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ESE\Desktop\Virtual Con\Data for GitHub\"/>
    </mc:Choice>
  </mc:AlternateContent>
  <xr:revisionPtr revIDLastSave="0" documentId="13_ncr:1_{1D91006B-C1C5-42A6-AC63-98580076AA4C}" xr6:coauthVersionLast="47" xr6:coauthVersionMax="47" xr10:uidLastSave="{00000000-0000-0000-0000-000000000000}"/>
  <bookViews>
    <workbookView xWindow="3120" yWindow="3120" windowWidth="28530" windowHeight="16845" tabRatio="917" firstSheet="10" activeTab="21" xr2:uid="{B956C8F0-88D9-431B-A3DF-2AB0841BCD9C}"/>
  </bookViews>
  <sheets>
    <sheet name="Outline" sheetId="41" r:id="rId1"/>
    <sheet name="Accommodation" sheetId="4" r:id="rId2"/>
    <sheet name="Preparation and execution" sheetId="6" r:id="rId3"/>
    <sheet name="ACLCA_raw data" sheetId="20" r:id="rId4"/>
    <sheet name="Transport_1_hub" sheetId="30" r:id="rId5"/>
    <sheet name="Transport_2_Hubs" sheetId="24" r:id="rId6"/>
    <sheet name="Transport_3_Hubs" sheetId="25" r:id="rId7"/>
    <sheet name="Transport_4_Hubs" sheetId="26" r:id="rId8"/>
    <sheet name="Transport_5_Hubs" sheetId="27" r:id="rId9"/>
    <sheet name="Transport_6_Hubs" sheetId="28" r:id="rId10"/>
    <sheet name="Virtual" sheetId="19" r:id="rId11"/>
    <sheet name="Pre &amp; Exe_LCIA" sheetId="12" r:id="rId12"/>
    <sheet name="Waste_LCIA" sheetId="10" r:id="rId13"/>
    <sheet name="Catering_LCIA" sheetId="8" r:id="rId14"/>
    <sheet name="Transportation_LCIA" sheetId="16" r:id="rId15"/>
    <sheet name="Electricity_LCIA" sheetId="33" r:id="rId16"/>
    <sheet name="1_hub_LCIA" sheetId="11" r:id="rId17"/>
    <sheet name="Virtual_LCIA" sheetId="21" r:id="rId18"/>
    <sheet name="Virtual_1_hub_Comparison" sheetId="22" r:id="rId19"/>
    <sheet name="Summary_LCIA" sheetId="29" r:id="rId20"/>
    <sheet name="SA" sheetId="38" r:id="rId21"/>
    <sheet name="Virtual_SA" sheetId="37" r:id="rId22"/>
    <sheet name="Conference_hub_summary" sheetId="23" r:id="rId23"/>
    <sheet name="Reference" sheetId="40" r:id="rId24"/>
  </sheets>
  <functionGroups builtInGroupCount="19"/>
  <externalReferences>
    <externalReference r:id="rId25"/>
    <externalReference r:id="rId26"/>
    <externalReference r:id="rId27"/>
  </externalReferences>
  <definedNames>
    <definedName name="_ftn1" localSheetId="20">SA!$D$191</definedName>
    <definedName name="_ftn2" localSheetId="20">SA!$D$192</definedName>
    <definedName name="_ftnref1" localSheetId="20">SA!$H$151</definedName>
    <definedName name="_ftnref2" localSheetId="20">SA!$D$180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38" l="1"/>
  <c r="F5" i="38"/>
  <c r="H10" i="38"/>
  <c r="G58" i="29"/>
  <c r="G22" i="29"/>
  <c r="G23" i="29" s="1"/>
  <c r="G24" i="29" s="1"/>
  <c r="G25" i="29" s="1"/>
  <c r="G45" i="29"/>
  <c r="G42" i="29"/>
  <c r="G39" i="29"/>
  <c r="G36" i="29"/>
  <c r="G12" i="2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8" i="21"/>
  <c r="G7" i="21"/>
  <c r="E38" i="21"/>
  <c r="H49" i="19"/>
  <c r="I52" i="19"/>
  <c r="J52" i="19" s="1"/>
  <c r="H60" i="19"/>
  <c r="F42" i="19"/>
  <c r="F75" i="19"/>
  <c r="G8" i="11"/>
  <c r="K71" i="23"/>
  <c r="W387" i="24" l="1"/>
  <c r="W386" i="24"/>
  <c r="P44" i="20"/>
  <c r="C59" i="16" l="1"/>
  <c r="F33" i="16"/>
  <c r="C33" i="16" s="1"/>
  <c r="B32" i="16"/>
  <c r="H4" i="6"/>
  <c r="H5" i="6"/>
  <c r="L3" i="4"/>
  <c r="L4" i="4" s="1"/>
  <c r="H12" i="11"/>
  <c r="K4" i="4"/>
  <c r="J3" i="4" l="1"/>
  <c r="M3" i="4"/>
  <c r="B9" i="38" l="1"/>
  <c r="B12" i="38"/>
  <c r="F11" i="38"/>
  <c r="B11" i="38" s="1"/>
  <c r="G109" i="38"/>
  <c r="G110" i="38" s="1"/>
  <c r="G111" i="38" s="1"/>
  <c r="G112" i="38" s="1"/>
  <c r="G113" i="38" s="1"/>
  <c r="G114" i="38" s="1"/>
  <c r="G115" i="38" s="1"/>
  <c r="F10" i="38"/>
  <c r="B10" i="38" s="1"/>
  <c r="I34" i="29"/>
  <c r="I32" i="29"/>
  <c r="J32" i="29"/>
  <c r="K32" i="29"/>
  <c r="L32" i="29"/>
  <c r="M32" i="29"/>
  <c r="N32" i="29"/>
  <c r="O32" i="29"/>
  <c r="P32" i="29"/>
  <c r="Q32" i="29"/>
  <c r="R32" i="29"/>
  <c r="S32" i="29"/>
  <c r="T32" i="29"/>
  <c r="U32" i="29"/>
  <c r="V32" i="29"/>
  <c r="W32" i="29"/>
  <c r="X32" i="29"/>
  <c r="Y32" i="29"/>
  <c r="Z32" i="29"/>
  <c r="AA32" i="29"/>
  <c r="AB32" i="29"/>
  <c r="AC32" i="29"/>
  <c r="AD32" i="29"/>
  <c r="AE32" i="29"/>
  <c r="AF32" i="29"/>
  <c r="AG32" i="29"/>
  <c r="AH32" i="29"/>
  <c r="AI32" i="29"/>
  <c r="Z4" i="38"/>
  <c r="Z5" i="38"/>
  <c r="Z6" i="38"/>
  <c r="Z7" i="38"/>
  <c r="Z8" i="38"/>
  <c r="Z9" i="38"/>
  <c r="Z11" i="38"/>
  <c r="Z12" i="38"/>
  <c r="Z13" i="38"/>
  <c r="Z14" i="38"/>
  <c r="Z15" i="38"/>
  <c r="Z16" i="38"/>
  <c r="Z17" i="38"/>
  <c r="Z18" i="38"/>
  <c r="Z3" i="38"/>
  <c r="H128" i="38"/>
  <c r="H129" i="38"/>
  <c r="H130" i="38"/>
  <c r="H131" i="38"/>
  <c r="H132" i="38"/>
  <c r="H133" i="38"/>
  <c r="H127" i="38"/>
  <c r="G127" i="38"/>
  <c r="G128" i="38" s="1"/>
  <c r="F127" i="38"/>
  <c r="F128" i="38" s="1"/>
  <c r="E127" i="38"/>
  <c r="E128" i="38" s="1"/>
  <c r="D127" i="38"/>
  <c r="D128" i="38" s="1"/>
  <c r="B126" i="38"/>
  <c r="H119" i="38"/>
  <c r="H120" i="38"/>
  <c r="H121" i="38"/>
  <c r="H122" i="38"/>
  <c r="H123" i="38"/>
  <c r="H124" i="38"/>
  <c r="H118" i="38"/>
  <c r="H110" i="38"/>
  <c r="H111" i="38"/>
  <c r="H112" i="38"/>
  <c r="H113" i="38"/>
  <c r="H114" i="38"/>
  <c r="H115" i="38"/>
  <c r="H109" i="38"/>
  <c r="H101" i="38"/>
  <c r="H102" i="38"/>
  <c r="H103" i="38"/>
  <c r="H104" i="38"/>
  <c r="H105" i="38"/>
  <c r="H106" i="38"/>
  <c r="H100" i="38"/>
  <c r="H92" i="38"/>
  <c r="H93" i="38"/>
  <c r="H94" i="38"/>
  <c r="H95" i="38"/>
  <c r="H96" i="38"/>
  <c r="H97" i="38"/>
  <c r="H91" i="38"/>
  <c r="H84" i="38"/>
  <c r="H85" i="38"/>
  <c r="H86" i="38"/>
  <c r="H87" i="38"/>
  <c r="H88" i="38"/>
  <c r="H89" i="38"/>
  <c r="H83" i="38"/>
  <c r="H75" i="38"/>
  <c r="H136" i="38" s="1"/>
  <c r="H76" i="38"/>
  <c r="H137" i="38" s="1"/>
  <c r="H77" i="38"/>
  <c r="H138" i="38" s="1"/>
  <c r="H78" i="38"/>
  <c r="H139" i="38" s="1"/>
  <c r="H79" i="38"/>
  <c r="H140" i="38" s="1"/>
  <c r="H80" i="38"/>
  <c r="H141" i="38" s="1"/>
  <c r="H74" i="38"/>
  <c r="H135" i="38" s="1"/>
  <c r="H67" i="38"/>
  <c r="H68" i="38"/>
  <c r="H69" i="38"/>
  <c r="H70" i="38"/>
  <c r="H71" i="38"/>
  <c r="H72" i="38"/>
  <c r="H66" i="38"/>
  <c r="H41" i="38"/>
  <c r="H58" i="38"/>
  <c r="H59" i="38"/>
  <c r="H60" i="38"/>
  <c r="H61" i="38"/>
  <c r="H62" i="38"/>
  <c r="H63" i="38"/>
  <c r="H57" i="38"/>
  <c r="H50" i="38"/>
  <c r="H51" i="38"/>
  <c r="H52" i="38"/>
  <c r="H53" i="38"/>
  <c r="H54" i="38"/>
  <c r="H55" i="38"/>
  <c r="H49" i="38"/>
  <c r="H40" i="38"/>
  <c r="H33" i="38"/>
  <c r="F109" i="38"/>
  <c r="F110" i="38" s="1"/>
  <c r="F111" i="38" s="1"/>
  <c r="F112" i="38" s="1"/>
  <c r="F113" i="38" s="1"/>
  <c r="F114" i="38" s="1"/>
  <c r="F115" i="38" s="1"/>
  <c r="D118" i="38"/>
  <c r="D119" i="38" s="1"/>
  <c r="D120" i="38" s="1"/>
  <c r="D121" i="38" s="1"/>
  <c r="D122" i="38" s="1"/>
  <c r="D123" i="38" s="1"/>
  <c r="D124" i="38" s="1"/>
  <c r="D109" i="38"/>
  <c r="D110" i="38" s="1"/>
  <c r="D111" i="38" s="1"/>
  <c r="D112" i="38" s="1"/>
  <c r="D113" i="38" s="1"/>
  <c r="D114" i="38" s="1"/>
  <c r="D115" i="38" s="1"/>
  <c r="B117" i="38"/>
  <c r="B108" i="38"/>
  <c r="E100" i="38"/>
  <c r="E101" i="38" s="1"/>
  <c r="E102" i="38" s="1"/>
  <c r="E103" i="38" s="1"/>
  <c r="E104" i="38" s="1"/>
  <c r="E105" i="38" s="1"/>
  <c r="E106" i="38" s="1"/>
  <c r="F100" i="38"/>
  <c r="F101" i="38" s="1"/>
  <c r="F102" i="38" s="1"/>
  <c r="F103" i="38" s="1"/>
  <c r="F104" i="38" s="1"/>
  <c r="F105" i="38" s="1"/>
  <c r="F106" i="38" s="1"/>
  <c r="G100" i="38"/>
  <c r="G101" i="38" s="1"/>
  <c r="G102" i="38" s="1"/>
  <c r="G103" i="38" s="1"/>
  <c r="G104" i="38" s="1"/>
  <c r="G105" i="38" s="1"/>
  <c r="G106" i="38" s="1"/>
  <c r="D100" i="38"/>
  <c r="D101" i="38" s="1"/>
  <c r="D102" i="38" s="1"/>
  <c r="D103" i="38" s="1"/>
  <c r="D104" i="38" s="1"/>
  <c r="D105" i="38" s="1"/>
  <c r="D106" i="38" s="1"/>
  <c r="B99" i="38"/>
  <c r="B82" i="38"/>
  <c r="B65" i="38"/>
  <c r="B48" i="38"/>
  <c r="B14" i="38"/>
  <c r="B31" i="38"/>
  <c r="H44" i="38"/>
  <c r="H45" i="38"/>
  <c r="H46" i="38"/>
  <c r="C32" i="38"/>
  <c r="C49" i="38" s="1"/>
  <c r="C66" i="38" s="1"/>
  <c r="H32" i="38"/>
  <c r="C33" i="38"/>
  <c r="C50" i="38" s="1"/>
  <c r="C67" i="38" s="1"/>
  <c r="C34" i="38"/>
  <c r="C51" i="38" s="1"/>
  <c r="C68" i="38" s="1"/>
  <c r="H34" i="38"/>
  <c r="C35" i="38"/>
  <c r="C52" i="38" s="1"/>
  <c r="C69" i="38" s="1"/>
  <c r="H35" i="38"/>
  <c r="C36" i="38"/>
  <c r="C53" i="38" s="1"/>
  <c r="C70" i="38" s="1"/>
  <c r="H36" i="38"/>
  <c r="C37" i="38"/>
  <c r="C54" i="38" s="1"/>
  <c r="C71" i="38" s="1"/>
  <c r="H37" i="38"/>
  <c r="C38" i="38"/>
  <c r="C55" i="38" s="1"/>
  <c r="C72" i="38" s="1"/>
  <c r="H38" i="38"/>
  <c r="C39" i="38"/>
  <c r="C56" i="38" s="1"/>
  <c r="C73" i="38" s="1"/>
  <c r="C90" i="38" s="1"/>
  <c r="H39" i="38"/>
  <c r="H56" i="38" s="1"/>
  <c r="H73" i="38" s="1"/>
  <c r="H90" i="38" s="1"/>
  <c r="I39" i="38"/>
  <c r="I56" i="38" s="1"/>
  <c r="I73" i="38" s="1"/>
  <c r="I90" i="38" s="1"/>
  <c r="J39" i="38"/>
  <c r="J56" i="38" s="1"/>
  <c r="J73" i="38" s="1"/>
  <c r="J90" i="38" s="1"/>
  <c r="H42" i="38"/>
  <c r="H43" i="38"/>
  <c r="H31" i="38"/>
  <c r="I31" i="38"/>
  <c r="J31" i="38"/>
  <c r="C31" i="38"/>
  <c r="C48" i="38" s="1"/>
  <c r="C65" i="38" s="1"/>
  <c r="C99" i="38" s="1"/>
  <c r="C108" i="38" s="1"/>
  <c r="C117" i="38" s="1"/>
  <c r="H6" i="38"/>
  <c r="H11" i="38"/>
  <c r="G118" i="38" s="1"/>
  <c r="G119" i="38" s="1"/>
  <c r="G120" i="38" s="1"/>
  <c r="G121" i="38" s="1"/>
  <c r="G122" i="38" s="1"/>
  <c r="G123" i="38" s="1"/>
  <c r="G124" i="38" s="1"/>
  <c r="G11" i="38"/>
  <c r="F118" i="38" s="1"/>
  <c r="F119" i="38" s="1"/>
  <c r="F120" i="38" s="1"/>
  <c r="F121" i="38" s="1"/>
  <c r="F122" i="38" s="1"/>
  <c r="F123" i="38" s="1"/>
  <c r="F124" i="38" s="1"/>
  <c r="F7" i="38"/>
  <c r="B7" i="38" s="1"/>
  <c r="H7" i="38"/>
  <c r="G66" i="38" s="1"/>
  <c r="G74" i="38" s="1"/>
  <c r="G7" i="38"/>
  <c r="F66" i="38" s="1"/>
  <c r="F74" i="38" s="1"/>
  <c r="E8" i="38"/>
  <c r="E7" i="38" s="1"/>
  <c r="D66" i="38" s="1"/>
  <c r="D74" i="38" s="1"/>
  <c r="F13" i="4"/>
  <c r="F14" i="4" s="1"/>
  <c r="G8" i="38" s="1"/>
  <c r="F83" i="38" s="1"/>
  <c r="F84" i="38" s="1"/>
  <c r="F85" i="38" s="1"/>
  <c r="E8" i="4"/>
  <c r="E13" i="4" s="1"/>
  <c r="E14" i="4" s="1"/>
  <c r="H8" i="38" s="1"/>
  <c r="G83" i="38" s="1"/>
  <c r="O43" i="38"/>
  <c r="R22" i="38"/>
  <c r="R23" i="38"/>
  <c r="R24" i="38"/>
  <c r="R25" i="38"/>
  <c r="R26" i="38"/>
  <c r="R27" i="38"/>
  <c r="R28" i="38"/>
  <c r="R29" i="38"/>
  <c r="R30" i="38"/>
  <c r="R31" i="38"/>
  <c r="R32" i="38"/>
  <c r="R33" i="38"/>
  <c r="R34" i="38"/>
  <c r="R35" i="38"/>
  <c r="R36" i="38"/>
  <c r="R37" i="38"/>
  <c r="R38" i="38"/>
  <c r="R39" i="38"/>
  <c r="R40" i="38"/>
  <c r="R41" i="38"/>
  <c r="R21" i="38"/>
  <c r="G6" i="38"/>
  <c r="F49" i="38" s="1"/>
  <c r="E6" i="38"/>
  <c r="C24" i="38"/>
  <c r="C41" i="38" s="1"/>
  <c r="C58" i="38" s="1"/>
  <c r="C75" i="38" s="1"/>
  <c r="C25" i="38"/>
  <c r="C42" i="38" s="1"/>
  <c r="C59" i="38" s="1"/>
  <c r="C76" i="38" s="1"/>
  <c r="C26" i="38"/>
  <c r="C43" i="38" s="1"/>
  <c r="C60" i="38" s="1"/>
  <c r="C77" i="38" s="1"/>
  <c r="C94" i="38" s="1"/>
  <c r="C27" i="38"/>
  <c r="C44" i="38" s="1"/>
  <c r="C61" i="38" s="1"/>
  <c r="C78" i="38" s="1"/>
  <c r="C28" i="38"/>
  <c r="C45" i="38" s="1"/>
  <c r="C62" i="38" s="1"/>
  <c r="C79" i="38" s="1"/>
  <c r="C29" i="38"/>
  <c r="C46" i="38" s="1"/>
  <c r="C63" i="38" s="1"/>
  <c r="C80" i="38" s="1"/>
  <c r="C23" i="38"/>
  <c r="C40" i="38" s="1"/>
  <c r="C57" i="38" s="1"/>
  <c r="C74" i="38" s="1"/>
  <c r="C91" i="38" s="1"/>
  <c r="G14" i="38"/>
  <c r="G22" i="38" s="1"/>
  <c r="G39" i="38" s="1"/>
  <c r="G56" i="38" s="1"/>
  <c r="G73" i="38" s="1"/>
  <c r="G90" i="38" s="1"/>
  <c r="F14" i="38"/>
  <c r="F22" i="38" s="1"/>
  <c r="F39" i="38" s="1"/>
  <c r="F56" i="38" s="1"/>
  <c r="F73" i="38" s="1"/>
  <c r="F90" i="38" s="1"/>
  <c r="E15" i="38"/>
  <c r="E23" i="38" s="1"/>
  <c r="D15" i="38"/>
  <c r="D23" i="38" s="1"/>
  <c r="D14" i="38"/>
  <c r="D22" i="38" s="1"/>
  <c r="D39" i="38" s="1"/>
  <c r="D56" i="38" s="1"/>
  <c r="D73" i="38" s="1"/>
  <c r="D90" i="38" s="1"/>
  <c r="E14" i="38"/>
  <c r="E22" i="38" s="1"/>
  <c r="E39" i="38" s="1"/>
  <c r="E56" i="38" s="1"/>
  <c r="E73" i="38" s="1"/>
  <c r="E90" i="38" s="1"/>
  <c r="G4" i="38"/>
  <c r="F15" i="38" s="1"/>
  <c r="F16" i="38" s="1"/>
  <c r="F17" i="38" s="1"/>
  <c r="F18" i="38" s="1"/>
  <c r="F19" i="38" s="1"/>
  <c r="F20" i="38" s="1"/>
  <c r="F21" i="38" s="1"/>
  <c r="F29" i="38" s="1"/>
  <c r="H4" i="38"/>
  <c r="G15" i="38" s="1"/>
  <c r="S33" i="38" l="1"/>
  <c r="G49" i="38"/>
  <c r="E5" i="38"/>
  <c r="D32" i="38" s="1"/>
  <c r="J48" i="38"/>
  <c r="I48" i="38"/>
  <c r="H48" i="38"/>
  <c r="G134" i="38"/>
  <c r="F134" i="38"/>
  <c r="E134" i="38"/>
  <c r="D134" i="38"/>
  <c r="C126" i="38"/>
  <c r="C134" i="38"/>
  <c r="J134" i="38"/>
  <c r="I134" i="38"/>
  <c r="H134" i="38"/>
  <c r="H16" i="11"/>
  <c r="H32" i="29" s="1"/>
  <c r="H35" i="29" s="1"/>
  <c r="H17" i="11"/>
  <c r="H34" i="29" s="1"/>
  <c r="C3" i="4"/>
  <c r="E109" i="38"/>
  <c r="E110" i="38" s="1"/>
  <c r="E111" i="38" s="1"/>
  <c r="E112" i="38" s="1"/>
  <c r="E113" i="38" s="1"/>
  <c r="E114" i="38" s="1"/>
  <c r="E115" i="38" s="1"/>
  <c r="D135" i="38"/>
  <c r="C96" i="38"/>
  <c r="C95" i="38"/>
  <c r="C93" i="38"/>
  <c r="D136" i="38"/>
  <c r="D129" i="38"/>
  <c r="D130" i="38" s="1"/>
  <c r="D138" i="38" s="1"/>
  <c r="C92" i="38"/>
  <c r="G91" i="38"/>
  <c r="G84" i="38"/>
  <c r="F57" i="38"/>
  <c r="F50" i="38"/>
  <c r="F58" i="38" s="1"/>
  <c r="G57" i="38"/>
  <c r="G50" i="38"/>
  <c r="C97" i="38"/>
  <c r="E66" i="38"/>
  <c r="E74" i="38" s="1"/>
  <c r="D16" i="38"/>
  <c r="F67" i="38"/>
  <c r="E118" i="38"/>
  <c r="E119" i="38" s="1"/>
  <c r="E120" i="38" s="1"/>
  <c r="E121" i="38" s="1"/>
  <c r="E122" i="38" s="1"/>
  <c r="E123" i="38" s="1"/>
  <c r="E124" i="38" s="1"/>
  <c r="D49" i="38"/>
  <c r="D83" i="38"/>
  <c r="G135" i="38"/>
  <c r="F129" i="38"/>
  <c r="F136" i="38"/>
  <c r="G129" i="38"/>
  <c r="G136" i="38"/>
  <c r="E129" i="38"/>
  <c r="E136" i="38"/>
  <c r="E135" i="38"/>
  <c r="F135" i="38"/>
  <c r="F86" i="38"/>
  <c r="F93" i="38"/>
  <c r="F92" i="38"/>
  <c r="F91" i="38"/>
  <c r="D67" i="38"/>
  <c r="G67" i="38"/>
  <c r="C84" i="38"/>
  <c r="C101" i="38"/>
  <c r="C86" i="38"/>
  <c r="C103" i="38"/>
  <c r="C88" i="38"/>
  <c r="C105" i="38"/>
  <c r="C82" i="38"/>
  <c r="C100" i="38"/>
  <c r="C83" i="38"/>
  <c r="C85" i="38"/>
  <c r="C102" i="38"/>
  <c r="C87" i="38"/>
  <c r="C104" i="38"/>
  <c r="C89" i="38"/>
  <c r="C106" i="38"/>
  <c r="G31" i="38"/>
  <c r="G48" i="38" s="1"/>
  <c r="G65" i="38" s="1"/>
  <c r="G99" i="38" s="1"/>
  <c r="G108" i="38" s="1"/>
  <c r="G117" i="38" s="1"/>
  <c r="F31" i="38"/>
  <c r="F48" i="38" s="1"/>
  <c r="F65" i="38" s="1"/>
  <c r="F99" i="38" s="1"/>
  <c r="F108" i="38" s="1"/>
  <c r="F117" i="38" s="1"/>
  <c r="E31" i="38"/>
  <c r="E48" i="38" s="1"/>
  <c r="E65" i="38" s="1"/>
  <c r="E82" i="38" s="1"/>
  <c r="D31" i="38"/>
  <c r="D48" i="38" s="1"/>
  <c r="D65" i="38" s="1"/>
  <c r="D82" i="38" s="1"/>
  <c r="S22" i="38"/>
  <c r="E16" i="38"/>
  <c r="S32" i="38"/>
  <c r="S31" i="38"/>
  <c r="S21" i="38"/>
  <c r="S30" i="38"/>
  <c r="S41" i="38"/>
  <c r="S29" i="38"/>
  <c r="S40" i="38"/>
  <c r="S28" i="38"/>
  <c r="S39" i="38"/>
  <c r="S27" i="38"/>
  <c r="S38" i="38"/>
  <c r="S26" i="38"/>
  <c r="S37" i="38"/>
  <c r="S25" i="38"/>
  <c r="S36" i="38"/>
  <c r="S24" i="38"/>
  <c r="S35" i="38"/>
  <c r="S23" i="38"/>
  <c r="S34" i="38"/>
  <c r="F25" i="38"/>
  <c r="F23" i="38"/>
  <c r="F28" i="38"/>
  <c r="F26" i="38"/>
  <c r="G16" i="38"/>
  <c r="G23" i="38"/>
  <c r="F27" i="38"/>
  <c r="F24" i="38"/>
  <c r="W339" i="28" a="1"/>
  <c r="W284" i="28" a="1"/>
  <c r="W223" i="27" a="1"/>
  <c r="W319" i="26" a="1"/>
  <c r="W257" i="26" a="1"/>
  <c r="W184" i="25" a="1"/>
  <c r="W118" i="24" a="1"/>
  <c r="W186" i="24" a="1"/>
  <c r="W302" i="24" a="1"/>
  <c r="W94" i="30" a="1"/>
  <c r="W288" i="30" a="1"/>
  <c r="W347" i="28" a="1"/>
  <c r="W215" i="27" a="1"/>
  <c r="W362" i="27" a="1"/>
  <c r="W335" i="26" a="1"/>
  <c r="W347" i="25" a="1"/>
  <c r="W159" i="25" a="1"/>
  <c r="W83" i="24" a="1"/>
  <c r="W169" i="24" a="1"/>
  <c r="W266" i="30" a="1"/>
  <c r="W125" i="30" a="1"/>
  <c r="W319" i="30" a="1"/>
  <c r="W217" i="28" a="1"/>
  <c r="W258" i="27" a="1"/>
  <c r="W233" i="26" a="1"/>
  <c r="W190" i="26" a="1"/>
  <c r="W133" i="25" a="1"/>
  <c r="W182" i="25" a="1"/>
  <c r="W377" i="24" a="1"/>
  <c r="W98" i="24" a="1"/>
  <c r="W225" i="30" a="1"/>
  <c r="W84" i="30" a="1"/>
  <c r="W322" i="28" a="1"/>
  <c r="W268" i="27" a="1"/>
  <c r="W183" i="27" a="1"/>
  <c r="W200" i="26" a="1"/>
  <c r="W264" i="25" a="1"/>
  <c r="W363" i="25" a="1"/>
  <c r="W280" i="24" a="1"/>
  <c r="W348" i="24" a="1"/>
  <c r="W62" i="30" a="1"/>
  <c r="W256" i="30" a="1"/>
  <c r="W115" i="30" a="1"/>
  <c r="W252" i="28" a="1"/>
  <c r="W311" i="27" a="1"/>
  <c r="W198" i="26" a="1"/>
  <c r="W243" i="26" a="1"/>
  <c r="W251" i="25" a="1"/>
  <c r="W380" i="25" a="1"/>
  <c r="W179" i="24" a="1"/>
  <c r="W265" i="24" a="1"/>
  <c r="W362" i="30" a="1"/>
  <c r="W221" i="30" a="1"/>
  <c r="W303" i="28" a="1"/>
  <c r="W206" i="28" a="1"/>
  <c r="W187" i="27" a="1"/>
  <c r="W283" i="26" a="1"/>
  <c r="W358" i="26" a="1"/>
  <c r="W220" i="25" a="1"/>
  <c r="W82" i="24" a="1"/>
  <c r="W150" i="24" a="1"/>
  <c r="W266" i="24" a="1"/>
  <c r="W58" i="30" a="1"/>
  <c r="W252" i="30" a="1"/>
  <c r="W311" i="28" a="1"/>
  <c r="W375" i="27" a="1"/>
  <c r="W326" i="27" a="1"/>
  <c r="W368" i="26" a="1"/>
  <c r="W383" i="25" a="1"/>
  <c r="W195" i="25" a="1"/>
  <c r="W249" i="24" a="1"/>
  <c r="W243" i="28" a="1"/>
  <c r="W325" i="28" a="1"/>
  <c r="W366" i="27" a="1"/>
  <c r="W223" i="26" a="1"/>
  <c r="W298" i="26" a="1"/>
  <c r="W280" i="25" a="1"/>
  <c r="W283" i="25" a="1"/>
  <c r="W90" i="24" a="1"/>
  <c r="W206" i="24" a="1"/>
  <c r="W333" i="30" a="1"/>
  <c r="W192" i="30" a="1"/>
  <c r="W251" i="28" a="1"/>
  <c r="W376" i="27" a="1"/>
  <c r="W266" i="27" a="1"/>
  <c r="W308" i="26" a="1"/>
  <c r="W156" i="25" a="1"/>
  <c r="W255" i="25" a="1"/>
  <c r="W123" i="24" a="1"/>
  <c r="W73" i="24" a="1"/>
  <c r="W170" i="30" a="1"/>
  <c r="W364" i="30" a="1"/>
  <c r="W223" i="30" a="1"/>
  <c r="W320" i="28" a="1"/>
  <c r="W234" i="27" a="1"/>
  <c r="W372" i="26" a="1"/>
  <c r="W166" i="26" a="1"/>
  <c r="W223" i="25" a="1"/>
  <c r="W206" i="25" a="1"/>
  <c r="W353" i="24" a="1"/>
  <c r="W74" i="24" a="1"/>
  <c r="W201" i="30" a="1"/>
  <c r="W60" i="30" a="1"/>
  <c r="W270" i="27" a="1"/>
  <c r="W349" i="24" a="1"/>
  <c r="W231" i="27" a="1"/>
  <c r="W85" i="24" a="1"/>
  <c r="W293" i="28" a="1"/>
  <c r="W327" i="24" a="1"/>
  <c r="W379" i="30" a="1"/>
  <c r="W343" i="28" a="1"/>
  <c r="W108" i="24" a="1"/>
  <c r="W356" i="28" a="1"/>
  <c r="W233" i="27" a="1"/>
  <c r="W157" i="24" a="1"/>
  <c r="W232" i="30" a="1"/>
  <c r="W173" i="26" a="1"/>
  <c r="W190" i="30" a="1"/>
  <c r="W331" i="30" a="1"/>
  <c r="W193" i="30" a="1"/>
  <c r="W145" i="25" a="1"/>
  <c r="W256" i="28" a="1"/>
  <c r="W214" i="24" a="1"/>
  <c r="W343" i="30" a="1"/>
  <c r="W287" i="24" a="1"/>
  <c r="W381" i="26" a="1"/>
  <c r="W351" i="30" a="1"/>
  <c r="W232" i="28" a="1"/>
  <c r="W374" i="28" a="1"/>
  <c r="W295" i="27" a="1"/>
  <c r="W221" i="26" a="1"/>
  <c r="W354" i="25" a="1"/>
  <c r="W349" i="25" a="1"/>
  <c r="W190" i="24" a="1"/>
  <c r="W258" i="24" a="1"/>
  <c r="W374" i="24" a="1"/>
  <c r="W166" i="30" a="1"/>
  <c r="W360" i="30" a="1"/>
  <c r="W228" i="28" a="1"/>
  <c r="W287" i="27" a="1"/>
  <c r="W174" i="26" a="1"/>
  <c r="W219" i="26" a="1"/>
  <c r="W275" i="25" a="1"/>
  <c r="W265" i="25" a="1"/>
  <c r="W155" i="24" a="1"/>
  <c r="W241" i="24" a="1"/>
  <c r="W338" i="30" a="1"/>
  <c r="W197" i="30" a="1"/>
  <c r="W207" i="28" a="1"/>
  <c r="W289" i="28" a="1"/>
  <c r="W330" i="27" a="1"/>
  <c r="W187" i="26" a="1"/>
  <c r="W262" i="26" a="1"/>
  <c r="W316" i="25" a="1"/>
  <c r="W373" i="25" a="1"/>
  <c r="W321" i="24" a="1"/>
  <c r="W170" i="24" a="1"/>
  <c r="W297" i="30" a="1"/>
  <c r="W156" i="30" a="1"/>
  <c r="W215" i="28" a="1"/>
  <c r="W340" i="27" a="1"/>
  <c r="W230" i="27" a="1"/>
  <c r="W272" i="26" a="1"/>
  <c r="W192" i="25" a="1"/>
  <c r="W291" i="25" a="1"/>
  <c r="W352" i="24" a="1"/>
  <c r="W243" i="24" a="1"/>
  <c r="W134" i="30" a="1"/>
  <c r="W328" i="30" a="1"/>
  <c r="W187" i="30" a="1"/>
  <c r="W324" i="28" a="1"/>
  <c r="W383" i="27" a="1"/>
  <c r="W270" i="26" a="1"/>
  <c r="W315" i="26" a="1"/>
  <c r="W179" i="25" a="1"/>
  <c r="W308" i="25" a="1"/>
  <c r="W251" i="24" a="1"/>
  <c r="W337" i="24" a="1"/>
  <c r="W99" i="30" a="1"/>
  <c r="W293" i="30" a="1"/>
  <c r="W375" i="28" a="1"/>
  <c r="W380" i="28" a="1"/>
  <c r="W259" i="27" a="1"/>
  <c r="W355" i="26" a="1"/>
  <c r="W347" i="26" a="1"/>
  <c r="W148" i="25" a="1"/>
  <c r="W154" i="24" a="1"/>
  <c r="W222" i="24" a="1"/>
  <c r="W338" i="24" a="1"/>
  <c r="W130" i="30" a="1"/>
  <c r="W324" i="30" a="1"/>
  <c r="W383" i="28" a="1"/>
  <c r="W251" i="27" a="1"/>
  <c r="W345" i="27" a="1"/>
  <c r="W183" i="26" a="1"/>
  <c r="W311" i="25" a="1"/>
  <c r="W123" i="25" a="1"/>
  <c r="W119" i="24" a="1"/>
  <c r="W315" i="28" a="1"/>
  <c r="W242" i="28" a="1"/>
  <c r="W199" i="27" a="1"/>
  <c r="W295" i="26" a="1"/>
  <c r="W370" i="26" a="1"/>
  <c r="W208" i="25" a="1"/>
  <c r="W94" i="24" a="1"/>
  <c r="W162" i="24" a="1"/>
  <c r="W278" i="24" a="1"/>
  <c r="W70" i="30" a="1"/>
  <c r="W264" i="30" a="1"/>
  <c r="W323" i="28" a="1"/>
  <c r="W191" i="27" a="1"/>
  <c r="W338" i="27" a="1"/>
  <c r="W380" i="26" a="1"/>
  <c r="W371" i="25" a="1"/>
  <c r="W183" i="25" a="1"/>
  <c r="W351" i="24" a="1"/>
  <c r="W145" i="24" a="1"/>
  <c r="W242" i="30" a="1"/>
  <c r="W101" i="30" a="1"/>
  <c r="W295" i="30" a="1"/>
  <c r="W265" i="28" a="1"/>
  <c r="W306" i="27" a="1"/>
  <c r="W163" i="26" a="1"/>
  <c r="W238" i="26" a="1"/>
  <c r="W340" i="25" a="1"/>
  <c r="W134" i="25" a="1"/>
  <c r="W99" i="24" a="1"/>
  <c r="W146" i="24" a="1"/>
  <c r="W273" i="30" a="1"/>
  <c r="W132" i="30" a="1"/>
  <c r="W236" i="27" a="1"/>
  <c r="W272" i="24" a="1"/>
  <c r="W312" i="27" a="1"/>
  <c r="W373" i="24" a="1"/>
  <c r="W301" i="28" a="1"/>
  <c r="W66" i="24" a="1"/>
  <c r="W288" i="28" a="1"/>
  <c r="W203" i="27" a="1"/>
  <c r="W133" i="24" a="1"/>
  <c r="W234" i="26" a="1"/>
  <c r="W357" i="27" a="1"/>
  <c r="W80" i="24" a="1"/>
  <c r="W324" i="24" a="1"/>
  <c r="W287" i="25" a="1"/>
  <c r="W143" i="30" a="1"/>
  <c r="W226" i="28" a="1"/>
  <c r="W363" i="28" a="1"/>
  <c r="W173" i="24" a="1"/>
  <c r="W318" i="28" a="1"/>
  <c r="W245" i="24" a="1"/>
  <c r="W298" i="28" a="1"/>
  <c r="W86" i="30" a="1"/>
  <c r="W258" i="25" a="1"/>
  <c r="W304" i="30" a="1"/>
  <c r="W304" i="28" a="1"/>
  <c r="W250" i="27" a="1"/>
  <c r="W367" i="27" a="1"/>
  <c r="W182" i="26" a="1"/>
  <c r="W282" i="25" a="1"/>
  <c r="W381" i="25" a="1"/>
  <c r="W262" i="24" a="1"/>
  <c r="W330" i="24" a="1"/>
  <c r="W339" i="24" a="1"/>
  <c r="W238" i="30" a="1"/>
  <c r="W97" i="30" a="1"/>
  <c r="W300" i="28" a="1"/>
  <c r="W359" i="27" a="1"/>
  <c r="W246" i="26" a="1"/>
  <c r="W291" i="26" a="1"/>
  <c r="W203" i="25" a="1"/>
  <c r="W332" i="25" a="1"/>
  <c r="W227" i="24" a="1"/>
  <c r="W313" i="24" a="1"/>
  <c r="W75" i="30" a="1"/>
  <c r="W269" i="30" a="1"/>
  <c r="W279" i="28" a="1"/>
  <c r="W361" i="28" a="1"/>
  <c r="W279" i="27" a="1"/>
  <c r="W259" i="26" a="1"/>
  <c r="W334" i="26" a="1"/>
  <c r="W244" i="25" a="1"/>
  <c r="W139" i="25" a="1"/>
  <c r="W126" i="24" a="1"/>
  <c r="W242" i="24" a="1"/>
  <c r="W369" i="30" a="1"/>
  <c r="W228" i="30" a="1"/>
  <c r="W287" i="28" a="1"/>
  <c r="W369" i="27" a="1"/>
  <c r="W302" i="27" a="1"/>
  <c r="W344" i="26" a="1"/>
  <c r="W120" i="25" a="1"/>
  <c r="W219" i="25" a="1"/>
  <c r="W279" i="24" a="1"/>
  <c r="W109" i="24" a="1"/>
  <c r="W206" i="30" a="1"/>
  <c r="W65" i="30" a="1"/>
  <c r="W259" i="30" a="1"/>
  <c r="W218" i="28" a="1"/>
  <c r="W204" i="27" a="1"/>
  <c r="W342" i="26" a="1"/>
  <c r="W185" i="26" a="1"/>
  <c r="W337" i="25" a="1"/>
  <c r="W236" i="25" a="1"/>
  <c r="W323" i="24" a="1"/>
  <c r="W189" i="24" a="1"/>
  <c r="W171" i="30" a="1"/>
  <c r="W365" i="30" a="1"/>
  <c r="W268" i="28" a="1"/>
  <c r="W214" i="27" a="1"/>
  <c r="W331" i="27" a="1"/>
  <c r="W227" i="26" a="1"/>
  <c r="W318" i="25" a="1"/>
  <c r="W211" i="25" a="1"/>
  <c r="W226" i="24" a="1"/>
  <c r="W294" i="24" a="1"/>
  <c r="W315" i="24" a="1"/>
  <c r="W202" i="30" a="1"/>
  <c r="W61" i="30" a="1"/>
  <c r="W264" i="28" a="1"/>
  <c r="W323" i="27" a="1"/>
  <c r="W210" i="26" a="1"/>
  <c r="W255" i="26" a="1"/>
  <c r="W239" i="25" a="1"/>
  <c r="W368" i="25" a="1"/>
  <c r="W191" i="24" a="1"/>
  <c r="W208" i="28" a="1"/>
  <c r="W272" i="28" a="1"/>
  <c r="W271" i="27" a="1"/>
  <c r="W367" i="26" a="1"/>
  <c r="W378" i="25" a="1"/>
  <c r="W136" i="25" a="1"/>
  <c r="W166" i="24" a="1"/>
  <c r="W234" i="24" a="1"/>
  <c r="W350" i="24" a="1"/>
  <c r="W142" i="30" a="1"/>
  <c r="W336" i="30" a="1"/>
  <c r="W338" i="28" a="1"/>
  <c r="W263" i="27" a="1"/>
  <c r="W189" i="27" a="1"/>
  <c r="W195" i="26" a="1"/>
  <c r="W299" i="25" a="1"/>
  <c r="W361" i="25" a="1"/>
  <c r="W131" i="24" a="1"/>
  <c r="W217" i="24" a="1"/>
  <c r="W314" i="30" a="1"/>
  <c r="W173" i="30" a="1"/>
  <c r="W255" i="28" a="1"/>
  <c r="W337" i="28" a="1"/>
  <c r="W378" i="27" a="1"/>
  <c r="W235" i="26" a="1"/>
  <c r="W310" i="26" a="1"/>
  <c r="W268" i="25" a="1"/>
  <c r="W229" i="25" a="1"/>
  <c r="W102" i="24" a="1"/>
  <c r="W218" i="24" a="1"/>
  <c r="W345" i="30" a="1"/>
  <c r="W204" i="30" a="1"/>
  <c r="W329" i="26" a="1"/>
  <c r="W158" i="30" a="1"/>
  <c r="W278" i="27" a="1"/>
  <c r="W182" i="30" a="1"/>
  <c r="W237" i="27" a="1"/>
  <c r="W115" i="24" a="1"/>
  <c r="W289" i="27" a="1"/>
  <c r="W384" i="27" a="1"/>
  <c r="W309" i="24" a="1"/>
  <c r="W118" i="25" a="1"/>
  <c r="W380" i="27" a="1"/>
  <c r="W368" i="24" a="1"/>
  <c r="W233" i="30" a="1"/>
  <c r="W190" i="25" a="1"/>
  <c r="W96" i="30" a="1"/>
  <c r="W347" i="27" a="1"/>
  <c r="W246" i="28" a="1"/>
  <c r="W210" i="24" a="1"/>
  <c r="W202" i="27" a="1"/>
  <c r="W282" i="24" a="1"/>
  <c r="W360" i="28" a="1"/>
  <c r="W186" i="30" a="1"/>
  <c r="W113" i="25" a="1"/>
  <c r="W257" i="30" a="1"/>
  <c r="W376" i="28" a="1"/>
  <c r="W269" i="28" a="1"/>
  <c r="W261" i="27" a="1"/>
  <c r="W284" i="27" a="1"/>
  <c r="W326" i="26" a="1"/>
  <c r="W138" i="25" a="1"/>
  <c r="W237" i="25" a="1"/>
  <c r="W165" i="24" a="1"/>
  <c r="W91" i="24" a="1"/>
  <c r="W188" i="30" a="1"/>
  <c r="W382" i="30" a="1"/>
  <c r="W241" i="30" a="1"/>
  <c r="W211" i="28" a="1"/>
  <c r="W252" i="27" a="1"/>
  <c r="W209" i="26" a="1"/>
  <c r="W184" i="26" a="1"/>
  <c r="W151" i="25" a="1"/>
  <c r="W188" i="25" a="1"/>
  <c r="W371" i="24" a="1"/>
  <c r="W92" i="24" a="1"/>
  <c r="W219" i="30" a="1"/>
  <c r="W78" i="30" a="1"/>
  <c r="W244" i="28" a="1"/>
  <c r="W190" i="27" a="1"/>
  <c r="W307" i="27" a="1"/>
  <c r="W275" i="26" a="1"/>
  <c r="W342" i="25" a="1"/>
  <c r="W295" i="25" a="1"/>
  <c r="W202" i="24" a="1"/>
  <c r="W270" i="24" a="1"/>
  <c r="W75" i="24" a="1"/>
  <c r="W178" i="30" a="1"/>
  <c r="W372" i="30" a="1"/>
  <c r="W240" i="28" a="1"/>
  <c r="W299" i="27" a="1"/>
  <c r="W186" i="26" a="1"/>
  <c r="W231" i="26" a="1"/>
  <c r="W263" i="25" a="1"/>
  <c r="W187" i="25" a="1"/>
  <c r="W167" i="24" a="1"/>
  <c r="W253" i="24" a="1"/>
  <c r="W350" i="30" a="1"/>
  <c r="W209" i="30" a="1"/>
  <c r="W225" i="28" a="1"/>
  <c r="W307" i="28" a="1"/>
  <c r="W348" i="27" a="1"/>
  <c r="W205" i="26" a="1"/>
  <c r="W280" i="26" a="1"/>
  <c r="W298" i="25" a="1"/>
  <c r="W127" i="25" a="1"/>
  <c r="W72" i="24" a="1"/>
  <c r="W188" i="24" a="1"/>
  <c r="W315" i="30" a="1"/>
  <c r="W174" i="30" a="1"/>
  <c r="W233" i="28" a="1"/>
  <c r="W358" i="27" a="1"/>
  <c r="W248" i="27" a="1"/>
  <c r="W290" i="26" a="1"/>
  <c r="W174" i="25" a="1"/>
  <c r="W273" i="25" a="1"/>
  <c r="W370" i="24" a="1"/>
  <c r="W93" i="24" a="1"/>
  <c r="W152" i="30" a="1"/>
  <c r="W346" i="30" a="1"/>
  <c r="W205" i="30" a="1"/>
  <c r="W278" i="28" a="1"/>
  <c r="W216" i="27" a="1"/>
  <c r="W354" i="26" a="1"/>
  <c r="W263" i="26" a="1"/>
  <c r="W307" i="25" a="1"/>
  <c r="W224" i="25" a="1"/>
  <c r="W335" i="24" a="1"/>
  <c r="W352" i="28" a="1"/>
  <c r="W298" i="27" a="1"/>
  <c r="W188" i="27" a="1"/>
  <c r="W230" i="26" a="1"/>
  <c r="W234" i="25" a="1"/>
  <c r="W333" i="25" a="1"/>
  <c r="W310" i="24" a="1"/>
  <c r="W378" i="24" a="1"/>
  <c r="W92" i="30" a="1"/>
  <c r="W286" i="30" a="1"/>
  <c r="W145" i="30" a="1"/>
  <c r="W348" i="28" a="1"/>
  <c r="W303" i="27" a="1"/>
  <c r="W294" i="26" a="1"/>
  <c r="W339" i="26" a="1"/>
  <c r="W155" i="25" a="1"/>
  <c r="W284" i="25" a="1"/>
  <c r="W275" i="24" a="1"/>
  <c r="W361" i="24" a="1"/>
  <c r="W123" i="30" a="1"/>
  <c r="W317" i="30" a="1"/>
  <c r="W220" i="28" a="1"/>
  <c r="W332" i="28" a="1"/>
  <c r="W283" i="27" a="1"/>
  <c r="W379" i="26" a="1"/>
  <c r="W366" i="25" a="1"/>
  <c r="W124" i="25" a="1"/>
  <c r="W178" i="24" a="1"/>
  <c r="W246" i="24" a="1"/>
  <c r="W362" i="24" a="1"/>
  <c r="W154" i="30" a="1"/>
  <c r="W348" i="30" a="1"/>
  <c r="W202" i="26" a="1"/>
  <c r="W64" i="30" a="1"/>
  <c r="W320" i="26" a="1"/>
  <c r="W88" i="30" a="1"/>
  <c r="W308" i="27" a="1"/>
  <c r="W326" i="24" a="1"/>
  <c r="W184" i="24" a="1"/>
  <c r="W241" i="26" a="1"/>
  <c r="W230" i="30" a="1"/>
  <c r="W279" i="30" a="1"/>
  <c r="W165" i="26" a="1"/>
  <c r="W207" i="30" a="1"/>
  <c r="W333" i="28" a="1"/>
  <c r="W112" i="24" a="1"/>
  <c r="W325" i="30" a="1"/>
  <c r="W344" i="25" a="1"/>
  <c r="W305" i="27" a="1"/>
  <c r="W208" i="30" a="1"/>
  <c r="W319" i="27" a="1"/>
  <c r="W182" i="24" a="1"/>
  <c r="W363" i="27" a="1"/>
  <c r="W361" i="30" a="1"/>
  <c r="W242" i="25" a="1"/>
  <c r="W163" i="30" a="1"/>
  <c r="W341" i="28" a="1"/>
  <c r="W209" i="27" a="1"/>
  <c r="W356" i="27" a="1"/>
  <c r="W293" i="26" a="1"/>
  <c r="W353" i="25" a="1"/>
  <c r="W165" i="25" a="1"/>
  <c r="W77" i="24" a="1"/>
  <c r="W163" i="24" a="1"/>
  <c r="W260" i="30" a="1"/>
  <c r="W119" i="30" a="1"/>
  <c r="W313" i="30" a="1"/>
  <c r="W283" i="28" a="1"/>
  <c r="W324" i="27" a="1"/>
  <c r="W181" i="26" a="1"/>
  <c r="W256" i="26" a="1"/>
  <c r="W322" i="25" a="1"/>
  <c r="W116" i="25" a="1"/>
  <c r="W273" i="24" a="1"/>
  <c r="W164" i="24" a="1"/>
  <c r="W291" i="30" a="1"/>
  <c r="W150" i="30" a="1"/>
  <c r="W316" i="28" a="1"/>
  <c r="W262" i="27" a="1"/>
  <c r="W379" i="27" a="1"/>
  <c r="W194" i="26" a="1"/>
  <c r="W270" i="25" a="1"/>
  <c r="W369" i="25" a="1"/>
  <c r="W274" i="24" a="1"/>
  <c r="W342" i="24" a="1"/>
  <c r="W56" i="30" a="1"/>
  <c r="W250" i="30" a="1"/>
  <c r="W109" i="30" a="1"/>
  <c r="W312" i="28" a="1"/>
  <c r="W371" i="27" a="1"/>
  <c r="W258" i="26" a="1"/>
  <c r="W303" i="26" a="1"/>
  <c r="W191" i="25" a="1"/>
  <c r="W320" i="25" a="1"/>
  <c r="W239" i="24" a="1"/>
  <c r="W325" i="24" a="1"/>
  <c r="W87" i="30" a="1"/>
  <c r="W281" i="30" a="1"/>
  <c r="W297" i="28" a="1"/>
  <c r="W379" i="28" a="1"/>
  <c r="W213" i="27" a="1"/>
  <c r="W277" i="26" a="1"/>
  <c r="W352" i="26" a="1"/>
  <c r="W226" i="25" a="1"/>
  <c r="W76" i="24" a="1"/>
  <c r="W144" i="24" a="1"/>
  <c r="W260" i="24" a="1"/>
  <c r="W52" i="30" a="1"/>
  <c r="W246" i="30" a="1"/>
  <c r="W305" i="28" a="1"/>
  <c r="W339" i="27" a="1"/>
  <c r="W320" i="27" a="1"/>
  <c r="W362" i="26" a="1"/>
  <c r="W325" i="25" a="1"/>
  <c r="W201" i="25" a="1"/>
  <c r="W195" i="24" a="1"/>
  <c r="W127" i="24" a="1"/>
  <c r="W224" i="30" a="1"/>
  <c r="W83" i="30" a="1"/>
  <c r="W277" i="30" a="1"/>
  <c r="W247" i="28" a="1"/>
  <c r="W288" i="27" a="1"/>
  <c r="W269" i="26" a="1"/>
  <c r="W220" i="26" a="1"/>
  <c r="W358" i="25" a="1"/>
  <c r="W152" i="25" a="1"/>
  <c r="W261" i="24" a="1"/>
  <c r="W245" i="28" a="1"/>
  <c r="W370" i="27" a="1"/>
  <c r="W260" i="27" a="1"/>
  <c r="W302" i="26" a="1"/>
  <c r="W162" i="25" a="1"/>
  <c r="W261" i="25" a="1"/>
  <c r="W382" i="24" a="1"/>
  <c r="W67" i="24" a="1"/>
  <c r="W164" i="30" a="1"/>
  <c r="W358" i="30" a="1"/>
  <c r="W217" i="30" a="1"/>
  <c r="W308" i="28" a="1"/>
  <c r="W228" i="27" a="1"/>
  <c r="W366" i="26" a="1"/>
  <c r="W365" i="26" a="1"/>
  <c r="W253" i="25" a="1"/>
  <c r="W212" i="25" a="1"/>
  <c r="W347" i="24" a="1"/>
  <c r="W68" i="24" a="1"/>
  <c r="W195" i="30" a="1"/>
  <c r="W54" i="30" a="1"/>
  <c r="W292" i="28" a="1"/>
  <c r="W238" i="27" a="1"/>
  <c r="W355" i="27" a="1"/>
  <c r="W170" i="26" a="1"/>
  <c r="W294" i="25" a="1"/>
  <c r="W217" i="25" a="1"/>
  <c r="W250" i="24" a="1"/>
  <c r="W318" i="24" a="1"/>
  <c r="W237" i="24" a="1"/>
  <c r="W226" i="30" a="1"/>
  <c r="W85" i="30" a="1"/>
  <c r="W186" i="25" a="1"/>
  <c r="W352" i="30" a="1"/>
  <c r="W244" i="26" a="1"/>
  <c r="W376" i="30" a="1"/>
  <c r="W199" i="26" a="1"/>
  <c r="W212" i="30" a="1"/>
  <c r="W152" i="24" a="1"/>
  <c r="W251" i="26" a="1"/>
  <c r="W183" i="30" a="1"/>
  <c r="W337" i="30" a="1"/>
  <c r="W346" i="26" a="1"/>
  <c r="W160" i="30" a="1"/>
  <c r="W216" i="28" a="1"/>
  <c r="W143" i="24" a="1"/>
  <c r="W142" i="24" a="1"/>
  <c r="W252" i="24" a="1"/>
  <c r="W247" i="27" a="1"/>
  <c r="W67" i="30" a="1"/>
  <c r="W264" i="26" a="1"/>
  <c r="W68" i="30" a="1"/>
  <c r="W361" i="27" a="1"/>
  <c r="W328" i="28" a="1"/>
  <c r="W286" i="24" a="1"/>
  <c r="W355" i="30" a="1"/>
  <c r="W222" i="28" a="1"/>
  <c r="W281" i="27" a="1"/>
  <c r="W168" i="26" a="1"/>
  <c r="W213" i="26" a="1"/>
  <c r="W281" i="25" a="1"/>
  <c r="W301" i="25" a="1"/>
  <c r="W149" i="24" a="1"/>
  <c r="W235" i="24" a="1"/>
  <c r="W332" i="30" a="1"/>
  <c r="W191" i="30" a="1"/>
  <c r="W273" i="28" a="1"/>
  <c r="W355" i="28" a="1"/>
  <c r="W255" i="27" a="1"/>
  <c r="W253" i="26" a="1"/>
  <c r="W328" i="26" a="1"/>
  <c r="W250" i="25" a="1"/>
  <c r="W157" i="25" a="1"/>
  <c r="W120" i="24" a="1"/>
  <c r="W236" i="24" a="1"/>
  <c r="W363" i="30" a="1"/>
  <c r="W222" i="30" a="1"/>
  <c r="W209" i="28" a="1"/>
  <c r="W334" i="27" a="1"/>
  <c r="W224" i="27" a="1"/>
  <c r="W266" i="26" a="1"/>
  <c r="W198" i="25" a="1"/>
  <c r="W297" i="25" a="1"/>
  <c r="W346" i="24" a="1"/>
  <c r="W213" i="24" a="1"/>
  <c r="W128" i="30" a="1"/>
  <c r="W322" i="30" a="1"/>
  <c r="W181" i="30" a="1"/>
  <c r="W384" i="28" a="1"/>
  <c r="W192" i="27" a="1"/>
  <c r="W330" i="26" a="1"/>
  <c r="W375" i="26" a="1"/>
  <c r="W119" i="25" a="1"/>
  <c r="W248" i="25" a="1"/>
  <c r="W311" i="24" a="1"/>
  <c r="W369" i="24" a="1"/>
  <c r="W159" i="30" a="1"/>
  <c r="W353" i="30" a="1"/>
  <c r="W369" i="28" a="1"/>
  <c r="W362" i="28" a="1"/>
  <c r="W253" i="27" a="1"/>
  <c r="W349" i="26" a="1"/>
  <c r="W299" i="26" a="1"/>
  <c r="W154" i="25" a="1"/>
  <c r="W148" i="24" a="1"/>
  <c r="W216" i="24" a="1"/>
  <c r="W332" i="24" a="1"/>
  <c r="W124" i="30" a="1"/>
  <c r="W318" i="30" a="1"/>
  <c r="W377" i="28" a="1"/>
  <c r="W245" i="27" a="1"/>
  <c r="W273" i="27" a="1"/>
  <c r="W177" i="26" a="1"/>
  <c r="W317" i="25" a="1"/>
  <c r="W129" i="25" a="1"/>
  <c r="W113" i="24" a="1"/>
  <c r="W199" i="24" a="1"/>
  <c r="W296" i="30" a="1"/>
  <c r="W155" i="30" a="1"/>
  <c r="W237" i="28" a="1"/>
  <c r="W319" i="28" a="1"/>
  <c r="W360" i="27" a="1"/>
  <c r="W217" i="26" a="1"/>
  <c r="W292" i="26" a="1"/>
  <c r="W286" i="25" a="1"/>
  <c r="W313" i="25" a="1"/>
  <c r="W84" i="24" a="1"/>
  <c r="W317" i="28" a="1"/>
  <c r="W185" i="27" a="1"/>
  <c r="W332" i="27" a="1"/>
  <c r="W374" i="26" a="1"/>
  <c r="W377" i="25" a="1"/>
  <c r="W189" i="25" a="1"/>
  <c r="W303" i="24" a="1"/>
  <c r="W139" i="24" a="1"/>
  <c r="W236" i="30" a="1"/>
  <c r="W95" i="30" a="1"/>
  <c r="W289" i="30" a="1"/>
  <c r="W259" i="28" a="1"/>
  <c r="W300" i="27" a="1"/>
  <c r="W359" i="26" a="1"/>
  <c r="W232" i="26" a="1"/>
  <c r="W346" i="25" a="1"/>
  <c r="W140" i="25" a="1"/>
  <c r="W345" i="24" a="1"/>
  <c r="W140" i="24" a="1"/>
  <c r="W267" i="30" a="1"/>
  <c r="W126" i="30" a="1"/>
  <c r="W364" i="28" a="1"/>
  <c r="W310" i="27" a="1"/>
  <c r="W200" i="27" a="1"/>
  <c r="W242" i="26" a="1"/>
  <c r="W222" i="25" a="1"/>
  <c r="W321" i="25" a="1"/>
  <c r="W322" i="24" a="1"/>
  <c r="W111" i="24" a="1"/>
  <c r="W104" i="30" a="1"/>
  <c r="W298" i="30" a="1"/>
  <c r="W157" i="30" a="1"/>
  <c r="W376" i="25" a="1"/>
  <c r="W305" i="30" a="1"/>
  <c r="W144" i="25" a="1"/>
  <c r="W329" i="30" a="1"/>
  <c r="W350" i="26" a="1"/>
  <c r="W165" i="30" a="1"/>
  <c r="W185" i="30" a="1"/>
  <c r="W316" i="26" a="1"/>
  <c r="W136" i="30" a="1"/>
  <c r="W277" i="24" a="1"/>
  <c r="W329" i="25" a="1"/>
  <c r="W113" i="30" a="1"/>
  <c r="W266" i="28" a="1"/>
  <c r="W180" i="24" a="1"/>
  <c r="W205" i="24" a="1"/>
  <c r="W291" i="24" a="1"/>
  <c r="W192" i="26" a="1"/>
  <c r="W215" i="25" a="1"/>
  <c r="W371" i="26" a="1"/>
  <c r="W356" i="30" a="1"/>
  <c r="W306" i="26" a="1"/>
  <c r="W236" i="28" a="1"/>
  <c r="W317" i="24" a="1"/>
  <c r="W370" i="28" a="1"/>
  <c r="W294" i="28" a="1"/>
  <c r="W353" i="27" a="1"/>
  <c r="W240" i="26" a="1"/>
  <c r="W285" i="26" a="1"/>
  <c r="W209" i="25" a="1"/>
  <c r="W338" i="25" a="1"/>
  <c r="W221" i="24" a="1"/>
  <c r="W307" i="24" a="1"/>
  <c r="W69" i="30" a="1"/>
  <c r="W263" i="30" a="1"/>
  <c r="W345" i="28" a="1"/>
  <c r="W296" i="28" a="1"/>
  <c r="W229" i="27" a="1"/>
  <c r="W325" i="26" a="1"/>
  <c r="W305" i="26" a="1"/>
  <c r="W178" i="25" a="1"/>
  <c r="W124" i="24" a="1"/>
  <c r="W192" i="24" a="1"/>
  <c r="W308" i="24" a="1"/>
  <c r="W100" i="30" a="1"/>
  <c r="W294" i="30" a="1"/>
  <c r="W281" i="28" a="1"/>
  <c r="W321" i="27" a="1"/>
  <c r="W296" i="27" a="1"/>
  <c r="W338" i="26" a="1"/>
  <c r="W126" i="25" a="1"/>
  <c r="W225" i="25" a="1"/>
  <c r="W231" i="24" a="1"/>
  <c r="W103" i="24" a="1"/>
  <c r="W200" i="30" a="1"/>
  <c r="W59" i="30" a="1"/>
  <c r="W253" i="30" a="1"/>
  <c r="W223" i="28" a="1"/>
  <c r="W264" i="27" a="1"/>
  <c r="W281" i="26" a="1"/>
  <c r="W196" i="26" a="1"/>
  <c r="W382" i="25" a="1"/>
  <c r="W176" i="25" a="1"/>
  <c r="W383" i="24" a="1"/>
  <c r="W104" i="24" a="1"/>
  <c r="W231" i="30" a="1"/>
  <c r="W90" i="30" a="1"/>
  <c r="W262" i="28" a="1"/>
  <c r="W208" i="27" a="1"/>
  <c r="W325" i="27" a="1"/>
  <c r="W203" i="26" a="1"/>
  <c r="W324" i="25" a="1"/>
  <c r="W241" i="25" a="1"/>
  <c r="W220" i="24" a="1"/>
  <c r="W288" i="24" a="1"/>
  <c r="W267" i="24" a="1"/>
  <c r="W196" i="30" a="1"/>
  <c r="W55" i="30" a="1"/>
  <c r="W258" i="28" a="1"/>
  <c r="W317" i="27" a="1"/>
  <c r="W204" i="26" a="1"/>
  <c r="W249" i="26" a="1"/>
  <c r="W245" i="25" a="1"/>
  <c r="W374" i="25" a="1"/>
  <c r="W185" i="24" a="1"/>
  <c r="W271" i="24" a="1"/>
  <c r="W368" i="30" a="1"/>
  <c r="W227" i="30" a="1"/>
  <c r="W309" i="28" a="1"/>
  <c r="W224" i="28" a="1"/>
  <c r="W193" i="27" a="1"/>
  <c r="W289" i="26" a="1"/>
  <c r="W364" i="26" a="1"/>
  <c r="W214" i="25" a="1"/>
  <c r="W88" i="24" a="1"/>
  <c r="W156" i="24" a="1"/>
  <c r="W230" i="28" a="1"/>
  <c r="W257" i="27" a="1"/>
  <c r="W381" i="27" a="1"/>
  <c r="W189" i="26" a="1"/>
  <c r="W305" i="25" a="1"/>
  <c r="W117" i="25" a="1"/>
  <c r="W125" i="24" a="1"/>
  <c r="W211" i="24" a="1"/>
  <c r="W308" i="30" a="1"/>
  <c r="W167" i="30" a="1"/>
  <c r="W249" i="28" a="1"/>
  <c r="W331" i="28" a="1"/>
  <c r="W372" i="27" a="1"/>
  <c r="W229" i="26" a="1"/>
  <c r="W304" i="26" a="1"/>
  <c r="W274" i="25" a="1"/>
  <c r="W247" i="25" a="1"/>
  <c r="W96" i="24" a="1"/>
  <c r="W212" i="24" a="1"/>
  <c r="W339" i="30" a="1"/>
  <c r="W198" i="30" a="1"/>
  <c r="W257" i="28" a="1"/>
  <c r="W382" i="27" a="1"/>
  <c r="W272" i="27" a="1"/>
  <c r="W314" i="26" a="1"/>
  <c r="W150" i="25" a="1"/>
  <c r="W249" i="25" a="1"/>
  <c r="W129" i="24" a="1"/>
  <c r="W79" i="24" a="1"/>
  <c r="W176" i="30" a="1"/>
  <c r="W370" i="30" a="1"/>
  <c r="W229" i="30" a="1"/>
  <c r="W285" i="25" a="1"/>
  <c r="W258" i="30" a="1"/>
  <c r="W334" i="25" a="1"/>
  <c r="W282" i="30" a="1"/>
  <c r="W274" i="26" a="1"/>
  <c r="W118" i="30" a="1"/>
  <c r="W256" i="24" a="1"/>
  <c r="W359" i="25" a="1"/>
  <c r="W89" i="30" a="1"/>
  <c r="W280" i="30" a="1"/>
  <c r="W232" i="25" a="1"/>
  <c r="W66" i="30" a="1"/>
  <c r="W275" i="27" a="1"/>
  <c r="W187" i="24" a="1"/>
  <c r="W128" i="24" a="1"/>
  <c r="W138" i="30" a="1"/>
  <c r="W343" i="26" a="1"/>
  <c r="W326" i="30" a="1"/>
  <c r="W309" i="26" a="1"/>
  <c r="W309" i="30" a="1"/>
  <c r="W176" i="26" a="1"/>
  <c r="W274" i="27" a="1"/>
  <c r="W354" i="24" a="1"/>
  <c r="W350" i="28" a="1"/>
  <c r="W366" i="28" a="1"/>
  <c r="W219" i="27" a="1"/>
  <c r="W312" i="26" a="1"/>
  <c r="W357" i="26" a="1"/>
  <c r="W137" i="25" a="1"/>
  <c r="W266" i="25" a="1"/>
  <c r="W293" i="24" a="1"/>
  <c r="W379" i="24" a="1"/>
  <c r="W141" i="30" a="1"/>
  <c r="W335" i="30" a="1"/>
  <c r="W238" i="28" a="1"/>
  <c r="W184" i="27" a="1"/>
  <c r="W301" i="27" a="1"/>
  <c r="W245" i="26" a="1"/>
  <c r="W348" i="25" a="1"/>
  <c r="W319" i="25" a="1"/>
  <c r="W196" i="24" a="1"/>
  <c r="W264" i="24" a="1"/>
  <c r="W380" i="24" a="1"/>
  <c r="W172" i="30" a="1"/>
  <c r="W366" i="30" a="1"/>
  <c r="W353" i="28" a="1"/>
  <c r="W221" i="27" a="1"/>
  <c r="W368" i="27" a="1"/>
  <c r="W383" i="26" a="1"/>
  <c r="W341" i="25" a="1"/>
  <c r="W153" i="25" a="1"/>
  <c r="W89" i="24" a="1"/>
  <c r="W175" i="24" a="1"/>
  <c r="W272" i="30" a="1"/>
  <c r="W131" i="30" a="1"/>
  <c r="W213" i="28" a="1"/>
  <c r="W295" i="28" a="1"/>
  <c r="W336" i="27" a="1"/>
  <c r="W193" i="26" a="1"/>
  <c r="W268" i="26" a="1"/>
  <c r="W310" i="25" a="1"/>
  <c r="W271" i="25" a="1"/>
  <c r="W375" i="24" a="1"/>
  <c r="W176" i="24" a="1"/>
  <c r="W303" i="30" a="1"/>
  <c r="W162" i="30" a="1"/>
  <c r="W334" i="28" a="1"/>
  <c r="W280" i="27" a="1"/>
  <c r="W195" i="27" a="1"/>
  <c r="W212" i="26" a="1"/>
  <c r="W252" i="25" a="1"/>
  <c r="W351" i="25" a="1"/>
  <c r="W292" i="24" a="1"/>
  <c r="W360" i="24" a="1"/>
  <c r="W74" i="30" a="1"/>
  <c r="W268" i="30" a="1"/>
  <c r="W127" i="30" a="1"/>
  <c r="W330" i="28" a="1"/>
  <c r="W243" i="27" a="1"/>
  <c r="W276" i="26" a="1"/>
  <c r="W321" i="26" a="1"/>
  <c r="W173" i="25" a="1"/>
  <c r="W302" i="25" a="1"/>
  <c r="W257" i="24" a="1"/>
  <c r="W343" i="24" a="1"/>
  <c r="W105" i="30" a="1"/>
  <c r="W299" i="30" a="1"/>
  <c r="W381" i="28" a="1"/>
  <c r="W212" i="28" a="1"/>
  <c r="W265" i="27" a="1"/>
  <c r="W361" i="26" a="1"/>
  <c r="W384" i="25" a="1"/>
  <c r="W142" i="25" a="1"/>
  <c r="W160" i="24" a="1"/>
  <c r="W228" i="24" a="1"/>
  <c r="W270" i="28" a="1"/>
  <c r="W329" i="27" a="1"/>
  <c r="W216" i="26" a="1"/>
  <c r="W261" i="26" a="1"/>
  <c r="W233" i="25" a="1"/>
  <c r="W362" i="25" a="1"/>
  <c r="W197" i="24" a="1"/>
  <c r="W283" i="24" a="1"/>
  <c r="W380" i="30" a="1"/>
  <c r="W239" i="30" a="1"/>
  <c r="W321" i="28" a="1"/>
  <c r="W248" i="28" a="1"/>
  <c r="W205" i="27" a="1"/>
  <c r="W301" i="26" a="1"/>
  <c r="W376" i="26" a="1"/>
  <c r="W202" i="25" a="1"/>
  <c r="W100" i="24" a="1"/>
  <c r="W168" i="24" a="1"/>
  <c r="W284" i="24" a="1"/>
  <c r="W76" i="30" a="1"/>
  <c r="W270" i="30" a="1"/>
  <c r="W329" i="28" a="1"/>
  <c r="W197" i="27" a="1"/>
  <c r="W344" i="27" a="1"/>
  <c r="W197" i="26" a="1"/>
  <c r="W365" i="25" a="1"/>
  <c r="W177" i="25" a="1"/>
  <c r="W65" i="24" a="1"/>
  <c r="W151" i="24" a="1"/>
  <c r="W248" i="30" a="1"/>
  <c r="W107" i="30" a="1"/>
  <c r="W301" i="30" a="1"/>
  <c r="W170" i="25" a="1"/>
  <c r="W211" i="30" a="1"/>
  <c r="W243" i="25" a="1"/>
  <c r="W235" i="30" a="1"/>
  <c r="W114" i="25" a="1"/>
  <c r="W71" i="30" a="1"/>
  <c r="W327" i="30" a="1"/>
  <c r="W262" i="25" a="1"/>
  <c r="W377" i="30" a="1"/>
  <c r="W93" i="30" a="1"/>
  <c r="W141" i="25" a="1"/>
  <c r="W354" i="30" a="1"/>
  <c r="W217" i="27" a="1"/>
  <c r="W110" i="24" a="1"/>
  <c r="W302" i="30" a="1"/>
  <c r="W272" i="25" a="1"/>
  <c r="W237" i="26" a="1"/>
  <c r="W200" i="24" a="1"/>
  <c r="W330" i="25" a="1"/>
  <c r="W262" i="30" a="1"/>
  <c r="W368" i="28" a="1"/>
  <c r="W246" i="27" a="1"/>
  <c r="W384" i="26" a="1"/>
  <c r="W178" i="26" a="1"/>
  <c r="W169" i="25" a="1"/>
  <c r="W194" i="25" a="1"/>
  <c r="W365" i="24" a="1"/>
  <c r="W86" i="24" a="1"/>
  <c r="W213" i="30" a="1"/>
  <c r="W72" i="30" a="1"/>
  <c r="W310" i="28" a="1"/>
  <c r="W256" i="27" a="1"/>
  <c r="W373" i="27" a="1"/>
  <c r="W188" i="26" a="1"/>
  <c r="W276" i="25" a="1"/>
  <c r="W375" i="25" a="1"/>
  <c r="W268" i="24" a="1"/>
  <c r="W336" i="24" a="1"/>
  <c r="W50" i="30" a="1"/>
  <c r="W244" i="30" a="1"/>
  <c r="W103" i="30" a="1"/>
  <c r="W234" i="28" a="1"/>
  <c r="W293" i="27" a="1"/>
  <c r="W180" i="26" a="1"/>
  <c r="W225" i="26" a="1"/>
  <c r="W269" i="25" a="1"/>
  <c r="W235" i="25" a="1"/>
  <c r="W161" i="24" a="1"/>
  <c r="W247" i="24" a="1"/>
  <c r="W344" i="30" a="1"/>
  <c r="W203" i="30" a="1"/>
  <c r="W285" i="28" a="1"/>
  <c r="W367" i="28" a="1"/>
  <c r="W309" i="27" a="1"/>
  <c r="W265" i="26" a="1"/>
  <c r="W340" i="26" a="1"/>
  <c r="W238" i="25" a="1"/>
  <c r="W64" i="24" a="1"/>
  <c r="W132" i="24" a="1"/>
  <c r="W248" i="24" a="1"/>
  <c r="W375" i="30" a="1"/>
  <c r="W234" i="30" a="1"/>
  <c r="W227" i="28" a="1"/>
  <c r="W352" i="27" a="1"/>
  <c r="W242" i="27" a="1"/>
  <c r="W284" i="26" a="1"/>
  <c r="W180" i="25" a="1"/>
  <c r="W279" i="25" a="1"/>
  <c r="W364" i="24" a="1"/>
  <c r="W333" i="24" a="1"/>
  <c r="W146" i="30" a="1"/>
  <c r="W340" i="30" a="1"/>
  <c r="W199" i="30" a="1"/>
  <c r="W254" i="28" a="1"/>
  <c r="W210" i="27" a="1"/>
  <c r="W348" i="26" a="1"/>
  <c r="W179" i="26" a="1"/>
  <c r="W355" i="25" a="1"/>
  <c r="W230" i="25" a="1"/>
  <c r="W329" i="24" a="1"/>
  <c r="W255" i="24" a="1"/>
  <c r="W177" i="30" a="1"/>
  <c r="W371" i="30" a="1"/>
  <c r="W274" i="28" a="1"/>
  <c r="W220" i="27" a="1"/>
  <c r="W337" i="27" a="1"/>
  <c r="W287" i="26" a="1"/>
  <c r="W312" i="25" a="1"/>
  <c r="W163" i="25" a="1"/>
  <c r="W232" i="24" a="1"/>
  <c r="W300" i="24" a="1"/>
  <c r="W342" i="28" a="1"/>
  <c r="W267" i="27" a="1"/>
  <c r="W288" i="26" a="1"/>
  <c r="W333" i="26" a="1"/>
  <c r="W161" i="25" a="1"/>
  <c r="W290" i="25" a="1"/>
  <c r="W269" i="24" a="1"/>
  <c r="W355" i="24" a="1"/>
  <c r="W117" i="30" a="1"/>
  <c r="W311" i="30" a="1"/>
  <c r="W214" i="28" a="1"/>
  <c r="W302" i="28" a="1"/>
  <c r="W277" i="27" a="1"/>
  <c r="W373" i="26" a="1"/>
  <c r="W372" i="25" a="1"/>
  <c r="W130" i="25" a="1"/>
  <c r="W172" i="24" a="1"/>
  <c r="W240" i="24" a="1"/>
  <c r="W356" i="24" a="1"/>
  <c r="W148" i="30" a="1"/>
  <c r="W342" i="30" a="1"/>
  <c r="W210" i="28" a="1"/>
  <c r="W269" i="27" a="1"/>
  <c r="W327" i="27" a="1"/>
  <c r="W201" i="26" a="1"/>
  <c r="W293" i="25" a="1"/>
  <c r="W175" i="25" a="1"/>
  <c r="W137" i="24" a="1"/>
  <c r="W223" i="24" a="1"/>
  <c r="W320" i="30" a="1"/>
  <c r="W179" i="30" a="1"/>
  <c r="W221" i="28" a="1"/>
  <c r="W358" i="24" a="1"/>
  <c r="W367" i="30" a="1"/>
  <c r="W128" i="25" a="1"/>
  <c r="W373" i="30" a="1"/>
  <c r="W304" i="25" a="1"/>
  <c r="W359" i="30" a="1"/>
  <c r="W135" i="24" a="1"/>
  <c r="W171" i="25" a="1"/>
  <c r="W330" i="30" a="1"/>
  <c r="W291" i="28" a="1"/>
  <c r="W70" i="24" a="1"/>
  <c r="W307" i="30" a="1"/>
  <c r="W162" i="26" a="1"/>
  <c r="W219" i="24" a="1"/>
  <c r="W255" i="30" a="1"/>
  <c r="W374" i="30" a="1"/>
  <c r="W239" i="26" a="1"/>
  <c r="W139" i="30" a="1"/>
  <c r="W185" i="25" a="1"/>
  <c r="W215" i="30" a="1"/>
  <c r="W288" i="25" a="1"/>
  <c r="W207" i="27" a="1"/>
  <c r="W224" i="24" a="1"/>
  <c r="W240" i="27" a="1"/>
  <c r="W277" i="28" a="1"/>
  <c r="W318" i="27" a="1"/>
  <c r="W175" i="26" a="1"/>
  <c r="W250" i="26" a="1"/>
  <c r="W328" i="25" a="1"/>
  <c r="W122" i="25" a="1"/>
  <c r="W225" i="24" a="1"/>
  <c r="W158" i="24" a="1"/>
  <c r="W285" i="30" a="1"/>
  <c r="W144" i="30" a="1"/>
  <c r="W382" i="28" a="1"/>
  <c r="W328" i="27" a="1"/>
  <c r="W218" i="27" a="1"/>
  <c r="W260" i="26" a="1"/>
  <c r="W204" i="25" a="1"/>
  <c r="W303" i="25" a="1"/>
  <c r="W340" i="24" a="1"/>
  <c r="W177" i="24" a="1"/>
  <c r="W122" i="30" a="1"/>
  <c r="W316" i="30" a="1"/>
  <c r="W175" i="30" a="1"/>
  <c r="W306" i="28" a="1"/>
  <c r="W365" i="27" a="1"/>
  <c r="W252" i="26" a="1"/>
  <c r="W297" i="26" a="1"/>
  <c r="W197" i="25" a="1"/>
  <c r="W326" i="25" a="1"/>
  <c r="W233" i="24" a="1"/>
  <c r="W319" i="24" a="1"/>
  <c r="W81" i="30" a="1"/>
  <c r="W275" i="30" a="1"/>
  <c r="W357" i="28" a="1"/>
  <c r="W326" i="28" a="1"/>
  <c r="W241" i="27" a="1"/>
  <c r="W337" i="26" a="1"/>
  <c r="W167" i="26" a="1"/>
  <c r="W166" i="25" a="1"/>
  <c r="W136" i="24" a="1"/>
  <c r="W204" i="24" a="1"/>
  <c r="W320" i="24" a="1"/>
  <c r="W112" i="30" a="1"/>
  <c r="W306" i="30" a="1"/>
  <c r="W299" i="28" a="1"/>
  <c r="W285" i="27" a="1"/>
  <c r="W314" i="27" a="1"/>
  <c r="W356" i="26" a="1"/>
  <c r="W331" i="25" a="1"/>
  <c r="W207" i="25" a="1"/>
  <c r="W117" i="24" a="1"/>
  <c r="W121" i="24" a="1"/>
  <c r="W218" i="30" a="1"/>
  <c r="W77" i="30" a="1"/>
  <c r="W271" i="30" a="1"/>
  <c r="W241" i="28" a="1"/>
  <c r="W282" i="27" a="1"/>
  <c r="W215" i="26" a="1"/>
  <c r="W214" i="26" a="1"/>
  <c r="W364" i="25" a="1"/>
  <c r="W158" i="25" a="1"/>
  <c r="W207" i="24" a="1"/>
  <c r="W122" i="24" a="1"/>
  <c r="W249" i="30" a="1"/>
  <c r="W108" i="30" a="1"/>
  <c r="W346" i="28" a="1"/>
  <c r="W292" i="27" a="1"/>
  <c r="W351" i="27" a="1"/>
  <c r="W224" i="26" a="1"/>
  <c r="W240" i="25" a="1"/>
  <c r="W339" i="25" a="1"/>
  <c r="W304" i="24" a="1"/>
  <c r="W372" i="24" a="1"/>
  <c r="W290" i="28" a="1"/>
  <c r="W222" i="27" a="1"/>
  <c r="W360" i="26" a="1"/>
  <c r="W317" i="26" a="1"/>
  <c r="W289" i="25" a="1"/>
  <c r="W218" i="25" a="1"/>
  <c r="W341" i="24" a="1"/>
  <c r="W363" i="24" a="1"/>
  <c r="W189" i="30" a="1"/>
  <c r="W383" i="30" a="1"/>
  <c r="W286" i="28" a="1"/>
  <c r="W232" i="27" a="1"/>
  <c r="W349" i="27" a="1"/>
  <c r="W164" i="26" a="1"/>
  <c r="W300" i="25" a="1"/>
  <c r="W343" i="25" a="1"/>
  <c r="W244" i="24" a="1"/>
  <c r="W312" i="24" a="1"/>
  <c r="W183" i="24" a="1"/>
  <c r="W220" i="30" a="1"/>
  <c r="W79" i="30" a="1"/>
  <c r="W282" i="28" a="1"/>
  <c r="W341" i="27" a="1"/>
  <c r="W228" i="26" a="1"/>
  <c r="W273" i="26" a="1"/>
  <c r="W221" i="25" a="1"/>
  <c r="W350" i="25" a="1"/>
  <c r="W209" i="24" a="1"/>
  <c r="W295" i="24" a="1"/>
  <c r="W57" i="30" a="1"/>
  <c r="W251" i="30" a="1"/>
  <c r="W229" i="28" a="1"/>
  <c r="W105" i="24" a="1"/>
  <c r="W263" i="28" a="1"/>
  <c r="W141" i="24" a="1"/>
  <c r="W287" i="30" a="1"/>
  <c r="W213" i="25" a="1"/>
  <c r="W312" i="30" a="1"/>
  <c r="W261" i="28" a="1"/>
  <c r="W205" i="25" a="1"/>
  <c r="W283" i="30" a="1"/>
  <c r="W365" i="28" a="1"/>
  <c r="W101" i="24" a="1"/>
  <c r="W161" i="26" a="1"/>
  <c r="W313" i="26" a="1"/>
  <c r="W284" i="30" a="1"/>
  <c r="W161" i="30" a="1"/>
  <c r="W349" i="30" a="1"/>
  <c r="W257" i="25" a="1"/>
  <c r="W381" i="30" a="1"/>
  <c r="W259" i="25" a="1"/>
  <c r="W168" i="30" a="1"/>
  <c r="W143" i="25" a="1"/>
  <c r="W336" i="26" a="1"/>
  <c r="W110" i="30" a="1"/>
  <c r="W267" i="28" a="1"/>
  <c r="W349" i="28" a="1"/>
  <c r="W225" i="27" a="1"/>
  <c r="W247" i="26" a="1"/>
  <c r="W322" i="26" a="1"/>
  <c r="W256" i="25" a="1"/>
  <c r="W181" i="25" a="1"/>
  <c r="W114" i="24" a="1"/>
  <c r="W230" i="24" a="1"/>
  <c r="W357" i="30" a="1"/>
  <c r="W216" i="30" a="1"/>
  <c r="W275" i="28" a="1"/>
  <c r="W291" i="27" a="1"/>
  <c r="W290" i="27" a="1"/>
  <c r="W332" i="26" a="1"/>
  <c r="W132" i="25" a="1"/>
  <c r="W231" i="25" a="1"/>
  <c r="W201" i="24" a="1"/>
  <c r="W97" i="24" a="1"/>
  <c r="W194" i="30" a="1"/>
  <c r="W53" i="30" a="1"/>
  <c r="W247" i="30" a="1"/>
  <c r="W378" i="28" a="1"/>
  <c r="W186" i="27" a="1"/>
  <c r="W324" i="26" a="1"/>
  <c r="W369" i="26" a="1"/>
  <c r="W125" i="25" a="1"/>
  <c r="W254" i="25" a="1"/>
  <c r="W305" i="24" a="1"/>
  <c r="W87" i="24" a="1"/>
  <c r="W153" i="30" a="1"/>
  <c r="W347" i="30" a="1"/>
  <c r="W250" i="28" a="1"/>
  <c r="W196" i="27" a="1"/>
  <c r="W313" i="27" a="1"/>
  <c r="W323" i="26" a="1"/>
  <c r="W336" i="25" a="1"/>
  <c r="W277" i="25" a="1"/>
  <c r="W208" i="24" a="1"/>
  <c r="W276" i="24" a="1"/>
  <c r="W159" i="24" a="1"/>
  <c r="W184" i="30" a="1"/>
  <c r="W378" i="30" a="1"/>
  <c r="W371" i="28" a="1"/>
  <c r="W239" i="27" a="1"/>
  <c r="W201" i="27" a="1"/>
  <c r="W171" i="26" a="1"/>
  <c r="W323" i="25" a="1"/>
  <c r="W135" i="25" a="1"/>
  <c r="W107" i="24" a="1"/>
  <c r="W193" i="24" a="1"/>
  <c r="W290" i="30" a="1"/>
  <c r="W149" i="30" a="1"/>
  <c r="W231" i="28" a="1"/>
  <c r="W313" i="28" a="1"/>
  <c r="W354" i="27" a="1"/>
  <c r="W211" i="26" a="1"/>
  <c r="W286" i="26" a="1"/>
  <c r="W292" i="25" a="1"/>
  <c r="W379" i="25" a="1"/>
  <c r="W78" i="24" a="1"/>
  <c r="W194" i="24" a="1"/>
  <c r="W321" i="30" a="1"/>
  <c r="W180" i="30" a="1"/>
  <c r="W239" i="28" a="1"/>
  <c r="W364" i="27" a="1"/>
  <c r="W254" i="27" a="1"/>
  <c r="W296" i="26" a="1"/>
  <c r="W168" i="25" a="1"/>
  <c r="W267" i="25" a="1"/>
  <c r="W376" i="24" a="1"/>
  <c r="W381" i="24" a="1"/>
  <c r="W253" i="28" a="1"/>
  <c r="W294" i="27" a="1"/>
  <c r="W311" i="26" a="1"/>
  <c r="W226" i="26" a="1"/>
  <c r="W352" i="25" a="1"/>
  <c r="W146" i="25" a="1"/>
  <c r="W297" i="24" a="1"/>
  <c r="W134" i="24" a="1"/>
  <c r="W261" i="30" a="1"/>
  <c r="W120" i="30" a="1"/>
  <c r="W358" i="28" a="1"/>
  <c r="W304" i="27" a="1"/>
  <c r="W194" i="27" a="1"/>
  <c r="W236" i="26" a="1"/>
  <c r="W228" i="25" a="1"/>
  <c r="W327" i="25" a="1"/>
  <c r="W316" i="24" a="1"/>
  <c r="W384" i="24" a="1"/>
  <c r="W98" i="30" a="1"/>
  <c r="W292" i="30" a="1"/>
  <c r="W151" i="30" a="1"/>
  <c r="W354" i="28" a="1"/>
  <c r="W333" i="27" a="1"/>
  <c r="W300" i="26" a="1"/>
  <c r="W345" i="26" a="1"/>
  <c r="W149" i="25" a="1"/>
  <c r="W278" i="25" a="1"/>
  <c r="W281" i="24" a="1"/>
  <c r="W367" i="24" a="1"/>
  <c r="W129" i="30" a="1"/>
  <c r="W323" i="30" a="1"/>
  <c r="W346" i="27" a="1"/>
  <c r="W285" i="24" a="1"/>
  <c r="W271" i="28" a="1"/>
  <c r="W171" i="24" a="1"/>
  <c r="W296" i="24" a="1"/>
  <c r="W193" i="25" a="1"/>
  <c r="W265" i="30" a="1"/>
  <c r="W335" i="28" a="1"/>
  <c r="W71" i="24" a="1"/>
  <c r="W49" i="30" a="1"/>
  <c r="W373" i="28" a="1"/>
  <c r="W138" i="24" a="1"/>
  <c r="W215" i="24" a="1"/>
  <c r="W207" i="26" a="1"/>
  <c r="W237" i="30" a="1"/>
  <c r="W114" i="30" a="1"/>
  <c r="W140" i="30" a="1"/>
  <c r="W160" i="25" a="1"/>
  <c r="W91" i="30" a="1"/>
  <c r="W314" i="25" a="1"/>
  <c r="W121" i="30" a="1"/>
  <c r="W121" i="25" a="1"/>
  <c r="W206" i="26" a="1"/>
  <c r="W63" i="30" a="1"/>
  <c r="W322" i="27" a="1"/>
  <c r="W318" i="26" a="1"/>
  <c r="W353" i="26" a="1"/>
  <c r="W147" i="25" a="1"/>
  <c r="W153" i="24" a="1"/>
  <c r="W80" i="30" a="1"/>
  <c r="W343" i="27" a="1"/>
  <c r="W267" i="26" a="1"/>
  <c r="W196" i="25" a="1"/>
  <c r="W360" i="25" a="1"/>
  <c r="W377" i="27" a="1"/>
  <c r="W248" i="26" a="1"/>
  <c r="W344" i="24" a="1"/>
  <c r="W203" i="24" a="1"/>
  <c r="W276" i="30" a="1"/>
  <c r="W327" i="26" a="1"/>
  <c r="W357" i="25" a="1"/>
  <c r="W169" i="26" a="1"/>
  <c r="W211" i="27" a="1"/>
  <c r="W191" i="26" a="1"/>
  <c r="W226" i="27" a="1"/>
  <c r="W212" i="27" a="1"/>
  <c r="W363" i="26" a="1"/>
  <c r="W172" i="25" a="1"/>
  <c r="W95" i="24" a="1"/>
  <c r="W116" i="24" a="1"/>
  <c r="W274" i="30" a="1"/>
  <c r="W341" i="26" a="1"/>
  <c r="W227" i="25" a="1"/>
  <c r="W106" i="24" a="1"/>
  <c r="W350" i="27" a="1"/>
  <c r="W259" i="24" a="1"/>
  <c r="W172" i="26" a="1"/>
  <c r="W216" i="25" a="1"/>
  <c r="W290" i="24" a="1"/>
  <c r="W199" i="25" a="1"/>
  <c r="W254" i="30" a="1"/>
  <c r="W245" i="30" a="1"/>
  <c r="W328" i="24" a="1"/>
  <c r="W260" i="28" a="1"/>
  <c r="W135" i="30" a="1"/>
  <c r="W280" i="28" a="1"/>
  <c r="W366" i="24" a="1"/>
  <c r="W254" i="26" a="1"/>
  <c r="W131" i="25" a="1"/>
  <c r="W130" i="24" a="1"/>
  <c r="W181" i="24" a="1"/>
  <c r="W243" i="30" a="1"/>
  <c r="W133" i="30" a="1"/>
  <c r="W306" i="25" a="1"/>
  <c r="W356" i="25" a="1"/>
  <c r="W174" i="24" a="1"/>
  <c r="W244" i="27" a="1"/>
  <c r="W351" i="26" a="1"/>
  <c r="W51" i="30" a="1"/>
  <c r="W198" i="27" a="1"/>
  <c r="W278" i="26" a="1"/>
  <c r="W111" i="30" a="1"/>
  <c r="W210" i="30" a="1"/>
  <c r="W345" i="25" a="1"/>
  <c r="W335" i="27" a="1"/>
  <c r="W206" i="27" a="1"/>
  <c r="W81" i="24" a="1"/>
  <c r="W210" i="25" a="1"/>
  <c r="W260" i="25" a="1"/>
  <c r="W198" i="24" a="1"/>
  <c r="W278" i="30" a="1"/>
  <c r="W102" i="30" a="1"/>
  <c r="W336" i="28" a="1"/>
  <c r="W115" i="25" a="1"/>
  <c r="W229" i="24" a="1"/>
  <c r="W69" i="24" a="1"/>
  <c r="W301" i="24" a="1"/>
  <c r="W374" i="27" a="1"/>
  <c r="W240" i="30" a="1"/>
  <c r="W342" i="27" a="1"/>
  <c r="W335" i="25" a="1"/>
  <c r="W378" i="26" a="1"/>
  <c r="W309" i="25" a="1"/>
  <c r="W299" i="24" a="1"/>
  <c r="W314" i="24" a="1"/>
  <c r="W137" i="30" a="1"/>
  <c r="W340" i="28" a="1"/>
  <c r="W249" i="27" a="1"/>
  <c r="W238" i="24" a="1"/>
  <c r="W289" i="24" a="1"/>
  <c r="W82" i="30" a="1"/>
  <c r="W271" i="26" a="1"/>
  <c r="W331" i="24" a="1"/>
  <c r="W315" i="25" a="1"/>
  <c r="W282" i="26" a="1"/>
  <c r="W200" i="25" a="1"/>
  <c r="W334" i="30" a="1"/>
  <c r="W367" i="25" a="1"/>
  <c r="W254" i="24" a="1"/>
  <c r="W263" i="24" a="1"/>
  <c r="W298" i="24" a="1"/>
  <c r="W331" i="26" a="1"/>
  <c r="W334" i="24" a="1"/>
  <c r="W63" i="24" a="1"/>
  <c r="W106" i="30" a="1"/>
  <c r="W219" i="28" a="1"/>
  <c r="W286" i="27" a="1"/>
  <c r="W306" i="24" a="1"/>
  <c r="W73" i="30" a="1"/>
  <c r="W372" i="28" a="1"/>
  <c r="W357" i="24" a="1"/>
  <c r="W147" i="24" a="1"/>
  <c r="W147" i="30" a="1"/>
  <c r="W300" i="30" a="1"/>
  <c r="W235" i="28" a="1"/>
  <c r="W297" i="27" a="1"/>
  <c r="W316" i="27" a="1"/>
  <c r="W370" i="25" a="1"/>
  <c r="W222" i="26" a="1"/>
  <c r="W116" i="30" a="1"/>
  <c r="W341" i="30" a="1"/>
  <c r="W359" i="28" a="1"/>
  <c r="W276" i="27" a="1"/>
  <c r="W218" i="26" a="1"/>
  <c r="W167" i="25" a="1"/>
  <c r="W214" i="30" a="1"/>
  <c r="W327" i="28" a="1"/>
  <c r="W359" i="24" a="1"/>
  <c r="W208" i="26" a="1"/>
  <c r="W307" i="26" a="1"/>
  <c r="W164" i="25" a="1"/>
  <c r="W310" i="30" a="1"/>
  <c r="W351" i="28" a="1"/>
  <c r="W227" i="27" a="1"/>
  <c r="W377" i="26" a="1"/>
  <c r="W246" i="25" a="1"/>
  <c r="W296" i="25" a="1"/>
  <c r="W384" i="30" a="1"/>
  <c r="W279" i="26" a="1"/>
  <c r="W235" i="27" a="1"/>
  <c r="W382" i="26" a="1"/>
  <c r="W169" i="30" a="1"/>
  <c r="W314" i="28" a="1"/>
  <c r="W276" i="28" a="1"/>
  <c r="W344" i="28" a="1"/>
  <c r="W315" i="27" a="1"/>
  <c r="W315" i="27" l="1"/>
  <c r="W344" i="28"/>
  <c r="W276" i="28"/>
  <c r="W314" i="28"/>
  <c r="W169" i="30"/>
  <c r="W382" i="26"/>
  <c r="W235" i="27"/>
  <c r="W279" i="26"/>
  <c r="W384" i="30"/>
  <c r="W296" i="25"/>
  <c r="W246" i="25"/>
  <c r="W377" i="26"/>
  <c r="W227" i="27"/>
  <c r="W351" i="28"/>
  <c r="W310" i="30"/>
  <c r="W164" i="25"/>
  <c r="W307" i="26"/>
  <c r="W208" i="26"/>
  <c r="W359" i="24"/>
  <c r="W327" i="28"/>
  <c r="W214" i="30"/>
  <c r="W167" i="25"/>
  <c r="W218" i="26"/>
  <c r="W276" i="27"/>
  <c r="W359" i="28"/>
  <c r="W341" i="30"/>
  <c r="W116" i="30"/>
  <c r="W222" i="26"/>
  <c r="W370" i="25"/>
  <c r="W316" i="27"/>
  <c r="W297" i="27"/>
  <c r="W235" i="28"/>
  <c r="W300" i="30"/>
  <c r="W147" i="30"/>
  <c r="W147" i="24"/>
  <c r="W357" i="24"/>
  <c r="W372" i="28"/>
  <c r="W73" i="30"/>
  <c r="W306" i="24"/>
  <c r="W286" i="27"/>
  <c r="W219" i="28"/>
  <c r="W106" i="30"/>
  <c r="W63" i="24"/>
  <c r="W334" i="24"/>
  <c r="W331" i="26"/>
  <c r="W298" i="24"/>
  <c r="W263" i="24"/>
  <c r="W254" i="24"/>
  <c r="W367" i="25"/>
  <c r="W334" i="30"/>
  <c r="W200" i="25"/>
  <c r="W282" i="26"/>
  <c r="W315" i="25"/>
  <c r="W331" i="24"/>
  <c r="W271" i="26"/>
  <c r="W82" i="30"/>
  <c r="W289" i="24"/>
  <c r="W238" i="24"/>
  <c r="W249" i="27"/>
  <c r="W340" i="28"/>
  <c r="W137" i="30"/>
  <c r="W314" i="24"/>
  <c r="W299" i="24"/>
  <c r="W309" i="25"/>
  <c r="W378" i="26"/>
  <c r="W335" i="25"/>
  <c r="W342" i="27"/>
  <c r="W240" i="30"/>
  <c r="W374" i="27"/>
  <c r="W301" i="24"/>
  <c r="W69" i="24"/>
  <c r="W229" i="24"/>
  <c r="W115" i="25"/>
  <c r="W336" i="28"/>
  <c r="W102" i="30"/>
  <c r="W278" i="30"/>
  <c r="W198" i="24"/>
  <c r="W260" i="25"/>
  <c r="W210" i="25"/>
  <c r="W81" i="24"/>
  <c r="W206" i="27"/>
  <c r="W335" i="27"/>
  <c r="W345" i="25"/>
  <c r="W210" i="30"/>
  <c r="W111" i="30"/>
  <c r="W278" i="26"/>
  <c r="W198" i="27"/>
  <c r="W51" i="30"/>
  <c r="W351" i="26"/>
  <c r="W244" i="27"/>
  <c r="W174" i="24"/>
  <c r="W356" i="25"/>
  <c r="W306" i="25"/>
  <c r="W133" i="30"/>
  <c r="W243" i="30"/>
  <c r="W181" i="24"/>
  <c r="W130" i="24"/>
  <c r="W131" i="25"/>
  <c r="W254" i="26"/>
  <c r="W366" i="24"/>
  <c r="W280" i="28"/>
  <c r="W135" i="30"/>
  <c r="W260" i="28"/>
  <c r="W328" i="24"/>
  <c r="W245" i="30"/>
  <c r="W254" i="30"/>
  <c r="W199" i="25"/>
  <c r="W290" i="24"/>
  <c r="W216" i="25"/>
  <c r="W172" i="26"/>
  <c r="W259" i="24"/>
  <c r="W350" i="27"/>
  <c r="W106" i="24"/>
  <c r="W227" i="25"/>
  <c r="W341" i="26"/>
  <c r="W274" i="30"/>
  <c r="W116" i="24"/>
  <c r="W95" i="24"/>
  <c r="W172" i="25"/>
  <c r="W363" i="26"/>
  <c r="W212" i="27"/>
  <c r="W226" i="27"/>
  <c r="W191" i="26"/>
  <c r="W211" i="27"/>
  <c r="W169" i="26"/>
  <c r="W357" i="25"/>
  <c r="W327" i="26"/>
  <c r="W276" i="30"/>
  <c r="W203" i="24"/>
  <c r="W344" i="24"/>
  <c r="W248" i="26"/>
  <c r="W377" i="27"/>
  <c r="W360" i="25"/>
  <c r="W196" i="25"/>
  <c r="W267" i="26"/>
  <c r="W343" i="27"/>
  <c r="W80" i="30"/>
  <c r="W153" i="24"/>
  <c r="W147" i="25"/>
  <c r="W353" i="26"/>
  <c r="W318" i="26"/>
  <c r="W322" i="27"/>
  <c r="W63" i="30"/>
  <c r="W206" i="26"/>
  <c r="W121" i="25"/>
  <c r="W121" i="30"/>
  <c r="W314" i="25"/>
  <c r="W91" i="30"/>
  <c r="W160" i="25"/>
  <c r="W140" i="30"/>
  <c r="W114" i="30"/>
  <c r="W237" i="30"/>
  <c r="W207" i="26"/>
  <c r="W215" i="24"/>
  <c r="W138" i="24"/>
  <c r="W373" i="28"/>
  <c r="W49" i="30"/>
  <c r="W71" i="24"/>
  <c r="W335" i="28"/>
  <c r="W265" i="30"/>
  <c r="W193" i="25"/>
  <c r="W296" i="24"/>
  <c r="W171" i="24"/>
  <c r="W271" i="28"/>
  <c r="W285" i="24"/>
  <c r="W346" i="27"/>
  <c r="W323" i="30"/>
  <c r="W129" i="30"/>
  <c r="W367" i="24"/>
  <c r="W281" i="24"/>
  <c r="W278" i="25"/>
  <c r="W149" i="25"/>
  <c r="W345" i="26"/>
  <c r="W300" i="26"/>
  <c r="W333" i="27"/>
  <c r="W354" i="28"/>
  <c r="W151" i="30"/>
  <c r="W292" i="30"/>
  <c r="W98" i="30"/>
  <c r="W384" i="24"/>
  <c r="W316" i="24"/>
  <c r="W327" i="25"/>
  <c r="W228" i="25"/>
  <c r="W236" i="26"/>
  <c r="W194" i="27"/>
  <c r="W304" i="27"/>
  <c r="W358" i="28"/>
  <c r="W120" i="30"/>
  <c r="W261" i="30"/>
  <c r="W134" i="24"/>
  <c r="W297" i="24"/>
  <c r="W146" i="25"/>
  <c r="W352" i="25"/>
  <c r="W226" i="26"/>
  <c r="W311" i="26"/>
  <c r="W294" i="27"/>
  <c r="W253" i="28"/>
  <c r="W381" i="24"/>
  <c r="W376" i="24"/>
  <c r="W267" i="25"/>
  <c r="W168" i="25"/>
  <c r="W296" i="26"/>
  <c r="W254" i="27"/>
  <c r="W364" i="27"/>
  <c r="W239" i="28"/>
  <c r="W180" i="30"/>
  <c r="W321" i="30"/>
  <c r="W194" i="24"/>
  <c r="W78" i="24"/>
  <c r="W379" i="25"/>
  <c r="W292" i="25"/>
  <c r="W286" i="26"/>
  <c r="W211" i="26"/>
  <c r="W354" i="27"/>
  <c r="W313" i="28"/>
  <c r="W231" i="28"/>
  <c r="W149" i="30"/>
  <c r="W290" i="30"/>
  <c r="W193" i="24"/>
  <c r="W107" i="24"/>
  <c r="W135" i="25"/>
  <c r="W323" i="25"/>
  <c r="W171" i="26"/>
  <c r="W201" i="27"/>
  <c r="W239" i="27"/>
  <c r="W371" i="28"/>
  <c r="W378" i="30"/>
  <c r="W184" i="30"/>
  <c r="W159" i="24"/>
  <c r="W276" i="24"/>
  <c r="W208" i="24"/>
  <c r="W277" i="25"/>
  <c r="W336" i="25"/>
  <c r="W323" i="26"/>
  <c r="W313" i="27"/>
  <c r="W196" i="27"/>
  <c r="W250" i="28"/>
  <c r="W347" i="30"/>
  <c r="W153" i="30"/>
  <c r="W87" i="24"/>
  <c r="W305" i="24"/>
  <c r="W254" i="25"/>
  <c r="W125" i="25"/>
  <c r="W369" i="26"/>
  <c r="W324" i="26"/>
  <c r="W186" i="27"/>
  <c r="W378" i="28"/>
  <c r="W247" i="30"/>
  <c r="W53" i="30"/>
  <c r="W194" i="30"/>
  <c r="W97" i="24"/>
  <c r="W201" i="24"/>
  <c r="W231" i="25"/>
  <c r="W132" i="25"/>
  <c r="W332" i="26"/>
  <c r="W290" i="27"/>
  <c r="W291" i="27"/>
  <c r="W275" i="28"/>
  <c r="W216" i="30"/>
  <c r="W357" i="30"/>
  <c r="W230" i="24"/>
  <c r="W114" i="24"/>
  <c r="W181" i="25"/>
  <c r="W256" i="25"/>
  <c r="W322" i="26"/>
  <c r="W247" i="26"/>
  <c r="W225" i="27"/>
  <c r="W349" i="28"/>
  <c r="W267" i="28"/>
  <c r="W110" i="30"/>
  <c r="W336" i="26"/>
  <c r="W143" i="25"/>
  <c r="W168" i="30"/>
  <c r="W259" i="25"/>
  <c r="W381" i="30"/>
  <c r="W257" i="25"/>
  <c r="W349" i="30"/>
  <c r="W161" i="30"/>
  <c r="W284" i="30"/>
  <c r="W313" i="26"/>
  <c r="W161" i="26"/>
  <c r="W101" i="24"/>
  <c r="W365" i="28"/>
  <c r="W283" i="30"/>
  <c r="W205" i="25"/>
  <c r="W261" i="28"/>
  <c r="W312" i="30"/>
  <c r="W213" i="25"/>
  <c r="W287" i="30"/>
  <c r="W141" i="24"/>
  <c r="W263" i="28"/>
  <c r="W105" i="24"/>
  <c r="W229" i="28"/>
  <c r="W251" i="30"/>
  <c r="W57" i="30"/>
  <c r="W295" i="24"/>
  <c r="W209" i="24"/>
  <c r="W350" i="25"/>
  <c r="W221" i="25"/>
  <c r="W273" i="26"/>
  <c r="W228" i="26"/>
  <c r="W341" i="27"/>
  <c r="W282" i="28"/>
  <c r="W79" i="30"/>
  <c r="W220" i="30"/>
  <c r="W183" i="24"/>
  <c r="W312" i="24"/>
  <c r="W244" i="24"/>
  <c r="W343" i="25"/>
  <c r="W300" i="25"/>
  <c r="W164" i="26"/>
  <c r="W349" i="27"/>
  <c r="W232" i="27"/>
  <c r="W286" i="28"/>
  <c r="W383" i="30"/>
  <c r="W189" i="30"/>
  <c r="W363" i="24"/>
  <c r="W341" i="24"/>
  <c r="W218" i="25"/>
  <c r="W289" i="25"/>
  <c r="W317" i="26"/>
  <c r="W360" i="26"/>
  <c r="W222" i="27"/>
  <c r="W290" i="28"/>
  <c r="W372" i="24"/>
  <c r="W304" i="24"/>
  <c r="W339" i="25"/>
  <c r="W240" i="25"/>
  <c r="W224" i="26"/>
  <c r="W351" i="27"/>
  <c r="W292" i="27"/>
  <c r="W346" i="28"/>
  <c r="W108" i="30"/>
  <c r="W249" i="30"/>
  <c r="W122" i="24"/>
  <c r="W207" i="24"/>
  <c r="W158" i="25"/>
  <c r="W364" i="25"/>
  <c r="W214" i="26"/>
  <c r="W215" i="26"/>
  <c r="W282" i="27"/>
  <c r="W241" i="28"/>
  <c r="W271" i="30"/>
  <c r="W77" i="30"/>
  <c r="W218" i="30"/>
  <c r="W121" i="24"/>
  <c r="W117" i="24"/>
  <c r="W207" i="25"/>
  <c r="W331" i="25"/>
  <c r="W356" i="26"/>
  <c r="W314" i="27"/>
  <c r="W285" i="27"/>
  <c r="W299" i="28"/>
  <c r="W306" i="30"/>
  <c r="W112" i="30"/>
  <c r="W320" i="24"/>
  <c r="W204" i="24"/>
  <c r="W136" i="24"/>
  <c r="W166" i="25"/>
  <c r="W167" i="26"/>
  <c r="W337" i="26"/>
  <c r="W241" i="27"/>
  <c r="W326" i="28"/>
  <c r="W357" i="28"/>
  <c r="W275" i="30"/>
  <c r="W81" i="30"/>
  <c r="W319" i="24"/>
  <c r="W233" i="24"/>
  <c r="W326" i="25"/>
  <c r="W197" i="25"/>
  <c r="W297" i="26"/>
  <c r="W252" i="26"/>
  <c r="W365" i="27"/>
  <c r="W306" i="28"/>
  <c r="W175" i="30"/>
  <c r="W316" i="30"/>
  <c r="W122" i="30"/>
  <c r="W177" i="24"/>
  <c r="W340" i="24"/>
  <c r="W303" i="25"/>
  <c r="W204" i="25"/>
  <c r="W260" i="26"/>
  <c r="W218" i="27"/>
  <c r="W328" i="27"/>
  <c r="W382" i="28"/>
  <c r="W144" i="30"/>
  <c r="W285" i="30"/>
  <c r="W158" i="24"/>
  <c r="W225" i="24"/>
  <c r="W122" i="25"/>
  <c r="W328" i="25"/>
  <c r="W250" i="26"/>
  <c r="W175" i="26"/>
  <c r="W318" i="27"/>
  <c r="W277" i="28"/>
  <c r="W240" i="27"/>
  <c r="W224" i="24"/>
  <c r="W207" i="27"/>
  <c r="W288" i="25"/>
  <c r="W215" i="30"/>
  <c r="W185" i="25"/>
  <c r="W139" i="30"/>
  <c r="W239" i="26"/>
  <c r="W374" i="30"/>
  <c r="W255" i="30"/>
  <c r="W219" i="24"/>
  <c r="W162" i="26"/>
  <c r="W307" i="30"/>
  <c r="W70" i="24"/>
  <c r="W291" i="28"/>
  <c r="W330" i="30"/>
  <c r="W171" i="25"/>
  <c r="W135" i="24"/>
  <c r="W359" i="30"/>
  <c r="W304" i="25"/>
  <c r="W373" i="30"/>
  <c r="W128" i="25"/>
  <c r="W367" i="30"/>
  <c r="W358" i="24"/>
  <c r="W221" i="28"/>
  <c r="W179" i="30"/>
  <c r="W320" i="30"/>
  <c r="W223" i="24"/>
  <c r="W137" i="24"/>
  <c r="W175" i="25"/>
  <c r="W293" i="25"/>
  <c r="W201" i="26"/>
  <c r="W327" i="27"/>
  <c r="W269" i="27"/>
  <c r="W210" i="28"/>
  <c r="W342" i="30"/>
  <c r="W148" i="30"/>
  <c r="W356" i="24"/>
  <c r="W240" i="24"/>
  <c r="W172" i="24"/>
  <c r="W130" i="25"/>
  <c r="W372" i="25"/>
  <c r="W373" i="26"/>
  <c r="W277" i="27"/>
  <c r="W302" i="28"/>
  <c r="W214" i="28"/>
  <c r="W311" i="30"/>
  <c r="W117" i="30"/>
  <c r="W355" i="24"/>
  <c r="W269" i="24"/>
  <c r="W290" i="25"/>
  <c r="W161" i="25"/>
  <c r="W333" i="26"/>
  <c r="W288" i="26"/>
  <c r="W267" i="27"/>
  <c r="W342" i="28"/>
  <c r="W300" i="24"/>
  <c r="W232" i="24"/>
  <c r="W163" i="25"/>
  <c r="W312" i="25"/>
  <c r="W287" i="26"/>
  <c r="W337" i="27"/>
  <c r="W220" i="27"/>
  <c r="W274" i="28"/>
  <c r="W371" i="30"/>
  <c r="W177" i="30"/>
  <c r="W255" i="24"/>
  <c r="W329" i="24"/>
  <c r="W230" i="25"/>
  <c r="W355" i="25"/>
  <c r="W179" i="26"/>
  <c r="W348" i="26"/>
  <c r="W210" i="27"/>
  <c r="W254" i="28"/>
  <c r="W199" i="30"/>
  <c r="W340" i="30"/>
  <c r="W146" i="30"/>
  <c r="W333" i="24"/>
  <c r="W364" i="24"/>
  <c r="W279" i="25"/>
  <c r="W180" i="25"/>
  <c r="W284" i="26"/>
  <c r="W242" i="27"/>
  <c r="W352" i="27"/>
  <c r="W227" i="28"/>
  <c r="W234" i="30"/>
  <c r="W375" i="30"/>
  <c r="W248" i="24"/>
  <c r="W132" i="24"/>
  <c r="W64" i="24"/>
  <c r="W238" i="25"/>
  <c r="W340" i="26"/>
  <c r="W265" i="26"/>
  <c r="W309" i="27"/>
  <c r="W367" i="28"/>
  <c r="W285" i="28"/>
  <c r="W203" i="30"/>
  <c r="W344" i="30"/>
  <c r="W247" i="24"/>
  <c r="W161" i="24"/>
  <c r="W235" i="25"/>
  <c r="W269" i="25"/>
  <c r="W225" i="26"/>
  <c r="W180" i="26"/>
  <c r="W293" i="27"/>
  <c r="W234" i="28"/>
  <c r="W103" i="30"/>
  <c r="W244" i="30"/>
  <c r="W50" i="30"/>
  <c r="W336" i="24"/>
  <c r="W268" i="24"/>
  <c r="W375" i="25"/>
  <c r="W276" i="25"/>
  <c r="W188" i="26"/>
  <c r="W373" i="27"/>
  <c r="W256" i="27"/>
  <c r="W310" i="28"/>
  <c r="W72" i="30"/>
  <c r="W213" i="30"/>
  <c r="W86" i="24"/>
  <c r="W365" i="24"/>
  <c r="W194" i="25"/>
  <c r="W169" i="25"/>
  <c r="W178" i="26"/>
  <c r="W384" i="26"/>
  <c r="W246" i="27"/>
  <c r="W368" i="28"/>
  <c r="W262" i="30"/>
  <c r="W330" i="25"/>
  <c r="W200" i="24"/>
  <c r="W237" i="26"/>
  <c r="W272" i="25"/>
  <c r="W302" i="30"/>
  <c r="W110" i="24"/>
  <c r="W217" i="27"/>
  <c r="W354" i="30"/>
  <c r="W141" i="25"/>
  <c r="W93" i="30"/>
  <c r="W377" i="30"/>
  <c r="W262" i="25"/>
  <c r="W327" i="30"/>
  <c r="W71" i="30"/>
  <c r="W114" i="25"/>
  <c r="W235" i="30"/>
  <c r="W243" i="25"/>
  <c r="W211" i="30"/>
  <c r="W170" i="25"/>
  <c r="W301" i="30"/>
  <c r="W107" i="30"/>
  <c r="W248" i="30"/>
  <c r="W151" i="24"/>
  <c r="W65" i="24"/>
  <c r="W177" i="25"/>
  <c r="W365" i="25"/>
  <c r="W197" i="26"/>
  <c r="W344" i="27"/>
  <c r="W197" i="27"/>
  <c r="W329" i="28"/>
  <c r="W270" i="30"/>
  <c r="W76" i="30"/>
  <c r="W284" i="24"/>
  <c r="W168" i="24"/>
  <c r="W100" i="24"/>
  <c r="W202" i="25"/>
  <c r="W376" i="26"/>
  <c r="W301" i="26"/>
  <c r="W205" i="27"/>
  <c r="W248" i="28"/>
  <c r="W321" i="28"/>
  <c r="W239" i="30"/>
  <c r="W380" i="30"/>
  <c r="W283" i="24"/>
  <c r="W197" i="24"/>
  <c r="W362" i="25"/>
  <c r="W233" i="25"/>
  <c r="W261" i="26"/>
  <c r="W216" i="26"/>
  <c r="W329" i="27"/>
  <c r="W270" i="28"/>
  <c r="W228" i="24"/>
  <c r="W160" i="24"/>
  <c r="W142" i="25"/>
  <c r="W384" i="25"/>
  <c r="W361" i="26"/>
  <c r="W265" i="27"/>
  <c r="W212" i="28"/>
  <c r="W381" i="28"/>
  <c r="W299" i="30"/>
  <c r="W105" i="30"/>
  <c r="W343" i="24"/>
  <c r="W257" i="24"/>
  <c r="W302" i="25"/>
  <c r="W173" i="25"/>
  <c r="W321" i="26"/>
  <c r="W276" i="26"/>
  <c r="W243" i="27"/>
  <c r="W330" i="28"/>
  <c r="W127" i="30"/>
  <c r="W268" i="30"/>
  <c r="W74" i="30"/>
  <c r="W360" i="24"/>
  <c r="W292" i="24"/>
  <c r="W351" i="25"/>
  <c r="W252" i="25"/>
  <c r="W212" i="26"/>
  <c r="W195" i="27"/>
  <c r="W280" i="27"/>
  <c r="W334" i="28"/>
  <c r="W162" i="30"/>
  <c r="W303" i="30"/>
  <c r="W176" i="24"/>
  <c r="W375" i="24"/>
  <c r="W271" i="25"/>
  <c r="W310" i="25"/>
  <c r="W268" i="26"/>
  <c r="W193" i="26"/>
  <c r="W336" i="27"/>
  <c r="W295" i="28"/>
  <c r="W213" i="28"/>
  <c r="W131" i="30"/>
  <c r="W272" i="30"/>
  <c r="W175" i="24"/>
  <c r="W89" i="24"/>
  <c r="W153" i="25"/>
  <c r="W341" i="25"/>
  <c r="W383" i="26"/>
  <c r="W368" i="27"/>
  <c r="W221" i="27"/>
  <c r="W353" i="28"/>
  <c r="W366" i="30"/>
  <c r="W172" i="30"/>
  <c r="W380" i="24"/>
  <c r="W264" i="24"/>
  <c r="W196" i="24"/>
  <c r="W319" i="25"/>
  <c r="W348" i="25"/>
  <c r="W245" i="26"/>
  <c r="W301" i="27"/>
  <c r="W184" i="27"/>
  <c r="W238" i="28"/>
  <c r="W335" i="30"/>
  <c r="W141" i="30"/>
  <c r="W379" i="24"/>
  <c r="W293" i="24"/>
  <c r="W266" i="25"/>
  <c r="W137" i="25"/>
  <c r="W357" i="26"/>
  <c r="W312" i="26"/>
  <c r="W219" i="27"/>
  <c r="W366" i="28"/>
  <c r="W350" i="28"/>
  <c r="W354" i="24"/>
  <c r="W274" i="27"/>
  <c r="W176" i="26"/>
  <c r="W309" i="30"/>
  <c r="W309" i="26"/>
  <c r="W326" i="30"/>
  <c r="W343" i="26"/>
  <c r="W138" i="30"/>
  <c r="W128" i="24"/>
  <c r="W187" i="24"/>
  <c r="W275" i="27"/>
  <c r="W66" i="30"/>
  <c r="W232" i="25"/>
  <c r="W280" i="30"/>
  <c r="W89" i="30"/>
  <c r="W359" i="25"/>
  <c r="W256" i="24"/>
  <c r="W118" i="30"/>
  <c r="W274" i="26"/>
  <c r="W282" i="30"/>
  <c r="W334" i="25"/>
  <c r="W258" i="30"/>
  <c r="W285" i="25"/>
  <c r="W229" i="30"/>
  <c r="W370" i="30"/>
  <c r="W176" i="30"/>
  <c r="W79" i="24"/>
  <c r="W129" i="24"/>
  <c r="W249" i="25"/>
  <c r="W150" i="25"/>
  <c r="W314" i="26"/>
  <c r="W272" i="27"/>
  <c r="W382" i="27"/>
  <c r="W257" i="28"/>
  <c r="W198" i="30"/>
  <c r="W339" i="30"/>
  <c r="W212" i="24"/>
  <c r="W96" i="24"/>
  <c r="W247" i="25"/>
  <c r="W274" i="25"/>
  <c r="W304" i="26"/>
  <c r="W229" i="26"/>
  <c r="W372" i="27"/>
  <c r="W331" i="28"/>
  <c r="W249" i="28"/>
  <c r="W167" i="30"/>
  <c r="W308" i="30"/>
  <c r="W211" i="24"/>
  <c r="W125" i="24"/>
  <c r="W117" i="25"/>
  <c r="W305" i="25"/>
  <c r="W189" i="26"/>
  <c r="W381" i="27"/>
  <c r="W257" i="27"/>
  <c r="W230" i="28"/>
  <c r="W156" i="24"/>
  <c r="W88" i="24"/>
  <c r="W214" i="25"/>
  <c r="W364" i="26"/>
  <c r="W289" i="26"/>
  <c r="W193" i="27"/>
  <c r="W224" i="28"/>
  <c r="W309" i="28"/>
  <c r="W227" i="30"/>
  <c r="W368" i="30"/>
  <c r="W271" i="24"/>
  <c r="W185" i="24"/>
  <c r="W374" i="25"/>
  <c r="W245" i="25"/>
  <c r="W249" i="26"/>
  <c r="W204" i="26"/>
  <c r="W317" i="27"/>
  <c r="W258" i="28"/>
  <c r="W55" i="30"/>
  <c r="W196" i="30"/>
  <c r="W267" i="24"/>
  <c r="W288" i="24"/>
  <c r="W220" i="24"/>
  <c r="W241" i="25"/>
  <c r="W324" i="25"/>
  <c r="W203" i="26"/>
  <c r="W325" i="27"/>
  <c r="W208" i="27"/>
  <c r="W262" i="28"/>
  <c r="W90" i="30"/>
  <c r="W231" i="30"/>
  <c r="W104" i="24"/>
  <c r="W383" i="24"/>
  <c r="W176" i="25"/>
  <c r="W382" i="25"/>
  <c r="W196" i="26"/>
  <c r="W281" i="26"/>
  <c r="W264" i="27"/>
  <c r="W223" i="28"/>
  <c r="W253" i="30"/>
  <c r="W59" i="30"/>
  <c r="W200" i="30"/>
  <c r="W103" i="24"/>
  <c r="W231" i="24"/>
  <c r="W225" i="25"/>
  <c r="W126" i="25"/>
  <c r="W338" i="26"/>
  <c r="W296" i="27"/>
  <c r="W321" i="27"/>
  <c r="W281" i="28"/>
  <c r="W294" i="30"/>
  <c r="W100" i="30"/>
  <c r="W308" i="24"/>
  <c r="W192" i="24"/>
  <c r="W124" i="24"/>
  <c r="W178" i="25"/>
  <c r="W305" i="26"/>
  <c r="W325" i="26"/>
  <c r="W229" i="27"/>
  <c r="W296" i="28"/>
  <c r="W345" i="28"/>
  <c r="W263" i="30"/>
  <c r="W69" i="30"/>
  <c r="W307" i="24"/>
  <c r="W221" i="24"/>
  <c r="W338" i="25"/>
  <c r="W209" i="25"/>
  <c r="W285" i="26"/>
  <c r="W240" i="26"/>
  <c r="W353" i="27"/>
  <c r="W294" i="28"/>
  <c r="W370" i="28"/>
  <c r="W317" i="24"/>
  <c r="W236" i="28"/>
  <c r="W306" i="26"/>
  <c r="W356" i="30"/>
  <c r="W371" i="26"/>
  <c r="W215" i="25"/>
  <c r="W192" i="26"/>
  <c r="W291" i="24"/>
  <c r="W205" i="24"/>
  <c r="W180" i="24"/>
  <c r="W266" i="28"/>
  <c r="W113" i="30"/>
  <c r="W329" i="25"/>
  <c r="W277" i="24"/>
  <c r="W136" i="30"/>
  <c r="W316" i="26"/>
  <c r="W185" i="30"/>
  <c r="W165" i="30"/>
  <c r="W350" i="26"/>
  <c r="W329" i="30"/>
  <c r="W144" i="25"/>
  <c r="W305" i="30"/>
  <c r="W376" i="25"/>
  <c r="W157" i="30"/>
  <c r="W298" i="30"/>
  <c r="W104" i="30"/>
  <c r="W111" i="24"/>
  <c r="W322" i="24"/>
  <c r="W321" i="25"/>
  <c r="W222" i="25"/>
  <c r="W242" i="26"/>
  <c r="W200" i="27"/>
  <c r="W310" i="27"/>
  <c r="W364" i="28"/>
  <c r="W126" i="30"/>
  <c r="W267" i="30"/>
  <c r="W140" i="24"/>
  <c r="W345" i="24"/>
  <c r="W140" i="25"/>
  <c r="W346" i="25"/>
  <c r="W232" i="26"/>
  <c r="W359" i="26"/>
  <c r="W300" i="27"/>
  <c r="W259" i="28"/>
  <c r="W289" i="30"/>
  <c r="W95" i="30"/>
  <c r="W236" i="30"/>
  <c r="W139" i="24"/>
  <c r="W303" i="24"/>
  <c r="W189" i="25"/>
  <c r="W377" i="25"/>
  <c r="W374" i="26"/>
  <c r="W332" i="27"/>
  <c r="W185" i="27"/>
  <c r="W317" i="28"/>
  <c r="W84" i="24"/>
  <c r="W313" i="25"/>
  <c r="W286" i="25"/>
  <c r="W292" i="26"/>
  <c r="W217" i="26"/>
  <c r="W360" i="27"/>
  <c r="W319" i="28"/>
  <c r="W237" i="28"/>
  <c r="W155" i="30"/>
  <c r="W296" i="30"/>
  <c r="W199" i="24"/>
  <c r="W113" i="24"/>
  <c r="W129" i="25"/>
  <c r="W317" i="25"/>
  <c r="W177" i="26"/>
  <c r="W273" i="27"/>
  <c r="W245" i="27"/>
  <c r="W377" i="28"/>
  <c r="W318" i="30"/>
  <c r="W124" i="30"/>
  <c r="W332" i="24"/>
  <c r="W216" i="24"/>
  <c r="W148" i="24"/>
  <c r="W154" i="25"/>
  <c r="W299" i="26"/>
  <c r="W349" i="26"/>
  <c r="W253" i="27"/>
  <c r="W362" i="28"/>
  <c r="W369" i="28"/>
  <c r="W353" i="30"/>
  <c r="W159" i="30"/>
  <c r="W369" i="24"/>
  <c r="W311" i="24"/>
  <c r="W248" i="25"/>
  <c r="W119" i="25"/>
  <c r="W375" i="26"/>
  <c r="W330" i="26"/>
  <c r="W192" i="27"/>
  <c r="W384" i="28"/>
  <c r="W181" i="30"/>
  <c r="W322" i="30"/>
  <c r="W128" i="30"/>
  <c r="W213" i="24"/>
  <c r="W346" i="24"/>
  <c r="W297" i="25"/>
  <c r="W198" i="25"/>
  <c r="W266" i="26"/>
  <c r="W224" i="27"/>
  <c r="W334" i="27"/>
  <c r="W209" i="28"/>
  <c r="W222" i="30"/>
  <c r="W363" i="30"/>
  <c r="W236" i="24"/>
  <c r="W120" i="24"/>
  <c r="W157" i="25"/>
  <c r="W250" i="25"/>
  <c r="W328" i="26"/>
  <c r="W253" i="26"/>
  <c r="W255" i="27"/>
  <c r="W355" i="28"/>
  <c r="W273" i="28"/>
  <c r="W191" i="30"/>
  <c r="W332" i="30"/>
  <c r="W235" i="24"/>
  <c r="W149" i="24"/>
  <c r="W301" i="25"/>
  <c r="W281" i="25"/>
  <c r="W213" i="26"/>
  <c r="W168" i="26"/>
  <c r="W281" i="27"/>
  <c r="W222" i="28"/>
  <c r="W355" i="30"/>
  <c r="W286" i="24"/>
  <c r="W328" i="28"/>
  <c r="W361" i="27"/>
  <c r="W68" i="30"/>
  <c r="W264" i="26"/>
  <c r="W67" i="30"/>
  <c r="W247" i="27"/>
  <c r="W252" i="24"/>
  <c r="W142" i="24"/>
  <c r="W143" i="24"/>
  <c r="W216" i="28"/>
  <c r="W160" i="30"/>
  <c r="W346" i="26"/>
  <c r="W337" i="30"/>
  <c r="W183" i="30"/>
  <c r="W251" i="26"/>
  <c r="W152" i="24"/>
  <c r="W212" i="30"/>
  <c r="W199" i="26"/>
  <c r="W376" i="30"/>
  <c r="W244" i="26"/>
  <c r="W352" i="30"/>
  <c r="W186" i="25"/>
  <c r="W85" i="30"/>
  <c r="W226" i="30"/>
  <c r="W237" i="24"/>
  <c r="W318" i="24"/>
  <c r="W250" i="24"/>
  <c r="W217" i="25"/>
  <c r="W294" i="25"/>
  <c r="W170" i="26"/>
  <c r="W355" i="27"/>
  <c r="W238" i="27"/>
  <c r="W292" i="28"/>
  <c r="W54" i="30"/>
  <c r="W195" i="30"/>
  <c r="W68" i="24"/>
  <c r="W347" i="24"/>
  <c r="W212" i="25"/>
  <c r="W253" i="25"/>
  <c r="W365" i="26"/>
  <c r="W366" i="26"/>
  <c r="W228" i="27"/>
  <c r="W308" i="28"/>
  <c r="W217" i="30"/>
  <c r="W358" i="30"/>
  <c r="W164" i="30"/>
  <c r="W67" i="24"/>
  <c r="W382" i="24"/>
  <c r="W261" i="25"/>
  <c r="W162" i="25"/>
  <c r="W302" i="26"/>
  <c r="W260" i="27"/>
  <c r="W370" i="27"/>
  <c r="W245" i="28"/>
  <c r="W261" i="24"/>
  <c r="W152" i="25"/>
  <c r="W358" i="25"/>
  <c r="W220" i="26"/>
  <c r="W269" i="26"/>
  <c r="W288" i="27"/>
  <c r="W247" i="28"/>
  <c r="W277" i="30"/>
  <c r="W83" i="30"/>
  <c r="W224" i="30"/>
  <c r="W127" i="24"/>
  <c r="W195" i="24"/>
  <c r="W201" i="25"/>
  <c r="W325" i="25"/>
  <c r="W362" i="26"/>
  <c r="W320" i="27"/>
  <c r="W339" i="27"/>
  <c r="W305" i="28"/>
  <c r="W246" i="30"/>
  <c r="W52" i="30"/>
  <c r="W260" i="24"/>
  <c r="W144" i="24"/>
  <c r="W76" i="24"/>
  <c r="W226" i="25"/>
  <c r="W352" i="26"/>
  <c r="W277" i="26"/>
  <c r="W213" i="27"/>
  <c r="W379" i="28"/>
  <c r="W297" i="28"/>
  <c r="W281" i="30"/>
  <c r="W87" i="30"/>
  <c r="W325" i="24"/>
  <c r="W239" i="24"/>
  <c r="W320" i="25"/>
  <c r="W191" i="25"/>
  <c r="W303" i="26"/>
  <c r="W258" i="26"/>
  <c r="W371" i="27"/>
  <c r="W312" i="28"/>
  <c r="W109" i="30"/>
  <c r="W250" i="30"/>
  <c r="W56" i="30"/>
  <c r="W342" i="24"/>
  <c r="W274" i="24"/>
  <c r="W369" i="25"/>
  <c r="W270" i="25"/>
  <c r="W194" i="26"/>
  <c r="W379" i="27"/>
  <c r="W262" i="27"/>
  <c r="W316" i="28"/>
  <c r="W150" i="30"/>
  <c r="W291" i="30"/>
  <c r="W164" i="24"/>
  <c r="W273" i="24"/>
  <c r="W116" i="25"/>
  <c r="W322" i="25"/>
  <c r="W256" i="26"/>
  <c r="W181" i="26"/>
  <c r="W324" i="27"/>
  <c r="W283" i="28"/>
  <c r="W313" i="30"/>
  <c r="W119" i="30"/>
  <c r="W260" i="30"/>
  <c r="W163" i="24"/>
  <c r="W77" i="24"/>
  <c r="W165" i="25"/>
  <c r="W353" i="25"/>
  <c r="W293" i="26"/>
  <c r="W356" i="27"/>
  <c r="W209" i="27"/>
  <c r="W341" i="28"/>
  <c r="W163" i="30"/>
  <c r="W242" i="25"/>
  <c r="W361" i="30"/>
  <c r="W363" i="27"/>
  <c r="W182" i="24"/>
  <c r="W319" i="27"/>
  <c r="W208" i="30"/>
  <c r="W305" i="27"/>
  <c r="W344" i="25"/>
  <c r="W325" i="30"/>
  <c r="W112" i="24"/>
  <c r="W333" i="28"/>
  <c r="W207" i="30"/>
  <c r="W165" i="26"/>
  <c r="W279" i="30"/>
  <c r="W230" i="30"/>
  <c r="W241" i="26"/>
  <c r="W184" i="24"/>
  <c r="W326" i="24"/>
  <c r="W308" i="27"/>
  <c r="W88" i="30"/>
  <c r="W320" i="26"/>
  <c r="W64" i="30"/>
  <c r="W202" i="26"/>
  <c r="W348" i="30"/>
  <c r="W154" i="30"/>
  <c r="W362" i="24"/>
  <c r="W246" i="24"/>
  <c r="W178" i="24"/>
  <c r="W124" i="25"/>
  <c r="W366" i="25"/>
  <c r="W379" i="26"/>
  <c r="W283" i="27"/>
  <c r="W332" i="28"/>
  <c r="W220" i="28"/>
  <c r="W317" i="30"/>
  <c r="W123" i="30"/>
  <c r="W361" i="24"/>
  <c r="W275" i="24"/>
  <c r="W284" i="25"/>
  <c r="W155" i="25"/>
  <c r="W339" i="26"/>
  <c r="W294" i="26"/>
  <c r="W303" i="27"/>
  <c r="W348" i="28"/>
  <c r="W145" i="30"/>
  <c r="W286" i="30"/>
  <c r="W92" i="30"/>
  <c r="W378" i="24"/>
  <c r="W310" i="24"/>
  <c r="W333" i="25"/>
  <c r="W234" i="25"/>
  <c r="W230" i="26"/>
  <c r="W188" i="27"/>
  <c r="W298" i="27"/>
  <c r="W352" i="28"/>
  <c r="W335" i="24"/>
  <c r="W224" i="25"/>
  <c r="W307" i="25"/>
  <c r="W263" i="26"/>
  <c r="W354" i="26"/>
  <c r="W216" i="27"/>
  <c r="W278" i="28"/>
  <c r="W205" i="30"/>
  <c r="W346" i="30"/>
  <c r="W152" i="30"/>
  <c r="W93" i="24"/>
  <c r="W370" i="24"/>
  <c r="W273" i="25"/>
  <c r="W174" i="25"/>
  <c r="W290" i="26"/>
  <c r="W248" i="27"/>
  <c r="W358" i="27"/>
  <c r="W233" i="28"/>
  <c r="W174" i="30"/>
  <c r="W315" i="30"/>
  <c r="W188" i="24"/>
  <c r="W72" i="24"/>
  <c r="W127" i="25"/>
  <c r="W298" i="25"/>
  <c r="W280" i="26"/>
  <c r="W205" i="26"/>
  <c r="W348" i="27"/>
  <c r="W307" i="28"/>
  <c r="W225" i="28"/>
  <c r="W209" i="30"/>
  <c r="W350" i="30"/>
  <c r="W253" i="24"/>
  <c r="W167" i="24"/>
  <c r="W187" i="25"/>
  <c r="W263" i="25"/>
  <c r="W231" i="26"/>
  <c r="W186" i="26"/>
  <c r="W299" i="27"/>
  <c r="W240" i="28"/>
  <c r="W372" i="30"/>
  <c r="W178" i="30"/>
  <c r="W75" i="24"/>
  <c r="W270" i="24"/>
  <c r="W202" i="24"/>
  <c r="W295" i="25"/>
  <c r="W342" i="25"/>
  <c r="W275" i="26"/>
  <c r="W307" i="27"/>
  <c r="W190" i="27"/>
  <c r="W244" i="28"/>
  <c r="W78" i="30"/>
  <c r="W219" i="30"/>
  <c r="W92" i="24"/>
  <c r="W371" i="24"/>
  <c r="W188" i="25"/>
  <c r="W151" i="25"/>
  <c r="W184" i="26"/>
  <c r="W209" i="26"/>
  <c r="W252" i="27"/>
  <c r="W211" i="28"/>
  <c r="W241" i="30"/>
  <c r="W382" i="30"/>
  <c r="W188" i="30"/>
  <c r="W91" i="24"/>
  <c r="W165" i="24"/>
  <c r="W237" i="25"/>
  <c r="W138" i="25"/>
  <c r="W326" i="26"/>
  <c r="W284" i="27"/>
  <c r="W261" i="27"/>
  <c r="W269" i="28"/>
  <c r="W376" i="28"/>
  <c r="W257" i="30"/>
  <c r="W113" i="25"/>
  <c r="W186" i="30"/>
  <c r="W360" i="28"/>
  <c r="W282" i="24"/>
  <c r="W202" i="27"/>
  <c r="W210" i="24"/>
  <c r="W246" i="28"/>
  <c r="W347" i="27"/>
  <c r="W96" i="30"/>
  <c r="W190" i="25"/>
  <c r="W233" i="30"/>
  <c r="W368" i="24"/>
  <c r="W380" i="27"/>
  <c r="W118" i="25"/>
  <c r="W309" i="24"/>
  <c r="W384" i="27"/>
  <c r="W289" i="27"/>
  <c r="W115" i="24"/>
  <c r="W237" i="27"/>
  <c r="W182" i="30"/>
  <c r="W278" i="27"/>
  <c r="W158" i="30"/>
  <c r="W329" i="26"/>
  <c r="W204" i="30"/>
  <c r="W345" i="30"/>
  <c r="W218" i="24"/>
  <c r="W102" i="24"/>
  <c r="W229" i="25"/>
  <c r="W268" i="25"/>
  <c r="W310" i="26"/>
  <c r="W235" i="26"/>
  <c r="W378" i="27"/>
  <c r="W337" i="28"/>
  <c r="W255" i="28"/>
  <c r="W173" i="30"/>
  <c r="W314" i="30"/>
  <c r="W217" i="24"/>
  <c r="W131" i="24"/>
  <c r="W361" i="25"/>
  <c r="W299" i="25"/>
  <c r="W195" i="26"/>
  <c r="W189" i="27"/>
  <c r="W263" i="27"/>
  <c r="W338" i="28"/>
  <c r="W336" i="30"/>
  <c r="W142" i="30"/>
  <c r="W350" i="24"/>
  <c r="W234" i="24"/>
  <c r="W166" i="24"/>
  <c r="W136" i="25"/>
  <c r="W378" i="25"/>
  <c r="W367" i="26"/>
  <c r="W271" i="27"/>
  <c r="W272" i="28"/>
  <c r="W208" i="28"/>
  <c r="W191" i="24"/>
  <c r="W368" i="25"/>
  <c r="W239" i="25"/>
  <c r="W255" i="26"/>
  <c r="W210" i="26"/>
  <c r="W323" i="27"/>
  <c r="W264" i="28"/>
  <c r="W61" i="30"/>
  <c r="W202" i="30"/>
  <c r="W315" i="24"/>
  <c r="W294" i="24"/>
  <c r="W226" i="24"/>
  <c r="W211" i="25"/>
  <c r="W318" i="25"/>
  <c r="W227" i="26"/>
  <c r="W331" i="27"/>
  <c r="W214" i="27"/>
  <c r="W268" i="28"/>
  <c r="W365" i="30"/>
  <c r="W171" i="30"/>
  <c r="W189" i="24"/>
  <c r="W323" i="24"/>
  <c r="W236" i="25"/>
  <c r="W337" i="25"/>
  <c r="W185" i="26"/>
  <c r="W342" i="26"/>
  <c r="W204" i="27"/>
  <c r="W218" i="28"/>
  <c r="W259" i="30"/>
  <c r="W65" i="30"/>
  <c r="W206" i="30"/>
  <c r="W109" i="24"/>
  <c r="W279" i="24"/>
  <c r="W219" i="25"/>
  <c r="W120" i="25"/>
  <c r="W344" i="26"/>
  <c r="W302" i="27"/>
  <c r="W369" i="27"/>
  <c r="W287" i="28"/>
  <c r="W228" i="30"/>
  <c r="W369" i="30"/>
  <c r="W242" i="24"/>
  <c r="W126" i="24"/>
  <c r="W139" i="25"/>
  <c r="W244" i="25"/>
  <c r="W334" i="26"/>
  <c r="W259" i="26"/>
  <c r="W279" i="27"/>
  <c r="W361" i="28"/>
  <c r="W279" i="28"/>
  <c r="W269" i="30"/>
  <c r="W75" i="30"/>
  <c r="W313" i="24"/>
  <c r="W227" i="24"/>
  <c r="W332" i="25"/>
  <c r="W203" i="25"/>
  <c r="W291" i="26"/>
  <c r="W246" i="26"/>
  <c r="W359" i="27"/>
  <c r="W300" i="28"/>
  <c r="W97" i="30"/>
  <c r="W238" i="30"/>
  <c r="W339" i="24"/>
  <c r="W330" i="24"/>
  <c r="W262" i="24"/>
  <c r="W381" i="25"/>
  <c r="W282" i="25"/>
  <c r="W182" i="26"/>
  <c r="W367" i="27"/>
  <c r="W250" i="27"/>
  <c r="W304" i="28"/>
  <c r="W304" i="30"/>
  <c r="W258" i="25"/>
  <c r="W86" i="30"/>
  <c r="W298" i="28"/>
  <c r="W245" i="24"/>
  <c r="W318" i="28"/>
  <c r="W173" i="24"/>
  <c r="W363" i="28"/>
  <c r="W226" i="28"/>
  <c r="W143" i="30"/>
  <c r="W287" i="25"/>
  <c r="W324" i="24"/>
  <c r="W80" i="24"/>
  <c r="W357" i="27"/>
  <c r="W234" i="26"/>
  <c r="W133" i="24"/>
  <c r="W203" i="27"/>
  <c r="W288" i="28"/>
  <c r="W66" i="24"/>
  <c r="W301" i="28"/>
  <c r="W373" i="24"/>
  <c r="W312" i="27"/>
  <c r="W272" i="24"/>
  <c r="W236" i="27"/>
  <c r="W132" i="30"/>
  <c r="W273" i="30"/>
  <c r="W146" i="24"/>
  <c r="W99" i="24"/>
  <c r="W134" i="25"/>
  <c r="W340" i="25"/>
  <c r="W238" i="26"/>
  <c r="W163" i="26"/>
  <c r="W306" i="27"/>
  <c r="W265" i="28"/>
  <c r="W295" i="30"/>
  <c r="W101" i="30"/>
  <c r="W242" i="30"/>
  <c r="W145" i="24"/>
  <c r="W351" i="24"/>
  <c r="W183" i="25"/>
  <c r="W371" i="25"/>
  <c r="W380" i="26"/>
  <c r="W338" i="27"/>
  <c r="W191" i="27"/>
  <c r="W323" i="28"/>
  <c r="W264" i="30"/>
  <c r="W70" i="30"/>
  <c r="W278" i="24"/>
  <c r="W162" i="24"/>
  <c r="W94" i="24"/>
  <c r="W208" i="25"/>
  <c r="W370" i="26"/>
  <c r="W295" i="26"/>
  <c r="W199" i="27"/>
  <c r="W242" i="28"/>
  <c r="W315" i="28"/>
  <c r="W119" i="24"/>
  <c r="W123" i="25"/>
  <c r="W311" i="25"/>
  <c r="W183" i="26"/>
  <c r="W345" i="27"/>
  <c r="W251" i="27"/>
  <c r="W383" i="28"/>
  <c r="W324" i="30"/>
  <c r="W130" i="30"/>
  <c r="W338" i="24"/>
  <c r="W222" i="24"/>
  <c r="W154" i="24"/>
  <c r="W148" i="25"/>
  <c r="W347" i="26"/>
  <c r="W355" i="26"/>
  <c r="W259" i="27"/>
  <c r="W380" i="28"/>
  <c r="W375" i="28"/>
  <c r="W293" i="30"/>
  <c r="W99" i="30"/>
  <c r="W337" i="24"/>
  <c r="W251" i="24"/>
  <c r="W308" i="25"/>
  <c r="W179" i="25"/>
  <c r="W315" i="26"/>
  <c r="W270" i="26"/>
  <c r="W383" i="27"/>
  <c r="W324" i="28"/>
  <c r="W187" i="30"/>
  <c r="W328" i="30"/>
  <c r="W134" i="30"/>
  <c r="W243" i="24"/>
  <c r="W352" i="24"/>
  <c r="W291" i="25"/>
  <c r="W192" i="25"/>
  <c r="W272" i="26"/>
  <c r="W230" i="27"/>
  <c r="W340" i="27"/>
  <c r="W215" i="28"/>
  <c r="W156" i="30"/>
  <c r="W297" i="30"/>
  <c r="W170" i="24"/>
  <c r="W321" i="24"/>
  <c r="W373" i="25"/>
  <c r="W316" i="25"/>
  <c r="W262" i="26"/>
  <c r="W187" i="26"/>
  <c r="W330" i="27"/>
  <c r="W289" i="28"/>
  <c r="W207" i="28"/>
  <c r="W197" i="30"/>
  <c r="W338" i="30"/>
  <c r="W241" i="24"/>
  <c r="W155" i="24"/>
  <c r="W265" i="25"/>
  <c r="W275" i="25"/>
  <c r="W219" i="26"/>
  <c r="W174" i="26"/>
  <c r="W287" i="27"/>
  <c r="W228" i="28"/>
  <c r="W360" i="30"/>
  <c r="W166" i="30"/>
  <c r="W374" i="24"/>
  <c r="W258" i="24"/>
  <c r="W190" i="24"/>
  <c r="W349" i="25"/>
  <c r="W354" i="25"/>
  <c r="W221" i="26"/>
  <c r="W295" i="27"/>
  <c r="W374" i="28"/>
  <c r="W232" i="28"/>
  <c r="W351" i="30"/>
  <c r="W381" i="26"/>
  <c r="W287" i="24"/>
  <c r="W343" i="30"/>
  <c r="W214" i="24"/>
  <c r="W256" i="28"/>
  <c r="W145" i="25"/>
  <c r="W193" i="30"/>
  <c r="W331" i="30"/>
  <c r="W190" i="30"/>
  <c r="W173" i="26"/>
  <c r="W232" i="30"/>
  <c r="W157" i="24"/>
  <c r="W233" i="27"/>
  <c r="W356" i="28"/>
  <c r="W108" i="24"/>
  <c r="W343" i="28"/>
  <c r="W379" i="30"/>
  <c r="W327" i="24"/>
  <c r="W293" i="28"/>
  <c r="W85" i="24"/>
  <c r="W231" i="27"/>
  <c r="W349" i="24"/>
  <c r="W270" i="27"/>
  <c r="W60" i="30"/>
  <c r="W201" i="30"/>
  <c r="W74" i="24"/>
  <c r="W353" i="24"/>
  <c r="W206" i="25"/>
  <c r="W223" i="25"/>
  <c r="W166" i="26"/>
  <c r="W372" i="26"/>
  <c r="W234" i="27"/>
  <c r="W320" i="28"/>
  <c r="W223" i="30"/>
  <c r="W364" i="30"/>
  <c r="W170" i="30"/>
  <c r="W73" i="24"/>
  <c r="W123" i="24"/>
  <c r="W255" i="25"/>
  <c r="W156" i="25"/>
  <c r="W308" i="26"/>
  <c r="W266" i="27"/>
  <c r="W376" i="27"/>
  <c r="W251" i="28"/>
  <c r="W192" i="30"/>
  <c r="W333" i="30"/>
  <c r="W206" i="24"/>
  <c r="W90" i="24"/>
  <c r="W283" i="25"/>
  <c r="W280" i="25"/>
  <c r="W298" i="26"/>
  <c r="W223" i="26"/>
  <c r="W366" i="27"/>
  <c r="W325" i="28"/>
  <c r="W243" i="28"/>
  <c r="W249" i="24"/>
  <c r="W195" i="25"/>
  <c r="W383" i="25"/>
  <c r="W368" i="26"/>
  <c r="W326" i="27"/>
  <c r="W375" i="27"/>
  <c r="W311" i="28"/>
  <c r="W252" i="30"/>
  <c r="W58" i="30"/>
  <c r="W266" i="24"/>
  <c r="W150" i="24"/>
  <c r="W82" i="24"/>
  <c r="W220" i="25"/>
  <c r="W358" i="26"/>
  <c r="W283" i="26"/>
  <c r="W187" i="27"/>
  <c r="W206" i="28"/>
  <c r="W303" i="28"/>
  <c r="W221" i="30"/>
  <c r="W362" i="30"/>
  <c r="W265" i="24"/>
  <c r="W179" i="24"/>
  <c r="W380" i="25"/>
  <c r="W251" i="25"/>
  <c r="W243" i="26"/>
  <c r="W198" i="26"/>
  <c r="W311" i="27"/>
  <c r="W252" i="28"/>
  <c r="W115" i="30"/>
  <c r="W256" i="30"/>
  <c r="W62" i="30"/>
  <c r="W348" i="24"/>
  <c r="W280" i="24"/>
  <c r="W363" i="25"/>
  <c r="W264" i="25"/>
  <c r="W200" i="26"/>
  <c r="W183" i="27"/>
  <c r="W268" i="27"/>
  <c r="W322" i="28"/>
  <c r="W84" i="30"/>
  <c r="W225" i="30"/>
  <c r="W98" i="24"/>
  <c r="W377" i="24"/>
  <c r="W182" i="25"/>
  <c r="W133" i="25"/>
  <c r="W190" i="26"/>
  <c r="W233" i="26"/>
  <c r="W258" i="27"/>
  <c r="W217" i="28"/>
  <c r="W319" i="30"/>
  <c r="W125" i="30"/>
  <c r="W266" i="30"/>
  <c r="W169" i="24"/>
  <c r="W83" i="24"/>
  <c r="W159" i="25"/>
  <c r="W347" i="25"/>
  <c r="W335" i="26"/>
  <c r="W362" i="27"/>
  <c r="W215" i="27"/>
  <c r="W347" i="28"/>
  <c r="W288" i="30"/>
  <c r="W94" i="30"/>
  <c r="W302" i="24"/>
  <c r="W186" i="24"/>
  <c r="W118" i="24"/>
  <c r="W184" i="25"/>
  <c r="W257" i="26"/>
  <c r="W319" i="26"/>
  <c r="W223" i="27"/>
  <c r="W284" i="28"/>
  <c r="W339" i="28"/>
  <c r="D40" i="38"/>
  <c r="D33" i="38"/>
  <c r="D34" i="38" s="1"/>
  <c r="H65" i="38"/>
  <c r="I65" i="38"/>
  <c r="I99" i="38" s="1"/>
  <c r="I108" i="38" s="1"/>
  <c r="I117" i="38" s="1"/>
  <c r="I126" i="38" s="1"/>
  <c r="J65" i="38"/>
  <c r="C109" i="38"/>
  <c r="C114" i="38"/>
  <c r="C115" i="38"/>
  <c r="C112" i="38"/>
  <c r="C113" i="38"/>
  <c r="B5" i="38"/>
  <c r="I3" i="4" s="1"/>
  <c r="F32" i="38"/>
  <c r="C110" i="38"/>
  <c r="C111" i="38"/>
  <c r="D137" i="38"/>
  <c r="E99" i="38"/>
  <c r="E108" i="38" s="1"/>
  <c r="E117" i="38" s="1"/>
  <c r="F82" i="38"/>
  <c r="D99" i="38"/>
  <c r="D108" i="38" s="1"/>
  <c r="D117" i="38" s="1"/>
  <c r="E67" i="38"/>
  <c r="E75" i="38" s="1"/>
  <c r="G82" i="38"/>
  <c r="D131" i="38"/>
  <c r="D139" i="38" s="1"/>
  <c r="G126" i="38"/>
  <c r="D91" i="38"/>
  <c r="D84" i="38"/>
  <c r="F51" i="38"/>
  <c r="F59" i="38" s="1"/>
  <c r="D50" i="38"/>
  <c r="D57" i="38"/>
  <c r="G51" i="38"/>
  <c r="G58" i="38"/>
  <c r="F126" i="38"/>
  <c r="F75" i="38"/>
  <c r="F68" i="38"/>
  <c r="G85" i="38"/>
  <c r="G92" i="38"/>
  <c r="E137" i="38"/>
  <c r="E130" i="38"/>
  <c r="G137" i="38"/>
  <c r="G130" i="38"/>
  <c r="F137" i="38"/>
  <c r="F130" i="38"/>
  <c r="F87" i="38"/>
  <c r="F94" i="38"/>
  <c r="G75" i="38"/>
  <c r="G68" i="38"/>
  <c r="D75" i="38"/>
  <c r="D68" i="38"/>
  <c r="E17" i="38"/>
  <c r="E25" i="38" s="1"/>
  <c r="H5" i="38"/>
  <c r="E24" i="38"/>
  <c r="D17" i="38"/>
  <c r="D24" i="38"/>
  <c r="G17" i="38"/>
  <c r="G24" i="38"/>
  <c r="D41" i="38" l="1"/>
  <c r="J82" i="38"/>
  <c r="J99" i="38"/>
  <c r="J108" i="38" s="1"/>
  <c r="J117" i="38" s="1"/>
  <c r="J126" i="38" s="1"/>
  <c r="I82" i="38"/>
  <c r="H82" i="38"/>
  <c r="H99" i="38"/>
  <c r="H108" i="38" s="1"/>
  <c r="H117" i="38" s="1"/>
  <c r="H126" i="38" s="1"/>
  <c r="C123" i="38"/>
  <c r="C119" i="38"/>
  <c r="C122" i="38"/>
  <c r="E32" i="38"/>
  <c r="E33" i="38" s="1"/>
  <c r="C121" i="38"/>
  <c r="C118" i="38"/>
  <c r="C120" i="38"/>
  <c r="C124" i="38"/>
  <c r="E68" i="38"/>
  <c r="E76" i="38" s="1"/>
  <c r="D126" i="38"/>
  <c r="E126" i="38"/>
  <c r="F52" i="38"/>
  <c r="F53" i="38" s="1"/>
  <c r="G32" i="38"/>
  <c r="G33" i="38" s="1"/>
  <c r="D132" i="38"/>
  <c r="D133" i="38" s="1"/>
  <c r="D141" i="38" s="1"/>
  <c r="F40" i="38"/>
  <c r="F33" i="38"/>
  <c r="G59" i="38"/>
  <c r="G52" i="38"/>
  <c r="G86" i="38"/>
  <c r="G93" i="38"/>
  <c r="D51" i="38"/>
  <c r="D58" i="38"/>
  <c r="D42" i="38"/>
  <c r="D35" i="38"/>
  <c r="D85" i="38"/>
  <c r="D92" i="38"/>
  <c r="F69" i="38"/>
  <c r="F76" i="38"/>
  <c r="F131" i="38"/>
  <c r="F138" i="38"/>
  <c r="G131" i="38"/>
  <c r="G138" i="38"/>
  <c r="E131" i="38"/>
  <c r="E138" i="38"/>
  <c r="F95" i="38"/>
  <c r="F88" i="38"/>
  <c r="D76" i="38"/>
  <c r="D69" i="38"/>
  <c r="G69" i="38"/>
  <c r="G76" i="38"/>
  <c r="E18" i="38"/>
  <c r="G18" i="38"/>
  <c r="G25" i="38"/>
  <c r="D18" i="38"/>
  <c r="D25" i="38"/>
  <c r="D140" i="38" l="1"/>
  <c r="E69" i="38"/>
  <c r="E77" i="38" s="1"/>
  <c r="C127" i="38"/>
  <c r="C135" i="38"/>
  <c r="C130" i="38"/>
  <c r="C138" i="38"/>
  <c r="E40" i="38"/>
  <c r="C131" i="38"/>
  <c r="C139" i="38"/>
  <c r="C128" i="38"/>
  <c r="C136" i="38"/>
  <c r="C133" i="38"/>
  <c r="C141" i="38"/>
  <c r="C129" i="38"/>
  <c r="C137" i="38"/>
  <c r="C132" i="38"/>
  <c r="C140" i="38"/>
  <c r="F60" i="38"/>
  <c r="G40" i="38"/>
  <c r="E41" i="38"/>
  <c r="E34" i="38"/>
  <c r="D59" i="38"/>
  <c r="D52" i="38"/>
  <c r="G94" i="38"/>
  <c r="G87" i="38"/>
  <c r="G53" i="38"/>
  <c r="G60" i="38"/>
  <c r="F77" i="38"/>
  <c r="F70" i="38"/>
  <c r="F34" i="38"/>
  <c r="F41" i="38"/>
  <c r="D86" i="38"/>
  <c r="D93" i="38"/>
  <c r="D43" i="38"/>
  <c r="D36" i="38"/>
  <c r="G41" i="38"/>
  <c r="G34" i="38"/>
  <c r="E132" i="38"/>
  <c r="E139" i="38"/>
  <c r="G132" i="38"/>
  <c r="G139" i="38"/>
  <c r="F132" i="38"/>
  <c r="F139" i="38"/>
  <c r="F54" i="38"/>
  <c r="F61" i="38"/>
  <c r="F96" i="38"/>
  <c r="F89" i="38"/>
  <c r="F97" i="38" s="1"/>
  <c r="G77" i="38"/>
  <c r="G70" i="38"/>
  <c r="D70" i="38"/>
  <c r="D77" i="38"/>
  <c r="E19" i="38"/>
  <c r="E26" i="38"/>
  <c r="D19" i="38"/>
  <c r="D26" i="38"/>
  <c r="G19" i="38"/>
  <c r="G26" i="38"/>
  <c r="E70" i="38" l="1"/>
  <c r="E71" i="38" s="1"/>
  <c r="F35" i="38"/>
  <c r="F42" i="38"/>
  <c r="F78" i="38"/>
  <c r="F71" i="38"/>
  <c r="G54" i="38"/>
  <c r="G61" i="38"/>
  <c r="G42" i="38"/>
  <c r="G35" i="38"/>
  <c r="G95" i="38"/>
  <c r="G88" i="38"/>
  <c r="D44" i="38"/>
  <c r="D37" i="38"/>
  <c r="D60" i="38"/>
  <c r="D53" i="38"/>
  <c r="E42" i="38"/>
  <c r="E35" i="38"/>
  <c r="D94" i="38"/>
  <c r="D87" i="38"/>
  <c r="F140" i="38"/>
  <c r="F133" i="38"/>
  <c r="F141" i="38" s="1"/>
  <c r="G140" i="38"/>
  <c r="G133" i="38"/>
  <c r="G141" i="38" s="1"/>
  <c r="E140" i="38"/>
  <c r="E133" i="38"/>
  <c r="E141" i="38" s="1"/>
  <c r="F62" i="38"/>
  <c r="F55" i="38"/>
  <c r="F63" i="38" s="1"/>
  <c r="D78" i="38"/>
  <c r="D71" i="38"/>
  <c r="G71" i="38"/>
  <c r="G78" i="38"/>
  <c r="E20" i="38"/>
  <c r="E27" i="38"/>
  <c r="G20" i="38"/>
  <c r="G27" i="38"/>
  <c r="D20" i="38"/>
  <c r="D27" i="38"/>
  <c r="E78" i="38" l="1"/>
  <c r="D45" i="38"/>
  <c r="D38" i="38"/>
  <c r="D46" i="38" s="1"/>
  <c r="G96" i="38"/>
  <c r="G89" i="38"/>
  <c r="G97" i="38" s="1"/>
  <c r="G43" i="38"/>
  <c r="G36" i="38"/>
  <c r="D95" i="38"/>
  <c r="D88" i="38"/>
  <c r="G62" i="38"/>
  <c r="G55" i="38"/>
  <c r="G63" i="38" s="1"/>
  <c r="E43" i="38"/>
  <c r="E36" i="38"/>
  <c r="F72" i="38"/>
  <c r="F80" i="38" s="1"/>
  <c r="F79" i="38"/>
  <c r="D54" i="38"/>
  <c r="D61" i="38"/>
  <c r="F43" i="38"/>
  <c r="F36" i="38"/>
  <c r="E79" i="38"/>
  <c r="E72" i="38"/>
  <c r="E80" i="38" s="1"/>
  <c r="G72" i="38"/>
  <c r="G80" i="38" s="1"/>
  <c r="G79" i="38"/>
  <c r="D79" i="38"/>
  <c r="D72" i="38"/>
  <c r="D80" i="38" s="1"/>
  <c r="E21" i="38"/>
  <c r="E28" i="38"/>
  <c r="D21" i="38"/>
  <c r="D28" i="38"/>
  <c r="G21" i="38"/>
  <c r="G28" i="38"/>
  <c r="E44" i="38" l="1"/>
  <c r="E37" i="38"/>
  <c r="D96" i="38"/>
  <c r="D89" i="38"/>
  <c r="D97" i="38" s="1"/>
  <c r="F44" i="38"/>
  <c r="F37" i="38"/>
  <c r="G44" i="38"/>
  <c r="G37" i="38"/>
  <c r="D55" i="38"/>
  <c r="D63" i="38" s="1"/>
  <c r="D62" i="38"/>
  <c r="G29" i="38"/>
  <c r="D29" i="38"/>
  <c r="E29" i="38"/>
  <c r="G45" i="38" l="1"/>
  <c r="G38" i="38"/>
  <c r="G46" i="38" s="1"/>
  <c r="F45" i="38"/>
  <c r="F38" i="38"/>
  <c r="F46" i="38" s="1"/>
  <c r="E45" i="38"/>
  <c r="E38" i="38"/>
  <c r="E46" i="38" s="1"/>
  <c r="B74" i="22" l="1"/>
  <c r="B73" i="22"/>
  <c r="B72" i="22"/>
  <c r="B71" i="22"/>
  <c r="B70" i="22"/>
  <c r="G66" i="23" l="1"/>
  <c r="T3" i="28" l="1"/>
  <c r="T4" i="28"/>
  <c r="T5" i="28"/>
  <c r="T6" i="28"/>
  <c r="T7" i="28"/>
  <c r="T8" i="28"/>
  <c r="T9" i="28"/>
  <c r="T10" i="28"/>
  <c r="T11" i="28"/>
  <c r="T12" i="28"/>
  <c r="T13" i="28"/>
  <c r="T2" i="28"/>
  <c r="T3" i="27"/>
  <c r="T4" i="27"/>
  <c r="T5" i="27"/>
  <c r="T6" i="27"/>
  <c r="T7" i="27"/>
  <c r="T8" i="27"/>
  <c r="T9" i="27"/>
  <c r="T10" i="27"/>
  <c r="T11" i="27"/>
  <c r="T12" i="27"/>
  <c r="T13" i="27"/>
  <c r="T2" i="27"/>
  <c r="T3" i="26"/>
  <c r="T4" i="26"/>
  <c r="T5" i="26"/>
  <c r="T6" i="26"/>
  <c r="T7" i="26"/>
  <c r="T8" i="26"/>
  <c r="T9" i="26"/>
  <c r="T10" i="26"/>
  <c r="T11" i="26"/>
  <c r="T12" i="26"/>
  <c r="T13" i="26"/>
  <c r="T2" i="26"/>
  <c r="T3" i="25"/>
  <c r="T4" i="25"/>
  <c r="T5" i="25"/>
  <c r="T6" i="25"/>
  <c r="T7" i="25"/>
  <c r="T8" i="25"/>
  <c r="T9" i="25"/>
  <c r="T10" i="25"/>
  <c r="T11" i="25"/>
  <c r="T12" i="25"/>
  <c r="T13" i="25"/>
  <c r="T2" i="25"/>
  <c r="I4" i="11" l="1"/>
  <c r="J4" i="11"/>
  <c r="K4" i="11"/>
  <c r="L4" i="11"/>
  <c r="M4" i="11"/>
  <c r="N4" i="11"/>
  <c r="O4" i="11"/>
  <c r="P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H4" i="11"/>
  <c r="G3" i="33"/>
  <c r="H3" i="33"/>
  <c r="I3" i="33"/>
  <c r="J3" i="33"/>
  <c r="K3" i="33"/>
  <c r="L3" i="33"/>
  <c r="M3" i="33"/>
  <c r="N3" i="33"/>
  <c r="O3" i="33"/>
  <c r="Q3" i="33"/>
  <c r="R3" i="33"/>
  <c r="S3" i="33"/>
  <c r="T3" i="33"/>
  <c r="U3" i="33"/>
  <c r="V3" i="33"/>
  <c r="W3" i="33"/>
  <c r="X3" i="33"/>
  <c r="Y3" i="33"/>
  <c r="Z3" i="33"/>
  <c r="AA3" i="33"/>
  <c r="AB3" i="33"/>
  <c r="AC3" i="33"/>
  <c r="AD3" i="33"/>
  <c r="AE3" i="33"/>
  <c r="AF3" i="33"/>
  <c r="AG3" i="33"/>
  <c r="AH3" i="33"/>
  <c r="F3" i="33"/>
  <c r="E3" i="33"/>
  <c r="M32" i="16" l="1"/>
  <c r="AP388" i="30"/>
  <c r="I33" i="16" l="1"/>
  <c r="B449" i="16" l="1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67" i="16"/>
  <c r="Z384" i="30"/>
  <c r="AJ384" i="30"/>
  <c r="BE384" i="30" s="1"/>
  <c r="N449" i="16" s="1"/>
  <c r="AL384" i="30"/>
  <c r="BG384" i="30" s="1"/>
  <c r="P449" i="16" s="1"/>
  <c r="AQ384" i="30"/>
  <c r="BL384" i="30" s="1"/>
  <c r="U449" i="16" s="1"/>
  <c r="AR384" i="30"/>
  <c r="BM384" i="30" s="1"/>
  <c r="V449" i="16" s="1"/>
  <c r="AA384" i="30"/>
  <c r="AV384" i="30" s="1"/>
  <c r="E449" i="16" s="1"/>
  <c r="AB384" i="30"/>
  <c r="AW384" i="30" s="1"/>
  <c r="F449" i="16" s="1"/>
  <c r="AC384" i="30"/>
  <c r="AX384" i="30" s="1"/>
  <c r="G449" i="16" s="1"/>
  <c r="AD384" i="30"/>
  <c r="AY384" i="30" s="1"/>
  <c r="H449" i="16" s="1"/>
  <c r="AO384" i="30"/>
  <c r="BJ384" i="30" s="1"/>
  <c r="S449" i="16" s="1"/>
  <c r="AP384" i="30"/>
  <c r="BK384" i="30" s="1"/>
  <c r="T449" i="16" s="1"/>
  <c r="AE384" i="30"/>
  <c r="AZ384" i="30" s="1"/>
  <c r="I449" i="16" s="1"/>
  <c r="AF384" i="30"/>
  <c r="BA384" i="30" s="1"/>
  <c r="J449" i="16" s="1"/>
  <c r="AG384" i="30"/>
  <c r="BB384" i="30" s="1"/>
  <c r="K449" i="16" s="1"/>
  <c r="Y384" i="30"/>
  <c r="AT384" i="30" s="1"/>
  <c r="C449" i="16" s="1"/>
  <c r="D33" i="16"/>
  <c r="AT387" i="30"/>
  <c r="AP387" i="30"/>
  <c r="AI384" i="30"/>
  <c r="BD384" i="30" s="1"/>
  <c r="M449" i="16" s="1"/>
  <c r="AM384" i="30"/>
  <c r="BH384" i="30" s="1"/>
  <c r="Q449" i="16" s="1"/>
  <c r="AN384" i="30"/>
  <c r="BI384" i="30" s="1"/>
  <c r="R449" i="16" s="1"/>
  <c r="AK384" i="30" l="1"/>
  <c r="BF384" i="30" s="1"/>
  <c r="O449" i="16" s="1"/>
  <c r="AH384" i="30"/>
  <c r="BC384" i="30" s="1"/>
  <c r="L449" i="16" s="1"/>
  <c r="AT395" i="30"/>
  <c r="AE340" i="30"/>
  <c r="AZ340" i="30" s="1"/>
  <c r="D17" i="6"/>
  <c r="B339" i="16" l="1"/>
  <c r="AH274" i="30"/>
  <c r="BC274" i="30" s="1"/>
  <c r="L339" i="16" s="1"/>
  <c r="Y274" i="30"/>
  <c r="AT274" i="30" s="1"/>
  <c r="C339" i="16" s="1"/>
  <c r="AK274" i="30"/>
  <c r="BF274" i="30" s="1"/>
  <c r="O339" i="16" s="1"/>
  <c r="AA274" i="30"/>
  <c r="AV274" i="30" s="1"/>
  <c r="E339" i="16" s="1"/>
  <c r="AM274" i="30"/>
  <c r="BH274" i="30" s="1"/>
  <c r="Q339" i="16" s="1"/>
  <c r="AB274" i="30"/>
  <c r="AW274" i="30" s="1"/>
  <c r="F339" i="16" s="1"/>
  <c r="AN274" i="30"/>
  <c r="BI274" i="30" s="1"/>
  <c r="R339" i="16" s="1"/>
  <c r="AC274" i="30"/>
  <c r="AX274" i="30" s="1"/>
  <c r="G339" i="16" s="1"/>
  <c r="AO274" i="30"/>
  <c r="BJ274" i="30" s="1"/>
  <c r="S339" i="16" s="1"/>
  <c r="AD274" i="30"/>
  <c r="AY274" i="30" s="1"/>
  <c r="H339" i="16" s="1"/>
  <c r="AP274" i="30"/>
  <c r="BK274" i="30" s="1"/>
  <c r="T339" i="16" s="1"/>
  <c r="AR274" i="30"/>
  <c r="BM274" i="30" s="1"/>
  <c r="V339" i="16" s="1"/>
  <c r="AE274" i="30"/>
  <c r="AZ274" i="30" s="1"/>
  <c r="I339" i="16" s="1"/>
  <c r="AF274" i="30"/>
  <c r="BA274" i="30" s="1"/>
  <c r="J339" i="16" s="1"/>
  <c r="AI274" i="30"/>
  <c r="BD274" i="30" s="1"/>
  <c r="M339" i="16" s="1"/>
  <c r="AJ274" i="30"/>
  <c r="BE274" i="30" s="1"/>
  <c r="N339" i="16" s="1"/>
  <c r="Z274" i="30"/>
  <c r="AG274" i="30"/>
  <c r="BB274" i="30" s="1"/>
  <c r="K339" i="16" s="1"/>
  <c r="AL274" i="30"/>
  <c r="BG274" i="30" s="1"/>
  <c r="P339" i="16" s="1"/>
  <c r="AQ274" i="30"/>
  <c r="BL274" i="30" s="1"/>
  <c r="U339" i="16" s="1"/>
  <c r="B412" i="16"/>
  <c r="AJ347" i="30"/>
  <c r="Y347" i="30"/>
  <c r="AT347" i="30" s="1"/>
  <c r="C412" i="16" s="1"/>
  <c r="AK347" i="30"/>
  <c r="AC347" i="30"/>
  <c r="AO347" i="30"/>
  <c r="AD347" i="30"/>
  <c r="AP347" i="30"/>
  <c r="AE347" i="30"/>
  <c r="AQ347" i="30"/>
  <c r="AF347" i="30"/>
  <c r="AL347" i="30"/>
  <c r="AN347" i="30"/>
  <c r="Z347" i="30"/>
  <c r="AA347" i="30"/>
  <c r="AI347" i="30"/>
  <c r="AR347" i="30"/>
  <c r="AG347" i="30"/>
  <c r="AB347" i="30"/>
  <c r="AH347" i="30"/>
  <c r="AM347" i="30"/>
  <c r="B415" i="16"/>
  <c r="AJ350" i="30"/>
  <c r="BE350" i="30" s="1"/>
  <c r="N415" i="16" s="1"/>
  <c r="Y350" i="30"/>
  <c r="AT350" i="30" s="1"/>
  <c r="C415" i="16" s="1"/>
  <c r="AK350" i="30"/>
  <c r="BF350" i="30" s="1"/>
  <c r="O415" i="16" s="1"/>
  <c r="AC350" i="30"/>
  <c r="AX350" i="30" s="1"/>
  <c r="G415" i="16" s="1"/>
  <c r="AO350" i="30"/>
  <c r="BJ350" i="30" s="1"/>
  <c r="S415" i="16" s="1"/>
  <c r="AD350" i="30"/>
  <c r="AY350" i="30" s="1"/>
  <c r="H415" i="16" s="1"/>
  <c r="AP350" i="30"/>
  <c r="BK350" i="30" s="1"/>
  <c r="T415" i="16" s="1"/>
  <c r="AE350" i="30"/>
  <c r="AZ350" i="30" s="1"/>
  <c r="I415" i="16" s="1"/>
  <c r="AQ350" i="30"/>
  <c r="BL350" i="30" s="1"/>
  <c r="U415" i="16" s="1"/>
  <c r="AG350" i="30"/>
  <c r="BB350" i="30" s="1"/>
  <c r="K415" i="16" s="1"/>
  <c r="AM350" i="30"/>
  <c r="BH350" i="30" s="1"/>
  <c r="Q415" i="16" s="1"/>
  <c r="AR350" i="30"/>
  <c r="BM350" i="30" s="1"/>
  <c r="V415" i="16" s="1"/>
  <c r="AA350" i="30"/>
  <c r="AV350" i="30" s="1"/>
  <c r="E415" i="16" s="1"/>
  <c r="AB350" i="30"/>
  <c r="AW350" i="30" s="1"/>
  <c r="F415" i="16" s="1"/>
  <c r="AI350" i="30"/>
  <c r="BD350" i="30" s="1"/>
  <c r="M415" i="16" s="1"/>
  <c r="AF350" i="30"/>
  <c r="BA350" i="30" s="1"/>
  <c r="J415" i="16" s="1"/>
  <c r="Z350" i="30"/>
  <c r="AH350" i="30"/>
  <c r="BC350" i="30" s="1"/>
  <c r="L415" i="16" s="1"/>
  <c r="AL350" i="30"/>
  <c r="BG350" i="30" s="1"/>
  <c r="P415" i="16" s="1"/>
  <c r="AN350" i="30"/>
  <c r="BI350" i="30" s="1"/>
  <c r="R415" i="16" s="1"/>
  <c r="B446" i="16"/>
  <c r="AC381" i="30"/>
  <c r="AO381" i="30"/>
  <c r="AG381" i="30"/>
  <c r="AI381" i="30"/>
  <c r="Z381" i="30"/>
  <c r="AL381" i="30"/>
  <c r="AA381" i="30"/>
  <c r="AM381" i="30"/>
  <c r="AE381" i="30"/>
  <c r="AJ381" i="30"/>
  <c r="AP381" i="30"/>
  <c r="AD381" i="30"/>
  <c r="AH381" i="30"/>
  <c r="AK381" i="30"/>
  <c r="AN381" i="30"/>
  <c r="AQ381" i="30"/>
  <c r="AR381" i="30"/>
  <c r="Y381" i="30"/>
  <c r="AT381" i="30" s="1"/>
  <c r="C446" i="16" s="1"/>
  <c r="AB381" i="30"/>
  <c r="AF381" i="30"/>
  <c r="AH280" i="30"/>
  <c r="BC280" i="30" s="1"/>
  <c r="L345" i="16" s="1"/>
  <c r="B345" i="16"/>
  <c r="AB280" i="30"/>
  <c r="AW280" i="30" s="1"/>
  <c r="F345" i="16" s="1"/>
  <c r="AN280" i="30"/>
  <c r="BI280" i="30" s="1"/>
  <c r="R345" i="16" s="1"/>
  <c r="AL280" i="30"/>
  <c r="BG280" i="30" s="1"/>
  <c r="P345" i="16" s="1"/>
  <c r="AA280" i="30"/>
  <c r="AV280" i="30" s="1"/>
  <c r="E345" i="16" s="1"/>
  <c r="AP280" i="30"/>
  <c r="BK280" i="30" s="1"/>
  <c r="T345" i="16" s="1"/>
  <c r="AD280" i="30"/>
  <c r="AY280" i="30" s="1"/>
  <c r="H345" i="16" s="1"/>
  <c r="AR280" i="30"/>
  <c r="BM280" i="30" s="1"/>
  <c r="V345" i="16" s="1"/>
  <c r="AE280" i="30"/>
  <c r="AZ280" i="30" s="1"/>
  <c r="I345" i="16" s="1"/>
  <c r="AG280" i="30"/>
  <c r="BB280" i="30" s="1"/>
  <c r="K345" i="16" s="1"/>
  <c r="AI280" i="30"/>
  <c r="BD280" i="30" s="1"/>
  <c r="M345" i="16" s="1"/>
  <c r="AO280" i="30"/>
  <c r="BJ280" i="30" s="1"/>
  <c r="S345" i="16" s="1"/>
  <c r="AQ280" i="30"/>
  <c r="BL280" i="30" s="1"/>
  <c r="U345" i="16" s="1"/>
  <c r="Y280" i="30"/>
  <c r="AT280" i="30" s="1"/>
  <c r="C345" i="16" s="1"/>
  <c r="Z280" i="30"/>
  <c r="AC280" i="30"/>
  <c r="AX280" i="30" s="1"/>
  <c r="G345" i="16" s="1"/>
  <c r="AF280" i="30"/>
  <c r="BA280" i="30" s="1"/>
  <c r="J345" i="16" s="1"/>
  <c r="AK280" i="30"/>
  <c r="BF280" i="30" s="1"/>
  <c r="O345" i="16" s="1"/>
  <c r="AM280" i="30"/>
  <c r="BH280" i="30" s="1"/>
  <c r="Q345" i="16" s="1"/>
  <c r="AJ280" i="30"/>
  <c r="BE280" i="30" s="1"/>
  <c r="N345" i="16" s="1"/>
  <c r="B417" i="16"/>
  <c r="AF352" i="30"/>
  <c r="BA352" i="30" s="1"/>
  <c r="J417" i="16" s="1"/>
  <c r="AR352" i="30"/>
  <c r="BM352" i="30" s="1"/>
  <c r="V417" i="16" s="1"/>
  <c r="AG352" i="30"/>
  <c r="BB352" i="30" s="1"/>
  <c r="K417" i="16" s="1"/>
  <c r="Y352" i="30"/>
  <c r="AT352" i="30" s="1"/>
  <c r="C417" i="16" s="1"/>
  <c r="AK352" i="30"/>
  <c r="BF352" i="30" s="1"/>
  <c r="O417" i="16" s="1"/>
  <c r="Z352" i="30"/>
  <c r="AL352" i="30"/>
  <c r="BG352" i="30" s="1"/>
  <c r="P417" i="16" s="1"/>
  <c r="AA352" i="30"/>
  <c r="AV352" i="30" s="1"/>
  <c r="E417" i="16" s="1"/>
  <c r="AM352" i="30"/>
  <c r="BH352" i="30" s="1"/>
  <c r="Q417" i="16" s="1"/>
  <c r="AH352" i="30"/>
  <c r="BC352" i="30" s="1"/>
  <c r="L417" i="16" s="1"/>
  <c r="AO352" i="30"/>
  <c r="BJ352" i="30" s="1"/>
  <c r="S417" i="16" s="1"/>
  <c r="AQ352" i="30"/>
  <c r="BL352" i="30" s="1"/>
  <c r="U417" i="16" s="1"/>
  <c r="AC352" i="30"/>
  <c r="AX352" i="30" s="1"/>
  <c r="G417" i="16" s="1"/>
  <c r="AD352" i="30"/>
  <c r="AY352" i="30" s="1"/>
  <c r="H417" i="16" s="1"/>
  <c r="AE352" i="30"/>
  <c r="AZ352" i="30" s="1"/>
  <c r="I417" i="16" s="1"/>
  <c r="AP352" i="30"/>
  <c r="BK352" i="30" s="1"/>
  <c r="T417" i="16" s="1"/>
  <c r="AB352" i="30"/>
  <c r="AW352" i="30" s="1"/>
  <c r="F417" i="16" s="1"/>
  <c r="AI352" i="30"/>
  <c r="BD352" i="30" s="1"/>
  <c r="M417" i="16" s="1"/>
  <c r="AJ352" i="30"/>
  <c r="BE352" i="30" s="1"/>
  <c r="N417" i="16" s="1"/>
  <c r="AN352" i="30"/>
  <c r="BI352" i="30" s="1"/>
  <c r="R417" i="16" s="1"/>
  <c r="B346" i="16"/>
  <c r="Z281" i="30"/>
  <c r="AL281" i="30"/>
  <c r="BG281" i="30" s="1"/>
  <c r="P346" i="16" s="1"/>
  <c r="AF281" i="30"/>
  <c r="BA281" i="30" s="1"/>
  <c r="J346" i="16" s="1"/>
  <c r="AG281" i="30"/>
  <c r="BB281" i="30" s="1"/>
  <c r="K346" i="16" s="1"/>
  <c r="AJ281" i="30"/>
  <c r="BE281" i="30" s="1"/>
  <c r="N346" i="16" s="1"/>
  <c r="AM281" i="30"/>
  <c r="BH281" i="30" s="1"/>
  <c r="Q346" i="16" s="1"/>
  <c r="Y281" i="30"/>
  <c r="AT281" i="30" s="1"/>
  <c r="C346" i="16" s="1"/>
  <c r="AN281" i="30"/>
  <c r="BI281" i="30" s="1"/>
  <c r="R346" i="16" s="1"/>
  <c r="AB281" i="30"/>
  <c r="AW281" i="30" s="1"/>
  <c r="F346" i="16" s="1"/>
  <c r="AP281" i="30"/>
  <c r="BK281" i="30" s="1"/>
  <c r="T346" i="16" s="1"/>
  <c r="AC281" i="30"/>
  <c r="AX281" i="30" s="1"/>
  <c r="G346" i="16" s="1"/>
  <c r="AQ281" i="30"/>
  <c r="BL281" i="30" s="1"/>
  <c r="U346" i="16" s="1"/>
  <c r="AA281" i="30"/>
  <c r="AV281" i="30" s="1"/>
  <c r="E346" i="16" s="1"/>
  <c r="AD281" i="30"/>
  <c r="AY281" i="30" s="1"/>
  <c r="H346" i="16" s="1"/>
  <c r="AE281" i="30"/>
  <c r="AZ281" i="30" s="1"/>
  <c r="I346" i="16" s="1"/>
  <c r="AH281" i="30"/>
  <c r="BC281" i="30" s="1"/>
  <c r="L346" i="16" s="1"/>
  <c r="AI281" i="30"/>
  <c r="BD281" i="30" s="1"/>
  <c r="M346" i="16" s="1"/>
  <c r="AK281" i="30"/>
  <c r="BF281" i="30" s="1"/>
  <c r="O346" i="16" s="1"/>
  <c r="AO281" i="30"/>
  <c r="BJ281" i="30" s="1"/>
  <c r="S346" i="16" s="1"/>
  <c r="AR281" i="30"/>
  <c r="BM281" i="30" s="1"/>
  <c r="V346" i="16" s="1"/>
  <c r="B418" i="16"/>
  <c r="AJ353" i="30"/>
  <c r="Y353" i="30"/>
  <c r="AT353" i="30" s="1"/>
  <c r="C418" i="16" s="1"/>
  <c r="AK353" i="30"/>
  <c r="AC353" i="30"/>
  <c r="AO353" i="30"/>
  <c r="AD353" i="30"/>
  <c r="AP353" i="30"/>
  <c r="AE353" i="30"/>
  <c r="AQ353" i="30"/>
  <c r="AH353" i="30"/>
  <c r="AN353" i="30"/>
  <c r="AB353" i="30"/>
  <c r="AF353" i="30"/>
  <c r="AA353" i="30"/>
  <c r="AG353" i="30"/>
  <c r="AM353" i="30"/>
  <c r="Z353" i="30"/>
  <c r="AI353" i="30"/>
  <c r="AL353" i="30"/>
  <c r="AR353" i="30"/>
  <c r="B329" i="16"/>
  <c r="AD264" i="30"/>
  <c r="AY264" i="30" s="1"/>
  <c r="H329" i="16" s="1"/>
  <c r="AP264" i="30"/>
  <c r="BK264" i="30" s="1"/>
  <c r="T329" i="16" s="1"/>
  <c r="AG264" i="30"/>
  <c r="BB264" i="30" s="1"/>
  <c r="K329" i="16" s="1"/>
  <c r="AI264" i="30"/>
  <c r="BD264" i="30" s="1"/>
  <c r="M329" i="16" s="1"/>
  <c r="AJ264" i="30"/>
  <c r="BE264" i="30" s="1"/>
  <c r="N329" i="16" s="1"/>
  <c r="Y264" i="30"/>
  <c r="AT264" i="30" s="1"/>
  <c r="C329" i="16" s="1"/>
  <c r="AK264" i="30"/>
  <c r="BF264" i="30" s="1"/>
  <c r="O329" i="16" s="1"/>
  <c r="Z264" i="30"/>
  <c r="AL264" i="30"/>
  <c r="BG264" i="30" s="1"/>
  <c r="P329" i="16" s="1"/>
  <c r="AB264" i="30"/>
  <c r="AW264" i="30" s="1"/>
  <c r="F329" i="16" s="1"/>
  <c r="AF264" i="30"/>
  <c r="BA264" i="30" s="1"/>
  <c r="J329" i="16" s="1"/>
  <c r="AM264" i="30"/>
  <c r="BH264" i="30" s="1"/>
  <c r="Q329" i="16" s="1"/>
  <c r="AN264" i="30"/>
  <c r="BI264" i="30" s="1"/>
  <c r="R329" i="16" s="1"/>
  <c r="AQ264" i="30"/>
  <c r="BL264" i="30" s="1"/>
  <c r="U329" i="16" s="1"/>
  <c r="AR264" i="30"/>
  <c r="BM264" i="30" s="1"/>
  <c r="V329" i="16" s="1"/>
  <c r="AE264" i="30"/>
  <c r="AZ264" i="30" s="1"/>
  <c r="I329" i="16" s="1"/>
  <c r="AH264" i="30"/>
  <c r="BC264" i="30" s="1"/>
  <c r="L329" i="16" s="1"/>
  <c r="AO264" i="30"/>
  <c r="BJ264" i="30" s="1"/>
  <c r="S329" i="16" s="1"/>
  <c r="AA264" i="30"/>
  <c r="AV264" i="30" s="1"/>
  <c r="E329" i="16" s="1"/>
  <c r="AC264" i="30"/>
  <c r="AX264" i="30" s="1"/>
  <c r="G329" i="16" s="1"/>
  <c r="B401" i="16"/>
  <c r="AA336" i="30"/>
  <c r="AV336" i="30" s="1"/>
  <c r="E401" i="16" s="1"/>
  <c r="AM336" i="30"/>
  <c r="BH336" i="30" s="1"/>
  <c r="Q401" i="16" s="1"/>
  <c r="AB336" i="30"/>
  <c r="AW336" i="30" s="1"/>
  <c r="F401" i="16" s="1"/>
  <c r="AN336" i="30"/>
  <c r="BI336" i="30" s="1"/>
  <c r="R401" i="16" s="1"/>
  <c r="AF336" i="30"/>
  <c r="BA336" i="30" s="1"/>
  <c r="J401" i="16" s="1"/>
  <c r="AR336" i="30"/>
  <c r="BM336" i="30" s="1"/>
  <c r="V401" i="16" s="1"/>
  <c r="AG336" i="30"/>
  <c r="BB336" i="30" s="1"/>
  <c r="K401" i="16" s="1"/>
  <c r="AH336" i="30"/>
  <c r="BC336" i="30" s="1"/>
  <c r="L401" i="16" s="1"/>
  <c r="AQ336" i="30"/>
  <c r="BL336" i="30" s="1"/>
  <c r="U401" i="16" s="1"/>
  <c r="AD336" i="30"/>
  <c r="AY336" i="30" s="1"/>
  <c r="H401" i="16" s="1"/>
  <c r="AI336" i="30"/>
  <c r="BD336" i="30" s="1"/>
  <c r="M401" i="16" s="1"/>
  <c r="AL336" i="30"/>
  <c r="BG336" i="30" s="1"/>
  <c r="P401" i="16" s="1"/>
  <c r="AO336" i="30"/>
  <c r="BJ336" i="30" s="1"/>
  <c r="S401" i="16" s="1"/>
  <c r="AE336" i="30"/>
  <c r="AZ336" i="30" s="1"/>
  <c r="I401" i="16" s="1"/>
  <c r="Z336" i="30"/>
  <c r="Y336" i="30"/>
  <c r="AT336" i="30" s="1"/>
  <c r="C401" i="16" s="1"/>
  <c r="AC336" i="30"/>
  <c r="AX336" i="30" s="1"/>
  <c r="G401" i="16" s="1"/>
  <c r="AJ336" i="30"/>
  <c r="BE336" i="30" s="1"/>
  <c r="N401" i="16" s="1"/>
  <c r="AK336" i="30"/>
  <c r="BF336" i="30" s="1"/>
  <c r="O401" i="16" s="1"/>
  <c r="AP336" i="30"/>
  <c r="BK336" i="30" s="1"/>
  <c r="T401" i="16" s="1"/>
  <c r="B349" i="16"/>
  <c r="AH284" i="30"/>
  <c r="BC284" i="30" s="1"/>
  <c r="L349" i="16" s="1"/>
  <c r="Y284" i="30"/>
  <c r="AT284" i="30" s="1"/>
  <c r="C349" i="16" s="1"/>
  <c r="AK284" i="30"/>
  <c r="BF284" i="30" s="1"/>
  <c r="O349" i="16" s="1"/>
  <c r="AA284" i="30"/>
  <c r="AV284" i="30" s="1"/>
  <c r="E349" i="16" s="1"/>
  <c r="AM284" i="30"/>
  <c r="BH284" i="30" s="1"/>
  <c r="Q349" i="16" s="1"/>
  <c r="AB284" i="30"/>
  <c r="AW284" i="30" s="1"/>
  <c r="F349" i="16" s="1"/>
  <c r="AN284" i="30"/>
  <c r="BI284" i="30" s="1"/>
  <c r="R349" i="16" s="1"/>
  <c r="AD284" i="30"/>
  <c r="AY284" i="30" s="1"/>
  <c r="H349" i="16" s="1"/>
  <c r="AP284" i="30"/>
  <c r="BK284" i="30" s="1"/>
  <c r="T349" i="16" s="1"/>
  <c r="AE284" i="30"/>
  <c r="AZ284" i="30" s="1"/>
  <c r="I349" i="16" s="1"/>
  <c r="AQ284" i="30"/>
  <c r="BL284" i="30" s="1"/>
  <c r="U349" i="16" s="1"/>
  <c r="AJ284" i="30"/>
  <c r="BE284" i="30" s="1"/>
  <c r="N349" i="16" s="1"/>
  <c r="AL284" i="30"/>
  <c r="BG284" i="30" s="1"/>
  <c r="P349" i="16" s="1"/>
  <c r="AO284" i="30"/>
  <c r="BJ284" i="30" s="1"/>
  <c r="S349" i="16" s="1"/>
  <c r="AR284" i="30"/>
  <c r="BM284" i="30" s="1"/>
  <c r="V349" i="16" s="1"/>
  <c r="Z284" i="30"/>
  <c r="AC284" i="30"/>
  <c r="AX284" i="30" s="1"/>
  <c r="G349" i="16" s="1"/>
  <c r="AG284" i="30"/>
  <c r="BB284" i="30" s="1"/>
  <c r="K349" i="16" s="1"/>
  <c r="AI284" i="30"/>
  <c r="BD284" i="30" s="1"/>
  <c r="M349" i="16" s="1"/>
  <c r="AF284" i="30"/>
  <c r="BA284" i="30" s="1"/>
  <c r="J349" i="16" s="1"/>
  <c r="B421" i="16"/>
  <c r="AJ356" i="30"/>
  <c r="Y356" i="30"/>
  <c r="AT356" i="30" s="1"/>
  <c r="C421" i="16" s="1"/>
  <c r="AK356" i="30"/>
  <c r="AC356" i="30"/>
  <c r="AO356" i="30"/>
  <c r="AD356" i="30"/>
  <c r="AP356" i="30"/>
  <c r="AE356" i="30"/>
  <c r="AQ356" i="30"/>
  <c r="AI356" i="30"/>
  <c r="AR356" i="30"/>
  <c r="Z356" i="30"/>
  <c r="AF356" i="30"/>
  <c r="AG356" i="30"/>
  <c r="AH356" i="30"/>
  <c r="AM356" i="30"/>
  <c r="AN356" i="30"/>
  <c r="AB356" i="30"/>
  <c r="AA356" i="30"/>
  <c r="AL356" i="30"/>
  <c r="B350" i="16"/>
  <c r="Z285" i="30"/>
  <c r="AL285" i="30"/>
  <c r="BG285" i="30" s="1"/>
  <c r="P350" i="16" s="1"/>
  <c r="AC285" i="30"/>
  <c r="AX285" i="30" s="1"/>
  <c r="G350" i="16" s="1"/>
  <c r="AO285" i="30"/>
  <c r="BJ285" i="30" s="1"/>
  <c r="S350" i="16" s="1"/>
  <c r="AE285" i="30"/>
  <c r="AZ285" i="30" s="1"/>
  <c r="I350" i="16" s="1"/>
  <c r="AQ285" i="30"/>
  <c r="BL285" i="30" s="1"/>
  <c r="U350" i="16" s="1"/>
  <c r="AF285" i="30"/>
  <c r="BA285" i="30" s="1"/>
  <c r="J350" i="16" s="1"/>
  <c r="AR285" i="30"/>
  <c r="BM285" i="30" s="1"/>
  <c r="V350" i="16" s="1"/>
  <c r="AH285" i="30"/>
  <c r="BC285" i="30" s="1"/>
  <c r="L350" i="16" s="1"/>
  <c r="AI285" i="30"/>
  <c r="BD285" i="30" s="1"/>
  <c r="M350" i="16" s="1"/>
  <c r="AN285" i="30"/>
  <c r="BI285" i="30" s="1"/>
  <c r="R350" i="16" s="1"/>
  <c r="AP285" i="30"/>
  <c r="BK285" i="30" s="1"/>
  <c r="T350" i="16" s="1"/>
  <c r="Y285" i="30"/>
  <c r="AT285" i="30" s="1"/>
  <c r="C350" i="16" s="1"/>
  <c r="AA285" i="30"/>
  <c r="AV285" i="30" s="1"/>
  <c r="E350" i="16" s="1"/>
  <c r="AB285" i="30"/>
  <c r="AW285" i="30" s="1"/>
  <c r="F350" i="16" s="1"/>
  <c r="AD285" i="30"/>
  <c r="AY285" i="30" s="1"/>
  <c r="H350" i="16" s="1"/>
  <c r="AG285" i="30"/>
  <c r="BB285" i="30" s="1"/>
  <c r="K350" i="16" s="1"/>
  <c r="AK285" i="30"/>
  <c r="BF285" i="30" s="1"/>
  <c r="O350" i="16" s="1"/>
  <c r="AM285" i="30"/>
  <c r="BH285" i="30" s="1"/>
  <c r="Q350" i="16" s="1"/>
  <c r="AJ285" i="30"/>
  <c r="BE285" i="30" s="1"/>
  <c r="N350" i="16" s="1"/>
  <c r="B422" i="16"/>
  <c r="AB357" i="30"/>
  <c r="AN357" i="30"/>
  <c r="AC357" i="30"/>
  <c r="AO357" i="30"/>
  <c r="AG357" i="30"/>
  <c r="AH357" i="30"/>
  <c r="AI357" i="30"/>
  <c r="AK357" i="30"/>
  <c r="AQ357" i="30"/>
  <c r="Z357" i="30"/>
  <c r="AE357" i="30"/>
  <c r="AF357" i="30"/>
  <c r="AL357" i="30"/>
  <c r="AD357" i="30"/>
  <c r="AA357" i="30"/>
  <c r="AJ357" i="30"/>
  <c r="AM357" i="30"/>
  <c r="AP357" i="30"/>
  <c r="AR357" i="30"/>
  <c r="Y357" i="30"/>
  <c r="AT357" i="30" s="1"/>
  <c r="C422" i="16" s="1"/>
  <c r="B330" i="16"/>
  <c r="AH265" i="30"/>
  <c r="BC265" i="30" s="1"/>
  <c r="L330" i="16" s="1"/>
  <c r="Y265" i="30"/>
  <c r="AT265" i="30" s="1"/>
  <c r="C330" i="16" s="1"/>
  <c r="AK265" i="30"/>
  <c r="BF265" i="30" s="1"/>
  <c r="O330" i="16" s="1"/>
  <c r="AA265" i="30"/>
  <c r="AV265" i="30" s="1"/>
  <c r="E330" i="16" s="1"/>
  <c r="AM265" i="30"/>
  <c r="BH265" i="30" s="1"/>
  <c r="Q330" i="16" s="1"/>
  <c r="AB265" i="30"/>
  <c r="AW265" i="30" s="1"/>
  <c r="F330" i="16" s="1"/>
  <c r="AN265" i="30"/>
  <c r="BI265" i="30" s="1"/>
  <c r="R330" i="16" s="1"/>
  <c r="AC265" i="30"/>
  <c r="AX265" i="30" s="1"/>
  <c r="G330" i="16" s="1"/>
  <c r="AO265" i="30"/>
  <c r="BJ265" i="30" s="1"/>
  <c r="S330" i="16" s="1"/>
  <c r="AD265" i="30"/>
  <c r="AY265" i="30" s="1"/>
  <c r="H330" i="16" s="1"/>
  <c r="AP265" i="30"/>
  <c r="BK265" i="30" s="1"/>
  <c r="T330" i="16" s="1"/>
  <c r="AF265" i="30"/>
  <c r="BA265" i="30" s="1"/>
  <c r="J330" i="16" s="1"/>
  <c r="AJ265" i="30"/>
  <c r="BE265" i="30" s="1"/>
  <c r="N330" i="16" s="1"/>
  <c r="AQ265" i="30"/>
  <c r="BL265" i="30" s="1"/>
  <c r="U330" i="16" s="1"/>
  <c r="AR265" i="30"/>
  <c r="BM265" i="30" s="1"/>
  <c r="V330" i="16" s="1"/>
  <c r="Z265" i="30"/>
  <c r="AE265" i="30"/>
  <c r="AZ265" i="30" s="1"/>
  <c r="I330" i="16" s="1"/>
  <c r="AG265" i="30"/>
  <c r="BB265" i="30" s="1"/>
  <c r="K330" i="16" s="1"/>
  <c r="AI265" i="30"/>
  <c r="BD265" i="30" s="1"/>
  <c r="M330" i="16" s="1"/>
  <c r="AL265" i="30"/>
  <c r="BG265" i="30" s="1"/>
  <c r="P330" i="16" s="1"/>
  <c r="B432" i="16"/>
  <c r="AG367" i="30"/>
  <c r="Y367" i="30"/>
  <c r="AT367" i="30" s="1"/>
  <c r="C432" i="16" s="1"/>
  <c r="AK367" i="30"/>
  <c r="AA367" i="30"/>
  <c r="AM367" i="30"/>
  <c r="AD367" i="30"/>
  <c r="AP367" i="30"/>
  <c r="AE367" i="30"/>
  <c r="AQ367" i="30"/>
  <c r="AR367" i="30"/>
  <c r="AB367" i="30"/>
  <c r="AH367" i="30"/>
  <c r="AJ367" i="30"/>
  <c r="AN367" i="30"/>
  <c r="AO367" i="30"/>
  <c r="Z367" i="30"/>
  <c r="AC367" i="30"/>
  <c r="AF367" i="30"/>
  <c r="AI367" i="30"/>
  <c r="AL367" i="30"/>
  <c r="B411" i="16"/>
  <c r="AF346" i="30"/>
  <c r="BA346" i="30" s="1"/>
  <c r="J411" i="16" s="1"/>
  <c r="AR346" i="30"/>
  <c r="BM346" i="30" s="1"/>
  <c r="V411" i="16" s="1"/>
  <c r="AG346" i="30"/>
  <c r="BB346" i="30" s="1"/>
  <c r="K411" i="16" s="1"/>
  <c r="Y346" i="30"/>
  <c r="AT346" i="30" s="1"/>
  <c r="C411" i="16" s="1"/>
  <c r="AK346" i="30"/>
  <c r="BF346" i="30" s="1"/>
  <c r="O411" i="16" s="1"/>
  <c r="Z346" i="30"/>
  <c r="AL346" i="30"/>
  <c r="BG346" i="30" s="1"/>
  <c r="P411" i="16" s="1"/>
  <c r="AA346" i="30"/>
  <c r="AV346" i="30" s="1"/>
  <c r="E411" i="16" s="1"/>
  <c r="AM346" i="30"/>
  <c r="BH346" i="30" s="1"/>
  <c r="Q411" i="16" s="1"/>
  <c r="AD346" i="30"/>
  <c r="AY346" i="30" s="1"/>
  <c r="H411" i="16" s="1"/>
  <c r="AJ346" i="30"/>
  <c r="BE346" i="30" s="1"/>
  <c r="N411" i="16" s="1"/>
  <c r="AO346" i="30"/>
  <c r="BJ346" i="30" s="1"/>
  <c r="S411" i="16" s="1"/>
  <c r="AB346" i="30"/>
  <c r="AW346" i="30" s="1"/>
  <c r="F411" i="16" s="1"/>
  <c r="AQ346" i="30"/>
  <c r="BL346" i="30" s="1"/>
  <c r="U411" i="16" s="1"/>
  <c r="AC346" i="30"/>
  <c r="AX346" i="30" s="1"/>
  <c r="G411" i="16" s="1"/>
  <c r="AE346" i="30"/>
  <c r="AZ346" i="30" s="1"/>
  <c r="I411" i="16" s="1"/>
  <c r="AN346" i="30"/>
  <c r="BI346" i="30" s="1"/>
  <c r="R411" i="16" s="1"/>
  <c r="AH346" i="30"/>
  <c r="BC346" i="30" s="1"/>
  <c r="L411" i="16" s="1"/>
  <c r="AI346" i="30"/>
  <c r="BD346" i="30" s="1"/>
  <c r="M411" i="16" s="1"/>
  <c r="AP346" i="30"/>
  <c r="BK346" i="30" s="1"/>
  <c r="T411" i="16" s="1"/>
  <c r="B340" i="16"/>
  <c r="Z275" i="30"/>
  <c r="AL275" i="30"/>
  <c r="BG275" i="30" s="1"/>
  <c r="P340" i="16" s="1"/>
  <c r="AC275" i="30"/>
  <c r="AX275" i="30" s="1"/>
  <c r="G340" i="16" s="1"/>
  <c r="AO275" i="30"/>
  <c r="BJ275" i="30" s="1"/>
  <c r="S340" i="16" s="1"/>
  <c r="AE275" i="30"/>
  <c r="AZ275" i="30" s="1"/>
  <c r="I340" i="16" s="1"/>
  <c r="AQ275" i="30"/>
  <c r="BL275" i="30" s="1"/>
  <c r="U340" i="16" s="1"/>
  <c r="AF275" i="30"/>
  <c r="BA275" i="30" s="1"/>
  <c r="J340" i="16" s="1"/>
  <c r="AR275" i="30"/>
  <c r="BM275" i="30" s="1"/>
  <c r="V340" i="16" s="1"/>
  <c r="AG275" i="30"/>
  <c r="BB275" i="30" s="1"/>
  <c r="K340" i="16" s="1"/>
  <c r="AH275" i="30"/>
  <c r="BC275" i="30" s="1"/>
  <c r="L340" i="16" s="1"/>
  <c r="AB275" i="30"/>
  <c r="AW275" i="30" s="1"/>
  <c r="F340" i="16" s="1"/>
  <c r="AI275" i="30"/>
  <c r="BD275" i="30" s="1"/>
  <c r="M340" i="16" s="1"/>
  <c r="AJ275" i="30"/>
  <c r="BE275" i="30" s="1"/>
  <c r="N340" i="16" s="1"/>
  <c r="AM275" i="30"/>
  <c r="BH275" i="30" s="1"/>
  <c r="Q340" i="16" s="1"/>
  <c r="AN275" i="30"/>
  <c r="BI275" i="30" s="1"/>
  <c r="R340" i="16" s="1"/>
  <c r="Y275" i="30"/>
  <c r="AT275" i="30" s="1"/>
  <c r="C340" i="16" s="1"/>
  <c r="AA275" i="30"/>
  <c r="AV275" i="30" s="1"/>
  <c r="E340" i="16" s="1"/>
  <c r="AD275" i="30"/>
  <c r="AY275" i="30" s="1"/>
  <c r="H340" i="16" s="1"/>
  <c r="AK275" i="30"/>
  <c r="BF275" i="30" s="1"/>
  <c r="O340" i="16" s="1"/>
  <c r="AP275" i="30"/>
  <c r="BK275" i="30" s="1"/>
  <c r="T340" i="16" s="1"/>
  <c r="B395" i="16"/>
  <c r="AF330" i="30"/>
  <c r="BA330" i="30" s="1"/>
  <c r="J395" i="16" s="1"/>
  <c r="AR330" i="30"/>
  <c r="BM330" i="30" s="1"/>
  <c r="V395" i="16" s="1"/>
  <c r="AG330" i="30"/>
  <c r="BB330" i="30" s="1"/>
  <c r="K395" i="16" s="1"/>
  <c r="AI330" i="30"/>
  <c r="BD330" i="30" s="1"/>
  <c r="M395" i="16" s="1"/>
  <c r="Z330" i="30"/>
  <c r="AL330" i="30"/>
  <c r="BG330" i="30" s="1"/>
  <c r="P395" i="16" s="1"/>
  <c r="AM330" i="30"/>
  <c r="BH330" i="30" s="1"/>
  <c r="Q395" i="16" s="1"/>
  <c r="AN330" i="30"/>
  <c r="BI330" i="30" s="1"/>
  <c r="R395" i="16" s="1"/>
  <c r="AB330" i="30"/>
  <c r="AW330" i="30" s="1"/>
  <c r="F395" i="16" s="1"/>
  <c r="AC330" i="30"/>
  <c r="AX330" i="30" s="1"/>
  <c r="G395" i="16" s="1"/>
  <c r="AD330" i="30"/>
  <c r="AY330" i="30" s="1"/>
  <c r="H395" i="16" s="1"/>
  <c r="AJ330" i="30"/>
  <c r="BE330" i="30" s="1"/>
  <c r="N395" i="16" s="1"/>
  <c r="AQ330" i="30"/>
  <c r="BL330" i="30" s="1"/>
  <c r="U395" i="16" s="1"/>
  <c r="AA330" i="30"/>
  <c r="AV330" i="30" s="1"/>
  <c r="E395" i="16" s="1"/>
  <c r="AE330" i="30"/>
  <c r="AZ330" i="30" s="1"/>
  <c r="I395" i="16" s="1"/>
  <c r="AH330" i="30"/>
  <c r="BC330" i="30" s="1"/>
  <c r="L395" i="16" s="1"/>
  <c r="AO330" i="30"/>
  <c r="BJ330" i="30" s="1"/>
  <c r="S395" i="16" s="1"/>
  <c r="AP330" i="30"/>
  <c r="BK330" i="30" s="1"/>
  <c r="T395" i="16" s="1"/>
  <c r="Y330" i="30"/>
  <c r="AT330" i="30" s="1"/>
  <c r="C395" i="16" s="1"/>
  <c r="AK330" i="30"/>
  <c r="BF330" i="30" s="1"/>
  <c r="O395" i="16" s="1"/>
  <c r="B343" i="16"/>
  <c r="Z278" i="30"/>
  <c r="AL278" i="30"/>
  <c r="BG278" i="30" s="1"/>
  <c r="P343" i="16" s="1"/>
  <c r="AF278" i="30"/>
  <c r="BA278" i="30" s="1"/>
  <c r="J343" i="16" s="1"/>
  <c r="AR278" i="30"/>
  <c r="BM278" i="30" s="1"/>
  <c r="V343" i="16" s="1"/>
  <c r="AI278" i="30"/>
  <c r="BD278" i="30" s="1"/>
  <c r="M343" i="16" s="1"/>
  <c r="AM278" i="30"/>
  <c r="BH278" i="30" s="1"/>
  <c r="Q343" i="16" s="1"/>
  <c r="AA278" i="30"/>
  <c r="AV278" i="30" s="1"/>
  <c r="E343" i="16" s="1"/>
  <c r="AO278" i="30"/>
  <c r="BJ278" i="30" s="1"/>
  <c r="S343" i="16" s="1"/>
  <c r="AB278" i="30"/>
  <c r="AW278" i="30" s="1"/>
  <c r="F343" i="16" s="1"/>
  <c r="AP278" i="30"/>
  <c r="BK278" i="30" s="1"/>
  <c r="T343" i="16" s="1"/>
  <c r="AD278" i="30"/>
  <c r="AY278" i="30" s="1"/>
  <c r="H343" i="16" s="1"/>
  <c r="AE278" i="30"/>
  <c r="AZ278" i="30" s="1"/>
  <c r="I343" i="16" s="1"/>
  <c r="Y278" i="30"/>
  <c r="AT278" i="30" s="1"/>
  <c r="C343" i="16" s="1"/>
  <c r="AC278" i="30"/>
  <c r="AX278" i="30" s="1"/>
  <c r="G343" i="16" s="1"/>
  <c r="AG278" i="30"/>
  <c r="BB278" i="30" s="1"/>
  <c r="K343" i="16" s="1"/>
  <c r="AH278" i="30"/>
  <c r="BC278" i="30" s="1"/>
  <c r="L343" i="16" s="1"/>
  <c r="AJ278" i="30"/>
  <c r="BE278" i="30" s="1"/>
  <c r="N343" i="16" s="1"/>
  <c r="AK278" i="30"/>
  <c r="BF278" i="30" s="1"/>
  <c r="O343" i="16" s="1"/>
  <c r="AN278" i="30"/>
  <c r="BI278" i="30" s="1"/>
  <c r="R343" i="16" s="1"/>
  <c r="AQ278" i="30"/>
  <c r="BL278" i="30" s="1"/>
  <c r="U343" i="16" s="1"/>
  <c r="AD279" i="30"/>
  <c r="AY279" i="30" s="1"/>
  <c r="H344" i="16" s="1"/>
  <c r="AP279" i="30"/>
  <c r="BK279" i="30" s="1"/>
  <c r="T344" i="16" s="1"/>
  <c r="B344" i="16"/>
  <c r="AJ279" i="30"/>
  <c r="BE279" i="30" s="1"/>
  <c r="N344" i="16" s="1"/>
  <c r="AC279" i="30"/>
  <c r="AX279" i="30" s="1"/>
  <c r="G344" i="16" s="1"/>
  <c r="AR279" i="30"/>
  <c r="BM279" i="30" s="1"/>
  <c r="V344" i="16" s="1"/>
  <c r="AG279" i="30"/>
  <c r="BB279" i="30" s="1"/>
  <c r="K344" i="16" s="1"/>
  <c r="AI279" i="30"/>
  <c r="BD279" i="30" s="1"/>
  <c r="M344" i="16" s="1"/>
  <c r="AK279" i="30"/>
  <c r="BF279" i="30" s="1"/>
  <c r="O344" i="16" s="1"/>
  <c r="Y279" i="30"/>
  <c r="AT279" i="30" s="1"/>
  <c r="C344" i="16" s="1"/>
  <c r="AM279" i="30"/>
  <c r="BH279" i="30" s="1"/>
  <c r="Q344" i="16" s="1"/>
  <c r="Z279" i="30"/>
  <c r="AN279" i="30"/>
  <c r="BI279" i="30" s="1"/>
  <c r="R344" i="16" s="1"/>
  <c r="AF279" i="30"/>
  <c r="BA279" i="30" s="1"/>
  <c r="J344" i="16" s="1"/>
  <c r="AH279" i="30"/>
  <c r="BC279" i="30" s="1"/>
  <c r="L344" i="16" s="1"/>
  <c r="AL279" i="30"/>
  <c r="BG279" i="30" s="1"/>
  <c r="P344" i="16" s="1"/>
  <c r="AO279" i="30"/>
  <c r="BJ279" i="30" s="1"/>
  <c r="S344" i="16" s="1"/>
  <c r="AQ279" i="30"/>
  <c r="BL279" i="30" s="1"/>
  <c r="U344" i="16" s="1"/>
  <c r="AB279" i="30"/>
  <c r="AW279" i="30" s="1"/>
  <c r="F344" i="16" s="1"/>
  <c r="AA279" i="30"/>
  <c r="AV279" i="30" s="1"/>
  <c r="E344" i="16" s="1"/>
  <c r="AE279" i="30"/>
  <c r="AZ279" i="30" s="1"/>
  <c r="I344" i="16" s="1"/>
  <c r="B416" i="16"/>
  <c r="AB351" i="30"/>
  <c r="AW351" i="30" s="1"/>
  <c r="F416" i="16" s="1"/>
  <c r="AN351" i="30"/>
  <c r="BI351" i="30" s="1"/>
  <c r="R416" i="16" s="1"/>
  <c r="AC351" i="30"/>
  <c r="AX351" i="30" s="1"/>
  <c r="G416" i="16" s="1"/>
  <c r="AO351" i="30"/>
  <c r="BJ351" i="30" s="1"/>
  <c r="S416" i="16" s="1"/>
  <c r="AG351" i="30"/>
  <c r="BB351" i="30" s="1"/>
  <c r="K416" i="16" s="1"/>
  <c r="AH351" i="30"/>
  <c r="BC351" i="30" s="1"/>
  <c r="L416" i="16" s="1"/>
  <c r="AI351" i="30"/>
  <c r="BD351" i="30" s="1"/>
  <c r="M416" i="16" s="1"/>
  <c r="AF351" i="30"/>
  <c r="BA351" i="30" s="1"/>
  <c r="J416" i="16" s="1"/>
  <c r="AM351" i="30"/>
  <c r="BH351" i="30" s="1"/>
  <c r="Q416" i="16" s="1"/>
  <c r="AQ351" i="30"/>
  <c r="BL351" i="30" s="1"/>
  <c r="U416" i="16" s="1"/>
  <c r="AA351" i="30"/>
  <c r="AV351" i="30" s="1"/>
  <c r="E416" i="16" s="1"/>
  <c r="AD351" i="30"/>
  <c r="AY351" i="30" s="1"/>
  <c r="H416" i="16" s="1"/>
  <c r="Z351" i="30"/>
  <c r="AJ351" i="30"/>
  <c r="BE351" i="30" s="1"/>
  <c r="N416" i="16" s="1"/>
  <c r="AK351" i="30"/>
  <c r="BF351" i="30" s="1"/>
  <c r="O416" i="16" s="1"/>
  <c r="AR351" i="30"/>
  <c r="BM351" i="30" s="1"/>
  <c r="V416" i="16" s="1"/>
  <c r="Y351" i="30"/>
  <c r="AT351" i="30" s="1"/>
  <c r="C416" i="16" s="1"/>
  <c r="AE351" i="30"/>
  <c r="AZ351" i="30" s="1"/>
  <c r="I416" i="16" s="1"/>
  <c r="AL351" i="30"/>
  <c r="BG351" i="30" s="1"/>
  <c r="P416" i="16" s="1"/>
  <c r="AP351" i="30"/>
  <c r="BK351" i="30" s="1"/>
  <c r="T416" i="16" s="1"/>
  <c r="B408" i="16"/>
  <c r="AF343" i="30"/>
  <c r="BA343" i="30" s="1"/>
  <c r="J408" i="16" s="1"/>
  <c r="AR343" i="30"/>
  <c r="BM343" i="30" s="1"/>
  <c r="V408" i="16" s="1"/>
  <c r="AG343" i="30"/>
  <c r="BB343" i="30" s="1"/>
  <c r="K408" i="16" s="1"/>
  <c r="Y343" i="30"/>
  <c r="AT343" i="30" s="1"/>
  <c r="C408" i="16" s="1"/>
  <c r="AK343" i="30"/>
  <c r="BF343" i="30" s="1"/>
  <c r="O408" i="16" s="1"/>
  <c r="Z343" i="30"/>
  <c r="AL343" i="30"/>
  <c r="BG343" i="30" s="1"/>
  <c r="P408" i="16" s="1"/>
  <c r="AA343" i="30"/>
  <c r="AV343" i="30" s="1"/>
  <c r="E408" i="16" s="1"/>
  <c r="AM343" i="30"/>
  <c r="BH343" i="30" s="1"/>
  <c r="Q408" i="16" s="1"/>
  <c r="AC343" i="30"/>
  <c r="AX343" i="30" s="1"/>
  <c r="G408" i="16" s="1"/>
  <c r="AI343" i="30"/>
  <c r="BD343" i="30" s="1"/>
  <c r="M408" i="16" s="1"/>
  <c r="AN343" i="30"/>
  <c r="BI343" i="30" s="1"/>
  <c r="R408" i="16" s="1"/>
  <c r="AQ343" i="30"/>
  <c r="BL343" i="30" s="1"/>
  <c r="U408" i="16" s="1"/>
  <c r="AH343" i="30"/>
  <c r="BC343" i="30" s="1"/>
  <c r="L408" i="16" s="1"/>
  <c r="AD343" i="30"/>
  <c r="AY343" i="30" s="1"/>
  <c r="H408" i="16" s="1"/>
  <c r="AB343" i="30"/>
  <c r="AW343" i="30" s="1"/>
  <c r="F408" i="16" s="1"/>
  <c r="AE343" i="30"/>
  <c r="AZ343" i="30" s="1"/>
  <c r="I408" i="16" s="1"/>
  <c r="AJ343" i="30"/>
  <c r="BE343" i="30" s="1"/>
  <c r="N408" i="16" s="1"/>
  <c r="AO343" i="30"/>
  <c r="BJ343" i="30" s="1"/>
  <c r="S408" i="16" s="1"/>
  <c r="AP343" i="30"/>
  <c r="BK343" i="30" s="1"/>
  <c r="T408" i="16" s="1"/>
  <c r="B351" i="16"/>
  <c r="AD286" i="30"/>
  <c r="AY286" i="30" s="1"/>
  <c r="H351" i="16" s="1"/>
  <c r="AP286" i="30"/>
  <c r="BK286" i="30" s="1"/>
  <c r="T351" i="16" s="1"/>
  <c r="AG286" i="30"/>
  <c r="BB286" i="30" s="1"/>
  <c r="K351" i="16" s="1"/>
  <c r="AI286" i="30"/>
  <c r="BD286" i="30" s="1"/>
  <c r="M351" i="16" s="1"/>
  <c r="AJ286" i="30"/>
  <c r="BE286" i="30" s="1"/>
  <c r="N351" i="16" s="1"/>
  <c r="Z286" i="30"/>
  <c r="AL286" i="30"/>
  <c r="BG286" i="30" s="1"/>
  <c r="P351" i="16" s="1"/>
  <c r="AA286" i="30"/>
  <c r="AV286" i="30" s="1"/>
  <c r="E351" i="16" s="1"/>
  <c r="AM286" i="30"/>
  <c r="BH286" i="30" s="1"/>
  <c r="Q351" i="16" s="1"/>
  <c r="AR286" i="30"/>
  <c r="BM286" i="30" s="1"/>
  <c r="V351" i="16" s="1"/>
  <c r="Y286" i="30"/>
  <c r="AT286" i="30" s="1"/>
  <c r="C351" i="16" s="1"/>
  <c r="AB286" i="30"/>
  <c r="AW286" i="30" s="1"/>
  <c r="F351" i="16" s="1"/>
  <c r="AC286" i="30"/>
  <c r="AX286" i="30" s="1"/>
  <c r="G351" i="16" s="1"/>
  <c r="AE286" i="30"/>
  <c r="AZ286" i="30" s="1"/>
  <c r="I351" i="16" s="1"/>
  <c r="AF286" i="30"/>
  <c r="BA286" i="30" s="1"/>
  <c r="J351" i="16" s="1"/>
  <c r="AH286" i="30"/>
  <c r="BC286" i="30" s="1"/>
  <c r="L351" i="16" s="1"/>
  <c r="AK286" i="30"/>
  <c r="BF286" i="30" s="1"/>
  <c r="O351" i="16" s="1"/>
  <c r="AO286" i="30"/>
  <c r="BJ286" i="30" s="1"/>
  <c r="S351" i="16" s="1"/>
  <c r="AN286" i="30"/>
  <c r="BI286" i="30" s="1"/>
  <c r="R351" i="16" s="1"/>
  <c r="AQ286" i="30"/>
  <c r="BL286" i="30" s="1"/>
  <c r="U351" i="16" s="1"/>
  <c r="B423" i="16"/>
  <c r="AF358" i="30"/>
  <c r="BA358" i="30" s="1"/>
  <c r="J423" i="16" s="1"/>
  <c r="AR358" i="30"/>
  <c r="BM358" i="30" s="1"/>
  <c r="V423" i="16" s="1"/>
  <c r="AG358" i="30"/>
  <c r="BB358" i="30" s="1"/>
  <c r="K423" i="16" s="1"/>
  <c r="Y358" i="30"/>
  <c r="AT358" i="30" s="1"/>
  <c r="C423" i="16" s="1"/>
  <c r="AK358" i="30"/>
  <c r="BF358" i="30" s="1"/>
  <c r="O423" i="16" s="1"/>
  <c r="Z358" i="30"/>
  <c r="AL358" i="30"/>
  <c r="BG358" i="30" s="1"/>
  <c r="P423" i="16" s="1"/>
  <c r="AA358" i="30"/>
  <c r="AV358" i="30" s="1"/>
  <c r="E423" i="16" s="1"/>
  <c r="AM358" i="30"/>
  <c r="BH358" i="30" s="1"/>
  <c r="Q423" i="16" s="1"/>
  <c r="AJ358" i="30"/>
  <c r="BE358" i="30" s="1"/>
  <c r="N423" i="16" s="1"/>
  <c r="AQ358" i="30"/>
  <c r="BL358" i="30" s="1"/>
  <c r="U423" i="16" s="1"/>
  <c r="AB358" i="30"/>
  <c r="AW358" i="30" s="1"/>
  <c r="F423" i="16" s="1"/>
  <c r="AE358" i="30"/>
  <c r="AZ358" i="30" s="1"/>
  <c r="I423" i="16" s="1"/>
  <c r="AH358" i="30"/>
  <c r="BC358" i="30" s="1"/>
  <c r="L423" i="16" s="1"/>
  <c r="AC358" i="30"/>
  <c r="AX358" i="30" s="1"/>
  <c r="G423" i="16" s="1"/>
  <c r="AI358" i="30"/>
  <c r="BD358" i="30" s="1"/>
  <c r="M423" i="16" s="1"/>
  <c r="AN358" i="30"/>
  <c r="BI358" i="30" s="1"/>
  <c r="R423" i="16" s="1"/>
  <c r="AD358" i="30"/>
  <c r="AY358" i="30" s="1"/>
  <c r="H423" i="16" s="1"/>
  <c r="AO358" i="30"/>
  <c r="BJ358" i="30" s="1"/>
  <c r="S423" i="16" s="1"/>
  <c r="AP358" i="30"/>
  <c r="BK358" i="30" s="1"/>
  <c r="T423" i="16" s="1"/>
  <c r="B352" i="16"/>
  <c r="AH287" i="30"/>
  <c r="BC287" i="30" s="1"/>
  <c r="L352" i="16" s="1"/>
  <c r="Y287" i="30"/>
  <c r="AT287" i="30" s="1"/>
  <c r="C352" i="16" s="1"/>
  <c r="AK287" i="30"/>
  <c r="BF287" i="30" s="1"/>
  <c r="O352" i="16" s="1"/>
  <c r="AA287" i="30"/>
  <c r="AV287" i="30" s="1"/>
  <c r="E352" i="16" s="1"/>
  <c r="AM287" i="30"/>
  <c r="BH287" i="30" s="1"/>
  <c r="Q352" i="16" s="1"/>
  <c r="AB287" i="30"/>
  <c r="AW287" i="30" s="1"/>
  <c r="F352" i="16" s="1"/>
  <c r="AN287" i="30"/>
  <c r="BI287" i="30" s="1"/>
  <c r="R352" i="16" s="1"/>
  <c r="AD287" i="30"/>
  <c r="AY287" i="30" s="1"/>
  <c r="H352" i="16" s="1"/>
  <c r="AP287" i="30"/>
  <c r="BK287" i="30" s="1"/>
  <c r="T352" i="16" s="1"/>
  <c r="AE287" i="30"/>
  <c r="AZ287" i="30" s="1"/>
  <c r="I352" i="16" s="1"/>
  <c r="AQ287" i="30"/>
  <c r="BL287" i="30" s="1"/>
  <c r="U352" i="16" s="1"/>
  <c r="Z287" i="30"/>
  <c r="AC287" i="30"/>
  <c r="AX287" i="30" s="1"/>
  <c r="G352" i="16" s="1"/>
  <c r="AF287" i="30"/>
  <c r="BA287" i="30" s="1"/>
  <c r="J352" i="16" s="1"/>
  <c r="AG287" i="30"/>
  <c r="BB287" i="30" s="1"/>
  <c r="K352" i="16" s="1"/>
  <c r="AI287" i="30"/>
  <c r="BD287" i="30" s="1"/>
  <c r="M352" i="16" s="1"/>
  <c r="AJ287" i="30"/>
  <c r="BE287" i="30" s="1"/>
  <c r="N352" i="16" s="1"/>
  <c r="AL287" i="30"/>
  <c r="BG287" i="30" s="1"/>
  <c r="P352" i="16" s="1"/>
  <c r="AO287" i="30"/>
  <c r="BJ287" i="30" s="1"/>
  <c r="S352" i="16" s="1"/>
  <c r="AR287" i="30"/>
  <c r="BM287" i="30" s="1"/>
  <c r="V352" i="16" s="1"/>
  <c r="B424" i="16"/>
  <c r="AJ359" i="30"/>
  <c r="Y359" i="30"/>
  <c r="AT359" i="30" s="1"/>
  <c r="C424" i="16" s="1"/>
  <c r="AK359" i="30"/>
  <c r="AC359" i="30"/>
  <c r="AO359" i="30"/>
  <c r="AD359" i="30"/>
  <c r="AP359" i="30"/>
  <c r="AE359" i="30"/>
  <c r="AQ359" i="30"/>
  <c r="AL359" i="30"/>
  <c r="AA359" i="30"/>
  <c r="AG359" i="30"/>
  <c r="AH359" i="30"/>
  <c r="AF359" i="30"/>
  <c r="AR359" i="30"/>
  <c r="Z359" i="30"/>
  <c r="AI359" i="30"/>
  <c r="AB359" i="30"/>
  <c r="AM359" i="30"/>
  <c r="AN359" i="30"/>
  <c r="B335" i="16"/>
  <c r="AD270" i="30"/>
  <c r="AY270" i="30" s="1"/>
  <c r="H335" i="16" s="1"/>
  <c r="AP270" i="30"/>
  <c r="BK270" i="30" s="1"/>
  <c r="T335" i="16" s="1"/>
  <c r="AG270" i="30"/>
  <c r="BB270" i="30" s="1"/>
  <c r="K335" i="16" s="1"/>
  <c r="AI270" i="30"/>
  <c r="BD270" i="30" s="1"/>
  <c r="M335" i="16" s="1"/>
  <c r="AJ270" i="30"/>
  <c r="BE270" i="30" s="1"/>
  <c r="N335" i="16" s="1"/>
  <c r="Y270" i="30"/>
  <c r="AT270" i="30" s="1"/>
  <c r="C335" i="16" s="1"/>
  <c r="AK270" i="30"/>
  <c r="BF270" i="30" s="1"/>
  <c r="O335" i="16" s="1"/>
  <c r="Z270" i="30"/>
  <c r="AL270" i="30"/>
  <c r="BG270" i="30" s="1"/>
  <c r="P335" i="16" s="1"/>
  <c r="AB270" i="30"/>
  <c r="AW270" i="30" s="1"/>
  <c r="F335" i="16" s="1"/>
  <c r="AF270" i="30"/>
  <c r="BA270" i="30" s="1"/>
  <c r="J335" i="16" s="1"/>
  <c r="AM270" i="30"/>
  <c r="BH270" i="30" s="1"/>
  <c r="Q335" i="16" s="1"/>
  <c r="AN270" i="30"/>
  <c r="BI270" i="30" s="1"/>
  <c r="R335" i="16" s="1"/>
  <c r="AQ270" i="30"/>
  <c r="BL270" i="30" s="1"/>
  <c r="U335" i="16" s="1"/>
  <c r="AR270" i="30"/>
  <c r="BM270" i="30" s="1"/>
  <c r="V335" i="16" s="1"/>
  <c r="AA270" i="30"/>
  <c r="AV270" i="30" s="1"/>
  <c r="E335" i="16" s="1"/>
  <c r="AC270" i="30"/>
  <c r="AX270" i="30" s="1"/>
  <c r="G335" i="16" s="1"/>
  <c r="AE270" i="30"/>
  <c r="AZ270" i="30" s="1"/>
  <c r="I335" i="16" s="1"/>
  <c r="AH270" i="30"/>
  <c r="BC270" i="30" s="1"/>
  <c r="L335" i="16" s="1"/>
  <c r="AO270" i="30"/>
  <c r="BJ270" i="30" s="1"/>
  <c r="S335" i="16" s="1"/>
  <c r="B413" i="16"/>
  <c r="AB348" i="30"/>
  <c r="AN348" i="30"/>
  <c r="AC348" i="30"/>
  <c r="AO348" i="30"/>
  <c r="AG348" i="30"/>
  <c r="AH348" i="30"/>
  <c r="AI348" i="30"/>
  <c r="AE348" i="30"/>
  <c r="AL348" i="30"/>
  <c r="AP348" i="30"/>
  <c r="Z348" i="30"/>
  <c r="AA348" i="30"/>
  <c r="AM348" i="30"/>
  <c r="Y348" i="30"/>
  <c r="AT348" i="30" s="1"/>
  <c r="C413" i="16" s="1"/>
  <c r="AJ348" i="30"/>
  <c r="AD348" i="30"/>
  <c r="AF348" i="30"/>
  <c r="AK348" i="30"/>
  <c r="AQ348" i="30"/>
  <c r="AR348" i="30"/>
  <c r="B355" i="16"/>
  <c r="AH290" i="30"/>
  <c r="BC290" i="30" s="1"/>
  <c r="L355" i="16" s="1"/>
  <c r="Y290" i="30"/>
  <c r="AT290" i="30" s="1"/>
  <c r="C355" i="16" s="1"/>
  <c r="AK290" i="30"/>
  <c r="BF290" i="30" s="1"/>
  <c r="O355" i="16" s="1"/>
  <c r="AA290" i="30"/>
  <c r="AV290" i="30" s="1"/>
  <c r="E355" i="16" s="1"/>
  <c r="AM290" i="30"/>
  <c r="BH290" i="30" s="1"/>
  <c r="Q355" i="16" s="1"/>
  <c r="AB290" i="30"/>
  <c r="AW290" i="30" s="1"/>
  <c r="F355" i="16" s="1"/>
  <c r="AN290" i="30"/>
  <c r="BI290" i="30" s="1"/>
  <c r="R355" i="16" s="1"/>
  <c r="AD290" i="30"/>
  <c r="AY290" i="30" s="1"/>
  <c r="H355" i="16" s="1"/>
  <c r="AP290" i="30"/>
  <c r="BK290" i="30" s="1"/>
  <c r="T355" i="16" s="1"/>
  <c r="AE290" i="30"/>
  <c r="AZ290" i="30" s="1"/>
  <c r="I355" i="16" s="1"/>
  <c r="AQ290" i="30"/>
  <c r="BL290" i="30" s="1"/>
  <c r="U355" i="16" s="1"/>
  <c r="AJ290" i="30"/>
  <c r="BE290" i="30" s="1"/>
  <c r="N355" i="16" s="1"/>
  <c r="AL290" i="30"/>
  <c r="BG290" i="30" s="1"/>
  <c r="P355" i="16" s="1"/>
  <c r="AO290" i="30"/>
  <c r="BJ290" i="30" s="1"/>
  <c r="S355" i="16" s="1"/>
  <c r="AR290" i="30"/>
  <c r="BM290" i="30" s="1"/>
  <c r="V355" i="16" s="1"/>
  <c r="Z290" i="30"/>
  <c r="AC290" i="30"/>
  <c r="AX290" i="30" s="1"/>
  <c r="G355" i="16" s="1"/>
  <c r="AG290" i="30"/>
  <c r="BB290" i="30" s="1"/>
  <c r="K355" i="16" s="1"/>
  <c r="AF290" i="30"/>
  <c r="BA290" i="30" s="1"/>
  <c r="J355" i="16" s="1"/>
  <c r="AI290" i="30"/>
  <c r="BD290" i="30" s="1"/>
  <c r="M355" i="16" s="1"/>
  <c r="B427" i="16"/>
  <c r="AJ362" i="30"/>
  <c r="BE362" i="30" s="1"/>
  <c r="N427" i="16" s="1"/>
  <c r="Y362" i="30"/>
  <c r="AT362" i="30" s="1"/>
  <c r="C427" i="16" s="1"/>
  <c r="AK362" i="30"/>
  <c r="BF362" i="30" s="1"/>
  <c r="O427" i="16" s="1"/>
  <c r="AC362" i="30"/>
  <c r="AX362" i="30" s="1"/>
  <c r="G427" i="16" s="1"/>
  <c r="AO362" i="30"/>
  <c r="BJ362" i="30" s="1"/>
  <c r="S427" i="16" s="1"/>
  <c r="AD362" i="30"/>
  <c r="AY362" i="30" s="1"/>
  <c r="H427" i="16" s="1"/>
  <c r="AP362" i="30"/>
  <c r="BK362" i="30" s="1"/>
  <c r="T427" i="16" s="1"/>
  <c r="AE362" i="30"/>
  <c r="AZ362" i="30" s="1"/>
  <c r="I427" i="16" s="1"/>
  <c r="AQ362" i="30"/>
  <c r="BL362" i="30" s="1"/>
  <c r="U427" i="16" s="1"/>
  <c r="AM362" i="30"/>
  <c r="BH362" i="30" s="1"/>
  <c r="Q427" i="16" s="1"/>
  <c r="Z362" i="30"/>
  <c r="AB362" i="30"/>
  <c r="AW362" i="30" s="1"/>
  <c r="F427" i="16" s="1"/>
  <c r="AH362" i="30"/>
  <c r="BC362" i="30" s="1"/>
  <c r="L427" i="16" s="1"/>
  <c r="AI362" i="30"/>
  <c r="BD362" i="30" s="1"/>
  <c r="M427" i="16" s="1"/>
  <c r="AR362" i="30"/>
  <c r="BM362" i="30" s="1"/>
  <c r="V427" i="16" s="1"/>
  <c r="AA362" i="30"/>
  <c r="AV362" i="30" s="1"/>
  <c r="E427" i="16" s="1"/>
  <c r="AL362" i="30"/>
  <c r="BG362" i="30" s="1"/>
  <c r="P427" i="16" s="1"/>
  <c r="AG362" i="30"/>
  <c r="BB362" i="30" s="1"/>
  <c r="K427" i="16" s="1"/>
  <c r="AF362" i="30"/>
  <c r="BA362" i="30" s="1"/>
  <c r="J427" i="16" s="1"/>
  <c r="AN362" i="30"/>
  <c r="BI362" i="30" s="1"/>
  <c r="R427" i="16" s="1"/>
  <c r="B356" i="16"/>
  <c r="Z291" i="30"/>
  <c r="AL291" i="30"/>
  <c r="BG291" i="30" s="1"/>
  <c r="P356" i="16" s="1"/>
  <c r="AC291" i="30"/>
  <c r="AX291" i="30" s="1"/>
  <c r="G356" i="16" s="1"/>
  <c r="AO291" i="30"/>
  <c r="BJ291" i="30" s="1"/>
  <c r="S356" i="16" s="1"/>
  <c r="AE291" i="30"/>
  <c r="AZ291" i="30" s="1"/>
  <c r="I356" i="16" s="1"/>
  <c r="AQ291" i="30"/>
  <c r="BL291" i="30" s="1"/>
  <c r="U356" i="16" s="1"/>
  <c r="AF291" i="30"/>
  <c r="BA291" i="30" s="1"/>
  <c r="J356" i="16" s="1"/>
  <c r="AR291" i="30"/>
  <c r="BM291" i="30" s="1"/>
  <c r="V356" i="16" s="1"/>
  <c r="AH291" i="30"/>
  <c r="BC291" i="30" s="1"/>
  <c r="L356" i="16" s="1"/>
  <c r="AI291" i="30"/>
  <c r="BD291" i="30" s="1"/>
  <c r="M356" i="16" s="1"/>
  <c r="AN291" i="30"/>
  <c r="BI291" i="30" s="1"/>
  <c r="R356" i="16" s="1"/>
  <c r="AP291" i="30"/>
  <c r="BK291" i="30" s="1"/>
  <c r="T356" i="16" s="1"/>
  <c r="Y291" i="30"/>
  <c r="AT291" i="30" s="1"/>
  <c r="C356" i="16" s="1"/>
  <c r="AA291" i="30"/>
  <c r="AV291" i="30" s="1"/>
  <c r="E356" i="16" s="1"/>
  <c r="AB291" i="30"/>
  <c r="AW291" i="30" s="1"/>
  <c r="F356" i="16" s="1"/>
  <c r="AD291" i="30"/>
  <c r="AY291" i="30" s="1"/>
  <c r="H356" i="16" s="1"/>
  <c r="AG291" i="30"/>
  <c r="BB291" i="30" s="1"/>
  <c r="K356" i="16" s="1"/>
  <c r="AK291" i="30"/>
  <c r="BF291" i="30" s="1"/>
  <c r="O356" i="16" s="1"/>
  <c r="AJ291" i="30"/>
  <c r="BE291" i="30" s="1"/>
  <c r="N356" i="16" s="1"/>
  <c r="AM291" i="30"/>
  <c r="BH291" i="30" s="1"/>
  <c r="Q356" i="16" s="1"/>
  <c r="B428" i="16"/>
  <c r="AB363" i="30"/>
  <c r="AN363" i="30"/>
  <c r="AC363" i="30"/>
  <c r="AO363" i="30"/>
  <c r="AG363" i="30"/>
  <c r="AH363" i="30"/>
  <c r="AI363" i="30"/>
  <c r="AM363" i="30"/>
  <c r="Z363" i="30"/>
  <c r="AD363" i="30"/>
  <c r="AJ363" i="30"/>
  <c r="AK363" i="30"/>
  <c r="AF363" i="30"/>
  <c r="AP363" i="30"/>
  <c r="AQ363" i="30"/>
  <c r="AA363" i="30"/>
  <c r="AE363" i="30"/>
  <c r="AL363" i="30"/>
  <c r="AR363" i="30"/>
  <c r="Y363" i="30"/>
  <c r="AT363" i="30" s="1"/>
  <c r="C428" i="16" s="1"/>
  <c r="B354" i="16"/>
  <c r="AD289" i="30"/>
  <c r="AY289" i="30" s="1"/>
  <c r="H354" i="16" s="1"/>
  <c r="AP289" i="30"/>
  <c r="BK289" i="30" s="1"/>
  <c r="T354" i="16" s="1"/>
  <c r="AG289" i="30"/>
  <c r="BB289" i="30" s="1"/>
  <c r="K354" i="16" s="1"/>
  <c r="AI289" i="30"/>
  <c r="BD289" i="30" s="1"/>
  <c r="M354" i="16" s="1"/>
  <c r="AJ289" i="30"/>
  <c r="BE289" i="30" s="1"/>
  <c r="N354" i="16" s="1"/>
  <c r="Z289" i="30"/>
  <c r="AL289" i="30"/>
  <c r="BG289" i="30" s="1"/>
  <c r="P354" i="16" s="1"/>
  <c r="AA289" i="30"/>
  <c r="AV289" i="30" s="1"/>
  <c r="E354" i="16" s="1"/>
  <c r="AM289" i="30"/>
  <c r="BH289" i="30" s="1"/>
  <c r="Q354" i="16" s="1"/>
  <c r="AF289" i="30"/>
  <c r="BA289" i="30" s="1"/>
  <c r="J354" i="16" s="1"/>
  <c r="AH289" i="30"/>
  <c r="BC289" i="30" s="1"/>
  <c r="L354" i="16" s="1"/>
  <c r="AK289" i="30"/>
  <c r="BF289" i="30" s="1"/>
  <c r="O354" i="16" s="1"/>
  <c r="AN289" i="30"/>
  <c r="BI289" i="30" s="1"/>
  <c r="R354" i="16" s="1"/>
  <c r="AO289" i="30"/>
  <c r="BJ289" i="30" s="1"/>
  <c r="S354" i="16" s="1"/>
  <c r="AQ289" i="30"/>
  <c r="BL289" i="30" s="1"/>
  <c r="U354" i="16" s="1"/>
  <c r="AR289" i="30"/>
  <c r="BM289" i="30" s="1"/>
  <c r="V354" i="16" s="1"/>
  <c r="Y289" i="30"/>
  <c r="AT289" i="30" s="1"/>
  <c r="C354" i="16" s="1"/>
  <c r="AC289" i="30"/>
  <c r="AX289" i="30" s="1"/>
  <c r="G354" i="16" s="1"/>
  <c r="AB289" i="30"/>
  <c r="AW289" i="30" s="1"/>
  <c r="F354" i="16" s="1"/>
  <c r="AE289" i="30"/>
  <c r="AZ289" i="30" s="1"/>
  <c r="I354" i="16" s="1"/>
  <c r="B312" i="16"/>
  <c r="AH247" i="30"/>
  <c r="BC247" i="30" s="1"/>
  <c r="L312" i="16" s="1"/>
  <c r="Y247" i="30"/>
  <c r="AT247" i="30" s="1"/>
  <c r="C312" i="16" s="1"/>
  <c r="AK247" i="30"/>
  <c r="BF247" i="30" s="1"/>
  <c r="O312" i="16" s="1"/>
  <c r="AA247" i="30"/>
  <c r="AV247" i="30" s="1"/>
  <c r="E312" i="16" s="1"/>
  <c r="AM247" i="30"/>
  <c r="BH247" i="30" s="1"/>
  <c r="Q312" i="16" s="1"/>
  <c r="AB247" i="30"/>
  <c r="AW247" i="30" s="1"/>
  <c r="F312" i="16" s="1"/>
  <c r="AN247" i="30"/>
  <c r="BI247" i="30" s="1"/>
  <c r="R312" i="16" s="1"/>
  <c r="AC247" i="30"/>
  <c r="AX247" i="30" s="1"/>
  <c r="G312" i="16" s="1"/>
  <c r="AO247" i="30"/>
  <c r="BJ247" i="30" s="1"/>
  <c r="S312" i="16" s="1"/>
  <c r="AD247" i="30"/>
  <c r="AY247" i="30" s="1"/>
  <c r="H312" i="16" s="1"/>
  <c r="AP247" i="30"/>
  <c r="BK247" i="30" s="1"/>
  <c r="T312" i="16" s="1"/>
  <c r="AF247" i="30"/>
  <c r="BA247" i="30" s="1"/>
  <c r="J312" i="16" s="1"/>
  <c r="AJ247" i="30"/>
  <c r="BE247" i="30" s="1"/>
  <c r="N312" i="16" s="1"/>
  <c r="AQ247" i="30"/>
  <c r="BL247" i="30" s="1"/>
  <c r="U312" i="16" s="1"/>
  <c r="AR247" i="30"/>
  <c r="BM247" i="30" s="1"/>
  <c r="V312" i="16" s="1"/>
  <c r="AI247" i="30"/>
  <c r="BD247" i="30" s="1"/>
  <c r="M312" i="16" s="1"/>
  <c r="AL247" i="30"/>
  <c r="BG247" i="30" s="1"/>
  <c r="P312" i="16" s="1"/>
  <c r="Z247" i="30"/>
  <c r="AE247" i="30"/>
  <c r="AZ247" i="30" s="1"/>
  <c r="I312" i="16" s="1"/>
  <c r="AG247" i="30"/>
  <c r="BB247" i="30" s="1"/>
  <c r="K312" i="16" s="1"/>
  <c r="B430" i="16"/>
  <c r="AJ365" i="30"/>
  <c r="Y365" i="30"/>
  <c r="AT365" i="30" s="1"/>
  <c r="C430" i="16" s="1"/>
  <c r="AK365" i="30"/>
  <c r="AC365" i="30"/>
  <c r="AO365" i="30"/>
  <c r="AD365" i="30"/>
  <c r="AP365" i="30"/>
  <c r="AE365" i="30"/>
  <c r="AQ365" i="30"/>
  <c r="AN365" i="30"/>
  <c r="AA365" i="30"/>
  <c r="AF365" i="30"/>
  <c r="AI365" i="30"/>
  <c r="AL365" i="30"/>
  <c r="AB365" i="30"/>
  <c r="AM365" i="30"/>
  <c r="AR365" i="30"/>
  <c r="Z365" i="30"/>
  <c r="AG365" i="30"/>
  <c r="AH365" i="30"/>
  <c r="B419" i="16"/>
  <c r="AB354" i="30"/>
  <c r="AN354" i="30"/>
  <c r="AC354" i="30"/>
  <c r="AO354" i="30"/>
  <c r="AG354" i="30"/>
  <c r="AH354" i="30"/>
  <c r="AI354" i="30"/>
  <c r="AJ354" i="30"/>
  <c r="AP354" i="30"/>
  <c r="Y354" i="30"/>
  <c r="AT354" i="30" s="1"/>
  <c r="C419" i="16" s="1"/>
  <c r="AR354" i="30"/>
  <c r="AD354" i="30"/>
  <c r="AE354" i="30"/>
  <c r="Z354" i="30"/>
  <c r="AL354" i="30"/>
  <c r="AQ354" i="30"/>
  <c r="AA354" i="30"/>
  <c r="AF354" i="30"/>
  <c r="AK354" i="30"/>
  <c r="AM354" i="30"/>
  <c r="B433" i="16"/>
  <c r="Y368" i="30"/>
  <c r="AT368" i="30" s="1"/>
  <c r="C433" i="16" s="1"/>
  <c r="AK368" i="30"/>
  <c r="BF368" i="30" s="1"/>
  <c r="O433" i="16" s="1"/>
  <c r="AC368" i="30"/>
  <c r="AX368" i="30" s="1"/>
  <c r="G433" i="16" s="1"/>
  <c r="AO368" i="30"/>
  <c r="BJ368" i="30" s="1"/>
  <c r="S433" i="16" s="1"/>
  <c r="AE368" i="30"/>
  <c r="AZ368" i="30" s="1"/>
  <c r="I433" i="16" s="1"/>
  <c r="AQ368" i="30"/>
  <c r="BL368" i="30" s="1"/>
  <c r="U433" i="16" s="1"/>
  <c r="AH368" i="30"/>
  <c r="BC368" i="30" s="1"/>
  <c r="L433" i="16" s="1"/>
  <c r="AI368" i="30"/>
  <c r="BD368" i="30" s="1"/>
  <c r="M433" i="16" s="1"/>
  <c r="AR368" i="30"/>
  <c r="BM368" i="30" s="1"/>
  <c r="V433" i="16" s="1"/>
  <c r="AB368" i="30"/>
  <c r="AW368" i="30" s="1"/>
  <c r="F433" i="16" s="1"/>
  <c r="AG368" i="30"/>
  <c r="BB368" i="30" s="1"/>
  <c r="K433" i="16" s="1"/>
  <c r="AP368" i="30"/>
  <c r="BK368" i="30" s="1"/>
  <c r="T433" i="16" s="1"/>
  <c r="Z368" i="30"/>
  <c r="AA368" i="30"/>
  <c r="AV368" i="30" s="1"/>
  <c r="E433" i="16" s="1"/>
  <c r="AD368" i="30"/>
  <c r="AY368" i="30" s="1"/>
  <c r="H433" i="16" s="1"/>
  <c r="AL368" i="30"/>
  <c r="BG368" i="30" s="1"/>
  <c r="P433" i="16" s="1"/>
  <c r="AF368" i="30"/>
  <c r="BA368" i="30" s="1"/>
  <c r="J433" i="16" s="1"/>
  <c r="AJ368" i="30"/>
  <c r="BE368" i="30" s="1"/>
  <c r="N433" i="16" s="1"/>
  <c r="AM368" i="30"/>
  <c r="BH368" i="30" s="1"/>
  <c r="Q433" i="16" s="1"/>
  <c r="AN368" i="30"/>
  <c r="BI368" i="30" s="1"/>
  <c r="R433" i="16" s="1"/>
  <c r="B378" i="16"/>
  <c r="AI313" i="30"/>
  <c r="BD313" i="30" s="1"/>
  <c r="M378" i="16" s="1"/>
  <c r="AJ313" i="30"/>
  <c r="BE313" i="30" s="1"/>
  <c r="N378" i="16" s="1"/>
  <c r="Y313" i="30"/>
  <c r="AT313" i="30" s="1"/>
  <c r="C378" i="16" s="1"/>
  <c r="AK313" i="30"/>
  <c r="BF313" i="30" s="1"/>
  <c r="O378" i="16" s="1"/>
  <c r="Z313" i="30"/>
  <c r="AL313" i="30"/>
  <c r="BG313" i="30" s="1"/>
  <c r="P378" i="16" s="1"/>
  <c r="AA313" i="30"/>
  <c r="AV313" i="30" s="1"/>
  <c r="E378" i="16" s="1"/>
  <c r="AM313" i="30"/>
  <c r="BH313" i="30" s="1"/>
  <c r="Q378" i="16" s="1"/>
  <c r="AB313" i="30"/>
  <c r="AW313" i="30" s="1"/>
  <c r="F378" i="16" s="1"/>
  <c r="AN313" i="30"/>
  <c r="BI313" i="30" s="1"/>
  <c r="R378" i="16" s="1"/>
  <c r="AD313" i="30"/>
  <c r="AY313" i="30" s="1"/>
  <c r="H378" i="16" s="1"/>
  <c r="AP313" i="30"/>
  <c r="BK313" i="30" s="1"/>
  <c r="T378" i="16" s="1"/>
  <c r="AH313" i="30"/>
  <c r="BC313" i="30" s="1"/>
  <c r="L378" i="16" s="1"/>
  <c r="AO313" i="30"/>
  <c r="BJ313" i="30" s="1"/>
  <c r="S378" i="16" s="1"/>
  <c r="AC313" i="30"/>
  <c r="AX313" i="30" s="1"/>
  <c r="G378" i="16" s="1"/>
  <c r="AG313" i="30"/>
  <c r="BB313" i="30" s="1"/>
  <c r="K378" i="16" s="1"/>
  <c r="AQ313" i="30"/>
  <c r="BL313" i="30" s="1"/>
  <c r="U378" i="16" s="1"/>
  <c r="AF313" i="30"/>
  <c r="BA313" i="30" s="1"/>
  <c r="J378" i="16" s="1"/>
  <c r="AE313" i="30"/>
  <c r="AZ313" i="30" s="1"/>
  <c r="I378" i="16" s="1"/>
  <c r="AR313" i="30"/>
  <c r="BM313" i="30" s="1"/>
  <c r="V378" i="16" s="1"/>
  <c r="B366" i="16"/>
  <c r="AD301" i="30"/>
  <c r="AY301" i="30" s="1"/>
  <c r="H366" i="16" s="1"/>
  <c r="AP301" i="30"/>
  <c r="BK301" i="30" s="1"/>
  <c r="T366" i="16" s="1"/>
  <c r="AG301" i="30"/>
  <c r="BB301" i="30" s="1"/>
  <c r="K366" i="16" s="1"/>
  <c r="AI301" i="30"/>
  <c r="BD301" i="30" s="1"/>
  <c r="M366" i="16" s="1"/>
  <c r="AJ301" i="30"/>
  <c r="BE301" i="30" s="1"/>
  <c r="N366" i="16" s="1"/>
  <c r="Z301" i="30"/>
  <c r="AL301" i="30"/>
  <c r="BG301" i="30" s="1"/>
  <c r="P366" i="16" s="1"/>
  <c r="AA301" i="30"/>
  <c r="AV301" i="30" s="1"/>
  <c r="E366" i="16" s="1"/>
  <c r="AM301" i="30"/>
  <c r="BH301" i="30" s="1"/>
  <c r="Q366" i="16" s="1"/>
  <c r="AF301" i="30"/>
  <c r="BA301" i="30" s="1"/>
  <c r="J366" i="16" s="1"/>
  <c r="AH301" i="30"/>
  <c r="BC301" i="30" s="1"/>
  <c r="L366" i="16" s="1"/>
  <c r="AK301" i="30"/>
  <c r="BF301" i="30" s="1"/>
  <c r="O366" i="16" s="1"/>
  <c r="AN301" i="30"/>
  <c r="BI301" i="30" s="1"/>
  <c r="R366" i="16" s="1"/>
  <c r="AO301" i="30"/>
  <c r="BJ301" i="30" s="1"/>
  <c r="S366" i="16" s="1"/>
  <c r="AQ301" i="30"/>
  <c r="BL301" i="30" s="1"/>
  <c r="U366" i="16" s="1"/>
  <c r="AR301" i="30"/>
  <c r="BM301" i="30" s="1"/>
  <c r="V366" i="16" s="1"/>
  <c r="Y301" i="30"/>
  <c r="AT301" i="30" s="1"/>
  <c r="C366" i="16" s="1"/>
  <c r="AB301" i="30"/>
  <c r="AW301" i="30" s="1"/>
  <c r="F366" i="16" s="1"/>
  <c r="AC301" i="30"/>
  <c r="AX301" i="30" s="1"/>
  <c r="G366" i="16" s="1"/>
  <c r="AE301" i="30"/>
  <c r="AZ301" i="30" s="1"/>
  <c r="I366" i="16" s="1"/>
  <c r="B357" i="16"/>
  <c r="AD292" i="30"/>
  <c r="AY292" i="30" s="1"/>
  <c r="H357" i="16" s="1"/>
  <c r="AP292" i="30"/>
  <c r="BK292" i="30" s="1"/>
  <c r="T357" i="16" s="1"/>
  <c r="AG292" i="30"/>
  <c r="BB292" i="30" s="1"/>
  <c r="K357" i="16" s="1"/>
  <c r="AI292" i="30"/>
  <c r="BD292" i="30" s="1"/>
  <c r="M357" i="16" s="1"/>
  <c r="AJ292" i="30"/>
  <c r="BE292" i="30" s="1"/>
  <c r="N357" i="16" s="1"/>
  <c r="Z292" i="30"/>
  <c r="AL292" i="30"/>
  <c r="BG292" i="30" s="1"/>
  <c r="P357" i="16" s="1"/>
  <c r="AA292" i="30"/>
  <c r="AV292" i="30" s="1"/>
  <c r="E357" i="16" s="1"/>
  <c r="AM292" i="30"/>
  <c r="BH292" i="30" s="1"/>
  <c r="Q357" i="16" s="1"/>
  <c r="AR292" i="30"/>
  <c r="BM292" i="30" s="1"/>
  <c r="V357" i="16" s="1"/>
  <c r="Y292" i="30"/>
  <c r="AT292" i="30" s="1"/>
  <c r="C357" i="16" s="1"/>
  <c r="AB292" i="30"/>
  <c r="AW292" i="30" s="1"/>
  <c r="F357" i="16" s="1"/>
  <c r="AC292" i="30"/>
  <c r="AX292" i="30" s="1"/>
  <c r="G357" i="16" s="1"/>
  <c r="AE292" i="30"/>
  <c r="AZ292" i="30" s="1"/>
  <c r="I357" i="16" s="1"/>
  <c r="AF292" i="30"/>
  <c r="BA292" i="30" s="1"/>
  <c r="J357" i="16" s="1"/>
  <c r="AH292" i="30"/>
  <c r="BC292" i="30" s="1"/>
  <c r="L357" i="16" s="1"/>
  <c r="AK292" i="30"/>
  <c r="BF292" i="30" s="1"/>
  <c r="O357" i="16" s="1"/>
  <c r="AO292" i="30"/>
  <c r="BJ292" i="30" s="1"/>
  <c r="S357" i="16" s="1"/>
  <c r="AQ292" i="30"/>
  <c r="BL292" i="30" s="1"/>
  <c r="U357" i="16" s="1"/>
  <c r="AN292" i="30"/>
  <c r="BI292" i="30" s="1"/>
  <c r="R357" i="16" s="1"/>
  <c r="B429" i="16"/>
  <c r="AF364" i="30"/>
  <c r="AR364" i="30"/>
  <c r="AG364" i="30"/>
  <c r="Y364" i="30"/>
  <c r="AT364" i="30" s="1"/>
  <c r="C429" i="16" s="1"/>
  <c r="AK364" i="30"/>
  <c r="Z364" i="30"/>
  <c r="AL364" i="30"/>
  <c r="AA364" i="30"/>
  <c r="AM364" i="30"/>
  <c r="AO364" i="30"/>
  <c r="AB364" i="30"/>
  <c r="AD364" i="30"/>
  <c r="AI364" i="30"/>
  <c r="AJ364" i="30"/>
  <c r="AE364" i="30"/>
  <c r="AC364" i="30"/>
  <c r="AH364" i="30"/>
  <c r="AN364" i="30"/>
  <c r="AP364" i="30"/>
  <c r="AQ364" i="30"/>
  <c r="B341" i="16"/>
  <c r="AD276" i="30"/>
  <c r="AY276" i="30" s="1"/>
  <c r="H341" i="16" s="1"/>
  <c r="AP276" i="30"/>
  <c r="BK276" i="30" s="1"/>
  <c r="T341" i="16" s="1"/>
  <c r="AG276" i="30"/>
  <c r="BB276" i="30" s="1"/>
  <c r="K341" i="16" s="1"/>
  <c r="AI276" i="30"/>
  <c r="BD276" i="30" s="1"/>
  <c r="M341" i="16" s="1"/>
  <c r="AJ276" i="30"/>
  <c r="BE276" i="30" s="1"/>
  <c r="N341" i="16" s="1"/>
  <c r="Y276" i="30"/>
  <c r="AT276" i="30" s="1"/>
  <c r="C341" i="16" s="1"/>
  <c r="AK276" i="30"/>
  <c r="BF276" i="30" s="1"/>
  <c r="O341" i="16" s="1"/>
  <c r="Z276" i="30"/>
  <c r="AB276" i="30"/>
  <c r="AW276" i="30" s="1"/>
  <c r="F341" i="16" s="1"/>
  <c r="AF276" i="30"/>
  <c r="BA276" i="30" s="1"/>
  <c r="J341" i="16" s="1"/>
  <c r="AL276" i="30"/>
  <c r="BG276" i="30" s="1"/>
  <c r="P341" i="16" s="1"/>
  <c r="AM276" i="30"/>
  <c r="BH276" i="30" s="1"/>
  <c r="Q341" i="16" s="1"/>
  <c r="AO276" i="30"/>
  <c r="BJ276" i="30" s="1"/>
  <c r="S341" i="16" s="1"/>
  <c r="AQ276" i="30"/>
  <c r="BL276" i="30" s="1"/>
  <c r="U341" i="16" s="1"/>
  <c r="AE276" i="30"/>
  <c r="AZ276" i="30" s="1"/>
  <c r="I341" i="16" s="1"/>
  <c r="AH276" i="30"/>
  <c r="BC276" i="30" s="1"/>
  <c r="L341" i="16" s="1"/>
  <c r="AN276" i="30"/>
  <c r="BI276" i="30" s="1"/>
  <c r="R341" i="16" s="1"/>
  <c r="AR276" i="30"/>
  <c r="BM276" i="30" s="1"/>
  <c r="V341" i="16" s="1"/>
  <c r="AA276" i="30"/>
  <c r="AV276" i="30" s="1"/>
  <c r="E341" i="16" s="1"/>
  <c r="AC276" i="30"/>
  <c r="AX276" i="30" s="1"/>
  <c r="G341" i="16" s="1"/>
  <c r="B361" i="16"/>
  <c r="AH296" i="30"/>
  <c r="BC296" i="30" s="1"/>
  <c r="L361" i="16" s="1"/>
  <c r="Y296" i="30"/>
  <c r="AT296" i="30" s="1"/>
  <c r="C361" i="16" s="1"/>
  <c r="AK296" i="30"/>
  <c r="BF296" i="30" s="1"/>
  <c r="O361" i="16" s="1"/>
  <c r="AA296" i="30"/>
  <c r="AV296" i="30" s="1"/>
  <c r="E361" i="16" s="1"/>
  <c r="AM296" i="30"/>
  <c r="BH296" i="30" s="1"/>
  <c r="Q361" i="16" s="1"/>
  <c r="AB296" i="30"/>
  <c r="AW296" i="30" s="1"/>
  <c r="F361" i="16" s="1"/>
  <c r="AN296" i="30"/>
  <c r="BI296" i="30" s="1"/>
  <c r="R361" i="16" s="1"/>
  <c r="AD296" i="30"/>
  <c r="AY296" i="30" s="1"/>
  <c r="H361" i="16" s="1"/>
  <c r="AP296" i="30"/>
  <c r="BK296" i="30" s="1"/>
  <c r="T361" i="16" s="1"/>
  <c r="AE296" i="30"/>
  <c r="AZ296" i="30" s="1"/>
  <c r="I361" i="16" s="1"/>
  <c r="AQ296" i="30"/>
  <c r="BL296" i="30" s="1"/>
  <c r="U361" i="16" s="1"/>
  <c r="AJ296" i="30"/>
  <c r="BE296" i="30" s="1"/>
  <c r="N361" i="16" s="1"/>
  <c r="AL296" i="30"/>
  <c r="BG296" i="30" s="1"/>
  <c r="P361" i="16" s="1"/>
  <c r="AO296" i="30"/>
  <c r="BJ296" i="30" s="1"/>
  <c r="S361" i="16" s="1"/>
  <c r="AR296" i="30"/>
  <c r="BM296" i="30" s="1"/>
  <c r="V361" i="16" s="1"/>
  <c r="Z296" i="30"/>
  <c r="AC296" i="30"/>
  <c r="AX296" i="30" s="1"/>
  <c r="G361" i="16" s="1"/>
  <c r="AF296" i="30"/>
  <c r="BA296" i="30" s="1"/>
  <c r="J361" i="16" s="1"/>
  <c r="AG296" i="30"/>
  <c r="BB296" i="30" s="1"/>
  <c r="K361" i="16" s="1"/>
  <c r="AI296" i="30"/>
  <c r="BD296" i="30" s="1"/>
  <c r="M361" i="16" s="1"/>
  <c r="B362" i="16"/>
  <c r="Z297" i="30"/>
  <c r="AL297" i="30"/>
  <c r="BG297" i="30" s="1"/>
  <c r="P362" i="16" s="1"/>
  <c r="AC297" i="30"/>
  <c r="AX297" i="30" s="1"/>
  <c r="G362" i="16" s="1"/>
  <c r="AO297" i="30"/>
  <c r="BJ297" i="30" s="1"/>
  <c r="S362" i="16" s="1"/>
  <c r="AE297" i="30"/>
  <c r="AZ297" i="30" s="1"/>
  <c r="I362" i="16" s="1"/>
  <c r="AQ297" i="30"/>
  <c r="BL297" i="30" s="1"/>
  <c r="U362" i="16" s="1"/>
  <c r="AF297" i="30"/>
  <c r="BA297" i="30" s="1"/>
  <c r="J362" i="16" s="1"/>
  <c r="AR297" i="30"/>
  <c r="BM297" i="30" s="1"/>
  <c r="V362" i="16" s="1"/>
  <c r="AH297" i="30"/>
  <c r="BC297" i="30" s="1"/>
  <c r="L362" i="16" s="1"/>
  <c r="AI297" i="30"/>
  <c r="BD297" i="30" s="1"/>
  <c r="M362" i="16" s="1"/>
  <c r="AN297" i="30"/>
  <c r="BI297" i="30" s="1"/>
  <c r="R362" i="16" s="1"/>
  <c r="AP297" i="30"/>
  <c r="BK297" i="30" s="1"/>
  <c r="T362" i="16" s="1"/>
  <c r="Y297" i="30"/>
  <c r="AT297" i="30" s="1"/>
  <c r="C362" i="16" s="1"/>
  <c r="AA297" i="30"/>
  <c r="AV297" i="30" s="1"/>
  <c r="E362" i="16" s="1"/>
  <c r="AB297" i="30"/>
  <c r="AW297" i="30" s="1"/>
  <c r="F362" i="16" s="1"/>
  <c r="AD297" i="30"/>
  <c r="AY297" i="30" s="1"/>
  <c r="H362" i="16" s="1"/>
  <c r="AG297" i="30"/>
  <c r="BB297" i="30" s="1"/>
  <c r="K362" i="16" s="1"/>
  <c r="AM297" i="30"/>
  <c r="BH297" i="30" s="1"/>
  <c r="Q362" i="16" s="1"/>
  <c r="AJ297" i="30"/>
  <c r="BE297" i="30" s="1"/>
  <c r="N362" i="16" s="1"/>
  <c r="AK297" i="30"/>
  <c r="BF297" i="30" s="1"/>
  <c r="O362" i="16" s="1"/>
  <c r="B363" i="16"/>
  <c r="AD298" i="30"/>
  <c r="AY298" i="30" s="1"/>
  <c r="H363" i="16" s="1"/>
  <c r="AP298" i="30"/>
  <c r="BK298" i="30" s="1"/>
  <c r="T363" i="16" s="1"/>
  <c r="AG298" i="30"/>
  <c r="BB298" i="30" s="1"/>
  <c r="K363" i="16" s="1"/>
  <c r="AI298" i="30"/>
  <c r="BD298" i="30" s="1"/>
  <c r="M363" i="16" s="1"/>
  <c r="AJ298" i="30"/>
  <c r="BE298" i="30" s="1"/>
  <c r="N363" i="16" s="1"/>
  <c r="Z298" i="30"/>
  <c r="AL298" i="30"/>
  <c r="BG298" i="30" s="1"/>
  <c r="P363" i="16" s="1"/>
  <c r="AA298" i="30"/>
  <c r="AV298" i="30" s="1"/>
  <c r="E363" i="16" s="1"/>
  <c r="AM298" i="30"/>
  <c r="BH298" i="30" s="1"/>
  <c r="Q363" i="16" s="1"/>
  <c r="AR298" i="30"/>
  <c r="BM298" i="30" s="1"/>
  <c r="V363" i="16" s="1"/>
  <c r="Y298" i="30"/>
  <c r="AT298" i="30" s="1"/>
  <c r="C363" i="16" s="1"/>
  <c r="AB298" i="30"/>
  <c r="AW298" i="30" s="1"/>
  <c r="F363" i="16" s="1"/>
  <c r="AC298" i="30"/>
  <c r="AX298" i="30" s="1"/>
  <c r="G363" i="16" s="1"/>
  <c r="AE298" i="30"/>
  <c r="AZ298" i="30" s="1"/>
  <c r="I363" i="16" s="1"/>
  <c r="AF298" i="30"/>
  <c r="BA298" i="30" s="1"/>
  <c r="J363" i="16" s="1"/>
  <c r="AH298" i="30"/>
  <c r="BC298" i="30" s="1"/>
  <c r="L363" i="16" s="1"/>
  <c r="AK298" i="30"/>
  <c r="BF298" i="30" s="1"/>
  <c r="O363" i="16" s="1"/>
  <c r="AN298" i="30"/>
  <c r="BI298" i="30" s="1"/>
  <c r="R363" i="16" s="1"/>
  <c r="AO298" i="30"/>
  <c r="BJ298" i="30" s="1"/>
  <c r="S363" i="16" s="1"/>
  <c r="AQ298" i="30"/>
  <c r="BL298" i="30" s="1"/>
  <c r="U363" i="16" s="1"/>
  <c r="B435" i="16"/>
  <c r="AG370" i="30"/>
  <c r="BB370" i="30" s="1"/>
  <c r="K435" i="16" s="1"/>
  <c r="Y370" i="30"/>
  <c r="AT370" i="30" s="1"/>
  <c r="C435" i="16" s="1"/>
  <c r="AK370" i="30"/>
  <c r="BF370" i="30" s="1"/>
  <c r="O435" i="16" s="1"/>
  <c r="AA370" i="30"/>
  <c r="AV370" i="30" s="1"/>
  <c r="E435" i="16" s="1"/>
  <c r="AM370" i="30"/>
  <c r="BH370" i="30" s="1"/>
  <c r="Q435" i="16" s="1"/>
  <c r="AD370" i="30"/>
  <c r="AY370" i="30" s="1"/>
  <c r="H435" i="16" s="1"/>
  <c r="AP370" i="30"/>
  <c r="BK370" i="30" s="1"/>
  <c r="T435" i="16" s="1"/>
  <c r="AE370" i="30"/>
  <c r="AZ370" i="30" s="1"/>
  <c r="I435" i="16" s="1"/>
  <c r="AQ370" i="30"/>
  <c r="BL370" i="30" s="1"/>
  <c r="U435" i="16" s="1"/>
  <c r="AC370" i="30"/>
  <c r="AX370" i="30" s="1"/>
  <c r="G435" i="16" s="1"/>
  <c r="AI370" i="30"/>
  <c r="BD370" i="30" s="1"/>
  <c r="M435" i="16" s="1"/>
  <c r="AF370" i="30"/>
  <c r="BA370" i="30" s="1"/>
  <c r="J435" i="16" s="1"/>
  <c r="AH370" i="30"/>
  <c r="BC370" i="30" s="1"/>
  <c r="L435" i="16" s="1"/>
  <c r="AJ370" i="30"/>
  <c r="BE370" i="30" s="1"/>
  <c r="N435" i="16" s="1"/>
  <c r="AL370" i="30"/>
  <c r="BG370" i="30" s="1"/>
  <c r="P435" i="16" s="1"/>
  <c r="AN370" i="30"/>
  <c r="BI370" i="30" s="1"/>
  <c r="R435" i="16" s="1"/>
  <c r="AO370" i="30"/>
  <c r="BJ370" i="30" s="1"/>
  <c r="S435" i="16" s="1"/>
  <c r="AR370" i="30"/>
  <c r="BM370" i="30" s="1"/>
  <c r="V435" i="16" s="1"/>
  <c r="Z370" i="30"/>
  <c r="AB370" i="30"/>
  <c r="AW370" i="30" s="1"/>
  <c r="F435" i="16" s="1"/>
  <c r="B364" i="16"/>
  <c r="AH299" i="30"/>
  <c r="BC299" i="30" s="1"/>
  <c r="L364" i="16" s="1"/>
  <c r="Y299" i="30"/>
  <c r="AT299" i="30" s="1"/>
  <c r="C364" i="16" s="1"/>
  <c r="AK299" i="30"/>
  <c r="BF299" i="30" s="1"/>
  <c r="O364" i="16" s="1"/>
  <c r="AA299" i="30"/>
  <c r="AV299" i="30" s="1"/>
  <c r="E364" i="16" s="1"/>
  <c r="AM299" i="30"/>
  <c r="BH299" i="30" s="1"/>
  <c r="Q364" i="16" s="1"/>
  <c r="AB299" i="30"/>
  <c r="AW299" i="30" s="1"/>
  <c r="F364" i="16" s="1"/>
  <c r="AN299" i="30"/>
  <c r="BI299" i="30" s="1"/>
  <c r="R364" i="16" s="1"/>
  <c r="AD299" i="30"/>
  <c r="AY299" i="30" s="1"/>
  <c r="H364" i="16" s="1"/>
  <c r="AP299" i="30"/>
  <c r="BK299" i="30" s="1"/>
  <c r="T364" i="16" s="1"/>
  <c r="AE299" i="30"/>
  <c r="AZ299" i="30" s="1"/>
  <c r="I364" i="16" s="1"/>
  <c r="AQ299" i="30"/>
  <c r="BL299" i="30" s="1"/>
  <c r="U364" i="16" s="1"/>
  <c r="Z299" i="30"/>
  <c r="AC299" i="30"/>
  <c r="AX299" i="30" s="1"/>
  <c r="G364" i="16" s="1"/>
  <c r="AF299" i="30"/>
  <c r="BA299" i="30" s="1"/>
  <c r="J364" i="16" s="1"/>
  <c r="AG299" i="30"/>
  <c r="BB299" i="30" s="1"/>
  <c r="K364" i="16" s="1"/>
  <c r="AI299" i="30"/>
  <c r="BD299" i="30" s="1"/>
  <c r="M364" i="16" s="1"/>
  <c r="AJ299" i="30"/>
  <c r="BE299" i="30" s="1"/>
  <c r="N364" i="16" s="1"/>
  <c r="AL299" i="30"/>
  <c r="BG299" i="30" s="1"/>
  <c r="P364" i="16" s="1"/>
  <c r="AO299" i="30"/>
  <c r="BJ299" i="30" s="1"/>
  <c r="S364" i="16" s="1"/>
  <c r="AR299" i="30"/>
  <c r="BM299" i="30" s="1"/>
  <c r="V364" i="16" s="1"/>
  <c r="B436" i="16"/>
  <c r="Y371" i="30"/>
  <c r="AT371" i="30" s="1"/>
  <c r="C436" i="16" s="1"/>
  <c r="AK371" i="30"/>
  <c r="AC371" i="30"/>
  <c r="AO371" i="30"/>
  <c r="AE371" i="30"/>
  <c r="AQ371" i="30"/>
  <c r="AH371" i="30"/>
  <c r="AI371" i="30"/>
  <c r="Z371" i="30"/>
  <c r="AD371" i="30"/>
  <c r="AJ371" i="30"/>
  <c r="AM371" i="30"/>
  <c r="AN371" i="30"/>
  <c r="AP371" i="30"/>
  <c r="AR371" i="30"/>
  <c r="AA371" i="30"/>
  <c r="AB371" i="30"/>
  <c r="AF371" i="30"/>
  <c r="AG371" i="30"/>
  <c r="AL371" i="30"/>
  <c r="B347" i="16"/>
  <c r="Z282" i="30"/>
  <c r="AL282" i="30"/>
  <c r="BG282" i="30" s="1"/>
  <c r="P347" i="16" s="1"/>
  <c r="AC282" i="30"/>
  <c r="AX282" i="30" s="1"/>
  <c r="G347" i="16" s="1"/>
  <c r="AO282" i="30"/>
  <c r="BJ282" i="30" s="1"/>
  <c r="S347" i="16" s="1"/>
  <c r="AE282" i="30"/>
  <c r="AZ282" i="30" s="1"/>
  <c r="I347" i="16" s="1"/>
  <c r="AQ282" i="30"/>
  <c r="BL282" i="30" s="1"/>
  <c r="U347" i="16" s="1"/>
  <c r="AF282" i="30"/>
  <c r="BA282" i="30" s="1"/>
  <c r="J347" i="16" s="1"/>
  <c r="AR282" i="30"/>
  <c r="BM282" i="30" s="1"/>
  <c r="V347" i="16" s="1"/>
  <c r="AH282" i="30"/>
  <c r="BC282" i="30" s="1"/>
  <c r="L347" i="16" s="1"/>
  <c r="AI282" i="30"/>
  <c r="BD282" i="30" s="1"/>
  <c r="M347" i="16" s="1"/>
  <c r="AB282" i="30"/>
  <c r="AW282" i="30" s="1"/>
  <c r="F347" i="16" s="1"/>
  <c r="AD282" i="30"/>
  <c r="AY282" i="30" s="1"/>
  <c r="H347" i="16" s="1"/>
  <c r="AG282" i="30"/>
  <c r="BB282" i="30" s="1"/>
  <c r="K347" i="16" s="1"/>
  <c r="AJ282" i="30"/>
  <c r="BE282" i="30" s="1"/>
  <c r="N347" i="16" s="1"/>
  <c r="AK282" i="30"/>
  <c r="BF282" i="30" s="1"/>
  <c r="O347" i="16" s="1"/>
  <c r="AM282" i="30"/>
  <c r="BH282" i="30" s="1"/>
  <c r="Q347" i="16" s="1"/>
  <c r="AN282" i="30"/>
  <c r="BI282" i="30" s="1"/>
  <c r="R347" i="16" s="1"/>
  <c r="AP282" i="30"/>
  <c r="BK282" i="30" s="1"/>
  <c r="T347" i="16" s="1"/>
  <c r="Y282" i="30"/>
  <c r="AT282" i="30" s="1"/>
  <c r="C347" i="16" s="1"/>
  <c r="AA282" i="30"/>
  <c r="AV282" i="30" s="1"/>
  <c r="E347" i="16" s="1"/>
  <c r="B431" i="16"/>
  <c r="AB366" i="30"/>
  <c r="AN366" i="30"/>
  <c r="AC366" i="30"/>
  <c r="AO366" i="30"/>
  <c r="AG366" i="30"/>
  <c r="AI366" i="30"/>
  <c r="AM366" i="30"/>
  <c r="AA366" i="30"/>
  <c r="AE366" i="30"/>
  <c r="AJ366" i="30"/>
  <c r="AK366" i="30"/>
  <c r="AQ366" i="30"/>
  <c r="Z366" i="30"/>
  <c r="Y366" i="30"/>
  <c r="AT366" i="30" s="1"/>
  <c r="C431" i="16" s="1"/>
  <c r="AD366" i="30"/>
  <c r="AF366" i="30"/>
  <c r="AH366" i="30"/>
  <c r="AL366" i="30"/>
  <c r="AP366" i="30"/>
  <c r="AR366" i="30"/>
  <c r="B367" i="16"/>
  <c r="AH302" i="30"/>
  <c r="BC302" i="30" s="1"/>
  <c r="L367" i="16" s="1"/>
  <c r="Y302" i="30"/>
  <c r="AT302" i="30" s="1"/>
  <c r="C367" i="16" s="1"/>
  <c r="AK302" i="30"/>
  <c r="BF302" i="30" s="1"/>
  <c r="O367" i="16" s="1"/>
  <c r="AA302" i="30"/>
  <c r="AV302" i="30" s="1"/>
  <c r="E367" i="16" s="1"/>
  <c r="AM302" i="30"/>
  <c r="BH302" i="30" s="1"/>
  <c r="Q367" i="16" s="1"/>
  <c r="AB302" i="30"/>
  <c r="AW302" i="30" s="1"/>
  <c r="F367" i="16" s="1"/>
  <c r="AN302" i="30"/>
  <c r="BI302" i="30" s="1"/>
  <c r="R367" i="16" s="1"/>
  <c r="AD302" i="30"/>
  <c r="AY302" i="30" s="1"/>
  <c r="H367" i="16" s="1"/>
  <c r="AP302" i="30"/>
  <c r="BK302" i="30" s="1"/>
  <c r="T367" i="16" s="1"/>
  <c r="AE302" i="30"/>
  <c r="AZ302" i="30" s="1"/>
  <c r="I367" i="16" s="1"/>
  <c r="AQ302" i="30"/>
  <c r="BL302" i="30" s="1"/>
  <c r="U367" i="16" s="1"/>
  <c r="AJ302" i="30"/>
  <c r="BE302" i="30" s="1"/>
  <c r="N367" i="16" s="1"/>
  <c r="AL302" i="30"/>
  <c r="BG302" i="30" s="1"/>
  <c r="P367" i="16" s="1"/>
  <c r="AO302" i="30"/>
  <c r="BJ302" i="30" s="1"/>
  <c r="S367" i="16" s="1"/>
  <c r="AR302" i="30"/>
  <c r="BM302" i="30" s="1"/>
  <c r="V367" i="16" s="1"/>
  <c r="Z302" i="30"/>
  <c r="AC302" i="30"/>
  <c r="AX302" i="30" s="1"/>
  <c r="G367" i="16" s="1"/>
  <c r="AG302" i="30"/>
  <c r="BB302" i="30" s="1"/>
  <c r="K367" i="16" s="1"/>
  <c r="AI302" i="30"/>
  <c r="BD302" i="30" s="1"/>
  <c r="M367" i="16" s="1"/>
  <c r="AF302" i="30"/>
  <c r="BA302" i="30" s="1"/>
  <c r="J367" i="16" s="1"/>
  <c r="B439" i="16"/>
  <c r="Y374" i="30"/>
  <c r="AT374" i="30" s="1"/>
  <c r="C439" i="16" s="1"/>
  <c r="AK374" i="30"/>
  <c r="BF374" i="30" s="1"/>
  <c r="O439" i="16" s="1"/>
  <c r="AC374" i="30"/>
  <c r="AX374" i="30" s="1"/>
  <c r="G439" i="16" s="1"/>
  <c r="AO374" i="30"/>
  <c r="BJ374" i="30" s="1"/>
  <c r="S439" i="16" s="1"/>
  <c r="AE374" i="30"/>
  <c r="AZ374" i="30" s="1"/>
  <c r="I439" i="16" s="1"/>
  <c r="AQ374" i="30"/>
  <c r="BL374" i="30" s="1"/>
  <c r="U439" i="16" s="1"/>
  <c r="AH374" i="30"/>
  <c r="BC374" i="30" s="1"/>
  <c r="L439" i="16" s="1"/>
  <c r="AI374" i="30"/>
  <c r="BD374" i="30" s="1"/>
  <c r="M439" i="16" s="1"/>
  <c r="AA374" i="30"/>
  <c r="AV374" i="30" s="1"/>
  <c r="E439" i="16" s="1"/>
  <c r="AF374" i="30"/>
  <c r="BA374" i="30" s="1"/>
  <c r="J439" i="16" s="1"/>
  <c r="AL374" i="30"/>
  <c r="BG374" i="30" s="1"/>
  <c r="P439" i="16" s="1"/>
  <c r="AG374" i="30"/>
  <c r="BB374" i="30" s="1"/>
  <c r="K439" i="16" s="1"/>
  <c r="AJ374" i="30"/>
  <c r="BE374" i="30" s="1"/>
  <c r="N439" i="16" s="1"/>
  <c r="AM374" i="30"/>
  <c r="BH374" i="30" s="1"/>
  <c r="Q439" i="16" s="1"/>
  <c r="AN374" i="30"/>
  <c r="BI374" i="30" s="1"/>
  <c r="R439" i="16" s="1"/>
  <c r="AP374" i="30"/>
  <c r="BK374" i="30" s="1"/>
  <c r="T439" i="16" s="1"/>
  <c r="AR374" i="30"/>
  <c r="BM374" i="30" s="1"/>
  <c r="V439" i="16" s="1"/>
  <c r="Z374" i="30"/>
  <c r="AB374" i="30"/>
  <c r="AW374" i="30" s="1"/>
  <c r="F439" i="16" s="1"/>
  <c r="AD374" i="30"/>
  <c r="AY374" i="30" s="1"/>
  <c r="H439" i="16" s="1"/>
  <c r="B368" i="16"/>
  <c r="Z303" i="30"/>
  <c r="AL303" i="30"/>
  <c r="BG303" i="30" s="1"/>
  <c r="P368" i="16" s="1"/>
  <c r="AC303" i="30"/>
  <c r="AX303" i="30" s="1"/>
  <c r="G368" i="16" s="1"/>
  <c r="AO303" i="30"/>
  <c r="BJ303" i="30" s="1"/>
  <c r="S368" i="16" s="1"/>
  <c r="AE303" i="30"/>
  <c r="AZ303" i="30" s="1"/>
  <c r="I368" i="16" s="1"/>
  <c r="AQ303" i="30"/>
  <c r="BL303" i="30" s="1"/>
  <c r="U368" i="16" s="1"/>
  <c r="AF303" i="30"/>
  <c r="BA303" i="30" s="1"/>
  <c r="J368" i="16" s="1"/>
  <c r="AR303" i="30"/>
  <c r="BM303" i="30" s="1"/>
  <c r="V368" i="16" s="1"/>
  <c r="AH303" i="30"/>
  <c r="BC303" i="30" s="1"/>
  <c r="L368" i="16" s="1"/>
  <c r="AI303" i="30"/>
  <c r="BD303" i="30" s="1"/>
  <c r="M368" i="16" s="1"/>
  <c r="AN303" i="30"/>
  <c r="BI303" i="30" s="1"/>
  <c r="R368" i="16" s="1"/>
  <c r="AP303" i="30"/>
  <c r="BK303" i="30" s="1"/>
  <c r="T368" i="16" s="1"/>
  <c r="Y303" i="30"/>
  <c r="AT303" i="30" s="1"/>
  <c r="C368" i="16" s="1"/>
  <c r="AA303" i="30"/>
  <c r="AV303" i="30" s="1"/>
  <c r="E368" i="16" s="1"/>
  <c r="AB303" i="30"/>
  <c r="AW303" i="30" s="1"/>
  <c r="F368" i="16" s="1"/>
  <c r="AD303" i="30"/>
  <c r="AY303" i="30" s="1"/>
  <c r="H368" i="16" s="1"/>
  <c r="AG303" i="30"/>
  <c r="BB303" i="30" s="1"/>
  <c r="K368" i="16" s="1"/>
  <c r="AJ303" i="30"/>
  <c r="BE303" i="30" s="1"/>
  <c r="N368" i="16" s="1"/>
  <c r="AK303" i="30"/>
  <c r="BF303" i="30" s="1"/>
  <c r="O368" i="16" s="1"/>
  <c r="AM303" i="30"/>
  <c r="BH303" i="30" s="1"/>
  <c r="Q368" i="16" s="1"/>
  <c r="B440" i="16"/>
  <c r="AC375" i="30"/>
  <c r="AX375" i="30" s="1"/>
  <c r="G440" i="16" s="1"/>
  <c r="AO375" i="30"/>
  <c r="BJ375" i="30" s="1"/>
  <c r="S440" i="16" s="1"/>
  <c r="AG375" i="30"/>
  <c r="BB375" i="30" s="1"/>
  <c r="K440" i="16" s="1"/>
  <c r="AI375" i="30"/>
  <c r="BD375" i="30" s="1"/>
  <c r="M440" i="16" s="1"/>
  <c r="Z375" i="30"/>
  <c r="AL375" i="30"/>
  <c r="BG375" i="30" s="1"/>
  <c r="P440" i="16" s="1"/>
  <c r="AA375" i="30"/>
  <c r="AV375" i="30" s="1"/>
  <c r="E440" i="16" s="1"/>
  <c r="AM375" i="30"/>
  <c r="BH375" i="30" s="1"/>
  <c r="Q440" i="16" s="1"/>
  <c r="AB375" i="30"/>
  <c r="AW375" i="30" s="1"/>
  <c r="F440" i="16" s="1"/>
  <c r="AF375" i="30"/>
  <c r="BA375" i="30" s="1"/>
  <c r="J440" i="16" s="1"/>
  <c r="AK375" i="30"/>
  <c r="BF375" i="30" s="1"/>
  <c r="O440" i="16" s="1"/>
  <c r="AP375" i="30"/>
  <c r="BK375" i="30" s="1"/>
  <c r="T440" i="16" s="1"/>
  <c r="AR375" i="30"/>
  <c r="BM375" i="30" s="1"/>
  <c r="V440" i="16" s="1"/>
  <c r="AH375" i="30"/>
  <c r="BC375" i="30" s="1"/>
  <c r="L440" i="16" s="1"/>
  <c r="Y375" i="30"/>
  <c r="AT375" i="30" s="1"/>
  <c r="C440" i="16" s="1"/>
  <c r="AD375" i="30"/>
  <c r="AY375" i="30" s="1"/>
  <c r="H440" i="16" s="1"/>
  <c r="AE375" i="30"/>
  <c r="AZ375" i="30" s="1"/>
  <c r="I440" i="16" s="1"/>
  <c r="AJ375" i="30"/>
  <c r="BE375" i="30" s="1"/>
  <c r="N440" i="16" s="1"/>
  <c r="AN375" i="30"/>
  <c r="BI375" i="30" s="1"/>
  <c r="R440" i="16" s="1"/>
  <c r="AQ375" i="30"/>
  <c r="BL375" i="30" s="1"/>
  <c r="U440" i="16" s="1"/>
  <c r="B402" i="16"/>
  <c r="AE337" i="30"/>
  <c r="AZ337" i="30" s="1"/>
  <c r="I402" i="16" s="1"/>
  <c r="AQ337" i="30"/>
  <c r="BL337" i="30" s="1"/>
  <c r="U402" i="16" s="1"/>
  <c r="AF337" i="30"/>
  <c r="BA337" i="30" s="1"/>
  <c r="J402" i="16" s="1"/>
  <c r="AR337" i="30"/>
  <c r="BM337" i="30" s="1"/>
  <c r="V402" i="16" s="1"/>
  <c r="AJ337" i="30"/>
  <c r="BE337" i="30" s="1"/>
  <c r="N402" i="16" s="1"/>
  <c r="Y337" i="30"/>
  <c r="AT337" i="30" s="1"/>
  <c r="C402" i="16" s="1"/>
  <c r="AK337" i="30"/>
  <c r="BF337" i="30" s="1"/>
  <c r="O402" i="16" s="1"/>
  <c r="Z337" i="30"/>
  <c r="AL337" i="30"/>
  <c r="BG337" i="30" s="1"/>
  <c r="P402" i="16" s="1"/>
  <c r="AD337" i="30"/>
  <c r="AY337" i="30" s="1"/>
  <c r="H402" i="16" s="1"/>
  <c r="AH337" i="30"/>
  <c r="BC337" i="30" s="1"/>
  <c r="L402" i="16" s="1"/>
  <c r="AN337" i="30"/>
  <c r="BI337" i="30" s="1"/>
  <c r="R402" i="16" s="1"/>
  <c r="AO337" i="30"/>
  <c r="BJ337" i="30" s="1"/>
  <c r="S402" i="16" s="1"/>
  <c r="AA337" i="30"/>
  <c r="AV337" i="30" s="1"/>
  <c r="E402" i="16" s="1"/>
  <c r="AC337" i="30"/>
  <c r="AX337" i="30" s="1"/>
  <c r="G402" i="16" s="1"/>
  <c r="AG337" i="30"/>
  <c r="BB337" i="30" s="1"/>
  <c r="K402" i="16" s="1"/>
  <c r="AP337" i="30"/>
  <c r="BK337" i="30" s="1"/>
  <c r="T402" i="16" s="1"/>
  <c r="AB337" i="30"/>
  <c r="AW337" i="30" s="1"/>
  <c r="F402" i="16" s="1"/>
  <c r="AI337" i="30"/>
  <c r="BD337" i="30" s="1"/>
  <c r="M402" i="16" s="1"/>
  <c r="AM337" i="30"/>
  <c r="BH337" i="30" s="1"/>
  <c r="Q402" i="16" s="1"/>
  <c r="B414" i="16"/>
  <c r="AF349" i="30"/>
  <c r="AR349" i="30"/>
  <c r="AG349" i="30"/>
  <c r="Y349" i="30"/>
  <c r="AT349" i="30" s="1"/>
  <c r="C414" i="16" s="1"/>
  <c r="AK349" i="30"/>
  <c r="Z349" i="30"/>
  <c r="AL349" i="30"/>
  <c r="AA349" i="30"/>
  <c r="AM349" i="30"/>
  <c r="AE349" i="30"/>
  <c r="AN349" i="30"/>
  <c r="AP349" i="30"/>
  <c r="AB349" i="30"/>
  <c r="AC349" i="30"/>
  <c r="AH349" i="30"/>
  <c r="AJ349" i="30"/>
  <c r="AO349" i="30"/>
  <c r="AD349" i="30"/>
  <c r="AI349" i="30"/>
  <c r="AQ349" i="30"/>
  <c r="B369" i="16"/>
  <c r="AD304" i="30"/>
  <c r="AY304" i="30" s="1"/>
  <c r="H369" i="16" s="1"/>
  <c r="AP304" i="30"/>
  <c r="BK304" i="30" s="1"/>
  <c r="T369" i="16" s="1"/>
  <c r="AG304" i="30"/>
  <c r="BB304" i="30" s="1"/>
  <c r="K369" i="16" s="1"/>
  <c r="AI304" i="30"/>
  <c r="BD304" i="30" s="1"/>
  <c r="M369" i="16" s="1"/>
  <c r="AJ304" i="30"/>
  <c r="BE304" i="30" s="1"/>
  <c r="N369" i="16" s="1"/>
  <c r="Z304" i="30"/>
  <c r="AL304" i="30"/>
  <c r="BG304" i="30" s="1"/>
  <c r="P369" i="16" s="1"/>
  <c r="AA304" i="30"/>
  <c r="AV304" i="30" s="1"/>
  <c r="E369" i="16" s="1"/>
  <c r="AM304" i="30"/>
  <c r="BH304" i="30" s="1"/>
  <c r="Q369" i="16" s="1"/>
  <c r="AR304" i="30"/>
  <c r="BM304" i="30" s="1"/>
  <c r="V369" i="16" s="1"/>
  <c r="Y304" i="30"/>
  <c r="AT304" i="30" s="1"/>
  <c r="C369" i="16" s="1"/>
  <c r="AB304" i="30"/>
  <c r="AW304" i="30" s="1"/>
  <c r="F369" i="16" s="1"/>
  <c r="AC304" i="30"/>
  <c r="AX304" i="30" s="1"/>
  <c r="G369" i="16" s="1"/>
  <c r="AE304" i="30"/>
  <c r="AZ304" i="30" s="1"/>
  <c r="I369" i="16" s="1"/>
  <c r="AF304" i="30"/>
  <c r="BA304" i="30" s="1"/>
  <c r="J369" i="16" s="1"/>
  <c r="AH304" i="30"/>
  <c r="BC304" i="30" s="1"/>
  <c r="L369" i="16" s="1"/>
  <c r="AO304" i="30"/>
  <c r="BJ304" i="30" s="1"/>
  <c r="S369" i="16" s="1"/>
  <c r="AQ304" i="30"/>
  <c r="BL304" i="30" s="1"/>
  <c r="U369" i="16" s="1"/>
  <c r="AK304" i="30"/>
  <c r="BF304" i="30" s="1"/>
  <c r="O369" i="16" s="1"/>
  <c r="AN304" i="30"/>
  <c r="BI304" i="30" s="1"/>
  <c r="R369" i="16" s="1"/>
  <c r="B441" i="16"/>
  <c r="BN376" i="30"/>
  <c r="AG376" i="30"/>
  <c r="Y376" i="30"/>
  <c r="AT376" i="30" s="1"/>
  <c r="C441" i="16" s="1"/>
  <c r="AK376" i="30"/>
  <c r="AA376" i="30"/>
  <c r="AM376" i="30"/>
  <c r="AD376" i="30"/>
  <c r="AP376" i="30"/>
  <c r="AE376" i="30"/>
  <c r="AQ376" i="30"/>
  <c r="AB376" i="30"/>
  <c r="AH376" i="30"/>
  <c r="AL376" i="30"/>
  <c r="Z376" i="30"/>
  <c r="AC376" i="30"/>
  <c r="AF376" i="30"/>
  <c r="AO376" i="30"/>
  <c r="AI376" i="30"/>
  <c r="AJ376" i="30"/>
  <c r="AN376" i="30"/>
  <c r="AR376" i="30"/>
  <c r="B370" i="16"/>
  <c r="AH305" i="30"/>
  <c r="BC305" i="30" s="1"/>
  <c r="L370" i="16" s="1"/>
  <c r="Y305" i="30"/>
  <c r="AT305" i="30" s="1"/>
  <c r="C370" i="16" s="1"/>
  <c r="AK305" i="30"/>
  <c r="BF305" i="30" s="1"/>
  <c r="O370" i="16" s="1"/>
  <c r="AA305" i="30"/>
  <c r="AV305" i="30" s="1"/>
  <c r="E370" i="16" s="1"/>
  <c r="AM305" i="30"/>
  <c r="BH305" i="30" s="1"/>
  <c r="Q370" i="16" s="1"/>
  <c r="AB305" i="30"/>
  <c r="AW305" i="30" s="1"/>
  <c r="F370" i="16" s="1"/>
  <c r="AN305" i="30"/>
  <c r="BI305" i="30" s="1"/>
  <c r="R370" i="16" s="1"/>
  <c r="AD305" i="30"/>
  <c r="AY305" i="30" s="1"/>
  <c r="H370" i="16" s="1"/>
  <c r="AP305" i="30"/>
  <c r="BK305" i="30" s="1"/>
  <c r="T370" i="16" s="1"/>
  <c r="AE305" i="30"/>
  <c r="AZ305" i="30" s="1"/>
  <c r="I370" i="16" s="1"/>
  <c r="AQ305" i="30"/>
  <c r="BL305" i="30" s="1"/>
  <c r="U370" i="16" s="1"/>
  <c r="Z305" i="30"/>
  <c r="AC305" i="30"/>
  <c r="AX305" i="30" s="1"/>
  <c r="G370" i="16" s="1"/>
  <c r="AF305" i="30"/>
  <c r="BA305" i="30" s="1"/>
  <c r="J370" i="16" s="1"/>
  <c r="AG305" i="30"/>
  <c r="BB305" i="30" s="1"/>
  <c r="K370" i="16" s="1"/>
  <c r="AI305" i="30"/>
  <c r="BD305" i="30" s="1"/>
  <c r="M370" i="16" s="1"/>
  <c r="AJ305" i="30"/>
  <c r="BE305" i="30" s="1"/>
  <c r="N370" i="16" s="1"/>
  <c r="AL305" i="30"/>
  <c r="BG305" i="30" s="1"/>
  <c r="P370" i="16" s="1"/>
  <c r="AO305" i="30"/>
  <c r="BJ305" i="30" s="1"/>
  <c r="S370" i="16" s="1"/>
  <c r="AR305" i="30"/>
  <c r="BM305" i="30" s="1"/>
  <c r="V370" i="16" s="1"/>
  <c r="BN377" i="30"/>
  <c r="B442" i="16"/>
  <c r="Y377" i="30"/>
  <c r="AT377" i="30" s="1"/>
  <c r="C442" i="16" s="1"/>
  <c r="AK377" i="30"/>
  <c r="AC377" i="30"/>
  <c r="AO377" i="30"/>
  <c r="AE377" i="30"/>
  <c r="AQ377" i="30"/>
  <c r="AH377" i="30"/>
  <c r="AI377" i="30"/>
  <c r="AB377" i="30"/>
  <c r="AG377" i="30"/>
  <c r="AM377" i="30"/>
  <c r="AA377" i="30"/>
  <c r="AD377" i="30"/>
  <c r="AF377" i="30"/>
  <c r="AJ377" i="30"/>
  <c r="AL377" i="30"/>
  <c r="AN377" i="30"/>
  <c r="AP377" i="30"/>
  <c r="AR377" i="30"/>
  <c r="Z377" i="30"/>
  <c r="B353" i="16"/>
  <c r="Z288" i="30"/>
  <c r="AL288" i="30"/>
  <c r="BG288" i="30" s="1"/>
  <c r="P353" i="16" s="1"/>
  <c r="AC288" i="30"/>
  <c r="AX288" i="30" s="1"/>
  <c r="G353" i="16" s="1"/>
  <c r="AO288" i="30"/>
  <c r="BJ288" i="30" s="1"/>
  <c r="S353" i="16" s="1"/>
  <c r="AE288" i="30"/>
  <c r="AZ288" i="30" s="1"/>
  <c r="I353" i="16" s="1"/>
  <c r="AQ288" i="30"/>
  <c r="BL288" i="30" s="1"/>
  <c r="U353" i="16" s="1"/>
  <c r="AF288" i="30"/>
  <c r="BA288" i="30" s="1"/>
  <c r="J353" i="16" s="1"/>
  <c r="AR288" i="30"/>
  <c r="BM288" i="30" s="1"/>
  <c r="V353" i="16" s="1"/>
  <c r="AH288" i="30"/>
  <c r="BC288" i="30" s="1"/>
  <c r="L353" i="16" s="1"/>
  <c r="AI288" i="30"/>
  <c r="BD288" i="30" s="1"/>
  <c r="M353" i="16" s="1"/>
  <c r="AB288" i="30"/>
  <c r="AW288" i="30" s="1"/>
  <c r="F353" i="16" s="1"/>
  <c r="AD288" i="30"/>
  <c r="AY288" i="30" s="1"/>
  <c r="H353" i="16" s="1"/>
  <c r="AG288" i="30"/>
  <c r="BB288" i="30" s="1"/>
  <c r="K353" i="16" s="1"/>
  <c r="AJ288" i="30"/>
  <c r="BE288" i="30" s="1"/>
  <c r="N353" i="16" s="1"/>
  <c r="AK288" i="30"/>
  <c r="BF288" i="30" s="1"/>
  <c r="O353" i="16" s="1"/>
  <c r="AM288" i="30"/>
  <c r="BH288" i="30" s="1"/>
  <c r="Q353" i="16" s="1"/>
  <c r="AN288" i="30"/>
  <c r="BI288" i="30" s="1"/>
  <c r="R353" i="16" s="1"/>
  <c r="AP288" i="30"/>
  <c r="BK288" i="30" s="1"/>
  <c r="T353" i="16" s="1"/>
  <c r="Y288" i="30"/>
  <c r="AT288" i="30" s="1"/>
  <c r="C353" i="16" s="1"/>
  <c r="AA288" i="30"/>
  <c r="AV288" i="30" s="1"/>
  <c r="E353" i="16" s="1"/>
  <c r="B443" i="16"/>
  <c r="BN378" i="30"/>
  <c r="AC378" i="30"/>
  <c r="AO378" i="30"/>
  <c r="AG378" i="30"/>
  <c r="AI378" i="30"/>
  <c r="Z378" i="30"/>
  <c r="AL378" i="30"/>
  <c r="AA378" i="30"/>
  <c r="AM378" i="30"/>
  <c r="AD378" i="30"/>
  <c r="AH378" i="30"/>
  <c r="AN378" i="30"/>
  <c r="AJ378" i="30"/>
  <c r="AK378" i="30"/>
  <c r="AP378" i="30"/>
  <c r="AQ378" i="30"/>
  <c r="AR378" i="30"/>
  <c r="Y378" i="30"/>
  <c r="AT378" i="30" s="1"/>
  <c r="C443" i="16" s="1"/>
  <c r="AB378" i="30"/>
  <c r="AE378" i="30"/>
  <c r="AF378" i="30"/>
  <c r="B373" i="16"/>
  <c r="AH308" i="30"/>
  <c r="BC308" i="30" s="1"/>
  <c r="L373" i="16" s="1"/>
  <c r="AA308" i="30"/>
  <c r="AV308" i="30" s="1"/>
  <c r="E373" i="16" s="1"/>
  <c r="AM308" i="30"/>
  <c r="BH308" i="30" s="1"/>
  <c r="Q373" i="16" s="1"/>
  <c r="AL308" i="30"/>
  <c r="BG308" i="30" s="1"/>
  <c r="P373" i="16" s="1"/>
  <c r="Y308" i="30"/>
  <c r="AT308" i="30" s="1"/>
  <c r="C373" i="16" s="1"/>
  <c r="AN308" i="30"/>
  <c r="BI308" i="30" s="1"/>
  <c r="R373" i="16" s="1"/>
  <c r="Z308" i="30"/>
  <c r="AO308" i="30"/>
  <c r="BJ308" i="30" s="1"/>
  <c r="S373" i="16" s="1"/>
  <c r="AB308" i="30"/>
  <c r="AW308" i="30" s="1"/>
  <c r="F373" i="16" s="1"/>
  <c r="AP308" i="30"/>
  <c r="BK308" i="30" s="1"/>
  <c r="T373" i="16" s="1"/>
  <c r="AC308" i="30"/>
  <c r="AX308" i="30" s="1"/>
  <c r="G373" i="16" s="1"/>
  <c r="AQ308" i="30"/>
  <c r="BL308" i="30" s="1"/>
  <c r="U373" i="16" s="1"/>
  <c r="AD308" i="30"/>
  <c r="AY308" i="30" s="1"/>
  <c r="H373" i="16" s="1"/>
  <c r="AR308" i="30"/>
  <c r="BM308" i="30" s="1"/>
  <c r="V373" i="16" s="1"/>
  <c r="AE308" i="30"/>
  <c r="AZ308" i="30" s="1"/>
  <c r="I373" i="16" s="1"/>
  <c r="AF308" i="30"/>
  <c r="BA308" i="30" s="1"/>
  <c r="J373" i="16" s="1"/>
  <c r="AG308" i="30"/>
  <c r="BB308" i="30" s="1"/>
  <c r="K373" i="16" s="1"/>
  <c r="AI308" i="30"/>
  <c r="BD308" i="30" s="1"/>
  <c r="M373" i="16" s="1"/>
  <c r="AJ308" i="30"/>
  <c r="BE308" i="30" s="1"/>
  <c r="N373" i="16" s="1"/>
  <c r="AK308" i="30"/>
  <c r="BF308" i="30" s="1"/>
  <c r="O373" i="16" s="1"/>
  <c r="B445" i="16"/>
  <c r="Y380" i="30"/>
  <c r="AT380" i="30" s="1"/>
  <c r="C445" i="16" s="1"/>
  <c r="AK380" i="30"/>
  <c r="BF380" i="30" s="1"/>
  <c r="O445" i="16" s="1"/>
  <c r="AC380" i="30"/>
  <c r="AX380" i="30" s="1"/>
  <c r="G445" i="16" s="1"/>
  <c r="AO380" i="30"/>
  <c r="BJ380" i="30" s="1"/>
  <c r="S445" i="16" s="1"/>
  <c r="AE380" i="30"/>
  <c r="AZ380" i="30" s="1"/>
  <c r="I445" i="16" s="1"/>
  <c r="AQ380" i="30"/>
  <c r="BL380" i="30" s="1"/>
  <c r="U445" i="16" s="1"/>
  <c r="AH380" i="30"/>
  <c r="BC380" i="30" s="1"/>
  <c r="L445" i="16" s="1"/>
  <c r="AI380" i="30"/>
  <c r="BD380" i="30" s="1"/>
  <c r="M445" i="16" s="1"/>
  <c r="AD380" i="30"/>
  <c r="AY380" i="30" s="1"/>
  <c r="H445" i="16" s="1"/>
  <c r="AJ380" i="30"/>
  <c r="BE380" i="30" s="1"/>
  <c r="N445" i="16" s="1"/>
  <c r="AN380" i="30"/>
  <c r="BI380" i="30" s="1"/>
  <c r="R445" i="16" s="1"/>
  <c r="Z380" i="30"/>
  <c r="AA380" i="30"/>
  <c r="AV380" i="30" s="1"/>
  <c r="E445" i="16" s="1"/>
  <c r="AB380" i="30"/>
  <c r="AW380" i="30" s="1"/>
  <c r="F445" i="16" s="1"/>
  <c r="AF380" i="30"/>
  <c r="BA380" i="30" s="1"/>
  <c r="J445" i="16" s="1"/>
  <c r="AG380" i="30"/>
  <c r="BB380" i="30" s="1"/>
  <c r="K445" i="16" s="1"/>
  <c r="AR380" i="30"/>
  <c r="BM380" i="30" s="1"/>
  <c r="V445" i="16" s="1"/>
  <c r="AL380" i="30"/>
  <c r="BG380" i="30" s="1"/>
  <c r="P445" i="16" s="1"/>
  <c r="AM380" i="30"/>
  <c r="BH380" i="30" s="1"/>
  <c r="Q445" i="16" s="1"/>
  <c r="AP380" i="30"/>
  <c r="BK380" i="30" s="1"/>
  <c r="T445" i="16" s="1"/>
  <c r="B374" i="16"/>
  <c r="AE309" i="30"/>
  <c r="AZ309" i="30" s="1"/>
  <c r="I374" i="16" s="1"/>
  <c r="AQ309" i="30"/>
  <c r="BL309" i="30" s="1"/>
  <c r="U374" i="16" s="1"/>
  <c r="AF309" i="30"/>
  <c r="BA309" i="30" s="1"/>
  <c r="J374" i="16" s="1"/>
  <c r="AR309" i="30"/>
  <c r="BM309" i="30" s="1"/>
  <c r="V374" i="16" s="1"/>
  <c r="AG309" i="30"/>
  <c r="BB309" i="30" s="1"/>
  <c r="K374" i="16" s="1"/>
  <c r="AH309" i="30"/>
  <c r="BC309" i="30" s="1"/>
  <c r="L374" i="16" s="1"/>
  <c r="AI309" i="30"/>
  <c r="BD309" i="30" s="1"/>
  <c r="M374" i="16" s="1"/>
  <c r="AJ309" i="30"/>
  <c r="BE309" i="30" s="1"/>
  <c r="N374" i="16" s="1"/>
  <c r="Y309" i="30"/>
  <c r="AT309" i="30" s="1"/>
  <c r="C374" i="16" s="1"/>
  <c r="AK309" i="30"/>
  <c r="BF309" i="30" s="1"/>
  <c r="O374" i="16" s="1"/>
  <c r="Z309" i="30"/>
  <c r="AL309" i="30"/>
  <c r="BG309" i="30" s="1"/>
  <c r="P374" i="16" s="1"/>
  <c r="AB309" i="30"/>
  <c r="AW309" i="30" s="1"/>
  <c r="F374" i="16" s="1"/>
  <c r="AC309" i="30"/>
  <c r="AX309" i="30" s="1"/>
  <c r="G374" i="16" s="1"/>
  <c r="AO309" i="30"/>
  <c r="BJ309" i="30" s="1"/>
  <c r="S374" i="16" s="1"/>
  <c r="AP309" i="30"/>
  <c r="BK309" i="30" s="1"/>
  <c r="T374" i="16" s="1"/>
  <c r="AA309" i="30"/>
  <c r="AV309" i="30" s="1"/>
  <c r="E374" i="16" s="1"/>
  <c r="AD309" i="30"/>
  <c r="AY309" i="30" s="1"/>
  <c r="H374" i="16" s="1"/>
  <c r="AN309" i="30"/>
  <c r="BI309" i="30" s="1"/>
  <c r="R374" i="16" s="1"/>
  <c r="AM309" i="30"/>
  <c r="BH309" i="30" s="1"/>
  <c r="Q374" i="16" s="1"/>
  <c r="AH253" i="30"/>
  <c r="BC253" i="30" s="1"/>
  <c r="L318" i="16" s="1"/>
  <c r="Y253" i="30"/>
  <c r="AT253" i="30" s="1"/>
  <c r="C318" i="16" s="1"/>
  <c r="AK253" i="30"/>
  <c r="BF253" i="30" s="1"/>
  <c r="O318" i="16" s="1"/>
  <c r="AA253" i="30"/>
  <c r="AV253" i="30" s="1"/>
  <c r="E318" i="16" s="1"/>
  <c r="AM253" i="30"/>
  <c r="BH253" i="30" s="1"/>
  <c r="Q318" i="16" s="1"/>
  <c r="B318" i="16"/>
  <c r="AB253" i="30"/>
  <c r="AW253" i="30" s="1"/>
  <c r="F318" i="16" s="1"/>
  <c r="AN253" i="30"/>
  <c r="BI253" i="30" s="1"/>
  <c r="R318" i="16" s="1"/>
  <c r="AC253" i="30"/>
  <c r="AX253" i="30" s="1"/>
  <c r="G318" i="16" s="1"/>
  <c r="AO253" i="30"/>
  <c r="BJ253" i="30" s="1"/>
  <c r="S318" i="16" s="1"/>
  <c r="AD253" i="30"/>
  <c r="AY253" i="30" s="1"/>
  <c r="H318" i="16" s="1"/>
  <c r="AP253" i="30"/>
  <c r="BK253" i="30" s="1"/>
  <c r="T318" i="16" s="1"/>
  <c r="AF253" i="30"/>
  <c r="BA253" i="30" s="1"/>
  <c r="J318" i="16" s="1"/>
  <c r="AJ253" i="30"/>
  <c r="BE253" i="30" s="1"/>
  <c r="N318" i="16" s="1"/>
  <c r="AQ253" i="30"/>
  <c r="BL253" i="30" s="1"/>
  <c r="U318" i="16" s="1"/>
  <c r="AR253" i="30"/>
  <c r="BM253" i="30" s="1"/>
  <c r="V318" i="16" s="1"/>
  <c r="Z253" i="30"/>
  <c r="AE253" i="30"/>
  <c r="AZ253" i="30" s="1"/>
  <c r="I318" i="16" s="1"/>
  <c r="AG253" i="30"/>
  <c r="BB253" i="30" s="1"/>
  <c r="K318" i="16" s="1"/>
  <c r="AI253" i="30"/>
  <c r="BD253" i="30" s="1"/>
  <c r="M318" i="16" s="1"/>
  <c r="AL253" i="30"/>
  <c r="BG253" i="30" s="1"/>
  <c r="P318" i="16" s="1"/>
  <c r="B426" i="16"/>
  <c r="AF361" i="30"/>
  <c r="BA361" i="30" s="1"/>
  <c r="J426" i="16" s="1"/>
  <c r="AR361" i="30"/>
  <c r="BM361" i="30" s="1"/>
  <c r="V426" i="16" s="1"/>
  <c r="AG361" i="30"/>
  <c r="BB361" i="30" s="1"/>
  <c r="K426" i="16" s="1"/>
  <c r="Y361" i="30"/>
  <c r="AT361" i="30" s="1"/>
  <c r="C426" i="16" s="1"/>
  <c r="AK361" i="30"/>
  <c r="BF361" i="30" s="1"/>
  <c r="O426" i="16" s="1"/>
  <c r="Z361" i="30"/>
  <c r="AL361" i="30"/>
  <c r="BG361" i="30" s="1"/>
  <c r="P426" i="16" s="1"/>
  <c r="AA361" i="30"/>
  <c r="AV361" i="30" s="1"/>
  <c r="E426" i="16" s="1"/>
  <c r="AM361" i="30"/>
  <c r="BH361" i="30" s="1"/>
  <c r="Q426" i="16" s="1"/>
  <c r="AN361" i="30"/>
  <c r="BI361" i="30" s="1"/>
  <c r="R426" i="16" s="1"/>
  <c r="AC361" i="30"/>
  <c r="AX361" i="30" s="1"/>
  <c r="G426" i="16" s="1"/>
  <c r="AH361" i="30"/>
  <c r="BC361" i="30" s="1"/>
  <c r="L426" i="16" s="1"/>
  <c r="AI361" i="30"/>
  <c r="BD361" i="30" s="1"/>
  <c r="M426" i="16" s="1"/>
  <c r="AB361" i="30"/>
  <c r="AW361" i="30" s="1"/>
  <c r="F426" i="16" s="1"/>
  <c r="AO361" i="30"/>
  <c r="BJ361" i="30" s="1"/>
  <c r="S426" i="16" s="1"/>
  <c r="AQ361" i="30"/>
  <c r="BL361" i="30" s="1"/>
  <c r="U426" i="16" s="1"/>
  <c r="AD361" i="30"/>
  <c r="AY361" i="30" s="1"/>
  <c r="H426" i="16" s="1"/>
  <c r="AE361" i="30"/>
  <c r="AZ361" i="30" s="1"/>
  <c r="I426" i="16" s="1"/>
  <c r="AJ361" i="30"/>
  <c r="BE361" i="30" s="1"/>
  <c r="N426" i="16" s="1"/>
  <c r="AP361" i="30"/>
  <c r="BK361" i="30" s="1"/>
  <c r="T426" i="16" s="1"/>
  <c r="AD258" i="30"/>
  <c r="AY258" i="30" s="1"/>
  <c r="H323" i="16" s="1"/>
  <c r="AP258" i="30"/>
  <c r="BK258" i="30" s="1"/>
  <c r="T323" i="16" s="1"/>
  <c r="AG258" i="30"/>
  <c r="BB258" i="30" s="1"/>
  <c r="K323" i="16" s="1"/>
  <c r="AI258" i="30"/>
  <c r="BD258" i="30" s="1"/>
  <c r="M323" i="16" s="1"/>
  <c r="AJ258" i="30"/>
  <c r="BE258" i="30" s="1"/>
  <c r="N323" i="16" s="1"/>
  <c r="Y258" i="30"/>
  <c r="AT258" i="30" s="1"/>
  <c r="C323" i="16" s="1"/>
  <c r="AK258" i="30"/>
  <c r="BF258" i="30" s="1"/>
  <c r="O323" i="16" s="1"/>
  <c r="B323" i="16"/>
  <c r="Z258" i="30"/>
  <c r="AL258" i="30"/>
  <c r="BG258" i="30" s="1"/>
  <c r="P323" i="16" s="1"/>
  <c r="AB258" i="30"/>
  <c r="AW258" i="30" s="1"/>
  <c r="F323" i="16" s="1"/>
  <c r="AF258" i="30"/>
  <c r="BA258" i="30" s="1"/>
  <c r="J323" i="16" s="1"/>
  <c r="AM258" i="30"/>
  <c r="BH258" i="30" s="1"/>
  <c r="Q323" i="16" s="1"/>
  <c r="AN258" i="30"/>
  <c r="BI258" i="30" s="1"/>
  <c r="R323" i="16" s="1"/>
  <c r="AQ258" i="30"/>
  <c r="BL258" i="30" s="1"/>
  <c r="U323" i="16" s="1"/>
  <c r="AR258" i="30"/>
  <c r="BM258" i="30" s="1"/>
  <c r="V323" i="16" s="1"/>
  <c r="AA258" i="30"/>
  <c r="AV258" i="30" s="1"/>
  <c r="E323" i="16" s="1"/>
  <c r="AC258" i="30"/>
  <c r="AX258" i="30" s="1"/>
  <c r="G323" i="16" s="1"/>
  <c r="AE258" i="30"/>
  <c r="AZ258" i="30" s="1"/>
  <c r="I323" i="16" s="1"/>
  <c r="AH258" i="30"/>
  <c r="BC258" i="30" s="1"/>
  <c r="L323" i="16" s="1"/>
  <c r="AO258" i="30"/>
  <c r="BJ258" i="30" s="1"/>
  <c r="S323" i="16" s="1"/>
  <c r="B358" i="16"/>
  <c r="AH293" i="30"/>
  <c r="BC293" i="30" s="1"/>
  <c r="L358" i="16" s="1"/>
  <c r="Y293" i="30"/>
  <c r="AT293" i="30" s="1"/>
  <c r="C358" i="16" s="1"/>
  <c r="AK293" i="30"/>
  <c r="BF293" i="30" s="1"/>
  <c r="O358" i="16" s="1"/>
  <c r="AA293" i="30"/>
  <c r="AV293" i="30" s="1"/>
  <c r="E358" i="16" s="1"/>
  <c r="AM293" i="30"/>
  <c r="BH293" i="30" s="1"/>
  <c r="Q358" i="16" s="1"/>
  <c r="AB293" i="30"/>
  <c r="AW293" i="30" s="1"/>
  <c r="F358" i="16" s="1"/>
  <c r="AN293" i="30"/>
  <c r="BI293" i="30" s="1"/>
  <c r="R358" i="16" s="1"/>
  <c r="AD293" i="30"/>
  <c r="AY293" i="30" s="1"/>
  <c r="H358" i="16" s="1"/>
  <c r="AP293" i="30"/>
  <c r="BK293" i="30" s="1"/>
  <c r="T358" i="16" s="1"/>
  <c r="AE293" i="30"/>
  <c r="AZ293" i="30" s="1"/>
  <c r="I358" i="16" s="1"/>
  <c r="AQ293" i="30"/>
  <c r="BL293" i="30" s="1"/>
  <c r="U358" i="16" s="1"/>
  <c r="Z293" i="30"/>
  <c r="AC293" i="30"/>
  <c r="AX293" i="30" s="1"/>
  <c r="G358" i="16" s="1"/>
  <c r="AF293" i="30"/>
  <c r="BA293" i="30" s="1"/>
  <c r="J358" i="16" s="1"/>
  <c r="AG293" i="30"/>
  <c r="BB293" i="30" s="1"/>
  <c r="K358" i="16" s="1"/>
  <c r="AI293" i="30"/>
  <c r="BD293" i="30" s="1"/>
  <c r="M358" i="16" s="1"/>
  <c r="AJ293" i="30"/>
  <c r="BE293" i="30" s="1"/>
  <c r="N358" i="16" s="1"/>
  <c r="AL293" i="30"/>
  <c r="BG293" i="30" s="1"/>
  <c r="P358" i="16" s="1"/>
  <c r="AO293" i="30"/>
  <c r="BJ293" i="30" s="1"/>
  <c r="S358" i="16" s="1"/>
  <c r="AR293" i="30"/>
  <c r="BM293" i="30" s="1"/>
  <c r="V358" i="16" s="1"/>
  <c r="B434" i="16"/>
  <c r="AC369" i="30"/>
  <c r="AX369" i="30" s="1"/>
  <c r="G434" i="16" s="1"/>
  <c r="AO369" i="30"/>
  <c r="BJ369" i="30" s="1"/>
  <c r="S434" i="16" s="1"/>
  <c r="AG369" i="30"/>
  <c r="BB369" i="30" s="1"/>
  <c r="K434" i="16" s="1"/>
  <c r="AI369" i="30"/>
  <c r="BD369" i="30" s="1"/>
  <c r="M434" i="16" s="1"/>
  <c r="Z369" i="30"/>
  <c r="AL369" i="30"/>
  <c r="BG369" i="30" s="1"/>
  <c r="P434" i="16" s="1"/>
  <c r="AA369" i="30"/>
  <c r="AV369" i="30" s="1"/>
  <c r="E434" i="16" s="1"/>
  <c r="AM369" i="30"/>
  <c r="BH369" i="30" s="1"/>
  <c r="Q434" i="16" s="1"/>
  <c r="AR369" i="30"/>
  <c r="BM369" i="30" s="1"/>
  <c r="V434" i="16" s="1"/>
  <c r="AD369" i="30"/>
  <c r="AY369" i="30" s="1"/>
  <c r="H434" i="16" s="1"/>
  <c r="AH369" i="30"/>
  <c r="BC369" i="30" s="1"/>
  <c r="L434" i="16" s="1"/>
  <c r="Y369" i="30"/>
  <c r="AT369" i="30" s="1"/>
  <c r="C434" i="16" s="1"/>
  <c r="AB369" i="30"/>
  <c r="AW369" i="30" s="1"/>
  <c r="F434" i="16" s="1"/>
  <c r="AE369" i="30"/>
  <c r="AZ369" i="30" s="1"/>
  <c r="I434" i="16" s="1"/>
  <c r="AF369" i="30"/>
  <c r="BA369" i="30" s="1"/>
  <c r="J434" i="16" s="1"/>
  <c r="AJ369" i="30"/>
  <c r="BE369" i="30" s="1"/>
  <c r="N434" i="16" s="1"/>
  <c r="AQ369" i="30"/>
  <c r="BL369" i="30" s="1"/>
  <c r="U434" i="16" s="1"/>
  <c r="AK369" i="30"/>
  <c r="BF369" i="30" s="1"/>
  <c r="O434" i="16" s="1"/>
  <c r="AN369" i="30"/>
  <c r="BI369" i="30" s="1"/>
  <c r="R434" i="16" s="1"/>
  <c r="AP369" i="30"/>
  <c r="BK369" i="30" s="1"/>
  <c r="T434" i="16" s="1"/>
  <c r="B375" i="16"/>
  <c r="AI310" i="30"/>
  <c r="BD310" i="30" s="1"/>
  <c r="M375" i="16" s="1"/>
  <c r="AJ310" i="30"/>
  <c r="BE310" i="30" s="1"/>
  <c r="N375" i="16" s="1"/>
  <c r="Y310" i="30"/>
  <c r="AT310" i="30" s="1"/>
  <c r="C375" i="16" s="1"/>
  <c r="AK310" i="30"/>
  <c r="BF310" i="30" s="1"/>
  <c r="O375" i="16" s="1"/>
  <c r="Z310" i="30"/>
  <c r="AL310" i="30"/>
  <c r="BG310" i="30" s="1"/>
  <c r="P375" i="16" s="1"/>
  <c r="AA310" i="30"/>
  <c r="AV310" i="30" s="1"/>
  <c r="E375" i="16" s="1"/>
  <c r="AM310" i="30"/>
  <c r="BH310" i="30" s="1"/>
  <c r="Q375" i="16" s="1"/>
  <c r="AB310" i="30"/>
  <c r="AW310" i="30" s="1"/>
  <c r="F375" i="16" s="1"/>
  <c r="AN310" i="30"/>
  <c r="BI310" i="30" s="1"/>
  <c r="R375" i="16" s="1"/>
  <c r="AD310" i="30"/>
  <c r="AY310" i="30" s="1"/>
  <c r="H375" i="16" s="1"/>
  <c r="AP310" i="30"/>
  <c r="BK310" i="30" s="1"/>
  <c r="T375" i="16" s="1"/>
  <c r="AO310" i="30"/>
  <c r="BJ310" i="30" s="1"/>
  <c r="S375" i="16" s="1"/>
  <c r="AQ310" i="30"/>
  <c r="BL310" i="30" s="1"/>
  <c r="U375" i="16" s="1"/>
  <c r="AC310" i="30"/>
  <c r="AX310" i="30" s="1"/>
  <c r="G375" i="16" s="1"/>
  <c r="AE310" i="30"/>
  <c r="AZ310" i="30" s="1"/>
  <c r="I375" i="16" s="1"/>
  <c r="AG310" i="30"/>
  <c r="BB310" i="30" s="1"/>
  <c r="K375" i="16" s="1"/>
  <c r="AH310" i="30"/>
  <c r="BC310" i="30" s="1"/>
  <c r="L375" i="16" s="1"/>
  <c r="AF310" i="30"/>
  <c r="BA310" i="30" s="1"/>
  <c r="J375" i="16" s="1"/>
  <c r="AR310" i="30"/>
  <c r="BM310" i="30" s="1"/>
  <c r="V375" i="16" s="1"/>
  <c r="B447" i="16"/>
  <c r="AG382" i="30"/>
  <c r="Y382" i="30"/>
  <c r="AT382" i="30" s="1"/>
  <c r="C447" i="16" s="1"/>
  <c r="AK382" i="30"/>
  <c r="AA382" i="30"/>
  <c r="AM382" i="30"/>
  <c r="AD382" i="30"/>
  <c r="AP382" i="30"/>
  <c r="AE382" i="30"/>
  <c r="AQ382" i="30"/>
  <c r="AF382" i="30"/>
  <c r="AJ382" i="30"/>
  <c r="AO382" i="30"/>
  <c r="AL382" i="30"/>
  <c r="AN382" i="30"/>
  <c r="AR382" i="30"/>
  <c r="Z382" i="30"/>
  <c r="AB382" i="30"/>
  <c r="AC382" i="30"/>
  <c r="AH382" i="30"/>
  <c r="AI382" i="30"/>
  <c r="B376" i="16"/>
  <c r="AA311" i="30"/>
  <c r="AV311" i="30" s="1"/>
  <c r="E376" i="16" s="1"/>
  <c r="AM311" i="30"/>
  <c r="BH311" i="30" s="1"/>
  <c r="Q376" i="16" s="1"/>
  <c r="AB311" i="30"/>
  <c r="AW311" i="30" s="1"/>
  <c r="F376" i="16" s="1"/>
  <c r="AN311" i="30"/>
  <c r="BI311" i="30" s="1"/>
  <c r="R376" i="16" s="1"/>
  <c r="AC311" i="30"/>
  <c r="AX311" i="30" s="1"/>
  <c r="G376" i="16" s="1"/>
  <c r="AO311" i="30"/>
  <c r="BJ311" i="30" s="1"/>
  <c r="S376" i="16" s="1"/>
  <c r="AD311" i="30"/>
  <c r="AY311" i="30" s="1"/>
  <c r="H376" i="16" s="1"/>
  <c r="AP311" i="30"/>
  <c r="BK311" i="30" s="1"/>
  <c r="T376" i="16" s="1"/>
  <c r="AE311" i="30"/>
  <c r="AZ311" i="30" s="1"/>
  <c r="I376" i="16" s="1"/>
  <c r="AQ311" i="30"/>
  <c r="BL311" i="30" s="1"/>
  <c r="U376" i="16" s="1"/>
  <c r="AF311" i="30"/>
  <c r="BA311" i="30" s="1"/>
  <c r="J376" i="16" s="1"/>
  <c r="AR311" i="30"/>
  <c r="BM311" i="30" s="1"/>
  <c r="V376" i="16" s="1"/>
  <c r="AH311" i="30"/>
  <c r="BC311" i="30" s="1"/>
  <c r="L376" i="16" s="1"/>
  <c r="AG311" i="30"/>
  <c r="BB311" i="30" s="1"/>
  <c r="K376" i="16" s="1"/>
  <c r="AI311" i="30"/>
  <c r="BD311" i="30" s="1"/>
  <c r="M376" i="16" s="1"/>
  <c r="AJ311" i="30"/>
  <c r="BE311" i="30" s="1"/>
  <c r="N376" i="16" s="1"/>
  <c r="AL311" i="30"/>
  <c r="BG311" i="30" s="1"/>
  <c r="P376" i="16" s="1"/>
  <c r="Y311" i="30"/>
  <c r="AT311" i="30" s="1"/>
  <c r="C376" i="16" s="1"/>
  <c r="Z311" i="30"/>
  <c r="AK311" i="30"/>
  <c r="BF311" i="30" s="1"/>
  <c r="O376" i="16" s="1"/>
  <c r="B448" i="16"/>
  <c r="Y383" i="30"/>
  <c r="AT383" i="30" s="1"/>
  <c r="C448" i="16" s="1"/>
  <c r="AK383" i="30"/>
  <c r="AC383" i="30"/>
  <c r="AO383" i="30"/>
  <c r="AE383" i="30"/>
  <c r="AQ383" i="30"/>
  <c r="AH383" i="30"/>
  <c r="AI383" i="30"/>
  <c r="AF383" i="30"/>
  <c r="AL383" i="30"/>
  <c r="AP383" i="30"/>
  <c r="Z383" i="30"/>
  <c r="AA383" i="30"/>
  <c r="AB383" i="30"/>
  <c r="AM383" i="30"/>
  <c r="AD383" i="30"/>
  <c r="AG383" i="30"/>
  <c r="AJ383" i="30"/>
  <c r="AN383" i="30"/>
  <c r="AR383" i="30"/>
  <c r="B359" i="16"/>
  <c r="Z294" i="30"/>
  <c r="AL294" i="30"/>
  <c r="BG294" i="30" s="1"/>
  <c r="P359" i="16" s="1"/>
  <c r="AC294" i="30"/>
  <c r="AX294" i="30" s="1"/>
  <c r="G359" i="16" s="1"/>
  <c r="AO294" i="30"/>
  <c r="BJ294" i="30" s="1"/>
  <c r="S359" i="16" s="1"/>
  <c r="AE294" i="30"/>
  <c r="AZ294" i="30" s="1"/>
  <c r="I359" i="16" s="1"/>
  <c r="AQ294" i="30"/>
  <c r="BL294" i="30" s="1"/>
  <c r="U359" i="16" s="1"/>
  <c r="AF294" i="30"/>
  <c r="BA294" i="30" s="1"/>
  <c r="J359" i="16" s="1"/>
  <c r="AR294" i="30"/>
  <c r="BM294" i="30" s="1"/>
  <c r="V359" i="16" s="1"/>
  <c r="AH294" i="30"/>
  <c r="BC294" i="30" s="1"/>
  <c r="L359" i="16" s="1"/>
  <c r="AI294" i="30"/>
  <c r="BD294" i="30" s="1"/>
  <c r="M359" i="16" s="1"/>
  <c r="AB294" i="30"/>
  <c r="AW294" i="30" s="1"/>
  <c r="F359" i="16" s="1"/>
  <c r="AD294" i="30"/>
  <c r="AY294" i="30" s="1"/>
  <c r="H359" i="16" s="1"/>
  <c r="AG294" i="30"/>
  <c r="BB294" i="30" s="1"/>
  <c r="K359" i="16" s="1"/>
  <c r="AJ294" i="30"/>
  <c r="BE294" i="30" s="1"/>
  <c r="N359" i="16" s="1"/>
  <c r="AK294" i="30"/>
  <c r="BF294" i="30" s="1"/>
  <c r="O359" i="16" s="1"/>
  <c r="AM294" i="30"/>
  <c r="BH294" i="30" s="1"/>
  <c r="Q359" i="16" s="1"/>
  <c r="AN294" i="30"/>
  <c r="BI294" i="30" s="1"/>
  <c r="R359" i="16" s="1"/>
  <c r="AP294" i="30"/>
  <c r="BK294" i="30" s="1"/>
  <c r="T359" i="16" s="1"/>
  <c r="Y294" i="30"/>
  <c r="AT294" i="30" s="1"/>
  <c r="C359" i="16" s="1"/>
  <c r="AA294" i="30"/>
  <c r="AV294" i="30" s="1"/>
  <c r="E359" i="16" s="1"/>
  <c r="B307" i="16"/>
  <c r="Z242" i="30"/>
  <c r="AL242" i="30"/>
  <c r="BG242" i="30" s="1"/>
  <c r="P307" i="16" s="1"/>
  <c r="AC242" i="30"/>
  <c r="AX242" i="30" s="1"/>
  <c r="G307" i="16" s="1"/>
  <c r="AO242" i="30"/>
  <c r="BJ242" i="30" s="1"/>
  <c r="S307" i="16" s="1"/>
  <c r="AE242" i="30"/>
  <c r="AZ242" i="30" s="1"/>
  <c r="I307" i="16" s="1"/>
  <c r="AQ242" i="30"/>
  <c r="BL242" i="30" s="1"/>
  <c r="U307" i="16" s="1"/>
  <c r="AF242" i="30"/>
  <c r="BA242" i="30" s="1"/>
  <c r="J307" i="16" s="1"/>
  <c r="AR242" i="30"/>
  <c r="BM242" i="30" s="1"/>
  <c r="V307" i="16" s="1"/>
  <c r="AG242" i="30"/>
  <c r="BB242" i="30" s="1"/>
  <c r="K307" i="16" s="1"/>
  <c r="AH242" i="30"/>
  <c r="BC242" i="30" s="1"/>
  <c r="L307" i="16" s="1"/>
  <c r="AJ242" i="30"/>
  <c r="BE242" i="30" s="1"/>
  <c r="N307" i="16" s="1"/>
  <c r="AN242" i="30"/>
  <c r="BI242" i="30" s="1"/>
  <c r="R307" i="16" s="1"/>
  <c r="Y242" i="30"/>
  <c r="AT242" i="30" s="1"/>
  <c r="C307" i="16" s="1"/>
  <c r="AA242" i="30"/>
  <c r="AV242" i="30" s="1"/>
  <c r="E307" i="16" s="1"/>
  <c r="AB242" i="30"/>
  <c r="AW242" i="30" s="1"/>
  <c r="F307" i="16" s="1"/>
  <c r="AK242" i="30"/>
  <c r="BF242" i="30" s="1"/>
  <c r="O307" i="16" s="1"/>
  <c r="AM242" i="30"/>
  <c r="BH242" i="30" s="1"/>
  <c r="Q307" i="16" s="1"/>
  <c r="AP242" i="30"/>
  <c r="BK242" i="30" s="1"/>
  <c r="T307" i="16" s="1"/>
  <c r="AD242" i="30"/>
  <c r="AY242" i="30" s="1"/>
  <c r="H307" i="16" s="1"/>
  <c r="AI242" i="30"/>
  <c r="BD242" i="30" s="1"/>
  <c r="M307" i="16" s="1"/>
  <c r="B379" i="16"/>
  <c r="AA314" i="30"/>
  <c r="AV314" i="30" s="1"/>
  <c r="E379" i="16" s="1"/>
  <c r="AM314" i="30"/>
  <c r="BH314" i="30" s="1"/>
  <c r="Q379" i="16" s="1"/>
  <c r="AB314" i="30"/>
  <c r="AW314" i="30" s="1"/>
  <c r="F379" i="16" s="1"/>
  <c r="AN314" i="30"/>
  <c r="BI314" i="30" s="1"/>
  <c r="R379" i="16" s="1"/>
  <c r="AC314" i="30"/>
  <c r="AX314" i="30" s="1"/>
  <c r="G379" i="16" s="1"/>
  <c r="AO314" i="30"/>
  <c r="BJ314" i="30" s="1"/>
  <c r="S379" i="16" s="1"/>
  <c r="AD314" i="30"/>
  <c r="AY314" i="30" s="1"/>
  <c r="H379" i="16" s="1"/>
  <c r="AP314" i="30"/>
  <c r="BK314" i="30" s="1"/>
  <c r="T379" i="16" s="1"/>
  <c r="AE314" i="30"/>
  <c r="AZ314" i="30" s="1"/>
  <c r="I379" i="16" s="1"/>
  <c r="AQ314" i="30"/>
  <c r="BL314" i="30" s="1"/>
  <c r="U379" i="16" s="1"/>
  <c r="AF314" i="30"/>
  <c r="BA314" i="30" s="1"/>
  <c r="J379" i="16" s="1"/>
  <c r="AR314" i="30"/>
  <c r="BM314" i="30" s="1"/>
  <c r="V379" i="16" s="1"/>
  <c r="AH314" i="30"/>
  <c r="BC314" i="30" s="1"/>
  <c r="L379" i="16" s="1"/>
  <c r="Z314" i="30"/>
  <c r="AG314" i="30"/>
  <c r="BB314" i="30" s="1"/>
  <c r="K379" i="16" s="1"/>
  <c r="AI314" i="30"/>
  <c r="BD314" i="30" s="1"/>
  <c r="M379" i="16" s="1"/>
  <c r="Y314" i="30"/>
  <c r="AT314" i="30" s="1"/>
  <c r="C379" i="16" s="1"/>
  <c r="AL314" i="30"/>
  <c r="BG314" i="30" s="1"/>
  <c r="P379" i="16" s="1"/>
  <c r="AJ314" i="30"/>
  <c r="BE314" i="30" s="1"/>
  <c r="N379" i="16" s="1"/>
  <c r="AK314" i="30"/>
  <c r="BF314" i="30" s="1"/>
  <c r="O379" i="16" s="1"/>
  <c r="AD243" i="30"/>
  <c r="AY243" i="30" s="1"/>
  <c r="H308" i="16" s="1"/>
  <c r="AP243" i="30"/>
  <c r="BK243" i="30" s="1"/>
  <c r="T308" i="16" s="1"/>
  <c r="B308" i="16"/>
  <c r="AG243" i="30"/>
  <c r="BB243" i="30" s="1"/>
  <c r="K308" i="16" s="1"/>
  <c r="AI243" i="30"/>
  <c r="BD243" i="30" s="1"/>
  <c r="M308" i="16" s="1"/>
  <c r="AJ243" i="30"/>
  <c r="BE243" i="30" s="1"/>
  <c r="N308" i="16" s="1"/>
  <c r="Y243" i="30"/>
  <c r="AT243" i="30" s="1"/>
  <c r="C308" i="16" s="1"/>
  <c r="AK243" i="30"/>
  <c r="BF243" i="30" s="1"/>
  <c r="O308" i="16" s="1"/>
  <c r="Z243" i="30"/>
  <c r="AL243" i="30"/>
  <c r="BG243" i="30" s="1"/>
  <c r="P308" i="16" s="1"/>
  <c r="AN243" i="30"/>
  <c r="BI243" i="30" s="1"/>
  <c r="R308" i="16" s="1"/>
  <c r="AR243" i="30"/>
  <c r="BM243" i="30" s="1"/>
  <c r="V308" i="16" s="1"/>
  <c r="AA243" i="30"/>
  <c r="AV243" i="30" s="1"/>
  <c r="E308" i="16" s="1"/>
  <c r="AB243" i="30"/>
  <c r="AW243" i="30" s="1"/>
  <c r="F308" i="16" s="1"/>
  <c r="AC243" i="30"/>
  <c r="AX243" i="30" s="1"/>
  <c r="G308" i="16" s="1"/>
  <c r="AE243" i="30"/>
  <c r="AZ243" i="30" s="1"/>
  <c r="I308" i="16" s="1"/>
  <c r="AF243" i="30"/>
  <c r="BA243" i="30" s="1"/>
  <c r="J308" i="16" s="1"/>
  <c r="AH243" i="30"/>
  <c r="BC243" i="30" s="1"/>
  <c r="L308" i="16" s="1"/>
  <c r="AM243" i="30"/>
  <c r="BH243" i="30" s="1"/>
  <c r="Q308" i="16" s="1"/>
  <c r="AO243" i="30"/>
  <c r="BJ243" i="30" s="1"/>
  <c r="S308" i="16" s="1"/>
  <c r="AQ243" i="30"/>
  <c r="BL243" i="30" s="1"/>
  <c r="U308" i="16" s="1"/>
  <c r="B380" i="16"/>
  <c r="AE315" i="30"/>
  <c r="AZ315" i="30" s="1"/>
  <c r="I380" i="16" s="1"/>
  <c r="AQ315" i="30"/>
  <c r="BL315" i="30" s="1"/>
  <c r="U380" i="16" s="1"/>
  <c r="AF315" i="30"/>
  <c r="BA315" i="30" s="1"/>
  <c r="J380" i="16" s="1"/>
  <c r="AR315" i="30"/>
  <c r="BM315" i="30" s="1"/>
  <c r="V380" i="16" s="1"/>
  <c r="AG315" i="30"/>
  <c r="BB315" i="30" s="1"/>
  <c r="K380" i="16" s="1"/>
  <c r="AH315" i="30"/>
  <c r="BC315" i="30" s="1"/>
  <c r="L380" i="16" s="1"/>
  <c r="AI315" i="30"/>
  <c r="BD315" i="30" s="1"/>
  <c r="M380" i="16" s="1"/>
  <c r="AJ315" i="30"/>
  <c r="BE315" i="30" s="1"/>
  <c r="N380" i="16" s="1"/>
  <c r="Z315" i="30"/>
  <c r="AL315" i="30"/>
  <c r="BG315" i="30" s="1"/>
  <c r="P380" i="16" s="1"/>
  <c r="AA315" i="30"/>
  <c r="AV315" i="30" s="1"/>
  <c r="E380" i="16" s="1"/>
  <c r="AB315" i="30"/>
  <c r="AW315" i="30" s="1"/>
  <c r="F380" i="16" s="1"/>
  <c r="AM315" i="30"/>
  <c r="BH315" i="30" s="1"/>
  <c r="Q380" i="16" s="1"/>
  <c r="AN315" i="30"/>
  <c r="BI315" i="30" s="1"/>
  <c r="R380" i="16" s="1"/>
  <c r="AO315" i="30"/>
  <c r="BJ315" i="30" s="1"/>
  <c r="S380" i="16" s="1"/>
  <c r="Y315" i="30"/>
  <c r="AT315" i="30" s="1"/>
  <c r="C380" i="16" s="1"/>
  <c r="AD315" i="30"/>
  <c r="AY315" i="30" s="1"/>
  <c r="H380" i="16" s="1"/>
  <c r="AK315" i="30"/>
  <c r="BF315" i="30" s="1"/>
  <c r="O380" i="16" s="1"/>
  <c r="AP315" i="30"/>
  <c r="BK315" i="30" s="1"/>
  <c r="T380" i="16" s="1"/>
  <c r="AC315" i="30"/>
  <c r="AX315" i="30" s="1"/>
  <c r="G380" i="16" s="1"/>
  <c r="B324" i="16"/>
  <c r="AH259" i="30"/>
  <c r="BC259" i="30" s="1"/>
  <c r="L324" i="16" s="1"/>
  <c r="Y259" i="30"/>
  <c r="AT259" i="30" s="1"/>
  <c r="C324" i="16" s="1"/>
  <c r="AK259" i="30"/>
  <c r="BF259" i="30" s="1"/>
  <c r="O324" i="16" s="1"/>
  <c r="AA259" i="30"/>
  <c r="AV259" i="30" s="1"/>
  <c r="E324" i="16" s="1"/>
  <c r="AM259" i="30"/>
  <c r="BH259" i="30" s="1"/>
  <c r="Q324" i="16" s="1"/>
  <c r="AB259" i="30"/>
  <c r="AW259" i="30" s="1"/>
  <c r="F324" i="16" s="1"/>
  <c r="AN259" i="30"/>
  <c r="BI259" i="30" s="1"/>
  <c r="R324" i="16" s="1"/>
  <c r="AC259" i="30"/>
  <c r="AX259" i="30" s="1"/>
  <c r="G324" i="16" s="1"/>
  <c r="AO259" i="30"/>
  <c r="BJ259" i="30" s="1"/>
  <c r="S324" i="16" s="1"/>
  <c r="AD259" i="30"/>
  <c r="AY259" i="30" s="1"/>
  <c r="H324" i="16" s="1"/>
  <c r="AP259" i="30"/>
  <c r="BK259" i="30" s="1"/>
  <c r="T324" i="16" s="1"/>
  <c r="AF259" i="30"/>
  <c r="BA259" i="30" s="1"/>
  <c r="J324" i="16" s="1"/>
  <c r="AJ259" i="30"/>
  <c r="BE259" i="30" s="1"/>
  <c r="N324" i="16" s="1"/>
  <c r="AQ259" i="30"/>
  <c r="BL259" i="30" s="1"/>
  <c r="U324" i="16" s="1"/>
  <c r="AR259" i="30"/>
  <c r="BM259" i="30" s="1"/>
  <c r="V324" i="16" s="1"/>
  <c r="AI259" i="30"/>
  <c r="BD259" i="30" s="1"/>
  <c r="M324" i="16" s="1"/>
  <c r="AL259" i="30"/>
  <c r="BG259" i="30" s="1"/>
  <c r="P324" i="16" s="1"/>
  <c r="Z259" i="30"/>
  <c r="AE259" i="30"/>
  <c r="AZ259" i="30" s="1"/>
  <c r="I324" i="16" s="1"/>
  <c r="AG259" i="30"/>
  <c r="BB259" i="30" s="1"/>
  <c r="K324" i="16" s="1"/>
  <c r="AH277" i="30"/>
  <c r="BC277" i="30" s="1"/>
  <c r="L342" i="16" s="1"/>
  <c r="B342" i="16"/>
  <c r="AB277" i="30"/>
  <c r="AW277" i="30" s="1"/>
  <c r="F342" i="16" s="1"/>
  <c r="AN277" i="30"/>
  <c r="BI277" i="30" s="1"/>
  <c r="R342" i="16" s="1"/>
  <c r="Z277" i="30"/>
  <c r="AO277" i="30"/>
  <c r="BJ277" i="30" s="1"/>
  <c r="S342" i="16" s="1"/>
  <c r="AD277" i="30"/>
  <c r="AY277" i="30" s="1"/>
  <c r="H342" i="16" s="1"/>
  <c r="AR277" i="30"/>
  <c r="BM277" i="30" s="1"/>
  <c r="V342" i="16" s="1"/>
  <c r="AF277" i="30"/>
  <c r="BA277" i="30" s="1"/>
  <c r="J342" i="16" s="1"/>
  <c r="AG277" i="30"/>
  <c r="BB277" i="30" s="1"/>
  <c r="K342" i="16" s="1"/>
  <c r="AJ277" i="30"/>
  <c r="BE277" i="30" s="1"/>
  <c r="N342" i="16" s="1"/>
  <c r="AK277" i="30"/>
  <c r="BF277" i="30" s="1"/>
  <c r="O342" i="16" s="1"/>
  <c r="AQ277" i="30"/>
  <c r="BL277" i="30" s="1"/>
  <c r="U342" i="16" s="1"/>
  <c r="Y277" i="30"/>
  <c r="AT277" i="30" s="1"/>
  <c r="C342" i="16" s="1"/>
  <c r="AA277" i="30"/>
  <c r="AV277" i="30" s="1"/>
  <c r="E342" i="16" s="1"/>
  <c r="AC277" i="30"/>
  <c r="AX277" i="30" s="1"/>
  <c r="G342" i="16" s="1"/>
  <c r="AE277" i="30"/>
  <c r="AZ277" i="30" s="1"/>
  <c r="I342" i="16" s="1"/>
  <c r="AI277" i="30"/>
  <c r="BD277" i="30" s="1"/>
  <c r="M342" i="16" s="1"/>
  <c r="AM277" i="30"/>
  <c r="BH277" i="30" s="1"/>
  <c r="Q342" i="16" s="1"/>
  <c r="AP277" i="30"/>
  <c r="BK277" i="30" s="1"/>
  <c r="T342" i="16" s="1"/>
  <c r="AL277" i="30"/>
  <c r="BG277" i="30" s="1"/>
  <c r="P342" i="16" s="1"/>
  <c r="B382" i="16"/>
  <c r="AA317" i="30"/>
  <c r="AV317" i="30" s="1"/>
  <c r="E382" i="16" s="1"/>
  <c r="AM317" i="30"/>
  <c r="BH317" i="30" s="1"/>
  <c r="Q382" i="16" s="1"/>
  <c r="AB317" i="30"/>
  <c r="AW317" i="30" s="1"/>
  <c r="F382" i="16" s="1"/>
  <c r="AN317" i="30"/>
  <c r="BI317" i="30" s="1"/>
  <c r="R382" i="16" s="1"/>
  <c r="AC317" i="30"/>
  <c r="AX317" i="30" s="1"/>
  <c r="G382" i="16" s="1"/>
  <c r="AO317" i="30"/>
  <c r="BJ317" i="30" s="1"/>
  <c r="S382" i="16" s="1"/>
  <c r="AD317" i="30"/>
  <c r="AY317" i="30" s="1"/>
  <c r="H382" i="16" s="1"/>
  <c r="AP317" i="30"/>
  <c r="BK317" i="30" s="1"/>
  <c r="T382" i="16" s="1"/>
  <c r="AE317" i="30"/>
  <c r="AZ317" i="30" s="1"/>
  <c r="I382" i="16" s="1"/>
  <c r="AQ317" i="30"/>
  <c r="BL317" i="30" s="1"/>
  <c r="U382" i="16" s="1"/>
  <c r="AF317" i="30"/>
  <c r="BA317" i="30" s="1"/>
  <c r="J382" i="16" s="1"/>
  <c r="AR317" i="30"/>
  <c r="BM317" i="30" s="1"/>
  <c r="V382" i="16" s="1"/>
  <c r="AH317" i="30"/>
  <c r="BC317" i="30" s="1"/>
  <c r="L382" i="16" s="1"/>
  <c r="Y317" i="30"/>
  <c r="AT317" i="30" s="1"/>
  <c r="C382" i="16" s="1"/>
  <c r="Z317" i="30"/>
  <c r="AG317" i="30"/>
  <c r="BB317" i="30" s="1"/>
  <c r="K382" i="16" s="1"/>
  <c r="AJ317" i="30"/>
  <c r="BE317" i="30" s="1"/>
  <c r="N382" i="16" s="1"/>
  <c r="AL317" i="30"/>
  <c r="BG317" i="30" s="1"/>
  <c r="P382" i="16" s="1"/>
  <c r="AK317" i="30"/>
  <c r="BF317" i="30" s="1"/>
  <c r="O382" i="16" s="1"/>
  <c r="AI317" i="30"/>
  <c r="BD317" i="30" s="1"/>
  <c r="M382" i="16" s="1"/>
  <c r="B365" i="16"/>
  <c r="Z300" i="30"/>
  <c r="AL300" i="30"/>
  <c r="BG300" i="30" s="1"/>
  <c r="P365" i="16" s="1"/>
  <c r="AC300" i="30"/>
  <c r="AX300" i="30" s="1"/>
  <c r="G365" i="16" s="1"/>
  <c r="AO300" i="30"/>
  <c r="BJ300" i="30" s="1"/>
  <c r="S365" i="16" s="1"/>
  <c r="AE300" i="30"/>
  <c r="AZ300" i="30" s="1"/>
  <c r="I365" i="16" s="1"/>
  <c r="AQ300" i="30"/>
  <c r="BL300" i="30" s="1"/>
  <c r="U365" i="16" s="1"/>
  <c r="AF300" i="30"/>
  <c r="BA300" i="30" s="1"/>
  <c r="J365" i="16" s="1"/>
  <c r="AR300" i="30"/>
  <c r="BM300" i="30" s="1"/>
  <c r="V365" i="16" s="1"/>
  <c r="AH300" i="30"/>
  <c r="BC300" i="30" s="1"/>
  <c r="L365" i="16" s="1"/>
  <c r="AI300" i="30"/>
  <c r="BD300" i="30" s="1"/>
  <c r="M365" i="16" s="1"/>
  <c r="AB300" i="30"/>
  <c r="AW300" i="30" s="1"/>
  <c r="F365" i="16" s="1"/>
  <c r="AD300" i="30"/>
  <c r="AY300" i="30" s="1"/>
  <c r="H365" i="16" s="1"/>
  <c r="AG300" i="30"/>
  <c r="BB300" i="30" s="1"/>
  <c r="K365" i="16" s="1"/>
  <c r="AJ300" i="30"/>
  <c r="BE300" i="30" s="1"/>
  <c r="N365" i="16" s="1"/>
  <c r="AK300" i="30"/>
  <c r="BF300" i="30" s="1"/>
  <c r="O365" i="16" s="1"/>
  <c r="AM300" i="30"/>
  <c r="BH300" i="30" s="1"/>
  <c r="Q365" i="16" s="1"/>
  <c r="AN300" i="30"/>
  <c r="BI300" i="30" s="1"/>
  <c r="R365" i="16" s="1"/>
  <c r="AP300" i="30"/>
  <c r="BK300" i="30" s="1"/>
  <c r="T365" i="16" s="1"/>
  <c r="AA300" i="30"/>
  <c r="AV300" i="30" s="1"/>
  <c r="E365" i="16" s="1"/>
  <c r="Y300" i="30"/>
  <c r="AT300" i="30" s="1"/>
  <c r="C365" i="16" s="1"/>
  <c r="B385" i="16"/>
  <c r="AA320" i="30"/>
  <c r="AV320" i="30" s="1"/>
  <c r="E385" i="16" s="1"/>
  <c r="AM320" i="30"/>
  <c r="BH320" i="30" s="1"/>
  <c r="Q385" i="16" s="1"/>
  <c r="AB320" i="30"/>
  <c r="AW320" i="30" s="1"/>
  <c r="F385" i="16" s="1"/>
  <c r="AN320" i="30"/>
  <c r="BI320" i="30" s="1"/>
  <c r="R385" i="16" s="1"/>
  <c r="AC320" i="30"/>
  <c r="AX320" i="30" s="1"/>
  <c r="G385" i="16" s="1"/>
  <c r="AO320" i="30"/>
  <c r="BJ320" i="30" s="1"/>
  <c r="S385" i="16" s="1"/>
  <c r="AE320" i="30"/>
  <c r="AZ320" i="30" s="1"/>
  <c r="I385" i="16" s="1"/>
  <c r="AQ320" i="30"/>
  <c r="BL320" i="30" s="1"/>
  <c r="U385" i="16" s="1"/>
  <c r="AF320" i="30"/>
  <c r="BA320" i="30" s="1"/>
  <c r="J385" i="16" s="1"/>
  <c r="AR320" i="30"/>
  <c r="BM320" i="30" s="1"/>
  <c r="V385" i="16" s="1"/>
  <c r="AH320" i="30"/>
  <c r="BC320" i="30" s="1"/>
  <c r="L385" i="16" s="1"/>
  <c r="AK320" i="30"/>
  <c r="BF320" i="30" s="1"/>
  <c r="O385" i="16" s="1"/>
  <c r="AL320" i="30"/>
  <c r="BG320" i="30" s="1"/>
  <c r="P385" i="16" s="1"/>
  <c r="Y320" i="30"/>
  <c r="AT320" i="30" s="1"/>
  <c r="C385" i="16" s="1"/>
  <c r="Z320" i="30"/>
  <c r="AG320" i="30"/>
  <c r="BB320" i="30" s="1"/>
  <c r="K385" i="16" s="1"/>
  <c r="AP320" i="30"/>
  <c r="BK320" i="30" s="1"/>
  <c r="T385" i="16" s="1"/>
  <c r="AD320" i="30"/>
  <c r="AY320" i="30" s="1"/>
  <c r="H385" i="16" s="1"/>
  <c r="AI320" i="30"/>
  <c r="BD320" i="30" s="1"/>
  <c r="M385" i="16" s="1"/>
  <c r="AJ320" i="30"/>
  <c r="BE320" i="30" s="1"/>
  <c r="N385" i="16" s="1"/>
  <c r="B314" i="16"/>
  <c r="AD249" i="30"/>
  <c r="AY249" i="30" s="1"/>
  <c r="H314" i="16" s="1"/>
  <c r="AP249" i="30"/>
  <c r="BK249" i="30" s="1"/>
  <c r="T314" i="16" s="1"/>
  <c r="AG249" i="30"/>
  <c r="BB249" i="30" s="1"/>
  <c r="K314" i="16" s="1"/>
  <c r="AI249" i="30"/>
  <c r="BD249" i="30" s="1"/>
  <c r="M314" i="16" s="1"/>
  <c r="AJ249" i="30"/>
  <c r="BE249" i="30" s="1"/>
  <c r="N314" i="16" s="1"/>
  <c r="Y249" i="30"/>
  <c r="AT249" i="30" s="1"/>
  <c r="C314" i="16" s="1"/>
  <c r="AK249" i="30"/>
  <c r="BF249" i="30" s="1"/>
  <c r="O314" i="16" s="1"/>
  <c r="Z249" i="30"/>
  <c r="AL249" i="30"/>
  <c r="BG249" i="30" s="1"/>
  <c r="P314" i="16" s="1"/>
  <c r="AN249" i="30"/>
  <c r="BI249" i="30" s="1"/>
  <c r="R314" i="16" s="1"/>
  <c r="AR249" i="30"/>
  <c r="BM249" i="30" s="1"/>
  <c r="V314" i="16" s="1"/>
  <c r="AA249" i="30"/>
  <c r="AV249" i="30" s="1"/>
  <c r="E314" i="16" s="1"/>
  <c r="AB249" i="30"/>
  <c r="AW249" i="30" s="1"/>
  <c r="F314" i="16" s="1"/>
  <c r="AE249" i="30"/>
  <c r="AZ249" i="30" s="1"/>
  <c r="I314" i="16" s="1"/>
  <c r="AF249" i="30"/>
  <c r="BA249" i="30" s="1"/>
  <c r="J314" i="16" s="1"/>
  <c r="AQ249" i="30"/>
  <c r="BL249" i="30" s="1"/>
  <c r="U314" i="16" s="1"/>
  <c r="AC249" i="30"/>
  <c r="AX249" i="30" s="1"/>
  <c r="G314" i="16" s="1"/>
  <c r="AH249" i="30"/>
  <c r="BC249" i="30" s="1"/>
  <c r="L314" i="16" s="1"/>
  <c r="AM249" i="30"/>
  <c r="BH249" i="30" s="1"/>
  <c r="Q314" i="16" s="1"/>
  <c r="AO249" i="30"/>
  <c r="BJ249" i="30" s="1"/>
  <c r="S314" i="16" s="1"/>
  <c r="B348" i="16"/>
  <c r="AD283" i="30"/>
  <c r="AY283" i="30" s="1"/>
  <c r="H348" i="16" s="1"/>
  <c r="AP283" i="30"/>
  <c r="BK283" i="30" s="1"/>
  <c r="T348" i="16" s="1"/>
  <c r="AG283" i="30"/>
  <c r="BB283" i="30" s="1"/>
  <c r="K348" i="16" s="1"/>
  <c r="AI283" i="30"/>
  <c r="BD283" i="30" s="1"/>
  <c r="M348" i="16" s="1"/>
  <c r="AJ283" i="30"/>
  <c r="BE283" i="30" s="1"/>
  <c r="N348" i="16" s="1"/>
  <c r="Z283" i="30"/>
  <c r="AL283" i="30"/>
  <c r="BG283" i="30" s="1"/>
  <c r="P348" i="16" s="1"/>
  <c r="AA283" i="30"/>
  <c r="AV283" i="30" s="1"/>
  <c r="E348" i="16" s="1"/>
  <c r="AM283" i="30"/>
  <c r="BH283" i="30" s="1"/>
  <c r="Q348" i="16" s="1"/>
  <c r="AF283" i="30"/>
  <c r="BA283" i="30" s="1"/>
  <c r="J348" i="16" s="1"/>
  <c r="AH283" i="30"/>
  <c r="BC283" i="30" s="1"/>
  <c r="L348" i="16" s="1"/>
  <c r="AK283" i="30"/>
  <c r="BF283" i="30" s="1"/>
  <c r="O348" i="16" s="1"/>
  <c r="AN283" i="30"/>
  <c r="BI283" i="30" s="1"/>
  <c r="R348" i="16" s="1"/>
  <c r="AO283" i="30"/>
  <c r="BJ283" i="30" s="1"/>
  <c r="S348" i="16" s="1"/>
  <c r="AQ283" i="30"/>
  <c r="BL283" i="30" s="1"/>
  <c r="U348" i="16" s="1"/>
  <c r="AR283" i="30"/>
  <c r="BM283" i="30" s="1"/>
  <c r="V348" i="16" s="1"/>
  <c r="Y283" i="30"/>
  <c r="AT283" i="30" s="1"/>
  <c r="C348" i="16" s="1"/>
  <c r="AC283" i="30"/>
  <c r="AX283" i="30" s="1"/>
  <c r="G348" i="16" s="1"/>
  <c r="AB283" i="30"/>
  <c r="AW283" i="30" s="1"/>
  <c r="F348" i="16" s="1"/>
  <c r="AE283" i="30"/>
  <c r="AZ283" i="30" s="1"/>
  <c r="I348" i="16" s="1"/>
  <c r="B390" i="16"/>
  <c r="AJ325" i="30"/>
  <c r="BE325" i="30" s="1"/>
  <c r="N390" i="16" s="1"/>
  <c r="Y325" i="30"/>
  <c r="AT325" i="30" s="1"/>
  <c r="C390" i="16" s="1"/>
  <c r="AK325" i="30"/>
  <c r="BF325" i="30" s="1"/>
  <c r="O390" i="16" s="1"/>
  <c r="AA325" i="30"/>
  <c r="AV325" i="30" s="1"/>
  <c r="E390" i="16" s="1"/>
  <c r="AM325" i="30"/>
  <c r="BH325" i="30" s="1"/>
  <c r="Q390" i="16" s="1"/>
  <c r="AD325" i="30"/>
  <c r="AY325" i="30" s="1"/>
  <c r="H390" i="16" s="1"/>
  <c r="AP325" i="30"/>
  <c r="BK325" i="30" s="1"/>
  <c r="T390" i="16" s="1"/>
  <c r="AE325" i="30"/>
  <c r="AZ325" i="30" s="1"/>
  <c r="I390" i="16" s="1"/>
  <c r="AF325" i="30"/>
  <c r="BA325" i="30" s="1"/>
  <c r="J390" i="16" s="1"/>
  <c r="AL325" i="30"/>
  <c r="BG325" i="30" s="1"/>
  <c r="P390" i="16" s="1"/>
  <c r="AN325" i="30"/>
  <c r="BI325" i="30" s="1"/>
  <c r="R390" i="16" s="1"/>
  <c r="AO325" i="30"/>
  <c r="BJ325" i="30" s="1"/>
  <c r="S390" i="16" s="1"/>
  <c r="AR325" i="30"/>
  <c r="BM325" i="30" s="1"/>
  <c r="V390" i="16" s="1"/>
  <c r="AB325" i="30"/>
  <c r="AW325" i="30" s="1"/>
  <c r="F390" i="16" s="1"/>
  <c r="AH325" i="30"/>
  <c r="BC325" i="30" s="1"/>
  <c r="L390" i="16" s="1"/>
  <c r="AI325" i="30"/>
  <c r="BD325" i="30" s="1"/>
  <c r="M390" i="16" s="1"/>
  <c r="Z325" i="30"/>
  <c r="AG325" i="30"/>
  <c r="BB325" i="30" s="1"/>
  <c r="K390" i="16" s="1"/>
  <c r="AQ325" i="30"/>
  <c r="BL325" i="30" s="1"/>
  <c r="U390" i="16" s="1"/>
  <c r="AC325" i="30"/>
  <c r="AX325" i="30" s="1"/>
  <c r="G390" i="16" s="1"/>
  <c r="B309" i="16"/>
  <c r="AH244" i="30"/>
  <c r="BC244" i="30" s="1"/>
  <c r="L309" i="16" s="1"/>
  <c r="Y244" i="30"/>
  <c r="AT244" i="30" s="1"/>
  <c r="C309" i="16" s="1"/>
  <c r="AK244" i="30"/>
  <c r="BF244" i="30" s="1"/>
  <c r="O309" i="16" s="1"/>
  <c r="AA244" i="30"/>
  <c r="AV244" i="30" s="1"/>
  <c r="E309" i="16" s="1"/>
  <c r="AM244" i="30"/>
  <c r="BH244" i="30" s="1"/>
  <c r="Q309" i="16" s="1"/>
  <c r="AB244" i="30"/>
  <c r="AW244" i="30" s="1"/>
  <c r="F309" i="16" s="1"/>
  <c r="AN244" i="30"/>
  <c r="BI244" i="30" s="1"/>
  <c r="R309" i="16" s="1"/>
  <c r="AC244" i="30"/>
  <c r="AX244" i="30" s="1"/>
  <c r="G309" i="16" s="1"/>
  <c r="AO244" i="30"/>
  <c r="BJ244" i="30" s="1"/>
  <c r="S309" i="16" s="1"/>
  <c r="AD244" i="30"/>
  <c r="AY244" i="30" s="1"/>
  <c r="H309" i="16" s="1"/>
  <c r="AP244" i="30"/>
  <c r="BK244" i="30" s="1"/>
  <c r="T309" i="16" s="1"/>
  <c r="AR244" i="30"/>
  <c r="BM244" i="30" s="1"/>
  <c r="V309" i="16" s="1"/>
  <c r="AE244" i="30"/>
  <c r="AZ244" i="30" s="1"/>
  <c r="I309" i="16" s="1"/>
  <c r="AF244" i="30"/>
  <c r="BA244" i="30" s="1"/>
  <c r="J309" i="16" s="1"/>
  <c r="AI244" i="30"/>
  <c r="BD244" i="30" s="1"/>
  <c r="M309" i="16" s="1"/>
  <c r="AJ244" i="30"/>
  <c r="BE244" i="30" s="1"/>
  <c r="N309" i="16" s="1"/>
  <c r="Z244" i="30"/>
  <c r="AG244" i="30"/>
  <c r="BB244" i="30" s="1"/>
  <c r="K309" i="16" s="1"/>
  <c r="AL244" i="30"/>
  <c r="BG244" i="30" s="1"/>
  <c r="P309" i="16" s="1"/>
  <c r="AQ244" i="30"/>
  <c r="BL244" i="30" s="1"/>
  <c r="U309" i="16" s="1"/>
  <c r="B381" i="16"/>
  <c r="AI316" i="30"/>
  <c r="BD316" i="30" s="1"/>
  <c r="M381" i="16" s="1"/>
  <c r="AJ316" i="30"/>
  <c r="BE316" i="30" s="1"/>
  <c r="N381" i="16" s="1"/>
  <c r="Y316" i="30"/>
  <c r="AT316" i="30" s="1"/>
  <c r="C381" i="16" s="1"/>
  <c r="AK316" i="30"/>
  <c r="BF316" i="30" s="1"/>
  <c r="O381" i="16" s="1"/>
  <c r="Z316" i="30"/>
  <c r="AL316" i="30"/>
  <c r="BG316" i="30" s="1"/>
  <c r="P381" i="16" s="1"/>
  <c r="AA316" i="30"/>
  <c r="AV316" i="30" s="1"/>
  <c r="E381" i="16" s="1"/>
  <c r="AM316" i="30"/>
  <c r="BH316" i="30" s="1"/>
  <c r="Q381" i="16" s="1"/>
  <c r="AB316" i="30"/>
  <c r="AW316" i="30" s="1"/>
  <c r="F381" i="16" s="1"/>
  <c r="AN316" i="30"/>
  <c r="BI316" i="30" s="1"/>
  <c r="R381" i="16" s="1"/>
  <c r="AD316" i="30"/>
  <c r="AY316" i="30" s="1"/>
  <c r="H381" i="16" s="1"/>
  <c r="AP316" i="30"/>
  <c r="BK316" i="30" s="1"/>
  <c r="T381" i="16" s="1"/>
  <c r="AG316" i="30"/>
  <c r="BB316" i="30" s="1"/>
  <c r="K381" i="16" s="1"/>
  <c r="AH316" i="30"/>
  <c r="BC316" i="30" s="1"/>
  <c r="L381" i="16" s="1"/>
  <c r="AO316" i="30"/>
  <c r="BJ316" i="30" s="1"/>
  <c r="S381" i="16" s="1"/>
  <c r="AC316" i="30"/>
  <c r="AX316" i="30" s="1"/>
  <c r="G381" i="16" s="1"/>
  <c r="AE316" i="30"/>
  <c r="AZ316" i="30" s="1"/>
  <c r="I381" i="16" s="1"/>
  <c r="AR316" i="30"/>
  <c r="BM316" i="30" s="1"/>
  <c r="V381" i="16" s="1"/>
  <c r="AF316" i="30"/>
  <c r="BA316" i="30" s="1"/>
  <c r="J381" i="16" s="1"/>
  <c r="AQ316" i="30"/>
  <c r="BL316" i="30" s="1"/>
  <c r="U381" i="16" s="1"/>
  <c r="B310" i="16"/>
  <c r="Z245" i="30"/>
  <c r="AL245" i="30"/>
  <c r="BG245" i="30" s="1"/>
  <c r="P310" i="16" s="1"/>
  <c r="AC245" i="30"/>
  <c r="AX245" i="30" s="1"/>
  <c r="G310" i="16" s="1"/>
  <c r="AO245" i="30"/>
  <c r="BJ245" i="30" s="1"/>
  <c r="S310" i="16" s="1"/>
  <c r="AE245" i="30"/>
  <c r="AZ245" i="30" s="1"/>
  <c r="I310" i="16" s="1"/>
  <c r="AQ245" i="30"/>
  <c r="BL245" i="30" s="1"/>
  <c r="U310" i="16" s="1"/>
  <c r="AF245" i="30"/>
  <c r="BA245" i="30" s="1"/>
  <c r="J310" i="16" s="1"/>
  <c r="AR245" i="30"/>
  <c r="BM245" i="30" s="1"/>
  <c r="V310" i="16" s="1"/>
  <c r="AG245" i="30"/>
  <c r="BB245" i="30" s="1"/>
  <c r="K310" i="16" s="1"/>
  <c r="AH245" i="30"/>
  <c r="BC245" i="30" s="1"/>
  <c r="L310" i="16" s="1"/>
  <c r="AB245" i="30"/>
  <c r="AW245" i="30" s="1"/>
  <c r="F310" i="16" s="1"/>
  <c r="AI245" i="30"/>
  <c r="BD245" i="30" s="1"/>
  <c r="M310" i="16" s="1"/>
  <c r="AJ245" i="30"/>
  <c r="BE245" i="30" s="1"/>
  <c r="N310" i="16" s="1"/>
  <c r="AM245" i="30"/>
  <c r="BH245" i="30" s="1"/>
  <c r="Q310" i="16" s="1"/>
  <c r="AN245" i="30"/>
  <c r="BI245" i="30" s="1"/>
  <c r="R310" i="16" s="1"/>
  <c r="AA245" i="30"/>
  <c r="AV245" i="30" s="1"/>
  <c r="E310" i="16" s="1"/>
  <c r="AD245" i="30"/>
  <c r="AY245" i="30" s="1"/>
  <c r="H310" i="16" s="1"/>
  <c r="AK245" i="30"/>
  <c r="BF245" i="30" s="1"/>
  <c r="O310" i="16" s="1"/>
  <c r="AP245" i="30"/>
  <c r="BK245" i="30" s="1"/>
  <c r="T310" i="16" s="1"/>
  <c r="Y245" i="30"/>
  <c r="AT245" i="30" s="1"/>
  <c r="C310" i="16" s="1"/>
  <c r="B407" i="16"/>
  <c r="AB342" i="30"/>
  <c r="AN342" i="30"/>
  <c r="AC342" i="30"/>
  <c r="AO342" i="30"/>
  <c r="AG342" i="30"/>
  <c r="AH342" i="30"/>
  <c r="AI342" i="30"/>
  <c r="AA342" i="30"/>
  <c r="AJ342" i="30"/>
  <c r="AL342" i="30"/>
  <c r="AQ342" i="30"/>
  <c r="Y342" i="30"/>
  <c r="AR342" i="30"/>
  <c r="AE342" i="30"/>
  <c r="AK342" i="30"/>
  <c r="AM342" i="30"/>
  <c r="Z342" i="30"/>
  <c r="AD342" i="30"/>
  <c r="AF342" i="30"/>
  <c r="AP342" i="30"/>
  <c r="Z248" i="30"/>
  <c r="AL248" i="30"/>
  <c r="BG248" i="30" s="1"/>
  <c r="P313" i="16" s="1"/>
  <c r="AC248" i="30"/>
  <c r="AX248" i="30" s="1"/>
  <c r="G313" i="16" s="1"/>
  <c r="AO248" i="30"/>
  <c r="BJ248" i="30" s="1"/>
  <c r="S313" i="16" s="1"/>
  <c r="B313" i="16"/>
  <c r="AE248" i="30"/>
  <c r="AZ248" i="30" s="1"/>
  <c r="I313" i="16" s="1"/>
  <c r="AQ248" i="30"/>
  <c r="BL248" i="30" s="1"/>
  <c r="U313" i="16" s="1"/>
  <c r="AF248" i="30"/>
  <c r="BA248" i="30" s="1"/>
  <c r="J313" i="16" s="1"/>
  <c r="AR248" i="30"/>
  <c r="BM248" i="30" s="1"/>
  <c r="V313" i="16" s="1"/>
  <c r="AG248" i="30"/>
  <c r="BB248" i="30" s="1"/>
  <c r="K313" i="16" s="1"/>
  <c r="AH248" i="30"/>
  <c r="BC248" i="30" s="1"/>
  <c r="L313" i="16" s="1"/>
  <c r="AJ248" i="30"/>
  <c r="BE248" i="30" s="1"/>
  <c r="N313" i="16" s="1"/>
  <c r="AN248" i="30"/>
  <c r="BI248" i="30" s="1"/>
  <c r="R313" i="16" s="1"/>
  <c r="AA248" i="30"/>
  <c r="AV248" i="30" s="1"/>
  <c r="E313" i="16" s="1"/>
  <c r="AB248" i="30"/>
  <c r="AW248" i="30" s="1"/>
  <c r="F313" i="16" s="1"/>
  <c r="Y248" i="30"/>
  <c r="AT248" i="30" s="1"/>
  <c r="C313" i="16" s="1"/>
  <c r="AD248" i="30"/>
  <c r="AY248" i="30" s="1"/>
  <c r="H313" i="16" s="1"/>
  <c r="AI248" i="30"/>
  <c r="BD248" i="30" s="1"/>
  <c r="M313" i="16" s="1"/>
  <c r="AK248" i="30"/>
  <c r="BF248" i="30" s="1"/>
  <c r="O313" i="16" s="1"/>
  <c r="AM248" i="30"/>
  <c r="BH248" i="30" s="1"/>
  <c r="Q313" i="16" s="1"/>
  <c r="AP248" i="30"/>
  <c r="BK248" i="30" s="1"/>
  <c r="T313" i="16" s="1"/>
  <c r="B386" i="16"/>
  <c r="AF321" i="30"/>
  <c r="BA321" i="30" s="1"/>
  <c r="J386" i="16" s="1"/>
  <c r="AR321" i="30"/>
  <c r="BM321" i="30" s="1"/>
  <c r="V386" i="16" s="1"/>
  <c r="AG321" i="30"/>
  <c r="BB321" i="30" s="1"/>
  <c r="K386" i="16" s="1"/>
  <c r="AI321" i="30"/>
  <c r="BD321" i="30" s="1"/>
  <c r="M386" i="16" s="1"/>
  <c r="Z321" i="30"/>
  <c r="AL321" i="30"/>
  <c r="BG321" i="30" s="1"/>
  <c r="P386" i="16" s="1"/>
  <c r="AM321" i="30"/>
  <c r="BH321" i="30" s="1"/>
  <c r="Q386" i="16" s="1"/>
  <c r="AN321" i="30"/>
  <c r="BI321" i="30" s="1"/>
  <c r="R386" i="16" s="1"/>
  <c r="AB321" i="30"/>
  <c r="AW321" i="30" s="1"/>
  <c r="F386" i="16" s="1"/>
  <c r="AC321" i="30"/>
  <c r="AX321" i="30" s="1"/>
  <c r="G386" i="16" s="1"/>
  <c r="AD321" i="30"/>
  <c r="AY321" i="30" s="1"/>
  <c r="H386" i="16" s="1"/>
  <c r="AE321" i="30"/>
  <c r="AZ321" i="30" s="1"/>
  <c r="I386" i="16" s="1"/>
  <c r="AO321" i="30"/>
  <c r="BJ321" i="30" s="1"/>
  <c r="S386" i="16" s="1"/>
  <c r="AQ321" i="30"/>
  <c r="BL321" i="30" s="1"/>
  <c r="U386" i="16" s="1"/>
  <c r="Y321" i="30"/>
  <c r="AT321" i="30" s="1"/>
  <c r="C386" i="16" s="1"/>
  <c r="AJ321" i="30"/>
  <c r="BE321" i="30" s="1"/>
  <c r="N386" i="16" s="1"/>
  <c r="AA321" i="30"/>
  <c r="AV321" i="30" s="1"/>
  <c r="E386" i="16" s="1"/>
  <c r="AH321" i="30"/>
  <c r="BC321" i="30" s="1"/>
  <c r="L386" i="16" s="1"/>
  <c r="AK321" i="30"/>
  <c r="BF321" i="30" s="1"/>
  <c r="O386" i="16" s="1"/>
  <c r="AP321" i="30"/>
  <c r="BK321" i="30" s="1"/>
  <c r="T386" i="16" s="1"/>
  <c r="B315" i="16"/>
  <c r="AH250" i="30"/>
  <c r="BC250" i="30" s="1"/>
  <c r="L315" i="16" s="1"/>
  <c r="Y250" i="30"/>
  <c r="AT250" i="30" s="1"/>
  <c r="C315" i="16" s="1"/>
  <c r="AK250" i="30"/>
  <c r="BF250" i="30" s="1"/>
  <c r="O315" i="16" s="1"/>
  <c r="AA250" i="30"/>
  <c r="AV250" i="30" s="1"/>
  <c r="E315" i="16" s="1"/>
  <c r="AM250" i="30"/>
  <c r="BH250" i="30" s="1"/>
  <c r="Q315" i="16" s="1"/>
  <c r="AB250" i="30"/>
  <c r="AW250" i="30" s="1"/>
  <c r="F315" i="16" s="1"/>
  <c r="AN250" i="30"/>
  <c r="BI250" i="30" s="1"/>
  <c r="R315" i="16" s="1"/>
  <c r="AC250" i="30"/>
  <c r="AX250" i="30" s="1"/>
  <c r="G315" i="16" s="1"/>
  <c r="AO250" i="30"/>
  <c r="BJ250" i="30" s="1"/>
  <c r="S315" i="16" s="1"/>
  <c r="AD250" i="30"/>
  <c r="AY250" i="30" s="1"/>
  <c r="H315" i="16" s="1"/>
  <c r="AP250" i="30"/>
  <c r="BK250" i="30" s="1"/>
  <c r="T315" i="16" s="1"/>
  <c r="AR250" i="30"/>
  <c r="BM250" i="30" s="1"/>
  <c r="V315" i="16" s="1"/>
  <c r="AE250" i="30"/>
  <c r="AZ250" i="30" s="1"/>
  <c r="I315" i="16" s="1"/>
  <c r="AF250" i="30"/>
  <c r="BA250" i="30" s="1"/>
  <c r="J315" i="16" s="1"/>
  <c r="AI250" i="30"/>
  <c r="BD250" i="30" s="1"/>
  <c r="M315" i="16" s="1"/>
  <c r="AJ250" i="30"/>
  <c r="BE250" i="30" s="1"/>
  <c r="N315" i="16" s="1"/>
  <c r="Z250" i="30"/>
  <c r="AG250" i="30"/>
  <c r="BB250" i="30" s="1"/>
  <c r="K315" i="16" s="1"/>
  <c r="AL250" i="30"/>
  <c r="BG250" i="30" s="1"/>
  <c r="P315" i="16" s="1"/>
  <c r="AQ250" i="30"/>
  <c r="BL250" i="30" s="1"/>
  <c r="U315" i="16" s="1"/>
  <c r="B387" i="16"/>
  <c r="AJ322" i="30"/>
  <c r="BE322" i="30" s="1"/>
  <c r="N387" i="16" s="1"/>
  <c r="Y322" i="30"/>
  <c r="AT322" i="30" s="1"/>
  <c r="C387" i="16" s="1"/>
  <c r="AK322" i="30"/>
  <c r="BF322" i="30" s="1"/>
  <c r="O387" i="16" s="1"/>
  <c r="AA322" i="30"/>
  <c r="AV322" i="30" s="1"/>
  <c r="E387" i="16" s="1"/>
  <c r="AM322" i="30"/>
  <c r="BH322" i="30" s="1"/>
  <c r="Q387" i="16" s="1"/>
  <c r="AD322" i="30"/>
  <c r="AY322" i="30" s="1"/>
  <c r="H387" i="16" s="1"/>
  <c r="AP322" i="30"/>
  <c r="BK322" i="30" s="1"/>
  <c r="T387" i="16" s="1"/>
  <c r="AI322" i="30"/>
  <c r="BD322" i="30" s="1"/>
  <c r="M387" i="16" s="1"/>
  <c r="AL322" i="30"/>
  <c r="BG322" i="30" s="1"/>
  <c r="P387" i="16" s="1"/>
  <c r="Z322" i="30"/>
  <c r="AR322" i="30"/>
  <c r="BM322" i="30" s="1"/>
  <c r="V387" i="16" s="1"/>
  <c r="AB322" i="30"/>
  <c r="AW322" i="30" s="1"/>
  <c r="F387" i="16" s="1"/>
  <c r="AC322" i="30"/>
  <c r="AX322" i="30" s="1"/>
  <c r="G387" i="16" s="1"/>
  <c r="AO322" i="30"/>
  <c r="BJ322" i="30" s="1"/>
  <c r="S387" i="16" s="1"/>
  <c r="AG322" i="30"/>
  <c r="BB322" i="30" s="1"/>
  <c r="K387" i="16" s="1"/>
  <c r="AH322" i="30"/>
  <c r="BC322" i="30" s="1"/>
  <c r="L387" i="16" s="1"/>
  <c r="AF322" i="30"/>
  <c r="BA322" i="30" s="1"/>
  <c r="J387" i="16" s="1"/>
  <c r="AQ322" i="30"/>
  <c r="BL322" i="30" s="1"/>
  <c r="U387" i="16" s="1"/>
  <c r="AE322" i="30"/>
  <c r="AZ322" i="30" s="1"/>
  <c r="I387" i="16" s="1"/>
  <c r="AN322" i="30"/>
  <c r="BI322" i="30" s="1"/>
  <c r="R387" i="16" s="1"/>
  <c r="B316" i="16"/>
  <c r="Z251" i="30"/>
  <c r="AL251" i="30"/>
  <c r="BG251" i="30" s="1"/>
  <c r="P316" i="16" s="1"/>
  <c r="AC251" i="30"/>
  <c r="AX251" i="30" s="1"/>
  <c r="G316" i="16" s="1"/>
  <c r="AO251" i="30"/>
  <c r="BJ251" i="30" s="1"/>
  <c r="S316" i="16" s="1"/>
  <c r="AE251" i="30"/>
  <c r="AZ251" i="30" s="1"/>
  <c r="I316" i="16" s="1"/>
  <c r="AQ251" i="30"/>
  <c r="BL251" i="30" s="1"/>
  <c r="U316" i="16" s="1"/>
  <c r="AF251" i="30"/>
  <c r="BA251" i="30" s="1"/>
  <c r="J316" i="16" s="1"/>
  <c r="AR251" i="30"/>
  <c r="BM251" i="30" s="1"/>
  <c r="V316" i="16" s="1"/>
  <c r="AG251" i="30"/>
  <c r="BB251" i="30" s="1"/>
  <c r="K316" i="16" s="1"/>
  <c r="AH251" i="30"/>
  <c r="BC251" i="30" s="1"/>
  <c r="L316" i="16" s="1"/>
  <c r="AB251" i="30"/>
  <c r="AW251" i="30" s="1"/>
  <c r="F316" i="16" s="1"/>
  <c r="AI251" i="30"/>
  <c r="BD251" i="30" s="1"/>
  <c r="M316" i="16" s="1"/>
  <c r="AJ251" i="30"/>
  <c r="BE251" i="30" s="1"/>
  <c r="N316" i="16" s="1"/>
  <c r="AM251" i="30"/>
  <c r="BH251" i="30" s="1"/>
  <c r="Q316" i="16" s="1"/>
  <c r="AN251" i="30"/>
  <c r="BI251" i="30" s="1"/>
  <c r="R316" i="16" s="1"/>
  <c r="Y251" i="30"/>
  <c r="AT251" i="30" s="1"/>
  <c r="C316" i="16" s="1"/>
  <c r="AA251" i="30"/>
  <c r="AV251" i="30" s="1"/>
  <c r="E316" i="16" s="1"/>
  <c r="AD251" i="30"/>
  <c r="AY251" i="30" s="1"/>
  <c r="H316" i="16" s="1"/>
  <c r="AK251" i="30"/>
  <c r="BF251" i="30" s="1"/>
  <c r="O316" i="16" s="1"/>
  <c r="AP251" i="30"/>
  <c r="BK251" i="30" s="1"/>
  <c r="T316" i="16" s="1"/>
  <c r="B388" i="16"/>
  <c r="AB323" i="30"/>
  <c r="AW323" i="30" s="1"/>
  <c r="F388" i="16" s="1"/>
  <c r="AN323" i="30"/>
  <c r="BI323" i="30" s="1"/>
  <c r="R388" i="16" s="1"/>
  <c r="AC323" i="30"/>
  <c r="AX323" i="30" s="1"/>
  <c r="G388" i="16" s="1"/>
  <c r="AO323" i="30"/>
  <c r="BJ323" i="30" s="1"/>
  <c r="S388" i="16" s="1"/>
  <c r="AE323" i="30"/>
  <c r="AZ323" i="30" s="1"/>
  <c r="I388" i="16" s="1"/>
  <c r="AQ323" i="30"/>
  <c r="BL323" i="30" s="1"/>
  <c r="U388" i="16" s="1"/>
  <c r="AH323" i="30"/>
  <c r="BC323" i="30" s="1"/>
  <c r="L388" i="16" s="1"/>
  <c r="AI323" i="30"/>
  <c r="BD323" i="30" s="1"/>
  <c r="M388" i="16" s="1"/>
  <c r="AJ323" i="30"/>
  <c r="BE323" i="30" s="1"/>
  <c r="N388" i="16" s="1"/>
  <c r="AP323" i="30"/>
  <c r="BK323" i="30" s="1"/>
  <c r="T388" i="16" s="1"/>
  <c r="Y323" i="30"/>
  <c r="AT323" i="30" s="1"/>
  <c r="C388" i="16" s="1"/>
  <c r="AR323" i="30"/>
  <c r="BM323" i="30" s="1"/>
  <c r="V388" i="16" s="1"/>
  <c r="Z323" i="30"/>
  <c r="AF323" i="30"/>
  <c r="BA323" i="30" s="1"/>
  <c r="J388" i="16" s="1"/>
  <c r="AK323" i="30"/>
  <c r="BF323" i="30" s="1"/>
  <c r="O388" i="16" s="1"/>
  <c r="AA323" i="30"/>
  <c r="AV323" i="30" s="1"/>
  <c r="E388" i="16" s="1"/>
  <c r="AL323" i="30"/>
  <c r="BG323" i="30" s="1"/>
  <c r="P388" i="16" s="1"/>
  <c r="AD323" i="30"/>
  <c r="AY323" i="30" s="1"/>
  <c r="H388" i="16" s="1"/>
  <c r="AG323" i="30"/>
  <c r="BB323" i="30" s="1"/>
  <c r="K388" i="16" s="1"/>
  <c r="AM323" i="30"/>
  <c r="BH323" i="30" s="1"/>
  <c r="Q388" i="16" s="1"/>
  <c r="B425" i="16"/>
  <c r="AB360" i="30"/>
  <c r="AN360" i="30"/>
  <c r="AC360" i="30"/>
  <c r="AO360" i="30"/>
  <c r="AG360" i="30"/>
  <c r="AH360" i="30"/>
  <c r="AI360" i="30"/>
  <c r="AL360" i="30"/>
  <c r="Y360" i="30"/>
  <c r="AT360" i="30" s="1"/>
  <c r="C425" i="16" s="1"/>
  <c r="AR360" i="30"/>
  <c r="AA360" i="30"/>
  <c r="AF360" i="30"/>
  <c r="AJ360" i="30"/>
  <c r="AD360" i="30"/>
  <c r="AE360" i="30"/>
  <c r="AP360" i="30"/>
  <c r="Z360" i="30"/>
  <c r="AK360" i="30"/>
  <c r="AM360" i="30"/>
  <c r="AQ360" i="30"/>
  <c r="B371" i="16"/>
  <c r="Z306" i="30"/>
  <c r="AL306" i="30"/>
  <c r="BG306" i="30" s="1"/>
  <c r="P371" i="16" s="1"/>
  <c r="AC306" i="30"/>
  <c r="AX306" i="30" s="1"/>
  <c r="G371" i="16" s="1"/>
  <c r="AO306" i="30"/>
  <c r="BJ306" i="30" s="1"/>
  <c r="S371" i="16" s="1"/>
  <c r="AE306" i="30"/>
  <c r="AZ306" i="30" s="1"/>
  <c r="I371" i="16" s="1"/>
  <c r="AQ306" i="30"/>
  <c r="BL306" i="30" s="1"/>
  <c r="U371" i="16" s="1"/>
  <c r="AF306" i="30"/>
  <c r="BA306" i="30" s="1"/>
  <c r="J371" i="16" s="1"/>
  <c r="AH306" i="30"/>
  <c r="BC306" i="30" s="1"/>
  <c r="L371" i="16" s="1"/>
  <c r="AI306" i="30"/>
  <c r="BD306" i="30" s="1"/>
  <c r="M371" i="16" s="1"/>
  <c r="AB306" i="30"/>
  <c r="AW306" i="30" s="1"/>
  <c r="F371" i="16" s="1"/>
  <c r="AD306" i="30"/>
  <c r="AY306" i="30" s="1"/>
  <c r="H371" i="16" s="1"/>
  <c r="AG306" i="30"/>
  <c r="BB306" i="30" s="1"/>
  <c r="K371" i="16" s="1"/>
  <c r="AJ306" i="30"/>
  <c r="BE306" i="30" s="1"/>
  <c r="N371" i="16" s="1"/>
  <c r="AK306" i="30"/>
  <c r="BF306" i="30" s="1"/>
  <c r="O371" i="16" s="1"/>
  <c r="AM306" i="30"/>
  <c r="BH306" i="30" s="1"/>
  <c r="Q371" i="16" s="1"/>
  <c r="AN306" i="30"/>
  <c r="BI306" i="30" s="1"/>
  <c r="R371" i="16" s="1"/>
  <c r="AP306" i="30"/>
  <c r="BK306" i="30" s="1"/>
  <c r="T371" i="16" s="1"/>
  <c r="AA306" i="30"/>
  <c r="AV306" i="30" s="1"/>
  <c r="E371" i="16" s="1"/>
  <c r="Y306" i="30"/>
  <c r="AT306" i="30" s="1"/>
  <c r="C371" i="16" s="1"/>
  <c r="AR306" i="30"/>
  <c r="BM306" i="30" s="1"/>
  <c r="V371" i="16" s="1"/>
  <c r="B319" i="16"/>
  <c r="Z254" i="30"/>
  <c r="AL254" i="30"/>
  <c r="BG254" i="30" s="1"/>
  <c r="P319" i="16" s="1"/>
  <c r="AC254" i="30"/>
  <c r="AX254" i="30" s="1"/>
  <c r="G319" i="16" s="1"/>
  <c r="AO254" i="30"/>
  <c r="BJ254" i="30" s="1"/>
  <c r="S319" i="16" s="1"/>
  <c r="AE254" i="30"/>
  <c r="AZ254" i="30" s="1"/>
  <c r="I319" i="16" s="1"/>
  <c r="AQ254" i="30"/>
  <c r="BL254" i="30" s="1"/>
  <c r="U319" i="16" s="1"/>
  <c r="AF254" i="30"/>
  <c r="BA254" i="30" s="1"/>
  <c r="J319" i="16" s="1"/>
  <c r="AR254" i="30"/>
  <c r="BM254" i="30" s="1"/>
  <c r="V319" i="16" s="1"/>
  <c r="AG254" i="30"/>
  <c r="BB254" i="30" s="1"/>
  <c r="K319" i="16" s="1"/>
  <c r="AH254" i="30"/>
  <c r="BC254" i="30" s="1"/>
  <c r="L319" i="16" s="1"/>
  <c r="AJ254" i="30"/>
  <c r="BE254" i="30" s="1"/>
  <c r="N319" i="16" s="1"/>
  <c r="AN254" i="30"/>
  <c r="BI254" i="30" s="1"/>
  <c r="R319" i="16" s="1"/>
  <c r="AA254" i="30"/>
  <c r="AV254" i="30" s="1"/>
  <c r="E319" i="16" s="1"/>
  <c r="AB254" i="30"/>
  <c r="AW254" i="30" s="1"/>
  <c r="F319" i="16" s="1"/>
  <c r="AM254" i="30"/>
  <c r="BH254" i="30" s="1"/>
  <c r="Q319" i="16" s="1"/>
  <c r="AP254" i="30"/>
  <c r="BK254" i="30" s="1"/>
  <c r="T319" i="16" s="1"/>
  <c r="Y254" i="30"/>
  <c r="AT254" i="30" s="1"/>
  <c r="C319" i="16" s="1"/>
  <c r="AD254" i="30"/>
  <c r="AY254" i="30" s="1"/>
  <c r="H319" i="16" s="1"/>
  <c r="AI254" i="30"/>
  <c r="BD254" i="30" s="1"/>
  <c r="M319" i="16" s="1"/>
  <c r="AK254" i="30"/>
  <c r="BF254" i="30" s="1"/>
  <c r="O319" i="16" s="1"/>
  <c r="B391" i="16"/>
  <c r="AB326" i="30"/>
  <c r="AW326" i="30" s="1"/>
  <c r="F391" i="16" s="1"/>
  <c r="AN326" i="30"/>
  <c r="BI326" i="30" s="1"/>
  <c r="R391" i="16" s="1"/>
  <c r="AC326" i="30"/>
  <c r="AX326" i="30" s="1"/>
  <c r="G391" i="16" s="1"/>
  <c r="AO326" i="30"/>
  <c r="BJ326" i="30" s="1"/>
  <c r="S391" i="16" s="1"/>
  <c r="AE326" i="30"/>
  <c r="AZ326" i="30" s="1"/>
  <c r="I391" i="16" s="1"/>
  <c r="AQ326" i="30"/>
  <c r="BL326" i="30" s="1"/>
  <c r="U391" i="16" s="1"/>
  <c r="AH326" i="30"/>
  <c r="BC326" i="30" s="1"/>
  <c r="L391" i="16" s="1"/>
  <c r="AA326" i="30"/>
  <c r="AV326" i="30" s="1"/>
  <c r="E391" i="16" s="1"/>
  <c r="AD326" i="30"/>
  <c r="AY326" i="30" s="1"/>
  <c r="H391" i="16" s="1"/>
  <c r="AJ326" i="30"/>
  <c r="BE326" i="30" s="1"/>
  <c r="N391" i="16" s="1"/>
  <c r="AK326" i="30"/>
  <c r="BF326" i="30" s="1"/>
  <c r="O391" i="16" s="1"/>
  <c r="AL326" i="30"/>
  <c r="BG326" i="30" s="1"/>
  <c r="P391" i="16" s="1"/>
  <c r="AG326" i="30"/>
  <c r="BB326" i="30" s="1"/>
  <c r="K391" i="16" s="1"/>
  <c r="AM326" i="30"/>
  <c r="BH326" i="30" s="1"/>
  <c r="Q391" i="16" s="1"/>
  <c r="AP326" i="30"/>
  <c r="BK326" i="30" s="1"/>
  <c r="T391" i="16" s="1"/>
  <c r="AF326" i="30"/>
  <c r="BA326" i="30" s="1"/>
  <c r="J391" i="16" s="1"/>
  <c r="Y326" i="30"/>
  <c r="AT326" i="30" s="1"/>
  <c r="C391" i="16" s="1"/>
  <c r="Z326" i="30"/>
  <c r="AI326" i="30"/>
  <c r="BD326" i="30" s="1"/>
  <c r="M391" i="16" s="1"/>
  <c r="AR326" i="30"/>
  <c r="BM326" i="30" s="1"/>
  <c r="V391" i="16" s="1"/>
  <c r="AD255" i="30"/>
  <c r="AY255" i="30" s="1"/>
  <c r="H320" i="16" s="1"/>
  <c r="AP255" i="30"/>
  <c r="BK255" i="30" s="1"/>
  <c r="T320" i="16" s="1"/>
  <c r="AG255" i="30"/>
  <c r="BB255" i="30" s="1"/>
  <c r="K320" i="16" s="1"/>
  <c r="AI255" i="30"/>
  <c r="BD255" i="30" s="1"/>
  <c r="M320" i="16" s="1"/>
  <c r="AJ255" i="30"/>
  <c r="BE255" i="30" s="1"/>
  <c r="N320" i="16" s="1"/>
  <c r="B320" i="16"/>
  <c r="Y255" i="30"/>
  <c r="AT255" i="30" s="1"/>
  <c r="C320" i="16" s="1"/>
  <c r="AK255" i="30"/>
  <c r="BF255" i="30" s="1"/>
  <c r="O320" i="16" s="1"/>
  <c r="Z255" i="30"/>
  <c r="AL255" i="30"/>
  <c r="BG255" i="30" s="1"/>
  <c r="P320" i="16" s="1"/>
  <c r="AN255" i="30"/>
  <c r="BI255" i="30" s="1"/>
  <c r="R320" i="16" s="1"/>
  <c r="AR255" i="30"/>
  <c r="BM255" i="30" s="1"/>
  <c r="V320" i="16" s="1"/>
  <c r="AA255" i="30"/>
  <c r="AV255" i="30" s="1"/>
  <c r="E320" i="16" s="1"/>
  <c r="AB255" i="30"/>
  <c r="AW255" i="30" s="1"/>
  <c r="F320" i="16" s="1"/>
  <c r="AE255" i="30"/>
  <c r="AZ255" i="30" s="1"/>
  <c r="I320" i="16" s="1"/>
  <c r="AF255" i="30"/>
  <c r="BA255" i="30" s="1"/>
  <c r="J320" i="16" s="1"/>
  <c r="AC255" i="30"/>
  <c r="AX255" i="30" s="1"/>
  <c r="G320" i="16" s="1"/>
  <c r="AH255" i="30"/>
  <c r="BC255" i="30" s="1"/>
  <c r="L320" i="16" s="1"/>
  <c r="AM255" i="30"/>
  <c r="BH255" i="30" s="1"/>
  <c r="Q320" i="16" s="1"/>
  <c r="AO255" i="30"/>
  <c r="BJ255" i="30" s="1"/>
  <c r="S320" i="16" s="1"/>
  <c r="AQ255" i="30"/>
  <c r="BL255" i="30" s="1"/>
  <c r="U320" i="16" s="1"/>
  <c r="B392" i="16"/>
  <c r="AF327" i="30"/>
  <c r="BA327" i="30" s="1"/>
  <c r="J392" i="16" s="1"/>
  <c r="AR327" i="30"/>
  <c r="BM327" i="30" s="1"/>
  <c r="V392" i="16" s="1"/>
  <c r="AG327" i="30"/>
  <c r="BB327" i="30" s="1"/>
  <c r="K392" i="16" s="1"/>
  <c r="AI327" i="30"/>
  <c r="BD327" i="30" s="1"/>
  <c r="M392" i="16" s="1"/>
  <c r="Z327" i="30"/>
  <c r="AL327" i="30"/>
  <c r="BG327" i="30" s="1"/>
  <c r="P392" i="16" s="1"/>
  <c r="AA327" i="30"/>
  <c r="AV327" i="30" s="1"/>
  <c r="E392" i="16" s="1"/>
  <c r="AQ327" i="30"/>
  <c r="BL327" i="30" s="1"/>
  <c r="U392" i="16" s="1"/>
  <c r="AB327" i="30"/>
  <c r="AW327" i="30" s="1"/>
  <c r="F392" i="16" s="1"/>
  <c r="AH327" i="30"/>
  <c r="BC327" i="30" s="1"/>
  <c r="L392" i="16" s="1"/>
  <c r="AJ327" i="30"/>
  <c r="BE327" i="30" s="1"/>
  <c r="N392" i="16" s="1"/>
  <c r="AK327" i="30"/>
  <c r="BF327" i="30" s="1"/>
  <c r="O392" i="16" s="1"/>
  <c r="AE327" i="30"/>
  <c r="AZ327" i="30" s="1"/>
  <c r="I392" i="16" s="1"/>
  <c r="AP327" i="30"/>
  <c r="BK327" i="30" s="1"/>
  <c r="T392" i="16" s="1"/>
  <c r="Y327" i="30"/>
  <c r="AT327" i="30" s="1"/>
  <c r="C392" i="16" s="1"/>
  <c r="AC327" i="30"/>
  <c r="AX327" i="30" s="1"/>
  <c r="G392" i="16" s="1"/>
  <c r="AN327" i="30"/>
  <c r="BI327" i="30" s="1"/>
  <c r="R392" i="16" s="1"/>
  <c r="AM327" i="30"/>
  <c r="BH327" i="30" s="1"/>
  <c r="Q392" i="16" s="1"/>
  <c r="AO327" i="30"/>
  <c r="BJ327" i="30" s="1"/>
  <c r="S392" i="16" s="1"/>
  <c r="AD327" i="30"/>
  <c r="AY327" i="30" s="1"/>
  <c r="H392" i="16" s="1"/>
  <c r="B372" i="16"/>
  <c r="AD307" i="30"/>
  <c r="AY307" i="30" s="1"/>
  <c r="H372" i="16" s="1"/>
  <c r="AP307" i="30"/>
  <c r="BK307" i="30" s="1"/>
  <c r="T372" i="16" s="1"/>
  <c r="AI307" i="30"/>
  <c r="BD307" i="30" s="1"/>
  <c r="M372" i="16" s="1"/>
  <c r="AA307" i="30"/>
  <c r="AV307" i="30" s="1"/>
  <c r="E372" i="16" s="1"/>
  <c r="AC307" i="30"/>
  <c r="AX307" i="30" s="1"/>
  <c r="G372" i="16" s="1"/>
  <c r="AR307" i="30"/>
  <c r="BM307" i="30" s="1"/>
  <c r="V372" i="16" s="1"/>
  <c r="AE307" i="30"/>
  <c r="AZ307" i="30" s="1"/>
  <c r="I372" i="16" s="1"/>
  <c r="AF307" i="30"/>
  <c r="BA307" i="30" s="1"/>
  <c r="J372" i="16" s="1"/>
  <c r="AG307" i="30"/>
  <c r="BB307" i="30" s="1"/>
  <c r="K372" i="16" s="1"/>
  <c r="AH307" i="30"/>
  <c r="BC307" i="30" s="1"/>
  <c r="L372" i="16" s="1"/>
  <c r="AJ307" i="30"/>
  <c r="BE307" i="30" s="1"/>
  <c r="N372" i="16" s="1"/>
  <c r="AK307" i="30"/>
  <c r="BF307" i="30" s="1"/>
  <c r="O372" i="16" s="1"/>
  <c r="AL307" i="30"/>
  <c r="BG307" i="30" s="1"/>
  <c r="P372" i="16" s="1"/>
  <c r="Y307" i="30"/>
  <c r="AT307" i="30" s="1"/>
  <c r="C372" i="16" s="1"/>
  <c r="Z307" i="30"/>
  <c r="AO307" i="30"/>
  <c r="BJ307" i="30" s="1"/>
  <c r="S372" i="16" s="1"/>
  <c r="AQ307" i="30"/>
  <c r="BL307" i="30" s="1"/>
  <c r="U372" i="16" s="1"/>
  <c r="AB307" i="30"/>
  <c r="AW307" i="30" s="1"/>
  <c r="F372" i="16" s="1"/>
  <c r="AN307" i="30"/>
  <c r="BI307" i="30" s="1"/>
  <c r="R372" i="16" s="1"/>
  <c r="AM307" i="30"/>
  <c r="BH307" i="30" s="1"/>
  <c r="Q372" i="16" s="1"/>
  <c r="B438" i="16"/>
  <c r="AG373" i="30"/>
  <c r="Y373" i="30"/>
  <c r="AT373" i="30" s="1"/>
  <c r="C438" i="16" s="1"/>
  <c r="AK373" i="30"/>
  <c r="AA373" i="30"/>
  <c r="AM373" i="30"/>
  <c r="AD373" i="30"/>
  <c r="AP373" i="30"/>
  <c r="AE373" i="30"/>
  <c r="AQ373" i="30"/>
  <c r="Z373" i="30"/>
  <c r="AF373" i="30"/>
  <c r="AJ373" i="30"/>
  <c r="AB373" i="30"/>
  <c r="AC373" i="30"/>
  <c r="AH373" i="30"/>
  <c r="AI373" i="30"/>
  <c r="AL373" i="30"/>
  <c r="AN373" i="30"/>
  <c r="AO373" i="30"/>
  <c r="AR373" i="30"/>
  <c r="B321" i="16"/>
  <c r="AH256" i="30"/>
  <c r="BC256" i="30" s="1"/>
  <c r="L321" i="16" s="1"/>
  <c r="Y256" i="30"/>
  <c r="AT256" i="30" s="1"/>
  <c r="C321" i="16" s="1"/>
  <c r="AK256" i="30"/>
  <c r="BF256" i="30" s="1"/>
  <c r="O321" i="16" s="1"/>
  <c r="AA256" i="30"/>
  <c r="AV256" i="30" s="1"/>
  <c r="E321" i="16" s="1"/>
  <c r="AM256" i="30"/>
  <c r="BH256" i="30" s="1"/>
  <c r="Q321" i="16" s="1"/>
  <c r="AB256" i="30"/>
  <c r="AW256" i="30" s="1"/>
  <c r="F321" i="16" s="1"/>
  <c r="AN256" i="30"/>
  <c r="BI256" i="30" s="1"/>
  <c r="R321" i="16" s="1"/>
  <c r="AC256" i="30"/>
  <c r="AX256" i="30" s="1"/>
  <c r="G321" i="16" s="1"/>
  <c r="AO256" i="30"/>
  <c r="BJ256" i="30" s="1"/>
  <c r="S321" i="16" s="1"/>
  <c r="AD256" i="30"/>
  <c r="AY256" i="30" s="1"/>
  <c r="H321" i="16" s="1"/>
  <c r="AP256" i="30"/>
  <c r="BK256" i="30" s="1"/>
  <c r="T321" i="16" s="1"/>
  <c r="AR256" i="30"/>
  <c r="BM256" i="30" s="1"/>
  <c r="V321" i="16" s="1"/>
  <c r="AE256" i="30"/>
  <c r="AZ256" i="30" s="1"/>
  <c r="I321" i="16" s="1"/>
  <c r="AF256" i="30"/>
  <c r="BA256" i="30" s="1"/>
  <c r="J321" i="16" s="1"/>
  <c r="AI256" i="30"/>
  <c r="BD256" i="30" s="1"/>
  <c r="M321" i="16" s="1"/>
  <c r="AJ256" i="30"/>
  <c r="BE256" i="30" s="1"/>
  <c r="N321" i="16" s="1"/>
  <c r="Z256" i="30"/>
  <c r="AG256" i="30"/>
  <c r="BB256" i="30" s="1"/>
  <c r="K321" i="16" s="1"/>
  <c r="AL256" i="30"/>
  <c r="BG256" i="30" s="1"/>
  <c r="P321" i="16" s="1"/>
  <c r="AQ256" i="30"/>
  <c r="BL256" i="30" s="1"/>
  <c r="U321" i="16" s="1"/>
  <c r="B393" i="16"/>
  <c r="AJ328" i="30"/>
  <c r="BE328" i="30" s="1"/>
  <c r="N393" i="16" s="1"/>
  <c r="Y328" i="30"/>
  <c r="AT328" i="30" s="1"/>
  <c r="C393" i="16" s="1"/>
  <c r="AK328" i="30"/>
  <c r="BF328" i="30" s="1"/>
  <c r="O393" i="16" s="1"/>
  <c r="AA328" i="30"/>
  <c r="AV328" i="30" s="1"/>
  <c r="E393" i="16" s="1"/>
  <c r="AM328" i="30"/>
  <c r="BH328" i="30" s="1"/>
  <c r="Q393" i="16" s="1"/>
  <c r="AD328" i="30"/>
  <c r="AY328" i="30" s="1"/>
  <c r="H393" i="16" s="1"/>
  <c r="AP328" i="30"/>
  <c r="BK328" i="30" s="1"/>
  <c r="T393" i="16" s="1"/>
  <c r="AQ328" i="30"/>
  <c r="BL328" i="30" s="1"/>
  <c r="U393" i="16" s="1"/>
  <c r="Z328" i="30"/>
  <c r="AR328" i="30"/>
  <c r="BM328" i="30" s="1"/>
  <c r="V393" i="16" s="1"/>
  <c r="AF328" i="30"/>
  <c r="BA328" i="30" s="1"/>
  <c r="J393" i="16" s="1"/>
  <c r="AG328" i="30"/>
  <c r="BB328" i="30" s="1"/>
  <c r="K393" i="16" s="1"/>
  <c r="AH328" i="30"/>
  <c r="BC328" i="30" s="1"/>
  <c r="L393" i="16" s="1"/>
  <c r="AC328" i="30"/>
  <c r="AX328" i="30" s="1"/>
  <c r="G393" i="16" s="1"/>
  <c r="AL328" i="30"/>
  <c r="BG328" i="30" s="1"/>
  <c r="P393" i="16" s="1"/>
  <c r="AN328" i="30"/>
  <c r="BI328" i="30" s="1"/>
  <c r="R393" i="16" s="1"/>
  <c r="AB328" i="30"/>
  <c r="AW328" i="30" s="1"/>
  <c r="F393" i="16" s="1"/>
  <c r="AE328" i="30"/>
  <c r="AZ328" i="30" s="1"/>
  <c r="I393" i="16" s="1"/>
  <c r="AI328" i="30"/>
  <c r="BD328" i="30" s="1"/>
  <c r="M393" i="16" s="1"/>
  <c r="AO328" i="30"/>
  <c r="BJ328" i="30" s="1"/>
  <c r="S393" i="16" s="1"/>
  <c r="B322" i="16"/>
  <c r="Z257" i="30"/>
  <c r="AL257" i="30"/>
  <c r="BG257" i="30" s="1"/>
  <c r="P322" i="16" s="1"/>
  <c r="AC257" i="30"/>
  <c r="AX257" i="30" s="1"/>
  <c r="G322" i="16" s="1"/>
  <c r="AO257" i="30"/>
  <c r="BJ257" i="30" s="1"/>
  <c r="S322" i="16" s="1"/>
  <c r="AE257" i="30"/>
  <c r="AZ257" i="30" s="1"/>
  <c r="I322" i="16" s="1"/>
  <c r="AQ257" i="30"/>
  <c r="BL257" i="30" s="1"/>
  <c r="U322" i="16" s="1"/>
  <c r="AF257" i="30"/>
  <c r="BA257" i="30" s="1"/>
  <c r="J322" i="16" s="1"/>
  <c r="AR257" i="30"/>
  <c r="BM257" i="30" s="1"/>
  <c r="V322" i="16" s="1"/>
  <c r="AG257" i="30"/>
  <c r="BB257" i="30" s="1"/>
  <c r="K322" i="16" s="1"/>
  <c r="AH257" i="30"/>
  <c r="BC257" i="30" s="1"/>
  <c r="L322" i="16" s="1"/>
  <c r="AB257" i="30"/>
  <c r="AW257" i="30" s="1"/>
  <c r="F322" i="16" s="1"/>
  <c r="AI257" i="30"/>
  <c r="BD257" i="30" s="1"/>
  <c r="M322" i="16" s="1"/>
  <c r="AJ257" i="30"/>
  <c r="BE257" i="30" s="1"/>
  <c r="N322" i="16" s="1"/>
  <c r="AM257" i="30"/>
  <c r="BH257" i="30" s="1"/>
  <c r="Q322" i="16" s="1"/>
  <c r="AN257" i="30"/>
  <c r="BI257" i="30" s="1"/>
  <c r="R322" i="16" s="1"/>
  <c r="AA257" i="30"/>
  <c r="AV257" i="30" s="1"/>
  <c r="E322" i="16" s="1"/>
  <c r="AD257" i="30"/>
  <c r="AY257" i="30" s="1"/>
  <c r="H322" i="16" s="1"/>
  <c r="AK257" i="30"/>
  <c r="BF257" i="30" s="1"/>
  <c r="O322" i="16" s="1"/>
  <c r="AP257" i="30"/>
  <c r="BK257" i="30" s="1"/>
  <c r="T322" i="16" s="1"/>
  <c r="Y257" i="30"/>
  <c r="AT257" i="30" s="1"/>
  <c r="C322" i="16" s="1"/>
  <c r="AB329" i="30"/>
  <c r="AW329" i="30" s="1"/>
  <c r="F394" i="16" s="1"/>
  <c r="AN329" i="30"/>
  <c r="BI329" i="30" s="1"/>
  <c r="R394" i="16" s="1"/>
  <c r="B394" i="16"/>
  <c r="AC329" i="30"/>
  <c r="AX329" i="30" s="1"/>
  <c r="G394" i="16" s="1"/>
  <c r="AO329" i="30"/>
  <c r="BJ329" i="30" s="1"/>
  <c r="S394" i="16" s="1"/>
  <c r="AE329" i="30"/>
  <c r="AZ329" i="30" s="1"/>
  <c r="I394" i="16" s="1"/>
  <c r="AQ329" i="30"/>
  <c r="BL329" i="30" s="1"/>
  <c r="U394" i="16" s="1"/>
  <c r="AH329" i="30"/>
  <c r="BC329" i="30" s="1"/>
  <c r="L394" i="16" s="1"/>
  <c r="AM329" i="30"/>
  <c r="BH329" i="30" s="1"/>
  <c r="Q394" i="16" s="1"/>
  <c r="AP329" i="30"/>
  <c r="BK329" i="30" s="1"/>
  <c r="T394" i="16" s="1"/>
  <c r="AD329" i="30"/>
  <c r="AY329" i="30" s="1"/>
  <c r="H394" i="16" s="1"/>
  <c r="AF329" i="30"/>
  <c r="BA329" i="30" s="1"/>
  <c r="J394" i="16" s="1"/>
  <c r="AG329" i="30"/>
  <c r="BB329" i="30" s="1"/>
  <c r="K394" i="16" s="1"/>
  <c r="Y329" i="30"/>
  <c r="AT329" i="30" s="1"/>
  <c r="C394" i="16" s="1"/>
  <c r="AJ329" i="30"/>
  <c r="BE329" i="30" s="1"/>
  <c r="N394" i="16" s="1"/>
  <c r="AL329" i="30"/>
  <c r="BG329" i="30" s="1"/>
  <c r="P394" i="16" s="1"/>
  <c r="AI329" i="30"/>
  <c r="BD329" i="30" s="1"/>
  <c r="M394" i="16" s="1"/>
  <c r="Z329" i="30"/>
  <c r="AA329" i="30"/>
  <c r="AV329" i="30" s="1"/>
  <c r="E394" i="16" s="1"/>
  <c r="AK329" i="30"/>
  <c r="BF329" i="30" s="1"/>
  <c r="O394" i="16" s="1"/>
  <c r="AR329" i="30"/>
  <c r="BM329" i="30" s="1"/>
  <c r="V394" i="16" s="1"/>
  <c r="B437" i="16"/>
  <c r="AC372" i="30"/>
  <c r="AX372" i="30" s="1"/>
  <c r="G437" i="16" s="1"/>
  <c r="AO372" i="30"/>
  <c r="BJ372" i="30" s="1"/>
  <c r="S437" i="16" s="1"/>
  <c r="AG372" i="30"/>
  <c r="BB372" i="30" s="1"/>
  <c r="K437" i="16" s="1"/>
  <c r="AI372" i="30"/>
  <c r="BD372" i="30" s="1"/>
  <c r="M437" i="16" s="1"/>
  <c r="Z372" i="30"/>
  <c r="AL372" i="30"/>
  <c r="BG372" i="30" s="1"/>
  <c r="P437" i="16" s="1"/>
  <c r="AA372" i="30"/>
  <c r="AV372" i="30" s="1"/>
  <c r="E437" i="16" s="1"/>
  <c r="AM372" i="30"/>
  <c r="BH372" i="30" s="1"/>
  <c r="Q437" i="16" s="1"/>
  <c r="Y372" i="30"/>
  <c r="AT372" i="30" s="1"/>
  <c r="C437" i="16" s="1"/>
  <c r="AE372" i="30"/>
  <c r="AZ372" i="30" s="1"/>
  <c r="I437" i="16" s="1"/>
  <c r="AJ372" i="30"/>
  <c r="BE372" i="30" s="1"/>
  <c r="N437" i="16" s="1"/>
  <c r="AR372" i="30"/>
  <c r="BM372" i="30" s="1"/>
  <c r="V437" i="16" s="1"/>
  <c r="AB372" i="30"/>
  <c r="AW372" i="30" s="1"/>
  <c r="F437" i="16" s="1"/>
  <c r="AD372" i="30"/>
  <c r="AY372" i="30" s="1"/>
  <c r="H437" i="16" s="1"/>
  <c r="AN372" i="30"/>
  <c r="BI372" i="30" s="1"/>
  <c r="R437" i="16" s="1"/>
  <c r="AF372" i="30"/>
  <c r="BA372" i="30" s="1"/>
  <c r="J437" i="16" s="1"/>
  <c r="AH372" i="30"/>
  <c r="BC372" i="30" s="1"/>
  <c r="L437" i="16" s="1"/>
  <c r="AK372" i="30"/>
  <c r="BF372" i="30" s="1"/>
  <c r="O437" i="16" s="1"/>
  <c r="AP372" i="30"/>
  <c r="BK372" i="30" s="1"/>
  <c r="T437" i="16" s="1"/>
  <c r="AQ372" i="30"/>
  <c r="BL372" i="30" s="1"/>
  <c r="U437" i="16" s="1"/>
  <c r="B377" i="16"/>
  <c r="AE312" i="30"/>
  <c r="AZ312" i="30" s="1"/>
  <c r="I377" i="16" s="1"/>
  <c r="AQ312" i="30"/>
  <c r="BL312" i="30" s="1"/>
  <c r="U377" i="16" s="1"/>
  <c r="AF312" i="30"/>
  <c r="BA312" i="30" s="1"/>
  <c r="J377" i="16" s="1"/>
  <c r="AR312" i="30"/>
  <c r="BM312" i="30" s="1"/>
  <c r="V377" i="16" s="1"/>
  <c r="AG312" i="30"/>
  <c r="BB312" i="30" s="1"/>
  <c r="K377" i="16" s="1"/>
  <c r="AH312" i="30"/>
  <c r="BC312" i="30" s="1"/>
  <c r="L377" i="16" s="1"/>
  <c r="AI312" i="30"/>
  <c r="BD312" i="30" s="1"/>
  <c r="M377" i="16" s="1"/>
  <c r="AJ312" i="30"/>
  <c r="BE312" i="30" s="1"/>
  <c r="N377" i="16" s="1"/>
  <c r="Z312" i="30"/>
  <c r="AL312" i="30"/>
  <c r="BG312" i="30" s="1"/>
  <c r="P377" i="16" s="1"/>
  <c r="AB312" i="30"/>
  <c r="AW312" i="30" s="1"/>
  <c r="F377" i="16" s="1"/>
  <c r="AC312" i="30"/>
  <c r="AX312" i="30" s="1"/>
  <c r="G377" i="16" s="1"/>
  <c r="AN312" i="30"/>
  <c r="BI312" i="30" s="1"/>
  <c r="R377" i="16" s="1"/>
  <c r="AO312" i="30"/>
  <c r="BJ312" i="30" s="1"/>
  <c r="S377" i="16" s="1"/>
  <c r="AP312" i="30"/>
  <c r="BK312" i="30" s="1"/>
  <c r="T377" i="16" s="1"/>
  <c r="AK312" i="30"/>
  <c r="BF312" i="30" s="1"/>
  <c r="O377" i="16" s="1"/>
  <c r="Y312" i="30"/>
  <c r="AT312" i="30" s="1"/>
  <c r="C377" i="16" s="1"/>
  <c r="AM312" i="30"/>
  <c r="BH312" i="30" s="1"/>
  <c r="Q377" i="16" s="1"/>
  <c r="AA312" i="30"/>
  <c r="AV312" i="30" s="1"/>
  <c r="E377" i="16" s="1"/>
  <c r="AD312" i="30"/>
  <c r="AY312" i="30" s="1"/>
  <c r="H377" i="16" s="1"/>
  <c r="B325" i="16"/>
  <c r="Z260" i="30"/>
  <c r="AL260" i="30"/>
  <c r="BG260" i="30" s="1"/>
  <c r="P325" i="16" s="1"/>
  <c r="AC260" i="30"/>
  <c r="AX260" i="30" s="1"/>
  <c r="G325" i="16" s="1"/>
  <c r="AO260" i="30"/>
  <c r="BJ260" i="30" s="1"/>
  <c r="S325" i="16" s="1"/>
  <c r="AE260" i="30"/>
  <c r="AZ260" i="30" s="1"/>
  <c r="I325" i="16" s="1"/>
  <c r="AQ260" i="30"/>
  <c r="BL260" i="30" s="1"/>
  <c r="U325" i="16" s="1"/>
  <c r="AF260" i="30"/>
  <c r="BA260" i="30" s="1"/>
  <c r="J325" i="16" s="1"/>
  <c r="AR260" i="30"/>
  <c r="BM260" i="30" s="1"/>
  <c r="V325" i="16" s="1"/>
  <c r="AG260" i="30"/>
  <c r="BB260" i="30" s="1"/>
  <c r="K325" i="16" s="1"/>
  <c r="AH260" i="30"/>
  <c r="BC260" i="30" s="1"/>
  <c r="L325" i="16" s="1"/>
  <c r="AJ260" i="30"/>
  <c r="BE260" i="30" s="1"/>
  <c r="N325" i="16" s="1"/>
  <c r="AN260" i="30"/>
  <c r="BI260" i="30" s="1"/>
  <c r="R325" i="16" s="1"/>
  <c r="AA260" i="30"/>
  <c r="AV260" i="30" s="1"/>
  <c r="E325" i="16" s="1"/>
  <c r="AB260" i="30"/>
  <c r="AW260" i="30" s="1"/>
  <c r="F325" i="16" s="1"/>
  <c r="Y260" i="30"/>
  <c r="AT260" i="30" s="1"/>
  <c r="C325" i="16" s="1"/>
  <c r="AD260" i="30"/>
  <c r="AY260" i="30" s="1"/>
  <c r="H325" i="16" s="1"/>
  <c r="AI260" i="30"/>
  <c r="BD260" i="30" s="1"/>
  <c r="M325" i="16" s="1"/>
  <c r="AK260" i="30"/>
  <c r="BF260" i="30" s="1"/>
  <c r="O325" i="16" s="1"/>
  <c r="AM260" i="30"/>
  <c r="BH260" i="30" s="1"/>
  <c r="Q325" i="16" s="1"/>
  <c r="AP260" i="30"/>
  <c r="BK260" i="30" s="1"/>
  <c r="T325" i="16" s="1"/>
  <c r="B397" i="16"/>
  <c r="AB332" i="30"/>
  <c r="AW332" i="30" s="1"/>
  <c r="F397" i="16" s="1"/>
  <c r="AN332" i="30"/>
  <c r="BI332" i="30" s="1"/>
  <c r="R397" i="16" s="1"/>
  <c r="AC332" i="30"/>
  <c r="AX332" i="30" s="1"/>
  <c r="G397" i="16" s="1"/>
  <c r="AO332" i="30"/>
  <c r="BJ332" i="30" s="1"/>
  <c r="S397" i="16" s="1"/>
  <c r="AE332" i="30"/>
  <c r="AZ332" i="30" s="1"/>
  <c r="I397" i="16" s="1"/>
  <c r="AQ332" i="30"/>
  <c r="BL332" i="30" s="1"/>
  <c r="U397" i="16" s="1"/>
  <c r="AH332" i="30"/>
  <c r="BC332" i="30" s="1"/>
  <c r="L397" i="16" s="1"/>
  <c r="AI332" i="30"/>
  <c r="BD332" i="30" s="1"/>
  <c r="M397" i="16" s="1"/>
  <c r="AJ332" i="30"/>
  <c r="BE332" i="30" s="1"/>
  <c r="N397" i="16" s="1"/>
  <c r="AP332" i="30"/>
  <c r="BK332" i="30" s="1"/>
  <c r="T397" i="16" s="1"/>
  <c r="Y332" i="30"/>
  <c r="AT332" i="30" s="1"/>
  <c r="C397" i="16" s="1"/>
  <c r="AR332" i="30"/>
  <c r="BM332" i="30" s="1"/>
  <c r="V397" i="16" s="1"/>
  <c r="Z332" i="30"/>
  <c r="AA332" i="30"/>
  <c r="AV332" i="30" s="1"/>
  <c r="E397" i="16" s="1"/>
  <c r="AK332" i="30"/>
  <c r="BF332" i="30" s="1"/>
  <c r="O397" i="16" s="1"/>
  <c r="AM332" i="30"/>
  <c r="BH332" i="30" s="1"/>
  <c r="Q397" i="16" s="1"/>
  <c r="AD332" i="30"/>
  <c r="AY332" i="30" s="1"/>
  <c r="H397" i="16" s="1"/>
  <c r="AF332" i="30"/>
  <c r="BA332" i="30" s="1"/>
  <c r="J397" i="16" s="1"/>
  <c r="AG332" i="30"/>
  <c r="BB332" i="30" s="1"/>
  <c r="K397" i="16" s="1"/>
  <c r="AL332" i="30"/>
  <c r="BG332" i="30" s="1"/>
  <c r="P397" i="16" s="1"/>
  <c r="B396" i="16"/>
  <c r="AJ331" i="30"/>
  <c r="BE331" i="30" s="1"/>
  <c r="N396" i="16" s="1"/>
  <c r="Y331" i="30"/>
  <c r="AT331" i="30" s="1"/>
  <c r="C396" i="16" s="1"/>
  <c r="AK331" i="30"/>
  <c r="BF331" i="30" s="1"/>
  <c r="O396" i="16" s="1"/>
  <c r="AA331" i="30"/>
  <c r="AV331" i="30" s="1"/>
  <c r="E396" i="16" s="1"/>
  <c r="AM331" i="30"/>
  <c r="BH331" i="30" s="1"/>
  <c r="Q396" i="16" s="1"/>
  <c r="AD331" i="30"/>
  <c r="AY331" i="30" s="1"/>
  <c r="H396" i="16" s="1"/>
  <c r="AP331" i="30"/>
  <c r="BK331" i="30" s="1"/>
  <c r="T396" i="16" s="1"/>
  <c r="AI331" i="30"/>
  <c r="BD331" i="30" s="1"/>
  <c r="M396" i="16" s="1"/>
  <c r="AL331" i="30"/>
  <c r="BG331" i="30" s="1"/>
  <c r="P396" i="16" s="1"/>
  <c r="Z331" i="30"/>
  <c r="AR331" i="30"/>
  <c r="BM331" i="30" s="1"/>
  <c r="V396" i="16" s="1"/>
  <c r="AB331" i="30"/>
  <c r="AW331" i="30" s="1"/>
  <c r="F396" i="16" s="1"/>
  <c r="AC331" i="30"/>
  <c r="AX331" i="30" s="1"/>
  <c r="G396" i="16" s="1"/>
  <c r="AF331" i="30"/>
  <c r="BA331" i="30" s="1"/>
  <c r="J396" i="16" s="1"/>
  <c r="AN331" i="30"/>
  <c r="BI331" i="30" s="1"/>
  <c r="R396" i="16" s="1"/>
  <c r="AO331" i="30"/>
  <c r="BJ331" i="30" s="1"/>
  <c r="S396" i="16" s="1"/>
  <c r="AH331" i="30"/>
  <c r="BC331" i="30" s="1"/>
  <c r="L396" i="16" s="1"/>
  <c r="AE331" i="30"/>
  <c r="AZ331" i="30" s="1"/>
  <c r="I396" i="16" s="1"/>
  <c r="AG331" i="30"/>
  <c r="BB331" i="30" s="1"/>
  <c r="K396" i="16" s="1"/>
  <c r="AQ331" i="30"/>
  <c r="BL331" i="30" s="1"/>
  <c r="U396" i="16" s="1"/>
  <c r="B336" i="16"/>
  <c r="AH271" i="30"/>
  <c r="BC271" i="30" s="1"/>
  <c r="L336" i="16" s="1"/>
  <c r="Y271" i="30"/>
  <c r="AT271" i="30" s="1"/>
  <c r="C336" i="16" s="1"/>
  <c r="AK271" i="30"/>
  <c r="BF271" i="30" s="1"/>
  <c r="O336" i="16" s="1"/>
  <c r="AA271" i="30"/>
  <c r="AV271" i="30" s="1"/>
  <c r="E336" i="16" s="1"/>
  <c r="AM271" i="30"/>
  <c r="BH271" i="30" s="1"/>
  <c r="Q336" i="16" s="1"/>
  <c r="AB271" i="30"/>
  <c r="AW271" i="30" s="1"/>
  <c r="F336" i="16" s="1"/>
  <c r="AN271" i="30"/>
  <c r="BI271" i="30" s="1"/>
  <c r="R336" i="16" s="1"/>
  <c r="AC271" i="30"/>
  <c r="AX271" i="30" s="1"/>
  <c r="G336" i="16" s="1"/>
  <c r="AO271" i="30"/>
  <c r="BJ271" i="30" s="1"/>
  <c r="S336" i="16" s="1"/>
  <c r="AD271" i="30"/>
  <c r="AY271" i="30" s="1"/>
  <c r="H336" i="16" s="1"/>
  <c r="AP271" i="30"/>
  <c r="BK271" i="30" s="1"/>
  <c r="T336" i="16" s="1"/>
  <c r="AF271" i="30"/>
  <c r="BA271" i="30" s="1"/>
  <c r="J336" i="16" s="1"/>
  <c r="AJ271" i="30"/>
  <c r="BE271" i="30" s="1"/>
  <c r="N336" i="16" s="1"/>
  <c r="AQ271" i="30"/>
  <c r="BL271" i="30" s="1"/>
  <c r="U336" i="16" s="1"/>
  <c r="AR271" i="30"/>
  <c r="BM271" i="30" s="1"/>
  <c r="V336" i="16" s="1"/>
  <c r="AI271" i="30"/>
  <c r="BD271" i="30" s="1"/>
  <c r="M336" i="16" s="1"/>
  <c r="AL271" i="30"/>
  <c r="BG271" i="30" s="1"/>
  <c r="P336" i="16" s="1"/>
  <c r="Z271" i="30"/>
  <c r="AE271" i="30"/>
  <c r="AZ271" i="30" s="1"/>
  <c r="I336" i="16" s="1"/>
  <c r="AG271" i="30"/>
  <c r="BB271" i="30" s="1"/>
  <c r="K336" i="16" s="1"/>
  <c r="B398" i="16"/>
  <c r="AF333" i="30"/>
  <c r="BA333" i="30" s="1"/>
  <c r="J398" i="16" s="1"/>
  <c r="AR333" i="30"/>
  <c r="BM333" i="30" s="1"/>
  <c r="V398" i="16" s="1"/>
  <c r="AG333" i="30"/>
  <c r="BB333" i="30" s="1"/>
  <c r="K398" i="16" s="1"/>
  <c r="AI333" i="30"/>
  <c r="BD333" i="30" s="1"/>
  <c r="M398" i="16" s="1"/>
  <c r="Z333" i="30"/>
  <c r="AL333" i="30"/>
  <c r="BG333" i="30" s="1"/>
  <c r="P398" i="16" s="1"/>
  <c r="AE333" i="30"/>
  <c r="AZ333" i="30" s="1"/>
  <c r="I398" i="16" s="1"/>
  <c r="AH333" i="30"/>
  <c r="BC333" i="30" s="1"/>
  <c r="L398" i="16" s="1"/>
  <c r="AN333" i="30"/>
  <c r="BI333" i="30" s="1"/>
  <c r="R398" i="16" s="1"/>
  <c r="AO333" i="30"/>
  <c r="BJ333" i="30" s="1"/>
  <c r="S398" i="16" s="1"/>
  <c r="Y333" i="30"/>
  <c r="AT333" i="30" s="1"/>
  <c r="C398" i="16" s="1"/>
  <c r="AP333" i="30"/>
  <c r="BK333" i="30" s="1"/>
  <c r="T398" i="16" s="1"/>
  <c r="AK333" i="30"/>
  <c r="BF333" i="30" s="1"/>
  <c r="O398" i="16" s="1"/>
  <c r="AC333" i="30"/>
  <c r="AX333" i="30" s="1"/>
  <c r="G398" i="16" s="1"/>
  <c r="AD333" i="30"/>
  <c r="AY333" i="30" s="1"/>
  <c r="H398" i="16" s="1"/>
  <c r="AA333" i="30"/>
  <c r="AV333" i="30" s="1"/>
  <c r="E398" i="16" s="1"/>
  <c r="AJ333" i="30"/>
  <c r="BE333" i="30" s="1"/>
  <c r="N398" i="16" s="1"/>
  <c r="AM333" i="30"/>
  <c r="BH333" i="30" s="1"/>
  <c r="Q398" i="16" s="1"/>
  <c r="AB333" i="30"/>
  <c r="AW333" i="30" s="1"/>
  <c r="F398" i="16" s="1"/>
  <c r="AQ333" i="30"/>
  <c r="BL333" i="30" s="1"/>
  <c r="U398" i="16" s="1"/>
  <c r="B327" i="16"/>
  <c r="AH262" i="30"/>
  <c r="BC262" i="30" s="1"/>
  <c r="L327" i="16" s="1"/>
  <c r="Y262" i="30"/>
  <c r="AT262" i="30" s="1"/>
  <c r="C327" i="16" s="1"/>
  <c r="AK262" i="30"/>
  <c r="BF262" i="30" s="1"/>
  <c r="O327" i="16" s="1"/>
  <c r="AA262" i="30"/>
  <c r="AV262" i="30" s="1"/>
  <c r="E327" i="16" s="1"/>
  <c r="AM262" i="30"/>
  <c r="BH262" i="30" s="1"/>
  <c r="Q327" i="16" s="1"/>
  <c r="AB262" i="30"/>
  <c r="AW262" i="30" s="1"/>
  <c r="F327" i="16" s="1"/>
  <c r="AN262" i="30"/>
  <c r="BI262" i="30" s="1"/>
  <c r="R327" i="16" s="1"/>
  <c r="AC262" i="30"/>
  <c r="AX262" i="30" s="1"/>
  <c r="G327" i="16" s="1"/>
  <c r="AO262" i="30"/>
  <c r="BJ262" i="30" s="1"/>
  <c r="S327" i="16" s="1"/>
  <c r="AD262" i="30"/>
  <c r="AY262" i="30" s="1"/>
  <c r="H327" i="16" s="1"/>
  <c r="AP262" i="30"/>
  <c r="BK262" i="30" s="1"/>
  <c r="T327" i="16" s="1"/>
  <c r="AR262" i="30"/>
  <c r="BM262" i="30" s="1"/>
  <c r="V327" i="16" s="1"/>
  <c r="AE262" i="30"/>
  <c r="AZ262" i="30" s="1"/>
  <c r="I327" i="16" s="1"/>
  <c r="AF262" i="30"/>
  <c r="BA262" i="30" s="1"/>
  <c r="J327" i="16" s="1"/>
  <c r="AI262" i="30"/>
  <c r="BD262" i="30" s="1"/>
  <c r="M327" i="16" s="1"/>
  <c r="AJ262" i="30"/>
  <c r="BE262" i="30" s="1"/>
  <c r="N327" i="16" s="1"/>
  <c r="Z262" i="30"/>
  <c r="AG262" i="30"/>
  <c r="BB262" i="30" s="1"/>
  <c r="K327" i="16" s="1"/>
  <c r="AL262" i="30"/>
  <c r="BG262" i="30" s="1"/>
  <c r="P327" i="16" s="1"/>
  <c r="AQ262" i="30"/>
  <c r="BL262" i="30" s="1"/>
  <c r="U327" i="16" s="1"/>
  <c r="B400" i="16"/>
  <c r="AI335" i="30"/>
  <c r="BD335" i="30" s="1"/>
  <c r="M400" i="16" s="1"/>
  <c r="AJ335" i="30"/>
  <c r="BE335" i="30" s="1"/>
  <c r="N400" i="16" s="1"/>
  <c r="AB335" i="30"/>
  <c r="AW335" i="30" s="1"/>
  <c r="F400" i="16" s="1"/>
  <c r="AN335" i="30"/>
  <c r="BI335" i="30" s="1"/>
  <c r="R400" i="16" s="1"/>
  <c r="AC335" i="30"/>
  <c r="AX335" i="30" s="1"/>
  <c r="G400" i="16" s="1"/>
  <c r="AO335" i="30"/>
  <c r="BJ335" i="30" s="1"/>
  <c r="S400" i="16" s="1"/>
  <c r="AD335" i="30"/>
  <c r="AY335" i="30" s="1"/>
  <c r="H400" i="16" s="1"/>
  <c r="AP335" i="30"/>
  <c r="BK335" i="30" s="1"/>
  <c r="T400" i="16" s="1"/>
  <c r="AR335" i="30"/>
  <c r="BM335" i="30" s="1"/>
  <c r="V400" i="16" s="1"/>
  <c r="AE335" i="30"/>
  <c r="AZ335" i="30" s="1"/>
  <c r="I400" i="16" s="1"/>
  <c r="AG335" i="30"/>
  <c r="BB335" i="30" s="1"/>
  <c r="K400" i="16" s="1"/>
  <c r="AL335" i="30"/>
  <c r="BG335" i="30" s="1"/>
  <c r="P400" i="16" s="1"/>
  <c r="AM335" i="30"/>
  <c r="BH335" i="30" s="1"/>
  <c r="Q400" i="16" s="1"/>
  <c r="AA335" i="30"/>
  <c r="AV335" i="30" s="1"/>
  <c r="E400" i="16" s="1"/>
  <c r="AH335" i="30"/>
  <c r="BC335" i="30" s="1"/>
  <c r="L400" i="16" s="1"/>
  <c r="AK335" i="30"/>
  <c r="BF335" i="30" s="1"/>
  <c r="O400" i="16" s="1"/>
  <c r="Z335" i="30"/>
  <c r="Y335" i="30"/>
  <c r="AT335" i="30" s="1"/>
  <c r="C400" i="16" s="1"/>
  <c r="AF335" i="30"/>
  <c r="BA335" i="30" s="1"/>
  <c r="J400" i="16" s="1"/>
  <c r="AQ335" i="30"/>
  <c r="BL335" i="30" s="1"/>
  <c r="U400" i="16" s="1"/>
  <c r="B383" i="16"/>
  <c r="AE318" i="30"/>
  <c r="AZ318" i="30" s="1"/>
  <c r="I383" i="16" s="1"/>
  <c r="AQ318" i="30"/>
  <c r="BL318" i="30" s="1"/>
  <c r="U383" i="16" s="1"/>
  <c r="AF318" i="30"/>
  <c r="BA318" i="30" s="1"/>
  <c r="J383" i="16" s="1"/>
  <c r="AR318" i="30"/>
  <c r="BM318" i="30" s="1"/>
  <c r="V383" i="16" s="1"/>
  <c r="AG318" i="30"/>
  <c r="BB318" i="30" s="1"/>
  <c r="K383" i="16" s="1"/>
  <c r="AH318" i="30"/>
  <c r="BC318" i="30" s="1"/>
  <c r="L383" i="16" s="1"/>
  <c r="AI318" i="30"/>
  <c r="BD318" i="30" s="1"/>
  <c r="M383" i="16" s="1"/>
  <c r="AJ318" i="30"/>
  <c r="BE318" i="30" s="1"/>
  <c r="N383" i="16" s="1"/>
  <c r="Z318" i="30"/>
  <c r="AL318" i="30"/>
  <c r="BG318" i="30" s="1"/>
  <c r="P383" i="16" s="1"/>
  <c r="Y318" i="30"/>
  <c r="AT318" i="30" s="1"/>
  <c r="C383" i="16" s="1"/>
  <c r="AA318" i="30"/>
  <c r="AV318" i="30" s="1"/>
  <c r="E383" i="16" s="1"/>
  <c r="AK318" i="30"/>
  <c r="BF318" i="30" s="1"/>
  <c r="O383" i="16" s="1"/>
  <c r="AM318" i="30"/>
  <c r="BH318" i="30" s="1"/>
  <c r="Q383" i="16" s="1"/>
  <c r="AN318" i="30"/>
  <c r="BI318" i="30" s="1"/>
  <c r="R383" i="16" s="1"/>
  <c r="AD318" i="30"/>
  <c r="AY318" i="30" s="1"/>
  <c r="H383" i="16" s="1"/>
  <c r="AO318" i="30"/>
  <c r="BJ318" i="30" s="1"/>
  <c r="S383" i="16" s="1"/>
  <c r="AB318" i="30"/>
  <c r="AW318" i="30" s="1"/>
  <c r="F383" i="16" s="1"/>
  <c r="AC318" i="30"/>
  <c r="AX318" i="30" s="1"/>
  <c r="G383" i="16" s="1"/>
  <c r="AP318" i="30"/>
  <c r="BK318" i="30" s="1"/>
  <c r="T383" i="16" s="1"/>
  <c r="B403" i="16"/>
  <c r="AI338" i="30"/>
  <c r="BD338" i="30" s="1"/>
  <c r="M403" i="16" s="1"/>
  <c r="AJ338" i="30"/>
  <c r="BE338" i="30" s="1"/>
  <c r="N403" i="16" s="1"/>
  <c r="AB338" i="30"/>
  <c r="AW338" i="30" s="1"/>
  <c r="F403" i="16" s="1"/>
  <c r="AN338" i="30"/>
  <c r="BI338" i="30" s="1"/>
  <c r="R403" i="16" s="1"/>
  <c r="AC338" i="30"/>
  <c r="AX338" i="30" s="1"/>
  <c r="G403" i="16" s="1"/>
  <c r="AO338" i="30"/>
  <c r="BJ338" i="30" s="1"/>
  <c r="S403" i="16" s="1"/>
  <c r="AD338" i="30"/>
  <c r="AY338" i="30" s="1"/>
  <c r="H403" i="16" s="1"/>
  <c r="AP338" i="30"/>
  <c r="BK338" i="30" s="1"/>
  <c r="T403" i="16" s="1"/>
  <c r="Y338" i="30"/>
  <c r="AT338" i="30" s="1"/>
  <c r="C403" i="16" s="1"/>
  <c r="AF338" i="30"/>
  <c r="BA338" i="30" s="1"/>
  <c r="J403" i="16" s="1"/>
  <c r="AH338" i="30"/>
  <c r="BC338" i="30" s="1"/>
  <c r="L403" i="16" s="1"/>
  <c r="AM338" i="30"/>
  <c r="BH338" i="30" s="1"/>
  <c r="Q403" i="16" s="1"/>
  <c r="AQ338" i="30"/>
  <c r="BL338" i="30" s="1"/>
  <c r="U403" i="16" s="1"/>
  <c r="AA338" i="30"/>
  <c r="AV338" i="30" s="1"/>
  <c r="E403" i="16" s="1"/>
  <c r="AL338" i="30"/>
  <c r="BG338" i="30" s="1"/>
  <c r="P403" i="16" s="1"/>
  <c r="AR338" i="30"/>
  <c r="BM338" i="30" s="1"/>
  <c r="V403" i="16" s="1"/>
  <c r="Z338" i="30"/>
  <c r="AE338" i="30"/>
  <c r="AZ338" i="30" s="1"/>
  <c r="I403" i="16" s="1"/>
  <c r="AG338" i="30"/>
  <c r="BB338" i="30" s="1"/>
  <c r="K403" i="16" s="1"/>
  <c r="AK338" i="30"/>
  <c r="BF338" i="30" s="1"/>
  <c r="O403" i="16" s="1"/>
  <c r="B332" i="16"/>
  <c r="AD267" i="30"/>
  <c r="AY267" i="30" s="1"/>
  <c r="H332" i="16" s="1"/>
  <c r="AP267" i="30"/>
  <c r="BK267" i="30" s="1"/>
  <c r="T332" i="16" s="1"/>
  <c r="AG267" i="30"/>
  <c r="BB267" i="30" s="1"/>
  <c r="K332" i="16" s="1"/>
  <c r="AI267" i="30"/>
  <c r="BD267" i="30" s="1"/>
  <c r="M332" i="16" s="1"/>
  <c r="AJ267" i="30"/>
  <c r="BE267" i="30" s="1"/>
  <c r="N332" i="16" s="1"/>
  <c r="Y267" i="30"/>
  <c r="AT267" i="30" s="1"/>
  <c r="C332" i="16" s="1"/>
  <c r="AK267" i="30"/>
  <c r="BF267" i="30" s="1"/>
  <c r="O332" i="16" s="1"/>
  <c r="Z267" i="30"/>
  <c r="AL267" i="30"/>
  <c r="BG267" i="30" s="1"/>
  <c r="P332" i="16" s="1"/>
  <c r="AN267" i="30"/>
  <c r="BI267" i="30" s="1"/>
  <c r="R332" i="16" s="1"/>
  <c r="AR267" i="30"/>
  <c r="BM267" i="30" s="1"/>
  <c r="V332" i="16" s="1"/>
  <c r="AA267" i="30"/>
  <c r="AV267" i="30" s="1"/>
  <c r="E332" i="16" s="1"/>
  <c r="AB267" i="30"/>
  <c r="AW267" i="30" s="1"/>
  <c r="F332" i="16" s="1"/>
  <c r="AE267" i="30"/>
  <c r="AZ267" i="30" s="1"/>
  <c r="I332" i="16" s="1"/>
  <c r="AF267" i="30"/>
  <c r="BA267" i="30" s="1"/>
  <c r="J332" i="16" s="1"/>
  <c r="AC267" i="30"/>
  <c r="AX267" i="30" s="1"/>
  <c r="G332" i="16" s="1"/>
  <c r="AH267" i="30"/>
  <c r="BC267" i="30" s="1"/>
  <c r="L332" i="16" s="1"/>
  <c r="AM267" i="30"/>
  <c r="BH267" i="30" s="1"/>
  <c r="Q332" i="16" s="1"/>
  <c r="AO267" i="30"/>
  <c r="BJ267" i="30" s="1"/>
  <c r="S332" i="16" s="1"/>
  <c r="AQ267" i="30"/>
  <c r="BL267" i="30" s="1"/>
  <c r="U332" i="16" s="1"/>
  <c r="B420" i="16"/>
  <c r="AF355" i="30"/>
  <c r="AR355" i="30"/>
  <c r="AG355" i="30"/>
  <c r="Y355" i="30"/>
  <c r="AT355" i="30" s="1"/>
  <c r="C420" i="16" s="1"/>
  <c r="AK355" i="30"/>
  <c r="Z355" i="30"/>
  <c r="AL355" i="30"/>
  <c r="AA355" i="30"/>
  <c r="AM355" i="30"/>
  <c r="AI355" i="30"/>
  <c r="AP355" i="30"/>
  <c r="AD355" i="30"/>
  <c r="AE355" i="30"/>
  <c r="AO355" i="30"/>
  <c r="AB355" i="30"/>
  <c r="AJ355" i="30"/>
  <c r="AC355" i="30"/>
  <c r="AH355" i="30"/>
  <c r="AN355" i="30"/>
  <c r="AQ355" i="30"/>
  <c r="B360" i="16"/>
  <c r="AD295" i="30"/>
  <c r="AY295" i="30" s="1"/>
  <c r="H360" i="16" s="1"/>
  <c r="AP295" i="30"/>
  <c r="BK295" i="30" s="1"/>
  <c r="T360" i="16" s="1"/>
  <c r="AG295" i="30"/>
  <c r="BB295" i="30" s="1"/>
  <c r="K360" i="16" s="1"/>
  <c r="AI295" i="30"/>
  <c r="BD295" i="30" s="1"/>
  <c r="M360" i="16" s="1"/>
  <c r="AJ295" i="30"/>
  <c r="BE295" i="30" s="1"/>
  <c r="N360" i="16" s="1"/>
  <c r="Z295" i="30"/>
  <c r="AL295" i="30"/>
  <c r="BG295" i="30" s="1"/>
  <c r="P360" i="16" s="1"/>
  <c r="AA295" i="30"/>
  <c r="AV295" i="30" s="1"/>
  <c r="E360" i="16" s="1"/>
  <c r="AM295" i="30"/>
  <c r="BH295" i="30" s="1"/>
  <c r="Q360" i="16" s="1"/>
  <c r="AF295" i="30"/>
  <c r="BA295" i="30" s="1"/>
  <c r="J360" i="16" s="1"/>
  <c r="AH295" i="30"/>
  <c r="BC295" i="30" s="1"/>
  <c r="L360" i="16" s="1"/>
  <c r="AK295" i="30"/>
  <c r="BF295" i="30" s="1"/>
  <c r="O360" i="16" s="1"/>
  <c r="AN295" i="30"/>
  <c r="BI295" i="30" s="1"/>
  <c r="R360" i="16" s="1"/>
  <c r="AO295" i="30"/>
  <c r="BJ295" i="30" s="1"/>
  <c r="S360" i="16" s="1"/>
  <c r="AQ295" i="30"/>
  <c r="BL295" i="30" s="1"/>
  <c r="U360" i="16" s="1"/>
  <c r="AR295" i="30"/>
  <c r="BM295" i="30" s="1"/>
  <c r="V360" i="16" s="1"/>
  <c r="Y295" i="30"/>
  <c r="AT295" i="30" s="1"/>
  <c r="C360" i="16" s="1"/>
  <c r="AE295" i="30"/>
  <c r="AZ295" i="30" s="1"/>
  <c r="I360" i="16" s="1"/>
  <c r="AB295" i="30"/>
  <c r="AW295" i="30" s="1"/>
  <c r="F360" i="16" s="1"/>
  <c r="AC295" i="30"/>
  <c r="AX295" i="30" s="1"/>
  <c r="G360" i="16" s="1"/>
  <c r="B326" i="16"/>
  <c r="AD261" i="30"/>
  <c r="AY261" i="30" s="1"/>
  <c r="H326" i="16" s="1"/>
  <c r="AP261" i="30"/>
  <c r="BK261" i="30" s="1"/>
  <c r="T326" i="16" s="1"/>
  <c r="AG261" i="30"/>
  <c r="BB261" i="30" s="1"/>
  <c r="K326" i="16" s="1"/>
  <c r="AI261" i="30"/>
  <c r="BD261" i="30" s="1"/>
  <c r="M326" i="16" s="1"/>
  <c r="AJ261" i="30"/>
  <c r="BE261" i="30" s="1"/>
  <c r="N326" i="16" s="1"/>
  <c r="Y261" i="30"/>
  <c r="AT261" i="30" s="1"/>
  <c r="C326" i="16" s="1"/>
  <c r="AK261" i="30"/>
  <c r="BF261" i="30" s="1"/>
  <c r="O326" i="16" s="1"/>
  <c r="Z261" i="30"/>
  <c r="AL261" i="30"/>
  <c r="BG261" i="30" s="1"/>
  <c r="P326" i="16" s="1"/>
  <c r="AN261" i="30"/>
  <c r="BI261" i="30" s="1"/>
  <c r="R326" i="16" s="1"/>
  <c r="AR261" i="30"/>
  <c r="BM261" i="30" s="1"/>
  <c r="V326" i="16" s="1"/>
  <c r="AA261" i="30"/>
  <c r="AV261" i="30" s="1"/>
  <c r="E326" i="16" s="1"/>
  <c r="AB261" i="30"/>
  <c r="AW261" i="30" s="1"/>
  <c r="F326" i="16" s="1"/>
  <c r="AE261" i="30"/>
  <c r="AZ261" i="30" s="1"/>
  <c r="I326" i="16" s="1"/>
  <c r="AF261" i="30"/>
  <c r="BA261" i="30" s="1"/>
  <c r="J326" i="16" s="1"/>
  <c r="AQ261" i="30"/>
  <c r="BL261" i="30" s="1"/>
  <c r="U326" i="16" s="1"/>
  <c r="AC261" i="30"/>
  <c r="AX261" i="30" s="1"/>
  <c r="G326" i="16" s="1"/>
  <c r="AH261" i="30"/>
  <c r="BC261" i="30" s="1"/>
  <c r="L326" i="16" s="1"/>
  <c r="AM261" i="30"/>
  <c r="BH261" i="30" s="1"/>
  <c r="Q326" i="16" s="1"/>
  <c r="AO261" i="30"/>
  <c r="BJ261" i="30" s="1"/>
  <c r="S326" i="16" s="1"/>
  <c r="B399" i="16"/>
  <c r="AJ334" i="30"/>
  <c r="BE334" i="30" s="1"/>
  <c r="N399" i="16" s="1"/>
  <c r="Y334" i="30"/>
  <c r="AT334" i="30" s="1"/>
  <c r="C399" i="16" s="1"/>
  <c r="AA334" i="30"/>
  <c r="AV334" i="30" s="1"/>
  <c r="E399" i="16" s="1"/>
  <c r="AD334" i="30"/>
  <c r="AY334" i="30" s="1"/>
  <c r="H399" i="16" s="1"/>
  <c r="AQ334" i="30"/>
  <c r="BL334" i="30" s="1"/>
  <c r="U399" i="16" s="1"/>
  <c r="AE334" i="30"/>
  <c r="AZ334" i="30" s="1"/>
  <c r="I399" i="16" s="1"/>
  <c r="AR334" i="30"/>
  <c r="BM334" i="30" s="1"/>
  <c r="V399" i="16" s="1"/>
  <c r="AI334" i="30"/>
  <c r="BD334" i="30" s="1"/>
  <c r="M399" i="16" s="1"/>
  <c r="AK334" i="30"/>
  <c r="BF334" i="30" s="1"/>
  <c r="O399" i="16" s="1"/>
  <c r="AL334" i="30"/>
  <c r="BG334" i="30" s="1"/>
  <c r="P399" i="16" s="1"/>
  <c r="AP334" i="30"/>
  <c r="BK334" i="30" s="1"/>
  <c r="T399" i="16" s="1"/>
  <c r="AB334" i="30"/>
  <c r="AW334" i="30" s="1"/>
  <c r="F399" i="16" s="1"/>
  <c r="AF334" i="30"/>
  <c r="BA334" i="30" s="1"/>
  <c r="J399" i="16" s="1"/>
  <c r="AM334" i="30"/>
  <c r="BH334" i="30" s="1"/>
  <c r="Q399" i="16" s="1"/>
  <c r="AN334" i="30"/>
  <c r="BI334" i="30" s="1"/>
  <c r="R399" i="16" s="1"/>
  <c r="AH334" i="30"/>
  <c r="BC334" i="30" s="1"/>
  <c r="L399" i="16" s="1"/>
  <c r="AC334" i="30"/>
  <c r="AX334" i="30" s="1"/>
  <c r="G399" i="16" s="1"/>
  <c r="Z334" i="30"/>
  <c r="AG334" i="30"/>
  <c r="BB334" i="30" s="1"/>
  <c r="K399" i="16" s="1"/>
  <c r="AO334" i="30"/>
  <c r="BJ334" i="30" s="1"/>
  <c r="S399" i="16" s="1"/>
  <c r="B328" i="16"/>
  <c r="Z263" i="30"/>
  <c r="AL263" i="30"/>
  <c r="BG263" i="30" s="1"/>
  <c r="P328" i="16" s="1"/>
  <c r="AC263" i="30"/>
  <c r="AX263" i="30" s="1"/>
  <c r="G328" i="16" s="1"/>
  <c r="AO263" i="30"/>
  <c r="BJ263" i="30" s="1"/>
  <c r="S328" i="16" s="1"/>
  <c r="AE263" i="30"/>
  <c r="AZ263" i="30" s="1"/>
  <c r="I328" i="16" s="1"/>
  <c r="AQ263" i="30"/>
  <c r="BL263" i="30" s="1"/>
  <c r="U328" i="16" s="1"/>
  <c r="AF263" i="30"/>
  <c r="BA263" i="30" s="1"/>
  <c r="J328" i="16" s="1"/>
  <c r="AR263" i="30"/>
  <c r="BM263" i="30" s="1"/>
  <c r="V328" i="16" s="1"/>
  <c r="AG263" i="30"/>
  <c r="BB263" i="30" s="1"/>
  <c r="K328" i="16" s="1"/>
  <c r="AH263" i="30"/>
  <c r="BC263" i="30" s="1"/>
  <c r="L328" i="16" s="1"/>
  <c r="AB263" i="30"/>
  <c r="AW263" i="30" s="1"/>
  <c r="F328" i="16" s="1"/>
  <c r="AI263" i="30"/>
  <c r="BD263" i="30" s="1"/>
  <c r="M328" i="16" s="1"/>
  <c r="AJ263" i="30"/>
  <c r="BE263" i="30" s="1"/>
  <c r="N328" i="16" s="1"/>
  <c r="AM263" i="30"/>
  <c r="BH263" i="30" s="1"/>
  <c r="Q328" i="16" s="1"/>
  <c r="AN263" i="30"/>
  <c r="BI263" i="30" s="1"/>
  <c r="R328" i="16" s="1"/>
  <c r="Y263" i="30"/>
  <c r="AT263" i="30" s="1"/>
  <c r="C328" i="16" s="1"/>
  <c r="AA263" i="30"/>
  <c r="AV263" i="30" s="1"/>
  <c r="E328" i="16" s="1"/>
  <c r="AD263" i="30"/>
  <c r="AY263" i="30" s="1"/>
  <c r="H328" i="16" s="1"/>
  <c r="AK263" i="30"/>
  <c r="BF263" i="30" s="1"/>
  <c r="O328" i="16" s="1"/>
  <c r="AP263" i="30"/>
  <c r="BK263" i="30" s="1"/>
  <c r="T328" i="16" s="1"/>
  <c r="AD246" i="30"/>
  <c r="AY246" i="30" s="1"/>
  <c r="H311" i="16" s="1"/>
  <c r="AP246" i="30"/>
  <c r="BK246" i="30" s="1"/>
  <c r="T311" i="16" s="1"/>
  <c r="AG246" i="30"/>
  <c r="BB246" i="30" s="1"/>
  <c r="K311" i="16" s="1"/>
  <c r="B311" i="16"/>
  <c r="AI246" i="30"/>
  <c r="BD246" i="30" s="1"/>
  <c r="M311" i="16" s="1"/>
  <c r="AJ246" i="30"/>
  <c r="BE246" i="30" s="1"/>
  <c r="N311" i="16" s="1"/>
  <c r="Y246" i="30"/>
  <c r="AT246" i="30" s="1"/>
  <c r="C311" i="16" s="1"/>
  <c r="AK246" i="30"/>
  <c r="BF246" i="30" s="1"/>
  <c r="O311" i="16" s="1"/>
  <c r="Z246" i="30"/>
  <c r="AL246" i="30"/>
  <c r="BG246" i="30" s="1"/>
  <c r="P311" i="16" s="1"/>
  <c r="AB246" i="30"/>
  <c r="AW246" i="30" s="1"/>
  <c r="F311" i="16" s="1"/>
  <c r="AF246" i="30"/>
  <c r="BA246" i="30" s="1"/>
  <c r="J311" i="16" s="1"/>
  <c r="AM246" i="30"/>
  <c r="BH246" i="30" s="1"/>
  <c r="Q311" i="16" s="1"/>
  <c r="AN246" i="30"/>
  <c r="BI246" i="30" s="1"/>
  <c r="R311" i="16" s="1"/>
  <c r="AQ246" i="30"/>
  <c r="BL246" i="30" s="1"/>
  <c r="U311" i="16" s="1"/>
  <c r="AR246" i="30"/>
  <c r="BM246" i="30" s="1"/>
  <c r="V311" i="16" s="1"/>
  <c r="AA246" i="30"/>
  <c r="AV246" i="30" s="1"/>
  <c r="E311" i="16" s="1"/>
  <c r="AC246" i="30"/>
  <c r="AX246" i="30" s="1"/>
  <c r="G311" i="16" s="1"/>
  <c r="AE246" i="30"/>
  <c r="AZ246" i="30" s="1"/>
  <c r="I311" i="16" s="1"/>
  <c r="AH246" i="30"/>
  <c r="BC246" i="30" s="1"/>
  <c r="L311" i="16" s="1"/>
  <c r="AO246" i="30"/>
  <c r="BJ246" i="30" s="1"/>
  <c r="S311" i="16" s="1"/>
  <c r="B331" i="16"/>
  <c r="Z266" i="30"/>
  <c r="AL266" i="30"/>
  <c r="BG266" i="30" s="1"/>
  <c r="P331" i="16" s="1"/>
  <c r="AC266" i="30"/>
  <c r="AX266" i="30" s="1"/>
  <c r="G331" i="16" s="1"/>
  <c r="AO266" i="30"/>
  <c r="BJ266" i="30" s="1"/>
  <c r="S331" i="16" s="1"/>
  <c r="AE266" i="30"/>
  <c r="AZ266" i="30" s="1"/>
  <c r="I331" i="16" s="1"/>
  <c r="AQ266" i="30"/>
  <c r="BL266" i="30" s="1"/>
  <c r="U331" i="16" s="1"/>
  <c r="AF266" i="30"/>
  <c r="BA266" i="30" s="1"/>
  <c r="J331" i="16" s="1"/>
  <c r="AR266" i="30"/>
  <c r="BM266" i="30" s="1"/>
  <c r="V331" i="16" s="1"/>
  <c r="AG266" i="30"/>
  <c r="BB266" i="30" s="1"/>
  <c r="K331" i="16" s="1"/>
  <c r="AH266" i="30"/>
  <c r="BC266" i="30" s="1"/>
  <c r="L331" i="16" s="1"/>
  <c r="AJ266" i="30"/>
  <c r="BE266" i="30" s="1"/>
  <c r="N331" i="16" s="1"/>
  <c r="AN266" i="30"/>
  <c r="BI266" i="30" s="1"/>
  <c r="R331" i="16" s="1"/>
  <c r="AA266" i="30"/>
  <c r="AV266" i="30" s="1"/>
  <c r="E331" i="16" s="1"/>
  <c r="AB266" i="30"/>
  <c r="AW266" i="30" s="1"/>
  <c r="F331" i="16" s="1"/>
  <c r="AM266" i="30"/>
  <c r="BH266" i="30" s="1"/>
  <c r="Q331" i="16" s="1"/>
  <c r="AP266" i="30"/>
  <c r="BK266" i="30" s="1"/>
  <c r="T331" i="16" s="1"/>
  <c r="Y266" i="30"/>
  <c r="AT266" i="30" s="1"/>
  <c r="C331" i="16" s="1"/>
  <c r="AD266" i="30"/>
  <c r="AY266" i="30" s="1"/>
  <c r="H331" i="16" s="1"/>
  <c r="AI266" i="30"/>
  <c r="BD266" i="30" s="1"/>
  <c r="M331" i="16" s="1"/>
  <c r="AK266" i="30"/>
  <c r="BF266" i="30" s="1"/>
  <c r="O331" i="16" s="1"/>
  <c r="B404" i="16"/>
  <c r="AA339" i="30"/>
  <c r="AV339" i="30" s="1"/>
  <c r="E404" i="16" s="1"/>
  <c r="AM339" i="30"/>
  <c r="BH339" i="30" s="1"/>
  <c r="Q404" i="16" s="1"/>
  <c r="AB339" i="30"/>
  <c r="AW339" i="30" s="1"/>
  <c r="F404" i="16" s="1"/>
  <c r="AN339" i="30"/>
  <c r="BI339" i="30" s="1"/>
  <c r="R404" i="16" s="1"/>
  <c r="AF339" i="30"/>
  <c r="BA339" i="30" s="1"/>
  <c r="J404" i="16" s="1"/>
  <c r="AR339" i="30"/>
  <c r="BM339" i="30" s="1"/>
  <c r="V404" i="16" s="1"/>
  <c r="AG339" i="30"/>
  <c r="BB339" i="30" s="1"/>
  <c r="K404" i="16" s="1"/>
  <c r="AH339" i="30"/>
  <c r="BC339" i="30" s="1"/>
  <c r="L404" i="16" s="1"/>
  <c r="Y339" i="30"/>
  <c r="AT339" i="30" s="1"/>
  <c r="C404" i="16" s="1"/>
  <c r="AE339" i="30"/>
  <c r="AZ339" i="30" s="1"/>
  <c r="I404" i="16" s="1"/>
  <c r="AJ339" i="30"/>
  <c r="BE339" i="30" s="1"/>
  <c r="N404" i="16" s="1"/>
  <c r="AO339" i="30"/>
  <c r="BJ339" i="30" s="1"/>
  <c r="S404" i="16" s="1"/>
  <c r="AP339" i="30"/>
  <c r="BK339" i="30" s="1"/>
  <c r="T404" i="16" s="1"/>
  <c r="AQ339" i="30"/>
  <c r="BL339" i="30" s="1"/>
  <c r="U404" i="16" s="1"/>
  <c r="Z339" i="30"/>
  <c r="AC339" i="30"/>
  <c r="AX339" i="30" s="1"/>
  <c r="G404" i="16" s="1"/>
  <c r="AK339" i="30"/>
  <c r="BF339" i="30" s="1"/>
  <c r="O404" i="16" s="1"/>
  <c r="AD339" i="30"/>
  <c r="AY339" i="30" s="1"/>
  <c r="H404" i="16" s="1"/>
  <c r="AI339" i="30"/>
  <c r="BD339" i="30" s="1"/>
  <c r="M404" i="16" s="1"/>
  <c r="AL339" i="30"/>
  <c r="BG339" i="30" s="1"/>
  <c r="P404" i="16" s="1"/>
  <c r="B333" i="16"/>
  <c r="AH268" i="30"/>
  <c r="BC268" i="30" s="1"/>
  <c r="L333" i="16" s="1"/>
  <c r="Y268" i="30"/>
  <c r="AT268" i="30" s="1"/>
  <c r="C333" i="16" s="1"/>
  <c r="AK268" i="30"/>
  <c r="BF268" i="30" s="1"/>
  <c r="O333" i="16" s="1"/>
  <c r="AA268" i="30"/>
  <c r="AV268" i="30" s="1"/>
  <c r="E333" i="16" s="1"/>
  <c r="AM268" i="30"/>
  <c r="BH268" i="30" s="1"/>
  <c r="Q333" i="16" s="1"/>
  <c r="AB268" i="30"/>
  <c r="AW268" i="30" s="1"/>
  <c r="F333" i="16" s="1"/>
  <c r="AN268" i="30"/>
  <c r="BI268" i="30" s="1"/>
  <c r="R333" i="16" s="1"/>
  <c r="AC268" i="30"/>
  <c r="AX268" i="30" s="1"/>
  <c r="G333" i="16" s="1"/>
  <c r="AO268" i="30"/>
  <c r="BJ268" i="30" s="1"/>
  <c r="S333" i="16" s="1"/>
  <c r="AD268" i="30"/>
  <c r="AY268" i="30" s="1"/>
  <c r="H333" i="16" s="1"/>
  <c r="AP268" i="30"/>
  <c r="BK268" i="30" s="1"/>
  <c r="T333" i="16" s="1"/>
  <c r="AR268" i="30"/>
  <c r="BM268" i="30" s="1"/>
  <c r="V333" i="16" s="1"/>
  <c r="AE268" i="30"/>
  <c r="AZ268" i="30" s="1"/>
  <c r="I333" i="16" s="1"/>
  <c r="AF268" i="30"/>
  <c r="BA268" i="30" s="1"/>
  <c r="J333" i="16" s="1"/>
  <c r="AI268" i="30"/>
  <c r="BD268" i="30" s="1"/>
  <c r="M333" i="16" s="1"/>
  <c r="AJ268" i="30"/>
  <c r="BE268" i="30" s="1"/>
  <c r="N333" i="16" s="1"/>
  <c r="Z268" i="30"/>
  <c r="AG268" i="30"/>
  <c r="BB268" i="30" s="1"/>
  <c r="K333" i="16" s="1"/>
  <c r="AL268" i="30"/>
  <c r="BG268" i="30" s="1"/>
  <c r="P333" i="16" s="1"/>
  <c r="AQ268" i="30"/>
  <c r="BL268" i="30" s="1"/>
  <c r="U333" i="16" s="1"/>
  <c r="B405" i="16"/>
  <c r="AF340" i="30"/>
  <c r="BA340" i="30" s="1"/>
  <c r="J405" i="16" s="1"/>
  <c r="AR340" i="30"/>
  <c r="BM340" i="30" s="1"/>
  <c r="V405" i="16" s="1"/>
  <c r="AG340" i="30"/>
  <c r="BB340" i="30" s="1"/>
  <c r="K405" i="16" s="1"/>
  <c r="AK340" i="30"/>
  <c r="BF340" i="30" s="1"/>
  <c r="O405" i="16" s="1"/>
  <c r="Y340" i="30"/>
  <c r="AT340" i="30" s="1"/>
  <c r="C405" i="16" s="1"/>
  <c r="AL340" i="30"/>
  <c r="BG340" i="30" s="1"/>
  <c r="P405" i="16" s="1"/>
  <c r="Z340" i="30"/>
  <c r="AM340" i="30"/>
  <c r="BH340" i="30" s="1"/>
  <c r="Q405" i="16" s="1"/>
  <c r="AA340" i="30"/>
  <c r="AV340" i="30" s="1"/>
  <c r="E405" i="16" s="1"/>
  <c r="AH340" i="30"/>
  <c r="BC340" i="30" s="1"/>
  <c r="L405" i="16" s="1"/>
  <c r="AJ340" i="30"/>
  <c r="BE340" i="30" s="1"/>
  <c r="N405" i="16" s="1"/>
  <c r="AP340" i="30"/>
  <c r="BK340" i="30" s="1"/>
  <c r="T405" i="16" s="1"/>
  <c r="AQ340" i="30"/>
  <c r="BL340" i="30" s="1"/>
  <c r="U405" i="16" s="1"/>
  <c r="AI340" i="30"/>
  <c r="BD340" i="30" s="1"/>
  <c r="M405" i="16" s="1"/>
  <c r="AO340" i="30"/>
  <c r="BJ340" i="30" s="1"/>
  <c r="S405" i="16" s="1"/>
  <c r="AB340" i="30"/>
  <c r="AW340" i="30" s="1"/>
  <c r="F405" i="16" s="1"/>
  <c r="AC340" i="30"/>
  <c r="AX340" i="30" s="1"/>
  <c r="G405" i="16" s="1"/>
  <c r="AD340" i="30"/>
  <c r="AY340" i="30" s="1"/>
  <c r="H405" i="16" s="1"/>
  <c r="AN340" i="30"/>
  <c r="BI340" i="30" s="1"/>
  <c r="R405" i="16" s="1"/>
  <c r="B334" i="16"/>
  <c r="Z269" i="30"/>
  <c r="AL269" i="30"/>
  <c r="BG269" i="30" s="1"/>
  <c r="P334" i="16" s="1"/>
  <c r="AC269" i="30"/>
  <c r="AX269" i="30" s="1"/>
  <c r="G334" i="16" s="1"/>
  <c r="AO269" i="30"/>
  <c r="BJ269" i="30" s="1"/>
  <c r="S334" i="16" s="1"/>
  <c r="AE269" i="30"/>
  <c r="AZ269" i="30" s="1"/>
  <c r="I334" i="16" s="1"/>
  <c r="AQ269" i="30"/>
  <c r="BL269" i="30" s="1"/>
  <c r="U334" i="16" s="1"/>
  <c r="AF269" i="30"/>
  <c r="BA269" i="30" s="1"/>
  <c r="J334" i="16" s="1"/>
  <c r="AR269" i="30"/>
  <c r="BM269" i="30" s="1"/>
  <c r="V334" i="16" s="1"/>
  <c r="AG269" i="30"/>
  <c r="BB269" i="30" s="1"/>
  <c r="K334" i="16" s="1"/>
  <c r="AH269" i="30"/>
  <c r="BC269" i="30" s="1"/>
  <c r="L334" i="16" s="1"/>
  <c r="AB269" i="30"/>
  <c r="AW269" i="30" s="1"/>
  <c r="F334" i="16" s="1"/>
  <c r="AI269" i="30"/>
  <c r="BD269" i="30" s="1"/>
  <c r="M334" i="16" s="1"/>
  <c r="AJ269" i="30"/>
  <c r="BE269" i="30" s="1"/>
  <c r="N334" i="16" s="1"/>
  <c r="AM269" i="30"/>
  <c r="BH269" i="30" s="1"/>
  <c r="Q334" i="16" s="1"/>
  <c r="AN269" i="30"/>
  <c r="BI269" i="30" s="1"/>
  <c r="R334" i="16" s="1"/>
  <c r="AA269" i="30"/>
  <c r="AV269" i="30" s="1"/>
  <c r="E334" i="16" s="1"/>
  <c r="AD269" i="30"/>
  <c r="AY269" i="30" s="1"/>
  <c r="H334" i="16" s="1"/>
  <c r="AK269" i="30"/>
  <c r="BF269" i="30" s="1"/>
  <c r="O334" i="16" s="1"/>
  <c r="AP269" i="30"/>
  <c r="BK269" i="30" s="1"/>
  <c r="T334" i="16" s="1"/>
  <c r="Y269" i="30"/>
  <c r="AT269" i="30" s="1"/>
  <c r="C334" i="16" s="1"/>
  <c r="B406" i="16"/>
  <c r="AJ341" i="30"/>
  <c r="BE341" i="30" s="1"/>
  <c r="N406" i="16" s="1"/>
  <c r="Y341" i="30"/>
  <c r="AT341" i="30" s="1"/>
  <c r="C406" i="16" s="1"/>
  <c r="AK341" i="30"/>
  <c r="BF341" i="30" s="1"/>
  <c r="O406" i="16" s="1"/>
  <c r="AC341" i="30"/>
  <c r="AX341" i="30" s="1"/>
  <c r="G406" i="16" s="1"/>
  <c r="AO341" i="30"/>
  <c r="BJ341" i="30" s="1"/>
  <c r="S406" i="16" s="1"/>
  <c r="AD341" i="30"/>
  <c r="AY341" i="30" s="1"/>
  <c r="H406" i="16" s="1"/>
  <c r="AP341" i="30"/>
  <c r="BK341" i="30" s="1"/>
  <c r="T406" i="16" s="1"/>
  <c r="AE341" i="30"/>
  <c r="AZ341" i="30" s="1"/>
  <c r="I406" i="16" s="1"/>
  <c r="AQ341" i="30"/>
  <c r="BL341" i="30" s="1"/>
  <c r="U406" i="16" s="1"/>
  <c r="AA341" i="30"/>
  <c r="AV341" i="30" s="1"/>
  <c r="E406" i="16" s="1"/>
  <c r="AH341" i="30"/>
  <c r="BC341" i="30" s="1"/>
  <c r="L406" i="16" s="1"/>
  <c r="AL341" i="30"/>
  <c r="BG341" i="30" s="1"/>
  <c r="P406" i="16" s="1"/>
  <c r="AR341" i="30"/>
  <c r="BM341" i="30" s="1"/>
  <c r="V406" i="16" s="1"/>
  <c r="AM341" i="30"/>
  <c r="BH341" i="30" s="1"/>
  <c r="Q406" i="16" s="1"/>
  <c r="Z341" i="30"/>
  <c r="AG341" i="30"/>
  <c r="BB341" i="30" s="1"/>
  <c r="K406" i="16" s="1"/>
  <c r="AB341" i="30"/>
  <c r="AW341" i="30" s="1"/>
  <c r="F406" i="16" s="1"/>
  <c r="AF341" i="30"/>
  <c r="BA341" i="30" s="1"/>
  <c r="J406" i="16" s="1"/>
  <c r="AI341" i="30"/>
  <c r="BD341" i="30" s="1"/>
  <c r="M406" i="16" s="1"/>
  <c r="AN341" i="30"/>
  <c r="BI341" i="30" s="1"/>
  <c r="R406" i="16" s="1"/>
  <c r="B317" i="16"/>
  <c r="AD252" i="30"/>
  <c r="AY252" i="30" s="1"/>
  <c r="H317" i="16" s="1"/>
  <c r="AP252" i="30"/>
  <c r="BK252" i="30" s="1"/>
  <c r="T317" i="16" s="1"/>
  <c r="AG252" i="30"/>
  <c r="BB252" i="30" s="1"/>
  <c r="K317" i="16" s="1"/>
  <c r="AI252" i="30"/>
  <c r="BD252" i="30" s="1"/>
  <c r="M317" i="16" s="1"/>
  <c r="AJ252" i="30"/>
  <c r="BE252" i="30" s="1"/>
  <c r="N317" i="16" s="1"/>
  <c r="Y252" i="30"/>
  <c r="AT252" i="30" s="1"/>
  <c r="C317" i="16" s="1"/>
  <c r="AK252" i="30"/>
  <c r="BF252" i="30" s="1"/>
  <c r="O317" i="16" s="1"/>
  <c r="Z252" i="30"/>
  <c r="AL252" i="30"/>
  <c r="BG252" i="30" s="1"/>
  <c r="P317" i="16" s="1"/>
  <c r="AB252" i="30"/>
  <c r="AW252" i="30" s="1"/>
  <c r="F317" i="16" s="1"/>
  <c r="AF252" i="30"/>
  <c r="BA252" i="30" s="1"/>
  <c r="J317" i="16" s="1"/>
  <c r="AM252" i="30"/>
  <c r="BH252" i="30" s="1"/>
  <c r="Q317" i="16" s="1"/>
  <c r="AN252" i="30"/>
  <c r="BI252" i="30" s="1"/>
  <c r="R317" i="16" s="1"/>
  <c r="AQ252" i="30"/>
  <c r="BL252" i="30" s="1"/>
  <c r="U317" i="16" s="1"/>
  <c r="AR252" i="30"/>
  <c r="BM252" i="30" s="1"/>
  <c r="V317" i="16" s="1"/>
  <c r="AE252" i="30"/>
  <c r="AZ252" i="30" s="1"/>
  <c r="I317" i="16" s="1"/>
  <c r="AH252" i="30"/>
  <c r="BC252" i="30" s="1"/>
  <c r="L317" i="16" s="1"/>
  <c r="AO252" i="30"/>
  <c r="BJ252" i="30" s="1"/>
  <c r="S317" i="16" s="1"/>
  <c r="AA252" i="30"/>
  <c r="AV252" i="30" s="1"/>
  <c r="E317" i="16" s="1"/>
  <c r="AC252" i="30"/>
  <c r="AX252" i="30" s="1"/>
  <c r="G317" i="16" s="1"/>
  <c r="B389" i="16"/>
  <c r="AF324" i="30"/>
  <c r="BA324" i="30" s="1"/>
  <c r="J389" i="16" s="1"/>
  <c r="AR324" i="30"/>
  <c r="BM324" i="30" s="1"/>
  <c r="V389" i="16" s="1"/>
  <c r="AG324" i="30"/>
  <c r="BB324" i="30" s="1"/>
  <c r="K389" i="16" s="1"/>
  <c r="AI324" i="30"/>
  <c r="BD324" i="30" s="1"/>
  <c r="M389" i="16" s="1"/>
  <c r="Z324" i="30"/>
  <c r="AL324" i="30"/>
  <c r="BG324" i="30" s="1"/>
  <c r="P389" i="16" s="1"/>
  <c r="AE324" i="30"/>
  <c r="AZ324" i="30" s="1"/>
  <c r="I389" i="16" s="1"/>
  <c r="AH324" i="30"/>
  <c r="BC324" i="30" s="1"/>
  <c r="L389" i="16" s="1"/>
  <c r="AN324" i="30"/>
  <c r="BI324" i="30" s="1"/>
  <c r="R389" i="16" s="1"/>
  <c r="AO324" i="30"/>
  <c r="BJ324" i="30" s="1"/>
  <c r="S389" i="16" s="1"/>
  <c r="Y324" i="30"/>
  <c r="AT324" i="30" s="1"/>
  <c r="C389" i="16" s="1"/>
  <c r="AP324" i="30"/>
  <c r="BK324" i="30" s="1"/>
  <c r="T389" i="16" s="1"/>
  <c r="AD324" i="30"/>
  <c r="AY324" i="30" s="1"/>
  <c r="H389" i="16" s="1"/>
  <c r="AQ324" i="30"/>
  <c r="BL324" i="30" s="1"/>
  <c r="U389" i="16" s="1"/>
  <c r="AA324" i="30"/>
  <c r="AV324" i="30" s="1"/>
  <c r="E389" i="16" s="1"/>
  <c r="AB324" i="30"/>
  <c r="AW324" i="30" s="1"/>
  <c r="F389" i="16" s="1"/>
  <c r="AC324" i="30"/>
  <c r="AX324" i="30" s="1"/>
  <c r="G389" i="16" s="1"/>
  <c r="AJ324" i="30"/>
  <c r="BE324" i="30" s="1"/>
  <c r="N389" i="16" s="1"/>
  <c r="AK324" i="30"/>
  <c r="BF324" i="30" s="1"/>
  <c r="O389" i="16" s="1"/>
  <c r="AM324" i="30"/>
  <c r="BH324" i="30" s="1"/>
  <c r="Q389" i="16" s="1"/>
  <c r="Z272" i="30"/>
  <c r="AL272" i="30"/>
  <c r="BG272" i="30" s="1"/>
  <c r="P337" i="16" s="1"/>
  <c r="B337" i="16"/>
  <c r="AC272" i="30"/>
  <c r="AX272" i="30" s="1"/>
  <c r="G337" i="16" s="1"/>
  <c r="AO272" i="30"/>
  <c r="BJ272" i="30" s="1"/>
  <c r="S337" i="16" s="1"/>
  <c r="AE272" i="30"/>
  <c r="AZ272" i="30" s="1"/>
  <c r="I337" i="16" s="1"/>
  <c r="AQ272" i="30"/>
  <c r="BL272" i="30" s="1"/>
  <c r="U337" i="16" s="1"/>
  <c r="AF272" i="30"/>
  <c r="BA272" i="30" s="1"/>
  <c r="J337" i="16" s="1"/>
  <c r="AR272" i="30"/>
  <c r="BM272" i="30" s="1"/>
  <c r="V337" i="16" s="1"/>
  <c r="AG272" i="30"/>
  <c r="BB272" i="30" s="1"/>
  <c r="K337" i="16" s="1"/>
  <c r="AH272" i="30"/>
  <c r="BC272" i="30" s="1"/>
  <c r="L337" i="16" s="1"/>
  <c r="AJ272" i="30"/>
  <c r="BE272" i="30" s="1"/>
  <c r="N337" i="16" s="1"/>
  <c r="AN272" i="30"/>
  <c r="BI272" i="30" s="1"/>
  <c r="R337" i="16" s="1"/>
  <c r="AA272" i="30"/>
  <c r="AV272" i="30" s="1"/>
  <c r="E337" i="16" s="1"/>
  <c r="AB272" i="30"/>
  <c r="AW272" i="30" s="1"/>
  <c r="F337" i="16" s="1"/>
  <c r="Y272" i="30"/>
  <c r="AT272" i="30" s="1"/>
  <c r="C337" i="16" s="1"/>
  <c r="AD272" i="30"/>
  <c r="AY272" i="30" s="1"/>
  <c r="H337" i="16" s="1"/>
  <c r="AI272" i="30"/>
  <c r="BD272" i="30" s="1"/>
  <c r="M337" i="16" s="1"/>
  <c r="AK272" i="30"/>
  <c r="BF272" i="30" s="1"/>
  <c r="O337" i="16" s="1"/>
  <c r="AM272" i="30"/>
  <c r="BH272" i="30" s="1"/>
  <c r="Q337" i="16" s="1"/>
  <c r="AP272" i="30"/>
  <c r="BK272" i="30" s="1"/>
  <c r="T337" i="16" s="1"/>
  <c r="B409" i="16"/>
  <c r="AJ344" i="30"/>
  <c r="Y344" i="30"/>
  <c r="AT344" i="30" s="1"/>
  <c r="C409" i="16" s="1"/>
  <c r="AK344" i="30"/>
  <c r="AC344" i="30"/>
  <c r="AO344" i="30"/>
  <c r="AD344" i="30"/>
  <c r="AP344" i="30"/>
  <c r="AE344" i="30"/>
  <c r="AQ344" i="30"/>
  <c r="AB344" i="30"/>
  <c r="AI344" i="30"/>
  <c r="AM344" i="30"/>
  <c r="Z344" i="30"/>
  <c r="AA344" i="30"/>
  <c r="AG344" i="30"/>
  <c r="AH344" i="30"/>
  <c r="AR344" i="30"/>
  <c r="AF344" i="30"/>
  <c r="AL344" i="30"/>
  <c r="AN344" i="30"/>
  <c r="B338" i="16"/>
  <c r="AD273" i="30"/>
  <c r="AY273" i="30" s="1"/>
  <c r="H338" i="16" s="1"/>
  <c r="AP273" i="30"/>
  <c r="BK273" i="30" s="1"/>
  <c r="T338" i="16" s="1"/>
  <c r="AG273" i="30"/>
  <c r="BB273" i="30" s="1"/>
  <c r="K338" i="16" s="1"/>
  <c r="AI273" i="30"/>
  <c r="BD273" i="30" s="1"/>
  <c r="M338" i="16" s="1"/>
  <c r="AJ273" i="30"/>
  <c r="BE273" i="30" s="1"/>
  <c r="N338" i="16" s="1"/>
  <c r="Y273" i="30"/>
  <c r="AT273" i="30" s="1"/>
  <c r="C338" i="16" s="1"/>
  <c r="AK273" i="30"/>
  <c r="BF273" i="30" s="1"/>
  <c r="O338" i="16" s="1"/>
  <c r="Z273" i="30"/>
  <c r="AL273" i="30"/>
  <c r="BG273" i="30" s="1"/>
  <c r="P338" i="16" s="1"/>
  <c r="AN273" i="30"/>
  <c r="BI273" i="30" s="1"/>
  <c r="R338" i="16" s="1"/>
  <c r="AR273" i="30"/>
  <c r="BM273" i="30" s="1"/>
  <c r="V338" i="16" s="1"/>
  <c r="AA273" i="30"/>
  <c r="AV273" i="30" s="1"/>
  <c r="E338" i="16" s="1"/>
  <c r="AB273" i="30"/>
  <c r="AW273" i="30" s="1"/>
  <c r="F338" i="16" s="1"/>
  <c r="AE273" i="30"/>
  <c r="AZ273" i="30" s="1"/>
  <c r="I338" i="16" s="1"/>
  <c r="AF273" i="30"/>
  <c r="BA273" i="30" s="1"/>
  <c r="J338" i="16" s="1"/>
  <c r="AQ273" i="30"/>
  <c r="BL273" i="30" s="1"/>
  <c r="U338" i="16" s="1"/>
  <c r="AC273" i="30"/>
  <c r="AX273" i="30" s="1"/>
  <c r="G338" i="16" s="1"/>
  <c r="AH273" i="30"/>
  <c r="BC273" i="30" s="1"/>
  <c r="L338" i="16" s="1"/>
  <c r="AM273" i="30"/>
  <c r="BH273" i="30" s="1"/>
  <c r="Q338" i="16" s="1"/>
  <c r="AO273" i="30"/>
  <c r="BJ273" i="30" s="1"/>
  <c r="S338" i="16" s="1"/>
  <c r="B410" i="16"/>
  <c r="AB345" i="30"/>
  <c r="AW345" i="30" s="1"/>
  <c r="F410" i="16" s="1"/>
  <c r="AN345" i="30"/>
  <c r="BI345" i="30" s="1"/>
  <c r="R410" i="16" s="1"/>
  <c r="AC345" i="30"/>
  <c r="AX345" i="30" s="1"/>
  <c r="G410" i="16" s="1"/>
  <c r="AO345" i="30"/>
  <c r="BJ345" i="30" s="1"/>
  <c r="S410" i="16" s="1"/>
  <c r="AG345" i="30"/>
  <c r="BB345" i="30" s="1"/>
  <c r="K410" i="16" s="1"/>
  <c r="AH345" i="30"/>
  <c r="BC345" i="30" s="1"/>
  <c r="L410" i="16" s="1"/>
  <c r="AI345" i="30"/>
  <c r="BD345" i="30" s="1"/>
  <c r="M410" i="16" s="1"/>
  <c r="AD345" i="30"/>
  <c r="AY345" i="30" s="1"/>
  <c r="H410" i="16" s="1"/>
  <c r="AK345" i="30"/>
  <c r="BF345" i="30" s="1"/>
  <c r="O410" i="16" s="1"/>
  <c r="AM345" i="30"/>
  <c r="BH345" i="30" s="1"/>
  <c r="Q410" i="16" s="1"/>
  <c r="Y345" i="30"/>
  <c r="AT345" i="30" s="1"/>
  <c r="C410" i="16" s="1"/>
  <c r="AR345" i="30"/>
  <c r="BM345" i="30" s="1"/>
  <c r="V410" i="16" s="1"/>
  <c r="Z345" i="30"/>
  <c r="AE345" i="30"/>
  <c r="AZ345" i="30" s="1"/>
  <c r="I410" i="16" s="1"/>
  <c r="AP345" i="30"/>
  <c r="BK345" i="30" s="1"/>
  <c r="T410" i="16" s="1"/>
  <c r="AA345" i="30"/>
  <c r="AV345" i="30" s="1"/>
  <c r="E410" i="16" s="1"/>
  <c r="AF345" i="30"/>
  <c r="BA345" i="30" s="1"/>
  <c r="J410" i="16" s="1"/>
  <c r="AJ345" i="30"/>
  <c r="BE345" i="30" s="1"/>
  <c r="N410" i="16" s="1"/>
  <c r="AL345" i="30"/>
  <c r="BG345" i="30" s="1"/>
  <c r="P410" i="16" s="1"/>
  <c r="AQ345" i="30"/>
  <c r="BL345" i="30" s="1"/>
  <c r="U410" i="16" s="1"/>
  <c r="B444" i="16"/>
  <c r="AG379" i="30"/>
  <c r="BB379" i="30" s="1"/>
  <c r="K444" i="16" s="1"/>
  <c r="Y379" i="30"/>
  <c r="AT379" i="30" s="1"/>
  <c r="C444" i="16" s="1"/>
  <c r="AK379" i="30"/>
  <c r="BF379" i="30" s="1"/>
  <c r="O444" i="16" s="1"/>
  <c r="AA379" i="30"/>
  <c r="AV379" i="30" s="1"/>
  <c r="E444" i="16" s="1"/>
  <c r="AM379" i="30"/>
  <c r="BH379" i="30" s="1"/>
  <c r="Q444" i="16" s="1"/>
  <c r="AD379" i="30"/>
  <c r="AY379" i="30" s="1"/>
  <c r="H444" i="16" s="1"/>
  <c r="AP379" i="30"/>
  <c r="BK379" i="30" s="1"/>
  <c r="T444" i="16" s="1"/>
  <c r="AE379" i="30"/>
  <c r="AZ379" i="30" s="1"/>
  <c r="I444" i="16" s="1"/>
  <c r="AQ379" i="30"/>
  <c r="BL379" i="30" s="1"/>
  <c r="U444" i="16" s="1"/>
  <c r="AC379" i="30"/>
  <c r="AX379" i="30" s="1"/>
  <c r="G444" i="16" s="1"/>
  <c r="AI379" i="30"/>
  <c r="BD379" i="30" s="1"/>
  <c r="M444" i="16" s="1"/>
  <c r="AN379" i="30"/>
  <c r="BI379" i="30" s="1"/>
  <c r="R444" i="16" s="1"/>
  <c r="AR379" i="30"/>
  <c r="BM379" i="30" s="1"/>
  <c r="V444" i="16" s="1"/>
  <c r="Z379" i="30"/>
  <c r="AB379" i="30"/>
  <c r="AW379" i="30" s="1"/>
  <c r="F444" i="16" s="1"/>
  <c r="AJ379" i="30"/>
  <c r="BE379" i="30" s="1"/>
  <c r="N444" i="16" s="1"/>
  <c r="AF379" i="30"/>
  <c r="BA379" i="30" s="1"/>
  <c r="J444" i="16" s="1"/>
  <c r="AH379" i="30"/>
  <c r="BC379" i="30" s="1"/>
  <c r="L444" i="16" s="1"/>
  <c r="AL379" i="30"/>
  <c r="BG379" i="30" s="1"/>
  <c r="P444" i="16" s="1"/>
  <c r="AO379" i="30"/>
  <c r="BJ379" i="30" s="1"/>
  <c r="S444" i="16" s="1"/>
  <c r="B384" i="16"/>
  <c r="AI319" i="30"/>
  <c r="BD319" i="30" s="1"/>
  <c r="M384" i="16" s="1"/>
  <c r="AJ319" i="30"/>
  <c r="BE319" i="30" s="1"/>
  <c r="N384" i="16" s="1"/>
  <c r="Y319" i="30"/>
  <c r="AT319" i="30" s="1"/>
  <c r="C384" i="16" s="1"/>
  <c r="AK319" i="30"/>
  <c r="BF319" i="30" s="1"/>
  <c r="O384" i="16" s="1"/>
  <c r="Z319" i="30"/>
  <c r="AL319" i="30"/>
  <c r="BG319" i="30" s="1"/>
  <c r="P384" i="16" s="1"/>
  <c r="AA319" i="30"/>
  <c r="AV319" i="30" s="1"/>
  <c r="E384" i="16" s="1"/>
  <c r="AM319" i="30"/>
  <c r="BH319" i="30" s="1"/>
  <c r="Q384" i="16" s="1"/>
  <c r="AB319" i="30"/>
  <c r="AW319" i="30" s="1"/>
  <c r="F384" i="16" s="1"/>
  <c r="AN319" i="30"/>
  <c r="BI319" i="30" s="1"/>
  <c r="R384" i="16" s="1"/>
  <c r="AD319" i="30"/>
  <c r="AY319" i="30" s="1"/>
  <c r="H384" i="16" s="1"/>
  <c r="AP319" i="30"/>
  <c r="BK319" i="30" s="1"/>
  <c r="T384" i="16" s="1"/>
  <c r="AF319" i="30"/>
  <c r="BA319" i="30" s="1"/>
  <c r="J384" i="16" s="1"/>
  <c r="AG319" i="30"/>
  <c r="BB319" i="30" s="1"/>
  <c r="K384" i="16" s="1"/>
  <c r="AR319" i="30"/>
  <c r="BM319" i="30" s="1"/>
  <c r="V384" i="16" s="1"/>
  <c r="AC319" i="30"/>
  <c r="AX319" i="30" s="1"/>
  <c r="G384" i="16" s="1"/>
  <c r="AQ319" i="30"/>
  <c r="BL319" i="30" s="1"/>
  <c r="U384" i="16" s="1"/>
  <c r="AE319" i="30"/>
  <c r="AZ319" i="30" s="1"/>
  <c r="I384" i="16" s="1"/>
  <c r="AO319" i="30"/>
  <c r="BJ319" i="30" s="1"/>
  <c r="S384" i="16" s="1"/>
  <c r="AH319" i="30"/>
  <c r="BC319" i="30" s="1"/>
  <c r="L384" i="16" s="1"/>
  <c r="AT342" i="30"/>
  <c r="C407" i="16" s="1"/>
  <c r="I405" i="16"/>
  <c r="B291" i="16"/>
  <c r="B273" i="16"/>
  <c r="B261" i="16"/>
  <c r="B243" i="16"/>
  <c r="B225" i="16"/>
  <c r="B207" i="16"/>
  <c r="B195" i="16"/>
  <c r="B177" i="16"/>
  <c r="B165" i="16"/>
  <c r="B153" i="16"/>
  <c r="B141" i="16"/>
  <c r="B290" i="16"/>
  <c r="B284" i="16"/>
  <c r="B278" i="16"/>
  <c r="B272" i="16"/>
  <c r="B266" i="16"/>
  <c r="B260" i="16"/>
  <c r="B254" i="16"/>
  <c r="B242" i="16"/>
  <c r="B236" i="16"/>
  <c r="B230" i="16"/>
  <c r="B224" i="16"/>
  <c r="B218" i="16"/>
  <c r="B212" i="16"/>
  <c r="B206" i="16"/>
  <c r="B200" i="16"/>
  <c r="B194" i="16"/>
  <c r="B188" i="16"/>
  <c r="B182" i="16"/>
  <c r="B176" i="16"/>
  <c r="B170" i="16"/>
  <c r="B164" i="16"/>
  <c r="B158" i="16"/>
  <c r="B152" i="16"/>
  <c r="B146" i="16"/>
  <c r="B140" i="16"/>
  <c r="B134" i="16"/>
  <c r="B279" i="16"/>
  <c r="B255" i="16"/>
  <c r="B231" i="16"/>
  <c r="B213" i="16"/>
  <c r="B189" i="16"/>
  <c r="B135" i="16"/>
  <c r="B289" i="16"/>
  <c r="B283" i="16"/>
  <c r="B277" i="16"/>
  <c r="B271" i="16"/>
  <c r="B265" i="16"/>
  <c r="B259" i="16"/>
  <c r="B253" i="16"/>
  <c r="B247" i="16"/>
  <c r="B241" i="16"/>
  <c r="B235" i="16"/>
  <c r="B229" i="16"/>
  <c r="B223" i="16"/>
  <c r="B217" i="16"/>
  <c r="B211" i="16"/>
  <c r="B205" i="16"/>
  <c r="B199" i="16"/>
  <c r="B193" i="16"/>
  <c r="B187" i="16"/>
  <c r="B181" i="16"/>
  <c r="B175" i="16"/>
  <c r="B169" i="16"/>
  <c r="B163" i="16"/>
  <c r="B157" i="16"/>
  <c r="B151" i="16"/>
  <c r="B145" i="16"/>
  <c r="B139" i="16"/>
  <c r="B294" i="16"/>
  <c r="B282" i="16"/>
  <c r="B270" i="16"/>
  <c r="B258" i="16"/>
  <c r="B246" i="16"/>
  <c r="B234" i="16"/>
  <c r="B222" i="16"/>
  <c r="B210" i="16"/>
  <c r="B198" i="16"/>
  <c r="B192" i="16"/>
  <c r="B180" i="16"/>
  <c r="B174" i="16"/>
  <c r="B168" i="16"/>
  <c r="B162" i="16"/>
  <c r="B156" i="16"/>
  <c r="B150" i="16"/>
  <c r="B144" i="16"/>
  <c r="B138" i="16"/>
  <c r="B288" i="16"/>
  <c r="B276" i="16"/>
  <c r="B264" i="16"/>
  <c r="B252" i="16"/>
  <c r="B240" i="16"/>
  <c r="B228" i="16"/>
  <c r="B216" i="16"/>
  <c r="B204" i="16"/>
  <c r="B186" i="16"/>
  <c r="B293" i="16"/>
  <c r="B287" i="16"/>
  <c r="B281" i="16"/>
  <c r="B275" i="16"/>
  <c r="B269" i="16"/>
  <c r="B263" i="16"/>
  <c r="B257" i="16"/>
  <c r="B251" i="16"/>
  <c r="B245" i="16"/>
  <c r="B239" i="16"/>
  <c r="B233" i="16"/>
  <c r="B227" i="16"/>
  <c r="B221" i="16"/>
  <c r="B215" i="16"/>
  <c r="B209" i="16"/>
  <c r="B203" i="16"/>
  <c r="B197" i="16"/>
  <c r="B191" i="16"/>
  <c r="B185" i="16"/>
  <c r="B179" i="16"/>
  <c r="B173" i="16"/>
  <c r="B167" i="16"/>
  <c r="B161" i="16"/>
  <c r="B155" i="16"/>
  <c r="B149" i="16"/>
  <c r="B143" i="16"/>
  <c r="B137" i="16"/>
  <c r="B292" i="16"/>
  <c r="B286" i="16"/>
  <c r="B280" i="16"/>
  <c r="B274" i="16"/>
  <c r="B268" i="16"/>
  <c r="B262" i="16"/>
  <c r="B256" i="16"/>
  <c r="B250" i="16"/>
  <c r="B244" i="16"/>
  <c r="B238" i="16"/>
  <c r="B232" i="16"/>
  <c r="B226" i="16"/>
  <c r="B220" i="16"/>
  <c r="B214" i="16"/>
  <c r="B208" i="16"/>
  <c r="B202" i="16"/>
  <c r="B196" i="16"/>
  <c r="B190" i="16"/>
  <c r="B184" i="16"/>
  <c r="B178" i="16"/>
  <c r="B172" i="16"/>
  <c r="B166" i="16"/>
  <c r="B160" i="16"/>
  <c r="B154" i="16"/>
  <c r="B148" i="16"/>
  <c r="B142" i="16"/>
  <c r="B136" i="16"/>
  <c r="B285" i="16"/>
  <c r="B267" i="16"/>
  <c r="B249" i="16"/>
  <c r="B237" i="16"/>
  <c r="B219" i="16"/>
  <c r="B201" i="16"/>
  <c r="B183" i="16"/>
  <c r="B171" i="16"/>
  <c r="B159" i="16"/>
  <c r="B147" i="16"/>
  <c r="B248" i="16"/>
  <c r="B133" i="16"/>
  <c r="B129" i="16" l="1"/>
  <c r="Z64" i="30"/>
  <c r="AL64" i="30"/>
  <c r="BG64" i="30" s="1"/>
  <c r="P129" i="16" s="1"/>
  <c r="AE64" i="30"/>
  <c r="AZ64" i="30" s="1"/>
  <c r="I129" i="16" s="1"/>
  <c r="AQ64" i="30"/>
  <c r="BL64" i="30" s="1"/>
  <c r="U129" i="16" s="1"/>
  <c r="AF64" i="30"/>
  <c r="BA64" i="30" s="1"/>
  <c r="J129" i="16" s="1"/>
  <c r="AR64" i="30"/>
  <c r="BM64" i="30" s="1"/>
  <c r="V129" i="16" s="1"/>
  <c r="AN64" i="30"/>
  <c r="BI64" i="30" s="1"/>
  <c r="R129" i="16" s="1"/>
  <c r="AB64" i="30"/>
  <c r="AW64" i="30" s="1"/>
  <c r="F129" i="16" s="1"/>
  <c r="AG64" i="30"/>
  <c r="BB64" i="30" s="1"/>
  <c r="K129" i="16" s="1"/>
  <c r="AO64" i="30"/>
  <c r="BJ64" i="30" s="1"/>
  <c r="S129" i="16" s="1"/>
  <c r="AP64" i="30"/>
  <c r="BK64" i="30" s="1"/>
  <c r="T129" i="16" s="1"/>
  <c r="AA64" i="30"/>
  <c r="AV64" i="30" s="1"/>
  <c r="E129" i="16" s="1"/>
  <c r="AC64" i="30"/>
  <c r="AX64" i="30" s="1"/>
  <c r="G129" i="16" s="1"/>
  <c r="AJ64" i="30"/>
  <c r="BE64" i="30" s="1"/>
  <c r="N129" i="16" s="1"/>
  <c r="AD64" i="30"/>
  <c r="AY64" i="30" s="1"/>
  <c r="H129" i="16" s="1"/>
  <c r="AH64" i="30"/>
  <c r="BC64" i="30" s="1"/>
  <c r="L129" i="16" s="1"/>
  <c r="AI64" i="30"/>
  <c r="BD64" i="30" s="1"/>
  <c r="M129" i="16" s="1"/>
  <c r="Y64" i="30"/>
  <c r="AT64" i="30" s="1"/>
  <c r="C129" i="16" s="1"/>
  <c r="AK64" i="30"/>
  <c r="BF64" i="30" s="1"/>
  <c r="O129" i="16" s="1"/>
  <c r="AM64" i="30"/>
  <c r="BH64" i="30" s="1"/>
  <c r="Q129" i="16" s="1"/>
  <c r="B121" i="16"/>
  <c r="AD56" i="30"/>
  <c r="AY56" i="30" s="1"/>
  <c r="H121" i="16" s="1"/>
  <c r="AP56" i="30"/>
  <c r="BK56" i="30" s="1"/>
  <c r="T121" i="16" s="1"/>
  <c r="AI56" i="30"/>
  <c r="BD56" i="30" s="1"/>
  <c r="M121" i="16" s="1"/>
  <c r="AJ56" i="30"/>
  <c r="BE56" i="30" s="1"/>
  <c r="N121" i="16" s="1"/>
  <c r="Y56" i="30"/>
  <c r="AT56" i="30" s="1"/>
  <c r="C121" i="16" s="1"/>
  <c r="AN56" i="30"/>
  <c r="BI56" i="30" s="1"/>
  <c r="R121" i="16" s="1"/>
  <c r="AB56" i="30"/>
  <c r="AW56" i="30" s="1"/>
  <c r="F121" i="16" s="1"/>
  <c r="AR56" i="30"/>
  <c r="BM56" i="30" s="1"/>
  <c r="V121" i="16" s="1"/>
  <c r="AF56" i="30"/>
  <c r="BA56" i="30" s="1"/>
  <c r="J121" i="16" s="1"/>
  <c r="AE56" i="30"/>
  <c r="AZ56" i="30" s="1"/>
  <c r="I121" i="16" s="1"/>
  <c r="AK56" i="30"/>
  <c r="BF56" i="30" s="1"/>
  <c r="O121" i="16" s="1"/>
  <c r="AL56" i="30"/>
  <c r="BG56" i="30" s="1"/>
  <c r="P121" i="16" s="1"/>
  <c r="AM56" i="30"/>
  <c r="BH56" i="30" s="1"/>
  <c r="Q121" i="16" s="1"/>
  <c r="Z56" i="30"/>
  <c r="AO56" i="30"/>
  <c r="BJ56" i="30" s="1"/>
  <c r="S121" i="16" s="1"/>
  <c r="AH56" i="30"/>
  <c r="BC56" i="30" s="1"/>
  <c r="L121" i="16" s="1"/>
  <c r="AQ56" i="30"/>
  <c r="BL56" i="30" s="1"/>
  <c r="U121" i="16" s="1"/>
  <c r="AA56" i="30"/>
  <c r="AV56" i="30" s="1"/>
  <c r="E121" i="16" s="1"/>
  <c r="AC56" i="30"/>
  <c r="AX56" i="30" s="1"/>
  <c r="G121" i="16" s="1"/>
  <c r="AG56" i="30"/>
  <c r="BB56" i="30" s="1"/>
  <c r="K121" i="16" s="1"/>
  <c r="B303" i="16"/>
  <c r="AG238" i="30"/>
  <c r="BB238" i="30" s="1"/>
  <c r="K303" i="16" s="1"/>
  <c r="Z238" i="30"/>
  <c r="AL238" i="30"/>
  <c r="BG238" i="30" s="1"/>
  <c r="P303" i="16" s="1"/>
  <c r="AA238" i="30"/>
  <c r="AV238" i="30" s="1"/>
  <c r="E303" i="16" s="1"/>
  <c r="AM238" i="30"/>
  <c r="BH238" i="30" s="1"/>
  <c r="Q303" i="16" s="1"/>
  <c r="AI238" i="30"/>
  <c r="BD238" i="30" s="1"/>
  <c r="M303" i="16" s="1"/>
  <c r="AN238" i="30"/>
  <c r="BI238" i="30" s="1"/>
  <c r="R303" i="16" s="1"/>
  <c r="AB238" i="30"/>
  <c r="AW238" i="30" s="1"/>
  <c r="F303" i="16" s="1"/>
  <c r="AQ238" i="30"/>
  <c r="BL238" i="30" s="1"/>
  <c r="U303" i="16" s="1"/>
  <c r="AJ238" i="30"/>
  <c r="BE238" i="30" s="1"/>
  <c r="N303" i="16" s="1"/>
  <c r="AO238" i="30"/>
  <c r="BJ238" i="30" s="1"/>
  <c r="S303" i="16" s="1"/>
  <c r="AP238" i="30"/>
  <c r="BK238" i="30" s="1"/>
  <c r="T303" i="16" s="1"/>
  <c r="AR238" i="30"/>
  <c r="BM238" i="30" s="1"/>
  <c r="V303" i="16" s="1"/>
  <c r="AE238" i="30"/>
  <c r="AZ238" i="30" s="1"/>
  <c r="I303" i="16" s="1"/>
  <c r="Y238" i="30"/>
  <c r="AT238" i="30" s="1"/>
  <c r="C303" i="16" s="1"/>
  <c r="AC238" i="30"/>
  <c r="AX238" i="30" s="1"/>
  <c r="G303" i="16" s="1"/>
  <c r="AD238" i="30"/>
  <c r="AY238" i="30" s="1"/>
  <c r="H303" i="16" s="1"/>
  <c r="AF238" i="30"/>
  <c r="BA238" i="30" s="1"/>
  <c r="J303" i="16" s="1"/>
  <c r="AH238" i="30"/>
  <c r="BC238" i="30" s="1"/>
  <c r="L303" i="16" s="1"/>
  <c r="AK238" i="30"/>
  <c r="BF238" i="30" s="1"/>
  <c r="O303" i="16" s="1"/>
  <c r="B124" i="16"/>
  <c r="AD59" i="30"/>
  <c r="AY59" i="30" s="1"/>
  <c r="H124" i="16" s="1"/>
  <c r="AP59" i="30"/>
  <c r="BK59" i="30" s="1"/>
  <c r="T124" i="16" s="1"/>
  <c r="AI59" i="30"/>
  <c r="BD59" i="30" s="1"/>
  <c r="M124" i="16" s="1"/>
  <c r="AJ59" i="30"/>
  <c r="BE59" i="30" s="1"/>
  <c r="N124" i="16" s="1"/>
  <c r="AB59" i="30"/>
  <c r="AW59" i="30" s="1"/>
  <c r="F124" i="16" s="1"/>
  <c r="AR59" i="30"/>
  <c r="BM59" i="30" s="1"/>
  <c r="V124" i="16" s="1"/>
  <c r="AF59" i="30"/>
  <c r="BA59" i="30" s="1"/>
  <c r="J124" i="16" s="1"/>
  <c r="AK59" i="30"/>
  <c r="BF59" i="30" s="1"/>
  <c r="O124" i="16" s="1"/>
  <c r="AH59" i="30"/>
  <c r="BC59" i="30" s="1"/>
  <c r="L124" i="16" s="1"/>
  <c r="AO59" i="30"/>
  <c r="BJ59" i="30" s="1"/>
  <c r="S124" i="16" s="1"/>
  <c r="AQ59" i="30"/>
  <c r="BL59" i="30" s="1"/>
  <c r="U124" i="16" s="1"/>
  <c r="AC59" i="30"/>
  <c r="AX59" i="30" s="1"/>
  <c r="G124" i="16" s="1"/>
  <c r="AM59" i="30"/>
  <c r="BH59" i="30" s="1"/>
  <c r="Q124" i="16" s="1"/>
  <c r="AN59" i="30"/>
  <c r="BI59" i="30" s="1"/>
  <c r="R124" i="16" s="1"/>
  <c r="Y59" i="30"/>
  <c r="AT59" i="30" s="1"/>
  <c r="C124" i="16" s="1"/>
  <c r="Z59" i="30"/>
  <c r="AA59" i="30"/>
  <c r="AV59" i="30" s="1"/>
  <c r="E124" i="16" s="1"/>
  <c r="AE59" i="30"/>
  <c r="AZ59" i="30" s="1"/>
  <c r="I124" i="16" s="1"/>
  <c r="AG59" i="30"/>
  <c r="BB59" i="30" s="1"/>
  <c r="K124" i="16" s="1"/>
  <c r="AL59" i="30"/>
  <c r="BG59" i="30" s="1"/>
  <c r="P124" i="16" s="1"/>
  <c r="AP389" i="30"/>
  <c r="Y49" i="30"/>
  <c r="AT49" i="30" s="1"/>
  <c r="B114" i="16"/>
  <c r="Z49" i="30"/>
  <c r="AL49" i="30"/>
  <c r="BG49" i="30" s="1"/>
  <c r="P114" i="16" s="1"/>
  <c r="AE49" i="30"/>
  <c r="AZ49" i="30" s="1"/>
  <c r="I114" i="16" s="1"/>
  <c r="AQ49" i="30"/>
  <c r="BL49" i="30" s="1"/>
  <c r="U114" i="16" s="1"/>
  <c r="AF49" i="30"/>
  <c r="BA49" i="30" s="1"/>
  <c r="J114" i="16" s="1"/>
  <c r="AR49" i="30"/>
  <c r="BM49" i="30" s="1"/>
  <c r="V114" i="16" s="1"/>
  <c r="AJ49" i="30"/>
  <c r="BE49" i="30" s="1"/>
  <c r="N114" i="16" s="1"/>
  <c r="AN49" i="30"/>
  <c r="BI49" i="30" s="1"/>
  <c r="R114" i="16" s="1"/>
  <c r="AB49" i="30"/>
  <c r="AW49" i="30" s="1"/>
  <c r="F114" i="16" s="1"/>
  <c r="AP49" i="30"/>
  <c r="BK49" i="30" s="1"/>
  <c r="T114" i="16" s="1"/>
  <c r="AC49" i="30"/>
  <c r="AX49" i="30" s="1"/>
  <c r="G114" i="16" s="1"/>
  <c r="AD49" i="30"/>
  <c r="AY49" i="30" s="1"/>
  <c r="H114" i="16" s="1"/>
  <c r="AK49" i="30"/>
  <c r="BF49" i="30" s="1"/>
  <c r="O114" i="16" s="1"/>
  <c r="AG49" i="30"/>
  <c r="BB49" i="30" s="1"/>
  <c r="K114" i="16" s="1"/>
  <c r="AA49" i="30"/>
  <c r="AV49" i="30" s="1"/>
  <c r="E114" i="16" s="1"/>
  <c r="AH49" i="30"/>
  <c r="BC49" i="30" s="1"/>
  <c r="L114" i="16" s="1"/>
  <c r="AI49" i="30"/>
  <c r="BD49" i="30" s="1"/>
  <c r="M114" i="16" s="1"/>
  <c r="AM49" i="30"/>
  <c r="BH49" i="30" s="1"/>
  <c r="Q114" i="16" s="1"/>
  <c r="AO49" i="30"/>
  <c r="BJ49" i="30" s="1"/>
  <c r="S114" i="16" s="1"/>
  <c r="B130" i="16"/>
  <c r="AD65" i="30"/>
  <c r="AY65" i="30" s="1"/>
  <c r="H130" i="16" s="1"/>
  <c r="AP65" i="30"/>
  <c r="BK65" i="30" s="1"/>
  <c r="T130" i="16" s="1"/>
  <c r="AI65" i="30"/>
  <c r="BD65" i="30" s="1"/>
  <c r="M130" i="16" s="1"/>
  <c r="AJ65" i="30"/>
  <c r="BE65" i="30" s="1"/>
  <c r="N130" i="16" s="1"/>
  <c r="AK65" i="30"/>
  <c r="BF65" i="30" s="1"/>
  <c r="O130" i="16" s="1"/>
  <c r="Y65" i="30"/>
  <c r="AT65" i="30" s="1"/>
  <c r="C130" i="16" s="1"/>
  <c r="AN65" i="30"/>
  <c r="BI65" i="30" s="1"/>
  <c r="R130" i="16" s="1"/>
  <c r="AB65" i="30"/>
  <c r="AW65" i="30" s="1"/>
  <c r="F130" i="16" s="1"/>
  <c r="AR65" i="30"/>
  <c r="BM65" i="30" s="1"/>
  <c r="V130" i="16" s="1"/>
  <c r="AQ65" i="30"/>
  <c r="BL65" i="30" s="1"/>
  <c r="U130" i="16" s="1"/>
  <c r="Z65" i="30"/>
  <c r="AA65" i="30"/>
  <c r="AV65" i="30" s="1"/>
  <c r="E130" i="16" s="1"/>
  <c r="AC65" i="30"/>
  <c r="AX65" i="30" s="1"/>
  <c r="G130" i="16" s="1"/>
  <c r="AE65" i="30"/>
  <c r="AZ65" i="30" s="1"/>
  <c r="I130" i="16" s="1"/>
  <c r="AF65" i="30"/>
  <c r="BA65" i="30" s="1"/>
  <c r="J130" i="16" s="1"/>
  <c r="AL65" i="30"/>
  <c r="BG65" i="30" s="1"/>
  <c r="P130" i="16" s="1"/>
  <c r="AG65" i="30"/>
  <c r="BB65" i="30" s="1"/>
  <c r="K130" i="16" s="1"/>
  <c r="AH65" i="30"/>
  <c r="BC65" i="30" s="1"/>
  <c r="L130" i="16" s="1"/>
  <c r="AM65" i="30"/>
  <c r="BH65" i="30" s="1"/>
  <c r="Q130" i="16" s="1"/>
  <c r="AO65" i="30"/>
  <c r="BJ65" i="30" s="1"/>
  <c r="S130" i="16" s="1"/>
  <c r="B297" i="16"/>
  <c r="AC232" i="30"/>
  <c r="AX232" i="30" s="1"/>
  <c r="G297" i="16" s="1"/>
  <c r="AG232" i="30"/>
  <c r="BB232" i="30" s="1"/>
  <c r="K297" i="16" s="1"/>
  <c r="AI232" i="30"/>
  <c r="BD232" i="30" s="1"/>
  <c r="M297" i="16" s="1"/>
  <c r="Z232" i="30"/>
  <c r="AL232" i="30"/>
  <c r="BG232" i="30" s="1"/>
  <c r="P297" i="16" s="1"/>
  <c r="AA232" i="30"/>
  <c r="AV232" i="30" s="1"/>
  <c r="E297" i="16" s="1"/>
  <c r="AM232" i="30"/>
  <c r="BH232" i="30" s="1"/>
  <c r="Q297" i="16" s="1"/>
  <c r="AO232" i="30"/>
  <c r="BJ232" i="30" s="1"/>
  <c r="S297" i="16" s="1"/>
  <c r="Y232" i="30"/>
  <c r="AT232" i="30" s="1"/>
  <c r="C297" i="16" s="1"/>
  <c r="AR232" i="30"/>
  <c r="BM232" i="30" s="1"/>
  <c r="V297" i="16" s="1"/>
  <c r="AE232" i="30"/>
  <c r="AZ232" i="30" s="1"/>
  <c r="I297" i="16" s="1"/>
  <c r="AB232" i="30"/>
  <c r="AW232" i="30" s="1"/>
  <c r="F297" i="16" s="1"/>
  <c r="AD232" i="30"/>
  <c r="AY232" i="30" s="1"/>
  <c r="H297" i="16" s="1"/>
  <c r="AF232" i="30"/>
  <c r="BA232" i="30" s="1"/>
  <c r="J297" i="16" s="1"/>
  <c r="AH232" i="30"/>
  <c r="BC232" i="30" s="1"/>
  <c r="L297" i="16" s="1"/>
  <c r="AP232" i="30"/>
  <c r="BK232" i="30" s="1"/>
  <c r="T297" i="16" s="1"/>
  <c r="AJ232" i="30"/>
  <c r="BE232" i="30" s="1"/>
  <c r="N297" i="16" s="1"/>
  <c r="AK232" i="30"/>
  <c r="BF232" i="30" s="1"/>
  <c r="O297" i="16" s="1"/>
  <c r="AN232" i="30"/>
  <c r="BI232" i="30" s="1"/>
  <c r="R297" i="16" s="1"/>
  <c r="AQ232" i="30"/>
  <c r="BL232" i="30" s="1"/>
  <c r="U297" i="16" s="1"/>
  <c r="B119" i="16"/>
  <c r="AH54" i="30"/>
  <c r="BC54" i="30" s="1"/>
  <c r="L119" i="16" s="1"/>
  <c r="AA54" i="30"/>
  <c r="AV54" i="30" s="1"/>
  <c r="E119" i="16" s="1"/>
  <c r="AM54" i="30"/>
  <c r="BH54" i="30" s="1"/>
  <c r="Q119" i="16" s="1"/>
  <c r="AB54" i="30"/>
  <c r="AW54" i="30" s="1"/>
  <c r="F119" i="16" s="1"/>
  <c r="AN54" i="30"/>
  <c r="BI54" i="30" s="1"/>
  <c r="R119" i="16" s="1"/>
  <c r="AF54" i="30"/>
  <c r="BA54" i="30" s="1"/>
  <c r="J119" i="16" s="1"/>
  <c r="AJ54" i="30"/>
  <c r="BE54" i="30" s="1"/>
  <c r="N119" i="16" s="1"/>
  <c r="AO54" i="30"/>
  <c r="BJ54" i="30" s="1"/>
  <c r="S119" i="16" s="1"/>
  <c r="AC54" i="30"/>
  <c r="AX54" i="30" s="1"/>
  <c r="G119" i="16" s="1"/>
  <c r="AE54" i="30"/>
  <c r="AZ54" i="30" s="1"/>
  <c r="I119" i="16" s="1"/>
  <c r="AD54" i="30"/>
  <c r="AY54" i="30" s="1"/>
  <c r="H119" i="16" s="1"/>
  <c r="AI54" i="30"/>
  <c r="BD54" i="30" s="1"/>
  <c r="M119" i="16" s="1"/>
  <c r="AK54" i="30"/>
  <c r="BF54" i="30" s="1"/>
  <c r="O119" i="16" s="1"/>
  <c r="AR54" i="30"/>
  <c r="BM54" i="30" s="1"/>
  <c r="V119" i="16" s="1"/>
  <c r="AL54" i="30"/>
  <c r="BG54" i="30" s="1"/>
  <c r="P119" i="16" s="1"/>
  <c r="AP54" i="30"/>
  <c r="BK54" i="30" s="1"/>
  <c r="T119" i="16" s="1"/>
  <c r="AQ54" i="30"/>
  <c r="BL54" i="30" s="1"/>
  <c r="U119" i="16" s="1"/>
  <c r="AG54" i="30"/>
  <c r="BB54" i="30" s="1"/>
  <c r="K119" i="16" s="1"/>
  <c r="Y54" i="30"/>
  <c r="AT54" i="30" s="1"/>
  <c r="C119" i="16" s="1"/>
  <c r="Z54" i="30"/>
  <c r="B306" i="16"/>
  <c r="AG241" i="30"/>
  <c r="BB241" i="30" s="1"/>
  <c r="K306" i="16" s="1"/>
  <c r="Z241" i="30"/>
  <c r="AL241" i="30"/>
  <c r="BG241" i="30" s="1"/>
  <c r="P306" i="16" s="1"/>
  <c r="AA241" i="30"/>
  <c r="AV241" i="30" s="1"/>
  <c r="E306" i="16" s="1"/>
  <c r="AM241" i="30"/>
  <c r="BH241" i="30" s="1"/>
  <c r="Q306" i="16" s="1"/>
  <c r="AN241" i="30"/>
  <c r="BI241" i="30" s="1"/>
  <c r="R306" i="16" s="1"/>
  <c r="AB241" i="30"/>
  <c r="AW241" i="30" s="1"/>
  <c r="F306" i="16" s="1"/>
  <c r="AQ241" i="30"/>
  <c r="BL241" i="30" s="1"/>
  <c r="U306" i="16" s="1"/>
  <c r="AE241" i="30"/>
  <c r="AZ241" i="30" s="1"/>
  <c r="I306" i="16" s="1"/>
  <c r="AO241" i="30"/>
  <c r="BJ241" i="30" s="1"/>
  <c r="S306" i="16" s="1"/>
  <c r="AR241" i="30"/>
  <c r="BM241" i="30" s="1"/>
  <c r="V306" i="16" s="1"/>
  <c r="Y241" i="30"/>
  <c r="AT241" i="30" s="1"/>
  <c r="C306" i="16" s="1"/>
  <c r="AC241" i="30"/>
  <c r="AX241" i="30" s="1"/>
  <c r="G306" i="16" s="1"/>
  <c r="AD241" i="30"/>
  <c r="AY241" i="30" s="1"/>
  <c r="H306" i="16" s="1"/>
  <c r="AI241" i="30"/>
  <c r="BD241" i="30" s="1"/>
  <c r="M306" i="16" s="1"/>
  <c r="AF241" i="30"/>
  <c r="BA241" i="30" s="1"/>
  <c r="J306" i="16" s="1"/>
  <c r="AH241" i="30"/>
  <c r="BC241" i="30" s="1"/>
  <c r="L306" i="16" s="1"/>
  <c r="AJ241" i="30"/>
  <c r="BE241" i="30" s="1"/>
  <c r="N306" i="16" s="1"/>
  <c r="AK241" i="30"/>
  <c r="BF241" i="30" s="1"/>
  <c r="O306" i="16" s="1"/>
  <c r="AP241" i="30"/>
  <c r="BK241" i="30" s="1"/>
  <c r="T306" i="16" s="1"/>
  <c r="B125" i="16"/>
  <c r="AH60" i="30"/>
  <c r="BC60" i="30" s="1"/>
  <c r="L125" i="16" s="1"/>
  <c r="AA60" i="30"/>
  <c r="AV60" i="30" s="1"/>
  <c r="E125" i="16" s="1"/>
  <c r="AM60" i="30"/>
  <c r="BH60" i="30" s="1"/>
  <c r="Q125" i="16" s="1"/>
  <c r="AB60" i="30"/>
  <c r="AW60" i="30" s="1"/>
  <c r="F125" i="16" s="1"/>
  <c r="AN60" i="30"/>
  <c r="BI60" i="30" s="1"/>
  <c r="R125" i="16" s="1"/>
  <c r="AO60" i="30"/>
  <c r="BJ60" i="30" s="1"/>
  <c r="S125" i="16" s="1"/>
  <c r="AC60" i="30"/>
  <c r="AX60" i="30" s="1"/>
  <c r="G125" i="16" s="1"/>
  <c r="AR60" i="30"/>
  <c r="BM60" i="30" s="1"/>
  <c r="V125" i="16" s="1"/>
  <c r="AF60" i="30"/>
  <c r="BA60" i="30" s="1"/>
  <c r="J125" i="16" s="1"/>
  <c r="AJ60" i="30"/>
  <c r="BE60" i="30" s="1"/>
  <c r="N125" i="16" s="1"/>
  <c r="AK60" i="30"/>
  <c r="BF60" i="30" s="1"/>
  <c r="O125" i="16" s="1"/>
  <c r="AP60" i="30"/>
  <c r="BK60" i="30" s="1"/>
  <c r="T125" i="16" s="1"/>
  <c r="AQ60" i="30"/>
  <c r="BL60" i="30" s="1"/>
  <c r="U125" i="16" s="1"/>
  <c r="AE60" i="30"/>
  <c r="AZ60" i="30" s="1"/>
  <c r="I125" i="16" s="1"/>
  <c r="Y60" i="30"/>
  <c r="AT60" i="30" s="1"/>
  <c r="C125" i="16" s="1"/>
  <c r="Z60" i="30"/>
  <c r="AD60" i="30"/>
  <c r="AY60" i="30" s="1"/>
  <c r="H125" i="16" s="1"/>
  <c r="AL60" i="30"/>
  <c r="BG60" i="30" s="1"/>
  <c r="P125" i="16" s="1"/>
  <c r="AG60" i="30"/>
  <c r="BB60" i="30" s="1"/>
  <c r="K125" i="16" s="1"/>
  <c r="AI60" i="30"/>
  <c r="BD60" i="30" s="1"/>
  <c r="M125" i="16" s="1"/>
  <c r="B298" i="16"/>
  <c r="Y233" i="30"/>
  <c r="AT233" i="30" s="1"/>
  <c r="C298" i="16" s="1"/>
  <c r="AK233" i="30"/>
  <c r="BF233" i="30" s="1"/>
  <c r="O298" i="16" s="1"/>
  <c r="AA233" i="30"/>
  <c r="AV233" i="30" s="1"/>
  <c r="E298" i="16" s="1"/>
  <c r="AM233" i="30"/>
  <c r="BH233" i="30" s="1"/>
  <c r="Q298" i="16" s="1"/>
  <c r="AD233" i="30"/>
  <c r="AY233" i="30" s="1"/>
  <c r="H298" i="16" s="1"/>
  <c r="AP233" i="30"/>
  <c r="BK233" i="30" s="1"/>
  <c r="T298" i="16" s="1"/>
  <c r="AE233" i="30"/>
  <c r="AZ233" i="30" s="1"/>
  <c r="I298" i="16" s="1"/>
  <c r="AQ233" i="30"/>
  <c r="BL233" i="30" s="1"/>
  <c r="U298" i="16" s="1"/>
  <c r="AL233" i="30"/>
  <c r="BG233" i="30" s="1"/>
  <c r="P298" i="16" s="1"/>
  <c r="AR233" i="30"/>
  <c r="BM233" i="30" s="1"/>
  <c r="V298" i="16" s="1"/>
  <c r="AC233" i="30"/>
  <c r="AX233" i="30" s="1"/>
  <c r="G298" i="16" s="1"/>
  <c r="AB233" i="30"/>
  <c r="AW233" i="30" s="1"/>
  <c r="F298" i="16" s="1"/>
  <c r="AF233" i="30"/>
  <c r="BA233" i="30" s="1"/>
  <c r="J298" i="16" s="1"/>
  <c r="AG233" i="30"/>
  <c r="BB233" i="30" s="1"/>
  <c r="K298" i="16" s="1"/>
  <c r="AH233" i="30"/>
  <c r="BC233" i="30" s="1"/>
  <c r="L298" i="16" s="1"/>
  <c r="AI233" i="30"/>
  <c r="BD233" i="30" s="1"/>
  <c r="M298" i="16" s="1"/>
  <c r="AJ233" i="30"/>
  <c r="BE233" i="30" s="1"/>
  <c r="N298" i="16" s="1"/>
  <c r="AN233" i="30"/>
  <c r="BI233" i="30" s="1"/>
  <c r="R298" i="16" s="1"/>
  <c r="AO233" i="30"/>
  <c r="BJ233" i="30" s="1"/>
  <c r="S298" i="16" s="1"/>
  <c r="Z233" i="30"/>
  <c r="B131" i="16"/>
  <c r="AH66" i="30"/>
  <c r="BC66" i="30" s="1"/>
  <c r="L131" i="16" s="1"/>
  <c r="AA66" i="30"/>
  <c r="AV66" i="30" s="1"/>
  <c r="E131" i="16" s="1"/>
  <c r="AM66" i="30"/>
  <c r="BH66" i="30" s="1"/>
  <c r="Q131" i="16" s="1"/>
  <c r="AB66" i="30"/>
  <c r="AW66" i="30" s="1"/>
  <c r="F131" i="16" s="1"/>
  <c r="AN66" i="30"/>
  <c r="BI66" i="30" s="1"/>
  <c r="R131" i="16" s="1"/>
  <c r="AF66" i="30"/>
  <c r="BA66" i="30" s="1"/>
  <c r="J131" i="16" s="1"/>
  <c r="AJ66" i="30"/>
  <c r="BE66" i="30" s="1"/>
  <c r="N131" i="16" s="1"/>
  <c r="AO66" i="30"/>
  <c r="BJ66" i="30" s="1"/>
  <c r="S131" i="16" s="1"/>
  <c r="AR66" i="30"/>
  <c r="BM66" i="30" s="1"/>
  <c r="V131" i="16" s="1"/>
  <c r="AD66" i="30"/>
  <c r="AY66" i="30" s="1"/>
  <c r="H131" i="16" s="1"/>
  <c r="AE66" i="30"/>
  <c r="AZ66" i="30" s="1"/>
  <c r="I131" i="16" s="1"/>
  <c r="AG66" i="30"/>
  <c r="BB66" i="30" s="1"/>
  <c r="K131" i="16" s="1"/>
  <c r="Z66" i="30"/>
  <c r="AI66" i="30"/>
  <c r="BD66" i="30" s="1"/>
  <c r="M131" i="16" s="1"/>
  <c r="AK66" i="30"/>
  <c r="BF66" i="30" s="1"/>
  <c r="O131" i="16" s="1"/>
  <c r="AL66" i="30"/>
  <c r="BG66" i="30" s="1"/>
  <c r="P131" i="16" s="1"/>
  <c r="AP66" i="30"/>
  <c r="BK66" i="30" s="1"/>
  <c r="T131" i="16" s="1"/>
  <c r="AQ66" i="30"/>
  <c r="BL66" i="30" s="1"/>
  <c r="U131" i="16" s="1"/>
  <c r="Y66" i="30"/>
  <c r="AT66" i="30" s="1"/>
  <c r="C131" i="16" s="1"/>
  <c r="AC66" i="30"/>
  <c r="AX66" i="30" s="1"/>
  <c r="G131" i="16" s="1"/>
  <c r="B304" i="16"/>
  <c r="Y239" i="30"/>
  <c r="AT239" i="30" s="1"/>
  <c r="C304" i="16" s="1"/>
  <c r="AK239" i="30"/>
  <c r="BF239" i="30" s="1"/>
  <c r="O304" i="16" s="1"/>
  <c r="AD239" i="30"/>
  <c r="AY239" i="30" s="1"/>
  <c r="H304" i="16" s="1"/>
  <c r="AP239" i="30"/>
  <c r="BK239" i="30" s="1"/>
  <c r="T304" i="16" s="1"/>
  <c r="AE239" i="30"/>
  <c r="AZ239" i="30" s="1"/>
  <c r="I304" i="16" s="1"/>
  <c r="AQ239" i="30"/>
  <c r="BL239" i="30" s="1"/>
  <c r="U304" i="16" s="1"/>
  <c r="AF239" i="30"/>
  <c r="BA239" i="30" s="1"/>
  <c r="J304" i="16" s="1"/>
  <c r="AI239" i="30"/>
  <c r="BD239" i="30" s="1"/>
  <c r="M304" i="16" s="1"/>
  <c r="AM239" i="30"/>
  <c r="BH239" i="30" s="1"/>
  <c r="Q304" i="16" s="1"/>
  <c r="AL239" i="30"/>
  <c r="BG239" i="30" s="1"/>
  <c r="P304" i="16" s="1"/>
  <c r="AN239" i="30"/>
  <c r="BI239" i="30" s="1"/>
  <c r="R304" i="16" s="1"/>
  <c r="AO239" i="30"/>
  <c r="BJ239" i="30" s="1"/>
  <c r="S304" i="16" s="1"/>
  <c r="Z239" i="30"/>
  <c r="AR239" i="30"/>
  <c r="BM239" i="30" s="1"/>
  <c r="V304" i="16" s="1"/>
  <c r="AA239" i="30"/>
  <c r="AV239" i="30" s="1"/>
  <c r="E304" i="16" s="1"/>
  <c r="AB239" i="30"/>
  <c r="AW239" i="30" s="1"/>
  <c r="F304" i="16" s="1"/>
  <c r="AC239" i="30"/>
  <c r="AX239" i="30" s="1"/>
  <c r="G304" i="16" s="1"/>
  <c r="AG239" i="30"/>
  <c r="BB239" i="30" s="1"/>
  <c r="K304" i="16" s="1"/>
  <c r="AH239" i="30"/>
  <c r="BC239" i="30" s="1"/>
  <c r="L304" i="16" s="1"/>
  <c r="AJ239" i="30"/>
  <c r="BE239" i="30" s="1"/>
  <c r="N304" i="16" s="1"/>
  <c r="B296" i="16"/>
  <c r="Y231" i="30"/>
  <c r="AT231" i="30" s="1"/>
  <c r="C296" i="16" s="1"/>
  <c r="AK231" i="30"/>
  <c r="BF231" i="30" s="1"/>
  <c r="O296" i="16" s="1"/>
  <c r="AC231" i="30"/>
  <c r="AX231" i="30" s="1"/>
  <c r="G296" i="16" s="1"/>
  <c r="AO231" i="30"/>
  <c r="BJ231" i="30" s="1"/>
  <c r="S296" i="16" s="1"/>
  <c r="AE231" i="30"/>
  <c r="AZ231" i="30" s="1"/>
  <c r="I296" i="16" s="1"/>
  <c r="AQ231" i="30"/>
  <c r="BL231" i="30" s="1"/>
  <c r="U296" i="16" s="1"/>
  <c r="AH231" i="30"/>
  <c r="BC231" i="30" s="1"/>
  <c r="L296" i="16" s="1"/>
  <c r="AI231" i="30"/>
  <c r="BD231" i="30" s="1"/>
  <c r="M296" i="16" s="1"/>
  <c r="AN231" i="30"/>
  <c r="BI231" i="30" s="1"/>
  <c r="R296" i="16" s="1"/>
  <c r="Z231" i="30"/>
  <c r="AD231" i="30"/>
  <c r="AY231" i="30" s="1"/>
  <c r="H296" i="16" s="1"/>
  <c r="AP231" i="30"/>
  <c r="BK231" i="30" s="1"/>
  <c r="T296" i="16" s="1"/>
  <c r="AA231" i="30"/>
  <c r="AV231" i="30" s="1"/>
  <c r="E296" i="16" s="1"/>
  <c r="AJ231" i="30"/>
  <c r="BE231" i="30" s="1"/>
  <c r="N296" i="16" s="1"/>
  <c r="AB231" i="30"/>
  <c r="AW231" i="30" s="1"/>
  <c r="F296" i="16" s="1"/>
  <c r="AF231" i="30"/>
  <c r="BA231" i="30" s="1"/>
  <c r="J296" i="16" s="1"/>
  <c r="AG231" i="30"/>
  <c r="BB231" i="30" s="1"/>
  <c r="K296" i="16" s="1"/>
  <c r="AL231" i="30"/>
  <c r="BG231" i="30" s="1"/>
  <c r="P296" i="16" s="1"/>
  <c r="AM231" i="30"/>
  <c r="BH231" i="30" s="1"/>
  <c r="Q296" i="16" s="1"/>
  <c r="AR231" i="30"/>
  <c r="BM231" i="30" s="1"/>
  <c r="V296" i="16" s="1"/>
  <c r="B127" i="16"/>
  <c r="AD62" i="30"/>
  <c r="AY62" i="30" s="1"/>
  <c r="H127" i="16" s="1"/>
  <c r="AP62" i="30"/>
  <c r="BK62" i="30" s="1"/>
  <c r="T127" i="16" s="1"/>
  <c r="AI62" i="30"/>
  <c r="BD62" i="30" s="1"/>
  <c r="M127" i="16" s="1"/>
  <c r="AJ62" i="30"/>
  <c r="BE62" i="30" s="1"/>
  <c r="N127" i="16" s="1"/>
  <c r="AF62" i="30"/>
  <c r="BA62" i="30" s="1"/>
  <c r="J127" i="16" s="1"/>
  <c r="AK62" i="30"/>
  <c r="BF62" i="30" s="1"/>
  <c r="O127" i="16" s="1"/>
  <c r="Y62" i="30"/>
  <c r="AT62" i="30" s="1"/>
  <c r="C127" i="16" s="1"/>
  <c r="AN62" i="30"/>
  <c r="BI62" i="30" s="1"/>
  <c r="R127" i="16" s="1"/>
  <c r="AR62" i="30"/>
  <c r="BM62" i="30" s="1"/>
  <c r="V127" i="16" s="1"/>
  <c r="AO62" i="30"/>
  <c r="BJ62" i="30" s="1"/>
  <c r="S127" i="16" s="1"/>
  <c r="Z62" i="30"/>
  <c r="AA62" i="30"/>
  <c r="AV62" i="30" s="1"/>
  <c r="E127" i="16" s="1"/>
  <c r="AB62" i="30"/>
  <c r="AW62" i="30" s="1"/>
  <c r="F127" i="16" s="1"/>
  <c r="AC62" i="30"/>
  <c r="AX62" i="30" s="1"/>
  <c r="G127" i="16" s="1"/>
  <c r="AE62" i="30"/>
  <c r="AZ62" i="30" s="1"/>
  <c r="I127" i="16" s="1"/>
  <c r="AG62" i="30"/>
  <c r="BB62" i="30" s="1"/>
  <c r="K127" i="16" s="1"/>
  <c r="AQ62" i="30"/>
  <c r="BL62" i="30" s="1"/>
  <c r="U127" i="16" s="1"/>
  <c r="AH62" i="30"/>
  <c r="BC62" i="30" s="1"/>
  <c r="L127" i="16" s="1"/>
  <c r="AL62" i="30"/>
  <c r="BG62" i="30" s="1"/>
  <c r="P127" i="16" s="1"/>
  <c r="AM62" i="30"/>
  <c r="BH62" i="30" s="1"/>
  <c r="Q127" i="16" s="1"/>
  <c r="B295" i="16"/>
  <c r="AG230" i="30"/>
  <c r="BB230" i="30" s="1"/>
  <c r="K295" i="16" s="1"/>
  <c r="Y230" i="30"/>
  <c r="AT230" i="30" s="1"/>
  <c r="C295" i="16" s="1"/>
  <c r="AK230" i="30"/>
  <c r="BF230" i="30" s="1"/>
  <c r="O295" i="16" s="1"/>
  <c r="AA230" i="30"/>
  <c r="AV230" i="30" s="1"/>
  <c r="E295" i="16" s="1"/>
  <c r="AM230" i="30"/>
  <c r="BH230" i="30" s="1"/>
  <c r="Q295" i="16" s="1"/>
  <c r="AD230" i="30"/>
  <c r="AY230" i="30" s="1"/>
  <c r="H295" i="16" s="1"/>
  <c r="AP230" i="30"/>
  <c r="BK230" i="30" s="1"/>
  <c r="T295" i="16" s="1"/>
  <c r="AE230" i="30"/>
  <c r="AZ230" i="30" s="1"/>
  <c r="I295" i="16" s="1"/>
  <c r="AQ230" i="30"/>
  <c r="BL230" i="30" s="1"/>
  <c r="U295" i="16" s="1"/>
  <c r="AN230" i="30"/>
  <c r="BI230" i="30" s="1"/>
  <c r="R295" i="16" s="1"/>
  <c r="AC230" i="30"/>
  <c r="AX230" i="30" s="1"/>
  <c r="G295" i="16" s="1"/>
  <c r="AI230" i="30"/>
  <c r="BD230" i="30" s="1"/>
  <c r="M295" i="16" s="1"/>
  <c r="AJ230" i="30"/>
  <c r="BE230" i="30" s="1"/>
  <c r="N295" i="16" s="1"/>
  <c r="AL230" i="30"/>
  <c r="BG230" i="30" s="1"/>
  <c r="P295" i="16" s="1"/>
  <c r="AO230" i="30"/>
  <c r="BJ230" i="30" s="1"/>
  <c r="S295" i="16" s="1"/>
  <c r="AR230" i="30"/>
  <c r="BM230" i="30" s="1"/>
  <c r="V295" i="16" s="1"/>
  <c r="Z230" i="30"/>
  <c r="AB230" i="30"/>
  <c r="AW230" i="30" s="1"/>
  <c r="F295" i="16" s="1"/>
  <c r="AF230" i="30"/>
  <c r="BA230" i="30" s="1"/>
  <c r="J295" i="16" s="1"/>
  <c r="AH230" i="30"/>
  <c r="BC230" i="30" s="1"/>
  <c r="L295" i="16" s="1"/>
  <c r="B302" i="16"/>
  <c r="AC237" i="30"/>
  <c r="AX237" i="30" s="1"/>
  <c r="G302" i="16" s="1"/>
  <c r="AO237" i="30"/>
  <c r="BJ237" i="30" s="1"/>
  <c r="S302" i="16" s="1"/>
  <c r="AH237" i="30"/>
  <c r="BC237" i="30" s="1"/>
  <c r="L302" i="16" s="1"/>
  <c r="AI237" i="30"/>
  <c r="BD237" i="30" s="1"/>
  <c r="M302" i="16" s="1"/>
  <c r="AM237" i="30"/>
  <c r="BH237" i="30" s="1"/>
  <c r="Q302" i="16" s="1"/>
  <c r="AA237" i="30"/>
  <c r="AV237" i="30" s="1"/>
  <c r="E302" i="16" s="1"/>
  <c r="AQ237" i="30"/>
  <c r="BL237" i="30" s="1"/>
  <c r="U302" i="16" s="1"/>
  <c r="AE237" i="30"/>
  <c r="AZ237" i="30" s="1"/>
  <c r="I302" i="16" s="1"/>
  <c r="AJ237" i="30"/>
  <c r="BE237" i="30" s="1"/>
  <c r="N302" i="16" s="1"/>
  <c r="AK237" i="30"/>
  <c r="BF237" i="30" s="1"/>
  <c r="O302" i="16" s="1"/>
  <c r="AN237" i="30"/>
  <c r="BI237" i="30" s="1"/>
  <c r="R302" i="16" s="1"/>
  <c r="AP237" i="30"/>
  <c r="BK237" i="30" s="1"/>
  <c r="T302" i="16" s="1"/>
  <c r="AR237" i="30"/>
  <c r="BM237" i="30" s="1"/>
  <c r="V302" i="16" s="1"/>
  <c r="AL237" i="30"/>
  <c r="BG237" i="30" s="1"/>
  <c r="P302" i="16" s="1"/>
  <c r="Y237" i="30"/>
  <c r="AT237" i="30" s="1"/>
  <c r="C302" i="16" s="1"/>
  <c r="Z237" i="30"/>
  <c r="AB237" i="30"/>
  <c r="AW237" i="30" s="1"/>
  <c r="F302" i="16" s="1"/>
  <c r="AD237" i="30"/>
  <c r="AY237" i="30" s="1"/>
  <c r="H302" i="16" s="1"/>
  <c r="AF237" i="30"/>
  <c r="BA237" i="30" s="1"/>
  <c r="J302" i="16" s="1"/>
  <c r="AG237" i="30"/>
  <c r="BB237" i="30" s="1"/>
  <c r="K302" i="16" s="1"/>
  <c r="B116" i="16"/>
  <c r="AH51" i="30"/>
  <c r="BC51" i="30" s="1"/>
  <c r="L116" i="16" s="1"/>
  <c r="AA51" i="30"/>
  <c r="AV51" i="30" s="1"/>
  <c r="E116" i="16" s="1"/>
  <c r="AM51" i="30"/>
  <c r="BH51" i="30" s="1"/>
  <c r="Q116" i="16" s="1"/>
  <c r="AB51" i="30"/>
  <c r="AW51" i="30" s="1"/>
  <c r="F116" i="16" s="1"/>
  <c r="AN51" i="30"/>
  <c r="BI51" i="30" s="1"/>
  <c r="R116" i="16" s="1"/>
  <c r="AC51" i="30"/>
  <c r="AX51" i="30" s="1"/>
  <c r="G116" i="16" s="1"/>
  <c r="AR51" i="30"/>
  <c r="BM51" i="30" s="1"/>
  <c r="V116" i="16" s="1"/>
  <c r="AF51" i="30"/>
  <c r="BA51" i="30" s="1"/>
  <c r="J116" i="16" s="1"/>
  <c r="AJ51" i="30"/>
  <c r="BE51" i="30" s="1"/>
  <c r="N116" i="16" s="1"/>
  <c r="Y51" i="30"/>
  <c r="AT51" i="30" s="1"/>
  <c r="C116" i="16" s="1"/>
  <c r="Z51" i="30"/>
  <c r="AE51" i="30"/>
  <c r="AZ51" i="30" s="1"/>
  <c r="I116" i="16" s="1"/>
  <c r="AG51" i="30"/>
  <c r="BB51" i="30" s="1"/>
  <c r="K116" i="16" s="1"/>
  <c r="AO51" i="30"/>
  <c r="BJ51" i="30" s="1"/>
  <c r="S116" i="16" s="1"/>
  <c r="AI51" i="30"/>
  <c r="BD51" i="30" s="1"/>
  <c r="M116" i="16" s="1"/>
  <c r="AK51" i="30"/>
  <c r="BF51" i="30" s="1"/>
  <c r="O116" i="16" s="1"/>
  <c r="AL51" i="30"/>
  <c r="BG51" i="30" s="1"/>
  <c r="P116" i="16" s="1"/>
  <c r="AD51" i="30"/>
  <c r="AY51" i="30" s="1"/>
  <c r="H116" i="16" s="1"/>
  <c r="AP51" i="30"/>
  <c r="BK51" i="30" s="1"/>
  <c r="T116" i="16" s="1"/>
  <c r="AQ51" i="30"/>
  <c r="BL51" i="30" s="1"/>
  <c r="U116" i="16" s="1"/>
  <c r="B118" i="16"/>
  <c r="AD53" i="30"/>
  <c r="AY53" i="30" s="1"/>
  <c r="H118" i="16" s="1"/>
  <c r="AP53" i="30"/>
  <c r="BK53" i="30" s="1"/>
  <c r="T118" i="16" s="1"/>
  <c r="AI53" i="30"/>
  <c r="BD53" i="30" s="1"/>
  <c r="M118" i="16" s="1"/>
  <c r="AJ53" i="30"/>
  <c r="BE53" i="30" s="1"/>
  <c r="N118" i="16" s="1"/>
  <c r="AK53" i="30"/>
  <c r="BF53" i="30" s="1"/>
  <c r="O118" i="16" s="1"/>
  <c r="Y53" i="30"/>
  <c r="AT53" i="30" s="1"/>
  <c r="C118" i="16" s="1"/>
  <c r="AN53" i="30"/>
  <c r="BI53" i="30" s="1"/>
  <c r="R118" i="16" s="1"/>
  <c r="AB53" i="30"/>
  <c r="AW53" i="30" s="1"/>
  <c r="F118" i="16" s="1"/>
  <c r="AR53" i="30"/>
  <c r="BM53" i="30" s="1"/>
  <c r="V118" i="16" s="1"/>
  <c r="AA53" i="30"/>
  <c r="AV53" i="30" s="1"/>
  <c r="E118" i="16" s="1"/>
  <c r="AE53" i="30"/>
  <c r="AZ53" i="30" s="1"/>
  <c r="I118" i="16" s="1"/>
  <c r="AG53" i="30"/>
  <c r="BB53" i="30" s="1"/>
  <c r="K118" i="16" s="1"/>
  <c r="AH53" i="30"/>
  <c r="BC53" i="30" s="1"/>
  <c r="L118" i="16" s="1"/>
  <c r="AF53" i="30"/>
  <c r="BA53" i="30" s="1"/>
  <c r="J118" i="16" s="1"/>
  <c r="AL53" i="30"/>
  <c r="BG53" i="30" s="1"/>
  <c r="P118" i="16" s="1"/>
  <c r="AM53" i="30"/>
  <c r="BH53" i="30" s="1"/>
  <c r="Q118" i="16" s="1"/>
  <c r="AO53" i="30"/>
  <c r="BJ53" i="30" s="1"/>
  <c r="S118" i="16" s="1"/>
  <c r="AQ53" i="30"/>
  <c r="BL53" i="30" s="1"/>
  <c r="U118" i="16" s="1"/>
  <c r="Z53" i="30"/>
  <c r="AC53" i="30"/>
  <c r="AX53" i="30" s="1"/>
  <c r="G118" i="16" s="1"/>
  <c r="B301" i="16"/>
  <c r="Y236" i="30"/>
  <c r="AT236" i="30" s="1"/>
  <c r="C301" i="16" s="1"/>
  <c r="AK236" i="30"/>
  <c r="BF236" i="30" s="1"/>
  <c r="O301" i="16" s="1"/>
  <c r="AD236" i="30"/>
  <c r="AY236" i="30" s="1"/>
  <c r="H301" i="16" s="1"/>
  <c r="AP236" i="30"/>
  <c r="BK236" i="30" s="1"/>
  <c r="T301" i="16" s="1"/>
  <c r="AE236" i="30"/>
  <c r="AZ236" i="30" s="1"/>
  <c r="I301" i="16" s="1"/>
  <c r="AQ236" i="30"/>
  <c r="BL236" i="30" s="1"/>
  <c r="U301" i="16" s="1"/>
  <c r="AA236" i="30"/>
  <c r="AV236" i="30" s="1"/>
  <c r="E301" i="16" s="1"/>
  <c r="AR236" i="30"/>
  <c r="BM236" i="30" s="1"/>
  <c r="V301" i="16" s="1"/>
  <c r="AF236" i="30"/>
  <c r="BA236" i="30" s="1"/>
  <c r="J301" i="16" s="1"/>
  <c r="AI236" i="30"/>
  <c r="BD236" i="30" s="1"/>
  <c r="M301" i="16" s="1"/>
  <c r="AH236" i="30"/>
  <c r="BC236" i="30" s="1"/>
  <c r="L301" i="16" s="1"/>
  <c r="AJ236" i="30"/>
  <c r="BE236" i="30" s="1"/>
  <c r="N301" i="16" s="1"/>
  <c r="AM236" i="30"/>
  <c r="BH236" i="30" s="1"/>
  <c r="Q301" i="16" s="1"/>
  <c r="AN236" i="30"/>
  <c r="BI236" i="30" s="1"/>
  <c r="R301" i="16" s="1"/>
  <c r="AO236" i="30"/>
  <c r="BJ236" i="30" s="1"/>
  <c r="S301" i="16" s="1"/>
  <c r="AB236" i="30"/>
  <c r="AW236" i="30" s="1"/>
  <c r="F301" i="16" s="1"/>
  <c r="Z236" i="30"/>
  <c r="AC236" i="30"/>
  <c r="AX236" i="30" s="1"/>
  <c r="G301" i="16" s="1"/>
  <c r="AG236" i="30"/>
  <c r="BB236" i="30" s="1"/>
  <c r="K301" i="16" s="1"/>
  <c r="AL236" i="30"/>
  <c r="BG236" i="30" s="1"/>
  <c r="P301" i="16" s="1"/>
  <c r="B122" i="16"/>
  <c r="AH57" i="30"/>
  <c r="BC57" i="30" s="1"/>
  <c r="L122" i="16" s="1"/>
  <c r="AA57" i="30"/>
  <c r="AV57" i="30" s="1"/>
  <c r="E122" i="16" s="1"/>
  <c r="AM57" i="30"/>
  <c r="BH57" i="30" s="1"/>
  <c r="Q122" i="16" s="1"/>
  <c r="AB57" i="30"/>
  <c r="AW57" i="30" s="1"/>
  <c r="F122" i="16" s="1"/>
  <c r="AN57" i="30"/>
  <c r="BI57" i="30" s="1"/>
  <c r="R122" i="16" s="1"/>
  <c r="AJ57" i="30"/>
  <c r="BE57" i="30" s="1"/>
  <c r="N122" i="16" s="1"/>
  <c r="AO57" i="30"/>
  <c r="BJ57" i="30" s="1"/>
  <c r="S122" i="16" s="1"/>
  <c r="AC57" i="30"/>
  <c r="AX57" i="30" s="1"/>
  <c r="G122" i="16" s="1"/>
  <c r="AR57" i="30"/>
  <c r="BM57" i="30" s="1"/>
  <c r="V122" i="16" s="1"/>
  <c r="AF57" i="30"/>
  <c r="BA57" i="30" s="1"/>
  <c r="J122" i="16" s="1"/>
  <c r="AG57" i="30"/>
  <c r="BB57" i="30" s="1"/>
  <c r="K122" i="16" s="1"/>
  <c r="AI57" i="30"/>
  <c r="BD57" i="30" s="1"/>
  <c r="M122" i="16" s="1"/>
  <c r="AK57" i="30"/>
  <c r="BF57" i="30" s="1"/>
  <c r="O122" i="16" s="1"/>
  <c r="AL57" i="30"/>
  <c r="BG57" i="30" s="1"/>
  <c r="P122" i="16" s="1"/>
  <c r="AP57" i="30"/>
  <c r="BK57" i="30" s="1"/>
  <c r="T122" i="16" s="1"/>
  <c r="AQ57" i="30"/>
  <c r="BL57" i="30" s="1"/>
  <c r="U122" i="16" s="1"/>
  <c r="Z57" i="30"/>
  <c r="Y57" i="30"/>
  <c r="AT57" i="30" s="1"/>
  <c r="C122" i="16" s="1"/>
  <c r="AD57" i="30"/>
  <c r="AY57" i="30" s="1"/>
  <c r="H122" i="16" s="1"/>
  <c r="AE57" i="30"/>
  <c r="AZ57" i="30" s="1"/>
  <c r="I122" i="16" s="1"/>
  <c r="B120" i="16"/>
  <c r="Z55" i="30"/>
  <c r="AL55" i="30"/>
  <c r="BG55" i="30" s="1"/>
  <c r="P120" i="16" s="1"/>
  <c r="AE55" i="30"/>
  <c r="AZ55" i="30" s="1"/>
  <c r="I120" i="16" s="1"/>
  <c r="AQ55" i="30"/>
  <c r="BL55" i="30" s="1"/>
  <c r="U120" i="16" s="1"/>
  <c r="AF55" i="30"/>
  <c r="BA55" i="30" s="1"/>
  <c r="J120" i="16" s="1"/>
  <c r="AR55" i="30"/>
  <c r="BM55" i="30" s="1"/>
  <c r="V120" i="16" s="1"/>
  <c r="AB55" i="30"/>
  <c r="AW55" i="30" s="1"/>
  <c r="F120" i="16" s="1"/>
  <c r="AG55" i="30"/>
  <c r="BB55" i="30" s="1"/>
  <c r="K120" i="16" s="1"/>
  <c r="AJ55" i="30"/>
  <c r="BE55" i="30" s="1"/>
  <c r="N120" i="16" s="1"/>
  <c r="AC55" i="30"/>
  <c r="AX55" i="30" s="1"/>
  <c r="G120" i="16" s="1"/>
  <c r="AD55" i="30"/>
  <c r="AY55" i="30" s="1"/>
  <c r="H120" i="16" s="1"/>
  <c r="AK55" i="30"/>
  <c r="BF55" i="30" s="1"/>
  <c r="O120" i="16" s="1"/>
  <c r="AM55" i="30"/>
  <c r="BH55" i="30" s="1"/>
  <c r="Q120" i="16" s="1"/>
  <c r="AN55" i="30"/>
  <c r="BI55" i="30" s="1"/>
  <c r="R120" i="16" s="1"/>
  <c r="AO55" i="30"/>
  <c r="BJ55" i="30" s="1"/>
  <c r="S120" i="16" s="1"/>
  <c r="AP55" i="30"/>
  <c r="BK55" i="30" s="1"/>
  <c r="T120" i="16" s="1"/>
  <c r="AI55" i="30"/>
  <c r="BD55" i="30" s="1"/>
  <c r="M120" i="16" s="1"/>
  <c r="AH55" i="30"/>
  <c r="BC55" i="30" s="1"/>
  <c r="L120" i="16" s="1"/>
  <c r="Y55" i="30"/>
  <c r="AT55" i="30" s="1"/>
  <c r="C120" i="16" s="1"/>
  <c r="AA55" i="30"/>
  <c r="AV55" i="30" s="1"/>
  <c r="E120" i="16" s="1"/>
  <c r="B300" i="16"/>
  <c r="AG235" i="30"/>
  <c r="BB235" i="30" s="1"/>
  <c r="K300" i="16" s="1"/>
  <c r="Z235" i="30"/>
  <c r="AL235" i="30"/>
  <c r="BG235" i="30" s="1"/>
  <c r="P300" i="16" s="1"/>
  <c r="AA235" i="30"/>
  <c r="AV235" i="30" s="1"/>
  <c r="E300" i="16" s="1"/>
  <c r="AM235" i="30"/>
  <c r="BH235" i="30" s="1"/>
  <c r="Q300" i="16" s="1"/>
  <c r="AE235" i="30"/>
  <c r="AZ235" i="30" s="1"/>
  <c r="I300" i="16" s="1"/>
  <c r="AI235" i="30"/>
  <c r="BD235" i="30" s="1"/>
  <c r="M300" i="16" s="1"/>
  <c r="AN235" i="30"/>
  <c r="BI235" i="30" s="1"/>
  <c r="R300" i="16" s="1"/>
  <c r="AF235" i="30"/>
  <c r="BA235" i="30" s="1"/>
  <c r="J300" i="16" s="1"/>
  <c r="AJ235" i="30"/>
  <c r="BE235" i="30" s="1"/>
  <c r="N300" i="16" s="1"/>
  <c r="AK235" i="30"/>
  <c r="BF235" i="30" s="1"/>
  <c r="O300" i="16" s="1"/>
  <c r="AO235" i="30"/>
  <c r="BJ235" i="30" s="1"/>
  <c r="S300" i="16" s="1"/>
  <c r="AP235" i="30"/>
  <c r="BK235" i="30" s="1"/>
  <c r="T300" i="16" s="1"/>
  <c r="AQ235" i="30"/>
  <c r="BL235" i="30" s="1"/>
  <c r="U300" i="16" s="1"/>
  <c r="AR235" i="30"/>
  <c r="BM235" i="30" s="1"/>
  <c r="V300" i="16" s="1"/>
  <c r="Y235" i="30"/>
  <c r="AT235" i="30" s="1"/>
  <c r="C300" i="16" s="1"/>
  <c r="AB235" i="30"/>
  <c r="AW235" i="30" s="1"/>
  <c r="F300" i="16" s="1"/>
  <c r="AC235" i="30"/>
  <c r="AX235" i="30" s="1"/>
  <c r="G300" i="16" s="1"/>
  <c r="AD235" i="30"/>
  <c r="AY235" i="30" s="1"/>
  <c r="H300" i="16" s="1"/>
  <c r="AH235" i="30"/>
  <c r="BC235" i="30" s="1"/>
  <c r="L300" i="16" s="1"/>
  <c r="B128" i="16"/>
  <c r="AH63" i="30"/>
  <c r="BC63" i="30" s="1"/>
  <c r="L128" i="16" s="1"/>
  <c r="AA63" i="30"/>
  <c r="AV63" i="30" s="1"/>
  <c r="E128" i="16" s="1"/>
  <c r="AM63" i="30"/>
  <c r="BH63" i="30" s="1"/>
  <c r="Q128" i="16" s="1"/>
  <c r="AB63" i="30"/>
  <c r="AW63" i="30" s="1"/>
  <c r="F128" i="16" s="1"/>
  <c r="AN63" i="30"/>
  <c r="BI63" i="30" s="1"/>
  <c r="R128" i="16" s="1"/>
  <c r="AC63" i="30"/>
  <c r="AX63" i="30" s="1"/>
  <c r="G128" i="16" s="1"/>
  <c r="AR63" i="30"/>
  <c r="BM63" i="30" s="1"/>
  <c r="V128" i="16" s="1"/>
  <c r="AF63" i="30"/>
  <c r="BA63" i="30" s="1"/>
  <c r="J128" i="16" s="1"/>
  <c r="AJ63" i="30"/>
  <c r="BE63" i="30" s="1"/>
  <c r="N128" i="16" s="1"/>
  <c r="AO63" i="30"/>
  <c r="BJ63" i="30" s="1"/>
  <c r="S128" i="16" s="1"/>
  <c r="Y63" i="30"/>
  <c r="AT63" i="30" s="1"/>
  <c r="C128" i="16" s="1"/>
  <c r="Z63" i="30"/>
  <c r="AD63" i="30"/>
  <c r="AY63" i="30" s="1"/>
  <c r="H128" i="16" s="1"/>
  <c r="AQ63" i="30"/>
  <c r="BL63" i="30" s="1"/>
  <c r="U128" i="16" s="1"/>
  <c r="AE63" i="30"/>
  <c r="AZ63" i="30" s="1"/>
  <c r="I128" i="16" s="1"/>
  <c r="AG63" i="30"/>
  <c r="BB63" i="30" s="1"/>
  <c r="K128" i="16" s="1"/>
  <c r="AI63" i="30"/>
  <c r="BD63" i="30" s="1"/>
  <c r="M128" i="16" s="1"/>
  <c r="AK63" i="30"/>
  <c r="BF63" i="30" s="1"/>
  <c r="O128" i="16" s="1"/>
  <c r="AL63" i="30"/>
  <c r="BG63" i="30" s="1"/>
  <c r="P128" i="16" s="1"/>
  <c r="AP63" i="30"/>
  <c r="BK63" i="30" s="1"/>
  <c r="T128" i="16" s="1"/>
  <c r="B126" i="16"/>
  <c r="Z61" i="30"/>
  <c r="AL61" i="30"/>
  <c r="BG61" i="30" s="1"/>
  <c r="P126" i="16" s="1"/>
  <c r="AE61" i="30"/>
  <c r="AZ61" i="30" s="1"/>
  <c r="I126" i="16" s="1"/>
  <c r="AQ61" i="30"/>
  <c r="BL61" i="30" s="1"/>
  <c r="U126" i="16" s="1"/>
  <c r="AF61" i="30"/>
  <c r="BA61" i="30" s="1"/>
  <c r="J126" i="16" s="1"/>
  <c r="AR61" i="30"/>
  <c r="BM61" i="30" s="1"/>
  <c r="V126" i="16" s="1"/>
  <c r="AJ61" i="30"/>
  <c r="BE61" i="30" s="1"/>
  <c r="N126" i="16" s="1"/>
  <c r="AN61" i="30"/>
  <c r="BI61" i="30" s="1"/>
  <c r="R126" i="16" s="1"/>
  <c r="AB61" i="30"/>
  <c r="AW61" i="30" s="1"/>
  <c r="F126" i="16" s="1"/>
  <c r="AK61" i="30"/>
  <c r="BF61" i="30" s="1"/>
  <c r="O126" i="16" s="1"/>
  <c r="AO61" i="30"/>
  <c r="BJ61" i="30" s="1"/>
  <c r="S126" i="16" s="1"/>
  <c r="Y61" i="30"/>
  <c r="AT61" i="30" s="1"/>
  <c r="C126" i="16" s="1"/>
  <c r="AG61" i="30"/>
  <c r="BB61" i="30" s="1"/>
  <c r="K126" i="16" s="1"/>
  <c r="AA61" i="30"/>
  <c r="AV61" i="30" s="1"/>
  <c r="E126" i="16" s="1"/>
  <c r="AP61" i="30"/>
  <c r="BK61" i="30" s="1"/>
  <c r="T126" i="16" s="1"/>
  <c r="AC61" i="30"/>
  <c r="AX61" i="30" s="1"/>
  <c r="G126" i="16" s="1"/>
  <c r="AD61" i="30"/>
  <c r="AY61" i="30" s="1"/>
  <c r="H126" i="16" s="1"/>
  <c r="AH61" i="30"/>
  <c r="BC61" i="30" s="1"/>
  <c r="L126" i="16" s="1"/>
  <c r="AI61" i="30"/>
  <c r="BD61" i="30" s="1"/>
  <c r="M126" i="16" s="1"/>
  <c r="AM61" i="30"/>
  <c r="BH61" i="30" s="1"/>
  <c r="Q126" i="16" s="1"/>
  <c r="B299" i="16"/>
  <c r="AC234" i="30"/>
  <c r="AX234" i="30" s="1"/>
  <c r="G299" i="16" s="1"/>
  <c r="AO234" i="30"/>
  <c r="BJ234" i="30" s="1"/>
  <c r="S299" i="16" s="1"/>
  <c r="AH234" i="30"/>
  <c r="BC234" i="30" s="1"/>
  <c r="L299" i="16" s="1"/>
  <c r="AI234" i="30"/>
  <c r="BD234" i="30" s="1"/>
  <c r="M299" i="16" s="1"/>
  <c r="AJ234" i="30"/>
  <c r="BE234" i="30" s="1"/>
  <c r="N299" i="16" s="1"/>
  <c r="AM234" i="30"/>
  <c r="BH234" i="30" s="1"/>
  <c r="Q299" i="16" s="1"/>
  <c r="AA234" i="30"/>
  <c r="AV234" i="30" s="1"/>
  <c r="E299" i="16" s="1"/>
  <c r="AQ234" i="30"/>
  <c r="BL234" i="30" s="1"/>
  <c r="U299" i="16" s="1"/>
  <c r="AE234" i="30"/>
  <c r="AZ234" i="30" s="1"/>
  <c r="I299" i="16" s="1"/>
  <c r="AF234" i="30"/>
  <c r="BA234" i="30" s="1"/>
  <c r="J299" i="16" s="1"/>
  <c r="AK234" i="30"/>
  <c r="BF234" i="30" s="1"/>
  <c r="O299" i="16" s="1"/>
  <c r="AL234" i="30"/>
  <c r="BG234" i="30" s="1"/>
  <c r="P299" i="16" s="1"/>
  <c r="AN234" i="30"/>
  <c r="BI234" i="30" s="1"/>
  <c r="R299" i="16" s="1"/>
  <c r="Z234" i="30"/>
  <c r="AP234" i="30"/>
  <c r="BK234" i="30" s="1"/>
  <c r="T299" i="16" s="1"/>
  <c r="AG234" i="30"/>
  <c r="BB234" i="30" s="1"/>
  <c r="K299" i="16" s="1"/>
  <c r="AR234" i="30"/>
  <c r="BM234" i="30" s="1"/>
  <c r="V299" i="16" s="1"/>
  <c r="Y234" i="30"/>
  <c r="AT234" i="30" s="1"/>
  <c r="C299" i="16" s="1"/>
  <c r="AB234" i="30"/>
  <c r="AW234" i="30" s="1"/>
  <c r="F299" i="16" s="1"/>
  <c r="AD234" i="30"/>
  <c r="AY234" i="30" s="1"/>
  <c r="H299" i="16" s="1"/>
  <c r="B117" i="16"/>
  <c r="Z52" i="30"/>
  <c r="AL52" i="30"/>
  <c r="BG52" i="30" s="1"/>
  <c r="P117" i="16" s="1"/>
  <c r="AE52" i="30"/>
  <c r="AZ52" i="30" s="1"/>
  <c r="I117" i="16" s="1"/>
  <c r="AQ52" i="30"/>
  <c r="BL52" i="30" s="1"/>
  <c r="U117" i="16" s="1"/>
  <c r="AF52" i="30"/>
  <c r="BA52" i="30" s="1"/>
  <c r="J117" i="16" s="1"/>
  <c r="AR52" i="30"/>
  <c r="BM52" i="30" s="1"/>
  <c r="V117" i="16" s="1"/>
  <c r="AN52" i="30"/>
  <c r="BI52" i="30" s="1"/>
  <c r="R117" i="16" s="1"/>
  <c r="AB52" i="30"/>
  <c r="AW52" i="30" s="1"/>
  <c r="F117" i="16" s="1"/>
  <c r="AG52" i="30"/>
  <c r="BB52" i="30" s="1"/>
  <c r="K117" i="16" s="1"/>
  <c r="Y52" i="30"/>
  <c r="AT52" i="30" s="1"/>
  <c r="C117" i="16" s="1"/>
  <c r="AA52" i="30"/>
  <c r="AV52" i="30" s="1"/>
  <c r="E117" i="16" s="1"/>
  <c r="AD52" i="30"/>
  <c r="AY52" i="30" s="1"/>
  <c r="H117" i="16" s="1"/>
  <c r="AH52" i="30"/>
  <c r="BC52" i="30" s="1"/>
  <c r="L117" i="16" s="1"/>
  <c r="AI52" i="30"/>
  <c r="BD52" i="30" s="1"/>
  <c r="M117" i="16" s="1"/>
  <c r="AC52" i="30"/>
  <c r="AX52" i="30" s="1"/>
  <c r="G117" i="16" s="1"/>
  <c r="AJ52" i="30"/>
  <c r="BE52" i="30" s="1"/>
  <c r="N117" i="16" s="1"/>
  <c r="AK52" i="30"/>
  <c r="BF52" i="30" s="1"/>
  <c r="O117" i="16" s="1"/>
  <c r="AM52" i="30"/>
  <c r="BH52" i="30" s="1"/>
  <c r="Q117" i="16" s="1"/>
  <c r="AO52" i="30"/>
  <c r="BJ52" i="30" s="1"/>
  <c r="S117" i="16" s="1"/>
  <c r="AP52" i="30"/>
  <c r="BK52" i="30" s="1"/>
  <c r="T117" i="16" s="1"/>
  <c r="B132" i="16"/>
  <c r="Z67" i="30"/>
  <c r="AL67" i="30"/>
  <c r="BG67" i="30" s="1"/>
  <c r="P132" i="16" s="1"/>
  <c r="AE67" i="30"/>
  <c r="AZ67" i="30" s="1"/>
  <c r="I132" i="16" s="1"/>
  <c r="AQ67" i="30"/>
  <c r="BL67" i="30" s="1"/>
  <c r="U132" i="16" s="1"/>
  <c r="AF67" i="30"/>
  <c r="BA67" i="30" s="1"/>
  <c r="J132" i="16" s="1"/>
  <c r="AR67" i="30"/>
  <c r="BM67" i="30" s="1"/>
  <c r="V132" i="16" s="1"/>
  <c r="AB67" i="30"/>
  <c r="AW67" i="30" s="1"/>
  <c r="F132" i="16" s="1"/>
  <c r="AG67" i="30"/>
  <c r="BB67" i="30" s="1"/>
  <c r="K132" i="16" s="1"/>
  <c r="AJ67" i="30"/>
  <c r="BE67" i="30" s="1"/>
  <c r="N132" i="16" s="1"/>
  <c r="Y67" i="30"/>
  <c r="AT67" i="30" s="1"/>
  <c r="C132" i="16" s="1"/>
  <c r="AA67" i="30"/>
  <c r="AV67" i="30" s="1"/>
  <c r="E132" i="16" s="1"/>
  <c r="AD67" i="30"/>
  <c r="AY67" i="30" s="1"/>
  <c r="H132" i="16" s="1"/>
  <c r="AH67" i="30"/>
  <c r="BC67" i="30" s="1"/>
  <c r="L132" i="16" s="1"/>
  <c r="AN67" i="30"/>
  <c r="BI67" i="30" s="1"/>
  <c r="R132" i="16" s="1"/>
  <c r="AI67" i="30"/>
  <c r="BD67" i="30" s="1"/>
  <c r="M132" i="16" s="1"/>
  <c r="AK67" i="30"/>
  <c r="BF67" i="30" s="1"/>
  <c r="O132" i="16" s="1"/>
  <c r="AM67" i="30"/>
  <c r="BH67" i="30" s="1"/>
  <c r="Q132" i="16" s="1"/>
  <c r="AC67" i="30"/>
  <c r="AX67" i="30" s="1"/>
  <c r="G132" i="16" s="1"/>
  <c r="AO67" i="30"/>
  <c r="BJ67" i="30" s="1"/>
  <c r="S132" i="16" s="1"/>
  <c r="AP67" i="30"/>
  <c r="BK67" i="30" s="1"/>
  <c r="T132" i="16" s="1"/>
  <c r="B305" i="16"/>
  <c r="AC240" i="30"/>
  <c r="AX240" i="30" s="1"/>
  <c r="G305" i="16" s="1"/>
  <c r="AO240" i="30"/>
  <c r="BJ240" i="30" s="1"/>
  <c r="S305" i="16" s="1"/>
  <c r="AH240" i="30"/>
  <c r="BC240" i="30" s="1"/>
  <c r="L305" i="16" s="1"/>
  <c r="AI240" i="30"/>
  <c r="BD240" i="30" s="1"/>
  <c r="M305" i="16" s="1"/>
  <c r="AA240" i="30"/>
  <c r="AV240" i="30" s="1"/>
  <c r="E305" i="16" s="1"/>
  <c r="AQ240" i="30"/>
  <c r="BL240" i="30" s="1"/>
  <c r="U305" i="16" s="1"/>
  <c r="AE240" i="30"/>
  <c r="AZ240" i="30" s="1"/>
  <c r="I305" i="16" s="1"/>
  <c r="AJ240" i="30"/>
  <c r="BE240" i="30" s="1"/>
  <c r="N305" i="16" s="1"/>
  <c r="AM240" i="30"/>
  <c r="BH240" i="30" s="1"/>
  <c r="Q305" i="16" s="1"/>
  <c r="AR240" i="30"/>
  <c r="BM240" i="30" s="1"/>
  <c r="V305" i="16" s="1"/>
  <c r="AN240" i="30"/>
  <c r="BI240" i="30" s="1"/>
  <c r="R305" i="16" s="1"/>
  <c r="Y240" i="30"/>
  <c r="AT240" i="30" s="1"/>
  <c r="C305" i="16" s="1"/>
  <c r="Z240" i="30"/>
  <c r="AG240" i="30"/>
  <c r="BB240" i="30" s="1"/>
  <c r="K305" i="16" s="1"/>
  <c r="AB240" i="30"/>
  <c r="AW240" i="30" s="1"/>
  <c r="F305" i="16" s="1"/>
  <c r="AD240" i="30"/>
  <c r="AY240" i="30" s="1"/>
  <c r="H305" i="16" s="1"/>
  <c r="AF240" i="30"/>
  <c r="BA240" i="30" s="1"/>
  <c r="J305" i="16" s="1"/>
  <c r="AP240" i="30"/>
  <c r="BK240" i="30" s="1"/>
  <c r="T305" i="16" s="1"/>
  <c r="AK240" i="30"/>
  <c r="BF240" i="30" s="1"/>
  <c r="O305" i="16" s="1"/>
  <c r="AL240" i="30"/>
  <c r="BG240" i="30" s="1"/>
  <c r="P305" i="16" s="1"/>
  <c r="B123" i="16"/>
  <c r="Z58" i="30"/>
  <c r="AL58" i="30"/>
  <c r="BG58" i="30" s="1"/>
  <c r="P123" i="16" s="1"/>
  <c r="AE58" i="30"/>
  <c r="AZ58" i="30" s="1"/>
  <c r="I123" i="16" s="1"/>
  <c r="AQ58" i="30"/>
  <c r="BL58" i="30" s="1"/>
  <c r="U123" i="16" s="1"/>
  <c r="AF58" i="30"/>
  <c r="BA58" i="30" s="1"/>
  <c r="J123" i="16" s="1"/>
  <c r="AR58" i="30"/>
  <c r="BM58" i="30" s="1"/>
  <c r="V123" i="16" s="1"/>
  <c r="AG58" i="30"/>
  <c r="BB58" i="30" s="1"/>
  <c r="K123" i="16" s="1"/>
  <c r="AJ58" i="30"/>
  <c r="BE58" i="30" s="1"/>
  <c r="N123" i="16" s="1"/>
  <c r="AN58" i="30"/>
  <c r="BI58" i="30" s="1"/>
  <c r="R123" i="16" s="1"/>
  <c r="AH58" i="30"/>
  <c r="BC58" i="30" s="1"/>
  <c r="L123" i="16" s="1"/>
  <c r="AI58" i="30"/>
  <c r="BD58" i="30" s="1"/>
  <c r="M123" i="16" s="1"/>
  <c r="AO58" i="30"/>
  <c r="BJ58" i="30" s="1"/>
  <c r="S123" i="16" s="1"/>
  <c r="AP58" i="30"/>
  <c r="BK58" i="30" s="1"/>
  <c r="T123" i="16" s="1"/>
  <c r="AM58" i="30"/>
  <c r="BH58" i="30" s="1"/>
  <c r="Q123" i="16" s="1"/>
  <c r="Y58" i="30"/>
  <c r="AT58" i="30" s="1"/>
  <c r="C123" i="16" s="1"/>
  <c r="AA58" i="30"/>
  <c r="AV58" i="30" s="1"/>
  <c r="E123" i="16" s="1"/>
  <c r="AB58" i="30"/>
  <c r="AW58" i="30" s="1"/>
  <c r="F123" i="16" s="1"/>
  <c r="AC58" i="30"/>
  <c r="AX58" i="30" s="1"/>
  <c r="G123" i="16" s="1"/>
  <c r="AD58" i="30"/>
  <c r="AY58" i="30" s="1"/>
  <c r="H123" i="16" s="1"/>
  <c r="AK58" i="30"/>
  <c r="BF58" i="30" s="1"/>
  <c r="O123" i="16" s="1"/>
  <c r="B115" i="16"/>
  <c r="AD50" i="30"/>
  <c r="AY50" i="30" s="1"/>
  <c r="H115" i="16" s="1"/>
  <c r="AP50" i="30"/>
  <c r="BK50" i="30" s="1"/>
  <c r="T115" i="16" s="1"/>
  <c r="AI50" i="30"/>
  <c r="BD50" i="30" s="1"/>
  <c r="M115" i="16" s="1"/>
  <c r="AJ50" i="30"/>
  <c r="BE50" i="30" s="1"/>
  <c r="N115" i="16" s="1"/>
  <c r="AF50" i="30"/>
  <c r="BA50" i="30" s="1"/>
  <c r="J115" i="16" s="1"/>
  <c r="AK50" i="30"/>
  <c r="BF50" i="30" s="1"/>
  <c r="O115" i="16" s="1"/>
  <c r="Y50" i="30"/>
  <c r="AT50" i="30" s="1"/>
  <c r="C115" i="16" s="1"/>
  <c r="AN50" i="30"/>
  <c r="BI50" i="30" s="1"/>
  <c r="R115" i="16" s="1"/>
  <c r="AR50" i="30"/>
  <c r="BM50" i="30" s="1"/>
  <c r="V115" i="16" s="1"/>
  <c r="Z50" i="30"/>
  <c r="AA50" i="30"/>
  <c r="AV50" i="30" s="1"/>
  <c r="E115" i="16" s="1"/>
  <c r="AC50" i="30"/>
  <c r="AX50" i="30" s="1"/>
  <c r="G115" i="16" s="1"/>
  <c r="AE50" i="30"/>
  <c r="AZ50" i="30" s="1"/>
  <c r="I115" i="16" s="1"/>
  <c r="AG50" i="30"/>
  <c r="BB50" i="30" s="1"/>
  <c r="K115" i="16" s="1"/>
  <c r="AH50" i="30"/>
  <c r="BC50" i="30" s="1"/>
  <c r="L115" i="16" s="1"/>
  <c r="AL50" i="30"/>
  <c r="BG50" i="30" s="1"/>
  <c r="P115" i="16" s="1"/>
  <c r="AM50" i="30"/>
  <c r="BH50" i="30" s="1"/>
  <c r="Q115" i="16" s="1"/>
  <c r="AO50" i="30"/>
  <c r="BJ50" i="30" s="1"/>
  <c r="S115" i="16" s="1"/>
  <c r="AQ50" i="30"/>
  <c r="BL50" i="30" s="1"/>
  <c r="U115" i="16" s="1"/>
  <c r="AB50" i="30"/>
  <c r="AW50" i="30" s="1"/>
  <c r="F115" i="16" s="1"/>
  <c r="U7" i="37"/>
  <c r="H7" i="37"/>
  <c r="C114" i="16" l="1"/>
  <c r="F7" i="37"/>
  <c r="E7" i="37" l="1"/>
  <c r="D16" i="19"/>
  <c r="E28" i="21"/>
  <c r="E33" i="21"/>
  <c r="E34" i="21"/>
  <c r="E4" i="11"/>
  <c r="E29" i="21" s="1"/>
  <c r="E6" i="37" l="1"/>
  <c r="E5" i="37"/>
  <c r="W6" i="37"/>
  <c r="X6" i="37" s="1"/>
  <c r="Y6" i="37" s="1"/>
  <c r="Z6" i="37" s="1"/>
  <c r="AA6" i="37" s="1"/>
  <c r="AB6" i="37" s="1"/>
  <c r="AC6" i="37" s="1"/>
  <c r="AD6" i="37" s="1"/>
  <c r="AE6" i="37" s="1"/>
  <c r="AF6" i="37" s="1"/>
  <c r="W5" i="37"/>
  <c r="X5" i="37" s="1"/>
  <c r="Y5" i="37" s="1"/>
  <c r="Z5" i="37" s="1"/>
  <c r="AA5" i="37" s="1"/>
  <c r="AB5" i="37" s="1"/>
  <c r="AC5" i="37" s="1"/>
  <c r="AD5" i="37" s="1"/>
  <c r="AE5" i="37" s="1"/>
  <c r="AF5" i="37" s="1"/>
  <c r="J6" i="37"/>
  <c r="K6" i="37" s="1"/>
  <c r="L6" i="37" s="1"/>
  <c r="M6" i="37" s="1"/>
  <c r="N6" i="37" s="1"/>
  <c r="O6" i="37" s="1"/>
  <c r="P6" i="37" s="1"/>
  <c r="Q6" i="37" s="1"/>
  <c r="R6" i="37" s="1"/>
  <c r="S6" i="37" s="1"/>
  <c r="J5" i="37"/>
  <c r="K5" i="37" s="1"/>
  <c r="L5" i="37" s="1"/>
  <c r="M5" i="37" s="1"/>
  <c r="N5" i="37" s="1"/>
  <c r="O5" i="37" s="1"/>
  <c r="P5" i="37" s="1"/>
  <c r="Q5" i="37" s="1"/>
  <c r="R5" i="37" s="1"/>
  <c r="S5" i="37" s="1"/>
  <c r="D14" i="19"/>
  <c r="D15" i="19"/>
  <c r="AI5" i="37"/>
  <c r="AJ5" i="37" s="1"/>
  <c r="AK5" i="37" s="1"/>
  <c r="AL5" i="37" s="1"/>
  <c r="AM5" i="37" s="1"/>
  <c r="AN5" i="37" s="1"/>
  <c r="AO5" i="37" s="1"/>
  <c r="AP5" i="37" s="1"/>
  <c r="AQ5" i="37" s="1"/>
  <c r="AR5" i="37" s="1"/>
  <c r="AS5" i="37" s="1"/>
  <c r="AI6" i="37"/>
  <c r="AJ6" i="37" s="1"/>
  <c r="AI4" i="37"/>
  <c r="AH7" i="37" s="1"/>
  <c r="J4" i="37"/>
  <c r="K4" i="37" s="1"/>
  <c r="W4" i="37"/>
  <c r="X4" i="37" s="1"/>
  <c r="Y4" i="37" s="1"/>
  <c r="Z4" i="37" s="1"/>
  <c r="AA4" i="37" s="1"/>
  <c r="AB4" i="37" s="1"/>
  <c r="AC4" i="37" s="1"/>
  <c r="AD4" i="37" s="1"/>
  <c r="AE4" i="37" s="1"/>
  <c r="AF4" i="37" s="1"/>
  <c r="AF3" i="37"/>
  <c r="AS3" i="37" s="1"/>
  <c r="AC3" i="37"/>
  <c r="AP3" i="37" s="1"/>
  <c r="AD3" i="37"/>
  <c r="AQ3" i="37" s="1"/>
  <c r="AE3" i="37"/>
  <c r="AR3" i="37" s="1"/>
  <c r="W3" i="37"/>
  <c r="AJ3" i="37" s="1"/>
  <c r="X3" i="37"/>
  <c r="AK3" i="37" s="1"/>
  <c r="Y3" i="37"/>
  <c r="AL3" i="37" s="1"/>
  <c r="Z3" i="37"/>
  <c r="AM3" i="37" s="1"/>
  <c r="AA3" i="37"/>
  <c r="AN3" i="37" s="1"/>
  <c r="AB3" i="37"/>
  <c r="AO3" i="37" s="1"/>
  <c r="V3" i="37"/>
  <c r="AI3" i="37" s="1"/>
  <c r="H5" i="37"/>
  <c r="U5" i="37" s="1"/>
  <c r="AH5" i="37" s="1"/>
  <c r="H6" i="37"/>
  <c r="U6" i="37" s="1"/>
  <c r="AH6" i="37" s="1"/>
  <c r="H4" i="37"/>
  <c r="U4" i="37" s="1"/>
  <c r="AH4" i="37" s="1"/>
  <c r="I53" i="19"/>
  <c r="D35" i="19"/>
  <c r="D12" i="19"/>
  <c r="AK6" i="37" l="1"/>
  <c r="AL6" i="37" s="1"/>
  <c r="AM6" i="37" s="1"/>
  <c r="AN6" i="37" s="1"/>
  <c r="AO6" i="37" s="1"/>
  <c r="AP6" i="37" s="1"/>
  <c r="AQ6" i="37" s="1"/>
  <c r="AR6" i="37" s="1"/>
  <c r="AS6" i="37" s="1"/>
  <c r="L4" i="37"/>
  <c r="M4" i="37" s="1"/>
  <c r="N4" i="37" s="1"/>
  <c r="O4" i="37" s="1"/>
  <c r="P4" i="37" s="1"/>
  <c r="Q4" i="37" s="1"/>
  <c r="R4" i="37" s="1"/>
  <c r="S4" i="37" s="1"/>
  <c r="D48" i="19"/>
  <c r="AJ4" i="37"/>
  <c r="AK4" i="37" s="1"/>
  <c r="AL4" i="37" s="1"/>
  <c r="AM4" i="37" s="1"/>
  <c r="AN4" i="37" s="1"/>
  <c r="AO4" i="37" s="1"/>
  <c r="AP4" i="37" s="1"/>
  <c r="AQ4" i="37" s="1"/>
  <c r="AR4" i="37" s="1"/>
  <c r="AS4" i="37" s="1"/>
  <c r="N31" i="23"/>
  <c r="N32" i="23"/>
  <c r="N33" i="23"/>
  <c r="N34" i="23"/>
  <c r="N35" i="23"/>
  <c r="N30" i="23"/>
  <c r="R58" i="22"/>
  <c r="AP387" i="27"/>
  <c r="AP387" i="26"/>
  <c r="AP387" i="24"/>
  <c r="AP386" i="24"/>
  <c r="AP386" i="28"/>
  <c r="AP387" i="28"/>
  <c r="AP386" i="27"/>
  <c r="AP386" i="25"/>
  <c r="AP387" i="25"/>
  <c r="D46" i="19" l="1"/>
  <c r="D47" i="19"/>
  <c r="D58" i="12"/>
  <c r="E58" i="12"/>
  <c r="F58" i="12"/>
  <c r="G58" i="12"/>
  <c r="D59" i="12"/>
  <c r="E59" i="12"/>
  <c r="F59" i="12"/>
  <c r="G59" i="12"/>
  <c r="D60" i="12"/>
  <c r="E60" i="12"/>
  <c r="F60" i="12"/>
  <c r="G60" i="12"/>
  <c r="D61" i="12"/>
  <c r="E61" i="12"/>
  <c r="F61" i="12"/>
  <c r="G61" i="12"/>
  <c r="D62" i="12"/>
  <c r="E62" i="12"/>
  <c r="F62" i="12"/>
  <c r="G62" i="12"/>
  <c r="D63" i="12"/>
  <c r="E63" i="12"/>
  <c r="F63" i="12"/>
  <c r="G63" i="12"/>
  <c r="D64" i="12"/>
  <c r="E64" i="12"/>
  <c r="F64" i="12"/>
  <c r="G64" i="12"/>
  <c r="D65" i="12"/>
  <c r="E65" i="12"/>
  <c r="F65" i="12"/>
  <c r="G65" i="12"/>
  <c r="D66" i="12"/>
  <c r="E66" i="12"/>
  <c r="F66" i="12"/>
  <c r="G66" i="12"/>
  <c r="D67" i="12"/>
  <c r="E67" i="12"/>
  <c r="F67" i="12"/>
  <c r="G67" i="12"/>
  <c r="D68" i="12"/>
  <c r="E68" i="12"/>
  <c r="F68" i="12"/>
  <c r="G68" i="12"/>
  <c r="D69" i="12"/>
  <c r="E69" i="12"/>
  <c r="F69" i="12"/>
  <c r="G69" i="12"/>
  <c r="D70" i="12"/>
  <c r="E70" i="12"/>
  <c r="F70" i="12"/>
  <c r="G70" i="12"/>
  <c r="D71" i="12"/>
  <c r="E71" i="12"/>
  <c r="F71" i="12"/>
  <c r="G71" i="12"/>
  <c r="D72" i="12"/>
  <c r="E72" i="12"/>
  <c r="F72" i="12"/>
  <c r="G72" i="12"/>
  <c r="D73" i="12"/>
  <c r="E73" i="12"/>
  <c r="F73" i="12"/>
  <c r="G73" i="12"/>
  <c r="D74" i="12"/>
  <c r="E74" i="12"/>
  <c r="F74" i="12"/>
  <c r="G74" i="12"/>
  <c r="D75" i="12"/>
  <c r="E75" i="12"/>
  <c r="F75" i="12"/>
  <c r="G75" i="12"/>
  <c r="D76" i="12"/>
  <c r="E76" i="12"/>
  <c r="F76" i="12"/>
  <c r="G76" i="12"/>
  <c r="D77" i="12"/>
  <c r="E77" i="12"/>
  <c r="F77" i="12"/>
  <c r="G77" i="12"/>
  <c r="D78" i="12"/>
  <c r="E78" i="12"/>
  <c r="F78" i="12"/>
  <c r="G78" i="12"/>
  <c r="D79" i="12"/>
  <c r="E79" i="12"/>
  <c r="F79" i="12"/>
  <c r="G79" i="12"/>
  <c r="D80" i="12"/>
  <c r="E80" i="12"/>
  <c r="F80" i="12"/>
  <c r="G80" i="12"/>
  <c r="D81" i="12"/>
  <c r="E81" i="12"/>
  <c r="F81" i="12"/>
  <c r="G81" i="12"/>
  <c r="D82" i="12"/>
  <c r="E82" i="12"/>
  <c r="F82" i="12"/>
  <c r="G82" i="12"/>
  <c r="D84" i="12"/>
  <c r="E84" i="12"/>
  <c r="F84" i="12"/>
  <c r="G84" i="12"/>
  <c r="D85" i="12"/>
  <c r="E85" i="12"/>
  <c r="F85" i="12"/>
  <c r="G85" i="12"/>
  <c r="D86" i="12"/>
  <c r="E86" i="12"/>
  <c r="F86" i="12"/>
  <c r="G86" i="12"/>
  <c r="D87" i="12"/>
  <c r="E87" i="12"/>
  <c r="F87" i="12"/>
  <c r="G87" i="12"/>
  <c r="D88" i="12"/>
  <c r="E88" i="12"/>
  <c r="F88" i="12"/>
  <c r="G88" i="12"/>
  <c r="D90" i="12"/>
  <c r="E90" i="12"/>
  <c r="F90" i="12"/>
  <c r="G90" i="12"/>
  <c r="D91" i="12"/>
  <c r="E91" i="12"/>
  <c r="F91" i="12"/>
  <c r="G91" i="12"/>
  <c r="D92" i="12"/>
  <c r="E92" i="12"/>
  <c r="F92" i="12"/>
  <c r="G92" i="12"/>
  <c r="D93" i="12"/>
  <c r="E93" i="12"/>
  <c r="F93" i="12"/>
  <c r="G93" i="12"/>
  <c r="D94" i="12"/>
  <c r="E94" i="12"/>
  <c r="F94" i="12"/>
  <c r="G94" i="12"/>
  <c r="D96" i="12"/>
  <c r="E96" i="12"/>
  <c r="F96" i="12"/>
  <c r="G96" i="12"/>
  <c r="D97" i="12"/>
  <c r="E97" i="12"/>
  <c r="F97" i="12"/>
  <c r="G97" i="12"/>
  <c r="D98" i="12"/>
  <c r="E98" i="12"/>
  <c r="F98" i="12"/>
  <c r="G98" i="12"/>
  <c r="D99" i="12"/>
  <c r="E99" i="12"/>
  <c r="F99" i="12"/>
  <c r="G99" i="12"/>
  <c r="D100" i="12"/>
  <c r="E100" i="12"/>
  <c r="F100" i="12"/>
  <c r="G100" i="12"/>
  <c r="D101" i="12"/>
  <c r="F101" i="12"/>
  <c r="G101" i="12"/>
  <c r="D102" i="12"/>
  <c r="F102" i="12"/>
  <c r="G102" i="12"/>
  <c r="D103" i="12"/>
  <c r="F103" i="12"/>
  <c r="G103" i="12"/>
  <c r="D104" i="12"/>
  <c r="F104" i="12"/>
  <c r="G104" i="12"/>
  <c r="D105" i="12"/>
  <c r="F105" i="12"/>
  <c r="G105" i="12"/>
  <c r="D106" i="12"/>
  <c r="F106" i="12"/>
  <c r="G106" i="12"/>
  <c r="F3" i="11"/>
  <c r="G37" i="12"/>
  <c r="F36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C36" i="12"/>
  <c r="D36" i="12"/>
  <c r="C37" i="12"/>
  <c r="C35" i="12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96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D43" i="29"/>
  <c r="D40" i="29"/>
  <c r="D37" i="29"/>
  <c r="G6" i="11"/>
  <c r="G35" i="12" s="1"/>
  <c r="H6" i="11"/>
  <c r="H35" i="12" s="1"/>
  <c r="I6" i="11"/>
  <c r="I35" i="12" s="1"/>
  <c r="J6" i="11"/>
  <c r="J35" i="12" s="1"/>
  <c r="K6" i="11"/>
  <c r="K35" i="12" s="1"/>
  <c r="L6" i="11"/>
  <c r="L35" i="12" s="1"/>
  <c r="M6" i="11"/>
  <c r="M35" i="12" s="1"/>
  <c r="N6" i="11"/>
  <c r="N35" i="12" s="1"/>
  <c r="O6" i="11"/>
  <c r="O35" i="12" s="1"/>
  <c r="P6" i="11"/>
  <c r="P35" i="12" s="1"/>
  <c r="R6" i="11"/>
  <c r="R35" i="12" s="1"/>
  <c r="S6" i="11"/>
  <c r="S35" i="12" s="1"/>
  <c r="T6" i="11"/>
  <c r="T35" i="12" s="1"/>
  <c r="U6" i="11"/>
  <c r="U35" i="12" s="1"/>
  <c r="V6" i="11"/>
  <c r="V35" i="12" s="1"/>
  <c r="W6" i="11"/>
  <c r="W35" i="12" s="1"/>
  <c r="X6" i="11"/>
  <c r="X35" i="12" s="1"/>
  <c r="Y6" i="11"/>
  <c r="Y35" i="12" s="1"/>
  <c r="Z6" i="11"/>
  <c r="Z35" i="12" s="1"/>
  <c r="AA6" i="11"/>
  <c r="AA35" i="12" s="1"/>
  <c r="AB6" i="11"/>
  <c r="AB35" i="12" s="1"/>
  <c r="AC6" i="11"/>
  <c r="AC35" i="12" s="1"/>
  <c r="AD6" i="11"/>
  <c r="AD35" i="12" s="1"/>
  <c r="AE6" i="11"/>
  <c r="AE35" i="12" s="1"/>
  <c r="AF6" i="11"/>
  <c r="AF35" i="12" s="1"/>
  <c r="AG6" i="11"/>
  <c r="AG35" i="12" s="1"/>
  <c r="AH6" i="11"/>
  <c r="AH35" i="12" s="1"/>
  <c r="AI6" i="11"/>
  <c r="AI35" i="12" s="1"/>
  <c r="F6" i="11"/>
  <c r="F35" i="12" s="1"/>
  <c r="D6" i="11"/>
  <c r="D35" i="12" s="1"/>
  <c r="Q10" i="29"/>
  <c r="Q6" i="11" s="1"/>
  <c r="Q35" i="12" s="1"/>
  <c r="Q19" i="20"/>
  <c r="R19" i="20"/>
  <c r="S19" i="20"/>
  <c r="T19" i="20"/>
  <c r="U19" i="20"/>
  <c r="V19" i="20"/>
  <c r="W19" i="20"/>
  <c r="X19" i="20"/>
  <c r="Z19" i="20"/>
  <c r="AA19" i="20"/>
  <c r="AB19" i="20"/>
  <c r="AC19" i="20"/>
  <c r="AD19" i="20"/>
  <c r="AE19" i="20"/>
  <c r="AF19" i="20"/>
  <c r="AG19" i="20"/>
  <c r="AH19" i="20"/>
  <c r="AI19" i="20"/>
  <c r="AJ19" i="20"/>
  <c r="AK19" i="20"/>
  <c r="AL19" i="20"/>
  <c r="AM19" i="20"/>
  <c r="AN19" i="20"/>
  <c r="AO19" i="20"/>
  <c r="AP19" i="20"/>
  <c r="AQ19" i="20"/>
  <c r="P19" i="20"/>
  <c r="Y12" i="20" l="1"/>
  <c r="Y20" i="20"/>
  <c r="Y21" i="20"/>
  <c r="P263" i="33"/>
  <c r="G352" i="33" l="1"/>
  <c r="E179" i="33"/>
  <c r="E197" i="33" s="1"/>
  <c r="E206" i="33" s="1"/>
  <c r="E215" i="33" s="1"/>
  <c r="F179" i="33"/>
  <c r="F197" i="33" s="1"/>
  <c r="F206" i="33" s="1"/>
  <c r="F215" i="33" s="1"/>
  <c r="E238" i="33"/>
  <c r="E246" i="33" s="1"/>
  <c r="F238" i="33"/>
  <c r="F246" i="33" s="1"/>
  <c r="E254" i="33"/>
  <c r="F254" i="33"/>
  <c r="E267" i="33"/>
  <c r="E274" i="33" s="1"/>
  <c r="F267" i="33"/>
  <c r="F274" i="33" s="1"/>
  <c r="E269" i="33"/>
  <c r="E276" i="33" s="1"/>
  <c r="E307" i="33" s="1"/>
  <c r="E331" i="33" s="1"/>
  <c r="F269" i="33"/>
  <c r="F276" i="33" s="1"/>
  <c r="G269" i="33"/>
  <c r="G276" i="33" s="1"/>
  <c r="G284" i="33" s="1"/>
  <c r="H269" i="33"/>
  <c r="H276" i="33" s="1"/>
  <c r="H284" i="33" s="1"/>
  <c r="H293" i="33" s="1"/>
  <c r="I269" i="33"/>
  <c r="I276" i="33" s="1"/>
  <c r="J269" i="33"/>
  <c r="J276" i="33" s="1"/>
  <c r="J284" i="33" s="1"/>
  <c r="K269" i="33"/>
  <c r="K276" i="33" s="1"/>
  <c r="K284" i="33" s="1"/>
  <c r="K293" i="33" s="1"/>
  <c r="K301" i="33" s="1"/>
  <c r="L269" i="33"/>
  <c r="L276" i="33" s="1"/>
  <c r="M269" i="33"/>
  <c r="M276" i="33" s="1"/>
  <c r="M284" i="33" s="1"/>
  <c r="M293" i="33" s="1"/>
  <c r="N269" i="33"/>
  <c r="N276" i="33" s="1"/>
  <c r="O269" i="33"/>
  <c r="O276" i="33" s="1"/>
  <c r="P269" i="33"/>
  <c r="P276" i="33" s="1"/>
  <c r="P307" i="33" s="1"/>
  <c r="P331" i="33" s="1"/>
  <c r="Q269" i="33"/>
  <c r="Q276" i="33" s="1"/>
  <c r="Q307" i="33" s="1"/>
  <c r="Q331" i="33" s="1"/>
  <c r="R269" i="33"/>
  <c r="R276" i="33" s="1"/>
  <c r="S269" i="33"/>
  <c r="S276" i="33" s="1"/>
  <c r="S307" i="33" s="1"/>
  <c r="S331" i="33" s="1"/>
  <c r="T269" i="33"/>
  <c r="T276" i="33" s="1"/>
  <c r="T284" i="33" s="1"/>
  <c r="T293" i="33" s="1"/>
  <c r="U269" i="33"/>
  <c r="U276" i="33" s="1"/>
  <c r="V269" i="33"/>
  <c r="V276" i="33" s="1"/>
  <c r="V284" i="33" s="1"/>
  <c r="W269" i="33"/>
  <c r="W276" i="33" s="1"/>
  <c r="W284" i="33" s="1"/>
  <c r="W293" i="33" s="1"/>
  <c r="W301" i="33" s="1"/>
  <c r="X269" i="33"/>
  <c r="X276" i="33" s="1"/>
  <c r="Y269" i="33"/>
  <c r="Y276" i="33" s="1"/>
  <c r="Y284" i="33" s="1"/>
  <c r="Y293" i="33" s="1"/>
  <c r="Z269" i="33"/>
  <c r="Z276" i="33" s="1"/>
  <c r="AA269" i="33"/>
  <c r="AA276" i="33" s="1"/>
  <c r="AB269" i="33"/>
  <c r="AB276" i="33" s="1"/>
  <c r="AB307" i="33" s="1"/>
  <c r="AB331" i="33" s="1"/>
  <c r="AC269" i="33"/>
  <c r="AC276" i="33" s="1"/>
  <c r="AC307" i="33" s="1"/>
  <c r="AC331" i="33" s="1"/>
  <c r="AD269" i="33"/>
  <c r="AD276" i="33" s="1"/>
  <c r="AE269" i="33"/>
  <c r="AE276" i="33" s="1"/>
  <c r="AF269" i="33"/>
  <c r="AF276" i="33" s="1"/>
  <c r="AF284" i="33" s="1"/>
  <c r="AF293" i="33" s="1"/>
  <c r="AG269" i="33"/>
  <c r="AG276" i="33" s="1"/>
  <c r="AH269" i="33"/>
  <c r="AH276" i="33" s="1"/>
  <c r="AH284" i="33" s="1"/>
  <c r="E273" i="33"/>
  <c r="E280" i="33" s="1"/>
  <c r="E288" i="33" s="1"/>
  <c r="E318" i="33" s="1"/>
  <c r="E326" i="33" s="1"/>
  <c r="F273" i="33"/>
  <c r="F280" i="33" s="1"/>
  <c r="F288" i="33" s="1"/>
  <c r="F318" i="33" s="1"/>
  <c r="F326" i="33" s="1"/>
  <c r="G273" i="33"/>
  <c r="G280" i="33" s="1"/>
  <c r="G288" i="33" s="1"/>
  <c r="G318" i="33" s="1"/>
  <c r="G326" i="33" s="1"/>
  <c r="H273" i="33"/>
  <c r="H280" i="33" s="1"/>
  <c r="H288" i="33" s="1"/>
  <c r="H318" i="33" s="1"/>
  <c r="I273" i="33"/>
  <c r="I280" i="33" s="1"/>
  <c r="I288" i="33" s="1"/>
  <c r="I318" i="33" s="1"/>
  <c r="I326" i="33" s="1"/>
  <c r="J273" i="33"/>
  <c r="J280" i="33" s="1"/>
  <c r="J288" i="33" s="1"/>
  <c r="J318" i="33" s="1"/>
  <c r="J326" i="33" s="1"/>
  <c r="K273" i="33"/>
  <c r="K280" i="33" s="1"/>
  <c r="K288" i="33" s="1"/>
  <c r="K318" i="33" s="1"/>
  <c r="K326" i="33" s="1"/>
  <c r="L273" i="33"/>
  <c r="L280" i="33" s="1"/>
  <c r="L288" i="33" s="1"/>
  <c r="L318" i="33" s="1"/>
  <c r="L326" i="33" s="1"/>
  <c r="M273" i="33"/>
  <c r="M280" i="33" s="1"/>
  <c r="M288" i="33" s="1"/>
  <c r="M318" i="33" s="1"/>
  <c r="M326" i="33" s="1"/>
  <c r="N273" i="33"/>
  <c r="N280" i="33" s="1"/>
  <c r="N288" i="33" s="1"/>
  <c r="N318" i="33" s="1"/>
  <c r="N326" i="33" s="1"/>
  <c r="O273" i="33"/>
  <c r="O280" i="33" s="1"/>
  <c r="O288" i="33" s="1"/>
  <c r="O318" i="33" s="1"/>
  <c r="O326" i="33" s="1"/>
  <c r="Q273" i="33"/>
  <c r="Q280" i="33" s="1"/>
  <c r="Q288" i="33" s="1"/>
  <c r="Q318" i="33" s="1"/>
  <c r="Q326" i="33" s="1"/>
  <c r="R273" i="33"/>
  <c r="R280" i="33" s="1"/>
  <c r="R288" i="33" s="1"/>
  <c r="R318" i="33" s="1"/>
  <c r="R326" i="33" s="1"/>
  <c r="S273" i="33"/>
  <c r="S280" i="33" s="1"/>
  <c r="S288" i="33" s="1"/>
  <c r="S318" i="33" s="1"/>
  <c r="S326" i="33" s="1"/>
  <c r="T273" i="33"/>
  <c r="T280" i="33" s="1"/>
  <c r="T288" i="33" s="1"/>
  <c r="T318" i="33" s="1"/>
  <c r="U273" i="33"/>
  <c r="U280" i="33" s="1"/>
  <c r="U288" i="33" s="1"/>
  <c r="U318" i="33" s="1"/>
  <c r="V273" i="33"/>
  <c r="V280" i="33" s="1"/>
  <c r="V288" i="33" s="1"/>
  <c r="V318" i="33" s="1"/>
  <c r="V326" i="33" s="1"/>
  <c r="W273" i="33"/>
  <c r="W280" i="33" s="1"/>
  <c r="W288" i="33" s="1"/>
  <c r="W318" i="33" s="1"/>
  <c r="W326" i="33" s="1"/>
  <c r="X273" i="33"/>
  <c r="X280" i="33" s="1"/>
  <c r="X288" i="33" s="1"/>
  <c r="X318" i="33" s="1"/>
  <c r="X326" i="33" s="1"/>
  <c r="Y273" i="33"/>
  <c r="Y280" i="33" s="1"/>
  <c r="Y288" i="33" s="1"/>
  <c r="Y318" i="33" s="1"/>
  <c r="Y326" i="33" s="1"/>
  <c r="Z273" i="33"/>
  <c r="Z280" i="33" s="1"/>
  <c r="Z288" i="33" s="1"/>
  <c r="Z318" i="33" s="1"/>
  <c r="Z326" i="33" s="1"/>
  <c r="AA273" i="33"/>
  <c r="AB273" i="33"/>
  <c r="AB280" i="33" s="1"/>
  <c r="AB288" i="33" s="1"/>
  <c r="AB318" i="33" s="1"/>
  <c r="AB326" i="33" s="1"/>
  <c r="AC273" i="33"/>
  <c r="AC280" i="33" s="1"/>
  <c r="AC288" i="33" s="1"/>
  <c r="AC318" i="33" s="1"/>
  <c r="AC326" i="33" s="1"/>
  <c r="AD273" i="33"/>
  <c r="AD280" i="33" s="1"/>
  <c r="AD288" i="33" s="1"/>
  <c r="AD318" i="33" s="1"/>
  <c r="AD326" i="33" s="1"/>
  <c r="AE273" i="33"/>
  <c r="AE280" i="33" s="1"/>
  <c r="AE288" i="33" s="1"/>
  <c r="AE318" i="33" s="1"/>
  <c r="AE326" i="33" s="1"/>
  <c r="AF273" i="33"/>
  <c r="AF280" i="33" s="1"/>
  <c r="AF288" i="33" s="1"/>
  <c r="AF318" i="33" s="1"/>
  <c r="AG273" i="33"/>
  <c r="AG280" i="33" s="1"/>
  <c r="AG288" i="33" s="1"/>
  <c r="AG318" i="33" s="1"/>
  <c r="AG326" i="33" s="1"/>
  <c r="AH273" i="33"/>
  <c r="AH280" i="33" s="1"/>
  <c r="AH288" i="33" s="1"/>
  <c r="AH318" i="33" s="1"/>
  <c r="AH326" i="33" s="1"/>
  <c r="AA280" i="33"/>
  <c r="AA288" i="33" s="1"/>
  <c r="AA318" i="33" s="1"/>
  <c r="AA326" i="33" s="1"/>
  <c r="E283" i="33"/>
  <c r="E291" i="33" s="1"/>
  <c r="F283" i="33"/>
  <c r="F291" i="33" s="1"/>
  <c r="C273" i="33"/>
  <c r="C280" i="33" s="1"/>
  <c r="C288" i="33" s="1"/>
  <c r="C318" i="33" s="1"/>
  <c r="C269" i="33"/>
  <c r="C276" i="33" s="1"/>
  <c r="B255" i="33"/>
  <c r="C346" i="33"/>
  <c r="B361" i="33"/>
  <c r="B362" i="33"/>
  <c r="B363" i="33"/>
  <c r="B364" i="33"/>
  <c r="B365" i="33"/>
  <c r="B360" i="33"/>
  <c r="B327" i="33"/>
  <c r="B328" i="33"/>
  <c r="B329" i="33"/>
  <c r="B330" i="33"/>
  <c r="B331" i="33"/>
  <c r="B326" i="33"/>
  <c r="B289" i="33"/>
  <c r="B290" i="33"/>
  <c r="B291" i="33"/>
  <c r="B292" i="33"/>
  <c r="B293" i="33"/>
  <c r="B288" i="33"/>
  <c r="B251" i="33"/>
  <c r="B252" i="33"/>
  <c r="B253" i="33"/>
  <c r="B254" i="33"/>
  <c r="B250" i="33"/>
  <c r="B354" i="33"/>
  <c r="B355" i="33"/>
  <c r="B356" i="33"/>
  <c r="B357" i="33"/>
  <c r="B353" i="33"/>
  <c r="B319" i="33"/>
  <c r="B320" i="33"/>
  <c r="B321" i="33"/>
  <c r="B322" i="33"/>
  <c r="B318" i="33"/>
  <c r="B281" i="33"/>
  <c r="B282" i="33"/>
  <c r="B283" i="33"/>
  <c r="B284" i="33"/>
  <c r="B280" i="33"/>
  <c r="B243" i="33"/>
  <c r="B244" i="33"/>
  <c r="B245" i="33"/>
  <c r="B246" i="33"/>
  <c r="B242" i="33"/>
  <c r="B348" i="33"/>
  <c r="B349" i="33"/>
  <c r="B350" i="33"/>
  <c r="B347" i="33"/>
  <c r="B312" i="33"/>
  <c r="B313" i="33"/>
  <c r="B314" i="33"/>
  <c r="B311" i="33"/>
  <c r="B274" i="33"/>
  <c r="B275" i="33"/>
  <c r="B276" i="33"/>
  <c r="B273" i="33"/>
  <c r="B236" i="33"/>
  <c r="B237" i="33"/>
  <c r="B238" i="33"/>
  <c r="B235" i="33"/>
  <c r="B343" i="33"/>
  <c r="B344" i="33"/>
  <c r="B342" i="33"/>
  <c r="B306" i="33"/>
  <c r="B307" i="33"/>
  <c r="B305" i="33"/>
  <c r="B268" i="33"/>
  <c r="B269" i="33"/>
  <c r="B267" i="33"/>
  <c r="B230" i="33"/>
  <c r="B231" i="33"/>
  <c r="B229" i="33"/>
  <c r="B339" i="33"/>
  <c r="B338" i="33"/>
  <c r="B301" i="33"/>
  <c r="B300" i="33"/>
  <c r="B263" i="33"/>
  <c r="B262" i="33"/>
  <c r="B225" i="33"/>
  <c r="B224" i="33"/>
  <c r="B335" i="33"/>
  <c r="B297" i="33"/>
  <c r="C95" i="12" s="1"/>
  <c r="B259" i="33"/>
  <c r="C89" i="12" s="1"/>
  <c r="B221" i="33"/>
  <c r="C83" i="12" s="1"/>
  <c r="B213" i="33"/>
  <c r="B214" i="33"/>
  <c r="B215" i="33"/>
  <c r="B216" i="33"/>
  <c r="B217" i="33"/>
  <c r="B212" i="33"/>
  <c r="B204" i="33"/>
  <c r="B205" i="33"/>
  <c r="B206" i="33"/>
  <c r="B207" i="33"/>
  <c r="B208" i="33"/>
  <c r="B203" i="33"/>
  <c r="B195" i="33"/>
  <c r="B196" i="33"/>
  <c r="B197" i="33"/>
  <c r="B198" i="33"/>
  <c r="B199" i="33"/>
  <c r="B194" i="33"/>
  <c r="B186" i="33"/>
  <c r="B187" i="33"/>
  <c r="B188" i="33"/>
  <c r="B189" i="33"/>
  <c r="B190" i="33"/>
  <c r="B185" i="33"/>
  <c r="B177" i="33"/>
  <c r="B178" i="33"/>
  <c r="B179" i="33"/>
  <c r="B180" i="33"/>
  <c r="B181" i="33"/>
  <c r="B176" i="33"/>
  <c r="B169" i="33"/>
  <c r="B170" i="33"/>
  <c r="B171" i="33"/>
  <c r="B172" i="33"/>
  <c r="B168" i="33"/>
  <c r="B161" i="33"/>
  <c r="B162" i="33"/>
  <c r="B163" i="33"/>
  <c r="B164" i="33"/>
  <c r="B160" i="33"/>
  <c r="B153" i="33"/>
  <c r="B154" i="33"/>
  <c r="B155" i="33"/>
  <c r="B156" i="33"/>
  <c r="B152" i="33"/>
  <c r="B145" i="33"/>
  <c r="B146" i="33"/>
  <c r="B147" i="33"/>
  <c r="B148" i="33"/>
  <c r="B144" i="33"/>
  <c r="B137" i="33"/>
  <c r="B138" i="33"/>
  <c r="B139" i="33"/>
  <c r="B140" i="33"/>
  <c r="B136" i="33"/>
  <c r="B130" i="33"/>
  <c r="B131" i="33"/>
  <c r="B132" i="33"/>
  <c r="B129" i="33"/>
  <c r="B123" i="33"/>
  <c r="B124" i="33"/>
  <c r="B125" i="33"/>
  <c r="B122" i="33"/>
  <c r="B116" i="33"/>
  <c r="B117" i="33"/>
  <c r="B118" i="33"/>
  <c r="B115" i="33"/>
  <c r="B109" i="33"/>
  <c r="B110" i="33"/>
  <c r="B111" i="33"/>
  <c r="B108" i="33"/>
  <c r="B102" i="33"/>
  <c r="B103" i="33"/>
  <c r="B104" i="33"/>
  <c r="B101" i="33"/>
  <c r="B96" i="33"/>
  <c r="B97" i="33"/>
  <c r="B95" i="33"/>
  <c r="B90" i="33"/>
  <c r="B91" i="33"/>
  <c r="B89" i="33"/>
  <c r="B84" i="33"/>
  <c r="B85" i="33"/>
  <c r="B83" i="33"/>
  <c r="B78" i="33"/>
  <c r="B79" i="33"/>
  <c r="B77" i="33"/>
  <c r="B72" i="33"/>
  <c r="B73" i="33"/>
  <c r="B71" i="33"/>
  <c r="B67" i="33"/>
  <c r="B66" i="33"/>
  <c r="B62" i="33"/>
  <c r="B61" i="33"/>
  <c r="B57" i="33"/>
  <c r="B56" i="33"/>
  <c r="B52" i="33"/>
  <c r="B51" i="33"/>
  <c r="B47" i="33"/>
  <c r="B46" i="33"/>
  <c r="B43" i="33"/>
  <c r="C57" i="12" s="1"/>
  <c r="B40" i="33"/>
  <c r="C56" i="12" s="1"/>
  <c r="B37" i="33"/>
  <c r="C55" i="12" s="1"/>
  <c r="B34" i="33"/>
  <c r="C54" i="12" s="1"/>
  <c r="B31" i="33"/>
  <c r="C53" i="12" s="1"/>
  <c r="C249" i="33"/>
  <c r="C258" i="33"/>
  <c r="C261" i="33"/>
  <c r="C266" i="33"/>
  <c r="C272" i="33"/>
  <c r="C279" i="33"/>
  <c r="C287" i="33"/>
  <c r="C296" i="33"/>
  <c r="C299" i="33"/>
  <c r="C304" i="33"/>
  <c r="C310" i="33"/>
  <c r="C317" i="33"/>
  <c r="C325" i="33"/>
  <c r="C334" i="33"/>
  <c r="C337" i="33"/>
  <c r="C341" i="33"/>
  <c r="C352" i="33"/>
  <c r="C359" i="33"/>
  <c r="C100" i="33"/>
  <c r="C107" i="33"/>
  <c r="C114" i="33"/>
  <c r="C121" i="33"/>
  <c r="C128" i="33"/>
  <c r="C135" i="33"/>
  <c r="C143" i="33"/>
  <c r="C151" i="33"/>
  <c r="C159" i="33"/>
  <c r="C167" i="33"/>
  <c r="C175" i="33"/>
  <c r="C184" i="33"/>
  <c r="C193" i="33"/>
  <c r="C202" i="33"/>
  <c r="C211" i="33"/>
  <c r="C220" i="33"/>
  <c r="C223" i="33"/>
  <c r="C228" i="33"/>
  <c r="C234" i="33"/>
  <c r="C241" i="33"/>
  <c r="C33" i="33"/>
  <c r="C36" i="33"/>
  <c r="C39" i="33"/>
  <c r="C42" i="33"/>
  <c r="C45" i="33"/>
  <c r="C50" i="33"/>
  <c r="C55" i="33"/>
  <c r="C60" i="33"/>
  <c r="C65" i="33"/>
  <c r="C70" i="33"/>
  <c r="C76" i="33"/>
  <c r="C82" i="33"/>
  <c r="C88" i="33"/>
  <c r="C94" i="33"/>
  <c r="C30" i="33"/>
  <c r="V386" i="24"/>
  <c r="B53" i="33" l="1"/>
  <c r="D46" i="21"/>
  <c r="D101" i="21" s="1"/>
  <c r="B209" i="33"/>
  <c r="D68" i="21"/>
  <c r="D123" i="21" s="1"/>
  <c r="B112" i="33"/>
  <c r="D56" i="21"/>
  <c r="D111" i="21" s="1"/>
  <c r="B298" i="33"/>
  <c r="D82" i="21"/>
  <c r="D137" i="21" s="1"/>
  <c r="B48" i="33"/>
  <c r="D45" i="21"/>
  <c r="D100" i="21" s="1"/>
  <c r="B200" i="33"/>
  <c r="D67" i="21"/>
  <c r="D122" i="21" s="1"/>
  <c r="B105" i="33"/>
  <c r="D55" i="21"/>
  <c r="D110" i="21" s="1"/>
  <c r="B294" i="33"/>
  <c r="D81" i="21"/>
  <c r="D136" i="21" s="1"/>
  <c r="B44" i="33"/>
  <c r="D44" i="21"/>
  <c r="D99" i="21" s="1"/>
  <c r="B191" i="33"/>
  <c r="D66" i="21"/>
  <c r="D121" i="21" s="1"/>
  <c r="B366" i="33"/>
  <c r="D93" i="21"/>
  <c r="D148" i="21" s="1"/>
  <c r="B285" i="33"/>
  <c r="D80" i="21"/>
  <c r="D135" i="21" s="1"/>
  <c r="B32" i="33"/>
  <c r="D40" i="21"/>
  <c r="D95" i="21" s="1"/>
  <c r="B41" i="33"/>
  <c r="D43" i="21"/>
  <c r="D98" i="21" s="1"/>
  <c r="B182" i="33"/>
  <c r="D65" i="21"/>
  <c r="D120" i="21" s="1"/>
  <c r="B358" i="33"/>
  <c r="D92" i="21"/>
  <c r="D147" i="21" s="1"/>
  <c r="B277" i="33"/>
  <c r="D79" i="21"/>
  <c r="D134" i="21" s="1"/>
  <c r="B98" i="33"/>
  <c r="D54" i="21"/>
  <c r="D109" i="21" s="1"/>
  <c r="B38" i="33"/>
  <c r="D42" i="21"/>
  <c r="D97" i="21" s="1"/>
  <c r="B173" i="33"/>
  <c r="D64" i="21"/>
  <c r="D119" i="21" s="1"/>
  <c r="B345" i="33"/>
  <c r="D90" i="21"/>
  <c r="D145" i="21" s="1"/>
  <c r="B270" i="33"/>
  <c r="D78" i="21"/>
  <c r="D133" i="21" s="1"/>
  <c r="B351" i="33"/>
  <c r="D91" i="21"/>
  <c r="D146" i="21" s="1"/>
  <c r="B92" i="33"/>
  <c r="D53" i="21"/>
  <c r="D108" i="21" s="1"/>
  <c r="B35" i="33"/>
  <c r="D41" i="21"/>
  <c r="D96" i="21" s="1"/>
  <c r="B165" i="33"/>
  <c r="D63" i="21"/>
  <c r="D118" i="21" s="1"/>
  <c r="B340" i="33"/>
  <c r="D89" i="21"/>
  <c r="D144" i="21" s="1"/>
  <c r="B264" i="33"/>
  <c r="D77" i="21"/>
  <c r="D132" i="21" s="1"/>
  <c r="B86" i="33"/>
  <c r="D52" i="21"/>
  <c r="D107" i="21" s="1"/>
  <c r="B247" i="33"/>
  <c r="D74" i="21"/>
  <c r="D129" i="21" s="1"/>
  <c r="B157" i="33"/>
  <c r="D62" i="21"/>
  <c r="D117" i="21" s="1"/>
  <c r="B336" i="33"/>
  <c r="D88" i="21"/>
  <c r="D143" i="21" s="1"/>
  <c r="B260" i="33"/>
  <c r="D76" i="21"/>
  <c r="D131" i="21" s="1"/>
  <c r="B80" i="33"/>
  <c r="D51" i="21"/>
  <c r="D106" i="21" s="1"/>
  <c r="B239" i="33"/>
  <c r="D73" i="21"/>
  <c r="D128" i="21" s="1"/>
  <c r="B149" i="33"/>
  <c r="D61" i="21"/>
  <c r="D116" i="21" s="1"/>
  <c r="B332" i="33"/>
  <c r="D87" i="21"/>
  <c r="D142" i="21" s="1"/>
  <c r="B256" i="33"/>
  <c r="D75" i="21"/>
  <c r="D130" i="21" s="1"/>
  <c r="B74" i="33"/>
  <c r="D50" i="21"/>
  <c r="D105" i="21" s="1"/>
  <c r="B232" i="33"/>
  <c r="D72" i="21"/>
  <c r="D127" i="21" s="1"/>
  <c r="B141" i="33"/>
  <c r="D60" i="21"/>
  <c r="D115" i="21" s="1"/>
  <c r="B323" i="33"/>
  <c r="D86" i="21"/>
  <c r="D141" i="21" s="1"/>
  <c r="B68" i="33"/>
  <c r="D49" i="21"/>
  <c r="D104" i="21" s="1"/>
  <c r="B226" i="33"/>
  <c r="D71" i="21"/>
  <c r="D126" i="21" s="1"/>
  <c r="B133" i="33"/>
  <c r="D59" i="21"/>
  <c r="D114" i="21" s="1"/>
  <c r="B315" i="33"/>
  <c r="D85" i="21"/>
  <c r="D140" i="21" s="1"/>
  <c r="B63" i="33"/>
  <c r="D48" i="21"/>
  <c r="D103" i="21" s="1"/>
  <c r="B222" i="33"/>
  <c r="D70" i="21"/>
  <c r="D125" i="21" s="1"/>
  <c r="B126" i="33"/>
  <c r="D58" i="21"/>
  <c r="D113" i="21" s="1"/>
  <c r="B308" i="33"/>
  <c r="D84" i="21"/>
  <c r="D139" i="21" s="1"/>
  <c r="B58" i="33"/>
  <c r="D47" i="21"/>
  <c r="D102" i="21" s="1"/>
  <c r="B218" i="33"/>
  <c r="D69" i="21"/>
  <c r="D124" i="21" s="1"/>
  <c r="B119" i="33"/>
  <c r="D57" i="21"/>
  <c r="D112" i="21" s="1"/>
  <c r="B302" i="33"/>
  <c r="D83" i="21"/>
  <c r="D138" i="21" s="1"/>
  <c r="K307" i="33"/>
  <c r="K331" i="33" s="1"/>
  <c r="J307" i="33"/>
  <c r="J331" i="33" s="1"/>
  <c r="U326" i="33"/>
  <c r="U335" i="33"/>
  <c r="H326" i="33"/>
  <c r="H335" i="33"/>
  <c r="AF326" i="33"/>
  <c r="AF335" i="33"/>
  <c r="T326" i="33"/>
  <c r="T335" i="33"/>
  <c r="F188" i="33"/>
  <c r="AB335" i="33"/>
  <c r="AA335" i="33"/>
  <c r="O335" i="33"/>
  <c r="Z335" i="33"/>
  <c r="N335" i="33"/>
  <c r="Y335" i="33"/>
  <c r="M335" i="33"/>
  <c r="X335" i="33"/>
  <c r="L335" i="33"/>
  <c r="W335" i="33"/>
  <c r="K335" i="33"/>
  <c r="AH335" i="33"/>
  <c r="V335" i="33"/>
  <c r="J335" i="33"/>
  <c r="AG335" i="33"/>
  <c r="I335" i="33"/>
  <c r="AE335" i="33"/>
  <c r="S335" i="33"/>
  <c r="G335" i="33"/>
  <c r="AD335" i="33"/>
  <c r="R335" i="33"/>
  <c r="F335" i="33"/>
  <c r="AC335" i="33"/>
  <c r="Q335" i="33"/>
  <c r="E335" i="33"/>
  <c r="C307" i="33"/>
  <c r="C331" i="33" s="1"/>
  <c r="C284" i="33"/>
  <c r="C335" i="33"/>
  <c r="C326" i="33"/>
  <c r="E188" i="33"/>
  <c r="W307" i="33"/>
  <c r="W331" i="33" s="1"/>
  <c r="V307" i="33"/>
  <c r="V331" i="33" s="1"/>
  <c r="G307" i="33"/>
  <c r="G331" i="33" s="1"/>
  <c r="AD284" i="33"/>
  <c r="AD314" i="33" s="1"/>
  <c r="AD307" i="33"/>
  <c r="AD331" i="33" s="1"/>
  <c r="R307" i="33"/>
  <c r="R331" i="33" s="1"/>
  <c r="R284" i="33"/>
  <c r="R314" i="33" s="1"/>
  <c r="F307" i="33"/>
  <c r="F331" i="33" s="1"/>
  <c r="F284" i="33"/>
  <c r="F314" i="33" s="1"/>
  <c r="AE284" i="33"/>
  <c r="AE307" i="33"/>
  <c r="AE331" i="33" s="1"/>
  <c r="N284" i="33"/>
  <c r="N314" i="33" s="1"/>
  <c r="N307" i="33"/>
  <c r="N331" i="33" s="1"/>
  <c r="G314" i="33"/>
  <c r="G293" i="33"/>
  <c r="G301" i="33" s="1"/>
  <c r="AG284" i="33"/>
  <c r="AG307" i="33"/>
  <c r="AG331" i="33" s="1"/>
  <c r="U284" i="33"/>
  <c r="U307" i="33"/>
  <c r="U331" i="33" s="1"/>
  <c r="I307" i="33"/>
  <c r="I331" i="33" s="1"/>
  <c r="I284" i="33"/>
  <c r="X284" i="33"/>
  <c r="X307" i="33"/>
  <c r="X331" i="33" s="1"/>
  <c r="L284" i="33"/>
  <c r="L307" i="33"/>
  <c r="L331" i="33" s="1"/>
  <c r="AA284" i="33"/>
  <c r="AA307" i="33"/>
  <c r="AA331" i="33" s="1"/>
  <c r="O307" i="33"/>
  <c r="O331" i="33" s="1"/>
  <c r="O284" i="33"/>
  <c r="Z284" i="33"/>
  <c r="Z307" i="33"/>
  <c r="Z331" i="33" s="1"/>
  <c r="AH307" i="33"/>
  <c r="AH331" i="33" s="1"/>
  <c r="S284" i="33"/>
  <c r="M307" i="33"/>
  <c r="M331" i="33" s="1"/>
  <c r="Y307" i="33"/>
  <c r="Y331" i="33" s="1"/>
  <c r="AH314" i="33"/>
  <c r="AH293" i="33"/>
  <c r="V314" i="33"/>
  <c r="V293" i="33"/>
  <c r="J293" i="33"/>
  <c r="J314" i="33"/>
  <c r="AC284" i="33"/>
  <c r="Q284" i="33"/>
  <c r="E284" i="33"/>
  <c r="AF307" i="33"/>
  <c r="AF331" i="33" s="1"/>
  <c r="T307" i="33"/>
  <c r="T331" i="33" s="1"/>
  <c r="H307" i="33"/>
  <c r="H331" i="33" s="1"/>
  <c r="AB284" i="33"/>
  <c r="P284" i="33"/>
  <c r="Y301" i="33"/>
  <c r="Y322" i="33"/>
  <c r="AF301" i="33"/>
  <c r="AF322" i="33"/>
  <c r="T322" i="33"/>
  <c r="T301" i="33"/>
  <c r="H301" i="33"/>
  <c r="H322" i="33"/>
  <c r="M301" i="33"/>
  <c r="M322" i="33"/>
  <c r="Y314" i="33"/>
  <c r="M314" i="33"/>
  <c r="W314" i="33"/>
  <c r="K314" i="33"/>
  <c r="AF314" i="33"/>
  <c r="T314" i="33"/>
  <c r="H314" i="33"/>
  <c r="W322" i="33"/>
  <c r="K322" i="33"/>
  <c r="B324" i="33" l="1"/>
  <c r="C99" i="12" s="1"/>
  <c r="C154" i="12" s="1"/>
  <c r="B286" i="33"/>
  <c r="C93" i="12" s="1"/>
  <c r="C148" i="12" s="1"/>
  <c r="B120" i="33"/>
  <c r="C70" i="12" s="1"/>
  <c r="C125" i="12" s="1"/>
  <c r="B64" i="33"/>
  <c r="C61" i="12" s="1"/>
  <c r="C116" i="12" s="1"/>
  <c r="B142" i="33"/>
  <c r="C73" i="12" s="1"/>
  <c r="C128" i="12" s="1"/>
  <c r="B240" i="33"/>
  <c r="C86" i="12" s="1"/>
  <c r="C141" i="12" s="1"/>
  <c r="B87" i="33"/>
  <c r="C65" i="12" s="1"/>
  <c r="C120" i="12" s="1"/>
  <c r="C104" i="12"/>
  <c r="C159" i="12" s="1"/>
  <c r="B278" i="33"/>
  <c r="C92" i="12" s="1"/>
  <c r="C147" i="12" s="1"/>
  <c r="C106" i="12"/>
  <c r="C161" i="12" s="1"/>
  <c r="B49" i="33"/>
  <c r="C58" i="12" s="1"/>
  <c r="C113" i="12" s="1"/>
  <c r="B303" i="33"/>
  <c r="C96" i="12" s="1"/>
  <c r="C151" i="12" s="1"/>
  <c r="B201" i="33"/>
  <c r="C80" i="12" s="1"/>
  <c r="C135" i="12" s="1"/>
  <c r="B219" i="33"/>
  <c r="C82" i="12" s="1"/>
  <c r="C137" i="12" s="1"/>
  <c r="B316" i="33"/>
  <c r="C98" i="12" s="1"/>
  <c r="C153" i="12" s="1"/>
  <c r="B233" i="33"/>
  <c r="C85" i="12" s="1"/>
  <c r="C140" i="12" s="1"/>
  <c r="B81" i="33"/>
  <c r="C64" i="12" s="1"/>
  <c r="C119" i="12" s="1"/>
  <c r="B265" i="33"/>
  <c r="C90" i="12" s="1"/>
  <c r="C145" i="12" s="1"/>
  <c r="B271" i="33"/>
  <c r="C91" i="12" s="1"/>
  <c r="C146" i="12" s="1"/>
  <c r="C105" i="12"/>
  <c r="C160" i="12" s="1"/>
  <c r="B192" i="33"/>
  <c r="C79" i="12" s="1"/>
  <c r="C134" i="12" s="1"/>
  <c r="C150" i="12"/>
  <c r="C138" i="12"/>
  <c r="B248" i="33"/>
  <c r="C87" i="12" s="1"/>
  <c r="C142" i="12" s="1"/>
  <c r="B59" i="33"/>
  <c r="C60" i="12" s="1"/>
  <c r="C115" i="12" s="1"/>
  <c r="B134" i="33"/>
  <c r="C72" i="12" s="1"/>
  <c r="C127" i="12" s="1"/>
  <c r="B75" i="33"/>
  <c r="C63" i="12" s="1"/>
  <c r="C118" i="12" s="1"/>
  <c r="C144" i="12"/>
  <c r="C102" i="12"/>
  <c r="C157" i="12" s="1"/>
  <c r="C103" i="12"/>
  <c r="C158" i="12" s="1"/>
  <c r="B183" i="33"/>
  <c r="C78" i="12" s="1"/>
  <c r="C133" i="12" s="1"/>
  <c r="C112" i="12"/>
  <c r="B113" i="33"/>
  <c r="C69" i="12" s="1"/>
  <c r="C124" i="12" s="1"/>
  <c r="B93" i="33"/>
  <c r="C66" i="12" s="1"/>
  <c r="C121" i="12" s="1"/>
  <c r="B99" i="33"/>
  <c r="C67" i="12" s="1"/>
  <c r="C122" i="12" s="1"/>
  <c r="B309" i="33"/>
  <c r="C97" i="12" s="1"/>
  <c r="C152" i="12" s="1"/>
  <c r="B227" i="33"/>
  <c r="C84" i="12" s="1"/>
  <c r="C139" i="12" s="1"/>
  <c r="B257" i="33"/>
  <c r="C88" i="12" s="1"/>
  <c r="C143" i="12" s="1"/>
  <c r="C101" i="12"/>
  <c r="C156" i="12" s="1"/>
  <c r="B166" i="33"/>
  <c r="C76" i="12" s="1"/>
  <c r="C131" i="12" s="1"/>
  <c r="B174" i="33"/>
  <c r="C77" i="12" s="1"/>
  <c r="C132" i="12" s="1"/>
  <c r="C111" i="12"/>
  <c r="B295" i="33"/>
  <c r="C94" i="12" s="1"/>
  <c r="C149" i="12" s="1"/>
  <c r="B210" i="33"/>
  <c r="C81" i="12" s="1"/>
  <c r="C136" i="12" s="1"/>
  <c r="B150" i="33"/>
  <c r="C74" i="12" s="1"/>
  <c r="C129" i="12" s="1"/>
  <c r="B127" i="33"/>
  <c r="C71" i="12" s="1"/>
  <c r="C126" i="12" s="1"/>
  <c r="B69" i="33"/>
  <c r="C62" i="12" s="1"/>
  <c r="C117" i="12" s="1"/>
  <c r="B333" i="33"/>
  <c r="C100" i="12" s="1"/>
  <c r="C155" i="12" s="1"/>
  <c r="B158" i="33"/>
  <c r="C75" i="12" s="1"/>
  <c r="C130" i="12" s="1"/>
  <c r="C109" i="12"/>
  <c r="C110" i="12"/>
  <c r="C108" i="12"/>
  <c r="B106" i="33"/>
  <c r="C68" i="12" s="1"/>
  <c r="C123" i="12" s="1"/>
  <c r="B54" i="33"/>
  <c r="C59" i="12" s="1"/>
  <c r="C114" i="12" s="1"/>
  <c r="R293" i="33"/>
  <c r="R322" i="33" s="1"/>
  <c r="C314" i="33"/>
  <c r="C293" i="33"/>
  <c r="G322" i="33"/>
  <c r="AD293" i="33"/>
  <c r="AD322" i="33" s="1"/>
  <c r="AE293" i="33"/>
  <c r="AE314" i="33"/>
  <c r="N293" i="33"/>
  <c r="N301" i="33" s="1"/>
  <c r="F293" i="33"/>
  <c r="S293" i="33"/>
  <c r="S314" i="33"/>
  <c r="I293" i="33"/>
  <c r="I314" i="33"/>
  <c r="Z314" i="33"/>
  <c r="Z293" i="33"/>
  <c r="U314" i="33"/>
  <c r="U293" i="33"/>
  <c r="O293" i="33"/>
  <c r="O314" i="33"/>
  <c r="AG314" i="33"/>
  <c r="AG293" i="33"/>
  <c r="AA314" i="33"/>
  <c r="AA293" i="33"/>
  <c r="L293" i="33"/>
  <c r="L314" i="33"/>
  <c r="X314" i="33"/>
  <c r="X293" i="33"/>
  <c r="AH322" i="33"/>
  <c r="AH301" i="33"/>
  <c r="E293" i="33"/>
  <c r="E314" i="33"/>
  <c r="Q314" i="33"/>
  <c r="Q293" i="33"/>
  <c r="AC293" i="33"/>
  <c r="AC314" i="33"/>
  <c r="P314" i="33"/>
  <c r="P293" i="33"/>
  <c r="AB314" i="33"/>
  <c r="AB293" i="33"/>
  <c r="J322" i="33"/>
  <c r="J301" i="33"/>
  <c r="V301" i="33"/>
  <c r="V322" i="33"/>
  <c r="R301" i="33"/>
  <c r="G133" i="12" l="1"/>
  <c r="G115" i="12"/>
  <c r="G146" i="12"/>
  <c r="G135" i="12"/>
  <c r="G120" i="12"/>
  <c r="G154" i="12"/>
  <c r="G149" i="12"/>
  <c r="G152" i="12"/>
  <c r="G128" i="12"/>
  <c r="G158" i="12"/>
  <c r="G113" i="12"/>
  <c r="G116" i="12"/>
  <c r="G141" i="12"/>
  <c r="G122" i="12"/>
  <c r="G131" i="12"/>
  <c r="G144" i="12"/>
  <c r="G150" i="12"/>
  <c r="G140" i="12"/>
  <c r="G161" i="12"/>
  <c r="G114" i="12"/>
  <c r="G145" i="12"/>
  <c r="G117" i="12"/>
  <c r="G138" i="12"/>
  <c r="G129" i="12"/>
  <c r="G124" i="12"/>
  <c r="G134" i="12"/>
  <c r="G153" i="12"/>
  <c r="G147" i="12"/>
  <c r="G125" i="12"/>
  <c r="G130" i="12"/>
  <c r="G155" i="12"/>
  <c r="G111" i="12"/>
  <c r="G123" i="12"/>
  <c r="G119" i="12"/>
  <c r="G108" i="12"/>
  <c r="G156" i="12"/>
  <c r="G118" i="12"/>
  <c r="G139" i="12"/>
  <c r="G151" i="12"/>
  <c r="G132" i="12"/>
  <c r="G126" i="12"/>
  <c r="G110" i="12"/>
  <c r="G136" i="12"/>
  <c r="G127" i="12"/>
  <c r="G160" i="12"/>
  <c r="G137" i="12"/>
  <c r="G159" i="12"/>
  <c r="G148" i="12"/>
  <c r="G142" i="12"/>
  <c r="G157" i="12"/>
  <c r="G121" i="12"/>
  <c r="G109" i="12"/>
  <c r="G143" i="12"/>
  <c r="G112" i="12"/>
  <c r="AD301" i="33"/>
  <c r="N322" i="33"/>
  <c r="C301" i="33"/>
  <c r="C322" i="33"/>
  <c r="AE301" i="33"/>
  <c r="AE322" i="33"/>
  <c r="F322" i="33"/>
  <c r="F301" i="33"/>
  <c r="AG301" i="33"/>
  <c r="AG322" i="33"/>
  <c r="O322" i="33"/>
  <c r="O301" i="33"/>
  <c r="U322" i="33"/>
  <c r="U301" i="33"/>
  <c r="X301" i="33"/>
  <c r="X322" i="33"/>
  <c r="Z301" i="33"/>
  <c r="Z322" i="33"/>
  <c r="L301" i="33"/>
  <c r="L322" i="33"/>
  <c r="I322" i="33"/>
  <c r="I301" i="33"/>
  <c r="AA322" i="33"/>
  <c r="AA301" i="33"/>
  <c r="S301" i="33"/>
  <c r="S322" i="33"/>
  <c r="E322" i="33"/>
  <c r="E301" i="33"/>
  <c r="P322" i="33"/>
  <c r="P301" i="33"/>
  <c r="AC322" i="33"/>
  <c r="AC301" i="33"/>
  <c r="Q322" i="33"/>
  <c r="Q301" i="33"/>
  <c r="AB322" i="33"/>
  <c r="AB301" i="33"/>
  <c r="G71" i="29" l="1"/>
  <c r="G59" i="29"/>
  <c r="G5" i="29"/>
  <c r="G6" i="29" s="1"/>
  <c r="G7" i="29" s="1"/>
  <c r="G8" i="29" s="1"/>
  <c r="G17" i="29" s="1"/>
  <c r="F5" i="29"/>
  <c r="F6" i="29" s="1"/>
  <c r="F7" i="29" s="1"/>
  <c r="F8" i="29" s="1"/>
  <c r="C14" i="29"/>
  <c r="C15" i="29"/>
  <c r="C16" i="29"/>
  <c r="C17" i="29"/>
  <c r="C13" i="29"/>
  <c r="V391" i="28"/>
  <c r="V390" i="28"/>
  <c r="W390" i="28"/>
  <c r="V389" i="28"/>
  <c r="V388" i="28"/>
  <c r="V386" i="28"/>
  <c r="V387" i="25"/>
  <c r="V388" i="26"/>
  <c r="W388" i="26"/>
  <c r="V387" i="26"/>
  <c r="V390" i="27"/>
  <c r="V389" i="27"/>
  <c r="V388" i="27"/>
  <c r="V386" i="27"/>
  <c r="W386" i="27"/>
  <c r="W388" i="27"/>
  <c r="Y14" i="28"/>
  <c r="AA14" i="28"/>
  <c r="AB14" i="28"/>
  <c r="AC14" i="28"/>
  <c r="AD14" i="28"/>
  <c r="AE14" i="28"/>
  <c r="AF14" i="28"/>
  <c r="AG14" i="28"/>
  <c r="AH14" i="28"/>
  <c r="AI14" i="28"/>
  <c r="AJ14" i="28"/>
  <c r="AK14" i="28"/>
  <c r="AL14" i="28"/>
  <c r="AM14" i="28"/>
  <c r="AN14" i="28"/>
  <c r="AO14" i="28"/>
  <c r="AP14" i="28"/>
  <c r="AQ14" i="28"/>
  <c r="AR14" i="28"/>
  <c r="Y15" i="28"/>
  <c r="AA15" i="28"/>
  <c r="AB15" i="28"/>
  <c r="AC15" i="28"/>
  <c r="AD15" i="28"/>
  <c r="AE15" i="28"/>
  <c r="AF15" i="28"/>
  <c r="AG15" i="28"/>
  <c r="AH15" i="28"/>
  <c r="AI15" i="28"/>
  <c r="AJ15" i="28"/>
  <c r="AK15" i="28"/>
  <c r="AL15" i="28"/>
  <c r="AM15" i="28"/>
  <c r="AN15" i="28"/>
  <c r="AO15" i="28"/>
  <c r="AP15" i="28"/>
  <c r="AQ15" i="28"/>
  <c r="AR15" i="28"/>
  <c r="W391" i="28"/>
  <c r="W389" i="28"/>
  <c r="W388" i="28"/>
  <c r="W387" i="28"/>
  <c r="W386" i="28"/>
  <c r="Y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Y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G16" i="29" l="1"/>
  <c r="G15" i="29"/>
  <c r="G14" i="29"/>
  <c r="W390" i="27"/>
  <c r="W389" i="27"/>
  <c r="W387" i="27"/>
  <c r="Y14" i="25"/>
  <c r="AA14" i="25"/>
  <c r="AB14" i="25"/>
  <c r="AC14" i="25"/>
  <c r="AD14" i="25"/>
  <c r="AE14" i="25"/>
  <c r="AF14" i="25"/>
  <c r="AG14" i="25"/>
  <c r="AH14" i="25"/>
  <c r="AI14" i="25"/>
  <c r="AJ14" i="25"/>
  <c r="AK14" i="25"/>
  <c r="AL14" i="25"/>
  <c r="AM14" i="25"/>
  <c r="AN14" i="25"/>
  <c r="AO14" i="25"/>
  <c r="AP14" i="25"/>
  <c r="AQ14" i="25"/>
  <c r="AR14" i="25"/>
  <c r="Y15" i="25"/>
  <c r="AA15" i="25"/>
  <c r="AB15" i="25"/>
  <c r="AC15" i="25"/>
  <c r="AD15" i="25"/>
  <c r="AE15" i="25"/>
  <c r="AF15" i="25"/>
  <c r="AG15" i="25"/>
  <c r="AH15" i="25"/>
  <c r="AI15" i="25"/>
  <c r="AJ15" i="25"/>
  <c r="AK15" i="25"/>
  <c r="AL15" i="25"/>
  <c r="AM15" i="25"/>
  <c r="AN15" i="25"/>
  <c r="AO15" i="25"/>
  <c r="AP15" i="25"/>
  <c r="AQ15" i="25"/>
  <c r="AR15" i="25"/>
  <c r="W388" i="25"/>
  <c r="W387" i="25"/>
  <c r="W386" i="25"/>
  <c r="Y14" i="24"/>
  <c r="AA14" i="24"/>
  <c r="AB14" i="24"/>
  <c r="AC14" i="24"/>
  <c r="AD14" i="24"/>
  <c r="AE14" i="24"/>
  <c r="AF14" i="24"/>
  <c r="AG14" i="24"/>
  <c r="AH14" i="24"/>
  <c r="AI14" i="24"/>
  <c r="AJ14" i="24"/>
  <c r="AK14" i="24"/>
  <c r="AL14" i="24"/>
  <c r="AM14" i="24"/>
  <c r="AN14" i="24"/>
  <c r="AO14" i="24"/>
  <c r="AP14" i="24"/>
  <c r="AQ14" i="24"/>
  <c r="AR14" i="24"/>
  <c r="Y15" i="24"/>
  <c r="AA15" i="24"/>
  <c r="AB15" i="24"/>
  <c r="AC15" i="24"/>
  <c r="AD15" i="24"/>
  <c r="AE15" i="24"/>
  <c r="AF15" i="24"/>
  <c r="AG15" i="24"/>
  <c r="AH15" i="24"/>
  <c r="AI15" i="24"/>
  <c r="AJ15" i="24"/>
  <c r="AK15" i="24"/>
  <c r="AL15" i="24"/>
  <c r="AM15" i="24"/>
  <c r="AN15" i="24"/>
  <c r="AO15" i="24"/>
  <c r="AP15" i="24"/>
  <c r="AQ15" i="24"/>
  <c r="AR15" i="24"/>
  <c r="AP386" i="26"/>
  <c r="Y136" i="26"/>
  <c r="AT136" i="26" s="1"/>
  <c r="AA136" i="26"/>
  <c r="AV136" i="26" s="1"/>
  <c r="AB136" i="26"/>
  <c r="AW136" i="26" s="1"/>
  <c r="AC136" i="26"/>
  <c r="AX136" i="26" s="1"/>
  <c r="AD136" i="26"/>
  <c r="AY136" i="26" s="1"/>
  <c r="AE136" i="26"/>
  <c r="AZ136" i="26" s="1"/>
  <c r="AF136" i="26"/>
  <c r="BA136" i="26" s="1"/>
  <c r="AG136" i="26"/>
  <c r="BB136" i="26" s="1"/>
  <c r="AH136" i="26"/>
  <c r="BC136" i="26" s="1"/>
  <c r="AI136" i="26"/>
  <c r="BD136" i="26" s="1"/>
  <c r="AJ136" i="26"/>
  <c r="BE136" i="26" s="1"/>
  <c r="AK136" i="26"/>
  <c r="BF136" i="26" s="1"/>
  <c r="AL136" i="26"/>
  <c r="BG136" i="26" s="1"/>
  <c r="AM136" i="26"/>
  <c r="BH136" i="26" s="1"/>
  <c r="AN136" i="26"/>
  <c r="BI136" i="26" s="1"/>
  <c r="AO136" i="26"/>
  <c r="BJ136" i="26" s="1"/>
  <c r="AP136" i="26"/>
  <c r="BK136" i="26" s="1"/>
  <c r="AQ136" i="26"/>
  <c r="BL136" i="26" s="1"/>
  <c r="AR136" i="26"/>
  <c r="BM136" i="26" s="1"/>
  <c r="Y137" i="26"/>
  <c r="AT137" i="26" s="1"/>
  <c r="AA137" i="26"/>
  <c r="AV137" i="26" s="1"/>
  <c r="AB137" i="26"/>
  <c r="AW137" i="26" s="1"/>
  <c r="AC137" i="26"/>
  <c r="AX137" i="26" s="1"/>
  <c r="AD137" i="26"/>
  <c r="AY137" i="26" s="1"/>
  <c r="AE137" i="26"/>
  <c r="AZ137" i="26" s="1"/>
  <c r="AF137" i="26"/>
  <c r="BA137" i="26" s="1"/>
  <c r="AG137" i="26"/>
  <c r="BB137" i="26" s="1"/>
  <c r="AH137" i="26"/>
  <c r="BC137" i="26" s="1"/>
  <c r="AI137" i="26"/>
  <c r="BD137" i="26" s="1"/>
  <c r="AJ137" i="26"/>
  <c r="BE137" i="26" s="1"/>
  <c r="AK137" i="26"/>
  <c r="BF137" i="26" s="1"/>
  <c r="AL137" i="26"/>
  <c r="BG137" i="26" s="1"/>
  <c r="AM137" i="26"/>
  <c r="BH137" i="26" s="1"/>
  <c r="AN137" i="26"/>
  <c r="BI137" i="26" s="1"/>
  <c r="AO137" i="26"/>
  <c r="BJ137" i="26" s="1"/>
  <c r="AP137" i="26"/>
  <c r="BK137" i="26" s="1"/>
  <c r="AQ137" i="26"/>
  <c r="BL137" i="26" s="1"/>
  <c r="AR137" i="26"/>
  <c r="BM137" i="26" s="1"/>
  <c r="Y138" i="26"/>
  <c r="AT138" i="26" s="1"/>
  <c r="AA138" i="26"/>
  <c r="AV138" i="26" s="1"/>
  <c r="AB138" i="26"/>
  <c r="AW138" i="26" s="1"/>
  <c r="AC138" i="26"/>
  <c r="AX138" i="26" s="1"/>
  <c r="AD138" i="26"/>
  <c r="AY138" i="26" s="1"/>
  <c r="AE138" i="26"/>
  <c r="AZ138" i="26" s="1"/>
  <c r="AF138" i="26"/>
  <c r="BA138" i="26" s="1"/>
  <c r="AG138" i="26"/>
  <c r="BB138" i="26" s="1"/>
  <c r="AH138" i="26"/>
  <c r="BC138" i="26" s="1"/>
  <c r="AI138" i="26"/>
  <c r="BD138" i="26" s="1"/>
  <c r="AJ138" i="26"/>
  <c r="BE138" i="26" s="1"/>
  <c r="AK138" i="26"/>
  <c r="BF138" i="26" s="1"/>
  <c r="AL138" i="26"/>
  <c r="BG138" i="26" s="1"/>
  <c r="AM138" i="26"/>
  <c r="BH138" i="26" s="1"/>
  <c r="AN138" i="26"/>
  <c r="BI138" i="26" s="1"/>
  <c r="AO138" i="26"/>
  <c r="BJ138" i="26" s="1"/>
  <c r="AP138" i="26"/>
  <c r="BK138" i="26" s="1"/>
  <c r="AQ138" i="26"/>
  <c r="BL138" i="26" s="1"/>
  <c r="AR138" i="26"/>
  <c r="BM138" i="26" s="1"/>
  <c r="Y139" i="26"/>
  <c r="AT139" i="26" s="1"/>
  <c r="AA139" i="26"/>
  <c r="AV139" i="26" s="1"/>
  <c r="AB139" i="26"/>
  <c r="AW139" i="26" s="1"/>
  <c r="AC139" i="26"/>
  <c r="AX139" i="26" s="1"/>
  <c r="AD139" i="26"/>
  <c r="AY139" i="26" s="1"/>
  <c r="AE139" i="26"/>
  <c r="AZ139" i="26" s="1"/>
  <c r="AF139" i="26"/>
  <c r="BA139" i="26" s="1"/>
  <c r="AG139" i="26"/>
  <c r="BB139" i="26" s="1"/>
  <c r="AH139" i="26"/>
  <c r="BC139" i="26" s="1"/>
  <c r="AI139" i="26"/>
  <c r="BD139" i="26" s="1"/>
  <c r="AJ139" i="26"/>
  <c r="BE139" i="26" s="1"/>
  <c r="AK139" i="26"/>
  <c r="BF139" i="26" s="1"/>
  <c r="AL139" i="26"/>
  <c r="BG139" i="26" s="1"/>
  <c r="AM139" i="26"/>
  <c r="BH139" i="26" s="1"/>
  <c r="AN139" i="26"/>
  <c r="BI139" i="26" s="1"/>
  <c r="AO139" i="26"/>
  <c r="BJ139" i="26" s="1"/>
  <c r="AP139" i="26"/>
  <c r="BK139" i="26" s="1"/>
  <c r="AQ139" i="26"/>
  <c r="BL139" i="26" s="1"/>
  <c r="AR139" i="26"/>
  <c r="BM139" i="26" s="1"/>
  <c r="Y140" i="26"/>
  <c r="AT140" i="26" s="1"/>
  <c r="AA140" i="26"/>
  <c r="AV140" i="26" s="1"/>
  <c r="AB140" i="26"/>
  <c r="AW140" i="26" s="1"/>
  <c r="AC140" i="26"/>
  <c r="AX140" i="26" s="1"/>
  <c r="AD140" i="26"/>
  <c r="AY140" i="26" s="1"/>
  <c r="AE140" i="26"/>
  <c r="AZ140" i="26" s="1"/>
  <c r="AF140" i="26"/>
  <c r="BA140" i="26" s="1"/>
  <c r="AG140" i="26"/>
  <c r="BB140" i="26" s="1"/>
  <c r="AH140" i="26"/>
  <c r="BC140" i="26" s="1"/>
  <c r="AI140" i="26"/>
  <c r="BD140" i="26" s="1"/>
  <c r="AJ140" i="26"/>
  <c r="BE140" i="26" s="1"/>
  <c r="AK140" i="26"/>
  <c r="BF140" i="26" s="1"/>
  <c r="AL140" i="26"/>
  <c r="BG140" i="26" s="1"/>
  <c r="AM140" i="26"/>
  <c r="BH140" i="26" s="1"/>
  <c r="AN140" i="26"/>
  <c r="BI140" i="26" s="1"/>
  <c r="AO140" i="26"/>
  <c r="BJ140" i="26" s="1"/>
  <c r="AP140" i="26"/>
  <c r="BK140" i="26" s="1"/>
  <c r="AQ140" i="26"/>
  <c r="BL140" i="26" s="1"/>
  <c r="AR140" i="26"/>
  <c r="BM140" i="26" s="1"/>
  <c r="Y141" i="26"/>
  <c r="AT141" i="26" s="1"/>
  <c r="AA141" i="26"/>
  <c r="AV141" i="26" s="1"/>
  <c r="AB141" i="26"/>
  <c r="AW141" i="26" s="1"/>
  <c r="AC141" i="26"/>
  <c r="AX141" i="26" s="1"/>
  <c r="AD141" i="26"/>
  <c r="AY141" i="26" s="1"/>
  <c r="AE141" i="26"/>
  <c r="AZ141" i="26" s="1"/>
  <c r="AF141" i="26"/>
  <c r="BA141" i="26" s="1"/>
  <c r="AG141" i="26"/>
  <c r="BB141" i="26" s="1"/>
  <c r="AH141" i="26"/>
  <c r="BC141" i="26" s="1"/>
  <c r="AI141" i="26"/>
  <c r="BD141" i="26" s="1"/>
  <c r="AJ141" i="26"/>
  <c r="BE141" i="26" s="1"/>
  <c r="AK141" i="26"/>
  <c r="BF141" i="26" s="1"/>
  <c r="AL141" i="26"/>
  <c r="BG141" i="26" s="1"/>
  <c r="AM141" i="26"/>
  <c r="BH141" i="26" s="1"/>
  <c r="AN141" i="26"/>
  <c r="BI141" i="26" s="1"/>
  <c r="AO141" i="26"/>
  <c r="BJ141" i="26" s="1"/>
  <c r="AP141" i="26"/>
  <c r="BK141" i="26" s="1"/>
  <c r="AQ141" i="26"/>
  <c r="BL141" i="26" s="1"/>
  <c r="AR141" i="26"/>
  <c r="BM141" i="26" s="1"/>
  <c r="Y142" i="26"/>
  <c r="AT142" i="26" s="1"/>
  <c r="AA142" i="26"/>
  <c r="AV142" i="26" s="1"/>
  <c r="AB142" i="26"/>
  <c r="AW142" i="26" s="1"/>
  <c r="AC142" i="26"/>
  <c r="AX142" i="26" s="1"/>
  <c r="AD142" i="26"/>
  <c r="AY142" i="26" s="1"/>
  <c r="AE142" i="26"/>
  <c r="AZ142" i="26" s="1"/>
  <c r="AF142" i="26"/>
  <c r="BA142" i="26" s="1"/>
  <c r="AG142" i="26"/>
  <c r="BB142" i="26" s="1"/>
  <c r="AH142" i="26"/>
  <c r="BC142" i="26" s="1"/>
  <c r="AI142" i="26"/>
  <c r="BD142" i="26" s="1"/>
  <c r="AJ142" i="26"/>
  <c r="BE142" i="26" s="1"/>
  <c r="AK142" i="26"/>
  <c r="BF142" i="26" s="1"/>
  <c r="AL142" i="26"/>
  <c r="BG142" i="26" s="1"/>
  <c r="AM142" i="26"/>
  <c r="BH142" i="26" s="1"/>
  <c r="AN142" i="26"/>
  <c r="BI142" i="26" s="1"/>
  <c r="AO142" i="26"/>
  <c r="BJ142" i="26" s="1"/>
  <c r="AP142" i="26"/>
  <c r="BK142" i="26" s="1"/>
  <c r="AQ142" i="26"/>
  <c r="BL142" i="26" s="1"/>
  <c r="AR142" i="26"/>
  <c r="BM142" i="26" s="1"/>
  <c r="Y143" i="26"/>
  <c r="AT143" i="26" s="1"/>
  <c r="AA143" i="26"/>
  <c r="AV143" i="26" s="1"/>
  <c r="AB143" i="26"/>
  <c r="AW143" i="26" s="1"/>
  <c r="AC143" i="26"/>
  <c r="AX143" i="26" s="1"/>
  <c r="AD143" i="26"/>
  <c r="AY143" i="26" s="1"/>
  <c r="AE143" i="26"/>
  <c r="AZ143" i="26" s="1"/>
  <c r="AF143" i="26"/>
  <c r="BA143" i="26" s="1"/>
  <c r="AG143" i="26"/>
  <c r="BB143" i="26" s="1"/>
  <c r="AH143" i="26"/>
  <c r="BC143" i="26" s="1"/>
  <c r="AI143" i="26"/>
  <c r="BD143" i="26" s="1"/>
  <c r="AJ143" i="26"/>
  <c r="BE143" i="26" s="1"/>
  <c r="AK143" i="26"/>
  <c r="BF143" i="26" s="1"/>
  <c r="AL143" i="26"/>
  <c r="BG143" i="26" s="1"/>
  <c r="AM143" i="26"/>
  <c r="BH143" i="26" s="1"/>
  <c r="AN143" i="26"/>
  <c r="BI143" i="26" s="1"/>
  <c r="AO143" i="26"/>
  <c r="BJ143" i="26" s="1"/>
  <c r="AP143" i="26"/>
  <c r="BK143" i="26" s="1"/>
  <c r="AQ143" i="26"/>
  <c r="BL143" i="26" s="1"/>
  <c r="AR143" i="26"/>
  <c r="BM143" i="26" s="1"/>
  <c r="Y144" i="26"/>
  <c r="AT144" i="26" s="1"/>
  <c r="AA144" i="26"/>
  <c r="AV144" i="26" s="1"/>
  <c r="AB144" i="26"/>
  <c r="AW144" i="26" s="1"/>
  <c r="AC144" i="26"/>
  <c r="AX144" i="26" s="1"/>
  <c r="AD144" i="26"/>
  <c r="AY144" i="26" s="1"/>
  <c r="AE144" i="26"/>
  <c r="AZ144" i="26" s="1"/>
  <c r="AF144" i="26"/>
  <c r="BA144" i="26" s="1"/>
  <c r="AG144" i="26"/>
  <c r="BB144" i="26" s="1"/>
  <c r="AH144" i="26"/>
  <c r="BC144" i="26" s="1"/>
  <c r="AI144" i="26"/>
  <c r="BD144" i="26" s="1"/>
  <c r="AJ144" i="26"/>
  <c r="BE144" i="26" s="1"/>
  <c r="AK144" i="26"/>
  <c r="BF144" i="26" s="1"/>
  <c r="AL144" i="26"/>
  <c r="BG144" i="26" s="1"/>
  <c r="AM144" i="26"/>
  <c r="BH144" i="26" s="1"/>
  <c r="AN144" i="26"/>
  <c r="BI144" i="26" s="1"/>
  <c r="AO144" i="26"/>
  <c r="BJ144" i="26" s="1"/>
  <c r="AP144" i="26"/>
  <c r="BK144" i="26" s="1"/>
  <c r="AQ144" i="26"/>
  <c r="BL144" i="26" s="1"/>
  <c r="AR144" i="26"/>
  <c r="BM144" i="26" s="1"/>
  <c r="Y145" i="26"/>
  <c r="AT145" i="26" s="1"/>
  <c r="AA145" i="26"/>
  <c r="AV145" i="26" s="1"/>
  <c r="AB145" i="26"/>
  <c r="AW145" i="26" s="1"/>
  <c r="AC145" i="26"/>
  <c r="AX145" i="26" s="1"/>
  <c r="AD145" i="26"/>
  <c r="AY145" i="26" s="1"/>
  <c r="AE145" i="26"/>
  <c r="AZ145" i="26" s="1"/>
  <c r="AF145" i="26"/>
  <c r="BA145" i="26" s="1"/>
  <c r="AG145" i="26"/>
  <c r="BB145" i="26" s="1"/>
  <c r="AH145" i="26"/>
  <c r="BC145" i="26" s="1"/>
  <c r="AI145" i="26"/>
  <c r="BD145" i="26" s="1"/>
  <c r="AJ145" i="26"/>
  <c r="BE145" i="26" s="1"/>
  <c r="AK145" i="26"/>
  <c r="BF145" i="26" s="1"/>
  <c r="AL145" i="26"/>
  <c r="BG145" i="26" s="1"/>
  <c r="AM145" i="26"/>
  <c r="BH145" i="26" s="1"/>
  <c r="AN145" i="26"/>
  <c r="BI145" i="26" s="1"/>
  <c r="AO145" i="26"/>
  <c r="BJ145" i="26" s="1"/>
  <c r="AP145" i="26"/>
  <c r="BK145" i="26" s="1"/>
  <c r="AQ145" i="26"/>
  <c r="BL145" i="26" s="1"/>
  <c r="AR145" i="26"/>
  <c r="BM145" i="26" s="1"/>
  <c r="Y146" i="26"/>
  <c r="AT146" i="26" s="1"/>
  <c r="AA146" i="26"/>
  <c r="AV146" i="26" s="1"/>
  <c r="AB146" i="26"/>
  <c r="AW146" i="26" s="1"/>
  <c r="AC146" i="26"/>
  <c r="AX146" i="26" s="1"/>
  <c r="AD146" i="26"/>
  <c r="AY146" i="26" s="1"/>
  <c r="AE146" i="26"/>
  <c r="AZ146" i="26" s="1"/>
  <c r="AF146" i="26"/>
  <c r="BA146" i="26" s="1"/>
  <c r="AG146" i="26"/>
  <c r="BB146" i="26" s="1"/>
  <c r="AH146" i="26"/>
  <c r="BC146" i="26" s="1"/>
  <c r="AI146" i="26"/>
  <c r="BD146" i="26" s="1"/>
  <c r="AJ146" i="26"/>
  <c r="BE146" i="26" s="1"/>
  <c r="AK146" i="26"/>
  <c r="BF146" i="26" s="1"/>
  <c r="AL146" i="26"/>
  <c r="BG146" i="26" s="1"/>
  <c r="AM146" i="26"/>
  <c r="BH146" i="26" s="1"/>
  <c r="AN146" i="26"/>
  <c r="BI146" i="26" s="1"/>
  <c r="AO146" i="26"/>
  <c r="BJ146" i="26" s="1"/>
  <c r="AP146" i="26"/>
  <c r="BK146" i="26" s="1"/>
  <c r="AQ146" i="26"/>
  <c r="BL146" i="26" s="1"/>
  <c r="AR146" i="26"/>
  <c r="BM146" i="26" s="1"/>
  <c r="Y147" i="26"/>
  <c r="AT147" i="26" s="1"/>
  <c r="AA147" i="26"/>
  <c r="AV147" i="26" s="1"/>
  <c r="AB147" i="26"/>
  <c r="AW147" i="26" s="1"/>
  <c r="AC147" i="26"/>
  <c r="AX147" i="26" s="1"/>
  <c r="AD147" i="26"/>
  <c r="AY147" i="26" s="1"/>
  <c r="AE147" i="26"/>
  <c r="AZ147" i="26" s="1"/>
  <c r="AF147" i="26"/>
  <c r="BA147" i="26" s="1"/>
  <c r="AG147" i="26"/>
  <c r="BB147" i="26" s="1"/>
  <c r="AH147" i="26"/>
  <c r="BC147" i="26" s="1"/>
  <c r="AI147" i="26"/>
  <c r="BD147" i="26" s="1"/>
  <c r="AJ147" i="26"/>
  <c r="BE147" i="26" s="1"/>
  <c r="AK147" i="26"/>
  <c r="BF147" i="26" s="1"/>
  <c r="AL147" i="26"/>
  <c r="BG147" i="26" s="1"/>
  <c r="AM147" i="26"/>
  <c r="BH147" i="26" s="1"/>
  <c r="AN147" i="26"/>
  <c r="BI147" i="26" s="1"/>
  <c r="AO147" i="26"/>
  <c r="BJ147" i="26" s="1"/>
  <c r="AP147" i="26"/>
  <c r="BK147" i="26" s="1"/>
  <c r="AQ147" i="26"/>
  <c r="BL147" i="26" s="1"/>
  <c r="AR147" i="26"/>
  <c r="BM147" i="26" s="1"/>
  <c r="Y148" i="26"/>
  <c r="AT148" i="26" s="1"/>
  <c r="AA148" i="26"/>
  <c r="AV148" i="26" s="1"/>
  <c r="AB148" i="26"/>
  <c r="AW148" i="26" s="1"/>
  <c r="AC148" i="26"/>
  <c r="AX148" i="26" s="1"/>
  <c r="AD148" i="26"/>
  <c r="AY148" i="26" s="1"/>
  <c r="AE148" i="26"/>
  <c r="AZ148" i="26" s="1"/>
  <c r="AF148" i="26"/>
  <c r="BA148" i="26" s="1"/>
  <c r="AG148" i="26"/>
  <c r="BB148" i="26" s="1"/>
  <c r="AH148" i="26"/>
  <c r="BC148" i="26" s="1"/>
  <c r="AI148" i="26"/>
  <c r="BD148" i="26" s="1"/>
  <c r="AJ148" i="26"/>
  <c r="BE148" i="26" s="1"/>
  <c r="AK148" i="26"/>
  <c r="BF148" i="26" s="1"/>
  <c r="AL148" i="26"/>
  <c r="BG148" i="26" s="1"/>
  <c r="AM148" i="26"/>
  <c r="BH148" i="26" s="1"/>
  <c r="AN148" i="26"/>
  <c r="BI148" i="26" s="1"/>
  <c r="AO148" i="26"/>
  <c r="BJ148" i="26" s="1"/>
  <c r="AP148" i="26"/>
  <c r="BK148" i="26" s="1"/>
  <c r="AQ148" i="26"/>
  <c r="BL148" i="26" s="1"/>
  <c r="AR148" i="26"/>
  <c r="BM148" i="26" s="1"/>
  <c r="Y149" i="26"/>
  <c r="AT149" i="26" s="1"/>
  <c r="AA149" i="26"/>
  <c r="AV149" i="26" s="1"/>
  <c r="AB149" i="26"/>
  <c r="AW149" i="26" s="1"/>
  <c r="AC149" i="26"/>
  <c r="AX149" i="26" s="1"/>
  <c r="AD149" i="26"/>
  <c r="AY149" i="26" s="1"/>
  <c r="AE149" i="26"/>
  <c r="AZ149" i="26" s="1"/>
  <c r="AF149" i="26"/>
  <c r="BA149" i="26" s="1"/>
  <c r="AG149" i="26"/>
  <c r="BB149" i="26" s="1"/>
  <c r="AH149" i="26"/>
  <c r="BC149" i="26" s="1"/>
  <c r="AI149" i="26"/>
  <c r="BD149" i="26" s="1"/>
  <c r="AJ149" i="26"/>
  <c r="BE149" i="26" s="1"/>
  <c r="AK149" i="26"/>
  <c r="BF149" i="26" s="1"/>
  <c r="AL149" i="26"/>
  <c r="BG149" i="26" s="1"/>
  <c r="AM149" i="26"/>
  <c r="BH149" i="26" s="1"/>
  <c r="AN149" i="26"/>
  <c r="BI149" i="26" s="1"/>
  <c r="AO149" i="26"/>
  <c r="BJ149" i="26" s="1"/>
  <c r="AP149" i="26"/>
  <c r="BK149" i="26" s="1"/>
  <c r="AQ149" i="26"/>
  <c r="BL149" i="26" s="1"/>
  <c r="AR149" i="26"/>
  <c r="BM149" i="26" s="1"/>
  <c r="Y150" i="26"/>
  <c r="AT150" i="26" s="1"/>
  <c r="AA150" i="26"/>
  <c r="AV150" i="26" s="1"/>
  <c r="AB150" i="26"/>
  <c r="AW150" i="26" s="1"/>
  <c r="AC150" i="26"/>
  <c r="AX150" i="26" s="1"/>
  <c r="AD150" i="26"/>
  <c r="AY150" i="26" s="1"/>
  <c r="AE150" i="26"/>
  <c r="AZ150" i="26" s="1"/>
  <c r="AF150" i="26"/>
  <c r="BA150" i="26" s="1"/>
  <c r="AG150" i="26"/>
  <c r="BB150" i="26" s="1"/>
  <c r="AH150" i="26"/>
  <c r="BC150" i="26" s="1"/>
  <c r="AI150" i="26"/>
  <c r="BD150" i="26" s="1"/>
  <c r="AJ150" i="26"/>
  <c r="BE150" i="26" s="1"/>
  <c r="AK150" i="26"/>
  <c r="BF150" i="26" s="1"/>
  <c r="AL150" i="26"/>
  <c r="BG150" i="26" s="1"/>
  <c r="AM150" i="26"/>
  <c r="BH150" i="26" s="1"/>
  <c r="AN150" i="26"/>
  <c r="BI150" i="26" s="1"/>
  <c r="AO150" i="26"/>
  <c r="BJ150" i="26" s="1"/>
  <c r="AP150" i="26"/>
  <c r="BK150" i="26" s="1"/>
  <c r="AQ150" i="26"/>
  <c r="BL150" i="26" s="1"/>
  <c r="AR150" i="26"/>
  <c r="BM150" i="26" s="1"/>
  <c r="Y151" i="26"/>
  <c r="AT151" i="26" s="1"/>
  <c r="AA151" i="26"/>
  <c r="AV151" i="26" s="1"/>
  <c r="AB151" i="26"/>
  <c r="AW151" i="26" s="1"/>
  <c r="AC151" i="26"/>
  <c r="AX151" i="26" s="1"/>
  <c r="AD151" i="26"/>
  <c r="AY151" i="26" s="1"/>
  <c r="AE151" i="26"/>
  <c r="AZ151" i="26" s="1"/>
  <c r="AF151" i="26"/>
  <c r="BA151" i="26" s="1"/>
  <c r="AG151" i="26"/>
  <c r="BB151" i="26" s="1"/>
  <c r="AH151" i="26"/>
  <c r="BC151" i="26" s="1"/>
  <c r="AI151" i="26"/>
  <c r="BD151" i="26" s="1"/>
  <c r="AJ151" i="26"/>
  <c r="BE151" i="26" s="1"/>
  <c r="AK151" i="26"/>
  <c r="BF151" i="26" s="1"/>
  <c r="AL151" i="26"/>
  <c r="BG151" i="26" s="1"/>
  <c r="AM151" i="26"/>
  <c r="BH151" i="26" s="1"/>
  <c r="AN151" i="26"/>
  <c r="BI151" i="26" s="1"/>
  <c r="AO151" i="26"/>
  <c r="BJ151" i="26" s="1"/>
  <c r="AP151" i="26"/>
  <c r="BK151" i="26" s="1"/>
  <c r="AQ151" i="26"/>
  <c r="BL151" i="26" s="1"/>
  <c r="AR151" i="26"/>
  <c r="BM151" i="26" s="1"/>
  <c r="Y152" i="26"/>
  <c r="AT152" i="26" s="1"/>
  <c r="AA152" i="26"/>
  <c r="AV152" i="26" s="1"/>
  <c r="AB152" i="26"/>
  <c r="AW152" i="26" s="1"/>
  <c r="AC152" i="26"/>
  <c r="AX152" i="26" s="1"/>
  <c r="AD152" i="26"/>
  <c r="AY152" i="26" s="1"/>
  <c r="AE152" i="26"/>
  <c r="AZ152" i="26" s="1"/>
  <c r="AF152" i="26"/>
  <c r="BA152" i="26" s="1"/>
  <c r="AG152" i="26"/>
  <c r="BB152" i="26" s="1"/>
  <c r="AH152" i="26"/>
  <c r="BC152" i="26" s="1"/>
  <c r="AI152" i="26"/>
  <c r="BD152" i="26" s="1"/>
  <c r="AJ152" i="26"/>
  <c r="BE152" i="26" s="1"/>
  <c r="AK152" i="26"/>
  <c r="BF152" i="26" s="1"/>
  <c r="AL152" i="26"/>
  <c r="BG152" i="26" s="1"/>
  <c r="AM152" i="26"/>
  <c r="BH152" i="26" s="1"/>
  <c r="AN152" i="26"/>
  <c r="BI152" i="26" s="1"/>
  <c r="AO152" i="26"/>
  <c r="BJ152" i="26" s="1"/>
  <c r="AP152" i="26"/>
  <c r="BK152" i="26" s="1"/>
  <c r="AQ152" i="26"/>
  <c r="BL152" i="26" s="1"/>
  <c r="AR152" i="26"/>
  <c r="BM152" i="26" s="1"/>
  <c r="Y153" i="26"/>
  <c r="AT153" i="26" s="1"/>
  <c r="AA153" i="26"/>
  <c r="AV153" i="26" s="1"/>
  <c r="AB153" i="26"/>
  <c r="AW153" i="26" s="1"/>
  <c r="AC153" i="26"/>
  <c r="AX153" i="26" s="1"/>
  <c r="AD153" i="26"/>
  <c r="AY153" i="26" s="1"/>
  <c r="AE153" i="26"/>
  <c r="AZ153" i="26" s="1"/>
  <c r="AF153" i="26"/>
  <c r="BA153" i="26" s="1"/>
  <c r="AG153" i="26"/>
  <c r="BB153" i="26" s="1"/>
  <c r="AH153" i="26"/>
  <c r="BC153" i="26" s="1"/>
  <c r="AI153" i="26"/>
  <c r="BD153" i="26" s="1"/>
  <c r="AJ153" i="26"/>
  <c r="BE153" i="26" s="1"/>
  <c r="AK153" i="26"/>
  <c r="BF153" i="26" s="1"/>
  <c r="AL153" i="26"/>
  <c r="BG153" i="26" s="1"/>
  <c r="AM153" i="26"/>
  <c r="BH153" i="26" s="1"/>
  <c r="AN153" i="26"/>
  <c r="BI153" i="26" s="1"/>
  <c r="AO153" i="26"/>
  <c r="BJ153" i="26" s="1"/>
  <c r="AP153" i="26"/>
  <c r="BK153" i="26" s="1"/>
  <c r="AQ153" i="26"/>
  <c r="BL153" i="26" s="1"/>
  <c r="AR153" i="26"/>
  <c r="BM153" i="26" s="1"/>
  <c r="Y154" i="26"/>
  <c r="AT154" i="26" s="1"/>
  <c r="AA154" i="26"/>
  <c r="AV154" i="26" s="1"/>
  <c r="AB154" i="26"/>
  <c r="AW154" i="26" s="1"/>
  <c r="AC154" i="26"/>
  <c r="AX154" i="26" s="1"/>
  <c r="AD154" i="26"/>
  <c r="AY154" i="26" s="1"/>
  <c r="AE154" i="26"/>
  <c r="AZ154" i="26" s="1"/>
  <c r="AF154" i="26"/>
  <c r="BA154" i="26" s="1"/>
  <c r="AG154" i="26"/>
  <c r="BB154" i="26" s="1"/>
  <c r="AH154" i="26"/>
  <c r="BC154" i="26" s="1"/>
  <c r="AI154" i="26"/>
  <c r="BD154" i="26" s="1"/>
  <c r="AJ154" i="26"/>
  <c r="BE154" i="26" s="1"/>
  <c r="AK154" i="26"/>
  <c r="BF154" i="26" s="1"/>
  <c r="AL154" i="26"/>
  <c r="BG154" i="26" s="1"/>
  <c r="AM154" i="26"/>
  <c r="BH154" i="26" s="1"/>
  <c r="AN154" i="26"/>
  <c r="BI154" i="26" s="1"/>
  <c r="AO154" i="26"/>
  <c r="BJ154" i="26" s="1"/>
  <c r="AP154" i="26"/>
  <c r="BK154" i="26" s="1"/>
  <c r="AQ154" i="26"/>
  <c r="BL154" i="26" s="1"/>
  <c r="AR154" i="26"/>
  <c r="BM154" i="26" s="1"/>
  <c r="Y155" i="26"/>
  <c r="AT155" i="26" s="1"/>
  <c r="AA155" i="26"/>
  <c r="AV155" i="26" s="1"/>
  <c r="AB155" i="26"/>
  <c r="AW155" i="26" s="1"/>
  <c r="AC155" i="26"/>
  <c r="AX155" i="26" s="1"/>
  <c r="AD155" i="26"/>
  <c r="AY155" i="26" s="1"/>
  <c r="AE155" i="26"/>
  <c r="AZ155" i="26" s="1"/>
  <c r="AF155" i="26"/>
  <c r="BA155" i="26" s="1"/>
  <c r="AG155" i="26"/>
  <c r="BB155" i="26" s="1"/>
  <c r="AH155" i="26"/>
  <c r="BC155" i="26" s="1"/>
  <c r="AI155" i="26"/>
  <c r="BD155" i="26" s="1"/>
  <c r="AJ155" i="26"/>
  <c r="BE155" i="26" s="1"/>
  <c r="AK155" i="26"/>
  <c r="BF155" i="26" s="1"/>
  <c r="AL155" i="26"/>
  <c r="BG155" i="26" s="1"/>
  <c r="AM155" i="26"/>
  <c r="BH155" i="26" s="1"/>
  <c r="AN155" i="26"/>
  <c r="BI155" i="26" s="1"/>
  <c r="AO155" i="26"/>
  <c r="BJ155" i="26" s="1"/>
  <c r="AP155" i="26"/>
  <c r="BK155" i="26" s="1"/>
  <c r="AQ155" i="26"/>
  <c r="BL155" i="26" s="1"/>
  <c r="AR155" i="26"/>
  <c r="BM155" i="26" s="1"/>
  <c r="Y156" i="26"/>
  <c r="AT156" i="26" s="1"/>
  <c r="AA156" i="26"/>
  <c r="AV156" i="26" s="1"/>
  <c r="AB156" i="26"/>
  <c r="AW156" i="26" s="1"/>
  <c r="AC156" i="26"/>
  <c r="AX156" i="26" s="1"/>
  <c r="AD156" i="26"/>
  <c r="AY156" i="26" s="1"/>
  <c r="AE156" i="26"/>
  <c r="AZ156" i="26" s="1"/>
  <c r="AF156" i="26"/>
  <c r="BA156" i="26" s="1"/>
  <c r="AG156" i="26"/>
  <c r="BB156" i="26" s="1"/>
  <c r="AH156" i="26"/>
  <c r="BC156" i="26" s="1"/>
  <c r="AI156" i="26"/>
  <c r="BD156" i="26" s="1"/>
  <c r="AJ156" i="26"/>
  <c r="BE156" i="26" s="1"/>
  <c r="AK156" i="26"/>
  <c r="BF156" i="26" s="1"/>
  <c r="AL156" i="26"/>
  <c r="BG156" i="26" s="1"/>
  <c r="AM156" i="26"/>
  <c r="BH156" i="26" s="1"/>
  <c r="AN156" i="26"/>
  <c r="BI156" i="26" s="1"/>
  <c r="AO156" i="26"/>
  <c r="BJ156" i="26" s="1"/>
  <c r="AP156" i="26"/>
  <c r="BK156" i="26" s="1"/>
  <c r="AQ156" i="26"/>
  <c r="BL156" i="26" s="1"/>
  <c r="AR156" i="26"/>
  <c r="BM156" i="26" s="1"/>
  <c r="Y157" i="26"/>
  <c r="AT157" i="26" s="1"/>
  <c r="AA157" i="26"/>
  <c r="AV157" i="26" s="1"/>
  <c r="AB157" i="26"/>
  <c r="AW157" i="26" s="1"/>
  <c r="AC157" i="26"/>
  <c r="AX157" i="26" s="1"/>
  <c r="AD157" i="26"/>
  <c r="AY157" i="26" s="1"/>
  <c r="AE157" i="26"/>
  <c r="AZ157" i="26" s="1"/>
  <c r="AF157" i="26"/>
  <c r="BA157" i="26" s="1"/>
  <c r="AG157" i="26"/>
  <c r="BB157" i="26" s="1"/>
  <c r="AH157" i="26"/>
  <c r="BC157" i="26" s="1"/>
  <c r="AI157" i="26"/>
  <c r="BD157" i="26" s="1"/>
  <c r="AJ157" i="26"/>
  <c r="BE157" i="26" s="1"/>
  <c r="AK157" i="26"/>
  <c r="BF157" i="26" s="1"/>
  <c r="AL157" i="26"/>
  <c r="BG157" i="26" s="1"/>
  <c r="AM157" i="26"/>
  <c r="BH157" i="26" s="1"/>
  <c r="AN157" i="26"/>
  <c r="BI157" i="26" s="1"/>
  <c r="AO157" i="26"/>
  <c r="BJ157" i="26" s="1"/>
  <c r="AP157" i="26"/>
  <c r="BK157" i="26" s="1"/>
  <c r="AQ157" i="26"/>
  <c r="BL157" i="26" s="1"/>
  <c r="AR157" i="26"/>
  <c r="BM157" i="26" s="1"/>
  <c r="Y158" i="26"/>
  <c r="AT158" i="26" s="1"/>
  <c r="AA158" i="26"/>
  <c r="AV158" i="26" s="1"/>
  <c r="AB158" i="26"/>
  <c r="AW158" i="26" s="1"/>
  <c r="AC158" i="26"/>
  <c r="AX158" i="26" s="1"/>
  <c r="AD158" i="26"/>
  <c r="AY158" i="26" s="1"/>
  <c r="AE158" i="26"/>
  <c r="AZ158" i="26" s="1"/>
  <c r="AF158" i="26"/>
  <c r="BA158" i="26" s="1"/>
  <c r="AG158" i="26"/>
  <c r="BB158" i="26" s="1"/>
  <c r="AH158" i="26"/>
  <c r="BC158" i="26" s="1"/>
  <c r="AI158" i="26"/>
  <c r="BD158" i="26" s="1"/>
  <c r="AJ158" i="26"/>
  <c r="BE158" i="26" s="1"/>
  <c r="AK158" i="26"/>
  <c r="BF158" i="26" s="1"/>
  <c r="AL158" i="26"/>
  <c r="BG158" i="26" s="1"/>
  <c r="AM158" i="26"/>
  <c r="BH158" i="26" s="1"/>
  <c r="AN158" i="26"/>
  <c r="BI158" i="26" s="1"/>
  <c r="AO158" i="26"/>
  <c r="BJ158" i="26" s="1"/>
  <c r="AP158" i="26"/>
  <c r="BK158" i="26" s="1"/>
  <c r="AQ158" i="26"/>
  <c r="BL158" i="26" s="1"/>
  <c r="AR158" i="26"/>
  <c r="BM158" i="26" s="1"/>
  <c r="Y159" i="26"/>
  <c r="AT159" i="26" s="1"/>
  <c r="AA159" i="26"/>
  <c r="AV159" i="26" s="1"/>
  <c r="AB159" i="26"/>
  <c r="AW159" i="26" s="1"/>
  <c r="AC159" i="26"/>
  <c r="AX159" i="26" s="1"/>
  <c r="AD159" i="26"/>
  <c r="AY159" i="26" s="1"/>
  <c r="AE159" i="26"/>
  <c r="AZ159" i="26" s="1"/>
  <c r="AF159" i="26"/>
  <c r="BA159" i="26" s="1"/>
  <c r="AG159" i="26"/>
  <c r="BB159" i="26" s="1"/>
  <c r="AH159" i="26"/>
  <c r="BC159" i="26" s="1"/>
  <c r="AI159" i="26"/>
  <c r="BD159" i="26" s="1"/>
  <c r="AJ159" i="26"/>
  <c r="BE159" i="26" s="1"/>
  <c r="AK159" i="26"/>
  <c r="BF159" i="26" s="1"/>
  <c r="AL159" i="26"/>
  <c r="BG159" i="26" s="1"/>
  <c r="AM159" i="26"/>
  <c r="BH159" i="26" s="1"/>
  <c r="AN159" i="26"/>
  <c r="BI159" i="26" s="1"/>
  <c r="AO159" i="26"/>
  <c r="BJ159" i="26" s="1"/>
  <c r="AP159" i="26"/>
  <c r="BK159" i="26" s="1"/>
  <c r="AQ159" i="26"/>
  <c r="BL159" i="26" s="1"/>
  <c r="AR159" i="26"/>
  <c r="BM159" i="26" s="1"/>
  <c r="Y160" i="26"/>
  <c r="AT160" i="26" s="1"/>
  <c r="AA160" i="26"/>
  <c r="AV160" i="26" s="1"/>
  <c r="AB160" i="26"/>
  <c r="AW160" i="26" s="1"/>
  <c r="AC160" i="26"/>
  <c r="AX160" i="26" s="1"/>
  <c r="AD160" i="26"/>
  <c r="AY160" i="26" s="1"/>
  <c r="AE160" i="26"/>
  <c r="AZ160" i="26" s="1"/>
  <c r="AF160" i="26"/>
  <c r="BA160" i="26" s="1"/>
  <c r="AG160" i="26"/>
  <c r="BB160" i="26" s="1"/>
  <c r="AH160" i="26"/>
  <c r="BC160" i="26" s="1"/>
  <c r="AI160" i="26"/>
  <c r="BD160" i="26" s="1"/>
  <c r="AJ160" i="26"/>
  <c r="BE160" i="26" s="1"/>
  <c r="AK160" i="26"/>
  <c r="BF160" i="26" s="1"/>
  <c r="AL160" i="26"/>
  <c r="BG160" i="26" s="1"/>
  <c r="AM160" i="26"/>
  <c r="BH160" i="26" s="1"/>
  <c r="AN160" i="26"/>
  <c r="BI160" i="26" s="1"/>
  <c r="AO160" i="26"/>
  <c r="BJ160" i="26" s="1"/>
  <c r="AP160" i="26"/>
  <c r="BK160" i="26" s="1"/>
  <c r="AQ160" i="26"/>
  <c r="BL160" i="26" s="1"/>
  <c r="AR160" i="26"/>
  <c r="BM160" i="26" s="1"/>
  <c r="Y14" i="26"/>
  <c r="AT14" i="26" s="1"/>
  <c r="AA14" i="26"/>
  <c r="AV14" i="26" s="1"/>
  <c r="AB14" i="26"/>
  <c r="AW14" i="26" s="1"/>
  <c r="AC14" i="26"/>
  <c r="AX14" i="26" s="1"/>
  <c r="AD14" i="26"/>
  <c r="AY14" i="26" s="1"/>
  <c r="AE14" i="26"/>
  <c r="AZ14" i="26" s="1"/>
  <c r="AF14" i="26"/>
  <c r="BA14" i="26" s="1"/>
  <c r="AG14" i="26"/>
  <c r="BB14" i="26" s="1"/>
  <c r="AH14" i="26"/>
  <c r="BC14" i="26" s="1"/>
  <c r="AI14" i="26"/>
  <c r="BD14" i="26" s="1"/>
  <c r="AJ14" i="26"/>
  <c r="BE14" i="26" s="1"/>
  <c r="AK14" i="26"/>
  <c r="BF14" i="26" s="1"/>
  <c r="AL14" i="26"/>
  <c r="BG14" i="26" s="1"/>
  <c r="AM14" i="26"/>
  <c r="BH14" i="26" s="1"/>
  <c r="AN14" i="26"/>
  <c r="BI14" i="26" s="1"/>
  <c r="AO14" i="26"/>
  <c r="BJ14" i="26" s="1"/>
  <c r="AP14" i="26"/>
  <c r="BK14" i="26" s="1"/>
  <c r="AQ14" i="26"/>
  <c r="BL14" i="26" s="1"/>
  <c r="AR14" i="26"/>
  <c r="BM14" i="26" s="1"/>
  <c r="Y15" i="26"/>
  <c r="AT15" i="26" s="1"/>
  <c r="AA15" i="26"/>
  <c r="AV15" i="26" s="1"/>
  <c r="AB15" i="26"/>
  <c r="AW15" i="26" s="1"/>
  <c r="AC15" i="26"/>
  <c r="AX15" i="26" s="1"/>
  <c r="AD15" i="26"/>
  <c r="AY15" i="26" s="1"/>
  <c r="AE15" i="26"/>
  <c r="AZ15" i="26" s="1"/>
  <c r="AF15" i="26"/>
  <c r="BA15" i="26" s="1"/>
  <c r="AG15" i="26"/>
  <c r="BB15" i="26" s="1"/>
  <c r="AH15" i="26"/>
  <c r="BC15" i="26" s="1"/>
  <c r="AI15" i="26"/>
  <c r="BD15" i="26" s="1"/>
  <c r="AJ15" i="26"/>
  <c r="BE15" i="26" s="1"/>
  <c r="AK15" i="26"/>
  <c r="BF15" i="26" s="1"/>
  <c r="AL15" i="26"/>
  <c r="BG15" i="26" s="1"/>
  <c r="AM15" i="26"/>
  <c r="BH15" i="26" s="1"/>
  <c r="AN15" i="26"/>
  <c r="BI15" i="26" s="1"/>
  <c r="AO15" i="26"/>
  <c r="BJ15" i="26" s="1"/>
  <c r="AP15" i="26"/>
  <c r="BK15" i="26" s="1"/>
  <c r="AQ15" i="26"/>
  <c r="BL15" i="26" s="1"/>
  <c r="AR15" i="26"/>
  <c r="BM15" i="26" s="1"/>
  <c r="W389" i="26"/>
  <c r="W387" i="26"/>
  <c r="W386" i="26"/>
  <c r="V387" i="28"/>
  <c r="V387" i="27"/>
  <c r="V389" i="26"/>
  <c r="V386" i="26"/>
  <c r="V387" i="24"/>
  <c r="V388" i="25"/>
  <c r="V386" i="25"/>
  <c r="E28" i="33"/>
  <c r="E138" i="33" s="1"/>
  <c r="E146" i="33" s="1"/>
  <c r="E154" i="33" s="1"/>
  <c r="F28" i="33"/>
  <c r="F138" i="33" s="1"/>
  <c r="F146" i="33" s="1"/>
  <c r="F154" i="33" s="1"/>
  <c r="E15" i="33"/>
  <c r="E26" i="33" s="1"/>
  <c r="F15" i="33"/>
  <c r="F26" i="33" s="1"/>
  <c r="E10" i="33"/>
  <c r="F10" i="33"/>
  <c r="E6" i="33"/>
  <c r="E31" i="33" s="1"/>
  <c r="F53" i="12" s="1"/>
  <c r="F6" i="33"/>
  <c r="H5" i="33"/>
  <c r="H23" i="33" s="1"/>
  <c r="I5" i="33"/>
  <c r="I12" i="33" s="1"/>
  <c r="J5" i="33"/>
  <c r="J12" i="33" s="1"/>
  <c r="K5" i="33"/>
  <c r="K12" i="33" s="1"/>
  <c r="L5" i="33"/>
  <c r="L12" i="33" s="1"/>
  <c r="M5" i="33"/>
  <c r="M12" i="33" s="1"/>
  <c r="N5" i="33"/>
  <c r="N12" i="33" s="1"/>
  <c r="O5" i="33"/>
  <c r="O23" i="33" s="1"/>
  <c r="Q5" i="33"/>
  <c r="Q23" i="33" s="1"/>
  <c r="R5" i="33"/>
  <c r="R23" i="33" s="1"/>
  <c r="S5" i="33"/>
  <c r="S23" i="33" s="1"/>
  <c r="T5" i="33"/>
  <c r="T23" i="33" s="1"/>
  <c r="U5" i="33"/>
  <c r="U12" i="33" s="1"/>
  <c r="V5" i="33"/>
  <c r="V12" i="33" s="1"/>
  <c r="W5" i="33"/>
  <c r="W12" i="33" s="1"/>
  <c r="X5" i="33"/>
  <c r="X12" i="33" s="1"/>
  <c r="Y5" i="33"/>
  <c r="Y12" i="33" s="1"/>
  <c r="Z5" i="33"/>
  <c r="Z12" i="33" s="1"/>
  <c r="AA5" i="33"/>
  <c r="AA23" i="33" s="1"/>
  <c r="AB5" i="33"/>
  <c r="AB23" i="33" s="1"/>
  <c r="AC5" i="33"/>
  <c r="AC23" i="33" s="1"/>
  <c r="AD5" i="33"/>
  <c r="AD23" i="33" s="1"/>
  <c r="AE5" i="33"/>
  <c r="AE23" i="33" s="1"/>
  <c r="AF5" i="33"/>
  <c r="AF23" i="33" s="1"/>
  <c r="AG5" i="33"/>
  <c r="AG12" i="33" s="1"/>
  <c r="AH5" i="33"/>
  <c r="AH12" i="33" s="1"/>
  <c r="E5" i="33"/>
  <c r="E23" i="33" s="1"/>
  <c r="F5" i="33"/>
  <c r="F23" i="33" s="1"/>
  <c r="G5" i="33"/>
  <c r="G23" i="33" s="1"/>
  <c r="C5" i="33"/>
  <c r="C12" i="33" s="1"/>
  <c r="C79" i="22"/>
  <c r="B79" i="22" s="1"/>
  <c r="C80" i="22"/>
  <c r="B80" i="22" s="1"/>
  <c r="C78" i="22"/>
  <c r="B78" i="22" s="1"/>
  <c r="AR13" i="20"/>
  <c r="AR14" i="20"/>
  <c r="AR15" i="20"/>
  <c r="AR16" i="20"/>
  <c r="AR17" i="20"/>
  <c r="AR18" i="20"/>
  <c r="AR19" i="20"/>
  <c r="AR20" i="20"/>
  <c r="AR21" i="20"/>
  <c r="AR22" i="20"/>
  <c r="AR23" i="20"/>
  <c r="AR24" i="20"/>
  <c r="AR25" i="20"/>
  <c r="AR26" i="20"/>
  <c r="AR27" i="20"/>
  <c r="AR28" i="20"/>
  <c r="AR29" i="20"/>
  <c r="AR30" i="20"/>
  <c r="AR31" i="20"/>
  <c r="AR32" i="20"/>
  <c r="AR33" i="20"/>
  <c r="AR34" i="20"/>
  <c r="AR35" i="20"/>
  <c r="AR36" i="20"/>
  <c r="AR37" i="20"/>
  <c r="AR38" i="20"/>
  <c r="AR39" i="20"/>
  <c r="AR40" i="20"/>
  <c r="AR41" i="20"/>
  <c r="AR42" i="20"/>
  <c r="AR43" i="20"/>
  <c r="AR12" i="20"/>
  <c r="G29" i="21"/>
  <c r="D29" i="21"/>
  <c r="R32" i="16"/>
  <c r="AL4" i="11"/>
  <c r="AM4" i="11"/>
  <c r="AN4" i="11"/>
  <c r="AO4" i="11"/>
  <c r="AP4" i="11"/>
  <c r="AQ4" i="11"/>
  <c r="AR4" i="11"/>
  <c r="AS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H35" i="19"/>
  <c r="D31" i="19"/>
  <c r="D36" i="19" s="1"/>
  <c r="E25" i="19"/>
  <c r="D24" i="19"/>
  <c r="F25" i="19"/>
  <c r="E45" i="29"/>
  <c r="E42" i="29"/>
  <c r="E39" i="29"/>
  <c r="E36" i="29"/>
  <c r="E33" i="29"/>
  <c r="E18" i="11"/>
  <c r="B34" i="21"/>
  <c r="C34" i="21"/>
  <c r="F34" i="21"/>
  <c r="G34" i="21"/>
  <c r="E25" i="33" l="1"/>
  <c r="E47" i="33"/>
  <c r="E67" i="33" s="1"/>
  <c r="E73" i="33" s="1"/>
  <c r="E79" i="33" s="1"/>
  <c r="F178" i="33"/>
  <c r="F162" i="33"/>
  <c r="F363" i="33" s="1"/>
  <c r="E162" i="33"/>
  <c r="E363" i="33" s="1"/>
  <c r="E178" i="33"/>
  <c r="F9" i="33"/>
  <c r="F34" i="33" s="1"/>
  <c r="G54" i="12" s="1"/>
  <c r="F31" i="33"/>
  <c r="G53" i="12" s="1"/>
  <c r="E57" i="33"/>
  <c r="E52" i="33"/>
  <c r="E62" i="33"/>
  <c r="E46" i="33"/>
  <c r="E40" i="33"/>
  <c r="F56" i="12" s="1"/>
  <c r="E72" i="33"/>
  <c r="E78" i="33" s="1"/>
  <c r="E84" i="33" s="1"/>
  <c r="E91" i="33" s="1"/>
  <c r="E97" i="33" s="1"/>
  <c r="E103" i="33" s="1"/>
  <c r="E110" i="33" s="1"/>
  <c r="E117" i="33" s="1"/>
  <c r="E124" i="33" s="1"/>
  <c r="F25" i="33"/>
  <c r="F47" i="33"/>
  <c r="F67" i="33" s="1"/>
  <c r="F73" i="33" s="1"/>
  <c r="F79" i="33" s="1"/>
  <c r="AG23" i="33"/>
  <c r="H12" i="33"/>
  <c r="U23" i="33"/>
  <c r="AF8" i="33"/>
  <c r="AF129" i="33" s="1"/>
  <c r="AF168" i="33" s="1"/>
  <c r="AF212" i="33" s="1"/>
  <c r="AF242" i="33" s="1"/>
  <c r="AF250" i="33" s="1"/>
  <c r="AF338" i="33" s="1"/>
  <c r="AF342" i="33" s="1"/>
  <c r="AF347" i="33" s="1"/>
  <c r="AF353" i="33" s="1"/>
  <c r="AF360" i="33" s="1"/>
  <c r="AC8" i="33"/>
  <c r="AC129" i="33" s="1"/>
  <c r="AC168" i="33" s="1"/>
  <c r="AC212" i="33" s="1"/>
  <c r="AC242" i="33" s="1"/>
  <c r="AC250" i="33" s="1"/>
  <c r="AC338" i="33" s="1"/>
  <c r="AC342" i="33" s="1"/>
  <c r="AC347" i="33" s="1"/>
  <c r="AC353" i="33" s="1"/>
  <c r="AC360" i="33" s="1"/>
  <c r="T8" i="33"/>
  <c r="T129" i="33" s="1"/>
  <c r="T168" i="33" s="1"/>
  <c r="T212" i="33" s="1"/>
  <c r="T242" i="33" s="1"/>
  <c r="T250" i="33" s="1"/>
  <c r="T338" i="33" s="1"/>
  <c r="T342" i="33" s="1"/>
  <c r="T347" i="33" s="1"/>
  <c r="T353" i="33" s="1"/>
  <c r="T360" i="33" s="1"/>
  <c r="T12" i="33"/>
  <c r="Q12" i="33"/>
  <c r="AA8" i="33"/>
  <c r="AA129" i="33" s="1"/>
  <c r="AA168" i="33" s="1"/>
  <c r="AA212" i="33" s="1"/>
  <c r="AA242" i="33" s="1"/>
  <c r="AA250" i="33" s="1"/>
  <c r="AA338" i="33" s="1"/>
  <c r="AA342" i="33" s="1"/>
  <c r="AA347" i="33" s="1"/>
  <c r="AA353" i="33" s="1"/>
  <c r="AA360" i="33" s="1"/>
  <c r="O12" i="33"/>
  <c r="Z23" i="33"/>
  <c r="Q8" i="33"/>
  <c r="Q129" i="33" s="1"/>
  <c r="Q168" i="33" s="1"/>
  <c r="Q212" i="33" s="1"/>
  <c r="Q242" i="33" s="1"/>
  <c r="Q250" i="33" s="1"/>
  <c r="Q338" i="33" s="1"/>
  <c r="Q342" i="33" s="1"/>
  <c r="Q347" i="33" s="1"/>
  <c r="Q353" i="33" s="1"/>
  <c r="Q360" i="33" s="1"/>
  <c r="AG17" i="33"/>
  <c r="N23" i="33"/>
  <c r="O8" i="33"/>
  <c r="O129" i="33" s="1"/>
  <c r="O168" i="33" s="1"/>
  <c r="O212" i="33" s="1"/>
  <c r="O242" i="33" s="1"/>
  <c r="O250" i="33" s="1"/>
  <c r="O338" i="33" s="1"/>
  <c r="O342" i="33" s="1"/>
  <c r="O347" i="33" s="1"/>
  <c r="O353" i="33" s="1"/>
  <c r="O360" i="33" s="1"/>
  <c r="AC17" i="33"/>
  <c r="I23" i="33"/>
  <c r="H8" i="33"/>
  <c r="H129" i="33" s="1"/>
  <c r="H168" i="33" s="1"/>
  <c r="H212" i="33" s="1"/>
  <c r="H242" i="33" s="1"/>
  <c r="H250" i="33" s="1"/>
  <c r="H338" i="33" s="1"/>
  <c r="H342" i="33" s="1"/>
  <c r="H347" i="33" s="1"/>
  <c r="H353" i="33" s="1"/>
  <c r="H360" i="33" s="1"/>
  <c r="Z17" i="33"/>
  <c r="C17" i="33"/>
  <c r="U17" i="33"/>
  <c r="Q17" i="33"/>
  <c r="E9" i="33"/>
  <c r="E7" i="33"/>
  <c r="AF12" i="33"/>
  <c r="N17" i="33"/>
  <c r="AC12" i="33"/>
  <c r="I17" i="33"/>
  <c r="AA12" i="33"/>
  <c r="F21" i="33"/>
  <c r="F13" i="33"/>
  <c r="F27" i="33" s="1"/>
  <c r="C23" i="33"/>
  <c r="AE8" i="33"/>
  <c r="AE129" i="33" s="1"/>
  <c r="AE168" i="33" s="1"/>
  <c r="AE212" i="33" s="1"/>
  <c r="AE242" i="33" s="1"/>
  <c r="AE250" i="33" s="1"/>
  <c r="AE338" i="33" s="1"/>
  <c r="AE342" i="33" s="1"/>
  <c r="AE347" i="33" s="1"/>
  <c r="AE353" i="33" s="1"/>
  <c r="AE360" i="33" s="1"/>
  <c r="S8" i="33"/>
  <c r="S129" i="33" s="1"/>
  <c r="S168" i="33" s="1"/>
  <c r="S212" i="33" s="1"/>
  <c r="S242" i="33" s="1"/>
  <c r="S250" i="33" s="1"/>
  <c r="S338" i="33" s="1"/>
  <c r="S342" i="33" s="1"/>
  <c r="S347" i="33" s="1"/>
  <c r="S353" i="33" s="1"/>
  <c r="S360" i="33" s="1"/>
  <c r="G8" i="33"/>
  <c r="G129" i="33" s="1"/>
  <c r="G168" i="33" s="1"/>
  <c r="G212" i="33" s="1"/>
  <c r="G242" i="33" s="1"/>
  <c r="G250" i="33" s="1"/>
  <c r="G338" i="33" s="1"/>
  <c r="G342" i="33" s="1"/>
  <c r="G347" i="33" s="1"/>
  <c r="G353" i="33" s="1"/>
  <c r="G360" i="33" s="1"/>
  <c r="AE12" i="33"/>
  <c r="S12" i="33"/>
  <c r="G12" i="33"/>
  <c r="Y17" i="33"/>
  <c r="M17" i="33"/>
  <c r="Y23" i="33"/>
  <c r="M23" i="33"/>
  <c r="AD8" i="33"/>
  <c r="AD129" i="33" s="1"/>
  <c r="AD168" i="33" s="1"/>
  <c r="AD212" i="33" s="1"/>
  <c r="AD242" i="33" s="1"/>
  <c r="AD250" i="33" s="1"/>
  <c r="AD338" i="33" s="1"/>
  <c r="AD342" i="33" s="1"/>
  <c r="AD347" i="33" s="1"/>
  <c r="AD353" i="33" s="1"/>
  <c r="AD360" i="33" s="1"/>
  <c r="R8" i="33"/>
  <c r="R129" i="33" s="1"/>
  <c r="R168" i="33" s="1"/>
  <c r="R212" i="33" s="1"/>
  <c r="R242" i="33" s="1"/>
  <c r="R250" i="33" s="1"/>
  <c r="R338" i="33" s="1"/>
  <c r="R342" i="33" s="1"/>
  <c r="R347" i="33" s="1"/>
  <c r="R353" i="33" s="1"/>
  <c r="R360" i="33" s="1"/>
  <c r="F8" i="33"/>
  <c r="F129" i="33" s="1"/>
  <c r="F168" i="33" s="1"/>
  <c r="F212" i="33" s="1"/>
  <c r="F242" i="33" s="1"/>
  <c r="F250" i="33" s="1"/>
  <c r="F338" i="33" s="1"/>
  <c r="F342" i="33" s="1"/>
  <c r="F347" i="33" s="1"/>
  <c r="F353" i="33" s="1"/>
  <c r="F360" i="33" s="1"/>
  <c r="F14" i="33"/>
  <c r="AD12" i="33"/>
  <c r="R12" i="33"/>
  <c r="F12" i="33"/>
  <c r="F20" i="33"/>
  <c r="F90" i="33" s="1"/>
  <c r="F96" i="33" s="1"/>
  <c r="F102" i="33" s="1"/>
  <c r="F109" i="33" s="1"/>
  <c r="F116" i="33" s="1"/>
  <c r="F123" i="33" s="1"/>
  <c r="F18" i="33"/>
  <c r="X17" i="33"/>
  <c r="L17" i="33"/>
  <c r="F24" i="33"/>
  <c r="X23" i="33"/>
  <c r="L23" i="33"/>
  <c r="E8" i="33"/>
  <c r="E129" i="33" s="1"/>
  <c r="E168" i="33" s="1"/>
  <c r="E212" i="33" s="1"/>
  <c r="E242" i="33" s="1"/>
  <c r="E250" i="33" s="1"/>
  <c r="E338" i="33" s="1"/>
  <c r="E342" i="33" s="1"/>
  <c r="E347" i="33" s="1"/>
  <c r="E353" i="33" s="1"/>
  <c r="E360" i="33" s="1"/>
  <c r="E14" i="33"/>
  <c r="E12" i="33"/>
  <c r="E20" i="33"/>
  <c r="E90" i="33" s="1"/>
  <c r="E96" i="33" s="1"/>
  <c r="E102" i="33" s="1"/>
  <c r="E109" i="33" s="1"/>
  <c r="E116" i="33" s="1"/>
  <c r="E123" i="33" s="1"/>
  <c r="E18" i="33"/>
  <c r="W17" i="33"/>
  <c r="K17" i="33"/>
  <c r="E24" i="33"/>
  <c r="W23" i="33"/>
  <c r="K23" i="33"/>
  <c r="AB8" i="33"/>
  <c r="AB129" i="33" s="1"/>
  <c r="AB168" i="33" s="1"/>
  <c r="AB212" i="33" s="1"/>
  <c r="AB242" i="33" s="1"/>
  <c r="AB250" i="33" s="1"/>
  <c r="AB338" i="33" s="1"/>
  <c r="AB342" i="33" s="1"/>
  <c r="AB347" i="33" s="1"/>
  <c r="AB353" i="33" s="1"/>
  <c r="AB360" i="33" s="1"/>
  <c r="AB12" i="33"/>
  <c r="AH17" i="33"/>
  <c r="V17" i="33"/>
  <c r="J17" i="33"/>
  <c r="AH23" i="33"/>
  <c r="V23" i="33"/>
  <c r="J23" i="33"/>
  <c r="Z8" i="33"/>
  <c r="Z129" i="33" s="1"/>
  <c r="Z168" i="33" s="1"/>
  <c r="Z212" i="33" s="1"/>
  <c r="Z242" i="33" s="1"/>
  <c r="Z250" i="33" s="1"/>
  <c r="Z338" i="33" s="1"/>
  <c r="Z342" i="33" s="1"/>
  <c r="Z347" i="33" s="1"/>
  <c r="Z353" i="33" s="1"/>
  <c r="Z360" i="33" s="1"/>
  <c r="N8" i="33"/>
  <c r="N129" i="33" s="1"/>
  <c r="N168" i="33" s="1"/>
  <c r="N212" i="33" s="1"/>
  <c r="N242" i="33" s="1"/>
  <c r="N250" i="33" s="1"/>
  <c r="N338" i="33" s="1"/>
  <c r="N342" i="33" s="1"/>
  <c r="N347" i="33" s="1"/>
  <c r="N353" i="33" s="1"/>
  <c r="N360" i="33" s="1"/>
  <c r="AF17" i="33"/>
  <c r="T17" i="33"/>
  <c r="H17" i="33"/>
  <c r="Y8" i="33"/>
  <c r="Y129" i="33" s="1"/>
  <c r="Y168" i="33" s="1"/>
  <c r="Y212" i="33" s="1"/>
  <c r="Y242" i="33" s="1"/>
  <c r="Y250" i="33" s="1"/>
  <c r="Y338" i="33" s="1"/>
  <c r="Y342" i="33" s="1"/>
  <c r="Y347" i="33" s="1"/>
  <c r="Y353" i="33" s="1"/>
  <c r="Y360" i="33" s="1"/>
  <c r="M8" i="33"/>
  <c r="M129" i="33" s="1"/>
  <c r="M168" i="33" s="1"/>
  <c r="M212" i="33" s="1"/>
  <c r="M242" i="33" s="1"/>
  <c r="M250" i="33" s="1"/>
  <c r="M338" i="33" s="1"/>
  <c r="M342" i="33" s="1"/>
  <c r="M347" i="33" s="1"/>
  <c r="M353" i="33" s="1"/>
  <c r="M360" i="33" s="1"/>
  <c r="AE17" i="33"/>
  <c r="S17" i="33"/>
  <c r="G17" i="33"/>
  <c r="X8" i="33"/>
  <c r="X129" i="33" s="1"/>
  <c r="X168" i="33" s="1"/>
  <c r="X212" i="33" s="1"/>
  <c r="X242" i="33" s="1"/>
  <c r="X250" i="33" s="1"/>
  <c r="X338" i="33" s="1"/>
  <c r="X342" i="33" s="1"/>
  <c r="X347" i="33" s="1"/>
  <c r="X353" i="33" s="1"/>
  <c r="X360" i="33" s="1"/>
  <c r="L8" i="33"/>
  <c r="L129" i="33" s="1"/>
  <c r="L168" i="33" s="1"/>
  <c r="L212" i="33" s="1"/>
  <c r="L242" i="33" s="1"/>
  <c r="L250" i="33" s="1"/>
  <c r="L338" i="33" s="1"/>
  <c r="L342" i="33" s="1"/>
  <c r="L347" i="33" s="1"/>
  <c r="L353" i="33" s="1"/>
  <c r="L360" i="33" s="1"/>
  <c r="F19" i="33"/>
  <c r="AD17" i="33"/>
  <c r="R17" i="33"/>
  <c r="F17" i="33"/>
  <c r="W8" i="33"/>
  <c r="W129" i="33" s="1"/>
  <c r="W168" i="33" s="1"/>
  <c r="W212" i="33" s="1"/>
  <c r="W242" i="33" s="1"/>
  <c r="W250" i="33" s="1"/>
  <c r="W338" i="33" s="1"/>
  <c r="W342" i="33" s="1"/>
  <c r="W347" i="33" s="1"/>
  <c r="W353" i="33" s="1"/>
  <c r="W360" i="33" s="1"/>
  <c r="K8" i="33"/>
  <c r="K129" i="33" s="1"/>
  <c r="K168" i="33" s="1"/>
  <c r="K212" i="33" s="1"/>
  <c r="K242" i="33" s="1"/>
  <c r="K250" i="33" s="1"/>
  <c r="K338" i="33" s="1"/>
  <c r="K342" i="33" s="1"/>
  <c r="K347" i="33" s="1"/>
  <c r="K353" i="33" s="1"/>
  <c r="K360" i="33" s="1"/>
  <c r="E19" i="33"/>
  <c r="E17" i="33"/>
  <c r="C8" i="33"/>
  <c r="C129" i="33" s="1"/>
  <c r="C168" i="33" s="1"/>
  <c r="C212" i="33" s="1"/>
  <c r="C242" i="33" s="1"/>
  <c r="C250" i="33" s="1"/>
  <c r="C338" i="33" s="1"/>
  <c r="C342" i="33" s="1"/>
  <c r="C347" i="33" s="1"/>
  <c r="C353" i="33" s="1"/>
  <c r="C360" i="33" s="1"/>
  <c r="AH8" i="33"/>
  <c r="AH129" i="33" s="1"/>
  <c r="AH168" i="33" s="1"/>
  <c r="AH212" i="33" s="1"/>
  <c r="AH242" i="33" s="1"/>
  <c r="AH250" i="33" s="1"/>
  <c r="AH338" i="33" s="1"/>
  <c r="AH342" i="33" s="1"/>
  <c r="AH347" i="33" s="1"/>
  <c r="AH353" i="33" s="1"/>
  <c r="AH360" i="33" s="1"/>
  <c r="V8" i="33"/>
  <c r="V129" i="33" s="1"/>
  <c r="V168" i="33" s="1"/>
  <c r="V212" i="33" s="1"/>
  <c r="V242" i="33" s="1"/>
  <c r="V250" i="33" s="1"/>
  <c r="V338" i="33" s="1"/>
  <c r="V342" i="33" s="1"/>
  <c r="V347" i="33" s="1"/>
  <c r="V353" i="33" s="1"/>
  <c r="V360" i="33" s="1"/>
  <c r="J8" i="33"/>
  <c r="J129" i="33" s="1"/>
  <c r="J168" i="33" s="1"/>
  <c r="J212" i="33" s="1"/>
  <c r="J242" i="33" s="1"/>
  <c r="J250" i="33" s="1"/>
  <c r="J338" i="33" s="1"/>
  <c r="J342" i="33" s="1"/>
  <c r="J347" i="33" s="1"/>
  <c r="J353" i="33" s="1"/>
  <c r="J360" i="33" s="1"/>
  <c r="AB17" i="33"/>
  <c r="AG8" i="33"/>
  <c r="AG129" i="33" s="1"/>
  <c r="AG168" i="33" s="1"/>
  <c r="AG212" i="33" s="1"/>
  <c r="AG242" i="33" s="1"/>
  <c r="AG250" i="33" s="1"/>
  <c r="AG338" i="33" s="1"/>
  <c r="AG342" i="33" s="1"/>
  <c r="AG347" i="33" s="1"/>
  <c r="AG353" i="33" s="1"/>
  <c r="AG360" i="33" s="1"/>
  <c r="U8" i="33"/>
  <c r="U129" i="33" s="1"/>
  <c r="U168" i="33" s="1"/>
  <c r="U212" i="33" s="1"/>
  <c r="U242" i="33" s="1"/>
  <c r="U250" i="33" s="1"/>
  <c r="U338" i="33" s="1"/>
  <c r="U342" i="33" s="1"/>
  <c r="U347" i="33" s="1"/>
  <c r="U353" i="33" s="1"/>
  <c r="U360" i="33" s="1"/>
  <c r="I8" i="33"/>
  <c r="I129" i="33" s="1"/>
  <c r="I168" i="33" s="1"/>
  <c r="I212" i="33" s="1"/>
  <c r="I242" i="33" s="1"/>
  <c r="I250" i="33" s="1"/>
  <c r="I338" i="33" s="1"/>
  <c r="I342" i="33" s="1"/>
  <c r="I347" i="33" s="1"/>
  <c r="I353" i="33" s="1"/>
  <c r="I360" i="33" s="1"/>
  <c r="AA17" i="33"/>
  <c r="O17" i="33"/>
  <c r="AP388" i="27" l="1"/>
  <c r="F40" i="33"/>
  <c r="G56" i="12" s="1"/>
  <c r="F46" i="33"/>
  <c r="F72" i="33"/>
  <c r="F78" i="33" s="1"/>
  <c r="F84" i="33" s="1"/>
  <c r="F91" i="33" s="1"/>
  <c r="F97" i="33" s="1"/>
  <c r="F103" i="33" s="1"/>
  <c r="F110" i="33" s="1"/>
  <c r="F117" i="33" s="1"/>
  <c r="F124" i="33" s="1"/>
  <c r="F57" i="33"/>
  <c r="F52" i="33"/>
  <c r="F62" i="33"/>
  <c r="F37" i="33"/>
  <c r="G55" i="12" s="1"/>
  <c r="F51" i="33"/>
  <c r="F56" i="33"/>
  <c r="F61" i="33"/>
  <c r="F66" i="33"/>
  <c r="F43" i="33"/>
  <c r="E187" i="33"/>
  <c r="E196" i="33"/>
  <c r="E205" i="33" s="1"/>
  <c r="F104" i="33"/>
  <c r="F111" i="33" s="1"/>
  <c r="F118" i="33" s="1"/>
  <c r="F125" i="33" s="1"/>
  <c r="F85" i="33"/>
  <c r="F137" i="33"/>
  <c r="F145" i="33" s="1"/>
  <c r="F153" i="33" s="1"/>
  <c r="F170" i="33"/>
  <c r="F131" i="33"/>
  <c r="E21" i="33"/>
  <c r="E34" i="33"/>
  <c r="F54" i="12" s="1"/>
  <c r="F196" i="33"/>
  <c r="F205" i="33" s="1"/>
  <c r="F187" i="33"/>
  <c r="E139" i="33"/>
  <c r="E147" i="33" s="1"/>
  <c r="E155" i="33" s="1"/>
  <c r="E132" i="33"/>
  <c r="E171" i="33"/>
  <c r="E85" i="33"/>
  <c r="E104" i="33"/>
  <c r="E111" i="33" s="1"/>
  <c r="E118" i="33" s="1"/>
  <c r="E125" i="33" s="1"/>
  <c r="E170" i="33"/>
  <c r="E131" i="33"/>
  <c r="E137" i="33"/>
  <c r="E145" i="33" s="1"/>
  <c r="E153" i="33" s="1"/>
  <c r="E13" i="33"/>
  <c r="E27" i="33" s="1"/>
  <c r="F71" i="33" l="1"/>
  <c r="F77" i="33" s="1"/>
  <c r="F83" i="33" s="1"/>
  <c r="F89" i="33" s="1"/>
  <c r="F95" i="33" s="1"/>
  <c r="F101" i="33" s="1"/>
  <c r="F108" i="33" s="1"/>
  <c r="F115" i="33" s="1"/>
  <c r="F122" i="33" s="1"/>
  <c r="F130" i="33" s="1"/>
  <c r="G57" i="12"/>
  <c r="E163" i="33"/>
  <c r="E364" i="33" s="1"/>
  <c r="E180" i="33"/>
  <c r="E51" i="33"/>
  <c r="E61" i="33"/>
  <c r="E43" i="33"/>
  <c r="E66" i="33"/>
  <c r="E37" i="33"/>
  <c r="F55" i="12" s="1"/>
  <c r="E56" i="33"/>
  <c r="E177" i="33"/>
  <c r="E161" i="33"/>
  <c r="E362" i="33" s="1"/>
  <c r="F177" i="33"/>
  <c r="F161" i="33"/>
  <c r="F362" i="33" s="1"/>
  <c r="F171" i="33"/>
  <c r="F132" i="33"/>
  <c r="F139" i="33"/>
  <c r="F147" i="33" s="1"/>
  <c r="F155" i="33" s="1"/>
  <c r="F136" i="33"/>
  <c r="F144" i="33" s="1"/>
  <c r="F152" i="33" s="1"/>
  <c r="F169" i="33"/>
  <c r="E172" i="33"/>
  <c r="E140" i="33"/>
  <c r="E148" i="33" s="1"/>
  <c r="E156" i="33" s="1"/>
  <c r="F172" i="33"/>
  <c r="F140" i="33"/>
  <c r="F148" i="33" s="1"/>
  <c r="F156" i="33" s="1"/>
  <c r="D17" i="22"/>
  <c r="H40" i="23"/>
  <c r="E71" i="33" l="1"/>
  <c r="E77" i="33" s="1"/>
  <c r="E83" i="33" s="1"/>
  <c r="E89" i="33" s="1"/>
  <c r="E95" i="33" s="1"/>
  <c r="E101" i="33" s="1"/>
  <c r="E108" i="33" s="1"/>
  <c r="E115" i="33" s="1"/>
  <c r="E122" i="33" s="1"/>
  <c r="E169" i="33" s="1"/>
  <c r="F57" i="12"/>
  <c r="F164" i="33"/>
  <c r="F365" i="33" s="1"/>
  <c r="F181" i="33"/>
  <c r="E195" i="33"/>
  <c r="E204" i="33" s="1"/>
  <c r="E214" i="33" s="1"/>
  <c r="E230" i="33" s="1"/>
  <c r="E236" i="33" s="1"/>
  <c r="E244" i="33" s="1"/>
  <c r="E252" i="33" s="1"/>
  <c r="E282" i="33" s="1"/>
  <c r="E186" i="33"/>
  <c r="F186" i="33"/>
  <c r="F195" i="33"/>
  <c r="F204" i="33" s="1"/>
  <c r="F214" i="33" s="1"/>
  <c r="F230" i="33" s="1"/>
  <c r="F236" i="33" s="1"/>
  <c r="F244" i="33" s="1"/>
  <c r="F252" i="33" s="1"/>
  <c r="F282" i="33" s="1"/>
  <c r="E181" i="33"/>
  <c r="E164" i="33"/>
  <c r="E365" i="33" s="1"/>
  <c r="F176" i="33"/>
  <c r="F160" i="33"/>
  <c r="F361" i="33" s="1"/>
  <c r="E136" i="33"/>
  <c r="E144" i="33" s="1"/>
  <c r="E152" i="33" s="1"/>
  <c r="E189" i="33"/>
  <c r="E198" i="33"/>
  <c r="E207" i="33" s="1"/>
  <c r="E216" i="33" s="1"/>
  <c r="F163" i="33"/>
  <c r="F364" i="33" s="1"/>
  <c r="F180" i="33"/>
  <c r="K35" i="23"/>
  <c r="J35" i="23"/>
  <c r="L35" i="23"/>
  <c r="K34" i="23"/>
  <c r="G35" i="23"/>
  <c r="G34" i="23"/>
  <c r="J33" i="23"/>
  <c r="J32" i="23"/>
  <c r="I32" i="23"/>
  <c r="H30" i="23"/>
  <c r="J41" i="23"/>
  <c r="I41" i="23"/>
  <c r="H41" i="23"/>
  <c r="J42" i="23"/>
  <c r="I42" i="23"/>
  <c r="H42" i="23"/>
  <c r="G42" i="23"/>
  <c r="K43" i="23"/>
  <c r="J43" i="23"/>
  <c r="I43" i="23"/>
  <c r="G43" i="23"/>
  <c r="G44" i="23"/>
  <c r="L44" i="23"/>
  <c r="K44" i="23"/>
  <c r="H44" i="23"/>
  <c r="L53" i="23"/>
  <c r="K53" i="23"/>
  <c r="J53" i="23"/>
  <c r="H53" i="23"/>
  <c r="G53" i="23"/>
  <c r="K52" i="23"/>
  <c r="J52" i="23"/>
  <c r="G52" i="23"/>
  <c r="H52" i="23"/>
  <c r="K51" i="23"/>
  <c r="I51" i="23"/>
  <c r="H51" i="23"/>
  <c r="J50" i="23"/>
  <c r="I50" i="23"/>
  <c r="H50" i="23"/>
  <c r="H49" i="23"/>
  <c r="L62" i="23"/>
  <c r="L71" i="23" s="1"/>
  <c r="G62" i="23"/>
  <c r="J69" i="23"/>
  <c r="J71" i="23" s="1"/>
  <c r="J70" i="23"/>
  <c r="J79" i="23"/>
  <c r="G98" i="23"/>
  <c r="G97" i="23"/>
  <c r="G96" i="23"/>
  <c r="L26" i="23"/>
  <c r="B28" i="33" s="1"/>
  <c r="G24" i="23"/>
  <c r="B12" i="33" s="1"/>
  <c r="L98" i="23"/>
  <c r="K98" i="23"/>
  <c r="J98" i="23"/>
  <c r="I98" i="23"/>
  <c r="H98" i="23"/>
  <c r="K97" i="23"/>
  <c r="J97" i="23"/>
  <c r="I97" i="23"/>
  <c r="H97" i="23"/>
  <c r="J96" i="23"/>
  <c r="I96" i="23"/>
  <c r="H96" i="23"/>
  <c r="J95" i="23"/>
  <c r="I95" i="23"/>
  <c r="H95" i="23"/>
  <c r="I94" i="23"/>
  <c r="H94" i="23"/>
  <c r="H93" i="23"/>
  <c r="K88" i="23"/>
  <c r="J88" i="23"/>
  <c r="I88" i="23"/>
  <c r="H88" i="23"/>
  <c r="G88" i="23"/>
  <c r="J87" i="23"/>
  <c r="I87" i="23"/>
  <c r="H87" i="23"/>
  <c r="G87" i="23"/>
  <c r="I86" i="23"/>
  <c r="H86" i="23"/>
  <c r="G86" i="23"/>
  <c r="G84" i="23"/>
  <c r="J78" i="23"/>
  <c r="I78" i="23"/>
  <c r="H78" i="23"/>
  <c r="G78" i="23"/>
  <c r="G75" i="23"/>
  <c r="K70" i="23"/>
  <c r="K79" i="23" s="1"/>
  <c r="I70" i="23"/>
  <c r="H70" i="23"/>
  <c r="G70" i="23"/>
  <c r="I69" i="23"/>
  <c r="H69" i="23"/>
  <c r="G69" i="23"/>
  <c r="I68" i="23"/>
  <c r="I77" i="23" s="1"/>
  <c r="H68" i="23"/>
  <c r="H77" i="23" s="1"/>
  <c r="G68" i="23"/>
  <c r="G77" i="23" s="1"/>
  <c r="H67" i="23"/>
  <c r="H76" i="23" s="1"/>
  <c r="H85" i="23" s="1"/>
  <c r="G67" i="23"/>
  <c r="G76" i="23" s="1"/>
  <c r="G85" i="23" s="1"/>
  <c r="L80" i="23"/>
  <c r="L89" i="23" s="1"/>
  <c r="K80" i="23"/>
  <c r="K89" i="23" s="1"/>
  <c r="J80" i="23"/>
  <c r="J89" i="23" s="1"/>
  <c r="M92" i="23"/>
  <c r="M83" i="23"/>
  <c r="M74" i="23"/>
  <c r="M65" i="23"/>
  <c r="M56" i="23"/>
  <c r="M47" i="23"/>
  <c r="M29" i="23"/>
  <c r="M38" i="23" s="1"/>
  <c r="I62" i="23"/>
  <c r="K62" i="23"/>
  <c r="J62" i="23"/>
  <c r="H62" i="23"/>
  <c r="K61" i="23"/>
  <c r="J61" i="23"/>
  <c r="I61" i="23"/>
  <c r="H61" i="23"/>
  <c r="G61" i="23"/>
  <c r="J60" i="23"/>
  <c r="I60" i="23"/>
  <c r="H60" i="23"/>
  <c r="G60" i="23"/>
  <c r="I59" i="23"/>
  <c r="H59" i="23"/>
  <c r="G59" i="23"/>
  <c r="H58" i="23"/>
  <c r="G58" i="23"/>
  <c r="G57" i="23"/>
  <c r="I53" i="23"/>
  <c r="I52" i="23"/>
  <c r="J51" i="23"/>
  <c r="I49" i="23"/>
  <c r="I48" i="23"/>
  <c r="J44" i="23"/>
  <c r="I44" i="23"/>
  <c r="H43" i="23"/>
  <c r="H35" i="23"/>
  <c r="I40" i="23"/>
  <c r="I39" i="23"/>
  <c r="K33" i="23"/>
  <c r="I31" i="23"/>
  <c r="G22" i="23"/>
  <c r="B5" i="33" s="1"/>
  <c r="H79" i="23" l="1"/>
  <c r="H71" i="23"/>
  <c r="H80" i="23" s="1"/>
  <c r="H89" i="23" s="1"/>
  <c r="G79" i="23"/>
  <c r="G71" i="23"/>
  <c r="G80" i="23" s="1"/>
  <c r="G89" i="23" s="1"/>
  <c r="I79" i="23"/>
  <c r="I71" i="23"/>
  <c r="I80" i="23" s="1"/>
  <c r="I89" i="23" s="1"/>
  <c r="E130" i="33"/>
  <c r="E160" i="33"/>
  <c r="E361" i="33" s="1"/>
  <c r="E176" i="33"/>
  <c r="F194" i="33"/>
  <c r="F203" i="33" s="1"/>
  <c r="F213" i="33" s="1"/>
  <c r="F185" i="33"/>
  <c r="E190" i="33"/>
  <c r="E199" i="33"/>
  <c r="E208" i="33" s="1"/>
  <c r="E217" i="33" s="1"/>
  <c r="E255" i="33" s="1"/>
  <c r="E268" i="33" s="1"/>
  <c r="E275" i="33" s="1"/>
  <c r="E306" i="33" s="1"/>
  <c r="E330" i="33" s="1"/>
  <c r="E344" i="33" s="1"/>
  <c r="E357" i="33" s="1"/>
  <c r="F290" i="33"/>
  <c r="F320" i="33" s="1"/>
  <c r="F328" i="33" s="1"/>
  <c r="F349" i="33" s="1"/>
  <c r="F355" i="33" s="1"/>
  <c r="F312" i="33"/>
  <c r="F189" i="33"/>
  <c r="F198" i="33"/>
  <c r="F207" i="33" s="1"/>
  <c r="F216" i="33" s="1"/>
  <c r="E225" i="33"/>
  <c r="E231" i="33"/>
  <c r="E237" i="33" s="1"/>
  <c r="E245" i="33" s="1"/>
  <c r="E312" i="33"/>
  <c r="E290" i="33"/>
  <c r="E320" i="33" s="1"/>
  <c r="E328" i="33" s="1"/>
  <c r="E349" i="33" s="1"/>
  <c r="E355" i="33" s="1"/>
  <c r="F190" i="33"/>
  <c r="F199" i="33"/>
  <c r="F208" i="33" s="1"/>
  <c r="F217" i="33" s="1"/>
  <c r="F255" i="33" s="1"/>
  <c r="F268" i="33" s="1"/>
  <c r="F275" i="33" s="1"/>
  <c r="F306" i="33" s="1"/>
  <c r="F330" i="33" s="1"/>
  <c r="F344" i="33" s="1"/>
  <c r="F357" i="33" s="1"/>
  <c r="Y68" i="30"/>
  <c r="AT68" i="30" s="1"/>
  <c r="AB35" i="29"/>
  <c r="C56" i="22"/>
  <c r="Q38" i="29"/>
  <c r="Q16" i="11"/>
  <c r="D66" i="16"/>
  <c r="E66" i="16"/>
  <c r="F66" i="16"/>
  <c r="G66" i="16"/>
  <c r="H66" i="16"/>
  <c r="I66" i="16"/>
  <c r="J66" i="16"/>
  <c r="K66" i="16"/>
  <c r="L66" i="16"/>
  <c r="M66" i="16"/>
  <c r="N66" i="16"/>
  <c r="O66" i="16"/>
  <c r="P66" i="16"/>
  <c r="Q66" i="16"/>
  <c r="R66" i="16"/>
  <c r="S66" i="16"/>
  <c r="T66" i="16"/>
  <c r="U66" i="16"/>
  <c r="V66" i="16"/>
  <c r="C66" i="16"/>
  <c r="G17" i="11"/>
  <c r="Y17" i="30"/>
  <c r="AT17" i="30" s="1"/>
  <c r="C82" i="16" s="1"/>
  <c r="AA17" i="30"/>
  <c r="AV17" i="30" s="1"/>
  <c r="E82" i="16" s="1"/>
  <c r="AB17" i="30"/>
  <c r="AW17" i="30" s="1"/>
  <c r="F82" i="16" s="1"/>
  <c r="AC17" i="30"/>
  <c r="AX17" i="30" s="1"/>
  <c r="G82" i="16" s="1"/>
  <c r="AD17" i="30"/>
  <c r="AY17" i="30" s="1"/>
  <c r="H82" i="16" s="1"/>
  <c r="AE17" i="30"/>
  <c r="AZ17" i="30" s="1"/>
  <c r="I82" i="16" s="1"/>
  <c r="AF17" i="30"/>
  <c r="BA17" i="30" s="1"/>
  <c r="J82" i="16" s="1"/>
  <c r="AG17" i="30"/>
  <c r="BB17" i="30" s="1"/>
  <c r="K82" i="16" s="1"/>
  <c r="AH17" i="30"/>
  <c r="BC17" i="30" s="1"/>
  <c r="L82" i="16" s="1"/>
  <c r="AI17" i="30"/>
  <c r="BD17" i="30" s="1"/>
  <c r="M82" i="16" s="1"/>
  <c r="AJ17" i="30"/>
  <c r="BE17" i="30" s="1"/>
  <c r="N82" i="16" s="1"/>
  <c r="AK17" i="30"/>
  <c r="BF17" i="30" s="1"/>
  <c r="O82" i="16" s="1"/>
  <c r="AL17" i="30"/>
  <c r="BG17" i="30" s="1"/>
  <c r="P82" i="16" s="1"/>
  <c r="AM17" i="30"/>
  <c r="BH17" i="30" s="1"/>
  <c r="Q82" i="16" s="1"/>
  <c r="AN17" i="30"/>
  <c r="BI17" i="30" s="1"/>
  <c r="R82" i="16" s="1"/>
  <c r="AO17" i="30"/>
  <c r="BJ17" i="30" s="1"/>
  <c r="S82" i="16" s="1"/>
  <c r="AP17" i="30"/>
  <c r="BK17" i="30" s="1"/>
  <c r="T82" i="16" s="1"/>
  <c r="AQ17" i="30"/>
  <c r="BL17" i="30" s="1"/>
  <c r="U82" i="16" s="1"/>
  <c r="AR17" i="30"/>
  <c r="BM17" i="30" s="1"/>
  <c r="V82" i="16" s="1"/>
  <c r="Y18" i="30"/>
  <c r="AT18" i="30" s="1"/>
  <c r="C83" i="16" s="1"/>
  <c r="AA18" i="30"/>
  <c r="AV18" i="30" s="1"/>
  <c r="E83" i="16" s="1"/>
  <c r="AB18" i="30"/>
  <c r="AW18" i="30" s="1"/>
  <c r="F83" i="16" s="1"/>
  <c r="AC18" i="30"/>
  <c r="AX18" i="30" s="1"/>
  <c r="G83" i="16" s="1"/>
  <c r="AD18" i="30"/>
  <c r="AY18" i="30" s="1"/>
  <c r="H83" i="16" s="1"/>
  <c r="AE18" i="30"/>
  <c r="AZ18" i="30" s="1"/>
  <c r="I83" i="16" s="1"/>
  <c r="AF18" i="30"/>
  <c r="BA18" i="30" s="1"/>
  <c r="J83" i="16" s="1"/>
  <c r="AG18" i="30"/>
  <c r="BB18" i="30" s="1"/>
  <c r="K83" i="16" s="1"/>
  <c r="AH18" i="30"/>
  <c r="BC18" i="30" s="1"/>
  <c r="L83" i="16" s="1"/>
  <c r="AI18" i="30"/>
  <c r="BD18" i="30" s="1"/>
  <c r="M83" i="16" s="1"/>
  <c r="AJ18" i="30"/>
  <c r="BE18" i="30" s="1"/>
  <c r="N83" i="16" s="1"/>
  <c r="AK18" i="30"/>
  <c r="BF18" i="30" s="1"/>
  <c r="O83" i="16" s="1"/>
  <c r="AL18" i="30"/>
  <c r="BG18" i="30" s="1"/>
  <c r="P83" i="16" s="1"/>
  <c r="AM18" i="30"/>
  <c r="BH18" i="30" s="1"/>
  <c r="Q83" i="16" s="1"/>
  <c r="AN18" i="30"/>
  <c r="BI18" i="30" s="1"/>
  <c r="R83" i="16" s="1"/>
  <c r="AO18" i="30"/>
  <c r="BJ18" i="30" s="1"/>
  <c r="S83" i="16" s="1"/>
  <c r="AP18" i="30"/>
  <c r="BK18" i="30" s="1"/>
  <c r="T83" i="16" s="1"/>
  <c r="AQ18" i="30"/>
  <c r="BL18" i="30" s="1"/>
  <c r="U83" i="16" s="1"/>
  <c r="AR18" i="30"/>
  <c r="BM18" i="30" s="1"/>
  <c r="V83" i="16" s="1"/>
  <c r="Y19" i="30"/>
  <c r="AT19" i="30" s="1"/>
  <c r="C84" i="16" s="1"/>
  <c r="AA19" i="30"/>
  <c r="AV19" i="30" s="1"/>
  <c r="E84" i="16" s="1"/>
  <c r="AB19" i="30"/>
  <c r="AW19" i="30" s="1"/>
  <c r="F84" i="16" s="1"/>
  <c r="AC19" i="30"/>
  <c r="AX19" i="30" s="1"/>
  <c r="G84" i="16" s="1"/>
  <c r="AD19" i="30"/>
  <c r="AY19" i="30" s="1"/>
  <c r="H84" i="16" s="1"/>
  <c r="AE19" i="30"/>
  <c r="AZ19" i="30" s="1"/>
  <c r="I84" i="16" s="1"/>
  <c r="AF19" i="30"/>
  <c r="BA19" i="30" s="1"/>
  <c r="J84" i="16" s="1"/>
  <c r="AG19" i="30"/>
  <c r="BB19" i="30" s="1"/>
  <c r="K84" i="16" s="1"/>
  <c r="AH19" i="30"/>
  <c r="BC19" i="30" s="1"/>
  <c r="L84" i="16" s="1"/>
  <c r="AI19" i="30"/>
  <c r="BD19" i="30" s="1"/>
  <c r="M84" i="16" s="1"/>
  <c r="AJ19" i="30"/>
  <c r="BE19" i="30" s="1"/>
  <c r="N84" i="16" s="1"/>
  <c r="AK19" i="30"/>
  <c r="BF19" i="30" s="1"/>
  <c r="O84" i="16" s="1"/>
  <c r="AL19" i="30"/>
  <c r="BG19" i="30" s="1"/>
  <c r="P84" i="16" s="1"/>
  <c r="AM19" i="30"/>
  <c r="BH19" i="30" s="1"/>
  <c r="Q84" i="16" s="1"/>
  <c r="AN19" i="30"/>
  <c r="BI19" i="30" s="1"/>
  <c r="R84" i="16" s="1"/>
  <c r="AO19" i="30"/>
  <c r="BJ19" i="30" s="1"/>
  <c r="S84" i="16" s="1"/>
  <c r="AP19" i="30"/>
  <c r="BK19" i="30" s="1"/>
  <c r="T84" i="16" s="1"/>
  <c r="AQ19" i="30"/>
  <c r="BL19" i="30" s="1"/>
  <c r="U84" i="16" s="1"/>
  <c r="AR19" i="30"/>
  <c r="BM19" i="30" s="1"/>
  <c r="V84" i="16" s="1"/>
  <c r="Y20" i="30"/>
  <c r="AT20" i="30" s="1"/>
  <c r="C85" i="16" s="1"/>
  <c r="AA20" i="30"/>
  <c r="AV20" i="30" s="1"/>
  <c r="E85" i="16" s="1"/>
  <c r="AB20" i="30"/>
  <c r="AW20" i="30" s="1"/>
  <c r="F85" i="16" s="1"/>
  <c r="AC20" i="30"/>
  <c r="AX20" i="30" s="1"/>
  <c r="G85" i="16" s="1"/>
  <c r="AD20" i="30"/>
  <c r="AY20" i="30" s="1"/>
  <c r="H85" i="16" s="1"/>
  <c r="AE20" i="30"/>
  <c r="AZ20" i="30" s="1"/>
  <c r="I85" i="16" s="1"/>
  <c r="AF20" i="30"/>
  <c r="BA20" i="30" s="1"/>
  <c r="J85" i="16" s="1"/>
  <c r="AG20" i="30"/>
  <c r="BB20" i="30" s="1"/>
  <c r="K85" i="16" s="1"/>
  <c r="AH20" i="30"/>
  <c r="BC20" i="30" s="1"/>
  <c r="L85" i="16" s="1"/>
  <c r="AI20" i="30"/>
  <c r="BD20" i="30" s="1"/>
  <c r="M85" i="16" s="1"/>
  <c r="AJ20" i="30"/>
  <c r="BE20" i="30" s="1"/>
  <c r="N85" i="16" s="1"/>
  <c r="AK20" i="30"/>
  <c r="BF20" i="30" s="1"/>
  <c r="O85" i="16" s="1"/>
  <c r="AL20" i="30"/>
  <c r="BG20" i="30" s="1"/>
  <c r="P85" i="16" s="1"/>
  <c r="AM20" i="30"/>
  <c r="BH20" i="30" s="1"/>
  <c r="Q85" i="16" s="1"/>
  <c r="AN20" i="30"/>
  <c r="BI20" i="30" s="1"/>
  <c r="R85" i="16" s="1"/>
  <c r="AO20" i="30"/>
  <c r="BJ20" i="30" s="1"/>
  <c r="S85" i="16" s="1"/>
  <c r="AP20" i="30"/>
  <c r="BK20" i="30" s="1"/>
  <c r="T85" i="16" s="1"/>
  <c r="AQ20" i="30"/>
  <c r="BL20" i="30" s="1"/>
  <c r="U85" i="16" s="1"/>
  <c r="AR20" i="30"/>
  <c r="BM20" i="30" s="1"/>
  <c r="V85" i="16" s="1"/>
  <c r="Y21" i="30"/>
  <c r="AT21" i="30" s="1"/>
  <c r="C86" i="16" s="1"/>
  <c r="AA21" i="30"/>
  <c r="AV21" i="30" s="1"/>
  <c r="E86" i="16" s="1"/>
  <c r="AB21" i="30"/>
  <c r="AW21" i="30" s="1"/>
  <c r="F86" i="16" s="1"/>
  <c r="AC21" i="30"/>
  <c r="AX21" i="30" s="1"/>
  <c r="G86" i="16" s="1"/>
  <c r="AD21" i="30"/>
  <c r="AY21" i="30" s="1"/>
  <c r="H86" i="16" s="1"/>
  <c r="AE21" i="30"/>
  <c r="AZ21" i="30" s="1"/>
  <c r="I86" i="16" s="1"/>
  <c r="AF21" i="30"/>
  <c r="BA21" i="30" s="1"/>
  <c r="J86" i="16" s="1"/>
  <c r="AG21" i="30"/>
  <c r="BB21" i="30" s="1"/>
  <c r="K86" i="16" s="1"/>
  <c r="AH21" i="30"/>
  <c r="BC21" i="30" s="1"/>
  <c r="L86" i="16" s="1"/>
  <c r="AI21" i="30"/>
  <c r="BD21" i="30" s="1"/>
  <c r="M86" i="16" s="1"/>
  <c r="AJ21" i="30"/>
  <c r="BE21" i="30" s="1"/>
  <c r="N86" i="16" s="1"/>
  <c r="AK21" i="30"/>
  <c r="BF21" i="30" s="1"/>
  <c r="O86" i="16" s="1"/>
  <c r="AL21" i="30"/>
  <c r="BG21" i="30" s="1"/>
  <c r="P86" i="16" s="1"/>
  <c r="AM21" i="30"/>
  <c r="BH21" i="30" s="1"/>
  <c r="Q86" i="16" s="1"/>
  <c r="AN21" i="30"/>
  <c r="BI21" i="30" s="1"/>
  <c r="R86" i="16" s="1"/>
  <c r="AO21" i="30"/>
  <c r="BJ21" i="30" s="1"/>
  <c r="S86" i="16" s="1"/>
  <c r="AP21" i="30"/>
  <c r="BK21" i="30" s="1"/>
  <c r="T86" i="16" s="1"/>
  <c r="AQ21" i="30"/>
  <c r="BL21" i="30" s="1"/>
  <c r="U86" i="16" s="1"/>
  <c r="AR21" i="30"/>
  <c r="BM21" i="30" s="1"/>
  <c r="V86" i="16" s="1"/>
  <c r="Y22" i="30"/>
  <c r="AT22" i="30" s="1"/>
  <c r="C87" i="16" s="1"/>
  <c r="AA22" i="30"/>
  <c r="AV22" i="30" s="1"/>
  <c r="E87" i="16" s="1"/>
  <c r="AB22" i="30"/>
  <c r="AW22" i="30" s="1"/>
  <c r="F87" i="16" s="1"/>
  <c r="AC22" i="30"/>
  <c r="AX22" i="30" s="1"/>
  <c r="G87" i="16" s="1"/>
  <c r="AD22" i="30"/>
  <c r="AY22" i="30" s="1"/>
  <c r="H87" i="16" s="1"/>
  <c r="AE22" i="30"/>
  <c r="AZ22" i="30" s="1"/>
  <c r="I87" i="16" s="1"/>
  <c r="AF22" i="30"/>
  <c r="BA22" i="30" s="1"/>
  <c r="J87" i="16" s="1"/>
  <c r="AG22" i="30"/>
  <c r="BB22" i="30" s="1"/>
  <c r="K87" i="16" s="1"/>
  <c r="AH22" i="30"/>
  <c r="BC22" i="30" s="1"/>
  <c r="L87" i="16" s="1"/>
  <c r="AI22" i="30"/>
  <c r="BD22" i="30" s="1"/>
  <c r="M87" i="16" s="1"/>
  <c r="AJ22" i="30"/>
  <c r="BE22" i="30" s="1"/>
  <c r="N87" i="16" s="1"/>
  <c r="AK22" i="30"/>
  <c r="BF22" i="30" s="1"/>
  <c r="O87" i="16" s="1"/>
  <c r="AL22" i="30"/>
  <c r="BG22" i="30" s="1"/>
  <c r="P87" i="16" s="1"/>
  <c r="AM22" i="30"/>
  <c r="BH22" i="30" s="1"/>
  <c r="Q87" i="16" s="1"/>
  <c r="AN22" i="30"/>
  <c r="BI22" i="30" s="1"/>
  <c r="R87" i="16" s="1"/>
  <c r="AO22" i="30"/>
  <c r="BJ22" i="30" s="1"/>
  <c r="S87" i="16" s="1"/>
  <c r="AP22" i="30"/>
  <c r="BK22" i="30" s="1"/>
  <c r="T87" i="16" s="1"/>
  <c r="AQ22" i="30"/>
  <c r="BL22" i="30" s="1"/>
  <c r="U87" i="16" s="1"/>
  <c r="AR22" i="30"/>
  <c r="BM22" i="30" s="1"/>
  <c r="V87" i="16" s="1"/>
  <c r="Y23" i="30"/>
  <c r="AT23" i="30" s="1"/>
  <c r="C88" i="16" s="1"/>
  <c r="AA23" i="30"/>
  <c r="AV23" i="30" s="1"/>
  <c r="E88" i="16" s="1"/>
  <c r="AB23" i="30"/>
  <c r="AW23" i="30" s="1"/>
  <c r="F88" i="16" s="1"/>
  <c r="AC23" i="30"/>
  <c r="AX23" i="30" s="1"/>
  <c r="G88" i="16" s="1"/>
  <c r="AD23" i="30"/>
  <c r="AY23" i="30" s="1"/>
  <c r="H88" i="16" s="1"/>
  <c r="AE23" i="30"/>
  <c r="AZ23" i="30" s="1"/>
  <c r="I88" i="16" s="1"/>
  <c r="AF23" i="30"/>
  <c r="BA23" i="30" s="1"/>
  <c r="J88" i="16" s="1"/>
  <c r="AG23" i="30"/>
  <c r="BB23" i="30" s="1"/>
  <c r="K88" i="16" s="1"/>
  <c r="AH23" i="30"/>
  <c r="BC23" i="30" s="1"/>
  <c r="L88" i="16" s="1"/>
  <c r="AI23" i="30"/>
  <c r="BD23" i="30" s="1"/>
  <c r="M88" i="16" s="1"/>
  <c r="AJ23" i="30"/>
  <c r="BE23" i="30" s="1"/>
  <c r="N88" i="16" s="1"/>
  <c r="AK23" i="30"/>
  <c r="BF23" i="30" s="1"/>
  <c r="O88" i="16" s="1"/>
  <c r="AL23" i="30"/>
  <c r="BG23" i="30" s="1"/>
  <c r="P88" i="16" s="1"/>
  <c r="AM23" i="30"/>
  <c r="BH23" i="30" s="1"/>
  <c r="Q88" i="16" s="1"/>
  <c r="AN23" i="30"/>
  <c r="BI23" i="30" s="1"/>
  <c r="R88" i="16" s="1"/>
  <c r="AO23" i="30"/>
  <c r="BJ23" i="30" s="1"/>
  <c r="S88" i="16" s="1"/>
  <c r="AP23" i="30"/>
  <c r="BK23" i="30" s="1"/>
  <c r="T88" i="16" s="1"/>
  <c r="AQ23" i="30"/>
  <c r="BL23" i="30" s="1"/>
  <c r="U88" i="16" s="1"/>
  <c r="AR23" i="30"/>
  <c r="BM23" i="30" s="1"/>
  <c r="V88" i="16" s="1"/>
  <c r="Y24" i="30"/>
  <c r="AT24" i="30" s="1"/>
  <c r="C89" i="16" s="1"/>
  <c r="AA24" i="30"/>
  <c r="AV24" i="30" s="1"/>
  <c r="E89" i="16" s="1"/>
  <c r="AB24" i="30"/>
  <c r="AW24" i="30" s="1"/>
  <c r="F89" i="16" s="1"/>
  <c r="AC24" i="30"/>
  <c r="AX24" i="30" s="1"/>
  <c r="G89" i="16" s="1"/>
  <c r="AD24" i="30"/>
  <c r="AY24" i="30" s="1"/>
  <c r="H89" i="16" s="1"/>
  <c r="AE24" i="30"/>
  <c r="AZ24" i="30" s="1"/>
  <c r="I89" i="16" s="1"/>
  <c r="AF24" i="30"/>
  <c r="BA24" i="30" s="1"/>
  <c r="J89" i="16" s="1"/>
  <c r="AG24" i="30"/>
  <c r="BB24" i="30" s="1"/>
  <c r="K89" i="16" s="1"/>
  <c r="AH24" i="30"/>
  <c r="BC24" i="30" s="1"/>
  <c r="L89" i="16" s="1"/>
  <c r="AI24" i="30"/>
  <c r="BD24" i="30" s="1"/>
  <c r="M89" i="16" s="1"/>
  <c r="AJ24" i="30"/>
  <c r="BE24" i="30" s="1"/>
  <c r="N89" i="16" s="1"/>
  <c r="AK24" i="30"/>
  <c r="BF24" i="30" s="1"/>
  <c r="O89" i="16" s="1"/>
  <c r="AL24" i="30"/>
  <c r="BG24" i="30" s="1"/>
  <c r="P89" i="16" s="1"/>
  <c r="AM24" i="30"/>
  <c r="BH24" i="30" s="1"/>
  <c r="Q89" i="16" s="1"/>
  <c r="AN24" i="30"/>
  <c r="BI24" i="30" s="1"/>
  <c r="R89" i="16" s="1"/>
  <c r="AO24" i="30"/>
  <c r="BJ24" i="30" s="1"/>
  <c r="S89" i="16" s="1"/>
  <c r="AP24" i="30"/>
  <c r="BK24" i="30" s="1"/>
  <c r="T89" i="16" s="1"/>
  <c r="AQ24" i="30"/>
  <c r="BL24" i="30" s="1"/>
  <c r="U89" i="16" s="1"/>
  <c r="AR24" i="30"/>
  <c r="BM24" i="30" s="1"/>
  <c r="V89" i="16" s="1"/>
  <c r="Y25" i="30"/>
  <c r="AT25" i="30" s="1"/>
  <c r="C90" i="16" s="1"/>
  <c r="AA25" i="30"/>
  <c r="AV25" i="30" s="1"/>
  <c r="E90" i="16" s="1"/>
  <c r="AB25" i="30"/>
  <c r="AW25" i="30" s="1"/>
  <c r="F90" i="16" s="1"/>
  <c r="AC25" i="30"/>
  <c r="AX25" i="30" s="1"/>
  <c r="G90" i="16" s="1"/>
  <c r="AD25" i="30"/>
  <c r="AY25" i="30" s="1"/>
  <c r="H90" i="16" s="1"/>
  <c r="AE25" i="30"/>
  <c r="AZ25" i="30" s="1"/>
  <c r="I90" i="16" s="1"/>
  <c r="AF25" i="30"/>
  <c r="BA25" i="30" s="1"/>
  <c r="J90" i="16" s="1"/>
  <c r="AG25" i="30"/>
  <c r="BB25" i="30" s="1"/>
  <c r="K90" i="16" s="1"/>
  <c r="AH25" i="30"/>
  <c r="BC25" i="30" s="1"/>
  <c r="L90" i="16" s="1"/>
  <c r="AI25" i="30"/>
  <c r="BD25" i="30" s="1"/>
  <c r="M90" i="16" s="1"/>
  <c r="AJ25" i="30"/>
  <c r="BE25" i="30" s="1"/>
  <c r="N90" i="16" s="1"/>
  <c r="AK25" i="30"/>
  <c r="BF25" i="30" s="1"/>
  <c r="O90" i="16" s="1"/>
  <c r="AL25" i="30"/>
  <c r="BG25" i="30" s="1"/>
  <c r="P90" i="16" s="1"/>
  <c r="AM25" i="30"/>
  <c r="BH25" i="30" s="1"/>
  <c r="Q90" i="16" s="1"/>
  <c r="AN25" i="30"/>
  <c r="BI25" i="30" s="1"/>
  <c r="R90" i="16" s="1"/>
  <c r="AO25" i="30"/>
  <c r="BJ25" i="30" s="1"/>
  <c r="S90" i="16" s="1"/>
  <c r="AP25" i="30"/>
  <c r="BK25" i="30" s="1"/>
  <c r="T90" i="16" s="1"/>
  <c r="AQ25" i="30"/>
  <c r="BL25" i="30" s="1"/>
  <c r="U90" i="16" s="1"/>
  <c r="AR25" i="30"/>
  <c r="BM25" i="30" s="1"/>
  <c r="V90" i="16" s="1"/>
  <c r="Y26" i="30"/>
  <c r="AT26" i="30" s="1"/>
  <c r="C91" i="16" s="1"/>
  <c r="AA26" i="30"/>
  <c r="AV26" i="30" s="1"/>
  <c r="E91" i="16" s="1"/>
  <c r="AB26" i="30"/>
  <c r="AW26" i="30" s="1"/>
  <c r="F91" i="16" s="1"/>
  <c r="AC26" i="30"/>
  <c r="AX26" i="30" s="1"/>
  <c r="G91" i="16" s="1"/>
  <c r="AD26" i="30"/>
  <c r="AY26" i="30" s="1"/>
  <c r="H91" i="16" s="1"/>
  <c r="AE26" i="30"/>
  <c r="AZ26" i="30" s="1"/>
  <c r="I91" i="16" s="1"/>
  <c r="AF26" i="30"/>
  <c r="BA26" i="30" s="1"/>
  <c r="J91" i="16" s="1"/>
  <c r="AG26" i="30"/>
  <c r="BB26" i="30" s="1"/>
  <c r="K91" i="16" s="1"/>
  <c r="AH26" i="30"/>
  <c r="BC26" i="30" s="1"/>
  <c r="L91" i="16" s="1"/>
  <c r="AI26" i="30"/>
  <c r="BD26" i="30" s="1"/>
  <c r="M91" i="16" s="1"/>
  <c r="AJ26" i="30"/>
  <c r="BE26" i="30" s="1"/>
  <c r="N91" i="16" s="1"/>
  <c r="AK26" i="30"/>
  <c r="BF26" i="30" s="1"/>
  <c r="O91" i="16" s="1"/>
  <c r="AL26" i="30"/>
  <c r="BG26" i="30" s="1"/>
  <c r="P91" i="16" s="1"/>
  <c r="AM26" i="30"/>
  <c r="BH26" i="30" s="1"/>
  <c r="Q91" i="16" s="1"/>
  <c r="AN26" i="30"/>
  <c r="BI26" i="30" s="1"/>
  <c r="R91" i="16" s="1"/>
  <c r="AO26" i="30"/>
  <c r="BJ26" i="30" s="1"/>
  <c r="S91" i="16" s="1"/>
  <c r="AP26" i="30"/>
  <c r="BK26" i="30" s="1"/>
  <c r="T91" i="16" s="1"/>
  <c r="AQ26" i="30"/>
  <c r="BL26" i="30" s="1"/>
  <c r="U91" i="16" s="1"/>
  <c r="AR26" i="30"/>
  <c r="BM26" i="30" s="1"/>
  <c r="V91" i="16" s="1"/>
  <c r="Y27" i="30"/>
  <c r="AT27" i="30" s="1"/>
  <c r="C92" i="16" s="1"/>
  <c r="AA27" i="30"/>
  <c r="AV27" i="30" s="1"/>
  <c r="E92" i="16" s="1"/>
  <c r="AB27" i="30"/>
  <c r="AW27" i="30" s="1"/>
  <c r="F92" i="16" s="1"/>
  <c r="AC27" i="30"/>
  <c r="AX27" i="30" s="1"/>
  <c r="G92" i="16" s="1"/>
  <c r="AD27" i="30"/>
  <c r="AY27" i="30" s="1"/>
  <c r="H92" i="16" s="1"/>
  <c r="AE27" i="30"/>
  <c r="AZ27" i="30" s="1"/>
  <c r="I92" i="16" s="1"/>
  <c r="AF27" i="30"/>
  <c r="BA27" i="30" s="1"/>
  <c r="J92" i="16" s="1"/>
  <c r="AG27" i="30"/>
  <c r="BB27" i="30" s="1"/>
  <c r="K92" i="16" s="1"/>
  <c r="AH27" i="30"/>
  <c r="BC27" i="30" s="1"/>
  <c r="L92" i="16" s="1"/>
  <c r="AI27" i="30"/>
  <c r="BD27" i="30" s="1"/>
  <c r="M92" i="16" s="1"/>
  <c r="AJ27" i="30"/>
  <c r="BE27" i="30" s="1"/>
  <c r="N92" i="16" s="1"/>
  <c r="AK27" i="30"/>
  <c r="BF27" i="30" s="1"/>
  <c r="O92" i="16" s="1"/>
  <c r="AL27" i="30"/>
  <c r="BG27" i="30" s="1"/>
  <c r="P92" i="16" s="1"/>
  <c r="AM27" i="30"/>
  <c r="BH27" i="30" s="1"/>
  <c r="Q92" i="16" s="1"/>
  <c r="AN27" i="30"/>
  <c r="BI27" i="30" s="1"/>
  <c r="R92" i="16" s="1"/>
  <c r="AO27" i="30"/>
  <c r="BJ27" i="30" s="1"/>
  <c r="S92" i="16" s="1"/>
  <c r="AP27" i="30"/>
  <c r="BK27" i="30" s="1"/>
  <c r="T92" i="16" s="1"/>
  <c r="AQ27" i="30"/>
  <c r="BL27" i="30" s="1"/>
  <c r="U92" i="16" s="1"/>
  <c r="AR27" i="30"/>
  <c r="BM27" i="30" s="1"/>
  <c r="V92" i="16" s="1"/>
  <c r="Y28" i="30"/>
  <c r="AT28" i="30" s="1"/>
  <c r="C93" i="16" s="1"/>
  <c r="AA28" i="30"/>
  <c r="AV28" i="30" s="1"/>
  <c r="E93" i="16" s="1"/>
  <c r="AB28" i="30"/>
  <c r="AW28" i="30" s="1"/>
  <c r="F93" i="16" s="1"/>
  <c r="AC28" i="30"/>
  <c r="AX28" i="30" s="1"/>
  <c r="G93" i="16" s="1"/>
  <c r="AD28" i="30"/>
  <c r="AY28" i="30" s="1"/>
  <c r="H93" i="16" s="1"/>
  <c r="AE28" i="30"/>
  <c r="AZ28" i="30" s="1"/>
  <c r="I93" i="16" s="1"/>
  <c r="AF28" i="30"/>
  <c r="BA28" i="30" s="1"/>
  <c r="J93" i="16" s="1"/>
  <c r="AG28" i="30"/>
  <c r="BB28" i="30" s="1"/>
  <c r="K93" i="16" s="1"/>
  <c r="AH28" i="30"/>
  <c r="BC28" i="30" s="1"/>
  <c r="L93" i="16" s="1"/>
  <c r="AI28" i="30"/>
  <c r="BD28" i="30" s="1"/>
  <c r="M93" i="16" s="1"/>
  <c r="AJ28" i="30"/>
  <c r="BE28" i="30" s="1"/>
  <c r="N93" i="16" s="1"/>
  <c r="AK28" i="30"/>
  <c r="BF28" i="30" s="1"/>
  <c r="O93" i="16" s="1"/>
  <c r="AL28" i="30"/>
  <c r="BG28" i="30" s="1"/>
  <c r="P93" i="16" s="1"/>
  <c r="AM28" i="30"/>
  <c r="BH28" i="30" s="1"/>
  <c r="Q93" i="16" s="1"/>
  <c r="AN28" i="30"/>
  <c r="BI28" i="30" s="1"/>
  <c r="R93" i="16" s="1"/>
  <c r="AO28" i="30"/>
  <c r="BJ28" i="30" s="1"/>
  <c r="S93" i="16" s="1"/>
  <c r="AP28" i="30"/>
  <c r="BK28" i="30" s="1"/>
  <c r="T93" i="16" s="1"/>
  <c r="AQ28" i="30"/>
  <c r="BL28" i="30" s="1"/>
  <c r="U93" i="16" s="1"/>
  <c r="AR28" i="30"/>
  <c r="BM28" i="30" s="1"/>
  <c r="V93" i="16" s="1"/>
  <c r="Y29" i="30"/>
  <c r="AT29" i="30" s="1"/>
  <c r="C94" i="16" s="1"/>
  <c r="AA29" i="30"/>
  <c r="AV29" i="30" s="1"/>
  <c r="E94" i="16" s="1"/>
  <c r="AB29" i="30"/>
  <c r="AW29" i="30" s="1"/>
  <c r="F94" i="16" s="1"/>
  <c r="AC29" i="30"/>
  <c r="AX29" i="30" s="1"/>
  <c r="G94" i="16" s="1"/>
  <c r="AD29" i="30"/>
  <c r="AY29" i="30" s="1"/>
  <c r="H94" i="16" s="1"/>
  <c r="AE29" i="30"/>
  <c r="AZ29" i="30" s="1"/>
  <c r="I94" i="16" s="1"/>
  <c r="AF29" i="30"/>
  <c r="BA29" i="30" s="1"/>
  <c r="J94" i="16" s="1"/>
  <c r="AG29" i="30"/>
  <c r="BB29" i="30" s="1"/>
  <c r="K94" i="16" s="1"/>
  <c r="AH29" i="30"/>
  <c r="BC29" i="30" s="1"/>
  <c r="L94" i="16" s="1"/>
  <c r="AI29" i="30"/>
  <c r="BD29" i="30" s="1"/>
  <c r="M94" i="16" s="1"/>
  <c r="AJ29" i="30"/>
  <c r="BE29" i="30" s="1"/>
  <c r="N94" i="16" s="1"/>
  <c r="AK29" i="30"/>
  <c r="BF29" i="30" s="1"/>
  <c r="O94" i="16" s="1"/>
  <c r="AL29" i="30"/>
  <c r="BG29" i="30" s="1"/>
  <c r="P94" i="16" s="1"/>
  <c r="AM29" i="30"/>
  <c r="BH29" i="30" s="1"/>
  <c r="Q94" i="16" s="1"/>
  <c r="AN29" i="30"/>
  <c r="BI29" i="30" s="1"/>
  <c r="R94" i="16" s="1"/>
  <c r="AO29" i="30"/>
  <c r="BJ29" i="30" s="1"/>
  <c r="S94" i="16" s="1"/>
  <c r="AP29" i="30"/>
  <c r="BK29" i="30" s="1"/>
  <c r="T94" i="16" s="1"/>
  <c r="AQ29" i="30"/>
  <c r="BL29" i="30" s="1"/>
  <c r="U94" i="16" s="1"/>
  <c r="AR29" i="30"/>
  <c r="BM29" i="30" s="1"/>
  <c r="V94" i="16" s="1"/>
  <c r="Y30" i="30"/>
  <c r="AT30" i="30" s="1"/>
  <c r="C95" i="16" s="1"/>
  <c r="AA30" i="30"/>
  <c r="AV30" i="30" s="1"/>
  <c r="E95" i="16" s="1"/>
  <c r="AB30" i="30"/>
  <c r="AW30" i="30" s="1"/>
  <c r="F95" i="16" s="1"/>
  <c r="AC30" i="30"/>
  <c r="AX30" i="30" s="1"/>
  <c r="G95" i="16" s="1"/>
  <c r="AD30" i="30"/>
  <c r="AY30" i="30" s="1"/>
  <c r="H95" i="16" s="1"/>
  <c r="AE30" i="30"/>
  <c r="AZ30" i="30" s="1"/>
  <c r="I95" i="16" s="1"/>
  <c r="AF30" i="30"/>
  <c r="BA30" i="30" s="1"/>
  <c r="J95" i="16" s="1"/>
  <c r="AG30" i="30"/>
  <c r="BB30" i="30" s="1"/>
  <c r="K95" i="16" s="1"/>
  <c r="AH30" i="30"/>
  <c r="BC30" i="30" s="1"/>
  <c r="L95" i="16" s="1"/>
  <c r="AI30" i="30"/>
  <c r="BD30" i="30" s="1"/>
  <c r="M95" i="16" s="1"/>
  <c r="AJ30" i="30"/>
  <c r="BE30" i="30" s="1"/>
  <c r="N95" i="16" s="1"/>
  <c r="AK30" i="30"/>
  <c r="BF30" i="30" s="1"/>
  <c r="O95" i="16" s="1"/>
  <c r="AL30" i="30"/>
  <c r="BG30" i="30" s="1"/>
  <c r="P95" i="16" s="1"/>
  <c r="AM30" i="30"/>
  <c r="BH30" i="30" s="1"/>
  <c r="Q95" i="16" s="1"/>
  <c r="AN30" i="30"/>
  <c r="BI30" i="30" s="1"/>
  <c r="R95" i="16" s="1"/>
  <c r="AO30" i="30"/>
  <c r="BJ30" i="30" s="1"/>
  <c r="S95" i="16" s="1"/>
  <c r="AP30" i="30"/>
  <c r="BK30" i="30" s="1"/>
  <c r="T95" i="16" s="1"/>
  <c r="AQ30" i="30"/>
  <c r="BL30" i="30" s="1"/>
  <c r="U95" i="16" s="1"/>
  <c r="AR30" i="30"/>
  <c r="BM30" i="30" s="1"/>
  <c r="V95" i="16" s="1"/>
  <c r="Y31" i="30"/>
  <c r="AT31" i="30" s="1"/>
  <c r="C96" i="16" s="1"/>
  <c r="AA31" i="30"/>
  <c r="AV31" i="30" s="1"/>
  <c r="E96" i="16" s="1"/>
  <c r="AB31" i="30"/>
  <c r="AW31" i="30" s="1"/>
  <c r="F96" i="16" s="1"/>
  <c r="AC31" i="30"/>
  <c r="AX31" i="30" s="1"/>
  <c r="G96" i="16" s="1"/>
  <c r="AD31" i="30"/>
  <c r="AY31" i="30" s="1"/>
  <c r="H96" i="16" s="1"/>
  <c r="AE31" i="30"/>
  <c r="AZ31" i="30" s="1"/>
  <c r="I96" i="16" s="1"/>
  <c r="AF31" i="30"/>
  <c r="BA31" i="30" s="1"/>
  <c r="J96" i="16" s="1"/>
  <c r="AG31" i="30"/>
  <c r="BB31" i="30" s="1"/>
  <c r="K96" i="16" s="1"/>
  <c r="AH31" i="30"/>
  <c r="BC31" i="30" s="1"/>
  <c r="L96" i="16" s="1"/>
  <c r="AI31" i="30"/>
  <c r="BD31" i="30" s="1"/>
  <c r="M96" i="16" s="1"/>
  <c r="AJ31" i="30"/>
  <c r="BE31" i="30" s="1"/>
  <c r="N96" i="16" s="1"/>
  <c r="AK31" i="30"/>
  <c r="BF31" i="30" s="1"/>
  <c r="O96" i="16" s="1"/>
  <c r="AL31" i="30"/>
  <c r="BG31" i="30" s="1"/>
  <c r="P96" i="16" s="1"/>
  <c r="AM31" i="30"/>
  <c r="BH31" i="30" s="1"/>
  <c r="Q96" i="16" s="1"/>
  <c r="AN31" i="30"/>
  <c r="BI31" i="30" s="1"/>
  <c r="R96" i="16" s="1"/>
  <c r="AO31" i="30"/>
  <c r="BJ31" i="30" s="1"/>
  <c r="S96" i="16" s="1"/>
  <c r="AP31" i="30"/>
  <c r="BK31" i="30" s="1"/>
  <c r="T96" i="16" s="1"/>
  <c r="AQ31" i="30"/>
  <c r="BL31" i="30" s="1"/>
  <c r="U96" i="16" s="1"/>
  <c r="AR31" i="30"/>
  <c r="BM31" i="30" s="1"/>
  <c r="V96" i="16" s="1"/>
  <c r="Y32" i="30"/>
  <c r="AT32" i="30" s="1"/>
  <c r="C97" i="16" s="1"/>
  <c r="AA32" i="30"/>
  <c r="AV32" i="30" s="1"/>
  <c r="E97" i="16" s="1"/>
  <c r="AB32" i="30"/>
  <c r="AW32" i="30" s="1"/>
  <c r="F97" i="16" s="1"/>
  <c r="AC32" i="30"/>
  <c r="AX32" i="30" s="1"/>
  <c r="G97" i="16" s="1"/>
  <c r="AD32" i="30"/>
  <c r="AY32" i="30" s="1"/>
  <c r="H97" i="16" s="1"/>
  <c r="AE32" i="30"/>
  <c r="AZ32" i="30" s="1"/>
  <c r="I97" i="16" s="1"/>
  <c r="AF32" i="30"/>
  <c r="BA32" i="30" s="1"/>
  <c r="J97" i="16" s="1"/>
  <c r="AG32" i="30"/>
  <c r="BB32" i="30" s="1"/>
  <c r="K97" i="16" s="1"/>
  <c r="AH32" i="30"/>
  <c r="BC32" i="30" s="1"/>
  <c r="L97" i="16" s="1"/>
  <c r="AI32" i="30"/>
  <c r="BD32" i="30" s="1"/>
  <c r="M97" i="16" s="1"/>
  <c r="AJ32" i="30"/>
  <c r="BE32" i="30" s="1"/>
  <c r="N97" i="16" s="1"/>
  <c r="AK32" i="30"/>
  <c r="BF32" i="30" s="1"/>
  <c r="O97" i="16" s="1"/>
  <c r="AL32" i="30"/>
  <c r="BG32" i="30" s="1"/>
  <c r="P97" i="16" s="1"/>
  <c r="AM32" i="30"/>
  <c r="BH32" i="30" s="1"/>
  <c r="Q97" i="16" s="1"/>
  <c r="AN32" i="30"/>
  <c r="BI32" i="30" s="1"/>
  <c r="R97" i="16" s="1"/>
  <c r="AO32" i="30"/>
  <c r="BJ32" i="30" s="1"/>
  <c r="S97" i="16" s="1"/>
  <c r="AP32" i="30"/>
  <c r="BK32" i="30" s="1"/>
  <c r="T97" i="16" s="1"/>
  <c r="AQ32" i="30"/>
  <c r="BL32" i="30" s="1"/>
  <c r="U97" i="16" s="1"/>
  <c r="AR32" i="30"/>
  <c r="BM32" i="30" s="1"/>
  <c r="V97" i="16" s="1"/>
  <c r="Y33" i="30"/>
  <c r="AT33" i="30" s="1"/>
  <c r="C98" i="16" s="1"/>
  <c r="AA33" i="30"/>
  <c r="AV33" i="30" s="1"/>
  <c r="E98" i="16" s="1"/>
  <c r="AB33" i="30"/>
  <c r="AW33" i="30" s="1"/>
  <c r="F98" i="16" s="1"/>
  <c r="AC33" i="30"/>
  <c r="AX33" i="30" s="1"/>
  <c r="G98" i="16" s="1"/>
  <c r="AD33" i="30"/>
  <c r="AY33" i="30" s="1"/>
  <c r="H98" i="16" s="1"/>
  <c r="AE33" i="30"/>
  <c r="AZ33" i="30" s="1"/>
  <c r="I98" i="16" s="1"/>
  <c r="AF33" i="30"/>
  <c r="BA33" i="30" s="1"/>
  <c r="J98" i="16" s="1"/>
  <c r="AG33" i="30"/>
  <c r="BB33" i="30" s="1"/>
  <c r="K98" i="16" s="1"/>
  <c r="AH33" i="30"/>
  <c r="BC33" i="30" s="1"/>
  <c r="L98" i="16" s="1"/>
  <c r="AI33" i="30"/>
  <c r="BD33" i="30" s="1"/>
  <c r="M98" i="16" s="1"/>
  <c r="AJ33" i="30"/>
  <c r="BE33" i="30" s="1"/>
  <c r="N98" i="16" s="1"/>
  <c r="AK33" i="30"/>
  <c r="BF33" i="30" s="1"/>
  <c r="O98" i="16" s="1"/>
  <c r="AL33" i="30"/>
  <c r="BG33" i="30" s="1"/>
  <c r="P98" i="16" s="1"/>
  <c r="AM33" i="30"/>
  <c r="BH33" i="30" s="1"/>
  <c r="Q98" i="16" s="1"/>
  <c r="AN33" i="30"/>
  <c r="BI33" i="30" s="1"/>
  <c r="R98" i="16" s="1"/>
  <c r="AO33" i="30"/>
  <c r="BJ33" i="30" s="1"/>
  <c r="S98" i="16" s="1"/>
  <c r="AP33" i="30"/>
  <c r="BK33" i="30" s="1"/>
  <c r="T98" i="16" s="1"/>
  <c r="AQ33" i="30"/>
  <c r="BL33" i="30" s="1"/>
  <c r="U98" i="16" s="1"/>
  <c r="AR33" i="30"/>
  <c r="BM33" i="30" s="1"/>
  <c r="V98" i="16" s="1"/>
  <c r="Y34" i="30"/>
  <c r="AT34" i="30" s="1"/>
  <c r="C99" i="16" s="1"/>
  <c r="AA34" i="30"/>
  <c r="AV34" i="30" s="1"/>
  <c r="E99" i="16" s="1"/>
  <c r="AB34" i="30"/>
  <c r="AW34" i="30" s="1"/>
  <c r="F99" i="16" s="1"/>
  <c r="AC34" i="30"/>
  <c r="AX34" i="30" s="1"/>
  <c r="G99" i="16" s="1"/>
  <c r="AD34" i="30"/>
  <c r="AY34" i="30" s="1"/>
  <c r="H99" i="16" s="1"/>
  <c r="AE34" i="30"/>
  <c r="AZ34" i="30" s="1"/>
  <c r="I99" i="16" s="1"/>
  <c r="AF34" i="30"/>
  <c r="BA34" i="30" s="1"/>
  <c r="J99" i="16" s="1"/>
  <c r="AG34" i="30"/>
  <c r="BB34" i="30" s="1"/>
  <c r="K99" i="16" s="1"/>
  <c r="AH34" i="30"/>
  <c r="BC34" i="30" s="1"/>
  <c r="L99" i="16" s="1"/>
  <c r="AI34" i="30"/>
  <c r="BD34" i="30" s="1"/>
  <c r="M99" i="16" s="1"/>
  <c r="AJ34" i="30"/>
  <c r="BE34" i="30" s="1"/>
  <c r="N99" i="16" s="1"/>
  <c r="AK34" i="30"/>
  <c r="BF34" i="30" s="1"/>
  <c r="O99" i="16" s="1"/>
  <c r="AL34" i="30"/>
  <c r="BG34" i="30" s="1"/>
  <c r="P99" i="16" s="1"/>
  <c r="AM34" i="30"/>
  <c r="BH34" i="30" s="1"/>
  <c r="Q99" i="16" s="1"/>
  <c r="AN34" i="30"/>
  <c r="BI34" i="30" s="1"/>
  <c r="R99" i="16" s="1"/>
  <c r="AO34" i="30"/>
  <c r="BJ34" i="30" s="1"/>
  <c r="S99" i="16" s="1"/>
  <c r="AP34" i="30"/>
  <c r="BK34" i="30" s="1"/>
  <c r="T99" i="16" s="1"/>
  <c r="AQ34" i="30"/>
  <c r="BL34" i="30" s="1"/>
  <c r="U99" i="16" s="1"/>
  <c r="AR34" i="30"/>
  <c r="BM34" i="30" s="1"/>
  <c r="V99" i="16" s="1"/>
  <c r="Y35" i="30"/>
  <c r="AT35" i="30" s="1"/>
  <c r="C100" i="16" s="1"/>
  <c r="AA35" i="30"/>
  <c r="AV35" i="30" s="1"/>
  <c r="E100" i="16" s="1"/>
  <c r="AB35" i="30"/>
  <c r="AW35" i="30" s="1"/>
  <c r="F100" i="16" s="1"/>
  <c r="AC35" i="30"/>
  <c r="AX35" i="30" s="1"/>
  <c r="G100" i="16" s="1"/>
  <c r="AD35" i="30"/>
  <c r="AY35" i="30" s="1"/>
  <c r="H100" i="16" s="1"/>
  <c r="AE35" i="30"/>
  <c r="AZ35" i="30" s="1"/>
  <c r="I100" i="16" s="1"/>
  <c r="AF35" i="30"/>
  <c r="BA35" i="30" s="1"/>
  <c r="J100" i="16" s="1"/>
  <c r="AG35" i="30"/>
  <c r="BB35" i="30" s="1"/>
  <c r="K100" i="16" s="1"/>
  <c r="AH35" i="30"/>
  <c r="BC35" i="30" s="1"/>
  <c r="L100" i="16" s="1"/>
  <c r="AI35" i="30"/>
  <c r="BD35" i="30" s="1"/>
  <c r="M100" i="16" s="1"/>
  <c r="AJ35" i="30"/>
  <c r="BE35" i="30" s="1"/>
  <c r="N100" i="16" s="1"/>
  <c r="AK35" i="30"/>
  <c r="BF35" i="30" s="1"/>
  <c r="O100" i="16" s="1"/>
  <c r="AL35" i="30"/>
  <c r="BG35" i="30" s="1"/>
  <c r="P100" i="16" s="1"/>
  <c r="AM35" i="30"/>
  <c r="BH35" i="30" s="1"/>
  <c r="Q100" i="16" s="1"/>
  <c r="AN35" i="30"/>
  <c r="BI35" i="30" s="1"/>
  <c r="R100" i="16" s="1"/>
  <c r="AO35" i="30"/>
  <c r="BJ35" i="30" s="1"/>
  <c r="S100" i="16" s="1"/>
  <c r="AP35" i="30"/>
  <c r="BK35" i="30" s="1"/>
  <c r="T100" i="16" s="1"/>
  <c r="AQ35" i="30"/>
  <c r="BL35" i="30" s="1"/>
  <c r="U100" i="16" s="1"/>
  <c r="AR35" i="30"/>
  <c r="BM35" i="30" s="1"/>
  <c r="V100" i="16" s="1"/>
  <c r="Y36" i="30"/>
  <c r="AT36" i="30" s="1"/>
  <c r="C101" i="16" s="1"/>
  <c r="AA36" i="30"/>
  <c r="AV36" i="30" s="1"/>
  <c r="E101" i="16" s="1"/>
  <c r="AB36" i="30"/>
  <c r="AW36" i="30" s="1"/>
  <c r="F101" i="16" s="1"/>
  <c r="AC36" i="30"/>
  <c r="AX36" i="30" s="1"/>
  <c r="G101" i="16" s="1"/>
  <c r="AD36" i="30"/>
  <c r="AY36" i="30" s="1"/>
  <c r="H101" i="16" s="1"/>
  <c r="AE36" i="30"/>
  <c r="AZ36" i="30" s="1"/>
  <c r="I101" i="16" s="1"/>
  <c r="AF36" i="30"/>
  <c r="BA36" i="30" s="1"/>
  <c r="J101" i="16" s="1"/>
  <c r="AG36" i="30"/>
  <c r="BB36" i="30" s="1"/>
  <c r="K101" i="16" s="1"/>
  <c r="AH36" i="30"/>
  <c r="BC36" i="30" s="1"/>
  <c r="L101" i="16" s="1"/>
  <c r="AI36" i="30"/>
  <c r="BD36" i="30" s="1"/>
  <c r="M101" i="16" s="1"/>
  <c r="AJ36" i="30"/>
  <c r="BE36" i="30" s="1"/>
  <c r="N101" i="16" s="1"/>
  <c r="AK36" i="30"/>
  <c r="BF36" i="30" s="1"/>
  <c r="O101" i="16" s="1"/>
  <c r="AL36" i="30"/>
  <c r="BG36" i="30" s="1"/>
  <c r="P101" i="16" s="1"/>
  <c r="AM36" i="30"/>
  <c r="BH36" i="30" s="1"/>
  <c r="Q101" i="16" s="1"/>
  <c r="AN36" i="30"/>
  <c r="BI36" i="30" s="1"/>
  <c r="R101" i="16" s="1"/>
  <c r="AO36" i="30"/>
  <c r="BJ36" i="30" s="1"/>
  <c r="S101" i="16" s="1"/>
  <c r="AP36" i="30"/>
  <c r="BK36" i="30" s="1"/>
  <c r="T101" i="16" s="1"/>
  <c r="AQ36" i="30"/>
  <c r="BL36" i="30" s="1"/>
  <c r="U101" i="16" s="1"/>
  <c r="AR36" i="30"/>
  <c r="BM36" i="30" s="1"/>
  <c r="V101" i="16" s="1"/>
  <c r="Y37" i="30"/>
  <c r="AT37" i="30" s="1"/>
  <c r="C102" i="16" s="1"/>
  <c r="AA37" i="30"/>
  <c r="AV37" i="30" s="1"/>
  <c r="E102" i="16" s="1"/>
  <c r="AB37" i="30"/>
  <c r="AW37" i="30" s="1"/>
  <c r="F102" i="16" s="1"/>
  <c r="AC37" i="30"/>
  <c r="AX37" i="30" s="1"/>
  <c r="G102" i="16" s="1"/>
  <c r="AD37" i="30"/>
  <c r="AY37" i="30" s="1"/>
  <c r="H102" i="16" s="1"/>
  <c r="AE37" i="30"/>
  <c r="AZ37" i="30" s="1"/>
  <c r="I102" i="16" s="1"/>
  <c r="AF37" i="30"/>
  <c r="BA37" i="30" s="1"/>
  <c r="J102" i="16" s="1"/>
  <c r="AG37" i="30"/>
  <c r="BB37" i="30" s="1"/>
  <c r="K102" i="16" s="1"/>
  <c r="AH37" i="30"/>
  <c r="BC37" i="30" s="1"/>
  <c r="L102" i="16" s="1"/>
  <c r="AI37" i="30"/>
  <c r="BD37" i="30" s="1"/>
  <c r="M102" i="16" s="1"/>
  <c r="AJ37" i="30"/>
  <c r="BE37" i="30" s="1"/>
  <c r="N102" i="16" s="1"/>
  <c r="AK37" i="30"/>
  <c r="BF37" i="30" s="1"/>
  <c r="O102" i="16" s="1"/>
  <c r="AL37" i="30"/>
  <c r="BG37" i="30" s="1"/>
  <c r="P102" i="16" s="1"/>
  <c r="AM37" i="30"/>
  <c r="BH37" i="30" s="1"/>
  <c r="Q102" i="16" s="1"/>
  <c r="AN37" i="30"/>
  <c r="BI37" i="30" s="1"/>
  <c r="R102" i="16" s="1"/>
  <c r="AO37" i="30"/>
  <c r="BJ37" i="30" s="1"/>
  <c r="S102" i="16" s="1"/>
  <c r="AP37" i="30"/>
  <c r="BK37" i="30" s="1"/>
  <c r="T102" i="16" s="1"/>
  <c r="AQ37" i="30"/>
  <c r="BL37" i="30" s="1"/>
  <c r="U102" i="16" s="1"/>
  <c r="AR37" i="30"/>
  <c r="BM37" i="30" s="1"/>
  <c r="V102" i="16" s="1"/>
  <c r="Y38" i="30"/>
  <c r="AT38" i="30" s="1"/>
  <c r="C103" i="16" s="1"/>
  <c r="AA38" i="30"/>
  <c r="AV38" i="30" s="1"/>
  <c r="E103" i="16" s="1"/>
  <c r="AB38" i="30"/>
  <c r="AW38" i="30" s="1"/>
  <c r="F103" i="16" s="1"/>
  <c r="AC38" i="30"/>
  <c r="AX38" i="30" s="1"/>
  <c r="G103" i="16" s="1"/>
  <c r="AD38" i="30"/>
  <c r="AY38" i="30" s="1"/>
  <c r="H103" i="16" s="1"/>
  <c r="AE38" i="30"/>
  <c r="AZ38" i="30" s="1"/>
  <c r="I103" i="16" s="1"/>
  <c r="AF38" i="30"/>
  <c r="BA38" i="30" s="1"/>
  <c r="J103" i="16" s="1"/>
  <c r="AG38" i="30"/>
  <c r="BB38" i="30" s="1"/>
  <c r="K103" i="16" s="1"/>
  <c r="AH38" i="30"/>
  <c r="BC38" i="30" s="1"/>
  <c r="L103" i="16" s="1"/>
  <c r="AI38" i="30"/>
  <c r="BD38" i="30" s="1"/>
  <c r="M103" i="16" s="1"/>
  <c r="AJ38" i="30"/>
  <c r="BE38" i="30" s="1"/>
  <c r="N103" i="16" s="1"/>
  <c r="AK38" i="30"/>
  <c r="BF38" i="30" s="1"/>
  <c r="O103" i="16" s="1"/>
  <c r="AL38" i="30"/>
  <c r="BG38" i="30" s="1"/>
  <c r="P103" i="16" s="1"/>
  <c r="AM38" i="30"/>
  <c r="BH38" i="30" s="1"/>
  <c r="Q103" i="16" s="1"/>
  <c r="AN38" i="30"/>
  <c r="BI38" i="30" s="1"/>
  <c r="R103" i="16" s="1"/>
  <c r="AO38" i="30"/>
  <c r="BJ38" i="30" s="1"/>
  <c r="S103" i="16" s="1"/>
  <c r="AP38" i="30"/>
  <c r="BK38" i="30" s="1"/>
  <c r="T103" i="16" s="1"/>
  <c r="AQ38" i="30"/>
  <c r="BL38" i="30" s="1"/>
  <c r="U103" i="16" s="1"/>
  <c r="AR38" i="30"/>
  <c r="BM38" i="30" s="1"/>
  <c r="V103" i="16" s="1"/>
  <c r="Y39" i="30"/>
  <c r="AT39" i="30" s="1"/>
  <c r="C104" i="16" s="1"/>
  <c r="AA39" i="30"/>
  <c r="AV39" i="30" s="1"/>
  <c r="E104" i="16" s="1"/>
  <c r="AB39" i="30"/>
  <c r="AW39" i="30" s="1"/>
  <c r="F104" i="16" s="1"/>
  <c r="AC39" i="30"/>
  <c r="AX39" i="30" s="1"/>
  <c r="G104" i="16" s="1"/>
  <c r="AD39" i="30"/>
  <c r="AY39" i="30" s="1"/>
  <c r="H104" i="16" s="1"/>
  <c r="AE39" i="30"/>
  <c r="AZ39" i="30" s="1"/>
  <c r="I104" i="16" s="1"/>
  <c r="AF39" i="30"/>
  <c r="BA39" i="30" s="1"/>
  <c r="J104" i="16" s="1"/>
  <c r="AG39" i="30"/>
  <c r="BB39" i="30" s="1"/>
  <c r="K104" i="16" s="1"/>
  <c r="AH39" i="30"/>
  <c r="BC39" i="30" s="1"/>
  <c r="L104" i="16" s="1"/>
  <c r="AI39" i="30"/>
  <c r="BD39" i="30" s="1"/>
  <c r="M104" i="16" s="1"/>
  <c r="AJ39" i="30"/>
  <c r="BE39" i="30" s="1"/>
  <c r="N104" i="16" s="1"/>
  <c r="AK39" i="30"/>
  <c r="BF39" i="30" s="1"/>
  <c r="O104" i="16" s="1"/>
  <c r="AL39" i="30"/>
  <c r="BG39" i="30" s="1"/>
  <c r="P104" i="16" s="1"/>
  <c r="AM39" i="30"/>
  <c r="BH39" i="30" s="1"/>
  <c r="Q104" i="16" s="1"/>
  <c r="AN39" i="30"/>
  <c r="BI39" i="30" s="1"/>
  <c r="R104" i="16" s="1"/>
  <c r="AO39" i="30"/>
  <c r="BJ39" i="30" s="1"/>
  <c r="S104" i="16" s="1"/>
  <c r="AP39" i="30"/>
  <c r="BK39" i="30" s="1"/>
  <c r="T104" i="16" s="1"/>
  <c r="AQ39" i="30"/>
  <c r="BL39" i="30" s="1"/>
  <c r="U104" i="16" s="1"/>
  <c r="AR39" i="30"/>
  <c r="BM39" i="30" s="1"/>
  <c r="V104" i="16" s="1"/>
  <c r="Y40" i="30"/>
  <c r="AT40" i="30" s="1"/>
  <c r="C105" i="16" s="1"/>
  <c r="AA40" i="30"/>
  <c r="AV40" i="30" s="1"/>
  <c r="E105" i="16" s="1"/>
  <c r="AB40" i="30"/>
  <c r="AW40" i="30" s="1"/>
  <c r="F105" i="16" s="1"/>
  <c r="AC40" i="30"/>
  <c r="AX40" i="30" s="1"/>
  <c r="G105" i="16" s="1"/>
  <c r="AD40" i="30"/>
  <c r="AY40" i="30" s="1"/>
  <c r="H105" i="16" s="1"/>
  <c r="AE40" i="30"/>
  <c r="AZ40" i="30" s="1"/>
  <c r="I105" i="16" s="1"/>
  <c r="AF40" i="30"/>
  <c r="BA40" i="30" s="1"/>
  <c r="J105" i="16" s="1"/>
  <c r="AG40" i="30"/>
  <c r="BB40" i="30" s="1"/>
  <c r="K105" i="16" s="1"/>
  <c r="AH40" i="30"/>
  <c r="BC40" i="30" s="1"/>
  <c r="L105" i="16" s="1"/>
  <c r="AI40" i="30"/>
  <c r="BD40" i="30" s="1"/>
  <c r="M105" i="16" s="1"/>
  <c r="AJ40" i="30"/>
  <c r="BE40" i="30" s="1"/>
  <c r="N105" i="16" s="1"/>
  <c r="AK40" i="30"/>
  <c r="BF40" i="30" s="1"/>
  <c r="O105" i="16" s="1"/>
  <c r="AL40" i="30"/>
  <c r="BG40" i="30" s="1"/>
  <c r="P105" i="16" s="1"/>
  <c r="AM40" i="30"/>
  <c r="BH40" i="30" s="1"/>
  <c r="Q105" i="16" s="1"/>
  <c r="AN40" i="30"/>
  <c r="BI40" i="30" s="1"/>
  <c r="R105" i="16" s="1"/>
  <c r="AO40" i="30"/>
  <c r="BJ40" i="30" s="1"/>
  <c r="S105" i="16" s="1"/>
  <c r="AP40" i="30"/>
  <c r="BK40" i="30" s="1"/>
  <c r="T105" i="16" s="1"/>
  <c r="AQ40" i="30"/>
  <c r="BL40" i="30" s="1"/>
  <c r="U105" i="16" s="1"/>
  <c r="AR40" i="30"/>
  <c r="BM40" i="30" s="1"/>
  <c r="V105" i="16" s="1"/>
  <c r="Y41" i="30"/>
  <c r="AT41" i="30" s="1"/>
  <c r="C106" i="16" s="1"/>
  <c r="AA41" i="30"/>
  <c r="AV41" i="30" s="1"/>
  <c r="E106" i="16" s="1"/>
  <c r="AB41" i="30"/>
  <c r="AW41" i="30" s="1"/>
  <c r="F106" i="16" s="1"/>
  <c r="AC41" i="30"/>
  <c r="AX41" i="30" s="1"/>
  <c r="G106" i="16" s="1"/>
  <c r="AD41" i="30"/>
  <c r="AY41" i="30" s="1"/>
  <c r="H106" i="16" s="1"/>
  <c r="AE41" i="30"/>
  <c r="AZ41" i="30" s="1"/>
  <c r="I106" i="16" s="1"/>
  <c r="AF41" i="30"/>
  <c r="BA41" i="30" s="1"/>
  <c r="J106" i="16" s="1"/>
  <c r="AG41" i="30"/>
  <c r="BB41" i="30" s="1"/>
  <c r="K106" i="16" s="1"/>
  <c r="AH41" i="30"/>
  <c r="BC41" i="30" s="1"/>
  <c r="L106" i="16" s="1"/>
  <c r="AI41" i="30"/>
  <c r="BD41" i="30" s="1"/>
  <c r="M106" i="16" s="1"/>
  <c r="AJ41" i="30"/>
  <c r="BE41" i="30" s="1"/>
  <c r="N106" i="16" s="1"/>
  <c r="AK41" i="30"/>
  <c r="BF41" i="30" s="1"/>
  <c r="O106" i="16" s="1"/>
  <c r="AL41" i="30"/>
  <c r="BG41" i="30" s="1"/>
  <c r="P106" i="16" s="1"/>
  <c r="AM41" i="30"/>
  <c r="BH41" i="30" s="1"/>
  <c r="Q106" i="16" s="1"/>
  <c r="AN41" i="30"/>
  <c r="BI41" i="30" s="1"/>
  <c r="R106" i="16" s="1"/>
  <c r="AO41" i="30"/>
  <c r="BJ41" i="30" s="1"/>
  <c r="S106" i="16" s="1"/>
  <c r="AP41" i="30"/>
  <c r="BK41" i="30" s="1"/>
  <c r="T106" i="16" s="1"/>
  <c r="AQ41" i="30"/>
  <c r="BL41" i="30" s="1"/>
  <c r="U106" i="16" s="1"/>
  <c r="AR41" i="30"/>
  <c r="BM41" i="30" s="1"/>
  <c r="V106" i="16" s="1"/>
  <c r="Y42" i="30"/>
  <c r="AT42" i="30" s="1"/>
  <c r="C107" i="16" s="1"/>
  <c r="AA42" i="30"/>
  <c r="AV42" i="30" s="1"/>
  <c r="E107" i="16" s="1"/>
  <c r="AB42" i="30"/>
  <c r="AW42" i="30" s="1"/>
  <c r="F107" i="16" s="1"/>
  <c r="AC42" i="30"/>
  <c r="AX42" i="30" s="1"/>
  <c r="G107" i="16" s="1"/>
  <c r="AD42" i="30"/>
  <c r="AY42" i="30" s="1"/>
  <c r="H107" i="16" s="1"/>
  <c r="AE42" i="30"/>
  <c r="AZ42" i="30" s="1"/>
  <c r="I107" i="16" s="1"/>
  <c r="AF42" i="30"/>
  <c r="BA42" i="30" s="1"/>
  <c r="J107" i="16" s="1"/>
  <c r="AG42" i="30"/>
  <c r="BB42" i="30" s="1"/>
  <c r="K107" i="16" s="1"/>
  <c r="AH42" i="30"/>
  <c r="BC42" i="30" s="1"/>
  <c r="L107" i="16" s="1"/>
  <c r="AI42" i="30"/>
  <c r="BD42" i="30" s="1"/>
  <c r="M107" i="16" s="1"/>
  <c r="AJ42" i="30"/>
  <c r="BE42" i="30" s="1"/>
  <c r="N107" i="16" s="1"/>
  <c r="AK42" i="30"/>
  <c r="BF42" i="30" s="1"/>
  <c r="O107" i="16" s="1"/>
  <c r="AL42" i="30"/>
  <c r="BG42" i="30" s="1"/>
  <c r="P107" i="16" s="1"/>
  <c r="AM42" i="30"/>
  <c r="BH42" i="30" s="1"/>
  <c r="Q107" i="16" s="1"/>
  <c r="AN42" i="30"/>
  <c r="BI42" i="30" s="1"/>
  <c r="R107" i="16" s="1"/>
  <c r="AO42" i="30"/>
  <c r="BJ42" i="30" s="1"/>
  <c r="S107" i="16" s="1"/>
  <c r="AP42" i="30"/>
  <c r="BK42" i="30" s="1"/>
  <c r="T107" i="16" s="1"/>
  <c r="AQ42" i="30"/>
  <c r="BL42" i="30" s="1"/>
  <c r="U107" i="16" s="1"/>
  <c r="AR42" i="30"/>
  <c r="BM42" i="30" s="1"/>
  <c r="V107" i="16" s="1"/>
  <c r="Y43" i="30"/>
  <c r="AT43" i="30" s="1"/>
  <c r="C108" i="16" s="1"/>
  <c r="AA43" i="30"/>
  <c r="AV43" i="30" s="1"/>
  <c r="E108" i="16" s="1"/>
  <c r="AB43" i="30"/>
  <c r="AW43" i="30" s="1"/>
  <c r="F108" i="16" s="1"/>
  <c r="AC43" i="30"/>
  <c r="AX43" i="30" s="1"/>
  <c r="G108" i="16" s="1"/>
  <c r="AD43" i="30"/>
  <c r="AY43" i="30" s="1"/>
  <c r="H108" i="16" s="1"/>
  <c r="AE43" i="30"/>
  <c r="AZ43" i="30" s="1"/>
  <c r="I108" i="16" s="1"/>
  <c r="AF43" i="30"/>
  <c r="BA43" i="30" s="1"/>
  <c r="J108" i="16" s="1"/>
  <c r="AG43" i="30"/>
  <c r="BB43" i="30" s="1"/>
  <c r="K108" i="16" s="1"/>
  <c r="AH43" i="30"/>
  <c r="BC43" i="30" s="1"/>
  <c r="L108" i="16" s="1"/>
  <c r="AI43" i="30"/>
  <c r="BD43" i="30" s="1"/>
  <c r="M108" i="16" s="1"/>
  <c r="AJ43" i="30"/>
  <c r="BE43" i="30" s="1"/>
  <c r="N108" i="16" s="1"/>
  <c r="AK43" i="30"/>
  <c r="BF43" i="30" s="1"/>
  <c r="O108" i="16" s="1"/>
  <c r="AL43" i="30"/>
  <c r="BG43" i="30" s="1"/>
  <c r="P108" i="16" s="1"/>
  <c r="AM43" i="30"/>
  <c r="BH43" i="30" s="1"/>
  <c r="Q108" i="16" s="1"/>
  <c r="AN43" i="30"/>
  <c r="BI43" i="30" s="1"/>
  <c r="R108" i="16" s="1"/>
  <c r="AO43" i="30"/>
  <c r="BJ43" i="30" s="1"/>
  <c r="S108" i="16" s="1"/>
  <c r="AP43" i="30"/>
  <c r="BK43" i="30" s="1"/>
  <c r="T108" i="16" s="1"/>
  <c r="AQ43" i="30"/>
  <c r="BL43" i="30" s="1"/>
  <c r="U108" i="16" s="1"/>
  <c r="AR43" i="30"/>
  <c r="BM43" i="30" s="1"/>
  <c r="V108" i="16" s="1"/>
  <c r="Y44" i="30"/>
  <c r="AT44" i="30" s="1"/>
  <c r="C109" i="16" s="1"/>
  <c r="AA44" i="30"/>
  <c r="AV44" i="30" s="1"/>
  <c r="E109" i="16" s="1"/>
  <c r="AB44" i="30"/>
  <c r="AW44" i="30" s="1"/>
  <c r="F109" i="16" s="1"/>
  <c r="AC44" i="30"/>
  <c r="AX44" i="30" s="1"/>
  <c r="G109" i="16" s="1"/>
  <c r="AD44" i="30"/>
  <c r="AY44" i="30" s="1"/>
  <c r="H109" i="16" s="1"/>
  <c r="AE44" i="30"/>
  <c r="AZ44" i="30" s="1"/>
  <c r="I109" i="16" s="1"/>
  <c r="AF44" i="30"/>
  <c r="BA44" i="30" s="1"/>
  <c r="J109" i="16" s="1"/>
  <c r="AG44" i="30"/>
  <c r="BB44" i="30" s="1"/>
  <c r="K109" i="16" s="1"/>
  <c r="AH44" i="30"/>
  <c r="BC44" i="30" s="1"/>
  <c r="L109" i="16" s="1"/>
  <c r="AI44" i="30"/>
  <c r="BD44" i="30" s="1"/>
  <c r="M109" i="16" s="1"/>
  <c r="AJ44" i="30"/>
  <c r="BE44" i="30" s="1"/>
  <c r="N109" i="16" s="1"/>
  <c r="AK44" i="30"/>
  <c r="BF44" i="30" s="1"/>
  <c r="O109" i="16" s="1"/>
  <c r="AL44" i="30"/>
  <c r="BG44" i="30" s="1"/>
  <c r="P109" i="16" s="1"/>
  <c r="AM44" i="30"/>
  <c r="BH44" i="30" s="1"/>
  <c r="Q109" i="16" s="1"/>
  <c r="AN44" i="30"/>
  <c r="BI44" i="30" s="1"/>
  <c r="R109" i="16" s="1"/>
  <c r="AO44" i="30"/>
  <c r="BJ44" i="30" s="1"/>
  <c r="S109" i="16" s="1"/>
  <c r="AP44" i="30"/>
  <c r="BK44" i="30" s="1"/>
  <c r="T109" i="16" s="1"/>
  <c r="AQ44" i="30"/>
  <c r="BL44" i="30" s="1"/>
  <c r="U109" i="16" s="1"/>
  <c r="AR44" i="30"/>
  <c r="BM44" i="30" s="1"/>
  <c r="V109" i="16" s="1"/>
  <c r="Y45" i="30"/>
  <c r="AT45" i="30" s="1"/>
  <c r="C110" i="16" s="1"/>
  <c r="AA45" i="30"/>
  <c r="AV45" i="30" s="1"/>
  <c r="E110" i="16" s="1"/>
  <c r="AB45" i="30"/>
  <c r="AW45" i="30" s="1"/>
  <c r="F110" i="16" s="1"/>
  <c r="AC45" i="30"/>
  <c r="AX45" i="30" s="1"/>
  <c r="G110" i="16" s="1"/>
  <c r="AD45" i="30"/>
  <c r="AY45" i="30" s="1"/>
  <c r="H110" i="16" s="1"/>
  <c r="AE45" i="30"/>
  <c r="AZ45" i="30" s="1"/>
  <c r="I110" i="16" s="1"/>
  <c r="AF45" i="30"/>
  <c r="BA45" i="30" s="1"/>
  <c r="J110" i="16" s="1"/>
  <c r="AG45" i="30"/>
  <c r="BB45" i="30" s="1"/>
  <c r="K110" i="16" s="1"/>
  <c r="AH45" i="30"/>
  <c r="BC45" i="30" s="1"/>
  <c r="L110" i="16" s="1"/>
  <c r="AI45" i="30"/>
  <c r="BD45" i="30" s="1"/>
  <c r="M110" i="16" s="1"/>
  <c r="AJ45" i="30"/>
  <c r="BE45" i="30" s="1"/>
  <c r="N110" i="16" s="1"/>
  <c r="AK45" i="30"/>
  <c r="BF45" i="30" s="1"/>
  <c r="O110" i="16" s="1"/>
  <c r="AL45" i="30"/>
  <c r="BG45" i="30" s="1"/>
  <c r="P110" i="16" s="1"/>
  <c r="AM45" i="30"/>
  <c r="BH45" i="30" s="1"/>
  <c r="Q110" i="16" s="1"/>
  <c r="AN45" i="30"/>
  <c r="BI45" i="30" s="1"/>
  <c r="R110" i="16" s="1"/>
  <c r="AO45" i="30"/>
  <c r="BJ45" i="30" s="1"/>
  <c r="S110" i="16" s="1"/>
  <c r="AP45" i="30"/>
  <c r="BK45" i="30" s="1"/>
  <c r="T110" i="16" s="1"/>
  <c r="AQ45" i="30"/>
  <c r="BL45" i="30" s="1"/>
  <c r="U110" i="16" s="1"/>
  <c r="AR45" i="30"/>
  <c r="BM45" i="30" s="1"/>
  <c r="V110" i="16" s="1"/>
  <c r="Y46" i="30"/>
  <c r="AT46" i="30" s="1"/>
  <c r="C111" i="16" s="1"/>
  <c r="AA46" i="30"/>
  <c r="AV46" i="30" s="1"/>
  <c r="E111" i="16" s="1"/>
  <c r="AB46" i="30"/>
  <c r="AW46" i="30" s="1"/>
  <c r="F111" i="16" s="1"/>
  <c r="AC46" i="30"/>
  <c r="AX46" i="30" s="1"/>
  <c r="G111" i="16" s="1"/>
  <c r="AD46" i="30"/>
  <c r="AY46" i="30" s="1"/>
  <c r="H111" i="16" s="1"/>
  <c r="AE46" i="30"/>
  <c r="AZ46" i="30" s="1"/>
  <c r="I111" i="16" s="1"/>
  <c r="AF46" i="30"/>
  <c r="BA46" i="30" s="1"/>
  <c r="J111" i="16" s="1"/>
  <c r="AG46" i="30"/>
  <c r="BB46" i="30" s="1"/>
  <c r="K111" i="16" s="1"/>
  <c r="AH46" i="30"/>
  <c r="BC46" i="30" s="1"/>
  <c r="L111" i="16" s="1"/>
  <c r="AI46" i="30"/>
  <c r="BD46" i="30" s="1"/>
  <c r="M111" i="16" s="1"/>
  <c r="AJ46" i="30"/>
  <c r="BE46" i="30" s="1"/>
  <c r="N111" i="16" s="1"/>
  <c r="AK46" i="30"/>
  <c r="BF46" i="30" s="1"/>
  <c r="O111" i="16" s="1"/>
  <c r="AL46" i="30"/>
  <c r="BG46" i="30" s="1"/>
  <c r="P111" i="16" s="1"/>
  <c r="AM46" i="30"/>
  <c r="BH46" i="30" s="1"/>
  <c r="Q111" i="16" s="1"/>
  <c r="AN46" i="30"/>
  <c r="BI46" i="30" s="1"/>
  <c r="R111" i="16" s="1"/>
  <c r="AO46" i="30"/>
  <c r="BJ46" i="30" s="1"/>
  <c r="S111" i="16" s="1"/>
  <c r="AP46" i="30"/>
  <c r="BK46" i="30" s="1"/>
  <c r="T111" i="16" s="1"/>
  <c r="AQ46" i="30"/>
  <c r="BL46" i="30" s="1"/>
  <c r="U111" i="16" s="1"/>
  <c r="AR46" i="30"/>
  <c r="BM46" i="30" s="1"/>
  <c r="V111" i="16" s="1"/>
  <c r="Y47" i="30"/>
  <c r="AT47" i="30" s="1"/>
  <c r="C112" i="16" s="1"/>
  <c r="AA47" i="30"/>
  <c r="AV47" i="30" s="1"/>
  <c r="E112" i="16" s="1"/>
  <c r="AB47" i="30"/>
  <c r="AW47" i="30" s="1"/>
  <c r="F112" i="16" s="1"/>
  <c r="AC47" i="30"/>
  <c r="AX47" i="30" s="1"/>
  <c r="G112" i="16" s="1"/>
  <c r="AD47" i="30"/>
  <c r="AY47" i="30" s="1"/>
  <c r="H112" i="16" s="1"/>
  <c r="AE47" i="30"/>
  <c r="AZ47" i="30" s="1"/>
  <c r="I112" i="16" s="1"/>
  <c r="AF47" i="30"/>
  <c r="BA47" i="30" s="1"/>
  <c r="J112" i="16" s="1"/>
  <c r="AG47" i="30"/>
  <c r="BB47" i="30" s="1"/>
  <c r="K112" i="16" s="1"/>
  <c r="AH47" i="30"/>
  <c r="BC47" i="30" s="1"/>
  <c r="L112" i="16" s="1"/>
  <c r="AI47" i="30"/>
  <c r="BD47" i="30" s="1"/>
  <c r="M112" i="16" s="1"/>
  <c r="AJ47" i="30"/>
  <c r="BE47" i="30" s="1"/>
  <c r="N112" i="16" s="1"/>
  <c r="AK47" i="30"/>
  <c r="BF47" i="30" s="1"/>
  <c r="O112" i="16" s="1"/>
  <c r="AL47" i="30"/>
  <c r="BG47" i="30" s="1"/>
  <c r="P112" i="16" s="1"/>
  <c r="AM47" i="30"/>
  <c r="BH47" i="30" s="1"/>
  <c r="Q112" i="16" s="1"/>
  <c r="AN47" i="30"/>
  <c r="BI47" i="30" s="1"/>
  <c r="R112" i="16" s="1"/>
  <c r="AO47" i="30"/>
  <c r="BJ47" i="30" s="1"/>
  <c r="S112" i="16" s="1"/>
  <c r="AP47" i="30"/>
  <c r="BK47" i="30" s="1"/>
  <c r="T112" i="16" s="1"/>
  <c r="AQ47" i="30"/>
  <c r="BL47" i="30" s="1"/>
  <c r="U112" i="16" s="1"/>
  <c r="AR47" i="30"/>
  <c r="BM47" i="30" s="1"/>
  <c r="V112" i="16" s="1"/>
  <c r="Y48" i="30"/>
  <c r="AT48" i="30" s="1"/>
  <c r="C113" i="16" s="1"/>
  <c r="AA48" i="30"/>
  <c r="AV48" i="30" s="1"/>
  <c r="E113" i="16" s="1"/>
  <c r="AB48" i="30"/>
  <c r="AW48" i="30" s="1"/>
  <c r="F113" i="16" s="1"/>
  <c r="AC48" i="30"/>
  <c r="AX48" i="30" s="1"/>
  <c r="G113" i="16" s="1"/>
  <c r="AD48" i="30"/>
  <c r="AY48" i="30" s="1"/>
  <c r="H113" i="16" s="1"/>
  <c r="AE48" i="30"/>
  <c r="AZ48" i="30" s="1"/>
  <c r="I113" i="16" s="1"/>
  <c r="AF48" i="30"/>
  <c r="BA48" i="30" s="1"/>
  <c r="J113" i="16" s="1"/>
  <c r="AG48" i="30"/>
  <c r="BB48" i="30" s="1"/>
  <c r="K113" i="16" s="1"/>
  <c r="AH48" i="30"/>
  <c r="BC48" i="30" s="1"/>
  <c r="L113" i="16" s="1"/>
  <c r="AI48" i="30"/>
  <c r="BD48" i="30" s="1"/>
  <c r="M113" i="16" s="1"/>
  <c r="AJ48" i="30"/>
  <c r="BE48" i="30" s="1"/>
  <c r="N113" i="16" s="1"/>
  <c r="AK48" i="30"/>
  <c r="BF48" i="30" s="1"/>
  <c r="O113" i="16" s="1"/>
  <c r="AL48" i="30"/>
  <c r="BG48" i="30" s="1"/>
  <c r="P113" i="16" s="1"/>
  <c r="AM48" i="30"/>
  <c r="BH48" i="30" s="1"/>
  <c r="Q113" i="16" s="1"/>
  <c r="AN48" i="30"/>
  <c r="BI48" i="30" s="1"/>
  <c r="R113" i="16" s="1"/>
  <c r="AO48" i="30"/>
  <c r="BJ48" i="30" s="1"/>
  <c r="S113" i="16" s="1"/>
  <c r="AP48" i="30"/>
  <c r="BK48" i="30" s="1"/>
  <c r="T113" i="16" s="1"/>
  <c r="AQ48" i="30"/>
  <c r="BL48" i="30" s="1"/>
  <c r="U113" i="16" s="1"/>
  <c r="AR48" i="30"/>
  <c r="BM48" i="30" s="1"/>
  <c r="V113" i="16" s="1"/>
  <c r="Y2" i="30"/>
  <c r="AA2" i="30"/>
  <c r="AV2" i="30" s="1"/>
  <c r="AB2" i="30"/>
  <c r="AW2" i="30" s="1"/>
  <c r="AC2" i="30"/>
  <c r="AX2" i="30" s="1"/>
  <c r="AD2" i="30"/>
  <c r="AY2" i="30" s="1"/>
  <c r="AE2" i="30"/>
  <c r="AZ2" i="30" s="1"/>
  <c r="AF2" i="30"/>
  <c r="BA2" i="30" s="1"/>
  <c r="AG2" i="30"/>
  <c r="BB2" i="30" s="1"/>
  <c r="AH2" i="30"/>
  <c r="BC2" i="30" s="1"/>
  <c r="AI2" i="30"/>
  <c r="BD2" i="30" s="1"/>
  <c r="AJ2" i="30"/>
  <c r="BE2" i="30" s="1"/>
  <c r="AK2" i="30"/>
  <c r="BF2" i="30" s="1"/>
  <c r="AL2" i="30"/>
  <c r="BG2" i="30" s="1"/>
  <c r="AM2" i="30"/>
  <c r="BH2" i="30" s="1"/>
  <c r="AN2" i="30"/>
  <c r="BI2" i="30" s="1"/>
  <c r="AO2" i="30"/>
  <c r="BJ2" i="30" s="1"/>
  <c r="AP2" i="30"/>
  <c r="BK2" i="30" s="1"/>
  <c r="AQ2" i="30"/>
  <c r="BL2" i="30" s="1"/>
  <c r="AR2" i="30"/>
  <c r="BM2" i="30" s="1"/>
  <c r="Y3" i="30"/>
  <c r="AT3" i="30" s="1"/>
  <c r="C68" i="16" s="1"/>
  <c r="AA3" i="30"/>
  <c r="AV3" i="30" s="1"/>
  <c r="E68" i="16" s="1"/>
  <c r="AB3" i="30"/>
  <c r="AW3" i="30" s="1"/>
  <c r="F68" i="16" s="1"/>
  <c r="AC3" i="30"/>
  <c r="AX3" i="30" s="1"/>
  <c r="G68" i="16" s="1"/>
  <c r="AD3" i="30"/>
  <c r="AY3" i="30" s="1"/>
  <c r="H68" i="16" s="1"/>
  <c r="AE3" i="30"/>
  <c r="AZ3" i="30" s="1"/>
  <c r="I68" i="16" s="1"/>
  <c r="AF3" i="30"/>
  <c r="BA3" i="30" s="1"/>
  <c r="J68" i="16" s="1"/>
  <c r="AG3" i="30"/>
  <c r="BB3" i="30" s="1"/>
  <c r="K68" i="16" s="1"/>
  <c r="AH3" i="30"/>
  <c r="BC3" i="30" s="1"/>
  <c r="L68" i="16" s="1"/>
  <c r="AI3" i="30"/>
  <c r="BD3" i="30" s="1"/>
  <c r="M68" i="16" s="1"/>
  <c r="AJ3" i="30"/>
  <c r="BE3" i="30" s="1"/>
  <c r="N68" i="16" s="1"/>
  <c r="AK3" i="30"/>
  <c r="BF3" i="30" s="1"/>
  <c r="O68" i="16" s="1"/>
  <c r="AL3" i="30"/>
  <c r="BG3" i="30" s="1"/>
  <c r="P68" i="16" s="1"/>
  <c r="AM3" i="30"/>
  <c r="BH3" i="30" s="1"/>
  <c r="Q68" i="16" s="1"/>
  <c r="AN3" i="30"/>
  <c r="BI3" i="30" s="1"/>
  <c r="R68" i="16" s="1"/>
  <c r="AO3" i="30"/>
  <c r="BJ3" i="30" s="1"/>
  <c r="S68" i="16" s="1"/>
  <c r="AP3" i="30"/>
  <c r="BK3" i="30" s="1"/>
  <c r="T68" i="16" s="1"/>
  <c r="AQ3" i="30"/>
  <c r="BL3" i="30" s="1"/>
  <c r="U68" i="16" s="1"/>
  <c r="AR3" i="30"/>
  <c r="BM3" i="30" s="1"/>
  <c r="V68" i="16" s="1"/>
  <c r="Y4" i="30"/>
  <c r="AT4" i="30" s="1"/>
  <c r="C69" i="16" s="1"/>
  <c r="AA4" i="30"/>
  <c r="AV4" i="30" s="1"/>
  <c r="E69" i="16" s="1"/>
  <c r="AB4" i="30"/>
  <c r="AW4" i="30" s="1"/>
  <c r="F69" i="16" s="1"/>
  <c r="AC4" i="30"/>
  <c r="AX4" i="30" s="1"/>
  <c r="G69" i="16" s="1"/>
  <c r="AD4" i="30"/>
  <c r="AY4" i="30" s="1"/>
  <c r="H69" i="16" s="1"/>
  <c r="AE4" i="30"/>
  <c r="AZ4" i="30" s="1"/>
  <c r="I69" i="16" s="1"/>
  <c r="AF4" i="30"/>
  <c r="BA4" i="30" s="1"/>
  <c r="J69" i="16" s="1"/>
  <c r="AG4" i="30"/>
  <c r="BB4" i="30" s="1"/>
  <c r="K69" i="16" s="1"/>
  <c r="AH4" i="30"/>
  <c r="BC4" i="30" s="1"/>
  <c r="L69" i="16" s="1"/>
  <c r="AI4" i="30"/>
  <c r="BD4" i="30" s="1"/>
  <c r="M69" i="16" s="1"/>
  <c r="AJ4" i="30"/>
  <c r="BE4" i="30" s="1"/>
  <c r="N69" i="16" s="1"/>
  <c r="AK4" i="30"/>
  <c r="BF4" i="30" s="1"/>
  <c r="O69" i="16" s="1"/>
  <c r="AL4" i="30"/>
  <c r="BG4" i="30" s="1"/>
  <c r="P69" i="16" s="1"/>
  <c r="AM4" i="30"/>
  <c r="BH4" i="30" s="1"/>
  <c r="Q69" i="16" s="1"/>
  <c r="AN4" i="30"/>
  <c r="BI4" i="30" s="1"/>
  <c r="R69" i="16" s="1"/>
  <c r="AO4" i="30"/>
  <c r="BJ4" i="30" s="1"/>
  <c r="S69" i="16" s="1"/>
  <c r="AP4" i="30"/>
  <c r="BK4" i="30" s="1"/>
  <c r="T69" i="16" s="1"/>
  <c r="AQ4" i="30"/>
  <c r="BL4" i="30" s="1"/>
  <c r="U69" i="16" s="1"/>
  <c r="AR4" i="30"/>
  <c r="BM4" i="30" s="1"/>
  <c r="V69" i="16" s="1"/>
  <c r="Y5" i="30"/>
  <c r="AT5" i="30" s="1"/>
  <c r="C70" i="16" s="1"/>
  <c r="AA5" i="30"/>
  <c r="AV5" i="30" s="1"/>
  <c r="E70" i="16" s="1"/>
  <c r="AB5" i="30"/>
  <c r="AW5" i="30" s="1"/>
  <c r="F70" i="16" s="1"/>
  <c r="AC5" i="30"/>
  <c r="AX5" i="30" s="1"/>
  <c r="G70" i="16" s="1"/>
  <c r="AD5" i="30"/>
  <c r="AY5" i="30" s="1"/>
  <c r="H70" i="16" s="1"/>
  <c r="AE5" i="30"/>
  <c r="AZ5" i="30" s="1"/>
  <c r="I70" i="16" s="1"/>
  <c r="AF5" i="30"/>
  <c r="BA5" i="30" s="1"/>
  <c r="J70" i="16" s="1"/>
  <c r="AG5" i="30"/>
  <c r="BB5" i="30" s="1"/>
  <c r="K70" i="16" s="1"/>
  <c r="AH5" i="30"/>
  <c r="BC5" i="30" s="1"/>
  <c r="L70" i="16" s="1"/>
  <c r="AI5" i="30"/>
  <c r="BD5" i="30" s="1"/>
  <c r="M70" i="16" s="1"/>
  <c r="AJ5" i="30"/>
  <c r="BE5" i="30" s="1"/>
  <c r="N70" i="16" s="1"/>
  <c r="AK5" i="30"/>
  <c r="BF5" i="30" s="1"/>
  <c r="O70" i="16" s="1"/>
  <c r="AL5" i="30"/>
  <c r="BG5" i="30" s="1"/>
  <c r="P70" i="16" s="1"/>
  <c r="AM5" i="30"/>
  <c r="BH5" i="30" s="1"/>
  <c r="Q70" i="16" s="1"/>
  <c r="AN5" i="30"/>
  <c r="BI5" i="30" s="1"/>
  <c r="R70" i="16" s="1"/>
  <c r="AO5" i="30"/>
  <c r="BJ5" i="30" s="1"/>
  <c r="S70" i="16" s="1"/>
  <c r="AP5" i="30"/>
  <c r="BK5" i="30" s="1"/>
  <c r="T70" i="16" s="1"/>
  <c r="AQ5" i="30"/>
  <c r="BL5" i="30" s="1"/>
  <c r="U70" i="16" s="1"/>
  <c r="AR5" i="30"/>
  <c r="BM5" i="30" s="1"/>
  <c r="V70" i="16" s="1"/>
  <c r="Y6" i="30"/>
  <c r="AT6" i="30" s="1"/>
  <c r="C71" i="16" s="1"/>
  <c r="AA6" i="30"/>
  <c r="AV6" i="30" s="1"/>
  <c r="E71" i="16" s="1"/>
  <c r="AB6" i="30"/>
  <c r="AW6" i="30" s="1"/>
  <c r="F71" i="16" s="1"/>
  <c r="AC6" i="30"/>
  <c r="AX6" i="30" s="1"/>
  <c r="G71" i="16" s="1"/>
  <c r="AD6" i="30"/>
  <c r="AY6" i="30" s="1"/>
  <c r="H71" i="16" s="1"/>
  <c r="AE6" i="30"/>
  <c r="AZ6" i="30" s="1"/>
  <c r="I71" i="16" s="1"/>
  <c r="AF6" i="30"/>
  <c r="BA6" i="30" s="1"/>
  <c r="J71" i="16" s="1"/>
  <c r="AG6" i="30"/>
  <c r="BB6" i="30" s="1"/>
  <c r="K71" i="16" s="1"/>
  <c r="AH6" i="30"/>
  <c r="BC6" i="30" s="1"/>
  <c r="L71" i="16" s="1"/>
  <c r="AI6" i="30"/>
  <c r="BD6" i="30" s="1"/>
  <c r="M71" i="16" s="1"/>
  <c r="AJ6" i="30"/>
  <c r="BE6" i="30" s="1"/>
  <c r="N71" i="16" s="1"/>
  <c r="AK6" i="30"/>
  <c r="BF6" i="30" s="1"/>
  <c r="O71" i="16" s="1"/>
  <c r="AL6" i="30"/>
  <c r="BG6" i="30" s="1"/>
  <c r="P71" i="16" s="1"/>
  <c r="AM6" i="30"/>
  <c r="BH6" i="30" s="1"/>
  <c r="Q71" i="16" s="1"/>
  <c r="AN6" i="30"/>
  <c r="BI6" i="30" s="1"/>
  <c r="R71" i="16" s="1"/>
  <c r="AO6" i="30"/>
  <c r="BJ6" i="30" s="1"/>
  <c r="S71" i="16" s="1"/>
  <c r="AP6" i="30"/>
  <c r="BK6" i="30" s="1"/>
  <c r="T71" i="16" s="1"/>
  <c r="AQ6" i="30"/>
  <c r="BL6" i="30" s="1"/>
  <c r="U71" i="16" s="1"/>
  <c r="AR6" i="30"/>
  <c r="BM6" i="30" s="1"/>
  <c r="V71" i="16" s="1"/>
  <c r="Y7" i="30"/>
  <c r="AT7" i="30" s="1"/>
  <c r="C72" i="16" s="1"/>
  <c r="AA7" i="30"/>
  <c r="AV7" i="30" s="1"/>
  <c r="E72" i="16" s="1"/>
  <c r="AB7" i="30"/>
  <c r="AW7" i="30" s="1"/>
  <c r="F72" i="16" s="1"/>
  <c r="AC7" i="30"/>
  <c r="AX7" i="30" s="1"/>
  <c r="G72" i="16" s="1"/>
  <c r="AD7" i="30"/>
  <c r="AY7" i="30" s="1"/>
  <c r="H72" i="16" s="1"/>
  <c r="AE7" i="30"/>
  <c r="AZ7" i="30" s="1"/>
  <c r="I72" i="16" s="1"/>
  <c r="AF7" i="30"/>
  <c r="BA7" i="30" s="1"/>
  <c r="J72" i="16" s="1"/>
  <c r="AG7" i="30"/>
  <c r="BB7" i="30" s="1"/>
  <c r="K72" i="16" s="1"/>
  <c r="AH7" i="30"/>
  <c r="BC7" i="30" s="1"/>
  <c r="L72" i="16" s="1"/>
  <c r="AI7" i="30"/>
  <c r="BD7" i="30" s="1"/>
  <c r="M72" i="16" s="1"/>
  <c r="AJ7" i="30"/>
  <c r="BE7" i="30" s="1"/>
  <c r="N72" i="16" s="1"/>
  <c r="AK7" i="30"/>
  <c r="BF7" i="30" s="1"/>
  <c r="O72" i="16" s="1"/>
  <c r="AL7" i="30"/>
  <c r="BG7" i="30" s="1"/>
  <c r="P72" i="16" s="1"/>
  <c r="AM7" i="30"/>
  <c r="BH7" i="30" s="1"/>
  <c r="Q72" i="16" s="1"/>
  <c r="AN7" i="30"/>
  <c r="BI7" i="30" s="1"/>
  <c r="R72" i="16" s="1"/>
  <c r="AO7" i="30"/>
  <c r="BJ7" i="30" s="1"/>
  <c r="S72" i="16" s="1"/>
  <c r="AP7" i="30"/>
  <c r="BK7" i="30" s="1"/>
  <c r="T72" i="16" s="1"/>
  <c r="AQ7" i="30"/>
  <c r="BL7" i="30" s="1"/>
  <c r="U72" i="16" s="1"/>
  <c r="AR7" i="30"/>
  <c r="BM7" i="30" s="1"/>
  <c r="V72" i="16" s="1"/>
  <c r="Y8" i="30"/>
  <c r="AT8" i="30" s="1"/>
  <c r="C73" i="16" s="1"/>
  <c r="AA8" i="30"/>
  <c r="AV8" i="30" s="1"/>
  <c r="E73" i="16" s="1"/>
  <c r="AB8" i="30"/>
  <c r="AW8" i="30" s="1"/>
  <c r="F73" i="16" s="1"/>
  <c r="AC8" i="30"/>
  <c r="AX8" i="30" s="1"/>
  <c r="G73" i="16" s="1"/>
  <c r="AD8" i="30"/>
  <c r="AY8" i="30" s="1"/>
  <c r="H73" i="16" s="1"/>
  <c r="AE8" i="30"/>
  <c r="AZ8" i="30" s="1"/>
  <c r="I73" i="16" s="1"/>
  <c r="AF8" i="30"/>
  <c r="BA8" i="30" s="1"/>
  <c r="J73" i="16" s="1"/>
  <c r="AG8" i="30"/>
  <c r="BB8" i="30" s="1"/>
  <c r="K73" i="16" s="1"/>
  <c r="AH8" i="30"/>
  <c r="BC8" i="30" s="1"/>
  <c r="L73" i="16" s="1"/>
  <c r="AI8" i="30"/>
  <c r="BD8" i="30" s="1"/>
  <c r="M73" i="16" s="1"/>
  <c r="AJ8" i="30"/>
  <c r="BE8" i="30" s="1"/>
  <c r="N73" i="16" s="1"/>
  <c r="AK8" i="30"/>
  <c r="BF8" i="30" s="1"/>
  <c r="O73" i="16" s="1"/>
  <c r="AL8" i="30"/>
  <c r="BG8" i="30" s="1"/>
  <c r="P73" i="16" s="1"/>
  <c r="AM8" i="30"/>
  <c r="BH8" i="30" s="1"/>
  <c r="Q73" i="16" s="1"/>
  <c r="AN8" i="30"/>
  <c r="BI8" i="30" s="1"/>
  <c r="R73" i="16" s="1"/>
  <c r="AO8" i="30"/>
  <c r="BJ8" i="30" s="1"/>
  <c r="S73" i="16" s="1"/>
  <c r="AP8" i="30"/>
  <c r="BK8" i="30" s="1"/>
  <c r="T73" i="16" s="1"/>
  <c r="AQ8" i="30"/>
  <c r="BL8" i="30" s="1"/>
  <c r="U73" i="16" s="1"/>
  <c r="AR8" i="30"/>
  <c r="BM8" i="30" s="1"/>
  <c r="V73" i="16" s="1"/>
  <c r="Y9" i="30"/>
  <c r="AT9" i="30" s="1"/>
  <c r="C74" i="16" s="1"/>
  <c r="AA9" i="30"/>
  <c r="AV9" i="30" s="1"/>
  <c r="E74" i="16" s="1"/>
  <c r="AB9" i="30"/>
  <c r="AW9" i="30" s="1"/>
  <c r="F74" i="16" s="1"/>
  <c r="AC9" i="30"/>
  <c r="AX9" i="30" s="1"/>
  <c r="G74" i="16" s="1"/>
  <c r="AD9" i="30"/>
  <c r="AY9" i="30" s="1"/>
  <c r="H74" i="16" s="1"/>
  <c r="AE9" i="30"/>
  <c r="AZ9" i="30" s="1"/>
  <c r="I74" i="16" s="1"/>
  <c r="AF9" i="30"/>
  <c r="BA9" i="30" s="1"/>
  <c r="J74" i="16" s="1"/>
  <c r="AG9" i="30"/>
  <c r="BB9" i="30" s="1"/>
  <c r="K74" i="16" s="1"/>
  <c r="AH9" i="30"/>
  <c r="BC9" i="30" s="1"/>
  <c r="L74" i="16" s="1"/>
  <c r="AI9" i="30"/>
  <c r="BD9" i="30" s="1"/>
  <c r="M74" i="16" s="1"/>
  <c r="AJ9" i="30"/>
  <c r="BE9" i="30" s="1"/>
  <c r="N74" i="16" s="1"/>
  <c r="AK9" i="30"/>
  <c r="BF9" i="30" s="1"/>
  <c r="O74" i="16" s="1"/>
  <c r="AL9" i="30"/>
  <c r="BG9" i="30" s="1"/>
  <c r="P74" i="16" s="1"/>
  <c r="AM9" i="30"/>
  <c r="BH9" i="30" s="1"/>
  <c r="Q74" i="16" s="1"/>
  <c r="AN9" i="30"/>
  <c r="BI9" i="30" s="1"/>
  <c r="R74" i="16" s="1"/>
  <c r="AO9" i="30"/>
  <c r="BJ9" i="30" s="1"/>
  <c r="S74" i="16" s="1"/>
  <c r="AP9" i="30"/>
  <c r="BK9" i="30" s="1"/>
  <c r="T74" i="16" s="1"/>
  <c r="AQ9" i="30"/>
  <c r="BL9" i="30" s="1"/>
  <c r="U74" i="16" s="1"/>
  <c r="AR9" i="30"/>
  <c r="BM9" i="30" s="1"/>
  <c r="V74" i="16" s="1"/>
  <c r="Y10" i="30"/>
  <c r="AT10" i="30" s="1"/>
  <c r="C75" i="16" s="1"/>
  <c r="AA10" i="30"/>
  <c r="AV10" i="30" s="1"/>
  <c r="E75" i="16" s="1"/>
  <c r="AB10" i="30"/>
  <c r="AW10" i="30" s="1"/>
  <c r="F75" i="16" s="1"/>
  <c r="AC10" i="30"/>
  <c r="AX10" i="30" s="1"/>
  <c r="G75" i="16" s="1"/>
  <c r="AD10" i="30"/>
  <c r="AY10" i="30" s="1"/>
  <c r="H75" i="16" s="1"/>
  <c r="AE10" i="30"/>
  <c r="AZ10" i="30" s="1"/>
  <c r="I75" i="16" s="1"/>
  <c r="AF10" i="30"/>
  <c r="BA10" i="30" s="1"/>
  <c r="J75" i="16" s="1"/>
  <c r="AG10" i="30"/>
  <c r="BB10" i="30" s="1"/>
  <c r="K75" i="16" s="1"/>
  <c r="AH10" i="30"/>
  <c r="BC10" i="30" s="1"/>
  <c r="L75" i="16" s="1"/>
  <c r="AI10" i="30"/>
  <c r="BD10" i="30" s="1"/>
  <c r="M75" i="16" s="1"/>
  <c r="AJ10" i="30"/>
  <c r="BE10" i="30" s="1"/>
  <c r="N75" i="16" s="1"/>
  <c r="AK10" i="30"/>
  <c r="BF10" i="30" s="1"/>
  <c r="O75" i="16" s="1"/>
  <c r="AL10" i="30"/>
  <c r="BG10" i="30" s="1"/>
  <c r="P75" i="16" s="1"/>
  <c r="AM10" i="30"/>
  <c r="BH10" i="30" s="1"/>
  <c r="Q75" i="16" s="1"/>
  <c r="AN10" i="30"/>
  <c r="BI10" i="30" s="1"/>
  <c r="R75" i="16" s="1"/>
  <c r="AO10" i="30"/>
  <c r="BJ10" i="30" s="1"/>
  <c r="S75" i="16" s="1"/>
  <c r="AP10" i="30"/>
  <c r="BK10" i="30" s="1"/>
  <c r="T75" i="16" s="1"/>
  <c r="AQ10" i="30"/>
  <c r="BL10" i="30" s="1"/>
  <c r="U75" i="16" s="1"/>
  <c r="AR10" i="30"/>
  <c r="BM10" i="30" s="1"/>
  <c r="V75" i="16" s="1"/>
  <c r="Y11" i="30"/>
  <c r="AT11" i="30" s="1"/>
  <c r="C76" i="16" s="1"/>
  <c r="AA11" i="30"/>
  <c r="AV11" i="30" s="1"/>
  <c r="E76" i="16" s="1"/>
  <c r="AB11" i="30"/>
  <c r="AW11" i="30" s="1"/>
  <c r="F76" i="16" s="1"/>
  <c r="AC11" i="30"/>
  <c r="AX11" i="30" s="1"/>
  <c r="G76" i="16" s="1"/>
  <c r="AD11" i="30"/>
  <c r="AY11" i="30" s="1"/>
  <c r="H76" i="16" s="1"/>
  <c r="AE11" i="30"/>
  <c r="AZ11" i="30" s="1"/>
  <c r="I76" i="16" s="1"/>
  <c r="AF11" i="30"/>
  <c r="BA11" i="30" s="1"/>
  <c r="J76" i="16" s="1"/>
  <c r="AG11" i="30"/>
  <c r="BB11" i="30" s="1"/>
  <c r="K76" i="16" s="1"/>
  <c r="AH11" i="30"/>
  <c r="BC11" i="30" s="1"/>
  <c r="L76" i="16" s="1"/>
  <c r="AI11" i="30"/>
  <c r="BD11" i="30" s="1"/>
  <c r="M76" i="16" s="1"/>
  <c r="AJ11" i="30"/>
  <c r="BE11" i="30" s="1"/>
  <c r="N76" i="16" s="1"/>
  <c r="AK11" i="30"/>
  <c r="BF11" i="30" s="1"/>
  <c r="O76" i="16" s="1"/>
  <c r="AL11" i="30"/>
  <c r="BG11" i="30" s="1"/>
  <c r="P76" i="16" s="1"/>
  <c r="AM11" i="30"/>
  <c r="BH11" i="30" s="1"/>
  <c r="Q76" i="16" s="1"/>
  <c r="AN11" i="30"/>
  <c r="BI11" i="30" s="1"/>
  <c r="R76" i="16" s="1"/>
  <c r="AO11" i="30"/>
  <c r="BJ11" i="30" s="1"/>
  <c r="S76" i="16" s="1"/>
  <c r="AP11" i="30"/>
  <c r="BK11" i="30" s="1"/>
  <c r="T76" i="16" s="1"/>
  <c r="AQ11" i="30"/>
  <c r="BL11" i="30" s="1"/>
  <c r="U76" i="16" s="1"/>
  <c r="AR11" i="30"/>
  <c r="BM11" i="30" s="1"/>
  <c r="V76" i="16" s="1"/>
  <c r="Y12" i="30"/>
  <c r="AT12" i="30" s="1"/>
  <c r="C77" i="16" s="1"/>
  <c r="AA12" i="30"/>
  <c r="AV12" i="30" s="1"/>
  <c r="E77" i="16" s="1"/>
  <c r="AB12" i="30"/>
  <c r="AW12" i="30" s="1"/>
  <c r="F77" i="16" s="1"/>
  <c r="AC12" i="30"/>
  <c r="AX12" i="30" s="1"/>
  <c r="G77" i="16" s="1"/>
  <c r="AD12" i="30"/>
  <c r="AY12" i="30" s="1"/>
  <c r="H77" i="16" s="1"/>
  <c r="AE12" i="30"/>
  <c r="AZ12" i="30" s="1"/>
  <c r="I77" i="16" s="1"/>
  <c r="AF12" i="30"/>
  <c r="BA12" i="30" s="1"/>
  <c r="J77" i="16" s="1"/>
  <c r="AG12" i="30"/>
  <c r="BB12" i="30" s="1"/>
  <c r="K77" i="16" s="1"/>
  <c r="AH12" i="30"/>
  <c r="BC12" i="30" s="1"/>
  <c r="L77" i="16" s="1"/>
  <c r="AI12" i="30"/>
  <c r="BD12" i="30" s="1"/>
  <c r="M77" i="16" s="1"/>
  <c r="AJ12" i="30"/>
  <c r="BE12" i="30" s="1"/>
  <c r="N77" i="16" s="1"/>
  <c r="AK12" i="30"/>
  <c r="BF12" i="30" s="1"/>
  <c r="O77" i="16" s="1"/>
  <c r="AL12" i="30"/>
  <c r="BG12" i="30" s="1"/>
  <c r="P77" i="16" s="1"/>
  <c r="AM12" i="30"/>
  <c r="BH12" i="30" s="1"/>
  <c r="Q77" i="16" s="1"/>
  <c r="AN12" i="30"/>
  <c r="BI12" i="30" s="1"/>
  <c r="R77" i="16" s="1"/>
  <c r="AO12" i="30"/>
  <c r="BJ12" i="30" s="1"/>
  <c r="S77" i="16" s="1"/>
  <c r="AP12" i="30"/>
  <c r="BK12" i="30" s="1"/>
  <c r="T77" i="16" s="1"/>
  <c r="AQ12" i="30"/>
  <c r="BL12" i="30" s="1"/>
  <c r="U77" i="16" s="1"/>
  <c r="AR12" i="30"/>
  <c r="BM12" i="30" s="1"/>
  <c r="V77" i="16" s="1"/>
  <c r="Y13" i="30"/>
  <c r="AT13" i="30" s="1"/>
  <c r="C78" i="16" s="1"/>
  <c r="AA13" i="30"/>
  <c r="AV13" i="30" s="1"/>
  <c r="E78" i="16" s="1"/>
  <c r="AB13" i="30"/>
  <c r="AW13" i="30" s="1"/>
  <c r="F78" i="16" s="1"/>
  <c r="AC13" i="30"/>
  <c r="AX13" i="30" s="1"/>
  <c r="G78" i="16" s="1"/>
  <c r="AD13" i="30"/>
  <c r="AY13" i="30" s="1"/>
  <c r="H78" i="16" s="1"/>
  <c r="AE13" i="30"/>
  <c r="AZ13" i="30" s="1"/>
  <c r="I78" i="16" s="1"/>
  <c r="AF13" i="30"/>
  <c r="BA13" i="30" s="1"/>
  <c r="J78" i="16" s="1"/>
  <c r="AG13" i="30"/>
  <c r="BB13" i="30" s="1"/>
  <c r="K78" i="16" s="1"/>
  <c r="AH13" i="30"/>
  <c r="BC13" i="30" s="1"/>
  <c r="L78" i="16" s="1"/>
  <c r="AI13" i="30"/>
  <c r="BD13" i="30" s="1"/>
  <c r="M78" i="16" s="1"/>
  <c r="AJ13" i="30"/>
  <c r="BE13" i="30" s="1"/>
  <c r="N78" i="16" s="1"/>
  <c r="AK13" i="30"/>
  <c r="BF13" i="30" s="1"/>
  <c r="O78" i="16" s="1"/>
  <c r="AL13" i="30"/>
  <c r="BG13" i="30" s="1"/>
  <c r="P78" i="16" s="1"/>
  <c r="AM13" i="30"/>
  <c r="BH13" i="30" s="1"/>
  <c r="Q78" i="16" s="1"/>
  <c r="AN13" i="30"/>
  <c r="BI13" i="30" s="1"/>
  <c r="R78" i="16" s="1"/>
  <c r="AO13" i="30"/>
  <c r="BJ13" i="30" s="1"/>
  <c r="S78" i="16" s="1"/>
  <c r="AP13" i="30"/>
  <c r="BK13" i="30" s="1"/>
  <c r="T78" i="16" s="1"/>
  <c r="AQ13" i="30"/>
  <c r="BL13" i="30" s="1"/>
  <c r="U78" i="16" s="1"/>
  <c r="AR13" i="30"/>
  <c r="BM13" i="30" s="1"/>
  <c r="V78" i="16" s="1"/>
  <c r="Y14" i="30"/>
  <c r="AT14" i="30" s="1"/>
  <c r="C79" i="16" s="1"/>
  <c r="AA14" i="30"/>
  <c r="AV14" i="30" s="1"/>
  <c r="E79" i="16" s="1"/>
  <c r="AB14" i="30"/>
  <c r="AW14" i="30" s="1"/>
  <c r="F79" i="16" s="1"/>
  <c r="AC14" i="30"/>
  <c r="AX14" i="30" s="1"/>
  <c r="G79" i="16" s="1"/>
  <c r="AD14" i="30"/>
  <c r="AY14" i="30" s="1"/>
  <c r="H79" i="16" s="1"/>
  <c r="AE14" i="30"/>
  <c r="AZ14" i="30" s="1"/>
  <c r="I79" i="16" s="1"/>
  <c r="AF14" i="30"/>
  <c r="BA14" i="30" s="1"/>
  <c r="J79" i="16" s="1"/>
  <c r="AG14" i="30"/>
  <c r="BB14" i="30" s="1"/>
  <c r="K79" i="16" s="1"/>
  <c r="AH14" i="30"/>
  <c r="BC14" i="30" s="1"/>
  <c r="L79" i="16" s="1"/>
  <c r="AI14" i="30"/>
  <c r="BD14" i="30" s="1"/>
  <c r="M79" i="16" s="1"/>
  <c r="AJ14" i="30"/>
  <c r="BE14" i="30" s="1"/>
  <c r="N79" i="16" s="1"/>
  <c r="AK14" i="30"/>
  <c r="BF14" i="30" s="1"/>
  <c r="O79" i="16" s="1"/>
  <c r="AL14" i="30"/>
  <c r="BG14" i="30" s="1"/>
  <c r="P79" i="16" s="1"/>
  <c r="AM14" i="30"/>
  <c r="BH14" i="30" s="1"/>
  <c r="Q79" i="16" s="1"/>
  <c r="AN14" i="30"/>
  <c r="BI14" i="30" s="1"/>
  <c r="R79" i="16" s="1"/>
  <c r="AO14" i="30"/>
  <c r="BJ14" i="30" s="1"/>
  <c r="S79" i="16" s="1"/>
  <c r="AP14" i="30"/>
  <c r="BK14" i="30" s="1"/>
  <c r="T79" i="16" s="1"/>
  <c r="AQ14" i="30"/>
  <c r="BL14" i="30" s="1"/>
  <c r="U79" i="16" s="1"/>
  <c r="AR14" i="30"/>
  <c r="BM14" i="30" s="1"/>
  <c r="V79" i="16" s="1"/>
  <c r="Y15" i="30"/>
  <c r="AT15" i="30" s="1"/>
  <c r="C80" i="16" s="1"/>
  <c r="AA15" i="30"/>
  <c r="AV15" i="30" s="1"/>
  <c r="E80" i="16" s="1"/>
  <c r="AB15" i="30"/>
  <c r="AW15" i="30" s="1"/>
  <c r="F80" i="16" s="1"/>
  <c r="AC15" i="30"/>
  <c r="AX15" i="30" s="1"/>
  <c r="G80" i="16" s="1"/>
  <c r="AD15" i="30"/>
  <c r="AY15" i="30" s="1"/>
  <c r="H80" i="16" s="1"/>
  <c r="AE15" i="30"/>
  <c r="AZ15" i="30" s="1"/>
  <c r="I80" i="16" s="1"/>
  <c r="AF15" i="30"/>
  <c r="BA15" i="30" s="1"/>
  <c r="J80" i="16" s="1"/>
  <c r="AG15" i="30"/>
  <c r="BB15" i="30" s="1"/>
  <c r="K80" i="16" s="1"/>
  <c r="AH15" i="30"/>
  <c r="BC15" i="30" s="1"/>
  <c r="L80" i="16" s="1"/>
  <c r="AI15" i="30"/>
  <c r="BD15" i="30" s="1"/>
  <c r="M80" i="16" s="1"/>
  <c r="AJ15" i="30"/>
  <c r="BE15" i="30" s="1"/>
  <c r="N80" i="16" s="1"/>
  <c r="AK15" i="30"/>
  <c r="BF15" i="30" s="1"/>
  <c r="O80" i="16" s="1"/>
  <c r="AL15" i="30"/>
  <c r="BG15" i="30" s="1"/>
  <c r="P80" i="16" s="1"/>
  <c r="AM15" i="30"/>
  <c r="BH15" i="30" s="1"/>
  <c r="Q80" i="16" s="1"/>
  <c r="AN15" i="30"/>
  <c r="BI15" i="30" s="1"/>
  <c r="R80" i="16" s="1"/>
  <c r="AO15" i="30"/>
  <c r="BJ15" i="30" s="1"/>
  <c r="S80" i="16" s="1"/>
  <c r="AP15" i="30"/>
  <c r="BK15" i="30" s="1"/>
  <c r="T80" i="16" s="1"/>
  <c r="AQ15" i="30"/>
  <c r="BL15" i="30" s="1"/>
  <c r="U80" i="16" s="1"/>
  <c r="AR15" i="30"/>
  <c r="BM15" i="30" s="1"/>
  <c r="V80" i="16" s="1"/>
  <c r="AO391" i="30"/>
  <c r="AR16" i="30"/>
  <c r="BM16" i="30" s="1"/>
  <c r="V81" i="16" s="1"/>
  <c r="AQ16" i="30"/>
  <c r="BL16" i="30" s="1"/>
  <c r="U81" i="16" s="1"/>
  <c r="AP16" i="30"/>
  <c r="BK16" i="30" s="1"/>
  <c r="T81" i="16" s="1"/>
  <c r="AO16" i="30"/>
  <c r="BJ16" i="30" s="1"/>
  <c r="S81" i="16" s="1"/>
  <c r="AN16" i="30"/>
  <c r="BI16" i="30" s="1"/>
  <c r="R81" i="16" s="1"/>
  <c r="AM16" i="30"/>
  <c r="BH16" i="30" s="1"/>
  <c r="Q81" i="16" s="1"/>
  <c r="AL16" i="30"/>
  <c r="BG16" i="30" s="1"/>
  <c r="P81" i="16" s="1"/>
  <c r="AK16" i="30"/>
  <c r="BF16" i="30" s="1"/>
  <c r="O81" i="16" s="1"/>
  <c r="AJ16" i="30"/>
  <c r="BE16" i="30" s="1"/>
  <c r="N81" i="16" s="1"/>
  <c r="AI16" i="30"/>
  <c r="BD16" i="30" s="1"/>
  <c r="M81" i="16" s="1"/>
  <c r="AH16" i="30"/>
  <c r="BC16" i="30" s="1"/>
  <c r="L81" i="16" s="1"/>
  <c r="AG16" i="30"/>
  <c r="BB16" i="30" s="1"/>
  <c r="K81" i="16" s="1"/>
  <c r="AF16" i="30"/>
  <c r="BA16" i="30" s="1"/>
  <c r="J81" i="16" s="1"/>
  <c r="AE16" i="30"/>
  <c r="AZ16" i="30" s="1"/>
  <c r="I81" i="16" s="1"/>
  <c r="AD16" i="30"/>
  <c r="AY16" i="30" s="1"/>
  <c r="H81" i="16" s="1"/>
  <c r="AC16" i="30"/>
  <c r="AX16" i="30" s="1"/>
  <c r="G81" i="16" s="1"/>
  <c r="AB16" i="30"/>
  <c r="AW16" i="30" s="1"/>
  <c r="F81" i="16" s="1"/>
  <c r="AA16" i="30"/>
  <c r="AV16" i="30" s="1"/>
  <c r="E81" i="16" s="1"/>
  <c r="Y16" i="30"/>
  <c r="AT16" i="30" s="1"/>
  <c r="C81" i="16" s="1"/>
  <c r="BM1" i="30"/>
  <c r="BL1" i="30"/>
  <c r="BK1" i="30"/>
  <c r="BJ1" i="30"/>
  <c r="BI1" i="30"/>
  <c r="BH1" i="30"/>
  <c r="BG1" i="30"/>
  <c r="BF1" i="30"/>
  <c r="BE1" i="30"/>
  <c r="BD1" i="30"/>
  <c r="BC1" i="30"/>
  <c r="BB1" i="30"/>
  <c r="BA1" i="30"/>
  <c r="AZ1" i="30"/>
  <c r="AY1" i="30"/>
  <c r="AX1" i="30"/>
  <c r="AW1" i="30"/>
  <c r="AV1" i="30"/>
  <c r="AU1" i="30"/>
  <c r="AT1" i="30"/>
  <c r="Y17" i="28"/>
  <c r="AT17" i="28" s="1"/>
  <c r="AA17" i="28"/>
  <c r="AV17" i="28" s="1"/>
  <c r="AB17" i="28"/>
  <c r="AW17" i="28" s="1"/>
  <c r="AC17" i="28"/>
  <c r="AX17" i="28" s="1"/>
  <c r="AD17" i="28"/>
  <c r="AY17" i="28" s="1"/>
  <c r="AE17" i="28"/>
  <c r="AZ17" i="28" s="1"/>
  <c r="AF17" i="28"/>
  <c r="BA17" i="28" s="1"/>
  <c r="AG17" i="28"/>
  <c r="BB17" i="28" s="1"/>
  <c r="AH17" i="28"/>
  <c r="BC17" i="28" s="1"/>
  <c r="AI17" i="28"/>
  <c r="BD17" i="28" s="1"/>
  <c r="AJ17" i="28"/>
  <c r="BE17" i="28" s="1"/>
  <c r="AK17" i="28"/>
  <c r="BF17" i="28" s="1"/>
  <c r="AL17" i="28"/>
  <c r="BG17" i="28" s="1"/>
  <c r="AM17" i="28"/>
  <c r="BH17" i="28" s="1"/>
  <c r="AN17" i="28"/>
  <c r="BI17" i="28" s="1"/>
  <c r="AO17" i="28"/>
  <c r="BJ17" i="28" s="1"/>
  <c r="AP17" i="28"/>
  <c r="BK17" i="28" s="1"/>
  <c r="AQ17" i="28"/>
  <c r="BL17" i="28" s="1"/>
  <c r="AR17" i="28"/>
  <c r="BM17" i="28" s="1"/>
  <c r="Y18" i="28"/>
  <c r="AT18" i="28" s="1"/>
  <c r="AA18" i="28"/>
  <c r="AV18" i="28" s="1"/>
  <c r="AB18" i="28"/>
  <c r="AW18" i="28" s="1"/>
  <c r="AC18" i="28"/>
  <c r="AX18" i="28" s="1"/>
  <c r="AD18" i="28"/>
  <c r="AY18" i="28" s="1"/>
  <c r="AE18" i="28"/>
  <c r="AZ18" i="28" s="1"/>
  <c r="AF18" i="28"/>
  <c r="BA18" i="28" s="1"/>
  <c r="AG18" i="28"/>
  <c r="BB18" i="28" s="1"/>
  <c r="AH18" i="28"/>
  <c r="BC18" i="28" s="1"/>
  <c r="AI18" i="28"/>
  <c r="BD18" i="28" s="1"/>
  <c r="AJ18" i="28"/>
  <c r="BE18" i="28" s="1"/>
  <c r="AK18" i="28"/>
  <c r="BF18" i="28" s="1"/>
  <c r="AL18" i="28"/>
  <c r="BG18" i="28" s="1"/>
  <c r="AM18" i="28"/>
  <c r="BH18" i="28" s="1"/>
  <c r="AN18" i="28"/>
  <c r="BI18" i="28" s="1"/>
  <c r="AO18" i="28"/>
  <c r="BJ18" i="28" s="1"/>
  <c r="AP18" i="28"/>
  <c r="BK18" i="28" s="1"/>
  <c r="AQ18" i="28"/>
  <c r="BL18" i="28" s="1"/>
  <c r="AR18" i="28"/>
  <c r="BM18" i="28" s="1"/>
  <c r="Y19" i="28"/>
  <c r="AT19" i="28" s="1"/>
  <c r="AA19" i="28"/>
  <c r="AV19" i="28" s="1"/>
  <c r="AB19" i="28"/>
  <c r="AW19" i="28" s="1"/>
  <c r="AC19" i="28"/>
  <c r="AX19" i="28" s="1"/>
  <c r="AD19" i="28"/>
  <c r="AY19" i="28" s="1"/>
  <c r="AE19" i="28"/>
  <c r="AZ19" i="28" s="1"/>
  <c r="AF19" i="28"/>
  <c r="BA19" i="28" s="1"/>
  <c r="AG19" i="28"/>
  <c r="BB19" i="28" s="1"/>
  <c r="AH19" i="28"/>
  <c r="BC19" i="28" s="1"/>
  <c r="AI19" i="28"/>
  <c r="BD19" i="28" s="1"/>
  <c r="AJ19" i="28"/>
  <c r="BE19" i="28" s="1"/>
  <c r="AK19" i="28"/>
  <c r="BF19" i="28" s="1"/>
  <c r="AL19" i="28"/>
  <c r="BG19" i="28" s="1"/>
  <c r="AM19" i="28"/>
  <c r="BH19" i="28" s="1"/>
  <c r="AN19" i="28"/>
  <c r="BI19" i="28" s="1"/>
  <c r="AO19" i="28"/>
  <c r="BJ19" i="28" s="1"/>
  <c r="AP19" i="28"/>
  <c r="BK19" i="28" s="1"/>
  <c r="AQ19" i="28"/>
  <c r="BL19" i="28" s="1"/>
  <c r="AR19" i="28"/>
  <c r="BM19" i="28" s="1"/>
  <c r="Y20" i="28"/>
  <c r="AT20" i="28" s="1"/>
  <c r="AA20" i="28"/>
  <c r="AV20" i="28" s="1"/>
  <c r="AB20" i="28"/>
  <c r="AW20" i="28" s="1"/>
  <c r="AC20" i="28"/>
  <c r="AX20" i="28" s="1"/>
  <c r="AD20" i="28"/>
  <c r="AY20" i="28" s="1"/>
  <c r="AE20" i="28"/>
  <c r="AZ20" i="28" s="1"/>
  <c r="AF20" i="28"/>
  <c r="BA20" i="28" s="1"/>
  <c r="AG20" i="28"/>
  <c r="BB20" i="28" s="1"/>
  <c r="AH20" i="28"/>
  <c r="BC20" i="28" s="1"/>
  <c r="AI20" i="28"/>
  <c r="BD20" i="28" s="1"/>
  <c r="AJ20" i="28"/>
  <c r="BE20" i="28" s="1"/>
  <c r="AK20" i="28"/>
  <c r="BF20" i="28" s="1"/>
  <c r="AL20" i="28"/>
  <c r="BG20" i="28" s="1"/>
  <c r="AM20" i="28"/>
  <c r="BH20" i="28" s="1"/>
  <c r="AN20" i="28"/>
  <c r="BI20" i="28" s="1"/>
  <c r="AO20" i="28"/>
  <c r="BJ20" i="28" s="1"/>
  <c r="AP20" i="28"/>
  <c r="BK20" i="28" s="1"/>
  <c r="AQ20" i="28"/>
  <c r="BL20" i="28" s="1"/>
  <c r="AR20" i="28"/>
  <c r="BM20" i="28" s="1"/>
  <c r="Y21" i="28"/>
  <c r="AT21" i="28" s="1"/>
  <c r="AA21" i="28"/>
  <c r="AV21" i="28" s="1"/>
  <c r="AB21" i="28"/>
  <c r="AW21" i="28" s="1"/>
  <c r="AC21" i="28"/>
  <c r="AX21" i="28" s="1"/>
  <c r="AD21" i="28"/>
  <c r="AY21" i="28" s="1"/>
  <c r="AE21" i="28"/>
  <c r="AZ21" i="28" s="1"/>
  <c r="AF21" i="28"/>
  <c r="BA21" i="28" s="1"/>
  <c r="AG21" i="28"/>
  <c r="BB21" i="28" s="1"/>
  <c r="AH21" i="28"/>
  <c r="BC21" i="28" s="1"/>
  <c r="AI21" i="28"/>
  <c r="BD21" i="28" s="1"/>
  <c r="AJ21" i="28"/>
  <c r="BE21" i="28" s="1"/>
  <c r="AK21" i="28"/>
  <c r="BF21" i="28" s="1"/>
  <c r="AL21" i="28"/>
  <c r="BG21" i="28" s="1"/>
  <c r="AM21" i="28"/>
  <c r="BH21" i="28" s="1"/>
  <c r="AN21" i="28"/>
  <c r="BI21" i="28" s="1"/>
  <c r="AO21" i="28"/>
  <c r="BJ21" i="28" s="1"/>
  <c r="AP21" i="28"/>
  <c r="BK21" i="28" s="1"/>
  <c r="AQ21" i="28"/>
  <c r="BL21" i="28" s="1"/>
  <c r="AR21" i="28"/>
  <c r="BM21" i="28" s="1"/>
  <c r="Y22" i="28"/>
  <c r="AT22" i="28" s="1"/>
  <c r="AA22" i="28"/>
  <c r="AV22" i="28" s="1"/>
  <c r="AB22" i="28"/>
  <c r="AW22" i="28" s="1"/>
  <c r="AC22" i="28"/>
  <c r="AX22" i="28" s="1"/>
  <c r="AD22" i="28"/>
  <c r="AY22" i="28" s="1"/>
  <c r="AE22" i="28"/>
  <c r="AZ22" i="28" s="1"/>
  <c r="AF22" i="28"/>
  <c r="BA22" i="28" s="1"/>
  <c r="AG22" i="28"/>
  <c r="BB22" i="28" s="1"/>
  <c r="AH22" i="28"/>
  <c r="BC22" i="28" s="1"/>
  <c r="AI22" i="28"/>
  <c r="BD22" i="28" s="1"/>
  <c r="AJ22" i="28"/>
  <c r="BE22" i="28" s="1"/>
  <c r="AK22" i="28"/>
  <c r="BF22" i="28" s="1"/>
  <c r="AL22" i="28"/>
  <c r="BG22" i="28" s="1"/>
  <c r="AM22" i="28"/>
  <c r="BH22" i="28" s="1"/>
  <c r="AN22" i="28"/>
  <c r="BI22" i="28" s="1"/>
  <c r="AO22" i="28"/>
  <c r="BJ22" i="28" s="1"/>
  <c r="AP22" i="28"/>
  <c r="BK22" i="28" s="1"/>
  <c r="AQ22" i="28"/>
  <c r="BL22" i="28" s="1"/>
  <c r="AR22" i="28"/>
  <c r="BM22" i="28" s="1"/>
  <c r="Y23" i="28"/>
  <c r="AT23" i="28" s="1"/>
  <c r="AA23" i="28"/>
  <c r="AV23" i="28" s="1"/>
  <c r="AB23" i="28"/>
  <c r="AW23" i="28" s="1"/>
  <c r="AC23" i="28"/>
  <c r="AX23" i="28" s="1"/>
  <c r="AD23" i="28"/>
  <c r="AY23" i="28" s="1"/>
  <c r="AE23" i="28"/>
  <c r="AZ23" i="28" s="1"/>
  <c r="AF23" i="28"/>
  <c r="BA23" i="28" s="1"/>
  <c r="AG23" i="28"/>
  <c r="BB23" i="28" s="1"/>
  <c r="AH23" i="28"/>
  <c r="BC23" i="28" s="1"/>
  <c r="AI23" i="28"/>
  <c r="BD23" i="28" s="1"/>
  <c r="AJ23" i="28"/>
  <c r="BE23" i="28" s="1"/>
  <c r="AK23" i="28"/>
  <c r="BF23" i="28" s="1"/>
  <c r="AL23" i="28"/>
  <c r="BG23" i="28" s="1"/>
  <c r="AM23" i="28"/>
  <c r="BH23" i="28" s="1"/>
  <c r="AN23" i="28"/>
  <c r="BI23" i="28" s="1"/>
  <c r="AO23" i="28"/>
  <c r="BJ23" i="28" s="1"/>
  <c r="AP23" i="28"/>
  <c r="BK23" i="28" s="1"/>
  <c r="AQ23" i="28"/>
  <c r="BL23" i="28" s="1"/>
  <c r="AR23" i="28"/>
  <c r="BM23" i="28" s="1"/>
  <c r="Y24" i="28"/>
  <c r="AT24" i="28" s="1"/>
  <c r="AA24" i="28"/>
  <c r="AV24" i="28" s="1"/>
  <c r="AB24" i="28"/>
  <c r="AW24" i="28" s="1"/>
  <c r="AC24" i="28"/>
  <c r="AX24" i="28" s="1"/>
  <c r="AD24" i="28"/>
  <c r="AY24" i="28" s="1"/>
  <c r="AE24" i="28"/>
  <c r="AZ24" i="28" s="1"/>
  <c r="AF24" i="28"/>
  <c r="BA24" i="28" s="1"/>
  <c r="AG24" i="28"/>
  <c r="BB24" i="28" s="1"/>
  <c r="AH24" i="28"/>
  <c r="BC24" i="28" s="1"/>
  <c r="AI24" i="28"/>
  <c r="BD24" i="28" s="1"/>
  <c r="AJ24" i="28"/>
  <c r="BE24" i="28" s="1"/>
  <c r="AK24" i="28"/>
  <c r="BF24" i="28" s="1"/>
  <c r="AL24" i="28"/>
  <c r="BG24" i="28" s="1"/>
  <c r="AM24" i="28"/>
  <c r="BH24" i="28" s="1"/>
  <c r="AN24" i="28"/>
  <c r="BI24" i="28" s="1"/>
  <c r="AO24" i="28"/>
  <c r="BJ24" i="28" s="1"/>
  <c r="AP24" i="28"/>
  <c r="BK24" i="28" s="1"/>
  <c r="AQ24" i="28"/>
  <c r="BL24" i="28" s="1"/>
  <c r="AR24" i="28"/>
  <c r="BM24" i="28" s="1"/>
  <c r="Y25" i="28"/>
  <c r="AT25" i="28" s="1"/>
  <c r="AA25" i="28"/>
  <c r="AV25" i="28" s="1"/>
  <c r="AB25" i="28"/>
  <c r="AW25" i="28" s="1"/>
  <c r="AC25" i="28"/>
  <c r="AX25" i="28" s="1"/>
  <c r="AD25" i="28"/>
  <c r="AY25" i="28" s="1"/>
  <c r="AE25" i="28"/>
  <c r="AZ25" i="28" s="1"/>
  <c r="AF25" i="28"/>
  <c r="BA25" i="28" s="1"/>
  <c r="AG25" i="28"/>
  <c r="BB25" i="28" s="1"/>
  <c r="AH25" i="28"/>
  <c r="BC25" i="28" s="1"/>
  <c r="AI25" i="28"/>
  <c r="BD25" i="28" s="1"/>
  <c r="AJ25" i="28"/>
  <c r="BE25" i="28" s="1"/>
  <c r="AK25" i="28"/>
  <c r="BF25" i="28" s="1"/>
  <c r="AL25" i="28"/>
  <c r="BG25" i="28" s="1"/>
  <c r="AM25" i="28"/>
  <c r="BH25" i="28" s="1"/>
  <c r="AN25" i="28"/>
  <c r="BI25" i="28" s="1"/>
  <c r="AO25" i="28"/>
  <c r="BJ25" i="28" s="1"/>
  <c r="AP25" i="28"/>
  <c r="BK25" i="28" s="1"/>
  <c r="AQ25" i="28"/>
  <c r="BL25" i="28" s="1"/>
  <c r="AR25" i="28"/>
  <c r="BM25" i="28" s="1"/>
  <c r="Y26" i="28"/>
  <c r="AT26" i="28" s="1"/>
  <c r="AA26" i="28"/>
  <c r="AV26" i="28" s="1"/>
  <c r="AB26" i="28"/>
  <c r="AW26" i="28" s="1"/>
  <c r="AC26" i="28"/>
  <c r="AX26" i="28" s="1"/>
  <c r="AD26" i="28"/>
  <c r="AY26" i="28" s="1"/>
  <c r="AE26" i="28"/>
  <c r="AZ26" i="28" s="1"/>
  <c r="AF26" i="28"/>
  <c r="BA26" i="28" s="1"/>
  <c r="AG26" i="28"/>
  <c r="BB26" i="28" s="1"/>
  <c r="AH26" i="28"/>
  <c r="BC26" i="28" s="1"/>
  <c r="AI26" i="28"/>
  <c r="BD26" i="28" s="1"/>
  <c r="AJ26" i="28"/>
  <c r="BE26" i="28" s="1"/>
  <c r="AK26" i="28"/>
  <c r="BF26" i="28" s="1"/>
  <c r="AL26" i="28"/>
  <c r="BG26" i="28" s="1"/>
  <c r="AM26" i="28"/>
  <c r="BH26" i="28" s="1"/>
  <c r="AN26" i="28"/>
  <c r="BI26" i="28" s="1"/>
  <c r="AO26" i="28"/>
  <c r="BJ26" i="28" s="1"/>
  <c r="AP26" i="28"/>
  <c r="BK26" i="28" s="1"/>
  <c r="AQ26" i="28"/>
  <c r="BL26" i="28" s="1"/>
  <c r="AR26" i="28"/>
  <c r="BM26" i="28" s="1"/>
  <c r="Y27" i="28"/>
  <c r="AT27" i="28" s="1"/>
  <c r="AA27" i="28"/>
  <c r="AV27" i="28" s="1"/>
  <c r="AB27" i="28"/>
  <c r="AW27" i="28" s="1"/>
  <c r="AC27" i="28"/>
  <c r="AX27" i="28" s="1"/>
  <c r="AD27" i="28"/>
  <c r="AY27" i="28" s="1"/>
  <c r="AE27" i="28"/>
  <c r="AZ27" i="28" s="1"/>
  <c r="AF27" i="28"/>
  <c r="BA27" i="28" s="1"/>
  <c r="AG27" i="28"/>
  <c r="BB27" i="28" s="1"/>
  <c r="AH27" i="28"/>
  <c r="BC27" i="28" s="1"/>
  <c r="AI27" i="28"/>
  <c r="BD27" i="28" s="1"/>
  <c r="AJ27" i="28"/>
  <c r="BE27" i="28" s="1"/>
  <c r="AK27" i="28"/>
  <c r="BF27" i="28" s="1"/>
  <c r="AL27" i="28"/>
  <c r="BG27" i="28" s="1"/>
  <c r="AM27" i="28"/>
  <c r="BH27" i="28" s="1"/>
  <c r="AN27" i="28"/>
  <c r="BI27" i="28" s="1"/>
  <c r="AO27" i="28"/>
  <c r="BJ27" i="28" s="1"/>
  <c r="AP27" i="28"/>
  <c r="BK27" i="28" s="1"/>
  <c r="AQ27" i="28"/>
  <c r="BL27" i="28" s="1"/>
  <c r="AR27" i="28"/>
  <c r="BM27" i="28" s="1"/>
  <c r="Y28" i="28"/>
  <c r="AT28" i="28" s="1"/>
  <c r="AA28" i="28"/>
  <c r="AV28" i="28" s="1"/>
  <c r="AB28" i="28"/>
  <c r="AW28" i="28" s="1"/>
  <c r="AC28" i="28"/>
  <c r="AX28" i="28" s="1"/>
  <c r="AD28" i="28"/>
  <c r="AY28" i="28" s="1"/>
  <c r="AE28" i="28"/>
  <c r="AZ28" i="28" s="1"/>
  <c r="AF28" i="28"/>
  <c r="BA28" i="28" s="1"/>
  <c r="AG28" i="28"/>
  <c r="BB28" i="28" s="1"/>
  <c r="AH28" i="28"/>
  <c r="BC28" i="28" s="1"/>
  <c r="AI28" i="28"/>
  <c r="BD28" i="28" s="1"/>
  <c r="AJ28" i="28"/>
  <c r="BE28" i="28" s="1"/>
  <c r="AK28" i="28"/>
  <c r="BF28" i="28" s="1"/>
  <c r="AL28" i="28"/>
  <c r="BG28" i="28" s="1"/>
  <c r="AM28" i="28"/>
  <c r="BH28" i="28" s="1"/>
  <c r="AN28" i="28"/>
  <c r="BI28" i="28" s="1"/>
  <c r="AO28" i="28"/>
  <c r="BJ28" i="28" s="1"/>
  <c r="AP28" i="28"/>
  <c r="BK28" i="28" s="1"/>
  <c r="AQ28" i="28"/>
  <c r="BL28" i="28" s="1"/>
  <c r="AR28" i="28"/>
  <c r="BM28" i="28" s="1"/>
  <c r="Y29" i="28"/>
  <c r="AT29" i="28" s="1"/>
  <c r="AA29" i="28"/>
  <c r="AV29" i="28" s="1"/>
  <c r="AB29" i="28"/>
  <c r="AW29" i="28" s="1"/>
  <c r="AC29" i="28"/>
  <c r="AX29" i="28" s="1"/>
  <c r="AD29" i="28"/>
  <c r="AY29" i="28" s="1"/>
  <c r="AE29" i="28"/>
  <c r="AZ29" i="28" s="1"/>
  <c r="AF29" i="28"/>
  <c r="BA29" i="28" s="1"/>
  <c r="AG29" i="28"/>
  <c r="BB29" i="28" s="1"/>
  <c r="AH29" i="28"/>
  <c r="BC29" i="28" s="1"/>
  <c r="AI29" i="28"/>
  <c r="BD29" i="28" s="1"/>
  <c r="AJ29" i="28"/>
  <c r="BE29" i="28" s="1"/>
  <c r="AK29" i="28"/>
  <c r="BF29" i="28" s="1"/>
  <c r="AL29" i="28"/>
  <c r="BG29" i="28" s="1"/>
  <c r="AM29" i="28"/>
  <c r="BH29" i="28" s="1"/>
  <c r="AN29" i="28"/>
  <c r="BI29" i="28" s="1"/>
  <c r="AO29" i="28"/>
  <c r="BJ29" i="28" s="1"/>
  <c r="AP29" i="28"/>
  <c r="BK29" i="28" s="1"/>
  <c r="AQ29" i="28"/>
  <c r="BL29" i="28" s="1"/>
  <c r="AR29" i="28"/>
  <c r="BM29" i="28" s="1"/>
  <c r="Y30" i="28"/>
  <c r="AT30" i="28" s="1"/>
  <c r="AA30" i="28"/>
  <c r="AV30" i="28" s="1"/>
  <c r="AB30" i="28"/>
  <c r="AW30" i="28" s="1"/>
  <c r="AC30" i="28"/>
  <c r="AX30" i="28" s="1"/>
  <c r="AD30" i="28"/>
  <c r="AY30" i="28" s="1"/>
  <c r="AE30" i="28"/>
  <c r="AZ30" i="28" s="1"/>
  <c r="AF30" i="28"/>
  <c r="BA30" i="28" s="1"/>
  <c r="AG30" i="28"/>
  <c r="BB30" i="28" s="1"/>
  <c r="AH30" i="28"/>
  <c r="BC30" i="28" s="1"/>
  <c r="AI30" i="28"/>
  <c r="BD30" i="28" s="1"/>
  <c r="AJ30" i="28"/>
  <c r="BE30" i="28" s="1"/>
  <c r="AK30" i="28"/>
  <c r="BF30" i="28" s="1"/>
  <c r="AL30" i="28"/>
  <c r="BG30" i="28" s="1"/>
  <c r="AM30" i="28"/>
  <c r="BH30" i="28" s="1"/>
  <c r="AN30" i="28"/>
  <c r="BI30" i="28" s="1"/>
  <c r="AO30" i="28"/>
  <c r="BJ30" i="28" s="1"/>
  <c r="AP30" i="28"/>
  <c r="BK30" i="28" s="1"/>
  <c r="AQ30" i="28"/>
  <c r="BL30" i="28" s="1"/>
  <c r="AR30" i="28"/>
  <c r="BM30" i="28" s="1"/>
  <c r="Y31" i="28"/>
  <c r="AT31" i="28" s="1"/>
  <c r="AA31" i="28"/>
  <c r="AV31" i="28" s="1"/>
  <c r="AB31" i="28"/>
  <c r="AW31" i="28" s="1"/>
  <c r="AC31" i="28"/>
  <c r="AX31" i="28" s="1"/>
  <c r="AD31" i="28"/>
  <c r="AY31" i="28" s="1"/>
  <c r="AE31" i="28"/>
  <c r="AZ31" i="28" s="1"/>
  <c r="AF31" i="28"/>
  <c r="BA31" i="28" s="1"/>
  <c r="AG31" i="28"/>
  <c r="BB31" i="28" s="1"/>
  <c r="AH31" i="28"/>
  <c r="BC31" i="28" s="1"/>
  <c r="AI31" i="28"/>
  <c r="BD31" i="28" s="1"/>
  <c r="AJ31" i="28"/>
  <c r="BE31" i="28" s="1"/>
  <c r="AK31" i="28"/>
  <c r="BF31" i="28" s="1"/>
  <c r="AL31" i="28"/>
  <c r="BG31" i="28" s="1"/>
  <c r="AM31" i="28"/>
  <c r="BH31" i="28" s="1"/>
  <c r="AN31" i="28"/>
  <c r="BI31" i="28" s="1"/>
  <c r="AO31" i="28"/>
  <c r="BJ31" i="28" s="1"/>
  <c r="AP31" i="28"/>
  <c r="BK31" i="28" s="1"/>
  <c r="AQ31" i="28"/>
  <c r="BL31" i="28" s="1"/>
  <c r="AR31" i="28"/>
  <c r="BM31" i="28" s="1"/>
  <c r="Y32" i="28"/>
  <c r="AT32" i="28" s="1"/>
  <c r="AA32" i="28"/>
  <c r="AV32" i="28" s="1"/>
  <c r="AB32" i="28"/>
  <c r="AW32" i="28" s="1"/>
  <c r="AC32" i="28"/>
  <c r="AX32" i="28" s="1"/>
  <c r="AD32" i="28"/>
  <c r="AY32" i="28" s="1"/>
  <c r="AE32" i="28"/>
  <c r="AZ32" i="28" s="1"/>
  <c r="AF32" i="28"/>
  <c r="BA32" i="28" s="1"/>
  <c r="AG32" i="28"/>
  <c r="BB32" i="28" s="1"/>
  <c r="AH32" i="28"/>
  <c r="BC32" i="28" s="1"/>
  <c r="AI32" i="28"/>
  <c r="BD32" i="28" s="1"/>
  <c r="AJ32" i="28"/>
  <c r="BE32" i="28" s="1"/>
  <c r="AK32" i="28"/>
  <c r="BF32" i="28" s="1"/>
  <c r="AL32" i="28"/>
  <c r="BG32" i="28" s="1"/>
  <c r="AM32" i="28"/>
  <c r="BH32" i="28" s="1"/>
  <c r="AN32" i="28"/>
  <c r="BI32" i="28" s="1"/>
  <c r="AO32" i="28"/>
  <c r="BJ32" i="28" s="1"/>
  <c r="AP32" i="28"/>
  <c r="BK32" i="28" s="1"/>
  <c r="AQ32" i="28"/>
  <c r="BL32" i="28" s="1"/>
  <c r="AR32" i="28"/>
  <c r="BM32" i="28" s="1"/>
  <c r="Y33" i="28"/>
  <c r="AT33" i="28" s="1"/>
  <c r="AA33" i="28"/>
  <c r="AV33" i="28" s="1"/>
  <c r="AB33" i="28"/>
  <c r="AW33" i="28" s="1"/>
  <c r="AC33" i="28"/>
  <c r="AX33" i="28" s="1"/>
  <c r="AD33" i="28"/>
  <c r="AY33" i="28" s="1"/>
  <c r="AE33" i="28"/>
  <c r="AZ33" i="28" s="1"/>
  <c r="AF33" i="28"/>
  <c r="BA33" i="28" s="1"/>
  <c r="AG33" i="28"/>
  <c r="BB33" i="28" s="1"/>
  <c r="AH33" i="28"/>
  <c r="BC33" i="28" s="1"/>
  <c r="AI33" i="28"/>
  <c r="BD33" i="28" s="1"/>
  <c r="AJ33" i="28"/>
  <c r="BE33" i="28" s="1"/>
  <c r="AK33" i="28"/>
  <c r="BF33" i="28" s="1"/>
  <c r="AL33" i="28"/>
  <c r="BG33" i="28" s="1"/>
  <c r="AM33" i="28"/>
  <c r="BH33" i="28" s="1"/>
  <c r="AN33" i="28"/>
  <c r="BI33" i="28" s="1"/>
  <c r="AO33" i="28"/>
  <c r="BJ33" i="28" s="1"/>
  <c r="AP33" i="28"/>
  <c r="BK33" i="28" s="1"/>
  <c r="AQ33" i="28"/>
  <c r="BL33" i="28" s="1"/>
  <c r="AR33" i="28"/>
  <c r="BM33" i="28" s="1"/>
  <c r="Y34" i="28"/>
  <c r="AT34" i="28" s="1"/>
  <c r="AA34" i="28"/>
  <c r="AV34" i="28" s="1"/>
  <c r="AB34" i="28"/>
  <c r="AW34" i="28" s="1"/>
  <c r="AC34" i="28"/>
  <c r="AX34" i="28" s="1"/>
  <c r="AD34" i="28"/>
  <c r="AY34" i="28" s="1"/>
  <c r="AE34" i="28"/>
  <c r="AZ34" i="28" s="1"/>
  <c r="AF34" i="28"/>
  <c r="BA34" i="28" s="1"/>
  <c r="AG34" i="28"/>
  <c r="BB34" i="28" s="1"/>
  <c r="AH34" i="28"/>
  <c r="BC34" i="28" s="1"/>
  <c r="AI34" i="28"/>
  <c r="BD34" i="28" s="1"/>
  <c r="AJ34" i="28"/>
  <c r="BE34" i="28" s="1"/>
  <c r="AK34" i="28"/>
  <c r="BF34" i="28" s="1"/>
  <c r="AL34" i="28"/>
  <c r="BG34" i="28" s="1"/>
  <c r="AM34" i="28"/>
  <c r="BH34" i="28" s="1"/>
  <c r="AN34" i="28"/>
  <c r="BI34" i="28" s="1"/>
  <c r="AO34" i="28"/>
  <c r="BJ34" i="28" s="1"/>
  <c r="AP34" i="28"/>
  <c r="BK34" i="28" s="1"/>
  <c r="AQ34" i="28"/>
  <c r="BL34" i="28" s="1"/>
  <c r="AR34" i="28"/>
  <c r="BM34" i="28" s="1"/>
  <c r="Y35" i="28"/>
  <c r="AT35" i="28" s="1"/>
  <c r="AA35" i="28"/>
  <c r="AV35" i="28" s="1"/>
  <c r="AB35" i="28"/>
  <c r="AW35" i="28" s="1"/>
  <c r="AC35" i="28"/>
  <c r="AX35" i="28" s="1"/>
  <c r="AD35" i="28"/>
  <c r="AY35" i="28" s="1"/>
  <c r="AE35" i="28"/>
  <c r="AZ35" i="28" s="1"/>
  <c r="AF35" i="28"/>
  <c r="BA35" i="28" s="1"/>
  <c r="AG35" i="28"/>
  <c r="BB35" i="28" s="1"/>
  <c r="AH35" i="28"/>
  <c r="BC35" i="28" s="1"/>
  <c r="AI35" i="28"/>
  <c r="BD35" i="28" s="1"/>
  <c r="AJ35" i="28"/>
  <c r="BE35" i="28" s="1"/>
  <c r="AK35" i="28"/>
  <c r="BF35" i="28" s="1"/>
  <c r="AL35" i="28"/>
  <c r="BG35" i="28" s="1"/>
  <c r="AM35" i="28"/>
  <c r="BH35" i="28" s="1"/>
  <c r="AN35" i="28"/>
  <c r="BI35" i="28" s="1"/>
  <c r="AO35" i="28"/>
  <c r="BJ35" i="28" s="1"/>
  <c r="AP35" i="28"/>
  <c r="BK35" i="28" s="1"/>
  <c r="AQ35" i="28"/>
  <c r="BL35" i="28" s="1"/>
  <c r="AR35" i="28"/>
  <c r="BM35" i="28" s="1"/>
  <c r="Y36" i="28"/>
  <c r="AT36" i="28" s="1"/>
  <c r="AA36" i="28"/>
  <c r="AV36" i="28" s="1"/>
  <c r="AB36" i="28"/>
  <c r="AW36" i="28" s="1"/>
  <c r="AC36" i="28"/>
  <c r="AX36" i="28" s="1"/>
  <c r="AD36" i="28"/>
  <c r="AY36" i="28" s="1"/>
  <c r="AE36" i="28"/>
  <c r="AZ36" i="28" s="1"/>
  <c r="AF36" i="28"/>
  <c r="BA36" i="28" s="1"/>
  <c r="AG36" i="28"/>
  <c r="BB36" i="28" s="1"/>
  <c r="AH36" i="28"/>
  <c r="BC36" i="28" s="1"/>
  <c r="AI36" i="28"/>
  <c r="BD36" i="28" s="1"/>
  <c r="AJ36" i="28"/>
  <c r="BE36" i="28" s="1"/>
  <c r="AK36" i="28"/>
  <c r="BF36" i="28" s="1"/>
  <c r="AL36" i="28"/>
  <c r="BG36" i="28" s="1"/>
  <c r="AM36" i="28"/>
  <c r="BH36" i="28" s="1"/>
  <c r="AN36" i="28"/>
  <c r="BI36" i="28" s="1"/>
  <c r="AO36" i="28"/>
  <c r="BJ36" i="28" s="1"/>
  <c r="AP36" i="28"/>
  <c r="BK36" i="28" s="1"/>
  <c r="AQ36" i="28"/>
  <c r="BL36" i="28" s="1"/>
  <c r="AR36" i="28"/>
  <c r="BM36" i="28" s="1"/>
  <c r="Y37" i="28"/>
  <c r="AT37" i="28" s="1"/>
  <c r="AA37" i="28"/>
  <c r="AV37" i="28" s="1"/>
  <c r="AB37" i="28"/>
  <c r="AW37" i="28" s="1"/>
  <c r="AC37" i="28"/>
  <c r="AX37" i="28" s="1"/>
  <c r="AD37" i="28"/>
  <c r="AY37" i="28" s="1"/>
  <c r="AE37" i="28"/>
  <c r="AZ37" i="28" s="1"/>
  <c r="AF37" i="28"/>
  <c r="BA37" i="28" s="1"/>
  <c r="AG37" i="28"/>
  <c r="BB37" i="28" s="1"/>
  <c r="AH37" i="28"/>
  <c r="BC37" i="28" s="1"/>
  <c r="AI37" i="28"/>
  <c r="BD37" i="28" s="1"/>
  <c r="AJ37" i="28"/>
  <c r="BE37" i="28" s="1"/>
  <c r="AK37" i="28"/>
  <c r="BF37" i="28" s="1"/>
  <c r="AL37" i="28"/>
  <c r="BG37" i="28" s="1"/>
  <c r="AM37" i="28"/>
  <c r="BH37" i="28" s="1"/>
  <c r="AN37" i="28"/>
  <c r="BI37" i="28" s="1"/>
  <c r="AO37" i="28"/>
  <c r="BJ37" i="28" s="1"/>
  <c r="AP37" i="28"/>
  <c r="BK37" i="28" s="1"/>
  <c r="AQ37" i="28"/>
  <c r="BL37" i="28" s="1"/>
  <c r="AR37" i="28"/>
  <c r="BM37" i="28" s="1"/>
  <c r="Y38" i="28"/>
  <c r="AT38" i="28" s="1"/>
  <c r="AA38" i="28"/>
  <c r="AV38" i="28" s="1"/>
  <c r="AB38" i="28"/>
  <c r="AW38" i="28" s="1"/>
  <c r="AC38" i="28"/>
  <c r="AX38" i="28" s="1"/>
  <c r="AD38" i="28"/>
  <c r="AY38" i="28" s="1"/>
  <c r="AE38" i="28"/>
  <c r="AZ38" i="28" s="1"/>
  <c r="AF38" i="28"/>
  <c r="BA38" i="28" s="1"/>
  <c r="AG38" i="28"/>
  <c r="BB38" i="28" s="1"/>
  <c r="AH38" i="28"/>
  <c r="BC38" i="28" s="1"/>
  <c r="AI38" i="28"/>
  <c r="BD38" i="28" s="1"/>
  <c r="AJ38" i="28"/>
  <c r="BE38" i="28" s="1"/>
  <c r="AK38" i="28"/>
  <c r="BF38" i="28" s="1"/>
  <c r="AL38" i="28"/>
  <c r="BG38" i="28" s="1"/>
  <c r="AM38" i="28"/>
  <c r="BH38" i="28" s="1"/>
  <c r="AN38" i="28"/>
  <c r="BI38" i="28" s="1"/>
  <c r="AO38" i="28"/>
  <c r="BJ38" i="28" s="1"/>
  <c r="AP38" i="28"/>
  <c r="BK38" i="28" s="1"/>
  <c r="AQ38" i="28"/>
  <c r="BL38" i="28" s="1"/>
  <c r="AR38" i="28"/>
  <c r="BM38" i="28" s="1"/>
  <c r="Y39" i="28"/>
  <c r="AT39" i="28" s="1"/>
  <c r="AA39" i="28"/>
  <c r="AV39" i="28" s="1"/>
  <c r="AB39" i="28"/>
  <c r="AW39" i="28" s="1"/>
  <c r="AC39" i="28"/>
  <c r="AX39" i="28" s="1"/>
  <c r="AD39" i="28"/>
  <c r="AY39" i="28" s="1"/>
  <c r="AE39" i="28"/>
  <c r="AZ39" i="28" s="1"/>
  <c r="AF39" i="28"/>
  <c r="BA39" i="28" s="1"/>
  <c r="AG39" i="28"/>
  <c r="BB39" i="28" s="1"/>
  <c r="AH39" i="28"/>
  <c r="BC39" i="28" s="1"/>
  <c r="AI39" i="28"/>
  <c r="BD39" i="28" s="1"/>
  <c r="AJ39" i="28"/>
  <c r="BE39" i="28" s="1"/>
  <c r="AK39" i="28"/>
  <c r="BF39" i="28" s="1"/>
  <c r="AL39" i="28"/>
  <c r="BG39" i="28" s="1"/>
  <c r="AM39" i="28"/>
  <c r="BH39" i="28" s="1"/>
  <c r="AN39" i="28"/>
  <c r="BI39" i="28" s="1"/>
  <c r="AO39" i="28"/>
  <c r="BJ39" i="28" s="1"/>
  <c r="AP39" i="28"/>
  <c r="BK39" i="28" s="1"/>
  <c r="AQ39" i="28"/>
  <c r="BL39" i="28" s="1"/>
  <c r="AR39" i="28"/>
  <c r="BM39" i="28" s="1"/>
  <c r="Y40" i="28"/>
  <c r="AT40" i="28" s="1"/>
  <c r="AA40" i="28"/>
  <c r="AV40" i="28" s="1"/>
  <c r="AB40" i="28"/>
  <c r="AW40" i="28" s="1"/>
  <c r="AC40" i="28"/>
  <c r="AX40" i="28" s="1"/>
  <c r="AD40" i="28"/>
  <c r="AY40" i="28" s="1"/>
  <c r="AE40" i="28"/>
  <c r="AZ40" i="28" s="1"/>
  <c r="AF40" i="28"/>
  <c r="BA40" i="28" s="1"/>
  <c r="AG40" i="28"/>
  <c r="BB40" i="28" s="1"/>
  <c r="AH40" i="28"/>
  <c r="BC40" i="28" s="1"/>
  <c r="AI40" i="28"/>
  <c r="BD40" i="28" s="1"/>
  <c r="AJ40" i="28"/>
  <c r="BE40" i="28" s="1"/>
  <c r="AK40" i="28"/>
  <c r="BF40" i="28" s="1"/>
  <c r="AL40" i="28"/>
  <c r="BG40" i="28" s="1"/>
  <c r="AM40" i="28"/>
  <c r="BH40" i="28" s="1"/>
  <c r="AN40" i="28"/>
  <c r="BI40" i="28" s="1"/>
  <c r="AO40" i="28"/>
  <c r="BJ40" i="28" s="1"/>
  <c r="AP40" i="28"/>
  <c r="BK40" i="28" s="1"/>
  <c r="AQ40" i="28"/>
  <c r="BL40" i="28" s="1"/>
  <c r="AR40" i="28"/>
  <c r="BM40" i="28" s="1"/>
  <c r="Y41" i="28"/>
  <c r="AT41" i="28" s="1"/>
  <c r="AA41" i="28"/>
  <c r="AV41" i="28" s="1"/>
  <c r="AB41" i="28"/>
  <c r="AW41" i="28" s="1"/>
  <c r="AC41" i="28"/>
  <c r="AX41" i="28" s="1"/>
  <c r="AD41" i="28"/>
  <c r="AY41" i="28" s="1"/>
  <c r="AE41" i="28"/>
  <c r="AZ41" i="28" s="1"/>
  <c r="AF41" i="28"/>
  <c r="BA41" i="28" s="1"/>
  <c r="AG41" i="28"/>
  <c r="BB41" i="28" s="1"/>
  <c r="AH41" i="28"/>
  <c r="BC41" i="28" s="1"/>
  <c r="AI41" i="28"/>
  <c r="BD41" i="28" s="1"/>
  <c r="AJ41" i="28"/>
  <c r="BE41" i="28" s="1"/>
  <c r="AK41" i="28"/>
  <c r="BF41" i="28" s="1"/>
  <c r="AL41" i="28"/>
  <c r="BG41" i="28" s="1"/>
  <c r="AM41" i="28"/>
  <c r="BH41" i="28" s="1"/>
  <c r="AN41" i="28"/>
  <c r="BI41" i="28" s="1"/>
  <c r="AO41" i="28"/>
  <c r="BJ41" i="28" s="1"/>
  <c r="AP41" i="28"/>
  <c r="BK41" i="28" s="1"/>
  <c r="AQ41" i="28"/>
  <c r="BL41" i="28" s="1"/>
  <c r="AR41" i="28"/>
  <c r="BM41" i="28" s="1"/>
  <c r="Y42" i="28"/>
  <c r="AT42" i="28" s="1"/>
  <c r="AA42" i="28"/>
  <c r="AV42" i="28" s="1"/>
  <c r="AB42" i="28"/>
  <c r="AW42" i="28" s="1"/>
  <c r="AC42" i="28"/>
  <c r="AX42" i="28" s="1"/>
  <c r="AD42" i="28"/>
  <c r="AY42" i="28" s="1"/>
  <c r="AE42" i="28"/>
  <c r="AZ42" i="28" s="1"/>
  <c r="AF42" i="28"/>
  <c r="BA42" i="28" s="1"/>
  <c r="AG42" i="28"/>
  <c r="BB42" i="28" s="1"/>
  <c r="AH42" i="28"/>
  <c r="BC42" i="28" s="1"/>
  <c r="AI42" i="28"/>
  <c r="BD42" i="28" s="1"/>
  <c r="AJ42" i="28"/>
  <c r="BE42" i="28" s="1"/>
  <c r="AK42" i="28"/>
  <c r="BF42" i="28" s="1"/>
  <c r="AL42" i="28"/>
  <c r="BG42" i="28" s="1"/>
  <c r="AM42" i="28"/>
  <c r="BH42" i="28" s="1"/>
  <c r="AN42" i="28"/>
  <c r="BI42" i="28" s="1"/>
  <c r="AO42" i="28"/>
  <c r="BJ42" i="28" s="1"/>
  <c r="AP42" i="28"/>
  <c r="BK42" i="28" s="1"/>
  <c r="AQ42" i="28"/>
  <c r="BL42" i="28" s="1"/>
  <c r="AR42" i="28"/>
  <c r="BM42" i="28" s="1"/>
  <c r="Y43" i="28"/>
  <c r="AT43" i="28" s="1"/>
  <c r="AA43" i="28"/>
  <c r="AV43" i="28" s="1"/>
  <c r="AB43" i="28"/>
  <c r="AW43" i="28" s="1"/>
  <c r="AC43" i="28"/>
  <c r="AX43" i="28" s="1"/>
  <c r="AD43" i="28"/>
  <c r="AY43" i="28" s="1"/>
  <c r="AE43" i="28"/>
  <c r="AZ43" i="28" s="1"/>
  <c r="AF43" i="28"/>
  <c r="BA43" i="28" s="1"/>
  <c r="AG43" i="28"/>
  <c r="BB43" i="28" s="1"/>
  <c r="AH43" i="28"/>
  <c r="BC43" i="28" s="1"/>
  <c r="AI43" i="28"/>
  <c r="BD43" i="28" s="1"/>
  <c r="AJ43" i="28"/>
  <c r="BE43" i="28" s="1"/>
  <c r="AK43" i="28"/>
  <c r="BF43" i="28" s="1"/>
  <c r="AL43" i="28"/>
  <c r="BG43" i="28" s="1"/>
  <c r="AM43" i="28"/>
  <c r="BH43" i="28" s="1"/>
  <c r="AN43" i="28"/>
  <c r="BI43" i="28" s="1"/>
  <c r="AO43" i="28"/>
  <c r="BJ43" i="28" s="1"/>
  <c r="AP43" i="28"/>
  <c r="BK43" i="28" s="1"/>
  <c r="AQ43" i="28"/>
  <c r="BL43" i="28" s="1"/>
  <c r="AR43" i="28"/>
  <c r="BM43" i="28" s="1"/>
  <c r="Y44" i="28"/>
  <c r="AT44" i="28" s="1"/>
  <c r="AA44" i="28"/>
  <c r="AV44" i="28" s="1"/>
  <c r="AB44" i="28"/>
  <c r="AW44" i="28" s="1"/>
  <c r="AC44" i="28"/>
  <c r="AX44" i="28" s="1"/>
  <c r="AD44" i="28"/>
  <c r="AY44" i="28" s="1"/>
  <c r="AE44" i="28"/>
  <c r="AZ44" i="28" s="1"/>
  <c r="AF44" i="28"/>
  <c r="BA44" i="28" s="1"/>
  <c r="AG44" i="28"/>
  <c r="BB44" i="28" s="1"/>
  <c r="AH44" i="28"/>
  <c r="BC44" i="28" s="1"/>
  <c r="AI44" i="28"/>
  <c r="BD44" i="28" s="1"/>
  <c r="AJ44" i="28"/>
  <c r="BE44" i="28" s="1"/>
  <c r="AK44" i="28"/>
  <c r="BF44" i="28" s="1"/>
  <c r="AL44" i="28"/>
  <c r="BG44" i="28" s="1"/>
  <c r="AM44" i="28"/>
  <c r="BH44" i="28" s="1"/>
  <c r="AN44" i="28"/>
  <c r="BI44" i="28" s="1"/>
  <c r="AO44" i="28"/>
  <c r="BJ44" i="28" s="1"/>
  <c r="AP44" i="28"/>
  <c r="BK44" i="28" s="1"/>
  <c r="AQ44" i="28"/>
  <c r="BL44" i="28" s="1"/>
  <c r="AR44" i="28"/>
  <c r="BM44" i="28" s="1"/>
  <c r="Y45" i="28"/>
  <c r="AT45" i="28" s="1"/>
  <c r="AA45" i="28"/>
  <c r="AV45" i="28" s="1"/>
  <c r="AB45" i="28"/>
  <c r="AW45" i="28" s="1"/>
  <c r="AC45" i="28"/>
  <c r="AX45" i="28" s="1"/>
  <c r="AD45" i="28"/>
  <c r="AY45" i="28" s="1"/>
  <c r="AE45" i="28"/>
  <c r="AZ45" i="28" s="1"/>
  <c r="AF45" i="28"/>
  <c r="BA45" i="28" s="1"/>
  <c r="AG45" i="28"/>
  <c r="BB45" i="28" s="1"/>
  <c r="AH45" i="28"/>
  <c r="BC45" i="28" s="1"/>
  <c r="AI45" i="28"/>
  <c r="BD45" i="28" s="1"/>
  <c r="AJ45" i="28"/>
  <c r="BE45" i="28" s="1"/>
  <c r="AK45" i="28"/>
  <c r="BF45" i="28" s="1"/>
  <c r="AL45" i="28"/>
  <c r="BG45" i="28" s="1"/>
  <c r="AM45" i="28"/>
  <c r="BH45" i="28" s="1"/>
  <c r="AN45" i="28"/>
  <c r="BI45" i="28" s="1"/>
  <c r="AO45" i="28"/>
  <c r="BJ45" i="28" s="1"/>
  <c r="AP45" i="28"/>
  <c r="BK45" i="28" s="1"/>
  <c r="AQ45" i="28"/>
  <c r="BL45" i="28" s="1"/>
  <c r="AR45" i="28"/>
  <c r="BM45" i="28" s="1"/>
  <c r="Y46" i="28"/>
  <c r="AT46" i="28" s="1"/>
  <c r="AA46" i="28"/>
  <c r="AV46" i="28" s="1"/>
  <c r="AB46" i="28"/>
  <c r="AW46" i="28" s="1"/>
  <c r="AC46" i="28"/>
  <c r="AX46" i="28" s="1"/>
  <c r="AD46" i="28"/>
  <c r="AY46" i="28" s="1"/>
  <c r="AE46" i="28"/>
  <c r="AZ46" i="28" s="1"/>
  <c r="AF46" i="28"/>
  <c r="BA46" i="28" s="1"/>
  <c r="AG46" i="28"/>
  <c r="BB46" i="28" s="1"/>
  <c r="AH46" i="28"/>
  <c r="BC46" i="28" s="1"/>
  <c r="AI46" i="28"/>
  <c r="BD46" i="28" s="1"/>
  <c r="AJ46" i="28"/>
  <c r="BE46" i="28" s="1"/>
  <c r="AK46" i="28"/>
  <c r="BF46" i="28" s="1"/>
  <c r="AL46" i="28"/>
  <c r="BG46" i="28" s="1"/>
  <c r="AM46" i="28"/>
  <c r="BH46" i="28" s="1"/>
  <c r="AN46" i="28"/>
  <c r="BI46" i="28" s="1"/>
  <c r="AO46" i="28"/>
  <c r="BJ46" i="28" s="1"/>
  <c r="AP46" i="28"/>
  <c r="BK46" i="28" s="1"/>
  <c r="AQ46" i="28"/>
  <c r="BL46" i="28" s="1"/>
  <c r="AR46" i="28"/>
  <c r="BM46" i="28" s="1"/>
  <c r="Y47" i="28"/>
  <c r="AT47" i="28" s="1"/>
  <c r="AA47" i="28"/>
  <c r="AV47" i="28" s="1"/>
  <c r="AB47" i="28"/>
  <c r="AW47" i="28" s="1"/>
  <c r="AC47" i="28"/>
  <c r="AX47" i="28" s="1"/>
  <c r="AD47" i="28"/>
  <c r="AY47" i="28" s="1"/>
  <c r="AE47" i="28"/>
  <c r="AZ47" i="28" s="1"/>
  <c r="AF47" i="28"/>
  <c r="BA47" i="28" s="1"/>
  <c r="AG47" i="28"/>
  <c r="BB47" i="28" s="1"/>
  <c r="AH47" i="28"/>
  <c r="BC47" i="28" s="1"/>
  <c r="AI47" i="28"/>
  <c r="BD47" i="28" s="1"/>
  <c r="AJ47" i="28"/>
  <c r="BE47" i="28" s="1"/>
  <c r="AK47" i="28"/>
  <c r="BF47" i="28" s="1"/>
  <c r="AL47" i="28"/>
  <c r="BG47" i="28" s="1"/>
  <c r="AM47" i="28"/>
  <c r="BH47" i="28" s="1"/>
  <c r="AN47" i="28"/>
  <c r="BI47" i="28" s="1"/>
  <c r="AO47" i="28"/>
  <c r="BJ47" i="28" s="1"/>
  <c r="AP47" i="28"/>
  <c r="BK47" i="28" s="1"/>
  <c r="AQ47" i="28"/>
  <c r="BL47" i="28" s="1"/>
  <c r="AR47" i="28"/>
  <c r="BM47" i="28" s="1"/>
  <c r="Y48" i="28"/>
  <c r="AT48" i="28" s="1"/>
  <c r="AA48" i="28"/>
  <c r="AV48" i="28" s="1"/>
  <c r="AB48" i="28"/>
  <c r="AW48" i="28" s="1"/>
  <c r="AC48" i="28"/>
  <c r="AX48" i="28" s="1"/>
  <c r="AD48" i="28"/>
  <c r="AY48" i="28" s="1"/>
  <c r="AE48" i="28"/>
  <c r="AZ48" i="28" s="1"/>
  <c r="AF48" i="28"/>
  <c r="BA48" i="28" s="1"/>
  <c r="AG48" i="28"/>
  <c r="BB48" i="28" s="1"/>
  <c r="AH48" i="28"/>
  <c r="BC48" i="28" s="1"/>
  <c r="AI48" i="28"/>
  <c r="BD48" i="28" s="1"/>
  <c r="AJ48" i="28"/>
  <c r="BE48" i="28" s="1"/>
  <c r="AK48" i="28"/>
  <c r="BF48" i="28" s="1"/>
  <c r="AL48" i="28"/>
  <c r="BG48" i="28" s="1"/>
  <c r="AM48" i="28"/>
  <c r="BH48" i="28" s="1"/>
  <c r="AN48" i="28"/>
  <c r="BI48" i="28" s="1"/>
  <c r="AO48" i="28"/>
  <c r="BJ48" i="28" s="1"/>
  <c r="AP48" i="28"/>
  <c r="BK48" i="28" s="1"/>
  <c r="AQ48" i="28"/>
  <c r="BL48" i="28" s="1"/>
  <c r="AR48" i="28"/>
  <c r="BM48" i="28" s="1"/>
  <c r="Y49" i="28"/>
  <c r="AT49" i="28" s="1"/>
  <c r="AA49" i="28"/>
  <c r="AV49" i="28" s="1"/>
  <c r="AB49" i="28"/>
  <c r="AW49" i="28" s="1"/>
  <c r="AC49" i="28"/>
  <c r="AX49" i="28" s="1"/>
  <c r="AD49" i="28"/>
  <c r="AY49" i="28" s="1"/>
  <c r="AE49" i="28"/>
  <c r="AZ49" i="28" s="1"/>
  <c r="AF49" i="28"/>
  <c r="BA49" i="28" s="1"/>
  <c r="AG49" i="28"/>
  <c r="BB49" i="28" s="1"/>
  <c r="AH49" i="28"/>
  <c r="BC49" i="28" s="1"/>
  <c r="AI49" i="28"/>
  <c r="BD49" i="28" s="1"/>
  <c r="AJ49" i="28"/>
  <c r="BE49" i="28" s="1"/>
  <c r="AK49" i="28"/>
  <c r="BF49" i="28" s="1"/>
  <c r="AL49" i="28"/>
  <c r="BG49" i="28" s="1"/>
  <c r="AM49" i="28"/>
  <c r="BH49" i="28" s="1"/>
  <c r="AN49" i="28"/>
  <c r="BI49" i="28" s="1"/>
  <c r="AO49" i="28"/>
  <c r="BJ49" i="28" s="1"/>
  <c r="AP49" i="28"/>
  <c r="BK49" i="28" s="1"/>
  <c r="AQ49" i="28"/>
  <c r="BL49" i="28" s="1"/>
  <c r="AR49" i="28"/>
  <c r="BM49" i="28" s="1"/>
  <c r="Y50" i="28"/>
  <c r="AT50" i="28" s="1"/>
  <c r="AA50" i="28"/>
  <c r="AV50" i="28" s="1"/>
  <c r="AB50" i="28"/>
  <c r="AW50" i="28" s="1"/>
  <c r="AC50" i="28"/>
  <c r="AX50" i="28" s="1"/>
  <c r="AD50" i="28"/>
  <c r="AY50" i="28" s="1"/>
  <c r="AE50" i="28"/>
  <c r="AZ50" i="28" s="1"/>
  <c r="AF50" i="28"/>
  <c r="BA50" i="28" s="1"/>
  <c r="AG50" i="28"/>
  <c r="BB50" i="28" s="1"/>
  <c r="AH50" i="28"/>
  <c r="BC50" i="28" s="1"/>
  <c r="AI50" i="28"/>
  <c r="BD50" i="28" s="1"/>
  <c r="AJ50" i="28"/>
  <c r="BE50" i="28" s="1"/>
  <c r="AK50" i="28"/>
  <c r="BF50" i="28" s="1"/>
  <c r="AL50" i="28"/>
  <c r="BG50" i="28" s="1"/>
  <c r="AM50" i="28"/>
  <c r="BH50" i="28" s="1"/>
  <c r="AN50" i="28"/>
  <c r="BI50" i="28" s="1"/>
  <c r="AO50" i="28"/>
  <c r="BJ50" i="28" s="1"/>
  <c r="AP50" i="28"/>
  <c r="BK50" i="28" s="1"/>
  <c r="AQ50" i="28"/>
  <c r="BL50" i="28" s="1"/>
  <c r="AR50" i="28"/>
  <c r="BM50" i="28" s="1"/>
  <c r="Y51" i="28"/>
  <c r="AT51" i="28" s="1"/>
  <c r="AA51" i="28"/>
  <c r="AV51" i="28" s="1"/>
  <c r="AB51" i="28"/>
  <c r="AW51" i="28" s="1"/>
  <c r="AC51" i="28"/>
  <c r="AX51" i="28" s="1"/>
  <c r="AD51" i="28"/>
  <c r="AY51" i="28" s="1"/>
  <c r="AE51" i="28"/>
  <c r="AZ51" i="28" s="1"/>
  <c r="AF51" i="28"/>
  <c r="BA51" i="28" s="1"/>
  <c r="AG51" i="28"/>
  <c r="BB51" i="28" s="1"/>
  <c r="AH51" i="28"/>
  <c r="BC51" i="28" s="1"/>
  <c r="AI51" i="28"/>
  <c r="BD51" i="28" s="1"/>
  <c r="AJ51" i="28"/>
  <c r="BE51" i="28" s="1"/>
  <c r="AK51" i="28"/>
  <c r="BF51" i="28" s="1"/>
  <c r="AL51" i="28"/>
  <c r="BG51" i="28" s="1"/>
  <c r="AM51" i="28"/>
  <c r="BH51" i="28" s="1"/>
  <c r="AN51" i="28"/>
  <c r="BI51" i="28" s="1"/>
  <c r="AO51" i="28"/>
  <c r="BJ51" i="28" s="1"/>
  <c r="AP51" i="28"/>
  <c r="BK51" i="28" s="1"/>
  <c r="AQ51" i="28"/>
  <c r="BL51" i="28" s="1"/>
  <c r="AR51" i="28"/>
  <c r="BM51" i="28" s="1"/>
  <c r="Y52" i="28"/>
  <c r="AT52" i="28" s="1"/>
  <c r="AA52" i="28"/>
  <c r="AV52" i="28" s="1"/>
  <c r="AB52" i="28"/>
  <c r="AW52" i="28" s="1"/>
  <c r="AC52" i="28"/>
  <c r="AX52" i="28" s="1"/>
  <c r="AD52" i="28"/>
  <c r="AY52" i="28" s="1"/>
  <c r="AE52" i="28"/>
  <c r="AZ52" i="28" s="1"/>
  <c r="AF52" i="28"/>
  <c r="BA52" i="28" s="1"/>
  <c r="AG52" i="28"/>
  <c r="BB52" i="28" s="1"/>
  <c r="AH52" i="28"/>
  <c r="BC52" i="28" s="1"/>
  <c r="AI52" i="28"/>
  <c r="BD52" i="28" s="1"/>
  <c r="AJ52" i="28"/>
  <c r="BE52" i="28" s="1"/>
  <c r="AK52" i="28"/>
  <c r="BF52" i="28" s="1"/>
  <c r="AL52" i="28"/>
  <c r="BG52" i="28" s="1"/>
  <c r="AM52" i="28"/>
  <c r="BH52" i="28" s="1"/>
  <c r="AN52" i="28"/>
  <c r="BI52" i="28" s="1"/>
  <c r="AO52" i="28"/>
  <c r="BJ52" i="28" s="1"/>
  <c r="AP52" i="28"/>
  <c r="BK52" i="28" s="1"/>
  <c r="AQ52" i="28"/>
  <c r="BL52" i="28" s="1"/>
  <c r="AR52" i="28"/>
  <c r="BM52" i="28" s="1"/>
  <c r="Y53" i="28"/>
  <c r="AT53" i="28" s="1"/>
  <c r="AA53" i="28"/>
  <c r="AV53" i="28" s="1"/>
  <c r="AB53" i="28"/>
  <c r="AW53" i="28" s="1"/>
  <c r="AC53" i="28"/>
  <c r="AX53" i="28" s="1"/>
  <c r="AD53" i="28"/>
  <c r="AY53" i="28" s="1"/>
  <c r="AE53" i="28"/>
  <c r="AZ53" i="28" s="1"/>
  <c r="AF53" i="28"/>
  <c r="BA53" i="28" s="1"/>
  <c r="AG53" i="28"/>
  <c r="BB53" i="28" s="1"/>
  <c r="AH53" i="28"/>
  <c r="BC53" i="28" s="1"/>
  <c r="AI53" i="28"/>
  <c r="BD53" i="28" s="1"/>
  <c r="AJ53" i="28"/>
  <c r="BE53" i="28" s="1"/>
  <c r="AK53" i="28"/>
  <c r="BF53" i="28" s="1"/>
  <c r="AL53" i="28"/>
  <c r="BG53" i="28" s="1"/>
  <c r="AM53" i="28"/>
  <c r="BH53" i="28" s="1"/>
  <c r="AN53" i="28"/>
  <c r="BI53" i="28" s="1"/>
  <c r="AO53" i="28"/>
  <c r="BJ53" i="28" s="1"/>
  <c r="AP53" i="28"/>
  <c r="BK53" i="28" s="1"/>
  <c r="AQ53" i="28"/>
  <c r="BL53" i="28" s="1"/>
  <c r="AR53" i="28"/>
  <c r="BM53" i="28" s="1"/>
  <c r="Y54" i="28"/>
  <c r="AT54" i="28" s="1"/>
  <c r="AA54" i="28"/>
  <c r="AV54" i="28" s="1"/>
  <c r="AB54" i="28"/>
  <c r="AW54" i="28" s="1"/>
  <c r="AC54" i="28"/>
  <c r="AX54" i="28" s="1"/>
  <c r="AD54" i="28"/>
  <c r="AY54" i="28" s="1"/>
  <c r="AE54" i="28"/>
  <c r="AZ54" i="28" s="1"/>
  <c r="AF54" i="28"/>
  <c r="BA54" i="28" s="1"/>
  <c r="AG54" i="28"/>
  <c r="BB54" i="28" s="1"/>
  <c r="AH54" i="28"/>
  <c r="BC54" i="28" s="1"/>
  <c r="AI54" i="28"/>
  <c r="BD54" i="28" s="1"/>
  <c r="AJ54" i="28"/>
  <c r="BE54" i="28" s="1"/>
  <c r="AK54" i="28"/>
  <c r="BF54" i="28" s="1"/>
  <c r="AL54" i="28"/>
  <c r="BG54" i="28" s="1"/>
  <c r="AM54" i="28"/>
  <c r="BH54" i="28" s="1"/>
  <c r="AN54" i="28"/>
  <c r="BI54" i="28" s="1"/>
  <c r="AO54" i="28"/>
  <c r="BJ54" i="28" s="1"/>
  <c r="AP54" i="28"/>
  <c r="BK54" i="28" s="1"/>
  <c r="AQ54" i="28"/>
  <c r="BL54" i="28" s="1"/>
  <c r="AR54" i="28"/>
  <c r="BM54" i="28" s="1"/>
  <c r="Y55" i="28"/>
  <c r="AT55" i="28" s="1"/>
  <c r="AA55" i="28"/>
  <c r="AV55" i="28" s="1"/>
  <c r="AB55" i="28"/>
  <c r="AW55" i="28" s="1"/>
  <c r="AC55" i="28"/>
  <c r="AX55" i="28" s="1"/>
  <c r="AD55" i="28"/>
  <c r="AY55" i="28" s="1"/>
  <c r="AE55" i="28"/>
  <c r="AZ55" i="28" s="1"/>
  <c r="AF55" i="28"/>
  <c r="BA55" i="28" s="1"/>
  <c r="AG55" i="28"/>
  <c r="BB55" i="28" s="1"/>
  <c r="AH55" i="28"/>
  <c r="BC55" i="28" s="1"/>
  <c r="AI55" i="28"/>
  <c r="BD55" i="28" s="1"/>
  <c r="AJ55" i="28"/>
  <c r="BE55" i="28" s="1"/>
  <c r="AK55" i="28"/>
  <c r="BF55" i="28" s="1"/>
  <c r="AL55" i="28"/>
  <c r="BG55" i="28" s="1"/>
  <c r="AM55" i="28"/>
  <c r="BH55" i="28" s="1"/>
  <c r="AN55" i="28"/>
  <c r="BI55" i="28" s="1"/>
  <c r="AO55" i="28"/>
  <c r="BJ55" i="28" s="1"/>
  <c r="AP55" i="28"/>
  <c r="BK55" i="28" s="1"/>
  <c r="AQ55" i="28"/>
  <c r="BL55" i="28" s="1"/>
  <c r="AR55" i="28"/>
  <c r="BM55" i="28" s="1"/>
  <c r="Y56" i="28"/>
  <c r="AT56" i="28" s="1"/>
  <c r="AA56" i="28"/>
  <c r="AV56" i="28" s="1"/>
  <c r="AB56" i="28"/>
  <c r="AW56" i="28" s="1"/>
  <c r="AC56" i="28"/>
  <c r="AX56" i="28" s="1"/>
  <c r="AD56" i="28"/>
  <c r="AY56" i="28" s="1"/>
  <c r="AE56" i="28"/>
  <c r="AZ56" i="28" s="1"/>
  <c r="AF56" i="28"/>
  <c r="BA56" i="28" s="1"/>
  <c r="AG56" i="28"/>
  <c r="BB56" i="28" s="1"/>
  <c r="AH56" i="28"/>
  <c r="BC56" i="28" s="1"/>
  <c r="AI56" i="28"/>
  <c r="BD56" i="28" s="1"/>
  <c r="AJ56" i="28"/>
  <c r="BE56" i="28" s="1"/>
  <c r="AK56" i="28"/>
  <c r="BF56" i="28" s="1"/>
  <c r="AL56" i="28"/>
  <c r="BG56" i="28" s="1"/>
  <c r="AM56" i="28"/>
  <c r="BH56" i="28" s="1"/>
  <c r="AN56" i="28"/>
  <c r="BI56" i="28" s="1"/>
  <c r="AO56" i="28"/>
  <c r="BJ56" i="28" s="1"/>
  <c r="AP56" i="28"/>
  <c r="BK56" i="28" s="1"/>
  <c r="AQ56" i="28"/>
  <c r="BL56" i="28" s="1"/>
  <c r="AR56" i="28"/>
  <c r="BM56" i="28" s="1"/>
  <c r="Y57" i="28"/>
  <c r="AT57" i="28" s="1"/>
  <c r="AA57" i="28"/>
  <c r="AV57" i="28" s="1"/>
  <c r="AB57" i="28"/>
  <c r="AW57" i="28" s="1"/>
  <c r="AC57" i="28"/>
  <c r="AX57" i="28" s="1"/>
  <c r="AD57" i="28"/>
  <c r="AY57" i="28" s="1"/>
  <c r="AE57" i="28"/>
  <c r="AZ57" i="28" s="1"/>
  <c r="AF57" i="28"/>
  <c r="BA57" i="28" s="1"/>
  <c r="AG57" i="28"/>
  <c r="BB57" i="28" s="1"/>
  <c r="AH57" i="28"/>
  <c r="BC57" i="28" s="1"/>
  <c r="AI57" i="28"/>
  <c r="BD57" i="28" s="1"/>
  <c r="AJ57" i="28"/>
  <c r="BE57" i="28" s="1"/>
  <c r="AK57" i="28"/>
  <c r="BF57" i="28" s="1"/>
  <c r="AL57" i="28"/>
  <c r="BG57" i="28" s="1"/>
  <c r="AM57" i="28"/>
  <c r="BH57" i="28" s="1"/>
  <c r="AN57" i="28"/>
  <c r="BI57" i="28" s="1"/>
  <c r="AO57" i="28"/>
  <c r="BJ57" i="28" s="1"/>
  <c r="AP57" i="28"/>
  <c r="BK57" i="28" s="1"/>
  <c r="AQ57" i="28"/>
  <c r="BL57" i="28" s="1"/>
  <c r="AR57" i="28"/>
  <c r="BM57" i="28" s="1"/>
  <c r="Y58" i="28"/>
  <c r="AT58" i="28" s="1"/>
  <c r="AA58" i="28"/>
  <c r="AV58" i="28" s="1"/>
  <c r="AB58" i="28"/>
  <c r="AW58" i="28" s="1"/>
  <c r="AC58" i="28"/>
  <c r="AX58" i="28" s="1"/>
  <c r="AD58" i="28"/>
  <c r="AY58" i="28" s="1"/>
  <c r="AE58" i="28"/>
  <c r="AZ58" i="28" s="1"/>
  <c r="AF58" i="28"/>
  <c r="BA58" i="28" s="1"/>
  <c r="AG58" i="28"/>
  <c r="BB58" i="28" s="1"/>
  <c r="AH58" i="28"/>
  <c r="BC58" i="28" s="1"/>
  <c r="AI58" i="28"/>
  <c r="BD58" i="28" s="1"/>
  <c r="AJ58" i="28"/>
  <c r="BE58" i="28" s="1"/>
  <c r="AK58" i="28"/>
  <c r="BF58" i="28" s="1"/>
  <c r="AL58" i="28"/>
  <c r="BG58" i="28" s="1"/>
  <c r="AM58" i="28"/>
  <c r="BH58" i="28" s="1"/>
  <c r="AN58" i="28"/>
  <c r="BI58" i="28" s="1"/>
  <c r="AO58" i="28"/>
  <c r="BJ58" i="28" s="1"/>
  <c r="AP58" i="28"/>
  <c r="BK58" i="28" s="1"/>
  <c r="AQ58" i="28"/>
  <c r="BL58" i="28" s="1"/>
  <c r="AR58" i="28"/>
  <c r="BM58" i="28" s="1"/>
  <c r="Y59" i="28"/>
  <c r="AT59" i="28" s="1"/>
  <c r="AA59" i="28"/>
  <c r="AV59" i="28" s="1"/>
  <c r="AB59" i="28"/>
  <c r="AW59" i="28" s="1"/>
  <c r="AC59" i="28"/>
  <c r="AX59" i="28" s="1"/>
  <c r="AD59" i="28"/>
  <c r="AY59" i="28" s="1"/>
  <c r="AE59" i="28"/>
  <c r="AZ59" i="28" s="1"/>
  <c r="AF59" i="28"/>
  <c r="BA59" i="28" s="1"/>
  <c r="AG59" i="28"/>
  <c r="BB59" i="28" s="1"/>
  <c r="AH59" i="28"/>
  <c r="BC59" i="28" s="1"/>
  <c r="AI59" i="28"/>
  <c r="BD59" i="28" s="1"/>
  <c r="AJ59" i="28"/>
  <c r="BE59" i="28" s="1"/>
  <c r="AK59" i="28"/>
  <c r="BF59" i="28" s="1"/>
  <c r="AL59" i="28"/>
  <c r="BG59" i="28" s="1"/>
  <c r="AM59" i="28"/>
  <c r="BH59" i="28" s="1"/>
  <c r="AN59" i="28"/>
  <c r="BI59" i="28" s="1"/>
  <c r="AO59" i="28"/>
  <c r="BJ59" i="28" s="1"/>
  <c r="AP59" i="28"/>
  <c r="BK59" i="28" s="1"/>
  <c r="AQ59" i="28"/>
  <c r="BL59" i="28" s="1"/>
  <c r="AR59" i="28"/>
  <c r="BM59" i="28" s="1"/>
  <c r="Y60" i="28"/>
  <c r="AT60" i="28" s="1"/>
  <c r="AA60" i="28"/>
  <c r="AV60" i="28" s="1"/>
  <c r="AB60" i="28"/>
  <c r="AW60" i="28" s="1"/>
  <c r="AC60" i="28"/>
  <c r="AX60" i="28" s="1"/>
  <c r="AD60" i="28"/>
  <c r="AY60" i="28" s="1"/>
  <c r="AE60" i="28"/>
  <c r="AZ60" i="28" s="1"/>
  <c r="AF60" i="28"/>
  <c r="BA60" i="28" s="1"/>
  <c r="AG60" i="28"/>
  <c r="BB60" i="28" s="1"/>
  <c r="AH60" i="28"/>
  <c r="BC60" i="28" s="1"/>
  <c r="AI60" i="28"/>
  <c r="BD60" i="28" s="1"/>
  <c r="AJ60" i="28"/>
  <c r="BE60" i="28" s="1"/>
  <c r="AK60" i="28"/>
  <c r="BF60" i="28" s="1"/>
  <c r="AL60" i="28"/>
  <c r="BG60" i="28" s="1"/>
  <c r="AM60" i="28"/>
  <c r="BH60" i="28" s="1"/>
  <c r="AN60" i="28"/>
  <c r="BI60" i="28" s="1"/>
  <c r="AO60" i="28"/>
  <c r="BJ60" i="28" s="1"/>
  <c r="AP60" i="28"/>
  <c r="BK60" i="28" s="1"/>
  <c r="AQ60" i="28"/>
  <c r="BL60" i="28" s="1"/>
  <c r="AR60" i="28"/>
  <c r="BM60" i="28" s="1"/>
  <c r="Y61" i="28"/>
  <c r="AT61" i="28" s="1"/>
  <c r="AA61" i="28"/>
  <c r="AV61" i="28" s="1"/>
  <c r="AB61" i="28"/>
  <c r="AW61" i="28" s="1"/>
  <c r="AC61" i="28"/>
  <c r="AX61" i="28" s="1"/>
  <c r="AD61" i="28"/>
  <c r="AY61" i="28" s="1"/>
  <c r="AE61" i="28"/>
  <c r="AZ61" i="28" s="1"/>
  <c r="AF61" i="28"/>
  <c r="BA61" i="28" s="1"/>
  <c r="AG61" i="28"/>
  <c r="BB61" i="28" s="1"/>
  <c r="AH61" i="28"/>
  <c r="BC61" i="28" s="1"/>
  <c r="AI61" i="28"/>
  <c r="BD61" i="28" s="1"/>
  <c r="AJ61" i="28"/>
  <c r="BE61" i="28" s="1"/>
  <c r="AK61" i="28"/>
  <c r="BF61" i="28" s="1"/>
  <c r="AL61" i="28"/>
  <c r="BG61" i="28" s="1"/>
  <c r="AM61" i="28"/>
  <c r="BH61" i="28" s="1"/>
  <c r="AN61" i="28"/>
  <c r="BI61" i="28" s="1"/>
  <c r="AO61" i="28"/>
  <c r="BJ61" i="28" s="1"/>
  <c r="AP61" i="28"/>
  <c r="BK61" i="28" s="1"/>
  <c r="AQ61" i="28"/>
  <c r="BL61" i="28" s="1"/>
  <c r="AR61" i="28"/>
  <c r="BM61" i="28" s="1"/>
  <c r="Y62" i="28"/>
  <c r="AT62" i="28" s="1"/>
  <c r="AA62" i="28"/>
  <c r="AV62" i="28" s="1"/>
  <c r="AB62" i="28"/>
  <c r="AW62" i="28" s="1"/>
  <c r="AC62" i="28"/>
  <c r="AX62" i="28" s="1"/>
  <c r="AD62" i="28"/>
  <c r="AY62" i="28" s="1"/>
  <c r="AE62" i="28"/>
  <c r="AZ62" i="28" s="1"/>
  <c r="AF62" i="28"/>
  <c r="BA62" i="28" s="1"/>
  <c r="AG62" i="28"/>
  <c r="BB62" i="28" s="1"/>
  <c r="AH62" i="28"/>
  <c r="BC62" i="28" s="1"/>
  <c r="AI62" i="28"/>
  <c r="BD62" i="28" s="1"/>
  <c r="AJ62" i="28"/>
  <c r="BE62" i="28" s="1"/>
  <c r="AK62" i="28"/>
  <c r="BF62" i="28" s="1"/>
  <c r="AL62" i="28"/>
  <c r="BG62" i="28" s="1"/>
  <c r="AM62" i="28"/>
  <c r="BH62" i="28" s="1"/>
  <c r="AN62" i="28"/>
  <c r="BI62" i="28" s="1"/>
  <c r="AO62" i="28"/>
  <c r="BJ62" i="28" s="1"/>
  <c r="AP62" i="28"/>
  <c r="BK62" i="28" s="1"/>
  <c r="AQ62" i="28"/>
  <c r="BL62" i="28" s="1"/>
  <c r="AR62" i="28"/>
  <c r="BM62" i="28" s="1"/>
  <c r="Y63" i="28"/>
  <c r="AT63" i="28" s="1"/>
  <c r="AA63" i="28"/>
  <c r="AV63" i="28" s="1"/>
  <c r="AB63" i="28"/>
  <c r="AW63" i="28" s="1"/>
  <c r="AC63" i="28"/>
  <c r="AX63" i="28" s="1"/>
  <c r="AD63" i="28"/>
  <c r="AY63" i="28" s="1"/>
  <c r="AE63" i="28"/>
  <c r="AZ63" i="28" s="1"/>
  <c r="AF63" i="28"/>
  <c r="BA63" i="28" s="1"/>
  <c r="AG63" i="28"/>
  <c r="BB63" i="28" s="1"/>
  <c r="AH63" i="28"/>
  <c r="BC63" i="28" s="1"/>
  <c r="AI63" i="28"/>
  <c r="BD63" i="28" s="1"/>
  <c r="AJ63" i="28"/>
  <c r="BE63" i="28" s="1"/>
  <c r="AK63" i="28"/>
  <c r="BF63" i="28" s="1"/>
  <c r="AL63" i="28"/>
  <c r="BG63" i="28" s="1"/>
  <c r="AM63" i="28"/>
  <c r="BH63" i="28" s="1"/>
  <c r="AN63" i="28"/>
  <c r="BI63" i="28" s="1"/>
  <c r="AO63" i="28"/>
  <c r="BJ63" i="28" s="1"/>
  <c r="AP63" i="28"/>
  <c r="BK63" i="28" s="1"/>
  <c r="AQ63" i="28"/>
  <c r="BL63" i="28" s="1"/>
  <c r="AR63" i="28"/>
  <c r="BM63" i="28" s="1"/>
  <c r="Y64" i="28"/>
  <c r="AT64" i="28" s="1"/>
  <c r="AA64" i="28"/>
  <c r="AV64" i="28" s="1"/>
  <c r="AB64" i="28"/>
  <c r="AW64" i="28" s="1"/>
  <c r="AC64" i="28"/>
  <c r="AX64" i="28" s="1"/>
  <c r="AD64" i="28"/>
  <c r="AY64" i="28" s="1"/>
  <c r="AE64" i="28"/>
  <c r="AZ64" i="28" s="1"/>
  <c r="AF64" i="28"/>
  <c r="BA64" i="28" s="1"/>
  <c r="AG64" i="28"/>
  <c r="BB64" i="28" s="1"/>
  <c r="AH64" i="28"/>
  <c r="BC64" i="28" s="1"/>
  <c r="AI64" i="28"/>
  <c r="BD64" i="28" s="1"/>
  <c r="AJ64" i="28"/>
  <c r="BE64" i="28" s="1"/>
  <c r="AK64" i="28"/>
  <c r="BF64" i="28" s="1"/>
  <c r="AL64" i="28"/>
  <c r="BG64" i="28" s="1"/>
  <c r="AM64" i="28"/>
  <c r="BH64" i="28" s="1"/>
  <c r="AN64" i="28"/>
  <c r="BI64" i="28" s="1"/>
  <c r="AO64" i="28"/>
  <c r="BJ64" i="28" s="1"/>
  <c r="AP64" i="28"/>
  <c r="BK64" i="28" s="1"/>
  <c r="AQ64" i="28"/>
  <c r="BL64" i="28" s="1"/>
  <c r="AR64" i="28"/>
  <c r="BM64" i="28" s="1"/>
  <c r="Y65" i="28"/>
  <c r="AT65" i="28" s="1"/>
  <c r="AA65" i="28"/>
  <c r="AV65" i="28" s="1"/>
  <c r="AB65" i="28"/>
  <c r="AW65" i="28" s="1"/>
  <c r="AC65" i="28"/>
  <c r="AX65" i="28" s="1"/>
  <c r="AD65" i="28"/>
  <c r="AY65" i="28" s="1"/>
  <c r="AE65" i="28"/>
  <c r="AZ65" i="28" s="1"/>
  <c r="AF65" i="28"/>
  <c r="BA65" i="28" s="1"/>
  <c r="AG65" i="28"/>
  <c r="BB65" i="28" s="1"/>
  <c r="AH65" i="28"/>
  <c r="BC65" i="28" s="1"/>
  <c r="AI65" i="28"/>
  <c r="BD65" i="28" s="1"/>
  <c r="AJ65" i="28"/>
  <c r="BE65" i="28" s="1"/>
  <c r="AK65" i="28"/>
  <c r="BF65" i="28" s="1"/>
  <c r="AL65" i="28"/>
  <c r="BG65" i="28" s="1"/>
  <c r="AM65" i="28"/>
  <c r="BH65" i="28" s="1"/>
  <c r="AN65" i="28"/>
  <c r="BI65" i="28" s="1"/>
  <c r="AO65" i="28"/>
  <c r="BJ65" i="28" s="1"/>
  <c r="AP65" i="28"/>
  <c r="BK65" i="28" s="1"/>
  <c r="AQ65" i="28"/>
  <c r="BL65" i="28" s="1"/>
  <c r="AR65" i="28"/>
  <c r="BM65" i="28" s="1"/>
  <c r="Y66" i="28"/>
  <c r="AT66" i="28" s="1"/>
  <c r="AA66" i="28"/>
  <c r="AV66" i="28" s="1"/>
  <c r="AB66" i="28"/>
  <c r="AW66" i="28" s="1"/>
  <c r="AC66" i="28"/>
  <c r="AX66" i="28" s="1"/>
  <c r="AD66" i="28"/>
  <c r="AY66" i="28" s="1"/>
  <c r="AE66" i="28"/>
  <c r="AZ66" i="28" s="1"/>
  <c r="AF66" i="28"/>
  <c r="BA66" i="28" s="1"/>
  <c r="AG66" i="28"/>
  <c r="BB66" i="28" s="1"/>
  <c r="AH66" i="28"/>
  <c r="BC66" i="28" s="1"/>
  <c r="AI66" i="28"/>
  <c r="BD66" i="28" s="1"/>
  <c r="AJ66" i="28"/>
  <c r="BE66" i="28" s="1"/>
  <c r="AK66" i="28"/>
  <c r="BF66" i="28" s="1"/>
  <c r="AL66" i="28"/>
  <c r="BG66" i="28" s="1"/>
  <c r="AM66" i="28"/>
  <c r="BH66" i="28" s="1"/>
  <c r="AN66" i="28"/>
  <c r="BI66" i="28" s="1"/>
  <c r="AO66" i="28"/>
  <c r="BJ66" i="28" s="1"/>
  <c r="AP66" i="28"/>
  <c r="BK66" i="28" s="1"/>
  <c r="AQ66" i="28"/>
  <c r="BL66" i="28" s="1"/>
  <c r="AR66" i="28"/>
  <c r="BM66" i="28" s="1"/>
  <c r="Y67" i="28"/>
  <c r="AT67" i="28" s="1"/>
  <c r="AA67" i="28"/>
  <c r="AV67" i="28" s="1"/>
  <c r="AB67" i="28"/>
  <c r="AW67" i="28" s="1"/>
  <c r="AC67" i="28"/>
  <c r="AX67" i="28" s="1"/>
  <c r="AD67" i="28"/>
  <c r="AY67" i="28" s="1"/>
  <c r="AE67" i="28"/>
  <c r="AZ67" i="28" s="1"/>
  <c r="AF67" i="28"/>
  <c r="BA67" i="28" s="1"/>
  <c r="AG67" i="28"/>
  <c r="BB67" i="28" s="1"/>
  <c r="AH67" i="28"/>
  <c r="BC67" i="28" s="1"/>
  <c r="AI67" i="28"/>
  <c r="BD67" i="28" s="1"/>
  <c r="AJ67" i="28"/>
  <c r="BE67" i="28" s="1"/>
  <c r="AK67" i="28"/>
  <c r="BF67" i="28" s="1"/>
  <c r="AL67" i="28"/>
  <c r="BG67" i="28" s="1"/>
  <c r="AM67" i="28"/>
  <c r="BH67" i="28" s="1"/>
  <c r="AN67" i="28"/>
  <c r="BI67" i="28" s="1"/>
  <c r="AO67" i="28"/>
  <c r="BJ67" i="28" s="1"/>
  <c r="AP67" i="28"/>
  <c r="BK67" i="28" s="1"/>
  <c r="AQ67" i="28"/>
  <c r="BL67" i="28" s="1"/>
  <c r="AR67" i="28"/>
  <c r="BM67" i="28" s="1"/>
  <c r="Y68" i="28"/>
  <c r="AT68" i="28" s="1"/>
  <c r="AA68" i="28"/>
  <c r="AV68" i="28" s="1"/>
  <c r="AB68" i="28"/>
  <c r="AW68" i="28" s="1"/>
  <c r="AC68" i="28"/>
  <c r="AX68" i="28" s="1"/>
  <c r="AD68" i="28"/>
  <c r="AY68" i="28" s="1"/>
  <c r="AE68" i="28"/>
  <c r="AZ68" i="28" s="1"/>
  <c r="AF68" i="28"/>
  <c r="BA68" i="28" s="1"/>
  <c r="AG68" i="28"/>
  <c r="BB68" i="28" s="1"/>
  <c r="AH68" i="28"/>
  <c r="BC68" i="28" s="1"/>
  <c r="AI68" i="28"/>
  <c r="BD68" i="28" s="1"/>
  <c r="AJ68" i="28"/>
  <c r="BE68" i="28" s="1"/>
  <c r="AK68" i="28"/>
  <c r="BF68" i="28" s="1"/>
  <c r="AL68" i="28"/>
  <c r="BG68" i="28" s="1"/>
  <c r="AM68" i="28"/>
  <c r="BH68" i="28" s="1"/>
  <c r="AN68" i="28"/>
  <c r="BI68" i="28" s="1"/>
  <c r="AO68" i="28"/>
  <c r="BJ68" i="28" s="1"/>
  <c r="AP68" i="28"/>
  <c r="BK68" i="28" s="1"/>
  <c r="AQ68" i="28"/>
  <c r="BL68" i="28" s="1"/>
  <c r="AR68" i="28"/>
  <c r="BM68" i="28" s="1"/>
  <c r="Y69" i="28"/>
  <c r="AT69" i="28" s="1"/>
  <c r="AA69" i="28"/>
  <c r="AV69" i="28" s="1"/>
  <c r="AB69" i="28"/>
  <c r="AW69" i="28" s="1"/>
  <c r="AC69" i="28"/>
  <c r="AX69" i="28" s="1"/>
  <c r="AD69" i="28"/>
  <c r="AY69" i="28" s="1"/>
  <c r="AE69" i="28"/>
  <c r="AZ69" i="28" s="1"/>
  <c r="AF69" i="28"/>
  <c r="BA69" i="28" s="1"/>
  <c r="AG69" i="28"/>
  <c r="BB69" i="28" s="1"/>
  <c r="AH69" i="28"/>
  <c r="BC69" i="28" s="1"/>
  <c r="AI69" i="28"/>
  <c r="BD69" i="28" s="1"/>
  <c r="AJ69" i="28"/>
  <c r="BE69" i="28" s="1"/>
  <c r="AK69" i="28"/>
  <c r="BF69" i="28" s="1"/>
  <c r="AL69" i="28"/>
  <c r="BG69" i="28" s="1"/>
  <c r="AM69" i="28"/>
  <c r="BH69" i="28" s="1"/>
  <c r="AN69" i="28"/>
  <c r="BI69" i="28" s="1"/>
  <c r="AO69" i="28"/>
  <c r="BJ69" i="28" s="1"/>
  <c r="AP69" i="28"/>
  <c r="BK69" i="28" s="1"/>
  <c r="AQ69" i="28"/>
  <c r="BL69" i="28" s="1"/>
  <c r="AR69" i="28"/>
  <c r="BM69" i="28" s="1"/>
  <c r="Y70" i="28"/>
  <c r="AT70" i="28" s="1"/>
  <c r="AA70" i="28"/>
  <c r="AV70" i="28" s="1"/>
  <c r="AB70" i="28"/>
  <c r="AW70" i="28" s="1"/>
  <c r="AC70" i="28"/>
  <c r="AX70" i="28" s="1"/>
  <c r="AD70" i="28"/>
  <c r="AY70" i="28" s="1"/>
  <c r="AE70" i="28"/>
  <c r="AZ70" i="28" s="1"/>
  <c r="AF70" i="28"/>
  <c r="BA70" i="28" s="1"/>
  <c r="AG70" i="28"/>
  <c r="BB70" i="28" s="1"/>
  <c r="AH70" i="28"/>
  <c r="BC70" i="28" s="1"/>
  <c r="AI70" i="28"/>
  <c r="BD70" i="28" s="1"/>
  <c r="AJ70" i="28"/>
  <c r="BE70" i="28" s="1"/>
  <c r="AK70" i="28"/>
  <c r="BF70" i="28" s="1"/>
  <c r="AL70" i="28"/>
  <c r="BG70" i="28" s="1"/>
  <c r="AM70" i="28"/>
  <c r="BH70" i="28" s="1"/>
  <c r="AN70" i="28"/>
  <c r="BI70" i="28" s="1"/>
  <c r="AO70" i="28"/>
  <c r="BJ70" i="28" s="1"/>
  <c r="AP70" i="28"/>
  <c r="BK70" i="28" s="1"/>
  <c r="AQ70" i="28"/>
  <c r="BL70" i="28" s="1"/>
  <c r="AR70" i="28"/>
  <c r="BM70" i="28" s="1"/>
  <c r="Y71" i="28"/>
  <c r="AT71" i="28" s="1"/>
  <c r="AA71" i="28"/>
  <c r="AV71" i="28" s="1"/>
  <c r="AB71" i="28"/>
  <c r="AW71" i="28" s="1"/>
  <c r="AC71" i="28"/>
  <c r="AX71" i="28" s="1"/>
  <c r="AD71" i="28"/>
  <c r="AY71" i="28" s="1"/>
  <c r="AE71" i="28"/>
  <c r="AZ71" i="28" s="1"/>
  <c r="AF71" i="28"/>
  <c r="BA71" i="28" s="1"/>
  <c r="AG71" i="28"/>
  <c r="BB71" i="28" s="1"/>
  <c r="AH71" i="28"/>
  <c r="BC71" i="28" s="1"/>
  <c r="AI71" i="28"/>
  <c r="BD71" i="28" s="1"/>
  <c r="AJ71" i="28"/>
  <c r="BE71" i="28" s="1"/>
  <c r="AK71" i="28"/>
  <c r="BF71" i="28" s="1"/>
  <c r="AL71" i="28"/>
  <c r="BG71" i="28" s="1"/>
  <c r="AM71" i="28"/>
  <c r="BH71" i="28" s="1"/>
  <c r="AN71" i="28"/>
  <c r="BI71" i="28" s="1"/>
  <c r="AO71" i="28"/>
  <c r="BJ71" i="28" s="1"/>
  <c r="AP71" i="28"/>
  <c r="BK71" i="28" s="1"/>
  <c r="AQ71" i="28"/>
  <c r="BL71" i="28" s="1"/>
  <c r="AR71" i="28"/>
  <c r="BM71" i="28" s="1"/>
  <c r="Y72" i="28"/>
  <c r="AT72" i="28" s="1"/>
  <c r="AA72" i="28"/>
  <c r="AV72" i="28" s="1"/>
  <c r="AB72" i="28"/>
  <c r="AW72" i="28" s="1"/>
  <c r="AC72" i="28"/>
  <c r="AX72" i="28" s="1"/>
  <c r="AD72" i="28"/>
  <c r="AY72" i="28" s="1"/>
  <c r="AE72" i="28"/>
  <c r="AZ72" i="28" s="1"/>
  <c r="AF72" i="28"/>
  <c r="BA72" i="28" s="1"/>
  <c r="AG72" i="28"/>
  <c r="BB72" i="28" s="1"/>
  <c r="AH72" i="28"/>
  <c r="BC72" i="28" s="1"/>
  <c r="AI72" i="28"/>
  <c r="BD72" i="28" s="1"/>
  <c r="AJ72" i="28"/>
  <c r="BE72" i="28" s="1"/>
  <c r="AK72" i="28"/>
  <c r="BF72" i="28" s="1"/>
  <c r="AL72" i="28"/>
  <c r="BG72" i="28" s="1"/>
  <c r="AM72" i="28"/>
  <c r="BH72" i="28" s="1"/>
  <c r="AN72" i="28"/>
  <c r="BI72" i="28" s="1"/>
  <c r="AO72" i="28"/>
  <c r="BJ72" i="28" s="1"/>
  <c r="AP72" i="28"/>
  <c r="BK72" i="28" s="1"/>
  <c r="AQ72" i="28"/>
  <c r="BL72" i="28" s="1"/>
  <c r="AR72" i="28"/>
  <c r="BM72" i="28" s="1"/>
  <c r="Y73" i="28"/>
  <c r="AT73" i="28" s="1"/>
  <c r="AA73" i="28"/>
  <c r="AV73" i="28" s="1"/>
  <c r="AB73" i="28"/>
  <c r="AW73" i="28" s="1"/>
  <c r="AC73" i="28"/>
  <c r="AX73" i="28" s="1"/>
  <c r="AD73" i="28"/>
  <c r="AY73" i="28" s="1"/>
  <c r="AE73" i="28"/>
  <c r="AZ73" i="28" s="1"/>
  <c r="AF73" i="28"/>
  <c r="BA73" i="28" s="1"/>
  <c r="AG73" i="28"/>
  <c r="BB73" i="28" s="1"/>
  <c r="AH73" i="28"/>
  <c r="BC73" i="28" s="1"/>
  <c r="AI73" i="28"/>
  <c r="BD73" i="28" s="1"/>
  <c r="AJ73" i="28"/>
  <c r="BE73" i="28" s="1"/>
  <c r="AK73" i="28"/>
  <c r="BF73" i="28" s="1"/>
  <c r="AL73" i="28"/>
  <c r="BG73" i="28" s="1"/>
  <c r="AM73" i="28"/>
  <c r="BH73" i="28" s="1"/>
  <c r="AN73" i="28"/>
  <c r="BI73" i="28" s="1"/>
  <c r="AO73" i="28"/>
  <c r="BJ73" i="28" s="1"/>
  <c r="AP73" i="28"/>
  <c r="BK73" i="28" s="1"/>
  <c r="AQ73" i="28"/>
  <c r="BL73" i="28" s="1"/>
  <c r="AR73" i="28"/>
  <c r="BM73" i="28" s="1"/>
  <c r="Y74" i="28"/>
  <c r="AT74" i="28" s="1"/>
  <c r="AA74" i="28"/>
  <c r="AV74" i="28" s="1"/>
  <c r="AB74" i="28"/>
  <c r="AW74" i="28" s="1"/>
  <c r="AC74" i="28"/>
  <c r="AX74" i="28" s="1"/>
  <c r="AD74" i="28"/>
  <c r="AY74" i="28" s="1"/>
  <c r="AE74" i="28"/>
  <c r="AZ74" i="28" s="1"/>
  <c r="AF74" i="28"/>
  <c r="BA74" i="28" s="1"/>
  <c r="AG74" i="28"/>
  <c r="BB74" i="28" s="1"/>
  <c r="AH74" i="28"/>
  <c r="BC74" i="28" s="1"/>
  <c r="AI74" i="28"/>
  <c r="BD74" i="28" s="1"/>
  <c r="AJ74" i="28"/>
  <c r="BE74" i="28" s="1"/>
  <c r="AK74" i="28"/>
  <c r="BF74" i="28" s="1"/>
  <c r="AL74" i="28"/>
  <c r="BG74" i="28" s="1"/>
  <c r="AM74" i="28"/>
  <c r="BH74" i="28" s="1"/>
  <c r="AN74" i="28"/>
  <c r="BI74" i="28" s="1"/>
  <c r="AO74" i="28"/>
  <c r="BJ74" i="28" s="1"/>
  <c r="AP74" i="28"/>
  <c r="BK74" i="28" s="1"/>
  <c r="AQ74" i="28"/>
  <c r="BL74" i="28" s="1"/>
  <c r="AR74" i="28"/>
  <c r="BM74" i="28" s="1"/>
  <c r="Y75" i="28"/>
  <c r="AT75" i="28" s="1"/>
  <c r="AA75" i="28"/>
  <c r="AV75" i="28" s="1"/>
  <c r="AB75" i="28"/>
  <c r="AW75" i="28" s="1"/>
  <c r="AC75" i="28"/>
  <c r="AX75" i="28" s="1"/>
  <c r="AD75" i="28"/>
  <c r="AY75" i="28" s="1"/>
  <c r="AE75" i="28"/>
  <c r="AZ75" i="28" s="1"/>
  <c r="AF75" i="28"/>
  <c r="BA75" i="28" s="1"/>
  <c r="AG75" i="28"/>
  <c r="BB75" i="28" s="1"/>
  <c r="AH75" i="28"/>
  <c r="BC75" i="28" s="1"/>
  <c r="AI75" i="28"/>
  <c r="BD75" i="28" s="1"/>
  <c r="AJ75" i="28"/>
  <c r="BE75" i="28" s="1"/>
  <c r="AK75" i="28"/>
  <c r="BF75" i="28" s="1"/>
  <c r="AL75" i="28"/>
  <c r="BG75" i="28" s="1"/>
  <c r="AM75" i="28"/>
  <c r="BH75" i="28" s="1"/>
  <c r="AN75" i="28"/>
  <c r="BI75" i="28" s="1"/>
  <c r="AO75" i="28"/>
  <c r="BJ75" i="28" s="1"/>
  <c r="AP75" i="28"/>
  <c r="BK75" i="28" s="1"/>
  <c r="AQ75" i="28"/>
  <c r="BL75" i="28" s="1"/>
  <c r="AR75" i="28"/>
  <c r="BM75" i="28" s="1"/>
  <c r="Y76" i="28"/>
  <c r="AT76" i="28" s="1"/>
  <c r="AA76" i="28"/>
  <c r="AV76" i="28" s="1"/>
  <c r="AB76" i="28"/>
  <c r="AW76" i="28" s="1"/>
  <c r="AC76" i="28"/>
  <c r="AX76" i="28" s="1"/>
  <c r="AD76" i="28"/>
  <c r="AY76" i="28" s="1"/>
  <c r="AE76" i="28"/>
  <c r="AZ76" i="28" s="1"/>
  <c r="AF76" i="28"/>
  <c r="BA76" i="28" s="1"/>
  <c r="AG76" i="28"/>
  <c r="BB76" i="28" s="1"/>
  <c r="AH76" i="28"/>
  <c r="BC76" i="28" s="1"/>
  <c r="AI76" i="28"/>
  <c r="BD76" i="28" s="1"/>
  <c r="AJ76" i="28"/>
  <c r="BE76" i="28" s="1"/>
  <c r="AK76" i="28"/>
  <c r="BF76" i="28" s="1"/>
  <c r="AL76" i="28"/>
  <c r="BG76" i="28" s="1"/>
  <c r="AM76" i="28"/>
  <c r="BH76" i="28" s="1"/>
  <c r="AN76" i="28"/>
  <c r="BI76" i="28" s="1"/>
  <c r="AO76" i="28"/>
  <c r="BJ76" i="28" s="1"/>
  <c r="AP76" i="28"/>
  <c r="BK76" i="28" s="1"/>
  <c r="AQ76" i="28"/>
  <c r="BL76" i="28" s="1"/>
  <c r="AR76" i="28"/>
  <c r="BM76" i="28" s="1"/>
  <c r="Y77" i="28"/>
  <c r="AT77" i="28" s="1"/>
  <c r="AA77" i="28"/>
  <c r="AV77" i="28" s="1"/>
  <c r="AB77" i="28"/>
  <c r="AW77" i="28" s="1"/>
  <c r="AC77" i="28"/>
  <c r="AX77" i="28" s="1"/>
  <c r="AD77" i="28"/>
  <c r="AY77" i="28" s="1"/>
  <c r="AE77" i="28"/>
  <c r="AZ77" i="28" s="1"/>
  <c r="AF77" i="28"/>
  <c r="BA77" i="28" s="1"/>
  <c r="AG77" i="28"/>
  <c r="BB77" i="28" s="1"/>
  <c r="AH77" i="28"/>
  <c r="BC77" i="28" s="1"/>
  <c r="AI77" i="28"/>
  <c r="BD77" i="28" s="1"/>
  <c r="AJ77" i="28"/>
  <c r="BE77" i="28" s="1"/>
  <c r="AK77" i="28"/>
  <c r="BF77" i="28" s="1"/>
  <c r="AL77" i="28"/>
  <c r="BG77" i="28" s="1"/>
  <c r="AM77" i="28"/>
  <c r="BH77" i="28" s="1"/>
  <c r="AN77" i="28"/>
  <c r="BI77" i="28" s="1"/>
  <c r="AO77" i="28"/>
  <c r="BJ77" i="28" s="1"/>
  <c r="AP77" i="28"/>
  <c r="BK77" i="28" s="1"/>
  <c r="AQ77" i="28"/>
  <c r="BL77" i="28" s="1"/>
  <c r="AR77" i="28"/>
  <c r="BM77" i="28" s="1"/>
  <c r="Y78" i="28"/>
  <c r="AT78" i="28" s="1"/>
  <c r="AA78" i="28"/>
  <c r="AV78" i="28" s="1"/>
  <c r="AB78" i="28"/>
  <c r="AW78" i="28" s="1"/>
  <c r="AC78" i="28"/>
  <c r="AX78" i="28" s="1"/>
  <c r="AD78" i="28"/>
  <c r="AY78" i="28" s="1"/>
  <c r="AE78" i="28"/>
  <c r="AZ78" i="28" s="1"/>
  <c r="AF78" i="28"/>
  <c r="BA78" i="28" s="1"/>
  <c r="AG78" i="28"/>
  <c r="BB78" i="28" s="1"/>
  <c r="AH78" i="28"/>
  <c r="BC78" i="28" s="1"/>
  <c r="AI78" i="28"/>
  <c r="BD78" i="28" s="1"/>
  <c r="AJ78" i="28"/>
  <c r="BE78" i="28" s="1"/>
  <c r="AK78" i="28"/>
  <c r="BF78" i="28" s="1"/>
  <c r="AL78" i="28"/>
  <c r="BG78" i="28" s="1"/>
  <c r="AM78" i="28"/>
  <c r="BH78" i="28" s="1"/>
  <c r="AN78" i="28"/>
  <c r="BI78" i="28" s="1"/>
  <c r="AO78" i="28"/>
  <c r="BJ78" i="28" s="1"/>
  <c r="AP78" i="28"/>
  <c r="BK78" i="28" s="1"/>
  <c r="AQ78" i="28"/>
  <c r="BL78" i="28" s="1"/>
  <c r="AR78" i="28"/>
  <c r="BM78" i="28" s="1"/>
  <c r="Y79" i="28"/>
  <c r="AT79" i="28" s="1"/>
  <c r="AA79" i="28"/>
  <c r="AV79" i="28" s="1"/>
  <c r="AB79" i="28"/>
  <c r="AW79" i="28" s="1"/>
  <c r="AC79" i="28"/>
  <c r="AX79" i="28" s="1"/>
  <c r="AD79" i="28"/>
  <c r="AY79" i="28" s="1"/>
  <c r="AE79" i="28"/>
  <c r="AZ79" i="28" s="1"/>
  <c r="AF79" i="28"/>
  <c r="BA79" i="28" s="1"/>
  <c r="AG79" i="28"/>
  <c r="BB79" i="28" s="1"/>
  <c r="AH79" i="28"/>
  <c r="BC79" i="28" s="1"/>
  <c r="AI79" i="28"/>
  <c r="BD79" i="28" s="1"/>
  <c r="AJ79" i="28"/>
  <c r="BE79" i="28" s="1"/>
  <c r="AK79" i="28"/>
  <c r="BF79" i="28" s="1"/>
  <c r="AL79" i="28"/>
  <c r="BG79" i="28" s="1"/>
  <c r="AM79" i="28"/>
  <c r="BH79" i="28" s="1"/>
  <c r="AN79" i="28"/>
  <c r="BI79" i="28" s="1"/>
  <c r="AO79" i="28"/>
  <c r="BJ79" i="28" s="1"/>
  <c r="AP79" i="28"/>
  <c r="BK79" i="28" s="1"/>
  <c r="AQ79" i="28"/>
  <c r="BL79" i="28" s="1"/>
  <c r="AR79" i="28"/>
  <c r="BM79" i="28" s="1"/>
  <c r="Y80" i="28"/>
  <c r="AT80" i="28" s="1"/>
  <c r="AA80" i="28"/>
  <c r="AV80" i="28" s="1"/>
  <c r="AB80" i="28"/>
  <c r="AW80" i="28" s="1"/>
  <c r="AC80" i="28"/>
  <c r="AX80" i="28" s="1"/>
  <c r="AD80" i="28"/>
  <c r="AY80" i="28" s="1"/>
  <c r="AE80" i="28"/>
  <c r="AZ80" i="28" s="1"/>
  <c r="AF80" i="28"/>
  <c r="BA80" i="28" s="1"/>
  <c r="AG80" i="28"/>
  <c r="BB80" i="28" s="1"/>
  <c r="AH80" i="28"/>
  <c r="BC80" i="28" s="1"/>
  <c r="AI80" i="28"/>
  <c r="BD80" i="28" s="1"/>
  <c r="AJ80" i="28"/>
  <c r="BE80" i="28" s="1"/>
  <c r="AK80" i="28"/>
  <c r="BF80" i="28" s="1"/>
  <c r="AL80" i="28"/>
  <c r="BG80" i="28" s="1"/>
  <c r="AM80" i="28"/>
  <c r="BH80" i="28" s="1"/>
  <c r="AN80" i="28"/>
  <c r="BI80" i="28" s="1"/>
  <c r="AO80" i="28"/>
  <c r="BJ80" i="28" s="1"/>
  <c r="AP80" i="28"/>
  <c r="BK80" i="28" s="1"/>
  <c r="AQ80" i="28"/>
  <c r="BL80" i="28" s="1"/>
  <c r="AR80" i="28"/>
  <c r="BM80" i="28" s="1"/>
  <c r="Y81" i="28"/>
  <c r="AT81" i="28" s="1"/>
  <c r="AA81" i="28"/>
  <c r="AV81" i="28" s="1"/>
  <c r="AB81" i="28"/>
  <c r="AW81" i="28" s="1"/>
  <c r="AC81" i="28"/>
  <c r="AX81" i="28" s="1"/>
  <c r="AD81" i="28"/>
  <c r="AY81" i="28" s="1"/>
  <c r="AE81" i="28"/>
  <c r="AZ81" i="28" s="1"/>
  <c r="AF81" i="28"/>
  <c r="BA81" i="28" s="1"/>
  <c r="AG81" i="28"/>
  <c r="BB81" i="28" s="1"/>
  <c r="AH81" i="28"/>
  <c r="BC81" i="28" s="1"/>
  <c r="AI81" i="28"/>
  <c r="BD81" i="28" s="1"/>
  <c r="AJ81" i="28"/>
  <c r="BE81" i="28" s="1"/>
  <c r="AK81" i="28"/>
  <c r="BF81" i="28" s="1"/>
  <c r="AL81" i="28"/>
  <c r="BG81" i="28" s="1"/>
  <c r="AM81" i="28"/>
  <c r="BH81" i="28" s="1"/>
  <c r="AN81" i="28"/>
  <c r="BI81" i="28" s="1"/>
  <c r="AO81" i="28"/>
  <c r="BJ81" i="28" s="1"/>
  <c r="AP81" i="28"/>
  <c r="BK81" i="28" s="1"/>
  <c r="AQ81" i="28"/>
  <c r="BL81" i="28" s="1"/>
  <c r="AR81" i="28"/>
  <c r="BM81" i="28" s="1"/>
  <c r="Y82" i="28"/>
  <c r="AT82" i="28" s="1"/>
  <c r="AA82" i="28"/>
  <c r="AV82" i="28" s="1"/>
  <c r="AB82" i="28"/>
  <c r="AW82" i="28" s="1"/>
  <c r="AC82" i="28"/>
  <c r="AX82" i="28" s="1"/>
  <c r="AD82" i="28"/>
  <c r="AY82" i="28" s="1"/>
  <c r="AE82" i="28"/>
  <c r="AZ82" i="28" s="1"/>
  <c r="AF82" i="28"/>
  <c r="BA82" i="28" s="1"/>
  <c r="AG82" i="28"/>
  <c r="BB82" i="28" s="1"/>
  <c r="AH82" i="28"/>
  <c r="BC82" i="28" s="1"/>
  <c r="AI82" i="28"/>
  <c r="BD82" i="28" s="1"/>
  <c r="AJ82" i="28"/>
  <c r="BE82" i="28" s="1"/>
  <c r="AK82" i="28"/>
  <c r="BF82" i="28" s="1"/>
  <c r="AL82" i="28"/>
  <c r="BG82" i="28" s="1"/>
  <c r="AM82" i="28"/>
  <c r="BH82" i="28" s="1"/>
  <c r="AN82" i="28"/>
  <c r="BI82" i="28" s="1"/>
  <c r="AO82" i="28"/>
  <c r="BJ82" i="28" s="1"/>
  <c r="AP82" i="28"/>
  <c r="BK82" i="28" s="1"/>
  <c r="AQ82" i="28"/>
  <c r="BL82" i="28" s="1"/>
  <c r="AR82" i="28"/>
  <c r="BM82" i="28" s="1"/>
  <c r="Y83" i="28"/>
  <c r="AT83" i="28" s="1"/>
  <c r="AA83" i="28"/>
  <c r="AV83" i="28" s="1"/>
  <c r="AB83" i="28"/>
  <c r="AW83" i="28" s="1"/>
  <c r="AC83" i="28"/>
  <c r="AX83" i="28" s="1"/>
  <c r="AD83" i="28"/>
  <c r="AY83" i="28" s="1"/>
  <c r="AE83" i="28"/>
  <c r="AZ83" i="28" s="1"/>
  <c r="AF83" i="28"/>
  <c r="BA83" i="28" s="1"/>
  <c r="AG83" i="28"/>
  <c r="BB83" i="28" s="1"/>
  <c r="AH83" i="28"/>
  <c r="BC83" i="28" s="1"/>
  <c r="AI83" i="28"/>
  <c r="BD83" i="28" s="1"/>
  <c r="AJ83" i="28"/>
  <c r="BE83" i="28" s="1"/>
  <c r="AK83" i="28"/>
  <c r="BF83" i="28" s="1"/>
  <c r="AL83" i="28"/>
  <c r="BG83" i="28" s="1"/>
  <c r="AM83" i="28"/>
  <c r="BH83" i="28" s="1"/>
  <c r="AN83" i="28"/>
  <c r="BI83" i="28" s="1"/>
  <c r="AO83" i="28"/>
  <c r="BJ83" i="28" s="1"/>
  <c r="AP83" i="28"/>
  <c r="BK83" i="28" s="1"/>
  <c r="AQ83" i="28"/>
  <c r="BL83" i="28" s="1"/>
  <c r="AR83" i="28"/>
  <c r="BM83" i="28" s="1"/>
  <c r="Y84" i="28"/>
  <c r="AT84" i="28" s="1"/>
  <c r="AA84" i="28"/>
  <c r="AV84" i="28" s="1"/>
  <c r="AB84" i="28"/>
  <c r="AW84" i="28" s="1"/>
  <c r="AC84" i="28"/>
  <c r="AX84" i="28" s="1"/>
  <c r="AD84" i="28"/>
  <c r="AY84" i="28" s="1"/>
  <c r="AE84" i="28"/>
  <c r="AZ84" i="28" s="1"/>
  <c r="AF84" i="28"/>
  <c r="BA84" i="28" s="1"/>
  <c r="AG84" i="28"/>
  <c r="BB84" i="28" s="1"/>
  <c r="AH84" i="28"/>
  <c r="BC84" i="28" s="1"/>
  <c r="AI84" i="28"/>
  <c r="BD84" i="28" s="1"/>
  <c r="AJ84" i="28"/>
  <c r="BE84" i="28" s="1"/>
  <c r="AK84" i="28"/>
  <c r="BF84" i="28" s="1"/>
  <c r="AL84" i="28"/>
  <c r="BG84" i="28" s="1"/>
  <c r="AM84" i="28"/>
  <c r="BH84" i="28" s="1"/>
  <c r="AN84" i="28"/>
  <c r="BI84" i="28" s="1"/>
  <c r="AO84" i="28"/>
  <c r="BJ84" i="28" s="1"/>
  <c r="AP84" i="28"/>
  <c r="BK84" i="28" s="1"/>
  <c r="AQ84" i="28"/>
  <c r="BL84" i="28" s="1"/>
  <c r="AR84" i="28"/>
  <c r="BM84" i="28" s="1"/>
  <c r="Y85" i="28"/>
  <c r="AT85" i="28" s="1"/>
  <c r="AA85" i="28"/>
  <c r="AV85" i="28" s="1"/>
  <c r="AB85" i="28"/>
  <c r="AW85" i="28" s="1"/>
  <c r="AC85" i="28"/>
  <c r="AX85" i="28" s="1"/>
  <c r="AD85" i="28"/>
  <c r="AY85" i="28" s="1"/>
  <c r="AE85" i="28"/>
  <c r="AZ85" i="28" s="1"/>
  <c r="AF85" i="28"/>
  <c r="BA85" i="28" s="1"/>
  <c r="AG85" i="28"/>
  <c r="BB85" i="28" s="1"/>
  <c r="AH85" i="28"/>
  <c r="BC85" i="28" s="1"/>
  <c r="AI85" i="28"/>
  <c r="BD85" i="28" s="1"/>
  <c r="AJ85" i="28"/>
  <c r="BE85" i="28" s="1"/>
  <c r="AK85" i="28"/>
  <c r="BF85" i="28" s="1"/>
  <c r="AL85" i="28"/>
  <c r="BG85" i="28" s="1"/>
  <c r="AM85" i="28"/>
  <c r="BH85" i="28" s="1"/>
  <c r="AN85" i="28"/>
  <c r="BI85" i="28" s="1"/>
  <c r="AO85" i="28"/>
  <c r="BJ85" i="28" s="1"/>
  <c r="AP85" i="28"/>
  <c r="BK85" i="28" s="1"/>
  <c r="AQ85" i="28"/>
  <c r="BL85" i="28" s="1"/>
  <c r="AR85" i="28"/>
  <c r="BM85" i="28" s="1"/>
  <c r="Y86" i="28"/>
  <c r="AT86" i="28" s="1"/>
  <c r="AA86" i="28"/>
  <c r="AV86" i="28" s="1"/>
  <c r="AB86" i="28"/>
  <c r="AW86" i="28" s="1"/>
  <c r="AC86" i="28"/>
  <c r="AX86" i="28" s="1"/>
  <c r="AD86" i="28"/>
  <c r="AY86" i="28" s="1"/>
  <c r="AE86" i="28"/>
  <c r="AZ86" i="28" s="1"/>
  <c r="AF86" i="28"/>
  <c r="BA86" i="28" s="1"/>
  <c r="AG86" i="28"/>
  <c r="BB86" i="28" s="1"/>
  <c r="AH86" i="28"/>
  <c r="BC86" i="28" s="1"/>
  <c r="AI86" i="28"/>
  <c r="BD86" i="28" s="1"/>
  <c r="AJ86" i="28"/>
  <c r="BE86" i="28" s="1"/>
  <c r="AK86" i="28"/>
  <c r="BF86" i="28" s="1"/>
  <c r="AL86" i="28"/>
  <c r="BG86" i="28" s="1"/>
  <c r="AM86" i="28"/>
  <c r="BH86" i="28" s="1"/>
  <c r="AN86" i="28"/>
  <c r="BI86" i="28" s="1"/>
  <c r="AO86" i="28"/>
  <c r="BJ86" i="28" s="1"/>
  <c r="AP86" i="28"/>
  <c r="BK86" i="28" s="1"/>
  <c r="AQ86" i="28"/>
  <c r="BL86" i="28" s="1"/>
  <c r="AR86" i="28"/>
  <c r="BM86" i="28" s="1"/>
  <c r="Y87" i="28"/>
  <c r="AT87" i="28" s="1"/>
  <c r="AA87" i="28"/>
  <c r="AV87" i="28" s="1"/>
  <c r="AB87" i="28"/>
  <c r="AW87" i="28" s="1"/>
  <c r="AC87" i="28"/>
  <c r="AX87" i="28" s="1"/>
  <c r="AD87" i="28"/>
  <c r="AY87" i="28" s="1"/>
  <c r="AE87" i="28"/>
  <c r="AZ87" i="28" s="1"/>
  <c r="AF87" i="28"/>
  <c r="BA87" i="28" s="1"/>
  <c r="AG87" i="28"/>
  <c r="BB87" i="28" s="1"/>
  <c r="AH87" i="28"/>
  <c r="BC87" i="28" s="1"/>
  <c r="AI87" i="28"/>
  <c r="BD87" i="28" s="1"/>
  <c r="AJ87" i="28"/>
  <c r="BE87" i="28" s="1"/>
  <c r="AK87" i="28"/>
  <c r="BF87" i="28" s="1"/>
  <c r="AL87" i="28"/>
  <c r="BG87" i="28" s="1"/>
  <c r="AM87" i="28"/>
  <c r="BH87" i="28" s="1"/>
  <c r="AN87" i="28"/>
  <c r="BI87" i="28" s="1"/>
  <c r="AO87" i="28"/>
  <c r="BJ87" i="28" s="1"/>
  <c r="AP87" i="28"/>
  <c r="BK87" i="28" s="1"/>
  <c r="AQ87" i="28"/>
  <c r="BL87" i="28" s="1"/>
  <c r="AR87" i="28"/>
  <c r="BM87" i="28" s="1"/>
  <c r="Y88" i="28"/>
  <c r="AT88" i="28" s="1"/>
  <c r="AA88" i="28"/>
  <c r="AV88" i="28" s="1"/>
  <c r="AB88" i="28"/>
  <c r="AW88" i="28" s="1"/>
  <c r="AC88" i="28"/>
  <c r="AX88" i="28" s="1"/>
  <c r="AD88" i="28"/>
  <c r="AY88" i="28" s="1"/>
  <c r="AE88" i="28"/>
  <c r="AZ88" i="28" s="1"/>
  <c r="AF88" i="28"/>
  <c r="BA88" i="28" s="1"/>
  <c r="AG88" i="28"/>
  <c r="BB88" i="28" s="1"/>
  <c r="AH88" i="28"/>
  <c r="BC88" i="28" s="1"/>
  <c r="AI88" i="28"/>
  <c r="BD88" i="28" s="1"/>
  <c r="AJ88" i="28"/>
  <c r="BE88" i="28" s="1"/>
  <c r="AK88" i="28"/>
  <c r="BF88" i="28" s="1"/>
  <c r="AL88" i="28"/>
  <c r="BG88" i="28" s="1"/>
  <c r="AM88" i="28"/>
  <c r="BH88" i="28" s="1"/>
  <c r="AN88" i="28"/>
  <c r="BI88" i="28" s="1"/>
  <c r="AO88" i="28"/>
  <c r="BJ88" i="28" s="1"/>
  <c r="AP88" i="28"/>
  <c r="BK88" i="28" s="1"/>
  <c r="AQ88" i="28"/>
  <c r="BL88" i="28" s="1"/>
  <c r="AR88" i="28"/>
  <c r="BM88" i="28" s="1"/>
  <c r="Y89" i="28"/>
  <c r="AT89" i="28" s="1"/>
  <c r="AA89" i="28"/>
  <c r="AV89" i="28" s="1"/>
  <c r="AB89" i="28"/>
  <c r="AW89" i="28" s="1"/>
  <c r="AC89" i="28"/>
  <c r="AX89" i="28" s="1"/>
  <c r="AD89" i="28"/>
  <c r="AY89" i="28" s="1"/>
  <c r="AE89" i="28"/>
  <c r="AZ89" i="28" s="1"/>
  <c r="AF89" i="28"/>
  <c r="BA89" i="28" s="1"/>
  <c r="AG89" i="28"/>
  <c r="BB89" i="28" s="1"/>
  <c r="AH89" i="28"/>
  <c r="BC89" i="28" s="1"/>
  <c r="AI89" i="28"/>
  <c r="BD89" i="28" s="1"/>
  <c r="AJ89" i="28"/>
  <c r="BE89" i="28" s="1"/>
  <c r="AK89" i="28"/>
  <c r="BF89" i="28" s="1"/>
  <c r="AL89" i="28"/>
  <c r="BG89" i="28" s="1"/>
  <c r="AM89" i="28"/>
  <c r="BH89" i="28" s="1"/>
  <c r="AN89" i="28"/>
  <c r="BI89" i="28" s="1"/>
  <c r="AO89" i="28"/>
  <c r="BJ89" i="28" s="1"/>
  <c r="AP89" i="28"/>
  <c r="BK89" i="28" s="1"/>
  <c r="AQ89" i="28"/>
  <c r="BL89" i="28" s="1"/>
  <c r="AR89" i="28"/>
  <c r="BM89" i="28" s="1"/>
  <c r="Y90" i="28"/>
  <c r="AT90" i="28" s="1"/>
  <c r="AA90" i="28"/>
  <c r="AV90" i="28" s="1"/>
  <c r="AB90" i="28"/>
  <c r="AW90" i="28" s="1"/>
  <c r="AC90" i="28"/>
  <c r="AX90" i="28" s="1"/>
  <c r="AD90" i="28"/>
  <c r="AY90" i="28" s="1"/>
  <c r="AE90" i="28"/>
  <c r="AZ90" i="28" s="1"/>
  <c r="AF90" i="28"/>
  <c r="BA90" i="28" s="1"/>
  <c r="AG90" i="28"/>
  <c r="BB90" i="28" s="1"/>
  <c r="AH90" i="28"/>
  <c r="BC90" i="28" s="1"/>
  <c r="AI90" i="28"/>
  <c r="BD90" i="28" s="1"/>
  <c r="AJ90" i="28"/>
  <c r="BE90" i="28" s="1"/>
  <c r="AK90" i="28"/>
  <c r="BF90" i="28" s="1"/>
  <c r="AL90" i="28"/>
  <c r="BG90" i="28" s="1"/>
  <c r="AM90" i="28"/>
  <c r="BH90" i="28" s="1"/>
  <c r="AN90" i="28"/>
  <c r="BI90" i="28" s="1"/>
  <c r="AO90" i="28"/>
  <c r="BJ90" i="28" s="1"/>
  <c r="AP90" i="28"/>
  <c r="BK90" i="28" s="1"/>
  <c r="AQ90" i="28"/>
  <c r="BL90" i="28" s="1"/>
  <c r="AR90" i="28"/>
  <c r="BM90" i="28" s="1"/>
  <c r="Y91" i="28"/>
  <c r="AT91" i="28" s="1"/>
  <c r="AA91" i="28"/>
  <c r="AV91" i="28" s="1"/>
  <c r="AB91" i="28"/>
  <c r="AW91" i="28" s="1"/>
  <c r="AC91" i="28"/>
  <c r="AX91" i="28" s="1"/>
  <c r="AD91" i="28"/>
  <c r="AY91" i="28" s="1"/>
  <c r="AE91" i="28"/>
  <c r="AZ91" i="28" s="1"/>
  <c r="AF91" i="28"/>
  <c r="BA91" i="28" s="1"/>
  <c r="AG91" i="28"/>
  <c r="BB91" i="28" s="1"/>
  <c r="AH91" i="28"/>
  <c r="BC91" i="28" s="1"/>
  <c r="AI91" i="28"/>
  <c r="BD91" i="28" s="1"/>
  <c r="AJ91" i="28"/>
  <c r="BE91" i="28" s="1"/>
  <c r="AK91" i="28"/>
  <c r="BF91" i="28" s="1"/>
  <c r="AL91" i="28"/>
  <c r="BG91" i="28" s="1"/>
  <c r="AM91" i="28"/>
  <c r="BH91" i="28" s="1"/>
  <c r="AN91" i="28"/>
  <c r="BI91" i="28" s="1"/>
  <c r="AO91" i="28"/>
  <c r="BJ91" i="28" s="1"/>
  <c r="AP91" i="28"/>
  <c r="BK91" i="28" s="1"/>
  <c r="AQ91" i="28"/>
  <c r="BL91" i="28" s="1"/>
  <c r="AR91" i="28"/>
  <c r="BM91" i="28" s="1"/>
  <c r="Y92" i="28"/>
  <c r="AT92" i="28" s="1"/>
  <c r="AA92" i="28"/>
  <c r="AV92" i="28" s="1"/>
  <c r="AB92" i="28"/>
  <c r="AW92" i="28" s="1"/>
  <c r="AC92" i="28"/>
  <c r="AX92" i="28" s="1"/>
  <c r="AD92" i="28"/>
  <c r="AY92" i="28" s="1"/>
  <c r="AE92" i="28"/>
  <c r="AZ92" i="28" s="1"/>
  <c r="AF92" i="28"/>
  <c r="BA92" i="28" s="1"/>
  <c r="AG92" i="28"/>
  <c r="BB92" i="28" s="1"/>
  <c r="AH92" i="28"/>
  <c r="BC92" i="28" s="1"/>
  <c r="AI92" i="28"/>
  <c r="BD92" i="28" s="1"/>
  <c r="AJ92" i="28"/>
  <c r="BE92" i="28" s="1"/>
  <c r="AK92" i="28"/>
  <c r="BF92" i="28" s="1"/>
  <c r="AL92" i="28"/>
  <c r="BG92" i="28" s="1"/>
  <c r="AM92" i="28"/>
  <c r="BH92" i="28" s="1"/>
  <c r="AN92" i="28"/>
  <c r="BI92" i="28" s="1"/>
  <c r="AO92" i="28"/>
  <c r="BJ92" i="28" s="1"/>
  <c r="AP92" i="28"/>
  <c r="BK92" i="28" s="1"/>
  <c r="AQ92" i="28"/>
  <c r="BL92" i="28" s="1"/>
  <c r="AR92" i="28"/>
  <c r="BM92" i="28" s="1"/>
  <c r="Y93" i="28"/>
  <c r="AT93" i="28" s="1"/>
  <c r="AA93" i="28"/>
  <c r="AV93" i="28" s="1"/>
  <c r="AB93" i="28"/>
  <c r="AW93" i="28" s="1"/>
  <c r="AC93" i="28"/>
  <c r="AX93" i="28" s="1"/>
  <c r="AD93" i="28"/>
  <c r="AY93" i="28" s="1"/>
  <c r="AE93" i="28"/>
  <c r="AZ93" i="28" s="1"/>
  <c r="AF93" i="28"/>
  <c r="BA93" i="28" s="1"/>
  <c r="AG93" i="28"/>
  <c r="BB93" i="28" s="1"/>
  <c r="AH93" i="28"/>
  <c r="BC93" i="28" s="1"/>
  <c r="AI93" i="28"/>
  <c r="BD93" i="28" s="1"/>
  <c r="AJ93" i="28"/>
  <c r="BE93" i="28" s="1"/>
  <c r="AK93" i="28"/>
  <c r="BF93" i="28" s="1"/>
  <c r="AL93" i="28"/>
  <c r="BG93" i="28" s="1"/>
  <c r="AM93" i="28"/>
  <c r="BH93" i="28" s="1"/>
  <c r="AN93" i="28"/>
  <c r="BI93" i="28" s="1"/>
  <c r="AO93" i="28"/>
  <c r="BJ93" i="28" s="1"/>
  <c r="AP93" i="28"/>
  <c r="BK93" i="28" s="1"/>
  <c r="AQ93" i="28"/>
  <c r="BL93" i="28" s="1"/>
  <c r="AR93" i="28"/>
  <c r="BM93" i="28" s="1"/>
  <c r="Y94" i="28"/>
  <c r="AT94" i="28" s="1"/>
  <c r="AA94" i="28"/>
  <c r="AV94" i="28" s="1"/>
  <c r="AB94" i="28"/>
  <c r="AW94" i="28" s="1"/>
  <c r="AC94" i="28"/>
  <c r="AX94" i="28" s="1"/>
  <c r="AD94" i="28"/>
  <c r="AY94" i="28" s="1"/>
  <c r="AE94" i="28"/>
  <c r="AZ94" i="28" s="1"/>
  <c r="AF94" i="28"/>
  <c r="BA94" i="28" s="1"/>
  <c r="AG94" i="28"/>
  <c r="BB94" i="28" s="1"/>
  <c r="AH94" i="28"/>
  <c r="BC94" i="28" s="1"/>
  <c r="AI94" i="28"/>
  <c r="BD94" i="28" s="1"/>
  <c r="AJ94" i="28"/>
  <c r="BE94" i="28" s="1"/>
  <c r="AK94" i="28"/>
  <c r="BF94" i="28" s="1"/>
  <c r="AL94" i="28"/>
  <c r="BG94" i="28" s="1"/>
  <c r="AM94" i="28"/>
  <c r="BH94" i="28" s="1"/>
  <c r="AN94" i="28"/>
  <c r="BI94" i="28" s="1"/>
  <c r="AO94" i="28"/>
  <c r="BJ94" i="28" s="1"/>
  <c r="AP94" i="28"/>
  <c r="BK94" i="28" s="1"/>
  <c r="AQ94" i="28"/>
  <c r="BL94" i="28" s="1"/>
  <c r="AR94" i="28"/>
  <c r="BM94" i="28" s="1"/>
  <c r="Y95" i="28"/>
  <c r="AT95" i="28" s="1"/>
  <c r="AA95" i="28"/>
  <c r="AV95" i="28" s="1"/>
  <c r="AB95" i="28"/>
  <c r="AW95" i="28" s="1"/>
  <c r="AC95" i="28"/>
  <c r="AX95" i="28" s="1"/>
  <c r="AD95" i="28"/>
  <c r="AY95" i="28" s="1"/>
  <c r="AE95" i="28"/>
  <c r="AZ95" i="28" s="1"/>
  <c r="AF95" i="28"/>
  <c r="BA95" i="28" s="1"/>
  <c r="AG95" i="28"/>
  <c r="BB95" i="28" s="1"/>
  <c r="AH95" i="28"/>
  <c r="BC95" i="28" s="1"/>
  <c r="AI95" i="28"/>
  <c r="BD95" i="28" s="1"/>
  <c r="AJ95" i="28"/>
  <c r="BE95" i="28" s="1"/>
  <c r="AK95" i="28"/>
  <c r="BF95" i="28" s="1"/>
  <c r="AL95" i="28"/>
  <c r="BG95" i="28" s="1"/>
  <c r="AM95" i="28"/>
  <c r="BH95" i="28" s="1"/>
  <c r="AN95" i="28"/>
  <c r="BI95" i="28" s="1"/>
  <c r="AO95" i="28"/>
  <c r="BJ95" i="28" s="1"/>
  <c r="AP95" i="28"/>
  <c r="BK95" i="28" s="1"/>
  <c r="AQ95" i="28"/>
  <c r="BL95" i="28" s="1"/>
  <c r="AR95" i="28"/>
  <c r="BM95" i="28" s="1"/>
  <c r="Y96" i="28"/>
  <c r="AT96" i="28" s="1"/>
  <c r="AA96" i="28"/>
  <c r="AV96" i="28" s="1"/>
  <c r="AB96" i="28"/>
  <c r="AW96" i="28" s="1"/>
  <c r="AC96" i="28"/>
  <c r="AX96" i="28" s="1"/>
  <c r="AD96" i="28"/>
  <c r="AY96" i="28" s="1"/>
  <c r="AE96" i="28"/>
  <c r="AZ96" i="28" s="1"/>
  <c r="AF96" i="28"/>
  <c r="BA96" i="28" s="1"/>
  <c r="AG96" i="28"/>
  <c r="BB96" i="28" s="1"/>
  <c r="AH96" i="28"/>
  <c r="BC96" i="28" s="1"/>
  <c r="AI96" i="28"/>
  <c r="BD96" i="28" s="1"/>
  <c r="AJ96" i="28"/>
  <c r="BE96" i="28" s="1"/>
  <c r="AK96" i="28"/>
  <c r="BF96" i="28" s="1"/>
  <c r="AL96" i="28"/>
  <c r="BG96" i="28" s="1"/>
  <c r="AM96" i="28"/>
  <c r="BH96" i="28" s="1"/>
  <c r="AN96" i="28"/>
  <c r="BI96" i="28" s="1"/>
  <c r="AO96" i="28"/>
  <c r="BJ96" i="28" s="1"/>
  <c r="AP96" i="28"/>
  <c r="BK96" i="28" s="1"/>
  <c r="AQ96" i="28"/>
  <c r="BL96" i="28" s="1"/>
  <c r="AR96" i="28"/>
  <c r="BM96" i="28" s="1"/>
  <c r="Y97" i="28"/>
  <c r="AT97" i="28" s="1"/>
  <c r="AA97" i="28"/>
  <c r="AV97" i="28" s="1"/>
  <c r="AB97" i="28"/>
  <c r="AW97" i="28" s="1"/>
  <c r="AC97" i="28"/>
  <c r="AX97" i="28" s="1"/>
  <c r="AD97" i="28"/>
  <c r="AY97" i="28" s="1"/>
  <c r="AE97" i="28"/>
  <c r="AZ97" i="28" s="1"/>
  <c r="AF97" i="28"/>
  <c r="BA97" i="28" s="1"/>
  <c r="AG97" i="28"/>
  <c r="BB97" i="28" s="1"/>
  <c r="AH97" i="28"/>
  <c r="BC97" i="28" s="1"/>
  <c r="AI97" i="28"/>
  <c r="BD97" i="28" s="1"/>
  <c r="AJ97" i="28"/>
  <c r="BE97" i="28" s="1"/>
  <c r="AK97" i="28"/>
  <c r="BF97" i="28" s="1"/>
  <c r="AL97" i="28"/>
  <c r="BG97" i="28" s="1"/>
  <c r="AM97" i="28"/>
  <c r="BH97" i="28" s="1"/>
  <c r="AN97" i="28"/>
  <c r="BI97" i="28" s="1"/>
  <c r="AO97" i="28"/>
  <c r="BJ97" i="28" s="1"/>
  <c r="AP97" i="28"/>
  <c r="BK97" i="28" s="1"/>
  <c r="AQ97" i="28"/>
  <c r="BL97" i="28" s="1"/>
  <c r="AR97" i="28"/>
  <c r="BM97" i="28" s="1"/>
  <c r="Y98" i="28"/>
  <c r="AT98" i="28" s="1"/>
  <c r="AA98" i="28"/>
  <c r="AV98" i="28" s="1"/>
  <c r="AB98" i="28"/>
  <c r="AW98" i="28" s="1"/>
  <c r="AC98" i="28"/>
  <c r="AX98" i="28" s="1"/>
  <c r="AD98" i="28"/>
  <c r="AY98" i="28" s="1"/>
  <c r="AE98" i="28"/>
  <c r="AZ98" i="28" s="1"/>
  <c r="AF98" i="28"/>
  <c r="BA98" i="28" s="1"/>
  <c r="AG98" i="28"/>
  <c r="BB98" i="28" s="1"/>
  <c r="AH98" i="28"/>
  <c r="BC98" i="28" s="1"/>
  <c r="AI98" i="28"/>
  <c r="BD98" i="28" s="1"/>
  <c r="AJ98" i="28"/>
  <c r="BE98" i="28" s="1"/>
  <c r="AK98" i="28"/>
  <c r="BF98" i="28" s="1"/>
  <c r="AL98" i="28"/>
  <c r="BG98" i="28" s="1"/>
  <c r="AM98" i="28"/>
  <c r="BH98" i="28" s="1"/>
  <c r="AN98" i="28"/>
  <c r="BI98" i="28" s="1"/>
  <c r="AO98" i="28"/>
  <c r="BJ98" i="28" s="1"/>
  <c r="AP98" i="28"/>
  <c r="BK98" i="28" s="1"/>
  <c r="AQ98" i="28"/>
  <c r="BL98" i="28" s="1"/>
  <c r="AR98" i="28"/>
  <c r="BM98" i="28" s="1"/>
  <c r="Y99" i="28"/>
  <c r="AT99" i="28" s="1"/>
  <c r="AA99" i="28"/>
  <c r="AV99" i="28" s="1"/>
  <c r="AB99" i="28"/>
  <c r="AW99" i="28" s="1"/>
  <c r="AC99" i="28"/>
  <c r="AX99" i="28" s="1"/>
  <c r="AD99" i="28"/>
  <c r="AY99" i="28" s="1"/>
  <c r="AE99" i="28"/>
  <c r="AZ99" i="28" s="1"/>
  <c r="AF99" i="28"/>
  <c r="BA99" i="28" s="1"/>
  <c r="AG99" i="28"/>
  <c r="BB99" i="28" s="1"/>
  <c r="AH99" i="28"/>
  <c r="BC99" i="28" s="1"/>
  <c r="AI99" i="28"/>
  <c r="BD99" i="28" s="1"/>
  <c r="AJ99" i="28"/>
  <c r="BE99" i="28" s="1"/>
  <c r="AK99" i="28"/>
  <c r="BF99" i="28" s="1"/>
  <c r="AL99" i="28"/>
  <c r="BG99" i="28" s="1"/>
  <c r="AM99" i="28"/>
  <c r="BH99" i="28" s="1"/>
  <c r="AN99" i="28"/>
  <c r="BI99" i="28" s="1"/>
  <c r="AO99" i="28"/>
  <c r="BJ99" i="28" s="1"/>
  <c r="AP99" i="28"/>
  <c r="BK99" i="28" s="1"/>
  <c r="AQ99" i="28"/>
  <c r="BL99" i="28" s="1"/>
  <c r="AR99" i="28"/>
  <c r="BM99" i="28" s="1"/>
  <c r="Y100" i="28"/>
  <c r="AT100" i="28" s="1"/>
  <c r="AA100" i="28"/>
  <c r="AV100" i="28" s="1"/>
  <c r="AB100" i="28"/>
  <c r="AW100" i="28" s="1"/>
  <c r="AC100" i="28"/>
  <c r="AX100" i="28" s="1"/>
  <c r="AD100" i="28"/>
  <c r="AY100" i="28" s="1"/>
  <c r="AE100" i="28"/>
  <c r="AZ100" i="28" s="1"/>
  <c r="AF100" i="28"/>
  <c r="BA100" i="28" s="1"/>
  <c r="AG100" i="28"/>
  <c r="BB100" i="28" s="1"/>
  <c r="AH100" i="28"/>
  <c r="BC100" i="28" s="1"/>
  <c r="AI100" i="28"/>
  <c r="BD100" i="28" s="1"/>
  <c r="AJ100" i="28"/>
  <c r="BE100" i="28" s="1"/>
  <c r="AK100" i="28"/>
  <c r="BF100" i="28" s="1"/>
  <c r="AL100" i="28"/>
  <c r="BG100" i="28" s="1"/>
  <c r="AM100" i="28"/>
  <c r="BH100" i="28" s="1"/>
  <c r="AN100" i="28"/>
  <c r="BI100" i="28" s="1"/>
  <c r="AO100" i="28"/>
  <c r="BJ100" i="28" s="1"/>
  <c r="AP100" i="28"/>
  <c r="BK100" i="28" s="1"/>
  <c r="AQ100" i="28"/>
  <c r="BL100" i="28" s="1"/>
  <c r="AR100" i="28"/>
  <c r="BM100" i="28" s="1"/>
  <c r="Y101" i="28"/>
  <c r="AT101" i="28" s="1"/>
  <c r="AA101" i="28"/>
  <c r="AV101" i="28" s="1"/>
  <c r="AB101" i="28"/>
  <c r="AW101" i="28" s="1"/>
  <c r="AC101" i="28"/>
  <c r="AX101" i="28" s="1"/>
  <c r="AD101" i="28"/>
  <c r="AY101" i="28" s="1"/>
  <c r="AE101" i="28"/>
  <c r="AZ101" i="28" s="1"/>
  <c r="AF101" i="28"/>
  <c r="BA101" i="28" s="1"/>
  <c r="AG101" i="28"/>
  <c r="BB101" i="28" s="1"/>
  <c r="AH101" i="28"/>
  <c r="BC101" i="28" s="1"/>
  <c r="AI101" i="28"/>
  <c r="BD101" i="28" s="1"/>
  <c r="AJ101" i="28"/>
  <c r="BE101" i="28" s="1"/>
  <c r="AK101" i="28"/>
  <c r="BF101" i="28" s="1"/>
  <c r="AL101" i="28"/>
  <c r="BG101" i="28" s="1"/>
  <c r="AM101" i="28"/>
  <c r="BH101" i="28" s="1"/>
  <c r="AN101" i="28"/>
  <c r="BI101" i="28" s="1"/>
  <c r="AO101" i="28"/>
  <c r="BJ101" i="28" s="1"/>
  <c r="AP101" i="28"/>
  <c r="BK101" i="28" s="1"/>
  <c r="AQ101" i="28"/>
  <c r="BL101" i="28" s="1"/>
  <c r="AR101" i="28"/>
  <c r="BM101" i="28" s="1"/>
  <c r="Y102" i="28"/>
  <c r="AT102" i="28" s="1"/>
  <c r="AA102" i="28"/>
  <c r="AV102" i="28" s="1"/>
  <c r="AB102" i="28"/>
  <c r="AW102" i="28" s="1"/>
  <c r="AC102" i="28"/>
  <c r="AX102" i="28" s="1"/>
  <c r="AD102" i="28"/>
  <c r="AY102" i="28" s="1"/>
  <c r="AE102" i="28"/>
  <c r="AZ102" i="28" s="1"/>
  <c r="AF102" i="28"/>
  <c r="BA102" i="28" s="1"/>
  <c r="AG102" i="28"/>
  <c r="BB102" i="28" s="1"/>
  <c r="AH102" i="28"/>
  <c r="BC102" i="28" s="1"/>
  <c r="AI102" i="28"/>
  <c r="BD102" i="28" s="1"/>
  <c r="AJ102" i="28"/>
  <c r="BE102" i="28" s="1"/>
  <c r="AK102" i="28"/>
  <c r="BF102" i="28" s="1"/>
  <c r="AL102" i="28"/>
  <c r="BG102" i="28" s="1"/>
  <c r="AM102" i="28"/>
  <c r="BH102" i="28" s="1"/>
  <c r="AN102" i="28"/>
  <c r="BI102" i="28" s="1"/>
  <c r="AO102" i="28"/>
  <c r="BJ102" i="28" s="1"/>
  <c r="AP102" i="28"/>
  <c r="BK102" i="28" s="1"/>
  <c r="AQ102" i="28"/>
  <c r="BL102" i="28" s="1"/>
  <c r="AR102" i="28"/>
  <c r="BM102" i="28" s="1"/>
  <c r="Y103" i="28"/>
  <c r="AT103" i="28" s="1"/>
  <c r="AA103" i="28"/>
  <c r="AV103" i="28" s="1"/>
  <c r="AB103" i="28"/>
  <c r="AW103" i="28" s="1"/>
  <c r="AC103" i="28"/>
  <c r="AX103" i="28" s="1"/>
  <c r="AD103" i="28"/>
  <c r="AY103" i="28" s="1"/>
  <c r="AE103" i="28"/>
  <c r="AZ103" i="28" s="1"/>
  <c r="AF103" i="28"/>
  <c r="BA103" i="28" s="1"/>
  <c r="AG103" i="28"/>
  <c r="BB103" i="28" s="1"/>
  <c r="AH103" i="28"/>
  <c r="BC103" i="28" s="1"/>
  <c r="AI103" i="28"/>
  <c r="BD103" i="28" s="1"/>
  <c r="AJ103" i="28"/>
  <c r="BE103" i="28" s="1"/>
  <c r="AK103" i="28"/>
  <c r="BF103" i="28" s="1"/>
  <c r="AL103" i="28"/>
  <c r="BG103" i="28" s="1"/>
  <c r="AM103" i="28"/>
  <c r="BH103" i="28" s="1"/>
  <c r="AN103" i="28"/>
  <c r="BI103" i="28" s="1"/>
  <c r="AO103" i="28"/>
  <c r="BJ103" i="28" s="1"/>
  <c r="AP103" i="28"/>
  <c r="BK103" i="28" s="1"/>
  <c r="AQ103" i="28"/>
  <c r="BL103" i="28" s="1"/>
  <c r="AR103" i="28"/>
  <c r="BM103" i="28" s="1"/>
  <c r="Y104" i="28"/>
  <c r="AT104" i="28" s="1"/>
  <c r="AA104" i="28"/>
  <c r="AV104" i="28" s="1"/>
  <c r="AB104" i="28"/>
  <c r="AW104" i="28" s="1"/>
  <c r="AC104" i="28"/>
  <c r="AX104" i="28" s="1"/>
  <c r="AD104" i="28"/>
  <c r="AY104" i="28" s="1"/>
  <c r="AE104" i="28"/>
  <c r="AZ104" i="28" s="1"/>
  <c r="AF104" i="28"/>
  <c r="BA104" i="28" s="1"/>
  <c r="AG104" i="28"/>
  <c r="BB104" i="28" s="1"/>
  <c r="AH104" i="28"/>
  <c r="BC104" i="28" s="1"/>
  <c r="AI104" i="28"/>
  <c r="BD104" i="28" s="1"/>
  <c r="AJ104" i="28"/>
  <c r="BE104" i="28" s="1"/>
  <c r="AK104" i="28"/>
  <c r="BF104" i="28" s="1"/>
  <c r="AL104" i="28"/>
  <c r="BG104" i="28" s="1"/>
  <c r="AM104" i="28"/>
  <c r="BH104" i="28" s="1"/>
  <c r="AN104" i="28"/>
  <c r="BI104" i="28" s="1"/>
  <c r="AO104" i="28"/>
  <c r="BJ104" i="28" s="1"/>
  <c r="AP104" i="28"/>
  <c r="BK104" i="28" s="1"/>
  <c r="AQ104" i="28"/>
  <c r="BL104" i="28" s="1"/>
  <c r="AR104" i="28"/>
  <c r="BM104" i="28" s="1"/>
  <c r="Y105" i="28"/>
  <c r="AT105" i="28" s="1"/>
  <c r="AA105" i="28"/>
  <c r="AV105" i="28" s="1"/>
  <c r="AB105" i="28"/>
  <c r="AW105" i="28" s="1"/>
  <c r="AC105" i="28"/>
  <c r="AX105" i="28" s="1"/>
  <c r="AD105" i="28"/>
  <c r="AY105" i="28" s="1"/>
  <c r="AE105" i="28"/>
  <c r="AZ105" i="28" s="1"/>
  <c r="AF105" i="28"/>
  <c r="BA105" i="28" s="1"/>
  <c r="AG105" i="28"/>
  <c r="BB105" i="28" s="1"/>
  <c r="AH105" i="28"/>
  <c r="BC105" i="28" s="1"/>
  <c r="AI105" i="28"/>
  <c r="BD105" i="28" s="1"/>
  <c r="AJ105" i="28"/>
  <c r="BE105" i="28" s="1"/>
  <c r="AK105" i="28"/>
  <c r="BF105" i="28" s="1"/>
  <c r="AL105" i="28"/>
  <c r="BG105" i="28" s="1"/>
  <c r="AM105" i="28"/>
  <c r="BH105" i="28" s="1"/>
  <c r="AN105" i="28"/>
  <c r="BI105" i="28" s="1"/>
  <c r="AO105" i="28"/>
  <c r="BJ105" i="28" s="1"/>
  <c r="AP105" i="28"/>
  <c r="BK105" i="28" s="1"/>
  <c r="AQ105" i="28"/>
  <c r="BL105" i="28" s="1"/>
  <c r="AR105" i="28"/>
  <c r="BM105" i="28" s="1"/>
  <c r="Y106" i="28"/>
  <c r="AT106" i="28" s="1"/>
  <c r="AA106" i="28"/>
  <c r="AV106" i="28" s="1"/>
  <c r="AB106" i="28"/>
  <c r="AW106" i="28" s="1"/>
  <c r="AC106" i="28"/>
  <c r="AX106" i="28" s="1"/>
  <c r="AD106" i="28"/>
  <c r="AY106" i="28" s="1"/>
  <c r="AE106" i="28"/>
  <c r="AZ106" i="28" s="1"/>
  <c r="AF106" i="28"/>
  <c r="BA106" i="28" s="1"/>
  <c r="AG106" i="28"/>
  <c r="BB106" i="28" s="1"/>
  <c r="AH106" i="28"/>
  <c r="BC106" i="28" s="1"/>
  <c r="AI106" i="28"/>
  <c r="BD106" i="28" s="1"/>
  <c r="AJ106" i="28"/>
  <c r="BE106" i="28" s="1"/>
  <c r="AK106" i="28"/>
  <c r="BF106" i="28" s="1"/>
  <c r="AL106" i="28"/>
  <c r="BG106" i="28" s="1"/>
  <c r="AM106" i="28"/>
  <c r="BH106" i="28" s="1"/>
  <c r="AN106" i="28"/>
  <c r="BI106" i="28" s="1"/>
  <c r="AO106" i="28"/>
  <c r="BJ106" i="28" s="1"/>
  <c r="AP106" i="28"/>
  <c r="BK106" i="28" s="1"/>
  <c r="AQ106" i="28"/>
  <c r="BL106" i="28" s="1"/>
  <c r="AR106" i="28"/>
  <c r="BM106" i="28" s="1"/>
  <c r="Y107" i="28"/>
  <c r="AT107" i="28" s="1"/>
  <c r="AA107" i="28"/>
  <c r="AV107" i="28" s="1"/>
  <c r="AB107" i="28"/>
  <c r="AW107" i="28" s="1"/>
  <c r="AC107" i="28"/>
  <c r="AX107" i="28" s="1"/>
  <c r="AD107" i="28"/>
  <c r="AY107" i="28" s="1"/>
  <c r="AE107" i="28"/>
  <c r="AZ107" i="28" s="1"/>
  <c r="AF107" i="28"/>
  <c r="BA107" i="28" s="1"/>
  <c r="AG107" i="28"/>
  <c r="BB107" i="28" s="1"/>
  <c r="AH107" i="28"/>
  <c r="BC107" i="28" s="1"/>
  <c r="AI107" i="28"/>
  <c r="BD107" i="28" s="1"/>
  <c r="AJ107" i="28"/>
  <c r="BE107" i="28" s="1"/>
  <c r="AK107" i="28"/>
  <c r="BF107" i="28" s="1"/>
  <c r="AL107" i="28"/>
  <c r="BG107" i="28" s="1"/>
  <c r="AM107" i="28"/>
  <c r="BH107" i="28" s="1"/>
  <c r="AN107" i="28"/>
  <c r="BI107" i="28" s="1"/>
  <c r="AO107" i="28"/>
  <c r="BJ107" i="28" s="1"/>
  <c r="AP107" i="28"/>
  <c r="BK107" i="28" s="1"/>
  <c r="AQ107" i="28"/>
  <c r="BL107" i="28" s="1"/>
  <c r="AR107" i="28"/>
  <c r="BM107" i="28" s="1"/>
  <c r="Y108" i="28"/>
  <c r="AT108" i="28" s="1"/>
  <c r="AA108" i="28"/>
  <c r="AV108" i="28" s="1"/>
  <c r="AB108" i="28"/>
  <c r="AW108" i="28" s="1"/>
  <c r="AC108" i="28"/>
  <c r="AX108" i="28" s="1"/>
  <c r="AD108" i="28"/>
  <c r="AY108" i="28" s="1"/>
  <c r="AE108" i="28"/>
  <c r="AZ108" i="28" s="1"/>
  <c r="AF108" i="28"/>
  <c r="BA108" i="28" s="1"/>
  <c r="AG108" i="28"/>
  <c r="BB108" i="28" s="1"/>
  <c r="AH108" i="28"/>
  <c r="BC108" i="28" s="1"/>
  <c r="AI108" i="28"/>
  <c r="BD108" i="28" s="1"/>
  <c r="AJ108" i="28"/>
  <c r="BE108" i="28" s="1"/>
  <c r="AK108" i="28"/>
  <c r="BF108" i="28" s="1"/>
  <c r="AL108" i="28"/>
  <c r="BG108" i="28" s="1"/>
  <c r="AM108" i="28"/>
  <c r="BH108" i="28" s="1"/>
  <c r="AN108" i="28"/>
  <c r="BI108" i="28" s="1"/>
  <c r="AO108" i="28"/>
  <c r="BJ108" i="28" s="1"/>
  <c r="AP108" i="28"/>
  <c r="BK108" i="28" s="1"/>
  <c r="AQ108" i="28"/>
  <c r="BL108" i="28" s="1"/>
  <c r="AR108" i="28"/>
  <c r="BM108" i="28" s="1"/>
  <c r="Y109" i="28"/>
  <c r="AT109" i="28" s="1"/>
  <c r="AA109" i="28"/>
  <c r="AV109" i="28" s="1"/>
  <c r="AB109" i="28"/>
  <c r="AW109" i="28" s="1"/>
  <c r="AC109" i="28"/>
  <c r="AX109" i="28" s="1"/>
  <c r="AD109" i="28"/>
  <c r="AY109" i="28" s="1"/>
  <c r="AE109" i="28"/>
  <c r="AZ109" i="28" s="1"/>
  <c r="AF109" i="28"/>
  <c r="BA109" i="28" s="1"/>
  <c r="AG109" i="28"/>
  <c r="BB109" i="28" s="1"/>
  <c r="AH109" i="28"/>
  <c r="BC109" i="28" s="1"/>
  <c r="AI109" i="28"/>
  <c r="BD109" i="28" s="1"/>
  <c r="AJ109" i="28"/>
  <c r="BE109" i="28" s="1"/>
  <c r="AK109" i="28"/>
  <c r="BF109" i="28" s="1"/>
  <c r="AL109" i="28"/>
  <c r="BG109" i="28" s="1"/>
  <c r="AM109" i="28"/>
  <c r="BH109" i="28" s="1"/>
  <c r="AN109" i="28"/>
  <c r="BI109" i="28" s="1"/>
  <c r="AO109" i="28"/>
  <c r="BJ109" i="28" s="1"/>
  <c r="AP109" i="28"/>
  <c r="BK109" i="28" s="1"/>
  <c r="AQ109" i="28"/>
  <c r="BL109" i="28" s="1"/>
  <c r="AR109" i="28"/>
  <c r="BM109" i="28" s="1"/>
  <c r="Y110" i="28"/>
  <c r="AT110" i="28" s="1"/>
  <c r="AA110" i="28"/>
  <c r="AV110" i="28" s="1"/>
  <c r="AB110" i="28"/>
  <c r="AW110" i="28" s="1"/>
  <c r="AC110" i="28"/>
  <c r="AX110" i="28" s="1"/>
  <c r="AD110" i="28"/>
  <c r="AY110" i="28" s="1"/>
  <c r="AE110" i="28"/>
  <c r="AZ110" i="28" s="1"/>
  <c r="AF110" i="28"/>
  <c r="BA110" i="28" s="1"/>
  <c r="AG110" i="28"/>
  <c r="BB110" i="28" s="1"/>
  <c r="AH110" i="28"/>
  <c r="BC110" i="28" s="1"/>
  <c r="AI110" i="28"/>
  <c r="BD110" i="28" s="1"/>
  <c r="AJ110" i="28"/>
  <c r="BE110" i="28" s="1"/>
  <c r="AK110" i="28"/>
  <c r="BF110" i="28" s="1"/>
  <c r="AL110" i="28"/>
  <c r="BG110" i="28" s="1"/>
  <c r="AM110" i="28"/>
  <c r="BH110" i="28" s="1"/>
  <c r="AN110" i="28"/>
  <c r="BI110" i="28" s="1"/>
  <c r="AO110" i="28"/>
  <c r="BJ110" i="28" s="1"/>
  <c r="AP110" i="28"/>
  <c r="BK110" i="28" s="1"/>
  <c r="AQ110" i="28"/>
  <c r="BL110" i="28" s="1"/>
  <c r="AR110" i="28"/>
  <c r="BM110" i="28" s="1"/>
  <c r="Y111" i="28"/>
  <c r="AT111" i="28" s="1"/>
  <c r="AA111" i="28"/>
  <c r="AV111" i="28" s="1"/>
  <c r="AB111" i="28"/>
  <c r="AW111" i="28" s="1"/>
  <c r="AC111" i="28"/>
  <c r="AX111" i="28" s="1"/>
  <c r="AD111" i="28"/>
  <c r="AY111" i="28" s="1"/>
  <c r="AE111" i="28"/>
  <c r="AZ111" i="28" s="1"/>
  <c r="AF111" i="28"/>
  <c r="BA111" i="28" s="1"/>
  <c r="AG111" i="28"/>
  <c r="BB111" i="28" s="1"/>
  <c r="AH111" i="28"/>
  <c r="BC111" i="28" s="1"/>
  <c r="AI111" i="28"/>
  <c r="BD111" i="28" s="1"/>
  <c r="AJ111" i="28"/>
  <c r="BE111" i="28" s="1"/>
  <c r="AK111" i="28"/>
  <c r="BF111" i="28" s="1"/>
  <c r="AL111" i="28"/>
  <c r="BG111" i="28" s="1"/>
  <c r="AM111" i="28"/>
  <c r="BH111" i="28" s="1"/>
  <c r="AN111" i="28"/>
  <c r="BI111" i="28" s="1"/>
  <c r="AO111" i="28"/>
  <c r="BJ111" i="28" s="1"/>
  <c r="AP111" i="28"/>
  <c r="BK111" i="28" s="1"/>
  <c r="AQ111" i="28"/>
  <c r="BL111" i="28" s="1"/>
  <c r="AR111" i="28"/>
  <c r="BM111" i="28" s="1"/>
  <c r="Y112" i="28"/>
  <c r="AT112" i="28" s="1"/>
  <c r="AA112" i="28"/>
  <c r="AV112" i="28" s="1"/>
  <c r="AB112" i="28"/>
  <c r="AW112" i="28" s="1"/>
  <c r="AC112" i="28"/>
  <c r="AX112" i="28" s="1"/>
  <c r="AD112" i="28"/>
  <c r="AY112" i="28" s="1"/>
  <c r="AE112" i="28"/>
  <c r="AZ112" i="28" s="1"/>
  <c r="AF112" i="28"/>
  <c r="BA112" i="28" s="1"/>
  <c r="AG112" i="28"/>
  <c r="BB112" i="28" s="1"/>
  <c r="AH112" i="28"/>
  <c r="BC112" i="28" s="1"/>
  <c r="AI112" i="28"/>
  <c r="BD112" i="28" s="1"/>
  <c r="AJ112" i="28"/>
  <c r="BE112" i="28" s="1"/>
  <c r="AK112" i="28"/>
  <c r="BF112" i="28" s="1"/>
  <c r="AL112" i="28"/>
  <c r="BG112" i="28" s="1"/>
  <c r="AM112" i="28"/>
  <c r="BH112" i="28" s="1"/>
  <c r="AN112" i="28"/>
  <c r="BI112" i="28" s="1"/>
  <c r="AO112" i="28"/>
  <c r="BJ112" i="28" s="1"/>
  <c r="AP112" i="28"/>
  <c r="BK112" i="28" s="1"/>
  <c r="AQ112" i="28"/>
  <c r="BL112" i="28" s="1"/>
  <c r="AR112" i="28"/>
  <c r="BM112" i="28" s="1"/>
  <c r="Y113" i="28"/>
  <c r="AT113" i="28" s="1"/>
  <c r="AA113" i="28"/>
  <c r="AV113" i="28" s="1"/>
  <c r="AB113" i="28"/>
  <c r="AW113" i="28" s="1"/>
  <c r="AC113" i="28"/>
  <c r="AX113" i="28" s="1"/>
  <c r="AD113" i="28"/>
  <c r="AY113" i="28" s="1"/>
  <c r="AE113" i="28"/>
  <c r="AZ113" i="28" s="1"/>
  <c r="AF113" i="28"/>
  <c r="BA113" i="28" s="1"/>
  <c r="AG113" i="28"/>
  <c r="BB113" i="28" s="1"/>
  <c r="AH113" i="28"/>
  <c r="BC113" i="28" s="1"/>
  <c r="AI113" i="28"/>
  <c r="BD113" i="28" s="1"/>
  <c r="AJ113" i="28"/>
  <c r="BE113" i="28" s="1"/>
  <c r="AK113" i="28"/>
  <c r="BF113" i="28" s="1"/>
  <c r="AL113" i="28"/>
  <c r="BG113" i="28" s="1"/>
  <c r="AM113" i="28"/>
  <c r="BH113" i="28" s="1"/>
  <c r="AN113" i="28"/>
  <c r="BI113" i="28" s="1"/>
  <c r="AO113" i="28"/>
  <c r="BJ113" i="28" s="1"/>
  <c r="AP113" i="28"/>
  <c r="BK113" i="28" s="1"/>
  <c r="AQ113" i="28"/>
  <c r="BL113" i="28" s="1"/>
  <c r="AR113" i="28"/>
  <c r="BM113" i="28" s="1"/>
  <c r="Y114" i="28"/>
  <c r="AT114" i="28" s="1"/>
  <c r="AA114" i="28"/>
  <c r="AV114" i="28" s="1"/>
  <c r="AB114" i="28"/>
  <c r="AW114" i="28" s="1"/>
  <c r="AC114" i="28"/>
  <c r="AX114" i="28" s="1"/>
  <c r="AD114" i="28"/>
  <c r="AY114" i="28" s="1"/>
  <c r="AE114" i="28"/>
  <c r="AZ114" i="28" s="1"/>
  <c r="AF114" i="28"/>
  <c r="BA114" i="28" s="1"/>
  <c r="AG114" i="28"/>
  <c r="BB114" i="28" s="1"/>
  <c r="AH114" i="28"/>
  <c r="BC114" i="28" s="1"/>
  <c r="AI114" i="28"/>
  <c r="BD114" i="28" s="1"/>
  <c r="AJ114" i="28"/>
  <c r="BE114" i="28" s="1"/>
  <c r="AK114" i="28"/>
  <c r="BF114" i="28" s="1"/>
  <c r="AL114" i="28"/>
  <c r="BG114" i="28" s="1"/>
  <c r="AM114" i="28"/>
  <c r="BH114" i="28" s="1"/>
  <c r="AN114" i="28"/>
  <c r="BI114" i="28" s="1"/>
  <c r="AO114" i="28"/>
  <c r="BJ114" i="28" s="1"/>
  <c r="AP114" i="28"/>
  <c r="BK114" i="28" s="1"/>
  <c r="AQ114" i="28"/>
  <c r="BL114" i="28" s="1"/>
  <c r="AR114" i="28"/>
  <c r="BM114" i="28" s="1"/>
  <c r="Y115" i="28"/>
  <c r="AT115" i="28" s="1"/>
  <c r="AA115" i="28"/>
  <c r="AV115" i="28" s="1"/>
  <c r="AB115" i="28"/>
  <c r="AW115" i="28" s="1"/>
  <c r="AC115" i="28"/>
  <c r="AX115" i="28" s="1"/>
  <c r="AD115" i="28"/>
  <c r="AY115" i="28" s="1"/>
  <c r="AE115" i="28"/>
  <c r="AZ115" i="28" s="1"/>
  <c r="AF115" i="28"/>
  <c r="BA115" i="28" s="1"/>
  <c r="AG115" i="28"/>
  <c r="BB115" i="28" s="1"/>
  <c r="AH115" i="28"/>
  <c r="BC115" i="28" s="1"/>
  <c r="AI115" i="28"/>
  <c r="BD115" i="28" s="1"/>
  <c r="AJ115" i="28"/>
  <c r="BE115" i="28" s="1"/>
  <c r="AK115" i="28"/>
  <c r="BF115" i="28" s="1"/>
  <c r="AL115" i="28"/>
  <c r="BG115" i="28" s="1"/>
  <c r="AM115" i="28"/>
  <c r="BH115" i="28" s="1"/>
  <c r="AN115" i="28"/>
  <c r="BI115" i="28" s="1"/>
  <c r="AO115" i="28"/>
  <c r="BJ115" i="28" s="1"/>
  <c r="AP115" i="28"/>
  <c r="BK115" i="28" s="1"/>
  <c r="AQ115" i="28"/>
  <c r="BL115" i="28" s="1"/>
  <c r="AR115" i="28"/>
  <c r="BM115" i="28" s="1"/>
  <c r="Y116" i="28"/>
  <c r="AT116" i="28" s="1"/>
  <c r="AA116" i="28"/>
  <c r="AV116" i="28" s="1"/>
  <c r="AB116" i="28"/>
  <c r="AW116" i="28" s="1"/>
  <c r="AC116" i="28"/>
  <c r="AX116" i="28" s="1"/>
  <c r="AD116" i="28"/>
  <c r="AY116" i="28" s="1"/>
  <c r="AE116" i="28"/>
  <c r="AZ116" i="28" s="1"/>
  <c r="AF116" i="28"/>
  <c r="BA116" i="28" s="1"/>
  <c r="AG116" i="28"/>
  <c r="BB116" i="28" s="1"/>
  <c r="AH116" i="28"/>
  <c r="BC116" i="28" s="1"/>
  <c r="AI116" i="28"/>
  <c r="BD116" i="28" s="1"/>
  <c r="AJ116" i="28"/>
  <c r="BE116" i="28" s="1"/>
  <c r="AK116" i="28"/>
  <c r="BF116" i="28" s="1"/>
  <c r="AL116" i="28"/>
  <c r="BG116" i="28" s="1"/>
  <c r="AM116" i="28"/>
  <c r="BH116" i="28" s="1"/>
  <c r="AN116" i="28"/>
  <c r="BI116" i="28" s="1"/>
  <c r="AO116" i="28"/>
  <c r="BJ116" i="28" s="1"/>
  <c r="AP116" i="28"/>
  <c r="BK116" i="28" s="1"/>
  <c r="AQ116" i="28"/>
  <c r="BL116" i="28" s="1"/>
  <c r="AR116" i="28"/>
  <c r="BM116" i="28" s="1"/>
  <c r="Y117" i="28"/>
  <c r="AT117" i="28" s="1"/>
  <c r="AA117" i="28"/>
  <c r="AV117" i="28" s="1"/>
  <c r="AB117" i="28"/>
  <c r="AW117" i="28" s="1"/>
  <c r="AC117" i="28"/>
  <c r="AX117" i="28" s="1"/>
  <c r="AD117" i="28"/>
  <c r="AY117" i="28" s="1"/>
  <c r="AE117" i="28"/>
  <c r="AZ117" i="28" s="1"/>
  <c r="AF117" i="28"/>
  <c r="BA117" i="28" s="1"/>
  <c r="AG117" i="28"/>
  <c r="BB117" i="28" s="1"/>
  <c r="AH117" i="28"/>
  <c r="BC117" i="28" s="1"/>
  <c r="AI117" i="28"/>
  <c r="BD117" i="28" s="1"/>
  <c r="AJ117" i="28"/>
  <c r="BE117" i="28" s="1"/>
  <c r="AK117" i="28"/>
  <c r="BF117" i="28" s="1"/>
  <c r="AL117" i="28"/>
  <c r="BG117" i="28" s="1"/>
  <c r="AM117" i="28"/>
  <c r="BH117" i="28" s="1"/>
  <c r="AN117" i="28"/>
  <c r="BI117" i="28" s="1"/>
  <c r="AO117" i="28"/>
  <c r="BJ117" i="28" s="1"/>
  <c r="AP117" i="28"/>
  <c r="BK117" i="28" s="1"/>
  <c r="AQ117" i="28"/>
  <c r="BL117" i="28" s="1"/>
  <c r="AR117" i="28"/>
  <c r="BM117" i="28" s="1"/>
  <c r="Y118" i="28"/>
  <c r="AT118" i="28" s="1"/>
  <c r="AA118" i="28"/>
  <c r="AV118" i="28" s="1"/>
  <c r="AB118" i="28"/>
  <c r="AW118" i="28" s="1"/>
  <c r="AC118" i="28"/>
  <c r="AX118" i="28" s="1"/>
  <c r="AD118" i="28"/>
  <c r="AY118" i="28" s="1"/>
  <c r="AE118" i="28"/>
  <c r="AZ118" i="28" s="1"/>
  <c r="AF118" i="28"/>
  <c r="BA118" i="28" s="1"/>
  <c r="AG118" i="28"/>
  <c r="BB118" i="28" s="1"/>
  <c r="AH118" i="28"/>
  <c r="BC118" i="28" s="1"/>
  <c r="AI118" i="28"/>
  <c r="BD118" i="28" s="1"/>
  <c r="AJ118" i="28"/>
  <c r="BE118" i="28" s="1"/>
  <c r="AK118" i="28"/>
  <c r="BF118" i="28" s="1"/>
  <c r="AL118" i="28"/>
  <c r="BG118" i="28" s="1"/>
  <c r="AM118" i="28"/>
  <c r="BH118" i="28" s="1"/>
  <c r="AN118" i="28"/>
  <c r="BI118" i="28" s="1"/>
  <c r="AO118" i="28"/>
  <c r="BJ118" i="28" s="1"/>
  <c r="AP118" i="28"/>
  <c r="BK118" i="28" s="1"/>
  <c r="AQ118" i="28"/>
  <c r="BL118" i="28" s="1"/>
  <c r="AR118" i="28"/>
  <c r="BM118" i="28" s="1"/>
  <c r="Y119" i="28"/>
  <c r="AT119" i="28" s="1"/>
  <c r="AA119" i="28"/>
  <c r="AV119" i="28" s="1"/>
  <c r="AB119" i="28"/>
  <c r="AW119" i="28" s="1"/>
  <c r="AC119" i="28"/>
  <c r="AX119" i="28" s="1"/>
  <c r="AD119" i="28"/>
  <c r="AY119" i="28" s="1"/>
  <c r="AE119" i="28"/>
  <c r="AZ119" i="28" s="1"/>
  <c r="AF119" i="28"/>
  <c r="BA119" i="28" s="1"/>
  <c r="AG119" i="28"/>
  <c r="BB119" i="28" s="1"/>
  <c r="AH119" i="28"/>
  <c r="BC119" i="28" s="1"/>
  <c r="AI119" i="28"/>
  <c r="BD119" i="28" s="1"/>
  <c r="AJ119" i="28"/>
  <c r="BE119" i="28" s="1"/>
  <c r="AK119" i="28"/>
  <c r="BF119" i="28" s="1"/>
  <c r="AL119" i="28"/>
  <c r="BG119" i="28" s="1"/>
  <c r="AM119" i="28"/>
  <c r="BH119" i="28" s="1"/>
  <c r="AN119" i="28"/>
  <c r="BI119" i="28" s="1"/>
  <c r="AO119" i="28"/>
  <c r="BJ119" i="28" s="1"/>
  <c r="AP119" i="28"/>
  <c r="BK119" i="28" s="1"/>
  <c r="AQ119" i="28"/>
  <c r="BL119" i="28" s="1"/>
  <c r="AR119" i="28"/>
  <c r="BM119" i="28" s="1"/>
  <c r="Y120" i="28"/>
  <c r="AT120" i="28" s="1"/>
  <c r="AA120" i="28"/>
  <c r="AV120" i="28" s="1"/>
  <c r="AB120" i="28"/>
  <c r="AW120" i="28" s="1"/>
  <c r="AC120" i="28"/>
  <c r="AX120" i="28" s="1"/>
  <c r="AD120" i="28"/>
  <c r="AY120" i="28" s="1"/>
  <c r="AE120" i="28"/>
  <c r="AZ120" i="28" s="1"/>
  <c r="AF120" i="28"/>
  <c r="BA120" i="28" s="1"/>
  <c r="AG120" i="28"/>
  <c r="BB120" i="28" s="1"/>
  <c r="AH120" i="28"/>
  <c r="BC120" i="28" s="1"/>
  <c r="AI120" i="28"/>
  <c r="BD120" i="28" s="1"/>
  <c r="AJ120" i="28"/>
  <c r="BE120" i="28" s="1"/>
  <c r="AK120" i="28"/>
  <c r="BF120" i="28" s="1"/>
  <c r="AL120" i="28"/>
  <c r="BG120" i="28" s="1"/>
  <c r="AM120" i="28"/>
  <c r="BH120" i="28" s="1"/>
  <c r="AN120" i="28"/>
  <c r="BI120" i="28" s="1"/>
  <c r="AO120" i="28"/>
  <c r="BJ120" i="28" s="1"/>
  <c r="AP120" i="28"/>
  <c r="BK120" i="28" s="1"/>
  <c r="AQ120" i="28"/>
  <c r="BL120" i="28" s="1"/>
  <c r="AR120" i="28"/>
  <c r="BM120" i="28" s="1"/>
  <c r="Y121" i="28"/>
  <c r="AT121" i="28" s="1"/>
  <c r="AA121" i="28"/>
  <c r="AV121" i="28" s="1"/>
  <c r="AB121" i="28"/>
  <c r="AW121" i="28" s="1"/>
  <c r="AC121" i="28"/>
  <c r="AX121" i="28" s="1"/>
  <c r="AD121" i="28"/>
  <c r="AY121" i="28" s="1"/>
  <c r="AE121" i="28"/>
  <c r="AZ121" i="28" s="1"/>
  <c r="AF121" i="28"/>
  <c r="BA121" i="28" s="1"/>
  <c r="AG121" i="28"/>
  <c r="BB121" i="28" s="1"/>
  <c r="AH121" i="28"/>
  <c r="BC121" i="28" s="1"/>
  <c r="AI121" i="28"/>
  <c r="BD121" i="28" s="1"/>
  <c r="AJ121" i="28"/>
  <c r="BE121" i="28" s="1"/>
  <c r="AK121" i="28"/>
  <c r="BF121" i="28" s="1"/>
  <c r="AL121" i="28"/>
  <c r="BG121" i="28" s="1"/>
  <c r="AM121" i="28"/>
  <c r="BH121" i="28" s="1"/>
  <c r="AN121" i="28"/>
  <c r="BI121" i="28" s="1"/>
  <c r="AO121" i="28"/>
  <c r="BJ121" i="28" s="1"/>
  <c r="AP121" i="28"/>
  <c r="BK121" i="28" s="1"/>
  <c r="AQ121" i="28"/>
  <c r="BL121" i="28" s="1"/>
  <c r="AR121" i="28"/>
  <c r="BM121" i="28" s="1"/>
  <c r="Y122" i="28"/>
  <c r="AT122" i="28" s="1"/>
  <c r="AA122" i="28"/>
  <c r="AV122" i="28" s="1"/>
  <c r="AB122" i="28"/>
  <c r="AW122" i="28" s="1"/>
  <c r="AC122" i="28"/>
  <c r="AX122" i="28" s="1"/>
  <c r="AD122" i="28"/>
  <c r="AY122" i="28" s="1"/>
  <c r="AE122" i="28"/>
  <c r="AZ122" i="28" s="1"/>
  <c r="AF122" i="28"/>
  <c r="BA122" i="28" s="1"/>
  <c r="AG122" i="28"/>
  <c r="BB122" i="28" s="1"/>
  <c r="AH122" i="28"/>
  <c r="BC122" i="28" s="1"/>
  <c r="AI122" i="28"/>
  <c r="BD122" i="28" s="1"/>
  <c r="AJ122" i="28"/>
  <c r="BE122" i="28" s="1"/>
  <c r="AK122" i="28"/>
  <c r="BF122" i="28" s="1"/>
  <c r="AL122" i="28"/>
  <c r="BG122" i="28" s="1"/>
  <c r="AM122" i="28"/>
  <c r="BH122" i="28" s="1"/>
  <c r="AN122" i="28"/>
  <c r="BI122" i="28" s="1"/>
  <c r="AO122" i="28"/>
  <c r="BJ122" i="28" s="1"/>
  <c r="AP122" i="28"/>
  <c r="BK122" i="28" s="1"/>
  <c r="AQ122" i="28"/>
  <c r="BL122" i="28" s="1"/>
  <c r="AR122" i="28"/>
  <c r="BM122" i="28" s="1"/>
  <c r="Y123" i="28"/>
  <c r="AT123" i="28" s="1"/>
  <c r="AA123" i="28"/>
  <c r="AV123" i="28" s="1"/>
  <c r="AB123" i="28"/>
  <c r="AW123" i="28" s="1"/>
  <c r="AC123" i="28"/>
  <c r="AX123" i="28" s="1"/>
  <c r="AD123" i="28"/>
  <c r="AY123" i="28" s="1"/>
  <c r="AE123" i="28"/>
  <c r="AZ123" i="28" s="1"/>
  <c r="AF123" i="28"/>
  <c r="BA123" i="28" s="1"/>
  <c r="AG123" i="28"/>
  <c r="BB123" i="28" s="1"/>
  <c r="AH123" i="28"/>
  <c r="BC123" i="28" s="1"/>
  <c r="AI123" i="28"/>
  <c r="BD123" i="28" s="1"/>
  <c r="AJ123" i="28"/>
  <c r="BE123" i="28" s="1"/>
  <c r="AK123" i="28"/>
  <c r="BF123" i="28" s="1"/>
  <c r="AL123" i="28"/>
  <c r="BG123" i="28" s="1"/>
  <c r="AM123" i="28"/>
  <c r="BH123" i="28" s="1"/>
  <c r="AN123" i="28"/>
  <c r="BI123" i="28" s="1"/>
  <c r="AO123" i="28"/>
  <c r="BJ123" i="28" s="1"/>
  <c r="AP123" i="28"/>
  <c r="BK123" i="28" s="1"/>
  <c r="AQ123" i="28"/>
  <c r="BL123" i="28" s="1"/>
  <c r="AR123" i="28"/>
  <c r="BM123" i="28" s="1"/>
  <c r="Y124" i="28"/>
  <c r="AT124" i="28" s="1"/>
  <c r="AA124" i="28"/>
  <c r="AV124" i="28" s="1"/>
  <c r="AB124" i="28"/>
  <c r="AW124" i="28" s="1"/>
  <c r="AC124" i="28"/>
  <c r="AX124" i="28" s="1"/>
  <c r="AD124" i="28"/>
  <c r="AY124" i="28" s="1"/>
  <c r="AE124" i="28"/>
  <c r="AZ124" i="28" s="1"/>
  <c r="AF124" i="28"/>
  <c r="BA124" i="28" s="1"/>
  <c r="AG124" i="28"/>
  <c r="BB124" i="28" s="1"/>
  <c r="AH124" i="28"/>
  <c r="BC124" i="28" s="1"/>
  <c r="AI124" i="28"/>
  <c r="BD124" i="28" s="1"/>
  <c r="AJ124" i="28"/>
  <c r="BE124" i="28" s="1"/>
  <c r="AK124" i="28"/>
  <c r="BF124" i="28" s="1"/>
  <c r="AL124" i="28"/>
  <c r="BG124" i="28" s="1"/>
  <c r="AM124" i="28"/>
  <c r="BH124" i="28" s="1"/>
  <c r="AN124" i="28"/>
  <c r="BI124" i="28" s="1"/>
  <c r="AO124" i="28"/>
  <c r="BJ124" i="28" s="1"/>
  <c r="AP124" i="28"/>
  <c r="BK124" i="28" s="1"/>
  <c r="AQ124" i="28"/>
  <c r="BL124" i="28" s="1"/>
  <c r="AR124" i="28"/>
  <c r="BM124" i="28" s="1"/>
  <c r="Y125" i="28"/>
  <c r="AT125" i="28" s="1"/>
  <c r="AA125" i="28"/>
  <c r="AV125" i="28" s="1"/>
  <c r="AB125" i="28"/>
  <c r="AW125" i="28" s="1"/>
  <c r="AC125" i="28"/>
  <c r="AX125" i="28" s="1"/>
  <c r="AD125" i="28"/>
  <c r="AY125" i="28" s="1"/>
  <c r="AE125" i="28"/>
  <c r="AZ125" i="28" s="1"/>
  <c r="AF125" i="28"/>
  <c r="BA125" i="28" s="1"/>
  <c r="AG125" i="28"/>
  <c r="BB125" i="28" s="1"/>
  <c r="AH125" i="28"/>
  <c r="BC125" i="28" s="1"/>
  <c r="AI125" i="28"/>
  <c r="BD125" i="28" s="1"/>
  <c r="AJ125" i="28"/>
  <c r="BE125" i="28" s="1"/>
  <c r="AK125" i="28"/>
  <c r="BF125" i="28" s="1"/>
  <c r="AL125" i="28"/>
  <c r="BG125" i="28" s="1"/>
  <c r="AM125" i="28"/>
  <c r="BH125" i="28" s="1"/>
  <c r="AN125" i="28"/>
  <c r="BI125" i="28" s="1"/>
  <c r="AO125" i="28"/>
  <c r="BJ125" i="28" s="1"/>
  <c r="AP125" i="28"/>
  <c r="BK125" i="28" s="1"/>
  <c r="AQ125" i="28"/>
  <c r="BL125" i="28" s="1"/>
  <c r="AR125" i="28"/>
  <c r="BM125" i="28" s="1"/>
  <c r="Y126" i="28"/>
  <c r="AT126" i="28" s="1"/>
  <c r="AA126" i="28"/>
  <c r="AV126" i="28" s="1"/>
  <c r="AB126" i="28"/>
  <c r="AW126" i="28" s="1"/>
  <c r="AC126" i="28"/>
  <c r="AX126" i="28" s="1"/>
  <c r="AD126" i="28"/>
  <c r="AY126" i="28" s="1"/>
  <c r="AE126" i="28"/>
  <c r="AZ126" i="28" s="1"/>
  <c r="AF126" i="28"/>
  <c r="BA126" i="28" s="1"/>
  <c r="AG126" i="28"/>
  <c r="BB126" i="28" s="1"/>
  <c r="AH126" i="28"/>
  <c r="BC126" i="28" s="1"/>
  <c r="AI126" i="28"/>
  <c r="BD126" i="28" s="1"/>
  <c r="AJ126" i="28"/>
  <c r="BE126" i="28" s="1"/>
  <c r="AK126" i="28"/>
  <c r="BF126" i="28" s="1"/>
  <c r="AL126" i="28"/>
  <c r="BG126" i="28" s="1"/>
  <c r="AM126" i="28"/>
  <c r="BH126" i="28" s="1"/>
  <c r="AN126" i="28"/>
  <c r="BI126" i="28" s="1"/>
  <c r="AO126" i="28"/>
  <c r="BJ126" i="28" s="1"/>
  <c r="AP126" i="28"/>
  <c r="BK126" i="28" s="1"/>
  <c r="AQ126" i="28"/>
  <c r="BL126" i="28" s="1"/>
  <c r="AR126" i="28"/>
  <c r="BM126" i="28" s="1"/>
  <c r="Y127" i="28"/>
  <c r="AT127" i="28" s="1"/>
  <c r="AA127" i="28"/>
  <c r="AV127" i="28" s="1"/>
  <c r="AB127" i="28"/>
  <c r="AW127" i="28" s="1"/>
  <c r="AC127" i="28"/>
  <c r="AX127" i="28" s="1"/>
  <c r="AD127" i="28"/>
  <c r="AY127" i="28" s="1"/>
  <c r="AE127" i="28"/>
  <c r="AZ127" i="28" s="1"/>
  <c r="AF127" i="28"/>
  <c r="BA127" i="28" s="1"/>
  <c r="AG127" i="28"/>
  <c r="BB127" i="28" s="1"/>
  <c r="AH127" i="28"/>
  <c r="BC127" i="28" s="1"/>
  <c r="AI127" i="28"/>
  <c r="BD127" i="28" s="1"/>
  <c r="AJ127" i="28"/>
  <c r="BE127" i="28" s="1"/>
  <c r="AK127" i="28"/>
  <c r="BF127" i="28" s="1"/>
  <c r="AL127" i="28"/>
  <c r="BG127" i="28" s="1"/>
  <c r="AM127" i="28"/>
  <c r="BH127" i="28" s="1"/>
  <c r="AN127" i="28"/>
  <c r="BI127" i="28" s="1"/>
  <c r="AO127" i="28"/>
  <c r="BJ127" i="28" s="1"/>
  <c r="AP127" i="28"/>
  <c r="BK127" i="28" s="1"/>
  <c r="AQ127" i="28"/>
  <c r="BL127" i="28" s="1"/>
  <c r="AR127" i="28"/>
  <c r="BM127" i="28" s="1"/>
  <c r="Y128" i="28"/>
  <c r="AT128" i="28" s="1"/>
  <c r="AA128" i="28"/>
  <c r="AV128" i="28" s="1"/>
  <c r="AB128" i="28"/>
  <c r="AW128" i="28" s="1"/>
  <c r="AC128" i="28"/>
  <c r="AX128" i="28" s="1"/>
  <c r="AD128" i="28"/>
  <c r="AY128" i="28" s="1"/>
  <c r="AE128" i="28"/>
  <c r="AZ128" i="28" s="1"/>
  <c r="AF128" i="28"/>
  <c r="BA128" i="28" s="1"/>
  <c r="AG128" i="28"/>
  <c r="BB128" i="28" s="1"/>
  <c r="AH128" i="28"/>
  <c r="BC128" i="28" s="1"/>
  <c r="AI128" i="28"/>
  <c r="BD128" i="28" s="1"/>
  <c r="AJ128" i="28"/>
  <c r="BE128" i="28" s="1"/>
  <c r="AK128" i="28"/>
  <c r="BF128" i="28" s="1"/>
  <c r="AL128" i="28"/>
  <c r="BG128" i="28" s="1"/>
  <c r="AM128" i="28"/>
  <c r="BH128" i="28" s="1"/>
  <c r="AN128" i="28"/>
  <c r="BI128" i="28" s="1"/>
  <c r="AO128" i="28"/>
  <c r="BJ128" i="28" s="1"/>
  <c r="AP128" i="28"/>
  <c r="BK128" i="28" s="1"/>
  <c r="AQ128" i="28"/>
  <c r="BL128" i="28" s="1"/>
  <c r="AR128" i="28"/>
  <c r="BM128" i="28" s="1"/>
  <c r="Y129" i="28"/>
  <c r="AT129" i="28" s="1"/>
  <c r="AA129" i="28"/>
  <c r="AV129" i="28" s="1"/>
  <c r="AB129" i="28"/>
  <c r="AW129" i="28" s="1"/>
  <c r="AC129" i="28"/>
  <c r="AX129" i="28" s="1"/>
  <c r="AD129" i="28"/>
  <c r="AY129" i="28" s="1"/>
  <c r="AE129" i="28"/>
  <c r="AZ129" i="28" s="1"/>
  <c r="AF129" i="28"/>
  <c r="BA129" i="28" s="1"/>
  <c r="AG129" i="28"/>
  <c r="BB129" i="28" s="1"/>
  <c r="AH129" i="28"/>
  <c r="BC129" i="28" s="1"/>
  <c r="AI129" i="28"/>
  <c r="BD129" i="28" s="1"/>
  <c r="AJ129" i="28"/>
  <c r="BE129" i="28" s="1"/>
  <c r="AK129" i="28"/>
  <c r="BF129" i="28" s="1"/>
  <c r="AL129" i="28"/>
  <c r="BG129" i="28" s="1"/>
  <c r="AM129" i="28"/>
  <c r="BH129" i="28" s="1"/>
  <c r="AN129" i="28"/>
  <c r="BI129" i="28" s="1"/>
  <c r="AO129" i="28"/>
  <c r="BJ129" i="28" s="1"/>
  <c r="AP129" i="28"/>
  <c r="BK129" i="28" s="1"/>
  <c r="AQ129" i="28"/>
  <c r="BL129" i="28" s="1"/>
  <c r="AR129" i="28"/>
  <c r="BM129" i="28" s="1"/>
  <c r="Y130" i="28"/>
  <c r="AT130" i="28" s="1"/>
  <c r="AA130" i="28"/>
  <c r="AV130" i="28" s="1"/>
  <c r="AB130" i="28"/>
  <c r="AW130" i="28" s="1"/>
  <c r="AC130" i="28"/>
  <c r="AX130" i="28" s="1"/>
  <c r="AD130" i="28"/>
  <c r="AY130" i="28" s="1"/>
  <c r="AE130" i="28"/>
  <c r="AZ130" i="28" s="1"/>
  <c r="AF130" i="28"/>
  <c r="BA130" i="28" s="1"/>
  <c r="AG130" i="28"/>
  <c r="BB130" i="28" s="1"/>
  <c r="AH130" i="28"/>
  <c r="BC130" i="28" s="1"/>
  <c r="AI130" i="28"/>
  <c r="BD130" i="28" s="1"/>
  <c r="AJ130" i="28"/>
  <c r="BE130" i="28" s="1"/>
  <c r="AK130" i="28"/>
  <c r="BF130" i="28" s="1"/>
  <c r="AL130" i="28"/>
  <c r="BG130" i="28" s="1"/>
  <c r="AM130" i="28"/>
  <c r="BH130" i="28" s="1"/>
  <c r="AN130" i="28"/>
  <c r="BI130" i="28" s="1"/>
  <c r="AO130" i="28"/>
  <c r="BJ130" i="28" s="1"/>
  <c r="AP130" i="28"/>
  <c r="BK130" i="28" s="1"/>
  <c r="AQ130" i="28"/>
  <c r="BL130" i="28" s="1"/>
  <c r="AR130" i="28"/>
  <c r="BM130" i="28" s="1"/>
  <c r="Y131" i="28"/>
  <c r="AT131" i="28" s="1"/>
  <c r="AA131" i="28"/>
  <c r="AV131" i="28" s="1"/>
  <c r="AB131" i="28"/>
  <c r="AW131" i="28" s="1"/>
  <c r="AC131" i="28"/>
  <c r="AX131" i="28" s="1"/>
  <c r="AD131" i="28"/>
  <c r="AY131" i="28" s="1"/>
  <c r="AE131" i="28"/>
  <c r="AZ131" i="28" s="1"/>
  <c r="AF131" i="28"/>
  <c r="BA131" i="28" s="1"/>
  <c r="AG131" i="28"/>
  <c r="BB131" i="28" s="1"/>
  <c r="AH131" i="28"/>
  <c r="BC131" i="28" s="1"/>
  <c r="AI131" i="28"/>
  <c r="BD131" i="28" s="1"/>
  <c r="AJ131" i="28"/>
  <c r="BE131" i="28" s="1"/>
  <c r="AK131" i="28"/>
  <c r="BF131" i="28" s="1"/>
  <c r="AL131" i="28"/>
  <c r="BG131" i="28" s="1"/>
  <c r="AM131" i="28"/>
  <c r="BH131" i="28" s="1"/>
  <c r="AN131" i="28"/>
  <c r="BI131" i="28" s="1"/>
  <c r="AO131" i="28"/>
  <c r="BJ131" i="28" s="1"/>
  <c r="AP131" i="28"/>
  <c r="BK131" i="28" s="1"/>
  <c r="AQ131" i="28"/>
  <c r="BL131" i="28" s="1"/>
  <c r="AR131" i="28"/>
  <c r="BM131" i="28" s="1"/>
  <c r="Y132" i="28"/>
  <c r="AT132" i="28" s="1"/>
  <c r="AA132" i="28"/>
  <c r="AV132" i="28" s="1"/>
  <c r="AB132" i="28"/>
  <c r="AW132" i="28" s="1"/>
  <c r="AC132" i="28"/>
  <c r="AX132" i="28" s="1"/>
  <c r="AD132" i="28"/>
  <c r="AY132" i="28" s="1"/>
  <c r="AE132" i="28"/>
  <c r="AZ132" i="28" s="1"/>
  <c r="AF132" i="28"/>
  <c r="BA132" i="28" s="1"/>
  <c r="AG132" i="28"/>
  <c r="BB132" i="28" s="1"/>
  <c r="AH132" i="28"/>
  <c r="BC132" i="28" s="1"/>
  <c r="AI132" i="28"/>
  <c r="BD132" i="28" s="1"/>
  <c r="AJ132" i="28"/>
  <c r="BE132" i="28" s="1"/>
  <c r="AK132" i="28"/>
  <c r="BF132" i="28" s="1"/>
  <c r="AL132" i="28"/>
  <c r="BG132" i="28" s="1"/>
  <c r="AM132" i="28"/>
  <c r="BH132" i="28" s="1"/>
  <c r="AN132" i="28"/>
  <c r="BI132" i="28" s="1"/>
  <c r="AO132" i="28"/>
  <c r="BJ132" i="28" s="1"/>
  <c r="AP132" i="28"/>
  <c r="BK132" i="28" s="1"/>
  <c r="AQ132" i="28"/>
  <c r="BL132" i="28" s="1"/>
  <c r="AR132" i="28"/>
  <c r="BM132" i="28" s="1"/>
  <c r="Y133" i="28"/>
  <c r="AT133" i="28" s="1"/>
  <c r="AA133" i="28"/>
  <c r="AV133" i="28" s="1"/>
  <c r="AB133" i="28"/>
  <c r="AW133" i="28" s="1"/>
  <c r="AC133" i="28"/>
  <c r="AX133" i="28" s="1"/>
  <c r="AD133" i="28"/>
  <c r="AY133" i="28" s="1"/>
  <c r="AE133" i="28"/>
  <c r="AZ133" i="28" s="1"/>
  <c r="AF133" i="28"/>
  <c r="BA133" i="28" s="1"/>
  <c r="AG133" i="28"/>
  <c r="BB133" i="28" s="1"/>
  <c r="AH133" i="28"/>
  <c r="BC133" i="28" s="1"/>
  <c r="AI133" i="28"/>
  <c r="BD133" i="28" s="1"/>
  <c r="AJ133" i="28"/>
  <c r="BE133" i="28" s="1"/>
  <c r="AK133" i="28"/>
  <c r="BF133" i="28" s="1"/>
  <c r="AL133" i="28"/>
  <c r="BG133" i="28" s="1"/>
  <c r="AM133" i="28"/>
  <c r="BH133" i="28" s="1"/>
  <c r="AN133" i="28"/>
  <c r="BI133" i="28" s="1"/>
  <c r="AO133" i="28"/>
  <c r="BJ133" i="28" s="1"/>
  <c r="AP133" i="28"/>
  <c r="BK133" i="28" s="1"/>
  <c r="AQ133" i="28"/>
  <c r="BL133" i="28" s="1"/>
  <c r="AR133" i="28"/>
  <c r="BM133" i="28" s="1"/>
  <c r="Y134" i="28"/>
  <c r="AT134" i="28" s="1"/>
  <c r="AA134" i="28"/>
  <c r="AV134" i="28" s="1"/>
  <c r="AB134" i="28"/>
  <c r="AW134" i="28" s="1"/>
  <c r="AC134" i="28"/>
  <c r="AX134" i="28" s="1"/>
  <c r="AD134" i="28"/>
  <c r="AY134" i="28" s="1"/>
  <c r="AE134" i="28"/>
  <c r="AZ134" i="28" s="1"/>
  <c r="AF134" i="28"/>
  <c r="BA134" i="28" s="1"/>
  <c r="AG134" i="28"/>
  <c r="BB134" i="28" s="1"/>
  <c r="AH134" i="28"/>
  <c r="BC134" i="28" s="1"/>
  <c r="AI134" i="28"/>
  <c r="BD134" i="28" s="1"/>
  <c r="AJ134" i="28"/>
  <c r="BE134" i="28" s="1"/>
  <c r="AK134" i="28"/>
  <c r="BF134" i="28" s="1"/>
  <c r="AL134" i="28"/>
  <c r="BG134" i="28" s="1"/>
  <c r="AM134" i="28"/>
  <c r="BH134" i="28" s="1"/>
  <c r="AN134" i="28"/>
  <c r="BI134" i="28" s="1"/>
  <c r="AO134" i="28"/>
  <c r="BJ134" i="28" s="1"/>
  <c r="AP134" i="28"/>
  <c r="BK134" i="28" s="1"/>
  <c r="AQ134" i="28"/>
  <c r="BL134" i="28" s="1"/>
  <c r="AR134" i="28"/>
  <c r="BM134" i="28" s="1"/>
  <c r="Y135" i="28"/>
  <c r="AT135" i="28" s="1"/>
  <c r="AA135" i="28"/>
  <c r="AV135" i="28" s="1"/>
  <c r="AB135" i="28"/>
  <c r="AW135" i="28" s="1"/>
  <c r="AC135" i="28"/>
  <c r="AX135" i="28" s="1"/>
  <c r="AD135" i="28"/>
  <c r="AY135" i="28" s="1"/>
  <c r="AE135" i="28"/>
  <c r="AZ135" i="28" s="1"/>
  <c r="AF135" i="28"/>
  <c r="BA135" i="28" s="1"/>
  <c r="AG135" i="28"/>
  <c r="BB135" i="28" s="1"/>
  <c r="AH135" i="28"/>
  <c r="BC135" i="28" s="1"/>
  <c r="AI135" i="28"/>
  <c r="BD135" i="28" s="1"/>
  <c r="AJ135" i="28"/>
  <c r="BE135" i="28" s="1"/>
  <c r="AK135" i="28"/>
  <c r="BF135" i="28" s="1"/>
  <c r="AL135" i="28"/>
  <c r="BG135" i="28" s="1"/>
  <c r="AM135" i="28"/>
  <c r="BH135" i="28" s="1"/>
  <c r="AN135" i="28"/>
  <c r="BI135" i="28" s="1"/>
  <c r="AO135" i="28"/>
  <c r="BJ135" i="28" s="1"/>
  <c r="AP135" i="28"/>
  <c r="BK135" i="28" s="1"/>
  <c r="AQ135" i="28"/>
  <c r="BL135" i="28" s="1"/>
  <c r="AR135" i="28"/>
  <c r="BM135" i="28" s="1"/>
  <c r="Y136" i="28"/>
  <c r="AT136" i="28" s="1"/>
  <c r="AA136" i="28"/>
  <c r="AV136" i="28" s="1"/>
  <c r="AB136" i="28"/>
  <c r="AW136" i="28" s="1"/>
  <c r="AC136" i="28"/>
  <c r="AX136" i="28" s="1"/>
  <c r="AD136" i="28"/>
  <c r="AY136" i="28" s="1"/>
  <c r="AE136" i="28"/>
  <c r="AZ136" i="28" s="1"/>
  <c r="AF136" i="28"/>
  <c r="BA136" i="28" s="1"/>
  <c r="AG136" i="28"/>
  <c r="BB136" i="28" s="1"/>
  <c r="AH136" i="28"/>
  <c r="BC136" i="28" s="1"/>
  <c r="AI136" i="28"/>
  <c r="BD136" i="28" s="1"/>
  <c r="AJ136" i="28"/>
  <c r="BE136" i="28" s="1"/>
  <c r="AK136" i="28"/>
  <c r="BF136" i="28" s="1"/>
  <c r="AL136" i="28"/>
  <c r="BG136" i="28" s="1"/>
  <c r="AM136" i="28"/>
  <c r="BH136" i="28" s="1"/>
  <c r="AN136" i="28"/>
  <c r="BI136" i="28" s="1"/>
  <c r="AO136" i="28"/>
  <c r="BJ136" i="28" s="1"/>
  <c r="AP136" i="28"/>
  <c r="BK136" i="28" s="1"/>
  <c r="AQ136" i="28"/>
  <c r="BL136" i="28" s="1"/>
  <c r="AR136" i="28"/>
  <c r="BM136" i="28" s="1"/>
  <c r="Y137" i="28"/>
  <c r="AT137" i="28" s="1"/>
  <c r="AA137" i="28"/>
  <c r="AV137" i="28" s="1"/>
  <c r="AB137" i="28"/>
  <c r="AW137" i="28" s="1"/>
  <c r="AC137" i="28"/>
  <c r="AX137" i="28" s="1"/>
  <c r="AD137" i="28"/>
  <c r="AY137" i="28" s="1"/>
  <c r="AE137" i="28"/>
  <c r="AZ137" i="28" s="1"/>
  <c r="AF137" i="28"/>
  <c r="BA137" i="28" s="1"/>
  <c r="AG137" i="28"/>
  <c r="BB137" i="28" s="1"/>
  <c r="AH137" i="28"/>
  <c r="BC137" i="28" s="1"/>
  <c r="AI137" i="28"/>
  <c r="BD137" i="28" s="1"/>
  <c r="AJ137" i="28"/>
  <c r="BE137" i="28" s="1"/>
  <c r="AK137" i="28"/>
  <c r="BF137" i="28" s="1"/>
  <c r="AL137" i="28"/>
  <c r="BG137" i="28" s="1"/>
  <c r="AM137" i="28"/>
  <c r="BH137" i="28" s="1"/>
  <c r="AN137" i="28"/>
  <c r="BI137" i="28" s="1"/>
  <c r="AO137" i="28"/>
  <c r="BJ137" i="28" s="1"/>
  <c r="AP137" i="28"/>
  <c r="BK137" i="28" s="1"/>
  <c r="AQ137" i="28"/>
  <c r="BL137" i="28" s="1"/>
  <c r="AR137" i="28"/>
  <c r="BM137" i="28" s="1"/>
  <c r="Y138" i="28"/>
  <c r="AT138" i="28" s="1"/>
  <c r="AA138" i="28"/>
  <c r="AV138" i="28" s="1"/>
  <c r="AB138" i="28"/>
  <c r="AW138" i="28" s="1"/>
  <c r="AC138" i="28"/>
  <c r="AX138" i="28" s="1"/>
  <c r="AD138" i="28"/>
  <c r="AY138" i="28" s="1"/>
  <c r="AE138" i="28"/>
  <c r="AZ138" i="28" s="1"/>
  <c r="AF138" i="28"/>
  <c r="BA138" i="28" s="1"/>
  <c r="AG138" i="28"/>
  <c r="BB138" i="28" s="1"/>
  <c r="AH138" i="28"/>
  <c r="BC138" i="28" s="1"/>
  <c r="AI138" i="28"/>
  <c r="BD138" i="28" s="1"/>
  <c r="AJ138" i="28"/>
  <c r="BE138" i="28" s="1"/>
  <c r="AK138" i="28"/>
  <c r="BF138" i="28" s="1"/>
  <c r="AL138" i="28"/>
  <c r="BG138" i="28" s="1"/>
  <c r="AM138" i="28"/>
  <c r="BH138" i="28" s="1"/>
  <c r="AN138" i="28"/>
  <c r="BI138" i="28" s="1"/>
  <c r="AO138" i="28"/>
  <c r="BJ138" i="28" s="1"/>
  <c r="AP138" i="28"/>
  <c r="BK138" i="28" s="1"/>
  <c r="AQ138" i="28"/>
  <c r="BL138" i="28" s="1"/>
  <c r="AR138" i="28"/>
  <c r="BM138" i="28" s="1"/>
  <c r="Y139" i="28"/>
  <c r="AT139" i="28" s="1"/>
  <c r="AA139" i="28"/>
  <c r="AV139" i="28" s="1"/>
  <c r="AB139" i="28"/>
  <c r="AW139" i="28" s="1"/>
  <c r="AC139" i="28"/>
  <c r="AX139" i="28" s="1"/>
  <c r="AD139" i="28"/>
  <c r="AY139" i="28" s="1"/>
  <c r="AE139" i="28"/>
  <c r="AZ139" i="28" s="1"/>
  <c r="AF139" i="28"/>
  <c r="BA139" i="28" s="1"/>
  <c r="AG139" i="28"/>
  <c r="BB139" i="28" s="1"/>
  <c r="AH139" i="28"/>
  <c r="BC139" i="28" s="1"/>
  <c r="AI139" i="28"/>
  <c r="BD139" i="28" s="1"/>
  <c r="AJ139" i="28"/>
  <c r="BE139" i="28" s="1"/>
  <c r="AK139" i="28"/>
  <c r="BF139" i="28" s="1"/>
  <c r="AL139" i="28"/>
  <c r="BG139" i="28" s="1"/>
  <c r="AM139" i="28"/>
  <c r="BH139" i="28" s="1"/>
  <c r="AN139" i="28"/>
  <c r="BI139" i="28" s="1"/>
  <c r="AO139" i="28"/>
  <c r="BJ139" i="28" s="1"/>
  <c r="AP139" i="28"/>
  <c r="BK139" i="28" s="1"/>
  <c r="AQ139" i="28"/>
  <c r="BL139" i="28" s="1"/>
  <c r="AR139" i="28"/>
  <c r="BM139" i="28" s="1"/>
  <c r="Y140" i="28"/>
  <c r="AT140" i="28" s="1"/>
  <c r="AA140" i="28"/>
  <c r="AV140" i="28" s="1"/>
  <c r="AB140" i="28"/>
  <c r="AW140" i="28" s="1"/>
  <c r="AC140" i="28"/>
  <c r="AX140" i="28" s="1"/>
  <c r="AD140" i="28"/>
  <c r="AY140" i="28" s="1"/>
  <c r="AE140" i="28"/>
  <c r="AZ140" i="28" s="1"/>
  <c r="AF140" i="28"/>
  <c r="BA140" i="28" s="1"/>
  <c r="AG140" i="28"/>
  <c r="BB140" i="28" s="1"/>
  <c r="AH140" i="28"/>
  <c r="BC140" i="28" s="1"/>
  <c r="AI140" i="28"/>
  <c r="BD140" i="28" s="1"/>
  <c r="AJ140" i="28"/>
  <c r="BE140" i="28" s="1"/>
  <c r="AK140" i="28"/>
  <c r="BF140" i="28" s="1"/>
  <c r="AL140" i="28"/>
  <c r="BG140" i="28" s="1"/>
  <c r="AM140" i="28"/>
  <c r="BH140" i="28" s="1"/>
  <c r="AN140" i="28"/>
  <c r="BI140" i="28" s="1"/>
  <c r="AO140" i="28"/>
  <c r="BJ140" i="28" s="1"/>
  <c r="AP140" i="28"/>
  <c r="BK140" i="28" s="1"/>
  <c r="AQ140" i="28"/>
  <c r="BL140" i="28" s="1"/>
  <c r="AR140" i="28"/>
  <c r="BM140" i="28" s="1"/>
  <c r="Y141" i="28"/>
  <c r="AT141" i="28" s="1"/>
  <c r="AA141" i="28"/>
  <c r="AV141" i="28" s="1"/>
  <c r="AB141" i="28"/>
  <c r="AW141" i="28" s="1"/>
  <c r="AC141" i="28"/>
  <c r="AX141" i="28" s="1"/>
  <c r="AD141" i="28"/>
  <c r="AY141" i="28" s="1"/>
  <c r="AE141" i="28"/>
  <c r="AZ141" i="28" s="1"/>
  <c r="AF141" i="28"/>
  <c r="BA141" i="28" s="1"/>
  <c r="AG141" i="28"/>
  <c r="BB141" i="28" s="1"/>
  <c r="AH141" i="28"/>
  <c r="BC141" i="28" s="1"/>
  <c r="AI141" i="28"/>
  <c r="BD141" i="28" s="1"/>
  <c r="AJ141" i="28"/>
  <c r="BE141" i="28" s="1"/>
  <c r="AK141" i="28"/>
  <c r="BF141" i="28" s="1"/>
  <c r="AL141" i="28"/>
  <c r="BG141" i="28" s="1"/>
  <c r="AM141" i="28"/>
  <c r="BH141" i="28" s="1"/>
  <c r="AN141" i="28"/>
  <c r="BI141" i="28" s="1"/>
  <c r="AO141" i="28"/>
  <c r="BJ141" i="28" s="1"/>
  <c r="AP141" i="28"/>
  <c r="BK141" i="28" s="1"/>
  <c r="AQ141" i="28"/>
  <c r="BL141" i="28" s="1"/>
  <c r="AR141" i="28"/>
  <c r="BM141" i="28" s="1"/>
  <c r="Y142" i="28"/>
  <c r="AT142" i="28" s="1"/>
  <c r="AA142" i="28"/>
  <c r="AV142" i="28" s="1"/>
  <c r="AB142" i="28"/>
  <c r="AW142" i="28" s="1"/>
  <c r="AC142" i="28"/>
  <c r="AX142" i="28" s="1"/>
  <c r="AD142" i="28"/>
  <c r="AY142" i="28" s="1"/>
  <c r="AE142" i="28"/>
  <c r="AZ142" i="28" s="1"/>
  <c r="AF142" i="28"/>
  <c r="BA142" i="28" s="1"/>
  <c r="AG142" i="28"/>
  <c r="BB142" i="28" s="1"/>
  <c r="AH142" i="28"/>
  <c r="BC142" i="28" s="1"/>
  <c r="AI142" i="28"/>
  <c r="BD142" i="28" s="1"/>
  <c r="AJ142" i="28"/>
  <c r="BE142" i="28" s="1"/>
  <c r="AK142" i="28"/>
  <c r="BF142" i="28" s="1"/>
  <c r="AL142" i="28"/>
  <c r="BG142" i="28" s="1"/>
  <c r="AM142" i="28"/>
  <c r="BH142" i="28" s="1"/>
  <c r="AN142" i="28"/>
  <c r="BI142" i="28" s="1"/>
  <c r="AO142" i="28"/>
  <c r="BJ142" i="28" s="1"/>
  <c r="AP142" i="28"/>
  <c r="BK142" i="28" s="1"/>
  <c r="AQ142" i="28"/>
  <c r="BL142" i="28" s="1"/>
  <c r="AR142" i="28"/>
  <c r="BM142" i="28" s="1"/>
  <c r="Y143" i="28"/>
  <c r="AT143" i="28" s="1"/>
  <c r="AA143" i="28"/>
  <c r="AV143" i="28" s="1"/>
  <c r="AB143" i="28"/>
  <c r="AW143" i="28" s="1"/>
  <c r="AC143" i="28"/>
  <c r="AX143" i="28" s="1"/>
  <c r="AD143" i="28"/>
  <c r="AY143" i="28" s="1"/>
  <c r="AE143" i="28"/>
  <c r="AZ143" i="28" s="1"/>
  <c r="AF143" i="28"/>
  <c r="BA143" i="28" s="1"/>
  <c r="AG143" i="28"/>
  <c r="BB143" i="28" s="1"/>
  <c r="AH143" i="28"/>
  <c r="BC143" i="28" s="1"/>
  <c r="AI143" i="28"/>
  <c r="BD143" i="28" s="1"/>
  <c r="AJ143" i="28"/>
  <c r="BE143" i="28" s="1"/>
  <c r="AK143" i="28"/>
  <c r="BF143" i="28" s="1"/>
  <c r="AL143" i="28"/>
  <c r="BG143" i="28" s="1"/>
  <c r="AM143" i="28"/>
  <c r="BH143" i="28" s="1"/>
  <c r="AN143" i="28"/>
  <c r="BI143" i="28" s="1"/>
  <c r="AO143" i="28"/>
  <c r="BJ143" i="28" s="1"/>
  <c r="AP143" i="28"/>
  <c r="BK143" i="28" s="1"/>
  <c r="AQ143" i="28"/>
  <c r="BL143" i="28" s="1"/>
  <c r="AR143" i="28"/>
  <c r="BM143" i="28" s="1"/>
  <c r="Y144" i="28"/>
  <c r="AT144" i="28" s="1"/>
  <c r="AA144" i="28"/>
  <c r="AV144" i="28" s="1"/>
  <c r="AB144" i="28"/>
  <c r="AW144" i="28" s="1"/>
  <c r="AC144" i="28"/>
  <c r="AX144" i="28" s="1"/>
  <c r="AD144" i="28"/>
  <c r="AY144" i="28" s="1"/>
  <c r="AE144" i="28"/>
  <c r="AZ144" i="28" s="1"/>
  <c r="AF144" i="28"/>
  <c r="BA144" i="28" s="1"/>
  <c r="AG144" i="28"/>
  <c r="BB144" i="28" s="1"/>
  <c r="AH144" i="28"/>
  <c r="BC144" i="28" s="1"/>
  <c r="AI144" i="28"/>
  <c r="BD144" i="28" s="1"/>
  <c r="AJ144" i="28"/>
  <c r="BE144" i="28" s="1"/>
  <c r="AK144" i="28"/>
  <c r="BF144" i="28" s="1"/>
  <c r="AL144" i="28"/>
  <c r="BG144" i="28" s="1"/>
  <c r="AM144" i="28"/>
  <c r="BH144" i="28" s="1"/>
  <c r="AN144" i="28"/>
  <c r="BI144" i="28" s="1"/>
  <c r="AO144" i="28"/>
  <c r="BJ144" i="28" s="1"/>
  <c r="AP144" i="28"/>
  <c r="BK144" i="28" s="1"/>
  <c r="AQ144" i="28"/>
  <c r="BL144" i="28" s="1"/>
  <c r="AR144" i="28"/>
  <c r="BM144" i="28" s="1"/>
  <c r="Y145" i="28"/>
  <c r="AT145" i="28" s="1"/>
  <c r="AA145" i="28"/>
  <c r="AV145" i="28" s="1"/>
  <c r="AB145" i="28"/>
  <c r="AW145" i="28" s="1"/>
  <c r="AC145" i="28"/>
  <c r="AX145" i="28" s="1"/>
  <c r="AD145" i="28"/>
  <c r="AY145" i="28" s="1"/>
  <c r="AE145" i="28"/>
  <c r="AZ145" i="28" s="1"/>
  <c r="AF145" i="28"/>
  <c r="BA145" i="28" s="1"/>
  <c r="AG145" i="28"/>
  <c r="BB145" i="28" s="1"/>
  <c r="AH145" i="28"/>
  <c r="BC145" i="28" s="1"/>
  <c r="AI145" i="28"/>
  <c r="BD145" i="28" s="1"/>
  <c r="AJ145" i="28"/>
  <c r="BE145" i="28" s="1"/>
  <c r="AK145" i="28"/>
  <c r="BF145" i="28" s="1"/>
  <c r="AL145" i="28"/>
  <c r="BG145" i="28" s="1"/>
  <c r="AM145" i="28"/>
  <c r="BH145" i="28" s="1"/>
  <c r="AN145" i="28"/>
  <c r="BI145" i="28" s="1"/>
  <c r="AO145" i="28"/>
  <c r="BJ145" i="28" s="1"/>
  <c r="AP145" i="28"/>
  <c r="BK145" i="28" s="1"/>
  <c r="AQ145" i="28"/>
  <c r="BL145" i="28" s="1"/>
  <c r="AR145" i="28"/>
  <c r="BM145" i="28" s="1"/>
  <c r="Y146" i="28"/>
  <c r="AT146" i="28" s="1"/>
  <c r="AA146" i="28"/>
  <c r="AV146" i="28" s="1"/>
  <c r="AB146" i="28"/>
  <c r="AW146" i="28" s="1"/>
  <c r="AC146" i="28"/>
  <c r="AX146" i="28" s="1"/>
  <c r="AD146" i="28"/>
  <c r="AY146" i="28" s="1"/>
  <c r="AE146" i="28"/>
  <c r="AZ146" i="28" s="1"/>
  <c r="AF146" i="28"/>
  <c r="BA146" i="28" s="1"/>
  <c r="AG146" i="28"/>
  <c r="BB146" i="28" s="1"/>
  <c r="AH146" i="28"/>
  <c r="BC146" i="28" s="1"/>
  <c r="AI146" i="28"/>
  <c r="BD146" i="28" s="1"/>
  <c r="AJ146" i="28"/>
  <c r="BE146" i="28" s="1"/>
  <c r="AK146" i="28"/>
  <c r="BF146" i="28" s="1"/>
  <c r="AL146" i="28"/>
  <c r="BG146" i="28" s="1"/>
  <c r="AM146" i="28"/>
  <c r="BH146" i="28" s="1"/>
  <c r="AN146" i="28"/>
  <c r="BI146" i="28" s="1"/>
  <c r="AO146" i="28"/>
  <c r="BJ146" i="28" s="1"/>
  <c r="AP146" i="28"/>
  <c r="BK146" i="28" s="1"/>
  <c r="AQ146" i="28"/>
  <c r="BL146" i="28" s="1"/>
  <c r="AR146" i="28"/>
  <c r="BM146" i="28" s="1"/>
  <c r="Y147" i="28"/>
  <c r="AT147" i="28" s="1"/>
  <c r="AA147" i="28"/>
  <c r="AV147" i="28" s="1"/>
  <c r="AB147" i="28"/>
  <c r="AW147" i="28" s="1"/>
  <c r="AC147" i="28"/>
  <c r="AX147" i="28" s="1"/>
  <c r="AD147" i="28"/>
  <c r="AY147" i="28" s="1"/>
  <c r="AE147" i="28"/>
  <c r="AZ147" i="28" s="1"/>
  <c r="AF147" i="28"/>
  <c r="BA147" i="28" s="1"/>
  <c r="AG147" i="28"/>
  <c r="BB147" i="28" s="1"/>
  <c r="AH147" i="28"/>
  <c r="BC147" i="28" s="1"/>
  <c r="AI147" i="28"/>
  <c r="BD147" i="28" s="1"/>
  <c r="AJ147" i="28"/>
  <c r="BE147" i="28" s="1"/>
  <c r="AK147" i="28"/>
  <c r="BF147" i="28" s="1"/>
  <c r="AL147" i="28"/>
  <c r="BG147" i="28" s="1"/>
  <c r="AM147" i="28"/>
  <c r="BH147" i="28" s="1"/>
  <c r="AN147" i="28"/>
  <c r="BI147" i="28" s="1"/>
  <c r="AO147" i="28"/>
  <c r="BJ147" i="28" s="1"/>
  <c r="AP147" i="28"/>
  <c r="BK147" i="28" s="1"/>
  <c r="AQ147" i="28"/>
  <c r="BL147" i="28" s="1"/>
  <c r="AR147" i="28"/>
  <c r="BM147" i="28" s="1"/>
  <c r="Y148" i="28"/>
  <c r="AT148" i="28" s="1"/>
  <c r="AA148" i="28"/>
  <c r="AV148" i="28" s="1"/>
  <c r="AB148" i="28"/>
  <c r="AW148" i="28" s="1"/>
  <c r="AC148" i="28"/>
  <c r="AX148" i="28" s="1"/>
  <c r="AD148" i="28"/>
  <c r="AY148" i="28" s="1"/>
  <c r="AE148" i="28"/>
  <c r="AZ148" i="28" s="1"/>
  <c r="AF148" i="28"/>
  <c r="BA148" i="28" s="1"/>
  <c r="AG148" i="28"/>
  <c r="BB148" i="28" s="1"/>
  <c r="AH148" i="28"/>
  <c r="BC148" i="28" s="1"/>
  <c r="AI148" i="28"/>
  <c r="BD148" i="28" s="1"/>
  <c r="AJ148" i="28"/>
  <c r="BE148" i="28" s="1"/>
  <c r="AK148" i="28"/>
  <c r="BF148" i="28" s="1"/>
  <c r="AL148" i="28"/>
  <c r="BG148" i="28" s="1"/>
  <c r="AM148" i="28"/>
  <c r="BH148" i="28" s="1"/>
  <c r="AN148" i="28"/>
  <c r="BI148" i="28" s="1"/>
  <c r="AO148" i="28"/>
  <c r="BJ148" i="28" s="1"/>
  <c r="AP148" i="28"/>
  <c r="BK148" i="28" s="1"/>
  <c r="AQ148" i="28"/>
  <c r="BL148" i="28" s="1"/>
  <c r="AR148" i="28"/>
  <c r="BM148" i="28" s="1"/>
  <c r="Y149" i="28"/>
  <c r="AT149" i="28" s="1"/>
  <c r="AA149" i="28"/>
  <c r="AV149" i="28" s="1"/>
  <c r="AB149" i="28"/>
  <c r="AW149" i="28" s="1"/>
  <c r="AC149" i="28"/>
  <c r="AX149" i="28" s="1"/>
  <c r="AD149" i="28"/>
  <c r="AY149" i="28" s="1"/>
  <c r="AE149" i="28"/>
  <c r="AZ149" i="28" s="1"/>
  <c r="AF149" i="28"/>
  <c r="BA149" i="28" s="1"/>
  <c r="AG149" i="28"/>
  <c r="BB149" i="28" s="1"/>
  <c r="AH149" i="28"/>
  <c r="BC149" i="28" s="1"/>
  <c r="AI149" i="28"/>
  <c r="BD149" i="28" s="1"/>
  <c r="AJ149" i="28"/>
  <c r="BE149" i="28" s="1"/>
  <c r="AK149" i="28"/>
  <c r="BF149" i="28" s="1"/>
  <c r="AL149" i="28"/>
  <c r="BG149" i="28" s="1"/>
  <c r="AM149" i="28"/>
  <c r="BH149" i="28" s="1"/>
  <c r="AN149" i="28"/>
  <c r="BI149" i="28" s="1"/>
  <c r="AO149" i="28"/>
  <c r="BJ149" i="28" s="1"/>
  <c r="AP149" i="28"/>
  <c r="BK149" i="28" s="1"/>
  <c r="AQ149" i="28"/>
  <c r="BL149" i="28" s="1"/>
  <c r="AR149" i="28"/>
  <c r="BM149" i="28" s="1"/>
  <c r="Y150" i="28"/>
  <c r="AT150" i="28" s="1"/>
  <c r="AA150" i="28"/>
  <c r="AV150" i="28" s="1"/>
  <c r="AB150" i="28"/>
  <c r="AW150" i="28" s="1"/>
  <c r="AC150" i="28"/>
  <c r="AX150" i="28" s="1"/>
  <c r="AD150" i="28"/>
  <c r="AY150" i="28" s="1"/>
  <c r="AE150" i="28"/>
  <c r="AZ150" i="28" s="1"/>
  <c r="AF150" i="28"/>
  <c r="BA150" i="28" s="1"/>
  <c r="AG150" i="28"/>
  <c r="BB150" i="28" s="1"/>
  <c r="AH150" i="28"/>
  <c r="BC150" i="28" s="1"/>
  <c r="AI150" i="28"/>
  <c r="BD150" i="28" s="1"/>
  <c r="AJ150" i="28"/>
  <c r="BE150" i="28" s="1"/>
  <c r="AK150" i="28"/>
  <c r="BF150" i="28" s="1"/>
  <c r="AL150" i="28"/>
  <c r="BG150" i="28" s="1"/>
  <c r="AM150" i="28"/>
  <c r="BH150" i="28" s="1"/>
  <c r="AN150" i="28"/>
  <c r="BI150" i="28" s="1"/>
  <c r="AO150" i="28"/>
  <c r="BJ150" i="28" s="1"/>
  <c r="AP150" i="28"/>
  <c r="BK150" i="28" s="1"/>
  <c r="AQ150" i="28"/>
  <c r="BL150" i="28" s="1"/>
  <c r="AR150" i="28"/>
  <c r="BM150" i="28" s="1"/>
  <c r="Y151" i="28"/>
  <c r="AT151" i="28" s="1"/>
  <c r="AA151" i="28"/>
  <c r="AV151" i="28" s="1"/>
  <c r="AB151" i="28"/>
  <c r="AW151" i="28" s="1"/>
  <c r="AC151" i="28"/>
  <c r="AX151" i="28" s="1"/>
  <c r="AD151" i="28"/>
  <c r="AY151" i="28" s="1"/>
  <c r="AE151" i="28"/>
  <c r="AZ151" i="28" s="1"/>
  <c r="AF151" i="28"/>
  <c r="BA151" i="28" s="1"/>
  <c r="AG151" i="28"/>
  <c r="BB151" i="28" s="1"/>
  <c r="AH151" i="28"/>
  <c r="BC151" i="28" s="1"/>
  <c r="AI151" i="28"/>
  <c r="BD151" i="28" s="1"/>
  <c r="AJ151" i="28"/>
  <c r="BE151" i="28" s="1"/>
  <c r="AK151" i="28"/>
  <c r="BF151" i="28" s="1"/>
  <c r="AL151" i="28"/>
  <c r="BG151" i="28" s="1"/>
  <c r="AM151" i="28"/>
  <c r="BH151" i="28" s="1"/>
  <c r="AN151" i="28"/>
  <c r="BI151" i="28" s="1"/>
  <c r="AO151" i="28"/>
  <c r="BJ151" i="28" s="1"/>
  <c r="AP151" i="28"/>
  <c r="BK151" i="28" s="1"/>
  <c r="AQ151" i="28"/>
  <c r="BL151" i="28" s="1"/>
  <c r="AR151" i="28"/>
  <c r="BM151" i="28" s="1"/>
  <c r="Y152" i="28"/>
  <c r="AT152" i="28" s="1"/>
  <c r="AA152" i="28"/>
  <c r="AV152" i="28" s="1"/>
  <c r="AB152" i="28"/>
  <c r="AW152" i="28" s="1"/>
  <c r="AC152" i="28"/>
  <c r="AX152" i="28" s="1"/>
  <c r="AD152" i="28"/>
  <c r="AY152" i="28" s="1"/>
  <c r="AE152" i="28"/>
  <c r="AZ152" i="28" s="1"/>
  <c r="AF152" i="28"/>
  <c r="BA152" i="28" s="1"/>
  <c r="AG152" i="28"/>
  <c r="BB152" i="28" s="1"/>
  <c r="AH152" i="28"/>
  <c r="BC152" i="28" s="1"/>
  <c r="AI152" i="28"/>
  <c r="BD152" i="28" s="1"/>
  <c r="AJ152" i="28"/>
  <c r="BE152" i="28" s="1"/>
  <c r="AK152" i="28"/>
  <c r="BF152" i="28" s="1"/>
  <c r="AL152" i="28"/>
  <c r="BG152" i="28" s="1"/>
  <c r="AM152" i="28"/>
  <c r="BH152" i="28" s="1"/>
  <c r="AN152" i="28"/>
  <c r="BI152" i="28" s="1"/>
  <c r="AO152" i="28"/>
  <c r="BJ152" i="28" s="1"/>
  <c r="AP152" i="28"/>
  <c r="BK152" i="28" s="1"/>
  <c r="AQ152" i="28"/>
  <c r="BL152" i="28" s="1"/>
  <c r="AR152" i="28"/>
  <c r="BM152" i="28" s="1"/>
  <c r="Y153" i="28"/>
  <c r="AT153" i="28" s="1"/>
  <c r="AA153" i="28"/>
  <c r="AV153" i="28" s="1"/>
  <c r="AB153" i="28"/>
  <c r="AW153" i="28" s="1"/>
  <c r="AC153" i="28"/>
  <c r="AX153" i="28" s="1"/>
  <c r="AD153" i="28"/>
  <c r="AY153" i="28" s="1"/>
  <c r="AE153" i="28"/>
  <c r="AZ153" i="28" s="1"/>
  <c r="AF153" i="28"/>
  <c r="BA153" i="28" s="1"/>
  <c r="AG153" i="28"/>
  <c r="BB153" i="28" s="1"/>
  <c r="AH153" i="28"/>
  <c r="BC153" i="28" s="1"/>
  <c r="AI153" i="28"/>
  <c r="BD153" i="28" s="1"/>
  <c r="AJ153" i="28"/>
  <c r="BE153" i="28" s="1"/>
  <c r="AK153" i="28"/>
  <c r="BF153" i="28" s="1"/>
  <c r="AL153" i="28"/>
  <c r="BG153" i="28" s="1"/>
  <c r="AM153" i="28"/>
  <c r="BH153" i="28" s="1"/>
  <c r="AN153" i="28"/>
  <c r="BI153" i="28" s="1"/>
  <c r="AO153" i="28"/>
  <c r="BJ153" i="28" s="1"/>
  <c r="AP153" i="28"/>
  <c r="BK153" i="28" s="1"/>
  <c r="AQ153" i="28"/>
  <c r="BL153" i="28" s="1"/>
  <c r="AR153" i="28"/>
  <c r="BM153" i="28" s="1"/>
  <c r="Y154" i="28"/>
  <c r="AT154" i="28" s="1"/>
  <c r="AA154" i="28"/>
  <c r="AV154" i="28" s="1"/>
  <c r="AB154" i="28"/>
  <c r="AW154" i="28" s="1"/>
  <c r="AC154" i="28"/>
  <c r="AX154" i="28" s="1"/>
  <c r="AD154" i="28"/>
  <c r="AY154" i="28" s="1"/>
  <c r="AE154" i="28"/>
  <c r="AZ154" i="28" s="1"/>
  <c r="AF154" i="28"/>
  <c r="BA154" i="28" s="1"/>
  <c r="AG154" i="28"/>
  <c r="BB154" i="28" s="1"/>
  <c r="AH154" i="28"/>
  <c r="BC154" i="28" s="1"/>
  <c r="AI154" i="28"/>
  <c r="BD154" i="28" s="1"/>
  <c r="AJ154" i="28"/>
  <c r="BE154" i="28" s="1"/>
  <c r="AK154" i="28"/>
  <c r="BF154" i="28" s="1"/>
  <c r="AL154" i="28"/>
  <c r="BG154" i="28" s="1"/>
  <c r="AM154" i="28"/>
  <c r="BH154" i="28" s="1"/>
  <c r="AN154" i="28"/>
  <c r="BI154" i="28" s="1"/>
  <c r="AO154" i="28"/>
  <c r="BJ154" i="28" s="1"/>
  <c r="AP154" i="28"/>
  <c r="BK154" i="28" s="1"/>
  <c r="AQ154" i="28"/>
  <c r="BL154" i="28" s="1"/>
  <c r="AR154" i="28"/>
  <c r="BM154" i="28" s="1"/>
  <c r="Y155" i="28"/>
  <c r="AT155" i="28" s="1"/>
  <c r="AA155" i="28"/>
  <c r="AV155" i="28" s="1"/>
  <c r="AB155" i="28"/>
  <c r="AW155" i="28" s="1"/>
  <c r="AC155" i="28"/>
  <c r="AX155" i="28" s="1"/>
  <c r="AD155" i="28"/>
  <c r="AY155" i="28" s="1"/>
  <c r="AE155" i="28"/>
  <c r="AZ155" i="28" s="1"/>
  <c r="AF155" i="28"/>
  <c r="BA155" i="28" s="1"/>
  <c r="AG155" i="28"/>
  <c r="BB155" i="28" s="1"/>
  <c r="AH155" i="28"/>
  <c r="BC155" i="28" s="1"/>
  <c r="AI155" i="28"/>
  <c r="BD155" i="28" s="1"/>
  <c r="AJ155" i="28"/>
  <c r="BE155" i="28" s="1"/>
  <c r="AK155" i="28"/>
  <c r="BF155" i="28" s="1"/>
  <c r="AL155" i="28"/>
  <c r="BG155" i="28" s="1"/>
  <c r="AM155" i="28"/>
  <c r="BH155" i="28" s="1"/>
  <c r="AN155" i="28"/>
  <c r="BI155" i="28" s="1"/>
  <c r="AO155" i="28"/>
  <c r="BJ155" i="28" s="1"/>
  <c r="AP155" i="28"/>
  <c r="BK155" i="28" s="1"/>
  <c r="AQ155" i="28"/>
  <c r="BL155" i="28" s="1"/>
  <c r="AR155" i="28"/>
  <c r="BM155" i="28" s="1"/>
  <c r="Y156" i="28"/>
  <c r="AT156" i="28" s="1"/>
  <c r="AA156" i="28"/>
  <c r="AV156" i="28" s="1"/>
  <c r="AB156" i="28"/>
  <c r="AW156" i="28" s="1"/>
  <c r="AC156" i="28"/>
  <c r="AX156" i="28" s="1"/>
  <c r="AD156" i="28"/>
  <c r="AY156" i="28" s="1"/>
  <c r="AE156" i="28"/>
  <c r="AZ156" i="28" s="1"/>
  <c r="AF156" i="28"/>
  <c r="BA156" i="28" s="1"/>
  <c r="AG156" i="28"/>
  <c r="BB156" i="28" s="1"/>
  <c r="AH156" i="28"/>
  <c r="BC156" i="28" s="1"/>
  <c r="AI156" i="28"/>
  <c r="BD156" i="28" s="1"/>
  <c r="AJ156" i="28"/>
  <c r="BE156" i="28" s="1"/>
  <c r="AK156" i="28"/>
  <c r="BF156" i="28" s="1"/>
  <c r="AL156" i="28"/>
  <c r="BG156" i="28" s="1"/>
  <c r="AM156" i="28"/>
  <c r="BH156" i="28" s="1"/>
  <c r="AN156" i="28"/>
  <c r="BI156" i="28" s="1"/>
  <c r="AO156" i="28"/>
  <c r="BJ156" i="28" s="1"/>
  <c r="AP156" i="28"/>
  <c r="BK156" i="28" s="1"/>
  <c r="AQ156" i="28"/>
  <c r="BL156" i="28" s="1"/>
  <c r="AR156" i="28"/>
  <c r="BM156" i="28" s="1"/>
  <c r="Y157" i="28"/>
  <c r="AT157" i="28" s="1"/>
  <c r="AA157" i="28"/>
  <c r="AV157" i="28" s="1"/>
  <c r="AB157" i="28"/>
  <c r="AW157" i="28" s="1"/>
  <c r="AC157" i="28"/>
  <c r="AX157" i="28" s="1"/>
  <c r="AD157" i="28"/>
  <c r="AY157" i="28" s="1"/>
  <c r="AE157" i="28"/>
  <c r="AZ157" i="28" s="1"/>
  <c r="AF157" i="28"/>
  <c r="BA157" i="28" s="1"/>
  <c r="AG157" i="28"/>
  <c r="BB157" i="28" s="1"/>
  <c r="AH157" i="28"/>
  <c r="BC157" i="28" s="1"/>
  <c r="AI157" i="28"/>
  <c r="BD157" i="28" s="1"/>
  <c r="AJ157" i="28"/>
  <c r="BE157" i="28" s="1"/>
  <c r="AK157" i="28"/>
  <c r="BF157" i="28" s="1"/>
  <c r="AL157" i="28"/>
  <c r="BG157" i="28" s="1"/>
  <c r="AM157" i="28"/>
  <c r="BH157" i="28" s="1"/>
  <c r="AN157" i="28"/>
  <c r="BI157" i="28" s="1"/>
  <c r="AO157" i="28"/>
  <c r="BJ157" i="28" s="1"/>
  <c r="AP157" i="28"/>
  <c r="BK157" i="28" s="1"/>
  <c r="AQ157" i="28"/>
  <c r="BL157" i="28" s="1"/>
  <c r="AR157" i="28"/>
  <c r="BM157" i="28" s="1"/>
  <c r="Y158" i="28"/>
  <c r="AT158" i="28" s="1"/>
  <c r="AA158" i="28"/>
  <c r="AV158" i="28" s="1"/>
  <c r="AB158" i="28"/>
  <c r="AW158" i="28" s="1"/>
  <c r="AC158" i="28"/>
  <c r="AX158" i="28" s="1"/>
  <c r="AD158" i="28"/>
  <c r="AY158" i="28" s="1"/>
  <c r="AE158" i="28"/>
  <c r="AZ158" i="28" s="1"/>
  <c r="AF158" i="28"/>
  <c r="BA158" i="28" s="1"/>
  <c r="AG158" i="28"/>
  <c r="BB158" i="28" s="1"/>
  <c r="AH158" i="28"/>
  <c r="BC158" i="28" s="1"/>
  <c r="AI158" i="28"/>
  <c r="BD158" i="28" s="1"/>
  <c r="AJ158" i="28"/>
  <c r="BE158" i="28" s="1"/>
  <c r="AK158" i="28"/>
  <c r="BF158" i="28" s="1"/>
  <c r="AL158" i="28"/>
  <c r="BG158" i="28" s="1"/>
  <c r="AM158" i="28"/>
  <c r="BH158" i="28" s="1"/>
  <c r="AN158" i="28"/>
  <c r="BI158" i="28" s="1"/>
  <c r="AO158" i="28"/>
  <c r="BJ158" i="28" s="1"/>
  <c r="AP158" i="28"/>
  <c r="BK158" i="28" s="1"/>
  <c r="AQ158" i="28"/>
  <c r="BL158" i="28" s="1"/>
  <c r="AR158" i="28"/>
  <c r="BM158" i="28" s="1"/>
  <c r="Y159" i="28"/>
  <c r="AT159" i="28" s="1"/>
  <c r="AA159" i="28"/>
  <c r="AV159" i="28" s="1"/>
  <c r="AB159" i="28"/>
  <c r="AW159" i="28" s="1"/>
  <c r="AC159" i="28"/>
  <c r="AX159" i="28" s="1"/>
  <c r="AD159" i="28"/>
  <c r="AY159" i="28" s="1"/>
  <c r="AE159" i="28"/>
  <c r="AZ159" i="28" s="1"/>
  <c r="AF159" i="28"/>
  <c r="BA159" i="28" s="1"/>
  <c r="AG159" i="28"/>
  <c r="BB159" i="28" s="1"/>
  <c r="AH159" i="28"/>
  <c r="BC159" i="28" s="1"/>
  <c r="AI159" i="28"/>
  <c r="BD159" i="28" s="1"/>
  <c r="AJ159" i="28"/>
  <c r="BE159" i="28" s="1"/>
  <c r="AK159" i="28"/>
  <c r="BF159" i="28" s="1"/>
  <c r="AL159" i="28"/>
  <c r="BG159" i="28" s="1"/>
  <c r="AM159" i="28"/>
  <c r="BH159" i="28" s="1"/>
  <c r="AN159" i="28"/>
  <c r="BI159" i="28" s="1"/>
  <c r="AO159" i="28"/>
  <c r="BJ159" i="28" s="1"/>
  <c r="AP159" i="28"/>
  <c r="BK159" i="28" s="1"/>
  <c r="AQ159" i="28"/>
  <c r="BL159" i="28" s="1"/>
  <c r="AR159" i="28"/>
  <c r="BM159" i="28" s="1"/>
  <c r="Y160" i="28"/>
  <c r="AT160" i="28" s="1"/>
  <c r="AA160" i="28"/>
  <c r="AV160" i="28" s="1"/>
  <c r="AB160" i="28"/>
  <c r="AW160" i="28" s="1"/>
  <c r="AC160" i="28"/>
  <c r="AX160" i="28" s="1"/>
  <c r="AD160" i="28"/>
  <c r="AY160" i="28" s="1"/>
  <c r="AE160" i="28"/>
  <c r="AZ160" i="28" s="1"/>
  <c r="AF160" i="28"/>
  <c r="BA160" i="28" s="1"/>
  <c r="AG160" i="28"/>
  <c r="BB160" i="28" s="1"/>
  <c r="AH160" i="28"/>
  <c r="BC160" i="28" s="1"/>
  <c r="AI160" i="28"/>
  <c r="BD160" i="28" s="1"/>
  <c r="AJ160" i="28"/>
  <c r="BE160" i="28" s="1"/>
  <c r="AK160" i="28"/>
  <c r="BF160" i="28" s="1"/>
  <c r="AL160" i="28"/>
  <c r="BG160" i="28" s="1"/>
  <c r="AM160" i="28"/>
  <c r="BH160" i="28" s="1"/>
  <c r="AN160" i="28"/>
  <c r="BI160" i="28" s="1"/>
  <c r="AO160" i="28"/>
  <c r="BJ160" i="28" s="1"/>
  <c r="AP160" i="28"/>
  <c r="BK160" i="28" s="1"/>
  <c r="AQ160" i="28"/>
  <c r="BL160" i="28" s="1"/>
  <c r="AR160" i="28"/>
  <c r="BM160" i="28" s="1"/>
  <c r="Y161" i="28"/>
  <c r="AT161" i="28" s="1"/>
  <c r="AA161" i="28"/>
  <c r="AV161" i="28" s="1"/>
  <c r="AB161" i="28"/>
  <c r="AW161" i="28" s="1"/>
  <c r="AC161" i="28"/>
  <c r="AX161" i="28" s="1"/>
  <c r="AD161" i="28"/>
  <c r="AY161" i="28" s="1"/>
  <c r="AE161" i="28"/>
  <c r="AZ161" i="28" s="1"/>
  <c r="AF161" i="28"/>
  <c r="BA161" i="28" s="1"/>
  <c r="AG161" i="28"/>
  <c r="BB161" i="28" s="1"/>
  <c r="AH161" i="28"/>
  <c r="BC161" i="28" s="1"/>
  <c r="AI161" i="28"/>
  <c r="BD161" i="28" s="1"/>
  <c r="AJ161" i="28"/>
  <c r="BE161" i="28" s="1"/>
  <c r="AK161" i="28"/>
  <c r="BF161" i="28" s="1"/>
  <c r="AL161" i="28"/>
  <c r="BG161" i="28" s="1"/>
  <c r="AM161" i="28"/>
  <c r="BH161" i="28" s="1"/>
  <c r="AN161" i="28"/>
  <c r="BI161" i="28" s="1"/>
  <c r="AO161" i="28"/>
  <c r="BJ161" i="28" s="1"/>
  <c r="AP161" i="28"/>
  <c r="BK161" i="28" s="1"/>
  <c r="AQ161" i="28"/>
  <c r="BL161" i="28" s="1"/>
  <c r="AR161" i="28"/>
  <c r="BM161" i="28" s="1"/>
  <c r="Y162" i="28"/>
  <c r="AT162" i="28" s="1"/>
  <c r="AA162" i="28"/>
  <c r="AV162" i="28" s="1"/>
  <c r="AB162" i="28"/>
  <c r="AW162" i="28" s="1"/>
  <c r="AC162" i="28"/>
  <c r="AX162" i="28" s="1"/>
  <c r="AD162" i="28"/>
  <c r="AY162" i="28" s="1"/>
  <c r="AE162" i="28"/>
  <c r="AZ162" i="28" s="1"/>
  <c r="AF162" i="28"/>
  <c r="BA162" i="28" s="1"/>
  <c r="AG162" i="28"/>
  <c r="BB162" i="28" s="1"/>
  <c r="AH162" i="28"/>
  <c r="BC162" i="28" s="1"/>
  <c r="AI162" i="28"/>
  <c r="BD162" i="28" s="1"/>
  <c r="AJ162" i="28"/>
  <c r="BE162" i="28" s="1"/>
  <c r="AK162" i="28"/>
  <c r="BF162" i="28" s="1"/>
  <c r="AL162" i="28"/>
  <c r="BG162" i="28" s="1"/>
  <c r="AM162" i="28"/>
  <c r="BH162" i="28" s="1"/>
  <c r="AN162" i="28"/>
  <c r="BI162" i="28" s="1"/>
  <c r="AO162" i="28"/>
  <c r="BJ162" i="28" s="1"/>
  <c r="AP162" i="28"/>
  <c r="BK162" i="28" s="1"/>
  <c r="AQ162" i="28"/>
  <c r="BL162" i="28" s="1"/>
  <c r="AR162" i="28"/>
  <c r="BM162" i="28" s="1"/>
  <c r="Y163" i="28"/>
  <c r="AT163" i="28" s="1"/>
  <c r="AA163" i="28"/>
  <c r="AV163" i="28" s="1"/>
  <c r="AB163" i="28"/>
  <c r="AW163" i="28" s="1"/>
  <c r="AC163" i="28"/>
  <c r="AX163" i="28" s="1"/>
  <c r="AD163" i="28"/>
  <c r="AY163" i="28" s="1"/>
  <c r="AE163" i="28"/>
  <c r="AZ163" i="28" s="1"/>
  <c r="AF163" i="28"/>
  <c r="BA163" i="28" s="1"/>
  <c r="AG163" i="28"/>
  <c r="BB163" i="28" s="1"/>
  <c r="AH163" i="28"/>
  <c r="BC163" i="28" s="1"/>
  <c r="AI163" i="28"/>
  <c r="BD163" i="28" s="1"/>
  <c r="AJ163" i="28"/>
  <c r="BE163" i="28" s="1"/>
  <c r="AK163" i="28"/>
  <c r="BF163" i="28" s="1"/>
  <c r="AL163" i="28"/>
  <c r="BG163" i="28" s="1"/>
  <c r="AM163" i="28"/>
  <c r="BH163" i="28" s="1"/>
  <c r="AN163" i="28"/>
  <c r="BI163" i="28" s="1"/>
  <c r="AO163" i="28"/>
  <c r="BJ163" i="28" s="1"/>
  <c r="AP163" i="28"/>
  <c r="BK163" i="28" s="1"/>
  <c r="AQ163" i="28"/>
  <c r="BL163" i="28" s="1"/>
  <c r="AR163" i="28"/>
  <c r="BM163" i="28" s="1"/>
  <c r="Y164" i="28"/>
  <c r="AT164" i="28" s="1"/>
  <c r="AA164" i="28"/>
  <c r="AV164" i="28" s="1"/>
  <c r="AB164" i="28"/>
  <c r="AW164" i="28" s="1"/>
  <c r="AC164" i="28"/>
  <c r="AX164" i="28" s="1"/>
  <c r="AD164" i="28"/>
  <c r="AY164" i="28" s="1"/>
  <c r="AE164" i="28"/>
  <c r="AZ164" i="28" s="1"/>
  <c r="AF164" i="28"/>
  <c r="BA164" i="28" s="1"/>
  <c r="AG164" i="28"/>
  <c r="BB164" i="28" s="1"/>
  <c r="AH164" i="28"/>
  <c r="BC164" i="28" s="1"/>
  <c r="AI164" i="28"/>
  <c r="BD164" i="28" s="1"/>
  <c r="AJ164" i="28"/>
  <c r="BE164" i="28" s="1"/>
  <c r="AK164" i="28"/>
  <c r="BF164" i="28" s="1"/>
  <c r="AL164" i="28"/>
  <c r="BG164" i="28" s="1"/>
  <c r="AM164" i="28"/>
  <c r="BH164" i="28" s="1"/>
  <c r="AN164" i="28"/>
  <c r="BI164" i="28" s="1"/>
  <c r="AO164" i="28"/>
  <c r="BJ164" i="28" s="1"/>
  <c r="AP164" i="28"/>
  <c r="BK164" i="28" s="1"/>
  <c r="AQ164" i="28"/>
  <c r="BL164" i="28" s="1"/>
  <c r="AR164" i="28"/>
  <c r="BM164" i="28" s="1"/>
  <c r="Y165" i="28"/>
  <c r="AT165" i="28" s="1"/>
  <c r="AA165" i="28"/>
  <c r="AV165" i="28" s="1"/>
  <c r="AB165" i="28"/>
  <c r="AW165" i="28" s="1"/>
  <c r="AC165" i="28"/>
  <c r="AX165" i="28" s="1"/>
  <c r="AD165" i="28"/>
  <c r="AY165" i="28" s="1"/>
  <c r="AE165" i="28"/>
  <c r="AZ165" i="28" s="1"/>
  <c r="AF165" i="28"/>
  <c r="BA165" i="28" s="1"/>
  <c r="AG165" i="28"/>
  <c r="BB165" i="28" s="1"/>
  <c r="AH165" i="28"/>
  <c r="BC165" i="28" s="1"/>
  <c r="AI165" i="28"/>
  <c r="BD165" i="28" s="1"/>
  <c r="AJ165" i="28"/>
  <c r="BE165" i="28" s="1"/>
  <c r="AK165" i="28"/>
  <c r="BF165" i="28" s="1"/>
  <c r="AL165" i="28"/>
  <c r="BG165" i="28" s="1"/>
  <c r="AM165" i="28"/>
  <c r="BH165" i="28" s="1"/>
  <c r="AN165" i="28"/>
  <c r="BI165" i="28" s="1"/>
  <c r="AO165" i="28"/>
  <c r="BJ165" i="28" s="1"/>
  <c r="AP165" i="28"/>
  <c r="BK165" i="28" s="1"/>
  <c r="AQ165" i="28"/>
  <c r="BL165" i="28" s="1"/>
  <c r="AR165" i="28"/>
  <c r="BM165" i="28" s="1"/>
  <c r="Y166" i="28"/>
  <c r="AT166" i="28" s="1"/>
  <c r="AA166" i="28"/>
  <c r="AV166" i="28" s="1"/>
  <c r="AB166" i="28"/>
  <c r="AW166" i="28" s="1"/>
  <c r="AC166" i="28"/>
  <c r="AX166" i="28" s="1"/>
  <c r="AD166" i="28"/>
  <c r="AY166" i="28" s="1"/>
  <c r="AE166" i="28"/>
  <c r="AZ166" i="28" s="1"/>
  <c r="AF166" i="28"/>
  <c r="BA166" i="28" s="1"/>
  <c r="AG166" i="28"/>
  <c r="BB166" i="28" s="1"/>
  <c r="AH166" i="28"/>
  <c r="BC166" i="28" s="1"/>
  <c r="AI166" i="28"/>
  <c r="BD166" i="28" s="1"/>
  <c r="AJ166" i="28"/>
  <c r="BE166" i="28" s="1"/>
  <c r="AK166" i="28"/>
  <c r="BF166" i="28" s="1"/>
  <c r="AL166" i="28"/>
  <c r="BG166" i="28" s="1"/>
  <c r="AM166" i="28"/>
  <c r="BH166" i="28" s="1"/>
  <c r="AN166" i="28"/>
  <c r="BI166" i="28" s="1"/>
  <c r="AO166" i="28"/>
  <c r="BJ166" i="28" s="1"/>
  <c r="AP166" i="28"/>
  <c r="BK166" i="28" s="1"/>
  <c r="AQ166" i="28"/>
  <c r="BL166" i="28" s="1"/>
  <c r="AR166" i="28"/>
  <c r="BM166" i="28" s="1"/>
  <c r="Y167" i="28"/>
  <c r="AT167" i="28" s="1"/>
  <c r="AA167" i="28"/>
  <c r="AV167" i="28" s="1"/>
  <c r="AB167" i="28"/>
  <c r="AW167" i="28" s="1"/>
  <c r="AC167" i="28"/>
  <c r="AX167" i="28" s="1"/>
  <c r="AD167" i="28"/>
  <c r="AY167" i="28" s="1"/>
  <c r="AE167" i="28"/>
  <c r="AZ167" i="28" s="1"/>
  <c r="AF167" i="28"/>
  <c r="BA167" i="28" s="1"/>
  <c r="AG167" i="28"/>
  <c r="BB167" i="28" s="1"/>
  <c r="AH167" i="28"/>
  <c r="BC167" i="28" s="1"/>
  <c r="AI167" i="28"/>
  <c r="BD167" i="28" s="1"/>
  <c r="AJ167" i="28"/>
  <c r="BE167" i="28" s="1"/>
  <c r="AK167" i="28"/>
  <c r="BF167" i="28" s="1"/>
  <c r="AL167" i="28"/>
  <c r="BG167" i="28" s="1"/>
  <c r="AM167" i="28"/>
  <c r="BH167" i="28" s="1"/>
  <c r="AN167" i="28"/>
  <c r="BI167" i="28" s="1"/>
  <c r="AO167" i="28"/>
  <c r="BJ167" i="28" s="1"/>
  <c r="AP167" i="28"/>
  <c r="BK167" i="28" s="1"/>
  <c r="AQ167" i="28"/>
  <c r="BL167" i="28" s="1"/>
  <c r="AR167" i="28"/>
  <c r="BM167" i="28" s="1"/>
  <c r="Y168" i="28"/>
  <c r="AT168" i="28" s="1"/>
  <c r="AA168" i="28"/>
  <c r="AV168" i="28" s="1"/>
  <c r="AB168" i="28"/>
  <c r="AW168" i="28" s="1"/>
  <c r="AC168" i="28"/>
  <c r="AX168" i="28" s="1"/>
  <c r="AD168" i="28"/>
  <c r="AY168" i="28" s="1"/>
  <c r="AE168" i="28"/>
  <c r="AZ168" i="28" s="1"/>
  <c r="AF168" i="28"/>
  <c r="BA168" i="28" s="1"/>
  <c r="AG168" i="28"/>
  <c r="BB168" i="28" s="1"/>
  <c r="AH168" i="28"/>
  <c r="BC168" i="28" s="1"/>
  <c r="AI168" i="28"/>
  <c r="BD168" i="28" s="1"/>
  <c r="AJ168" i="28"/>
  <c r="BE168" i="28" s="1"/>
  <c r="AK168" i="28"/>
  <c r="BF168" i="28" s="1"/>
  <c r="AL168" i="28"/>
  <c r="BG168" i="28" s="1"/>
  <c r="AM168" i="28"/>
  <c r="BH168" i="28" s="1"/>
  <c r="AN168" i="28"/>
  <c r="BI168" i="28" s="1"/>
  <c r="AO168" i="28"/>
  <c r="BJ168" i="28" s="1"/>
  <c r="AP168" i="28"/>
  <c r="BK168" i="28" s="1"/>
  <c r="AQ168" i="28"/>
  <c r="BL168" i="28" s="1"/>
  <c r="AR168" i="28"/>
  <c r="BM168" i="28" s="1"/>
  <c r="Y169" i="28"/>
  <c r="AT169" i="28" s="1"/>
  <c r="AA169" i="28"/>
  <c r="AV169" i="28" s="1"/>
  <c r="AB169" i="28"/>
  <c r="AW169" i="28" s="1"/>
  <c r="AC169" i="28"/>
  <c r="AX169" i="28" s="1"/>
  <c r="AD169" i="28"/>
  <c r="AY169" i="28" s="1"/>
  <c r="AE169" i="28"/>
  <c r="AZ169" i="28" s="1"/>
  <c r="AF169" i="28"/>
  <c r="BA169" i="28" s="1"/>
  <c r="AG169" i="28"/>
  <c r="BB169" i="28" s="1"/>
  <c r="AH169" i="28"/>
  <c r="BC169" i="28" s="1"/>
  <c r="AI169" i="28"/>
  <c r="BD169" i="28" s="1"/>
  <c r="AJ169" i="28"/>
  <c r="BE169" i="28" s="1"/>
  <c r="AK169" i="28"/>
  <c r="BF169" i="28" s="1"/>
  <c r="AL169" i="28"/>
  <c r="BG169" i="28" s="1"/>
  <c r="AM169" i="28"/>
  <c r="BH169" i="28" s="1"/>
  <c r="AN169" i="28"/>
  <c r="BI169" i="28" s="1"/>
  <c r="AO169" i="28"/>
  <c r="BJ169" i="28" s="1"/>
  <c r="AP169" i="28"/>
  <c r="BK169" i="28" s="1"/>
  <c r="AQ169" i="28"/>
  <c r="BL169" i="28" s="1"/>
  <c r="AR169" i="28"/>
  <c r="BM169" i="28" s="1"/>
  <c r="Y170" i="28"/>
  <c r="AT170" i="28" s="1"/>
  <c r="AA170" i="28"/>
  <c r="AV170" i="28" s="1"/>
  <c r="AB170" i="28"/>
  <c r="AW170" i="28" s="1"/>
  <c r="AC170" i="28"/>
  <c r="AX170" i="28" s="1"/>
  <c r="AD170" i="28"/>
  <c r="AY170" i="28" s="1"/>
  <c r="AE170" i="28"/>
  <c r="AZ170" i="28" s="1"/>
  <c r="AF170" i="28"/>
  <c r="BA170" i="28" s="1"/>
  <c r="AG170" i="28"/>
  <c r="BB170" i="28" s="1"/>
  <c r="AH170" i="28"/>
  <c r="BC170" i="28" s="1"/>
  <c r="AI170" i="28"/>
  <c r="BD170" i="28" s="1"/>
  <c r="AJ170" i="28"/>
  <c r="BE170" i="28" s="1"/>
  <c r="AK170" i="28"/>
  <c r="BF170" i="28" s="1"/>
  <c r="AL170" i="28"/>
  <c r="BG170" i="28" s="1"/>
  <c r="AM170" i="28"/>
  <c r="BH170" i="28" s="1"/>
  <c r="AN170" i="28"/>
  <c r="BI170" i="28" s="1"/>
  <c r="AO170" i="28"/>
  <c r="BJ170" i="28" s="1"/>
  <c r="AP170" i="28"/>
  <c r="BK170" i="28" s="1"/>
  <c r="AQ170" i="28"/>
  <c r="BL170" i="28" s="1"/>
  <c r="AR170" i="28"/>
  <c r="BM170" i="28" s="1"/>
  <c r="Y171" i="28"/>
  <c r="AT171" i="28" s="1"/>
  <c r="AA171" i="28"/>
  <c r="AV171" i="28" s="1"/>
  <c r="AB171" i="28"/>
  <c r="AW171" i="28" s="1"/>
  <c r="AC171" i="28"/>
  <c r="AX171" i="28" s="1"/>
  <c r="AD171" i="28"/>
  <c r="AY171" i="28" s="1"/>
  <c r="AE171" i="28"/>
  <c r="AZ171" i="28" s="1"/>
  <c r="AF171" i="28"/>
  <c r="BA171" i="28" s="1"/>
  <c r="AG171" i="28"/>
  <c r="BB171" i="28" s="1"/>
  <c r="AH171" i="28"/>
  <c r="BC171" i="28" s="1"/>
  <c r="AI171" i="28"/>
  <c r="BD171" i="28" s="1"/>
  <c r="AJ171" i="28"/>
  <c r="BE171" i="28" s="1"/>
  <c r="AK171" i="28"/>
  <c r="BF171" i="28" s="1"/>
  <c r="AL171" i="28"/>
  <c r="BG171" i="28" s="1"/>
  <c r="AM171" i="28"/>
  <c r="BH171" i="28" s="1"/>
  <c r="AN171" i="28"/>
  <c r="BI171" i="28" s="1"/>
  <c r="AO171" i="28"/>
  <c r="BJ171" i="28" s="1"/>
  <c r="AP171" i="28"/>
  <c r="BK171" i="28" s="1"/>
  <c r="AQ171" i="28"/>
  <c r="BL171" i="28" s="1"/>
  <c r="AR171" i="28"/>
  <c r="BM171" i="28" s="1"/>
  <c r="Y172" i="28"/>
  <c r="AT172" i="28" s="1"/>
  <c r="AA172" i="28"/>
  <c r="AV172" i="28" s="1"/>
  <c r="AB172" i="28"/>
  <c r="AW172" i="28" s="1"/>
  <c r="AC172" i="28"/>
  <c r="AX172" i="28" s="1"/>
  <c r="AD172" i="28"/>
  <c r="AY172" i="28" s="1"/>
  <c r="AE172" i="28"/>
  <c r="AZ172" i="28" s="1"/>
  <c r="AF172" i="28"/>
  <c r="BA172" i="28" s="1"/>
  <c r="AG172" i="28"/>
  <c r="BB172" i="28" s="1"/>
  <c r="AH172" i="28"/>
  <c r="BC172" i="28" s="1"/>
  <c r="AI172" i="28"/>
  <c r="BD172" i="28" s="1"/>
  <c r="AJ172" i="28"/>
  <c r="BE172" i="28" s="1"/>
  <c r="AK172" i="28"/>
  <c r="BF172" i="28" s="1"/>
  <c r="AL172" i="28"/>
  <c r="BG172" i="28" s="1"/>
  <c r="AM172" i="28"/>
  <c r="BH172" i="28" s="1"/>
  <c r="AN172" i="28"/>
  <c r="BI172" i="28" s="1"/>
  <c r="AO172" i="28"/>
  <c r="BJ172" i="28" s="1"/>
  <c r="AP172" i="28"/>
  <c r="BK172" i="28" s="1"/>
  <c r="AQ172" i="28"/>
  <c r="BL172" i="28" s="1"/>
  <c r="AR172" i="28"/>
  <c r="BM172" i="28" s="1"/>
  <c r="Y173" i="28"/>
  <c r="AT173" i="28" s="1"/>
  <c r="AA173" i="28"/>
  <c r="AV173" i="28" s="1"/>
  <c r="AB173" i="28"/>
  <c r="AW173" i="28" s="1"/>
  <c r="AC173" i="28"/>
  <c r="AX173" i="28" s="1"/>
  <c r="AD173" i="28"/>
  <c r="AY173" i="28" s="1"/>
  <c r="AE173" i="28"/>
  <c r="AZ173" i="28" s="1"/>
  <c r="AF173" i="28"/>
  <c r="BA173" i="28" s="1"/>
  <c r="AG173" i="28"/>
  <c r="BB173" i="28" s="1"/>
  <c r="AH173" i="28"/>
  <c r="BC173" i="28" s="1"/>
  <c r="AI173" i="28"/>
  <c r="BD173" i="28" s="1"/>
  <c r="AJ173" i="28"/>
  <c r="BE173" i="28" s="1"/>
  <c r="AK173" i="28"/>
  <c r="BF173" i="28" s="1"/>
  <c r="AL173" i="28"/>
  <c r="BG173" i="28" s="1"/>
  <c r="AM173" i="28"/>
  <c r="BH173" i="28" s="1"/>
  <c r="AN173" i="28"/>
  <c r="BI173" i="28" s="1"/>
  <c r="AO173" i="28"/>
  <c r="BJ173" i="28" s="1"/>
  <c r="AP173" i="28"/>
  <c r="BK173" i="28" s="1"/>
  <c r="AQ173" i="28"/>
  <c r="BL173" i="28" s="1"/>
  <c r="AR173" i="28"/>
  <c r="BM173" i="28" s="1"/>
  <c r="Y174" i="28"/>
  <c r="AT174" i="28" s="1"/>
  <c r="AA174" i="28"/>
  <c r="AV174" i="28" s="1"/>
  <c r="AB174" i="28"/>
  <c r="AW174" i="28" s="1"/>
  <c r="AC174" i="28"/>
  <c r="AX174" i="28" s="1"/>
  <c r="AD174" i="28"/>
  <c r="AY174" i="28" s="1"/>
  <c r="AE174" i="28"/>
  <c r="AZ174" i="28" s="1"/>
  <c r="AF174" i="28"/>
  <c r="BA174" i="28" s="1"/>
  <c r="AG174" i="28"/>
  <c r="BB174" i="28" s="1"/>
  <c r="AH174" i="28"/>
  <c r="BC174" i="28" s="1"/>
  <c r="AI174" i="28"/>
  <c r="BD174" i="28" s="1"/>
  <c r="AJ174" i="28"/>
  <c r="BE174" i="28" s="1"/>
  <c r="AK174" i="28"/>
  <c r="BF174" i="28" s="1"/>
  <c r="AL174" i="28"/>
  <c r="BG174" i="28" s="1"/>
  <c r="AM174" i="28"/>
  <c r="BH174" i="28" s="1"/>
  <c r="AN174" i="28"/>
  <c r="BI174" i="28" s="1"/>
  <c r="AO174" i="28"/>
  <c r="BJ174" i="28" s="1"/>
  <c r="AP174" i="28"/>
  <c r="BK174" i="28" s="1"/>
  <c r="AQ174" i="28"/>
  <c r="BL174" i="28" s="1"/>
  <c r="AR174" i="28"/>
  <c r="BM174" i="28" s="1"/>
  <c r="Y175" i="28"/>
  <c r="AT175" i="28" s="1"/>
  <c r="AA175" i="28"/>
  <c r="AV175" i="28" s="1"/>
  <c r="AB175" i="28"/>
  <c r="AW175" i="28" s="1"/>
  <c r="AC175" i="28"/>
  <c r="AX175" i="28" s="1"/>
  <c r="AD175" i="28"/>
  <c r="AY175" i="28" s="1"/>
  <c r="AE175" i="28"/>
  <c r="AZ175" i="28" s="1"/>
  <c r="AF175" i="28"/>
  <c r="BA175" i="28" s="1"/>
  <c r="AG175" i="28"/>
  <c r="BB175" i="28" s="1"/>
  <c r="AH175" i="28"/>
  <c r="BC175" i="28" s="1"/>
  <c r="AI175" i="28"/>
  <c r="BD175" i="28" s="1"/>
  <c r="AJ175" i="28"/>
  <c r="BE175" i="28" s="1"/>
  <c r="AK175" i="28"/>
  <c r="BF175" i="28" s="1"/>
  <c r="AL175" i="28"/>
  <c r="BG175" i="28" s="1"/>
  <c r="AM175" i="28"/>
  <c r="BH175" i="28" s="1"/>
  <c r="AN175" i="28"/>
  <c r="BI175" i="28" s="1"/>
  <c r="AO175" i="28"/>
  <c r="BJ175" i="28" s="1"/>
  <c r="AP175" i="28"/>
  <c r="BK175" i="28" s="1"/>
  <c r="AQ175" i="28"/>
  <c r="BL175" i="28" s="1"/>
  <c r="AR175" i="28"/>
  <c r="BM175" i="28" s="1"/>
  <c r="Y176" i="28"/>
  <c r="AT176" i="28" s="1"/>
  <c r="AA176" i="28"/>
  <c r="AV176" i="28" s="1"/>
  <c r="AB176" i="28"/>
  <c r="AW176" i="28" s="1"/>
  <c r="AC176" i="28"/>
  <c r="AX176" i="28" s="1"/>
  <c r="AD176" i="28"/>
  <c r="AY176" i="28" s="1"/>
  <c r="AE176" i="28"/>
  <c r="AZ176" i="28" s="1"/>
  <c r="AF176" i="28"/>
  <c r="BA176" i="28" s="1"/>
  <c r="AG176" i="28"/>
  <c r="BB176" i="28" s="1"/>
  <c r="AH176" i="28"/>
  <c r="BC176" i="28" s="1"/>
  <c r="AI176" i="28"/>
  <c r="BD176" i="28" s="1"/>
  <c r="AJ176" i="28"/>
  <c r="BE176" i="28" s="1"/>
  <c r="AK176" i="28"/>
  <c r="BF176" i="28" s="1"/>
  <c r="AL176" i="28"/>
  <c r="BG176" i="28" s="1"/>
  <c r="AM176" i="28"/>
  <c r="BH176" i="28" s="1"/>
  <c r="AN176" i="28"/>
  <c r="BI176" i="28" s="1"/>
  <c r="AO176" i="28"/>
  <c r="BJ176" i="28" s="1"/>
  <c r="AP176" i="28"/>
  <c r="BK176" i="28" s="1"/>
  <c r="AQ176" i="28"/>
  <c r="BL176" i="28" s="1"/>
  <c r="AR176" i="28"/>
  <c r="BM176" i="28" s="1"/>
  <c r="Y177" i="28"/>
  <c r="AT177" i="28" s="1"/>
  <c r="AA177" i="28"/>
  <c r="AV177" i="28" s="1"/>
  <c r="AB177" i="28"/>
  <c r="AW177" i="28" s="1"/>
  <c r="AC177" i="28"/>
  <c r="AX177" i="28" s="1"/>
  <c r="AD177" i="28"/>
  <c r="AY177" i="28" s="1"/>
  <c r="AE177" i="28"/>
  <c r="AZ177" i="28" s="1"/>
  <c r="AF177" i="28"/>
  <c r="BA177" i="28" s="1"/>
  <c r="AG177" i="28"/>
  <c r="BB177" i="28" s="1"/>
  <c r="AH177" i="28"/>
  <c r="BC177" i="28" s="1"/>
  <c r="AI177" i="28"/>
  <c r="BD177" i="28" s="1"/>
  <c r="AJ177" i="28"/>
  <c r="BE177" i="28" s="1"/>
  <c r="AK177" i="28"/>
  <c r="BF177" i="28" s="1"/>
  <c r="AL177" i="28"/>
  <c r="BG177" i="28" s="1"/>
  <c r="AM177" i="28"/>
  <c r="BH177" i="28" s="1"/>
  <c r="AN177" i="28"/>
  <c r="BI177" i="28" s="1"/>
  <c r="AO177" i="28"/>
  <c r="BJ177" i="28" s="1"/>
  <c r="AP177" i="28"/>
  <c r="BK177" i="28" s="1"/>
  <c r="AQ177" i="28"/>
  <c r="BL177" i="28" s="1"/>
  <c r="AR177" i="28"/>
  <c r="BM177" i="28" s="1"/>
  <c r="Y178" i="28"/>
  <c r="AT178" i="28" s="1"/>
  <c r="AA178" i="28"/>
  <c r="AV178" i="28" s="1"/>
  <c r="AB178" i="28"/>
  <c r="AW178" i="28" s="1"/>
  <c r="AC178" i="28"/>
  <c r="AX178" i="28" s="1"/>
  <c r="AD178" i="28"/>
  <c r="AY178" i="28" s="1"/>
  <c r="AE178" i="28"/>
  <c r="AZ178" i="28" s="1"/>
  <c r="AF178" i="28"/>
  <c r="BA178" i="28" s="1"/>
  <c r="AG178" i="28"/>
  <c r="BB178" i="28" s="1"/>
  <c r="AH178" i="28"/>
  <c r="BC178" i="28" s="1"/>
  <c r="AI178" i="28"/>
  <c r="BD178" i="28" s="1"/>
  <c r="AJ178" i="28"/>
  <c r="BE178" i="28" s="1"/>
  <c r="AK178" i="28"/>
  <c r="BF178" i="28" s="1"/>
  <c r="AL178" i="28"/>
  <c r="BG178" i="28" s="1"/>
  <c r="AM178" i="28"/>
  <c r="BH178" i="28" s="1"/>
  <c r="AN178" i="28"/>
  <c r="BI178" i="28" s="1"/>
  <c r="AO178" i="28"/>
  <c r="BJ178" i="28" s="1"/>
  <c r="AP178" i="28"/>
  <c r="BK178" i="28" s="1"/>
  <c r="AQ178" i="28"/>
  <c r="BL178" i="28" s="1"/>
  <c r="AR178" i="28"/>
  <c r="BM178" i="28" s="1"/>
  <c r="Y179" i="28"/>
  <c r="AT179" i="28" s="1"/>
  <c r="AA179" i="28"/>
  <c r="AV179" i="28" s="1"/>
  <c r="AB179" i="28"/>
  <c r="AW179" i="28" s="1"/>
  <c r="AC179" i="28"/>
  <c r="AX179" i="28" s="1"/>
  <c r="AD179" i="28"/>
  <c r="AY179" i="28" s="1"/>
  <c r="AE179" i="28"/>
  <c r="AZ179" i="28" s="1"/>
  <c r="AF179" i="28"/>
  <c r="BA179" i="28" s="1"/>
  <c r="AG179" i="28"/>
  <c r="BB179" i="28" s="1"/>
  <c r="AH179" i="28"/>
  <c r="BC179" i="28" s="1"/>
  <c r="AI179" i="28"/>
  <c r="BD179" i="28" s="1"/>
  <c r="AJ179" i="28"/>
  <c r="BE179" i="28" s="1"/>
  <c r="AK179" i="28"/>
  <c r="BF179" i="28" s="1"/>
  <c r="AL179" i="28"/>
  <c r="BG179" i="28" s="1"/>
  <c r="AM179" i="28"/>
  <c r="BH179" i="28" s="1"/>
  <c r="AN179" i="28"/>
  <c r="BI179" i="28" s="1"/>
  <c r="AO179" i="28"/>
  <c r="BJ179" i="28" s="1"/>
  <c r="AP179" i="28"/>
  <c r="BK179" i="28" s="1"/>
  <c r="AQ179" i="28"/>
  <c r="BL179" i="28" s="1"/>
  <c r="AR179" i="28"/>
  <c r="BM179" i="28" s="1"/>
  <c r="Y180" i="28"/>
  <c r="AT180" i="28" s="1"/>
  <c r="AA180" i="28"/>
  <c r="AV180" i="28" s="1"/>
  <c r="AB180" i="28"/>
  <c r="AW180" i="28" s="1"/>
  <c r="AC180" i="28"/>
  <c r="AX180" i="28" s="1"/>
  <c r="AD180" i="28"/>
  <c r="AY180" i="28" s="1"/>
  <c r="AE180" i="28"/>
  <c r="AZ180" i="28" s="1"/>
  <c r="AF180" i="28"/>
  <c r="BA180" i="28" s="1"/>
  <c r="AG180" i="28"/>
  <c r="BB180" i="28" s="1"/>
  <c r="AH180" i="28"/>
  <c r="BC180" i="28" s="1"/>
  <c r="AI180" i="28"/>
  <c r="BD180" i="28" s="1"/>
  <c r="AJ180" i="28"/>
  <c r="BE180" i="28" s="1"/>
  <c r="AK180" i="28"/>
  <c r="BF180" i="28" s="1"/>
  <c r="AL180" i="28"/>
  <c r="BG180" i="28" s="1"/>
  <c r="AM180" i="28"/>
  <c r="BH180" i="28" s="1"/>
  <c r="AN180" i="28"/>
  <c r="BI180" i="28" s="1"/>
  <c r="AO180" i="28"/>
  <c r="BJ180" i="28" s="1"/>
  <c r="AP180" i="28"/>
  <c r="BK180" i="28" s="1"/>
  <c r="AQ180" i="28"/>
  <c r="BL180" i="28" s="1"/>
  <c r="AR180" i="28"/>
  <c r="BM180" i="28" s="1"/>
  <c r="Y181" i="28"/>
  <c r="AT181" i="28" s="1"/>
  <c r="AA181" i="28"/>
  <c r="AV181" i="28" s="1"/>
  <c r="AB181" i="28"/>
  <c r="AW181" i="28" s="1"/>
  <c r="AC181" i="28"/>
  <c r="AX181" i="28" s="1"/>
  <c r="AD181" i="28"/>
  <c r="AY181" i="28" s="1"/>
  <c r="AE181" i="28"/>
  <c r="AZ181" i="28" s="1"/>
  <c r="AF181" i="28"/>
  <c r="BA181" i="28" s="1"/>
  <c r="AG181" i="28"/>
  <c r="BB181" i="28" s="1"/>
  <c r="AH181" i="28"/>
  <c r="BC181" i="28" s="1"/>
  <c r="AI181" i="28"/>
  <c r="BD181" i="28" s="1"/>
  <c r="AJ181" i="28"/>
  <c r="BE181" i="28" s="1"/>
  <c r="AK181" i="28"/>
  <c r="BF181" i="28" s="1"/>
  <c r="AL181" i="28"/>
  <c r="BG181" i="28" s="1"/>
  <c r="AM181" i="28"/>
  <c r="BH181" i="28" s="1"/>
  <c r="AN181" i="28"/>
  <c r="BI181" i="28" s="1"/>
  <c r="AO181" i="28"/>
  <c r="BJ181" i="28" s="1"/>
  <c r="AP181" i="28"/>
  <c r="BK181" i="28" s="1"/>
  <c r="AQ181" i="28"/>
  <c r="BL181" i="28" s="1"/>
  <c r="AR181" i="28"/>
  <c r="BM181" i="28" s="1"/>
  <c r="Y182" i="28"/>
  <c r="AT182" i="28" s="1"/>
  <c r="AA182" i="28"/>
  <c r="AV182" i="28" s="1"/>
  <c r="AB182" i="28"/>
  <c r="AW182" i="28" s="1"/>
  <c r="AC182" i="28"/>
  <c r="AX182" i="28" s="1"/>
  <c r="AD182" i="28"/>
  <c r="AY182" i="28" s="1"/>
  <c r="AE182" i="28"/>
  <c r="AZ182" i="28" s="1"/>
  <c r="AF182" i="28"/>
  <c r="BA182" i="28" s="1"/>
  <c r="AG182" i="28"/>
  <c r="BB182" i="28" s="1"/>
  <c r="AH182" i="28"/>
  <c r="BC182" i="28" s="1"/>
  <c r="AI182" i="28"/>
  <c r="BD182" i="28" s="1"/>
  <c r="AJ182" i="28"/>
  <c r="BE182" i="28" s="1"/>
  <c r="AK182" i="28"/>
  <c r="BF182" i="28" s="1"/>
  <c r="AL182" i="28"/>
  <c r="BG182" i="28" s="1"/>
  <c r="AM182" i="28"/>
  <c r="BH182" i="28" s="1"/>
  <c r="AN182" i="28"/>
  <c r="BI182" i="28" s="1"/>
  <c r="AO182" i="28"/>
  <c r="BJ182" i="28" s="1"/>
  <c r="AP182" i="28"/>
  <c r="BK182" i="28" s="1"/>
  <c r="AQ182" i="28"/>
  <c r="BL182" i="28" s="1"/>
  <c r="AR182" i="28"/>
  <c r="BM182" i="28" s="1"/>
  <c r="Y183" i="28"/>
  <c r="AT183" i="28" s="1"/>
  <c r="AA183" i="28"/>
  <c r="AV183" i="28" s="1"/>
  <c r="AB183" i="28"/>
  <c r="AW183" i="28" s="1"/>
  <c r="AC183" i="28"/>
  <c r="AX183" i="28" s="1"/>
  <c r="AD183" i="28"/>
  <c r="AY183" i="28" s="1"/>
  <c r="AE183" i="28"/>
  <c r="AZ183" i="28" s="1"/>
  <c r="AF183" i="28"/>
  <c r="BA183" i="28" s="1"/>
  <c r="AG183" i="28"/>
  <c r="BB183" i="28" s="1"/>
  <c r="AH183" i="28"/>
  <c r="BC183" i="28" s="1"/>
  <c r="AI183" i="28"/>
  <c r="BD183" i="28" s="1"/>
  <c r="AJ183" i="28"/>
  <c r="BE183" i="28" s="1"/>
  <c r="AK183" i="28"/>
  <c r="BF183" i="28" s="1"/>
  <c r="AL183" i="28"/>
  <c r="BG183" i="28" s="1"/>
  <c r="AM183" i="28"/>
  <c r="BH183" i="28" s="1"/>
  <c r="AN183" i="28"/>
  <c r="BI183" i="28" s="1"/>
  <c r="AO183" i="28"/>
  <c r="BJ183" i="28" s="1"/>
  <c r="AP183" i="28"/>
  <c r="BK183" i="28" s="1"/>
  <c r="AQ183" i="28"/>
  <c r="BL183" i="28" s="1"/>
  <c r="AR183" i="28"/>
  <c r="BM183" i="28" s="1"/>
  <c r="Y184" i="28"/>
  <c r="AT184" i="28" s="1"/>
  <c r="AA184" i="28"/>
  <c r="AV184" i="28" s="1"/>
  <c r="AB184" i="28"/>
  <c r="AW184" i="28" s="1"/>
  <c r="AC184" i="28"/>
  <c r="AX184" i="28" s="1"/>
  <c r="AD184" i="28"/>
  <c r="AY184" i="28" s="1"/>
  <c r="AE184" i="28"/>
  <c r="AZ184" i="28" s="1"/>
  <c r="AF184" i="28"/>
  <c r="BA184" i="28" s="1"/>
  <c r="AG184" i="28"/>
  <c r="BB184" i="28" s="1"/>
  <c r="AH184" i="28"/>
  <c r="BC184" i="28" s="1"/>
  <c r="AI184" i="28"/>
  <c r="BD184" i="28" s="1"/>
  <c r="AJ184" i="28"/>
  <c r="BE184" i="28" s="1"/>
  <c r="AK184" i="28"/>
  <c r="BF184" i="28" s="1"/>
  <c r="AL184" i="28"/>
  <c r="BG184" i="28" s="1"/>
  <c r="AM184" i="28"/>
  <c r="BH184" i="28" s="1"/>
  <c r="AN184" i="28"/>
  <c r="BI184" i="28" s="1"/>
  <c r="AO184" i="28"/>
  <c r="BJ184" i="28" s="1"/>
  <c r="AP184" i="28"/>
  <c r="BK184" i="28" s="1"/>
  <c r="AQ184" i="28"/>
  <c r="BL184" i="28" s="1"/>
  <c r="AR184" i="28"/>
  <c r="BM184" i="28" s="1"/>
  <c r="Y185" i="28"/>
  <c r="AT185" i="28" s="1"/>
  <c r="AA185" i="28"/>
  <c r="AV185" i="28" s="1"/>
  <c r="AB185" i="28"/>
  <c r="AW185" i="28" s="1"/>
  <c r="AC185" i="28"/>
  <c r="AX185" i="28" s="1"/>
  <c r="AD185" i="28"/>
  <c r="AY185" i="28" s="1"/>
  <c r="AE185" i="28"/>
  <c r="AZ185" i="28" s="1"/>
  <c r="AF185" i="28"/>
  <c r="BA185" i="28" s="1"/>
  <c r="AG185" i="28"/>
  <c r="BB185" i="28" s="1"/>
  <c r="AH185" i="28"/>
  <c r="BC185" i="28" s="1"/>
  <c r="AI185" i="28"/>
  <c r="BD185" i="28" s="1"/>
  <c r="AJ185" i="28"/>
  <c r="BE185" i="28" s="1"/>
  <c r="AK185" i="28"/>
  <c r="BF185" i="28" s="1"/>
  <c r="AL185" i="28"/>
  <c r="BG185" i="28" s="1"/>
  <c r="AM185" i="28"/>
  <c r="BH185" i="28" s="1"/>
  <c r="AN185" i="28"/>
  <c r="BI185" i="28" s="1"/>
  <c r="AO185" i="28"/>
  <c r="BJ185" i="28" s="1"/>
  <c r="AP185" i="28"/>
  <c r="BK185" i="28" s="1"/>
  <c r="AQ185" i="28"/>
  <c r="BL185" i="28" s="1"/>
  <c r="AR185" i="28"/>
  <c r="BM185" i="28" s="1"/>
  <c r="Y186" i="28"/>
  <c r="AT186" i="28" s="1"/>
  <c r="AA186" i="28"/>
  <c r="AV186" i="28" s="1"/>
  <c r="AB186" i="28"/>
  <c r="AW186" i="28" s="1"/>
  <c r="AC186" i="28"/>
  <c r="AX186" i="28" s="1"/>
  <c r="AD186" i="28"/>
  <c r="AY186" i="28" s="1"/>
  <c r="AE186" i="28"/>
  <c r="AZ186" i="28" s="1"/>
  <c r="AF186" i="28"/>
  <c r="BA186" i="28" s="1"/>
  <c r="AG186" i="28"/>
  <c r="BB186" i="28" s="1"/>
  <c r="AH186" i="28"/>
  <c r="BC186" i="28" s="1"/>
  <c r="AI186" i="28"/>
  <c r="BD186" i="28" s="1"/>
  <c r="AJ186" i="28"/>
  <c r="BE186" i="28" s="1"/>
  <c r="AK186" i="28"/>
  <c r="BF186" i="28" s="1"/>
  <c r="AL186" i="28"/>
  <c r="BG186" i="28" s="1"/>
  <c r="AM186" i="28"/>
  <c r="BH186" i="28" s="1"/>
  <c r="AN186" i="28"/>
  <c r="BI186" i="28" s="1"/>
  <c r="AO186" i="28"/>
  <c r="BJ186" i="28" s="1"/>
  <c r="AP186" i="28"/>
  <c r="BK186" i="28" s="1"/>
  <c r="AQ186" i="28"/>
  <c r="BL186" i="28" s="1"/>
  <c r="AR186" i="28"/>
  <c r="BM186" i="28" s="1"/>
  <c r="Y187" i="28"/>
  <c r="AT187" i="28" s="1"/>
  <c r="AA187" i="28"/>
  <c r="AV187" i="28" s="1"/>
  <c r="AB187" i="28"/>
  <c r="AW187" i="28" s="1"/>
  <c r="AC187" i="28"/>
  <c r="AX187" i="28" s="1"/>
  <c r="AD187" i="28"/>
  <c r="AY187" i="28" s="1"/>
  <c r="AE187" i="28"/>
  <c r="AZ187" i="28" s="1"/>
  <c r="AF187" i="28"/>
  <c r="BA187" i="28" s="1"/>
  <c r="AG187" i="28"/>
  <c r="BB187" i="28" s="1"/>
  <c r="AH187" i="28"/>
  <c r="BC187" i="28" s="1"/>
  <c r="AI187" i="28"/>
  <c r="BD187" i="28" s="1"/>
  <c r="AJ187" i="28"/>
  <c r="BE187" i="28" s="1"/>
  <c r="AK187" i="28"/>
  <c r="BF187" i="28" s="1"/>
  <c r="AL187" i="28"/>
  <c r="BG187" i="28" s="1"/>
  <c r="AM187" i="28"/>
  <c r="BH187" i="28" s="1"/>
  <c r="AN187" i="28"/>
  <c r="BI187" i="28" s="1"/>
  <c r="AO187" i="28"/>
  <c r="BJ187" i="28" s="1"/>
  <c r="AP187" i="28"/>
  <c r="BK187" i="28" s="1"/>
  <c r="AQ187" i="28"/>
  <c r="BL187" i="28" s="1"/>
  <c r="AR187" i="28"/>
  <c r="BM187" i="28" s="1"/>
  <c r="Y188" i="28"/>
  <c r="AT188" i="28" s="1"/>
  <c r="AA188" i="28"/>
  <c r="AV188" i="28" s="1"/>
  <c r="AB188" i="28"/>
  <c r="AW188" i="28" s="1"/>
  <c r="AC188" i="28"/>
  <c r="AX188" i="28" s="1"/>
  <c r="AD188" i="28"/>
  <c r="AY188" i="28" s="1"/>
  <c r="AE188" i="28"/>
  <c r="AZ188" i="28" s="1"/>
  <c r="AF188" i="28"/>
  <c r="BA188" i="28" s="1"/>
  <c r="AG188" i="28"/>
  <c r="BB188" i="28" s="1"/>
  <c r="AH188" i="28"/>
  <c r="BC188" i="28" s="1"/>
  <c r="AI188" i="28"/>
  <c r="BD188" i="28" s="1"/>
  <c r="AJ188" i="28"/>
  <c r="BE188" i="28" s="1"/>
  <c r="AK188" i="28"/>
  <c r="BF188" i="28" s="1"/>
  <c r="AL188" i="28"/>
  <c r="BG188" i="28" s="1"/>
  <c r="AM188" i="28"/>
  <c r="BH188" i="28" s="1"/>
  <c r="AN188" i="28"/>
  <c r="BI188" i="28" s="1"/>
  <c r="AO188" i="28"/>
  <c r="BJ188" i="28" s="1"/>
  <c r="AP188" i="28"/>
  <c r="BK188" i="28" s="1"/>
  <c r="AQ188" i="28"/>
  <c r="BL188" i="28" s="1"/>
  <c r="AR188" i="28"/>
  <c r="BM188" i="28" s="1"/>
  <c r="Y189" i="28"/>
  <c r="AT189" i="28" s="1"/>
  <c r="AA189" i="28"/>
  <c r="AV189" i="28" s="1"/>
  <c r="AB189" i="28"/>
  <c r="AW189" i="28" s="1"/>
  <c r="AC189" i="28"/>
  <c r="AX189" i="28" s="1"/>
  <c r="AD189" i="28"/>
  <c r="AY189" i="28" s="1"/>
  <c r="AE189" i="28"/>
  <c r="AZ189" i="28" s="1"/>
  <c r="AF189" i="28"/>
  <c r="BA189" i="28" s="1"/>
  <c r="AG189" i="28"/>
  <c r="BB189" i="28" s="1"/>
  <c r="AH189" i="28"/>
  <c r="BC189" i="28" s="1"/>
  <c r="AI189" i="28"/>
  <c r="BD189" i="28" s="1"/>
  <c r="AJ189" i="28"/>
  <c r="BE189" i="28" s="1"/>
  <c r="AK189" i="28"/>
  <c r="BF189" i="28" s="1"/>
  <c r="AL189" i="28"/>
  <c r="BG189" i="28" s="1"/>
  <c r="AM189" i="28"/>
  <c r="BH189" i="28" s="1"/>
  <c r="AN189" i="28"/>
  <c r="BI189" i="28" s="1"/>
  <c r="AO189" i="28"/>
  <c r="BJ189" i="28" s="1"/>
  <c r="AP189" i="28"/>
  <c r="BK189" i="28" s="1"/>
  <c r="AQ189" i="28"/>
  <c r="BL189" i="28" s="1"/>
  <c r="AR189" i="28"/>
  <c r="BM189" i="28" s="1"/>
  <c r="Y190" i="28"/>
  <c r="AT190" i="28" s="1"/>
  <c r="AA190" i="28"/>
  <c r="AV190" i="28" s="1"/>
  <c r="AB190" i="28"/>
  <c r="AW190" i="28" s="1"/>
  <c r="AC190" i="28"/>
  <c r="AX190" i="28" s="1"/>
  <c r="AD190" i="28"/>
  <c r="AY190" i="28" s="1"/>
  <c r="AE190" i="28"/>
  <c r="AZ190" i="28" s="1"/>
  <c r="AF190" i="28"/>
  <c r="BA190" i="28" s="1"/>
  <c r="AG190" i="28"/>
  <c r="BB190" i="28" s="1"/>
  <c r="AH190" i="28"/>
  <c r="BC190" i="28" s="1"/>
  <c r="AI190" i="28"/>
  <c r="BD190" i="28" s="1"/>
  <c r="AJ190" i="28"/>
  <c r="BE190" i="28" s="1"/>
  <c r="AK190" i="28"/>
  <c r="BF190" i="28" s="1"/>
  <c r="AL190" i="28"/>
  <c r="BG190" i="28" s="1"/>
  <c r="AM190" i="28"/>
  <c r="BH190" i="28" s="1"/>
  <c r="AN190" i="28"/>
  <c r="BI190" i="28" s="1"/>
  <c r="AO190" i="28"/>
  <c r="BJ190" i="28" s="1"/>
  <c r="AP190" i="28"/>
  <c r="BK190" i="28" s="1"/>
  <c r="AQ190" i="28"/>
  <c r="BL190" i="28" s="1"/>
  <c r="AR190" i="28"/>
  <c r="BM190" i="28" s="1"/>
  <c r="Y191" i="28"/>
  <c r="AT191" i="28" s="1"/>
  <c r="AA191" i="28"/>
  <c r="AV191" i="28" s="1"/>
  <c r="AB191" i="28"/>
  <c r="AW191" i="28" s="1"/>
  <c r="AC191" i="28"/>
  <c r="AX191" i="28" s="1"/>
  <c r="AD191" i="28"/>
  <c r="AY191" i="28" s="1"/>
  <c r="AE191" i="28"/>
  <c r="AZ191" i="28" s="1"/>
  <c r="AF191" i="28"/>
  <c r="BA191" i="28" s="1"/>
  <c r="AG191" i="28"/>
  <c r="BB191" i="28" s="1"/>
  <c r="AH191" i="28"/>
  <c r="BC191" i="28" s="1"/>
  <c r="AI191" i="28"/>
  <c r="BD191" i="28" s="1"/>
  <c r="AJ191" i="28"/>
  <c r="BE191" i="28" s="1"/>
  <c r="AK191" i="28"/>
  <c r="BF191" i="28" s="1"/>
  <c r="AL191" i="28"/>
  <c r="BG191" i="28" s="1"/>
  <c r="AM191" i="28"/>
  <c r="BH191" i="28" s="1"/>
  <c r="AN191" i="28"/>
  <c r="BI191" i="28" s="1"/>
  <c r="AO191" i="28"/>
  <c r="BJ191" i="28" s="1"/>
  <c r="AP191" i="28"/>
  <c r="BK191" i="28" s="1"/>
  <c r="AQ191" i="28"/>
  <c r="BL191" i="28" s="1"/>
  <c r="AR191" i="28"/>
  <c r="BM191" i="28" s="1"/>
  <c r="Y192" i="28"/>
  <c r="AT192" i="28" s="1"/>
  <c r="AA192" i="28"/>
  <c r="AV192" i="28" s="1"/>
  <c r="AB192" i="28"/>
  <c r="AW192" i="28" s="1"/>
  <c r="AC192" i="28"/>
  <c r="AX192" i="28" s="1"/>
  <c r="AD192" i="28"/>
  <c r="AY192" i="28" s="1"/>
  <c r="AE192" i="28"/>
  <c r="AZ192" i="28" s="1"/>
  <c r="AF192" i="28"/>
  <c r="BA192" i="28" s="1"/>
  <c r="AG192" i="28"/>
  <c r="BB192" i="28" s="1"/>
  <c r="AH192" i="28"/>
  <c r="BC192" i="28" s="1"/>
  <c r="AI192" i="28"/>
  <c r="BD192" i="28" s="1"/>
  <c r="AJ192" i="28"/>
  <c r="BE192" i="28" s="1"/>
  <c r="AK192" i="28"/>
  <c r="BF192" i="28" s="1"/>
  <c r="AL192" i="28"/>
  <c r="BG192" i="28" s="1"/>
  <c r="AM192" i="28"/>
  <c r="BH192" i="28" s="1"/>
  <c r="AN192" i="28"/>
  <c r="BI192" i="28" s="1"/>
  <c r="AO192" i="28"/>
  <c r="BJ192" i="28" s="1"/>
  <c r="AP192" i="28"/>
  <c r="BK192" i="28" s="1"/>
  <c r="AQ192" i="28"/>
  <c r="BL192" i="28" s="1"/>
  <c r="AR192" i="28"/>
  <c r="BM192" i="28" s="1"/>
  <c r="Y193" i="28"/>
  <c r="AT193" i="28" s="1"/>
  <c r="AA193" i="28"/>
  <c r="AV193" i="28" s="1"/>
  <c r="AB193" i="28"/>
  <c r="AW193" i="28" s="1"/>
  <c r="AC193" i="28"/>
  <c r="AX193" i="28" s="1"/>
  <c r="AD193" i="28"/>
  <c r="AY193" i="28" s="1"/>
  <c r="AE193" i="28"/>
  <c r="AZ193" i="28" s="1"/>
  <c r="AF193" i="28"/>
  <c r="BA193" i="28" s="1"/>
  <c r="AG193" i="28"/>
  <c r="BB193" i="28" s="1"/>
  <c r="AH193" i="28"/>
  <c r="BC193" i="28" s="1"/>
  <c r="AI193" i="28"/>
  <c r="BD193" i="28" s="1"/>
  <c r="AJ193" i="28"/>
  <c r="BE193" i="28" s="1"/>
  <c r="AK193" i="28"/>
  <c r="BF193" i="28" s="1"/>
  <c r="AL193" i="28"/>
  <c r="BG193" i="28" s="1"/>
  <c r="AM193" i="28"/>
  <c r="BH193" i="28" s="1"/>
  <c r="AN193" i="28"/>
  <c r="BI193" i="28" s="1"/>
  <c r="AO193" i="28"/>
  <c r="BJ193" i="28" s="1"/>
  <c r="AP193" i="28"/>
  <c r="BK193" i="28" s="1"/>
  <c r="AQ193" i="28"/>
  <c r="BL193" i="28" s="1"/>
  <c r="AR193" i="28"/>
  <c r="BM193" i="28" s="1"/>
  <c r="Y194" i="28"/>
  <c r="AT194" i="28" s="1"/>
  <c r="AA194" i="28"/>
  <c r="AV194" i="28" s="1"/>
  <c r="AB194" i="28"/>
  <c r="AW194" i="28" s="1"/>
  <c r="AC194" i="28"/>
  <c r="AX194" i="28" s="1"/>
  <c r="AD194" i="28"/>
  <c r="AY194" i="28" s="1"/>
  <c r="AE194" i="28"/>
  <c r="AZ194" i="28" s="1"/>
  <c r="AF194" i="28"/>
  <c r="BA194" i="28" s="1"/>
  <c r="AG194" i="28"/>
  <c r="BB194" i="28" s="1"/>
  <c r="AH194" i="28"/>
  <c r="BC194" i="28" s="1"/>
  <c r="AI194" i="28"/>
  <c r="BD194" i="28" s="1"/>
  <c r="AJ194" i="28"/>
  <c r="BE194" i="28" s="1"/>
  <c r="AK194" i="28"/>
  <c r="BF194" i="28" s="1"/>
  <c r="AL194" i="28"/>
  <c r="BG194" i="28" s="1"/>
  <c r="AM194" i="28"/>
  <c r="BH194" i="28" s="1"/>
  <c r="AN194" i="28"/>
  <c r="BI194" i="28" s="1"/>
  <c r="AO194" i="28"/>
  <c r="BJ194" i="28" s="1"/>
  <c r="AP194" i="28"/>
  <c r="BK194" i="28" s="1"/>
  <c r="AQ194" i="28"/>
  <c r="BL194" i="28" s="1"/>
  <c r="AR194" i="28"/>
  <c r="BM194" i="28" s="1"/>
  <c r="Y195" i="28"/>
  <c r="AT195" i="28" s="1"/>
  <c r="AA195" i="28"/>
  <c r="AV195" i="28" s="1"/>
  <c r="AB195" i="28"/>
  <c r="AW195" i="28" s="1"/>
  <c r="AC195" i="28"/>
  <c r="AX195" i="28" s="1"/>
  <c r="AD195" i="28"/>
  <c r="AY195" i="28" s="1"/>
  <c r="AE195" i="28"/>
  <c r="AZ195" i="28" s="1"/>
  <c r="AF195" i="28"/>
  <c r="BA195" i="28" s="1"/>
  <c r="AG195" i="28"/>
  <c r="BB195" i="28" s="1"/>
  <c r="AH195" i="28"/>
  <c r="BC195" i="28" s="1"/>
  <c r="AI195" i="28"/>
  <c r="BD195" i="28" s="1"/>
  <c r="AJ195" i="28"/>
  <c r="BE195" i="28" s="1"/>
  <c r="AK195" i="28"/>
  <c r="BF195" i="28" s="1"/>
  <c r="AL195" i="28"/>
  <c r="BG195" i="28" s="1"/>
  <c r="AM195" i="28"/>
  <c r="BH195" i="28" s="1"/>
  <c r="AN195" i="28"/>
  <c r="BI195" i="28" s="1"/>
  <c r="AO195" i="28"/>
  <c r="BJ195" i="28" s="1"/>
  <c r="AP195" i="28"/>
  <c r="BK195" i="28" s="1"/>
  <c r="AQ195" i="28"/>
  <c r="BL195" i="28" s="1"/>
  <c r="AR195" i="28"/>
  <c r="BM195" i="28" s="1"/>
  <c r="Y196" i="28"/>
  <c r="AT196" i="28" s="1"/>
  <c r="AA196" i="28"/>
  <c r="AV196" i="28" s="1"/>
  <c r="AB196" i="28"/>
  <c r="AW196" i="28" s="1"/>
  <c r="AC196" i="28"/>
  <c r="AX196" i="28" s="1"/>
  <c r="AD196" i="28"/>
  <c r="AY196" i="28" s="1"/>
  <c r="AE196" i="28"/>
  <c r="AZ196" i="28" s="1"/>
  <c r="AF196" i="28"/>
  <c r="BA196" i="28" s="1"/>
  <c r="AG196" i="28"/>
  <c r="BB196" i="28" s="1"/>
  <c r="AH196" i="28"/>
  <c r="BC196" i="28" s="1"/>
  <c r="AI196" i="28"/>
  <c r="BD196" i="28" s="1"/>
  <c r="AJ196" i="28"/>
  <c r="BE196" i="28" s="1"/>
  <c r="AK196" i="28"/>
  <c r="BF196" i="28" s="1"/>
  <c r="AL196" i="28"/>
  <c r="BG196" i="28" s="1"/>
  <c r="AM196" i="28"/>
  <c r="BH196" i="28" s="1"/>
  <c r="AN196" i="28"/>
  <c r="BI196" i="28" s="1"/>
  <c r="AO196" i="28"/>
  <c r="BJ196" i="28" s="1"/>
  <c r="AP196" i="28"/>
  <c r="BK196" i="28" s="1"/>
  <c r="AQ196" i="28"/>
  <c r="BL196" i="28" s="1"/>
  <c r="AR196" i="28"/>
  <c r="BM196" i="28" s="1"/>
  <c r="Y197" i="28"/>
  <c r="AT197" i="28" s="1"/>
  <c r="AA197" i="28"/>
  <c r="AV197" i="28" s="1"/>
  <c r="AB197" i="28"/>
  <c r="AW197" i="28" s="1"/>
  <c r="AC197" i="28"/>
  <c r="AX197" i="28" s="1"/>
  <c r="AD197" i="28"/>
  <c r="AY197" i="28" s="1"/>
  <c r="AE197" i="28"/>
  <c r="AZ197" i="28" s="1"/>
  <c r="AF197" i="28"/>
  <c r="BA197" i="28" s="1"/>
  <c r="AG197" i="28"/>
  <c r="BB197" i="28" s="1"/>
  <c r="AH197" i="28"/>
  <c r="BC197" i="28" s="1"/>
  <c r="AI197" i="28"/>
  <c r="BD197" i="28" s="1"/>
  <c r="AJ197" i="28"/>
  <c r="BE197" i="28" s="1"/>
  <c r="AK197" i="28"/>
  <c r="BF197" i="28" s="1"/>
  <c r="AL197" i="28"/>
  <c r="BG197" i="28" s="1"/>
  <c r="AM197" i="28"/>
  <c r="BH197" i="28" s="1"/>
  <c r="AN197" i="28"/>
  <c r="BI197" i="28" s="1"/>
  <c r="AO197" i="28"/>
  <c r="BJ197" i="28" s="1"/>
  <c r="AP197" i="28"/>
  <c r="BK197" i="28" s="1"/>
  <c r="AQ197" i="28"/>
  <c r="BL197" i="28" s="1"/>
  <c r="AR197" i="28"/>
  <c r="BM197" i="28" s="1"/>
  <c r="Y198" i="28"/>
  <c r="AT198" i="28" s="1"/>
  <c r="AA198" i="28"/>
  <c r="AV198" i="28" s="1"/>
  <c r="AB198" i="28"/>
  <c r="AW198" i="28" s="1"/>
  <c r="AC198" i="28"/>
  <c r="AX198" i="28" s="1"/>
  <c r="AD198" i="28"/>
  <c r="AY198" i="28" s="1"/>
  <c r="AE198" i="28"/>
  <c r="AZ198" i="28" s="1"/>
  <c r="AF198" i="28"/>
  <c r="BA198" i="28" s="1"/>
  <c r="AG198" i="28"/>
  <c r="BB198" i="28" s="1"/>
  <c r="AH198" i="28"/>
  <c r="BC198" i="28" s="1"/>
  <c r="AI198" i="28"/>
  <c r="BD198" i="28" s="1"/>
  <c r="AJ198" i="28"/>
  <c r="BE198" i="28" s="1"/>
  <c r="AK198" i="28"/>
  <c r="BF198" i="28" s="1"/>
  <c r="AL198" i="28"/>
  <c r="BG198" i="28" s="1"/>
  <c r="AM198" i="28"/>
  <c r="BH198" i="28" s="1"/>
  <c r="AN198" i="28"/>
  <c r="BI198" i="28" s="1"/>
  <c r="AO198" i="28"/>
  <c r="BJ198" i="28" s="1"/>
  <c r="AP198" i="28"/>
  <c r="BK198" i="28" s="1"/>
  <c r="AQ198" i="28"/>
  <c r="BL198" i="28" s="1"/>
  <c r="AR198" i="28"/>
  <c r="BM198" i="28" s="1"/>
  <c r="Y199" i="28"/>
  <c r="AT199" i="28" s="1"/>
  <c r="AA199" i="28"/>
  <c r="AV199" i="28" s="1"/>
  <c r="AB199" i="28"/>
  <c r="AW199" i="28" s="1"/>
  <c r="AC199" i="28"/>
  <c r="AX199" i="28" s="1"/>
  <c r="AD199" i="28"/>
  <c r="AY199" i="28" s="1"/>
  <c r="AE199" i="28"/>
  <c r="AZ199" i="28" s="1"/>
  <c r="AF199" i="28"/>
  <c r="BA199" i="28" s="1"/>
  <c r="AG199" i="28"/>
  <c r="BB199" i="28" s="1"/>
  <c r="AH199" i="28"/>
  <c r="BC199" i="28" s="1"/>
  <c r="AI199" i="28"/>
  <c r="BD199" i="28" s="1"/>
  <c r="AJ199" i="28"/>
  <c r="BE199" i="28" s="1"/>
  <c r="AK199" i="28"/>
  <c r="BF199" i="28" s="1"/>
  <c r="AL199" i="28"/>
  <c r="BG199" i="28" s="1"/>
  <c r="AM199" i="28"/>
  <c r="BH199" i="28" s="1"/>
  <c r="AN199" i="28"/>
  <c r="BI199" i="28" s="1"/>
  <c r="AO199" i="28"/>
  <c r="BJ199" i="28" s="1"/>
  <c r="AP199" i="28"/>
  <c r="BK199" i="28" s="1"/>
  <c r="AQ199" i="28"/>
  <c r="BL199" i="28" s="1"/>
  <c r="AR199" i="28"/>
  <c r="BM199" i="28" s="1"/>
  <c r="Y200" i="28"/>
  <c r="AT200" i="28" s="1"/>
  <c r="AA200" i="28"/>
  <c r="AV200" i="28" s="1"/>
  <c r="AB200" i="28"/>
  <c r="AW200" i="28" s="1"/>
  <c r="AC200" i="28"/>
  <c r="AX200" i="28" s="1"/>
  <c r="AD200" i="28"/>
  <c r="AY200" i="28" s="1"/>
  <c r="AE200" i="28"/>
  <c r="AZ200" i="28" s="1"/>
  <c r="AF200" i="28"/>
  <c r="BA200" i="28" s="1"/>
  <c r="AG200" i="28"/>
  <c r="BB200" i="28" s="1"/>
  <c r="AH200" i="28"/>
  <c r="BC200" i="28" s="1"/>
  <c r="AI200" i="28"/>
  <c r="BD200" i="28" s="1"/>
  <c r="AJ200" i="28"/>
  <c r="BE200" i="28" s="1"/>
  <c r="AK200" i="28"/>
  <c r="BF200" i="28" s="1"/>
  <c r="AL200" i="28"/>
  <c r="BG200" i="28" s="1"/>
  <c r="AM200" i="28"/>
  <c r="BH200" i="28" s="1"/>
  <c r="AN200" i="28"/>
  <c r="BI200" i="28" s="1"/>
  <c r="AO200" i="28"/>
  <c r="BJ200" i="28" s="1"/>
  <c r="AP200" i="28"/>
  <c r="BK200" i="28" s="1"/>
  <c r="AQ200" i="28"/>
  <c r="BL200" i="28" s="1"/>
  <c r="AR200" i="28"/>
  <c r="BM200" i="28" s="1"/>
  <c r="Y201" i="28"/>
  <c r="AT201" i="28" s="1"/>
  <c r="AA201" i="28"/>
  <c r="AV201" i="28" s="1"/>
  <c r="AB201" i="28"/>
  <c r="AW201" i="28" s="1"/>
  <c r="AC201" i="28"/>
  <c r="AX201" i="28" s="1"/>
  <c r="AD201" i="28"/>
  <c r="AY201" i="28" s="1"/>
  <c r="AE201" i="28"/>
  <c r="AZ201" i="28" s="1"/>
  <c r="AF201" i="28"/>
  <c r="BA201" i="28" s="1"/>
  <c r="AG201" i="28"/>
  <c r="BB201" i="28" s="1"/>
  <c r="AH201" i="28"/>
  <c r="BC201" i="28" s="1"/>
  <c r="AI201" i="28"/>
  <c r="BD201" i="28" s="1"/>
  <c r="AJ201" i="28"/>
  <c r="BE201" i="28" s="1"/>
  <c r="AK201" i="28"/>
  <c r="BF201" i="28" s="1"/>
  <c r="AL201" i="28"/>
  <c r="BG201" i="28" s="1"/>
  <c r="AM201" i="28"/>
  <c r="BH201" i="28" s="1"/>
  <c r="AN201" i="28"/>
  <c r="BI201" i="28" s="1"/>
  <c r="AO201" i="28"/>
  <c r="BJ201" i="28" s="1"/>
  <c r="AP201" i="28"/>
  <c r="BK201" i="28" s="1"/>
  <c r="AQ201" i="28"/>
  <c r="BL201" i="28" s="1"/>
  <c r="AR201" i="28"/>
  <c r="BM201" i="28" s="1"/>
  <c r="Y202" i="28"/>
  <c r="AT202" i="28" s="1"/>
  <c r="AA202" i="28"/>
  <c r="AV202" i="28" s="1"/>
  <c r="AB202" i="28"/>
  <c r="AW202" i="28" s="1"/>
  <c r="AC202" i="28"/>
  <c r="AX202" i="28" s="1"/>
  <c r="AD202" i="28"/>
  <c r="AY202" i="28" s="1"/>
  <c r="AE202" i="28"/>
  <c r="AZ202" i="28" s="1"/>
  <c r="AF202" i="28"/>
  <c r="BA202" i="28" s="1"/>
  <c r="AG202" i="28"/>
  <c r="BB202" i="28" s="1"/>
  <c r="AH202" i="28"/>
  <c r="BC202" i="28" s="1"/>
  <c r="AI202" i="28"/>
  <c r="BD202" i="28" s="1"/>
  <c r="AJ202" i="28"/>
  <c r="BE202" i="28" s="1"/>
  <c r="AK202" i="28"/>
  <c r="BF202" i="28" s="1"/>
  <c r="AL202" i="28"/>
  <c r="BG202" i="28" s="1"/>
  <c r="AM202" i="28"/>
  <c r="BH202" i="28" s="1"/>
  <c r="AN202" i="28"/>
  <c r="BI202" i="28" s="1"/>
  <c r="AO202" i="28"/>
  <c r="BJ202" i="28" s="1"/>
  <c r="AP202" i="28"/>
  <c r="BK202" i="28" s="1"/>
  <c r="AQ202" i="28"/>
  <c r="BL202" i="28" s="1"/>
  <c r="AR202" i="28"/>
  <c r="BM202" i="28" s="1"/>
  <c r="Y203" i="28"/>
  <c r="AT203" i="28" s="1"/>
  <c r="AA203" i="28"/>
  <c r="AV203" i="28" s="1"/>
  <c r="AB203" i="28"/>
  <c r="AW203" i="28" s="1"/>
  <c r="AC203" i="28"/>
  <c r="AX203" i="28" s="1"/>
  <c r="AD203" i="28"/>
  <c r="AY203" i="28" s="1"/>
  <c r="AE203" i="28"/>
  <c r="AZ203" i="28" s="1"/>
  <c r="AF203" i="28"/>
  <c r="BA203" i="28" s="1"/>
  <c r="AG203" i="28"/>
  <c r="BB203" i="28" s="1"/>
  <c r="AH203" i="28"/>
  <c r="BC203" i="28" s="1"/>
  <c r="AI203" i="28"/>
  <c r="BD203" i="28" s="1"/>
  <c r="AJ203" i="28"/>
  <c r="BE203" i="28" s="1"/>
  <c r="AK203" i="28"/>
  <c r="BF203" i="28" s="1"/>
  <c r="AL203" i="28"/>
  <c r="BG203" i="28" s="1"/>
  <c r="AM203" i="28"/>
  <c r="BH203" i="28" s="1"/>
  <c r="AN203" i="28"/>
  <c r="BI203" i="28" s="1"/>
  <c r="AO203" i="28"/>
  <c r="BJ203" i="28" s="1"/>
  <c r="AP203" i="28"/>
  <c r="BK203" i="28" s="1"/>
  <c r="AQ203" i="28"/>
  <c r="BL203" i="28" s="1"/>
  <c r="AR203" i="28"/>
  <c r="BM203" i="28" s="1"/>
  <c r="Y204" i="28"/>
  <c r="AT204" i="28" s="1"/>
  <c r="AA204" i="28"/>
  <c r="AV204" i="28" s="1"/>
  <c r="AB204" i="28"/>
  <c r="AW204" i="28" s="1"/>
  <c r="AC204" i="28"/>
  <c r="AX204" i="28" s="1"/>
  <c r="AD204" i="28"/>
  <c r="AY204" i="28" s="1"/>
  <c r="AE204" i="28"/>
  <c r="AZ204" i="28" s="1"/>
  <c r="AF204" i="28"/>
  <c r="BA204" i="28" s="1"/>
  <c r="AG204" i="28"/>
  <c r="BB204" i="28" s="1"/>
  <c r="AH204" i="28"/>
  <c r="BC204" i="28" s="1"/>
  <c r="AI204" i="28"/>
  <c r="BD204" i="28" s="1"/>
  <c r="AJ204" i="28"/>
  <c r="BE204" i="28" s="1"/>
  <c r="AK204" i="28"/>
  <c r="BF204" i="28" s="1"/>
  <c r="AL204" i="28"/>
  <c r="BG204" i="28" s="1"/>
  <c r="AM204" i="28"/>
  <c r="BH204" i="28" s="1"/>
  <c r="AN204" i="28"/>
  <c r="BI204" i="28" s="1"/>
  <c r="AO204" i="28"/>
  <c r="BJ204" i="28" s="1"/>
  <c r="AP204" i="28"/>
  <c r="BK204" i="28" s="1"/>
  <c r="AQ204" i="28"/>
  <c r="BL204" i="28" s="1"/>
  <c r="AR204" i="28"/>
  <c r="BM204" i="28" s="1"/>
  <c r="Y205" i="28"/>
  <c r="AT205" i="28" s="1"/>
  <c r="AA205" i="28"/>
  <c r="AV205" i="28" s="1"/>
  <c r="AB205" i="28"/>
  <c r="AW205" i="28" s="1"/>
  <c r="AC205" i="28"/>
  <c r="AX205" i="28" s="1"/>
  <c r="AD205" i="28"/>
  <c r="AY205" i="28" s="1"/>
  <c r="AE205" i="28"/>
  <c r="AZ205" i="28" s="1"/>
  <c r="AF205" i="28"/>
  <c r="BA205" i="28" s="1"/>
  <c r="AG205" i="28"/>
  <c r="BB205" i="28" s="1"/>
  <c r="AH205" i="28"/>
  <c r="BC205" i="28" s="1"/>
  <c r="AI205" i="28"/>
  <c r="BD205" i="28" s="1"/>
  <c r="AJ205" i="28"/>
  <c r="BE205" i="28" s="1"/>
  <c r="AK205" i="28"/>
  <c r="BF205" i="28" s="1"/>
  <c r="AL205" i="28"/>
  <c r="BG205" i="28" s="1"/>
  <c r="AM205" i="28"/>
  <c r="BH205" i="28" s="1"/>
  <c r="AN205" i="28"/>
  <c r="BI205" i="28" s="1"/>
  <c r="AO205" i="28"/>
  <c r="BJ205" i="28" s="1"/>
  <c r="AP205" i="28"/>
  <c r="BK205" i="28" s="1"/>
  <c r="AQ205" i="28"/>
  <c r="BL205" i="28" s="1"/>
  <c r="AR205" i="28"/>
  <c r="BM205" i="28" s="1"/>
  <c r="Y3" i="28"/>
  <c r="AT3" i="28" s="1"/>
  <c r="Y4" i="28"/>
  <c r="AT4" i="28" s="1"/>
  <c r="Y5" i="28"/>
  <c r="AT5" i="28" s="1"/>
  <c r="Y6" i="28"/>
  <c r="AT6" i="28" s="1"/>
  <c r="Y7" i="28"/>
  <c r="AT7" i="28" s="1"/>
  <c r="Y8" i="28"/>
  <c r="AT8" i="28" s="1"/>
  <c r="Y9" i="28"/>
  <c r="AT9" i="28" s="1"/>
  <c r="Y10" i="28"/>
  <c r="AT10" i="28" s="1"/>
  <c r="Y11" i="28"/>
  <c r="AT11" i="28" s="1"/>
  <c r="Y12" i="28"/>
  <c r="AT12" i="28" s="1"/>
  <c r="Y13" i="28"/>
  <c r="AT13" i="28" s="1"/>
  <c r="AT14" i="28"/>
  <c r="AV14" i="28"/>
  <c r="AW14" i="28"/>
  <c r="AX14" i="28"/>
  <c r="AY14" i="28"/>
  <c r="AZ14" i="28"/>
  <c r="BA14" i="28"/>
  <c r="BB14" i="28"/>
  <c r="BC14" i="28"/>
  <c r="BD14" i="28"/>
  <c r="BE14" i="28"/>
  <c r="BF14" i="28"/>
  <c r="BG14" i="28"/>
  <c r="BH14" i="28"/>
  <c r="BI14" i="28"/>
  <c r="BJ14" i="28"/>
  <c r="BK14" i="28"/>
  <c r="BL14" i="28"/>
  <c r="BM14" i="28"/>
  <c r="AT15" i="28"/>
  <c r="AV15" i="28"/>
  <c r="AW15" i="28"/>
  <c r="AX15" i="28"/>
  <c r="AY15" i="28"/>
  <c r="AZ15" i="28"/>
  <c r="BA15" i="28"/>
  <c r="BB15" i="28"/>
  <c r="BC15" i="28"/>
  <c r="BD15" i="28"/>
  <c r="BE15" i="28"/>
  <c r="BF15" i="28"/>
  <c r="BG15" i="28"/>
  <c r="BH15" i="28"/>
  <c r="BI15" i="28"/>
  <c r="BJ15" i="28"/>
  <c r="BK15" i="28"/>
  <c r="BL15" i="28"/>
  <c r="BM15" i="28"/>
  <c r="Y17" i="27"/>
  <c r="AT17" i="27" s="1"/>
  <c r="AA17" i="27"/>
  <c r="AV17" i="27" s="1"/>
  <c r="AB17" i="27"/>
  <c r="AW17" i="27" s="1"/>
  <c r="AC17" i="27"/>
  <c r="AX17" i="27" s="1"/>
  <c r="AD17" i="27"/>
  <c r="AY17" i="27" s="1"/>
  <c r="AE17" i="27"/>
  <c r="AZ17" i="27" s="1"/>
  <c r="AF17" i="27"/>
  <c r="BA17" i="27" s="1"/>
  <c r="AG17" i="27"/>
  <c r="BB17" i="27" s="1"/>
  <c r="AH17" i="27"/>
  <c r="BC17" i="27" s="1"/>
  <c r="AI17" i="27"/>
  <c r="BD17" i="27" s="1"/>
  <c r="AJ17" i="27"/>
  <c r="BE17" i="27" s="1"/>
  <c r="AK17" i="27"/>
  <c r="BF17" i="27" s="1"/>
  <c r="AL17" i="27"/>
  <c r="BG17" i="27" s="1"/>
  <c r="AM17" i="27"/>
  <c r="BH17" i="27" s="1"/>
  <c r="AN17" i="27"/>
  <c r="BI17" i="27" s="1"/>
  <c r="AO17" i="27"/>
  <c r="BJ17" i="27" s="1"/>
  <c r="AP17" i="27"/>
  <c r="BK17" i="27" s="1"/>
  <c r="AQ17" i="27"/>
  <c r="BL17" i="27" s="1"/>
  <c r="AR17" i="27"/>
  <c r="BM17" i="27" s="1"/>
  <c r="Y18" i="27"/>
  <c r="AT18" i="27" s="1"/>
  <c r="AA18" i="27"/>
  <c r="AV18" i="27" s="1"/>
  <c r="AB18" i="27"/>
  <c r="AW18" i="27" s="1"/>
  <c r="AC18" i="27"/>
  <c r="AX18" i="27" s="1"/>
  <c r="AD18" i="27"/>
  <c r="AY18" i="27" s="1"/>
  <c r="AE18" i="27"/>
  <c r="AZ18" i="27" s="1"/>
  <c r="AF18" i="27"/>
  <c r="BA18" i="27" s="1"/>
  <c r="AG18" i="27"/>
  <c r="BB18" i="27" s="1"/>
  <c r="AH18" i="27"/>
  <c r="BC18" i="27" s="1"/>
  <c r="AI18" i="27"/>
  <c r="BD18" i="27" s="1"/>
  <c r="AJ18" i="27"/>
  <c r="BE18" i="27" s="1"/>
  <c r="AK18" i="27"/>
  <c r="BF18" i="27" s="1"/>
  <c r="AL18" i="27"/>
  <c r="BG18" i="27" s="1"/>
  <c r="AM18" i="27"/>
  <c r="BH18" i="27" s="1"/>
  <c r="AN18" i="27"/>
  <c r="BI18" i="27" s="1"/>
  <c r="AO18" i="27"/>
  <c r="BJ18" i="27" s="1"/>
  <c r="AP18" i="27"/>
  <c r="BK18" i="27" s="1"/>
  <c r="AQ18" i="27"/>
  <c r="BL18" i="27" s="1"/>
  <c r="AR18" i="27"/>
  <c r="BM18" i="27" s="1"/>
  <c r="Y19" i="27"/>
  <c r="AT19" i="27" s="1"/>
  <c r="AA19" i="27"/>
  <c r="AV19" i="27" s="1"/>
  <c r="AB19" i="27"/>
  <c r="AW19" i="27" s="1"/>
  <c r="AC19" i="27"/>
  <c r="AX19" i="27" s="1"/>
  <c r="AD19" i="27"/>
  <c r="AY19" i="27" s="1"/>
  <c r="AE19" i="27"/>
  <c r="AZ19" i="27" s="1"/>
  <c r="AF19" i="27"/>
  <c r="BA19" i="27" s="1"/>
  <c r="AG19" i="27"/>
  <c r="BB19" i="27" s="1"/>
  <c r="AH19" i="27"/>
  <c r="BC19" i="27" s="1"/>
  <c r="AI19" i="27"/>
  <c r="BD19" i="27" s="1"/>
  <c r="AJ19" i="27"/>
  <c r="BE19" i="27" s="1"/>
  <c r="AK19" i="27"/>
  <c r="BF19" i="27" s="1"/>
  <c r="AL19" i="27"/>
  <c r="BG19" i="27" s="1"/>
  <c r="AM19" i="27"/>
  <c r="BH19" i="27" s="1"/>
  <c r="AN19" i="27"/>
  <c r="BI19" i="27" s="1"/>
  <c r="AO19" i="27"/>
  <c r="BJ19" i="27" s="1"/>
  <c r="AP19" i="27"/>
  <c r="BK19" i="27" s="1"/>
  <c r="AQ19" i="27"/>
  <c r="BL19" i="27" s="1"/>
  <c r="AR19" i="27"/>
  <c r="BM19" i="27" s="1"/>
  <c r="Y20" i="27"/>
  <c r="AT20" i="27" s="1"/>
  <c r="AA20" i="27"/>
  <c r="AV20" i="27" s="1"/>
  <c r="AB20" i="27"/>
  <c r="AW20" i="27" s="1"/>
  <c r="AC20" i="27"/>
  <c r="AX20" i="27" s="1"/>
  <c r="AD20" i="27"/>
  <c r="AY20" i="27" s="1"/>
  <c r="AE20" i="27"/>
  <c r="AZ20" i="27" s="1"/>
  <c r="AF20" i="27"/>
  <c r="BA20" i="27" s="1"/>
  <c r="AG20" i="27"/>
  <c r="BB20" i="27" s="1"/>
  <c r="AH20" i="27"/>
  <c r="BC20" i="27" s="1"/>
  <c r="AI20" i="27"/>
  <c r="BD20" i="27" s="1"/>
  <c r="AJ20" i="27"/>
  <c r="BE20" i="27" s="1"/>
  <c r="AK20" i="27"/>
  <c r="BF20" i="27" s="1"/>
  <c r="AL20" i="27"/>
  <c r="BG20" i="27" s="1"/>
  <c r="AM20" i="27"/>
  <c r="BH20" i="27" s="1"/>
  <c r="AN20" i="27"/>
  <c r="BI20" i="27" s="1"/>
  <c r="AO20" i="27"/>
  <c r="BJ20" i="27" s="1"/>
  <c r="AP20" i="27"/>
  <c r="BK20" i="27" s="1"/>
  <c r="AQ20" i="27"/>
  <c r="BL20" i="27" s="1"/>
  <c r="AR20" i="27"/>
  <c r="BM20" i="27" s="1"/>
  <c r="Y21" i="27"/>
  <c r="AT21" i="27" s="1"/>
  <c r="AA21" i="27"/>
  <c r="AV21" i="27" s="1"/>
  <c r="AB21" i="27"/>
  <c r="AW21" i="27" s="1"/>
  <c r="AC21" i="27"/>
  <c r="AX21" i="27" s="1"/>
  <c r="AD21" i="27"/>
  <c r="AY21" i="27" s="1"/>
  <c r="AE21" i="27"/>
  <c r="AZ21" i="27" s="1"/>
  <c r="AF21" i="27"/>
  <c r="BA21" i="27" s="1"/>
  <c r="AG21" i="27"/>
  <c r="BB21" i="27" s="1"/>
  <c r="AH21" i="27"/>
  <c r="BC21" i="27" s="1"/>
  <c r="AI21" i="27"/>
  <c r="BD21" i="27" s="1"/>
  <c r="AJ21" i="27"/>
  <c r="BE21" i="27" s="1"/>
  <c r="AK21" i="27"/>
  <c r="BF21" i="27" s="1"/>
  <c r="AL21" i="27"/>
  <c r="BG21" i="27" s="1"/>
  <c r="AM21" i="27"/>
  <c r="BH21" i="27" s="1"/>
  <c r="AN21" i="27"/>
  <c r="BI21" i="27" s="1"/>
  <c r="AO21" i="27"/>
  <c r="BJ21" i="27" s="1"/>
  <c r="AP21" i="27"/>
  <c r="BK21" i="27" s="1"/>
  <c r="AQ21" i="27"/>
  <c r="BL21" i="27" s="1"/>
  <c r="AR21" i="27"/>
  <c r="BM21" i="27" s="1"/>
  <c r="Y22" i="27"/>
  <c r="AT22" i="27" s="1"/>
  <c r="AA22" i="27"/>
  <c r="AV22" i="27" s="1"/>
  <c r="AB22" i="27"/>
  <c r="AW22" i="27" s="1"/>
  <c r="AC22" i="27"/>
  <c r="AX22" i="27" s="1"/>
  <c r="AD22" i="27"/>
  <c r="AY22" i="27" s="1"/>
  <c r="AE22" i="27"/>
  <c r="AZ22" i="27" s="1"/>
  <c r="AF22" i="27"/>
  <c r="BA22" i="27" s="1"/>
  <c r="AG22" i="27"/>
  <c r="BB22" i="27" s="1"/>
  <c r="AH22" i="27"/>
  <c r="BC22" i="27" s="1"/>
  <c r="AI22" i="27"/>
  <c r="BD22" i="27" s="1"/>
  <c r="AJ22" i="27"/>
  <c r="BE22" i="27" s="1"/>
  <c r="AK22" i="27"/>
  <c r="BF22" i="27" s="1"/>
  <c r="AL22" i="27"/>
  <c r="BG22" i="27" s="1"/>
  <c r="AM22" i="27"/>
  <c r="BH22" i="27" s="1"/>
  <c r="AN22" i="27"/>
  <c r="BI22" i="27" s="1"/>
  <c r="AO22" i="27"/>
  <c r="BJ22" i="27" s="1"/>
  <c r="AP22" i="27"/>
  <c r="BK22" i="27" s="1"/>
  <c r="AQ22" i="27"/>
  <c r="BL22" i="27" s="1"/>
  <c r="AR22" i="27"/>
  <c r="BM22" i="27" s="1"/>
  <c r="Y23" i="27"/>
  <c r="AT23" i="27" s="1"/>
  <c r="AA23" i="27"/>
  <c r="AV23" i="27" s="1"/>
  <c r="AB23" i="27"/>
  <c r="AW23" i="27" s="1"/>
  <c r="AC23" i="27"/>
  <c r="AX23" i="27" s="1"/>
  <c r="AD23" i="27"/>
  <c r="AY23" i="27" s="1"/>
  <c r="AE23" i="27"/>
  <c r="AZ23" i="27" s="1"/>
  <c r="AF23" i="27"/>
  <c r="BA23" i="27" s="1"/>
  <c r="AG23" i="27"/>
  <c r="BB23" i="27" s="1"/>
  <c r="AH23" i="27"/>
  <c r="BC23" i="27" s="1"/>
  <c r="AI23" i="27"/>
  <c r="BD23" i="27" s="1"/>
  <c r="AJ23" i="27"/>
  <c r="BE23" i="27" s="1"/>
  <c r="AK23" i="27"/>
  <c r="BF23" i="27" s="1"/>
  <c r="AL23" i="27"/>
  <c r="BG23" i="27" s="1"/>
  <c r="AM23" i="27"/>
  <c r="BH23" i="27" s="1"/>
  <c r="AN23" i="27"/>
  <c r="BI23" i="27" s="1"/>
  <c r="AO23" i="27"/>
  <c r="BJ23" i="27" s="1"/>
  <c r="AP23" i="27"/>
  <c r="BK23" i="27" s="1"/>
  <c r="AQ23" i="27"/>
  <c r="BL23" i="27" s="1"/>
  <c r="AR23" i="27"/>
  <c r="BM23" i="27" s="1"/>
  <c r="Y24" i="27"/>
  <c r="AT24" i="27" s="1"/>
  <c r="AA24" i="27"/>
  <c r="AV24" i="27" s="1"/>
  <c r="AB24" i="27"/>
  <c r="AW24" i="27" s="1"/>
  <c r="AC24" i="27"/>
  <c r="AX24" i="27" s="1"/>
  <c r="AD24" i="27"/>
  <c r="AY24" i="27" s="1"/>
  <c r="AE24" i="27"/>
  <c r="AZ24" i="27" s="1"/>
  <c r="AF24" i="27"/>
  <c r="BA24" i="27" s="1"/>
  <c r="AG24" i="27"/>
  <c r="BB24" i="27" s="1"/>
  <c r="AH24" i="27"/>
  <c r="BC24" i="27" s="1"/>
  <c r="AI24" i="27"/>
  <c r="BD24" i="27" s="1"/>
  <c r="AJ24" i="27"/>
  <c r="BE24" i="27" s="1"/>
  <c r="AK24" i="27"/>
  <c r="BF24" i="27" s="1"/>
  <c r="AL24" i="27"/>
  <c r="BG24" i="27" s="1"/>
  <c r="AM24" i="27"/>
  <c r="BH24" i="27" s="1"/>
  <c r="AN24" i="27"/>
  <c r="BI24" i="27" s="1"/>
  <c r="AO24" i="27"/>
  <c r="BJ24" i="27" s="1"/>
  <c r="AP24" i="27"/>
  <c r="BK24" i="27" s="1"/>
  <c r="AQ24" i="27"/>
  <c r="BL24" i="27" s="1"/>
  <c r="AR24" i="27"/>
  <c r="BM24" i="27" s="1"/>
  <c r="Y25" i="27"/>
  <c r="AT25" i="27" s="1"/>
  <c r="AA25" i="27"/>
  <c r="AV25" i="27" s="1"/>
  <c r="AB25" i="27"/>
  <c r="AW25" i="27" s="1"/>
  <c r="AC25" i="27"/>
  <c r="AX25" i="27" s="1"/>
  <c r="AD25" i="27"/>
  <c r="AY25" i="27" s="1"/>
  <c r="AE25" i="27"/>
  <c r="AZ25" i="27" s="1"/>
  <c r="AF25" i="27"/>
  <c r="BA25" i="27" s="1"/>
  <c r="AG25" i="27"/>
  <c r="BB25" i="27" s="1"/>
  <c r="AH25" i="27"/>
  <c r="BC25" i="27" s="1"/>
  <c r="AI25" i="27"/>
  <c r="BD25" i="27" s="1"/>
  <c r="AJ25" i="27"/>
  <c r="BE25" i="27" s="1"/>
  <c r="AK25" i="27"/>
  <c r="BF25" i="27" s="1"/>
  <c r="AL25" i="27"/>
  <c r="BG25" i="27" s="1"/>
  <c r="AM25" i="27"/>
  <c r="BH25" i="27" s="1"/>
  <c r="AN25" i="27"/>
  <c r="BI25" i="27" s="1"/>
  <c r="AO25" i="27"/>
  <c r="BJ25" i="27" s="1"/>
  <c r="AP25" i="27"/>
  <c r="BK25" i="27" s="1"/>
  <c r="AQ25" i="27"/>
  <c r="BL25" i="27" s="1"/>
  <c r="AR25" i="27"/>
  <c r="BM25" i="27" s="1"/>
  <c r="Y26" i="27"/>
  <c r="AT26" i="27" s="1"/>
  <c r="AA26" i="27"/>
  <c r="AV26" i="27" s="1"/>
  <c r="AB26" i="27"/>
  <c r="AW26" i="27" s="1"/>
  <c r="AC26" i="27"/>
  <c r="AX26" i="27" s="1"/>
  <c r="AD26" i="27"/>
  <c r="AY26" i="27" s="1"/>
  <c r="AE26" i="27"/>
  <c r="AZ26" i="27" s="1"/>
  <c r="AF26" i="27"/>
  <c r="BA26" i="27" s="1"/>
  <c r="AG26" i="27"/>
  <c r="BB26" i="27" s="1"/>
  <c r="AH26" i="27"/>
  <c r="BC26" i="27" s="1"/>
  <c r="AI26" i="27"/>
  <c r="BD26" i="27" s="1"/>
  <c r="AJ26" i="27"/>
  <c r="BE26" i="27" s="1"/>
  <c r="AK26" i="27"/>
  <c r="BF26" i="27" s="1"/>
  <c r="AL26" i="27"/>
  <c r="BG26" i="27" s="1"/>
  <c r="AM26" i="27"/>
  <c r="BH26" i="27" s="1"/>
  <c r="AN26" i="27"/>
  <c r="BI26" i="27" s="1"/>
  <c r="AO26" i="27"/>
  <c r="BJ26" i="27" s="1"/>
  <c r="AP26" i="27"/>
  <c r="BK26" i="27" s="1"/>
  <c r="AQ26" i="27"/>
  <c r="BL26" i="27" s="1"/>
  <c r="AR26" i="27"/>
  <c r="BM26" i="27" s="1"/>
  <c r="Y27" i="27"/>
  <c r="AT27" i="27" s="1"/>
  <c r="AA27" i="27"/>
  <c r="AV27" i="27" s="1"/>
  <c r="AB27" i="27"/>
  <c r="AW27" i="27" s="1"/>
  <c r="AC27" i="27"/>
  <c r="AX27" i="27" s="1"/>
  <c r="AD27" i="27"/>
  <c r="AY27" i="27" s="1"/>
  <c r="AE27" i="27"/>
  <c r="AZ27" i="27" s="1"/>
  <c r="AF27" i="27"/>
  <c r="BA27" i="27" s="1"/>
  <c r="AG27" i="27"/>
  <c r="BB27" i="27" s="1"/>
  <c r="AH27" i="27"/>
  <c r="BC27" i="27" s="1"/>
  <c r="AI27" i="27"/>
  <c r="BD27" i="27" s="1"/>
  <c r="AJ27" i="27"/>
  <c r="BE27" i="27" s="1"/>
  <c r="AK27" i="27"/>
  <c r="BF27" i="27" s="1"/>
  <c r="AL27" i="27"/>
  <c r="BG27" i="27" s="1"/>
  <c r="AM27" i="27"/>
  <c r="BH27" i="27" s="1"/>
  <c r="AN27" i="27"/>
  <c r="BI27" i="27" s="1"/>
  <c r="AO27" i="27"/>
  <c r="BJ27" i="27" s="1"/>
  <c r="AP27" i="27"/>
  <c r="BK27" i="27" s="1"/>
  <c r="AQ27" i="27"/>
  <c r="BL27" i="27" s="1"/>
  <c r="AR27" i="27"/>
  <c r="BM27" i="27" s="1"/>
  <c r="Y28" i="27"/>
  <c r="AT28" i="27" s="1"/>
  <c r="AA28" i="27"/>
  <c r="AV28" i="27" s="1"/>
  <c r="AB28" i="27"/>
  <c r="AW28" i="27" s="1"/>
  <c r="AC28" i="27"/>
  <c r="AX28" i="27" s="1"/>
  <c r="AD28" i="27"/>
  <c r="AY28" i="27" s="1"/>
  <c r="AE28" i="27"/>
  <c r="AZ28" i="27" s="1"/>
  <c r="AF28" i="27"/>
  <c r="BA28" i="27" s="1"/>
  <c r="AG28" i="27"/>
  <c r="BB28" i="27" s="1"/>
  <c r="AH28" i="27"/>
  <c r="BC28" i="27" s="1"/>
  <c r="AI28" i="27"/>
  <c r="BD28" i="27" s="1"/>
  <c r="AJ28" i="27"/>
  <c r="BE28" i="27" s="1"/>
  <c r="AK28" i="27"/>
  <c r="BF28" i="27" s="1"/>
  <c r="AL28" i="27"/>
  <c r="BG28" i="27" s="1"/>
  <c r="AM28" i="27"/>
  <c r="BH28" i="27" s="1"/>
  <c r="AN28" i="27"/>
  <c r="BI28" i="27" s="1"/>
  <c r="AO28" i="27"/>
  <c r="BJ28" i="27" s="1"/>
  <c r="AP28" i="27"/>
  <c r="BK28" i="27" s="1"/>
  <c r="AQ28" i="27"/>
  <c r="BL28" i="27" s="1"/>
  <c r="AR28" i="27"/>
  <c r="BM28" i="27" s="1"/>
  <c r="Y29" i="27"/>
  <c r="AT29" i="27" s="1"/>
  <c r="AA29" i="27"/>
  <c r="AV29" i="27" s="1"/>
  <c r="AB29" i="27"/>
  <c r="AW29" i="27" s="1"/>
  <c r="AC29" i="27"/>
  <c r="AX29" i="27" s="1"/>
  <c r="AD29" i="27"/>
  <c r="AY29" i="27" s="1"/>
  <c r="AE29" i="27"/>
  <c r="AZ29" i="27" s="1"/>
  <c r="AF29" i="27"/>
  <c r="BA29" i="27" s="1"/>
  <c r="AG29" i="27"/>
  <c r="BB29" i="27" s="1"/>
  <c r="AH29" i="27"/>
  <c r="BC29" i="27" s="1"/>
  <c r="AI29" i="27"/>
  <c r="BD29" i="27" s="1"/>
  <c r="AJ29" i="27"/>
  <c r="BE29" i="27" s="1"/>
  <c r="AK29" i="27"/>
  <c r="BF29" i="27" s="1"/>
  <c r="AL29" i="27"/>
  <c r="BG29" i="27" s="1"/>
  <c r="AM29" i="27"/>
  <c r="BH29" i="27" s="1"/>
  <c r="AN29" i="27"/>
  <c r="BI29" i="27" s="1"/>
  <c r="AO29" i="27"/>
  <c r="BJ29" i="27" s="1"/>
  <c r="AP29" i="27"/>
  <c r="BK29" i="27" s="1"/>
  <c r="AQ29" i="27"/>
  <c r="BL29" i="27" s="1"/>
  <c r="AR29" i="27"/>
  <c r="BM29" i="27" s="1"/>
  <c r="Y30" i="27"/>
  <c r="AT30" i="27" s="1"/>
  <c r="AA30" i="27"/>
  <c r="AV30" i="27" s="1"/>
  <c r="AB30" i="27"/>
  <c r="AW30" i="27" s="1"/>
  <c r="AC30" i="27"/>
  <c r="AX30" i="27" s="1"/>
  <c r="AD30" i="27"/>
  <c r="AY30" i="27" s="1"/>
  <c r="AE30" i="27"/>
  <c r="AZ30" i="27" s="1"/>
  <c r="AF30" i="27"/>
  <c r="BA30" i="27" s="1"/>
  <c r="AG30" i="27"/>
  <c r="BB30" i="27" s="1"/>
  <c r="AH30" i="27"/>
  <c r="BC30" i="27" s="1"/>
  <c r="AI30" i="27"/>
  <c r="BD30" i="27" s="1"/>
  <c r="AJ30" i="27"/>
  <c r="BE30" i="27" s="1"/>
  <c r="AK30" i="27"/>
  <c r="BF30" i="27" s="1"/>
  <c r="AL30" i="27"/>
  <c r="BG30" i="27" s="1"/>
  <c r="AM30" i="27"/>
  <c r="BH30" i="27" s="1"/>
  <c r="AN30" i="27"/>
  <c r="BI30" i="27" s="1"/>
  <c r="AO30" i="27"/>
  <c r="BJ30" i="27" s="1"/>
  <c r="AP30" i="27"/>
  <c r="BK30" i="27" s="1"/>
  <c r="AQ30" i="27"/>
  <c r="BL30" i="27" s="1"/>
  <c r="AR30" i="27"/>
  <c r="BM30" i="27" s="1"/>
  <c r="Y31" i="27"/>
  <c r="AT31" i="27" s="1"/>
  <c r="AA31" i="27"/>
  <c r="AV31" i="27" s="1"/>
  <c r="AB31" i="27"/>
  <c r="AW31" i="27" s="1"/>
  <c r="AC31" i="27"/>
  <c r="AX31" i="27" s="1"/>
  <c r="AD31" i="27"/>
  <c r="AY31" i="27" s="1"/>
  <c r="AE31" i="27"/>
  <c r="AZ31" i="27" s="1"/>
  <c r="AF31" i="27"/>
  <c r="BA31" i="27" s="1"/>
  <c r="AG31" i="27"/>
  <c r="BB31" i="27" s="1"/>
  <c r="AH31" i="27"/>
  <c r="BC31" i="27" s="1"/>
  <c r="AI31" i="27"/>
  <c r="BD31" i="27" s="1"/>
  <c r="AJ31" i="27"/>
  <c r="BE31" i="27" s="1"/>
  <c r="AK31" i="27"/>
  <c r="BF31" i="27" s="1"/>
  <c r="AL31" i="27"/>
  <c r="BG31" i="27" s="1"/>
  <c r="AM31" i="27"/>
  <c r="BH31" i="27" s="1"/>
  <c r="AN31" i="27"/>
  <c r="BI31" i="27" s="1"/>
  <c r="AO31" i="27"/>
  <c r="BJ31" i="27" s="1"/>
  <c r="AP31" i="27"/>
  <c r="BK31" i="27" s="1"/>
  <c r="AQ31" i="27"/>
  <c r="BL31" i="27" s="1"/>
  <c r="AR31" i="27"/>
  <c r="BM31" i="27" s="1"/>
  <c r="Y32" i="27"/>
  <c r="AT32" i="27" s="1"/>
  <c r="AA32" i="27"/>
  <c r="AV32" i="27" s="1"/>
  <c r="AB32" i="27"/>
  <c r="AW32" i="27" s="1"/>
  <c r="AC32" i="27"/>
  <c r="AX32" i="27" s="1"/>
  <c r="AD32" i="27"/>
  <c r="AY32" i="27" s="1"/>
  <c r="AE32" i="27"/>
  <c r="AZ32" i="27" s="1"/>
  <c r="AF32" i="27"/>
  <c r="BA32" i="27" s="1"/>
  <c r="AG32" i="27"/>
  <c r="BB32" i="27" s="1"/>
  <c r="AH32" i="27"/>
  <c r="BC32" i="27" s="1"/>
  <c r="AI32" i="27"/>
  <c r="BD32" i="27" s="1"/>
  <c r="AJ32" i="27"/>
  <c r="BE32" i="27" s="1"/>
  <c r="AK32" i="27"/>
  <c r="BF32" i="27" s="1"/>
  <c r="AL32" i="27"/>
  <c r="BG32" i="27" s="1"/>
  <c r="AM32" i="27"/>
  <c r="BH32" i="27" s="1"/>
  <c r="AN32" i="27"/>
  <c r="BI32" i="27" s="1"/>
  <c r="AO32" i="27"/>
  <c r="BJ32" i="27" s="1"/>
  <c r="AP32" i="27"/>
  <c r="BK32" i="27" s="1"/>
  <c r="AQ32" i="27"/>
  <c r="BL32" i="27" s="1"/>
  <c r="AR32" i="27"/>
  <c r="BM32" i="27" s="1"/>
  <c r="Y33" i="27"/>
  <c r="AT33" i="27" s="1"/>
  <c r="AA33" i="27"/>
  <c r="AV33" i="27" s="1"/>
  <c r="AB33" i="27"/>
  <c r="AW33" i="27" s="1"/>
  <c r="AC33" i="27"/>
  <c r="AX33" i="27" s="1"/>
  <c r="AD33" i="27"/>
  <c r="AY33" i="27" s="1"/>
  <c r="AE33" i="27"/>
  <c r="AZ33" i="27" s="1"/>
  <c r="AF33" i="27"/>
  <c r="BA33" i="27" s="1"/>
  <c r="AG33" i="27"/>
  <c r="BB33" i="27" s="1"/>
  <c r="AH33" i="27"/>
  <c r="BC33" i="27" s="1"/>
  <c r="AI33" i="27"/>
  <c r="BD33" i="27" s="1"/>
  <c r="AJ33" i="27"/>
  <c r="BE33" i="27" s="1"/>
  <c r="AK33" i="27"/>
  <c r="BF33" i="27" s="1"/>
  <c r="AL33" i="27"/>
  <c r="BG33" i="27" s="1"/>
  <c r="AM33" i="27"/>
  <c r="BH33" i="27" s="1"/>
  <c r="AN33" i="27"/>
  <c r="BI33" i="27" s="1"/>
  <c r="AO33" i="27"/>
  <c r="BJ33" i="27" s="1"/>
  <c r="AP33" i="27"/>
  <c r="BK33" i="27" s="1"/>
  <c r="AQ33" i="27"/>
  <c r="BL33" i="27" s="1"/>
  <c r="AR33" i="27"/>
  <c r="BM33" i="27" s="1"/>
  <c r="Y34" i="27"/>
  <c r="AT34" i="27" s="1"/>
  <c r="AA34" i="27"/>
  <c r="AV34" i="27" s="1"/>
  <c r="AB34" i="27"/>
  <c r="AW34" i="27" s="1"/>
  <c r="AC34" i="27"/>
  <c r="AX34" i="27" s="1"/>
  <c r="AD34" i="27"/>
  <c r="AY34" i="27" s="1"/>
  <c r="AE34" i="27"/>
  <c r="AZ34" i="27" s="1"/>
  <c r="AF34" i="27"/>
  <c r="BA34" i="27" s="1"/>
  <c r="AG34" i="27"/>
  <c r="BB34" i="27" s="1"/>
  <c r="AH34" i="27"/>
  <c r="BC34" i="27" s="1"/>
  <c r="AI34" i="27"/>
  <c r="BD34" i="27" s="1"/>
  <c r="AJ34" i="27"/>
  <c r="BE34" i="27" s="1"/>
  <c r="AK34" i="27"/>
  <c r="BF34" i="27" s="1"/>
  <c r="AL34" i="27"/>
  <c r="BG34" i="27" s="1"/>
  <c r="AM34" i="27"/>
  <c r="BH34" i="27" s="1"/>
  <c r="AN34" i="27"/>
  <c r="BI34" i="27" s="1"/>
  <c r="AO34" i="27"/>
  <c r="BJ34" i="27" s="1"/>
  <c r="AP34" i="27"/>
  <c r="BK34" i="27" s="1"/>
  <c r="AQ34" i="27"/>
  <c r="BL34" i="27" s="1"/>
  <c r="AR34" i="27"/>
  <c r="BM34" i="27" s="1"/>
  <c r="Y35" i="27"/>
  <c r="AT35" i="27" s="1"/>
  <c r="AA35" i="27"/>
  <c r="AV35" i="27" s="1"/>
  <c r="AB35" i="27"/>
  <c r="AW35" i="27" s="1"/>
  <c r="AC35" i="27"/>
  <c r="AX35" i="27" s="1"/>
  <c r="AD35" i="27"/>
  <c r="AY35" i="27" s="1"/>
  <c r="AE35" i="27"/>
  <c r="AZ35" i="27" s="1"/>
  <c r="AF35" i="27"/>
  <c r="BA35" i="27" s="1"/>
  <c r="AG35" i="27"/>
  <c r="BB35" i="27" s="1"/>
  <c r="AH35" i="27"/>
  <c r="BC35" i="27" s="1"/>
  <c r="AI35" i="27"/>
  <c r="BD35" i="27" s="1"/>
  <c r="AJ35" i="27"/>
  <c r="BE35" i="27" s="1"/>
  <c r="AK35" i="27"/>
  <c r="BF35" i="27" s="1"/>
  <c r="AL35" i="27"/>
  <c r="BG35" i="27" s="1"/>
  <c r="AM35" i="27"/>
  <c r="BH35" i="27" s="1"/>
  <c r="AN35" i="27"/>
  <c r="BI35" i="27" s="1"/>
  <c r="AO35" i="27"/>
  <c r="BJ35" i="27" s="1"/>
  <c r="AP35" i="27"/>
  <c r="BK35" i="27" s="1"/>
  <c r="AQ35" i="27"/>
  <c r="BL35" i="27" s="1"/>
  <c r="AR35" i="27"/>
  <c r="BM35" i="27" s="1"/>
  <c r="Y36" i="27"/>
  <c r="AT36" i="27" s="1"/>
  <c r="AA36" i="27"/>
  <c r="AV36" i="27" s="1"/>
  <c r="AB36" i="27"/>
  <c r="AW36" i="27" s="1"/>
  <c r="AC36" i="27"/>
  <c r="AX36" i="27" s="1"/>
  <c r="AD36" i="27"/>
  <c r="AY36" i="27" s="1"/>
  <c r="AE36" i="27"/>
  <c r="AZ36" i="27" s="1"/>
  <c r="AF36" i="27"/>
  <c r="BA36" i="27" s="1"/>
  <c r="AG36" i="27"/>
  <c r="BB36" i="27" s="1"/>
  <c r="AH36" i="27"/>
  <c r="BC36" i="27" s="1"/>
  <c r="AI36" i="27"/>
  <c r="BD36" i="27" s="1"/>
  <c r="AJ36" i="27"/>
  <c r="BE36" i="27" s="1"/>
  <c r="AK36" i="27"/>
  <c r="BF36" i="27" s="1"/>
  <c r="AL36" i="27"/>
  <c r="BG36" i="27" s="1"/>
  <c r="AM36" i="27"/>
  <c r="BH36" i="27" s="1"/>
  <c r="AN36" i="27"/>
  <c r="BI36" i="27" s="1"/>
  <c r="AO36" i="27"/>
  <c r="BJ36" i="27" s="1"/>
  <c r="AP36" i="27"/>
  <c r="BK36" i="27" s="1"/>
  <c r="AQ36" i="27"/>
  <c r="BL36" i="27" s="1"/>
  <c r="AR36" i="27"/>
  <c r="BM36" i="27" s="1"/>
  <c r="Y37" i="27"/>
  <c r="AT37" i="27" s="1"/>
  <c r="AA37" i="27"/>
  <c r="AV37" i="27" s="1"/>
  <c r="AB37" i="27"/>
  <c r="AW37" i="27" s="1"/>
  <c r="AC37" i="27"/>
  <c r="AX37" i="27" s="1"/>
  <c r="AD37" i="27"/>
  <c r="AY37" i="27" s="1"/>
  <c r="AE37" i="27"/>
  <c r="AZ37" i="27" s="1"/>
  <c r="AF37" i="27"/>
  <c r="BA37" i="27" s="1"/>
  <c r="AG37" i="27"/>
  <c r="BB37" i="27" s="1"/>
  <c r="AH37" i="27"/>
  <c r="BC37" i="27" s="1"/>
  <c r="AI37" i="27"/>
  <c r="BD37" i="27" s="1"/>
  <c r="AJ37" i="27"/>
  <c r="BE37" i="27" s="1"/>
  <c r="AK37" i="27"/>
  <c r="BF37" i="27" s="1"/>
  <c r="AL37" i="27"/>
  <c r="BG37" i="27" s="1"/>
  <c r="AM37" i="27"/>
  <c r="BH37" i="27" s="1"/>
  <c r="AN37" i="27"/>
  <c r="BI37" i="27" s="1"/>
  <c r="AO37" i="27"/>
  <c r="BJ37" i="27" s="1"/>
  <c r="AP37" i="27"/>
  <c r="BK37" i="27" s="1"/>
  <c r="AQ37" i="27"/>
  <c r="BL37" i="27" s="1"/>
  <c r="AR37" i="27"/>
  <c r="BM37" i="27" s="1"/>
  <c r="Y38" i="27"/>
  <c r="AT38" i="27" s="1"/>
  <c r="AA38" i="27"/>
  <c r="AV38" i="27" s="1"/>
  <c r="AB38" i="27"/>
  <c r="AW38" i="27" s="1"/>
  <c r="AC38" i="27"/>
  <c r="AX38" i="27" s="1"/>
  <c r="AD38" i="27"/>
  <c r="AY38" i="27" s="1"/>
  <c r="AE38" i="27"/>
  <c r="AZ38" i="27" s="1"/>
  <c r="AF38" i="27"/>
  <c r="BA38" i="27" s="1"/>
  <c r="AG38" i="27"/>
  <c r="BB38" i="27" s="1"/>
  <c r="AH38" i="27"/>
  <c r="BC38" i="27" s="1"/>
  <c r="AI38" i="27"/>
  <c r="BD38" i="27" s="1"/>
  <c r="AJ38" i="27"/>
  <c r="BE38" i="27" s="1"/>
  <c r="AK38" i="27"/>
  <c r="BF38" i="27" s="1"/>
  <c r="AL38" i="27"/>
  <c r="BG38" i="27" s="1"/>
  <c r="AM38" i="27"/>
  <c r="BH38" i="27" s="1"/>
  <c r="AN38" i="27"/>
  <c r="BI38" i="27" s="1"/>
  <c r="AO38" i="27"/>
  <c r="BJ38" i="27" s="1"/>
  <c r="AP38" i="27"/>
  <c r="BK38" i="27" s="1"/>
  <c r="AQ38" i="27"/>
  <c r="BL38" i="27" s="1"/>
  <c r="AR38" i="27"/>
  <c r="BM38" i="27" s="1"/>
  <c r="Y39" i="27"/>
  <c r="AT39" i="27" s="1"/>
  <c r="AA39" i="27"/>
  <c r="AV39" i="27" s="1"/>
  <c r="AB39" i="27"/>
  <c r="AW39" i="27" s="1"/>
  <c r="AC39" i="27"/>
  <c r="AX39" i="27" s="1"/>
  <c r="AD39" i="27"/>
  <c r="AY39" i="27" s="1"/>
  <c r="AE39" i="27"/>
  <c r="AZ39" i="27" s="1"/>
  <c r="AF39" i="27"/>
  <c r="BA39" i="27" s="1"/>
  <c r="AG39" i="27"/>
  <c r="BB39" i="27" s="1"/>
  <c r="AH39" i="27"/>
  <c r="BC39" i="27" s="1"/>
  <c r="AI39" i="27"/>
  <c r="BD39" i="27" s="1"/>
  <c r="AJ39" i="27"/>
  <c r="BE39" i="27" s="1"/>
  <c r="AK39" i="27"/>
  <c r="BF39" i="27" s="1"/>
  <c r="AL39" i="27"/>
  <c r="BG39" i="27" s="1"/>
  <c r="AM39" i="27"/>
  <c r="BH39" i="27" s="1"/>
  <c r="AN39" i="27"/>
  <c r="BI39" i="27" s="1"/>
  <c r="AO39" i="27"/>
  <c r="BJ39" i="27" s="1"/>
  <c r="AP39" i="27"/>
  <c r="BK39" i="27" s="1"/>
  <c r="AQ39" i="27"/>
  <c r="BL39" i="27" s="1"/>
  <c r="AR39" i="27"/>
  <c r="BM39" i="27" s="1"/>
  <c r="Y40" i="27"/>
  <c r="AT40" i="27" s="1"/>
  <c r="AA40" i="27"/>
  <c r="AV40" i="27" s="1"/>
  <c r="AB40" i="27"/>
  <c r="AW40" i="27" s="1"/>
  <c r="AC40" i="27"/>
  <c r="AX40" i="27" s="1"/>
  <c r="AD40" i="27"/>
  <c r="AY40" i="27" s="1"/>
  <c r="AE40" i="27"/>
  <c r="AZ40" i="27" s="1"/>
  <c r="AF40" i="27"/>
  <c r="BA40" i="27" s="1"/>
  <c r="AG40" i="27"/>
  <c r="BB40" i="27" s="1"/>
  <c r="AH40" i="27"/>
  <c r="BC40" i="27" s="1"/>
  <c r="AI40" i="27"/>
  <c r="BD40" i="27" s="1"/>
  <c r="AJ40" i="27"/>
  <c r="BE40" i="27" s="1"/>
  <c r="AK40" i="27"/>
  <c r="BF40" i="27" s="1"/>
  <c r="AL40" i="27"/>
  <c r="BG40" i="27" s="1"/>
  <c r="AM40" i="27"/>
  <c r="BH40" i="27" s="1"/>
  <c r="AN40" i="27"/>
  <c r="BI40" i="27" s="1"/>
  <c r="AO40" i="27"/>
  <c r="BJ40" i="27" s="1"/>
  <c r="AP40" i="27"/>
  <c r="BK40" i="27" s="1"/>
  <c r="AQ40" i="27"/>
  <c r="BL40" i="27" s="1"/>
  <c r="AR40" i="27"/>
  <c r="BM40" i="27" s="1"/>
  <c r="Y41" i="27"/>
  <c r="AT41" i="27" s="1"/>
  <c r="AA41" i="27"/>
  <c r="AV41" i="27" s="1"/>
  <c r="AB41" i="27"/>
  <c r="AW41" i="27" s="1"/>
  <c r="AC41" i="27"/>
  <c r="AX41" i="27" s="1"/>
  <c r="AD41" i="27"/>
  <c r="AY41" i="27" s="1"/>
  <c r="AE41" i="27"/>
  <c r="AZ41" i="27" s="1"/>
  <c r="AF41" i="27"/>
  <c r="BA41" i="27" s="1"/>
  <c r="AG41" i="27"/>
  <c r="BB41" i="27" s="1"/>
  <c r="AH41" i="27"/>
  <c r="BC41" i="27" s="1"/>
  <c r="AI41" i="27"/>
  <c r="BD41" i="27" s="1"/>
  <c r="AJ41" i="27"/>
  <c r="BE41" i="27" s="1"/>
  <c r="AK41" i="27"/>
  <c r="BF41" i="27" s="1"/>
  <c r="AL41" i="27"/>
  <c r="BG41" i="27" s="1"/>
  <c r="AM41" i="27"/>
  <c r="BH41" i="27" s="1"/>
  <c r="AN41" i="27"/>
  <c r="BI41" i="27" s="1"/>
  <c r="AO41" i="27"/>
  <c r="BJ41" i="27" s="1"/>
  <c r="AP41" i="27"/>
  <c r="BK41" i="27" s="1"/>
  <c r="AQ41" i="27"/>
  <c r="BL41" i="27" s="1"/>
  <c r="AR41" i="27"/>
  <c r="BM41" i="27" s="1"/>
  <c r="Y42" i="27"/>
  <c r="AT42" i="27" s="1"/>
  <c r="AA42" i="27"/>
  <c r="AV42" i="27" s="1"/>
  <c r="AB42" i="27"/>
  <c r="AW42" i="27" s="1"/>
  <c r="AC42" i="27"/>
  <c r="AX42" i="27" s="1"/>
  <c r="AD42" i="27"/>
  <c r="AY42" i="27" s="1"/>
  <c r="AE42" i="27"/>
  <c r="AZ42" i="27" s="1"/>
  <c r="AF42" i="27"/>
  <c r="BA42" i="27" s="1"/>
  <c r="AG42" i="27"/>
  <c r="BB42" i="27" s="1"/>
  <c r="AH42" i="27"/>
  <c r="BC42" i="27" s="1"/>
  <c r="AI42" i="27"/>
  <c r="BD42" i="27" s="1"/>
  <c r="AJ42" i="27"/>
  <c r="BE42" i="27" s="1"/>
  <c r="AK42" i="27"/>
  <c r="BF42" i="27" s="1"/>
  <c r="AL42" i="27"/>
  <c r="BG42" i="27" s="1"/>
  <c r="AM42" i="27"/>
  <c r="BH42" i="27" s="1"/>
  <c r="AN42" i="27"/>
  <c r="BI42" i="27" s="1"/>
  <c r="AO42" i="27"/>
  <c r="BJ42" i="27" s="1"/>
  <c r="AP42" i="27"/>
  <c r="BK42" i="27" s="1"/>
  <c r="AQ42" i="27"/>
  <c r="BL42" i="27" s="1"/>
  <c r="AR42" i="27"/>
  <c r="BM42" i="27" s="1"/>
  <c r="Y43" i="27"/>
  <c r="AT43" i="27" s="1"/>
  <c r="AA43" i="27"/>
  <c r="AV43" i="27" s="1"/>
  <c r="AB43" i="27"/>
  <c r="AW43" i="27" s="1"/>
  <c r="AC43" i="27"/>
  <c r="AX43" i="27" s="1"/>
  <c r="AD43" i="27"/>
  <c r="AY43" i="27" s="1"/>
  <c r="AE43" i="27"/>
  <c r="AZ43" i="27" s="1"/>
  <c r="AF43" i="27"/>
  <c r="BA43" i="27" s="1"/>
  <c r="AG43" i="27"/>
  <c r="BB43" i="27" s="1"/>
  <c r="AH43" i="27"/>
  <c r="BC43" i="27" s="1"/>
  <c r="AI43" i="27"/>
  <c r="BD43" i="27" s="1"/>
  <c r="AJ43" i="27"/>
  <c r="BE43" i="27" s="1"/>
  <c r="AK43" i="27"/>
  <c r="BF43" i="27" s="1"/>
  <c r="AL43" i="27"/>
  <c r="BG43" i="27" s="1"/>
  <c r="AM43" i="27"/>
  <c r="BH43" i="27" s="1"/>
  <c r="AN43" i="27"/>
  <c r="BI43" i="27" s="1"/>
  <c r="AO43" i="27"/>
  <c r="BJ43" i="27" s="1"/>
  <c r="AP43" i="27"/>
  <c r="BK43" i="27" s="1"/>
  <c r="AQ43" i="27"/>
  <c r="BL43" i="27" s="1"/>
  <c r="AR43" i="27"/>
  <c r="BM43" i="27" s="1"/>
  <c r="Y44" i="27"/>
  <c r="AT44" i="27" s="1"/>
  <c r="AA44" i="27"/>
  <c r="AV44" i="27" s="1"/>
  <c r="AB44" i="27"/>
  <c r="AW44" i="27" s="1"/>
  <c r="AC44" i="27"/>
  <c r="AX44" i="27" s="1"/>
  <c r="AD44" i="27"/>
  <c r="AY44" i="27" s="1"/>
  <c r="AE44" i="27"/>
  <c r="AZ44" i="27" s="1"/>
  <c r="AF44" i="27"/>
  <c r="BA44" i="27" s="1"/>
  <c r="AG44" i="27"/>
  <c r="BB44" i="27" s="1"/>
  <c r="AH44" i="27"/>
  <c r="BC44" i="27" s="1"/>
  <c r="AI44" i="27"/>
  <c r="BD44" i="27" s="1"/>
  <c r="AJ44" i="27"/>
  <c r="BE44" i="27" s="1"/>
  <c r="AK44" i="27"/>
  <c r="BF44" i="27" s="1"/>
  <c r="AL44" i="27"/>
  <c r="BG44" i="27" s="1"/>
  <c r="AM44" i="27"/>
  <c r="BH44" i="27" s="1"/>
  <c r="AN44" i="27"/>
  <c r="BI44" i="27" s="1"/>
  <c r="AO44" i="27"/>
  <c r="BJ44" i="27" s="1"/>
  <c r="AP44" i="27"/>
  <c r="BK44" i="27" s="1"/>
  <c r="AQ44" i="27"/>
  <c r="BL44" i="27" s="1"/>
  <c r="AR44" i="27"/>
  <c r="BM44" i="27" s="1"/>
  <c r="Y45" i="27"/>
  <c r="AT45" i="27" s="1"/>
  <c r="AA45" i="27"/>
  <c r="AV45" i="27" s="1"/>
  <c r="AB45" i="27"/>
  <c r="AW45" i="27" s="1"/>
  <c r="AC45" i="27"/>
  <c r="AX45" i="27" s="1"/>
  <c r="AD45" i="27"/>
  <c r="AY45" i="27" s="1"/>
  <c r="AE45" i="27"/>
  <c r="AZ45" i="27" s="1"/>
  <c r="AF45" i="27"/>
  <c r="BA45" i="27" s="1"/>
  <c r="AG45" i="27"/>
  <c r="BB45" i="27" s="1"/>
  <c r="AH45" i="27"/>
  <c r="BC45" i="27" s="1"/>
  <c r="AI45" i="27"/>
  <c r="BD45" i="27" s="1"/>
  <c r="AJ45" i="27"/>
  <c r="BE45" i="27" s="1"/>
  <c r="AK45" i="27"/>
  <c r="BF45" i="27" s="1"/>
  <c r="AL45" i="27"/>
  <c r="BG45" i="27" s="1"/>
  <c r="AM45" i="27"/>
  <c r="BH45" i="27" s="1"/>
  <c r="AN45" i="27"/>
  <c r="BI45" i="27" s="1"/>
  <c r="AO45" i="27"/>
  <c r="BJ45" i="27" s="1"/>
  <c r="AP45" i="27"/>
  <c r="BK45" i="27" s="1"/>
  <c r="AQ45" i="27"/>
  <c r="BL45" i="27" s="1"/>
  <c r="AR45" i="27"/>
  <c r="BM45" i="27" s="1"/>
  <c r="Y46" i="27"/>
  <c r="AT46" i="27" s="1"/>
  <c r="AA46" i="27"/>
  <c r="AV46" i="27" s="1"/>
  <c r="AB46" i="27"/>
  <c r="AW46" i="27" s="1"/>
  <c r="AC46" i="27"/>
  <c r="AX46" i="27" s="1"/>
  <c r="AD46" i="27"/>
  <c r="AY46" i="27" s="1"/>
  <c r="AE46" i="27"/>
  <c r="AZ46" i="27" s="1"/>
  <c r="AF46" i="27"/>
  <c r="BA46" i="27" s="1"/>
  <c r="AG46" i="27"/>
  <c r="BB46" i="27" s="1"/>
  <c r="AH46" i="27"/>
  <c r="BC46" i="27" s="1"/>
  <c r="AI46" i="27"/>
  <c r="BD46" i="27" s="1"/>
  <c r="AJ46" i="27"/>
  <c r="BE46" i="27" s="1"/>
  <c r="AK46" i="27"/>
  <c r="BF46" i="27" s="1"/>
  <c r="AL46" i="27"/>
  <c r="BG46" i="27" s="1"/>
  <c r="AM46" i="27"/>
  <c r="BH46" i="27" s="1"/>
  <c r="AN46" i="27"/>
  <c r="BI46" i="27" s="1"/>
  <c r="AO46" i="27"/>
  <c r="BJ46" i="27" s="1"/>
  <c r="AP46" i="27"/>
  <c r="BK46" i="27" s="1"/>
  <c r="AQ46" i="27"/>
  <c r="BL46" i="27" s="1"/>
  <c r="AR46" i="27"/>
  <c r="BM46" i="27" s="1"/>
  <c r="Y47" i="27"/>
  <c r="AT47" i="27" s="1"/>
  <c r="AA47" i="27"/>
  <c r="AV47" i="27" s="1"/>
  <c r="AB47" i="27"/>
  <c r="AW47" i="27" s="1"/>
  <c r="AC47" i="27"/>
  <c r="AX47" i="27" s="1"/>
  <c r="AD47" i="27"/>
  <c r="AY47" i="27" s="1"/>
  <c r="AE47" i="27"/>
  <c r="AZ47" i="27" s="1"/>
  <c r="AF47" i="27"/>
  <c r="BA47" i="27" s="1"/>
  <c r="AG47" i="27"/>
  <c r="BB47" i="27" s="1"/>
  <c r="AH47" i="27"/>
  <c r="BC47" i="27" s="1"/>
  <c r="AI47" i="27"/>
  <c r="BD47" i="27" s="1"/>
  <c r="AJ47" i="27"/>
  <c r="BE47" i="27" s="1"/>
  <c r="AK47" i="27"/>
  <c r="BF47" i="27" s="1"/>
  <c r="AL47" i="27"/>
  <c r="BG47" i="27" s="1"/>
  <c r="AM47" i="27"/>
  <c r="BH47" i="27" s="1"/>
  <c r="AN47" i="27"/>
  <c r="BI47" i="27" s="1"/>
  <c r="AO47" i="27"/>
  <c r="BJ47" i="27" s="1"/>
  <c r="AP47" i="27"/>
  <c r="BK47" i="27" s="1"/>
  <c r="AQ47" i="27"/>
  <c r="BL47" i="27" s="1"/>
  <c r="AR47" i="27"/>
  <c r="BM47" i="27" s="1"/>
  <c r="Y48" i="27"/>
  <c r="AT48" i="27" s="1"/>
  <c r="AA48" i="27"/>
  <c r="AV48" i="27" s="1"/>
  <c r="AB48" i="27"/>
  <c r="AW48" i="27" s="1"/>
  <c r="AC48" i="27"/>
  <c r="AX48" i="27" s="1"/>
  <c r="AD48" i="27"/>
  <c r="AY48" i="27" s="1"/>
  <c r="AE48" i="27"/>
  <c r="AZ48" i="27" s="1"/>
  <c r="AF48" i="27"/>
  <c r="BA48" i="27" s="1"/>
  <c r="AG48" i="27"/>
  <c r="BB48" i="27" s="1"/>
  <c r="AH48" i="27"/>
  <c r="BC48" i="27" s="1"/>
  <c r="AI48" i="27"/>
  <c r="BD48" i="27" s="1"/>
  <c r="AJ48" i="27"/>
  <c r="BE48" i="27" s="1"/>
  <c r="AK48" i="27"/>
  <c r="BF48" i="27" s="1"/>
  <c r="AL48" i="27"/>
  <c r="BG48" i="27" s="1"/>
  <c r="AM48" i="27"/>
  <c r="BH48" i="27" s="1"/>
  <c r="AN48" i="27"/>
  <c r="BI48" i="27" s="1"/>
  <c r="AO48" i="27"/>
  <c r="BJ48" i="27" s="1"/>
  <c r="AP48" i="27"/>
  <c r="BK48" i="27" s="1"/>
  <c r="AQ48" i="27"/>
  <c r="BL48" i="27" s="1"/>
  <c r="AR48" i="27"/>
  <c r="BM48" i="27" s="1"/>
  <c r="Y49" i="27"/>
  <c r="AT49" i="27" s="1"/>
  <c r="AA49" i="27"/>
  <c r="AV49" i="27" s="1"/>
  <c r="AB49" i="27"/>
  <c r="AW49" i="27" s="1"/>
  <c r="AC49" i="27"/>
  <c r="AX49" i="27" s="1"/>
  <c r="AD49" i="27"/>
  <c r="AY49" i="27" s="1"/>
  <c r="AE49" i="27"/>
  <c r="AZ49" i="27" s="1"/>
  <c r="AF49" i="27"/>
  <c r="BA49" i="27" s="1"/>
  <c r="AG49" i="27"/>
  <c r="BB49" i="27" s="1"/>
  <c r="AH49" i="27"/>
  <c r="BC49" i="27" s="1"/>
  <c r="AI49" i="27"/>
  <c r="BD49" i="27" s="1"/>
  <c r="AJ49" i="27"/>
  <c r="BE49" i="27" s="1"/>
  <c r="AK49" i="27"/>
  <c r="BF49" i="27" s="1"/>
  <c r="AL49" i="27"/>
  <c r="BG49" i="27" s="1"/>
  <c r="AM49" i="27"/>
  <c r="BH49" i="27" s="1"/>
  <c r="AN49" i="27"/>
  <c r="BI49" i="27" s="1"/>
  <c r="AO49" i="27"/>
  <c r="BJ49" i="27" s="1"/>
  <c r="AP49" i="27"/>
  <c r="BK49" i="27" s="1"/>
  <c r="AQ49" i="27"/>
  <c r="BL49" i="27" s="1"/>
  <c r="AR49" i="27"/>
  <c r="BM49" i="27" s="1"/>
  <c r="Y50" i="27"/>
  <c r="AT50" i="27" s="1"/>
  <c r="AA50" i="27"/>
  <c r="AV50" i="27" s="1"/>
  <c r="AB50" i="27"/>
  <c r="AW50" i="27" s="1"/>
  <c r="AC50" i="27"/>
  <c r="AX50" i="27" s="1"/>
  <c r="AD50" i="27"/>
  <c r="AY50" i="27" s="1"/>
  <c r="AE50" i="27"/>
  <c r="AZ50" i="27" s="1"/>
  <c r="AF50" i="27"/>
  <c r="BA50" i="27" s="1"/>
  <c r="AG50" i="27"/>
  <c r="BB50" i="27" s="1"/>
  <c r="AH50" i="27"/>
  <c r="BC50" i="27" s="1"/>
  <c r="AI50" i="27"/>
  <c r="BD50" i="27" s="1"/>
  <c r="AJ50" i="27"/>
  <c r="BE50" i="27" s="1"/>
  <c r="AK50" i="27"/>
  <c r="BF50" i="27" s="1"/>
  <c r="AL50" i="27"/>
  <c r="BG50" i="27" s="1"/>
  <c r="AM50" i="27"/>
  <c r="BH50" i="27" s="1"/>
  <c r="AN50" i="27"/>
  <c r="BI50" i="27" s="1"/>
  <c r="AO50" i="27"/>
  <c r="BJ50" i="27" s="1"/>
  <c r="AP50" i="27"/>
  <c r="BK50" i="27" s="1"/>
  <c r="AQ50" i="27"/>
  <c r="BL50" i="27" s="1"/>
  <c r="AR50" i="27"/>
  <c r="BM50" i="27" s="1"/>
  <c r="Y51" i="27"/>
  <c r="AT51" i="27" s="1"/>
  <c r="AA51" i="27"/>
  <c r="AV51" i="27" s="1"/>
  <c r="AB51" i="27"/>
  <c r="AW51" i="27" s="1"/>
  <c r="AC51" i="27"/>
  <c r="AX51" i="27" s="1"/>
  <c r="AD51" i="27"/>
  <c r="AY51" i="27" s="1"/>
  <c r="AE51" i="27"/>
  <c r="AZ51" i="27" s="1"/>
  <c r="AF51" i="27"/>
  <c r="BA51" i="27" s="1"/>
  <c r="AG51" i="27"/>
  <c r="BB51" i="27" s="1"/>
  <c r="AH51" i="27"/>
  <c r="BC51" i="27" s="1"/>
  <c r="AI51" i="27"/>
  <c r="BD51" i="27" s="1"/>
  <c r="AJ51" i="27"/>
  <c r="BE51" i="27" s="1"/>
  <c r="AK51" i="27"/>
  <c r="BF51" i="27" s="1"/>
  <c r="AL51" i="27"/>
  <c r="BG51" i="27" s="1"/>
  <c r="AM51" i="27"/>
  <c r="BH51" i="27" s="1"/>
  <c r="AN51" i="27"/>
  <c r="BI51" i="27" s="1"/>
  <c r="AO51" i="27"/>
  <c r="BJ51" i="27" s="1"/>
  <c r="AP51" i="27"/>
  <c r="BK51" i="27" s="1"/>
  <c r="AQ51" i="27"/>
  <c r="BL51" i="27" s="1"/>
  <c r="AR51" i="27"/>
  <c r="BM51" i="27" s="1"/>
  <c r="Y52" i="27"/>
  <c r="AT52" i="27" s="1"/>
  <c r="AA52" i="27"/>
  <c r="AV52" i="27" s="1"/>
  <c r="AB52" i="27"/>
  <c r="AW52" i="27" s="1"/>
  <c r="AC52" i="27"/>
  <c r="AX52" i="27" s="1"/>
  <c r="AD52" i="27"/>
  <c r="AY52" i="27" s="1"/>
  <c r="AE52" i="27"/>
  <c r="AZ52" i="27" s="1"/>
  <c r="AF52" i="27"/>
  <c r="BA52" i="27" s="1"/>
  <c r="AG52" i="27"/>
  <c r="BB52" i="27" s="1"/>
  <c r="AH52" i="27"/>
  <c r="BC52" i="27" s="1"/>
  <c r="AI52" i="27"/>
  <c r="BD52" i="27" s="1"/>
  <c r="AJ52" i="27"/>
  <c r="BE52" i="27" s="1"/>
  <c r="AK52" i="27"/>
  <c r="BF52" i="27" s="1"/>
  <c r="AL52" i="27"/>
  <c r="BG52" i="27" s="1"/>
  <c r="AM52" i="27"/>
  <c r="BH52" i="27" s="1"/>
  <c r="AN52" i="27"/>
  <c r="BI52" i="27" s="1"/>
  <c r="AO52" i="27"/>
  <c r="BJ52" i="27" s="1"/>
  <c r="AP52" i="27"/>
  <c r="BK52" i="27" s="1"/>
  <c r="AQ52" i="27"/>
  <c r="BL52" i="27" s="1"/>
  <c r="AR52" i="27"/>
  <c r="BM52" i="27" s="1"/>
  <c r="Y53" i="27"/>
  <c r="AT53" i="27" s="1"/>
  <c r="AA53" i="27"/>
  <c r="AV53" i="27" s="1"/>
  <c r="AB53" i="27"/>
  <c r="AW53" i="27" s="1"/>
  <c r="AC53" i="27"/>
  <c r="AX53" i="27" s="1"/>
  <c r="AD53" i="27"/>
  <c r="AY53" i="27" s="1"/>
  <c r="AE53" i="27"/>
  <c r="AZ53" i="27" s="1"/>
  <c r="AF53" i="27"/>
  <c r="BA53" i="27" s="1"/>
  <c r="AG53" i="27"/>
  <c r="BB53" i="27" s="1"/>
  <c r="AH53" i="27"/>
  <c r="BC53" i="27" s="1"/>
  <c r="AI53" i="27"/>
  <c r="BD53" i="27" s="1"/>
  <c r="AJ53" i="27"/>
  <c r="BE53" i="27" s="1"/>
  <c r="AK53" i="27"/>
  <c r="BF53" i="27" s="1"/>
  <c r="AL53" i="27"/>
  <c r="BG53" i="27" s="1"/>
  <c r="AM53" i="27"/>
  <c r="BH53" i="27" s="1"/>
  <c r="AN53" i="27"/>
  <c r="BI53" i="27" s="1"/>
  <c r="AO53" i="27"/>
  <c r="BJ53" i="27" s="1"/>
  <c r="AP53" i="27"/>
  <c r="BK53" i="27" s="1"/>
  <c r="AQ53" i="27"/>
  <c r="BL53" i="27" s="1"/>
  <c r="AR53" i="27"/>
  <c r="BM53" i="27" s="1"/>
  <c r="Y54" i="27"/>
  <c r="AT54" i="27" s="1"/>
  <c r="AA54" i="27"/>
  <c r="AV54" i="27" s="1"/>
  <c r="AB54" i="27"/>
  <c r="AW54" i="27" s="1"/>
  <c r="AC54" i="27"/>
  <c r="AX54" i="27" s="1"/>
  <c r="AD54" i="27"/>
  <c r="AY54" i="27" s="1"/>
  <c r="AE54" i="27"/>
  <c r="AZ54" i="27" s="1"/>
  <c r="AF54" i="27"/>
  <c r="BA54" i="27" s="1"/>
  <c r="AG54" i="27"/>
  <c r="BB54" i="27" s="1"/>
  <c r="AH54" i="27"/>
  <c r="BC54" i="27" s="1"/>
  <c r="AI54" i="27"/>
  <c r="BD54" i="27" s="1"/>
  <c r="AJ54" i="27"/>
  <c r="BE54" i="27" s="1"/>
  <c r="AK54" i="27"/>
  <c r="BF54" i="27" s="1"/>
  <c r="AL54" i="27"/>
  <c r="BG54" i="27" s="1"/>
  <c r="AM54" i="27"/>
  <c r="BH54" i="27" s="1"/>
  <c r="AN54" i="27"/>
  <c r="BI54" i="27" s="1"/>
  <c r="AO54" i="27"/>
  <c r="BJ54" i="27" s="1"/>
  <c r="AP54" i="27"/>
  <c r="BK54" i="27" s="1"/>
  <c r="AQ54" i="27"/>
  <c r="BL54" i="27" s="1"/>
  <c r="AR54" i="27"/>
  <c r="BM54" i="27" s="1"/>
  <c r="Y55" i="27"/>
  <c r="AT55" i="27" s="1"/>
  <c r="AA55" i="27"/>
  <c r="AV55" i="27" s="1"/>
  <c r="AB55" i="27"/>
  <c r="AW55" i="27" s="1"/>
  <c r="AC55" i="27"/>
  <c r="AX55" i="27" s="1"/>
  <c r="AD55" i="27"/>
  <c r="AY55" i="27" s="1"/>
  <c r="AE55" i="27"/>
  <c r="AZ55" i="27" s="1"/>
  <c r="AF55" i="27"/>
  <c r="BA55" i="27" s="1"/>
  <c r="AG55" i="27"/>
  <c r="BB55" i="27" s="1"/>
  <c r="AH55" i="27"/>
  <c r="BC55" i="27" s="1"/>
  <c r="AI55" i="27"/>
  <c r="BD55" i="27" s="1"/>
  <c r="AJ55" i="27"/>
  <c r="BE55" i="27" s="1"/>
  <c r="AK55" i="27"/>
  <c r="BF55" i="27" s="1"/>
  <c r="AL55" i="27"/>
  <c r="BG55" i="27" s="1"/>
  <c r="AM55" i="27"/>
  <c r="BH55" i="27" s="1"/>
  <c r="AN55" i="27"/>
  <c r="BI55" i="27" s="1"/>
  <c r="AO55" i="27"/>
  <c r="BJ55" i="27" s="1"/>
  <c r="AP55" i="27"/>
  <c r="BK55" i="27" s="1"/>
  <c r="AQ55" i="27"/>
  <c r="BL55" i="27" s="1"/>
  <c r="AR55" i="27"/>
  <c r="BM55" i="27" s="1"/>
  <c r="Y56" i="27"/>
  <c r="AT56" i="27" s="1"/>
  <c r="AA56" i="27"/>
  <c r="AV56" i="27" s="1"/>
  <c r="AB56" i="27"/>
  <c r="AW56" i="27" s="1"/>
  <c r="AC56" i="27"/>
  <c r="AX56" i="27" s="1"/>
  <c r="AD56" i="27"/>
  <c r="AY56" i="27" s="1"/>
  <c r="AE56" i="27"/>
  <c r="AZ56" i="27" s="1"/>
  <c r="AF56" i="27"/>
  <c r="BA56" i="27" s="1"/>
  <c r="AG56" i="27"/>
  <c r="BB56" i="27" s="1"/>
  <c r="AH56" i="27"/>
  <c r="BC56" i="27" s="1"/>
  <c r="AI56" i="27"/>
  <c r="BD56" i="27" s="1"/>
  <c r="AJ56" i="27"/>
  <c r="BE56" i="27" s="1"/>
  <c r="AK56" i="27"/>
  <c r="BF56" i="27" s="1"/>
  <c r="AL56" i="27"/>
  <c r="BG56" i="27" s="1"/>
  <c r="AM56" i="27"/>
  <c r="BH56" i="27" s="1"/>
  <c r="AN56" i="27"/>
  <c r="BI56" i="27" s="1"/>
  <c r="AO56" i="27"/>
  <c r="BJ56" i="27" s="1"/>
  <c r="AP56" i="27"/>
  <c r="BK56" i="27" s="1"/>
  <c r="AQ56" i="27"/>
  <c r="BL56" i="27" s="1"/>
  <c r="AR56" i="27"/>
  <c r="BM56" i="27" s="1"/>
  <c r="Y57" i="27"/>
  <c r="AT57" i="27" s="1"/>
  <c r="AA57" i="27"/>
  <c r="AV57" i="27" s="1"/>
  <c r="AB57" i="27"/>
  <c r="AW57" i="27" s="1"/>
  <c r="AC57" i="27"/>
  <c r="AX57" i="27" s="1"/>
  <c r="AD57" i="27"/>
  <c r="AY57" i="27" s="1"/>
  <c r="AE57" i="27"/>
  <c r="AZ57" i="27" s="1"/>
  <c r="AF57" i="27"/>
  <c r="BA57" i="27" s="1"/>
  <c r="AG57" i="27"/>
  <c r="BB57" i="27" s="1"/>
  <c r="AH57" i="27"/>
  <c r="BC57" i="27" s="1"/>
  <c r="AI57" i="27"/>
  <c r="BD57" i="27" s="1"/>
  <c r="AJ57" i="27"/>
  <c r="BE57" i="27" s="1"/>
  <c r="AK57" i="27"/>
  <c r="BF57" i="27" s="1"/>
  <c r="AL57" i="27"/>
  <c r="BG57" i="27" s="1"/>
  <c r="AM57" i="27"/>
  <c r="BH57" i="27" s="1"/>
  <c r="AN57" i="27"/>
  <c r="BI57" i="27" s="1"/>
  <c r="AO57" i="27"/>
  <c r="BJ57" i="27" s="1"/>
  <c r="AP57" i="27"/>
  <c r="BK57" i="27" s="1"/>
  <c r="AQ57" i="27"/>
  <c r="BL57" i="27" s="1"/>
  <c r="AR57" i="27"/>
  <c r="BM57" i="27" s="1"/>
  <c r="Y58" i="27"/>
  <c r="AT58" i="27" s="1"/>
  <c r="AA58" i="27"/>
  <c r="AV58" i="27" s="1"/>
  <c r="AB58" i="27"/>
  <c r="AW58" i="27" s="1"/>
  <c r="AC58" i="27"/>
  <c r="AX58" i="27" s="1"/>
  <c r="AD58" i="27"/>
  <c r="AY58" i="27" s="1"/>
  <c r="AE58" i="27"/>
  <c r="AZ58" i="27" s="1"/>
  <c r="AF58" i="27"/>
  <c r="BA58" i="27" s="1"/>
  <c r="AG58" i="27"/>
  <c r="BB58" i="27" s="1"/>
  <c r="AH58" i="27"/>
  <c r="BC58" i="27" s="1"/>
  <c r="AI58" i="27"/>
  <c r="BD58" i="27" s="1"/>
  <c r="AJ58" i="27"/>
  <c r="BE58" i="27" s="1"/>
  <c r="AK58" i="27"/>
  <c r="BF58" i="27" s="1"/>
  <c r="AL58" i="27"/>
  <c r="BG58" i="27" s="1"/>
  <c r="AM58" i="27"/>
  <c r="BH58" i="27" s="1"/>
  <c r="AN58" i="27"/>
  <c r="BI58" i="27" s="1"/>
  <c r="AO58" i="27"/>
  <c r="BJ58" i="27" s="1"/>
  <c r="AP58" i="27"/>
  <c r="BK58" i="27" s="1"/>
  <c r="AQ58" i="27"/>
  <c r="BL58" i="27" s="1"/>
  <c r="AR58" i="27"/>
  <c r="BM58" i="27" s="1"/>
  <c r="Y59" i="27"/>
  <c r="AT59" i="27" s="1"/>
  <c r="AA59" i="27"/>
  <c r="AV59" i="27" s="1"/>
  <c r="AB59" i="27"/>
  <c r="AW59" i="27" s="1"/>
  <c r="AC59" i="27"/>
  <c r="AX59" i="27" s="1"/>
  <c r="AD59" i="27"/>
  <c r="AY59" i="27" s="1"/>
  <c r="AE59" i="27"/>
  <c r="AZ59" i="27" s="1"/>
  <c r="AF59" i="27"/>
  <c r="BA59" i="27" s="1"/>
  <c r="AG59" i="27"/>
  <c r="BB59" i="27" s="1"/>
  <c r="AH59" i="27"/>
  <c r="BC59" i="27" s="1"/>
  <c r="AI59" i="27"/>
  <c r="BD59" i="27" s="1"/>
  <c r="AJ59" i="27"/>
  <c r="BE59" i="27" s="1"/>
  <c r="AK59" i="27"/>
  <c r="BF59" i="27" s="1"/>
  <c r="AL59" i="27"/>
  <c r="BG59" i="27" s="1"/>
  <c r="AM59" i="27"/>
  <c r="BH59" i="27" s="1"/>
  <c r="AN59" i="27"/>
  <c r="BI59" i="27" s="1"/>
  <c r="AO59" i="27"/>
  <c r="BJ59" i="27" s="1"/>
  <c r="AP59" i="27"/>
  <c r="BK59" i="27" s="1"/>
  <c r="AQ59" i="27"/>
  <c r="BL59" i="27" s="1"/>
  <c r="AR59" i="27"/>
  <c r="BM59" i="27" s="1"/>
  <c r="Y60" i="27"/>
  <c r="AT60" i="27" s="1"/>
  <c r="AA60" i="27"/>
  <c r="AV60" i="27" s="1"/>
  <c r="AB60" i="27"/>
  <c r="AW60" i="27" s="1"/>
  <c r="AC60" i="27"/>
  <c r="AX60" i="27" s="1"/>
  <c r="AD60" i="27"/>
  <c r="AY60" i="27" s="1"/>
  <c r="AE60" i="27"/>
  <c r="AZ60" i="27" s="1"/>
  <c r="AF60" i="27"/>
  <c r="BA60" i="27" s="1"/>
  <c r="AG60" i="27"/>
  <c r="BB60" i="27" s="1"/>
  <c r="AH60" i="27"/>
  <c r="BC60" i="27" s="1"/>
  <c r="AI60" i="27"/>
  <c r="BD60" i="27" s="1"/>
  <c r="AJ60" i="27"/>
  <c r="BE60" i="27" s="1"/>
  <c r="AK60" i="27"/>
  <c r="BF60" i="27" s="1"/>
  <c r="AL60" i="27"/>
  <c r="BG60" i="27" s="1"/>
  <c r="AM60" i="27"/>
  <c r="BH60" i="27" s="1"/>
  <c r="AN60" i="27"/>
  <c r="BI60" i="27" s="1"/>
  <c r="AO60" i="27"/>
  <c r="BJ60" i="27" s="1"/>
  <c r="AP60" i="27"/>
  <c r="BK60" i="27" s="1"/>
  <c r="AQ60" i="27"/>
  <c r="BL60" i="27" s="1"/>
  <c r="AR60" i="27"/>
  <c r="BM60" i="27" s="1"/>
  <c r="Y61" i="27"/>
  <c r="AT61" i="27" s="1"/>
  <c r="AA61" i="27"/>
  <c r="AV61" i="27" s="1"/>
  <c r="AB61" i="27"/>
  <c r="AW61" i="27" s="1"/>
  <c r="AC61" i="27"/>
  <c r="AX61" i="27" s="1"/>
  <c r="AD61" i="27"/>
  <c r="AY61" i="27" s="1"/>
  <c r="AE61" i="27"/>
  <c r="AZ61" i="27" s="1"/>
  <c r="AF61" i="27"/>
  <c r="BA61" i="27" s="1"/>
  <c r="AG61" i="27"/>
  <c r="BB61" i="27" s="1"/>
  <c r="AH61" i="27"/>
  <c r="BC61" i="27" s="1"/>
  <c r="AI61" i="27"/>
  <c r="BD61" i="27" s="1"/>
  <c r="AJ61" i="27"/>
  <c r="BE61" i="27" s="1"/>
  <c r="AK61" i="27"/>
  <c r="BF61" i="27" s="1"/>
  <c r="AL61" i="27"/>
  <c r="BG61" i="27" s="1"/>
  <c r="AM61" i="27"/>
  <c r="BH61" i="27" s="1"/>
  <c r="AN61" i="27"/>
  <c r="BI61" i="27" s="1"/>
  <c r="AO61" i="27"/>
  <c r="BJ61" i="27" s="1"/>
  <c r="AP61" i="27"/>
  <c r="BK61" i="27" s="1"/>
  <c r="AQ61" i="27"/>
  <c r="BL61" i="27" s="1"/>
  <c r="AR61" i="27"/>
  <c r="BM61" i="27" s="1"/>
  <c r="Y62" i="27"/>
  <c r="AT62" i="27" s="1"/>
  <c r="AA62" i="27"/>
  <c r="AV62" i="27" s="1"/>
  <c r="AB62" i="27"/>
  <c r="AW62" i="27" s="1"/>
  <c r="AC62" i="27"/>
  <c r="AX62" i="27" s="1"/>
  <c r="AD62" i="27"/>
  <c r="AY62" i="27" s="1"/>
  <c r="AE62" i="27"/>
  <c r="AZ62" i="27" s="1"/>
  <c r="AF62" i="27"/>
  <c r="BA62" i="27" s="1"/>
  <c r="AG62" i="27"/>
  <c r="BB62" i="27" s="1"/>
  <c r="AH62" i="27"/>
  <c r="BC62" i="27" s="1"/>
  <c r="AI62" i="27"/>
  <c r="BD62" i="27" s="1"/>
  <c r="AJ62" i="27"/>
  <c r="BE62" i="27" s="1"/>
  <c r="AK62" i="27"/>
  <c r="BF62" i="27" s="1"/>
  <c r="AL62" i="27"/>
  <c r="BG62" i="27" s="1"/>
  <c r="AM62" i="27"/>
  <c r="BH62" i="27" s="1"/>
  <c r="AN62" i="27"/>
  <c r="BI62" i="27" s="1"/>
  <c r="AO62" i="27"/>
  <c r="BJ62" i="27" s="1"/>
  <c r="AP62" i="27"/>
  <c r="BK62" i="27" s="1"/>
  <c r="AQ62" i="27"/>
  <c r="BL62" i="27" s="1"/>
  <c r="AR62" i="27"/>
  <c r="BM62" i="27" s="1"/>
  <c r="Y63" i="27"/>
  <c r="AT63" i="27" s="1"/>
  <c r="AA63" i="27"/>
  <c r="AV63" i="27" s="1"/>
  <c r="AB63" i="27"/>
  <c r="AW63" i="27" s="1"/>
  <c r="AC63" i="27"/>
  <c r="AX63" i="27" s="1"/>
  <c r="AD63" i="27"/>
  <c r="AY63" i="27" s="1"/>
  <c r="AE63" i="27"/>
  <c r="AZ63" i="27" s="1"/>
  <c r="AF63" i="27"/>
  <c r="BA63" i="27" s="1"/>
  <c r="AG63" i="27"/>
  <c r="BB63" i="27" s="1"/>
  <c r="AH63" i="27"/>
  <c r="BC63" i="27" s="1"/>
  <c r="AI63" i="27"/>
  <c r="BD63" i="27" s="1"/>
  <c r="AJ63" i="27"/>
  <c r="BE63" i="27" s="1"/>
  <c r="AK63" i="27"/>
  <c r="BF63" i="27" s="1"/>
  <c r="AL63" i="27"/>
  <c r="BG63" i="27" s="1"/>
  <c r="AM63" i="27"/>
  <c r="BH63" i="27" s="1"/>
  <c r="AN63" i="27"/>
  <c r="BI63" i="27" s="1"/>
  <c r="AO63" i="27"/>
  <c r="BJ63" i="27" s="1"/>
  <c r="AP63" i="27"/>
  <c r="BK63" i="27" s="1"/>
  <c r="AQ63" i="27"/>
  <c r="BL63" i="27" s="1"/>
  <c r="AR63" i="27"/>
  <c r="BM63" i="27" s="1"/>
  <c r="Y64" i="27"/>
  <c r="AT64" i="27" s="1"/>
  <c r="AA64" i="27"/>
  <c r="AV64" i="27" s="1"/>
  <c r="AB64" i="27"/>
  <c r="AW64" i="27" s="1"/>
  <c r="AC64" i="27"/>
  <c r="AX64" i="27" s="1"/>
  <c r="AD64" i="27"/>
  <c r="AY64" i="27" s="1"/>
  <c r="AE64" i="27"/>
  <c r="AZ64" i="27" s="1"/>
  <c r="AF64" i="27"/>
  <c r="BA64" i="27" s="1"/>
  <c r="AG64" i="27"/>
  <c r="BB64" i="27" s="1"/>
  <c r="AH64" i="27"/>
  <c r="BC64" i="27" s="1"/>
  <c r="AI64" i="27"/>
  <c r="BD64" i="27" s="1"/>
  <c r="AJ64" i="27"/>
  <c r="BE64" i="27" s="1"/>
  <c r="AK64" i="27"/>
  <c r="BF64" i="27" s="1"/>
  <c r="AL64" i="27"/>
  <c r="BG64" i="27" s="1"/>
  <c r="AM64" i="27"/>
  <c r="BH64" i="27" s="1"/>
  <c r="AN64" i="27"/>
  <c r="BI64" i="27" s="1"/>
  <c r="AO64" i="27"/>
  <c r="BJ64" i="27" s="1"/>
  <c r="AP64" i="27"/>
  <c r="BK64" i="27" s="1"/>
  <c r="AQ64" i="27"/>
  <c r="BL64" i="27" s="1"/>
  <c r="AR64" i="27"/>
  <c r="BM64" i="27" s="1"/>
  <c r="Y65" i="27"/>
  <c r="AT65" i="27" s="1"/>
  <c r="AA65" i="27"/>
  <c r="AV65" i="27" s="1"/>
  <c r="AB65" i="27"/>
  <c r="AW65" i="27" s="1"/>
  <c r="AC65" i="27"/>
  <c r="AX65" i="27" s="1"/>
  <c r="AD65" i="27"/>
  <c r="AY65" i="27" s="1"/>
  <c r="AE65" i="27"/>
  <c r="AZ65" i="27" s="1"/>
  <c r="AF65" i="27"/>
  <c r="BA65" i="27" s="1"/>
  <c r="AG65" i="27"/>
  <c r="BB65" i="27" s="1"/>
  <c r="AH65" i="27"/>
  <c r="BC65" i="27" s="1"/>
  <c r="AI65" i="27"/>
  <c r="BD65" i="27" s="1"/>
  <c r="AJ65" i="27"/>
  <c r="BE65" i="27" s="1"/>
  <c r="AK65" i="27"/>
  <c r="BF65" i="27" s="1"/>
  <c r="AL65" i="27"/>
  <c r="BG65" i="27" s="1"/>
  <c r="AM65" i="27"/>
  <c r="BH65" i="27" s="1"/>
  <c r="AN65" i="27"/>
  <c r="BI65" i="27" s="1"/>
  <c r="AO65" i="27"/>
  <c r="BJ65" i="27" s="1"/>
  <c r="AP65" i="27"/>
  <c r="BK65" i="27" s="1"/>
  <c r="AQ65" i="27"/>
  <c r="BL65" i="27" s="1"/>
  <c r="AR65" i="27"/>
  <c r="BM65" i="27" s="1"/>
  <c r="Y66" i="27"/>
  <c r="AT66" i="27" s="1"/>
  <c r="AA66" i="27"/>
  <c r="AV66" i="27" s="1"/>
  <c r="AB66" i="27"/>
  <c r="AW66" i="27" s="1"/>
  <c r="AC66" i="27"/>
  <c r="AX66" i="27" s="1"/>
  <c r="AD66" i="27"/>
  <c r="AY66" i="27" s="1"/>
  <c r="AE66" i="27"/>
  <c r="AZ66" i="27" s="1"/>
  <c r="AF66" i="27"/>
  <c r="BA66" i="27" s="1"/>
  <c r="AG66" i="27"/>
  <c r="BB66" i="27" s="1"/>
  <c r="AH66" i="27"/>
  <c r="BC66" i="27" s="1"/>
  <c r="AI66" i="27"/>
  <c r="BD66" i="27" s="1"/>
  <c r="AJ66" i="27"/>
  <c r="BE66" i="27" s="1"/>
  <c r="AK66" i="27"/>
  <c r="BF66" i="27" s="1"/>
  <c r="AL66" i="27"/>
  <c r="BG66" i="27" s="1"/>
  <c r="AM66" i="27"/>
  <c r="BH66" i="27" s="1"/>
  <c r="AN66" i="27"/>
  <c r="BI66" i="27" s="1"/>
  <c r="AO66" i="27"/>
  <c r="BJ66" i="27" s="1"/>
  <c r="AP66" i="27"/>
  <c r="BK66" i="27" s="1"/>
  <c r="AQ66" i="27"/>
  <c r="BL66" i="27" s="1"/>
  <c r="AR66" i="27"/>
  <c r="BM66" i="27" s="1"/>
  <c r="Y67" i="27"/>
  <c r="AT67" i="27" s="1"/>
  <c r="AA67" i="27"/>
  <c r="AV67" i="27" s="1"/>
  <c r="AB67" i="27"/>
  <c r="AW67" i="27" s="1"/>
  <c r="AC67" i="27"/>
  <c r="AX67" i="27" s="1"/>
  <c r="AD67" i="27"/>
  <c r="AY67" i="27" s="1"/>
  <c r="AE67" i="27"/>
  <c r="AZ67" i="27" s="1"/>
  <c r="AF67" i="27"/>
  <c r="BA67" i="27" s="1"/>
  <c r="AG67" i="27"/>
  <c r="BB67" i="27" s="1"/>
  <c r="AH67" i="27"/>
  <c r="BC67" i="27" s="1"/>
  <c r="AI67" i="27"/>
  <c r="BD67" i="27" s="1"/>
  <c r="AJ67" i="27"/>
  <c r="BE67" i="27" s="1"/>
  <c r="AK67" i="27"/>
  <c r="BF67" i="27" s="1"/>
  <c r="AL67" i="27"/>
  <c r="BG67" i="27" s="1"/>
  <c r="AM67" i="27"/>
  <c r="BH67" i="27" s="1"/>
  <c r="AN67" i="27"/>
  <c r="BI67" i="27" s="1"/>
  <c r="AO67" i="27"/>
  <c r="BJ67" i="27" s="1"/>
  <c r="AP67" i="27"/>
  <c r="BK67" i="27" s="1"/>
  <c r="AQ67" i="27"/>
  <c r="BL67" i="27" s="1"/>
  <c r="AR67" i="27"/>
  <c r="BM67" i="27" s="1"/>
  <c r="Y68" i="27"/>
  <c r="AT68" i="27" s="1"/>
  <c r="AA68" i="27"/>
  <c r="AV68" i="27" s="1"/>
  <c r="AB68" i="27"/>
  <c r="AW68" i="27" s="1"/>
  <c r="AC68" i="27"/>
  <c r="AX68" i="27" s="1"/>
  <c r="AD68" i="27"/>
  <c r="AY68" i="27" s="1"/>
  <c r="AE68" i="27"/>
  <c r="AZ68" i="27" s="1"/>
  <c r="AF68" i="27"/>
  <c r="BA68" i="27" s="1"/>
  <c r="AG68" i="27"/>
  <c r="BB68" i="27" s="1"/>
  <c r="AH68" i="27"/>
  <c r="BC68" i="27" s="1"/>
  <c r="AI68" i="27"/>
  <c r="BD68" i="27" s="1"/>
  <c r="AJ68" i="27"/>
  <c r="BE68" i="27" s="1"/>
  <c r="AK68" i="27"/>
  <c r="BF68" i="27" s="1"/>
  <c r="AL68" i="27"/>
  <c r="BG68" i="27" s="1"/>
  <c r="AM68" i="27"/>
  <c r="BH68" i="27" s="1"/>
  <c r="AN68" i="27"/>
  <c r="BI68" i="27" s="1"/>
  <c r="AO68" i="27"/>
  <c r="BJ68" i="27" s="1"/>
  <c r="AP68" i="27"/>
  <c r="BK68" i="27" s="1"/>
  <c r="AQ68" i="27"/>
  <c r="BL68" i="27" s="1"/>
  <c r="AR68" i="27"/>
  <c r="BM68" i="27" s="1"/>
  <c r="Y69" i="27"/>
  <c r="AT69" i="27" s="1"/>
  <c r="AA69" i="27"/>
  <c r="AV69" i="27" s="1"/>
  <c r="AB69" i="27"/>
  <c r="AW69" i="27" s="1"/>
  <c r="AC69" i="27"/>
  <c r="AX69" i="27" s="1"/>
  <c r="AD69" i="27"/>
  <c r="AY69" i="27" s="1"/>
  <c r="AE69" i="27"/>
  <c r="AZ69" i="27" s="1"/>
  <c r="AF69" i="27"/>
  <c r="BA69" i="27" s="1"/>
  <c r="AG69" i="27"/>
  <c r="BB69" i="27" s="1"/>
  <c r="AH69" i="27"/>
  <c r="BC69" i="27" s="1"/>
  <c r="AI69" i="27"/>
  <c r="BD69" i="27" s="1"/>
  <c r="AJ69" i="27"/>
  <c r="BE69" i="27" s="1"/>
  <c r="AK69" i="27"/>
  <c r="BF69" i="27" s="1"/>
  <c r="AL69" i="27"/>
  <c r="BG69" i="27" s="1"/>
  <c r="AM69" i="27"/>
  <c r="BH69" i="27" s="1"/>
  <c r="AN69" i="27"/>
  <c r="BI69" i="27" s="1"/>
  <c r="AO69" i="27"/>
  <c r="BJ69" i="27" s="1"/>
  <c r="AP69" i="27"/>
  <c r="BK69" i="27" s="1"/>
  <c r="AQ69" i="27"/>
  <c r="BL69" i="27" s="1"/>
  <c r="AR69" i="27"/>
  <c r="BM69" i="27" s="1"/>
  <c r="Y70" i="27"/>
  <c r="AT70" i="27" s="1"/>
  <c r="AA70" i="27"/>
  <c r="AV70" i="27" s="1"/>
  <c r="AB70" i="27"/>
  <c r="AW70" i="27" s="1"/>
  <c r="AC70" i="27"/>
  <c r="AX70" i="27" s="1"/>
  <c r="AD70" i="27"/>
  <c r="AY70" i="27" s="1"/>
  <c r="AE70" i="27"/>
  <c r="AZ70" i="27" s="1"/>
  <c r="AF70" i="27"/>
  <c r="BA70" i="27" s="1"/>
  <c r="AG70" i="27"/>
  <c r="BB70" i="27" s="1"/>
  <c r="AH70" i="27"/>
  <c r="BC70" i="27" s="1"/>
  <c r="AI70" i="27"/>
  <c r="BD70" i="27" s="1"/>
  <c r="AJ70" i="27"/>
  <c r="BE70" i="27" s="1"/>
  <c r="AK70" i="27"/>
  <c r="BF70" i="27" s="1"/>
  <c r="AL70" i="27"/>
  <c r="BG70" i="27" s="1"/>
  <c r="AM70" i="27"/>
  <c r="BH70" i="27" s="1"/>
  <c r="AN70" i="27"/>
  <c r="BI70" i="27" s="1"/>
  <c r="AO70" i="27"/>
  <c r="BJ70" i="27" s="1"/>
  <c r="AP70" i="27"/>
  <c r="BK70" i="27" s="1"/>
  <c r="AQ70" i="27"/>
  <c r="BL70" i="27" s="1"/>
  <c r="AR70" i="27"/>
  <c r="BM70" i="27" s="1"/>
  <c r="Y71" i="27"/>
  <c r="AT71" i="27" s="1"/>
  <c r="AA71" i="27"/>
  <c r="AV71" i="27" s="1"/>
  <c r="AB71" i="27"/>
  <c r="AW71" i="27" s="1"/>
  <c r="AC71" i="27"/>
  <c r="AX71" i="27" s="1"/>
  <c r="AD71" i="27"/>
  <c r="AY71" i="27" s="1"/>
  <c r="AE71" i="27"/>
  <c r="AZ71" i="27" s="1"/>
  <c r="AF71" i="27"/>
  <c r="BA71" i="27" s="1"/>
  <c r="AG71" i="27"/>
  <c r="BB71" i="27" s="1"/>
  <c r="AH71" i="27"/>
  <c r="BC71" i="27" s="1"/>
  <c r="AI71" i="27"/>
  <c r="BD71" i="27" s="1"/>
  <c r="AJ71" i="27"/>
  <c r="BE71" i="27" s="1"/>
  <c r="AK71" i="27"/>
  <c r="BF71" i="27" s="1"/>
  <c r="AL71" i="27"/>
  <c r="BG71" i="27" s="1"/>
  <c r="AM71" i="27"/>
  <c r="BH71" i="27" s="1"/>
  <c r="AN71" i="27"/>
  <c r="BI71" i="27" s="1"/>
  <c r="AO71" i="27"/>
  <c r="BJ71" i="27" s="1"/>
  <c r="AP71" i="27"/>
  <c r="BK71" i="27" s="1"/>
  <c r="AQ71" i="27"/>
  <c r="BL71" i="27" s="1"/>
  <c r="AR71" i="27"/>
  <c r="BM71" i="27" s="1"/>
  <c r="Y72" i="27"/>
  <c r="AT72" i="27" s="1"/>
  <c r="AA72" i="27"/>
  <c r="AV72" i="27" s="1"/>
  <c r="AB72" i="27"/>
  <c r="AW72" i="27" s="1"/>
  <c r="AC72" i="27"/>
  <c r="AX72" i="27" s="1"/>
  <c r="AD72" i="27"/>
  <c r="AY72" i="27" s="1"/>
  <c r="AE72" i="27"/>
  <c r="AZ72" i="27" s="1"/>
  <c r="AF72" i="27"/>
  <c r="BA72" i="27" s="1"/>
  <c r="AG72" i="27"/>
  <c r="BB72" i="27" s="1"/>
  <c r="AH72" i="27"/>
  <c r="BC72" i="27" s="1"/>
  <c r="AI72" i="27"/>
  <c r="BD72" i="27" s="1"/>
  <c r="AJ72" i="27"/>
  <c r="BE72" i="27" s="1"/>
  <c r="AK72" i="27"/>
  <c r="BF72" i="27" s="1"/>
  <c r="AL72" i="27"/>
  <c r="BG72" i="27" s="1"/>
  <c r="AM72" i="27"/>
  <c r="BH72" i="27" s="1"/>
  <c r="AN72" i="27"/>
  <c r="BI72" i="27" s="1"/>
  <c r="AO72" i="27"/>
  <c r="BJ72" i="27" s="1"/>
  <c r="AP72" i="27"/>
  <c r="BK72" i="27" s="1"/>
  <c r="AQ72" i="27"/>
  <c r="BL72" i="27" s="1"/>
  <c r="AR72" i="27"/>
  <c r="BM72" i="27" s="1"/>
  <c r="Y73" i="27"/>
  <c r="AT73" i="27" s="1"/>
  <c r="AA73" i="27"/>
  <c r="AV73" i="27" s="1"/>
  <c r="AB73" i="27"/>
  <c r="AW73" i="27" s="1"/>
  <c r="AC73" i="27"/>
  <c r="AX73" i="27" s="1"/>
  <c r="AD73" i="27"/>
  <c r="AY73" i="27" s="1"/>
  <c r="AE73" i="27"/>
  <c r="AZ73" i="27" s="1"/>
  <c r="AF73" i="27"/>
  <c r="BA73" i="27" s="1"/>
  <c r="AG73" i="27"/>
  <c r="BB73" i="27" s="1"/>
  <c r="AH73" i="27"/>
  <c r="BC73" i="27" s="1"/>
  <c r="AI73" i="27"/>
  <c r="BD73" i="27" s="1"/>
  <c r="AJ73" i="27"/>
  <c r="BE73" i="27" s="1"/>
  <c r="AK73" i="27"/>
  <c r="BF73" i="27" s="1"/>
  <c r="AL73" i="27"/>
  <c r="BG73" i="27" s="1"/>
  <c r="AM73" i="27"/>
  <c r="BH73" i="27" s="1"/>
  <c r="AN73" i="27"/>
  <c r="BI73" i="27" s="1"/>
  <c r="AO73" i="27"/>
  <c r="BJ73" i="27" s="1"/>
  <c r="AP73" i="27"/>
  <c r="BK73" i="27" s="1"/>
  <c r="AQ73" i="27"/>
  <c r="BL73" i="27" s="1"/>
  <c r="AR73" i="27"/>
  <c r="BM73" i="27" s="1"/>
  <c r="Y74" i="27"/>
  <c r="AT74" i="27" s="1"/>
  <c r="AA74" i="27"/>
  <c r="AV74" i="27" s="1"/>
  <c r="AB74" i="27"/>
  <c r="AW74" i="27" s="1"/>
  <c r="AC74" i="27"/>
  <c r="AX74" i="27" s="1"/>
  <c r="AD74" i="27"/>
  <c r="AY74" i="27" s="1"/>
  <c r="AE74" i="27"/>
  <c r="AZ74" i="27" s="1"/>
  <c r="AF74" i="27"/>
  <c r="BA74" i="27" s="1"/>
  <c r="AG74" i="27"/>
  <c r="BB74" i="27" s="1"/>
  <c r="AH74" i="27"/>
  <c r="BC74" i="27" s="1"/>
  <c r="AI74" i="27"/>
  <c r="BD74" i="27" s="1"/>
  <c r="AJ74" i="27"/>
  <c r="BE74" i="27" s="1"/>
  <c r="AK74" i="27"/>
  <c r="BF74" i="27" s="1"/>
  <c r="AL74" i="27"/>
  <c r="BG74" i="27" s="1"/>
  <c r="AM74" i="27"/>
  <c r="BH74" i="27" s="1"/>
  <c r="AN74" i="27"/>
  <c r="BI74" i="27" s="1"/>
  <c r="AO74" i="27"/>
  <c r="BJ74" i="27" s="1"/>
  <c r="AP74" i="27"/>
  <c r="BK74" i="27" s="1"/>
  <c r="AQ74" i="27"/>
  <c r="BL74" i="27" s="1"/>
  <c r="AR74" i="27"/>
  <c r="BM74" i="27" s="1"/>
  <c r="Y75" i="27"/>
  <c r="AT75" i="27" s="1"/>
  <c r="AA75" i="27"/>
  <c r="AV75" i="27" s="1"/>
  <c r="AB75" i="27"/>
  <c r="AW75" i="27" s="1"/>
  <c r="AC75" i="27"/>
  <c r="AX75" i="27" s="1"/>
  <c r="AD75" i="27"/>
  <c r="AY75" i="27" s="1"/>
  <c r="AE75" i="27"/>
  <c r="AZ75" i="27" s="1"/>
  <c r="AF75" i="27"/>
  <c r="BA75" i="27" s="1"/>
  <c r="AG75" i="27"/>
  <c r="BB75" i="27" s="1"/>
  <c r="AH75" i="27"/>
  <c r="BC75" i="27" s="1"/>
  <c r="AI75" i="27"/>
  <c r="BD75" i="27" s="1"/>
  <c r="AJ75" i="27"/>
  <c r="BE75" i="27" s="1"/>
  <c r="AK75" i="27"/>
  <c r="BF75" i="27" s="1"/>
  <c r="AL75" i="27"/>
  <c r="BG75" i="27" s="1"/>
  <c r="AM75" i="27"/>
  <c r="BH75" i="27" s="1"/>
  <c r="AN75" i="27"/>
  <c r="BI75" i="27" s="1"/>
  <c r="AO75" i="27"/>
  <c r="BJ75" i="27" s="1"/>
  <c r="AP75" i="27"/>
  <c r="BK75" i="27" s="1"/>
  <c r="AQ75" i="27"/>
  <c r="BL75" i="27" s="1"/>
  <c r="AR75" i="27"/>
  <c r="BM75" i="27" s="1"/>
  <c r="Y76" i="27"/>
  <c r="AT76" i="27" s="1"/>
  <c r="AA76" i="27"/>
  <c r="AV76" i="27" s="1"/>
  <c r="AB76" i="27"/>
  <c r="AW76" i="27" s="1"/>
  <c r="AC76" i="27"/>
  <c r="AX76" i="27" s="1"/>
  <c r="AD76" i="27"/>
  <c r="AY76" i="27" s="1"/>
  <c r="AE76" i="27"/>
  <c r="AZ76" i="27" s="1"/>
  <c r="AF76" i="27"/>
  <c r="BA76" i="27" s="1"/>
  <c r="AG76" i="27"/>
  <c r="BB76" i="27" s="1"/>
  <c r="AH76" i="27"/>
  <c r="BC76" i="27" s="1"/>
  <c r="AI76" i="27"/>
  <c r="BD76" i="27" s="1"/>
  <c r="AJ76" i="27"/>
  <c r="BE76" i="27" s="1"/>
  <c r="AK76" i="27"/>
  <c r="BF76" i="27" s="1"/>
  <c r="AL76" i="27"/>
  <c r="BG76" i="27" s="1"/>
  <c r="AM76" i="27"/>
  <c r="BH76" i="27" s="1"/>
  <c r="AN76" i="27"/>
  <c r="BI76" i="27" s="1"/>
  <c r="AO76" i="27"/>
  <c r="BJ76" i="27" s="1"/>
  <c r="AP76" i="27"/>
  <c r="BK76" i="27" s="1"/>
  <c r="AQ76" i="27"/>
  <c r="BL76" i="27" s="1"/>
  <c r="AR76" i="27"/>
  <c r="BM76" i="27" s="1"/>
  <c r="Y77" i="27"/>
  <c r="AT77" i="27" s="1"/>
  <c r="AA77" i="27"/>
  <c r="AV77" i="27" s="1"/>
  <c r="AB77" i="27"/>
  <c r="AW77" i="27" s="1"/>
  <c r="AC77" i="27"/>
  <c r="AX77" i="27" s="1"/>
  <c r="AD77" i="27"/>
  <c r="AY77" i="27" s="1"/>
  <c r="AE77" i="27"/>
  <c r="AZ77" i="27" s="1"/>
  <c r="AF77" i="27"/>
  <c r="BA77" i="27" s="1"/>
  <c r="AG77" i="27"/>
  <c r="BB77" i="27" s="1"/>
  <c r="AH77" i="27"/>
  <c r="BC77" i="27" s="1"/>
  <c r="AI77" i="27"/>
  <c r="BD77" i="27" s="1"/>
  <c r="AJ77" i="27"/>
  <c r="BE77" i="27" s="1"/>
  <c r="AK77" i="27"/>
  <c r="BF77" i="27" s="1"/>
  <c r="AL77" i="27"/>
  <c r="BG77" i="27" s="1"/>
  <c r="AM77" i="27"/>
  <c r="BH77" i="27" s="1"/>
  <c r="AN77" i="27"/>
  <c r="BI77" i="27" s="1"/>
  <c r="AO77" i="27"/>
  <c r="BJ77" i="27" s="1"/>
  <c r="AP77" i="27"/>
  <c r="BK77" i="27" s="1"/>
  <c r="AQ77" i="27"/>
  <c r="BL77" i="27" s="1"/>
  <c r="AR77" i="27"/>
  <c r="BM77" i="27" s="1"/>
  <c r="Y78" i="27"/>
  <c r="AT78" i="27" s="1"/>
  <c r="AA78" i="27"/>
  <c r="AV78" i="27" s="1"/>
  <c r="AB78" i="27"/>
  <c r="AW78" i="27" s="1"/>
  <c r="AC78" i="27"/>
  <c r="AX78" i="27" s="1"/>
  <c r="AD78" i="27"/>
  <c r="AY78" i="27" s="1"/>
  <c r="AE78" i="27"/>
  <c r="AZ78" i="27" s="1"/>
  <c r="AF78" i="27"/>
  <c r="BA78" i="27" s="1"/>
  <c r="AG78" i="27"/>
  <c r="BB78" i="27" s="1"/>
  <c r="AH78" i="27"/>
  <c r="BC78" i="27" s="1"/>
  <c r="AI78" i="27"/>
  <c r="BD78" i="27" s="1"/>
  <c r="AJ78" i="27"/>
  <c r="BE78" i="27" s="1"/>
  <c r="AK78" i="27"/>
  <c r="BF78" i="27" s="1"/>
  <c r="AL78" i="27"/>
  <c r="BG78" i="27" s="1"/>
  <c r="AM78" i="27"/>
  <c r="BH78" i="27" s="1"/>
  <c r="AN78" i="27"/>
  <c r="BI78" i="27" s="1"/>
  <c r="AO78" i="27"/>
  <c r="BJ78" i="27" s="1"/>
  <c r="AP78" i="27"/>
  <c r="BK78" i="27" s="1"/>
  <c r="AQ78" i="27"/>
  <c r="BL78" i="27" s="1"/>
  <c r="AR78" i="27"/>
  <c r="BM78" i="27" s="1"/>
  <c r="Y79" i="27"/>
  <c r="AT79" i="27" s="1"/>
  <c r="AA79" i="27"/>
  <c r="AV79" i="27" s="1"/>
  <c r="AB79" i="27"/>
  <c r="AW79" i="27" s="1"/>
  <c r="AC79" i="27"/>
  <c r="AX79" i="27" s="1"/>
  <c r="AD79" i="27"/>
  <c r="AY79" i="27" s="1"/>
  <c r="AE79" i="27"/>
  <c r="AZ79" i="27" s="1"/>
  <c r="AF79" i="27"/>
  <c r="BA79" i="27" s="1"/>
  <c r="AG79" i="27"/>
  <c r="BB79" i="27" s="1"/>
  <c r="AH79" i="27"/>
  <c r="BC79" i="27" s="1"/>
  <c r="AI79" i="27"/>
  <c r="BD79" i="27" s="1"/>
  <c r="AJ79" i="27"/>
  <c r="BE79" i="27" s="1"/>
  <c r="AK79" i="27"/>
  <c r="BF79" i="27" s="1"/>
  <c r="AL79" i="27"/>
  <c r="BG79" i="27" s="1"/>
  <c r="AM79" i="27"/>
  <c r="BH79" i="27" s="1"/>
  <c r="AN79" i="27"/>
  <c r="BI79" i="27" s="1"/>
  <c r="AO79" i="27"/>
  <c r="BJ79" i="27" s="1"/>
  <c r="AP79" i="27"/>
  <c r="BK79" i="27" s="1"/>
  <c r="AQ79" i="27"/>
  <c r="BL79" i="27" s="1"/>
  <c r="AR79" i="27"/>
  <c r="BM79" i="27" s="1"/>
  <c r="Y80" i="27"/>
  <c r="AT80" i="27" s="1"/>
  <c r="AA80" i="27"/>
  <c r="AV80" i="27" s="1"/>
  <c r="AB80" i="27"/>
  <c r="AW80" i="27" s="1"/>
  <c r="AC80" i="27"/>
  <c r="AX80" i="27" s="1"/>
  <c r="AD80" i="27"/>
  <c r="AY80" i="27" s="1"/>
  <c r="AE80" i="27"/>
  <c r="AZ80" i="27" s="1"/>
  <c r="AF80" i="27"/>
  <c r="BA80" i="27" s="1"/>
  <c r="AG80" i="27"/>
  <c r="BB80" i="27" s="1"/>
  <c r="AH80" i="27"/>
  <c r="BC80" i="27" s="1"/>
  <c r="AI80" i="27"/>
  <c r="BD80" i="27" s="1"/>
  <c r="AJ80" i="27"/>
  <c r="BE80" i="27" s="1"/>
  <c r="AK80" i="27"/>
  <c r="BF80" i="27" s="1"/>
  <c r="AL80" i="27"/>
  <c r="BG80" i="27" s="1"/>
  <c r="AM80" i="27"/>
  <c r="BH80" i="27" s="1"/>
  <c r="AN80" i="27"/>
  <c r="BI80" i="27" s="1"/>
  <c r="AO80" i="27"/>
  <c r="BJ80" i="27" s="1"/>
  <c r="AP80" i="27"/>
  <c r="BK80" i="27" s="1"/>
  <c r="AQ80" i="27"/>
  <c r="BL80" i="27" s="1"/>
  <c r="AR80" i="27"/>
  <c r="BM80" i="27" s="1"/>
  <c r="Y81" i="27"/>
  <c r="AT81" i="27" s="1"/>
  <c r="AA81" i="27"/>
  <c r="AV81" i="27" s="1"/>
  <c r="AB81" i="27"/>
  <c r="AW81" i="27" s="1"/>
  <c r="AC81" i="27"/>
  <c r="AX81" i="27" s="1"/>
  <c r="AD81" i="27"/>
  <c r="AY81" i="27" s="1"/>
  <c r="AE81" i="27"/>
  <c r="AZ81" i="27" s="1"/>
  <c r="AF81" i="27"/>
  <c r="BA81" i="27" s="1"/>
  <c r="AG81" i="27"/>
  <c r="BB81" i="27" s="1"/>
  <c r="AH81" i="27"/>
  <c r="BC81" i="27" s="1"/>
  <c r="AI81" i="27"/>
  <c r="BD81" i="27" s="1"/>
  <c r="AJ81" i="27"/>
  <c r="BE81" i="27" s="1"/>
  <c r="AK81" i="27"/>
  <c r="BF81" i="27" s="1"/>
  <c r="AL81" i="27"/>
  <c r="BG81" i="27" s="1"/>
  <c r="AM81" i="27"/>
  <c r="BH81" i="27" s="1"/>
  <c r="AN81" i="27"/>
  <c r="BI81" i="27" s="1"/>
  <c r="AO81" i="27"/>
  <c r="BJ81" i="27" s="1"/>
  <c r="AP81" i="27"/>
  <c r="BK81" i="27" s="1"/>
  <c r="AQ81" i="27"/>
  <c r="BL81" i="27" s="1"/>
  <c r="AR81" i="27"/>
  <c r="BM81" i="27" s="1"/>
  <c r="Y82" i="27"/>
  <c r="AT82" i="27" s="1"/>
  <c r="AA82" i="27"/>
  <c r="AV82" i="27" s="1"/>
  <c r="AB82" i="27"/>
  <c r="AW82" i="27" s="1"/>
  <c r="AC82" i="27"/>
  <c r="AX82" i="27" s="1"/>
  <c r="AD82" i="27"/>
  <c r="AY82" i="27" s="1"/>
  <c r="AE82" i="27"/>
  <c r="AZ82" i="27" s="1"/>
  <c r="AF82" i="27"/>
  <c r="BA82" i="27" s="1"/>
  <c r="AG82" i="27"/>
  <c r="BB82" i="27" s="1"/>
  <c r="AH82" i="27"/>
  <c r="BC82" i="27" s="1"/>
  <c r="AI82" i="27"/>
  <c r="BD82" i="27" s="1"/>
  <c r="AJ82" i="27"/>
  <c r="BE82" i="27" s="1"/>
  <c r="AK82" i="27"/>
  <c r="BF82" i="27" s="1"/>
  <c r="AL82" i="27"/>
  <c r="BG82" i="27" s="1"/>
  <c r="AM82" i="27"/>
  <c r="BH82" i="27" s="1"/>
  <c r="AN82" i="27"/>
  <c r="BI82" i="27" s="1"/>
  <c r="AO82" i="27"/>
  <c r="BJ82" i="27" s="1"/>
  <c r="AP82" i="27"/>
  <c r="BK82" i="27" s="1"/>
  <c r="AQ82" i="27"/>
  <c r="BL82" i="27" s="1"/>
  <c r="AR82" i="27"/>
  <c r="BM82" i="27" s="1"/>
  <c r="Y83" i="27"/>
  <c r="AT83" i="27" s="1"/>
  <c r="AA83" i="27"/>
  <c r="AV83" i="27" s="1"/>
  <c r="AB83" i="27"/>
  <c r="AW83" i="27" s="1"/>
  <c r="AC83" i="27"/>
  <c r="AX83" i="27" s="1"/>
  <c r="AD83" i="27"/>
  <c r="AY83" i="27" s="1"/>
  <c r="AE83" i="27"/>
  <c r="AZ83" i="27" s="1"/>
  <c r="AF83" i="27"/>
  <c r="BA83" i="27" s="1"/>
  <c r="AG83" i="27"/>
  <c r="BB83" i="27" s="1"/>
  <c r="AH83" i="27"/>
  <c r="BC83" i="27" s="1"/>
  <c r="AI83" i="27"/>
  <c r="BD83" i="27" s="1"/>
  <c r="AJ83" i="27"/>
  <c r="BE83" i="27" s="1"/>
  <c r="AK83" i="27"/>
  <c r="BF83" i="27" s="1"/>
  <c r="AL83" i="27"/>
  <c r="BG83" i="27" s="1"/>
  <c r="AM83" i="27"/>
  <c r="BH83" i="27" s="1"/>
  <c r="AN83" i="27"/>
  <c r="BI83" i="27" s="1"/>
  <c r="AO83" i="27"/>
  <c r="BJ83" i="27" s="1"/>
  <c r="AP83" i="27"/>
  <c r="BK83" i="27" s="1"/>
  <c r="AQ83" i="27"/>
  <c r="BL83" i="27" s="1"/>
  <c r="AR83" i="27"/>
  <c r="BM83" i="27" s="1"/>
  <c r="Y84" i="27"/>
  <c r="AT84" i="27" s="1"/>
  <c r="AA84" i="27"/>
  <c r="AV84" i="27" s="1"/>
  <c r="AB84" i="27"/>
  <c r="AW84" i="27" s="1"/>
  <c r="AC84" i="27"/>
  <c r="AX84" i="27" s="1"/>
  <c r="AD84" i="27"/>
  <c r="AY84" i="27" s="1"/>
  <c r="AE84" i="27"/>
  <c r="AZ84" i="27" s="1"/>
  <c r="AF84" i="27"/>
  <c r="BA84" i="27" s="1"/>
  <c r="AG84" i="27"/>
  <c r="BB84" i="27" s="1"/>
  <c r="AH84" i="27"/>
  <c r="BC84" i="27" s="1"/>
  <c r="AI84" i="27"/>
  <c r="BD84" i="27" s="1"/>
  <c r="AJ84" i="27"/>
  <c r="BE84" i="27" s="1"/>
  <c r="AK84" i="27"/>
  <c r="BF84" i="27" s="1"/>
  <c r="AL84" i="27"/>
  <c r="BG84" i="27" s="1"/>
  <c r="AM84" i="27"/>
  <c r="BH84" i="27" s="1"/>
  <c r="AN84" i="27"/>
  <c r="BI84" i="27" s="1"/>
  <c r="AO84" i="27"/>
  <c r="BJ84" i="27" s="1"/>
  <c r="AP84" i="27"/>
  <c r="BK84" i="27" s="1"/>
  <c r="AQ84" i="27"/>
  <c r="BL84" i="27" s="1"/>
  <c r="AR84" i="27"/>
  <c r="BM84" i="27" s="1"/>
  <c r="Y85" i="27"/>
  <c r="AT85" i="27" s="1"/>
  <c r="AA85" i="27"/>
  <c r="AV85" i="27" s="1"/>
  <c r="AB85" i="27"/>
  <c r="AW85" i="27" s="1"/>
  <c r="AC85" i="27"/>
  <c r="AX85" i="27" s="1"/>
  <c r="AD85" i="27"/>
  <c r="AY85" i="27" s="1"/>
  <c r="AE85" i="27"/>
  <c r="AZ85" i="27" s="1"/>
  <c r="AF85" i="27"/>
  <c r="BA85" i="27" s="1"/>
  <c r="AG85" i="27"/>
  <c r="BB85" i="27" s="1"/>
  <c r="AH85" i="27"/>
  <c r="BC85" i="27" s="1"/>
  <c r="AI85" i="27"/>
  <c r="BD85" i="27" s="1"/>
  <c r="AJ85" i="27"/>
  <c r="BE85" i="27" s="1"/>
  <c r="AK85" i="27"/>
  <c r="BF85" i="27" s="1"/>
  <c r="AL85" i="27"/>
  <c r="BG85" i="27" s="1"/>
  <c r="AM85" i="27"/>
  <c r="BH85" i="27" s="1"/>
  <c r="AN85" i="27"/>
  <c r="BI85" i="27" s="1"/>
  <c r="AO85" i="27"/>
  <c r="BJ85" i="27" s="1"/>
  <c r="AP85" i="27"/>
  <c r="BK85" i="27" s="1"/>
  <c r="AQ85" i="27"/>
  <c r="BL85" i="27" s="1"/>
  <c r="AR85" i="27"/>
  <c r="BM85" i="27" s="1"/>
  <c r="Y86" i="27"/>
  <c r="AT86" i="27" s="1"/>
  <c r="AA86" i="27"/>
  <c r="AV86" i="27" s="1"/>
  <c r="AB86" i="27"/>
  <c r="AW86" i="27" s="1"/>
  <c r="AC86" i="27"/>
  <c r="AX86" i="27" s="1"/>
  <c r="AD86" i="27"/>
  <c r="AY86" i="27" s="1"/>
  <c r="AE86" i="27"/>
  <c r="AZ86" i="27" s="1"/>
  <c r="AF86" i="27"/>
  <c r="BA86" i="27" s="1"/>
  <c r="AG86" i="27"/>
  <c r="BB86" i="27" s="1"/>
  <c r="AH86" i="27"/>
  <c r="BC86" i="27" s="1"/>
  <c r="AI86" i="27"/>
  <c r="BD86" i="27" s="1"/>
  <c r="AJ86" i="27"/>
  <c r="BE86" i="27" s="1"/>
  <c r="AK86" i="27"/>
  <c r="BF86" i="27" s="1"/>
  <c r="AL86" i="27"/>
  <c r="BG86" i="27" s="1"/>
  <c r="AM86" i="27"/>
  <c r="BH86" i="27" s="1"/>
  <c r="AN86" i="27"/>
  <c r="BI86" i="27" s="1"/>
  <c r="AO86" i="27"/>
  <c r="BJ86" i="27" s="1"/>
  <c r="AP86" i="27"/>
  <c r="BK86" i="27" s="1"/>
  <c r="AQ86" i="27"/>
  <c r="BL86" i="27" s="1"/>
  <c r="AR86" i="27"/>
  <c r="BM86" i="27" s="1"/>
  <c r="Y87" i="27"/>
  <c r="AT87" i="27" s="1"/>
  <c r="AA87" i="27"/>
  <c r="AV87" i="27" s="1"/>
  <c r="AB87" i="27"/>
  <c r="AW87" i="27" s="1"/>
  <c r="AC87" i="27"/>
  <c r="AX87" i="27" s="1"/>
  <c r="AD87" i="27"/>
  <c r="AY87" i="27" s="1"/>
  <c r="AE87" i="27"/>
  <c r="AZ87" i="27" s="1"/>
  <c r="AF87" i="27"/>
  <c r="BA87" i="27" s="1"/>
  <c r="AG87" i="27"/>
  <c r="BB87" i="27" s="1"/>
  <c r="AH87" i="27"/>
  <c r="BC87" i="27" s="1"/>
  <c r="AI87" i="27"/>
  <c r="BD87" i="27" s="1"/>
  <c r="AJ87" i="27"/>
  <c r="BE87" i="27" s="1"/>
  <c r="AK87" i="27"/>
  <c r="BF87" i="27" s="1"/>
  <c r="AL87" i="27"/>
  <c r="BG87" i="27" s="1"/>
  <c r="AM87" i="27"/>
  <c r="BH87" i="27" s="1"/>
  <c r="AN87" i="27"/>
  <c r="BI87" i="27" s="1"/>
  <c r="AO87" i="27"/>
  <c r="BJ87" i="27" s="1"/>
  <c r="AP87" i="27"/>
  <c r="BK87" i="27" s="1"/>
  <c r="AQ87" i="27"/>
  <c r="BL87" i="27" s="1"/>
  <c r="AR87" i="27"/>
  <c r="BM87" i="27" s="1"/>
  <c r="Y88" i="27"/>
  <c r="AT88" i="27" s="1"/>
  <c r="AA88" i="27"/>
  <c r="AV88" i="27" s="1"/>
  <c r="AB88" i="27"/>
  <c r="AW88" i="27" s="1"/>
  <c r="AC88" i="27"/>
  <c r="AX88" i="27" s="1"/>
  <c r="AD88" i="27"/>
  <c r="AY88" i="27" s="1"/>
  <c r="AE88" i="27"/>
  <c r="AZ88" i="27" s="1"/>
  <c r="AF88" i="27"/>
  <c r="BA88" i="27" s="1"/>
  <c r="AG88" i="27"/>
  <c r="BB88" i="27" s="1"/>
  <c r="AH88" i="27"/>
  <c r="BC88" i="27" s="1"/>
  <c r="AI88" i="27"/>
  <c r="BD88" i="27" s="1"/>
  <c r="AJ88" i="27"/>
  <c r="BE88" i="27" s="1"/>
  <c r="AK88" i="27"/>
  <c r="BF88" i="27" s="1"/>
  <c r="AL88" i="27"/>
  <c r="BG88" i="27" s="1"/>
  <c r="AM88" i="27"/>
  <c r="BH88" i="27" s="1"/>
  <c r="AN88" i="27"/>
  <c r="BI88" i="27" s="1"/>
  <c r="AO88" i="27"/>
  <c r="BJ88" i="27" s="1"/>
  <c r="AP88" i="27"/>
  <c r="BK88" i="27" s="1"/>
  <c r="AQ88" i="27"/>
  <c r="BL88" i="27" s="1"/>
  <c r="AR88" i="27"/>
  <c r="BM88" i="27" s="1"/>
  <c r="Y89" i="27"/>
  <c r="AT89" i="27" s="1"/>
  <c r="AA89" i="27"/>
  <c r="AV89" i="27" s="1"/>
  <c r="AB89" i="27"/>
  <c r="AW89" i="27" s="1"/>
  <c r="AC89" i="27"/>
  <c r="AX89" i="27" s="1"/>
  <c r="AD89" i="27"/>
  <c r="AY89" i="27" s="1"/>
  <c r="AE89" i="27"/>
  <c r="AZ89" i="27" s="1"/>
  <c r="AF89" i="27"/>
  <c r="BA89" i="27" s="1"/>
  <c r="AG89" i="27"/>
  <c r="BB89" i="27" s="1"/>
  <c r="AH89" i="27"/>
  <c r="BC89" i="27" s="1"/>
  <c r="AI89" i="27"/>
  <c r="BD89" i="27" s="1"/>
  <c r="AJ89" i="27"/>
  <c r="BE89" i="27" s="1"/>
  <c r="AK89" i="27"/>
  <c r="BF89" i="27" s="1"/>
  <c r="AL89" i="27"/>
  <c r="BG89" i="27" s="1"/>
  <c r="AM89" i="27"/>
  <c r="BH89" i="27" s="1"/>
  <c r="AN89" i="27"/>
  <c r="BI89" i="27" s="1"/>
  <c r="AO89" i="27"/>
  <c r="BJ89" i="27" s="1"/>
  <c r="AP89" i="27"/>
  <c r="BK89" i="27" s="1"/>
  <c r="AQ89" i="27"/>
  <c r="BL89" i="27" s="1"/>
  <c r="AR89" i="27"/>
  <c r="BM89" i="27" s="1"/>
  <c r="Y90" i="27"/>
  <c r="AT90" i="27" s="1"/>
  <c r="AA90" i="27"/>
  <c r="AV90" i="27" s="1"/>
  <c r="AB90" i="27"/>
  <c r="AW90" i="27" s="1"/>
  <c r="AC90" i="27"/>
  <c r="AX90" i="27" s="1"/>
  <c r="AD90" i="27"/>
  <c r="AY90" i="27" s="1"/>
  <c r="AE90" i="27"/>
  <c r="AZ90" i="27" s="1"/>
  <c r="AF90" i="27"/>
  <c r="BA90" i="27" s="1"/>
  <c r="AG90" i="27"/>
  <c r="BB90" i="27" s="1"/>
  <c r="AH90" i="27"/>
  <c r="BC90" i="27" s="1"/>
  <c r="AI90" i="27"/>
  <c r="BD90" i="27" s="1"/>
  <c r="AJ90" i="27"/>
  <c r="BE90" i="27" s="1"/>
  <c r="AK90" i="27"/>
  <c r="BF90" i="27" s="1"/>
  <c r="AL90" i="27"/>
  <c r="BG90" i="27" s="1"/>
  <c r="AM90" i="27"/>
  <c r="BH90" i="27" s="1"/>
  <c r="AN90" i="27"/>
  <c r="BI90" i="27" s="1"/>
  <c r="AO90" i="27"/>
  <c r="BJ90" i="27" s="1"/>
  <c r="AP90" i="27"/>
  <c r="BK90" i="27" s="1"/>
  <c r="AQ90" i="27"/>
  <c r="BL90" i="27" s="1"/>
  <c r="AR90" i="27"/>
  <c r="BM90" i="27" s="1"/>
  <c r="Y91" i="27"/>
  <c r="AT91" i="27" s="1"/>
  <c r="AA91" i="27"/>
  <c r="AV91" i="27" s="1"/>
  <c r="AB91" i="27"/>
  <c r="AW91" i="27" s="1"/>
  <c r="AC91" i="27"/>
  <c r="AX91" i="27" s="1"/>
  <c r="AD91" i="27"/>
  <c r="AY91" i="27" s="1"/>
  <c r="AE91" i="27"/>
  <c r="AZ91" i="27" s="1"/>
  <c r="AF91" i="27"/>
  <c r="BA91" i="27" s="1"/>
  <c r="AG91" i="27"/>
  <c r="BB91" i="27" s="1"/>
  <c r="AH91" i="27"/>
  <c r="BC91" i="27" s="1"/>
  <c r="AI91" i="27"/>
  <c r="BD91" i="27" s="1"/>
  <c r="AJ91" i="27"/>
  <c r="BE91" i="27" s="1"/>
  <c r="AK91" i="27"/>
  <c r="BF91" i="27" s="1"/>
  <c r="AL91" i="27"/>
  <c r="BG91" i="27" s="1"/>
  <c r="AM91" i="27"/>
  <c r="BH91" i="27" s="1"/>
  <c r="AN91" i="27"/>
  <c r="BI91" i="27" s="1"/>
  <c r="AO91" i="27"/>
  <c r="BJ91" i="27" s="1"/>
  <c r="AP91" i="27"/>
  <c r="BK91" i="27" s="1"/>
  <c r="AQ91" i="27"/>
  <c r="BL91" i="27" s="1"/>
  <c r="AR91" i="27"/>
  <c r="BM91" i="27" s="1"/>
  <c r="Y92" i="27"/>
  <c r="AT92" i="27" s="1"/>
  <c r="AA92" i="27"/>
  <c r="AV92" i="27" s="1"/>
  <c r="AB92" i="27"/>
  <c r="AW92" i="27" s="1"/>
  <c r="AC92" i="27"/>
  <c r="AX92" i="27" s="1"/>
  <c r="AD92" i="27"/>
  <c r="AY92" i="27" s="1"/>
  <c r="AE92" i="27"/>
  <c r="AZ92" i="27" s="1"/>
  <c r="AF92" i="27"/>
  <c r="BA92" i="27" s="1"/>
  <c r="AG92" i="27"/>
  <c r="BB92" i="27" s="1"/>
  <c r="AH92" i="27"/>
  <c r="BC92" i="27" s="1"/>
  <c r="AI92" i="27"/>
  <c r="BD92" i="27" s="1"/>
  <c r="AJ92" i="27"/>
  <c r="BE92" i="27" s="1"/>
  <c r="AK92" i="27"/>
  <c r="BF92" i="27" s="1"/>
  <c r="AL92" i="27"/>
  <c r="BG92" i="27" s="1"/>
  <c r="AM92" i="27"/>
  <c r="BH92" i="27" s="1"/>
  <c r="AN92" i="27"/>
  <c r="BI92" i="27" s="1"/>
  <c r="AO92" i="27"/>
  <c r="BJ92" i="27" s="1"/>
  <c r="AP92" i="27"/>
  <c r="BK92" i="27" s="1"/>
  <c r="AQ92" i="27"/>
  <c r="BL92" i="27" s="1"/>
  <c r="AR92" i="27"/>
  <c r="BM92" i="27" s="1"/>
  <c r="Y93" i="27"/>
  <c r="AT93" i="27" s="1"/>
  <c r="AA93" i="27"/>
  <c r="AV93" i="27" s="1"/>
  <c r="AB93" i="27"/>
  <c r="AW93" i="27" s="1"/>
  <c r="AC93" i="27"/>
  <c r="AX93" i="27" s="1"/>
  <c r="AD93" i="27"/>
  <c r="AY93" i="27" s="1"/>
  <c r="AE93" i="27"/>
  <c r="AZ93" i="27" s="1"/>
  <c r="AF93" i="27"/>
  <c r="BA93" i="27" s="1"/>
  <c r="AG93" i="27"/>
  <c r="BB93" i="27" s="1"/>
  <c r="AH93" i="27"/>
  <c r="BC93" i="27" s="1"/>
  <c r="AI93" i="27"/>
  <c r="BD93" i="27" s="1"/>
  <c r="AJ93" i="27"/>
  <c r="BE93" i="27" s="1"/>
  <c r="AK93" i="27"/>
  <c r="BF93" i="27" s="1"/>
  <c r="AL93" i="27"/>
  <c r="BG93" i="27" s="1"/>
  <c r="AM93" i="27"/>
  <c r="BH93" i="27" s="1"/>
  <c r="AN93" i="27"/>
  <c r="BI93" i="27" s="1"/>
  <c r="AO93" i="27"/>
  <c r="BJ93" i="27" s="1"/>
  <c r="AP93" i="27"/>
  <c r="BK93" i="27" s="1"/>
  <c r="AQ93" i="27"/>
  <c r="BL93" i="27" s="1"/>
  <c r="AR93" i="27"/>
  <c r="BM93" i="27" s="1"/>
  <c r="Y94" i="27"/>
  <c r="AT94" i="27" s="1"/>
  <c r="AA94" i="27"/>
  <c r="AV94" i="27" s="1"/>
  <c r="AB94" i="27"/>
  <c r="AW94" i="27" s="1"/>
  <c r="AC94" i="27"/>
  <c r="AX94" i="27" s="1"/>
  <c r="AD94" i="27"/>
  <c r="AY94" i="27" s="1"/>
  <c r="AE94" i="27"/>
  <c r="AZ94" i="27" s="1"/>
  <c r="AF94" i="27"/>
  <c r="BA94" i="27" s="1"/>
  <c r="AG94" i="27"/>
  <c r="BB94" i="27" s="1"/>
  <c r="AH94" i="27"/>
  <c r="BC94" i="27" s="1"/>
  <c r="AI94" i="27"/>
  <c r="BD94" i="27" s="1"/>
  <c r="AJ94" i="27"/>
  <c r="BE94" i="27" s="1"/>
  <c r="AK94" i="27"/>
  <c r="BF94" i="27" s="1"/>
  <c r="AL94" i="27"/>
  <c r="BG94" i="27" s="1"/>
  <c r="AM94" i="27"/>
  <c r="BH94" i="27" s="1"/>
  <c r="AN94" i="27"/>
  <c r="BI94" i="27" s="1"/>
  <c r="AO94" i="27"/>
  <c r="BJ94" i="27" s="1"/>
  <c r="AP94" i="27"/>
  <c r="BK94" i="27" s="1"/>
  <c r="AQ94" i="27"/>
  <c r="BL94" i="27" s="1"/>
  <c r="AR94" i="27"/>
  <c r="BM94" i="27" s="1"/>
  <c r="Y95" i="27"/>
  <c r="AT95" i="27" s="1"/>
  <c r="AA95" i="27"/>
  <c r="AV95" i="27" s="1"/>
  <c r="AB95" i="27"/>
  <c r="AW95" i="27" s="1"/>
  <c r="AC95" i="27"/>
  <c r="AX95" i="27" s="1"/>
  <c r="AD95" i="27"/>
  <c r="AY95" i="27" s="1"/>
  <c r="AE95" i="27"/>
  <c r="AZ95" i="27" s="1"/>
  <c r="AF95" i="27"/>
  <c r="BA95" i="27" s="1"/>
  <c r="AG95" i="27"/>
  <c r="BB95" i="27" s="1"/>
  <c r="AH95" i="27"/>
  <c r="BC95" i="27" s="1"/>
  <c r="AI95" i="27"/>
  <c r="BD95" i="27" s="1"/>
  <c r="AJ95" i="27"/>
  <c r="BE95" i="27" s="1"/>
  <c r="AK95" i="27"/>
  <c r="BF95" i="27" s="1"/>
  <c r="AL95" i="27"/>
  <c r="BG95" i="27" s="1"/>
  <c r="AM95" i="27"/>
  <c r="BH95" i="27" s="1"/>
  <c r="AN95" i="27"/>
  <c r="BI95" i="27" s="1"/>
  <c r="AO95" i="27"/>
  <c r="BJ95" i="27" s="1"/>
  <c r="AP95" i="27"/>
  <c r="BK95" i="27" s="1"/>
  <c r="AQ95" i="27"/>
  <c r="BL95" i="27" s="1"/>
  <c r="AR95" i="27"/>
  <c r="BM95" i="27" s="1"/>
  <c r="Y96" i="27"/>
  <c r="AT96" i="27" s="1"/>
  <c r="AA96" i="27"/>
  <c r="AV96" i="27" s="1"/>
  <c r="AB96" i="27"/>
  <c r="AW96" i="27" s="1"/>
  <c r="AC96" i="27"/>
  <c r="AX96" i="27" s="1"/>
  <c r="AD96" i="27"/>
  <c r="AY96" i="27" s="1"/>
  <c r="AE96" i="27"/>
  <c r="AZ96" i="27" s="1"/>
  <c r="AF96" i="27"/>
  <c r="BA96" i="27" s="1"/>
  <c r="AG96" i="27"/>
  <c r="BB96" i="27" s="1"/>
  <c r="AH96" i="27"/>
  <c r="BC96" i="27" s="1"/>
  <c r="AI96" i="27"/>
  <c r="BD96" i="27" s="1"/>
  <c r="AJ96" i="27"/>
  <c r="BE96" i="27" s="1"/>
  <c r="AK96" i="27"/>
  <c r="BF96" i="27" s="1"/>
  <c r="AL96" i="27"/>
  <c r="BG96" i="27" s="1"/>
  <c r="AM96" i="27"/>
  <c r="BH96" i="27" s="1"/>
  <c r="AN96" i="27"/>
  <c r="BI96" i="27" s="1"/>
  <c r="AO96" i="27"/>
  <c r="BJ96" i="27" s="1"/>
  <c r="AP96" i="27"/>
  <c r="BK96" i="27" s="1"/>
  <c r="AQ96" i="27"/>
  <c r="BL96" i="27" s="1"/>
  <c r="AR96" i="27"/>
  <c r="BM96" i="27" s="1"/>
  <c r="Y97" i="27"/>
  <c r="AT97" i="27" s="1"/>
  <c r="AA97" i="27"/>
  <c r="AV97" i="27" s="1"/>
  <c r="AB97" i="27"/>
  <c r="AW97" i="27" s="1"/>
  <c r="AC97" i="27"/>
  <c r="AX97" i="27" s="1"/>
  <c r="AD97" i="27"/>
  <c r="AY97" i="27" s="1"/>
  <c r="AE97" i="27"/>
  <c r="AZ97" i="27" s="1"/>
  <c r="AF97" i="27"/>
  <c r="BA97" i="27" s="1"/>
  <c r="AG97" i="27"/>
  <c r="BB97" i="27" s="1"/>
  <c r="AH97" i="27"/>
  <c r="BC97" i="27" s="1"/>
  <c r="AI97" i="27"/>
  <c r="BD97" i="27" s="1"/>
  <c r="AJ97" i="27"/>
  <c r="BE97" i="27" s="1"/>
  <c r="AK97" i="27"/>
  <c r="BF97" i="27" s="1"/>
  <c r="AL97" i="27"/>
  <c r="BG97" i="27" s="1"/>
  <c r="AM97" i="27"/>
  <c r="BH97" i="27" s="1"/>
  <c r="AN97" i="27"/>
  <c r="BI97" i="27" s="1"/>
  <c r="AO97" i="27"/>
  <c r="BJ97" i="27" s="1"/>
  <c r="AP97" i="27"/>
  <c r="BK97" i="27" s="1"/>
  <c r="AQ97" i="27"/>
  <c r="BL97" i="27" s="1"/>
  <c r="AR97" i="27"/>
  <c r="BM97" i="27" s="1"/>
  <c r="Y98" i="27"/>
  <c r="AT98" i="27" s="1"/>
  <c r="AA98" i="27"/>
  <c r="AV98" i="27" s="1"/>
  <c r="AB98" i="27"/>
  <c r="AW98" i="27" s="1"/>
  <c r="AC98" i="27"/>
  <c r="AX98" i="27" s="1"/>
  <c r="AD98" i="27"/>
  <c r="AY98" i="27" s="1"/>
  <c r="AE98" i="27"/>
  <c r="AZ98" i="27" s="1"/>
  <c r="AF98" i="27"/>
  <c r="BA98" i="27" s="1"/>
  <c r="AG98" i="27"/>
  <c r="BB98" i="27" s="1"/>
  <c r="AH98" i="27"/>
  <c r="BC98" i="27" s="1"/>
  <c r="AI98" i="27"/>
  <c r="BD98" i="27" s="1"/>
  <c r="AJ98" i="27"/>
  <c r="BE98" i="27" s="1"/>
  <c r="AK98" i="27"/>
  <c r="BF98" i="27" s="1"/>
  <c r="AL98" i="27"/>
  <c r="BG98" i="27" s="1"/>
  <c r="AM98" i="27"/>
  <c r="BH98" i="27" s="1"/>
  <c r="AN98" i="27"/>
  <c r="BI98" i="27" s="1"/>
  <c r="AO98" i="27"/>
  <c r="BJ98" i="27" s="1"/>
  <c r="AP98" i="27"/>
  <c r="BK98" i="27" s="1"/>
  <c r="AQ98" i="27"/>
  <c r="BL98" i="27" s="1"/>
  <c r="AR98" i="27"/>
  <c r="BM98" i="27" s="1"/>
  <c r="Y99" i="27"/>
  <c r="AT99" i="27" s="1"/>
  <c r="AA99" i="27"/>
  <c r="AV99" i="27" s="1"/>
  <c r="AB99" i="27"/>
  <c r="AW99" i="27" s="1"/>
  <c r="AC99" i="27"/>
  <c r="AX99" i="27" s="1"/>
  <c r="AD99" i="27"/>
  <c r="AY99" i="27" s="1"/>
  <c r="AE99" i="27"/>
  <c r="AZ99" i="27" s="1"/>
  <c r="AF99" i="27"/>
  <c r="BA99" i="27" s="1"/>
  <c r="AG99" i="27"/>
  <c r="BB99" i="27" s="1"/>
  <c r="AH99" i="27"/>
  <c r="BC99" i="27" s="1"/>
  <c r="AI99" i="27"/>
  <c r="BD99" i="27" s="1"/>
  <c r="AJ99" i="27"/>
  <c r="BE99" i="27" s="1"/>
  <c r="AK99" i="27"/>
  <c r="BF99" i="27" s="1"/>
  <c r="AL99" i="27"/>
  <c r="BG99" i="27" s="1"/>
  <c r="AM99" i="27"/>
  <c r="BH99" i="27" s="1"/>
  <c r="AN99" i="27"/>
  <c r="BI99" i="27" s="1"/>
  <c r="AO99" i="27"/>
  <c r="BJ99" i="27" s="1"/>
  <c r="AP99" i="27"/>
  <c r="BK99" i="27" s="1"/>
  <c r="AQ99" i="27"/>
  <c r="BL99" i="27" s="1"/>
  <c r="AR99" i="27"/>
  <c r="BM99" i="27" s="1"/>
  <c r="Y100" i="27"/>
  <c r="AT100" i="27" s="1"/>
  <c r="AA100" i="27"/>
  <c r="AV100" i="27" s="1"/>
  <c r="AB100" i="27"/>
  <c r="AW100" i="27" s="1"/>
  <c r="AC100" i="27"/>
  <c r="AX100" i="27" s="1"/>
  <c r="AD100" i="27"/>
  <c r="AY100" i="27" s="1"/>
  <c r="AE100" i="27"/>
  <c r="AZ100" i="27" s="1"/>
  <c r="AF100" i="27"/>
  <c r="BA100" i="27" s="1"/>
  <c r="AG100" i="27"/>
  <c r="BB100" i="27" s="1"/>
  <c r="AH100" i="27"/>
  <c r="BC100" i="27" s="1"/>
  <c r="AI100" i="27"/>
  <c r="BD100" i="27" s="1"/>
  <c r="AJ100" i="27"/>
  <c r="BE100" i="27" s="1"/>
  <c r="AK100" i="27"/>
  <c r="BF100" i="27" s="1"/>
  <c r="AL100" i="27"/>
  <c r="BG100" i="27" s="1"/>
  <c r="AM100" i="27"/>
  <c r="BH100" i="27" s="1"/>
  <c r="AN100" i="27"/>
  <c r="BI100" i="27" s="1"/>
  <c r="AO100" i="27"/>
  <c r="BJ100" i="27" s="1"/>
  <c r="AP100" i="27"/>
  <c r="BK100" i="27" s="1"/>
  <c r="AQ100" i="27"/>
  <c r="BL100" i="27" s="1"/>
  <c r="AR100" i="27"/>
  <c r="BM100" i="27" s="1"/>
  <c r="Y101" i="27"/>
  <c r="AT101" i="27" s="1"/>
  <c r="AA101" i="27"/>
  <c r="AV101" i="27" s="1"/>
  <c r="AB101" i="27"/>
  <c r="AW101" i="27" s="1"/>
  <c r="AC101" i="27"/>
  <c r="AX101" i="27" s="1"/>
  <c r="AD101" i="27"/>
  <c r="AY101" i="27" s="1"/>
  <c r="AE101" i="27"/>
  <c r="AZ101" i="27" s="1"/>
  <c r="AF101" i="27"/>
  <c r="BA101" i="27" s="1"/>
  <c r="AG101" i="27"/>
  <c r="BB101" i="27" s="1"/>
  <c r="AH101" i="27"/>
  <c r="BC101" i="27" s="1"/>
  <c r="AI101" i="27"/>
  <c r="BD101" i="27" s="1"/>
  <c r="AJ101" i="27"/>
  <c r="BE101" i="27" s="1"/>
  <c r="AK101" i="27"/>
  <c r="BF101" i="27" s="1"/>
  <c r="AL101" i="27"/>
  <c r="BG101" i="27" s="1"/>
  <c r="AM101" i="27"/>
  <c r="BH101" i="27" s="1"/>
  <c r="AN101" i="27"/>
  <c r="BI101" i="27" s="1"/>
  <c r="AO101" i="27"/>
  <c r="BJ101" i="27" s="1"/>
  <c r="AP101" i="27"/>
  <c r="BK101" i="27" s="1"/>
  <c r="AQ101" i="27"/>
  <c r="BL101" i="27" s="1"/>
  <c r="AR101" i="27"/>
  <c r="BM101" i="27" s="1"/>
  <c r="Y102" i="27"/>
  <c r="AT102" i="27" s="1"/>
  <c r="AA102" i="27"/>
  <c r="AV102" i="27" s="1"/>
  <c r="AB102" i="27"/>
  <c r="AW102" i="27" s="1"/>
  <c r="AC102" i="27"/>
  <c r="AX102" i="27" s="1"/>
  <c r="AD102" i="27"/>
  <c r="AY102" i="27" s="1"/>
  <c r="AE102" i="27"/>
  <c r="AZ102" i="27" s="1"/>
  <c r="AF102" i="27"/>
  <c r="BA102" i="27" s="1"/>
  <c r="AG102" i="27"/>
  <c r="BB102" i="27" s="1"/>
  <c r="AH102" i="27"/>
  <c r="BC102" i="27" s="1"/>
  <c r="AI102" i="27"/>
  <c r="BD102" i="27" s="1"/>
  <c r="AJ102" i="27"/>
  <c r="BE102" i="27" s="1"/>
  <c r="AK102" i="27"/>
  <c r="BF102" i="27" s="1"/>
  <c r="AL102" i="27"/>
  <c r="BG102" i="27" s="1"/>
  <c r="AM102" i="27"/>
  <c r="BH102" i="27" s="1"/>
  <c r="AN102" i="27"/>
  <c r="BI102" i="27" s="1"/>
  <c r="AO102" i="27"/>
  <c r="BJ102" i="27" s="1"/>
  <c r="AP102" i="27"/>
  <c r="BK102" i="27" s="1"/>
  <c r="AQ102" i="27"/>
  <c r="BL102" i="27" s="1"/>
  <c r="AR102" i="27"/>
  <c r="BM102" i="27" s="1"/>
  <c r="Y103" i="27"/>
  <c r="AT103" i="27" s="1"/>
  <c r="AA103" i="27"/>
  <c r="AV103" i="27" s="1"/>
  <c r="AB103" i="27"/>
  <c r="AW103" i="27" s="1"/>
  <c r="AC103" i="27"/>
  <c r="AX103" i="27" s="1"/>
  <c r="AD103" i="27"/>
  <c r="AY103" i="27" s="1"/>
  <c r="AE103" i="27"/>
  <c r="AZ103" i="27" s="1"/>
  <c r="AF103" i="27"/>
  <c r="BA103" i="27" s="1"/>
  <c r="AG103" i="27"/>
  <c r="BB103" i="27" s="1"/>
  <c r="AH103" i="27"/>
  <c r="BC103" i="27" s="1"/>
  <c r="AI103" i="27"/>
  <c r="BD103" i="27" s="1"/>
  <c r="AJ103" i="27"/>
  <c r="BE103" i="27" s="1"/>
  <c r="AK103" i="27"/>
  <c r="BF103" i="27" s="1"/>
  <c r="AL103" i="27"/>
  <c r="BG103" i="27" s="1"/>
  <c r="AM103" i="27"/>
  <c r="BH103" i="27" s="1"/>
  <c r="AN103" i="27"/>
  <c r="BI103" i="27" s="1"/>
  <c r="AO103" i="27"/>
  <c r="BJ103" i="27" s="1"/>
  <c r="AP103" i="27"/>
  <c r="BK103" i="27" s="1"/>
  <c r="AQ103" i="27"/>
  <c r="BL103" i="27" s="1"/>
  <c r="AR103" i="27"/>
  <c r="BM103" i="27" s="1"/>
  <c r="Y104" i="27"/>
  <c r="AT104" i="27" s="1"/>
  <c r="AA104" i="27"/>
  <c r="AV104" i="27" s="1"/>
  <c r="AB104" i="27"/>
  <c r="AW104" i="27" s="1"/>
  <c r="AC104" i="27"/>
  <c r="AX104" i="27" s="1"/>
  <c r="AD104" i="27"/>
  <c r="AY104" i="27" s="1"/>
  <c r="AE104" i="27"/>
  <c r="AZ104" i="27" s="1"/>
  <c r="AF104" i="27"/>
  <c r="BA104" i="27" s="1"/>
  <c r="AG104" i="27"/>
  <c r="BB104" i="27" s="1"/>
  <c r="AH104" i="27"/>
  <c r="BC104" i="27" s="1"/>
  <c r="AI104" i="27"/>
  <c r="BD104" i="27" s="1"/>
  <c r="AJ104" i="27"/>
  <c r="BE104" i="27" s="1"/>
  <c r="AK104" i="27"/>
  <c r="BF104" i="27" s="1"/>
  <c r="AL104" i="27"/>
  <c r="BG104" i="27" s="1"/>
  <c r="AM104" i="27"/>
  <c r="BH104" i="27" s="1"/>
  <c r="AN104" i="27"/>
  <c r="BI104" i="27" s="1"/>
  <c r="AO104" i="27"/>
  <c r="BJ104" i="27" s="1"/>
  <c r="AP104" i="27"/>
  <c r="BK104" i="27" s="1"/>
  <c r="AQ104" i="27"/>
  <c r="BL104" i="27" s="1"/>
  <c r="AR104" i="27"/>
  <c r="BM104" i="27" s="1"/>
  <c r="Y105" i="27"/>
  <c r="AT105" i="27" s="1"/>
  <c r="AA105" i="27"/>
  <c r="AV105" i="27" s="1"/>
  <c r="AB105" i="27"/>
  <c r="AW105" i="27" s="1"/>
  <c r="AC105" i="27"/>
  <c r="AX105" i="27" s="1"/>
  <c r="AD105" i="27"/>
  <c r="AY105" i="27" s="1"/>
  <c r="AE105" i="27"/>
  <c r="AZ105" i="27" s="1"/>
  <c r="AF105" i="27"/>
  <c r="BA105" i="27" s="1"/>
  <c r="AG105" i="27"/>
  <c r="BB105" i="27" s="1"/>
  <c r="AH105" i="27"/>
  <c r="BC105" i="27" s="1"/>
  <c r="AI105" i="27"/>
  <c r="BD105" i="27" s="1"/>
  <c r="AJ105" i="27"/>
  <c r="BE105" i="27" s="1"/>
  <c r="AK105" i="27"/>
  <c r="BF105" i="27" s="1"/>
  <c r="AL105" i="27"/>
  <c r="BG105" i="27" s="1"/>
  <c r="AM105" i="27"/>
  <c r="BH105" i="27" s="1"/>
  <c r="AN105" i="27"/>
  <c r="BI105" i="27" s="1"/>
  <c r="AO105" i="27"/>
  <c r="BJ105" i="27" s="1"/>
  <c r="AP105" i="27"/>
  <c r="BK105" i="27" s="1"/>
  <c r="AQ105" i="27"/>
  <c r="BL105" i="27" s="1"/>
  <c r="AR105" i="27"/>
  <c r="BM105" i="27" s="1"/>
  <c r="Y106" i="27"/>
  <c r="AT106" i="27" s="1"/>
  <c r="AA106" i="27"/>
  <c r="AV106" i="27" s="1"/>
  <c r="AB106" i="27"/>
  <c r="AW106" i="27" s="1"/>
  <c r="AC106" i="27"/>
  <c r="AX106" i="27" s="1"/>
  <c r="AD106" i="27"/>
  <c r="AY106" i="27" s="1"/>
  <c r="AE106" i="27"/>
  <c r="AZ106" i="27" s="1"/>
  <c r="AF106" i="27"/>
  <c r="BA106" i="27" s="1"/>
  <c r="AG106" i="27"/>
  <c r="BB106" i="27" s="1"/>
  <c r="AH106" i="27"/>
  <c r="BC106" i="27" s="1"/>
  <c r="AI106" i="27"/>
  <c r="BD106" i="27" s="1"/>
  <c r="AJ106" i="27"/>
  <c r="BE106" i="27" s="1"/>
  <c r="AK106" i="27"/>
  <c r="BF106" i="27" s="1"/>
  <c r="AL106" i="27"/>
  <c r="BG106" i="27" s="1"/>
  <c r="AM106" i="27"/>
  <c r="BH106" i="27" s="1"/>
  <c r="AN106" i="27"/>
  <c r="BI106" i="27" s="1"/>
  <c r="AO106" i="27"/>
  <c r="BJ106" i="27" s="1"/>
  <c r="AP106" i="27"/>
  <c r="BK106" i="27" s="1"/>
  <c r="AQ106" i="27"/>
  <c r="BL106" i="27" s="1"/>
  <c r="AR106" i="27"/>
  <c r="BM106" i="27" s="1"/>
  <c r="Y107" i="27"/>
  <c r="AT107" i="27" s="1"/>
  <c r="AA107" i="27"/>
  <c r="AV107" i="27" s="1"/>
  <c r="AB107" i="27"/>
  <c r="AW107" i="27" s="1"/>
  <c r="AC107" i="27"/>
  <c r="AX107" i="27" s="1"/>
  <c r="AD107" i="27"/>
  <c r="AY107" i="27" s="1"/>
  <c r="AE107" i="27"/>
  <c r="AZ107" i="27" s="1"/>
  <c r="AF107" i="27"/>
  <c r="BA107" i="27" s="1"/>
  <c r="AG107" i="27"/>
  <c r="BB107" i="27" s="1"/>
  <c r="AH107" i="27"/>
  <c r="BC107" i="27" s="1"/>
  <c r="AI107" i="27"/>
  <c r="BD107" i="27" s="1"/>
  <c r="AJ107" i="27"/>
  <c r="BE107" i="27" s="1"/>
  <c r="AK107" i="27"/>
  <c r="BF107" i="27" s="1"/>
  <c r="AL107" i="27"/>
  <c r="BG107" i="27" s="1"/>
  <c r="AM107" i="27"/>
  <c r="BH107" i="27" s="1"/>
  <c r="AN107" i="27"/>
  <c r="BI107" i="27" s="1"/>
  <c r="AO107" i="27"/>
  <c r="BJ107" i="27" s="1"/>
  <c r="AP107" i="27"/>
  <c r="BK107" i="27" s="1"/>
  <c r="AQ107" i="27"/>
  <c r="BL107" i="27" s="1"/>
  <c r="AR107" i="27"/>
  <c r="BM107" i="27" s="1"/>
  <c r="Y108" i="27"/>
  <c r="AT108" i="27" s="1"/>
  <c r="AA108" i="27"/>
  <c r="AV108" i="27" s="1"/>
  <c r="AB108" i="27"/>
  <c r="AW108" i="27" s="1"/>
  <c r="AC108" i="27"/>
  <c r="AX108" i="27" s="1"/>
  <c r="AD108" i="27"/>
  <c r="AY108" i="27" s="1"/>
  <c r="AE108" i="27"/>
  <c r="AZ108" i="27" s="1"/>
  <c r="AF108" i="27"/>
  <c r="BA108" i="27" s="1"/>
  <c r="AG108" i="27"/>
  <c r="BB108" i="27" s="1"/>
  <c r="AH108" i="27"/>
  <c r="BC108" i="27" s="1"/>
  <c r="AI108" i="27"/>
  <c r="BD108" i="27" s="1"/>
  <c r="AJ108" i="27"/>
  <c r="BE108" i="27" s="1"/>
  <c r="AK108" i="27"/>
  <c r="BF108" i="27" s="1"/>
  <c r="AL108" i="27"/>
  <c r="BG108" i="27" s="1"/>
  <c r="AM108" i="27"/>
  <c r="BH108" i="27" s="1"/>
  <c r="AN108" i="27"/>
  <c r="BI108" i="27" s="1"/>
  <c r="AO108" i="27"/>
  <c r="BJ108" i="27" s="1"/>
  <c r="AP108" i="27"/>
  <c r="BK108" i="27" s="1"/>
  <c r="AQ108" i="27"/>
  <c r="BL108" i="27" s="1"/>
  <c r="AR108" i="27"/>
  <c r="BM108" i="27" s="1"/>
  <c r="Y109" i="27"/>
  <c r="AT109" i="27" s="1"/>
  <c r="AA109" i="27"/>
  <c r="AV109" i="27" s="1"/>
  <c r="AB109" i="27"/>
  <c r="AW109" i="27" s="1"/>
  <c r="AC109" i="27"/>
  <c r="AX109" i="27" s="1"/>
  <c r="AD109" i="27"/>
  <c r="AY109" i="27" s="1"/>
  <c r="AE109" i="27"/>
  <c r="AZ109" i="27" s="1"/>
  <c r="AF109" i="27"/>
  <c r="BA109" i="27" s="1"/>
  <c r="AG109" i="27"/>
  <c r="BB109" i="27" s="1"/>
  <c r="AH109" i="27"/>
  <c r="BC109" i="27" s="1"/>
  <c r="AI109" i="27"/>
  <c r="BD109" i="27" s="1"/>
  <c r="AJ109" i="27"/>
  <c r="BE109" i="27" s="1"/>
  <c r="AK109" i="27"/>
  <c r="BF109" i="27" s="1"/>
  <c r="AL109" i="27"/>
  <c r="BG109" i="27" s="1"/>
  <c r="AM109" i="27"/>
  <c r="BH109" i="27" s="1"/>
  <c r="AN109" i="27"/>
  <c r="BI109" i="27" s="1"/>
  <c r="AO109" i="27"/>
  <c r="BJ109" i="27" s="1"/>
  <c r="AP109" i="27"/>
  <c r="BK109" i="27" s="1"/>
  <c r="AQ109" i="27"/>
  <c r="BL109" i="27" s="1"/>
  <c r="AR109" i="27"/>
  <c r="BM109" i="27" s="1"/>
  <c r="Y110" i="27"/>
  <c r="AT110" i="27" s="1"/>
  <c r="AA110" i="27"/>
  <c r="AV110" i="27" s="1"/>
  <c r="AB110" i="27"/>
  <c r="AW110" i="27" s="1"/>
  <c r="AC110" i="27"/>
  <c r="AX110" i="27" s="1"/>
  <c r="AD110" i="27"/>
  <c r="AY110" i="27" s="1"/>
  <c r="AE110" i="27"/>
  <c r="AZ110" i="27" s="1"/>
  <c r="AF110" i="27"/>
  <c r="BA110" i="27" s="1"/>
  <c r="AG110" i="27"/>
  <c r="BB110" i="27" s="1"/>
  <c r="AH110" i="27"/>
  <c r="BC110" i="27" s="1"/>
  <c r="AI110" i="27"/>
  <c r="BD110" i="27" s="1"/>
  <c r="AJ110" i="27"/>
  <c r="BE110" i="27" s="1"/>
  <c r="AK110" i="27"/>
  <c r="BF110" i="27" s="1"/>
  <c r="AL110" i="27"/>
  <c r="BG110" i="27" s="1"/>
  <c r="AM110" i="27"/>
  <c r="BH110" i="27" s="1"/>
  <c r="AN110" i="27"/>
  <c r="BI110" i="27" s="1"/>
  <c r="AO110" i="27"/>
  <c r="BJ110" i="27" s="1"/>
  <c r="AP110" i="27"/>
  <c r="BK110" i="27" s="1"/>
  <c r="AQ110" i="27"/>
  <c r="BL110" i="27" s="1"/>
  <c r="AR110" i="27"/>
  <c r="BM110" i="27" s="1"/>
  <c r="Y111" i="27"/>
  <c r="AT111" i="27" s="1"/>
  <c r="AA111" i="27"/>
  <c r="AV111" i="27" s="1"/>
  <c r="AB111" i="27"/>
  <c r="AW111" i="27" s="1"/>
  <c r="AC111" i="27"/>
  <c r="AX111" i="27" s="1"/>
  <c r="AD111" i="27"/>
  <c r="AY111" i="27" s="1"/>
  <c r="AE111" i="27"/>
  <c r="AZ111" i="27" s="1"/>
  <c r="AF111" i="27"/>
  <c r="BA111" i="27" s="1"/>
  <c r="AG111" i="27"/>
  <c r="BB111" i="27" s="1"/>
  <c r="AH111" i="27"/>
  <c r="BC111" i="27" s="1"/>
  <c r="AI111" i="27"/>
  <c r="BD111" i="27" s="1"/>
  <c r="AJ111" i="27"/>
  <c r="BE111" i="27" s="1"/>
  <c r="AK111" i="27"/>
  <c r="BF111" i="27" s="1"/>
  <c r="AL111" i="27"/>
  <c r="BG111" i="27" s="1"/>
  <c r="AM111" i="27"/>
  <c r="BH111" i="27" s="1"/>
  <c r="AN111" i="27"/>
  <c r="BI111" i="27" s="1"/>
  <c r="AO111" i="27"/>
  <c r="BJ111" i="27" s="1"/>
  <c r="AP111" i="27"/>
  <c r="BK111" i="27" s="1"/>
  <c r="AQ111" i="27"/>
  <c r="BL111" i="27" s="1"/>
  <c r="AR111" i="27"/>
  <c r="BM111" i="27" s="1"/>
  <c r="Y112" i="27"/>
  <c r="AT112" i="27" s="1"/>
  <c r="AA112" i="27"/>
  <c r="AV112" i="27" s="1"/>
  <c r="AB112" i="27"/>
  <c r="AW112" i="27" s="1"/>
  <c r="AC112" i="27"/>
  <c r="AX112" i="27" s="1"/>
  <c r="AD112" i="27"/>
  <c r="AY112" i="27" s="1"/>
  <c r="AE112" i="27"/>
  <c r="AZ112" i="27" s="1"/>
  <c r="AF112" i="27"/>
  <c r="BA112" i="27" s="1"/>
  <c r="AG112" i="27"/>
  <c r="BB112" i="27" s="1"/>
  <c r="AH112" i="27"/>
  <c r="BC112" i="27" s="1"/>
  <c r="AI112" i="27"/>
  <c r="BD112" i="27" s="1"/>
  <c r="AJ112" i="27"/>
  <c r="BE112" i="27" s="1"/>
  <c r="AK112" i="27"/>
  <c r="BF112" i="27" s="1"/>
  <c r="AL112" i="27"/>
  <c r="BG112" i="27" s="1"/>
  <c r="AM112" i="27"/>
  <c r="BH112" i="27" s="1"/>
  <c r="AN112" i="27"/>
  <c r="BI112" i="27" s="1"/>
  <c r="AO112" i="27"/>
  <c r="BJ112" i="27" s="1"/>
  <c r="AP112" i="27"/>
  <c r="BK112" i="27" s="1"/>
  <c r="AQ112" i="27"/>
  <c r="BL112" i="27" s="1"/>
  <c r="AR112" i="27"/>
  <c r="BM112" i="27" s="1"/>
  <c r="Y113" i="27"/>
  <c r="AT113" i="27" s="1"/>
  <c r="AA113" i="27"/>
  <c r="AV113" i="27" s="1"/>
  <c r="AB113" i="27"/>
  <c r="AW113" i="27" s="1"/>
  <c r="AC113" i="27"/>
  <c r="AX113" i="27" s="1"/>
  <c r="AD113" i="27"/>
  <c r="AY113" i="27" s="1"/>
  <c r="AE113" i="27"/>
  <c r="AZ113" i="27" s="1"/>
  <c r="AF113" i="27"/>
  <c r="BA113" i="27" s="1"/>
  <c r="AG113" i="27"/>
  <c r="BB113" i="27" s="1"/>
  <c r="AH113" i="27"/>
  <c r="BC113" i="27" s="1"/>
  <c r="AI113" i="27"/>
  <c r="BD113" i="27" s="1"/>
  <c r="AJ113" i="27"/>
  <c r="BE113" i="27" s="1"/>
  <c r="AK113" i="27"/>
  <c r="BF113" i="27" s="1"/>
  <c r="AL113" i="27"/>
  <c r="BG113" i="27" s="1"/>
  <c r="AM113" i="27"/>
  <c r="BH113" i="27" s="1"/>
  <c r="AN113" i="27"/>
  <c r="BI113" i="27" s="1"/>
  <c r="AO113" i="27"/>
  <c r="BJ113" i="27" s="1"/>
  <c r="AP113" i="27"/>
  <c r="BK113" i="27" s="1"/>
  <c r="AQ113" i="27"/>
  <c r="BL113" i="27" s="1"/>
  <c r="AR113" i="27"/>
  <c r="BM113" i="27" s="1"/>
  <c r="Y114" i="27"/>
  <c r="AT114" i="27" s="1"/>
  <c r="AA114" i="27"/>
  <c r="AV114" i="27" s="1"/>
  <c r="AB114" i="27"/>
  <c r="AW114" i="27" s="1"/>
  <c r="AC114" i="27"/>
  <c r="AX114" i="27" s="1"/>
  <c r="AD114" i="27"/>
  <c r="AY114" i="27" s="1"/>
  <c r="AE114" i="27"/>
  <c r="AZ114" i="27" s="1"/>
  <c r="AF114" i="27"/>
  <c r="BA114" i="27" s="1"/>
  <c r="AG114" i="27"/>
  <c r="BB114" i="27" s="1"/>
  <c r="AH114" i="27"/>
  <c r="BC114" i="27" s="1"/>
  <c r="AI114" i="27"/>
  <c r="BD114" i="27" s="1"/>
  <c r="AJ114" i="27"/>
  <c r="BE114" i="27" s="1"/>
  <c r="AK114" i="27"/>
  <c r="BF114" i="27" s="1"/>
  <c r="AL114" i="27"/>
  <c r="BG114" i="27" s="1"/>
  <c r="AM114" i="27"/>
  <c r="BH114" i="27" s="1"/>
  <c r="AN114" i="27"/>
  <c r="BI114" i="27" s="1"/>
  <c r="AO114" i="27"/>
  <c r="BJ114" i="27" s="1"/>
  <c r="AP114" i="27"/>
  <c r="BK114" i="27" s="1"/>
  <c r="AQ114" i="27"/>
  <c r="BL114" i="27" s="1"/>
  <c r="AR114" i="27"/>
  <c r="BM114" i="27" s="1"/>
  <c r="Y115" i="27"/>
  <c r="AT115" i="27" s="1"/>
  <c r="AA115" i="27"/>
  <c r="AV115" i="27" s="1"/>
  <c r="AB115" i="27"/>
  <c r="AW115" i="27" s="1"/>
  <c r="AC115" i="27"/>
  <c r="AX115" i="27" s="1"/>
  <c r="AD115" i="27"/>
  <c r="AY115" i="27" s="1"/>
  <c r="AE115" i="27"/>
  <c r="AZ115" i="27" s="1"/>
  <c r="AF115" i="27"/>
  <c r="BA115" i="27" s="1"/>
  <c r="AG115" i="27"/>
  <c r="BB115" i="27" s="1"/>
  <c r="AH115" i="27"/>
  <c r="BC115" i="27" s="1"/>
  <c r="AI115" i="27"/>
  <c r="BD115" i="27" s="1"/>
  <c r="AJ115" i="27"/>
  <c r="BE115" i="27" s="1"/>
  <c r="AK115" i="27"/>
  <c r="BF115" i="27" s="1"/>
  <c r="AL115" i="27"/>
  <c r="BG115" i="27" s="1"/>
  <c r="AM115" i="27"/>
  <c r="BH115" i="27" s="1"/>
  <c r="AN115" i="27"/>
  <c r="BI115" i="27" s="1"/>
  <c r="AO115" i="27"/>
  <c r="BJ115" i="27" s="1"/>
  <c r="AP115" i="27"/>
  <c r="BK115" i="27" s="1"/>
  <c r="AQ115" i="27"/>
  <c r="BL115" i="27" s="1"/>
  <c r="AR115" i="27"/>
  <c r="BM115" i="27" s="1"/>
  <c r="Y116" i="27"/>
  <c r="AT116" i="27" s="1"/>
  <c r="AA116" i="27"/>
  <c r="AV116" i="27" s="1"/>
  <c r="AB116" i="27"/>
  <c r="AW116" i="27" s="1"/>
  <c r="AC116" i="27"/>
  <c r="AX116" i="27" s="1"/>
  <c r="AD116" i="27"/>
  <c r="AY116" i="27" s="1"/>
  <c r="AE116" i="27"/>
  <c r="AZ116" i="27" s="1"/>
  <c r="AF116" i="27"/>
  <c r="BA116" i="27" s="1"/>
  <c r="AG116" i="27"/>
  <c r="BB116" i="27" s="1"/>
  <c r="AH116" i="27"/>
  <c r="BC116" i="27" s="1"/>
  <c r="AI116" i="27"/>
  <c r="BD116" i="27" s="1"/>
  <c r="AJ116" i="27"/>
  <c r="BE116" i="27" s="1"/>
  <c r="AK116" i="27"/>
  <c r="BF116" i="27" s="1"/>
  <c r="AL116" i="27"/>
  <c r="BG116" i="27" s="1"/>
  <c r="AM116" i="27"/>
  <c r="BH116" i="27" s="1"/>
  <c r="AN116" i="27"/>
  <c r="BI116" i="27" s="1"/>
  <c r="AO116" i="27"/>
  <c r="BJ116" i="27" s="1"/>
  <c r="AP116" i="27"/>
  <c r="BK116" i="27" s="1"/>
  <c r="AQ116" i="27"/>
  <c r="BL116" i="27" s="1"/>
  <c r="AR116" i="27"/>
  <c r="BM116" i="27" s="1"/>
  <c r="Y117" i="27"/>
  <c r="AT117" i="27" s="1"/>
  <c r="AA117" i="27"/>
  <c r="AV117" i="27" s="1"/>
  <c r="AB117" i="27"/>
  <c r="AW117" i="27" s="1"/>
  <c r="AC117" i="27"/>
  <c r="AX117" i="27" s="1"/>
  <c r="AD117" i="27"/>
  <c r="AY117" i="27" s="1"/>
  <c r="AE117" i="27"/>
  <c r="AZ117" i="27" s="1"/>
  <c r="AF117" i="27"/>
  <c r="BA117" i="27" s="1"/>
  <c r="AG117" i="27"/>
  <c r="BB117" i="27" s="1"/>
  <c r="AH117" i="27"/>
  <c r="BC117" i="27" s="1"/>
  <c r="AI117" i="27"/>
  <c r="BD117" i="27" s="1"/>
  <c r="AJ117" i="27"/>
  <c r="BE117" i="27" s="1"/>
  <c r="AK117" i="27"/>
  <c r="BF117" i="27" s="1"/>
  <c r="AL117" i="27"/>
  <c r="BG117" i="27" s="1"/>
  <c r="AM117" i="27"/>
  <c r="BH117" i="27" s="1"/>
  <c r="AN117" i="27"/>
  <c r="BI117" i="27" s="1"/>
  <c r="AO117" i="27"/>
  <c r="BJ117" i="27" s="1"/>
  <c r="AP117" i="27"/>
  <c r="BK117" i="27" s="1"/>
  <c r="AQ117" i="27"/>
  <c r="BL117" i="27" s="1"/>
  <c r="AR117" i="27"/>
  <c r="BM117" i="27" s="1"/>
  <c r="Y118" i="27"/>
  <c r="AT118" i="27" s="1"/>
  <c r="AA118" i="27"/>
  <c r="AV118" i="27" s="1"/>
  <c r="AB118" i="27"/>
  <c r="AW118" i="27" s="1"/>
  <c r="AC118" i="27"/>
  <c r="AX118" i="27" s="1"/>
  <c r="AD118" i="27"/>
  <c r="AY118" i="27" s="1"/>
  <c r="AE118" i="27"/>
  <c r="AZ118" i="27" s="1"/>
  <c r="AF118" i="27"/>
  <c r="BA118" i="27" s="1"/>
  <c r="AG118" i="27"/>
  <c r="BB118" i="27" s="1"/>
  <c r="AH118" i="27"/>
  <c r="BC118" i="27" s="1"/>
  <c r="AI118" i="27"/>
  <c r="BD118" i="27" s="1"/>
  <c r="AJ118" i="27"/>
  <c r="BE118" i="27" s="1"/>
  <c r="AK118" i="27"/>
  <c r="BF118" i="27" s="1"/>
  <c r="AL118" i="27"/>
  <c r="BG118" i="27" s="1"/>
  <c r="AM118" i="27"/>
  <c r="BH118" i="27" s="1"/>
  <c r="AN118" i="27"/>
  <c r="BI118" i="27" s="1"/>
  <c r="AO118" i="27"/>
  <c r="BJ118" i="27" s="1"/>
  <c r="AP118" i="27"/>
  <c r="BK118" i="27" s="1"/>
  <c r="AQ118" i="27"/>
  <c r="BL118" i="27" s="1"/>
  <c r="AR118" i="27"/>
  <c r="BM118" i="27" s="1"/>
  <c r="Y119" i="27"/>
  <c r="AT119" i="27" s="1"/>
  <c r="AA119" i="27"/>
  <c r="AV119" i="27" s="1"/>
  <c r="AB119" i="27"/>
  <c r="AW119" i="27" s="1"/>
  <c r="AC119" i="27"/>
  <c r="AX119" i="27" s="1"/>
  <c r="AD119" i="27"/>
  <c r="AY119" i="27" s="1"/>
  <c r="AE119" i="27"/>
  <c r="AZ119" i="27" s="1"/>
  <c r="AF119" i="27"/>
  <c r="BA119" i="27" s="1"/>
  <c r="AG119" i="27"/>
  <c r="BB119" i="27" s="1"/>
  <c r="AH119" i="27"/>
  <c r="BC119" i="27" s="1"/>
  <c r="AI119" i="27"/>
  <c r="BD119" i="27" s="1"/>
  <c r="AJ119" i="27"/>
  <c r="BE119" i="27" s="1"/>
  <c r="AK119" i="27"/>
  <c r="BF119" i="27" s="1"/>
  <c r="AL119" i="27"/>
  <c r="BG119" i="27" s="1"/>
  <c r="AM119" i="27"/>
  <c r="BH119" i="27" s="1"/>
  <c r="AN119" i="27"/>
  <c r="BI119" i="27" s="1"/>
  <c r="AO119" i="27"/>
  <c r="BJ119" i="27" s="1"/>
  <c r="AP119" i="27"/>
  <c r="BK119" i="27" s="1"/>
  <c r="AQ119" i="27"/>
  <c r="BL119" i="27" s="1"/>
  <c r="AR119" i="27"/>
  <c r="BM119" i="27" s="1"/>
  <c r="Y120" i="27"/>
  <c r="AT120" i="27" s="1"/>
  <c r="AA120" i="27"/>
  <c r="AV120" i="27" s="1"/>
  <c r="AB120" i="27"/>
  <c r="AW120" i="27" s="1"/>
  <c r="AC120" i="27"/>
  <c r="AX120" i="27" s="1"/>
  <c r="AD120" i="27"/>
  <c r="AY120" i="27" s="1"/>
  <c r="AE120" i="27"/>
  <c r="AZ120" i="27" s="1"/>
  <c r="AF120" i="27"/>
  <c r="BA120" i="27" s="1"/>
  <c r="AG120" i="27"/>
  <c r="BB120" i="27" s="1"/>
  <c r="AH120" i="27"/>
  <c r="BC120" i="27" s="1"/>
  <c r="AI120" i="27"/>
  <c r="BD120" i="27" s="1"/>
  <c r="AJ120" i="27"/>
  <c r="BE120" i="27" s="1"/>
  <c r="AK120" i="27"/>
  <c r="BF120" i="27" s="1"/>
  <c r="AL120" i="27"/>
  <c r="BG120" i="27" s="1"/>
  <c r="AM120" i="27"/>
  <c r="BH120" i="27" s="1"/>
  <c r="AN120" i="27"/>
  <c r="BI120" i="27" s="1"/>
  <c r="AO120" i="27"/>
  <c r="BJ120" i="27" s="1"/>
  <c r="AP120" i="27"/>
  <c r="BK120" i="27" s="1"/>
  <c r="AQ120" i="27"/>
  <c r="BL120" i="27" s="1"/>
  <c r="AR120" i="27"/>
  <c r="BM120" i="27" s="1"/>
  <c r="Y121" i="27"/>
  <c r="AT121" i="27" s="1"/>
  <c r="AA121" i="27"/>
  <c r="AV121" i="27" s="1"/>
  <c r="AB121" i="27"/>
  <c r="AW121" i="27" s="1"/>
  <c r="AC121" i="27"/>
  <c r="AX121" i="27" s="1"/>
  <c r="AD121" i="27"/>
  <c r="AY121" i="27" s="1"/>
  <c r="AE121" i="27"/>
  <c r="AZ121" i="27" s="1"/>
  <c r="AF121" i="27"/>
  <c r="BA121" i="27" s="1"/>
  <c r="AG121" i="27"/>
  <c r="BB121" i="27" s="1"/>
  <c r="AH121" i="27"/>
  <c r="BC121" i="27" s="1"/>
  <c r="AI121" i="27"/>
  <c r="BD121" i="27" s="1"/>
  <c r="AJ121" i="27"/>
  <c r="BE121" i="27" s="1"/>
  <c r="AK121" i="27"/>
  <c r="BF121" i="27" s="1"/>
  <c r="AL121" i="27"/>
  <c r="BG121" i="27" s="1"/>
  <c r="AM121" i="27"/>
  <c r="BH121" i="27" s="1"/>
  <c r="AN121" i="27"/>
  <c r="BI121" i="27" s="1"/>
  <c r="AO121" i="27"/>
  <c r="BJ121" i="27" s="1"/>
  <c r="AP121" i="27"/>
  <c r="BK121" i="27" s="1"/>
  <c r="AQ121" i="27"/>
  <c r="BL121" i="27" s="1"/>
  <c r="AR121" i="27"/>
  <c r="BM121" i="27" s="1"/>
  <c r="Y122" i="27"/>
  <c r="AT122" i="27" s="1"/>
  <c r="AA122" i="27"/>
  <c r="AV122" i="27" s="1"/>
  <c r="AB122" i="27"/>
  <c r="AW122" i="27" s="1"/>
  <c r="AC122" i="27"/>
  <c r="AX122" i="27" s="1"/>
  <c r="AD122" i="27"/>
  <c r="AY122" i="27" s="1"/>
  <c r="AE122" i="27"/>
  <c r="AZ122" i="27" s="1"/>
  <c r="AF122" i="27"/>
  <c r="BA122" i="27" s="1"/>
  <c r="AG122" i="27"/>
  <c r="BB122" i="27" s="1"/>
  <c r="AH122" i="27"/>
  <c r="BC122" i="27" s="1"/>
  <c r="AI122" i="27"/>
  <c r="BD122" i="27" s="1"/>
  <c r="AJ122" i="27"/>
  <c r="BE122" i="27" s="1"/>
  <c r="AK122" i="27"/>
  <c r="BF122" i="27" s="1"/>
  <c r="AL122" i="27"/>
  <c r="BG122" i="27" s="1"/>
  <c r="AM122" i="27"/>
  <c r="BH122" i="27" s="1"/>
  <c r="AN122" i="27"/>
  <c r="BI122" i="27" s="1"/>
  <c r="AO122" i="27"/>
  <c r="BJ122" i="27" s="1"/>
  <c r="AP122" i="27"/>
  <c r="BK122" i="27" s="1"/>
  <c r="AQ122" i="27"/>
  <c r="BL122" i="27" s="1"/>
  <c r="AR122" i="27"/>
  <c r="BM122" i="27" s="1"/>
  <c r="Y123" i="27"/>
  <c r="AT123" i="27" s="1"/>
  <c r="AA123" i="27"/>
  <c r="AV123" i="27" s="1"/>
  <c r="AB123" i="27"/>
  <c r="AW123" i="27" s="1"/>
  <c r="AC123" i="27"/>
  <c r="AX123" i="27" s="1"/>
  <c r="AD123" i="27"/>
  <c r="AY123" i="27" s="1"/>
  <c r="AE123" i="27"/>
  <c r="AZ123" i="27" s="1"/>
  <c r="AF123" i="27"/>
  <c r="BA123" i="27" s="1"/>
  <c r="AG123" i="27"/>
  <c r="BB123" i="27" s="1"/>
  <c r="AH123" i="27"/>
  <c r="BC123" i="27" s="1"/>
  <c r="AI123" i="27"/>
  <c r="BD123" i="27" s="1"/>
  <c r="AJ123" i="27"/>
  <c r="BE123" i="27" s="1"/>
  <c r="AK123" i="27"/>
  <c r="BF123" i="27" s="1"/>
  <c r="AL123" i="27"/>
  <c r="BG123" i="27" s="1"/>
  <c r="AM123" i="27"/>
  <c r="BH123" i="27" s="1"/>
  <c r="AN123" i="27"/>
  <c r="BI123" i="27" s="1"/>
  <c r="AO123" i="27"/>
  <c r="BJ123" i="27" s="1"/>
  <c r="AP123" i="27"/>
  <c r="BK123" i="27" s="1"/>
  <c r="AQ123" i="27"/>
  <c r="BL123" i="27" s="1"/>
  <c r="AR123" i="27"/>
  <c r="BM123" i="27" s="1"/>
  <c r="Y124" i="27"/>
  <c r="AT124" i="27" s="1"/>
  <c r="AA124" i="27"/>
  <c r="AV124" i="27" s="1"/>
  <c r="AB124" i="27"/>
  <c r="AW124" i="27" s="1"/>
  <c r="AC124" i="27"/>
  <c r="AX124" i="27" s="1"/>
  <c r="AD124" i="27"/>
  <c r="AY124" i="27" s="1"/>
  <c r="AE124" i="27"/>
  <c r="AZ124" i="27" s="1"/>
  <c r="AF124" i="27"/>
  <c r="BA124" i="27" s="1"/>
  <c r="AG124" i="27"/>
  <c r="BB124" i="27" s="1"/>
  <c r="AH124" i="27"/>
  <c r="BC124" i="27" s="1"/>
  <c r="AI124" i="27"/>
  <c r="BD124" i="27" s="1"/>
  <c r="AJ124" i="27"/>
  <c r="BE124" i="27" s="1"/>
  <c r="AK124" i="27"/>
  <c r="BF124" i="27" s="1"/>
  <c r="AL124" i="27"/>
  <c r="BG124" i="27" s="1"/>
  <c r="AM124" i="27"/>
  <c r="BH124" i="27" s="1"/>
  <c r="AN124" i="27"/>
  <c r="BI124" i="27" s="1"/>
  <c r="AO124" i="27"/>
  <c r="BJ124" i="27" s="1"/>
  <c r="AP124" i="27"/>
  <c r="BK124" i="27" s="1"/>
  <c r="AQ124" i="27"/>
  <c r="BL124" i="27" s="1"/>
  <c r="AR124" i="27"/>
  <c r="BM124" i="27" s="1"/>
  <c r="Y125" i="27"/>
  <c r="AT125" i="27" s="1"/>
  <c r="AA125" i="27"/>
  <c r="AV125" i="27" s="1"/>
  <c r="AB125" i="27"/>
  <c r="AW125" i="27" s="1"/>
  <c r="AC125" i="27"/>
  <c r="AX125" i="27" s="1"/>
  <c r="AD125" i="27"/>
  <c r="AY125" i="27" s="1"/>
  <c r="AE125" i="27"/>
  <c r="AZ125" i="27" s="1"/>
  <c r="AF125" i="27"/>
  <c r="BA125" i="27" s="1"/>
  <c r="AG125" i="27"/>
  <c r="BB125" i="27" s="1"/>
  <c r="AH125" i="27"/>
  <c r="BC125" i="27" s="1"/>
  <c r="AI125" i="27"/>
  <c r="BD125" i="27" s="1"/>
  <c r="AJ125" i="27"/>
  <c r="BE125" i="27" s="1"/>
  <c r="AK125" i="27"/>
  <c r="BF125" i="27" s="1"/>
  <c r="AL125" i="27"/>
  <c r="BG125" i="27" s="1"/>
  <c r="AM125" i="27"/>
  <c r="BH125" i="27" s="1"/>
  <c r="AN125" i="27"/>
  <c r="BI125" i="27" s="1"/>
  <c r="AO125" i="27"/>
  <c r="BJ125" i="27" s="1"/>
  <c r="AP125" i="27"/>
  <c r="BK125" i="27" s="1"/>
  <c r="AQ125" i="27"/>
  <c r="BL125" i="27" s="1"/>
  <c r="AR125" i="27"/>
  <c r="BM125" i="27" s="1"/>
  <c r="Y126" i="27"/>
  <c r="AT126" i="27" s="1"/>
  <c r="AA126" i="27"/>
  <c r="AV126" i="27" s="1"/>
  <c r="AB126" i="27"/>
  <c r="AW126" i="27" s="1"/>
  <c r="AC126" i="27"/>
  <c r="AX126" i="27" s="1"/>
  <c r="AD126" i="27"/>
  <c r="AY126" i="27" s="1"/>
  <c r="AE126" i="27"/>
  <c r="AZ126" i="27" s="1"/>
  <c r="AF126" i="27"/>
  <c r="BA126" i="27" s="1"/>
  <c r="AG126" i="27"/>
  <c r="BB126" i="27" s="1"/>
  <c r="AH126" i="27"/>
  <c r="BC126" i="27" s="1"/>
  <c r="AI126" i="27"/>
  <c r="BD126" i="27" s="1"/>
  <c r="AJ126" i="27"/>
  <c r="BE126" i="27" s="1"/>
  <c r="AK126" i="27"/>
  <c r="BF126" i="27" s="1"/>
  <c r="AL126" i="27"/>
  <c r="BG126" i="27" s="1"/>
  <c r="AM126" i="27"/>
  <c r="BH126" i="27" s="1"/>
  <c r="AN126" i="27"/>
  <c r="BI126" i="27" s="1"/>
  <c r="AO126" i="27"/>
  <c r="BJ126" i="27" s="1"/>
  <c r="AP126" i="27"/>
  <c r="BK126" i="27" s="1"/>
  <c r="AQ126" i="27"/>
  <c r="BL126" i="27" s="1"/>
  <c r="AR126" i="27"/>
  <c r="BM126" i="27" s="1"/>
  <c r="Y127" i="27"/>
  <c r="AT127" i="27" s="1"/>
  <c r="AA127" i="27"/>
  <c r="AV127" i="27" s="1"/>
  <c r="AB127" i="27"/>
  <c r="AW127" i="27" s="1"/>
  <c r="AC127" i="27"/>
  <c r="AX127" i="27" s="1"/>
  <c r="AD127" i="27"/>
  <c r="AY127" i="27" s="1"/>
  <c r="AE127" i="27"/>
  <c r="AZ127" i="27" s="1"/>
  <c r="AF127" i="27"/>
  <c r="BA127" i="27" s="1"/>
  <c r="AG127" i="27"/>
  <c r="BB127" i="27" s="1"/>
  <c r="AH127" i="27"/>
  <c r="BC127" i="27" s="1"/>
  <c r="AI127" i="27"/>
  <c r="BD127" i="27" s="1"/>
  <c r="AJ127" i="27"/>
  <c r="BE127" i="27" s="1"/>
  <c r="AK127" i="27"/>
  <c r="BF127" i="27" s="1"/>
  <c r="AL127" i="27"/>
  <c r="BG127" i="27" s="1"/>
  <c r="AM127" i="27"/>
  <c r="BH127" i="27" s="1"/>
  <c r="AN127" i="27"/>
  <c r="BI127" i="27" s="1"/>
  <c r="AO127" i="27"/>
  <c r="BJ127" i="27" s="1"/>
  <c r="AP127" i="27"/>
  <c r="BK127" i="27" s="1"/>
  <c r="AQ127" i="27"/>
  <c r="BL127" i="27" s="1"/>
  <c r="AR127" i="27"/>
  <c r="BM127" i="27" s="1"/>
  <c r="Y128" i="27"/>
  <c r="AT128" i="27" s="1"/>
  <c r="AA128" i="27"/>
  <c r="AV128" i="27" s="1"/>
  <c r="AB128" i="27"/>
  <c r="AW128" i="27" s="1"/>
  <c r="AC128" i="27"/>
  <c r="AX128" i="27" s="1"/>
  <c r="AD128" i="27"/>
  <c r="AY128" i="27" s="1"/>
  <c r="AE128" i="27"/>
  <c r="AZ128" i="27" s="1"/>
  <c r="AF128" i="27"/>
  <c r="BA128" i="27" s="1"/>
  <c r="AG128" i="27"/>
  <c r="BB128" i="27" s="1"/>
  <c r="AH128" i="27"/>
  <c r="BC128" i="27" s="1"/>
  <c r="AI128" i="27"/>
  <c r="BD128" i="27" s="1"/>
  <c r="AJ128" i="27"/>
  <c r="BE128" i="27" s="1"/>
  <c r="AK128" i="27"/>
  <c r="BF128" i="27" s="1"/>
  <c r="AL128" i="27"/>
  <c r="BG128" i="27" s="1"/>
  <c r="AM128" i="27"/>
  <c r="BH128" i="27" s="1"/>
  <c r="AN128" i="27"/>
  <c r="BI128" i="27" s="1"/>
  <c r="AO128" i="27"/>
  <c r="BJ128" i="27" s="1"/>
  <c r="AP128" i="27"/>
  <c r="BK128" i="27" s="1"/>
  <c r="AQ128" i="27"/>
  <c r="BL128" i="27" s="1"/>
  <c r="AR128" i="27"/>
  <c r="BM128" i="27" s="1"/>
  <c r="Y129" i="27"/>
  <c r="AT129" i="27" s="1"/>
  <c r="AA129" i="27"/>
  <c r="AV129" i="27" s="1"/>
  <c r="AB129" i="27"/>
  <c r="AW129" i="27" s="1"/>
  <c r="AC129" i="27"/>
  <c r="AX129" i="27" s="1"/>
  <c r="AD129" i="27"/>
  <c r="AY129" i="27" s="1"/>
  <c r="AE129" i="27"/>
  <c r="AZ129" i="27" s="1"/>
  <c r="AF129" i="27"/>
  <c r="BA129" i="27" s="1"/>
  <c r="AG129" i="27"/>
  <c r="BB129" i="27" s="1"/>
  <c r="AH129" i="27"/>
  <c r="BC129" i="27" s="1"/>
  <c r="AI129" i="27"/>
  <c r="BD129" i="27" s="1"/>
  <c r="AJ129" i="27"/>
  <c r="BE129" i="27" s="1"/>
  <c r="AK129" i="27"/>
  <c r="BF129" i="27" s="1"/>
  <c r="AL129" i="27"/>
  <c r="BG129" i="27" s="1"/>
  <c r="AM129" i="27"/>
  <c r="BH129" i="27" s="1"/>
  <c r="AN129" i="27"/>
  <c r="BI129" i="27" s="1"/>
  <c r="AO129" i="27"/>
  <c r="BJ129" i="27" s="1"/>
  <c r="AP129" i="27"/>
  <c r="BK129" i="27" s="1"/>
  <c r="AQ129" i="27"/>
  <c r="BL129" i="27" s="1"/>
  <c r="AR129" i="27"/>
  <c r="BM129" i="27" s="1"/>
  <c r="Y130" i="27"/>
  <c r="AT130" i="27" s="1"/>
  <c r="AA130" i="27"/>
  <c r="AV130" i="27" s="1"/>
  <c r="AB130" i="27"/>
  <c r="AW130" i="27" s="1"/>
  <c r="AC130" i="27"/>
  <c r="AX130" i="27" s="1"/>
  <c r="AD130" i="27"/>
  <c r="AY130" i="27" s="1"/>
  <c r="AE130" i="27"/>
  <c r="AZ130" i="27" s="1"/>
  <c r="AF130" i="27"/>
  <c r="BA130" i="27" s="1"/>
  <c r="AG130" i="27"/>
  <c r="BB130" i="27" s="1"/>
  <c r="AH130" i="27"/>
  <c r="BC130" i="27" s="1"/>
  <c r="AI130" i="27"/>
  <c r="BD130" i="27" s="1"/>
  <c r="AJ130" i="27"/>
  <c r="BE130" i="27" s="1"/>
  <c r="AK130" i="27"/>
  <c r="BF130" i="27" s="1"/>
  <c r="AL130" i="27"/>
  <c r="BG130" i="27" s="1"/>
  <c r="AM130" i="27"/>
  <c r="BH130" i="27" s="1"/>
  <c r="AN130" i="27"/>
  <c r="BI130" i="27" s="1"/>
  <c r="AO130" i="27"/>
  <c r="BJ130" i="27" s="1"/>
  <c r="AP130" i="27"/>
  <c r="BK130" i="27" s="1"/>
  <c r="AQ130" i="27"/>
  <c r="BL130" i="27" s="1"/>
  <c r="AR130" i="27"/>
  <c r="BM130" i="27" s="1"/>
  <c r="Y131" i="27"/>
  <c r="AT131" i="27" s="1"/>
  <c r="AA131" i="27"/>
  <c r="AV131" i="27" s="1"/>
  <c r="AB131" i="27"/>
  <c r="AW131" i="27" s="1"/>
  <c r="AC131" i="27"/>
  <c r="AX131" i="27" s="1"/>
  <c r="AD131" i="27"/>
  <c r="AY131" i="27" s="1"/>
  <c r="AE131" i="27"/>
  <c r="AZ131" i="27" s="1"/>
  <c r="AF131" i="27"/>
  <c r="BA131" i="27" s="1"/>
  <c r="AG131" i="27"/>
  <c r="BB131" i="27" s="1"/>
  <c r="AH131" i="27"/>
  <c r="BC131" i="27" s="1"/>
  <c r="AI131" i="27"/>
  <c r="BD131" i="27" s="1"/>
  <c r="AJ131" i="27"/>
  <c r="BE131" i="27" s="1"/>
  <c r="AK131" i="27"/>
  <c r="BF131" i="27" s="1"/>
  <c r="AL131" i="27"/>
  <c r="BG131" i="27" s="1"/>
  <c r="AM131" i="27"/>
  <c r="BH131" i="27" s="1"/>
  <c r="AN131" i="27"/>
  <c r="BI131" i="27" s="1"/>
  <c r="AO131" i="27"/>
  <c r="BJ131" i="27" s="1"/>
  <c r="AP131" i="27"/>
  <c r="BK131" i="27" s="1"/>
  <c r="AQ131" i="27"/>
  <c r="BL131" i="27" s="1"/>
  <c r="AR131" i="27"/>
  <c r="BM131" i="27" s="1"/>
  <c r="Y132" i="27"/>
  <c r="AT132" i="27" s="1"/>
  <c r="AA132" i="27"/>
  <c r="AV132" i="27" s="1"/>
  <c r="AB132" i="27"/>
  <c r="AW132" i="27" s="1"/>
  <c r="AC132" i="27"/>
  <c r="AX132" i="27" s="1"/>
  <c r="AD132" i="27"/>
  <c r="AY132" i="27" s="1"/>
  <c r="AE132" i="27"/>
  <c r="AZ132" i="27" s="1"/>
  <c r="AF132" i="27"/>
  <c r="BA132" i="27" s="1"/>
  <c r="AG132" i="27"/>
  <c r="BB132" i="27" s="1"/>
  <c r="AH132" i="27"/>
  <c r="BC132" i="27" s="1"/>
  <c r="AI132" i="27"/>
  <c r="BD132" i="27" s="1"/>
  <c r="AJ132" i="27"/>
  <c r="BE132" i="27" s="1"/>
  <c r="AK132" i="27"/>
  <c r="BF132" i="27" s="1"/>
  <c r="AL132" i="27"/>
  <c r="BG132" i="27" s="1"/>
  <c r="AM132" i="27"/>
  <c r="BH132" i="27" s="1"/>
  <c r="AN132" i="27"/>
  <c r="BI132" i="27" s="1"/>
  <c r="AO132" i="27"/>
  <c r="BJ132" i="27" s="1"/>
  <c r="AP132" i="27"/>
  <c r="BK132" i="27" s="1"/>
  <c r="AQ132" i="27"/>
  <c r="BL132" i="27" s="1"/>
  <c r="AR132" i="27"/>
  <c r="BM132" i="27" s="1"/>
  <c r="Y133" i="27"/>
  <c r="AT133" i="27" s="1"/>
  <c r="AA133" i="27"/>
  <c r="AV133" i="27" s="1"/>
  <c r="AB133" i="27"/>
  <c r="AW133" i="27" s="1"/>
  <c r="AC133" i="27"/>
  <c r="AX133" i="27" s="1"/>
  <c r="AD133" i="27"/>
  <c r="AY133" i="27" s="1"/>
  <c r="AE133" i="27"/>
  <c r="AZ133" i="27" s="1"/>
  <c r="AF133" i="27"/>
  <c r="BA133" i="27" s="1"/>
  <c r="AG133" i="27"/>
  <c r="BB133" i="27" s="1"/>
  <c r="AH133" i="27"/>
  <c r="BC133" i="27" s="1"/>
  <c r="AI133" i="27"/>
  <c r="BD133" i="27" s="1"/>
  <c r="AJ133" i="27"/>
  <c r="BE133" i="27" s="1"/>
  <c r="AK133" i="27"/>
  <c r="BF133" i="27" s="1"/>
  <c r="AL133" i="27"/>
  <c r="BG133" i="27" s="1"/>
  <c r="AM133" i="27"/>
  <c r="BH133" i="27" s="1"/>
  <c r="AN133" i="27"/>
  <c r="BI133" i="27" s="1"/>
  <c r="AO133" i="27"/>
  <c r="BJ133" i="27" s="1"/>
  <c r="AP133" i="27"/>
  <c r="BK133" i="27" s="1"/>
  <c r="AQ133" i="27"/>
  <c r="BL133" i="27" s="1"/>
  <c r="AR133" i="27"/>
  <c r="BM133" i="27" s="1"/>
  <c r="Y134" i="27"/>
  <c r="AT134" i="27" s="1"/>
  <c r="AA134" i="27"/>
  <c r="AV134" i="27" s="1"/>
  <c r="AB134" i="27"/>
  <c r="AW134" i="27" s="1"/>
  <c r="AC134" i="27"/>
  <c r="AX134" i="27" s="1"/>
  <c r="AD134" i="27"/>
  <c r="AY134" i="27" s="1"/>
  <c r="AE134" i="27"/>
  <c r="AZ134" i="27" s="1"/>
  <c r="AF134" i="27"/>
  <c r="BA134" i="27" s="1"/>
  <c r="AG134" i="27"/>
  <c r="BB134" i="27" s="1"/>
  <c r="AH134" i="27"/>
  <c r="BC134" i="27" s="1"/>
  <c r="AI134" i="27"/>
  <c r="BD134" i="27" s="1"/>
  <c r="AJ134" i="27"/>
  <c r="BE134" i="27" s="1"/>
  <c r="AK134" i="27"/>
  <c r="BF134" i="27" s="1"/>
  <c r="AL134" i="27"/>
  <c r="BG134" i="27" s="1"/>
  <c r="AM134" i="27"/>
  <c r="BH134" i="27" s="1"/>
  <c r="AN134" i="27"/>
  <c r="BI134" i="27" s="1"/>
  <c r="AO134" i="27"/>
  <c r="BJ134" i="27" s="1"/>
  <c r="AP134" i="27"/>
  <c r="BK134" i="27" s="1"/>
  <c r="AQ134" i="27"/>
  <c r="BL134" i="27" s="1"/>
  <c r="AR134" i="27"/>
  <c r="BM134" i="27" s="1"/>
  <c r="Y135" i="27"/>
  <c r="AT135" i="27" s="1"/>
  <c r="AA135" i="27"/>
  <c r="AV135" i="27" s="1"/>
  <c r="AB135" i="27"/>
  <c r="AW135" i="27" s="1"/>
  <c r="AC135" i="27"/>
  <c r="AX135" i="27" s="1"/>
  <c r="AD135" i="27"/>
  <c r="AY135" i="27" s="1"/>
  <c r="AE135" i="27"/>
  <c r="AZ135" i="27" s="1"/>
  <c r="AF135" i="27"/>
  <c r="BA135" i="27" s="1"/>
  <c r="AG135" i="27"/>
  <c r="BB135" i="27" s="1"/>
  <c r="AH135" i="27"/>
  <c r="BC135" i="27" s="1"/>
  <c r="AI135" i="27"/>
  <c r="BD135" i="27" s="1"/>
  <c r="AJ135" i="27"/>
  <c r="BE135" i="27" s="1"/>
  <c r="AK135" i="27"/>
  <c r="BF135" i="27" s="1"/>
  <c r="AL135" i="27"/>
  <c r="BG135" i="27" s="1"/>
  <c r="AM135" i="27"/>
  <c r="BH135" i="27" s="1"/>
  <c r="AN135" i="27"/>
  <c r="BI135" i="27" s="1"/>
  <c r="AO135" i="27"/>
  <c r="BJ135" i="27" s="1"/>
  <c r="AP135" i="27"/>
  <c r="BK135" i="27" s="1"/>
  <c r="AQ135" i="27"/>
  <c r="BL135" i="27" s="1"/>
  <c r="AR135" i="27"/>
  <c r="BM135" i="27" s="1"/>
  <c r="Y136" i="27"/>
  <c r="AT136" i="27" s="1"/>
  <c r="AA136" i="27"/>
  <c r="AV136" i="27" s="1"/>
  <c r="AB136" i="27"/>
  <c r="AW136" i="27" s="1"/>
  <c r="AC136" i="27"/>
  <c r="AX136" i="27" s="1"/>
  <c r="AD136" i="27"/>
  <c r="AY136" i="27" s="1"/>
  <c r="AE136" i="27"/>
  <c r="AZ136" i="27" s="1"/>
  <c r="AF136" i="27"/>
  <c r="BA136" i="27" s="1"/>
  <c r="AG136" i="27"/>
  <c r="BB136" i="27" s="1"/>
  <c r="AH136" i="27"/>
  <c r="BC136" i="27" s="1"/>
  <c r="AI136" i="27"/>
  <c r="BD136" i="27" s="1"/>
  <c r="AJ136" i="27"/>
  <c r="BE136" i="27" s="1"/>
  <c r="AK136" i="27"/>
  <c r="BF136" i="27" s="1"/>
  <c r="AL136" i="27"/>
  <c r="BG136" i="27" s="1"/>
  <c r="AM136" i="27"/>
  <c r="BH136" i="27" s="1"/>
  <c r="AN136" i="27"/>
  <c r="BI136" i="27" s="1"/>
  <c r="AO136" i="27"/>
  <c r="BJ136" i="27" s="1"/>
  <c r="AP136" i="27"/>
  <c r="BK136" i="27" s="1"/>
  <c r="AQ136" i="27"/>
  <c r="BL136" i="27" s="1"/>
  <c r="AR136" i="27"/>
  <c r="BM136" i="27" s="1"/>
  <c r="Y137" i="27"/>
  <c r="AT137" i="27" s="1"/>
  <c r="AA137" i="27"/>
  <c r="AV137" i="27" s="1"/>
  <c r="AB137" i="27"/>
  <c r="AW137" i="27" s="1"/>
  <c r="AC137" i="27"/>
  <c r="AX137" i="27" s="1"/>
  <c r="AD137" i="27"/>
  <c r="AY137" i="27" s="1"/>
  <c r="AE137" i="27"/>
  <c r="AZ137" i="27" s="1"/>
  <c r="AF137" i="27"/>
  <c r="BA137" i="27" s="1"/>
  <c r="AG137" i="27"/>
  <c r="BB137" i="27" s="1"/>
  <c r="AH137" i="27"/>
  <c r="BC137" i="27" s="1"/>
  <c r="AI137" i="27"/>
  <c r="BD137" i="27" s="1"/>
  <c r="AJ137" i="27"/>
  <c r="BE137" i="27" s="1"/>
  <c r="AK137" i="27"/>
  <c r="BF137" i="27" s="1"/>
  <c r="AL137" i="27"/>
  <c r="BG137" i="27" s="1"/>
  <c r="AM137" i="27"/>
  <c r="BH137" i="27" s="1"/>
  <c r="AN137" i="27"/>
  <c r="BI137" i="27" s="1"/>
  <c r="AO137" i="27"/>
  <c r="BJ137" i="27" s="1"/>
  <c r="AP137" i="27"/>
  <c r="BK137" i="27" s="1"/>
  <c r="AQ137" i="27"/>
  <c r="BL137" i="27" s="1"/>
  <c r="AR137" i="27"/>
  <c r="BM137" i="27" s="1"/>
  <c r="Y138" i="27"/>
  <c r="AT138" i="27" s="1"/>
  <c r="AA138" i="27"/>
  <c r="AV138" i="27" s="1"/>
  <c r="AB138" i="27"/>
  <c r="AW138" i="27" s="1"/>
  <c r="AC138" i="27"/>
  <c r="AX138" i="27" s="1"/>
  <c r="AD138" i="27"/>
  <c r="AY138" i="27" s="1"/>
  <c r="AE138" i="27"/>
  <c r="AZ138" i="27" s="1"/>
  <c r="AF138" i="27"/>
  <c r="BA138" i="27" s="1"/>
  <c r="AG138" i="27"/>
  <c r="BB138" i="27" s="1"/>
  <c r="AH138" i="27"/>
  <c r="BC138" i="27" s="1"/>
  <c r="AI138" i="27"/>
  <c r="BD138" i="27" s="1"/>
  <c r="AJ138" i="27"/>
  <c r="BE138" i="27" s="1"/>
  <c r="AK138" i="27"/>
  <c r="BF138" i="27" s="1"/>
  <c r="AL138" i="27"/>
  <c r="BG138" i="27" s="1"/>
  <c r="AM138" i="27"/>
  <c r="BH138" i="27" s="1"/>
  <c r="AN138" i="27"/>
  <c r="BI138" i="27" s="1"/>
  <c r="AO138" i="27"/>
  <c r="BJ138" i="27" s="1"/>
  <c r="AP138" i="27"/>
  <c r="BK138" i="27" s="1"/>
  <c r="AQ138" i="27"/>
  <c r="BL138" i="27" s="1"/>
  <c r="AR138" i="27"/>
  <c r="BM138" i="27" s="1"/>
  <c r="Y139" i="27"/>
  <c r="AT139" i="27" s="1"/>
  <c r="AA139" i="27"/>
  <c r="AV139" i="27" s="1"/>
  <c r="AB139" i="27"/>
  <c r="AW139" i="27" s="1"/>
  <c r="AC139" i="27"/>
  <c r="AX139" i="27" s="1"/>
  <c r="AD139" i="27"/>
  <c r="AY139" i="27" s="1"/>
  <c r="AE139" i="27"/>
  <c r="AZ139" i="27" s="1"/>
  <c r="AF139" i="27"/>
  <c r="BA139" i="27" s="1"/>
  <c r="AG139" i="27"/>
  <c r="BB139" i="27" s="1"/>
  <c r="AH139" i="27"/>
  <c r="BC139" i="27" s="1"/>
  <c r="AI139" i="27"/>
  <c r="BD139" i="27" s="1"/>
  <c r="AJ139" i="27"/>
  <c r="BE139" i="27" s="1"/>
  <c r="AK139" i="27"/>
  <c r="BF139" i="27" s="1"/>
  <c r="AL139" i="27"/>
  <c r="BG139" i="27" s="1"/>
  <c r="AM139" i="27"/>
  <c r="BH139" i="27" s="1"/>
  <c r="AN139" i="27"/>
  <c r="BI139" i="27" s="1"/>
  <c r="AO139" i="27"/>
  <c r="BJ139" i="27" s="1"/>
  <c r="AP139" i="27"/>
  <c r="BK139" i="27" s="1"/>
  <c r="AQ139" i="27"/>
  <c r="BL139" i="27" s="1"/>
  <c r="AR139" i="27"/>
  <c r="BM139" i="27" s="1"/>
  <c r="Y140" i="27"/>
  <c r="AT140" i="27" s="1"/>
  <c r="AA140" i="27"/>
  <c r="AV140" i="27" s="1"/>
  <c r="AB140" i="27"/>
  <c r="AW140" i="27" s="1"/>
  <c r="AC140" i="27"/>
  <c r="AX140" i="27" s="1"/>
  <c r="AD140" i="27"/>
  <c r="AY140" i="27" s="1"/>
  <c r="AE140" i="27"/>
  <c r="AZ140" i="27" s="1"/>
  <c r="AF140" i="27"/>
  <c r="BA140" i="27" s="1"/>
  <c r="AG140" i="27"/>
  <c r="BB140" i="27" s="1"/>
  <c r="AH140" i="27"/>
  <c r="BC140" i="27" s="1"/>
  <c r="AI140" i="27"/>
  <c r="BD140" i="27" s="1"/>
  <c r="AJ140" i="27"/>
  <c r="BE140" i="27" s="1"/>
  <c r="AK140" i="27"/>
  <c r="BF140" i="27" s="1"/>
  <c r="AL140" i="27"/>
  <c r="BG140" i="27" s="1"/>
  <c r="AM140" i="27"/>
  <c r="BH140" i="27" s="1"/>
  <c r="AN140" i="27"/>
  <c r="BI140" i="27" s="1"/>
  <c r="AO140" i="27"/>
  <c r="BJ140" i="27" s="1"/>
  <c r="AP140" i="27"/>
  <c r="BK140" i="27" s="1"/>
  <c r="AQ140" i="27"/>
  <c r="BL140" i="27" s="1"/>
  <c r="AR140" i="27"/>
  <c r="BM140" i="27" s="1"/>
  <c r="Y141" i="27"/>
  <c r="AT141" i="27" s="1"/>
  <c r="AA141" i="27"/>
  <c r="AV141" i="27" s="1"/>
  <c r="AB141" i="27"/>
  <c r="AW141" i="27" s="1"/>
  <c r="AC141" i="27"/>
  <c r="AX141" i="27" s="1"/>
  <c r="AD141" i="27"/>
  <c r="AY141" i="27" s="1"/>
  <c r="AE141" i="27"/>
  <c r="AZ141" i="27" s="1"/>
  <c r="AF141" i="27"/>
  <c r="BA141" i="27" s="1"/>
  <c r="AG141" i="27"/>
  <c r="BB141" i="27" s="1"/>
  <c r="AH141" i="27"/>
  <c r="BC141" i="27" s="1"/>
  <c r="AI141" i="27"/>
  <c r="BD141" i="27" s="1"/>
  <c r="AJ141" i="27"/>
  <c r="BE141" i="27" s="1"/>
  <c r="AK141" i="27"/>
  <c r="BF141" i="27" s="1"/>
  <c r="AL141" i="27"/>
  <c r="BG141" i="27" s="1"/>
  <c r="AM141" i="27"/>
  <c r="BH141" i="27" s="1"/>
  <c r="AN141" i="27"/>
  <c r="BI141" i="27" s="1"/>
  <c r="AO141" i="27"/>
  <c r="BJ141" i="27" s="1"/>
  <c r="AP141" i="27"/>
  <c r="BK141" i="27" s="1"/>
  <c r="AQ141" i="27"/>
  <c r="BL141" i="27" s="1"/>
  <c r="AR141" i="27"/>
  <c r="BM141" i="27" s="1"/>
  <c r="Y142" i="27"/>
  <c r="AT142" i="27" s="1"/>
  <c r="AA142" i="27"/>
  <c r="AV142" i="27" s="1"/>
  <c r="AB142" i="27"/>
  <c r="AW142" i="27" s="1"/>
  <c r="AC142" i="27"/>
  <c r="AX142" i="27" s="1"/>
  <c r="AD142" i="27"/>
  <c r="AY142" i="27" s="1"/>
  <c r="AE142" i="27"/>
  <c r="AZ142" i="27" s="1"/>
  <c r="AF142" i="27"/>
  <c r="BA142" i="27" s="1"/>
  <c r="AG142" i="27"/>
  <c r="BB142" i="27" s="1"/>
  <c r="AH142" i="27"/>
  <c r="BC142" i="27" s="1"/>
  <c r="AI142" i="27"/>
  <c r="BD142" i="27" s="1"/>
  <c r="AJ142" i="27"/>
  <c r="BE142" i="27" s="1"/>
  <c r="AK142" i="27"/>
  <c r="BF142" i="27" s="1"/>
  <c r="AL142" i="27"/>
  <c r="BG142" i="27" s="1"/>
  <c r="AM142" i="27"/>
  <c r="BH142" i="27" s="1"/>
  <c r="AN142" i="27"/>
  <c r="BI142" i="27" s="1"/>
  <c r="AO142" i="27"/>
  <c r="BJ142" i="27" s="1"/>
  <c r="AP142" i="27"/>
  <c r="BK142" i="27" s="1"/>
  <c r="AQ142" i="27"/>
  <c r="BL142" i="27" s="1"/>
  <c r="AR142" i="27"/>
  <c r="BM142" i="27" s="1"/>
  <c r="Y143" i="27"/>
  <c r="AT143" i="27" s="1"/>
  <c r="AA143" i="27"/>
  <c r="AV143" i="27" s="1"/>
  <c r="AB143" i="27"/>
  <c r="AW143" i="27" s="1"/>
  <c r="AC143" i="27"/>
  <c r="AX143" i="27" s="1"/>
  <c r="AD143" i="27"/>
  <c r="AY143" i="27" s="1"/>
  <c r="AE143" i="27"/>
  <c r="AZ143" i="27" s="1"/>
  <c r="AF143" i="27"/>
  <c r="BA143" i="27" s="1"/>
  <c r="AG143" i="27"/>
  <c r="BB143" i="27" s="1"/>
  <c r="AH143" i="27"/>
  <c r="BC143" i="27" s="1"/>
  <c r="AI143" i="27"/>
  <c r="BD143" i="27" s="1"/>
  <c r="AJ143" i="27"/>
  <c r="BE143" i="27" s="1"/>
  <c r="AK143" i="27"/>
  <c r="BF143" i="27" s="1"/>
  <c r="AL143" i="27"/>
  <c r="BG143" i="27" s="1"/>
  <c r="AM143" i="27"/>
  <c r="BH143" i="27" s="1"/>
  <c r="AN143" i="27"/>
  <c r="BI143" i="27" s="1"/>
  <c r="AO143" i="27"/>
  <c r="BJ143" i="27" s="1"/>
  <c r="AP143" i="27"/>
  <c r="BK143" i="27" s="1"/>
  <c r="AQ143" i="27"/>
  <c r="BL143" i="27" s="1"/>
  <c r="AR143" i="27"/>
  <c r="BM143" i="27" s="1"/>
  <c r="Y144" i="27"/>
  <c r="AT144" i="27" s="1"/>
  <c r="AA144" i="27"/>
  <c r="AV144" i="27" s="1"/>
  <c r="AB144" i="27"/>
  <c r="AW144" i="27" s="1"/>
  <c r="AC144" i="27"/>
  <c r="AX144" i="27" s="1"/>
  <c r="AD144" i="27"/>
  <c r="AY144" i="27" s="1"/>
  <c r="AE144" i="27"/>
  <c r="AZ144" i="27" s="1"/>
  <c r="AF144" i="27"/>
  <c r="BA144" i="27" s="1"/>
  <c r="AG144" i="27"/>
  <c r="BB144" i="27" s="1"/>
  <c r="AH144" i="27"/>
  <c r="BC144" i="27" s="1"/>
  <c r="AI144" i="27"/>
  <c r="BD144" i="27" s="1"/>
  <c r="AJ144" i="27"/>
  <c r="BE144" i="27" s="1"/>
  <c r="AK144" i="27"/>
  <c r="BF144" i="27" s="1"/>
  <c r="AL144" i="27"/>
  <c r="BG144" i="27" s="1"/>
  <c r="AM144" i="27"/>
  <c r="BH144" i="27" s="1"/>
  <c r="AN144" i="27"/>
  <c r="BI144" i="27" s="1"/>
  <c r="AO144" i="27"/>
  <c r="BJ144" i="27" s="1"/>
  <c r="AP144" i="27"/>
  <c r="BK144" i="27" s="1"/>
  <c r="AQ144" i="27"/>
  <c r="BL144" i="27" s="1"/>
  <c r="AR144" i="27"/>
  <c r="BM144" i="27" s="1"/>
  <c r="Y145" i="27"/>
  <c r="AT145" i="27" s="1"/>
  <c r="AA145" i="27"/>
  <c r="AV145" i="27" s="1"/>
  <c r="AB145" i="27"/>
  <c r="AW145" i="27" s="1"/>
  <c r="AC145" i="27"/>
  <c r="AX145" i="27" s="1"/>
  <c r="AD145" i="27"/>
  <c r="AY145" i="27" s="1"/>
  <c r="AE145" i="27"/>
  <c r="AZ145" i="27" s="1"/>
  <c r="AF145" i="27"/>
  <c r="BA145" i="27" s="1"/>
  <c r="AG145" i="27"/>
  <c r="BB145" i="27" s="1"/>
  <c r="AH145" i="27"/>
  <c r="BC145" i="27" s="1"/>
  <c r="AI145" i="27"/>
  <c r="BD145" i="27" s="1"/>
  <c r="AJ145" i="27"/>
  <c r="BE145" i="27" s="1"/>
  <c r="AK145" i="27"/>
  <c r="BF145" i="27" s="1"/>
  <c r="AL145" i="27"/>
  <c r="BG145" i="27" s="1"/>
  <c r="AM145" i="27"/>
  <c r="BH145" i="27" s="1"/>
  <c r="AN145" i="27"/>
  <c r="BI145" i="27" s="1"/>
  <c r="AO145" i="27"/>
  <c r="BJ145" i="27" s="1"/>
  <c r="AP145" i="27"/>
  <c r="BK145" i="27" s="1"/>
  <c r="AQ145" i="27"/>
  <c r="BL145" i="27" s="1"/>
  <c r="AR145" i="27"/>
  <c r="BM145" i="27" s="1"/>
  <c r="Y146" i="27"/>
  <c r="AT146" i="27" s="1"/>
  <c r="AA146" i="27"/>
  <c r="AV146" i="27" s="1"/>
  <c r="AB146" i="27"/>
  <c r="AW146" i="27" s="1"/>
  <c r="AC146" i="27"/>
  <c r="AX146" i="27" s="1"/>
  <c r="AD146" i="27"/>
  <c r="AY146" i="27" s="1"/>
  <c r="AE146" i="27"/>
  <c r="AZ146" i="27" s="1"/>
  <c r="AF146" i="27"/>
  <c r="BA146" i="27" s="1"/>
  <c r="AG146" i="27"/>
  <c r="BB146" i="27" s="1"/>
  <c r="AH146" i="27"/>
  <c r="BC146" i="27" s="1"/>
  <c r="AI146" i="27"/>
  <c r="BD146" i="27" s="1"/>
  <c r="AJ146" i="27"/>
  <c r="BE146" i="27" s="1"/>
  <c r="AK146" i="27"/>
  <c r="BF146" i="27" s="1"/>
  <c r="AL146" i="27"/>
  <c r="BG146" i="27" s="1"/>
  <c r="AM146" i="27"/>
  <c r="BH146" i="27" s="1"/>
  <c r="AN146" i="27"/>
  <c r="BI146" i="27" s="1"/>
  <c r="AO146" i="27"/>
  <c r="BJ146" i="27" s="1"/>
  <c r="AP146" i="27"/>
  <c r="BK146" i="27" s="1"/>
  <c r="AQ146" i="27"/>
  <c r="BL146" i="27" s="1"/>
  <c r="AR146" i="27"/>
  <c r="BM146" i="27" s="1"/>
  <c r="Y147" i="27"/>
  <c r="AT147" i="27" s="1"/>
  <c r="AA147" i="27"/>
  <c r="AV147" i="27" s="1"/>
  <c r="AB147" i="27"/>
  <c r="AW147" i="27" s="1"/>
  <c r="AC147" i="27"/>
  <c r="AX147" i="27" s="1"/>
  <c r="AD147" i="27"/>
  <c r="AY147" i="27" s="1"/>
  <c r="AE147" i="27"/>
  <c r="AZ147" i="27" s="1"/>
  <c r="AF147" i="27"/>
  <c r="BA147" i="27" s="1"/>
  <c r="AG147" i="27"/>
  <c r="BB147" i="27" s="1"/>
  <c r="AH147" i="27"/>
  <c r="BC147" i="27" s="1"/>
  <c r="AI147" i="27"/>
  <c r="BD147" i="27" s="1"/>
  <c r="AJ147" i="27"/>
  <c r="BE147" i="27" s="1"/>
  <c r="AK147" i="27"/>
  <c r="BF147" i="27" s="1"/>
  <c r="AL147" i="27"/>
  <c r="BG147" i="27" s="1"/>
  <c r="AM147" i="27"/>
  <c r="BH147" i="27" s="1"/>
  <c r="AN147" i="27"/>
  <c r="BI147" i="27" s="1"/>
  <c r="AO147" i="27"/>
  <c r="BJ147" i="27" s="1"/>
  <c r="AP147" i="27"/>
  <c r="BK147" i="27" s="1"/>
  <c r="AQ147" i="27"/>
  <c r="BL147" i="27" s="1"/>
  <c r="AR147" i="27"/>
  <c r="BM147" i="27" s="1"/>
  <c r="Y148" i="27"/>
  <c r="AT148" i="27" s="1"/>
  <c r="AA148" i="27"/>
  <c r="AV148" i="27" s="1"/>
  <c r="AB148" i="27"/>
  <c r="AW148" i="27" s="1"/>
  <c r="AC148" i="27"/>
  <c r="AX148" i="27" s="1"/>
  <c r="AD148" i="27"/>
  <c r="AY148" i="27" s="1"/>
  <c r="AE148" i="27"/>
  <c r="AZ148" i="27" s="1"/>
  <c r="AF148" i="27"/>
  <c r="BA148" i="27" s="1"/>
  <c r="AG148" i="27"/>
  <c r="BB148" i="27" s="1"/>
  <c r="AH148" i="27"/>
  <c r="BC148" i="27" s="1"/>
  <c r="AI148" i="27"/>
  <c r="BD148" i="27" s="1"/>
  <c r="AJ148" i="27"/>
  <c r="BE148" i="27" s="1"/>
  <c r="AK148" i="27"/>
  <c r="BF148" i="27" s="1"/>
  <c r="AL148" i="27"/>
  <c r="BG148" i="27" s="1"/>
  <c r="AM148" i="27"/>
  <c r="BH148" i="27" s="1"/>
  <c r="AN148" i="27"/>
  <c r="BI148" i="27" s="1"/>
  <c r="AO148" i="27"/>
  <c r="BJ148" i="27" s="1"/>
  <c r="AP148" i="27"/>
  <c r="BK148" i="27" s="1"/>
  <c r="AQ148" i="27"/>
  <c r="BL148" i="27" s="1"/>
  <c r="AR148" i="27"/>
  <c r="BM148" i="27" s="1"/>
  <c r="Y149" i="27"/>
  <c r="AT149" i="27" s="1"/>
  <c r="AA149" i="27"/>
  <c r="AV149" i="27" s="1"/>
  <c r="AB149" i="27"/>
  <c r="AW149" i="27" s="1"/>
  <c r="AC149" i="27"/>
  <c r="AX149" i="27" s="1"/>
  <c r="AD149" i="27"/>
  <c r="AY149" i="27" s="1"/>
  <c r="AE149" i="27"/>
  <c r="AZ149" i="27" s="1"/>
  <c r="AF149" i="27"/>
  <c r="BA149" i="27" s="1"/>
  <c r="AG149" i="27"/>
  <c r="BB149" i="27" s="1"/>
  <c r="AH149" i="27"/>
  <c r="BC149" i="27" s="1"/>
  <c r="AI149" i="27"/>
  <c r="BD149" i="27" s="1"/>
  <c r="AJ149" i="27"/>
  <c r="BE149" i="27" s="1"/>
  <c r="AK149" i="27"/>
  <c r="BF149" i="27" s="1"/>
  <c r="AL149" i="27"/>
  <c r="BG149" i="27" s="1"/>
  <c r="AM149" i="27"/>
  <c r="BH149" i="27" s="1"/>
  <c r="AN149" i="27"/>
  <c r="BI149" i="27" s="1"/>
  <c r="AO149" i="27"/>
  <c r="BJ149" i="27" s="1"/>
  <c r="AP149" i="27"/>
  <c r="BK149" i="27" s="1"/>
  <c r="AQ149" i="27"/>
  <c r="BL149" i="27" s="1"/>
  <c r="AR149" i="27"/>
  <c r="BM149" i="27" s="1"/>
  <c r="Y150" i="27"/>
  <c r="AT150" i="27" s="1"/>
  <c r="AA150" i="27"/>
  <c r="AV150" i="27" s="1"/>
  <c r="AB150" i="27"/>
  <c r="AW150" i="27" s="1"/>
  <c r="AC150" i="27"/>
  <c r="AX150" i="27" s="1"/>
  <c r="AD150" i="27"/>
  <c r="AY150" i="27" s="1"/>
  <c r="AE150" i="27"/>
  <c r="AZ150" i="27" s="1"/>
  <c r="AF150" i="27"/>
  <c r="BA150" i="27" s="1"/>
  <c r="AG150" i="27"/>
  <c r="BB150" i="27" s="1"/>
  <c r="AH150" i="27"/>
  <c r="BC150" i="27" s="1"/>
  <c r="AI150" i="27"/>
  <c r="BD150" i="27" s="1"/>
  <c r="AJ150" i="27"/>
  <c r="BE150" i="27" s="1"/>
  <c r="AK150" i="27"/>
  <c r="BF150" i="27" s="1"/>
  <c r="AL150" i="27"/>
  <c r="BG150" i="27" s="1"/>
  <c r="AM150" i="27"/>
  <c r="BH150" i="27" s="1"/>
  <c r="AN150" i="27"/>
  <c r="BI150" i="27" s="1"/>
  <c r="AO150" i="27"/>
  <c r="BJ150" i="27" s="1"/>
  <c r="AP150" i="27"/>
  <c r="BK150" i="27" s="1"/>
  <c r="AQ150" i="27"/>
  <c r="BL150" i="27" s="1"/>
  <c r="AR150" i="27"/>
  <c r="BM150" i="27" s="1"/>
  <c r="Y151" i="27"/>
  <c r="AT151" i="27" s="1"/>
  <c r="AA151" i="27"/>
  <c r="AV151" i="27" s="1"/>
  <c r="AB151" i="27"/>
  <c r="AW151" i="27" s="1"/>
  <c r="AC151" i="27"/>
  <c r="AX151" i="27" s="1"/>
  <c r="AD151" i="27"/>
  <c r="AY151" i="27" s="1"/>
  <c r="AE151" i="27"/>
  <c r="AZ151" i="27" s="1"/>
  <c r="AF151" i="27"/>
  <c r="BA151" i="27" s="1"/>
  <c r="AG151" i="27"/>
  <c r="BB151" i="27" s="1"/>
  <c r="AH151" i="27"/>
  <c r="BC151" i="27" s="1"/>
  <c r="AI151" i="27"/>
  <c r="BD151" i="27" s="1"/>
  <c r="AJ151" i="27"/>
  <c r="BE151" i="27" s="1"/>
  <c r="AK151" i="27"/>
  <c r="BF151" i="27" s="1"/>
  <c r="AL151" i="27"/>
  <c r="BG151" i="27" s="1"/>
  <c r="AM151" i="27"/>
  <c r="BH151" i="27" s="1"/>
  <c r="AN151" i="27"/>
  <c r="BI151" i="27" s="1"/>
  <c r="AO151" i="27"/>
  <c r="BJ151" i="27" s="1"/>
  <c r="AP151" i="27"/>
  <c r="BK151" i="27" s="1"/>
  <c r="AQ151" i="27"/>
  <c r="BL151" i="27" s="1"/>
  <c r="AR151" i="27"/>
  <c r="BM151" i="27" s="1"/>
  <c r="Y152" i="27"/>
  <c r="AT152" i="27" s="1"/>
  <c r="AA152" i="27"/>
  <c r="AV152" i="27" s="1"/>
  <c r="AB152" i="27"/>
  <c r="AW152" i="27" s="1"/>
  <c r="AC152" i="27"/>
  <c r="AX152" i="27" s="1"/>
  <c r="AD152" i="27"/>
  <c r="AY152" i="27" s="1"/>
  <c r="AE152" i="27"/>
  <c r="AZ152" i="27" s="1"/>
  <c r="AF152" i="27"/>
  <c r="BA152" i="27" s="1"/>
  <c r="AG152" i="27"/>
  <c r="BB152" i="27" s="1"/>
  <c r="AH152" i="27"/>
  <c r="BC152" i="27" s="1"/>
  <c r="AI152" i="27"/>
  <c r="BD152" i="27" s="1"/>
  <c r="AJ152" i="27"/>
  <c r="BE152" i="27" s="1"/>
  <c r="AK152" i="27"/>
  <c r="BF152" i="27" s="1"/>
  <c r="AL152" i="27"/>
  <c r="BG152" i="27" s="1"/>
  <c r="AM152" i="27"/>
  <c r="BH152" i="27" s="1"/>
  <c r="AN152" i="27"/>
  <c r="BI152" i="27" s="1"/>
  <c r="AO152" i="27"/>
  <c r="BJ152" i="27" s="1"/>
  <c r="AP152" i="27"/>
  <c r="BK152" i="27" s="1"/>
  <c r="AQ152" i="27"/>
  <c r="BL152" i="27" s="1"/>
  <c r="AR152" i="27"/>
  <c r="BM152" i="27" s="1"/>
  <c r="Y153" i="27"/>
  <c r="AT153" i="27" s="1"/>
  <c r="AA153" i="27"/>
  <c r="AV153" i="27" s="1"/>
  <c r="AB153" i="27"/>
  <c r="AW153" i="27" s="1"/>
  <c r="AC153" i="27"/>
  <c r="AX153" i="27" s="1"/>
  <c r="AD153" i="27"/>
  <c r="AY153" i="27" s="1"/>
  <c r="AE153" i="27"/>
  <c r="AZ153" i="27" s="1"/>
  <c r="AF153" i="27"/>
  <c r="BA153" i="27" s="1"/>
  <c r="AG153" i="27"/>
  <c r="BB153" i="27" s="1"/>
  <c r="AH153" i="27"/>
  <c r="BC153" i="27" s="1"/>
  <c r="AI153" i="27"/>
  <c r="BD153" i="27" s="1"/>
  <c r="AJ153" i="27"/>
  <c r="BE153" i="27" s="1"/>
  <c r="AK153" i="27"/>
  <c r="BF153" i="27" s="1"/>
  <c r="AL153" i="27"/>
  <c r="BG153" i="27" s="1"/>
  <c r="AM153" i="27"/>
  <c r="BH153" i="27" s="1"/>
  <c r="AN153" i="27"/>
  <c r="BI153" i="27" s="1"/>
  <c r="AO153" i="27"/>
  <c r="BJ153" i="27" s="1"/>
  <c r="AP153" i="27"/>
  <c r="BK153" i="27" s="1"/>
  <c r="AQ153" i="27"/>
  <c r="BL153" i="27" s="1"/>
  <c r="AR153" i="27"/>
  <c r="BM153" i="27" s="1"/>
  <c r="Y154" i="27"/>
  <c r="AT154" i="27" s="1"/>
  <c r="AA154" i="27"/>
  <c r="AV154" i="27" s="1"/>
  <c r="AB154" i="27"/>
  <c r="AW154" i="27" s="1"/>
  <c r="AC154" i="27"/>
  <c r="AX154" i="27" s="1"/>
  <c r="AD154" i="27"/>
  <c r="AY154" i="27" s="1"/>
  <c r="AE154" i="27"/>
  <c r="AZ154" i="27" s="1"/>
  <c r="AF154" i="27"/>
  <c r="BA154" i="27" s="1"/>
  <c r="AG154" i="27"/>
  <c r="BB154" i="27" s="1"/>
  <c r="AH154" i="27"/>
  <c r="BC154" i="27" s="1"/>
  <c r="AI154" i="27"/>
  <c r="BD154" i="27" s="1"/>
  <c r="AJ154" i="27"/>
  <c r="BE154" i="27" s="1"/>
  <c r="AK154" i="27"/>
  <c r="BF154" i="27" s="1"/>
  <c r="AL154" i="27"/>
  <c r="BG154" i="27" s="1"/>
  <c r="AM154" i="27"/>
  <c r="BH154" i="27" s="1"/>
  <c r="AN154" i="27"/>
  <c r="BI154" i="27" s="1"/>
  <c r="AO154" i="27"/>
  <c r="BJ154" i="27" s="1"/>
  <c r="AP154" i="27"/>
  <c r="BK154" i="27" s="1"/>
  <c r="AQ154" i="27"/>
  <c r="BL154" i="27" s="1"/>
  <c r="AR154" i="27"/>
  <c r="BM154" i="27" s="1"/>
  <c r="Y155" i="27"/>
  <c r="AT155" i="27" s="1"/>
  <c r="AA155" i="27"/>
  <c r="AV155" i="27" s="1"/>
  <c r="AB155" i="27"/>
  <c r="AW155" i="27" s="1"/>
  <c r="AC155" i="27"/>
  <c r="AX155" i="27" s="1"/>
  <c r="AD155" i="27"/>
  <c r="AY155" i="27" s="1"/>
  <c r="AE155" i="27"/>
  <c r="AZ155" i="27" s="1"/>
  <c r="AF155" i="27"/>
  <c r="BA155" i="27" s="1"/>
  <c r="AG155" i="27"/>
  <c r="BB155" i="27" s="1"/>
  <c r="AH155" i="27"/>
  <c r="BC155" i="27" s="1"/>
  <c r="AI155" i="27"/>
  <c r="BD155" i="27" s="1"/>
  <c r="AJ155" i="27"/>
  <c r="BE155" i="27" s="1"/>
  <c r="AK155" i="27"/>
  <c r="BF155" i="27" s="1"/>
  <c r="AL155" i="27"/>
  <c r="BG155" i="27" s="1"/>
  <c r="AM155" i="27"/>
  <c r="BH155" i="27" s="1"/>
  <c r="AN155" i="27"/>
  <c r="BI155" i="27" s="1"/>
  <c r="AO155" i="27"/>
  <c r="BJ155" i="27" s="1"/>
  <c r="AP155" i="27"/>
  <c r="BK155" i="27" s="1"/>
  <c r="AQ155" i="27"/>
  <c r="BL155" i="27" s="1"/>
  <c r="AR155" i="27"/>
  <c r="BM155" i="27" s="1"/>
  <c r="Y156" i="27"/>
  <c r="AT156" i="27" s="1"/>
  <c r="AA156" i="27"/>
  <c r="AV156" i="27" s="1"/>
  <c r="AB156" i="27"/>
  <c r="AW156" i="27" s="1"/>
  <c r="AC156" i="27"/>
  <c r="AX156" i="27" s="1"/>
  <c r="AD156" i="27"/>
  <c r="AY156" i="27" s="1"/>
  <c r="AE156" i="27"/>
  <c r="AZ156" i="27" s="1"/>
  <c r="AF156" i="27"/>
  <c r="BA156" i="27" s="1"/>
  <c r="AG156" i="27"/>
  <c r="BB156" i="27" s="1"/>
  <c r="AH156" i="27"/>
  <c r="BC156" i="27" s="1"/>
  <c r="AI156" i="27"/>
  <c r="BD156" i="27" s="1"/>
  <c r="AJ156" i="27"/>
  <c r="BE156" i="27" s="1"/>
  <c r="AK156" i="27"/>
  <c r="BF156" i="27" s="1"/>
  <c r="AL156" i="27"/>
  <c r="BG156" i="27" s="1"/>
  <c r="AM156" i="27"/>
  <c r="BH156" i="27" s="1"/>
  <c r="AN156" i="27"/>
  <c r="BI156" i="27" s="1"/>
  <c r="AO156" i="27"/>
  <c r="BJ156" i="27" s="1"/>
  <c r="AP156" i="27"/>
  <c r="BK156" i="27" s="1"/>
  <c r="AQ156" i="27"/>
  <c r="BL156" i="27" s="1"/>
  <c r="AR156" i="27"/>
  <c r="BM156" i="27" s="1"/>
  <c r="Y157" i="27"/>
  <c r="AT157" i="27" s="1"/>
  <c r="AA157" i="27"/>
  <c r="AV157" i="27" s="1"/>
  <c r="AB157" i="27"/>
  <c r="AW157" i="27" s="1"/>
  <c r="AC157" i="27"/>
  <c r="AX157" i="27" s="1"/>
  <c r="AD157" i="27"/>
  <c r="AY157" i="27" s="1"/>
  <c r="AE157" i="27"/>
  <c r="AZ157" i="27" s="1"/>
  <c r="AF157" i="27"/>
  <c r="BA157" i="27" s="1"/>
  <c r="AG157" i="27"/>
  <c r="BB157" i="27" s="1"/>
  <c r="AH157" i="27"/>
  <c r="BC157" i="27" s="1"/>
  <c r="AI157" i="27"/>
  <c r="BD157" i="27" s="1"/>
  <c r="AJ157" i="27"/>
  <c r="BE157" i="27" s="1"/>
  <c r="AK157" i="27"/>
  <c r="BF157" i="27" s="1"/>
  <c r="AL157" i="27"/>
  <c r="BG157" i="27" s="1"/>
  <c r="AM157" i="27"/>
  <c r="BH157" i="27" s="1"/>
  <c r="AN157" i="27"/>
  <c r="BI157" i="27" s="1"/>
  <c r="AO157" i="27"/>
  <c r="BJ157" i="27" s="1"/>
  <c r="AP157" i="27"/>
  <c r="BK157" i="27" s="1"/>
  <c r="AQ157" i="27"/>
  <c r="BL157" i="27" s="1"/>
  <c r="AR157" i="27"/>
  <c r="BM157" i="27" s="1"/>
  <c r="Y158" i="27"/>
  <c r="AT158" i="27" s="1"/>
  <c r="AA158" i="27"/>
  <c r="AV158" i="27" s="1"/>
  <c r="AB158" i="27"/>
  <c r="AW158" i="27" s="1"/>
  <c r="AC158" i="27"/>
  <c r="AX158" i="27" s="1"/>
  <c r="AD158" i="27"/>
  <c r="AY158" i="27" s="1"/>
  <c r="AE158" i="27"/>
  <c r="AZ158" i="27" s="1"/>
  <c r="AF158" i="27"/>
  <c r="BA158" i="27" s="1"/>
  <c r="AG158" i="27"/>
  <c r="BB158" i="27" s="1"/>
  <c r="AH158" i="27"/>
  <c r="BC158" i="27" s="1"/>
  <c r="AI158" i="27"/>
  <c r="BD158" i="27" s="1"/>
  <c r="AJ158" i="27"/>
  <c r="BE158" i="27" s="1"/>
  <c r="AK158" i="27"/>
  <c r="BF158" i="27" s="1"/>
  <c r="AL158" i="27"/>
  <c r="BG158" i="27" s="1"/>
  <c r="AM158" i="27"/>
  <c r="BH158" i="27" s="1"/>
  <c r="AN158" i="27"/>
  <c r="BI158" i="27" s="1"/>
  <c r="AO158" i="27"/>
  <c r="BJ158" i="27" s="1"/>
  <c r="AP158" i="27"/>
  <c r="BK158" i="27" s="1"/>
  <c r="AQ158" i="27"/>
  <c r="BL158" i="27" s="1"/>
  <c r="AR158" i="27"/>
  <c r="BM158" i="27" s="1"/>
  <c r="Y159" i="27"/>
  <c r="AT159" i="27" s="1"/>
  <c r="AA159" i="27"/>
  <c r="AV159" i="27" s="1"/>
  <c r="AB159" i="27"/>
  <c r="AW159" i="27" s="1"/>
  <c r="AC159" i="27"/>
  <c r="AX159" i="27" s="1"/>
  <c r="AD159" i="27"/>
  <c r="AY159" i="27" s="1"/>
  <c r="AE159" i="27"/>
  <c r="AZ159" i="27" s="1"/>
  <c r="AF159" i="27"/>
  <c r="BA159" i="27" s="1"/>
  <c r="AG159" i="27"/>
  <c r="BB159" i="27" s="1"/>
  <c r="AH159" i="27"/>
  <c r="BC159" i="27" s="1"/>
  <c r="AI159" i="27"/>
  <c r="BD159" i="27" s="1"/>
  <c r="AJ159" i="27"/>
  <c r="BE159" i="27" s="1"/>
  <c r="AK159" i="27"/>
  <c r="BF159" i="27" s="1"/>
  <c r="AL159" i="27"/>
  <c r="BG159" i="27" s="1"/>
  <c r="AM159" i="27"/>
  <c r="BH159" i="27" s="1"/>
  <c r="AN159" i="27"/>
  <c r="BI159" i="27" s="1"/>
  <c r="AO159" i="27"/>
  <c r="BJ159" i="27" s="1"/>
  <c r="AP159" i="27"/>
  <c r="BK159" i="27" s="1"/>
  <c r="AQ159" i="27"/>
  <c r="BL159" i="27" s="1"/>
  <c r="AR159" i="27"/>
  <c r="BM159" i="27" s="1"/>
  <c r="Y160" i="27"/>
  <c r="AT160" i="27" s="1"/>
  <c r="AA160" i="27"/>
  <c r="AV160" i="27" s="1"/>
  <c r="AB160" i="27"/>
  <c r="AW160" i="27" s="1"/>
  <c r="AC160" i="27"/>
  <c r="AX160" i="27" s="1"/>
  <c r="AD160" i="27"/>
  <c r="AY160" i="27" s="1"/>
  <c r="AE160" i="27"/>
  <c r="AZ160" i="27" s="1"/>
  <c r="AF160" i="27"/>
  <c r="BA160" i="27" s="1"/>
  <c r="AG160" i="27"/>
  <c r="BB160" i="27" s="1"/>
  <c r="AH160" i="27"/>
  <c r="BC160" i="27" s="1"/>
  <c r="AI160" i="27"/>
  <c r="BD160" i="27" s="1"/>
  <c r="AJ160" i="27"/>
  <c r="BE160" i="27" s="1"/>
  <c r="AK160" i="27"/>
  <c r="BF160" i="27" s="1"/>
  <c r="AL160" i="27"/>
  <c r="BG160" i="27" s="1"/>
  <c r="AM160" i="27"/>
  <c r="BH160" i="27" s="1"/>
  <c r="AN160" i="27"/>
  <c r="BI160" i="27" s="1"/>
  <c r="AO160" i="27"/>
  <c r="BJ160" i="27" s="1"/>
  <c r="AP160" i="27"/>
  <c r="BK160" i="27" s="1"/>
  <c r="AQ160" i="27"/>
  <c r="BL160" i="27" s="1"/>
  <c r="AR160" i="27"/>
  <c r="BM160" i="27" s="1"/>
  <c r="Y161" i="27"/>
  <c r="AT161" i="27" s="1"/>
  <c r="AA161" i="27"/>
  <c r="AV161" i="27" s="1"/>
  <c r="AB161" i="27"/>
  <c r="AW161" i="27" s="1"/>
  <c r="AC161" i="27"/>
  <c r="AX161" i="27" s="1"/>
  <c r="AD161" i="27"/>
  <c r="AY161" i="27" s="1"/>
  <c r="AE161" i="27"/>
  <c r="AZ161" i="27" s="1"/>
  <c r="AF161" i="27"/>
  <c r="BA161" i="27" s="1"/>
  <c r="AG161" i="27"/>
  <c r="BB161" i="27" s="1"/>
  <c r="AH161" i="27"/>
  <c r="BC161" i="27" s="1"/>
  <c r="AI161" i="27"/>
  <c r="BD161" i="27" s="1"/>
  <c r="AJ161" i="27"/>
  <c r="BE161" i="27" s="1"/>
  <c r="AK161" i="27"/>
  <c r="BF161" i="27" s="1"/>
  <c r="AL161" i="27"/>
  <c r="BG161" i="27" s="1"/>
  <c r="AM161" i="27"/>
  <c r="BH161" i="27" s="1"/>
  <c r="AN161" i="27"/>
  <c r="BI161" i="27" s="1"/>
  <c r="AO161" i="27"/>
  <c r="BJ161" i="27" s="1"/>
  <c r="AP161" i="27"/>
  <c r="BK161" i="27" s="1"/>
  <c r="AQ161" i="27"/>
  <c r="BL161" i="27" s="1"/>
  <c r="AR161" i="27"/>
  <c r="BM161" i="27" s="1"/>
  <c r="Y162" i="27"/>
  <c r="AT162" i="27" s="1"/>
  <c r="AA162" i="27"/>
  <c r="AV162" i="27" s="1"/>
  <c r="AB162" i="27"/>
  <c r="AW162" i="27" s="1"/>
  <c r="AC162" i="27"/>
  <c r="AX162" i="27" s="1"/>
  <c r="AD162" i="27"/>
  <c r="AY162" i="27" s="1"/>
  <c r="AE162" i="27"/>
  <c r="AZ162" i="27" s="1"/>
  <c r="AF162" i="27"/>
  <c r="BA162" i="27" s="1"/>
  <c r="AG162" i="27"/>
  <c r="BB162" i="27" s="1"/>
  <c r="AH162" i="27"/>
  <c r="BC162" i="27" s="1"/>
  <c r="AI162" i="27"/>
  <c r="BD162" i="27" s="1"/>
  <c r="AJ162" i="27"/>
  <c r="BE162" i="27" s="1"/>
  <c r="AK162" i="27"/>
  <c r="BF162" i="27" s="1"/>
  <c r="AL162" i="27"/>
  <c r="BG162" i="27" s="1"/>
  <c r="AM162" i="27"/>
  <c r="BH162" i="27" s="1"/>
  <c r="AN162" i="27"/>
  <c r="BI162" i="27" s="1"/>
  <c r="AO162" i="27"/>
  <c r="BJ162" i="27" s="1"/>
  <c r="AP162" i="27"/>
  <c r="BK162" i="27" s="1"/>
  <c r="AQ162" i="27"/>
  <c r="BL162" i="27" s="1"/>
  <c r="AR162" i="27"/>
  <c r="BM162" i="27" s="1"/>
  <c r="Y163" i="27"/>
  <c r="AT163" i="27" s="1"/>
  <c r="AA163" i="27"/>
  <c r="AV163" i="27" s="1"/>
  <c r="AB163" i="27"/>
  <c r="AW163" i="27" s="1"/>
  <c r="AC163" i="27"/>
  <c r="AX163" i="27" s="1"/>
  <c r="AD163" i="27"/>
  <c r="AY163" i="27" s="1"/>
  <c r="AE163" i="27"/>
  <c r="AZ163" i="27" s="1"/>
  <c r="AF163" i="27"/>
  <c r="BA163" i="27" s="1"/>
  <c r="AG163" i="27"/>
  <c r="BB163" i="27" s="1"/>
  <c r="AH163" i="27"/>
  <c r="BC163" i="27" s="1"/>
  <c r="AI163" i="27"/>
  <c r="BD163" i="27" s="1"/>
  <c r="AJ163" i="27"/>
  <c r="BE163" i="27" s="1"/>
  <c r="AK163" i="27"/>
  <c r="BF163" i="27" s="1"/>
  <c r="AL163" i="27"/>
  <c r="BG163" i="27" s="1"/>
  <c r="AM163" i="27"/>
  <c r="BH163" i="27" s="1"/>
  <c r="AN163" i="27"/>
  <c r="BI163" i="27" s="1"/>
  <c r="AO163" i="27"/>
  <c r="BJ163" i="27" s="1"/>
  <c r="AP163" i="27"/>
  <c r="BK163" i="27" s="1"/>
  <c r="AQ163" i="27"/>
  <c r="BL163" i="27" s="1"/>
  <c r="AR163" i="27"/>
  <c r="BM163" i="27" s="1"/>
  <c r="Y164" i="27"/>
  <c r="AT164" i="27" s="1"/>
  <c r="AA164" i="27"/>
  <c r="AV164" i="27" s="1"/>
  <c r="AB164" i="27"/>
  <c r="AW164" i="27" s="1"/>
  <c r="AC164" i="27"/>
  <c r="AX164" i="27" s="1"/>
  <c r="AD164" i="27"/>
  <c r="AY164" i="27" s="1"/>
  <c r="AE164" i="27"/>
  <c r="AZ164" i="27" s="1"/>
  <c r="AF164" i="27"/>
  <c r="BA164" i="27" s="1"/>
  <c r="AG164" i="27"/>
  <c r="BB164" i="27" s="1"/>
  <c r="AH164" i="27"/>
  <c r="BC164" i="27" s="1"/>
  <c r="AI164" i="27"/>
  <c r="BD164" i="27" s="1"/>
  <c r="AJ164" i="27"/>
  <c r="BE164" i="27" s="1"/>
  <c r="AK164" i="27"/>
  <c r="BF164" i="27" s="1"/>
  <c r="AL164" i="27"/>
  <c r="BG164" i="27" s="1"/>
  <c r="AM164" i="27"/>
  <c r="BH164" i="27" s="1"/>
  <c r="AN164" i="27"/>
  <c r="BI164" i="27" s="1"/>
  <c r="AO164" i="27"/>
  <c r="BJ164" i="27" s="1"/>
  <c r="AP164" i="27"/>
  <c r="BK164" i="27" s="1"/>
  <c r="AQ164" i="27"/>
  <c r="BL164" i="27" s="1"/>
  <c r="AR164" i="27"/>
  <c r="BM164" i="27" s="1"/>
  <c r="Y165" i="27"/>
  <c r="AT165" i="27" s="1"/>
  <c r="AA165" i="27"/>
  <c r="AV165" i="27" s="1"/>
  <c r="AB165" i="27"/>
  <c r="AW165" i="27" s="1"/>
  <c r="AC165" i="27"/>
  <c r="AX165" i="27" s="1"/>
  <c r="AD165" i="27"/>
  <c r="AY165" i="27" s="1"/>
  <c r="AE165" i="27"/>
  <c r="AZ165" i="27" s="1"/>
  <c r="AF165" i="27"/>
  <c r="BA165" i="27" s="1"/>
  <c r="AG165" i="27"/>
  <c r="BB165" i="27" s="1"/>
  <c r="AH165" i="27"/>
  <c r="BC165" i="27" s="1"/>
  <c r="AI165" i="27"/>
  <c r="BD165" i="27" s="1"/>
  <c r="AJ165" i="27"/>
  <c r="BE165" i="27" s="1"/>
  <c r="AK165" i="27"/>
  <c r="BF165" i="27" s="1"/>
  <c r="AL165" i="27"/>
  <c r="BG165" i="27" s="1"/>
  <c r="AM165" i="27"/>
  <c r="BH165" i="27" s="1"/>
  <c r="AN165" i="27"/>
  <c r="BI165" i="27" s="1"/>
  <c r="AO165" i="27"/>
  <c r="BJ165" i="27" s="1"/>
  <c r="AP165" i="27"/>
  <c r="BK165" i="27" s="1"/>
  <c r="AQ165" i="27"/>
  <c r="BL165" i="27" s="1"/>
  <c r="AR165" i="27"/>
  <c r="BM165" i="27" s="1"/>
  <c r="Y166" i="27"/>
  <c r="AT166" i="27" s="1"/>
  <c r="AA166" i="27"/>
  <c r="AV166" i="27" s="1"/>
  <c r="AB166" i="27"/>
  <c r="AW166" i="27" s="1"/>
  <c r="AC166" i="27"/>
  <c r="AX166" i="27" s="1"/>
  <c r="AD166" i="27"/>
  <c r="AY166" i="27" s="1"/>
  <c r="AE166" i="27"/>
  <c r="AZ166" i="27" s="1"/>
  <c r="AF166" i="27"/>
  <c r="BA166" i="27" s="1"/>
  <c r="AG166" i="27"/>
  <c r="BB166" i="27" s="1"/>
  <c r="AH166" i="27"/>
  <c r="BC166" i="27" s="1"/>
  <c r="AI166" i="27"/>
  <c r="BD166" i="27" s="1"/>
  <c r="AJ166" i="27"/>
  <c r="BE166" i="27" s="1"/>
  <c r="AK166" i="27"/>
  <c r="BF166" i="27" s="1"/>
  <c r="AL166" i="27"/>
  <c r="BG166" i="27" s="1"/>
  <c r="AM166" i="27"/>
  <c r="BH166" i="27" s="1"/>
  <c r="AN166" i="27"/>
  <c r="BI166" i="27" s="1"/>
  <c r="AO166" i="27"/>
  <c r="BJ166" i="27" s="1"/>
  <c r="AP166" i="27"/>
  <c r="BK166" i="27" s="1"/>
  <c r="AQ166" i="27"/>
  <c r="BL166" i="27" s="1"/>
  <c r="AR166" i="27"/>
  <c r="BM166" i="27" s="1"/>
  <c r="Y167" i="27"/>
  <c r="AT167" i="27" s="1"/>
  <c r="AA167" i="27"/>
  <c r="AV167" i="27" s="1"/>
  <c r="AB167" i="27"/>
  <c r="AW167" i="27" s="1"/>
  <c r="AC167" i="27"/>
  <c r="AX167" i="27" s="1"/>
  <c r="AD167" i="27"/>
  <c r="AY167" i="27" s="1"/>
  <c r="AE167" i="27"/>
  <c r="AZ167" i="27" s="1"/>
  <c r="AF167" i="27"/>
  <c r="BA167" i="27" s="1"/>
  <c r="AG167" i="27"/>
  <c r="BB167" i="27" s="1"/>
  <c r="AH167" i="27"/>
  <c r="BC167" i="27" s="1"/>
  <c r="AI167" i="27"/>
  <c r="BD167" i="27" s="1"/>
  <c r="AJ167" i="27"/>
  <c r="BE167" i="27" s="1"/>
  <c r="AK167" i="27"/>
  <c r="BF167" i="27" s="1"/>
  <c r="AL167" i="27"/>
  <c r="BG167" i="27" s="1"/>
  <c r="AM167" i="27"/>
  <c r="BH167" i="27" s="1"/>
  <c r="AN167" i="27"/>
  <c r="BI167" i="27" s="1"/>
  <c r="AO167" i="27"/>
  <c r="BJ167" i="27" s="1"/>
  <c r="AP167" i="27"/>
  <c r="BK167" i="27" s="1"/>
  <c r="AQ167" i="27"/>
  <c r="BL167" i="27" s="1"/>
  <c r="AR167" i="27"/>
  <c r="BM167" i="27" s="1"/>
  <c r="Y168" i="27"/>
  <c r="AT168" i="27" s="1"/>
  <c r="AA168" i="27"/>
  <c r="AV168" i="27" s="1"/>
  <c r="AB168" i="27"/>
  <c r="AW168" i="27" s="1"/>
  <c r="AC168" i="27"/>
  <c r="AX168" i="27" s="1"/>
  <c r="AD168" i="27"/>
  <c r="AY168" i="27" s="1"/>
  <c r="AE168" i="27"/>
  <c r="AZ168" i="27" s="1"/>
  <c r="AF168" i="27"/>
  <c r="BA168" i="27" s="1"/>
  <c r="AG168" i="27"/>
  <c r="BB168" i="27" s="1"/>
  <c r="AH168" i="27"/>
  <c r="BC168" i="27" s="1"/>
  <c r="AI168" i="27"/>
  <c r="BD168" i="27" s="1"/>
  <c r="AJ168" i="27"/>
  <c r="BE168" i="27" s="1"/>
  <c r="AK168" i="27"/>
  <c r="BF168" i="27" s="1"/>
  <c r="AL168" i="27"/>
  <c r="BG168" i="27" s="1"/>
  <c r="AM168" i="27"/>
  <c r="BH168" i="27" s="1"/>
  <c r="AN168" i="27"/>
  <c r="BI168" i="27" s="1"/>
  <c r="AO168" i="27"/>
  <c r="BJ168" i="27" s="1"/>
  <c r="AP168" i="27"/>
  <c r="BK168" i="27" s="1"/>
  <c r="AQ168" i="27"/>
  <c r="BL168" i="27" s="1"/>
  <c r="AR168" i="27"/>
  <c r="BM168" i="27" s="1"/>
  <c r="Y169" i="27"/>
  <c r="AT169" i="27" s="1"/>
  <c r="AA169" i="27"/>
  <c r="AV169" i="27" s="1"/>
  <c r="AB169" i="27"/>
  <c r="AW169" i="27" s="1"/>
  <c r="AC169" i="27"/>
  <c r="AX169" i="27" s="1"/>
  <c r="AD169" i="27"/>
  <c r="AY169" i="27" s="1"/>
  <c r="AE169" i="27"/>
  <c r="AZ169" i="27" s="1"/>
  <c r="AF169" i="27"/>
  <c r="BA169" i="27" s="1"/>
  <c r="AG169" i="27"/>
  <c r="BB169" i="27" s="1"/>
  <c r="AH169" i="27"/>
  <c r="BC169" i="27" s="1"/>
  <c r="AI169" i="27"/>
  <c r="BD169" i="27" s="1"/>
  <c r="AJ169" i="27"/>
  <c r="BE169" i="27" s="1"/>
  <c r="AK169" i="27"/>
  <c r="BF169" i="27" s="1"/>
  <c r="AL169" i="27"/>
  <c r="BG169" i="27" s="1"/>
  <c r="AM169" i="27"/>
  <c r="BH169" i="27" s="1"/>
  <c r="AN169" i="27"/>
  <c r="BI169" i="27" s="1"/>
  <c r="AO169" i="27"/>
  <c r="BJ169" i="27" s="1"/>
  <c r="AP169" i="27"/>
  <c r="BK169" i="27" s="1"/>
  <c r="AQ169" i="27"/>
  <c r="BL169" i="27" s="1"/>
  <c r="AR169" i="27"/>
  <c r="BM169" i="27" s="1"/>
  <c r="Y170" i="27"/>
  <c r="AT170" i="27" s="1"/>
  <c r="AA170" i="27"/>
  <c r="AV170" i="27" s="1"/>
  <c r="AB170" i="27"/>
  <c r="AW170" i="27" s="1"/>
  <c r="AC170" i="27"/>
  <c r="AX170" i="27" s="1"/>
  <c r="AD170" i="27"/>
  <c r="AY170" i="27" s="1"/>
  <c r="AE170" i="27"/>
  <c r="AZ170" i="27" s="1"/>
  <c r="AF170" i="27"/>
  <c r="BA170" i="27" s="1"/>
  <c r="AG170" i="27"/>
  <c r="BB170" i="27" s="1"/>
  <c r="AH170" i="27"/>
  <c r="BC170" i="27" s="1"/>
  <c r="AI170" i="27"/>
  <c r="BD170" i="27" s="1"/>
  <c r="AJ170" i="27"/>
  <c r="BE170" i="27" s="1"/>
  <c r="AK170" i="27"/>
  <c r="BF170" i="27" s="1"/>
  <c r="AL170" i="27"/>
  <c r="BG170" i="27" s="1"/>
  <c r="AM170" i="27"/>
  <c r="BH170" i="27" s="1"/>
  <c r="AN170" i="27"/>
  <c r="BI170" i="27" s="1"/>
  <c r="AO170" i="27"/>
  <c r="BJ170" i="27" s="1"/>
  <c r="AP170" i="27"/>
  <c r="BK170" i="27" s="1"/>
  <c r="AQ170" i="27"/>
  <c r="BL170" i="27" s="1"/>
  <c r="AR170" i="27"/>
  <c r="BM170" i="27" s="1"/>
  <c r="Y171" i="27"/>
  <c r="AT171" i="27" s="1"/>
  <c r="AA171" i="27"/>
  <c r="AV171" i="27" s="1"/>
  <c r="AB171" i="27"/>
  <c r="AW171" i="27" s="1"/>
  <c r="AC171" i="27"/>
  <c r="AX171" i="27" s="1"/>
  <c r="AD171" i="27"/>
  <c r="AY171" i="27" s="1"/>
  <c r="AE171" i="27"/>
  <c r="AZ171" i="27" s="1"/>
  <c r="AF171" i="27"/>
  <c r="BA171" i="27" s="1"/>
  <c r="AG171" i="27"/>
  <c r="BB171" i="27" s="1"/>
  <c r="AH171" i="27"/>
  <c r="BC171" i="27" s="1"/>
  <c r="AI171" i="27"/>
  <c r="BD171" i="27" s="1"/>
  <c r="AJ171" i="27"/>
  <c r="BE171" i="27" s="1"/>
  <c r="AK171" i="27"/>
  <c r="BF171" i="27" s="1"/>
  <c r="AL171" i="27"/>
  <c r="BG171" i="27" s="1"/>
  <c r="AM171" i="27"/>
  <c r="BH171" i="27" s="1"/>
  <c r="AN171" i="27"/>
  <c r="BI171" i="27" s="1"/>
  <c r="AO171" i="27"/>
  <c r="BJ171" i="27" s="1"/>
  <c r="AP171" i="27"/>
  <c r="BK171" i="27" s="1"/>
  <c r="AQ171" i="27"/>
  <c r="BL171" i="27" s="1"/>
  <c r="AR171" i="27"/>
  <c r="BM171" i="27" s="1"/>
  <c r="Y172" i="27"/>
  <c r="AT172" i="27" s="1"/>
  <c r="AA172" i="27"/>
  <c r="AV172" i="27" s="1"/>
  <c r="AB172" i="27"/>
  <c r="AW172" i="27" s="1"/>
  <c r="AC172" i="27"/>
  <c r="AX172" i="27" s="1"/>
  <c r="AD172" i="27"/>
  <c r="AY172" i="27" s="1"/>
  <c r="AE172" i="27"/>
  <c r="AZ172" i="27" s="1"/>
  <c r="AF172" i="27"/>
  <c r="BA172" i="27" s="1"/>
  <c r="AG172" i="27"/>
  <c r="BB172" i="27" s="1"/>
  <c r="AH172" i="27"/>
  <c r="BC172" i="27" s="1"/>
  <c r="AI172" i="27"/>
  <c r="BD172" i="27" s="1"/>
  <c r="AJ172" i="27"/>
  <c r="BE172" i="27" s="1"/>
  <c r="AK172" i="27"/>
  <c r="BF172" i="27" s="1"/>
  <c r="AL172" i="27"/>
  <c r="BG172" i="27" s="1"/>
  <c r="AM172" i="27"/>
  <c r="BH172" i="27" s="1"/>
  <c r="AN172" i="27"/>
  <c r="BI172" i="27" s="1"/>
  <c r="AO172" i="27"/>
  <c r="BJ172" i="27" s="1"/>
  <c r="AP172" i="27"/>
  <c r="BK172" i="27" s="1"/>
  <c r="AQ172" i="27"/>
  <c r="BL172" i="27" s="1"/>
  <c r="AR172" i="27"/>
  <c r="BM172" i="27" s="1"/>
  <c r="Y173" i="27"/>
  <c r="AT173" i="27" s="1"/>
  <c r="AA173" i="27"/>
  <c r="AV173" i="27" s="1"/>
  <c r="AB173" i="27"/>
  <c r="AW173" i="27" s="1"/>
  <c r="AC173" i="27"/>
  <c r="AX173" i="27" s="1"/>
  <c r="AD173" i="27"/>
  <c r="AY173" i="27" s="1"/>
  <c r="AE173" i="27"/>
  <c r="AZ173" i="27" s="1"/>
  <c r="AF173" i="27"/>
  <c r="BA173" i="27" s="1"/>
  <c r="AG173" i="27"/>
  <c r="BB173" i="27" s="1"/>
  <c r="AH173" i="27"/>
  <c r="BC173" i="27" s="1"/>
  <c r="AI173" i="27"/>
  <c r="BD173" i="27" s="1"/>
  <c r="AJ173" i="27"/>
  <c r="BE173" i="27" s="1"/>
  <c r="AK173" i="27"/>
  <c r="BF173" i="27" s="1"/>
  <c r="AL173" i="27"/>
  <c r="BG173" i="27" s="1"/>
  <c r="AM173" i="27"/>
  <c r="BH173" i="27" s="1"/>
  <c r="AN173" i="27"/>
  <c r="BI173" i="27" s="1"/>
  <c r="AO173" i="27"/>
  <c r="BJ173" i="27" s="1"/>
  <c r="AP173" i="27"/>
  <c r="BK173" i="27" s="1"/>
  <c r="AQ173" i="27"/>
  <c r="BL173" i="27" s="1"/>
  <c r="AR173" i="27"/>
  <c r="BM173" i="27" s="1"/>
  <c r="Y174" i="27"/>
  <c r="AT174" i="27" s="1"/>
  <c r="AA174" i="27"/>
  <c r="AV174" i="27" s="1"/>
  <c r="AB174" i="27"/>
  <c r="AW174" i="27" s="1"/>
  <c r="AC174" i="27"/>
  <c r="AX174" i="27" s="1"/>
  <c r="AD174" i="27"/>
  <c r="AY174" i="27" s="1"/>
  <c r="AE174" i="27"/>
  <c r="AZ174" i="27" s="1"/>
  <c r="AF174" i="27"/>
  <c r="BA174" i="27" s="1"/>
  <c r="AG174" i="27"/>
  <c r="BB174" i="27" s="1"/>
  <c r="AH174" i="27"/>
  <c r="BC174" i="27" s="1"/>
  <c r="AI174" i="27"/>
  <c r="BD174" i="27" s="1"/>
  <c r="AJ174" i="27"/>
  <c r="BE174" i="27" s="1"/>
  <c r="AK174" i="27"/>
  <c r="BF174" i="27" s="1"/>
  <c r="AL174" i="27"/>
  <c r="BG174" i="27" s="1"/>
  <c r="AM174" i="27"/>
  <c r="BH174" i="27" s="1"/>
  <c r="AN174" i="27"/>
  <c r="BI174" i="27" s="1"/>
  <c r="AO174" i="27"/>
  <c r="BJ174" i="27" s="1"/>
  <c r="AP174" i="27"/>
  <c r="BK174" i="27" s="1"/>
  <c r="AQ174" i="27"/>
  <c r="BL174" i="27" s="1"/>
  <c r="AR174" i="27"/>
  <c r="BM174" i="27" s="1"/>
  <c r="Y175" i="27"/>
  <c r="AT175" i="27" s="1"/>
  <c r="AA175" i="27"/>
  <c r="AV175" i="27" s="1"/>
  <c r="AB175" i="27"/>
  <c r="AW175" i="27" s="1"/>
  <c r="AC175" i="27"/>
  <c r="AX175" i="27" s="1"/>
  <c r="AD175" i="27"/>
  <c r="AY175" i="27" s="1"/>
  <c r="AE175" i="27"/>
  <c r="AZ175" i="27" s="1"/>
  <c r="AF175" i="27"/>
  <c r="BA175" i="27" s="1"/>
  <c r="AG175" i="27"/>
  <c r="BB175" i="27" s="1"/>
  <c r="AH175" i="27"/>
  <c r="BC175" i="27" s="1"/>
  <c r="AI175" i="27"/>
  <c r="BD175" i="27" s="1"/>
  <c r="AJ175" i="27"/>
  <c r="BE175" i="27" s="1"/>
  <c r="AK175" i="27"/>
  <c r="BF175" i="27" s="1"/>
  <c r="AL175" i="27"/>
  <c r="BG175" i="27" s="1"/>
  <c r="AM175" i="27"/>
  <c r="BH175" i="27" s="1"/>
  <c r="AN175" i="27"/>
  <c r="BI175" i="27" s="1"/>
  <c r="AO175" i="27"/>
  <c r="BJ175" i="27" s="1"/>
  <c r="AP175" i="27"/>
  <c r="BK175" i="27" s="1"/>
  <c r="AQ175" i="27"/>
  <c r="BL175" i="27" s="1"/>
  <c r="AR175" i="27"/>
  <c r="BM175" i="27" s="1"/>
  <c r="Y176" i="27"/>
  <c r="AT176" i="27" s="1"/>
  <c r="AA176" i="27"/>
  <c r="AV176" i="27" s="1"/>
  <c r="AB176" i="27"/>
  <c r="AW176" i="27" s="1"/>
  <c r="AC176" i="27"/>
  <c r="AX176" i="27" s="1"/>
  <c r="AD176" i="27"/>
  <c r="AY176" i="27" s="1"/>
  <c r="AE176" i="27"/>
  <c r="AZ176" i="27" s="1"/>
  <c r="AF176" i="27"/>
  <c r="BA176" i="27" s="1"/>
  <c r="AG176" i="27"/>
  <c r="BB176" i="27" s="1"/>
  <c r="AH176" i="27"/>
  <c r="BC176" i="27" s="1"/>
  <c r="AI176" i="27"/>
  <c r="BD176" i="27" s="1"/>
  <c r="AJ176" i="27"/>
  <c r="BE176" i="27" s="1"/>
  <c r="AK176" i="27"/>
  <c r="BF176" i="27" s="1"/>
  <c r="AL176" i="27"/>
  <c r="BG176" i="27" s="1"/>
  <c r="AM176" i="27"/>
  <c r="BH176" i="27" s="1"/>
  <c r="AN176" i="27"/>
  <c r="BI176" i="27" s="1"/>
  <c r="AO176" i="27"/>
  <c r="BJ176" i="27" s="1"/>
  <c r="AP176" i="27"/>
  <c r="BK176" i="27" s="1"/>
  <c r="AQ176" i="27"/>
  <c r="BL176" i="27" s="1"/>
  <c r="AR176" i="27"/>
  <c r="BM176" i="27" s="1"/>
  <c r="Y177" i="27"/>
  <c r="AT177" i="27" s="1"/>
  <c r="AA177" i="27"/>
  <c r="AV177" i="27" s="1"/>
  <c r="AB177" i="27"/>
  <c r="AW177" i="27" s="1"/>
  <c r="AC177" i="27"/>
  <c r="AX177" i="27" s="1"/>
  <c r="AD177" i="27"/>
  <c r="AY177" i="27" s="1"/>
  <c r="AE177" i="27"/>
  <c r="AZ177" i="27" s="1"/>
  <c r="AF177" i="27"/>
  <c r="BA177" i="27" s="1"/>
  <c r="AG177" i="27"/>
  <c r="BB177" i="27" s="1"/>
  <c r="AH177" i="27"/>
  <c r="BC177" i="27" s="1"/>
  <c r="AI177" i="27"/>
  <c r="BD177" i="27" s="1"/>
  <c r="AJ177" i="27"/>
  <c r="BE177" i="27" s="1"/>
  <c r="AK177" i="27"/>
  <c r="BF177" i="27" s="1"/>
  <c r="AL177" i="27"/>
  <c r="BG177" i="27" s="1"/>
  <c r="AM177" i="27"/>
  <c r="BH177" i="27" s="1"/>
  <c r="AN177" i="27"/>
  <c r="BI177" i="27" s="1"/>
  <c r="AO177" i="27"/>
  <c r="BJ177" i="27" s="1"/>
  <c r="AP177" i="27"/>
  <c r="BK177" i="27" s="1"/>
  <c r="AQ177" i="27"/>
  <c r="BL177" i="27" s="1"/>
  <c r="AR177" i="27"/>
  <c r="BM177" i="27" s="1"/>
  <c r="Y178" i="27"/>
  <c r="AT178" i="27" s="1"/>
  <c r="AA178" i="27"/>
  <c r="AV178" i="27" s="1"/>
  <c r="AB178" i="27"/>
  <c r="AW178" i="27" s="1"/>
  <c r="AC178" i="27"/>
  <c r="AX178" i="27" s="1"/>
  <c r="AD178" i="27"/>
  <c r="AY178" i="27" s="1"/>
  <c r="AE178" i="27"/>
  <c r="AZ178" i="27" s="1"/>
  <c r="AF178" i="27"/>
  <c r="BA178" i="27" s="1"/>
  <c r="AG178" i="27"/>
  <c r="BB178" i="27" s="1"/>
  <c r="AH178" i="27"/>
  <c r="BC178" i="27" s="1"/>
  <c r="AI178" i="27"/>
  <c r="BD178" i="27" s="1"/>
  <c r="AJ178" i="27"/>
  <c r="BE178" i="27" s="1"/>
  <c r="AK178" i="27"/>
  <c r="BF178" i="27" s="1"/>
  <c r="AL178" i="27"/>
  <c r="BG178" i="27" s="1"/>
  <c r="AM178" i="27"/>
  <c r="BH178" i="27" s="1"/>
  <c r="AN178" i="27"/>
  <c r="BI178" i="27" s="1"/>
  <c r="AO178" i="27"/>
  <c r="BJ178" i="27" s="1"/>
  <c r="AP178" i="27"/>
  <c r="BK178" i="27" s="1"/>
  <c r="AQ178" i="27"/>
  <c r="BL178" i="27" s="1"/>
  <c r="AR178" i="27"/>
  <c r="BM178" i="27" s="1"/>
  <c r="Y179" i="27"/>
  <c r="AT179" i="27" s="1"/>
  <c r="AA179" i="27"/>
  <c r="AV179" i="27" s="1"/>
  <c r="AB179" i="27"/>
  <c r="AW179" i="27" s="1"/>
  <c r="AC179" i="27"/>
  <c r="AX179" i="27" s="1"/>
  <c r="AD179" i="27"/>
  <c r="AY179" i="27" s="1"/>
  <c r="AE179" i="27"/>
  <c r="AZ179" i="27" s="1"/>
  <c r="AF179" i="27"/>
  <c r="BA179" i="27" s="1"/>
  <c r="AG179" i="27"/>
  <c r="BB179" i="27" s="1"/>
  <c r="AH179" i="27"/>
  <c r="BC179" i="27" s="1"/>
  <c r="AI179" i="27"/>
  <c r="BD179" i="27" s="1"/>
  <c r="AJ179" i="27"/>
  <c r="BE179" i="27" s="1"/>
  <c r="AK179" i="27"/>
  <c r="BF179" i="27" s="1"/>
  <c r="AL179" i="27"/>
  <c r="BG179" i="27" s="1"/>
  <c r="AM179" i="27"/>
  <c r="BH179" i="27" s="1"/>
  <c r="AN179" i="27"/>
  <c r="BI179" i="27" s="1"/>
  <c r="AO179" i="27"/>
  <c r="BJ179" i="27" s="1"/>
  <c r="AP179" i="27"/>
  <c r="BK179" i="27" s="1"/>
  <c r="AQ179" i="27"/>
  <c r="BL179" i="27" s="1"/>
  <c r="AR179" i="27"/>
  <c r="BM179" i="27" s="1"/>
  <c r="Y180" i="27"/>
  <c r="AT180" i="27" s="1"/>
  <c r="AA180" i="27"/>
  <c r="AV180" i="27" s="1"/>
  <c r="AB180" i="27"/>
  <c r="AW180" i="27" s="1"/>
  <c r="AC180" i="27"/>
  <c r="AX180" i="27" s="1"/>
  <c r="AD180" i="27"/>
  <c r="AY180" i="27" s="1"/>
  <c r="AE180" i="27"/>
  <c r="AZ180" i="27" s="1"/>
  <c r="AF180" i="27"/>
  <c r="BA180" i="27" s="1"/>
  <c r="AG180" i="27"/>
  <c r="BB180" i="27" s="1"/>
  <c r="AH180" i="27"/>
  <c r="BC180" i="27" s="1"/>
  <c r="AI180" i="27"/>
  <c r="BD180" i="27" s="1"/>
  <c r="AJ180" i="27"/>
  <c r="BE180" i="27" s="1"/>
  <c r="AK180" i="27"/>
  <c r="BF180" i="27" s="1"/>
  <c r="AL180" i="27"/>
  <c r="BG180" i="27" s="1"/>
  <c r="AM180" i="27"/>
  <c r="BH180" i="27" s="1"/>
  <c r="AN180" i="27"/>
  <c r="BI180" i="27" s="1"/>
  <c r="AO180" i="27"/>
  <c r="BJ180" i="27" s="1"/>
  <c r="AP180" i="27"/>
  <c r="BK180" i="27" s="1"/>
  <c r="AQ180" i="27"/>
  <c r="BL180" i="27" s="1"/>
  <c r="AR180" i="27"/>
  <c r="BM180" i="27" s="1"/>
  <c r="Y181" i="27"/>
  <c r="AT181" i="27" s="1"/>
  <c r="AA181" i="27"/>
  <c r="AV181" i="27" s="1"/>
  <c r="AB181" i="27"/>
  <c r="AW181" i="27" s="1"/>
  <c r="AC181" i="27"/>
  <c r="AX181" i="27" s="1"/>
  <c r="AD181" i="27"/>
  <c r="AY181" i="27" s="1"/>
  <c r="AE181" i="27"/>
  <c r="AZ181" i="27" s="1"/>
  <c r="AF181" i="27"/>
  <c r="BA181" i="27" s="1"/>
  <c r="AG181" i="27"/>
  <c r="BB181" i="27" s="1"/>
  <c r="AH181" i="27"/>
  <c r="BC181" i="27" s="1"/>
  <c r="AI181" i="27"/>
  <c r="BD181" i="27" s="1"/>
  <c r="AJ181" i="27"/>
  <c r="BE181" i="27" s="1"/>
  <c r="AK181" i="27"/>
  <c r="BF181" i="27" s="1"/>
  <c r="AL181" i="27"/>
  <c r="BG181" i="27" s="1"/>
  <c r="AM181" i="27"/>
  <c r="BH181" i="27" s="1"/>
  <c r="AN181" i="27"/>
  <c r="BI181" i="27" s="1"/>
  <c r="AO181" i="27"/>
  <c r="BJ181" i="27" s="1"/>
  <c r="AP181" i="27"/>
  <c r="BK181" i="27" s="1"/>
  <c r="AQ181" i="27"/>
  <c r="BL181" i="27" s="1"/>
  <c r="AR181" i="27"/>
  <c r="BM181" i="27" s="1"/>
  <c r="Y182" i="27"/>
  <c r="AT182" i="27" s="1"/>
  <c r="AA182" i="27"/>
  <c r="AV182" i="27" s="1"/>
  <c r="AB182" i="27"/>
  <c r="AW182" i="27" s="1"/>
  <c r="AC182" i="27"/>
  <c r="AX182" i="27" s="1"/>
  <c r="AD182" i="27"/>
  <c r="AY182" i="27" s="1"/>
  <c r="AE182" i="27"/>
  <c r="AZ182" i="27" s="1"/>
  <c r="AF182" i="27"/>
  <c r="BA182" i="27" s="1"/>
  <c r="AG182" i="27"/>
  <c r="BB182" i="27" s="1"/>
  <c r="AH182" i="27"/>
  <c r="BC182" i="27" s="1"/>
  <c r="AI182" i="27"/>
  <c r="BD182" i="27" s="1"/>
  <c r="AJ182" i="27"/>
  <c r="BE182" i="27" s="1"/>
  <c r="AK182" i="27"/>
  <c r="BF182" i="27" s="1"/>
  <c r="AL182" i="27"/>
  <c r="BG182" i="27" s="1"/>
  <c r="AM182" i="27"/>
  <c r="BH182" i="27" s="1"/>
  <c r="AN182" i="27"/>
  <c r="BI182" i="27" s="1"/>
  <c r="AO182" i="27"/>
  <c r="BJ182" i="27" s="1"/>
  <c r="AP182" i="27"/>
  <c r="BK182" i="27" s="1"/>
  <c r="AQ182" i="27"/>
  <c r="BL182" i="27" s="1"/>
  <c r="AR182" i="27"/>
  <c r="BM182" i="27" s="1"/>
  <c r="Y3" i="27"/>
  <c r="AT3" i="27" s="1"/>
  <c r="Y4" i="27"/>
  <c r="AT4" i="27" s="1"/>
  <c r="Y5" i="27"/>
  <c r="AT5" i="27" s="1"/>
  <c r="Y6" i="27"/>
  <c r="AT6" i="27" s="1"/>
  <c r="Y7" i="27"/>
  <c r="AT7" i="27" s="1"/>
  <c r="Y8" i="27"/>
  <c r="AT8" i="27" s="1"/>
  <c r="Y9" i="27"/>
  <c r="AT9" i="27" s="1"/>
  <c r="Y10" i="27"/>
  <c r="AT10" i="27" s="1"/>
  <c r="Y11" i="27"/>
  <c r="AT11" i="27" s="1"/>
  <c r="Y12" i="27"/>
  <c r="AT12" i="27" s="1"/>
  <c r="Y13" i="27"/>
  <c r="AT13" i="27" s="1"/>
  <c r="AT14" i="27"/>
  <c r="AV14" i="27"/>
  <c r="AW14" i="27"/>
  <c r="AX14" i="27"/>
  <c r="AY14" i="27"/>
  <c r="AZ14" i="27"/>
  <c r="BA14" i="27"/>
  <c r="BB14" i="27"/>
  <c r="BC14" i="27"/>
  <c r="BD14" i="27"/>
  <c r="BE14" i="27"/>
  <c r="BF14" i="27"/>
  <c r="BG14" i="27"/>
  <c r="BH14" i="27"/>
  <c r="BI14" i="27"/>
  <c r="BJ14" i="27"/>
  <c r="BK14" i="27"/>
  <c r="BL14" i="27"/>
  <c r="BM14" i="27"/>
  <c r="AT15" i="27"/>
  <c r="AV15" i="27"/>
  <c r="AW15" i="27"/>
  <c r="AX15" i="27"/>
  <c r="AY15" i="27"/>
  <c r="AZ15" i="27"/>
  <c r="BA15" i="27"/>
  <c r="BB15" i="27"/>
  <c r="BC15" i="27"/>
  <c r="BD15" i="27"/>
  <c r="BE15" i="27"/>
  <c r="BF15" i="27"/>
  <c r="BG15" i="27"/>
  <c r="BH15" i="27"/>
  <c r="BI15" i="27"/>
  <c r="BJ15" i="27"/>
  <c r="BK15" i="27"/>
  <c r="BL15" i="27"/>
  <c r="BM15" i="27"/>
  <c r="Y17" i="26"/>
  <c r="AT17" i="26" s="1"/>
  <c r="AA17" i="26"/>
  <c r="AV17" i="26" s="1"/>
  <c r="AB17" i="26"/>
  <c r="AW17" i="26" s="1"/>
  <c r="AC17" i="26"/>
  <c r="AX17" i="26" s="1"/>
  <c r="AD17" i="26"/>
  <c r="AY17" i="26" s="1"/>
  <c r="AE17" i="26"/>
  <c r="AZ17" i="26" s="1"/>
  <c r="AF17" i="26"/>
  <c r="BA17" i="26" s="1"/>
  <c r="AG17" i="26"/>
  <c r="BB17" i="26" s="1"/>
  <c r="AH17" i="26"/>
  <c r="BC17" i="26" s="1"/>
  <c r="AI17" i="26"/>
  <c r="BD17" i="26" s="1"/>
  <c r="AJ17" i="26"/>
  <c r="BE17" i="26" s="1"/>
  <c r="AK17" i="26"/>
  <c r="BF17" i="26" s="1"/>
  <c r="AL17" i="26"/>
  <c r="BG17" i="26" s="1"/>
  <c r="AM17" i="26"/>
  <c r="BH17" i="26" s="1"/>
  <c r="AN17" i="26"/>
  <c r="BI17" i="26" s="1"/>
  <c r="AO17" i="26"/>
  <c r="BJ17" i="26" s="1"/>
  <c r="AP17" i="26"/>
  <c r="BK17" i="26" s="1"/>
  <c r="AQ17" i="26"/>
  <c r="BL17" i="26" s="1"/>
  <c r="AR17" i="26"/>
  <c r="BM17" i="26" s="1"/>
  <c r="Y18" i="26"/>
  <c r="AT18" i="26" s="1"/>
  <c r="AA18" i="26"/>
  <c r="AV18" i="26" s="1"/>
  <c r="AB18" i="26"/>
  <c r="AW18" i="26" s="1"/>
  <c r="AC18" i="26"/>
  <c r="AX18" i="26" s="1"/>
  <c r="AD18" i="26"/>
  <c r="AY18" i="26" s="1"/>
  <c r="AE18" i="26"/>
  <c r="AZ18" i="26" s="1"/>
  <c r="AF18" i="26"/>
  <c r="BA18" i="26" s="1"/>
  <c r="AG18" i="26"/>
  <c r="BB18" i="26" s="1"/>
  <c r="AH18" i="26"/>
  <c r="BC18" i="26" s="1"/>
  <c r="AI18" i="26"/>
  <c r="BD18" i="26" s="1"/>
  <c r="AJ18" i="26"/>
  <c r="BE18" i="26" s="1"/>
  <c r="AK18" i="26"/>
  <c r="BF18" i="26" s="1"/>
  <c r="AL18" i="26"/>
  <c r="BG18" i="26" s="1"/>
  <c r="AM18" i="26"/>
  <c r="BH18" i="26" s="1"/>
  <c r="AN18" i="26"/>
  <c r="BI18" i="26" s="1"/>
  <c r="AO18" i="26"/>
  <c r="BJ18" i="26" s="1"/>
  <c r="AP18" i="26"/>
  <c r="BK18" i="26" s="1"/>
  <c r="AQ18" i="26"/>
  <c r="BL18" i="26" s="1"/>
  <c r="AR18" i="26"/>
  <c r="BM18" i="26" s="1"/>
  <c r="Y19" i="26"/>
  <c r="AT19" i="26" s="1"/>
  <c r="AA19" i="26"/>
  <c r="AV19" i="26" s="1"/>
  <c r="AB19" i="26"/>
  <c r="AW19" i="26" s="1"/>
  <c r="AC19" i="26"/>
  <c r="AX19" i="26" s="1"/>
  <c r="AD19" i="26"/>
  <c r="AY19" i="26" s="1"/>
  <c r="AE19" i="26"/>
  <c r="AZ19" i="26" s="1"/>
  <c r="AF19" i="26"/>
  <c r="BA19" i="26" s="1"/>
  <c r="AG19" i="26"/>
  <c r="BB19" i="26" s="1"/>
  <c r="AH19" i="26"/>
  <c r="BC19" i="26" s="1"/>
  <c r="AI19" i="26"/>
  <c r="BD19" i="26" s="1"/>
  <c r="AJ19" i="26"/>
  <c r="BE19" i="26" s="1"/>
  <c r="AK19" i="26"/>
  <c r="BF19" i="26" s="1"/>
  <c r="AL19" i="26"/>
  <c r="BG19" i="26" s="1"/>
  <c r="AM19" i="26"/>
  <c r="BH19" i="26" s="1"/>
  <c r="AN19" i="26"/>
  <c r="BI19" i="26" s="1"/>
  <c r="AO19" i="26"/>
  <c r="BJ19" i="26" s="1"/>
  <c r="AP19" i="26"/>
  <c r="BK19" i="26" s="1"/>
  <c r="AQ19" i="26"/>
  <c r="BL19" i="26" s="1"/>
  <c r="AR19" i="26"/>
  <c r="BM19" i="26" s="1"/>
  <c r="Y20" i="26"/>
  <c r="AT20" i="26" s="1"/>
  <c r="AA20" i="26"/>
  <c r="AV20" i="26" s="1"/>
  <c r="AB20" i="26"/>
  <c r="AW20" i="26" s="1"/>
  <c r="AC20" i="26"/>
  <c r="AX20" i="26" s="1"/>
  <c r="AD20" i="26"/>
  <c r="AY20" i="26" s="1"/>
  <c r="AE20" i="26"/>
  <c r="AZ20" i="26" s="1"/>
  <c r="AF20" i="26"/>
  <c r="BA20" i="26" s="1"/>
  <c r="AG20" i="26"/>
  <c r="BB20" i="26" s="1"/>
  <c r="AH20" i="26"/>
  <c r="BC20" i="26" s="1"/>
  <c r="AI20" i="26"/>
  <c r="BD20" i="26" s="1"/>
  <c r="AJ20" i="26"/>
  <c r="BE20" i="26" s="1"/>
  <c r="AK20" i="26"/>
  <c r="BF20" i="26" s="1"/>
  <c r="AL20" i="26"/>
  <c r="BG20" i="26" s="1"/>
  <c r="AM20" i="26"/>
  <c r="BH20" i="26" s="1"/>
  <c r="AN20" i="26"/>
  <c r="BI20" i="26" s="1"/>
  <c r="AO20" i="26"/>
  <c r="BJ20" i="26" s="1"/>
  <c r="AP20" i="26"/>
  <c r="BK20" i="26" s="1"/>
  <c r="AQ20" i="26"/>
  <c r="BL20" i="26" s="1"/>
  <c r="AR20" i="26"/>
  <c r="BM20" i="26" s="1"/>
  <c r="Y21" i="26"/>
  <c r="AT21" i="26" s="1"/>
  <c r="AA21" i="26"/>
  <c r="AV21" i="26" s="1"/>
  <c r="AB21" i="26"/>
  <c r="AW21" i="26" s="1"/>
  <c r="AC21" i="26"/>
  <c r="AX21" i="26" s="1"/>
  <c r="AD21" i="26"/>
  <c r="AY21" i="26" s="1"/>
  <c r="AE21" i="26"/>
  <c r="AZ21" i="26" s="1"/>
  <c r="AF21" i="26"/>
  <c r="BA21" i="26" s="1"/>
  <c r="AG21" i="26"/>
  <c r="BB21" i="26" s="1"/>
  <c r="AH21" i="26"/>
  <c r="BC21" i="26" s="1"/>
  <c r="AI21" i="26"/>
  <c r="BD21" i="26" s="1"/>
  <c r="AJ21" i="26"/>
  <c r="BE21" i="26" s="1"/>
  <c r="AK21" i="26"/>
  <c r="BF21" i="26" s="1"/>
  <c r="AL21" i="26"/>
  <c r="BG21" i="26" s="1"/>
  <c r="AM21" i="26"/>
  <c r="BH21" i="26" s="1"/>
  <c r="AN21" i="26"/>
  <c r="BI21" i="26" s="1"/>
  <c r="AO21" i="26"/>
  <c r="BJ21" i="26" s="1"/>
  <c r="AP21" i="26"/>
  <c r="BK21" i="26" s="1"/>
  <c r="AQ21" i="26"/>
  <c r="BL21" i="26" s="1"/>
  <c r="AR21" i="26"/>
  <c r="BM21" i="26" s="1"/>
  <c r="Y22" i="26"/>
  <c r="AT22" i="26" s="1"/>
  <c r="AA22" i="26"/>
  <c r="AV22" i="26" s="1"/>
  <c r="AB22" i="26"/>
  <c r="AW22" i="26" s="1"/>
  <c r="AC22" i="26"/>
  <c r="AX22" i="26" s="1"/>
  <c r="AD22" i="26"/>
  <c r="AY22" i="26" s="1"/>
  <c r="AE22" i="26"/>
  <c r="AZ22" i="26" s="1"/>
  <c r="AF22" i="26"/>
  <c r="BA22" i="26" s="1"/>
  <c r="AG22" i="26"/>
  <c r="BB22" i="26" s="1"/>
  <c r="AH22" i="26"/>
  <c r="BC22" i="26" s="1"/>
  <c r="AI22" i="26"/>
  <c r="BD22" i="26" s="1"/>
  <c r="AJ22" i="26"/>
  <c r="BE22" i="26" s="1"/>
  <c r="AK22" i="26"/>
  <c r="BF22" i="26" s="1"/>
  <c r="AL22" i="26"/>
  <c r="BG22" i="26" s="1"/>
  <c r="AM22" i="26"/>
  <c r="BH22" i="26" s="1"/>
  <c r="AN22" i="26"/>
  <c r="BI22" i="26" s="1"/>
  <c r="AO22" i="26"/>
  <c r="BJ22" i="26" s="1"/>
  <c r="AP22" i="26"/>
  <c r="BK22" i="26" s="1"/>
  <c r="AQ22" i="26"/>
  <c r="BL22" i="26" s="1"/>
  <c r="AR22" i="26"/>
  <c r="BM22" i="26" s="1"/>
  <c r="Y23" i="26"/>
  <c r="AT23" i="26" s="1"/>
  <c r="AA23" i="26"/>
  <c r="AV23" i="26" s="1"/>
  <c r="AB23" i="26"/>
  <c r="AW23" i="26" s="1"/>
  <c r="AC23" i="26"/>
  <c r="AX23" i="26" s="1"/>
  <c r="AD23" i="26"/>
  <c r="AY23" i="26" s="1"/>
  <c r="AE23" i="26"/>
  <c r="AZ23" i="26" s="1"/>
  <c r="AF23" i="26"/>
  <c r="BA23" i="26" s="1"/>
  <c r="AG23" i="26"/>
  <c r="BB23" i="26" s="1"/>
  <c r="AH23" i="26"/>
  <c r="BC23" i="26" s="1"/>
  <c r="AI23" i="26"/>
  <c r="BD23" i="26" s="1"/>
  <c r="AJ23" i="26"/>
  <c r="BE23" i="26" s="1"/>
  <c r="AK23" i="26"/>
  <c r="BF23" i="26" s="1"/>
  <c r="AL23" i="26"/>
  <c r="BG23" i="26" s="1"/>
  <c r="AM23" i="26"/>
  <c r="BH23" i="26" s="1"/>
  <c r="AN23" i="26"/>
  <c r="BI23" i="26" s="1"/>
  <c r="AO23" i="26"/>
  <c r="BJ23" i="26" s="1"/>
  <c r="AP23" i="26"/>
  <c r="BK23" i="26" s="1"/>
  <c r="AQ23" i="26"/>
  <c r="BL23" i="26" s="1"/>
  <c r="AR23" i="26"/>
  <c r="BM23" i="26" s="1"/>
  <c r="Y24" i="26"/>
  <c r="AT24" i="26" s="1"/>
  <c r="AA24" i="26"/>
  <c r="AV24" i="26" s="1"/>
  <c r="AB24" i="26"/>
  <c r="AW24" i="26" s="1"/>
  <c r="AC24" i="26"/>
  <c r="AX24" i="26" s="1"/>
  <c r="AD24" i="26"/>
  <c r="AY24" i="26" s="1"/>
  <c r="AE24" i="26"/>
  <c r="AZ24" i="26" s="1"/>
  <c r="AF24" i="26"/>
  <c r="BA24" i="26" s="1"/>
  <c r="AG24" i="26"/>
  <c r="BB24" i="26" s="1"/>
  <c r="AH24" i="26"/>
  <c r="BC24" i="26" s="1"/>
  <c r="AI24" i="26"/>
  <c r="BD24" i="26" s="1"/>
  <c r="AJ24" i="26"/>
  <c r="BE24" i="26" s="1"/>
  <c r="AK24" i="26"/>
  <c r="BF24" i="26" s="1"/>
  <c r="AL24" i="26"/>
  <c r="BG24" i="26" s="1"/>
  <c r="AM24" i="26"/>
  <c r="BH24" i="26" s="1"/>
  <c r="AN24" i="26"/>
  <c r="BI24" i="26" s="1"/>
  <c r="AO24" i="26"/>
  <c r="BJ24" i="26" s="1"/>
  <c r="AP24" i="26"/>
  <c r="BK24" i="26" s="1"/>
  <c r="AQ24" i="26"/>
  <c r="BL24" i="26" s="1"/>
  <c r="AR24" i="26"/>
  <c r="BM24" i="26" s="1"/>
  <c r="Y25" i="26"/>
  <c r="AT25" i="26" s="1"/>
  <c r="AA25" i="26"/>
  <c r="AV25" i="26" s="1"/>
  <c r="AB25" i="26"/>
  <c r="AW25" i="26" s="1"/>
  <c r="AC25" i="26"/>
  <c r="AX25" i="26" s="1"/>
  <c r="AD25" i="26"/>
  <c r="AY25" i="26" s="1"/>
  <c r="AE25" i="26"/>
  <c r="AZ25" i="26" s="1"/>
  <c r="AF25" i="26"/>
  <c r="BA25" i="26" s="1"/>
  <c r="AG25" i="26"/>
  <c r="BB25" i="26" s="1"/>
  <c r="AH25" i="26"/>
  <c r="BC25" i="26" s="1"/>
  <c r="AI25" i="26"/>
  <c r="BD25" i="26" s="1"/>
  <c r="AJ25" i="26"/>
  <c r="BE25" i="26" s="1"/>
  <c r="AK25" i="26"/>
  <c r="BF25" i="26" s="1"/>
  <c r="AL25" i="26"/>
  <c r="BG25" i="26" s="1"/>
  <c r="AM25" i="26"/>
  <c r="BH25" i="26" s="1"/>
  <c r="AN25" i="26"/>
  <c r="BI25" i="26" s="1"/>
  <c r="AO25" i="26"/>
  <c r="BJ25" i="26" s="1"/>
  <c r="AP25" i="26"/>
  <c r="BK25" i="26" s="1"/>
  <c r="AQ25" i="26"/>
  <c r="BL25" i="26" s="1"/>
  <c r="AR25" i="26"/>
  <c r="BM25" i="26" s="1"/>
  <c r="Y26" i="26"/>
  <c r="AT26" i="26" s="1"/>
  <c r="AA26" i="26"/>
  <c r="AV26" i="26" s="1"/>
  <c r="AB26" i="26"/>
  <c r="AW26" i="26" s="1"/>
  <c r="AC26" i="26"/>
  <c r="AX26" i="26" s="1"/>
  <c r="AD26" i="26"/>
  <c r="AY26" i="26" s="1"/>
  <c r="AE26" i="26"/>
  <c r="AZ26" i="26" s="1"/>
  <c r="AF26" i="26"/>
  <c r="BA26" i="26" s="1"/>
  <c r="AG26" i="26"/>
  <c r="BB26" i="26" s="1"/>
  <c r="AH26" i="26"/>
  <c r="BC26" i="26" s="1"/>
  <c r="AI26" i="26"/>
  <c r="BD26" i="26" s="1"/>
  <c r="AJ26" i="26"/>
  <c r="BE26" i="26" s="1"/>
  <c r="AK26" i="26"/>
  <c r="BF26" i="26" s="1"/>
  <c r="AL26" i="26"/>
  <c r="BG26" i="26" s="1"/>
  <c r="AM26" i="26"/>
  <c r="BH26" i="26" s="1"/>
  <c r="AN26" i="26"/>
  <c r="BI26" i="26" s="1"/>
  <c r="AO26" i="26"/>
  <c r="BJ26" i="26" s="1"/>
  <c r="AP26" i="26"/>
  <c r="BK26" i="26" s="1"/>
  <c r="AQ26" i="26"/>
  <c r="BL26" i="26" s="1"/>
  <c r="AR26" i="26"/>
  <c r="BM26" i="26" s="1"/>
  <c r="Y27" i="26"/>
  <c r="AT27" i="26" s="1"/>
  <c r="AA27" i="26"/>
  <c r="AV27" i="26" s="1"/>
  <c r="AB27" i="26"/>
  <c r="AW27" i="26" s="1"/>
  <c r="AC27" i="26"/>
  <c r="AX27" i="26" s="1"/>
  <c r="AD27" i="26"/>
  <c r="AY27" i="26" s="1"/>
  <c r="AE27" i="26"/>
  <c r="AZ27" i="26" s="1"/>
  <c r="AF27" i="26"/>
  <c r="BA27" i="26" s="1"/>
  <c r="AG27" i="26"/>
  <c r="BB27" i="26" s="1"/>
  <c r="AH27" i="26"/>
  <c r="BC27" i="26" s="1"/>
  <c r="AI27" i="26"/>
  <c r="BD27" i="26" s="1"/>
  <c r="AJ27" i="26"/>
  <c r="BE27" i="26" s="1"/>
  <c r="AK27" i="26"/>
  <c r="BF27" i="26" s="1"/>
  <c r="AL27" i="26"/>
  <c r="BG27" i="26" s="1"/>
  <c r="AM27" i="26"/>
  <c r="BH27" i="26" s="1"/>
  <c r="AN27" i="26"/>
  <c r="BI27" i="26" s="1"/>
  <c r="AO27" i="26"/>
  <c r="BJ27" i="26" s="1"/>
  <c r="AP27" i="26"/>
  <c r="BK27" i="26" s="1"/>
  <c r="AQ27" i="26"/>
  <c r="BL27" i="26" s="1"/>
  <c r="AR27" i="26"/>
  <c r="BM27" i="26" s="1"/>
  <c r="Y28" i="26"/>
  <c r="AT28" i="26" s="1"/>
  <c r="AA28" i="26"/>
  <c r="AV28" i="26" s="1"/>
  <c r="AB28" i="26"/>
  <c r="AW28" i="26" s="1"/>
  <c r="AC28" i="26"/>
  <c r="AX28" i="26" s="1"/>
  <c r="AD28" i="26"/>
  <c r="AY28" i="26" s="1"/>
  <c r="AE28" i="26"/>
  <c r="AZ28" i="26" s="1"/>
  <c r="AF28" i="26"/>
  <c r="BA28" i="26" s="1"/>
  <c r="AG28" i="26"/>
  <c r="BB28" i="26" s="1"/>
  <c r="AH28" i="26"/>
  <c r="BC28" i="26" s="1"/>
  <c r="AI28" i="26"/>
  <c r="BD28" i="26" s="1"/>
  <c r="AJ28" i="26"/>
  <c r="BE28" i="26" s="1"/>
  <c r="AK28" i="26"/>
  <c r="BF28" i="26" s="1"/>
  <c r="AL28" i="26"/>
  <c r="BG28" i="26" s="1"/>
  <c r="AM28" i="26"/>
  <c r="BH28" i="26" s="1"/>
  <c r="AN28" i="26"/>
  <c r="BI28" i="26" s="1"/>
  <c r="AO28" i="26"/>
  <c r="BJ28" i="26" s="1"/>
  <c r="AP28" i="26"/>
  <c r="BK28" i="26" s="1"/>
  <c r="AQ28" i="26"/>
  <c r="BL28" i="26" s="1"/>
  <c r="AR28" i="26"/>
  <c r="BM28" i="26" s="1"/>
  <c r="Y29" i="26"/>
  <c r="AT29" i="26" s="1"/>
  <c r="AA29" i="26"/>
  <c r="AV29" i="26" s="1"/>
  <c r="AB29" i="26"/>
  <c r="AW29" i="26" s="1"/>
  <c r="AC29" i="26"/>
  <c r="AX29" i="26" s="1"/>
  <c r="AD29" i="26"/>
  <c r="AY29" i="26" s="1"/>
  <c r="AE29" i="26"/>
  <c r="AZ29" i="26" s="1"/>
  <c r="AF29" i="26"/>
  <c r="BA29" i="26" s="1"/>
  <c r="AG29" i="26"/>
  <c r="BB29" i="26" s="1"/>
  <c r="AH29" i="26"/>
  <c r="BC29" i="26" s="1"/>
  <c r="AI29" i="26"/>
  <c r="BD29" i="26" s="1"/>
  <c r="AJ29" i="26"/>
  <c r="BE29" i="26" s="1"/>
  <c r="AK29" i="26"/>
  <c r="BF29" i="26" s="1"/>
  <c r="AL29" i="26"/>
  <c r="BG29" i="26" s="1"/>
  <c r="AM29" i="26"/>
  <c r="BH29" i="26" s="1"/>
  <c r="AN29" i="26"/>
  <c r="BI29" i="26" s="1"/>
  <c r="AO29" i="26"/>
  <c r="BJ29" i="26" s="1"/>
  <c r="AP29" i="26"/>
  <c r="BK29" i="26" s="1"/>
  <c r="AQ29" i="26"/>
  <c r="BL29" i="26" s="1"/>
  <c r="AR29" i="26"/>
  <c r="BM29" i="26" s="1"/>
  <c r="Y30" i="26"/>
  <c r="AT30" i="26" s="1"/>
  <c r="AA30" i="26"/>
  <c r="AV30" i="26" s="1"/>
  <c r="AB30" i="26"/>
  <c r="AW30" i="26" s="1"/>
  <c r="AC30" i="26"/>
  <c r="AX30" i="26" s="1"/>
  <c r="AD30" i="26"/>
  <c r="AY30" i="26" s="1"/>
  <c r="AE30" i="26"/>
  <c r="AZ30" i="26" s="1"/>
  <c r="AF30" i="26"/>
  <c r="BA30" i="26" s="1"/>
  <c r="AG30" i="26"/>
  <c r="BB30" i="26" s="1"/>
  <c r="AH30" i="26"/>
  <c r="BC30" i="26" s="1"/>
  <c r="AI30" i="26"/>
  <c r="BD30" i="26" s="1"/>
  <c r="AJ30" i="26"/>
  <c r="BE30" i="26" s="1"/>
  <c r="AK30" i="26"/>
  <c r="BF30" i="26" s="1"/>
  <c r="AL30" i="26"/>
  <c r="BG30" i="26" s="1"/>
  <c r="AM30" i="26"/>
  <c r="BH30" i="26" s="1"/>
  <c r="AN30" i="26"/>
  <c r="BI30" i="26" s="1"/>
  <c r="AO30" i="26"/>
  <c r="BJ30" i="26" s="1"/>
  <c r="AP30" i="26"/>
  <c r="BK30" i="26" s="1"/>
  <c r="AQ30" i="26"/>
  <c r="BL30" i="26" s="1"/>
  <c r="AR30" i="26"/>
  <c r="BM30" i="26" s="1"/>
  <c r="Y31" i="26"/>
  <c r="AT31" i="26" s="1"/>
  <c r="AA31" i="26"/>
  <c r="AV31" i="26" s="1"/>
  <c r="AB31" i="26"/>
  <c r="AW31" i="26" s="1"/>
  <c r="AC31" i="26"/>
  <c r="AX31" i="26" s="1"/>
  <c r="AD31" i="26"/>
  <c r="AY31" i="26" s="1"/>
  <c r="AE31" i="26"/>
  <c r="AZ31" i="26" s="1"/>
  <c r="AF31" i="26"/>
  <c r="BA31" i="26" s="1"/>
  <c r="AG31" i="26"/>
  <c r="BB31" i="26" s="1"/>
  <c r="AH31" i="26"/>
  <c r="BC31" i="26" s="1"/>
  <c r="AI31" i="26"/>
  <c r="BD31" i="26" s="1"/>
  <c r="AJ31" i="26"/>
  <c r="BE31" i="26" s="1"/>
  <c r="AK31" i="26"/>
  <c r="BF31" i="26" s="1"/>
  <c r="AL31" i="26"/>
  <c r="BG31" i="26" s="1"/>
  <c r="AM31" i="26"/>
  <c r="BH31" i="26" s="1"/>
  <c r="AN31" i="26"/>
  <c r="BI31" i="26" s="1"/>
  <c r="AO31" i="26"/>
  <c r="BJ31" i="26" s="1"/>
  <c r="AP31" i="26"/>
  <c r="BK31" i="26" s="1"/>
  <c r="AQ31" i="26"/>
  <c r="BL31" i="26" s="1"/>
  <c r="AR31" i="26"/>
  <c r="BM31" i="26" s="1"/>
  <c r="Y32" i="26"/>
  <c r="AT32" i="26" s="1"/>
  <c r="AA32" i="26"/>
  <c r="AV32" i="26" s="1"/>
  <c r="AB32" i="26"/>
  <c r="AW32" i="26" s="1"/>
  <c r="AC32" i="26"/>
  <c r="AX32" i="26" s="1"/>
  <c r="AD32" i="26"/>
  <c r="AY32" i="26" s="1"/>
  <c r="AE32" i="26"/>
  <c r="AZ32" i="26" s="1"/>
  <c r="AF32" i="26"/>
  <c r="BA32" i="26" s="1"/>
  <c r="AG32" i="26"/>
  <c r="BB32" i="26" s="1"/>
  <c r="AH32" i="26"/>
  <c r="BC32" i="26" s="1"/>
  <c r="AI32" i="26"/>
  <c r="BD32" i="26" s="1"/>
  <c r="AJ32" i="26"/>
  <c r="BE32" i="26" s="1"/>
  <c r="AK32" i="26"/>
  <c r="BF32" i="26" s="1"/>
  <c r="AL32" i="26"/>
  <c r="BG32" i="26" s="1"/>
  <c r="AM32" i="26"/>
  <c r="BH32" i="26" s="1"/>
  <c r="AN32" i="26"/>
  <c r="BI32" i="26" s="1"/>
  <c r="AO32" i="26"/>
  <c r="BJ32" i="26" s="1"/>
  <c r="AP32" i="26"/>
  <c r="BK32" i="26" s="1"/>
  <c r="AQ32" i="26"/>
  <c r="BL32" i="26" s="1"/>
  <c r="AR32" i="26"/>
  <c r="BM32" i="26" s="1"/>
  <c r="Y33" i="26"/>
  <c r="AT33" i="26" s="1"/>
  <c r="AA33" i="26"/>
  <c r="AV33" i="26" s="1"/>
  <c r="AB33" i="26"/>
  <c r="AW33" i="26" s="1"/>
  <c r="AC33" i="26"/>
  <c r="AX33" i="26" s="1"/>
  <c r="AD33" i="26"/>
  <c r="AY33" i="26" s="1"/>
  <c r="AE33" i="26"/>
  <c r="AZ33" i="26" s="1"/>
  <c r="AF33" i="26"/>
  <c r="BA33" i="26" s="1"/>
  <c r="AG33" i="26"/>
  <c r="BB33" i="26" s="1"/>
  <c r="AH33" i="26"/>
  <c r="BC33" i="26" s="1"/>
  <c r="AI33" i="26"/>
  <c r="BD33" i="26" s="1"/>
  <c r="AJ33" i="26"/>
  <c r="BE33" i="26" s="1"/>
  <c r="AK33" i="26"/>
  <c r="BF33" i="26" s="1"/>
  <c r="AL33" i="26"/>
  <c r="BG33" i="26" s="1"/>
  <c r="AM33" i="26"/>
  <c r="BH33" i="26" s="1"/>
  <c r="AN33" i="26"/>
  <c r="BI33" i="26" s="1"/>
  <c r="AO33" i="26"/>
  <c r="BJ33" i="26" s="1"/>
  <c r="AP33" i="26"/>
  <c r="BK33" i="26" s="1"/>
  <c r="AQ33" i="26"/>
  <c r="BL33" i="26" s="1"/>
  <c r="AR33" i="26"/>
  <c r="BM33" i="26" s="1"/>
  <c r="Y34" i="26"/>
  <c r="AT34" i="26" s="1"/>
  <c r="AA34" i="26"/>
  <c r="AV34" i="26" s="1"/>
  <c r="AB34" i="26"/>
  <c r="AW34" i="26" s="1"/>
  <c r="AC34" i="26"/>
  <c r="AX34" i="26" s="1"/>
  <c r="AD34" i="26"/>
  <c r="AY34" i="26" s="1"/>
  <c r="AE34" i="26"/>
  <c r="AZ34" i="26" s="1"/>
  <c r="AF34" i="26"/>
  <c r="BA34" i="26" s="1"/>
  <c r="AG34" i="26"/>
  <c r="BB34" i="26" s="1"/>
  <c r="AH34" i="26"/>
  <c r="BC34" i="26" s="1"/>
  <c r="AI34" i="26"/>
  <c r="BD34" i="26" s="1"/>
  <c r="AJ34" i="26"/>
  <c r="BE34" i="26" s="1"/>
  <c r="AK34" i="26"/>
  <c r="BF34" i="26" s="1"/>
  <c r="AL34" i="26"/>
  <c r="BG34" i="26" s="1"/>
  <c r="AM34" i="26"/>
  <c r="BH34" i="26" s="1"/>
  <c r="AN34" i="26"/>
  <c r="BI34" i="26" s="1"/>
  <c r="AO34" i="26"/>
  <c r="BJ34" i="26" s="1"/>
  <c r="AP34" i="26"/>
  <c r="BK34" i="26" s="1"/>
  <c r="AQ34" i="26"/>
  <c r="BL34" i="26" s="1"/>
  <c r="AR34" i="26"/>
  <c r="BM34" i="26" s="1"/>
  <c r="Y35" i="26"/>
  <c r="AT35" i="26" s="1"/>
  <c r="AA35" i="26"/>
  <c r="AV35" i="26" s="1"/>
  <c r="AB35" i="26"/>
  <c r="AW35" i="26" s="1"/>
  <c r="AC35" i="26"/>
  <c r="AX35" i="26" s="1"/>
  <c r="AD35" i="26"/>
  <c r="AY35" i="26" s="1"/>
  <c r="AE35" i="26"/>
  <c r="AZ35" i="26" s="1"/>
  <c r="AF35" i="26"/>
  <c r="BA35" i="26" s="1"/>
  <c r="AG35" i="26"/>
  <c r="BB35" i="26" s="1"/>
  <c r="AH35" i="26"/>
  <c r="BC35" i="26" s="1"/>
  <c r="AI35" i="26"/>
  <c r="BD35" i="26" s="1"/>
  <c r="AJ35" i="26"/>
  <c r="BE35" i="26" s="1"/>
  <c r="AK35" i="26"/>
  <c r="BF35" i="26" s="1"/>
  <c r="AL35" i="26"/>
  <c r="BG35" i="26" s="1"/>
  <c r="AM35" i="26"/>
  <c r="BH35" i="26" s="1"/>
  <c r="AN35" i="26"/>
  <c r="BI35" i="26" s="1"/>
  <c r="AO35" i="26"/>
  <c r="BJ35" i="26" s="1"/>
  <c r="AP35" i="26"/>
  <c r="BK35" i="26" s="1"/>
  <c r="AQ35" i="26"/>
  <c r="BL35" i="26" s="1"/>
  <c r="AR35" i="26"/>
  <c r="BM35" i="26" s="1"/>
  <c r="Y36" i="26"/>
  <c r="AT36" i="26" s="1"/>
  <c r="AA36" i="26"/>
  <c r="AV36" i="26" s="1"/>
  <c r="AB36" i="26"/>
  <c r="AW36" i="26" s="1"/>
  <c r="AC36" i="26"/>
  <c r="AX36" i="26" s="1"/>
  <c r="AD36" i="26"/>
  <c r="AY36" i="26" s="1"/>
  <c r="AE36" i="26"/>
  <c r="AZ36" i="26" s="1"/>
  <c r="AF36" i="26"/>
  <c r="BA36" i="26" s="1"/>
  <c r="AG36" i="26"/>
  <c r="BB36" i="26" s="1"/>
  <c r="AH36" i="26"/>
  <c r="BC36" i="26" s="1"/>
  <c r="AI36" i="26"/>
  <c r="BD36" i="26" s="1"/>
  <c r="AJ36" i="26"/>
  <c r="BE36" i="26" s="1"/>
  <c r="AK36" i="26"/>
  <c r="BF36" i="26" s="1"/>
  <c r="AL36" i="26"/>
  <c r="BG36" i="26" s="1"/>
  <c r="AM36" i="26"/>
  <c r="BH36" i="26" s="1"/>
  <c r="AN36" i="26"/>
  <c r="BI36" i="26" s="1"/>
  <c r="AO36" i="26"/>
  <c r="BJ36" i="26" s="1"/>
  <c r="AP36" i="26"/>
  <c r="BK36" i="26" s="1"/>
  <c r="AQ36" i="26"/>
  <c r="BL36" i="26" s="1"/>
  <c r="AR36" i="26"/>
  <c r="BM36" i="26" s="1"/>
  <c r="Y37" i="26"/>
  <c r="AT37" i="26" s="1"/>
  <c r="AA37" i="26"/>
  <c r="AV37" i="26" s="1"/>
  <c r="AB37" i="26"/>
  <c r="AW37" i="26" s="1"/>
  <c r="AC37" i="26"/>
  <c r="AX37" i="26" s="1"/>
  <c r="AD37" i="26"/>
  <c r="AY37" i="26" s="1"/>
  <c r="AE37" i="26"/>
  <c r="AZ37" i="26" s="1"/>
  <c r="AF37" i="26"/>
  <c r="BA37" i="26" s="1"/>
  <c r="AG37" i="26"/>
  <c r="BB37" i="26" s="1"/>
  <c r="AH37" i="26"/>
  <c r="BC37" i="26" s="1"/>
  <c r="AI37" i="26"/>
  <c r="BD37" i="26" s="1"/>
  <c r="AJ37" i="26"/>
  <c r="BE37" i="26" s="1"/>
  <c r="AK37" i="26"/>
  <c r="BF37" i="26" s="1"/>
  <c r="AL37" i="26"/>
  <c r="BG37" i="26" s="1"/>
  <c r="AM37" i="26"/>
  <c r="BH37" i="26" s="1"/>
  <c r="AN37" i="26"/>
  <c r="BI37" i="26" s="1"/>
  <c r="AO37" i="26"/>
  <c r="BJ37" i="26" s="1"/>
  <c r="AP37" i="26"/>
  <c r="BK37" i="26" s="1"/>
  <c r="AQ37" i="26"/>
  <c r="BL37" i="26" s="1"/>
  <c r="AR37" i="26"/>
  <c r="BM37" i="26" s="1"/>
  <c r="Y38" i="26"/>
  <c r="AT38" i="26" s="1"/>
  <c r="AA38" i="26"/>
  <c r="AV38" i="26" s="1"/>
  <c r="AB38" i="26"/>
  <c r="AW38" i="26" s="1"/>
  <c r="AC38" i="26"/>
  <c r="AX38" i="26" s="1"/>
  <c r="AD38" i="26"/>
  <c r="AY38" i="26" s="1"/>
  <c r="AE38" i="26"/>
  <c r="AZ38" i="26" s="1"/>
  <c r="AF38" i="26"/>
  <c r="BA38" i="26" s="1"/>
  <c r="AG38" i="26"/>
  <c r="BB38" i="26" s="1"/>
  <c r="AH38" i="26"/>
  <c r="BC38" i="26" s="1"/>
  <c r="AI38" i="26"/>
  <c r="BD38" i="26" s="1"/>
  <c r="AJ38" i="26"/>
  <c r="BE38" i="26" s="1"/>
  <c r="AK38" i="26"/>
  <c r="BF38" i="26" s="1"/>
  <c r="AL38" i="26"/>
  <c r="BG38" i="26" s="1"/>
  <c r="AM38" i="26"/>
  <c r="BH38" i="26" s="1"/>
  <c r="AN38" i="26"/>
  <c r="BI38" i="26" s="1"/>
  <c r="AO38" i="26"/>
  <c r="BJ38" i="26" s="1"/>
  <c r="AP38" i="26"/>
  <c r="BK38" i="26" s="1"/>
  <c r="AQ38" i="26"/>
  <c r="BL38" i="26" s="1"/>
  <c r="AR38" i="26"/>
  <c r="BM38" i="26" s="1"/>
  <c r="Y39" i="26"/>
  <c r="AT39" i="26" s="1"/>
  <c r="AA39" i="26"/>
  <c r="AV39" i="26" s="1"/>
  <c r="AB39" i="26"/>
  <c r="AW39" i="26" s="1"/>
  <c r="AC39" i="26"/>
  <c r="AX39" i="26" s="1"/>
  <c r="AD39" i="26"/>
  <c r="AY39" i="26" s="1"/>
  <c r="AE39" i="26"/>
  <c r="AZ39" i="26" s="1"/>
  <c r="AF39" i="26"/>
  <c r="BA39" i="26" s="1"/>
  <c r="AG39" i="26"/>
  <c r="BB39" i="26" s="1"/>
  <c r="AH39" i="26"/>
  <c r="BC39" i="26" s="1"/>
  <c r="AI39" i="26"/>
  <c r="BD39" i="26" s="1"/>
  <c r="AJ39" i="26"/>
  <c r="BE39" i="26" s="1"/>
  <c r="AK39" i="26"/>
  <c r="BF39" i="26" s="1"/>
  <c r="AL39" i="26"/>
  <c r="BG39" i="26" s="1"/>
  <c r="AM39" i="26"/>
  <c r="BH39" i="26" s="1"/>
  <c r="AN39" i="26"/>
  <c r="BI39" i="26" s="1"/>
  <c r="AO39" i="26"/>
  <c r="BJ39" i="26" s="1"/>
  <c r="AP39" i="26"/>
  <c r="BK39" i="26" s="1"/>
  <c r="AQ39" i="26"/>
  <c r="BL39" i="26" s="1"/>
  <c r="AR39" i="26"/>
  <c r="BM39" i="26" s="1"/>
  <c r="Y40" i="26"/>
  <c r="AT40" i="26" s="1"/>
  <c r="AA40" i="26"/>
  <c r="AV40" i="26" s="1"/>
  <c r="AB40" i="26"/>
  <c r="AW40" i="26" s="1"/>
  <c r="AC40" i="26"/>
  <c r="AX40" i="26" s="1"/>
  <c r="AD40" i="26"/>
  <c r="AY40" i="26" s="1"/>
  <c r="AE40" i="26"/>
  <c r="AZ40" i="26" s="1"/>
  <c r="AF40" i="26"/>
  <c r="BA40" i="26" s="1"/>
  <c r="AG40" i="26"/>
  <c r="BB40" i="26" s="1"/>
  <c r="AH40" i="26"/>
  <c r="BC40" i="26" s="1"/>
  <c r="AI40" i="26"/>
  <c r="BD40" i="26" s="1"/>
  <c r="AJ40" i="26"/>
  <c r="BE40" i="26" s="1"/>
  <c r="AK40" i="26"/>
  <c r="BF40" i="26" s="1"/>
  <c r="AL40" i="26"/>
  <c r="BG40" i="26" s="1"/>
  <c r="AM40" i="26"/>
  <c r="BH40" i="26" s="1"/>
  <c r="AN40" i="26"/>
  <c r="BI40" i="26" s="1"/>
  <c r="AO40" i="26"/>
  <c r="BJ40" i="26" s="1"/>
  <c r="AP40" i="26"/>
  <c r="BK40" i="26" s="1"/>
  <c r="AQ40" i="26"/>
  <c r="BL40" i="26" s="1"/>
  <c r="AR40" i="26"/>
  <c r="BM40" i="26" s="1"/>
  <c r="Y41" i="26"/>
  <c r="AT41" i="26" s="1"/>
  <c r="AA41" i="26"/>
  <c r="AV41" i="26" s="1"/>
  <c r="AB41" i="26"/>
  <c r="AW41" i="26" s="1"/>
  <c r="AC41" i="26"/>
  <c r="AX41" i="26" s="1"/>
  <c r="AD41" i="26"/>
  <c r="AY41" i="26" s="1"/>
  <c r="AE41" i="26"/>
  <c r="AZ41" i="26" s="1"/>
  <c r="AF41" i="26"/>
  <c r="BA41" i="26" s="1"/>
  <c r="AG41" i="26"/>
  <c r="BB41" i="26" s="1"/>
  <c r="AH41" i="26"/>
  <c r="BC41" i="26" s="1"/>
  <c r="AI41" i="26"/>
  <c r="BD41" i="26" s="1"/>
  <c r="AJ41" i="26"/>
  <c r="BE41" i="26" s="1"/>
  <c r="AK41" i="26"/>
  <c r="BF41" i="26" s="1"/>
  <c r="AL41" i="26"/>
  <c r="BG41" i="26" s="1"/>
  <c r="AM41" i="26"/>
  <c r="BH41" i="26" s="1"/>
  <c r="AN41" i="26"/>
  <c r="BI41" i="26" s="1"/>
  <c r="AO41" i="26"/>
  <c r="BJ41" i="26" s="1"/>
  <c r="AP41" i="26"/>
  <c r="BK41" i="26" s="1"/>
  <c r="AQ41" i="26"/>
  <c r="BL41" i="26" s="1"/>
  <c r="AR41" i="26"/>
  <c r="BM41" i="26" s="1"/>
  <c r="Y42" i="26"/>
  <c r="AT42" i="26" s="1"/>
  <c r="AA42" i="26"/>
  <c r="AV42" i="26" s="1"/>
  <c r="AB42" i="26"/>
  <c r="AW42" i="26" s="1"/>
  <c r="AC42" i="26"/>
  <c r="AX42" i="26" s="1"/>
  <c r="AD42" i="26"/>
  <c r="AY42" i="26" s="1"/>
  <c r="AE42" i="26"/>
  <c r="AZ42" i="26" s="1"/>
  <c r="AF42" i="26"/>
  <c r="BA42" i="26" s="1"/>
  <c r="AG42" i="26"/>
  <c r="BB42" i="26" s="1"/>
  <c r="AH42" i="26"/>
  <c r="BC42" i="26" s="1"/>
  <c r="AI42" i="26"/>
  <c r="BD42" i="26" s="1"/>
  <c r="AJ42" i="26"/>
  <c r="BE42" i="26" s="1"/>
  <c r="AK42" i="26"/>
  <c r="BF42" i="26" s="1"/>
  <c r="AL42" i="26"/>
  <c r="BG42" i="26" s="1"/>
  <c r="AM42" i="26"/>
  <c r="BH42" i="26" s="1"/>
  <c r="AN42" i="26"/>
  <c r="BI42" i="26" s="1"/>
  <c r="AO42" i="26"/>
  <c r="BJ42" i="26" s="1"/>
  <c r="AP42" i="26"/>
  <c r="BK42" i="26" s="1"/>
  <c r="AQ42" i="26"/>
  <c r="BL42" i="26" s="1"/>
  <c r="AR42" i="26"/>
  <c r="BM42" i="26" s="1"/>
  <c r="Y43" i="26"/>
  <c r="AT43" i="26" s="1"/>
  <c r="AA43" i="26"/>
  <c r="AV43" i="26" s="1"/>
  <c r="AB43" i="26"/>
  <c r="AW43" i="26" s="1"/>
  <c r="AC43" i="26"/>
  <c r="AX43" i="26" s="1"/>
  <c r="AD43" i="26"/>
  <c r="AY43" i="26" s="1"/>
  <c r="AE43" i="26"/>
  <c r="AZ43" i="26" s="1"/>
  <c r="AF43" i="26"/>
  <c r="BA43" i="26" s="1"/>
  <c r="AG43" i="26"/>
  <c r="BB43" i="26" s="1"/>
  <c r="AH43" i="26"/>
  <c r="BC43" i="26" s="1"/>
  <c r="AI43" i="26"/>
  <c r="BD43" i="26" s="1"/>
  <c r="AJ43" i="26"/>
  <c r="BE43" i="26" s="1"/>
  <c r="AK43" i="26"/>
  <c r="BF43" i="26" s="1"/>
  <c r="AL43" i="26"/>
  <c r="BG43" i="26" s="1"/>
  <c r="AM43" i="26"/>
  <c r="BH43" i="26" s="1"/>
  <c r="AN43" i="26"/>
  <c r="BI43" i="26" s="1"/>
  <c r="AO43" i="26"/>
  <c r="BJ43" i="26" s="1"/>
  <c r="AP43" i="26"/>
  <c r="BK43" i="26" s="1"/>
  <c r="AQ43" i="26"/>
  <c r="BL43" i="26" s="1"/>
  <c r="AR43" i="26"/>
  <c r="BM43" i="26" s="1"/>
  <c r="Y44" i="26"/>
  <c r="AT44" i="26" s="1"/>
  <c r="AA44" i="26"/>
  <c r="AV44" i="26" s="1"/>
  <c r="AB44" i="26"/>
  <c r="AW44" i="26" s="1"/>
  <c r="AC44" i="26"/>
  <c r="AX44" i="26" s="1"/>
  <c r="AD44" i="26"/>
  <c r="AY44" i="26" s="1"/>
  <c r="AE44" i="26"/>
  <c r="AZ44" i="26" s="1"/>
  <c r="AF44" i="26"/>
  <c r="BA44" i="26" s="1"/>
  <c r="AG44" i="26"/>
  <c r="BB44" i="26" s="1"/>
  <c r="AH44" i="26"/>
  <c r="BC44" i="26" s="1"/>
  <c r="AI44" i="26"/>
  <c r="BD44" i="26" s="1"/>
  <c r="AJ44" i="26"/>
  <c r="BE44" i="26" s="1"/>
  <c r="AK44" i="26"/>
  <c r="BF44" i="26" s="1"/>
  <c r="AL44" i="26"/>
  <c r="BG44" i="26" s="1"/>
  <c r="AM44" i="26"/>
  <c r="BH44" i="26" s="1"/>
  <c r="AN44" i="26"/>
  <c r="BI44" i="26" s="1"/>
  <c r="AO44" i="26"/>
  <c r="BJ44" i="26" s="1"/>
  <c r="AP44" i="26"/>
  <c r="BK44" i="26" s="1"/>
  <c r="AQ44" i="26"/>
  <c r="BL44" i="26" s="1"/>
  <c r="AR44" i="26"/>
  <c r="BM44" i="26" s="1"/>
  <c r="Y45" i="26"/>
  <c r="AT45" i="26" s="1"/>
  <c r="AA45" i="26"/>
  <c r="AV45" i="26" s="1"/>
  <c r="AB45" i="26"/>
  <c r="AW45" i="26" s="1"/>
  <c r="AC45" i="26"/>
  <c r="AX45" i="26" s="1"/>
  <c r="AD45" i="26"/>
  <c r="AY45" i="26" s="1"/>
  <c r="AE45" i="26"/>
  <c r="AZ45" i="26" s="1"/>
  <c r="AF45" i="26"/>
  <c r="BA45" i="26" s="1"/>
  <c r="AG45" i="26"/>
  <c r="BB45" i="26" s="1"/>
  <c r="AH45" i="26"/>
  <c r="BC45" i="26" s="1"/>
  <c r="AI45" i="26"/>
  <c r="BD45" i="26" s="1"/>
  <c r="AJ45" i="26"/>
  <c r="BE45" i="26" s="1"/>
  <c r="AK45" i="26"/>
  <c r="BF45" i="26" s="1"/>
  <c r="AL45" i="26"/>
  <c r="BG45" i="26" s="1"/>
  <c r="AM45" i="26"/>
  <c r="BH45" i="26" s="1"/>
  <c r="AN45" i="26"/>
  <c r="BI45" i="26" s="1"/>
  <c r="AO45" i="26"/>
  <c r="BJ45" i="26" s="1"/>
  <c r="AP45" i="26"/>
  <c r="BK45" i="26" s="1"/>
  <c r="AQ45" i="26"/>
  <c r="BL45" i="26" s="1"/>
  <c r="AR45" i="26"/>
  <c r="BM45" i="26" s="1"/>
  <c r="Y46" i="26"/>
  <c r="AT46" i="26" s="1"/>
  <c r="AA46" i="26"/>
  <c r="AV46" i="26" s="1"/>
  <c r="AB46" i="26"/>
  <c r="AW46" i="26" s="1"/>
  <c r="AC46" i="26"/>
  <c r="AX46" i="26" s="1"/>
  <c r="AD46" i="26"/>
  <c r="AY46" i="26" s="1"/>
  <c r="AE46" i="26"/>
  <c r="AZ46" i="26" s="1"/>
  <c r="AF46" i="26"/>
  <c r="BA46" i="26" s="1"/>
  <c r="AG46" i="26"/>
  <c r="BB46" i="26" s="1"/>
  <c r="AH46" i="26"/>
  <c r="BC46" i="26" s="1"/>
  <c r="AI46" i="26"/>
  <c r="BD46" i="26" s="1"/>
  <c r="AJ46" i="26"/>
  <c r="BE46" i="26" s="1"/>
  <c r="AK46" i="26"/>
  <c r="BF46" i="26" s="1"/>
  <c r="AL46" i="26"/>
  <c r="BG46" i="26" s="1"/>
  <c r="AM46" i="26"/>
  <c r="BH46" i="26" s="1"/>
  <c r="AN46" i="26"/>
  <c r="BI46" i="26" s="1"/>
  <c r="AO46" i="26"/>
  <c r="BJ46" i="26" s="1"/>
  <c r="AP46" i="26"/>
  <c r="BK46" i="26" s="1"/>
  <c r="AQ46" i="26"/>
  <c r="BL46" i="26" s="1"/>
  <c r="AR46" i="26"/>
  <c r="BM46" i="26" s="1"/>
  <c r="Y47" i="26"/>
  <c r="AT47" i="26" s="1"/>
  <c r="AA47" i="26"/>
  <c r="AV47" i="26" s="1"/>
  <c r="AB47" i="26"/>
  <c r="AW47" i="26" s="1"/>
  <c r="AC47" i="26"/>
  <c r="AX47" i="26" s="1"/>
  <c r="AD47" i="26"/>
  <c r="AY47" i="26" s="1"/>
  <c r="AE47" i="26"/>
  <c r="AZ47" i="26" s="1"/>
  <c r="AF47" i="26"/>
  <c r="BA47" i="26" s="1"/>
  <c r="AG47" i="26"/>
  <c r="BB47" i="26" s="1"/>
  <c r="AH47" i="26"/>
  <c r="BC47" i="26" s="1"/>
  <c r="AI47" i="26"/>
  <c r="BD47" i="26" s="1"/>
  <c r="AJ47" i="26"/>
  <c r="BE47" i="26" s="1"/>
  <c r="AK47" i="26"/>
  <c r="BF47" i="26" s="1"/>
  <c r="AL47" i="26"/>
  <c r="BG47" i="26" s="1"/>
  <c r="AM47" i="26"/>
  <c r="BH47" i="26" s="1"/>
  <c r="AN47" i="26"/>
  <c r="BI47" i="26" s="1"/>
  <c r="AO47" i="26"/>
  <c r="BJ47" i="26" s="1"/>
  <c r="AP47" i="26"/>
  <c r="BK47" i="26" s="1"/>
  <c r="AQ47" i="26"/>
  <c r="BL47" i="26" s="1"/>
  <c r="AR47" i="26"/>
  <c r="BM47" i="26" s="1"/>
  <c r="Y48" i="26"/>
  <c r="AT48" i="26" s="1"/>
  <c r="AA48" i="26"/>
  <c r="AV48" i="26" s="1"/>
  <c r="AB48" i="26"/>
  <c r="AW48" i="26" s="1"/>
  <c r="AC48" i="26"/>
  <c r="AX48" i="26" s="1"/>
  <c r="AD48" i="26"/>
  <c r="AY48" i="26" s="1"/>
  <c r="AE48" i="26"/>
  <c r="AZ48" i="26" s="1"/>
  <c r="AF48" i="26"/>
  <c r="BA48" i="26" s="1"/>
  <c r="AG48" i="26"/>
  <c r="BB48" i="26" s="1"/>
  <c r="AH48" i="26"/>
  <c r="BC48" i="26" s="1"/>
  <c r="AI48" i="26"/>
  <c r="BD48" i="26" s="1"/>
  <c r="AJ48" i="26"/>
  <c r="BE48" i="26" s="1"/>
  <c r="AK48" i="26"/>
  <c r="BF48" i="26" s="1"/>
  <c r="AL48" i="26"/>
  <c r="BG48" i="26" s="1"/>
  <c r="AM48" i="26"/>
  <c r="BH48" i="26" s="1"/>
  <c r="AN48" i="26"/>
  <c r="BI48" i="26" s="1"/>
  <c r="AO48" i="26"/>
  <c r="BJ48" i="26" s="1"/>
  <c r="AP48" i="26"/>
  <c r="BK48" i="26" s="1"/>
  <c r="AQ48" i="26"/>
  <c r="BL48" i="26" s="1"/>
  <c r="AR48" i="26"/>
  <c r="BM48" i="26" s="1"/>
  <c r="Y49" i="26"/>
  <c r="AT49" i="26" s="1"/>
  <c r="AA49" i="26"/>
  <c r="AV49" i="26" s="1"/>
  <c r="AB49" i="26"/>
  <c r="AW49" i="26" s="1"/>
  <c r="AC49" i="26"/>
  <c r="AX49" i="26" s="1"/>
  <c r="AD49" i="26"/>
  <c r="AY49" i="26" s="1"/>
  <c r="AE49" i="26"/>
  <c r="AZ49" i="26" s="1"/>
  <c r="AF49" i="26"/>
  <c r="BA49" i="26" s="1"/>
  <c r="AG49" i="26"/>
  <c r="BB49" i="26" s="1"/>
  <c r="AH49" i="26"/>
  <c r="BC49" i="26" s="1"/>
  <c r="AI49" i="26"/>
  <c r="BD49" i="26" s="1"/>
  <c r="AJ49" i="26"/>
  <c r="BE49" i="26" s="1"/>
  <c r="AK49" i="26"/>
  <c r="BF49" i="26" s="1"/>
  <c r="AL49" i="26"/>
  <c r="BG49" i="26" s="1"/>
  <c r="AM49" i="26"/>
  <c r="BH49" i="26" s="1"/>
  <c r="AN49" i="26"/>
  <c r="BI49" i="26" s="1"/>
  <c r="AO49" i="26"/>
  <c r="BJ49" i="26" s="1"/>
  <c r="AP49" i="26"/>
  <c r="BK49" i="26" s="1"/>
  <c r="AQ49" i="26"/>
  <c r="BL49" i="26" s="1"/>
  <c r="AR49" i="26"/>
  <c r="BM49" i="26" s="1"/>
  <c r="Y50" i="26"/>
  <c r="AT50" i="26" s="1"/>
  <c r="AA50" i="26"/>
  <c r="AV50" i="26" s="1"/>
  <c r="AB50" i="26"/>
  <c r="AW50" i="26" s="1"/>
  <c r="AC50" i="26"/>
  <c r="AX50" i="26" s="1"/>
  <c r="AD50" i="26"/>
  <c r="AY50" i="26" s="1"/>
  <c r="AE50" i="26"/>
  <c r="AZ50" i="26" s="1"/>
  <c r="AF50" i="26"/>
  <c r="BA50" i="26" s="1"/>
  <c r="AG50" i="26"/>
  <c r="BB50" i="26" s="1"/>
  <c r="AH50" i="26"/>
  <c r="BC50" i="26" s="1"/>
  <c r="AI50" i="26"/>
  <c r="BD50" i="26" s="1"/>
  <c r="AJ50" i="26"/>
  <c r="BE50" i="26" s="1"/>
  <c r="AK50" i="26"/>
  <c r="BF50" i="26" s="1"/>
  <c r="AL50" i="26"/>
  <c r="BG50" i="26" s="1"/>
  <c r="AM50" i="26"/>
  <c r="BH50" i="26" s="1"/>
  <c r="AN50" i="26"/>
  <c r="BI50" i="26" s="1"/>
  <c r="AO50" i="26"/>
  <c r="BJ50" i="26" s="1"/>
  <c r="AP50" i="26"/>
  <c r="BK50" i="26" s="1"/>
  <c r="AQ50" i="26"/>
  <c r="BL50" i="26" s="1"/>
  <c r="AR50" i="26"/>
  <c r="BM50" i="26" s="1"/>
  <c r="Y51" i="26"/>
  <c r="AT51" i="26" s="1"/>
  <c r="AA51" i="26"/>
  <c r="AV51" i="26" s="1"/>
  <c r="AB51" i="26"/>
  <c r="AW51" i="26" s="1"/>
  <c r="AC51" i="26"/>
  <c r="AX51" i="26" s="1"/>
  <c r="AD51" i="26"/>
  <c r="AY51" i="26" s="1"/>
  <c r="AE51" i="26"/>
  <c r="AZ51" i="26" s="1"/>
  <c r="AF51" i="26"/>
  <c r="BA51" i="26" s="1"/>
  <c r="AG51" i="26"/>
  <c r="BB51" i="26" s="1"/>
  <c r="AH51" i="26"/>
  <c r="BC51" i="26" s="1"/>
  <c r="AI51" i="26"/>
  <c r="BD51" i="26" s="1"/>
  <c r="AJ51" i="26"/>
  <c r="BE51" i="26" s="1"/>
  <c r="AK51" i="26"/>
  <c r="BF51" i="26" s="1"/>
  <c r="AL51" i="26"/>
  <c r="BG51" i="26" s="1"/>
  <c r="AM51" i="26"/>
  <c r="BH51" i="26" s="1"/>
  <c r="AN51" i="26"/>
  <c r="BI51" i="26" s="1"/>
  <c r="AO51" i="26"/>
  <c r="BJ51" i="26" s="1"/>
  <c r="AP51" i="26"/>
  <c r="BK51" i="26" s="1"/>
  <c r="AQ51" i="26"/>
  <c r="BL51" i="26" s="1"/>
  <c r="AR51" i="26"/>
  <c r="BM51" i="26" s="1"/>
  <c r="Y52" i="26"/>
  <c r="AT52" i="26" s="1"/>
  <c r="AA52" i="26"/>
  <c r="AV52" i="26" s="1"/>
  <c r="AB52" i="26"/>
  <c r="AW52" i="26" s="1"/>
  <c r="AC52" i="26"/>
  <c r="AX52" i="26" s="1"/>
  <c r="AD52" i="26"/>
  <c r="AY52" i="26" s="1"/>
  <c r="AE52" i="26"/>
  <c r="AZ52" i="26" s="1"/>
  <c r="AF52" i="26"/>
  <c r="BA52" i="26" s="1"/>
  <c r="AG52" i="26"/>
  <c r="BB52" i="26" s="1"/>
  <c r="AH52" i="26"/>
  <c r="BC52" i="26" s="1"/>
  <c r="AI52" i="26"/>
  <c r="BD52" i="26" s="1"/>
  <c r="AJ52" i="26"/>
  <c r="BE52" i="26" s="1"/>
  <c r="AK52" i="26"/>
  <c r="BF52" i="26" s="1"/>
  <c r="AL52" i="26"/>
  <c r="BG52" i="26" s="1"/>
  <c r="AM52" i="26"/>
  <c r="BH52" i="26" s="1"/>
  <c r="AN52" i="26"/>
  <c r="BI52" i="26" s="1"/>
  <c r="AO52" i="26"/>
  <c r="BJ52" i="26" s="1"/>
  <c r="AP52" i="26"/>
  <c r="BK52" i="26" s="1"/>
  <c r="AQ52" i="26"/>
  <c r="BL52" i="26" s="1"/>
  <c r="AR52" i="26"/>
  <c r="BM52" i="26" s="1"/>
  <c r="Y53" i="26"/>
  <c r="AT53" i="26" s="1"/>
  <c r="AA53" i="26"/>
  <c r="AV53" i="26" s="1"/>
  <c r="AB53" i="26"/>
  <c r="AW53" i="26" s="1"/>
  <c r="AC53" i="26"/>
  <c r="AX53" i="26" s="1"/>
  <c r="AD53" i="26"/>
  <c r="AY53" i="26" s="1"/>
  <c r="AE53" i="26"/>
  <c r="AZ53" i="26" s="1"/>
  <c r="AF53" i="26"/>
  <c r="BA53" i="26" s="1"/>
  <c r="AG53" i="26"/>
  <c r="BB53" i="26" s="1"/>
  <c r="AH53" i="26"/>
  <c r="BC53" i="26" s="1"/>
  <c r="AI53" i="26"/>
  <c r="BD53" i="26" s="1"/>
  <c r="AJ53" i="26"/>
  <c r="BE53" i="26" s="1"/>
  <c r="AK53" i="26"/>
  <c r="BF53" i="26" s="1"/>
  <c r="AL53" i="26"/>
  <c r="BG53" i="26" s="1"/>
  <c r="AM53" i="26"/>
  <c r="BH53" i="26" s="1"/>
  <c r="AN53" i="26"/>
  <c r="BI53" i="26" s="1"/>
  <c r="AO53" i="26"/>
  <c r="BJ53" i="26" s="1"/>
  <c r="AP53" i="26"/>
  <c r="BK53" i="26" s="1"/>
  <c r="AQ53" i="26"/>
  <c r="BL53" i="26" s="1"/>
  <c r="AR53" i="26"/>
  <c r="BM53" i="26" s="1"/>
  <c r="Y54" i="26"/>
  <c r="AT54" i="26" s="1"/>
  <c r="AA54" i="26"/>
  <c r="AV54" i="26" s="1"/>
  <c r="AB54" i="26"/>
  <c r="AW54" i="26" s="1"/>
  <c r="AC54" i="26"/>
  <c r="AX54" i="26" s="1"/>
  <c r="AD54" i="26"/>
  <c r="AY54" i="26" s="1"/>
  <c r="AE54" i="26"/>
  <c r="AZ54" i="26" s="1"/>
  <c r="AF54" i="26"/>
  <c r="BA54" i="26" s="1"/>
  <c r="AG54" i="26"/>
  <c r="BB54" i="26" s="1"/>
  <c r="AH54" i="26"/>
  <c r="BC54" i="26" s="1"/>
  <c r="AI54" i="26"/>
  <c r="BD54" i="26" s="1"/>
  <c r="AJ54" i="26"/>
  <c r="BE54" i="26" s="1"/>
  <c r="AK54" i="26"/>
  <c r="BF54" i="26" s="1"/>
  <c r="AL54" i="26"/>
  <c r="BG54" i="26" s="1"/>
  <c r="AM54" i="26"/>
  <c r="BH54" i="26" s="1"/>
  <c r="AN54" i="26"/>
  <c r="BI54" i="26" s="1"/>
  <c r="AO54" i="26"/>
  <c r="BJ54" i="26" s="1"/>
  <c r="AP54" i="26"/>
  <c r="BK54" i="26" s="1"/>
  <c r="AQ54" i="26"/>
  <c r="BL54" i="26" s="1"/>
  <c r="AR54" i="26"/>
  <c r="BM54" i="26" s="1"/>
  <c r="Y55" i="26"/>
  <c r="AT55" i="26" s="1"/>
  <c r="AA55" i="26"/>
  <c r="AV55" i="26" s="1"/>
  <c r="AB55" i="26"/>
  <c r="AW55" i="26" s="1"/>
  <c r="AC55" i="26"/>
  <c r="AX55" i="26" s="1"/>
  <c r="AD55" i="26"/>
  <c r="AY55" i="26" s="1"/>
  <c r="AE55" i="26"/>
  <c r="AZ55" i="26" s="1"/>
  <c r="AF55" i="26"/>
  <c r="BA55" i="26" s="1"/>
  <c r="AG55" i="26"/>
  <c r="BB55" i="26" s="1"/>
  <c r="AH55" i="26"/>
  <c r="BC55" i="26" s="1"/>
  <c r="AI55" i="26"/>
  <c r="BD55" i="26" s="1"/>
  <c r="AJ55" i="26"/>
  <c r="BE55" i="26" s="1"/>
  <c r="AK55" i="26"/>
  <c r="BF55" i="26" s="1"/>
  <c r="AL55" i="26"/>
  <c r="BG55" i="26" s="1"/>
  <c r="AM55" i="26"/>
  <c r="BH55" i="26" s="1"/>
  <c r="AN55" i="26"/>
  <c r="BI55" i="26" s="1"/>
  <c r="AO55" i="26"/>
  <c r="BJ55" i="26" s="1"/>
  <c r="AP55" i="26"/>
  <c r="BK55" i="26" s="1"/>
  <c r="AQ55" i="26"/>
  <c r="BL55" i="26" s="1"/>
  <c r="AR55" i="26"/>
  <c r="BM55" i="26" s="1"/>
  <c r="Y56" i="26"/>
  <c r="AT56" i="26" s="1"/>
  <c r="AA56" i="26"/>
  <c r="AV56" i="26" s="1"/>
  <c r="AB56" i="26"/>
  <c r="AW56" i="26" s="1"/>
  <c r="AC56" i="26"/>
  <c r="AX56" i="26" s="1"/>
  <c r="AD56" i="26"/>
  <c r="AY56" i="26" s="1"/>
  <c r="AE56" i="26"/>
  <c r="AZ56" i="26" s="1"/>
  <c r="AF56" i="26"/>
  <c r="BA56" i="26" s="1"/>
  <c r="AG56" i="26"/>
  <c r="BB56" i="26" s="1"/>
  <c r="AH56" i="26"/>
  <c r="BC56" i="26" s="1"/>
  <c r="AI56" i="26"/>
  <c r="BD56" i="26" s="1"/>
  <c r="AJ56" i="26"/>
  <c r="BE56" i="26" s="1"/>
  <c r="AK56" i="26"/>
  <c r="BF56" i="26" s="1"/>
  <c r="AL56" i="26"/>
  <c r="BG56" i="26" s="1"/>
  <c r="AM56" i="26"/>
  <c r="BH56" i="26" s="1"/>
  <c r="AN56" i="26"/>
  <c r="BI56" i="26" s="1"/>
  <c r="AO56" i="26"/>
  <c r="BJ56" i="26" s="1"/>
  <c r="AP56" i="26"/>
  <c r="BK56" i="26" s="1"/>
  <c r="AQ56" i="26"/>
  <c r="BL56" i="26" s="1"/>
  <c r="AR56" i="26"/>
  <c r="BM56" i="26" s="1"/>
  <c r="Y57" i="26"/>
  <c r="AT57" i="26" s="1"/>
  <c r="AA57" i="26"/>
  <c r="AV57" i="26" s="1"/>
  <c r="AB57" i="26"/>
  <c r="AW57" i="26" s="1"/>
  <c r="AC57" i="26"/>
  <c r="AX57" i="26" s="1"/>
  <c r="AD57" i="26"/>
  <c r="AY57" i="26" s="1"/>
  <c r="AE57" i="26"/>
  <c r="AZ57" i="26" s="1"/>
  <c r="AF57" i="26"/>
  <c r="BA57" i="26" s="1"/>
  <c r="AG57" i="26"/>
  <c r="BB57" i="26" s="1"/>
  <c r="AH57" i="26"/>
  <c r="BC57" i="26" s="1"/>
  <c r="AI57" i="26"/>
  <c r="BD57" i="26" s="1"/>
  <c r="AJ57" i="26"/>
  <c r="BE57" i="26" s="1"/>
  <c r="AK57" i="26"/>
  <c r="BF57" i="26" s="1"/>
  <c r="AL57" i="26"/>
  <c r="BG57" i="26" s="1"/>
  <c r="AM57" i="26"/>
  <c r="BH57" i="26" s="1"/>
  <c r="AN57" i="26"/>
  <c r="BI57" i="26" s="1"/>
  <c r="AO57" i="26"/>
  <c r="BJ57" i="26" s="1"/>
  <c r="AP57" i="26"/>
  <c r="BK57" i="26" s="1"/>
  <c r="AQ57" i="26"/>
  <c r="BL57" i="26" s="1"/>
  <c r="AR57" i="26"/>
  <c r="BM57" i="26" s="1"/>
  <c r="Y58" i="26"/>
  <c r="AT58" i="26" s="1"/>
  <c r="AA58" i="26"/>
  <c r="AV58" i="26" s="1"/>
  <c r="AB58" i="26"/>
  <c r="AW58" i="26" s="1"/>
  <c r="AC58" i="26"/>
  <c r="AX58" i="26" s="1"/>
  <c r="AD58" i="26"/>
  <c r="AY58" i="26" s="1"/>
  <c r="AE58" i="26"/>
  <c r="AZ58" i="26" s="1"/>
  <c r="AF58" i="26"/>
  <c r="BA58" i="26" s="1"/>
  <c r="AG58" i="26"/>
  <c r="BB58" i="26" s="1"/>
  <c r="AH58" i="26"/>
  <c r="BC58" i="26" s="1"/>
  <c r="AI58" i="26"/>
  <c r="BD58" i="26" s="1"/>
  <c r="AJ58" i="26"/>
  <c r="BE58" i="26" s="1"/>
  <c r="AK58" i="26"/>
  <c r="BF58" i="26" s="1"/>
  <c r="AL58" i="26"/>
  <c r="BG58" i="26" s="1"/>
  <c r="AM58" i="26"/>
  <c r="BH58" i="26" s="1"/>
  <c r="AN58" i="26"/>
  <c r="BI58" i="26" s="1"/>
  <c r="AO58" i="26"/>
  <c r="BJ58" i="26" s="1"/>
  <c r="AP58" i="26"/>
  <c r="BK58" i="26" s="1"/>
  <c r="AQ58" i="26"/>
  <c r="BL58" i="26" s="1"/>
  <c r="AR58" i="26"/>
  <c r="BM58" i="26" s="1"/>
  <c r="Y59" i="26"/>
  <c r="AT59" i="26" s="1"/>
  <c r="AA59" i="26"/>
  <c r="AV59" i="26" s="1"/>
  <c r="AB59" i="26"/>
  <c r="AW59" i="26" s="1"/>
  <c r="AC59" i="26"/>
  <c r="AX59" i="26" s="1"/>
  <c r="AD59" i="26"/>
  <c r="AY59" i="26" s="1"/>
  <c r="AE59" i="26"/>
  <c r="AZ59" i="26" s="1"/>
  <c r="AF59" i="26"/>
  <c r="BA59" i="26" s="1"/>
  <c r="AG59" i="26"/>
  <c r="BB59" i="26" s="1"/>
  <c r="AH59" i="26"/>
  <c r="BC59" i="26" s="1"/>
  <c r="AI59" i="26"/>
  <c r="BD59" i="26" s="1"/>
  <c r="AJ59" i="26"/>
  <c r="BE59" i="26" s="1"/>
  <c r="AK59" i="26"/>
  <c r="BF59" i="26" s="1"/>
  <c r="AL59" i="26"/>
  <c r="BG59" i="26" s="1"/>
  <c r="AM59" i="26"/>
  <c r="BH59" i="26" s="1"/>
  <c r="AN59" i="26"/>
  <c r="BI59" i="26" s="1"/>
  <c r="AO59" i="26"/>
  <c r="BJ59" i="26" s="1"/>
  <c r="AP59" i="26"/>
  <c r="BK59" i="26" s="1"/>
  <c r="AQ59" i="26"/>
  <c r="BL59" i="26" s="1"/>
  <c r="AR59" i="26"/>
  <c r="BM59" i="26" s="1"/>
  <c r="Y60" i="26"/>
  <c r="AT60" i="26" s="1"/>
  <c r="AA60" i="26"/>
  <c r="AV60" i="26" s="1"/>
  <c r="AB60" i="26"/>
  <c r="AW60" i="26" s="1"/>
  <c r="AC60" i="26"/>
  <c r="AX60" i="26" s="1"/>
  <c r="AD60" i="26"/>
  <c r="AY60" i="26" s="1"/>
  <c r="AE60" i="26"/>
  <c r="AZ60" i="26" s="1"/>
  <c r="AF60" i="26"/>
  <c r="BA60" i="26" s="1"/>
  <c r="AG60" i="26"/>
  <c r="BB60" i="26" s="1"/>
  <c r="AH60" i="26"/>
  <c r="BC60" i="26" s="1"/>
  <c r="AI60" i="26"/>
  <c r="BD60" i="26" s="1"/>
  <c r="AJ60" i="26"/>
  <c r="BE60" i="26" s="1"/>
  <c r="AK60" i="26"/>
  <c r="BF60" i="26" s="1"/>
  <c r="AL60" i="26"/>
  <c r="BG60" i="26" s="1"/>
  <c r="AM60" i="26"/>
  <c r="BH60" i="26" s="1"/>
  <c r="AN60" i="26"/>
  <c r="BI60" i="26" s="1"/>
  <c r="AO60" i="26"/>
  <c r="BJ60" i="26" s="1"/>
  <c r="AP60" i="26"/>
  <c r="BK60" i="26" s="1"/>
  <c r="AQ60" i="26"/>
  <c r="BL60" i="26" s="1"/>
  <c r="AR60" i="26"/>
  <c r="BM60" i="26" s="1"/>
  <c r="Y61" i="26"/>
  <c r="AT61" i="26" s="1"/>
  <c r="AA61" i="26"/>
  <c r="AV61" i="26" s="1"/>
  <c r="AB61" i="26"/>
  <c r="AW61" i="26" s="1"/>
  <c r="AC61" i="26"/>
  <c r="AX61" i="26" s="1"/>
  <c r="AD61" i="26"/>
  <c r="AY61" i="26" s="1"/>
  <c r="AE61" i="26"/>
  <c r="AZ61" i="26" s="1"/>
  <c r="AF61" i="26"/>
  <c r="BA61" i="26" s="1"/>
  <c r="AG61" i="26"/>
  <c r="BB61" i="26" s="1"/>
  <c r="AH61" i="26"/>
  <c r="BC61" i="26" s="1"/>
  <c r="AI61" i="26"/>
  <c r="BD61" i="26" s="1"/>
  <c r="AJ61" i="26"/>
  <c r="BE61" i="26" s="1"/>
  <c r="AK61" i="26"/>
  <c r="BF61" i="26" s="1"/>
  <c r="AL61" i="26"/>
  <c r="BG61" i="26" s="1"/>
  <c r="AM61" i="26"/>
  <c r="BH61" i="26" s="1"/>
  <c r="AN61" i="26"/>
  <c r="BI61" i="26" s="1"/>
  <c r="AO61" i="26"/>
  <c r="BJ61" i="26" s="1"/>
  <c r="AP61" i="26"/>
  <c r="BK61" i="26" s="1"/>
  <c r="AQ61" i="26"/>
  <c r="BL61" i="26" s="1"/>
  <c r="AR61" i="26"/>
  <c r="BM61" i="26" s="1"/>
  <c r="Y62" i="26"/>
  <c r="AT62" i="26" s="1"/>
  <c r="AA62" i="26"/>
  <c r="AV62" i="26" s="1"/>
  <c r="AB62" i="26"/>
  <c r="AW62" i="26" s="1"/>
  <c r="AC62" i="26"/>
  <c r="AX62" i="26" s="1"/>
  <c r="AD62" i="26"/>
  <c r="AY62" i="26" s="1"/>
  <c r="AE62" i="26"/>
  <c r="AZ62" i="26" s="1"/>
  <c r="AF62" i="26"/>
  <c r="BA62" i="26" s="1"/>
  <c r="AG62" i="26"/>
  <c r="BB62" i="26" s="1"/>
  <c r="AH62" i="26"/>
  <c r="BC62" i="26" s="1"/>
  <c r="AI62" i="26"/>
  <c r="BD62" i="26" s="1"/>
  <c r="AJ62" i="26"/>
  <c r="BE62" i="26" s="1"/>
  <c r="AK62" i="26"/>
  <c r="BF62" i="26" s="1"/>
  <c r="AL62" i="26"/>
  <c r="BG62" i="26" s="1"/>
  <c r="AM62" i="26"/>
  <c r="BH62" i="26" s="1"/>
  <c r="AN62" i="26"/>
  <c r="BI62" i="26" s="1"/>
  <c r="AO62" i="26"/>
  <c r="BJ62" i="26" s="1"/>
  <c r="AP62" i="26"/>
  <c r="BK62" i="26" s="1"/>
  <c r="AQ62" i="26"/>
  <c r="BL62" i="26" s="1"/>
  <c r="AR62" i="26"/>
  <c r="BM62" i="26" s="1"/>
  <c r="Y63" i="26"/>
  <c r="AT63" i="26" s="1"/>
  <c r="AA63" i="26"/>
  <c r="AV63" i="26" s="1"/>
  <c r="AB63" i="26"/>
  <c r="AW63" i="26" s="1"/>
  <c r="AC63" i="26"/>
  <c r="AX63" i="26" s="1"/>
  <c r="AD63" i="26"/>
  <c r="AY63" i="26" s="1"/>
  <c r="AE63" i="26"/>
  <c r="AZ63" i="26" s="1"/>
  <c r="AF63" i="26"/>
  <c r="BA63" i="26" s="1"/>
  <c r="AG63" i="26"/>
  <c r="BB63" i="26" s="1"/>
  <c r="AH63" i="26"/>
  <c r="BC63" i="26" s="1"/>
  <c r="AI63" i="26"/>
  <c r="BD63" i="26" s="1"/>
  <c r="AJ63" i="26"/>
  <c r="BE63" i="26" s="1"/>
  <c r="AK63" i="26"/>
  <c r="BF63" i="26" s="1"/>
  <c r="AL63" i="26"/>
  <c r="BG63" i="26" s="1"/>
  <c r="AM63" i="26"/>
  <c r="BH63" i="26" s="1"/>
  <c r="AN63" i="26"/>
  <c r="BI63" i="26" s="1"/>
  <c r="AO63" i="26"/>
  <c r="BJ63" i="26" s="1"/>
  <c r="AP63" i="26"/>
  <c r="BK63" i="26" s="1"/>
  <c r="AQ63" i="26"/>
  <c r="BL63" i="26" s="1"/>
  <c r="AR63" i="26"/>
  <c r="BM63" i="26" s="1"/>
  <c r="Y64" i="26"/>
  <c r="AT64" i="26" s="1"/>
  <c r="AA64" i="26"/>
  <c r="AV64" i="26" s="1"/>
  <c r="AB64" i="26"/>
  <c r="AW64" i="26" s="1"/>
  <c r="AC64" i="26"/>
  <c r="AX64" i="26" s="1"/>
  <c r="AD64" i="26"/>
  <c r="AY64" i="26" s="1"/>
  <c r="AE64" i="26"/>
  <c r="AZ64" i="26" s="1"/>
  <c r="AF64" i="26"/>
  <c r="BA64" i="26" s="1"/>
  <c r="AG64" i="26"/>
  <c r="BB64" i="26" s="1"/>
  <c r="AH64" i="26"/>
  <c r="BC64" i="26" s="1"/>
  <c r="AI64" i="26"/>
  <c r="BD64" i="26" s="1"/>
  <c r="AJ64" i="26"/>
  <c r="BE64" i="26" s="1"/>
  <c r="AK64" i="26"/>
  <c r="BF64" i="26" s="1"/>
  <c r="AL64" i="26"/>
  <c r="BG64" i="26" s="1"/>
  <c r="AM64" i="26"/>
  <c r="BH64" i="26" s="1"/>
  <c r="AN64" i="26"/>
  <c r="BI64" i="26" s="1"/>
  <c r="AO64" i="26"/>
  <c r="BJ64" i="26" s="1"/>
  <c r="AP64" i="26"/>
  <c r="BK64" i="26" s="1"/>
  <c r="AQ64" i="26"/>
  <c r="BL64" i="26" s="1"/>
  <c r="AR64" i="26"/>
  <c r="BM64" i="26" s="1"/>
  <c r="Y65" i="26"/>
  <c r="AT65" i="26" s="1"/>
  <c r="AA65" i="26"/>
  <c r="AV65" i="26" s="1"/>
  <c r="AB65" i="26"/>
  <c r="AW65" i="26" s="1"/>
  <c r="AC65" i="26"/>
  <c r="AX65" i="26" s="1"/>
  <c r="AD65" i="26"/>
  <c r="AY65" i="26" s="1"/>
  <c r="AE65" i="26"/>
  <c r="AZ65" i="26" s="1"/>
  <c r="AF65" i="26"/>
  <c r="BA65" i="26" s="1"/>
  <c r="AG65" i="26"/>
  <c r="BB65" i="26" s="1"/>
  <c r="AH65" i="26"/>
  <c r="BC65" i="26" s="1"/>
  <c r="AI65" i="26"/>
  <c r="BD65" i="26" s="1"/>
  <c r="AJ65" i="26"/>
  <c r="BE65" i="26" s="1"/>
  <c r="AK65" i="26"/>
  <c r="BF65" i="26" s="1"/>
  <c r="AL65" i="26"/>
  <c r="BG65" i="26" s="1"/>
  <c r="AM65" i="26"/>
  <c r="BH65" i="26" s="1"/>
  <c r="AN65" i="26"/>
  <c r="BI65" i="26" s="1"/>
  <c r="AO65" i="26"/>
  <c r="BJ65" i="26" s="1"/>
  <c r="AP65" i="26"/>
  <c r="BK65" i="26" s="1"/>
  <c r="AQ65" i="26"/>
  <c r="BL65" i="26" s="1"/>
  <c r="AR65" i="26"/>
  <c r="BM65" i="26" s="1"/>
  <c r="Y66" i="26"/>
  <c r="AT66" i="26" s="1"/>
  <c r="AA66" i="26"/>
  <c r="AV66" i="26" s="1"/>
  <c r="AB66" i="26"/>
  <c r="AW66" i="26" s="1"/>
  <c r="AC66" i="26"/>
  <c r="AX66" i="26" s="1"/>
  <c r="AD66" i="26"/>
  <c r="AY66" i="26" s="1"/>
  <c r="AE66" i="26"/>
  <c r="AZ66" i="26" s="1"/>
  <c r="AF66" i="26"/>
  <c r="BA66" i="26" s="1"/>
  <c r="AG66" i="26"/>
  <c r="BB66" i="26" s="1"/>
  <c r="AH66" i="26"/>
  <c r="BC66" i="26" s="1"/>
  <c r="AI66" i="26"/>
  <c r="BD66" i="26" s="1"/>
  <c r="AJ66" i="26"/>
  <c r="BE66" i="26" s="1"/>
  <c r="AK66" i="26"/>
  <c r="BF66" i="26" s="1"/>
  <c r="AL66" i="26"/>
  <c r="BG66" i="26" s="1"/>
  <c r="AM66" i="26"/>
  <c r="BH66" i="26" s="1"/>
  <c r="AN66" i="26"/>
  <c r="BI66" i="26" s="1"/>
  <c r="AO66" i="26"/>
  <c r="BJ66" i="26" s="1"/>
  <c r="AP66" i="26"/>
  <c r="BK66" i="26" s="1"/>
  <c r="AQ66" i="26"/>
  <c r="BL66" i="26" s="1"/>
  <c r="AR66" i="26"/>
  <c r="BM66" i="26" s="1"/>
  <c r="Y67" i="26"/>
  <c r="AT67" i="26" s="1"/>
  <c r="AA67" i="26"/>
  <c r="AV67" i="26" s="1"/>
  <c r="AB67" i="26"/>
  <c r="AW67" i="26" s="1"/>
  <c r="AC67" i="26"/>
  <c r="AX67" i="26" s="1"/>
  <c r="AD67" i="26"/>
  <c r="AY67" i="26" s="1"/>
  <c r="AE67" i="26"/>
  <c r="AZ67" i="26" s="1"/>
  <c r="AF67" i="26"/>
  <c r="BA67" i="26" s="1"/>
  <c r="AG67" i="26"/>
  <c r="BB67" i="26" s="1"/>
  <c r="AH67" i="26"/>
  <c r="BC67" i="26" s="1"/>
  <c r="AI67" i="26"/>
  <c r="BD67" i="26" s="1"/>
  <c r="AJ67" i="26"/>
  <c r="BE67" i="26" s="1"/>
  <c r="AK67" i="26"/>
  <c r="BF67" i="26" s="1"/>
  <c r="AL67" i="26"/>
  <c r="BG67" i="26" s="1"/>
  <c r="AM67" i="26"/>
  <c r="BH67" i="26" s="1"/>
  <c r="AN67" i="26"/>
  <c r="BI67" i="26" s="1"/>
  <c r="AO67" i="26"/>
  <c r="BJ67" i="26" s="1"/>
  <c r="AP67" i="26"/>
  <c r="BK67" i="26" s="1"/>
  <c r="AQ67" i="26"/>
  <c r="BL67" i="26" s="1"/>
  <c r="AR67" i="26"/>
  <c r="BM67" i="26" s="1"/>
  <c r="Y68" i="26"/>
  <c r="AT68" i="26" s="1"/>
  <c r="AA68" i="26"/>
  <c r="AV68" i="26" s="1"/>
  <c r="AB68" i="26"/>
  <c r="AW68" i="26" s="1"/>
  <c r="AC68" i="26"/>
  <c r="AX68" i="26" s="1"/>
  <c r="AD68" i="26"/>
  <c r="AY68" i="26" s="1"/>
  <c r="AE68" i="26"/>
  <c r="AZ68" i="26" s="1"/>
  <c r="AF68" i="26"/>
  <c r="BA68" i="26" s="1"/>
  <c r="AG68" i="26"/>
  <c r="BB68" i="26" s="1"/>
  <c r="AH68" i="26"/>
  <c r="BC68" i="26" s="1"/>
  <c r="AI68" i="26"/>
  <c r="BD68" i="26" s="1"/>
  <c r="AJ68" i="26"/>
  <c r="BE68" i="26" s="1"/>
  <c r="AK68" i="26"/>
  <c r="BF68" i="26" s="1"/>
  <c r="AL68" i="26"/>
  <c r="BG68" i="26" s="1"/>
  <c r="AM68" i="26"/>
  <c r="BH68" i="26" s="1"/>
  <c r="AN68" i="26"/>
  <c r="BI68" i="26" s="1"/>
  <c r="AO68" i="26"/>
  <c r="BJ68" i="26" s="1"/>
  <c r="AP68" i="26"/>
  <c r="BK68" i="26" s="1"/>
  <c r="AQ68" i="26"/>
  <c r="BL68" i="26" s="1"/>
  <c r="AR68" i="26"/>
  <c r="BM68" i="26" s="1"/>
  <c r="Y69" i="26"/>
  <c r="AT69" i="26" s="1"/>
  <c r="AA69" i="26"/>
  <c r="AV69" i="26" s="1"/>
  <c r="AB69" i="26"/>
  <c r="AW69" i="26" s="1"/>
  <c r="AC69" i="26"/>
  <c r="AX69" i="26" s="1"/>
  <c r="AD69" i="26"/>
  <c r="AY69" i="26" s="1"/>
  <c r="AE69" i="26"/>
  <c r="AZ69" i="26" s="1"/>
  <c r="AF69" i="26"/>
  <c r="BA69" i="26" s="1"/>
  <c r="AG69" i="26"/>
  <c r="BB69" i="26" s="1"/>
  <c r="AH69" i="26"/>
  <c r="BC69" i="26" s="1"/>
  <c r="AI69" i="26"/>
  <c r="BD69" i="26" s="1"/>
  <c r="AJ69" i="26"/>
  <c r="BE69" i="26" s="1"/>
  <c r="AK69" i="26"/>
  <c r="BF69" i="26" s="1"/>
  <c r="AL69" i="26"/>
  <c r="BG69" i="26" s="1"/>
  <c r="AM69" i="26"/>
  <c r="BH69" i="26" s="1"/>
  <c r="AN69" i="26"/>
  <c r="BI69" i="26" s="1"/>
  <c r="AO69" i="26"/>
  <c r="BJ69" i="26" s="1"/>
  <c r="AP69" i="26"/>
  <c r="BK69" i="26" s="1"/>
  <c r="AQ69" i="26"/>
  <c r="BL69" i="26" s="1"/>
  <c r="AR69" i="26"/>
  <c r="BM69" i="26" s="1"/>
  <c r="Y70" i="26"/>
  <c r="AT70" i="26" s="1"/>
  <c r="AA70" i="26"/>
  <c r="AV70" i="26" s="1"/>
  <c r="AB70" i="26"/>
  <c r="AW70" i="26" s="1"/>
  <c r="AC70" i="26"/>
  <c r="AX70" i="26" s="1"/>
  <c r="AD70" i="26"/>
  <c r="AY70" i="26" s="1"/>
  <c r="AE70" i="26"/>
  <c r="AZ70" i="26" s="1"/>
  <c r="AF70" i="26"/>
  <c r="BA70" i="26" s="1"/>
  <c r="AG70" i="26"/>
  <c r="BB70" i="26" s="1"/>
  <c r="AH70" i="26"/>
  <c r="BC70" i="26" s="1"/>
  <c r="AI70" i="26"/>
  <c r="BD70" i="26" s="1"/>
  <c r="AJ70" i="26"/>
  <c r="BE70" i="26" s="1"/>
  <c r="AK70" i="26"/>
  <c r="BF70" i="26" s="1"/>
  <c r="AL70" i="26"/>
  <c r="BG70" i="26" s="1"/>
  <c r="AM70" i="26"/>
  <c r="BH70" i="26" s="1"/>
  <c r="AN70" i="26"/>
  <c r="BI70" i="26" s="1"/>
  <c r="AO70" i="26"/>
  <c r="BJ70" i="26" s="1"/>
  <c r="AP70" i="26"/>
  <c r="BK70" i="26" s="1"/>
  <c r="AQ70" i="26"/>
  <c r="BL70" i="26" s="1"/>
  <c r="AR70" i="26"/>
  <c r="BM70" i="26" s="1"/>
  <c r="Y71" i="26"/>
  <c r="AT71" i="26" s="1"/>
  <c r="AA71" i="26"/>
  <c r="AV71" i="26" s="1"/>
  <c r="AB71" i="26"/>
  <c r="AW71" i="26" s="1"/>
  <c r="AC71" i="26"/>
  <c r="AX71" i="26" s="1"/>
  <c r="AD71" i="26"/>
  <c r="AY71" i="26" s="1"/>
  <c r="AE71" i="26"/>
  <c r="AZ71" i="26" s="1"/>
  <c r="AF71" i="26"/>
  <c r="BA71" i="26" s="1"/>
  <c r="AG71" i="26"/>
  <c r="BB71" i="26" s="1"/>
  <c r="AH71" i="26"/>
  <c r="BC71" i="26" s="1"/>
  <c r="AI71" i="26"/>
  <c r="BD71" i="26" s="1"/>
  <c r="AJ71" i="26"/>
  <c r="BE71" i="26" s="1"/>
  <c r="AK71" i="26"/>
  <c r="BF71" i="26" s="1"/>
  <c r="AL71" i="26"/>
  <c r="BG71" i="26" s="1"/>
  <c r="AM71" i="26"/>
  <c r="BH71" i="26" s="1"/>
  <c r="AN71" i="26"/>
  <c r="BI71" i="26" s="1"/>
  <c r="AO71" i="26"/>
  <c r="BJ71" i="26" s="1"/>
  <c r="AP71" i="26"/>
  <c r="BK71" i="26" s="1"/>
  <c r="AQ71" i="26"/>
  <c r="BL71" i="26" s="1"/>
  <c r="AR71" i="26"/>
  <c r="BM71" i="26" s="1"/>
  <c r="Y72" i="26"/>
  <c r="AT72" i="26" s="1"/>
  <c r="AA72" i="26"/>
  <c r="AV72" i="26" s="1"/>
  <c r="AB72" i="26"/>
  <c r="AW72" i="26" s="1"/>
  <c r="AC72" i="26"/>
  <c r="AX72" i="26" s="1"/>
  <c r="AD72" i="26"/>
  <c r="AY72" i="26" s="1"/>
  <c r="AE72" i="26"/>
  <c r="AZ72" i="26" s="1"/>
  <c r="AF72" i="26"/>
  <c r="BA72" i="26" s="1"/>
  <c r="AG72" i="26"/>
  <c r="BB72" i="26" s="1"/>
  <c r="AH72" i="26"/>
  <c r="BC72" i="26" s="1"/>
  <c r="AI72" i="26"/>
  <c r="BD72" i="26" s="1"/>
  <c r="AJ72" i="26"/>
  <c r="BE72" i="26" s="1"/>
  <c r="AK72" i="26"/>
  <c r="BF72" i="26" s="1"/>
  <c r="AL72" i="26"/>
  <c r="BG72" i="26" s="1"/>
  <c r="AM72" i="26"/>
  <c r="BH72" i="26" s="1"/>
  <c r="AN72" i="26"/>
  <c r="BI72" i="26" s="1"/>
  <c r="AO72" i="26"/>
  <c r="BJ72" i="26" s="1"/>
  <c r="AP72" i="26"/>
  <c r="BK72" i="26" s="1"/>
  <c r="AQ72" i="26"/>
  <c r="BL72" i="26" s="1"/>
  <c r="AR72" i="26"/>
  <c r="BM72" i="26" s="1"/>
  <c r="Y73" i="26"/>
  <c r="AT73" i="26" s="1"/>
  <c r="AA73" i="26"/>
  <c r="AV73" i="26" s="1"/>
  <c r="AB73" i="26"/>
  <c r="AW73" i="26" s="1"/>
  <c r="AC73" i="26"/>
  <c r="AX73" i="26" s="1"/>
  <c r="AD73" i="26"/>
  <c r="AY73" i="26" s="1"/>
  <c r="AE73" i="26"/>
  <c r="AZ73" i="26" s="1"/>
  <c r="AF73" i="26"/>
  <c r="BA73" i="26" s="1"/>
  <c r="AG73" i="26"/>
  <c r="BB73" i="26" s="1"/>
  <c r="AH73" i="26"/>
  <c r="BC73" i="26" s="1"/>
  <c r="AI73" i="26"/>
  <c r="BD73" i="26" s="1"/>
  <c r="AJ73" i="26"/>
  <c r="BE73" i="26" s="1"/>
  <c r="AK73" i="26"/>
  <c r="BF73" i="26" s="1"/>
  <c r="AL73" i="26"/>
  <c r="BG73" i="26" s="1"/>
  <c r="AM73" i="26"/>
  <c r="BH73" i="26" s="1"/>
  <c r="AN73" i="26"/>
  <c r="BI73" i="26" s="1"/>
  <c r="AO73" i="26"/>
  <c r="BJ73" i="26" s="1"/>
  <c r="AP73" i="26"/>
  <c r="BK73" i="26" s="1"/>
  <c r="AQ73" i="26"/>
  <c r="BL73" i="26" s="1"/>
  <c r="AR73" i="26"/>
  <c r="BM73" i="26" s="1"/>
  <c r="Y74" i="26"/>
  <c r="AT74" i="26" s="1"/>
  <c r="AA74" i="26"/>
  <c r="AV74" i="26" s="1"/>
  <c r="AB74" i="26"/>
  <c r="AW74" i="26" s="1"/>
  <c r="AC74" i="26"/>
  <c r="AX74" i="26" s="1"/>
  <c r="AD74" i="26"/>
  <c r="AY74" i="26" s="1"/>
  <c r="AE74" i="26"/>
  <c r="AZ74" i="26" s="1"/>
  <c r="AF74" i="26"/>
  <c r="BA74" i="26" s="1"/>
  <c r="AG74" i="26"/>
  <c r="BB74" i="26" s="1"/>
  <c r="AH74" i="26"/>
  <c r="BC74" i="26" s="1"/>
  <c r="AI74" i="26"/>
  <c r="BD74" i="26" s="1"/>
  <c r="AJ74" i="26"/>
  <c r="BE74" i="26" s="1"/>
  <c r="AK74" i="26"/>
  <c r="BF74" i="26" s="1"/>
  <c r="AL74" i="26"/>
  <c r="BG74" i="26" s="1"/>
  <c r="AM74" i="26"/>
  <c r="BH74" i="26" s="1"/>
  <c r="AN74" i="26"/>
  <c r="BI74" i="26" s="1"/>
  <c r="AO74" i="26"/>
  <c r="BJ74" i="26" s="1"/>
  <c r="AP74" i="26"/>
  <c r="BK74" i="26" s="1"/>
  <c r="AQ74" i="26"/>
  <c r="BL74" i="26" s="1"/>
  <c r="AR74" i="26"/>
  <c r="BM74" i="26" s="1"/>
  <c r="Y75" i="26"/>
  <c r="AT75" i="26" s="1"/>
  <c r="AA75" i="26"/>
  <c r="AV75" i="26" s="1"/>
  <c r="AB75" i="26"/>
  <c r="AW75" i="26" s="1"/>
  <c r="AC75" i="26"/>
  <c r="AX75" i="26" s="1"/>
  <c r="AD75" i="26"/>
  <c r="AY75" i="26" s="1"/>
  <c r="AE75" i="26"/>
  <c r="AZ75" i="26" s="1"/>
  <c r="AF75" i="26"/>
  <c r="BA75" i="26" s="1"/>
  <c r="AG75" i="26"/>
  <c r="BB75" i="26" s="1"/>
  <c r="AH75" i="26"/>
  <c r="BC75" i="26" s="1"/>
  <c r="AI75" i="26"/>
  <c r="BD75" i="26" s="1"/>
  <c r="AJ75" i="26"/>
  <c r="BE75" i="26" s="1"/>
  <c r="AK75" i="26"/>
  <c r="BF75" i="26" s="1"/>
  <c r="AL75" i="26"/>
  <c r="BG75" i="26" s="1"/>
  <c r="AM75" i="26"/>
  <c r="BH75" i="26" s="1"/>
  <c r="AN75" i="26"/>
  <c r="BI75" i="26" s="1"/>
  <c r="AO75" i="26"/>
  <c r="BJ75" i="26" s="1"/>
  <c r="AP75" i="26"/>
  <c r="BK75" i="26" s="1"/>
  <c r="AQ75" i="26"/>
  <c r="BL75" i="26" s="1"/>
  <c r="AR75" i="26"/>
  <c r="BM75" i="26" s="1"/>
  <c r="Y76" i="26"/>
  <c r="AT76" i="26" s="1"/>
  <c r="AA76" i="26"/>
  <c r="AV76" i="26" s="1"/>
  <c r="AB76" i="26"/>
  <c r="AW76" i="26" s="1"/>
  <c r="AC76" i="26"/>
  <c r="AX76" i="26" s="1"/>
  <c r="AD76" i="26"/>
  <c r="AY76" i="26" s="1"/>
  <c r="AE76" i="26"/>
  <c r="AZ76" i="26" s="1"/>
  <c r="AF76" i="26"/>
  <c r="BA76" i="26" s="1"/>
  <c r="AG76" i="26"/>
  <c r="BB76" i="26" s="1"/>
  <c r="AH76" i="26"/>
  <c r="BC76" i="26" s="1"/>
  <c r="AI76" i="26"/>
  <c r="BD76" i="26" s="1"/>
  <c r="AJ76" i="26"/>
  <c r="BE76" i="26" s="1"/>
  <c r="AK76" i="26"/>
  <c r="BF76" i="26" s="1"/>
  <c r="AL76" i="26"/>
  <c r="BG76" i="26" s="1"/>
  <c r="AM76" i="26"/>
  <c r="BH76" i="26" s="1"/>
  <c r="AN76" i="26"/>
  <c r="BI76" i="26" s="1"/>
  <c r="AO76" i="26"/>
  <c r="BJ76" i="26" s="1"/>
  <c r="AP76" i="26"/>
  <c r="BK76" i="26" s="1"/>
  <c r="AQ76" i="26"/>
  <c r="BL76" i="26" s="1"/>
  <c r="AR76" i="26"/>
  <c r="BM76" i="26" s="1"/>
  <c r="Y77" i="26"/>
  <c r="AT77" i="26" s="1"/>
  <c r="AA77" i="26"/>
  <c r="AV77" i="26" s="1"/>
  <c r="AB77" i="26"/>
  <c r="AW77" i="26" s="1"/>
  <c r="AC77" i="26"/>
  <c r="AX77" i="26" s="1"/>
  <c r="AD77" i="26"/>
  <c r="AY77" i="26" s="1"/>
  <c r="AE77" i="26"/>
  <c r="AZ77" i="26" s="1"/>
  <c r="AF77" i="26"/>
  <c r="BA77" i="26" s="1"/>
  <c r="AG77" i="26"/>
  <c r="BB77" i="26" s="1"/>
  <c r="AH77" i="26"/>
  <c r="BC77" i="26" s="1"/>
  <c r="AI77" i="26"/>
  <c r="BD77" i="26" s="1"/>
  <c r="AJ77" i="26"/>
  <c r="BE77" i="26" s="1"/>
  <c r="AK77" i="26"/>
  <c r="BF77" i="26" s="1"/>
  <c r="AL77" i="26"/>
  <c r="BG77" i="26" s="1"/>
  <c r="AM77" i="26"/>
  <c r="BH77" i="26" s="1"/>
  <c r="AN77" i="26"/>
  <c r="BI77" i="26" s="1"/>
  <c r="AO77" i="26"/>
  <c r="BJ77" i="26" s="1"/>
  <c r="AP77" i="26"/>
  <c r="BK77" i="26" s="1"/>
  <c r="AQ77" i="26"/>
  <c r="BL77" i="26" s="1"/>
  <c r="AR77" i="26"/>
  <c r="BM77" i="26" s="1"/>
  <c r="Y78" i="26"/>
  <c r="AT78" i="26" s="1"/>
  <c r="AA78" i="26"/>
  <c r="AV78" i="26" s="1"/>
  <c r="AB78" i="26"/>
  <c r="AW78" i="26" s="1"/>
  <c r="AC78" i="26"/>
  <c r="AX78" i="26" s="1"/>
  <c r="AD78" i="26"/>
  <c r="AY78" i="26" s="1"/>
  <c r="AE78" i="26"/>
  <c r="AZ78" i="26" s="1"/>
  <c r="AF78" i="26"/>
  <c r="BA78" i="26" s="1"/>
  <c r="AG78" i="26"/>
  <c r="BB78" i="26" s="1"/>
  <c r="AH78" i="26"/>
  <c r="BC78" i="26" s="1"/>
  <c r="AI78" i="26"/>
  <c r="BD78" i="26" s="1"/>
  <c r="AJ78" i="26"/>
  <c r="BE78" i="26" s="1"/>
  <c r="AK78" i="26"/>
  <c r="BF78" i="26" s="1"/>
  <c r="AL78" i="26"/>
  <c r="BG78" i="26" s="1"/>
  <c r="AM78" i="26"/>
  <c r="BH78" i="26" s="1"/>
  <c r="AN78" i="26"/>
  <c r="BI78" i="26" s="1"/>
  <c r="AO78" i="26"/>
  <c r="BJ78" i="26" s="1"/>
  <c r="AP78" i="26"/>
  <c r="BK78" i="26" s="1"/>
  <c r="AQ78" i="26"/>
  <c r="BL78" i="26" s="1"/>
  <c r="AR78" i="26"/>
  <c r="BM78" i="26" s="1"/>
  <c r="Y79" i="26"/>
  <c r="AT79" i="26" s="1"/>
  <c r="AA79" i="26"/>
  <c r="AV79" i="26" s="1"/>
  <c r="AB79" i="26"/>
  <c r="AW79" i="26" s="1"/>
  <c r="AC79" i="26"/>
  <c r="AX79" i="26" s="1"/>
  <c r="AD79" i="26"/>
  <c r="AY79" i="26" s="1"/>
  <c r="AE79" i="26"/>
  <c r="AZ79" i="26" s="1"/>
  <c r="AF79" i="26"/>
  <c r="BA79" i="26" s="1"/>
  <c r="AG79" i="26"/>
  <c r="BB79" i="26" s="1"/>
  <c r="AH79" i="26"/>
  <c r="BC79" i="26" s="1"/>
  <c r="AI79" i="26"/>
  <c r="BD79" i="26" s="1"/>
  <c r="AJ79" i="26"/>
  <c r="BE79" i="26" s="1"/>
  <c r="AK79" i="26"/>
  <c r="BF79" i="26" s="1"/>
  <c r="AL79" i="26"/>
  <c r="BG79" i="26" s="1"/>
  <c r="AM79" i="26"/>
  <c r="BH79" i="26" s="1"/>
  <c r="AN79" i="26"/>
  <c r="BI79" i="26" s="1"/>
  <c r="AO79" i="26"/>
  <c r="BJ79" i="26" s="1"/>
  <c r="AP79" i="26"/>
  <c r="BK79" i="26" s="1"/>
  <c r="AQ79" i="26"/>
  <c r="BL79" i="26" s="1"/>
  <c r="AR79" i="26"/>
  <c r="BM79" i="26" s="1"/>
  <c r="Y80" i="26"/>
  <c r="AT80" i="26" s="1"/>
  <c r="AA80" i="26"/>
  <c r="AV80" i="26" s="1"/>
  <c r="AB80" i="26"/>
  <c r="AW80" i="26" s="1"/>
  <c r="AC80" i="26"/>
  <c r="AX80" i="26" s="1"/>
  <c r="AD80" i="26"/>
  <c r="AY80" i="26" s="1"/>
  <c r="AE80" i="26"/>
  <c r="AZ80" i="26" s="1"/>
  <c r="AF80" i="26"/>
  <c r="BA80" i="26" s="1"/>
  <c r="AG80" i="26"/>
  <c r="BB80" i="26" s="1"/>
  <c r="AH80" i="26"/>
  <c r="BC80" i="26" s="1"/>
  <c r="AI80" i="26"/>
  <c r="BD80" i="26" s="1"/>
  <c r="AJ80" i="26"/>
  <c r="BE80" i="26" s="1"/>
  <c r="AK80" i="26"/>
  <c r="BF80" i="26" s="1"/>
  <c r="AL80" i="26"/>
  <c r="BG80" i="26" s="1"/>
  <c r="AM80" i="26"/>
  <c r="BH80" i="26" s="1"/>
  <c r="AN80" i="26"/>
  <c r="BI80" i="26" s="1"/>
  <c r="AO80" i="26"/>
  <c r="BJ80" i="26" s="1"/>
  <c r="AP80" i="26"/>
  <c r="BK80" i="26" s="1"/>
  <c r="AQ80" i="26"/>
  <c r="BL80" i="26" s="1"/>
  <c r="AR80" i="26"/>
  <c r="BM80" i="26" s="1"/>
  <c r="Y81" i="26"/>
  <c r="AT81" i="26" s="1"/>
  <c r="AA81" i="26"/>
  <c r="AV81" i="26" s="1"/>
  <c r="AB81" i="26"/>
  <c r="AW81" i="26" s="1"/>
  <c r="AC81" i="26"/>
  <c r="AX81" i="26" s="1"/>
  <c r="AD81" i="26"/>
  <c r="AY81" i="26" s="1"/>
  <c r="AE81" i="26"/>
  <c r="AZ81" i="26" s="1"/>
  <c r="AF81" i="26"/>
  <c r="BA81" i="26" s="1"/>
  <c r="AG81" i="26"/>
  <c r="BB81" i="26" s="1"/>
  <c r="AH81" i="26"/>
  <c r="BC81" i="26" s="1"/>
  <c r="AI81" i="26"/>
  <c r="BD81" i="26" s="1"/>
  <c r="AJ81" i="26"/>
  <c r="BE81" i="26" s="1"/>
  <c r="AK81" i="26"/>
  <c r="BF81" i="26" s="1"/>
  <c r="AL81" i="26"/>
  <c r="BG81" i="26" s="1"/>
  <c r="AM81" i="26"/>
  <c r="BH81" i="26" s="1"/>
  <c r="AN81" i="26"/>
  <c r="BI81" i="26" s="1"/>
  <c r="AO81" i="26"/>
  <c r="BJ81" i="26" s="1"/>
  <c r="AP81" i="26"/>
  <c r="BK81" i="26" s="1"/>
  <c r="AQ81" i="26"/>
  <c r="BL81" i="26" s="1"/>
  <c r="AR81" i="26"/>
  <c r="BM81" i="26" s="1"/>
  <c r="Y82" i="26"/>
  <c r="AT82" i="26" s="1"/>
  <c r="AA82" i="26"/>
  <c r="AV82" i="26" s="1"/>
  <c r="AB82" i="26"/>
  <c r="AW82" i="26" s="1"/>
  <c r="AC82" i="26"/>
  <c r="AX82" i="26" s="1"/>
  <c r="AD82" i="26"/>
  <c r="AY82" i="26" s="1"/>
  <c r="AE82" i="26"/>
  <c r="AZ82" i="26" s="1"/>
  <c r="AF82" i="26"/>
  <c r="BA82" i="26" s="1"/>
  <c r="AG82" i="26"/>
  <c r="BB82" i="26" s="1"/>
  <c r="AH82" i="26"/>
  <c r="BC82" i="26" s="1"/>
  <c r="AI82" i="26"/>
  <c r="BD82" i="26" s="1"/>
  <c r="AJ82" i="26"/>
  <c r="BE82" i="26" s="1"/>
  <c r="AK82" i="26"/>
  <c r="BF82" i="26" s="1"/>
  <c r="AL82" i="26"/>
  <c r="BG82" i="26" s="1"/>
  <c r="AM82" i="26"/>
  <c r="BH82" i="26" s="1"/>
  <c r="AN82" i="26"/>
  <c r="BI82" i="26" s="1"/>
  <c r="AO82" i="26"/>
  <c r="BJ82" i="26" s="1"/>
  <c r="AP82" i="26"/>
  <c r="BK82" i="26" s="1"/>
  <c r="AQ82" i="26"/>
  <c r="BL82" i="26" s="1"/>
  <c r="AR82" i="26"/>
  <c r="BM82" i="26" s="1"/>
  <c r="Y83" i="26"/>
  <c r="AT83" i="26" s="1"/>
  <c r="AA83" i="26"/>
  <c r="AV83" i="26" s="1"/>
  <c r="AB83" i="26"/>
  <c r="AW83" i="26" s="1"/>
  <c r="AC83" i="26"/>
  <c r="AX83" i="26" s="1"/>
  <c r="AD83" i="26"/>
  <c r="AY83" i="26" s="1"/>
  <c r="AE83" i="26"/>
  <c r="AZ83" i="26" s="1"/>
  <c r="AF83" i="26"/>
  <c r="BA83" i="26" s="1"/>
  <c r="AG83" i="26"/>
  <c r="BB83" i="26" s="1"/>
  <c r="AH83" i="26"/>
  <c r="BC83" i="26" s="1"/>
  <c r="AI83" i="26"/>
  <c r="BD83" i="26" s="1"/>
  <c r="AJ83" i="26"/>
  <c r="BE83" i="26" s="1"/>
  <c r="AK83" i="26"/>
  <c r="BF83" i="26" s="1"/>
  <c r="AL83" i="26"/>
  <c r="BG83" i="26" s="1"/>
  <c r="AM83" i="26"/>
  <c r="BH83" i="26" s="1"/>
  <c r="AN83" i="26"/>
  <c r="BI83" i="26" s="1"/>
  <c r="AO83" i="26"/>
  <c r="BJ83" i="26" s="1"/>
  <c r="AP83" i="26"/>
  <c r="BK83" i="26" s="1"/>
  <c r="AQ83" i="26"/>
  <c r="BL83" i="26" s="1"/>
  <c r="AR83" i="26"/>
  <c r="BM83" i="26" s="1"/>
  <c r="Y84" i="26"/>
  <c r="AT84" i="26" s="1"/>
  <c r="AA84" i="26"/>
  <c r="AV84" i="26" s="1"/>
  <c r="AB84" i="26"/>
  <c r="AW84" i="26" s="1"/>
  <c r="AC84" i="26"/>
  <c r="AX84" i="26" s="1"/>
  <c r="AD84" i="26"/>
  <c r="AY84" i="26" s="1"/>
  <c r="AE84" i="26"/>
  <c r="AZ84" i="26" s="1"/>
  <c r="AF84" i="26"/>
  <c r="BA84" i="26" s="1"/>
  <c r="AG84" i="26"/>
  <c r="BB84" i="26" s="1"/>
  <c r="AH84" i="26"/>
  <c r="BC84" i="26" s="1"/>
  <c r="AI84" i="26"/>
  <c r="BD84" i="26" s="1"/>
  <c r="AJ84" i="26"/>
  <c r="BE84" i="26" s="1"/>
  <c r="AK84" i="26"/>
  <c r="BF84" i="26" s="1"/>
  <c r="AL84" i="26"/>
  <c r="BG84" i="26" s="1"/>
  <c r="AM84" i="26"/>
  <c r="BH84" i="26" s="1"/>
  <c r="AN84" i="26"/>
  <c r="BI84" i="26" s="1"/>
  <c r="AO84" i="26"/>
  <c r="BJ84" i="26" s="1"/>
  <c r="AP84" i="26"/>
  <c r="BK84" i="26" s="1"/>
  <c r="AQ84" i="26"/>
  <c r="BL84" i="26" s="1"/>
  <c r="AR84" i="26"/>
  <c r="BM84" i="26" s="1"/>
  <c r="Y85" i="26"/>
  <c r="AT85" i="26" s="1"/>
  <c r="AA85" i="26"/>
  <c r="AV85" i="26" s="1"/>
  <c r="AB85" i="26"/>
  <c r="AW85" i="26" s="1"/>
  <c r="AC85" i="26"/>
  <c r="AX85" i="26" s="1"/>
  <c r="AD85" i="26"/>
  <c r="AY85" i="26" s="1"/>
  <c r="AE85" i="26"/>
  <c r="AZ85" i="26" s="1"/>
  <c r="AF85" i="26"/>
  <c r="BA85" i="26" s="1"/>
  <c r="AG85" i="26"/>
  <c r="BB85" i="26" s="1"/>
  <c r="AH85" i="26"/>
  <c r="BC85" i="26" s="1"/>
  <c r="AI85" i="26"/>
  <c r="BD85" i="26" s="1"/>
  <c r="AJ85" i="26"/>
  <c r="BE85" i="26" s="1"/>
  <c r="AK85" i="26"/>
  <c r="BF85" i="26" s="1"/>
  <c r="AL85" i="26"/>
  <c r="BG85" i="26" s="1"/>
  <c r="AM85" i="26"/>
  <c r="BH85" i="26" s="1"/>
  <c r="AN85" i="26"/>
  <c r="BI85" i="26" s="1"/>
  <c r="AO85" i="26"/>
  <c r="BJ85" i="26" s="1"/>
  <c r="AP85" i="26"/>
  <c r="BK85" i="26" s="1"/>
  <c r="AQ85" i="26"/>
  <c r="BL85" i="26" s="1"/>
  <c r="AR85" i="26"/>
  <c r="BM85" i="26" s="1"/>
  <c r="Y86" i="26"/>
  <c r="AT86" i="26" s="1"/>
  <c r="AA86" i="26"/>
  <c r="AV86" i="26" s="1"/>
  <c r="AB86" i="26"/>
  <c r="AW86" i="26" s="1"/>
  <c r="AC86" i="26"/>
  <c r="AX86" i="26" s="1"/>
  <c r="AD86" i="26"/>
  <c r="AY86" i="26" s="1"/>
  <c r="AE86" i="26"/>
  <c r="AZ86" i="26" s="1"/>
  <c r="AF86" i="26"/>
  <c r="BA86" i="26" s="1"/>
  <c r="AG86" i="26"/>
  <c r="BB86" i="26" s="1"/>
  <c r="AH86" i="26"/>
  <c r="BC86" i="26" s="1"/>
  <c r="AI86" i="26"/>
  <c r="BD86" i="26" s="1"/>
  <c r="AJ86" i="26"/>
  <c r="BE86" i="26" s="1"/>
  <c r="AK86" i="26"/>
  <c r="BF86" i="26" s="1"/>
  <c r="AL86" i="26"/>
  <c r="BG86" i="26" s="1"/>
  <c r="AM86" i="26"/>
  <c r="BH86" i="26" s="1"/>
  <c r="AN86" i="26"/>
  <c r="BI86" i="26" s="1"/>
  <c r="AO86" i="26"/>
  <c r="BJ86" i="26" s="1"/>
  <c r="AP86" i="26"/>
  <c r="BK86" i="26" s="1"/>
  <c r="AQ86" i="26"/>
  <c r="BL86" i="26" s="1"/>
  <c r="AR86" i="26"/>
  <c r="BM86" i="26" s="1"/>
  <c r="Y87" i="26"/>
  <c r="AT87" i="26" s="1"/>
  <c r="AA87" i="26"/>
  <c r="AV87" i="26" s="1"/>
  <c r="AB87" i="26"/>
  <c r="AW87" i="26" s="1"/>
  <c r="AC87" i="26"/>
  <c r="AX87" i="26" s="1"/>
  <c r="AD87" i="26"/>
  <c r="AY87" i="26" s="1"/>
  <c r="AE87" i="26"/>
  <c r="AZ87" i="26" s="1"/>
  <c r="AF87" i="26"/>
  <c r="BA87" i="26" s="1"/>
  <c r="AG87" i="26"/>
  <c r="BB87" i="26" s="1"/>
  <c r="AH87" i="26"/>
  <c r="BC87" i="26" s="1"/>
  <c r="AI87" i="26"/>
  <c r="BD87" i="26" s="1"/>
  <c r="AJ87" i="26"/>
  <c r="BE87" i="26" s="1"/>
  <c r="AK87" i="26"/>
  <c r="BF87" i="26" s="1"/>
  <c r="AL87" i="26"/>
  <c r="BG87" i="26" s="1"/>
  <c r="AM87" i="26"/>
  <c r="BH87" i="26" s="1"/>
  <c r="AN87" i="26"/>
  <c r="BI87" i="26" s="1"/>
  <c r="AO87" i="26"/>
  <c r="BJ87" i="26" s="1"/>
  <c r="AP87" i="26"/>
  <c r="BK87" i="26" s="1"/>
  <c r="AQ87" i="26"/>
  <c r="BL87" i="26" s="1"/>
  <c r="AR87" i="26"/>
  <c r="BM87" i="26" s="1"/>
  <c r="Y88" i="26"/>
  <c r="AT88" i="26" s="1"/>
  <c r="AA88" i="26"/>
  <c r="AV88" i="26" s="1"/>
  <c r="AB88" i="26"/>
  <c r="AW88" i="26" s="1"/>
  <c r="AC88" i="26"/>
  <c r="AX88" i="26" s="1"/>
  <c r="AD88" i="26"/>
  <c r="AY88" i="26" s="1"/>
  <c r="AE88" i="26"/>
  <c r="AZ88" i="26" s="1"/>
  <c r="AF88" i="26"/>
  <c r="BA88" i="26" s="1"/>
  <c r="AG88" i="26"/>
  <c r="BB88" i="26" s="1"/>
  <c r="AH88" i="26"/>
  <c r="BC88" i="26" s="1"/>
  <c r="AI88" i="26"/>
  <c r="BD88" i="26" s="1"/>
  <c r="AJ88" i="26"/>
  <c r="BE88" i="26" s="1"/>
  <c r="AK88" i="26"/>
  <c r="BF88" i="26" s="1"/>
  <c r="AL88" i="26"/>
  <c r="BG88" i="26" s="1"/>
  <c r="AM88" i="26"/>
  <c r="BH88" i="26" s="1"/>
  <c r="AN88" i="26"/>
  <c r="BI88" i="26" s="1"/>
  <c r="AO88" i="26"/>
  <c r="BJ88" i="26" s="1"/>
  <c r="AP88" i="26"/>
  <c r="BK88" i="26" s="1"/>
  <c r="AQ88" i="26"/>
  <c r="BL88" i="26" s="1"/>
  <c r="AR88" i="26"/>
  <c r="BM88" i="26" s="1"/>
  <c r="Y89" i="26"/>
  <c r="AT89" i="26" s="1"/>
  <c r="AA89" i="26"/>
  <c r="AV89" i="26" s="1"/>
  <c r="AB89" i="26"/>
  <c r="AW89" i="26" s="1"/>
  <c r="AC89" i="26"/>
  <c r="AX89" i="26" s="1"/>
  <c r="AD89" i="26"/>
  <c r="AY89" i="26" s="1"/>
  <c r="AE89" i="26"/>
  <c r="AZ89" i="26" s="1"/>
  <c r="AF89" i="26"/>
  <c r="BA89" i="26" s="1"/>
  <c r="AG89" i="26"/>
  <c r="BB89" i="26" s="1"/>
  <c r="AH89" i="26"/>
  <c r="BC89" i="26" s="1"/>
  <c r="AI89" i="26"/>
  <c r="BD89" i="26" s="1"/>
  <c r="AJ89" i="26"/>
  <c r="BE89" i="26" s="1"/>
  <c r="AK89" i="26"/>
  <c r="BF89" i="26" s="1"/>
  <c r="AL89" i="26"/>
  <c r="BG89" i="26" s="1"/>
  <c r="AM89" i="26"/>
  <c r="BH89" i="26" s="1"/>
  <c r="AN89" i="26"/>
  <c r="BI89" i="26" s="1"/>
  <c r="AO89" i="26"/>
  <c r="BJ89" i="26" s="1"/>
  <c r="AP89" i="26"/>
  <c r="BK89" i="26" s="1"/>
  <c r="AQ89" i="26"/>
  <c r="BL89" i="26" s="1"/>
  <c r="AR89" i="26"/>
  <c r="BM89" i="26" s="1"/>
  <c r="Y90" i="26"/>
  <c r="AT90" i="26" s="1"/>
  <c r="AA90" i="26"/>
  <c r="AV90" i="26" s="1"/>
  <c r="AB90" i="26"/>
  <c r="AW90" i="26" s="1"/>
  <c r="AC90" i="26"/>
  <c r="AX90" i="26" s="1"/>
  <c r="AD90" i="26"/>
  <c r="AY90" i="26" s="1"/>
  <c r="AE90" i="26"/>
  <c r="AZ90" i="26" s="1"/>
  <c r="AF90" i="26"/>
  <c r="BA90" i="26" s="1"/>
  <c r="AG90" i="26"/>
  <c r="BB90" i="26" s="1"/>
  <c r="AH90" i="26"/>
  <c r="BC90" i="26" s="1"/>
  <c r="AI90" i="26"/>
  <c r="BD90" i="26" s="1"/>
  <c r="AJ90" i="26"/>
  <c r="BE90" i="26" s="1"/>
  <c r="AK90" i="26"/>
  <c r="BF90" i="26" s="1"/>
  <c r="AL90" i="26"/>
  <c r="BG90" i="26" s="1"/>
  <c r="AM90" i="26"/>
  <c r="BH90" i="26" s="1"/>
  <c r="AN90" i="26"/>
  <c r="BI90" i="26" s="1"/>
  <c r="AO90" i="26"/>
  <c r="BJ90" i="26" s="1"/>
  <c r="AP90" i="26"/>
  <c r="BK90" i="26" s="1"/>
  <c r="AQ90" i="26"/>
  <c r="BL90" i="26" s="1"/>
  <c r="AR90" i="26"/>
  <c r="BM90" i="26" s="1"/>
  <c r="Y91" i="26"/>
  <c r="AT91" i="26" s="1"/>
  <c r="AA91" i="26"/>
  <c r="AV91" i="26" s="1"/>
  <c r="AB91" i="26"/>
  <c r="AW91" i="26" s="1"/>
  <c r="AC91" i="26"/>
  <c r="AX91" i="26" s="1"/>
  <c r="AD91" i="26"/>
  <c r="AY91" i="26" s="1"/>
  <c r="AE91" i="26"/>
  <c r="AZ91" i="26" s="1"/>
  <c r="AF91" i="26"/>
  <c r="BA91" i="26" s="1"/>
  <c r="AG91" i="26"/>
  <c r="BB91" i="26" s="1"/>
  <c r="AH91" i="26"/>
  <c r="BC91" i="26" s="1"/>
  <c r="AI91" i="26"/>
  <c r="BD91" i="26" s="1"/>
  <c r="AJ91" i="26"/>
  <c r="BE91" i="26" s="1"/>
  <c r="AK91" i="26"/>
  <c r="BF91" i="26" s="1"/>
  <c r="AL91" i="26"/>
  <c r="BG91" i="26" s="1"/>
  <c r="AM91" i="26"/>
  <c r="BH91" i="26" s="1"/>
  <c r="AN91" i="26"/>
  <c r="BI91" i="26" s="1"/>
  <c r="AO91" i="26"/>
  <c r="BJ91" i="26" s="1"/>
  <c r="AP91" i="26"/>
  <c r="BK91" i="26" s="1"/>
  <c r="AQ91" i="26"/>
  <c r="BL91" i="26" s="1"/>
  <c r="AR91" i="26"/>
  <c r="BM91" i="26" s="1"/>
  <c r="Y92" i="26"/>
  <c r="AT92" i="26" s="1"/>
  <c r="AA92" i="26"/>
  <c r="AV92" i="26" s="1"/>
  <c r="AB92" i="26"/>
  <c r="AW92" i="26" s="1"/>
  <c r="AC92" i="26"/>
  <c r="AX92" i="26" s="1"/>
  <c r="AD92" i="26"/>
  <c r="AY92" i="26" s="1"/>
  <c r="AE92" i="26"/>
  <c r="AZ92" i="26" s="1"/>
  <c r="AF92" i="26"/>
  <c r="BA92" i="26" s="1"/>
  <c r="AG92" i="26"/>
  <c r="BB92" i="26" s="1"/>
  <c r="AH92" i="26"/>
  <c r="BC92" i="26" s="1"/>
  <c r="AI92" i="26"/>
  <c r="BD92" i="26" s="1"/>
  <c r="AJ92" i="26"/>
  <c r="BE92" i="26" s="1"/>
  <c r="AK92" i="26"/>
  <c r="BF92" i="26" s="1"/>
  <c r="AL92" i="26"/>
  <c r="BG92" i="26" s="1"/>
  <c r="AM92" i="26"/>
  <c r="BH92" i="26" s="1"/>
  <c r="AN92" i="26"/>
  <c r="BI92" i="26" s="1"/>
  <c r="AO92" i="26"/>
  <c r="BJ92" i="26" s="1"/>
  <c r="AP92" i="26"/>
  <c r="BK92" i="26" s="1"/>
  <c r="AQ92" i="26"/>
  <c r="BL92" i="26" s="1"/>
  <c r="AR92" i="26"/>
  <c r="BM92" i="26" s="1"/>
  <c r="Y93" i="26"/>
  <c r="AT93" i="26" s="1"/>
  <c r="AA93" i="26"/>
  <c r="AV93" i="26" s="1"/>
  <c r="AB93" i="26"/>
  <c r="AW93" i="26" s="1"/>
  <c r="AC93" i="26"/>
  <c r="AX93" i="26" s="1"/>
  <c r="AD93" i="26"/>
  <c r="AY93" i="26" s="1"/>
  <c r="AE93" i="26"/>
  <c r="AZ93" i="26" s="1"/>
  <c r="AF93" i="26"/>
  <c r="BA93" i="26" s="1"/>
  <c r="AG93" i="26"/>
  <c r="BB93" i="26" s="1"/>
  <c r="AH93" i="26"/>
  <c r="BC93" i="26" s="1"/>
  <c r="AI93" i="26"/>
  <c r="BD93" i="26" s="1"/>
  <c r="AJ93" i="26"/>
  <c r="BE93" i="26" s="1"/>
  <c r="AK93" i="26"/>
  <c r="BF93" i="26" s="1"/>
  <c r="AL93" i="26"/>
  <c r="BG93" i="26" s="1"/>
  <c r="AM93" i="26"/>
  <c r="BH93" i="26" s="1"/>
  <c r="AN93" i="26"/>
  <c r="BI93" i="26" s="1"/>
  <c r="AO93" i="26"/>
  <c r="BJ93" i="26" s="1"/>
  <c r="AP93" i="26"/>
  <c r="BK93" i="26" s="1"/>
  <c r="AQ93" i="26"/>
  <c r="BL93" i="26" s="1"/>
  <c r="AR93" i="26"/>
  <c r="BM93" i="26" s="1"/>
  <c r="Y94" i="26"/>
  <c r="AT94" i="26" s="1"/>
  <c r="AA94" i="26"/>
  <c r="AV94" i="26" s="1"/>
  <c r="AB94" i="26"/>
  <c r="AW94" i="26" s="1"/>
  <c r="AC94" i="26"/>
  <c r="AX94" i="26" s="1"/>
  <c r="AD94" i="26"/>
  <c r="AY94" i="26" s="1"/>
  <c r="AE94" i="26"/>
  <c r="AZ94" i="26" s="1"/>
  <c r="AF94" i="26"/>
  <c r="BA94" i="26" s="1"/>
  <c r="AG94" i="26"/>
  <c r="BB94" i="26" s="1"/>
  <c r="AH94" i="26"/>
  <c r="BC94" i="26" s="1"/>
  <c r="AI94" i="26"/>
  <c r="BD94" i="26" s="1"/>
  <c r="AJ94" i="26"/>
  <c r="BE94" i="26" s="1"/>
  <c r="AK94" i="26"/>
  <c r="BF94" i="26" s="1"/>
  <c r="AL94" i="26"/>
  <c r="BG94" i="26" s="1"/>
  <c r="AM94" i="26"/>
  <c r="BH94" i="26" s="1"/>
  <c r="AN94" i="26"/>
  <c r="BI94" i="26" s="1"/>
  <c r="AO94" i="26"/>
  <c r="BJ94" i="26" s="1"/>
  <c r="AP94" i="26"/>
  <c r="BK94" i="26" s="1"/>
  <c r="AQ94" i="26"/>
  <c r="BL94" i="26" s="1"/>
  <c r="AR94" i="26"/>
  <c r="BM94" i="26" s="1"/>
  <c r="Y95" i="26"/>
  <c r="AT95" i="26" s="1"/>
  <c r="AA95" i="26"/>
  <c r="AV95" i="26" s="1"/>
  <c r="AB95" i="26"/>
  <c r="AW95" i="26" s="1"/>
  <c r="AC95" i="26"/>
  <c r="AX95" i="26" s="1"/>
  <c r="AD95" i="26"/>
  <c r="AY95" i="26" s="1"/>
  <c r="AE95" i="26"/>
  <c r="AZ95" i="26" s="1"/>
  <c r="AF95" i="26"/>
  <c r="BA95" i="26" s="1"/>
  <c r="AG95" i="26"/>
  <c r="BB95" i="26" s="1"/>
  <c r="AH95" i="26"/>
  <c r="BC95" i="26" s="1"/>
  <c r="AI95" i="26"/>
  <c r="BD95" i="26" s="1"/>
  <c r="AJ95" i="26"/>
  <c r="BE95" i="26" s="1"/>
  <c r="AK95" i="26"/>
  <c r="BF95" i="26" s="1"/>
  <c r="AL95" i="26"/>
  <c r="BG95" i="26" s="1"/>
  <c r="AM95" i="26"/>
  <c r="BH95" i="26" s="1"/>
  <c r="AN95" i="26"/>
  <c r="BI95" i="26" s="1"/>
  <c r="AO95" i="26"/>
  <c r="BJ95" i="26" s="1"/>
  <c r="AP95" i="26"/>
  <c r="BK95" i="26" s="1"/>
  <c r="AQ95" i="26"/>
  <c r="BL95" i="26" s="1"/>
  <c r="AR95" i="26"/>
  <c r="BM95" i="26" s="1"/>
  <c r="Y96" i="26"/>
  <c r="AT96" i="26" s="1"/>
  <c r="AA96" i="26"/>
  <c r="AV96" i="26" s="1"/>
  <c r="AB96" i="26"/>
  <c r="AW96" i="26" s="1"/>
  <c r="AC96" i="26"/>
  <c r="AX96" i="26" s="1"/>
  <c r="AD96" i="26"/>
  <c r="AY96" i="26" s="1"/>
  <c r="AE96" i="26"/>
  <c r="AZ96" i="26" s="1"/>
  <c r="AF96" i="26"/>
  <c r="BA96" i="26" s="1"/>
  <c r="AG96" i="26"/>
  <c r="BB96" i="26" s="1"/>
  <c r="AH96" i="26"/>
  <c r="BC96" i="26" s="1"/>
  <c r="AI96" i="26"/>
  <c r="BD96" i="26" s="1"/>
  <c r="AJ96" i="26"/>
  <c r="BE96" i="26" s="1"/>
  <c r="AK96" i="26"/>
  <c r="BF96" i="26" s="1"/>
  <c r="AL96" i="26"/>
  <c r="BG96" i="26" s="1"/>
  <c r="AM96" i="26"/>
  <c r="BH96" i="26" s="1"/>
  <c r="AN96" i="26"/>
  <c r="BI96" i="26" s="1"/>
  <c r="AO96" i="26"/>
  <c r="BJ96" i="26" s="1"/>
  <c r="AP96" i="26"/>
  <c r="BK96" i="26" s="1"/>
  <c r="AQ96" i="26"/>
  <c r="BL96" i="26" s="1"/>
  <c r="AR96" i="26"/>
  <c r="BM96" i="26" s="1"/>
  <c r="Y97" i="26"/>
  <c r="AT97" i="26" s="1"/>
  <c r="AA97" i="26"/>
  <c r="AV97" i="26" s="1"/>
  <c r="AB97" i="26"/>
  <c r="AW97" i="26" s="1"/>
  <c r="AC97" i="26"/>
  <c r="AX97" i="26" s="1"/>
  <c r="AD97" i="26"/>
  <c r="AY97" i="26" s="1"/>
  <c r="AE97" i="26"/>
  <c r="AZ97" i="26" s="1"/>
  <c r="AF97" i="26"/>
  <c r="BA97" i="26" s="1"/>
  <c r="AG97" i="26"/>
  <c r="BB97" i="26" s="1"/>
  <c r="AH97" i="26"/>
  <c r="BC97" i="26" s="1"/>
  <c r="AI97" i="26"/>
  <c r="BD97" i="26" s="1"/>
  <c r="AJ97" i="26"/>
  <c r="BE97" i="26" s="1"/>
  <c r="AK97" i="26"/>
  <c r="BF97" i="26" s="1"/>
  <c r="AL97" i="26"/>
  <c r="BG97" i="26" s="1"/>
  <c r="AM97" i="26"/>
  <c r="BH97" i="26" s="1"/>
  <c r="AN97" i="26"/>
  <c r="BI97" i="26" s="1"/>
  <c r="AO97" i="26"/>
  <c r="BJ97" i="26" s="1"/>
  <c r="AP97" i="26"/>
  <c r="BK97" i="26" s="1"/>
  <c r="AQ97" i="26"/>
  <c r="BL97" i="26" s="1"/>
  <c r="AR97" i="26"/>
  <c r="BM97" i="26" s="1"/>
  <c r="Y98" i="26"/>
  <c r="AT98" i="26" s="1"/>
  <c r="AA98" i="26"/>
  <c r="AV98" i="26" s="1"/>
  <c r="AB98" i="26"/>
  <c r="AW98" i="26" s="1"/>
  <c r="AC98" i="26"/>
  <c r="AX98" i="26" s="1"/>
  <c r="AD98" i="26"/>
  <c r="AY98" i="26" s="1"/>
  <c r="AE98" i="26"/>
  <c r="AZ98" i="26" s="1"/>
  <c r="AF98" i="26"/>
  <c r="BA98" i="26" s="1"/>
  <c r="AG98" i="26"/>
  <c r="BB98" i="26" s="1"/>
  <c r="AH98" i="26"/>
  <c r="BC98" i="26" s="1"/>
  <c r="AI98" i="26"/>
  <c r="BD98" i="26" s="1"/>
  <c r="AJ98" i="26"/>
  <c r="BE98" i="26" s="1"/>
  <c r="AK98" i="26"/>
  <c r="BF98" i="26" s="1"/>
  <c r="AL98" i="26"/>
  <c r="BG98" i="26" s="1"/>
  <c r="AM98" i="26"/>
  <c r="BH98" i="26" s="1"/>
  <c r="AN98" i="26"/>
  <c r="BI98" i="26" s="1"/>
  <c r="AO98" i="26"/>
  <c r="BJ98" i="26" s="1"/>
  <c r="AP98" i="26"/>
  <c r="BK98" i="26" s="1"/>
  <c r="AQ98" i="26"/>
  <c r="BL98" i="26" s="1"/>
  <c r="AR98" i="26"/>
  <c r="BM98" i="26" s="1"/>
  <c r="Y99" i="26"/>
  <c r="AT99" i="26" s="1"/>
  <c r="AA99" i="26"/>
  <c r="AV99" i="26" s="1"/>
  <c r="AB99" i="26"/>
  <c r="AW99" i="26" s="1"/>
  <c r="AC99" i="26"/>
  <c r="AX99" i="26" s="1"/>
  <c r="AD99" i="26"/>
  <c r="AY99" i="26" s="1"/>
  <c r="AE99" i="26"/>
  <c r="AZ99" i="26" s="1"/>
  <c r="AF99" i="26"/>
  <c r="BA99" i="26" s="1"/>
  <c r="AG99" i="26"/>
  <c r="BB99" i="26" s="1"/>
  <c r="AH99" i="26"/>
  <c r="BC99" i="26" s="1"/>
  <c r="AI99" i="26"/>
  <c r="BD99" i="26" s="1"/>
  <c r="AJ99" i="26"/>
  <c r="BE99" i="26" s="1"/>
  <c r="AK99" i="26"/>
  <c r="BF99" i="26" s="1"/>
  <c r="AL99" i="26"/>
  <c r="BG99" i="26" s="1"/>
  <c r="AM99" i="26"/>
  <c r="BH99" i="26" s="1"/>
  <c r="AN99" i="26"/>
  <c r="BI99" i="26" s="1"/>
  <c r="AO99" i="26"/>
  <c r="BJ99" i="26" s="1"/>
  <c r="AP99" i="26"/>
  <c r="BK99" i="26" s="1"/>
  <c r="AQ99" i="26"/>
  <c r="BL99" i="26" s="1"/>
  <c r="AR99" i="26"/>
  <c r="BM99" i="26" s="1"/>
  <c r="Y100" i="26"/>
  <c r="AT100" i="26" s="1"/>
  <c r="AA100" i="26"/>
  <c r="AV100" i="26" s="1"/>
  <c r="AB100" i="26"/>
  <c r="AW100" i="26" s="1"/>
  <c r="AC100" i="26"/>
  <c r="AX100" i="26" s="1"/>
  <c r="AD100" i="26"/>
  <c r="AY100" i="26" s="1"/>
  <c r="AE100" i="26"/>
  <c r="AZ100" i="26" s="1"/>
  <c r="AF100" i="26"/>
  <c r="BA100" i="26" s="1"/>
  <c r="AG100" i="26"/>
  <c r="BB100" i="26" s="1"/>
  <c r="AH100" i="26"/>
  <c r="BC100" i="26" s="1"/>
  <c r="AI100" i="26"/>
  <c r="BD100" i="26" s="1"/>
  <c r="AJ100" i="26"/>
  <c r="BE100" i="26" s="1"/>
  <c r="AK100" i="26"/>
  <c r="BF100" i="26" s="1"/>
  <c r="AL100" i="26"/>
  <c r="BG100" i="26" s="1"/>
  <c r="AM100" i="26"/>
  <c r="BH100" i="26" s="1"/>
  <c r="AN100" i="26"/>
  <c r="BI100" i="26" s="1"/>
  <c r="AO100" i="26"/>
  <c r="BJ100" i="26" s="1"/>
  <c r="AP100" i="26"/>
  <c r="BK100" i="26" s="1"/>
  <c r="AQ100" i="26"/>
  <c r="BL100" i="26" s="1"/>
  <c r="AR100" i="26"/>
  <c r="BM100" i="26" s="1"/>
  <c r="Y101" i="26"/>
  <c r="AT101" i="26" s="1"/>
  <c r="AA101" i="26"/>
  <c r="AV101" i="26" s="1"/>
  <c r="AB101" i="26"/>
  <c r="AW101" i="26" s="1"/>
  <c r="AC101" i="26"/>
  <c r="AX101" i="26" s="1"/>
  <c r="AD101" i="26"/>
  <c r="AY101" i="26" s="1"/>
  <c r="AE101" i="26"/>
  <c r="AZ101" i="26" s="1"/>
  <c r="AF101" i="26"/>
  <c r="BA101" i="26" s="1"/>
  <c r="AG101" i="26"/>
  <c r="BB101" i="26" s="1"/>
  <c r="AH101" i="26"/>
  <c r="BC101" i="26" s="1"/>
  <c r="AI101" i="26"/>
  <c r="BD101" i="26" s="1"/>
  <c r="AJ101" i="26"/>
  <c r="BE101" i="26" s="1"/>
  <c r="AK101" i="26"/>
  <c r="BF101" i="26" s="1"/>
  <c r="AL101" i="26"/>
  <c r="BG101" i="26" s="1"/>
  <c r="AM101" i="26"/>
  <c r="BH101" i="26" s="1"/>
  <c r="AN101" i="26"/>
  <c r="BI101" i="26" s="1"/>
  <c r="AO101" i="26"/>
  <c r="BJ101" i="26" s="1"/>
  <c r="AP101" i="26"/>
  <c r="BK101" i="26" s="1"/>
  <c r="AQ101" i="26"/>
  <c r="BL101" i="26" s="1"/>
  <c r="AR101" i="26"/>
  <c r="BM101" i="26" s="1"/>
  <c r="Y102" i="26"/>
  <c r="AT102" i="26" s="1"/>
  <c r="AA102" i="26"/>
  <c r="AV102" i="26" s="1"/>
  <c r="AB102" i="26"/>
  <c r="AW102" i="26" s="1"/>
  <c r="AC102" i="26"/>
  <c r="AX102" i="26" s="1"/>
  <c r="AD102" i="26"/>
  <c r="AY102" i="26" s="1"/>
  <c r="AE102" i="26"/>
  <c r="AZ102" i="26" s="1"/>
  <c r="AF102" i="26"/>
  <c r="BA102" i="26" s="1"/>
  <c r="AG102" i="26"/>
  <c r="BB102" i="26" s="1"/>
  <c r="AH102" i="26"/>
  <c r="BC102" i="26" s="1"/>
  <c r="AI102" i="26"/>
  <c r="BD102" i="26" s="1"/>
  <c r="AJ102" i="26"/>
  <c r="BE102" i="26" s="1"/>
  <c r="AK102" i="26"/>
  <c r="BF102" i="26" s="1"/>
  <c r="AL102" i="26"/>
  <c r="BG102" i="26" s="1"/>
  <c r="AM102" i="26"/>
  <c r="BH102" i="26" s="1"/>
  <c r="AN102" i="26"/>
  <c r="BI102" i="26" s="1"/>
  <c r="AO102" i="26"/>
  <c r="BJ102" i="26" s="1"/>
  <c r="AP102" i="26"/>
  <c r="BK102" i="26" s="1"/>
  <c r="AQ102" i="26"/>
  <c r="BL102" i="26" s="1"/>
  <c r="AR102" i="26"/>
  <c r="BM102" i="26" s="1"/>
  <c r="Y103" i="26"/>
  <c r="AT103" i="26" s="1"/>
  <c r="AA103" i="26"/>
  <c r="AV103" i="26" s="1"/>
  <c r="AB103" i="26"/>
  <c r="AW103" i="26" s="1"/>
  <c r="AC103" i="26"/>
  <c r="AX103" i="26" s="1"/>
  <c r="AD103" i="26"/>
  <c r="AY103" i="26" s="1"/>
  <c r="AE103" i="26"/>
  <c r="AZ103" i="26" s="1"/>
  <c r="AF103" i="26"/>
  <c r="BA103" i="26" s="1"/>
  <c r="AG103" i="26"/>
  <c r="BB103" i="26" s="1"/>
  <c r="AH103" i="26"/>
  <c r="BC103" i="26" s="1"/>
  <c r="AI103" i="26"/>
  <c r="BD103" i="26" s="1"/>
  <c r="AJ103" i="26"/>
  <c r="BE103" i="26" s="1"/>
  <c r="AK103" i="26"/>
  <c r="BF103" i="26" s="1"/>
  <c r="AL103" i="26"/>
  <c r="BG103" i="26" s="1"/>
  <c r="AM103" i="26"/>
  <c r="BH103" i="26" s="1"/>
  <c r="AN103" i="26"/>
  <c r="BI103" i="26" s="1"/>
  <c r="AO103" i="26"/>
  <c r="BJ103" i="26" s="1"/>
  <c r="AP103" i="26"/>
  <c r="BK103" i="26" s="1"/>
  <c r="AQ103" i="26"/>
  <c r="BL103" i="26" s="1"/>
  <c r="AR103" i="26"/>
  <c r="BM103" i="26" s="1"/>
  <c r="Y104" i="26"/>
  <c r="AT104" i="26" s="1"/>
  <c r="AA104" i="26"/>
  <c r="AV104" i="26" s="1"/>
  <c r="AB104" i="26"/>
  <c r="AW104" i="26" s="1"/>
  <c r="AC104" i="26"/>
  <c r="AX104" i="26" s="1"/>
  <c r="AD104" i="26"/>
  <c r="AY104" i="26" s="1"/>
  <c r="AE104" i="26"/>
  <c r="AZ104" i="26" s="1"/>
  <c r="AF104" i="26"/>
  <c r="BA104" i="26" s="1"/>
  <c r="AG104" i="26"/>
  <c r="BB104" i="26" s="1"/>
  <c r="AH104" i="26"/>
  <c r="BC104" i="26" s="1"/>
  <c r="AI104" i="26"/>
  <c r="BD104" i="26" s="1"/>
  <c r="AJ104" i="26"/>
  <c r="BE104" i="26" s="1"/>
  <c r="AK104" i="26"/>
  <c r="BF104" i="26" s="1"/>
  <c r="AL104" i="26"/>
  <c r="BG104" i="26" s="1"/>
  <c r="AM104" i="26"/>
  <c r="BH104" i="26" s="1"/>
  <c r="AN104" i="26"/>
  <c r="BI104" i="26" s="1"/>
  <c r="AO104" i="26"/>
  <c r="BJ104" i="26" s="1"/>
  <c r="AP104" i="26"/>
  <c r="BK104" i="26" s="1"/>
  <c r="AQ104" i="26"/>
  <c r="BL104" i="26" s="1"/>
  <c r="AR104" i="26"/>
  <c r="BM104" i="26" s="1"/>
  <c r="Y105" i="26"/>
  <c r="AT105" i="26" s="1"/>
  <c r="AA105" i="26"/>
  <c r="AV105" i="26" s="1"/>
  <c r="AB105" i="26"/>
  <c r="AW105" i="26" s="1"/>
  <c r="AC105" i="26"/>
  <c r="AX105" i="26" s="1"/>
  <c r="AD105" i="26"/>
  <c r="AY105" i="26" s="1"/>
  <c r="AE105" i="26"/>
  <c r="AZ105" i="26" s="1"/>
  <c r="AF105" i="26"/>
  <c r="BA105" i="26" s="1"/>
  <c r="AG105" i="26"/>
  <c r="BB105" i="26" s="1"/>
  <c r="AH105" i="26"/>
  <c r="BC105" i="26" s="1"/>
  <c r="AI105" i="26"/>
  <c r="BD105" i="26" s="1"/>
  <c r="AJ105" i="26"/>
  <c r="BE105" i="26" s="1"/>
  <c r="AK105" i="26"/>
  <c r="BF105" i="26" s="1"/>
  <c r="AL105" i="26"/>
  <c r="BG105" i="26" s="1"/>
  <c r="AM105" i="26"/>
  <c r="BH105" i="26" s="1"/>
  <c r="AN105" i="26"/>
  <c r="BI105" i="26" s="1"/>
  <c r="AO105" i="26"/>
  <c r="BJ105" i="26" s="1"/>
  <c r="AP105" i="26"/>
  <c r="BK105" i="26" s="1"/>
  <c r="AQ105" i="26"/>
  <c r="BL105" i="26" s="1"/>
  <c r="AR105" i="26"/>
  <c r="BM105" i="26" s="1"/>
  <c r="Y106" i="26"/>
  <c r="AT106" i="26" s="1"/>
  <c r="AA106" i="26"/>
  <c r="AV106" i="26" s="1"/>
  <c r="AB106" i="26"/>
  <c r="AW106" i="26" s="1"/>
  <c r="AC106" i="26"/>
  <c r="AX106" i="26" s="1"/>
  <c r="AD106" i="26"/>
  <c r="AY106" i="26" s="1"/>
  <c r="AE106" i="26"/>
  <c r="AZ106" i="26" s="1"/>
  <c r="AF106" i="26"/>
  <c r="BA106" i="26" s="1"/>
  <c r="AG106" i="26"/>
  <c r="BB106" i="26" s="1"/>
  <c r="AH106" i="26"/>
  <c r="BC106" i="26" s="1"/>
  <c r="AI106" i="26"/>
  <c r="BD106" i="26" s="1"/>
  <c r="AJ106" i="26"/>
  <c r="BE106" i="26" s="1"/>
  <c r="AK106" i="26"/>
  <c r="BF106" i="26" s="1"/>
  <c r="AL106" i="26"/>
  <c r="BG106" i="26" s="1"/>
  <c r="AM106" i="26"/>
  <c r="BH106" i="26" s="1"/>
  <c r="AN106" i="26"/>
  <c r="BI106" i="26" s="1"/>
  <c r="AO106" i="26"/>
  <c r="BJ106" i="26" s="1"/>
  <c r="AP106" i="26"/>
  <c r="BK106" i="26" s="1"/>
  <c r="AQ106" i="26"/>
  <c r="BL106" i="26" s="1"/>
  <c r="AR106" i="26"/>
  <c r="BM106" i="26" s="1"/>
  <c r="Y107" i="26"/>
  <c r="AT107" i="26" s="1"/>
  <c r="AA107" i="26"/>
  <c r="AV107" i="26" s="1"/>
  <c r="AB107" i="26"/>
  <c r="AW107" i="26" s="1"/>
  <c r="AC107" i="26"/>
  <c r="AX107" i="26" s="1"/>
  <c r="AD107" i="26"/>
  <c r="AY107" i="26" s="1"/>
  <c r="AE107" i="26"/>
  <c r="AZ107" i="26" s="1"/>
  <c r="AF107" i="26"/>
  <c r="BA107" i="26" s="1"/>
  <c r="AG107" i="26"/>
  <c r="BB107" i="26" s="1"/>
  <c r="AH107" i="26"/>
  <c r="BC107" i="26" s="1"/>
  <c r="AI107" i="26"/>
  <c r="BD107" i="26" s="1"/>
  <c r="AJ107" i="26"/>
  <c r="BE107" i="26" s="1"/>
  <c r="AK107" i="26"/>
  <c r="BF107" i="26" s="1"/>
  <c r="AL107" i="26"/>
  <c r="BG107" i="26" s="1"/>
  <c r="AM107" i="26"/>
  <c r="BH107" i="26" s="1"/>
  <c r="AN107" i="26"/>
  <c r="BI107" i="26" s="1"/>
  <c r="AO107" i="26"/>
  <c r="BJ107" i="26" s="1"/>
  <c r="AP107" i="26"/>
  <c r="BK107" i="26" s="1"/>
  <c r="AQ107" i="26"/>
  <c r="BL107" i="26" s="1"/>
  <c r="AR107" i="26"/>
  <c r="BM107" i="26" s="1"/>
  <c r="Y108" i="26"/>
  <c r="AT108" i="26" s="1"/>
  <c r="AA108" i="26"/>
  <c r="AV108" i="26" s="1"/>
  <c r="AB108" i="26"/>
  <c r="AW108" i="26" s="1"/>
  <c r="AC108" i="26"/>
  <c r="AX108" i="26" s="1"/>
  <c r="AD108" i="26"/>
  <c r="AY108" i="26" s="1"/>
  <c r="AE108" i="26"/>
  <c r="AZ108" i="26" s="1"/>
  <c r="AF108" i="26"/>
  <c r="BA108" i="26" s="1"/>
  <c r="AG108" i="26"/>
  <c r="BB108" i="26" s="1"/>
  <c r="AH108" i="26"/>
  <c r="BC108" i="26" s="1"/>
  <c r="AI108" i="26"/>
  <c r="BD108" i="26" s="1"/>
  <c r="AJ108" i="26"/>
  <c r="BE108" i="26" s="1"/>
  <c r="AK108" i="26"/>
  <c r="BF108" i="26" s="1"/>
  <c r="AL108" i="26"/>
  <c r="BG108" i="26" s="1"/>
  <c r="AM108" i="26"/>
  <c r="BH108" i="26" s="1"/>
  <c r="AN108" i="26"/>
  <c r="BI108" i="26" s="1"/>
  <c r="AO108" i="26"/>
  <c r="BJ108" i="26" s="1"/>
  <c r="AP108" i="26"/>
  <c r="BK108" i="26" s="1"/>
  <c r="AQ108" i="26"/>
  <c r="BL108" i="26" s="1"/>
  <c r="AR108" i="26"/>
  <c r="BM108" i="26" s="1"/>
  <c r="Y109" i="26"/>
  <c r="AT109" i="26" s="1"/>
  <c r="AA109" i="26"/>
  <c r="AV109" i="26" s="1"/>
  <c r="AB109" i="26"/>
  <c r="AW109" i="26" s="1"/>
  <c r="AC109" i="26"/>
  <c r="AX109" i="26" s="1"/>
  <c r="AD109" i="26"/>
  <c r="AY109" i="26" s="1"/>
  <c r="AE109" i="26"/>
  <c r="AZ109" i="26" s="1"/>
  <c r="AF109" i="26"/>
  <c r="BA109" i="26" s="1"/>
  <c r="AG109" i="26"/>
  <c r="BB109" i="26" s="1"/>
  <c r="AH109" i="26"/>
  <c r="BC109" i="26" s="1"/>
  <c r="AI109" i="26"/>
  <c r="BD109" i="26" s="1"/>
  <c r="AJ109" i="26"/>
  <c r="BE109" i="26" s="1"/>
  <c r="AK109" i="26"/>
  <c r="BF109" i="26" s="1"/>
  <c r="AL109" i="26"/>
  <c r="BG109" i="26" s="1"/>
  <c r="AM109" i="26"/>
  <c r="BH109" i="26" s="1"/>
  <c r="AN109" i="26"/>
  <c r="BI109" i="26" s="1"/>
  <c r="AO109" i="26"/>
  <c r="BJ109" i="26" s="1"/>
  <c r="AP109" i="26"/>
  <c r="BK109" i="26" s="1"/>
  <c r="AQ109" i="26"/>
  <c r="BL109" i="26" s="1"/>
  <c r="AR109" i="26"/>
  <c r="BM109" i="26" s="1"/>
  <c r="Y110" i="26"/>
  <c r="AT110" i="26" s="1"/>
  <c r="AA110" i="26"/>
  <c r="AV110" i="26" s="1"/>
  <c r="AB110" i="26"/>
  <c r="AW110" i="26" s="1"/>
  <c r="AC110" i="26"/>
  <c r="AX110" i="26" s="1"/>
  <c r="AD110" i="26"/>
  <c r="AY110" i="26" s="1"/>
  <c r="AE110" i="26"/>
  <c r="AZ110" i="26" s="1"/>
  <c r="AF110" i="26"/>
  <c r="BA110" i="26" s="1"/>
  <c r="AG110" i="26"/>
  <c r="BB110" i="26" s="1"/>
  <c r="AH110" i="26"/>
  <c r="BC110" i="26" s="1"/>
  <c r="AI110" i="26"/>
  <c r="BD110" i="26" s="1"/>
  <c r="AJ110" i="26"/>
  <c r="BE110" i="26" s="1"/>
  <c r="AK110" i="26"/>
  <c r="BF110" i="26" s="1"/>
  <c r="AL110" i="26"/>
  <c r="BG110" i="26" s="1"/>
  <c r="AM110" i="26"/>
  <c r="BH110" i="26" s="1"/>
  <c r="AN110" i="26"/>
  <c r="BI110" i="26" s="1"/>
  <c r="AO110" i="26"/>
  <c r="BJ110" i="26" s="1"/>
  <c r="AP110" i="26"/>
  <c r="BK110" i="26" s="1"/>
  <c r="AQ110" i="26"/>
  <c r="BL110" i="26" s="1"/>
  <c r="AR110" i="26"/>
  <c r="BM110" i="26" s="1"/>
  <c r="Y111" i="26"/>
  <c r="AT111" i="26" s="1"/>
  <c r="AA111" i="26"/>
  <c r="AV111" i="26" s="1"/>
  <c r="AB111" i="26"/>
  <c r="AW111" i="26" s="1"/>
  <c r="AC111" i="26"/>
  <c r="AX111" i="26" s="1"/>
  <c r="AD111" i="26"/>
  <c r="AY111" i="26" s="1"/>
  <c r="AE111" i="26"/>
  <c r="AZ111" i="26" s="1"/>
  <c r="AF111" i="26"/>
  <c r="BA111" i="26" s="1"/>
  <c r="AG111" i="26"/>
  <c r="BB111" i="26" s="1"/>
  <c r="AH111" i="26"/>
  <c r="BC111" i="26" s="1"/>
  <c r="AI111" i="26"/>
  <c r="BD111" i="26" s="1"/>
  <c r="AJ111" i="26"/>
  <c r="BE111" i="26" s="1"/>
  <c r="AK111" i="26"/>
  <c r="BF111" i="26" s="1"/>
  <c r="AL111" i="26"/>
  <c r="BG111" i="26" s="1"/>
  <c r="AM111" i="26"/>
  <c r="BH111" i="26" s="1"/>
  <c r="AN111" i="26"/>
  <c r="BI111" i="26" s="1"/>
  <c r="AO111" i="26"/>
  <c r="BJ111" i="26" s="1"/>
  <c r="AP111" i="26"/>
  <c r="BK111" i="26" s="1"/>
  <c r="AQ111" i="26"/>
  <c r="BL111" i="26" s="1"/>
  <c r="AR111" i="26"/>
  <c r="BM111" i="26" s="1"/>
  <c r="Y112" i="26"/>
  <c r="AT112" i="26" s="1"/>
  <c r="AA112" i="26"/>
  <c r="AV112" i="26" s="1"/>
  <c r="AB112" i="26"/>
  <c r="AW112" i="26" s="1"/>
  <c r="AC112" i="26"/>
  <c r="AX112" i="26" s="1"/>
  <c r="AD112" i="26"/>
  <c r="AY112" i="26" s="1"/>
  <c r="AE112" i="26"/>
  <c r="AZ112" i="26" s="1"/>
  <c r="AF112" i="26"/>
  <c r="BA112" i="26" s="1"/>
  <c r="AG112" i="26"/>
  <c r="BB112" i="26" s="1"/>
  <c r="AH112" i="26"/>
  <c r="BC112" i="26" s="1"/>
  <c r="AI112" i="26"/>
  <c r="BD112" i="26" s="1"/>
  <c r="AJ112" i="26"/>
  <c r="BE112" i="26" s="1"/>
  <c r="AK112" i="26"/>
  <c r="BF112" i="26" s="1"/>
  <c r="AL112" i="26"/>
  <c r="BG112" i="26" s="1"/>
  <c r="AM112" i="26"/>
  <c r="BH112" i="26" s="1"/>
  <c r="AN112" i="26"/>
  <c r="BI112" i="26" s="1"/>
  <c r="AO112" i="26"/>
  <c r="BJ112" i="26" s="1"/>
  <c r="AP112" i="26"/>
  <c r="BK112" i="26" s="1"/>
  <c r="AQ112" i="26"/>
  <c r="BL112" i="26" s="1"/>
  <c r="AR112" i="26"/>
  <c r="BM112" i="26" s="1"/>
  <c r="Y113" i="26"/>
  <c r="AT113" i="26" s="1"/>
  <c r="AA113" i="26"/>
  <c r="AV113" i="26" s="1"/>
  <c r="AB113" i="26"/>
  <c r="AW113" i="26" s="1"/>
  <c r="AC113" i="26"/>
  <c r="AX113" i="26" s="1"/>
  <c r="AD113" i="26"/>
  <c r="AY113" i="26" s="1"/>
  <c r="AE113" i="26"/>
  <c r="AZ113" i="26" s="1"/>
  <c r="AF113" i="26"/>
  <c r="BA113" i="26" s="1"/>
  <c r="AG113" i="26"/>
  <c r="BB113" i="26" s="1"/>
  <c r="AH113" i="26"/>
  <c r="BC113" i="26" s="1"/>
  <c r="AI113" i="26"/>
  <c r="BD113" i="26" s="1"/>
  <c r="AJ113" i="26"/>
  <c r="BE113" i="26" s="1"/>
  <c r="AK113" i="26"/>
  <c r="BF113" i="26" s="1"/>
  <c r="AL113" i="26"/>
  <c r="BG113" i="26" s="1"/>
  <c r="AM113" i="26"/>
  <c r="BH113" i="26" s="1"/>
  <c r="AN113" i="26"/>
  <c r="BI113" i="26" s="1"/>
  <c r="AO113" i="26"/>
  <c r="BJ113" i="26" s="1"/>
  <c r="AP113" i="26"/>
  <c r="BK113" i="26" s="1"/>
  <c r="AQ113" i="26"/>
  <c r="BL113" i="26" s="1"/>
  <c r="AR113" i="26"/>
  <c r="BM113" i="26" s="1"/>
  <c r="Y114" i="26"/>
  <c r="AT114" i="26" s="1"/>
  <c r="AA114" i="26"/>
  <c r="AV114" i="26" s="1"/>
  <c r="AB114" i="26"/>
  <c r="AW114" i="26" s="1"/>
  <c r="AC114" i="26"/>
  <c r="AX114" i="26" s="1"/>
  <c r="AD114" i="26"/>
  <c r="AY114" i="26" s="1"/>
  <c r="AE114" i="26"/>
  <c r="AZ114" i="26" s="1"/>
  <c r="AF114" i="26"/>
  <c r="BA114" i="26" s="1"/>
  <c r="AG114" i="26"/>
  <c r="BB114" i="26" s="1"/>
  <c r="AH114" i="26"/>
  <c r="BC114" i="26" s="1"/>
  <c r="AI114" i="26"/>
  <c r="BD114" i="26" s="1"/>
  <c r="AJ114" i="26"/>
  <c r="BE114" i="26" s="1"/>
  <c r="AK114" i="26"/>
  <c r="BF114" i="26" s="1"/>
  <c r="AL114" i="26"/>
  <c r="BG114" i="26" s="1"/>
  <c r="AM114" i="26"/>
  <c r="BH114" i="26" s="1"/>
  <c r="AN114" i="26"/>
  <c r="BI114" i="26" s="1"/>
  <c r="AO114" i="26"/>
  <c r="BJ114" i="26" s="1"/>
  <c r="AP114" i="26"/>
  <c r="BK114" i="26" s="1"/>
  <c r="AQ114" i="26"/>
  <c r="BL114" i="26" s="1"/>
  <c r="AR114" i="26"/>
  <c r="BM114" i="26" s="1"/>
  <c r="Y115" i="26"/>
  <c r="AT115" i="26" s="1"/>
  <c r="AA115" i="26"/>
  <c r="AV115" i="26" s="1"/>
  <c r="AB115" i="26"/>
  <c r="AW115" i="26" s="1"/>
  <c r="AC115" i="26"/>
  <c r="AX115" i="26" s="1"/>
  <c r="AD115" i="26"/>
  <c r="AY115" i="26" s="1"/>
  <c r="AE115" i="26"/>
  <c r="AZ115" i="26" s="1"/>
  <c r="AF115" i="26"/>
  <c r="BA115" i="26" s="1"/>
  <c r="AG115" i="26"/>
  <c r="BB115" i="26" s="1"/>
  <c r="AH115" i="26"/>
  <c r="BC115" i="26" s="1"/>
  <c r="AI115" i="26"/>
  <c r="BD115" i="26" s="1"/>
  <c r="AJ115" i="26"/>
  <c r="BE115" i="26" s="1"/>
  <c r="AK115" i="26"/>
  <c r="BF115" i="26" s="1"/>
  <c r="AL115" i="26"/>
  <c r="BG115" i="26" s="1"/>
  <c r="AM115" i="26"/>
  <c r="BH115" i="26" s="1"/>
  <c r="AN115" i="26"/>
  <c r="BI115" i="26" s="1"/>
  <c r="AO115" i="26"/>
  <c r="BJ115" i="26" s="1"/>
  <c r="AP115" i="26"/>
  <c r="BK115" i="26" s="1"/>
  <c r="AQ115" i="26"/>
  <c r="BL115" i="26" s="1"/>
  <c r="AR115" i="26"/>
  <c r="BM115" i="26" s="1"/>
  <c r="Y116" i="26"/>
  <c r="AT116" i="26" s="1"/>
  <c r="AA116" i="26"/>
  <c r="AV116" i="26" s="1"/>
  <c r="AB116" i="26"/>
  <c r="AW116" i="26" s="1"/>
  <c r="AC116" i="26"/>
  <c r="AX116" i="26" s="1"/>
  <c r="AD116" i="26"/>
  <c r="AY116" i="26" s="1"/>
  <c r="AE116" i="26"/>
  <c r="AZ116" i="26" s="1"/>
  <c r="AF116" i="26"/>
  <c r="BA116" i="26" s="1"/>
  <c r="AG116" i="26"/>
  <c r="BB116" i="26" s="1"/>
  <c r="AH116" i="26"/>
  <c r="BC116" i="26" s="1"/>
  <c r="AI116" i="26"/>
  <c r="BD116" i="26" s="1"/>
  <c r="AJ116" i="26"/>
  <c r="BE116" i="26" s="1"/>
  <c r="AK116" i="26"/>
  <c r="BF116" i="26" s="1"/>
  <c r="AL116" i="26"/>
  <c r="BG116" i="26" s="1"/>
  <c r="AM116" i="26"/>
  <c r="BH116" i="26" s="1"/>
  <c r="AN116" i="26"/>
  <c r="BI116" i="26" s="1"/>
  <c r="AO116" i="26"/>
  <c r="BJ116" i="26" s="1"/>
  <c r="AP116" i="26"/>
  <c r="BK116" i="26" s="1"/>
  <c r="AQ116" i="26"/>
  <c r="BL116" i="26" s="1"/>
  <c r="AR116" i="26"/>
  <c r="BM116" i="26" s="1"/>
  <c r="Y117" i="26"/>
  <c r="AT117" i="26" s="1"/>
  <c r="AA117" i="26"/>
  <c r="AV117" i="26" s="1"/>
  <c r="AB117" i="26"/>
  <c r="AW117" i="26" s="1"/>
  <c r="AC117" i="26"/>
  <c r="AX117" i="26" s="1"/>
  <c r="AD117" i="26"/>
  <c r="AY117" i="26" s="1"/>
  <c r="AE117" i="26"/>
  <c r="AZ117" i="26" s="1"/>
  <c r="AF117" i="26"/>
  <c r="BA117" i="26" s="1"/>
  <c r="AG117" i="26"/>
  <c r="BB117" i="26" s="1"/>
  <c r="AH117" i="26"/>
  <c r="BC117" i="26" s="1"/>
  <c r="AI117" i="26"/>
  <c r="BD117" i="26" s="1"/>
  <c r="AJ117" i="26"/>
  <c r="BE117" i="26" s="1"/>
  <c r="AK117" i="26"/>
  <c r="BF117" i="26" s="1"/>
  <c r="AL117" i="26"/>
  <c r="BG117" i="26" s="1"/>
  <c r="AM117" i="26"/>
  <c r="BH117" i="26" s="1"/>
  <c r="AN117" i="26"/>
  <c r="BI117" i="26" s="1"/>
  <c r="AO117" i="26"/>
  <c r="BJ117" i="26" s="1"/>
  <c r="AP117" i="26"/>
  <c r="BK117" i="26" s="1"/>
  <c r="AQ117" i="26"/>
  <c r="BL117" i="26" s="1"/>
  <c r="AR117" i="26"/>
  <c r="BM117" i="26" s="1"/>
  <c r="Y118" i="26"/>
  <c r="AT118" i="26" s="1"/>
  <c r="AA118" i="26"/>
  <c r="AV118" i="26" s="1"/>
  <c r="AB118" i="26"/>
  <c r="AW118" i="26" s="1"/>
  <c r="AC118" i="26"/>
  <c r="AX118" i="26" s="1"/>
  <c r="AD118" i="26"/>
  <c r="AY118" i="26" s="1"/>
  <c r="AE118" i="26"/>
  <c r="AZ118" i="26" s="1"/>
  <c r="AF118" i="26"/>
  <c r="BA118" i="26" s="1"/>
  <c r="AG118" i="26"/>
  <c r="BB118" i="26" s="1"/>
  <c r="AH118" i="26"/>
  <c r="BC118" i="26" s="1"/>
  <c r="AI118" i="26"/>
  <c r="BD118" i="26" s="1"/>
  <c r="AJ118" i="26"/>
  <c r="BE118" i="26" s="1"/>
  <c r="AK118" i="26"/>
  <c r="BF118" i="26" s="1"/>
  <c r="AL118" i="26"/>
  <c r="BG118" i="26" s="1"/>
  <c r="AM118" i="26"/>
  <c r="BH118" i="26" s="1"/>
  <c r="AN118" i="26"/>
  <c r="BI118" i="26" s="1"/>
  <c r="AO118" i="26"/>
  <c r="BJ118" i="26" s="1"/>
  <c r="AP118" i="26"/>
  <c r="BK118" i="26" s="1"/>
  <c r="AQ118" i="26"/>
  <c r="BL118" i="26" s="1"/>
  <c r="AR118" i="26"/>
  <c r="BM118" i="26" s="1"/>
  <c r="Y119" i="26"/>
  <c r="AT119" i="26" s="1"/>
  <c r="AA119" i="26"/>
  <c r="AV119" i="26" s="1"/>
  <c r="AB119" i="26"/>
  <c r="AW119" i="26" s="1"/>
  <c r="AC119" i="26"/>
  <c r="AX119" i="26" s="1"/>
  <c r="AD119" i="26"/>
  <c r="AY119" i="26" s="1"/>
  <c r="AE119" i="26"/>
  <c r="AZ119" i="26" s="1"/>
  <c r="AF119" i="26"/>
  <c r="BA119" i="26" s="1"/>
  <c r="AG119" i="26"/>
  <c r="BB119" i="26" s="1"/>
  <c r="AH119" i="26"/>
  <c r="BC119" i="26" s="1"/>
  <c r="AI119" i="26"/>
  <c r="BD119" i="26" s="1"/>
  <c r="AJ119" i="26"/>
  <c r="BE119" i="26" s="1"/>
  <c r="AK119" i="26"/>
  <c r="BF119" i="26" s="1"/>
  <c r="AL119" i="26"/>
  <c r="BG119" i="26" s="1"/>
  <c r="AM119" i="26"/>
  <c r="BH119" i="26" s="1"/>
  <c r="AN119" i="26"/>
  <c r="BI119" i="26" s="1"/>
  <c r="AO119" i="26"/>
  <c r="BJ119" i="26" s="1"/>
  <c r="AP119" i="26"/>
  <c r="BK119" i="26" s="1"/>
  <c r="AQ119" i="26"/>
  <c r="BL119" i="26" s="1"/>
  <c r="AR119" i="26"/>
  <c r="BM119" i="26" s="1"/>
  <c r="Y120" i="26"/>
  <c r="AT120" i="26" s="1"/>
  <c r="AA120" i="26"/>
  <c r="AV120" i="26" s="1"/>
  <c r="AB120" i="26"/>
  <c r="AW120" i="26" s="1"/>
  <c r="AC120" i="26"/>
  <c r="AX120" i="26" s="1"/>
  <c r="AD120" i="26"/>
  <c r="AY120" i="26" s="1"/>
  <c r="AE120" i="26"/>
  <c r="AZ120" i="26" s="1"/>
  <c r="AF120" i="26"/>
  <c r="BA120" i="26" s="1"/>
  <c r="AG120" i="26"/>
  <c r="BB120" i="26" s="1"/>
  <c r="AH120" i="26"/>
  <c r="BC120" i="26" s="1"/>
  <c r="AI120" i="26"/>
  <c r="BD120" i="26" s="1"/>
  <c r="AJ120" i="26"/>
  <c r="BE120" i="26" s="1"/>
  <c r="AK120" i="26"/>
  <c r="BF120" i="26" s="1"/>
  <c r="AL120" i="26"/>
  <c r="BG120" i="26" s="1"/>
  <c r="AM120" i="26"/>
  <c r="BH120" i="26" s="1"/>
  <c r="AN120" i="26"/>
  <c r="BI120" i="26" s="1"/>
  <c r="AO120" i="26"/>
  <c r="BJ120" i="26" s="1"/>
  <c r="AP120" i="26"/>
  <c r="BK120" i="26" s="1"/>
  <c r="AQ120" i="26"/>
  <c r="BL120" i="26" s="1"/>
  <c r="AR120" i="26"/>
  <c r="BM120" i="26" s="1"/>
  <c r="Y121" i="26"/>
  <c r="AT121" i="26" s="1"/>
  <c r="AA121" i="26"/>
  <c r="AV121" i="26" s="1"/>
  <c r="AB121" i="26"/>
  <c r="AW121" i="26" s="1"/>
  <c r="AC121" i="26"/>
  <c r="AX121" i="26" s="1"/>
  <c r="AD121" i="26"/>
  <c r="AY121" i="26" s="1"/>
  <c r="AE121" i="26"/>
  <c r="AZ121" i="26" s="1"/>
  <c r="AF121" i="26"/>
  <c r="BA121" i="26" s="1"/>
  <c r="AG121" i="26"/>
  <c r="BB121" i="26" s="1"/>
  <c r="AH121" i="26"/>
  <c r="BC121" i="26" s="1"/>
  <c r="AI121" i="26"/>
  <c r="BD121" i="26" s="1"/>
  <c r="AJ121" i="26"/>
  <c r="BE121" i="26" s="1"/>
  <c r="AK121" i="26"/>
  <c r="BF121" i="26" s="1"/>
  <c r="AL121" i="26"/>
  <c r="BG121" i="26" s="1"/>
  <c r="AM121" i="26"/>
  <c r="BH121" i="26" s="1"/>
  <c r="AN121" i="26"/>
  <c r="BI121" i="26" s="1"/>
  <c r="AO121" i="26"/>
  <c r="BJ121" i="26" s="1"/>
  <c r="AP121" i="26"/>
  <c r="BK121" i="26" s="1"/>
  <c r="AQ121" i="26"/>
  <c r="BL121" i="26" s="1"/>
  <c r="AR121" i="26"/>
  <c r="BM121" i="26" s="1"/>
  <c r="Y122" i="26"/>
  <c r="AT122" i="26" s="1"/>
  <c r="AA122" i="26"/>
  <c r="AV122" i="26" s="1"/>
  <c r="AB122" i="26"/>
  <c r="AW122" i="26" s="1"/>
  <c r="AC122" i="26"/>
  <c r="AX122" i="26" s="1"/>
  <c r="AD122" i="26"/>
  <c r="AY122" i="26" s="1"/>
  <c r="AE122" i="26"/>
  <c r="AZ122" i="26" s="1"/>
  <c r="AF122" i="26"/>
  <c r="BA122" i="26" s="1"/>
  <c r="AG122" i="26"/>
  <c r="BB122" i="26" s="1"/>
  <c r="AH122" i="26"/>
  <c r="BC122" i="26" s="1"/>
  <c r="AI122" i="26"/>
  <c r="BD122" i="26" s="1"/>
  <c r="AJ122" i="26"/>
  <c r="BE122" i="26" s="1"/>
  <c r="AK122" i="26"/>
  <c r="BF122" i="26" s="1"/>
  <c r="AL122" i="26"/>
  <c r="BG122" i="26" s="1"/>
  <c r="AM122" i="26"/>
  <c r="BH122" i="26" s="1"/>
  <c r="AN122" i="26"/>
  <c r="BI122" i="26" s="1"/>
  <c r="AO122" i="26"/>
  <c r="BJ122" i="26" s="1"/>
  <c r="AP122" i="26"/>
  <c r="BK122" i="26" s="1"/>
  <c r="AQ122" i="26"/>
  <c r="BL122" i="26" s="1"/>
  <c r="AR122" i="26"/>
  <c r="BM122" i="26" s="1"/>
  <c r="Y123" i="26"/>
  <c r="AT123" i="26" s="1"/>
  <c r="AA123" i="26"/>
  <c r="AV123" i="26" s="1"/>
  <c r="AB123" i="26"/>
  <c r="AW123" i="26" s="1"/>
  <c r="AC123" i="26"/>
  <c r="AX123" i="26" s="1"/>
  <c r="AD123" i="26"/>
  <c r="AY123" i="26" s="1"/>
  <c r="AE123" i="26"/>
  <c r="AZ123" i="26" s="1"/>
  <c r="AF123" i="26"/>
  <c r="BA123" i="26" s="1"/>
  <c r="AG123" i="26"/>
  <c r="BB123" i="26" s="1"/>
  <c r="AH123" i="26"/>
  <c r="BC123" i="26" s="1"/>
  <c r="AI123" i="26"/>
  <c r="BD123" i="26" s="1"/>
  <c r="AJ123" i="26"/>
  <c r="BE123" i="26" s="1"/>
  <c r="AK123" i="26"/>
  <c r="BF123" i="26" s="1"/>
  <c r="AL123" i="26"/>
  <c r="BG123" i="26" s="1"/>
  <c r="AM123" i="26"/>
  <c r="BH123" i="26" s="1"/>
  <c r="AN123" i="26"/>
  <c r="BI123" i="26" s="1"/>
  <c r="AO123" i="26"/>
  <c r="BJ123" i="26" s="1"/>
  <c r="AP123" i="26"/>
  <c r="BK123" i="26" s="1"/>
  <c r="AQ123" i="26"/>
  <c r="BL123" i="26" s="1"/>
  <c r="AR123" i="26"/>
  <c r="BM123" i="26" s="1"/>
  <c r="Y124" i="26"/>
  <c r="AT124" i="26" s="1"/>
  <c r="AA124" i="26"/>
  <c r="AV124" i="26" s="1"/>
  <c r="AB124" i="26"/>
  <c r="AW124" i="26" s="1"/>
  <c r="AC124" i="26"/>
  <c r="AX124" i="26" s="1"/>
  <c r="AD124" i="26"/>
  <c r="AY124" i="26" s="1"/>
  <c r="AE124" i="26"/>
  <c r="AZ124" i="26" s="1"/>
  <c r="AF124" i="26"/>
  <c r="BA124" i="26" s="1"/>
  <c r="AG124" i="26"/>
  <c r="BB124" i="26" s="1"/>
  <c r="AH124" i="26"/>
  <c r="BC124" i="26" s="1"/>
  <c r="AI124" i="26"/>
  <c r="BD124" i="26" s="1"/>
  <c r="AJ124" i="26"/>
  <c r="BE124" i="26" s="1"/>
  <c r="AK124" i="26"/>
  <c r="BF124" i="26" s="1"/>
  <c r="AL124" i="26"/>
  <c r="BG124" i="26" s="1"/>
  <c r="AM124" i="26"/>
  <c r="BH124" i="26" s="1"/>
  <c r="AN124" i="26"/>
  <c r="BI124" i="26" s="1"/>
  <c r="AO124" i="26"/>
  <c r="BJ124" i="26" s="1"/>
  <c r="AP124" i="26"/>
  <c r="BK124" i="26" s="1"/>
  <c r="AQ124" i="26"/>
  <c r="BL124" i="26" s="1"/>
  <c r="AR124" i="26"/>
  <c r="BM124" i="26" s="1"/>
  <c r="Y125" i="26"/>
  <c r="AT125" i="26" s="1"/>
  <c r="AA125" i="26"/>
  <c r="AV125" i="26" s="1"/>
  <c r="AB125" i="26"/>
  <c r="AW125" i="26" s="1"/>
  <c r="AC125" i="26"/>
  <c r="AX125" i="26" s="1"/>
  <c r="AD125" i="26"/>
  <c r="AY125" i="26" s="1"/>
  <c r="AE125" i="26"/>
  <c r="AZ125" i="26" s="1"/>
  <c r="AF125" i="26"/>
  <c r="BA125" i="26" s="1"/>
  <c r="AG125" i="26"/>
  <c r="BB125" i="26" s="1"/>
  <c r="AH125" i="26"/>
  <c r="BC125" i="26" s="1"/>
  <c r="AI125" i="26"/>
  <c r="BD125" i="26" s="1"/>
  <c r="AJ125" i="26"/>
  <c r="BE125" i="26" s="1"/>
  <c r="AK125" i="26"/>
  <c r="BF125" i="26" s="1"/>
  <c r="AL125" i="26"/>
  <c r="BG125" i="26" s="1"/>
  <c r="AM125" i="26"/>
  <c r="BH125" i="26" s="1"/>
  <c r="AN125" i="26"/>
  <c r="BI125" i="26" s="1"/>
  <c r="AO125" i="26"/>
  <c r="BJ125" i="26" s="1"/>
  <c r="AP125" i="26"/>
  <c r="BK125" i="26" s="1"/>
  <c r="AQ125" i="26"/>
  <c r="BL125" i="26" s="1"/>
  <c r="AR125" i="26"/>
  <c r="BM125" i="26" s="1"/>
  <c r="Y126" i="26"/>
  <c r="AT126" i="26" s="1"/>
  <c r="AA126" i="26"/>
  <c r="AV126" i="26" s="1"/>
  <c r="AB126" i="26"/>
  <c r="AW126" i="26" s="1"/>
  <c r="AC126" i="26"/>
  <c r="AX126" i="26" s="1"/>
  <c r="AD126" i="26"/>
  <c r="AY126" i="26" s="1"/>
  <c r="AE126" i="26"/>
  <c r="AZ126" i="26" s="1"/>
  <c r="AF126" i="26"/>
  <c r="BA126" i="26" s="1"/>
  <c r="AG126" i="26"/>
  <c r="BB126" i="26" s="1"/>
  <c r="AH126" i="26"/>
  <c r="BC126" i="26" s="1"/>
  <c r="AI126" i="26"/>
  <c r="BD126" i="26" s="1"/>
  <c r="AJ126" i="26"/>
  <c r="BE126" i="26" s="1"/>
  <c r="AK126" i="26"/>
  <c r="BF126" i="26" s="1"/>
  <c r="AL126" i="26"/>
  <c r="BG126" i="26" s="1"/>
  <c r="AM126" i="26"/>
  <c r="BH126" i="26" s="1"/>
  <c r="AN126" i="26"/>
  <c r="BI126" i="26" s="1"/>
  <c r="AO126" i="26"/>
  <c r="BJ126" i="26" s="1"/>
  <c r="AP126" i="26"/>
  <c r="BK126" i="26" s="1"/>
  <c r="AQ126" i="26"/>
  <c r="BL126" i="26" s="1"/>
  <c r="AR126" i="26"/>
  <c r="BM126" i="26" s="1"/>
  <c r="Y127" i="26"/>
  <c r="AT127" i="26" s="1"/>
  <c r="AA127" i="26"/>
  <c r="AV127" i="26" s="1"/>
  <c r="AB127" i="26"/>
  <c r="AW127" i="26" s="1"/>
  <c r="AC127" i="26"/>
  <c r="AX127" i="26" s="1"/>
  <c r="AD127" i="26"/>
  <c r="AY127" i="26" s="1"/>
  <c r="AE127" i="26"/>
  <c r="AZ127" i="26" s="1"/>
  <c r="AF127" i="26"/>
  <c r="BA127" i="26" s="1"/>
  <c r="AG127" i="26"/>
  <c r="BB127" i="26" s="1"/>
  <c r="AH127" i="26"/>
  <c r="BC127" i="26" s="1"/>
  <c r="AI127" i="26"/>
  <c r="BD127" i="26" s="1"/>
  <c r="AJ127" i="26"/>
  <c r="BE127" i="26" s="1"/>
  <c r="AK127" i="26"/>
  <c r="BF127" i="26" s="1"/>
  <c r="AL127" i="26"/>
  <c r="BG127" i="26" s="1"/>
  <c r="AM127" i="26"/>
  <c r="BH127" i="26" s="1"/>
  <c r="AN127" i="26"/>
  <c r="BI127" i="26" s="1"/>
  <c r="AO127" i="26"/>
  <c r="BJ127" i="26" s="1"/>
  <c r="AP127" i="26"/>
  <c r="BK127" i="26" s="1"/>
  <c r="AQ127" i="26"/>
  <c r="BL127" i="26" s="1"/>
  <c r="AR127" i="26"/>
  <c r="BM127" i="26" s="1"/>
  <c r="Y128" i="26"/>
  <c r="AT128" i="26" s="1"/>
  <c r="AA128" i="26"/>
  <c r="AV128" i="26" s="1"/>
  <c r="AB128" i="26"/>
  <c r="AW128" i="26" s="1"/>
  <c r="AC128" i="26"/>
  <c r="AX128" i="26" s="1"/>
  <c r="AD128" i="26"/>
  <c r="AY128" i="26" s="1"/>
  <c r="AE128" i="26"/>
  <c r="AZ128" i="26" s="1"/>
  <c r="AF128" i="26"/>
  <c r="BA128" i="26" s="1"/>
  <c r="AG128" i="26"/>
  <c r="BB128" i="26" s="1"/>
  <c r="AH128" i="26"/>
  <c r="BC128" i="26" s="1"/>
  <c r="AI128" i="26"/>
  <c r="BD128" i="26" s="1"/>
  <c r="AJ128" i="26"/>
  <c r="BE128" i="26" s="1"/>
  <c r="AK128" i="26"/>
  <c r="BF128" i="26" s="1"/>
  <c r="AL128" i="26"/>
  <c r="BG128" i="26" s="1"/>
  <c r="AM128" i="26"/>
  <c r="BH128" i="26" s="1"/>
  <c r="AN128" i="26"/>
  <c r="BI128" i="26" s="1"/>
  <c r="AO128" i="26"/>
  <c r="BJ128" i="26" s="1"/>
  <c r="AP128" i="26"/>
  <c r="BK128" i="26" s="1"/>
  <c r="AQ128" i="26"/>
  <c r="BL128" i="26" s="1"/>
  <c r="AR128" i="26"/>
  <c r="BM128" i="26" s="1"/>
  <c r="Y129" i="26"/>
  <c r="AT129" i="26" s="1"/>
  <c r="AA129" i="26"/>
  <c r="AV129" i="26" s="1"/>
  <c r="AB129" i="26"/>
  <c r="AW129" i="26" s="1"/>
  <c r="AC129" i="26"/>
  <c r="AX129" i="26" s="1"/>
  <c r="AD129" i="26"/>
  <c r="AY129" i="26" s="1"/>
  <c r="AE129" i="26"/>
  <c r="AZ129" i="26" s="1"/>
  <c r="AF129" i="26"/>
  <c r="BA129" i="26" s="1"/>
  <c r="AG129" i="26"/>
  <c r="BB129" i="26" s="1"/>
  <c r="AH129" i="26"/>
  <c r="BC129" i="26" s="1"/>
  <c r="AI129" i="26"/>
  <c r="BD129" i="26" s="1"/>
  <c r="AJ129" i="26"/>
  <c r="BE129" i="26" s="1"/>
  <c r="AK129" i="26"/>
  <c r="BF129" i="26" s="1"/>
  <c r="AL129" i="26"/>
  <c r="BG129" i="26" s="1"/>
  <c r="AM129" i="26"/>
  <c r="BH129" i="26" s="1"/>
  <c r="AN129" i="26"/>
  <c r="BI129" i="26" s="1"/>
  <c r="AO129" i="26"/>
  <c r="BJ129" i="26" s="1"/>
  <c r="AP129" i="26"/>
  <c r="BK129" i="26" s="1"/>
  <c r="AQ129" i="26"/>
  <c r="BL129" i="26" s="1"/>
  <c r="AR129" i="26"/>
  <c r="BM129" i="26" s="1"/>
  <c r="Y130" i="26"/>
  <c r="AT130" i="26" s="1"/>
  <c r="AA130" i="26"/>
  <c r="AV130" i="26" s="1"/>
  <c r="AB130" i="26"/>
  <c r="AW130" i="26" s="1"/>
  <c r="AC130" i="26"/>
  <c r="AX130" i="26" s="1"/>
  <c r="AD130" i="26"/>
  <c r="AY130" i="26" s="1"/>
  <c r="AE130" i="26"/>
  <c r="AZ130" i="26" s="1"/>
  <c r="AF130" i="26"/>
  <c r="BA130" i="26" s="1"/>
  <c r="AG130" i="26"/>
  <c r="BB130" i="26" s="1"/>
  <c r="AH130" i="26"/>
  <c r="BC130" i="26" s="1"/>
  <c r="AI130" i="26"/>
  <c r="BD130" i="26" s="1"/>
  <c r="AJ130" i="26"/>
  <c r="BE130" i="26" s="1"/>
  <c r="AK130" i="26"/>
  <c r="BF130" i="26" s="1"/>
  <c r="AL130" i="26"/>
  <c r="BG130" i="26" s="1"/>
  <c r="AM130" i="26"/>
  <c r="BH130" i="26" s="1"/>
  <c r="AN130" i="26"/>
  <c r="BI130" i="26" s="1"/>
  <c r="AO130" i="26"/>
  <c r="BJ130" i="26" s="1"/>
  <c r="AP130" i="26"/>
  <c r="BK130" i="26" s="1"/>
  <c r="AQ130" i="26"/>
  <c r="BL130" i="26" s="1"/>
  <c r="AR130" i="26"/>
  <c r="BM130" i="26" s="1"/>
  <c r="Y131" i="26"/>
  <c r="AT131" i="26" s="1"/>
  <c r="AA131" i="26"/>
  <c r="AV131" i="26" s="1"/>
  <c r="AB131" i="26"/>
  <c r="AW131" i="26" s="1"/>
  <c r="AC131" i="26"/>
  <c r="AX131" i="26" s="1"/>
  <c r="AD131" i="26"/>
  <c r="AY131" i="26" s="1"/>
  <c r="AE131" i="26"/>
  <c r="AZ131" i="26" s="1"/>
  <c r="AF131" i="26"/>
  <c r="BA131" i="26" s="1"/>
  <c r="AG131" i="26"/>
  <c r="BB131" i="26" s="1"/>
  <c r="AH131" i="26"/>
  <c r="BC131" i="26" s="1"/>
  <c r="AI131" i="26"/>
  <c r="BD131" i="26" s="1"/>
  <c r="AJ131" i="26"/>
  <c r="BE131" i="26" s="1"/>
  <c r="AK131" i="26"/>
  <c r="BF131" i="26" s="1"/>
  <c r="AL131" i="26"/>
  <c r="BG131" i="26" s="1"/>
  <c r="AM131" i="26"/>
  <c r="BH131" i="26" s="1"/>
  <c r="AN131" i="26"/>
  <c r="BI131" i="26" s="1"/>
  <c r="AO131" i="26"/>
  <c r="BJ131" i="26" s="1"/>
  <c r="AP131" i="26"/>
  <c r="BK131" i="26" s="1"/>
  <c r="AQ131" i="26"/>
  <c r="BL131" i="26" s="1"/>
  <c r="AR131" i="26"/>
  <c r="BM131" i="26" s="1"/>
  <c r="Y132" i="26"/>
  <c r="AT132" i="26" s="1"/>
  <c r="AA132" i="26"/>
  <c r="AV132" i="26" s="1"/>
  <c r="AB132" i="26"/>
  <c r="AW132" i="26" s="1"/>
  <c r="AC132" i="26"/>
  <c r="AX132" i="26" s="1"/>
  <c r="AD132" i="26"/>
  <c r="AY132" i="26" s="1"/>
  <c r="AE132" i="26"/>
  <c r="AZ132" i="26" s="1"/>
  <c r="AF132" i="26"/>
  <c r="BA132" i="26" s="1"/>
  <c r="AG132" i="26"/>
  <c r="BB132" i="26" s="1"/>
  <c r="AH132" i="26"/>
  <c r="BC132" i="26" s="1"/>
  <c r="AI132" i="26"/>
  <c r="BD132" i="26" s="1"/>
  <c r="AJ132" i="26"/>
  <c r="BE132" i="26" s="1"/>
  <c r="AK132" i="26"/>
  <c r="BF132" i="26" s="1"/>
  <c r="AL132" i="26"/>
  <c r="BG132" i="26" s="1"/>
  <c r="AM132" i="26"/>
  <c r="BH132" i="26" s="1"/>
  <c r="AN132" i="26"/>
  <c r="BI132" i="26" s="1"/>
  <c r="AO132" i="26"/>
  <c r="BJ132" i="26" s="1"/>
  <c r="AP132" i="26"/>
  <c r="BK132" i="26" s="1"/>
  <c r="AQ132" i="26"/>
  <c r="BL132" i="26" s="1"/>
  <c r="AR132" i="26"/>
  <c r="BM132" i="26" s="1"/>
  <c r="Y133" i="26"/>
  <c r="AT133" i="26" s="1"/>
  <c r="AA133" i="26"/>
  <c r="AV133" i="26" s="1"/>
  <c r="AB133" i="26"/>
  <c r="AW133" i="26" s="1"/>
  <c r="AC133" i="26"/>
  <c r="AX133" i="26" s="1"/>
  <c r="AD133" i="26"/>
  <c r="AY133" i="26" s="1"/>
  <c r="AE133" i="26"/>
  <c r="AZ133" i="26" s="1"/>
  <c r="AF133" i="26"/>
  <c r="BA133" i="26" s="1"/>
  <c r="AG133" i="26"/>
  <c r="BB133" i="26" s="1"/>
  <c r="AH133" i="26"/>
  <c r="BC133" i="26" s="1"/>
  <c r="AI133" i="26"/>
  <c r="BD133" i="26" s="1"/>
  <c r="AJ133" i="26"/>
  <c r="BE133" i="26" s="1"/>
  <c r="AK133" i="26"/>
  <c r="BF133" i="26" s="1"/>
  <c r="AL133" i="26"/>
  <c r="BG133" i="26" s="1"/>
  <c r="AM133" i="26"/>
  <c r="BH133" i="26" s="1"/>
  <c r="AN133" i="26"/>
  <c r="BI133" i="26" s="1"/>
  <c r="AO133" i="26"/>
  <c r="BJ133" i="26" s="1"/>
  <c r="AP133" i="26"/>
  <c r="BK133" i="26" s="1"/>
  <c r="AQ133" i="26"/>
  <c r="BL133" i="26" s="1"/>
  <c r="AR133" i="26"/>
  <c r="BM133" i="26" s="1"/>
  <c r="Y134" i="26"/>
  <c r="AT134" i="26" s="1"/>
  <c r="AA134" i="26"/>
  <c r="AV134" i="26" s="1"/>
  <c r="AB134" i="26"/>
  <c r="AW134" i="26" s="1"/>
  <c r="AC134" i="26"/>
  <c r="AX134" i="26" s="1"/>
  <c r="AD134" i="26"/>
  <c r="AY134" i="26" s="1"/>
  <c r="AE134" i="26"/>
  <c r="AZ134" i="26" s="1"/>
  <c r="AF134" i="26"/>
  <c r="BA134" i="26" s="1"/>
  <c r="AG134" i="26"/>
  <c r="BB134" i="26" s="1"/>
  <c r="AH134" i="26"/>
  <c r="BC134" i="26" s="1"/>
  <c r="AI134" i="26"/>
  <c r="BD134" i="26" s="1"/>
  <c r="AJ134" i="26"/>
  <c r="BE134" i="26" s="1"/>
  <c r="AK134" i="26"/>
  <c r="BF134" i="26" s="1"/>
  <c r="AL134" i="26"/>
  <c r="BG134" i="26" s="1"/>
  <c r="AM134" i="26"/>
  <c r="BH134" i="26" s="1"/>
  <c r="AN134" i="26"/>
  <c r="BI134" i="26" s="1"/>
  <c r="AO134" i="26"/>
  <c r="BJ134" i="26" s="1"/>
  <c r="AP134" i="26"/>
  <c r="BK134" i="26" s="1"/>
  <c r="AQ134" i="26"/>
  <c r="BL134" i="26" s="1"/>
  <c r="AR134" i="26"/>
  <c r="BM134" i="26" s="1"/>
  <c r="Y135" i="26"/>
  <c r="AT135" i="26" s="1"/>
  <c r="AA135" i="26"/>
  <c r="AV135" i="26" s="1"/>
  <c r="AB135" i="26"/>
  <c r="AW135" i="26" s="1"/>
  <c r="AC135" i="26"/>
  <c r="AX135" i="26" s="1"/>
  <c r="AD135" i="26"/>
  <c r="AY135" i="26" s="1"/>
  <c r="AE135" i="26"/>
  <c r="AZ135" i="26" s="1"/>
  <c r="AF135" i="26"/>
  <c r="BA135" i="26" s="1"/>
  <c r="AG135" i="26"/>
  <c r="BB135" i="26" s="1"/>
  <c r="AH135" i="26"/>
  <c r="BC135" i="26" s="1"/>
  <c r="AI135" i="26"/>
  <c r="BD135" i="26" s="1"/>
  <c r="AJ135" i="26"/>
  <c r="BE135" i="26" s="1"/>
  <c r="AK135" i="26"/>
  <c r="BF135" i="26" s="1"/>
  <c r="AL135" i="26"/>
  <c r="BG135" i="26" s="1"/>
  <c r="AM135" i="26"/>
  <c r="BH135" i="26" s="1"/>
  <c r="AN135" i="26"/>
  <c r="BI135" i="26" s="1"/>
  <c r="AO135" i="26"/>
  <c r="BJ135" i="26" s="1"/>
  <c r="AP135" i="26"/>
  <c r="BK135" i="26" s="1"/>
  <c r="AQ135" i="26"/>
  <c r="BL135" i="26" s="1"/>
  <c r="AR135" i="26"/>
  <c r="BM135" i="26" s="1"/>
  <c r="Y3" i="26"/>
  <c r="AT3" i="26" s="1"/>
  <c r="Y4" i="26"/>
  <c r="AT4" i="26" s="1"/>
  <c r="Y5" i="26"/>
  <c r="AT5" i="26" s="1"/>
  <c r="Y6" i="26"/>
  <c r="AT6" i="26" s="1"/>
  <c r="Y7" i="26"/>
  <c r="AT7" i="26" s="1"/>
  <c r="Y8" i="26"/>
  <c r="AT8" i="26" s="1"/>
  <c r="Y9" i="26"/>
  <c r="AT9" i="26" s="1"/>
  <c r="Y10" i="26"/>
  <c r="AT10" i="26" s="1"/>
  <c r="Y11" i="26"/>
  <c r="AT11" i="26" s="1"/>
  <c r="Y12" i="26"/>
  <c r="AT12" i="26" s="1"/>
  <c r="Y13" i="26"/>
  <c r="AT13" i="26" s="1"/>
  <c r="Y17" i="25"/>
  <c r="AT17" i="25" s="1"/>
  <c r="AA17" i="25"/>
  <c r="AV17" i="25" s="1"/>
  <c r="AB17" i="25"/>
  <c r="AW17" i="25" s="1"/>
  <c r="AC17" i="25"/>
  <c r="AX17" i="25" s="1"/>
  <c r="AD17" i="25"/>
  <c r="AY17" i="25" s="1"/>
  <c r="AE17" i="25"/>
  <c r="AZ17" i="25" s="1"/>
  <c r="AF17" i="25"/>
  <c r="AG17" i="25"/>
  <c r="BB17" i="25" s="1"/>
  <c r="AH17" i="25"/>
  <c r="BC17" i="25" s="1"/>
  <c r="AI17" i="25"/>
  <c r="BD17" i="25" s="1"/>
  <c r="AJ17" i="25"/>
  <c r="BE17" i="25" s="1"/>
  <c r="AK17" i="25"/>
  <c r="BF17" i="25" s="1"/>
  <c r="AL17" i="25"/>
  <c r="BG17" i="25" s="1"/>
  <c r="AM17" i="25"/>
  <c r="BH17" i="25" s="1"/>
  <c r="AN17" i="25"/>
  <c r="BI17" i="25" s="1"/>
  <c r="AO17" i="25"/>
  <c r="BJ17" i="25" s="1"/>
  <c r="AP17" i="25"/>
  <c r="BK17" i="25" s="1"/>
  <c r="AQ17" i="25"/>
  <c r="BL17" i="25" s="1"/>
  <c r="AR17" i="25"/>
  <c r="BM17" i="25" s="1"/>
  <c r="Y18" i="25"/>
  <c r="AT18" i="25" s="1"/>
  <c r="AA18" i="25"/>
  <c r="AV18" i="25" s="1"/>
  <c r="AB18" i="25"/>
  <c r="AW18" i="25" s="1"/>
  <c r="AC18" i="25"/>
  <c r="AX18" i="25" s="1"/>
  <c r="AD18" i="25"/>
  <c r="AY18" i="25" s="1"/>
  <c r="AE18" i="25"/>
  <c r="AZ18" i="25" s="1"/>
  <c r="AF18" i="25"/>
  <c r="BA18" i="25" s="1"/>
  <c r="AG18" i="25"/>
  <c r="BB18" i="25" s="1"/>
  <c r="AH18" i="25"/>
  <c r="BC18" i="25" s="1"/>
  <c r="AI18" i="25"/>
  <c r="BD18" i="25" s="1"/>
  <c r="AJ18" i="25"/>
  <c r="BE18" i="25" s="1"/>
  <c r="AK18" i="25"/>
  <c r="BF18" i="25" s="1"/>
  <c r="AL18" i="25"/>
  <c r="BG18" i="25" s="1"/>
  <c r="AM18" i="25"/>
  <c r="BH18" i="25" s="1"/>
  <c r="AN18" i="25"/>
  <c r="BI18" i="25" s="1"/>
  <c r="AO18" i="25"/>
  <c r="BJ18" i="25" s="1"/>
  <c r="AP18" i="25"/>
  <c r="BK18" i="25" s="1"/>
  <c r="AQ18" i="25"/>
  <c r="BL18" i="25" s="1"/>
  <c r="AR18" i="25"/>
  <c r="BM18" i="25" s="1"/>
  <c r="Y19" i="25"/>
  <c r="AT19" i="25" s="1"/>
  <c r="AA19" i="25"/>
  <c r="AV19" i="25" s="1"/>
  <c r="AB19" i="25"/>
  <c r="AW19" i="25" s="1"/>
  <c r="AC19" i="25"/>
  <c r="AX19" i="25" s="1"/>
  <c r="AD19" i="25"/>
  <c r="AE19" i="25"/>
  <c r="AZ19" i="25" s="1"/>
  <c r="AF19" i="25"/>
  <c r="BA19" i="25" s="1"/>
  <c r="AG19" i="25"/>
  <c r="BB19" i="25" s="1"/>
  <c r="AH19" i="25"/>
  <c r="BC19" i="25" s="1"/>
  <c r="AI19" i="25"/>
  <c r="BD19" i="25" s="1"/>
  <c r="AJ19" i="25"/>
  <c r="BE19" i="25" s="1"/>
  <c r="AK19" i="25"/>
  <c r="BF19" i="25" s="1"/>
  <c r="AL19" i="25"/>
  <c r="BG19" i="25" s="1"/>
  <c r="AM19" i="25"/>
  <c r="BH19" i="25" s="1"/>
  <c r="AN19" i="25"/>
  <c r="BI19" i="25" s="1"/>
  <c r="AO19" i="25"/>
  <c r="BJ19" i="25" s="1"/>
  <c r="AP19" i="25"/>
  <c r="BK19" i="25" s="1"/>
  <c r="AQ19" i="25"/>
  <c r="BL19" i="25" s="1"/>
  <c r="AR19" i="25"/>
  <c r="BM19" i="25" s="1"/>
  <c r="Y20" i="25"/>
  <c r="AT20" i="25" s="1"/>
  <c r="AA20" i="25"/>
  <c r="AV20" i="25" s="1"/>
  <c r="AB20" i="25"/>
  <c r="AW20" i="25" s="1"/>
  <c r="AC20" i="25"/>
  <c r="AX20" i="25" s="1"/>
  <c r="AD20" i="25"/>
  <c r="AY20" i="25" s="1"/>
  <c r="AE20" i="25"/>
  <c r="AZ20" i="25" s="1"/>
  <c r="AF20" i="25"/>
  <c r="BA20" i="25" s="1"/>
  <c r="AG20" i="25"/>
  <c r="BB20" i="25" s="1"/>
  <c r="AH20" i="25"/>
  <c r="BC20" i="25" s="1"/>
  <c r="AI20" i="25"/>
  <c r="BD20" i="25" s="1"/>
  <c r="AJ20" i="25"/>
  <c r="BE20" i="25" s="1"/>
  <c r="AK20" i="25"/>
  <c r="BF20" i="25" s="1"/>
  <c r="AL20" i="25"/>
  <c r="BG20" i="25" s="1"/>
  <c r="AM20" i="25"/>
  <c r="BH20" i="25" s="1"/>
  <c r="AN20" i="25"/>
  <c r="BI20" i="25" s="1"/>
  <c r="AO20" i="25"/>
  <c r="BJ20" i="25" s="1"/>
  <c r="AP20" i="25"/>
  <c r="BK20" i="25" s="1"/>
  <c r="AQ20" i="25"/>
  <c r="BL20" i="25" s="1"/>
  <c r="AR20" i="25"/>
  <c r="BM20" i="25" s="1"/>
  <c r="Y21" i="25"/>
  <c r="AT21" i="25" s="1"/>
  <c r="AA21" i="25"/>
  <c r="AV21" i="25" s="1"/>
  <c r="AB21" i="25"/>
  <c r="AW21" i="25" s="1"/>
  <c r="AC21" i="25"/>
  <c r="AX21" i="25" s="1"/>
  <c r="AD21" i="25"/>
  <c r="AY21" i="25" s="1"/>
  <c r="AE21" i="25"/>
  <c r="AZ21" i="25" s="1"/>
  <c r="AF21" i="25"/>
  <c r="BA21" i="25" s="1"/>
  <c r="AG21" i="25"/>
  <c r="BB21" i="25" s="1"/>
  <c r="AH21" i="25"/>
  <c r="BC21" i="25" s="1"/>
  <c r="AI21" i="25"/>
  <c r="BD21" i="25" s="1"/>
  <c r="AJ21" i="25"/>
  <c r="BE21" i="25" s="1"/>
  <c r="AK21" i="25"/>
  <c r="BF21" i="25" s="1"/>
  <c r="AL21" i="25"/>
  <c r="BG21" i="25" s="1"/>
  <c r="AM21" i="25"/>
  <c r="BH21" i="25" s="1"/>
  <c r="AN21" i="25"/>
  <c r="BI21" i="25" s="1"/>
  <c r="AO21" i="25"/>
  <c r="BJ21" i="25" s="1"/>
  <c r="AP21" i="25"/>
  <c r="BK21" i="25" s="1"/>
  <c r="AQ21" i="25"/>
  <c r="BL21" i="25" s="1"/>
  <c r="AR21" i="25"/>
  <c r="BM21" i="25" s="1"/>
  <c r="Y22" i="25"/>
  <c r="AT22" i="25" s="1"/>
  <c r="AA22" i="25"/>
  <c r="AV22" i="25" s="1"/>
  <c r="AB22" i="25"/>
  <c r="AW22" i="25" s="1"/>
  <c r="AC22" i="25"/>
  <c r="AX22" i="25" s="1"/>
  <c r="AD22" i="25"/>
  <c r="AY22" i="25" s="1"/>
  <c r="AE22" i="25"/>
  <c r="AZ22" i="25" s="1"/>
  <c r="AF22" i="25"/>
  <c r="BA22" i="25" s="1"/>
  <c r="AG22" i="25"/>
  <c r="BB22" i="25" s="1"/>
  <c r="AH22" i="25"/>
  <c r="BC22" i="25" s="1"/>
  <c r="AI22" i="25"/>
  <c r="BD22" i="25" s="1"/>
  <c r="AJ22" i="25"/>
  <c r="BE22" i="25" s="1"/>
  <c r="AK22" i="25"/>
  <c r="BF22" i="25" s="1"/>
  <c r="AL22" i="25"/>
  <c r="AM22" i="25"/>
  <c r="BH22" i="25" s="1"/>
  <c r="AN22" i="25"/>
  <c r="BI22" i="25" s="1"/>
  <c r="AO22" i="25"/>
  <c r="BJ22" i="25" s="1"/>
  <c r="AP22" i="25"/>
  <c r="BK22" i="25" s="1"/>
  <c r="AQ22" i="25"/>
  <c r="BL22" i="25" s="1"/>
  <c r="AR22" i="25"/>
  <c r="BM22" i="25" s="1"/>
  <c r="Y23" i="25"/>
  <c r="AA23" i="25"/>
  <c r="AV23" i="25" s="1"/>
  <c r="AB23" i="25"/>
  <c r="AW23" i="25" s="1"/>
  <c r="AC23" i="25"/>
  <c r="AX23" i="25" s="1"/>
  <c r="AD23" i="25"/>
  <c r="AY23" i="25" s="1"/>
  <c r="AE23" i="25"/>
  <c r="AZ23" i="25" s="1"/>
  <c r="AF23" i="25"/>
  <c r="BA23" i="25" s="1"/>
  <c r="AG23" i="25"/>
  <c r="BB23" i="25" s="1"/>
  <c r="AH23" i="25"/>
  <c r="BC23" i="25" s="1"/>
  <c r="AI23" i="25"/>
  <c r="BD23" i="25" s="1"/>
  <c r="AJ23" i="25"/>
  <c r="BE23" i="25" s="1"/>
  <c r="AK23" i="25"/>
  <c r="BF23" i="25" s="1"/>
  <c r="AL23" i="25"/>
  <c r="BG23" i="25" s="1"/>
  <c r="AM23" i="25"/>
  <c r="BH23" i="25" s="1"/>
  <c r="AN23" i="25"/>
  <c r="BI23" i="25" s="1"/>
  <c r="AO23" i="25"/>
  <c r="BJ23" i="25" s="1"/>
  <c r="AP23" i="25"/>
  <c r="BK23" i="25" s="1"/>
  <c r="AQ23" i="25"/>
  <c r="BL23" i="25" s="1"/>
  <c r="AR23" i="25"/>
  <c r="BM23" i="25" s="1"/>
  <c r="Y24" i="25"/>
  <c r="AT24" i="25" s="1"/>
  <c r="AA24" i="25"/>
  <c r="AV24" i="25" s="1"/>
  <c r="AB24" i="25"/>
  <c r="AW24" i="25" s="1"/>
  <c r="AC24" i="25"/>
  <c r="AX24" i="25" s="1"/>
  <c r="AD24" i="25"/>
  <c r="AY24" i="25" s="1"/>
  <c r="AE24" i="25"/>
  <c r="AZ24" i="25" s="1"/>
  <c r="AF24" i="25"/>
  <c r="BA24" i="25" s="1"/>
  <c r="AG24" i="25"/>
  <c r="BB24" i="25" s="1"/>
  <c r="AH24" i="25"/>
  <c r="BC24" i="25" s="1"/>
  <c r="AI24" i="25"/>
  <c r="BD24" i="25" s="1"/>
  <c r="AJ24" i="25"/>
  <c r="BE24" i="25" s="1"/>
  <c r="AK24" i="25"/>
  <c r="BF24" i="25" s="1"/>
  <c r="AL24" i="25"/>
  <c r="BG24" i="25" s="1"/>
  <c r="AM24" i="25"/>
  <c r="BH24" i="25" s="1"/>
  <c r="AN24" i="25"/>
  <c r="BI24" i="25" s="1"/>
  <c r="AO24" i="25"/>
  <c r="BJ24" i="25" s="1"/>
  <c r="AP24" i="25"/>
  <c r="BK24" i="25" s="1"/>
  <c r="AQ24" i="25"/>
  <c r="BL24" i="25" s="1"/>
  <c r="AR24" i="25"/>
  <c r="BM24" i="25" s="1"/>
  <c r="Y25" i="25"/>
  <c r="AT25" i="25" s="1"/>
  <c r="AA25" i="25"/>
  <c r="AV25" i="25" s="1"/>
  <c r="AB25" i="25"/>
  <c r="AW25" i="25" s="1"/>
  <c r="AC25" i="25"/>
  <c r="AX25" i="25" s="1"/>
  <c r="AD25" i="25"/>
  <c r="AY25" i="25" s="1"/>
  <c r="AE25" i="25"/>
  <c r="AZ25" i="25" s="1"/>
  <c r="AF25" i="25"/>
  <c r="BA25" i="25" s="1"/>
  <c r="AG25" i="25"/>
  <c r="BB25" i="25" s="1"/>
  <c r="AH25" i="25"/>
  <c r="BC25" i="25" s="1"/>
  <c r="AI25" i="25"/>
  <c r="BD25" i="25" s="1"/>
  <c r="AJ25" i="25"/>
  <c r="BE25" i="25" s="1"/>
  <c r="AK25" i="25"/>
  <c r="BF25" i="25" s="1"/>
  <c r="AL25" i="25"/>
  <c r="BG25" i="25" s="1"/>
  <c r="AM25" i="25"/>
  <c r="BH25" i="25" s="1"/>
  <c r="AN25" i="25"/>
  <c r="BI25" i="25" s="1"/>
  <c r="AO25" i="25"/>
  <c r="BJ25" i="25" s="1"/>
  <c r="AP25" i="25"/>
  <c r="BK25" i="25" s="1"/>
  <c r="AQ25" i="25"/>
  <c r="BL25" i="25" s="1"/>
  <c r="AR25" i="25"/>
  <c r="BM25" i="25" s="1"/>
  <c r="Y26" i="25"/>
  <c r="AT26" i="25" s="1"/>
  <c r="AA26" i="25"/>
  <c r="AV26" i="25" s="1"/>
  <c r="AB26" i="25"/>
  <c r="AW26" i="25" s="1"/>
  <c r="AC26" i="25"/>
  <c r="AX26" i="25" s="1"/>
  <c r="AD26" i="25"/>
  <c r="AY26" i="25" s="1"/>
  <c r="AE26" i="25"/>
  <c r="AZ26" i="25" s="1"/>
  <c r="AF26" i="25"/>
  <c r="BA26" i="25" s="1"/>
  <c r="AG26" i="25"/>
  <c r="BB26" i="25" s="1"/>
  <c r="AH26" i="25"/>
  <c r="BC26" i="25" s="1"/>
  <c r="AI26" i="25"/>
  <c r="BD26" i="25" s="1"/>
  <c r="AJ26" i="25"/>
  <c r="BE26" i="25" s="1"/>
  <c r="AK26" i="25"/>
  <c r="BF26" i="25" s="1"/>
  <c r="AL26" i="25"/>
  <c r="BG26" i="25" s="1"/>
  <c r="AM26" i="25"/>
  <c r="BH26" i="25" s="1"/>
  <c r="AN26" i="25"/>
  <c r="BI26" i="25" s="1"/>
  <c r="AO26" i="25"/>
  <c r="BJ26" i="25" s="1"/>
  <c r="AP26" i="25"/>
  <c r="BK26" i="25" s="1"/>
  <c r="AQ26" i="25"/>
  <c r="BL26" i="25" s="1"/>
  <c r="AR26" i="25"/>
  <c r="BM26" i="25" s="1"/>
  <c r="Y27" i="25"/>
  <c r="AT27" i="25" s="1"/>
  <c r="AA27" i="25"/>
  <c r="AV27" i="25" s="1"/>
  <c r="AB27" i="25"/>
  <c r="AW27" i="25" s="1"/>
  <c r="AC27" i="25"/>
  <c r="AX27" i="25" s="1"/>
  <c r="AD27" i="25"/>
  <c r="AY27" i="25" s="1"/>
  <c r="AE27" i="25"/>
  <c r="AZ27" i="25" s="1"/>
  <c r="AF27" i="25"/>
  <c r="BA27" i="25" s="1"/>
  <c r="AG27" i="25"/>
  <c r="BB27" i="25" s="1"/>
  <c r="AH27" i="25"/>
  <c r="AI27" i="25"/>
  <c r="BD27" i="25" s="1"/>
  <c r="AJ27" i="25"/>
  <c r="BE27" i="25" s="1"/>
  <c r="AK27" i="25"/>
  <c r="BF27" i="25" s="1"/>
  <c r="AL27" i="25"/>
  <c r="BG27" i="25" s="1"/>
  <c r="AM27" i="25"/>
  <c r="AN27" i="25"/>
  <c r="BI27" i="25" s="1"/>
  <c r="AO27" i="25"/>
  <c r="BJ27" i="25" s="1"/>
  <c r="AP27" i="25"/>
  <c r="BK27" i="25" s="1"/>
  <c r="AQ27" i="25"/>
  <c r="BL27" i="25" s="1"/>
  <c r="AR27" i="25"/>
  <c r="BM27" i="25" s="1"/>
  <c r="Y28" i="25"/>
  <c r="AT28" i="25" s="1"/>
  <c r="AA28" i="25"/>
  <c r="AV28" i="25" s="1"/>
  <c r="AB28" i="25"/>
  <c r="AW28" i="25" s="1"/>
  <c r="AC28" i="25"/>
  <c r="AX28" i="25" s="1"/>
  <c r="AD28" i="25"/>
  <c r="AY28" i="25" s="1"/>
  <c r="AE28" i="25"/>
  <c r="AZ28" i="25" s="1"/>
  <c r="AF28" i="25"/>
  <c r="BA28" i="25" s="1"/>
  <c r="AG28" i="25"/>
  <c r="BB28" i="25" s="1"/>
  <c r="AH28" i="25"/>
  <c r="BC28" i="25" s="1"/>
  <c r="AI28" i="25"/>
  <c r="BD28" i="25" s="1"/>
  <c r="AJ28" i="25"/>
  <c r="BE28" i="25" s="1"/>
  <c r="AK28" i="25"/>
  <c r="BF28" i="25" s="1"/>
  <c r="AL28" i="25"/>
  <c r="BG28" i="25" s="1"/>
  <c r="AM28" i="25"/>
  <c r="BH28" i="25" s="1"/>
  <c r="AN28" i="25"/>
  <c r="BI28" i="25" s="1"/>
  <c r="AO28" i="25"/>
  <c r="BJ28" i="25" s="1"/>
  <c r="AP28" i="25"/>
  <c r="BK28" i="25" s="1"/>
  <c r="AQ28" i="25"/>
  <c r="BL28" i="25" s="1"/>
  <c r="AR28" i="25"/>
  <c r="BM28" i="25" s="1"/>
  <c r="Y29" i="25"/>
  <c r="AT29" i="25" s="1"/>
  <c r="AA29" i="25"/>
  <c r="AV29" i="25" s="1"/>
  <c r="AB29" i="25"/>
  <c r="AW29" i="25" s="1"/>
  <c r="AC29" i="25"/>
  <c r="AX29" i="25" s="1"/>
  <c r="AD29" i="25"/>
  <c r="AY29" i="25" s="1"/>
  <c r="AE29" i="25"/>
  <c r="AZ29" i="25" s="1"/>
  <c r="AF29" i="25"/>
  <c r="AG29" i="25"/>
  <c r="BB29" i="25" s="1"/>
  <c r="AH29" i="25"/>
  <c r="BC29" i="25" s="1"/>
  <c r="AI29" i="25"/>
  <c r="BD29" i="25" s="1"/>
  <c r="AJ29" i="25"/>
  <c r="BE29" i="25" s="1"/>
  <c r="AK29" i="25"/>
  <c r="BF29" i="25" s="1"/>
  <c r="AL29" i="25"/>
  <c r="BG29" i="25" s="1"/>
  <c r="AM29" i="25"/>
  <c r="BH29" i="25" s="1"/>
  <c r="AN29" i="25"/>
  <c r="BI29" i="25" s="1"/>
  <c r="AO29" i="25"/>
  <c r="BJ29" i="25" s="1"/>
  <c r="AP29" i="25"/>
  <c r="BK29" i="25" s="1"/>
  <c r="AQ29" i="25"/>
  <c r="BL29" i="25" s="1"/>
  <c r="AR29" i="25"/>
  <c r="Y30" i="25"/>
  <c r="AT30" i="25" s="1"/>
  <c r="AA30" i="25"/>
  <c r="AV30" i="25" s="1"/>
  <c r="AB30" i="25"/>
  <c r="AW30" i="25" s="1"/>
  <c r="AC30" i="25"/>
  <c r="AX30" i="25" s="1"/>
  <c r="AD30" i="25"/>
  <c r="AY30" i="25" s="1"/>
  <c r="AE30" i="25"/>
  <c r="AZ30" i="25" s="1"/>
  <c r="AF30" i="25"/>
  <c r="BA30" i="25" s="1"/>
  <c r="AG30" i="25"/>
  <c r="BB30" i="25" s="1"/>
  <c r="AH30" i="25"/>
  <c r="BC30" i="25" s="1"/>
  <c r="AI30" i="25"/>
  <c r="BD30" i="25" s="1"/>
  <c r="AJ30" i="25"/>
  <c r="BE30" i="25" s="1"/>
  <c r="AK30" i="25"/>
  <c r="AL30" i="25"/>
  <c r="BG30" i="25" s="1"/>
  <c r="AM30" i="25"/>
  <c r="BH30" i="25" s="1"/>
  <c r="AN30" i="25"/>
  <c r="BI30" i="25" s="1"/>
  <c r="AO30" i="25"/>
  <c r="BJ30" i="25" s="1"/>
  <c r="AP30" i="25"/>
  <c r="BK30" i="25" s="1"/>
  <c r="AQ30" i="25"/>
  <c r="BL30" i="25" s="1"/>
  <c r="AR30" i="25"/>
  <c r="BM30" i="25" s="1"/>
  <c r="Y31" i="25"/>
  <c r="AT31" i="25" s="1"/>
  <c r="AA31" i="25"/>
  <c r="AV31" i="25" s="1"/>
  <c r="AB31" i="25"/>
  <c r="AW31" i="25" s="1"/>
  <c r="AC31" i="25"/>
  <c r="AX31" i="25" s="1"/>
  <c r="AD31" i="25"/>
  <c r="AY31" i="25" s="1"/>
  <c r="AE31" i="25"/>
  <c r="AZ31" i="25" s="1"/>
  <c r="AF31" i="25"/>
  <c r="BA31" i="25" s="1"/>
  <c r="AG31" i="25"/>
  <c r="BB31" i="25" s="1"/>
  <c r="AH31" i="25"/>
  <c r="BC31" i="25" s="1"/>
  <c r="AI31" i="25"/>
  <c r="BD31" i="25" s="1"/>
  <c r="AJ31" i="25"/>
  <c r="BE31" i="25" s="1"/>
  <c r="AK31" i="25"/>
  <c r="BF31" i="25" s="1"/>
  <c r="AL31" i="25"/>
  <c r="BG31" i="25" s="1"/>
  <c r="AM31" i="25"/>
  <c r="BH31" i="25" s="1"/>
  <c r="AN31" i="25"/>
  <c r="BI31" i="25" s="1"/>
  <c r="AO31" i="25"/>
  <c r="BJ31" i="25" s="1"/>
  <c r="AP31" i="25"/>
  <c r="BK31" i="25" s="1"/>
  <c r="AQ31" i="25"/>
  <c r="BL31" i="25" s="1"/>
  <c r="AR31" i="25"/>
  <c r="BM31" i="25" s="1"/>
  <c r="Y32" i="25"/>
  <c r="AT32" i="25" s="1"/>
  <c r="AA32" i="25"/>
  <c r="AV32" i="25" s="1"/>
  <c r="AB32" i="25"/>
  <c r="AW32" i="25" s="1"/>
  <c r="AC32" i="25"/>
  <c r="AX32" i="25" s="1"/>
  <c r="AD32" i="25"/>
  <c r="AY32" i="25" s="1"/>
  <c r="AE32" i="25"/>
  <c r="AZ32" i="25" s="1"/>
  <c r="AF32" i="25"/>
  <c r="BA32" i="25" s="1"/>
  <c r="AG32" i="25"/>
  <c r="BB32" i="25" s="1"/>
  <c r="AH32" i="25"/>
  <c r="BC32" i="25" s="1"/>
  <c r="AI32" i="25"/>
  <c r="BD32" i="25" s="1"/>
  <c r="AJ32" i="25"/>
  <c r="BE32" i="25" s="1"/>
  <c r="AK32" i="25"/>
  <c r="BF32" i="25" s="1"/>
  <c r="AL32" i="25"/>
  <c r="BG32" i="25" s="1"/>
  <c r="AM32" i="25"/>
  <c r="BH32" i="25" s="1"/>
  <c r="AN32" i="25"/>
  <c r="BI32" i="25" s="1"/>
  <c r="AO32" i="25"/>
  <c r="BJ32" i="25" s="1"/>
  <c r="AP32" i="25"/>
  <c r="BK32" i="25" s="1"/>
  <c r="AQ32" i="25"/>
  <c r="BL32" i="25" s="1"/>
  <c r="AR32" i="25"/>
  <c r="BM32" i="25" s="1"/>
  <c r="Y33" i="25"/>
  <c r="AT33" i="25" s="1"/>
  <c r="AA33" i="25"/>
  <c r="AV33" i="25" s="1"/>
  <c r="AB33" i="25"/>
  <c r="AW33" i="25" s="1"/>
  <c r="AC33" i="25"/>
  <c r="AX33" i="25" s="1"/>
  <c r="AD33" i="25"/>
  <c r="AY33" i="25" s="1"/>
  <c r="AE33" i="25"/>
  <c r="AZ33" i="25" s="1"/>
  <c r="AF33" i="25"/>
  <c r="BA33" i="25" s="1"/>
  <c r="AG33" i="25"/>
  <c r="BB33" i="25" s="1"/>
  <c r="AH33" i="25"/>
  <c r="BC33" i="25" s="1"/>
  <c r="AI33" i="25"/>
  <c r="BD33" i="25" s="1"/>
  <c r="AJ33" i="25"/>
  <c r="BE33" i="25" s="1"/>
  <c r="AK33" i="25"/>
  <c r="BF33" i="25" s="1"/>
  <c r="AL33" i="25"/>
  <c r="BG33" i="25" s="1"/>
  <c r="AM33" i="25"/>
  <c r="BH33" i="25" s="1"/>
  <c r="AN33" i="25"/>
  <c r="BI33" i="25" s="1"/>
  <c r="AO33" i="25"/>
  <c r="BJ33" i="25" s="1"/>
  <c r="AP33" i="25"/>
  <c r="BK33" i="25" s="1"/>
  <c r="AQ33" i="25"/>
  <c r="BL33" i="25" s="1"/>
  <c r="AR33" i="25"/>
  <c r="BM33" i="25" s="1"/>
  <c r="Y34" i="25"/>
  <c r="AT34" i="25" s="1"/>
  <c r="AA34" i="25"/>
  <c r="AV34" i="25" s="1"/>
  <c r="AB34" i="25"/>
  <c r="AW34" i="25" s="1"/>
  <c r="AC34" i="25"/>
  <c r="AX34" i="25" s="1"/>
  <c r="AD34" i="25"/>
  <c r="AY34" i="25" s="1"/>
  <c r="AE34" i="25"/>
  <c r="AZ34" i="25" s="1"/>
  <c r="AF34" i="25"/>
  <c r="BA34" i="25" s="1"/>
  <c r="AG34" i="25"/>
  <c r="BB34" i="25" s="1"/>
  <c r="AH34" i="25"/>
  <c r="BC34" i="25" s="1"/>
  <c r="AI34" i="25"/>
  <c r="BD34" i="25" s="1"/>
  <c r="AJ34" i="25"/>
  <c r="BE34" i="25" s="1"/>
  <c r="AK34" i="25"/>
  <c r="BF34" i="25" s="1"/>
  <c r="AL34" i="25"/>
  <c r="BG34" i="25" s="1"/>
  <c r="AM34" i="25"/>
  <c r="BH34" i="25" s="1"/>
  <c r="AN34" i="25"/>
  <c r="BI34" i="25" s="1"/>
  <c r="AO34" i="25"/>
  <c r="BJ34" i="25" s="1"/>
  <c r="AP34" i="25"/>
  <c r="BK34" i="25" s="1"/>
  <c r="AQ34" i="25"/>
  <c r="BL34" i="25" s="1"/>
  <c r="AR34" i="25"/>
  <c r="BM34" i="25" s="1"/>
  <c r="Y35" i="25"/>
  <c r="AT35" i="25" s="1"/>
  <c r="AA35" i="25"/>
  <c r="AV35" i="25" s="1"/>
  <c r="AB35" i="25"/>
  <c r="AW35" i="25" s="1"/>
  <c r="AC35" i="25"/>
  <c r="AX35" i="25" s="1"/>
  <c r="AD35" i="25"/>
  <c r="AY35" i="25" s="1"/>
  <c r="AE35" i="25"/>
  <c r="AZ35" i="25" s="1"/>
  <c r="AF35" i="25"/>
  <c r="BA35" i="25" s="1"/>
  <c r="AG35" i="25"/>
  <c r="BB35" i="25" s="1"/>
  <c r="AH35" i="25"/>
  <c r="BC35" i="25" s="1"/>
  <c r="AI35" i="25"/>
  <c r="BD35" i="25" s="1"/>
  <c r="AJ35" i="25"/>
  <c r="BE35" i="25" s="1"/>
  <c r="AK35" i="25"/>
  <c r="BF35" i="25" s="1"/>
  <c r="AL35" i="25"/>
  <c r="BG35" i="25" s="1"/>
  <c r="AM35" i="25"/>
  <c r="BH35" i="25" s="1"/>
  <c r="AN35" i="25"/>
  <c r="BI35" i="25" s="1"/>
  <c r="AO35" i="25"/>
  <c r="BJ35" i="25" s="1"/>
  <c r="AP35" i="25"/>
  <c r="BK35" i="25" s="1"/>
  <c r="AQ35" i="25"/>
  <c r="BL35" i="25" s="1"/>
  <c r="AR35" i="25"/>
  <c r="BM35" i="25" s="1"/>
  <c r="Y36" i="25"/>
  <c r="AT36" i="25" s="1"/>
  <c r="AA36" i="25"/>
  <c r="AV36" i="25" s="1"/>
  <c r="AB36" i="25"/>
  <c r="AW36" i="25" s="1"/>
  <c r="AC36" i="25"/>
  <c r="AX36" i="25" s="1"/>
  <c r="AD36" i="25"/>
  <c r="AY36" i="25" s="1"/>
  <c r="AE36" i="25"/>
  <c r="AZ36" i="25" s="1"/>
  <c r="AF36" i="25"/>
  <c r="BA36" i="25" s="1"/>
  <c r="AG36" i="25"/>
  <c r="BB36" i="25" s="1"/>
  <c r="AH36" i="25"/>
  <c r="BC36" i="25" s="1"/>
  <c r="AI36" i="25"/>
  <c r="BD36" i="25" s="1"/>
  <c r="AJ36" i="25"/>
  <c r="BE36" i="25" s="1"/>
  <c r="AK36" i="25"/>
  <c r="BF36" i="25" s="1"/>
  <c r="AL36" i="25"/>
  <c r="BG36" i="25" s="1"/>
  <c r="AM36" i="25"/>
  <c r="BH36" i="25" s="1"/>
  <c r="AN36" i="25"/>
  <c r="BI36" i="25" s="1"/>
  <c r="AO36" i="25"/>
  <c r="BJ36" i="25" s="1"/>
  <c r="AP36" i="25"/>
  <c r="BK36" i="25" s="1"/>
  <c r="AQ36" i="25"/>
  <c r="BL36" i="25" s="1"/>
  <c r="AR36" i="25"/>
  <c r="BM36" i="25" s="1"/>
  <c r="Y37" i="25"/>
  <c r="AT37" i="25" s="1"/>
  <c r="AA37" i="25"/>
  <c r="AV37" i="25" s="1"/>
  <c r="AB37" i="25"/>
  <c r="AW37" i="25" s="1"/>
  <c r="AC37" i="25"/>
  <c r="AX37" i="25" s="1"/>
  <c r="AD37" i="25"/>
  <c r="AY37" i="25" s="1"/>
  <c r="AE37" i="25"/>
  <c r="AZ37" i="25" s="1"/>
  <c r="AF37" i="25"/>
  <c r="BA37" i="25" s="1"/>
  <c r="AG37" i="25"/>
  <c r="BB37" i="25" s="1"/>
  <c r="AH37" i="25"/>
  <c r="BC37" i="25" s="1"/>
  <c r="AI37" i="25"/>
  <c r="BD37" i="25" s="1"/>
  <c r="AJ37" i="25"/>
  <c r="BE37" i="25" s="1"/>
  <c r="AK37" i="25"/>
  <c r="BF37" i="25" s="1"/>
  <c r="AL37" i="25"/>
  <c r="BG37" i="25" s="1"/>
  <c r="AM37" i="25"/>
  <c r="BH37" i="25" s="1"/>
  <c r="AN37" i="25"/>
  <c r="BI37" i="25" s="1"/>
  <c r="AO37" i="25"/>
  <c r="BJ37" i="25" s="1"/>
  <c r="AP37" i="25"/>
  <c r="BK37" i="25" s="1"/>
  <c r="AQ37" i="25"/>
  <c r="BL37" i="25" s="1"/>
  <c r="AR37" i="25"/>
  <c r="BM37" i="25" s="1"/>
  <c r="Y38" i="25"/>
  <c r="AT38" i="25" s="1"/>
  <c r="AA38" i="25"/>
  <c r="AV38" i="25" s="1"/>
  <c r="AB38" i="25"/>
  <c r="AW38" i="25" s="1"/>
  <c r="AC38" i="25"/>
  <c r="AX38" i="25" s="1"/>
  <c r="AD38" i="25"/>
  <c r="AY38" i="25" s="1"/>
  <c r="AE38" i="25"/>
  <c r="AZ38" i="25" s="1"/>
  <c r="AF38" i="25"/>
  <c r="BA38" i="25" s="1"/>
  <c r="AG38" i="25"/>
  <c r="BB38" i="25" s="1"/>
  <c r="AH38" i="25"/>
  <c r="BC38" i="25" s="1"/>
  <c r="AI38" i="25"/>
  <c r="BD38" i="25" s="1"/>
  <c r="AJ38" i="25"/>
  <c r="BE38" i="25" s="1"/>
  <c r="AK38" i="25"/>
  <c r="BF38" i="25" s="1"/>
  <c r="AL38" i="25"/>
  <c r="BG38" i="25" s="1"/>
  <c r="AM38" i="25"/>
  <c r="BH38" i="25" s="1"/>
  <c r="AN38" i="25"/>
  <c r="BI38" i="25" s="1"/>
  <c r="AO38" i="25"/>
  <c r="BJ38" i="25" s="1"/>
  <c r="AP38" i="25"/>
  <c r="BK38" i="25" s="1"/>
  <c r="AQ38" i="25"/>
  <c r="BL38" i="25" s="1"/>
  <c r="AR38" i="25"/>
  <c r="BM38" i="25" s="1"/>
  <c r="Y39" i="25"/>
  <c r="AT39" i="25" s="1"/>
  <c r="AA39" i="25"/>
  <c r="AV39" i="25" s="1"/>
  <c r="AB39" i="25"/>
  <c r="AW39" i="25" s="1"/>
  <c r="AC39" i="25"/>
  <c r="AX39" i="25" s="1"/>
  <c r="AD39" i="25"/>
  <c r="AY39" i="25" s="1"/>
  <c r="AE39" i="25"/>
  <c r="AZ39" i="25" s="1"/>
  <c r="AF39" i="25"/>
  <c r="BA39" i="25" s="1"/>
  <c r="AG39" i="25"/>
  <c r="BB39" i="25" s="1"/>
  <c r="AH39" i="25"/>
  <c r="BC39" i="25" s="1"/>
  <c r="AI39" i="25"/>
  <c r="BD39" i="25" s="1"/>
  <c r="AJ39" i="25"/>
  <c r="BE39" i="25" s="1"/>
  <c r="AK39" i="25"/>
  <c r="BF39" i="25" s="1"/>
  <c r="AL39" i="25"/>
  <c r="BG39" i="25" s="1"/>
  <c r="AM39" i="25"/>
  <c r="BH39" i="25" s="1"/>
  <c r="AN39" i="25"/>
  <c r="BI39" i="25" s="1"/>
  <c r="AO39" i="25"/>
  <c r="BJ39" i="25" s="1"/>
  <c r="AP39" i="25"/>
  <c r="BK39" i="25" s="1"/>
  <c r="AQ39" i="25"/>
  <c r="BL39" i="25" s="1"/>
  <c r="AR39" i="25"/>
  <c r="BM39" i="25" s="1"/>
  <c r="Y40" i="25"/>
  <c r="AT40" i="25" s="1"/>
  <c r="AA40" i="25"/>
  <c r="AV40" i="25" s="1"/>
  <c r="AB40" i="25"/>
  <c r="AW40" i="25" s="1"/>
  <c r="AC40" i="25"/>
  <c r="AX40" i="25" s="1"/>
  <c r="AD40" i="25"/>
  <c r="AY40" i="25" s="1"/>
  <c r="AE40" i="25"/>
  <c r="AZ40" i="25" s="1"/>
  <c r="AF40" i="25"/>
  <c r="BA40" i="25" s="1"/>
  <c r="AG40" i="25"/>
  <c r="BB40" i="25" s="1"/>
  <c r="AH40" i="25"/>
  <c r="BC40" i="25" s="1"/>
  <c r="AI40" i="25"/>
  <c r="BD40" i="25" s="1"/>
  <c r="AJ40" i="25"/>
  <c r="BE40" i="25" s="1"/>
  <c r="AK40" i="25"/>
  <c r="BF40" i="25" s="1"/>
  <c r="AL40" i="25"/>
  <c r="BG40" i="25" s="1"/>
  <c r="AM40" i="25"/>
  <c r="BH40" i="25" s="1"/>
  <c r="AN40" i="25"/>
  <c r="BI40" i="25" s="1"/>
  <c r="AO40" i="25"/>
  <c r="BJ40" i="25" s="1"/>
  <c r="AP40" i="25"/>
  <c r="BK40" i="25" s="1"/>
  <c r="AQ40" i="25"/>
  <c r="BL40" i="25" s="1"/>
  <c r="AR40" i="25"/>
  <c r="BM40" i="25" s="1"/>
  <c r="Y41" i="25"/>
  <c r="AT41" i="25" s="1"/>
  <c r="AA41" i="25"/>
  <c r="AV41" i="25" s="1"/>
  <c r="AB41" i="25"/>
  <c r="AW41" i="25" s="1"/>
  <c r="AC41" i="25"/>
  <c r="AX41" i="25" s="1"/>
  <c r="AD41" i="25"/>
  <c r="AY41" i="25" s="1"/>
  <c r="AE41" i="25"/>
  <c r="AZ41" i="25" s="1"/>
  <c r="AF41" i="25"/>
  <c r="AG41" i="25"/>
  <c r="BB41" i="25" s="1"/>
  <c r="AH41" i="25"/>
  <c r="BC41" i="25" s="1"/>
  <c r="AI41" i="25"/>
  <c r="BD41" i="25" s="1"/>
  <c r="AJ41" i="25"/>
  <c r="BE41" i="25" s="1"/>
  <c r="AK41" i="25"/>
  <c r="BF41" i="25" s="1"/>
  <c r="AL41" i="25"/>
  <c r="BG41" i="25" s="1"/>
  <c r="AM41" i="25"/>
  <c r="BH41" i="25" s="1"/>
  <c r="AN41" i="25"/>
  <c r="BI41" i="25" s="1"/>
  <c r="AO41" i="25"/>
  <c r="BJ41" i="25" s="1"/>
  <c r="AP41" i="25"/>
  <c r="BK41" i="25" s="1"/>
  <c r="AQ41" i="25"/>
  <c r="BL41" i="25" s="1"/>
  <c r="AR41" i="25"/>
  <c r="Y42" i="25"/>
  <c r="AT42" i="25" s="1"/>
  <c r="AA42" i="25"/>
  <c r="AV42" i="25" s="1"/>
  <c r="AB42" i="25"/>
  <c r="AW42" i="25" s="1"/>
  <c r="AC42" i="25"/>
  <c r="AX42" i="25" s="1"/>
  <c r="AD42" i="25"/>
  <c r="AY42" i="25" s="1"/>
  <c r="AE42" i="25"/>
  <c r="AZ42" i="25" s="1"/>
  <c r="AF42" i="25"/>
  <c r="BA42" i="25" s="1"/>
  <c r="AG42" i="25"/>
  <c r="BB42" i="25" s="1"/>
  <c r="AH42" i="25"/>
  <c r="BC42" i="25" s="1"/>
  <c r="AI42" i="25"/>
  <c r="BD42" i="25" s="1"/>
  <c r="AJ42" i="25"/>
  <c r="BE42" i="25" s="1"/>
  <c r="AK42" i="25"/>
  <c r="BF42" i="25" s="1"/>
  <c r="AL42" i="25"/>
  <c r="BG42" i="25" s="1"/>
  <c r="AM42" i="25"/>
  <c r="BH42" i="25" s="1"/>
  <c r="AN42" i="25"/>
  <c r="BI42" i="25" s="1"/>
  <c r="AO42" i="25"/>
  <c r="BJ42" i="25" s="1"/>
  <c r="AP42" i="25"/>
  <c r="AQ42" i="25"/>
  <c r="BL42" i="25" s="1"/>
  <c r="AR42" i="25"/>
  <c r="BM42" i="25" s="1"/>
  <c r="Y43" i="25"/>
  <c r="AT43" i="25" s="1"/>
  <c r="AA43" i="25"/>
  <c r="AV43" i="25" s="1"/>
  <c r="AB43" i="25"/>
  <c r="AW43" i="25" s="1"/>
  <c r="AC43" i="25"/>
  <c r="AX43" i="25" s="1"/>
  <c r="AD43" i="25"/>
  <c r="AY43" i="25" s="1"/>
  <c r="AE43" i="25"/>
  <c r="AZ43" i="25" s="1"/>
  <c r="AF43" i="25"/>
  <c r="BA43" i="25" s="1"/>
  <c r="AG43" i="25"/>
  <c r="BB43" i="25" s="1"/>
  <c r="AH43" i="25"/>
  <c r="BC43" i="25" s="1"/>
  <c r="AI43" i="25"/>
  <c r="BD43" i="25" s="1"/>
  <c r="AJ43" i="25"/>
  <c r="BE43" i="25" s="1"/>
  <c r="AK43" i="25"/>
  <c r="BF43" i="25" s="1"/>
  <c r="AL43" i="25"/>
  <c r="BG43" i="25" s="1"/>
  <c r="AM43" i="25"/>
  <c r="BH43" i="25" s="1"/>
  <c r="AN43" i="25"/>
  <c r="BI43" i="25" s="1"/>
  <c r="AO43" i="25"/>
  <c r="BJ43" i="25" s="1"/>
  <c r="AP43" i="25"/>
  <c r="BK43" i="25" s="1"/>
  <c r="AQ43" i="25"/>
  <c r="BL43" i="25" s="1"/>
  <c r="AR43" i="25"/>
  <c r="BM43" i="25" s="1"/>
  <c r="Y44" i="25"/>
  <c r="AT44" i="25" s="1"/>
  <c r="AA44" i="25"/>
  <c r="AV44" i="25" s="1"/>
  <c r="AB44" i="25"/>
  <c r="AW44" i="25" s="1"/>
  <c r="AC44" i="25"/>
  <c r="AX44" i="25" s="1"/>
  <c r="AD44" i="25"/>
  <c r="AY44" i="25" s="1"/>
  <c r="AE44" i="25"/>
  <c r="AZ44" i="25" s="1"/>
  <c r="AF44" i="25"/>
  <c r="BA44" i="25" s="1"/>
  <c r="AG44" i="25"/>
  <c r="BB44" i="25" s="1"/>
  <c r="AH44" i="25"/>
  <c r="BC44" i="25" s="1"/>
  <c r="AI44" i="25"/>
  <c r="AJ44" i="25"/>
  <c r="BE44" i="25" s="1"/>
  <c r="AK44" i="25"/>
  <c r="BF44" i="25" s="1"/>
  <c r="AL44" i="25"/>
  <c r="BG44" i="25" s="1"/>
  <c r="AM44" i="25"/>
  <c r="BH44" i="25" s="1"/>
  <c r="AN44" i="25"/>
  <c r="BI44" i="25" s="1"/>
  <c r="AO44" i="25"/>
  <c r="BJ44" i="25" s="1"/>
  <c r="AP44" i="25"/>
  <c r="BK44" i="25" s="1"/>
  <c r="AQ44" i="25"/>
  <c r="BL44" i="25" s="1"/>
  <c r="AR44" i="25"/>
  <c r="BM44" i="25" s="1"/>
  <c r="Y45" i="25"/>
  <c r="AT45" i="25" s="1"/>
  <c r="AA45" i="25"/>
  <c r="AV45" i="25" s="1"/>
  <c r="AB45" i="25"/>
  <c r="AW45" i="25" s="1"/>
  <c r="AC45" i="25"/>
  <c r="AX45" i="25" s="1"/>
  <c r="AD45" i="25"/>
  <c r="AY45" i="25" s="1"/>
  <c r="AE45" i="25"/>
  <c r="AZ45" i="25" s="1"/>
  <c r="AF45" i="25"/>
  <c r="BA45" i="25" s="1"/>
  <c r="AG45" i="25"/>
  <c r="BB45" i="25" s="1"/>
  <c r="AH45" i="25"/>
  <c r="BC45" i="25" s="1"/>
  <c r="AI45" i="25"/>
  <c r="BD45" i="25" s="1"/>
  <c r="AJ45" i="25"/>
  <c r="BE45" i="25" s="1"/>
  <c r="AK45" i="25"/>
  <c r="BF45" i="25" s="1"/>
  <c r="AL45" i="25"/>
  <c r="BG45" i="25" s="1"/>
  <c r="AM45" i="25"/>
  <c r="BH45" i="25" s="1"/>
  <c r="AN45" i="25"/>
  <c r="BI45" i="25" s="1"/>
  <c r="AO45" i="25"/>
  <c r="BJ45" i="25" s="1"/>
  <c r="AP45" i="25"/>
  <c r="BK45" i="25" s="1"/>
  <c r="AQ45" i="25"/>
  <c r="BL45" i="25" s="1"/>
  <c r="AR45" i="25"/>
  <c r="BM45" i="25" s="1"/>
  <c r="Y46" i="25"/>
  <c r="AT46" i="25" s="1"/>
  <c r="AA46" i="25"/>
  <c r="AV46" i="25" s="1"/>
  <c r="AB46" i="25"/>
  <c r="AW46" i="25" s="1"/>
  <c r="AC46" i="25"/>
  <c r="AX46" i="25" s="1"/>
  <c r="AD46" i="25"/>
  <c r="AY46" i="25" s="1"/>
  <c r="AE46" i="25"/>
  <c r="AZ46" i="25" s="1"/>
  <c r="AF46" i="25"/>
  <c r="BA46" i="25" s="1"/>
  <c r="AG46" i="25"/>
  <c r="AH46" i="25"/>
  <c r="BC46" i="25" s="1"/>
  <c r="AI46" i="25"/>
  <c r="BD46" i="25" s="1"/>
  <c r="AJ46" i="25"/>
  <c r="BE46" i="25" s="1"/>
  <c r="AK46" i="25"/>
  <c r="BF46" i="25" s="1"/>
  <c r="AL46" i="25"/>
  <c r="BG46" i="25" s="1"/>
  <c r="AM46" i="25"/>
  <c r="BH46" i="25" s="1"/>
  <c r="AN46" i="25"/>
  <c r="BI46" i="25" s="1"/>
  <c r="AO46" i="25"/>
  <c r="BJ46" i="25" s="1"/>
  <c r="AP46" i="25"/>
  <c r="BK46" i="25" s="1"/>
  <c r="AQ46" i="25"/>
  <c r="BL46" i="25" s="1"/>
  <c r="AR46" i="25"/>
  <c r="BM46" i="25" s="1"/>
  <c r="Y47" i="25"/>
  <c r="AT47" i="25" s="1"/>
  <c r="AA47" i="25"/>
  <c r="AV47" i="25" s="1"/>
  <c r="AB47" i="25"/>
  <c r="AW47" i="25" s="1"/>
  <c r="AC47" i="25"/>
  <c r="AX47" i="25" s="1"/>
  <c r="AD47" i="25"/>
  <c r="AY47" i="25" s="1"/>
  <c r="AE47" i="25"/>
  <c r="AZ47" i="25" s="1"/>
  <c r="AF47" i="25"/>
  <c r="BA47" i="25" s="1"/>
  <c r="AG47" i="25"/>
  <c r="BB47" i="25" s="1"/>
  <c r="AH47" i="25"/>
  <c r="BC47" i="25" s="1"/>
  <c r="AI47" i="25"/>
  <c r="BD47" i="25" s="1"/>
  <c r="AJ47" i="25"/>
  <c r="BE47" i="25" s="1"/>
  <c r="AK47" i="25"/>
  <c r="BF47" i="25" s="1"/>
  <c r="AL47" i="25"/>
  <c r="BG47" i="25" s="1"/>
  <c r="AM47" i="25"/>
  <c r="BH47" i="25" s="1"/>
  <c r="AN47" i="25"/>
  <c r="BI47" i="25" s="1"/>
  <c r="AO47" i="25"/>
  <c r="BJ47" i="25" s="1"/>
  <c r="AP47" i="25"/>
  <c r="BK47" i="25" s="1"/>
  <c r="AQ47" i="25"/>
  <c r="BL47" i="25" s="1"/>
  <c r="AR47" i="25"/>
  <c r="BM47" i="25" s="1"/>
  <c r="Y48" i="25"/>
  <c r="AT48" i="25" s="1"/>
  <c r="AA48" i="25"/>
  <c r="AV48" i="25" s="1"/>
  <c r="AB48" i="25"/>
  <c r="AW48" i="25" s="1"/>
  <c r="AC48" i="25"/>
  <c r="AX48" i="25" s="1"/>
  <c r="AD48" i="25"/>
  <c r="AY48" i="25" s="1"/>
  <c r="AE48" i="25"/>
  <c r="AZ48" i="25" s="1"/>
  <c r="AF48" i="25"/>
  <c r="BA48" i="25" s="1"/>
  <c r="AG48" i="25"/>
  <c r="BB48" i="25" s="1"/>
  <c r="AH48" i="25"/>
  <c r="BC48" i="25" s="1"/>
  <c r="AI48" i="25"/>
  <c r="BD48" i="25" s="1"/>
  <c r="AJ48" i="25"/>
  <c r="BE48" i="25" s="1"/>
  <c r="AK48" i="25"/>
  <c r="BF48" i="25" s="1"/>
  <c r="AL48" i="25"/>
  <c r="BG48" i="25" s="1"/>
  <c r="AM48" i="25"/>
  <c r="BH48" i="25" s="1"/>
  <c r="AN48" i="25"/>
  <c r="BI48" i="25" s="1"/>
  <c r="AO48" i="25"/>
  <c r="BJ48" i="25" s="1"/>
  <c r="AP48" i="25"/>
  <c r="BK48" i="25" s="1"/>
  <c r="AQ48" i="25"/>
  <c r="AR48" i="25"/>
  <c r="BM48" i="25" s="1"/>
  <c r="Y49" i="25"/>
  <c r="AT49" i="25" s="1"/>
  <c r="AA49" i="25"/>
  <c r="AV49" i="25" s="1"/>
  <c r="AB49" i="25"/>
  <c r="AW49" i="25" s="1"/>
  <c r="AC49" i="25"/>
  <c r="AX49" i="25" s="1"/>
  <c r="AD49" i="25"/>
  <c r="AY49" i="25" s="1"/>
  <c r="AE49" i="25"/>
  <c r="AZ49" i="25" s="1"/>
  <c r="AF49" i="25"/>
  <c r="BA49" i="25" s="1"/>
  <c r="AG49" i="25"/>
  <c r="BB49" i="25" s="1"/>
  <c r="AH49" i="25"/>
  <c r="BC49" i="25" s="1"/>
  <c r="AI49" i="25"/>
  <c r="BD49" i="25" s="1"/>
  <c r="AJ49" i="25"/>
  <c r="AK49" i="25"/>
  <c r="BF49" i="25" s="1"/>
  <c r="AL49" i="25"/>
  <c r="BG49" i="25" s="1"/>
  <c r="AM49" i="25"/>
  <c r="BH49" i="25" s="1"/>
  <c r="AN49" i="25"/>
  <c r="BI49" i="25" s="1"/>
  <c r="AO49" i="25"/>
  <c r="BJ49" i="25" s="1"/>
  <c r="AP49" i="25"/>
  <c r="BK49" i="25" s="1"/>
  <c r="AQ49" i="25"/>
  <c r="BL49" i="25" s="1"/>
  <c r="AR49" i="25"/>
  <c r="BM49" i="25" s="1"/>
  <c r="Y50" i="25"/>
  <c r="AT50" i="25" s="1"/>
  <c r="AA50" i="25"/>
  <c r="AV50" i="25" s="1"/>
  <c r="AB50" i="25"/>
  <c r="AW50" i="25" s="1"/>
  <c r="AC50" i="25"/>
  <c r="AX50" i="25" s="1"/>
  <c r="AD50" i="25"/>
  <c r="AY50" i="25" s="1"/>
  <c r="AE50" i="25"/>
  <c r="AZ50" i="25" s="1"/>
  <c r="AF50" i="25"/>
  <c r="BA50" i="25" s="1"/>
  <c r="AG50" i="25"/>
  <c r="BB50" i="25" s="1"/>
  <c r="AH50" i="25"/>
  <c r="BC50" i="25" s="1"/>
  <c r="AI50" i="25"/>
  <c r="BD50" i="25" s="1"/>
  <c r="AJ50" i="25"/>
  <c r="BE50" i="25" s="1"/>
  <c r="AK50" i="25"/>
  <c r="BF50" i="25" s="1"/>
  <c r="AL50" i="25"/>
  <c r="BG50" i="25" s="1"/>
  <c r="AM50" i="25"/>
  <c r="BH50" i="25" s="1"/>
  <c r="AN50" i="25"/>
  <c r="BI50" i="25" s="1"/>
  <c r="AO50" i="25"/>
  <c r="BJ50" i="25" s="1"/>
  <c r="AP50" i="25"/>
  <c r="BK50" i="25" s="1"/>
  <c r="AQ50" i="25"/>
  <c r="BL50" i="25" s="1"/>
  <c r="AR50" i="25"/>
  <c r="BM50" i="25" s="1"/>
  <c r="Y51" i="25"/>
  <c r="AT51" i="25" s="1"/>
  <c r="AA51" i="25"/>
  <c r="AV51" i="25" s="1"/>
  <c r="AB51" i="25"/>
  <c r="AW51" i="25" s="1"/>
  <c r="AC51" i="25"/>
  <c r="AX51" i="25" s="1"/>
  <c r="AD51" i="25"/>
  <c r="AY51" i="25" s="1"/>
  <c r="AE51" i="25"/>
  <c r="AZ51" i="25" s="1"/>
  <c r="AF51" i="25"/>
  <c r="BA51" i="25" s="1"/>
  <c r="AG51" i="25"/>
  <c r="BB51" i="25" s="1"/>
  <c r="AH51" i="25"/>
  <c r="BC51" i="25" s="1"/>
  <c r="AI51" i="25"/>
  <c r="BD51" i="25" s="1"/>
  <c r="AJ51" i="25"/>
  <c r="BE51" i="25" s="1"/>
  <c r="AK51" i="25"/>
  <c r="BF51" i="25" s="1"/>
  <c r="AL51" i="25"/>
  <c r="BG51" i="25" s="1"/>
  <c r="AM51" i="25"/>
  <c r="BH51" i="25" s="1"/>
  <c r="AN51" i="25"/>
  <c r="BI51" i="25" s="1"/>
  <c r="AO51" i="25"/>
  <c r="BJ51" i="25" s="1"/>
  <c r="AP51" i="25"/>
  <c r="BK51" i="25" s="1"/>
  <c r="AQ51" i="25"/>
  <c r="BL51" i="25" s="1"/>
  <c r="AR51" i="25"/>
  <c r="BM51" i="25" s="1"/>
  <c r="Y52" i="25"/>
  <c r="AT52" i="25" s="1"/>
  <c r="AA52" i="25"/>
  <c r="AV52" i="25" s="1"/>
  <c r="AB52" i="25"/>
  <c r="AC52" i="25"/>
  <c r="AX52" i="25" s="1"/>
  <c r="AD52" i="25"/>
  <c r="AY52" i="25" s="1"/>
  <c r="AE52" i="25"/>
  <c r="AZ52" i="25" s="1"/>
  <c r="AF52" i="25"/>
  <c r="BA52" i="25" s="1"/>
  <c r="AG52" i="25"/>
  <c r="BB52" i="25" s="1"/>
  <c r="AH52" i="25"/>
  <c r="BC52" i="25" s="1"/>
  <c r="AI52" i="25"/>
  <c r="BD52" i="25" s="1"/>
  <c r="AJ52" i="25"/>
  <c r="BE52" i="25" s="1"/>
  <c r="AK52" i="25"/>
  <c r="BF52" i="25" s="1"/>
  <c r="AL52" i="25"/>
  <c r="BG52" i="25" s="1"/>
  <c r="AM52" i="25"/>
  <c r="BH52" i="25" s="1"/>
  <c r="AN52" i="25"/>
  <c r="BI52" i="25" s="1"/>
  <c r="AO52" i="25"/>
  <c r="BJ52" i="25" s="1"/>
  <c r="AP52" i="25"/>
  <c r="BK52" i="25" s="1"/>
  <c r="AQ52" i="25"/>
  <c r="BL52" i="25" s="1"/>
  <c r="AR52" i="25"/>
  <c r="BM52" i="25" s="1"/>
  <c r="Y53" i="25"/>
  <c r="AT53" i="25" s="1"/>
  <c r="AA53" i="25"/>
  <c r="AV53" i="25" s="1"/>
  <c r="AB53" i="25"/>
  <c r="AW53" i="25" s="1"/>
  <c r="AC53" i="25"/>
  <c r="AX53" i="25" s="1"/>
  <c r="AD53" i="25"/>
  <c r="AY53" i="25" s="1"/>
  <c r="AE53" i="25"/>
  <c r="AZ53" i="25" s="1"/>
  <c r="AF53" i="25"/>
  <c r="BA53" i="25" s="1"/>
  <c r="AG53" i="25"/>
  <c r="BB53" i="25" s="1"/>
  <c r="AH53" i="25"/>
  <c r="BC53" i="25" s="1"/>
  <c r="AI53" i="25"/>
  <c r="BD53" i="25" s="1"/>
  <c r="AJ53" i="25"/>
  <c r="BE53" i="25" s="1"/>
  <c r="AK53" i="25"/>
  <c r="BF53" i="25" s="1"/>
  <c r="AL53" i="25"/>
  <c r="BG53" i="25" s="1"/>
  <c r="AM53" i="25"/>
  <c r="BH53" i="25" s="1"/>
  <c r="AN53" i="25"/>
  <c r="BI53" i="25" s="1"/>
  <c r="AO53" i="25"/>
  <c r="BJ53" i="25" s="1"/>
  <c r="AP53" i="25"/>
  <c r="BK53" i="25" s="1"/>
  <c r="AQ53" i="25"/>
  <c r="BL53" i="25" s="1"/>
  <c r="AR53" i="25"/>
  <c r="Y54" i="25"/>
  <c r="AT54" i="25" s="1"/>
  <c r="AA54" i="25"/>
  <c r="AV54" i="25" s="1"/>
  <c r="AB54" i="25"/>
  <c r="AW54" i="25" s="1"/>
  <c r="AC54" i="25"/>
  <c r="AX54" i="25" s="1"/>
  <c r="AD54" i="25"/>
  <c r="AY54" i="25" s="1"/>
  <c r="AE54" i="25"/>
  <c r="AZ54" i="25" s="1"/>
  <c r="AF54" i="25"/>
  <c r="BA54" i="25" s="1"/>
  <c r="AG54" i="25"/>
  <c r="BB54" i="25" s="1"/>
  <c r="AH54" i="25"/>
  <c r="BC54" i="25" s="1"/>
  <c r="AI54" i="25"/>
  <c r="BD54" i="25" s="1"/>
  <c r="AJ54" i="25"/>
  <c r="BE54" i="25" s="1"/>
  <c r="AK54" i="25"/>
  <c r="BF54" i="25" s="1"/>
  <c r="AL54" i="25"/>
  <c r="BG54" i="25" s="1"/>
  <c r="AM54" i="25"/>
  <c r="BH54" i="25" s="1"/>
  <c r="AN54" i="25"/>
  <c r="BI54" i="25" s="1"/>
  <c r="AO54" i="25"/>
  <c r="BJ54" i="25" s="1"/>
  <c r="AP54" i="25"/>
  <c r="BK54" i="25" s="1"/>
  <c r="AQ54" i="25"/>
  <c r="BL54" i="25" s="1"/>
  <c r="AR54" i="25"/>
  <c r="BM54" i="25" s="1"/>
  <c r="Y55" i="25"/>
  <c r="AT55" i="25" s="1"/>
  <c r="AA55" i="25"/>
  <c r="AV55" i="25" s="1"/>
  <c r="AB55" i="25"/>
  <c r="AW55" i="25" s="1"/>
  <c r="AC55" i="25"/>
  <c r="AX55" i="25" s="1"/>
  <c r="AD55" i="25"/>
  <c r="AE55" i="25"/>
  <c r="AZ55" i="25" s="1"/>
  <c r="AF55" i="25"/>
  <c r="BA55" i="25" s="1"/>
  <c r="AG55" i="25"/>
  <c r="BB55" i="25" s="1"/>
  <c r="AH55" i="25"/>
  <c r="BC55" i="25" s="1"/>
  <c r="AI55" i="25"/>
  <c r="BD55" i="25" s="1"/>
  <c r="AJ55" i="25"/>
  <c r="BE55" i="25" s="1"/>
  <c r="AK55" i="25"/>
  <c r="BF55" i="25" s="1"/>
  <c r="AL55" i="25"/>
  <c r="BG55" i="25" s="1"/>
  <c r="AM55" i="25"/>
  <c r="BH55" i="25" s="1"/>
  <c r="AN55" i="25"/>
  <c r="BI55" i="25" s="1"/>
  <c r="AO55" i="25"/>
  <c r="BJ55" i="25" s="1"/>
  <c r="AP55" i="25"/>
  <c r="BK55" i="25" s="1"/>
  <c r="AQ55" i="25"/>
  <c r="BL55" i="25" s="1"/>
  <c r="AR55" i="25"/>
  <c r="BM55" i="25" s="1"/>
  <c r="Y56" i="25"/>
  <c r="AT56" i="25" s="1"/>
  <c r="AA56" i="25"/>
  <c r="AV56" i="25" s="1"/>
  <c r="AB56" i="25"/>
  <c r="AW56" i="25" s="1"/>
  <c r="AC56" i="25"/>
  <c r="AX56" i="25" s="1"/>
  <c r="AD56" i="25"/>
  <c r="AY56" i="25" s="1"/>
  <c r="AE56" i="25"/>
  <c r="AZ56" i="25" s="1"/>
  <c r="AF56" i="25"/>
  <c r="BA56" i="25" s="1"/>
  <c r="AG56" i="25"/>
  <c r="BB56" i="25" s="1"/>
  <c r="AH56" i="25"/>
  <c r="BC56" i="25" s="1"/>
  <c r="AI56" i="25"/>
  <c r="BD56" i="25" s="1"/>
  <c r="AJ56" i="25"/>
  <c r="BE56" i="25" s="1"/>
  <c r="AK56" i="25"/>
  <c r="BF56" i="25" s="1"/>
  <c r="AL56" i="25"/>
  <c r="BG56" i="25" s="1"/>
  <c r="AM56" i="25"/>
  <c r="BH56" i="25" s="1"/>
  <c r="AN56" i="25"/>
  <c r="BI56" i="25" s="1"/>
  <c r="AO56" i="25"/>
  <c r="BJ56" i="25" s="1"/>
  <c r="AP56" i="25"/>
  <c r="BK56" i="25" s="1"/>
  <c r="AQ56" i="25"/>
  <c r="BL56" i="25" s="1"/>
  <c r="AR56" i="25"/>
  <c r="BM56" i="25" s="1"/>
  <c r="Y57" i="25"/>
  <c r="AT57" i="25" s="1"/>
  <c r="AA57" i="25"/>
  <c r="AV57" i="25" s="1"/>
  <c r="AB57" i="25"/>
  <c r="AW57" i="25" s="1"/>
  <c r="AC57" i="25"/>
  <c r="AX57" i="25" s="1"/>
  <c r="AD57" i="25"/>
  <c r="AY57" i="25" s="1"/>
  <c r="AE57" i="25"/>
  <c r="AZ57" i="25" s="1"/>
  <c r="AF57" i="25"/>
  <c r="BA57" i="25" s="1"/>
  <c r="AG57" i="25"/>
  <c r="BB57" i="25" s="1"/>
  <c r="AH57" i="25"/>
  <c r="BC57" i="25" s="1"/>
  <c r="AI57" i="25"/>
  <c r="BD57" i="25" s="1"/>
  <c r="AJ57" i="25"/>
  <c r="BE57" i="25" s="1"/>
  <c r="AK57" i="25"/>
  <c r="BF57" i="25" s="1"/>
  <c r="AL57" i="25"/>
  <c r="BG57" i="25" s="1"/>
  <c r="AM57" i="25"/>
  <c r="BH57" i="25" s="1"/>
  <c r="AN57" i="25"/>
  <c r="BI57" i="25" s="1"/>
  <c r="AO57" i="25"/>
  <c r="BJ57" i="25" s="1"/>
  <c r="AP57" i="25"/>
  <c r="BK57" i="25" s="1"/>
  <c r="AQ57" i="25"/>
  <c r="BL57" i="25" s="1"/>
  <c r="AR57" i="25"/>
  <c r="BM57" i="25" s="1"/>
  <c r="Y58" i="25"/>
  <c r="AT58" i="25" s="1"/>
  <c r="AA58" i="25"/>
  <c r="AV58" i="25" s="1"/>
  <c r="AB58" i="25"/>
  <c r="AW58" i="25" s="1"/>
  <c r="AC58" i="25"/>
  <c r="AX58" i="25" s="1"/>
  <c r="AD58" i="25"/>
  <c r="AY58" i="25" s="1"/>
  <c r="AE58" i="25"/>
  <c r="AZ58" i="25" s="1"/>
  <c r="AF58" i="25"/>
  <c r="BA58" i="25" s="1"/>
  <c r="AG58" i="25"/>
  <c r="AH58" i="25"/>
  <c r="BC58" i="25" s="1"/>
  <c r="AI58" i="25"/>
  <c r="BD58" i="25" s="1"/>
  <c r="AJ58" i="25"/>
  <c r="BE58" i="25" s="1"/>
  <c r="AK58" i="25"/>
  <c r="BF58" i="25" s="1"/>
  <c r="AL58" i="25"/>
  <c r="BG58" i="25" s="1"/>
  <c r="AM58" i="25"/>
  <c r="BH58" i="25" s="1"/>
  <c r="AN58" i="25"/>
  <c r="BI58" i="25" s="1"/>
  <c r="AO58" i="25"/>
  <c r="BJ58" i="25" s="1"/>
  <c r="AP58" i="25"/>
  <c r="BK58" i="25" s="1"/>
  <c r="AQ58" i="25"/>
  <c r="BL58" i="25" s="1"/>
  <c r="AR58" i="25"/>
  <c r="BM58" i="25" s="1"/>
  <c r="Y59" i="25"/>
  <c r="AT59" i="25" s="1"/>
  <c r="AA59" i="25"/>
  <c r="AV59" i="25" s="1"/>
  <c r="AB59" i="25"/>
  <c r="AW59" i="25" s="1"/>
  <c r="AC59" i="25"/>
  <c r="AX59" i="25" s="1"/>
  <c r="AD59" i="25"/>
  <c r="AY59" i="25" s="1"/>
  <c r="AE59" i="25"/>
  <c r="AZ59" i="25" s="1"/>
  <c r="AF59" i="25"/>
  <c r="BA59" i="25" s="1"/>
  <c r="AG59" i="25"/>
  <c r="BB59" i="25" s="1"/>
  <c r="AH59" i="25"/>
  <c r="BC59" i="25" s="1"/>
  <c r="AI59" i="25"/>
  <c r="BD59" i="25" s="1"/>
  <c r="AJ59" i="25"/>
  <c r="BE59" i="25" s="1"/>
  <c r="AK59" i="25"/>
  <c r="BF59" i="25" s="1"/>
  <c r="AL59" i="25"/>
  <c r="BG59" i="25" s="1"/>
  <c r="AM59" i="25"/>
  <c r="BH59" i="25" s="1"/>
  <c r="AN59" i="25"/>
  <c r="BI59" i="25" s="1"/>
  <c r="AO59" i="25"/>
  <c r="BJ59" i="25" s="1"/>
  <c r="AP59" i="25"/>
  <c r="BK59" i="25" s="1"/>
  <c r="AQ59" i="25"/>
  <c r="AR59" i="25"/>
  <c r="BM59" i="25" s="1"/>
  <c r="Y60" i="25"/>
  <c r="AT60" i="25" s="1"/>
  <c r="AA60" i="25"/>
  <c r="AV60" i="25" s="1"/>
  <c r="AB60" i="25"/>
  <c r="AW60" i="25" s="1"/>
  <c r="AC60" i="25"/>
  <c r="AX60" i="25" s="1"/>
  <c r="AD60" i="25"/>
  <c r="AY60" i="25" s="1"/>
  <c r="AE60" i="25"/>
  <c r="AF60" i="25"/>
  <c r="BA60" i="25" s="1"/>
  <c r="AG60" i="25"/>
  <c r="BB60" i="25" s="1"/>
  <c r="AH60" i="25"/>
  <c r="BC60" i="25" s="1"/>
  <c r="AI60" i="25"/>
  <c r="BD60" i="25" s="1"/>
  <c r="AJ60" i="25"/>
  <c r="BE60" i="25" s="1"/>
  <c r="AK60" i="25"/>
  <c r="BF60" i="25" s="1"/>
  <c r="AL60" i="25"/>
  <c r="BG60" i="25" s="1"/>
  <c r="AM60" i="25"/>
  <c r="BH60" i="25" s="1"/>
  <c r="AN60" i="25"/>
  <c r="BI60" i="25" s="1"/>
  <c r="AO60" i="25"/>
  <c r="BJ60" i="25" s="1"/>
  <c r="AP60" i="25"/>
  <c r="BK60" i="25" s="1"/>
  <c r="AQ60" i="25"/>
  <c r="BL60" i="25" s="1"/>
  <c r="AR60" i="25"/>
  <c r="BM60" i="25" s="1"/>
  <c r="Y61" i="25"/>
  <c r="AT61" i="25" s="1"/>
  <c r="AA61" i="25"/>
  <c r="AV61" i="25" s="1"/>
  <c r="AB61" i="25"/>
  <c r="AW61" i="25" s="1"/>
  <c r="AC61" i="25"/>
  <c r="AX61" i="25" s="1"/>
  <c r="AD61" i="25"/>
  <c r="AY61" i="25" s="1"/>
  <c r="AE61" i="25"/>
  <c r="AZ61" i="25" s="1"/>
  <c r="AF61" i="25"/>
  <c r="BA61" i="25" s="1"/>
  <c r="AG61" i="25"/>
  <c r="BB61" i="25" s="1"/>
  <c r="AH61" i="25"/>
  <c r="BC61" i="25" s="1"/>
  <c r="AI61" i="25"/>
  <c r="BD61" i="25" s="1"/>
  <c r="AJ61" i="25"/>
  <c r="BE61" i="25" s="1"/>
  <c r="AK61" i="25"/>
  <c r="BF61" i="25" s="1"/>
  <c r="AL61" i="25"/>
  <c r="BG61" i="25" s="1"/>
  <c r="AM61" i="25"/>
  <c r="BH61" i="25" s="1"/>
  <c r="AN61" i="25"/>
  <c r="BI61" i="25" s="1"/>
  <c r="AO61" i="25"/>
  <c r="BJ61" i="25" s="1"/>
  <c r="AP61" i="25"/>
  <c r="BK61" i="25" s="1"/>
  <c r="AQ61" i="25"/>
  <c r="BL61" i="25" s="1"/>
  <c r="AR61" i="25"/>
  <c r="BM61" i="25" s="1"/>
  <c r="Y62" i="25"/>
  <c r="AT62" i="25" s="1"/>
  <c r="AA62" i="25"/>
  <c r="AV62" i="25" s="1"/>
  <c r="AB62" i="25"/>
  <c r="AW62" i="25" s="1"/>
  <c r="AC62" i="25"/>
  <c r="AX62" i="25" s="1"/>
  <c r="AD62" i="25"/>
  <c r="AY62" i="25" s="1"/>
  <c r="AE62" i="25"/>
  <c r="AZ62" i="25" s="1"/>
  <c r="AF62" i="25"/>
  <c r="BA62" i="25" s="1"/>
  <c r="AG62" i="25"/>
  <c r="BB62" i="25" s="1"/>
  <c r="AH62" i="25"/>
  <c r="BC62" i="25" s="1"/>
  <c r="AI62" i="25"/>
  <c r="BD62" i="25" s="1"/>
  <c r="AJ62" i="25"/>
  <c r="BE62" i="25" s="1"/>
  <c r="AK62" i="25"/>
  <c r="BF62" i="25" s="1"/>
  <c r="AL62" i="25"/>
  <c r="BG62" i="25" s="1"/>
  <c r="AM62" i="25"/>
  <c r="BH62" i="25" s="1"/>
  <c r="AN62" i="25"/>
  <c r="BI62" i="25" s="1"/>
  <c r="AO62" i="25"/>
  <c r="BJ62" i="25" s="1"/>
  <c r="AP62" i="25"/>
  <c r="BK62" i="25" s="1"/>
  <c r="AQ62" i="25"/>
  <c r="BL62" i="25" s="1"/>
  <c r="AR62" i="25"/>
  <c r="BM62" i="25" s="1"/>
  <c r="Y63" i="25"/>
  <c r="AT63" i="25" s="1"/>
  <c r="AA63" i="25"/>
  <c r="AV63" i="25" s="1"/>
  <c r="AB63" i="25"/>
  <c r="AW63" i="25" s="1"/>
  <c r="AC63" i="25"/>
  <c r="AX63" i="25" s="1"/>
  <c r="AD63" i="25"/>
  <c r="AY63" i="25" s="1"/>
  <c r="AE63" i="25"/>
  <c r="AZ63" i="25" s="1"/>
  <c r="AF63" i="25"/>
  <c r="BA63" i="25" s="1"/>
  <c r="AG63" i="25"/>
  <c r="BB63" i="25" s="1"/>
  <c r="AH63" i="25"/>
  <c r="BC63" i="25" s="1"/>
  <c r="AI63" i="25"/>
  <c r="BD63" i="25" s="1"/>
  <c r="AJ63" i="25"/>
  <c r="BE63" i="25" s="1"/>
  <c r="AK63" i="25"/>
  <c r="BF63" i="25" s="1"/>
  <c r="AL63" i="25"/>
  <c r="BG63" i="25" s="1"/>
  <c r="AM63" i="25"/>
  <c r="BH63" i="25" s="1"/>
  <c r="AN63" i="25"/>
  <c r="BI63" i="25" s="1"/>
  <c r="AO63" i="25"/>
  <c r="BJ63" i="25" s="1"/>
  <c r="AP63" i="25"/>
  <c r="BK63" i="25" s="1"/>
  <c r="AQ63" i="25"/>
  <c r="BL63" i="25" s="1"/>
  <c r="AR63" i="25"/>
  <c r="BM63" i="25" s="1"/>
  <c r="Y64" i="25"/>
  <c r="AT64" i="25" s="1"/>
  <c r="AA64" i="25"/>
  <c r="AV64" i="25" s="1"/>
  <c r="AB64" i="25"/>
  <c r="AW64" i="25" s="1"/>
  <c r="AC64" i="25"/>
  <c r="AX64" i="25" s="1"/>
  <c r="AD64" i="25"/>
  <c r="AY64" i="25" s="1"/>
  <c r="AE64" i="25"/>
  <c r="AZ64" i="25" s="1"/>
  <c r="AF64" i="25"/>
  <c r="BA64" i="25" s="1"/>
  <c r="AG64" i="25"/>
  <c r="BB64" i="25" s="1"/>
  <c r="AH64" i="25"/>
  <c r="BC64" i="25" s="1"/>
  <c r="AI64" i="25"/>
  <c r="BD64" i="25" s="1"/>
  <c r="AJ64" i="25"/>
  <c r="BE64" i="25" s="1"/>
  <c r="AK64" i="25"/>
  <c r="BF64" i="25" s="1"/>
  <c r="AL64" i="25"/>
  <c r="BG64" i="25" s="1"/>
  <c r="AM64" i="25"/>
  <c r="AN64" i="25"/>
  <c r="BI64" i="25" s="1"/>
  <c r="AO64" i="25"/>
  <c r="BJ64" i="25" s="1"/>
  <c r="AP64" i="25"/>
  <c r="BK64" i="25" s="1"/>
  <c r="AQ64" i="25"/>
  <c r="BL64" i="25" s="1"/>
  <c r="AR64" i="25"/>
  <c r="BM64" i="25" s="1"/>
  <c r="Y65" i="25"/>
  <c r="AT65" i="25" s="1"/>
  <c r="AA65" i="25"/>
  <c r="AV65" i="25" s="1"/>
  <c r="AB65" i="25"/>
  <c r="AW65" i="25" s="1"/>
  <c r="AC65" i="25"/>
  <c r="AX65" i="25" s="1"/>
  <c r="AD65" i="25"/>
  <c r="AY65" i="25" s="1"/>
  <c r="AE65" i="25"/>
  <c r="AZ65" i="25" s="1"/>
  <c r="AF65" i="25"/>
  <c r="BA65" i="25" s="1"/>
  <c r="AG65" i="25"/>
  <c r="BB65" i="25" s="1"/>
  <c r="AH65" i="25"/>
  <c r="BC65" i="25" s="1"/>
  <c r="AI65" i="25"/>
  <c r="BD65" i="25" s="1"/>
  <c r="AJ65" i="25"/>
  <c r="BE65" i="25" s="1"/>
  <c r="AK65" i="25"/>
  <c r="BF65" i="25" s="1"/>
  <c r="AL65" i="25"/>
  <c r="BG65" i="25" s="1"/>
  <c r="AM65" i="25"/>
  <c r="BH65" i="25" s="1"/>
  <c r="AN65" i="25"/>
  <c r="BI65" i="25" s="1"/>
  <c r="AO65" i="25"/>
  <c r="BJ65" i="25" s="1"/>
  <c r="AP65" i="25"/>
  <c r="BK65" i="25" s="1"/>
  <c r="AQ65" i="25"/>
  <c r="BL65" i="25" s="1"/>
  <c r="AR65" i="25"/>
  <c r="BM65" i="25" s="1"/>
  <c r="Y66" i="25"/>
  <c r="AT66" i="25" s="1"/>
  <c r="AA66" i="25"/>
  <c r="AV66" i="25" s="1"/>
  <c r="AB66" i="25"/>
  <c r="AW66" i="25" s="1"/>
  <c r="AC66" i="25"/>
  <c r="AX66" i="25" s="1"/>
  <c r="AD66" i="25"/>
  <c r="AY66" i="25" s="1"/>
  <c r="AE66" i="25"/>
  <c r="AZ66" i="25" s="1"/>
  <c r="AF66" i="25"/>
  <c r="BA66" i="25" s="1"/>
  <c r="AG66" i="25"/>
  <c r="BB66" i="25" s="1"/>
  <c r="AH66" i="25"/>
  <c r="BC66" i="25" s="1"/>
  <c r="AI66" i="25"/>
  <c r="BD66" i="25" s="1"/>
  <c r="AJ66" i="25"/>
  <c r="BE66" i="25" s="1"/>
  <c r="AK66" i="25"/>
  <c r="BF66" i="25" s="1"/>
  <c r="AL66" i="25"/>
  <c r="BG66" i="25" s="1"/>
  <c r="AM66" i="25"/>
  <c r="BH66" i="25" s="1"/>
  <c r="AN66" i="25"/>
  <c r="BI66" i="25" s="1"/>
  <c r="AO66" i="25"/>
  <c r="BJ66" i="25" s="1"/>
  <c r="AP66" i="25"/>
  <c r="BK66" i="25" s="1"/>
  <c r="AQ66" i="25"/>
  <c r="BL66" i="25" s="1"/>
  <c r="AR66" i="25"/>
  <c r="BM66" i="25" s="1"/>
  <c r="Y67" i="25"/>
  <c r="AT67" i="25" s="1"/>
  <c r="AA67" i="25"/>
  <c r="AV67" i="25" s="1"/>
  <c r="AB67" i="25"/>
  <c r="AW67" i="25" s="1"/>
  <c r="AC67" i="25"/>
  <c r="AX67" i="25" s="1"/>
  <c r="AD67" i="25"/>
  <c r="AY67" i="25" s="1"/>
  <c r="AE67" i="25"/>
  <c r="AZ67" i="25" s="1"/>
  <c r="AF67" i="25"/>
  <c r="BA67" i="25" s="1"/>
  <c r="AG67" i="25"/>
  <c r="BB67" i="25" s="1"/>
  <c r="AH67" i="25"/>
  <c r="BC67" i="25" s="1"/>
  <c r="AI67" i="25"/>
  <c r="BD67" i="25" s="1"/>
  <c r="AJ67" i="25"/>
  <c r="BE67" i="25" s="1"/>
  <c r="AK67" i="25"/>
  <c r="BF67" i="25" s="1"/>
  <c r="AL67" i="25"/>
  <c r="BG67" i="25" s="1"/>
  <c r="AM67" i="25"/>
  <c r="BH67" i="25" s="1"/>
  <c r="AN67" i="25"/>
  <c r="BI67" i="25" s="1"/>
  <c r="AO67" i="25"/>
  <c r="BJ67" i="25" s="1"/>
  <c r="AP67" i="25"/>
  <c r="BK67" i="25" s="1"/>
  <c r="AQ67" i="25"/>
  <c r="BL67" i="25" s="1"/>
  <c r="AR67" i="25"/>
  <c r="BM67" i="25" s="1"/>
  <c r="Y68" i="25"/>
  <c r="AT68" i="25" s="1"/>
  <c r="AA68" i="25"/>
  <c r="AV68" i="25" s="1"/>
  <c r="AB68" i="25"/>
  <c r="AC68" i="25"/>
  <c r="AX68" i="25" s="1"/>
  <c r="AD68" i="25"/>
  <c r="AY68" i="25" s="1"/>
  <c r="AE68" i="25"/>
  <c r="AZ68" i="25" s="1"/>
  <c r="AF68" i="25"/>
  <c r="BA68" i="25" s="1"/>
  <c r="AG68" i="25"/>
  <c r="BB68" i="25" s="1"/>
  <c r="AH68" i="25"/>
  <c r="BC68" i="25" s="1"/>
  <c r="AI68" i="25"/>
  <c r="BD68" i="25" s="1"/>
  <c r="AJ68" i="25"/>
  <c r="BE68" i="25" s="1"/>
  <c r="AK68" i="25"/>
  <c r="BF68" i="25" s="1"/>
  <c r="AL68" i="25"/>
  <c r="BG68" i="25" s="1"/>
  <c r="AM68" i="25"/>
  <c r="BH68" i="25" s="1"/>
  <c r="AN68" i="25"/>
  <c r="BI68" i="25" s="1"/>
  <c r="AO68" i="25"/>
  <c r="BJ68" i="25" s="1"/>
  <c r="AP68" i="25"/>
  <c r="BK68" i="25" s="1"/>
  <c r="AQ68" i="25"/>
  <c r="BL68" i="25" s="1"/>
  <c r="AR68" i="25"/>
  <c r="BM68" i="25" s="1"/>
  <c r="Y69" i="25"/>
  <c r="AT69" i="25" s="1"/>
  <c r="AA69" i="25"/>
  <c r="AV69" i="25" s="1"/>
  <c r="AB69" i="25"/>
  <c r="AW69" i="25" s="1"/>
  <c r="AC69" i="25"/>
  <c r="AX69" i="25" s="1"/>
  <c r="AD69" i="25"/>
  <c r="AY69" i="25" s="1"/>
  <c r="AE69" i="25"/>
  <c r="AZ69" i="25" s="1"/>
  <c r="AF69" i="25"/>
  <c r="BA69" i="25" s="1"/>
  <c r="AG69" i="25"/>
  <c r="BB69" i="25" s="1"/>
  <c r="AH69" i="25"/>
  <c r="BC69" i="25" s="1"/>
  <c r="AI69" i="25"/>
  <c r="BD69" i="25" s="1"/>
  <c r="AJ69" i="25"/>
  <c r="BE69" i="25" s="1"/>
  <c r="AK69" i="25"/>
  <c r="BF69" i="25" s="1"/>
  <c r="AL69" i="25"/>
  <c r="BG69" i="25" s="1"/>
  <c r="AM69" i="25"/>
  <c r="BH69" i="25" s="1"/>
  <c r="AN69" i="25"/>
  <c r="BI69" i="25" s="1"/>
  <c r="AO69" i="25"/>
  <c r="BJ69" i="25" s="1"/>
  <c r="AP69" i="25"/>
  <c r="BK69" i="25" s="1"/>
  <c r="AQ69" i="25"/>
  <c r="BL69" i="25" s="1"/>
  <c r="AR69" i="25"/>
  <c r="BM69" i="25" s="1"/>
  <c r="Y70" i="25"/>
  <c r="AT70" i="25" s="1"/>
  <c r="AA70" i="25"/>
  <c r="AV70" i="25" s="1"/>
  <c r="AB70" i="25"/>
  <c r="AW70" i="25" s="1"/>
  <c r="AC70" i="25"/>
  <c r="AX70" i="25" s="1"/>
  <c r="AD70" i="25"/>
  <c r="AY70" i="25" s="1"/>
  <c r="AE70" i="25"/>
  <c r="AZ70" i="25" s="1"/>
  <c r="AF70" i="25"/>
  <c r="BA70" i="25" s="1"/>
  <c r="AG70" i="25"/>
  <c r="BB70" i="25" s="1"/>
  <c r="AH70" i="25"/>
  <c r="AI70" i="25"/>
  <c r="BD70" i="25" s="1"/>
  <c r="AJ70" i="25"/>
  <c r="BE70" i="25" s="1"/>
  <c r="AK70" i="25"/>
  <c r="BF70" i="25" s="1"/>
  <c r="AL70" i="25"/>
  <c r="BG70" i="25" s="1"/>
  <c r="AM70" i="25"/>
  <c r="BH70" i="25" s="1"/>
  <c r="AN70" i="25"/>
  <c r="BI70" i="25" s="1"/>
  <c r="AO70" i="25"/>
  <c r="BJ70" i="25" s="1"/>
  <c r="AP70" i="25"/>
  <c r="BK70" i="25" s="1"/>
  <c r="AQ70" i="25"/>
  <c r="BL70" i="25" s="1"/>
  <c r="AR70" i="25"/>
  <c r="BM70" i="25" s="1"/>
  <c r="Y71" i="25"/>
  <c r="AT71" i="25" s="1"/>
  <c r="AA71" i="25"/>
  <c r="AV71" i="25" s="1"/>
  <c r="AB71" i="25"/>
  <c r="AW71" i="25" s="1"/>
  <c r="AC71" i="25"/>
  <c r="AX71" i="25" s="1"/>
  <c r="AD71" i="25"/>
  <c r="AY71" i="25" s="1"/>
  <c r="AE71" i="25"/>
  <c r="AZ71" i="25" s="1"/>
  <c r="AF71" i="25"/>
  <c r="BA71" i="25" s="1"/>
  <c r="AG71" i="25"/>
  <c r="BB71" i="25" s="1"/>
  <c r="AH71" i="25"/>
  <c r="BC71" i="25" s="1"/>
  <c r="AI71" i="25"/>
  <c r="BD71" i="25" s="1"/>
  <c r="AJ71" i="25"/>
  <c r="BE71" i="25" s="1"/>
  <c r="AK71" i="25"/>
  <c r="BF71" i="25" s="1"/>
  <c r="AL71" i="25"/>
  <c r="BG71" i="25" s="1"/>
  <c r="AM71" i="25"/>
  <c r="BH71" i="25" s="1"/>
  <c r="AN71" i="25"/>
  <c r="BI71" i="25" s="1"/>
  <c r="AO71" i="25"/>
  <c r="BJ71" i="25" s="1"/>
  <c r="AP71" i="25"/>
  <c r="BK71" i="25" s="1"/>
  <c r="AQ71" i="25"/>
  <c r="BL71" i="25" s="1"/>
  <c r="AR71" i="25"/>
  <c r="BM71" i="25" s="1"/>
  <c r="Y72" i="25"/>
  <c r="AT72" i="25" s="1"/>
  <c r="AA72" i="25"/>
  <c r="AV72" i="25" s="1"/>
  <c r="AB72" i="25"/>
  <c r="AW72" i="25" s="1"/>
  <c r="AC72" i="25"/>
  <c r="AX72" i="25" s="1"/>
  <c r="AD72" i="25"/>
  <c r="AY72" i="25" s="1"/>
  <c r="AE72" i="25"/>
  <c r="AZ72" i="25" s="1"/>
  <c r="AF72" i="25"/>
  <c r="BA72" i="25" s="1"/>
  <c r="AG72" i="25"/>
  <c r="BB72" i="25" s="1"/>
  <c r="AH72" i="25"/>
  <c r="BC72" i="25" s="1"/>
  <c r="AI72" i="25"/>
  <c r="BD72" i="25" s="1"/>
  <c r="AJ72" i="25"/>
  <c r="BE72" i="25" s="1"/>
  <c r="AK72" i="25"/>
  <c r="BF72" i="25" s="1"/>
  <c r="AL72" i="25"/>
  <c r="BG72" i="25" s="1"/>
  <c r="AM72" i="25"/>
  <c r="BH72" i="25" s="1"/>
  <c r="AN72" i="25"/>
  <c r="BI72" i="25" s="1"/>
  <c r="AO72" i="25"/>
  <c r="BJ72" i="25" s="1"/>
  <c r="AP72" i="25"/>
  <c r="BK72" i="25" s="1"/>
  <c r="AQ72" i="25"/>
  <c r="BL72" i="25" s="1"/>
  <c r="AR72" i="25"/>
  <c r="BM72" i="25" s="1"/>
  <c r="Y73" i="25"/>
  <c r="AT73" i="25" s="1"/>
  <c r="AA73" i="25"/>
  <c r="AV73" i="25" s="1"/>
  <c r="AB73" i="25"/>
  <c r="AW73" i="25" s="1"/>
  <c r="AC73" i="25"/>
  <c r="AX73" i="25" s="1"/>
  <c r="AD73" i="25"/>
  <c r="AY73" i="25" s="1"/>
  <c r="AE73" i="25"/>
  <c r="AZ73" i="25" s="1"/>
  <c r="AF73" i="25"/>
  <c r="BA73" i="25" s="1"/>
  <c r="AG73" i="25"/>
  <c r="BB73" i="25" s="1"/>
  <c r="AH73" i="25"/>
  <c r="BC73" i="25" s="1"/>
  <c r="AI73" i="25"/>
  <c r="BD73" i="25" s="1"/>
  <c r="AJ73" i="25"/>
  <c r="BE73" i="25" s="1"/>
  <c r="AK73" i="25"/>
  <c r="BF73" i="25" s="1"/>
  <c r="AL73" i="25"/>
  <c r="BG73" i="25" s="1"/>
  <c r="AM73" i="25"/>
  <c r="BH73" i="25" s="1"/>
  <c r="AN73" i="25"/>
  <c r="BI73" i="25" s="1"/>
  <c r="AO73" i="25"/>
  <c r="BJ73" i="25" s="1"/>
  <c r="AP73" i="25"/>
  <c r="BK73" i="25" s="1"/>
  <c r="AQ73" i="25"/>
  <c r="BL73" i="25" s="1"/>
  <c r="AR73" i="25"/>
  <c r="BM73" i="25" s="1"/>
  <c r="Y74" i="25"/>
  <c r="AT74" i="25" s="1"/>
  <c r="AA74" i="25"/>
  <c r="AV74" i="25" s="1"/>
  <c r="AB74" i="25"/>
  <c r="AW74" i="25" s="1"/>
  <c r="AC74" i="25"/>
  <c r="AX74" i="25" s="1"/>
  <c r="AD74" i="25"/>
  <c r="AY74" i="25" s="1"/>
  <c r="AE74" i="25"/>
  <c r="AZ74" i="25" s="1"/>
  <c r="AF74" i="25"/>
  <c r="BA74" i="25" s="1"/>
  <c r="AG74" i="25"/>
  <c r="BB74" i="25" s="1"/>
  <c r="AH74" i="25"/>
  <c r="BC74" i="25" s="1"/>
  <c r="AI74" i="25"/>
  <c r="BD74" i="25" s="1"/>
  <c r="AJ74" i="25"/>
  <c r="BE74" i="25" s="1"/>
  <c r="AK74" i="25"/>
  <c r="BF74" i="25" s="1"/>
  <c r="AL74" i="25"/>
  <c r="BG74" i="25" s="1"/>
  <c r="AM74" i="25"/>
  <c r="BH74" i="25" s="1"/>
  <c r="AN74" i="25"/>
  <c r="BI74" i="25" s="1"/>
  <c r="AO74" i="25"/>
  <c r="BJ74" i="25" s="1"/>
  <c r="AP74" i="25"/>
  <c r="BK74" i="25" s="1"/>
  <c r="AQ74" i="25"/>
  <c r="BL74" i="25" s="1"/>
  <c r="AR74" i="25"/>
  <c r="BM74" i="25" s="1"/>
  <c r="Y75" i="25"/>
  <c r="AT75" i="25" s="1"/>
  <c r="AA75" i="25"/>
  <c r="AV75" i="25" s="1"/>
  <c r="AB75" i="25"/>
  <c r="AW75" i="25" s="1"/>
  <c r="AC75" i="25"/>
  <c r="AX75" i="25" s="1"/>
  <c r="AD75" i="25"/>
  <c r="AY75" i="25" s="1"/>
  <c r="AE75" i="25"/>
  <c r="AZ75" i="25" s="1"/>
  <c r="AF75" i="25"/>
  <c r="BA75" i="25" s="1"/>
  <c r="AG75" i="25"/>
  <c r="BB75" i="25" s="1"/>
  <c r="AH75" i="25"/>
  <c r="AI75" i="25"/>
  <c r="BD75" i="25" s="1"/>
  <c r="AJ75" i="25"/>
  <c r="BE75" i="25" s="1"/>
  <c r="AK75" i="25"/>
  <c r="BF75" i="25" s="1"/>
  <c r="AL75" i="25"/>
  <c r="BG75" i="25" s="1"/>
  <c r="AM75" i="25"/>
  <c r="BH75" i="25" s="1"/>
  <c r="AN75" i="25"/>
  <c r="BI75" i="25" s="1"/>
  <c r="AO75" i="25"/>
  <c r="BJ75" i="25" s="1"/>
  <c r="AP75" i="25"/>
  <c r="BK75" i="25" s="1"/>
  <c r="AQ75" i="25"/>
  <c r="BL75" i="25" s="1"/>
  <c r="AR75" i="25"/>
  <c r="BM75" i="25" s="1"/>
  <c r="Y76" i="25"/>
  <c r="AT76" i="25" s="1"/>
  <c r="AA76" i="25"/>
  <c r="AV76" i="25" s="1"/>
  <c r="AB76" i="25"/>
  <c r="AW76" i="25" s="1"/>
  <c r="AC76" i="25"/>
  <c r="AX76" i="25" s="1"/>
  <c r="AD76" i="25"/>
  <c r="AY76" i="25" s="1"/>
  <c r="AE76" i="25"/>
  <c r="AZ76" i="25" s="1"/>
  <c r="AF76" i="25"/>
  <c r="BA76" i="25" s="1"/>
  <c r="AG76" i="25"/>
  <c r="BB76" i="25" s="1"/>
  <c r="AH76" i="25"/>
  <c r="BC76" i="25" s="1"/>
  <c r="AI76" i="25"/>
  <c r="BD76" i="25" s="1"/>
  <c r="AJ76" i="25"/>
  <c r="BE76" i="25" s="1"/>
  <c r="AK76" i="25"/>
  <c r="BF76" i="25" s="1"/>
  <c r="AL76" i="25"/>
  <c r="BG76" i="25" s="1"/>
  <c r="AM76" i="25"/>
  <c r="BH76" i="25" s="1"/>
  <c r="AN76" i="25"/>
  <c r="BI76" i="25" s="1"/>
  <c r="AO76" i="25"/>
  <c r="BJ76" i="25" s="1"/>
  <c r="AP76" i="25"/>
  <c r="BK76" i="25" s="1"/>
  <c r="AQ76" i="25"/>
  <c r="BL76" i="25" s="1"/>
  <c r="AR76" i="25"/>
  <c r="BM76" i="25" s="1"/>
  <c r="Y77" i="25"/>
  <c r="AT77" i="25" s="1"/>
  <c r="AA77" i="25"/>
  <c r="AV77" i="25" s="1"/>
  <c r="AB77" i="25"/>
  <c r="AW77" i="25" s="1"/>
  <c r="AC77" i="25"/>
  <c r="AX77" i="25" s="1"/>
  <c r="AD77" i="25"/>
  <c r="AY77" i="25" s="1"/>
  <c r="AE77" i="25"/>
  <c r="AZ77" i="25" s="1"/>
  <c r="AF77" i="25"/>
  <c r="BA77" i="25" s="1"/>
  <c r="AG77" i="25"/>
  <c r="BB77" i="25" s="1"/>
  <c r="AH77" i="25"/>
  <c r="BC77" i="25" s="1"/>
  <c r="AI77" i="25"/>
  <c r="BD77" i="25" s="1"/>
  <c r="AJ77" i="25"/>
  <c r="BE77" i="25" s="1"/>
  <c r="AK77" i="25"/>
  <c r="BF77" i="25" s="1"/>
  <c r="AL77" i="25"/>
  <c r="BG77" i="25" s="1"/>
  <c r="AM77" i="25"/>
  <c r="BH77" i="25" s="1"/>
  <c r="AN77" i="25"/>
  <c r="BI77" i="25" s="1"/>
  <c r="AO77" i="25"/>
  <c r="BJ77" i="25" s="1"/>
  <c r="AP77" i="25"/>
  <c r="BK77" i="25" s="1"/>
  <c r="AQ77" i="25"/>
  <c r="BL77" i="25" s="1"/>
  <c r="AR77" i="25"/>
  <c r="BM77" i="25" s="1"/>
  <c r="Y78" i="25"/>
  <c r="AT78" i="25" s="1"/>
  <c r="AA78" i="25"/>
  <c r="AV78" i="25" s="1"/>
  <c r="AB78" i="25"/>
  <c r="AW78" i="25" s="1"/>
  <c r="AC78" i="25"/>
  <c r="AX78" i="25" s="1"/>
  <c r="AD78" i="25"/>
  <c r="AY78" i="25" s="1"/>
  <c r="AE78" i="25"/>
  <c r="AZ78" i="25" s="1"/>
  <c r="AF78" i="25"/>
  <c r="BA78" i="25" s="1"/>
  <c r="AG78" i="25"/>
  <c r="BB78" i="25" s="1"/>
  <c r="AH78" i="25"/>
  <c r="BC78" i="25" s="1"/>
  <c r="AI78" i="25"/>
  <c r="BD78" i="25" s="1"/>
  <c r="AJ78" i="25"/>
  <c r="BE78" i="25" s="1"/>
  <c r="AK78" i="25"/>
  <c r="AL78" i="25"/>
  <c r="BG78" i="25" s="1"/>
  <c r="AM78" i="25"/>
  <c r="BH78" i="25" s="1"/>
  <c r="AN78" i="25"/>
  <c r="BI78" i="25" s="1"/>
  <c r="AO78" i="25"/>
  <c r="BJ78" i="25" s="1"/>
  <c r="AP78" i="25"/>
  <c r="BK78" i="25" s="1"/>
  <c r="AQ78" i="25"/>
  <c r="BL78" i="25" s="1"/>
  <c r="AR78" i="25"/>
  <c r="BM78" i="25" s="1"/>
  <c r="Y79" i="25"/>
  <c r="AT79" i="25" s="1"/>
  <c r="AA79" i="25"/>
  <c r="AV79" i="25" s="1"/>
  <c r="AB79" i="25"/>
  <c r="AW79" i="25" s="1"/>
  <c r="AC79" i="25"/>
  <c r="AX79" i="25" s="1"/>
  <c r="AD79" i="25"/>
  <c r="AY79" i="25" s="1"/>
  <c r="AE79" i="25"/>
  <c r="AZ79" i="25" s="1"/>
  <c r="AF79" i="25"/>
  <c r="BA79" i="25" s="1"/>
  <c r="AG79" i="25"/>
  <c r="BB79" i="25" s="1"/>
  <c r="AH79" i="25"/>
  <c r="BC79" i="25" s="1"/>
  <c r="AI79" i="25"/>
  <c r="BD79" i="25" s="1"/>
  <c r="AJ79" i="25"/>
  <c r="BE79" i="25" s="1"/>
  <c r="AK79" i="25"/>
  <c r="BF79" i="25" s="1"/>
  <c r="AL79" i="25"/>
  <c r="BG79" i="25" s="1"/>
  <c r="AM79" i="25"/>
  <c r="BH79" i="25" s="1"/>
  <c r="AN79" i="25"/>
  <c r="BI79" i="25" s="1"/>
  <c r="AO79" i="25"/>
  <c r="BJ79" i="25" s="1"/>
  <c r="AP79" i="25"/>
  <c r="BK79" i="25" s="1"/>
  <c r="AQ79" i="25"/>
  <c r="BL79" i="25" s="1"/>
  <c r="AR79" i="25"/>
  <c r="BM79" i="25" s="1"/>
  <c r="Y80" i="25"/>
  <c r="AA80" i="25"/>
  <c r="AV80" i="25" s="1"/>
  <c r="AB80" i="25"/>
  <c r="AW80" i="25" s="1"/>
  <c r="AC80" i="25"/>
  <c r="AX80" i="25" s="1"/>
  <c r="AD80" i="25"/>
  <c r="AY80" i="25" s="1"/>
  <c r="AE80" i="25"/>
  <c r="AZ80" i="25" s="1"/>
  <c r="AF80" i="25"/>
  <c r="BA80" i="25" s="1"/>
  <c r="AG80" i="25"/>
  <c r="BB80" i="25" s="1"/>
  <c r="AH80" i="25"/>
  <c r="BC80" i="25" s="1"/>
  <c r="AI80" i="25"/>
  <c r="BD80" i="25" s="1"/>
  <c r="AJ80" i="25"/>
  <c r="BE80" i="25" s="1"/>
  <c r="AK80" i="25"/>
  <c r="BF80" i="25" s="1"/>
  <c r="AL80" i="25"/>
  <c r="BG80" i="25" s="1"/>
  <c r="AM80" i="25"/>
  <c r="BH80" i="25" s="1"/>
  <c r="AN80" i="25"/>
  <c r="BI80" i="25" s="1"/>
  <c r="AO80" i="25"/>
  <c r="BJ80" i="25" s="1"/>
  <c r="AP80" i="25"/>
  <c r="BK80" i="25" s="1"/>
  <c r="AQ80" i="25"/>
  <c r="BL80" i="25" s="1"/>
  <c r="AR80" i="25"/>
  <c r="BM80" i="25" s="1"/>
  <c r="Y81" i="25"/>
  <c r="AT81" i="25" s="1"/>
  <c r="AA81" i="25"/>
  <c r="AV81" i="25" s="1"/>
  <c r="AB81" i="25"/>
  <c r="AW81" i="25" s="1"/>
  <c r="AC81" i="25"/>
  <c r="AX81" i="25" s="1"/>
  <c r="AD81" i="25"/>
  <c r="AY81" i="25" s="1"/>
  <c r="AE81" i="25"/>
  <c r="AZ81" i="25" s="1"/>
  <c r="AF81" i="25"/>
  <c r="BA81" i="25" s="1"/>
  <c r="AG81" i="25"/>
  <c r="BB81" i="25" s="1"/>
  <c r="AH81" i="25"/>
  <c r="BC81" i="25" s="1"/>
  <c r="AI81" i="25"/>
  <c r="BD81" i="25" s="1"/>
  <c r="AJ81" i="25"/>
  <c r="BE81" i="25" s="1"/>
  <c r="AK81" i="25"/>
  <c r="BF81" i="25" s="1"/>
  <c r="AL81" i="25"/>
  <c r="BG81" i="25" s="1"/>
  <c r="AM81" i="25"/>
  <c r="BH81" i="25" s="1"/>
  <c r="AN81" i="25"/>
  <c r="BI81" i="25" s="1"/>
  <c r="AO81" i="25"/>
  <c r="BJ81" i="25" s="1"/>
  <c r="AP81" i="25"/>
  <c r="BK81" i="25" s="1"/>
  <c r="AQ81" i="25"/>
  <c r="BL81" i="25" s="1"/>
  <c r="AR81" i="25"/>
  <c r="BM81" i="25" s="1"/>
  <c r="Y82" i="25"/>
  <c r="AT82" i="25" s="1"/>
  <c r="AA82" i="25"/>
  <c r="AV82" i="25" s="1"/>
  <c r="AB82" i="25"/>
  <c r="AW82" i="25" s="1"/>
  <c r="AC82" i="25"/>
  <c r="AX82" i="25" s="1"/>
  <c r="AD82" i="25"/>
  <c r="AY82" i="25" s="1"/>
  <c r="AE82" i="25"/>
  <c r="AZ82" i="25" s="1"/>
  <c r="AF82" i="25"/>
  <c r="BA82" i="25" s="1"/>
  <c r="AG82" i="25"/>
  <c r="BB82" i="25" s="1"/>
  <c r="AH82" i="25"/>
  <c r="BC82" i="25" s="1"/>
  <c r="AI82" i="25"/>
  <c r="BD82" i="25" s="1"/>
  <c r="AJ82" i="25"/>
  <c r="BE82" i="25" s="1"/>
  <c r="AK82" i="25"/>
  <c r="BF82" i="25" s="1"/>
  <c r="AL82" i="25"/>
  <c r="BG82" i="25" s="1"/>
  <c r="AM82" i="25"/>
  <c r="BH82" i="25" s="1"/>
  <c r="AN82" i="25"/>
  <c r="BI82" i="25" s="1"/>
  <c r="AO82" i="25"/>
  <c r="BJ82" i="25" s="1"/>
  <c r="AP82" i="25"/>
  <c r="BK82" i="25" s="1"/>
  <c r="AQ82" i="25"/>
  <c r="BL82" i="25" s="1"/>
  <c r="AR82" i="25"/>
  <c r="BM82" i="25" s="1"/>
  <c r="Y83" i="25"/>
  <c r="AT83" i="25" s="1"/>
  <c r="AA83" i="25"/>
  <c r="AV83" i="25" s="1"/>
  <c r="AB83" i="25"/>
  <c r="AW83" i="25" s="1"/>
  <c r="AC83" i="25"/>
  <c r="AX83" i="25" s="1"/>
  <c r="AD83" i="25"/>
  <c r="AY83" i="25" s="1"/>
  <c r="AE83" i="25"/>
  <c r="AZ83" i="25" s="1"/>
  <c r="AF83" i="25"/>
  <c r="BA83" i="25" s="1"/>
  <c r="AG83" i="25"/>
  <c r="BB83" i="25" s="1"/>
  <c r="AH83" i="25"/>
  <c r="BC83" i="25" s="1"/>
  <c r="AI83" i="25"/>
  <c r="BD83" i="25" s="1"/>
  <c r="AJ83" i="25"/>
  <c r="BE83" i="25" s="1"/>
  <c r="AK83" i="25"/>
  <c r="BF83" i="25" s="1"/>
  <c r="AL83" i="25"/>
  <c r="AM83" i="25"/>
  <c r="BH83" i="25" s="1"/>
  <c r="AN83" i="25"/>
  <c r="BI83" i="25" s="1"/>
  <c r="AO83" i="25"/>
  <c r="BJ83" i="25" s="1"/>
  <c r="AP83" i="25"/>
  <c r="BK83" i="25" s="1"/>
  <c r="AQ83" i="25"/>
  <c r="BL83" i="25" s="1"/>
  <c r="AR83" i="25"/>
  <c r="BM83" i="25" s="1"/>
  <c r="Y84" i="25"/>
  <c r="AT84" i="25" s="1"/>
  <c r="AA84" i="25"/>
  <c r="AV84" i="25" s="1"/>
  <c r="AB84" i="25"/>
  <c r="AW84" i="25" s="1"/>
  <c r="AC84" i="25"/>
  <c r="AX84" i="25" s="1"/>
  <c r="AD84" i="25"/>
  <c r="AY84" i="25" s="1"/>
  <c r="AE84" i="25"/>
  <c r="AZ84" i="25" s="1"/>
  <c r="AF84" i="25"/>
  <c r="BA84" i="25" s="1"/>
  <c r="AG84" i="25"/>
  <c r="BB84" i="25" s="1"/>
  <c r="AH84" i="25"/>
  <c r="BC84" i="25" s="1"/>
  <c r="AI84" i="25"/>
  <c r="BD84" i="25" s="1"/>
  <c r="AJ84" i="25"/>
  <c r="BE84" i="25" s="1"/>
  <c r="AK84" i="25"/>
  <c r="BF84" i="25" s="1"/>
  <c r="AL84" i="25"/>
  <c r="BG84" i="25" s="1"/>
  <c r="AM84" i="25"/>
  <c r="BH84" i="25" s="1"/>
  <c r="AN84" i="25"/>
  <c r="BI84" i="25" s="1"/>
  <c r="AO84" i="25"/>
  <c r="BJ84" i="25" s="1"/>
  <c r="AP84" i="25"/>
  <c r="BK84" i="25" s="1"/>
  <c r="AQ84" i="25"/>
  <c r="AR84" i="25"/>
  <c r="BM84" i="25" s="1"/>
  <c r="Y85" i="25"/>
  <c r="AT85" i="25" s="1"/>
  <c r="AA85" i="25"/>
  <c r="AV85" i="25" s="1"/>
  <c r="AB85" i="25"/>
  <c r="AW85" i="25" s="1"/>
  <c r="AC85" i="25"/>
  <c r="AX85" i="25" s="1"/>
  <c r="AD85" i="25"/>
  <c r="AY85" i="25" s="1"/>
  <c r="AE85" i="25"/>
  <c r="AZ85" i="25" s="1"/>
  <c r="AF85" i="25"/>
  <c r="BA85" i="25" s="1"/>
  <c r="AG85" i="25"/>
  <c r="BB85" i="25" s="1"/>
  <c r="AH85" i="25"/>
  <c r="BC85" i="25" s="1"/>
  <c r="AI85" i="25"/>
  <c r="BD85" i="25" s="1"/>
  <c r="AJ85" i="25"/>
  <c r="BE85" i="25" s="1"/>
  <c r="AK85" i="25"/>
  <c r="BF85" i="25" s="1"/>
  <c r="AL85" i="25"/>
  <c r="BG85" i="25" s="1"/>
  <c r="AM85" i="25"/>
  <c r="BH85" i="25" s="1"/>
  <c r="AN85" i="25"/>
  <c r="BI85" i="25" s="1"/>
  <c r="AO85" i="25"/>
  <c r="BJ85" i="25" s="1"/>
  <c r="AP85" i="25"/>
  <c r="BK85" i="25" s="1"/>
  <c r="AQ85" i="25"/>
  <c r="BL85" i="25" s="1"/>
  <c r="AR85" i="25"/>
  <c r="BM85" i="25" s="1"/>
  <c r="Y86" i="25"/>
  <c r="AT86" i="25" s="1"/>
  <c r="AA86" i="25"/>
  <c r="AV86" i="25" s="1"/>
  <c r="AB86" i="25"/>
  <c r="AW86" i="25" s="1"/>
  <c r="AC86" i="25"/>
  <c r="AX86" i="25" s="1"/>
  <c r="AD86" i="25"/>
  <c r="AY86" i="25" s="1"/>
  <c r="AE86" i="25"/>
  <c r="AZ86" i="25" s="1"/>
  <c r="AF86" i="25"/>
  <c r="BA86" i="25" s="1"/>
  <c r="AG86" i="25"/>
  <c r="BB86" i="25" s="1"/>
  <c r="AH86" i="25"/>
  <c r="BC86" i="25" s="1"/>
  <c r="AI86" i="25"/>
  <c r="BD86" i="25" s="1"/>
  <c r="AJ86" i="25"/>
  <c r="BE86" i="25" s="1"/>
  <c r="AK86" i="25"/>
  <c r="BF86" i="25" s="1"/>
  <c r="AL86" i="25"/>
  <c r="BG86" i="25" s="1"/>
  <c r="AM86" i="25"/>
  <c r="BH86" i="25" s="1"/>
  <c r="AN86" i="25"/>
  <c r="BI86" i="25" s="1"/>
  <c r="AO86" i="25"/>
  <c r="BJ86" i="25" s="1"/>
  <c r="AP86" i="25"/>
  <c r="BK86" i="25" s="1"/>
  <c r="AQ86" i="25"/>
  <c r="BL86" i="25" s="1"/>
  <c r="AR86" i="25"/>
  <c r="BM86" i="25" s="1"/>
  <c r="Y87" i="25"/>
  <c r="AT87" i="25" s="1"/>
  <c r="AA87" i="25"/>
  <c r="AV87" i="25" s="1"/>
  <c r="AB87" i="25"/>
  <c r="AW87" i="25" s="1"/>
  <c r="AC87" i="25"/>
  <c r="AX87" i="25" s="1"/>
  <c r="AD87" i="25"/>
  <c r="AY87" i="25" s="1"/>
  <c r="AE87" i="25"/>
  <c r="AZ87" i="25" s="1"/>
  <c r="AF87" i="25"/>
  <c r="BA87" i="25" s="1"/>
  <c r="AG87" i="25"/>
  <c r="BB87" i="25" s="1"/>
  <c r="AH87" i="25"/>
  <c r="BC87" i="25" s="1"/>
  <c r="AI87" i="25"/>
  <c r="BD87" i="25" s="1"/>
  <c r="AJ87" i="25"/>
  <c r="BE87" i="25" s="1"/>
  <c r="AK87" i="25"/>
  <c r="BF87" i="25" s="1"/>
  <c r="AL87" i="25"/>
  <c r="BG87" i="25" s="1"/>
  <c r="AM87" i="25"/>
  <c r="BH87" i="25" s="1"/>
  <c r="AN87" i="25"/>
  <c r="BI87" i="25" s="1"/>
  <c r="AO87" i="25"/>
  <c r="BJ87" i="25" s="1"/>
  <c r="AP87" i="25"/>
  <c r="BK87" i="25" s="1"/>
  <c r="AQ87" i="25"/>
  <c r="BL87" i="25" s="1"/>
  <c r="AR87" i="25"/>
  <c r="BM87" i="25" s="1"/>
  <c r="Y88" i="25"/>
  <c r="AT88" i="25" s="1"/>
  <c r="AA88" i="25"/>
  <c r="AV88" i="25" s="1"/>
  <c r="AB88" i="25"/>
  <c r="AW88" i="25" s="1"/>
  <c r="AC88" i="25"/>
  <c r="AX88" i="25" s="1"/>
  <c r="AD88" i="25"/>
  <c r="AY88" i="25" s="1"/>
  <c r="AE88" i="25"/>
  <c r="AZ88" i="25" s="1"/>
  <c r="AF88" i="25"/>
  <c r="BA88" i="25" s="1"/>
  <c r="AG88" i="25"/>
  <c r="BB88" i="25" s="1"/>
  <c r="AH88" i="25"/>
  <c r="BC88" i="25" s="1"/>
  <c r="AI88" i="25"/>
  <c r="BD88" i="25" s="1"/>
  <c r="AJ88" i="25"/>
  <c r="BE88" i="25" s="1"/>
  <c r="AK88" i="25"/>
  <c r="BF88" i="25" s="1"/>
  <c r="AL88" i="25"/>
  <c r="BG88" i="25" s="1"/>
  <c r="AM88" i="25"/>
  <c r="BH88" i="25" s="1"/>
  <c r="AN88" i="25"/>
  <c r="BI88" i="25" s="1"/>
  <c r="AO88" i="25"/>
  <c r="BJ88" i="25" s="1"/>
  <c r="AP88" i="25"/>
  <c r="BK88" i="25" s="1"/>
  <c r="AQ88" i="25"/>
  <c r="BL88" i="25" s="1"/>
  <c r="AR88" i="25"/>
  <c r="BM88" i="25" s="1"/>
  <c r="Y89" i="25"/>
  <c r="AT89" i="25" s="1"/>
  <c r="AA89" i="25"/>
  <c r="AV89" i="25" s="1"/>
  <c r="AB89" i="25"/>
  <c r="AW89" i="25" s="1"/>
  <c r="AC89" i="25"/>
  <c r="AX89" i="25" s="1"/>
  <c r="AD89" i="25"/>
  <c r="AY89" i="25" s="1"/>
  <c r="AE89" i="25"/>
  <c r="AZ89" i="25" s="1"/>
  <c r="AF89" i="25"/>
  <c r="AG89" i="25"/>
  <c r="BB89" i="25" s="1"/>
  <c r="AH89" i="25"/>
  <c r="BC89" i="25" s="1"/>
  <c r="AI89" i="25"/>
  <c r="BD89" i="25" s="1"/>
  <c r="AJ89" i="25"/>
  <c r="BE89" i="25" s="1"/>
  <c r="AK89" i="25"/>
  <c r="BF89" i="25" s="1"/>
  <c r="AL89" i="25"/>
  <c r="BG89" i="25" s="1"/>
  <c r="AM89" i="25"/>
  <c r="BH89" i="25" s="1"/>
  <c r="AN89" i="25"/>
  <c r="BI89" i="25" s="1"/>
  <c r="AO89" i="25"/>
  <c r="BJ89" i="25" s="1"/>
  <c r="AP89" i="25"/>
  <c r="BK89" i="25" s="1"/>
  <c r="AQ89" i="25"/>
  <c r="BL89" i="25" s="1"/>
  <c r="AR89" i="25"/>
  <c r="BM89" i="25" s="1"/>
  <c r="Y90" i="25"/>
  <c r="AT90" i="25" s="1"/>
  <c r="AA90" i="25"/>
  <c r="AV90" i="25" s="1"/>
  <c r="AB90" i="25"/>
  <c r="AW90" i="25" s="1"/>
  <c r="AC90" i="25"/>
  <c r="AX90" i="25" s="1"/>
  <c r="AD90" i="25"/>
  <c r="AY90" i="25" s="1"/>
  <c r="AE90" i="25"/>
  <c r="AZ90" i="25" s="1"/>
  <c r="AF90" i="25"/>
  <c r="BA90" i="25" s="1"/>
  <c r="AG90" i="25"/>
  <c r="BB90" i="25" s="1"/>
  <c r="AH90" i="25"/>
  <c r="BC90" i="25" s="1"/>
  <c r="AI90" i="25"/>
  <c r="BD90" i="25" s="1"/>
  <c r="AJ90" i="25"/>
  <c r="BE90" i="25" s="1"/>
  <c r="AK90" i="25"/>
  <c r="AL90" i="25"/>
  <c r="BG90" i="25" s="1"/>
  <c r="AM90" i="25"/>
  <c r="BH90" i="25" s="1"/>
  <c r="AN90" i="25"/>
  <c r="BI90" i="25" s="1"/>
  <c r="AO90" i="25"/>
  <c r="BJ90" i="25" s="1"/>
  <c r="AP90" i="25"/>
  <c r="BK90" i="25" s="1"/>
  <c r="AQ90" i="25"/>
  <c r="BL90" i="25" s="1"/>
  <c r="AR90" i="25"/>
  <c r="BM90" i="25" s="1"/>
  <c r="Y91" i="25"/>
  <c r="AT91" i="25" s="1"/>
  <c r="AA91" i="25"/>
  <c r="AV91" i="25" s="1"/>
  <c r="AB91" i="25"/>
  <c r="AW91" i="25" s="1"/>
  <c r="AC91" i="25"/>
  <c r="AX91" i="25" s="1"/>
  <c r="AD91" i="25"/>
  <c r="AY91" i="25" s="1"/>
  <c r="AE91" i="25"/>
  <c r="AZ91" i="25" s="1"/>
  <c r="AF91" i="25"/>
  <c r="BA91" i="25" s="1"/>
  <c r="AG91" i="25"/>
  <c r="BB91" i="25" s="1"/>
  <c r="AH91" i="25"/>
  <c r="BC91" i="25" s="1"/>
  <c r="AI91" i="25"/>
  <c r="BD91" i="25" s="1"/>
  <c r="AJ91" i="25"/>
  <c r="BE91" i="25" s="1"/>
  <c r="AK91" i="25"/>
  <c r="BF91" i="25" s="1"/>
  <c r="AL91" i="25"/>
  <c r="BG91" i="25" s="1"/>
  <c r="AM91" i="25"/>
  <c r="BH91" i="25" s="1"/>
  <c r="AN91" i="25"/>
  <c r="BI91" i="25" s="1"/>
  <c r="AO91" i="25"/>
  <c r="BJ91" i="25" s="1"/>
  <c r="AP91" i="25"/>
  <c r="BK91" i="25" s="1"/>
  <c r="AQ91" i="25"/>
  <c r="BL91" i="25" s="1"/>
  <c r="AR91" i="25"/>
  <c r="BM91" i="25" s="1"/>
  <c r="Y92" i="25"/>
  <c r="AT92" i="25" s="1"/>
  <c r="AA92" i="25"/>
  <c r="AV92" i="25" s="1"/>
  <c r="AB92" i="25"/>
  <c r="AC92" i="25"/>
  <c r="AX92" i="25" s="1"/>
  <c r="AD92" i="25"/>
  <c r="AY92" i="25" s="1"/>
  <c r="AE92" i="25"/>
  <c r="AZ92" i="25" s="1"/>
  <c r="AF92" i="25"/>
  <c r="BA92" i="25" s="1"/>
  <c r="AG92" i="25"/>
  <c r="BB92" i="25" s="1"/>
  <c r="AH92" i="25"/>
  <c r="BC92" i="25" s="1"/>
  <c r="AI92" i="25"/>
  <c r="AJ92" i="25"/>
  <c r="BE92" i="25" s="1"/>
  <c r="AK92" i="25"/>
  <c r="BF92" i="25" s="1"/>
  <c r="AL92" i="25"/>
  <c r="BG92" i="25" s="1"/>
  <c r="AM92" i="25"/>
  <c r="BH92" i="25" s="1"/>
  <c r="AN92" i="25"/>
  <c r="BI92" i="25" s="1"/>
  <c r="AO92" i="25"/>
  <c r="BJ92" i="25" s="1"/>
  <c r="AP92" i="25"/>
  <c r="BK92" i="25" s="1"/>
  <c r="AQ92" i="25"/>
  <c r="BL92" i="25" s="1"/>
  <c r="AR92" i="25"/>
  <c r="BM92" i="25" s="1"/>
  <c r="Y93" i="25"/>
  <c r="AT93" i="25" s="1"/>
  <c r="AA93" i="25"/>
  <c r="AV93" i="25" s="1"/>
  <c r="AB93" i="25"/>
  <c r="AW93" i="25" s="1"/>
  <c r="AC93" i="25"/>
  <c r="AX93" i="25" s="1"/>
  <c r="AD93" i="25"/>
  <c r="AY93" i="25" s="1"/>
  <c r="AE93" i="25"/>
  <c r="AZ93" i="25" s="1"/>
  <c r="AF93" i="25"/>
  <c r="BA93" i="25" s="1"/>
  <c r="AG93" i="25"/>
  <c r="BB93" i="25" s="1"/>
  <c r="AH93" i="25"/>
  <c r="BC93" i="25" s="1"/>
  <c r="AI93" i="25"/>
  <c r="BD93" i="25" s="1"/>
  <c r="AJ93" i="25"/>
  <c r="BE93" i="25" s="1"/>
  <c r="AK93" i="25"/>
  <c r="BF93" i="25" s="1"/>
  <c r="AL93" i="25"/>
  <c r="BG93" i="25" s="1"/>
  <c r="AM93" i="25"/>
  <c r="BH93" i="25" s="1"/>
  <c r="AN93" i="25"/>
  <c r="BI93" i="25" s="1"/>
  <c r="AO93" i="25"/>
  <c r="BJ93" i="25" s="1"/>
  <c r="AP93" i="25"/>
  <c r="BK93" i="25" s="1"/>
  <c r="AQ93" i="25"/>
  <c r="BL93" i="25" s="1"/>
  <c r="AR93" i="25"/>
  <c r="BM93" i="25" s="1"/>
  <c r="Y94" i="25"/>
  <c r="AT94" i="25" s="1"/>
  <c r="AA94" i="25"/>
  <c r="AV94" i="25" s="1"/>
  <c r="AB94" i="25"/>
  <c r="AW94" i="25" s="1"/>
  <c r="AC94" i="25"/>
  <c r="AX94" i="25" s="1"/>
  <c r="AD94" i="25"/>
  <c r="AY94" i="25" s="1"/>
  <c r="AE94" i="25"/>
  <c r="AZ94" i="25" s="1"/>
  <c r="AF94" i="25"/>
  <c r="BA94" i="25" s="1"/>
  <c r="AG94" i="25"/>
  <c r="BB94" i="25" s="1"/>
  <c r="AH94" i="25"/>
  <c r="BC94" i="25" s="1"/>
  <c r="AI94" i="25"/>
  <c r="BD94" i="25" s="1"/>
  <c r="AJ94" i="25"/>
  <c r="BE94" i="25" s="1"/>
  <c r="AK94" i="25"/>
  <c r="BF94" i="25" s="1"/>
  <c r="AL94" i="25"/>
  <c r="BG94" i="25" s="1"/>
  <c r="AM94" i="25"/>
  <c r="BH94" i="25" s="1"/>
  <c r="AN94" i="25"/>
  <c r="BI94" i="25" s="1"/>
  <c r="AO94" i="25"/>
  <c r="BJ94" i="25" s="1"/>
  <c r="AP94" i="25"/>
  <c r="BK94" i="25" s="1"/>
  <c r="AQ94" i="25"/>
  <c r="BL94" i="25" s="1"/>
  <c r="AR94" i="25"/>
  <c r="BM94" i="25" s="1"/>
  <c r="Y95" i="25"/>
  <c r="AT95" i="25" s="1"/>
  <c r="AA95" i="25"/>
  <c r="AV95" i="25" s="1"/>
  <c r="AB95" i="25"/>
  <c r="AW95" i="25" s="1"/>
  <c r="AC95" i="25"/>
  <c r="AX95" i="25" s="1"/>
  <c r="AD95" i="25"/>
  <c r="AY95" i="25" s="1"/>
  <c r="AE95" i="25"/>
  <c r="AZ95" i="25" s="1"/>
  <c r="AF95" i="25"/>
  <c r="BA95" i="25" s="1"/>
  <c r="AG95" i="25"/>
  <c r="BB95" i="25" s="1"/>
  <c r="AH95" i="25"/>
  <c r="BC95" i="25" s="1"/>
  <c r="AI95" i="25"/>
  <c r="BD95" i="25" s="1"/>
  <c r="AJ95" i="25"/>
  <c r="BE95" i="25" s="1"/>
  <c r="AK95" i="25"/>
  <c r="BF95" i="25" s="1"/>
  <c r="AL95" i="25"/>
  <c r="AM95" i="25"/>
  <c r="BH95" i="25" s="1"/>
  <c r="AN95" i="25"/>
  <c r="BI95" i="25" s="1"/>
  <c r="AO95" i="25"/>
  <c r="BJ95" i="25" s="1"/>
  <c r="AP95" i="25"/>
  <c r="BK95" i="25" s="1"/>
  <c r="AQ95" i="25"/>
  <c r="BL95" i="25" s="1"/>
  <c r="AR95" i="25"/>
  <c r="BM95" i="25" s="1"/>
  <c r="Y96" i="25"/>
  <c r="AT96" i="25" s="1"/>
  <c r="AA96" i="25"/>
  <c r="AV96" i="25" s="1"/>
  <c r="AB96" i="25"/>
  <c r="AW96" i="25" s="1"/>
  <c r="AC96" i="25"/>
  <c r="AX96" i="25" s="1"/>
  <c r="AD96" i="25"/>
  <c r="AY96" i="25" s="1"/>
  <c r="AE96" i="25"/>
  <c r="AZ96" i="25" s="1"/>
  <c r="AF96" i="25"/>
  <c r="BA96" i="25" s="1"/>
  <c r="AG96" i="25"/>
  <c r="BB96" i="25" s="1"/>
  <c r="AH96" i="25"/>
  <c r="BC96" i="25" s="1"/>
  <c r="AI96" i="25"/>
  <c r="BD96" i="25" s="1"/>
  <c r="AJ96" i="25"/>
  <c r="AK96" i="25"/>
  <c r="BF96" i="25" s="1"/>
  <c r="AL96" i="25"/>
  <c r="BG96" i="25" s="1"/>
  <c r="AM96" i="25"/>
  <c r="BH96" i="25" s="1"/>
  <c r="AN96" i="25"/>
  <c r="BI96" i="25" s="1"/>
  <c r="AO96" i="25"/>
  <c r="BJ96" i="25" s="1"/>
  <c r="AP96" i="25"/>
  <c r="BK96" i="25" s="1"/>
  <c r="AQ96" i="25"/>
  <c r="AR96" i="25"/>
  <c r="BM96" i="25" s="1"/>
  <c r="Y97" i="25"/>
  <c r="AT97" i="25" s="1"/>
  <c r="AA97" i="25"/>
  <c r="AV97" i="25" s="1"/>
  <c r="AB97" i="25"/>
  <c r="AW97" i="25" s="1"/>
  <c r="AC97" i="25"/>
  <c r="AX97" i="25" s="1"/>
  <c r="AD97" i="25"/>
  <c r="AY97" i="25" s="1"/>
  <c r="AE97" i="25"/>
  <c r="AZ97" i="25" s="1"/>
  <c r="AF97" i="25"/>
  <c r="BA97" i="25" s="1"/>
  <c r="AG97" i="25"/>
  <c r="BB97" i="25" s="1"/>
  <c r="AH97" i="25"/>
  <c r="BC97" i="25" s="1"/>
  <c r="AI97" i="25"/>
  <c r="BD97" i="25" s="1"/>
  <c r="AJ97" i="25"/>
  <c r="BE97" i="25" s="1"/>
  <c r="AK97" i="25"/>
  <c r="BF97" i="25" s="1"/>
  <c r="AL97" i="25"/>
  <c r="BG97" i="25" s="1"/>
  <c r="AM97" i="25"/>
  <c r="BH97" i="25" s="1"/>
  <c r="AN97" i="25"/>
  <c r="BI97" i="25" s="1"/>
  <c r="AO97" i="25"/>
  <c r="BJ97" i="25" s="1"/>
  <c r="AP97" i="25"/>
  <c r="BK97" i="25" s="1"/>
  <c r="AQ97" i="25"/>
  <c r="BL97" i="25" s="1"/>
  <c r="AR97" i="25"/>
  <c r="BM97" i="25" s="1"/>
  <c r="Y98" i="25"/>
  <c r="AT98" i="25" s="1"/>
  <c r="AA98" i="25"/>
  <c r="AV98" i="25" s="1"/>
  <c r="AB98" i="25"/>
  <c r="AW98" i="25" s="1"/>
  <c r="AC98" i="25"/>
  <c r="AX98" i="25" s="1"/>
  <c r="AD98" i="25"/>
  <c r="AY98" i="25" s="1"/>
  <c r="AE98" i="25"/>
  <c r="AZ98" i="25" s="1"/>
  <c r="AF98" i="25"/>
  <c r="BA98" i="25" s="1"/>
  <c r="AG98" i="25"/>
  <c r="BB98" i="25" s="1"/>
  <c r="AH98" i="25"/>
  <c r="BC98" i="25" s="1"/>
  <c r="AI98" i="25"/>
  <c r="BD98" i="25" s="1"/>
  <c r="AJ98" i="25"/>
  <c r="BE98" i="25" s="1"/>
  <c r="AK98" i="25"/>
  <c r="BF98" i="25" s="1"/>
  <c r="AL98" i="25"/>
  <c r="BG98" i="25" s="1"/>
  <c r="AM98" i="25"/>
  <c r="BH98" i="25" s="1"/>
  <c r="AN98" i="25"/>
  <c r="BI98" i="25" s="1"/>
  <c r="AO98" i="25"/>
  <c r="BJ98" i="25" s="1"/>
  <c r="AP98" i="25"/>
  <c r="BK98" i="25" s="1"/>
  <c r="AQ98" i="25"/>
  <c r="BL98" i="25" s="1"/>
  <c r="AR98" i="25"/>
  <c r="BM98" i="25" s="1"/>
  <c r="Y99" i="25"/>
  <c r="AT99" i="25" s="1"/>
  <c r="AA99" i="25"/>
  <c r="AV99" i="25" s="1"/>
  <c r="AB99" i="25"/>
  <c r="AW99" i="25" s="1"/>
  <c r="AC99" i="25"/>
  <c r="AX99" i="25" s="1"/>
  <c r="AD99" i="25"/>
  <c r="AY99" i="25" s="1"/>
  <c r="AE99" i="25"/>
  <c r="AZ99" i="25" s="1"/>
  <c r="AF99" i="25"/>
  <c r="BA99" i="25" s="1"/>
  <c r="AG99" i="25"/>
  <c r="BB99" i="25" s="1"/>
  <c r="AH99" i="25"/>
  <c r="BC99" i="25" s="1"/>
  <c r="AI99" i="25"/>
  <c r="BD99" i="25" s="1"/>
  <c r="AJ99" i="25"/>
  <c r="BE99" i="25" s="1"/>
  <c r="AK99" i="25"/>
  <c r="BF99" i="25" s="1"/>
  <c r="AL99" i="25"/>
  <c r="BG99" i="25" s="1"/>
  <c r="AM99" i="25"/>
  <c r="AN99" i="25"/>
  <c r="BI99" i="25" s="1"/>
  <c r="AO99" i="25"/>
  <c r="BJ99" i="25" s="1"/>
  <c r="AP99" i="25"/>
  <c r="BK99" i="25" s="1"/>
  <c r="AQ99" i="25"/>
  <c r="BL99" i="25" s="1"/>
  <c r="AR99" i="25"/>
  <c r="BM99" i="25" s="1"/>
  <c r="Y100" i="25"/>
  <c r="AT100" i="25" s="1"/>
  <c r="AA100" i="25"/>
  <c r="AV100" i="25" s="1"/>
  <c r="AB100" i="25"/>
  <c r="AW100" i="25" s="1"/>
  <c r="AC100" i="25"/>
  <c r="AX100" i="25" s="1"/>
  <c r="AD100" i="25"/>
  <c r="AY100" i="25" s="1"/>
  <c r="AE100" i="25"/>
  <c r="AZ100" i="25" s="1"/>
  <c r="AF100" i="25"/>
  <c r="BA100" i="25" s="1"/>
  <c r="AG100" i="25"/>
  <c r="BB100" i="25" s="1"/>
  <c r="AH100" i="25"/>
  <c r="BC100" i="25" s="1"/>
  <c r="AI100" i="25"/>
  <c r="BD100" i="25" s="1"/>
  <c r="AJ100" i="25"/>
  <c r="BE100" i="25" s="1"/>
  <c r="AK100" i="25"/>
  <c r="BF100" i="25" s="1"/>
  <c r="AL100" i="25"/>
  <c r="BG100" i="25" s="1"/>
  <c r="AM100" i="25"/>
  <c r="BH100" i="25" s="1"/>
  <c r="AN100" i="25"/>
  <c r="BI100" i="25" s="1"/>
  <c r="AO100" i="25"/>
  <c r="BJ100" i="25" s="1"/>
  <c r="AP100" i="25"/>
  <c r="BK100" i="25" s="1"/>
  <c r="AQ100" i="25"/>
  <c r="BL100" i="25" s="1"/>
  <c r="AR100" i="25"/>
  <c r="BM100" i="25" s="1"/>
  <c r="Y101" i="25"/>
  <c r="AT101" i="25" s="1"/>
  <c r="AA101" i="25"/>
  <c r="AV101" i="25" s="1"/>
  <c r="AB101" i="25"/>
  <c r="AW101" i="25" s="1"/>
  <c r="AC101" i="25"/>
  <c r="AX101" i="25" s="1"/>
  <c r="AD101" i="25"/>
  <c r="AY101" i="25" s="1"/>
  <c r="AE101" i="25"/>
  <c r="AZ101" i="25" s="1"/>
  <c r="AF101" i="25"/>
  <c r="BA101" i="25" s="1"/>
  <c r="AG101" i="25"/>
  <c r="BB101" i="25" s="1"/>
  <c r="AH101" i="25"/>
  <c r="BC101" i="25" s="1"/>
  <c r="AI101" i="25"/>
  <c r="BD101" i="25" s="1"/>
  <c r="AJ101" i="25"/>
  <c r="BE101" i="25" s="1"/>
  <c r="AK101" i="25"/>
  <c r="BF101" i="25" s="1"/>
  <c r="AL101" i="25"/>
  <c r="BG101" i="25" s="1"/>
  <c r="AM101" i="25"/>
  <c r="BH101" i="25" s="1"/>
  <c r="AN101" i="25"/>
  <c r="BI101" i="25" s="1"/>
  <c r="AO101" i="25"/>
  <c r="BJ101" i="25" s="1"/>
  <c r="AP101" i="25"/>
  <c r="BK101" i="25" s="1"/>
  <c r="AQ101" i="25"/>
  <c r="BL101" i="25" s="1"/>
  <c r="AR101" i="25"/>
  <c r="BM101" i="25" s="1"/>
  <c r="Y102" i="25"/>
  <c r="AT102" i="25" s="1"/>
  <c r="AA102" i="25"/>
  <c r="AV102" i="25" s="1"/>
  <c r="AB102" i="25"/>
  <c r="AW102" i="25" s="1"/>
  <c r="AC102" i="25"/>
  <c r="AX102" i="25" s="1"/>
  <c r="AD102" i="25"/>
  <c r="AY102" i="25" s="1"/>
  <c r="AE102" i="25"/>
  <c r="AZ102" i="25" s="1"/>
  <c r="AF102" i="25"/>
  <c r="BA102" i="25" s="1"/>
  <c r="AG102" i="25"/>
  <c r="BB102" i="25" s="1"/>
  <c r="AH102" i="25"/>
  <c r="BC102" i="25" s="1"/>
  <c r="AI102" i="25"/>
  <c r="BD102" i="25" s="1"/>
  <c r="AJ102" i="25"/>
  <c r="BE102" i="25" s="1"/>
  <c r="AK102" i="25"/>
  <c r="BF102" i="25" s="1"/>
  <c r="AL102" i="25"/>
  <c r="BG102" i="25" s="1"/>
  <c r="AM102" i="25"/>
  <c r="BH102" i="25" s="1"/>
  <c r="AN102" i="25"/>
  <c r="BI102" i="25" s="1"/>
  <c r="AO102" i="25"/>
  <c r="BJ102" i="25" s="1"/>
  <c r="AP102" i="25"/>
  <c r="BK102" i="25" s="1"/>
  <c r="AQ102" i="25"/>
  <c r="BL102" i="25" s="1"/>
  <c r="AR102" i="25"/>
  <c r="BM102" i="25" s="1"/>
  <c r="Y103" i="25"/>
  <c r="AT103" i="25" s="1"/>
  <c r="AA103" i="25"/>
  <c r="AV103" i="25" s="1"/>
  <c r="AB103" i="25"/>
  <c r="AW103" i="25" s="1"/>
  <c r="AC103" i="25"/>
  <c r="AX103" i="25" s="1"/>
  <c r="AD103" i="25"/>
  <c r="AY103" i="25" s="1"/>
  <c r="AE103" i="25"/>
  <c r="AZ103" i="25" s="1"/>
  <c r="AF103" i="25"/>
  <c r="BA103" i="25" s="1"/>
  <c r="AG103" i="25"/>
  <c r="BB103" i="25" s="1"/>
  <c r="AH103" i="25"/>
  <c r="BC103" i="25" s="1"/>
  <c r="AI103" i="25"/>
  <c r="BD103" i="25" s="1"/>
  <c r="AJ103" i="25"/>
  <c r="BE103" i="25" s="1"/>
  <c r="AK103" i="25"/>
  <c r="BF103" i="25" s="1"/>
  <c r="AL103" i="25"/>
  <c r="BG103" i="25" s="1"/>
  <c r="AM103" i="25"/>
  <c r="BH103" i="25" s="1"/>
  <c r="AN103" i="25"/>
  <c r="BI103" i="25" s="1"/>
  <c r="AO103" i="25"/>
  <c r="BJ103" i="25" s="1"/>
  <c r="AP103" i="25"/>
  <c r="BK103" i="25" s="1"/>
  <c r="AQ103" i="25"/>
  <c r="BL103" i="25" s="1"/>
  <c r="AR103" i="25"/>
  <c r="BM103" i="25" s="1"/>
  <c r="Y104" i="25"/>
  <c r="AT104" i="25" s="1"/>
  <c r="AA104" i="25"/>
  <c r="AV104" i="25" s="1"/>
  <c r="AB104" i="25"/>
  <c r="AW104" i="25" s="1"/>
  <c r="AC104" i="25"/>
  <c r="AX104" i="25" s="1"/>
  <c r="AD104" i="25"/>
  <c r="AY104" i="25" s="1"/>
  <c r="AE104" i="25"/>
  <c r="AZ104" i="25" s="1"/>
  <c r="AF104" i="25"/>
  <c r="BA104" i="25" s="1"/>
  <c r="AG104" i="25"/>
  <c r="BB104" i="25" s="1"/>
  <c r="AH104" i="25"/>
  <c r="BC104" i="25" s="1"/>
  <c r="AI104" i="25"/>
  <c r="BD104" i="25" s="1"/>
  <c r="AJ104" i="25"/>
  <c r="BE104" i="25" s="1"/>
  <c r="AK104" i="25"/>
  <c r="BF104" i="25" s="1"/>
  <c r="AL104" i="25"/>
  <c r="BG104" i="25" s="1"/>
  <c r="AM104" i="25"/>
  <c r="BH104" i="25" s="1"/>
  <c r="AN104" i="25"/>
  <c r="BI104" i="25" s="1"/>
  <c r="AO104" i="25"/>
  <c r="BJ104" i="25" s="1"/>
  <c r="AP104" i="25"/>
  <c r="BK104" i="25" s="1"/>
  <c r="AQ104" i="25"/>
  <c r="BL104" i="25" s="1"/>
  <c r="AR104" i="25"/>
  <c r="BM104" i="25" s="1"/>
  <c r="Y105" i="25"/>
  <c r="AT105" i="25" s="1"/>
  <c r="AA105" i="25"/>
  <c r="AV105" i="25" s="1"/>
  <c r="AB105" i="25"/>
  <c r="AW105" i="25" s="1"/>
  <c r="AC105" i="25"/>
  <c r="AX105" i="25" s="1"/>
  <c r="AD105" i="25"/>
  <c r="AY105" i="25" s="1"/>
  <c r="AE105" i="25"/>
  <c r="AZ105" i="25" s="1"/>
  <c r="AF105" i="25"/>
  <c r="BA105" i="25" s="1"/>
  <c r="AG105" i="25"/>
  <c r="BB105" i="25" s="1"/>
  <c r="AH105" i="25"/>
  <c r="BC105" i="25" s="1"/>
  <c r="AI105" i="25"/>
  <c r="BD105" i="25" s="1"/>
  <c r="AJ105" i="25"/>
  <c r="BE105" i="25" s="1"/>
  <c r="AK105" i="25"/>
  <c r="BF105" i="25" s="1"/>
  <c r="AL105" i="25"/>
  <c r="BG105" i="25" s="1"/>
  <c r="AM105" i="25"/>
  <c r="BH105" i="25" s="1"/>
  <c r="AN105" i="25"/>
  <c r="BI105" i="25" s="1"/>
  <c r="AO105" i="25"/>
  <c r="BJ105" i="25" s="1"/>
  <c r="AP105" i="25"/>
  <c r="BK105" i="25" s="1"/>
  <c r="AQ105" i="25"/>
  <c r="BL105" i="25" s="1"/>
  <c r="AR105" i="25"/>
  <c r="BM105" i="25" s="1"/>
  <c r="Y106" i="25"/>
  <c r="AT106" i="25" s="1"/>
  <c r="AA106" i="25"/>
  <c r="AV106" i="25" s="1"/>
  <c r="AB106" i="25"/>
  <c r="AW106" i="25" s="1"/>
  <c r="AC106" i="25"/>
  <c r="AX106" i="25" s="1"/>
  <c r="AD106" i="25"/>
  <c r="AY106" i="25" s="1"/>
  <c r="AE106" i="25"/>
  <c r="AZ106" i="25" s="1"/>
  <c r="AF106" i="25"/>
  <c r="BA106" i="25" s="1"/>
  <c r="AG106" i="25"/>
  <c r="BB106" i="25" s="1"/>
  <c r="AH106" i="25"/>
  <c r="BC106" i="25" s="1"/>
  <c r="AI106" i="25"/>
  <c r="BD106" i="25" s="1"/>
  <c r="AJ106" i="25"/>
  <c r="BE106" i="25" s="1"/>
  <c r="AK106" i="25"/>
  <c r="BF106" i="25" s="1"/>
  <c r="AL106" i="25"/>
  <c r="BG106" i="25" s="1"/>
  <c r="AM106" i="25"/>
  <c r="BH106" i="25" s="1"/>
  <c r="AN106" i="25"/>
  <c r="BI106" i="25" s="1"/>
  <c r="AO106" i="25"/>
  <c r="BJ106" i="25" s="1"/>
  <c r="AP106" i="25"/>
  <c r="BK106" i="25" s="1"/>
  <c r="AQ106" i="25"/>
  <c r="BL106" i="25" s="1"/>
  <c r="AR106" i="25"/>
  <c r="BM106" i="25" s="1"/>
  <c r="Y107" i="25"/>
  <c r="AT107" i="25" s="1"/>
  <c r="AA107" i="25"/>
  <c r="AV107" i="25" s="1"/>
  <c r="AB107" i="25"/>
  <c r="AW107" i="25" s="1"/>
  <c r="AC107" i="25"/>
  <c r="AX107" i="25" s="1"/>
  <c r="AD107" i="25"/>
  <c r="AY107" i="25" s="1"/>
  <c r="AE107" i="25"/>
  <c r="AZ107" i="25" s="1"/>
  <c r="AF107" i="25"/>
  <c r="BA107" i="25" s="1"/>
  <c r="AG107" i="25"/>
  <c r="BB107" i="25" s="1"/>
  <c r="AH107" i="25"/>
  <c r="BC107" i="25" s="1"/>
  <c r="AI107" i="25"/>
  <c r="BD107" i="25" s="1"/>
  <c r="AJ107" i="25"/>
  <c r="BE107" i="25" s="1"/>
  <c r="AK107" i="25"/>
  <c r="BF107" i="25" s="1"/>
  <c r="AL107" i="25"/>
  <c r="BG107" i="25" s="1"/>
  <c r="AM107" i="25"/>
  <c r="BH107" i="25" s="1"/>
  <c r="AN107" i="25"/>
  <c r="BI107" i="25" s="1"/>
  <c r="AO107" i="25"/>
  <c r="BJ107" i="25" s="1"/>
  <c r="AP107" i="25"/>
  <c r="BK107" i="25" s="1"/>
  <c r="AQ107" i="25"/>
  <c r="BL107" i="25" s="1"/>
  <c r="AR107" i="25"/>
  <c r="BM107" i="25" s="1"/>
  <c r="Y108" i="25"/>
  <c r="AT108" i="25" s="1"/>
  <c r="AA108" i="25"/>
  <c r="AV108" i="25" s="1"/>
  <c r="AB108" i="25"/>
  <c r="AW108" i="25" s="1"/>
  <c r="AC108" i="25"/>
  <c r="AX108" i="25" s="1"/>
  <c r="AD108" i="25"/>
  <c r="AY108" i="25" s="1"/>
  <c r="AE108" i="25"/>
  <c r="AF108" i="25"/>
  <c r="BA108" i="25" s="1"/>
  <c r="AG108" i="25"/>
  <c r="BB108" i="25" s="1"/>
  <c r="AH108" i="25"/>
  <c r="BC108" i="25" s="1"/>
  <c r="AI108" i="25"/>
  <c r="BD108" i="25" s="1"/>
  <c r="AJ108" i="25"/>
  <c r="BE108" i="25" s="1"/>
  <c r="AK108" i="25"/>
  <c r="BF108" i="25" s="1"/>
  <c r="AL108" i="25"/>
  <c r="BG108" i="25" s="1"/>
  <c r="AM108" i="25"/>
  <c r="BH108" i="25" s="1"/>
  <c r="AN108" i="25"/>
  <c r="BI108" i="25" s="1"/>
  <c r="AO108" i="25"/>
  <c r="BJ108" i="25" s="1"/>
  <c r="AP108" i="25"/>
  <c r="BK108" i="25" s="1"/>
  <c r="AQ108" i="25"/>
  <c r="BL108" i="25" s="1"/>
  <c r="AR108" i="25"/>
  <c r="BM108" i="25" s="1"/>
  <c r="Y109" i="25"/>
  <c r="AT109" i="25" s="1"/>
  <c r="AA109" i="25"/>
  <c r="AV109" i="25" s="1"/>
  <c r="AB109" i="25"/>
  <c r="AW109" i="25" s="1"/>
  <c r="AC109" i="25"/>
  <c r="AX109" i="25" s="1"/>
  <c r="AD109" i="25"/>
  <c r="AY109" i="25" s="1"/>
  <c r="AE109" i="25"/>
  <c r="AZ109" i="25" s="1"/>
  <c r="AF109" i="25"/>
  <c r="BA109" i="25" s="1"/>
  <c r="AG109" i="25"/>
  <c r="BB109" i="25" s="1"/>
  <c r="AH109" i="25"/>
  <c r="BC109" i="25" s="1"/>
  <c r="AI109" i="25"/>
  <c r="BD109" i="25" s="1"/>
  <c r="AJ109" i="25"/>
  <c r="BE109" i="25" s="1"/>
  <c r="AK109" i="25"/>
  <c r="BF109" i="25" s="1"/>
  <c r="AL109" i="25"/>
  <c r="BG109" i="25" s="1"/>
  <c r="AM109" i="25"/>
  <c r="BH109" i="25" s="1"/>
  <c r="AN109" i="25"/>
  <c r="BI109" i="25" s="1"/>
  <c r="AO109" i="25"/>
  <c r="BJ109" i="25" s="1"/>
  <c r="AP109" i="25"/>
  <c r="BK109" i="25" s="1"/>
  <c r="AQ109" i="25"/>
  <c r="BL109" i="25" s="1"/>
  <c r="AR109" i="25"/>
  <c r="BM109" i="25" s="1"/>
  <c r="Y110" i="25"/>
  <c r="AT110" i="25" s="1"/>
  <c r="AA110" i="25"/>
  <c r="AV110" i="25" s="1"/>
  <c r="AB110" i="25"/>
  <c r="AW110" i="25" s="1"/>
  <c r="AC110" i="25"/>
  <c r="AX110" i="25" s="1"/>
  <c r="AD110" i="25"/>
  <c r="AY110" i="25" s="1"/>
  <c r="AE110" i="25"/>
  <c r="AZ110" i="25" s="1"/>
  <c r="AF110" i="25"/>
  <c r="BA110" i="25" s="1"/>
  <c r="AG110" i="25"/>
  <c r="BB110" i="25" s="1"/>
  <c r="AH110" i="25"/>
  <c r="BC110" i="25" s="1"/>
  <c r="AI110" i="25"/>
  <c r="BD110" i="25" s="1"/>
  <c r="AJ110" i="25"/>
  <c r="BE110" i="25" s="1"/>
  <c r="AK110" i="25"/>
  <c r="BF110" i="25" s="1"/>
  <c r="AL110" i="25"/>
  <c r="BG110" i="25" s="1"/>
  <c r="AM110" i="25"/>
  <c r="BH110" i="25" s="1"/>
  <c r="AN110" i="25"/>
  <c r="BI110" i="25" s="1"/>
  <c r="AO110" i="25"/>
  <c r="BJ110" i="25" s="1"/>
  <c r="AP110" i="25"/>
  <c r="BK110" i="25" s="1"/>
  <c r="AQ110" i="25"/>
  <c r="BL110" i="25" s="1"/>
  <c r="AR110" i="25"/>
  <c r="BM110" i="25" s="1"/>
  <c r="Y111" i="25"/>
  <c r="AT111" i="25" s="1"/>
  <c r="AA111" i="25"/>
  <c r="AV111" i="25" s="1"/>
  <c r="AB111" i="25"/>
  <c r="AW111" i="25" s="1"/>
  <c r="AC111" i="25"/>
  <c r="AX111" i="25" s="1"/>
  <c r="AD111" i="25"/>
  <c r="AY111" i="25" s="1"/>
  <c r="AE111" i="25"/>
  <c r="AZ111" i="25" s="1"/>
  <c r="AF111" i="25"/>
  <c r="BA111" i="25" s="1"/>
  <c r="AG111" i="25"/>
  <c r="BB111" i="25" s="1"/>
  <c r="AH111" i="25"/>
  <c r="AI111" i="25"/>
  <c r="BD111" i="25" s="1"/>
  <c r="AJ111" i="25"/>
  <c r="BE111" i="25" s="1"/>
  <c r="AK111" i="25"/>
  <c r="BF111" i="25" s="1"/>
  <c r="AL111" i="25"/>
  <c r="BG111" i="25" s="1"/>
  <c r="AM111" i="25"/>
  <c r="BH111" i="25" s="1"/>
  <c r="AN111" i="25"/>
  <c r="BI111" i="25" s="1"/>
  <c r="AO111" i="25"/>
  <c r="BJ111" i="25" s="1"/>
  <c r="AP111" i="25"/>
  <c r="BK111" i="25" s="1"/>
  <c r="AQ111" i="25"/>
  <c r="BL111" i="25" s="1"/>
  <c r="AR111" i="25"/>
  <c r="BM111" i="25" s="1"/>
  <c r="Y112" i="25"/>
  <c r="AT112" i="25" s="1"/>
  <c r="AA112" i="25"/>
  <c r="AV112" i="25" s="1"/>
  <c r="AB112" i="25"/>
  <c r="AW112" i="25" s="1"/>
  <c r="AC112" i="25"/>
  <c r="AX112" i="25" s="1"/>
  <c r="AD112" i="25"/>
  <c r="AY112" i="25" s="1"/>
  <c r="AE112" i="25"/>
  <c r="AZ112" i="25" s="1"/>
  <c r="AF112" i="25"/>
  <c r="BA112" i="25" s="1"/>
  <c r="AG112" i="25"/>
  <c r="BB112" i="25" s="1"/>
  <c r="AH112" i="25"/>
  <c r="BC112" i="25" s="1"/>
  <c r="AI112" i="25"/>
  <c r="BD112" i="25" s="1"/>
  <c r="AJ112" i="25"/>
  <c r="BE112" i="25" s="1"/>
  <c r="AK112" i="25"/>
  <c r="BF112" i="25" s="1"/>
  <c r="AL112" i="25"/>
  <c r="BG112" i="25" s="1"/>
  <c r="AM112" i="25"/>
  <c r="BH112" i="25" s="1"/>
  <c r="AN112" i="25"/>
  <c r="BI112" i="25" s="1"/>
  <c r="AO112" i="25"/>
  <c r="BJ112" i="25" s="1"/>
  <c r="AP112" i="25"/>
  <c r="BK112" i="25" s="1"/>
  <c r="AQ112" i="25"/>
  <c r="BL112" i="25" s="1"/>
  <c r="AR112" i="25"/>
  <c r="BM112" i="25" s="1"/>
  <c r="Y3" i="25"/>
  <c r="AT3" i="25" s="1"/>
  <c r="Z3" i="25"/>
  <c r="AU3" i="25" s="1"/>
  <c r="Y4" i="25"/>
  <c r="AT4" i="25" s="1"/>
  <c r="Z4" i="25"/>
  <c r="AU4" i="25" s="1"/>
  <c r="Y5" i="25"/>
  <c r="AT5" i="25" s="1"/>
  <c r="Z5" i="25"/>
  <c r="AU5" i="25" s="1"/>
  <c r="Y6" i="25"/>
  <c r="AT6" i="25" s="1"/>
  <c r="Z6" i="25"/>
  <c r="AU6" i="25" s="1"/>
  <c r="Y7" i="25"/>
  <c r="AT7" i="25" s="1"/>
  <c r="Z7" i="25"/>
  <c r="AU7" i="25" s="1"/>
  <c r="Y8" i="25"/>
  <c r="AT8" i="25" s="1"/>
  <c r="Z8" i="25"/>
  <c r="AU8" i="25" s="1"/>
  <c r="Y9" i="25"/>
  <c r="AT9" i="25" s="1"/>
  <c r="Z9" i="25"/>
  <c r="AU9" i="25" s="1"/>
  <c r="Y10" i="25"/>
  <c r="AT10" i="25" s="1"/>
  <c r="Z10" i="25"/>
  <c r="AU10" i="25" s="1"/>
  <c r="Y11" i="25"/>
  <c r="AT11" i="25" s="1"/>
  <c r="Z11" i="25"/>
  <c r="AU11" i="25" s="1"/>
  <c r="Y12" i="25"/>
  <c r="AT12" i="25" s="1"/>
  <c r="Z12" i="25"/>
  <c r="AU12" i="25" s="1"/>
  <c r="Y13" i="25"/>
  <c r="AT13" i="25" s="1"/>
  <c r="Z13" i="25"/>
  <c r="AU13" i="25" s="1"/>
  <c r="AT14" i="25"/>
  <c r="AV14" i="25"/>
  <c r="AW14" i="25"/>
  <c r="AY14" i="25"/>
  <c r="BA14" i="25"/>
  <c r="BB14" i="25"/>
  <c r="BD14" i="25"/>
  <c r="BF14" i="25"/>
  <c r="BG14" i="25"/>
  <c r="BH14" i="25"/>
  <c r="BI14" i="25"/>
  <c r="BJ14" i="25"/>
  <c r="BK14" i="25"/>
  <c r="BL14" i="25"/>
  <c r="AT15" i="25"/>
  <c r="AV15" i="25"/>
  <c r="AX15" i="25"/>
  <c r="AY15" i="25"/>
  <c r="BA15" i="25"/>
  <c r="BB15" i="25"/>
  <c r="BE15" i="25"/>
  <c r="BF15" i="25"/>
  <c r="BG15" i="25"/>
  <c r="BH15" i="25"/>
  <c r="BI15" i="25"/>
  <c r="BJ15" i="25"/>
  <c r="BK15" i="25"/>
  <c r="BL15" i="25"/>
  <c r="Y3" i="24"/>
  <c r="AT3" i="24" s="1"/>
  <c r="Y4" i="24"/>
  <c r="AT4" i="24" s="1"/>
  <c r="Y5" i="24"/>
  <c r="AT5" i="24" s="1"/>
  <c r="Y6" i="24"/>
  <c r="AT6" i="24" s="1"/>
  <c r="Y7" i="24"/>
  <c r="AT7" i="24" s="1"/>
  <c r="Y8" i="24"/>
  <c r="Y9" i="24"/>
  <c r="AT9" i="24" s="1"/>
  <c r="Y10" i="24"/>
  <c r="AT10" i="24" s="1"/>
  <c r="Y11" i="24"/>
  <c r="AT11" i="24" s="1"/>
  <c r="Y12" i="24"/>
  <c r="AT12" i="24" s="1"/>
  <c r="Y13" i="24"/>
  <c r="AT13" i="24" s="1"/>
  <c r="AT14" i="24"/>
  <c r="AV14" i="24"/>
  <c r="AW14" i="24"/>
  <c r="AY14" i="24"/>
  <c r="AZ14" i="24"/>
  <c r="BB14" i="24"/>
  <c r="BC14" i="24"/>
  <c r="BE14" i="24"/>
  <c r="BG14" i="24"/>
  <c r="BH14" i="24"/>
  <c r="BI14" i="24"/>
  <c r="BK14" i="24"/>
  <c r="BL14" i="24"/>
  <c r="BM14" i="24"/>
  <c r="AT15" i="24"/>
  <c r="AV15" i="24"/>
  <c r="AX15" i="24"/>
  <c r="BA15" i="24"/>
  <c r="BB15" i="24"/>
  <c r="BD15" i="24"/>
  <c r="BE15" i="24"/>
  <c r="BF15" i="24"/>
  <c r="BG15" i="24"/>
  <c r="BH15" i="24"/>
  <c r="BJ15" i="24"/>
  <c r="BL15" i="24"/>
  <c r="BM15" i="24"/>
  <c r="Y17" i="24"/>
  <c r="AT17" i="24" s="1"/>
  <c r="AA17" i="24"/>
  <c r="AV17" i="24" s="1"/>
  <c r="AB17" i="24"/>
  <c r="AW17" i="24" s="1"/>
  <c r="AC17" i="24"/>
  <c r="AX17" i="24" s="1"/>
  <c r="AD17" i="24"/>
  <c r="AY17" i="24" s="1"/>
  <c r="AE17" i="24"/>
  <c r="AZ17" i="24" s="1"/>
  <c r="AF17" i="24"/>
  <c r="BA17" i="24" s="1"/>
  <c r="AG17" i="24"/>
  <c r="BB17" i="24" s="1"/>
  <c r="AH17" i="24"/>
  <c r="BC17" i="24" s="1"/>
  <c r="AI17" i="24"/>
  <c r="BD17" i="24" s="1"/>
  <c r="AJ17" i="24"/>
  <c r="BE17" i="24" s="1"/>
  <c r="AK17" i="24"/>
  <c r="BF17" i="24" s="1"/>
  <c r="AL17" i="24"/>
  <c r="BG17" i="24" s="1"/>
  <c r="AM17" i="24"/>
  <c r="AN17" i="24"/>
  <c r="BI17" i="24" s="1"/>
  <c r="AO17" i="24"/>
  <c r="BJ17" i="24" s="1"/>
  <c r="AP17" i="24"/>
  <c r="BK17" i="24" s="1"/>
  <c r="AQ17" i="24"/>
  <c r="BL17" i="24" s="1"/>
  <c r="AR17" i="24"/>
  <c r="BM17" i="24" s="1"/>
  <c r="Y18" i="24"/>
  <c r="AT18" i="24" s="1"/>
  <c r="AA18" i="24"/>
  <c r="AV18" i="24" s="1"/>
  <c r="AB18" i="24"/>
  <c r="AW18" i="24" s="1"/>
  <c r="AC18" i="24"/>
  <c r="AX18" i="24" s="1"/>
  <c r="AD18" i="24"/>
  <c r="AY18" i="24" s="1"/>
  <c r="AE18" i="24"/>
  <c r="AZ18" i="24" s="1"/>
  <c r="AF18" i="24"/>
  <c r="BA18" i="24" s="1"/>
  <c r="AG18" i="24"/>
  <c r="BB18" i="24" s="1"/>
  <c r="AH18" i="24"/>
  <c r="BC18" i="24" s="1"/>
  <c r="AI18" i="24"/>
  <c r="BD18" i="24" s="1"/>
  <c r="AJ18" i="24"/>
  <c r="BE18" i="24" s="1"/>
  <c r="AK18" i="24"/>
  <c r="BF18" i="24" s="1"/>
  <c r="AL18" i="24"/>
  <c r="BG18" i="24" s="1"/>
  <c r="AM18" i="24"/>
  <c r="BH18" i="24" s="1"/>
  <c r="AN18" i="24"/>
  <c r="BI18" i="24" s="1"/>
  <c r="AO18" i="24"/>
  <c r="BJ18" i="24" s="1"/>
  <c r="AP18" i="24"/>
  <c r="BK18" i="24" s="1"/>
  <c r="AQ18" i="24"/>
  <c r="BL18" i="24" s="1"/>
  <c r="AR18" i="24"/>
  <c r="BM18" i="24" s="1"/>
  <c r="Y19" i="24"/>
  <c r="AT19" i="24" s="1"/>
  <c r="AA19" i="24"/>
  <c r="AV19" i="24" s="1"/>
  <c r="AB19" i="24"/>
  <c r="AW19" i="24" s="1"/>
  <c r="AC19" i="24"/>
  <c r="AX19" i="24" s="1"/>
  <c r="AD19" i="24"/>
  <c r="AY19" i="24" s="1"/>
  <c r="AE19" i="24"/>
  <c r="AZ19" i="24" s="1"/>
  <c r="AF19" i="24"/>
  <c r="BA19" i="24" s="1"/>
  <c r="AG19" i="24"/>
  <c r="BB19" i="24" s="1"/>
  <c r="AH19" i="24"/>
  <c r="BC19" i="24" s="1"/>
  <c r="AI19" i="24"/>
  <c r="BD19" i="24" s="1"/>
  <c r="AJ19" i="24"/>
  <c r="BE19" i="24" s="1"/>
  <c r="AK19" i="24"/>
  <c r="BF19" i="24" s="1"/>
  <c r="AL19" i="24"/>
  <c r="BG19" i="24" s="1"/>
  <c r="AM19" i="24"/>
  <c r="BH19" i="24" s="1"/>
  <c r="AN19" i="24"/>
  <c r="BI19" i="24" s="1"/>
  <c r="AO19" i="24"/>
  <c r="BJ19" i="24" s="1"/>
  <c r="AP19" i="24"/>
  <c r="BK19" i="24" s="1"/>
  <c r="AQ19" i="24"/>
  <c r="BL19" i="24" s="1"/>
  <c r="AR19" i="24"/>
  <c r="BM19" i="24" s="1"/>
  <c r="Y20" i="24"/>
  <c r="AT20" i="24" s="1"/>
  <c r="AA20" i="24"/>
  <c r="AV20" i="24" s="1"/>
  <c r="AB20" i="24"/>
  <c r="AW20" i="24" s="1"/>
  <c r="AC20" i="24"/>
  <c r="AX20" i="24" s="1"/>
  <c r="AD20" i="24"/>
  <c r="AE20" i="24"/>
  <c r="AZ20" i="24" s="1"/>
  <c r="AF20" i="24"/>
  <c r="BA20" i="24" s="1"/>
  <c r="AG20" i="24"/>
  <c r="BB20" i="24" s="1"/>
  <c r="AH20" i="24"/>
  <c r="BC20" i="24" s="1"/>
  <c r="AI20" i="24"/>
  <c r="BD20" i="24" s="1"/>
  <c r="AJ20" i="24"/>
  <c r="BE20" i="24" s="1"/>
  <c r="AK20" i="24"/>
  <c r="BF20" i="24" s="1"/>
  <c r="AL20" i="24"/>
  <c r="BG20" i="24" s="1"/>
  <c r="AM20" i="24"/>
  <c r="BH20" i="24" s="1"/>
  <c r="AN20" i="24"/>
  <c r="BI20" i="24" s="1"/>
  <c r="AO20" i="24"/>
  <c r="BJ20" i="24" s="1"/>
  <c r="AP20" i="24"/>
  <c r="BK20" i="24" s="1"/>
  <c r="AQ20" i="24"/>
  <c r="BL20" i="24" s="1"/>
  <c r="AR20" i="24"/>
  <c r="BM20" i="24" s="1"/>
  <c r="Y21" i="24"/>
  <c r="AT21" i="24" s="1"/>
  <c r="AA21" i="24"/>
  <c r="AV21" i="24" s="1"/>
  <c r="AB21" i="24"/>
  <c r="AW21" i="24" s="1"/>
  <c r="AC21" i="24"/>
  <c r="AX21" i="24" s="1"/>
  <c r="AD21" i="24"/>
  <c r="AY21" i="24" s="1"/>
  <c r="AE21" i="24"/>
  <c r="AZ21" i="24" s="1"/>
  <c r="AF21" i="24"/>
  <c r="BA21" i="24" s="1"/>
  <c r="AG21" i="24"/>
  <c r="BB21" i="24" s="1"/>
  <c r="AH21" i="24"/>
  <c r="BC21" i="24" s="1"/>
  <c r="AI21" i="24"/>
  <c r="BD21" i="24" s="1"/>
  <c r="AJ21" i="24"/>
  <c r="BE21" i="24" s="1"/>
  <c r="AK21" i="24"/>
  <c r="BF21" i="24" s="1"/>
  <c r="AL21" i="24"/>
  <c r="BG21" i="24" s="1"/>
  <c r="AM21" i="24"/>
  <c r="BH21" i="24" s="1"/>
  <c r="AN21" i="24"/>
  <c r="BI21" i="24" s="1"/>
  <c r="AO21" i="24"/>
  <c r="BJ21" i="24" s="1"/>
  <c r="AP21" i="24"/>
  <c r="BK21" i="24" s="1"/>
  <c r="AQ21" i="24"/>
  <c r="BL21" i="24" s="1"/>
  <c r="AR21" i="24"/>
  <c r="BM21" i="24" s="1"/>
  <c r="Y22" i="24"/>
  <c r="AT22" i="24" s="1"/>
  <c r="AA22" i="24"/>
  <c r="AV22" i="24" s="1"/>
  <c r="AB22" i="24"/>
  <c r="AC22" i="24"/>
  <c r="AX22" i="24" s="1"/>
  <c r="AD22" i="24"/>
  <c r="AY22" i="24" s="1"/>
  <c r="AE22" i="24"/>
  <c r="AZ22" i="24" s="1"/>
  <c r="AF22" i="24"/>
  <c r="BA22" i="24" s="1"/>
  <c r="AG22" i="24"/>
  <c r="BB22" i="24" s="1"/>
  <c r="AH22" i="24"/>
  <c r="BC22" i="24" s="1"/>
  <c r="AI22" i="24"/>
  <c r="BD22" i="24" s="1"/>
  <c r="AJ22" i="24"/>
  <c r="BE22" i="24" s="1"/>
  <c r="AK22" i="24"/>
  <c r="BF22" i="24" s="1"/>
  <c r="AL22" i="24"/>
  <c r="BG22" i="24" s="1"/>
  <c r="AM22" i="24"/>
  <c r="BH22" i="24" s="1"/>
  <c r="AN22" i="24"/>
  <c r="BI22" i="24" s="1"/>
  <c r="AO22" i="24"/>
  <c r="BJ22" i="24" s="1"/>
  <c r="AP22" i="24"/>
  <c r="BK22" i="24" s="1"/>
  <c r="AQ22" i="24"/>
  <c r="BL22" i="24" s="1"/>
  <c r="AR22" i="24"/>
  <c r="BM22" i="24" s="1"/>
  <c r="Y23" i="24"/>
  <c r="AT23" i="24" s="1"/>
  <c r="AA23" i="24"/>
  <c r="AV23" i="24" s="1"/>
  <c r="AB23" i="24"/>
  <c r="AW23" i="24" s="1"/>
  <c r="AC23" i="24"/>
  <c r="AX23" i="24" s="1"/>
  <c r="AD23" i="24"/>
  <c r="AY23" i="24" s="1"/>
  <c r="AE23" i="24"/>
  <c r="AZ23" i="24" s="1"/>
  <c r="AF23" i="24"/>
  <c r="BA23" i="24" s="1"/>
  <c r="AG23" i="24"/>
  <c r="BB23" i="24" s="1"/>
  <c r="AH23" i="24"/>
  <c r="BC23" i="24" s="1"/>
  <c r="AI23" i="24"/>
  <c r="BD23" i="24" s="1"/>
  <c r="AJ23" i="24"/>
  <c r="BE23" i="24" s="1"/>
  <c r="AK23" i="24"/>
  <c r="BF23" i="24" s="1"/>
  <c r="AL23" i="24"/>
  <c r="BG23" i="24" s="1"/>
  <c r="AM23" i="24"/>
  <c r="BH23" i="24" s="1"/>
  <c r="AN23" i="24"/>
  <c r="BI23" i="24" s="1"/>
  <c r="AO23" i="24"/>
  <c r="BJ23" i="24" s="1"/>
  <c r="AP23" i="24"/>
  <c r="BK23" i="24" s="1"/>
  <c r="AQ23" i="24"/>
  <c r="BL23" i="24" s="1"/>
  <c r="AR23" i="24"/>
  <c r="BM23" i="24" s="1"/>
  <c r="Y24" i="24"/>
  <c r="AT24" i="24" s="1"/>
  <c r="AA24" i="24"/>
  <c r="AV24" i="24" s="1"/>
  <c r="AB24" i="24"/>
  <c r="AW24" i="24" s="1"/>
  <c r="AC24" i="24"/>
  <c r="AX24" i="24" s="1"/>
  <c r="AD24" i="24"/>
  <c r="AY24" i="24" s="1"/>
  <c r="AE24" i="24"/>
  <c r="AZ24" i="24" s="1"/>
  <c r="AF24" i="24"/>
  <c r="BA24" i="24" s="1"/>
  <c r="AG24" i="24"/>
  <c r="BB24" i="24" s="1"/>
  <c r="AH24" i="24"/>
  <c r="BC24" i="24" s="1"/>
  <c r="AI24" i="24"/>
  <c r="BD24" i="24" s="1"/>
  <c r="AJ24" i="24"/>
  <c r="BE24" i="24" s="1"/>
  <c r="AK24" i="24"/>
  <c r="BF24" i="24" s="1"/>
  <c r="AL24" i="24"/>
  <c r="BG24" i="24" s="1"/>
  <c r="AM24" i="24"/>
  <c r="BH24" i="24" s="1"/>
  <c r="AN24" i="24"/>
  <c r="BI24" i="24" s="1"/>
  <c r="AO24" i="24"/>
  <c r="BJ24" i="24" s="1"/>
  <c r="AP24" i="24"/>
  <c r="BK24" i="24" s="1"/>
  <c r="AQ24" i="24"/>
  <c r="BL24" i="24" s="1"/>
  <c r="AR24" i="24"/>
  <c r="BM24" i="24" s="1"/>
  <c r="Y25" i="24"/>
  <c r="AT25" i="24" s="1"/>
  <c r="AA25" i="24"/>
  <c r="AV25" i="24" s="1"/>
  <c r="AB25" i="24"/>
  <c r="AW25" i="24" s="1"/>
  <c r="AC25" i="24"/>
  <c r="AX25" i="24" s="1"/>
  <c r="AD25" i="24"/>
  <c r="AE25" i="24"/>
  <c r="AF25" i="24"/>
  <c r="BA25" i="24" s="1"/>
  <c r="AG25" i="24"/>
  <c r="BB25" i="24" s="1"/>
  <c r="AH25" i="24"/>
  <c r="BC25" i="24" s="1"/>
  <c r="AI25" i="24"/>
  <c r="BD25" i="24" s="1"/>
  <c r="AJ25" i="24"/>
  <c r="BE25" i="24" s="1"/>
  <c r="AK25" i="24"/>
  <c r="BF25" i="24" s="1"/>
  <c r="AL25" i="24"/>
  <c r="BG25" i="24" s="1"/>
  <c r="AM25" i="24"/>
  <c r="BH25" i="24" s="1"/>
  <c r="AN25" i="24"/>
  <c r="BI25" i="24" s="1"/>
  <c r="AO25" i="24"/>
  <c r="BJ25" i="24" s="1"/>
  <c r="AP25" i="24"/>
  <c r="BK25" i="24" s="1"/>
  <c r="AQ25" i="24"/>
  <c r="BL25" i="24" s="1"/>
  <c r="AR25" i="24"/>
  <c r="BM25" i="24" s="1"/>
  <c r="Y26" i="24"/>
  <c r="AT26" i="24" s="1"/>
  <c r="AA26" i="24"/>
  <c r="AV26" i="24" s="1"/>
  <c r="AB26" i="24"/>
  <c r="AW26" i="24" s="1"/>
  <c r="AC26" i="24"/>
  <c r="AX26" i="24" s="1"/>
  <c r="AD26" i="24"/>
  <c r="AY26" i="24" s="1"/>
  <c r="AE26" i="24"/>
  <c r="AZ26" i="24" s="1"/>
  <c r="AF26" i="24"/>
  <c r="BA26" i="24" s="1"/>
  <c r="AG26" i="24"/>
  <c r="BB26" i="24" s="1"/>
  <c r="AH26" i="24"/>
  <c r="BC26" i="24" s="1"/>
  <c r="AI26" i="24"/>
  <c r="BD26" i="24" s="1"/>
  <c r="AJ26" i="24"/>
  <c r="BE26" i="24" s="1"/>
  <c r="AK26" i="24"/>
  <c r="BF26" i="24" s="1"/>
  <c r="AL26" i="24"/>
  <c r="BG26" i="24" s="1"/>
  <c r="AM26" i="24"/>
  <c r="BH26" i="24" s="1"/>
  <c r="AN26" i="24"/>
  <c r="BI26" i="24" s="1"/>
  <c r="AO26" i="24"/>
  <c r="BJ26" i="24" s="1"/>
  <c r="AP26" i="24"/>
  <c r="BK26" i="24" s="1"/>
  <c r="AQ26" i="24"/>
  <c r="BL26" i="24" s="1"/>
  <c r="AR26" i="24"/>
  <c r="BM26" i="24" s="1"/>
  <c r="Y27" i="24"/>
  <c r="AT27" i="24" s="1"/>
  <c r="AA27" i="24"/>
  <c r="AV27" i="24" s="1"/>
  <c r="AB27" i="24"/>
  <c r="AW27" i="24" s="1"/>
  <c r="AC27" i="24"/>
  <c r="AX27" i="24" s="1"/>
  <c r="AD27" i="24"/>
  <c r="AY27" i="24" s="1"/>
  <c r="AE27" i="24"/>
  <c r="AZ27" i="24" s="1"/>
  <c r="AF27" i="24"/>
  <c r="BA27" i="24" s="1"/>
  <c r="AG27" i="24"/>
  <c r="BB27" i="24" s="1"/>
  <c r="AH27" i="24"/>
  <c r="BC27" i="24" s="1"/>
  <c r="AI27" i="24"/>
  <c r="BD27" i="24" s="1"/>
  <c r="AJ27" i="24"/>
  <c r="BE27" i="24" s="1"/>
  <c r="AK27" i="24"/>
  <c r="BF27" i="24" s="1"/>
  <c r="AL27" i="24"/>
  <c r="BG27" i="24" s="1"/>
  <c r="AM27" i="24"/>
  <c r="BH27" i="24" s="1"/>
  <c r="AN27" i="24"/>
  <c r="BI27" i="24" s="1"/>
  <c r="AO27" i="24"/>
  <c r="AP27" i="24"/>
  <c r="BK27" i="24" s="1"/>
  <c r="AQ27" i="24"/>
  <c r="BL27" i="24" s="1"/>
  <c r="AR27" i="24"/>
  <c r="BM27" i="24" s="1"/>
  <c r="Y28" i="24"/>
  <c r="AT28" i="24" s="1"/>
  <c r="AA28" i="24"/>
  <c r="AV28" i="24" s="1"/>
  <c r="AB28" i="24"/>
  <c r="AW28" i="24" s="1"/>
  <c r="AC28" i="24"/>
  <c r="AX28" i="24" s="1"/>
  <c r="AD28" i="24"/>
  <c r="AY28" i="24" s="1"/>
  <c r="AE28" i="24"/>
  <c r="AZ28" i="24" s="1"/>
  <c r="AF28" i="24"/>
  <c r="BA28" i="24" s="1"/>
  <c r="AG28" i="24"/>
  <c r="BB28" i="24" s="1"/>
  <c r="AH28" i="24"/>
  <c r="BC28" i="24" s="1"/>
  <c r="AI28" i="24"/>
  <c r="BD28" i="24" s="1"/>
  <c r="AJ28" i="24"/>
  <c r="BE28" i="24" s="1"/>
  <c r="AK28" i="24"/>
  <c r="BF28" i="24" s="1"/>
  <c r="AL28" i="24"/>
  <c r="BG28" i="24" s="1"/>
  <c r="AM28" i="24"/>
  <c r="BH28" i="24" s="1"/>
  <c r="AN28" i="24"/>
  <c r="BI28" i="24" s="1"/>
  <c r="AO28" i="24"/>
  <c r="BJ28" i="24" s="1"/>
  <c r="AP28" i="24"/>
  <c r="BK28" i="24" s="1"/>
  <c r="AQ28" i="24"/>
  <c r="BL28" i="24" s="1"/>
  <c r="AR28" i="24"/>
  <c r="BM28" i="24" s="1"/>
  <c r="Y29" i="24"/>
  <c r="AT29" i="24" s="1"/>
  <c r="AA29" i="24"/>
  <c r="AV29" i="24" s="1"/>
  <c r="AB29" i="24"/>
  <c r="AW29" i="24" s="1"/>
  <c r="AC29" i="24"/>
  <c r="AX29" i="24" s="1"/>
  <c r="AD29" i="24"/>
  <c r="AY29" i="24" s="1"/>
  <c r="AE29" i="24"/>
  <c r="AZ29" i="24" s="1"/>
  <c r="AF29" i="24"/>
  <c r="BA29" i="24" s="1"/>
  <c r="AG29" i="24"/>
  <c r="BB29" i="24" s="1"/>
  <c r="AH29" i="24"/>
  <c r="BC29" i="24" s="1"/>
  <c r="AI29" i="24"/>
  <c r="BD29" i="24" s="1"/>
  <c r="AJ29" i="24"/>
  <c r="BE29" i="24" s="1"/>
  <c r="AK29" i="24"/>
  <c r="BF29" i="24" s="1"/>
  <c r="AL29" i="24"/>
  <c r="BG29" i="24" s="1"/>
  <c r="AM29" i="24"/>
  <c r="AN29" i="24"/>
  <c r="BI29" i="24" s="1"/>
  <c r="AO29" i="24"/>
  <c r="BJ29" i="24" s="1"/>
  <c r="AP29" i="24"/>
  <c r="BK29" i="24" s="1"/>
  <c r="AQ29" i="24"/>
  <c r="BL29" i="24" s="1"/>
  <c r="AR29" i="24"/>
  <c r="BM29" i="24" s="1"/>
  <c r="Y30" i="24"/>
  <c r="AT30" i="24" s="1"/>
  <c r="AA30" i="24"/>
  <c r="AV30" i="24" s="1"/>
  <c r="AB30" i="24"/>
  <c r="AW30" i="24" s="1"/>
  <c r="AC30" i="24"/>
  <c r="AX30" i="24" s="1"/>
  <c r="AD30" i="24"/>
  <c r="AY30" i="24" s="1"/>
  <c r="AE30" i="24"/>
  <c r="AZ30" i="24" s="1"/>
  <c r="AF30" i="24"/>
  <c r="BA30" i="24" s="1"/>
  <c r="AG30" i="24"/>
  <c r="BB30" i="24" s="1"/>
  <c r="AH30" i="24"/>
  <c r="BC30" i="24" s="1"/>
  <c r="AI30" i="24"/>
  <c r="BD30" i="24" s="1"/>
  <c r="AJ30" i="24"/>
  <c r="BE30" i="24" s="1"/>
  <c r="AK30" i="24"/>
  <c r="BF30" i="24" s="1"/>
  <c r="AL30" i="24"/>
  <c r="BG30" i="24" s="1"/>
  <c r="AM30" i="24"/>
  <c r="BH30" i="24" s="1"/>
  <c r="AN30" i="24"/>
  <c r="BI30" i="24" s="1"/>
  <c r="AO30" i="24"/>
  <c r="BJ30" i="24" s="1"/>
  <c r="AP30" i="24"/>
  <c r="BK30" i="24" s="1"/>
  <c r="AQ30" i="24"/>
  <c r="BL30" i="24" s="1"/>
  <c r="AR30" i="24"/>
  <c r="BM30" i="24" s="1"/>
  <c r="Y31" i="24"/>
  <c r="AT31" i="24" s="1"/>
  <c r="AA31" i="24"/>
  <c r="AV31" i="24" s="1"/>
  <c r="AB31" i="24"/>
  <c r="AW31" i="24" s="1"/>
  <c r="AC31" i="24"/>
  <c r="AX31" i="24" s="1"/>
  <c r="AD31" i="24"/>
  <c r="AY31" i="24" s="1"/>
  <c r="AE31" i="24"/>
  <c r="AZ31" i="24" s="1"/>
  <c r="AF31" i="24"/>
  <c r="BA31" i="24" s="1"/>
  <c r="AG31" i="24"/>
  <c r="BB31" i="24" s="1"/>
  <c r="AH31" i="24"/>
  <c r="BC31" i="24" s="1"/>
  <c r="AI31" i="24"/>
  <c r="BD31" i="24" s="1"/>
  <c r="AJ31" i="24"/>
  <c r="BE31" i="24" s="1"/>
  <c r="AK31" i="24"/>
  <c r="BF31" i="24" s="1"/>
  <c r="AL31" i="24"/>
  <c r="BG31" i="24" s="1"/>
  <c r="AM31" i="24"/>
  <c r="BH31" i="24" s="1"/>
  <c r="AN31" i="24"/>
  <c r="BI31" i="24" s="1"/>
  <c r="AO31" i="24"/>
  <c r="BJ31" i="24" s="1"/>
  <c r="AP31" i="24"/>
  <c r="BK31" i="24" s="1"/>
  <c r="AQ31" i="24"/>
  <c r="BL31" i="24" s="1"/>
  <c r="AR31" i="24"/>
  <c r="BM31" i="24" s="1"/>
  <c r="Y32" i="24"/>
  <c r="AT32" i="24" s="1"/>
  <c r="AA32" i="24"/>
  <c r="AV32" i="24" s="1"/>
  <c r="AB32" i="24"/>
  <c r="AW32" i="24" s="1"/>
  <c r="AC32" i="24"/>
  <c r="AX32" i="24" s="1"/>
  <c r="AD32" i="24"/>
  <c r="AY32" i="24" s="1"/>
  <c r="AE32" i="24"/>
  <c r="AZ32" i="24" s="1"/>
  <c r="AF32" i="24"/>
  <c r="BA32" i="24" s="1"/>
  <c r="AG32" i="24"/>
  <c r="BB32" i="24" s="1"/>
  <c r="AH32" i="24"/>
  <c r="BC32" i="24" s="1"/>
  <c r="AI32" i="24"/>
  <c r="BD32" i="24" s="1"/>
  <c r="AJ32" i="24"/>
  <c r="BE32" i="24" s="1"/>
  <c r="AK32" i="24"/>
  <c r="BF32" i="24" s="1"/>
  <c r="AL32" i="24"/>
  <c r="BG32" i="24" s="1"/>
  <c r="AM32" i="24"/>
  <c r="BH32" i="24" s="1"/>
  <c r="AN32" i="24"/>
  <c r="BI32" i="24" s="1"/>
  <c r="AO32" i="24"/>
  <c r="BJ32" i="24" s="1"/>
  <c r="AP32" i="24"/>
  <c r="BK32" i="24" s="1"/>
  <c r="AQ32" i="24"/>
  <c r="BL32" i="24" s="1"/>
  <c r="AR32" i="24"/>
  <c r="BM32" i="24" s="1"/>
  <c r="Y33" i="24"/>
  <c r="AT33" i="24" s="1"/>
  <c r="AA33" i="24"/>
  <c r="AV33" i="24" s="1"/>
  <c r="AB33" i="24"/>
  <c r="AW33" i="24" s="1"/>
  <c r="AC33" i="24"/>
  <c r="AX33" i="24" s="1"/>
  <c r="AD33" i="24"/>
  <c r="AY33" i="24" s="1"/>
  <c r="AE33" i="24"/>
  <c r="AZ33" i="24" s="1"/>
  <c r="AF33" i="24"/>
  <c r="BA33" i="24" s="1"/>
  <c r="AG33" i="24"/>
  <c r="BB33" i="24" s="1"/>
  <c r="AH33" i="24"/>
  <c r="BC33" i="24" s="1"/>
  <c r="AI33" i="24"/>
  <c r="BD33" i="24" s="1"/>
  <c r="AJ33" i="24"/>
  <c r="BE33" i="24" s="1"/>
  <c r="AK33" i="24"/>
  <c r="BF33" i="24" s="1"/>
  <c r="AL33" i="24"/>
  <c r="BG33" i="24" s="1"/>
  <c r="AM33" i="24"/>
  <c r="BH33" i="24" s="1"/>
  <c r="AN33" i="24"/>
  <c r="BI33" i="24" s="1"/>
  <c r="AO33" i="24"/>
  <c r="BJ33" i="24" s="1"/>
  <c r="AP33" i="24"/>
  <c r="BK33" i="24" s="1"/>
  <c r="AQ33" i="24"/>
  <c r="BL33" i="24" s="1"/>
  <c r="AR33" i="24"/>
  <c r="BM33" i="24" s="1"/>
  <c r="Y34" i="24"/>
  <c r="AT34" i="24" s="1"/>
  <c r="AA34" i="24"/>
  <c r="AV34" i="24" s="1"/>
  <c r="AB34" i="24"/>
  <c r="AC34" i="24"/>
  <c r="AX34" i="24" s="1"/>
  <c r="AD34" i="24"/>
  <c r="AY34" i="24" s="1"/>
  <c r="AE34" i="24"/>
  <c r="AZ34" i="24" s="1"/>
  <c r="AF34" i="24"/>
  <c r="BA34" i="24" s="1"/>
  <c r="AG34" i="24"/>
  <c r="BB34" i="24" s="1"/>
  <c r="AH34" i="24"/>
  <c r="BC34" i="24" s="1"/>
  <c r="AI34" i="24"/>
  <c r="BD34" i="24" s="1"/>
  <c r="AJ34" i="24"/>
  <c r="BE34" i="24" s="1"/>
  <c r="AK34" i="24"/>
  <c r="BF34" i="24" s="1"/>
  <c r="AL34" i="24"/>
  <c r="BG34" i="24" s="1"/>
  <c r="AM34" i="24"/>
  <c r="BH34" i="24" s="1"/>
  <c r="AN34" i="24"/>
  <c r="BI34" i="24" s="1"/>
  <c r="AO34" i="24"/>
  <c r="BJ34" i="24" s="1"/>
  <c r="AP34" i="24"/>
  <c r="BK34" i="24" s="1"/>
  <c r="AQ34" i="24"/>
  <c r="BL34" i="24" s="1"/>
  <c r="AR34" i="24"/>
  <c r="BM34" i="24" s="1"/>
  <c r="Y35" i="24"/>
  <c r="AT35" i="24" s="1"/>
  <c r="AA35" i="24"/>
  <c r="AV35" i="24" s="1"/>
  <c r="AB35" i="24"/>
  <c r="AW35" i="24" s="1"/>
  <c r="AC35" i="24"/>
  <c r="AX35" i="24" s="1"/>
  <c r="AD35" i="24"/>
  <c r="AY35" i="24" s="1"/>
  <c r="AE35" i="24"/>
  <c r="AZ35" i="24" s="1"/>
  <c r="AF35" i="24"/>
  <c r="BA35" i="24" s="1"/>
  <c r="AG35" i="24"/>
  <c r="BB35" i="24" s="1"/>
  <c r="AH35" i="24"/>
  <c r="BC35" i="24" s="1"/>
  <c r="AI35" i="24"/>
  <c r="BD35" i="24" s="1"/>
  <c r="AJ35" i="24"/>
  <c r="BE35" i="24" s="1"/>
  <c r="AK35" i="24"/>
  <c r="BF35" i="24" s="1"/>
  <c r="AL35" i="24"/>
  <c r="BG35" i="24" s="1"/>
  <c r="AM35" i="24"/>
  <c r="BH35" i="24" s="1"/>
  <c r="AN35" i="24"/>
  <c r="BI35" i="24" s="1"/>
  <c r="AO35" i="24"/>
  <c r="BJ35" i="24" s="1"/>
  <c r="AP35" i="24"/>
  <c r="BK35" i="24" s="1"/>
  <c r="AQ35" i="24"/>
  <c r="BL35" i="24" s="1"/>
  <c r="AR35" i="24"/>
  <c r="BM35" i="24" s="1"/>
  <c r="Y36" i="24"/>
  <c r="AA36" i="24"/>
  <c r="AV36" i="24" s="1"/>
  <c r="AB36" i="24"/>
  <c r="AW36" i="24" s="1"/>
  <c r="AC36" i="24"/>
  <c r="AX36" i="24" s="1"/>
  <c r="AD36" i="24"/>
  <c r="AY36" i="24" s="1"/>
  <c r="AE36" i="24"/>
  <c r="AZ36" i="24" s="1"/>
  <c r="AF36" i="24"/>
  <c r="BA36" i="24" s="1"/>
  <c r="AG36" i="24"/>
  <c r="BB36" i="24" s="1"/>
  <c r="AH36" i="24"/>
  <c r="BC36" i="24" s="1"/>
  <c r="AI36" i="24"/>
  <c r="BD36" i="24" s="1"/>
  <c r="AJ36" i="24"/>
  <c r="BE36" i="24" s="1"/>
  <c r="AK36" i="24"/>
  <c r="BF36" i="24" s="1"/>
  <c r="AL36" i="24"/>
  <c r="AM36" i="24"/>
  <c r="BH36" i="24" s="1"/>
  <c r="AN36" i="24"/>
  <c r="BI36" i="24" s="1"/>
  <c r="AO36" i="24"/>
  <c r="BJ36" i="24" s="1"/>
  <c r="AP36" i="24"/>
  <c r="BK36" i="24" s="1"/>
  <c r="AQ36" i="24"/>
  <c r="BL36" i="24" s="1"/>
  <c r="AR36" i="24"/>
  <c r="BM36" i="24" s="1"/>
  <c r="Y37" i="24"/>
  <c r="AT37" i="24" s="1"/>
  <c r="AA37" i="24"/>
  <c r="AV37" i="24" s="1"/>
  <c r="AB37" i="24"/>
  <c r="AW37" i="24" s="1"/>
  <c r="AC37" i="24"/>
  <c r="AX37" i="24" s="1"/>
  <c r="AD37" i="24"/>
  <c r="AY37" i="24" s="1"/>
  <c r="AE37" i="24"/>
  <c r="AZ37" i="24" s="1"/>
  <c r="AF37" i="24"/>
  <c r="BA37" i="24" s="1"/>
  <c r="AG37" i="24"/>
  <c r="BB37" i="24" s="1"/>
  <c r="AH37" i="24"/>
  <c r="BC37" i="24" s="1"/>
  <c r="AI37" i="24"/>
  <c r="BD37" i="24" s="1"/>
  <c r="AJ37" i="24"/>
  <c r="BE37" i="24" s="1"/>
  <c r="AK37" i="24"/>
  <c r="BF37" i="24" s="1"/>
  <c r="AL37" i="24"/>
  <c r="BG37" i="24" s="1"/>
  <c r="AM37" i="24"/>
  <c r="BH37" i="24" s="1"/>
  <c r="AN37" i="24"/>
  <c r="BI37" i="24" s="1"/>
  <c r="AO37" i="24"/>
  <c r="BJ37" i="24" s="1"/>
  <c r="AP37" i="24"/>
  <c r="BK37" i="24" s="1"/>
  <c r="AQ37" i="24"/>
  <c r="BL37" i="24" s="1"/>
  <c r="AR37" i="24"/>
  <c r="BM37" i="24" s="1"/>
  <c r="Y38" i="24"/>
  <c r="AT38" i="24" s="1"/>
  <c r="AA38" i="24"/>
  <c r="AV38" i="24" s="1"/>
  <c r="AB38" i="24"/>
  <c r="AW38" i="24" s="1"/>
  <c r="AC38" i="24"/>
  <c r="AX38" i="24" s="1"/>
  <c r="AD38" i="24"/>
  <c r="AY38" i="24" s="1"/>
  <c r="AE38" i="24"/>
  <c r="AZ38" i="24" s="1"/>
  <c r="AF38" i="24"/>
  <c r="BA38" i="24" s="1"/>
  <c r="AG38" i="24"/>
  <c r="BB38" i="24" s="1"/>
  <c r="AH38" i="24"/>
  <c r="BC38" i="24" s="1"/>
  <c r="AI38" i="24"/>
  <c r="BD38" i="24" s="1"/>
  <c r="AJ38" i="24"/>
  <c r="BE38" i="24" s="1"/>
  <c r="AK38" i="24"/>
  <c r="BF38" i="24" s="1"/>
  <c r="AL38" i="24"/>
  <c r="BG38" i="24" s="1"/>
  <c r="AM38" i="24"/>
  <c r="BH38" i="24" s="1"/>
  <c r="AN38" i="24"/>
  <c r="BI38" i="24" s="1"/>
  <c r="AO38" i="24"/>
  <c r="BJ38" i="24" s="1"/>
  <c r="AP38" i="24"/>
  <c r="BK38" i="24" s="1"/>
  <c r="AQ38" i="24"/>
  <c r="BL38" i="24" s="1"/>
  <c r="AR38" i="24"/>
  <c r="BM38" i="24" s="1"/>
  <c r="Y39" i="24"/>
  <c r="AT39" i="24" s="1"/>
  <c r="AA39" i="24"/>
  <c r="AV39" i="24" s="1"/>
  <c r="AB39" i="24"/>
  <c r="AW39" i="24" s="1"/>
  <c r="AC39" i="24"/>
  <c r="AD39" i="24"/>
  <c r="AY39" i="24" s="1"/>
  <c r="AE39" i="24"/>
  <c r="AZ39" i="24" s="1"/>
  <c r="AF39" i="24"/>
  <c r="BA39" i="24" s="1"/>
  <c r="AG39" i="24"/>
  <c r="BB39" i="24" s="1"/>
  <c r="AH39" i="24"/>
  <c r="BC39" i="24" s="1"/>
  <c r="AI39" i="24"/>
  <c r="BD39" i="24" s="1"/>
  <c r="AJ39" i="24"/>
  <c r="BE39" i="24" s="1"/>
  <c r="AK39" i="24"/>
  <c r="BF39" i="24" s="1"/>
  <c r="AL39" i="24"/>
  <c r="BG39" i="24" s="1"/>
  <c r="AM39" i="24"/>
  <c r="BH39" i="24" s="1"/>
  <c r="AN39" i="24"/>
  <c r="BI39" i="24" s="1"/>
  <c r="AO39" i="24"/>
  <c r="BJ39" i="24" s="1"/>
  <c r="AP39" i="24"/>
  <c r="BK39" i="24" s="1"/>
  <c r="AQ39" i="24"/>
  <c r="BL39" i="24" s="1"/>
  <c r="AR39" i="24"/>
  <c r="BM39" i="24" s="1"/>
  <c r="Y40" i="24"/>
  <c r="AT40" i="24" s="1"/>
  <c r="AA40" i="24"/>
  <c r="AV40" i="24" s="1"/>
  <c r="AB40" i="24"/>
  <c r="AW40" i="24" s="1"/>
  <c r="AC40" i="24"/>
  <c r="AX40" i="24" s="1"/>
  <c r="AD40" i="24"/>
  <c r="AY40" i="24" s="1"/>
  <c r="AE40" i="24"/>
  <c r="AZ40" i="24" s="1"/>
  <c r="AF40" i="24"/>
  <c r="BA40" i="24" s="1"/>
  <c r="AG40" i="24"/>
  <c r="BB40" i="24" s="1"/>
  <c r="AH40" i="24"/>
  <c r="BC40" i="24" s="1"/>
  <c r="AI40" i="24"/>
  <c r="BD40" i="24" s="1"/>
  <c r="AJ40" i="24"/>
  <c r="BE40" i="24" s="1"/>
  <c r="AK40" i="24"/>
  <c r="BF40" i="24" s="1"/>
  <c r="AL40" i="24"/>
  <c r="BG40" i="24" s="1"/>
  <c r="AM40" i="24"/>
  <c r="BH40" i="24" s="1"/>
  <c r="AN40" i="24"/>
  <c r="BI40" i="24" s="1"/>
  <c r="AO40" i="24"/>
  <c r="BJ40" i="24" s="1"/>
  <c r="AP40" i="24"/>
  <c r="BK40" i="24" s="1"/>
  <c r="AQ40" i="24"/>
  <c r="BL40" i="24" s="1"/>
  <c r="AR40" i="24"/>
  <c r="BM40" i="24" s="1"/>
  <c r="Y41" i="24"/>
  <c r="AT41" i="24" s="1"/>
  <c r="AA41" i="24"/>
  <c r="AV41" i="24" s="1"/>
  <c r="AB41" i="24"/>
  <c r="AW41" i="24" s="1"/>
  <c r="AC41" i="24"/>
  <c r="AX41" i="24" s="1"/>
  <c r="AD41" i="24"/>
  <c r="AY41" i="24" s="1"/>
  <c r="AE41" i="24"/>
  <c r="AZ41" i="24" s="1"/>
  <c r="AF41" i="24"/>
  <c r="BA41" i="24" s="1"/>
  <c r="AG41" i="24"/>
  <c r="BB41" i="24" s="1"/>
  <c r="AH41" i="24"/>
  <c r="BC41" i="24" s="1"/>
  <c r="AI41" i="24"/>
  <c r="BD41" i="24" s="1"/>
  <c r="AJ41" i="24"/>
  <c r="BE41" i="24" s="1"/>
  <c r="AK41" i="24"/>
  <c r="BF41" i="24" s="1"/>
  <c r="AL41" i="24"/>
  <c r="BG41" i="24" s="1"/>
  <c r="AM41" i="24"/>
  <c r="BH41" i="24" s="1"/>
  <c r="AN41" i="24"/>
  <c r="BI41" i="24" s="1"/>
  <c r="AO41" i="24"/>
  <c r="BJ41" i="24" s="1"/>
  <c r="AP41" i="24"/>
  <c r="BK41" i="24" s="1"/>
  <c r="AQ41" i="24"/>
  <c r="BL41" i="24" s="1"/>
  <c r="AR41" i="24"/>
  <c r="BM41" i="24" s="1"/>
  <c r="Y42" i="24"/>
  <c r="AT42" i="24" s="1"/>
  <c r="AA42" i="24"/>
  <c r="AV42" i="24" s="1"/>
  <c r="AB42" i="24"/>
  <c r="AW42" i="24" s="1"/>
  <c r="AC42" i="24"/>
  <c r="AX42" i="24" s="1"/>
  <c r="AD42" i="24"/>
  <c r="AY42" i="24" s="1"/>
  <c r="AE42" i="24"/>
  <c r="AZ42" i="24" s="1"/>
  <c r="AF42" i="24"/>
  <c r="BA42" i="24" s="1"/>
  <c r="AG42" i="24"/>
  <c r="BB42" i="24" s="1"/>
  <c r="AH42" i="24"/>
  <c r="BC42" i="24" s="1"/>
  <c r="AI42" i="24"/>
  <c r="BD42" i="24" s="1"/>
  <c r="AJ42" i="24"/>
  <c r="BE42" i="24" s="1"/>
  <c r="AK42" i="24"/>
  <c r="BF42" i="24" s="1"/>
  <c r="AL42" i="24"/>
  <c r="BG42" i="24" s="1"/>
  <c r="AM42" i="24"/>
  <c r="BH42" i="24" s="1"/>
  <c r="AN42" i="24"/>
  <c r="BI42" i="24" s="1"/>
  <c r="AO42" i="24"/>
  <c r="BJ42" i="24" s="1"/>
  <c r="AP42" i="24"/>
  <c r="BK42" i="24" s="1"/>
  <c r="AQ42" i="24"/>
  <c r="BL42" i="24" s="1"/>
  <c r="AR42" i="24"/>
  <c r="BM42" i="24" s="1"/>
  <c r="Y43" i="24"/>
  <c r="AT43" i="24" s="1"/>
  <c r="AA43" i="24"/>
  <c r="AV43" i="24" s="1"/>
  <c r="AB43" i="24"/>
  <c r="AW43" i="24" s="1"/>
  <c r="AC43" i="24"/>
  <c r="AX43" i="24" s="1"/>
  <c r="AD43" i="24"/>
  <c r="AY43" i="24" s="1"/>
  <c r="AE43" i="24"/>
  <c r="AZ43" i="24" s="1"/>
  <c r="AF43" i="24"/>
  <c r="BA43" i="24" s="1"/>
  <c r="AG43" i="24"/>
  <c r="BB43" i="24" s="1"/>
  <c r="AH43" i="24"/>
  <c r="BC43" i="24" s="1"/>
  <c r="AI43" i="24"/>
  <c r="BD43" i="24" s="1"/>
  <c r="AJ43" i="24"/>
  <c r="BE43" i="24" s="1"/>
  <c r="AK43" i="24"/>
  <c r="BF43" i="24" s="1"/>
  <c r="AL43" i="24"/>
  <c r="BG43" i="24" s="1"/>
  <c r="AM43" i="24"/>
  <c r="BH43" i="24" s="1"/>
  <c r="AN43" i="24"/>
  <c r="BI43" i="24" s="1"/>
  <c r="AO43" i="24"/>
  <c r="BJ43" i="24" s="1"/>
  <c r="AP43" i="24"/>
  <c r="BK43" i="24" s="1"/>
  <c r="AQ43" i="24"/>
  <c r="BL43" i="24" s="1"/>
  <c r="AR43" i="24"/>
  <c r="BM43" i="24" s="1"/>
  <c r="Y44" i="24"/>
  <c r="AT44" i="24" s="1"/>
  <c r="AA44" i="24"/>
  <c r="AV44" i="24" s="1"/>
  <c r="AB44" i="24"/>
  <c r="AW44" i="24" s="1"/>
  <c r="AC44" i="24"/>
  <c r="AX44" i="24" s="1"/>
  <c r="AD44" i="24"/>
  <c r="AE44" i="24"/>
  <c r="AZ44" i="24" s="1"/>
  <c r="AF44" i="24"/>
  <c r="BA44" i="24" s="1"/>
  <c r="AG44" i="24"/>
  <c r="BB44" i="24" s="1"/>
  <c r="AH44" i="24"/>
  <c r="BC44" i="24" s="1"/>
  <c r="AI44" i="24"/>
  <c r="BD44" i="24" s="1"/>
  <c r="AJ44" i="24"/>
  <c r="BE44" i="24" s="1"/>
  <c r="AK44" i="24"/>
  <c r="BF44" i="24" s="1"/>
  <c r="AL44" i="24"/>
  <c r="BG44" i="24" s="1"/>
  <c r="AM44" i="24"/>
  <c r="BH44" i="24" s="1"/>
  <c r="AN44" i="24"/>
  <c r="BI44" i="24" s="1"/>
  <c r="AO44" i="24"/>
  <c r="BJ44" i="24" s="1"/>
  <c r="AP44" i="24"/>
  <c r="BK44" i="24" s="1"/>
  <c r="AQ44" i="24"/>
  <c r="BL44" i="24" s="1"/>
  <c r="AR44" i="24"/>
  <c r="BM44" i="24" s="1"/>
  <c r="Y45" i="24"/>
  <c r="AT45" i="24" s="1"/>
  <c r="AA45" i="24"/>
  <c r="AV45" i="24" s="1"/>
  <c r="AB45" i="24"/>
  <c r="AW45" i="24" s="1"/>
  <c r="AC45" i="24"/>
  <c r="AX45" i="24" s="1"/>
  <c r="AD45" i="24"/>
  <c r="AY45" i="24" s="1"/>
  <c r="AE45" i="24"/>
  <c r="AZ45" i="24" s="1"/>
  <c r="AF45" i="24"/>
  <c r="BA45" i="24" s="1"/>
  <c r="AG45" i="24"/>
  <c r="BB45" i="24" s="1"/>
  <c r="AH45" i="24"/>
  <c r="BC45" i="24" s="1"/>
  <c r="AI45" i="24"/>
  <c r="BD45" i="24" s="1"/>
  <c r="AJ45" i="24"/>
  <c r="BE45" i="24" s="1"/>
  <c r="AK45" i="24"/>
  <c r="BF45" i="24" s="1"/>
  <c r="AL45" i="24"/>
  <c r="BG45" i="24" s="1"/>
  <c r="AM45" i="24"/>
  <c r="BH45" i="24" s="1"/>
  <c r="AN45" i="24"/>
  <c r="BI45" i="24" s="1"/>
  <c r="AO45" i="24"/>
  <c r="BJ45" i="24" s="1"/>
  <c r="AP45" i="24"/>
  <c r="BK45" i="24" s="1"/>
  <c r="AQ45" i="24"/>
  <c r="BL45" i="24" s="1"/>
  <c r="AR45" i="24"/>
  <c r="BM45" i="24" s="1"/>
  <c r="Y46" i="24"/>
  <c r="AT46" i="24" s="1"/>
  <c r="AA46" i="24"/>
  <c r="AV46" i="24" s="1"/>
  <c r="AB46" i="24"/>
  <c r="AC46" i="24"/>
  <c r="AX46" i="24" s="1"/>
  <c r="AD46" i="24"/>
  <c r="AY46" i="24" s="1"/>
  <c r="AE46" i="24"/>
  <c r="AZ46" i="24" s="1"/>
  <c r="AF46" i="24"/>
  <c r="BA46" i="24" s="1"/>
  <c r="AG46" i="24"/>
  <c r="BB46" i="24" s="1"/>
  <c r="AH46" i="24"/>
  <c r="BC46" i="24" s="1"/>
  <c r="AI46" i="24"/>
  <c r="BD46" i="24" s="1"/>
  <c r="AJ46" i="24"/>
  <c r="BE46" i="24" s="1"/>
  <c r="AK46" i="24"/>
  <c r="BF46" i="24" s="1"/>
  <c r="AL46" i="24"/>
  <c r="BG46" i="24" s="1"/>
  <c r="AM46" i="24"/>
  <c r="BH46" i="24" s="1"/>
  <c r="AN46" i="24"/>
  <c r="BI46" i="24" s="1"/>
  <c r="AO46" i="24"/>
  <c r="BJ46" i="24" s="1"/>
  <c r="AP46" i="24"/>
  <c r="BK46" i="24" s="1"/>
  <c r="AQ46" i="24"/>
  <c r="BL46" i="24" s="1"/>
  <c r="AR46" i="24"/>
  <c r="BM46" i="24" s="1"/>
  <c r="Y47" i="24"/>
  <c r="AT47" i="24" s="1"/>
  <c r="AA47" i="24"/>
  <c r="AV47" i="24" s="1"/>
  <c r="AB47" i="24"/>
  <c r="AW47" i="24" s="1"/>
  <c r="AC47" i="24"/>
  <c r="AX47" i="24" s="1"/>
  <c r="AD47" i="24"/>
  <c r="AY47" i="24" s="1"/>
  <c r="AE47" i="24"/>
  <c r="AZ47" i="24" s="1"/>
  <c r="AF47" i="24"/>
  <c r="BA47" i="24" s="1"/>
  <c r="AG47" i="24"/>
  <c r="BB47" i="24" s="1"/>
  <c r="AH47" i="24"/>
  <c r="BC47" i="24" s="1"/>
  <c r="AI47" i="24"/>
  <c r="BD47" i="24" s="1"/>
  <c r="AJ47" i="24"/>
  <c r="BE47" i="24" s="1"/>
  <c r="AK47" i="24"/>
  <c r="BF47" i="24" s="1"/>
  <c r="AL47" i="24"/>
  <c r="BG47" i="24" s="1"/>
  <c r="AM47" i="24"/>
  <c r="BH47" i="24" s="1"/>
  <c r="AN47" i="24"/>
  <c r="BI47" i="24" s="1"/>
  <c r="AO47" i="24"/>
  <c r="BJ47" i="24" s="1"/>
  <c r="AP47" i="24"/>
  <c r="BK47" i="24" s="1"/>
  <c r="AQ47" i="24"/>
  <c r="BL47" i="24" s="1"/>
  <c r="AR47" i="24"/>
  <c r="BM47" i="24" s="1"/>
  <c r="Y48" i="24"/>
  <c r="AT48" i="24" s="1"/>
  <c r="AA48" i="24"/>
  <c r="AV48" i="24" s="1"/>
  <c r="AB48" i="24"/>
  <c r="AW48" i="24" s="1"/>
  <c r="AC48" i="24"/>
  <c r="AX48" i="24" s="1"/>
  <c r="AD48" i="24"/>
  <c r="AY48" i="24" s="1"/>
  <c r="AE48" i="24"/>
  <c r="AZ48" i="24" s="1"/>
  <c r="AF48" i="24"/>
  <c r="BA48" i="24" s="1"/>
  <c r="AG48" i="24"/>
  <c r="BB48" i="24" s="1"/>
  <c r="AH48" i="24"/>
  <c r="BC48" i="24" s="1"/>
  <c r="AI48" i="24"/>
  <c r="BD48" i="24" s="1"/>
  <c r="AJ48" i="24"/>
  <c r="BE48" i="24" s="1"/>
  <c r="AK48" i="24"/>
  <c r="BF48" i="24" s="1"/>
  <c r="AL48" i="24"/>
  <c r="BG48" i="24" s="1"/>
  <c r="AM48" i="24"/>
  <c r="BH48" i="24" s="1"/>
  <c r="AN48" i="24"/>
  <c r="BI48" i="24" s="1"/>
  <c r="AO48" i="24"/>
  <c r="BJ48" i="24" s="1"/>
  <c r="AP48" i="24"/>
  <c r="BK48" i="24" s="1"/>
  <c r="AQ48" i="24"/>
  <c r="BL48" i="24" s="1"/>
  <c r="AR48" i="24"/>
  <c r="BM48" i="24" s="1"/>
  <c r="Y49" i="24"/>
  <c r="AT49" i="24" s="1"/>
  <c r="AA49" i="24"/>
  <c r="AV49" i="24" s="1"/>
  <c r="AB49" i="24"/>
  <c r="AW49" i="24" s="1"/>
  <c r="AC49" i="24"/>
  <c r="AX49" i="24" s="1"/>
  <c r="AD49" i="24"/>
  <c r="AY49" i="24" s="1"/>
  <c r="AE49" i="24"/>
  <c r="AZ49" i="24" s="1"/>
  <c r="AF49" i="24"/>
  <c r="BA49" i="24" s="1"/>
  <c r="AG49" i="24"/>
  <c r="BB49" i="24" s="1"/>
  <c r="AH49" i="24"/>
  <c r="BC49" i="24" s="1"/>
  <c r="AI49" i="24"/>
  <c r="BD49" i="24" s="1"/>
  <c r="AJ49" i="24"/>
  <c r="BE49" i="24" s="1"/>
  <c r="AK49" i="24"/>
  <c r="BF49" i="24" s="1"/>
  <c r="AL49" i="24"/>
  <c r="BG49" i="24" s="1"/>
  <c r="AM49" i="24"/>
  <c r="BH49" i="24" s="1"/>
  <c r="AN49" i="24"/>
  <c r="BI49" i="24" s="1"/>
  <c r="AO49" i="24"/>
  <c r="BJ49" i="24" s="1"/>
  <c r="AP49" i="24"/>
  <c r="BK49" i="24" s="1"/>
  <c r="AQ49" i="24"/>
  <c r="AR49" i="24"/>
  <c r="BM49" i="24" s="1"/>
  <c r="Y50" i="24"/>
  <c r="AT50" i="24" s="1"/>
  <c r="AA50" i="24"/>
  <c r="AV50" i="24" s="1"/>
  <c r="AB50" i="24"/>
  <c r="AW50" i="24" s="1"/>
  <c r="AC50" i="24"/>
  <c r="AX50" i="24" s="1"/>
  <c r="AD50" i="24"/>
  <c r="AY50" i="24" s="1"/>
  <c r="AE50" i="24"/>
  <c r="AZ50" i="24" s="1"/>
  <c r="AF50" i="24"/>
  <c r="BA50" i="24" s="1"/>
  <c r="AG50" i="24"/>
  <c r="BB50" i="24" s="1"/>
  <c r="AH50" i="24"/>
  <c r="BC50" i="24" s="1"/>
  <c r="AI50" i="24"/>
  <c r="BD50" i="24" s="1"/>
  <c r="AJ50" i="24"/>
  <c r="BE50" i="24" s="1"/>
  <c r="AK50" i="24"/>
  <c r="BF50" i="24" s="1"/>
  <c r="AL50" i="24"/>
  <c r="BG50" i="24" s="1"/>
  <c r="AM50" i="24"/>
  <c r="BH50" i="24" s="1"/>
  <c r="AN50" i="24"/>
  <c r="BI50" i="24" s="1"/>
  <c r="AO50" i="24"/>
  <c r="BJ50" i="24" s="1"/>
  <c r="AP50" i="24"/>
  <c r="BK50" i="24" s="1"/>
  <c r="AQ50" i="24"/>
  <c r="BL50" i="24" s="1"/>
  <c r="AR50" i="24"/>
  <c r="BM50" i="24" s="1"/>
  <c r="Y51" i="24"/>
  <c r="AT51" i="24" s="1"/>
  <c r="AA51" i="24"/>
  <c r="AV51" i="24" s="1"/>
  <c r="AB51" i="24"/>
  <c r="AW51" i="24" s="1"/>
  <c r="AC51" i="24"/>
  <c r="AX51" i="24" s="1"/>
  <c r="AD51" i="24"/>
  <c r="AY51" i="24" s="1"/>
  <c r="AE51" i="24"/>
  <c r="AZ51" i="24" s="1"/>
  <c r="AF51" i="24"/>
  <c r="BA51" i="24" s="1"/>
  <c r="AG51" i="24"/>
  <c r="BB51" i="24" s="1"/>
  <c r="AH51" i="24"/>
  <c r="BC51" i="24" s="1"/>
  <c r="AI51" i="24"/>
  <c r="BD51" i="24" s="1"/>
  <c r="AJ51" i="24"/>
  <c r="BE51" i="24" s="1"/>
  <c r="AK51" i="24"/>
  <c r="BF51" i="24" s="1"/>
  <c r="AL51" i="24"/>
  <c r="BG51" i="24" s="1"/>
  <c r="AM51" i="24"/>
  <c r="BH51" i="24" s="1"/>
  <c r="AN51" i="24"/>
  <c r="BI51" i="24" s="1"/>
  <c r="AO51" i="24"/>
  <c r="BJ51" i="24" s="1"/>
  <c r="AP51" i="24"/>
  <c r="BK51" i="24" s="1"/>
  <c r="AQ51" i="24"/>
  <c r="BL51" i="24" s="1"/>
  <c r="AR51" i="24"/>
  <c r="BM51" i="24" s="1"/>
  <c r="Y52" i="24"/>
  <c r="AT52" i="24" s="1"/>
  <c r="AA52" i="24"/>
  <c r="AV52" i="24" s="1"/>
  <c r="AB52" i="24"/>
  <c r="AW52" i="24" s="1"/>
  <c r="AC52" i="24"/>
  <c r="AX52" i="24" s="1"/>
  <c r="AD52" i="24"/>
  <c r="AY52" i="24" s="1"/>
  <c r="AE52" i="24"/>
  <c r="AZ52" i="24" s="1"/>
  <c r="AF52" i="24"/>
  <c r="BA52" i="24" s="1"/>
  <c r="AG52" i="24"/>
  <c r="BB52" i="24" s="1"/>
  <c r="AH52" i="24"/>
  <c r="AI52" i="24"/>
  <c r="BD52" i="24" s="1"/>
  <c r="AJ52" i="24"/>
  <c r="BE52" i="24" s="1"/>
  <c r="AK52" i="24"/>
  <c r="BF52" i="24" s="1"/>
  <c r="AL52" i="24"/>
  <c r="BG52" i="24" s="1"/>
  <c r="AM52" i="24"/>
  <c r="BH52" i="24" s="1"/>
  <c r="AN52" i="24"/>
  <c r="BI52" i="24" s="1"/>
  <c r="AO52" i="24"/>
  <c r="BJ52" i="24" s="1"/>
  <c r="AP52" i="24"/>
  <c r="BK52" i="24" s="1"/>
  <c r="AQ52" i="24"/>
  <c r="BL52" i="24" s="1"/>
  <c r="AR52" i="24"/>
  <c r="BM52" i="24" s="1"/>
  <c r="Y53" i="24"/>
  <c r="AT53" i="24" s="1"/>
  <c r="AA53" i="24"/>
  <c r="AV53" i="24" s="1"/>
  <c r="AB53" i="24"/>
  <c r="AW53" i="24" s="1"/>
  <c r="AC53" i="24"/>
  <c r="AX53" i="24" s="1"/>
  <c r="AD53" i="24"/>
  <c r="AY53" i="24" s="1"/>
  <c r="AE53" i="24"/>
  <c r="AZ53" i="24" s="1"/>
  <c r="AF53" i="24"/>
  <c r="BA53" i="24" s="1"/>
  <c r="AG53" i="24"/>
  <c r="BB53" i="24" s="1"/>
  <c r="AH53" i="24"/>
  <c r="BC53" i="24" s="1"/>
  <c r="AI53" i="24"/>
  <c r="BD53" i="24" s="1"/>
  <c r="AJ53" i="24"/>
  <c r="BE53" i="24" s="1"/>
  <c r="AK53" i="24"/>
  <c r="BF53" i="24" s="1"/>
  <c r="AL53" i="24"/>
  <c r="BG53" i="24" s="1"/>
  <c r="AM53" i="24"/>
  <c r="BH53" i="24" s="1"/>
  <c r="AN53" i="24"/>
  <c r="BI53" i="24" s="1"/>
  <c r="AO53" i="24"/>
  <c r="BJ53" i="24" s="1"/>
  <c r="AP53" i="24"/>
  <c r="BK53" i="24" s="1"/>
  <c r="AQ53" i="24"/>
  <c r="BL53" i="24" s="1"/>
  <c r="AR53" i="24"/>
  <c r="BM53" i="24" s="1"/>
  <c r="Y54" i="24"/>
  <c r="AT54" i="24" s="1"/>
  <c r="AA54" i="24"/>
  <c r="AV54" i="24" s="1"/>
  <c r="AB54" i="24"/>
  <c r="AW54" i="24" s="1"/>
  <c r="AC54" i="24"/>
  <c r="AX54" i="24" s="1"/>
  <c r="AD54" i="24"/>
  <c r="AY54" i="24" s="1"/>
  <c r="AE54" i="24"/>
  <c r="AZ54" i="24" s="1"/>
  <c r="AF54" i="24"/>
  <c r="BA54" i="24" s="1"/>
  <c r="AG54" i="24"/>
  <c r="BB54" i="24" s="1"/>
  <c r="AH54" i="24"/>
  <c r="BC54" i="24" s="1"/>
  <c r="AI54" i="24"/>
  <c r="BD54" i="24" s="1"/>
  <c r="AJ54" i="24"/>
  <c r="BE54" i="24" s="1"/>
  <c r="AK54" i="24"/>
  <c r="BF54" i="24" s="1"/>
  <c r="AL54" i="24"/>
  <c r="BG54" i="24" s="1"/>
  <c r="AM54" i="24"/>
  <c r="BH54" i="24" s="1"/>
  <c r="AN54" i="24"/>
  <c r="BI54" i="24" s="1"/>
  <c r="AO54" i="24"/>
  <c r="BJ54" i="24" s="1"/>
  <c r="AP54" i="24"/>
  <c r="BK54" i="24" s="1"/>
  <c r="AQ54" i="24"/>
  <c r="BL54" i="24" s="1"/>
  <c r="AR54" i="24"/>
  <c r="BM54" i="24" s="1"/>
  <c r="Y55" i="24"/>
  <c r="AT55" i="24" s="1"/>
  <c r="AA55" i="24"/>
  <c r="AV55" i="24" s="1"/>
  <c r="AB55" i="24"/>
  <c r="AW55" i="24" s="1"/>
  <c r="AC55" i="24"/>
  <c r="AX55" i="24" s="1"/>
  <c r="AD55" i="24"/>
  <c r="AY55" i="24" s="1"/>
  <c r="AE55" i="24"/>
  <c r="AZ55" i="24" s="1"/>
  <c r="AF55" i="24"/>
  <c r="BA55" i="24" s="1"/>
  <c r="AG55" i="24"/>
  <c r="BB55" i="24" s="1"/>
  <c r="AH55" i="24"/>
  <c r="BC55" i="24" s="1"/>
  <c r="AI55" i="24"/>
  <c r="BD55" i="24" s="1"/>
  <c r="AJ55" i="24"/>
  <c r="BE55" i="24" s="1"/>
  <c r="AK55" i="24"/>
  <c r="BF55" i="24" s="1"/>
  <c r="AL55" i="24"/>
  <c r="BG55" i="24" s="1"/>
  <c r="AM55" i="24"/>
  <c r="BH55" i="24" s="1"/>
  <c r="AN55" i="24"/>
  <c r="BI55" i="24" s="1"/>
  <c r="AO55" i="24"/>
  <c r="BJ55" i="24" s="1"/>
  <c r="AP55" i="24"/>
  <c r="BK55" i="24" s="1"/>
  <c r="AQ55" i="24"/>
  <c r="BL55" i="24" s="1"/>
  <c r="AR55" i="24"/>
  <c r="BM55" i="24" s="1"/>
  <c r="Y56" i="24"/>
  <c r="AT56" i="24" s="1"/>
  <c r="AA56" i="24"/>
  <c r="AV56" i="24" s="1"/>
  <c r="AB56" i="24"/>
  <c r="AW56" i="24" s="1"/>
  <c r="AC56" i="24"/>
  <c r="AX56" i="24" s="1"/>
  <c r="AD56" i="24"/>
  <c r="AY56" i="24" s="1"/>
  <c r="AE56" i="24"/>
  <c r="AZ56" i="24" s="1"/>
  <c r="AF56" i="24"/>
  <c r="BA56" i="24" s="1"/>
  <c r="AG56" i="24"/>
  <c r="BB56" i="24" s="1"/>
  <c r="AH56" i="24"/>
  <c r="BC56" i="24" s="1"/>
  <c r="AI56" i="24"/>
  <c r="BD56" i="24" s="1"/>
  <c r="AJ56" i="24"/>
  <c r="BE56" i="24" s="1"/>
  <c r="AK56" i="24"/>
  <c r="BF56" i="24" s="1"/>
  <c r="AL56" i="24"/>
  <c r="BG56" i="24" s="1"/>
  <c r="AM56" i="24"/>
  <c r="BH56" i="24" s="1"/>
  <c r="AN56" i="24"/>
  <c r="BI56" i="24" s="1"/>
  <c r="AO56" i="24"/>
  <c r="BJ56" i="24" s="1"/>
  <c r="AP56" i="24"/>
  <c r="BK56" i="24" s="1"/>
  <c r="AQ56" i="24"/>
  <c r="BL56" i="24" s="1"/>
  <c r="AR56" i="24"/>
  <c r="BM56" i="24" s="1"/>
  <c r="Y57" i="24"/>
  <c r="AT57" i="24" s="1"/>
  <c r="AA57" i="24"/>
  <c r="AV57" i="24" s="1"/>
  <c r="AB57" i="24"/>
  <c r="AW57" i="24" s="1"/>
  <c r="AC57" i="24"/>
  <c r="AX57" i="24" s="1"/>
  <c r="AD57" i="24"/>
  <c r="AY57" i="24" s="1"/>
  <c r="AE57" i="24"/>
  <c r="AZ57" i="24" s="1"/>
  <c r="AF57" i="24"/>
  <c r="BA57" i="24" s="1"/>
  <c r="AG57" i="24"/>
  <c r="BB57" i="24" s="1"/>
  <c r="AH57" i="24"/>
  <c r="BC57" i="24" s="1"/>
  <c r="AI57" i="24"/>
  <c r="BD57" i="24" s="1"/>
  <c r="AJ57" i="24"/>
  <c r="BE57" i="24" s="1"/>
  <c r="AK57" i="24"/>
  <c r="BF57" i="24" s="1"/>
  <c r="AL57" i="24"/>
  <c r="BG57" i="24" s="1"/>
  <c r="AM57" i="24"/>
  <c r="BH57" i="24" s="1"/>
  <c r="AN57" i="24"/>
  <c r="BI57" i="24" s="1"/>
  <c r="AO57" i="24"/>
  <c r="BJ57" i="24" s="1"/>
  <c r="AP57" i="24"/>
  <c r="BK57" i="24" s="1"/>
  <c r="AQ57" i="24"/>
  <c r="BL57" i="24" s="1"/>
  <c r="AR57" i="24"/>
  <c r="BM57" i="24" s="1"/>
  <c r="Y58" i="24"/>
  <c r="AT58" i="24" s="1"/>
  <c r="AA58" i="24"/>
  <c r="AV58" i="24" s="1"/>
  <c r="AB58" i="24"/>
  <c r="AW58" i="24" s="1"/>
  <c r="AC58" i="24"/>
  <c r="AX58" i="24" s="1"/>
  <c r="AD58" i="24"/>
  <c r="AY58" i="24" s="1"/>
  <c r="AE58" i="24"/>
  <c r="AZ58" i="24" s="1"/>
  <c r="AF58" i="24"/>
  <c r="BA58" i="24" s="1"/>
  <c r="AG58" i="24"/>
  <c r="BB58" i="24" s="1"/>
  <c r="AH58" i="24"/>
  <c r="BC58" i="24" s="1"/>
  <c r="AI58" i="24"/>
  <c r="BD58" i="24" s="1"/>
  <c r="AJ58" i="24"/>
  <c r="BE58" i="24" s="1"/>
  <c r="AK58" i="24"/>
  <c r="BF58" i="24" s="1"/>
  <c r="AL58" i="24"/>
  <c r="BG58" i="24" s="1"/>
  <c r="AM58" i="24"/>
  <c r="BH58" i="24" s="1"/>
  <c r="AN58" i="24"/>
  <c r="BI58" i="24" s="1"/>
  <c r="AO58" i="24"/>
  <c r="BJ58" i="24" s="1"/>
  <c r="AP58" i="24"/>
  <c r="BK58" i="24" s="1"/>
  <c r="AQ58" i="24"/>
  <c r="BL58" i="24" s="1"/>
  <c r="AR58" i="24"/>
  <c r="BM58" i="24" s="1"/>
  <c r="Y59" i="24"/>
  <c r="AT59" i="24" s="1"/>
  <c r="AA59" i="24"/>
  <c r="AV59" i="24" s="1"/>
  <c r="AB59" i="24"/>
  <c r="AW59" i="24" s="1"/>
  <c r="AC59" i="24"/>
  <c r="AX59" i="24" s="1"/>
  <c r="AD59" i="24"/>
  <c r="AY59" i="24" s="1"/>
  <c r="AE59" i="24"/>
  <c r="AZ59" i="24" s="1"/>
  <c r="AF59" i="24"/>
  <c r="BA59" i="24" s="1"/>
  <c r="AG59" i="24"/>
  <c r="BB59" i="24" s="1"/>
  <c r="AH59" i="24"/>
  <c r="BC59" i="24" s="1"/>
  <c r="AI59" i="24"/>
  <c r="BD59" i="24" s="1"/>
  <c r="AJ59" i="24"/>
  <c r="BE59" i="24" s="1"/>
  <c r="AK59" i="24"/>
  <c r="BF59" i="24" s="1"/>
  <c r="AL59" i="24"/>
  <c r="BG59" i="24" s="1"/>
  <c r="AM59" i="24"/>
  <c r="BH59" i="24" s="1"/>
  <c r="AN59" i="24"/>
  <c r="BI59" i="24" s="1"/>
  <c r="AO59" i="24"/>
  <c r="BJ59" i="24" s="1"/>
  <c r="AP59" i="24"/>
  <c r="BK59" i="24" s="1"/>
  <c r="AQ59" i="24"/>
  <c r="BL59" i="24" s="1"/>
  <c r="AR59" i="24"/>
  <c r="BM59" i="24" s="1"/>
  <c r="Y60" i="24"/>
  <c r="AT60" i="24" s="1"/>
  <c r="AA60" i="24"/>
  <c r="AV60" i="24" s="1"/>
  <c r="AB60" i="24"/>
  <c r="AW60" i="24" s="1"/>
  <c r="AC60" i="24"/>
  <c r="AX60" i="24" s="1"/>
  <c r="AD60" i="24"/>
  <c r="AY60" i="24" s="1"/>
  <c r="AE60" i="24"/>
  <c r="AZ60" i="24" s="1"/>
  <c r="AF60" i="24"/>
  <c r="BA60" i="24" s="1"/>
  <c r="AG60" i="24"/>
  <c r="BB60" i="24" s="1"/>
  <c r="AH60" i="24"/>
  <c r="BC60" i="24" s="1"/>
  <c r="AI60" i="24"/>
  <c r="BD60" i="24" s="1"/>
  <c r="AJ60" i="24"/>
  <c r="BE60" i="24" s="1"/>
  <c r="AK60" i="24"/>
  <c r="BF60" i="24" s="1"/>
  <c r="AL60" i="24"/>
  <c r="BG60" i="24" s="1"/>
  <c r="AM60" i="24"/>
  <c r="BH60" i="24" s="1"/>
  <c r="AN60" i="24"/>
  <c r="BI60" i="24" s="1"/>
  <c r="AO60" i="24"/>
  <c r="BJ60" i="24" s="1"/>
  <c r="AP60" i="24"/>
  <c r="BK60" i="24" s="1"/>
  <c r="AQ60" i="24"/>
  <c r="BL60" i="24" s="1"/>
  <c r="AR60" i="24"/>
  <c r="BM60" i="24" s="1"/>
  <c r="Y61" i="24"/>
  <c r="AT61" i="24" s="1"/>
  <c r="AA61" i="24"/>
  <c r="AV61" i="24" s="1"/>
  <c r="AB61" i="24"/>
  <c r="AW61" i="24" s="1"/>
  <c r="AC61" i="24"/>
  <c r="AX61" i="24" s="1"/>
  <c r="AD61" i="24"/>
  <c r="AY61" i="24" s="1"/>
  <c r="AE61" i="24"/>
  <c r="AZ61" i="24" s="1"/>
  <c r="AF61" i="24"/>
  <c r="BA61" i="24" s="1"/>
  <c r="AG61" i="24"/>
  <c r="BB61" i="24" s="1"/>
  <c r="AH61" i="24"/>
  <c r="BC61" i="24" s="1"/>
  <c r="AI61" i="24"/>
  <c r="BD61" i="24" s="1"/>
  <c r="AJ61" i="24"/>
  <c r="BE61" i="24" s="1"/>
  <c r="AK61" i="24"/>
  <c r="BF61" i="24" s="1"/>
  <c r="AL61" i="24"/>
  <c r="BG61" i="24" s="1"/>
  <c r="AM61" i="24"/>
  <c r="BH61" i="24" s="1"/>
  <c r="AN61" i="24"/>
  <c r="BI61" i="24" s="1"/>
  <c r="AO61" i="24"/>
  <c r="BJ61" i="24" s="1"/>
  <c r="AP61" i="24"/>
  <c r="BK61" i="24" s="1"/>
  <c r="AQ61" i="24"/>
  <c r="BL61" i="24" s="1"/>
  <c r="AR61" i="24"/>
  <c r="BM61" i="24" s="1"/>
  <c r="Y62" i="24"/>
  <c r="AT62" i="24" s="1"/>
  <c r="AA62" i="24"/>
  <c r="AV62" i="24" s="1"/>
  <c r="AB62" i="24"/>
  <c r="AW62" i="24" s="1"/>
  <c r="AC62" i="24"/>
  <c r="AX62" i="24" s="1"/>
  <c r="AD62" i="24"/>
  <c r="AY62" i="24" s="1"/>
  <c r="AE62" i="24"/>
  <c r="AZ62" i="24" s="1"/>
  <c r="AF62" i="24"/>
  <c r="BA62" i="24" s="1"/>
  <c r="AG62" i="24"/>
  <c r="BB62" i="24" s="1"/>
  <c r="AH62" i="24"/>
  <c r="BC62" i="24" s="1"/>
  <c r="AI62" i="24"/>
  <c r="BD62" i="24" s="1"/>
  <c r="AJ62" i="24"/>
  <c r="BE62" i="24" s="1"/>
  <c r="AK62" i="24"/>
  <c r="BF62" i="24" s="1"/>
  <c r="AL62" i="24"/>
  <c r="BG62" i="24" s="1"/>
  <c r="AM62" i="24"/>
  <c r="BH62" i="24" s="1"/>
  <c r="AN62" i="24"/>
  <c r="BI62" i="24" s="1"/>
  <c r="AO62" i="24"/>
  <c r="BJ62" i="24" s="1"/>
  <c r="AP62" i="24"/>
  <c r="BK62" i="24" s="1"/>
  <c r="AQ62" i="24"/>
  <c r="BL62" i="24" s="1"/>
  <c r="AR62" i="24"/>
  <c r="BM62" i="24" s="1"/>
  <c r="AX14" i="25"/>
  <c r="AZ14" i="25"/>
  <c r="BE14" i="25"/>
  <c r="BM14" i="25"/>
  <c r="AW15" i="25"/>
  <c r="AZ15" i="25"/>
  <c r="BD15" i="25"/>
  <c r="BM15" i="25"/>
  <c r="BA17" i="25"/>
  <c r="AY19" i="25"/>
  <c r="BG22" i="25"/>
  <c r="BC27" i="25"/>
  <c r="BH27" i="25"/>
  <c r="BA29" i="25"/>
  <c r="BM29" i="25"/>
  <c r="BF30" i="25"/>
  <c r="BA41" i="25"/>
  <c r="BM41" i="25"/>
  <c r="BK42" i="25"/>
  <c r="BD44" i="25"/>
  <c r="BB46" i="25"/>
  <c r="BL48" i="25"/>
  <c r="BE49" i="25"/>
  <c r="AW52" i="25"/>
  <c r="BM53" i="25"/>
  <c r="AY55" i="25"/>
  <c r="BB58" i="25"/>
  <c r="BL59" i="25"/>
  <c r="AZ60" i="25"/>
  <c r="BH64" i="25"/>
  <c r="AW68" i="25"/>
  <c r="BC70" i="25"/>
  <c r="BC75" i="25"/>
  <c r="BF78" i="25"/>
  <c r="BG83" i="25"/>
  <c r="BL84" i="25"/>
  <c r="BA89" i="25"/>
  <c r="BF90" i="25"/>
  <c r="AW92" i="25"/>
  <c r="BD92" i="25"/>
  <c r="BG95" i="25"/>
  <c r="BE96" i="25"/>
  <c r="BL96" i="25"/>
  <c r="BH99" i="25"/>
  <c r="AZ108" i="25"/>
  <c r="BC111" i="25"/>
  <c r="AT23" i="25"/>
  <c r="AT80" i="25"/>
  <c r="Z2" i="25"/>
  <c r="AU2" i="25" s="1"/>
  <c r="AX14" i="24"/>
  <c r="BA14" i="24"/>
  <c r="BD14" i="24"/>
  <c r="BF14" i="24"/>
  <c r="BJ14" i="24"/>
  <c r="AW15" i="24"/>
  <c r="AY15" i="24"/>
  <c r="AZ15" i="24"/>
  <c r="BC15" i="24"/>
  <c r="BI15" i="24"/>
  <c r="BK15" i="24"/>
  <c r="BH17" i="24"/>
  <c r="AY20" i="24"/>
  <c r="AW22" i="24"/>
  <c r="AY25" i="24"/>
  <c r="AZ25" i="24"/>
  <c r="BJ27" i="24"/>
  <c r="BH29" i="24"/>
  <c r="AW34" i="24"/>
  <c r="BG36" i="24"/>
  <c r="AX39" i="24"/>
  <c r="AY44" i="24"/>
  <c r="AW46" i="24"/>
  <c r="BL49" i="24"/>
  <c r="BC52" i="24"/>
  <c r="AT8" i="24"/>
  <c r="AT36" i="24"/>
  <c r="G26" i="23"/>
  <c r="B23" i="33" s="1"/>
  <c r="C133" i="16" l="1"/>
  <c r="AP388" i="25"/>
  <c r="BB388" i="30"/>
  <c r="K67" i="16"/>
  <c r="BM388" i="30"/>
  <c r="V67" i="16"/>
  <c r="BA388" i="30"/>
  <c r="J67" i="16"/>
  <c r="BL388" i="30"/>
  <c r="U67" i="16"/>
  <c r="AZ388" i="30"/>
  <c r="I67" i="16"/>
  <c r="BK388" i="30"/>
  <c r="T67" i="16"/>
  <c r="AY388" i="30"/>
  <c r="H67" i="16"/>
  <c r="BJ388" i="30"/>
  <c r="S67" i="16"/>
  <c r="AX388" i="30"/>
  <c r="G67" i="16"/>
  <c r="BI388" i="30"/>
  <c r="R67" i="16"/>
  <c r="BH388" i="30"/>
  <c r="Q67" i="16"/>
  <c r="AV388" i="30"/>
  <c r="E67" i="16"/>
  <c r="AW388" i="30"/>
  <c r="F67" i="16"/>
  <c r="BG388" i="30"/>
  <c r="P67" i="16"/>
  <c r="AT2" i="30"/>
  <c r="AT388" i="30" s="1"/>
  <c r="BF388" i="30"/>
  <c r="O67" i="16"/>
  <c r="N67" i="16"/>
  <c r="BE388" i="30"/>
  <c r="M67" i="16"/>
  <c r="BD388" i="30"/>
  <c r="BC388" i="30"/>
  <c r="L67" i="16"/>
  <c r="AP388" i="26"/>
  <c r="AP388" i="28"/>
  <c r="AP388" i="24"/>
  <c r="E259" i="33"/>
  <c r="E253" i="33"/>
  <c r="F225" i="33"/>
  <c r="F231" i="33"/>
  <c r="F237" i="33" s="1"/>
  <c r="F245" i="33" s="1"/>
  <c r="F221" i="33"/>
  <c r="G83" i="12" s="1"/>
  <c r="F224" i="33"/>
  <c r="F229" i="33"/>
  <c r="F235" i="33" s="1"/>
  <c r="F243" i="33" s="1"/>
  <c r="F251" i="33" s="1"/>
  <c r="F281" i="33" s="1"/>
  <c r="E194" i="33"/>
  <c r="E203" i="33" s="1"/>
  <c r="E213" i="33" s="1"/>
  <c r="E185" i="33"/>
  <c r="Z68" i="30"/>
  <c r="G25" i="23"/>
  <c r="B17" i="33" s="1"/>
  <c r="G23" i="23"/>
  <c r="B8" i="33" s="1"/>
  <c r="E262" i="33" l="1"/>
  <c r="E292" i="33" s="1"/>
  <c r="E300" i="33" s="1"/>
  <c r="E313" i="33" s="1"/>
  <c r="F89" i="12"/>
  <c r="C67" i="16"/>
  <c r="AW396" i="30"/>
  <c r="E221" i="33"/>
  <c r="F83" i="12" s="1"/>
  <c r="E224" i="33"/>
  <c r="E229" i="33"/>
  <c r="E235" i="33" s="1"/>
  <c r="E243" i="33" s="1"/>
  <c r="E251" i="33" s="1"/>
  <c r="E281" i="33" s="1"/>
  <c r="F311" i="33"/>
  <c r="F289" i="33"/>
  <c r="F253" i="33"/>
  <c r="F259" i="33"/>
  <c r="E321" i="33"/>
  <c r="E329" i="33" s="1"/>
  <c r="E297" i="33"/>
  <c r="F95" i="12" s="1"/>
  <c r="AG75" i="30"/>
  <c r="Y75" i="30"/>
  <c r="AT75" i="30" s="1"/>
  <c r="C140" i="16" s="1"/>
  <c r="AK75" i="30"/>
  <c r="AA75" i="30"/>
  <c r="AM75" i="30"/>
  <c r="AC75" i="30"/>
  <c r="AO75" i="30"/>
  <c r="BJ75" i="30" s="1"/>
  <c r="S140" i="16" s="1"/>
  <c r="AD75" i="30"/>
  <c r="AP75" i="30"/>
  <c r="AH75" i="30"/>
  <c r="BC75" i="30" s="1"/>
  <c r="L140" i="16" s="1"/>
  <c r="AI75" i="30"/>
  <c r="BD75" i="30" s="1"/>
  <c r="M140" i="16" s="1"/>
  <c r="AR75" i="30"/>
  <c r="AE75" i="30"/>
  <c r="AF75" i="30"/>
  <c r="BA75" i="30" s="1"/>
  <c r="J140" i="16" s="1"/>
  <c r="AN75" i="30"/>
  <c r="AQ75" i="30"/>
  <c r="Z75" i="30"/>
  <c r="AB75" i="30"/>
  <c r="AJ75" i="30"/>
  <c r="BE75" i="30" s="1"/>
  <c r="N140" i="16" s="1"/>
  <c r="AL75" i="30"/>
  <c r="AA106" i="30"/>
  <c r="AM106" i="30"/>
  <c r="AB106" i="30"/>
  <c r="AW106" i="30" s="1"/>
  <c r="F171" i="16" s="1"/>
  <c r="AN106" i="30"/>
  <c r="AG106" i="30"/>
  <c r="AH106" i="30"/>
  <c r="BC106" i="30" s="1"/>
  <c r="L171" i="16" s="1"/>
  <c r="AI106" i="30"/>
  <c r="AL106" i="30"/>
  <c r="AO106" i="30"/>
  <c r="Y106" i="30"/>
  <c r="AT106" i="30" s="1"/>
  <c r="C171" i="16" s="1"/>
  <c r="AP106" i="30"/>
  <c r="BK106" i="30" s="1"/>
  <c r="T171" i="16" s="1"/>
  <c r="Z106" i="30"/>
  <c r="AQ106" i="30"/>
  <c r="AE106" i="30"/>
  <c r="AZ106" i="30" s="1"/>
  <c r="I171" i="16" s="1"/>
  <c r="AC106" i="30"/>
  <c r="AX106" i="30" s="1"/>
  <c r="G171" i="16" s="1"/>
  <c r="AD106" i="30"/>
  <c r="AY106" i="30" s="1"/>
  <c r="H171" i="16" s="1"/>
  <c r="AF106" i="30"/>
  <c r="AJ106" i="30"/>
  <c r="BE106" i="30" s="1"/>
  <c r="N171" i="16" s="1"/>
  <c r="AK106" i="30"/>
  <c r="AR106" i="30"/>
  <c r="AI102" i="30"/>
  <c r="AJ102" i="30"/>
  <c r="AC102" i="30"/>
  <c r="AX102" i="30" s="1"/>
  <c r="G167" i="16" s="1"/>
  <c r="AO102" i="30"/>
  <c r="AG102" i="30"/>
  <c r="BB102" i="30" s="1"/>
  <c r="K167" i="16" s="1"/>
  <c r="AH102" i="30"/>
  <c r="BC102" i="30" s="1"/>
  <c r="L167" i="16" s="1"/>
  <c r="AM102" i="30"/>
  <c r="Y102" i="30"/>
  <c r="AT102" i="30" s="1"/>
  <c r="C167" i="16" s="1"/>
  <c r="AN102" i="30"/>
  <c r="Z102" i="30"/>
  <c r="AP102" i="30"/>
  <c r="AA102" i="30"/>
  <c r="AQ102" i="30"/>
  <c r="AE102" i="30"/>
  <c r="AB102" i="30"/>
  <c r="AW102" i="30" s="1"/>
  <c r="F167" i="16" s="1"/>
  <c r="AD102" i="30"/>
  <c r="AF102" i="30"/>
  <c r="AK102" i="30"/>
  <c r="BF102" i="30" s="1"/>
  <c r="O167" i="16" s="1"/>
  <c r="AL102" i="30"/>
  <c r="AR102" i="30"/>
  <c r="BM102" i="30" s="1"/>
  <c r="V167" i="16" s="1"/>
  <c r="AE104" i="30"/>
  <c r="AQ104" i="30"/>
  <c r="BL104" i="30" s="1"/>
  <c r="U169" i="16" s="1"/>
  <c r="AF104" i="30"/>
  <c r="AR104" i="30"/>
  <c r="Y104" i="30"/>
  <c r="AT104" i="30" s="1"/>
  <c r="C169" i="16" s="1"/>
  <c r="AK104" i="30"/>
  <c r="BF104" i="30" s="1"/>
  <c r="O169" i="16" s="1"/>
  <c r="Z104" i="30"/>
  <c r="AO104" i="30"/>
  <c r="AA104" i="30"/>
  <c r="AP104" i="30"/>
  <c r="BK104" i="30" s="1"/>
  <c r="T169" i="16" s="1"/>
  <c r="AD104" i="30"/>
  <c r="AG104" i="30"/>
  <c r="AH104" i="30"/>
  <c r="AI104" i="30"/>
  <c r="BD104" i="30" s="1"/>
  <c r="M169" i="16" s="1"/>
  <c r="AM104" i="30"/>
  <c r="AB104" i="30"/>
  <c r="AC104" i="30"/>
  <c r="AJ104" i="30"/>
  <c r="AL104" i="30"/>
  <c r="AN104" i="30"/>
  <c r="AI173" i="30"/>
  <c r="AJ173" i="30"/>
  <c r="BE173" i="30" s="1"/>
  <c r="N238" i="16" s="1"/>
  <c r="AC173" i="30"/>
  <c r="AO173" i="30"/>
  <c r="BJ173" i="30" s="1"/>
  <c r="S238" i="16" s="1"/>
  <c r="AA173" i="30"/>
  <c r="AQ173" i="30"/>
  <c r="BL173" i="30" s="1"/>
  <c r="U238" i="16" s="1"/>
  <c r="AB173" i="30"/>
  <c r="AR173" i="30"/>
  <c r="AD173" i="30"/>
  <c r="AE173" i="30"/>
  <c r="AZ173" i="30" s="1"/>
  <c r="I238" i="16" s="1"/>
  <c r="AF173" i="30"/>
  <c r="BA173" i="30" s="1"/>
  <c r="J238" i="16" s="1"/>
  <c r="AG173" i="30"/>
  <c r="AH173" i="30"/>
  <c r="AK173" i="30"/>
  <c r="BF173" i="30" s="1"/>
  <c r="O238" i="16" s="1"/>
  <c r="AL173" i="30"/>
  <c r="AM173" i="30"/>
  <c r="BH173" i="30" s="1"/>
  <c r="Q238" i="16" s="1"/>
  <c r="Y173" i="30"/>
  <c r="AT173" i="30" s="1"/>
  <c r="C238" i="16" s="1"/>
  <c r="AN173" i="30"/>
  <c r="BI173" i="30" s="1"/>
  <c r="R238" i="16" s="1"/>
  <c r="Z173" i="30"/>
  <c r="AP173" i="30"/>
  <c r="AI108" i="30"/>
  <c r="AJ108" i="30"/>
  <c r="AC108" i="30"/>
  <c r="AX108" i="30" s="1"/>
  <c r="G173" i="16" s="1"/>
  <c r="AO108" i="30"/>
  <c r="BJ108" i="30" s="1"/>
  <c r="S173" i="16" s="1"/>
  <c r="Z108" i="30"/>
  <c r="AP108" i="30"/>
  <c r="AA108" i="30"/>
  <c r="AQ108" i="30"/>
  <c r="BL108" i="30" s="1"/>
  <c r="U173" i="16" s="1"/>
  <c r="AE108" i="30"/>
  <c r="AF108" i="30"/>
  <c r="BA108" i="30" s="1"/>
  <c r="J173" i="16" s="1"/>
  <c r="AG108" i="30"/>
  <c r="AH108" i="30"/>
  <c r="AM108" i="30"/>
  <c r="Y108" i="30"/>
  <c r="AT108" i="30" s="1"/>
  <c r="C173" i="16" s="1"/>
  <c r="AB108" i="30"/>
  <c r="AW108" i="30" s="1"/>
  <c r="F173" i="16" s="1"/>
  <c r="AD108" i="30"/>
  <c r="AK108" i="30"/>
  <c r="BF108" i="30" s="1"/>
  <c r="O173" i="16" s="1"/>
  <c r="AL108" i="30"/>
  <c r="AN108" i="30"/>
  <c r="AR108" i="30"/>
  <c r="BM108" i="30" s="1"/>
  <c r="V173" i="16" s="1"/>
  <c r="AA115" i="30"/>
  <c r="AM115" i="30"/>
  <c r="BH115" i="30" s="1"/>
  <c r="Q180" i="16" s="1"/>
  <c r="AG115" i="30"/>
  <c r="AL115" i="30"/>
  <c r="Y115" i="30"/>
  <c r="AT115" i="30" s="1"/>
  <c r="C180" i="16" s="1"/>
  <c r="AN115" i="30"/>
  <c r="BI115" i="30" s="1"/>
  <c r="R180" i="16" s="1"/>
  <c r="AC115" i="30"/>
  <c r="AX115" i="30" s="1"/>
  <c r="G180" i="16" s="1"/>
  <c r="AQ115" i="30"/>
  <c r="BL115" i="30" s="1"/>
  <c r="U180" i="16" s="1"/>
  <c r="AD115" i="30"/>
  <c r="AY115" i="30" s="1"/>
  <c r="H180" i="16" s="1"/>
  <c r="AR115" i="30"/>
  <c r="AE115" i="30"/>
  <c r="AF115" i="30"/>
  <c r="BA115" i="30" s="1"/>
  <c r="J180" i="16" s="1"/>
  <c r="AJ115" i="30"/>
  <c r="Z115" i="30"/>
  <c r="AB115" i="30"/>
  <c r="AH115" i="30"/>
  <c r="AI115" i="30"/>
  <c r="AK115" i="30"/>
  <c r="AO115" i="30"/>
  <c r="BJ115" i="30" s="1"/>
  <c r="S180" i="16" s="1"/>
  <c r="AP115" i="30"/>
  <c r="BK115" i="30" s="1"/>
  <c r="T180" i="16" s="1"/>
  <c r="AE187" i="30"/>
  <c r="AZ187" i="30" s="1"/>
  <c r="I252" i="16" s="1"/>
  <c r="AQ187" i="30"/>
  <c r="AF187" i="30"/>
  <c r="AR187" i="30"/>
  <c r="BM187" i="30" s="1"/>
  <c r="V252" i="16" s="1"/>
  <c r="Y187" i="30"/>
  <c r="AT187" i="30" s="1"/>
  <c r="C252" i="16" s="1"/>
  <c r="AK187" i="30"/>
  <c r="BF187" i="30" s="1"/>
  <c r="O252" i="16" s="1"/>
  <c r="AI187" i="30"/>
  <c r="AJ187" i="30"/>
  <c r="AL187" i="30"/>
  <c r="AM187" i="30"/>
  <c r="AN187" i="30"/>
  <c r="BI187" i="30" s="1"/>
  <c r="R252" i="16" s="1"/>
  <c r="Z187" i="30"/>
  <c r="AO187" i="30"/>
  <c r="BJ187" i="30" s="1"/>
  <c r="S252" i="16" s="1"/>
  <c r="AA187" i="30"/>
  <c r="AV187" i="30" s="1"/>
  <c r="E252" i="16" s="1"/>
  <c r="AP187" i="30"/>
  <c r="AB187" i="30"/>
  <c r="AW187" i="30" s="1"/>
  <c r="F252" i="16" s="1"/>
  <c r="AC187" i="30"/>
  <c r="AD187" i="30"/>
  <c r="AY187" i="30" s="1"/>
  <c r="H252" i="16" s="1"/>
  <c r="AG187" i="30"/>
  <c r="AH187" i="30"/>
  <c r="Y122" i="30"/>
  <c r="AT122" i="30" s="1"/>
  <c r="C187" i="16" s="1"/>
  <c r="AK122" i="30"/>
  <c r="BF122" i="30" s="1"/>
  <c r="O187" i="16" s="1"/>
  <c r="Z122" i="30"/>
  <c r="AL122" i="30"/>
  <c r="AE122" i="30"/>
  <c r="AQ122" i="30"/>
  <c r="AO122" i="30"/>
  <c r="BJ122" i="30" s="1"/>
  <c r="S187" i="16" s="1"/>
  <c r="AA122" i="30"/>
  <c r="AP122" i="30"/>
  <c r="AB122" i="30"/>
  <c r="AR122" i="30"/>
  <c r="AC122" i="30"/>
  <c r="AD122" i="30"/>
  <c r="AF122" i="30"/>
  <c r="AG122" i="30"/>
  <c r="BB122" i="30" s="1"/>
  <c r="K187" i="16" s="1"/>
  <c r="AH122" i="30"/>
  <c r="AI122" i="30"/>
  <c r="AJ122" i="30"/>
  <c r="AM122" i="30"/>
  <c r="BH122" i="30" s="1"/>
  <c r="Q187" i="16" s="1"/>
  <c r="AN122" i="30"/>
  <c r="AI194" i="30"/>
  <c r="AJ194" i="30"/>
  <c r="BE194" i="30" s="1"/>
  <c r="N259" i="16" s="1"/>
  <c r="AC194" i="30"/>
  <c r="AO194" i="30"/>
  <c r="AM194" i="30"/>
  <c r="Y194" i="30"/>
  <c r="AT194" i="30" s="1"/>
  <c r="C259" i="16" s="1"/>
  <c r="AN194" i="30"/>
  <c r="BI194" i="30" s="1"/>
  <c r="R259" i="16" s="1"/>
  <c r="Z194" i="30"/>
  <c r="AP194" i="30"/>
  <c r="AA194" i="30"/>
  <c r="AQ194" i="30"/>
  <c r="BL194" i="30" s="1"/>
  <c r="U259" i="16" s="1"/>
  <c r="AB194" i="30"/>
  <c r="AR194" i="30"/>
  <c r="AD194" i="30"/>
  <c r="AY194" i="30" s="1"/>
  <c r="H259" i="16" s="1"/>
  <c r="AE194" i="30"/>
  <c r="AF194" i="30"/>
  <c r="AG194" i="30"/>
  <c r="AH194" i="30"/>
  <c r="BC194" i="30" s="1"/>
  <c r="L259" i="16" s="1"/>
  <c r="AK194" i="30"/>
  <c r="BF194" i="30" s="1"/>
  <c r="O259" i="16" s="1"/>
  <c r="AL194" i="30"/>
  <c r="AI135" i="30"/>
  <c r="AA135" i="30"/>
  <c r="AM135" i="30"/>
  <c r="BH135" i="30" s="1"/>
  <c r="Q200" i="16" s="1"/>
  <c r="AB135" i="30"/>
  <c r="AN135" i="30"/>
  <c r="AC135" i="30"/>
  <c r="AO135" i="30"/>
  <c r="AG135" i="30"/>
  <c r="AR135" i="30"/>
  <c r="Y135" i="30"/>
  <c r="AT135" i="30" s="1"/>
  <c r="C200" i="16" s="1"/>
  <c r="Z135" i="30"/>
  <c r="AD135" i="30"/>
  <c r="AE135" i="30"/>
  <c r="AF135" i="30"/>
  <c r="BA135" i="30" s="1"/>
  <c r="J200" i="16" s="1"/>
  <c r="AH135" i="30"/>
  <c r="BC135" i="30" s="1"/>
  <c r="L200" i="16" s="1"/>
  <c r="AJ135" i="30"/>
  <c r="AK135" i="30"/>
  <c r="AL135" i="30"/>
  <c r="AP135" i="30"/>
  <c r="AQ135" i="30"/>
  <c r="Y207" i="30"/>
  <c r="AT207" i="30" s="1"/>
  <c r="C272" i="16" s="1"/>
  <c r="AK207" i="30"/>
  <c r="BF207" i="30" s="1"/>
  <c r="O272" i="16" s="1"/>
  <c r="AC207" i="30"/>
  <c r="AX207" i="30" s="1"/>
  <c r="G272" i="16" s="1"/>
  <c r="AO207" i="30"/>
  <c r="AD207" i="30"/>
  <c r="AP207" i="30"/>
  <c r="AE207" i="30"/>
  <c r="AZ207" i="30" s="1"/>
  <c r="I272" i="16" s="1"/>
  <c r="AQ207" i="30"/>
  <c r="AI207" i="30"/>
  <c r="AL207" i="30"/>
  <c r="AM207" i="30"/>
  <c r="AN207" i="30"/>
  <c r="AR207" i="30"/>
  <c r="Z207" i="30"/>
  <c r="AA207" i="30"/>
  <c r="AV207" i="30" s="1"/>
  <c r="E272" i="16" s="1"/>
  <c r="AB207" i="30"/>
  <c r="AF207" i="30"/>
  <c r="AG207" i="30"/>
  <c r="AH207" i="30"/>
  <c r="BC207" i="30" s="1"/>
  <c r="L272" i="16" s="1"/>
  <c r="AJ207" i="30"/>
  <c r="AA148" i="30"/>
  <c r="AM148" i="30"/>
  <c r="AE148" i="30"/>
  <c r="AQ148" i="30"/>
  <c r="AF148" i="30"/>
  <c r="AR148" i="30"/>
  <c r="BM148" i="30" s="1"/>
  <c r="V213" i="16" s="1"/>
  <c r="AG148" i="30"/>
  <c r="BB148" i="30" s="1"/>
  <c r="K213" i="16" s="1"/>
  <c r="Y148" i="30"/>
  <c r="AT148" i="30" s="1"/>
  <c r="C213" i="16" s="1"/>
  <c r="AK148" i="30"/>
  <c r="AD148" i="30"/>
  <c r="AH148" i="30"/>
  <c r="BC148" i="30" s="1"/>
  <c r="L213" i="16" s="1"/>
  <c r="AI148" i="30"/>
  <c r="AJ148" i="30"/>
  <c r="AL148" i="30"/>
  <c r="AN148" i="30"/>
  <c r="AO148" i="30"/>
  <c r="AP148" i="30"/>
  <c r="Z148" i="30"/>
  <c r="AB148" i="30"/>
  <c r="AW148" i="30" s="1"/>
  <c r="F213" i="16" s="1"/>
  <c r="AC148" i="30"/>
  <c r="AC220" i="30"/>
  <c r="AO220" i="30"/>
  <c r="BJ220" i="30" s="1"/>
  <c r="S285" i="16" s="1"/>
  <c r="AG220" i="30"/>
  <c r="AH220" i="30"/>
  <c r="AI220" i="30"/>
  <c r="AA220" i="30"/>
  <c r="AV220" i="30" s="1"/>
  <c r="E285" i="16" s="1"/>
  <c r="AM220" i="30"/>
  <c r="Y220" i="30"/>
  <c r="AT220" i="30" s="1"/>
  <c r="C285" i="16" s="1"/>
  <c r="AR220" i="30"/>
  <c r="Z220" i="30"/>
  <c r="AB220" i="30"/>
  <c r="AW220" i="30" s="1"/>
  <c r="F285" i="16" s="1"/>
  <c r="AD220" i="30"/>
  <c r="AE220" i="30"/>
  <c r="AF220" i="30"/>
  <c r="BA220" i="30" s="1"/>
  <c r="J285" i="16" s="1"/>
  <c r="AJ220" i="30"/>
  <c r="AK220" i="30"/>
  <c r="AL220" i="30"/>
  <c r="AN220" i="30"/>
  <c r="BI220" i="30" s="1"/>
  <c r="R285" i="16" s="1"/>
  <c r="AP220" i="30"/>
  <c r="AQ220" i="30"/>
  <c r="AT396" i="30"/>
  <c r="AG87" i="30"/>
  <c r="BB87" i="30" s="1"/>
  <c r="K152" i="16" s="1"/>
  <c r="Y87" i="30"/>
  <c r="AT87" i="30" s="1"/>
  <c r="C152" i="16" s="1"/>
  <c r="AA87" i="30"/>
  <c r="AM87" i="30"/>
  <c r="AH87" i="30"/>
  <c r="BC87" i="30" s="1"/>
  <c r="L152" i="16" s="1"/>
  <c r="AI87" i="30"/>
  <c r="Z87" i="30"/>
  <c r="AO87" i="30"/>
  <c r="AE87" i="30"/>
  <c r="AZ87" i="30" s="1"/>
  <c r="I152" i="16" s="1"/>
  <c r="AF87" i="30"/>
  <c r="AL87" i="30"/>
  <c r="AN87" i="30"/>
  <c r="AP87" i="30"/>
  <c r="BK87" i="30" s="1"/>
  <c r="T152" i="16" s="1"/>
  <c r="AQ87" i="30"/>
  <c r="BL87" i="30" s="1"/>
  <c r="U152" i="16" s="1"/>
  <c r="AC87" i="30"/>
  <c r="AJ87" i="30"/>
  <c r="AK87" i="30"/>
  <c r="AR87" i="30"/>
  <c r="AB87" i="30"/>
  <c r="AD87" i="30"/>
  <c r="AC77" i="30"/>
  <c r="AX77" i="30" s="1"/>
  <c r="G142" i="16" s="1"/>
  <c r="AO77" i="30"/>
  <c r="AG77" i="30"/>
  <c r="AI77" i="30"/>
  <c r="Y77" i="30"/>
  <c r="AT77" i="30" s="1"/>
  <c r="C142" i="16" s="1"/>
  <c r="AK77" i="30"/>
  <c r="BF77" i="30" s="1"/>
  <c r="O142" i="16" s="1"/>
  <c r="Z77" i="30"/>
  <c r="AL77" i="30"/>
  <c r="AH77" i="30"/>
  <c r="BC77" i="30" s="1"/>
  <c r="L142" i="16" s="1"/>
  <c r="AJ77" i="30"/>
  <c r="AR77" i="30"/>
  <c r="AB77" i="30"/>
  <c r="AD77" i="30"/>
  <c r="AY77" i="30" s="1"/>
  <c r="H142" i="16" s="1"/>
  <c r="AE77" i="30"/>
  <c r="AF77" i="30"/>
  <c r="AP77" i="30"/>
  <c r="AQ77" i="30"/>
  <c r="BL77" i="30" s="1"/>
  <c r="U142" i="16" s="1"/>
  <c r="AA77" i="30"/>
  <c r="AV77" i="30" s="1"/>
  <c r="E142" i="16" s="1"/>
  <c r="AM77" i="30"/>
  <c r="AN77" i="30"/>
  <c r="Y79" i="30"/>
  <c r="AT79" i="30" s="1"/>
  <c r="C144" i="16" s="1"/>
  <c r="AK79" i="30"/>
  <c r="AC79" i="30"/>
  <c r="AO79" i="30"/>
  <c r="AE79" i="30"/>
  <c r="AZ79" i="30" s="1"/>
  <c r="I144" i="16" s="1"/>
  <c r="AQ79" i="30"/>
  <c r="AG79" i="30"/>
  <c r="AH79" i="30"/>
  <c r="AJ79" i="30"/>
  <c r="BE79" i="30" s="1"/>
  <c r="N144" i="16" s="1"/>
  <c r="AL79" i="30"/>
  <c r="BG79" i="30" s="1"/>
  <c r="P144" i="16" s="1"/>
  <c r="Z79" i="30"/>
  <c r="AF79" i="30"/>
  <c r="AI79" i="30"/>
  <c r="BD79" i="30" s="1"/>
  <c r="M144" i="16" s="1"/>
  <c r="AP79" i="30"/>
  <c r="AR79" i="30"/>
  <c r="AB79" i="30"/>
  <c r="AA79" i="30"/>
  <c r="AV79" i="30" s="1"/>
  <c r="E144" i="16" s="1"/>
  <c r="AD79" i="30"/>
  <c r="AM79" i="30"/>
  <c r="AN79" i="30"/>
  <c r="AE113" i="30"/>
  <c r="AZ113" i="30" s="1"/>
  <c r="I178" i="16" s="1"/>
  <c r="AQ113" i="30"/>
  <c r="BL113" i="30" s="1"/>
  <c r="U178" i="16" s="1"/>
  <c r="Y113" i="30"/>
  <c r="AT113" i="30" s="1"/>
  <c r="C178" i="16" s="1"/>
  <c r="AK113" i="30"/>
  <c r="AI113" i="30"/>
  <c r="BD113" i="30" s="1"/>
  <c r="M178" i="16" s="1"/>
  <c r="AJ113" i="30"/>
  <c r="Z113" i="30"/>
  <c r="AN113" i="30"/>
  <c r="AA113" i="30"/>
  <c r="AO113" i="30"/>
  <c r="AB113" i="30"/>
  <c r="AP113" i="30"/>
  <c r="BK113" i="30" s="1"/>
  <c r="T178" i="16" s="1"/>
  <c r="AC113" i="30"/>
  <c r="AX113" i="30" s="1"/>
  <c r="G178" i="16" s="1"/>
  <c r="AR113" i="30"/>
  <c r="BM113" i="30" s="1"/>
  <c r="V178" i="16" s="1"/>
  <c r="AG113" i="30"/>
  <c r="AD113" i="30"/>
  <c r="AF113" i="30"/>
  <c r="BA113" i="30" s="1"/>
  <c r="J178" i="16" s="1"/>
  <c r="AH113" i="30"/>
  <c r="AL113" i="30"/>
  <c r="AM113" i="30"/>
  <c r="AI185" i="30"/>
  <c r="BD185" i="30" s="1"/>
  <c r="M250" i="16" s="1"/>
  <c r="AJ185" i="30"/>
  <c r="AC185" i="30"/>
  <c r="AO185" i="30"/>
  <c r="BJ185" i="30" s="1"/>
  <c r="S250" i="16" s="1"/>
  <c r="AA185" i="30"/>
  <c r="AV185" i="30" s="1"/>
  <c r="E250" i="16" s="1"/>
  <c r="AQ185" i="30"/>
  <c r="BL185" i="30" s="1"/>
  <c r="U250" i="16" s="1"/>
  <c r="AB185" i="30"/>
  <c r="AR185" i="30"/>
  <c r="AD185" i="30"/>
  <c r="AY185" i="30" s="1"/>
  <c r="H250" i="16" s="1"/>
  <c r="AE185" i="30"/>
  <c r="AF185" i="30"/>
  <c r="AG185" i="30"/>
  <c r="AH185" i="30"/>
  <c r="BC185" i="30" s="1"/>
  <c r="L250" i="16" s="1"/>
  <c r="AK185" i="30"/>
  <c r="AL185" i="30"/>
  <c r="AM185" i="30"/>
  <c r="BH185" i="30" s="1"/>
  <c r="Q250" i="16" s="1"/>
  <c r="Y185" i="30"/>
  <c r="AT185" i="30" s="1"/>
  <c r="C250" i="16" s="1"/>
  <c r="AN185" i="30"/>
  <c r="BI185" i="30" s="1"/>
  <c r="R250" i="16" s="1"/>
  <c r="AP185" i="30"/>
  <c r="Z185" i="30"/>
  <c r="AC120" i="30"/>
  <c r="AX120" i="30" s="1"/>
  <c r="G185" i="16" s="1"/>
  <c r="AO120" i="30"/>
  <c r="AD120" i="30"/>
  <c r="AP120" i="30"/>
  <c r="AI120" i="30"/>
  <c r="AG120" i="30"/>
  <c r="AH120" i="30"/>
  <c r="BC120" i="30" s="1"/>
  <c r="L185" i="16" s="1"/>
  <c r="AJ120" i="30"/>
  <c r="BE120" i="30" s="1"/>
  <c r="N185" i="16" s="1"/>
  <c r="AK120" i="30"/>
  <c r="AL120" i="30"/>
  <c r="BG120" i="30" s="1"/>
  <c r="P185" i="16" s="1"/>
  <c r="AM120" i="30"/>
  <c r="Y120" i="30"/>
  <c r="AT120" i="30" s="1"/>
  <c r="C185" i="16" s="1"/>
  <c r="AN120" i="30"/>
  <c r="BI120" i="30" s="1"/>
  <c r="R185" i="16" s="1"/>
  <c r="Z120" i="30"/>
  <c r="AQ120" i="30"/>
  <c r="AA120" i="30"/>
  <c r="AR120" i="30"/>
  <c r="AB120" i="30"/>
  <c r="AE120" i="30"/>
  <c r="AF120" i="30"/>
  <c r="BA120" i="30" s="1"/>
  <c r="J185" i="16" s="1"/>
  <c r="AA192" i="30"/>
  <c r="AM192" i="30"/>
  <c r="BH192" i="30" s="1"/>
  <c r="Q257" i="16" s="1"/>
  <c r="AB192" i="30"/>
  <c r="AN192" i="30"/>
  <c r="AG192" i="30"/>
  <c r="BB192" i="30" s="1"/>
  <c r="K257" i="16" s="1"/>
  <c r="AE192" i="30"/>
  <c r="AF192" i="30"/>
  <c r="AH192" i="30"/>
  <c r="AI192" i="30"/>
  <c r="BD192" i="30" s="1"/>
  <c r="M257" i="16" s="1"/>
  <c r="AJ192" i="30"/>
  <c r="AK192" i="30"/>
  <c r="AL192" i="30"/>
  <c r="BG192" i="30" s="1"/>
  <c r="P257" i="16" s="1"/>
  <c r="AO192" i="30"/>
  <c r="Y192" i="30"/>
  <c r="AT192" i="30" s="1"/>
  <c r="C257" i="16" s="1"/>
  <c r="AP192" i="30"/>
  <c r="Z192" i="30"/>
  <c r="AQ192" i="30"/>
  <c r="BL192" i="30" s="1"/>
  <c r="U257" i="16" s="1"/>
  <c r="AC192" i="30"/>
  <c r="AR192" i="30"/>
  <c r="AD192" i="30"/>
  <c r="AG127" i="30"/>
  <c r="BB127" i="30" s="1"/>
  <c r="K192" i="16" s="1"/>
  <c r="AH127" i="30"/>
  <c r="AA127" i="30"/>
  <c r="AM127" i="30"/>
  <c r="BH127" i="30" s="1"/>
  <c r="Q192" i="16" s="1"/>
  <c r="AK127" i="30"/>
  <c r="AL127" i="30"/>
  <c r="BG127" i="30" s="1"/>
  <c r="P192" i="16" s="1"/>
  <c r="AN127" i="30"/>
  <c r="Y127" i="30"/>
  <c r="AT127" i="30" s="1"/>
  <c r="C192" i="16" s="1"/>
  <c r="AO127" i="30"/>
  <c r="BJ127" i="30" s="1"/>
  <c r="S192" i="16" s="1"/>
  <c r="Z127" i="30"/>
  <c r="AP127" i="30"/>
  <c r="AB127" i="30"/>
  <c r="AQ127" i="30"/>
  <c r="BL127" i="30" s="1"/>
  <c r="U192" i="16" s="1"/>
  <c r="AC127" i="30"/>
  <c r="AR127" i="30"/>
  <c r="AD127" i="30"/>
  <c r="AY127" i="30" s="1"/>
  <c r="H192" i="16" s="1"/>
  <c r="AE127" i="30"/>
  <c r="AF127" i="30"/>
  <c r="BA127" i="30" s="1"/>
  <c r="J192" i="16" s="1"/>
  <c r="AI127" i="30"/>
  <c r="AJ127" i="30"/>
  <c r="AE199" i="30"/>
  <c r="AZ199" i="30" s="1"/>
  <c r="I264" i="16" s="1"/>
  <c r="AQ199" i="30"/>
  <c r="Y199" i="30"/>
  <c r="AT199" i="30" s="1"/>
  <c r="C264" i="16" s="1"/>
  <c r="AK199" i="30"/>
  <c r="AG199" i="30"/>
  <c r="AH199" i="30"/>
  <c r="AI199" i="30"/>
  <c r="BD199" i="30" s="1"/>
  <c r="M264" i="16" s="1"/>
  <c r="AJ199" i="30"/>
  <c r="BE199" i="30" s="1"/>
  <c r="N264" i="16" s="1"/>
  <c r="AL199" i="30"/>
  <c r="AM199" i="30"/>
  <c r="BH199" i="30" s="1"/>
  <c r="Q264" i="16" s="1"/>
  <c r="Z199" i="30"/>
  <c r="AN199" i="30"/>
  <c r="AA199" i="30"/>
  <c r="AV199" i="30" s="1"/>
  <c r="E264" i="16" s="1"/>
  <c r="AO199" i="30"/>
  <c r="AB199" i="30"/>
  <c r="AC199" i="30"/>
  <c r="AD199" i="30"/>
  <c r="AF199" i="30"/>
  <c r="AP199" i="30"/>
  <c r="BK199" i="30" s="1"/>
  <c r="T264" i="16" s="1"/>
  <c r="AR199" i="30"/>
  <c r="BM199" i="30" s="1"/>
  <c r="V264" i="16" s="1"/>
  <c r="Y134" i="30"/>
  <c r="AT134" i="30" s="1"/>
  <c r="C199" i="16" s="1"/>
  <c r="AE134" i="30"/>
  <c r="AZ134" i="30" s="1"/>
  <c r="I199" i="16" s="1"/>
  <c r="AQ134" i="30"/>
  <c r="AI134" i="30"/>
  <c r="AJ134" i="30"/>
  <c r="BE134" i="30" s="1"/>
  <c r="N199" i="16" s="1"/>
  <c r="AK134" i="30"/>
  <c r="AC134" i="30"/>
  <c r="AO134" i="30"/>
  <c r="AR134" i="30"/>
  <c r="BM134" i="30" s="1"/>
  <c r="V199" i="16" s="1"/>
  <c r="Z134" i="30"/>
  <c r="AA134" i="30"/>
  <c r="AV134" i="30" s="1"/>
  <c r="E199" i="16" s="1"/>
  <c r="AB134" i="30"/>
  <c r="AD134" i="30"/>
  <c r="AF134" i="30"/>
  <c r="BA134" i="30" s="1"/>
  <c r="J199" i="16" s="1"/>
  <c r="AG134" i="30"/>
  <c r="AH134" i="30"/>
  <c r="AL134" i="30"/>
  <c r="BG134" i="30" s="1"/>
  <c r="P199" i="16" s="1"/>
  <c r="AM134" i="30"/>
  <c r="AN134" i="30"/>
  <c r="AP134" i="30"/>
  <c r="AG206" i="30"/>
  <c r="BB206" i="30" s="1"/>
  <c r="K271" i="16" s="1"/>
  <c r="Y206" i="30"/>
  <c r="AT206" i="30" s="1"/>
  <c r="C271" i="16" s="1"/>
  <c r="AK206" i="30"/>
  <c r="Z206" i="30"/>
  <c r="AL206" i="30"/>
  <c r="AA206" i="30"/>
  <c r="AV206" i="30" s="1"/>
  <c r="E271" i="16" s="1"/>
  <c r="AM206" i="30"/>
  <c r="AE206" i="30"/>
  <c r="AQ206" i="30"/>
  <c r="BL206" i="30" s="1"/>
  <c r="U271" i="16" s="1"/>
  <c r="AJ206" i="30"/>
  <c r="AN206" i="30"/>
  <c r="AO206" i="30"/>
  <c r="AP206" i="30"/>
  <c r="BK206" i="30" s="1"/>
  <c r="T271" i="16" s="1"/>
  <c r="AR206" i="30"/>
  <c r="BM206" i="30" s="1"/>
  <c r="V271" i="16" s="1"/>
  <c r="AB206" i="30"/>
  <c r="AC206" i="30"/>
  <c r="AD206" i="30"/>
  <c r="AF206" i="30"/>
  <c r="BA206" i="30" s="1"/>
  <c r="J271" i="16" s="1"/>
  <c r="AH206" i="30"/>
  <c r="AI206" i="30"/>
  <c r="AI147" i="30"/>
  <c r="BD147" i="30" s="1"/>
  <c r="M212" i="16" s="1"/>
  <c r="AA147" i="30"/>
  <c r="AM147" i="30"/>
  <c r="AB147" i="30"/>
  <c r="AN147" i="30"/>
  <c r="BI147" i="30" s="1"/>
  <c r="R212" i="16" s="1"/>
  <c r="AC147" i="30"/>
  <c r="AX147" i="30" s="1"/>
  <c r="G212" i="16" s="1"/>
  <c r="AO147" i="30"/>
  <c r="AG147" i="30"/>
  <c r="AE147" i="30"/>
  <c r="AF147" i="30"/>
  <c r="BA147" i="30" s="1"/>
  <c r="J212" i="16" s="1"/>
  <c r="AH147" i="30"/>
  <c r="AJ147" i="30"/>
  <c r="AK147" i="30"/>
  <c r="BF147" i="30" s="1"/>
  <c r="O212" i="16" s="1"/>
  <c r="AL147" i="30"/>
  <c r="AP147" i="30"/>
  <c r="AQ147" i="30"/>
  <c r="AR147" i="30"/>
  <c r="BM147" i="30" s="1"/>
  <c r="V212" i="16" s="1"/>
  <c r="Y147" i="30"/>
  <c r="AT147" i="30" s="1"/>
  <c r="C212" i="16" s="1"/>
  <c r="Z147" i="30"/>
  <c r="AD147" i="30"/>
  <c r="Y219" i="30"/>
  <c r="AK219" i="30"/>
  <c r="BF219" i="30" s="1"/>
  <c r="O284" i="16" s="1"/>
  <c r="AC219" i="30"/>
  <c r="AO219" i="30"/>
  <c r="BJ219" i="30" s="1"/>
  <c r="S284" i="16" s="1"/>
  <c r="AD219" i="30"/>
  <c r="AP219" i="30"/>
  <c r="AE219" i="30"/>
  <c r="AQ219" i="30"/>
  <c r="AI219" i="30"/>
  <c r="BD219" i="30" s="1"/>
  <c r="M284" i="16" s="1"/>
  <c r="Z219" i="30"/>
  <c r="AA219" i="30"/>
  <c r="AB219" i="30"/>
  <c r="AF219" i="30"/>
  <c r="AG219" i="30"/>
  <c r="BB219" i="30" s="1"/>
  <c r="K284" i="16" s="1"/>
  <c r="AH219" i="30"/>
  <c r="AJ219" i="30"/>
  <c r="BE219" i="30" s="1"/>
  <c r="N284" i="16" s="1"/>
  <c r="AL219" i="30"/>
  <c r="AM219" i="30"/>
  <c r="AN219" i="30"/>
  <c r="AR219" i="30"/>
  <c r="BM219" i="30" s="1"/>
  <c r="V284" i="16" s="1"/>
  <c r="AE160" i="30"/>
  <c r="AZ160" i="30" s="1"/>
  <c r="I225" i="16" s="1"/>
  <c r="AQ160" i="30"/>
  <c r="AF160" i="30"/>
  <c r="AR160" i="30"/>
  <c r="Y160" i="30"/>
  <c r="AT160" i="30" s="1"/>
  <c r="C225" i="16" s="1"/>
  <c r="AK160" i="30"/>
  <c r="BF160" i="30" s="1"/>
  <c r="O225" i="16" s="1"/>
  <c r="AD160" i="30"/>
  <c r="AG160" i="30"/>
  <c r="BB160" i="30" s="1"/>
  <c r="K225" i="16" s="1"/>
  <c r="AH160" i="30"/>
  <c r="AI160" i="30"/>
  <c r="AJ160" i="30"/>
  <c r="AL160" i="30"/>
  <c r="BG160" i="30" s="1"/>
  <c r="P225" i="16" s="1"/>
  <c r="AM160" i="30"/>
  <c r="BH160" i="30" s="1"/>
  <c r="Q225" i="16" s="1"/>
  <c r="AN160" i="30"/>
  <c r="Z160" i="30"/>
  <c r="AO160" i="30"/>
  <c r="AA160" i="30"/>
  <c r="AP160" i="30"/>
  <c r="BK160" i="30" s="1"/>
  <c r="T225" i="16" s="1"/>
  <c r="AB160" i="30"/>
  <c r="AC160" i="30"/>
  <c r="AX160" i="30" s="1"/>
  <c r="G225" i="16" s="1"/>
  <c r="AI93" i="30"/>
  <c r="AJ93" i="30"/>
  <c r="BE93" i="30" s="1"/>
  <c r="N158" i="16" s="1"/>
  <c r="AC93" i="30"/>
  <c r="AO93" i="30"/>
  <c r="BJ93" i="30" s="1"/>
  <c r="S158" i="16" s="1"/>
  <c r="AL93" i="30"/>
  <c r="AM93" i="30"/>
  <c r="AA93" i="30"/>
  <c r="AQ93" i="30"/>
  <c r="BL93" i="30" s="1"/>
  <c r="U158" i="16" s="1"/>
  <c r="AB93" i="30"/>
  <c r="AW93" i="30" s="1"/>
  <c r="F158" i="16" s="1"/>
  <c r="AR93" i="30"/>
  <c r="AD93" i="30"/>
  <c r="AE93" i="30"/>
  <c r="AH93" i="30"/>
  <c r="AP93" i="30"/>
  <c r="BK93" i="30" s="1"/>
  <c r="T158" i="16" s="1"/>
  <c r="Y93" i="30"/>
  <c r="AT93" i="30" s="1"/>
  <c r="C158" i="16" s="1"/>
  <c r="Z93" i="30"/>
  <c r="AF93" i="30"/>
  <c r="AG93" i="30"/>
  <c r="AK93" i="30"/>
  <c r="AN93" i="30"/>
  <c r="BI93" i="30" s="1"/>
  <c r="R158" i="16" s="1"/>
  <c r="AC83" i="30"/>
  <c r="AX83" i="30" s="1"/>
  <c r="G148" i="16" s="1"/>
  <c r="AO83" i="30"/>
  <c r="AG83" i="30"/>
  <c r="AI83" i="30"/>
  <c r="Y83" i="30"/>
  <c r="AT83" i="30" s="1"/>
  <c r="C148" i="16" s="1"/>
  <c r="AK83" i="30"/>
  <c r="BF83" i="30" s="1"/>
  <c r="O148" i="16" s="1"/>
  <c r="Z83" i="30"/>
  <c r="AL83" i="30"/>
  <c r="AM83" i="30"/>
  <c r="AN83" i="30"/>
  <c r="AB83" i="30"/>
  <c r="AH83" i="30"/>
  <c r="BC83" i="30" s="1"/>
  <c r="L148" i="16" s="1"/>
  <c r="AJ83" i="30"/>
  <c r="BE83" i="30" s="1"/>
  <c r="N148" i="16" s="1"/>
  <c r="AR83" i="30"/>
  <c r="AE83" i="30"/>
  <c r="AA83" i="30"/>
  <c r="AD83" i="30"/>
  <c r="AF83" i="30"/>
  <c r="BA83" i="30" s="1"/>
  <c r="J148" i="16" s="1"/>
  <c r="AP83" i="30"/>
  <c r="BK83" i="30" s="1"/>
  <c r="T148" i="16" s="1"/>
  <c r="AQ83" i="30"/>
  <c r="Y85" i="30"/>
  <c r="AT85" i="30" s="1"/>
  <c r="C150" i="16" s="1"/>
  <c r="AK85" i="30"/>
  <c r="AC85" i="30"/>
  <c r="AO85" i="30"/>
  <c r="BJ85" i="30" s="1"/>
  <c r="S150" i="16" s="1"/>
  <c r="AE85" i="30"/>
  <c r="AZ85" i="30" s="1"/>
  <c r="I150" i="16" s="1"/>
  <c r="AQ85" i="30"/>
  <c r="AG85" i="30"/>
  <c r="AH85" i="30"/>
  <c r="AM85" i="30"/>
  <c r="AN85" i="30"/>
  <c r="BI85" i="30" s="1"/>
  <c r="R150" i="16" s="1"/>
  <c r="AB85" i="30"/>
  <c r="AW85" i="30" s="1"/>
  <c r="F150" i="16" s="1"/>
  <c r="Z85" i="30"/>
  <c r="AF85" i="30"/>
  <c r="BA85" i="30" s="1"/>
  <c r="J150" i="16" s="1"/>
  <c r="AI85" i="30"/>
  <c r="AJ85" i="30"/>
  <c r="AL85" i="30"/>
  <c r="BG85" i="30" s="1"/>
  <c r="P150" i="16" s="1"/>
  <c r="AA85" i="30"/>
  <c r="AV85" i="30" s="1"/>
  <c r="E150" i="16" s="1"/>
  <c r="AD85" i="30"/>
  <c r="AP85" i="30"/>
  <c r="AR85" i="30"/>
  <c r="Y119" i="30"/>
  <c r="AT119" i="30" s="1"/>
  <c r="C184" i="16" s="1"/>
  <c r="AK119" i="30"/>
  <c r="BF119" i="30" s="1"/>
  <c r="O184" i="16" s="1"/>
  <c r="Z119" i="30"/>
  <c r="AL119" i="30"/>
  <c r="AE119" i="30"/>
  <c r="AZ119" i="30" s="1"/>
  <c r="I184" i="16" s="1"/>
  <c r="AQ119" i="30"/>
  <c r="AJ119" i="30"/>
  <c r="BE119" i="30" s="1"/>
  <c r="N184" i="16" s="1"/>
  <c r="AM119" i="30"/>
  <c r="BH119" i="30" s="1"/>
  <c r="Q184" i="16" s="1"/>
  <c r="AN119" i="30"/>
  <c r="BI119" i="30" s="1"/>
  <c r="R184" i="16" s="1"/>
  <c r="AO119" i="30"/>
  <c r="AA119" i="30"/>
  <c r="AP119" i="30"/>
  <c r="AB119" i="30"/>
  <c r="AR119" i="30"/>
  <c r="BM119" i="30" s="1"/>
  <c r="V184" i="16" s="1"/>
  <c r="AC119" i="30"/>
  <c r="AD119" i="30"/>
  <c r="AF119" i="30"/>
  <c r="BA119" i="30" s="1"/>
  <c r="J184" i="16" s="1"/>
  <c r="AG119" i="30"/>
  <c r="AH119" i="30"/>
  <c r="AI119" i="30"/>
  <c r="BD119" i="30" s="1"/>
  <c r="M184" i="16" s="1"/>
  <c r="AI191" i="30"/>
  <c r="BD191" i="30" s="1"/>
  <c r="M256" i="16" s="1"/>
  <c r="AJ191" i="30"/>
  <c r="AC191" i="30"/>
  <c r="AO191" i="30"/>
  <c r="AH191" i="30"/>
  <c r="AK191" i="30"/>
  <c r="BF191" i="30" s="1"/>
  <c r="O256" i="16" s="1"/>
  <c r="AL191" i="30"/>
  <c r="AM191" i="30"/>
  <c r="Y191" i="30"/>
  <c r="AT191" i="30" s="1"/>
  <c r="C256" i="16" s="1"/>
  <c r="AN191" i="30"/>
  <c r="Z191" i="30"/>
  <c r="AP191" i="30"/>
  <c r="BK191" i="30" s="1"/>
  <c r="T256" i="16" s="1"/>
  <c r="AA191" i="30"/>
  <c r="AV191" i="30" s="1"/>
  <c r="E256" i="16" s="1"/>
  <c r="AQ191" i="30"/>
  <c r="AB191" i="30"/>
  <c r="AR191" i="30"/>
  <c r="AD191" i="30"/>
  <c r="AE191" i="30"/>
  <c r="AZ191" i="30" s="1"/>
  <c r="I256" i="16" s="1"/>
  <c r="AF191" i="30"/>
  <c r="BA191" i="30" s="1"/>
  <c r="J256" i="16" s="1"/>
  <c r="AG191" i="30"/>
  <c r="AC126" i="30"/>
  <c r="AO126" i="30"/>
  <c r="AD126" i="30"/>
  <c r="AY126" i="30" s="1"/>
  <c r="H191" i="16" s="1"/>
  <c r="AP126" i="30"/>
  <c r="BK126" i="30" s="1"/>
  <c r="T191" i="16" s="1"/>
  <c r="AI126" i="30"/>
  <c r="Y126" i="30"/>
  <c r="AT126" i="30" s="1"/>
  <c r="C191" i="16" s="1"/>
  <c r="AN126" i="30"/>
  <c r="Z126" i="30"/>
  <c r="AQ126" i="30"/>
  <c r="AA126" i="30"/>
  <c r="AV126" i="30" s="1"/>
  <c r="E191" i="16" s="1"/>
  <c r="AR126" i="30"/>
  <c r="BM126" i="30" s="1"/>
  <c r="V191" i="16" s="1"/>
  <c r="AB126" i="30"/>
  <c r="AE126" i="30"/>
  <c r="AF126" i="30"/>
  <c r="AG126" i="30"/>
  <c r="BB126" i="30" s="1"/>
  <c r="K191" i="16" s="1"/>
  <c r="AH126" i="30"/>
  <c r="BC126" i="30" s="1"/>
  <c r="L191" i="16" s="1"/>
  <c r="AJ126" i="30"/>
  <c r="AK126" i="30"/>
  <c r="AL126" i="30"/>
  <c r="AM126" i="30"/>
  <c r="AA198" i="30"/>
  <c r="AM198" i="30"/>
  <c r="BH198" i="30" s="1"/>
  <c r="Q263" i="16" s="1"/>
  <c r="AB198" i="30"/>
  <c r="AG198" i="30"/>
  <c r="AL198" i="30"/>
  <c r="AN198" i="30"/>
  <c r="Y198" i="30"/>
  <c r="AT198" i="30" s="1"/>
  <c r="C263" i="16" s="1"/>
  <c r="AO198" i="30"/>
  <c r="Z198" i="30"/>
  <c r="AP198" i="30"/>
  <c r="AC198" i="30"/>
  <c r="AQ198" i="30"/>
  <c r="AD198" i="30"/>
  <c r="AR198" i="30"/>
  <c r="BM198" i="30" s="1"/>
  <c r="V263" i="16" s="1"/>
  <c r="AE198" i="30"/>
  <c r="AZ198" i="30" s="1"/>
  <c r="I263" i="16" s="1"/>
  <c r="AF198" i="30"/>
  <c r="AH198" i="30"/>
  <c r="AI198" i="30"/>
  <c r="AJ198" i="30"/>
  <c r="BE198" i="30" s="1"/>
  <c r="N263" i="16" s="1"/>
  <c r="AK198" i="30"/>
  <c r="AG133" i="30"/>
  <c r="BB133" i="30" s="1"/>
  <c r="K198" i="16" s="1"/>
  <c r="AA133" i="30"/>
  <c r="AM133" i="30"/>
  <c r="AK133" i="30"/>
  <c r="AB133" i="30"/>
  <c r="AW133" i="30" s="1"/>
  <c r="F198" i="16" s="1"/>
  <c r="AP133" i="30"/>
  <c r="BK133" i="30" s="1"/>
  <c r="T198" i="16" s="1"/>
  <c r="AC133" i="30"/>
  <c r="AX133" i="30" s="1"/>
  <c r="G198" i="16" s="1"/>
  <c r="AQ133" i="30"/>
  <c r="AD133" i="30"/>
  <c r="AR133" i="30"/>
  <c r="BM133" i="30" s="1"/>
  <c r="V198" i="16" s="1"/>
  <c r="AI133" i="30"/>
  <c r="BD133" i="30" s="1"/>
  <c r="M198" i="16" s="1"/>
  <c r="AO133" i="30"/>
  <c r="BJ133" i="30" s="1"/>
  <c r="S198" i="16" s="1"/>
  <c r="Y133" i="30"/>
  <c r="AT133" i="30" s="1"/>
  <c r="C198" i="16" s="1"/>
  <c r="Z133" i="30"/>
  <c r="AE133" i="30"/>
  <c r="AF133" i="30"/>
  <c r="AH133" i="30"/>
  <c r="AJ133" i="30"/>
  <c r="BE133" i="30" s="1"/>
  <c r="N198" i="16" s="1"/>
  <c r="AL133" i="30"/>
  <c r="BG133" i="30" s="1"/>
  <c r="P198" i="16" s="1"/>
  <c r="AN133" i="30"/>
  <c r="AC205" i="30"/>
  <c r="AO205" i="30"/>
  <c r="AG205" i="30"/>
  <c r="BB205" i="30" s="1"/>
  <c r="K270" i="16" s="1"/>
  <c r="AH205" i="30"/>
  <c r="AI205" i="30"/>
  <c r="BD205" i="30" s="1"/>
  <c r="M270" i="16" s="1"/>
  <c r="AA205" i="30"/>
  <c r="AM205" i="30"/>
  <c r="AK205" i="30"/>
  <c r="AL205" i="30"/>
  <c r="AN205" i="30"/>
  <c r="BI205" i="30" s="1"/>
  <c r="R270" i="16" s="1"/>
  <c r="AP205" i="30"/>
  <c r="BK205" i="30" s="1"/>
  <c r="T270" i="16" s="1"/>
  <c r="AQ205" i="30"/>
  <c r="Y205" i="30"/>
  <c r="AT205" i="30" s="1"/>
  <c r="C270" i="16" s="1"/>
  <c r="AR205" i="30"/>
  <c r="BM205" i="30" s="1"/>
  <c r="V270" i="16" s="1"/>
  <c r="Z205" i="30"/>
  <c r="AB205" i="30"/>
  <c r="AW205" i="30" s="1"/>
  <c r="F270" i="16" s="1"/>
  <c r="AD205" i="30"/>
  <c r="AY205" i="30" s="1"/>
  <c r="H270" i="16" s="1"/>
  <c r="AE205" i="30"/>
  <c r="AF205" i="30"/>
  <c r="AJ205" i="30"/>
  <c r="AE140" i="30"/>
  <c r="AQ140" i="30"/>
  <c r="BL140" i="30" s="1"/>
  <c r="U205" i="16" s="1"/>
  <c r="AI140" i="30"/>
  <c r="AJ140" i="30"/>
  <c r="Y140" i="30"/>
  <c r="AT140" i="30" s="1"/>
  <c r="C205" i="16" s="1"/>
  <c r="AK140" i="30"/>
  <c r="AC140" i="30"/>
  <c r="AX140" i="30" s="1"/>
  <c r="G205" i="16" s="1"/>
  <c r="AO140" i="30"/>
  <c r="AA140" i="30"/>
  <c r="AV140" i="30" s="1"/>
  <c r="E205" i="16" s="1"/>
  <c r="AB140" i="30"/>
  <c r="AD140" i="30"/>
  <c r="AF140" i="30"/>
  <c r="AG140" i="30"/>
  <c r="AH140" i="30"/>
  <c r="BC140" i="30" s="1"/>
  <c r="L205" i="16" s="1"/>
  <c r="AL140" i="30"/>
  <c r="AM140" i="30"/>
  <c r="AN140" i="30"/>
  <c r="BI140" i="30" s="1"/>
  <c r="R205" i="16" s="1"/>
  <c r="AP140" i="30"/>
  <c r="AR140" i="30"/>
  <c r="BM140" i="30" s="1"/>
  <c r="V205" i="16" s="1"/>
  <c r="Z140" i="30"/>
  <c r="AG212" i="30"/>
  <c r="Y212" i="30"/>
  <c r="AT212" i="30" s="1"/>
  <c r="C277" i="16" s="1"/>
  <c r="AK212" i="30"/>
  <c r="Z212" i="30"/>
  <c r="AL212" i="30"/>
  <c r="AA212" i="30"/>
  <c r="AV212" i="30" s="1"/>
  <c r="E277" i="16" s="1"/>
  <c r="AM212" i="30"/>
  <c r="AE212" i="30"/>
  <c r="AQ212" i="30"/>
  <c r="BL212" i="30" s="1"/>
  <c r="U277" i="16" s="1"/>
  <c r="AO212" i="30"/>
  <c r="BJ212" i="30" s="1"/>
  <c r="S277" i="16" s="1"/>
  <c r="AP212" i="30"/>
  <c r="AR212" i="30"/>
  <c r="AB212" i="30"/>
  <c r="AC212" i="30"/>
  <c r="AD212" i="30"/>
  <c r="AF212" i="30"/>
  <c r="AH212" i="30"/>
  <c r="AI212" i="30"/>
  <c r="BD212" i="30" s="1"/>
  <c r="M277" i="16" s="1"/>
  <c r="AJ212" i="30"/>
  <c r="AN212" i="30"/>
  <c r="AI153" i="30"/>
  <c r="BD153" i="30" s="1"/>
  <c r="M218" i="16" s="1"/>
  <c r="AA153" i="30"/>
  <c r="AV153" i="30" s="1"/>
  <c r="E218" i="16" s="1"/>
  <c r="AM153" i="30"/>
  <c r="AB153" i="30"/>
  <c r="AN153" i="30"/>
  <c r="AC153" i="30"/>
  <c r="AO153" i="30"/>
  <c r="AG153" i="30"/>
  <c r="AH153" i="30"/>
  <c r="AJ153" i="30"/>
  <c r="BE153" i="30" s="1"/>
  <c r="N218" i="16" s="1"/>
  <c r="AK153" i="30"/>
  <c r="AL153" i="30"/>
  <c r="AP153" i="30"/>
  <c r="BK153" i="30" s="1"/>
  <c r="T218" i="16" s="1"/>
  <c r="AQ153" i="30"/>
  <c r="BL153" i="30" s="1"/>
  <c r="U218" i="16" s="1"/>
  <c r="AR153" i="30"/>
  <c r="Y153" i="30"/>
  <c r="AT153" i="30" s="1"/>
  <c r="C218" i="16" s="1"/>
  <c r="Z153" i="30"/>
  <c r="AD153" i="30"/>
  <c r="AE153" i="30"/>
  <c r="AF153" i="30"/>
  <c r="Y225" i="30"/>
  <c r="AT225" i="30" s="1"/>
  <c r="C290" i="16" s="1"/>
  <c r="AK225" i="30"/>
  <c r="BF225" i="30" s="1"/>
  <c r="O290" i="16" s="1"/>
  <c r="AC225" i="30"/>
  <c r="AO225" i="30"/>
  <c r="AD225" i="30"/>
  <c r="AY225" i="30" s="1"/>
  <c r="H290" i="16" s="1"/>
  <c r="AP225" i="30"/>
  <c r="AE225" i="30"/>
  <c r="AQ225" i="30"/>
  <c r="AI225" i="30"/>
  <c r="BD225" i="30" s="1"/>
  <c r="M290" i="16" s="1"/>
  <c r="AA225" i="30"/>
  <c r="AB225" i="30"/>
  <c r="AF225" i="30"/>
  <c r="AG225" i="30"/>
  <c r="AH225" i="30"/>
  <c r="BC225" i="30" s="1"/>
  <c r="L290" i="16" s="1"/>
  <c r="AJ225" i="30"/>
  <c r="AL225" i="30"/>
  <c r="AM225" i="30"/>
  <c r="BH225" i="30" s="1"/>
  <c r="Q290" i="16" s="1"/>
  <c r="AN225" i="30"/>
  <c r="AR225" i="30"/>
  <c r="BM225" i="30" s="1"/>
  <c r="V290" i="16" s="1"/>
  <c r="Z225" i="30"/>
  <c r="AE166" i="30"/>
  <c r="AZ166" i="30" s="1"/>
  <c r="I231" i="16" s="1"/>
  <c r="AQ166" i="30"/>
  <c r="AF166" i="30"/>
  <c r="AR166" i="30"/>
  <c r="Y166" i="30"/>
  <c r="AT166" i="30" s="1"/>
  <c r="C231" i="16" s="1"/>
  <c r="AK166" i="30"/>
  <c r="BF166" i="30" s="1"/>
  <c r="O231" i="16" s="1"/>
  <c r="AM166" i="30"/>
  <c r="AN166" i="30"/>
  <c r="Z166" i="30"/>
  <c r="AO166" i="30"/>
  <c r="AA166" i="30"/>
  <c r="AP166" i="30"/>
  <c r="AB166" i="30"/>
  <c r="AW166" i="30" s="1"/>
  <c r="F231" i="16" s="1"/>
  <c r="AC166" i="30"/>
  <c r="AD166" i="30"/>
  <c r="AG166" i="30"/>
  <c r="AH166" i="30"/>
  <c r="AI166" i="30"/>
  <c r="BD166" i="30" s="1"/>
  <c r="M231" i="16" s="1"/>
  <c r="AJ166" i="30"/>
  <c r="AL166" i="30"/>
  <c r="AI99" i="30"/>
  <c r="AJ99" i="30"/>
  <c r="BE99" i="30" s="1"/>
  <c r="N164" i="16" s="1"/>
  <c r="AC99" i="30"/>
  <c r="AO99" i="30"/>
  <c r="AD99" i="30"/>
  <c r="AY99" i="30" s="1"/>
  <c r="H164" i="16" s="1"/>
  <c r="AE99" i="30"/>
  <c r="AH99" i="30"/>
  <c r="AK99" i="30"/>
  <c r="AL99" i="30"/>
  <c r="BG99" i="30" s="1"/>
  <c r="P164" i="16" s="1"/>
  <c r="AM99" i="30"/>
  <c r="AA99" i="30"/>
  <c r="AQ99" i="30"/>
  <c r="AN99" i="30"/>
  <c r="AP99" i="30"/>
  <c r="BK99" i="30" s="1"/>
  <c r="T164" i="16" s="1"/>
  <c r="AR99" i="30"/>
  <c r="Y99" i="30"/>
  <c r="AT99" i="30" s="1"/>
  <c r="C164" i="16" s="1"/>
  <c r="Z99" i="30"/>
  <c r="AB99" i="30"/>
  <c r="AF99" i="30"/>
  <c r="AG99" i="30"/>
  <c r="AC89" i="30"/>
  <c r="AX89" i="30" s="1"/>
  <c r="G154" i="16" s="1"/>
  <c r="AO89" i="30"/>
  <c r="AI89" i="30"/>
  <c r="AK89" i="30"/>
  <c r="AL89" i="30"/>
  <c r="AD89" i="30"/>
  <c r="AY89" i="30" s="1"/>
  <c r="H154" i="16" s="1"/>
  <c r="AR89" i="30"/>
  <c r="BM89" i="30" s="1"/>
  <c r="V154" i="16" s="1"/>
  <c r="AE89" i="30"/>
  <c r="AZ89" i="30" s="1"/>
  <c r="I154" i="16" s="1"/>
  <c r="AF89" i="30"/>
  <c r="BA89" i="30" s="1"/>
  <c r="J154" i="16" s="1"/>
  <c r="AJ89" i="30"/>
  <c r="AM89" i="30"/>
  <c r="AN89" i="30"/>
  <c r="AP89" i="30"/>
  <c r="BK89" i="30" s="1"/>
  <c r="T154" i="16" s="1"/>
  <c r="AA89" i="30"/>
  <c r="AQ89" i="30"/>
  <c r="Y89" i="30"/>
  <c r="AT89" i="30" s="1"/>
  <c r="C154" i="16" s="1"/>
  <c r="Z89" i="30"/>
  <c r="AB89" i="30"/>
  <c r="AW89" i="30" s="1"/>
  <c r="F154" i="16" s="1"/>
  <c r="AG89" i="30"/>
  <c r="AH89" i="30"/>
  <c r="BC89" i="30" s="1"/>
  <c r="L154" i="16" s="1"/>
  <c r="Y91" i="30"/>
  <c r="AT91" i="30" s="1"/>
  <c r="C156" i="16" s="1"/>
  <c r="AE91" i="30"/>
  <c r="Z91" i="30"/>
  <c r="AM91" i="30"/>
  <c r="AA91" i="30"/>
  <c r="AN91" i="30"/>
  <c r="AG91" i="30"/>
  <c r="AC91" i="30"/>
  <c r="AD91" i="30"/>
  <c r="AI91" i="30"/>
  <c r="BD91" i="30" s="1"/>
  <c r="M156" i="16" s="1"/>
  <c r="AJ91" i="30"/>
  <c r="BE91" i="30" s="1"/>
  <c r="N156" i="16" s="1"/>
  <c r="AK91" i="30"/>
  <c r="BF91" i="30" s="1"/>
  <c r="O156" i="16" s="1"/>
  <c r="AL91" i="30"/>
  <c r="AQ91" i="30"/>
  <c r="AR91" i="30"/>
  <c r="AB91" i="30"/>
  <c r="AF91" i="30"/>
  <c r="AH91" i="30"/>
  <c r="AO91" i="30"/>
  <c r="AP91" i="30"/>
  <c r="Y125" i="30"/>
  <c r="AT125" i="30" s="1"/>
  <c r="C190" i="16" s="1"/>
  <c r="AK125" i="30"/>
  <c r="Z125" i="30"/>
  <c r="AL125" i="30"/>
  <c r="AE125" i="30"/>
  <c r="AZ125" i="30" s="1"/>
  <c r="I190" i="16" s="1"/>
  <c r="AQ125" i="30"/>
  <c r="AC125" i="30"/>
  <c r="AD125" i="30"/>
  <c r="AF125" i="30"/>
  <c r="BA125" i="30" s="1"/>
  <c r="J190" i="16" s="1"/>
  <c r="AG125" i="30"/>
  <c r="AH125" i="30"/>
  <c r="AI125" i="30"/>
  <c r="AJ125" i="30"/>
  <c r="BE125" i="30" s="1"/>
  <c r="N190" i="16" s="1"/>
  <c r="AM125" i="30"/>
  <c r="AN125" i="30"/>
  <c r="BI125" i="30" s="1"/>
  <c r="R190" i="16" s="1"/>
  <c r="AO125" i="30"/>
  <c r="AA125" i="30"/>
  <c r="AP125" i="30"/>
  <c r="AB125" i="30"/>
  <c r="AR125" i="30"/>
  <c r="AI197" i="30"/>
  <c r="AJ197" i="30"/>
  <c r="AC197" i="30"/>
  <c r="AO197" i="30"/>
  <c r="AA197" i="30"/>
  <c r="AV197" i="30" s="1"/>
  <c r="E262" i="16" s="1"/>
  <c r="AQ197" i="30"/>
  <c r="BL197" i="30" s="1"/>
  <c r="U262" i="16" s="1"/>
  <c r="AB197" i="30"/>
  <c r="AW197" i="30" s="1"/>
  <c r="F262" i="16" s="1"/>
  <c r="AR197" i="30"/>
  <c r="AD197" i="30"/>
  <c r="AE197" i="30"/>
  <c r="AF197" i="30"/>
  <c r="AG197" i="30"/>
  <c r="AH197" i="30"/>
  <c r="AK197" i="30"/>
  <c r="AL197" i="30"/>
  <c r="AM197" i="30"/>
  <c r="Y197" i="30"/>
  <c r="AT197" i="30" s="1"/>
  <c r="C262" i="16" s="1"/>
  <c r="AN197" i="30"/>
  <c r="BI197" i="30" s="1"/>
  <c r="R262" i="16" s="1"/>
  <c r="Z197" i="30"/>
  <c r="AP197" i="30"/>
  <c r="AC132" i="30"/>
  <c r="AO132" i="30"/>
  <c r="AI132" i="30"/>
  <c r="BD132" i="30" s="1"/>
  <c r="M197" i="16" s="1"/>
  <c r="AB132" i="30"/>
  <c r="AQ132" i="30"/>
  <c r="BL132" i="30" s="1"/>
  <c r="U197" i="16" s="1"/>
  <c r="AG132" i="30"/>
  <c r="AH132" i="30"/>
  <c r="AJ132" i="30"/>
  <c r="Z132" i="30"/>
  <c r="AN132" i="30"/>
  <c r="BI132" i="30" s="1"/>
  <c r="R197" i="16" s="1"/>
  <c r="AL132" i="30"/>
  <c r="BG132" i="30" s="1"/>
  <c r="P197" i="16" s="1"/>
  <c r="AM132" i="30"/>
  <c r="AP132" i="30"/>
  <c r="AR132" i="30"/>
  <c r="Y132" i="30"/>
  <c r="AT132" i="30" s="1"/>
  <c r="C197" i="16" s="1"/>
  <c r="AA132" i="30"/>
  <c r="AD132" i="30"/>
  <c r="AY132" i="30" s="1"/>
  <c r="H197" i="16" s="1"/>
  <c r="AE132" i="30"/>
  <c r="AF132" i="30"/>
  <c r="AK132" i="30"/>
  <c r="Y204" i="30"/>
  <c r="AT204" i="30" s="1"/>
  <c r="C269" i="16" s="1"/>
  <c r="AK204" i="30"/>
  <c r="AC204" i="30"/>
  <c r="AX204" i="30" s="1"/>
  <c r="G269" i="16" s="1"/>
  <c r="AO204" i="30"/>
  <c r="AD204" i="30"/>
  <c r="AP204" i="30"/>
  <c r="AE204" i="30"/>
  <c r="AQ204" i="30"/>
  <c r="AI204" i="30"/>
  <c r="BD204" i="30" s="1"/>
  <c r="M269" i="16" s="1"/>
  <c r="AJ204" i="30"/>
  <c r="AL204" i="30"/>
  <c r="AM204" i="30"/>
  <c r="AN204" i="30"/>
  <c r="BI204" i="30" s="1"/>
  <c r="R269" i="16" s="1"/>
  <c r="AR204" i="30"/>
  <c r="Z204" i="30"/>
  <c r="AA204" i="30"/>
  <c r="AB204" i="30"/>
  <c r="AF204" i="30"/>
  <c r="AG204" i="30"/>
  <c r="AH204" i="30"/>
  <c r="AA139" i="30"/>
  <c r="AV139" i="30" s="1"/>
  <c r="E204" i="16" s="1"/>
  <c r="AM139" i="30"/>
  <c r="AE139" i="30"/>
  <c r="AQ139" i="30"/>
  <c r="AF139" i="30"/>
  <c r="AR139" i="30"/>
  <c r="BM139" i="30" s="1"/>
  <c r="V204" i="16" s="1"/>
  <c r="AG139" i="30"/>
  <c r="Y139" i="30"/>
  <c r="AT139" i="30" s="1"/>
  <c r="C204" i="16" s="1"/>
  <c r="AK139" i="30"/>
  <c r="BF139" i="30" s="1"/>
  <c r="O204" i="16" s="1"/>
  <c r="Z139" i="30"/>
  <c r="AB139" i="30"/>
  <c r="AC139" i="30"/>
  <c r="AD139" i="30"/>
  <c r="AY139" i="30" s="1"/>
  <c r="H204" i="16" s="1"/>
  <c r="AH139" i="30"/>
  <c r="AI139" i="30"/>
  <c r="AJ139" i="30"/>
  <c r="AL139" i="30"/>
  <c r="BG139" i="30" s="1"/>
  <c r="P204" i="16" s="1"/>
  <c r="AN139" i="30"/>
  <c r="BI139" i="30" s="1"/>
  <c r="R204" i="16" s="1"/>
  <c r="AO139" i="30"/>
  <c r="AP139" i="30"/>
  <c r="AC211" i="30"/>
  <c r="AO211" i="30"/>
  <c r="AG211" i="30"/>
  <c r="AH211" i="30"/>
  <c r="AI211" i="30"/>
  <c r="AA211" i="30"/>
  <c r="AM211" i="30"/>
  <c r="AN211" i="30"/>
  <c r="AP211" i="30"/>
  <c r="BK211" i="30" s="1"/>
  <c r="T276" i="16" s="1"/>
  <c r="AQ211" i="30"/>
  <c r="BL211" i="30" s="1"/>
  <c r="U276" i="16" s="1"/>
  <c r="Y211" i="30"/>
  <c r="AT211" i="30" s="1"/>
  <c r="C276" i="16" s="1"/>
  <c r="AR211" i="30"/>
  <c r="Z211" i="30"/>
  <c r="AB211" i="30"/>
  <c r="AD211" i="30"/>
  <c r="AE211" i="30"/>
  <c r="AF211" i="30"/>
  <c r="AJ211" i="30"/>
  <c r="AK211" i="30"/>
  <c r="AL211" i="30"/>
  <c r="AE146" i="30"/>
  <c r="AZ146" i="30" s="1"/>
  <c r="I211" i="16" s="1"/>
  <c r="AQ146" i="30"/>
  <c r="BL146" i="30" s="1"/>
  <c r="U211" i="16" s="1"/>
  <c r="AI146" i="30"/>
  <c r="AJ146" i="30"/>
  <c r="Y146" i="30"/>
  <c r="AT146" i="30" s="1"/>
  <c r="C211" i="16" s="1"/>
  <c r="AK146" i="30"/>
  <c r="AC146" i="30"/>
  <c r="AO146" i="30"/>
  <c r="AD146" i="30"/>
  <c r="AY146" i="30" s="1"/>
  <c r="H211" i="16" s="1"/>
  <c r="AF146" i="30"/>
  <c r="AG146" i="30"/>
  <c r="AH146" i="30"/>
  <c r="AL146" i="30"/>
  <c r="BG146" i="30" s="1"/>
  <c r="P211" i="16" s="1"/>
  <c r="AM146" i="30"/>
  <c r="BH146" i="30" s="1"/>
  <c r="Q211" i="16" s="1"/>
  <c r="AN146" i="30"/>
  <c r="AP146" i="30"/>
  <c r="AR146" i="30"/>
  <c r="Z146" i="30"/>
  <c r="AA146" i="30"/>
  <c r="AB146" i="30"/>
  <c r="AG218" i="30"/>
  <c r="BB218" i="30" s="1"/>
  <c r="K283" i="16" s="1"/>
  <c r="Y218" i="30"/>
  <c r="AT218" i="30" s="1"/>
  <c r="C283" i="16" s="1"/>
  <c r="AK218" i="30"/>
  <c r="Z218" i="30"/>
  <c r="AL218" i="30"/>
  <c r="BG218" i="30" s="1"/>
  <c r="P283" i="16" s="1"/>
  <c r="AA218" i="30"/>
  <c r="AV218" i="30" s="1"/>
  <c r="E283" i="16" s="1"/>
  <c r="AM218" i="30"/>
  <c r="AE218" i="30"/>
  <c r="AQ218" i="30"/>
  <c r="BL218" i="30" s="1"/>
  <c r="U283" i="16" s="1"/>
  <c r="AR218" i="30"/>
  <c r="AB218" i="30"/>
  <c r="AC218" i="30"/>
  <c r="AD218" i="30"/>
  <c r="AY218" i="30" s="1"/>
  <c r="H283" i="16" s="1"/>
  <c r="AF218" i="30"/>
  <c r="AH218" i="30"/>
  <c r="AI218" i="30"/>
  <c r="AJ218" i="30"/>
  <c r="BE218" i="30" s="1"/>
  <c r="N283" i="16" s="1"/>
  <c r="AN218" i="30"/>
  <c r="BI218" i="30" s="1"/>
  <c r="R283" i="16" s="1"/>
  <c r="AO218" i="30"/>
  <c r="AP218" i="30"/>
  <c r="AA159" i="30"/>
  <c r="AM159" i="30"/>
  <c r="AB159" i="30"/>
  <c r="AN159" i="30"/>
  <c r="AG159" i="30"/>
  <c r="BB159" i="30" s="1"/>
  <c r="K224" i="16" s="1"/>
  <c r="AI159" i="30"/>
  <c r="AJ159" i="30"/>
  <c r="AK159" i="30"/>
  <c r="AL159" i="30"/>
  <c r="BG159" i="30" s="1"/>
  <c r="P224" i="16" s="1"/>
  <c r="AO159" i="30"/>
  <c r="BJ159" i="30" s="1"/>
  <c r="S224" i="16" s="1"/>
  <c r="Y159" i="30"/>
  <c r="AT159" i="30" s="1"/>
  <c r="C224" i="16" s="1"/>
  <c r="AP159" i="30"/>
  <c r="Z159" i="30"/>
  <c r="AQ159" i="30"/>
  <c r="AC159" i="30"/>
  <c r="AR159" i="30"/>
  <c r="AD159" i="30"/>
  <c r="AY159" i="30" s="1"/>
  <c r="H224" i="16" s="1"/>
  <c r="AE159" i="30"/>
  <c r="AF159" i="30"/>
  <c r="AH159" i="30"/>
  <c r="AE172" i="30"/>
  <c r="AZ172" i="30" s="1"/>
  <c r="I237" i="16" s="1"/>
  <c r="AQ172" i="30"/>
  <c r="AF172" i="30"/>
  <c r="BA172" i="30" s="1"/>
  <c r="J237" i="16" s="1"/>
  <c r="AR172" i="30"/>
  <c r="BM172" i="30" s="1"/>
  <c r="V237" i="16" s="1"/>
  <c r="Y172" i="30"/>
  <c r="AT172" i="30" s="1"/>
  <c r="C237" i="16" s="1"/>
  <c r="AK172" i="30"/>
  <c r="BF172" i="30" s="1"/>
  <c r="O237" i="16" s="1"/>
  <c r="AD172" i="30"/>
  <c r="AG172" i="30"/>
  <c r="AH172" i="30"/>
  <c r="AI172" i="30"/>
  <c r="AJ172" i="30"/>
  <c r="AL172" i="30"/>
  <c r="AM172" i="30"/>
  <c r="BH172" i="30" s="1"/>
  <c r="Q237" i="16" s="1"/>
  <c r="AN172" i="30"/>
  <c r="Z172" i="30"/>
  <c r="AO172" i="30"/>
  <c r="BJ172" i="30" s="1"/>
  <c r="S237" i="16" s="1"/>
  <c r="AA172" i="30"/>
  <c r="AP172" i="30"/>
  <c r="BK172" i="30" s="1"/>
  <c r="T237" i="16" s="1"/>
  <c r="AB172" i="30"/>
  <c r="AC172" i="30"/>
  <c r="AI105" i="30"/>
  <c r="AJ105" i="30"/>
  <c r="AC105" i="30"/>
  <c r="AO105" i="30"/>
  <c r="AL105" i="30"/>
  <c r="BG105" i="30" s="1"/>
  <c r="P170" i="16" s="1"/>
  <c r="AM105" i="30"/>
  <c r="AA105" i="30"/>
  <c r="AV105" i="30" s="1"/>
  <c r="E170" i="16" s="1"/>
  <c r="AQ105" i="30"/>
  <c r="BL105" i="30" s="1"/>
  <c r="U170" i="16" s="1"/>
  <c r="AB105" i="30"/>
  <c r="AW105" i="30" s="1"/>
  <c r="F170" i="16" s="1"/>
  <c r="AR105" i="30"/>
  <c r="BM105" i="30" s="1"/>
  <c r="V170" i="16" s="1"/>
  <c r="AD105" i="30"/>
  <c r="AE105" i="30"/>
  <c r="AH105" i="30"/>
  <c r="AG105" i="30"/>
  <c r="AK105" i="30"/>
  <c r="AN105" i="30"/>
  <c r="AP105" i="30"/>
  <c r="BK105" i="30" s="1"/>
  <c r="T170" i="16" s="1"/>
  <c r="Y105" i="30"/>
  <c r="AT105" i="30" s="1"/>
  <c r="C170" i="16" s="1"/>
  <c r="Z105" i="30"/>
  <c r="AF105" i="30"/>
  <c r="BA105" i="30" s="1"/>
  <c r="J170" i="16" s="1"/>
  <c r="AE95" i="30"/>
  <c r="AQ95" i="30"/>
  <c r="BL95" i="30" s="1"/>
  <c r="U160" i="16" s="1"/>
  <c r="AF95" i="30"/>
  <c r="AR95" i="30"/>
  <c r="Y95" i="30"/>
  <c r="AT95" i="30" s="1"/>
  <c r="C160" i="16" s="1"/>
  <c r="AK95" i="30"/>
  <c r="AC95" i="30"/>
  <c r="AD95" i="30"/>
  <c r="AI95" i="30"/>
  <c r="AJ95" i="30"/>
  <c r="AL95" i="30"/>
  <c r="BG95" i="30" s="1"/>
  <c r="P160" i="16" s="1"/>
  <c r="AM95" i="30"/>
  <c r="BH95" i="30" s="1"/>
  <c r="Q160" i="16" s="1"/>
  <c r="AA95" i="30"/>
  <c r="AP95" i="30"/>
  <c r="AO95" i="30"/>
  <c r="Z95" i="30"/>
  <c r="AB95" i="30"/>
  <c r="AG95" i="30"/>
  <c r="AH95" i="30"/>
  <c r="AN95" i="30"/>
  <c r="AA97" i="30"/>
  <c r="AM97" i="30"/>
  <c r="AB97" i="30"/>
  <c r="AW97" i="30" s="1"/>
  <c r="F162" i="16" s="1"/>
  <c r="AN97" i="30"/>
  <c r="BI97" i="30" s="1"/>
  <c r="R162" i="16" s="1"/>
  <c r="AG97" i="30"/>
  <c r="AK97" i="30"/>
  <c r="AL97" i="30"/>
  <c r="Z97" i="30"/>
  <c r="AQ97" i="30"/>
  <c r="AC97" i="30"/>
  <c r="AR97" i="30"/>
  <c r="AD97" i="30"/>
  <c r="AE97" i="30"/>
  <c r="AI97" i="30"/>
  <c r="AO97" i="30"/>
  <c r="BJ97" i="30" s="1"/>
  <c r="S162" i="16" s="1"/>
  <c r="AP97" i="30"/>
  <c r="BK97" i="30" s="1"/>
  <c r="T162" i="16" s="1"/>
  <c r="Y97" i="30"/>
  <c r="AT97" i="30" s="1"/>
  <c r="C162" i="16" s="1"/>
  <c r="AF97" i="30"/>
  <c r="AH97" i="30"/>
  <c r="AJ97" i="30"/>
  <c r="Y131" i="30"/>
  <c r="AT131" i="30" s="1"/>
  <c r="C196" i="16" s="1"/>
  <c r="AK131" i="30"/>
  <c r="AE131" i="30"/>
  <c r="AQ131" i="30"/>
  <c r="AH131" i="30"/>
  <c r="BC131" i="30" s="1"/>
  <c r="L196" i="16" s="1"/>
  <c r="AL131" i="30"/>
  <c r="AM131" i="30"/>
  <c r="BH131" i="30" s="1"/>
  <c r="Q196" i="16" s="1"/>
  <c r="Z131" i="30"/>
  <c r="AN131" i="30"/>
  <c r="AA131" i="30"/>
  <c r="AO131" i="30"/>
  <c r="AB131" i="30"/>
  <c r="AC131" i="30"/>
  <c r="AD131" i="30"/>
  <c r="AF131" i="30"/>
  <c r="AG131" i="30"/>
  <c r="AI131" i="30"/>
  <c r="BD131" i="30" s="1"/>
  <c r="M196" i="16" s="1"/>
  <c r="AJ131" i="30"/>
  <c r="AP131" i="30"/>
  <c r="BK131" i="30" s="1"/>
  <c r="T196" i="16" s="1"/>
  <c r="AR131" i="30"/>
  <c r="BM131" i="30" s="1"/>
  <c r="V196" i="16" s="1"/>
  <c r="AG203" i="30"/>
  <c r="Y203" i="30"/>
  <c r="AT203" i="30" s="1"/>
  <c r="C268" i="16" s="1"/>
  <c r="AK203" i="30"/>
  <c r="Z203" i="30"/>
  <c r="AL203" i="30"/>
  <c r="AA203" i="30"/>
  <c r="AM203" i="30"/>
  <c r="AE203" i="30"/>
  <c r="AQ203" i="30"/>
  <c r="BL203" i="30" s="1"/>
  <c r="U268" i="16" s="1"/>
  <c r="AI203" i="30"/>
  <c r="AJ203" i="30"/>
  <c r="BE203" i="30" s="1"/>
  <c r="N268" i="16" s="1"/>
  <c r="AN203" i="30"/>
  <c r="BI203" i="30" s="1"/>
  <c r="R268" i="16" s="1"/>
  <c r="AO203" i="30"/>
  <c r="AP203" i="30"/>
  <c r="AR203" i="30"/>
  <c r="AB203" i="30"/>
  <c r="AC203" i="30"/>
  <c r="AD203" i="30"/>
  <c r="AF203" i="30"/>
  <c r="AH203" i="30"/>
  <c r="AI138" i="30"/>
  <c r="BD138" i="30" s="1"/>
  <c r="M203" i="16" s="1"/>
  <c r="AA138" i="30"/>
  <c r="AM138" i="30"/>
  <c r="BH138" i="30" s="1"/>
  <c r="Q203" i="16" s="1"/>
  <c r="AB138" i="30"/>
  <c r="AW138" i="30" s="1"/>
  <c r="F203" i="16" s="1"/>
  <c r="AN138" i="30"/>
  <c r="AC138" i="30"/>
  <c r="AO138" i="30"/>
  <c r="AG138" i="30"/>
  <c r="Y138" i="30"/>
  <c r="AT138" i="30" s="1"/>
  <c r="C203" i="16" s="1"/>
  <c r="Z138" i="30"/>
  <c r="AD138" i="30"/>
  <c r="AE138" i="30"/>
  <c r="AF138" i="30"/>
  <c r="BA138" i="30" s="1"/>
  <c r="J203" i="16" s="1"/>
  <c r="AH138" i="30"/>
  <c r="AJ138" i="30"/>
  <c r="AK138" i="30"/>
  <c r="BF138" i="30" s="1"/>
  <c r="O203" i="16" s="1"/>
  <c r="AL138" i="30"/>
  <c r="AP138" i="30"/>
  <c r="AQ138" i="30"/>
  <c r="AR138" i="30"/>
  <c r="Y210" i="30"/>
  <c r="AT210" i="30" s="1"/>
  <c r="C275" i="16" s="1"/>
  <c r="AK210" i="30"/>
  <c r="AC210" i="30"/>
  <c r="AO210" i="30"/>
  <c r="AD210" i="30"/>
  <c r="AP210" i="30"/>
  <c r="AE210" i="30"/>
  <c r="AZ210" i="30" s="1"/>
  <c r="I275" i="16" s="1"/>
  <c r="AQ210" i="30"/>
  <c r="BL210" i="30" s="1"/>
  <c r="U275" i="16" s="1"/>
  <c r="AI210" i="30"/>
  <c r="AM210" i="30"/>
  <c r="AN210" i="30"/>
  <c r="AR210" i="30"/>
  <c r="Z210" i="30"/>
  <c r="AA210" i="30"/>
  <c r="AB210" i="30"/>
  <c r="AF210" i="30"/>
  <c r="AG210" i="30"/>
  <c r="AH210" i="30"/>
  <c r="AJ210" i="30"/>
  <c r="BE210" i="30" s="1"/>
  <c r="N275" i="16" s="1"/>
  <c r="AL210" i="30"/>
  <c r="BG210" i="30" s="1"/>
  <c r="P275" i="16" s="1"/>
  <c r="AA145" i="30"/>
  <c r="AM145" i="30"/>
  <c r="BH145" i="30" s="1"/>
  <c r="Q210" i="16" s="1"/>
  <c r="AE145" i="30"/>
  <c r="AQ145" i="30"/>
  <c r="AF145" i="30"/>
  <c r="AR145" i="30"/>
  <c r="AG145" i="30"/>
  <c r="Y145" i="30"/>
  <c r="AT145" i="30" s="1"/>
  <c r="C210" i="16" s="1"/>
  <c r="AK145" i="30"/>
  <c r="BF145" i="30" s="1"/>
  <c r="O210" i="16" s="1"/>
  <c r="AC145" i="30"/>
  <c r="AD145" i="30"/>
  <c r="AY145" i="30" s="1"/>
  <c r="H210" i="16" s="1"/>
  <c r="AH145" i="30"/>
  <c r="BC145" i="30" s="1"/>
  <c r="L210" i="16" s="1"/>
  <c r="AI145" i="30"/>
  <c r="AJ145" i="30"/>
  <c r="BE145" i="30" s="1"/>
  <c r="N210" i="16" s="1"/>
  <c r="AL145" i="30"/>
  <c r="AN145" i="30"/>
  <c r="AO145" i="30"/>
  <c r="BJ145" i="30" s="1"/>
  <c r="S210" i="16" s="1"/>
  <c r="AP145" i="30"/>
  <c r="Z145" i="30"/>
  <c r="AB145" i="30"/>
  <c r="AC217" i="30"/>
  <c r="AO217" i="30"/>
  <c r="BJ217" i="30" s="1"/>
  <c r="S282" i="16" s="1"/>
  <c r="AG217" i="30"/>
  <c r="BB217" i="30" s="1"/>
  <c r="K282" i="16" s="1"/>
  <c r="AH217" i="30"/>
  <c r="AI217" i="30"/>
  <c r="AA217" i="30"/>
  <c r="AM217" i="30"/>
  <c r="AQ217" i="30"/>
  <c r="Y217" i="30"/>
  <c r="AT217" i="30" s="1"/>
  <c r="C282" i="16" s="1"/>
  <c r="AR217" i="30"/>
  <c r="Z217" i="30"/>
  <c r="AB217" i="30"/>
  <c r="AD217" i="30"/>
  <c r="AE217" i="30"/>
  <c r="AZ217" i="30" s="1"/>
  <c r="I282" i="16" s="1"/>
  <c r="AF217" i="30"/>
  <c r="BA217" i="30" s="1"/>
  <c r="J282" i="16" s="1"/>
  <c r="AJ217" i="30"/>
  <c r="AK217" i="30"/>
  <c r="AL217" i="30"/>
  <c r="AN217" i="30"/>
  <c r="AP217" i="30"/>
  <c r="AE152" i="30"/>
  <c r="AQ152" i="30"/>
  <c r="AI152" i="30"/>
  <c r="AJ152" i="30"/>
  <c r="Y152" i="30"/>
  <c r="AT152" i="30" s="1"/>
  <c r="C217" i="16" s="1"/>
  <c r="AK152" i="30"/>
  <c r="AC152" i="30"/>
  <c r="AX152" i="30" s="1"/>
  <c r="G217" i="16" s="1"/>
  <c r="AO152" i="30"/>
  <c r="AG152" i="30"/>
  <c r="AH152" i="30"/>
  <c r="AL152" i="30"/>
  <c r="AM152" i="30"/>
  <c r="AN152" i="30"/>
  <c r="AP152" i="30"/>
  <c r="AR152" i="30"/>
  <c r="Z152" i="30"/>
  <c r="AA152" i="30"/>
  <c r="AB152" i="30"/>
  <c r="AW152" i="30" s="1"/>
  <c r="F217" i="16" s="1"/>
  <c r="AD152" i="30"/>
  <c r="AY152" i="30" s="1"/>
  <c r="H217" i="16" s="1"/>
  <c r="AF152" i="30"/>
  <c r="AG224" i="30"/>
  <c r="BB224" i="30" s="1"/>
  <c r="K289" i="16" s="1"/>
  <c r="Y224" i="30"/>
  <c r="AT224" i="30" s="1"/>
  <c r="C289" i="16" s="1"/>
  <c r="AK224" i="30"/>
  <c r="BF224" i="30" s="1"/>
  <c r="O289" i="16" s="1"/>
  <c r="Z224" i="30"/>
  <c r="AL224" i="30"/>
  <c r="BG224" i="30" s="1"/>
  <c r="P289" i="16" s="1"/>
  <c r="AA224" i="30"/>
  <c r="AV224" i="30" s="1"/>
  <c r="E289" i="16" s="1"/>
  <c r="AM224" i="30"/>
  <c r="BH224" i="30" s="1"/>
  <c r="Q289" i="16" s="1"/>
  <c r="AE224" i="30"/>
  <c r="AZ224" i="30" s="1"/>
  <c r="I289" i="16" s="1"/>
  <c r="AQ224" i="30"/>
  <c r="BL224" i="30" s="1"/>
  <c r="U289" i="16" s="1"/>
  <c r="AB224" i="30"/>
  <c r="AW224" i="30" s="1"/>
  <c r="F289" i="16" s="1"/>
  <c r="AC224" i="30"/>
  <c r="AX224" i="30" s="1"/>
  <c r="G289" i="16" s="1"/>
  <c r="AD224" i="30"/>
  <c r="AY224" i="30" s="1"/>
  <c r="H289" i="16" s="1"/>
  <c r="AF224" i="30"/>
  <c r="BA224" i="30" s="1"/>
  <c r="J289" i="16" s="1"/>
  <c r="AH224" i="30"/>
  <c r="BC224" i="30" s="1"/>
  <c r="L289" i="16" s="1"/>
  <c r="AI224" i="30"/>
  <c r="BD224" i="30" s="1"/>
  <c r="M289" i="16" s="1"/>
  <c r="AJ224" i="30"/>
  <c r="BE224" i="30" s="1"/>
  <c r="N289" i="16" s="1"/>
  <c r="AN224" i="30"/>
  <c r="BI224" i="30" s="1"/>
  <c r="R289" i="16" s="1"/>
  <c r="AO224" i="30"/>
  <c r="BJ224" i="30" s="1"/>
  <c r="S289" i="16" s="1"/>
  <c r="AP224" i="30"/>
  <c r="BK224" i="30" s="1"/>
  <c r="T289" i="16" s="1"/>
  <c r="AR224" i="30"/>
  <c r="BM224" i="30" s="1"/>
  <c r="V289" i="16" s="1"/>
  <c r="AA165" i="30"/>
  <c r="AV165" i="30" s="1"/>
  <c r="E230" i="16" s="1"/>
  <c r="AM165" i="30"/>
  <c r="AB165" i="30"/>
  <c r="AW165" i="30" s="1"/>
  <c r="F230" i="16" s="1"/>
  <c r="AN165" i="30"/>
  <c r="AG165" i="30"/>
  <c r="Z165" i="30"/>
  <c r="AQ165" i="30"/>
  <c r="AC165" i="30"/>
  <c r="AR165" i="30"/>
  <c r="BM165" i="30" s="1"/>
  <c r="V230" i="16" s="1"/>
  <c r="AD165" i="30"/>
  <c r="AE165" i="30"/>
  <c r="AF165" i="30"/>
  <c r="AH165" i="30"/>
  <c r="BC165" i="30" s="1"/>
  <c r="L230" i="16" s="1"/>
  <c r="AI165" i="30"/>
  <c r="AJ165" i="30"/>
  <c r="BE165" i="30" s="1"/>
  <c r="N230" i="16" s="1"/>
  <c r="AK165" i="30"/>
  <c r="AL165" i="30"/>
  <c r="AO165" i="30"/>
  <c r="BJ165" i="30" s="1"/>
  <c r="S230" i="16" s="1"/>
  <c r="Y165" i="30"/>
  <c r="AT165" i="30" s="1"/>
  <c r="C230" i="16" s="1"/>
  <c r="AP165" i="30"/>
  <c r="AE178" i="30"/>
  <c r="AQ178" i="30"/>
  <c r="BL178" i="30" s="1"/>
  <c r="U243" i="16" s="1"/>
  <c r="AF178" i="30"/>
  <c r="AR178" i="30"/>
  <c r="Y178" i="30"/>
  <c r="AT178" i="30" s="1"/>
  <c r="C243" i="16" s="1"/>
  <c r="AK178" i="30"/>
  <c r="AM178" i="30"/>
  <c r="AN178" i="30"/>
  <c r="Z178" i="30"/>
  <c r="AO178" i="30"/>
  <c r="BJ178" i="30" s="1"/>
  <c r="S243" i="16" s="1"/>
  <c r="AA178" i="30"/>
  <c r="AV178" i="30" s="1"/>
  <c r="E243" i="16" s="1"/>
  <c r="AP178" i="30"/>
  <c r="AB178" i="30"/>
  <c r="AC178" i="30"/>
  <c r="AD178" i="30"/>
  <c r="AG178" i="30"/>
  <c r="AH178" i="30"/>
  <c r="BC178" i="30" s="1"/>
  <c r="L243" i="16" s="1"/>
  <c r="AI178" i="30"/>
  <c r="AJ178" i="30"/>
  <c r="AL178" i="30"/>
  <c r="Y216" i="30"/>
  <c r="AT216" i="30" s="1"/>
  <c r="C281" i="16" s="1"/>
  <c r="AK216" i="30"/>
  <c r="BF216" i="30" s="1"/>
  <c r="O281" i="16" s="1"/>
  <c r="AC216" i="30"/>
  <c r="AX216" i="30" s="1"/>
  <c r="G281" i="16" s="1"/>
  <c r="AO216" i="30"/>
  <c r="AD216" i="30"/>
  <c r="AP216" i="30"/>
  <c r="AE216" i="30"/>
  <c r="AQ216" i="30"/>
  <c r="AI216" i="30"/>
  <c r="BD216" i="30" s="1"/>
  <c r="M281" i="16" s="1"/>
  <c r="AR216" i="30"/>
  <c r="Z216" i="30"/>
  <c r="AA216" i="30"/>
  <c r="AB216" i="30"/>
  <c r="AW216" i="30" s="1"/>
  <c r="F281" i="16" s="1"/>
  <c r="AF216" i="30"/>
  <c r="BA216" i="30" s="1"/>
  <c r="J281" i="16" s="1"/>
  <c r="AG216" i="30"/>
  <c r="BB216" i="30" s="1"/>
  <c r="K281" i="16" s="1"/>
  <c r="AH216" i="30"/>
  <c r="AJ216" i="30"/>
  <c r="AL216" i="30"/>
  <c r="AM216" i="30"/>
  <c r="AN216" i="30"/>
  <c r="Y76" i="30"/>
  <c r="AT76" i="30" s="1"/>
  <c r="C141" i="16" s="1"/>
  <c r="AK76" i="30"/>
  <c r="AC76" i="30"/>
  <c r="AO76" i="30"/>
  <c r="AE76" i="30"/>
  <c r="AQ76" i="30"/>
  <c r="BL76" i="30" s="1"/>
  <c r="U141" i="16" s="1"/>
  <c r="AG76" i="30"/>
  <c r="BB76" i="30" s="1"/>
  <c r="K141" i="16" s="1"/>
  <c r="AH76" i="30"/>
  <c r="AI76" i="30"/>
  <c r="AJ76" i="30"/>
  <c r="AR76" i="30"/>
  <c r="AM76" i="30"/>
  <c r="AN76" i="30"/>
  <c r="BI76" i="30" s="1"/>
  <c r="R141" i="16" s="1"/>
  <c r="Z76" i="30"/>
  <c r="AA76" i="30"/>
  <c r="AF76" i="30"/>
  <c r="AB76" i="30"/>
  <c r="AD76" i="30"/>
  <c r="AY76" i="30" s="1"/>
  <c r="H141" i="16" s="1"/>
  <c r="AL76" i="30"/>
  <c r="BG76" i="30" s="1"/>
  <c r="P141" i="16" s="1"/>
  <c r="AP76" i="30"/>
  <c r="AG72" i="30"/>
  <c r="Y72" i="30"/>
  <c r="AT72" i="30" s="1"/>
  <c r="C137" i="16" s="1"/>
  <c r="AK72" i="30"/>
  <c r="AA72" i="30"/>
  <c r="AM72" i="30"/>
  <c r="BH72" i="30" s="1"/>
  <c r="Q137" i="16" s="1"/>
  <c r="AC72" i="30"/>
  <c r="AO72" i="30"/>
  <c r="AD72" i="30"/>
  <c r="AP72" i="30"/>
  <c r="AF72" i="30"/>
  <c r="BA72" i="30" s="1"/>
  <c r="J137" i="16" s="1"/>
  <c r="AH72" i="30"/>
  <c r="BC72" i="30" s="1"/>
  <c r="L137" i="16" s="1"/>
  <c r="AQ72" i="30"/>
  <c r="AJ72" i="30"/>
  <c r="AL72" i="30"/>
  <c r="AE72" i="30"/>
  <c r="Z72" i="30"/>
  <c r="AB72" i="30"/>
  <c r="AW72" i="30" s="1"/>
  <c r="F137" i="16" s="1"/>
  <c r="AI72" i="30"/>
  <c r="AN72" i="30"/>
  <c r="AR72" i="30"/>
  <c r="AC74" i="30"/>
  <c r="AO74" i="30"/>
  <c r="BJ74" i="30" s="1"/>
  <c r="S139" i="16" s="1"/>
  <c r="AG74" i="30"/>
  <c r="BB74" i="30" s="1"/>
  <c r="K139" i="16" s="1"/>
  <c r="AI74" i="30"/>
  <c r="Y74" i="30"/>
  <c r="AT74" i="30" s="1"/>
  <c r="C139" i="16" s="1"/>
  <c r="AK74" i="30"/>
  <c r="Z74" i="30"/>
  <c r="AL74" i="30"/>
  <c r="AF74" i="30"/>
  <c r="BA74" i="30" s="1"/>
  <c r="J139" i="16" s="1"/>
  <c r="AH74" i="30"/>
  <c r="AQ74" i="30"/>
  <c r="AA74" i="30"/>
  <c r="AE74" i="30"/>
  <c r="AJ74" i="30"/>
  <c r="BE74" i="30" s="1"/>
  <c r="N139" i="16" s="1"/>
  <c r="AM74" i="30"/>
  <c r="BH74" i="30" s="1"/>
  <c r="Q139" i="16" s="1"/>
  <c r="AN74" i="30"/>
  <c r="AP74" i="30"/>
  <c r="AR74" i="30"/>
  <c r="AB74" i="30"/>
  <c r="AD74" i="30"/>
  <c r="AE143" i="30"/>
  <c r="AZ143" i="30" s="1"/>
  <c r="I208" i="16" s="1"/>
  <c r="AQ143" i="30"/>
  <c r="BL143" i="30" s="1"/>
  <c r="U208" i="16" s="1"/>
  <c r="AI143" i="30"/>
  <c r="AJ143" i="30"/>
  <c r="Y143" i="30"/>
  <c r="AT143" i="30" s="1"/>
  <c r="C208" i="16" s="1"/>
  <c r="AK143" i="30"/>
  <c r="BF143" i="30" s="1"/>
  <c r="O208" i="16" s="1"/>
  <c r="AC143" i="30"/>
  <c r="AX143" i="30" s="1"/>
  <c r="G208" i="16" s="1"/>
  <c r="AO143" i="30"/>
  <c r="AB143" i="30"/>
  <c r="AD143" i="30"/>
  <c r="AF143" i="30"/>
  <c r="AG143" i="30"/>
  <c r="AH143" i="30"/>
  <c r="BC143" i="30" s="1"/>
  <c r="L208" i="16" s="1"/>
  <c r="AL143" i="30"/>
  <c r="AM143" i="30"/>
  <c r="AN143" i="30"/>
  <c r="AP143" i="30"/>
  <c r="BK143" i="30" s="1"/>
  <c r="T208" i="16" s="1"/>
  <c r="AR143" i="30"/>
  <c r="BM143" i="30" s="1"/>
  <c r="V208" i="16" s="1"/>
  <c r="Z143" i="30"/>
  <c r="AA143" i="30"/>
  <c r="AG215" i="30"/>
  <c r="Y215" i="30"/>
  <c r="AK215" i="30"/>
  <c r="Z215" i="30"/>
  <c r="AL215" i="30"/>
  <c r="BG215" i="30" s="1"/>
  <c r="P280" i="16" s="1"/>
  <c r="AA215" i="30"/>
  <c r="AM215" i="30"/>
  <c r="BH215" i="30" s="1"/>
  <c r="Q280" i="16" s="1"/>
  <c r="AE215" i="30"/>
  <c r="AQ215" i="30"/>
  <c r="BL215" i="30" s="1"/>
  <c r="U280" i="16" s="1"/>
  <c r="AP215" i="30"/>
  <c r="AR215" i="30"/>
  <c r="AB215" i="30"/>
  <c r="AC215" i="30"/>
  <c r="AD215" i="30"/>
  <c r="AF215" i="30"/>
  <c r="AH215" i="30"/>
  <c r="AI215" i="30"/>
  <c r="BD215" i="30" s="1"/>
  <c r="M280" i="16" s="1"/>
  <c r="AJ215" i="30"/>
  <c r="AN215" i="30"/>
  <c r="BI215" i="30" s="1"/>
  <c r="R280" i="16" s="1"/>
  <c r="AO215" i="30"/>
  <c r="BJ215" i="30" s="1"/>
  <c r="S280" i="16" s="1"/>
  <c r="AI150" i="30"/>
  <c r="BD150" i="30" s="1"/>
  <c r="M215" i="16" s="1"/>
  <c r="AA150" i="30"/>
  <c r="AV150" i="30" s="1"/>
  <c r="E215" i="16" s="1"/>
  <c r="AM150" i="30"/>
  <c r="AB150" i="30"/>
  <c r="AN150" i="30"/>
  <c r="AC150" i="30"/>
  <c r="AO150" i="30"/>
  <c r="AG150" i="30"/>
  <c r="AF150" i="30"/>
  <c r="BA150" i="30" s="1"/>
  <c r="J215" i="16" s="1"/>
  <c r="AH150" i="30"/>
  <c r="AJ150" i="30"/>
  <c r="BE150" i="30" s="1"/>
  <c r="N215" i="16" s="1"/>
  <c r="AK150" i="30"/>
  <c r="AL150" i="30"/>
  <c r="BG150" i="30" s="1"/>
  <c r="P215" i="16" s="1"/>
  <c r="AP150" i="30"/>
  <c r="AQ150" i="30"/>
  <c r="AR150" i="30"/>
  <c r="Y150" i="30"/>
  <c r="AT150" i="30" s="1"/>
  <c r="C215" i="16" s="1"/>
  <c r="Z150" i="30"/>
  <c r="AD150" i="30"/>
  <c r="AE150" i="30"/>
  <c r="Y222" i="30"/>
  <c r="AT222" i="30" s="1"/>
  <c r="C287" i="16" s="1"/>
  <c r="AK222" i="30"/>
  <c r="BF222" i="30" s="1"/>
  <c r="O287" i="16" s="1"/>
  <c r="AC222" i="30"/>
  <c r="AX222" i="30" s="1"/>
  <c r="G287" i="16" s="1"/>
  <c r="AO222" i="30"/>
  <c r="BJ222" i="30" s="1"/>
  <c r="S287" i="16" s="1"/>
  <c r="AD222" i="30"/>
  <c r="AY222" i="30" s="1"/>
  <c r="H287" i="16" s="1"/>
  <c r="AP222" i="30"/>
  <c r="BK222" i="30" s="1"/>
  <c r="T287" i="16" s="1"/>
  <c r="AE222" i="30"/>
  <c r="AZ222" i="30" s="1"/>
  <c r="I287" i="16" s="1"/>
  <c r="AQ222" i="30"/>
  <c r="BL222" i="30" s="1"/>
  <c r="U287" i="16" s="1"/>
  <c r="AI222" i="30"/>
  <c r="BD222" i="30" s="1"/>
  <c r="M287" i="16" s="1"/>
  <c r="Z222" i="30"/>
  <c r="AA222" i="30"/>
  <c r="AV222" i="30" s="1"/>
  <c r="E287" i="16" s="1"/>
  <c r="AB222" i="30"/>
  <c r="AW222" i="30" s="1"/>
  <c r="F287" i="16" s="1"/>
  <c r="AF222" i="30"/>
  <c r="BA222" i="30" s="1"/>
  <c r="J287" i="16" s="1"/>
  <c r="AG222" i="30"/>
  <c r="BB222" i="30" s="1"/>
  <c r="K287" i="16" s="1"/>
  <c r="AH222" i="30"/>
  <c r="BC222" i="30" s="1"/>
  <c r="L287" i="16" s="1"/>
  <c r="AJ222" i="30"/>
  <c r="BE222" i="30" s="1"/>
  <c r="N287" i="16" s="1"/>
  <c r="AL222" i="30"/>
  <c r="BG222" i="30" s="1"/>
  <c r="P287" i="16" s="1"/>
  <c r="AM222" i="30"/>
  <c r="BH222" i="30" s="1"/>
  <c r="Q287" i="16" s="1"/>
  <c r="AN222" i="30"/>
  <c r="BI222" i="30" s="1"/>
  <c r="R287" i="16" s="1"/>
  <c r="AR222" i="30"/>
  <c r="BM222" i="30" s="1"/>
  <c r="V287" i="16" s="1"/>
  <c r="AA157" i="30"/>
  <c r="AM157" i="30"/>
  <c r="AE157" i="30"/>
  <c r="AQ157" i="30"/>
  <c r="AF157" i="30"/>
  <c r="BA157" i="30" s="1"/>
  <c r="J222" i="16" s="1"/>
  <c r="AR157" i="30"/>
  <c r="BM157" i="30" s="1"/>
  <c r="V222" i="16" s="1"/>
  <c r="AG157" i="30"/>
  <c r="Y157" i="30"/>
  <c r="AT157" i="30" s="1"/>
  <c r="C222" i="16" s="1"/>
  <c r="AK157" i="30"/>
  <c r="BF157" i="30" s="1"/>
  <c r="O222" i="16" s="1"/>
  <c r="AJ157" i="30"/>
  <c r="BE157" i="30" s="1"/>
  <c r="N222" i="16" s="1"/>
  <c r="AL157" i="30"/>
  <c r="AN157" i="30"/>
  <c r="AO157" i="30"/>
  <c r="AP157" i="30"/>
  <c r="Z157" i="30"/>
  <c r="AB157" i="30"/>
  <c r="AC157" i="30"/>
  <c r="AX157" i="30" s="1"/>
  <c r="G222" i="16" s="1"/>
  <c r="AD157" i="30"/>
  <c r="AY157" i="30" s="1"/>
  <c r="H222" i="16" s="1"/>
  <c r="AH157" i="30"/>
  <c r="AI157" i="30"/>
  <c r="AC229" i="30"/>
  <c r="AX229" i="30" s="1"/>
  <c r="G294" i="16" s="1"/>
  <c r="AO229" i="30"/>
  <c r="BJ229" i="30" s="1"/>
  <c r="S294" i="16" s="1"/>
  <c r="AG229" i="30"/>
  <c r="BB229" i="30" s="1"/>
  <c r="K294" i="16" s="1"/>
  <c r="AH229" i="30"/>
  <c r="BC229" i="30" s="1"/>
  <c r="L294" i="16" s="1"/>
  <c r="AI229" i="30"/>
  <c r="BD229" i="30" s="1"/>
  <c r="M294" i="16" s="1"/>
  <c r="AA229" i="30"/>
  <c r="AV229" i="30" s="1"/>
  <c r="E294" i="16" s="1"/>
  <c r="AM229" i="30"/>
  <c r="BH229" i="30" s="1"/>
  <c r="Q294" i="16" s="1"/>
  <c r="AD229" i="30"/>
  <c r="AY229" i="30" s="1"/>
  <c r="H294" i="16" s="1"/>
  <c r="AE229" i="30"/>
  <c r="AZ229" i="30" s="1"/>
  <c r="I294" i="16" s="1"/>
  <c r="AF229" i="30"/>
  <c r="BA229" i="30" s="1"/>
  <c r="J294" i="16" s="1"/>
  <c r="AJ229" i="30"/>
  <c r="BE229" i="30" s="1"/>
  <c r="N294" i="16" s="1"/>
  <c r="AK229" i="30"/>
  <c r="BF229" i="30" s="1"/>
  <c r="O294" i="16" s="1"/>
  <c r="AL229" i="30"/>
  <c r="BG229" i="30" s="1"/>
  <c r="P294" i="16" s="1"/>
  <c r="AN229" i="30"/>
  <c r="BI229" i="30" s="1"/>
  <c r="R294" i="16" s="1"/>
  <c r="AP229" i="30"/>
  <c r="BK229" i="30" s="1"/>
  <c r="T294" i="16" s="1"/>
  <c r="AQ229" i="30"/>
  <c r="BL229" i="30" s="1"/>
  <c r="U294" i="16" s="1"/>
  <c r="Y229" i="30"/>
  <c r="AT229" i="30" s="1"/>
  <c r="C294" i="16" s="1"/>
  <c r="AR229" i="30"/>
  <c r="BM229" i="30" s="1"/>
  <c r="V294" i="16" s="1"/>
  <c r="Z229" i="30"/>
  <c r="AB229" i="30"/>
  <c r="AW229" i="30" s="1"/>
  <c r="F294" i="16" s="1"/>
  <c r="AI164" i="30"/>
  <c r="BD164" i="30" s="1"/>
  <c r="M229" i="16" s="1"/>
  <c r="AJ164" i="30"/>
  <c r="AC164" i="30"/>
  <c r="AO164" i="30"/>
  <c r="AE164" i="30"/>
  <c r="AZ164" i="30" s="1"/>
  <c r="I229" i="16" s="1"/>
  <c r="AF164" i="30"/>
  <c r="AG164" i="30"/>
  <c r="AH164" i="30"/>
  <c r="AK164" i="30"/>
  <c r="AL164" i="30"/>
  <c r="AM164" i="30"/>
  <c r="Y164" i="30"/>
  <c r="AT164" i="30" s="1"/>
  <c r="C229" i="16" s="1"/>
  <c r="AN164" i="30"/>
  <c r="BI164" i="30" s="1"/>
  <c r="R229" i="16" s="1"/>
  <c r="Z164" i="30"/>
  <c r="AP164" i="30"/>
  <c r="AA164" i="30"/>
  <c r="AQ164" i="30"/>
  <c r="BL164" i="30" s="1"/>
  <c r="U229" i="16" s="1"/>
  <c r="AB164" i="30"/>
  <c r="AR164" i="30"/>
  <c r="AD164" i="30"/>
  <c r="AA177" i="30"/>
  <c r="AV177" i="30" s="1"/>
  <c r="E242" i="16" s="1"/>
  <c r="AM177" i="30"/>
  <c r="BH177" i="30" s="1"/>
  <c r="Q242" i="16" s="1"/>
  <c r="AB177" i="30"/>
  <c r="AN177" i="30"/>
  <c r="AG177" i="30"/>
  <c r="Z177" i="30"/>
  <c r="AQ177" i="30"/>
  <c r="AC177" i="30"/>
  <c r="AR177" i="30"/>
  <c r="BM177" i="30" s="1"/>
  <c r="V242" i="16" s="1"/>
  <c r="AD177" i="30"/>
  <c r="AE177" i="30"/>
  <c r="AF177" i="30"/>
  <c r="AH177" i="30"/>
  <c r="BC177" i="30" s="1"/>
  <c r="L242" i="16" s="1"/>
  <c r="AI177" i="30"/>
  <c r="BD177" i="30" s="1"/>
  <c r="M242" i="16" s="1"/>
  <c r="AJ177" i="30"/>
  <c r="AK177" i="30"/>
  <c r="AL177" i="30"/>
  <c r="AO177" i="30"/>
  <c r="Y177" i="30"/>
  <c r="AT177" i="30" s="1"/>
  <c r="C242" i="16" s="1"/>
  <c r="AP177" i="30"/>
  <c r="AG118" i="30"/>
  <c r="BB118" i="30" s="1"/>
  <c r="K183" i="16" s="1"/>
  <c r="AH118" i="30"/>
  <c r="AA118" i="30"/>
  <c r="AM118" i="30"/>
  <c r="Y118" i="30"/>
  <c r="AT118" i="30" s="1"/>
  <c r="C183" i="16" s="1"/>
  <c r="AO118" i="30"/>
  <c r="Z118" i="30"/>
  <c r="AP118" i="30"/>
  <c r="AB118" i="30"/>
  <c r="AQ118" i="30"/>
  <c r="AC118" i="30"/>
  <c r="AX118" i="30" s="1"/>
  <c r="G183" i="16" s="1"/>
  <c r="AR118" i="30"/>
  <c r="AD118" i="30"/>
  <c r="AY118" i="30" s="1"/>
  <c r="H183" i="16" s="1"/>
  <c r="AE118" i="30"/>
  <c r="AF118" i="30"/>
  <c r="AI118" i="30"/>
  <c r="AJ118" i="30"/>
  <c r="BE118" i="30" s="1"/>
  <c r="N183" i="16" s="1"/>
  <c r="AK118" i="30"/>
  <c r="BF118" i="30" s="1"/>
  <c r="O183" i="16" s="1"/>
  <c r="AL118" i="30"/>
  <c r="AN118" i="30"/>
  <c r="AE190" i="30"/>
  <c r="AQ190" i="30"/>
  <c r="AF190" i="30"/>
  <c r="BA190" i="30" s="1"/>
  <c r="J255" i="16" s="1"/>
  <c r="AR190" i="30"/>
  <c r="Y190" i="30"/>
  <c r="AT190" i="30" s="1"/>
  <c r="C255" i="16" s="1"/>
  <c r="AK190" i="30"/>
  <c r="BF190" i="30" s="1"/>
  <c r="O255" i="16" s="1"/>
  <c r="AM190" i="30"/>
  <c r="AN190" i="30"/>
  <c r="Z190" i="30"/>
  <c r="AO190" i="30"/>
  <c r="BJ190" i="30" s="1"/>
  <c r="S255" i="16" s="1"/>
  <c r="AA190" i="30"/>
  <c r="AP190" i="30"/>
  <c r="AB190" i="30"/>
  <c r="AC190" i="30"/>
  <c r="AD190" i="30"/>
  <c r="AY190" i="30" s="1"/>
  <c r="H255" i="16" s="1"/>
  <c r="AG190" i="30"/>
  <c r="AH190" i="30"/>
  <c r="BC190" i="30" s="1"/>
  <c r="L255" i="16" s="1"/>
  <c r="AI190" i="30"/>
  <c r="AJ190" i="30"/>
  <c r="AL190" i="30"/>
  <c r="AJ70" i="30"/>
  <c r="Y70" i="30"/>
  <c r="AK70" i="30"/>
  <c r="AC70" i="30"/>
  <c r="AO70" i="30"/>
  <c r="BJ70" i="30" s="1"/>
  <c r="S135" i="16" s="1"/>
  <c r="AD70" i="30"/>
  <c r="AE70" i="30"/>
  <c r="AQ70" i="30"/>
  <c r="AG70" i="30"/>
  <c r="BB70" i="30" s="1"/>
  <c r="K135" i="16" s="1"/>
  <c r="AH70" i="30"/>
  <c r="AA70" i="30"/>
  <c r="AB70" i="30"/>
  <c r="AW70" i="30" s="1"/>
  <c r="F135" i="16" s="1"/>
  <c r="AN70" i="30"/>
  <c r="Z70" i="30"/>
  <c r="AF70" i="30"/>
  <c r="AI70" i="30"/>
  <c r="AL70" i="30"/>
  <c r="BG70" i="30" s="1"/>
  <c r="P135" i="16" s="1"/>
  <c r="AM70" i="30"/>
  <c r="AP70" i="30"/>
  <c r="AR70" i="30"/>
  <c r="AE101" i="30"/>
  <c r="AZ101" i="30" s="1"/>
  <c r="I166" i="16" s="1"/>
  <c r="AQ101" i="30"/>
  <c r="BL101" i="30" s="1"/>
  <c r="U166" i="16" s="1"/>
  <c r="AF101" i="30"/>
  <c r="AR101" i="30"/>
  <c r="BM101" i="30" s="1"/>
  <c r="V166" i="16" s="1"/>
  <c r="Y101" i="30"/>
  <c r="AT101" i="30" s="1"/>
  <c r="C166" i="16" s="1"/>
  <c r="AK101" i="30"/>
  <c r="BF101" i="30" s="1"/>
  <c r="O166" i="16" s="1"/>
  <c r="AL101" i="30"/>
  <c r="AM101" i="30"/>
  <c r="AA101" i="30"/>
  <c r="AV101" i="30" s="1"/>
  <c r="E166" i="16" s="1"/>
  <c r="AP101" i="30"/>
  <c r="AB101" i="30"/>
  <c r="AC101" i="30"/>
  <c r="AD101" i="30"/>
  <c r="AY101" i="30" s="1"/>
  <c r="H166" i="16" s="1"/>
  <c r="AI101" i="30"/>
  <c r="AJ101" i="30"/>
  <c r="AN101" i="30"/>
  <c r="BI101" i="30" s="1"/>
  <c r="R166" i="16" s="1"/>
  <c r="AO101" i="30"/>
  <c r="Z101" i="30"/>
  <c r="AG101" i="30"/>
  <c r="AH101" i="30"/>
  <c r="AA103" i="30"/>
  <c r="AV103" i="30" s="1"/>
  <c r="E168" i="16" s="1"/>
  <c r="AM103" i="30"/>
  <c r="AB103" i="30"/>
  <c r="AN103" i="30"/>
  <c r="AG103" i="30"/>
  <c r="BB103" i="30" s="1"/>
  <c r="K168" i="16" s="1"/>
  <c r="AD103" i="30"/>
  <c r="AY103" i="30" s="1"/>
  <c r="H168" i="16" s="1"/>
  <c r="AE103" i="30"/>
  <c r="AI103" i="30"/>
  <c r="BD103" i="30" s="1"/>
  <c r="M168" i="16" s="1"/>
  <c r="AJ103" i="30"/>
  <c r="AK103" i="30"/>
  <c r="BF103" i="30" s="1"/>
  <c r="O168" i="16" s="1"/>
  <c r="AL103" i="30"/>
  <c r="Z103" i="30"/>
  <c r="AQ103" i="30"/>
  <c r="BL103" i="30" s="1"/>
  <c r="U168" i="16" s="1"/>
  <c r="AH103" i="30"/>
  <c r="AO103" i="30"/>
  <c r="AP103" i="30"/>
  <c r="AR103" i="30"/>
  <c r="BM103" i="30" s="1"/>
  <c r="V168" i="16" s="1"/>
  <c r="Y103" i="30"/>
  <c r="AT103" i="30" s="1"/>
  <c r="C168" i="16" s="1"/>
  <c r="AC103" i="30"/>
  <c r="AF103" i="30"/>
  <c r="BA103" i="30" s="1"/>
  <c r="J168" i="16" s="1"/>
  <c r="AE137" i="30"/>
  <c r="AQ137" i="30"/>
  <c r="AI137" i="30"/>
  <c r="AJ137" i="30"/>
  <c r="BE137" i="30" s="1"/>
  <c r="N202" i="16" s="1"/>
  <c r="Y137" i="30"/>
  <c r="AT137" i="30" s="1"/>
  <c r="C202" i="16" s="1"/>
  <c r="AK137" i="30"/>
  <c r="BF137" i="30" s="1"/>
  <c r="O202" i="16" s="1"/>
  <c r="AC137" i="30"/>
  <c r="AO137" i="30"/>
  <c r="Z137" i="30"/>
  <c r="AA137" i="30"/>
  <c r="AB137" i="30"/>
  <c r="AD137" i="30"/>
  <c r="AY137" i="30" s="1"/>
  <c r="H202" i="16" s="1"/>
  <c r="AF137" i="30"/>
  <c r="AG137" i="30"/>
  <c r="AH137" i="30"/>
  <c r="AL137" i="30"/>
  <c r="BG137" i="30" s="1"/>
  <c r="P202" i="16" s="1"/>
  <c r="AM137" i="30"/>
  <c r="BH137" i="30" s="1"/>
  <c r="Q202" i="16" s="1"/>
  <c r="AN137" i="30"/>
  <c r="AP137" i="30"/>
  <c r="AR137" i="30"/>
  <c r="AG209" i="30"/>
  <c r="BB209" i="30" s="1"/>
  <c r="K274" i="16" s="1"/>
  <c r="Y209" i="30"/>
  <c r="AT209" i="30" s="1"/>
  <c r="C274" i="16" s="1"/>
  <c r="AK209" i="30"/>
  <c r="Z209" i="30"/>
  <c r="AL209" i="30"/>
  <c r="AA209" i="30"/>
  <c r="AV209" i="30" s="1"/>
  <c r="E274" i="16" s="1"/>
  <c r="AM209" i="30"/>
  <c r="AE209" i="30"/>
  <c r="AQ209" i="30"/>
  <c r="BL209" i="30" s="1"/>
  <c r="U274" i="16" s="1"/>
  <c r="AN209" i="30"/>
  <c r="AO209" i="30"/>
  <c r="AP209" i="30"/>
  <c r="AR209" i="30"/>
  <c r="BM209" i="30" s="1"/>
  <c r="V274" i="16" s="1"/>
  <c r="AB209" i="30"/>
  <c r="AC209" i="30"/>
  <c r="AD209" i="30"/>
  <c r="AY209" i="30" s="1"/>
  <c r="H274" i="16" s="1"/>
  <c r="AF209" i="30"/>
  <c r="AH209" i="30"/>
  <c r="BC209" i="30" s="1"/>
  <c r="L274" i="16" s="1"/>
  <c r="AI209" i="30"/>
  <c r="AJ209" i="30"/>
  <c r="AI144" i="30"/>
  <c r="AA144" i="30"/>
  <c r="AM144" i="30"/>
  <c r="AB144" i="30"/>
  <c r="AN144" i="30"/>
  <c r="BI144" i="30" s="1"/>
  <c r="R209" i="16" s="1"/>
  <c r="AC144" i="30"/>
  <c r="AO144" i="30"/>
  <c r="BJ144" i="30" s="1"/>
  <c r="S209" i="16" s="1"/>
  <c r="AG144" i="30"/>
  <c r="AD144" i="30"/>
  <c r="AE144" i="30"/>
  <c r="AZ144" i="30" s="1"/>
  <c r="I209" i="16" s="1"/>
  <c r="AF144" i="30"/>
  <c r="AH144" i="30"/>
  <c r="BC144" i="30" s="1"/>
  <c r="L209" i="16" s="1"/>
  <c r="AJ144" i="30"/>
  <c r="AK144" i="30"/>
  <c r="AL144" i="30"/>
  <c r="AP144" i="30"/>
  <c r="AQ144" i="30"/>
  <c r="BL144" i="30" s="1"/>
  <c r="U209" i="16" s="1"/>
  <c r="AR144" i="30"/>
  <c r="Y144" i="30"/>
  <c r="AT144" i="30" s="1"/>
  <c r="C209" i="16" s="1"/>
  <c r="Z144" i="30"/>
  <c r="AA151" i="30"/>
  <c r="AM151" i="30"/>
  <c r="BH151" i="30" s="1"/>
  <c r="Q216" i="16" s="1"/>
  <c r="AE151" i="30"/>
  <c r="AQ151" i="30"/>
  <c r="BL151" i="30" s="1"/>
  <c r="U216" i="16" s="1"/>
  <c r="AF151" i="30"/>
  <c r="AR151" i="30"/>
  <c r="BM151" i="30" s="1"/>
  <c r="V216" i="16" s="1"/>
  <c r="AG151" i="30"/>
  <c r="Y151" i="30"/>
  <c r="AT151" i="30" s="1"/>
  <c r="C216" i="16" s="1"/>
  <c r="AK151" i="30"/>
  <c r="BF151" i="30" s="1"/>
  <c r="O216" i="16" s="1"/>
  <c r="AH151" i="30"/>
  <c r="AI151" i="30"/>
  <c r="BD151" i="30" s="1"/>
  <c r="M216" i="16" s="1"/>
  <c r="AJ151" i="30"/>
  <c r="AL151" i="30"/>
  <c r="AN151" i="30"/>
  <c r="BI151" i="30" s="1"/>
  <c r="R216" i="16" s="1"/>
  <c r="AO151" i="30"/>
  <c r="AP151" i="30"/>
  <c r="BK151" i="30" s="1"/>
  <c r="T216" i="16" s="1"/>
  <c r="Z151" i="30"/>
  <c r="AB151" i="30"/>
  <c r="AC151" i="30"/>
  <c r="AD151" i="30"/>
  <c r="AC223" i="30"/>
  <c r="AX223" i="30" s="1"/>
  <c r="G288" i="16" s="1"/>
  <c r="AO223" i="30"/>
  <c r="BJ223" i="30" s="1"/>
  <c r="S288" i="16" s="1"/>
  <c r="AG223" i="30"/>
  <c r="BB223" i="30" s="1"/>
  <c r="K288" i="16" s="1"/>
  <c r="AH223" i="30"/>
  <c r="BC223" i="30" s="1"/>
  <c r="L288" i="16" s="1"/>
  <c r="AI223" i="30"/>
  <c r="BD223" i="30" s="1"/>
  <c r="M288" i="16" s="1"/>
  <c r="AA223" i="30"/>
  <c r="AV223" i="30" s="1"/>
  <c r="E288" i="16" s="1"/>
  <c r="AM223" i="30"/>
  <c r="BH223" i="30" s="1"/>
  <c r="Q288" i="16" s="1"/>
  <c r="Z223" i="30"/>
  <c r="AB223" i="30"/>
  <c r="AW223" i="30" s="1"/>
  <c r="F288" i="16" s="1"/>
  <c r="AD223" i="30"/>
  <c r="AY223" i="30" s="1"/>
  <c r="H288" i="16" s="1"/>
  <c r="AE223" i="30"/>
  <c r="AZ223" i="30" s="1"/>
  <c r="I288" i="16" s="1"/>
  <c r="AF223" i="30"/>
  <c r="BA223" i="30" s="1"/>
  <c r="J288" i="16" s="1"/>
  <c r="AJ223" i="30"/>
  <c r="BE223" i="30" s="1"/>
  <c r="N288" i="16" s="1"/>
  <c r="AK223" i="30"/>
  <c r="BF223" i="30" s="1"/>
  <c r="O288" i="16" s="1"/>
  <c r="AL223" i="30"/>
  <c r="BG223" i="30" s="1"/>
  <c r="P288" i="16" s="1"/>
  <c r="AN223" i="30"/>
  <c r="BI223" i="30" s="1"/>
  <c r="R288" i="16" s="1"/>
  <c r="AP223" i="30"/>
  <c r="BK223" i="30" s="1"/>
  <c r="T288" i="16" s="1"/>
  <c r="AQ223" i="30"/>
  <c r="BL223" i="30" s="1"/>
  <c r="U288" i="16" s="1"/>
  <c r="Y223" i="30"/>
  <c r="AT223" i="30" s="1"/>
  <c r="C288" i="16" s="1"/>
  <c r="AR223" i="30"/>
  <c r="BM223" i="30" s="1"/>
  <c r="V288" i="16" s="1"/>
  <c r="AE158" i="30"/>
  <c r="AQ158" i="30"/>
  <c r="AI158" i="30"/>
  <c r="AJ158" i="30"/>
  <c r="Y158" i="30"/>
  <c r="AT158" i="30" s="1"/>
  <c r="C223" i="16" s="1"/>
  <c r="AK158" i="30"/>
  <c r="BF158" i="30" s="1"/>
  <c r="O223" i="16" s="1"/>
  <c r="AC158" i="30"/>
  <c r="AO158" i="30"/>
  <c r="AL158" i="30"/>
  <c r="BG158" i="30" s="1"/>
  <c r="P223" i="16" s="1"/>
  <c r="AM158" i="30"/>
  <c r="BH158" i="30" s="1"/>
  <c r="Q223" i="16" s="1"/>
  <c r="AN158" i="30"/>
  <c r="AP158" i="30"/>
  <c r="AR158" i="30"/>
  <c r="Z158" i="30"/>
  <c r="AA158" i="30"/>
  <c r="AB158" i="30"/>
  <c r="AD158" i="30"/>
  <c r="AY158" i="30" s="1"/>
  <c r="H223" i="16" s="1"/>
  <c r="AF158" i="30"/>
  <c r="BA158" i="30" s="1"/>
  <c r="J223" i="16" s="1"/>
  <c r="AG158" i="30"/>
  <c r="AH158" i="30"/>
  <c r="BC158" i="30" s="1"/>
  <c r="L223" i="16" s="1"/>
  <c r="AA171" i="30"/>
  <c r="AV171" i="30" s="1"/>
  <c r="E236" i="16" s="1"/>
  <c r="AM171" i="30"/>
  <c r="AB171" i="30"/>
  <c r="AW171" i="30" s="1"/>
  <c r="F236" i="16" s="1"/>
  <c r="AN171" i="30"/>
  <c r="AG171" i="30"/>
  <c r="AI171" i="30"/>
  <c r="BD171" i="30" s="1"/>
  <c r="M236" i="16" s="1"/>
  <c r="AJ171" i="30"/>
  <c r="AK171" i="30"/>
  <c r="AL171" i="30"/>
  <c r="AO171" i="30"/>
  <c r="Y171" i="30"/>
  <c r="AT171" i="30" s="1"/>
  <c r="C236" i="16" s="1"/>
  <c r="AP171" i="30"/>
  <c r="Z171" i="30"/>
  <c r="AQ171" i="30"/>
  <c r="BL171" i="30" s="1"/>
  <c r="U236" i="16" s="1"/>
  <c r="AC171" i="30"/>
  <c r="AX171" i="30" s="1"/>
  <c r="G236" i="16" s="1"/>
  <c r="AR171" i="30"/>
  <c r="AD171" i="30"/>
  <c r="AE171" i="30"/>
  <c r="AZ171" i="30" s="1"/>
  <c r="I236" i="16" s="1"/>
  <c r="AF171" i="30"/>
  <c r="AH171" i="30"/>
  <c r="AA112" i="30"/>
  <c r="AM112" i="30"/>
  <c r="AB112" i="30"/>
  <c r="AG112" i="30"/>
  <c r="Y112" i="30"/>
  <c r="AT112" i="30" s="1"/>
  <c r="C177" i="16" s="1"/>
  <c r="AO112" i="30"/>
  <c r="Z112" i="30"/>
  <c r="AP112" i="30"/>
  <c r="AE112" i="30"/>
  <c r="AF112" i="30"/>
  <c r="BA112" i="30" s="1"/>
  <c r="J177" i="16" s="1"/>
  <c r="AH112" i="30"/>
  <c r="AI112" i="30"/>
  <c r="AL112" i="30"/>
  <c r="AR112" i="30"/>
  <c r="AC112" i="30"/>
  <c r="AD112" i="30"/>
  <c r="AJ112" i="30"/>
  <c r="BE112" i="30" s="1"/>
  <c r="N177" i="16" s="1"/>
  <c r="AK112" i="30"/>
  <c r="AN112" i="30"/>
  <c r="BI112" i="30" s="1"/>
  <c r="R177" i="16" s="1"/>
  <c r="AQ112" i="30"/>
  <c r="AE184" i="30"/>
  <c r="AQ184" i="30"/>
  <c r="BL184" i="30" s="1"/>
  <c r="U249" i="16" s="1"/>
  <c r="AF184" i="30"/>
  <c r="AR184" i="30"/>
  <c r="Y184" i="30"/>
  <c r="AT184" i="30" s="1"/>
  <c r="C249" i="16" s="1"/>
  <c r="AK184" i="30"/>
  <c r="AD184" i="30"/>
  <c r="AG184" i="30"/>
  <c r="AH184" i="30"/>
  <c r="BC184" i="30" s="1"/>
  <c r="L249" i="16" s="1"/>
  <c r="AI184" i="30"/>
  <c r="AJ184" i="30"/>
  <c r="BE184" i="30" s="1"/>
  <c r="N249" i="16" s="1"/>
  <c r="AL184" i="30"/>
  <c r="AM184" i="30"/>
  <c r="AN184" i="30"/>
  <c r="BI184" i="30" s="1"/>
  <c r="R249" i="16" s="1"/>
  <c r="Z184" i="30"/>
  <c r="AO184" i="30"/>
  <c r="AA184" i="30"/>
  <c r="AP184" i="30"/>
  <c r="AB184" i="30"/>
  <c r="AC184" i="30"/>
  <c r="Y82" i="30"/>
  <c r="AT82" i="30" s="1"/>
  <c r="C147" i="16" s="1"/>
  <c r="AK82" i="30"/>
  <c r="AC82" i="30"/>
  <c r="AX82" i="30" s="1"/>
  <c r="G147" i="16" s="1"/>
  <c r="AO82" i="30"/>
  <c r="AE82" i="30"/>
  <c r="AQ82" i="30"/>
  <c r="BL82" i="30" s="1"/>
  <c r="U147" i="16" s="1"/>
  <c r="AG82" i="30"/>
  <c r="AH82" i="30"/>
  <c r="AL82" i="30"/>
  <c r="AM82" i="30"/>
  <c r="AA82" i="30"/>
  <c r="AB82" i="30"/>
  <c r="AD82" i="30"/>
  <c r="AY82" i="30" s="1"/>
  <c r="H147" i="16" s="1"/>
  <c r="AJ82" i="30"/>
  <c r="AN82" i="30"/>
  <c r="BI82" i="30" s="1"/>
  <c r="R147" i="16" s="1"/>
  <c r="AP82" i="30"/>
  <c r="AR82" i="30"/>
  <c r="Z82" i="30"/>
  <c r="AF82" i="30"/>
  <c r="AI82" i="30"/>
  <c r="AG78" i="30"/>
  <c r="Y78" i="30"/>
  <c r="AT78" i="30" s="1"/>
  <c r="C143" i="16" s="1"/>
  <c r="AK78" i="30"/>
  <c r="AA78" i="30"/>
  <c r="AV78" i="30" s="1"/>
  <c r="E143" i="16" s="1"/>
  <c r="AM78" i="30"/>
  <c r="BH78" i="30" s="1"/>
  <c r="Q143" i="16" s="1"/>
  <c r="AC78" i="30"/>
  <c r="AX78" i="30" s="1"/>
  <c r="G143" i="16" s="1"/>
  <c r="AO78" i="30"/>
  <c r="AD78" i="30"/>
  <c r="AP78" i="30"/>
  <c r="AI78" i="30"/>
  <c r="BD78" i="30" s="1"/>
  <c r="M143" i="16" s="1"/>
  <c r="AJ78" i="30"/>
  <c r="Z78" i="30"/>
  <c r="AB78" i="30"/>
  <c r="AH78" i="30"/>
  <c r="AL78" i="30"/>
  <c r="AN78" i="30"/>
  <c r="BI78" i="30" s="1"/>
  <c r="R143" i="16" s="1"/>
  <c r="AQ78" i="30"/>
  <c r="BL78" i="30" s="1"/>
  <c r="U143" i="16" s="1"/>
  <c r="AE78" i="30"/>
  <c r="AZ78" i="30" s="1"/>
  <c r="I143" i="16" s="1"/>
  <c r="AF78" i="30"/>
  <c r="AR78" i="30"/>
  <c r="AC80" i="30"/>
  <c r="AO80" i="30"/>
  <c r="BJ80" i="30" s="1"/>
  <c r="S145" i="16" s="1"/>
  <c r="AG80" i="30"/>
  <c r="AI80" i="30"/>
  <c r="Y80" i="30"/>
  <c r="AT80" i="30" s="1"/>
  <c r="C145" i="16" s="1"/>
  <c r="AK80" i="30"/>
  <c r="Z80" i="30"/>
  <c r="AL80" i="30"/>
  <c r="BG80" i="30" s="1"/>
  <c r="P145" i="16" s="1"/>
  <c r="AJ80" i="30"/>
  <c r="BE80" i="30" s="1"/>
  <c r="N145" i="16" s="1"/>
  <c r="AM80" i="30"/>
  <c r="BH80" i="30" s="1"/>
  <c r="Q145" i="16" s="1"/>
  <c r="AA80" i="30"/>
  <c r="AP80" i="30"/>
  <c r="AQ80" i="30"/>
  <c r="AB80" i="30"/>
  <c r="AW80" i="30" s="1"/>
  <c r="F145" i="16" s="1"/>
  <c r="AD80" i="30"/>
  <c r="AH80" i="30"/>
  <c r="AE80" i="30"/>
  <c r="AF80" i="30"/>
  <c r="AN80" i="30"/>
  <c r="AR80" i="30"/>
  <c r="BM80" i="30" s="1"/>
  <c r="V145" i="16" s="1"/>
  <c r="AE149" i="30"/>
  <c r="AZ149" i="30" s="1"/>
  <c r="I214" i="16" s="1"/>
  <c r="AQ149" i="30"/>
  <c r="BL149" i="30" s="1"/>
  <c r="U214" i="16" s="1"/>
  <c r="AI149" i="30"/>
  <c r="AJ149" i="30"/>
  <c r="Y149" i="30"/>
  <c r="AT149" i="30" s="1"/>
  <c r="C214" i="16" s="1"/>
  <c r="AK149" i="30"/>
  <c r="BF149" i="30" s="1"/>
  <c r="O214" i="16" s="1"/>
  <c r="AC149" i="30"/>
  <c r="AO149" i="30"/>
  <c r="AF149" i="30"/>
  <c r="AG149" i="30"/>
  <c r="BB149" i="30" s="1"/>
  <c r="K214" i="16" s="1"/>
  <c r="AH149" i="30"/>
  <c r="BC149" i="30" s="1"/>
  <c r="L214" i="16" s="1"/>
  <c r="AL149" i="30"/>
  <c r="AM149" i="30"/>
  <c r="BH149" i="30" s="1"/>
  <c r="Q214" i="16" s="1"/>
  <c r="AN149" i="30"/>
  <c r="BI149" i="30" s="1"/>
  <c r="R214" i="16" s="1"/>
  <c r="AP149" i="30"/>
  <c r="AR149" i="30"/>
  <c r="BM149" i="30" s="1"/>
  <c r="V214" i="16" s="1"/>
  <c r="Z149" i="30"/>
  <c r="AA149" i="30"/>
  <c r="AV149" i="30" s="1"/>
  <c r="E214" i="16" s="1"/>
  <c r="AB149" i="30"/>
  <c r="AD149" i="30"/>
  <c r="AG221" i="30"/>
  <c r="BB221" i="30" s="1"/>
  <c r="K286" i="16" s="1"/>
  <c r="Y221" i="30"/>
  <c r="AT221" i="30" s="1"/>
  <c r="C286" i="16" s="1"/>
  <c r="AK221" i="30"/>
  <c r="BF221" i="30" s="1"/>
  <c r="O286" i="16" s="1"/>
  <c r="Z221" i="30"/>
  <c r="AL221" i="30"/>
  <c r="BG221" i="30" s="1"/>
  <c r="P286" i="16" s="1"/>
  <c r="AA221" i="30"/>
  <c r="AV221" i="30" s="1"/>
  <c r="E286" i="16" s="1"/>
  <c r="AM221" i="30"/>
  <c r="BH221" i="30" s="1"/>
  <c r="Q286" i="16" s="1"/>
  <c r="AE221" i="30"/>
  <c r="AZ221" i="30" s="1"/>
  <c r="I286" i="16" s="1"/>
  <c r="AQ221" i="30"/>
  <c r="BL221" i="30" s="1"/>
  <c r="U286" i="16" s="1"/>
  <c r="AB221" i="30"/>
  <c r="AW221" i="30" s="1"/>
  <c r="F286" i="16" s="1"/>
  <c r="AC221" i="30"/>
  <c r="AX221" i="30" s="1"/>
  <c r="G286" i="16" s="1"/>
  <c r="AD221" i="30"/>
  <c r="AY221" i="30" s="1"/>
  <c r="H286" i="16" s="1"/>
  <c r="AF221" i="30"/>
  <c r="BA221" i="30" s="1"/>
  <c r="J286" i="16" s="1"/>
  <c r="AH221" i="30"/>
  <c r="BC221" i="30" s="1"/>
  <c r="L286" i="16" s="1"/>
  <c r="AI221" i="30"/>
  <c r="BD221" i="30" s="1"/>
  <c r="M286" i="16" s="1"/>
  <c r="AJ221" i="30"/>
  <c r="BE221" i="30" s="1"/>
  <c r="N286" i="16" s="1"/>
  <c r="AN221" i="30"/>
  <c r="BI221" i="30" s="1"/>
  <c r="R286" i="16" s="1"/>
  <c r="AO221" i="30"/>
  <c r="BJ221" i="30" s="1"/>
  <c r="S286" i="16" s="1"/>
  <c r="AP221" i="30"/>
  <c r="BK221" i="30" s="1"/>
  <c r="T286" i="16" s="1"/>
  <c r="AR221" i="30"/>
  <c r="BM221" i="30" s="1"/>
  <c r="V286" i="16" s="1"/>
  <c r="AI156" i="30"/>
  <c r="AA156" i="30"/>
  <c r="AM156" i="30"/>
  <c r="AB156" i="30"/>
  <c r="AN156" i="30"/>
  <c r="BI156" i="30" s="1"/>
  <c r="R221" i="16" s="1"/>
  <c r="AC156" i="30"/>
  <c r="AX156" i="30" s="1"/>
  <c r="G221" i="16" s="1"/>
  <c r="AO156" i="30"/>
  <c r="AG156" i="30"/>
  <c r="AJ156" i="30"/>
  <c r="BE156" i="30" s="1"/>
  <c r="N221" i="16" s="1"/>
  <c r="AK156" i="30"/>
  <c r="AL156" i="30"/>
  <c r="AP156" i="30"/>
  <c r="AQ156" i="30"/>
  <c r="AR156" i="30"/>
  <c r="Y156" i="30"/>
  <c r="AT156" i="30" s="1"/>
  <c r="C221" i="16" s="1"/>
  <c r="Z156" i="30"/>
  <c r="AD156" i="30"/>
  <c r="AE156" i="30"/>
  <c r="AZ156" i="30" s="1"/>
  <c r="I221" i="16" s="1"/>
  <c r="AF156" i="30"/>
  <c r="AH156" i="30"/>
  <c r="Y228" i="30"/>
  <c r="AT228" i="30" s="1"/>
  <c r="C293" i="16" s="1"/>
  <c r="AK228" i="30"/>
  <c r="BF228" i="30" s="1"/>
  <c r="O293" i="16" s="1"/>
  <c r="AC228" i="30"/>
  <c r="AX228" i="30" s="1"/>
  <c r="G293" i="16" s="1"/>
  <c r="AO228" i="30"/>
  <c r="BJ228" i="30" s="1"/>
  <c r="S293" i="16" s="1"/>
  <c r="AD228" i="30"/>
  <c r="AY228" i="30" s="1"/>
  <c r="H293" i="16" s="1"/>
  <c r="AP228" i="30"/>
  <c r="BK228" i="30" s="1"/>
  <c r="T293" i="16" s="1"/>
  <c r="AE228" i="30"/>
  <c r="AZ228" i="30" s="1"/>
  <c r="I293" i="16" s="1"/>
  <c r="AQ228" i="30"/>
  <c r="BL228" i="30" s="1"/>
  <c r="U293" i="16" s="1"/>
  <c r="AI228" i="30"/>
  <c r="BD228" i="30" s="1"/>
  <c r="M293" i="16" s="1"/>
  <c r="AB228" i="30"/>
  <c r="AW228" i="30" s="1"/>
  <c r="F293" i="16" s="1"/>
  <c r="AF228" i="30"/>
  <c r="BA228" i="30" s="1"/>
  <c r="J293" i="16" s="1"/>
  <c r="AG228" i="30"/>
  <c r="BB228" i="30" s="1"/>
  <c r="K293" i="16" s="1"/>
  <c r="AH228" i="30"/>
  <c r="BC228" i="30" s="1"/>
  <c r="L293" i="16" s="1"/>
  <c r="AJ228" i="30"/>
  <c r="BE228" i="30" s="1"/>
  <c r="N293" i="16" s="1"/>
  <c r="AL228" i="30"/>
  <c r="BG228" i="30" s="1"/>
  <c r="P293" i="16" s="1"/>
  <c r="AM228" i="30"/>
  <c r="BH228" i="30" s="1"/>
  <c r="Q293" i="16" s="1"/>
  <c r="AN228" i="30"/>
  <c r="BI228" i="30" s="1"/>
  <c r="R293" i="16" s="1"/>
  <c r="AR228" i="30"/>
  <c r="BM228" i="30" s="1"/>
  <c r="V293" i="16" s="1"/>
  <c r="Z228" i="30"/>
  <c r="AA228" i="30"/>
  <c r="AV228" i="30" s="1"/>
  <c r="E293" i="16" s="1"/>
  <c r="AE163" i="30"/>
  <c r="AZ163" i="30" s="1"/>
  <c r="I228" i="16" s="1"/>
  <c r="AQ163" i="30"/>
  <c r="AF163" i="30"/>
  <c r="AR163" i="30"/>
  <c r="Y163" i="30"/>
  <c r="AT163" i="30" s="1"/>
  <c r="C228" i="16" s="1"/>
  <c r="AK163" i="30"/>
  <c r="AI163" i="30"/>
  <c r="AJ163" i="30"/>
  <c r="AL163" i="30"/>
  <c r="AM163" i="30"/>
  <c r="BH163" i="30" s="1"/>
  <c r="Q228" i="16" s="1"/>
  <c r="AN163" i="30"/>
  <c r="Z163" i="30"/>
  <c r="AO163" i="30"/>
  <c r="BJ163" i="30" s="1"/>
  <c r="S228" i="16" s="1"/>
  <c r="AA163" i="30"/>
  <c r="AP163" i="30"/>
  <c r="AB163" i="30"/>
  <c r="AC163" i="30"/>
  <c r="AX163" i="30" s="1"/>
  <c r="G228" i="16" s="1"/>
  <c r="AD163" i="30"/>
  <c r="AY163" i="30" s="1"/>
  <c r="H228" i="16" s="1"/>
  <c r="AG163" i="30"/>
  <c r="AH163" i="30"/>
  <c r="AI170" i="30"/>
  <c r="BD170" i="30" s="1"/>
  <c r="M235" i="16" s="1"/>
  <c r="AJ170" i="30"/>
  <c r="AC170" i="30"/>
  <c r="AO170" i="30"/>
  <c r="AM170" i="30"/>
  <c r="Y170" i="30"/>
  <c r="AT170" i="30" s="1"/>
  <c r="C235" i="16" s="1"/>
  <c r="AN170" i="30"/>
  <c r="Z170" i="30"/>
  <c r="AP170" i="30"/>
  <c r="BK170" i="30" s="1"/>
  <c r="T235" i="16" s="1"/>
  <c r="AA170" i="30"/>
  <c r="AQ170" i="30"/>
  <c r="AB170" i="30"/>
  <c r="AR170" i="30"/>
  <c r="BM170" i="30" s="1"/>
  <c r="V235" i="16" s="1"/>
  <c r="AD170" i="30"/>
  <c r="AE170" i="30"/>
  <c r="AF170" i="30"/>
  <c r="AG170" i="30"/>
  <c r="AH170" i="30"/>
  <c r="BC170" i="30" s="1"/>
  <c r="L235" i="16" s="1"/>
  <c r="AK170" i="30"/>
  <c r="AL170" i="30"/>
  <c r="AI111" i="30"/>
  <c r="BD111" i="30" s="1"/>
  <c r="M176" i="16" s="1"/>
  <c r="AJ111" i="30"/>
  <c r="AC111" i="30"/>
  <c r="AO111" i="30"/>
  <c r="AD111" i="30"/>
  <c r="AY111" i="30" s="1"/>
  <c r="H176" i="16" s="1"/>
  <c r="AE111" i="30"/>
  <c r="AH111" i="30"/>
  <c r="AK111" i="30"/>
  <c r="AL111" i="30"/>
  <c r="AM111" i="30"/>
  <c r="AA111" i="30"/>
  <c r="AV111" i="30" s="1"/>
  <c r="E176" i="16" s="1"/>
  <c r="AQ111" i="30"/>
  <c r="BL111" i="30" s="1"/>
  <c r="U176" i="16" s="1"/>
  <c r="AB111" i="30"/>
  <c r="AW111" i="30" s="1"/>
  <c r="F176" i="16" s="1"/>
  <c r="AF111" i="30"/>
  <c r="BA111" i="30" s="1"/>
  <c r="J176" i="16" s="1"/>
  <c r="AG111" i="30"/>
  <c r="AN111" i="30"/>
  <c r="AP111" i="30"/>
  <c r="BK111" i="30" s="1"/>
  <c r="T176" i="16" s="1"/>
  <c r="AR111" i="30"/>
  <c r="Y111" i="30"/>
  <c r="AT111" i="30" s="1"/>
  <c r="C176" i="16" s="1"/>
  <c r="Z111" i="30"/>
  <c r="AA183" i="30"/>
  <c r="AM183" i="30"/>
  <c r="BH183" i="30" s="1"/>
  <c r="Q248" i="16" s="1"/>
  <c r="AB183" i="30"/>
  <c r="AN183" i="30"/>
  <c r="BI183" i="30" s="1"/>
  <c r="R248" i="16" s="1"/>
  <c r="AG183" i="30"/>
  <c r="BB183" i="30" s="1"/>
  <c r="K248" i="16" s="1"/>
  <c r="AI183" i="30"/>
  <c r="AJ183" i="30"/>
  <c r="AK183" i="30"/>
  <c r="AL183" i="30"/>
  <c r="BG183" i="30" s="1"/>
  <c r="P248" i="16" s="1"/>
  <c r="AO183" i="30"/>
  <c r="BJ183" i="30" s="1"/>
  <c r="S248" i="16" s="1"/>
  <c r="Y183" i="30"/>
  <c r="AT183" i="30" s="1"/>
  <c r="C248" i="16" s="1"/>
  <c r="AP183" i="30"/>
  <c r="Z183" i="30"/>
  <c r="AQ183" i="30"/>
  <c r="BL183" i="30" s="1"/>
  <c r="U248" i="16" s="1"/>
  <c r="AC183" i="30"/>
  <c r="AR183" i="30"/>
  <c r="BM183" i="30" s="1"/>
  <c r="V248" i="16" s="1"/>
  <c r="AD183" i="30"/>
  <c r="AY183" i="30" s="1"/>
  <c r="H248" i="16" s="1"/>
  <c r="AE183" i="30"/>
  <c r="AF183" i="30"/>
  <c r="AH183" i="30"/>
  <c r="AG124" i="30"/>
  <c r="BB124" i="30" s="1"/>
  <c r="K189" i="16" s="1"/>
  <c r="AH124" i="30"/>
  <c r="AA124" i="30"/>
  <c r="AM124" i="30"/>
  <c r="AF124" i="30"/>
  <c r="AI124" i="30"/>
  <c r="AJ124" i="30"/>
  <c r="BE124" i="30" s="1"/>
  <c r="N189" i="16" s="1"/>
  <c r="AK124" i="30"/>
  <c r="BF124" i="30" s="1"/>
  <c r="O189" i="16" s="1"/>
  <c r="AL124" i="30"/>
  <c r="BG124" i="30" s="1"/>
  <c r="P189" i="16" s="1"/>
  <c r="AN124" i="30"/>
  <c r="Y124" i="30"/>
  <c r="AT124" i="30" s="1"/>
  <c r="C189" i="16" s="1"/>
  <c r="AO124" i="30"/>
  <c r="Z124" i="30"/>
  <c r="AP124" i="30"/>
  <c r="AB124" i="30"/>
  <c r="AQ124" i="30"/>
  <c r="AC124" i="30"/>
  <c r="AR124" i="30"/>
  <c r="AD124" i="30"/>
  <c r="AY124" i="30" s="1"/>
  <c r="H189" i="16" s="1"/>
  <c r="AE124" i="30"/>
  <c r="AZ124" i="30" s="1"/>
  <c r="I189" i="16" s="1"/>
  <c r="AE196" i="30"/>
  <c r="AZ196" i="30" s="1"/>
  <c r="I261" i="16" s="1"/>
  <c r="AQ196" i="30"/>
  <c r="AF196" i="30"/>
  <c r="AR196" i="30"/>
  <c r="Y196" i="30"/>
  <c r="AT196" i="30" s="1"/>
  <c r="C261" i="16" s="1"/>
  <c r="AK196" i="30"/>
  <c r="AD196" i="30"/>
  <c r="AG196" i="30"/>
  <c r="AH196" i="30"/>
  <c r="AI196" i="30"/>
  <c r="AJ196" i="30"/>
  <c r="BE196" i="30" s="1"/>
  <c r="N261" i="16" s="1"/>
  <c r="AL196" i="30"/>
  <c r="BG196" i="30" s="1"/>
  <c r="P261" i="16" s="1"/>
  <c r="AM196" i="30"/>
  <c r="BH196" i="30" s="1"/>
  <c r="Q261" i="16" s="1"/>
  <c r="AN196" i="30"/>
  <c r="Z196" i="30"/>
  <c r="AO196" i="30"/>
  <c r="AA196" i="30"/>
  <c r="AV196" i="30" s="1"/>
  <c r="E261" i="16" s="1"/>
  <c r="AP196" i="30"/>
  <c r="AB196" i="30"/>
  <c r="AC196" i="30"/>
  <c r="Y88" i="30"/>
  <c r="AT88" i="30" s="1"/>
  <c r="C153" i="16" s="1"/>
  <c r="AK88" i="30"/>
  <c r="BF88" i="30" s="1"/>
  <c r="O153" i="16" s="1"/>
  <c r="AE88" i="30"/>
  <c r="AQ88" i="30"/>
  <c r="BL88" i="30" s="1"/>
  <c r="U153" i="16" s="1"/>
  <c r="AB88" i="30"/>
  <c r="AW88" i="30" s="1"/>
  <c r="F153" i="16" s="1"/>
  <c r="AP88" i="30"/>
  <c r="AC88" i="30"/>
  <c r="AR88" i="30"/>
  <c r="AI88" i="30"/>
  <c r="BD88" i="30" s="1"/>
  <c r="M153" i="16" s="1"/>
  <c r="AF88" i="30"/>
  <c r="BA88" i="30" s="1"/>
  <c r="J153" i="16" s="1"/>
  <c r="AG88" i="30"/>
  <c r="AL88" i="30"/>
  <c r="AM88" i="30"/>
  <c r="AN88" i="30"/>
  <c r="BI88" i="30" s="1"/>
  <c r="R153" i="16" s="1"/>
  <c r="AO88" i="30"/>
  <c r="AA88" i="30"/>
  <c r="AV88" i="30" s="1"/>
  <c r="E153" i="16" s="1"/>
  <c r="Z88" i="30"/>
  <c r="AD88" i="30"/>
  <c r="AH88" i="30"/>
  <c r="AJ88" i="30"/>
  <c r="AG84" i="30"/>
  <c r="BB84" i="30" s="1"/>
  <c r="K149" i="16" s="1"/>
  <c r="Y84" i="30"/>
  <c r="AT84" i="30" s="1"/>
  <c r="C149" i="16" s="1"/>
  <c r="AK84" i="30"/>
  <c r="AA84" i="30"/>
  <c r="AM84" i="30"/>
  <c r="AC84" i="30"/>
  <c r="AX84" i="30" s="1"/>
  <c r="G149" i="16" s="1"/>
  <c r="AO84" i="30"/>
  <c r="BJ84" i="30" s="1"/>
  <c r="S149" i="16" s="1"/>
  <c r="AD84" i="30"/>
  <c r="AY84" i="30" s="1"/>
  <c r="H149" i="16" s="1"/>
  <c r="AP84" i="30"/>
  <c r="BK84" i="30" s="1"/>
  <c r="T149" i="16" s="1"/>
  <c r="AL84" i="30"/>
  <c r="AN84" i="30"/>
  <c r="AB84" i="30"/>
  <c r="AR84" i="30"/>
  <c r="BM84" i="30" s="1"/>
  <c r="V149" i="16" s="1"/>
  <c r="Z84" i="30"/>
  <c r="AE84" i="30"/>
  <c r="AF84" i="30"/>
  <c r="AJ84" i="30"/>
  <c r="AI84" i="30"/>
  <c r="AQ84" i="30"/>
  <c r="BL84" i="30" s="1"/>
  <c r="U149" i="16" s="1"/>
  <c r="AH84" i="30"/>
  <c r="BC84" i="30" s="1"/>
  <c r="L149" i="16" s="1"/>
  <c r="AC86" i="30"/>
  <c r="AX86" i="30" s="1"/>
  <c r="G151" i="16" s="1"/>
  <c r="AO86" i="30"/>
  <c r="AG86" i="30"/>
  <c r="AI86" i="30"/>
  <c r="Y86" i="30"/>
  <c r="AT86" i="30" s="1"/>
  <c r="C151" i="16" s="1"/>
  <c r="Z86" i="30"/>
  <c r="AL86" i="30"/>
  <c r="AM86" i="30"/>
  <c r="AD86" i="30"/>
  <c r="AE86" i="30"/>
  <c r="AF86" i="30"/>
  <c r="BA86" i="30" s="1"/>
  <c r="J151" i="16" s="1"/>
  <c r="AK86" i="30"/>
  <c r="BF86" i="30" s="1"/>
  <c r="O151" i="16" s="1"/>
  <c r="AN86" i="30"/>
  <c r="BI86" i="30" s="1"/>
  <c r="R151" i="16" s="1"/>
  <c r="AP86" i="30"/>
  <c r="AQ86" i="30"/>
  <c r="AA86" i="30"/>
  <c r="AB86" i="30"/>
  <c r="AW86" i="30" s="1"/>
  <c r="F151" i="16" s="1"/>
  <c r="AH86" i="30"/>
  <c r="AJ86" i="30"/>
  <c r="AR86" i="30"/>
  <c r="AE155" i="30"/>
  <c r="AQ155" i="30"/>
  <c r="AI155" i="30"/>
  <c r="AJ155" i="30"/>
  <c r="BE155" i="30" s="1"/>
  <c r="N220" i="16" s="1"/>
  <c r="Y155" i="30"/>
  <c r="AT155" i="30" s="1"/>
  <c r="C220" i="16" s="1"/>
  <c r="AK155" i="30"/>
  <c r="AC155" i="30"/>
  <c r="AO155" i="30"/>
  <c r="AH155" i="30"/>
  <c r="BC155" i="30" s="1"/>
  <c r="L220" i="16" s="1"/>
  <c r="AL155" i="30"/>
  <c r="AM155" i="30"/>
  <c r="AN155" i="30"/>
  <c r="AP155" i="30"/>
  <c r="AR155" i="30"/>
  <c r="Z155" i="30"/>
  <c r="AA155" i="30"/>
  <c r="AV155" i="30" s="1"/>
  <c r="E220" i="16" s="1"/>
  <c r="AB155" i="30"/>
  <c r="AW155" i="30" s="1"/>
  <c r="F220" i="16" s="1"/>
  <c r="AD155" i="30"/>
  <c r="AF155" i="30"/>
  <c r="AG155" i="30"/>
  <c r="AG227" i="30"/>
  <c r="BB227" i="30" s="1"/>
  <c r="K292" i="16" s="1"/>
  <c r="Y227" i="30"/>
  <c r="AT227" i="30" s="1"/>
  <c r="C292" i="16" s="1"/>
  <c r="AK227" i="30"/>
  <c r="BF227" i="30" s="1"/>
  <c r="O292" i="16" s="1"/>
  <c r="Z227" i="30"/>
  <c r="AL227" i="30"/>
  <c r="BG227" i="30" s="1"/>
  <c r="P292" i="16" s="1"/>
  <c r="AA227" i="30"/>
  <c r="AV227" i="30" s="1"/>
  <c r="E292" i="16" s="1"/>
  <c r="AM227" i="30"/>
  <c r="BH227" i="30" s="1"/>
  <c r="Q292" i="16" s="1"/>
  <c r="AE227" i="30"/>
  <c r="AZ227" i="30" s="1"/>
  <c r="I292" i="16" s="1"/>
  <c r="AQ227" i="30"/>
  <c r="BL227" i="30" s="1"/>
  <c r="U292" i="16" s="1"/>
  <c r="AC227" i="30"/>
  <c r="AX227" i="30" s="1"/>
  <c r="G292" i="16" s="1"/>
  <c r="AD227" i="30"/>
  <c r="AY227" i="30" s="1"/>
  <c r="H292" i="16" s="1"/>
  <c r="AF227" i="30"/>
  <c r="BA227" i="30" s="1"/>
  <c r="J292" i="16" s="1"/>
  <c r="AH227" i="30"/>
  <c r="BC227" i="30" s="1"/>
  <c r="L292" i="16" s="1"/>
  <c r="AI227" i="30"/>
  <c r="BD227" i="30" s="1"/>
  <c r="M292" i="16" s="1"/>
  <c r="AJ227" i="30"/>
  <c r="BE227" i="30" s="1"/>
  <c r="N292" i="16" s="1"/>
  <c r="AN227" i="30"/>
  <c r="BI227" i="30" s="1"/>
  <c r="R292" i="16" s="1"/>
  <c r="AO227" i="30"/>
  <c r="BJ227" i="30" s="1"/>
  <c r="S292" i="16" s="1"/>
  <c r="AP227" i="30"/>
  <c r="BK227" i="30" s="1"/>
  <c r="T292" i="16" s="1"/>
  <c r="AR227" i="30"/>
  <c r="BM227" i="30" s="1"/>
  <c r="V292" i="16" s="1"/>
  <c r="AB227" i="30"/>
  <c r="AW227" i="30" s="1"/>
  <c r="F292" i="16" s="1"/>
  <c r="AA162" i="30"/>
  <c r="AM162" i="30"/>
  <c r="AB162" i="30"/>
  <c r="AN162" i="30"/>
  <c r="AG162" i="30"/>
  <c r="BB162" i="30" s="1"/>
  <c r="K227" i="16" s="1"/>
  <c r="AL162" i="30"/>
  <c r="AO162" i="30"/>
  <c r="Y162" i="30"/>
  <c r="AT162" i="30" s="1"/>
  <c r="C227" i="16" s="1"/>
  <c r="AP162" i="30"/>
  <c r="Z162" i="30"/>
  <c r="AQ162" i="30"/>
  <c r="BL162" i="30" s="1"/>
  <c r="U227" i="16" s="1"/>
  <c r="AC162" i="30"/>
  <c r="AR162" i="30"/>
  <c r="AD162" i="30"/>
  <c r="AE162" i="30"/>
  <c r="AF162" i="30"/>
  <c r="AH162" i="30"/>
  <c r="BC162" i="30" s="1"/>
  <c r="L227" i="16" s="1"/>
  <c r="AI162" i="30"/>
  <c r="AJ162" i="30"/>
  <c r="AK162" i="30"/>
  <c r="BF162" i="30" s="1"/>
  <c r="O227" i="16" s="1"/>
  <c r="AE169" i="30"/>
  <c r="AZ169" i="30" s="1"/>
  <c r="I234" i="16" s="1"/>
  <c r="AQ169" i="30"/>
  <c r="AF169" i="30"/>
  <c r="AR169" i="30"/>
  <c r="BM169" i="30" s="1"/>
  <c r="V234" i="16" s="1"/>
  <c r="Y169" i="30"/>
  <c r="AT169" i="30" s="1"/>
  <c r="C234" i="16" s="1"/>
  <c r="AK169" i="30"/>
  <c r="BF169" i="30" s="1"/>
  <c r="O234" i="16" s="1"/>
  <c r="AA169" i="30"/>
  <c r="AV169" i="30" s="1"/>
  <c r="E234" i="16" s="1"/>
  <c r="AP169" i="30"/>
  <c r="AB169" i="30"/>
  <c r="AC169" i="30"/>
  <c r="AD169" i="30"/>
  <c r="AG169" i="30"/>
  <c r="AH169" i="30"/>
  <c r="BC169" i="30" s="1"/>
  <c r="L234" i="16" s="1"/>
  <c r="AI169" i="30"/>
  <c r="AJ169" i="30"/>
  <c r="AL169" i="30"/>
  <c r="AM169" i="30"/>
  <c r="AN169" i="30"/>
  <c r="BI169" i="30" s="1"/>
  <c r="R234" i="16" s="1"/>
  <c r="Z169" i="30"/>
  <c r="AO169" i="30"/>
  <c r="AI176" i="30"/>
  <c r="AJ176" i="30"/>
  <c r="BE176" i="30" s="1"/>
  <c r="N241" i="16" s="1"/>
  <c r="AC176" i="30"/>
  <c r="AX176" i="30" s="1"/>
  <c r="G241" i="16" s="1"/>
  <c r="AO176" i="30"/>
  <c r="AE176" i="30"/>
  <c r="AF176" i="30"/>
  <c r="AG176" i="30"/>
  <c r="AH176" i="30"/>
  <c r="AK176" i="30"/>
  <c r="BF176" i="30" s="1"/>
  <c r="O241" i="16" s="1"/>
  <c r="AL176" i="30"/>
  <c r="AM176" i="30"/>
  <c r="Y176" i="30"/>
  <c r="AT176" i="30" s="1"/>
  <c r="C241" i="16" s="1"/>
  <c r="AN176" i="30"/>
  <c r="Z176" i="30"/>
  <c r="AP176" i="30"/>
  <c r="BK176" i="30" s="1"/>
  <c r="T241" i="16" s="1"/>
  <c r="AA176" i="30"/>
  <c r="AQ176" i="30"/>
  <c r="AB176" i="30"/>
  <c r="AR176" i="30"/>
  <c r="AD176" i="30"/>
  <c r="AC117" i="30"/>
  <c r="AX117" i="30" s="1"/>
  <c r="G182" i="16" s="1"/>
  <c r="AO117" i="30"/>
  <c r="BJ117" i="30" s="1"/>
  <c r="S182" i="16" s="1"/>
  <c r="AD117" i="30"/>
  <c r="AY117" i="30" s="1"/>
  <c r="H182" i="16" s="1"/>
  <c r="AP117" i="30"/>
  <c r="AI117" i="30"/>
  <c r="AB117" i="30"/>
  <c r="AW117" i="30" s="1"/>
  <c r="F182" i="16" s="1"/>
  <c r="AE117" i="30"/>
  <c r="AF117" i="30"/>
  <c r="AG117" i="30"/>
  <c r="AH117" i="30"/>
  <c r="AJ117" i="30"/>
  <c r="AK117" i="30"/>
  <c r="AL117" i="30"/>
  <c r="BG117" i="30" s="1"/>
  <c r="P182" i="16" s="1"/>
  <c r="AM117" i="30"/>
  <c r="BH117" i="30" s="1"/>
  <c r="Q182" i="16" s="1"/>
  <c r="Y117" i="30"/>
  <c r="AT117" i="30" s="1"/>
  <c r="C182" i="16" s="1"/>
  <c r="AN117" i="30"/>
  <c r="Z117" i="30"/>
  <c r="AQ117" i="30"/>
  <c r="BL117" i="30" s="1"/>
  <c r="U182" i="16" s="1"/>
  <c r="AA117" i="30"/>
  <c r="AR117" i="30"/>
  <c r="AA189" i="30"/>
  <c r="AM189" i="30"/>
  <c r="AB189" i="30"/>
  <c r="AN189" i="30"/>
  <c r="AG189" i="30"/>
  <c r="BB189" i="30" s="1"/>
  <c r="K254" i="16" s="1"/>
  <c r="Z189" i="30"/>
  <c r="AQ189" i="30"/>
  <c r="BL189" i="30" s="1"/>
  <c r="U254" i="16" s="1"/>
  <c r="AC189" i="30"/>
  <c r="AR189" i="30"/>
  <c r="AD189" i="30"/>
  <c r="AY189" i="30" s="1"/>
  <c r="H254" i="16" s="1"/>
  <c r="AE189" i="30"/>
  <c r="AF189" i="30"/>
  <c r="AH189" i="30"/>
  <c r="AI189" i="30"/>
  <c r="AJ189" i="30"/>
  <c r="AK189" i="30"/>
  <c r="AL189" i="30"/>
  <c r="BG189" i="30" s="1"/>
  <c r="P254" i="16" s="1"/>
  <c r="AO189" i="30"/>
  <c r="BJ189" i="30" s="1"/>
  <c r="S254" i="16" s="1"/>
  <c r="Y189" i="30"/>
  <c r="AT189" i="30" s="1"/>
  <c r="C254" i="16" s="1"/>
  <c r="AP189" i="30"/>
  <c r="AG130" i="30"/>
  <c r="AA130" i="30"/>
  <c r="AV130" i="30" s="1"/>
  <c r="E195" i="16" s="1"/>
  <c r="AM130" i="30"/>
  <c r="Y130" i="30"/>
  <c r="AT130" i="30" s="1"/>
  <c r="C195" i="16" s="1"/>
  <c r="AN130" i="30"/>
  <c r="Z130" i="30"/>
  <c r="AO130" i="30"/>
  <c r="AB130" i="30"/>
  <c r="AP130" i="30"/>
  <c r="BK130" i="30" s="1"/>
  <c r="T195" i="16" s="1"/>
  <c r="AC130" i="30"/>
  <c r="AQ130" i="30"/>
  <c r="BL130" i="30" s="1"/>
  <c r="U195" i="16" s="1"/>
  <c r="AD130" i="30"/>
  <c r="AR130" i="30"/>
  <c r="AE130" i="30"/>
  <c r="AZ130" i="30" s="1"/>
  <c r="I195" i="16" s="1"/>
  <c r="AF130" i="30"/>
  <c r="AH130" i="30"/>
  <c r="AI130" i="30"/>
  <c r="AJ130" i="30"/>
  <c r="AK130" i="30"/>
  <c r="AL130" i="30"/>
  <c r="AC202" i="30"/>
  <c r="AX202" i="30" s="1"/>
  <c r="G267" i="16" s="1"/>
  <c r="AO202" i="30"/>
  <c r="AD202" i="30"/>
  <c r="AY202" i="30" s="1"/>
  <c r="H267" i="16" s="1"/>
  <c r="AP202" i="30"/>
  <c r="AG202" i="30"/>
  <c r="AH202" i="30"/>
  <c r="BC202" i="30" s="1"/>
  <c r="L267" i="16" s="1"/>
  <c r="AI202" i="30"/>
  <c r="AJ202" i="30"/>
  <c r="AA202" i="30"/>
  <c r="AM202" i="30"/>
  <c r="AE202" i="30"/>
  <c r="AF202" i="30"/>
  <c r="AK202" i="30"/>
  <c r="BF202" i="30" s="1"/>
  <c r="O267" i="16" s="1"/>
  <c r="AL202" i="30"/>
  <c r="BG202" i="30" s="1"/>
  <c r="P267" i="16" s="1"/>
  <c r="AN202" i="30"/>
  <c r="AQ202" i="30"/>
  <c r="AR202" i="30"/>
  <c r="Y202" i="30"/>
  <c r="AT202" i="30" s="1"/>
  <c r="C267" i="16" s="1"/>
  <c r="Z202" i="30"/>
  <c r="AB202" i="30"/>
  <c r="AL68" i="30"/>
  <c r="AA68" i="30"/>
  <c r="AM68" i="30"/>
  <c r="BH68" i="30" s="1"/>
  <c r="Q133" i="16" s="1"/>
  <c r="AF68" i="30"/>
  <c r="BA68" i="30" s="1"/>
  <c r="J133" i="16" s="1"/>
  <c r="AR68" i="30"/>
  <c r="BM68" i="30" s="1"/>
  <c r="V133" i="16" s="1"/>
  <c r="AE68" i="30"/>
  <c r="AG68" i="30"/>
  <c r="AH68" i="30"/>
  <c r="BC68" i="30" s="1"/>
  <c r="L133" i="16" s="1"/>
  <c r="AI68" i="30"/>
  <c r="BD68" i="30" s="1"/>
  <c r="M133" i="16" s="1"/>
  <c r="AJ68" i="30"/>
  <c r="AK68" i="30"/>
  <c r="AN68" i="30"/>
  <c r="AO68" i="30"/>
  <c r="AP68" i="30"/>
  <c r="AB68" i="30"/>
  <c r="AW68" i="30" s="1"/>
  <c r="F133" i="16" s="1"/>
  <c r="AQ68" i="30"/>
  <c r="BL68" i="30" s="1"/>
  <c r="U133" i="16" s="1"/>
  <c r="AC68" i="30"/>
  <c r="AX68" i="30" s="1"/>
  <c r="G133" i="16" s="1"/>
  <c r="AD68" i="30"/>
  <c r="AA94" i="30"/>
  <c r="AV94" i="30" s="1"/>
  <c r="E159" i="16" s="1"/>
  <c r="AM94" i="30"/>
  <c r="AB94" i="30"/>
  <c r="AN94" i="30"/>
  <c r="AG94" i="30"/>
  <c r="AH94" i="30"/>
  <c r="AI94" i="30"/>
  <c r="AL94" i="30"/>
  <c r="AO94" i="30"/>
  <c r="BJ94" i="30" s="1"/>
  <c r="S159" i="16" s="1"/>
  <c r="Y94" i="30"/>
  <c r="AP94" i="30"/>
  <c r="Z94" i="30"/>
  <c r="AQ94" i="30"/>
  <c r="AE94" i="30"/>
  <c r="AC94" i="30"/>
  <c r="AD94" i="30"/>
  <c r="AF94" i="30"/>
  <c r="AJ94" i="30"/>
  <c r="AK94" i="30"/>
  <c r="AR94" i="30"/>
  <c r="AG90" i="30"/>
  <c r="BB90" i="30" s="1"/>
  <c r="K155" i="16" s="1"/>
  <c r="AA90" i="30"/>
  <c r="AV90" i="30" s="1"/>
  <c r="E155" i="16" s="1"/>
  <c r="AM90" i="30"/>
  <c r="AE90" i="30"/>
  <c r="AZ90" i="30" s="1"/>
  <c r="I155" i="16" s="1"/>
  <c r="AF90" i="30"/>
  <c r="AL90" i="30"/>
  <c r="AC90" i="30"/>
  <c r="AX90" i="30" s="1"/>
  <c r="G155" i="16" s="1"/>
  <c r="AD90" i="30"/>
  <c r="AJ90" i="30"/>
  <c r="AK90" i="30"/>
  <c r="AN90" i="30"/>
  <c r="AO90" i="30"/>
  <c r="BJ90" i="30" s="1"/>
  <c r="S155" i="16" s="1"/>
  <c r="Z90" i="30"/>
  <c r="AR90" i="30"/>
  <c r="BM90" i="30" s="1"/>
  <c r="V155" i="16" s="1"/>
  <c r="Y90" i="30"/>
  <c r="AT90" i="30" s="1"/>
  <c r="C155" i="16" s="1"/>
  <c r="AB90" i="30"/>
  <c r="AW90" i="30" s="1"/>
  <c r="F155" i="16" s="1"/>
  <c r="AH90" i="30"/>
  <c r="AI90" i="30"/>
  <c r="AP90" i="30"/>
  <c r="AQ90" i="30"/>
  <c r="AE92" i="30"/>
  <c r="AQ92" i="30"/>
  <c r="AF92" i="30"/>
  <c r="AR92" i="30"/>
  <c r="BM92" i="30" s="1"/>
  <c r="V157" i="16" s="1"/>
  <c r="Y92" i="30"/>
  <c r="AT92" i="30" s="1"/>
  <c r="C157" i="16" s="1"/>
  <c r="AK92" i="30"/>
  <c r="BF92" i="30" s="1"/>
  <c r="O157" i="16" s="1"/>
  <c r="Z92" i="30"/>
  <c r="AO92" i="30"/>
  <c r="BJ92" i="30" s="1"/>
  <c r="S157" i="16" s="1"/>
  <c r="AA92" i="30"/>
  <c r="AP92" i="30"/>
  <c r="AD92" i="30"/>
  <c r="AG92" i="30"/>
  <c r="AH92" i="30"/>
  <c r="AI92" i="30"/>
  <c r="AM92" i="30"/>
  <c r="AB92" i="30"/>
  <c r="AC92" i="30"/>
  <c r="AX92" i="30" s="1"/>
  <c r="G157" i="16" s="1"/>
  <c r="AJ92" i="30"/>
  <c r="BE92" i="30" s="1"/>
  <c r="N157" i="16" s="1"/>
  <c r="AL92" i="30"/>
  <c r="AN92" i="30"/>
  <c r="BI92" i="30" s="1"/>
  <c r="R157" i="16" s="1"/>
  <c r="AI161" i="30"/>
  <c r="AJ161" i="30"/>
  <c r="AC161" i="30"/>
  <c r="AO161" i="30"/>
  <c r="AA161" i="30"/>
  <c r="AQ161" i="30"/>
  <c r="AB161" i="30"/>
  <c r="AR161" i="30"/>
  <c r="BM161" i="30" s="1"/>
  <c r="V226" i="16" s="1"/>
  <c r="AD161" i="30"/>
  <c r="AY161" i="30" s="1"/>
  <c r="H226" i="16" s="1"/>
  <c r="AE161" i="30"/>
  <c r="AZ161" i="30" s="1"/>
  <c r="I226" i="16" s="1"/>
  <c r="AF161" i="30"/>
  <c r="AG161" i="30"/>
  <c r="BB161" i="30" s="1"/>
  <c r="K226" i="16" s="1"/>
  <c r="AH161" i="30"/>
  <c r="AK161" i="30"/>
  <c r="AL161" i="30"/>
  <c r="AM161" i="30"/>
  <c r="Y161" i="30"/>
  <c r="AT161" i="30" s="1"/>
  <c r="C226" i="16" s="1"/>
  <c r="AN161" i="30"/>
  <c r="Z161" i="30"/>
  <c r="AP161" i="30"/>
  <c r="BK161" i="30" s="1"/>
  <c r="T226" i="16" s="1"/>
  <c r="AA168" i="30"/>
  <c r="AM168" i="30"/>
  <c r="BH168" i="30" s="1"/>
  <c r="Q233" i="16" s="1"/>
  <c r="AB168" i="30"/>
  <c r="AN168" i="30"/>
  <c r="BI168" i="30" s="1"/>
  <c r="R233" i="16" s="1"/>
  <c r="AG168" i="30"/>
  <c r="BB168" i="30" s="1"/>
  <c r="K233" i="16" s="1"/>
  <c r="AE168" i="30"/>
  <c r="AZ168" i="30" s="1"/>
  <c r="I233" i="16" s="1"/>
  <c r="AF168" i="30"/>
  <c r="BA168" i="30" s="1"/>
  <c r="J233" i="16" s="1"/>
  <c r="AH168" i="30"/>
  <c r="AI168" i="30"/>
  <c r="AJ168" i="30"/>
  <c r="AK168" i="30"/>
  <c r="AL168" i="30"/>
  <c r="AO168" i="30"/>
  <c r="Y168" i="30"/>
  <c r="AT168" i="30" s="1"/>
  <c r="C233" i="16" s="1"/>
  <c r="AP168" i="30"/>
  <c r="Z168" i="30"/>
  <c r="AQ168" i="30"/>
  <c r="BL168" i="30" s="1"/>
  <c r="U233" i="16" s="1"/>
  <c r="AC168" i="30"/>
  <c r="AX168" i="30" s="1"/>
  <c r="G233" i="16" s="1"/>
  <c r="AR168" i="30"/>
  <c r="BM168" i="30" s="1"/>
  <c r="V233" i="16" s="1"/>
  <c r="AD168" i="30"/>
  <c r="AE175" i="30"/>
  <c r="AZ175" i="30" s="1"/>
  <c r="I240" i="16" s="1"/>
  <c r="AQ175" i="30"/>
  <c r="BL175" i="30" s="1"/>
  <c r="U240" i="16" s="1"/>
  <c r="AF175" i="30"/>
  <c r="BA175" i="30" s="1"/>
  <c r="J240" i="16" s="1"/>
  <c r="AR175" i="30"/>
  <c r="Y175" i="30"/>
  <c r="AT175" i="30" s="1"/>
  <c r="C240" i="16" s="1"/>
  <c r="AK175" i="30"/>
  <c r="AI175" i="30"/>
  <c r="BD175" i="30" s="1"/>
  <c r="M240" i="16" s="1"/>
  <c r="AJ175" i="30"/>
  <c r="AL175" i="30"/>
  <c r="BG175" i="30" s="1"/>
  <c r="P240" i="16" s="1"/>
  <c r="AM175" i="30"/>
  <c r="AN175" i="30"/>
  <c r="Z175" i="30"/>
  <c r="AO175" i="30"/>
  <c r="BJ175" i="30" s="1"/>
  <c r="S240" i="16" s="1"/>
  <c r="AA175" i="30"/>
  <c r="AV175" i="30" s="1"/>
  <c r="E240" i="16" s="1"/>
  <c r="AP175" i="30"/>
  <c r="BK175" i="30" s="1"/>
  <c r="T240" i="16" s="1"/>
  <c r="AB175" i="30"/>
  <c r="AC175" i="30"/>
  <c r="AD175" i="30"/>
  <c r="AG175" i="30"/>
  <c r="AH175" i="30"/>
  <c r="AE110" i="30"/>
  <c r="AZ110" i="30" s="1"/>
  <c r="I175" i="16" s="1"/>
  <c r="AQ110" i="30"/>
  <c r="AF110" i="30"/>
  <c r="AR110" i="30"/>
  <c r="BM110" i="30" s="1"/>
  <c r="V175" i="16" s="1"/>
  <c r="Y110" i="30"/>
  <c r="AT110" i="30" s="1"/>
  <c r="C175" i="16" s="1"/>
  <c r="AK110" i="30"/>
  <c r="BF110" i="30" s="1"/>
  <c r="O175" i="16" s="1"/>
  <c r="AH110" i="30"/>
  <c r="AI110" i="30"/>
  <c r="AM110" i="30"/>
  <c r="AN110" i="30"/>
  <c r="Z110" i="30"/>
  <c r="AO110" i="30"/>
  <c r="AA110" i="30"/>
  <c r="AV110" i="30" s="1"/>
  <c r="E175" i="16" s="1"/>
  <c r="AP110" i="30"/>
  <c r="AD110" i="30"/>
  <c r="AB110" i="30"/>
  <c r="AW110" i="30" s="1"/>
  <c r="F175" i="16" s="1"/>
  <c r="AC110" i="30"/>
  <c r="AX110" i="30" s="1"/>
  <c r="G175" i="16" s="1"/>
  <c r="AG110" i="30"/>
  <c r="BB110" i="30" s="1"/>
  <c r="K175" i="16" s="1"/>
  <c r="AJ110" i="30"/>
  <c r="BE110" i="30" s="1"/>
  <c r="N175" i="16" s="1"/>
  <c r="AL110" i="30"/>
  <c r="AI182" i="30"/>
  <c r="AJ182" i="30"/>
  <c r="AC182" i="30"/>
  <c r="AO182" i="30"/>
  <c r="AM182" i="30"/>
  <c r="BH182" i="30" s="1"/>
  <c r="Q247" i="16" s="1"/>
  <c r="Y182" i="30"/>
  <c r="AT182" i="30" s="1"/>
  <c r="C247" i="16" s="1"/>
  <c r="AN182" i="30"/>
  <c r="Z182" i="30"/>
  <c r="AP182" i="30"/>
  <c r="BK182" i="30" s="1"/>
  <c r="T247" i="16" s="1"/>
  <c r="AA182" i="30"/>
  <c r="AV182" i="30" s="1"/>
  <c r="E247" i="16" s="1"/>
  <c r="AQ182" i="30"/>
  <c r="AB182" i="30"/>
  <c r="AR182" i="30"/>
  <c r="AD182" i="30"/>
  <c r="AE182" i="30"/>
  <c r="AF182" i="30"/>
  <c r="AG182" i="30"/>
  <c r="AH182" i="30"/>
  <c r="AK182" i="30"/>
  <c r="AL182" i="30"/>
  <c r="AC123" i="30"/>
  <c r="AX123" i="30" s="1"/>
  <c r="G188" i="16" s="1"/>
  <c r="AO123" i="30"/>
  <c r="BJ123" i="30" s="1"/>
  <c r="S188" i="16" s="1"/>
  <c r="AD123" i="30"/>
  <c r="AP123" i="30"/>
  <c r="AI123" i="30"/>
  <c r="AK123" i="30"/>
  <c r="AL123" i="30"/>
  <c r="BG123" i="30" s="1"/>
  <c r="P188" i="16" s="1"/>
  <c r="AM123" i="30"/>
  <c r="Y123" i="30"/>
  <c r="AT123" i="30" s="1"/>
  <c r="C188" i="16" s="1"/>
  <c r="AN123" i="30"/>
  <c r="Z123" i="30"/>
  <c r="AQ123" i="30"/>
  <c r="AA123" i="30"/>
  <c r="AV123" i="30" s="1"/>
  <c r="E188" i="16" s="1"/>
  <c r="AR123" i="30"/>
  <c r="BM123" i="30" s="1"/>
  <c r="V188" i="16" s="1"/>
  <c r="AB123" i="30"/>
  <c r="AE123" i="30"/>
  <c r="AF123" i="30"/>
  <c r="AG123" i="30"/>
  <c r="AH123" i="30"/>
  <c r="BC123" i="30" s="1"/>
  <c r="L188" i="16" s="1"/>
  <c r="AJ123" i="30"/>
  <c r="AA195" i="30"/>
  <c r="AM195" i="30"/>
  <c r="AB195" i="30"/>
  <c r="AN195" i="30"/>
  <c r="AG195" i="30"/>
  <c r="BB195" i="30" s="1"/>
  <c r="K260" i="16" s="1"/>
  <c r="AI195" i="30"/>
  <c r="BD195" i="30" s="1"/>
  <c r="M260" i="16" s="1"/>
  <c r="AJ195" i="30"/>
  <c r="AK195" i="30"/>
  <c r="AL195" i="30"/>
  <c r="AO195" i="30"/>
  <c r="Y195" i="30"/>
  <c r="AT195" i="30" s="1"/>
  <c r="C260" i="16" s="1"/>
  <c r="AP195" i="30"/>
  <c r="Z195" i="30"/>
  <c r="AQ195" i="30"/>
  <c r="AC195" i="30"/>
  <c r="AR195" i="30"/>
  <c r="AD195" i="30"/>
  <c r="AY195" i="30" s="1"/>
  <c r="H260" i="16" s="1"/>
  <c r="AE195" i="30"/>
  <c r="AZ195" i="30" s="1"/>
  <c r="I260" i="16" s="1"/>
  <c r="AF195" i="30"/>
  <c r="AH195" i="30"/>
  <c r="AA136" i="30"/>
  <c r="AM136" i="30"/>
  <c r="BH136" i="30" s="1"/>
  <c r="Q201" i="16" s="1"/>
  <c r="AE136" i="30"/>
  <c r="AQ136" i="30"/>
  <c r="AF136" i="30"/>
  <c r="AR136" i="30"/>
  <c r="AG136" i="30"/>
  <c r="Y136" i="30"/>
  <c r="AT136" i="30" s="1"/>
  <c r="C201" i="16" s="1"/>
  <c r="AK136" i="30"/>
  <c r="BF136" i="30" s="1"/>
  <c r="O201" i="16" s="1"/>
  <c r="Z136" i="30"/>
  <c r="AB136" i="30"/>
  <c r="AC136" i="30"/>
  <c r="AD136" i="30"/>
  <c r="AH136" i="30"/>
  <c r="BC136" i="30" s="1"/>
  <c r="L201" i="16" s="1"/>
  <c r="AI136" i="30"/>
  <c r="AJ136" i="30"/>
  <c r="AL136" i="30"/>
  <c r="AN136" i="30"/>
  <c r="AO136" i="30"/>
  <c r="AP136" i="30"/>
  <c r="AC208" i="30"/>
  <c r="AX208" i="30" s="1"/>
  <c r="G273" i="16" s="1"/>
  <c r="AO208" i="30"/>
  <c r="BJ208" i="30" s="1"/>
  <c r="S273" i="16" s="1"/>
  <c r="AG208" i="30"/>
  <c r="AH208" i="30"/>
  <c r="AI208" i="30"/>
  <c r="BD208" i="30" s="1"/>
  <c r="M273" i="16" s="1"/>
  <c r="AA208" i="30"/>
  <c r="AV208" i="30" s="1"/>
  <c r="E273" i="16" s="1"/>
  <c r="AM208" i="30"/>
  <c r="AL208" i="30"/>
  <c r="AN208" i="30"/>
  <c r="AP208" i="30"/>
  <c r="AQ208" i="30"/>
  <c r="Y208" i="30"/>
  <c r="AT208" i="30" s="1"/>
  <c r="C273" i="16" s="1"/>
  <c r="AR208" i="30"/>
  <c r="BM208" i="30" s="1"/>
  <c r="V273" i="16" s="1"/>
  <c r="Z208" i="30"/>
  <c r="AB208" i="30"/>
  <c r="AD208" i="30"/>
  <c r="AE208" i="30"/>
  <c r="AZ208" i="30" s="1"/>
  <c r="I273" i="16" s="1"/>
  <c r="AF208" i="30"/>
  <c r="BA208" i="30" s="1"/>
  <c r="J273" i="16" s="1"/>
  <c r="AJ208" i="30"/>
  <c r="AK208" i="30"/>
  <c r="AF69" i="30"/>
  <c r="AR69" i="30"/>
  <c r="AG69" i="30"/>
  <c r="Y69" i="30"/>
  <c r="AK69" i="30"/>
  <c r="BF69" i="30" s="1"/>
  <c r="O134" i="16" s="1"/>
  <c r="Z69" i="30"/>
  <c r="AL69" i="30"/>
  <c r="AA69" i="30"/>
  <c r="AV69" i="30" s="1"/>
  <c r="E134" i="16" s="1"/>
  <c r="AM69" i="30"/>
  <c r="AC69" i="30"/>
  <c r="AO69" i="30"/>
  <c r="AD69" i="30"/>
  <c r="AP69" i="30"/>
  <c r="AH69" i="30"/>
  <c r="AI69" i="30"/>
  <c r="AJ69" i="30"/>
  <c r="AN69" i="30"/>
  <c r="BI69" i="30" s="1"/>
  <c r="R134" i="16" s="1"/>
  <c r="AQ69" i="30"/>
  <c r="BL69" i="30" s="1"/>
  <c r="U134" i="16" s="1"/>
  <c r="AB69" i="30"/>
  <c r="AE69" i="30"/>
  <c r="AZ69" i="30" s="1"/>
  <c r="I134" i="16" s="1"/>
  <c r="AA100" i="30"/>
  <c r="AM100" i="30"/>
  <c r="AB100" i="30"/>
  <c r="AN100" i="30"/>
  <c r="AG100" i="30"/>
  <c r="Y100" i="30"/>
  <c r="AP100" i="30"/>
  <c r="Z100" i="30"/>
  <c r="AQ100" i="30"/>
  <c r="BL100" i="30" s="1"/>
  <c r="U165" i="16" s="1"/>
  <c r="AE100" i="30"/>
  <c r="AZ100" i="30" s="1"/>
  <c r="I165" i="16" s="1"/>
  <c r="AF100" i="30"/>
  <c r="BA100" i="30" s="1"/>
  <c r="J165" i="16" s="1"/>
  <c r="AH100" i="30"/>
  <c r="BC100" i="30" s="1"/>
  <c r="L165" i="16" s="1"/>
  <c r="AI100" i="30"/>
  <c r="AL100" i="30"/>
  <c r="AC100" i="30"/>
  <c r="AD100" i="30"/>
  <c r="AJ100" i="30"/>
  <c r="AK100" i="30"/>
  <c r="AO100" i="30"/>
  <c r="AR100" i="30"/>
  <c r="BM100" i="30" s="1"/>
  <c r="V165" i="16" s="1"/>
  <c r="AI96" i="30"/>
  <c r="BD96" i="30" s="1"/>
  <c r="M161" i="16" s="1"/>
  <c r="AJ96" i="30"/>
  <c r="BE96" i="30" s="1"/>
  <c r="N161" i="16" s="1"/>
  <c r="AC96" i="30"/>
  <c r="AX96" i="30" s="1"/>
  <c r="G161" i="16" s="1"/>
  <c r="AO96" i="30"/>
  <c r="BJ96" i="30" s="1"/>
  <c r="S161" i="16" s="1"/>
  <c r="Z96" i="30"/>
  <c r="AP96" i="30"/>
  <c r="AA96" i="30"/>
  <c r="AV96" i="30" s="1"/>
  <c r="E161" i="16" s="1"/>
  <c r="AQ96" i="30"/>
  <c r="AE96" i="30"/>
  <c r="AF96" i="30"/>
  <c r="AG96" i="30"/>
  <c r="AH96" i="30"/>
  <c r="BC96" i="30" s="1"/>
  <c r="L161" i="16" s="1"/>
  <c r="AM96" i="30"/>
  <c r="BH96" i="30" s="1"/>
  <c r="Q161" i="16" s="1"/>
  <c r="Y96" i="30"/>
  <c r="AT96" i="30" s="1"/>
  <c r="C161" i="16" s="1"/>
  <c r="AB96" i="30"/>
  <c r="AW96" i="30" s="1"/>
  <c r="F161" i="16" s="1"/>
  <c r="AD96" i="30"/>
  <c r="AY96" i="30" s="1"/>
  <c r="H161" i="16" s="1"/>
  <c r="AK96" i="30"/>
  <c r="AL96" i="30"/>
  <c r="AN96" i="30"/>
  <c r="BI96" i="30" s="1"/>
  <c r="R161" i="16" s="1"/>
  <c r="AR96" i="30"/>
  <c r="AE98" i="30"/>
  <c r="AQ98" i="30"/>
  <c r="AF98" i="30"/>
  <c r="AR98" i="30"/>
  <c r="BM98" i="30" s="1"/>
  <c r="V163" i="16" s="1"/>
  <c r="Y98" i="30"/>
  <c r="AT98" i="30" s="1"/>
  <c r="C163" i="16" s="1"/>
  <c r="AK98" i="30"/>
  <c r="BF98" i="30" s="1"/>
  <c r="O163" i="16" s="1"/>
  <c r="AH98" i="30"/>
  <c r="AI98" i="30"/>
  <c r="BD98" i="30" s="1"/>
  <c r="M163" i="16" s="1"/>
  <c r="AM98" i="30"/>
  <c r="AN98" i="30"/>
  <c r="Z98" i="30"/>
  <c r="AO98" i="30"/>
  <c r="AA98" i="30"/>
  <c r="AP98" i="30"/>
  <c r="AD98" i="30"/>
  <c r="AB98" i="30"/>
  <c r="AW98" i="30" s="1"/>
  <c r="F163" i="16" s="1"/>
  <c r="AC98" i="30"/>
  <c r="AX98" i="30" s="1"/>
  <c r="G163" i="16" s="1"/>
  <c r="AG98" i="30"/>
  <c r="BB98" i="30" s="1"/>
  <c r="K163" i="16" s="1"/>
  <c r="AJ98" i="30"/>
  <c r="BE98" i="30" s="1"/>
  <c r="N163" i="16" s="1"/>
  <c r="AL98" i="30"/>
  <c r="BG98" i="30" s="1"/>
  <c r="P163" i="16" s="1"/>
  <c r="AI167" i="30"/>
  <c r="AJ167" i="30"/>
  <c r="AC167" i="30"/>
  <c r="AX167" i="30" s="1"/>
  <c r="G232" i="16" s="1"/>
  <c r="AO167" i="30"/>
  <c r="AH167" i="30"/>
  <c r="AK167" i="30"/>
  <c r="AL167" i="30"/>
  <c r="AM167" i="30"/>
  <c r="BH167" i="30" s="1"/>
  <c r="Q232" i="16" s="1"/>
  <c r="Y167" i="30"/>
  <c r="AT167" i="30" s="1"/>
  <c r="C232" i="16" s="1"/>
  <c r="AN167" i="30"/>
  <c r="BI167" i="30" s="1"/>
  <c r="R232" i="16" s="1"/>
  <c r="Z167" i="30"/>
  <c r="AP167" i="30"/>
  <c r="BK167" i="30" s="1"/>
  <c r="T232" i="16" s="1"/>
  <c r="AA167" i="30"/>
  <c r="AQ167" i="30"/>
  <c r="AB167" i="30"/>
  <c r="AW167" i="30" s="1"/>
  <c r="F232" i="16" s="1"/>
  <c r="AR167" i="30"/>
  <c r="AD167" i="30"/>
  <c r="AE167" i="30"/>
  <c r="AF167" i="30"/>
  <c r="AG167" i="30"/>
  <c r="BB167" i="30" s="1"/>
  <c r="K232" i="16" s="1"/>
  <c r="AA174" i="30"/>
  <c r="AM174" i="30"/>
  <c r="AB174" i="30"/>
  <c r="AN174" i="30"/>
  <c r="BI174" i="30" s="1"/>
  <c r="R239" i="16" s="1"/>
  <c r="AG174" i="30"/>
  <c r="BB174" i="30" s="1"/>
  <c r="K239" i="16" s="1"/>
  <c r="AL174" i="30"/>
  <c r="BG174" i="30" s="1"/>
  <c r="P239" i="16" s="1"/>
  <c r="AO174" i="30"/>
  <c r="Y174" i="30"/>
  <c r="AT174" i="30" s="1"/>
  <c r="C239" i="16" s="1"/>
  <c r="AP174" i="30"/>
  <c r="Z174" i="30"/>
  <c r="AQ174" i="30"/>
  <c r="BL174" i="30" s="1"/>
  <c r="U239" i="16" s="1"/>
  <c r="AC174" i="30"/>
  <c r="AR174" i="30"/>
  <c r="AD174" i="30"/>
  <c r="AE174" i="30"/>
  <c r="AF174" i="30"/>
  <c r="BA174" i="30" s="1"/>
  <c r="J239" i="16" s="1"/>
  <c r="AH174" i="30"/>
  <c r="BC174" i="30" s="1"/>
  <c r="L239" i="16" s="1"/>
  <c r="AI174" i="30"/>
  <c r="BD174" i="30" s="1"/>
  <c r="M239" i="16" s="1"/>
  <c r="AJ174" i="30"/>
  <c r="AK174" i="30"/>
  <c r="BF174" i="30" s="1"/>
  <c r="O239" i="16" s="1"/>
  <c r="AA109" i="30"/>
  <c r="AM109" i="30"/>
  <c r="AB109" i="30"/>
  <c r="AN109" i="30"/>
  <c r="AG109" i="30"/>
  <c r="AK109" i="30"/>
  <c r="AL109" i="30"/>
  <c r="Z109" i="30"/>
  <c r="AQ109" i="30"/>
  <c r="BL109" i="30" s="1"/>
  <c r="U174" i="16" s="1"/>
  <c r="AC109" i="30"/>
  <c r="AX109" i="30" s="1"/>
  <c r="G174" i="16" s="1"/>
  <c r="AR109" i="30"/>
  <c r="BM109" i="30" s="1"/>
  <c r="V174" i="16" s="1"/>
  <c r="AD109" i="30"/>
  <c r="AE109" i="30"/>
  <c r="AI109" i="30"/>
  <c r="AF109" i="30"/>
  <c r="AH109" i="30"/>
  <c r="AJ109" i="30"/>
  <c r="AO109" i="30"/>
  <c r="AP109" i="30"/>
  <c r="Y109" i="30"/>
  <c r="AT109" i="30" s="1"/>
  <c r="C174" i="16" s="1"/>
  <c r="AE181" i="30"/>
  <c r="AZ181" i="30" s="1"/>
  <c r="I246" i="16" s="1"/>
  <c r="AQ181" i="30"/>
  <c r="BL181" i="30" s="1"/>
  <c r="U246" i="16" s="1"/>
  <c r="AF181" i="30"/>
  <c r="AR181" i="30"/>
  <c r="Y181" i="30"/>
  <c r="AT181" i="30" s="1"/>
  <c r="C246" i="16" s="1"/>
  <c r="AK181" i="30"/>
  <c r="AA181" i="30"/>
  <c r="AV181" i="30" s="1"/>
  <c r="E246" i="16" s="1"/>
  <c r="AP181" i="30"/>
  <c r="AB181" i="30"/>
  <c r="AC181" i="30"/>
  <c r="AD181" i="30"/>
  <c r="AG181" i="30"/>
  <c r="BB181" i="30" s="1"/>
  <c r="K246" i="16" s="1"/>
  <c r="AH181" i="30"/>
  <c r="BC181" i="30" s="1"/>
  <c r="L246" i="16" s="1"/>
  <c r="AI181" i="30"/>
  <c r="BD181" i="30" s="1"/>
  <c r="M246" i="16" s="1"/>
  <c r="AJ181" i="30"/>
  <c r="AL181" i="30"/>
  <c r="AM181" i="30"/>
  <c r="AN181" i="30"/>
  <c r="Z181" i="30"/>
  <c r="AO181" i="30"/>
  <c r="AE116" i="30"/>
  <c r="Y116" i="30"/>
  <c r="AT116" i="30" s="1"/>
  <c r="C181" i="16" s="1"/>
  <c r="AK116" i="30"/>
  <c r="AL116" i="30"/>
  <c r="BG116" i="30" s="1"/>
  <c r="P181" i="16" s="1"/>
  <c r="Z116" i="30"/>
  <c r="AA116" i="30"/>
  <c r="AV116" i="30" s="1"/>
  <c r="E181" i="16" s="1"/>
  <c r="AD116" i="30"/>
  <c r="AQ116" i="30"/>
  <c r="AG116" i="30"/>
  <c r="AH116" i="30"/>
  <c r="AI116" i="30"/>
  <c r="BD116" i="30" s="1"/>
  <c r="M181" i="16" s="1"/>
  <c r="AJ116" i="30"/>
  <c r="AM116" i="30"/>
  <c r="AN116" i="30"/>
  <c r="AO116" i="30"/>
  <c r="AP116" i="30"/>
  <c r="BK116" i="30" s="1"/>
  <c r="T181" i="16" s="1"/>
  <c r="AR116" i="30"/>
  <c r="BM116" i="30" s="1"/>
  <c r="V181" i="16" s="1"/>
  <c r="AB116" i="30"/>
  <c r="AW116" i="30" s="1"/>
  <c r="F181" i="16" s="1"/>
  <c r="AC116" i="30"/>
  <c r="AF116" i="30"/>
  <c r="AI188" i="30"/>
  <c r="AJ188" i="30"/>
  <c r="AC188" i="30"/>
  <c r="AO188" i="30"/>
  <c r="AE188" i="30"/>
  <c r="AF188" i="30"/>
  <c r="AG188" i="30"/>
  <c r="BB188" i="30" s="1"/>
  <c r="K253" i="16" s="1"/>
  <c r="AH188" i="30"/>
  <c r="BC188" i="30" s="1"/>
  <c r="L253" i="16" s="1"/>
  <c r="AK188" i="30"/>
  <c r="BF188" i="30" s="1"/>
  <c r="O253" i="16" s="1"/>
  <c r="AL188" i="30"/>
  <c r="BG188" i="30" s="1"/>
  <c r="P253" i="16" s="1"/>
  <c r="AM188" i="30"/>
  <c r="Y188" i="30"/>
  <c r="AT188" i="30" s="1"/>
  <c r="C253" i="16" s="1"/>
  <c r="AN188" i="30"/>
  <c r="Z188" i="30"/>
  <c r="AP188" i="30"/>
  <c r="AA188" i="30"/>
  <c r="AQ188" i="30"/>
  <c r="AB188" i="30"/>
  <c r="AR188" i="30"/>
  <c r="BM188" i="30" s="1"/>
  <c r="V253" i="16" s="1"/>
  <c r="AD188" i="30"/>
  <c r="AY188" i="30" s="1"/>
  <c r="H253" i="16" s="1"/>
  <c r="AC129" i="30"/>
  <c r="AX129" i="30" s="1"/>
  <c r="G194" i="16" s="1"/>
  <c r="AO129" i="30"/>
  <c r="BJ129" i="30" s="1"/>
  <c r="S194" i="16" s="1"/>
  <c r="AD129" i="30"/>
  <c r="AP129" i="30"/>
  <c r="AI129" i="30"/>
  <c r="AB129" i="30"/>
  <c r="AE129" i="30"/>
  <c r="AZ129" i="30" s="1"/>
  <c r="I194" i="16" s="1"/>
  <c r="AF129" i="30"/>
  <c r="AG129" i="30"/>
  <c r="AH129" i="30"/>
  <c r="BC129" i="30" s="1"/>
  <c r="L194" i="16" s="1"/>
  <c r="AJ129" i="30"/>
  <c r="AK129" i="30"/>
  <c r="BF129" i="30" s="1"/>
  <c r="O194" i="16" s="1"/>
  <c r="AL129" i="30"/>
  <c r="BG129" i="30" s="1"/>
  <c r="P194" i="16" s="1"/>
  <c r="AM129" i="30"/>
  <c r="BH129" i="30" s="1"/>
  <c r="Q194" i="16" s="1"/>
  <c r="Y129" i="30"/>
  <c r="AT129" i="30" s="1"/>
  <c r="C194" i="16" s="1"/>
  <c r="AN129" i="30"/>
  <c r="Z129" i="30"/>
  <c r="AQ129" i="30"/>
  <c r="AA129" i="30"/>
  <c r="AV129" i="30" s="1"/>
  <c r="E194" i="16" s="1"/>
  <c r="AR129" i="30"/>
  <c r="AA201" i="30"/>
  <c r="AM201" i="30"/>
  <c r="BH201" i="30" s="1"/>
  <c r="Q266" i="16" s="1"/>
  <c r="AG201" i="30"/>
  <c r="AJ201" i="30"/>
  <c r="BE201" i="30" s="1"/>
  <c r="N266" i="16" s="1"/>
  <c r="AK201" i="30"/>
  <c r="BF201" i="30" s="1"/>
  <c r="O266" i="16" s="1"/>
  <c r="Z201" i="30"/>
  <c r="AO201" i="30"/>
  <c r="AB201" i="30"/>
  <c r="AP201" i="30"/>
  <c r="AC201" i="30"/>
  <c r="AQ201" i="30"/>
  <c r="BL201" i="30" s="1"/>
  <c r="U266" i="16" s="1"/>
  <c r="AD201" i="30"/>
  <c r="AR201" i="30"/>
  <c r="AH201" i="30"/>
  <c r="BC201" i="30" s="1"/>
  <c r="L266" i="16" s="1"/>
  <c r="Y201" i="30"/>
  <c r="AT201" i="30" s="1"/>
  <c r="C266" i="16" s="1"/>
  <c r="AE201" i="30"/>
  <c r="AZ201" i="30" s="1"/>
  <c r="I266" i="16" s="1"/>
  <c r="AF201" i="30"/>
  <c r="BA201" i="30" s="1"/>
  <c r="J266" i="16" s="1"/>
  <c r="AI201" i="30"/>
  <c r="BD201" i="30" s="1"/>
  <c r="M266" i="16" s="1"/>
  <c r="AL201" i="30"/>
  <c r="BG201" i="30" s="1"/>
  <c r="P266" i="16" s="1"/>
  <c r="AN201" i="30"/>
  <c r="AA142" i="30"/>
  <c r="AM142" i="30"/>
  <c r="AE142" i="30"/>
  <c r="AQ142" i="30"/>
  <c r="AF142" i="30"/>
  <c r="BA142" i="30" s="1"/>
  <c r="J207" i="16" s="1"/>
  <c r="AR142" i="30"/>
  <c r="BM142" i="30" s="1"/>
  <c r="V207" i="16" s="1"/>
  <c r="AG142" i="30"/>
  <c r="Y142" i="30"/>
  <c r="AT142" i="30" s="1"/>
  <c r="C207" i="16" s="1"/>
  <c r="AK142" i="30"/>
  <c r="BF142" i="30" s="1"/>
  <c r="O207" i="16" s="1"/>
  <c r="AB142" i="30"/>
  <c r="AW142" i="30" s="1"/>
  <c r="F207" i="16" s="1"/>
  <c r="AC142" i="30"/>
  <c r="AD142" i="30"/>
  <c r="AH142" i="30"/>
  <c r="AI142" i="30"/>
  <c r="AJ142" i="30"/>
  <c r="AL142" i="30"/>
  <c r="AN142" i="30"/>
  <c r="BI142" i="30" s="1"/>
  <c r="R207" i="16" s="1"/>
  <c r="AO142" i="30"/>
  <c r="BJ142" i="30" s="1"/>
  <c r="S207" i="16" s="1"/>
  <c r="AP142" i="30"/>
  <c r="Z142" i="30"/>
  <c r="AC214" i="30"/>
  <c r="AX214" i="30" s="1"/>
  <c r="G279" i="16" s="1"/>
  <c r="AO214" i="30"/>
  <c r="BJ214" i="30" s="1"/>
  <c r="S279" i="16" s="1"/>
  <c r="AG214" i="30"/>
  <c r="AH214" i="30"/>
  <c r="AI214" i="30"/>
  <c r="AA214" i="30"/>
  <c r="AM214" i="30"/>
  <c r="BH214" i="30" s="1"/>
  <c r="Q279" i="16" s="1"/>
  <c r="AP214" i="30"/>
  <c r="BK214" i="30" s="1"/>
  <c r="T279" i="16" s="1"/>
  <c r="AQ214" i="30"/>
  <c r="BL214" i="30" s="1"/>
  <c r="U279" i="16" s="1"/>
  <c r="Y214" i="30"/>
  <c r="AR214" i="30"/>
  <c r="Z214" i="30"/>
  <c r="AB214" i="30"/>
  <c r="AW214" i="30" s="1"/>
  <c r="F279" i="16" s="1"/>
  <c r="AD214" i="30"/>
  <c r="AY214" i="30" s="1"/>
  <c r="H279" i="16" s="1"/>
  <c r="AE214" i="30"/>
  <c r="AF214" i="30"/>
  <c r="AJ214" i="30"/>
  <c r="AK214" i="30"/>
  <c r="AL214" i="30"/>
  <c r="BG214" i="30" s="1"/>
  <c r="P279" i="16" s="1"/>
  <c r="AN214" i="30"/>
  <c r="AA180" i="30"/>
  <c r="AV180" i="30" s="1"/>
  <c r="E245" i="16" s="1"/>
  <c r="AM180" i="30"/>
  <c r="AB180" i="30"/>
  <c r="AN180" i="30"/>
  <c r="AG180" i="30"/>
  <c r="BB180" i="30" s="1"/>
  <c r="K245" i="16" s="1"/>
  <c r="AE180" i="30"/>
  <c r="AZ180" i="30" s="1"/>
  <c r="I245" i="16" s="1"/>
  <c r="AF180" i="30"/>
  <c r="AH180" i="30"/>
  <c r="AI180" i="30"/>
  <c r="AJ180" i="30"/>
  <c r="AK180" i="30"/>
  <c r="BF180" i="30" s="1"/>
  <c r="O245" i="16" s="1"/>
  <c r="AL180" i="30"/>
  <c r="AO180" i="30"/>
  <c r="BJ180" i="30" s="1"/>
  <c r="S245" i="16" s="1"/>
  <c r="Y180" i="30"/>
  <c r="AT180" i="30" s="1"/>
  <c r="C245" i="16" s="1"/>
  <c r="AP180" i="30"/>
  <c r="Z180" i="30"/>
  <c r="AQ180" i="30"/>
  <c r="BL180" i="30" s="1"/>
  <c r="U245" i="16" s="1"/>
  <c r="AC180" i="30"/>
  <c r="AX180" i="30" s="1"/>
  <c r="G245" i="16" s="1"/>
  <c r="AR180" i="30"/>
  <c r="AD180" i="30"/>
  <c r="AG81" i="30"/>
  <c r="Y81" i="30"/>
  <c r="AT81" i="30" s="1"/>
  <c r="C146" i="16" s="1"/>
  <c r="AK81" i="30"/>
  <c r="BF81" i="30" s="1"/>
  <c r="O146" i="16" s="1"/>
  <c r="AA81" i="30"/>
  <c r="AV81" i="30" s="1"/>
  <c r="E146" i="16" s="1"/>
  <c r="AM81" i="30"/>
  <c r="BH81" i="30" s="1"/>
  <c r="Q146" i="16" s="1"/>
  <c r="AC81" i="30"/>
  <c r="AO81" i="30"/>
  <c r="AD81" i="30"/>
  <c r="AY81" i="30" s="1"/>
  <c r="H146" i="16" s="1"/>
  <c r="AP81" i="30"/>
  <c r="BK81" i="30" s="1"/>
  <c r="T146" i="16" s="1"/>
  <c r="AJ81" i="30"/>
  <c r="BE81" i="30" s="1"/>
  <c r="N146" i="16" s="1"/>
  <c r="AL81" i="30"/>
  <c r="Z81" i="30"/>
  <c r="AE81" i="30"/>
  <c r="AF81" i="30"/>
  <c r="AH81" i="30"/>
  <c r="BC81" i="30" s="1"/>
  <c r="L146" i="16" s="1"/>
  <c r="AI81" i="30"/>
  <c r="BD81" i="30" s="1"/>
  <c r="M146" i="16" s="1"/>
  <c r="AR81" i="30"/>
  <c r="BM81" i="30" s="1"/>
  <c r="V146" i="16" s="1"/>
  <c r="AB81" i="30"/>
  <c r="AN81" i="30"/>
  <c r="AQ81" i="30"/>
  <c r="AC71" i="30"/>
  <c r="AX71" i="30" s="1"/>
  <c r="G136" i="16" s="1"/>
  <c r="AO71" i="30"/>
  <c r="BJ71" i="30" s="1"/>
  <c r="S136" i="16" s="1"/>
  <c r="AG71" i="30"/>
  <c r="AI71" i="30"/>
  <c r="Y71" i="30"/>
  <c r="AT71" i="30" s="1"/>
  <c r="C136" i="16" s="1"/>
  <c r="AK71" i="30"/>
  <c r="Z71" i="30"/>
  <c r="AL71" i="30"/>
  <c r="BG71" i="30" s="1"/>
  <c r="P136" i="16" s="1"/>
  <c r="AE71" i="30"/>
  <c r="AZ71" i="30" s="1"/>
  <c r="I136" i="16" s="1"/>
  <c r="AF71" i="30"/>
  <c r="AP71" i="30"/>
  <c r="AB71" i="30"/>
  <c r="AD71" i="30"/>
  <c r="AY71" i="30" s="1"/>
  <c r="H136" i="16" s="1"/>
  <c r="AM71" i="30"/>
  <c r="BH71" i="30" s="1"/>
  <c r="Q136" i="16" s="1"/>
  <c r="AN71" i="30"/>
  <c r="AQ71" i="30"/>
  <c r="AR71" i="30"/>
  <c r="AH71" i="30"/>
  <c r="AJ71" i="30"/>
  <c r="BE71" i="30" s="1"/>
  <c r="N136" i="16" s="1"/>
  <c r="AA71" i="30"/>
  <c r="AV71" i="30" s="1"/>
  <c r="E136" i="16" s="1"/>
  <c r="Y73" i="30"/>
  <c r="AT73" i="30" s="1"/>
  <c r="C138" i="16" s="1"/>
  <c r="AK73" i="30"/>
  <c r="AC73" i="30"/>
  <c r="AX73" i="30" s="1"/>
  <c r="G138" i="16" s="1"/>
  <c r="AO73" i="30"/>
  <c r="AE73" i="30"/>
  <c r="AQ73" i="30"/>
  <c r="AG73" i="30"/>
  <c r="AH73" i="30"/>
  <c r="AF73" i="30"/>
  <c r="AI73" i="30"/>
  <c r="BD73" i="30" s="1"/>
  <c r="M138" i="16" s="1"/>
  <c r="AP73" i="30"/>
  <c r="BK73" i="30" s="1"/>
  <c r="T138" i="16" s="1"/>
  <c r="AR73" i="30"/>
  <c r="BM73" i="30" s="1"/>
  <c r="V138" i="16" s="1"/>
  <c r="Z73" i="30"/>
  <c r="AA73" i="30"/>
  <c r="AB73" i="30"/>
  <c r="AW73" i="30" s="1"/>
  <c r="F138" i="16" s="1"/>
  <c r="AD73" i="30"/>
  <c r="AM73" i="30"/>
  <c r="AJ73" i="30"/>
  <c r="BE73" i="30" s="1"/>
  <c r="N138" i="16" s="1"/>
  <c r="AL73" i="30"/>
  <c r="AN73" i="30"/>
  <c r="AE107" i="30"/>
  <c r="AQ107" i="30"/>
  <c r="AF107" i="30"/>
  <c r="BA107" i="30" s="1"/>
  <c r="J172" i="16" s="1"/>
  <c r="AR107" i="30"/>
  <c r="BM107" i="30" s="1"/>
  <c r="V172" i="16" s="1"/>
  <c r="Y107" i="30"/>
  <c r="AT107" i="30" s="1"/>
  <c r="C172" i="16" s="1"/>
  <c r="AK107" i="30"/>
  <c r="AC107" i="30"/>
  <c r="AD107" i="30"/>
  <c r="AI107" i="30"/>
  <c r="BD107" i="30" s="1"/>
  <c r="M172" i="16" s="1"/>
  <c r="AJ107" i="30"/>
  <c r="BE107" i="30" s="1"/>
  <c r="N172" i="16" s="1"/>
  <c r="AL107" i="30"/>
  <c r="AM107" i="30"/>
  <c r="AA107" i="30"/>
  <c r="AP107" i="30"/>
  <c r="AG107" i="30"/>
  <c r="BB107" i="30" s="1"/>
  <c r="K172" i="16" s="1"/>
  <c r="AH107" i="30"/>
  <c r="BC107" i="30" s="1"/>
  <c r="L172" i="16" s="1"/>
  <c r="AN107" i="30"/>
  <c r="BI107" i="30" s="1"/>
  <c r="R172" i="16" s="1"/>
  <c r="AO107" i="30"/>
  <c r="Z107" i="30"/>
  <c r="AB107" i="30"/>
  <c r="AW107" i="30" s="1"/>
  <c r="F172" i="16" s="1"/>
  <c r="AI179" i="30"/>
  <c r="BD179" i="30" s="1"/>
  <c r="M244" i="16" s="1"/>
  <c r="AJ179" i="30"/>
  <c r="BE179" i="30" s="1"/>
  <c r="N244" i="16" s="1"/>
  <c r="AC179" i="30"/>
  <c r="AO179" i="30"/>
  <c r="AH179" i="30"/>
  <c r="AK179" i="30"/>
  <c r="AL179" i="30"/>
  <c r="BG179" i="30" s="1"/>
  <c r="P244" i="16" s="1"/>
  <c r="AM179" i="30"/>
  <c r="Y179" i="30"/>
  <c r="AT179" i="30" s="1"/>
  <c r="C244" i="16" s="1"/>
  <c r="AN179" i="30"/>
  <c r="Z179" i="30"/>
  <c r="AP179" i="30"/>
  <c r="AA179" i="30"/>
  <c r="AV179" i="30" s="1"/>
  <c r="E244" i="16" s="1"/>
  <c r="AQ179" i="30"/>
  <c r="BL179" i="30" s="1"/>
  <c r="U244" i="16" s="1"/>
  <c r="AB179" i="30"/>
  <c r="AR179" i="30"/>
  <c r="AD179" i="30"/>
  <c r="AE179" i="30"/>
  <c r="AF179" i="30"/>
  <c r="BA179" i="30" s="1"/>
  <c r="J244" i="16" s="1"/>
  <c r="AG179" i="30"/>
  <c r="AI114" i="30"/>
  <c r="AC114" i="30"/>
  <c r="AO114" i="30"/>
  <c r="AD114" i="30"/>
  <c r="AY114" i="30" s="1"/>
  <c r="H179" i="16" s="1"/>
  <c r="AR114" i="30"/>
  <c r="BM114" i="30" s="1"/>
  <c r="V179" i="16" s="1"/>
  <c r="AE114" i="30"/>
  <c r="AZ114" i="30" s="1"/>
  <c r="I179" i="16" s="1"/>
  <c r="AH114" i="30"/>
  <c r="AJ114" i="30"/>
  <c r="AK114" i="30"/>
  <c r="AL114" i="30"/>
  <c r="AA114" i="30"/>
  <c r="AV114" i="30" s="1"/>
  <c r="E179" i="16" s="1"/>
  <c r="AP114" i="30"/>
  <c r="AN114" i="30"/>
  <c r="BI114" i="30" s="1"/>
  <c r="R179" i="16" s="1"/>
  <c r="AQ114" i="30"/>
  <c r="Y114" i="30"/>
  <c r="AT114" i="30" s="1"/>
  <c r="C179" i="16" s="1"/>
  <c r="Z114" i="30"/>
  <c r="AB114" i="30"/>
  <c r="AW114" i="30" s="1"/>
  <c r="F179" i="16" s="1"/>
  <c r="AF114" i="30"/>
  <c r="BA114" i="30" s="1"/>
  <c r="J179" i="16" s="1"/>
  <c r="AG114" i="30"/>
  <c r="AM114" i="30"/>
  <c r="AA186" i="30"/>
  <c r="AV186" i="30" s="1"/>
  <c r="E251" i="16" s="1"/>
  <c r="AM186" i="30"/>
  <c r="BH186" i="30" s="1"/>
  <c r="Q251" i="16" s="1"/>
  <c r="AB186" i="30"/>
  <c r="AW186" i="30" s="1"/>
  <c r="F251" i="16" s="1"/>
  <c r="AN186" i="30"/>
  <c r="AG186" i="30"/>
  <c r="BB186" i="30" s="1"/>
  <c r="K251" i="16" s="1"/>
  <c r="AL186" i="30"/>
  <c r="AO186" i="30"/>
  <c r="Y186" i="30"/>
  <c r="AT186" i="30" s="1"/>
  <c r="C251" i="16" s="1"/>
  <c r="AP186" i="30"/>
  <c r="BK186" i="30" s="1"/>
  <c r="T251" i="16" s="1"/>
  <c r="Z186" i="30"/>
  <c r="AQ186" i="30"/>
  <c r="BL186" i="30" s="1"/>
  <c r="U251" i="16" s="1"/>
  <c r="AC186" i="30"/>
  <c r="AR186" i="30"/>
  <c r="AD186" i="30"/>
  <c r="AY186" i="30" s="1"/>
  <c r="H251" i="16" s="1"/>
  <c r="AE186" i="30"/>
  <c r="AF186" i="30"/>
  <c r="AH186" i="30"/>
  <c r="BC186" i="30" s="1"/>
  <c r="L251" i="16" s="1"/>
  <c r="AI186" i="30"/>
  <c r="AJ186" i="30"/>
  <c r="AK186" i="30"/>
  <c r="AG121" i="30"/>
  <c r="BB121" i="30" s="1"/>
  <c r="K186" i="16" s="1"/>
  <c r="AH121" i="30"/>
  <c r="BC121" i="30" s="1"/>
  <c r="L186" i="16" s="1"/>
  <c r="AA121" i="30"/>
  <c r="AM121" i="30"/>
  <c r="AC121" i="30"/>
  <c r="AX121" i="30" s="1"/>
  <c r="G186" i="16" s="1"/>
  <c r="AR121" i="30"/>
  <c r="AD121" i="30"/>
  <c r="AY121" i="30" s="1"/>
  <c r="H186" i="16" s="1"/>
  <c r="AE121" i="30"/>
  <c r="AF121" i="30"/>
  <c r="BA121" i="30" s="1"/>
  <c r="J186" i="16" s="1"/>
  <c r="AI121" i="30"/>
  <c r="AJ121" i="30"/>
  <c r="AK121" i="30"/>
  <c r="BF121" i="30" s="1"/>
  <c r="O186" i="16" s="1"/>
  <c r="AL121" i="30"/>
  <c r="BG121" i="30" s="1"/>
  <c r="P186" i="16" s="1"/>
  <c r="AN121" i="30"/>
  <c r="BI121" i="30" s="1"/>
  <c r="R186" i="16" s="1"/>
  <c r="Y121" i="30"/>
  <c r="AT121" i="30" s="1"/>
  <c r="C186" i="16" s="1"/>
  <c r="AO121" i="30"/>
  <c r="Z121" i="30"/>
  <c r="AP121" i="30"/>
  <c r="AB121" i="30"/>
  <c r="AW121" i="30" s="1"/>
  <c r="F186" i="16" s="1"/>
  <c r="AQ121" i="30"/>
  <c r="AE193" i="30"/>
  <c r="AZ193" i="30" s="1"/>
  <c r="I258" i="16" s="1"/>
  <c r="AQ193" i="30"/>
  <c r="AF193" i="30"/>
  <c r="AR193" i="30"/>
  <c r="BM193" i="30" s="1"/>
  <c r="V258" i="16" s="1"/>
  <c r="Y193" i="30"/>
  <c r="AT193" i="30" s="1"/>
  <c r="C258" i="16" s="1"/>
  <c r="AK193" i="30"/>
  <c r="BF193" i="30" s="1"/>
  <c r="O258" i="16" s="1"/>
  <c r="AA193" i="30"/>
  <c r="AP193" i="30"/>
  <c r="BK193" i="30" s="1"/>
  <c r="T258" i="16" s="1"/>
  <c r="AB193" i="30"/>
  <c r="AC193" i="30"/>
  <c r="AD193" i="30"/>
  <c r="AY193" i="30" s="1"/>
  <c r="H258" i="16" s="1"/>
  <c r="AG193" i="30"/>
  <c r="AH193" i="30"/>
  <c r="AI193" i="30"/>
  <c r="AJ193" i="30"/>
  <c r="AL193" i="30"/>
  <c r="AM193" i="30"/>
  <c r="BH193" i="30" s="1"/>
  <c r="Q258" i="16" s="1"/>
  <c r="AN193" i="30"/>
  <c r="BI193" i="30" s="1"/>
  <c r="R258" i="16" s="1"/>
  <c r="Z193" i="30"/>
  <c r="AO193" i="30"/>
  <c r="Y128" i="30"/>
  <c r="AT128" i="30" s="1"/>
  <c r="C193" i="16" s="1"/>
  <c r="AK128" i="30"/>
  <c r="Z128" i="30"/>
  <c r="AL128" i="30"/>
  <c r="AE128" i="30"/>
  <c r="AZ128" i="30" s="1"/>
  <c r="I193" i="16" s="1"/>
  <c r="AQ128" i="30"/>
  <c r="AG128" i="30"/>
  <c r="AH128" i="30"/>
  <c r="BC128" i="30" s="1"/>
  <c r="L193" i="16" s="1"/>
  <c r="AI128" i="30"/>
  <c r="BD128" i="30" s="1"/>
  <c r="M193" i="16" s="1"/>
  <c r="AJ128" i="30"/>
  <c r="BE128" i="30" s="1"/>
  <c r="N193" i="16" s="1"/>
  <c r="AM128" i="30"/>
  <c r="AN128" i="30"/>
  <c r="AO128" i="30"/>
  <c r="AA128" i="30"/>
  <c r="AP128" i="30"/>
  <c r="BK128" i="30" s="1"/>
  <c r="T193" i="16" s="1"/>
  <c r="AB128" i="30"/>
  <c r="AR128" i="30"/>
  <c r="BM128" i="30" s="1"/>
  <c r="V193" i="16" s="1"/>
  <c r="AC128" i="30"/>
  <c r="AD128" i="30"/>
  <c r="AF128" i="30"/>
  <c r="BA128" i="30" s="1"/>
  <c r="J193" i="16" s="1"/>
  <c r="AI200" i="30"/>
  <c r="BD200" i="30" s="1"/>
  <c r="M265" i="16" s="1"/>
  <c r="AC200" i="30"/>
  <c r="AX200" i="30" s="1"/>
  <c r="G265" i="16" s="1"/>
  <c r="AO200" i="30"/>
  <c r="BJ200" i="30" s="1"/>
  <c r="S265" i="16" s="1"/>
  <c r="AA200" i="30"/>
  <c r="AP200" i="30"/>
  <c r="AB200" i="30"/>
  <c r="AQ200" i="30"/>
  <c r="BL200" i="30" s="1"/>
  <c r="U265" i="16" s="1"/>
  <c r="AF200" i="30"/>
  <c r="AG200" i="30"/>
  <c r="BB200" i="30" s="1"/>
  <c r="K265" i="16" s="1"/>
  <c r="AH200" i="30"/>
  <c r="AJ200" i="30"/>
  <c r="Y200" i="30"/>
  <c r="AT200" i="30" s="1"/>
  <c r="C265" i="16" s="1"/>
  <c r="AM200" i="30"/>
  <c r="BH200" i="30" s="1"/>
  <c r="Q265" i="16" s="1"/>
  <c r="AL200" i="30"/>
  <c r="BG200" i="30" s="1"/>
  <c r="P265" i="16" s="1"/>
  <c r="AN200" i="30"/>
  <c r="AR200" i="30"/>
  <c r="Z200" i="30"/>
  <c r="AD200" i="30"/>
  <c r="AE200" i="30"/>
  <c r="AZ200" i="30" s="1"/>
  <c r="I265" i="16" s="1"/>
  <c r="AK200" i="30"/>
  <c r="AI141" i="30"/>
  <c r="BD141" i="30" s="1"/>
  <c r="M206" i="16" s="1"/>
  <c r="AA141" i="30"/>
  <c r="AM141" i="30"/>
  <c r="AB141" i="30"/>
  <c r="AN141" i="30"/>
  <c r="BI141" i="30" s="1"/>
  <c r="R206" i="16" s="1"/>
  <c r="AC141" i="30"/>
  <c r="AX141" i="30" s="1"/>
  <c r="G206" i="16" s="1"/>
  <c r="AO141" i="30"/>
  <c r="BJ141" i="30" s="1"/>
  <c r="S206" i="16" s="1"/>
  <c r="AG141" i="30"/>
  <c r="Z141" i="30"/>
  <c r="AD141" i="30"/>
  <c r="AE141" i="30"/>
  <c r="AZ141" i="30" s="1"/>
  <c r="I206" i="16" s="1"/>
  <c r="AF141" i="30"/>
  <c r="AH141" i="30"/>
  <c r="BC141" i="30" s="1"/>
  <c r="L206" i="16" s="1"/>
  <c r="AJ141" i="30"/>
  <c r="AK141" i="30"/>
  <c r="AL141" i="30"/>
  <c r="BG141" i="30" s="1"/>
  <c r="P206" i="16" s="1"/>
  <c r="AP141" i="30"/>
  <c r="BK141" i="30" s="1"/>
  <c r="T206" i="16" s="1"/>
  <c r="AQ141" i="30"/>
  <c r="BL141" i="30" s="1"/>
  <c r="U206" i="16" s="1"/>
  <c r="AR141" i="30"/>
  <c r="Y141" i="30"/>
  <c r="AT141" i="30" s="1"/>
  <c r="C206" i="16" s="1"/>
  <c r="Y213" i="30"/>
  <c r="AT213" i="30" s="1"/>
  <c r="C278" i="16" s="1"/>
  <c r="AK213" i="30"/>
  <c r="AC213" i="30"/>
  <c r="AX213" i="30" s="1"/>
  <c r="G278" i="16" s="1"/>
  <c r="AO213" i="30"/>
  <c r="AD213" i="30"/>
  <c r="AY213" i="30" s="1"/>
  <c r="H278" i="16" s="1"/>
  <c r="AP213" i="30"/>
  <c r="AE213" i="30"/>
  <c r="AQ213" i="30"/>
  <c r="BL213" i="30" s="1"/>
  <c r="U278" i="16" s="1"/>
  <c r="AI213" i="30"/>
  <c r="BD213" i="30" s="1"/>
  <c r="M278" i="16" s="1"/>
  <c r="AN213" i="30"/>
  <c r="BI213" i="30" s="1"/>
  <c r="R278" i="16" s="1"/>
  <c r="AR213" i="30"/>
  <c r="Z213" i="30"/>
  <c r="AA213" i="30"/>
  <c r="AB213" i="30"/>
  <c r="AF213" i="30"/>
  <c r="BA213" i="30" s="1"/>
  <c r="J278" i="16" s="1"/>
  <c r="AG213" i="30"/>
  <c r="AH213" i="30"/>
  <c r="BC213" i="30" s="1"/>
  <c r="L278" i="16" s="1"/>
  <c r="AJ213" i="30"/>
  <c r="AL213" i="30"/>
  <c r="AM213" i="30"/>
  <c r="AA154" i="30"/>
  <c r="AV154" i="30" s="1"/>
  <c r="E219" i="16" s="1"/>
  <c r="AM154" i="30"/>
  <c r="BH154" i="30" s="1"/>
  <c r="Q219" i="16" s="1"/>
  <c r="AE154" i="30"/>
  <c r="AQ154" i="30"/>
  <c r="AF154" i="30"/>
  <c r="AR154" i="30"/>
  <c r="AG154" i="30"/>
  <c r="BB154" i="30" s="1"/>
  <c r="K219" i="16" s="1"/>
  <c r="Y154" i="30"/>
  <c r="AT154" i="30" s="1"/>
  <c r="C219" i="16" s="1"/>
  <c r="AK154" i="30"/>
  <c r="BF154" i="30" s="1"/>
  <c r="O219" i="16" s="1"/>
  <c r="AI154" i="30"/>
  <c r="AJ154" i="30"/>
  <c r="AL154" i="30"/>
  <c r="AN154" i="30"/>
  <c r="BI154" i="30" s="1"/>
  <c r="R219" i="16" s="1"/>
  <c r="AO154" i="30"/>
  <c r="BJ154" i="30" s="1"/>
  <c r="S219" i="16" s="1"/>
  <c r="AP154" i="30"/>
  <c r="Z154" i="30"/>
  <c r="AB154" i="30"/>
  <c r="AC154" i="30"/>
  <c r="AD154" i="30"/>
  <c r="AH154" i="30"/>
  <c r="AC226" i="30"/>
  <c r="AX226" i="30" s="1"/>
  <c r="G291" i="16" s="1"/>
  <c r="AO226" i="30"/>
  <c r="BJ226" i="30" s="1"/>
  <c r="S291" i="16" s="1"/>
  <c r="AG226" i="30"/>
  <c r="BB226" i="30" s="1"/>
  <c r="K291" i="16" s="1"/>
  <c r="AH226" i="30"/>
  <c r="BC226" i="30" s="1"/>
  <c r="L291" i="16" s="1"/>
  <c r="AI226" i="30"/>
  <c r="BD226" i="30" s="1"/>
  <c r="M291" i="16" s="1"/>
  <c r="AA226" i="30"/>
  <c r="AV226" i="30" s="1"/>
  <c r="E291" i="16" s="1"/>
  <c r="AM226" i="30"/>
  <c r="BH226" i="30" s="1"/>
  <c r="Q291" i="16" s="1"/>
  <c r="AB226" i="30"/>
  <c r="AW226" i="30" s="1"/>
  <c r="F291" i="16" s="1"/>
  <c r="AD226" i="30"/>
  <c r="AY226" i="30" s="1"/>
  <c r="H291" i="16" s="1"/>
  <c r="AE226" i="30"/>
  <c r="AZ226" i="30" s="1"/>
  <c r="I291" i="16" s="1"/>
  <c r="AF226" i="30"/>
  <c r="BA226" i="30" s="1"/>
  <c r="J291" i="16" s="1"/>
  <c r="AJ226" i="30"/>
  <c r="BE226" i="30" s="1"/>
  <c r="N291" i="16" s="1"/>
  <c r="AK226" i="30"/>
  <c r="BF226" i="30" s="1"/>
  <c r="O291" i="16" s="1"/>
  <c r="AL226" i="30"/>
  <c r="BG226" i="30" s="1"/>
  <c r="P291" i="16" s="1"/>
  <c r="AN226" i="30"/>
  <c r="BI226" i="30" s="1"/>
  <c r="R291" i="16" s="1"/>
  <c r="AP226" i="30"/>
  <c r="BK226" i="30" s="1"/>
  <c r="T291" i="16" s="1"/>
  <c r="AQ226" i="30"/>
  <c r="BL226" i="30" s="1"/>
  <c r="U291" i="16" s="1"/>
  <c r="Y226" i="30"/>
  <c r="AT226" i="30" s="1"/>
  <c r="C291" i="16" s="1"/>
  <c r="AR226" i="30"/>
  <c r="BM226" i="30" s="1"/>
  <c r="V291" i="16" s="1"/>
  <c r="Z226" i="30"/>
  <c r="AZ396" i="30"/>
  <c r="BL396" i="30"/>
  <c r="BI396" i="30"/>
  <c r="AH226" i="24"/>
  <c r="BC226" i="24" s="1"/>
  <c r="AI226" i="24"/>
  <c r="BD226" i="24" s="1"/>
  <c r="AJ226" i="24"/>
  <c r="BE226" i="24" s="1"/>
  <c r="AK226" i="24"/>
  <c r="BF226" i="24" s="1"/>
  <c r="Z226" i="24"/>
  <c r="AL226" i="24"/>
  <c r="BG226" i="24" s="1"/>
  <c r="AA226" i="24"/>
  <c r="AV226" i="24" s="1"/>
  <c r="AM226" i="24"/>
  <c r="BH226" i="24" s="1"/>
  <c r="AB226" i="24"/>
  <c r="AW226" i="24" s="1"/>
  <c r="AN226" i="24"/>
  <c r="BI226" i="24" s="1"/>
  <c r="AC226" i="24"/>
  <c r="AX226" i="24" s="1"/>
  <c r="AO226" i="24"/>
  <c r="BJ226" i="24" s="1"/>
  <c r="AD226" i="24"/>
  <c r="AY226" i="24" s="1"/>
  <c r="AP226" i="24"/>
  <c r="BK226" i="24" s="1"/>
  <c r="AE226" i="24"/>
  <c r="AZ226" i="24" s="1"/>
  <c r="AQ226" i="24"/>
  <c r="BL226" i="24" s="1"/>
  <c r="AF226" i="24"/>
  <c r="BA226" i="24" s="1"/>
  <c r="AR226" i="24"/>
  <c r="BM226" i="24" s="1"/>
  <c r="AG226" i="24"/>
  <c r="BB226" i="24" s="1"/>
  <c r="Y226" i="24"/>
  <c r="AT226" i="24" s="1"/>
  <c r="AA339" i="24"/>
  <c r="AV339" i="24" s="1"/>
  <c r="AM339" i="24"/>
  <c r="BH339" i="24" s="1"/>
  <c r="Y339" i="24"/>
  <c r="AT339" i="24" s="1"/>
  <c r="Z339" i="24"/>
  <c r="AB339" i="24"/>
  <c r="AW339" i="24" s="1"/>
  <c r="AN339" i="24"/>
  <c r="BI339" i="24" s="1"/>
  <c r="AC339" i="24"/>
  <c r="AX339" i="24" s="1"/>
  <c r="AO339" i="24"/>
  <c r="BJ339" i="24" s="1"/>
  <c r="AD339" i="24"/>
  <c r="AY339" i="24" s="1"/>
  <c r="AP339" i="24"/>
  <c r="BK339" i="24" s="1"/>
  <c r="AE339" i="24"/>
  <c r="AZ339" i="24" s="1"/>
  <c r="AQ339" i="24"/>
  <c r="BL339" i="24" s="1"/>
  <c r="AF339" i="24"/>
  <c r="BA339" i="24" s="1"/>
  <c r="AR339" i="24"/>
  <c r="BM339" i="24" s="1"/>
  <c r="AG339" i="24"/>
  <c r="BB339" i="24" s="1"/>
  <c r="AL339" i="24"/>
  <c r="BG339" i="24" s="1"/>
  <c r="AH339" i="24"/>
  <c r="BC339" i="24" s="1"/>
  <c r="AI339" i="24"/>
  <c r="BD339" i="24" s="1"/>
  <c r="AJ339" i="24"/>
  <c r="BE339" i="24" s="1"/>
  <c r="AK339" i="24"/>
  <c r="BF339" i="24" s="1"/>
  <c r="AB244" i="24"/>
  <c r="AW244" i="24" s="1"/>
  <c r="AN244" i="24"/>
  <c r="BI244" i="24" s="1"/>
  <c r="AC244" i="24"/>
  <c r="AX244" i="24" s="1"/>
  <c r="AO244" i="24"/>
  <c r="BJ244" i="24" s="1"/>
  <c r="AD244" i="24"/>
  <c r="AY244" i="24" s="1"/>
  <c r="AP244" i="24"/>
  <c r="BK244" i="24" s="1"/>
  <c r="AE244" i="24"/>
  <c r="AZ244" i="24" s="1"/>
  <c r="AQ244" i="24"/>
  <c r="BL244" i="24" s="1"/>
  <c r="AF244" i="24"/>
  <c r="BA244" i="24" s="1"/>
  <c r="AR244" i="24"/>
  <c r="BM244" i="24" s="1"/>
  <c r="AG244" i="24"/>
  <c r="BB244" i="24" s="1"/>
  <c r="AH244" i="24"/>
  <c r="BC244" i="24" s="1"/>
  <c r="AI244" i="24"/>
  <c r="BD244" i="24" s="1"/>
  <c r="AJ244" i="24"/>
  <c r="BE244" i="24" s="1"/>
  <c r="AK244" i="24"/>
  <c r="BF244" i="24" s="1"/>
  <c r="Z244" i="24"/>
  <c r="AL244" i="24"/>
  <c r="BG244" i="24" s="1"/>
  <c r="AM244" i="24"/>
  <c r="BH244" i="24" s="1"/>
  <c r="Y244" i="24"/>
  <c r="AT244" i="24" s="1"/>
  <c r="AA244" i="24"/>
  <c r="AV244" i="24" s="1"/>
  <c r="AJ324" i="24"/>
  <c r="BE324" i="24" s="1"/>
  <c r="AK324" i="24"/>
  <c r="BF324" i="24" s="1"/>
  <c r="Z324" i="24"/>
  <c r="AL324" i="24"/>
  <c r="BG324" i="24" s="1"/>
  <c r="AA324" i="24"/>
  <c r="AV324" i="24" s="1"/>
  <c r="AM324" i="24"/>
  <c r="BH324" i="24" s="1"/>
  <c r="AB324" i="24"/>
  <c r="AW324" i="24" s="1"/>
  <c r="AN324" i="24"/>
  <c r="BI324" i="24" s="1"/>
  <c r="AC324" i="24"/>
  <c r="AX324" i="24" s="1"/>
  <c r="AO324" i="24"/>
  <c r="BJ324" i="24" s="1"/>
  <c r="AD324" i="24"/>
  <c r="AY324" i="24" s="1"/>
  <c r="AP324" i="24"/>
  <c r="BK324" i="24" s="1"/>
  <c r="AE324" i="24"/>
  <c r="AZ324" i="24" s="1"/>
  <c r="AQ324" i="24"/>
  <c r="BL324" i="24" s="1"/>
  <c r="AF324" i="24"/>
  <c r="BA324" i="24" s="1"/>
  <c r="AR324" i="24"/>
  <c r="BM324" i="24" s="1"/>
  <c r="AG324" i="24"/>
  <c r="BB324" i="24" s="1"/>
  <c r="AH324" i="24"/>
  <c r="BC324" i="24" s="1"/>
  <c r="Y324" i="24"/>
  <c r="AT324" i="24" s="1"/>
  <c r="AI324" i="24"/>
  <c r="BD324" i="24" s="1"/>
  <c r="AH106" i="24"/>
  <c r="BC106" i="24" s="1"/>
  <c r="AI106" i="24"/>
  <c r="BD106" i="24" s="1"/>
  <c r="AJ106" i="24"/>
  <c r="BE106" i="24" s="1"/>
  <c r="AK106" i="24"/>
  <c r="BF106" i="24" s="1"/>
  <c r="Z106" i="24"/>
  <c r="AL106" i="24"/>
  <c r="BG106" i="24" s="1"/>
  <c r="AA106" i="24"/>
  <c r="AV106" i="24" s="1"/>
  <c r="AM106" i="24"/>
  <c r="BH106" i="24" s="1"/>
  <c r="AB106" i="24"/>
  <c r="AW106" i="24" s="1"/>
  <c r="AN106" i="24"/>
  <c r="BI106" i="24" s="1"/>
  <c r="AC106" i="24"/>
  <c r="AX106" i="24" s="1"/>
  <c r="AO106" i="24"/>
  <c r="BJ106" i="24" s="1"/>
  <c r="AD106" i="24"/>
  <c r="AY106" i="24" s="1"/>
  <c r="AP106" i="24"/>
  <c r="BK106" i="24" s="1"/>
  <c r="AE106" i="24"/>
  <c r="AZ106" i="24" s="1"/>
  <c r="AQ106" i="24"/>
  <c r="BL106" i="24" s="1"/>
  <c r="AF106" i="24"/>
  <c r="BA106" i="24" s="1"/>
  <c r="AR106" i="24"/>
  <c r="BM106" i="24" s="1"/>
  <c r="Y106" i="24"/>
  <c r="AT106" i="24" s="1"/>
  <c r="AG106" i="24"/>
  <c r="BB106" i="24" s="1"/>
  <c r="AH178" i="24"/>
  <c r="BC178" i="24" s="1"/>
  <c r="AI178" i="24"/>
  <c r="BD178" i="24" s="1"/>
  <c r="AJ178" i="24"/>
  <c r="BE178" i="24" s="1"/>
  <c r="AK178" i="24"/>
  <c r="BF178" i="24" s="1"/>
  <c r="Z178" i="24"/>
  <c r="AL178" i="24"/>
  <c r="BG178" i="24" s="1"/>
  <c r="AA178" i="24"/>
  <c r="AV178" i="24" s="1"/>
  <c r="AM178" i="24"/>
  <c r="BH178" i="24" s="1"/>
  <c r="AB178" i="24"/>
  <c r="AW178" i="24" s="1"/>
  <c r="AN178" i="24"/>
  <c r="BI178" i="24" s="1"/>
  <c r="AC178" i="24"/>
  <c r="AX178" i="24" s="1"/>
  <c r="AO178" i="24"/>
  <c r="BJ178" i="24" s="1"/>
  <c r="AD178" i="24"/>
  <c r="AY178" i="24" s="1"/>
  <c r="AP178" i="24"/>
  <c r="BK178" i="24" s="1"/>
  <c r="AE178" i="24"/>
  <c r="AZ178" i="24" s="1"/>
  <c r="AQ178" i="24"/>
  <c r="BL178" i="24" s="1"/>
  <c r="AF178" i="24"/>
  <c r="BA178" i="24" s="1"/>
  <c r="AR178" i="24"/>
  <c r="BM178" i="24" s="1"/>
  <c r="AG178" i="24"/>
  <c r="BB178" i="24" s="1"/>
  <c r="Y178" i="24"/>
  <c r="AT178" i="24" s="1"/>
  <c r="AH250" i="24"/>
  <c r="BC250" i="24" s="1"/>
  <c r="AI250" i="24"/>
  <c r="BD250" i="24" s="1"/>
  <c r="AJ250" i="24"/>
  <c r="BE250" i="24" s="1"/>
  <c r="AK250" i="24"/>
  <c r="BF250" i="24" s="1"/>
  <c r="Z250" i="24"/>
  <c r="AL250" i="24"/>
  <c r="BG250" i="24" s="1"/>
  <c r="AA250" i="24"/>
  <c r="AV250" i="24" s="1"/>
  <c r="AM250" i="24"/>
  <c r="BH250" i="24" s="1"/>
  <c r="AB250" i="24"/>
  <c r="AW250" i="24" s="1"/>
  <c r="AN250" i="24"/>
  <c r="BI250" i="24" s="1"/>
  <c r="AC250" i="24"/>
  <c r="AX250" i="24" s="1"/>
  <c r="AO250" i="24"/>
  <c r="BJ250" i="24" s="1"/>
  <c r="AD250" i="24"/>
  <c r="AY250" i="24" s="1"/>
  <c r="AP250" i="24"/>
  <c r="BK250" i="24" s="1"/>
  <c r="AE250" i="24"/>
  <c r="AZ250" i="24" s="1"/>
  <c r="AQ250" i="24"/>
  <c r="BL250" i="24" s="1"/>
  <c r="AF250" i="24"/>
  <c r="BA250" i="24" s="1"/>
  <c r="AR250" i="24"/>
  <c r="BM250" i="24" s="1"/>
  <c r="Y250" i="24"/>
  <c r="AT250" i="24" s="1"/>
  <c r="AG250" i="24"/>
  <c r="BB250" i="24" s="1"/>
  <c r="Z114" i="24"/>
  <c r="AL114" i="24"/>
  <c r="BG114" i="24" s="1"/>
  <c r="AA114" i="24"/>
  <c r="AV114" i="24" s="1"/>
  <c r="AM114" i="24"/>
  <c r="BH114" i="24" s="1"/>
  <c r="AB114" i="24"/>
  <c r="AW114" i="24" s="1"/>
  <c r="AN114" i="24"/>
  <c r="BI114" i="24" s="1"/>
  <c r="AC114" i="24"/>
  <c r="AX114" i="24" s="1"/>
  <c r="AO114" i="24"/>
  <c r="BJ114" i="24" s="1"/>
  <c r="AD114" i="24"/>
  <c r="AY114" i="24" s="1"/>
  <c r="AP114" i="24"/>
  <c r="BK114" i="24" s="1"/>
  <c r="AE114" i="24"/>
  <c r="AZ114" i="24" s="1"/>
  <c r="AQ114" i="24"/>
  <c r="BL114" i="24" s="1"/>
  <c r="AF114" i="24"/>
  <c r="BA114" i="24" s="1"/>
  <c r="AR114" i="24"/>
  <c r="BM114" i="24" s="1"/>
  <c r="AG114" i="24"/>
  <c r="BB114" i="24" s="1"/>
  <c r="AH114" i="24"/>
  <c r="BC114" i="24" s="1"/>
  <c r="AI114" i="24"/>
  <c r="BD114" i="24" s="1"/>
  <c r="AJ114" i="24"/>
  <c r="BE114" i="24" s="1"/>
  <c r="Y114" i="24"/>
  <c r="AT114" i="24" s="1"/>
  <c r="AK114" i="24"/>
  <c r="BF114" i="24" s="1"/>
  <c r="Z186" i="24"/>
  <c r="AL186" i="24"/>
  <c r="BG186" i="24" s="1"/>
  <c r="AA186" i="24"/>
  <c r="AV186" i="24" s="1"/>
  <c r="AM186" i="24"/>
  <c r="BH186" i="24" s="1"/>
  <c r="AB186" i="24"/>
  <c r="AW186" i="24" s="1"/>
  <c r="AN186" i="24"/>
  <c r="BI186" i="24" s="1"/>
  <c r="AC186" i="24"/>
  <c r="AX186" i="24" s="1"/>
  <c r="AO186" i="24"/>
  <c r="BJ186" i="24" s="1"/>
  <c r="AD186" i="24"/>
  <c r="AY186" i="24" s="1"/>
  <c r="AP186" i="24"/>
  <c r="BK186" i="24" s="1"/>
  <c r="AE186" i="24"/>
  <c r="AZ186" i="24" s="1"/>
  <c r="AQ186" i="24"/>
  <c r="BL186" i="24" s="1"/>
  <c r="AF186" i="24"/>
  <c r="BA186" i="24" s="1"/>
  <c r="AR186" i="24"/>
  <c r="BM186" i="24" s="1"/>
  <c r="AG186" i="24"/>
  <c r="BB186" i="24" s="1"/>
  <c r="AH186" i="24"/>
  <c r="BC186" i="24" s="1"/>
  <c r="AI186" i="24"/>
  <c r="BD186" i="24" s="1"/>
  <c r="AJ186" i="24"/>
  <c r="BE186" i="24" s="1"/>
  <c r="AK186" i="24"/>
  <c r="BF186" i="24" s="1"/>
  <c r="Y186" i="24"/>
  <c r="AT186" i="24" s="1"/>
  <c r="Z258" i="24"/>
  <c r="AL258" i="24"/>
  <c r="BG258" i="24" s="1"/>
  <c r="AA258" i="24"/>
  <c r="AV258" i="24" s="1"/>
  <c r="AM258" i="24"/>
  <c r="BH258" i="24" s="1"/>
  <c r="AB258" i="24"/>
  <c r="AW258" i="24" s="1"/>
  <c r="AN258" i="24"/>
  <c r="BI258" i="24" s="1"/>
  <c r="AC258" i="24"/>
  <c r="AX258" i="24" s="1"/>
  <c r="AO258" i="24"/>
  <c r="BJ258" i="24" s="1"/>
  <c r="AD258" i="24"/>
  <c r="AY258" i="24" s="1"/>
  <c r="AP258" i="24"/>
  <c r="BK258" i="24" s="1"/>
  <c r="AE258" i="24"/>
  <c r="AZ258" i="24" s="1"/>
  <c r="AQ258" i="24"/>
  <c r="BL258" i="24" s="1"/>
  <c r="AF258" i="24"/>
  <c r="BA258" i="24" s="1"/>
  <c r="AR258" i="24"/>
  <c r="BM258" i="24" s="1"/>
  <c r="AG258" i="24"/>
  <c r="BB258" i="24" s="1"/>
  <c r="AH258" i="24"/>
  <c r="BC258" i="24" s="1"/>
  <c r="AI258" i="24"/>
  <c r="BD258" i="24" s="1"/>
  <c r="AJ258" i="24"/>
  <c r="BE258" i="24" s="1"/>
  <c r="Y258" i="24"/>
  <c r="AT258" i="24" s="1"/>
  <c r="AK258" i="24"/>
  <c r="BF258" i="24" s="1"/>
  <c r="AD330" i="24"/>
  <c r="AY330" i="24" s="1"/>
  <c r="AP330" i="24"/>
  <c r="BK330" i="24" s="1"/>
  <c r="AC330" i="24"/>
  <c r="AX330" i="24" s="1"/>
  <c r="AE330" i="24"/>
  <c r="AZ330" i="24" s="1"/>
  <c r="AQ330" i="24"/>
  <c r="BL330" i="24" s="1"/>
  <c r="AF330" i="24"/>
  <c r="BA330" i="24" s="1"/>
  <c r="AR330" i="24"/>
  <c r="BM330" i="24" s="1"/>
  <c r="AG330" i="24"/>
  <c r="BB330" i="24" s="1"/>
  <c r="AH330" i="24"/>
  <c r="BC330" i="24" s="1"/>
  <c r="Y330" i="24"/>
  <c r="AT330" i="24" s="1"/>
  <c r="AI330" i="24"/>
  <c r="BD330" i="24" s="1"/>
  <c r="AJ330" i="24"/>
  <c r="BE330" i="24" s="1"/>
  <c r="AO330" i="24"/>
  <c r="BJ330" i="24" s="1"/>
  <c r="AK330" i="24"/>
  <c r="BF330" i="24" s="1"/>
  <c r="Z330" i="24"/>
  <c r="AL330" i="24"/>
  <c r="BG330" i="24" s="1"/>
  <c r="AA330" i="24"/>
  <c r="AV330" i="24" s="1"/>
  <c r="AM330" i="24"/>
  <c r="BH330" i="24" s="1"/>
  <c r="AB330" i="24"/>
  <c r="AW330" i="24" s="1"/>
  <c r="AN330" i="24"/>
  <c r="BI330" i="24" s="1"/>
  <c r="AK217" i="24"/>
  <c r="BF217" i="24" s="1"/>
  <c r="Z217" i="24"/>
  <c r="AL217" i="24"/>
  <c r="BG217" i="24" s="1"/>
  <c r="AA217" i="24"/>
  <c r="AV217" i="24" s="1"/>
  <c r="AM217" i="24"/>
  <c r="BH217" i="24" s="1"/>
  <c r="AB217" i="24"/>
  <c r="AW217" i="24" s="1"/>
  <c r="AN217" i="24"/>
  <c r="BI217" i="24" s="1"/>
  <c r="AC217" i="24"/>
  <c r="AX217" i="24" s="1"/>
  <c r="AO217" i="24"/>
  <c r="BJ217" i="24" s="1"/>
  <c r="AD217" i="24"/>
  <c r="AY217" i="24" s="1"/>
  <c r="AP217" i="24"/>
  <c r="BK217" i="24" s="1"/>
  <c r="AE217" i="24"/>
  <c r="AZ217" i="24" s="1"/>
  <c r="AQ217" i="24"/>
  <c r="BL217" i="24" s="1"/>
  <c r="AF217" i="24"/>
  <c r="BA217" i="24" s="1"/>
  <c r="AR217" i="24"/>
  <c r="BM217" i="24" s="1"/>
  <c r="AG217" i="24"/>
  <c r="BB217" i="24" s="1"/>
  <c r="AH217" i="24"/>
  <c r="BC217" i="24" s="1"/>
  <c r="AI217" i="24"/>
  <c r="BD217" i="24" s="1"/>
  <c r="Y217" i="24"/>
  <c r="AT217" i="24" s="1"/>
  <c r="AJ217" i="24"/>
  <c r="BE217" i="24" s="1"/>
  <c r="AE223" i="24"/>
  <c r="AZ223" i="24" s="1"/>
  <c r="AQ223" i="24"/>
  <c r="BL223" i="24" s="1"/>
  <c r="AF223" i="24"/>
  <c r="BA223" i="24" s="1"/>
  <c r="AR223" i="24"/>
  <c r="BM223" i="24" s="1"/>
  <c r="AG223" i="24"/>
  <c r="BB223" i="24" s="1"/>
  <c r="AH223" i="24"/>
  <c r="BC223" i="24" s="1"/>
  <c r="AI223" i="24"/>
  <c r="BD223" i="24" s="1"/>
  <c r="AJ223" i="24"/>
  <c r="BE223" i="24" s="1"/>
  <c r="AK223" i="24"/>
  <c r="BF223" i="24" s="1"/>
  <c r="Z223" i="24"/>
  <c r="AL223" i="24"/>
  <c r="BG223" i="24" s="1"/>
  <c r="AA223" i="24"/>
  <c r="AV223" i="24" s="1"/>
  <c r="AM223" i="24"/>
  <c r="BH223" i="24" s="1"/>
  <c r="AB223" i="24"/>
  <c r="AW223" i="24" s="1"/>
  <c r="AN223" i="24"/>
  <c r="BI223" i="24" s="1"/>
  <c r="AC223" i="24"/>
  <c r="AX223" i="24" s="1"/>
  <c r="AO223" i="24"/>
  <c r="BJ223" i="24" s="1"/>
  <c r="AD223" i="24"/>
  <c r="AY223" i="24" s="1"/>
  <c r="AP223" i="24"/>
  <c r="BK223" i="24" s="1"/>
  <c r="Y223" i="24"/>
  <c r="AT223" i="24" s="1"/>
  <c r="AJ97" i="24"/>
  <c r="BE97" i="24" s="1"/>
  <c r="AK97" i="24"/>
  <c r="BF97" i="24" s="1"/>
  <c r="Z97" i="24"/>
  <c r="AL97" i="24"/>
  <c r="BG97" i="24" s="1"/>
  <c r="AA97" i="24"/>
  <c r="AV97" i="24" s="1"/>
  <c r="AM97" i="24"/>
  <c r="BH97" i="24" s="1"/>
  <c r="AB97" i="24"/>
  <c r="AW97" i="24" s="1"/>
  <c r="AN97" i="24"/>
  <c r="BI97" i="24" s="1"/>
  <c r="AC97" i="24"/>
  <c r="AX97" i="24" s="1"/>
  <c r="AO97" i="24"/>
  <c r="BJ97" i="24" s="1"/>
  <c r="AD97" i="24"/>
  <c r="AY97" i="24" s="1"/>
  <c r="AP97" i="24"/>
  <c r="BK97" i="24" s="1"/>
  <c r="AE97" i="24"/>
  <c r="AZ97" i="24" s="1"/>
  <c r="AQ97" i="24"/>
  <c r="BL97" i="24" s="1"/>
  <c r="AF97" i="24"/>
  <c r="BA97" i="24" s="1"/>
  <c r="AR97" i="24"/>
  <c r="BM97" i="24" s="1"/>
  <c r="AG97" i="24"/>
  <c r="BB97" i="24" s="1"/>
  <c r="AH97" i="24"/>
  <c r="BC97" i="24" s="1"/>
  <c r="AI97" i="24"/>
  <c r="BD97" i="24" s="1"/>
  <c r="Y97" i="24"/>
  <c r="AT97" i="24" s="1"/>
  <c r="AK181" i="24"/>
  <c r="BF181" i="24" s="1"/>
  <c r="Z181" i="24"/>
  <c r="AL181" i="24"/>
  <c r="BG181" i="24" s="1"/>
  <c r="AA181" i="24"/>
  <c r="AV181" i="24" s="1"/>
  <c r="AM181" i="24"/>
  <c r="BH181" i="24" s="1"/>
  <c r="AB181" i="24"/>
  <c r="AW181" i="24" s="1"/>
  <c r="AN181" i="24"/>
  <c r="BI181" i="24" s="1"/>
  <c r="AC181" i="24"/>
  <c r="AX181" i="24" s="1"/>
  <c r="AO181" i="24"/>
  <c r="BJ181" i="24" s="1"/>
  <c r="AD181" i="24"/>
  <c r="AY181" i="24" s="1"/>
  <c r="AP181" i="24"/>
  <c r="BK181" i="24" s="1"/>
  <c r="AE181" i="24"/>
  <c r="AZ181" i="24" s="1"/>
  <c r="AQ181" i="24"/>
  <c r="BL181" i="24" s="1"/>
  <c r="AF181" i="24"/>
  <c r="BA181" i="24" s="1"/>
  <c r="AR181" i="24"/>
  <c r="BM181" i="24" s="1"/>
  <c r="AG181" i="24"/>
  <c r="BB181" i="24" s="1"/>
  <c r="AH181" i="24"/>
  <c r="BC181" i="24" s="1"/>
  <c r="AI181" i="24"/>
  <c r="BD181" i="24" s="1"/>
  <c r="Y181" i="24"/>
  <c r="AT181" i="24" s="1"/>
  <c r="AJ181" i="24"/>
  <c r="BE181" i="24" s="1"/>
  <c r="AH75" i="24"/>
  <c r="BC75" i="24" s="1"/>
  <c r="AI75" i="24"/>
  <c r="BD75" i="24" s="1"/>
  <c r="AJ75" i="24"/>
  <c r="BE75" i="24" s="1"/>
  <c r="AK75" i="24"/>
  <c r="BF75" i="24" s="1"/>
  <c r="Z75" i="24"/>
  <c r="AL75" i="24"/>
  <c r="BG75" i="24" s="1"/>
  <c r="AA75" i="24"/>
  <c r="AV75" i="24" s="1"/>
  <c r="AM75" i="24"/>
  <c r="BH75" i="24" s="1"/>
  <c r="AB75" i="24"/>
  <c r="AW75" i="24" s="1"/>
  <c r="AN75" i="24"/>
  <c r="BI75" i="24" s="1"/>
  <c r="AC75" i="24"/>
  <c r="AX75" i="24" s="1"/>
  <c r="AO75" i="24"/>
  <c r="BJ75" i="24" s="1"/>
  <c r="AD75" i="24"/>
  <c r="AY75" i="24" s="1"/>
  <c r="AP75" i="24"/>
  <c r="BK75" i="24" s="1"/>
  <c r="AE75" i="24"/>
  <c r="AZ75" i="24" s="1"/>
  <c r="AQ75" i="24"/>
  <c r="BL75" i="24" s="1"/>
  <c r="AF75" i="24"/>
  <c r="BA75" i="24" s="1"/>
  <c r="AR75" i="24"/>
  <c r="BM75" i="24" s="1"/>
  <c r="AG75" i="24"/>
  <c r="BB75" i="24" s="1"/>
  <c r="Y75" i="24"/>
  <c r="AT75" i="24" s="1"/>
  <c r="AI147" i="24"/>
  <c r="BD147" i="24" s="1"/>
  <c r="AJ147" i="24"/>
  <c r="BE147" i="24" s="1"/>
  <c r="AK147" i="24"/>
  <c r="BF147" i="24" s="1"/>
  <c r="Z147" i="24"/>
  <c r="AL147" i="24"/>
  <c r="BG147" i="24" s="1"/>
  <c r="AA147" i="24"/>
  <c r="AV147" i="24" s="1"/>
  <c r="AM147" i="24"/>
  <c r="BH147" i="24" s="1"/>
  <c r="AB147" i="24"/>
  <c r="AW147" i="24" s="1"/>
  <c r="AN147" i="24"/>
  <c r="BI147" i="24" s="1"/>
  <c r="AC147" i="24"/>
  <c r="AX147" i="24" s="1"/>
  <c r="AO147" i="24"/>
  <c r="BJ147" i="24" s="1"/>
  <c r="AD147" i="24"/>
  <c r="AY147" i="24" s="1"/>
  <c r="AP147" i="24"/>
  <c r="BK147" i="24" s="1"/>
  <c r="AE147" i="24"/>
  <c r="AZ147" i="24" s="1"/>
  <c r="AQ147" i="24"/>
  <c r="BL147" i="24" s="1"/>
  <c r="AF147" i="24"/>
  <c r="BA147" i="24" s="1"/>
  <c r="AR147" i="24"/>
  <c r="BM147" i="24" s="1"/>
  <c r="AG147" i="24"/>
  <c r="BB147" i="24" s="1"/>
  <c r="Y147" i="24"/>
  <c r="AT147" i="24" s="1"/>
  <c r="AH147" i="24"/>
  <c r="BC147" i="24" s="1"/>
  <c r="AI219" i="24"/>
  <c r="BD219" i="24" s="1"/>
  <c r="AJ219" i="24"/>
  <c r="BE219" i="24" s="1"/>
  <c r="AK219" i="24"/>
  <c r="BF219" i="24" s="1"/>
  <c r="Z219" i="24"/>
  <c r="AL219" i="24"/>
  <c r="BG219" i="24" s="1"/>
  <c r="AA219" i="24"/>
  <c r="AV219" i="24" s="1"/>
  <c r="AM219" i="24"/>
  <c r="BH219" i="24" s="1"/>
  <c r="AB219" i="24"/>
  <c r="AW219" i="24" s="1"/>
  <c r="AN219" i="24"/>
  <c r="BI219" i="24" s="1"/>
  <c r="AC219" i="24"/>
  <c r="AX219" i="24" s="1"/>
  <c r="AO219" i="24"/>
  <c r="BJ219" i="24" s="1"/>
  <c r="AD219" i="24"/>
  <c r="AY219" i="24" s="1"/>
  <c r="AP219" i="24"/>
  <c r="BK219" i="24" s="1"/>
  <c r="AE219" i="24"/>
  <c r="AZ219" i="24" s="1"/>
  <c r="AQ219" i="24"/>
  <c r="BL219" i="24" s="1"/>
  <c r="AF219" i="24"/>
  <c r="BA219" i="24" s="1"/>
  <c r="AR219" i="24"/>
  <c r="BM219" i="24" s="1"/>
  <c r="AG219" i="24"/>
  <c r="BB219" i="24" s="1"/>
  <c r="Y219" i="24"/>
  <c r="AT219" i="24" s="1"/>
  <c r="AH219" i="24"/>
  <c r="BC219" i="24" s="1"/>
  <c r="AI291" i="24"/>
  <c r="BD291" i="24" s="1"/>
  <c r="AJ291" i="24"/>
  <c r="BE291" i="24" s="1"/>
  <c r="AK291" i="24"/>
  <c r="BF291" i="24" s="1"/>
  <c r="Z291" i="24"/>
  <c r="AL291" i="24"/>
  <c r="BG291" i="24" s="1"/>
  <c r="AA291" i="24"/>
  <c r="AV291" i="24" s="1"/>
  <c r="AM291" i="24"/>
  <c r="BH291" i="24" s="1"/>
  <c r="AB291" i="24"/>
  <c r="AW291" i="24" s="1"/>
  <c r="AN291" i="24"/>
  <c r="BI291" i="24" s="1"/>
  <c r="AC291" i="24"/>
  <c r="AX291" i="24" s="1"/>
  <c r="AO291" i="24"/>
  <c r="BJ291" i="24" s="1"/>
  <c r="AD291" i="24"/>
  <c r="AY291" i="24" s="1"/>
  <c r="AP291" i="24"/>
  <c r="BK291" i="24" s="1"/>
  <c r="AE291" i="24"/>
  <c r="AZ291" i="24" s="1"/>
  <c r="AQ291" i="24"/>
  <c r="BL291" i="24" s="1"/>
  <c r="AF291" i="24"/>
  <c r="BA291" i="24" s="1"/>
  <c r="AR291" i="24"/>
  <c r="BM291" i="24" s="1"/>
  <c r="AG291" i="24"/>
  <c r="BB291" i="24" s="1"/>
  <c r="Y291" i="24"/>
  <c r="AT291" i="24" s="1"/>
  <c r="AH291" i="24"/>
  <c r="BC291" i="24" s="1"/>
  <c r="AH363" i="24"/>
  <c r="BC363" i="24" s="1"/>
  <c r="Y363" i="24"/>
  <c r="AT363" i="24" s="1"/>
  <c r="AI363" i="24"/>
  <c r="BD363" i="24" s="1"/>
  <c r="AJ363" i="24"/>
  <c r="BE363" i="24" s="1"/>
  <c r="AK363" i="24"/>
  <c r="BF363" i="24" s="1"/>
  <c r="Z363" i="24"/>
  <c r="AL363" i="24"/>
  <c r="BG363" i="24" s="1"/>
  <c r="AA363" i="24"/>
  <c r="AV363" i="24" s="1"/>
  <c r="AM363" i="24"/>
  <c r="BH363" i="24" s="1"/>
  <c r="AB363" i="24"/>
  <c r="AW363" i="24" s="1"/>
  <c r="AN363" i="24"/>
  <c r="BI363" i="24" s="1"/>
  <c r="AC363" i="24"/>
  <c r="AX363" i="24" s="1"/>
  <c r="AO363" i="24"/>
  <c r="BJ363" i="24" s="1"/>
  <c r="AD363" i="24"/>
  <c r="AY363" i="24" s="1"/>
  <c r="AP363" i="24"/>
  <c r="BK363" i="24" s="1"/>
  <c r="AE363" i="24"/>
  <c r="AZ363" i="24" s="1"/>
  <c r="AQ363" i="24"/>
  <c r="BL363" i="24" s="1"/>
  <c r="AG363" i="24"/>
  <c r="BB363" i="24" s="1"/>
  <c r="AF363" i="24"/>
  <c r="BA363" i="24" s="1"/>
  <c r="AR363" i="24"/>
  <c r="BM363" i="24" s="1"/>
  <c r="AF365" i="24"/>
  <c r="BA365" i="24" s="1"/>
  <c r="AR365" i="24"/>
  <c r="BM365" i="24" s="1"/>
  <c r="Y365" i="24"/>
  <c r="AT365" i="24" s="1"/>
  <c r="AG365" i="24"/>
  <c r="BB365" i="24" s="1"/>
  <c r="AH365" i="24"/>
  <c r="BC365" i="24" s="1"/>
  <c r="AI365" i="24"/>
  <c r="BD365" i="24" s="1"/>
  <c r="AJ365" i="24"/>
  <c r="BE365" i="24" s="1"/>
  <c r="AN365" i="24"/>
  <c r="BI365" i="24" s="1"/>
  <c r="AK365" i="24"/>
  <c r="BF365" i="24" s="1"/>
  <c r="Z365" i="24"/>
  <c r="AL365" i="24"/>
  <c r="BG365" i="24" s="1"/>
  <c r="AA365" i="24"/>
  <c r="AV365" i="24" s="1"/>
  <c r="AM365" i="24"/>
  <c r="BH365" i="24" s="1"/>
  <c r="AQ365" i="24"/>
  <c r="BL365" i="24" s="1"/>
  <c r="AB365" i="24"/>
  <c r="AW365" i="24" s="1"/>
  <c r="AC365" i="24"/>
  <c r="AX365" i="24" s="1"/>
  <c r="AO365" i="24"/>
  <c r="BJ365" i="24" s="1"/>
  <c r="AD365" i="24"/>
  <c r="AY365" i="24" s="1"/>
  <c r="AP365" i="24"/>
  <c r="BK365" i="24" s="1"/>
  <c r="AE365" i="24"/>
  <c r="AZ365" i="24" s="1"/>
  <c r="AA203" i="24"/>
  <c r="AV203" i="24" s="1"/>
  <c r="AM203" i="24"/>
  <c r="BH203" i="24" s="1"/>
  <c r="AB203" i="24"/>
  <c r="AW203" i="24" s="1"/>
  <c r="AN203" i="24"/>
  <c r="BI203" i="24" s="1"/>
  <c r="AC203" i="24"/>
  <c r="AX203" i="24" s="1"/>
  <c r="AO203" i="24"/>
  <c r="BJ203" i="24" s="1"/>
  <c r="AD203" i="24"/>
  <c r="AY203" i="24" s="1"/>
  <c r="AP203" i="24"/>
  <c r="BK203" i="24" s="1"/>
  <c r="AE203" i="24"/>
  <c r="AZ203" i="24" s="1"/>
  <c r="AQ203" i="24"/>
  <c r="BL203" i="24" s="1"/>
  <c r="AF203" i="24"/>
  <c r="BA203" i="24" s="1"/>
  <c r="AR203" i="24"/>
  <c r="BM203" i="24" s="1"/>
  <c r="AG203" i="24"/>
  <c r="BB203" i="24" s="1"/>
  <c r="AH203" i="24"/>
  <c r="BC203" i="24" s="1"/>
  <c r="AI203" i="24"/>
  <c r="BD203" i="24" s="1"/>
  <c r="AJ203" i="24"/>
  <c r="BE203" i="24" s="1"/>
  <c r="AK203" i="24"/>
  <c r="BF203" i="24" s="1"/>
  <c r="Z203" i="24"/>
  <c r="AL203" i="24"/>
  <c r="BG203" i="24" s="1"/>
  <c r="Y203" i="24"/>
  <c r="AT203" i="24" s="1"/>
  <c r="AF328" i="24"/>
  <c r="BA328" i="24" s="1"/>
  <c r="AR328" i="24"/>
  <c r="BM328" i="24" s="1"/>
  <c r="AG328" i="24"/>
  <c r="BB328" i="24" s="1"/>
  <c r="AH328" i="24"/>
  <c r="BC328" i="24" s="1"/>
  <c r="Y328" i="24"/>
  <c r="AT328" i="24" s="1"/>
  <c r="AQ328" i="24"/>
  <c r="BL328" i="24" s="1"/>
  <c r="AI328" i="24"/>
  <c r="BD328" i="24" s="1"/>
  <c r="AJ328" i="24"/>
  <c r="BE328" i="24" s="1"/>
  <c r="AE328" i="24"/>
  <c r="AZ328" i="24" s="1"/>
  <c r="AK328" i="24"/>
  <c r="BF328" i="24" s="1"/>
  <c r="Z328" i="24"/>
  <c r="AL328" i="24"/>
  <c r="BG328" i="24" s="1"/>
  <c r="AA328" i="24"/>
  <c r="AV328" i="24" s="1"/>
  <c r="AM328" i="24"/>
  <c r="BH328" i="24" s="1"/>
  <c r="AB328" i="24"/>
  <c r="AW328" i="24" s="1"/>
  <c r="AN328" i="24"/>
  <c r="BI328" i="24" s="1"/>
  <c r="AC328" i="24"/>
  <c r="AX328" i="24" s="1"/>
  <c r="AO328" i="24"/>
  <c r="BJ328" i="24" s="1"/>
  <c r="AD328" i="24"/>
  <c r="AY328" i="24" s="1"/>
  <c r="AP328" i="24"/>
  <c r="BK328" i="24" s="1"/>
  <c r="AF65" i="24"/>
  <c r="BA65" i="24" s="1"/>
  <c r="AR65" i="24"/>
  <c r="BM65" i="24" s="1"/>
  <c r="AG65" i="24"/>
  <c r="BB65" i="24" s="1"/>
  <c r="AH65" i="24"/>
  <c r="BC65" i="24" s="1"/>
  <c r="AI65" i="24"/>
  <c r="BD65" i="24" s="1"/>
  <c r="AJ65" i="24"/>
  <c r="BE65" i="24" s="1"/>
  <c r="AK65" i="24"/>
  <c r="BF65" i="24" s="1"/>
  <c r="Z65" i="24"/>
  <c r="AL65" i="24"/>
  <c r="BG65" i="24" s="1"/>
  <c r="AA65" i="24"/>
  <c r="AV65" i="24" s="1"/>
  <c r="AM65" i="24"/>
  <c r="BH65" i="24" s="1"/>
  <c r="AB65" i="24"/>
  <c r="AW65" i="24" s="1"/>
  <c r="AN65" i="24"/>
  <c r="BI65" i="24" s="1"/>
  <c r="AC65" i="24"/>
  <c r="AX65" i="24" s="1"/>
  <c r="AO65" i="24"/>
  <c r="BJ65" i="24" s="1"/>
  <c r="AD65" i="24"/>
  <c r="AY65" i="24" s="1"/>
  <c r="AP65" i="24"/>
  <c r="BK65" i="24" s="1"/>
  <c r="AE65" i="24"/>
  <c r="AZ65" i="24" s="1"/>
  <c r="AQ65" i="24"/>
  <c r="BL65" i="24" s="1"/>
  <c r="Y65" i="24"/>
  <c r="AT65" i="24" s="1"/>
  <c r="AC86" i="24"/>
  <c r="AX86" i="24" s="1"/>
  <c r="AO86" i="24"/>
  <c r="BJ86" i="24" s="1"/>
  <c r="AD86" i="24"/>
  <c r="AY86" i="24" s="1"/>
  <c r="AP86" i="24"/>
  <c r="BK86" i="24" s="1"/>
  <c r="AE86" i="24"/>
  <c r="AZ86" i="24" s="1"/>
  <c r="AQ86" i="24"/>
  <c r="BL86" i="24" s="1"/>
  <c r="AF86" i="24"/>
  <c r="BA86" i="24" s="1"/>
  <c r="AR86" i="24"/>
  <c r="BM86" i="24" s="1"/>
  <c r="AG86" i="24"/>
  <c r="BB86" i="24" s="1"/>
  <c r="AH86" i="24"/>
  <c r="BC86" i="24" s="1"/>
  <c r="AI86" i="24"/>
  <c r="BD86" i="24" s="1"/>
  <c r="AJ86" i="24"/>
  <c r="BE86" i="24" s="1"/>
  <c r="AK86" i="24"/>
  <c r="BF86" i="24" s="1"/>
  <c r="Z86" i="24"/>
  <c r="AL86" i="24"/>
  <c r="BG86" i="24" s="1"/>
  <c r="AA86" i="24"/>
  <c r="AV86" i="24" s="1"/>
  <c r="AM86" i="24"/>
  <c r="BH86" i="24" s="1"/>
  <c r="AB86" i="24"/>
  <c r="AW86" i="24" s="1"/>
  <c r="AN86" i="24"/>
  <c r="BI86" i="24" s="1"/>
  <c r="Y86" i="24"/>
  <c r="AT86" i="24" s="1"/>
  <c r="AD230" i="24"/>
  <c r="AY230" i="24" s="1"/>
  <c r="AP230" i="24"/>
  <c r="BK230" i="24" s="1"/>
  <c r="AE230" i="24"/>
  <c r="AZ230" i="24" s="1"/>
  <c r="AQ230" i="24"/>
  <c r="BL230" i="24" s="1"/>
  <c r="AF230" i="24"/>
  <c r="BA230" i="24" s="1"/>
  <c r="AR230" i="24"/>
  <c r="BM230" i="24" s="1"/>
  <c r="AG230" i="24"/>
  <c r="BB230" i="24" s="1"/>
  <c r="AH230" i="24"/>
  <c r="BC230" i="24" s="1"/>
  <c r="AI230" i="24"/>
  <c r="BD230" i="24" s="1"/>
  <c r="AJ230" i="24"/>
  <c r="BE230" i="24" s="1"/>
  <c r="AK230" i="24"/>
  <c r="BF230" i="24" s="1"/>
  <c r="Z230" i="24"/>
  <c r="AL230" i="24"/>
  <c r="BG230" i="24" s="1"/>
  <c r="AA230" i="24"/>
  <c r="AV230" i="24" s="1"/>
  <c r="AM230" i="24"/>
  <c r="BH230" i="24" s="1"/>
  <c r="AB230" i="24"/>
  <c r="AW230" i="24" s="1"/>
  <c r="AN230" i="24"/>
  <c r="BI230" i="24" s="1"/>
  <c r="Y230" i="24"/>
  <c r="AT230" i="24" s="1"/>
  <c r="AC230" i="24"/>
  <c r="AX230" i="24" s="1"/>
  <c r="AO230" i="24"/>
  <c r="BJ230" i="24" s="1"/>
  <c r="AG113" i="24"/>
  <c r="BB113" i="24" s="1"/>
  <c r="AH113" i="24"/>
  <c r="BC113" i="24" s="1"/>
  <c r="AI113" i="24"/>
  <c r="BD113" i="24" s="1"/>
  <c r="AJ113" i="24"/>
  <c r="BE113" i="24" s="1"/>
  <c r="AK113" i="24"/>
  <c r="BF113" i="24" s="1"/>
  <c r="Z113" i="24"/>
  <c r="AL113" i="24"/>
  <c r="BG113" i="24" s="1"/>
  <c r="AA113" i="24"/>
  <c r="AV113" i="24" s="1"/>
  <c r="AM113" i="24"/>
  <c r="BH113" i="24" s="1"/>
  <c r="AB113" i="24"/>
  <c r="AW113" i="24" s="1"/>
  <c r="AN113" i="24"/>
  <c r="BI113" i="24" s="1"/>
  <c r="AC113" i="24"/>
  <c r="AX113" i="24" s="1"/>
  <c r="AO113" i="24"/>
  <c r="BJ113" i="24" s="1"/>
  <c r="AD113" i="24"/>
  <c r="AY113" i="24" s="1"/>
  <c r="AP113" i="24"/>
  <c r="BK113" i="24" s="1"/>
  <c r="AE113" i="24"/>
  <c r="AZ113" i="24" s="1"/>
  <c r="AQ113" i="24"/>
  <c r="BL113" i="24" s="1"/>
  <c r="Y113" i="24"/>
  <c r="AT113" i="24" s="1"/>
  <c r="AF113" i="24"/>
  <c r="BA113" i="24" s="1"/>
  <c r="AR113" i="24"/>
  <c r="BM113" i="24" s="1"/>
  <c r="AJ176" i="24"/>
  <c r="BE176" i="24" s="1"/>
  <c r="AK176" i="24"/>
  <c r="BF176" i="24" s="1"/>
  <c r="Z176" i="24"/>
  <c r="AL176" i="24"/>
  <c r="BG176" i="24" s="1"/>
  <c r="AA176" i="24"/>
  <c r="AV176" i="24" s="1"/>
  <c r="AM176" i="24"/>
  <c r="BH176" i="24" s="1"/>
  <c r="AB176" i="24"/>
  <c r="AW176" i="24" s="1"/>
  <c r="AN176" i="24"/>
  <c r="BI176" i="24" s="1"/>
  <c r="AC176" i="24"/>
  <c r="AX176" i="24" s="1"/>
  <c r="AO176" i="24"/>
  <c r="BJ176" i="24" s="1"/>
  <c r="AD176" i="24"/>
  <c r="AY176" i="24" s="1"/>
  <c r="AP176" i="24"/>
  <c r="BK176" i="24" s="1"/>
  <c r="AE176" i="24"/>
  <c r="AZ176" i="24" s="1"/>
  <c r="AQ176" i="24"/>
  <c r="BL176" i="24" s="1"/>
  <c r="AF176" i="24"/>
  <c r="BA176" i="24" s="1"/>
  <c r="AR176" i="24"/>
  <c r="BM176" i="24" s="1"/>
  <c r="AG176" i="24"/>
  <c r="BB176" i="24" s="1"/>
  <c r="AH176" i="24"/>
  <c r="BC176" i="24" s="1"/>
  <c r="AI176" i="24"/>
  <c r="BD176" i="24" s="1"/>
  <c r="Y176" i="24"/>
  <c r="AT176" i="24" s="1"/>
  <c r="AJ164" i="24"/>
  <c r="BE164" i="24" s="1"/>
  <c r="AK164" i="24"/>
  <c r="BF164" i="24" s="1"/>
  <c r="Z164" i="24"/>
  <c r="AL164" i="24"/>
  <c r="BG164" i="24" s="1"/>
  <c r="AA164" i="24"/>
  <c r="AV164" i="24" s="1"/>
  <c r="AM164" i="24"/>
  <c r="BH164" i="24" s="1"/>
  <c r="AB164" i="24"/>
  <c r="AW164" i="24" s="1"/>
  <c r="AN164" i="24"/>
  <c r="BI164" i="24" s="1"/>
  <c r="AC164" i="24"/>
  <c r="AX164" i="24" s="1"/>
  <c r="AO164" i="24"/>
  <c r="BJ164" i="24" s="1"/>
  <c r="AD164" i="24"/>
  <c r="AY164" i="24" s="1"/>
  <c r="AP164" i="24"/>
  <c r="BK164" i="24" s="1"/>
  <c r="AE164" i="24"/>
  <c r="AZ164" i="24" s="1"/>
  <c r="AQ164" i="24"/>
  <c r="BL164" i="24" s="1"/>
  <c r="AF164" i="24"/>
  <c r="BA164" i="24" s="1"/>
  <c r="AR164" i="24"/>
  <c r="BM164" i="24" s="1"/>
  <c r="AG164" i="24"/>
  <c r="BB164" i="24" s="1"/>
  <c r="AH164" i="24"/>
  <c r="BC164" i="24" s="1"/>
  <c r="AI164" i="24"/>
  <c r="BD164" i="24" s="1"/>
  <c r="Y164" i="24"/>
  <c r="AT164" i="24" s="1"/>
  <c r="AA364" i="24"/>
  <c r="AV364" i="24" s="1"/>
  <c r="AM364" i="24"/>
  <c r="BH364" i="24" s="1"/>
  <c r="AB364" i="24"/>
  <c r="AW364" i="24" s="1"/>
  <c r="AN364" i="24"/>
  <c r="BI364" i="24" s="1"/>
  <c r="Y364" i="24"/>
  <c r="AT364" i="24" s="1"/>
  <c r="AC364" i="24"/>
  <c r="AX364" i="24" s="1"/>
  <c r="AO364" i="24"/>
  <c r="BJ364" i="24" s="1"/>
  <c r="AD364" i="24"/>
  <c r="AY364" i="24" s="1"/>
  <c r="AP364" i="24"/>
  <c r="BK364" i="24" s="1"/>
  <c r="AL364" i="24"/>
  <c r="BG364" i="24" s="1"/>
  <c r="AE364" i="24"/>
  <c r="AZ364" i="24" s="1"/>
  <c r="AQ364" i="24"/>
  <c r="BL364" i="24" s="1"/>
  <c r="Z364" i="24"/>
  <c r="AF364" i="24"/>
  <c r="BA364" i="24" s="1"/>
  <c r="AR364" i="24"/>
  <c r="BM364" i="24" s="1"/>
  <c r="AG364" i="24"/>
  <c r="BB364" i="24" s="1"/>
  <c r="AH364" i="24"/>
  <c r="BC364" i="24" s="1"/>
  <c r="AI364" i="24"/>
  <c r="BD364" i="24" s="1"/>
  <c r="AJ364" i="24"/>
  <c r="BE364" i="24" s="1"/>
  <c r="AK364" i="24"/>
  <c r="BF364" i="24" s="1"/>
  <c r="Z371" i="24"/>
  <c r="AL371" i="24"/>
  <c r="AA371" i="24"/>
  <c r="AM371" i="24"/>
  <c r="AB371" i="24"/>
  <c r="AN371" i="24"/>
  <c r="AK371" i="24"/>
  <c r="AC371" i="24"/>
  <c r="AO371" i="24"/>
  <c r="AD371" i="24"/>
  <c r="AP371" i="24"/>
  <c r="AE371" i="24"/>
  <c r="AQ371" i="24"/>
  <c r="Y371" i="24"/>
  <c r="AT371" i="24" s="1"/>
  <c r="AF371" i="24"/>
  <c r="AR371" i="24"/>
  <c r="AG371" i="24"/>
  <c r="AH371" i="24"/>
  <c r="AI371" i="24"/>
  <c r="AJ371" i="24"/>
  <c r="AA166" i="25"/>
  <c r="AV166" i="25" s="1"/>
  <c r="AM166" i="25"/>
  <c r="BH166" i="25" s="1"/>
  <c r="AB166" i="25"/>
  <c r="AW166" i="25" s="1"/>
  <c r="AN166" i="25"/>
  <c r="BI166" i="25" s="1"/>
  <c r="AC166" i="25"/>
  <c r="AX166" i="25" s="1"/>
  <c r="AO166" i="25"/>
  <c r="BJ166" i="25" s="1"/>
  <c r="AD166" i="25"/>
  <c r="AY166" i="25" s="1"/>
  <c r="AP166" i="25"/>
  <c r="BK166" i="25" s="1"/>
  <c r="AE166" i="25"/>
  <c r="AZ166" i="25" s="1"/>
  <c r="AQ166" i="25"/>
  <c r="BL166" i="25" s="1"/>
  <c r="AF166" i="25"/>
  <c r="BA166" i="25" s="1"/>
  <c r="AR166" i="25"/>
  <c r="BM166" i="25" s="1"/>
  <c r="AG166" i="25"/>
  <c r="BB166" i="25" s="1"/>
  <c r="AH166" i="25"/>
  <c r="BC166" i="25" s="1"/>
  <c r="AI166" i="25"/>
  <c r="BD166" i="25" s="1"/>
  <c r="AJ166" i="25"/>
  <c r="BE166" i="25" s="1"/>
  <c r="Y166" i="25"/>
  <c r="AT166" i="25" s="1"/>
  <c r="AK166" i="25"/>
  <c r="BF166" i="25" s="1"/>
  <c r="Z166" i="25"/>
  <c r="AL166" i="25"/>
  <c r="BG166" i="25" s="1"/>
  <c r="Z238" i="25"/>
  <c r="AL238" i="25"/>
  <c r="BG238" i="25" s="1"/>
  <c r="AA238" i="25"/>
  <c r="AV238" i="25" s="1"/>
  <c r="AM238" i="25"/>
  <c r="BH238" i="25" s="1"/>
  <c r="AB238" i="25"/>
  <c r="AW238" i="25" s="1"/>
  <c r="AN238" i="25"/>
  <c r="BI238" i="25" s="1"/>
  <c r="AC238" i="25"/>
  <c r="AX238" i="25" s="1"/>
  <c r="AO238" i="25"/>
  <c r="BJ238" i="25" s="1"/>
  <c r="AD238" i="25"/>
  <c r="AY238" i="25" s="1"/>
  <c r="AP238" i="25"/>
  <c r="BK238" i="25" s="1"/>
  <c r="AE238" i="25"/>
  <c r="AZ238" i="25" s="1"/>
  <c r="AQ238" i="25"/>
  <c r="BL238" i="25" s="1"/>
  <c r="AF238" i="25"/>
  <c r="BA238" i="25" s="1"/>
  <c r="AR238" i="25"/>
  <c r="BM238" i="25" s="1"/>
  <c r="AG238" i="25"/>
  <c r="BB238" i="25" s="1"/>
  <c r="AH238" i="25"/>
  <c r="BC238" i="25" s="1"/>
  <c r="AI238" i="25"/>
  <c r="BD238" i="25" s="1"/>
  <c r="AJ238" i="25"/>
  <c r="BE238" i="25" s="1"/>
  <c r="Y238" i="25"/>
  <c r="AT238" i="25" s="1"/>
  <c r="AK238" i="25"/>
  <c r="BF238" i="25" s="1"/>
  <c r="Z310" i="25"/>
  <c r="AL310" i="25"/>
  <c r="BG310" i="25" s="1"/>
  <c r="AA310" i="25"/>
  <c r="AV310" i="25" s="1"/>
  <c r="AM310" i="25"/>
  <c r="BH310" i="25" s="1"/>
  <c r="AB310" i="25"/>
  <c r="AW310" i="25" s="1"/>
  <c r="AN310" i="25"/>
  <c r="BI310" i="25" s="1"/>
  <c r="AC310" i="25"/>
  <c r="AX310" i="25" s="1"/>
  <c r="AO310" i="25"/>
  <c r="BJ310" i="25" s="1"/>
  <c r="AD310" i="25"/>
  <c r="AY310" i="25" s="1"/>
  <c r="AP310" i="25"/>
  <c r="BK310" i="25" s="1"/>
  <c r="AE310" i="25"/>
  <c r="AZ310" i="25" s="1"/>
  <c r="AQ310" i="25"/>
  <c r="BL310" i="25" s="1"/>
  <c r="AF310" i="25"/>
  <c r="BA310" i="25" s="1"/>
  <c r="AR310" i="25"/>
  <c r="BM310" i="25" s="1"/>
  <c r="AG310" i="25"/>
  <c r="BB310" i="25" s="1"/>
  <c r="AH310" i="25"/>
  <c r="BC310" i="25" s="1"/>
  <c r="AI310" i="25"/>
  <c r="BD310" i="25" s="1"/>
  <c r="AJ310" i="25"/>
  <c r="BE310" i="25" s="1"/>
  <c r="Y310" i="25"/>
  <c r="AT310" i="25" s="1"/>
  <c r="AK310" i="25"/>
  <c r="BF310" i="25" s="1"/>
  <c r="Z382" i="25"/>
  <c r="AL382" i="25"/>
  <c r="AA382" i="25"/>
  <c r="AM382" i="25"/>
  <c r="AB382" i="25"/>
  <c r="AN382" i="25"/>
  <c r="AC382" i="25"/>
  <c r="AO382" i="25"/>
  <c r="AD382" i="25"/>
  <c r="AP382" i="25"/>
  <c r="AE382" i="25"/>
  <c r="AQ382" i="25"/>
  <c r="AF382" i="25"/>
  <c r="AR382" i="25"/>
  <c r="AG382" i="25"/>
  <c r="AH382" i="25"/>
  <c r="AI382" i="25"/>
  <c r="AJ382" i="25"/>
  <c r="Y382" i="25"/>
  <c r="AT382" i="25" s="1"/>
  <c r="AK382" i="25"/>
  <c r="AE179" i="25"/>
  <c r="AZ179" i="25" s="1"/>
  <c r="AQ179" i="25"/>
  <c r="BL179" i="25" s="1"/>
  <c r="AF179" i="25"/>
  <c r="BA179" i="25" s="1"/>
  <c r="AR179" i="25"/>
  <c r="BM179" i="25" s="1"/>
  <c r="AG179" i="25"/>
  <c r="BB179" i="25" s="1"/>
  <c r="AH179" i="25"/>
  <c r="BC179" i="25" s="1"/>
  <c r="AI179" i="25"/>
  <c r="BD179" i="25" s="1"/>
  <c r="AJ179" i="25"/>
  <c r="BE179" i="25" s="1"/>
  <c r="Y179" i="25"/>
  <c r="AT179" i="25" s="1"/>
  <c r="AK179" i="25"/>
  <c r="BF179" i="25" s="1"/>
  <c r="Z179" i="25"/>
  <c r="AL179" i="25"/>
  <c r="BG179" i="25" s="1"/>
  <c r="AA179" i="25"/>
  <c r="AV179" i="25" s="1"/>
  <c r="AM179" i="25"/>
  <c r="BH179" i="25" s="1"/>
  <c r="AB179" i="25"/>
  <c r="AW179" i="25" s="1"/>
  <c r="AN179" i="25"/>
  <c r="BI179" i="25" s="1"/>
  <c r="AC179" i="25"/>
  <c r="AX179" i="25" s="1"/>
  <c r="AO179" i="25"/>
  <c r="BJ179" i="25" s="1"/>
  <c r="AD179" i="25"/>
  <c r="AY179" i="25" s="1"/>
  <c r="AP179" i="25"/>
  <c r="BK179" i="25" s="1"/>
  <c r="AD251" i="25"/>
  <c r="AY251" i="25" s="1"/>
  <c r="AP251" i="25"/>
  <c r="BK251" i="25" s="1"/>
  <c r="AE251" i="25"/>
  <c r="AZ251" i="25" s="1"/>
  <c r="AQ251" i="25"/>
  <c r="BL251" i="25" s="1"/>
  <c r="AF251" i="25"/>
  <c r="BA251" i="25" s="1"/>
  <c r="AR251" i="25"/>
  <c r="BM251" i="25" s="1"/>
  <c r="AG251" i="25"/>
  <c r="BB251" i="25" s="1"/>
  <c r="AH251" i="25"/>
  <c r="BC251" i="25" s="1"/>
  <c r="AI251" i="25"/>
  <c r="BD251" i="25" s="1"/>
  <c r="AJ251" i="25"/>
  <c r="BE251" i="25" s="1"/>
  <c r="Y251" i="25"/>
  <c r="AT251" i="25" s="1"/>
  <c r="AK251" i="25"/>
  <c r="BF251" i="25" s="1"/>
  <c r="Z251" i="25"/>
  <c r="AL251" i="25"/>
  <c r="BG251" i="25" s="1"/>
  <c r="AA251" i="25"/>
  <c r="AV251" i="25" s="1"/>
  <c r="AM251" i="25"/>
  <c r="BH251" i="25" s="1"/>
  <c r="AB251" i="25"/>
  <c r="AW251" i="25" s="1"/>
  <c r="AN251" i="25"/>
  <c r="BI251" i="25" s="1"/>
  <c r="AC251" i="25"/>
  <c r="AX251" i="25" s="1"/>
  <c r="AO251" i="25"/>
  <c r="BJ251" i="25" s="1"/>
  <c r="AD323" i="25"/>
  <c r="AY323" i="25" s="1"/>
  <c r="AP323" i="25"/>
  <c r="BK323" i="25" s="1"/>
  <c r="AE323" i="25"/>
  <c r="AZ323" i="25" s="1"/>
  <c r="AQ323" i="25"/>
  <c r="BL323" i="25" s="1"/>
  <c r="AF323" i="25"/>
  <c r="BA323" i="25" s="1"/>
  <c r="AR323" i="25"/>
  <c r="BM323" i="25" s="1"/>
  <c r="AG323" i="25"/>
  <c r="BB323" i="25" s="1"/>
  <c r="AH323" i="25"/>
  <c r="BC323" i="25" s="1"/>
  <c r="AI323" i="25"/>
  <c r="BD323" i="25" s="1"/>
  <c r="AJ323" i="25"/>
  <c r="BE323" i="25" s="1"/>
  <c r="Y323" i="25"/>
  <c r="AT323" i="25" s="1"/>
  <c r="AK323" i="25"/>
  <c r="BF323" i="25" s="1"/>
  <c r="Z323" i="25"/>
  <c r="AL323" i="25"/>
  <c r="BG323" i="25" s="1"/>
  <c r="AA323" i="25"/>
  <c r="AV323" i="25" s="1"/>
  <c r="AM323" i="25"/>
  <c r="BH323" i="25" s="1"/>
  <c r="AB323" i="25"/>
  <c r="AW323" i="25" s="1"/>
  <c r="AN323" i="25"/>
  <c r="BI323" i="25" s="1"/>
  <c r="AC323" i="25"/>
  <c r="AX323" i="25" s="1"/>
  <c r="AO323" i="25"/>
  <c r="BJ323" i="25" s="1"/>
  <c r="AE122" i="25"/>
  <c r="AZ122" i="25" s="1"/>
  <c r="AQ122" i="25"/>
  <c r="BL122" i="25" s="1"/>
  <c r="AF122" i="25"/>
  <c r="BA122" i="25" s="1"/>
  <c r="AR122" i="25"/>
  <c r="BM122" i="25" s="1"/>
  <c r="AG122" i="25"/>
  <c r="BB122" i="25" s="1"/>
  <c r="AH122" i="25"/>
  <c r="BC122" i="25" s="1"/>
  <c r="AI122" i="25"/>
  <c r="BD122" i="25" s="1"/>
  <c r="AJ122" i="25"/>
  <c r="BE122" i="25" s="1"/>
  <c r="Y122" i="25"/>
  <c r="AT122" i="25" s="1"/>
  <c r="AK122" i="25"/>
  <c r="BF122" i="25" s="1"/>
  <c r="Z122" i="25"/>
  <c r="AL122" i="25"/>
  <c r="BG122" i="25" s="1"/>
  <c r="AA122" i="25"/>
  <c r="AV122" i="25" s="1"/>
  <c r="AM122" i="25"/>
  <c r="BH122" i="25" s="1"/>
  <c r="AB122" i="25"/>
  <c r="AW122" i="25" s="1"/>
  <c r="AN122" i="25"/>
  <c r="BI122" i="25" s="1"/>
  <c r="AC122" i="25"/>
  <c r="AX122" i="25" s="1"/>
  <c r="AO122" i="25"/>
  <c r="BJ122" i="25" s="1"/>
  <c r="AD122" i="25"/>
  <c r="AY122" i="25" s="1"/>
  <c r="AP122" i="25"/>
  <c r="BK122" i="25" s="1"/>
  <c r="AI198" i="25"/>
  <c r="BD198" i="25" s="1"/>
  <c r="AJ198" i="25"/>
  <c r="BE198" i="25" s="1"/>
  <c r="Y198" i="25"/>
  <c r="AT198" i="25" s="1"/>
  <c r="AK198" i="25"/>
  <c r="BF198" i="25" s="1"/>
  <c r="Z198" i="25"/>
  <c r="AL198" i="25"/>
  <c r="BG198" i="25" s="1"/>
  <c r="AA198" i="25"/>
  <c r="AV198" i="25" s="1"/>
  <c r="AM198" i="25"/>
  <c r="BH198" i="25" s="1"/>
  <c r="AB198" i="25"/>
  <c r="AW198" i="25" s="1"/>
  <c r="AN198" i="25"/>
  <c r="BI198" i="25" s="1"/>
  <c r="AC198" i="25"/>
  <c r="AX198" i="25" s="1"/>
  <c r="AO198" i="25"/>
  <c r="BJ198" i="25" s="1"/>
  <c r="AD198" i="25"/>
  <c r="AY198" i="25" s="1"/>
  <c r="AP198" i="25"/>
  <c r="BK198" i="25" s="1"/>
  <c r="AE198" i="25"/>
  <c r="AZ198" i="25" s="1"/>
  <c r="AQ198" i="25"/>
  <c r="BL198" i="25" s="1"/>
  <c r="AF198" i="25"/>
  <c r="BA198" i="25" s="1"/>
  <c r="AR198" i="25"/>
  <c r="BM198" i="25" s="1"/>
  <c r="AG198" i="25"/>
  <c r="BB198" i="25" s="1"/>
  <c r="AH198" i="25"/>
  <c r="BC198" i="25" s="1"/>
  <c r="AH270" i="25"/>
  <c r="BC270" i="25" s="1"/>
  <c r="AI270" i="25"/>
  <c r="BD270" i="25" s="1"/>
  <c r="AJ270" i="25"/>
  <c r="BE270" i="25" s="1"/>
  <c r="Y270" i="25"/>
  <c r="AT270" i="25" s="1"/>
  <c r="AK270" i="25"/>
  <c r="BF270" i="25" s="1"/>
  <c r="Z270" i="25"/>
  <c r="AL270" i="25"/>
  <c r="BG270" i="25" s="1"/>
  <c r="AA270" i="25"/>
  <c r="AV270" i="25" s="1"/>
  <c r="AM270" i="25"/>
  <c r="BH270" i="25" s="1"/>
  <c r="AB270" i="25"/>
  <c r="AW270" i="25" s="1"/>
  <c r="AN270" i="25"/>
  <c r="BI270" i="25" s="1"/>
  <c r="AC270" i="25"/>
  <c r="AX270" i="25" s="1"/>
  <c r="AO270" i="25"/>
  <c r="BJ270" i="25" s="1"/>
  <c r="AD270" i="25"/>
  <c r="AY270" i="25" s="1"/>
  <c r="AP270" i="25"/>
  <c r="BK270" i="25" s="1"/>
  <c r="AE270" i="25"/>
  <c r="AZ270" i="25" s="1"/>
  <c r="AQ270" i="25"/>
  <c r="BL270" i="25" s="1"/>
  <c r="AF270" i="25"/>
  <c r="BA270" i="25" s="1"/>
  <c r="AR270" i="25"/>
  <c r="BM270" i="25" s="1"/>
  <c r="AG270" i="25"/>
  <c r="BB270" i="25" s="1"/>
  <c r="AH342" i="25"/>
  <c r="BC342" i="25" s="1"/>
  <c r="AI342" i="25"/>
  <c r="BD342" i="25" s="1"/>
  <c r="AJ342" i="25"/>
  <c r="BE342" i="25" s="1"/>
  <c r="Y342" i="25"/>
  <c r="AT342" i="25" s="1"/>
  <c r="AK342" i="25"/>
  <c r="BF342" i="25" s="1"/>
  <c r="Z342" i="25"/>
  <c r="AL342" i="25"/>
  <c r="BG342" i="25" s="1"/>
  <c r="AA342" i="25"/>
  <c r="AV342" i="25" s="1"/>
  <c r="AM342" i="25"/>
  <c r="BH342" i="25" s="1"/>
  <c r="AB342" i="25"/>
  <c r="AW342" i="25" s="1"/>
  <c r="AN342" i="25"/>
  <c r="BI342" i="25" s="1"/>
  <c r="AC342" i="25"/>
  <c r="AX342" i="25" s="1"/>
  <c r="AO342" i="25"/>
  <c r="BJ342" i="25" s="1"/>
  <c r="AD342" i="25"/>
  <c r="AY342" i="25" s="1"/>
  <c r="AP342" i="25"/>
  <c r="BK342" i="25" s="1"/>
  <c r="AE342" i="25"/>
  <c r="AZ342" i="25" s="1"/>
  <c r="AQ342" i="25"/>
  <c r="BL342" i="25" s="1"/>
  <c r="AF342" i="25"/>
  <c r="BA342" i="25" s="1"/>
  <c r="AR342" i="25"/>
  <c r="BM342" i="25" s="1"/>
  <c r="AG342" i="25"/>
  <c r="BB342" i="25" s="1"/>
  <c r="AI141" i="25"/>
  <c r="BD141" i="25" s="1"/>
  <c r="AJ141" i="25"/>
  <c r="BE141" i="25" s="1"/>
  <c r="Y141" i="25"/>
  <c r="AT141" i="25" s="1"/>
  <c r="AK141" i="25"/>
  <c r="BF141" i="25" s="1"/>
  <c r="Z141" i="25"/>
  <c r="AL141" i="25"/>
  <c r="BG141" i="25" s="1"/>
  <c r="AA141" i="25"/>
  <c r="AV141" i="25" s="1"/>
  <c r="AM141" i="25"/>
  <c r="BH141" i="25" s="1"/>
  <c r="AB141" i="25"/>
  <c r="AW141" i="25" s="1"/>
  <c r="AN141" i="25"/>
  <c r="BI141" i="25" s="1"/>
  <c r="AC141" i="25"/>
  <c r="AX141" i="25" s="1"/>
  <c r="AO141" i="25"/>
  <c r="BJ141" i="25" s="1"/>
  <c r="AD141" i="25"/>
  <c r="AY141" i="25" s="1"/>
  <c r="AP141" i="25"/>
  <c r="BK141" i="25" s="1"/>
  <c r="AE141" i="25"/>
  <c r="AZ141" i="25" s="1"/>
  <c r="AQ141" i="25"/>
  <c r="BL141" i="25" s="1"/>
  <c r="AF141" i="25"/>
  <c r="BA141" i="25" s="1"/>
  <c r="AR141" i="25"/>
  <c r="BM141" i="25" s="1"/>
  <c r="AG141" i="25"/>
  <c r="BB141" i="25" s="1"/>
  <c r="AH141" i="25"/>
  <c r="BC141" i="25" s="1"/>
  <c r="AA217" i="25"/>
  <c r="AV217" i="25" s="1"/>
  <c r="AM217" i="25"/>
  <c r="BH217" i="25" s="1"/>
  <c r="AB217" i="25"/>
  <c r="AW217" i="25" s="1"/>
  <c r="AN217" i="25"/>
  <c r="BI217" i="25" s="1"/>
  <c r="AC217" i="25"/>
  <c r="AX217" i="25" s="1"/>
  <c r="AO217" i="25"/>
  <c r="BJ217" i="25" s="1"/>
  <c r="AD217" i="25"/>
  <c r="AY217" i="25" s="1"/>
  <c r="AP217" i="25"/>
  <c r="BK217" i="25" s="1"/>
  <c r="AE217" i="25"/>
  <c r="AZ217" i="25" s="1"/>
  <c r="AQ217" i="25"/>
  <c r="BL217" i="25" s="1"/>
  <c r="AF217" i="25"/>
  <c r="BA217" i="25" s="1"/>
  <c r="AR217" i="25"/>
  <c r="BM217" i="25" s="1"/>
  <c r="AG217" i="25"/>
  <c r="BB217" i="25" s="1"/>
  <c r="AH217" i="25"/>
  <c r="BC217" i="25" s="1"/>
  <c r="AI217" i="25"/>
  <c r="BD217" i="25" s="1"/>
  <c r="AJ217" i="25"/>
  <c r="BE217" i="25" s="1"/>
  <c r="Y217" i="25"/>
  <c r="AT217" i="25" s="1"/>
  <c r="AK217" i="25"/>
  <c r="BF217" i="25" s="1"/>
  <c r="Z217" i="25"/>
  <c r="AL217" i="25"/>
  <c r="BG217" i="25" s="1"/>
  <c r="Z289" i="25"/>
  <c r="AL289" i="25"/>
  <c r="BG289" i="25" s="1"/>
  <c r="AA289" i="25"/>
  <c r="AV289" i="25" s="1"/>
  <c r="AM289" i="25"/>
  <c r="BH289" i="25" s="1"/>
  <c r="AB289" i="25"/>
  <c r="AW289" i="25" s="1"/>
  <c r="AN289" i="25"/>
  <c r="BI289" i="25" s="1"/>
  <c r="AC289" i="25"/>
  <c r="AX289" i="25" s="1"/>
  <c r="AO289" i="25"/>
  <c r="BJ289" i="25" s="1"/>
  <c r="AD289" i="25"/>
  <c r="AY289" i="25" s="1"/>
  <c r="AP289" i="25"/>
  <c r="BK289" i="25" s="1"/>
  <c r="AE289" i="25"/>
  <c r="AZ289" i="25" s="1"/>
  <c r="AQ289" i="25"/>
  <c r="BL289" i="25" s="1"/>
  <c r="AF289" i="25"/>
  <c r="BA289" i="25" s="1"/>
  <c r="AR289" i="25"/>
  <c r="BM289" i="25" s="1"/>
  <c r="AG289" i="25"/>
  <c r="BB289" i="25" s="1"/>
  <c r="AH289" i="25"/>
  <c r="BC289" i="25" s="1"/>
  <c r="AI289" i="25"/>
  <c r="BD289" i="25" s="1"/>
  <c r="AJ289" i="25"/>
  <c r="BE289" i="25" s="1"/>
  <c r="Y289" i="25"/>
  <c r="AT289" i="25" s="1"/>
  <c r="AK289" i="25"/>
  <c r="BF289" i="25" s="1"/>
  <c r="Z361" i="25"/>
  <c r="AL361" i="25"/>
  <c r="BG361" i="25" s="1"/>
  <c r="AA361" i="25"/>
  <c r="AV361" i="25" s="1"/>
  <c r="AM361" i="25"/>
  <c r="BH361" i="25" s="1"/>
  <c r="AB361" i="25"/>
  <c r="AW361" i="25" s="1"/>
  <c r="AN361" i="25"/>
  <c r="BI361" i="25" s="1"/>
  <c r="AC361" i="25"/>
  <c r="AX361" i="25" s="1"/>
  <c r="AO361" i="25"/>
  <c r="BJ361" i="25" s="1"/>
  <c r="AD361" i="25"/>
  <c r="AY361" i="25" s="1"/>
  <c r="AP361" i="25"/>
  <c r="BK361" i="25" s="1"/>
  <c r="AE361" i="25"/>
  <c r="AZ361" i="25" s="1"/>
  <c r="AQ361" i="25"/>
  <c r="BL361" i="25" s="1"/>
  <c r="AF361" i="25"/>
  <c r="BA361" i="25" s="1"/>
  <c r="AR361" i="25"/>
  <c r="BM361" i="25" s="1"/>
  <c r="AG361" i="25"/>
  <c r="BB361" i="25" s="1"/>
  <c r="AH361" i="25"/>
  <c r="BC361" i="25" s="1"/>
  <c r="AI361" i="25"/>
  <c r="BD361" i="25" s="1"/>
  <c r="AJ361" i="25"/>
  <c r="BE361" i="25" s="1"/>
  <c r="Y361" i="25"/>
  <c r="AT361" i="25" s="1"/>
  <c r="AK361" i="25"/>
  <c r="BF361" i="25" s="1"/>
  <c r="AE158" i="25"/>
  <c r="AZ158" i="25" s="1"/>
  <c r="AQ158" i="25"/>
  <c r="BL158" i="25" s="1"/>
  <c r="AF158" i="25"/>
  <c r="BA158" i="25" s="1"/>
  <c r="AR158" i="25"/>
  <c r="BM158" i="25" s="1"/>
  <c r="AG158" i="25"/>
  <c r="BB158" i="25" s="1"/>
  <c r="AH158" i="25"/>
  <c r="BC158" i="25" s="1"/>
  <c r="AI158" i="25"/>
  <c r="BD158" i="25" s="1"/>
  <c r="AJ158" i="25"/>
  <c r="BE158" i="25" s="1"/>
  <c r="Y158" i="25"/>
  <c r="AT158" i="25" s="1"/>
  <c r="AK158" i="25"/>
  <c r="BF158" i="25" s="1"/>
  <c r="Z158" i="25"/>
  <c r="AL158" i="25"/>
  <c r="BG158" i="25" s="1"/>
  <c r="AA158" i="25"/>
  <c r="AV158" i="25" s="1"/>
  <c r="AM158" i="25"/>
  <c r="BH158" i="25" s="1"/>
  <c r="AB158" i="25"/>
  <c r="AW158" i="25" s="1"/>
  <c r="AN158" i="25"/>
  <c r="BI158" i="25" s="1"/>
  <c r="AC158" i="25"/>
  <c r="AX158" i="25" s="1"/>
  <c r="AO158" i="25"/>
  <c r="BJ158" i="25" s="1"/>
  <c r="AD158" i="25"/>
  <c r="AY158" i="25" s="1"/>
  <c r="AP158" i="25"/>
  <c r="BK158" i="25" s="1"/>
  <c r="AE230" i="25"/>
  <c r="AZ230" i="25" s="1"/>
  <c r="AQ230" i="25"/>
  <c r="BL230" i="25" s="1"/>
  <c r="AF230" i="25"/>
  <c r="BA230" i="25" s="1"/>
  <c r="AR230" i="25"/>
  <c r="BM230" i="25" s="1"/>
  <c r="AG230" i="25"/>
  <c r="BB230" i="25" s="1"/>
  <c r="AH230" i="25"/>
  <c r="BC230" i="25" s="1"/>
  <c r="AI230" i="25"/>
  <c r="BD230" i="25" s="1"/>
  <c r="AJ230" i="25"/>
  <c r="BE230" i="25" s="1"/>
  <c r="Y230" i="25"/>
  <c r="AT230" i="25" s="1"/>
  <c r="AK230" i="25"/>
  <c r="BF230" i="25" s="1"/>
  <c r="Z230" i="25"/>
  <c r="AL230" i="25"/>
  <c r="BG230" i="25" s="1"/>
  <c r="AA230" i="25"/>
  <c r="AV230" i="25" s="1"/>
  <c r="AM230" i="25"/>
  <c r="BH230" i="25" s="1"/>
  <c r="AB230" i="25"/>
  <c r="AW230" i="25" s="1"/>
  <c r="AN230" i="25"/>
  <c r="BI230" i="25" s="1"/>
  <c r="AC230" i="25"/>
  <c r="AX230" i="25" s="1"/>
  <c r="AO230" i="25"/>
  <c r="BJ230" i="25" s="1"/>
  <c r="AD230" i="25"/>
  <c r="AY230" i="25" s="1"/>
  <c r="AP230" i="25"/>
  <c r="BK230" i="25" s="1"/>
  <c r="AD302" i="25"/>
  <c r="AY302" i="25" s="1"/>
  <c r="AP302" i="25"/>
  <c r="BK302" i="25" s="1"/>
  <c r="AE302" i="25"/>
  <c r="AZ302" i="25" s="1"/>
  <c r="AQ302" i="25"/>
  <c r="BL302" i="25" s="1"/>
  <c r="AF302" i="25"/>
  <c r="BA302" i="25" s="1"/>
  <c r="AR302" i="25"/>
  <c r="BM302" i="25" s="1"/>
  <c r="AG302" i="25"/>
  <c r="BB302" i="25" s="1"/>
  <c r="AH302" i="25"/>
  <c r="BC302" i="25" s="1"/>
  <c r="AI302" i="25"/>
  <c r="BD302" i="25" s="1"/>
  <c r="AJ302" i="25"/>
  <c r="BE302" i="25" s="1"/>
  <c r="Y302" i="25"/>
  <c r="AT302" i="25" s="1"/>
  <c r="AK302" i="25"/>
  <c r="BF302" i="25" s="1"/>
  <c r="Z302" i="25"/>
  <c r="AL302" i="25"/>
  <c r="BG302" i="25" s="1"/>
  <c r="AA302" i="25"/>
  <c r="AV302" i="25" s="1"/>
  <c r="AM302" i="25"/>
  <c r="BH302" i="25" s="1"/>
  <c r="AB302" i="25"/>
  <c r="AW302" i="25" s="1"/>
  <c r="AN302" i="25"/>
  <c r="BI302" i="25" s="1"/>
  <c r="AC302" i="25"/>
  <c r="AX302" i="25" s="1"/>
  <c r="AO302" i="25"/>
  <c r="BJ302" i="25" s="1"/>
  <c r="AD374" i="25"/>
  <c r="AP374" i="25"/>
  <c r="AE374" i="25"/>
  <c r="AQ374" i="25"/>
  <c r="AF374" i="25"/>
  <c r="AR374" i="25"/>
  <c r="AG374" i="25"/>
  <c r="AH374" i="25"/>
  <c r="AI374" i="25"/>
  <c r="AJ374" i="25"/>
  <c r="Y374" i="25"/>
  <c r="AT374" i="25" s="1"/>
  <c r="AK374" i="25"/>
  <c r="Z374" i="25"/>
  <c r="AL374" i="25"/>
  <c r="AA374" i="25"/>
  <c r="AM374" i="25"/>
  <c r="AB374" i="25"/>
  <c r="AN374" i="25"/>
  <c r="AC374" i="25"/>
  <c r="AO374" i="25"/>
  <c r="AI165" i="25"/>
  <c r="BD165" i="25" s="1"/>
  <c r="AJ165" i="25"/>
  <c r="BE165" i="25" s="1"/>
  <c r="Y165" i="25"/>
  <c r="AT165" i="25" s="1"/>
  <c r="AK165" i="25"/>
  <c r="BF165" i="25" s="1"/>
  <c r="Z165" i="25"/>
  <c r="AL165" i="25"/>
  <c r="BG165" i="25" s="1"/>
  <c r="AA165" i="25"/>
  <c r="AV165" i="25" s="1"/>
  <c r="AM165" i="25"/>
  <c r="BH165" i="25" s="1"/>
  <c r="AB165" i="25"/>
  <c r="AW165" i="25" s="1"/>
  <c r="AN165" i="25"/>
  <c r="BI165" i="25" s="1"/>
  <c r="AC165" i="25"/>
  <c r="AX165" i="25" s="1"/>
  <c r="AO165" i="25"/>
  <c r="BJ165" i="25" s="1"/>
  <c r="AD165" i="25"/>
  <c r="AY165" i="25" s="1"/>
  <c r="AP165" i="25"/>
  <c r="BK165" i="25" s="1"/>
  <c r="AE165" i="25"/>
  <c r="AZ165" i="25" s="1"/>
  <c r="AQ165" i="25"/>
  <c r="BL165" i="25" s="1"/>
  <c r="AF165" i="25"/>
  <c r="BA165" i="25" s="1"/>
  <c r="AR165" i="25"/>
  <c r="BM165" i="25" s="1"/>
  <c r="AG165" i="25"/>
  <c r="BB165" i="25" s="1"/>
  <c r="AH165" i="25"/>
  <c r="BC165" i="25" s="1"/>
  <c r="AH255" i="25"/>
  <c r="BC255" i="25" s="1"/>
  <c r="AI255" i="25"/>
  <c r="BD255" i="25" s="1"/>
  <c r="AJ255" i="25"/>
  <c r="BE255" i="25" s="1"/>
  <c r="Y255" i="25"/>
  <c r="AT255" i="25" s="1"/>
  <c r="AK255" i="25"/>
  <c r="BF255" i="25" s="1"/>
  <c r="Z255" i="25"/>
  <c r="AL255" i="25"/>
  <c r="BG255" i="25" s="1"/>
  <c r="AA255" i="25"/>
  <c r="AV255" i="25" s="1"/>
  <c r="AM255" i="25"/>
  <c r="BH255" i="25" s="1"/>
  <c r="AB255" i="25"/>
  <c r="AW255" i="25" s="1"/>
  <c r="AN255" i="25"/>
  <c r="BI255" i="25" s="1"/>
  <c r="AC255" i="25"/>
  <c r="AX255" i="25" s="1"/>
  <c r="AO255" i="25"/>
  <c r="BJ255" i="25" s="1"/>
  <c r="AD255" i="25"/>
  <c r="AY255" i="25" s="1"/>
  <c r="AP255" i="25"/>
  <c r="BK255" i="25" s="1"/>
  <c r="AE255" i="25"/>
  <c r="AZ255" i="25" s="1"/>
  <c r="AQ255" i="25"/>
  <c r="BL255" i="25" s="1"/>
  <c r="AF255" i="25"/>
  <c r="BA255" i="25" s="1"/>
  <c r="AR255" i="25"/>
  <c r="BM255" i="25" s="1"/>
  <c r="AG255" i="25"/>
  <c r="BB255" i="25" s="1"/>
  <c r="AH327" i="25"/>
  <c r="BC327" i="25" s="1"/>
  <c r="AI327" i="25"/>
  <c r="BD327" i="25" s="1"/>
  <c r="AJ327" i="25"/>
  <c r="BE327" i="25" s="1"/>
  <c r="Y327" i="25"/>
  <c r="AT327" i="25" s="1"/>
  <c r="AK327" i="25"/>
  <c r="BF327" i="25" s="1"/>
  <c r="Z327" i="25"/>
  <c r="AL327" i="25"/>
  <c r="BG327" i="25" s="1"/>
  <c r="AA327" i="25"/>
  <c r="AV327" i="25" s="1"/>
  <c r="AM327" i="25"/>
  <c r="BH327" i="25" s="1"/>
  <c r="AB327" i="25"/>
  <c r="AW327" i="25" s="1"/>
  <c r="AN327" i="25"/>
  <c r="BI327" i="25" s="1"/>
  <c r="AC327" i="25"/>
  <c r="AX327" i="25" s="1"/>
  <c r="AO327" i="25"/>
  <c r="BJ327" i="25" s="1"/>
  <c r="AD327" i="25"/>
  <c r="AY327" i="25" s="1"/>
  <c r="AP327" i="25"/>
  <c r="BK327" i="25" s="1"/>
  <c r="AE327" i="25"/>
  <c r="AZ327" i="25" s="1"/>
  <c r="AQ327" i="25"/>
  <c r="BL327" i="25" s="1"/>
  <c r="AF327" i="25"/>
  <c r="BA327" i="25" s="1"/>
  <c r="AR327" i="25"/>
  <c r="BM327" i="25" s="1"/>
  <c r="AG327" i="25"/>
  <c r="BB327" i="25" s="1"/>
  <c r="AC215" i="26"/>
  <c r="AX215" i="26" s="1"/>
  <c r="AO215" i="26"/>
  <c r="BJ215" i="26" s="1"/>
  <c r="AD215" i="26"/>
  <c r="AY215" i="26" s="1"/>
  <c r="AP215" i="26"/>
  <c r="BK215" i="26" s="1"/>
  <c r="AE215" i="26"/>
  <c r="AZ215" i="26" s="1"/>
  <c r="AQ215" i="26"/>
  <c r="BL215" i="26" s="1"/>
  <c r="AF215" i="26"/>
  <c r="BA215" i="26" s="1"/>
  <c r="AR215" i="26"/>
  <c r="BM215" i="26" s="1"/>
  <c r="AG215" i="26"/>
  <c r="BB215" i="26" s="1"/>
  <c r="AH215" i="26"/>
  <c r="BC215" i="26" s="1"/>
  <c r="AI215" i="26"/>
  <c r="BD215" i="26" s="1"/>
  <c r="AJ215" i="26"/>
  <c r="BE215" i="26" s="1"/>
  <c r="Y215" i="26"/>
  <c r="AT215" i="26" s="1"/>
  <c r="AK215" i="26"/>
  <c r="BF215" i="26" s="1"/>
  <c r="Z215" i="26"/>
  <c r="AL215" i="26"/>
  <c r="BG215" i="26" s="1"/>
  <c r="AA215" i="26"/>
  <c r="AV215" i="26" s="1"/>
  <c r="AM215" i="26"/>
  <c r="BH215" i="26" s="1"/>
  <c r="AB215" i="26"/>
  <c r="AW215" i="26" s="1"/>
  <c r="AN215" i="26"/>
  <c r="BI215" i="26" s="1"/>
  <c r="AC287" i="26"/>
  <c r="AX287" i="26" s="1"/>
  <c r="AO287" i="26"/>
  <c r="BJ287" i="26" s="1"/>
  <c r="AD287" i="26"/>
  <c r="AY287" i="26" s="1"/>
  <c r="AP287" i="26"/>
  <c r="BK287" i="26" s="1"/>
  <c r="AE287" i="26"/>
  <c r="AZ287" i="26" s="1"/>
  <c r="AQ287" i="26"/>
  <c r="BL287" i="26" s="1"/>
  <c r="AF287" i="26"/>
  <c r="BA287" i="26" s="1"/>
  <c r="AR287" i="26"/>
  <c r="BM287" i="26" s="1"/>
  <c r="AG287" i="26"/>
  <c r="BB287" i="26" s="1"/>
  <c r="AH287" i="26"/>
  <c r="BC287" i="26" s="1"/>
  <c r="AI287" i="26"/>
  <c r="BD287" i="26" s="1"/>
  <c r="AJ287" i="26"/>
  <c r="BE287" i="26" s="1"/>
  <c r="Y287" i="26"/>
  <c r="AT287" i="26" s="1"/>
  <c r="AK287" i="26"/>
  <c r="BF287" i="26" s="1"/>
  <c r="Z287" i="26"/>
  <c r="AL287" i="26"/>
  <c r="BG287" i="26" s="1"/>
  <c r="AA287" i="26"/>
  <c r="AV287" i="26" s="1"/>
  <c r="AM287" i="26"/>
  <c r="BH287" i="26" s="1"/>
  <c r="AB287" i="26"/>
  <c r="AW287" i="26" s="1"/>
  <c r="AN287" i="26"/>
  <c r="BI287" i="26" s="1"/>
  <c r="AD359" i="26"/>
  <c r="AY359" i="26" s="1"/>
  <c r="AP359" i="26"/>
  <c r="BK359" i="26" s="1"/>
  <c r="AE359" i="26"/>
  <c r="AZ359" i="26" s="1"/>
  <c r="AQ359" i="26"/>
  <c r="BL359" i="26" s="1"/>
  <c r="AF359" i="26"/>
  <c r="BA359" i="26" s="1"/>
  <c r="AR359" i="26"/>
  <c r="BM359" i="26" s="1"/>
  <c r="AG359" i="26"/>
  <c r="BB359" i="26" s="1"/>
  <c r="AH359" i="26"/>
  <c r="BC359" i="26" s="1"/>
  <c r="AI359" i="26"/>
  <c r="BD359" i="26" s="1"/>
  <c r="AJ359" i="26"/>
  <c r="BE359" i="26" s="1"/>
  <c r="Y359" i="26"/>
  <c r="AT359" i="26" s="1"/>
  <c r="AK359" i="26"/>
  <c r="BF359" i="26" s="1"/>
  <c r="Z359" i="26"/>
  <c r="AL359" i="26"/>
  <c r="BG359" i="26" s="1"/>
  <c r="AA359" i="26"/>
  <c r="AV359" i="26" s="1"/>
  <c r="AM359" i="26"/>
  <c r="BH359" i="26" s="1"/>
  <c r="AB359" i="26"/>
  <c r="AW359" i="26" s="1"/>
  <c r="AN359" i="26"/>
  <c r="BI359" i="26" s="1"/>
  <c r="AC359" i="26"/>
  <c r="AX359" i="26" s="1"/>
  <c r="AO359" i="26"/>
  <c r="BJ359" i="26" s="1"/>
  <c r="AG180" i="26"/>
  <c r="BB180" i="26" s="1"/>
  <c r="AH180" i="26"/>
  <c r="BC180" i="26" s="1"/>
  <c r="AI180" i="26"/>
  <c r="BD180" i="26" s="1"/>
  <c r="AJ180" i="26"/>
  <c r="BE180" i="26" s="1"/>
  <c r="Y180" i="26"/>
  <c r="AT180" i="26" s="1"/>
  <c r="AK180" i="26"/>
  <c r="BF180" i="26" s="1"/>
  <c r="Z180" i="26"/>
  <c r="AL180" i="26"/>
  <c r="BG180" i="26" s="1"/>
  <c r="AA180" i="26"/>
  <c r="AV180" i="26" s="1"/>
  <c r="AM180" i="26"/>
  <c r="BH180" i="26" s="1"/>
  <c r="AB180" i="26"/>
  <c r="AW180" i="26" s="1"/>
  <c r="AN180" i="26"/>
  <c r="BI180" i="26" s="1"/>
  <c r="AC180" i="26"/>
  <c r="AX180" i="26" s="1"/>
  <c r="AO180" i="26"/>
  <c r="BJ180" i="26" s="1"/>
  <c r="AD180" i="26"/>
  <c r="AY180" i="26" s="1"/>
  <c r="AP180" i="26"/>
  <c r="BK180" i="26" s="1"/>
  <c r="AE180" i="26"/>
  <c r="AZ180" i="26" s="1"/>
  <c r="AQ180" i="26"/>
  <c r="BL180" i="26" s="1"/>
  <c r="AR180" i="26"/>
  <c r="BM180" i="26" s="1"/>
  <c r="AF180" i="26"/>
  <c r="BA180" i="26" s="1"/>
  <c r="AG252" i="26"/>
  <c r="BB252" i="26" s="1"/>
  <c r="AH252" i="26"/>
  <c r="BC252" i="26" s="1"/>
  <c r="AI252" i="26"/>
  <c r="BD252" i="26" s="1"/>
  <c r="AJ252" i="26"/>
  <c r="BE252" i="26" s="1"/>
  <c r="Y252" i="26"/>
  <c r="AT252" i="26" s="1"/>
  <c r="AK252" i="26"/>
  <c r="BF252" i="26" s="1"/>
  <c r="Z252" i="26"/>
  <c r="AL252" i="26"/>
  <c r="BG252" i="26" s="1"/>
  <c r="AA252" i="26"/>
  <c r="AV252" i="26" s="1"/>
  <c r="AM252" i="26"/>
  <c r="BH252" i="26" s="1"/>
  <c r="AB252" i="26"/>
  <c r="AW252" i="26" s="1"/>
  <c r="AN252" i="26"/>
  <c r="BI252" i="26" s="1"/>
  <c r="AC252" i="26"/>
  <c r="AX252" i="26" s="1"/>
  <c r="AO252" i="26"/>
  <c r="BJ252" i="26" s="1"/>
  <c r="AD252" i="26"/>
  <c r="AY252" i="26" s="1"/>
  <c r="AP252" i="26"/>
  <c r="BK252" i="26" s="1"/>
  <c r="AE252" i="26"/>
  <c r="AZ252" i="26" s="1"/>
  <c r="AQ252" i="26"/>
  <c r="BL252" i="26" s="1"/>
  <c r="AR252" i="26"/>
  <c r="BM252" i="26" s="1"/>
  <c r="AF252" i="26"/>
  <c r="BA252" i="26" s="1"/>
  <c r="AH324" i="26"/>
  <c r="BC324" i="26" s="1"/>
  <c r="AI324" i="26"/>
  <c r="BD324" i="26" s="1"/>
  <c r="AJ324" i="26"/>
  <c r="BE324" i="26" s="1"/>
  <c r="Y324" i="26"/>
  <c r="AT324" i="26" s="1"/>
  <c r="AK324" i="26"/>
  <c r="BF324" i="26" s="1"/>
  <c r="Z324" i="26"/>
  <c r="AL324" i="26"/>
  <c r="BG324" i="26" s="1"/>
  <c r="AA324" i="26"/>
  <c r="AV324" i="26" s="1"/>
  <c r="AM324" i="26"/>
  <c r="BH324" i="26" s="1"/>
  <c r="AB324" i="26"/>
  <c r="AW324" i="26" s="1"/>
  <c r="AN324" i="26"/>
  <c r="BI324" i="26" s="1"/>
  <c r="AC324" i="26"/>
  <c r="AX324" i="26" s="1"/>
  <c r="AO324" i="26"/>
  <c r="BJ324" i="26" s="1"/>
  <c r="AD324" i="26"/>
  <c r="AY324" i="26" s="1"/>
  <c r="AP324" i="26"/>
  <c r="BK324" i="26" s="1"/>
  <c r="AE324" i="26"/>
  <c r="AZ324" i="26" s="1"/>
  <c r="AQ324" i="26"/>
  <c r="BL324" i="26" s="1"/>
  <c r="AF324" i="26"/>
  <c r="BA324" i="26" s="1"/>
  <c r="AR324" i="26"/>
  <c r="BM324" i="26" s="1"/>
  <c r="AG324" i="26"/>
  <c r="BB324" i="26" s="1"/>
  <c r="Y217" i="26"/>
  <c r="AT217" i="26" s="1"/>
  <c r="AK217" i="26"/>
  <c r="BF217" i="26" s="1"/>
  <c r="Z217" i="26"/>
  <c r="AL217" i="26"/>
  <c r="BG217" i="26" s="1"/>
  <c r="AA217" i="26"/>
  <c r="AV217" i="26" s="1"/>
  <c r="AM217" i="26"/>
  <c r="BH217" i="26" s="1"/>
  <c r="AB217" i="26"/>
  <c r="AW217" i="26" s="1"/>
  <c r="AN217" i="26"/>
  <c r="BI217" i="26" s="1"/>
  <c r="AC217" i="26"/>
  <c r="AX217" i="26" s="1"/>
  <c r="AO217" i="26"/>
  <c r="BJ217" i="26" s="1"/>
  <c r="AD217" i="26"/>
  <c r="AY217" i="26" s="1"/>
  <c r="AP217" i="26"/>
  <c r="BK217" i="26" s="1"/>
  <c r="AE217" i="26"/>
  <c r="AZ217" i="26" s="1"/>
  <c r="AQ217" i="26"/>
  <c r="BL217" i="26" s="1"/>
  <c r="AF217" i="26"/>
  <c r="BA217" i="26" s="1"/>
  <c r="AR217" i="26"/>
  <c r="BM217" i="26" s="1"/>
  <c r="AG217" i="26"/>
  <c r="BB217" i="26" s="1"/>
  <c r="AH217" i="26"/>
  <c r="BC217" i="26" s="1"/>
  <c r="AI217" i="26"/>
  <c r="BD217" i="26" s="1"/>
  <c r="AJ217" i="26"/>
  <c r="BE217" i="26" s="1"/>
  <c r="Y289" i="26"/>
  <c r="AT289" i="26" s="1"/>
  <c r="AK289" i="26"/>
  <c r="BF289" i="26" s="1"/>
  <c r="Z289" i="26"/>
  <c r="AL289" i="26"/>
  <c r="BG289" i="26" s="1"/>
  <c r="AA289" i="26"/>
  <c r="AV289" i="26" s="1"/>
  <c r="AM289" i="26"/>
  <c r="BH289" i="26" s="1"/>
  <c r="AB289" i="26"/>
  <c r="AW289" i="26" s="1"/>
  <c r="AN289" i="26"/>
  <c r="BI289" i="26" s="1"/>
  <c r="AC289" i="26"/>
  <c r="AX289" i="26" s="1"/>
  <c r="AO289" i="26"/>
  <c r="BJ289" i="26" s="1"/>
  <c r="AD289" i="26"/>
  <c r="AY289" i="26" s="1"/>
  <c r="AP289" i="26"/>
  <c r="BK289" i="26" s="1"/>
  <c r="AE289" i="26"/>
  <c r="AZ289" i="26" s="1"/>
  <c r="AQ289" i="26"/>
  <c r="BL289" i="26" s="1"/>
  <c r="AF289" i="26"/>
  <c r="BA289" i="26" s="1"/>
  <c r="AR289" i="26"/>
  <c r="BM289" i="26" s="1"/>
  <c r="AG289" i="26"/>
  <c r="BB289" i="26" s="1"/>
  <c r="AH289" i="26"/>
  <c r="BC289" i="26" s="1"/>
  <c r="AI289" i="26"/>
  <c r="BD289" i="26" s="1"/>
  <c r="AJ289" i="26"/>
  <c r="BE289" i="26" s="1"/>
  <c r="Z361" i="26"/>
  <c r="AL361" i="26"/>
  <c r="BG361" i="26" s="1"/>
  <c r="AA361" i="26"/>
  <c r="AV361" i="26" s="1"/>
  <c r="AM361" i="26"/>
  <c r="BH361" i="26" s="1"/>
  <c r="AB361" i="26"/>
  <c r="AW361" i="26" s="1"/>
  <c r="AN361" i="26"/>
  <c r="BI361" i="26" s="1"/>
  <c r="AC361" i="26"/>
  <c r="AX361" i="26" s="1"/>
  <c r="AO361" i="26"/>
  <c r="BJ361" i="26" s="1"/>
  <c r="AD361" i="26"/>
  <c r="AY361" i="26" s="1"/>
  <c r="AP361" i="26"/>
  <c r="BK361" i="26" s="1"/>
  <c r="AE361" i="26"/>
  <c r="AZ361" i="26" s="1"/>
  <c r="AQ361" i="26"/>
  <c r="BL361" i="26" s="1"/>
  <c r="AF361" i="26"/>
  <c r="BA361" i="26" s="1"/>
  <c r="AR361" i="26"/>
  <c r="BM361" i="26" s="1"/>
  <c r="AG361" i="26"/>
  <c r="BB361" i="26" s="1"/>
  <c r="AH361" i="26"/>
  <c r="BC361" i="26" s="1"/>
  <c r="AI361" i="26"/>
  <c r="BD361" i="26" s="1"/>
  <c r="AJ361" i="26"/>
  <c r="BE361" i="26" s="1"/>
  <c r="Y361" i="26"/>
  <c r="AT361" i="26" s="1"/>
  <c r="AK361" i="26"/>
  <c r="BF361" i="26" s="1"/>
  <c r="AC188" i="26"/>
  <c r="AX188" i="26" s="1"/>
  <c r="AO188" i="26"/>
  <c r="BJ188" i="26" s="1"/>
  <c r="AD188" i="26"/>
  <c r="AY188" i="26" s="1"/>
  <c r="AP188" i="26"/>
  <c r="BK188" i="26" s="1"/>
  <c r="AE188" i="26"/>
  <c r="AZ188" i="26" s="1"/>
  <c r="AQ188" i="26"/>
  <c r="BL188" i="26" s="1"/>
  <c r="AF188" i="26"/>
  <c r="BA188" i="26" s="1"/>
  <c r="AR188" i="26"/>
  <c r="BM188" i="26" s="1"/>
  <c r="AG188" i="26"/>
  <c r="BB188" i="26" s="1"/>
  <c r="AH188" i="26"/>
  <c r="BC188" i="26" s="1"/>
  <c r="AI188" i="26"/>
  <c r="BD188" i="26" s="1"/>
  <c r="AJ188" i="26"/>
  <c r="BE188" i="26" s="1"/>
  <c r="Y188" i="26"/>
  <c r="AT188" i="26" s="1"/>
  <c r="AK188" i="26"/>
  <c r="BF188" i="26" s="1"/>
  <c r="Z188" i="26"/>
  <c r="AL188" i="26"/>
  <c r="BG188" i="26" s="1"/>
  <c r="AA188" i="26"/>
  <c r="AV188" i="26" s="1"/>
  <c r="AM188" i="26"/>
  <c r="BH188" i="26" s="1"/>
  <c r="AB188" i="26"/>
  <c r="AW188" i="26" s="1"/>
  <c r="AN188" i="26"/>
  <c r="BI188" i="26" s="1"/>
  <c r="AC260" i="26"/>
  <c r="AX260" i="26" s="1"/>
  <c r="AO260" i="26"/>
  <c r="BJ260" i="26" s="1"/>
  <c r="AD260" i="26"/>
  <c r="AY260" i="26" s="1"/>
  <c r="AP260" i="26"/>
  <c r="BK260" i="26" s="1"/>
  <c r="AE260" i="26"/>
  <c r="AZ260" i="26" s="1"/>
  <c r="AQ260" i="26"/>
  <c r="BL260" i="26" s="1"/>
  <c r="AF260" i="26"/>
  <c r="BA260" i="26" s="1"/>
  <c r="AR260" i="26"/>
  <c r="BM260" i="26" s="1"/>
  <c r="AG260" i="26"/>
  <c r="BB260" i="26" s="1"/>
  <c r="AH260" i="26"/>
  <c r="BC260" i="26" s="1"/>
  <c r="AI260" i="26"/>
  <c r="BD260" i="26" s="1"/>
  <c r="AJ260" i="26"/>
  <c r="BE260" i="26" s="1"/>
  <c r="Y260" i="26"/>
  <c r="AT260" i="26" s="1"/>
  <c r="AK260" i="26"/>
  <c r="BF260" i="26" s="1"/>
  <c r="Z260" i="26"/>
  <c r="AL260" i="26"/>
  <c r="BG260" i="26" s="1"/>
  <c r="AA260" i="26"/>
  <c r="AV260" i="26" s="1"/>
  <c r="AM260" i="26"/>
  <c r="BH260" i="26" s="1"/>
  <c r="AB260" i="26"/>
  <c r="AW260" i="26" s="1"/>
  <c r="AN260" i="26"/>
  <c r="BI260" i="26" s="1"/>
  <c r="AD332" i="26"/>
  <c r="AY332" i="26" s="1"/>
  <c r="AP332" i="26"/>
  <c r="BK332" i="26" s="1"/>
  <c r="AE332" i="26"/>
  <c r="AZ332" i="26" s="1"/>
  <c r="AQ332" i="26"/>
  <c r="BL332" i="26" s="1"/>
  <c r="AF332" i="26"/>
  <c r="BA332" i="26" s="1"/>
  <c r="AR332" i="26"/>
  <c r="BM332" i="26" s="1"/>
  <c r="AG332" i="26"/>
  <c r="BB332" i="26" s="1"/>
  <c r="AH332" i="26"/>
  <c r="BC332" i="26" s="1"/>
  <c r="AI332" i="26"/>
  <c r="BD332" i="26" s="1"/>
  <c r="AJ332" i="26"/>
  <c r="BE332" i="26" s="1"/>
  <c r="Y332" i="26"/>
  <c r="AT332" i="26" s="1"/>
  <c r="AK332" i="26"/>
  <c r="BF332" i="26" s="1"/>
  <c r="Z332" i="26"/>
  <c r="AL332" i="26"/>
  <c r="BG332" i="26" s="1"/>
  <c r="AA332" i="26"/>
  <c r="AV332" i="26" s="1"/>
  <c r="AM332" i="26"/>
  <c r="BH332" i="26" s="1"/>
  <c r="AB332" i="26"/>
  <c r="AW332" i="26" s="1"/>
  <c r="AN332" i="26"/>
  <c r="BI332" i="26" s="1"/>
  <c r="AC332" i="26"/>
  <c r="AX332" i="26" s="1"/>
  <c r="AO332" i="26"/>
  <c r="BJ332" i="26" s="1"/>
  <c r="AG231" i="26"/>
  <c r="BB231" i="26" s="1"/>
  <c r="AH231" i="26"/>
  <c r="BC231" i="26" s="1"/>
  <c r="AI231" i="26"/>
  <c r="BD231" i="26" s="1"/>
  <c r="AJ231" i="26"/>
  <c r="BE231" i="26" s="1"/>
  <c r="Y231" i="26"/>
  <c r="AT231" i="26" s="1"/>
  <c r="AK231" i="26"/>
  <c r="BF231" i="26" s="1"/>
  <c r="Z231" i="26"/>
  <c r="AL231" i="26"/>
  <c r="BG231" i="26" s="1"/>
  <c r="AA231" i="26"/>
  <c r="AV231" i="26" s="1"/>
  <c r="AM231" i="26"/>
  <c r="BH231" i="26" s="1"/>
  <c r="AB231" i="26"/>
  <c r="AW231" i="26" s="1"/>
  <c r="AN231" i="26"/>
  <c r="BI231" i="26" s="1"/>
  <c r="AC231" i="26"/>
  <c r="AX231" i="26" s="1"/>
  <c r="AO231" i="26"/>
  <c r="BJ231" i="26" s="1"/>
  <c r="AD231" i="26"/>
  <c r="AY231" i="26" s="1"/>
  <c r="AP231" i="26"/>
  <c r="BK231" i="26" s="1"/>
  <c r="AE231" i="26"/>
  <c r="AZ231" i="26" s="1"/>
  <c r="AQ231" i="26"/>
  <c r="BL231" i="26" s="1"/>
  <c r="AF231" i="26"/>
  <c r="BA231" i="26" s="1"/>
  <c r="AR231" i="26"/>
  <c r="BM231" i="26" s="1"/>
  <c r="AG303" i="26"/>
  <c r="BB303" i="26" s="1"/>
  <c r="AH303" i="26"/>
  <c r="BC303" i="26" s="1"/>
  <c r="AI303" i="26"/>
  <c r="BD303" i="26" s="1"/>
  <c r="AJ303" i="26"/>
  <c r="BE303" i="26" s="1"/>
  <c r="Y303" i="26"/>
  <c r="AT303" i="26" s="1"/>
  <c r="AK303" i="26"/>
  <c r="BF303" i="26" s="1"/>
  <c r="Z303" i="26"/>
  <c r="AL303" i="26"/>
  <c r="BG303" i="26" s="1"/>
  <c r="AA303" i="26"/>
  <c r="AV303" i="26" s="1"/>
  <c r="AM303" i="26"/>
  <c r="BH303" i="26" s="1"/>
  <c r="AB303" i="26"/>
  <c r="AW303" i="26" s="1"/>
  <c r="AN303" i="26"/>
  <c r="BI303" i="26" s="1"/>
  <c r="AC303" i="26"/>
  <c r="AX303" i="26" s="1"/>
  <c r="AO303" i="26"/>
  <c r="BJ303" i="26" s="1"/>
  <c r="AD303" i="26"/>
  <c r="AY303" i="26" s="1"/>
  <c r="AP303" i="26"/>
  <c r="BK303" i="26" s="1"/>
  <c r="AE303" i="26"/>
  <c r="AZ303" i="26" s="1"/>
  <c r="AQ303" i="26"/>
  <c r="BL303" i="26" s="1"/>
  <c r="AF303" i="26"/>
  <c r="BA303" i="26" s="1"/>
  <c r="AR303" i="26"/>
  <c r="BM303" i="26" s="1"/>
  <c r="AH375" i="26"/>
  <c r="AI375" i="26"/>
  <c r="AJ375" i="26"/>
  <c r="Y375" i="26"/>
  <c r="AT375" i="26" s="1"/>
  <c r="AK375" i="26"/>
  <c r="Z375" i="26"/>
  <c r="AL375" i="26"/>
  <c r="AA375" i="26"/>
  <c r="AM375" i="26"/>
  <c r="AB375" i="26"/>
  <c r="AN375" i="26"/>
  <c r="AC375" i="26"/>
  <c r="AO375" i="26"/>
  <c r="AD375" i="26"/>
  <c r="AP375" i="26"/>
  <c r="AE375" i="26"/>
  <c r="AQ375" i="26"/>
  <c r="AF375" i="26"/>
  <c r="AR375" i="26"/>
  <c r="AG375" i="26"/>
  <c r="Y202" i="26"/>
  <c r="AT202" i="26" s="1"/>
  <c r="AK202" i="26"/>
  <c r="BF202" i="26" s="1"/>
  <c r="Z202" i="26"/>
  <c r="AL202" i="26"/>
  <c r="BG202" i="26" s="1"/>
  <c r="AA202" i="26"/>
  <c r="AV202" i="26" s="1"/>
  <c r="AM202" i="26"/>
  <c r="BH202" i="26" s="1"/>
  <c r="AB202" i="26"/>
  <c r="AW202" i="26" s="1"/>
  <c r="AN202" i="26"/>
  <c r="BI202" i="26" s="1"/>
  <c r="AC202" i="26"/>
  <c r="AX202" i="26" s="1"/>
  <c r="AO202" i="26"/>
  <c r="BJ202" i="26" s="1"/>
  <c r="AD202" i="26"/>
  <c r="AY202" i="26" s="1"/>
  <c r="AP202" i="26"/>
  <c r="BK202" i="26" s="1"/>
  <c r="AE202" i="26"/>
  <c r="AZ202" i="26" s="1"/>
  <c r="AQ202" i="26"/>
  <c r="BL202" i="26" s="1"/>
  <c r="AF202" i="26"/>
  <c r="BA202" i="26" s="1"/>
  <c r="AR202" i="26"/>
  <c r="BM202" i="26" s="1"/>
  <c r="AG202" i="26"/>
  <c r="BB202" i="26" s="1"/>
  <c r="AH202" i="26"/>
  <c r="BC202" i="26" s="1"/>
  <c r="AI202" i="26"/>
  <c r="BD202" i="26" s="1"/>
  <c r="AJ202" i="26"/>
  <c r="BE202" i="26" s="1"/>
  <c r="Y274" i="26"/>
  <c r="AT274" i="26" s="1"/>
  <c r="AK274" i="26"/>
  <c r="BF274" i="26" s="1"/>
  <c r="Z274" i="26"/>
  <c r="AL274" i="26"/>
  <c r="BG274" i="26" s="1"/>
  <c r="AA274" i="26"/>
  <c r="AV274" i="26" s="1"/>
  <c r="AM274" i="26"/>
  <c r="BH274" i="26" s="1"/>
  <c r="AB274" i="26"/>
  <c r="AW274" i="26" s="1"/>
  <c r="AN274" i="26"/>
  <c r="BI274" i="26" s="1"/>
  <c r="AC274" i="26"/>
  <c r="AX274" i="26" s="1"/>
  <c r="AO274" i="26"/>
  <c r="BJ274" i="26" s="1"/>
  <c r="AD274" i="26"/>
  <c r="AY274" i="26" s="1"/>
  <c r="AP274" i="26"/>
  <c r="BK274" i="26" s="1"/>
  <c r="AE274" i="26"/>
  <c r="AZ274" i="26" s="1"/>
  <c r="AQ274" i="26"/>
  <c r="BL274" i="26" s="1"/>
  <c r="AF274" i="26"/>
  <c r="BA274" i="26" s="1"/>
  <c r="AR274" i="26"/>
  <c r="BM274" i="26" s="1"/>
  <c r="AG274" i="26"/>
  <c r="BB274" i="26" s="1"/>
  <c r="AH274" i="26"/>
  <c r="BC274" i="26" s="1"/>
  <c r="AI274" i="26"/>
  <c r="BD274" i="26" s="1"/>
  <c r="AJ274" i="26"/>
  <c r="BE274" i="26" s="1"/>
  <c r="Z346" i="26"/>
  <c r="AL346" i="26"/>
  <c r="BG346" i="26" s="1"/>
  <c r="AA346" i="26"/>
  <c r="AV346" i="26" s="1"/>
  <c r="AM346" i="26"/>
  <c r="BH346" i="26" s="1"/>
  <c r="AB346" i="26"/>
  <c r="AW346" i="26" s="1"/>
  <c r="AN346" i="26"/>
  <c r="BI346" i="26" s="1"/>
  <c r="AC346" i="26"/>
  <c r="AX346" i="26" s="1"/>
  <c r="AO346" i="26"/>
  <c r="BJ346" i="26" s="1"/>
  <c r="AD346" i="26"/>
  <c r="AY346" i="26" s="1"/>
  <c r="AP346" i="26"/>
  <c r="BK346" i="26" s="1"/>
  <c r="AE346" i="26"/>
  <c r="AZ346" i="26" s="1"/>
  <c r="AQ346" i="26"/>
  <c r="BL346" i="26" s="1"/>
  <c r="AF346" i="26"/>
  <c r="BA346" i="26" s="1"/>
  <c r="AR346" i="26"/>
  <c r="BM346" i="26" s="1"/>
  <c r="AG346" i="26"/>
  <c r="BB346" i="26" s="1"/>
  <c r="AH346" i="26"/>
  <c r="BC346" i="26" s="1"/>
  <c r="AI346" i="26"/>
  <c r="BD346" i="26" s="1"/>
  <c r="AJ346" i="26"/>
  <c r="BE346" i="26" s="1"/>
  <c r="AK346" i="26"/>
  <c r="BF346" i="26" s="1"/>
  <c r="Y346" i="26"/>
  <c r="AT346" i="26" s="1"/>
  <c r="AD208" i="27"/>
  <c r="AY208" i="27" s="1"/>
  <c r="AP208" i="27"/>
  <c r="BK208" i="27" s="1"/>
  <c r="AE208" i="27"/>
  <c r="AZ208" i="27" s="1"/>
  <c r="AQ208" i="27"/>
  <c r="BL208" i="27" s="1"/>
  <c r="AF208" i="27"/>
  <c r="BA208" i="27" s="1"/>
  <c r="AR208" i="27"/>
  <c r="BM208" i="27" s="1"/>
  <c r="AG208" i="27"/>
  <c r="BB208" i="27" s="1"/>
  <c r="AH208" i="27"/>
  <c r="BC208" i="27" s="1"/>
  <c r="AI208" i="27"/>
  <c r="BD208" i="27" s="1"/>
  <c r="AJ208" i="27"/>
  <c r="BE208" i="27" s="1"/>
  <c r="AK208" i="27"/>
  <c r="BF208" i="27" s="1"/>
  <c r="Z208" i="27"/>
  <c r="AL208" i="27"/>
  <c r="BG208" i="27" s="1"/>
  <c r="AA208" i="27"/>
  <c r="AV208" i="27" s="1"/>
  <c r="AM208" i="27"/>
  <c r="BH208" i="27" s="1"/>
  <c r="AB208" i="27"/>
  <c r="AW208" i="27" s="1"/>
  <c r="AN208" i="27"/>
  <c r="BI208" i="27" s="1"/>
  <c r="Y208" i="27"/>
  <c r="AT208" i="27" s="1"/>
  <c r="AC208" i="27"/>
  <c r="AX208" i="27" s="1"/>
  <c r="AO208" i="27"/>
  <c r="BJ208" i="27" s="1"/>
  <c r="AF278" i="27"/>
  <c r="BA278" i="27" s="1"/>
  <c r="AR278" i="27"/>
  <c r="BM278" i="27" s="1"/>
  <c r="AG278" i="27"/>
  <c r="BB278" i="27" s="1"/>
  <c r="AH278" i="27"/>
  <c r="BC278" i="27" s="1"/>
  <c r="AI278" i="27"/>
  <c r="BD278" i="27" s="1"/>
  <c r="AJ278" i="27"/>
  <c r="BE278" i="27" s="1"/>
  <c r="AK278" i="27"/>
  <c r="BF278" i="27" s="1"/>
  <c r="Z278" i="27"/>
  <c r="AL278" i="27"/>
  <c r="BG278" i="27" s="1"/>
  <c r="AA278" i="27"/>
  <c r="AV278" i="27" s="1"/>
  <c r="AM278" i="27"/>
  <c r="BH278" i="27" s="1"/>
  <c r="AB278" i="27"/>
  <c r="AW278" i="27" s="1"/>
  <c r="AN278" i="27"/>
  <c r="BI278" i="27" s="1"/>
  <c r="AC278" i="27"/>
  <c r="AX278" i="27" s="1"/>
  <c r="AO278" i="27"/>
  <c r="BJ278" i="27" s="1"/>
  <c r="AD278" i="27"/>
  <c r="AY278" i="27" s="1"/>
  <c r="AP278" i="27"/>
  <c r="BK278" i="27" s="1"/>
  <c r="AE278" i="27"/>
  <c r="AZ278" i="27" s="1"/>
  <c r="AQ278" i="27"/>
  <c r="BL278" i="27" s="1"/>
  <c r="Y278" i="27"/>
  <c r="AT278" i="27" s="1"/>
  <c r="AD350" i="27"/>
  <c r="AY350" i="27" s="1"/>
  <c r="AP350" i="27"/>
  <c r="BK350" i="27" s="1"/>
  <c r="AE350" i="27"/>
  <c r="AZ350" i="27" s="1"/>
  <c r="AQ350" i="27"/>
  <c r="BL350" i="27" s="1"/>
  <c r="AG350" i="27"/>
  <c r="BB350" i="27" s="1"/>
  <c r="AH350" i="27"/>
  <c r="BC350" i="27" s="1"/>
  <c r="AI350" i="27"/>
  <c r="BD350" i="27" s="1"/>
  <c r="AJ350" i="27"/>
  <c r="BE350" i="27" s="1"/>
  <c r="AK350" i="27"/>
  <c r="BF350" i="27" s="1"/>
  <c r="AA350" i="27"/>
  <c r="AV350" i="27" s="1"/>
  <c r="AM350" i="27"/>
  <c r="BH350" i="27" s="1"/>
  <c r="AB350" i="27"/>
  <c r="AW350" i="27" s="1"/>
  <c r="AN350" i="27"/>
  <c r="BI350" i="27" s="1"/>
  <c r="AR350" i="27"/>
  <c r="BM350" i="27" s="1"/>
  <c r="Y350" i="27"/>
  <c r="AT350" i="27" s="1"/>
  <c r="Z350" i="27"/>
  <c r="AC350" i="27"/>
  <c r="AX350" i="27" s="1"/>
  <c r="AF350" i="27"/>
  <c r="BA350" i="27" s="1"/>
  <c r="AL350" i="27"/>
  <c r="BG350" i="27" s="1"/>
  <c r="AO350" i="27"/>
  <c r="BJ350" i="27" s="1"/>
  <c r="AI221" i="27"/>
  <c r="BD221" i="27" s="1"/>
  <c r="AJ221" i="27"/>
  <c r="BE221" i="27" s="1"/>
  <c r="AK221" i="27"/>
  <c r="BF221" i="27" s="1"/>
  <c r="Z221" i="27"/>
  <c r="AL221" i="27"/>
  <c r="BG221" i="27" s="1"/>
  <c r="AA221" i="27"/>
  <c r="AV221" i="27" s="1"/>
  <c r="AM221" i="27"/>
  <c r="BH221" i="27" s="1"/>
  <c r="AB221" i="27"/>
  <c r="AW221" i="27" s="1"/>
  <c r="AN221" i="27"/>
  <c r="BI221" i="27" s="1"/>
  <c r="AC221" i="27"/>
  <c r="AX221" i="27" s="1"/>
  <c r="AO221" i="27"/>
  <c r="BJ221" i="27" s="1"/>
  <c r="AD221" i="27"/>
  <c r="AY221" i="27" s="1"/>
  <c r="AP221" i="27"/>
  <c r="BK221" i="27" s="1"/>
  <c r="AE221" i="27"/>
  <c r="AZ221" i="27" s="1"/>
  <c r="AQ221" i="27"/>
  <c r="BL221" i="27" s="1"/>
  <c r="AF221" i="27"/>
  <c r="BA221" i="27" s="1"/>
  <c r="AR221" i="27"/>
  <c r="BM221" i="27" s="1"/>
  <c r="AG221" i="27"/>
  <c r="BB221" i="27" s="1"/>
  <c r="AH221" i="27"/>
  <c r="BC221" i="27" s="1"/>
  <c r="Y221" i="27"/>
  <c r="AT221" i="27" s="1"/>
  <c r="AC297" i="27"/>
  <c r="AX297" i="27" s="1"/>
  <c r="AO297" i="27"/>
  <c r="BJ297" i="27" s="1"/>
  <c r="AD297" i="27"/>
  <c r="AY297" i="27" s="1"/>
  <c r="AP297" i="27"/>
  <c r="BK297" i="27" s="1"/>
  <c r="AE297" i="27"/>
  <c r="AZ297" i="27" s="1"/>
  <c r="AQ297" i="27"/>
  <c r="BL297" i="27" s="1"/>
  <c r="AF297" i="27"/>
  <c r="BA297" i="27" s="1"/>
  <c r="AR297" i="27"/>
  <c r="BM297" i="27" s="1"/>
  <c r="AG297" i="27"/>
  <c r="BB297" i="27" s="1"/>
  <c r="AH297" i="27"/>
  <c r="BC297" i="27" s="1"/>
  <c r="AI297" i="27"/>
  <c r="BD297" i="27" s="1"/>
  <c r="Y297" i="27"/>
  <c r="AT297" i="27" s="1"/>
  <c r="AJ297" i="27"/>
  <c r="BE297" i="27" s="1"/>
  <c r="AK297" i="27"/>
  <c r="BF297" i="27" s="1"/>
  <c r="Z297" i="27"/>
  <c r="AL297" i="27"/>
  <c r="BG297" i="27" s="1"/>
  <c r="AA297" i="27"/>
  <c r="AV297" i="27" s="1"/>
  <c r="AM297" i="27"/>
  <c r="BH297" i="27" s="1"/>
  <c r="AB297" i="27"/>
  <c r="AW297" i="27" s="1"/>
  <c r="AN297" i="27"/>
  <c r="BI297" i="27" s="1"/>
  <c r="AC369" i="27"/>
  <c r="AX369" i="27" s="1"/>
  <c r="AO369" i="27"/>
  <c r="BJ369" i="27" s="1"/>
  <c r="AD369" i="27"/>
  <c r="AY369" i="27" s="1"/>
  <c r="AP369" i="27"/>
  <c r="BK369" i="27" s="1"/>
  <c r="AF369" i="27"/>
  <c r="BA369" i="27" s="1"/>
  <c r="AR369" i="27"/>
  <c r="BM369" i="27" s="1"/>
  <c r="AG369" i="27"/>
  <c r="BB369" i="27" s="1"/>
  <c r="AH369" i="27"/>
  <c r="BC369" i="27" s="1"/>
  <c r="AI369" i="27"/>
  <c r="BD369" i="27" s="1"/>
  <c r="AJ369" i="27"/>
  <c r="BE369" i="27" s="1"/>
  <c r="Z369" i="27"/>
  <c r="AL369" i="27"/>
  <c r="BG369" i="27" s="1"/>
  <c r="AA369" i="27"/>
  <c r="AV369" i="27" s="1"/>
  <c r="AM369" i="27"/>
  <c r="BH369" i="27" s="1"/>
  <c r="AB369" i="27"/>
  <c r="AW369" i="27" s="1"/>
  <c r="AE369" i="27"/>
  <c r="AZ369" i="27" s="1"/>
  <c r="AK369" i="27"/>
  <c r="BF369" i="27" s="1"/>
  <c r="AN369" i="27"/>
  <c r="BI369" i="27" s="1"/>
  <c r="AQ369" i="27"/>
  <c r="BL369" i="27" s="1"/>
  <c r="Y369" i="27"/>
  <c r="AT369" i="27" s="1"/>
  <c r="AD244" i="27"/>
  <c r="AY244" i="27" s="1"/>
  <c r="AP244" i="27"/>
  <c r="BK244" i="27" s="1"/>
  <c r="AE244" i="27"/>
  <c r="AZ244" i="27" s="1"/>
  <c r="AQ244" i="27"/>
  <c r="BL244" i="27" s="1"/>
  <c r="AF244" i="27"/>
  <c r="BA244" i="27" s="1"/>
  <c r="AR244" i="27"/>
  <c r="BM244" i="27" s="1"/>
  <c r="AG244" i="27"/>
  <c r="BB244" i="27" s="1"/>
  <c r="AH244" i="27"/>
  <c r="BC244" i="27" s="1"/>
  <c r="AI244" i="27"/>
  <c r="BD244" i="27" s="1"/>
  <c r="AJ244" i="27"/>
  <c r="BE244" i="27" s="1"/>
  <c r="AK244" i="27"/>
  <c r="BF244" i="27" s="1"/>
  <c r="Z244" i="27"/>
  <c r="AL244" i="27"/>
  <c r="BG244" i="27" s="1"/>
  <c r="AA244" i="27"/>
  <c r="AV244" i="27" s="1"/>
  <c r="AM244" i="27"/>
  <c r="BH244" i="27" s="1"/>
  <c r="AB244" i="27"/>
  <c r="AW244" i="27" s="1"/>
  <c r="AN244" i="27"/>
  <c r="BI244" i="27" s="1"/>
  <c r="Y244" i="27"/>
  <c r="AT244" i="27" s="1"/>
  <c r="AC244" i="27"/>
  <c r="AX244" i="27" s="1"/>
  <c r="AO244" i="27"/>
  <c r="BJ244" i="27" s="1"/>
  <c r="AB316" i="27"/>
  <c r="AW316" i="27" s="1"/>
  <c r="AN316" i="27"/>
  <c r="BI316" i="27" s="1"/>
  <c r="AC316" i="27"/>
  <c r="AX316" i="27" s="1"/>
  <c r="AO316" i="27"/>
  <c r="BJ316" i="27" s="1"/>
  <c r="AD316" i="27"/>
  <c r="AY316" i="27" s="1"/>
  <c r="AP316" i="27"/>
  <c r="BK316" i="27" s="1"/>
  <c r="AE316" i="27"/>
  <c r="AZ316" i="27" s="1"/>
  <c r="AQ316" i="27"/>
  <c r="BL316" i="27" s="1"/>
  <c r="AF316" i="27"/>
  <c r="BA316" i="27" s="1"/>
  <c r="AR316" i="27"/>
  <c r="BM316" i="27" s="1"/>
  <c r="AG316" i="27"/>
  <c r="BB316" i="27" s="1"/>
  <c r="AH316" i="27"/>
  <c r="BC316" i="27" s="1"/>
  <c r="AI316" i="27"/>
  <c r="BD316" i="27" s="1"/>
  <c r="AJ316" i="27"/>
  <c r="BE316" i="27" s="1"/>
  <c r="AK316" i="27"/>
  <c r="BF316" i="27" s="1"/>
  <c r="Z316" i="27"/>
  <c r="AL316" i="27"/>
  <c r="BG316" i="27" s="1"/>
  <c r="AM316" i="27"/>
  <c r="BH316" i="27" s="1"/>
  <c r="Y316" i="27"/>
  <c r="AT316" i="27" s="1"/>
  <c r="AA316" i="27"/>
  <c r="AV316" i="27" s="1"/>
  <c r="AC287" i="27"/>
  <c r="AX287" i="27" s="1"/>
  <c r="AO287" i="27"/>
  <c r="BJ287" i="27" s="1"/>
  <c r="AD287" i="27"/>
  <c r="AY287" i="27" s="1"/>
  <c r="AP287" i="27"/>
  <c r="BK287" i="27" s="1"/>
  <c r="AF287" i="27"/>
  <c r="BA287" i="27" s="1"/>
  <c r="AR287" i="27"/>
  <c r="BM287" i="27" s="1"/>
  <c r="AG287" i="27"/>
  <c r="BB287" i="27" s="1"/>
  <c r="AH287" i="27"/>
  <c r="BC287" i="27" s="1"/>
  <c r="AI287" i="27"/>
  <c r="BD287" i="27" s="1"/>
  <c r="AJ287" i="27"/>
  <c r="BE287" i="27" s="1"/>
  <c r="Z287" i="27"/>
  <c r="AL287" i="27"/>
  <c r="BG287" i="27" s="1"/>
  <c r="AA287" i="27"/>
  <c r="AV287" i="27" s="1"/>
  <c r="AM287" i="27"/>
  <c r="BH287" i="27" s="1"/>
  <c r="AB287" i="27"/>
  <c r="AW287" i="27" s="1"/>
  <c r="AE287" i="27"/>
  <c r="AZ287" i="27" s="1"/>
  <c r="AK287" i="27"/>
  <c r="BF287" i="27" s="1"/>
  <c r="AN287" i="27"/>
  <c r="BI287" i="27" s="1"/>
  <c r="AQ287" i="27"/>
  <c r="BL287" i="27" s="1"/>
  <c r="Y287" i="27"/>
  <c r="AT287" i="27" s="1"/>
  <c r="AI245" i="27"/>
  <c r="BD245" i="27" s="1"/>
  <c r="AJ245" i="27"/>
  <c r="BE245" i="27" s="1"/>
  <c r="AK245" i="27"/>
  <c r="BF245" i="27" s="1"/>
  <c r="Z245" i="27"/>
  <c r="AL245" i="27"/>
  <c r="BG245" i="27" s="1"/>
  <c r="AA245" i="27"/>
  <c r="AV245" i="27" s="1"/>
  <c r="AM245" i="27"/>
  <c r="BH245" i="27" s="1"/>
  <c r="AB245" i="27"/>
  <c r="AW245" i="27" s="1"/>
  <c r="AN245" i="27"/>
  <c r="BI245" i="27" s="1"/>
  <c r="AC245" i="27"/>
  <c r="AX245" i="27" s="1"/>
  <c r="AO245" i="27"/>
  <c r="BJ245" i="27" s="1"/>
  <c r="AD245" i="27"/>
  <c r="AY245" i="27" s="1"/>
  <c r="AP245" i="27"/>
  <c r="BK245" i="27" s="1"/>
  <c r="AE245" i="27"/>
  <c r="AZ245" i="27" s="1"/>
  <c r="AQ245" i="27"/>
  <c r="BL245" i="27" s="1"/>
  <c r="AF245" i="27"/>
  <c r="BA245" i="27" s="1"/>
  <c r="AR245" i="27"/>
  <c r="BM245" i="27" s="1"/>
  <c r="AG245" i="27"/>
  <c r="BB245" i="27" s="1"/>
  <c r="AH245" i="27"/>
  <c r="BC245" i="27" s="1"/>
  <c r="Y245" i="27"/>
  <c r="AT245" i="27" s="1"/>
  <c r="AG329" i="27"/>
  <c r="BB329" i="27" s="1"/>
  <c r="AH329" i="27"/>
  <c r="BC329" i="27" s="1"/>
  <c r="AI329" i="27"/>
  <c r="BD329" i="27" s="1"/>
  <c r="AJ329" i="27"/>
  <c r="BE329" i="27" s="1"/>
  <c r="AK329" i="27"/>
  <c r="BF329" i="27" s="1"/>
  <c r="Z329" i="27"/>
  <c r="AL329" i="27"/>
  <c r="BG329" i="27" s="1"/>
  <c r="AA329" i="27"/>
  <c r="AV329" i="27" s="1"/>
  <c r="AM329" i="27"/>
  <c r="BH329" i="27" s="1"/>
  <c r="AB329" i="27"/>
  <c r="AW329" i="27" s="1"/>
  <c r="AN329" i="27"/>
  <c r="BI329" i="27" s="1"/>
  <c r="AC329" i="27"/>
  <c r="AX329" i="27" s="1"/>
  <c r="AO329" i="27"/>
  <c r="BJ329" i="27" s="1"/>
  <c r="AD329" i="27"/>
  <c r="AY329" i="27" s="1"/>
  <c r="AP329" i="27"/>
  <c r="BK329" i="27" s="1"/>
  <c r="AE329" i="27"/>
  <c r="AZ329" i="27" s="1"/>
  <c r="AQ329" i="27"/>
  <c r="BL329" i="27" s="1"/>
  <c r="Y329" i="27"/>
  <c r="AT329" i="27" s="1"/>
  <c r="AF329" i="27"/>
  <c r="BA329" i="27" s="1"/>
  <c r="AR329" i="27"/>
  <c r="BM329" i="27" s="1"/>
  <c r="Z200" i="27"/>
  <c r="AL200" i="27"/>
  <c r="BG200" i="27" s="1"/>
  <c r="AA200" i="27"/>
  <c r="AV200" i="27" s="1"/>
  <c r="AM200" i="27"/>
  <c r="BH200" i="27" s="1"/>
  <c r="AB200" i="27"/>
  <c r="AW200" i="27" s="1"/>
  <c r="AN200" i="27"/>
  <c r="BI200" i="27" s="1"/>
  <c r="AC200" i="27"/>
  <c r="AX200" i="27" s="1"/>
  <c r="AO200" i="27"/>
  <c r="BJ200" i="27" s="1"/>
  <c r="AD200" i="27"/>
  <c r="AY200" i="27" s="1"/>
  <c r="AP200" i="27"/>
  <c r="BK200" i="27" s="1"/>
  <c r="AE200" i="27"/>
  <c r="AZ200" i="27" s="1"/>
  <c r="AQ200" i="27"/>
  <c r="BL200" i="27" s="1"/>
  <c r="AF200" i="27"/>
  <c r="BA200" i="27" s="1"/>
  <c r="AR200" i="27"/>
  <c r="BM200" i="27" s="1"/>
  <c r="AG200" i="27"/>
  <c r="BB200" i="27" s="1"/>
  <c r="AH200" i="27"/>
  <c r="BC200" i="27" s="1"/>
  <c r="AI200" i="27"/>
  <c r="BD200" i="27" s="1"/>
  <c r="AJ200" i="27"/>
  <c r="BE200" i="27" s="1"/>
  <c r="AK200" i="27"/>
  <c r="BF200" i="27" s="1"/>
  <c r="Y200" i="27"/>
  <c r="AT200" i="27" s="1"/>
  <c r="AB270" i="27"/>
  <c r="AW270" i="27" s="1"/>
  <c r="AN270" i="27"/>
  <c r="BI270" i="27" s="1"/>
  <c r="AC270" i="27"/>
  <c r="AX270" i="27" s="1"/>
  <c r="AO270" i="27"/>
  <c r="BJ270" i="27" s="1"/>
  <c r="AD270" i="27"/>
  <c r="AY270" i="27" s="1"/>
  <c r="AP270" i="27"/>
  <c r="BK270" i="27" s="1"/>
  <c r="AE270" i="27"/>
  <c r="AZ270" i="27" s="1"/>
  <c r="AQ270" i="27"/>
  <c r="BL270" i="27" s="1"/>
  <c r="AF270" i="27"/>
  <c r="BA270" i="27" s="1"/>
  <c r="AR270" i="27"/>
  <c r="BM270" i="27" s="1"/>
  <c r="AG270" i="27"/>
  <c r="BB270" i="27" s="1"/>
  <c r="AH270" i="27"/>
  <c r="BC270" i="27" s="1"/>
  <c r="AI270" i="27"/>
  <c r="BD270" i="27" s="1"/>
  <c r="AJ270" i="27"/>
  <c r="BE270" i="27" s="1"/>
  <c r="AK270" i="27"/>
  <c r="BF270" i="27" s="1"/>
  <c r="Z270" i="27"/>
  <c r="AL270" i="27"/>
  <c r="BG270" i="27" s="1"/>
  <c r="Y270" i="27"/>
  <c r="AT270" i="27" s="1"/>
  <c r="AA270" i="27"/>
  <c r="AV270" i="27" s="1"/>
  <c r="AM270" i="27"/>
  <c r="BH270" i="27" s="1"/>
  <c r="Z342" i="27"/>
  <c r="AL342" i="27"/>
  <c r="BG342" i="27" s="1"/>
  <c r="AA342" i="27"/>
  <c r="AV342" i="27" s="1"/>
  <c r="AM342" i="27"/>
  <c r="BH342" i="27" s="1"/>
  <c r="AC342" i="27"/>
  <c r="AX342" i="27" s="1"/>
  <c r="AO342" i="27"/>
  <c r="BJ342" i="27" s="1"/>
  <c r="AD342" i="27"/>
  <c r="AY342" i="27" s="1"/>
  <c r="AP342" i="27"/>
  <c r="BK342" i="27" s="1"/>
  <c r="AE342" i="27"/>
  <c r="AZ342" i="27" s="1"/>
  <c r="AQ342" i="27"/>
  <c r="BL342" i="27" s="1"/>
  <c r="AF342" i="27"/>
  <c r="BA342" i="27" s="1"/>
  <c r="AR342" i="27"/>
  <c r="BM342" i="27" s="1"/>
  <c r="AG342" i="27"/>
  <c r="BB342" i="27" s="1"/>
  <c r="AI342" i="27"/>
  <c r="BD342" i="27" s="1"/>
  <c r="AJ342" i="27"/>
  <c r="BE342" i="27" s="1"/>
  <c r="AB342" i="27"/>
  <c r="AW342" i="27" s="1"/>
  <c r="AH342" i="27"/>
  <c r="BC342" i="27" s="1"/>
  <c r="Y342" i="27"/>
  <c r="AT342" i="27" s="1"/>
  <c r="AK342" i="27"/>
  <c r="BF342" i="27" s="1"/>
  <c r="AN342" i="27"/>
  <c r="BI342" i="27" s="1"/>
  <c r="AE213" i="27"/>
  <c r="AZ213" i="27" s="1"/>
  <c r="AQ213" i="27"/>
  <c r="BL213" i="27" s="1"/>
  <c r="AF213" i="27"/>
  <c r="BA213" i="27" s="1"/>
  <c r="AR213" i="27"/>
  <c r="BM213" i="27" s="1"/>
  <c r="AG213" i="27"/>
  <c r="BB213" i="27" s="1"/>
  <c r="AH213" i="27"/>
  <c r="BC213" i="27" s="1"/>
  <c r="AI213" i="27"/>
  <c r="BD213" i="27" s="1"/>
  <c r="AJ213" i="27"/>
  <c r="BE213" i="27" s="1"/>
  <c r="AK213" i="27"/>
  <c r="BF213" i="27" s="1"/>
  <c r="Z213" i="27"/>
  <c r="AL213" i="27"/>
  <c r="BG213" i="27" s="1"/>
  <c r="AA213" i="27"/>
  <c r="AV213" i="27" s="1"/>
  <c r="AM213" i="27"/>
  <c r="BH213" i="27" s="1"/>
  <c r="AB213" i="27"/>
  <c r="AW213" i="27" s="1"/>
  <c r="AN213" i="27"/>
  <c r="BI213" i="27" s="1"/>
  <c r="AC213" i="27"/>
  <c r="AX213" i="27" s="1"/>
  <c r="AO213" i="27"/>
  <c r="BJ213" i="27" s="1"/>
  <c r="AD213" i="27"/>
  <c r="AY213" i="27" s="1"/>
  <c r="AP213" i="27"/>
  <c r="BK213" i="27" s="1"/>
  <c r="Y213" i="27"/>
  <c r="AT213" i="27" s="1"/>
  <c r="AG283" i="27"/>
  <c r="BB283" i="27" s="1"/>
  <c r="AH283" i="27"/>
  <c r="BC283" i="27" s="1"/>
  <c r="AJ283" i="27"/>
  <c r="BE283" i="27" s="1"/>
  <c r="AK283" i="27"/>
  <c r="BF283" i="27" s="1"/>
  <c r="Z283" i="27"/>
  <c r="AL283" i="27"/>
  <c r="BG283" i="27" s="1"/>
  <c r="AA283" i="27"/>
  <c r="AV283" i="27" s="1"/>
  <c r="AM283" i="27"/>
  <c r="BH283" i="27" s="1"/>
  <c r="AB283" i="27"/>
  <c r="AW283" i="27" s="1"/>
  <c r="AN283" i="27"/>
  <c r="BI283" i="27" s="1"/>
  <c r="AD283" i="27"/>
  <c r="AY283" i="27" s="1"/>
  <c r="AP283" i="27"/>
  <c r="BK283" i="27" s="1"/>
  <c r="AE283" i="27"/>
  <c r="AZ283" i="27" s="1"/>
  <c r="AQ283" i="27"/>
  <c r="BL283" i="27" s="1"/>
  <c r="Y283" i="27"/>
  <c r="AT283" i="27" s="1"/>
  <c r="AC283" i="27"/>
  <c r="AX283" i="27" s="1"/>
  <c r="AF283" i="27"/>
  <c r="BA283" i="27" s="1"/>
  <c r="AI283" i="27"/>
  <c r="BD283" i="27" s="1"/>
  <c r="AO283" i="27"/>
  <c r="BJ283" i="27" s="1"/>
  <c r="AR283" i="27"/>
  <c r="BM283" i="27" s="1"/>
  <c r="AE355" i="27"/>
  <c r="AZ355" i="27" s="1"/>
  <c r="AQ355" i="27"/>
  <c r="BL355" i="27" s="1"/>
  <c r="AF355" i="27"/>
  <c r="BA355" i="27" s="1"/>
  <c r="AR355" i="27"/>
  <c r="BM355" i="27" s="1"/>
  <c r="AH355" i="27"/>
  <c r="BC355" i="27" s="1"/>
  <c r="AI355" i="27"/>
  <c r="BD355" i="27" s="1"/>
  <c r="AJ355" i="27"/>
  <c r="BE355" i="27" s="1"/>
  <c r="AK355" i="27"/>
  <c r="BF355" i="27" s="1"/>
  <c r="Z355" i="27"/>
  <c r="AL355" i="27"/>
  <c r="BG355" i="27" s="1"/>
  <c r="AB355" i="27"/>
  <c r="AW355" i="27" s="1"/>
  <c r="AN355" i="27"/>
  <c r="BI355" i="27" s="1"/>
  <c r="AC355" i="27"/>
  <c r="AX355" i="27" s="1"/>
  <c r="AO355" i="27"/>
  <c r="BJ355" i="27" s="1"/>
  <c r="AA355" i="27"/>
  <c r="AV355" i="27" s="1"/>
  <c r="AD355" i="27"/>
  <c r="AY355" i="27" s="1"/>
  <c r="Y355" i="27"/>
  <c r="AT355" i="27" s="1"/>
  <c r="AG355" i="27"/>
  <c r="BB355" i="27" s="1"/>
  <c r="AM355" i="27"/>
  <c r="BH355" i="27" s="1"/>
  <c r="AP355" i="27"/>
  <c r="BK355" i="27" s="1"/>
  <c r="AI249" i="28"/>
  <c r="BD249" i="28" s="1"/>
  <c r="AJ249" i="28"/>
  <c r="BE249" i="28" s="1"/>
  <c r="Z249" i="28"/>
  <c r="AL249" i="28"/>
  <c r="BG249" i="28" s="1"/>
  <c r="AA249" i="28"/>
  <c r="AV249" i="28" s="1"/>
  <c r="AM249" i="28"/>
  <c r="BH249" i="28" s="1"/>
  <c r="AB249" i="28"/>
  <c r="AW249" i="28" s="1"/>
  <c r="AN249" i="28"/>
  <c r="BI249" i="28" s="1"/>
  <c r="AC249" i="28"/>
  <c r="AX249" i="28" s="1"/>
  <c r="AO249" i="28"/>
  <c r="BJ249" i="28" s="1"/>
  <c r="AD249" i="28"/>
  <c r="AY249" i="28" s="1"/>
  <c r="AP249" i="28"/>
  <c r="BK249" i="28" s="1"/>
  <c r="AF249" i="28"/>
  <c r="BA249" i="28" s="1"/>
  <c r="AR249" i="28"/>
  <c r="BM249" i="28" s="1"/>
  <c r="AG249" i="28"/>
  <c r="BB249" i="28" s="1"/>
  <c r="AQ249" i="28"/>
  <c r="BL249" i="28" s="1"/>
  <c r="Y249" i="28"/>
  <c r="AT249" i="28" s="1"/>
  <c r="AE249" i="28"/>
  <c r="AZ249" i="28" s="1"/>
  <c r="AH249" i="28"/>
  <c r="BC249" i="28" s="1"/>
  <c r="AK249" i="28"/>
  <c r="BF249" i="28" s="1"/>
  <c r="AI321" i="28"/>
  <c r="BD321" i="28" s="1"/>
  <c r="AC321" i="28"/>
  <c r="AX321" i="28" s="1"/>
  <c r="AO321" i="28"/>
  <c r="BJ321" i="28" s="1"/>
  <c r="AE321" i="28"/>
  <c r="AZ321" i="28" s="1"/>
  <c r="AF321" i="28"/>
  <c r="BA321" i="28" s="1"/>
  <c r="AG321" i="28"/>
  <c r="BB321" i="28" s="1"/>
  <c r="AH321" i="28"/>
  <c r="BC321" i="28" s="1"/>
  <c r="AJ321" i="28"/>
  <c r="BE321" i="28" s="1"/>
  <c r="AK321" i="28"/>
  <c r="BF321" i="28" s="1"/>
  <c r="AL321" i="28"/>
  <c r="BG321" i="28" s="1"/>
  <c r="Y321" i="28"/>
  <c r="AT321" i="28" s="1"/>
  <c r="AM321" i="28"/>
  <c r="BH321" i="28" s="1"/>
  <c r="Z321" i="28"/>
  <c r="AN321" i="28"/>
  <c r="BI321" i="28" s="1"/>
  <c r="AA321" i="28"/>
  <c r="AV321" i="28" s="1"/>
  <c r="AP321" i="28"/>
  <c r="BK321" i="28" s="1"/>
  <c r="AB321" i="28"/>
  <c r="AW321" i="28" s="1"/>
  <c r="AQ321" i="28"/>
  <c r="BL321" i="28" s="1"/>
  <c r="AD321" i="28"/>
  <c r="AY321" i="28" s="1"/>
  <c r="AR321" i="28"/>
  <c r="BM321" i="28" s="1"/>
  <c r="AB214" i="28"/>
  <c r="AW214" i="28" s="1"/>
  <c r="AN214" i="28"/>
  <c r="BI214" i="28" s="1"/>
  <c r="AC214" i="28"/>
  <c r="AX214" i="28" s="1"/>
  <c r="AO214" i="28"/>
  <c r="BJ214" i="28" s="1"/>
  <c r="AE214" i="28"/>
  <c r="AZ214" i="28" s="1"/>
  <c r="AQ214" i="28"/>
  <c r="BL214" i="28" s="1"/>
  <c r="AF214" i="28"/>
  <c r="BA214" i="28" s="1"/>
  <c r="AR214" i="28"/>
  <c r="BM214" i="28" s="1"/>
  <c r="AG214" i="28"/>
  <c r="BB214" i="28" s="1"/>
  <c r="AH214" i="28"/>
  <c r="BC214" i="28" s="1"/>
  <c r="AI214" i="28"/>
  <c r="BD214" i="28" s="1"/>
  <c r="Y214" i="28"/>
  <c r="AT214" i="28" s="1"/>
  <c r="AK214" i="28"/>
  <c r="BF214" i="28" s="1"/>
  <c r="Z214" i="28"/>
  <c r="AL214" i="28"/>
  <c r="BG214" i="28" s="1"/>
  <c r="AP214" i="28"/>
  <c r="BK214" i="28" s="1"/>
  <c r="AA214" i="28"/>
  <c r="AV214" i="28" s="1"/>
  <c r="AD214" i="28"/>
  <c r="AY214" i="28" s="1"/>
  <c r="AJ214" i="28"/>
  <c r="BE214" i="28" s="1"/>
  <c r="AM214" i="28"/>
  <c r="BH214" i="28" s="1"/>
  <c r="AA286" i="28"/>
  <c r="AV286" i="28" s="1"/>
  <c r="AM286" i="28"/>
  <c r="BH286" i="28" s="1"/>
  <c r="AB286" i="28"/>
  <c r="AW286" i="28" s="1"/>
  <c r="AN286" i="28"/>
  <c r="BI286" i="28" s="1"/>
  <c r="AD286" i="28"/>
  <c r="AY286" i="28" s="1"/>
  <c r="AP286" i="28"/>
  <c r="BK286" i="28" s="1"/>
  <c r="AE286" i="28"/>
  <c r="AZ286" i="28" s="1"/>
  <c r="AQ286" i="28"/>
  <c r="BL286" i="28" s="1"/>
  <c r="AF286" i="28"/>
  <c r="BA286" i="28" s="1"/>
  <c r="AR286" i="28"/>
  <c r="BM286" i="28" s="1"/>
  <c r="AG286" i="28"/>
  <c r="BB286" i="28" s="1"/>
  <c r="AH286" i="28"/>
  <c r="BC286" i="28" s="1"/>
  <c r="AJ286" i="28"/>
  <c r="BE286" i="28" s="1"/>
  <c r="Y286" i="28"/>
  <c r="AT286" i="28" s="1"/>
  <c r="AK286" i="28"/>
  <c r="BF286" i="28" s="1"/>
  <c r="Z286" i="28"/>
  <c r="AC286" i="28"/>
  <c r="AX286" i="28" s="1"/>
  <c r="AI286" i="28"/>
  <c r="BD286" i="28" s="1"/>
  <c r="AL286" i="28"/>
  <c r="BG286" i="28" s="1"/>
  <c r="AO286" i="28"/>
  <c r="BJ286" i="28" s="1"/>
  <c r="Y358" i="28"/>
  <c r="AT358" i="28" s="1"/>
  <c r="AK358" i="28"/>
  <c r="BF358" i="28" s="1"/>
  <c r="Z358" i="28"/>
  <c r="AL358" i="28"/>
  <c r="BG358" i="28" s="1"/>
  <c r="AA358" i="28"/>
  <c r="AV358" i="28" s="1"/>
  <c r="AM358" i="28"/>
  <c r="BH358" i="28" s="1"/>
  <c r="AB358" i="28"/>
  <c r="AW358" i="28" s="1"/>
  <c r="AN358" i="28"/>
  <c r="BI358" i="28" s="1"/>
  <c r="AC358" i="28"/>
  <c r="AX358" i="28" s="1"/>
  <c r="AO358" i="28"/>
  <c r="BJ358" i="28" s="1"/>
  <c r="AD358" i="28"/>
  <c r="AY358" i="28" s="1"/>
  <c r="AP358" i="28"/>
  <c r="BK358" i="28" s="1"/>
  <c r="AE358" i="28"/>
  <c r="AZ358" i="28" s="1"/>
  <c r="AQ358" i="28"/>
  <c r="BL358" i="28" s="1"/>
  <c r="AF358" i="28"/>
  <c r="BA358" i="28" s="1"/>
  <c r="AR358" i="28"/>
  <c r="BM358" i="28" s="1"/>
  <c r="AG358" i="28"/>
  <c r="BB358" i="28" s="1"/>
  <c r="AH358" i="28"/>
  <c r="BC358" i="28" s="1"/>
  <c r="AI358" i="28"/>
  <c r="BD358" i="28" s="1"/>
  <c r="AJ358" i="28"/>
  <c r="BE358" i="28" s="1"/>
  <c r="AE251" i="28"/>
  <c r="AZ251" i="28" s="1"/>
  <c r="AQ251" i="28"/>
  <c r="BL251" i="28" s="1"/>
  <c r="AF251" i="28"/>
  <c r="BA251" i="28" s="1"/>
  <c r="AR251" i="28"/>
  <c r="BM251" i="28" s="1"/>
  <c r="AH251" i="28"/>
  <c r="BC251" i="28" s="1"/>
  <c r="AI251" i="28"/>
  <c r="BD251" i="28" s="1"/>
  <c r="AJ251" i="28"/>
  <c r="BE251" i="28" s="1"/>
  <c r="Y251" i="28"/>
  <c r="AT251" i="28" s="1"/>
  <c r="AK251" i="28"/>
  <c r="BF251" i="28" s="1"/>
  <c r="Z251" i="28"/>
  <c r="AL251" i="28"/>
  <c r="BG251" i="28" s="1"/>
  <c r="AB251" i="28"/>
  <c r="AW251" i="28" s="1"/>
  <c r="AN251" i="28"/>
  <c r="BI251" i="28" s="1"/>
  <c r="AC251" i="28"/>
  <c r="AX251" i="28" s="1"/>
  <c r="AO251" i="28"/>
  <c r="BJ251" i="28" s="1"/>
  <c r="AA251" i="28"/>
  <c r="AV251" i="28" s="1"/>
  <c r="AD251" i="28"/>
  <c r="AY251" i="28" s="1"/>
  <c r="AG251" i="28"/>
  <c r="BB251" i="28" s="1"/>
  <c r="AM251" i="28"/>
  <c r="BH251" i="28" s="1"/>
  <c r="AP251" i="28"/>
  <c r="BK251" i="28" s="1"/>
  <c r="AC323" i="28"/>
  <c r="AX323" i="28" s="1"/>
  <c r="AO323" i="28"/>
  <c r="BJ323" i="28" s="1"/>
  <c r="AD323" i="28"/>
  <c r="AY323" i="28" s="1"/>
  <c r="AP323" i="28"/>
  <c r="BK323" i="28" s="1"/>
  <c r="AE323" i="28"/>
  <c r="AZ323" i="28" s="1"/>
  <c r="AQ323" i="28"/>
  <c r="BL323" i="28" s="1"/>
  <c r="AF323" i="28"/>
  <c r="BA323" i="28" s="1"/>
  <c r="AR323" i="28"/>
  <c r="BM323" i="28" s="1"/>
  <c r="AG323" i="28"/>
  <c r="BB323" i="28" s="1"/>
  <c r="AH323" i="28"/>
  <c r="BC323" i="28" s="1"/>
  <c r="AI323" i="28"/>
  <c r="BD323" i="28" s="1"/>
  <c r="AJ323" i="28"/>
  <c r="BE323" i="28" s="1"/>
  <c r="Y323" i="28"/>
  <c r="AT323" i="28" s="1"/>
  <c r="AK323" i="28"/>
  <c r="BF323" i="28" s="1"/>
  <c r="Z323" i="28"/>
  <c r="AL323" i="28"/>
  <c r="BG323" i="28" s="1"/>
  <c r="AA323" i="28"/>
  <c r="AV323" i="28" s="1"/>
  <c r="AM323" i="28"/>
  <c r="BH323" i="28" s="1"/>
  <c r="AB323" i="28"/>
  <c r="AW323" i="28" s="1"/>
  <c r="AN323" i="28"/>
  <c r="BI323" i="28" s="1"/>
  <c r="AJ216" i="28"/>
  <c r="BE216" i="28" s="1"/>
  <c r="Y216" i="28"/>
  <c r="AT216" i="28" s="1"/>
  <c r="AK216" i="28"/>
  <c r="BF216" i="28" s="1"/>
  <c r="AA216" i="28"/>
  <c r="AV216" i="28" s="1"/>
  <c r="AM216" i="28"/>
  <c r="BH216" i="28" s="1"/>
  <c r="AB216" i="28"/>
  <c r="AW216" i="28" s="1"/>
  <c r="AN216" i="28"/>
  <c r="BI216" i="28" s="1"/>
  <c r="AC216" i="28"/>
  <c r="AX216" i="28" s="1"/>
  <c r="AO216" i="28"/>
  <c r="BJ216" i="28" s="1"/>
  <c r="AD216" i="28"/>
  <c r="AY216" i="28" s="1"/>
  <c r="AP216" i="28"/>
  <c r="BK216" i="28" s="1"/>
  <c r="AE216" i="28"/>
  <c r="AZ216" i="28" s="1"/>
  <c r="AQ216" i="28"/>
  <c r="BL216" i="28" s="1"/>
  <c r="AG216" i="28"/>
  <c r="BB216" i="28" s="1"/>
  <c r="AH216" i="28"/>
  <c r="BC216" i="28" s="1"/>
  <c r="Z216" i="28"/>
  <c r="AF216" i="28"/>
  <c r="BA216" i="28" s="1"/>
  <c r="AI216" i="28"/>
  <c r="BD216" i="28" s="1"/>
  <c r="AL216" i="28"/>
  <c r="BG216" i="28" s="1"/>
  <c r="AR216" i="28"/>
  <c r="BM216" i="28" s="1"/>
  <c r="AI288" i="28"/>
  <c r="BD288" i="28" s="1"/>
  <c r="AJ288" i="28"/>
  <c r="BE288" i="28" s="1"/>
  <c r="Z288" i="28"/>
  <c r="AL288" i="28"/>
  <c r="BG288" i="28" s="1"/>
  <c r="AA288" i="28"/>
  <c r="AV288" i="28" s="1"/>
  <c r="AM288" i="28"/>
  <c r="BH288" i="28" s="1"/>
  <c r="AB288" i="28"/>
  <c r="AW288" i="28" s="1"/>
  <c r="AN288" i="28"/>
  <c r="BI288" i="28" s="1"/>
  <c r="AC288" i="28"/>
  <c r="AX288" i="28" s="1"/>
  <c r="AO288" i="28"/>
  <c r="BJ288" i="28" s="1"/>
  <c r="AD288" i="28"/>
  <c r="AY288" i="28" s="1"/>
  <c r="AP288" i="28"/>
  <c r="BK288" i="28" s="1"/>
  <c r="AF288" i="28"/>
  <c r="BA288" i="28" s="1"/>
  <c r="AR288" i="28"/>
  <c r="BM288" i="28" s="1"/>
  <c r="AG288" i="28"/>
  <c r="BB288" i="28" s="1"/>
  <c r="AE288" i="28"/>
  <c r="AZ288" i="28" s="1"/>
  <c r="AH288" i="28"/>
  <c r="BC288" i="28" s="1"/>
  <c r="AK288" i="28"/>
  <c r="BF288" i="28" s="1"/>
  <c r="AQ288" i="28"/>
  <c r="BL288" i="28" s="1"/>
  <c r="Y288" i="28"/>
  <c r="AT288" i="28" s="1"/>
  <c r="AG360" i="28"/>
  <c r="BB360" i="28" s="1"/>
  <c r="AH360" i="28"/>
  <c r="BC360" i="28" s="1"/>
  <c r="AI360" i="28"/>
  <c r="BD360" i="28" s="1"/>
  <c r="AJ360" i="28"/>
  <c r="BE360" i="28" s="1"/>
  <c r="Y360" i="28"/>
  <c r="AT360" i="28" s="1"/>
  <c r="AK360" i="28"/>
  <c r="BF360" i="28" s="1"/>
  <c r="Z360" i="28"/>
  <c r="AL360" i="28"/>
  <c r="BG360" i="28" s="1"/>
  <c r="AA360" i="28"/>
  <c r="AV360" i="28" s="1"/>
  <c r="AM360" i="28"/>
  <c r="BH360" i="28" s="1"/>
  <c r="AB360" i="28"/>
  <c r="AW360" i="28" s="1"/>
  <c r="AN360" i="28"/>
  <c r="BI360" i="28" s="1"/>
  <c r="AC360" i="28"/>
  <c r="AX360" i="28" s="1"/>
  <c r="AO360" i="28"/>
  <c r="BJ360" i="28" s="1"/>
  <c r="AD360" i="28"/>
  <c r="AY360" i="28" s="1"/>
  <c r="AP360" i="28"/>
  <c r="BK360" i="28" s="1"/>
  <c r="AE360" i="28"/>
  <c r="AZ360" i="28" s="1"/>
  <c r="AQ360" i="28"/>
  <c r="BL360" i="28" s="1"/>
  <c r="AF360" i="28"/>
  <c r="BA360" i="28" s="1"/>
  <c r="AR360" i="28"/>
  <c r="BM360" i="28" s="1"/>
  <c r="AA253" i="28"/>
  <c r="AV253" i="28" s="1"/>
  <c r="AM253" i="28"/>
  <c r="BH253" i="28" s="1"/>
  <c r="AB253" i="28"/>
  <c r="AW253" i="28" s="1"/>
  <c r="AN253" i="28"/>
  <c r="BI253" i="28" s="1"/>
  <c r="AD253" i="28"/>
  <c r="AY253" i="28" s="1"/>
  <c r="AP253" i="28"/>
  <c r="BK253" i="28" s="1"/>
  <c r="AE253" i="28"/>
  <c r="AZ253" i="28" s="1"/>
  <c r="AQ253" i="28"/>
  <c r="BL253" i="28" s="1"/>
  <c r="AF253" i="28"/>
  <c r="BA253" i="28" s="1"/>
  <c r="AR253" i="28"/>
  <c r="BM253" i="28" s="1"/>
  <c r="AG253" i="28"/>
  <c r="BB253" i="28" s="1"/>
  <c r="AH253" i="28"/>
  <c r="BC253" i="28" s="1"/>
  <c r="AJ253" i="28"/>
  <c r="BE253" i="28" s="1"/>
  <c r="Y253" i="28"/>
  <c r="AT253" i="28" s="1"/>
  <c r="AK253" i="28"/>
  <c r="BF253" i="28" s="1"/>
  <c r="Z253" i="28"/>
  <c r="AC253" i="28"/>
  <c r="AX253" i="28" s="1"/>
  <c r="AI253" i="28"/>
  <c r="BD253" i="28" s="1"/>
  <c r="AL253" i="28"/>
  <c r="BG253" i="28" s="1"/>
  <c r="AO253" i="28"/>
  <c r="BJ253" i="28" s="1"/>
  <c r="Y325" i="28"/>
  <c r="AT325" i="28" s="1"/>
  <c r="AK325" i="28"/>
  <c r="BF325" i="28" s="1"/>
  <c r="Z325" i="28"/>
  <c r="AL325" i="28"/>
  <c r="BG325" i="28" s="1"/>
  <c r="AA325" i="28"/>
  <c r="AV325" i="28" s="1"/>
  <c r="AM325" i="28"/>
  <c r="BH325" i="28" s="1"/>
  <c r="AB325" i="28"/>
  <c r="AW325" i="28" s="1"/>
  <c r="AN325" i="28"/>
  <c r="BI325" i="28" s="1"/>
  <c r="AC325" i="28"/>
  <c r="AX325" i="28" s="1"/>
  <c r="AO325" i="28"/>
  <c r="BJ325" i="28" s="1"/>
  <c r="AD325" i="28"/>
  <c r="AY325" i="28" s="1"/>
  <c r="AP325" i="28"/>
  <c r="BK325" i="28" s="1"/>
  <c r="AE325" i="28"/>
  <c r="AZ325" i="28" s="1"/>
  <c r="AQ325" i="28"/>
  <c r="BL325" i="28" s="1"/>
  <c r="AF325" i="28"/>
  <c r="BA325" i="28" s="1"/>
  <c r="AR325" i="28"/>
  <c r="BM325" i="28" s="1"/>
  <c r="AG325" i="28"/>
  <c r="BB325" i="28" s="1"/>
  <c r="AH325" i="28"/>
  <c r="BC325" i="28" s="1"/>
  <c r="AI325" i="28"/>
  <c r="BD325" i="28" s="1"/>
  <c r="AJ325" i="28"/>
  <c r="BE325" i="28" s="1"/>
  <c r="AF224" i="28"/>
  <c r="BA224" i="28" s="1"/>
  <c r="AR224" i="28"/>
  <c r="BM224" i="28" s="1"/>
  <c r="AG224" i="28"/>
  <c r="BB224" i="28" s="1"/>
  <c r="AI224" i="28"/>
  <c r="BD224" i="28" s="1"/>
  <c r="AJ224" i="28"/>
  <c r="BE224" i="28" s="1"/>
  <c r="Y224" i="28"/>
  <c r="AT224" i="28" s="1"/>
  <c r="AK224" i="28"/>
  <c r="BF224" i="28" s="1"/>
  <c r="Z224" i="28"/>
  <c r="AL224" i="28"/>
  <c r="BG224" i="28" s="1"/>
  <c r="AA224" i="28"/>
  <c r="AV224" i="28" s="1"/>
  <c r="AM224" i="28"/>
  <c r="BH224" i="28" s="1"/>
  <c r="AC224" i="28"/>
  <c r="AX224" i="28" s="1"/>
  <c r="AO224" i="28"/>
  <c r="BJ224" i="28" s="1"/>
  <c r="AD224" i="28"/>
  <c r="AY224" i="28" s="1"/>
  <c r="AP224" i="28"/>
  <c r="BK224" i="28" s="1"/>
  <c r="AH224" i="28"/>
  <c r="BC224" i="28" s="1"/>
  <c r="AN224" i="28"/>
  <c r="BI224" i="28" s="1"/>
  <c r="AB224" i="28"/>
  <c r="AW224" i="28" s="1"/>
  <c r="AE224" i="28"/>
  <c r="AZ224" i="28" s="1"/>
  <c r="AQ224" i="28"/>
  <c r="BL224" i="28" s="1"/>
  <c r="AE296" i="28"/>
  <c r="AZ296" i="28" s="1"/>
  <c r="AQ296" i="28"/>
  <c r="BL296" i="28" s="1"/>
  <c r="AF296" i="28"/>
  <c r="BA296" i="28" s="1"/>
  <c r="AR296" i="28"/>
  <c r="BM296" i="28" s="1"/>
  <c r="AH296" i="28"/>
  <c r="BC296" i="28" s="1"/>
  <c r="AI296" i="28"/>
  <c r="BD296" i="28" s="1"/>
  <c r="AJ296" i="28"/>
  <c r="BE296" i="28" s="1"/>
  <c r="Y296" i="28"/>
  <c r="AT296" i="28" s="1"/>
  <c r="AK296" i="28"/>
  <c r="BF296" i="28" s="1"/>
  <c r="Z296" i="28"/>
  <c r="AL296" i="28"/>
  <c r="BG296" i="28" s="1"/>
  <c r="AB296" i="28"/>
  <c r="AW296" i="28" s="1"/>
  <c r="AN296" i="28"/>
  <c r="BI296" i="28" s="1"/>
  <c r="AC296" i="28"/>
  <c r="AX296" i="28" s="1"/>
  <c r="AO296" i="28"/>
  <c r="BJ296" i="28" s="1"/>
  <c r="AA296" i="28"/>
  <c r="AV296" i="28" s="1"/>
  <c r="AD296" i="28"/>
  <c r="AY296" i="28" s="1"/>
  <c r="AG296" i="28"/>
  <c r="BB296" i="28" s="1"/>
  <c r="AM296" i="28"/>
  <c r="BH296" i="28" s="1"/>
  <c r="AP296" i="28"/>
  <c r="BK296" i="28" s="1"/>
  <c r="AC368" i="28"/>
  <c r="AO368" i="28"/>
  <c r="AD368" i="28"/>
  <c r="AP368" i="28"/>
  <c r="AE368" i="28"/>
  <c r="AQ368" i="28"/>
  <c r="AF368" i="28"/>
  <c r="AR368" i="28"/>
  <c r="AG368" i="28"/>
  <c r="AH368" i="28"/>
  <c r="AI368" i="28"/>
  <c r="AJ368" i="28"/>
  <c r="Y368" i="28"/>
  <c r="AT368" i="28" s="1"/>
  <c r="AK368" i="28"/>
  <c r="Z368" i="28"/>
  <c r="AL368" i="28"/>
  <c r="AA368" i="28"/>
  <c r="AM368" i="28"/>
  <c r="AB368" i="28"/>
  <c r="AN368" i="28"/>
  <c r="AG82" i="24"/>
  <c r="BB82" i="24" s="1"/>
  <c r="AH82" i="24"/>
  <c r="BC82" i="24" s="1"/>
  <c r="AI82" i="24"/>
  <c r="BD82" i="24" s="1"/>
  <c r="AJ82" i="24"/>
  <c r="BE82" i="24" s="1"/>
  <c r="AK82" i="24"/>
  <c r="BF82" i="24" s="1"/>
  <c r="Z82" i="24"/>
  <c r="AL82" i="24"/>
  <c r="BG82" i="24" s="1"/>
  <c r="AA82" i="24"/>
  <c r="AV82" i="24" s="1"/>
  <c r="AM82" i="24"/>
  <c r="BH82" i="24" s="1"/>
  <c r="AB82" i="24"/>
  <c r="AW82" i="24" s="1"/>
  <c r="AN82" i="24"/>
  <c r="BI82" i="24" s="1"/>
  <c r="AC82" i="24"/>
  <c r="AX82" i="24" s="1"/>
  <c r="AO82" i="24"/>
  <c r="BJ82" i="24" s="1"/>
  <c r="AD82" i="24"/>
  <c r="AY82" i="24" s="1"/>
  <c r="AP82" i="24"/>
  <c r="BK82" i="24" s="1"/>
  <c r="AE82" i="24"/>
  <c r="AZ82" i="24" s="1"/>
  <c r="AQ82" i="24"/>
  <c r="BL82" i="24" s="1"/>
  <c r="AF82" i="24"/>
  <c r="BA82" i="24" s="1"/>
  <c r="AR82" i="24"/>
  <c r="BM82" i="24" s="1"/>
  <c r="Y82" i="24"/>
  <c r="AT82" i="24" s="1"/>
  <c r="Z234" i="24"/>
  <c r="AL234" i="24"/>
  <c r="BG234" i="24" s="1"/>
  <c r="AA234" i="24"/>
  <c r="AV234" i="24" s="1"/>
  <c r="AM234" i="24"/>
  <c r="BH234" i="24" s="1"/>
  <c r="AB234" i="24"/>
  <c r="AW234" i="24" s="1"/>
  <c r="AN234" i="24"/>
  <c r="BI234" i="24" s="1"/>
  <c r="AC234" i="24"/>
  <c r="AX234" i="24" s="1"/>
  <c r="AO234" i="24"/>
  <c r="BJ234" i="24" s="1"/>
  <c r="AD234" i="24"/>
  <c r="AY234" i="24" s="1"/>
  <c r="AP234" i="24"/>
  <c r="BK234" i="24" s="1"/>
  <c r="AE234" i="24"/>
  <c r="AZ234" i="24" s="1"/>
  <c r="AQ234" i="24"/>
  <c r="BL234" i="24" s="1"/>
  <c r="AF234" i="24"/>
  <c r="BA234" i="24" s="1"/>
  <c r="AR234" i="24"/>
  <c r="BM234" i="24" s="1"/>
  <c r="AG234" i="24"/>
  <c r="BB234" i="24" s="1"/>
  <c r="AH234" i="24"/>
  <c r="BC234" i="24" s="1"/>
  <c r="AI234" i="24"/>
  <c r="BD234" i="24" s="1"/>
  <c r="AJ234" i="24"/>
  <c r="BE234" i="24" s="1"/>
  <c r="Y234" i="24"/>
  <c r="AT234" i="24" s="1"/>
  <c r="AK234" i="24"/>
  <c r="BF234" i="24" s="1"/>
  <c r="AI195" i="24"/>
  <c r="BD195" i="24" s="1"/>
  <c r="AJ195" i="24"/>
  <c r="BE195" i="24" s="1"/>
  <c r="AK195" i="24"/>
  <c r="BF195" i="24" s="1"/>
  <c r="Z195" i="24"/>
  <c r="AL195" i="24"/>
  <c r="BG195" i="24" s="1"/>
  <c r="AA195" i="24"/>
  <c r="AV195" i="24" s="1"/>
  <c r="AM195" i="24"/>
  <c r="BH195" i="24" s="1"/>
  <c r="AB195" i="24"/>
  <c r="AW195" i="24" s="1"/>
  <c r="AN195" i="24"/>
  <c r="BI195" i="24" s="1"/>
  <c r="AC195" i="24"/>
  <c r="AX195" i="24" s="1"/>
  <c r="AO195" i="24"/>
  <c r="BJ195" i="24" s="1"/>
  <c r="AD195" i="24"/>
  <c r="AY195" i="24" s="1"/>
  <c r="AP195" i="24"/>
  <c r="BK195" i="24" s="1"/>
  <c r="AE195" i="24"/>
  <c r="AZ195" i="24" s="1"/>
  <c r="AQ195" i="24"/>
  <c r="BL195" i="24" s="1"/>
  <c r="AF195" i="24"/>
  <c r="BA195" i="24" s="1"/>
  <c r="AR195" i="24"/>
  <c r="BM195" i="24" s="1"/>
  <c r="AG195" i="24"/>
  <c r="BB195" i="24" s="1"/>
  <c r="Y195" i="24"/>
  <c r="AT195" i="24" s="1"/>
  <c r="AH195" i="24"/>
  <c r="BC195" i="24" s="1"/>
  <c r="AA100" i="24"/>
  <c r="AV100" i="24" s="1"/>
  <c r="AM100" i="24"/>
  <c r="BH100" i="24" s="1"/>
  <c r="AB100" i="24"/>
  <c r="AW100" i="24" s="1"/>
  <c r="AN100" i="24"/>
  <c r="BI100" i="24" s="1"/>
  <c r="AC100" i="24"/>
  <c r="AX100" i="24" s="1"/>
  <c r="AO100" i="24"/>
  <c r="BJ100" i="24" s="1"/>
  <c r="AD100" i="24"/>
  <c r="AY100" i="24" s="1"/>
  <c r="AP100" i="24"/>
  <c r="BK100" i="24" s="1"/>
  <c r="AE100" i="24"/>
  <c r="AZ100" i="24" s="1"/>
  <c r="AQ100" i="24"/>
  <c r="BL100" i="24" s="1"/>
  <c r="AF100" i="24"/>
  <c r="BA100" i="24" s="1"/>
  <c r="AR100" i="24"/>
  <c r="BM100" i="24" s="1"/>
  <c r="AG100" i="24"/>
  <c r="BB100" i="24" s="1"/>
  <c r="AH100" i="24"/>
  <c r="BC100" i="24" s="1"/>
  <c r="AI100" i="24"/>
  <c r="BD100" i="24" s="1"/>
  <c r="AJ100" i="24"/>
  <c r="BE100" i="24" s="1"/>
  <c r="AK100" i="24"/>
  <c r="BF100" i="24" s="1"/>
  <c r="Z100" i="24"/>
  <c r="Y100" i="24"/>
  <c r="AT100" i="24" s="1"/>
  <c r="AL100" i="24"/>
  <c r="BG100" i="24" s="1"/>
  <c r="AF180" i="24"/>
  <c r="BA180" i="24" s="1"/>
  <c r="AR180" i="24"/>
  <c r="BM180" i="24" s="1"/>
  <c r="AG180" i="24"/>
  <c r="BB180" i="24" s="1"/>
  <c r="AH180" i="24"/>
  <c r="BC180" i="24" s="1"/>
  <c r="AI180" i="24"/>
  <c r="BD180" i="24" s="1"/>
  <c r="AJ180" i="24"/>
  <c r="BE180" i="24" s="1"/>
  <c r="AK180" i="24"/>
  <c r="BF180" i="24" s="1"/>
  <c r="Z180" i="24"/>
  <c r="AL180" i="24"/>
  <c r="BG180" i="24" s="1"/>
  <c r="AA180" i="24"/>
  <c r="AV180" i="24" s="1"/>
  <c r="AM180" i="24"/>
  <c r="BH180" i="24" s="1"/>
  <c r="AB180" i="24"/>
  <c r="AW180" i="24" s="1"/>
  <c r="AN180" i="24"/>
  <c r="BI180" i="24" s="1"/>
  <c r="AC180" i="24"/>
  <c r="AX180" i="24" s="1"/>
  <c r="AO180" i="24"/>
  <c r="BJ180" i="24" s="1"/>
  <c r="AD180" i="24"/>
  <c r="AY180" i="24" s="1"/>
  <c r="AP180" i="24"/>
  <c r="BK180" i="24" s="1"/>
  <c r="AE180" i="24"/>
  <c r="AZ180" i="24" s="1"/>
  <c r="AQ180" i="24"/>
  <c r="BL180" i="24" s="1"/>
  <c r="Y180" i="24"/>
  <c r="AT180" i="24" s="1"/>
  <c r="AB112" i="24"/>
  <c r="AW112" i="24" s="1"/>
  <c r="AN112" i="24"/>
  <c r="BI112" i="24" s="1"/>
  <c r="AC112" i="24"/>
  <c r="AX112" i="24" s="1"/>
  <c r="AO112" i="24"/>
  <c r="BJ112" i="24" s="1"/>
  <c r="AD112" i="24"/>
  <c r="AY112" i="24" s="1"/>
  <c r="AP112" i="24"/>
  <c r="BK112" i="24" s="1"/>
  <c r="AE112" i="24"/>
  <c r="AZ112" i="24" s="1"/>
  <c r="AQ112" i="24"/>
  <c r="BL112" i="24" s="1"/>
  <c r="AF112" i="24"/>
  <c r="BA112" i="24" s="1"/>
  <c r="AR112" i="24"/>
  <c r="BM112" i="24" s="1"/>
  <c r="AG112" i="24"/>
  <c r="BB112" i="24" s="1"/>
  <c r="AH112" i="24"/>
  <c r="BC112" i="24" s="1"/>
  <c r="AI112" i="24"/>
  <c r="BD112" i="24" s="1"/>
  <c r="AJ112" i="24"/>
  <c r="BE112" i="24" s="1"/>
  <c r="AK112" i="24"/>
  <c r="BF112" i="24" s="1"/>
  <c r="Z112" i="24"/>
  <c r="AL112" i="24"/>
  <c r="BG112" i="24" s="1"/>
  <c r="Y112" i="24"/>
  <c r="AT112" i="24" s="1"/>
  <c r="AA112" i="24"/>
  <c r="AV112" i="24" s="1"/>
  <c r="AM112" i="24"/>
  <c r="BH112" i="24" s="1"/>
  <c r="AB184" i="24"/>
  <c r="AW184" i="24" s="1"/>
  <c r="AN184" i="24"/>
  <c r="BI184" i="24" s="1"/>
  <c r="AC184" i="24"/>
  <c r="AX184" i="24" s="1"/>
  <c r="AO184" i="24"/>
  <c r="BJ184" i="24" s="1"/>
  <c r="AD184" i="24"/>
  <c r="AY184" i="24" s="1"/>
  <c r="AP184" i="24"/>
  <c r="BK184" i="24" s="1"/>
  <c r="AE184" i="24"/>
  <c r="AZ184" i="24" s="1"/>
  <c r="AQ184" i="24"/>
  <c r="BL184" i="24" s="1"/>
  <c r="AF184" i="24"/>
  <c r="BA184" i="24" s="1"/>
  <c r="AR184" i="24"/>
  <c r="BM184" i="24" s="1"/>
  <c r="AG184" i="24"/>
  <c r="BB184" i="24" s="1"/>
  <c r="AH184" i="24"/>
  <c r="BC184" i="24" s="1"/>
  <c r="AI184" i="24"/>
  <c r="BD184" i="24" s="1"/>
  <c r="AJ184" i="24"/>
  <c r="BE184" i="24" s="1"/>
  <c r="AK184" i="24"/>
  <c r="BF184" i="24" s="1"/>
  <c r="Z184" i="24"/>
  <c r="AL184" i="24"/>
  <c r="BG184" i="24" s="1"/>
  <c r="AA184" i="24"/>
  <c r="AV184" i="24" s="1"/>
  <c r="Y184" i="24"/>
  <c r="AT184" i="24" s="1"/>
  <c r="AM184" i="24"/>
  <c r="BH184" i="24" s="1"/>
  <c r="AB256" i="24"/>
  <c r="AW256" i="24" s="1"/>
  <c r="AN256" i="24"/>
  <c r="BI256" i="24" s="1"/>
  <c r="AC256" i="24"/>
  <c r="AX256" i="24" s="1"/>
  <c r="AO256" i="24"/>
  <c r="BJ256" i="24" s="1"/>
  <c r="AD256" i="24"/>
  <c r="AY256" i="24" s="1"/>
  <c r="AP256" i="24"/>
  <c r="BK256" i="24" s="1"/>
  <c r="AE256" i="24"/>
  <c r="AZ256" i="24" s="1"/>
  <c r="AQ256" i="24"/>
  <c r="BL256" i="24" s="1"/>
  <c r="AF256" i="24"/>
  <c r="BA256" i="24" s="1"/>
  <c r="AR256" i="24"/>
  <c r="BM256" i="24" s="1"/>
  <c r="AG256" i="24"/>
  <c r="BB256" i="24" s="1"/>
  <c r="AH256" i="24"/>
  <c r="BC256" i="24" s="1"/>
  <c r="AI256" i="24"/>
  <c r="BD256" i="24" s="1"/>
  <c r="AJ256" i="24"/>
  <c r="BE256" i="24" s="1"/>
  <c r="AK256" i="24"/>
  <c r="BF256" i="24" s="1"/>
  <c r="Z256" i="24"/>
  <c r="AL256" i="24"/>
  <c r="BG256" i="24" s="1"/>
  <c r="Y256" i="24"/>
  <c r="AT256" i="24" s="1"/>
  <c r="AA256" i="24"/>
  <c r="AV256" i="24" s="1"/>
  <c r="AM256" i="24"/>
  <c r="BH256" i="24" s="1"/>
  <c r="AF120" i="24"/>
  <c r="BA120" i="24" s="1"/>
  <c r="AR120" i="24"/>
  <c r="BM120" i="24" s="1"/>
  <c r="AG120" i="24"/>
  <c r="BB120" i="24" s="1"/>
  <c r="AH120" i="24"/>
  <c r="BC120" i="24" s="1"/>
  <c r="AI120" i="24"/>
  <c r="BD120" i="24" s="1"/>
  <c r="AJ120" i="24"/>
  <c r="BE120" i="24" s="1"/>
  <c r="AK120" i="24"/>
  <c r="BF120" i="24" s="1"/>
  <c r="Z120" i="24"/>
  <c r="AL120" i="24"/>
  <c r="BG120" i="24" s="1"/>
  <c r="AA120" i="24"/>
  <c r="AV120" i="24" s="1"/>
  <c r="AM120" i="24"/>
  <c r="BH120" i="24" s="1"/>
  <c r="AB120" i="24"/>
  <c r="AW120" i="24" s="1"/>
  <c r="AN120" i="24"/>
  <c r="BI120" i="24" s="1"/>
  <c r="AC120" i="24"/>
  <c r="AX120" i="24" s="1"/>
  <c r="AO120" i="24"/>
  <c r="BJ120" i="24" s="1"/>
  <c r="AD120" i="24"/>
  <c r="AY120" i="24" s="1"/>
  <c r="AP120" i="24"/>
  <c r="BK120" i="24" s="1"/>
  <c r="AE120" i="24"/>
  <c r="AZ120" i="24" s="1"/>
  <c r="AQ120" i="24"/>
  <c r="BL120" i="24" s="1"/>
  <c r="Y120" i="24"/>
  <c r="AT120" i="24" s="1"/>
  <c r="AF192" i="24"/>
  <c r="BA192" i="24" s="1"/>
  <c r="AR192" i="24"/>
  <c r="BM192" i="24" s="1"/>
  <c r="AG192" i="24"/>
  <c r="BB192" i="24" s="1"/>
  <c r="AH192" i="24"/>
  <c r="BC192" i="24" s="1"/>
  <c r="AI192" i="24"/>
  <c r="BD192" i="24" s="1"/>
  <c r="AJ192" i="24"/>
  <c r="BE192" i="24" s="1"/>
  <c r="AK192" i="24"/>
  <c r="BF192" i="24" s="1"/>
  <c r="Z192" i="24"/>
  <c r="AL192" i="24"/>
  <c r="BG192" i="24" s="1"/>
  <c r="AA192" i="24"/>
  <c r="AV192" i="24" s="1"/>
  <c r="AM192" i="24"/>
  <c r="BH192" i="24" s="1"/>
  <c r="AB192" i="24"/>
  <c r="AW192" i="24" s="1"/>
  <c r="AN192" i="24"/>
  <c r="BI192" i="24" s="1"/>
  <c r="AC192" i="24"/>
  <c r="AX192" i="24" s="1"/>
  <c r="AO192" i="24"/>
  <c r="BJ192" i="24" s="1"/>
  <c r="AD192" i="24"/>
  <c r="AY192" i="24" s="1"/>
  <c r="AP192" i="24"/>
  <c r="BK192" i="24" s="1"/>
  <c r="AE192" i="24"/>
  <c r="AZ192" i="24" s="1"/>
  <c r="AQ192" i="24"/>
  <c r="BL192" i="24" s="1"/>
  <c r="Y192" i="24"/>
  <c r="AT192" i="24" s="1"/>
  <c r="AF264" i="24"/>
  <c r="BA264" i="24" s="1"/>
  <c r="AR264" i="24"/>
  <c r="BM264" i="24" s="1"/>
  <c r="AG264" i="24"/>
  <c r="BB264" i="24" s="1"/>
  <c r="AH264" i="24"/>
  <c r="BC264" i="24" s="1"/>
  <c r="AI264" i="24"/>
  <c r="BD264" i="24" s="1"/>
  <c r="AJ264" i="24"/>
  <c r="BE264" i="24" s="1"/>
  <c r="AK264" i="24"/>
  <c r="BF264" i="24" s="1"/>
  <c r="Z264" i="24"/>
  <c r="AL264" i="24"/>
  <c r="BG264" i="24" s="1"/>
  <c r="AA264" i="24"/>
  <c r="AV264" i="24" s="1"/>
  <c r="AM264" i="24"/>
  <c r="BH264" i="24" s="1"/>
  <c r="AB264" i="24"/>
  <c r="AW264" i="24" s="1"/>
  <c r="AN264" i="24"/>
  <c r="BI264" i="24" s="1"/>
  <c r="AC264" i="24"/>
  <c r="AX264" i="24" s="1"/>
  <c r="AO264" i="24"/>
  <c r="BJ264" i="24" s="1"/>
  <c r="AD264" i="24"/>
  <c r="AY264" i="24" s="1"/>
  <c r="AP264" i="24"/>
  <c r="BK264" i="24" s="1"/>
  <c r="AE264" i="24"/>
  <c r="AZ264" i="24" s="1"/>
  <c r="AQ264" i="24"/>
  <c r="BL264" i="24" s="1"/>
  <c r="Y264" i="24"/>
  <c r="AT264" i="24" s="1"/>
  <c r="AJ336" i="24"/>
  <c r="BE336" i="24" s="1"/>
  <c r="AK336" i="24"/>
  <c r="BF336" i="24" s="1"/>
  <c r="Z336" i="24"/>
  <c r="AL336" i="24"/>
  <c r="BG336" i="24" s="1"/>
  <c r="AA336" i="24"/>
  <c r="AV336" i="24" s="1"/>
  <c r="AM336" i="24"/>
  <c r="BH336" i="24" s="1"/>
  <c r="AB336" i="24"/>
  <c r="AW336" i="24" s="1"/>
  <c r="AN336" i="24"/>
  <c r="BI336" i="24" s="1"/>
  <c r="AI336" i="24"/>
  <c r="BD336" i="24" s="1"/>
  <c r="AC336" i="24"/>
  <c r="AX336" i="24" s="1"/>
  <c r="AO336" i="24"/>
  <c r="BJ336" i="24" s="1"/>
  <c r="AD336" i="24"/>
  <c r="AY336" i="24" s="1"/>
  <c r="AP336" i="24"/>
  <c r="BK336" i="24" s="1"/>
  <c r="AE336" i="24"/>
  <c r="AZ336" i="24" s="1"/>
  <c r="AQ336" i="24"/>
  <c r="BL336" i="24" s="1"/>
  <c r="AF336" i="24"/>
  <c r="BA336" i="24" s="1"/>
  <c r="AR336" i="24"/>
  <c r="BM336" i="24" s="1"/>
  <c r="AG336" i="24"/>
  <c r="BB336" i="24" s="1"/>
  <c r="AH336" i="24"/>
  <c r="BC336" i="24" s="1"/>
  <c r="Y336" i="24"/>
  <c r="AT336" i="24" s="1"/>
  <c r="AE235" i="24"/>
  <c r="AZ235" i="24" s="1"/>
  <c r="AQ235" i="24"/>
  <c r="BL235" i="24" s="1"/>
  <c r="AF235" i="24"/>
  <c r="BA235" i="24" s="1"/>
  <c r="AR235" i="24"/>
  <c r="BM235" i="24" s="1"/>
  <c r="AG235" i="24"/>
  <c r="BB235" i="24" s="1"/>
  <c r="AH235" i="24"/>
  <c r="BC235" i="24" s="1"/>
  <c r="AI235" i="24"/>
  <c r="BD235" i="24" s="1"/>
  <c r="AJ235" i="24"/>
  <c r="BE235" i="24" s="1"/>
  <c r="AK235" i="24"/>
  <c r="BF235" i="24" s="1"/>
  <c r="Z235" i="24"/>
  <c r="AL235" i="24"/>
  <c r="BG235" i="24" s="1"/>
  <c r="AA235" i="24"/>
  <c r="AV235" i="24" s="1"/>
  <c r="AM235" i="24"/>
  <c r="BH235" i="24" s="1"/>
  <c r="AB235" i="24"/>
  <c r="AW235" i="24" s="1"/>
  <c r="AN235" i="24"/>
  <c r="BI235" i="24" s="1"/>
  <c r="AC235" i="24"/>
  <c r="AX235" i="24" s="1"/>
  <c r="AO235" i="24"/>
  <c r="BJ235" i="24" s="1"/>
  <c r="Y235" i="24"/>
  <c r="AT235" i="24" s="1"/>
  <c r="AD235" i="24"/>
  <c r="AY235" i="24" s="1"/>
  <c r="AP235" i="24"/>
  <c r="BK235" i="24" s="1"/>
  <c r="AK241" i="24"/>
  <c r="BF241" i="24" s="1"/>
  <c r="Z241" i="24"/>
  <c r="AL241" i="24"/>
  <c r="BG241" i="24" s="1"/>
  <c r="AA241" i="24"/>
  <c r="AV241" i="24" s="1"/>
  <c r="AM241" i="24"/>
  <c r="BH241" i="24" s="1"/>
  <c r="AB241" i="24"/>
  <c r="AW241" i="24" s="1"/>
  <c r="AN241" i="24"/>
  <c r="BI241" i="24" s="1"/>
  <c r="AC241" i="24"/>
  <c r="AX241" i="24" s="1"/>
  <c r="AO241" i="24"/>
  <c r="BJ241" i="24" s="1"/>
  <c r="AD241" i="24"/>
  <c r="AY241" i="24" s="1"/>
  <c r="AP241" i="24"/>
  <c r="BK241" i="24" s="1"/>
  <c r="AE241" i="24"/>
  <c r="AZ241" i="24" s="1"/>
  <c r="AQ241" i="24"/>
  <c r="BL241" i="24" s="1"/>
  <c r="AF241" i="24"/>
  <c r="BA241" i="24" s="1"/>
  <c r="AR241" i="24"/>
  <c r="BM241" i="24" s="1"/>
  <c r="AG241" i="24"/>
  <c r="BB241" i="24" s="1"/>
  <c r="AH241" i="24"/>
  <c r="BC241" i="24" s="1"/>
  <c r="AI241" i="24"/>
  <c r="BD241" i="24" s="1"/>
  <c r="AJ241" i="24"/>
  <c r="BE241" i="24" s="1"/>
  <c r="Y241" i="24"/>
  <c r="AT241" i="24" s="1"/>
  <c r="AE103" i="24"/>
  <c r="AZ103" i="24" s="1"/>
  <c r="AQ103" i="24"/>
  <c r="BL103" i="24" s="1"/>
  <c r="AF103" i="24"/>
  <c r="BA103" i="24" s="1"/>
  <c r="AR103" i="24"/>
  <c r="BM103" i="24" s="1"/>
  <c r="AG103" i="24"/>
  <c r="BB103" i="24" s="1"/>
  <c r="AH103" i="24"/>
  <c r="BC103" i="24" s="1"/>
  <c r="AI103" i="24"/>
  <c r="BD103" i="24" s="1"/>
  <c r="AJ103" i="24"/>
  <c r="BE103" i="24" s="1"/>
  <c r="AK103" i="24"/>
  <c r="BF103" i="24" s="1"/>
  <c r="Z103" i="24"/>
  <c r="AL103" i="24"/>
  <c r="BG103" i="24" s="1"/>
  <c r="AA103" i="24"/>
  <c r="AV103" i="24" s="1"/>
  <c r="AM103" i="24"/>
  <c r="BH103" i="24" s="1"/>
  <c r="AB103" i="24"/>
  <c r="AW103" i="24" s="1"/>
  <c r="AN103" i="24"/>
  <c r="BI103" i="24" s="1"/>
  <c r="AC103" i="24"/>
  <c r="AX103" i="24" s="1"/>
  <c r="AO103" i="24"/>
  <c r="BJ103" i="24" s="1"/>
  <c r="AD103" i="24"/>
  <c r="AY103" i="24" s="1"/>
  <c r="AP103" i="24"/>
  <c r="BK103" i="24" s="1"/>
  <c r="Y103" i="24"/>
  <c r="AT103" i="24" s="1"/>
  <c r="AE187" i="24"/>
  <c r="AZ187" i="24" s="1"/>
  <c r="AQ187" i="24"/>
  <c r="BL187" i="24" s="1"/>
  <c r="AF187" i="24"/>
  <c r="BA187" i="24" s="1"/>
  <c r="AR187" i="24"/>
  <c r="BM187" i="24" s="1"/>
  <c r="AG187" i="24"/>
  <c r="BB187" i="24" s="1"/>
  <c r="AH187" i="24"/>
  <c r="BC187" i="24" s="1"/>
  <c r="AI187" i="24"/>
  <c r="BD187" i="24" s="1"/>
  <c r="AJ187" i="24"/>
  <c r="BE187" i="24" s="1"/>
  <c r="AK187" i="24"/>
  <c r="BF187" i="24" s="1"/>
  <c r="Z187" i="24"/>
  <c r="AL187" i="24"/>
  <c r="BG187" i="24" s="1"/>
  <c r="AA187" i="24"/>
  <c r="AV187" i="24" s="1"/>
  <c r="AM187" i="24"/>
  <c r="BH187" i="24" s="1"/>
  <c r="AB187" i="24"/>
  <c r="AW187" i="24" s="1"/>
  <c r="AN187" i="24"/>
  <c r="BI187" i="24" s="1"/>
  <c r="AC187" i="24"/>
  <c r="AX187" i="24" s="1"/>
  <c r="AO187" i="24"/>
  <c r="BJ187" i="24" s="1"/>
  <c r="AD187" i="24"/>
  <c r="AY187" i="24" s="1"/>
  <c r="Y187" i="24"/>
  <c r="AT187" i="24" s="1"/>
  <c r="AP187" i="24"/>
  <c r="BK187" i="24" s="1"/>
  <c r="AB81" i="24"/>
  <c r="AW81" i="24" s="1"/>
  <c r="AN81" i="24"/>
  <c r="BI81" i="24" s="1"/>
  <c r="AC81" i="24"/>
  <c r="AX81" i="24" s="1"/>
  <c r="AO81" i="24"/>
  <c r="BJ81" i="24" s="1"/>
  <c r="AD81" i="24"/>
  <c r="AY81" i="24" s="1"/>
  <c r="AP81" i="24"/>
  <c r="BK81" i="24" s="1"/>
  <c r="AE81" i="24"/>
  <c r="AZ81" i="24" s="1"/>
  <c r="AQ81" i="24"/>
  <c r="BL81" i="24" s="1"/>
  <c r="AF81" i="24"/>
  <c r="BA81" i="24" s="1"/>
  <c r="AR81" i="24"/>
  <c r="BM81" i="24" s="1"/>
  <c r="AG81" i="24"/>
  <c r="BB81" i="24" s="1"/>
  <c r="AH81" i="24"/>
  <c r="BC81" i="24" s="1"/>
  <c r="AI81" i="24"/>
  <c r="BD81" i="24" s="1"/>
  <c r="AJ81" i="24"/>
  <c r="BE81" i="24" s="1"/>
  <c r="AK81" i="24"/>
  <c r="BF81" i="24" s="1"/>
  <c r="Z81" i="24"/>
  <c r="AL81" i="24"/>
  <c r="BG81" i="24" s="1"/>
  <c r="AA81" i="24"/>
  <c r="AV81" i="24" s="1"/>
  <c r="AM81" i="24"/>
  <c r="BH81" i="24" s="1"/>
  <c r="Y81" i="24"/>
  <c r="AT81" i="24" s="1"/>
  <c r="AC153" i="24"/>
  <c r="AX153" i="24" s="1"/>
  <c r="AO153" i="24"/>
  <c r="BJ153" i="24" s="1"/>
  <c r="AD153" i="24"/>
  <c r="AY153" i="24" s="1"/>
  <c r="AP153" i="24"/>
  <c r="BK153" i="24" s="1"/>
  <c r="AE153" i="24"/>
  <c r="AZ153" i="24" s="1"/>
  <c r="AQ153" i="24"/>
  <c r="BL153" i="24" s="1"/>
  <c r="AF153" i="24"/>
  <c r="BA153" i="24" s="1"/>
  <c r="AR153" i="24"/>
  <c r="BM153" i="24" s="1"/>
  <c r="AG153" i="24"/>
  <c r="BB153" i="24" s="1"/>
  <c r="AH153" i="24"/>
  <c r="BC153" i="24" s="1"/>
  <c r="AI153" i="24"/>
  <c r="BD153" i="24" s="1"/>
  <c r="AJ153" i="24"/>
  <c r="BE153" i="24" s="1"/>
  <c r="AK153" i="24"/>
  <c r="BF153" i="24" s="1"/>
  <c r="Z153" i="24"/>
  <c r="AL153" i="24"/>
  <c r="BG153" i="24" s="1"/>
  <c r="AA153" i="24"/>
  <c r="AV153" i="24" s="1"/>
  <c r="AM153" i="24"/>
  <c r="BH153" i="24" s="1"/>
  <c r="AN153" i="24"/>
  <c r="BI153" i="24" s="1"/>
  <c r="AB153" i="24"/>
  <c r="AW153" i="24" s="1"/>
  <c r="Y153" i="24"/>
  <c r="AT153" i="24" s="1"/>
  <c r="AC225" i="24"/>
  <c r="AX225" i="24" s="1"/>
  <c r="AO225" i="24"/>
  <c r="BJ225" i="24" s="1"/>
  <c r="AD225" i="24"/>
  <c r="AY225" i="24" s="1"/>
  <c r="AP225" i="24"/>
  <c r="BK225" i="24" s="1"/>
  <c r="AE225" i="24"/>
  <c r="AZ225" i="24" s="1"/>
  <c r="AQ225" i="24"/>
  <c r="BL225" i="24" s="1"/>
  <c r="AF225" i="24"/>
  <c r="BA225" i="24" s="1"/>
  <c r="AR225" i="24"/>
  <c r="BM225" i="24" s="1"/>
  <c r="AG225" i="24"/>
  <c r="BB225" i="24" s="1"/>
  <c r="AH225" i="24"/>
  <c r="BC225" i="24" s="1"/>
  <c r="AI225" i="24"/>
  <c r="BD225" i="24" s="1"/>
  <c r="AJ225" i="24"/>
  <c r="BE225" i="24" s="1"/>
  <c r="AK225" i="24"/>
  <c r="BF225" i="24" s="1"/>
  <c r="Z225" i="24"/>
  <c r="AL225" i="24"/>
  <c r="BG225" i="24" s="1"/>
  <c r="AA225" i="24"/>
  <c r="AV225" i="24" s="1"/>
  <c r="AM225" i="24"/>
  <c r="BH225" i="24" s="1"/>
  <c r="AB225" i="24"/>
  <c r="AW225" i="24" s="1"/>
  <c r="AN225" i="24"/>
  <c r="BI225" i="24" s="1"/>
  <c r="Y225" i="24"/>
  <c r="AT225" i="24" s="1"/>
  <c r="AC297" i="24"/>
  <c r="AX297" i="24" s="1"/>
  <c r="AO297" i="24"/>
  <c r="BJ297" i="24" s="1"/>
  <c r="AD297" i="24"/>
  <c r="AY297" i="24" s="1"/>
  <c r="AP297" i="24"/>
  <c r="BK297" i="24" s="1"/>
  <c r="AE297" i="24"/>
  <c r="AZ297" i="24" s="1"/>
  <c r="AQ297" i="24"/>
  <c r="BL297" i="24" s="1"/>
  <c r="AF297" i="24"/>
  <c r="BA297" i="24" s="1"/>
  <c r="AR297" i="24"/>
  <c r="BM297" i="24" s="1"/>
  <c r="AG297" i="24"/>
  <c r="BB297" i="24" s="1"/>
  <c r="AH297" i="24"/>
  <c r="BC297" i="24" s="1"/>
  <c r="AI297" i="24"/>
  <c r="BD297" i="24" s="1"/>
  <c r="AJ297" i="24"/>
  <c r="BE297" i="24" s="1"/>
  <c r="AK297" i="24"/>
  <c r="BF297" i="24" s="1"/>
  <c r="Z297" i="24"/>
  <c r="AL297" i="24"/>
  <c r="BG297" i="24" s="1"/>
  <c r="AA297" i="24"/>
  <c r="AV297" i="24" s="1"/>
  <c r="AM297" i="24"/>
  <c r="BH297" i="24" s="1"/>
  <c r="AN297" i="24"/>
  <c r="BI297" i="24" s="1"/>
  <c r="Y297" i="24"/>
  <c r="AT297" i="24" s="1"/>
  <c r="AB297" i="24"/>
  <c r="AW297" i="24" s="1"/>
  <c r="AB369" i="24"/>
  <c r="AN369" i="24"/>
  <c r="AA369" i="24"/>
  <c r="AC369" i="24"/>
  <c r="AO369" i="24"/>
  <c r="AD369" i="24"/>
  <c r="AP369" i="24"/>
  <c r="AE369" i="24"/>
  <c r="AQ369" i="24"/>
  <c r="AF369" i="24"/>
  <c r="AR369" i="24"/>
  <c r="AG369" i="24"/>
  <c r="AH369" i="24"/>
  <c r="Y369" i="24"/>
  <c r="AT369" i="24" s="1"/>
  <c r="AI369" i="24"/>
  <c r="AJ369" i="24"/>
  <c r="AK369" i="24"/>
  <c r="AM369" i="24"/>
  <c r="Z369" i="24"/>
  <c r="AL369" i="24"/>
  <c r="Z71" i="24"/>
  <c r="AL71" i="24"/>
  <c r="BG71" i="24" s="1"/>
  <c r="AA71" i="24"/>
  <c r="AV71" i="24" s="1"/>
  <c r="AM71" i="24"/>
  <c r="BH71" i="24" s="1"/>
  <c r="AB71" i="24"/>
  <c r="AW71" i="24" s="1"/>
  <c r="AN71" i="24"/>
  <c r="BI71" i="24" s="1"/>
  <c r="AC71" i="24"/>
  <c r="AX71" i="24" s="1"/>
  <c r="AO71" i="24"/>
  <c r="BJ71" i="24" s="1"/>
  <c r="AD71" i="24"/>
  <c r="AY71" i="24" s="1"/>
  <c r="AP71" i="24"/>
  <c r="BK71" i="24" s="1"/>
  <c r="AE71" i="24"/>
  <c r="AZ71" i="24" s="1"/>
  <c r="AQ71" i="24"/>
  <c r="BL71" i="24" s="1"/>
  <c r="AF71" i="24"/>
  <c r="BA71" i="24" s="1"/>
  <c r="AR71" i="24"/>
  <c r="BM71" i="24" s="1"/>
  <c r="AG71" i="24"/>
  <c r="BB71" i="24" s="1"/>
  <c r="AH71" i="24"/>
  <c r="BC71" i="24" s="1"/>
  <c r="AI71" i="24"/>
  <c r="BD71" i="24" s="1"/>
  <c r="AJ71" i="24"/>
  <c r="BE71" i="24" s="1"/>
  <c r="AK71" i="24"/>
  <c r="BF71" i="24" s="1"/>
  <c r="Y71" i="24"/>
  <c r="AT71" i="24" s="1"/>
  <c r="AA215" i="24"/>
  <c r="AV215" i="24" s="1"/>
  <c r="AM215" i="24"/>
  <c r="BH215" i="24" s="1"/>
  <c r="AB215" i="24"/>
  <c r="AW215" i="24" s="1"/>
  <c r="AN215" i="24"/>
  <c r="BI215" i="24" s="1"/>
  <c r="AC215" i="24"/>
  <c r="AX215" i="24" s="1"/>
  <c r="AO215" i="24"/>
  <c r="BJ215" i="24" s="1"/>
  <c r="AD215" i="24"/>
  <c r="AY215" i="24" s="1"/>
  <c r="AP215" i="24"/>
  <c r="BK215" i="24" s="1"/>
  <c r="AE215" i="24"/>
  <c r="AZ215" i="24" s="1"/>
  <c r="AQ215" i="24"/>
  <c r="BL215" i="24" s="1"/>
  <c r="AF215" i="24"/>
  <c r="BA215" i="24" s="1"/>
  <c r="AR215" i="24"/>
  <c r="BM215" i="24" s="1"/>
  <c r="AG215" i="24"/>
  <c r="BB215" i="24" s="1"/>
  <c r="AH215" i="24"/>
  <c r="BC215" i="24" s="1"/>
  <c r="AI215" i="24"/>
  <c r="BD215" i="24" s="1"/>
  <c r="AJ215" i="24"/>
  <c r="BE215" i="24" s="1"/>
  <c r="AK215" i="24"/>
  <c r="BF215" i="24" s="1"/>
  <c r="Z215" i="24"/>
  <c r="AL215" i="24"/>
  <c r="BG215" i="24" s="1"/>
  <c r="Y215" i="24"/>
  <c r="AT215" i="24" s="1"/>
  <c r="AH338" i="24"/>
  <c r="BC338" i="24" s="1"/>
  <c r="Y338" i="24"/>
  <c r="AT338" i="24" s="1"/>
  <c r="AI338" i="24"/>
  <c r="BD338" i="24" s="1"/>
  <c r="AG338" i="24"/>
  <c r="BB338" i="24" s="1"/>
  <c r="AJ338" i="24"/>
  <c r="BE338" i="24" s="1"/>
  <c r="AK338" i="24"/>
  <c r="BF338" i="24" s="1"/>
  <c r="Z338" i="24"/>
  <c r="AL338" i="24"/>
  <c r="BG338" i="24" s="1"/>
  <c r="AA338" i="24"/>
  <c r="AV338" i="24" s="1"/>
  <c r="AM338" i="24"/>
  <c r="BH338" i="24" s="1"/>
  <c r="AB338" i="24"/>
  <c r="AW338" i="24" s="1"/>
  <c r="AN338" i="24"/>
  <c r="BI338" i="24" s="1"/>
  <c r="AC338" i="24"/>
  <c r="AX338" i="24" s="1"/>
  <c r="AO338" i="24"/>
  <c r="BJ338" i="24" s="1"/>
  <c r="AD338" i="24"/>
  <c r="AY338" i="24" s="1"/>
  <c r="AP338" i="24"/>
  <c r="BK338" i="24" s="1"/>
  <c r="AE338" i="24"/>
  <c r="AZ338" i="24" s="1"/>
  <c r="AQ338" i="24"/>
  <c r="BL338" i="24" s="1"/>
  <c r="AF338" i="24"/>
  <c r="BA338" i="24" s="1"/>
  <c r="AR338" i="24"/>
  <c r="BM338" i="24" s="1"/>
  <c r="AF89" i="24"/>
  <c r="BA89" i="24" s="1"/>
  <c r="AR89" i="24"/>
  <c r="BM89" i="24" s="1"/>
  <c r="AG89" i="24"/>
  <c r="BB89" i="24" s="1"/>
  <c r="AH89" i="24"/>
  <c r="BC89" i="24" s="1"/>
  <c r="AI89" i="24"/>
  <c r="BD89" i="24" s="1"/>
  <c r="AJ89" i="24"/>
  <c r="BE89" i="24" s="1"/>
  <c r="AK89" i="24"/>
  <c r="BF89" i="24" s="1"/>
  <c r="Z89" i="24"/>
  <c r="AL89" i="24"/>
  <c r="BG89" i="24" s="1"/>
  <c r="AA89" i="24"/>
  <c r="AV89" i="24" s="1"/>
  <c r="AM89" i="24"/>
  <c r="BH89" i="24" s="1"/>
  <c r="AB89" i="24"/>
  <c r="AW89" i="24" s="1"/>
  <c r="AN89" i="24"/>
  <c r="BI89" i="24" s="1"/>
  <c r="AC89" i="24"/>
  <c r="AX89" i="24" s="1"/>
  <c r="AO89" i="24"/>
  <c r="BJ89" i="24" s="1"/>
  <c r="AD89" i="24"/>
  <c r="AY89" i="24" s="1"/>
  <c r="AP89" i="24"/>
  <c r="BK89" i="24" s="1"/>
  <c r="AE89" i="24"/>
  <c r="AZ89" i="24" s="1"/>
  <c r="AQ89" i="24"/>
  <c r="BL89" i="24" s="1"/>
  <c r="Y89" i="24"/>
  <c r="AT89" i="24" s="1"/>
  <c r="AC98" i="24"/>
  <c r="AX98" i="24" s="1"/>
  <c r="AO98" i="24"/>
  <c r="BJ98" i="24" s="1"/>
  <c r="AD98" i="24"/>
  <c r="AY98" i="24" s="1"/>
  <c r="AP98" i="24"/>
  <c r="BK98" i="24" s="1"/>
  <c r="AE98" i="24"/>
  <c r="AZ98" i="24" s="1"/>
  <c r="AQ98" i="24"/>
  <c r="BL98" i="24" s="1"/>
  <c r="AF98" i="24"/>
  <c r="BA98" i="24" s="1"/>
  <c r="AR98" i="24"/>
  <c r="BM98" i="24" s="1"/>
  <c r="AG98" i="24"/>
  <c r="BB98" i="24" s="1"/>
  <c r="AH98" i="24"/>
  <c r="BC98" i="24" s="1"/>
  <c r="AI98" i="24"/>
  <c r="BD98" i="24" s="1"/>
  <c r="AJ98" i="24"/>
  <c r="BE98" i="24" s="1"/>
  <c r="AK98" i="24"/>
  <c r="BF98" i="24" s="1"/>
  <c r="Z98" i="24"/>
  <c r="AL98" i="24"/>
  <c r="BG98" i="24" s="1"/>
  <c r="AA98" i="24"/>
  <c r="AV98" i="24" s="1"/>
  <c r="AM98" i="24"/>
  <c r="BH98" i="24" s="1"/>
  <c r="AB98" i="24"/>
  <c r="AW98" i="24" s="1"/>
  <c r="AN98" i="24"/>
  <c r="BI98" i="24" s="1"/>
  <c r="Y98" i="24"/>
  <c r="AT98" i="24" s="1"/>
  <c r="AD242" i="24"/>
  <c r="AY242" i="24" s="1"/>
  <c r="AP242" i="24"/>
  <c r="BK242" i="24" s="1"/>
  <c r="AE242" i="24"/>
  <c r="AZ242" i="24" s="1"/>
  <c r="AQ242" i="24"/>
  <c r="BL242" i="24" s="1"/>
  <c r="AF242" i="24"/>
  <c r="BA242" i="24" s="1"/>
  <c r="AR242" i="24"/>
  <c r="BM242" i="24" s="1"/>
  <c r="AG242" i="24"/>
  <c r="BB242" i="24" s="1"/>
  <c r="AH242" i="24"/>
  <c r="BC242" i="24" s="1"/>
  <c r="AI242" i="24"/>
  <c r="BD242" i="24" s="1"/>
  <c r="AJ242" i="24"/>
  <c r="BE242" i="24" s="1"/>
  <c r="AK242" i="24"/>
  <c r="BF242" i="24" s="1"/>
  <c r="Z242" i="24"/>
  <c r="AL242" i="24"/>
  <c r="BG242" i="24" s="1"/>
  <c r="AA242" i="24"/>
  <c r="AV242" i="24" s="1"/>
  <c r="AM242" i="24"/>
  <c r="BH242" i="24" s="1"/>
  <c r="AB242" i="24"/>
  <c r="AW242" i="24" s="1"/>
  <c r="AN242" i="24"/>
  <c r="BI242" i="24" s="1"/>
  <c r="Y242" i="24"/>
  <c r="AT242" i="24" s="1"/>
  <c r="AC242" i="24"/>
  <c r="AX242" i="24" s="1"/>
  <c r="AO242" i="24"/>
  <c r="BJ242" i="24" s="1"/>
  <c r="AG137" i="24"/>
  <c r="BB137" i="24" s="1"/>
  <c r="AH137" i="24"/>
  <c r="BC137" i="24" s="1"/>
  <c r="AI137" i="24"/>
  <c r="BD137" i="24" s="1"/>
  <c r="AJ137" i="24"/>
  <c r="BE137" i="24" s="1"/>
  <c r="AK137" i="24"/>
  <c r="BF137" i="24" s="1"/>
  <c r="Z137" i="24"/>
  <c r="AL137" i="24"/>
  <c r="BG137" i="24" s="1"/>
  <c r="AA137" i="24"/>
  <c r="AV137" i="24" s="1"/>
  <c r="AM137" i="24"/>
  <c r="BH137" i="24" s="1"/>
  <c r="AB137" i="24"/>
  <c r="AW137" i="24" s="1"/>
  <c r="AN137" i="24"/>
  <c r="BI137" i="24" s="1"/>
  <c r="AC137" i="24"/>
  <c r="AX137" i="24" s="1"/>
  <c r="AO137" i="24"/>
  <c r="BJ137" i="24" s="1"/>
  <c r="AD137" i="24"/>
  <c r="AY137" i="24" s="1"/>
  <c r="AP137" i="24"/>
  <c r="BK137" i="24" s="1"/>
  <c r="AE137" i="24"/>
  <c r="AZ137" i="24" s="1"/>
  <c r="AQ137" i="24"/>
  <c r="BL137" i="24" s="1"/>
  <c r="Y137" i="24"/>
  <c r="AT137" i="24" s="1"/>
  <c r="AR137" i="24"/>
  <c r="BM137" i="24" s="1"/>
  <c r="AF137" i="24"/>
  <c r="BA137" i="24" s="1"/>
  <c r="AJ212" i="24"/>
  <c r="BE212" i="24" s="1"/>
  <c r="AK212" i="24"/>
  <c r="BF212" i="24" s="1"/>
  <c r="Z212" i="24"/>
  <c r="AL212" i="24"/>
  <c r="BG212" i="24" s="1"/>
  <c r="AA212" i="24"/>
  <c r="AV212" i="24" s="1"/>
  <c r="AM212" i="24"/>
  <c r="BH212" i="24" s="1"/>
  <c r="AB212" i="24"/>
  <c r="AW212" i="24" s="1"/>
  <c r="AN212" i="24"/>
  <c r="BI212" i="24" s="1"/>
  <c r="AC212" i="24"/>
  <c r="AX212" i="24" s="1"/>
  <c r="AO212" i="24"/>
  <c r="BJ212" i="24" s="1"/>
  <c r="AD212" i="24"/>
  <c r="AY212" i="24" s="1"/>
  <c r="AP212" i="24"/>
  <c r="BK212" i="24" s="1"/>
  <c r="AE212" i="24"/>
  <c r="AZ212" i="24" s="1"/>
  <c r="AQ212" i="24"/>
  <c r="BL212" i="24" s="1"/>
  <c r="AF212" i="24"/>
  <c r="BA212" i="24" s="1"/>
  <c r="AR212" i="24"/>
  <c r="BM212" i="24" s="1"/>
  <c r="AG212" i="24"/>
  <c r="BB212" i="24" s="1"/>
  <c r="AH212" i="24"/>
  <c r="BC212" i="24" s="1"/>
  <c r="Y212" i="24"/>
  <c r="AT212" i="24" s="1"/>
  <c r="AI212" i="24"/>
  <c r="BD212" i="24" s="1"/>
  <c r="AG281" i="24"/>
  <c r="BB281" i="24" s="1"/>
  <c r="AH281" i="24"/>
  <c r="BC281" i="24" s="1"/>
  <c r="AI281" i="24"/>
  <c r="BD281" i="24" s="1"/>
  <c r="AJ281" i="24"/>
  <c r="BE281" i="24" s="1"/>
  <c r="AK281" i="24"/>
  <c r="BF281" i="24" s="1"/>
  <c r="Z281" i="24"/>
  <c r="AL281" i="24"/>
  <c r="BG281" i="24" s="1"/>
  <c r="AA281" i="24"/>
  <c r="AV281" i="24" s="1"/>
  <c r="AM281" i="24"/>
  <c r="BH281" i="24" s="1"/>
  <c r="AB281" i="24"/>
  <c r="AW281" i="24" s="1"/>
  <c r="AN281" i="24"/>
  <c r="BI281" i="24" s="1"/>
  <c r="AC281" i="24"/>
  <c r="AX281" i="24" s="1"/>
  <c r="AO281" i="24"/>
  <c r="BJ281" i="24" s="1"/>
  <c r="AD281" i="24"/>
  <c r="AY281" i="24" s="1"/>
  <c r="AP281" i="24"/>
  <c r="BK281" i="24" s="1"/>
  <c r="AE281" i="24"/>
  <c r="AZ281" i="24" s="1"/>
  <c r="AQ281" i="24"/>
  <c r="BL281" i="24" s="1"/>
  <c r="AR281" i="24"/>
  <c r="BM281" i="24" s="1"/>
  <c r="Y281" i="24"/>
  <c r="AT281" i="24" s="1"/>
  <c r="AF281" i="24"/>
  <c r="BA281" i="24" s="1"/>
  <c r="AJ116" i="24"/>
  <c r="BE116" i="24" s="1"/>
  <c r="AK116" i="24"/>
  <c r="BF116" i="24" s="1"/>
  <c r="Z116" i="24"/>
  <c r="AL116" i="24"/>
  <c r="BG116" i="24" s="1"/>
  <c r="AA116" i="24"/>
  <c r="AV116" i="24" s="1"/>
  <c r="AM116" i="24"/>
  <c r="BH116" i="24" s="1"/>
  <c r="AB116" i="24"/>
  <c r="AW116" i="24" s="1"/>
  <c r="AN116" i="24"/>
  <c r="BI116" i="24" s="1"/>
  <c r="AC116" i="24"/>
  <c r="AX116" i="24" s="1"/>
  <c r="AO116" i="24"/>
  <c r="BJ116" i="24" s="1"/>
  <c r="AD116" i="24"/>
  <c r="AY116" i="24" s="1"/>
  <c r="AP116" i="24"/>
  <c r="BK116" i="24" s="1"/>
  <c r="AE116" i="24"/>
  <c r="AZ116" i="24" s="1"/>
  <c r="AQ116" i="24"/>
  <c r="BL116" i="24" s="1"/>
  <c r="AF116" i="24"/>
  <c r="BA116" i="24" s="1"/>
  <c r="AR116" i="24"/>
  <c r="BM116" i="24" s="1"/>
  <c r="AG116" i="24"/>
  <c r="BB116" i="24" s="1"/>
  <c r="AH116" i="24"/>
  <c r="BC116" i="24" s="1"/>
  <c r="AI116" i="24"/>
  <c r="BD116" i="24" s="1"/>
  <c r="Y116" i="24"/>
  <c r="AT116" i="24" s="1"/>
  <c r="AA172" i="25"/>
  <c r="AV172" i="25" s="1"/>
  <c r="AM172" i="25"/>
  <c r="BH172" i="25" s="1"/>
  <c r="AB172" i="25"/>
  <c r="AW172" i="25" s="1"/>
  <c r="AN172" i="25"/>
  <c r="BI172" i="25" s="1"/>
  <c r="AC172" i="25"/>
  <c r="AX172" i="25" s="1"/>
  <c r="AO172" i="25"/>
  <c r="BJ172" i="25" s="1"/>
  <c r="AD172" i="25"/>
  <c r="AY172" i="25" s="1"/>
  <c r="AP172" i="25"/>
  <c r="BK172" i="25" s="1"/>
  <c r="AE172" i="25"/>
  <c r="AZ172" i="25" s="1"/>
  <c r="AQ172" i="25"/>
  <c r="BL172" i="25" s="1"/>
  <c r="AF172" i="25"/>
  <c r="BA172" i="25" s="1"/>
  <c r="AR172" i="25"/>
  <c r="BM172" i="25" s="1"/>
  <c r="AG172" i="25"/>
  <c r="BB172" i="25" s="1"/>
  <c r="AH172" i="25"/>
  <c r="BC172" i="25" s="1"/>
  <c r="AI172" i="25"/>
  <c r="BD172" i="25" s="1"/>
  <c r="AJ172" i="25"/>
  <c r="BE172" i="25" s="1"/>
  <c r="Y172" i="25"/>
  <c r="AT172" i="25" s="1"/>
  <c r="AK172" i="25"/>
  <c r="BF172" i="25" s="1"/>
  <c r="Z172" i="25"/>
  <c r="AL172" i="25"/>
  <c r="BG172" i="25" s="1"/>
  <c r="Z244" i="25"/>
  <c r="AL244" i="25"/>
  <c r="BG244" i="25" s="1"/>
  <c r="AA244" i="25"/>
  <c r="AV244" i="25" s="1"/>
  <c r="AM244" i="25"/>
  <c r="BH244" i="25" s="1"/>
  <c r="AB244" i="25"/>
  <c r="AW244" i="25" s="1"/>
  <c r="AN244" i="25"/>
  <c r="BI244" i="25" s="1"/>
  <c r="AC244" i="25"/>
  <c r="AX244" i="25" s="1"/>
  <c r="AO244" i="25"/>
  <c r="BJ244" i="25" s="1"/>
  <c r="AD244" i="25"/>
  <c r="AY244" i="25" s="1"/>
  <c r="AP244" i="25"/>
  <c r="BK244" i="25" s="1"/>
  <c r="AE244" i="25"/>
  <c r="AZ244" i="25" s="1"/>
  <c r="AQ244" i="25"/>
  <c r="BL244" i="25" s="1"/>
  <c r="AF244" i="25"/>
  <c r="BA244" i="25" s="1"/>
  <c r="AR244" i="25"/>
  <c r="BM244" i="25" s="1"/>
  <c r="AG244" i="25"/>
  <c r="BB244" i="25" s="1"/>
  <c r="AH244" i="25"/>
  <c r="BC244" i="25" s="1"/>
  <c r="AI244" i="25"/>
  <c r="BD244" i="25" s="1"/>
  <c r="AJ244" i="25"/>
  <c r="BE244" i="25" s="1"/>
  <c r="Y244" i="25"/>
  <c r="AT244" i="25" s="1"/>
  <c r="AK244" i="25"/>
  <c r="BF244" i="25" s="1"/>
  <c r="Z316" i="25"/>
  <c r="AL316" i="25"/>
  <c r="BG316" i="25" s="1"/>
  <c r="AA316" i="25"/>
  <c r="AV316" i="25" s="1"/>
  <c r="AM316" i="25"/>
  <c r="BH316" i="25" s="1"/>
  <c r="AB316" i="25"/>
  <c r="AW316" i="25" s="1"/>
  <c r="AN316" i="25"/>
  <c r="BI316" i="25" s="1"/>
  <c r="AC316" i="25"/>
  <c r="AX316" i="25" s="1"/>
  <c r="AO316" i="25"/>
  <c r="BJ316" i="25" s="1"/>
  <c r="AD316" i="25"/>
  <c r="AY316" i="25" s="1"/>
  <c r="AP316" i="25"/>
  <c r="BK316" i="25" s="1"/>
  <c r="AE316" i="25"/>
  <c r="AZ316" i="25" s="1"/>
  <c r="AQ316" i="25"/>
  <c r="BL316" i="25" s="1"/>
  <c r="AF316" i="25"/>
  <c r="BA316" i="25" s="1"/>
  <c r="AR316" i="25"/>
  <c r="BM316" i="25" s="1"/>
  <c r="AG316" i="25"/>
  <c r="BB316" i="25" s="1"/>
  <c r="AH316" i="25"/>
  <c r="BC316" i="25" s="1"/>
  <c r="AI316" i="25"/>
  <c r="BD316" i="25" s="1"/>
  <c r="AJ316" i="25"/>
  <c r="BE316" i="25" s="1"/>
  <c r="Y316" i="25"/>
  <c r="AT316" i="25" s="1"/>
  <c r="AK316" i="25"/>
  <c r="BF316" i="25" s="1"/>
  <c r="AA115" i="25"/>
  <c r="AV115" i="25" s="1"/>
  <c r="AM115" i="25"/>
  <c r="BH115" i="25" s="1"/>
  <c r="AB115" i="25"/>
  <c r="AW115" i="25" s="1"/>
  <c r="AN115" i="25"/>
  <c r="BI115" i="25" s="1"/>
  <c r="AC115" i="25"/>
  <c r="AX115" i="25" s="1"/>
  <c r="AO115" i="25"/>
  <c r="BJ115" i="25" s="1"/>
  <c r="AD115" i="25"/>
  <c r="AY115" i="25" s="1"/>
  <c r="AP115" i="25"/>
  <c r="BK115" i="25" s="1"/>
  <c r="AE115" i="25"/>
  <c r="AZ115" i="25" s="1"/>
  <c r="AQ115" i="25"/>
  <c r="BL115" i="25" s="1"/>
  <c r="AF115" i="25"/>
  <c r="BA115" i="25" s="1"/>
  <c r="AR115" i="25"/>
  <c r="BM115" i="25" s="1"/>
  <c r="AG115" i="25"/>
  <c r="BB115" i="25" s="1"/>
  <c r="AH115" i="25"/>
  <c r="BC115" i="25" s="1"/>
  <c r="AI115" i="25"/>
  <c r="BD115" i="25" s="1"/>
  <c r="AJ115" i="25"/>
  <c r="BE115" i="25" s="1"/>
  <c r="Y115" i="25"/>
  <c r="AT115" i="25" s="1"/>
  <c r="AK115" i="25"/>
  <c r="BF115" i="25" s="1"/>
  <c r="Z115" i="25"/>
  <c r="AL115" i="25"/>
  <c r="BG115" i="25" s="1"/>
  <c r="AE185" i="25"/>
  <c r="AZ185" i="25" s="1"/>
  <c r="AQ185" i="25"/>
  <c r="BL185" i="25" s="1"/>
  <c r="AF185" i="25"/>
  <c r="BA185" i="25" s="1"/>
  <c r="AR185" i="25"/>
  <c r="BM185" i="25" s="1"/>
  <c r="AG185" i="25"/>
  <c r="BB185" i="25" s="1"/>
  <c r="AH185" i="25"/>
  <c r="BC185" i="25" s="1"/>
  <c r="AI185" i="25"/>
  <c r="BD185" i="25" s="1"/>
  <c r="AJ185" i="25"/>
  <c r="BE185" i="25" s="1"/>
  <c r="Y185" i="25"/>
  <c r="AT185" i="25" s="1"/>
  <c r="AK185" i="25"/>
  <c r="BF185" i="25" s="1"/>
  <c r="Z185" i="25"/>
  <c r="AL185" i="25"/>
  <c r="BG185" i="25" s="1"/>
  <c r="AA185" i="25"/>
  <c r="AV185" i="25" s="1"/>
  <c r="AM185" i="25"/>
  <c r="BH185" i="25" s="1"/>
  <c r="AB185" i="25"/>
  <c r="AW185" i="25" s="1"/>
  <c r="AN185" i="25"/>
  <c r="BI185" i="25" s="1"/>
  <c r="AC185" i="25"/>
  <c r="AX185" i="25" s="1"/>
  <c r="AO185" i="25"/>
  <c r="BJ185" i="25" s="1"/>
  <c r="AP185" i="25"/>
  <c r="BK185" i="25" s="1"/>
  <c r="AD185" i="25"/>
  <c r="AY185" i="25" s="1"/>
  <c r="AD257" i="25"/>
  <c r="AY257" i="25" s="1"/>
  <c r="AP257" i="25"/>
  <c r="BK257" i="25" s="1"/>
  <c r="AE257" i="25"/>
  <c r="AZ257" i="25" s="1"/>
  <c r="AQ257" i="25"/>
  <c r="BL257" i="25" s="1"/>
  <c r="AF257" i="25"/>
  <c r="BA257" i="25" s="1"/>
  <c r="AR257" i="25"/>
  <c r="BM257" i="25" s="1"/>
  <c r="AG257" i="25"/>
  <c r="BB257" i="25" s="1"/>
  <c r="AH257" i="25"/>
  <c r="BC257" i="25" s="1"/>
  <c r="AI257" i="25"/>
  <c r="BD257" i="25" s="1"/>
  <c r="AJ257" i="25"/>
  <c r="BE257" i="25" s="1"/>
  <c r="Y257" i="25"/>
  <c r="AT257" i="25" s="1"/>
  <c r="AK257" i="25"/>
  <c r="BF257" i="25" s="1"/>
  <c r="Z257" i="25"/>
  <c r="AL257" i="25"/>
  <c r="BG257" i="25" s="1"/>
  <c r="AA257" i="25"/>
  <c r="AV257" i="25" s="1"/>
  <c r="AM257" i="25"/>
  <c r="BH257" i="25" s="1"/>
  <c r="AB257" i="25"/>
  <c r="AW257" i="25" s="1"/>
  <c r="AN257" i="25"/>
  <c r="BI257" i="25" s="1"/>
  <c r="AC257" i="25"/>
  <c r="AX257" i="25" s="1"/>
  <c r="AO257" i="25"/>
  <c r="BJ257" i="25" s="1"/>
  <c r="AD329" i="25"/>
  <c r="AY329" i="25" s="1"/>
  <c r="AP329" i="25"/>
  <c r="BK329" i="25" s="1"/>
  <c r="AE329" i="25"/>
  <c r="AZ329" i="25" s="1"/>
  <c r="AQ329" i="25"/>
  <c r="BL329" i="25" s="1"/>
  <c r="AF329" i="25"/>
  <c r="BA329" i="25" s="1"/>
  <c r="AR329" i="25"/>
  <c r="BM329" i="25" s="1"/>
  <c r="AG329" i="25"/>
  <c r="BB329" i="25" s="1"/>
  <c r="AH329" i="25"/>
  <c r="BC329" i="25" s="1"/>
  <c r="AI329" i="25"/>
  <c r="BD329" i="25" s="1"/>
  <c r="AJ329" i="25"/>
  <c r="BE329" i="25" s="1"/>
  <c r="Y329" i="25"/>
  <c r="AT329" i="25" s="1"/>
  <c r="AK329" i="25"/>
  <c r="BF329" i="25" s="1"/>
  <c r="Z329" i="25"/>
  <c r="AL329" i="25"/>
  <c r="BG329" i="25" s="1"/>
  <c r="AA329" i="25"/>
  <c r="AV329" i="25" s="1"/>
  <c r="AM329" i="25"/>
  <c r="BH329" i="25" s="1"/>
  <c r="AB329" i="25"/>
  <c r="AW329" i="25" s="1"/>
  <c r="AN329" i="25"/>
  <c r="BI329" i="25" s="1"/>
  <c r="AC329" i="25"/>
  <c r="AX329" i="25" s="1"/>
  <c r="AO329" i="25"/>
  <c r="BJ329" i="25" s="1"/>
  <c r="AE128" i="25"/>
  <c r="AZ128" i="25" s="1"/>
  <c r="AQ128" i="25"/>
  <c r="BL128" i="25" s="1"/>
  <c r="AF128" i="25"/>
  <c r="BA128" i="25" s="1"/>
  <c r="AR128" i="25"/>
  <c r="BM128" i="25" s="1"/>
  <c r="AG128" i="25"/>
  <c r="BB128" i="25" s="1"/>
  <c r="AH128" i="25"/>
  <c r="BC128" i="25" s="1"/>
  <c r="AI128" i="25"/>
  <c r="BD128" i="25" s="1"/>
  <c r="AJ128" i="25"/>
  <c r="BE128" i="25" s="1"/>
  <c r="Y128" i="25"/>
  <c r="AT128" i="25" s="1"/>
  <c r="AK128" i="25"/>
  <c r="BF128" i="25" s="1"/>
  <c r="Z128" i="25"/>
  <c r="AL128" i="25"/>
  <c r="BG128" i="25" s="1"/>
  <c r="AA128" i="25"/>
  <c r="AV128" i="25" s="1"/>
  <c r="AM128" i="25"/>
  <c r="BH128" i="25" s="1"/>
  <c r="AB128" i="25"/>
  <c r="AW128" i="25" s="1"/>
  <c r="AN128" i="25"/>
  <c r="BI128" i="25" s="1"/>
  <c r="AC128" i="25"/>
  <c r="AX128" i="25" s="1"/>
  <c r="AO128" i="25"/>
  <c r="BJ128" i="25" s="1"/>
  <c r="AD128" i="25"/>
  <c r="AY128" i="25" s="1"/>
  <c r="AP128" i="25"/>
  <c r="BK128" i="25" s="1"/>
  <c r="AI204" i="25"/>
  <c r="BD204" i="25" s="1"/>
  <c r="AJ204" i="25"/>
  <c r="BE204" i="25" s="1"/>
  <c r="Y204" i="25"/>
  <c r="AT204" i="25" s="1"/>
  <c r="AK204" i="25"/>
  <c r="BF204" i="25" s="1"/>
  <c r="Z204" i="25"/>
  <c r="AL204" i="25"/>
  <c r="BG204" i="25" s="1"/>
  <c r="AA204" i="25"/>
  <c r="AV204" i="25" s="1"/>
  <c r="AM204" i="25"/>
  <c r="BH204" i="25" s="1"/>
  <c r="AB204" i="25"/>
  <c r="AW204" i="25" s="1"/>
  <c r="AN204" i="25"/>
  <c r="BI204" i="25" s="1"/>
  <c r="AC204" i="25"/>
  <c r="AX204" i="25" s="1"/>
  <c r="AO204" i="25"/>
  <c r="BJ204" i="25" s="1"/>
  <c r="AD204" i="25"/>
  <c r="AY204" i="25" s="1"/>
  <c r="AP204" i="25"/>
  <c r="BK204" i="25" s="1"/>
  <c r="AE204" i="25"/>
  <c r="AZ204" i="25" s="1"/>
  <c r="AQ204" i="25"/>
  <c r="BL204" i="25" s="1"/>
  <c r="AF204" i="25"/>
  <c r="BA204" i="25" s="1"/>
  <c r="AR204" i="25"/>
  <c r="BM204" i="25" s="1"/>
  <c r="AG204" i="25"/>
  <c r="BB204" i="25" s="1"/>
  <c r="AH204" i="25"/>
  <c r="BC204" i="25" s="1"/>
  <c r="AH276" i="25"/>
  <c r="BC276" i="25" s="1"/>
  <c r="AI276" i="25"/>
  <c r="BD276" i="25" s="1"/>
  <c r="AJ276" i="25"/>
  <c r="BE276" i="25" s="1"/>
  <c r="Y276" i="25"/>
  <c r="AT276" i="25" s="1"/>
  <c r="AK276" i="25"/>
  <c r="BF276" i="25" s="1"/>
  <c r="Z276" i="25"/>
  <c r="AL276" i="25"/>
  <c r="BG276" i="25" s="1"/>
  <c r="AA276" i="25"/>
  <c r="AV276" i="25" s="1"/>
  <c r="AM276" i="25"/>
  <c r="BH276" i="25" s="1"/>
  <c r="AB276" i="25"/>
  <c r="AW276" i="25" s="1"/>
  <c r="AN276" i="25"/>
  <c r="BI276" i="25" s="1"/>
  <c r="AC276" i="25"/>
  <c r="AX276" i="25" s="1"/>
  <c r="AO276" i="25"/>
  <c r="BJ276" i="25" s="1"/>
  <c r="AD276" i="25"/>
  <c r="AY276" i="25" s="1"/>
  <c r="AP276" i="25"/>
  <c r="BK276" i="25" s="1"/>
  <c r="AE276" i="25"/>
  <c r="AZ276" i="25" s="1"/>
  <c r="AQ276" i="25"/>
  <c r="BL276" i="25" s="1"/>
  <c r="AF276" i="25"/>
  <c r="BA276" i="25" s="1"/>
  <c r="AR276" i="25"/>
  <c r="BM276" i="25" s="1"/>
  <c r="AG276" i="25"/>
  <c r="BB276" i="25" s="1"/>
  <c r="AH348" i="25"/>
  <c r="BC348" i="25" s="1"/>
  <c r="AI348" i="25"/>
  <c r="BD348" i="25" s="1"/>
  <c r="AJ348" i="25"/>
  <c r="BE348" i="25" s="1"/>
  <c r="Y348" i="25"/>
  <c r="AT348" i="25" s="1"/>
  <c r="AK348" i="25"/>
  <c r="BF348" i="25" s="1"/>
  <c r="Z348" i="25"/>
  <c r="AL348" i="25"/>
  <c r="BG348" i="25" s="1"/>
  <c r="AA348" i="25"/>
  <c r="AV348" i="25" s="1"/>
  <c r="AM348" i="25"/>
  <c r="BH348" i="25" s="1"/>
  <c r="AB348" i="25"/>
  <c r="AW348" i="25" s="1"/>
  <c r="AN348" i="25"/>
  <c r="BI348" i="25" s="1"/>
  <c r="AC348" i="25"/>
  <c r="AX348" i="25" s="1"/>
  <c r="AO348" i="25"/>
  <c r="BJ348" i="25" s="1"/>
  <c r="AD348" i="25"/>
  <c r="AY348" i="25" s="1"/>
  <c r="AP348" i="25"/>
  <c r="BK348" i="25" s="1"/>
  <c r="AE348" i="25"/>
  <c r="AZ348" i="25" s="1"/>
  <c r="AQ348" i="25"/>
  <c r="BL348" i="25" s="1"/>
  <c r="AF348" i="25"/>
  <c r="BA348" i="25" s="1"/>
  <c r="AR348" i="25"/>
  <c r="BM348" i="25" s="1"/>
  <c r="AG348" i="25"/>
  <c r="BB348" i="25" s="1"/>
  <c r="AI147" i="25"/>
  <c r="BD147" i="25" s="1"/>
  <c r="AJ147" i="25"/>
  <c r="BE147" i="25" s="1"/>
  <c r="Y147" i="25"/>
  <c r="AT147" i="25" s="1"/>
  <c r="AK147" i="25"/>
  <c r="BF147" i="25" s="1"/>
  <c r="Z147" i="25"/>
  <c r="AL147" i="25"/>
  <c r="BG147" i="25" s="1"/>
  <c r="AA147" i="25"/>
  <c r="AV147" i="25" s="1"/>
  <c r="AM147" i="25"/>
  <c r="BH147" i="25" s="1"/>
  <c r="AB147" i="25"/>
  <c r="AW147" i="25" s="1"/>
  <c r="AN147" i="25"/>
  <c r="BI147" i="25" s="1"/>
  <c r="AC147" i="25"/>
  <c r="AX147" i="25" s="1"/>
  <c r="AO147" i="25"/>
  <c r="BJ147" i="25" s="1"/>
  <c r="AD147" i="25"/>
  <c r="AY147" i="25" s="1"/>
  <c r="AP147" i="25"/>
  <c r="BK147" i="25" s="1"/>
  <c r="AE147" i="25"/>
  <c r="AZ147" i="25" s="1"/>
  <c r="AQ147" i="25"/>
  <c r="BL147" i="25" s="1"/>
  <c r="AF147" i="25"/>
  <c r="BA147" i="25" s="1"/>
  <c r="AR147" i="25"/>
  <c r="BM147" i="25" s="1"/>
  <c r="AG147" i="25"/>
  <c r="BB147" i="25" s="1"/>
  <c r="AH147" i="25"/>
  <c r="BC147" i="25" s="1"/>
  <c r="AA223" i="25"/>
  <c r="AV223" i="25" s="1"/>
  <c r="AM223" i="25"/>
  <c r="BH223" i="25" s="1"/>
  <c r="AB223" i="25"/>
  <c r="AW223" i="25" s="1"/>
  <c r="AN223" i="25"/>
  <c r="BI223" i="25" s="1"/>
  <c r="AC223" i="25"/>
  <c r="AX223" i="25" s="1"/>
  <c r="AO223" i="25"/>
  <c r="BJ223" i="25" s="1"/>
  <c r="AD223" i="25"/>
  <c r="AY223" i="25" s="1"/>
  <c r="AP223" i="25"/>
  <c r="BK223" i="25" s="1"/>
  <c r="AE223" i="25"/>
  <c r="AZ223" i="25" s="1"/>
  <c r="AQ223" i="25"/>
  <c r="BL223" i="25" s="1"/>
  <c r="AF223" i="25"/>
  <c r="BA223" i="25" s="1"/>
  <c r="AR223" i="25"/>
  <c r="BM223" i="25" s="1"/>
  <c r="AG223" i="25"/>
  <c r="BB223" i="25" s="1"/>
  <c r="AH223" i="25"/>
  <c r="BC223" i="25" s="1"/>
  <c r="AI223" i="25"/>
  <c r="BD223" i="25" s="1"/>
  <c r="AJ223" i="25"/>
  <c r="BE223" i="25" s="1"/>
  <c r="Y223" i="25"/>
  <c r="AT223" i="25" s="1"/>
  <c r="AK223" i="25"/>
  <c r="BF223" i="25" s="1"/>
  <c r="Z223" i="25"/>
  <c r="AL223" i="25"/>
  <c r="BG223" i="25" s="1"/>
  <c r="Z295" i="25"/>
  <c r="AL295" i="25"/>
  <c r="BG295" i="25" s="1"/>
  <c r="AA295" i="25"/>
  <c r="AV295" i="25" s="1"/>
  <c r="AM295" i="25"/>
  <c r="BH295" i="25" s="1"/>
  <c r="AB295" i="25"/>
  <c r="AW295" i="25" s="1"/>
  <c r="AN295" i="25"/>
  <c r="BI295" i="25" s="1"/>
  <c r="AC295" i="25"/>
  <c r="AX295" i="25" s="1"/>
  <c r="AO295" i="25"/>
  <c r="BJ295" i="25" s="1"/>
  <c r="AD295" i="25"/>
  <c r="AY295" i="25" s="1"/>
  <c r="AP295" i="25"/>
  <c r="BK295" i="25" s="1"/>
  <c r="AE295" i="25"/>
  <c r="AZ295" i="25" s="1"/>
  <c r="AQ295" i="25"/>
  <c r="BL295" i="25" s="1"/>
  <c r="AF295" i="25"/>
  <c r="BA295" i="25" s="1"/>
  <c r="AR295" i="25"/>
  <c r="BM295" i="25" s="1"/>
  <c r="AG295" i="25"/>
  <c r="BB295" i="25" s="1"/>
  <c r="AH295" i="25"/>
  <c r="BC295" i="25" s="1"/>
  <c r="AI295" i="25"/>
  <c r="BD295" i="25" s="1"/>
  <c r="AJ295" i="25"/>
  <c r="BE295" i="25" s="1"/>
  <c r="Y295" i="25"/>
  <c r="AT295" i="25" s="1"/>
  <c r="AK295" i="25"/>
  <c r="BF295" i="25" s="1"/>
  <c r="Z367" i="25"/>
  <c r="AL367" i="25"/>
  <c r="AA367" i="25"/>
  <c r="AM367" i="25"/>
  <c r="AB367" i="25"/>
  <c r="AN367" i="25"/>
  <c r="AC367" i="25"/>
  <c r="AO367" i="25"/>
  <c r="AD367" i="25"/>
  <c r="AP367" i="25"/>
  <c r="AE367" i="25"/>
  <c r="AQ367" i="25"/>
  <c r="AF367" i="25"/>
  <c r="AR367" i="25"/>
  <c r="AG367" i="25"/>
  <c r="AH367" i="25"/>
  <c r="AI367" i="25"/>
  <c r="AJ367" i="25"/>
  <c r="Y367" i="25"/>
  <c r="AT367" i="25" s="1"/>
  <c r="AK367" i="25"/>
  <c r="AE164" i="25"/>
  <c r="AZ164" i="25" s="1"/>
  <c r="AQ164" i="25"/>
  <c r="BL164" i="25" s="1"/>
  <c r="AF164" i="25"/>
  <c r="BA164" i="25" s="1"/>
  <c r="AR164" i="25"/>
  <c r="BM164" i="25" s="1"/>
  <c r="AG164" i="25"/>
  <c r="BB164" i="25" s="1"/>
  <c r="AH164" i="25"/>
  <c r="BC164" i="25" s="1"/>
  <c r="AI164" i="25"/>
  <c r="BD164" i="25" s="1"/>
  <c r="AJ164" i="25"/>
  <c r="BE164" i="25" s="1"/>
  <c r="Y164" i="25"/>
  <c r="AT164" i="25" s="1"/>
  <c r="AK164" i="25"/>
  <c r="BF164" i="25" s="1"/>
  <c r="Z164" i="25"/>
  <c r="AL164" i="25"/>
  <c r="BG164" i="25" s="1"/>
  <c r="AA164" i="25"/>
  <c r="AV164" i="25" s="1"/>
  <c r="AM164" i="25"/>
  <c r="BH164" i="25" s="1"/>
  <c r="AB164" i="25"/>
  <c r="AW164" i="25" s="1"/>
  <c r="AN164" i="25"/>
  <c r="BI164" i="25" s="1"/>
  <c r="AC164" i="25"/>
  <c r="AX164" i="25" s="1"/>
  <c r="AO164" i="25"/>
  <c r="BJ164" i="25" s="1"/>
  <c r="AD164" i="25"/>
  <c r="AY164" i="25" s="1"/>
  <c r="AP164" i="25"/>
  <c r="BK164" i="25" s="1"/>
  <c r="AE236" i="25"/>
  <c r="AZ236" i="25" s="1"/>
  <c r="AF236" i="25"/>
  <c r="BA236" i="25" s="1"/>
  <c r="Y236" i="25"/>
  <c r="AT236" i="25" s="1"/>
  <c r="AK236" i="25"/>
  <c r="BF236" i="25" s="1"/>
  <c r="Z236" i="25"/>
  <c r="AA236" i="25"/>
  <c r="AV236" i="25" s="1"/>
  <c r="AC236" i="25"/>
  <c r="AX236" i="25" s="1"/>
  <c r="AP236" i="25"/>
  <c r="BK236" i="25" s="1"/>
  <c r="AQ236" i="25"/>
  <c r="BL236" i="25" s="1"/>
  <c r="AB236" i="25"/>
  <c r="AW236" i="25" s="1"/>
  <c r="AR236" i="25"/>
  <c r="BM236" i="25" s="1"/>
  <c r="AD236" i="25"/>
  <c r="AY236" i="25" s="1"/>
  <c r="AG236" i="25"/>
  <c r="BB236" i="25" s="1"/>
  <c r="AH236" i="25"/>
  <c r="BC236" i="25" s="1"/>
  <c r="AI236" i="25"/>
  <c r="BD236" i="25" s="1"/>
  <c r="AJ236" i="25"/>
  <c r="BE236" i="25" s="1"/>
  <c r="AL236" i="25"/>
  <c r="BG236" i="25" s="1"/>
  <c r="AM236" i="25"/>
  <c r="BH236" i="25" s="1"/>
  <c r="AN236" i="25"/>
  <c r="BI236" i="25" s="1"/>
  <c r="AO236" i="25"/>
  <c r="BJ236" i="25" s="1"/>
  <c r="AD308" i="25"/>
  <c r="AY308" i="25" s="1"/>
  <c r="AP308" i="25"/>
  <c r="BK308" i="25" s="1"/>
  <c r="AE308" i="25"/>
  <c r="AZ308" i="25" s="1"/>
  <c r="AQ308" i="25"/>
  <c r="BL308" i="25" s="1"/>
  <c r="AF308" i="25"/>
  <c r="BA308" i="25" s="1"/>
  <c r="AR308" i="25"/>
  <c r="BM308" i="25" s="1"/>
  <c r="AG308" i="25"/>
  <c r="BB308" i="25" s="1"/>
  <c r="AH308" i="25"/>
  <c r="BC308" i="25" s="1"/>
  <c r="AI308" i="25"/>
  <c r="BD308" i="25" s="1"/>
  <c r="AJ308" i="25"/>
  <c r="BE308" i="25" s="1"/>
  <c r="Y308" i="25"/>
  <c r="AT308" i="25" s="1"/>
  <c r="AK308" i="25"/>
  <c r="BF308" i="25" s="1"/>
  <c r="Z308" i="25"/>
  <c r="AL308" i="25"/>
  <c r="BG308" i="25" s="1"/>
  <c r="AA308" i="25"/>
  <c r="AV308" i="25" s="1"/>
  <c r="AM308" i="25"/>
  <c r="BH308" i="25" s="1"/>
  <c r="AB308" i="25"/>
  <c r="AW308" i="25" s="1"/>
  <c r="AN308" i="25"/>
  <c r="BI308" i="25" s="1"/>
  <c r="AO308" i="25"/>
  <c r="BJ308" i="25" s="1"/>
  <c r="AC308" i="25"/>
  <c r="AX308" i="25" s="1"/>
  <c r="AD380" i="25"/>
  <c r="AY380" i="25" s="1"/>
  <c r="AP380" i="25"/>
  <c r="BK380" i="25" s="1"/>
  <c r="AE380" i="25"/>
  <c r="AZ380" i="25" s="1"/>
  <c r="AQ380" i="25"/>
  <c r="BL380" i="25" s="1"/>
  <c r="AF380" i="25"/>
  <c r="BA380" i="25" s="1"/>
  <c r="AR380" i="25"/>
  <c r="BM380" i="25" s="1"/>
  <c r="AG380" i="25"/>
  <c r="BB380" i="25" s="1"/>
  <c r="AH380" i="25"/>
  <c r="BC380" i="25" s="1"/>
  <c r="AI380" i="25"/>
  <c r="BD380" i="25" s="1"/>
  <c r="AJ380" i="25"/>
  <c r="BE380" i="25" s="1"/>
  <c r="Y380" i="25"/>
  <c r="AT380" i="25" s="1"/>
  <c r="AK380" i="25"/>
  <c r="BF380" i="25" s="1"/>
  <c r="Z380" i="25"/>
  <c r="AL380" i="25"/>
  <c r="BG380" i="25" s="1"/>
  <c r="AA380" i="25"/>
  <c r="AV380" i="25" s="1"/>
  <c r="AM380" i="25"/>
  <c r="BH380" i="25" s="1"/>
  <c r="AB380" i="25"/>
  <c r="AW380" i="25" s="1"/>
  <c r="AN380" i="25"/>
  <c r="BI380" i="25" s="1"/>
  <c r="AO380" i="25"/>
  <c r="BJ380" i="25" s="1"/>
  <c r="AC380" i="25"/>
  <c r="AX380" i="25" s="1"/>
  <c r="AI171" i="25"/>
  <c r="BD171" i="25" s="1"/>
  <c r="AJ171" i="25"/>
  <c r="BE171" i="25" s="1"/>
  <c r="Y171" i="25"/>
  <c r="AT171" i="25" s="1"/>
  <c r="AK171" i="25"/>
  <c r="BF171" i="25" s="1"/>
  <c r="Z171" i="25"/>
  <c r="AL171" i="25"/>
  <c r="BG171" i="25" s="1"/>
  <c r="AA171" i="25"/>
  <c r="AV171" i="25" s="1"/>
  <c r="AM171" i="25"/>
  <c r="BH171" i="25" s="1"/>
  <c r="AB171" i="25"/>
  <c r="AW171" i="25" s="1"/>
  <c r="AN171" i="25"/>
  <c r="BI171" i="25" s="1"/>
  <c r="AC171" i="25"/>
  <c r="AX171" i="25" s="1"/>
  <c r="AO171" i="25"/>
  <c r="BJ171" i="25" s="1"/>
  <c r="AD171" i="25"/>
  <c r="AY171" i="25" s="1"/>
  <c r="AP171" i="25"/>
  <c r="BK171" i="25" s="1"/>
  <c r="AE171" i="25"/>
  <c r="AZ171" i="25" s="1"/>
  <c r="AQ171" i="25"/>
  <c r="BL171" i="25" s="1"/>
  <c r="AF171" i="25"/>
  <c r="BA171" i="25" s="1"/>
  <c r="AR171" i="25"/>
  <c r="BM171" i="25" s="1"/>
  <c r="AG171" i="25"/>
  <c r="BB171" i="25" s="1"/>
  <c r="AH171" i="25"/>
  <c r="BC171" i="25" s="1"/>
  <c r="AH261" i="25"/>
  <c r="BC261" i="25" s="1"/>
  <c r="AI261" i="25"/>
  <c r="BD261" i="25" s="1"/>
  <c r="AJ261" i="25"/>
  <c r="BE261" i="25" s="1"/>
  <c r="Y261" i="25"/>
  <c r="AT261" i="25" s="1"/>
  <c r="AK261" i="25"/>
  <c r="BF261" i="25" s="1"/>
  <c r="Z261" i="25"/>
  <c r="AL261" i="25"/>
  <c r="BG261" i="25" s="1"/>
  <c r="AA261" i="25"/>
  <c r="AV261" i="25" s="1"/>
  <c r="AM261" i="25"/>
  <c r="BH261" i="25" s="1"/>
  <c r="AB261" i="25"/>
  <c r="AW261" i="25" s="1"/>
  <c r="AN261" i="25"/>
  <c r="BI261" i="25" s="1"/>
  <c r="AC261" i="25"/>
  <c r="AX261" i="25" s="1"/>
  <c r="AO261" i="25"/>
  <c r="BJ261" i="25" s="1"/>
  <c r="AD261" i="25"/>
  <c r="AY261" i="25" s="1"/>
  <c r="AP261" i="25"/>
  <c r="BK261" i="25" s="1"/>
  <c r="AE261" i="25"/>
  <c r="AZ261" i="25" s="1"/>
  <c r="AQ261" i="25"/>
  <c r="BL261" i="25" s="1"/>
  <c r="AF261" i="25"/>
  <c r="BA261" i="25" s="1"/>
  <c r="AR261" i="25"/>
  <c r="BM261" i="25" s="1"/>
  <c r="AG261" i="25"/>
  <c r="BB261" i="25" s="1"/>
  <c r="AH333" i="25"/>
  <c r="BC333" i="25" s="1"/>
  <c r="AI333" i="25"/>
  <c r="BD333" i="25" s="1"/>
  <c r="AJ333" i="25"/>
  <c r="BE333" i="25" s="1"/>
  <c r="Y333" i="25"/>
  <c r="AT333" i="25" s="1"/>
  <c r="AK333" i="25"/>
  <c r="BF333" i="25" s="1"/>
  <c r="Z333" i="25"/>
  <c r="AL333" i="25"/>
  <c r="BG333" i="25" s="1"/>
  <c r="AA333" i="25"/>
  <c r="AV333" i="25" s="1"/>
  <c r="AM333" i="25"/>
  <c r="BH333" i="25" s="1"/>
  <c r="AB333" i="25"/>
  <c r="AW333" i="25" s="1"/>
  <c r="AN333" i="25"/>
  <c r="BI333" i="25" s="1"/>
  <c r="AC333" i="25"/>
  <c r="AX333" i="25" s="1"/>
  <c r="AO333" i="25"/>
  <c r="BJ333" i="25" s="1"/>
  <c r="AD333" i="25"/>
  <c r="AY333" i="25" s="1"/>
  <c r="AP333" i="25"/>
  <c r="BK333" i="25" s="1"/>
  <c r="AE333" i="25"/>
  <c r="AZ333" i="25" s="1"/>
  <c r="AQ333" i="25"/>
  <c r="BL333" i="25" s="1"/>
  <c r="AF333" i="25"/>
  <c r="BA333" i="25" s="1"/>
  <c r="AR333" i="25"/>
  <c r="BM333" i="25" s="1"/>
  <c r="AG333" i="25"/>
  <c r="BB333" i="25" s="1"/>
  <c r="AC221" i="26"/>
  <c r="AX221" i="26" s="1"/>
  <c r="AO221" i="26"/>
  <c r="BJ221" i="26" s="1"/>
  <c r="AD221" i="26"/>
  <c r="AY221" i="26" s="1"/>
  <c r="AP221" i="26"/>
  <c r="BK221" i="26" s="1"/>
  <c r="AE221" i="26"/>
  <c r="AZ221" i="26" s="1"/>
  <c r="AQ221" i="26"/>
  <c r="BL221" i="26" s="1"/>
  <c r="AF221" i="26"/>
  <c r="BA221" i="26" s="1"/>
  <c r="AR221" i="26"/>
  <c r="BM221" i="26" s="1"/>
  <c r="AG221" i="26"/>
  <c r="BB221" i="26" s="1"/>
  <c r="AH221" i="26"/>
  <c r="BC221" i="26" s="1"/>
  <c r="AI221" i="26"/>
  <c r="BD221" i="26" s="1"/>
  <c r="AJ221" i="26"/>
  <c r="BE221" i="26" s="1"/>
  <c r="Y221" i="26"/>
  <c r="AT221" i="26" s="1"/>
  <c r="AK221" i="26"/>
  <c r="BF221" i="26" s="1"/>
  <c r="Z221" i="26"/>
  <c r="AL221" i="26"/>
  <c r="BG221" i="26" s="1"/>
  <c r="AA221" i="26"/>
  <c r="AV221" i="26" s="1"/>
  <c r="AM221" i="26"/>
  <c r="BH221" i="26" s="1"/>
  <c r="AB221" i="26"/>
  <c r="AW221" i="26" s="1"/>
  <c r="AN221" i="26"/>
  <c r="BI221" i="26" s="1"/>
  <c r="AC293" i="26"/>
  <c r="AX293" i="26" s="1"/>
  <c r="AO293" i="26"/>
  <c r="BJ293" i="26" s="1"/>
  <c r="AD293" i="26"/>
  <c r="AY293" i="26" s="1"/>
  <c r="AP293" i="26"/>
  <c r="BK293" i="26" s="1"/>
  <c r="AE293" i="26"/>
  <c r="AZ293" i="26" s="1"/>
  <c r="AQ293" i="26"/>
  <c r="BL293" i="26" s="1"/>
  <c r="AF293" i="26"/>
  <c r="BA293" i="26" s="1"/>
  <c r="AR293" i="26"/>
  <c r="BM293" i="26" s="1"/>
  <c r="AG293" i="26"/>
  <c r="BB293" i="26" s="1"/>
  <c r="AH293" i="26"/>
  <c r="BC293" i="26" s="1"/>
  <c r="AI293" i="26"/>
  <c r="BD293" i="26" s="1"/>
  <c r="AJ293" i="26"/>
  <c r="BE293" i="26" s="1"/>
  <c r="Y293" i="26"/>
  <c r="AT293" i="26" s="1"/>
  <c r="AK293" i="26"/>
  <c r="BF293" i="26" s="1"/>
  <c r="Z293" i="26"/>
  <c r="AL293" i="26"/>
  <c r="BG293" i="26" s="1"/>
  <c r="AA293" i="26"/>
  <c r="AV293" i="26" s="1"/>
  <c r="AM293" i="26"/>
  <c r="BH293" i="26" s="1"/>
  <c r="AB293" i="26"/>
  <c r="AW293" i="26" s="1"/>
  <c r="AN293" i="26"/>
  <c r="BI293" i="26" s="1"/>
  <c r="AD365" i="26"/>
  <c r="AY365" i="26" s="1"/>
  <c r="AP365" i="26"/>
  <c r="BK365" i="26" s="1"/>
  <c r="AE365" i="26"/>
  <c r="AZ365" i="26" s="1"/>
  <c r="AQ365" i="26"/>
  <c r="BL365" i="26" s="1"/>
  <c r="AF365" i="26"/>
  <c r="BA365" i="26" s="1"/>
  <c r="AR365" i="26"/>
  <c r="BM365" i="26" s="1"/>
  <c r="AG365" i="26"/>
  <c r="BB365" i="26" s="1"/>
  <c r="AH365" i="26"/>
  <c r="BC365" i="26" s="1"/>
  <c r="AI365" i="26"/>
  <c r="BD365" i="26" s="1"/>
  <c r="AJ365" i="26"/>
  <c r="BE365" i="26" s="1"/>
  <c r="Y365" i="26"/>
  <c r="AT365" i="26" s="1"/>
  <c r="AK365" i="26"/>
  <c r="BF365" i="26" s="1"/>
  <c r="Z365" i="26"/>
  <c r="AL365" i="26"/>
  <c r="BG365" i="26" s="1"/>
  <c r="AA365" i="26"/>
  <c r="AV365" i="26" s="1"/>
  <c r="AM365" i="26"/>
  <c r="BH365" i="26" s="1"/>
  <c r="AB365" i="26"/>
  <c r="AW365" i="26" s="1"/>
  <c r="AN365" i="26"/>
  <c r="BI365" i="26" s="1"/>
  <c r="AC365" i="26"/>
  <c r="AX365" i="26" s="1"/>
  <c r="AO365" i="26"/>
  <c r="BJ365" i="26" s="1"/>
  <c r="AG186" i="26"/>
  <c r="BB186" i="26" s="1"/>
  <c r="AH186" i="26"/>
  <c r="BC186" i="26" s="1"/>
  <c r="AI186" i="26"/>
  <c r="BD186" i="26" s="1"/>
  <c r="AJ186" i="26"/>
  <c r="BE186" i="26" s="1"/>
  <c r="Y186" i="26"/>
  <c r="AT186" i="26" s="1"/>
  <c r="AK186" i="26"/>
  <c r="BF186" i="26" s="1"/>
  <c r="Z186" i="26"/>
  <c r="AL186" i="26"/>
  <c r="BG186" i="26" s="1"/>
  <c r="AA186" i="26"/>
  <c r="AV186" i="26" s="1"/>
  <c r="AM186" i="26"/>
  <c r="BH186" i="26" s="1"/>
  <c r="AB186" i="26"/>
  <c r="AW186" i="26" s="1"/>
  <c r="AN186" i="26"/>
  <c r="BI186" i="26" s="1"/>
  <c r="AC186" i="26"/>
  <c r="AX186" i="26" s="1"/>
  <c r="AO186" i="26"/>
  <c r="BJ186" i="26" s="1"/>
  <c r="AD186" i="26"/>
  <c r="AY186" i="26" s="1"/>
  <c r="AP186" i="26"/>
  <c r="BK186" i="26" s="1"/>
  <c r="AE186" i="26"/>
  <c r="AZ186" i="26" s="1"/>
  <c r="AQ186" i="26"/>
  <c r="BL186" i="26" s="1"/>
  <c r="AF186" i="26"/>
  <c r="BA186" i="26" s="1"/>
  <c r="AR186" i="26"/>
  <c r="BM186" i="26" s="1"/>
  <c r="AG258" i="26"/>
  <c r="BB258" i="26" s="1"/>
  <c r="AH258" i="26"/>
  <c r="BC258" i="26" s="1"/>
  <c r="AI258" i="26"/>
  <c r="BD258" i="26" s="1"/>
  <c r="AJ258" i="26"/>
  <c r="BE258" i="26" s="1"/>
  <c r="Y258" i="26"/>
  <c r="AT258" i="26" s="1"/>
  <c r="AK258" i="26"/>
  <c r="BF258" i="26" s="1"/>
  <c r="Z258" i="26"/>
  <c r="AL258" i="26"/>
  <c r="BG258" i="26" s="1"/>
  <c r="AA258" i="26"/>
  <c r="AV258" i="26" s="1"/>
  <c r="AM258" i="26"/>
  <c r="BH258" i="26" s="1"/>
  <c r="AB258" i="26"/>
  <c r="AW258" i="26" s="1"/>
  <c r="AN258" i="26"/>
  <c r="BI258" i="26" s="1"/>
  <c r="AC258" i="26"/>
  <c r="AX258" i="26" s="1"/>
  <c r="AO258" i="26"/>
  <c r="BJ258" i="26" s="1"/>
  <c r="AD258" i="26"/>
  <c r="AY258" i="26" s="1"/>
  <c r="AP258" i="26"/>
  <c r="BK258" i="26" s="1"/>
  <c r="AE258" i="26"/>
  <c r="AZ258" i="26" s="1"/>
  <c r="AQ258" i="26"/>
  <c r="BL258" i="26" s="1"/>
  <c r="AF258" i="26"/>
  <c r="BA258" i="26" s="1"/>
  <c r="AR258" i="26"/>
  <c r="BM258" i="26" s="1"/>
  <c r="AH330" i="26"/>
  <c r="BC330" i="26" s="1"/>
  <c r="AI330" i="26"/>
  <c r="BD330" i="26" s="1"/>
  <c r="AJ330" i="26"/>
  <c r="BE330" i="26" s="1"/>
  <c r="Y330" i="26"/>
  <c r="AT330" i="26" s="1"/>
  <c r="AK330" i="26"/>
  <c r="BF330" i="26" s="1"/>
  <c r="Z330" i="26"/>
  <c r="AL330" i="26"/>
  <c r="BG330" i="26" s="1"/>
  <c r="AA330" i="26"/>
  <c r="AV330" i="26" s="1"/>
  <c r="AM330" i="26"/>
  <c r="BH330" i="26" s="1"/>
  <c r="AB330" i="26"/>
  <c r="AW330" i="26" s="1"/>
  <c r="AN330" i="26"/>
  <c r="BI330" i="26" s="1"/>
  <c r="AC330" i="26"/>
  <c r="AX330" i="26" s="1"/>
  <c r="AO330" i="26"/>
  <c r="BJ330" i="26" s="1"/>
  <c r="AD330" i="26"/>
  <c r="AY330" i="26" s="1"/>
  <c r="AP330" i="26"/>
  <c r="BK330" i="26" s="1"/>
  <c r="AE330" i="26"/>
  <c r="AZ330" i="26" s="1"/>
  <c r="AQ330" i="26"/>
  <c r="BL330" i="26" s="1"/>
  <c r="AF330" i="26"/>
  <c r="BA330" i="26" s="1"/>
  <c r="AR330" i="26"/>
  <c r="BM330" i="26" s="1"/>
  <c r="AG330" i="26"/>
  <c r="BB330" i="26" s="1"/>
  <c r="Y223" i="26"/>
  <c r="AT223" i="26" s="1"/>
  <c r="AK223" i="26"/>
  <c r="BF223" i="26" s="1"/>
  <c r="Z223" i="26"/>
  <c r="AL223" i="26"/>
  <c r="BG223" i="26" s="1"/>
  <c r="AA223" i="26"/>
  <c r="AV223" i="26" s="1"/>
  <c r="AM223" i="26"/>
  <c r="BH223" i="26" s="1"/>
  <c r="AB223" i="26"/>
  <c r="AW223" i="26" s="1"/>
  <c r="AN223" i="26"/>
  <c r="BI223" i="26" s="1"/>
  <c r="AC223" i="26"/>
  <c r="AX223" i="26" s="1"/>
  <c r="AO223" i="26"/>
  <c r="BJ223" i="26" s="1"/>
  <c r="AD223" i="26"/>
  <c r="AY223" i="26" s="1"/>
  <c r="AP223" i="26"/>
  <c r="BK223" i="26" s="1"/>
  <c r="AE223" i="26"/>
  <c r="AZ223" i="26" s="1"/>
  <c r="AQ223" i="26"/>
  <c r="BL223" i="26" s="1"/>
  <c r="AF223" i="26"/>
  <c r="BA223" i="26" s="1"/>
  <c r="AR223" i="26"/>
  <c r="BM223" i="26" s="1"/>
  <c r="AG223" i="26"/>
  <c r="BB223" i="26" s="1"/>
  <c r="AH223" i="26"/>
  <c r="BC223" i="26" s="1"/>
  <c r="AI223" i="26"/>
  <c r="BD223" i="26" s="1"/>
  <c r="AJ223" i="26"/>
  <c r="BE223" i="26" s="1"/>
  <c r="Y295" i="26"/>
  <c r="AT295" i="26" s="1"/>
  <c r="AK295" i="26"/>
  <c r="BF295" i="26" s="1"/>
  <c r="Z295" i="26"/>
  <c r="AL295" i="26"/>
  <c r="BG295" i="26" s="1"/>
  <c r="AA295" i="26"/>
  <c r="AV295" i="26" s="1"/>
  <c r="AM295" i="26"/>
  <c r="BH295" i="26" s="1"/>
  <c r="AB295" i="26"/>
  <c r="AW295" i="26" s="1"/>
  <c r="AN295" i="26"/>
  <c r="BI295" i="26" s="1"/>
  <c r="AC295" i="26"/>
  <c r="AX295" i="26" s="1"/>
  <c r="AO295" i="26"/>
  <c r="BJ295" i="26" s="1"/>
  <c r="AD295" i="26"/>
  <c r="AY295" i="26" s="1"/>
  <c r="AP295" i="26"/>
  <c r="BK295" i="26" s="1"/>
  <c r="AE295" i="26"/>
  <c r="AZ295" i="26" s="1"/>
  <c r="AQ295" i="26"/>
  <c r="BL295" i="26" s="1"/>
  <c r="AF295" i="26"/>
  <c r="BA295" i="26" s="1"/>
  <c r="AR295" i="26"/>
  <c r="BM295" i="26" s="1"/>
  <c r="AG295" i="26"/>
  <c r="BB295" i="26" s="1"/>
  <c r="AH295" i="26"/>
  <c r="BC295" i="26" s="1"/>
  <c r="AI295" i="26"/>
  <c r="BD295" i="26" s="1"/>
  <c r="AJ295" i="26"/>
  <c r="BE295" i="26" s="1"/>
  <c r="Z367" i="26"/>
  <c r="AL367" i="26"/>
  <c r="AA367" i="26"/>
  <c r="AM367" i="26"/>
  <c r="AB367" i="26"/>
  <c r="AN367" i="26"/>
  <c r="AC367" i="26"/>
  <c r="AO367" i="26"/>
  <c r="AD367" i="26"/>
  <c r="AP367" i="26"/>
  <c r="AE367" i="26"/>
  <c r="AQ367" i="26"/>
  <c r="AF367" i="26"/>
  <c r="AR367" i="26"/>
  <c r="AG367" i="26"/>
  <c r="AH367" i="26"/>
  <c r="AI367" i="26"/>
  <c r="AJ367" i="26"/>
  <c r="Y367" i="26"/>
  <c r="AT367" i="26" s="1"/>
  <c r="AK367" i="26"/>
  <c r="AC194" i="26"/>
  <c r="AX194" i="26" s="1"/>
  <c r="AO194" i="26"/>
  <c r="BJ194" i="26" s="1"/>
  <c r="AD194" i="26"/>
  <c r="AY194" i="26" s="1"/>
  <c r="AP194" i="26"/>
  <c r="BK194" i="26" s="1"/>
  <c r="AE194" i="26"/>
  <c r="AZ194" i="26" s="1"/>
  <c r="AQ194" i="26"/>
  <c r="BL194" i="26" s="1"/>
  <c r="AF194" i="26"/>
  <c r="BA194" i="26" s="1"/>
  <c r="AR194" i="26"/>
  <c r="BM194" i="26" s="1"/>
  <c r="AG194" i="26"/>
  <c r="BB194" i="26" s="1"/>
  <c r="AH194" i="26"/>
  <c r="BC194" i="26" s="1"/>
  <c r="AI194" i="26"/>
  <c r="BD194" i="26" s="1"/>
  <c r="AJ194" i="26"/>
  <c r="BE194" i="26" s="1"/>
  <c r="Y194" i="26"/>
  <c r="AT194" i="26" s="1"/>
  <c r="AK194" i="26"/>
  <c r="BF194" i="26" s="1"/>
  <c r="Z194" i="26"/>
  <c r="AL194" i="26"/>
  <c r="BG194" i="26" s="1"/>
  <c r="AA194" i="26"/>
  <c r="AV194" i="26" s="1"/>
  <c r="AM194" i="26"/>
  <c r="BH194" i="26" s="1"/>
  <c r="AB194" i="26"/>
  <c r="AW194" i="26" s="1"/>
  <c r="AN194" i="26"/>
  <c r="BI194" i="26" s="1"/>
  <c r="AC266" i="26"/>
  <c r="AX266" i="26" s="1"/>
  <c r="AO266" i="26"/>
  <c r="BJ266" i="26" s="1"/>
  <c r="AD266" i="26"/>
  <c r="AY266" i="26" s="1"/>
  <c r="AP266" i="26"/>
  <c r="BK266" i="26" s="1"/>
  <c r="AE266" i="26"/>
  <c r="AZ266" i="26" s="1"/>
  <c r="AQ266" i="26"/>
  <c r="BL266" i="26" s="1"/>
  <c r="AF266" i="26"/>
  <c r="BA266" i="26" s="1"/>
  <c r="AR266" i="26"/>
  <c r="BM266" i="26" s="1"/>
  <c r="AG266" i="26"/>
  <c r="BB266" i="26" s="1"/>
  <c r="AH266" i="26"/>
  <c r="BC266" i="26" s="1"/>
  <c r="AI266" i="26"/>
  <c r="BD266" i="26" s="1"/>
  <c r="AJ266" i="26"/>
  <c r="BE266" i="26" s="1"/>
  <c r="Y266" i="26"/>
  <c r="AT266" i="26" s="1"/>
  <c r="AK266" i="26"/>
  <c r="BF266" i="26" s="1"/>
  <c r="Z266" i="26"/>
  <c r="AL266" i="26"/>
  <c r="BG266" i="26" s="1"/>
  <c r="AA266" i="26"/>
  <c r="AV266" i="26" s="1"/>
  <c r="AM266" i="26"/>
  <c r="BH266" i="26" s="1"/>
  <c r="AB266" i="26"/>
  <c r="AW266" i="26" s="1"/>
  <c r="AN266" i="26"/>
  <c r="BI266" i="26" s="1"/>
  <c r="AD338" i="26"/>
  <c r="AY338" i="26" s="1"/>
  <c r="AP338" i="26"/>
  <c r="BK338" i="26" s="1"/>
  <c r="AE338" i="26"/>
  <c r="AZ338" i="26" s="1"/>
  <c r="AQ338" i="26"/>
  <c r="BL338" i="26" s="1"/>
  <c r="AF338" i="26"/>
  <c r="BA338" i="26" s="1"/>
  <c r="AR338" i="26"/>
  <c r="BM338" i="26" s="1"/>
  <c r="AG338" i="26"/>
  <c r="BB338" i="26" s="1"/>
  <c r="AH338" i="26"/>
  <c r="BC338" i="26" s="1"/>
  <c r="AI338" i="26"/>
  <c r="BD338" i="26" s="1"/>
  <c r="AJ338" i="26"/>
  <c r="BE338" i="26" s="1"/>
  <c r="Y338" i="26"/>
  <c r="AT338" i="26" s="1"/>
  <c r="AK338" i="26"/>
  <c r="BF338" i="26" s="1"/>
  <c r="Z338" i="26"/>
  <c r="AL338" i="26"/>
  <c r="BG338" i="26" s="1"/>
  <c r="AA338" i="26"/>
  <c r="AV338" i="26" s="1"/>
  <c r="AM338" i="26"/>
  <c r="BH338" i="26" s="1"/>
  <c r="AB338" i="26"/>
  <c r="AW338" i="26" s="1"/>
  <c r="AN338" i="26"/>
  <c r="BI338" i="26" s="1"/>
  <c r="AC338" i="26"/>
  <c r="AX338" i="26" s="1"/>
  <c r="AO338" i="26"/>
  <c r="BJ338" i="26" s="1"/>
  <c r="AG165" i="26"/>
  <c r="BB165" i="26" s="1"/>
  <c r="AH165" i="26"/>
  <c r="BC165" i="26" s="1"/>
  <c r="AI165" i="26"/>
  <c r="BD165" i="26" s="1"/>
  <c r="AJ165" i="26"/>
  <c r="BE165" i="26" s="1"/>
  <c r="Y165" i="26"/>
  <c r="AT165" i="26" s="1"/>
  <c r="AK165" i="26"/>
  <c r="BF165" i="26" s="1"/>
  <c r="Z165" i="26"/>
  <c r="AL165" i="26"/>
  <c r="BG165" i="26" s="1"/>
  <c r="AA165" i="26"/>
  <c r="AV165" i="26" s="1"/>
  <c r="AM165" i="26"/>
  <c r="BH165" i="26" s="1"/>
  <c r="AB165" i="26"/>
  <c r="AW165" i="26" s="1"/>
  <c r="AN165" i="26"/>
  <c r="BI165" i="26" s="1"/>
  <c r="AC165" i="26"/>
  <c r="AX165" i="26" s="1"/>
  <c r="AO165" i="26"/>
  <c r="BJ165" i="26" s="1"/>
  <c r="AD165" i="26"/>
  <c r="AY165" i="26" s="1"/>
  <c r="AP165" i="26"/>
  <c r="BK165" i="26" s="1"/>
  <c r="AE165" i="26"/>
  <c r="AZ165" i="26" s="1"/>
  <c r="AQ165" i="26"/>
  <c r="BL165" i="26" s="1"/>
  <c r="AF165" i="26"/>
  <c r="BA165" i="26" s="1"/>
  <c r="AR165" i="26"/>
  <c r="BM165" i="26" s="1"/>
  <c r="AG237" i="26"/>
  <c r="BB237" i="26" s="1"/>
  <c r="AH237" i="26"/>
  <c r="BC237" i="26" s="1"/>
  <c r="AI237" i="26"/>
  <c r="BD237" i="26" s="1"/>
  <c r="AJ237" i="26"/>
  <c r="BE237" i="26" s="1"/>
  <c r="Y237" i="26"/>
  <c r="AT237" i="26" s="1"/>
  <c r="AK237" i="26"/>
  <c r="BF237" i="26" s="1"/>
  <c r="Z237" i="26"/>
  <c r="AL237" i="26"/>
  <c r="BG237" i="26" s="1"/>
  <c r="AA237" i="26"/>
  <c r="AV237" i="26" s="1"/>
  <c r="AM237" i="26"/>
  <c r="BH237" i="26" s="1"/>
  <c r="AB237" i="26"/>
  <c r="AW237" i="26" s="1"/>
  <c r="AN237" i="26"/>
  <c r="BI237" i="26" s="1"/>
  <c r="AC237" i="26"/>
  <c r="AX237" i="26" s="1"/>
  <c r="AO237" i="26"/>
  <c r="BJ237" i="26" s="1"/>
  <c r="AD237" i="26"/>
  <c r="AY237" i="26" s="1"/>
  <c r="AP237" i="26"/>
  <c r="BK237" i="26" s="1"/>
  <c r="AE237" i="26"/>
  <c r="AZ237" i="26" s="1"/>
  <c r="AQ237" i="26"/>
  <c r="BL237" i="26" s="1"/>
  <c r="AF237" i="26"/>
  <c r="BA237" i="26" s="1"/>
  <c r="AR237" i="26"/>
  <c r="BM237" i="26" s="1"/>
  <c r="AG309" i="26"/>
  <c r="BB309" i="26" s="1"/>
  <c r="AH309" i="26"/>
  <c r="BC309" i="26" s="1"/>
  <c r="AI309" i="26"/>
  <c r="BD309" i="26" s="1"/>
  <c r="AJ309" i="26"/>
  <c r="BE309" i="26" s="1"/>
  <c r="Y309" i="26"/>
  <c r="AT309" i="26" s="1"/>
  <c r="AK309" i="26"/>
  <c r="BF309" i="26" s="1"/>
  <c r="Z309" i="26"/>
  <c r="AL309" i="26"/>
  <c r="BG309" i="26" s="1"/>
  <c r="AA309" i="26"/>
  <c r="AV309" i="26" s="1"/>
  <c r="AM309" i="26"/>
  <c r="BH309" i="26" s="1"/>
  <c r="AB309" i="26"/>
  <c r="AW309" i="26" s="1"/>
  <c r="AN309" i="26"/>
  <c r="BI309" i="26" s="1"/>
  <c r="AC309" i="26"/>
  <c r="AX309" i="26" s="1"/>
  <c r="AO309" i="26"/>
  <c r="BJ309" i="26" s="1"/>
  <c r="AD309" i="26"/>
  <c r="AY309" i="26" s="1"/>
  <c r="AP309" i="26"/>
  <c r="BK309" i="26" s="1"/>
  <c r="AE309" i="26"/>
  <c r="AZ309" i="26" s="1"/>
  <c r="AQ309" i="26"/>
  <c r="BL309" i="26" s="1"/>
  <c r="AF309" i="26"/>
  <c r="BA309" i="26" s="1"/>
  <c r="AR309" i="26"/>
  <c r="BM309" i="26" s="1"/>
  <c r="AH381" i="26"/>
  <c r="AI381" i="26"/>
  <c r="AJ381" i="26"/>
  <c r="Y381" i="26"/>
  <c r="AT381" i="26" s="1"/>
  <c r="AK381" i="26"/>
  <c r="Z381" i="26"/>
  <c r="AL381" i="26"/>
  <c r="AA381" i="26"/>
  <c r="AM381" i="26"/>
  <c r="AB381" i="26"/>
  <c r="AN381" i="26"/>
  <c r="AC381" i="26"/>
  <c r="AO381" i="26"/>
  <c r="AD381" i="26"/>
  <c r="AP381" i="26"/>
  <c r="AE381" i="26"/>
  <c r="AQ381" i="26"/>
  <c r="AF381" i="26"/>
  <c r="AR381" i="26"/>
  <c r="AG381" i="26"/>
  <c r="Y208" i="26"/>
  <c r="AT208" i="26" s="1"/>
  <c r="AK208" i="26"/>
  <c r="BF208" i="26" s="1"/>
  <c r="Z208" i="26"/>
  <c r="AL208" i="26"/>
  <c r="BG208" i="26" s="1"/>
  <c r="AA208" i="26"/>
  <c r="AV208" i="26" s="1"/>
  <c r="AM208" i="26"/>
  <c r="BH208" i="26" s="1"/>
  <c r="AB208" i="26"/>
  <c r="AW208" i="26" s="1"/>
  <c r="AN208" i="26"/>
  <c r="BI208" i="26" s="1"/>
  <c r="AC208" i="26"/>
  <c r="AX208" i="26" s="1"/>
  <c r="AO208" i="26"/>
  <c r="BJ208" i="26" s="1"/>
  <c r="AD208" i="26"/>
  <c r="AY208" i="26" s="1"/>
  <c r="AP208" i="26"/>
  <c r="BK208" i="26" s="1"/>
  <c r="AE208" i="26"/>
  <c r="AZ208" i="26" s="1"/>
  <c r="AQ208" i="26"/>
  <c r="BL208" i="26" s="1"/>
  <c r="AF208" i="26"/>
  <c r="BA208" i="26" s="1"/>
  <c r="AR208" i="26"/>
  <c r="BM208" i="26" s="1"/>
  <c r="AG208" i="26"/>
  <c r="BB208" i="26" s="1"/>
  <c r="AH208" i="26"/>
  <c r="BC208" i="26" s="1"/>
  <c r="AI208" i="26"/>
  <c r="BD208" i="26" s="1"/>
  <c r="AJ208" i="26"/>
  <c r="BE208" i="26" s="1"/>
  <c r="Y280" i="26"/>
  <c r="AT280" i="26" s="1"/>
  <c r="AK280" i="26"/>
  <c r="BF280" i="26" s="1"/>
  <c r="Z280" i="26"/>
  <c r="AL280" i="26"/>
  <c r="BG280" i="26" s="1"/>
  <c r="AA280" i="26"/>
  <c r="AV280" i="26" s="1"/>
  <c r="AM280" i="26"/>
  <c r="BH280" i="26" s="1"/>
  <c r="AB280" i="26"/>
  <c r="AW280" i="26" s="1"/>
  <c r="AN280" i="26"/>
  <c r="BI280" i="26" s="1"/>
  <c r="AC280" i="26"/>
  <c r="AX280" i="26" s="1"/>
  <c r="AO280" i="26"/>
  <c r="BJ280" i="26" s="1"/>
  <c r="AD280" i="26"/>
  <c r="AY280" i="26" s="1"/>
  <c r="AP280" i="26"/>
  <c r="BK280" i="26" s="1"/>
  <c r="AE280" i="26"/>
  <c r="AZ280" i="26" s="1"/>
  <c r="AQ280" i="26"/>
  <c r="BL280" i="26" s="1"/>
  <c r="AF280" i="26"/>
  <c r="BA280" i="26" s="1"/>
  <c r="AR280" i="26"/>
  <c r="BM280" i="26" s="1"/>
  <c r="AG280" i="26"/>
  <c r="BB280" i="26" s="1"/>
  <c r="AH280" i="26"/>
  <c r="BC280" i="26" s="1"/>
  <c r="AI280" i="26"/>
  <c r="BD280" i="26" s="1"/>
  <c r="AJ280" i="26"/>
  <c r="BE280" i="26" s="1"/>
  <c r="Z352" i="26"/>
  <c r="AL352" i="26"/>
  <c r="BG352" i="26" s="1"/>
  <c r="AA352" i="26"/>
  <c r="AV352" i="26" s="1"/>
  <c r="AM352" i="26"/>
  <c r="BH352" i="26" s="1"/>
  <c r="AB352" i="26"/>
  <c r="AW352" i="26" s="1"/>
  <c r="AN352" i="26"/>
  <c r="BI352" i="26" s="1"/>
  <c r="AC352" i="26"/>
  <c r="AX352" i="26" s="1"/>
  <c r="AO352" i="26"/>
  <c r="BJ352" i="26" s="1"/>
  <c r="AD352" i="26"/>
  <c r="AY352" i="26" s="1"/>
  <c r="AP352" i="26"/>
  <c r="BK352" i="26" s="1"/>
  <c r="AE352" i="26"/>
  <c r="AZ352" i="26" s="1"/>
  <c r="AQ352" i="26"/>
  <c r="BL352" i="26" s="1"/>
  <c r="AF352" i="26"/>
  <c r="BA352" i="26" s="1"/>
  <c r="AR352" i="26"/>
  <c r="BM352" i="26" s="1"/>
  <c r="AG352" i="26"/>
  <c r="BB352" i="26" s="1"/>
  <c r="AH352" i="26"/>
  <c r="BC352" i="26" s="1"/>
  <c r="AI352" i="26"/>
  <c r="BD352" i="26" s="1"/>
  <c r="AJ352" i="26"/>
  <c r="BE352" i="26" s="1"/>
  <c r="Y352" i="26"/>
  <c r="AT352" i="26" s="1"/>
  <c r="AK352" i="26"/>
  <c r="BF352" i="26" s="1"/>
  <c r="AJ214" i="27"/>
  <c r="BE214" i="27" s="1"/>
  <c r="AK214" i="27"/>
  <c r="BF214" i="27" s="1"/>
  <c r="Z214" i="27"/>
  <c r="AL214" i="27"/>
  <c r="BG214" i="27" s="1"/>
  <c r="AA214" i="27"/>
  <c r="AV214" i="27" s="1"/>
  <c r="AM214" i="27"/>
  <c r="BH214" i="27" s="1"/>
  <c r="AB214" i="27"/>
  <c r="AW214" i="27" s="1"/>
  <c r="AN214" i="27"/>
  <c r="BI214" i="27" s="1"/>
  <c r="AC214" i="27"/>
  <c r="AX214" i="27" s="1"/>
  <c r="AO214" i="27"/>
  <c r="BJ214" i="27" s="1"/>
  <c r="AD214" i="27"/>
  <c r="AY214" i="27" s="1"/>
  <c r="AP214" i="27"/>
  <c r="BK214" i="27" s="1"/>
  <c r="AE214" i="27"/>
  <c r="AZ214" i="27" s="1"/>
  <c r="AQ214" i="27"/>
  <c r="BL214" i="27" s="1"/>
  <c r="AF214" i="27"/>
  <c r="BA214" i="27" s="1"/>
  <c r="AR214" i="27"/>
  <c r="BM214" i="27" s="1"/>
  <c r="AG214" i="27"/>
  <c r="BB214" i="27" s="1"/>
  <c r="AH214" i="27"/>
  <c r="BC214" i="27" s="1"/>
  <c r="AI214" i="27"/>
  <c r="BD214" i="27" s="1"/>
  <c r="Y214" i="27"/>
  <c r="AT214" i="27" s="1"/>
  <c r="Z284" i="27"/>
  <c r="AL284" i="27"/>
  <c r="BG284" i="27" s="1"/>
  <c r="AA284" i="27"/>
  <c r="AV284" i="27" s="1"/>
  <c r="AM284" i="27"/>
  <c r="BH284" i="27" s="1"/>
  <c r="AC284" i="27"/>
  <c r="AX284" i="27" s="1"/>
  <c r="AO284" i="27"/>
  <c r="BJ284" i="27" s="1"/>
  <c r="AD284" i="27"/>
  <c r="AY284" i="27" s="1"/>
  <c r="AP284" i="27"/>
  <c r="BK284" i="27" s="1"/>
  <c r="AE284" i="27"/>
  <c r="AZ284" i="27" s="1"/>
  <c r="AQ284" i="27"/>
  <c r="BL284" i="27" s="1"/>
  <c r="AF284" i="27"/>
  <c r="BA284" i="27" s="1"/>
  <c r="AR284" i="27"/>
  <c r="BM284" i="27" s="1"/>
  <c r="AG284" i="27"/>
  <c r="BB284" i="27" s="1"/>
  <c r="AI284" i="27"/>
  <c r="BD284" i="27" s="1"/>
  <c r="AJ284" i="27"/>
  <c r="BE284" i="27" s="1"/>
  <c r="AK284" i="27"/>
  <c r="BF284" i="27" s="1"/>
  <c r="AN284" i="27"/>
  <c r="BI284" i="27" s="1"/>
  <c r="Y284" i="27"/>
  <c r="AT284" i="27" s="1"/>
  <c r="AB284" i="27"/>
  <c r="AW284" i="27" s="1"/>
  <c r="AH284" i="27"/>
  <c r="BC284" i="27" s="1"/>
  <c r="AJ356" i="27"/>
  <c r="BE356" i="27" s="1"/>
  <c r="AK356" i="27"/>
  <c r="BF356" i="27" s="1"/>
  <c r="AA356" i="27"/>
  <c r="AV356" i="27" s="1"/>
  <c r="AM356" i="27"/>
  <c r="BH356" i="27" s="1"/>
  <c r="AB356" i="27"/>
  <c r="AW356" i="27" s="1"/>
  <c r="AN356" i="27"/>
  <c r="BI356" i="27" s="1"/>
  <c r="AC356" i="27"/>
  <c r="AX356" i="27" s="1"/>
  <c r="AO356" i="27"/>
  <c r="BJ356" i="27" s="1"/>
  <c r="AD356" i="27"/>
  <c r="AY356" i="27" s="1"/>
  <c r="AP356" i="27"/>
  <c r="BK356" i="27" s="1"/>
  <c r="AE356" i="27"/>
  <c r="AZ356" i="27" s="1"/>
  <c r="AQ356" i="27"/>
  <c r="BL356" i="27" s="1"/>
  <c r="AG356" i="27"/>
  <c r="BB356" i="27" s="1"/>
  <c r="AH356" i="27"/>
  <c r="BC356" i="27" s="1"/>
  <c r="Z356" i="27"/>
  <c r="AF356" i="27"/>
  <c r="BA356" i="27" s="1"/>
  <c r="AI356" i="27"/>
  <c r="BD356" i="27" s="1"/>
  <c r="AL356" i="27"/>
  <c r="BG356" i="27" s="1"/>
  <c r="AR356" i="27"/>
  <c r="BM356" i="27" s="1"/>
  <c r="Y356" i="27"/>
  <c r="AT356" i="27" s="1"/>
  <c r="AC227" i="27"/>
  <c r="AX227" i="27" s="1"/>
  <c r="AO227" i="27"/>
  <c r="BJ227" i="27" s="1"/>
  <c r="AD227" i="27"/>
  <c r="AY227" i="27" s="1"/>
  <c r="AP227" i="27"/>
  <c r="BK227" i="27" s="1"/>
  <c r="AE227" i="27"/>
  <c r="AZ227" i="27" s="1"/>
  <c r="AQ227" i="27"/>
  <c r="BL227" i="27" s="1"/>
  <c r="AF227" i="27"/>
  <c r="BA227" i="27" s="1"/>
  <c r="AR227" i="27"/>
  <c r="BM227" i="27" s="1"/>
  <c r="AG227" i="27"/>
  <c r="BB227" i="27" s="1"/>
  <c r="AH227" i="27"/>
  <c r="BC227" i="27" s="1"/>
  <c r="AI227" i="27"/>
  <c r="BD227" i="27" s="1"/>
  <c r="AJ227" i="27"/>
  <c r="BE227" i="27" s="1"/>
  <c r="AK227" i="27"/>
  <c r="BF227" i="27" s="1"/>
  <c r="Z227" i="27"/>
  <c r="AL227" i="27"/>
  <c r="BG227" i="27" s="1"/>
  <c r="AA227" i="27"/>
  <c r="AV227" i="27" s="1"/>
  <c r="AM227" i="27"/>
  <c r="BH227" i="27" s="1"/>
  <c r="AN227" i="27"/>
  <c r="BI227" i="27" s="1"/>
  <c r="AB227" i="27"/>
  <c r="AW227" i="27" s="1"/>
  <c r="Y227" i="27"/>
  <c r="AT227" i="27" s="1"/>
  <c r="AI303" i="27"/>
  <c r="BD303" i="27" s="1"/>
  <c r="Y303" i="27"/>
  <c r="AT303" i="27" s="1"/>
  <c r="AJ303" i="27"/>
  <c r="BE303" i="27" s="1"/>
  <c r="AK303" i="27"/>
  <c r="BF303" i="27" s="1"/>
  <c r="Z303" i="27"/>
  <c r="AL303" i="27"/>
  <c r="BG303" i="27" s="1"/>
  <c r="AA303" i="27"/>
  <c r="AV303" i="27" s="1"/>
  <c r="AM303" i="27"/>
  <c r="BH303" i="27" s="1"/>
  <c r="AB303" i="27"/>
  <c r="AW303" i="27" s="1"/>
  <c r="AN303" i="27"/>
  <c r="BI303" i="27" s="1"/>
  <c r="AC303" i="27"/>
  <c r="AX303" i="27" s="1"/>
  <c r="AO303" i="27"/>
  <c r="BJ303" i="27" s="1"/>
  <c r="AD303" i="27"/>
  <c r="AY303" i="27" s="1"/>
  <c r="AP303" i="27"/>
  <c r="BK303" i="27" s="1"/>
  <c r="AE303" i="27"/>
  <c r="AZ303" i="27" s="1"/>
  <c r="AQ303" i="27"/>
  <c r="BL303" i="27" s="1"/>
  <c r="AF303" i="27"/>
  <c r="BA303" i="27" s="1"/>
  <c r="AR303" i="27"/>
  <c r="BM303" i="27" s="1"/>
  <c r="AG303" i="27"/>
  <c r="BB303" i="27" s="1"/>
  <c r="AH303" i="27"/>
  <c r="BC303" i="27" s="1"/>
  <c r="AI375" i="27"/>
  <c r="AJ375" i="27"/>
  <c r="Z375" i="27"/>
  <c r="AL375" i="27"/>
  <c r="AA375" i="27"/>
  <c r="AM375" i="27"/>
  <c r="AB375" i="27"/>
  <c r="AN375" i="27"/>
  <c r="AC375" i="27"/>
  <c r="AO375" i="27"/>
  <c r="AD375" i="27"/>
  <c r="AP375" i="27"/>
  <c r="AF375" i="27"/>
  <c r="AR375" i="27"/>
  <c r="AG375" i="27"/>
  <c r="Y375" i="27"/>
  <c r="AT375" i="27" s="1"/>
  <c r="AE375" i="27"/>
  <c r="AH375" i="27"/>
  <c r="AK375" i="27"/>
  <c r="AQ375" i="27"/>
  <c r="AJ250" i="27"/>
  <c r="BE250" i="27" s="1"/>
  <c r="AK250" i="27"/>
  <c r="BF250" i="27" s="1"/>
  <c r="Z250" i="27"/>
  <c r="AL250" i="27"/>
  <c r="BG250" i="27" s="1"/>
  <c r="AA250" i="27"/>
  <c r="AV250" i="27" s="1"/>
  <c r="AM250" i="27"/>
  <c r="BH250" i="27" s="1"/>
  <c r="AB250" i="27"/>
  <c r="AW250" i="27" s="1"/>
  <c r="AN250" i="27"/>
  <c r="BI250" i="27" s="1"/>
  <c r="AC250" i="27"/>
  <c r="AX250" i="27" s="1"/>
  <c r="AO250" i="27"/>
  <c r="BJ250" i="27" s="1"/>
  <c r="AD250" i="27"/>
  <c r="AY250" i="27" s="1"/>
  <c r="AP250" i="27"/>
  <c r="BK250" i="27" s="1"/>
  <c r="AE250" i="27"/>
  <c r="AZ250" i="27" s="1"/>
  <c r="AQ250" i="27"/>
  <c r="BL250" i="27" s="1"/>
  <c r="AF250" i="27"/>
  <c r="BA250" i="27" s="1"/>
  <c r="AR250" i="27"/>
  <c r="BM250" i="27" s="1"/>
  <c r="AG250" i="27"/>
  <c r="BB250" i="27" s="1"/>
  <c r="AH250" i="27"/>
  <c r="BC250" i="27" s="1"/>
  <c r="AI250" i="27"/>
  <c r="BD250" i="27" s="1"/>
  <c r="Y250" i="27"/>
  <c r="AT250" i="27" s="1"/>
  <c r="AH322" i="27"/>
  <c r="BC322" i="27" s="1"/>
  <c r="AI322" i="27"/>
  <c r="BD322" i="27" s="1"/>
  <c r="AJ322" i="27"/>
  <c r="BE322" i="27" s="1"/>
  <c r="AK322" i="27"/>
  <c r="BF322" i="27" s="1"/>
  <c r="Z322" i="27"/>
  <c r="AL322" i="27"/>
  <c r="BG322" i="27" s="1"/>
  <c r="AA322" i="27"/>
  <c r="AV322" i="27" s="1"/>
  <c r="AM322" i="27"/>
  <c r="BH322" i="27" s="1"/>
  <c r="AB322" i="27"/>
  <c r="AW322" i="27" s="1"/>
  <c r="AN322" i="27"/>
  <c r="BI322" i="27" s="1"/>
  <c r="AC322" i="27"/>
  <c r="AX322" i="27" s="1"/>
  <c r="AO322" i="27"/>
  <c r="BJ322" i="27" s="1"/>
  <c r="AD322" i="27"/>
  <c r="AY322" i="27" s="1"/>
  <c r="AP322" i="27"/>
  <c r="BK322" i="27" s="1"/>
  <c r="AE322" i="27"/>
  <c r="AZ322" i="27" s="1"/>
  <c r="AQ322" i="27"/>
  <c r="BL322" i="27" s="1"/>
  <c r="AF322" i="27"/>
  <c r="BA322" i="27" s="1"/>
  <c r="AR322" i="27"/>
  <c r="BM322" i="27" s="1"/>
  <c r="AG322" i="27"/>
  <c r="BB322" i="27" s="1"/>
  <c r="Y322" i="27"/>
  <c r="AT322" i="27" s="1"/>
  <c r="AI281" i="27"/>
  <c r="BD281" i="27" s="1"/>
  <c r="AJ281" i="27"/>
  <c r="BE281" i="27" s="1"/>
  <c r="AK281" i="27"/>
  <c r="BF281" i="27" s="1"/>
  <c r="Z281" i="27"/>
  <c r="AL281" i="27"/>
  <c r="BG281" i="27" s="1"/>
  <c r="AA281" i="27"/>
  <c r="AV281" i="27" s="1"/>
  <c r="AM281" i="27"/>
  <c r="BH281" i="27" s="1"/>
  <c r="AB281" i="27"/>
  <c r="AW281" i="27" s="1"/>
  <c r="AN281" i="27"/>
  <c r="BI281" i="27" s="1"/>
  <c r="AC281" i="27"/>
  <c r="AX281" i="27" s="1"/>
  <c r="AO281" i="27"/>
  <c r="BJ281" i="27" s="1"/>
  <c r="AD281" i="27"/>
  <c r="AY281" i="27" s="1"/>
  <c r="AP281" i="27"/>
  <c r="BK281" i="27" s="1"/>
  <c r="AE281" i="27"/>
  <c r="AZ281" i="27" s="1"/>
  <c r="AQ281" i="27"/>
  <c r="BL281" i="27" s="1"/>
  <c r="AF281" i="27"/>
  <c r="BA281" i="27" s="1"/>
  <c r="AR281" i="27"/>
  <c r="BM281" i="27" s="1"/>
  <c r="AG281" i="27"/>
  <c r="BB281" i="27" s="1"/>
  <c r="AH281" i="27"/>
  <c r="BC281" i="27" s="1"/>
  <c r="Y281" i="27"/>
  <c r="AT281" i="27" s="1"/>
  <c r="AC251" i="27"/>
  <c r="AX251" i="27" s="1"/>
  <c r="AO251" i="27"/>
  <c r="BJ251" i="27" s="1"/>
  <c r="AD251" i="27"/>
  <c r="AY251" i="27" s="1"/>
  <c r="AP251" i="27"/>
  <c r="BK251" i="27" s="1"/>
  <c r="AE251" i="27"/>
  <c r="AZ251" i="27" s="1"/>
  <c r="AQ251" i="27"/>
  <c r="BL251" i="27" s="1"/>
  <c r="AF251" i="27"/>
  <c r="BA251" i="27" s="1"/>
  <c r="AR251" i="27"/>
  <c r="BM251" i="27" s="1"/>
  <c r="AG251" i="27"/>
  <c r="BB251" i="27" s="1"/>
  <c r="AH251" i="27"/>
  <c r="BC251" i="27" s="1"/>
  <c r="AI251" i="27"/>
  <c r="BD251" i="27" s="1"/>
  <c r="AJ251" i="27"/>
  <c r="BE251" i="27" s="1"/>
  <c r="AK251" i="27"/>
  <c r="BF251" i="27" s="1"/>
  <c r="Z251" i="27"/>
  <c r="AL251" i="27"/>
  <c r="BG251" i="27" s="1"/>
  <c r="AA251" i="27"/>
  <c r="AV251" i="27" s="1"/>
  <c r="AM251" i="27"/>
  <c r="BH251" i="27" s="1"/>
  <c r="AB251" i="27"/>
  <c r="AW251" i="27" s="1"/>
  <c r="AN251" i="27"/>
  <c r="BI251" i="27" s="1"/>
  <c r="Y251" i="27"/>
  <c r="AT251" i="27" s="1"/>
  <c r="AA335" i="27"/>
  <c r="AV335" i="27" s="1"/>
  <c r="AM335" i="27"/>
  <c r="BH335" i="27" s="1"/>
  <c r="AB335" i="27"/>
  <c r="AW335" i="27" s="1"/>
  <c r="AN335" i="27"/>
  <c r="BI335" i="27" s="1"/>
  <c r="AC335" i="27"/>
  <c r="AX335" i="27" s="1"/>
  <c r="AO335" i="27"/>
  <c r="BJ335" i="27" s="1"/>
  <c r="AD335" i="27"/>
  <c r="AY335" i="27" s="1"/>
  <c r="AP335" i="27"/>
  <c r="BK335" i="27" s="1"/>
  <c r="AE335" i="27"/>
  <c r="AZ335" i="27" s="1"/>
  <c r="AQ335" i="27"/>
  <c r="BL335" i="27" s="1"/>
  <c r="AF335" i="27"/>
  <c r="BA335" i="27" s="1"/>
  <c r="AR335" i="27"/>
  <c r="BM335" i="27" s="1"/>
  <c r="AG335" i="27"/>
  <c r="BB335" i="27" s="1"/>
  <c r="AH335" i="27"/>
  <c r="BC335" i="27" s="1"/>
  <c r="AI335" i="27"/>
  <c r="BD335" i="27" s="1"/>
  <c r="AJ335" i="27"/>
  <c r="BE335" i="27" s="1"/>
  <c r="AK335" i="27"/>
  <c r="BF335" i="27" s="1"/>
  <c r="Y335" i="27"/>
  <c r="AT335" i="27" s="1"/>
  <c r="Z335" i="27"/>
  <c r="AL335" i="27"/>
  <c r="BG335" i="27" s="1"/>
  <c r="AF206" i="27"/>
  <c r="BA206" i="27" s="1"/>
  <c r="AR206" i="27"/>
  <c r="BM206" i="27" s="1"/>
  <c r="AG206" i="27"/>
  <c r="BB206" i="27" s="1"/>
  <c r="AH206" i="27"/>
  <c r="BC206" i="27" s="1"/>
  <c r="AI206" i="27"/>
  <c r="BD206" i="27" s="1"/>
  <c r="AJ206" i="27"/>
  <c r="BE206" i="27" s="1"/>
  <c r="AK206" i="27"/>
  <c r="BF206" i="27" s="1"/>
  <c r="Z206" i="27"/>
  <c r="AL206" i="27"/>
  <c r="BG206" i="27" s="1"/>
  <c r="AA206" i="27"/>
  <c r="AV206" i="27" s="1"/>
  <c r="AM206" i="27"/>
  <c r="BH206" i="27" s="1"/>
  <c r="AB206" i="27"/>
  <c r="AW206" i="27" s="1"/>
  <c r="AN206" i="27"/>
  <c r="BI206" i="27" s="1"/>
  <c r="AC206" i="27"/>
  <c r="AX206" i="27" s="1"/>
  <c r="AO206" i="27"/>
  <c r="BJ206" i="27" s="1"/>
  <c r="AD206" i="27"/>
  <c r="AY206" i="27" s="1"/>
  <c r="AP206" i="27"/>
  <c r="BK206" i="27" s="1"/>
  <c r="AE206" i="27"/>
  <c r="AZ206" i="27" s="1"/>
  <c r="AQ206" i="27"/>
  <c r="BL206" i="27" s="1"/>
  <c r="Y206" i="27"/>
  <c r="AT206" i="27" s="1"/>
  <c r="AH276" i="27"/>
  <c r="BC276" i="27" s="1"/>
  <c r="AI276" i="27"/>
  <c r="BD276" i="27" s="1"/>
  <c r="AJ276" i="27"/>
  <c r="BE276" i="27" s="1"/>
  <c r="AK276" i="27"/>
  <c r="BF276" i="27" s="1"/>
  <c r="Z276" i="27"/>
  <c r="AL276" i="27"/>
  <c r="BG276" i="27" s="1"/>
  <c r="AA276" i="27"/>
  <c r="AV276" i="27" s="1"/>
  <c r="AM276" i="27"/>
  <c r="BH276" i="27" s="1"/>
  <c r="AB276" i="27"/>
  <c r="AW276" i="27" s="1"/>
  <c r="AN276" i="27"/>
  <c r="BI276" i="27" s="1"/>
  <c r="AC276" i="27"/>
  <c r="AX276" i="27" s="1"/>
  <c r="AO276" i="27"/>
  <c r="BJ276" i="27" s="1"/>
  <c r="AD276" i="27"/>
  <c r="AY276" i="27" s="1"/>
  <c r="AP276" i="27"/>
  <c r="BK276" i="27" s="1"/>
  <c r="AE276" i="27"/>
  <c r="AZ276" i="27" s="1"/>
  <c r="AQ276" i="27"/>
  <c r="BL276" i="27" s="1"/>
  <c r="AF276" i="27"/>
  <c r="BA276" i="27" s="1"/>
  <c r="AR276" i="27"/>
  <c r="BM276" i="27" s="1"/>
  <c r="AG276" i="27"/>
  <c r="BB276" i="27" s="1"/>
  <c r="Y276" i="27"/>
  <c r="AT276" i="27" s="1"/>
  <c r="AF348" i="27"/>
  <c r="BA348" i="27" s="1"/>
  <c r="AR348" i="27"/>
  <c r="BM348" i="27" s="1"/>
  <c r="AG348" i="27"/>
  <c r="BB348" i="27" s="1"/>
  <c r="AI348" i="27"/>
  <c r="BD348" i="27" s="1"/>
  <c r="AJ348" i="27"/>
  <c r="BE348" i="27" s="1"/>
  <c r="AK348" i="27"/>
  <c r="BF348" i="27" s="1"/>
  <c r="Z348" i="27"/>
  <c r="AL348" i="27"/>
  <c r="BG348" i="27" s="1"/>
  <c r="AA348" i="27"/>
  <c r="AV348" i="27" s="1"/>
  <c r="AM348" i="27"/>
  <c r="BH348" i="27" s="1"/>
  <c r="AC348" i="27"/>
  <c r="AX348" i="27" s="1"/>
  <c r="AO348" i="27"/>
  <c r="BJ348" i="27" s="1"/>
  <c r="AD348" i="27"/>
  <c r="AY348" i="27" s="1"/>
  <c r="AP348" i="27"/>
  <c r="BK348" i="27" s="1"/>
  <c r="AH348" i="27"/>
  <c r="BC348" i="27" s="1"/>
  <c r="AN348" i="27"/>
  <c r="BI348" i="27" s="1"/>
  <c r="Y348" i="27"/>
  <c r="AT348" i="27" s="1"/>
  <c r="AQ348" i="27"/>
  <c r="BL348" i="27" s="1"/>
  <c r="AB348" i="27"/>
  <c r="AW348" i="27" s="1"/>
  <c r="AE348" i="27"/>
  <c r="AZ348" i="27" s="1"/>
  <c r="AK219" i="27"/>
  <c r="BF219" i="27" s="1"/>
  <c r="Z219" i="27"/>
  <c r="AL219" i="27"/>
  <c r="BG219" i="27" s="1"/>
  <c r="AA219" i="27"/>
  <c r="AV219" i="27" s="1"/>
  <c r="AM219" i="27"/>
  <c r="BH219" i="27" s="1"/>
  <c r="AB219" i="27"/>
  <c r="AW219" i="27" s="1"/>
  <c r="AN219" i="27"/>
  <c r="BI219" i="27" s="1"/>
  <c r="AC219" i="27"/>
  <c r="AX219" i="27" s="1"/>
  <c r="AO219" i="27"/>
  <c r="BJ219" i="27" s="1"/>
  <c r="AD219" i="27"/>
  <c r="AY219" i="27" s="1"/>
  <c r="AP219" i="27"/>
  <c r="BK219" i="27" s="1"/>
  <c r="AE219" i="27"/>
  <c r="AZ219" i="27" s="1"/>
  <c r="AQ219" i="27"/>
  <c r="BL219" i="27" s="1"/>
  <c r="AF219" i="27"/>
  <c r="BA219" i="27" s="1"/>
  <c r="AR219" i="27"/>
  <c r="BM219" i="27" s="1"/>
  <c r="AG219" i="27"/>
  <c r="BB219" i="27" s="1"/>
  <c r="AH219" i="27"/>
  <c r="BC219" i="27" s="1"/>
  <c r="AI219" i="27"/>
  <c r="BD219" i="27" s="1"/>
  <c r="Y219" i="27"/>
  <c r="AT219" i="27" s="1"/>
  <c r="AJ219" i="27"/>
  <c r="BE219" i="27" s="1"/>
  <c r="AA289" i="27"/>
  <c r="AV289" i="27" s="1"/>
  <c r="AM289" i="27"/>
  <c r="BH289" i="27" s="1"/>
  <c r="AB289" i="27"/>
  <c r="AW289" i="27" s="1"/>
  <c r="AN289" i="27"/>
  <c r="BI289" i="27" s="1"/>
  <c r="AD289" i="27"/>
  <c r="AY289" i="27" s="1"/>
  <c r="AP289" i="27"/>
  <c r="BK289" i="27" s="1"/>
  <c r="AE289" i="27"/>
  <c r="AZ289" i="27" s="1"/>
  <c r="AQ289" i="27"/>
  <c r="BL289" i="27" s="1"/>
  <c r="AF289" i="27"/>
  <c r="BA289" i="27" s="1"/>
  <c r="AR289" i="27"/>
  <c r="BM289" i="27" s="1"/>
  <c r="AG289" i="27"/>
  <c r="BB289" i="27" s="1"/>
  <c r="AH289" i="27"/>
  <c r="BC289" i="27" s="1"/>
  <c r="AJ289" i="27"/>
  <c r="BE289" i="27" s="1"/>
  <c r="AK289" i="27"/>
  <c r="BF289" i="27" s="1"/>
  <c r="AL289" i="27"/>
  <c r="BG289" i="27" s="1"/>
  <c r="AO289" i="27"/>
  <c r="BJ289" i="27" s="1"/>
  <c r="Z289" i="27"/>
  <c r="AC289" i="27"/>
  <c r="AX289" i="27" s="1"/>
  <c r="Y289" i="27"/>
  <c r="AT289" i="27" s="1"/>
  <c r="AI289" i="27"/>
  <c r="BD289" i="27" s="1"/>
  <c r="AK361" i="27"/>
  <c r="BF361" i="27" s="1"/>
  <c r="Z361" i="27"/>
  <c r="AL361" i="27"/>
  <c r="BG361" i="27" s="1"/>
  <c r="AB361" i="27"/>
  <c r="AW361" i="27" s="1"/>
  <c r="AN361" i="27"/>
  <c r="BI361" i="27" s="1"/>
  <c r="AC361" i="27"/>
  <c r="AX361" i="27" s="1"/>
  <c r="AO361" i="27"/>
  <c r="BJ361" i="27" s="1"/>
  <c r="AD361" i="27"/>
  <c r="AY361" i="27" s="1"/>
  <c r="AP361" i="27"/>
  <c r="BK361" i="27" s="1"/>
  <c r="AE361" i="27"/>
  <c r="AZ361" i="27" s="1"/>
  <c r="AQ361" i="27"/>
  <c r="BL361" i="27" s="1"/>
  <c r="AF361" i="27"/>
  <c r="BA361" i="27" s="1"/>
  <c r="AR361" i="27"/>
  <c r="BM361" i="27" s="1"/>
  <c r="AH361" i="27"/>
  <c r="BC361" i="27" s="1"/>
  <c r="AI361" i="27"/>
  <c r="BD361" i="27" s="1"/>
  <c r="AA361" i="27"/>
  <c r="AV361" i="27" s="1"/>
  <c r="AG361" i="27"/>
  <c r="BB361" i="27" s="1"/>
  <c r="AJ361" i="27"/>
  <c r="BE361" i="27" s="1"/>
  <c r="Y361" i="27"/>
  <c r="AT361" i="27" s="1"/>
  <c r="AM361" i="27"/>
  <c r="BH361" i="27" s="1"/>
  <c r="AI255" i="28"/>
  <c r="BD255" i="28" s="1"/>
  <c r="AJ255" i="28"/>
  <c r="BE255" i="28" s="1"/>
  <c r="Z255" i="28"/>
  <c r="AL255" i="28"/>
  <c r="BG255" i="28" s="1"/>
  <c r="AA255" i="28"/>
  <c r="AV255" i="28" s="1"/>
  <c r="AM255" i="28"/>
  <c r="BH255" i="28" s="1"/>
  <c r="AB255" i="28"/>
  <c r="AW255" i="28" s="1"/>
  <c r="AN255" i="28"/>
  <c r="BI255" i="28" s="1"/>
  <c r="AC255" i="28"/>
  <c r="AX255" i="28" s="1"/>
  <c r="AO255" i="28"/>
  <c r="BJ255" i="28" s="1"/>
  <c r="AD255" i="28"/>
  <c r="AY255" i="28" s="1"/>
  <c r="AP255" i="28"/>
  <c r="BK255" i="28" s="1"/>
  <c r="AF255" i="28"/>
  <c r="BA255" i="28" s="1"/>
  <c r="AR255" i="28"/>
  <c r="BM255" i="28" s="1"/>
  <c r="AG255" i="28"/>
  <c r="BB255" i="28" s="1"/>
  <c r="Y255" i="28"/>
  <c r="AT255" i="28" s="1"/>
  <c r="AE255" i="28"/>
  <c r="AZ255" i="28" s="1"/>
  <c r="AH255" i="28"/>
  <c r="BC255" i="28" s="1"/>
  <c r="AK255" i="28"/>
  <c r="BF255" i="28" s="1"/>
  <c r="AQ255" i="28"/>
  <c r="BL255" i="28" s="1"/>
  <c r="AG327" i="28"/>
  <c r="BB327" i="28" s="1"/>
  <c r="AH327" i="28"/>
  <c r="BC327" i="28" s="1"/>
  <c r="AI327" i="28"/>
  <c r="BD327" i="28" s="1"/>
  <c r="AJ327" i="28"/>
  <c r="BE327" i="28" s="1"/>
  <c r="Y327" i="28"/>
  <c r="AT327" i="28" s="1"/>
  <c r="AK327" i="28"/>
  <c r="BF327" i="28" s="1"/>
  <c r="Z327" i="28"/>
  <c r="AL327" i="28"/>
  <c r="BG327" i="28" s="1"/>
  <c r="AA327" i="28"/>
  <c r="AV327" i="28" s="1"/>
  <c r="AM327" i="28"/>
  <c r="BH327" i="28" s="1"/>
  <c r="AB327" i="28"/>
  <c r="AW327" i="28" s="1"/>
  <c r="AN327" i="28"/>
  <c r="BI327" i="28" s="1"/>
  <c r="AC327" i="28"/>
  <c r="AX327" i="28" s="1"/>
  <c r="AO327" i="28"/>
  <c r="BJ327" i="28" s="1"/>
  <c r="AD327" i="28"/>
  <c r="AY327" i="28" s="1"/>
  <c r="AP327" i="28"/>
  <c r="BK327" i="28" s="1"/>
  <c r="AE327" i="28"/>
  <c r="AZ327" i="28" s="1"/>
  <c r="AQ327" i="28"/>
  <c r="BL327" i="28" s="1"/>
  <c r="AF327" i="28"/>
  <c r="BA327" i="28" s="1"/>
  <c r="AR327" i="28"/>
  <c r="BM327" i="28" s="1"/>
  <c r="AB220" i="28"/>
  <c r="AW220" i="28" s="1"/>
  <c r="AN220" i="28"/>
  <c r="BI220" i="28" s="1"/>
  <c r="AC220" i="28"/>
  <c r="AX220" i="28" s="1"/>
  <c r="AO220" i="28"/>
  <c r="BJ220" i="28" s="1"/>
  <c r="AE220" i="28"/>
  <c r="AZ220" i="28" s="1"/>
  <c r="AQ220" i="28"/>
  <c r="BL220" i="28" s="1"/>
  <c r="AF220" i="28"/>
  <c r="BA220" i="28" s="1"/>
  <c r="AR220" i="28"/>
  <c r="BM220" i="28" s="1"/>
  <c r="AG220" i="28"/>
  <c r="BB220" i="28" s="1"/>
  <c r="AH220" i="28"/>
  <c r="BC220" i="28" s="1"/>
  <c r="AI220" i="28"/>
  <c r="BD220" i="28" s="1"/>
  <c r="Y220" i="28"/>
  <c r="AT220" i="28" s="1"/>
  <c r="AK220" i="28"/>
  <c r="BF220" i="28" s="1"/>
  <c r="Z220" i="28"/>
  <c r="AL220" i="28"/>
  <c r="BG220" i="28" s="1"/>
  <c r="AD220" i="28"/>
  <c r="AY220" i="28" s="1"/>
  <c r="AJ220" i="28"/>
  <c r="BE220" i="28" s="1"/>
  <c r="AM220" i="28"/>
  <c r="BH220" i="28" s="1"/>
  <c r="AP220" i="28"/>
  <c r="BK220" i="28" s="1"/>
  <c r="AA220" i="28"/>
  <c r="AV220" i="28" s="1"/>
  <c r="AA292" i="28"/>
  <c r="AV292" i="28" s="1"/>
  <c r="AM292" i="28"/>
  <c r="BH292" i="28" s="1"/>
  <c r="AB292" i="28"/>
  <c r="AW292" i="28" s="1"/>
  <c r="AN292" i="28"/>
  <c r="BI292" i="28" s="1"/>
  <c r="AD292" i="28"/>
  <c r="AY292" i="28" s="1"/>
  <c r="AP292" i="28"/>
  <c r="BK292" i="28" s="1"/>
  <c r="AE292" i="28"/>
  <c r="AZ292" i="28" s="1"/>
  <c r="AQ292" i="28"/>
  <c r="BL292" i="28" s="1"/>
  <c r="AF292" i="28"/>
  <c r="BA292" i="28" s="1"/>
  <c r="AR292" i="28"/>
  <c r="BM292" i="28" s="1"/>
  <c r="AG292" i="28"/>
  <c r="BB292" i="28" s="1"/>
  <c r="AH292" i="28"/>
  <c r="BC292" i="28" s="1"/>
  <c r="AJ292" i="28"/>
  <c r="BE292" i="28" s="1"/>
  <c r="Y292" i="28"/>
  <c r="AT292" i="28" s="1"/>
  <c r="AK292" i="28"/>
  <c r="BF292" i="28" s="1"/>
  <c r="Z292" i="28"/>
  <c r="AC292" i="28"/>
  <c r="AX292" i="28" s="1"/>
  <c r="AI292" i="28"/>
  <c r="BD292" i="28" s="1"/>
  <c r="AL292" i="28"/>
  <c r="BG292" i="28" s="1"/>
  <c r="AO292" i="28"/>
  <c r="BJ292" i="28" s="1"/>
  <c r="Y364" i="28"/>
  <c r="AT364" i="28" s="1"/>
  <c r="AK364" i="28"/>
  <c r="BF364" i="28" s="1"/>
  <c r="Z364" i="28"/>
  <c r="AL364" i="28"/>
  <c r="BG364" i="28" s="1"/>
  <c r="AA364" i="28"/>
  <c r="AV364" i="28" s="1"/>
  <c r="AM364" i="28"/>
  <c r="BH364" i="28" s="1"/>
  <c r="AB364" i="28"/>
  <c r="AW364" i="28" s="1"/>
  <c r="AN364" i="28"/>
  <c r="BI364" i="28" s="1"/>
  <c r="AC364" i="28"/>
  <c r="AX364" i="28" s="1"/>
  <c r="AO364" i="28"/>
  <c r="BJ364" i="28" s="1"/>
  <c r="AD364" i="28"/>
  <c r="AY364" i="28" s="1"/>
  <c r="AP364" i="28"/>
  <c r="BK364" i="28" s="1"/>
  <c r="AE364" i="28"/>
  <c r="AZ364" i="28" s="1"/>
  <c r="AQ364" i="28"/>
  <c r="BL364" i="28" s="1"/>
  <c r="AF364" i="28"/>
  <c r="BA364" i="28" s="1"/>
  <c r="AR364" i="28"/>
  <c r="BM364" i="28" s="1"/>
  <c r="AG364" i="28"/>
  <c r="BB364" i="28" s="1"/>
  <c r="AH364" i="28"/>
  <c r="BC364" i="28" s="1"/>
  <c r="AI364" i="28"/>
  <c r="BD364" i="28" s="1"/>
  <c r="AJ364" i="28"/>
  <c r="BE364" i="28" s="1"/>
  <c r="AE257" i="28"/>
  <c r="AZ257" i="28" s="1"/>
  <c r="AQ257" i="28"/>
  <c r="BL257" i="28" s="1"/>
  <c r="AF257" i="28"/>
  <c r="BA257" i="28" s="1"/>
  <c r="AR257" i="28"/>
  <c r="BM257" i="28" s="1"/>
  <c r="AH257" i="28"/>
  <c r="BC257" i="28" s="1"/>
  <c r="AI257" i="28"/>
  <c r="BD257" i="28" s="1"/>
  <c r="AJ257" i="28"/>
  <c r="BE257" i="28" s="1"/>
  <c r="Y257" i="28"/>
  <c r="AT257" i="28" s="1"/>
  <c r="AK257" i="28"/>
  <c r="BF257" i="28" s="1"/>
  <c r="Z257" i="28"/>
  <c r="AL257" i="28"/>
  <c r="BG257" i="28" s="1"/>
  <c r="AB257" i="28"/>
  <c r="AW257" i="28" s="1"/>
  <c r="AN257" i="28"/>
  <c r="BI257" i="28" s="1"/>
  <c r="AC257" i="28"/>
  <c r="AX257" i="28" s="1"/>
  <c r="AO257" i="28"/>
  <c r="BJ257" i="28" s="1"/>
  <c r="AA257" i="28"/>
  <c r="AV257" i="28" s="1"/>
  <c r="AD257" i="28"/>
  <c r="AY257" i="28" s="1"/>
  <c r="AG257" i="28"/>
  <c r="BB257" i="28" s="1"/>
  <c r="AM257" i="28"/>
  <c r="BH257" i="28" s="1"/>
  <c r="AP257" i="28"/>
  <c r="BK257" i="28" s="1"/>
  <c r="AC329" i="28"/>
  <c r="AX329" i="28" s="1"/>
  <c r="AO329" i="28"/>
  <c r="BJ329" i="28" s="1"/>
  <c r="AD329" i="28"/>
  <c r="AY329" i="28" s="1"/>
  <c r="AP329" i="28"/>
  <c r="BK329" i="28" s="1"/>
  <c r="AE329" i="28"/>
  <c r="AZ329" i="28" s="1"/>
  <c r="AQ329" i="28"/>
  <c r="BL329" i="28" s="1"/>
  <c r="AF329" i="28"/>
  <c r="BA329" i="28" s="1"/>
  <c r="AR329" i="28"/>
  <c r="BM329" i="28" s="1"/>
  <c r="AG329" i="28"/>
  <c r="BB329" i="28" s="1"/>
  <c r="AH329" i="28"/>
  <c r="BC329" i="28" s="1"/>
  <c r="AI329" i="28"/>
  <c r="BD329" i="28" s="1"/>
  <c r="AJ329" i="28"/>
  <c r="BE329" i="28" s="1"/>
  <c r="Y329" i="28"/>
  <c r="AT329" i="28" s="1"/>
  <c r="AK329" i="28"/>
  <c r="BF329" i="28" s="1"/>
  <c r="Z329" i="28"/>
  <c r="AL329" i="28"/>
  <c r="BG329" i="28" s="1"/>
  <c r="AA329" i="28"/>
  <c r="AV329" i="28" s="1"/>
  <c r="AM329" i="28"/>
  <c r="BH329" i="28" s="1"/>
  <c r="AB329" i="28"/>
  <c r="AW329" i="28" s="1"/>
  <c r="AN329" i="28"/>
  <c r="BI329" i="28" s="1"/>
  <c r="AJ222" i="28"/>
  <c r="BE222" i="28" s="1"/>
  <c r="Y222" i="28"/>
  <c r="AT222" i="28" s="1"/>
  <c r="AK222" i="28"/>
  <c r="BF222" i="28" s="1"/>
  <c r="AA222" i="28"/>
  <c r="AV222" i="28" s="1"/>
  <c r="AM222" i="28"/>
  <c r="BH222" i="28" s="1"/>
  <c r="AB222" i="28"/>
  <c r="AW222" i="28" s="1"/>
  <c r="AN222" i="28"/>
  <c r="BI222" i="28" s="1"/>
  <c r="AC222" i="28"/>
  <c r="AX222" i="28" s="1"/>
  <c r="AO222" i="28"/>
  <c r="BJ222" i="28" s="1"/>
  <c r="AD222" i="28"/>
  <c r="AY222" i="28" s="1"/>
  <c r="AP222" i="28"/>
  <c r="BK222" i="28" s="1"/>
  <c r="AE222" i="28"/>
  <c r="AZ222" i="28" s="1"/>
  <c r="AQ222" i="28"/>
  <c r="BL222" i="28" s="1"/>
  <c r="AG222" i="28"/>
  <c r="BB222" i="28" s="1"/>
  <c r="AH222" i="28"/>
  <c r="BC222" i="28" s="1"/>
  <c r="Z222" i="28"/>
  <c r="AF222" i="28"/>
  <c r="BA222" i="28" s="1"/>
  <c r="AL222" i="28"/>
  <c r="BG222" i="28" s="1"/>
  <c r="AR222" i="28"/>
  <c r="BM222" i="28" s="1"/>
  <c r="AI222" i="28"/>
  <c r="BD222" i="28" s="1"/>
  <c r="AI294" i="28"/>
  <c r="BD294" i="28" s="1"/>
  <c r="AJ294" i="28"/>
  <c r="BE294" i="28" s="1"/>
  <c r="Z294" i="28"/>
  <c r="AL294" i="28"/>
  <c r="BG294" i="28" s="1"/>
  <c r="AA294" i="28"/>
  <c r="AV294" i="28" s="1"/>
  <c r="AM294" i="28"/>
  <c r="BH294" i="28" s="1"/>
  <c r="AB294" i="28"/>
  <c r="AW294" i="28" s="1"/>
  <c r="AN294" i="28"/>
  <c r="BI294" i="28" s="1"/>
  <c r="AC294" i="28"/>
  <c r="AX294" i="28" s="1"/>
  <c r="AO294" i="28"/>
  <c r="BJ294" i="28" s="1"/>
  <c r="AD294" i="28"/>
  <c r="AY294" i="28" s="1"/>
  <c r="AP294" i="28"/>
  <c r="BK294" i="28" s="1"/>
  <c r="AF294" i="28"/>
  <c r="BA294" i="28" s="1"/>
  <c r="AR294" i="28"/>
  <c r="BM294" i="28" s="1"/>
  <c r="AG294" i="28"/>
  <c r="BB294" i="28" s="1"/>
  <c r="Y294" i="28"/>
  <c r="AT294" i="28" s="1"/>
  <c r="AE294" i="28"/>
  <c r="AZ294" i="28" s="1"/>
  <c r="AH294" i="28"/>
  <c r="BC294" i="28" s="1"/>
  <c r="AK294" i="28"/>
  <c r="BF294" i="28" s="1"/>
  <c r="AQ294" i="28"/>
  <c r="BL294" i="28" s="1"/>
  <c r="AG366" i="28"/>
  <c r="BB366" i="28" s="1"/>
  <c r="AH366" i="28"/>
  <c r="BC366" i="28" s="1"/>
  <c r="AI366" i="28"/>
  <c r="BD366" i="28" s="1"/>
  <c r="AJ366" i="28"/>
  <c r="BE366" i="28" s="1"/>
  <c r="Y366" i="28"/>
  <c r="AT366" i="28" s="1"/>
  <c r="AK366" i="28"/>
  <c r="BF366" i="28" s="1"/>
  <c r="Z366" i="28"/>
  <c r="AL366" i="28"/>
  <c r="BG366" i="28" s="1"/>
  <c r="AA366" i="28"/>
  <c r="AV366" i="28" s="1"/>
  <c r="AM366" i="28"/>
  <c r="BH366" i="28" s="1"/>
  <c r="AB366" i="28"/>
  <c r="AW366" i="28" s="1"/>
  <c r="AN366" i="28"/>
  <c r="BI366" i="28" s="1"/>
  <c r="AC366" i="28"/>
  <c r="AX366" i="28" s="1"/>
  <c r="AO366" i="28"/>
  <c r="BJ366" i="28" s="1"/>
  <c r="AD366" i="28"/>
  <c r="AY366" i="28" s="1"/>
  <c r="AP366" i="28"/>
  <c r="BK366" i="28" s="1"/>
  <c r="AE366" i="28"/>
  <c r="AZ366" i="28" s="1"/>
  <c r="AQ366" i="28"/>
  <c r="BL366" i="28" s="1"/>
  <c r="AF366" i="28"/>
  <c r="BA366" i="28" s="1"/>
  <c r="AR366" i="28"/>
  <c r="BM366" i="28" s="1"/>
  <c r="AA259" i="28"/>
  <c r="AV259" i="28" s="1"/>
  <c r="AM259" i="28"/>
  <c r="BH259" i="28" s="1"/>
  <c r="AB259" i="28"/>
  <c r="AW259" i="28" s="1"/>
  <c r="AN259" i="28"/>
  <c r="BI259" i="28" s="1"/>
  <c r="AD259" i="28"/>
  <c r="AY259" i="28" s="1"/>
  <c r="AP259" i="28"/>
  <c r="BK259" i="28" s="1"/>
  <c r="AE259" i="28"/>
  <c r="AZ259" i="28" s="1"/>
  <c r="AQ259" i="28"/>
  <c r="BL259" i="28" s="1"/>
  <c r="AF259" i="28"/>
  <c r="BA259" i="28" s="1"/>
  <c r="AR259" i="28"/>
  <c r="BM259" i="28" s="1"/>
  <c r="AG259" i="28"/>
  <c r="BB259" i="28" s="1"/>
  <c r="AH259" i="28"/>
  <c r="BC259" i="28" s="1"/>
  <c r="AJ259" i="28"/>
  <c r="BE259" i="28" s="1"/>
  <c r="Y259" i="28"/>
  <c r="AT259" i="28" s="1"/>
  <c r="AK259" i="28"/>
  <c r="BF259" i="28" s="1"/>
  <c r="AI259" i="28"/>
  <c r="BD259" i="28" s="1"/>
  <c r="AL259" i="28"/>
  <c r="BG259" i="28" s="1"/>
  <c r="AO259" i="28"/>
  <c r="BJ259" i="28" s="1"/>
  <c r="Z259" i="28"/>
  <c r="AC259" i="28"/>
  <c r="AX259" i="28" s="1"/>
  <c r="Y331" i="28"/>
  <c r="AT331" i="28" s="1"/>
  <c r="AK331" i="28"/>
  <c r="BF331" i="28" s="1"/>
  <c r="Z331" i="28"/>
  <c r="AL331" i="28"/>
  <c r="BG331" i="28" s="1"/>
  <c r="AA331" i="28"/>
  <c r="AV331" i="28" s="1"/>
  <c r="AM331" i="28"/>
  <c r="BH331" i="28" s="1"/>
  <c r="AB331" i="28"/>
  <c r="AW331" i="28" s="1"/>
  <c r="AN331" i="28"/>
  <c r="BI331" i="28" s="1"/>
  <c r="AC331" i="28"/>
  <c r="AX331" i="28" s="1"/>
  <c r="AO331" i="28"/>
  <c r="BJ331" i="28" s="1"/>
  <c r="AD331" i="28"/>
  <c r="AY331" i="28" s="1"/>
  <c r="AP331" i="28"/>
  <c r="BK331" i="28" s="1"/>
  <c r="AE331" i="28"/>
  <c r="AZ331" i="28" s="1"/>
  <c r="AQ331" i="28"/>
  <c r="BL331" i="28" s="1"/>
  <c r="AF331" i="28"/>
  <c r="BA331" i="28" s="1"/>
  <c r="AR331" i="28"/>
  <c r="BM331" i="28" s="1"/>
  <c r="AG331" i="28"/>
  <c r="BB331" i="28" s="1"/>
  <c r="AH331" i="28"/>
  <c r="BC331" i="28" s="1"/>
  <c r="AI331" i="28"/>
  <c r="BD331" i="28" s="1"/>
  <c r="AJ331" i="28"/>
  <c r="BE331" i="28" s="1"/>
  <c r="AE230" i="28"/>
  <c r="AZ230" i="28" s="1"/>
  <c r="AQ230" i="28"/>
  <c r="BL230" i="28" s="1"/>
  <c r="AF230" i="28"/>
  <c r="BA230" i="28" s="1"/>
  <c r="AR230" i="28"/>
  <c r="BM230" i="28" s="1"/>
  <c r="AH230" i="28"/>
  <c r="BC230" i="28" s="1"/>
  <c r="AI230" i="28"/>
  <c r="BD230" i="28" s="1"/>
  <c r="AJ230" i="28"/>
  <c r="BE230" i="28" s="1"/>
  <c r="Y230" i="28"/>
  <c r="AT230" i="28" s="1"/>
  <c r="AK230" i="28"/>
  <c r="BF230" i="28" s="1"/>
  <c r="Z230" i="28"/>
  <c r="AL230" i="28"/>
  <c r="BG230" i="28" s="1"/>
  <c r="AA230" i="28"/>
  <c r="AV230" i="28" s="1"/>
  <c r="AM230" i="28"/>
  <c r="BH230" i="28" s="1"/>
  <c r="AB230" i="28"/>
  <c r="AW230" i="28" s="1"/>
  <c r="AN230" i="28"/>
  <c r="BI230" i="28" s="1"/>
  <c r="AC230" i="28"/>
  <c r="AX230" i="28" s="1"/>
  <c r="AO230" i="28"/>
  <c r="BJ230" i="28" s="1"/>
  <c r="AD230" i="28"/>
  <c r="AY230" i="28" s="1"/>
  <c r="AG230" i="28"/>
  <c r="BB230" i="28" s="1"/>
  <c r="AP230" i="28"/>
  <c r="BK230" i="28" s="1"/>
  <c r="AE302" i="28"/>
  <c r="AZ302" i="28" s="1"/>
  <c r="AQ302" i="28"/>
  <c r="BL302" i="28" s="1"/>
  <c r="AF302" i="28"/>
  <c r="BA302" i="28" s="1"/>
  <c r="AR302" i="28"/>
  <c r="BM302" i="28" s="1"/>
  <c r="AH302" i="28"/>
  <c r="BC302" i="28" s="1"/>
  <c r="AI302" i="28"/>
  <c r="BD302" i="28" s="1"/>
  <c r="AJ302" i="28"/>
  <c r="BE302" i="28" s="1"/>
  <c r="Y302" i="28"/>
  <c r="AT302" i="28" s="1"/>
  <c r="AK302" i="28"/>
  <c r="BF302" i="28" s="1"/>
  <c r="Z302" i="28"/>
  <c r="AL302" i="28"/>
  <c r="BG302" i="28" s="1"/>
  <c r="AB302" i="28"/>
  <c r="AW302" i="28" s="1"/>
  <c r="AN302" i="28"/>
  <c r="BI302" i="28" s="1"/>
  <c r="AC302" i="28"/>
  <c r="AX302" i="28" s="1"/>
  <c r="AO302" i="28"/>
  <c r="BJ302" i="28" s="1"/>
  <c r="AM302" i="28"/>
  <c r="BH302" i="28" s="1"/>
  <c r="AP302" i="28"/>
  <c r="BK302" i="28" s="1"/>
  <c r="AA302" i="28"/>
  <c r="AV302" i="28" s="1"/>
  <c r="AD302" i="28"/>
  <c r="AY302" i="28" s="1"/>
  <c r="AG302" i="28"/>
  <c r="BB302" i="28" s="1"/>
  <c r="AC374" i="28"/>
  <c r="AO374" i="28"/>
  <c r="AD374" i="28"/>
  <c r="AP374" i="28"/>
  <c r="AE374" i="28"/>
  <c r="AQ374" i="28"/>
  <c r="AF374" i="28"/>
  <c r="AR374" i="28"/>
  <c r="AG374" i="28"/>
  <c r="AH374" i="28"/>
  <c r="AI374" i="28"/>
  <c r="AJ374" i="28"/>
  <c r="Y374" i="28"/>
  <c r="AT374" i="28" s="1"/>
  <c r="AK374" i="28"/>
  <c r="Z374" i="28"/>
  <c r="AL374" i="28"/>
  <c r="AA374" i="28"/>
  <c r="AM374" i="28"/>
  <c r="AB374" i="28"/>
  <c r="AN374" i="28"/>
  <c r="AH118" i="24"/>
  <c r="BC118" i="24" s="1"/>
  <c r="AI118" i="24"/>
  <c r="BD118" i="24" s="1"/>
  <c r="AJ118" i="24"/>
  <c r="BE118" i="24" s="1"/>
  <c r="AK118" i="24"/>
  <c r="BF118" i="24" s="1"/>
  <c r="Z118" i="24"/>
  <c r="AL118" i="24"/>
  <c r="BG118" i="24" s="1"/>
  <c r="AA118" i="24"/>
  <c r="AV118" i="24" s="1"/>
  <c r="AM118" i="24"/>
  <c r="BH118" i="24" s="1"/>
  <c r="AB118" i="24"/>
  <c r="AW118" i="24" s="1"/>
  <c r="AN118" i="24"/>
  <c r="BI118" i="24" s="1"/>
  <c r="AC118" i="24"/>
  <c r="AX118" i="24" s="1"/>
  <c r="AO118" i="24"/>
  <c r="BJ118" i="24" s="1"/>
  <c r="AD118" i="24"/>
  <c r="AY118" i="24" s="1"/>
  <c r="AP118" i="24"/>
  <c r="BK118" i="24" s="1"/>
  <c r="AE118" i="24"/>
  <c r="AZ118" i="24" s="1"/>
  <c r="AQ118" i="24"/>
  <c r="BL118" i="24" s="1"/>
  <c r="AF118" i="24"/>
  <c r="BA118" i="24" s="1"/>
  <c r="AR118" i="24"/>
  <c r="BM118" i="24" s="1"/>
  <c r="AG118" i="24"/>
  <c r="BB118" i="24" s="1"/>
  <c r="Y118" i="24"/>
  <c r="AT118" i="24" s="1"/>
  <c r="AH190" i="24"/>
  <c r="BC190" i="24" s="1"/>
  <c r="AI190" i="24"/>
  <c r="BD190" i="24" s="1"/>
  <c r="AJ190" i="24"/>
  <c r="BE190" i="24" s="1"/>
  <c r="AK190" i="24"/>
  <c r="BF190" i="24" s="1"/>
  <c r="Z190" i="24"/>
  <c r="AL190" i="24"/>
  <c r="BG190" i="24" s="1"/>
  <c r="AA190" i="24"/>
  <c r="AV190" i="24" s="1"/>
  <c r="AM190" i="24"/>
  <c r="BH190" i="24" s="1"/>
  <c r="AB190" i="24"/>
  <c r="AW190" i="24" s="1"/>
  <c r="AN190" i="24"/>
  <c r="BI190" i="24" s="1"/>
  <c r="AC190" i="24"/>
  <c r="AX190" i="24" s="1"/>
  <c r="AO190" i="24"/>
  <c r="BJ190" i="24" s="1"/>
  <c r="AD190" i="24"/>
  <c r="AY190" i="24" s="1"/>
  <c r="AP190" i="24"/>
  <c r="BK190" i="24" s="1"/>
  <c r="AE190" i="24"/>
  <c r="AZ190" i="24" s="1"/>
  <c r="AQ190" i="24"/>
  <c r="BL190" i="24" s="1"/>
  <c r="AF190" i="24"/>
  <c r="BA190" i="24" s="1"/>
  <c r="AR190" i="24"/>
  <c r="BM190" i="24" s="1"/>
  <c r="Y190" i="24"/>
  <c r="AT190" i="24" s="1"/>
  <c r="AG190" i="24"/>
  <c r="BB190" i="24" s="1"/>
  <c r="Z126" i="24"/>
  <c r="AL126" i="24"/>
  <c r="BG126" i="24" s="1"/>
  <c r="AA126" i="24"/>
  <c r="AV126" i="24" s="1"/>
  <c r="AM126" i="24"/>
  <c r="BH126" i="24" s="1"/>
  <c r="AB126" i="24"/>
  <c r="AW126" i="24" s="1"/>
  <c r="AN126" i="24"/>
  <c r="BI126" i="24" s="1"/>
  <c r="AC126" i="24"/>
  <c r="AX126" i="24" s="1"/>
  <c r="AO126" i="24"/>
  <c r="BJ126" i="24" s="1"/>
  <c r="AD126" i="24"/>
  <c r="AY126" i="24" s="1"/>
  <c r="AP126" i="24"/>
  <c r="BK126" i="24" s="1"/>
  <c r="AE126" i="24"/>
  <c r="AZ126" i="24" s="1"/>
  <c r="AQ126" i="24"/>
  <c r="BL126" i="24" s="1"/>
  <c r="AF126" i="24"/>
  <c r="BA126" i="24" s="1"/>
  <c r="AR126" i="24"/>
  <c r="BM126" i="24" s="1"/>
  <c r="AG126" i="24"/>
  <c r="BB126" i="24" s="1"/>
  <c r="AH126" i="24"/>
  <c r="BC126" i="24" s="1"/>
  <c r="AI126" i="24"/>
  <c r="BD126" i="24" s="1"/>
  <c r="AJ126" i="24"/>
  <c r="BE126" i="24" s="1"/>
  <c r="Y126" i="24"/>
  <c r="AT126" i="24" s="1"/>
  <c r="AK126" i="24"/>
  <c r="BF126" i="24" s="1"/>
  <c r="Z198" i="24"/>
  <c r="AL198" i="24"/>
  <c r="BG198" i="24" s="1"/>
  <c r="AA198" i="24"/>
  <c r="AV198" i="24" s="1"/>
  <c r="AM198" i="24"/>
  <c r="BH198" i="24" s="1"/>
  <c r="AB198" i="24"/>
  <c r="AW198" i="24" s="1"/>
  <c r="AN198" i="24"/>
  <c r="BI198" i="24" s="1"/>
  <c r="AC198" i="24"/>
  <c r="AX198" i="24" s="1"/>
  <c r="AO198" i="24"/>
  <c r="BJ198" i="24" s="1"/>
  <c r="AD198" i="24"/>
  <c r="AY198" i="24" s="1"/>
  <c r="AP198" i="24"/>
  <c r="BK198" i="24" s="1"/>
  <c r="AE198" i="24"/>
  <c r="AZ198" i="24" s="1"/>
  <c r="AQ198" i="24"/>
  <c r="BL198" i="24" s="1"/>
  <c r="AF198" i="24"/>
  <c r="BA198" i="24" s="1"/>
  <c r="AR198" i="24"/>
  <c r="BM198" i="24" s="1"/>
  <c r="AG198" i="24"/>
  <c r="BB198" i="24" s="1"/>
  <c r="AH198" i="24"/>
  <c r="BC198" i="24" s="1"/>
  <c r="AI198" i="24"/>
  <c r="BD198" i="24" s="1"/>
  <c r="AJ198" i="24"/>
  <c r="BE198" i="24" s="1"/>
  <c r="Y198" i="24"/>
  <c r="AT198" i="24" s="1"/>
  <c r="AK198" i="24"/>
  <c r="BF198" i="24" s="1"/>
  <c r="Z270" i="24"/>
  <c r="AL270" i="24"/>
  <c r="BG270" i="24" s="1"/>
  <c r="AA270" i="24"/>
  <c r="AV270" i="24" s="1"/>
  <c r="AM270" i="24"/>
  <c r="BH270" i="24" s="1"/>
  <c r="AB270" i="24"/>
  <c r="AW270" i="24" s="1"/>
  <c r="AN270" i="24"/>
  <c r="BI270" i="24" s="1"/>
  <c r="AC270" i="24"/>
  <c r="AX270" i="24" s="1"/>
  <c r="AO270" i="24"/>
  <c r="BJ270" i="24" s="1"/>
  <c r="AD270" i="24"/>
  <c r="AY270" i="24" s="1"/>
  <c r="AP270" i="24"/>
  <c r="BK270" i="24" s="1"/>
  <c r="AE270" i="24"/>
  <c r="AZ270" i="24" s="1"/>
  <c r="AQ270" i="24"/>
  <c r="BL270" i="24" s="1"/>
  <c r="AF270" i="24"/>
  <c r="BA270" i="24" s="1"/>
  <c r="AR270" i="24"/>
  <c r="BM270" i="24" s="1"/>
  <c r="AG270" i="24"/>
  <c r="BB270" i="24" s="1"/>
  <c r="AH270" i="24"/>
  <c r="BC270" i="24" s="1"/>
  <c r="AI270" i="24"/>
  <c r="BD270" i="24" s="1"/>
  <c r="AJ270" i="24"/>
  <c r="BE270" i="24" s="1"/>
  <c r="Y270" i="24"/>
  <c r="AT270" i="24" s="1"/>
  <c r="AK270" i="24"/>
  <c r="BF270" i="24" s="1"/>
  <c r="AD342" i="24"/>
  <c r="AY342" i="24" s="1"/>
  <c r="AP342" i="24"/>
  <c r="BK342" i="24" s="1"/>
  <c r="AE342" i="24"/>
  <c r="AZ342" i="24" s="1"/>
  <c r="AQ342" i="24"/>
  <c r="BL342" i="24" s="1"/>
  <c r="AF342" i="24"/>
  <c r="BA342" i="24" s="1"/>
  <c r="AR342" i="24"/>
  <c r="BM342" i="24" s="1"/>
  <c r="AG342" i="24"/>
  <c r="BB342" i="24" s="1"/>
  <c r="AC342" i="24"/>
  <c r="AX342" i="24" s="1"/>
  <c r="AH342" i="24"/>
  <c r="BC342" i="24" s="1"/>
  <c r="Y342" i="24"/>
  <c r="AT342" i="24" s="1"/>
  <c r="AI342" i="24"/>
  <c r="BD342" i="24" s="1"/>
  <c r="AJ342" i="24"/>
  <c r="BE342" i="24" s="1"/>
  <c r="AK342" i="24"/>
  <c r="BF342" i="24" s="1"/>
  <c r="Z342" i="24"/>
  <c r="AL342" i="24"/>
  <c r="BG342" i="24" s="1"/>
  <c r="AA342" i="24"/>
  <c r="AV342" i="24" s="1"/>
  <c r="AM342" i="24"/>
  <c r="BH342" i="24" s="1"/>
  <c r="AO342" i="24"/>
  <c r="BJ342" i="24" s="1"/>
  <c r="AB342" i="24"/>
  <c r="AW342" i="24" s="1"/>
  <c r="AN342" i="24"/>
  <c r="BI342" i="24" s="1"/>
  <c r="AE259" i="24"/>
  <c r="AZ259" i="24" s="1"/>
  <c r="AQ259" i="24"/>
  <c r="BL259" i="24" s="1"/>
  <c r="AF259" i="24"/>
  <c r="BA259" i="24" s="1"/>
  <c r="AR259" i="24"/>
  <c r="BM259" i="24" s="1"/>
  <c r="AG259" i="24"/>
  <c r="BB259" i="24" s="1"/>
  <c r="AH259" i="24"/>
  <c r="BC259" i="24" s="1"/>
  <c r="AI259" i="24"/>
  <c r="BD259" i="24" s="1"/>
  <c r="AJ259" i="24"/>
  <c r="BE259" i="24" s="1"/>
  <c r="AK259" i="24"/>
  <c r="BF259" i="24" s="1"/>
  <c r="Z259" i="24"/>
  <c r="AL259" i="24"/>
  <c r="BG259" i="24" s="1"/>
  <c r="AA259" i="24"/>
  <c r="AV259" i="24" s="1"/>
  <c r="AM259" i="24"/>
  <c r="BH259" i="24" s="1"/>
  <c r="AB259" i="24"/>
  <c r="AW259" i="24" s="1"/>
  <c r="AN259" i="24"/>
  <c r="BI259" i="24" s="1"/>
  <c r="AC259" i="24"/>
  <c r="AX259" i="24" s="1"/>
  <c r="AO259" i="24"/>
  <c r="BJ259" i="24" s="1"/>
  <c r="AP259" i="24"/>
  <c r="BK259" i="24" s="1"/>
  <c r="Y259" i="24"/>
  <c r="AT259" i="24" s="1"/>
  <c r="AD259" i="24"/>
  <c r="AY259" i="24" s="1"/>
  <c r="AK193" i="24"/>
  <c r="BF193" i="24" s="1"/>
  <c r="Z193" i="24"/>
  <c r="AL193" i="24"/>
  <c r="BG193" i="24" s="1"/>
  <c r="AA193" i="24"/>
  <c r="AV193" i="24" s="1"/>
  <c r="AM193" i="24"/>
  <c r="BH193" i="24" s="1"/>
  <c r="AB193" i="24"/>
  <c r="AW193" i="24" s="1"/>
  <c r="AN193" i="24"/>
  <c r="BI193" i="24" s="1"/>
  <c r="AC193" i="24"/>
  <c r="AX193" i="24" s="1"/>
  <c r="AO193" i="24"/>
  <c r="BJ193" i="24" s="1"/>
  <c r="AD193" i="24"/>
  <c r="AY193" i="24" s="1"/>
  <c r="AP193" i="24"/>
  <c r="BK193" i="24" s="1"/>
  <c r="AE193" i="24"/>
  <c r="AZ193" i="24" s="1"/>
  <c r="AQ193" i="24"/>
  <c r="BL193" i="24" s="1"/>
  <c r="AF193" i="24"/>
  <c r="BA193" i="24" s="1"/>
  <c r="AR193" i="24"/>
  <c r="BM193" i="24" s="1"/>
  <c r="AG193" i="24"/>
  <c r="BB193" i="24" s="1"/>
  <c r="AH193" i="24"/>
  <c r="BC193" i="24" s="1"/>
  <c r="AI193" i="24"/>
  <c r="BD193" i="24" s="1"/>
  <c r="AJ193" i="24"/>
  <c r="BE193" i="24" s="1"/>
  <c r="Y193" i="24"/>
  <c r="AT193" i="24" s="1"/>
  <c r="AH87" i="24"/>
  <c r="BC87" i="24" s="1"/>
  <c r="AI87" i="24"/>
  <c r="BD87" i="24" s="1"/>
  <c r="AJ87" i="24"/>
  <c r="BE87" i="24" s="1"/>
  <c r="AK87" i="24"/>
  <c r="BF87" i="24" s="1"/>
  <c r="Z87" i="24"/>
  <c r="AL87" i="24"/>
  <c r="BG87" i="24" s="1"/>
  <c r="AA87" i="24"/>
  <c r="AV87" i="24" s="1"/>
  <c r="AM87" i="24"/>
  <c r="BH87" i="24" s="1"/>
  <c r="AB87" i="24"/>
  <c r="AW87" i="24" s="1"/>
  <c r="AN87" i="24"/>
  <c r="BI87" i="24" s="1"/>
  <c r="AC87" i="24"/>
  <c r="AX87" i="24" s="1"/>
  <c r="AO87" i="24"/>
  <c r="BJ87" i="24" s="1"/>
  <c r="AD87" i="24"/>
  <c r="AY87" i="24" s="1"/>
  <c r="AP87" i="24"/>
  <c r="BK87" i="24" s="1"/>
  <c r="AE87" i="24"/>
  <c r="AZ87" i="24" s="1"/>
  <c r="AQ87" i="24"/>
  <c r="BL87" i="24" s="1"/>
  <c r="AF87" i="24"/>
  <c r="BA87" i="24" s="1"/>
  <c r="AR87" i="24"/>
  <c r="BM87" i="24" s="1"/>
  <c r="AG87" i="24"/>
  <c r="BB87" i="24" s="1"/>
  <c r="Y87" i="24"/>
  <c r="AT87" i="24" s="1"/>
  <c r="AI159" i="24"/>
  <c r="BD159" i="24" s="1"/>
  <c r="AJ159" i="24"/>
  <c r="BE159" i="24" s="1"/>
  <c r="AK159" i="24"/>
  <c r="BF159" i="24" s="1"/>
  <c r="Z159" i="24"/>
  <c r="AL159" i="24"/>
  <c r="BG159" i="24" s="1"/>
  <c r="AA159" i="24"/>
  <c r="AV159" i="24" s="1"/>
  <c r="AM159" i="24"/>
  <c r="BH159" i="24" s="1"/>
  <c r="AB159" i="24"/>
  <c r="AW159" i="24" s="1"/>
  <c r="AN159" i="24"/>
  <c r="BI159" i="24" s="1"/>
  <c r="AC159" i="24"/>
  <c r="AX159" i="24" s="1"/>
  <c r="AO159" i="24"/>
  <c r="BJ159" i="24" s="1"/>
  <c r="AD159" i="24"/>
  <c r="AY159" i="24" s="1"/>
  <c r="AP159" i="24"/>
  <c r="BK159" i="24" s="1"/>
  <c r="AE159" i="24"/>
  <c r="AZ159" i="24" s="1"/>
  <c r="AQ159" i="24"/>
  <c r="BL159" i="24" s="1"/>
  <c r="AF159" i="24"/>
  <c r="BA159" i="24" s="1"/>
  <c r="AR159" i="24"/>
  <c r="BM159" i="24" s="1"/>
  <c r="AG159" i="24"/>
  <c r="BB159" i="24" s="1"/>
  <c r="Y159" i="24"/>
  <c r="AT159" i="24" s="1"/>
  <c r="AH159" i="24"/>
  <c r="BC159" i="24" s="1"/>
  <c r="AI231" i="24"/>
  <c r="BD231" i="24" s="1"/>
  <c r="AJ231" i="24"/>
  <c r="BE231" i="24" s="1"/>
  <c r="AK231" i="24"/>
  <c r="BF231" i="24" s="1"/>
  <c r="Z231" i="24"/>
  <c r="AL231" i="24"/>
  <c r="BG231" i="24" s="1"/>
  <c r="AA231" i="24"/>
  <c r="AV231" i="24" s="1"/>
  <c r="AM231" i="24"/>
  <c r="BH231" i="24" s="1"/>
  <c r="AB231" i="24"/>
  <c r="AW231" i="24" s="1"/>
  <c r="AN231" i="24"/>
  <c r="BI231" i="24" s="1"/>
  <c r="AC231" i="24"/>
  <c r="AX231" i="24" s="1"/>
  <c r="AO231" i="24"/>
  <c r="BJ231" i="24" s="1"/>
  <c r="AD231" i="24"/>
  <c r="AY231" i="24" s="1"/>
  <c r="AP231" i="24"/>
  <c r="BK231" i="24" s="1"/>
  <c r="AE231" i="24"/>
  <c r="AZ231" i="24" s="1"/>
  <c r="AQ231" i="24"/>
  <c r="BL231" i="24" s="1"/>
  <c r="AF231" i="24"/>
  <c r="BA231" i="24" s="1"/>
  <c r="AR231" i="24"/>
  <c r="BM231" i="24" s="1"/>
  <c r="AG231" i="24"/>
  <c r="BB231" i="24" s="1"/>
  <c r="Y231" i="24"/>
  <c r="AT231" i="24" s="1"/>
  <c r="AH231" i="24"/>
  <c r="BC231" i="24" s="1"/>
  <c r="AA303" i="24"/>
  <c r="AV303" i="24" s="1"/>
  <c r="AM303" i="24"/>
  <c r="BH303" i="24" s="1"/>
  <c r="Z303" i="24"/>
  <c r="AB303" i="24"/>
  <c r="AW303" i="24" s="1"/>
  <c r="AN303" i="24"/>
  <c r="BI303" i="24" s="1"/>
  <c r="Y303" i="24"/>
  <c r="AT303" i="24" s="1"/>
  <c r="AC303" i="24"/>
  <c r="AX303" i="24" s="1"/>
  <c r="AO303" i="24"/>
  <c r="BJ303" i="24" s="1"/>
  <c r="AD303" i="24"/>
  <c r="AY303" i="24" s="1"/>
  <c r="AP303" i="24"/>
  <c r="BK303" i="24" s="1"/>
  <c r="AE303" i="24"/>
  <c r="AZ303" i="24" s="1"/>
  <c r="AQ303" i="24"/>
  <c r="BL303" i="24" s="1"/>
  <c r="AL303" i="24"/>
  <c r="BG303" i="24" s="1"/>
  <c r="AF303" i="24"/>
  <c r="BA303" i="24" s="1"/>
  <c r="AR303" i="24"/>
  <c r="BM303" i="24" s="1"/>
  <c r="AG303" i="24"/>
  <c r="BB303" i="24" s="1"/>
  <c r="AH303" i="24"/>
  <c r="BC303" i="24" s="1"/>
  <c r="AI303" i="24"/>
  <c r="BD303" i="24" s="1"/>
  <c r="AJ303" i="24"/>
  <c r="BE303" i="24" s="1"/>
  <c r="AK303" i="24"/>
  <c r="BF303" i="24" s="1"/>
  <c r="AH375" i="24"/>
  <c r="Y375" i="24"/>
  <c r="AT375" i="24" s="1"/>
  <c r="AG375" i="24"/>
  <c r="AI375" i="24"/>
  <c r="AJ375" i="24"/>
  <c r="AK375" i="24"/>
  <c r="Z375" i="24"/>
  <c r="AL375" i="24"/>
  <c r="AP375" i="24"/>
  <c r="AA375" i="24"/>
  <c r="AM375" i="24"/>
  <c r="AB375" i="24"/>
  <c r="AN375" i="24"/>
  <c r="AC375" i="24"/>
  <c r="AO375" i="24"/>
  <c r="AD375" i="24"/>
  <c r="AE375" i="24"/>
  <c r="AQ375" i="24"/>
  <c r="AF375" i="24"/>
  <c r="AR375" i="24"/>
  <c r="Z83" i="24"/>
  <c r="AL83" i="24"/>
  <c r="AA83" i="24"/>
  <c r="AM83" i="24"/>
  <c r="AB83" i="24"/>
  <c r="AN83" i="24"/>
  <c r="AC83" i="24"/>
  <c r="AO83" i="24"/>
  <c r="AD83" i="24"/>
  <c r="AP83" i="24"/>
  <c r="AE83" i="24"/>
  <c r="AQ83" i="24"/>
  <c r="AF83" i="24"/>
  <c r="AR83" i="24"/>
  <c r="AG83" i="24"/>
  <c r="AH83" i="24"/>
  <c r="AI83" i="24"/>
  <c r="AJ83" i="24"/>
  <c r="AK83" i="24"/>
  <c r="Y83" i="24"/>
  <c r="AT83" i="24" s="1"/>
  <c r="AA227" i="24"/>
  <c r="AV227" i="24" s="1"/>
  <c r="AM227" i="24"/>
  <c r="BH227" i="24" s="1"/>
  <c r="AB227" i="24"/>
  <c r="AW227" i="24" s="1"/>
  <c r="AN227" i="24"/>
  <c r="BI227" i="24" s="1"/>
  <c r="AC227" i="24"/>
  <c r="AX227" i="24" s="1"/>
  <c r="AO227" i="24"/>
  <c r="BJ227" i="24" s="1"/>
  <c r="AD227" i="24"/>
  <c r="AY227" i="24" s="1"/>
  <c r="AP227" i="24"/>
  <c r="BK227" i="24" s="1"/>
  <c r="AE227" i="24"/>
  <c r="AZ227" i="24" s="1"/>
  <c r="AQ227" i="24"/>
  <c r="BL227" i="24" s="1"/>
  <c r="AF227" i="24"/>
  <c r="BA227" i="24" s="1"/>
  <c r="AR227" i="24"/>
  <c r="BM227" i="24" s="1"/>
  <c r="AG227" i="24"/>
  <c r="BB227" i="24" s="1"/>
  <c r="AH227" i="24"/>
  <c r="BC227" i="24" s="1"/>
  <c r="AI227" i="24"/>
  <c r="BD227" i="24" s="1"/>
  <c r="AJ227" i="24"/>
  <c r="BE227" i="24" s="1"/>
  <c r="AK227" i="24"/>
  <c r="BF227" i="24" s="1"/>
  <c r="Z227" i="24"/>
  <c r="AL227" i="24"/>
  <c r="BG227" i="24" s="1"/>
  <c r="Y227" i="24"/>
  <c r="AT227" i="24" s="1"/>
  <c r="Z383" i="24"/>
  <c r="AL383" i="24"/>
  <c r="BG383" i="24" s="1"/>
  <c r="AB383" i="24"/>
  <c r="AW383" i="24" s="1"/>
  <c r="AA383" i="24"/>
  <c r="AV383" i="24" s="1"/>
  <c r="AM383" i="24"/>
  <c r="BH383" i="24" s="1"/>
  <c r="AN383" i="24"/>
  <c r="BI383" i="24" s="1"/>
  <c r="AK383" i="24"/>
  <c r="BF383" i="24" s="1"/>
  <c r="AC383" i="24"/>
  <c r="AX383" i="24" s="1"/>
  <c r="AO383" i="24"/>
  <c r="BJ383" i="24" s="1"/>
  <c r="AD383" i="24"/>
  <c r="AY383" i="24" s="1"/>
  <c r="AP383" i="24"/>
  <c r="BK383" i="24" s="1"/>
  <c r="Y383" i="24"/>
  <c r="AT383" i="24" s="1"/>
  <c r="AE383" i="24"/>
  <c r="AZ383" i="24" s="1"/>
  <c r="AQ383" i="24"/>
  <c r="BL383" i="24" s="1"/>
  <c r="AF383" i="24"/>
  <c r="BA383" i="24" s="1"/>
  <c r="AR383" i="24"/>
  <c r="BM383" i="24" s="1"/>
  <c r="AG383" i="24"/>
  <c r="BB383" i="24" s="1"/>
  <c r="AH383" i="24"/>
  <c r="BC383" i="24" s="1"/>
  <c r="AI383" i="24"/>
  <c r="BD383" i="24" s="1"/>
  <c r="AJ383" i="24"/>
  <c r="BE383" i="24" s="1"/>
  <c r="AG125" i="24"/>
  <c r="BB125" i="24" s="1"/>
  <c r="AH125" i="24"/>
  <c r="BC125" i="24" s="1"/>
  <c r="AI125" i="24"/>
  <c r="BD125" i="24" s="1"/>
  <c r="AJ125" i="24"/>
  <c r="BE125" i="24" s="1"/>
  <c r="AK125" i="24"/>
  <c r="BF125" i="24" s="1"/>
  <c r="Z125" i="24"/>
  <c r="AL125" i="24"/>
  <c r="BG125" i="24" s="1"/>
  <c r="AA125" i="24"/>
  <c r="AV125" i="24" s="1"/>
  <c r="AM125" i="24"/>
  <c r="BH125" i="24" s="1"/>
  <c r="AB125" i="24"/>
  <c r="AW125" i="24" s="1"/>
  <c r="AN125" i="24"/>
  <c r="BI125" i="24" s="1"/>
  <c r="AC125" i="24"/>
  <c r="AX125" i="24" s="1"/>
  <c r="AO125" i="24"/>
  <c r="BJ125" i="24" s="1"/>
  <c r="AD125" i="24"/>
  <c r="AY125" i="24" s="1"/>
  <c r="AP125" i="24"/>
  <c r="BK125" i="24" s="1"/>
  <c r="AE125" i="24"/>
  <c r="AZ125" i="24" s="1"/>
  <c r="AQ125" i="24"/>
  <c r="BL125" i="24" s="1"/>
  <c r="AF125" i="24"/>
  <c r="BA125" i="24" s="1"/>
  <c r="Y125" i="24"/>
  <c r="AT125" i="24" s="1"/>
  <c r="AR125" i="24"/>
  <c r="BM125" i="24" s="1"/>
  <c r="AD110" i="24"/>
  <c r="AY110" i="24" s="1"/>
  <c r="AP110" i="24"/>
  <c r="BK110" i="24" s="1"/>
  <c r="AE110" i="24"/>
  <c r="AZ110" i="24" s="1"/>
  <c r="AQ110" i="24"/>
  <c r="BL110" i="24" s="1"/>
  <c r="AF110" i="24"/>
  <c r="BA110" i="24" s="1"/>
  <c r="AR110" i="24"/>
  <c r="BM110" i="24" s="1"/>
  <c r="AG110" i="24"/>
  <c r="BB110" i="24" s="1"/>
  <c r="AH110" i="24"/>
  <c r="BC110" i="24" s="1"/>
  <c r="AI110" i="24"/>
  <c r="BD110" i="24" s="1"/>
  <c r="AJ110" i="24"/>
  <c r="BE110" i="24" s="1"/>
  <c r="AK110" i="24"/>
  <c r="BF110" i="24" s="1"/>
  <c r="Z110" i="24"/>
  <c r="AL110" i="24"/>
  <c r="BG110" i="24" s="1"/>
  <c r="AA110" i="24"/>
  <c r="AV110" i="24" s="1"/>
  <c r="AM110" i="24"/>
  <c r="BH110" i="24" s="1"/>
  <c r="AB110" i="24"/>
  <c r="AW110" i="24" s="1"/>
  <c r="AN110" i="24"/>
  <c r="BI110" i="24" s="1"/>
  <c r="Y110" i="24"/>
  <c r="AT110" i="24" s="1"/>
  <c r="AC110" i="24"/>
  <c r="AX110" i="24" s="1"/>
  <c r="AO110" i="24"/>
  <c r="BJ110" i="24" s="1"/>
  <c r="AJ248" i="24"/>
  <c r="BE248" i="24" s="1"/>
  <c r="AK248" i="24"/>
  <c r="BF248" i="24" s="1"/>
  <c r="Z248" i="24"/>
  <c r="AL248" i="24"/>
  <c r="BG248" i="24" s="1"/>
  <c r="AA248" i="24"/>
  <c r="AV248" i="24" s="1"/>
  <c r="AM248" i="24"/>
  <c r="BH248" i="24" s="1"/>
  <c r="AB248" i="24"/>
  <c r="AW248" i="24" s="1"/>
  <c r="AN248" i="24"/>
  <c r="BI248" i="24" s="1"/>
  <c r="AC248" i="24"/>
  <c r="AX248" i="24" s="1"/>
  <c r="AO248" i="24"/>
  <c r="BJ248" i="24" s="1"/>
  <c r="AD248" i="24"/>
  <c r="AY248" i="24" s="1"/>
  <c r="AP248" i="24"/>
  <c r="BK248" i="24" s="1"/>
  <c r="AE248" i="24"/>
  <c r="AZ248" i="24" s="1"/>
  <c r="AQ248" i="24"/>
  <c r="BL248" i="24" s="1"/>
  <c r="AF248" i="24"/>
  <c r="BA248" i="24" s="1"/>
  <c r="AR248" i="24"/>
  <c r="BM248" i="24" s="1"/>
  <c r="AG248" i="24"/>
  <c r="BB248" i="24" s="1"/>
  <c r="AH248" i="24"/>
  <c r="BC248" i="24" s="1"/>
  <c r="AI248" i="24"/>
  <c r="BD248" i="24" s="1"/>
  <c r="Y248" i="24"/>
  <c r="AT248" i="24" s="1"/>
  <c r="AJ188" i="24"/>
  <c r="BE188" i="24" s="1"/>
  <c r="AK188" i="24"/>
  <c r="BF188" i="24" s="1"/>
  <c r="Z188" i="24"/>
  <c r="AL188" i="24"/>
  <c r="BG188" i="24" s="1"/>
  <c r="AA188" i="24"/>
  <c r="AV188" i="24" s="1"/>
  <c r="AM188" i="24"/>
  <c r="BH188" i="24" s="1"/>
  <c r="AB188" i="24"/>
  <c r="AW188" i="24" s="1"/>
  <c r="AN188" i="24"/>
  <c r="BI188" i="24" s="1"/>
  <c r="AC188" i="24"/>
  <c r="AX188" i="24" s="1"/>
  <c r="AO188" i="24"/>
  <c r="BJ188" i="24" s="1"/>
  <c r="AD188" i="24"/>
  <c r="AY188" i="24" s="1"/>
  <c r="AP188" i="24"/>
  <c r="BK188" i="24" s="1"/>
  <c r="AE188" i="24"/>
  <c r="AZ188" i="24" s="1"/>
  <c r="AQ188" i="24"/>
  <c r="BL188" i="24" s="1"/>
  <c r="AF188" i="24"/>
  <c r="BA188" i="24" s="1"/>
  <c r="AR188" i="24"/>
  <c r="BM188" i="24" s="1"/>
  <c r="AG188" i="24"/>
  <c r="BB188" i="24" s="1"/>
  <c r="AH188" i="24"/>
  <c r="BC188" i="24" s="1"/>
  <c r="Y188" i="24"/>
  <c r="AT188" i="24" s="1"/>
  <c r="AI188" i="24"/>
  <c r="BD188" i="24" s="1"/>
  <c r="AD367" i="24"/>
  <c r="AP367" i="24"/>
  <c r="AF367" i="24"/>
  <c r="AE367" i="24"/>
  <c r="AQ367" i="24"/>
  <c r="AC367" i="24"/>
  <c r="AR367" i="24"/>
  <c r="AG367" i="24"/>
  <c r="AH367" i="24"/>
  <c r="Y367" i="24"/>
  <c r="AT367" i="24" s="1"/>
  <c r="AI367" i="24"/>
  <c r="Z367" i="24"/>
  <c r="AJ367" i="24"/>
  <c r="AK367" i="24"/>
  <c r="AL367" i="24"/>
  <c r="AO367" i="24"/>
  <c r="AA367" i="24"/>
  <c r="AM367" i="24"/>
  <c r="AB367" i="24"/>
  <c r="AN367" i="24"/>
  <c r="AA113" i="25"/>
  <c r="AV113" i="25" s="1"/>
  <c r="AM113" i="25"/>
  <c r="BH113" i="25" s="1"/>
  <c r="AB113" i="25"/>
  <c r="AW113" i="25" s="1"/>
  <c r="AN113" i="25"/>
  <c r="BI113" i="25" s="1"/>
  <c r="AC113" i="25"/>
  <c r="AX113" i="25" s="1"/>
  <c r="AO113" i="25"/>
  <c r="BJ113" i="25" s="1"/>
  <c r="AD113" i="25"/>
  <c r="AY113" i="25" s="1"/>
  <c r="AP113" i="25"/>
  <c r="BK113" i="25" s="1"/>
  <c r="AE113" i="25"/>
  <c r="AZ113" i="25" s="1"/>
  <c r="AQ113" i="25"/>
  <c r="BL113" i="25" s="1"/>
  <c r="AF113" i="25"/>
  <c r="BA113" i="25" s="1"/>
  <c r="AR113" i="25"/>
  <c r="BM113" i="25" s="1"/>
  <c r="AG113" i="25"/>
  <c r="BB113" i="25" s="1"/>
  <c r="Y113" i="25"/>
  <c r="AT113" i="25" s="1"/>
  <c r="AH113" i="25"/>
  <c r="BC113" i="25" s="1"/>
  <c r="AI113" i="25"/>
  <c r="BD113" i="25" s="1"/>
  <c r="AJ113" i="25"/>
  <c r="BE113" i="25" s="1"/>
  <c r="AK113" i="25"/>
  <c r="BF113" i="25" s="1"/>
  <c r="Z113" i="25"/>
  <c r="AL113" i="25"/>
  <c r="BG113" i="25" s="1"/>
  <c r="AA178" i="25"/>
  <c r="AV178" i="25" s="1"/>
  <c r="AM178" i="25"/>
  <c r="BH178" i="25" s="1"/>
  <c r="AB178" i="25"/>
  <c r="AW178" i="25" s="1"/>
  <c r="AN178" i="25"/>
  <c r="BI178" i="25" s="1"/>
  <c r="AC178" i="25"/>
  <c r="AX178" i="25" s="1"/>
  <c r="AO178" i="25"/>
  <c r="BJ178" i="25" s="1"/>
  <c r="AD178" i="25"/>
  <c r="AY178" i="25" s="1"/>
  <c r="AP178" i="25"/>
  <c r="BK178" i="25" s="1"/>
  <c r="AE178" i="25"/>
  <c r="AZ178" i="25" s="1"/>
  <c r="AQ178" i="25"/>
  <c r="BL178" i="25" s="1"/>
  <c r="AF178" i="25"/>
  <c r="BA178" i="25" s="1"/>
  <c r="AR178" i="25"/>
  <c r="BM178" i="25" s="1"/>
  <c r="AG178" i="25"/>
  <c r="BB178" i="25" s="1"/>
  <c r="AH178" i="25"/>
  <c r="BC178" i="25" s="1"/>
  <c r="AI178" i="25"/>
  <c r="BD178" i="25" s="1"/>
  <c r="AJ178" i="25"/>
  <c r="BE178" i="25" s="1"/>
  <c r="Y178" i="25"/>
  <c r="AT178" i="25" s="1"/>
  <c r="AK178" i="25"/>
  <c r="BF178" i="25" s="1"/>
  <c r="AL178" i="25"/>
  <c r="BG178" i="25" s="1"/>
  <c r="Z178" i="25"/>
  <c r="Z250" i="25"/>
  <c r="AL250" i="25"/>
  <c r="BG250" i="25" s="1"/>
  <c r="AA250" i="25"/>
  <c r="AV250" i="25" s="1"/>
  <c r="AM250" i="25"/>
  <c r="BH250" i="25" s="1"/>
  <c r="AB250" i="25"/>
  <c r="AW250" i="25" s="1"/>
  <c r="AN250" i="25"/>
  <c r="BI250" i="25" s="1"/>
  <c r="AC250" i="25"/>
  <c r="AX250" i="25" s="1"/>
  <c r="AO250" i="25"/>
  <c r="BJ250" i="25" s="1"/>
  <c r="AD250" i="25"/>
  <c r="AY250" i="25" s="1"/>
  <c r="AP250" i="25"/>
  <c r="BK250" i="25" s="1"/>
  <c r="AE250" i="25"/>
  <c r="AZ250" i="25" s="1"/>
  <c r="AQ250" i="25"/>
  <c r="BL250" i="25" s="1"/>
  <c r="AF250" i="25"/>
  <c r="BA250" i="25" s="1"/>
  <c r="AR250" i="25"/>
  <c r="BM250" i="25" s="1"/>
  <c r="AG250" i="25"/>
  <c r="BB250" i="25" s="1"/>
  <c r="AH250" i="25"/>
  <c r="BC250" i="25" s="1"/>
  <c r="AI250" i="25"/>
  <c r="BD250" i="25" s="1"/>
  <c r="AJ250" i="25"/>
  <c r="BE250" i="25" s="1"/>
  <c r="Y250" i="25"/>
  <c r="AT250" i="25" s="1"/>
  <c r="AK250" i="25"/>
  <c r="BF250" i="25" s="1"/>
  <c r="Z322" i="25"/>
  <c r="AL322" i="25"/>
  <c r="BG322" i="25" s="1"/>
  <c r="AA322" i="25"/>
  <c r="AV322" i="25" s="1"/>
  <c r="AM322" i="25"/>
  <c r="BH322" i="25" s="1"/>
  <c r="AB322" i="25"/>
  <c r="AW322" i="25" s="1"/>
  <c r="AN322" i="25"/>
  <c r="BI322" i="25" s="1"/>
  <c r="AC322" i="25"/>
  <c r="AX322" i="25" s="1"/>
  <c r="AO322" i="25"/>
  <c r="BJ322" i="25" s="1"/>
  <c r="AD322" i="25"/>
  <c r="AY322" i="25" s="1"/>
  <c r="AP322" i="25"/>
  <c r="BK322" i="25" s="1"/>
  <c r="AE322" i="25"/>
  <c r="AZ322" i="25" s="1"/>
  <c r="AQ322" i="25"/>
  <c r="BL322" i="25" s="1"/>
  <c r="AF322" i="25"/>
  <c r="BA322" i="25" s="1"/>
  <c r="AR322" i="25"/>
  <c r="BM322" i="25" s="1"/>
  <c r="AG322" i="25"/>
  <c r="BB322" i="25" s="1"/>
  <c r="AH322" i="25"/>
  <c r="BC322" i="25" s="1"/>
  <c r="AI322" i="25"/>
  <c r="BD322" i="25" s="1"/>
  <c r="AJ322" i="25"/>
  <c r="BE322" i="25" s="1"/>
  <c r="Y322" i="25"/>
  <c r="AT322" i="25" s="1"/>
  <c r="AK322" i="25"/>
  <c r="BF322" i="25" s="1"/>
  <c r="AA121" i="25"/>
  <c r="AV121" i="25" s="1"/>
  <c r="AM121" i="25"/>
  <c r="BH121" i="25" s="1"/>
  <c r="AB121" i="25"/>
  <c r="AW121" i="25" s="1"/>
  <c r="AN121" i="25"/>
  <c r="BI121" i="25" s="1"/>
  <c r="AC121" i="25"/>
  <c r="AX121" i="25" s="1"/>
  <c r="AO121" i="25"/>
  <c r="BJ121" i="25" s="1"/>
  <c r="AD121" i="25"/>
  <c r="AY121" i="25" s="1"/>
  <c r="AP121" i="25"/>
  <c r="BK121" i="25" s="1"/>
  <c r="AE121" i="25"/>
  <c r="AZ121" i="25" s="1"/>
  <c r="AQ121" i="25"/>
  <c r="BL121" i="25" s="1"/>
  <c r="AF121" i="25"/>
  <c r="BA121" i="25" s="1"/>
  <c r="AR121" i="25"/>
  <c r="BM121" i="25" s="1"/>
  <c r="AG121" i="25"/>
  <c r="BB121" i="25" s="1"/>
  <c r="AH121" i="25"/>
  <c r="BC121" i="25" s="1"/>
  <c r="AI121" i="25"/>
  <c r="BD121" i="25" s="1"/>
  <c r="AJ121" i="25"/>
  <c r="BE121" i="25" s="1"/>
  <c r="Y121" i="25"/>
  <c r="AT121" i="25" s="1"/>
  <c r="AK121" i="25"/>
  <c r="BF121" i="25" s="1"/>
  <c r="Z121" i="25"/>
  <c r="AL121" i="25"/>
  <c r="BG121" i="25" s="1"/>
  <c r="AE191" i="25"/>
  <c r="AZ191" i="25" s="1"/>
  <c r="AQ191" i="25"/>
  <c r="BL191" i="25" s="1"/>
  <c r="AF191" i="25"/>
  <c r="BA191" i="25" s="1"/>
  <c r="AR191" i="25"/>
  <c r="BM191" i="25" s="1"/>
  <c r="AG191" i="25"/>
  <c r="BB191" i="25" s="1"/>
  <c r="AH191" i="25"/>
  <c r="BC191" i="25" s="1"/>
  <c r="AI191" i="25"/>
  <c r="BD191" i="25" s="1"/>
  <c r="AJ191" i="25"/>
  <c r="BE191" i="25" s="1"/>
  <c r="Y191" i="25"/>
  <c r="AT191" i="25" s="1"/>
  <c r="AK191" i="25"/>
  <c r="BF191" i="25" s="1"/>
  <c r="Z191" i="25"/>
  <c r="AL191" i="25"/>
  <c r="BG191" i="25" s="1"/>
  <c r="AA191" i="25"/>
  <c r="AV191" i="25" s="1"/>
  <c r="AM191" i="25"/>
  <c r="BH191" i="25" s="1"/>
  <c r="AB191" i="25"/>
  <c r="AW191" i="25" s="1"/>
  <c r="AN191" i="25"/>
  <c r="BI191" i="25" s="1"/>
  <c r="AC191" i="25"/>
  <c r="AX191" i="25" s="1"/>
  <c r="AO191" i="25"/>
  <c r="BJ191" i="25" s="1"/>
  <c r="AD191" i="25"/>
  <c r="AY191" i="25" s="1"/>
  <c r="AP191" i="25"/>
  <c r="BK191" i="25" s="1"/>
  <c r="AD263" i="25"/>
  <c r="AY263" i="25" s="1"/>
  <c r="AP263" i="25"/>
  <c r="BK263" i="25" s="1"/>
  <c r="AE263" i="25"/>
  <c r="AZ263" i="25" s="1"/>
  <c r="AQ263" i="25"/>
  <c r="BL263" i="25" s="1"/>
  <c r="AF263" i="25"/>
  <c r="BA263" i="25" s="1"/>
  <c r="AR263" i="25"/>
  <c r="BM263" i="25" s="1"/>
  <c r="AG263" i="25"/>
  <c r="BB263" i="25" s="1"/>
  <c r="AH263" i="25"/>
  <c r="BC263" i="25" s="1"/>
  <c r="AI263" i="25"/>
  <c r="BD263" i="25" s="1"/>
  <c r="AJ263" i="25"/>
  <c r="BE263" i="25" s="1"/>
  <c r="Y263" i="25"/>
  <c r="AT263" i="25" s="1"/>
  <c r="AK263" i="25"/>
  <c r="BF263" i="25" s="1"/>
  <c r="Z263" i="25"/>
  <c r="AL263" i="25"/>
  <c r="BG263" i="25" s="1"/>
  <c r="AA263" i="25"/>
  <c r="AV263" i="25" s="1"/>
  <c r="AM263" i="25"/>
  <c r="BH263" i="25" s="1"/>
  <c r="AB263" i="25"/>
  <c r="AW263" i="25" s="1"/>
  <c r="AN263" i="25"/>
  <c r="BI263" i="25" s="1"/>
  <c r="AC263" i="25"/>
  <c r="AX263" i="25" s="1"/>
  <c r="AO263" i="25"/>
  <c r="BJ263" i="25" s="1"/>
  <c r="AD335" i="25"/>
  <c r="AY335" i="25" s="1"/>
  <c r="AP335" i="25"/>
  <c r="BK335" i="25" s="1"/>
  <c r="AE335" i="25"/>
  <c r="AZ335" i="25" s="1"/>
  <c r="AQ335" i="25"/>
  <c r="BL335" i="25" s="1"/>
  <c r="AF335" i="25"/>
  <c r="BA335" i="25" s="1"/>
  <c r="AR335" i="25"/>
  <c r="BM335" i="25" s="1"/>
  <c r="AG335" i="25"/>
  <c r="BB335" i="25" s="1"/>
  <c r="AH335" i="25"/>
  <c r="BC335" i="25" s="1"/>
  <c r="AI335" i="25"/>
  <c r="BD335" i="25" s="1"/>
  <c r="AJ335" i="25"/>
  <c r="BE335" i="25" s="1"/>
  <c r="Y335" i="25"/>
  <c r="AT335" i="25" s="1"/>
  <c r="AK335" i="25"/>
  <c r="BF335" i="25" s="1"/>
  <c r="Z335" i="25"/>
  <c r="AL335" i="25"/>
  <c r="BG335" i="25" s="1"/>
  <c r="AA335" i="25"/>
  <c r="AV335" i="25" s="1"/>
  <c r="AM335" i="25"/>
  <c r="BH335" i="25" s="1"/>
  <c r="AB335" i="25"/>
  <c r="AW335" i="25" s="1"/>
  <c r="AN335" i="25"/>
  <c r="BI335" i="25" s="1"/>
  <c r="AC335" i="25"/>
  <c r="AX335" i="25" s="1"/>
  <c r="AO335" i="25"/>
  <c r="BJ335" i="25" s="1"/>
  <c r="AE134" i="25"/>
  <c r="AZ134" i="25" s="1"/>
  <c r="AQ134" i="25"/>
  <c r="BL134" i="25" s="1"/>
  <c r="AF134" i="25"/>
  <c r="BA134" i="25" s="1"/>
  <c r="AR134" i="25"/>
  <c r="BM134" i="25" s="1"/>
  <c r="AG134" i="25"/>
  <c r="BB134" i="25" s="1"/>
  <c r="AH134" i="25"/>
  <c r="BC134" i="25" s="1"/>
  <c r="AI134" i="25"/>
  <c r="BD134" i="25" s="1"/>
  <c r="AJ134" i="25"/>
  <c r="BE134" i="25" s="1"/>
  <c r="Y134" i="25"/>
  <c r="AT134" i="25" s="1"/>
  <c r="AK134" i="25"/>
  <c r="BF134" i="25" s="1"/>
  <c r="Z134" i="25"/>
  <c r="AL134" i="25"/>
  <c r="BG134" i="25" s="1"/>
  <c r="AA134" i="25"/>
  <c r="AV134" i="25" s="1"/>
  <c r="AM134" i="25"/>
  <c r="BH134" i="25" s="1"/>
  <c r="AB134" i="25"/>
  <c r="AW134" i="25" s="1"/>
  <c r="AN134" i="25"/>
  <c r="BI134" i="25" s="1"/>
  <c r="AC134" i="25"/>
  <c r="AX134" i="25" s="1"/>
  <c r="AO134" i="25"/>
  <c r="BJ134" i="25" s="1"/>
  <c r="AD134" i="25"/>
  <c r="AY134" i="25" s="1"/>
  <c r="AP134" i="25"/>
  <c r="BK134" i="25" s="1"/>
  <c r="AI210" i="25"/>
  <c r="BD210" i="25" s="1"/>
  <c r="AJ210" i="25"/>
  <c r="BE210" i="25" s="1"/>
  <c r="Y210" i="25"/>
  <c r="AT210" i="25" s="1"/>
  <c r="AK210" i="25"/>
  <c r="BF210" i="25" s="1"/>
  <c r="Z210" i="25"/>
  <c r="AL210" i="25"/>
  <c r="BG210" i="25" s="1"/>
  <c r="AA210" i="25"/>
  <c r="AV210" i="25" s="1"/>
  <c r="AM210" i="25"/>
  <c r="BH210" i="25" s="1"/>
  <c r="AB210" i="25"/>
  <c r="AW210" i="25" s="1"/>
  <c r="AN210" i="25"/>
  <c r="BI210" i="25" s="1"/>
  <c r="AC210" i="25"/>
  <c r="AX210" i="25" s="1"/>
  <c r="AO210" i="25"/>
  <c r="BJ210" i="25" s="1"/>
  <c r="AD210" i="25"/>
  <c r="AY210" i="25" s="1"/>
  <c r="AP210" i="25"/>
  <c r="BK210" i="25" s="1"/>
  <c r="AE210" i="25"/>
  <c r="AZ210" i="25" s="1"/>
  <c r="AQ210" i="25"/>
  <c r="BL210" i="25" s="1"/>
  <c r="AF210" i="25"/>
  <c r="BA210" i="25" s="1"/>
  <c r="AR210" i="25"/>
  <c r="BM210" i="25" s="1"/>
  <c r="AG210" i="25"/>
  <c r="BB210" i="25" s="1"/>
  <c r="AH210" i="25"/>
  <c r="BC210" i="25" s="1"/>
  <c r="AH282" i="25"/>
  <c r="BC282" i="25" s="1"/>
  <c r="AI282" i="25"/>
  <c r="BD282" i="25" s="1"/>
  <c r="AJ282" i="25"/>
  <c r="BE282" i="25" s="1"/>
  <c r="Y282" i="25"/>
  <c r="AT282" i="25" s="1"/>
  <c r="AK282" i="25"/>
  <c r="BF282" i="25" s="1"/>
  <c r="Z282" i="25"/>
  <c r="AL282" i="25"/>
  <c r="BG282" i="25" s="1"/>
  <c r="AA282" i="25"/>
  <c r="AV282" i="25" s="1"/>
  <c r="AM282" i="25"/>
  <c r="BH282" i="25" s="1"/>
  <c r="AB282" i="25"/>
  <c r="AW282" i="25" s="1"/>
  <c r="AN282" i="25"/>
  <c r="BI282" i="25" s="1"/>
  <c r="AC282" i="25"/>
  <c r="AX282" i="25" s="1"/>
  <c r="AO282" i="25"/>
  <c r="BJ282" i="25" s="1"/>
  <c r="AD282" i="25"/>
  <c r="AY282" i="25" s="1"/>
  <c r="AP282" i="25"/>
  <c r="BK282" i="25" s="1"/>
  <c r="AE282" i="25"/>
  <c r="AZ282" i="25" s="1"/>
  <c r="AQ282" i="25"/>
  <c r="BL282" i="25" s="1"/>
  <c r="AF282" i="25"/>
  <c r="BA282" i="25" s="1"/>
  <c r="AR282" i="25"/>
  <c r="BM282" i="25" s="1"/>
  <c r="AG282" i="25"/>
  <c r="BB282" i="25" s="1"/>
  <c r="AH354" i="25"/>
  <c r="BC354" i="25" s="1"/>
  <c r="AI354" i="25"/>
  <c r="BD354" i="25" s="1"/>
  <c r="AJ354" i="25"/>
  <c r="BE354" i="25" s="1"/>
  <c r="Y354" i="25"/>
  <c r="AT354" i="25" s="1"/>
  <c r="AK354" i="25"/>
  <c r="BF354" i="25" s="1"/>
  <c r="Z354" i="25"/>
  <c r="AL354" i="25"/>
  <c r="BG354" i="25" s="1"/>
  <c r="AA354" i="25"/>
  <c r="AV354" i="25" s="1"/>
  <c r="AM354" i="25"/>
  <c r="BH354" i="25" s="1"/>
  <c r="AB354" i="25"/>
  <c r="AW354" i="25" s="1"/>
  <c r="AN354" i="25"/>
  <c r="BI354" i="25" s="1"/>
  <c r="AC354" i="25"/>
  <c r="AX354" i="25" s="1"/>
  <c r="AO354" i="25"/>
  <c r="BJ354" i="25" s="1"/>
  <c r="AD354" i="25"/>
  <c r="AY354" i="25" s="1"/>
  <c r="AP354" i="25"/>
  <c r="BK354" i="25" s="1"/>
  <c r="AE354" i="25"/>
  <c r="AZ354" i="25" s="1"/>
  <c r="AQ354" i="25"/>
  <c r="BL354" i="25" s="1"/>
  <c r="AF354" i="25"/>
  <c r="BA354" i="25" s="1"/>
  <c r="AR354" i="25"/>
  <c r="BM354" i="25" s="1"/>
  <c r="AG354" i="25"/>
  <c r="BB354" i="25" s="1"/>
  <c r="AA157" i="25"/>
  <c r="AV157" i="25" s="1"/>
  <c r="AM157" i="25"/>
  <c r="BH157" i="25" s="1"/>
  <c r="AB157" i="25"/>
  <c r="AW157" i="25" s="1"/>
  <c r="AN157" i="25"/>
  <c r="BI157" i="25" s="1"/>
  <c r="AC157" i="25"/>
  <c r="AX157" i="25" s="1"/>
  <c r="AO157" i="25"/>
  <c r="BJ157" i="25" s="1"/>
  <c r="AD157" i="25"/>
  <c r="AY157" i="25" s="1"/>
  <c r="AP157" i="25"/>
  <c r="BK157" i="25" s="1"/>
  <c r="AE157" i="25"/>
  <c r="AZ157" i="25" s="1"/>
  <c r="AQ157" i="25"/>
  <c r="BL157" i="25" s="1"/>
  <c r="AF157" i="25"/>
  <c r="BA157" i="25" s="1"/>
  <c r="AR157" i="25"/>
  <c r="BM157" i="25" s="1"/>
  <c r="AG157" i="25"/>
  <c r="BB157" i="25" s="1"/>
  <c r="AH157" i="25"/>
  <c r="BC157" i="25" s="1"/>
  <c r="AI157" i="25"/>
  <c r="BD157" i="25" s="1"/>
  <c r="AJ157" i="25"/>
  <c r="BE157" i="25" s="1"/>
  <c r="Y157" i="25"/>
  <c r="AT157" i="25" s="1"/>
  <c r="AK157" i="25"/>
  <c r="BF157" i="25" s="1"/>
  <c r="Z157" i="25"/>
  <c r="AL157" i="25"/>
  <c r="BG157" i="25" s="1"/>
  <c r="AA229" i="25"/>
  <c r="AV229" i="25" s="1"/>
  <c r="AM229" i="25"/>
  <c r="BH229" i="25" s="1"/>
  <c r="AB229" i="25"/>
  <c r="AW229" i="25" s="1"/>
  <c r="AN229" i="25"/>
  <c r="BI229" i="25" s="1"/>
  <c r="AC229" i="25"/>
  <c r="AX229" i="25" s="1"/>
  <c r="AO229" i="25"/>
  <c r="BJ229" i="25" s="1"/>
  <c r="AD229" i="25"/>
  <c r="AY229" i="25" s="1"/>
  <c r="AP229" i="25"/>
  <c r="BK229" i="25" s="1"/>
  <c r="AE229" i="25"/>
  <c r="AZ229" i="25" s="1"/>
  <c r="AQ229" i="25"/>
  <c r="BL229" i="25" s="1"/>
  <c r="AF229" i="25"/>
  <c r="BA229" i="25" s="1"/>
  <c r="AR229" i="25"/>
  <c r="BM229" i="25" s="1"/>
  <c r="AG229" i="25"/>
  <c r="BB229" i="25" s="1"/>
  <c r="AH229" i="25"/>
  <c r="BC229" i="25" s="1"/>
  <c r="AI229" i="25"/>
  <c r="BD229" i="25" s="1"/>
  <c r="AJ229" i="25"/>
  <c r="BE229" i="25" s="1"/>
  <c r="Y229" i="25"/>
  <c r="AT229" i="25" s="1"/>
  <c r="AK229" i="25"/>
  <c r="BF229" i="25" s="1"/>
  <c r="Z229" i="25"/>
  <c r="AL229" i="25"/>
  <c r="BG229" i="25" s="1"/>
  <c r="Z301" i="25"/>
  <c r="AL301" i="25"/>
  <c r="BG301" i="25" s="1"/>
  <c r="AA301" i="25"/>
  <c r="AV301" i="25" s="1"/>
  <c r="AM301" i="25"/>
  <c r="BH301" i="25" s="1"/>
  <c r="AB301" i="25"/>
  <c r="AW301" i="25" s="1"/>
  <c r="AN301" i="25"/>
  <c r="BI301" i="25" s="1"/>
  <c r="AC301" i="25"/>
  <c r="AX301" i="25" s="1"/>
  <c r="AO301" i="25"/>
  <c r="BJ301" i="25" s="1"/>
  <c r="AD301" i="25"/>
  <c r="AY301" i="25" s="1"/>
  <c r="AP301" i="25"/>
  <c r="BK301" i="25" s="1"/>
  <c r="AE301" i="25"/>
  <c r="AZ301" i="25" s="1"/>
  <c r="AQ301" i="25"/>
  <c r="BL301" i="25" s="1"/>
  <c r="AF301" i="25"/>
  <c r="BA301" i="25" s="1"/>
  <c r="AR301" i="25"/>
  <c r="BM301" i="25" s="1"/>
  <c r="AG301" i="25"/>
  <c r="BB301" i="25" s="1"/>
  <c r="AH301" i="25"/>
  <c r="BC301" i="25" s="1"/>
  <c r="AI301" i="25"/>
  <c r="BD301" i="25" s="1"/>
  <c r="AJ301" i="25"/>
  <c r="BE301" i="25" s="1"/>
  <c r="AK301" i="25"/>
  <c r="BF301" i="25" s="1"/>
  <c r="Y301" i="25"/>
  <c r="AT301" i="25" s="1"/>
  <c r="Z373" i="25"/>
  <c r="AL373" i="25"/>
  <c r="BG373" i="25" s="1"/>
  <c r="AA373" i="25"/>
  <c r="AV373" i="25" s="1"/>
  <c r="AM373" i="25"/>
  <c r="BH373" i="25" s="1"/>
  <c r="AB373" i="25"/>
  <c r="AW373" i="25" s="1"/>
  <c r="AN373" i="25"/>
  <c r="BI373" i="25" s="1"/>
  <c r="AC373" i="25"/>
  <c r="AX373" i="25" s="1"/>
  <c r="AO373" i="25"/>
  <c r="BJ373" i="25" s="1"/>
  <c r="AD373" i="25"/>
  <c r="AY373" i="25" s="1"/>
  <c r="AP373" i="25"/>
  <c r="BK373" i="25" s="1"/>
  <c r="AE373" i="25"/>
  <c r="AZ373" i="25" s="1"/>
  <c r="AQ373" i="25"/>
  <c r="BL373" i="25" s="1"/>
  <c r="AF373" i="25"/>
  <c r="BA373" i="25" s="1"/>
  <c r="AR373" i="25"/>
  <c r="BM373" i="25" s="1"/>
  <c r="AG373" i="25"/>
  <c r="BB373" i="25" s="1"/>
  <c r="AH373" i="25"/>
  <c r="BC373" i="25" s="1"/>
  <c r="AI373" i="25"/>
  <c r="BD373" i="25" s="1"/>
  <c r="AJ373" i="25"/>
  <c r="BE373" i="25" s="1"/>
  <c r="AK373" i="25"/>
  <c r="BF373" i="25" s="1"/>
  <c r="Y373" i="25"/>
  <c r="AT373" i="25" s="1"/>
  <c r="AE170" i="25"/>
  <c r="AZ170" i="25" s="1"/>
  <c r="AQ170" i="25"/>
  <c r="BL170" i="25" s="1"/>
  <c r="AF170" i="25"/>
  <c r="BA170" i="25" s="1"/>
  <c r="AR170" i="25"/>
  <c r="BM170" i="25" s="1"/>
  <c r="AG170" i="25"/>
  <c r="BB170" i="25" s="1"/>
  <c r="AH170" i="25"/>
  <c r="BC170" i="25" s="1"/>
  <c r="AI170" i="25"/>
  <c r="BD170" i="25" s="1"/>
  <c r="AJ170" i="25"/>
  <c r="BE170" i="25" s="1"/>
  <c r="Y170" i="25"/>
  <c r="AT170" i="25" s="1"/>
  <c r="AK170" i="25"/>
  <c r="BF170" i="25" s="1"/>
  <c r="Z170" i="25"/>
  <c r="AL170" i="25"/>
  <c r="BG170" i="25" s="1"/>
  <c r="AA170" i="25"/>
  <c r="AV170" i="25" s="1"/>
  <c r="AM170" i="25"/>
  <c r="BH170" i="25" s="1"/>
  <c r="AB170" i="25"/>
  <c r="AW170" i="25" s="1"/>
  <c r="AN170" i="25"/>
  <c r="BI170" i="25" s="1"/>
  <c r="AC170" i="25"/>
  <c r="AX170" i="25" s="1"/>
  <c r="AO170" i="25"/>
  <c r="BJ170" i="25" s="1"/>
  <c r="AD170" i="25"/>
  <c r="AY170" i="25" s="1"/>
  <c r="AP170" i="25"/>
  <c r="BK170" i="25" s="1"/>
  <c r="AD242" i="25"/>
  <c r="AY242" i="25" s="1"/>
  <c r="AP242" i="25"/>
  <c r="BK242" i="25" s="1"/>
  <c r="AE242" i="25"/>
  <c r="AZ242" i="25" s="1"/>
  <c r="AQ242" i="25"/>
  <c r="BL242" i="25" s="1"/>
  <c r="AF242" i="25"/>
  <c r="BA242" i="25" s="1"/>
  <c r="AR242" i="25"/>
  <c r="BM242" i="25" s="1"/>
  <c r="AG242" i="25"/>
  <c r="BB242" i="25" s="1"/>
  <c r="AH242" i="25"/>
  <c r="BC242" i="25" s="1"/>
  <c r="AI242" i="25"/>
  <c r="BD242" i="25" s="1"/>
  <c r="AJ242" i="25"/>
  <c r="BE242" i="25" s="1"/>
  <c r="Y242" i="25"/>
  <c r="AT242" i="25" s="1"/>
  <c r="AK242" i="25"/>
  <c r="BF242" i="25" s="1"/>
  <c r="Z242" i="25"/>
  <c r="AL242" i="25"/>
  <c r="BG242" i="25" s="1"/>
  <c r="AA242" i="25"/>
  <c r="AV242" i="25" s="1"/>
  <c r="AM242" i="25"/>
  <c r="BH242" i="25" s="1"/>
  <c r="AB242" i="25"/>
  <c r="AW242" i="25" s="1"/>
  <c r="AN242" i="25"/>
  <c r="BI242" i="25" s="1"/>
  <c r="AC242" i="25"/>
  <c r="AX242" i="25" s="1"/>
  <c r="AO242" i="25"/>
  <c r="BJ242" i="25" s="1"/>
  <c r="AD314" i="25"/>
  <c r="AY314" i="25" s="1"/>
  <c r="AP314" i="25"/>
  <c r="BK314" i="25" s="1"/>
  <c r="AE314" i="25"/>
  <c r="AZ314" i="25" s="1"/>
  <c r="AQ314" i="25"/>
  <c r="BL314" i="25" s="1"/>
  <c r="AF314" i="25"/>
  <c r="BA314" i="25" s="1"/>
  <c r="AR314" i="25"/>
  <c r="BM314" i="25" s="1"/>
  <c r="AG314" i="25"/>
  <c r="BB314" i="25" s="1"/>
  <c r="AH314" i="25"/>
  <c r="BC314" i="25" s="1"/>
  <c r="AI314" i="25"/>
  <c r="BD314" i="25" s="1"/>
  <c r="AJ314" i="25"/>
  <c r="BE314" i="25" s="1"/>
  <c r="Y314" i="25"/>
  <c r="AT314" i="25" s="1"/>
  <c r="AK314" i="25"/>
  <c r="BF314" i="25" s="1"/>
  <c r="Z314" i="25"/>
  <c r="AL314" i="25"/>
  <c r="BG314" i="25" s="1"/>
  <c r="AA314" i="25"/>
  <c r="AV314" i="25" s="1"/>
  <c r="AM314" i="25"/>
  <c r="BH314" i="25" s="1"/>
  <c r="AB314" i="25"/>
  <c r="AW314" i="25" s="1"/>
  <c r="AN314" i="25"/>
  <c r="BI314" i="25" s="1"/>
  <c r="AC314" i="25"/>
  <c r="AX314" i="25" s="1"/>
  <c r="AO314" i="25"/>
  <c r="BJ314" i="25" s="1"/>
  <c r="AI189" i="25"/>
  <c r="BD189" i="25" s="1"/>
  <c r="AJ189" i="25"/>
  <c r="BE189" i="25" s="1"/>
  <c r="Y189" i="25"/>
  <c r="AT189" i="25" s="1"/>
  <c r="AK189" i="25"/>
  <c r="BF189" i="25" s="1"/>
  <c r="Z189" i="25"/>
  <c r="AL189" i="25"/>
  <c r="BG189" i="25" s="1"/>
  <c r="AA189" i="25"/>
  <c r="AV189" i="25" s="1"/>
  <c r="AM189" i="25"/>
  <c r="BH189" i="25" s="1"/>
  <c r="AB189" i="25"/>
  <c r="AW189" i="25" s="1"/>
  <c r="AN189" i="25"/>
  <c r="BI189" i="25" s="1"/>
  <c r="AC189" i="25"/>
  <c r="AX189" i="25" s="1"/>
  <c r="AO189" i="25"/>
  <c r="BJ189" i="25" s="1"/>
  <c r="AD189" i="25"/>
  <c r="AY189" i="25" s="1"/>
  <c r="AP189" i="25"/>
  <c r="BK189" i="25" s="1"/>
  <c r="AE189" i="25"/>
  <c r="AZ189" i="25" s="1"/>
  <c r="AQ189" i="25"/>
  <c r="BL189" i="25" s="1"/>
  <c r="AF189" i="25"/>
  <c r="BA189" i="25" s="1"/>
  <c r="AR189" i="25"/>
  <c r="BM189" i="25" s="1"/>
  <c r="AG189" i="25"/>
  <c r="BB189" i="25" s="1"/>
  <c r="AH189" i="25"/>
  <c r="BC189" i="25" s="1"/>
  <c r="AI177" i="25"/>
  <c r="BD177" i="25" s="1"/>
  <c r="AJ177" i="25"/>
  <c r="BE177" i="25" s="1"/>
  <c r="Y177" i="25"/>
  <c r="AT177" i="25" s="1"/>
  <c r="AK177" i="25"/>
  <c r="BF177" i="25" s="1"/>
  <c r="Z177" i="25"/>
  <c r="AL177" i="25"/>
  <c r="BG177" i="25" s="1"/>
  <c r="AA177" i="25"/>
  <c r="AV177" i="25" s="1"/>
  <c r="AM177" i="25"/>
  <c r="BH177" i="25" s="1"/>
  <c r="AB177" i="25"/>
  <c r="AW177" i="25" s="1"/>
  <c r="AN177" i="25"/>
  <c r="BI177" i="25" s="1"/>
  <c r="AC177" i="25"/>
  <c r="AX177" i="25" s="1"/>
  <c r="AO177" i="25"/>
  <c r="BJ177" i="25" s="1"/>
  <c r="AD177" i="25"/>
  <c r="AY177" i="25" s="1"/>
  <c r="AP177" i="25"/>
  <c r="BK177" i="25" s="1"/>
  <c r="AE177" i="25"/>
  <c r="AZ177" i="25" s="1"/>
  <c r="AQ177" i="25"/>
  <c r="BL177" i="25" s="1"/>
  <c r="AF177" i="25"/>
  <c r="BA177" i="25" s="1"/>
  <c r="AR177" i="25"/>
  <c r="BM177" i="25" s="1"/>
  <c r="AG177" i="25"/>
  <c r="BB177" i="25" s="1"/>
  <c r="AH177" i="25"/>
  <c r="BC177" i="25" s="1"/>
  <c r="AH267" i="25"/>
  <c r="BC267" i="25" s="1"/>
  <c r="AI267" i="25"/>
  <c r="BD267" i="25" s="1"/>
  <c r="AJ267" i="25"/>
  <c r="BE267" i="25" s="1"/>
  <c r="Y267" i="25"/>
  <c r="AT267" i="25" s="1"/>
  <c r="AK267" i="25"/>
  <c r="BF267" i="25" s="1"/>
  <c r="Z267" i="25"/>
  <c r="AL267" i="25"/>
  <c r="BG267" i="25" s="1"/>
  <c r="AA267" i="25"/>
  <c r="AV267" i="25" s="1"/>
  <c r="AM267" i="25"/>
  <c r="BH267" i="25" s="1"/>
  <c r="AB267" i="25"/>
  <c r="AW267" i="25" s="1"/>
  <c r="AN267" i="25"/>
  <c r="BI267" i="25" s="1"/>
  <c r="AC267" i="25"/>
  <c r="AX267" i="25" s="1"/>
  <c r="AO267" i="25"/>
  <c r="BJ267" i="25" s="1"/>
  <c r="AD267" i="25"/>
  <c r="AY267" i="25" s="1"/>
  <c r="AP267" i="25"/>
  <c r="BK267" i="25" s="1"/>
  <c r="AE267" i="25"/>
  <c r="AZ267" i="25" s="1"/>
  <c r="AQ267" i="25"/>
  <c r="BL267" i="25" s="1"/>
  <c r="AF267" i="25"/>
  <c r="BA267" i="25" s="1"/>
  <c r="AR267" i="25"/>
  <c r="BM267" i="25" s="1"/>
  <c r="AG267" i="25"/>
  <c r="BB267" i="25" s="1"/>
  <c r="AH339" i="25"/>
  <c r="BC339" i="25" s="1"/>
  <c r="AI339" i="25"/>
  <c r="BD339" i="25" s="1"/>
  <c r="AJ339" i="25"/>
  <c r="BE339" i="25" s="1"/>
  <c r="Y339" i="25"/>
  <c r="AT339" i="25" s="1"/>
  <c r="AK339" i="25"/>
  <c r="BF339" i="25" s="1"/>
  <c r="Z339" i="25"/>
  <c r="AL339" i="25"/>
  <c r="BG339" i="25" s="1"/>
  <c r="AA339" i="25"/>
  <c r="AV339" i="25" s="1"/>
  <c r="AM339" i="25"/>
  <c r="BH339" i="25" s="1"/>
  <c r="AB339" i="25"/>
  <c r="AW339" i="25" s="1"/>
  <c r="AN339" i="25"/>
  <c r="BI339" i="25" s="1"/>
  <c r="AC339" i="25"/>
  <c r="AX339" i="25" s="1"/>
  <c r="AO339" i="25"/>
  <c r="BJ339" i="25" s="1"/>
  <c r="AD339" i="25"/>
  <c r="AY339" i="25" s="1"/>
  <c r="AP339" i="25"/>
  <c r="BK339" i="25" s="1"/>
  <c r="AE339" i="25"/>
  <c r="AZ339" i="25" s="1"/>
  <c r="AQ339" i="25"/>
  <c r="BL339" i="25" s="1"/>
  <c r="AF339" i="25"/>
  <c r="BA339" i="25" s="1"/>
  <c r="AR339" i="25"/>
  <c r="BM339" i="25" s="1"/>
  <c r="AG339" i="25"/>
  <c r="BB339" i="25" s="1"/>
  <c r="AC227" i="26"/>
  <c r="AX227" i="26" s="1"/>
  <c r="AO227" i="26"/>
  <c r="BJ227" i="26" s="1"/>
  <c r="AD227" i="26"/>
  <c r="AY227" i="26" s="1"/>
  <c r="AP227" i="26"/>
  <c r="BK227" i="26" s="1"/>
  <c r="AE227" i="26"/>
  <c r="AZ227" i="26" s="1"/>
  <c r="AQ227" i="26"/>
  <c r="BL227" i="26" s="1"/>
  <c r="AF227" i="26"/>
  <c r="BA227" i="26" s="1"/>
  <c r="AR227" i="26"/>
  <c r="BM227" i="26" s="1"/>
  <c r="AG227" i="26"/>
  <c r="BB227" i="26" s="1"/>
  <c r="AH227" i="26"/>
  <c r="BC227" i="26" s="1"/>
  <c r="AI227" i="26"/>
  <c r="BD227" i="26" s="1"/>
  <c r="AJ227" i="26"/>
  <c r="BE227" i="26" s="1"/>
  <c r="Y227" i="26"/>
  <c r="AT227" i="26" s="1"/>
  <c r="AK227" i="26"/>
  <c r="BF227" i="26" s="1"/>
  <c r="Z227" i="26"/>
  <c r="AL227" i="26"/>
  <c r="BG227" i="26" s="1"/>
  <c r="AA227" i="26"/>
  <c r="AV227" i="26" s="1"/>
  <c r="AM227" i="26"/>
  <c r="BH227" i="26" s="1"/>
  <c r="AB227" i="26"/>
  <c r="AW227" i="26" s="1"/>
  <c r="AN227" i="26"/>
  <c r="BI227" i="26" s="1"/>
  <c r="AC299" i="26"/>
  <c r="AX299" i="26" s="1"/>
  <c r="AO299" i="26"/>
  <c r="BJ299" i="26" s="1"/>
  <c r="AD299" i="26"/>
  <c r="AY299" i="26" s="1"/>
  <c r="AP299" i="26"/>
  <c r="BK299" i="26" s="1"/>
  <c r="AE299" i="26"/>
  <c r="AZ299" i="26" s="1"/>
  <c r="AQ299" i="26"/>
  <c r="BL299" i="26" s="1"/>
  <c r="AF299" i="26"/>
  <c r="BA299" i="26" s="1"/>
  <c r="AR299" i="26"/>
  <c r="BM299" i="26" s="1"/>
  <c r="AG299" i="26"/>
  <c r="BB299" i="26" s="1"/>
  <c r="AH299" i="26"/>
  <c r="BC299" i="26" s="1"/>
  <c r="AI299" i="26"/>
  <c r="BD299" i="26" s="1"/>
  <c r="AJ299" i="26"/>
  <c r="BE299" i="26" s="1"/>
  <c r="Y299" i="26"/>
  <c r="AT299" i="26" s="1"/>
  <c r="AK299" i="26"/>
  <c r="BF299" i="26" s="1"/>
  <c r="Z299" i="26"/>
  <c r="AL299" i="26"/>
  <c r="BG299" i="26" s="1"/>
  <c r="AA299" i="26"/>
  <c r="AV299" i="26" s="1"/>
  <c r="AM299" i="26"/>
  <c r="BH299" i="26" s="1"/>
  <c r="AB299" i="26"/>
  <c r="AW299" i="26" s="1"/>
  <c r="AN299" i="26"/>
  <c r="BI299" i="26" s="1"/>
  <c r="AD371" i="26"/>
  <c r="AP371" i="26"/>
  <c r="AE371" i="26"/>
  <c r="AQ371" i="26"/>
  <c r="AF371" i="26"/>
  <c r="AR371" i="26"/>
  <c r="AG371" i="26"/>
  <c r="AH371" i="26"/>
  <c r="AI371" i="26"/>
  <c r="AJ371" i="26"/>
  <c r="Y371" i="26"/>
  <c r="AT371" i="26" s="1"/>
  <c r="AK371" i="26"/>
  <c r="Z371" i="26"/>
  <c r="AL371" i="26"/>
  <c r="AA371" i="26"/>
  <c r="AM371" i="26"/>
  <c r="AB371" i="26"/>
  <c r="AN371" i="26"/>
  <c r="AC371" i="26"/>
  <c r="AO371" i="26"/>
  <c r="AG192" i="26"/>
  <c r="BB192" i="26" s="1"/>
  <c r="AH192" i="26"/>
  <c r="BC192" i="26" s="1"/>
  <c r="AI192" i="26"/>
  <c r="BD192" i="26" s="1"/>
  <c r="AJ192" i="26"/>
  <c r="BE192" i="26" s="1"/>
  <c r="Y192" i="26"/>
  <c r="AT192" i="26" s="1"/>
  <c r="AK192" i="26"/>
  <c r="BF192" i="26" s="1"/>
  <c r="Z192" i="26"/>
  <c r="AL192" i="26"/>
  <c r="BG192" i="26" s="1"/>
  <c r="AA192" i="26"/>
  <c r="AV192" i="26" s="1"/>
  <c r="AM192" i="26"/>
  <c r="BH192" i="26" s="1"/>
  <c r="AB192" i="26"/>
  <c r="AW192" i="26" s="1"/>
  <c r="AN192" i="26"/>
  <c r="BI192" i="26" s="1"/>
  <c r="AC192" i="26"/>
  <c r="AX192" i="26" s="1"/>
  <c r="AO192" i="26"/>
  <c r="BJ192" i="26" s="1"/>
  <c r="AD192" i="26"/>
  <c r="AY192" i="26" s="1"/>
  <c r="AP192" i="26"/>
  <c r="BK192" i="26" s="1"/>
  <c r="AE192" i="26"/>
  <c r="AZ192" i="26" s="1"/>
  <c r="AQ192" i="26"/>
  <c r="BL192" i="26" s="1"/>
  <c r="AF192" i="26"/>
  <c r="BA192" i="26" s="1"/>
  <c r="AR192" i="26"/>
  <c r="BM192" i="26" s="1"/>
  <c r="AG264" i="26"/>
  <c r="BB264" i="26" s="1"/>
  <c r="AH264" i="26"/>
  <c r="BC264" i="26" s="1"/>
  <c r="AI264" i="26"/>
  <c r="BD264" i="26" s="1"/>
  <c r="AJ264" i="26"/>
  <c r="BE264" i="26" s="1"/>
  <c r="Y264" i="26"/>
  <c r="AT264" i="26" s="1"/>
  <c r="AK264" i="26"/>
  <c r="BF264" i="26" s="1"/>
  <c r="Z264" i="26"/>
  <c r="AL264" i="26"/>
  <c r="BG264" i="26" s="1"/>
  <c r="AA264" i="26"/>
  <c r="AV264" i="26" s="1"/>
  <c r="AM264" i="26"/>
  <c r="BH264" i="26" s="1"/>
  <c r="AB264" i="26"/>
  <c r="AW264" i="26" s="1"/>
  <c r="AN264" i="26"/>
  <c r="BI264" i="26" s="1"/>
  <c r="AC264" i="26"/>
  <c r="AX264" i="26" s="1"/>
  <c r="AO264" i="26"/>
  <c r="BJ264" i="26" s="1"/>
  <c r="AD264" i="26"/>
  <c r="AY264" i="26" s="1"/>
  <c r="AP264" i="26"/>
  <c r="BK264" i="26" s="1"/>
  <c r="AE264" i="26"/>
  <c r="AZ264" i="26" s="1"/>
  <c r="AQ264" i="26"/>
  <c r="BL264" i="26" s="1"/>
  <c r="AF264" i="26"/>
  <c r="BA264" i="26" s="1"/>
  <c r="AR264" i="26"/>
  <c r="BM264" i="26" s="1"/>
  <c r="AH336" i="26"/>
  <c r="BC336" i="26" s="1"/>
  <c r="AI336" i="26"/>
  <c r="BD336" i="26" s="1"/>
  <c r="AJ336" i="26"/>
  <c r="BE336" i="26" s="1"/>
  <c r="Y336" i="26"/>
  <c r="AT336" i="26" s="1"/>
  <c r="AK336" i="26"/>
  <c r="BF336" i="26" s="1"/>
  <c r="Z336" i="26"/>
  <c r="AL336" i="26"/>
  <c r="BG336" i="26" s="1"/>
  <c r="AA336" i="26"/>
  <c r="AV336" i="26" s="1"/>
  <c r="AM336" i="26"/>
  <c r="BH336" i="26" s="1"/>
  <c r="AB336" i="26"/>
  <c r="AW336" i="26" s="1"/>
  <c r="AN336" i="26"/>
  <c r="BI336" i="26" s="1"/>
  <c r="AC336" i="26"/>
  <c r="AX336" i="26" s="1"/>
  <c r="AO336" i="26"/>
  <c r="BJ336" i="26" s="1"/>
  <c r="AD336" i="26"/>
  <c r="AY336" i="26" s="1"/>
  <c r="AP336" i="26"/>
  <c r="BK336" i="26" s="1"/>
  <c r="AE336" i="26"/>
  <c r="AZ336" i="26" s="1"/>
  <c r="AQ336" i="26"/>
  <c r="BL336" i="26" s="1"/>
  <c r="AF336" i="26"/>
  <c r="BA336" i="26" s="1"/>
  <c r="AR336" i="26"/>
  <c r="BM336" i="26" s="1"/>
  <c r="AG336" i="26"/>
  <c r="BB336" i="26" s="1"/>
  <c r="Y229" i="26"/>
  <c r="AT229" i="26" s="1"/>
  <c r="AK229" i="26"/>
  <c r="BF229" i="26" s="1"/>
  <c r="Z229" i="26"/>
  <c r="AL229" i="26"/>
  <c r="BG229" i="26" s="1"/>
  <c r="AA229" i="26"/>
  <c r="AV229" i="26" s="1"/>
  <c r="AM229" i="26"/>
  <c r="BH229" i="26" s="1"/>
  <c r="AB229" i="26"/>
  <c r="AW229" i="26" s="1"/>
  <c r="AN229" i="26"/>
  <c r="BI229" i="26" s="1"/>
  <c r="AC229" i="26"/>
  <c r="AX229" i="26" s="1"/>
  <c r="AO229" i="26"/>
  <c r="BJ229" i="26" s="1"/>
  <c r="AD229" i="26"/>
  <c r="AY229" i="26" s="1"/>
  <c r="AP229" i="26"/>
  <c r="BK229" i="26" s="1"/>
  <c r="AE229" i="26"/>
  <c r="AZ229" i="26" s="1"/>
  <c r="AQ229" i="26"/>
  <c r="BL229" i="26" s="1"/>
  <c r="AF229" i="26"/>
  <c r="BA229" i="26" s="1"/>
  <c r="AR229" i="26"/>
  <c r="BM229" i="26" s="1"/>
  <c r="AG229" i="26"/>
  <c r="BB229" i="26" s="1"/>
  <c r="AH229" i="26"/>
  <c r="BC229" i="26" s="1"/>
  <c r="AI229" i="26"/>
  <c r="BD229" i="26" s="1"/>
  <c r="AJ229" i="26"/>
  <c r="BE229" i="26" s="1"/>
  <c r="Y301" i="26"/>
  <c r="AT301" i="26" s="1"/>
  <c r="AK301" i="26"/>
  <c r="BF301" i="26" s="1"/>
  <c r="Z301" i="26"/>
  <c r="AL301" i="26"/>
  <c r="BG301" i="26" s="1"/>
  <c r="AA301" i="26"/>
  <c r="AV301" i="26" s="1"/>
  <c r="AM301" i="26"/>
  <c r="BH301" i="26" s="1"/>
  <c r="AB301" i="26"/>
  <c r="AW301" i="26" s="1"/>
  <c r="AN301" i="26"/>
  <c r="BI301" i="26" s="1"/>
  <c r="AC301" i="26"/>
  <c r="AX301" i="26" s="1"/>
  <c r="AO301" i="26"/>
  <c r="BJ301" i="26" s="1"/>
  <c r="AD301" i="26"/>
  <c r="AY301" i="26" s="1"/>
  <c r="AP301" i="26"/>
  <c r="BK301" i="26" s="1"/>
  <c r="AE301" i="26"/>
  <c r="AZ301" i="26" s="1"/>
  <c r="AQ301" i="26"/>
  <c r="BL301" i="26" s="1"/>
  <c r="AF301" i="26"/>
  <c r="BA301" i="26" s="1"/>
  <c r="AR301" i="26"/>
  <c r="BM301" i="26" s="1"/>
  <c r="AG301" i="26"/>
  <c r="BB301" i="26" s="1"/>
  <c r="AH301" i="26"/>
  <c r="BC301" i="26" s="1"/>
  <c r="AI301" i="26"/>
  <c r="BD301" i="26" s="1"/>
  <c r="AJ301" i="26"/>
  <c r="BE301" i="26" s="1"/>
  <c r="Z373" i="26"/>
  <c r="AL373" i="26"/>
  <c r="BG373" i="26" s="1"/>
  <c r="AA373" i="26"/>
  <c r="AV373" i="26" s="1"/>
  <c r="AM373" i="26"/>
  <c r="BH373" i="26" s="1"/>
  <c r="AB373" i="26"/>
  <c r="AW373" i="26" s="1"/>
  <c r="AN373" i="26"/>
  <c r="BI373" i="26" s="1"/>
  <c r="AC373" i="26"/>
  <c r="AX373" i="26" s="1"/>
  <c r="AO373" i="26"/>
  <c r="BJ373" i="26" s="1"/>
  <c r="AD373" i="26"/>
  <c r="AY373" i="26" s="1"/>
  <c r="AP373" i="26"/>
  <c r="BK373" i="26" s="1"/>
  <c r="AE373" i="26"/>
  <c r="AZ373" i="26" s="1"/>
  <c r="AQ373" i="26"/>
  <c r="BL373" i="26" s="1"/>
  <c r="AF373" i="26"/>
  <c r="BA373" i="26" s="1"/>
  <c r="AR373" i="26"/>
  <c r="BM373" i="26" s="1"/>
  <c r="AG373" i="26"/>
  <c r="BB373" i="26" s="1"/>
  <c r="AH373" i="26"/>
  <c r="BC373" i="26" s="1"/>
  <c r="AI373" i="26"/>
  <c r="BD373" i="26" s="1"/>
  <c r="AJ373" i="26"/>
  <c r="BE373" i="26" s="1"/>
  <c r="Y373" i="26"/>
  <c r="AT373" i="26" s="1"/>
  <c r="AK373" i="26"/>
  <c r="BF373" i="26" s="1"/>
  <c r="AC200" i="26"/>
  <c r="AX200" i="26" s="1"/>
  <c r="AO200" i="26"/>
  <c r="BJ200" i="26" s="1"/>
  <c r="AD200" i="26"/>
  <c r="AY200" i="26" s="1"/>
  <c r="AP200" i="26"/>
  <c r="BK200" i="26" s="1"/>
  <c r="AE200" i="26"/>
  <c r="AZ200" i="26" s="1"/>
  <c r="AQ200" i="26"/>
  <c r="BL200" i="26" s="1"/>
  <c r="AF200" i="26"/>
  <c r="BA200" i="26" s="1"/>
  <c r="AR200" i="26"/>
  <c r="BM200" i="26" s="1"/>
  <c r="AG200" i="26"/>
  <c r="BB200" i="26" s="1"/>
  <c r="AH200" i="26"/>
  <c r="BC200" i="26" s="1"/>
  <c r="AI200" i="26"/>
  <c r="BD200" i="26" s="1"/>
  <c r="AJ200" i="26"/>
  <c r="BE200" i="26" s="1"/>
  <c r="Y200" i="26"/>
  <c r="AT200" i="26" s="1"/>
  <c r="AK200" i="26"/>
  <c r="BF200" i="26" s="1"/>
  <c r="Z200" i="26"/>
  <c r="AL200" i="26"/>
  <c r="BG200" i="26" s="1"/>
  <c r="AA200" i="26"/>
  <c r="AV200" i="26" s="1"/>
  <c r="AM200" i="26"/>
  <c r="BH200" i="26" s="1"/>
  <c r="AB200" i="26"/>
  <c r="AW200" i="26" s="1"/>
  <c r="AN200" i="26"/>
  <c r="BI200" i="26" s="1"/>
  <c r="AC272" i="26"/>
  <c r="AX272" i="26" s="1"/>
  <c r="AO272" i="26"/>
  <c r="BJ272" i="26" s="1"/>
  <c r="AD272" i="26"/>
  <c r="AY272" i="26" s="1"/>
  <c r="AP272" i="26"/>
  <c r="BK272" i="26" s="1"/>
  <c r="AE272" i="26"/>
  <c r="AZ272" i="26" s="1"/>
  <c r="AQ272" i="26"/>
  <c r="BL272" i="26" s="1"/>
  <c r="AF272" i="26"/>
  <c r="BA272" i="26" s="1"/>
  <c r="AR272" i="26"/>
  <c r="BM272" i="26" s="1"/>
  <c r="AG272" i="26"/>
  <c r="BB272" i="26" s="1"/>
  <c r="AH272" i="26"/>
  <c r="BC272" i="26" s="1"/>
  <c r="AI272" i="26"/>
  <c r="BD272" i="26" s="1"/>
  <c r="AJ272" i="26"/>
  <c r="BE272" i="26" s="1"/>
  <c r="Y272" i="26"/>
  <c r="AT272" i="26" s="1"/>
  <c r="AK272" i="26"/>
  <c r="BF272" i="26" s="1"/>
  <c r="Z272" i="26"/>
  <c r="AL272" i="26"/>
  <c r="BG272" i="26" s="1"/>
  <c r="AA272" i="26"/>
  <c r="AV272" i="26" s="1"/>
  <c r="AM272" i="26"/>
  <c r="BH272" i="26" s="1"/>
  <c r="AB272" i="26"/>
  <c r="AW272" i="26" s="1"/>
  <c r="AN272" i="26"/>
  <c r="BI272" i="26" s="1"/>
  <c r="AD344" i="26"/>
  <c r="AY344" i="26" s="1"/>
  <c r="AP344" i="26"/>
  <c r="BK344" i="26" s="1"/>
  <c r="AE344" i="26"/>
  <c r="AZ344" i="26" s="1"/>
  <c r="AQ344" i="26"/>
  <c r="BL344" i="26" s="1"/>
  <c r="AF344" i="26"/>
  <c r="BA344" i="26" s="1"/>
  <c r="AR344" i="26"/>
  <c r="BM344" i="26" s="1"/>
  <c r="AG344" i="26"/>
  <c r="BB344" i="26" s="1"/>
  <c r="AH344" i="26"/>
  <c r="BC344" i="26" s="1"/>
  <c r="AI344" i="26"/>
  <c r="BD344" i="26" s="1"/>
  <c r="AJ344" i="26"/>
  <c r="BE344" i="26" s="1"/>
  <c r="Y344" i="26"/>
  <c r="AT344" i="26" s="1"/>
  <c r="AK344" i="26"/>
  <c r="BF344" i="26" s="1"/>
  <c r="Z344" i="26"/>
  <c r="AL344" i="26"/>
  <c r="BG344" i="26" s="1"/>
  <c r="AA344" i="26"/>
  <c r="AV344" i="26" s="1"/>
  <c r="AM344" i="26"/>
  <c r="BH344" i="26" s="1"/>
  <c r="AB344" i="26"/>
  <c r="AW344" i="26" s="1"/>
  <c r="AN344" i="26"/>
  <c r="BI344" i="26" s="1"/>
  <c r="AC344" i="26"/>
  <c r="AX344" i="26" s="1"/>
  <c r="AO344" i="26"/>
  <c r="BJ344" i="26" s="1"/>
  <c r="AG171" i="26"/>
  <c r="BB171" i="26" s="1"/>
  <c r="AH171" i="26"/>
  <c r="BC171" i="26" s="1"/>
  <c r="AI171" i="26"/>
  <c r="BD171" i="26" s="1"/>
  <c r="AJ171" i="26"/>
  <c r="BE171" i="26" s="1"/>
  <c r="Y171" i="26"/>
  <c r="AT171" i="26" s="1"/>
  <c r="AK171" i="26"/>
  <c r="BF171" i="26" s="1"/>
  <c r="Z171" i="26"/>
  <c r="AL171" i="26"/>
  <c r="BG171" i="26" s="1"/>
  <c r="AA171" i="26"/>
  <c r="AV171" i="26" s="1"/>
  <c r="AM171" i="26"/>
  <c r="BH171" i="26" s="1"/>
  <c r="AB171" i="26"/>
  <c r="AW171" i="26" s="1"/>
  <c r="AN171" i="26"/>
  <c r="BI171" i="26" s="1"/>
  <c r="AC171" i="26"/>
  <c r="AX171" i="26" s="1"/>
  <c r="AO171" i="26"/>
  <c r="BJ171" i="26" s="1"/>
  <c r="AD171" i="26"/>
  <c r="AY171" i="26" s="1"/>
  <c r="AP171" i="26"/>
  <c r="BK171" i="26" s="1"/>
  <c r="AE171" i="26"/>
  <c r="AZ171" i="26" s="1"/>
  <c r="AQ171" i="26"/>
  <c r="BL171" i="26" s="1"/>
  <c r="AF171" i="26"/>
  <c r="BA171" i="26" s="1"/>
  <c r="AR171" i="26"/>
  <c r="BM171" i="26" s="1"/>
  <c r="AG243" i="26"/>
  <c r="BB243" i="26" s="1"/>
  <c r="AH243" i="26"/>
  <c r="BC243" i="26" s="1"/>
  <c r="AI243" i="26"/>
  <c r="BD243" i="26" s="1"/>
  <c r="AJ243" i="26"/>
  <c r="BE243" i="26" s="1"/>
  <c r="Y243" i="26"/>
  <c r="AT243" i="26" s="1"/>
  <c r="AK243" i="26"/>
  <c r="BF243" i="26" s="1"/>
  <c r="Z243" i="26"/>
  <c r="AL243" i="26"/>
  <c r="BG243" i="26" s="1"/>
  <c r="AA243" i="26"/>
  <c r="AV243" i="26" s="1"/>
  <c r="AM243" i="26"/>
  <c r="BH243" i="26" s="1"/>
  <c r="AB243" i="26"/>
  <c r="AW243" i="26" s="1"/>
  <c r="AN243" i="26"/>
  <c r="BI243" i="26" s="1"/>
  <c r="AC243" i="26"/>
  <c r="AX243" i="26" s="1"/>
  <c r="AO243" i="26"/>
  <c r="BJ243" i="26" s="1"/>
  <c r="AD243" i="26"/>
  <c r="AY243" i="26" s="1"/>
  <c r="AP243" i="26"/>
  <c r="BK243" i="26" s="1"/>
  <c r="AE243" i="26"/>
  <c r="AZ243" i="26" s="1"/>
  <c r="AQ243" i="26"/>
  <c r="BL243" i="26" s="1"/>
  <c r="AF243" i="26"/>
  <c r="BA243" i="26" s="1"/>
  <c r="AR243" i="26"/>
  <c r="BM243" i="26" s="1"/>
  <c r="AG315" i="26"/>
  <c r="BB315" i="26" s="1"/>
  <c r="AH315" i="26"/>
  <c r="BC315" i="26" s="1"/>
  <c r="AI315" i="26"/>
  <c r="BD315" i="26" s="1"/>
  <c r="AJ315" i="26"/>
  <c r="BE315" i="26" s="1"/>
  <c r="Y315" i="26"/>
  <c r="AT315" i="26" s="1"/>
  <c r="AK315" i="26"/>
  <c r="BF315" i="26" s="1"/>
  <c r="Z315" i="26"/>
  <c r="AL315" i="26"/>
  <c r="BG315" i="26" s="1"/>
  <c r="AA315" i="26"/>
  <c r="AV315" i="26" s="1"/>
  <c r="AM315" i="26"/>
  <c r="BH315" i="26" s="1"/>
  <c r="AB315" i="26"/>
  <c r="AW315" i="26" s="1"/>
  <c r="AN315" i="26"/>
  <c r="BI315" i="26" s="1"/>
  <c r="AC315" i="26"/>
  <c r="AX315" i="26" s="1"/>
  <c r="AO315" i="26"/>
  <c r="BJ315" i="26" s="1"/>
  <c r="AD315" i="26"/>
  <c r="AY315" i="26" s="1"/>
  <c r="AP315" i="26"/>
  <c r="BK315" i="26" s="1"/>
  <c r="AE315" i="26"/>
  <c r="AZ315" i="26" s="1"/>
  <c r="AQ315" i="26"/>
  <c r="BL315" i="26" s="1"/>
  <c r="AF315" i="26"/>
  <c r="BA315" i="26" s="1"/>
  <c r="AR315" i="26"/>
  <c r="BM315" i="26" s="1"/>
  <c r="Y214" i="26"/>
  <c r="AT214" i="26" s="1"/>
  <c r="AK214" i="26"/>
  <c r="BF214" i="26" s="1"/>
  <c r="Z214" i="26"/>
  <c r="AL214" i="26"/>
  <c r="BG214" i="26" s="1"/>
  <c r="AA214" i="26"/>
  <c r="AV214" i="26" s="1"/>
  <c r="AM214" i="26"/>
  <c r="BH214" i="26" s="1"/>
  <c r="AB214" i="26"/>
  <c r="AW214" i="26" s="1"/>
  <c r="AN214" i="26"/>
  <c r="BI214" i="26" s="1"/>
  <c r="AC214" i="26"/>
  <c r="AX214" i="26" s="1"/>
  <c r="AO214" i="26"/>
  <c r="BJ214" i="26" s="1"/>
  <c r="AD214" i="26"/>
  <c r="AY214" i="26" s="1"/>
  <c r="AP214" i="26"/>
  <c r="BK214" i="26" s="1"/>
  <c r="AE214" i="26"/>
  <c r="AZ214" i="26" s="1"/>
  <c r="AQ214" i="26"/>
  <c r="BL214" i="26" s="1"/>
  <c r="AF214" i="26"/>
  <c r="BA214" i="26" s="1"/>
  <c r="AR214" i="26"/>
  <c r="BM214" i="26" s="1"/>
  <c r="AG214" i="26"/>
  <c r="BB214" i="26" s="1"/>
  <c r="AH214" i="26"/>
  <c r="BC214" i="26" s="1"/>
  <c r="AI214" i="26"/>
  <c r="BD214" i="26" s="1"/>
  <c r="AJ214" i="26"/>
  <c r="BE214" i="26" s="1"/>
  <c r="Y286" i="26"/>
  <c r="AT286" i="26" s="1"/>
  <c r="AK286" i="26"/>
  <c r="BF286" i="26" s="1"/>
  <c r="Z286" i="26"/>
  <c r="AL286" i="26"/>
  <c r="BG286" i="26" s="1"/>
  <c r="AA286" i="26"/>
  <c r="AV286" i="26" s="1"/>
  <c r="AM286" i="26"/>
  <c r="BH286" i="26" s="1"/>
  <c r="AB286" i="26"/>
  <c r="AW286" i="26" s="1"/>
  <c r="AN286" i="26"/>
  <c r="BI286" i="26" s="1"/>
  <c r="AC286" i="26"/>
  <c r="AX286" i="26" s="1"/>
  <c r="AO286" i="26"/>
  <c r="BJ286" i="26" s="1"/>
  <c r="AD286" i="26"/>
  <c r="AY286" i="26" s="1"/>
  <c r="AP286" i="26"/>
  <c r="BK286" i="26" s="1"/>
  <c r="AE286" i="26"/>
  <c r="AZ286" i="26" s="1"/>
  <c r="AQ286" i="26"/>
  <c r="BL286" i="26" s="1"/>
  <c r="AF286" i="26"/>
  <c r="BA286" i="26" s="1"/>
  <c r="AR286" i="26"/>
  <c r="BM286" i="26" s="1"/>
  <c r="AG286" i="26"/>
  <c r="BB286" i="26" s="1"/>
  <c r="AH286" i="26"/>
  <c r="BC286" i="26" s="1"/>
  <c r="AI286" i="26"/>
  <c r="BD286" i="26" s="1"/>
  <c r="AJ286" i="26"/>
  <c r="BE286" i="26" s="1"/>
  <c r="Z358" i="26"/>
  <c r="AL358" i="26"/>
  <c r="BG358" i="26" s="1"/>
  <c r="AA358" i="26"/>
  <c r="AV358" i="26" s="1"/>
  <c r="AM358" i="26"/>
  <c r="BH358" i="26" s="1"/>
  <c r="AB358" i="26"/>
  <c r="AW358" i="26" s="1"/>
  <c r="AN358" i="26"/>
  <c r="BI358" i="26" s="1"/>
  <c r="AC358" i="26"/>
  <c r="AX358" i="26" s="1"/>
  <c r="AO358" i="26"/>
  <c r="BJ358" i="26" s="1"/>
  <c r="AD358" i="26"/>
  <c r="AY358" i="26" s="1"/>
  <c r="AP358" i="26"/>
  <c r="BK358" i="26" s="1"/>
  <c r="AE358" i="26"/>
  <c r="AZ358" i="26" s="1"/>
  <c r="AQ358" i="26"/>
  <c r="BL358" i="26" s="1"/>
  <c r="AF358" i="26"/>
  <c r="BA358" i="26" s="1"/>
  <c r="AR358" i="26"/>
  <c r="BM358" i="26" s="1"/>
  <c r="AG358" i="26"/>
  <c r="BB358" i="26" s="1"/>
  <c r="AH358" i="26"/>
  <c r="BC358" i="26" s="1"/>
  <c r="AI358" i="26"/>
  <c r="BD358" i="26" s="1"/>
  <c r="AJ358" i="26"/>
  <c r="BE358" i="26" s="1"/>
  <c r="Y358" i="26"/>
  <c r="AT358" i="26" s="1"/>
  <c r="AK358" i="26"/>
  <c r="BF358" i="26" s="1"/>
  <c r="AD220" i="27"/>
  <c r="AY220" i="27" s="1"/>
  <c r="AP220" i="27"/>
  <c r="BK220" i="27" s="1"/>
  <c r="AE220" i="27"/>
  <c r="AZ220" i="27" s="1"/>
  <c r="AQ220" i="27"/>
  <c r="BL220" i="27" s="1"/>
  <c r="AF220" i="27"/>
  <c r="BA220" i="27" s="1"/>
  <c r="AR220" i="27"/>
  <c r="BM220" i="27" s="1"/>
  <c r="AG220" i="27"/>
  <c r="BB220" i="27" s="1"/>
  <c r="AH220" i="27"/>
  <c r="BC220" i="27" s="1"/>
  <c r="AI220" i="27"/>
  <c r="BD220" i="27" s="1"/>
  <c r="AJ220" i="27"/>
  <c r="BE220" i="27" s="1"/>
  <c r="AK220" i="27"/>
  <c r="BF220" i="27" s="1"/>
  <c r="Z220" i="27"/>
  <c r="AL220" i="27"/>
  <c r="BG220" i="27" s="1"/>
  <c r="AA220" i="27"/>
  <c r="AV220" i="27" s="1"/>
  <c r="AM220" i="27"/>
  <c r="BH220" i="27" s="1"/>
  <c r="AB220" i="27"/>
  <c r="AW220" i="27" s="1"/>
  <c r="AN220" i="27"/>
  <c r="BI220" i="27" s="1"/>
  <c r="AC220" i="27"/>
  <c r="AX220" i="27" s="1"/>
  <c r="AO220" i="27"/>
  <c r="BJ220" i="27" s="1"/>
  <c r="Y220" i="27"/>
  <c r="AT220" i="27" s="1"/>
  <c r="AF290" i="27"/>
  <c r="BA290" i="27" s="1"/>
  <c r="AR290" i="27"/>
  <c r="BM290" i="27" s="1"/>
  <c r="AG290" i="27"/>
  <c r="BB290" i="27" s="1"/>
  <c r="AI290" i="27"/>
  <c r="BD290" i="27" s="1"/>
  <c r="AJ290" i="27"/>
  <c r="BE290" i="27" s="1"/>
  <c r="AK290" i="27"/>
  <c r="BF290" i="27" s="1"/>
  <c r="Z290" i="27"/>
  <c r="AL290" i="27"/>
  <c r="BG290" i="27" s="1"/>
  <c r="AA290" i="27"/>
  <c r="AV290" i="27" s="1"/>
  <c r="AM290" i="27"/>
  <c r="BH290" i="27" s="1"/>
  <c r="AC290" i="27"/>
  <c r="AX290" i="27" s="1"/>
  <c r="AO290" i="27"/>
  <c r="BJ290" i="27" s="1"/>
  <c r="AD290" i="27"/>
  <c r="AY290" i="27" s="1"/>
  <c r="AP290" i="27"/>
  <c r="BK290" i="27" s="1"/>
  <c r="AB290" i="27"/>
  <c r="AW290" i="27" s="1"/>
  <c r="AE290" i="27"/>
  <c r="AZ290" i="27" s="1"/>
  <c r="AH290" i="27"/>
  <c r="BC290" i="27" s="1"/>
  <c r="AN290" i="27"/>
  <c r="BI290" i="27" s="1"/>
  <c r="AQ290" i="27"/>
  <c r="BL290" i="27" s="1"/>
  <c r="Y290" i="27"/>
  <c r="AT290" i="27" s="1"/>
  <c r="AD362" i="27"/>
  <c r="AP362" i="27"/>
  <c r="AE362" i="27"/>
  <c r="AQ362" i="27"/>
  <c r="AG362" i="27"/>
  <c r="AH362" i="27"/>
  <c r="AI362" i="27"/>
  <c r="AJ362" i="27"/>
  <c r="AK362" i="27"/>
  <c r="AA362" i="27"/>
  <c r="AM362" i="27"/>
  <c r="AB362" i="27"/>
  <c r="AN362" i="27"/>
  <c r="Y362" i="27"/>
  <c r="AT362" i="27" s="1"/>
  <c r="Z362" i="27"/>
  <c r="AC362" i="27"/>
  <c r="AF362" i="27"/>
  <c r="AL362" i="27"/>
  <c r="AO362" i="27"/>
  <c r="AR362" i="27"/>
  <c r="AI233" i="27"/>
  <c r="BD233" i="27" s="1"/>
  <c r="AJ233" i="27"/>
  <c r="BE233" i="27" s="1"/>
  <c r="AK233" i="27"/>
  <c r="BF233" i="27" s="1"/>
  <c r="Z233" i="27"/>
  <c r="AL233" i="27"/>
  <c r="BG233" i="27" s="1"/>
  <c r="AA233" i="27"/>
  <c r="AV233" i="27" s="1"/>
  <c r="AM233" i="27"/>
  <c r="BH233" i="27" s="1"/>
  <c r="AB233" i="27"/>
  <c r="AW233" i="27" s="1"/>
  <c r="AN233" i="27"/>
  <c r="BI233" i="27" s="1"/>
  <c r="AC233" i="27"/>
  <c r="AX233" i="27" s="1"/>
  <c r="AO233" i="27"/>
  <c r="BJ233" i="27" s="1"/>
  <c r="AD233" i="27"/>
  <c r="AY233" i="27" s="1"/>
  <c r="AP233" i="27"/>
  <c r="BK233" i="27" s="1"/>
  <c r="AE233" i="27"/>
  <c r="AZ233" i="27" s="1"/>
  <c r="AQ233" i="27"/>
  <c r="BL233" i="27" s="1"/>
  <c r="AF233" i="27"/>
  <c r="BA233" i="27" s="1"/>
  <c r="AR233" i="27"/>
  <c r="BM233" i="27" s="1"/>
  <c r="AG233" i="27"/>
  <c r="BB233" i="27" s="1"/>
  <c r="AH233" i="27"/>
  <c r="BC233" i="27" s="1"/>
  <c r="Y233" i="27"/>
  <c r="AT233" i="27" s="1"/>
  <c r="AC309" i="27"/>
  <c r="AX309" i="27" s="1"/>
  <c r="AO309" i="27"/>
  <c r="BJ309" i="27" s="1"/>
  <c r="AD309" i="27"/>
  <c r="AY309" i="27" s="1"/>
  <c r="AP309" i="27"/>
  <c r="BK309" i="27" s="1"/>
  <c r="AE309" i="27"/>
  <c r="AZ309" i="27" s="1"/>
  <c r="AQ309" i="27"/>
  <c r="BL309" i="27" s="1"/>
  <c r="AF309" i="27"/>
  <c r="BA309" i="27" s="1"/>
  <c r="AR309" i="27"/>
  <c r="BM309" i="27" s="1"/>
  <c r="AG309" i="27"/>
  <c r="BB309" i="27" s="1"/>
  <c r="AH309" i="27"/>
  <c r="BC309" i="27" s="1"/>
  <c r="AI309" i="27"/>
  <c r="BD309" i="27" s="1"/>
  <c r="Y309" i="27"/>
  <c r="AT309" i="27" s="1"/>
  <c r="AJ309" i="27"/>
  <c r="BE309" i="27" s="1"/>
  <c r="AK309" i="27"/>
  <c r="BF309" i="27" s="1"/>
  <c r="Z309" i="27"/>
  <c r="AL309" i="27"/>
  <c r="BG309" i="27" s="1"/>
  <c r="AA309" i="27"/>
  <c r="AV309" i="27" s="1"/>
  <c r="AM309" i="27"/>
  <c r="BH309" i="27" s="1"/>
  <c r="AB309" i="27"/>
  <c r="AW309" i="27" s="1"/>
  <c r="AN309" i="27"/>
  <c r="BI309" i="27" s="1"/>
  <c r="AC381" i="27"/>
  <c r="AO381" i="27"/>
  <c r="AD381" i="27"/>
  <c r="AP381" i="27"/>
  <c r="AF381" i="27"/>
  <c r="AR381" i="27"/>
  <c r="AG381" i="27"/>
  <c r="AH381" i="27"/>
  <c r="AI381" i="27"/>
  <c r="AJ381" i="27"/>
  <c r="Z381" i="27"/>
  <c r="AL381" i="27"/>
  <c r="AA381" i="27"/>
  <c r="AM381" i="27"/>
  <c r="AE381" i="27"/>
  <c r="AK381" i="27"/>
  <c r="AN381" i="27"/>
  <c r="AQ381" i="27"/>
  <c r="Y381" i="27"/>
  <c r="AT381" i="27" s="1"/>
  <c r="AB381" i="27"/>
  <c r="AD256" i="27"/>
  <c r="AY256" i="27" s="1"/>
  <c r="AP256" i="27"/>
  <c r="BK256" i="27" s="1"/>
  <c r="AE256" i="27"/>
  <c r="AZ256" i="27" s="1"/>
  <c r="AQ256" i="27"/>
  <c r="BL256" i="27" s="1"/>
  <c r="AF256" i="27"/>
  <c r="BA256" i="27" s="1"/>
  <c r="AR256" i="27"/>
  <c r="BM256" i="27" s="1"/>
  <c r="AG256" i="27"/>
  <c r="BB256" i="27" s="1"/>
  <c r="AH256" i="27"/>
  <c r="BC256" i="27" s="1"/>
  <c r="AI256" i="27"/>
  <c r="BD256" i="27" s="1"/>
  <c r="AJ256" i="27"/>
  <c r="BE256" i="27" s="1"/>
  <c r="AK256" i="27"/>
  <c r="BF256" i="27" s="1"/>
  <c r="Z256" i="27"/>
  <c r="AL256" i="27"/>
  <c r="BG256" i="27" s="1"/>
  <c r="AA256" i="27"/>
  <c r="AV256" i="27" s="1"/>
  <c r="AM256" i="27"/>
  <c r="BH256" i="27" s="1"/>
  <c r="AB256" i="27"/>
  <c r="AW256" i="27" s="1"/>
  <c r="AN256" i="27"/>
  <c r="BI256" i="27" s="1"/>
  <c r="Y256" i="27"/>
  <c r="AT256" i="27" s="1"/>
  <c r="AC256" i="27"/>
  <c r="AX256" i="27" s="1"/>
  <c r="AO256" i="27"/>
  <c r="BJ256" i="27" s="1"/>
  <c r="AB328" i="27"/>
  <c r="AW328" i="27" s="1"/>
  <c r="AN328" i="27"/>
  <c r="BI328" i="27" s="1"/>
  <c r="AC328" i="27"/>
  <c r="AX328" i="27" s="1"/>
  <c r="AO328" i="27"/>
  <c r="BJ328" i="27" s="1"/>
  <c r="AD328" i="27"/>
  <c r="AY328" i="27" s="1"/>
  <c r="AP328" i="27"/>
  <c r="BK328" i="27" s="1"/>
  <c r="AE328" i="27"/>
  <c r="AZ328" i="27" s="1"/>
  <c r="AQ328" i="27"/>
  <c r="BL328" i="27" s="1"/>
  <c r="AF328" i="27"/>
  <c r="BA328" i="27" s="1"/>
  <c r="AR328" i="27"/>
  <c r="BM328" i="27" s="1"/>
  <c r="AG328" i="27"/>
  <c r="BB328" i="27" s="1"/>
  <c r="AH328" i="27"/>
  <c r="BC328" i="27" s="1"/>
  <c r="AI328" i="27"/>
  <c r="BD328" i="27" s="1"/>
  <c r="AJ328" i="27"/>
  <c r="BE328" i="27" s="1"/>
  <c r="AK328" i="27"/>
  <c r="BF328" i="27" s="1"/>
  <c r="Z328" i="27"/>
  <c r="AL328" i="27"/>
  <c r="BG328" i="27" s="1"/>
  <c r="Y328" i="27"/>
  <c r="AT328" i="27" s="1"/>
  <c r="AA328" i="27"/>
  <c r="AV328" i="27" s="1"/>
  <c r="AM328" i="27"/>
  <c r="BH328" i="27" s="1"/>
  <c r="AB187" i="27"/>
  <c r="AW187" i="27" s="1"/>
  <c r="AN187" i="27"/>
  <c r="BI187" i="27" s="1"/>
  <c r="AC187" i="27"/>
  <c r="AX187" i="27" s="1"/>
  <c r="AO187" i="27"/>
  <c r="BJ187" i="27" s="1"/>
  <c r="AD187" i="27"/>
  <c r="AY187" i="27" s="1"/>
  <c r="AP187" i="27"/>
  <c r="BK187" i="27" s="1"/>
  <c r="AE187" i="27"/>
  <c r="AZ187" i="27" s="1"/>
  <c r="AQ187" i="27"/>
  <c r="BL187" i="27" s="1"/>
  <c r="AF187" i="27"/>
  <c r="BA187" i="27" s="1"/>
  <c r="AR187" i="27"/>
  <c r="BM187" i="27" s="1"/>
  <c r="AG187" i="27"/>
  <c r="BB187" i="27" s="1"/>
  <c r="AH187" i="27"/>
  <c r="BC187" i="27" s="1"/>
  <c r="AI187" i="27"/>
  <c r="BD187" i="27" s="1"/>
  <c r="AJ187" i="27"/>
  <c r="BE187" i="27" s="1"/>
  <c r="AK187" i="27"/>
  <c r="BF187" i="27" s="1"/>
  <c r="Z187" i="27"/>
  <c r="AL187" i="27"/>
  <c r="BG187" i="27" s="1"/>
  <c r="AA187" i="27"/>
  <c r="AV187" i="27" s="1"/>
  <c r="AM187" i="27"/>
  <c r="BH187" i="27" s="1"/>
  <c r="Y187" i="27"/>
  <c r="AT187" i="27" s="1"/>
  <c r="AI257" i="27"/>
  <c r="BD257" i="27" s="1"/>
  <c r="AJ257" i="27"/>
  <c r="BE257" i="27" s="1"/>
  <c r="AK257" i="27"/>
  <c r="BF257" i="27" s="1"/>
  <c r="Z257" i="27"/>
  <c r="AL257" i="27"/>
  <c r="BG257" i="27" s="1"/>
  <c r="AA257" i="27"/>
  <c r="AV257" i="27" s="1"/>
  <c r="AM257" i="27"/>
  <c r="BH257" i="27" s="1"/>
  <c r="AB257" i="27"/>
  <c r="AW257" i="27" s="1"/>
  <c r="AN257" i="27"/>
  <c r="BI257" i="27" s="1"/>
  <c r="AC257" i="27"/>
  <c r="AX257" i="27" s="1"/>
  <c r="AO257" i="27"/>
  <c r="BJ257" i="27" s="1"/>
  <c r="AD257" i="27"/>
  <c r="AY257" i="27" s="1"/>
  <c r="AP257" i="27"/>
  <c r="BK257" i="27" s="1"/>
  <c r="AE257" i="27"/>
  <c r="AZ257" i="27" s="1"/>
  <c r="AQ257" i="27"/>
  <c r="BL257" i="27" s="1"/>
  <c r="AF257" i="27"/>
  <c r="BA257" i="27" s="1"/>
  <c r="AR257" i="27"/>
  <c r="BM257" i="27" s="1"/>
  <c r="AG257" i="27"/>
  <c r="BB257" i="27" s="1"/>
  <c r="Y257" i="27"/>
  <c r="AT257" i="27" s="1"/>
  <c r="AH257" i="27"/>
  <c r="BC257" i="27" s="1"/>
  <c r="AG341" i="27"/>
  <c r="BB341" i="27" s="1"/>
  <c r="AH341" i="27"/>
  <c r="BC341" i="27" s="1"/>
  <c r="AI341" i="27"/>
  <c r="BD341" i="27" s="1"/>
  <c r="AJ341" i="27"/>
  <c r="BE341" i="27" s="1"/>
  <c r="AK341" i="27"/>
  <c r="BF341" i="27" s="1"/>
  <c r="Z341" i="27"/>
  <c r="AL341" i="27"/>
  <c r="BG341" i="27" s="1"/>
  <c r="AA341" i="27"/>
  <c r="AV341" i="27" s="1"/>
  <c r="AM341" i="27"/>
  <c r="BH341" i="27" s="1"/>
  <c r="AB341" i="27"/>
  <c r="AW341" i="27" s="1"/>
  <c r="AN341" i="27"/>
  <c r="BI341" i="27" s="1"/>
  <c r="AC341" i="27"/>
  <c r="AX341" i="27" s="1"/>
  <c r="AD341" i="27"/>
  <c r="AY341" i="27" s="1"/>
  <c r="AP341" i="27"/>
  <c r="BK341" i="27" s="1"/>
  <c r="AE341" i="27"/>
  <c r="AZ341" i="27" s="1"/>
  <c r="AQ341" i="27"/>
  <c r="BL341" i="27" s="1"/>
  <c r="AF341" i="27"/>
  <c r="BA341" i="27" s="1"/>
  <c r="AO341" i="27"/>
  <c r="BJ341" i="27" s="1"/>
  <c r="AR341" i="27"/>
  <c r="BM341" i="27" s="1"/>
  <c r="Y341" i="27"/>
  <c r="AT341" i="27" s="1"/>
  <c r="Z212" i="27"/>
  <c r="AL212" i="27"/>
  <c r="BG212" i="27" s="1"/>
  <c r="AA212" i="27"/>
  <c r="AV212" i="27" s="1"/>
  <c r="AM212" i="27"/>
  <c r="BH212" i="27" s="1"/>
  <c r="AB212" i="27"/>
  <c r="AW212" i="27" s="1"/>
  <c r="AN212" i="27"/>
  <c r="BI212" i="27" s="1"/>
  <c r="AC212" i="27"/>
  <c r="AX212" i="27" s="1"/>
  <c r="AO212" i="27"/>
  <c r="BJ212" i="27" s="1"/>
  <c r="AD212" i="27"/>
  <c r="AY212" i="27" s="1"/>
  <c r="AP212" i="27"/>
  <c r="BK212" i="27" s="1"/>
  <c r="AE212" i="27"/>
  <c r="AZ212" i="27" s="1"/>
  <c r="AQ212" i="27"/>
  <c r="BL212" i="27" s="1"/>
  <c r="AF212" i="27"/>
  <c r="BA212" i="27" s="1"/>
  <c r="AR212" i="27"/>
  <c r="BM212" i="27" s="1"/>
  <c r="AG212" i="27"/>
  <c r="BB212" i="27" s="1"/>
  <c r="AH212" i="27"/>
  <c r="BC212" i="27" s="1"/>
  <c r="AI212" i="27"/>
  <c r="BD212" i="27" s="1"/>
  <c r="AJ212" i="27"/>
  <c r="BE212" i="27" s="1"/>
  <c r="AK212" i="27"/>
  <c r="BF212" i="27" s="1"/>
  <c r="Y212" i="27"/>
  <c r="AT212" i="27" s="1"/>
  <c r="AB282" i="27"/>
  <c r="AW282" i="27" s="1"/>
  <c r="AN282" i="27"/>
  <c r="BI282" i="27" s="1"/>
  <c r="AC282" i="27"/>
  <c r="AX282" i="27" s="1"/>
  <c r="AO282" i="27"/>
  <c r="BJ282" i="27" s="1"/>
  <c r="AD282" i="27"/>
  <c r="AY282" i="27" s="1"/>
  <c r="AE282" i="27"/>
  <c r="AZ282" i="27" s="1"/>
  <c r="AQ282" i="27"/>
  <c r="BL282" i="27" s="1"/>
  <c r="AF282" i="27"/>
  <c r="BA282" i="27" s="1"/>
  <c r="AR282" i="27"/>
  <c r="BM282" i="27" s="1"/>
  <c r="AG282" i="27"/>
  <c r="BB282" i="27" s="1"/>
  <c r="AH282" i="27"/>
  <c r="BC282" i="27" s="1"/>
  <c r="AI282" i="27"/>
  <c r="BD282" i="27" s="1"/>
  <c r="AJ282" i="27"/>
  <c r="BE282" i="27" s="1"/>
  <c r="AK282" i="27"/>
  <c r="BF282" i="27" s="1"/>
  <c r="Z282" i="27"/>
  <c r="AL282" i="27"/>
  <c r="BG282" i="27" s="1"/>
  <c r="AA282" i="27"/>
  <c r="AV282" i="27" s="1"/>
  <c r="AM282" i="27"/>
  <c r="BH282" i="27" s="1"/>
  <c r="Y282" i="27"/>
  <c r="AT282" i="27" s="1"/>
  <c r="AP282" i="27"/>
  <c r="BK282" i="27" s="1"/>
  <c r="Z354" i="27"/>
  <c r="AL354" i="27"/>
  <c r="BG354" i="27" s="1"/>
  <c r="AA354" i="27"/>
  <c r="AV354" i="27" s="1"/>
  <c r="AM354" i="27"/>
  <c r="BH354" i="27" s="1"/>
  <c r="AC354" i="27"/>
  <c r="AX354" i="27" s="1"/>
  <c r="AO354" i="27"/>
  <c r="BJ354" i="27" s="1"/>
  <c r="AD354" i="27"/>
  <c r="AY354" i="27" s="1"/>
  <c r="AP354" i="27"/>
  <c r="BK354" i="27" s="1"/>
  <c r="AE354" i="27"/>
  <c r="AZ354" i="27" s="1"/>
  <c r="AQ354" i="27"/>
  <c r="BL354" i="27" s="1"/>
  <c r="AF354" i="27"/>
  <c r="BA354" i="27" s="1"/>
  <c r="AR354" i="27"/>
  <c r="BM354" i="27" s="1"/>
  <c r="AG354" i="27"/>
  <c r="BB354" i="27" s="1"/>
  <c r="AI354" i="27"/>
  <c r="BD354" i="27" s="1"/>
  <c r="AJ354" i="27"/>
  <c r="BE354" i="27" s="1"/>
  <c r="AB354" i="27"/>
  <c r="AW354" i="27" s="1"/>
  <c r="AH354" i="27"/>
  <c r="BC354" i="27" s="1"/>
  <c r="AK354" i="27"/>
  <c r="BF354" i="27" s="1"/>
  <c r="AN354" i="27"/>
  <c r="BI354" i="27" s="1"/>
  <c r="Y354" i="27"/>
  <c r="AT354" i="27" s="1"/>
  <c r="AE225" i="27"/>
  <c r="AZ225" i="27" s="1"/>
  <c r="AQ225" i="27"/>
  <c r="BL225" i="27" s="1"/>
  <c r="AF225" i="27"/>
  <c r="BA225" i="27" s="1"/>
  <c r="AR225" i="27"/>
  <c r="BM225" i="27" s="1"/>
  <c r="AG225" i="27"/>
  <c r="BB225" i="27" s="1"/>
  <c r="AH225" i="27"/>
  <c r="BC225" i="27" s="1"/>
  <c r="AI225" i="27"/>
  <c r="BD225" i="27" s="1"/>
  <c r="AJ225" i="27"/>
  <c r="BE225" i="27" s="1"/>
  <c r="AK225" i="27"/>
  <c r="BF225" i="27" s="1"/>
  <c r="Z225" i="27"/>
  <c r="AL225" i="27"/>
  <c r="BG225" i="27" s="1"/>
  <c r="AA225" i="27"/>
  <c r="AV225" i="27" s="1"/>
  <c r="AM225" i="27"/>
  <c r="BH225" i="27" s="1"/>
  <c r="AB225" i="27"/>
  <c r="AW225" i="27" s="1"/>
  <c r="AN225" i="27"/>
  <c r="BI225" i="27" s="1"/>
  <c r="AC225" i="27"/>
  <c r="AX225" i="27" s="1"/>
  <c r="AO225" i="27"/>
  <c r="BJ225" i="27" s="1"/>
  <c r="Y225" i="27"/>
  <c r="AT225" i="27" s="1"/>
  <c r="AD225" i="27"/>
  <c r="AY225" i="27" s="1"/>
  <c r="AP225" i="27"/>
  <c r="BK225" i="27" s="1"/>
  <c r="AE295" i="27"/>
  <c r="AZ295" i="27" s="1"/>
  <c r="AQ295" i="27"/>
  <c r="BL295" i="27" s="1"/>
  <c r="AF295" i="27"/>
  <c r="BA295" i="27" s="1"/>
  <c r="AR295" i="27"/>
  <c r="BM295" i="27" s="1"/>
  <c r="AG295" i="27"/>
  <c r="BB295" i="27" s="1"/>
  <c r="AH295" i="27"/>
  <c r="BC295" i="27" s="1"/>
  <c r="AI295" i="27"/>
  <c r="BD295" i="27" s="1"/>
  <c r="Y295" i="27"/>
  <c r="AT295" i="27" s="1"/>
  <c r="AJ295" i="27"/>
  <c r="BE295" i="27" s="1"/>
  <c r="AK295" i="27"/>
  <c r="BF295" i="27" s="1"/>
  <c r="Z295" i="27"/>
  <c r="AL295" i="27"/>
  <c r="BG295" i="27" s="1"/>
  <c r="AA295" i="27"/>
  <c r="AV295" i="27" s="1"/>
  <c r="AM295" i="27"/>
  <c r="BH295" i="27" s="1"/>
  <c r="AB295" i="27"/>
  <c r="AW295" i="27" s="1"/>
  <c r="AN295" i="27"/>
  <c r="BI295" i="27" s="1"/>
  <c r="AC295" i="27"/>
  <c r="AX295" i="27" s="1"/>
  <c r="AO295" i="27"/>
  <c r="BJ295" i="27" s="1"/>
  <c r="AD295" i="27"/>
  <c r="AY295" i="27" s="1"/>
  <c r="AP295" i="27"/>
  <c r="BK295" i="27" s="1"/>
  <c r="AE367" i="27"/>
  <c r="AZ367" i="27" s="1"/>
  <c r="AQ367" i="27"/>
  <c r="BL367" i="27" s="1"/>
  <c r="AF367" i="27"/>
  <c r="BA367" i="27" s="1"/>
  <c r="AR367" i="27"/>
  <c r="BM367" i="27" s="1"/>
  <c r="AH367" i="27"/>
  <c r="BC367" i="27" s="1"/>
  <c r="AI367" i="27"/>
  <c r="BD367" i="27" s="1"/>
  <c r="AJ367" i="27"/>
  <c r="BE367" i="27" s="1"/>
  <c r="AK367" i="27"/>
  <c r="BF367" i="27" s="1"/>
  <c r="Z367" i="27"/>
  <c r="AL367" i="27"/>
  <c r="BG367" i="27" s="1"/>
  <c r="AB367" i="27"/>
  <c r="AW367" i="27" s="1"/>
  <c r="AN367" i="27"/>
  <c r="BI367" i="27" s="1"/>
  <c r="AC367" i="27"/>
  <c r="AX367" i="27" s="1"/>
  <c r="AO367" i="27"/>
  <c r="BJ367" i="27" s="1"/>
  <c r="AA367" i="27"/>
  <c r="AV367" i="27" s="1"/>
  <c r="AD367" i="27"/>
  <c r="AY367" i="27" s="1"/>
  <c r="AG367" i="27"/>
  <c r="BB367" i="27" s="1"/>
  <c r="AM367" i="27"/>
  <c r="BH367" i="27" s="1"/>
  <c r="AP367" i="27"/>
  <c r="BK367" i="27" s="1"/>
  <c r="Y367" i="27"/>
  <c r="AT367" i="27" s="1"/>
  <c r="AI261" i="28"/>
  <c r="BD261" i="28" s="1"/>
  <c r="AJ261" i="28"/>
  <c r="BE261" i="28" s="1"/>
  <c r="Z261" i="28"/>
  <c r="AL261" i="28"/>
  <c r="BG261" i="28" s="1"/>
  <c r="AA261" i="28"/>
  <c r="AV261" i="28" s="1"/>
  <c r="AM261" i="28"/>
  <c r="BH261" i="28" s="1"/>
  <c r="AB261" i="28"/>
  <c r="AW261" i="28" s="1"/>
  <c r="AN261" i="28"/>
  <c r="BI261" i="28" s="1"/>
  <c r="AC261" i="28"/>
  <c r="AX261" i="28" s="1"/>
  <c r="AO261" i="28"/>
  <c r="BJ261" i="28" s="1"/>
  <c r="AD261" i="28"/>
  <c r="AY261" i="28" s="1"/>
  <c r="AP261" i="28"/>
  <c r="BK261" i="28" s="1"/>
  <c r="AF261" i="28"/>
  <c r="BA261" i="28" s="1"/>
  <c r="AR261" i="28"/>
  <c r="BM261" i="28" s="1"/>
  <c r="AG261" i="28"/>
  <c r="BB261" i="28" s="1"/>
  <c r="AQ261" i="28"/>
  <c r="BL261" i="28" s="1"/>
  <c r="Y261" i="28"/>
  <c r="AT261" i="28" s="1"/>
  <c r="AE261" i="28"/>
  <c r="AZ261" i="28" s="1"/>
  <c r="AH261" i="28"/>
  <c r="BC261" i="28" s="1"/>
  <c r="AK261" i="28"/>
  <c r="BF261" i="28" s="1"/>
  <c r="AG333" i="28"/>
  <c r="BB333" i="28" s="1"/>
  <c r="AH333" i="28"/>
  <c r="BC333" i="28" s="1"/>
  <c r="AI333" i="28"/>
  <c r="BD333" i="28" s="1"/>
  <c r="AJ333" i="28"/>
  <c r="BE333" i="28" s="1"/>
  <c r="Y333" i="28"/>
  <c r="AT333" i="28" s="1"/>
  <c r="AK333" i="28"/>
  <c r="BF333" i="28" s="1"/>
  <c r="Z333" i="28"/>
  <c r="AL333" i="28"/>
  <c r="BG333" i="28" s="1"/>
  <c r="AA333" i="28"/>
  <c r="AV333" i="28" s="1"/>
  <c r="AM333" i="28"/>
  <c r="BH333" i="28" s="1"/>
  <c r="AB333" i="28"/>
  <c r="AW333" i="28" s="1"/>
  <c r="AN333" i="28"/>
  <c r="BI333" i="28" s="1"/>
  <c r="AC333" i="28"/>
  <c r="AX333" i="28" s="1"/>
  <c r="AO333" i="28"/>
  <c r="BJ333" i="28" s="1"/>
  <c r="AD333" i="28"/>
  <c r="AY333" i="28" s="1"/>
  <c r="AP333" i="28"/>
  <c r="BK333" i="28" s="1"/>
  <c r="AE333" i="28"/>
  <c r="AZ333" i="28" s="1"/>
  <c r="AQ333" i="28"/>
  <c r="BL333" i="28" s="1"/>
  <c r="AR333" i="28"/>
  <c r="BM333" i="28" s="1"/>
  <c r="AF333" i="28"/>
  <c r="BA333" i="28" s="1"/>
  <c r="AB226" i="28"/>
  <c r="AW226" i="28" s="1"/>
  <c r="AN226" i="28"/>
  <c r="BI226" i="28" s="1"/>
  <c r="AC226" i="28"/>
  <c r="AX226" i="28" s="1"/>
  <c r="AO226" i="28"/>
  <c r="BJ226" i="28" s="1"/>
  <c r="AE226" i="28"/>
  <c r="AZ226" i="28" s="1"/>
  <c r="AQ226" i="28"/>
  <c r="BL226" i="28" s="1"/>
  <c r="AF226" i="28"/>
  <c r="BA226" i="28" s="1"/>
  <c r="AR226" i="28"/>
  <c r="BM226" i="28" s="1"/>
  <c r="AG226" i="28"/>
  <c r="BB226" i="28" s="1"/>
  <c r="AH226" i="28"/>
  <c r="BC226" i="28" s="1"/>
  <c r="AI226" i="28"/>
  <c r="BD226" i="28" s="1"/>
  <c r="Y226" i="28"/>
  <c r="AT226" i="28" s="1"/>
  <c r="AK226" i="28"/>
  <c r="BF226" i="28" s="1"/>
  <c r="Z226" i="28"/>
  <c r="AL226" i="28"/>
  <c r="BG226" i="28" s="1"/>
  <c r="AP226" i="28"/>
  <c r="BK226" i="28" s="1"/>
  <c r="AA226" i="28"/>
  <c r="AV226" i="28" s="1"/>
  <c r="AD226" i="28"/>
  <c r="AY226" i="28" s="1"/>
  <c r="AJ226" i="28"/>
  <c r="BE226" i="28" s="1"/>
  <c r="AM226" i="28"/>
  <c r="BH226" i="28" s="1"/>
  <c r="AA298" i="28"/>
  <c r="AV298" i="28" s="1"/>
  <c r="AM298" i="28"/>
  <c r="BH298" i="28" s="1"/>
  <c r="AB298" i="28"/>
  <c r="AW298" i="28" s="1"/>
  <c r="AN298" i="28"/>
  <c r="BI298" i="28" s="1"/>
  <c r="AD298" i="28"/>
  <c r="AY298" i="28" s="1"/>
  <c r="AP298" i="28"/>
  <c r="BK298" i="28" s="1"/>
  <c r="AE298" i="28"/>
  <c r="AZ298" i="28" s="1"/>
  <c r="AQ298" i="28"/>
  <c r="BL298" i="28" s="1"/>
  <c r="AF298" i="28"/>
  <c r="BA298" i="28" s="1"/>
  <c r="AR298" i="28"/>
  <c r="BM298" i="28" s="1"/>
  <c r="AG298" i="28"/>
  <c r="BB298" i="28" s="1"/>
  <c r="AH298" i="28"/>
  <c r="BC298" i="28" s="1"/>
  <c r="AJ298" i="28"/>
  <c r="BE298" i="28" s="1"/>
  <c r="Y298" i="28"/>
  <c r="AT298" i="28" s="1"/>
  <c r="AK298" i="28"/>
  <c r="BF298" i="28" s="1"/>
  <c r="Z298" i="28"/>
  <c r="AC298" i="28"/>
  <c r="AX298" i="28" s="1"/>
  <c r="AI298" i="28"/>
  <c r="BD298" i="28" s="1"/>
  <c r="AL298" i="28"/>
  <c r="BG298" i="28" s="1"/>
  <c r="AO298" i="28"/>
  <c r="BJ298" i="28" s="1"/>
  <c r="Y370" i="28"/>
  <c r="AT370" i="28" s="1"/>
  <c r="AK370" i="28"/>
  <c r="Z370" i="28"/>
  <c r="AL370" i="28"/>
  <c r="AA370" i="28"/>
  <c r="AM370" i="28"/>
  <c r="AB370" i="28"/>
  <c r="AN370" i="28"/>
  <c r="AC370" i="28"/>
  <c r="AO370" i="28"/>
  <c r="AD370" i="28"/>
  <c r="AP370" i="28"/>
  <c r="AE370" i="28"/>
  <c r="AQ370" i="28"/>
  <c r="AF370" i="28"/>
  <c r="AR370" i="28"/>
  <c r="AG370" i="28"/>
  <c r="AH370" i="28"/>
  <c r="AI370" i="28"/>
  <c r="AJ370" i="28"/>
  <c r="AE263" i="28"/>
  <c r="AZ263" i="28" s="1"/>
  <c r="AQ263" i="28"/>
  <c r="BL263" i="28" s="1"/>
  <c r="AF263" i="28"/>
  <c r="BA263" i="28" s="1"/>
  <c r="AR263" i="28"/>
  <c r="BM263" i="28" s="1"/>
  <c r="AH263" i="28"/>
  <c r="BC263" i="28" s="1"/>
  <c r="AI263" i="28"/>
  <c r="BD263" i="28" s="1"/>
  <c r="AJ263" i="28"/>
  <c r="BE263" i="28" s="1"/>
  <c r="Y263" i="28"/>
  <c r="AT263" i="28" s="1"/>
  <c r="AK263" i="28"/>
  <c r="BF263" i="28" s="1"/>
  <c r="Z263" i="28"/>
  <c r="AL263" i="28"/>
  <c r="BG263" i="28" s="1"/>
  <c r="AB263" i="28"/>
  <c r="AW263" i="28" s="1"/>
  <c r="AN263" i="28"/>
  <c r="BI263" i="28" s="1"/>
  <c r="AC263" i="28"/>
  <c r="AX263" i="28" s="1"/>
  <c r="AO263" i="28"/>
  <c r="BJ263" i="28" s="1"/>
  <c r="AA263" i="28"/>
  <c r="AV263" i="28" s="1"/>
  <c r="AD263" i="28"/>
  <c r="AY263" i="28" s="1"/>
  <c r="AG263" i="28"/>
  <c r="BB263" i="28" s="1"/>
  <c r="AM263" i="28"/>
  <c r="BH263" i="28" s="1"/>
  <c r="AP263" i="28"/>
  <c r="BK263" i="28" s="1"/>
  <c r="AC335" i="28"/>
  <c r="AX335" i="28" s="1"/>
  <c r="AO335" i="28"/>
  <c r="BJ335" i="28" s="1"/>
  <c r="AD335" i="28"/>
  <c r="AY335" i="28" s="1"/>
  <c r="AP335" i="28"/>
  <c r="BK335" i="28" s="1"/>
  <c r="AE335" i="28"/>
  <c r="AZ335" i="28" s="1"/>
  <c r="AQ335" i="28"/>
  <c r="BL335" i="28" s="1"/>
  <c r="AF335" i="28"/>
  <c r="BA335" i="28" s="1"/>
  <c r="AR335" i="28"/>
  <c r="BM335" i="28" s="1"/>
  <c r="AG335" i="28"/>
  <c r="BB335" i="28" s="1"/>
  <c r="AH335" i="28"/>
  <c r="BC335" i="28" s="1"/>
  <c r="AI335" i="28"/>
  <c r="BD335" i="28" s="1"/>
  <c r="AJ335" i="28"/>
  <c r="BE335" i="28" s="1"/>
  <c r="Y335" i="28"/>
  <c r="AT335" i="28" s="1"/>
  <c r="AK335" i="28"/>
  <c r="BF335" i="28" s="1"/>
  <c r="Z335" i="28"/>
  <c r="AL335" i="28"/>
  <c r="BG335" i="28" s="1"/>
  <c r="AA335" i="28"/>
  <c r="AV335" i="28" s="1"/>
  <c r="AM335" i="28"/>
  <c r="BH335" i="28" s="1"/>
  <c r="AB335" i="28"/>
  <c r="AW335" i="28" s="1"/>
  <c r="AN335" i="28"/>
  <c r="BI335" i="28" s="1"/>
  <c r="Y228" i="28"/>
  <c r="AT228" i="28" s="1"/>
  <c r="AA228" i="28"/>
  <c r="AV228" i="28" s="1"/>
  <c r="AB228" i="28"/>
  <c r="AW228" i="28" s="1"/>
  <c r="AE228" i="28"/>
  <c r="AZ228" i="28" s="1"/>
  <c r="AI228" i="28"/>
  <c r="BD228" i="28" s="1"/>
  <c r="AJ228" i="28"/>
  <c r="BE228" i="28" s="1"/>
  <c r="AL228" i="28"/>
  <c r="BG228" i="28" s="1"/>
  <c r="AM228" i="28"/>
  <c r="BH228" i="28" s="1"/>
  <c r="AN228" i="28"/>
  <c r="BI228" i="28" s="1"/>
  <c r="Z228" i="28"/>
  <c r="AO228" i="28"/>
  <c r="BJ228" i="28" s="1"/>
  <c r="AC228" i="28"/>
  <c r="AX228" i="28" s="1"/>
  <c r="AP228" i="28"/>
  <c r="BK228" i="28" s="1"/>
  <c r="AD228" i="28"/>
  <c r="AY228" i="28" s="1"/>
  <c r="AQ228" i="28"/>
  <c r="BL228" i="28" s="1"/>
  <c r="AF228" i="28"/>
  <c r="BA228" i="28" s="1"/>
  <c r="AR228" i="28"/>
  <c r="BM228" i="28" s="1"/>
  <c r="AG228" i="28"/>
  <c r="BB228" i="28" s="1"/>
  <c r="AH228" i="28"/>
  <c r="BC228" i="28" s="1"/>
  <c r="AK228" i="28"/>
  <c r="BF228" i="28" s="1"/>
  <c r="AI300" i="28"/>
  <c r="BD300" i="28" s="1"/>
  <c r="AJ300" i="28"/>
  <c r="BE300" i="28" s="1"/>
  <c r="Z300" i="28"/>
  <c r="AL300" i="28"/>
  <c r="BG300" i="28" s="1"/>
  <c r="AA300" i="28"/>
  <c r="AV300" i="28" s="1"/>
  <c r="AM300" i="28"/>
  <c r="BH300" i="28" s="1"/>
  <c r="AB300" i="28"/>
  <c r="AW300" i="28" s="1"/>
  <c r="AN300" i="28"/>
  <c r="BI300" i="28" s="1"/>
  <c r="AC300" i="28"/>
  <c r="AX300" i="28" s="1"/>
  <c r="AO300" i="28"/>
  <c r="BJ300" i="28" s="1"/>
  <c r="AD300" i="28"/>
  <c r="AY300" i="28" s="1"/>
  <c r="AP300" i="28"/>
  <c r="BK300" i="28" s="1"/>
  <c r="AF300" i="28"/>
  <c r="BA300" i="28" s="1"/>
  <c r="AR300" i="28"/>
  <c r="BM300" i="28" s="1"/>
  <c r="AG300" i="28"/>
  <c r="BB300" i="28" s="1"/>
  <c r="AE300" i="28"/>
  <c r="AZ300" i="28" s="1"/>
  <c r="AH300" i="28"/>
  <c r="BC300" i="28" s="1"/>
  <c r="AK300" i="28"/>
  <c r="BF300" i="28" s="1"/>
  <c r="AQ300" i="28"/>
  <c r="BL300" i="28" s="1"/>
  <c r="Y300" i="28"/>
  <c r="AT300" i="28" s="1"/>
  <c r="AG372" i="28"/>
  <c r="AH372" i="28"/>
  <c r="AI372" i="28"/>
  <c r="AJ372" i="28"/>
  <c r="Y372" i="28"/>
  <c r="AT372" i="28" s="1"/>
  <c r="AK372" i="28"/>
  <c r="Z372" i="28"/>
  <c r="AL372" i="28"/>
  <c r="AA372" i="28"/>
  <c r="AM372" i="28"/>
  <c r="AB372" i="28"/>
  <c r="AN372" i="28"/>
  <c r="AC372" i="28"/>
  <c r="AO372" i="28"/>
  <c r="AD372" i="28"/>
  <c r="AP372" i="28"/>
  <c r="AE372" i="28"/>
  <c r="AQ372" i="28"/>
  <c r="AF372" i="28"/>
  <c r="AR372" i="28"/>
  <c r="AA265" i="28"/>
  <c r="AV265" i="28" s="1"/>
  <c r="AM265" i="28"/>
  <c r="BH265" i="28" s="1"/>
  <c r="AB265" i="28"/>
  <c r="AW265" i="28" s="1"/>
  <c r="AN265" i="28"/>
  <c r="BI265" i="28" s="1"/>
  <c r="AD265" i="28"/>
  <c r="AY265" i="28" s="1"/>
  <c r="AP265" i="28"/>
  <c r="BK265" i="28" s="1"/>
  <c r="AE265" i="28"/>
  <c r="AZ265" i="28" s="1"/>
  <c r="AQ265" i="28"/>
  <c r="BL265" i="28" s="1"/>
  <c r="AF265" i="28"/>
  <c r="BA265" i="28" s="1"/>
  <c r="AR265" i="28"/>
  <c r="BM265" i="28" s="1"/>
  <c r="AG265" i="28"/>
  <c r="BB265" i="28" s="1"/>
  <c r="AH265" i="28"/>
  <c r="BC265" i="28" s="1"/>
  <c r="AJ265" i="28"/>
  <c r="BE265" i="28" s="1"/>
  <c r="Y265" i="28"/>
  <c r="AT265" i="28" s="1"/>
  <c r="AK265" i="28"/>
  <c r="BF265" i="28" s="1"/>
  <c r="Z265" i="28"/>
  <c r="AC265" i="28"/>
  <c r="AX265" i="28" s="1"/>
  <c r="AI265" i="28"/>
  <c r="BD265" i="28" s="1"/>
  <c r="AL265" i="28"/>
  <c r="BG265" i="28" s="1"/>
  <c r="AO265" i="28"/>
  <c r="BJ265" i="28" s="1"/>
  <c r="Y337" i="28"/>
  <c r="AT337" i="28" s="1"/>
  <c r="AK337" i="28"/>
  <c r="BF337" i="28" s="1"/>
  <c r="Z337" i="28"/>
  <c r="AL337" i="28"/>
  <c r="BG337" i="28" s="1"/>
  <c r="AA337" i="28"/>
  <c r="AV337" i="28" s="1"/>
  <c r="AM337" i="28"/>
  <c r="BH337" i="28" s="1"/>
  <c r="AB337" i="28"/>
  <c r="AW337" i="28" s="1"/>
  <c r="AN337" i="28"/>
  <c r="BI337" i="28" s="1"/>
  <c r="AC337" i="28"/>
  <c r="AX337" i="28" s="1"/>
  <c r="AO337" i="28"/>
  <c r="BJ337" i="28" s="1"/>
  <c r="AD337" i="28"/>
  <c r="AY337" i="28" s="1"/>
  <c r="AP337" i="28"/>
  <c r="BK337" i="28" s="1"/>
  <c r="AE337" i="28"/>
  <c r="AZ337" i="28" s="1"/>
  <c r="AQ337" i="28"/>
  <c r="BL337" i="28" s="1"/>
  <c r="AF337" i="28"/>
  <c r="BA337" i="28" s="1"/>
  <c r="AR337" i="28"/>
  <c r="BM337" i="28" s="1"/>
  <c r="AG337" i="28"/>
  <c r="BB337" i="28" s="1"/>
  <c r="AH337" i="28"/>
  <c r="BC337" i="28" s="1"/>
  <c r="AI337" i="28"/>
  <c r="BD337" i="28" s="1"/>
  <c r="AJ337" i="28"/>
  <c r="BE337" i="28" s="1"/>
  <c r="AE236" i="28"/>
  <c r="AZ236" i="28" s="1"/>
  <c r="AQ236" i="28"/>
  <c r="BL236" i="28" s="1"/>
  <c r="AF236" i="28"/>
  <c r="BA236" i="28" s="1"/>
  <c r="AR236" i="28"/>
  <c r="BM236" i="28" s="1"/>
  <c r="AH236" i="28"/>
  <c r="BC236" i="28" s="1"/>
  <c r="AI236" i="28"/>
  <c r="BD236" i="28" s="1"/>
  <c r="AJ236" i="28"/>
  <c r="BE236" i="28" s="1"/>
  <c r="Y236" i="28"/>
  <c r="AT236" i="28" s="1"/>
  <c r="AK236" i="28"/>
  <c r="BF236" i="28" s="1"/>
  <c r="Z236" i="28"/>
  <c r="AL236" i="28"/>
  <c r="BG236" i="28" s="1"/>
  <c r="AB236" i="28"/>
  <c r="AW236" i="28" s="1"/>
  <c r="AN236" i="28"/>
  <c r="BI236" i="28" s="1"/>
  <c r="AC236" i="28"/>
  <c r="AX236" i="28" s="1"/>
  <c r="AO236" i="28"/>
  <c r="BJ236" i="28" s="1"/>
  <c r="AA236" i="28"/>
  <c r="AV236" i="28" s="1"/>
  <c r="AD236" i="28"/>
  <c r="AY236" i="28" s="1"/>
  <c r="AG236" i="28"/>
  <c r="BB236" i="28" s="1"/>
  <c r="AM236" i="28"/>
  <c r="BH236" i="28" s="1"/>
  <c r="AP236" i="28"/>
  <c r="BK236" i="28" s="1"/>
  <c r="AE308" i="28"/>
  <c r="AZ308" i="28" s="1"/>
  <c r="AQ308" i="28"/>
  <c r="BL308" i="28" s="1"/>
  <c r="AF308" i="28"/>
  <c r="BA308" i="28" s="1"/>
  <c r="AR308" i="28"/>
  <c r="BM308" i="28" s="1"/>
  <c r="AH308" i="28"/>
  <c r="BC308" i="28" s="1"/>
  <c r="AI308" i="28"/>
  <c r="BD308" i="28" s="1"/>
  <c r="AJ308" i="28"/>
  <c r="BE308" i="28" s="1"/>
  <c r="Y308" i="28"/>
  <c r="AT308" i="28" s="1"/>
  <c r="AK308" i="28"/>
  <c r="BF308" i="28" s="1"/>
  <c r="Z308" i="28"/>
  <c r="AL308" i="28"/>
  <c r="BG308" i="28" s="1"/>
  <c r="AB308" i="28"/>
  <c r="AW308" i="28" s="1"/>
  <c r="AN308" i="28"/>
  <c r="BI308" i="28" s="1"/>
  <c r="AC308" i="28"/>
  <c r="AX308" i="28" s="1"/>
  <c r="AO308" i="28"/>
  <c r="BJ308" i="28" s="1"/>
  <c r="AA308" i="28"/>
  <c r="AV308" i="28" s="1"/>
  <c r="AD308" i="28"/>
  <c r="AY308" i="28" s="1"/>
  <c r="AG308" i="28"/>
  <c r="BB308" i="28" s="1"/>
  <c r="AM308" i="28"/>
  <c r="BH308" i="28" s="1"/>
  <c r="AP308" i="28"/>
  <c r="BK308" i="28" s="1"/>
  <c r="AC380" i="28"/>
  <c r="AX380" i="28" s="1"/>
  <c r="AO380" i="28"/>
  <c r="BJ380" i="28" s="1"/>
  <c r="AD380" i="28"/>
  <c r="AY380" i="28" s="1"/>
  <c r="AP380" i="28"/>
  <c r="BK380" i="28" s="1"/>
  <c r="AE380" i="28"/>
  <c r="AZ380" i="28" s="1"/>
  <c r="AQ380" i="28"/>
  <c r="BL380" i="28" s="1"/>
  <c r="AF380" i="28"/>
  <c r="BA380" i="28" s="1"/>
  <c r="AR380" i="28"/>
  <c r="BM380" i="28" s="1"/>
  <c r="AG380" i="28"/>
  <c r="BB380" i="28" s="1"/>
  <c r="AH380" i="28"/>
  <c r="BC380" i="28" s="1"/>
  <c r="AI380" i="28"/>
  <c r="BD380" i="28" s="1"/>
  <c r="AJ380" i="28"/>
  <c r="BE380" i="28" s="1"/>
  <c r="Y380" i="28"/>
  <c r="AT380" i="28" s="1"/>
  <c r="AK380" i="28"/>
  <c r="BF380" i="28" s="1"/>
  <c r="Z380" i="28"/>
  <c r="AL380" i="28"/>
  <c r="BG380" i="28" s="1"/>
  <c r="AA380" i="28"/>
  <c r="AV380" i="28" s="1"/>
  <c r="AM380" i="28"/>
  <c r="BH380" i="28" s="1"/>
  <c r="AB380" i="28"/>
  <c r="AW380" i="28" s="1"/>
  <c r="AN380" i="28"/>
  <c r="BI380" i="28" s="1"/>
  <c r="BE396" i="30"/>
  <c r="AK253" i="24"/>
  <c r="BF253" i="24" s="1"/>
  <c r="Z253" i="24"/>
  <c r="AL253" i="24"/>
  <c r="BG253" i="24" s="1"/>
  <c r="AA253" i="24"/>
  <c r="AV253" i="24" s="1"/>
  <c r="AM253" i="24"/>
  <c r="BH253" i="24" s="1"/>
  <c r="AB253" i="24"/>
  <c r="AW253" i="24" s="1"/>
  <c r="AN253" i="24"/>
  <c r="BI253" i="24" s="1"/>
  <c r="AC253" i="24"/>
  <c r="AX253" i="24" s="1"/>
  <c r="AO253" i="24"/>
  <c r="BJ253" i="24" s="1"/>
  <c r="AD253" i="24"/>
  <c r="AY253" i="24" s="1"/>
  <c r="AP253" i="24"/>
  <c r="BK253" i="24" s="1"/>
  <c r="AE253" i="24"/>
  <c r="AZ253" i="24" s="1"/>
  <c r="AQ253" i="24"/>
  <c r="BL253" i="24" s="1"/>
  <c r="AF253" i="24"/>
  <c r="BA253" i="24" s="1"/>
  <c r="AR253" i="24"/>
  <c r="BM253" i="24" s="1"/>
  <c r="AG253" i="24"/>
  <c r="BB253" i="24" s="1"/>
  <c r="AH253" i="24"/>
  <c r="BC253" i="24" s="1"/>
  <c r="AI253" i="24"/>
  <c r="BD253" i="24" s="1"/>
  <c r="AJ253" i="24"/>
  <c r="BE253" i="24" s="1"/>
  <c r="Y253" i="24"/>
  <c r="AT253" i="24" s="1"/>
  <c r="AG161" i="24"/>
  <c r="BB161" i="24" s="1"/>
  <c r="AH161" i="24"/>
  <c r="BC161" i="24" s="1"/>
  <c r="AI161" i="24"/>
  <c r="BD161" i="24" s="1"/>
  <c r="AJ161" i="24"/>
  <c r="BE161" i="24" s="1"/>
  <c r="AK161" i="24"/>
  <c r="BF161" i="24" s="1"/>
  <c r="Z161" i="24"/>
  <c r="AL161" i="24"/>
  <c r="BG161" i="24" s="1"/>
  <c r="AA161" i="24"/>
  <c r="AV161" i="24" s="1"/>
  <c r="AM161" i="24"/>
  <c r="BH161" i="24" s="1"/>
  <c r="AB161" i="24"/>
  <c r="AW161" i="24" s="1"/>
  <c r="AN161" i="24"/>
  <c r="BI161" i="24" s="1"/>
  <c r="AC161" i="24"/>
  <c r="AX161" i="24" s="1"/>
  <c r="AO161" i="24"/>
  <c r="BJ161" i="24" s="1"/>
  <c r="AD161" i="24"/>
  <c r="AY161" i="24" s="1"/>
  <c r="AP161" i="24"/>
  <c r="BK161" i="24" s="1"/>
  <c r="AE161" i="24"/>
  <c r="AZ161" i="24" s="1"/>
  <c r="AQ161" i="24"/>
  <c r="BL161" i="24" s="1"/>
  <c r="AF161" i="24"/>
  <c r="BA161" i="24" s="1"/>
  <c r="AR161" i="24"/>
  <c r="BM161" i="24" s="1"/>
  <c r="Y161" i="24"/>
  <c r="AT161" i="24" s="1"/>
  <c r="AB124" i="24"/>
  <c r="AW124" i="24" s="1"/>
  <c r="AN124" i="24"/>
  <c r="BI124" i="24" s="1"/>
  <c r="AC124" i="24"/>
  <c r="AX124" i="24" s="1"/>
  <c r="AO124" i="24"/>
  <c r="BJ124" i="24" s="1"/>
  <c r="AD124" i="24"/>
  <c r="AY124" i="24" s="1"/>
  <c r="AP124" i="24"/>
  <c r="BK124" i="24" s="1"/>
  <c r="AE124" i="24"/>
  <c r="AZ124" i="24" s="1"/>
  <c r="AQ124" i="24"/>
  <c r="BL124" i="24" s="1"/>
  <c r="AF124" i="24"/>
  <c r="BA124" i="24" s="1"/>
  <c r="AR124" i="24"/>
  <c r="BM124" i="24" s="1"/>
  <c r="AG124" i="24"/>
  <c r="BB124" i="24" s="1"/>
  <c r="AH124" i="24"/>
  <c r="BC124" i="24" s="1"/>
  <c r="AI124" i="24"/>
  <c r="BD124" i="24" s="1"/>
  <c r="AJ124" i="24"/>
  <c r="BE124" i="24" s="1"/>
  <c r="AK124" i="24"/>
  <c r="BF124" i="24" s="1"/>
  <c r="Z124" i="24"/>
  <c r="AL124" i="24"/>
  <c r="BG124" i="24" s="1"/>
  <c r="AA124" i="24"/>
  <c r="AV124" i="24" s="1"/>
  <c r="AM124" i="24"/>
  <c r="BH124" i="24" s="1"/>
  <c r="Y124" i="24"/>
  <c r="AT124" i="24" s="1"/>
  <c r="AB196" i="24"/>
  <c r="AW196" i="24" s="1"/>
  <c r="AN196" i="24"/>
  <c r="BI196" i="24" s="1"/>
  <c r="AC196" i="24"/>
  <c r="AX196" i="24" s="1"/>
  <c r="AO196" i="24"/>
  <c r="BJ196" i="24" s="1"/>
  <c r="AD196" i="24"/>
  <c r="AY196" i="24" s="1"/>
  <c r="AP196" i="24"/>
  <c r="BK196" i="24" s="1"/>
  <c r="AE196" i="24"/>
  <c r="AZ196" i="24" s="1"/>
  <c r="AQ196" i="24"/>
  <c r="BL196" i="24" s="1"/>
  <c r="AF196" i="24"/>
  <c r="BA196" i="24" s="1"/>
  <c r="AR196" i="24"/>
  <c r="BM196" i="24" s="1"/>
  <c r="AG196" i="24"/>
  <c r="BB196" i="24" s="1"/>
  <c r="AH196" i="24"/>
  <c r="BC196" i="24" s="1"/>
  <c r="AI196" i="24"/>
  <c r="BD196" i="24" s="1"/>
  <c r="AJ196" i="24"/>
  <c r="BE196" i="24" s="1"/>
  <c r="AK196" i="24"/>
  <c r="BF196" i="24" s="1"/>
  <c r="Z196" i="24"/>
  <c r="AL196" i="24"/>
  <c r="BG196" i="24" s="1"/>
  <c r="Y196" i="24"/>
  <c r="AT196" i="24" s="1"/>
  <c r="AA196" i="24"/>
  <c r="AV196" i="24" s="1"/>
  <c r="AM196" i="24"/>
  <c r="BH196" i="24" s="1"/>
  <c r="AB268" i="24"/>
  <c r="AW268" i="24" s="1"/>
  <c r="AN268" i="24"/>
  <c r="BI268" i="24" s="1"/>
  <c r="AC268" i="24"/>
  <c r="AX268" i="24" s="1"/>
  <c r="AO268" i="24"/>
  <c r="BJ268" i="24" s="1"/>
  <c r="AD268" i="24"/>
  <c r="AY268" i="24" s="1"/>
  <c r="AP268" i="24"/>
  <c r="BK268" i="24" s="1"/>
  <c r="AE268" i="24"/>
  <c r="AZ268" i="24" s="1"/>
  <c r="AQ268" i="24"/>
  <c r="BL268" i="24" s="1"/>
  <c r="AF268" i="24"/>
  <c r="BA268" i="24" s="1"/>
  <c r="AR268" i="24"/>
  <c r="BM268" i="24" s="1"/>
  <c r="AG268" i="24"/>
  <c r="BB268" i="24" s="1"/>
  <c r="AH268" i="24"/>
  <c r="BC268" i="24" s="1"/>
  <c r="AI268" i="24"/>
  <c r="BD268" i="24" s="1"/>
  <c r="AJ268" i="24"/>
  <c r="BE268" i="24" s="1"/>
  <c r="AK268" i="24"/>
  <c r="BF268" i="24" s="1"/>
  <c r="Z268" i="24"/>
  <c r="AL268" i="24"/>
  <c r="BG268" i="24" s="1"/>
  <c r="AA268" i="24"/>
  <c r="AV268" i="24" s="1"/>
  <c r="Y268" i="24"/>
  <c r="AT268" i="24" s="1"/>
  <c r="AM268" i="24"/>
  <c r="BH268" i="24" s="1"/>
  <c r="AF132" i="24"/>
  <c r="BA132" i="24" s="1"/>
  <c r="AR132" i="24"/>
  <c r="BM132" i="24" s="1"/>
  <c r="AG132" i="24"/>
  <c r="BB132" i="24" s="1"/>
  <c r="AH132" i="24"/>
  <c r="BC132" i="24" s="1"/>
  <c r="AI132" i="24"/>
  <c r="BD132" i="24" s="1"/>
  <c r="AJ132" i="24"/>
  <c r="BE132" i="24" s="1"/>
  <c r="AK132" i="24"/>
  <c r="BF132" i="24" s="1"/>
  <c r="Z132" i="24"/>
  <c r="AL132" i="24"/>
  <c r="BG132" i="24" s="1"/>
  <c r="AA132" i="24"/>
  <c r="AV132" i="24" s="1"/>
  <c r="AM132" i="24"/>
  <c r="BH132" i="24" s="1"/>
  <c r="AB132" i="24"/>
  <c r="AW132" i="24" s="1"/>
  <c r="AN132" i="24"/>
  <c r="BI132" i="24" s="1"/>
  <c r="AC132" i="24"/>
  <c r="AX132" i="24" s="1"/>
  <c r="AO132" i="24"/>
  <c r="BJ132" i="24" s="1"/>
  <c r="AD132" i="24"/>
  <c r="AY132" i="24" s="1"/>
  <c r="AP132" i="24"/>
  <c r="BK132" i="24" s="1"/>
  <c r="AE132" i="24"/>
  <c r="AZ132" i="24" s="1"/>
  <c r="AQ132" i="24"/>
  <c r="BL132" i="24" s="1"/>
  <c r="Y132" i="24"/>
  <c r="AT132" i="24" s="1"/>
  <c r="AF204" i="24"/>
  <c r="BA204" i="24" s="1"/>
  <c r="AR204" i="24"/>
  <c r="BM204" i="24" s="1"/>
  <c r="AG204" i="24"/>
  <c r="BB204" i="24" s="1"/>
  <c r="AH204" i="24"/>
  <c r="BC204" i="24" s="1"/>
  <c r="AI204" i="24"/>
  <c r="BD204" i="24" s="1"/>
  <c r="AJ204" i="24"/>
  <c r="BE204" i="24" s="1"/>
  <c r="AK204" i="24"/>
  <c r="BF204" i="24" s="1"/>
  <c r="Z204" i="24"/>
  <c r="AL204" i="24"/>
  <c r="BG204" i="24" s="1"/>
  <c r="AA204" i="24"/>
  <c r="AV204" i="24" s="1"/>
  <c r="AM204" i="24"/>
  <c r="BH204" i="24" s="1"/>
  <c r="AB204" i="24"/>
  <c r="AW204" i="24" s="1"/>
  <c r="AN204" i="24"/>
  <c r="BI204" i="24" s="1"/>
  <c r="AC204" i="24"/>
  <c r="AX204" i="24" s="1"/>
  <c r="AO204" i="24"/>
  <c r="BJ204" i="24" s="1"/>
  <c r="AD204" i="24"/>
  <c r="AY204" i="24" s="1"/>
  <c r="AP204" i="24"/>
  <c r="BK204" i="24" s="1"/>
  <c r="AE204" i="24"/>
  <c r="AZ204" i="24" s="1"/>
  <c r="AQ204" i="24"/>
  <c r="BL204" i="24" s="1"/>
  <c r="Y204" i="24"/>
  <c r="AT204" i="24" s="1"/>
  <c r="AF276" i="24"/>
  <c r="BA276" i="24" s="1"/>
  <c r="AR276" i="24"/>
  <c r="BM276" i="24" s="1"/>
  <c r="AG276" i="24"/>
  <c r="BB276" i="24" s="1"/>
  <c r="AH276" i="24"/>
  <c r="BC276" i="24" s="1"/>
  <c r="AI276" i="24"/>
  <c r="BD276" i="24" s="1"/>
  <c r="AJ276" i="24"/>
  <c r="BE276" i="24" s="1"/>
  <c r="AK276" i="24"/>
  <c r="BF276" i="24" s="1"/>
  <c r="Z276" i="24"/>
  <c r="AL276" i="24"/>
  <c r="BG276" i="24" s="1"/>
  <c r="AA276" i="24"/>
  <c r="AV276" i="24" s="1"/>
  <c r="AM276" i="24"/>
  <c r="BH276" i="24" s="1"/>
  <c r="AB276" i="24"/>
  <c r="AW276" i="24" s="1"/>
  <c r="AN276" i="24"/>
  <c r="BI276" i="24" s="1"/>
  <c r="AC276" i="24"/>
  <c r="AX276" i="24" s="1"/>
  <c r="AO276" i="24"/>
  <c r="BJ276" i="24" s="1"/>
  <c r="AD276" i="24"/>
  <c r="AY276" i="24" s="1"/>
  <c r="AP276" i="24"/>
  <c r="BK276" i="24" s="1"/>
  <c r="AE276" i="24"/>
  <c r="AZ276" i="24" s="1"/>
  <c r="AQ276" i="24"/>
  <c r="BL276" i="24" s="1"/>
  <c r="Y276" i="24"/>
  <c r="AT276" i="24" s="1"/>
  <c r="AJ348" i="24"/>
  <c r="BE348" i="24" s="1"/>
  <c r="AK348" i="24"/>
  <c r="BF348" i="24" s="1"/>
  <c r="Z348" i="24"/>
  <c r="AL348" i="24"/>
  <c r="BG348" i="24" s="1"/>
  <c r="AA348" i="24"/>
  <c r="AV348" i="24" s="1"/>
  <c r="AM348" i="24"/>
  <c r="BH348" i="24" s="1"/>
  <c r="AB348" i="24"/>
  <c r="AW348" i="24" s="1"/>
  <c r="AN348" i="24"/>
  <c r="BI348" i="24" s="1"/>
  <c r="AC348" i="24"/>
  <c r="AX348" i="24" s="1"/>
  <c r="AO348" i="24"/>
  <c r="BJ348" i="24" s="1"/>
  <c r="AI348" i="24"/>
  <c r="BD348" i="24" s="1"/>
  <c r="AD348" i="24"/>
  <c r="AY348" i="24" s="1"/>
  <c r="AP348" i="24"/>
  <c r="BK348" i="24" s="1"/>
  <c r="AE348" i="24"/>
  <c r="AZ348" i="24" s="1"/>
  <c r="AQ348" i="24"/>
  <c r="BL348" i="24" s="1"/>
  <c r="AF348" i="24"/>
  <c r="BA348" i="24" s="1"/>
  <c r="AR348" i="24"/>
  <c r="BM348" i="24" s="1"/>
  <c r="AG348" i="24"/>
  <c r="BB348" i="24" s="1"/>
  <c r="AH348" i="24"/>
  <c r="BC348" i="24" s="1"/>
  <c r="Y348" i="24"/>
  <c r="AT348" i="24" s="1"/>
  <c r="AE271" i="24"/>
  <c r="AZ271" i="24" s="1"/>
  <c r="AQ271" i="24"/>
  <c r="BL271" i="24" s="1"/>
  <c r="AF271" i="24"/>
  <c r="BA271" i="24" s="1"/>
  <c r="AR271" i="24"/>
  <c r="BM271" i="24" s="1"/>
  <c r="AG271" i="24"/>
  <c r="BB271" i="24" s="1"/>
  <c r="AH271" i="24"/>
  <c r="BC271" i="24" s="1"/>
  <c r="AI271" i="24"/>
  <c r="BD271" i="24" s="1"/>
  <c r="AJ271" i="24"/>
  <c r="BE271" i="24" s="1"/>
  <c r="AK271" i="24"/>
  <c r="BF271" i="24" s="1"/>
  <c r="Z271" i="24"/>
  <c r="AL271" i="24"/>
  <c r="BG271" i="24" s="1"/>
  <c r="AA271" i="24"/>
  <c r="AV271" i="24" s="1"/>
  <c r="AM271" i="24"/>
  <c r="BH271" i="24" s="1"/>
  <c r="AB271" i="24"/>
  <c r="AW271" i="24" s="1"/>
  <c r="AN271" i="24"/>
  <c r="BI271" i="24" s="1"/>
  <c r="AC271" i="24"/>
  <c r="AX271" i="24" s="1"/>
  <c r="AO271" i="24"/>
  <c r="BJ271" i="24" s="1"/>
  <c r="Y271" i="24"/>
  <c r="AT271" i="24" s="1"/>
  <c r="AD271" i="24"/>
  <c r="AY271" i="24" s="1"/>
  <c r="AP271" i="24"/>
  <c r="BK271" i="24" s="1"/>
  <c r="AK277" i="24"/>
  <c r="BF277" i="24" s="1"/>
  <c r="Z277" i="24"/>
  <c r="AL277" i="24"/>
  <c r="BG277" i="24" s="1"/>
  <c r="AA277" i="24"/>
  <c r="AV277" i="24" s="1"/>
  <c r="AM277" i="24"/>
  <c r="BH277" i="24" s="1"/>
  <c r="AB277" i="24"/>
  <c r="AW277" i="24" s="1"/>
  <c r="AN277" i="24"/>
  <c r="BI277" i="24" s="1"/>
  <c r="AC277" i="24"/>
  <c r="AX277" i="24" s="1"/>
  <c r="AO277" i="24"/>
  <c r="BJ277" i="24" s="1"/>
  <c r="AD277" i="24"/>
  <c r="AY277" i="24" s="1"/>
  <c r="AP277" i="24"/>
  <c r="BK277" i="24" s="1"/>
  <c r="AE277" i="24"/>
  <c r="AZ277" i="24" s="1"/>
  <c r="AQ277" i="24"/>
  <c r="BL277" i="24" s="1"/>
  <c r="AF277" i="24"/>
  <c r="BA277" i="24" s="1"/>
  <c r="AR277" i="24"/>
  <c r="BM277" i="24" s="1"/>
  <c r="AG277" i="24"/>
  <c r="BB277" i="24" s="1"/>
  <c r="AH277" i="24"/>
  <c r="BC277" i="24" s="1"/>
  <c r="AI277" i="24"/>
  <c r="BD277" i="24" s="1"/>
  <c r="AJ277" i="24"/>
  <c r="BE277" i="24" s="1"/>
  <c r="Y277" i="24"/>
  <c r="AT277" i="24" s="1"/>
  <c r="AE115" i="24"/>
  <c r="AZ115" i="24" s="1"/>
  <c r="AQ115" i="24"/>
  <c r="BL115" i="24" s="1"/>
  <c r="AF115" i="24"/>
  <c r="BA115" i="24" s="1"/>
  <c r="AR115" i="24"/>
  <c r="BM115" i="24" s="1"/>
  <c r="AG115" i="24"/>
  <c r="BB115" i="24" s="1"/>
  <c r="AH115" i="24"/>
  <c r="BC115" i="24" s="1"/>
  <c r="AI115" i="24"/>
  <c r="BD115" i="24" s="1"/>
  <c r="AJ115" i="24"/>
  <c r="BE115" i="24" s="1"/>
  <c r="AK115" i="24"/>
  <c r="BF115" i="24" s="1"/>
  <c r="Z115" i="24"/>
  <c r="AL115" i="24"/>
  <c r="BG115" i="24" s="1"/>
  <c r="AA115" i="24"/>
  <c r="AV115" i="24" s="1"/>
  <c r="AM115" i="24"/>
  <c r="BH115" i="24" s="1"/>
  <c r="AB115" i="24"/>
  <c r="AW115" i="24" s="1"/>
  <c r="AN115" i="24"/>
  <c r="BI115" i="24" s="1"/>
  <c r="AC115" i="24"/>
  <c r="AX115" i="24" s="1"/>
  <c r="AO115" i="24"/>
  <c r="BJ115" i="24" s="1"/>
  <c r="AP115" i="24"/>
  <c r="BK115" i="24" s="1"/>
  <c r="AD115" i="24"/>
  <c r="AY115" i="24" s="1"/>
  <c r="Y115" i="24"/>
  <c r="AT115" i="24" s="1"/>
  <c r="AE211" i="24"/>
  <c r="AZ211" i="24" s="1"/>
  <c r="AQ211" i="24"/>
  <c r="BL211" i="24" s="1"/>
  <c r="AF211" i="24"/>
  <c r="BA211" i="24" s="1"/>
  <c r="AR211" i="24"/>
  <c r="BM211" i="24" s="1"/>
  <c r="AG211" i="24"/>
  <c r="BB211" i="24" s="1"/>
  <c r="AH211" i="24"/>
  <c r="BC211" i="24" s="1"/>
  <c r="AI211" i="24"/>
  <c r="BD211" i="24" s="1"/>
  <c r="AJ211" i="24"/>
  <c r="BE211" i="24" s="1"/>
  <c r="AK211" i="24"/>
  <c r="BF211" i="24" s="1"/>
  <c r="Z211" i="24"/>
  <c r="AL211" i="24"/>
  <c r="BG211" i="24" s="1"/>
  <c r="AA211" i="24"/>
  <c r="AV211" i="24" s="1"/>
  <c r="AM211" i="24"/>
  <c r="BH211" i="24" s="1"/>
  <c r="AB211" i="24"/>
  <c r="AW211" i="24" s="1"/>
  <c r="AN211" i="24"/>
  <c r="BI211" i="24" s="1"/>
  <c r="AC211" i="24"/>
  <c r="AX211" i="24" s="1"/>
  <c r="AO211" i="24"/>
  <c r="BJ211" i="24" s="1"/>
  <c r="Y211" i="24"/>
  <c r="AT211" i="24" s="1"/>
  <c r="AD211" i="24"/>
  <c r="AY211" i="24" s="1"/>
  <c r="AP211" i="24"/>
  <c r="BK211" i="24" s="1"/>
  <c r="AB93" i="24"/>
  <c r="AW93" i="24" s="1"/>
  <c r="AN93" i="24"/>
  <c r="BI93" i="24" s="1"/>
  <c r="AC93" i="24"/>
  <c r="AX93" i="24" s="1"/>
  <c r="AO93" i="24"/>
  <c r="BJ93" i="24" s="1"/>
  <c r="AD93" i="24"/>
  <c r="AY93" i="24" s="1"/>
  <c r="AP93" i="24"/>
  <c r="BK93" i="24" s="1"/>
  <c r="AE93" i="24"/>
  <c r="AZ93" i="24" s="1"/>
  <c r="AQ93" i="24"/>
  <c r="BL93" i="24" s="1"/>
  <c r="AF93" i="24"/>
  <c r="BA93" i="24" s="1"/>
  <c r="AR93" i="24"/>
  <c r="BM93" i="24" s="1"/>
  <c r="AG93" i="24"/>
  <c r="BB93" i="24" s="1"/>
  <c r="AH93" i="24"/>
  <c r="BC93" i="24" s="1"/>
  <c r="AI93" i="24"/>
  <c r="BD93" i="24" s="1"/>
  <c r="AJ93" i="24"/>
  <c r="BE93" i="24" s="1"/>
  <c r="AK93" i="24"/>
  <c r="BF93" i="24" s="1"/>
  <c r="Z93" i="24"/>
  <c r="AL93" i="24"/>
  <c r="BG93" i="24" s="1"/>
  <c r="AM93" i="24"/>
  <c r="BH93" i="24" s="1"/>
  <c r="AA93" i="24"/>
  <c r="AV93" i="24" s="1"/>
  <c r="Y93" i="24"/>
  <c r="AT93" i="24" s="1"/>
  <c r="AC165" i="24"/>
  <c r="AX165" i="24" s="1"/>
  <c r="AO165" i="24"/>
  <c r="BJ165" i="24" s="1"/>
  <c r="AD165" i="24"/>
  <c r="AY165" i="24" s="1"/>
  <c r="AP165" i="24"/>
  <c r="BK165" i="24" s="1"/>
  <c r="AE165" i="24"/>
  <c r="AZ165" i="24" s="1"/>
  <c r="AQ165" i="24"/>
  <c r="BL165" i="24" s="1"/>
  <c r="AF165" i="24"/>
  <c r="BA165" i="24" s="1"/>
  <c r="AR165" i="24"/>
  <c r="BM165" i="24" s="1"/>
  <c r="AG165" i="24"/>
  <c r="BB165" i="24" s="1"/>
  <c r="AH165" i="24"/>
  <c r="BC165" i="24" s="1"/>
  <c r="AI165" i="24"/>
  <c r="BD165" i="24" s="1"/>
  <c r="AJ165" i="24"/>
  <c r="BE165" i="24" s="1"/>
  <c r="AK165" i="24"/>
  <c r="BF165" i="24" s="1"/>
  <c r="Z165" i="24"/>
  <c r="AL165" i="24"/>
  <c r="BG165" i="24" s="1"/>
  <c r="AA165" i="24"/>
  <c r="AV165" i="24" s="1"/>
  <c r="AM165" i="24"/>
  <c r="BH165" i="24" s="1"/>
  <c r="AB165" i="24"/>
  <c r="AW165" i="24" s="1"/>
  <c r="AN165" i="24"/>
  <c r="BI165" i="24" s="1"/>
  <c r="Y165" i="24"/>
  <c r="AT165" i="24" s="1"/>
  <c r="AC237" i="24"/>
  <c r="AX237" i="24" s="1"/>
  <c r="AO237" i="24"/>
  <c r="BJ237" i="24" s="1"/>
  <c r="AD237" i="24"/>
  <c r="AY237" i="24" s="1"/>
  <c r="AP237" i="24"/>
  <c r="BK237" i="24" s="1"/>
  <c r="AE237" i="24"/>
  <c r="AZ237" i="24" s="1"/>
  <c r="AQ237" i="24"/>
  <c r="BL237" i="24" s="1"/>
  <c r="AF237" i="24"/>
  <c r="BA237" i="24" s="1"/>
  <c r="AR237" i="24"/>
  <c r="BM237" i="24" s="1"/>
  <c r="AG237" i="24"/>
  <c r="BB237" i="24" s="1"/>
  <c r="AH237" i="24"/>
  <c r="BC237" i="24" s="1"/>
  <c r="AI237" i="24"/>
  <c r="BD237" i="24" s="1"/>
  <c r="AJ237" i="24"/>
  <c r="BE237" i="24" s="1"/>
  <c r="AK237" i="24"/>
  <c r="BF237" i="24" s="1"/>
  <c r="Z237" i="24"/>
  <c r="AL237" i="24"/>
  <c r="BG237" i="24" s="1"/>
  <c r="AA237" i="24"/>
  <c r="AV237" i="24" s="1"/>
  <c r="AM237" i="24"/>
  <c r="BH237" i="24" s="1"/>
  <c r="AB237" i="24"/>
  <c r="AW237" i="24" s="1"/>
  <c r="AN237" i="24"/>
  <c r="BI237" i="24" s="1"/>
  <c r="Y237" i="24"/>
  <c r="AT237" i="24" s="1"/>
  <c r="AG309" i="24"/>
  <c r="BB309" i="24" s="1"/>
  <c r="AH309" i="24"/>
  <c r="BC309" i="24" s="1"/>
  <c r="AI309" i="24"/>
  <c r="BD309" i="24" s="1"/>
  <c r="AJ309" i="24"/>
  <c r="BE309" i="24" s="1"/>
  <c r="AK309" i="24"/>
  <c r="BF309" i="24" s="1"/>
  <c r="Z309" i="24"/>
  <c r="AL309" i="24"/>
  <c r="BG309" i="24" s="1"/>
  <c r="Y309" i="24"/>
  <c r="AT309" i="24" s="1"/>
  <c r="AA309" i="24"/>
  <c r="AV309" i="24" s="1"/>
  <c r="AM309" i="24"/>
  <c r="BH309" i="24" s="1"/>
  <c r="AB309" i="24"/>
  <c r="AW309" i="24" s="1"/>
  <c r="AN309" i="24"/>
  <c r="BI309" i="24" s="1"/>
  <c r="AR309" i="24"/>
  <c r="BM309" i="24" s="1"/>
  <c r="AC309" i="24"/>
  <c r="AX309" i="24" s="1"/>
  <c r="AO309" i="24"/>
  <c r="BJ309" i="24" s="1"/>
  <c r="AD309" i="24"/>
  <c r="AY309" i="24" s="1"/>
  <c r="AP309" i="24"/>
  <c r="BK309" i="24" s="1"/>
  <c r="AE309" i="24"/>
  <c r="AZ309" i="24" s="1"/>
  <c r="AQ309" i="24"/>
  <c r="BL309" i="24" s="1"/>
  <c r="AF309" i="24"/>
  <c r="BA309" i="24" s="1"/>
  <c r="AB381" i="24"/>
  <c r="AN381" i="24"/>
  <c r="AD381" i="24"/>
  <c r="AC381" i="24"/>
  <c r="AO381" i="24"/>
  <c r="AA381" i="24"/>
  <c r="AP381" i="24"/>
  <c r="AE381" i="24"/>
  <c r="AQ381" i="24"/>
  <c r="AF381" i="24"/>
  <c r="AR381" i="24"/>
  <c r="AJ381" i="24"/>
  <c r="AG381" i="24"/>
  <c r="AH381" i="24"/>
  <c r="Y381" i="24"/>
  <c r="AT381" i="24" s="1"/>
  <c r="AI381" i="24"/>
  <c r="AM381" i="24"/>
  <c r="AK381" i="24"/>
  <c r="Z381" i="24"/>
  <c r="AL381" i="24"/>
  <c r="Z95" i="24"/>
  <c r="AL95" i="24"/>
  <c r="BG95" i="24" s="1"/>
  <c r="AA95" i="24"/>
  <c r="AV95" i="24" s="1"/>
  <c r="AM95" i="24"/>
  <c r="BH95" i="24" s="1"/>
  <c r="AB95" i="24"/>
  <c r="AW95" i="24" s="1"/>
  <c r="AN95" i="24"/>
  <c r="BI95" i="24" s="1"/>
  <c r="AC95" i="24"/>
  <c r="AX95" i="24" s="1"/>
  <c r="AO95" i="24"/>
  <c r="BJ95" i="24" s="1"/>
  <c r="AD95" i="24"/>
  <c r="AY95" i="24" s="1"/>
  <c r="AP95" i="24"/>
  <c r="BK95" i="24" s="1"/>
  <c r="AE95" i="24"/>
  <c r="AZ95" i="24" s="1"/>
  <c r="AQ95" i="24"/>
  <c r="BL95" i="24" s="1"/>
  <c r="AF95" i="24"/>
  <c r="BA95" i="24" s="1"/>
  <c r="AR95" i="24"/>
  <c r="BM95" i="24" s="1"/>
  <c r="AG95" i="24"/>
  <c r="BB95" i="24" s="1"/>
  <c r="AH95" i="24"/>
  <c r="BC95" i="24" s="1"/>
  <c r="AI95" i="24"/>
  <c r="BD95" i="24" s="1"/>
  <c r="AJ95" i="24"/>
  <c r="BE95" i="24" s="1"/>
  <c r="AK95" i="24"/>
  <c r="BF95" i="24" s="1"/>
  <c r="Y95" i="24"/>
  <c r="AT95" i="24" s="1"/>
  <c r="AA239" i="24"/>
  <c r="AV239" i="24" s="1"/>
  <c r="AM239" i="24"/>
  <c r="BH239" i="24" s="1"/>
  <c r="AB239" i="24"/>
  <c r="AW239" i="24" s="1"/>
  <c r="AN239" i="24"/>
  <c r="BI239" i="24" s="1"/>
  <c r="AC239" i="24"/>
  <c r="AX239" i="24" s="1"/>
  <c r="AO239" i="24"/>
  <c r="BJ239" i="24" s="1"/>
  <c r="AD239" i="24"/>
  <c r="AY239" i="24" s="1"/>
  <c r="AP239" i="24"/>
  <c r="BK239" i="24" s="1"/>
  <c r="AE239" i="24"/>
  <c r="AZ239" i="24" s="1"/>
  <c r="AQ239" i="24"/>
  <c r="BL239" i="24" s="1"/>
  <c r="AF239" i="24"/>
  <c r="BA239" i="24" s="1"/>
  <c r="AR239" i="24"/>
  <c r="BM239" i="24" s="1"/>
  <c r="AG239" i="24"/>
  <c r="BB239" i="24" s="1"/>
  <c r="AH239" i="24"/>
  <c r="BC239" i="24" s="1"/>
  <c r="AI239" i="24"/>
  <c r="BD239" i="24" s="1"/>
  <c r="AJ239" i="24"/>
  <c r="BE239" i="24" s="1"/>
  <c r="AK239" i="24"/>
  <c r="BF239" i="24" s="1"/>
  <c r="Z239" i="24"/>
  <c r="AL239" i="24"/>
  <c r="BG239" i="24" s="1"/>
  <c r="Y239" i="24"/>
  <c r="AT239" i="24" s="1"/>
  <c r="AD254" i="24"/>
  <c r="AY254" i="24" s="1"/>
  <c r="AP254" i="24"/>
  <c r="BK254" i="24" s="1"/>
  <c r="AE254" i="24"/>
  <c r="AZ254" i="24" s="1"/>
  <c r="AQ254" i="24"/>
  <c r="BL254" i="24" s="1"/>
  <c r="AF254" i="24"/>
  <c r="BA254" i="24" s="1"/>
  <c r="AR254" i="24"/>
  <c r="BM254" i="24" s="1"/>
  <c r="AG254" i="24"/>
  <c r="BB254" i="24" s="1"/>
  <c r="AH254" i="24"/>
  <c r="BC254" i="24" s="1"/>
  <c r="AI254" i="24"/>
  <c r="BD254" i="24" s="1"/>
  <c r="AJ254" i="24"/>
  <c r="BE254" i="24" s="1"/>
  <c r="AK254" i="24"/>
  <c r="BF254" i="24" s="1"/>
  <c r="Z254" i="24"/>
  <c r="AL254" i="24"/>
  <c r="BG254" i="24" s="1"/>
  <c r="AA254" i="24"/>
  <c r="AV254" i="24" s="1"/>
  <c r="AM254" i="24"/>
  <c r="BH254" i="24" s="1"/>
  <c r="AB254" i="24"/>
  <c r="AW254" i="24" s="1"/>
  <c r="AN254" i="24"/>
  <c r="BI254" i="24" s="1"/>
  <c r="Y254" i="24"/>
  <c r="AT254" i="24" s="1"/>
  <c r="AC254" i="24"/>
  <c r="AX254" i="24" s="1"/>
  <c r="AO254" i="24"/>
  <c r="BJ254" i="24" s="1"/>
  <c r="AG149" i="24"/>
  <c r="BB149" i="24" s="1"/>
  <c r="AH149" i="24"/>
  <c r="BC149" i="24" s="1"/>
  <c r="AI149" i="24"/>
  <c r="BD149" i="24" s="1"/>
  <c r="AJ149" i="24"/>
  <c r="BE149" i="24" s="1"/>
  <c r="AK149" i="24"/>
  <c r="BF149" i="24" s="1"/>
  <c r="Z149" i="24"/>
  <c r="AL149" i="24"/>
  <c r="BG149" i="24" s="1"/>
  <c r="AA149" i="24"/>
  <c r="AV149" i="24" s="1"/>
  <c r="AM149" i="24"/>
  <c r="BH149" i="24" s="1"/>
  <c r="AB149" i="24"/>
  <c r="AW149" i="24" s="1"/>
  <c r="AN149" i="24"/>
  <c r="BI149" i="24" s="1"/>
  <c r="AC149" i="24"/>
  <c r="AX149" i="24" s="1"/>
  <c r="AO149" i="24"/>
  <c r="BJ149" i="24" s="1"/>
  <c r="AD149" i="24"/>
  <c r="AY149" i="24" s="1"/>
  <c r="AP149" i="24"/>
  <c r="BK149" i="24" s="1"/>
  <c r="AE149" i="24"/>
  <c r="AZ149" i="24" s="1"/>
  <c r="AQ149" i="24"/>
  <c r="BL149" i="24" s="1"/>
  <c r="Y149" i="24"/>
  <c r="AT149" i="24" s="1"/>
  <c r="AF149" i="24"/>
  <c r="BA149" i="24" s="1"/>
  <c r="AR149" i="24"/>
  <c r="BM149" i="24" s="1"/>
  <c r="AD122" i="24"/>
  <c r="AY122" i="24" s="1"/>
  <c r="AP122" i="24"/>
  <c r="BK122" i="24" s="1"/>
  <c r="AE122" i="24"/>
  <c r="AZ122" i="24" s="1"/>
  <c r="AQ122" i="24"/>
  <c r="BL122" i="24" s="1"/>
  <c r="AF122" i="24"/>
  <c r="BA122" i="24" s="1"/>
  <c r="AR122" i="24"/>
  <c r="BM122" i="24" s="1"/>
  <c r="AG122" i="24"/>
  <c r="BB122" i="24" s="1"/>
  <c r="AH122" i="24"/>
  <c r="BC122" i="24" s="1"/>
  <c r="AI122" i="24"/>
  <c r="BD122" i="24" s="1"/>
  <c r="AJ122" i="24"/>
  <c r="BE122" i="24" s="1"/>
  <c r="AK122" i="24"/>
  <c r="BF122" i="24" s="1"/>
  <c r="Z122" i="24"/>
  <c r="AL122" i="24"/>
  <c r="BG122" i="24" s="1"/>
  <c r="AA122" i="24"/>
  <c r="AV122" i="24" s="1"/>
  <c r="AM122" i="24"/>
  <c r="BH122" i="24" s="1"/>
  <c r="AB122" i="24"/>
  <c r="AW122" i="24" s="1"/>
  <c r="AN122" i="24"/>
  <c r="BI122" i="24" s="1"/>
  <c r="Y122" i="24"/>
  <c r="AT122" i="24" s="1"/>
  <c r="AO122" i="24"/>
  <c r="BJ122" i="24" s="1"/>
  <c r="AC122" i="24"/>
  <c r="AX122" i="24" s="1"/>
  <c r="AA287" i="24"/>
  <c r="AV287" i="24" s="1"/>
  <c r="AM287" i="24"/>
  <c r="BH287" i="24" s="1"/>
  <c r="AB287" i="24"/>
  <c r="AW287" i="24" s="1"/>
  <c r="AN287" i="24"/>
  <c r="BI287" i="24" s="1"/>
  <c r="AC287" i="24"/>
  <c r="AX287" i="24" s="1"/>
  <c r="AO287" i="24"/>
  <c r="BJ287" i="24" s="1"/>
  <c r="AD287" i="24"/>
  <c r="AY287" i="24" s="1"/>
  <c r="AP287" i="24"/>
  <c r="BK287" i="24" s="1"/>
  <c r="AE287" i="24"/>
  <c r="AZ287" i="24" s="1"/>
  <c r="AQ287" i="24"/>
  <c r="BL287" i="24" s="1"/>
  <c r="AF287" i="24"/>
  <c r="BA287" i="24" s="1"/>
  <c r="AR287" i="24"/>
  <c r="BM287" i="24" s="1"/>
  <c r="AG287" i="24"/>
  <c r="BB287" i="24" s="1"/>
  <c r="AH287" i="24"/>
  <c r="BC287" i="24" s="1"/>
  <c r="AI287" i="24"/>
  <c r="BD287" i="24" s="1"/>
  <c r="AJ287" i="24"/>
  <c r="BE287" i="24" s="1"/>
  <c r="AK287" i="24"/>
  <c r="BF287" i="24" s="1"/>
  <c r="Z287" i="24"/>
  <c r="AL287" i="24"/>
  <c r="BG287" i="24" s="1"/>
  <c r="Y287" i="24"/>
  <c r="AT287" i="24" s="1"/>
  <c r="AG197" i="24"/>
  <c r="BB197" i="24" s="1"/>
  <c r="AH197" i="24"/>
  <c r="BC197" i="24" s="1"/>
  <c r="AI197" i="24"/>
  <c r="BD197" i="24" s="1"/>
  <c r="AJ197" i="24"/>
  <c r="BE197" i="24" s="1"/>
  <c r="AK197" i="24"/>
  <c r="BF197" i="24" s="1"/>
  <c r="Z197" i="24"/>
  <c r="AL197" i="24"/>
  <c r="BG197" i="24" s="1"/>
  <c r="AA197" i="24"/>
  <c r="AV197" i="24" s="1"/>
  <c r="AM197" i="24"/>
  <c r="BH197" i="24" s="1"/>
  <c r="AB197" i="24"/>
  <c r="AW197" i="24" s="1"/>
  <c r="AN197" i="24"/>
  <c r="BI197" i="24" s="1"/>
  <c r="AC197" i="24"/>
  <c r="AX197" i="24" s="1"/>
  <c r="AO197" i="24"/>
  <c r="BJ197" i="24" s="1"/>
  <c r="AD197" i="24"/>
  <c r="AY197" i="24" s="1"/>
  <c r="AP197" i="24"/>
  <c r="BK197" i="24" s="1"/>
  <c r="AE197" i="24"/>
  <c r="AZ197" i="24" s="1"/>
  <c r="AQ197" i="24"/>
  <c r="BL197" i="24" s="1"/>
  <c r="Y197" i="24"/>
  <c r="AT197" i="24" s="1"/>
  <c r="AF197" i="24"/>
  <c r="BA197" i="24" s="1"/>
  <c r="AR197" i="24"/>
  <c r="BM197" i="24" s="1"/>
  <c r="AB344" i="24"/>
  <c r="AW344" i="24" s="1"/>
  <c r="AN344" i="24"/>
  <c r="BI344" i="24" s="1"/>
  <c r="AC344" i="24"/>
  <c r="AX344" i="24" s="1"/>
  <c r="AO344" i="24"/>
  <c r="BJ344" i="24" s="1"/>
  <c r="AD344" i="24"/>
  <c r="AY344" i="24" s="1"/>
  <c r="AP344" i="24"/>
  <c r="BK344" i="24" s="1"/>
  <c r="AE344" i="24"/>
  <c r="AZ344" i="24" s="1"/>
  <c r="AQ344" i="24"/>
  <c r="BL344" i="24" s="1"/>
  <c r="AF344" i="24"/>
  <c r="BA344" i="24" s="1"/>
  <c r="AR344" i="24"/>
  <c r="BM344" i="24" s="1"/>
  <c r="AM344" i="24"/>
  <c r="BH344" i="24" s="1"/>
  <c r="AG344" i="24"/>
  <c r="BB344" i="24" s="1"/>
  <c r="AH344" i="24"/>
  <c r="BC344" i="24" s="1"/>
  <c r="Y344" i="24"/>
  <c r="AT344" i="24" s="1"/>
  <c r="AI344" i="24"/>
  <c r="BD344" i="24" s="1"/>
  <c r="AA344" i="24"/>
  <c r="AV344" i="24" s="1"/>
  <c r="AJ344" i="24"/>
  <c r="BE344" i="24" s="1"/>
  <c r="AK344" i="24"/>
  <c r="BF344" i="24" s="1"/>
  <c r="Z344" i="24"/>
  <c r="AL344" i="24"/>
  <c r="BG344" i="24" s="1"/>
  <c r="AJ224" i="24"/>
  <c r="BE224" i="24" s="1"/>
  <c r="AK224" i="24"/>
  <c r="BF224" i="24" s="1"/>
  <c r="Z224" i="24"/>
  <c r="AL224" i="24"/>
  <c r="BG224" i="24" s="1"/>
  <c r="AA224" i="24"/>
  <c r="AV224" i="24" s="1"/>
  <c r="AM224" i="24"/>
  <c r="BH224" i="24" s="1"/>
  <c r="AB224" i="24"/>
  <c r="AW224" i="24" s="1"/>
  <c r="AN224" i="24"/>
  <c r="BI224" i="24" s="1"/>
  <c r="AC224" i="24"/>
  <c r="AX224" i="24" s="1"/>
  <c r="AO224" i="24"/>
  <c r="BJ224" i="24" s="1"/>
  <c r="AD224" i="24"/>
  <c r="AY224" i="24" s="1"/>
  <c r="AP224" i="24"/>
  <c r="BK224" i="24" s="1"/>
  <c r="AE224" i="24"/>
  <c r="AZ224" i="24" s="1"/>
  <c r="AQ224" i="24"/>
  <c r="BL224" i="24" s="1"/>
  <c r="AF224" i="24"/>
  <c r="BA224" i="24" s="1"/>
  <c r="AR224" i="24"/>
  <c r="BM224" i="24" s="1"/>
  <c r="AG224" i="24"/>
  <c r="BB224" i="24" s="1"/>
  <c r="AH224" i="24"/>
  <c r="BC224" i="24" s="1"/>
  <c r="AI224" i="24"/>
  <c r="BD224" i="24" s="1"/>
  <c r="Y224" i="24"/>
  <c r="AT224" i="24" s="1"/>
  <c r="AJ296" i="24"/>
  <c r="BE296" i="24" s="1"/>
  <c r="AK296" i="24"/>
  <c r="BF296" i="24" s="1"/>
  <c r="Z296" i="24"/>
  <c r="AL296" i="24"/>
  <c r="BG296" i="24" s="1"/>
  <c r="AA296" i="24"/>
  <c r="AV296" i="24" s="1"/>
  <c r="AM296" i="24"/>
  <c r="BH296" i="24" s="1"/>
  <c r="AB296" i="24"/>
  <c r="AW296" i="24" s="1"/>
  <c r="AN296" i="24"/>
  <c r="BI296" i="24" s="1"/>
  <c r="AC296" i="24"/>
  <c r="AX296" i="24" s="1"/>
  <c r="AO296" i="24"/>
  <c r="BJ296" i="24" s="1"/>
  <c r="AD296" i="24"/>
  <c r="AY296" i="24" s="1"/>
  <c r="AP296" i="24"/>
  <c r="BK296" i="24" s="1"/>
  <c r="AE296" i="24"/>
  <c r="AZ296" i="24" s="1"/>
  <c r="AQ296" i="24"/>
  <c r="BL296" i="24" s="1"/>
  <c r="AF296" i="24"/>
  <c r="BA296" i="24" s="1"/>
  <c r="AR296" i="24"/>
  <c r="BM296" i="24" s="1"/>
  <c r="AG296" i="24"/>
  <c r="BB296" i="24" s="1"/>
  <c r="AH296" i="24"/>
  <c r="BC296" i="24" s="1"/>
  <c r="Y296" i="24"/>
  <c r="AT296" i="24" s="1"/>
  <c r="AI296" i="24"/>
  <c r="BD296" i="24" s="1"/>
  <c r="AI114" i="25"/>
  <c r="BD114" i="25" s="1"/>
  <c r="AJ114" i="25"/>
  <c r="BE114" i="25" s="1"/>
  <c r="Y114" i="25"/>
  <c r="AT114" i="25" s="1"/>
  <c r="AK114" i="25"/>
  <c r="BF114" i="25" s="1"/>
  <c r="Z114" i="25"/>
  <c r="AL114" i="25"/>
  <c r="BG114" i="25" s="1"/>
  <c r="AA114" i="25"/>
  <c r="AV114" i="25" s="1"/>
  <c r="AM114" i="25"/>
  <c r="BH114" i="25" s="1"/>
  <c r="AB114" i="25"/>
  <c r="AW114" i="25" s="1"/>
  <c r="AN114" i="25"/>
  <c r="BI114" i="25" s="1"/>
  <c r="AC114" i="25"/>
  <c r="AX114" i="25" s="1"/>
  <c r="AO114" i="25"/>
  <c r="BJ114" i="25" s="1"/>
  <c r="AD114" i="25"/>
  <c r="AY114" i="25" s="1"/>
  <c r="AP114" i="25"/>
  <c r="BK114" i="25" s="1"/>
  <c r="AE114" i="25"/>
  <c r="AZ114" i="25" s="1"/>
  <c r="AQ114" i="25"/>
  <c r="BL114" i="25" s="1"/>
  <c r="AF114" i="25"/>
  <c r="BA114" i="25" s="1"/>
  <c r="AR114" i="25"/>
  <c r="BM114" i="25" s="1"/>
  <c r="AG114" i="25"/>
  <c r="BB114" i="25" s="1"/>
  <c r="AH114" i="25"/>
  <c r="BC114" i="25" s="1"/>
  <c r="AA184" i="25"/>
  <c r="AV184" i="25" s="1"/>
  <c r="AM184" i="25"/>
  <c r="BH184" i="25" s="1"/>
  <c r="AB184" i="25"/>
  <c r="AW184" i="25" s="1"/>
  <c r="AN184" i="25"/>
  <c r="BI184" i="25" s="1"/>
  <c r="AC184" i="25"/>
  <c r="AX184" i="25" s="1"/>
  <c r="AO184" i="25"/>
  <c r="BJ184" i="25" s="1"/>
  <c r="AD184" i="25"/>
  <c r="AY184" i="25" s="1"/>
  <c r="AP184" i="25"/>
  <c r="BK184" i="25" s="1"/>
  <c r="AE184" i="25"/>
  <c r="AZ184" i="25" s="1"/>
  <c r="AQ184" i="25"/>
  <c r="BL184" i="25" s="1"/>
  <c r="AF184" i="25"/>
  <c r="BA184" i="25" s="1"/>
  <c r="AR184" i="25"/>
  <c r="BM184" i="25" s="1"/>
  <c r="AG184" i="25"/>
  <c r="BB184" i="25" s="1"/>
  <c r="AH184" i="25"/>
  <c r="BC184" i="25" s="1"/>
  <c r="AI184" i="25"/>
  <c r="BD184" i="25" s="1"/>
  <c r="AJ184" i="25"/>
  <c r="BE184" i="25" s="1"/>
  <c r="Y184" i="25"/>
  <c r="AT184" i="25" s="1"/>
  <c r="AK184" i="25"/>
  <c r="BF184" i="25" s="1"/>
  <c r="Z184" i="25"/>
  <c r="AL184" i="25"/>
  <c r="BG184" i="25" s="1"/>
  <c r="Z256" i="25"/>
  <c r="AL256" i="25"/>
  <c r="BG256" i="25" s="1"/>
  <c r="AA256" i="25"/>
  <c r="AV256" i="25" s="1"/>
  <c r="AM256" i="25"/>
  <c r="BH256" i="25" s="1"/>
  <c r="AB256" i="25"/>
  <c r="AW256" i="25" s="1"/>
  <c r="AN256" i="25"/>
  <c r="BI256" i="25" s="1"/>
  <c r="AC256" i="25"/>
  <c r="AX256" i="25" s="1"/>
  <c r="AO256" i="25"/>
  <c r="BJ256" i="25" s="1"/>
  <c r="AD256" i="25"/>
  <c r="AY256" i="25" s="1"/>
  <c r="AP256" i="25"/>
  <c r="BK256" i="25" s="1"/>
  <c r="AE256" i="25"/>
  <c r="AZ256" i="25" s="1"/>
  <c r="AQ256" i="25"/>
  <c r="BL256" i="25" s="1"/>
  <c r="AF256" i="25"/>
  <c r="BA256" i="25" s="1"/>
  <c r="AR256" i="25"/>
  <c r="BM256" i="25" s="1"/>
  <c r="AG256" i="25"/>
  <c r="BB256" i="25" s="1"/>
  <c r="AH256" i="25"/>
  <c r="BC256" i="25" s="1"/>
  <c r="AI256" i="25"/>
  <c r="BD256" i="25" s="1"/>
  <c r="AJ256" i="25"/>
  <c r="BE256" i="25" s="1"/>
  <c r="Y256" i="25"/>
  <c r="AT256" i="25" s="1"/>
  <c r="AK256" i="25"/>
  <c r="BF256" i="25" s="1"/>
  <c r="Z328" i="25"/>
  <c r="AL328" i="25"/>
  <c r="BG328" i="25" s="1"/>
  <c r="AA328" i="25"/>
  <c r="AV328" i="25" s="1"/>
  <c r="AM328" i="25"/>
  <c r="BH328" i="25" s="1"/>
  <c r="AB328" i="25"/>
  <c r="AW328" i="25" s="1"/>
  <c r="AN328" i="25"/>
  <c r="BI328" i="25" s="1"/>
  <c r="AC328" i="25"/>
  <c r="AX328" i="25" s="1"/>
  <c r="AO328" i="25"/>
  <c r="BJ328" i="25" s="1"/>
  <c r="AD328" i="25"/>
  <c r="AY328" i="25" s="1"/>
  <c r="AP328" i="25"/>
  <c r="BK328" i="25" s="1"/>
  <c r="AE328" i="25"/>
  <c r="AZ328" i="25" s="1"/>
  <c r="AQ328" i="25"/>
  <c r="BL328" i="25" s="1"/>
  <c r="AF328" i="25"/>
  <c r="BA328" i="25" s="1"/>
  <c r="AR328" i="25"/>
  <c r="BM328" i="25" s="1"/>
  <c r="AG328" i="25"/>
  <c r="BB328" i="25" s="1"/>
  <c r="AH328" i="25"/>
  <c r="BC328" i="25" s="1"/>
  <c r="AI328" i="25"/>
  <c r="BD328" i="25" s="1"/>
  <c r="AJ328" i="25"/>
  <c r="BE328" i="25" s="1"/>
  <c r="Y328" i="25"/>
  <c r="AT328" i="25" s="1"/>
  <c r="AK328" i="25"/>
  <c r="BF328" i="25" s="1"/>
  <c r="AA127" i="25"/>
  <c r="AV127" i="25" s="1"/>
  <c r="AM127" i="25"/>
  <c r="BH127" i="25" s="1"/>
  <c r="AB127" i="25"/>
  <c r="AW127" i="25" s="1"/>
  <c r="AN127" i="25"/>
  <c r="BI127" i="25" s="1"/>
  <c r="AC127" i="25"/>
  <c r="AX127" i="25" s="1"/>
  <c r="AO127" i="25"/>
  <c r="BJ127" i="25" s="1"/>
  <c r="AD127" i="25"/>
  <c r="AY127" i="25" s="1"/>
  <c r="AP127" i="25"/>
  <c r="BK127" i="25" s="1"/>
  <c r="AE127" i="25"/>
  <c r="AZ127" i="25" s="1"/>
  <c r="AQ127" i="25"/>
  <c r="BL127" i="25" s="1"/>
  <c r="AF127" i="25"/>
  <c r="BA127" i="25" s="1"/>
  <c r="AR127" i="25"/>
  <c r="BM127" i="25" s="1"/>
  <c r="AG127" i="25"/>
  <c r="BB127" i="25" s="1"/>
  <c r="AH127" i="25"/>
  <c r="BC127" i="25" s="1"/>
  <c r="AI127" i="25"/>
  <c r="BD127" i="25" s="1"/>
  <c r="AJ127" i="25"/>
  <c r="BE127" i="25" s="1"/>
  <c r="Y127" i="25"/>
  <c r="AT127" i="25" s="1"/>
  <c r="AK127" i="25"/>
  <c r="BF127" i="25" s="1"/>
  <c r="Z127" i="25"/>
  <c r="AL127" i="25"/>
  <c r="BG127" i="25" s="1"/>
  <c r="AE197" i="25"/>
  <c r="AZ197" i="25" s="1"/>
  <c r="AQ197" i="25"/>
  <c r="BL197" i="25" s="1"/>
  <c r="AF197" i="25"/>
  <c r="BA197" i="25" s="1"/>
  <c r="AR197" i="25"/>
  <c r="BM197" i="25" s="1"/>
  <c r="AG197" i="25"/>
  <c r="BB197" i="25" s="1"/>
  <c r="AH197" i="25"/>
  <c r="BC197" i="25" s="1"/>
  <c r="AI197" i="25"/>
  <c r="BD197" i="25" s="1"/>
  <c r="AJ197" i="25"/>
  <c r="BE197" i="25" s="1"/>
  <c r="Y197" i="25"/>
  <c r="AT197" i="25" s="1"/>
  <c r="AK197" i="25"/>
  <c r="BF197" i="25" s="1"/>
  <c r="Z197" i="25"/>
  <c r="AL197" i="25"/>
  <c r="BG197" i="25" s="1"/>
  <c r="AA197" i="25"/>
  <c r="AV197" i="25" s="1"/>
  <c r="AM197" i="25"/>
  <c r="BH197" i="25" s="1"/>
  <c r="AB197" i="25"/>
  <c r="AW197" i="25" s="1"/>
  <c r="AN197" i="25"/>
  <c r="BI197" i="25" s="1"/>
  <c r="AC197" i="25"/>
  <c r="AX197" i="25" s="1"/>
  <c r="AO197" i="25"/>
  <c r="BJ197" i="25" s="1"/>
  <c r="AD197" i="25"/>
  <c r="AY197" i="25" s="1"/>
  <c r="AP197" i="25"/>
  <c r="BK197" i="25" s="1"/>
  <c r="AD269" i="25"/>
  <c r="AY269" i="25" s="1"/>
  <c r="AP269" i="25"/>
  <c r="BK269" i="25" s="1"/>
  <c r="AE269" i="25"/>
  <c r="AZ269" i="25" s="1"/>
  <c r="AQ269" i="25"/>
  <c r="BL269" i="25" s="1"/>
  <c r="AF269" i="25"/>
  <c r="BA269" i="25" s="1"/>
  <c r="AR269" i="25"/>
  <c r="BM269" i="25" s="1"/>
  <c r="AG269" i="25"/>
  <c r="BB269" i="25" s="1"/>
  <c r="AH269" i="25"/>
  <c r="BC269" i="25" s="1"/>
  <c r="AI269" i="25"/>
  <c r="BD269" i="25" s="1"/>
  <c r="AJ269" i="25"/>
  <c r="BE269" i="25" s="1"/>
  <c r="Y269" i="25"/>
  <c r="AT269" i="25" s="1"/>
  <c r="AK269" i="25"/>
  <c r="BF269" i="25" s="1"/>
  <c r="Z269" i="25"/>
  <c r="AL269" i="25"/>
  <c r="BG269" i="25" s="1"/>
  <c r="AA269" i="25"/>
  <c r="AV269" i="25" s="1"/>
  <c r="AM269" i="25"/>
  <c r="BH269" i="25" s="1"/>
  <c r="AB269" i="25"/>
  <c r="AW269" i="25" s="1"/>
  <c r="AN269" i="25"/>
  <c r="BI269" i="25" s="1"/>
  <c r="AC269" i="25"/>
  <c r="AX269" i="25" s="1"/>
  <c r="AO269" i="25"/>
  <c r="BJ269" i="25" s="1"/>
  <c r="AD341" i="25"/>
  <c r="AY341" i="25" s="1"/>
  <c r="AP341" i="25"/>
  <c r="BK341" i="25" s="1"/>
  <c r="AE341" i="25"/>
  <c r="AZ341" i="25" s="1"/>
  <c r="AQ341" i="25"/>
  <c r="BL341" i="25" s="1"/>
  <c r="AF341" i="25"/>
  <c r="BA341" i="25" s="1"/>
  <c r="AR341" i="25"/>
  <c r="BM341" i="25" s="1"/>
  <c r="AG341" i="25"/>
  <c r="BB341" i="25" s="1"/>
  <c r="AH341" i="25"/>
  <c r="BC341" i="25" s="1"/>
  <c r="AI341" i="25"/>
  <c r="BD341" i="25" s="1"/>
  <c r="AJ341" i="25"/>
  <c r="BE341" i="25" s="1"/>
  <c r="Y341" i="25"/>
  <c r="AT341" i="25" s="1"/>
  <c r="AK341" i="25"/>
  <c r="BF341" i="25" s="1"/>
  <c r="Z341" i="25"/>
  <c r="AL341" i="25"/>
  <c r="BG341" i="25" s="1"/>
  <c r="AA341" i="25"/>
  <c r="AV341" i="25" s="1"/>
  <c r="AM341" i="25"/>
  <c r="BH341" i="25" s="1"/>
  <c r="AB341" i="25"/>
  <c r="AW341" i="25" s="1"/>
  <c r="AN341" i="25"/>
  <c r="BI341" i="25" s="1"/>
  <c r="AC341" i="25"/>
  <c r="AX341" i="25" s="1"/>
  <c r="AO341" i="25"/>
  <c r="BJ341" i="25" s="1"/>
  <c r="AE140" i="25"/>
  <c r="AZ140" i="25" s="1"/>
  <c r="AQ140" i="25"/>
  <c r="BL140" i="25" s="1"/>
  <c r="AF140" i="25"/>
  <c r="BA140" i="25" s="1"/>
  <c r="AR140" i="25"/>
  <c r="BM140" i="25" s="1"/>
  <c r="AG140" i="25"/>
  <c r="BB140" i="25" s="1"/>
  <c r="AH140" i="25"/>
  <c r="BC140" i="25" s="1"/>
  <c r="AI140" i="25"/>
  <c r="BD140" i="25" s="1"/>
  <c r="AJ140" i="25"/>
  <c r="BE140" i="25" s="1"/>
  <c r="Y140" i="25"/>
  <c r="AT140" i="25" s="1"/>
  <c r="AK140" i="25"/>
  <c r="BF140" i="25" s="1"/>
  <c r="Z140" i="25"/>
  <c r="AL140" i="25"/>
  <c r="BG140" i="25" s="1"/>
  <c r="AA140" i="25"/>
  <c r="AV140" i="25" s="1"/>
  <c r="AM140" i="25"/>
  <c r="BH140" i="25" s="1"/>
  <c r="AB140" i="25"/>
  <c r="AW140" i="25" s="1"/>
  <c r="AN140" i="25"/>
  <c r="BI140" i="25" s="1"/>
  <c r="AC140" i="25"/>
  <c r="AX140" i="25" s="1"/>
  <c r="AO140" i="25"/>
  <c r="BJ140" i="25" s="1"/>
  <c r="AD140" i="25"/>
  <c r="AY140" i="25" s="1"/>
  <c r="AP140" i="25"/>
  <c r="BK140" i="25" s="1"/>
  <c r="AI216" i="25"/>
  <c r="BD216" i="25" s="1"/>
  <c r="AJ216" i="25"/>
  <c r="BE216" i="25" s="1"/>
  <c r="Y216" i="25"/>
  <c r="AT216" i="25" s="1"/>
  <c r="AK216" i="25"/>
  <c r="BF216" i="25" s="1"/>
  <c r="Z216" i="25"/>
  <c r="AL216" i="25"/>
  <c r="BG216" i="25" s="1"/>
  <c r="AA216" i="25"/>
  <c r="AV216" i="25" s="1"/>
  <c r="AM216" i="25"/>
  <c r="BH216" i="25" s="1"/>
  <c r="AB216" i="25"/>
  <c r="AW216" i="25" s="1"/>
  <c r="AN216" i="25"/>
  <c r="BI216" i="25" s="1"/>
  <c r="AC216" i="25"/>
  <c r="AX216" i="25" s="1"/>
  <c r="AO216" i="25"/>
  <c r="BJ216" i="25" s="1"/>
  <c r="AD216" i="25"/>
  <c r="AY216" i="25" s="1"/>
  <c r="AP216" i="25"/>
  <c r="BK216" i="25" s="1"/>
  <c r="AE216" i="25"/>
  <c r="AZ216" i="25" s="1"/>
  <c r="AQ216" i="25"/>
  <c r="BL216" i="25" s="1"/>
  <c r="AF216" i="25"/>
  <c r="BA216" i="25" s="1"/>
  <c r="AR216" i="25"/>
  <c r="BM216" i="25" s="1"/>
  <c r="AG216" i="25"/>
  <c r="BB216" i="25" s="1"/>
  <c r="AH216" i="25"/>
  <c r="BC216" i="25" s="1"/>
  <c r="AH288" i="25"/>
  <c r="BC288" i="25" s="1"/>
  <c r="AI288" i="25"/>
  <c r="BD288" i="25" s="1"/>
  <c r="AJ288" i="25"/>
  <c r="BE288" i="25" s="1"/>
  <c r="Y288" i="25"/>
  <c r="AT288" i="25" s="1"/>
  <c r="AK288" i="25"/>
  <c r="BF288" i="25" s="1"/>
  <c r="Z288" i="25"/>
  <c r="AL288" i="25"/>
  <c r="BG288" i="25" s="1"/>
  <c r="AA288" i="25"/>
  <c r="AV288" i="25" s="1"/>
  <c r="AM288" i="25"/>
  <c r="BH288" i="25" s="1"/>
  <c r="AB288" i="25"/>
  <c r="AW288" i="25" s="1"/>
  <c r="AN288" i="25"/>
  <c r="BI288" i="25" s="1"/>
  <c r="AC288" i="25"/>
  <c r="AX288" i="25" s="1"/>
  <c r="AO288" i="25"/>
  <c r="BJ288" i="25" s="1"/>
  <c r="AD288" i="25"/>
  <c r="AY288" i="25" s="1"/>
  <c r="AP288" i="25"/>
  <c r="BK288" i="25" s="1"/>
  <c r="AE288" i="25"/>
  <c r="AZ288" i="25" s="1"/>
  <c r="AQ288" i="25"/>
  <c r="BL288" i="25" s="1"/>
  <c r="AF288" i="25"/>
  <c r="BA288" i="25" s="1"/>
  <c r="AR288" i="25"/>
  <c r="BM288" i="25" s="1"/>
  <c r="AG288" i="25"/>
  <c r="BB288" i="25" s="1"/>
  <c r="AH360" i="25"/>
  <c r="BC360" i="25" s="1"/>
  <c r="AI360" i="25"/>
  <c r="BD360" i="25" s="1"/>
  <c r="AJ360" i="25"/>
  <c r="BE360" i="25" s="1"/>
  <c r="Y360" i="25"/>
  <c r="AT360" i="25" s="1"/>
  <c r="AK360" i="25"/>
  <c r="BF360" i="25" s="1"/>
  <c r="Z360" i="25"/>
  <c r="AL360" i="25"/>
  <c r="BG360" i="25" s="1"/>
  <c r="AA360" i="25"/>
  <c r="AV360" i="25" s="1"/>
  <c r="AM360" i="25"/>
  <c r="BH360" i="25" s="1"/>
  <c r="AB360" i="25"/>
  <c r="AW360" i="25" s="1"/>
  <c r="AN360" i="25"/>
  <c r="BI360" i="25" s="1"/>
  <c r="AC360" i="25"/>
  <c r="AX360" i="25" s="1"/>
  <c r="AO360" i="25"/>
  <c r="BJ360" i="25" s="1"/>
  <c r="AD360" i="25"/>
  <c r="AY360" i="25" s="1"/>
  <c r="AP360" i="25"/>
  <c r="BK360" i="25" s="1"/>
  <c r="AE360" i="25"/>
  <c r="AZ360" i="25" s="1"/>
  <c r="AQ360" i="25"/>
  <c r="BL360" i="25" s="1"/>
  <c r="AF360" i="25"/>
  <c r="BA360" i="25" s="1"/>
  <c r="AR360" i="25"/>
  <c r="BM360" i="25" s="1"/>
  <c r="AG360" i="25"/>
  <c r="BB360" i="25" s="1"/>
  <c r="AA163" i="25"/>
  <c r="AV163" i="25" s="1"/>
  <c r="AM163" i="25"/>
  <c r="BH163" i="25" s="1"/>
  <c r="AB163" i="25"/>
  <c r="AW163" i="25" s="1"/>
  <c r="AN163" i="25"/>
  <c r="BI163" i="25" s="1"/>
  <c r="AC163" i="25"/>
  <c r="AX163" i="25" s="1"/>
  <c r="AO163" i="25"/>
  <c r="BJ163" i="25" s="1"/>
  <c r="AD163" i="25"/>
  <c r="AY163" i="25" s="1"/>
  <c r="AP163" i="25"/>
  <c r="BK163" i="25" s="1"/>
  <c r="AE163" i="25"/>
  <c r="AZ163" i="25" s="1"/>
  <c r="AQ163" i="25"/>
  <c r="BL163" i="25" s="1"/>
  <c r="AF163" i="25"/>
  <c r="BA163" i="25" s="1"/>
  <c r="AR163" i="25"/>
  <c r="BM163" i="25" s="1"/>
  <c r="AG163" i="25"/>
  <c r="BB163" i="25" s="1"/>
  <c r="AH163" i="25"/>
  <c r="BC163" i="25" s="1"/>
  <c r="AI163" i="25"/>
  <c r="BD163" i="25" s="1"/>
  <c r="AJ163" i="25"/>
  <c r="BE163" i="25" s="1"/>
  <c r="Y163" i="25"/>
  <c r="AT163" i="25" s="1"/>
  <c r="AK163" i="25"/>
  <c r="BF163" i="25" s="1"/>
  <c r="Z163" i="25"/>
  <c r="AL163" i="25"/>
  <c r="BG163" i="25" s="1"/>
  <c r="AA235" i="25"/>
  <c r="AV235" i="25" s="1"/>
  <c r="AM235" i="25"/>
  <c r="BH235" i="25" s="1"/>
  <c r="AB235" i="25"/>
  <c r="AW235" i="25" s="1"/>
  <c r="AN235" i="25"/>
  <c r="BI235" i="25" s="1"/>
  <c r="AC235" i="25"/>
  <c r="AX235" i="25" s="1"/>
  <c r="AO235" i="25"/>
  <c r="BJ235" i="25" s="1"/>
  <c r="AD235" i="25"/>
  <c r="AY235" i="25" s="1"/>
  <c r="AP235" i="25"/>
  <c r="BK235" i="25" s="1"/>
  <c r="AE235" i="25"/>
  <c r="AZ235" i="25" s="1"/>
  <c r="AF235" i="25"/>
  <c r="BA235" i="25" s="1"/>
  <c r="AG235" i="25"/>
  <c r="BB235" i="25" s="1"/>
  <c r="AH235" i="25"/>
  <c r="BC235" i="25" s="1"/>
  <c r="AI235" i="25"/>
  <c r="BD235" i="25" s="1"/>
  <c r="AJ235" i="25"/>
  <c r="BE235" i="25" s="1"/>
  <c r="Y235" i="25"/>
  <c r="AT235" i="25" s="1"/>
  <c r="AK235" i="25"/>
  <c r="BF235" i="25" s="1"/>
  <c r="AQ235" i="25"/>
  <c r="BL235" i="25" s="1"/>
  <c r="AR235" i="25"/>
  <c r="BM235" i="25" s="1"/>
  <c r="Z235" i="25"/>
  <c r="AL235" i="25"/>
  <c r="BG235" i="25" s="1"/>
  <c r="Z307" i="25"/>
  <c r="AL307" i="25"/>
  <c r="BG307" i="25" s="1"/>
  <c r="AA307" i="25"/>
  <c r="AV307" i="25" s="1"/>
  <c r="AM307" i="25"/>
  <c r="BH307" i="25" s="1"/>
  <c r="AB307" i="25"/>
  <c r="AW307" i="25" s="1"/>
  <c r="AN307" i="25"/>
  <c r="BI307" i="25" s="1"/>
  <c r="AC307" i="25"/>
  <c r="AX307" i="25" s="1"/>
  <c r="AO307" i="25"/>
  <c r="BJ307" i="25" s="1"/>
  <c r="AD307" i="25"/>
  <c r="AY307" i="25" s="1"/>
  <c r="AP307" i="25"/>
  <c r="BK307" i="25" s="1"/>
  <c r="AE307" i="25"/>
  <c r="AZ307" i="25" s="1"/>
  <c r="AQ307" i="25"/>
  <c r="BL307" i="25" s="1"/>
  <c r="AF307" i="25"/>
  <c r="BA307" i="25" s="1"/>
  <c r="AR307" i="25"/>
  <c r="BM307" i="25" s="1"/>
  <c r="AG307" i="25"/>
  <c r="BB307" i="25" s="1"/>
  <c r="AH307" i="25"/>
  <c r="BC307" i="25" s="1"/>
  <c r="AI307" i="25"/>
  <c r="BD307" i="25" s="1"/>
  <c r="AJ307" i="25"/>
  <c r="BE307" i="25" s="1"/>
  <c r="Y307" i="25"/>
  <c r="AT307" i="25" s="1"/>
  <c r="AK307" i="25"/>
  <c r="BF307" i="25" s="1"/>
  <c r="Z379" i="25"/>
  <c r="AL379" i="25"/>
  <c r="BG379" i="25" s="1"/>
  <c r="AA379" i="25"/>
  <c r="AV379" i="25" s="1"/>
  <c r="AM379" i="25"/>
  <c r="BH379" i="25" s="1"/>
  <c r="AB379" i="25"/>
  <c r="AW379" i="25" s="1"/>
  <c r="AN379" i="25"/>
  <c r="BI379" i="25" s="1"/>
  <c r="AC379" i="25"/>
  <c r="AX379" i="25" s="1"/>
  <c r="AO379" i="25"/>
  <c r="BJ379" i="25" s="1"/>
  <c r="AD379" i="25"/>
  <c r="AY379" i="25" s="1"/>
  <c r="AP379" i="25"/>
  <c r="BK379" i="25" s="1"/>
  <c r="AE379" i="25"/>
  <c r="AZ379" i="25" s="1"/>
  <c r="AQ379" i="25"/>
  <c r="BL379" i="25" s="1"/>
  <c r="AF379" i="25"/>
  <c r="BA379" i="25" s="1"/>
  <c r="AR379" i="25"/>
  <c r="BM379" i="25" s="1"/>
  <c r="AG379" i="25"/>
  <c r="BB379" i="25" s="1"/>
  <c r="AH379" i="25"/>
  <c r="BC379" i="25" s="1"/>
  <c r="AI379" i="25"/>
  <c r="BD379" i="25" s="1"/>
  <c r="AJ379" i="25"/>
  <c r="BE379" i="25" s="1"/>
  <c r="Y379" i="25"/>
  <c r="AT379" i="25" s="1"/>
  <c r="AK379" i="25"/>
  <c r="BF379" i="25" s="1"/>
  <c r="AE176" i="25"/>
  <c r="AZ176" i="25" s="1"/>
  <c r="AQ176" i="25"/>
  <c r="BL176" i="25" s="1"/>
  <c r="AF176" i="25"/>
  <c r="BA176" i="25" s="1"/>
  <c r="AR176" i="25"/>
  <c r="BM176" i="25" s="1"/>
  <c r="AG176" i="25"/>
  <c r="BB176" i="25" s="1"/>
  <c r="AH176" i="25"/>
  <c r="BC176" i="25" s="1"/>
  <c r="AI176" i="25"/>
  <c r="BD176" i="25" s="1"/>
  <c r="AJ176" i="25"/>
  <c r="BE176" i="25" s="1"/>
  <c r="Y176" i="25"/>
  <c r="AT176" i="25" s="1"/>
  <c r="AK176" i="25"/>
  <c r="BF176" i="25" s="1"/>
  <c r="Z176" i="25"/>
  <c r="AL176" i="25"/>
  <c r="BG176" i="25" s="1"/>
  <c r="AA176" i="25"/>
  <c r="AV176" i="25" s="1"/>
  <c r="AM176" i="25"/>
  <c r="BH176" i="25" s="1"/>
  <c r="AB176" i="25"/>
  <c r="AW176" i="25" s="1"/>
  <c r="AN176" i="25"/>
  <c r="BI176" i="25" s="1"/>
  <c r="AC176" i="25"/>
  <c r="AX176" i="25" s="1"/>
  <c r="AO176" i="25"/>
  <c r="BJ176" i="25" s="1"/>
  <c r="AD176" i="25"/>
  <c r="AY176" i="25" s="1"/>
  <c r="AP176" i="25"/>
  <c r="BK176" i="25" s="1"/>
  <c r="AD248" i="25"/>
  <c r="AY248" i="25" s="1"/>
  <c r="AP248" i="25"/>
  <c r="BK248" i="25" s="1"/>
  <c r="AE248" i="25"/>
  <c r="AZ248" i="25" s="1"/>
  <c r="AQ248" i="25"/>
  <c r="BL248" i="25" s="1"/>
  <c r="AF248" i="25"/>
  <c r="BA248" i="25" s="1"/>
  <c r="AR248" i="25"/>
  <c r="BM248" i="25" s="1"/>
  <c r="AG248" i="25"/>
  <c r="BB248" i="25" s="1"/>
  <c r="AH248" i="25"/>
  <c r="BC248" i="25" s="1"/>
  <c r="AI248" i="25"/>
  <c r="BD248" i="25" s="1"/>
  <c r="AJ248" i="25"/>
  <c r="BE248" i="25" s="1"/>
  <c r="Y248" i="25"/>
  <c r="AT248" i="25" s="1"/>
  <c r="AK248" i="25"/>
  <c r="BF248" i="25" s="1"/>
  <c r="Z248" i="25"/>
  <c r="AL248" i="25"/>
  <c r="BG248" i="25" s="1"/>
  <c r="AA248" i="25"/>
  <c r="AV248" i="25" s="1"/>
  <c r="AM248" i="25"/>
  <c r="BH248" i="25" s="1"/>
  <c r="AB248" i="25"/>
  <c r="AW248" i="25" s="1"/>
  <c r="AN248" i="25"/>
  <c r="BI248" i="25" s="1"/>
  <c r="AC248" i="25"/>
  <c r="AX248" i="25" s="1"/>
  <c r="AO248" i="25"/>
  <c r="BJ248" i="25" s="1"/>
  <c r="AD320" i="25"/>
  <c r="AY320" i="25" s="1"/>
  <c r="AP320" i="25"/>
  <c r="BK320" i="25" s="1"/>
  <c r="AE320" i="25"/>
  <c r="AZ320" i="25" s="1"/>
  <c r="AQ320" i="25"/>
  <c r="BL320" i="25" s="1"/>
  <c r="AF320" i="25"/>
  <c r="BA320" i="25" s="1"/>
  <c r="AR320" i="25"/>
  <c r="BM320" i="25" s="1"/>
  <c r="AG320" i="25"/>
  <c r="BB320" i="25" s="1"/>
  <c r="AH320" i="25"/>
  <c r="BC320" i="25" s="1"/>
  <c r="AI320" i="25"/>
  <c r="BD320" i="25" s="1"/>
  <c r="AJ320" i="25"/>
  <c r="BE320" i="25" s="1"/>
  <c r="Y320" i="25"/>
  <c r="AT320" i="25" s="1"/>
  <c r="AK320" i="25"/>
  <c r="BF320" i="25" s="1"/>
  <c r="Z320" i="25"/>
  <c r="AL320" i="25"/>
  <c r="BG320" i="25" s="1"/>
  <c r="AA320" i="25"/>
  <c r="AV320" i="25" s="1"/>
  <c r="AM320" i="25"/>
  <c r="BH320" i="25" s="1"/>
  <c r="AB320" i="25"/>
  <c r="AW320" i="25" s="1"/>
  <c r="AN320" i="25"/>
  <c r="BI320" i="25" s="1"/>
  <c r="AC320" i="25"/>
  <c r="AX320" i="25" s="1"/>
  <c r="AO320" i="25"/>
  <c r="BJ320" i="25" s="1"/>
  <c r="AI183" i="25"/>
  <c r="BD183" i="25" s="1"/>
  <c r="AJ183" i="25"/>
  <c r="BE183" i="25" s="1"/>
  <c r="Y183" i="25"/>
  <c r="AT183" i="25" s="1"/>
  <c r="AK183" i="25"/>
  <c r="BF183" i="25" s="1"/>
  <c r="Z183" i="25"/>
  <c r="AL183" i="25"/>
  <c r="BG183" i="25" s="1"/>
  <c r="AA183" i="25"/>
  <c r="AV183" i="25" s="1"/>
  <c r="AM183" i="25"/>
  <c r="BH183" i="25" s="1"/>
  <c r="AB183" i="25"/>
  <c r="AW183" i="25" s="1"/>
  <c r="AN183" i="25"/>
  <c r="BI183" i="25" s="1"/>
  <c r="AC183" i="25"/>
  <c r="AX183" i="25" s="1"/>
  <c r="AO183" i="25"/>
  <c r="BJ183" i="25" s="1"/>
  <c r="AD183" i="25"/>
  <c r="AY183" i="25" s="1"/>
  <c r="AP183" i="25"/>
  <c r="BK183" i="25" s="1"/>
  <c r="AE183" i="25"/>
  <c r="AZ183" i="25" s="1"/>
  <c r="AQ183" i="25"/>
  <c r="BL183" i="25" s="1"/>
  <c r="AF183" i="25"/>
  <c r="BA183" i="25" s="1"/>
  <c r="AR183" i="25"/>
  <c r="BM183" i="25" s="1"/>
  <c r="AG183" i="25"/>
  <c r="BB183" i="25" s="1"/>
  <c r="AH183" i="25"/>
  <c r="BC183" i="25" s="1"/>
  <c r="AI201" i="25"/>
  <c r="BD201" i="25" s="1"/>
  <c r="AJ201" i="25"/>
  <c r="BE201" i="25" s="1"/>
  <c r="Y201" i="25"/>
  <c r="AT201" i="25" s="1"/>
  <c r="AK201" i="25"/>
  <c r="BF201" i="25" s="1"/>
  <c r="Z201" i="25"/>
  <c r="AL201" i="25"/>
  <c r="BG201" i="25" s="1"/>
  <c r="AA201" i="25"/>
  <c r="AV201" i="25" s="1"/>
  <c r="AM201" i="25"/>
  <c r="BH201" i="25" s="1"/>
  <c r="AB201" i="25"/>
  <c r="AW201" i="25" s="1"/>
  <c r="AN201" i="25"/>
  <c r="BI201" i="25" s="1"/>
  <c r="AC201" i="25"/>
  <c r="AX201" i="25" s="1"/>
  <c r="AO201" i="25"/>
  <c r="BJ201" i="25" s="1"/>
  <c r="AD201" i="25"/>
  <c r="AY201" i="25" s="1"/>
  <c r="AP201" i="25"/>
  <c r="BK201" i="25" s="1"/>
  <c r="AE201" i="25"/>
  <c r="AZ201" i="25" s="1"/>
  <c r="AQ201" i="25"/>
  <c r="BL201" i="25" s="1"/>
  <c r="AF201" i="25"/>
  <c r="BA201" i="25" s="1"/>
  <c r="AR201" i="25"/>
  <c r="BM201" i="25" s="1"/>
  <c r="AG201" i="25"/>
  <c r="BB201" i="25" s="1"/>
  <c r="AH201" i="25"/>
  <c r="BC201" i="25" s="1"/>
  <c r="AH273" i="25"/>
  <c r="BC273" i="25" s="1"/>
  <c r="AI273" i="25"/>
  <c r="BD273" i="25" s="1"/>
  <c r="AJ273" i="25"/>
  <c r="BE273" i="25" s="1"/>
  <c r="Y273" i="25"/>
  <c r="AT273" i="25" s="1"/>
  <c r="AK273" i="25"/>
  <c r="BF273" i="25" s="1"/>
  <c r="Z273" i="25"/>
  <c r="AL273" i="25"/>
  <c r="BG273" i="25" s="1"/>
  <c r="AA273" i="25"/>
  <c r="AV273" i="25" s="1"/>
  <c r="AM273" i="25"/>
  <c r="BH273" i="25" s="1"/>
  <c r="AB273" i="25"/>
  <c r="AW273" i="25" s="1"/>
  <c r="AN273" i="25"/>
  <c r="BI273" i="25" s="1"/>
  <c r="AC273" i="25"/>
  <c r="AX273" i="25" s="1"/>
  <c r="AO273" i="25"/>
  <c r="BJ273" i="25" s="1"/>
  <c r="AD273" i="25"/>
  <c r="AY273" i="25" s="1"/>
  <c r="AP273" i="25"/>
  <c r="BK273" i="25" s="1"/>
  <c r="AE273" i="25"/>
  <c r="AZ273" i="25" s="1"/>
  <c r="AQ273" i="25"/>
  <c r="BL273" i="25" s="1"/>
  <c r="AF273" i="25"/>
  <c r="BA273" i="25" s="1"/>
  <c r="AR273" i="25"/>
  <c r="BM273" i="25" s="1"/>
  <c r="AG273" i="25"/>
  <c r="BB273" i="25" s="1"/>
  <c r="AH345" i="25"/>
  <c r="BC345" i="25" s="1"/>
  <c r="AI345" i="25"/>
  <c r="BD345" i="25" s="1"/>
  <c r="AJ345" i="25"/>
  <c r="BE345" i="25" s="1"/>
  <c r="Y345" i="25"/>
  <c r="AT345" i="25" s="1"/>
  <c r="AK345" i="25"/>
  <c r="BF345" i="25" s="1"/>
  <c r="Z345" i="25"/>
  <c r="AL345" i="25"/>
  <c r="BG345" i="25" s="1"/>
  <c r="AA345" i="25"/>
  <c r="AV345" i="25" s="1"/>
  <c r="AM345" i="25"/>
  <c r="BH345" i="25" s="1"/>
  <c r="AB345" i="25"/>
  <c r="AW345" i="25" s="1"/>
  <c r="AN345" i="25"/>
  <c r="BI345" i="25" s="1"/>
  <c r="AC345" i="25"/>
  <c r="AX345" i="25" s="1"/>
  <c r="AO345" i="25"/>
  <c r="BJ345" i="25" s="1"/>
  <c r="AD345" i="25"/>
  <c r="AY345" i="25" s="1"/>
  <c r="AP345" i="25"/>
  <c r="BK345" i="25" s="1"/>
  <c r="AE345" i="25"/>
  <c r="AZ345" i="25" s="1"/>
  <c r="AQ345" i="25"/>
  <c r="BL345" i="25" s="1"/>
  <c r="AF345" i="25"/>
  <c r="BA345" i="25" s="1"/>
  <c r="AR345" i="25"/>
  <c r="BM345" i="25" s="1"/>
  <c r="AG345" i="25"/>
  <c r="BB345" i="25" s="1"/>
  <c r="AC161" i="26"/>
  <c r="AX161" i="26" s="1"/>
  <c r="AO161" i="26"/>
  <c r="BJ161" i="26" s="1"/>
  <c r="AD161" i="26"/>
  <c r="AY161" i="26" s="1"/>
  <c r="AP161" i="26"/>
  <c r="BK161" i="26" s="1"/>
  <c r="AE161" i="26"/>
  <c r="AZ161" i="26" s="1"/>
  <c r="AQ161" i="26"/>
  <c r="BL161" i="26" s="1"/>
  <c r="AF161" i="26"/>
  <c r="BA161" i="26" s="1"/>
  <c r="AR161" i="26"/>
  <c r="BM161" i="26" s="1"/>
  <c r="AG161" i="26"/>
  <c r="BB161" i="26" s="1"/>
  <c r="AH161" i="26"/>
  <c r="BC161" i="26" s="1"/>
  <c r="AI161" i="26"/>
  <c r="BD161" i="26" s="1"/>
  <c r="AJ161" i="26"/>
  <c r="BE161" i="26" s="1"/>
  <c r="Y161" i="26"/>
  <c r="AT161" i="26" s="1"/>
  <c r="AK161" i="26"/>
  <c r="BF161" i="26" s="1"/>
  <c r="Z161" i="26"/>
  <c r="AL161" i="26"/>
  <c r="BG161" i="26" s="1"/>
  <c r="AA161" i="26"/>
  <c r="AV161" i="26" s="1"/>
  <c r="AM161" i="26"/>
  <c r="BH161" i="26" s="1"/>
  <c r="AB161" i="26"/>
  <c r="AW161" i="26" s="1"/>
  <c r="AN161" i="26"/>
  <c r="BI161" i="26" s="1"/>
  <c r="AC233" i="26"/>
  <c r="AX233" i="26" s="1"/>
  <c r="AO233" i="26"/>
  <c r="BJ233" i="26" s="1"/>
  <c r="AD233" i="26"/>
  <c r="AY233" i="26" s="1"/>
  <c r="AP233" i="26"/>
  <c r="BK233" i="26" s="1"/>
  <c r="AE233" i="26"/>
  <c r="AZ233" i="26" s="1"/>
  <c r="AQ233" i="26"/>
  <c r="BL233" i="26" s="1"/>
  <c r="AF233" i="26"/>
  <c r="BA233" i="26" s="1"/>
  <c r="AR233" i="26"/>
  <c r="BM233" i="26" s="1"/>
  <c r="AG233" i="26"/>
  <c r="BB233" i="26" s="1"/>
  <c r="AH233" i="26"/>
  <c r="BC233" i="26" s="1"/>
  <c r="AI233" i="26"/>
  <c r="BD233" i="26" s="1"/>
  <c r="AJ233" i="26"/>
  <c r="BE233" i="26" s="1"/>
  <c r="Y233" i="26"/>
  <c r="AT233" i="26" s="1"/>
  <c r="AK233" i="26"/>
  <c r="BF233" i="26" s="1"/>
  <c r="Z233" i="26"/>
  <c r="AL233" i="26"/>
  <c r="BG233" i="26" s="1"/>
  <c r="AA233" i="26"/>
  <c r="AV233" i="26" s="1"/>
  <c r="AM233" i="26"/>
  <c r="BH233" i="26" s="1"/>
  <c r="AB233" i="26"/>
  <c r="AW233" i="26" s="1"/>
  <c r="AN233" i="26"/>
  <c r="BI233" i="26" s="1"/>
  <c r="AC305" i="26"/>
  <c r="AX305" i="26" s="1"/>
  <c r="AO305" i="26"/>
  <c r="BJ305" i="26" s="1"/>
  <c r="AD305" i="26"/>
  <c r="AY305" i="26" s="1"/>
  <c r="AP305" i="26"/>
  <c r="BK305" i="26" s="1"/>
  <c r="AE305" i="26"/>
  <c r="AZ305" i="26" s="1"/>
  <c r="AQ305" i="26"/>
  <c r="BL305" i="26" s="1"/>
  <c r="AF305" i="26"/>
  <c r="BA305" i="26" s="1"/>
  <c r="AR305" i="26"/>
  <c r="BM305" i="26" s="1"/>
  <c r="AG305" i="26"/>
  <c r="BB305" i="26" s="1"/>
  <c r="AH305" i="26"/>
  <c r="BC305" i="26" s="1"/>
  <c r="AI305" i="26"/>
  <c r="BD305" i="26" s="1"/>
  <c r="AJ305" i="26"/>
  <c r="BE305" i="26" s="1"/>
  <c r="Y305" i="26"/>
  <c r="AT305" i="26" s="1"/>
  <c r="AK305" i="26"/>
  <c r="BF305" i="26" s="1"/>
  <c r="Z305" i="26"/>
  <c r="AL305" i="26"/>
  <c r="BG305" i="26" s="1"/>
  <c r="AA305" i="26"/>
  <c r="AV305" i="26" s="1"/>
  <c r="AM305" i="26"/>
  <c r="BH305" i="26" s="1"/>
  <c r="AB305" i="26"/>
  <c r="AW305" i="26" s="1"/>
  <c r="AN305" i="26"/>
  <c r="BI305" i="26" s="1"/>
  <c r="AD377" i="26"/>
  <c r="AY377" i="26" s="1"/>
  <c r="AP377" i="26"/>
  <c r="BK377" i="26" s="1"/>
  <c r="AE377" i="26"/>
  <c r="AZ377" i="26" s="1"/>
  <c r="AQ377" i="26"/>
  <c r="BL377" i="26" s="1"/>
  <c r="AF377" i="26"/>
  <c r="BA377" i="26" s="1"/>
  <c r="AR377" i="26"/>
  <c r="BM377" i="26" s="1"/>
  <c r="AG377" i="26"/>
  <c r="BB377" i="26" s="1"/>
  <c r="AH377" i="26"/>
  <c r="BC377" i="26" s="1"/>
  <c r="AI377" i="26"/>
  <c r="BD377" i="26" s="1"/>
  <c r="AJ377" i="26"/>
  <c r="BE377" i="26" s="1"/>
  <c r="Y377" i="26"/>
  <c r="AT377" i="26" s="1"/>
  <c r="AK377" i="26"/>
  <c r="BF377" i="26" s="1"/>
  <c r="Z377" i="26"/>
  <c r="AL377" i="26"/>
  <c r="BG377" i="26" s="1"/>
  <c r="AA377" i="26"/>
  <c r="AV377" i="26" s="1"/>
  <c r="AM377" i="26"/>
  <c r="BH377" i="26" s="1"/>
  <c r="AB377" i="26"/>
  <c r="AW377" i="26" s="1"/>
  <c r="AN377" i="26"/>
  <c r="BI377" i="26" s="1"/>
  <c r="AC377" i="26"/>
  <c r="AX377" i="26" s="1"/>
  <c r="AO377" i="26"/>
  <c r="BJ377" i="26" s="1"/>
  <c r="AG198" i="26"/>
  <c r="BB198" i="26" s="1"/>
  <c r="AH198" i="26"/>
  <c r="BC198" i="26" s="1"/>
  <c r="AI198" i="26"/>
  <c r="BD198" i="26" s="1"/>
  <c r="AJ198" i="26"/>
  <c r="BE198" i="26" s="1"/>
  <c r="Y198" i="26"/>
  <c r="AT198" i="26" s="1"/>
  <c r="AK198" i="26"/>
  <c r="BF198" i="26" s="1"/>
  <c r="Z198" i="26"/>
  <c r="AL198" i="26"/>
  <c r="BG198" i="26" s="1"/>
  <c r="AA198" i="26"/>
  <c r="AV198" i="26" s="1"/>
  <c r="AM198" i="26"/>
  <c r="BH198" i="26" s="1"/>
  <c r="AB198" i="26"/>
  <c r="AW198" i="26" s="1"/>
  <c r="AN198" i="26"/>
  <c r="BI198" i="26" s="1"/>
  <c r="AC198" i="26"/>
  <c r="AX198" i="26" s="1"/>
  <c r="AO198" i="26"/>
  <c r="BJ198" i="26" s="1"/>
  <c r="AD198" i="26"/>
  <c r="AY198" i="26" s="1"/>
  <c r="AP198" i="26"/>
  <c r="BK198" i="26" s="1"/>
  <c r="AE198" i="26"/>
  <c r="AZ198" i="26" s="1"/>
  <c r="AQ198" i="26"/>
  <c r="BL198" i="26" s="1"/>
  <c r="AF198" i="26"/>
  <c r="BA198" i="26" s="1"/>
  <c r="AR198" i="26"/>
  <c r="BM198" i="26" s="1"/>
  <c r="AG270" i="26"/>
  <c r="BB270" i="26" s="1"/>
  <c r="AH270" i="26"/>
  <c r="BC270" i="26" s="1"/>
  <c r="AI270" i="26"/>
  <c r="BD270" i="26" s="1"/>
  <c r="AJ270" i="26"/>
  <c r="BE270" i="26" s="1"/>
  <c r="Y270" i="26"/>
  <c r="AT270" i="26" s="1"/>
  <c r="AK270" i="26"/>
  <c r="BF270" i="26" s="1"/>
  <c r="Z270" i="26"/>
  <c r="AL270" i="26"/>
  <c r="BG270" i="26" s="1"/>
  <c r="AA270" i="26"/>
  <c r="AV270" i="26" s="1"/>
  <c r="AM270" i="26"/>
  <c r="BH270" i="26" s="1"/>
  <c r="AB270" i="26"/>
  <c r="AW270" i="26" s="1"/>
  <c r="AN270" i="26"/>
  <c r="BI270" i="26" s="1"/>
  <c r="AC270" i="26"/>
  <c r="AX270" i="26" s="1"/>
  <c r="AO270" i="26"/>
  <c r="BJ270" i="26" s="1"/>
  <c r="AD270" i="26"/>
  <c r="AY270" i="26" s="1"/>
  <c r="AP270" i="26"/>
  <c r="BK270" i="26" s="1"/>
  <c r="AE270" i="26"/>
  <c r="AZ270" i="26" s="1"/>
  <c r="AQ270" i="26"/>
  <c r="BL270" i="26" s="1"/>
  <c r="AF270" i="26"/>
  <c r="BA270" i="26" s="1"/>
  <c r="AR270" i="26"/>
  <c r="BM270" i="26" s="1"/>
  <c r="AH342" i="26"/>
  <c r="BC342" i="26" s="1"/>
  <c r="AI342" i="26"/>
  <c r="BD342" i="26" s="1"/>
  <c r="AJ342" i="26"/>
  <c r="BE342" i="26" s="1"/>
  <c r="Y342" i="26"/>
  <c r="AT342" i="26" s="1"/>
  <c r="AK342" i="26"/>
  <c r="BF342" i="26" s="1"/>
  <c r="Z342" i="26"/>
  <c r="AL342" i="26"/>
  <c r="BG342" i="26" s="1"/>
  <c r="AA342" i="26"/>
  <c r="AV342" i="26" s="1"/>
  <c r="AM342" i="26"/>
  <c r="BH342" i="26" s="1"/>
  <c r="AB342" i="26"/>
  <c r="AW342" i="26" s="1"/>
  <c r="AN342" i="26"/>
  <c r="BI342" i="26" s="1"/>
  <c r="AC342" i="26"/>
  <c r="AX342" i="26" s="1"/>
  <c r="AO342" i="26"/>
  <c r="BJ342" i="26" s="1"/>
  <c r="AD342" i="26"/>
  <c r="AY342" i="26" s="1"/>
  <c r="AP342" i="26"/>
  <c r="BK342" i="26" s="1"/>
  <c r="AE342" i="26"/>
  <c r="AZ342" i="26" s="1"/>
  <c r="AQ342" i="26"/>
  <c r="BL342" i="26" s="1"/>
  <c r="AF342" i="26"/>
  <c r="BA342" i="26" s="1"/>
  <c r="AR342" i="26"/>
  <c r="BM342" i="26" s="1"/>
  <c r="AG342" i="26"/>
  <c r="BB342" i="26" s="1"/>
  <c r="Y163" i="26"/>
  <c r="AT163" i="26" s="1"/>
  <c r="AK163" i="26"/>
  <c r="BF163" i="26" s="1"/>
  <c r="Z163" i="26"/>
  <c r="AL163" i="26"/>
  <c r="BG163" i="26" s="1"/>
  <c r="AA163" i="26"/>
  <c r="AV163" i="26" s="1"/>
  <c r="AM163" i="26"/>
  <c r="BH163" i="26" s="1"/>
  <c r="AB163" i="26"/>
  <c r="AW163" i="26" s="1"/>
  <c r="AN163" i="26"/>
  <c r="BI163" i="26" s="1"/>
  <c r="AC163" i="26"/>
  <c r="AX163" i="26" s="1"/>
  <c r="AO163" i="26"/>
  <c r="BJ163" i="26" s="1"/>
  <c r="AD163" i="26"/>
  <c r="AY163" i="26" s="1"/>
  <c r="AP163" i="26"/>
  <c r="BK163" i="26" s="1"/>
  <c r="AE163" i="26"/>
  <c r="AZ163" i="26" s="1"/>
  <c r="AQ163" i="26"/>
  <c r="BL163" i="26" s="1"/>
  <c r="AF163" i="26"/>
  <c r="BA163" i="26" s="1"/>
  <c r="AR163" i="26"/>
  <c r="BM163" i="26" s="1"/>
  <c r="AG163" i="26"/>
  <c r="BB163" i="26" s="1"/>
  <c r="AH163" i="26"/>
  <c r="BC163" i="26" s="1"/>
  <c r="AI163" i="26"/>
  <c r="BD163" i="26" s="1"/>
  <c r="AJ163" i="26"/>
  <c r="BE163" i="26" s="1"/>
  <c r="Y235" i="26"/>
  <c r="AT235" i="26" s="1"/>
  <c r="AK235" i="26"/>
  <c r="BF235" i="26" s="1"/>
  <c r="Z235" i="26"/>
  <c r="AL235" i="26"/>
  <c r="BG235" i="26" s="1"/>
  <c r="AA235" i="26"/>
  <c r="AV235" i="26" s="1"/>
  <c r="AM235" i="26"/>
  <c r="BH235" i="26" s="1"/>
  <c r="AB235" i="26"/>
  <c r="AW235" i="26" s="1"/>
  <c r="AN235" i="26"/>
  <c r="BI235" i="26" s="1"/>
  <c r="AC235" i="26"/>
  <c r="AX235" i="26" s="1"/>
  <c r="AO235" i="26"/>
  <c r="BJ235" i="26" s="1"/>
  <c r="AD235" i="26"/>
  <c r="AY235" i="26" s="1"/>
  <c r="AP235" i="26"/>
  <c r="BK235" i="26" s="1"/>
  <c r="AE235" i="26"/>
  <c r="AZ235" i="26" s="1"/>
  <c r="AQ235" i="26"/>
  <c r="BL235" i="26" s="1"/>
  <c r="AF235" i="26"/>
  <c r="BA235" i="26" s="1"/>
  <c r="AR235" i="26"/>
  <c r="BM235" i="26" s="1"/>
  <c r="AG235" i="26"/>
  <c r="BB235" i="26" s="1"/>
  <c r="AH235" i="26"/>
  <c r="BC235" i="26" s="1"/>
  <c r="AI235" i="26"/>
  <c r="BD235" i="26" s="1"/>
  <c r="AJ235" i="26"/>
  <c r="BE235" i="26" s="1"/>
  <c r="Y307" i="26"/>
  <c r="AT307" i="26" s="1"/>
  <c r="AK307" i="26"/>
  <c r="BF307" i="26" s="1"/>
  <c r="Z307" i="26"/>
  <c r="AL307" i="26"/>
  <c r="BG307" i="26" s="1"/>
  <c r="AA307" i="26"/>
  <c r="AV307" i="26" s="1"/>
  <c r="AM307" i="26"/>
  <c r="BH307" i="26" s="1"/>
  <c r="AB307" i="26"/>
  <c r="AW307" i="26" s="1"/>
  <c r="AN307" i="26"/>
  <c r="BI307" i="26" s="1"/>
  <c r="AC307" i="26"/>
  <c r="AX307" i="26" s="1"/>
  <c r="AO307" i="26"/>
  <c r="BJ307" i="26" s="1"/>
  <c r="AD307" i="26"/>
  <c r="AY307" i="26" s="1"/>
  <c r="AP307" i="26"/>
  <c r="BK307" i="26" s="1"/>
  <c r="AE307" i="26"/>
  <c r="AZ307" i="26" s="1"/>
  <c r="AQ307" i="26"/>
  <c r="BL307" i="26" s="1"/>
  <c r="AF307" i="26"/>
  <c r="BA307" i="26" s="1"/>
  <c r="AR307" i="26"/>
  <c r="BM307" i="26" s="1"/>
  <c r="AG307" i="26"/>
  <c r="BB307" i="26" s="1"/>
  <c r="AH307" i="26"/>
  <c r="BC307" i="26" s="1"/>
  <c r="AI307" i="26"/>
  <c r="BD307" i="26" s="1"/>
  <c r="AJ307" i="26"/>
  <c r="BE307" i="26" s="1"/>
  <c r="Z379" i="26"/>
  <c r="AL379" i="26"/>
  <c r="BG379" i="26" s="1"/>
  <c r="AA379" i="26"/>
  <c r="AV379" i="26" s="1"/>
  <c r="AM379" i="26"/>
  <c r="BH379" i="26" s="1"/>
  <c r="AB379" i="26"/>
  <c r="AW379" i="26" s="1"/>
  <c r="AN379" i="26"/>
  <c r="BI379" i="26" s="1"/>
  <c r="AC379" i="26"/>
  <c r="AX379" i="26" s="1"/>
  <c r="AO379" i="26"/>
  <c r="BJ379" i="26" s="1"/>
  <c r="AD379" i="26"/>
  <c r="AY379" i="26" s="1"/>
  <c r="AP379" i="26"/>
  <c r="BK379" i="26" s="1"/>
  <c r="AE379" i="26"/>
  <c r="AZ379" i="26" s="1"/>
  <c r="AQ379" i="26"/>
  <c r="BL379" i="26" s="1"/>
  <c r="AF379" i="26"/>
  <c r="BA379" i="26" s="1"/>
  <c r="AR379" i="26"/>
  <c r="BM379" i="26" s="1"/>
  <c r="AG379" i="26"/>
  <c r="BB379" i="26" s="1"/>
  <c r="AH379" i="26"/>
  <c r="BC379" i="26" s="1"/>
  <c r="AI379" i="26"/>
  <c r="BD379" i="26" s="1"/>
  <c r="AJ379" i="26"/>
  <c r="BE379" i="26" s="1"/>
  <c r="Y379" i="26"/>
  <c r="AT379" i="26" s="1"/>
  <c r="AK379" i="26"/>
  <c r="BF379" i="26" s="1"/>
  <c r="AC206" i="26"/>
  <c r="AX206" i="26" s="1"/>
  <c r="AO206" i="26"/>
  <c r="BJ206" i="26" s="1"/>
  <c r="AD206" i="26"/>
  <c r="AY206" i="26" s="1"/>
  <c r="AP206" i="26"/>
  <c r="BK206" i="26" s="1"/>
  <c r="AE206" i="26"/>
  <c r="AZ206" i="26" s="1"/>
  <c r="AQ206" i="26"/>
  <c r="BL206" i="26" s="1"/>
  <c r="AF206" i="26"/>
  <c r="BA206" i="26" s="1"/>
  <c r="AR206" i="26"/>
  <c r="BM206" i="26" s="1"/>
  <c r="AG206" i="26"/>
  <c r="BB206" i="26" s="1"/>
  <c r="AH206" i="26"/>
  <c r="BC206" i="26" s="1"/>
  <c r="AI206" i="26"/>
  <c r="BD206" i="26" s="1"/>
  <c r="AJ206" i="26"/>
  <c r="BE206" i="26" s="1"/>
  <c r="Y206" i="26"/>
  <c r="AT206" i="26" s="1"/>
  <c r="AK206" i="26"/>
  <c r="BF206" i="26" s="1"/>
  <c r="Z206" i="26"/>
  <c r="AL206" i="26"/>
  <c r="BG206" i="26" s="1"/>
  <c r="AA206" i="26"/>
  <c r="AV206" i="26" s="1"/>
  <c r="AM206" i="26"/>
  <c r="BH206" i="26" s="1"/>
  <c r="AB206" i="26"/>
  <c r="AW206" i="26" s="1"/>
  <c r="AN206" i="26"/>
  <c r="BI206" i="26" s="1"/>
  <c r="AC278" i="26"/>
  <c r="AX278" i="26" s="1"/>
  <c r="AO278" i="26"/>
  <c r="BJ278" i="26" s="1"/>
  <c r="AD278" i="26"/>
  <c r="AY278" i="26" s="1"/>
  <c r="AP278" i="26"/>
  <c r="BK278" i="26" s="1"/>
  <c r="AE278" i="26"/>
  <c r="AZ278" i="26" s="1"/>
  <c r="AQ278" i="26"/>
  <c r="BL278" i="26" s="1"/>
  <c r="AF278" i="26"/>
  <c r="BA278" i="26" s="1"/>
  <c r="AR278" i="26"/>
  <c r="BM278" i="26" s="1"/>
  <c r="AG278" i="26"/>
  <c r="BB278" i="26" s="1"/>
  <c r="AH278" i="26"/>
  <c r="BC278" i="26" s="1"/>
  <c r="AI278" i="26"/>
  <c r="BD278" i="26" s="1"/>
  <c r="AJ278" i="26"/>
  <c r="BE278" i="26" s="1"/>
  <c r="Y278" i="26"/>
  <c r="AT278" i="26" s="1"/>
  <c r="AK278" i="26"/>
  <c r="BF278" i="26" s="1"/>
  <c r="Z278" i="26"/>
  <c r="AL278" i="26"/>
  <c r="BG278" i="26" s="1"/>
  <c r="AA278" i="26"/>
  <c r="AV278" i="26" s="1"/>
  <c r="AM278" i="26"/>
  <c r="BH278" i="26" s="1"/>
  <c r="AB278" i="26"/>
  <c r="AW278" i="26" s="1"/>
  <c r="AN278" i="26"/>
  <c r="BI278" i="26" s="1"/>
  <c r="AD350" i="26"/>
  <c r="AY350" i="26" s="1"/>
  <c r="AP350" i="26"/>
  <c r="BK350" i="26" s="1"/>
  <c r="AE350" i="26"/>
  <c r="AZ350" i="26" s="1"/>
  <c r="AQ350" i="26"/>
  <c r="BL350" i="26" s="1"/>
  <c r="AF350" i="26"/>
  <c r="BA350" i="26" s="1"/>
  <c r="AR350" i="26"/>
  <c r="BM350" i="26" s="1"/>
  <c r="AG350" i="26"/>
  <c r="BB350" i="26" s="1"/>
  <c r="AH350" i="26"/>
  <c r="BC350" i="26" s="1"/>
  <c r="AI350" i="26"/>
  <c r="BD350" i="26" s="1"/>
  <c r="AJ350" i="26"/>
  <c r="BE350" i="26" s="1"/>
  <c r="Y350" i="26"/>
  <c r="AT350" i="26" s="1"/>
  <c r="AK350" i="26"/>
  <c r="BF350" i="26" s="1"/>
  <c r="Z350" i="26"/>
  <c r="AL350" i="26"/>
  <c r="BG350" i="26" s="1"/>
  <c r="AA350" i="26"/>
  <c r="AV350" i="26" s="1"/>
  <c r="AM350" i="26"/>
  <c r="BH350" i="26" s="1"/>
  <c r="AB350" i="26"/>
  <c r="AW350" i="26" s="1"/>
  <c r="AN350" i="26"/>
  <c r="BI350" i="26" s="1"/>
  <c r="AC350" i="26"/>
  <c r="AX350" i="26" s="1"/>
  <c r="AO350" i="26"/>
  <c r="BJ350" i="26" s="1"/>
  <c r="AG177" i="26"/>
  <c r="BB177" i="26" s="1"/>
  <c r="AH177" i="26"/>
  <c r="BC177" i="26" s="1"/>
  <c r="AI177" i="26"/>
  <c r="BD177" i="26" s="1"/>
  <c r="AJ177" i="26"/>
  <c r="BE177" i="26" s="1"/>
  <c r="Y177" i="26"/>
  <c r="AT177" i="26" s="1"/>
  <c r="AK177" i="26"/>
  <c r="BF177" i="26" s="1"/>
  <c r="Z177" i="26"/>
  <c r="AL177" i="26"/>
  <c r="BG177" i="26" s="1"/>
  <c r="AA177" i="26"/>
  <c r="AV177" i="26" s="1"/>
  <c r="AM177" i="26"/>
  <c r="BH177" i="26" s="1"/>
  <c r="AB177" i="26"/>
  <c r="AW177" i="26" s="1"/>
  <c r="AN177" i="26"/>
  <c r="BI177" i="26" s="1"/>
  <c r="AC177" i="26"/>
  <c r="AX177" i="26" s="1"/>
  <c r="AO177" i="26"/>
  <c r="BJ177" i="26" s="1"/>
  <c r="AD177" i="26"/>
  <c r="AY177" i="26" s="1"/>
  <c r="AP177" i="26"/>
  <c r="BK177" i="26" s="1"/>
  <c r="AE177" i="26"/>
  <c r="AZ177" i="26" s="1"/>
  <c r="AQ177" i="26"/>
  <c r="BL177" i="26" s="1"/>
  <c r="AF177" i="26"/>
  <c r="BA177" i="26" s="1"/>
  <c r="AR177" i="26"/>
  <c r="BM177" i="26" s="1"/>
  <c r="AG249" i="26"/>
  <c r="BB249" i="26" s="1"/>
  <c r="AH249" i="26"/>
  <c r="BC249" i="26" s="1"/>
  <c r="AI249" i="26"/>
  <c r="BD249" i="26" s="1"/>
  <c r="AJ249" i="26"/>
  <c r="BE249" i="26" s="1"/>
  <c r="Y249" i="26"/>
  <c r="AT249" i="26" s="1"/>
  <c r="AK249" i="26"/>
  <c r="BF249" i="26" s="1"/>
  <c r="Z249" i="26"/>
  <c r="AL249" i="26"/>
  <c r="BG249" i="26" s="1"/>
  <c r="AA249" i="26"/>
  <c r="AV249" i="26" s="1"/>
  <c r="AM249" i="26"/>
  <c r="BH249" i="26" s="1"/>
  <c r="AB249" i="26"/>
  <c r="AW249" i="26" s="1"/>
  <c r="AN249" i="26"/>
  <c r="BI249" i="26" s="1"/>
  <c r="AC249" i="26"/>
  <c r="AX249" i="26" s="1"/>
  <c r="AO249" i="26"/>
  <c r="BJ249" i="26" s="1"/>
  <c r="AD249" i="26"/>
  <c r="AY249" i="26" s="1"/>
  <c r="AP249" i="26"/>
  <c r="BK249" i="26" s="1"/>
  <c r="AE249" i="26"/>
  <c r="AZ249" i="26" s="1"/>
  <c r="AQ249" i="26"/>
  <c r="BL249" i="26" s="1"/>
  <c r="AF249" i="26"/>
  <c r="BA249" i="26" s="1"/>
  <c r="AR249" i="26"/>
  <c r="BM249" i="26" s="1"/>
  <c r="AJ321" i="26"/>
  <c r="BE321" i="26" s="1"/>
  <c r="Y321" i="26"/>
  <c r="AT321" i="26" s="1"/>
  <c r="Z321" i="26"/>
  <c r="AA321" i="26"/>
  <c r="AV321" i="26" s="1"/>
  <c r="AB321" i="26"/>
  <c r="AW321" i="26" s="1"/>
  <c r="AG321" i="26"/>
  <c r="BB321" i="26" s="1"/>
  <c r="AH321" i="26"/>
  <c r="BC321" i="26" s="1"/>
  <c r="AI321" i="26"/>
  <c r="BD321" i="26" s="1"/>
  <c r="AK321" i="26"/>
  <c r="BF321" i="26" s="1"/>
  <c r="AL321" i="26"/>
  <c r="BG321" i="26" s="1"/>
  <c r="AM321" i="26"/>
  <c r="BH321" i="26" s="1"/>
  <c r="AN321" i="26"/>
  <c r="BI321" i="26" s="1"/>
  <c r="AO321" i="26"/>
  <c r="BJ321" i="26" s="1"/>
  <c r="AC321" i="26"/>
  <c r="AX321" i="26" s="1"/>
  <c r="AP321" i="26"/>
  <c r="BK321" i="26" s="1"/>
  <c r="AD321" i="26"/>
  <c r="AY321" i="26" s="1"/>
  <c r="AQ321" i="26"/>
  <c r="BL321" i="26" s="1"/>
  <c r="AE321" i="26"/>
  <c r="AZ321" i="26" s="1"/>
  <c r="AR321" i="26"/>
  <c r="BM321" i="26" s="1"/>
  <c r="AF321" i="26"/>
  <c r="BA321" i="26" s="1"/>
  <c r="Y220" i="26"/>
  <c r="AT220" i="26" s="1"/>
  <c r="AK220" i="26"/>
  <c r="BF220" i="26" s="1"/>
  <c r="Z220" i="26"/>
  <c r="AL220" i="26"/>
  <c r="BG220" i="26" s="1"/>
  <c r="AA220" i="26"/>
  <c r="AV220" i="26" s="1"/>
  <c r="AM220" i="26"/>
  <c r="BH220" i="26" s="1"/>
  <c r="AB220" i="26"/>
  <c r="AW220" i="26" s="1"/>
  <c r="AN220" i="26"/>
  <c r="BI220" i="26" s="1"/>
  <c r="AC220" i="26"/>
  <c r="AX220" i="26" s="1"/>
  <c r="AO220" i="26"/>
  <c r="BJ220" i="26" s="1"/>
  <c r="AD220" i="26"/>
  <c r="AY220" i="26" s="1"/>
  <c r="AP220" i="26"/>
  <c r="BK220" i="26" s="1"/>
  <c r="AE220" i="26"/>
  <c r="AZ220" i="26" s="1"/>
  <c r="AQ220" i="26"/>
  <c r="BL220" i="26" s="1"/>
  <c r="AF220" i="26"/>
  <c r="BA220" i="26" s="1"/>
  <c r="AR220" i="26"/>
  <c r="BM220" i="26" s="1"/>
  <c r="AG220" i="26"/>
  <c r="BB220" i="26" s="1"/>
  <c r="AH220" i="26"/>
  <c r="BC220" i="26" s="1"/>
  <c r="AI220" i="26"/>
  <c r="BD220" i="26" s="1"/>
  <c r="AJ220" i="26"/>
  <c r="BE220" i="26" s="1"/>
  <c r="Y292" i="26"/>
  <c r="AT292" i="26" s="1"/>
  <c r="AK292" i="26"/>
  <c r="BF292" i="26" s="1"/>
  <c r="Z292" i="26"/>
  <c r="AL292" i="26"/>
  <c r="BG292" i="26" s="1"/>
  <c r="AA292" i="26"/>
  <c r="AV292" i="26" s="1"/>
  <c r="AM292" i="26"/>
  <c r="BH292" i="26" s="1"/>
  <c r="AB292" i="26"/>
  <c r="AW292" i="26" s="1"/>
  <c r="AN292" i="26"/>
  <c r="BI292" i="26" s="1"/>
  <c r="AC292" i="26"/>
  <c r="AX292" i="26" s="1"/>
  <c r="AO292" i="26"/>
  <c r="BJ292" i="26" s="1"/>
  <c r="AD292" i="26"/>
  <c r="AY292" i="26" s="1"/>
  <c r="AP292" i="26"/>
  <c r="BK292" i="26" s="1"/>
  <c r="AE292" i="26"/>
  <c r="AZ292" i="26" s="1"/>
  <c r="AQ292" i="26"/>
  <c r="BL292" i="26" s="1"/>
  <c r="AF292" i="26"/>
  <c r="BA292" i="26" s="1"/>
  <c r="AR292" i="26"/>
  <c r="BM292" i="26" s="1"/>
  <c r="AG292" i="26"/>
  <c r="BB292" i="26" s="1"/>
  <c r="AH292" i="26"/>
  <c r="BC292" i="26" s="1"/>
  <c r="AI292" i="26"/>
  <c r="BD292" i="26" s="1"/>
  <c r="AJ292" i="26"/>
  <c r="BE292" i="26" s="1"/>
  <c r="Z364" i="26"/>
  <c r="AL364" i="26"/>
  <c r="BG364" i="26" s="1"/>
  <c r="AA364" i="26"/>
  <c r="AV364" i="26" s="1"/>
  <c r="AM364" i="26"/>
  <c r="BH364" i="26" s="1"/>
  <c r="AB364" i="26"/>
  <c r="AW364" i="26" s="1"/>
  <c r="AN364" i="26"/>
  <c r="BI364" i="26" s="1"/>
  <c r="AC364" i="26"/>
  <c r="AX364" i="26" s="1"/>
  <c r="AO364" i="26"/>
  <c r="BJ364" i="26" s="1"/>
  <c r="AD364" i="26"/>
  <c r="AY364" i="26" s="1"/>
  <c r="AP364" i="26"/>
  <c r="BK364" i="26" s="1"/>
  <c r="AE364" i="26"/>
  <c r="AZ364" i="26" s="1"/>
  <c r="AQ364" i="26"/>
  <c r="BL364" i="26" s="1"/>
  <c r="AF364" i="26"/>
  <c r="BA364" i="26" s="1"/>
  <c r="AR364" i="26"/>
  <c r="BM364" i="26" s="1"/>
  <c r="AG364" i="26"/>
  <c r="BB364" i="26" s="1"/>
  <c r="AH364" i="26"/>
  <c r="BC364" i="26" s="1"/>
  <c r="AI364" i="26"/>
  <c r="BD364" i="26" s="1"/>
  <c r="AJ364" i="26"/>
  <c r="BE364" i="26" s="1"/>
  <c r="Y364" i="26"/>
  <c r="AT364" i="26" s="1"/>
  <c r="AK364" i="26"/>
  <c r="BF364" i="26" s="1"/>
  <c r="AJ226" i="27"/>
  <c r="BE226" i="27" s="1"/>
  <c r="AK226" i="27"/>
  <c r="BF226" i="27" s="1"/>
  <c r="Z226" i="27"/>
  <c r="AL226" i="27"/>
  <c r="BG226" i="27" s="1"/>
  <c r="AA226" i="27"/>
  <c r="AV226" i="27" s="1"/>
  <c r="AM226" i="27"/>
  <c r="BH226" i="27" s="1"/>
  <c r="AB226" i="27"/>
  <c r="AW226" i="27" s="1"/>
  <c r="AN226" i="27"/>
  <c r="BI226" i="27" s="1"/>
  <c r="AC226" i="27"/>
  <c r="AX226" i="27" s="1"/>
  <c r="AO226" i="27"/>
  <c r="BJ226" i="27" s="1"/>
  <c r="AD226" i="27"/>
  <c r="AY226" i="27" s="1"/>
  <c r="AP226" i="27"/>
  <c r="BK226" i="27" s="1"/>
  <c r="AE226" i="27"/>
  <c r="AZ226" i="27" s="1"/>
  <c r="AQ226" i="27"/>
  <c r="BL226" i="27" s="1"/>
  <c r="AF226" i="27"/>
  <c r="BA226" i="27" s="1"/>
  <c r="AR226" i="27"/>
  <c r="BM226" i="27" s="1"/>
  <c r="AG226" i="27"/>
  <c r="BB226" i="27" s="1"/>
  <c r="AH226" i="27"/>
  <c r="BC226" i="27" s="1"/>
  <c r="Y226" i="27"/>
  <c r="AT226" i="27" s="1"/>
  <c r="AI226" i="27"/>
  <c r="BD226" i="27" s="1"/>
  <c r="AJ296" i="27"/>
  <c r="BE296" i="27" s="1"/>
  <c r="AK296" i="27"/>
  <c r="BF296" i="27" s="1"/>
  <c r="Z296" i="27"/>
  <c r="AL296" i="27"/>
  <c r="BG296" i="27" s="1"/>
  <c r="AA296" i="27"/>
  <c r="AV296" i="27" s="1"/>
  <c r="AM296" i="27"/>
  <c r="BH296" i="27" s="1"/>
  <c r="AB296" i="27"/>
  <c r="AW296" i="27" s="1"/>
  <c r="AN296" i="27"/>
  <c r="BI296" i="27" s="1"/>
  <c r="AC296" i="27"/>
  <c r="AX296" i="27" s="1"/>
  <c r="AO296" i="27"/>
  <c r="BJ296" i="27" s="1"/>
  <c r="Y296" i="27"/>
  <c r="AT296" i="27" s="1"/>
  <c r="AD296" i="27"/>
  <c r="AY296" i="27" s="1"/>
  <c r="AP296" i="27"/>
  <c r="BK296" i="27" s="1"/>
  <c r="AE296" i="27"/>
  <c r="AZ296" i="27" s="1"/>
  <c r="AQ296" i="27"/>
  <c r="BL296" i="27" s="1"/>
  <c r="AF296" i="27"/>
  <c r="BA296" i="27" s="1"/>
  <c r="AR296" i="27"/>
  <c r="BM296" i="27" s="1"/>
  <c r="AG296" i="27"/>
  <c r="BB296" i="27" s="1"/>
  <c r="AH296" i="27"/>
  <c r="BC296" i="27" s="1"/>
  <c r="AI296" i="27"/>
  <c r="BD296" i="27" s="1"/>
  <c r="AJ368" i="27"/>
  <c r="BE368" i="27" s="1"/>
  <c r="AK368" i="27"/>
  <c r="BF368" i="27" s="1"/>
  <c r="AA368" i="27"/>
  <c r="AV368" i="27" s="1"/>
  <c r="AM368" i="27"/>
  <c r="BH368" i="27" s="1"/>
  <c r="AB368" i="27"/>
  <c r="AW368" i="27" s="1"/>
  <c r="AN368" i="27"/>
  <c r="BI368" i="27" s="1"/>
  <c r="AC368" i="27"/>
  <c r="AX368" i="27" s="1"/>
  <c r="AO368" i="27"/>
  <c r="BJ368" i="27" s="1"/>
  <c r="AD368" i="27"/>
  <c r="AY368" i="27" s="1"/>
  <c r="AP368" i="27"/>
  <c r="BK368" i="27" s="1"/>
  <c r="AE368" i="27"/>
  <c r="AZ368" i="27" s="1"/>
  <c r="AQ368" i="27"/>
  <c r="BL368" i="27" s="1"/>
  <c r="AG368" i="27"/>
  <c r="BB368" i="27" s="1"/>
  <c r="AH368" i="27"/>
  <c r="BC368" i="27" s="1"/>
  <c r="AL368" i="27"/>
  <c r="BG368" i="27" s="1"/>
  <c r="AR368" i="27"/>
  <c r="BM368" i="27" s="1"/>
  <c r="Z368" i="27"/>
  <c r="Y368" i="27"/>
  <c r="AT368" i="27" s="1"/>
  <c r="AF368" i="27"/>
  <c r="BA368" i="27" s="1"/>
  <c r="AI368" i="27"/>
  <c r="BD368" i="27" s="1"/>
  <c r="AK243" i="27"/>
  <c r="BF243" i="27" s="1"/>
  <c r="Z243" i="27"/>
  <c r="AL243" i="27"/>
  <c r="BG243" i="27" s="1"/>
  <c r="AA243" i="27"/>
  <c r="AV243" i="27" s="1"/>
  <c r="AM243" i="27"/>
  <c r="BH243" i="27" s="1"/>
  <c r="AB243" i="27"/>
  <c r="AW243" i="27" s="1"/>
  <c r="AN243" i="27"/>
  <c r="BI243" i="27" s="1"/>
  <c r="AC243" i="27"/>
  <c r="AX243" i="27" s="1"/>
  <c r="AO243" i="27"/>
  <c r="BJ243" i="27" s="1"/>
  <c r="AD243" i="27"/>
  <c r="AY243" i="27" s="1"/>
  <c r="AP243" i="27"/>
  <c r="BK243" i="27" s="1"/>
  <c r="AE243" i="27"/>
  <c r="AZ243" i="27" s="1"/>
  <c r="AQ243" i="27"/>
  <c r="BL243" i="27" s="1"/>
  <c r="AF243" i="27"/>
  <c r="BA243" i="27" s="1"/>
  <c r="AR243" i="27"/>
  <c r="BM243" i="27" s="1"/>
  <c r="AG243" i="27"/>
  <c r="BB243" i="27" s="1"/>
  <c r="AH243" i="27"/>
  <c r="BC243" i="27" s="1"/>
  <c r="AI243" i="27"/>
  <c r="BD243" i="27" s="1"/>
  <c r="Y243" i="27"/>
  <c r="AT243" i="27" s="1"/>
  <c r="AJ243" i="27"/>
  <c r="BE243" i="27" s="1"/>
  <c r="AI315" i="27"/>
  <c r="BD315" i="27" s="1"/>
  <c r="AJ315" i="27"/>
  <c r="BE315" i="27" s="1"/>
  <c r="AK315" i="27"/>
  <c r="BF315" i="27" s="1"/>
  <c r="Z315" i="27"/>
  <c r="AL315" i="27"/>
  <c r="BG315" i="27" s="1"/>
  <c r="AA315" i="27"/>
  <c r="AV315" i="27" s="1"/>
  <c r="AM315" i="27"/>
  <c r="BH315" i="27" s="1"/>
  <c r="AB315" i="27"/>
  <c r="AW315" i="27" s="1"/>
  <c r="AN315" i="27"/>
  <c r="BI315" i="27" s="1"/>
  <c r="AC315" i="27"/>
  <c r="AX315" i="27" s="1"/>
  <c r="AO315" i="27"/>
  <c r="BJ315" i="27" s="1"/>
  <c r="AD315" i="27"/>
  <c r="AY315" i="27" s="1"/>
  <c r="AP315" i="27"/>
  <c r="BK315" i="27" s="1"/>
  <c r="AE315" i="27"/>
  <c r="AZ315" i="27" s="1"/>
  <c r="AQ315" i="27"/>
  <c r="BL315" i="27" s="1"/>
  <c r="AF315" i="27"/>
  <c r="BA315" i="27" s="1"/>
  <c r="AR315" i="27"/>
  <c r="BM315" i="27" s="1"/>
  <c r="AG315" i="27"/>
  <c r="BB315" i="27" s="1"/>
  <c r="Y315" i="27"/>
  <c r="AT315" i="27" s="1"/>
  <c r="AH315" i="27"/>
  <c r="BC315" i="27" s="1"/>
  <c r="AI186" i="27"/>
  <c r="BD186" i="27" s="1"/>
  <c r="AJ186" i="27"/>
  <c r="BE186" i="27" s="1"/>
  <c r="AK186" i="27"/>
  <c r="BF186" i="27" s="1"/>
  <c r="Z186" i="27"/>
  <c r="AL186" i="27"/>
  <c r="BG186" i="27" s="1"/>
  <c r="AA186" i="27"/>
  <c r="AV186" i="27" s="1"/>
  <c r="AM186" i="27"/>
  <c r="BH186" i="27" s="1"/>
  <c r="AB186" i="27"/>
  <c r="AW186" i="27" s="1"/>
  <c r="AN186" i="27"/>
  <c r="BI186" i="27" s="1"/>
  <c r="AC186" i="27"/>
  <c r="AX186" i="27" s="1"/>
  <c r="AO186" i="27"/>
  <c r="BJ186" i="27" s="1"/>
  <c r="AD186" i="27"/>
  <c r="AY186" i="27" s="1"/>
  <c r="AP186" i="27"/>
  <c r="BK186" i="27" s="1"/>
  <c r="AE186" i="27"/>
  <c r="AZ186" i="27" s="1"/>
  <c r="AQ186" i="27"/>
  <c r="BL186" i="27" s="1"/>
  <c r="AF186" i="27"/>
  <c r="BA186" i="27" s="1"/>
  <c r="AR186" i="27"/>
  <c r="BM186" i="27" s="1"/>
  <c r="AG186" i="27"/>
  <c r="BB186" i="27" s="1"/>
  <c r="AH186" i="27"/>
  <c r="BC186" i="27" s="1"/>
  <c r="Y186" i="27"/>
  <c r="AT186" i="27" s="1"/>
  <c r="AJ262" i="27"/>
  <c r="BE262" i="27" s="1"/>
  <c r="AK262" i="27"/>
  <c r="BF262" i="27" s="1"/>
  <c r="Z262" i="27"/>
  <c r="AL262" i="27"/>
  <c r="BG262" i="27" s="1"/>
  <c r="AA262" i="27"/>
  <c r="AV262" i="27" s="1"/>
  <c r="AM262" i="27"/>
  <c r="BH262" i="27" s="1"/>
  <c r="AB262" i="27"/>
  <c r="AW262" i="27" s="1"/>
  <c r="AN262" i="27"/>
  <c r="BI262" i="27" s="1"/>
  <c r="AC262" i="27"/>
  <c r="AX262" i="27" s="1"/>
  <c r="AO262" i="27"/>
  <c r="BJ262" i="27" s="1"/>
  <c r="AD262" i="27"/>
  <c r="AY262" i="27" s="1"/>
  <c r="AP262" i="27"/>
  <c r="BK262" i="27" s="1"/>
  <c r="AE262" i="27"/>
  <c r="AZ262" i="27" s="1"/>
  <c r="AQ262" i="27"/>
  <c r="BL262" i="27" s="1"/>
  <c r="AF262" i="27"/>
  <c r="BA262" i="27" s="1"/>
  <c r="AR262" i="27"/>
  <c r="BM262" i="27" s="1"/>
  <c r="AG262" i="27"/>
  <c r="BB262" i="27" s="1"/>
  <c r="AH262" i="27"/>
  <c r="BC262" i="27" s="1"/>
  <c r="AI262" i="27"/>
  <c r="BD262" i="27" s="1"/>
  <c r="Y262" i="27"/>
  <c r="AT262" i="27" s="1"/>
  <c r="AH334" i="27"/>
  <c r="BC334" i="27" s="1"/>
  <c r="AI334" i="27"/>
  <c r="BD334" i="27" s="1"/>
  <c r="AJ334" i="27"/>
  <c r="BE334" i="27" s="1"/>
  <c r="AK334" i="27"/>
  <c r="BF334" i="27" s="1"/>
  <c r="Z334" i="27"/>
  <c r="AL334" i="27"/>
  <c r="BG334" i="27" s="1"/>
  <c r="AA334" i="27"/>
  <c r="AV334" i="27" s="1"/>
  <c r="AM334" i="27"/>
  <c r="BH334" i="27" s="1"/>
  <c r="AB334" i="27"/>
  <c r="AW334" i="27" s="1"/>
  <c r="AN334" i="27"/>
  <c r="BI334" i="27" s="1"/>
  <c r="AC334" i="27"/>
  <c r="AX334" i="27" s="1"/>
  <c r="AO334" i="27"/>
  <c r="BJ334" i="27" s="1"/>
  <c r="AD334" i="27"/>
  <c r="AY334" i="27" s="1"/>
  <c r="AP334" i="27"/>
  <c r="BK334" i="27" s="1"/>
  <c r="AE334" i="27"/>
  <c r="AZ334" i="27" s="1"/>
  <c r="AQ334" i="27"/>
  <c r="BL334" i="27" s="1"/>
  <c r="AF334" i="27"/>
  <c r="BA334" i="27" s="1"/>
  <c r="AR334" i="27"/>
  <c r="BM334" i="27" s="1"/>
  <c r="AG334" i="27"/>
  <c r="BB334" i="27" s="1"/>
  <c r="Y334" i="27"/>
  <c r="AT334" i="27" s="1"/>
  <c r="AH193" i="27"/>
  <c r="BC193" i="27" s="1"/>
  <c r="AI193" i="27"/>
  <c r="BD193" i="27" s="1"/>
  <c r="AJ193" i="27"/>
  <c r="BE193" i="27" s="1"/>
  <c r="AK193" i="27"/>
  <c r="BF193" i="27" s="1"/>
  <c r="Z193" i="27"/>
  <c r="AL193" i="27"/>
  <c r="BG193" i="27" s="1"/>
  <c r="AA193" i="27"/>
  <c r="AV193" i="27" s="1"/>
  <c r="AM193" i="27"/>
  <c r="BH193" i="27" s="1"/>
  <c r="AB193" i="27"/>
  <c r="AW193" i="27" s="1"/>
  <c r="AN193" i="27"/>
  <c r="BI193" i="27" s="1"/>
  <c r="AC193" i="27"/>
  <c r="AX193" i="27" s="1"/>
  <c r="AO193" i="27"/>
  <c r="BJ193" i="27" s="1"/>
  <c r="AD193" i="27"/>
  <c r="AY193" i="27" s="1"/>
  <c r="AP193" i="27"/>
  <c r="BK193" i="27" s="1"/>
  <c r="AE193" i="27"/>
  <c r="AZ193" i="27" s="1"/>
  <c r="AQ193" i="27"/>
  <c r="BL193" i="27" s="1"/>
  <c r="AF193" i="27"/>
  <c r="BA193" i="27" s="1"/>
  <c r="AR193" i="27"/>
  <c r="BM193" i="27" s="1"/>
  <c r="AG193" i="27"/>
  <c r="BB193" i="27" s="1"/>
  <c r="Y193" i="27"/>
  <c r="AT193" i="27" s="1"/>
  <c r="AC263" i="27"/>
  <c r="AX263" i="27" s="1"/>
  <c r="AO263" i="27"/>
  <c r="BJ263" i="27" s="1"/>
  <c r="AD263" i="27"/>
  <c r="AY263" i="27" s="1"/>
  <c r="AP263" i="27"/>
  <c r="BK263" i="27" s="1"/>
  <c r="AE263" i="27"/>
  <c r="AZ263" i="27" s="1"/>
  <c r="AQ263" i="27"/>
  <c r="BL263" i="27" s="1"/>
  <c r="AF263" i="27"/>
  <c r="BA263" i="27" s="1"/>
  <c r="AR263" i="27"/>
  <c r="BM263" i="27" s="1"/>
  <c r="AG263" i="27"/>
  <c r="BB263" i="27" s="1"/>
  <c r="AH263" i="27"/>
  <c r="BC263" i="27" s="1"/>
  <c r="AI263" i="27"/>
  <c r="BD263" i="27" s="1"/>
  <c r="AJ263" i="27"/>
  <c r="BE263" i="27" s="1"/>
  <c r="AK263" i="27"/>
  <c r="BF263" i="27" s="1"/>
  <c r="Z263" i="27"/>
  <c r="AL263" i="27"/>
  <c r="BG263" i="27" s="1"/>
  <c r="AA263" i="27"/>
  <c r="AV263" i="27" s="1"/>
  <c r="AM263" i="27"/>
  <c r="BH263" i="27" s="1"/>
  <c r="AB263" i="27"/>
  <c r="AW263" i="27" s="1"/>
  <c r="AN263" i="27"/>
  <c r="BI263" i="27" s="1"/>
  <c r="Y263" i="27"/>
  <c r="AT263" i="27" s="1"/>
  <c r="AA347" i="27"/>
  <c r="AV347" i="27" s="1"/>
  <c r="AM347" i="27"/>
  <c r="BH347" i="27" s="1"/>
  <c r="AB347" i="27"/>
  <c r="AW347" i="27" s="1"/>
  <c r="AN347" i="27"/>
  <c r="BI347" i="27" s="1"/>
  <c r="AD347" i="27"/>
  <c r="AY347" i="27" s="1"/>
  <c r="AP347" i="27"/>
  <c r="BK347" i="27" s="1"/>
  <c r="AE347" i="27"/>
  <c r="AZ347" i="27" s="1"/>
  <c r="AQ347" i="27"/>
  <c r="BL347" i="27" s="1"/>
  <c r="AF347" i="27"/>
  <c r="BA347" i="27" s="1"/>
  <c r="AR347" i="27"/>
  <c r="BM347" i="27" s="1"/>
  <c r="AG347" i="27"/>
  <c r="BB347" i="27" s="1"/>
  <c r="AH347" i="27"/>
  <c r="BC347" i="27" s="1"/>
  <c r="AJ347" i="27"/>
  <c r="BE347" i="27" s="1"/>
  <c r="AK347" i="27"/>
  <c r="BF347" i="27" s="1"/>
  <c r="Y347" i="27"/>
  <c r="AT347" i="27" s="1"/>
  <c r="Z347" i="27"/>
  <c r="AC347" i="27"/>
  <c r="AX347" i="27" s="1"/>
  <c r="AI347" i="27"/>
  <c r="BD347" i="27" s="1"/>
  <c r="AL347" i="27"/>
  <c r="BG347" i="27" s="1"/>
  <c r="AO347" i="27"/>
  <c r="BJ347" i="27" s="1"/>
  <c r="AF218" i="27"/>
  <c r="BA218" i="27" s="1"/>
  <c r="AR218" i="27"/>
  <c r="BM218" i="27" s="1"/>
  <c r="AG218" i="27"/>
  <c r="BB218" i="27" s="1"/>
  <c r="AH218" i="27"/>
  <c r="BC218" i="27" s="1"/>
  <c r="AI218" i="27"/>
  <c r="BD218" i="27" s="1"/>
  <c r="AJ218" i="27"/>
  <c r="BE218" i="27" s="1"/>
  <c r="AK218" i="27"/>
  <c r="BF218" i="27" s="1"/>
  <c r="Z218" i="27"/>
  <c r="AL218" i="27"/>
  <c r="BG218" i="27" s="1"/>
  <c r="AA218" i="27"/>
  <c r="AV218" i="27" s="1"/>
  <c r="AM218" i="27"/>
  <c r="BH218" i="27" s="1"/>
  <c r="AB218" i="27"/>
  <c r="AW218" i="27" s="1"/>
  <c r="AN218" i="27"/>
  <c r="BI218" i="27" s="1"/>
  <c r="AC218" i="27"/>
  <c r="AX218" i="27" s="1"/>
  <c r="AO218" i="27"/>
  <c r="BJ218" i="27" s="1"/>
  <c r="AD218" i="27"/>
  <c r="AY218" i="27" s="1"/>
  <c r="AP218" i="27"/>
  <c r="BK218" i="27" s="1"/>
  <c r="AE218" i="27"/>
  <c r="AZ218" i="27" s="1"/>
  <c r="AQ218" i="27"/>
  <c r="BL218" i="27" s="1"/>
  <c r="Y218" i="27"/>
  <c r="AT218" i="27" s="1"/>
  <c r="AH288" i="27"/>
  <c r="BC288" i="27" s="1"/>
  <c r="AI288" i="27"/>
  <c r="BD288" i="27" s="1"/>
  <c r="AK288" i="27"/>
  <c r="BF288" i="27" s="1"/>
  <c r="Z288" i="27"/>
  <c r="AL288" i="27"/>
  <c r="BG288" i="27" s="1"/>
  <c r="AA288" i="27"/>
  <c r="AV288" i="27" s="1"/>
  <c r="AM288" i="27"/>
  <c r="BH288" i="27" s="1"/>
  <c r="AB288" i="27"/>
  <c r="AW288" i="27" s="1"/>
  <c r="AN288" i="27"/>
  <c r="BI288" i="27" s="1"/>
  <c r="AC288" i="27"/>
  <c r="AX288" i="27" s="1"/>
  <c r="AO288" i="27"/>
  <c r="BJ288" i="27" s="1"/>
  <c r="AE288" i="27"/>
  <c r="AZ288" i="27" s="1"/>
  <c r="AQ288" i="27"/>
  <c r="BL288" i="27" s="1"/>
  <c r="AF288" i="27"/>
  <c r="BA288" i="27" s="1"/>
  <c r="AR288" i="27"/>
  <c r="BM288" i="27" s="1"/>
  <c r="AD288" i="27"/>
  <c r="AY288" i="27" s="1"/>
  <c r="AG288" i="27"/>
  <c r="BB288" i="27" s="1"/>
  <c r="AJ288" i="27"/>
  <c r="BE288" i="27" s="1"/>
  <c r="AP288" i="27"/>
  <c r="BK288" i="27" s="1"/>
  <c r="Y288" i="27"/>
  <c r="AT288" i="27" s="1"/>
  <c r="AF360" i="27"/>
  <c r="BA360" i="27" s="1"/>
  <c r="AR360" i="27"/>
  <c r="BM360" i="27" s="1"/>
  <c r="AG360" i="27"/>
  <c r="BB360" i="27" s="1"/>
  <c r="AI360" i="27"/>
  <c r="BD360" i="27" s="1"/>
  <c r="AJ360" i="27"/>
  <c r="BE360" i="27" s="1"/>
  <c r="AK360" i="27"/>
  <c r="BF360" i="27" s="1"/>
  <c r="Z360" i="27"/>
  <c r="AL360" i="27"/>
  <c r="BG360" i="27" s="1"/>
  <c r="AA360" i="27"/>
  <c r="AV360" i="27" s="1"/>
  <c r="AM360" i="27"/>
  <c r="BH360" i="27" s="1"/>
  <c r="AC360" i="27"/>
  <c r="AX360" i="27" s="1"/>
  <c r="AO360" i="27"/>
  <c r="BJ360" i="27" s="1"/>
  <c r="AD360" i="27"/>
  <c r="AY360" i="27" s="1"/>
  <c r="AP360" i="27"/>
  <c r="BK360" i="27" s="1"/>
  <c r="Y360" i="27"/>
  <c r="AT360" i="27" s="1"/>
  <c r="AB360" i="27"/>
  <c r="AW360" i="27" s="1"/>
  <c r="AE360" i="27"/>
  <c r="AZ360" i="27" s="1"/>
  <c r="AH360" i="27"/>
  <c r="BC360" i="27" s="1"/>
  <c r="AN360" i="27"/>
  <c r="BI360" i="27" s="1"/>
  <c r="AQ360" i="27"/>
  <c r="BL360" i="27" s="1"/>
  <c r="AK231" i="27"/>
  <c r="BF231" i="27" s="1"/>
  <c r="Z231" i="27"/>
  <c r="AL231" i="27"/>
  <c r="BG231" i="27" s="1"/>
  <c r="AA231" i="27"/>
  <c r="AV231" i="27" s="1"/>
  <c r="AM231" i="27"/>
  <c r="BH231" i="27" s="1"/>
  <c r="AB231" i="27"/>
  <c r="AW231" i="27" s="1"/>
  <c r="AN231" i="27"/>
  <c r="BI231" i="27" s="1"/>
  <c r="AC231" i="27"/>
  <c r="AX231" i="27" s="1"/>
  <c r="AO231" i="27"/>
  <c r="BJ231" i="27" s="1"/>
  <c r="AD231" i="27"/>
  <c r="AY231" i="27" s="1"/>
  <c r="AP231" i="27"/>
  <c r="BK231" i="27" s="1"/>
  <c r="AE231" i="27"/>
  <c r="AZ231" i="27" s="1"/>
  <c r="AQ231" i="27"/>
  <c r="BL231" i="27" s="1"/>
  <c r="AF231" i="27"/>
  <c r="BA231" i="27" s="1"/>
  <c r="AR231" i="27"/>
  <c r="BM231" i="27" s="1"/>
  <c r="AG231" i="27"/>
  <c r="BB231" i="27" s="1"/>
  <c r="AH231" i="27"/>
  <c r="BC231" i="27" s="1"/>
  <c r="AI231" i="27"/>
  <c r="BD231" i="27" s="1"/>
  <c r="Y231" i="27"/>
  <c r="AT231" i="27" s="1"/>
  <c r="AJ231" i="27"/>
  <c r="BE231" i="27" s="1"/>
  <c r="AK301" i="27"/>
  <c r="BF301" i="27" s="1"/>
  <c r="Z301" i="27"/>
  <c r="AL301" i="27"/>
  <c r="BG301" i="27" s="1"/>
  <c r="AA301" i="27"/>
  <c r="AV301" i="27" s="1"/>
  <c r="AM301" i="27"/>
  <c r="BH301" i="27" s="1"/>
  <c r="AB301" i="27"/>
  <c r="AW301" i="27" s="1"/>
  <c r="AN301" i="27"/>
  <c r="BI301" i="27" s="1"/>
  <c r="AC301" i="27"/>
  <c r="AX301" i="27" s="1"/>
  <c r="AO301" i="27"/>
  <c r="BJ301" i="27" s="1"/>
  <c r="AD301" i="27"/>
  <c r="AY301" i="27" s="1"/>
  <c r="AP301" i="27"/>
  <c r="BK301" i="27" s="1"/>
  <c r="AE301" i="27"/>
  <c r="AZ301" i="27" s="1"/>
  <c r="AQ301" i="27"/>
  <c r="BL301" i="27" s="1"/>
  <c r="AF301" i="27"/>
  <c r="BA301" i="27" s="1"/>
  <c r="AR301" i="27"/>
  <c r="BM301" i="27" s="1"/>
  <c r="AG301" i="27"/>
  <c r="BB301" i="27" s="1"/>
  <c r="AH301" i="27"/>
  <c r="BC301" i="27" s="1"/>
  <c r="AI301" i="27"/>
  <c r="BD301" i="27" s="1"/>
  <c r="Y301" i="27"/>
  <c r="AT301" i="27" s="1"/>
  <c r="AJ301" i="27"/>
  <c r="BE301" i="27" s="1"/>
  <c r="AK373" i="27"/>
  <c r="BF373" i="27" s="1"/>
  <c r="Z373" i="27"/>
  <c r="AL373" i="27"/>
  <c r="BG373" i="27" s="1"/>
  <c r="AB373" i="27"/>
  <c r="AW373" i="27" s="1"/>
  <c r="AN373" i="27"/>
  <c r="BI373" i="27" s="1"/>
  <c r="AC373" i="27"/>
  <c r="AX373" i="27" s="1"/>
  <c r="AO373" i="27"/>
  <c r="BJ373" i="27" s="1"/>
  <c r="AD373" i="27"/>
  <c r="AY373" i="27" s="1"/>
  <c r="AP373" i="27"/>
  <c r="BK373" i="27" s="1"/>
  <c r="AE373" i="27"/>
  <c r="AZ373" i="27" s="1"/>
  <c r="AQ373" i="27"/>
  <c r="BL373" i="27" s="1"/>
  <c r="AF373" i="27"/>
  <c r="BA373" i="27" s="1"/>
  <c r="AR373" i="27"/>
  <c r="BM373" i="27" s="1"/>
  <c r="AH373" i="27"/>
  <c r="BC373" i="27" s="1"/>
  <c r="AI373" i="27"/>
  <c r="BD373" i="27" s="1"/>
  <c r="AM373" i="27"/>
  <c r="BH373" i="27" s="1"/>
  <c r="Y373" i="27"/>
  <c r="AT373" i="27" s="1"/>
  <c r="AA373" i="27"/>
  <c r="AV373" i="27" s="1"/>
  <c r="AG373" i="27"/>
  <c r="BB373" i="27" s="1"/>
  <c r="AJ373" i="27"/>
  <c r="BE373" i="27" s="1"/>
  <c r="AI267" i="28"/>
  <c r="BD267" i="28" s="1"/>
  <c r="AJ267" i="28"/>
  <c r="BE267" i="28" s="1"/>
  <c r="Z267" i="28"/>
  <c r="AL267" i="28"/>
  <c r="BG267" i="28" s="1"/>
  <c r="AA267" i="28"/>
  <c r="AV267" i="28" s="1"/>
  <c r="AM267" i="28"/>
  <c r="BH267" i="28" s="1"/>
  <c r="AB267" i="28"/>
  <c r="AW267" i="28" s="1"/>
  <c r="AN267" i="28"/>
  <c r="BI267" i="28" s="1"/>
  <c r="AC267" i="28"/>
  <c r="AX267" i="28" s="1"/>
  <c r="AO267" i="28"/>
  <c r="BJ267" i="28" s="1"/>
  <c r="AD267" i="28"/>
  <c r="AY267" i="28" s="1"/>
  <c r="AP267" i="28"/>
  <c r="BK267" i="28" s="1"/>
  <c r="AF267" i="28"/>
  <c r="BA267" i="28" s="1"/>
  <c r="AR267" i="28"/>
  <c r="BM267" i="28" s="1"/>
  <c r="AG267" i="28"/>
  <c r="BB267" i="28" s="1"/>
  <c r="Y267" i="28"/>
  <c r="AT267" i="28" s="1"/>
  <c r="AE267" i="28"/>
  <c r="AZ267" i="28" s="1"/>
  <c r="AH267" i="28"/>
  <c r="BC267" i="28" s="1"/>
  <c r="AK267" i="28"/>
  <c r="BF267" i="28" s="1"/>
  <c r="AQ267" i="28"/>
  <c r="BL267" i="28" s="1"/>
  <c r="AG339" i="28"/>
  <c r="BB339" i="28" s="1"/>
  <c r="AH339" i="28"/>
  <c r="BC339" i="28" s="1"/>
  <c r="AI339" i="28"/>
  <c r="BD339" i="28" s="1"/>
  <c r="AJ339" i="28"/>
  <c r="BE339" i="28" s="1"/>
  <c r="Y339" i="28"/>
  <c r="AT339" i="28" s="1"/>
  <c r="AK339" i="28"/>
  <c r="BF339" i="28" s="1"/>
  <c r="Z339" i="28"/>
  <c r="AL339" i="28"/>
  <c r="BG339" i="28" s="1"/>
  <c r="AA339" i="28"/>
  <c r="AV339" i="28" s="1"/>
  <c r="AM339" i="28"/>
  <c r="BH339" i="28" s="1"/>
  <c r="AB339" i="28"/>
  <c r="AW339" i="28" s="1"/>
  <c r="AN339" i="28"/>
  <c r="BI339" i="28" s="1"/>
  <c r="AC339" i="28"/>
  <c r="AX339" i="28" s="1"/>
  <c r="AO339" i="28"/>
  <c r="BJ339" i="28" s="1"/>
  <c r="AD339" i="28"/>
  <c r="AY339" i="28" s="1"/>
  <c r="AP339" i="28"/>
  <c r="BK339" i="28" s="1"/>
  <c r="AE339" i="28"/>
  <c r="AZ339" i="28" s="1"/>
  <c r="AQ339" i="28"/>
  <c r="BL339" i="28" s="1"/>
  <c r="AF339" i="28"/>
  <c r="BA339" i="28" s="1"/>
  <c r="AR339" i="28"/>
  <c r="BM339" i="28" s="1"/>
  <c r="AA232" i="28"/>
  <c r="AV232" i="28" s="1"/>
  <c r="AM232" i="28"/>
  <c r="BH232" i="28" s="1"/>
  <c r="AB232" i="28"/>
  <c r="AW232" i="28" s="1"/>
  <c r="AN232" i="28"/>
  <c r="BI232" i="28" s="1"/>
  <c r="AD232" i="28"/>
  <c r="AY232" i="28" s="1"/>
  <c r="AP232" i="28"/>
  <c r="BK232" i="28" s="1"/>
  <c r="AE232" i="28"/>
  <c r="AZ232" i="28" s="1"/>
  <c r="AQ232" i="28"/>
  <c r="BL232" i="28" s="1"/>
  <c r="AF232" i="28"/>
  <c r="BA232" i="28" s="1"/>
  <c r="AR232" i="28"/>
  <c r="BM232" i="28" s="1"/>
  <c r="AG232" i="28"/>
  <c r="BB232" i="28" s="1"/>
  <c r="AH232" i="28"/>
  <c r="BC232" i="28" s="1"/>
  <c r="AJ232" i="28"/>
  <c r="BE232" i="28" s="1"/>
  <c r="Y232" i="28"/>
  <c r="AT232" i="28" s="1"/>
  <c r="AK232" i="28"/>
  <c r="BF232" i="28" s="1"/>
  <c r="Z232" i="28"/>
  <c r="AC232" i="28"/>
  <c r="AX232" i="28" s="1"/>
  <c r="AI232" i="28"/>
  <c r="BD232" i="28" s="1"/>
  <c r="AL232" i="28"/>
  <c r="BG232" i="28" s="1"/>
  <c r="AO232" i="28"/>
  <c r="BJ232" i="28" s="1"/>
  <c r="AA304" i="28"/>
  <c r="AV304" i="28" s="1"/>
  <c r="AM304" i="28"/>
  <c r="BH304" i="28" s="1"/>
  <c r="AB304" i="28"/>
  <c r="AW304" i="28" s="1"/>
  <c r="AN304" i="28"/>
  <c r="BI304" i="28" s="1"/>
  <c r="AD304" i="28"/>
  <c r="AY304" i="28" s="1"/>
  <c r="AP304" i="28"/>
  <c r="BK304" i="28" s="1"/>
  <c r="AE304" i="28"/>
  <c r="AZ304" i="28" s="1"/>
  <c r="AQ304" i="28"/>
  <c r="BL304" i="28" s="1"/>
  <c r="AF304" i="28"/>
  <c r="BA304" i="28" s="1"/>
  <c r="AR304" i="28"/>
  <c r="BM304" i="28" s="1"/>
  <c r="AG304" i="28"/>
  <c r="BB304" i="28" s="1"/>
  <c r="AH304" i="28"/>
  <c r="BC304" i="28" s="1"/>
  <c r="AJ304" i="28"/>
  <c r="BE304" i="28" s="1"/>
  <c r="Y304" i="28"/>
  <c r="AT304" i="28" s="1"/>
  <c r="AK304" i="28"/>
  <c r="BF304" i="28" s="1"/>
  <c r="Z304" i="28"/>
  <c r="AC304" i="28"/>
  <c r="AX304" i="28" s="1"/>
  <c r="AI304" i="28"/>
  <c r="BD304" i="28" s="1"/>
  <c r="AL304" i="28"/>
  <c r="BG304" i="28" s="1"/>
  <c r="AO304" i="28"/>
  <c r="BJ304" i="28" s="1"/>
  <c r="Y376" i="28"/>
  <c r="AT376" i="28" s="1"/>
  <c r="AK376" i="28"/>
  <c r="BF376" i="28" s="1"/>
  <c r="Z376" i="28"/>
  <c r="AL376" i="28"/>
  <c r="BG376" i="28" s="1"/>
  <c r="AA376" i="28"/>
  <c r="AV376" i="28" s="1"/>
  <c r="AM376" i="28"/>
  <c r="BH376" i="28" s="1"/>
  <c r="AB376" i="28"/>
  <c r="AW376" i="28" s="1"/>
  <c r="AN376" i="28"/>
  <c r="BI376" i="28" s="1"/>
  <c r="AC376" i="28"/>
  <c r="AX376" i="28" s="1"/>
  <c r="AO376" i="28"/>
  <c r="BJ376" i="28" s="1"/>
  <c r="AD376" i="28"/>
  <c r="AY376" i="28" s="1"/>
  <c r="AP376" i="28"/>
  <c r="BK376" i="28" s="1"/>
  <c r="AE376" i="28"/>
  <c r="AZ376" i="28" s="1"/>
  <c r="AQ376" i="28"/>
  <c r="BL376" i="28" s="1"/>
  <c r="AF376" i="28"/>
  <c r="BA376" i="28" s="1"/>
  <c r="AR376" i="28"/>
  <c r="BM376" i="28" s="1"/>
  <c r="AG376" i="28"/>
  <c r="BB376" i="28" s="1"/>
  <c r="AH376" i="28"/>
  <c r="BC376" i="28" s="1"/>
  <c r="AI376" i="28"/>
  <c r="BD376" i="28" s="1"/>
  <c r="AJ376" i="28"/>
  <c r="BE376" i="28" s="1"/>
  <c r="AE269" i="28"/>
  <c r="AZ269" i="28" s="1"/>
  <c r="AQ269" i="28"/>
  <c r="BL269" i="28" s="1"/>
  <c r="AF269" i="28"/>
  <c r="BA269" i="28" s="1"/>
  <c r="AR269" i="28"/>
  <c r="BM269" i="28" s="1"/>
  <c r="AH269" i="28"/>
  <c r="BC269" i="28" s="1"/>
  <c r="AI269" i="28"/>
  <c r="BD269" i="28" s="1"/>
  <c r="AJ269" i="28"/>
  <c r="BE269" i="28" s="1"/>
  <c r="Y269" i="28"/>
  <c r="AT269" i="28" s="1"/>
  <c r="AK269" i="28"/>
  <c r="BF269" i="28" s="1"/>
  <c r="Z269" i="28"/>
  <c r="AL269" i="28"/>
  <c r="BG269" i="28" s="1"/>
  <c r="AB269" i="28"/>
  <c r="AW269" i="28" s="1"/>
  <c r="AN269" i="28"/>
  <c r="BI269" i="28" s="1"/>
  <c r="AC269" i="28"/>
  <c r="AX269" i="28" s="1"/>
  <c r="AO269" i="28"/>
  <c r="BJ269" i="28" s="1"/>
  <c r="AA269" i="28"/>
  <c r="AV269" i="28" s="1"/>
  <c r="AD269" i="28"/>
  <c r="AY269" i="28" s="1"/>
  <c r="AG269" i="28"/>
  <c r="BB269" i="28" s="1"/>
  <c r="AM269" i="28"/>
  <c r="BH269" i="28" s="1"/>
  <c r="AP269" i="28"/>
  <c r="BK269" i="28" s="1"/>
  <c r="AC341" i="28"/>
  <c r="AX341" i="28" s="1"/>
  <c r="AO341" i="28"/>
  <c r="BJ341" i="28" s="1"/>
  <c r="AD341" i="28"/>
  <c r="AY341" i="28" s="1"/>
  <c r="AP341" i="28"/>
  <c r="BK341" i="28" s="1"/>
  <c r="AE341" i="28"/>
  <c r="AZ341" i="28" s="1"/>
  <c r="AQ341" i="28"/>
  <c r="BL341" i="28" s="1"/>
  <c r="AF341" i="28"/>
  <c r="BA341" i="28" s="1"/>
  <c r="AR341" i="28"/>
  <c r="BM341" i="28" s="1"/>
  <c r="AG341" i="28"/>
  <c r="BB341" i="28" s="1"/>
  <c r="AH341" i="28"/>
  <c r="BC341" i="28" s="1"/>
  <c r="AI341" i="28"/>
  <c r="BD341" i="28" s="1"/>
  <c r="AJ341" i="28"/>
  <c r="BE341" i="28" s="1"/>
  <c r="Y341" i="28"/>
  <c r="AT341" i="28" s="1"/>
  <c r="AK341" i="28"/>
  <c r="BF341" i="28" s="1"/>
  <c r="Z341" i="28"/>
  <c r="AL341" i="28"/>
  <c r="BG341" i="28" s="1"/>
  <c r="AA341" i="28"/>
  <c r="AV341" i="28" s="1"/>
  <c r="AM341" i="28"/>
  <c r="BH341" i="28" s="1"/>
  <c r="AB341" i="28"/>
  <c r="AW341" i="28" s="1"/>
  <c r="AN341" i="28"/>
  <c r="BI341" i="28" s="1"/>
  <c r="AI234" i="28"/>
  <c r="BD234" i="28" s="1"/>
  <c r="AJ234" i="28"/>
  <c r="BE234" i="28" s="1"/>
  <c r="Z234" i="28"/>
  <c r="AL234" i="28"/>
  <c r="BG234" i="28" s="1"/>
  <c r="AA234" i="28"/>
  <c r="AV234" i="28" s="1"/>
  <c r="AM234" i="28"/>
  <c r="BH234" i="28" s="1"/>
  <c r="AB234" i="28"/>
  <c r="AW234" i="28" s="1"/>
  <c r="AN234" i="28"/>
  <c r="BI234" i="28" s="1"/>
  <c r="AC234" i="28"/>
  <c r="AX234" i="28" s="1"/>
  <c r="AO234" i="28"/>
  <c r="BJ234" i="28" s="1"/>
  <c r="AD234" i="28"/>
  <c r="AY234" i="28" s="1"/>
  <c r="AP234" i="28"/>
  <c r="BK234" i="28" s="1"/>
  <c r="AF234" i="28"/>
  <c r="BA234" i="28" s="1"/>
  <c r="AR234" i="28"/>
  <c r="BM234" i="28" s="1"/>
  <c r="AG234" i="28"/>
  <c r="BB234" i="28" s="1"/>
  <c r="Y234" i="28"/>
  <c r="AT234" i="28" s="1"/>
  <c r="AE234" i="28"/>
  <c r="AZ234" i="28" s="1"/>
  <c r="AH234" i="28"/>
  <c r="BC234" i="28" s="1"/>
  <c r="AK234" i="28"/>
  <c r="BF234" i="28" s="1"/>
  <c r="AQ234" i="28"/>
  <c r="BL234" i="28" s="1"/>
  <c r="AI306" i="28"/>
  <c r="BD306" i="28" s="1"/>
  <c r="AJ306" i="28"/>
  <c r="BE306" i="28" s="1"/>
  <c r="Z306" i="28"/>
  <c r="AL306" i="28"/>
  <c r="BG306" i="28" s="1"/>
  <c r="AA306" i="28"/>
  <c r="AV306" i="28" s="1"/>
  <c r="AM306" i="28"/>
  <c r="BH306" i="28" s="1"/>
  <c r="AB306" i="28"/>
  <c r="AW306" i="28" s="1"/>
  <c r="AN306" i="28"/>
  <c r="BI306" i="28" s="1"/>
  <c r="AC306" i="28"/>
  <c r="AX306" i="28" s="1"/>
  <c r="AO306" i="28"/>
  <c r="BJ306" i="28" s="1"/>
  <c r="AD306" i="28"/>
  <c r="AY306" i="28" s="1"/>
  <c r="AP306" i="28"/>
  <c r="BK306" i="28" s="1"/>
  <c r="AF306" i="28"/>
  <c r="BA306" i="28" s="1"/>
  <c r="AR306" i="28"/>
  <c r="BM306" i="28" s="1"/>
  <c r="AG306" i="28"/>
  <c r="BB306" i="28" s="1"/>
  <c r="Y306" i="28"/>
  <c r="AT306" i="28" s="1"/>
  <c r="AE306" i="28"/>
  <c r="AZ306" i="28" s="1"/>
  <c r="AH306" i="28"/>
  <c r="BC306" i="28" s="1"/>
  <c r="AK306" i="28"/>
  <c r="BF306" i="28" s="1"/>
  <c r="AQ306" i="28"/>
  <c r="BL306" i="28" s="1"/>
  <c r="AG378" i="28"/>
  <c r="BB378" i="28" s="1"/>
  <c r="AH378" i="28"/>
  <c r="BC378" i="28" s="1"/>
  <c r="AI378" i="28"/>
  <c r="BD378" i="28" s="1"/>
  <c r="AJ378" i="28"/>
  <c r="BE378" i="28" s="1"/>
  <c r="Y378" i="28"/>
  <c r="AT378" i="28" s="1"/>
  <c r="AK378" i="28"/>
  <c r="BF378" i="28" s="1"/>
  <c r="Z378" i="28"/>
  <c r="AL378" i="28"/>
  <c r="BG378" i="28" s="1"/>
  <c r="AA378" i="28"/>
  <c r="AV378" i="28" s="1"/>
  <c r="AM378" i="28"/>
  <c r="BH378" i="28" s="1"/>
  <c r="AB378" i="28"/>
  <c r="AW378" i="28" s="1"/>
  <c r="AN378" i="28"/>
  <c r="BI378" i="28" s="1"/>
  <c r="AC378" i="28"/>
  <c r="AX378" i="28" s="1"/>
  <c r="AO378" i="28"/>
  <c r="BJ378" i="28" s="1"/>
  <c r="AD378" i="28"/>
  <c r="AY378" i="28" s="1"/>
  <c r="AP378" i="28"/>
  <c r="BK378" i="28" s="1"/>
  <c r="AE378" i="28"/>
  <c r="AZ378" i="28" s="1"/>
  <c r="AQ378" i="28"/>
  <c r="BL378" i="28" s="1"/>
  <c r="AF378" i="28"/>
  <c r="BA378" i="28" s="1"/>
  <c r="AR378" i="28"/>
  <c r="BM378" i="28" s="1"/>
  <c r="AA271" i="28"/>
  <c r="AV271" i="28" s="1"/>
  <c r="AM271" i="28"/>
  <c r="BH271" i="28" s="1"/>
  <c r="AB271" i="28"/>
  <c r="AW271" i="28" s="1"/>
  <c r="AN271" i="28"/>
  <c r="BI271" i="28" s="1"/>
  <c r="AD271" i="28"/>
  <c r="AY271" i="28" s="1"/>
  <c r="AP271" i="28"/>
  <c r="BK271" i="28" s="1"/>
  <c r="AE271" i="28"/>
  <c r="AZ271" i="28" s="1"/>
  <c r="AQ271" i="28"/>
  <c r="BL271" i="28" s="1"/>
  <c r="AF271" i="28"/>
  <c r="BA271" i="28" s="1"/>
  <c r="AR271" i="28"/>
  <c r="BM271" i="28" s="1"/>
  <c r="AG271" i="28"/>
  <c r="BB271" i="28" s="1"/>
  <c r="AH271" i="28"/>
  <c r="BC271" i="28" s="1"/>
  <c r="AJ271" i="28"/>
  <c r="BE271" i="28" s="1"/>
  <c r="Y271" i="28"/>
  <c r="AT271" i="28" s="1"/>
  <c r="AK271" i="28"/>
  <c r="BF271" i="28" s="1"/>
  <c r="AI271" i="28"/>
  <c r="BD271" i="28" s="1"/>
  <c r="AL271" i="28"/>
  <c r="BG271" i="28" s="1"/>
  <c r="AO271" i="28"/>
  <c r="BJ271" i="28" s="1"/>
  <c r="Z271" i="28"/>
  <c r="AC271" i="28"/>
  <c r="AX271" i="28" s="1"/>
  <c r="Y343" i="28"/>
  <c r="AT343" i="28" s="1"/>
  <c r="AK343" i="28"/>
  <c r="BF343" i="28" s="1"/>
  <c r="Z343" i="28"/>
  <c r="AL343" i="28"/>
  <c r="BG343" i="28" s="1"/>
  <c r="AA343" i="28"/>
  <c r="AV343" i="28" s="1"/>
  <c r="AM343" i="28"/>
  <c r="BH343" i="28" s="1"/>
  <c r="AB343" i="28"/>
  <c r="AW343" i="28" s="1"/>
  <c r="AN343" i="28"/>
  <c r="BI343" i="28" s="1"/>
  <c r="AC343" i="28"/>
  <c r="AX343" i="28" s="1"/>
  <c r="AO343" i="28"/>
  <c r="BJ343" i="28" s="1"/>
  <c r="AD343" i="28"/>
  <c r="AY343" i="28" s="1"/>
  <c r="AP343" i="28"/>
  <c r="BK343" i="28" s="1"/>
  <c r="AE343" i="28"/>
  <c r="AZ343" i="28" s="1"/>
  <c r="AQ343" i="28"/>
  <c r="BL343" i="28" s="1"/>
  <c r="AF343" i="28"/>
  <c r="BA343" i="28" s="1"/>
  <c r="AR343" i="28"/>
  <c r="BM343" i="28" s="1"/>
  <c r="AG343" i="28"/>
  <c r="BB343" i="28" s="1"/>
  <c r="AH343" i="28"/>
  <c r="BC343" i="28" s="1"/>
  <c r="AI343" i="28"/>
  <c r="BD343" i="28" s="1"/>
  <c r="AJ343" i="28"/>
  <c r="BE343" i="28" s="1"/>
  <c r="AE242" i="28"/>
  <c r="AZ242" i="28" s="1"/>
  <c r="AQ242" i="28"/>
  <c r="BL242" i="28" s="1"/>
  <c r="AF242" i="28"/>
  <c r="BA242" i="28" s="1"/>
  <c r="AR242" i="28"/>
  <c r="BM242" i="28" s="1"/>
  <c r="AH242" i="28"/>
  <c r="BC242" i="28" s="1"/>
  <c r="AI242" i="28"/>
  <c r="BD242" i="28" s="1"/>
  <c r="AJ242" i="28"/>
  <c r="BE242" i="28" s="1"/>
  <c r="Y242" i="28"/>
  <c r="AT242" i="28" s="1"/>
  <c r="AK242" i="28"/>
  <c r="BF242" i="28" s="1"/>
  <c r="Z242" i="28"/>
  <c r="AL242" i="28"/>
  <c r="BG242" i="28" s="1"/>
  <c r="AB242" i="28"/>
  <c r="AW242" i="28" s="1"/>
  <c r="AN242" i="28"/>
  <c r="BI242" i="28" s="1"/>
  <c r="AC242" i="28"/>
  <c r="AX242" i="28" s="1"/>
  <c r="AO242" i="28"/>
  <c r="BJ242" i="28" s="1"/>
  <c r="AM242" i="28"/>
  <c r="BH242" i="28" s="1"/>
  <c r="AP242" i="28"/>
  <c r="BK242" i="28" s="1"/>
  <c r="AA242" i="28"/>
  <c r="AV242" i="28" s="1"/>
  <c r="AD242" i="28"/>
  <c r="AY242" i="28" s="1"/>
  <c r="AG242" i="28"/>
  <c r="BB242" i="28" s="1"/>
  <c r="AE314" i="28"/>
  <c r="AZ314" i="28" s="1"/>
  <c r="AQ314" i="28"/>
  <c r="BL314" i="28" s="1"/>
  <c r="AF314" i="28"/>
  <c r="BA314" i="28" s="1"/>
  <c r="AR314" i="28"/>
  <c r="BM314" i="28" s="1"/>
  <c r="AH314" i="28"/>
  <c r="BC314" i="28" s="1"/>
  <c r="AI314" i="28"/>
  <c r="BD314" i="28" s="1"/>
  <c r="Y314" i="28"/>
  <c r="AT314" i="28" s="1"/>
  <c r="AK314" i="28"/>
  <c r="BF314" i="28" s="1"/>
  <c r="Z314" i="28"/>
  <c r="AL314" i="28"/>
  <c r="BG314" i="28" s="1"/>
  <c r="AB314" i="28"/>
  <c r="AW314" i="28" s="1"/>
  <c r="AN314" i="28"/>
  <c r="BI314" i="28" s="1"/>
  <c r="AC314" i="28"/>
  <c r="AX314" i="28" s="1"/>
  <c r="AO314" i="28"/>
  <c r="BJ314" i="28" s="1"/>
  <c r="AD314" i="28"/>
  <c r="AY314" i="28" s="1"/>
  <c r="AG314" i="28"/>
  <c r="BB314" i="28" s="1"/>
  <c r="AJ314" i="28"/>
  <c r="BE314" i="28" s="1"/>
  <c r="AM314" i="28"/>
  <c r="BH314" i="28" s="1"/>
  <c r="AP314" i="28"/>
  <c r="BK314" i="28" s="1"/>
  <c r="AA314" i="28"/>
  <c r="AV314" i="28" s="1"/>
  <c r="Z206" i="28"/>
  <c r="AL206" i="28"/>
  <c r="BG206" i="28" s="1"/>
  <c r="AA206" i="28"/>
  <c r="AV206" i="28" s="1"/>
  <c r="AM206" i="28"/>
  <c r="BH206" i="28" s="1"/>
  <c r="AB206" i="28"/>
  <c r="AW206" i="28" s="1"/>
  <c r="AN206" i="28"/>
  <c r="BI206" i="28" s="1"/>
  <c r="AC206" i="28"/>
  <c r="AX206" i="28" s="1"/>
  <c r="AO206" i="28"/>
  <c r="BJ206" i="28" s="1"/>
  <c r="AD206" i="28"/>
  <c r="AY206" i="28" s="1"/>
  <c r="AP206" i="28"/>
  <c r="BK206" i="28" s="1"/>
  <c r="AE206" i="28"/>
  <c r="AZ206" i="28" s="1"/>
  <c r="AQ206" i="28"/>
  <c r="BL206" i="28" s="1"/>
  <c r="AF206" i="28"/>
  <c r="BA206" i="28" s="1"/>
  <c r="AR206" i="28"/>
  <c r="BM206" i="28" s="1"/>
  <c r="AG206" i="28"/>
  <c r="BB206" i="28" s="1"/>
  <c r="Y206" i="28"/>
  <c r="AT206" i="28" s="1"/>
  <c r="AH206" i="28"/>
  <c r="BC206" i="28" s="1"/>
  <c r="AI206" i="28"/>
  <c r="BD206" i="28" s="1"/>
  <c r="AJ206" i="28"/>
  <c r="BE206" i="28" s="1"/>
  <c r="AK206" i="28"/>
  <c r="BF206" i="28" s="1"/>
  <c r="AH262" i="24"/>
  <c r="BC262" i="24" s="1"/>
  <c r="AI262" i="24"/>
  <c r="BD262" i="24" s="1"/>
  <c r="AJ262" i="24"/>
  <c r="BE262" i="24" s="1"/>
  <c r="AK262" i="24"/>
  <c r="BF262" i="24" s="1"/>
  <c r="Z262" i="24"/>
  <c r="AL262" i="24"/>
  <c r="BG262" i="24" s="1"/>
  <c r="AA262" i="24"/>
  <c r="AV262" i="24" s="1"/>
  <c r="AM262" i="24"/>
  <c r="BH262" i="24" s="1"/>
  <c r="AB262" i="24"/>
  <c r="AW262" i="24" s="1"/>
  <c r="AN262" i="24"/>
  <c r="BI262" i="24" s="1"/>
  <c r="AC262" i="24"/>
  <c r="AX262" i="24" s="1"/>
  <c r="AO262" i="24"/>
  <c r="BJ262" i="24" s="1"/>
  <c r="AD262" i="24"/>
  <c r="AY262" i="24" s="1"/>
  <c r="AP262" i="24"/>
  <c r="BK262" i="24" s="1"/>
  <c r="AE262" i="24"/>
  <c r="AZ262" i="24" s="1"/>
  <c r="AQ262" i="24"/>
  <c r="BL262" i="24" s="1"/>
  <c r="AF262" i="24"/>
  <c r="BA262" i="24" s="1"/>
  <c r="AR262" i="24"/>
  <c r="BM262" i="24" s="1"/>
  <c r="AG262" i="24"/>
  <c r="BB262" i="24" s="1"/>
  <c r="Y262" i="24"/>
  <c r="AT262" i="24" s="1"/>
  <c r="AK109" i="24"/>
  <c r="BF109" i="24" s="1"/>
  <c r="Z109" i="24"/>
  <c r="AL109" i="24"/>
  <c r="BG109" i="24" s="1"/>
  <c r="AA109" i="24"/>
  <c r="AV109" i="24" s="1"/>
  <c r="AM109" i="24"/>
  <c r="BH109" i="24" s="1"/>
  <c r="AB109" i="24"/>
  <c r="AW109" i="24" s="1"/>
  <c r="AN109" i="24"/>
  <c r="BI109" i="24" s="1"/>
  <c r="AC109" i="24"/>
  <c r="AX109" i="24" s="1"/>
  <c r="AO109" i="24"/>
  <c r="BJ109" i="24" s="1"/>
  <c r="AD109" i="24"/>
  <c r="AY109" i="24" s="1"/>
  <c r="AP109" i="24"/>
  <c r="BK109" i="24" s="1"/>
  <c r="AE109" i="24"/>
  <c r="AZ109" i="24" s="1"/>
  <c r="AQ109" i="24"/>
  <c r="BL109" i="24" s="1"/>
  <c r="AF109" i="24"/>
  <c r="BA109" i="24" s="1"/>
  <c r="AR109" i="24"/>
  <c r="BM109" i="24" s="1"/>
  <c r="AG109" i="24"/>
  <c r="BB109" i="24" s="1"/>
  <c r="AH109" i="24"/>
  <c r="BC109" i="24" s="1"/>
  <c r="AI109" i="24"/>
  <c r="BD109" i="24" s="1"/>
  <c r="Y109" i="24"/>
  <c r="AT109" i="24" s="1"/>
  <c r="AJ109" i="24"/>
  <c r="BE109" i="24" s="1"/>
  <c r="AD266" i="24"/>
  <c r="AY266" i="24" s="1"/>
  <c r="AP266" i="24"/>
  <c r="BK266" i="24" s="1"/>
  <c r="AE266" i="24"/>
  <c r="AZ266" i="24" s="1"/>
  <c r="AQ266" i="24"/>
  <c r="BL266" i="24" s="1"/>
  <c r="AF266" i="24"/>
  <c r="BA266" i="24" s="1"/>
  <c r="AR266" i="24"/>
  <c r="BM266" i="24" s="1"/>
  <c r="AG266" i="24"/>
  <c r="BB266" i="24" s="1"/>
  <c r="AH266" i="24"/>
  <c r="BC266" i="24" s="1"/>
  <c r="AI266" i="24"/>
  <c r="BD266" i="24" s="1"/>
  <c r="AJ266" i="24"/>
  <c r="BE266" i="24" s="1"/>
  <c r="AK266" i="24"/>
  <c r="BF266" i="24" s="1"/>
  <c r="Z266" i="24"/>
  <c r="AL266" i="24"/>
  <c r="BG266" i="24" s="1"/>
  <c r="AA266" i="24"/>
  <c r="AV266" i="24" s="1"/>
  <c r="AM266" i="24"/>
  <c r="BH266" i="24" s="1"/>
  <c r="AB266" i="24"/>
  <c r="AW266" i="24" s="1"/>
  <c r="AN266" i="24"/>
  <c r="BI266" i="24" s="1"/>
  <c r="Y266" i="24"/>
  <c r="AT266" i="24" s="1"/>
  <c r="AO266" i="24"/>
  <c r="BJ266" i="24" s="1"/>
  <c r="AC266" i="24"/>
  <c r="AX266" i="24" s="1"/>
  <c r="AH130" i="24"/>
  <c r="BC130" i="24" s="1"/>
  <c r="AI130" i="24"/>
  <c r="BD130" i="24" s="1"/>
  <c r="AJ130" i="24"/>
  <c r="BE130" i="24" s="1"/>
  <c r="AK130" i="24"/>
  <c r="BF130" i="24" s="1"/>
  <c r="Z130" i="24"/>
  <c r="AL130" i="24"/>
  <c r="BG130" i="24" s="1"/>
  <c r="AA130" i="24"/>
  <c r="AV130" i="24" s="1"/>
  <c r="AM130" i="24"/>
  <c r="BH130" i="24" s="1"/>
  <c r="AB130" i="24"/>
  <c r="AW130" i="24" s="1"/>
  <c r="AN130" i="24"/>
  <c r="BI130" i="24" s="1"/>
  <c r="AC130" i="24"/>
  <c r="AX130" i="24" s="1"/>
  <c r="AO130" i="24"/>
  <c r="BJ130" i="24" s="1"/>
  <c r="AD130" i="24"/>
  <c r="AY130" i="24" s="1"/>
  <c r="AP130" i="24"/>
  <c r="BK130" i="24" s="1"/>
  <c r="AE130" i="24"/>
  <c r="AZ130" i="24" s="1"/>
  <c r="AQ130" i="24"/>
  <c r="BL130" i="24" s="1"/>
  <c r="AF130" i="24"/>
  <c r="BA130" i="24" s="1"/>
  <c r="AR130" i="24"/>
  <c r="BM130" i="24" s="1"/>
  <c r="Y130" i="24"/>
  <c r="AT130" i="24" s="1"/>
  <c r="AG130" i="24"/>
  <c r="BB130" i="24" s="1"/>
  <c r="AH202" i="24"/>
  <c r="BC202" i="24" s="1"/>
  <c r="AI202" i="24"/>
  <c r="BD202" i="24" s="1"/>
  <c r="AJ202" i="24"/>
  <c r="BE202" i="24" s="1"/>
  <c r="AK202" i="24"/>
  <c r="BF202" i="24" s="1"/>
  <c r="Z202" i="24"/>
  <c r="AL202" i="24"/>
  <c r="BG202" i="24" s="1"/>
  <c r="AA202" i="24"/>
  <c r="AV202" i="24" s="1"/>
  <c r="AM202" i="24"/>
  <c r="BH202" i="24" s="1"/>
  <c r="AB202" i="24"/>
  <c r="AW202" i="24" s="1"/>
  <c r="AN202" i="24"/>
  <c r="BI202" i="24" s="1"/>
  <c r="AC202" i="24"/>
  <c r="AX202" i="24" s="1"/>
  <c r="AO202" i="24"/>
  <c r="BJ202" i="24" s="1"/>
  <c r="AD202" i="24"/>
  <c r="AY202" i="24" s="1"/>
  <c r="AP202" i="24"/>
  <c r="BK202" i="24" s="1"/>
  <c r="AE202" i="24"/>
  <c r="AZ202" i="24" s="1"/>
  <c r="AQ202" i="24"/>
  <c r="BL202" i="24" s="1"/>
  <c r="AF202" i="24"/>
  <c r="BA202" i="24" s="1"/>
  <c r="AR202" i="24"/>
  <c r="BM202" i="24" s="1"/>
  <c r="AG202" i="24"/>
  <c r="BB202" i="24" s="1"/>
  <c r="Y202" i="24"/>
  <c r="AT202" i="24" s="1"/>
  <c r="AK66" i="24"/>
  <c r="BF66" i="24" s="1"/>
  <c r="Z66" i="24"/>
  <c r="AL66" i="24"/>
  <c r="BG66" i="24" s="1"/>
  <c r="AA66" i="24"/>
  <c r="AV66" i="24" s="1"/>
  <c r="AM66" i="24"/>
  <c r="BH66" i="24" s="1"/>
  <c r="AB66" i="24"/>
  <c r="AW66" i="24" s="1"/>
  <c r="AN66" i="24"/>
  <c r="BI66" i="24" s="1"/>
  <c r="AC66" i="24"/>
  <c r="AX66" i="24" s="1"/>
  <c r="AO66" i="24"/>
  <c r="BJ66" i="24" s="1"/>
  <c r="AD66" i="24"/>
  <c r="AY66" i="24" s="1"/>
  <c r="AP66" i="24"/>
  <c r="BK66" i="24" s="1"/>
  <c r="AE66" i="24"/>
  <c r="AZ66" i="24" s="1"/>
  <c r="AQ66" i="24"/>
  <c r="BL66" i="24" s="1"/>
  <c r="AF66" i="24"/>
  <c r="BA66" i="24" s="1"/>
  <c r="AR66" i="24"/>
  <c r="BM66" i="24" s="1"/>
  <c r="AG66" i="24"/>
  <c r="BB66" i="24" s="1"/>
  <c r="AH66" i="24"/>
  <c r="BC66" i="24" s="1"/>
  <c r="AI66" i="24"/>
  <c r="BD66" i="24" s="1"/>
  <c r="AJ66" i="24"/>
  <c r="BE66" i="24" s="1"/>
  <c r="Y66" i="24"/>
  <c r="AT66" i="24" s="1"/>
  <c r="Z138" i="24"/>
  <c r="AL138" i="24"/>
  <c r="BG138" i="24" s="1"/>
  <c r="AA138" i="24"/>
  <c r="AV138" i="24" s="1"/>
  <c r="AM138" i="24"/>
  <c r="BH138" i="24" s="1"/>
  <c r="AB138" i="24"/>
  <c r="AW138" i="24" s="1"/>
  <c r="AN138" i="24"/>
  <c r="BI138" i="24" s="1"/>
  <c r="AC138" i="24"/>
  <c r="AX138" i="24" s="1"/>
  <c r="AO138" i="24"/>
  <c r="BJ138" i="24" s="1"/>
  <c r="AD138" i="24"/>
  <c r="AY138" i="24" s="1"/>
  <c r="AP138" i="24"/>
  <c r="BK138" i="24" s="1"/>
  <c r="AE138" i="24"/>
  <c r="AZ138" i="24" s="1"/>
  <c r="AQ138" i="24"/>
  <c r="BL138" i="24" s="1"/>
  <c r="AF138" i="24"/>
  <c r="BA138" i="24" s="1"/>
  <c r="AR138" i="24"/>
  <c r="BM138" i="24" s="1"/>
  <c r="AG138" i="24"/>
  <c r="BB138" i="24" s="1"/>
  <c r="AH138" i="24"/>
  <c r="BC138" i="24" s="1"/>
  <c r="AI138" i="24"/>
  <c r="BD138" i="24" s="1"/>
  <c r="AJ138" i="24"/>
  <c r="BE138" i="24" s="1"/>
  <c r="AK138" i="24"/>
  <c r="BF138" i="24" s="1"/>
  <c r="Y138" i="24"/>
  <c r="AT138" i="24" s="1"/>
  <c r="Z210" i="24"/>
  <c r="AL210" i="24"/>
  <c r="BG210" i="24" s="1"/>
  <c r="AA210" i="24"/>
  <c r="AV210" i="24" s="1"/>
  <c r="AM210" i="24"/>
  <c r="BH210" i="24" s="1"/>
  <c r="AB210" i="24"/>
  <c r="AW210" i="24" s="1"/>
  <c r="AN210" i="24"/>
  <c r="BI210" i="24" s="1"/>
  <c r="AC210" i="24"/>
  <c r="AX210" i="24" s="1"/>
  <c r="AO210" i="24"/>
  <c r="BJ210" i="24" s="1"/>
  <c r="AD210" i="24"/>
  <c r="AY210" i="24" s="1"/>
  <c r="AP210" i="24"/>
  <c r="BK210" i="24" s="1"/>
  <c r="AE210" i="24"/>
  <c r="AZ210" i="24" s="1"/>
  <c r="AQ210" i="24"/>
  <c r="BL210" i="24" s="1"/>
  <c r="AF210" i="24"/>
  <c r="BA210" i="24" s="1"/>
  <c r="AR210" i="24"/>
  <c r="BM210" i="24" s="1"/>
  <c r="AG210" i="24"/>
  <c r="BB210" i="24" s="1"/>
  <c r="AH210" i="24"/>
  <c r="BC210" i="24" s="1"/>
  <c r="AI210" i="24"/>
  <c r="BD210" i="24" s="1"/>
  <c r="AJ210" i="24"/>
  <c r="BE210" i="24" s="1"/>
  <c r="Y210" i="24"/>
  <c r="AT210" i="24" s="1"/>
  <c r="AK210" i="24"/>
  <c r="BF210" i="24" s="1"/>
  <c r="Z282" i="24"/>
  <c r="AL282" i="24"/>
  <c r="BG282" i="24" s="1"/>
  <c r="AA282" i="24"/>
  <c r="AV282" i="24" s="1"/>
  <c r="AM282" i="24"/>
  <c r="BH282" i="24" s="1"/>
  <c r="AB282" i="24"/>
  <c r="AW282" i="24" s="1"/>
  <c r="AN282" i="24"/>
  <c r="BI282" i="24" s="1"/>
  <c r="AC282" i="24"/>
  <c r="AX282" i="24" s="1"/>
  <c r="AO282" i="24"/>
  <c r="BJ282" i="24" s="1"/>
  <c r="AD282" i="24"/>
  <c r="AY282" i="24" s="1"/>
  <c r="AP282" i="24"/>
  <c r="BK282" i="24" s="1"/>
  <c r="AE282" i="24"/>
  <c r="AZ282" i="24" s="1"/>
  <c r="AQ282" i="24"/>
  <c r="BL282" i="24" s="1"/>
  <c r="AF282" i="24"/>
  <c r="BA282" i="24" s="1"/>
  <c r="AR282" i="24"/>
  <c r="BM282" i="24" s="1"/>
  <c r="AG282" i="24"/>
  <c r="BB282" i="24" s="1"/>
  <c r="AH282" i="24"/>
  <c r="BC282" i="24" s="1"/>
  <c r="AI282" i="24"/>
  <c r="BD282" i="24" s="1"/>
  <c r="AJ282" i="24"/>
  <c r="BE282" i="24" s="1"/>
  <c r="AK282" i="24"/>
  <c r="BF282" i="24" s="1"/>
  <c r="Y282" i="24"/>
  <c r="AT282" i="24" s="1"/>
  <c r="AD354" i="24"/>
  <c r="AY354" i="24" s="1"/>
  <c r="AP354" i="24"/>
  <c r="BK354" i="24" s="1"/>
  <c r="AO354" i="24"/>
  <c r="BJ354" i="24" s="1"/>
  <c r="AE354" i="24"/>
  <c r="AZ354" i="24" s="1"/>
  <c r="AQ354" i="24"/>
  <c r="BL354" i="24" s="1"/>
  <c r="AF354" i="24"/>
  <c r="BA354" i="24" s="1"/>
  <c r="AR354" i="24"/>
  <c r="BM354" i="24" s="1"/>
  <c r="AG354" i="24"/>
  <c r="BB354" i="24" s="1"/>
  <c r="AH354" i="24"/>
  <c r="BC354" i="24" s="1"/>
  <c r="Y354" i="24"/>
  <c r="AT354" i="24" s="1"/>
  <c r="AI354" i="24"/>
  <c r="BD354" i="24" s="1"/>
  <c r="AJ354" i="24"/>
  <c r="BE354" i="24" s="1"/>
  <c r="AK354" i="24"/>
  <c r="BF354" i="24" s="1"/>
  <c r="Z354" i="24"/>
  <c r="AL354" i="24"/>
  <c r="BG354" i="24" s="1"/>
  <c r="AC354" i="24"/>
  <c r="AX354" i="24" s="1"/>
  <c r="AA354" i="24"/>
  <c r="AV354" i="24" s="1"/>
  <c r="AM354" i="24"/>
  <c r="BH354" i="24" s="1"/>
  <c r="AB354" i="24"/>
  <c r="AW354" i="24" s="1"/>
  <c r="AN354" i="24"/>
  <c r="BI354" i="24" s="1"/>
  <c r="AK289" i="24"/>
  <c r="BF289" i="24" s="1"/>
  <c r="Z289" i="24"/>
  <c r="AL289" i="24"/>
  <c r="BG289" i="24" s="1"/>
  <c r="AA289" i="24"/>
  <c r="AV289" i="24" s="1"/>
  <c r="AM289" i="24"/>
  <c r="BH289" i="24" s="1"/>
  <c r="AB289" i="24"/>
  <c r="AW289" i="24" s="1"/>
  <c r="AN289" i="24"/>
  <c r="BI289" i="24" s="1"/>
  <c r="AC289" i="24"/>
  <c r="AX289" i="24" s="1"/>
  <c r="AO289" i="24"/>
  <c r="BJ289" i="24" s="1"/>
  <c r="AD289" i="24"/>
  <c r="AY289" i="24" s="1"/>
  <c r="AP289" i="24"/>
  <c r="BK289" i="24" s="1"/>
  <c r="AE289" i="24"/>
  <c r="AZ289" i="24" s="1"/>
  <c r="AQ289" i="24"/>
  <c r="BL289" i="24" s="1"/>
  <c r="AF289" i="24"/>
  <c r="BA289" i="24" s="1"/>
  <c r="AR289" i="24"/>
  <c r="BM289" i="24" s="1"/>
  <c r="AG289" i="24"/>
  <c r="BB289" i="24" s="1"/>
  <c r="AH289" i="24"/>
  <c r="BC289" i="24" s="1"/>
  <c r="AI289" i="24"/>
  <c r="BD289" i="24" s="1"/>
  <c r="Y289" i="24"/>
  <c r="AT289" i="24" s="1"/>
  <c r="AJ289" i="24"/>
  <c r="BE289" i="24" s="1"/>
  <c r="AE295" i="24"/>
  <c r="AZ295" i="24" s="1"/>
  <c r="AQ295" i="24"/>
  <c r="BL295" i="24" s="1"/>
  <c r="AF295" i="24"/>
  <c r="BA295" i="24" s="1"/>
  <c r="AR295" i="24"/>
  <c r="BM295" i="24" s="1"/>
  <c r="AG295" i="24"/>
  <c r="BB295" i="24" s="1"/>
  <c r="AH295" i="24"/>
  <c r="BC295" i="24" s="1"/>
  <c r="AI295" i="24"/>
  <c r="BD295" i="24" s="1"/>
  <c r="AJ295" i="24"/>
  <c r="BE295" i="24" s="1"/>
  <c r="AK295" i="24"/>
  <c r="BF295" i="24" s="1"/>
  <c r="Z295" i="24"/>
  <c r="AL295" i="24"/>
  <c r="BG295" i="24" s="1"/>
  <c r="AA295" i="24"/>
  <c r="AV295" i="24" s="1"/>
  <c r="AM295" i="24"/>
  <c r="BH295" i="24" s="1"/>
  <c r="AB295" i="24"/>
  <c r="AW295" i="24" s="1"/>
  <c r="AN295" i="24"/>
  <c r="BI295" i="24" s="1"/>
  <c r="AC295" i="24"/>
  <c r="AX295" i="24" s="1"/>
  <c r="AO295" i="24"/>
  <c r="BJ295" i="24" s="1"/>
  <c r="Y295" i="24"/>
  <c r="AT295" i="24" s="1"/>
  <c r="AD295" i="24"/>
  <c r="AY295" i="24" s="1"/>
  <c r="AP295" i="24"/>
  <c r="BK295" i="24" s="1"/>
  <c r="AK121" i="24"/>
  <c r="BF121" i="24" s="1"/>
  <c r="Z121" i="24"/>
  <c r="AL121" i="24"/>
  <c r="BG121" i="24" s="1"/>
  <c r="AA121" i="24"/>
  <c r="AV121" i="24" s="1"/>
  <c r="AM121" i="24"/>
  <c r="BH121" i="24" s="1"/>
  <c r="AB121" i="24"/>
  <c r="AW121" i="24" s="1"/>
  <c r="AN121" i="24"/>
  <c r="BI121" i="24" s="1"/>
  <c r="AC121" i="24"/>
  <c r="AX121" i="24" s="1"/>
  <c r="AO121" i="24"/>
  <c r="BJ121" i="24" s="1"/>
  <c r="AD121" i="24"/>
  <c r="AY121" i="24" s="1"/>
  <c r="AP121" i="24"/>
  <c r="BK121" i="24" s="1"/>
  <c r="AE121" i="24"/>
  <c r="AZ121" i="24" s="1"/>
  <c r="AQ121" i="24"/>
  <c r="BL121" i="24" s="1"/>
  <c r="AF121" i="24"/>
  <c r="BA121" i="24" s="1"/>
  <c r="AR121" i="24"/>
  <c r="BM121" i="24" s="1"/>
  <c r="AG121" i="24"/>
  <c r="BB121" i="24" s="1"/>
  <c r="AH121" i="24"/>
  <c r="BC121" i="24" s="1"/>
  <c r="AI121" i="24"/>
  <c r="BD121" i="24" s="1"/>
  <c r="Y121" i="24"/>
  <c r="AT121" i="24" s="1"/>
  <c r="AJ121" i="24"/>
  <c r="BE121" i="24" s="1"/>
  <c r="AK229" i="24"/>
  <c r="BF229" i="24" s="1"/>
  <c r="Z229" i="24"/>
  <c r="AL229" i="24"/>
  <c r="BG229" i="24" s="1"/>
  <c r="AA229" i="24"/>
  <c r="AV229" i="24" s="1"/>
  <c r="AM229" i="24"/>
  <c r="BH229" i="24" s="1"/>
  <c r="AB229" i="24"/>
  <c r="AW229" i="24" s="1"/>
  <c r="AN229" i="24"/>
  <c r="BI229" i="24" s="1"/>
  <c r="AC229" i="24"/>
  <c r="AX229" i="24" s="1"/>
  <c r="AO229" i="24"/>
  <c r="BJ229" i="24" s="1"/>
  <c r="AD229" i="24"/>
  <c r="AY229" i="24" s="1"/>
  <c r="AP229" i="24"/>
  <c r="BK229" i="24" s="1"/>
  <c r="AE229" i="24"/>
  <c r="AZ229" i="24" s="1"/>
  <c r="AQ229" i="24"/>
  <c r="BL229" i="24" s="1"/>
  <c r="AF229" i="24"/>
  <c r="BA229" i="24" s="1"/>
  <c r="AR229" i="24"/>
  <c r="BM229" i="24" s="1"/>
  <c r="AG229" i="24"/>
  <c r="BB229" i="24" s="1"/>
  <c r="AH229" i="24"/>
  <c r="BC229" i="24" s="1"/>
  <c r="AI229" i="24"/>
  <c r="BD229" i="24" s="1"/>
  <c r="AJ229" i="24"/>
  <c r="BE229" i="24" s="1"/>
  <c r="Y229" i="24"/>
  <c r="AT229" i="24" s="1"/>
  <c r="AH99" i="24"/>
  <c r="BC99" i="24" s="1"/>
  <c r="AI99" i="24"/>
  <c r="BD99" i="24" s="1"/>
  <c r="AJ99" i="24"/>
  <c r="BE99" i="24" s="1"/>
  <c r="AK99" i="24"/>
  <c r="BF99" i="24" s="1"/>
  <c r="Z99" i="24"/>
  <c r="AL99" i="24"/>
  <c r="BG99" i="24" s="1"/>
  <c r="AA99" i="24"/>
  <c r="AV99" i="24" s="1"/>
  <c r="AM99" i="24"/>
  <c r="BH99" i="24" s="1"/>
  <c r="AB99" i="24"/>
  <c r="AW99" i="24" s="1"/>
  <c r="AN99" i="24"/>
  <c r="BI99" i="24" s="1"/>
  <c r="AC99" i="24"/>
  <c r="AX99" i="24" s="1"/>
  <c r="AO99" i="24"/>
  <c r="BJ99" i="24" s="1"/>
  <c r="AD99" i="24"/>
  <c r="AY99" i="24" s="1"/>
  <c r="AP99" i="24"/>
  <c r="BK99" i="24" s="1"/>
  <c r="AE99" i="24"/>
  <c r="AZ99" i="24" s="1"/>
  <c r="AQ99" i="24"/>
  <c r="BL99" i="24" s="1"/>
  <c r="AF99" i="24"/>
  <c r="BA99" i="24" s="1"/>
  <c r="AR99" i="24"/>
  <c r="BM99" i="24" s="1"/>
  <c r="AG99" i="24"/>
  <c r="BB99" i="24" s="1"/>
  <c r="Y99" i="24"/>
  <c r="AT99" i="24" s="1"/>
  <c r="AI171" i="24"/>
  <c r="BD171" i="24" s="1"/>
  <c r="AJ171" i="24"/>
  <c r="BE171" i="24" s="1"/>
  <c r="AK171" i="24"/>
  <c r="BF171" i="24" s="1"/>
  <c r="Z171" i="24"/>
  <c r="AL171" i="24"/>
  <c r="BG171" i="24" s="1"/>
  <c r="AA171" i="24"/>
  <c r="AV171" i="24" s="1"/>
  <c r="AM171" i="24"/>
  <c r="BH171" i="24" s="1"/>
  <c r="AB171" i="24"/>
  <c r="AW171" i="24" s="1"/>
  <c r="AN171" i="24"/>
  <c r="BI171" i="24" s="1"/>
  <c r="AC171" i="24"/>
  <c r="AX171" i="24" s="1"/>
  <c r="AO171" i="24"/>
  <c r="BJ171" i="24" s="1"/>
  <c r="AD171" i="24"/>
  <c r="AY171" i="24" s="1"/>
  <c r="AP171" i="24"/>
  <c r="BK171" i="24" s="1"/>
  <c r="AE171" i="24"/>
  <c r="AZ171" i="24" s="1"/>
  <c r="AQ171" i="24"/>
  <c r="BL171" i="24" s="1"/>
  <c r="AF171" i="24"/>
  <c r="BA171" i="24" s="1"/>
  <c r="AR171" i="24"/>
  <c r="BM171" i="24" s="1"/>
  <c r="AG171" i="24"/>
  <c r="BB171" i="24" s="1"/>
  <c r="Y171" i="24"/>
  <c r="AT171" i="24" s="1"/>
  <c r="AH171" i="24"/>
  <c r="BC171" i="24" s="1"/>
  <c r="AI243" i="24"/>
  <c r="BD243" i="24" s="1"/>
  <c r="AJ243" i="24"/>
  <c r="BE243" i="24" s="1"/>
  <c r="AK243" i="24"/>
  <c r="BF243" i="24" s="1"/>
  <c r="Z243" i="24"/>
  <c r="AL243" i="24"/>
  <c r="BG243" i="24" s="1"/>
  <c r="AA243" i="24"/>
  <c r="AV243" i="24" s="1"/>
  <c r="AM243" i="24"/>
  <c r="BH243" i="24" s="1"/>
  <c r="AB243" i="24"/>
  <c r="AW243" i="24" s="1"/>
  <c r="AN243" i="24"/>
  <c r="BI243" i="24" s="1"/>
  <c r="AC243" i="24"/>
  <c r="AX243" i="24" s="1"/>
  <c r="AO243" i="24"/>
  <c r="BJ243" i="24" s="1"/>
  <c r="AD243" i="24"/>
  <c r="AY243" i="24" s="1"/>
  <c r="AP243" i="24"/>
  <c r="BK243" i="24" s="1"/>
  <c r="AE243" i="24"/>
  <c r="AZ243" i="24" s="1"/>
  <c r="AQ243" i="24"/>
  <c r="BL243" i="24" s="1"/>
  <c r="AF243" i="24"/>
  <c r="BA243" i="24" s="1"/>
  <c r="AR243" i="24"/>
  <c r="BM243" i="24" s="1"/>
  <c r="AG243" i="24"/>
  <c r="BB243" i="24" s="1"/>
  <c r="Y243" i="24"/>
  <c r="AT243" i="24" s="1"/>
  <c r="AH243" i="24"/>
  <c r="BC243" i="24" s="1"/>
  <c r="AA315" i="24"/>
  <c r="AV315" i="24" s="1"/>
  <c r="AM315" i="24"/>
  <c r="BH315" i="24" s="1"/>
  <c r="AL315" i="24"/>
  <c r="BG315" i="24" s="1"/>
  <c r="AB315" i="24"/>
  <c r="AW315" i="24" s="1"/>
  <c r="AN315" i="24"/>
  <c r="BI315" i="24" s="1"/>
  <c r="Y315" i="24"/>
  <c r="AT315" i="24" s="1"/>
  <c r="AC315" i="24"/>
  <c r="AX315" i="24" s="1"/>
  <c r="AO315" i="24"/>
  <c r="BJ315" i="24" s="1"/>
  <c r="AD315" i="24"/>
  <c r="AY315" i="24" s="1"/>
  <c r="AP315" i="24"/>
  <c r="BK315" i="24" s="1"/>
  <c r="AE315" i="24"/>
  <c r="AZ315" i="24" s="1"/>
  <c r="AQ315" i="24"/>
  <c r="BL315" i="24" s="1"/>
  <c r="Z315" i="24"/>
  <c r="AF315" i="24"/>
  <c r="BA315" i="24" s="1"/>
  <c r="AR315" i="24"/>
  <c r="BM315" i="24" s="1"/>
  <c r="AG315" i="24"/>
  <c r="BB315" i="24" s="1"/>
  <c r="AH315" i="24"/>
  <c r="BC315" i="24" s="1"/>
  <c r="AI315" i="24"/>
  <c r="BD315" i="24" s="1"/>
  <c r="AJ315" i="24"/>
  <c r="BE315" i="24" s="1"/>
  <c r="AK315" i="24"/>
  <c r="BF315" i="24" s="1"/>
  <c r="AG293" i="24"/>
  <c r="BB293" i="24" s="1"/>
  <c r="AH293" i="24"/>
  <c r="BC293" i="24" s="1"/>
  <c r="AI293" i="24"/>
  <c r="BD293" i="24" s="1"/>
  <c r="AJ293" i="24"/>
  <c r="BE293" i="24" s="1"/>
  <c r="AK293" i="24"/>
  <c r="BF293" i="24" s="1"/>
  <c r="Z293" i="24"/>
  <c r="AL293" i="24"/>
  <c r="BG293" i="24" s="1"/>
  <c r="AA293" i="24"/>
  <c r="AV293" i="24" s="1"/>
  <c r="AM293" i="24"/>
  <c r="BH293" i="24" s="1"/>
  <c r="AB293" i="24"/>
  <c r="AW293" i="24" s="1"/>
  <c r="AN293" i="24"/>
  <c r="BI293" i="24" s="1"/>
  <c r="AC293" i="24"/>
  <c r="AX293" i="24" s="1"/>
  <c r="AO293" i="24"/>
  <c r="BJ293" i="24" s="1"/>
  <c r="AD293" i="24"/>
  <c r="AY293" i="24" s="1"/>
  <c r="AP293" i="24"/>
  <c r="BK293" i="24" s="1"/>
  <c r="AE293" i="24"/>
  <c r="AZ293" i="24" s="1"/>
  <c r="AQ293" i="24"/>
  <c r="BL293" i="24" s="1"/>
  <c r="Y293" i="24"/>
  <c r="AT293" i="24" s="1"/>
  <c r="AF293" i="24"/>
  <c r="BA293" i="24" s="1"/>
  <c r="AR293" i="24"/>
  <c r="BM293" i="24" s="1"/>
  <c r="AA107" i="24"/>
  <c r="AV107" i="24" s="1"/>
  <c r="AM107" i="24"/>
  <c r="BH107" i="24" s="1"/>
  <c r="AB107" i="24"/>
  <c r="AW107" i="24" s="1"/>
  <c r="AN107" i="24"/>
  <c r="BI107" i="24" s="1"/>
  <c r="AC107" i="24"/>
  <c r="AX107" i="24" s="1"/>
  <c r="AO107" i="24"/>
  <c r="BJ107" i="24" s="1"/>
  <c r="AD107" i="24"/>
  <c r="AY107" i="24" s="1"/>
  <c r="AP107" i="24"/>
  <c r="BK107" i="24" s="1"/>
  <c r="AE107" i="24"/>
  <c r="AZ107" i="24" s="1"/>
  <c r="AQ107" i="24"/>
  <c r="BL107" i="24" s="1"/>
  <c r="AF107" i="24"/>
  <c r="BA107" i="24" s="1"/>
  <c r="AR107" i="24"/>
  <c r="BM107" i="24" s="1"/>
  <c r="AG107" i="24"/>
  <c r="BB107" i="24" s="1"/>
  <c r="AH107" i="24"/>
  <c r="BC107" i="24" s="1"/>
  <c r="AI107" i="24"/>
  <c r="BD107" i="24" s="1"/>
  <c r="AJ107" i="24"/>
  <c r="BE107" i="24" s="1"/>
  <c r="AK107" i="24"/>
  <c r="BF107" i="24" s="1"/>
  <c r="AL107" i="24"/>
  <c r="BG107" i="24" s="1"/>
  <c r="Y107" i="24"/>
  <c r="AT107" i="24" s="1"/>
  <c r="Z107" i="24"/>
  <c r="AA251" i="24"/>
  <c r="AV251" i="24" s="1"/>
  <c r="AM251" i="24"/>
  <c r="BH251" i="24" s="1"/>
  <c r="AB251" i="24"/>
  <c r="AW251" i="24" s="1"/>
  <c r="AN251" i="24"/>
  <c r="BI251" i="24" s="1"/>
  <c r="AC251" i="24"/>
  <c r="AX251" i="24" s="1"/>
  <c r="AO251" i="24"/>
  <c r="BJ251" i="24" s="1"/>
  <c r="AD251" i="24"/>
  <c r="AY251" i="24" s="1"/>
  <c r="AP251" i="24"/>
  <c r="BK251" i="24" s="1"/>
  <c r="AE251" i="24"/>
  <c r="AZ251" i="24" s="1"/>
  <c r="AQ251" i="24"/>
  <c r="BL251" i="24" s="1"/>
  <c r="AF251" i="24"/>
  <c r="BA251" i="24" s="1"/>
  <c r="AR251" i="24"/>
  <c r="BM251" i="24" s="1"/>
  <c r="AG251" i="24"/>
  <c r="BB251" i="24" s="1"/>
  <c r="AH251" i="24"/>
  <c r="BC251" i="24" s="1"/>
  <c r="AI251" i="24"/>
  <c r="BD251" i="24" s="1"/>
  <c r="AJ251" i="24"/>
  <c r="BE251" i="24" s="1"/>
  <c r="AK251" i="24"/>
  <c r="BF251" i="24" s="1"/>
  <c r="AL251" i="24"/>
  <c r="BG251" i="24" s="1"/>
  <c r="Y251" i="24"/>
  <c r="AT251" i="24" s="1"/>
  <c r="Z251" i="24"/>
  <c r="AB308" i="24"/>
  <c r="AW308" i="24" s="1"/>
  <c r="AN308" i="24"/>
  <c r="BI308" i="24" s="1"/>
  <c r="AC308" i="24"/>
  <c r="AX308" i="24" s="1"/>
  <c r="AO308" i="24"/>
  <c r="BJ308" i="24" s="1"/>
  <c r="AD308" i="24"/>
  <c r="AY308" i="24" s="1"/>
  <c r="AP308" i="24"/>
  <c r="BK308" i="24" s="1"/>
  <c r="AE308" i="24"/>
  <c r="AZ308" i="24" s="1"/>
  <c r="AQ308" i="24"/>
  <c r="BL308" i="24" s="1"/>
  <c r="AF308" i="24"/>
  <c r="BA308" i="24" s="1"/>
  <c r="AR308" i="24"/>
  <c r="BM308" i="24" s="1"/>
  <c r="AM308" i="24"/>
  <c r="BH308" i="24" s="1"/>
  <c r="AG308" i="24"/>
  <c r="BB308" i="24" s="1"/>
  <c r="AH308" i="24"/>
  <c r="BC308" i="24" s="1"/>
  <c r="Y308" i="24"/>
  <c r="AT308" i="24" s="1"/>
  <c r="AI308" i="24"/>
  <c r="BD308" i="24" s="1"/>
  <c r="AJ308" i="24"/>
  <c r="BE308" i="24" s="1"/>
  <c r="AK308" i="24"/>
  <c r="BF308" i="24" s="1"/>
  <c r="AA308" i="24"/>
  <c r="AV308" i="24" s="1"/>
  <c r="Z308" i="24"/>
  <c r="AL308" i="24"/>
  <c r="BG308" i="24" s="1"/>
  <c r="AG173" i="24"/>
  <c r="BB173" i="24" s="1"/>
  <c r="AH173" i="24"/>
  <c r="BC173" i="24" s="1"/>
  <c r="AI173" i="24"/>
  <c r="BD173" i="24" s="1"/>
  <c r="AJ173" i="24"/>
  <c r="BE173" i="24" s="1"/>
  <c r="AK173" i="24"/>
  <c r="BF173" i="24" s="1"/>
  <c r="Z173" i="24"/>
  <c r="AL173" i="24"/>
  <c r="BG173" i="24" s="1"/>
  <c r="AA173" i="24"/>
  <c r="AV173" i="24" s="1"/>
  <c r="AM173" i="24"/>
  <c r="BH173" i="24" s="1"/>
  <c r="AB173" i="24"/>
  <c r="AW173" i="24" s="1"/>
  <c r="AN173" i="24"/>
  <c r="BI173" i="24" s="1"/>
  <c r="AC173" i="24"/>
  <c r="AX173" i="24" s="1"/>
  <c r="AO173" i="24"/>
  <c r="BJ173" i="24" s="1"/>
  <c r="AD173" i="24"/>
  <c r="AY173" i="24" s="1"/>
  <c r="AP173" i="24"/>
  <c r="BK173" i="24" s="1"/>
  <c r="AE173" i="24"/>
  <c r="AZ173" i="24" s="1"/>
  <c r="AQ173" i="24"/>
  <c r="BL173" i="24" s="1"/>
  <c r="Y173" i="24"/>
  <c r="AT173" i="24" s="1"/>
  <c r="AF173" i="24"/>
  <c r="BA173" i="24" s="1"/>
  <c r="AR173" i="24"/>
  <c r="BM173" i="24" s="1"/>
  <c r="AD134" i="24"/>
  <c r="AY134" i="24" s="1"/>
  <c r="AP134" i="24"/>
  <c r="BK134" i="24" s="1"/>
  <c r="AE134" i="24"/>
  <c r="AZ134" i="24" s="1"/>
  <c r="AQ134" i="24"/>
  <c r="BL134" i="24" s="1"/>
  <c r="AF134" i="24"/>
  <c r="BA134" i="24" s="1"/>
  <c r="AR134" i="24"/>
  <c r="BM134" i="24" s="1"/>
  <c r="AG134" i="24"/>
  <c r="BB134" i="24" s="1"/>
  <c r="AH134" i="24"/>
  <c r="BC134" i="24" s="1"/>
  <c r="AI134" i="24"/>
  <c r="BD134" i="24" s="1"/>
  <c r="AJ134" i="24"/>
  <c r="BE134" i="24" s="1"/>
  <c r="AK134" i="24"/>
  <c r="BF134" i="24" s="1"/>
  <c r="Z134" i="24"/>
  <c r="AL134" i="24"/>
  <c r="BG134" i="24" s="1"/>
  <c r="AA134" i="24"/>
  <c r="AV134" i="24" s="1"/>
  <c r="AM134" i="24"/>
  <c r="BH134" i="24" s="1"/>
  <c r="AB134" i="24"/>
  <c r="AW134" i="24" s="1"/>
  <c r="AN134" i="24"/>
  <c r="BI134" i="24" s="1"/>
  <c r="Y134" i="24"/>
  <c r="AT134" i="24" s="1"/>
  <c r="AC134" i="24"/>
  <c r="AX134" i="24" s="1"/>
  <c r="AO134" i="24"/>
  <c r="BJ134" i="24" s="1"/>
  <c r="AH298" i="24"/>
  <c r="BC298" i="24" s="1"/>
  <c r="AI298" i="24"/>
  <c r="BD298" i="24" s="1"/>
  <c r="AJ298" i="24"/>
  <c r="BE298" i="24" s="1"/>
  <c r="AK298" i="24"/>
  <c r="BF298" i="24" s="1"/>
  <c r="Z298" i="24"/>
  <c r="AL298" i="24"/>
  <c r="BG298" i="24" s="1"/>
  <c r="AA298" i="24"/>
  <c r="AV298" i="24" s="1"/>
  <c r="AM298" i="24"/>
  <c r="BH298" i="24" s="1"/>
  <c r="AB298" i="24"/>
  <c r="AW298" i="24" s="1"/>
  <c r="AN298" i="24"/>
  <c r="BI298" i="24" s="1"/>
  <c r="AC298" i="24"/>
  <c r="AX298" i="24" s="1"/>
  <c r="AO298" i="24"/>
  <c r="BJ298" i="24" s="1"/>
  <c r="AD298" i="24"/>
  <c r="AY298" i="24" s="1"/>
  <c r="AP298" i="24"/>
  <c r="BK298" i="24" s="1"/>
  <c r="AE298" i="24"/>
  <c r="AZ298" i="24" s="1"/>
  <c r="AQ298" i="24"/>
  <c r="BL298" i="24" s="1"/>
  <c r="AF298" i="24"/>
  <c r="BA298" i="24" s="1"/>
  <c r="AR298" i="24"/>
  <c r="BM298" i="24" s="1"/>
  <c r="AG298" i="24"/>
  <c r="BB298" i="24" s="1"/>
  <c r="Y298" i="24"/>
  <c r="AT298" i="24" s="1"/>
  <c r="AG221" i="24"/>
  <c r="BB221" i="24" s="1"/>
  <c r="AH221" i="24"/>
  <c r="BC221" i="24" s="1"/>
  <c r="AI221" i="24"/>
  <c r="BD221" i="24" s="1"/>
  <c r="AJ221" i="24"/>
  <c r="BE221" i="24" s="1"/>
  <c r="AK221" i="24"/>
  <c r="BF221" i="24" s="1"/>
  <c r="Z221" i="24"/>
  <c r="AL221" i="24"/>
  <c r="BG221" i="24" s="1"/>
  <c r="AA221" i="24"/>
  <c r="AV221" i="24" s="1"/>
  <c r="AM221" i="24"/>
  <c r="BH221" i="24" s="1"/>
  <c r="AB221" i="24"/>
  <c r="AW221" i="24" s="1"/>
  <c r="AN221" i="24"/>
  <c r="BI221" i="24" s="1"/>
  <c r="AC221" i="24"/>
  <c r="AX221" i="24" s="1"/>
  <c r="AO221" i="24"/>
  <c r="BJ221" i="24" s="1"/>
  <c r="AD221" i="24"/>
  <c r="AY221" i="24" s="1"/>
  <c r="AP221" i="24"/>
  <c r="BK221" i="24" s="1"/>
  <c r="AE221" i="24"/>
  <c r="AZ221" i="24" s="1"/>
  <c r="AQ221" i="24"/>
  <c r="BL221" i="24" s="1"/>
  <c r="AR221" i="24"/>
  <c r="BM221" i="24" s="1"/>
  <c r="AF221" i="24"/>
  <c r="BA221" i="24" s="1"/>
  <c r="Y221" i="24"/>
  <c r="AT221" i="24" s="1"/>
  <c r="AH286" i="24"/>
  <c r="BC286" i="24" s="1"/>
  <c r="AI286" i="24"/>
  <c r="BD286" i="24" s="1"/>
  <c r="AJ286" i="24"/>
  <c r="BE286" i="24" s="1"/>
  <c r="AK286" i="24"/>
  <c r="BF286" i="24" s="1"/>
  <c r="Z286" i="24"/>
  <c r="AL286" i="24"/>
  <c r="BG286" i="24" s="1"/>
  <c r="AA286" i="24"/>
  <c r="AV286" i="24" s="1"/>
  <c r="AM286" i="24"/>
  <c r="BH286" i="24" s="1"/>
  <c r="AB286" i="24"/>
  <c r="AW286" i="24" s="1"/>
  <c r="AN286" i="24"/>
  <c r="BI286" i="24" s="1"/>
  <c r="AC286" i="24"/>
  <c r="AX286" i="24" s="1"/>
  <c r="AO286" i="24"/>
  <c r="BJ286" i="24" s="1"/>
  <c r="AD286" i="24"/>
  <c r="AY286" i="24" s="1"/>
  <c r="AP286" i="24"/>
  <c r="BK286" i="24" s="1"/>
  <c r="AE286" i="24"/>
  <c r="AZ286" i="24" s="1"/>
  <c r="AQ286" i="24"/>
  <c r="BL286" i="24" s="1"/>
  <c r="AF286" i="24"/>
  <c r="BA286" i="24" s="1"/>
  <c r="AR286" i="24"/>
  <c r="BM286" i="24" s="1"/>
  <c r="Y286" i="24"/>
  <c r="AT286" i="24" s="1"/>
  <c r="AG286" i="24"/>
  <c r="BB286" i="24" s="1"/>
  <c r="AJ260" i="24"/>
  <c r="BE260" i="24" s="1"/>
  <c r="AK260" i="24"/>
  <c r="BF260" i="24" s="1"/>
  <c r="Z260" i="24"/>
  <c r="AL260" i="24"/>
  <c r="BG260" i="24" s="1"/>
  <c r="AA260" i="24"/>
  <c r="AV260" i="24" s="1"/>
  <c r="AM260" i="24"/>
  <c r="BH260" i="24" s="1"/>
  <c r="AB260" i="24"/>
  <c r="AW260" i="24" s="1"/>
  <c r="AN260" i="24"/>
  <c r="BI260" i="24" s="1"/>
  <c r="AC260" i="24"/>
  <c r="AX260" i="24" s="1"/>
  <c r="AO260" i="24"/>
  <c r="BJ260" i="24" s="1"/>
  <c r="AD260" i="24"/>
  <c r="AY260" i="24" s="1"/>
  <c r="AP260" i="24"/>
  <c r="BK260" i="24" s="1"/>
  <c r="AE260" i="24"/>
  <c r="AZ260" i="24" s="1"/>
  <c r="AQ260" i="24"/>
  <c r="BL260" i="24" s="1"/>
  <c r="AF260" i="24"/>
  <c r="BA260" i="24" s="1"/>
  <c r="AR260" i="24"/>
  <c r="BM260" i="24" s="1"/>
  <c r="AG260" i="24"/>
  <c r="BB260" i="24" s="1"/>
  <c r="AH260" i="24"/>
  <c r="BC260" i="24" s="1"/>
  <c r="AI260" i="24"/>
  <c r="BD260" i="24" s="1"/>
  <c r="Y260" i="24"/>
  <c r="AT260" i="24" s="1"/>
  <c r="AG358" i="24"/>
  <c r="BB358" i="24" s="1"/>
  <c r="AH358" i="24"/>
  <c r="BC358" i="24" s="1"/>
  <c r="AI358" i="24"/>
  <c r="BD358" i="24" s="1"/>
  <c r="AJ358" i="24"/>
  <c r="BE358" i="24" s="1"/>
  <c r="AR358" i="24"/>
  <c r="BM358" i="24" s="1"/>
  <c r="AK358" i="24"/>
  <c r="BF358" i="24" s="1"/>
  <c r="Z358" i="24"/>
  <c r="AL358" i="24"/>
  <c r="BG358" i="24" s="1"/>
  <c r="AA358" i="24"/>
  <c r="AV358" i="24" s="1"/>
  <c r="AM358" i="24"/>
  <c r="BH358" i="24" s="1"/>
  <c r="AB358" i="24"/>
  <c r="AW358" i="24" s="1"/>
  <c r="AN358" i="24"/>
  <c r="BI358" i="24" s="1"/>
  <c r="Y358" i="24"/>
  <c r="AT358" i="24" s="1"/>
  <c r="AC358" i="24"/>
  <c r="AX358" i="24" s="1"/>
  <c r="AO358" i="24"/>
  <c r="BJ358" i="24" s="1"/>
  <c r="AD358" i="24"/>
  <c r="AY358" i="24" s="1"/>
  <c r="AP358" i="24"/>
  <c r="BK358" i="24" s="1"/>
  <c r="AE358" i="24"/>
  <c r="AZ358" i="24" s="1"/>
  <c r="AQ358" i="24"/>
  <c r="BL358" i="24" s="1"/>
  <c r="AF358" i="24"/>
  <c r="BA358" i="24" s="1"/>
  <c r="AI120" i="25"/>
  <c r="BD120" i="25" s="1"/>
  <c r="AJ120" i="25"/>
  <c r="BE120" i="25" s="1"/>
  <c r="Y120" i="25"/>
  <c r="AT120" i="25" s="1"/>
  <c r="AK120" i="25"/>
  <c r="BF120" i="25" s="1"/>
  <c r="Z120" i="25"/>
  <c r="AL120" i="25"/>
  <c r="BG120" i="25" s="1"/>
  <c r="AA120" i="25"/>
  <c r="AV120" i="25" s="1"/>
  <c r="AM120" i="25"/>
  <c r="BH120" i="25" s="1"/>
  <c r="AB120" i="25"/>
  <c r="AW120" i="25" s="1"/>
  <c r="AN120" i="25"/>
  <c r="BI120" i="25" s="1"/>
  <c r="AC120" i="25"/>
  <c r="AX120" i="25" s="1"/>
  <c r="AO120" i="25"/>
  <c r="BJ120" i="25" s="1"/>
  <c r="AD120" i="25"/>
  <c r="AY120" i="25" s="1"/>
  <c r="AP120" i="25"/>
  <c r="BK120" i="25" s="1"/>
  <c r="AE120" i="25"/>
  <c r="AZ120" i="25" s="1"/>
  <c r="AQ120" i="25"/>
  <c r="BL120" i="25" s="1"/>
  <c r="AF120" i="25"/>
  <c r="BA120" i="25" s="1"/>
  <c r="AR120" i="25"/>
  <c r="BM120" i="25" s="1"/>
  <c r="AG120" i="25"/>
  <c r="BB120" i="25" s="1"/>
  <c r="AH120" i="25"/>
  <c r="BC120" i="25" s="1"/>
  <c r="AA190" i="25"/>
  <c r="AV190" i="25" s="1"/>
  <c r="AM190" i="25"/>
  <c r="BH190" i="25" s="1"/>
  <c r="AB190" i="25"/>
  <c r="AW190" i="25" s="1"/>
  <c r="AN190" i="25"/>
  <c r="BI190" i="25" s="1"/>
  <c r="AC190" i="25"/>
  <c r="AX190" i="25" s="1"/>
  <c r="AO190" i="25"/>
  <c r="BJ190" i="25" s="1"/>
  <c r="AD190" i="25"/>
  <c r="AY190" i="25" s="1"/>
  <c r="AP190" i="25"/>
  <c r="BK190" i="25" s="1"/>
  <c r="AE190" i="25"/>
  <c r="AZ190" i="25" s="1"/>
  <c r="AQ190" i="25"/>
  <c r="BL190" i="25" s="1"/>
  <c r="AF190" i="25"/>
  <c r="BA190" i="25" s="1"/>
  <c r="AR190" i="25"/>
  <c r="BM190" i="25" s="1"/>
  <c r="AG190" i="25"/>
  <c r="BB190" i="25" s="1"/>
  <c r="AH190" i="25"/>
  <c r="BC190" i="25" s="1"/>
  <c r="AI190" i="25"/>
  <c r="BD190" i="25" s="1"/>
  <c r="AJ190" i="25"/>
  <c r="BE190" i="25" s="1"/>
  <c r="Y190" i="25"/>
  <c r="AT190" i="25" s="1"/>
  <c r="AK190" i="25"/>
  <c r="BF190" i="25" s="1"/>
  <c r="Z190" i="25"/>
  <c r="AL190" i="25"/>
  <c r="BG190" i="25" s="1"/>
  <c r="Z262" i="25"/>
  <c r="AL262" i="25"/>
  <c r="BG262" i="25" s="1"/>
  <c r="AA262" i="25"/>
  <c r="AV262" i="25" s="1"/>
  <c r="AM262" i="25"/>
  <c r="BH262" i="25" s="1"/>
  <c r="AB262" i="25"/>
  <c r="AW262" i="25" s="1"/>
  <c r="AN262" i="25"/>
  <c r="BI262" i="25" s="1"/>
  <c r="AC262" i="25"/>
  <c r="AX262" i="25" s="1"/>
  <c r="AO262" i="25"/>
  <c r="BJ262" i="25" s="1"/>
  <c r="AD262" i="25"/>
  <c r="AY262" i="25" s="1"/>
  <c r="AP262" i="25"/>
  <c r="BK262" i="25" s="1"/>
  <c r="AE262" i="25"/>
  <c r="AZ262" i="25" s="1"/>
  <c r="AQ262" i="25"/>
  <c r="BL262" i="25" s="1"/>
  <c r="AF262" i="25"/>
  <c r="BA262" i="25" s="1"/>
  <c r="AR262" i="25"/>
  <c r="BM262" i="25" s="1"/>
  <c r="AG262" i="25"/>
  <c r="BB262" i="25" s="1"/>
  <c r="AH262" i="25"/>
  <c r="BC262" i="25" s="1"/>
  <c r="AI262" i="25"/>
  <c r="BD262" i="25" s="1"/>
  <c r="AJ262" i="25"/>
  <c r="BE262" i="25" s="1"/>
  <c r="Y262" i="25"/>
  <c r="AT262" i="25" s="1"/>
  <c r="AK262" i="25"/>
  <c r="BF262" i="25" s="1"/>
  <c r="Z334" i="25"/>
  <c r="AL334" i="25"/>
  <c r="BG334" i="25" s="1"/>
  <c r="AA334" i="25"/>
  <c r="AV334" i="25" s="1"/>
  <c r="AM334" i="25"/>
  <c r="BH334" i="25" s="1"/>
  <c r="AB334" i="25"/>
  <c r="AW334" i="25" s="1"/>
  <c r="AN334" i="25"/>
  <c r="BI334" i="25" s="1"/>
  <c r="AC334" i="25"/>
  <c r="AX334" i="25" s="1"/>
  <c r="AO334" i="25"/>
  <c r="BJ334" i="25" s="1"/>
  <c r="AD334" i="25"/>
  <c r="AY334" i="25" s="1"/>
  <c r="AP334" i="25"/>
  <c r="BK334" i="25" s="1"/>
  <c r="AE334" i="25"/>
  <c r="AZ334" i="25" s="1"/>
  <c r="AQ334" i="25"/>
  <c r="BL334" i="25" s="1"/>
  <c r="AF334" i="25"/>
  <c r="BA334" i="25" s="1"/>
  <c r="AR334" i="25"/>
  <c r="BM334" i="25" s="1"/>
  <c r="AG334" i="25"/>
  <c r="BB334" i="25" s="1"/>
  <c r="AH334" i="25"/>
  <c r="BC334" i="25" s="1"/>
  <c r="AI334" i="25"/>
  <c r="BD334" i="25" s="1"/>
  <c r="AJ334" i="25"/>
  <c r="BE334" i="25" s="1"/>
  <c r="Y334" i="25"/>
  <c r="AT334" i="25" s="1"/>
  <c r="AK334" i="25"/>
  <c r="BF334" i="25" s="1"/>
  <c r="AA133" i="25"/>
  <c r="AV133" i="25" s="1"/>
  <c r="AM133" i="25"/>
  <c r="BH133" i="25" s="1"/>
  <c r="AB133" i="25"/>
  <c r="AW133" i="25" s="1"/>
  <c r="AN133" i="25"/>
  <c r="BI133" i="25" s="1"/>
  <c r="AC133" i="25"/>
  <c r="AX133" i="25" s="1"/>
  <c r="AO133" i="25"/>
  <c r="BJ133" i="25" s="1"/>
  <c r="AD133" i="25"/>
  <c r="AY133" i="25" s="1"/>
  <c r="AP133" i="25"/>
  <c r="BK133" i="25" s="1"/>
  <c r="AE133" i="25"/>
  <c r="AZ133" i="25" s="1"/>
  <c r="AQ133" i="25"/>
  <c r="BL133" i="25" s="1"/>
  <c r="AF133" i="25"/>
  <c r="BA133" i="25" s="1"/>
  <c r="AR133" i="25"/>
  <c r="BM133" i="25" s="1"/>
  <c r="AG133" i="25"/>
  <c r="BB133" i="25" s="1"/>
  <c r="AH133" i="25"/>
  <c r="BC133" i="25" s="1"/>
  <c r="AI133" i="25"/>
  <c r="BD133" i="25" s="1"/>
  <c r="AJ133" i="25"/>
  <c r="BE133" i="25" s="1"/>
  <c r="Y133" i="25"/>
  <c r="AT133" i="25" s="1"/>
  <c r="AK133" i="25"/>
  <c r="BF133" i="25" s="1"/>
  <c r="Z133" i="25"/>
  <c r="AL133" i="25"/>
  <c r="BG133" i="25" s="1"/>
  <c r="AE203" i="25"/>
  <c r="AZ203" i="25" s="1"/>
  <c r="AQ203" i="25"/>
  <c r="BL203" i="25" s="1"/>
  <c r="AF203" i="25"/>
  <c r="BA203" i="25" s="1"/>
  <c r="AR203" i="25"/>
  <c r="BM203" i="25" s="1"/>
  <c r="AG203" i="25"/>
  <c r="BB203" i="25" s="1"/>
  <c r="AH203" i="25"/>
  <c r="BC203" i="25" s="1"/>
  <c r="AI203" i="25"/>
  <c r="BD203" i="25" s="1"/>
  <c r="AJ203" i="25"/>
  <c r="BE203" i="25" s="1"/>
  <c r="Y203" i="25"/>
  <c r="AT203" i="25" s="1"/>
  <c r="AK203" i="25"/>
  <c r="BF203" i="25" s="1"/>
  <c r="Z203" i="25"/>
  <c r="AL203" i="25"/>
  <c r="BG203" i="25" s="1"/>
  <c r="AA203" i="25"/>
  <c r="AV203" i="25" s="1"/>
  <c r="AM203" i="25"/>
  <c r="BH203" i="25" s="1"/>
  <c r="AB203" i="25"/>
  <c r="AW203" i="25" s="1"/>
  <c r="AN203" i="25"/>
  <c r="BI203" i="25" s="1"/>
  <c r="AC203" i="25"/>
  <c r="AX203" i="25" s="1"/>
  <c r="AO203" i="25"/>
  <c r="BJ203" i="25" s="1"/>
  <c r="AD203" i="25"/>
  <c r="AY203" i="25" s="1"/>
  <c r="AP203" i="25"/>
  <c r="BK203" i="25" s="1"/>
  <c r="AD275" i="25"/>
  <c r="AY275" i="25" s="1"/>
  <c r="AP275" i="25"/>
  <c r="BK275" i="25" s="1"/>
  <c r="AE275" i="25"/>
  <c r="AZ275" i="25" s="1"/>
  <c r="AQ275" i="25"/>
  <c r="BL275" i="25" s="1"/>
  <c r="AF275" i="25"/>
  <c r="BA275" i="25" s="1"/>
  <c r="AR275" i="25"/>
  <c r="BM275" i="25" s="1"/>
  <c r="AG275" i="25"/>
  <c r="BB275" i="25" s="1"/>
  <c r="AH275" i="25"/>
  <c r="BC275" i="25" s="1"/>
  <c r="AI275" i="25"/>
  <c r="BD275" i="25" s="1"/>
  <c r="AJ275" i="25"/>
  <c r="BE275" i="25" s="1"/>
  <c r="Y275" i="25"/>
  <c r="AT275" i="25" s="1"/>
  <c r="AK275" i="25"/>
  <c r="BF275" i="25" s="1"/>
  <c r="Z275" i="25"/>
  <c r="AL275" i="25"/>
  <c r="BG275" i="25" s="1"/>
  <c r="AA275" i="25"/>
  <c r="AV275" i="25" s="1"/>
  <c r="AM275" i="25"/>
  <c r="BH275" i="25" s="1"/>
  <c r="AB275" i="25"/>
  <c r="AW275" i="25" s="1"/>
  <c r="AN275" i="25"/>
  <c r="BI275" i="25" s="1"/>
  <c r="AC275" i="25"/>
  <c r="AX275" i="25" s="1"/>
  <c r="AO275" i="25"/>
  <c r="BJ275" i="25" s="1"/>
  <c r="AD347" i="25"/>
  <c r="AY347" i="25" s="1"/>
  <c r="AP347" i="25"/>
  <c r="BK347" i="25" s="1"/>
  <c r="AE347" i="25"/>
  <c r="AZ347" i="25" s="1"/>
  <c r="AQ347" i="25"/>
  <c r="BL347" i="25" s="1"/>
  <c r="AF347" i="25"/>
  <c r="BA347" i="25" s="1"/>
  <c r="AR347" i="25"/>
  <c r="BM347" i="25" s="1"/>
  <c r="AG347" i="25"/>
  <c r="BB347" i="25" s="1"/>
  <c r="AH347" i="25"/>
  <c r="BC347" i="25" s="1"/>
  <c r="AI347" i="25"/>
  <c r="BD347" i="25" s="1"/>
  <c r="AJ347" i="25"/>
  <c r="BE347" i="25" s="1"/>
  <c r="Y347" i="25"/>
  <c r="AT347" i="25" s="1"/>
  <c r="AK347" i="25"/>
  <c r="BF347" i="25" s="1"/>
  <c r="Z347" i="25"/>
  <c r="AL347" i="25"/>
  <c r="BG347" i="25" s="1"/>
  <c r="AA347" i="25"/>
  <c r="AV347" i="25" s="1"/>
  <c r="AM347" i="25"/>
  <c r="BH347" i="25" s="1"/>
  <c r="AB347" i="25"/>
  <c r="AW347" i="25" s="1"/>
  <c r="AN347" i="25"/>
  <c r="BI347" i="25" s="1"/>
  <c r="AC347" i="25"/>
  <c r="AX347" i="25" s="1"/>
  <c r="AO347" i="25"/>
  <c r="BJ347" i="25" s="1"/>
  <c r="AE146" i="25"/>
  <c r="AZ146" i="25" s="1"/>
  <c r="AQ146" i="25"/>
  <c r="BL146" i="25" s="1"/>
  <c r="AF146" i="25"/>
  <c r="BA146" i="25" s="1"/>
  <c r="AR146" i="25"/>
  <c r="BM146" i="25" s="1"/>
  <c r="AG146" i="25"/>
  <c r="BB146" i="25" s="1"/>
  <c r="AH146" i="25"/>
  <c r="BC146" i="25" s="1"/>
  <c r="AI146" i="25"/>
  <c r="BD146" i="25" s="1"/>
  <c r="AJ146" i="25"/>
  <c r="BE146" i="25" s="1"/>
  <c r="Y146" i="25"/>
  <c r="AT146" i="25" s="1"/>
  <c r="AK146" i="25"/>
  <c r="BF146" i="25" s="1"/>
  <c r="Z146" i="25"/>
  <c r="AL146" i="25"/>
  <c r="BG146" i="25" s="1"/>
  <c r="AA146" i="25"/>
  <c r="AV146" i="25" s="1"/>
  <c r="AM146" i="25"/>
  <c r="BH146" i="25" s="1"/>
  <c r="AB146" i="25"/>
  <c r="AW146" i="25" s="1"/>
  <c r="AN146" i="25"/>
  <c r="BI146" i="25" s="1"/>
  <c r="AC146" i="25"/>
  <c r="AX146" i="25" s="1"/>
  <c r="AO146" i="25"/>
  <c r="BJ146" i="25" s="1"/>
  <c r="AD146" i="25"/>
  <c r="AY146" i="25" s="1"/>
  <c r="AP146" i="25"/>
  <c r="BK146" i="25" s="1"/>
  <c r="AI222" i="25"/>
  <c r="BD222" i="25" s="1"/>
  <c r="AJ222" i="25"/>
  <c r="BE222" i="25" s="1"/>
  <c r="Y222" i="25"/>
  <c r="AT222" i="25" s="1"/>
  <c r="AK222" i="25"/>
  <c r="BF222" i="25" s="1"/>
  <c r="Z222" i="25"/>
  <c r="AL222" i="25"/>
  <c r="BG222" i="25" s="1"/>
  <c r="AA222" i="25"/>
  <c r="AV222" i="25" s="1"/>
  <c r="AM222" i="25"/>
  <c r="BH222" i="25" s="1"/>
  <c r="AB222" i="25"/>
  <c r="AW222" i="25" s="1"/>
  <c r="AN222" i="25"/>
  <c r="BI222" i="25" s="1"/>
  <c r="AC222" i="25"/>
  <c r="AX222" i="25" s="1"/>
  <c r="AO222" i="25"/>
  <c r="BJ222" i="25" s="1"/>
  <c r="AD222" i="25"/>
  <c r="AY222" i="25" s="1"/>
  <c r="AP222" i="25"/>
  <c r="BK222" i="25" s="1"/>
  <c r="AE222" i="25"/>
  <c r="AZ222" i="25" s="1"/>
  <c r="AQ222" i="25"/>
  <c r="BL222" i="25" s="1"/>
  <c r="AF222" i="25"/>
  <c r="BA222" i="25" s="1"/>
  <c r="AR222" i="25"/>
  <c r="BM222" i="25" s="1"/>
  <c r="AG222" i="25"/>
  <c r="BB222" i="25" s="1"/>
  <c r="AH222" i="25"/>
  <c r="BC222" i="25" s="1"/>
  <c r="AH294" i="25"/>
  <c r="BC294" i="25" s="1"/>
  <c r="AI294" i="25"/>
  <c r="BD294" i="25" s="1"/>
  <c r="AJ294" i="25"/>
  <c r="BE294" i="25" s="1"/>
  <c r="Y294" i="25"/>
  <c r="AT294" i="25" s="1"/>
  <c r="AK294" i="25"/>
  <c r="BF294" i="25" s="1"/>
  <c r="Z294" i="25"/>
  <c r="AL294" i="25"/>
  <c r="BG294" i="25" s="1"/>
  <c r="AA294" i="25"/>
  <c r="AV294" i="25" s="1"/>
  <c r="AM294" i="25"/>
  <c r="BH294" i="25" s="1"/>
  <c r="AB294" i="25"/>
  <c r="AW294" i="25" s="1"/>
  <c r="AN294" i="25"/>
  <c r="BI294" i="25" s="1"/>
  <c r="AC294" i="25"/>
  <c r="AX294" i="25" s="1"/>
  <c r="AO294" i="25"/>
  <c r="BJ294" i="25" s="1"/>
  <c r="AD294" i="25"/>
  <c r="AY294" i="25" s="1"/>
  <c r="AP294" i="25"/>
  <c r="BK294" i="25" s="1"/>
  <c r="AE294" i="25"/>
  <c r="AZ294" i="25" s="1"/>
  <c r="AQ294" i="25"/>
  <c r="BL294" i="25" s="1"/>
  <c r="AF294" i="25"/>
  <c r="BA294" i="25" s="1"/>
  <c r="AR294" i="25"/>
  <c r="BM294" i="25" s="1"/>
  <c r="AG294" i="25"/>
  <c r="BB294" i="25" s="1"/>
  <c r="AH366" i="25"/>
  <c r="BC366" i="25" s="1"/>
  <c r="AI366" i="25"/>
  <c r="BD366" i="25" s="1"/>
  <c r="AJ366" i="25"/>
  <c r="BE366" i="25" s="1"/>
  <c r="Y366" i="25"/>
  <c r="AT366" i="25" s="1"/>
  <c r="AK366" i="25"/>
  <c r="BF366" i="25" s="1"/>
  <c r="Z366" i="25"/>
  <c r="AL366" i="25"/>
  <c r="BG366" i="25" s="1"/>
  <c r="AA366" i="25"/>
  <c r="AV366" i="25" s="1"/>
  <c r="AM366" i="25"/>
  <c r="BH366" i="25" s="1"/>
  <c r="AB366" i="25"/>
  <c r="AW366" i="25" s="1"/>
  <c r="AN366" i="25"/>
  <c r="BI366" i="25" s="1"/>
  <c r="AC366" i="25"/>
  <c r="AX366" i="25" s="1"/>
  <c r="AO366" i="25"/>
  <c r="BJ366" i="25" s="1"/>
  <c r="AD366" i="25"/>
  <c r="AY366" i="25" s="1"/>
  <c r="AP366" i="25"/>
  <c r="BK366" i="25" s="1"/>
  <c r="AE366" i="25"/>
  <c r="AZ366" i="25" s="1"/>
  <c r="AQ366" i="25"/>
  <c r="BL366" i="25" s="1"/>
  <c r="AF366" i="25"/>
  <c r="BA366" i="25" s="1"/>
  <c r="AR366" i="25"/>
  <c r="BM366" i="25" s="1"/>
  <c r="AG366" i="25"/>
  <c r="BB366" i="25" s="1"/>
  <c r="AA169" i="25"/>
  <c r="AV169" i="25" s="1"/>
  <c r="AM169" i="25"/>
  <c r="BH169" i="25" s="1"/>
  <c r="AB169" i="25"/>
  <c r="AW169" i="25" s="1"/>
  <c r="AN169" i="25"/>
  <c r="BI169" i="25" s="1"/>
  <c r="AC169" i="25"/>
  <c r="AX169" i="25" s="1"/>
  <c r="AO169" i="25"/>
  <c r="BJ169" i="25" s="1"/>
  <c r="AD169" i="25"/>
  <c r="AY169" i="25" s="1"/>
  <c r="AP169" i="25"/>
  <c r="BK169" i="25" s="1"/>
  <c r="AE169" i="25"/>
  <c r="AZ169" i="25" s="1"/>
  <c r="AQ169" i="25"/>
  <c r="BL169" i="25" s="1"/>
  <c r="AF169" i="25"/>
  <c r="BA169" i="25" s="1"/>
  <c r="AR169" i="25"/>
  <c r="BM169" i="25" s="1"/>
  <c r="AG169" i="25"/>
  <c r="BB169" i="25" s="1"/>
  <c r="AH169" i="25"/>
  <c r="BC169" i="25" s="1"/>
  <c r="AI169" i="25"/>
  <c r="BD169" i="25" s="1"/>
  <c r="AJ169" i="25"/>
  <c r="BE169" i="25" s="1"/>
  <c r="Y169" i="25"/>
  <c r="AT169" i="25" s="1"/>
  <c r="AK169" i="25"/>
  <c r="BF169" i="25" s="1"/>
  <c r="Z169" i="25"/>
  <c r="AL169" i="25"/>
  <c r="BG169" i="25" s="1"/>
  <c r="Z241" i="25"/>
  <c r="AL241" i="25"/>
  <c r="BG241" i="25" s="1"/>
  <c r="AA241" i="25"/>
  <c r="AV241" i="25" s="1"/>
  <c r="AM241" i="25"/>
  <c r="BH241" i="25" s="1"/>
  <c r="AB241" i="25"/>
  <c r="AW241" i="25" s="1"/>
  <c r="AN241" i="25"/>
  <c r="BI241" i="25" s="1"/>
  <c r="AC241" i="25"/>
  <c r="AX241" i="25" s="1"/>
  <c r="AO241" i="25"/>
  <c r="BJ241" i="25" s="1"/>
  <c r="AD241" i="25"/>
  <c r="AY241" i="25" s="1"/>
  <c r="AP241" i="25"/>
  <c r="BK241" i="25" s="1"/>
  <c r="AE241" i="25"/>
  <c r="AZ241" i="25" s="1"/>
  <c r="AQ241" i="25"/>
  <c r="BL241" i="25" s="1"/>
  <c r="AF241" i="25"/>
  <c r="BA241" i="25" s="1"/>
  <c r="AR241" i="25"/>
  <c r="BM241" i="25" s="1"/>
  <c r="AG241" i="25"/>
  <c r="BB241" i="25" s="1"/>
  <c r="AH241" i="25"/>
  <c r="BC241" i="25" s="1"/>
  <c r="AI241" i="25"/>
  <c r="BD241" i="25" s="1"/>
  <c r="AJ241" i="25"/>
  <c r="BE241" i="25" s="1"/>
  <c r="Y241" i="25"/>
  <c r="AT241" i="25" s="1"/>
  <c r="AK241" i="25"/>
  <c r="BF241" i="25" s="1"/>
  <c r="Z313" i="25"/>
  <c r="AL313" i="25"/>
  <c r="BG313" i="25" s="1"/>
  <c r="AA313" i="25"/>
  <c r="AV313" i="25" s="1"/>
  <c r="AM313" i="25"/>
  <c r="BH313" i="25" s="1"/>
  <c r="AB313" i="25"/>
  <c r="AW313" i="25" s="1"/>
  <c r="AN313" i="25"/>
  <c r="BI313" i="25" s="1"/>
  <c r="AC313" i="25"/>
  <c r="AX313" i="25" s="1"/>
  <c r="AO313" i="25"/>
  <c r="BJ313" i="25" s="1"/>
  <c r="AD313" i="25"/>
  <c r="AY313" i="25" s="1"/>
  <c r="AP313" i="25"/>
  <c r="BK313" i="25" s="1"/>
  <c r="AE313" i="25"/>
  <c r="AZ313" i="25" s="1"/>
  <c r="AQ313" i="25"/>
  <c r="BL313" i="25" s="1"/>
  <c r="AF313" i="25"/>
  <c r="BA313" i="25" s="1"/>
  <c r="AR313" i="25"/>
  <c r="BM313" i="25" s="1"/>
  <c r="AG313" i="25"/>
  <c r="BB313" i="25" s="1"/>
  <c r="AH313" i="25"/>
  <c r="BC313" i="25" s="1"/>
  <c r="AI313" i="25"/>
  <c r="BD313" i="25" s="1"/>
  <c r="AJ313" i="25"/>
  <c r="BE313" i="25" s="1"/>
  <c r="Y313" i="25"/>
  <c r="AT313" i="25" s="1"/>
  <c r="AK313" i="25"/>
  <c r="BF313" i="25" s="1"/>
  <c r="AI195" i="25"/>
  <c r="BD195" i="25" s="1"/>
  <c r="AJ195" i="25"/>
  <c r="BE195" i="25" s="1"/>
  <c r="Y195" i="25"/>
  <c r="AT195" i="25" s="1"/>
  <c r="AK195" i="25"/>
  <c r="BF195" i="25" s="1"/>
  <c r="Z195" i="25"/>
  <c r="AL195" i="25"/>
  <c r="BG195" i="25" s="1"/>
  <c r="AA195" i="25"/>
  <c r="AV195" i="25" s="1"/>
  <c r="AM195" i="25"/>
  <c r="BH195" i="25" s="1"/>
  <c r="AB195" i="25"/>
  <c r="AW195" i="25" s="1"/>
  <c r="AN195" i="25"/>
  <c r="BI195" i="25" s="1"/>
  <c r="AC195" i="25"/>
  <c r="AX195" i="25" s="1"/>
  <c r="AO195" i="25"/>
  <c r="BJ195" i="25" s="1"/>
  <c r="AD195" i="25"/>
  <c r="AY195" i="25" s="1"/>
  <c r="AP195" i="25"/>
  <c r="BK195" i="25" s="1"/>
  <c r="AE195" i="25"/>
  <c r="AZ195" i="25" s="1"/>
  <c r="AQ195" i="25"/>
  <c r="BL195" i="25" s="1"/>
  <c r="AF195" i="25"/>
  <c r="BA195" i="25" s="1"/>
  <c r="AR195" i="25"/>
  <c r="BM195" i="25" s="1"/>
  <c r="AG195" i="25"/>
  <c r="BB195" i="25" s="1"/>
  <c r="AH195" i="25"/>
  <c r="BC195" i="25" s="1"/>
  <c r="AE182" i="25"/>
  <c r="AZ182" i="25" s="1"/>
  <c r="AQ182" i="25"/>
  <c r="BL182" i="25" s="1"/>
  <c r="AF182" i="25"/>
  <c r="BA182" i="25" s="1"/>
  <c r="AR182" i="25"/>
  <c r="BM182" i="25" s="1"/>
  <c r="AG182" i="25"/>
  <c r="BB182" i="25" s="1"/>
  <c r="AH182" i="25"/>
  <c r="BC182" i="25" s="1"/>
  <c r="AI182" i="25"/>
  <c r="BD182" i="25" s="1"/>
  <c r="AJ182" i="25"/>
  <c r="BE182" i="25" s="1"/>
  <c r="Y182" i="25"/>
  <c r="AT182" i="25" s="1"/>
  <c r="AK182" i="25"/>
  <c r="BF182" i="25" s="1"/>
  <c r="Z182" i="25"/>
  <c r="AL182" i="25"/>
  <c r="BG182" i="25" s="1"/>
  <c r="AA182" i="25"/>
  <c r="AV182" i="25" s="1"/>
  <c r="AM182" i="25"/>
  <c r="BH182" i="25" s="1"/>
  <c r="AB182" i="25"/>
  <c r="AW182" i="25" s="1"/>
  <c r="AN182" i="25"/>
  <c r="BI182" i="25" s="1"/>
  <c r="AC182" i="25"/>
  <c r="AX182" i="25" s="1"/>
  <c r="AO182" i="25"/>
  <c r="BJ182" i="25" s="1"/>
  <c r="AD182" i="25"/>
  <c r="AY182" i="25" s="1"/>
  <c r="AP182" i="25"/>
  <c r="BK182" i="25" s="1"/>
  <c r="AD254" i="25"/>
  <c r="AY254" i="25" s="1"/>
  <c r="AP254" i="25"/>
  <c r="BK254" i="25" s="1"/>
  <c r="AE254" i="25"/>
  <c r="AZ254" i="25" s="1"/>
  <c r="AQ254" i="25"/>
  <c r="BL254" i="25" s="1"/>
  <c r="AF254" i="25"/>
  <c r="BA254" i="25" s="1"/>
  <c r="AR254" i="25"/>
  <c r="BM254" i="25" s="1"/>
  <c r="AG254" i="25"/>
  <c r="BB254" i="25" s="1"/>
  <c r="AH254" i="25"/>
  <c r="BC254" i="25" s="1"/>
  <c r="AI254" i="25"/>
  <c r="BD254" i="25" s="1"/>
  <c r="AJ254" i="25"/>
  <c r="BE254" i="25" s="1"/>
  <c r="Y254" i="25"/>
  <c r="AT254" i="25" s="1"/>
  <c r="AK254" i="25"/>
  <c r="BF254" i="25" s="1"/>
  <c r="Z254" i="25"/>
  <c r="AL254" i="25"/>
  <c r="BG254" i="25" s="1"/>
  <c r="AA254" i="25"/>
  <c r="AV254" i="25" s="1"/>
  <c r="AM254" i="25"/>
  <c r="BH254" i="25" s="1"/>
  <c r="AB254" i="25"/>
  <c r="AW254" i="25" s="1"/>
  <c r="AN254" i="25"/>
  <c r="BI254" i="25" s="1"/>
  <c r="AC254" i="25"/>
  <c r="AX254" i="25" s="1"/>
  <c r="AO254" i="25"/>
  <c r="BJ254" i="25" s="1"/>
  <c r="AD326" i="25"/>
  <c r="AY326" i="25" s="1"/>
  <c r="AP326" i="25"/>
  <c r="BK326" i="25" s="1"/>
  <c r="AE326" i="25"/>
  <c r="AZ326" i="25" s="1"/>
  <c r="AQ326" i="25"/>
  <c r="BL326" i="25" s="1"/>
  <c r="AF326" i="25"/>
  <c r="BA326" i="25" s="1"/>
  <c r="AR326" i="25"/>
  <c r="BM326" i="25" s="1"/>
  <c r="AG326" i="25"/>
  <c r="BB326" i="25" s="1"/>
  <c r="AH326" i="25"/>
  <c r="BC326" i="25" s="1"/>
  <c r="AI326" i="25"/>
  <c r="BD326" i="25" s="1"/>
  <c r="AJ326" i="25"/>
  <c r="BE326" i="25" s="1"/>
  <c r="Y326" i="25"/>
  <c r="AT326" i="25" s="1"/>
  <c r="AK326" i="25"/>
  <c r="BF326" i="25" s="1"/>
  <c r="Z326" i="25"/>
  <c r="AL326" i="25"/>
  <c r="BG326" i="25" s="1"/>
  <c r="AA326" i="25"/>
  <c r="AV326" i="25" s="1"/>
  <c r="AM326" i="25"/>
  <c r="BH326" i="25" s="1"/>
  <c r="AB326" i="25"/>
  <c r="AW326" i="25" s="1"/>
  <c r="AN326" i="25"/>
  <c r="BI326" i="25" s="1"/>
  <c r="AC326" i="25"/>
  <c r="AX326" i="25" s="1"/>
  <c r="AO326" i="25"/>
  <c r="BJ326" i="25" s="1"/>
  <c r="AE119" i="25"/>
  <c r="AZ119" i="25" s="1"/>
  <c r="AQ119" i="25"/>
  <c r="BL119" i="25" s="1"/>
  <c r="AF119" i="25"/>
  <c r="BA119" i="25" s="1"/>
  <c r="AR119" i="25"/>
  <c r="BM119" i="25" s="1"/>
  <c r="AG119" i="25"/>
  <c r="BB119" i="25" s="1"/>
  <c r="AH119" i="25"/>
  <c r="BC119" i="25" s="1"/>
  <c r="AI119" i="25"/>
  <c r="BD119" i="25" s="1"/>
  <c r="AJ119" i="25"/>
  <c r="BE119" i="25" s="1"/>
  <c r="Y119" i="25"/>
  <c r="AT119" i="25" s="1"/>
  <c r="AK119" i="25"/>
  <c r="BF119" i="25" s="1"/>
  <c r="Z119" i="25"/>
  <c r="AL119" i="25"/>
  <c r="BG119" i="25" s="1"/>
  <c r="AA119" i="25"/>
  <c r="AV119" i="25" s="1"/>
  <c r="AM119" i="25"/>
  <c r="BH119" i="25" s="1"/>
  <c r="AB119" i="25"/>
  <c r="AW119" i="25" s="1"/>
  <c r="AN119" i="25"/>
  <c r="BI119" i="25" s="1"/>
  <c r="AC119" i="25"/>
  <c r="AX119" i="25" s="1"/>
  <c r="AO119" i="25"/>
  <c r="BJ119" i="25" s="1"/>
  <c r="AD119" i="25"/>
  <c r="AY119" i="25" s="1"/>
  <c r="AP119" i="25"/>
  <c r="BK119" i="25" s="1"/>
  <c r="AI207" i="25"/>
  <c r="BD207" i="25" s="1"/>
  <c r="AJ207" i="25"/>
  <c r="BE207" i="25" s="1"/>
  <c r="Y207" i="25"/>
  <c r="AT207" i="25" s="1"/>
  <c r="AK207" i="25"/>
  <c r="BF207" i="25" s="1"/>
  <c r="Z207" i="25"/>
  <c r="AL207" i="25"/>
  <c r="BG207" i="25" s="1"/>
  <c r="AA207" i="25"/>
  <c r="AV207" i="25" s="1"/>
  <c r="AM207" i="25"/>
  <c r="BH207" i="25" s="1"/>
  <c r="AB207" i="25"/>
  <c r="AW207" i="25" s="1"/>
  <c r="AN207" i="25"/>
  <c r="BI207" i="25" s="1"/>
  <c r="AC207" i="25"/>
  <c r="AX207" i="25" s="1"/>
  <c r="AO207" i="25"/>
  <c r="BJ207" i="25" s="1"/>
  <c r="AD207" i="25"/>
  <c r="AY207" i="25" s="1"/>
  <c r="AP207" i="25"/>
  <c r="BK207" i="25" s="1"/>
  <c r="AE207" i="25"/>
  <c r="AZ207" i="25" s="1"/>
  <c r="AQ207" i="25"/>
  <c r="BL207" i="25" s="1"/>
  <c r="AF207" i="25"/>
  <c r="BA207" i="25" s="1"/>
  <c r="AR207" i="25"/>
  <c r="BM207" i="25" s="1"/>
  <c r="AG207" i="25"/>
  <c r="BB207" i="25" s="1"/>
  <c r="AH207" i="25"/>
  <c r="BC207" i="25" s="1"/>
  <c r="AH279" i="25"/>
  <c r="BC279" i="25" s="1"/>
  <c r="AI279" i="25"/>
  <c r="BD279" i="25" s="1"/>
  <c r="AJ279" i="25"/>
  <c r="BE279" i="25" s="1"/>
  <c r="Y279" i="25"/>
  <c r="AT279" i="25" s="1"/>
  <c r="AK279" i="25"/>
  <c r="BF279" i="25" s="1"/>
  <c r="Z279" i="25"/>
  <c r="AL279" i="25"/>
  <c r="BG279" i="25" s="1"/>
  <c r="AA279" i="25"/>
  <c r="AV279" i="25" s="1"/>
  <c r="AM279" i="25"/>
  <c r="BH279" i="25" s="1"/>
  <c r="AB279" i="25"/>
  <c r="AW279" i="25" s="1"/>
  <c r="AN279" i="25"/>
  <c r="BI279" i="25" s="1"/>
  <c r="AC279" i="25"/>
  <c r="AX279" i="25" s="1"/>
  <c r="AO279" i="25"/>
  <c r="BJ279" i="25" s="1"/>
  <c r="AD279" i="25"/>
  <c r="AY279" i="25" s="1"/>
  <c r="AP279" i="25"/>
  <c r="BK279" i="25" s="1"/>
  <c r="AE279" i="25"/>
  <c r="AZ279" i="25" s="1"/>
  <c r="AQ279" i="25"/>
  <c r="BL279" i="25" s="1"/>
  <c r="AF279" i="25"/>
  <c r="BA279" i="25" s="1"/>
  <c r="AR279" i="25"/>
  <c r="BM279" i="25" s="1"/>
  <c r="AG279" i="25"/>
  <c r="BB279" i="25" s="1"/>
  <c r="AH351" i="25"/>
  <c r="BC351" i="25" s="1"/>
  <c r="AI351" i="25"/>
  <c r="BD351" i="25" s="1"/>
  <c r="AJ351" i="25"/>
  <c r="BE351" i="25" s="1"/>
  <c r="Y351" i="25"/>
  <c r="AT351" i="25" s="1"/>
  <c r="AK351" i="25"/>
  <c r="BF351" i="25" s="1"/>
  <c r="Z351" i="25"/>
  <c r="AL351" i="25"/>
  <c r="BG351" i="25" s="1"/>
  <c r="AA351" i="25"/>
  <c r="AV351" i="25" s="1"/>
  <c r="AM351" i="25"/>
  <c r="BH351" i="25" s="1"/>
  <c r="AB351" i="25"/>
  <c r="AW351" i="25" s="1"/>
  <c r="AN351" i="25"/>
  <c r="BI351" i="25" s="1"/>
  <c r="AC351" i="25"/>
  <c r="AX351" i="25" s="1"/>
  <c r="AO351" i="25"/>
  <c r="BJ351" i="25" s="1"/>
  <c r="AD351" i="25"/>
  <c r="AY351" i="25" s="1"/>
  <c r="AP351" i="25"/>
  <c r="BK351" i="25" s="1"/>
  <c r="AE351" i="25"/>
  <c r="AZ351" i="25" s="1"/>
  <c r="AQ351" i="25"/>
  <c r="BL351" i="25" s="1"/>
  <c r="AF351" i="25"/>
  <c r="BA351" i="25" s="1"/>
  <c r="AR351" i="25"/>
  <c r="BM351" i="25" s="1"/>
  <c r="AG351" i="25"/>
  <c r="BB351" i="25" s="1"/>
  <c r="AC167" i="26"/>
  <c r="AX167" i="26" s="1"/>
  <c r="AO167" i="26"/>
  <c r="BJ167" i="26" s="1"/>
  <c r="AD167" i="26"/>
  <c r="AY167" i="26" s="1"/>
  <c r="AP167" i="26"/>
  <c r="BK167" i="26" s="1"/>
  <c r="AE167" i="26"/>
  <c r="AZ167" i="26" s="1"/>
  <c r="AQ167" i="26"/>
  <c r="BL167" i="26" s="1"/>
  <c r="AF167" i="26"/>
  <c r="BA167" i="26" s="1"/>
  <c r="AR167" i="26"/>
  <c r="BM167" i="26" s="1"/>
  <c r="AG167" i="26"/>
  <c r="BB167" i="26" s="1"/>
  <c r="AH167" i="26"/>
  <c r="BC167" i="26" s="1"/>
  <c r="AI167" i="26"/>
  <c r="BD167" i="26" s="1"/>
  <c r="AJ167" i="26"/>
  <c r="BE167" i="26" s="1"/>
  <c r="Y167" i="26"/>
  <c r="AT167" i="26" s="1"/>
  <c r="AK167" i="26"/>
  <c r="BF167" i="26" s="1"/>
  <c r="Z167" i="26"/>
  <c r="AL167" i="26"/>
  <c r="BG167" i="26" s="1"/>
  <c r="AA167" i="26"/>
  <c r="AV167" i="26" s="1"/>
  <c r="AM167" i="26"/>
  <c r="BH167" i="26" s="1"/>
  <c r="AB167" i="26"/>
  <c r="AW167" i="26" s="1"/>
  <c r="AN167" i="26"/>
  <c r="BI167" i="26" s="1"/>
  <c r="AC239" i="26"/>
  <c r="AX239" i="26" s="1"/>
  <c r="AO239" i="26"/>
  <c r="BJ239" i="26" s="1"/>
  <c r="AD239" i="26"/>
  <c r="AY239" i="26" s="1"/>
  <c r="AP239" i="26"/>
  <c r="BK239" i="26" s="1"/>
  <c r="AE239" i="26"/>
  <c r="AZ239" i="26" s="1"/>
  <c r="AQ239" i="26"/>
  <c r="BL239" i="26" s="1"/>
  <c r="AF239" i="26"/>
  <c r="BA239" i="26" s="1"/>
  <c r="AR239" i="26"/>
  <c r="BM239" i="26" s="1"/>
  <c r="AG239" i="26"/>
  <c r="BB239" i="26" s="1"/>
  <c r="AH239" i="26"/>
  <c r="BC239" i="26" s="1"/>
  <c r="AI239" i="26"/>
  <c r="BD239" i="26" s="1"/>
  <c r="AJ239" i="26"/>
  <c r="BE239" i="26" s="1"/>
  <c r="Y239" i="26"/>
  <c r="AT239" i="26" s="1"/>
  <c r="AK239" i="26"/>
  <c r="BF239" i="26" s="1"/>
  <c r="Z239" i="26"/>
  <c r="AL239" i="26"/>
  <c r="BG239" i="26" s="1"/>
  <c r="AA239" i="26"/>
  <c r="AV239" i="26" s="1"/>
  <c r="AM239" i="26"/>
  <c r="BH239" i="26" s="1"/>
  <c r="AB239" i="26"/>
  <c r="AW239" i="26" s="1"/>
  <c r="AN239" i="26"/>
  <c r="BI239" i="26" s="1"/>
  <c r="AC311" i="26"/>
  <c r="AX311" i="26" s="1"/>
  <c r="AO311" i="26"/>
  <c r="BJ311" i="26" s="1"/>
  <c r="AD311" i="26"/>
  <c r="AY311" i="26" s="1"/>
  <c r="AP311" i="26"/>
  <c r="BK311" i="26" s="1"/>
  <c r="AE311" i="26"/>
  <c r="AZ311" i="26" s="1"/>
  <c r="AQ311" i="26"/>
  <c r="BL311" i="26" s="1"/>
  <c r="AF311" i="26"/>
  <c r="BA311" i="26" s="1"/>
  <c r="AR311" i="26"/>
  <c r="BM311" i="26" s="1"/>
  <c r="AG311" i="26"/>
  <c r="BB311" i="26" s="1"/>
  <c r="AH311" i="26"/>
  <c r="BC311" i="26" s="1"/>
  <c r="AI311" i="26"/>
  <c r="BD311" i="26" s="1"/>
  <c r="AJ311" i="26"/>
  <c r="BE311" i="26" s="1"/>
  <c r="Y311" i="26"/>
  <c r="AT311" i="26" s="1"/>
  <c r="AK311" i="26"/>
  <c r="BF311" i="26" s="1"/>
  <c r="Z311" i="26"/>
  <c r="AL311" i="26"/>
  <c r="BG311" i="26" s="1"/>
  <c r="AA311" i="26"/>
  <c r="AV311" i="26" s="1"/>
  <c r="AM311" i="26"/>
  <c r="BH311" i="26" s="1"/>
  <c r="AB311" i="26"/>
  <c r="AW311" i="26" s="1"/>
  <c r="AN311" i="26"/>
  <c r="BI311" i="26" s="1"/>
  <c r="AD383" i="26"/>
  <c r="AY383" i="26" s="1"/>
  <c r="AP383" i="26"/>
  <c r="BK383" i="26" s="1"/>
  <c r="AE383" i="26"/>
  <c r="AZ383" i="26" s="1"/>
  <c r="AQ383" i="26"/>
  <c r="BL383" i="26" s="1"/>
  <c r="AF383" i="26"/>
  <c r="BA383" i="26" s="1"/>
  <c r="AR383" i="26"/>
  <c r="BM383" i="26" s="1"/>
  <c r="AG383" i="26"/>
  <c r="BB383" i="26" s="1"/>
  <c r="AH383" i="26"/>
  <c r="BC383" i="26" s="1"/>
  <c r="AI383" i="26"/>
  <c r="BD383" i="26" s="1"/>
  <c r="AJ383" i="26"/>
  <c r="BE383" i="26" s="1"/>
  <c r="Y383" i="26"/>
  <c r="AT383" i="26" s="1"/>
  <c r="AK383" i="26"/>
  <c r="BF383" i="26" s="1"/>
  <c r="Z383" i="26"/>
  <c r="AL383" i="26"/>
  <c r="BG383" i="26" s="1"/>
  <c r="AA383" i="26"/>
  <c r="AV383" i="26" s="1"/>
  <c r="AM383" i="26"/>
  <c r="BH383" i="26" s="1"/>
  <c r="AB383" i="26"/>
  <c r="AW383" i="26" s="1"/>
  <c r="AN383" i="26"/>
  <c r="BI383" i="26" s="1"/>
  <c r="AC383" i="26"/>
  <c r="AX383" i="26" s="1"/>
  <c r="AO383" i="26"/>
  <c r="BJ383" i="26" s="1"/>
  <c r="AG204" i="26"/>
  <c r="BB204" i="26" s="1"/>
  <c r="AH204" i="26"/>
  <c r="BC204" i="26" s="1"/>
  <c r="AI204" i="26"/>
  <c r="BD204" i="26" s="1"/>
  <c r="AJ204" i="26"/>
  <c r="BE204" i="26" s="1"/>
  <c r="Y204" i="26"/>
  <c r="AT204" i="26" s="1"/>
  <c r="AK204" i="26"/>
  <c r="BF204" i="26" s="1"/>
  <c r="Z204" i="26"/>
  <c r="AL204" i="26"/>
  <c r="BG204" i="26" s="1"/>
  <c r="AA204" i="26"/>
  <c r="AV204" i="26" s="1"/>
  <c r="AM204" i="26"/>
  <c r="BH204" i="26" s="1"/>
  <c r="AB204" i="26"/>
  <c r="AW204" i="26" s="1"/>
  <c r="AN204" i="26"/>
  <c r="BI204" i="26" s="1"/>
  <c r="AC204" i="26"/>
  <c r="AX204" i="26" s="1"/>
  <c r="AO204" i="26"/>
  <c r="BJ204" i="26" s="1"/>
  <c r="AD204" i="26"/>
  <c r="AY204" i="26" s="1"/>
  <c r="AP204" i="26"/>
  <c r="BK204" i="26" s="1"/>
  <c r="AE204" i="26"/>
  <c r="AZ204" i="26" s="1"/>
  <c r="AQ204" i="26"/>
  <c r="BL204" i="26" s="1"/>
  <c r="AF204" i="26"/>
  <c r="BA204" i="26" s="1"/>
  <c r="AR204" i="26"/>
  <c r="BM204" i="26" s="1"/>
  <c r="AG276" i="26"/>
  <c r="BB276" i="26" s="1"/>
  <c r="AH276" i="26"/>
  <c r="BC276" i="26" s="1"/>
  <c r="AI276" i="26"/>
  <c r="BD276" i="26" s="1"/>
  <c r="AJ276" i="26"/>
  <c r="BE276" i="26" s="1"/>
  <c r="Y276" i="26"/>
  <c r="AT276" i="26" s="1"/>
  <c r="AK276" i="26"/>
  <c r="BF276" i="26" s="1"/>
  <c r="Z276" i="26"/>
  <c r="AL276" i="26"/>
  <c r="BG276" i="26" s="1"/>
  <c r="AA276" i="26"/>
  <c r="AV276" i="26" s="1"/>
  <c r="AM276" i="26"/>
  <c r="BH276" i="26" s="1"/>
  <c r="AB276" i="26"/>
  <c r="AW276" i="26" s="1"/>
  <c r="AN276" i="26"/>
  <c r="BI276" i="26" s="1"/>
  <c r="AC276" i="26"/>
  <c r="AX276" i="26" s="1"/>
  <c r="AO276" i="26"/>
  <c r="BJ276" i="26" s="1"/>
  <c r="AD276" i="26"/>
  <c r="AY276" i="26" s="1"/>
  <c r="AP276" i="26"/>
  <c r="BK276" i="26" s="1"/>
  <c r="AE276" i="26"/>
  <c r="AZ276" i="26" s="1"/>
  <c r="AQ276" i="26"/>
  <c r="BL276" i="26" s="1"/>
  <c r="AF276" i="26"/>
  <c r="BA276" i="26" s="1"/>
  <c r="AR276" i="26"/>
  <c r="BM276" i="26" s="1"/>
  <c r="AH348" i="26"/>
  <c r="BC348" i="26" s="1"/>
  <c r="AI348" i="26"/>
  <c r="BD348" i="26" s="1"/>
  <c r="AJ348" i="26"/>
  <c r="BE348" i="26" s="1"/>
  <c r="Y348" i="26"/>
  <c r="AT348" i="26" s="1"/>
  <c r="AK348" i="26"/>
  <c r="BF348" i="26" s="1"/>
  <c r="Z348" i="26"/>
  <c r="AL348" i="26"/>
  <c r="BG348" i="26" s="1"/>
  <c r="AA348" i="26"/>
  <c r="AV348" i="26" s="1"/>
  <c r="AM348" i="26"/>
  <c r="BH348" i="26" s="1"/>
  <c r="AB348" i="26"/>
  <c r="AW348" i="26" s="1"/>
  <c r="AN348" i="26"/>
  <c r="BI348" i="26" s="1"/>
  <c r="AC348" i="26"/>
  <c r="AX348" i="26" s="1"/>
  <c r="AO348" i="26"/>
  <c r="BJ348" i="26" s="1"/>
  <c r="AD348" i="26"/>
  <c r="AY348" i="26" s="1"/>
  <c r="AP348" i="26"/>
  <c r="BK348" i="26" s="1"/>
  <c r="AE348" i="26"/>
  <c r="AZ348" i="26" s="1"/>
  <c r="AQ348" i="26"/>
  <c r="BL348" i="26" s="1"/>
  <c r="AF348" i="26"/>
  <c r="BA348" i="26" s="1"/>
  <c r="AR348" i="26"/>
  <c r="BM348" i="26" s="1"/>
  <c r="AG348" i="26"/>
  <c r="BB348" i="26" s="1"/>
  <c r="Y169" i="26"/>
  <c r="AT169" i="26" s="1"/>
  <c r="AK169" i="26"/>
  <c r="BF169" i="26" s="1"/>
  <c r="Z169" i="26"/>
  <c r="AL169" i="26"/>
  <c r="BG169" i="26" s="1"/>
  <c r="AA169" i="26"/>
  <c r="AV169" i="26" s="1"/>
  <c r="AM169" i="26"/>
  <c r="BH169" i="26" s="1"/>
  <c r="AB169" i="26"/>
  <c r="AW169" i="26" s="1"/>
  <c r="AN169" i="26"/>
  <c r="BI169" i="26" s="1"/>
  <c r="AC169" i="26"/>
  <c r="AX169" i="26" s="1"/>
  <c r="AO169" i="26"/>
  <c r="BJ169" i="26" s="1"/>
  <c r="AD169" i="26"/>
  <c r="AY169" i="26" s="1"/>
  <c r="AP169" i="26"/>
  <c r="BK169" i="26" s="1"/>
  <c r="AE169" i="26"/>
  <c r="AZ169" i="26" s="1"/>
  <c r="AQ169" i="26"/>
  <c r="BL169" i="26" s="1"/>
  <c r="AF169" i="26"/>
  <c r="BA169" i="26" s="1"/>
  <c r="AR169" i="26"/>
  <c r="BM169" i="26" s="1"/>
  <c r="AG169" i="26"/>
  <c r="BB169" i="26" s="1"/>
  <c r="AH169" i="26"/>
  <c r="BC169" i="26" s="1"/>
  <c r="AI169" i="26"/>
  <c r="BD169" i="26" s="1"/>
  <c r="AJ169" i="26"/>
  <c r="BE169" i="26" s="1"/>
  <c r="Y241" i="26"/>
  <c r="AT241" i="26" s="1"/>
  <c r="AK241" i="26"/>
  <c r="BF241" i="26" s="1"/>
  <c r="Z241" i="26"/>
  <c r="AL241" i="26"/>
  <c r="BG241" i="26" s="1"/>
  <c r="AA241" i="26"/>
  <c r="AV241" i="26" s="1"/>
  <c r="AM241" i="26"/>
  <c r="BH241" i="26" s="1"/>
  <c r="AB241" i="26"/>
  <c r="AW241" i="26" s="1"/>
  <c r="AN241" i="26"/>
  <c r="BI241" i="26" s="1"/>
  <c r="AC241" i="26"/>
  <c r="AX241" i="26" s="1"/>
  <c r="AO241" i="26"/>
  <c r="BJ241" i="26" s="1"/>
  <c r="AD241" i="26"/>
  <c r="AY241" i="26" s="1"/>
  <c r="AP241" i="26"/>
  <c r="BK241" i="26" s="1"/>
  <c r="AE241" i="26"/>
  <c r="AZ241" i="26" s="1"/>
  <c r="AQ241" i="26"/>
  <c r="BL241" i="26" s="1"/>
  <c r="AF241" i="26"/>
  <c r="BA241" i="26" s="1"/>
  <c r="AR241" i="26"/>
  <c r="BM241" i="26" s="1"/>
  <c r="AG241" i="26"/>
  <c r="BB241" i="26" s="1"/>
  <c r="AH241" i="26"/>
  <c r="BC241" i="26" s="1"/>
  <c r="AI241" i="26"/>
  <c r="BD241" i="26" s="1"/>
  <c r="AJ241" i="26"/>
  <c r="BE241" i="26" s="1"/>
  <c r="Y313" i="26"/>
  <c r="AT313" i="26" s="1"/>
  <c r="AK313" i="26"/>
  <c r="BF313" i="26" s="1"/>
  <c r="Z313" i="26"/>
  <c r="AL313" i="26"/>
  <c r="BG313" i="26" s="1"/>
  <c r="AA313" i="26"/>
  <c r="AV313" i="26" s="1"/>
  <c r="AM313" i="26"/>
  <c r="BH313" i="26" s="1"/>
  <c r="AB313" i="26"/>
  <c r="AW313" i="26" s="1"/>
  <c r="AN313" i="26"/>
  <c r="BI313" i="26" s="1"/>
  <c r="AC313" i="26"/>
  <c r="AX313" i="26" s="1"/>
  <c r="AO313" i="26"/>
  <c r="BJ313" i="26" s="1"/>
  <c r="AD313" i="26"/>
  <c r="AY313" i="26" s="1"/>
  <c r="AP313" i="26"/>
  <c r="BK313" i="26" s="1"/>
  <c r="AE313" i="26"/>
  <c r="AZ313" i="26" s="1"/>
  <c r="AQ313" i="26"/>
  <c r="BL313" i="26" s="1"/>
  <c r="AF313" i="26"/>
  <c r="BA313" i="26" s="1"/>
  <c r="AR313" i="26"/>
  <c r="BM313" i="26" s="1"/>
  <c r="AG313" i="26"/>
  <c r="BB313" i="26" s="1"/>
  <c r="AH313" i="26"/>
  <c r="BC313" i="26" s="1"/>
  <c r="AI313" i="26"/>
  <c r="BD313" i="26" s="1"/>
  <c r="AJ313" i="26"/>
  <c r="BE313" i="26" s="1"/>
  <c r="AC212" i="26"/>
  <c r="AX212" i="26" s="1"/>
  <c r="AO212" i="26"/>
  <c r="BJ212" i="26" s="1"/>
  <c r="AD212" i="26"/>
  <c r="AY212" i="26" s="1"/>
  <c r="AP212" i="26"/>
  <c r="BK212" i="26" s="1"/>
  <c r="AE212" i="26"/>
  <c r="AZ212" i="26" s="1"/>
  <c r="AQ212" i="26"/>
  <c r="BL212" i="26" s="1"/>
  <c r="AF212" i="26"/>
  <c r="BA212" i="26" s="1"/>
  <c r="AR212" i="26"/>
  <c r="BM212" i="26" s="1"/>
  <c r="AG212" i="26"/>
  <c r="BB212" i="26" s="1"/>
  <c r="AH212" i="26"/>
  <c r="BC212" i="26" s="1"/>
  <c r="AI212" i="26"/>
  <c r="BD212" i="26" s="1"/>
  <c r="AJ212" i="26"/>
  <c r="BE212" i="26" s="1"/>
  <c r="Y212" i="26"/>
  <c r="AT212" i="26" s="1"/>
  <c r="AK212" i="26"/>
  <c r="BF212" i="26" s="1"/>
  <c r="Z212" i="26"/>
  <c r="AL212" i="26"/>
  <c r="BG212" i="26" s="1"/>
  <c r="AA212" i="26"/>
  <c r="AV212" i="26" s="1"/>
  <c r="AM212" i="26"/>
  <c r="BH212" i="26" s="1"/>
  <c r="AB212" i="26"/>
  <c r="AW212" i="26" s="1"/>
  <c r="AN212" i="26"/>
  <c r="BI212" i="26" s="1"/>
  <c r="AC284" i="26"/>
  <c r="AX284" i="26" s="1"/>
  <c r="AO284" i="26"/>
  <c r="BJ284" i="26" s="1"/>
  <c r="AD284" i="26"/>
  <c r="AY284" i="26" s="1"/>
  <c r="AP284" i="26"/>
  <c r="BK284" i="26" s="1"/>
  <c r="AE284" i="26"/>
  <c r="AZ284" i="26" s="1"/>
  <c r="AQ284" i="26"/>
  <c r="BL284" i="26" s="1"/>
  <c r="AF284" i="26"/>
  <c r="BA284" i="26" s="1"/>
  <c r="AR284" i="26"/>
  <c r="BM284" i="26" s="1"/>
  <c r="AG284" i="26"/>
  <c r="BB284" i="26" s="1"/>
  <c r="AH284" i="26"/>
  <c r="BC284" i="26" s="1"/>
  <c r="AI284" i="26"/>
  <c r="BD284" i="26" s="1"/>
  <c r="AJ284" i="26"/>
  <c r="BE284" i="26" s="1"/>
  <c r="Y284" i="26"/>
  <c r="AT284" i="26" s="1"/>
  <c r="AK284" i="26"/>
  <c r="BF284" i="26" s="1"/>
  <c r="Z284" i="26"/>
  <c r="AL284" i="26"/>
  <c r="BG284" i="26" s="1"/>
  <c r="AA284" i="26"/>
  <c r="AV284" i="26" s="1"/>
  <c r="AM284" i="26"/>
  <c r="BH284" i="26" s="1"/>
  <c r="AB284" i="26"/>
  <c r="AW284" i="26" s="1"/>
  <c r="AN284" i="26"/>
  <c r="BI284" i="26" s="1"/>
  <c r="AD356" i="26"/>
  <c r="AY356" i="26" s="1"/>
  <c r="AP356" i="26"/>
  <c r="BK356" i="26" s="1"/>
  <c r="AE356" i="26"/>
  <c r="AZ356" i="26" s="1"/>
  <c r="AQ356" i="26"/>
  <c r="BL356" i="26" s="1"/>
  <c r="AF356" i="26"/>
  <c r="BA356" i="26" s="1"/>
  <c r="AR356" i="26"/>
  <c r="BM356" i="26" s="1"/>
  <c r="AG356" i="26"/>
  <c r="BB356" i="26" s="1"/>
  <c r="AH356" i="26"/>
  <c r="BC356" i="26" s="1"/>
  <c r="AI356" i="26"/>
  <c r="BD356" i="26" s="1"/>
  <c r="AJ356" i="26"/>
  <c r="BE356" i="26" s="1"/>
  <c r="Y356" i="26"/>
  <c r="AT356" i="26" s="1"/>
  <c r="AK356" i="26"/>
  <c r="BF356" i="26" s="1"/>
  <c r="Z356" i="26"/>
  <c r="AL356" i="26"/>
  <c r="BG356" i="26" s="1"/>
  <c r="AA356" i="26"/>
  <c r="AV356" i="26" s="1"/>
  <c r="AM356" i="26"/>
  <c r="BH356" i="26" s="1"/>
  <c r="AB356" i="26"/>
  <c r="AW356" i="26" s="1"/>
  <c r="AN356" i="26"/>
  <c r="BI356" i="26" s="1"/>
  <c r="AC356" i="26"/>
  <c r="AX356" i="26" s="1"/>
  <c r="AO356" i="26"/>
  <c r="BJ356" i="26" s="1"/>
  <c r="AG183" i="26"/>
  <c r="BB183" i="26" s="1"/>
  <c r="AH183" i="26"/>
  <c r="BC183" i="26" s="1"/>
  <c r="AI183" i="26"/>
  <c r="BD183" i="26" s="1"/>
  <c r="AJ183" i="26"/>
  <c r="BE183" i="26" s="1"/>
  <c r="Y183" i="26"/>
  <c r="AT183" i="26" s="1"/>
  <c r="AK183" i="26"/>
  <c r="BF183" i="26" s="1"/>
  <c r="Z183" i="26"/>
  <c r="AL183" i="26"/>
  <c r="BG183" i="26" s="1"/>
  <c r="AA183" i="26"/>
  <c r="AV183" i="26" s="1"/>
  <c r="AM183" i="26"/>
  <c r="BH183" i="26" s="1"/>
  <c r="AB183" i="26"/>
  <c r="AW183" i="26" s="1"/>
  <c r="AN183" i="26"/>
  <c r="BI183" i="26" s="1"/>
  <c r="AC183" i="26"/>
  <c r="AX183" i="26" s="1"/>
  <c r="AO183" i="26"/>
  <c r="BJ183" i="26" s="1"/>
  <c r="AD183" i="26"/>
  <c r="AY183" i="26" s="1"/>
  <c r="AP183" i="26"/>
  <c r="BK183" i="26" s="1"/>
  <c r="AE183" i="26"/>
  <c r="AZ183" i="26" s="1"/>
  <c r="AQ183" i="26"/>
  <c r="BL183" i="26" s="1"/>
  <c r="AF183" i="26"/>
  <c r="BA183" i="26" s="1"/>
  <c r="AR183" i="26"/>
  <c r="BM183" i="26" s="1"/>
  <c r="AG255" i="26"/>
  <c r="BB255" i="26" s="1"/>
  <c r="AH255" i="26"/>
  <c r="BC255" i="26" s="1"/>
  <c r="AI255" i="26"/>
  <c r="BD255" i="26" s="1"/>
  <c r="AJ255" i="26"/>
  <c r="BE255" i="26" s="1"/>
  <c r="Y255" i="26"/>
  <c r="AT255" i="26" s="1"/>
  <c r="AK255" i="26"/>
  <c r="BF255" i="26" s="1"/>
  <c r="Z255" i="26"/>
  <c r="AL255" i="26"/>
  <c r="BG255" i="26" s="1"/>
  <c r="AA255" i="26"/>
  <c r="AV255" i="26" s="1"/>
  <c r="AM255" i="26"/>
  <c r="BH255" i="26" s="1"/>
  <c r="AB255" i="26"/>
  <c r="AW255" i="26" s="1"/>
  <c r="AN255" i="26"/>
  <c r="BI255" i="26" s="1"/>
  <c r="AC255" i="26"/>
  <c r="AX255" i="26" s="1"/>
  <c r="AO255" i="26"/>
  <c r="BJ255" i="26" s="1"/>
  <c r="AD255" i="26"/>
  <c r="AY255" i="26" s="1"/>
  <c r="AP255" i="26"/>
  <c r="BK255" i="26" s="1"/>
  <c r="AE255" i="26"/>
  <c r="AZ255" i="26" s="1"/>
  <c r="AQ255" i="26"/>
  <c r="BL255" i="26" s="1"/>
  <c r="AF255" i="26"/>
  <c r="BA255" i="26" s="1"/>
  <c r="AR255" i="26"/>
  <c r="BM255" i="26" s="1"/>
  <c r="AH327" i="26"/>
  <c r="BC327" i="26" s="1"/>
  <c r="AI327" i="26"/>
  <c r="BD327" i="26" s="1"/>
  <c r="AJ327" i="26"/>
  <c r="BE327" i="26" s="1"/>
  <c r="Y327" i="26"/>
  <c r="AT327" i="26" s="1"/>
  <c r="AK327" i="26"/>
  <c r="BF327" i="26" s="1"/>
  <c r="Z327" i="26"/>
  <c r="AL327" i="26"/>
  <c r="BG327" i="26" s="1"/>
  <c r="AA327" i="26"/>
  <c r="AV327" i="26" s="1"/>
  <c r="AM327" i="26"/>
  <c r="BH327" i="26" s="1"/>
  <c r="AB327" i="26"/>
  <c r="AW327" i="26" s="1"/>
  <c r="AN327" i="26"/>
  <c r="BI327" i="26" s="1"/>
  <c r="AC327" i="26"/>
  <c r="AX327" i="26" s="1"/>
  <c r="AO327" i="26"/>
  <c r="BJ327" i="26" s="1"/>
  <c r="AD327" i="26"/>
  <c r="AY327" i="26" s="1"/>
  <c r="AP327" i="26"/>
  <c r="BK327" i="26" s="1"/>
  <c r="AE327" i="26"/>
  <c r="AZ327" i="26" s="1"/>
  <c r="AQ327" i="26"/>
  <c r="BL327" i="26" s="1"/>
  <c r="AF327" i="26"/>
  <c r="BA327" i="26" s="1"/>
  <c r="AR327" i="26"/>
  <c r="BM327" i="26" s="1"/>
  <c r="AG327" i="26"/>
  <c r="BB327" i="26" s="1"/>
  <c r="Y226" i="26"/>
  <c r="AT226" i="26" s="1"/>
  <c r="AK226" i="26"/>
  <c r="BF226" i="26" s="1"/>
  <c r="Z226" i="26"/>
  <c r="AL226" i="26"/>
  <c r="BG226" i="26" s="1"/>
  <c r="AA226" i="26"/>
  <c r="AV226" i="26" s="1"/>
  <c r="AM226" i="26"/>
  <c r="BH226" i="26" s="1"/>
  <c r="AB226" i="26"/>
  <c r="AW226" i="26" s="1"/>
  <c r="AN226" i="26"/>
  <c r="BI226" i="26" s="1"/>
  <c r="AC226" i="26"/>
  <c r="AX226" i="26" s="1"/>
  <c r="AO226" i="26"/>
  <c r="BJ226" i="26" s="1"/>
  <c r="AD226" i="26"/>
  <c r="AY226" i="26" s="1"/>
  <c r="AP226" i="26"/>
  <c r="BK226" i="26" s="1"/>
  <c r="AE226" i="26"/>
  <c r="AZ226" i="26" s="1"/>
  <c r="AQ226" i="26"/>
  <c r="BL226" i="26" s="1"/>
  <c r="AF226" i="26"/>
  <c r="BA226" i="26" s="1"/>
  <c r="AR226" i="26"/>
  <c r="BM226" i="26" s="1"/>
  <c r="AG226" i="26"/>
  <c r="BB226" i="26" s="1"/>
  <c r="AH226" i="26"/>
  <c r="BC226" i="26" s="1"/>
  <c r="AI226" i="26"/>
  <c r="BD226" i="26" s="1"/>
  <c r="AJ226" i="26"/>
  <c r="BE226" i="26" s="1"/>
  <c r="Y298" i="26"/>
  <c r="AT298" i="26" s="1"/>
  <c r="AK298" i="26"/>
  <c r="BF298" i="26" s="1"/>
  <c r="Z298" i="26"/>
  <c r="AL298" i="26"/>
  <c r="BG298" i="26" s="1"/>
  <c r="AA298" i="26"/>
  <c r="AV298" i="26" s="1"/>
  <c r="AM298" i="26"/>
  <c r="BH298" i="26" s="1"/>
  <c r="AB298" i="26"/>
  <c r="AW298" i="26" s="1"/>
  <c r="AN298" i="26"/>
  <c r="BI298" i="26" s="1"/>
  <c r="AC298" i="26"/>
  <c r="AX298" i="26" s="1"/>
  <c r="AO298" i="26"/>
  <c r="BJ298" i="26" s="1"/>
  <c r="AD298" i="26"/>
  <c r="AY298" i="26" s="1"/>
  <c r="AP298" i="26"/>
  <c r="BK298" i="26" s="1"/>
  <c r="AE298" i="26"/>
  <c r="AZ298" i="26" s="1"/>
  <c r="AQ298" i="26"/>
  <c r="BL298" i="26" s="1"/>
  <c r="AF298" i="26"/>
  <c r="BA298" i="26" s="1"/>
  <c r="AR298" i="26"/>
  <c r="BM298" i="26" s="1"/>
  <c r="AG298" i="26"/>
  <c r="BB298" i="26" s="1"/>
  <c r="AH298" i="26"/>
  <c r="BC298" i="26" s="1"/>
  <c r="AI298" i="26"/>
  <c r="BD298" i="26" s="1"/>
  <c r="AJ298" i="26"/>
  <c r="BE298" i="26" s="1"/>
  <c r="Z370" i="26"/>
  <c r="AL370" i="26"/>
  <c r="AA370" i="26"/>
  <c r="AM370" i="26"/>
  <c r="AB370" i="26"/>
  <c r="AN370" i="26"/>
  <c r="AC370" i="26"/>
  <c r="AO370" i="26"/>
  <c r="AD370" i="26"/>
  <c r="AP370" i="26"/>
  <c r="AE370" i="26"/>
  <c r="AQ370" i="26"/>
  <c r="AF370" i="26"/>
  <c r="AR370" i="26"/>
  <c r="AG370" i="26"/>
  <c r="AH370" i="26"/>
  <c r="AI370" i="26"/>
  <c r="AJ370" i="26"/>
  <c r="Y370" i="26"/>
  <c r="AT370" i="26" s="1"/>
  <c r="AK370" i="26"/>
  <c r="AD232" i="27"/>
  <c r="AY232" i="27" s="1"/>
  <c r="AP232" i="27"/>
  <c r="BK232" i="27" s="1"/>
  <c r="AE232" i="27"/>
  <c r="AZ232" i="27" s="1"/>
  <c r="AQ232" i="27"/>
  <c r="BL232" i="27" s="1"/>
  <c r="AF232" i="27"/>
  <c r="BA232" i="27" s="1"/>
  <c r="AR232" i="27"/>
  <c r="BM232" i="27" s="1"/>
  <c r="AG232" i="27"/>
  <c r="BB232" i="27" s="1"/>
  <c r="AH232" i="27"/>
  <c r="BC232" i="27" s="1"/>
  <c r="AI232" i="27"/>
  <c r="BD232" i="27" s="1"/>
  <c r="AJ232" i="27"/>
  <c r="BE232" i="27" s="1"/>
  <c r="AK232" i="27"/>
  <c r="BF232" i="27" s="1"/>
  <c r="Z232" i="27"/>
  <c r="AL232" i="27"/>
  <c r="BG232" i="27" s="1"/>
  <c r="AA232" i="27"/>
  <c r="AV232" i="27" s="1"/>
  <c r="AM232" i="27"/>
  <c r="BH232" i="27" s="1"/>
  <c r="AB232" i="27"/>
  <c r="AW232" i="27" s="1"/>
  <c r="AN232" i="27"/>
  <c r="BI232" i="27" s="1"/>
  <c r="Y232" i="27"/>
  <c r="AT232" i="27" s="1"/>
  <c r="AC232" i="27"/>
  <c r="AX232" i="27" s="1"/>
  <c r="AO232" i="27"/>
  <c r="BJ232" i="27" s="1"/>
  <c r="AD302" i="27"/>
  <c r="AY302" i="27" s="1"/>
  <c r="AP302" i="27"/>
  <c r="BK302" i="27" s="1"/>
  <c r="AE302" i="27"/>
  <c r="AZ302" i="27" s="1"/>
  <c r="AQ302" i="27"/>
  <c r="BL302" i="27" s="1"/>
  <c r="AF302" i="27"/>
  <c r="BA302" i="27" s="1"/>
  <c r="AR302" i="27"/>
  <c r="BM302" i="27" s="1"/>
  <c r="AG302" i="27"/>
  <c r="BB302" i="27" s="1"/>
  <c r="AH302" i="27"/>
  <c r="BC302" i="27" s="1"/>
  <c r="AI302" i="27"/>
  <c r="BD302" i="27" s="1"/>
  <c r="AJ302" i="27"/>
  <c r="BE302" i="27" s="1"/>
  <c r="AK302" i="27"/>
  <c r="BF302" i="27" s="1"/>
  <c r="Z302" i="27"/>
  <c r="AL302" i="27"/>
  <c r="BG302" i="27" s="1"/>
  <c r="AA302" i="27"/>
  <c r="AV302" i="27" s="1"/>
  <c r="AM302" i="27"/>
  <c r="BH302" i="27" s="1"/>
  <c r="AB302" i="27"/>
  <c r="AW302" i="27" s="1"/>
  <c r="AN302" i="27"/>
  <c r="BI302" i="27" s="1"/>
  <c r="AC302" i="27"/>
  <c r="AX302" i="27" s="1"/>
  <c r="AO302" i="27"/>
  <c r="BJ302" i="27" s="1"/>
  <c r="Y302" i="27"/>
  <c r="AT302" i="27" s="1"/>
  <c r="AD374" i="27"/>
  <c r="AP374" i="27"/>
  <c r="AE374" i="27"/>
  <c r="AQ374" i="27"/>
  <c r="AG374" i="27"/>
  <c r="AH374" i="27"/>
  <c r="AI374" i="27"/>
  <c r="AJ374" i="27"/>
  <c r="AK374" i="27"/>
  <c r="AA374" i="27"/>
  <c r="AM374" i="27"/>
  <c r="AB374" i="27"/>
  <c r="AN374" i="27"/>
  <c r="Z374" i="27"/>
  <c r="AC374" i="27"/>
  <c r="AF374" i="27"/>
  <c r="Y374" i="27"/>
  <c r="AT374" i="27" s="1"/>
  <c r="AL374" i="27"/>
  <c r="AO374" i="27"/>
  <c r="AR374" i="27"/>
  <c r="AE249" i="27"/>
  <c r="AZ249" i="27" s="1"/>
  <c r="AQ249" i="27"/>
  <c r="BL249" i="27" s="1"/>
  <c r="AF249" i="27"/>
  <c r="BA249" i="27" s="1"/>
  <c r="AR249" i="27"/>
  <c r="BM249" i="27" s="1"/>
  <c r="AG249" i="27"/>
  <c r="BB249" i="27" s="1"/>
  <c r="AH249" i="27"/>
  <c r="BC249" i="27" s="1"/>
  <c r="AI249" i="27"/>
  <c r="BD249" i="27" s="1"/>
  <c r="AJ249" i="27"/>
  <c r="BE249" i="27" s="1"/>
  <c r="AK249" i="27"/>
  <c r="BF249" i="27" s="1"/>
  <c r="Z249" i="27"/>
  <c r="AL249" i="27"/>
  <c r="BG249" i="27" s="1"/>
  <c r="AA249" i="27"/>
  <c r="AV249" i="27" s="1"/>
  <c r="AM249" i="27"/>
  <c r="BH249" i="27" s="1"/>
  <c r="AB249" i="27"/>
  <c r="AW249" i="27" s="1"/>
  <c r="AN249" i="27"/>
  <c r="BI249" i="27" s="1"/>
  <c r="AC249" i="27"/>
  <c r="AX249" i="27" s="1"/>
  <c r="AO249" i="27"/>
  <c r="BJ249" i="27" s="1"/>
  <c r="Y249" i="27"/>
  <c r="AT249" i="27" s="1"/>
  <c r="AD249" i="27"/>
  <c r="AY249" i="27" s="1"/>
  <c r="AP249" i="27"/>
  <c r="BK249" i="27" s="1"/>
  <c r="AC321" i="27"/>
  <c r="AX321" i="27" s="1"/>
  <c r="AO321" i="27"/>
  <c r="BJ321" i="27" s="1"/>
  <c r="AD321" i="27"/>
  <c r="AY321" i="27" s="1"/>
  <c r="AP321" i="27"/>
  <c r="BK321" i="27" s="1"/>
  <c r="AE321" i="27"/>
  <c r="AZ321" i="27" s="1"/>
  <c r="AQ321" i="27"/>
  <c r="BL321" i="27" s="1"/>
  <c r="AF321" i="27"/>
  <c r="BA321" i="27" s="1"/>
  <c r="AR321" i="27"/>
  <c r="BM321" i="27" s="1"/>
  <c r="AG321" i="27"/>
  <c r="BB321" i="27" s="1"/>
  <c r="AH321" i="27"/>
  <c r="BC321" i="27" s="1"/>
  <c r="AI321" i="27"/>
  <c r="BD321" i="27" s="1"/>
  <c r="AJ321" i="27"/>
  <c r="BE321" i="27" s="1"/>
  <c r="AK321" i="27"/>
  <c r="BF321" i="27" s="1"/>
  <c r="Z321" i="27"/>
  <c r="AL321" i="27"/>
  <c r="BG321" i="27" s="1"/>
  <c r="AA321" i="27"/>
  <c r="AV321" i="27" s="1"/>
  <c r="AM321" i="27"/>
  <c r="BH321" i="27" s="1"/>
  <c r="AB321" i="27"/>
  <c r="AW321" i="27" s="1"/>
  <c r="AN321" i="27"/>
  <c r="BI321" i="27" s="1"/>
  <c r="Y321" i="27"/>
  <c r="AT321" i="27" s="1"/>
  <c r="AC192" i="27"/>
  <c r="AX192" i="27" s="1"/>
  <c r="AO192" i="27"/>
  <c r="BJ192" i="27" s="1"/>
  <c r="AD192" i="27"/>
  <c r="AY192" i="27" s="1"/>
  <c r="AP192" i="27"/>
  <c r="BK192" i="27" s="1"/>
  <c r="AE192" i="27"/>
  <c r="AZ192" i="27" s="1"/>
  <c r="AQ192" i="27"/>
  <c r="BL192" i="27" s="1"/>
  <c r="AF192" i="27"/>
  <c r="BA192" i="27" s="1"/>
  <c r="AR192" i="27"/>
  <c r="BM192" i="27" s="1"/>
  <c r="AG192" i="27"/>
  <c r="BB192" i="27" s="1"/>
  <c r="AH192" i="27"/>
  <c r="BC192" i="27" s="1"/>
  <c r="AI192" i="27"/>
  <c r="BD192" i="27" s="1"/>
  <c r="AJ192" i="27"/>
  <c r="BE192" i="27" s="1"/>
  <c r="AK192" i="27"/>
  <c r="BF192" i="27" s="1"/>
  <c r="Z192" i="27"/>
  <c r="AL192" i="27"/>
  <c r="BG192" i="27" s="1"/>
  <c r="AA192" i="27"/>
  <c r="AV192" i="27" s="1"/>
  <c r="AM192" i="27"/>
  <c r="BH192" i="27" s="1"/>
  <c r="AB192" i="27"/>
  <c r="AW192" i="27" s="1"/>
  <c r="AN192" i="27"/>
  <c r="BI192" i="27" s="1"/>
  <c r="Y192" i="27"/>
  <c r="AT192" i="27" s="1"/>
  <c r="AD268" i="27"/>
  <c r="AY268" i="27" s="1"/>
  <c r="AP268" i="27"/>
  <c r="BK268" i="27" s="1"/>
  <c r="AE268" i="27"/>
  <c r="AZ268" i="27" s="1"/>
  <c r="AQ268" i="27"/>
  <c r="BL268" i="27" s="1"/>
  <c r="AF268" i="27"/>
  <c r="BA268" i="27" s="1"/>
  <c r="AR268" i="27"/>
  <c r="BM268" i="27" s="1"/>
  <c r="AG268" i="27"/>
  <c r="BB268" i="27" s="1"/>
  <c r="AH268" i="27"/>
  <c r="BC268" i="27" s="1"/>
  <c r="AI268" i="27"/>
  <c r="BD268" i="27" s="1"/>
  <c r="AJ268" i="27"/>
  <c r="BE268" i="27" s="1"/>
  <c r="AK268" i="27"/>
  <c r="BF268" i="27" s="1"/>
  <c r="Z268" i="27"/>
  <c r="AL268" i="27"/>
  <c r="BG268" i="27" s="1"/>
  <c r="AA268" i="27"/>
  <c r="AV268" i="27" s="1"/>
  <c r="AM268" i="27"/>
  <c r="BH268" i="27" s="1"/>
  <c r="AB268" i="27"/>
  <c r="AW268" i="27" s="1"/>
  <c r="AN268" i="27"/>
  <c r="BI268" i="27" s="1"/>
  <c r="Y268" i="27"/>
  <c r="AT268" i="27" s="1"/>
  <c r="AC268" i="27"/>
  <c r="AX268" i="27" s="1"/>
  <c r="AO268" i="27"/>
  <c r="BJ268" i="27" s="1"/>
  <c r="AB340" i="27"/>
  <c r="AW340" i="27" s="1"/>
  <c r="AN340" i="27"/>
  <c r="BI340" i="27" s="1"/>
  <c r="AC340" i="27"/>
  <c r="AX340" i="27" s="1"/>
  <c r="AO340" i="27"/>
  <c r="BJ340" i="27" s="1"/>
  <c r="AD340" i="27"/>
  <c r="AY340" i="27" s="1"/>
  <c r="AP340" i="27"/>
  <c r="BK340" i="27" s="1"/>
  <c r="AE340" i="27"/>
  <c r="AZ340" i="27" s="1"/>
  <c r="AQ340" i="27"/>
  <c r="BL340" i="27" s="1"/>
  <c r="AF340" i="27"/>
  <c r="BA340" i="27" s="1"/>
  <c r="AR340" i="27"/>
  <c r="BM340" i="27" s="1"/>
  <c r="AG340" i="27"/>
  <c r="BB340" i="27" s="1"/>
  <c r="AH340" i="27"/>
  <c r="BC340" i="27" s="1"/>
  <c r="AI340" i="27"/>
  <c r="BD340" i="27" s="1"/>
  <c r="AJ340" i="27"/>
  <c r="BE340" i="27" s="1"/>
  <c r="AK340" i="27"/>
  <c r="BF340" i="27" s="1"/>
  <c r="Z340" i="27"/>
  <c r="AL340" i="27"/>
  <c r="BG340" i="27" s="1"/>
  <c r="AA340" i="27"/>
  <c r="AV340" i="27" s="1"/>
  <c r="AM340" i="27"/>
  <c r="BH340" i="27" s="1"/>
  <c r="Y340" i="27"/>
  <c r="AT340" i="27" s="1"/>
  <c r="AG199" i="27"/>
  <c r="BB199" i="27" s="1"/>
  <c r="AH199" i="27"/>
  <c r="BC199" i="27" s="1"/>
  <c r="AI199" i="27"/>
  <c r="BD199" i="27" s="1"/>
  <c r="AJ199" i="27"/>
  <c r="BE199" i="27" s="1"/>
  <c r="AK199" i="27"/>
  <c r="BF199" i="27" s="1"/>
  <c r="Z199" i="27"/>
  <c r="AL199" i="27"/>
  <c r="BG199" i="27" s="1"/>
  <c r="AA199" i="27"/>
  <c r="AV199" i="27" s="1"/>
  <c r="AM199" i="27"/>
  <c r="BH199" i="27" s="1"/>
  <c r="AB199" i="27"/>
  <c r="AW199" i="27" s="1"/>
  <c r="AN199" i="27"/>
  <c r="BI199" i="27" s="1"/>
  <c r="AC199" i="27"/>
  <c r="AX199" i="27" s="1"/>
  <c r="AO199" i="27"/>
  <c r="BJ199" i="27" s="1"/>
  <c r="AD199" i="27"/>
  <c r="AY199" i="27" s="1"/>
  <c r="AP199" i="27"/>
  <c r="BK199" i="27" s="1"/>
  <c r="AE199" i="27"/>
  <c r="AZ199" i="27" s="1"/>
  <c r="AQ199" i="27"/>
  <c r="BL199" i="27" s="1"/>
  <c r="AF199" i="27"/>
  <c r="BA199" i="27" s="1"/>
  <c r="AR199" i="27"/>
  <c r="BM199" i="27" s="1"/>
  <c r="Y199" i="27"/>
  <c r="AT199" i="27" s="1"/>
  <c r="AI269" i="27"/>
  <c r="BD269" i="27" s="1"/>
  <c r="AJ269" i="27"/>
  <c r="BE269" i="27" s="1"/>
  <c r="AK269" i="27"/>
  <c r="BF269" i="27" s="1"/>
  <c r="Z269" i="27"/>
  <c r="AL269" i="27"/>
  <c r="BG269" i="27" s="1"/>
  <c r="AA269" i="27"/>
  <c r="AV269" i="27" s="1"/>
  <c r="AM269" i="27"/>
  <c r="BH269" i="27" s="1"/>
  <c r="AB269" i="27"/>
  <c r="AW269" i="27" s="1"/>
  <c r="AN269" i="27"/>
  <c r="BI269" i="27" s="1"/>
  <c r="AC269" i="27"/>
  <c r="AX269" i="27" s="1"/>
  <c r="AO269" i="27"/>
  <c r="BJ269" i="27" s="1"/>
  <c r="AD269" i="27"/>
  <c r="AY269" i="27" s="1"/>
  <c r="AP269" i="27"/>
  <c r="BK269" i="27" s="1"/>
  <c r="AE269" i="27"/>
  <c r="AZ269" i="27" s="1"/>
  <c r="AQ269" i="27"/>
  <c r="BL269" i="27" s="1"/>
  <c r="AF269" i="27"/>
  <c r="BA269" i="27" s="1"/>
  <c r="AR269" i="27"/>
  <c r="BM269" i="27" s="1"/>
  <c r="AG269" i="27"/>
  <c r="BB269" i="27" s="1"/>
  <c r="AH269" i="27"/>
  <c r="BC269" i="27" s="1"/>
  <c r="Y269" i="27"/>
  <c r="AT269" i="27" s="1"/>
  <c r="AG353" i="27"/>
  <c r="BB353" i="27" s="1"/>
  <c r="AH353" i="27"/>
  <c r="BC353" i="27" s="1"/>
  <c r="AJ353" i="27"/>
  <c r="BE353" i="27" s="1"/>
  <c r="AK353" i="27"/>
  <c r="BF353" i="27" s="1"/>
  <c r="Z353" i="27"/>
  <c r="AL353" i="27"/>
  <c r="BG353" i="27" s="1"/>
  <c r="AA353" i="27"/>
  <c r="AV353" i="27" s="1"/>
  <c r="AM353" i="27"/>
  <c r="BH353" i="27" s="1"/>
  <c r="AB353" i="27"/>
  <c r="AW353" i="27" s="1"/>
  <c r="AN353" i="27"/>
  <c r="BI353" i="27" s="1"/>
  <c r="AD353" i="27"/>
  <c r="AY353" i="27" s="1"/>
  <c r="AP353" i="27"/>
  <c r="BK353" i="27" s="1"/>
  <c r="AE353" i="27"/>
  <c r="AZ353" i="27" s="1"/>
  <c r="AQ353" i="27"/>
  <c r="BL353" i="27" s="1"/>
  <c r="AI353" i="27"/>
  <c r="BD353" i="27" s="1"/>
  <c r="AO353" i="27"/>
  <c r="BJ353" i="27" s="1"/>
  <c r="AR353" i="27"/>
  <c r="BM353" i="27" s="1"/>
  <c r="Y353" i="27"/>
  <c r="AT353" i="27" s="1"/>
  <c r="AC353" i="27"/>
  <c r="AX353" i="27" s="1"/>
  <c r="AF353" i="27"/>
  <c r="BA353" i="27" s="1"/>
  <c r="Z224" i="27"/>
  <c r="AL224" i="27"/>
  <c r="BG224" i="27" s="1"/>
  <c r="AA224" i="27"/>
  <c r="AV224" i="27" s="1"/>
  <c r="AM224" i="27"/>
  <c r="BH224" i="27" s="1"/>
  <c r="AB224" i="27"/>
  <c r="AW224" i="27" s="1"/>
  <c r="AN224" i="27"/>
  <c r="BI224" i="27" s="1"/>
  <c r="AC224" i="27"/>
  <c r="AX224" i="27" s="1"/>
  <c r="AO224" i="27"/>
  <c r="BJ224" i="27" s="1"/>
  <c r="AD224" i="27"/>
  <c r="AY224" i="27" s="1"/>
  <c r="AP224" i="27"/>
  <c r="BK224" i="27" s="1"/>
  <c r="AE224" i="27"/>
  <c r="AZ224" i="27" s="1"/>
  <c r="AQ224" i="27"/>
  <c r="BL224" i="27" s="1"/>
  <c r="AF224" i="27"/>
  <c r="BA224" i="27" s="1"/>
  <c r="AR224" i="27"/>
  <c r="BM224" i="27" s="1"/>
  <c r="AG224" i="27"/>
  <c r="BB224" i="27" s="1"/>
  <c r="AH224" i="27"/>
  <c r="BC224" i="27" s="1"/>
  <c r="AI224" i="27"/>
  <c r="BD224" i="27" s="1"/>
  <c r="AJ224" i="27"/>
  <c r="BE224" i="27" s="1"/>
  <c r="Y224" i="27"/>
  <c r="AT224" i="27" s="1"/>
  <c r="AK224" i="27"/>
  <c r="BF224" i="27" s="1"/>
  <c r="AB294" i="27"/>
  <c r="AW294" i="27" s="1"/>
  <c r="AC294" i="27"/>
  <c r="AX294" i="27" s="1"/>
  <c r="AO294" i="27"/>
  <c r="BJ294" i="27" s="1"/>
  <c r="AE294" i="27"/>
  <c r="AZ294" i="27" s="1"/>
  <c r="AF294" i="27"/>
  <c r="BA294" i="27" s="1"/>
  <c r="AH294" i="27"/>
  <c r="BC294" i="27" s="1"/>
  <c r="AI294" i="27"/>
  <c r="BD294" i="27" s="1"/>
  <c r="AK294" i="27"/>
  <c r="BF294" i="27" s="1"/>
  <c r="Z294" i="27"/>
  <c r="AJ294" i="27"/>
  <c r="BE294" i="27" s="1"/>
  <c r="AL294" i="27"/>
  <c r="BG294" i="27" s="1"/>
  <c r="AM294" i="27"/>
  <c r="BH294" i="27" s="1"/>
  <c r="AN294" i="27"/>
  <c r="BI294" i="27" s="1"/>
  <c r="Y294" i="27"/>
  <c r="AT294" i="27" s="1"/>
  <c r="AP294" i="27"/>
  <c r="BK294" i="27" s="1"/>
  <c r="AQ294" i="27"/>
  <c r="BL294" i="27" s="1"/>
  <c r="AR294" i="27"/>
  <c r="BM294" i="27" s="1"/>
  <c r="AA294" i="27"/>
  <c r="AV294" i="27" s="1"/>
  <c r="AD294" i="27"/>
  <c r="AY294" i="27" s="1"/>
  <c r="AG294" i="27"/>
  <c r="BB294" i="27" s="1"/>
  <c r="Z366" i="27"/>
  <c r="AL366" i="27"/>
  <c r="BG366" i="27" s="1"/>
  <c r="AA366" i="27"/>
  <c r="AV366" i="27" s="1"/>
  <c r="AM366" i="27"/>
  <c r="BH366" i="27" s="1"/>
  <c r="AC366" i="27"/>
  <c r="AX366" i="27" s="1"/>
  <c r="AO366" i="27"/>
  <c r="BJ366" i="27" s="1"/>
  <c r="AD366" i="27"/>
  <c r="AY366" i="27" s="1"/>
  <c r="AP366" i="27"/>
  <c r="BK366" i="27" s="1"/>
  <c r="AE366" i="27"/>
  <c r="AZ366" i="27" s="1"/>
  <c r="AQ366" i="27"/>
  <c r="BL366" i="27" s="1"/>
  <c r="AF366" i="27"/>
  <c r="BA366" i="27" s="1"/>
  <c r="AR366" i="27"/>
  <c r="BM366" i="27" s="1"/>
  <c r="AG366" i="27"/>
  <c r="BB366" i="27" s="1"/>
  <c r="AI366" i="27"/>
  <c r="BD366" i="27" s="1"/>
  <c r="AJ366" i="27"/>
  <c r="BE366" i="27" s="1"/>
  <c r="AB366" i="27"/>
  <c r="AW366" i="27" s="1"/>
  <c r="AH366" i="27"/>
  <c r="BC366" i="27" s="1"/>
  <c r="AK366" i="27"/>
  <c r="BF366" i="27" s="1"/>
  <c r="AN366" i="27"/>
  <c r="BI366" i="27" s="1"/>
  <c r="Y366" i="27"/>
  <c r="AT366" i="27" s="1"/>
  <c r="AE237" i="27"/>
  <c r="AZ237" i="27" s="1"/>
  <c r="AQ237" i="27"/>
  <c r="BL237" i="27" s="1"/>
  <c r="AF237" i="27"/>
  <c r="BA237" i="27" s="1"/>
  <c r="AR237" i="27"/>
  <c r="BM237" i="27" s="1"/>
  <c r="AG237" i="27"/>
  <c r="BB237" i="27" s="1"/>
  <c r="AH237" i="27"/>
  <c r="BC237" i="27" s="1"/>
  <c r="AI237" i="27"/>
  <c r="BD237" i="27" s="1"/>
  <c r="AJ237" i="27"/>
  <c r="BE237" i="27" s="1"/>
  <c r="AK237" i="27"/>
  <c r="BF237" i="27" s="1"/>
  <c r="Z237" i="27"/>
  <c r="AL237" i="27"/>
  <c r="BG237" i="27" s="1"/>
  <c r="AA237" i="27"/>
  <c r="AV237" i="27" s="1"/>
  <c r="AM237" i="27"/>
  <c r="BH237" i="27" s="1"/>
  <c r="AB237" i="27"/>
  <c r="AW237" i="27" s="1"/>
  <c r="AN237" i="27"/>
  <c r="BI237" i="27" s="1"/>
  <c r="AC237" i="27"/>
  <c r="AX237" i="27" s="1"/>
  <c r="AO237" i="27"/>
  <c r="BJ237" i="27" s="1"/>
  <c r="AD237" i="27"/>
  <c r="AY237" i="27" s="1"/>
  <c r="AP237" i="27"/>
  <c r="BK237" i="27" s="1"/>
  <c r="Y237" i="27"/>
  <c r="AT237" i="27" s="1"/>
  <c r="AE307" i="27"/>
  <c r="AZ307" i="27" s="1"/>
  <c r="AQ307" i="27"/>
  <c r="BL307" i="27" s="1"/>
  <c r="AF307" i="27"/>
  <c r="BA307" i="27" s="1"/>
  <c r="AR307" i="27"/>
  <c r="BM307" i="27" s="1"/>
  <c r="AG307" i="27"/>
  <c r="BB307" i="27" s="1"/>
  <c r="AH307" i="27"/>
  <c r="BC307" i="27" s="1"/>
  <c r="AI307" i="27"/>
  <c r="BD307" i="27" s="1"/>
  <c r="Y307" i="27"/>
  <c r="AT307" i="27" s="1"/>
  <c r="AJ307" i="27"/>
  <c r="BE307" i="27" s="1"/>
  <c r="AK307" i="27"/>
  <c r="BF307" i="27" s="1"/>
  <c r="Z307" i="27"/>
  <c r="AL307" i="27"/>
  <c r="BG307" i="27" s="1"/>
  <c r="AA307" i="27"/>
  <c r="AV307" i="27" s="1"/>
  <c r="AM307" i="27"/>
  <c r="BH307" i="27" s="1"/>
  <c r="AB307" i="27"/>
  <c r="AW307" i="27" s="1"/>
  <c r="AN307" i="27"/>
  <c r="BI307" i="27" s="1"/>
  <c r="AC307" i="27"/>
  <c r="AX307" i="27" s="1"/>
  <c r="AO307" i="27"/>
  <c r="BJ307" i="27" s="1"/>
  <c r="AD307" i="27"/>
  <c r="AY307" i="27" s="1"/>
  <c r="AP307" i="27"/>
  <c r="BK307" i="27" s="1"/>
  <c r="AE379" i="27"/>
  <c r="AZ379" i="27" s="1"/>
  <c r="AQ379" i="27"/>
  <c r="BL379" i="27" s="1"/>
  <c r="AF379" i="27"/>
  <c r="BA379" i="27" s="1"/>
  <c r="AR379" i="27"/>
  <c r="BM379" i="27" s="1"/>
  <c r="AH379" i="27"/>
  <c r="BC379" i="27" s="1"/>
  <c r="AI379" i="27"/>
  <c r="BD379" i="27" s="1"/>
  <c r="AJ379" i="27"/>
  <c r="BE379" i="27" s="1"/>
  <c r="AK379" i="27"/>
  <c r="BF379" i="27" s="1"/>
  <c r="Z379" i="27"/>
  <c r="AL379" i="27"/>
  <c r="BG379" i="27" s="1"/>
  <c r="AB379" i="27"/>
  <c r="AW379" i="27" s="1"/>
  <c r="AN379" i="27"/>
  <c r="BI379" i="27" s="1"/>
  <c r="AC379" i="27"/>
  <c r="AX379" i="27" s="1"/>
  <c r="AO379" i="27"/>
  <c r="BJ379" i="27" s="1"/>
  <c r="AA379" i="27"/>
  <c r="AV379" i="27" s="1"/>
  <c r="AD379" i="27"/>
  <c r="AY379" i="27" s="1"/>
  <c r="AG379" i="27"/>
  <c r="BB379" i="27" s="1"/>
  <c r="AM379" i="27"/>
  <c r="BH379" i="27" s="1"/>
  <c r="AP379" i="27"/>
  <c r="BK379" i="27" s="1"/>
  <c r="Y379" i="27"/>
  <c r="AT379" i="27" s="1"/>
  <c r="AI273" i="28"/>
  <c r="BD273" i="28" s="1"/>
  <c r="AJ273" i="28"/>
  <c r="BE273" i="28" s="1"/>
  <c r="Z273" i="28"/>
  <c r="AL273" i="28"/>
  <c r="BG273" i="28" s="1"/>
  <c r="AA273" i="28"/>
  <c r="AV273" i="28" s="1"/>
  <c r="AM273" i="28"/>
  <c r="BH273" i="28" s="1"/>
  <c r="AB273" i="28"/>
  <c r="AW273" i="28" s="1"/>
  <c r="AN273" i="28"/>
  <c r="BI273" i="28" s="1"/>
  <c r="AC273" i="28"/>
  <c r="AX273" i="28" s="1"/>
  <c r="AO273" i="28"/>
  <c r="BJ273" i="28" s="1"/>
  <c r="AD273" i="28"/>
  <c r="AY273" i="28" s="1"/>
  <c r="AP273" i="28"/>
  <c r="BK273" i="28" s="1"/>
  <c r="AF273" i="28"/>
  <c r="BA273" i="28" s="1"/>
  <c r="AR273" i="28"/>
  <c r="BM273" i="28" s="1"/>
  <c r="AG273" i="28"/>
  <c r="BB273" i="28" s="1"/>
  <c r="AQ273" i="28"/>
  <c r="BL273" i="28" s="1"/>
  <c r="Y273" i="28"/>
  <c r="AT273" i="28" s="1"/>
  <c r="AE273" i="28"/>
  <c r="AZ273" i="28" s="1"/>
  <c r="AH273" i="28"/>
  <c r="BC273" i="28" s="1"/>
  <c r="AK273" i="28"/>
  <c r="BF273" i="28" s="1"/>
  <c r="AG345" i="28"/>
  <c r="BB345" i="28" s="1"/>
  <c r="AH345" i="28"/>
  <c r="BC345" i="28" s="1"/>
  <c r="AI345" i="28"/>
  <c r="BD345" i="28" s="1"/>
  <c r="AJ345" i="28"/>
  <c r="BE345" i="28" s="1"/>
  <c r="Y345" i="28"/>
  <c r="AT345" i="28" s="1"/>
  <c r="AK345" i="28"/>
  <c r="BF345" i="28" s="1"/>
  <c r="Z345" i="28"/>
  <c r="AL345" i="28"/>
  <c r="BG345" i="28" s="1"/>
  <c r="AA345" i="28"/>
  <c r="AV345" i="28" s="1"/>
  <c r="AM345" i="28"/>
  <c r="BH345" i="28" s="1"/>
  <c r="AB345" i="28"/>
  <c r="AW345" i="28" s="1"/>
  <c r="AN345" i="28"/>
  <c r="BI345" i="28" s="1"/>
  <c r="AC345" i="28"/>
  <c r="AX345" i="28" s="1"/>
  <c r="AO345" i="28"/>
  <c r="BJ345" i="28" s="1"/>
  <c r="AD345" i="28"/>
  <c r="AY345" i="28" s="1"/>
  <c r="AP345" i="28"/>
  <c r="BK345" i="28" s="1"/>
  <c r="AE345" i="28"/>
  <c r="AZ345" i="28" s="1"/>
  <c r="AQ345" i="28"/>
  <c r="BL345" i="28" s="1"/>
  <c r="AF345" i="28"/>
  <c r="BA345" i="28" s="1"/>
  <c r="AR345" i="28"/>
  <c r="BM345" i="28" s="1"/>
  <c r="AA238" i="28"/>
  <c r="AV238" i="28" s="1"/>
  <c r="AM238" i="28"/>
  <c r="BH238" i="28" s="1"/>
  <c r="AB238" i="28"/>
  <c r="AW238" i="28" s="1"/>
  <c r="AN238" i="28"/>
  <c r="BI238" i="28" s="1"/>
  <c r="AD238" i="28"/>
  <c r="AY238" i="28" s="1"/>
  <c r="AP238" i="28"/>
  <c r="BK238" i="28" s="1"/>
  <c r="AE238" i="28"/>
  <c r="AZ238" i="28" s="1"/>
  <c r="AQ238" i="28"/>
  <c r="BL238" i="28" s="1"/>
  <c r="AF238" i="28"/>
  <c r="BA238" i="28" s="1"/>
  <c r="AR238" i="28"/>
  <c r="BM238" i="28" s="1"/>
  <c r="AG238" i="28"/>
  <c r="BB238" i="28" s="1"/>
  <c r="AH238" i="28"/>
  <c r="BC238" i="28" s="1"/>
  <c r="AJ238" i="28"/>
  <c r="BE238" i="28" s="1"/>
  <c r="Y238" i="28"/>
  <c r="AT238" i="28" s="1"/>
  <c r="AK238" i="28"/>
  <c r="BF238" i="28" s="1"/>
  <c r="Z238" i="28"/>
  <c r="AC238" i="28"/>
  <c r="AX238" i="28" s="1"/>
  <c r="AI238" i="28"/>
  <c r="BD238" i="28" s="1"/>
  <c r="AL238" i="28"/>
  <c r="BG238" i="28" s="1"/>
  <c r="AO238" i="28"/>
  <c r="BJ238" i="28" s="1"/>
  <c r="AA310" i="28"/>
  <c r="AV310" i="28" s="1"/>
  <c r="AM310" i="28"/>
  <c r="BH310" i="28" s="1"/>
  <c r="AB310" i="28"/>
  <c r="AW310" i="28" s="1"/>
  <c r="AN310" i="28"/>
  <c r="BI310" i="28" s="1"/>
  <c r="AD310" i="28"/>
  <c r="AY310" i="28" s="1"/>
  <c r="AP310" i="28"/>
  <c r="BK310" i="28" s="1"/>
  <c r="AE310" i="28"/>
  <c r="AZ310" i="28" s="1"/>
  <c r="AQ310" i="28"/>
  <c r="BL310" i="28" s="1"/>
  <c r="AF310" i="28"/>
  <c r="BA310" i="28" s="1"/>
  <c r="AR310" i="28"/>
  <c r="BM310" i="28" s="1"/>
  <c r="AG310" i="28"/>
  <c r="BB310" i="28" s="1"/>
  <c r="AH310" i="28"/>
  <c r="BC310" i="28" s="1"/>
  <c r="AJ310" i="28"/>
  <c r="BE310" i="28" s="1"/>
  <c r="Y310" i="28"/>
  <c r="AT310" i="28" s="1"/>
  <c r="AK310" i="28"/>
  <c r="BF310" i="28" s="1"/>
  <c r="Z310" i="28"/>
  <c r="AC310" i="28"/>
  <c r="AX310" i="28" s="1"/>
  <c r="AI310" i="28"/>
  <c r="BD310" i="28" s="1"/>
  <c r="AL310" i="28"/>
  <c r="BG310" i="28" s="1"/>
  <c r="AO310" i="28"/>
  <c r="BJ310" i="28" s="1"/>
  <c r="Y382" i="28"/>
  <c r="AT382" i="28" s="1"/>
  <c r="AK382" i="28"/>
  <c r="Z382" i="28"/>
  <c r="AL382" i="28"/>
  <c r="AA382" i="28"/>
  <c r="AM382" i="28"/>
  <c r="AB382" i="28"/>
  <c r="AN382" i="28"/>
  <c r="AC382" i="28"/>
  <c r="AO382" i="28"/>
  <c r="AD382" i="28"/>
  <c r="AP382" i="28"/>
  <c r="AE382" i="28"/>
  <c r="AQ382" i="28"/>
  <c r="AF382" i="28"/>
  <c r="AR382" i="28"/>
  <c r="AG382" i="28"/>
  <c r="AH382" i="28"/>
  <c r="AI382" i="28"/>
  <c r="AJ382" i="28"/>
  <c r="AE275" i="28"/>
  <c r="AZ275" i="28" s="1"/>
  <c r="AQ275" i="28"/>
  <c r="BL275" i="28" s="1"/>
  <c r="AF275" i="28"/>
  <c r="BA275" i="28" s="1"/>
  <c r="AR275" i="28"/>
  <c r="BM275" i="28" s="1"/>
  <c r="AH275" i="28"/>
  <c r="BC275" i="28" s="1"/>
  <c r="AI275" i="28"/>
  <c r="BD275" i="28" s="1"/>
  <c r="AJ275" i="28"/>
  <c r="BE275" i="28" s="1"/>
  <c r="Y275" i="28"/>
  <c r="AT275" i="28" s="1"/>
  <c r="AK275" i="28"/>
  <c r="BF275" i="28" s="1"/>
  <c r="Z275" i="28"/>
  <c r="AL275" i="28"/>
  <c r="BG275" i="28" s="1"/>
  <c r="AB275" i="28"/>
  <c r="AW275" i="28" s="1"/>
  <c r="AN275" i="28"/>
  <c r="BI275" i="28" s="1"/>
  <c r="AC275" i="28"/>
  <c r="AX275" i="28" s="1"/>
  <c r="AO275" i="28"/>
  <c r="BJ275" i="28" s="1"/>
  <c r="AA275" i="28"/>
  <c r="AV275" i="28" s="1"/>
  <c r="AD275" i="28"/>
  <c r="AY275" i="28" s="1"/>
  <c r="AG275" i="28"/>
  <c r="BB275" i="28" s="1"/>
  <c r="AM275" i="28"/>
  <c r="BH275" i="28" s="1"/>
  <c r="AP275" i="28"/>
  <c r="BK275" i="28" s="1"/>
  <c r="AC347" i="28"/>
  <c r="AX347" i="28" s="1"/>
  <c r="AO347" i="28"/>
  <c r="BJ347" i="28" s="1"/>
  <c r="AD347" i="28"/>
  <c r="AY347" i="28" s="1"/>
  <c r="AP347" i="28"/>
  <c r="BK347" i="28" s="1"/>
  <c r="AE347" i="28"/>
  <c r="AZ347" i="28" s="1"/>
  <c r="AQ347" i="28"/>
  <c r="BL347" i="28" s="1"/>
  <c r="AF347" i="28"/>
  <c r="BA347" i="28" s="1"/>
  <c r="AR347" i="28"/>
  <c r="BM347" i="28" s="1"/>
  <c r="AG347" i="28"/>
  <c r="BB347" i="28" s="1"/>
  <c r="AH347" i="28"/>
  <c r="BC347" i="28" s="1"/>
  <c r="AI347" i="28"/>
  <c r="BD347" i="28" s="1"/>
  <c r="AJ347" i="28"/>
  <c r="BE347" i="28" s="1"/>
  <c r="Y347" i="28"/>
  <c r="AT347" i="28" s="1"/>
  <c r="AK347" i="28"/>
  <c r="BF347" i="28" s="1"/>
  <c r="Z347" i="28"/>
  <c r="AL347" i="28"/>
  <c r="BG347" i="28" s="1"/>
  <c r="AA347" i="28"/>
  <c r="AV347" i="28" s="1"/>
  <c r="AM347" i="28"/>
  <c r="BH347" i="28" s="1"/>
  <c r="AB347" i="28"/>
  <c r="AW347" i="28" s="1"/>
  <c r="AN347" i="28"/>
  <c r="BI347" i="28" s="1"/>
  <c r="AI240" i="28"/>
  <c r="BD240" i="28" s="1"/>
  <c r="AJ240" i="28"/>
  <c r="BE240" i="28" s="1"/>
  <c r="Z240" i="28"/>
  <c r="AL240" i="28"/>
  <c r="BG240" i="28" s="1"/>
  <c r="AA240" i="28"/>
  <c r="AV240" i="28" s="1"/>
  <c r="AM240" i="28"/>
  <c r="BH240" i="28" s="1"/>
  <c r="AB240" i="28"/>
  <c r="AW240" i="28" s="1"/>
  <c r="AN240" i="28"/>
  <c r="BI240" i="28" s="1"/>
  <c r="AC240" i="28"/>
  <c r="AX240" i="28" s="1"/>
  <c r="AO240" i="28"/>
  <c r="BJ240" i="28" s="1"/>
  <c r="AD240" i="28"/>
  <c r="AY240" i="28" s="1"/>
  <c r="AP240" i="28"/>
  <c r="BK240" i="28" s="1"/>
  <c r="AF240" i="28"/>
  <c r="BA240" i="28" s="1"/>
  <c r="AR240" i="28"/>
  <c r="BM240" i="28" s="1"/>
  <c r="AG240" i="28"/>
  <c r="BB240" i="28" s="1"/>
  <c r="AE240" i="28"/>
  <c r="AZ240" i="28" s="1"/>
  <c r="AH240" i="28"/>
  <c r="BC240" i="28" s="1"/>
  <c r="AK240" i="28"/>
  <c r="BF240" i="28" s="1"/>
  <c r="AQ240" i="28"/>
  <c r="BL240" i="28" s="1"/>
  <c r="Y240" i="28"/>
  <c r="AT240" i="28" s="1"/>
  <c r="AI312" i="28"/>
  <c r="BD312" i="28" s="1"/>
  <c r="AJ312" i="28"/>
  <c r="BE312" i="28" s="1"/>
  <c r="Z312" i="28"/>
  <c r="AL312" i="28"/>
  <c r="BG312" i="28" s="1"/>
  <c r="AA312" i="28"/>
  <c r="AV312" i="28" s="1"/>
  <c r="AM312" i="28"/>
  <c r="BH312" i="28" s="1"/>
  <c r="AB312" i="28"/>
  <c r="AW312" i="28" s="1"/>
  <c r="AN312" i="28"/>
  <c r="BI312" i="28" s="1"/>
  <c r="AC312" i="28"/>
  <c r="AX312" i="28" s="1"/>
  <c r="AO312" i="28"/>
  <c r="BJ312" i="28" s="1"/>
  <c r="AD312" i="28"/>
  <c r="AY312" i="28" s="1"/>
  <c r="AP312" i="28"/>
  <c r="BK312" i="28" s="1"/>
  <c r="AF312" i="28"/>
  <c r="BA312" i="28" s="1"/>
  <c r="AR312" i="28"/>
  <c r="BM312" i="28" s="1"/>
  <c r="AG312" i="28"/>
  <c r="BB312" i="28" s="1"/>
  <c r="AE312" i="28"/>
  <c r="AZ312" i="28" s="1"/>
  <c r="AH312" i="28"/>
  <c r="BC312" i="28" s="1"/>
  <c r="AK312" i="28"/>
  <c r="BF312" i="28" s="1"/>
  <c r="AQ312" i="28"/>
  <c r="BL312" i="28" s="1"/>
  <c r="Y312" i="28"/>
  <c r="AT312" i="28" s="1"/>
  <c r="AG384" i="28"/>
  <c r="BB384" i="28" s="1"/>
  <c r="AH384" i="28"/>
  <c r="BC384" i="28" s="1"/>
  <c r="AI384" i="28"/>
  <c r="BD384" i="28" s="1"/>
  <c r="AJ384" i="28"/>
  <c r="BE384" i="28" s="1"/>
  <c r="Y384" i="28"/>
  <c r="AT384" i="28" s="1"/>
  <c r="AK384" i="28"/>
  <c r="BF384" i="28" s="1"/>
  <c r="Z384" i="28"/>
  <c r="AL384" i="28"/>
  <c r="BG384" i="28" s="1"/>
  <c r="AA384" i="28"/>
  <c r="AV384" i="28" s="1"/>
  <c r="AM384" i="28"/>
  <c r="BH384" i="28" s="1"/>
  <c r="AB384" i="28"/>
  <c r="AW384" i="28" s="1"/>
  <c r="AN384" i="28"/>
  <c r="BI384" i="28" s="1"/>
  <c r="AC384" i="28"/>
  <c r="AX384" i="28" s="1"/>
  <c r="AO384" i="28"/>
  <c r="BJ384" i="28" s="1"/>
  <c r="AD384" i="28"/>
  <c r="AY384" i="28" s="1"/>
  <c r="AP384" i="28"/>
  <c r="BK384" i="28" s="1"/>
  <c r="AE384" i="28"/>
  <c r="AZ384" i="28" s="1"/>
  <c r="AQ384" i="28"/>
  <c r="BL384" i="28" s="1"/>
  <c r="AF384" i="28"/>
  <c r="BA384" i="28" s="1"/>
  <c r="AR384" i="28"/>
  <c r="BM384" i="28" s="1"/>
  <c r="AA277" i="28"/>
  <c r="AM277" i="28"/>
  <c r="AB277" i="28"/>
  <c r="AN277" i="28"/>
  <c r="AD277" i="28"/>
  <c r="AP277" i="28"/>
  <c r="AE277" i="28"/>
  <c r="AQ277" i="28"/>
  <c r="AF277" i="28"/>
  <c r="AR277" i="28"/>
  <c r="AG277" i="28"/>
  <c r="AH277" i="28"/>
  <c r="AJ277" i="28"/>
  <c r="Y277" i="28"/>
  <c r="AT277" i="28" s="1"/>
  <c r="AK277" i="28"/>
  <c r="Z277" i="28"/>
  <c r="AC277" i="28"/>
  <c r="AI277" i="28"/>
  <c r="AL277" i="28"/>
  <c r="AO277" i="28"/>
  <c r="Y349" i="28"/>
  <c r="AT349" i="28" s="1"/>
  <c r="AK349" i="28"/>
  <c r="BF349" i="28" s="1"/>
  <c r="Z349" i="28"/>
  <c r="AL349" i="28"/>
  <c r="BG349" i="28" s="1"/>
  <c r="AA349" i="28"/>
  <c r="AV349" i="28" s="1"/>
  <c r="AM349" i="28"/>
  <c r="BH349" i="28" s="1"/>
  <c r="AB349" i="28"/>
  <c r="AW349" i="28" s="1"/>
  <c r="AN349" i="28"/>
  <c r="BI349" i="28" s="1"/>
  <c r="AC349" i="28"/>
  <c r="AX349" i="28" s="1"/>
  <c r="AO349" i="28"/>
  <c r="BJ349" i="28" s="1"/>
  <c r="AD349" i="28"/>
  <c r="AY349" i="28" s="1"/>
  <c r="AP349" i="28"/>
  <c r="BK349" i="28" s="1"/>
  <c r="AE349" i="28"/>
  <c r="AZ349" i="28" s="1"/>
  <c r="AQ349" i="28"/>
  <c r="BL349" i="28" s="1"/>
  <c r="AF349" i="28"/>
  <c r="BA349" i="28" s="1"/>
  <c r="AR349" i="28"/>
  <c r="BM349" i="28" s="1"/>
  <c r="AG349" i="28"/>
  <c r="BB349" i="28" s="1"/>
  <c r="AH349" i="28"/>
  <c r="BC349" i="28" s="1"/>
  <c r="AI349" i="28"/>
  <c r="BD349" i="28" s="1"/>
  <c r="AJ349" i="28"/>
  <c r="BE349" i="28" s="1"/>
  <c r="AE248" i="28"/>
  <c r="AZ248" i="28" s="1"/>
  <c r="AQ248" i="28"/>
  <c r="BL248" i="28" s="1"/>
  <c r="AF248" i="28"/>
  <c r="BA248" i="28" s="1"/>
  <c r="AR248" i="28"/>
  <c r="BM248" i="28" s="1"/>
  <c r="AH248" i="28"/>
  <c r="BC248" i="28" s="1"/>
  <c r="AI248" i="28"/>
  <c r="BD248" i="28" s="1"/>
  <c r="AJ248" i="28"/>
  <c r="BE248" i="28" s="1"/>
  <c r="Y248" i="28"/>
  <c r="AT248" i="28" s="1"/>
  <c r="AK248" i="28"/>
  <c r="BF248" i="28" s="1"/>
  <c r="Z248" i="28"/>
  <c r="AL248" i="28"/>
  <c r="BG248" i="28" s="1"/>
  <c r="AB248" i="28"/>
  <c r="AW248" i="28" s="1"/>
  <c r="AN248" i="28"/>
  <c r="BI248" i="28" s="1"/>
  <c r="AC248" i="28"/>
  <c r="AX248" i="28" s="1"/>
  <c r="AO248" i="28"/>
  <c r="BJ248" i="28" s="1"/>
  <c r="AA248" i="28"/>
  <c r="AV248" i="28" s="1"/>
  <c r="AD248" i="28"/>
  <c r="AY248" i="28" s="1"/>
  <c r="AG248" i="28"/>
  <c r="BB248" i="28" s="1"/>
  <c r="AM248" i="28"/>
  <c r="BH248" i="28" s="1"/>
  <c r="AP248" i="28"/>
  <c r="BK248" i="28" s="1"/>
  <c r="AE320" i="28"/>
  <c r="AZ320" i="28" s="1"/>
  <c r="AQ320" i="28"/>
  <c r="BL320" i="28" s="1"/>
  <c r="Y320" i="28"/>
  <c r="AT320" i="28" s="1"/>
  <c r="AK320" i="28"/>
  <c r="BF320" i="28" s="1"/>
  <c r="AJ320" i="28"/>
  <c r="BE320" i="28" s="1"/>
  <c r="AL320" i="28"/>
  <c r="BG320" i="28" s="1"/>
  <c r="AM320" i="28"/>
  <c r="BH320" i="28" s="1"/>
  <c r="Z320" i="28"/>
  <c r="AN320" i="28"/>
  <c r="BI320" i="28" s="1"/>
  <c r="AA320" i="28"/>
  <c r="AV320" i="28" s="1"/>
  <c r="AO320" i="28"/>
  <c r="BJ320" i="28" s="1"/>
  <c r="AB320" i="28"/>
  <c r="AW320" i="28" s="1"/>
  <c r="AP320" i="28"/>
  <c r="BK320" i="28" s="1"/>
  <c r="AC320" i="28"/>
  <c r="AX320" i="28" s="1"/>
  <c r="AR320" i="28"/>
  <c r="BM320" i="28" s="1"/>
  <c r="AD320" i="28"/>
  <c r="AY320" i="28" s="1"/>
  <c r="AF320" i="28"/>
  <c r="BA320" i="28" s="1"/>
  <c r="AG320" i="28"/>
  <c r="BB320" i="28" s="1"/>
  <c r="AH320" i="28"/>
  <c r="BC320" i="28" s="1"/>
  <c r="AI320" i="28"/>
  <c r="BD320" i="28" s="1"/>
  <c r="BD396" i="30"/>
  <c r="AA64" i="24"/>
  <c r="AV64" i="24" s="1"/>
  <c r="AM64" i="24"/>
  <c r="BH64" i="24" s="1"/>
  <c r="AB64" i="24"/>
  <c r="AW64" i="24" s="1"/>
  <c r="AN64" i="24"/>
  <c r="BI64" i="24" s="1"/>
  <c r="AC64" i="24"/>
  <c r="AX64" i="24" s="1"/>
  <c r="AO64" i="24"/>
  <c r="BJ64" i="24" s="1"/>
  <c r="AD64" i="24"/>
  <c r="AY64" i="24" s="1"/>
  <c r="AP64" i="24"/>
  <c r="BK64" i="24" s="1"/>
  <c r="AE64" i="24"/>
  <c r="AZ64" i="24" s="1"/>
  <c r="AQ64" i="24"/>
  <c r="BL64" i="24" s="1"/>
  <c r="AF64" i="24"/>
  <c r="BA64" i="24" s="1"/>
  <c r="AR64" i="24"/>
  <c r="BM64" i="24" s="1"/>
  <c r="AG64" i="24"/>
  <c r="BB64" i="24" s="1"/>
  <c r="AH64" i="24"/>
  <c r="BC64" i="24" s="1"/>
  <c r="AI64" i="24"/>
  <c r="BD64" i="24" s="1"/>
  <c r="AJ64" i="24"/>
  <c r="BE64" i="24" s="1"/>
  <c r="AK64" i="24"/>
  <c r="BF64" i="24" s="1"/>
  <c r="Z64" i="24"/>
  <c r="AL64" i="24"/>
  <c r="BG64" i="24" s="1"/>
  <c r="Y64" i="24"/>
  <c r="AT64" i="24" s="1"/>
  <c r="AB136" i="24"/>
  <c r="AW136" i="24" s="1"/>
  <c r="AN136" i="24"/>
  <c r="BI136" i="24" s="1"/>
  <c r="AC136" i="24"/>
  <c r="AX136" i="24" s="1"/>
  <c r="AO136" i="24"/>
  <c r="BJ136" i="24" s="1"/>
  <c r="AD136" i="24"/>
  <c r="AY136" i="24" s="1"/>
  <c r="AP136" i="24"/>
  <c r="BK136" i="24" s="1"/>
  <c r="AE136" i="24"/>
  <c r="AZ136" i="24" s="1"/>
  <c r="AQ136" i="24"/>
  <c r="BL136" i="24" s="1"/>
  <c r="AF136" i="24"/>
  <c r="BA136" i="24" s="1"/>
  <c r="AR136" i="24"/>
  <c r="BM136" i="24" s="1"/>
  <c r="AG136" i="24"/>
  <c r="BB136" i="24" s="1"/>
  <c r="AH136" i="24"/>
  <c r="BC136" i="24" s="1"/>
  <c r="AI136" i="24"/>
  <c r="BD136" i="24" s="1"/>
  <c r="AJ136" i="24"/>
  <c r="BE136" i="24" s="1"/>
  <c r="AK136" i="24"/>
  <c r="BF136" i="24" s="1"/>
  <c r="Z136" i="24"/>
  <c r="AL136" i="24"/>
  <c r="BG136" i="24" s="1"/>
  <c r="Y136" i="24"/>
  <c r="AT136" i="24" s="1"/>
  <c r="AA136" i="24"/>
  <c r="AV136" i="24" s="1"/>
  <c r="AM136" i="24"/>
  <c r="BH136" i="24" s="1"/>
  <c r="AB208" i="24"/>
  <c r="AW208" i="24" s="1"/>
  <c r="AN208" i="24"/>
  <c r="BI208" i="24" s="1"/>
  <c r="AC208" i="24"/>
  <c r="AX208" i="24" s="1"/>
  <c r="AO208" i="24"/>
  <c r="BJ208" i="24" s="1"/>
  <c r="AD208" i="24"/>
  <c r="AY208" i="24" s="1"/>
  <c r="AP208" i="24"/>
  <c r="BK208" i="24" s="1"/>
  <c r="AE208" i="24"/>
  <c r="AZ208" i="24" s="1"/>
  <c r="AQ208" i="24"/>
  <c r="BL208" i="24" s="1"/>
  <c r="AF208" i="24"/>
  <c r="BA208" i="24" s="1"/>
  <c r="AR208" i="24"/>
  <c r="BM208" i="24" s="1"/>
  <c r="AG208" i="24"/>
  <c r="BB208" i="24" s="1"/>
  <c r="AH208" i="24"/>
  <c r="BC208" i="24" s="1"/>
  <c r="AI208" i="24"/>
  <c r="BD208" i="24" s="1"/>
  <c r="AJ208" i="24"/>
  <c r="BE208" i="24" s="1"/>
  <c r="AK208" i="24"/>
  <c r="BF208" i="24" s="1"/>
  <c r="Z208" i="24"/>
  <c r="AL208" i="24"/>
  <c r="BG208" i="24" s="1"/>
  <c r="AA208" i="24"/>
  <c r="AV208" i="24" s="1"/>
  <c r="Y208" i="24"/>
  <c r="AT208" i="24" s="1"/>
  <c r="AM208" i="24"/>
  <c r="BH208" i="24" s="1"/>
  <c r="AE72" i="24"/>
  <c r="AZ72" i="24" s="1"/>
  <c r="AQ72" i="24"/>
  <c r="BL72" i="24" s="1"/>
  <c r="AF72" i="24"/>
  <c r="BA72" i="24" s="1"/>
  <c r="AR72" i="24"/>
  <c r="BM72" i="24" s="1"/>
  <c r="AG72" i="24"/>
  <c r="BB72" i="24" s="1"/>
  <c r="AH72" i="24"/>
  <c r="BC72" i="24" s="1"/>
  <c r="AI72" i="24"/>
  <c r="BD72" i="24" s="1"/>
  <c r="AJ72" i="24"/>
  <c r="BE72" i="24" s="1"/>
  <c r="AK72" i="24"/>
  <c r="BF72" i="24" s="1"/>
  <c r="Z72" i="24"/>
  <c r="AL72" i="24"/>
  <c r="BG72" i="24" s="1"/>
  <c r="AA72" i="24"/>
  <c r="AV72" i="24" s="1"/>
  <c r="AM72" i="24"/>
  <c r="BH72" i="24" s="1"/>
  <c r="AB72" i="24"/>
  <c r="AW72" i="24" s="1"/>
  <c r="AN72" i="24"/>
  <c r="BI72" i="24" s="1"/>
  <c r="AC72" i="24"/>
  <c r="AX72" i="24" s="1"/>
  <c r="AO72" i="24"/>
  <c r="BJ72" i="24" s="1"/>
  <c r="AD72" i="24"/>
  <c r="AY72" i="24" s="1"/>
  <c r="AP72" i="24"/>
  <c r="BK72" i="24" s="1"/>
  <c r="Y72" i="24"/>
  <c r="AT72" i="24" s="1"/>
  <c r="AF144" i="24"/>
  <c r="BA144" i="24" s="1"/>
  <c r="AR144" i="24"/>
  <c r="BM144" i="24" s="1"/>
  <c r="AG144" i="24"/>
  <c r="BB144" i="24" s="1"/>
  <c r="AH144" i="24"/>
  <c r="BC144" i="24" s="1"/>
  <c r="AI144" i="24"/>
  <c r="BD144" i="24" s="1"/>
  <c r="AJ144" i="24"/>
  <c r="BE144" i="24" s="1"/>
  <c r="AK144" i="24"/>
  <c r="BF144" i="24" s="1"/>
  <c r="Z144" i="24"/>
  <c r="AL144" i="24"/>
  <c r="BG144" i="24" s="1"/>
  <c r="AA144" i="24"/>
  <c r="AV144" i="24" s="1"/>
  <c r="AM144" i="24"/>
  <c r="BH144" i="24" s="1"/>
  <c r="AB144" i="24"/>
  <c r="AW144" i="24" s="1"/>
  <c r="AN144" i="24"/>
  <c r="BI144" i="24" s="1"/>
  <c r="AC144" i="24"/>
  <c r="AX144" i="24" s="1"/>
  <c r="AO144" i="24"/>
  <c r="BJ144" i="24" s="1"/>
  <c r="AD144" i="24"/>
  <c r="AY144" i="24" s="1"/>
  <c r="AP144" i="24"/>
  <c r="BK144" i="24" s="1"/>
  <c r="AE144" i="24"/>
  <c r="AZ144" i="24" s="1"/>
  <c r="AQ144" i="24"/>
  <c r="BL144" i="24" s="1"/>
  <c r="Y144" i="24"/>
  <c r="AT144" i="24" s="1"/>
  <c r="AF216" i="24"/>
  <c r="BA216" i="24" s="1"/>
  <c r="AR216" i="24"/>
  <c r="BM216" i="24" s="1"/>
  <c r="AG216" i="24"/>
  <c r="BB216" i="24" s="1"/>
  <c r="AH216" i="24"/>
  <c r="BC216" i="24" s="1"/>
  <c r="AI216" i="24"/>
  <c r="BD216" i="24" s="1"/>
  <c r="AJ216" i="24"/>
  <c r="BE216" i="24" s="1"/>
  <c r="AK216" i="24"/>
  <c r="BF216" i="24" s="1"/>
  <c r="Z216" i="24"/>
  <c r="AL216" i="24"/>
  <c r="BG216" i="24" s="1"/>
  <c r="AA216" i="24"/>
  <c r="AV216" i="24" s="1"/>
  <c r="AM216" i="24"/>
  <c r="BH216" i="24" s="1"/>
  <c r="AB216" i="24"/>
  <c r="AW216" i="24" s="1"/>
  <c r="AN216" i="24"/>
  <c r="BI216" i="24" s="1"/>
  <c r="AC216" i="24"/>
  <c r="AX216" i="24" s="1"/>
  <c r="AO216" i="24"/>
  <c r="BJ216" i="24" s="1"/>
  <c r="AD216" i="24"/>
  <c r="AY216" i="24" s="1"/>
  <c r="AP216" i="24"/>
  <c r="BK216" i="24" s="1"/>
  <c r="AE216" i="24"/>
  <c r="AZ216" i="24" s="1"/>
  <c r="AQ216" i="24"/>
  <c r="BL216" i="24" s="1"/>
  <c r="Y216" i="24"/>
  <c r="AT216" i="24" s="1"/>
  <c r="AE360" i="24"/>
  <c r="AZ360" i="24" s="1"/>
  <c r="AQ360" i="24"/>
  <c r="BL360" i="24" s="1"/>
  <c r="AF360" i="24"/>
  <c r="BA360" i="24" s="1"/>
  <c r="AR360" i="24"/>
  <c r="BM360" i="24" s="1"/>
  <c r="AD360" i="24"/>
  <c r="AY360" i="24" s="1"/>
  <c r="AG360" i="24"/>
  <c r="BB360" i="24" s="1"/>
  <c r="AH360" i="24"/>
  <c r="BC360" i="24" s="1"/>
  <c r="AI360" i="24"/>
  <c r="BD360" i="24" s="1"/>
  <c r="AJ360" i="24"/>
  <c r="BE360" i="24" s="1"/>
  <c r="AK360" i="24"/>
  <c r="BF360" i="24" s="1"/>
  <c r="Z360" i="24"/>
  <c r="AL360" i="24"/>
  <c r="BG360" i="24" s="1"/>
  <c r="AA360" i="24"/>
  <c r="AV360" i="24" s="1"/>
  <c r="AM360" i="24"/>
  <c r="BH360" i="24" s="1"/>
  <c r="AP360" i="24"/>
  <c r="BK360" i="24" s="1"/>
  <c r="AB360" i="24"/>
  <c r="AW360" i="24" s="1"/>
  <c r="AN360" i="24"/>
  <c r="BI360" i="24" s="1"/>
  <c r="Y360" i="24"/>
  <c r="AT360" i="24" s="1"/>
  <c r="AC360" i="24"/>
  <c r="AX360" i="24" s="1"/>
  <c r="AO360" i="24"/>
  <c r="BJ360" i="24" s="1"/>
  <c r="AI307" i="24"/>
  <c r="BD307" i="24" s="1"/>
  <c r="AJ307" i="24"/>
  <c r="BE307" i="24" s="1"/>
  <c r="AK307" i="24"/>
  <c r="BF307" i="24" s="1"/>
  <c r="Z307" i="24"/>
  <c r="AL307" i="24"/>
  <c r="BG307" i="24" s="1"/>
  <c r="AH307" i="24"/>
  <c r="BC307" i="24" s="1"/>
  <c r="AA307" i="24"/>
  <c r="AV307" i="24" s="1"/>
  <c r="AM307" i="24"/>
  <c r="BH307" i="24" s="1"/>
  <c r="AB307" i="24"/>
  <c r="AW307" i="24" s="1"/>
  <c r="AN307" i="24"/>
  <c r="BI307" i="24" s="1"/>
  <c r="Y307" i="24"/>
  <c r="AT307" i="24" s="1"/>
  <c r="AC307" i="24"/>
  <c r="AX307" i="24" s="1"/>
  <c r="AO307" i="24"/>
  <c r="BJ307" i="24" s="1"/>
  <c r="AD307" i="24"/>
  <c r="AY307" i="24" s="1"/>
  <c r="AP307" i="24"/>
  <c r="BK307" i="24" s="1"/>
  <c r="AE307" i="24"/>
  <c r="AZ307" i="24" s="1"/>
  <c r="AQ307" i="24"/>
  <c r="BL307" i="24" s="1"/>
  <c r="AF307" i="24"/>
  <c r="BA307" i="24" s="1"/>
  <c r="AR307" i="24"/>
  <c r="BM307" i="24" s="1"/>
  <c r="AG307" i="24"/>
  <c r="BB307" i="24" s="1"/>
  <c r="AC313" i="24"/>
  <c r="AX313" i="24" s="1"/>
  <c r="AO313" i="24"/>
  <c r="BJ313" i="24" s="1"/>
  <c r="AD313" i="24"/>
  <c r="AY313" i="24" s="1"/>
  <c r="AP313" i="24"/>
  <c r="BK313" i="24" s="1"/>
  <c r="AE313" i="24"/>
  <c r="AZ313" i="24" s="1"/>
  <c r="AQ313" i="24"/>
  <c r="BL313" i="24" s="1"/>
  <c r="AF313" i="24"/>
  <c r="BA313" i="24" s="1"/>
  <c r="AR313" i="24"/>
  <c r="BM313" i="24" s="1"/>
  <c r="AG313" i="24"/>
  <c r="BB313" i="24" s="1"/>
  <c r="AH313" i="24"/>
  <c r="BC313" i="24" s="1"/>
  <c r="AI313" i="24"/>
  <c r="BD313" i="24" s="1"/>
  <c r="AN313" i="24"/>
  <c r="BI313" i="24" s="1"/>
  <c r="AJ313" i="24"/>
  <c r="BE313" i="24" s="1"/>
  <c r="AK313" i="24"/>
  <c r="BF313" i="24" s="1"/>
  <c r="AB313" i="24"/>
  <c r="AW313" i="24" s="1"/>
  <c r="Y313" i="24"/>
  <c r="AT313" i="24" s="1"/>
  <c r="Z313" i="24"/>
  <c r="AL313" i="24"/>
  <c r="BG313" i="24" s="1"/>
  <c r="AA313" i="24"/>
  <c r="AV313" i="24" s="1"/>
  <c r="AM313" i="24"/>
  <c r="BH313" i="24" s="1"/>
  <c r="AE127" i="24"/>
  <c r="AZ127" i="24" s="1"/>
  <c r="AQ127" i="24"/>
  <c r="BL127" i="24" s="1"/>
  <c r="AF127" i="24"/>
  <c r="BA127" i="24" s="1"/>
  <c r="AR127" i="24"/>
  <c r="BM127" i="24" s="1"/>
  <c r="AG127" i="24"/>
  <c r="BB127" i="24" s="1"/>
  <c r="AH127" i="24"/>
  <c r="BC127" i="24" s="1"/>
  <c r="AI127" i="24"/>
  <c r="BD127" i="24" s="1"/>
  <c r="AJ127" i="24"/>
  <c r="BE127" i="24" s="1"/>
  <c r="AK127" i="24"/>
  <c r="BF127" i="24" s="1"/>
  <c r="Z127" i="24"/>
  <c r="AL127" i="24"/>
  <c r="BG127" i="24" s="1"/>
  <c r="AA127" i="24"/>
  <c r="AV127" i="24" s="1"/>
  <c r="AM127" i="24"/>
  <c r="BH127" i="24" s="1"/>
  <c r="AB127" i="24"/>
  <c r="AW127" i="24" s="1"/>
  <c r="AN127" i="24"/>
  <c r="BI127" i="24" s="1"/>
  <c r="AC127" i="24"/>
  <c r="AX127" i="24" s="1"/>
  <c r="AO127" i="24"/>
  <c r="BJ127" i="24" s="1"/>
  <c r="Y127" i="24"/>
  <c r="AT127" i="24" s="1"/>
  <c r="AD127" i="24"/>
  <c r="AY127" i="24" s="1"/>
  <c r="AP127" i="24"/>
  <c r="BK127" i="24" s="1"/>
  <c r="AE247" i="24"/>
  <c r="AZ247" i="24" s="1"/>
  <c r="AQ247" i="24"/>
  <c r="BL247" i="24" s="1"/>
  <c r="AF247" i="24"/>
  <c r="BA247" i="24" s="1"/>
  <c r="AR247" i="24"/>
  <c r="BM247" i="24" s="1"/>
  <c r="AG247" i="24"/>
  <c r="BB247" i="24" s="1"/>
  <c r="AH247" i="24"/>
  <c r="BC247" i="24" s="1"/>
  <c r="AI247" i="24"/>
  <c r="BD247" i="24" s="1"/>
  <c r="AJ247" i="24"/>
  <c r="BE247" i="24" s="1"/>
  <c r="AK247" i="24"/>
  <c r="BF247" i="24" s="1"/>
  <c r="Z247" i="24"/>
  <c r="AL247" i="24"/>
  <c r="BG247" i="24" s="1"/>
  <c r="AA247" i="24"/>
  <c r="AV247" i="24" s="1"/>
  <c r="AM247" i="24"/>
  <c r="BH247" i="24" s="1"/>
  <c r="AB247" i="24"/>
  <c r="AW247" i="24" s="1"/>
  <c r="AN247" i="24"/>
  <c r="BI247" i="24" s="1"/>
  <c r="AC247" i="24"/>
  <c r="AX247" i="24" s="1"/>
  <c r="AO247" i="24"/>
  <c r="BJ247" i="24" s="1"/>
  <c r="AD247" i="24"/>
  <c r="AY247" i="24" s="1"/>
  <c r="AP247" i="24"/>
  <c r="BK247" i="24" s="1"/>
  <c r="Y247" i="24"/>
  <c r="AT247" i="24" s="1"/>
  <c r="AC105" i="24"/>
  <c r="AX105" i="24" s="1"/>
  <c r="AO105" i="24"/>
  <c r="BJ105" i="24" s="1"/>
  <c r="AD105" i="24"/>
  <c r="AY105" i="24" s="1"/>
  <c r="AP105" i="24"/>
  <c r="BK105" i="24" s="1"/>
  <c r="AE105" i="24"/>
  <c r="AZ105" i="24" s="1"/>
  <c r="AQ105" i="24"/>
  <c r="BL105" i="24" s="1"/>
  <c r="AF105" i="24"/>
  <c r="BA105" i="24" s="1"/>
  <c r="AR105" i="24"/>
  <c r="BM105" i="24" s="1"/>
  <c r="AG105" i="24"/>
  <c r="BB105" i="24" s="1"/>
  <c r="AH105" i="24"/>
  <c r="BC105" i="24" s="1"/>
  <c r="AI105" i="24"/>
  <c r="BD105" i="24" s="1"/>
  <c r="AJ105" i="24"/>
  <c r="BE105" i="24" s="1"/>
  <c r="AK105" i="24"/>
  <c r="BF105" i="24" s="1"/>
  <c r="Z105" i="24"/>
  <c r="AL105" i="24"/>
  <c r="BG105" i="24" s="1"/>
  <c r="AA105" i="24"/>
  <c r="AV105" i="24" s="1"/>
  <c r="AM105" i="24"/>
  <c r="BH105" i="24" s="1"/>
  <c r="AB105" i="24"/>
  <c r="AW105" i="24" s="1"/>
  <c r="Y105" i="24"/>
  <c r="AT105" i="24" s="1"/>
  <c r="AN105" i="24"/>
  <c r="BI105" i="24" s="1"/>
  <c r="AC177" i="24"/>
  <c r="AX177" i="24" s="1"/>
  <c r="AO177" i="24"/>
  <c r="BJ177" i="24" s="1"/>
  <c r="AD177" i="24"/>
  <c r="AY177" i="24" s="1"/>
  <c r="AP177" i="24"/>
  <c r="BK177" i="24" s="1"/>
  <c r="AE177" i="24"/>
  <c r="AZ177" i="24" s="1"/>
  <c r="AQ177" i="24"/>
  <c r="BL177" i="24" s="1"/>
  <c r="AF177" i="24"/>
  <c r="BA177" i="24" s="1"/>
  <c r="AR177" i="24"/>
  <c r="BM177" i="24" s="1"/>
  <c r="AG177" i="24"/>
  <c r="BB177" i="24" s="1"/>
  <c r="AH177" i="24"/>
  <c r="BC177" i="24" s="1"/>
  <c r="AI177" i="24"/>
  <c r="BD177" i="24" s="1"/>
  <c r="AJ177" i="24"/>
  <c r="BE177" i="24" s="1"/>
  <c r="AK177" i="24"/>
  <c r="BF177" i="24" s="1"/>
  <c r="Z177" i="24"/>
  <c r="AL177" i="24"/>
  <c r="BG177" i="24" s="1"/>
  <c r="AA177" i="24"/>
  <c r="AV177" i="24" s="1"/>
  <c r="AM177" i="24"/>
  <c r="BH177" i="24" s="1"/>
  <c r="AB177" i="24"/>
  <c r="AW177" i="24" s="1"/>
  <c r="AN177" i="24"/>
  <c r="BI177" i="24" s="1"/>
  <c r="Y177" i="24"/>
  <c r="AT177" i="24" s="1"/>
  <c r="AC249" i="24"/>
  <c r="AX249" i="24" s="1"/>
  <c r="AO249" i="24"/>
  <c r="BJ249" i="24" s="1"/>
  <c r="AD249" i="24"/>
  <c r="AY249" i="24" s="1"/>
  <c r="AP249" i="24"/>
  <c r="BK249" i="24" s="1"/>
  <c r="AE249" i="24"/>
  <c r="AZ249" i="24" s="1"/>
  <c r="AQ249" i="24"/>
  <c r="BL249" i="24" s="1"/>
  <c r="AF249" i="24"/>
  <c r="BA249" i="24" s="1"/>
  <c r="AR249" i="24"/>
  <c r="BM249" i="24" s="1"/>
  <c r="AG249" i="24"/>
  <c r="BB249" i="24" s="1"/>
  <c r="AH249" i="24"/>
  <c r="BC249" i="24" s="1"/>
  <c r="AI249" i="24"/>
  <c r="BD249" i="24" s="1"/>
  <c r="AJ249" i="24"/>
  <c r="BE249" i="24" s="1"/>
  <c r="AK249" i="24"/>
  <c r="BF249" i="24" s="1"/>
  <c r="Z249" i="24"/>
  <c r="AL249" i="24"/>
  <c r="BG249" i="24" s="1"/>
  <c r="AA249" i="24"/>
  <c r="AV249" i="24" s="1"/>
  <c r="AM249" i="24"/>
  <c r="BH249" i="24" s="1"/>
  <c r="AB249" i="24"/>
  <c r="AW249" i="24" s="1"/>
  <c r="Y249" i="24"/>
  <c r="AT249" i="24" s="1"/>
  <c r="AN249" i="24"/>
  <c r="BI249" i="24" s="1"/>
  <c r="AG321" i="24"/>
  <c r="BB321" i="24" s="1"/>
  <c r="AR321" i="24"/>
  <c r="BM321" i="24" s="1"/>
  <c r="AH321" i="24"/>
  <c r="BC321" i="24" s="1"/>
  <c r="AI321" i="24"/>
  <c r="BD321" i="24" s="1"/>
  <c r="AJ321" i="24"/>
  <c r="BE321" i="24" s="1"/>
  <c r="AK321" i="24"/>
  <c r="BF321" i="24" s="1"/>
  <c r="Y321" i="24"/>
  <c r="AT321" i="24" s="1"/>
  <c r="Z321" i="24"/>
  <c r="AL321" i="24"/>
  <c r="BG321" i="24" s="1"/>
  <c r="AA321" i="24"/>
  <c r="AV321" i="24" s="1"/>
  <c r="AM321" i="24"/>
  <c r="BH321" i="24" s="1"/>
  <c r="AB321" i="24"/>
  <c r="AW321" i="24" s="1"/>
  <c r="AN321" i="24"/>
  <c r="BI321" i="24" s="1"/>
  <c r="AF321" i="24"/>
  <c r="BA321" i="24" s="1"/>
  <c r="AC321" i="24"/>
  <c r="AX321" i="24" s="1"/>
  <c r="AO321" i="24"/>
  <c r="BJ321" i="24" s="1"/>
  <c r="AD321" i="24"/>
  <c r="AY321" i="24" s="1"/>
  <c r="AP321" i="24"/>
  <c r="BK321" i="24" s="1"/>
  <c r="AE321" i="24"/>
  <c r="AZ321" i="24" s="1"/>
  <c r="AQ321" i="24"/>
  <c r="BL321" i="24" s="1"/>
  <c r="AF304" i="24"/>
  <c r="BA304" i="24" s="1"/>
  <c r="AR304" i="24"/>
  <c r="BM304" i="24" s="1"/>
  <c r="Y304" i="24"/>
  <c r="AT304" i="24" s="1"/>
  <c r="AG304" i="24"/>
  <c r="BB304" i="24" s="1"/>
  <c r="AH304" i="24"/>
  <c r="BC304" i="24" s="1"/>
  <c r="AQ304" i="24"/>
  <c r="BL304" i="24" s="1"/>
  <c r="AI304" i="24"/>
  <c r="BD304" i="24" s="1"/>
  <c r="AJ304" i="24"/>
  <c r="BE304" i="24" s="1"/>
  <c r="AK304" i="24"/>
  <c r="BF304" i="24" s="1"/>
  <c r="Z304" i="24"/>
  <c r="AL304" i="24"/>
  <c r="BG304" i="24" s="1"/>
  <c r="AA304" i="24"/>
  <c r="AV304" i="24" s="1"/>
  <c r="AM304" i="24"/>
  <c r="BH304" i="24" s="1"/>
  <c r="AB304" i="24"/>
  <c r="AW304" i="24" s="1"/>
  <c r="AN304" i="24"/>
  <c r="BI304" i="24" s="1"/>
  <c r="AC304" i="24"/>
  <c r="AX304" i="24" s="1"/>
  <c r="AO304" i="24"/>
  <c r="BJ304" i="24" s="1"/>
  <c r="AD304" i="24"/>
  <c r="AY304" i="24" s="1"/>
  <c r="AP304" i="24"/>
  <c r="BK304" i="24" s="1"/>
  <c r="AE304" i="24"/>
  <c r="AZ304" i="24" s="1"/>
  <c r="AA119" i="24"/>
  <c r="AV119" i="24" s="1"/>
  <c r="AM119" i="24"/>
  <c r="BH119" i="24" s="1"/>
  <c r="AB119" i="24"/>
  <c r="AW119" i="24" s="1"/>
  <c r="AN119" i="24"/>
  <c r="BI119" i="24" s="1"/>
  <c r="AC119" i="24"/>
  <c r="AX119" i="24" s="1"/>
  <c r="AO119" i="24"/>
  <c r="BJ119" i="24" s="1"/>
  <c r="AD119" i="24"/>
  <c r="AY119" i="24" s="1"/>
  <c r="AP119" i="24"/>
  <c r="BK119" i="24" s="1"/>
  <c r="AE119" i="24"/>
  <c r="AZ119" i="24" s="1"/>
  <c r="AQ119" i="24"/>
  <c r="BL119" i="24" s="1"/>
  <c r="AF119" i="24"/>
  <c r="BA119" i="24" s="1"/>
  <c r="AR119" i="24"/>
  <c r="BM119" i="24" s="1"/>
  <c r="AG119" i="24"/>
  <c r="BB119" i="24" s="1"/>
  <c r="AH119" i="24"/>
  <c r="BC119" i="24" s="1"/>
  <c r="AI119" i="24"/>
  <c r="BD119" i="24" s="1"/>
  <c r="AJ119" i="24"/>
  <c r="BE119" i="24" s="1"/>
  <c r="AK119" i="24"/>
  <c r="BF119" i="24" s="1"/>
  <c r="Z119" i="24"/>
  <c r="AL119" i="24"/>
  <c r="BG119" i="24" s="1"/>
  <c r="Y119" i="24"/>
  <c r="AT119" i="24" s="1"/>
  <c r="AA263" i="24"/>
  <c r="AV263" i="24" s="1"/>
  <c r="AM263" i="24"/>
  <c r="BH263" i="24" s="1"/>
  <c r="AB263" i="24"/>
  <c r="AW263" i="24" s="1"/>
  <c r="AN263" i="24"/>
  <c r="BI263" i="24" s="1"/>
  <c r="AC263" i="24"/>
  <c r="AX263" i="24" s="1"/>
  <c r="AO263" i="24"/>
  <c r="BJ263" i="24" s="1"/>
  <c r="AD263" i="24"/>
  <c r="AY263" i="24" s="1"/>
  <c r="AP263" i="24"/>
  <c r="BK263" i="24" s="1"/>
  <c r="AE263" i="24"/>
  <c r="AZ263" i="24" s="1"/>
  <c r="AQ263" i="24"/>
  <c r="BL263" i="24" s="1"/>
  <c r="AF263" i="24"/>
  <c r="BA263" i="24" s="1"/>
  <c r="AR263" i="24"/>
  <c r="BM263" i="24" s="1"/>
  <c r="AG263" i="24"/>
  <c r="BB263" i="24" s="1"/>
  <c r="AH263" i="24"/>
  <c r="BC263" i="24" s="1"/>
  <c r="AI263" i="24"/>
  <c r="BD263" i="24" s="1"/>
  <c r="AJ263" i="24"/>
  <c r="BE263" i="24" s="1"/>
  <c r="AK263" i="24"/>
  <c r="BF263" i="24" s="1"/>
  <c r="Z263" i="24"/>
  <c r="AL263" i="24"/>
  <c r="BG263" i="24" s="1"/>
  <c r="Y263" i="24"/>
  <c r="AT263" i="24" s="1"/>
  <c r="AI368" i="24"/>
  <c r="AJ368" i="24"/>
  <c r="AK368" i="24"/>
  <c r="Z368" i="24"/>
  <c r="AL368" i="24"/>
  <c r="AA368" i="24"/>
  <c r="AM368" i="24"/>
  <c r="AB368" i="24"/>
  <c r="AN368" i="24"/>
  <c r="Y368" i="24"/>
  <c r="AT368" i="24" s="1"/>
  <c r="AC368" i="24"/>
  <c r="AO368" i="24"/>
  <c r="AE368" i="24"/>
  <c r="AH368" i="24"/>
  <c r="AD368" i="24"/>
  <c r="AP368" i="24"/>
  <c r="AQ368" i="24"/>
  <c r="AF368" i="24"/>
  <c r="AR368" i="24"/>
  <c r="AG368" i="24"/>
  <c r="AG185" i="24"/>
  <c r="BB185" i="24" s="1"/>
  <c r="AH185" i="24"/>
  <c r="BC185" i="24" s="1"/>
  <c r="AI185" i="24"/>
  <c r="BD185" i="24" s="1"/>
  <c r="AJ185" i="24"/>
  <c r="BE185" i="24" s="1"/>
  <c r="AK185" i="24"/>
  <c r="BF185" i="24" s="1"/>
  <c r="Z185" i="24"/>
  <c r="AL185" i="24"/>
  <c r="BG185" i="24" s="1"/>
  <c r="AA185" i="24"/>
  <c r="AV185" i="24" s="1"/>
  <c r="AM185" i="24"/>
  <c r="BH185" i="24" s="1"/>
  <c r="AB185" i="24"/>
  <c r="AW185" i="24" s="1"/>
  <c r="AN185" i="24"/>
  <c r="BI185" i="24" s="1"/>
  <c r="AC185" i="24"/>
  <c r="AX185" i="24" s="1"/>
  <c r="AO185" i="24"/>
  <c r="BJ185" i="24" s="1"/>
  <c r="AD185" i="24"/>
  <c r="AY185" i="24" s="1"/>
  <c r="AP185" i="24"/>
  <c r="BK185" i="24" s="1"/>
  <c r="AE185" i="24"/>
  <c r="AZ185" i="24" s="1"/>
  <c r="AQ185" i="24"/>
  <c r="BL185" i="24" s="1"/>
  <c r="AF185" i="24"/>
  <c r="BA185" i="24" s="1"/>
  <c r="AR185" i="24"/>
  <c r="BM185" i="24" s="1"/>
  <c r="Y185" i="24"/>
  <c r="AT185" i="24" s="1"/>
  <c r="Z359" i="24"/>
  <c r="AL359" i="24"/>
  <c r="BG359" i="24" s="1"/>
  <c r="AA359" i="24"/>
  <c r="AV359" i="24" s="1"/>
  <c r="AM359" i="24"/>
  <c r="BH359" i="24" s="1"/>
  <c r="AB359" i="24"/>
  <c r="AW359" i="24" s="1"/>
  <c r="AN359" i="24"/>
  <c r="BI359" i="24" s="1"/>
  <c r="AC359" i="24"/>
  <c r="AX359" i="24" s="1"/>
  <c r="AO359" i="24"/>
  <c r="BJ359" i="24" s="1"/>
  <c r="AD359" i="24"/>
  <c r="AY359" i="24" s="1"/>
  <c r="AP359" i="24"/>
  <c r="BK359" i="24" s="1"/>
  <c r="AE359" i="24"/>
  <c r="AZ359" i="24" s="1"/>
  <c r="AQ359" i="24"/>
  <c r="BL359" i="24" s="1"/>
  <c r="AF359" i="24"/>
  <c r="BA359" i="24" s="1"/>
  <c r="AR359" i="24"/>
  <c r="BM359" i="24" s="1"/>
  <c r="Y359" i="24"/>
  <c r="AT359" i="24" s="1"/>
  <c r="AG359" i="24"/>
  <c r="BB359" i="24" s="1"/>
  <c r="AK359" i="24"/>
  <c r="BF359" i="24" s="1"/>
  <c r="AH359" i="24"/>
  <c r="BC359" i="24" s="1"/>
  <c r="AI359" i="24"/>
  <c r="BD359" i="24" s="1"/>
  <c r="AJ359" i="24"/>
  <c r="BE359" i="24" s="1"/>
  <c r="AG245" i="24"/>
  <c r="BB245" i="24" s="1"/>
  <c r="AH245" i="24"/>
  <c r="BC245" i="24" s="1"/>
  <c r="AI245" i="24"/>
  <c r="BD245" i="24" s="1"/>
  <c r="AJ245" i="24"/>
  <c r="BE245" i="24" s="1"/>
  <c r="AK245" i="24"/>
  <c r="BF245" i="24" s="1"/>
  <c r="Z245" i="24"/>
  <c r="AL245" i="24"/>
  <c r="BG245" i="24" s="1"/>
  <c r="AA245" i="24"/>
  <c r="AV245" i="24" s="1"/>
  <c r="AM245" i="24"/>
  <c r="BH245" i="24" s="1"/>
  <c r="AB245" i="24"/>
  <c r="AW245" i="24" s="1"/>
  <c r="AN245" i="24"/>
  <c r="BI245" i="24" s="1"/>
  <c r="AC245" i="24"/>
  <c r="AX245" i="24" s="1"/>
  <c r="AO245" i="24"/>
  <c r="BJ245" i="24" s="1"/>
  <c r="AD245" i="24"/>
  <c r="AY245" i="24" s="1"/>
  <c r="AP245" i="24"/>
  <c r="BK245" i="24" s="1"/>
  <c r="AE245" i="24"/>
  <c r="AZ245" i="24" s="1"/>
  <c r="AQ245" i="24"/>
  <c r="BL245" i="24" s="1"/>
  <c r="AF245" i="24"/>
  <c r="BA245" i="24" s="1"/>
  <c r="AR245" i="24"/>
  <c r="BM245" i="24" s="1"/>
  <c r="Y245" i="24"/>
  <c r="AT245" i="24" s="1"/>
  <c r="AE347" i="24"/>
  <c r="AZ347" i="24" s="1"/>
  <c r="AQ347" i="24"/>
  <c r="BL347" i="24" s="1"/>
  <c r="AD347" i="24"/>
  <c r="AY347" i="24" s="1"/>
  <c r="AF347" i="24"/>
  <c r="BA347" i="24" s="1"/>
  <c r="AR347" i="24"/>
  <c r="BM347" i="24" s="1"/>
  <c r="AG347" i="24"/>
  <c r="BB347" i="24" s="1"/>
  <c r="AH347" i="24"/>
  <c r="BC347" i="24" s="1"/>
  <c r="AI347" i="24"/>
  <c r="BD347" i="24" s="1"/>
  <c r="AJ347" i="24"/>
  <c r="BE347" i="24" s="1"/>
  <c r="AK347" i="24"/>
  <c r="BF347" i="24" s="1"/>
  <c r="AP347" i="24"/>
  <c r="BK347" i="24" s="1"/>
  <c r="Z347" i="24"/>
  <c r="AL347" i="24"/>
  <c r="BG347" i="24" s="1"/>
  <c r="AA347" i="24"/>
  <c r="AV347" i="24" s="1"/>
  <c r="AM347" i="24"/>
  <c r="BH347" i="24" s="1"/>
  <c r="AB347" i="24"/>
  <c r="AW347" i="24" s="1"/>
  <c r="AN347" i="24"/>
  <c r="BI347" i="24" s="1"/>
  <c r="Y347" i="24"/>
  <c r="AT347" i="24" s="1"/>
  <c r="AC347" i="24"/>
  <c r="AX347" i="24" s="1"/>
  <c r="AO347" i="24"/>
  <c r="BJ347" i="24" s="1"/>
  <c r="AE323" i="24"/>
  <c r="AZ323" i="24" s="1"/>
  <c r="AQ323" i="24"/>
  <c r="BL323" i="24" s="1"/>
  <c r="AF323" i="24"/>
  <c r="BA323" i="24" s="1"/>
  <c r="AR323" i="24"/>
  <c r="BM323" i="24" s="1"/>
  <c r="AP323" i="24"/>
  <c r="BK323" i="24" s="1"/>
  <c r="AG323" i="24"/>
  <c r="BB323" i="24" s="1"/>
  <c r="AD323" i="24"/>
  <c r="AY323" i="24" s="1"/>
  <c r="AH323" i="24"/>
  <c r="BC323" i="24" s="1"/>
  <c r="AI323" i="24"/>
  <c r="BD323" i="24" s="1"/>
  <c r="AJ323" i="24"/>
  <c r="BE323" i="24" s="1"/>
  <c r="AK323" i="24"/>
  <c r="BF323" i="24" s="1"/>
  <c r="Z323" i="24"/>
  <c r="AL323" i="24"/>
  <c r="BG323" i="24" s="1"/>
  <c r="AA323" i="24"/>
  <c r="AV323" i="24" s="1"/>
  <c r="AM323" i="24"/>
  <c r="BH323" i="24" s="1"/>
  <c r="AB323" i="24"/>
  <c r="AW323" i="24" s="1"/>
  <c r="AN323" i="24"/>
  <c r="BI323" i="24" s="1"/>
  <c r="Y323" i="24"/>
  <c r="AT323" i="24" s="1"/>
  <c r="AC323" i="24"/>
  <c r="AX323" i="24" s="1"/>
  <c r="AO323" i="24"/>
  <c r="BJ323" i="24" s="1"/>
  <c r="AJ104" i="24"/>
  <c r="BE104" i="24" s="1"/>
  <c r="AK104" i="24"/>
  <c r="BF104" i="24" s="1"/>
  <c r="Z104" i="24"/>
  <c r="AL104" i="24"/>
  <c r="BG104" i="24" s="1"/>
  <c r="AA104" i="24"/>
  <c r="AV104" i="24" s="1"/>
  <c r="AM104" i="24"/>
  <c r="BH104" i="24" s="1"/>
  <c r="AB104" i="24"/>
  <c r="AW104" i="24" s="1"/>
  <c r="AN104" i="24"/>
  <c r="BI104" i="24" s="1"/>
  <c r="AC104" i="24"/>
  <c r="AX104" i="24" s="1"/>
  <c r="AO104" i="24"/>
  <c r="BJ104" i="24" s="1"/>
  <c r="AD104" i="24"/>
  <c r="AY104" i="24" s="1"/>
  <c r="AP104" i="24"/>
  <c r="BK104" i="24" s="1"/>
  <c r="AE104" i="24"/>
  <c r="AZ104" i="24" s="1"/>
  <c r="AQ104" i="24"/>
  <c r="BL104" i="24" s="1"/>
  <c r="AF104" i="24"/>
  <c r="BA104" i="24" s="1"/>
  <c r="AR104" i="24"/>
  <c r="BM104" i="24" s="1"/>
  <c r="AG104" i="24"/>
  <c r="BB104" i="24" s="1"/>
  <c r="AH104" i="24"/>
  <c r="BC104" i="24" s="1"/>
  <c r="AI104" i="24"/>
  <c r="BD104" i="24" s="1"/>
  <c r="Y104" i="24"/>
  <c r="AT104" i="24" s="1"/>
  <c r="AI126" i="25"/>
  <c r="BD126" i="25" s="1"/>
  <c r="AJ126" i="25"/>
  <c r="BE126" i="25" s="1"/>
  <c r="Y126" i="25"/>
  <c r="AT126" i="25" s="1"/>
  <c r="AK126" i="25"/>
  <c r="BF126" i="25" s="1"/>
  <c r="Z126" i="25"/>
  <c r="AL126" i="25"/>
  <c r="BG126" i="25" s="1"/>
  <c r="AA126" i="25"/>
  <c r="AV126" i="25" s="1"/>
  <c r="AM126" i="25"/>
  <c r="BH126" i="25" s="1"/>
  <c r="AB126" i="25"/>
  <c r="AW126" i="25" s="1"/>
  <c r="AN126" i="25"/>
  <c r="BI126" i="25" s="1"/>
  <c r="AC126" i="25"/>
  <c r="AX126" i="25" s="1"/>
  <c r="AO126" i="25"/>
  <c r="BJ126" i="25" s="1"/>
  <c r="AD126" i="25"/>
  <c r="AY126" i="25" s="1"/>
  <c r="AP126" i="25"/>
  <c r="BK126" i="25" s="1"/>
  <c r="AE126" i="25"/>
  <c r="AZ126" i="25" s="1"/>
  <c r="AQ126" i="25"/>
  <c r="BL126" i="25" s="1"/>
  <c r="AF126" i="25"/>
  <c r="BA126" i="25" s="1"/>
  <c r="AR126" i="25"/>
  <c r="BM126" i="25" s="1"/>
  <c r="AG126" i="25"/>
  <c r="BB126" i="25" s="1"/>
  <c r="AH126" i="25"/>
  <c r="BC126" i="25" s="1"/>
  <c r="AA196" i="25"/>
  <c r="AV196" i="25" s="1"/>
  <c r="AM196" i="25"/>
  <c r="BH196" i="25" s="1"/>
  <c r="AB196" i="25"/>
  <c r="AW196" i="25" s="1"/>
  <c r="AN196" i="25"/>
  <c r="BI196" i="25" s="1"/>
  <c r="AC196" i="25"/>
  <c r="AX196" i="25" s="1"/>
  <c r="AO196" i="25"/>
  <c r="BJ196" i="25" s="1"/>
  <c r="AD196" i="25"/>
  <c r="AY196" i="25" s="1"/>
  <c r="AP196" i="25"/>
  <c r="BK196" i="25" s="1"/>
  <c r="AE196" i="25"/>
  <c r="AZ196" i="25" s="1"/>
  <c r="AQ196" i="25"/>
  <c r="BL196" i="25" s="1"/>
  <c r="AF196" i="25"/>
  <c r="BA196" i="25" s="1"/>
  <c r="AR196" i="25"/>
  <c r="BM196" i="25" s="1"/>
  <c r="AG196" i="25"/>
  <c r="BB196" i="25" s="1"/>
  <c r="AH196" i="25"/>
  <c r="BC196" i="25" s="1"/>
  <c r="AI196" i="25"/>
  <c r="BD196" i="25" s="1"/>
  <c r="AJ196" i="25"/>
  <c r="BE196" i="25" s="1"/>
  <c r="Y196" i="25"/>
  <c r="AT196" i="25" s="1"/>
  <c r="AK196" i="25"/>
  <c r="BF196" i="25" s="1"/>
  <c r="Z196" i="25"/>
  <c r="AL196" i="25"/>
  <c r="BG196" i="25" s="1"/>
  <c r="Z268" i="25"/>
  <c r="AL268" i="25"/>
  <c r="BG268" i="25" s="1"/>
  <c r="AA268" i="25"/>
  <c r="AV268" i="25" s="1"/>
  <c r="AM268" i="25"/>
  <c r="BH268" i="25" s="1"/>
  <c r="AB268" i="25"/>
  <c r="AW268" i="25" s="1"/>
  <c r="AN268" i="25"/>
  <c r="BI268" i="25" s="1"/>
  <c r="AC268" i="25"/>
  <c r="AX268" i="25" s="1"/>
  <c r="AO268" i="25"/>
  <c r="BJ268" i="25" s="1"/>
  <c r="AD268" i="25"/>
  <c r="AY268" i="25" s="1"/>
  <c r="AP268" i="25"/>
  <c r="BK268" i="25" s="1"/>
  <c r="AE268" i="25"/>
  <c r="AZ268" i="25" s="1"/>
  <c r="AQ268" i="25"/>
  <c r="BL268" i="25" s="1"/>
  <c r="AF268" i="25"/>
  <c r="BA268" i="25" s="1"/>
  <c r="AR268" i="25"/>
  <c r="BM268" i="25" s="1"/>
  <c r="AG268" i="25"/>
  <c r="BB268" i="25" s="1"/>
  <c r="AH268" i="25"/>
  <c r="BC268" i="25" s="1"/>
  <c r="AI268" i="25"/>
  <c r="BD268" i="25" s="1"/>
  <c r="AJ268" i="25"/>
  <c r="BE268" i="25" s="1"/>
  <c r="Y268" i="25"/>
  <c r="AT268" i="25" s="1"/>
  <c r="AK268" i="25"/>
  <c r="BF268" i="25" s="1"/>
  <c r="Z340" i="25"/>
  <c r="AL340" i="25"/>
  <c r="BG340" i="25" s="1"/>
  <c r="AA340" i="25"/>
  <c r="AV340" i="25" s="1"/>
  <c r="AM340" i="25"/>
  <c r="BH340" i="25" s="1"/>
  <c r="AB340" i="25"/>
  <c r="AW340" i="25" s="1"/>
  <c r="AN340" i="25"/>
  <c r="BI340" i="25" s="1"/>
  <c r="AC340" i="25"/>
  <c r="AX340" i="25" s="1"/>
  <c r="AO340" i="25"/>
  <c r="BJ340" i="25" s="1"/>
  <c r="AD340" i="25"/>
  <c r="AY340" i="25" s="1"/>
  <c r="AP340" i="25"/>
  <c r="BK340" i="25" s="1"/>
  <c r="AE340" i="25"/>
  <c r="AZ340" i="25" s="1"/>
  <c r="AQ340" i="25"/>
  <c r="BL340" i="25" s="1"/>
  <c r="AF340" i="25"/>
  <c r="BA340" i="25" s="1"/>
  <c r="AR340" i="25"/>
  <c r="BM340" i="25" s="1"/>
  <c r="AG340" i="25"/>
  <c r="BB340" i="25" s="1"/>
  <c r="AH340" i="25"/>
  <c r="BC340" i="25" s="1"/>
  <c r="AI340" i="25"/>
  <c r="BD340" i="25" s="1"/>
  <c r="AJ340" i="25"/>
  <c r="BE340" i="25" s="1"/>
  <c r="Y340" i="25"/>
  <c r="AT340" i="25" s="1"/>
  <c r="AK340" i="25"/>
  <c r="BF340" i="25" s="1"/>
  <c r="AA139" i="25"/>
  <c r="AV139" i="25" s="1"/>
  <c r="AM139" i="25"/>
  <c r="BH139" i="25" s="1"/>
  <c r="AB139" i="25"/>
  <c r="AW139" i="25" s="1"/>
  <c r="AN139" i="25"/>
  <c r="BI139" i="25" s="1"/>
  <c r="AC139" i="25"/>
  <c r="AX139" i="25" s="1"/>
  <c r="AO139" i="25"/>
  <c r="BJ139" i="25" s="1"/>
  <c r="AD139" i="25"/>
  <c r="AY139" i="25" s="1"/>
  <c r="AP139" i="25"/>
  <c r="BK139" i="25" s="1"/>
  <c r="AE139" i="25"/>
  <c r="AZ139" i="25" s="1"/>
  <c r="AQ139" i="25"/>
  <c r="BL139" i="25" s="1"/>
  <c r="AF139" i="25"/>
  <c r="BA139" i="25" s="1"/>
  <c r="AR139" i="25"/>
  <c r="BM139" i="25" s="1"/>
  <c r="AG139" i="25"/>
  <c r="BB139" i="25" s="1"/>
  <c r="AH139" i="25"/>
  <c r="BC139" i="25" s="1"/>
  <c r="AI139" i="25"/>
  <c r="BD139" i="25" s="1"/>
  <c r="AJ139" i="25"/>
  <c r="BE139" i="25" s="1"/>
  <c r="Y139" i="25"/>
  <c r="AT139" i="25" s="1"/>
  <c r="AK139" i="25"/>
  <c r="BF139" i="25" s="1"/>
  <c r="Z139" i="25"/>
  <c r="AL139" i="25"/>
  <c r="BG139" i="25" s="1"/>
  <c r="AE209" i="25"/>
  <c r="AZ209" i="25" s="1"/>
  <c r="AQ209" i="25"/>
  <c r="BL209" i="25" s="1"/>
  <c r="AF209" i="25"/>
  <c r="BA209" i="25" s="1"/>
  <c r="AR209" i="25"/>
  <c r="BM209" i="25" s="1"/>
  <c r="AG209" i="25"/>
  <c r="BB209" i="25" s="1"/>
  <c r="AH209" i="25"/>
  <c r="BC209" i="25" s="1"/>
  <c r="AI209" i="25"/>
  <c r="BD209" i="25" s="1"/>
  <c r="AJ209" i="25"/>
  <c r="BE209" i="25" s="1"/>
  <c r="Y209" i="25"/>
  <c r="AT209" i="25" s="1"/>
  <c r="AK209" i="25"/>
  <c r="BF209" i="25" s="1"/>
  <c r="Z209" i="25"/>
  <c r="AL209" i="25"/>
  <c r="BG209" i="25" s="1"/>
  <c r="AA209" i="25"/>
  <c r="AV209" i="25" s="1"/>
  <c r="AM209" i="25"/>
  <c r="BH209" i="25" s="1"/>
  <c r="AB209" i="25"/>
  <c r="AW209" i="25" s="1"/>
  <c r="AN209" i="25"/>
  <c r="BI209" i="25" s="1"/>
  <c r="AC209" i="25"/>
  <c r="AX209" i="25" s="1"/>
  <c r="AO209" i="25"/>
  <c r="BJ209" i="25" s="1"/>
  <c r="AD209" i="25"/>
  <c r="AY209" i="25" s="1"/>
  <c r="AP209" i="25"/>
  <c r="BK209" i="25" s="1"/>
  <c r="AD281" i="25"/>
  <c r="AY281" i="25" s="1"/>
  <c r="AP281" i="25"/>
  <c r="BK281" i="25" s="1"/>
  <c r="AE281" i="25"/>
  <c r="AZ281" i="25" s="1"/>
  <c r="AQ281" i="25"/>
  <c r="BL281" i="25" s="1"/>
  <c r="AF281" i="25"/>
  <c r="BA281" i="25" s="1"/>
  <c r="AR281" i="25"/>
  <c r="BM281" i="25" s="1"/>
  <c r="AG281" i="25"/>
  <c r="BB281" i="25" s="1"/>
  <c r="AH281" i="25"/>
  <c r="BC281" i="25" s="1"/>
  <c r="AI281" i="25"/>
  <c r="BD281" i="25" s="1"/>
  <c r="AJ281" i="25"/>
  <c r="BE281" i="25" s="1"/>
  <c r="Y281" i="25"/>
  <c r="AT281" i="25" s="1"/>
  <c r="AK281" i="25"/>
  <c r="BF281" i="25" s="1"/>
  <c r="Z281" i="25"/>
  <c r="AL281" i="25"/>
  <c r="BG281" i="25" s="1"/>
  <c r="AA281" i="25"/>
  <c r="AV281" i="25" s="1"/>
  <c r="AM281" i="25"/>
  <c r="BH281" i="25" s="1"/>
  <c r="AB281" i="25"/>
  <c r="AW281" i="25" s="1"/>
  <c r="AN281" i="25"/>
  <c r="BI281" i="25" s="1"/>
  <c r="AC281" i="25"/>
  <c r="AX281" i="25" s="1"/>
  <c r="AO281" i="25"/>
  <c r="BJ281" i="25" s="1"/>
  <c r="AD353" i="25"/>
  <c r="AY353" i="25" s="1"/>
  <c r="AP353" i="25"/>
  <c r="BK353" i="25" s="1"/>
  <c r="AE353" i="25"/>
  <c r="AZ353" i="25" s="1"/>
  <c r="AQ353" i="25"/>
  <c r="BL353" i="25" s="1"/>
  <c r="AF353" i="25"/>
  <c r="BA353" i="25" s="1"/>
  <c r="AR353" i="25"/>
  <c r="BM353" i="25" s="1"/>
  <c r="AG353" i="25"/>
  <c r="BB353" i="25" s="1"/>
  <c r="AH353" i="25"/>
  <c r="BC353" i="25" s="1"/>
  <c r="AI353" i="25"/>
  <c r="BD353" i="25" s="1"/>
  <c r="AJ353" i="25"/>
  <c r="BE353" i="25" s="1"/>
  <c r="Y353" i="25"/>
  <c r="AT353" i="25" s="1"/>
  <c r="AK353" i="25"/>
  <c r="BF353" i="25" s="1"/>
  <c r="Z353" i="25"/>
  <c r="AL353" i="25"/>
  <c r="BG353" i="25" s="1"/>
  <c r="AA353" i="25"/>
  <c r="AV353" i="25" s="1"/>
  <c r="AM353" i="25"/>
  <c r="BH353" i="25" s="1"/>
  <c r="AB353" i="25"/>
  <c r="AW353" i="25" s="1"/>
  <c r="AN353" i="25"/>
  <c r="BI353" i="25" s="1"/>
  <c r="AC353" i="25"/>
  <c r="AX353" i="25" s="1"/>
  <c r="AO353" i="25"/>
  <c r="BJ353" i="25" s="1"/>
  <c r="AI156" i="25"/>
  <c r="BD156" i="25" s="1"/>
  <c r="AJ156" i="25"/>
  <c r="BE156" i="25" s="1"/>
  <c r="Y156" i="25"/>
  <c r="AT156" i="25" s="1"/>
  <c r="AK156" i="25"/>
  <c r="BF156" i="25" s="1"/>
  <c r="Z156" i="25"/>
  <c r="AL156" i="25"/>
  <c r="BG156" i="25" s="1"/>
  <c r="AA156" i="25"/>
  <c r="AV156" i="25" s="1"/>
  <c r="AM156" i="25"/>
  <c r="BH156" i="25" s="1"/>
  <c r="AB156" i="25"/>
  <c r="AW156" i="25" s="1"/>
  <c r="AN156" i="25"/>
  <c r="BI156" i="25" s="1"/>
  <c r="AC156" i="25"/>
  <c r="AX156" i="25" s="1"/>
  <c r="AO156" i="25"/>
  <c r="BJ156" i="25" s="1"/>
  <c r="AD156" i="25"/>
  <c r="AY156" i="25" s="1"/>
  <c r="AP156" i="25"/>
  <c r="BK156" i="25" s="1"/>
  <c r="AE156" i="25"/>
  <c r="AZ156" i="25" s="1"/>
  <c r="AQ156" i="25"/>
  <c r="BL156" i="25" s="1"/>
  <c r="AF156" i="25"/>
  <c r="BA156" i="25" s="1"/>
  <c r="AR156" i="25"/>
  <c r="BM156" i="25" s="1"/>
  <c r="AG156" i="25"/>
  <c r="BB156" i="25" s="1"/>
  <c r="AH156" i="25"/>
  <c r="BC156" i="25" s="1"/>
  <c r="AI228" i="25"/>
  <c r="BD228" i="25" s="1"/>
  <c r="AJ228" i="25"/>
  <c r="BE228" i="25" s="1"/>
  <c r="Y228" i="25"/>
  <c r="AT228" i="25" s="1"/>
  <c r="AK228" i="25"/>
  <c r="BF228" i="25" s="1"/>
  <c r="Z228" i="25"/>
  <c r="AL228" i="25"/>
  <c r="BG228" i="25" s="1"/>
  <c r="AA228" i="25"/>
  <c r="AV228" i="25" s="1"/>
  <c r="AM228" i="25"/>
  <c r="BH228" i="25" s="1"/>
  <c r="AB228" i="25"/>
  <c r="AW228" i="25" s="1"/>
  <c r="AN228" i="25"/>
  <c r="BI228" i="25" s="1"/>
  <c r="AC228" i="25"/>
  <c r="AX228" i="25" s="1"/>
  <c r="AO228" i="25"/>
  <c r="BJ228" i="25" s="1"/>
  <c r="AD228" i="25"/>
  <c r="AY228" i="25" s="1"/>
  <c r="AP228" i="25"/>
  <c r="BK228" i="25" s="1"/>
  <c r="AE228" i="25"/>
  <c r="AZ228" i="25" s="1"/>
  <c r="AQ228" i="25"/>
  <c r="BL228" i="25" s="1"/>
  <c r="AF228" i="25"/>
  <c r="BA228" i="25" s="1"/>
  <c r="AR228" i="25"/>
  <c r="BM228" i="25" s="1"/>
  <c r="AG228" i="25"/>
  <c r="BB228" i="25" s="1"/>
  <c r="AH228" i="25"/>
  <c r="BC228" i="25" s="1"/>
  <c r="AH300" i="25"/>
  <c r="BC300" i="25" s="1"/>
  <c r="AI300" i="25"/>
  <c r="BD300" i="25" s="1"/>
  <c r="AJ300" i="25"/>
  <c r="BE300" i="25" s="1"/>
  <c r="Y300" i="25"/>
  <c r="AT300" i="25" s="1"/>
  <c r="AK300" i="25"/>
  <c r="BF300" i="25" s="1"/>
  <c r="Z300" i="25"/>
  <c r="AL300" i="25"/>
  <c r="BG300" i="25" s="1"/>
  <c r="AA300" i="25"/>
  <c r="AV300" i="25" s="1"/>
  <c r="AM300" i="25"/>
  <c r="BH300" i="25" s="1"/>
  <c r="AB300" i="25"/>
  <c r="AW300" i="25" s="1"/>
  <c r="AN300" i="25"/>
  <c r="BI300" i="25" s="1"/>
  <c r="AC300" i="25"/>
  <c r="AX300" i="25" s="1"/>
  <c r="AO300" i="25"/>
  <c r="BJ300" i="25" s="1"/>
  <c r="AD300" i="25"/>
  <c r="AY300" i="25" s="1"/>
  <c r="AP300" i="25"/>
  <c r="BK300" i="25" s="1"/>
  <c r="AE300" i="25"/>
  <c r="AZ300" i="25" s="1"/>
  <c r="AQ300" i="25"/>
  <c r="BL300" i="25" s="1"/>
  <c r="AF300" i="25"/>
  <c r="BA300" i="25" s="1"/>
  <c r="AR300" i="25"/>
  <c r="BM300" i="25" s="1"/>
  <c r="AG300" i="25"/>
  <c r="BB300" i="25" s="1"/>
  <c r="AH372" i="25"/>
  <c r="AI372" i="25"/>
  <c r="AJ372" i="25"/>
  <c r="Y372" i="25"/>
  <c r="AT372" i="25" s="1"/>
  <c r="AK372" i="25"/>
  <c r="Z372" i="25"/>
  <c r="AL372" i="25"/>
  <c r="AA372" i="25"/>
  <c r="AM372" i="25"/>
  <c r="AB372" i="25"/>
  <c r="AN372" i="25"/>
  <c r="AC372" i="25"/>
  <c r="AO372" i="25"/>
  <c r="AD372" i="25"/>
  <c r="AP372" i="25"/>
  <c r="AE372" i="25"/>
  <c r="AQ372" i="25"/>
  <c r="AF372" i="25"/>
  <c r="AR372" i="25"/>
  <c r="AG372" i="25"/>
  <c r="AA175" i="25"/>
  <c r="AV175" i="25" s="1"/>
  <c r="AM175" i="25"/>
  <c r="BH175" i="25" s="1"/>
  <c r="AB175" i="25"/>
  <c r="AW175" i="25" s="1"/>
  <c r="AN175" i="25"/>
  <c r="BI175" i="25" s="1"/>
  <c r="AC175" i="25"/>
  <c r="AX175" i="25" s="1"/>
  <c r="AO175" i="25"/>
  <c r="BJ175" i="25" s="1"/>
  <c r="AD175" i="25"/>
  <c r="AY175" i="25" s="1"/>
  <c r="AP175" i="25"/>
  <c r="BK175" i="25" s="1"/>
  <c r="AE175" i="25"/>
  <c r="AZ175" i="25" s="1"/>
  <c r="AQ175" i="25"/>
  <c r="BL175" i="25" s="1"/>
  <c r="AF175" i="25"/>
  <c r="BA175" i="25" s="1"/>
  <c r="AR175" i="25"/>
  <c r="BM175" i="25" s="1"/>
  <c r="AG175" i="25"/>
  <c r="BB175" i="25" s="1"/>
  <c r="AH175" i="25"/>
  <c r="BC175" i="25" s="1"/>
  <c r="AI175" i="25"/>
  <c r="BD175" i="25" s="1"/>
  <c r="AJ175" i="25"/>
  <c r="BE175" i="25" s="1"/>
  <c r="Y175" i="25"/>
  <c r="AT175" i="25" s="1"/>
  <c r="AK175" i="25"/>
  <c r="BF175" i="25" s="1"/>
  <c r="Z175" i="25"/>
  <c r="AL175" i="25"/>
  <c r="BG175" i="25" s="1"/>
  <c r="Z247" i="25"/>
  <c r="AL247" i="25"/>
  <c r="BG247" i="25" s="1"/>
  <c r="AA247" i="25"/>
  <c r="AV247" i="25" s="1"/>
  <c r="AM247" i="25"/>
  <c r="BH247" i="25" s="1"/>
  <c r="AB247" i="25"/>
  <c r="AW247" i="25" s="1"/>
  <c r="AN247" i="25"/>
  <c r="BI247" i="25" s="1"/>
  <c r="AC247" i="25"/>
  <c r="AX247" i="25" s="1"/>
  <c r="AO247" i="25"/>
  <c r="BJ247" i="25" s="1"/>
  <c r="AD247" i="25"/>
  <c r="AY247" i="25" s="1"/>
  <c r="AP247" i="25"/>
  <c r="BK247" i="25" s="1"/>
  <c r="AE247" i="25"/>
  <c r="AZ247" i="25" s="1"/>
  <c r="AQ247" i="25"/>
  <c r="BL247" i="25" s="1"/>
  <c r="AF247" i="25"/>
  <c r="BA247" i="25" s="1"/>
  <c r="AR247" i="25"/>
  <c r="BM247" i="25" s="1"/>
  <c r="AG247" i="25"/>
  <c r="BB247" i="25" s="1"/>
  <c r="AH247" i="25"/>
  <c r="BC247" i="25" s="1"/>
  <c r="AI247" i="25"/>
  <c r="BD247" i="25" s="1"/>
  <c r="AJ247" i="25"/>
  <c r="BE247" i="25" s="1"/>
  <c r="Y247" i="25"/>
  <c r="AT247" i="25" s="1"/>
  <c r="AK247" i="25"/>
  <c r="BF247" i="25" s="1"/>
  <c r="Z319" i="25"/>
  <c r="AL319" i="25"/>
  <c r="BG319" i="25" s="1"/>
  <c r="AA319" i="25"/>
  <c r="AV319" i="25" s="1"/>
  <c r="AM319" i="25"/>
  <c r="BH319" i="25" s="1"/>
  <c r="AB319" i="25"/>
  <c r="AW319" i="25" s="1"/>
  <c r="AN319" i="25"/>
  <c r="BI319" i="25" s="1"/>
  <c r="AC319" i="25"/>
  <c r="AX319" i="25" s="1"/>
  <c r="AO319" i="25"/>
  <c r="BJ319" i="25" s="1"/>
  <c r="AD319" i="25"/>
  <c r="AY319" i="25" s="1"/>
  <c r="AP319" i="25"/>
  <c r="BK319" i="25" s="1"/>
  <c r="AE319" i="25"/>
  <c r="AZ319" i="25" s="1"/>
  <c r="AQ319" i="25"/>
  <c r="BL319" i="25" s="1"/>
  <c r="AF319" i="25"/>
  <c r="BA319" i="25" s="1"/>
  <c r="AR319" i="25"/>
  <c r="BM319" i="25" s="1"/>
  <c r="AG319" i="25"/>
  <c r="BB319" i="25" s="1"/>
  <c r="AH319" i="25"/>
  <c r="BC319" i="25" s="1"/>
  <c r="AI319" i="25"/>
  <c r="BD319" i="25" s="1"/>
  <c r="AJ319" i="25"/>
  <c r="BE319" i="25" s="1"/>
  <c r="Y319" i="25"/>
  <c r="AT319" i="25" s="1"/>
  <c r="AK319" i="25"/>
  <c r="BF319" i="25" s="1"/>
  <c r="AA118" i="25"/>
  <c r="AV118" i="25" s="1"/>
  <c r="AM118" i="25"/>
  <c r="BH118" i="25" s="1"/>
  <c r="AB118" i="25"/>
  <c r="AW118" i="25" s="1"/>
  <c r="AN118" i="25"/>
  <c r="BI118" i="25" s="1"/>
  <c r="AC118" i="25"/>
  <c r="AX118" i="25" s="1"/>
  <c r="AO118" i="25"/>
  <c r="BJ118" i="25" s="1"/>
  <c r="AD118" i="25"/>
  <c r="AY118" i="25" s="1"/>
  <c r="AP118" i="25"/>
  <c r="BK118" i="25" s="1"/>
  <c r="AE118" i="25"/>
  <c r="AZ118" i="25" s="1"/>
  <c r="AQ118" i="25"/>
  <c r="BL118" i="25" s="1"/>
  <c r="AF118" i="25"/>
  <c r="BA118" i="25" s="1"/>
  <c r="AR118" i="25"/>
  <c r="BM118" i="25" s="1"/>
  <c r="AG118" i="25"/>
  <c r="BB118" i="25" s="1"/>
  <c r="AH118" i="25"/>
  <c r="BC118" i="25" s="1"/>
  <c r="AI118" i="25"/>
  <c r="BD118" i="25" s="1"/>
  <c r="AJ118" i="25"/>
  <c r="BE118" i="25" s="1"/>
  <c r="Y118" i="25"/>
  <c r="AT118" i="25" s="1"/>
  <c r="AK118" i="25"/>
  <c r="BF118" i="25" s="1"/>
  <c r="Z118" i="25"/>
  <c r="AL118" i="25"/>
  <c r="BG118" i="25" s="1"/>
  <c r="AE188" i="25"/>
  <c r="AZ188" i="25" s="1"/>
  <c r="AQ188" i="25"/>
  <c r="BL188" i="25" s="1"/>
  <c r="AF188" i="25"/>
  <c r="BA188" i="25" s="1"/>
  <c r="AR188" i="25"/>
  <c r="BM188" i="25" s="1"/>
  <c r="AG188" i="25"/>
  <c r="BB188" i="25" s="1"/>
  <c r="AH188" i="25"/>
  <c r="BC188" i="25" s="1"/>
  <c r="AI188" i="25"/>
  <c r="BD188" i="25" s="1"/>
  <c r="AJ188" i="25"/>
  <c r="BE188" i="25" s="1"/>
  <c r="Y188" i="25"/>
  <c r="AT188" i="25" s="1"/>
  <c r="AK188" i="25"/>
  <c r="BF188" i="25" s="1"/>
  <c r="Z188" i="25"/>
  <c r="AL188" i="25"/>
  <c r="BG188" i="25" s="1"/>
  <c r="AA188" i="25"/>
  <c r="AV188" i="25" s="1"/>
  <c r="AM188" i="25"/>
  <c r="BH188" i="25" s="1"/>
  <c r="AB188" i="25"/>
  <c r="AW188" i="25" s="1"/>
  <c r="AN188" i="25"/>
  <c r="BI188" i="25" s="1"/>
  <c r="AC188" i="25"/>
  <c r="AX188" i="25" s="1"/>
  <c r="AO188" i="25"/>
  <c r="BJ188" i="25" s="1"/>
  <c r="AD188" i="25"/>
  <c r="AY188" i="25" s="1"/>
  <c r="AP188" i="25"/>
  <c r="BK188" i="25" s="1"/>
  <c r="AD260" i="25"/>
  <c r="AY260" i="25" s="1"/>
  <c r="AP260" i="25"/>
  <c r="BK260" i="25" s="1"/>
  <c r="AE260" i="25"/>
  <c r="AZ260" i="25" s="1"/>
  <c r="AQ260" i="25"/>
  <c r="BL260" i="25" s="1"/>
  <c r="AF260" i="25"/>
  <c r="BA260" i="25" s="1"/>
  <c r="AR260" i="25"/>
  <c r="BM260" i="25" s="1"/>
  <c r="AG260" i="25"/>
  <c r="BB260" i="25" s="1"/>
  <c r="AH260" i="25"/>
  <c r="BC260" i="25" s="1"/>
  <c r="AI260" i="25"/>
  <c r="BD260" i="25" s="1"/>
  <c r="AJ260" i="25"/>
  <c r="BE260" i="25" s="1"/>
  <c r="Y260" i="25"/>
  <c r="AT260" i="25" s="1"/>
  <c r="AK260" i="25"/>
  <c r="BF260" i="25" s="1"/>
  <c r="Z260" i="25"/>
  <c r="AL260" i="25"/>
  <c r="BG260" i="25" s="1"/>
  <c r="AA260" i="25"/>
  <c r="AV260" i="25" s="1"/>
  <c r="AM260" i="25"/>
  <c r="BH260" i="25" s="1"/>
  <c r="AB260" i="25"/>
  <c r="AW260" i="25" s="1"/>
  <c r="AN260" i="25"/>
  <c r="BI260" i="25" s="1"/>
  <c r="AC260" i="25"/>
  <c r="AX260" i="25" s="1"/>
  <c r="AO260" i="25"/>
  <c r="BJ260" i="25" s="1"/>
  <c r="AD332" i="25"/>
  <c r="AY332" i="25" s="1"/>
  <c r="AP332" i="25"/>
  <c r="BK332" i="25" s="1"/>
  <c r="AE332" i="25"/>
  <c r="AZ332" i="25" s="1"/>
  <c r="AQ332" i="25"/>
  <c r="BL332" i="25" s="1"/>
  <c r="AF332" i="25"/>
  <c r="BA332" i="25" s="1"/>
  <c r="AR332" i="25"/>
  <c r="BM332" i="25" s="1"/>
  <c r="AG332" i="25"/>
  <c r="BB332" i="25" s="1"/>
  <c r="AH332" i="25"/>
  <c r="BC332" i="25" s="1"/>
  <c r="AI332" i="25"/>
  <c r="BD332" i="25" s="1"/>
  <c r="AJ332" i="25"/>
  <c r="BE332" i="25" s="1"/>
  <c r="Y332" i="25"/>
  <c r="AT332" i="25" s="1"/>
  <c r="AK332" i="25"/>
  <c r="BF332" i="25" s="1"/>
  <c r="Z332" i="25"/>
  <c r="AL332" i="25"/>
  <c r="BG332" i="25" s="1"/>
  <c r="AA332" i="25"/>
  <c r="AV332" i="25" s="1"/>
  <c r="AM332" i="25"/>
  <c r="BH332" i="25" s="1"/>
  <c r="AB332" i="25"/>
  <c r="AW332" i="25" s="1"/>
  <c r="AN332" i="25"/>
  <c r="BI332" i="25" s="1"/>
  <c r="AC332" i="25"/>
  <c r="AX332" i="25" s="1"/>
  <c r="AO332" i="25"/>
  <c r="BJ332" i="25" s="1"/>
  <c r="AE125" i="25"/>
  <c r="AZ125" i="25" s="1"/>
  <c r="AQ125" i="25"/>
  <c r="BL125" i="25" s="1"/>
  <c r="AF125" i="25"/>
  <c r="BA125" i="25" s="1"/>
  <c r="AR125" i="25"/>
  <c r="BM125" i="25" s="1"/>
  <c r="AG125" i="25"/>
  <c r="BB125" i="25" s="1"/>
  <c r="AH125" i="25"/>
  <c r="BC125" i="25" s="1"/>
  <c r="AI125" i="25"/>
  <c r="BD125" i="25" s="1"/>
  <c r="AJ125" i="25"/>
  <c r="BE125" i="25" s="1"/>
  <c r="Y125" i="25"/>
  <c r="AT125" i="25" s="1"/>
  <c r="AK125" i="25"/>
  <c r="BF125" i="25" s="1"/>
  <c r="Z125" i="25"/>
  <c r="AL125" i="25"/>
  <c r="BG125" i="25" s="1"/>
  <c r="AA125" i="25"/>
  <c r="AV125" i="25" s="1"/>
  <c r="AM125" i="25"/>
  <c r="BH125" i="25" s="1"/>
  <c r="AB125" i="25"/>
  <c r="AW125" i="25" s="1"/>
  <c r="AN125" i="25"/>
  <c r="BI125" i="25" s="1"/>
  <c r="AC125" i="25"/>
  <c r="AX125" i="25" s="1"/>
  <c r="AO125" i="25"/>
  <c r="BJ125" i="25" s="1"/>
  <c r="AD125" i="25"/>
  <c r="AY125" i="25" s="1"/>
  <c r="AP125" i="25"/>
  <c r="BK125" i="25" s="1"/>
  <c r="AI213" i="25"/>
  <c r="BD213" i="25" s="1"/>
  <c r="AJ213" i="25"/>
  <c r="BE213" i="25" s="1"/>
  <c r="Y213" i="25"/>
  <c r="AT213" i="25" s="1"/>
  <c r="AK213" i="25"/>
  <c r="BF213" i="25" s="1"/>
  <c r="Z213" i="25"/>
  <c r="AL213" i="25"/>
  <c r="BG213" i="25" s="1"/>
  <c r="AA213" i="25"/>
  <c r="AV213" i="25" s="1"/>
  <c r="AM213" i="25"/>
  <c r="BH213" i="25" s="1"/>
  <c r="AB213" i="25"/>
  <c r="AW213" i="25" s="1"/>
  <c r="AN213" i="25"/>
  <c r="BI213" i="25" s="1"/>
  <c r="AC213" i="25"/>
  <c r="AX213" i="25" s="1"/>
  <c r="AO213" i="25"/>
  <c r="BJ213" i="25" s="1"/>
  <c r="AD213" i="25"/>
  <c r="AY213" i="25" s="1"/>
  <c r="AP213" i="25"/>
  <c r="BK213" i="25" s="1"/>
  <c r="AE213" i="25"/>
  <c r="AZ213" i="25" s="1"/>
  <c r="AQ213" i="25"/>
  <c r="BL213" i="25" s="1"/>
  <c r="AF213" i="25"/>
  <c r="BA213" i="25" s="1"/>
  <c r="AR213" i="25"/>
  <c r="BM213" i="25" s="1"/>
  <c r="AG213" i="25"/>
  <c r="BB213" i="25" s="1"/>
  <c r="AH213" i="25"/>
  <c r="BC213" i="25" s="1"/>
  <c r="AH285" i="25"/>
  <c r="BC285" i="25" s="1"/>
  <c r="AI285" i="25"/>
  <c r="BD285" i="25" s="1"/>
  <c r="AJ285" i="25"/>
  <c r="BE285" i="25" s="1"/>
  <c r="Y285" i="25"/>
  <c r="AT285" i="25" s="1"/>
  <c r="AK285" i="25"/>
  <c r="BF285" i="25" s="1"/>
  <c r="Z285" i="25"/>
  <c r="AL285" i="25"/>
  <c r="BG285" i="25" s="1"/>
  <c r="AA285" i="25"/>
  <c r="AV285" i="25" s="1"/>
  <c r="AM285" i="25"/>
  <c r="BH285" i="25" s="1"/>
  <c r="AB285" i="25"/>
  <c r="AW285" i="25" s="1"/>
  <c r="AN285" i="25"/>
  <c r="BI285" i="25" s="1"/>
  <c r="AC285" i="25"/>
  <c r="AX285" i="25" s="1"/>
  <c r="AO285" i="25"/>
  <c r="BJ285" i="25" s="1"/>
  <c r="AD285" i="25"/>
  <c r="AY285" i="25" s="1"/>
  <c r="AP285" i="25"/>
  <c r="BK285" i="25" s="1"/>
  <c r="AE285" i="25"/>
  <c r="AZ285" i="25" s="1"/>
  <c r="AQ285" i="25"/>
  <c r="BL285" i="25" s="1"/>
  <c r="AF285" i="25"/>
  <c r="BA285" i="25" s="1"/>
  <c r="AR285" i="25"/>
  <c r="BM285" i="25" s="1"/>
  <c r="AG285" i="25"/>
  <c r="BB285" i="25" s="1"/>
  <c r="AH357" i="25"/>
  <c r="BC357" i="25" s="1"/>
  <c r="AI357" i="25"/>
  <c r="BD357" i="25" s="1"/>
  <c r="AJ357" i="25"/>
  <c r="BE357" i="25" s="1"/>
  <c r="Y357" i="25"/>
  <c r="AT357" i="25" s="1"/>
  <c r="AK357" i="25"/>
  <c r="BF357" i="25" s="1"/>
  <c r="Z357" i="25"/>
  <c r="AL357" i="25"/>
  <c r="BG357" i="25" s="1"/>
  <c r="AA357" i="25"/>
  <c r="AV357" i="25" s="1"/>
  <c r="AM357" i="25"/>
  <c r="BH357" i="25" s="1"/>
  <c r="AB357" i="25"/>
  <c r="AW357" i="25" s="1"/>
  <c r="AN357" i="25"/>
  <c r="BI357" i="25" s="1"/>
  <c r="AC357" i="25"/>
  <c r="AX357" i="25" s="1"/>
  <c r="AO357" i="25"/>
  <c r="BJ357" i="25" s="1"/>
  <c r="AD357" i="25"/>
  <c r="AY357" i="25" s="1"/>
  <c r="AP357" i="25"/>
  <c r="BK357" i="25" s="1"/>
  <c r="AE357" i="25"/>
  <c r="AZ357" i="25" s="1"/>
  <c r="AQ357" i="25"/>
  <c r="BL357" i="25" s="1"/>
  <c r="AF357" i="25"/>
  <c r="BA357" i="25" s="1"/>
  <c r="AR357" i="25"/>
  <c r="BM357" i="25" s="1"/>
  <c r="AG357" i="25"/>
  <c r="BB357" i="25" s="1"/>
  <c r="AC173" i="26"/>
  <c r="AX173" i="26" s="1"/>
  <c r="AO173" i="26"/>
  <c r="BJ173" i="26" s="1"/>
  <c r="AD173" i="26"/>
  <c r="AY173" i="26" s="1"/>
  <c r="AP173" i="26"/>
  <c r="BK173" i="26" s="1"/>
  <c r="AE173" i="26"/>
  <c r="AZ173" i="26" s="1"/>
  <c r="AQ173" i="26"/>
  <c r="BL173" i="26" s="1"/>
  <c r="AF173" i="26"/>
  <c r="BA173" i="26" s="1"/>
  <c r="AR173" i="26"/>
  <c r="BM173" i="26" s="1"/>
  <c r="AG173" i="26"/>
  <c r="BB173" i="26" s="1"/>
  <c r="AH173" i="26"/>
  <c r="BC173" i="26" s="1"/>
  <c r="AI173" i="26"/>
  <c r="BD173" i="26" s="1"/>
  <c r="AJ173" i="26"/>
  <c r="BE173" i="26" s="1"/>
  <c r="Y173" i="26"/>
  <c r="AT173" i="26" s="1"/>
  <c r="AK173" i="26"/>
  <c r="BF173" i="26" s="1"/>
  <c r="Z173" i="26"/>
  <c r="AL173" i="26"/>
  <c r="BG173" i="26" s="1"/>
  <c r="AA173" i="26"/>
  <c r="AV173" i="26" s="1"/>
  <c r="AM173" i="26"/>
  <c r="BH173" i="26" s="1"/>
  <c r="AN173" i="26"/>
  <c r="BI173" i="26" s="1"/>
  <c r="AB173" i="26"/>
  <c r="AW173" i="26" s="1"/>
  <c r="AC245" i="26"/>
  <c r="AX245" i="26" s="1"/>
  <c r="AO245" i="26"/>
  <c r="BJ245" i="26" s="1"/>
  <c r="AD245" i="26"/>
  <c r="AY245" i="26" s="1"/>
  <c r="AP245" i="26"/>
  <c r="BK245" i="26" s="1"/>
  <c r="AE245" i="26"/>
  <c r="AZ245" i="26" s="1"/>
  <c r="AQ245" i="26"/>
  <c r="BL245" i="26" s="1"/>
  <c r="AF245" i="26"/>
  <c r="BA245" i="26" s="1"/>
  <c r="AR245" i="26"/>
  <c r="BM245" i="26" s="1"/>
  <c r="AG245" i="26"/>
  <c r="BB245" i="26" s="1"/>
  <c r="AH245" i="26"/>
  <c r="BC245" i="26" s="1"/>
  <c r="AI245" i="26"/>
  <c r="BD245" i="26" s="1"/>
  <c r="AJ245" i="26"/>
  <c r="BE245" i="26" s="1"/>
  <c r="Y245" i="26"/>
  <c r="AT245" i="26" s="1"/>
  <c r="AK245" i="26"/>
  <c r="BF245" i="26" s="1"/>
  <c r="Z245" i="26"/>
  <c r="AL245" i="26"/>
  <c r="BG245" i="26" s="1"/>
  <c r="AA245" i="26"/>
  <c r="AV245" i="26" s="1"/>
  <c r="AM245" i="26"/>
  <c r="BH245" i="26" s="1"/>
  <c r="AN245" i="26"/>
  <c r="BI245" i="26" s="1"/>
  <c r="AB245" i="26"/>
  <c r="AW245" i="26" s="1"/>
  <c r="AC317" i="26"/>
  <c r="AX317" i="26" s="1"/>
  <c r="AO317" i="26"/>
  <c r="BJ317" i="26" s="1"/>
  <c r="AD317" i="26"/>
  <c r="AY317" i="26" s="1"/>
  <c r="AP317" i="26"/>
  <c r="BK317" i="26" s="1"/>
  <c r="AE317" i="26"/>
  <c r="AZ317" i="26" s="1"/>
  <c r="AQ317" i="26"/>
  <c r="BL317" i="26" s="1"/>
  <c r="AF317" i="26"/>
  <c r="BA317" i="26" s="1"/>
  <c r="AR317" i="26"/>
  <c r="BM317" i="26" s="1"/>
  <c r="AG317" i="26"/>
  <c r="BB317" i="26" s="1"/>
  <c r="AH317" i="26"/>
  <c r="BC317" i="26" s="1"/>
  <c r="AI317" i="26"/>
  <c r="BD317" i="26" s="1"/>
  <c r="AJ317" i="26"/>
  <c r="BE317" i="26" s="1"/>
  <c r="Y317" i="26"/>
  <c r="AT317" i="26" s="1"/>
  <c r="AK317" i="26"/>
  <c r="BF317" i="26" s="1"/>
  <c r="Z317" i="26"/>
  <c r="AL317" i="26"/>
  <c r="BG317" i="26" s="1"/>
  <c r="AA317" i="26"/>
  <c r="AV317" i="26" s="1"/>
  <c r="AM317" i="26"/>
  <c r="BH317" i="26" s="1"/>
  <c r="AN317" i="26"/>
  <c r="BI317" i="26" s="1"/>
  <c r="AB317" i="26"/>
  <c r="AW317" i="26" s="1"/>
  <c r="AG210" i="26"/>
  <c r="BB210" i="26" s="1"/>
  <c r="AH210" i="26"/>
  <c r="BC210" i="26" s="1"/>
  <c r="AI210" i="26"/>
  <c r="BD210" i="26" s="1"/>
  <c r="AJ210" i="26"/>
  <c r="BE210" i="26" s="1"/>
  <c r="Y210" i="26"/>
  <c r="AT210" i="26" s="1"/>
  <c r="AK210" i="26"/>
  <c r="BF210" i="26" s="1"/>
  <c r="Z210" i="26"/>
  <c r="AL210" i="26"/>
  <c r="BG210" i="26" s="1"/>
  <c r="AA210" i="26"/>
  <c r="AV210" i="26" s="1"/>
  <c r="AM210" i="26"/>
  <c r="BH210" i="26" s="1"/>
  <c r="AB210" i="26"/>
  <c r="AW210" i="26" s="1"/>
  <c r="AN210" i="26"/>
  <c r="BI210" i="26" s="1"/>
  <c r="AC210" i="26"/>
  <c r="AX210" i="26" s="1"/>
  <c r="AO210" i="26"/>
  <c r="BJ210" i="26" s="1"/>
  <c r="AD210" i="26"/>
  <c r="AY210" i="26" s="1"/>
  <c r="AP210" i="26"/>
  <c r="BK210" i="26" s="1"/>
  <c r="AE210" i="26"/>
  <c r="AZ210" i="26" s="1"/>
  <c r="AQ210" i="26"/>
  <c r="BL210" i="26" s="1"/>
  <c r="AF210" i="26"/>
  <c r="BA210" i="26" s="1"/>
  <c r="AR210" i="26"/>
  <c r="BM210" i="26" s="1"/>
  <c r="AG282" i="26"/>
  <c r="BB282" i="26" s="1"/>
  <c r="AH282" i="26"/>
  <c r="BC282" i="26" s="1"/>
  <c r="AI282" i="26"/>
  <c r="BD282" i="26" s="1"/>
  <c r="AJ282" i="26"/>
  <c r="BE282" i="26" s="1"/>
  <c r="Y282" i="26"/>
  <c r="AT282" i="26" s="1"/>
  <c r="AK282" i="26"/>
  <c r="BF282" i="26" s="1"/>
  <c r="Z282" i="26"/>
  <c r="AL282" i="26"/>
  <c r="BG282" i="26" s="1"/>
  <c r="AA282" i="26"/>
  <c r="AV282" i="26" s="1"/>
  <c r="AM282" i="26"/>
  <c r="BH282" i="26" s="1"/>
  <c r="AB282" i="26"/>
  <c r="AW282" i="26" s="1"/>
  <c r="AN282" i="26"/>
  <c r="BI282" i="26" s="1"/>
  <c r="AC282" i="26"/>
  <c r="AX282" i="26" s="1"/>
  <c r="AO282" i="26"/>
  <c r="BJ282" i="26" s="1"/>
  <c r="AD282" i="26"/>
  <c r="AY282" i="26" s="1"/>
  <c r="AP282" i="26"/>
  <c r="BK282" i="26" s="1"/>
  <c r="AE282" i="26"/>
  <c r="AZ282" i="26" s="1"/>
  <c r="AQ282" i="26"/>
  <c r="BL282" i="26" s="1"/>
  <c r="AF282" i="26"/>
  <c r="BA282" i="26" s="1"/>
  <c r="AR282" i="26"/>
  <c r="BM282" i="26" s="1"/>
  <c r="AH354" i="26"/>
  <c r="BC354" i="26" s="1"/>
  <c r="AI354" i="26"/>
  <c r="BD354" i="26" s="1"/>
  <c r="AJ354" i="26"/>
  <c r="BE354" i="26" s="1"/>
  <c r="Y354" i="26"/>
  <c r="AT354" i="26" s="1"/>
  <c r="AK354" i="26"/>
  <c r="BF354" i="26" s="1"/>
  <c r="Z354" i="26"/>
  <c r="AL354" i="26"/>
  <c r="BG354" i="26" s="1"/>
  <c r="AA354" i="26"/>
  <c r="AV354" i="26" s="1"/>
  <c r="AM354" i="26"/>
  <c r="BH354" i="26" s="1"/>
  <c r="AB354" i="26"/>
  <c r="AW354" i="26" s="1"/>
  <c r="AN354" i="26"/>
  <c r="BI354" i="26" s="1"/>
  <c r="AC354" i="26"/>
  <c r="AX354" i="26" s="1"/>
  <c r="AO354" i="26"/>
  <c r="BJ354" i="26" s="1"/>
  <c r="AD354" i="26"/>
  <c r="AY354" i="26" s="1"/>
  <c r="AP354" i="26"/>
  <c r="BK354" i="26" s="1"/>
  <c r="AE354" i="26"/>
  <c r="AZ354" i="26" s="1"/>
  <c r="AQ354" i="26"/>
  <c r="BL354" i="26" s="1"/>
  <c r="AF354" i="26"/>
  <c r="BA354" i="26" s="1"/>
  <c r="AR354" i="26"/>
  <c r="BM354" i="26" s="1"/>
  <c r="AG354" i="26"/>
  <c r="BB354" i="26" s="1"/>
  <c r="Y175" i="26"/>
  <c r="AT175" i="26" s="1"/>
  <c r="AK175" i="26"/>
  <c r="BF175" i="26" s="1"/>
  <c r="Z175" i="26"/>
  <c r="AL175" i="26"/>
  <c r="BG175" i="26" s="1"/>
  <c r="AA175" i="26"/>
  <c r="AV175" i="26" s="1"/>
  <c r="AM175" i="26"/>
  <c r="BH175" i="26" s="1"/>
  <c r="AB175" i="26"/>
  <c r="AW175" i="26" s="1"/>
  <c r="AN175" i="26"/>
  <c r="BI175" i="26" s="1"/>
  <c r="AC175" i="26"/>
  <c r="AX175" i="26" s="1"/>
  <c r="AO175" i="26"/>
  <c r="BJ175" i="26" s="1"/>
  <c r="AD175" i="26"/>
  <c r="AY175" i="26" s="1"/>
  <c r="AP175" i="26"/>
  <c r="BK175" i="26" s="1"/>
  <c r="AE175" i="26"/>
  <c r="AZ175" i="26" s="1"/>
  <c r="AQ175" i="26"/>
  <c r="BL175" i="26" s="1"/>
  <c r="AF175" i="26"/>
  <c r="BA175" i="26" s="1"/>
  <c r="AR175" i="26"/>
  <c r="BM175" i="26" s="1"/>
  <c r="AG175" i="26"/>
  <c r="BB175" i="26" s="1"/>
  <c r="AH175" i="26"/>
  <c r="BC175" i="26" s="1"/>
  <c r="AI175" i="26"/>
  <c r="BD175" i="26" s="1"/>
  <c r="AJ175" i="26"/>
  <c r="BE175" i="26" s="1"/>
  <c r="Y247" i="26"/>
  <c r="AT247" i="26" s="1"/>
  <c r="AK247" i="26"/>
  <c r="BF247" i="26" s="1"/>
  <c r="Z247" i="26"/>
  <c r="AL247" i="26"/>
  <c r="BG247" i="26" s="1"/>
  <c r="AA247" i="26"/>
  <c r="AV247" i="26" s="1"/>
  <c r="AM247" i="26"/>
  <c r="BH247" i="26" s="1"/>
  <c r="AB247" i="26"/>
  <c r="AW247" i="26" s="1"/>
  <c r="AN247" i="26"/>
  <c r="BI247" i="26" s="1"/>
  <c r="AC247" i="26"/>
  <c r="AX247" i="26" s="1"/>
  <c r="AO247" i="26"/>
  <c r="BJ247" i="26" s="1"/>
  <c r="AD247" i="26"/>
  <c r="AY247" i="26" s="1"/>
  <c r="AP247" i="26"/>
  <c r="BK247" i="26" s="1"/>
  <c r="AE247" i="26"/>
  <c r="AZ247" i="26" s="1"/>
  <c r="AQ247" i="26"/>
  <c r="BL247" i="26" s="1"/>
  <c r="AF247" i="26"/>
  <c r="BA247" i="26" s="1"/>
  <c r="AR247" i="26"/>
  <c r="BM247" i="26" s="1"/>
  <c r="AG247" i="26"/>
  <c r="BB247" i="26" s="1"/>
  <c r="AH247" i="26"/>
  <c r="BC247" i="26" s="1"/>
  <c r="AI247" i="26"/>
  <c r="BD247" i="26" s="1"/>
  <c r="AJ247" i="26"/>
  <c r="BE247" i="26" s="1"/>
  <c r="Y319" i="26"/>
  <c r="AT319" i="26" s="1"/>
  <c r="AK319" i="26"/>
  <c r="BF319" i="26" s="1"/>
  <c r="Z319" i="26"/>
  <c r="AL319" i="26"/>
  <c r="BG319" i="26" s="1"/>
  <c r="AA319" i="26"/>
  <c r="AV319" i="26" s="1"/>
  <c r="AM319" i="26"/>
  <c r="BH319" i="26" s="1"/>
  <c r="AB319" i="26"/>
  <c r="AW319" i="26" s="1"/>
  <c r="AN319" i="26"/>
  <c r="BI319" i="26" s="1"/>
  <c r="AC319" i="26"/>
  <c r="AX319" i="26" s="1"/>
  <c r="AO319" i="26"/>
  <c r="BJ319" i="26" s="1"/>
  <c r="AD319" i="26"/>
  <c r="AY319" i="26" s="1"/>
  <c r="AP319" i="26"/>
  <c r="BK319" i="26" s="1"/>
  <c r="AE319" i="26"/>
  <c r="AZ319" i="26" s="1"/>
  <c r="AQ319" i="26"/>
  <c r="BL319" i="26" s="1"/>
  <c r="AF319" i="26"/>
  <c r="BA319" i="26" s="1"/>
  <c r="AR319" i="26"/>
  <c r="BM319" i="26" s="1"/>
  <c r="AG319" i="26"/>
  <c r="BB319" i="26" s="1"/>
  <c r="AH319" i="26"/>
  <c r="BC319" i="26" s="1"/>
  <c r="AI319" i="26"/>
  <c r="BD319" i="26" s="1"/>
  <c r="AJ319" i="26"/>
  <c r="BE319" i="26" s="1"/>
  <c r="AC218" i="26"/>
  <c r="AX218" i="26" s="1"/>
  <c r="AO218" i="26"/>
  <c r="BJ218" i="26" s="1"/>
  <c r="AD218" i="26"/>
  <c r="AY218" i="26" s="1"/>
  <c r="AP218" i="26"/>
  <c r="BK218" i="26" s="1"/>
  <c r="AE218" i="26"/>
  <c r="AZ218" i="26" s="1"/>
  <c r="AQ218" i="26"/>
  <c r="BL218" i="26" s="1"/>
  <c r="AF218" i="26"/>
  <c r="BA218" i="26" s="1"/>
  <c r="AR218" i="26"/>
  <c r="BM218" i="26" s="1"/>
  <c r="AG218" i="26"/>
  <c r="BB218" i="26" s="1"/>
  <c r="AH218" i="26"/>
  <c r="BC218" i="26" s="1"/>
  <c r="AI218" i="26"/>
  <c r="BD218" i="26" s="1"/>
  <c r="AJ218" i="26"/>
  <c r="BE218" i="26" s="1"/>
  <c r="Y218" i="26"/>
  <c r="AT218" i="26" s="1"/>
  <c r="AK218" i="26"/>
  <c r="BF218" i="26" s="1"/>
  <c r="Z218" i="26"/>
  <c r="AL218" i="26"/>
  <c r="BG218" i="26" s="1"/>
  <c r="AA218" i="26"/>
  <c r="AV218" i="26" s="1"/>
  <c r="AM218" i="26"/>
  <c r="BH218" i="26" s="1"/>
  <c r="AB218" i="26"/>
  <c r="AW218" i="26" s="1"/>
  <c r="AN218" i="26"/>
  <c r="BI218" i="26" s="1"/>
  <c r="AC290" i="26"/>
  <c r="AX290" i="26" s="1"/>
  <c r="AO290" i="26"/>
  <c r="BJ290" i="26" s="1"/>
  <c r="AD290" i="26"/>
  <c r="AY290" i="26" s="1"/>
  <c r="AP290" i="26"/>
  <c r="BK290" i="26" s="1"/>
  <c r="AE290" i="26"/>
  <c r="AZ290" i="26" s="1"/>
  <c r="AQ290" i="26"/>
  <c r="BL290" i="26" s="1"/>
  <c r="AF290" i="26"/>
  <c r="BA290" i="26" s="1"/>
  <c r="AR290" i="26"/>
  <c r="BM290" i="26" s="1"/>
  <c r="AG290" i="26"/>
  <c r="BB290" i="26" s="1"/>
  <c r="AH290" i="26"/>
  <c r="BC290" i="26" s="1"/>
  <c r="AI290" i="26"/>
  <c r="BD290" i="26" s="1"/>
  <c r="AJ290" i="26"/>
  <c r="BE290" i="26" s="1"/>
  <c r="Y290" i="26"/>
  <c r="AT290" i="26" s="1"/>
  <c r="AK290" i="26"/>
  <c r="BF290" i="26" s="1"/>
  <c r="Z290" i="26"/>
  <c r="AL290" i="26"/>
  <c r="BG290" i="26" s="1"/>
  <c r="AA290" i="26"/>
  <c r="AV290" i="26" s="1"/>
  <c r="AM290" i="26"/>
  <c r="BH290" i="26" s="1"/>
  <c r="AB290" i="26"/>
  <c r="AW290" i="26" s="1"/>
  <c r="AN290" i="26"/>
  <c r="BI290" i="26" s="1"/>
  <c r="AD362" i="26"/>
  <c r="AP362" i="26"/>
  <c r="AE362" i="26"/>
  <c r="AQ362" i="26"/>
  <c r="AF362" i="26"/>
  <c r="AR362" i="26"/>
  <c r="AG362" i="26"/>
  <c r="AH362" i="26"/>
  <c r="AI362" i="26"/>
  <c r="AJ362" i="26"/>
  <c r="Y362" i="26"/>
  <c r="AT362" i="26" s="1"/>
  <c r="AK362" i="26"/>
  <c r="Z362" i="26"/>
  <c r="AL362" i="26"/>
  <c r="AA362" i="26"/>
  <c r="AM362" i="26"/>
  <c r="AB362" i="26"/>
  <c r="AN362" i="26"/>
  <c r="AC362" i="26"/>
  <c r="AO362" i="26"/>
  <c r="AG189" i="26"/>
  <c r="BB189" i="26" s="1"/>
  <c r="AH189" i="26"/>
  <c r="BC189" i="26" s="1"/>
  <c r="AI189" i="26"/>
  <c r="BD189" i="26" s="1"/>
  <c r="AJ189" i="26"/>
  <c r="BE189" i="26" s="1"/>
  <c r="Y189" i="26"/>
  <c r="AT189" i="26" s="1"/>
  <c r="AK189" i="26"/>
  <c r="BF189" i="26" s="1"/>
  <c r="Z189" i="26"/>
  <c r="AL189" i="26"/>
  <c r="BG189" i="26" s="1"/>
  <c r="AA189" i="26"/>
  <c r="AV189" i="26" s="1"/>
  <c r="AM189" i="26"/>
  <c r="BH189" i="26" s="1"/>
  <c r="AB189" i="26"/>
  <c r="AW189" i="26" s="1"/>
  <c r="AN189" i="26"/>
  <c r="BI189" i="26" s="1"/>
  <c r="AC189" i="26"/>
  <c r="AX189" i="26" s="1"/>
  <c r="AO189" i="26"/>
  <c r="BJ189" i="26" s="1"/>
  <c r="AD189" i="26"/>
  <c r="AY189" i="26" s="1"/>
  <c r="AP189" i="26"/>
  <c r="BK189" i="26" s="1"/>
  <c r="AE189" i="26"/>
  <c r="AZ189" i="26" s="1"/>
  <c r="AQ189" i="26"/>
  <c r="BL189" i="26" s="1"/>
  <c r="AF189" i="26"/>
  <c r="BA189" i="26" s="1"/>
  <c r="AR189" i="26"/>
  <c r="BM189" i="26" s="1"/>
  <c r="AG261" i="26"/>
  <c r="BB261" i="26" s="1"/>
  <c r="AH261" i="26"/>
  <c r="BC261" i="26" s="1"/>
  <c r="AI261" i="26"/>
  <c r="BD261" i="26" s="1"/>
  <c r="AJ261" i="26"/>
  <c r="BE261" i="26" s="1"/>
  <c r="Y261" i="26"/>
  <c r="AT261" i="26" s="1"/>
  <c r="AK261" i="26"/>
  <c r="BF261" i="26" s="1"/>
  <c r="Z261" i="26"/>
  <c r="AL261" i="26"/>
  <c r="BG261" i="26" s="1"/>
  <c r="AA261" i="26"/>
  <c r="AV261" i="26" s="1"/>
  <c r="AM261" i="26"/>
  <c r="BH261" i="26" s="1"/>
  <c r="AB261" i="26"/>
  <c r="AW261" i="26" s="1"/>
  <c r="AN261" i="26"/>
  <c r="BI261" i="26" s="1"/>
  <c r="AC261" i="26"/>
  <c r="AX261" i="26" s="1"/>
  <c r="AO261" i="26"/>
  <c r="BJ261" i="26" s="1"/>
  <c r="AD261" i="26"/>
  <c r="AY261" i="26" s="1"/>
  <c r="AP261" i="26"/>
  <c r="BK261" i="26" s="1"/>
  <c r="AE261" i="26"/>
  <c r="AZ261" i="26" s="1"/>
  <c r="AQ261" i="26"/>
  <c r="BL261" i="26" s="1"/>
  <c r="AF261" i="26"/>
  <c r="BA261" i="26" s="1"/>
  <c r="AR261" i="26"/>
  <c r="BM261" i="26" s="1"/>
  <c r="AH333" i="26"/>
  <c r="BC333" i="26" s="1"/>
  <c r="AI333" i="26"/>
  <c r="BD333" i="26" s="1"/>
  <c r="AJ333" i="26"/>
  <c r="BE333" i="26" s="1"/>
  <c r="Y333" i="26"/>
  <c r="AT333" i="26" s="1"/>
  <c r="AK333" i="26"/>
  <c r="BF333" i="26" s="1"/>
  <c r="Z333" i="26"/>
  <c r="AL333" i="26"/>
  <c r="BG333" i="26" s="1"/>
  <c r="AA333" i="26"/>
  <c r="AV333" i="26" s="1"/>
  <c r="AM333" i="26"/>
  <c r="BH333" i="26" s="1"/>
  <c r="AB333" i="26"/>
  <c r="AW333" i="26" s="1"/>
  <c r="AN333" i="26"/>
  <c r="BI333" i="26" s="1"/>
  <c r="AC333" i="26"/>
  <c r="AX333" i="26" s="1"/>
  <c r="AO333" i="26"/>
  <c r="BJ333" i="26" s="1"/>
  <c r="AD333" i="26"/>
  <c r="AY333" i="26" s="1"/>
  <c r="AP333" i="26"/>
  <c r="BK333" i="26" s="1"/>
  <c r="AE333" i="26"/>
  <c r="AZ333" i="26" s="1"/>
  <c r="AQ333" i="26"/>
  <c r="BL333" i="26" s="1"/>
  <c r="AF333" i="26"/>
  <c r="BA333" i="26" s="1"/>
  <c r="AR333" i="26"/>
  <c r="BM333" i="26" s="1"/>
  <c r="AG333" i="26"/>
  <c r="BB333" i="26" s="1"/>
  <c r="Y232" i="26"/>
  <c r="AT232" i="26" s="1"/>
  <c r="AK232" i="26"/>
  <c r="BF232" i="26" s="1"/>
  <c r="Z232" i="26"/>
  <c r="AL232" i="26"/>
  <c r="BG232" i="26" s="1"/>
  <c r="AA232" i="26"/>
  <c r="AV232" i="26" s="1"/>
  <c r="AM232" i="26"/>
  <c r="BH232" i="26" s="1"/>
  <c r="AB232" i="26"/>
  <c r="AW232" i="26" s="1"/>
  <c r="AN232" i="26"/>
  <c r="BI232" i="26" s="1"/>
  <c r="AC232" i="26"/>
  <c r="AX232" i="26" s="1"/>
  <c r="AO232" i="26"/>
  <c r="BJ232" i="26" s="1"/>
  <c r="AD232" i="26"/>
  <c r="AY232" i="26" s="1"/>
  <c r="AP232" i="26"/>
  <c r="BK232" i="26" s="1"/>
  <c r="AE232" i="26"/>
  <c r="AZ232" i="26" s="1"/>
  <c r="AQ232" i="26"/>
  <c r="BL232" i="26" s="1"/>
  <c r="AF232" i="26"/>
  <c r="BA232" i="26" s="1"/>
  <c r="AR232" i="26"/>
  <c r="BM232" i="26" s="1"/>
  <c r="AG232" i="26"/>
  <c r="BB232" i="26" s="1"/>
  <c r="AH232" i="26"/>
  <c r="BC232" i="26" s="1"/>
  <c r="AI232" i="26"/>
  <c r="BD232" i="26" s="1"/>
  <c r="AJ232" i="26"/>
  <c r="BE232" i="26" s="1"/>
  <c r="Y304" i="26"/>
  <c r="AT304" i="26" s="1"/>
  <c r="AK304" i="26"/>
  <c r="BF304" i="26" s="1"/>
  <c r="Z304" i="26"/>
  <c r="AL304" i="26"/>
  <c r="BG304" i="26" s="1"/>
  <c r="AA304" i="26"/>
  <c r="AV304" i="26" s="1"/>
  <c r="AM304" i="26"/>
  <c r="BH304" i="26" s="1"/>
  <c r="AB304" i="26"/>
  <c r="AW304" i="26" s="1"/>
  <c r="AN304" i="26"/>
  <c r="BI304" i="26" s="1"/>
  <c r="AC304" i="26"/>
  <c r="AX304" i="26" s="1"/>
  <c r="AO304" i="26"/>
  <c r="BJ304" i="26" s="1"/>
  <c r="AD304" i="26"/>
  <c r="AY304" i="26" s="1"/>
  <c r="AP304" i="26"/>
  <c r="BK304" i="26" s="1"/>
  <c r="AE304" i="26"/>
  <c r="AZ304" i="26" s="1"/>
  <c r="AQ304" i="26"/>
  <c r="BL304" i="26" s="1"/>
  <c r="AF304" i="26"/>
  <c r="BA304" i="26" s="1"/>
  <c r="AR304" i="26"/>
  <c r="BM304" i="26" s="1"/>
  <c r="AG304" i="26"/>
  <c r="BB304" i="26" s="1"/>
  <c r="AH304" i="26"/>
  <c r="BC304" i="26" s="1"/>
  <c r="AI304" i="26"/>
  <c r="BD304" i="26" s="1"/>
  <c r="AJ304" i="26"/>
  <c r="BE304" i="26" s="1"/>
  <c r="Z376" i="26"/>
  <c r="AL376" i="26"/>
  <c r="BG376" i="26" s="1"/>
  <c r="AA376" i="26"/>
  <c r="AV376" i="26" s="1"/>
  <c r="AM376" i="26"/>
  <c r="BH376" i="26" s="1"/>
  <c r="AB376" i="26"/>
  <c r="AW376" i="26" s="1"/>
  <c r="AN376" i="26"/>
  <c r="BI376" i="26" s="1"/>
  <c r="AC376" i="26"/>
  <c r="AX376" i="26" s="1"/>
  <c r="AO376" i="26"/>
  <c r="BJ376" i="26" s="1"/>
  <c r="AD376" i="26"/>
  <c r="AY376" i="26" s="1"/>
  <c r="AP376" i="26"/>
  <c r="BK376" i="26" s="1"/>
  <c r="AE376" i="26"/>
  <c r="AZ376" i="26" s="1"/>
  <c r="AQ376" i="26"/>
  <c r="BL376" i="26" s="1"/>
  <c r="AF376" i="26"/>
  <c r="BA376" i="26" s="1"/>
  <c r="AR376" i="26"/>
  <c r="BM376" i="26" s="1"/>
  <c r="AG376" i="26"/>
  <c r="BB376" i="26" s="1"/>
  <c r="AH376" i="26"/>
  <c r="BC376" i="26" s="1"/>
  <c r="AI376" i="26"/>
  <c r="BD376" i="26" s="1"/>
  <c r="AJ376" i="26"/>
  <c r="BE376" i="26" s="1"/>
  <c r="Y376" i="26"/>
  <c r="AT376" i="26" s="1"/>
  <c r="AK376" i="26"/>
  <c r="BF376" i="26" s="1"/>
  <c r="AJ238" i="27"/>
  <c r="BE238" i="27" s="1"/>
  <c r="AK238" i="27"/>
  <c r="BF238" i="27" s="1"/>
  <c r="Z238" i="27"/>
  <c r="AL238" i="27"/>
  <c r="BG238" i="27" s="1"/>
  <c r="AA238" i="27"/>
  <c r="AV238" i="27" s="1"/>
  <c r="AM238" i="27"/>
  <c r="BH238" i="27" s="1"/>
  <c r="AB238" i="27"/>
  <c r="AW238" i="27" s="1"/>
  <c r="AN238" i="27"/>
  <c r="BI238" i="27" s="1"/>
  <c r="AC238" i="27"/>
  <c r="AX238" i="27" s="1"/>
  <c r="AO238" i="27"/>
  <c r="BJ238" i="27" s="1"/>
  <c r="AD238" i="27"/>
  <c r="AY238" i="27" s="1"/>
  <c r="AP238" i="27"/>
  <c r="BK238" i="27" s="1"/>
  <c r="AE238" i="27"/>
  <c r="AZ238" i="27" s="1"/>
  <c r="AQ238" i="27"/>
  <c r="BL238" i="27" s="1"/>
  <c r="AF238" i="27"/>
  <c r="BA238" i="27" s="1"/>
  <c r="AR238" i="27"/>
  <c r="BM238" i="27" s="1"/>
  <c r="AG238" i="27"/>
  <c r="BB238" i="27" s="1"/>
  <c r="AH238" i="27"/>
  <c r="BC238" i="27" s="1"/>
  <c r="AI238" i="27"/>
  <c r="BD238" i="27" s="1"/>
  <c r="Y238" i="27"/>
  <c r="AT238" i="27" s="1"/>
  <c r="AJ308" i="27"/>
  <c r="BE308" i="27" s="1"/>
  <c r="AK308" i="27"/>
  <c r="BF308" i="27" s="1"/>
  <c r="Z308" i="27"/>
  <c r="AL308" i="27"/>
  <c r="BG308" i="27" s="1"/>
  <c r="AA308" i="27"/>
  <c r="AV308" i="27" s="1"/>
  <c r="AM308" i="27"/>
  <c r="BH308" i="27" s="1"/>
  <c r="AB308" i="27"/>
  <c r="AW308" i="27" s="1"/>
  <c r="AN308" i="27"/>
  <c r="BI308" i="27" s="1"/>
  <c r="AC308" i="27"/>
  <c r="AX308" i="27" s="1"/>
  <c r="AO308" i="27"/>
  <c r="BJ308" i="27" s="1"/>
  <c r="AD308" i="27"/>
  <c r="AY308" i="27" s="1"/>
  <c r="AP308" i="27"/>
  <c r="BK308" i="27" s="1"/>
  <c r="AE308" i="27"/>
  <c r="AZ308" i="27" s="1"/>
  <c r="AQ308" i="27"/>
  <c r="BL308" i="27" s="1"/>
  <c r="AF308" i="27"/>
  <c r="BA308" i="27" s="1"/>
  <c r="AR308" i="27"/>
  <c r="BM308" i="27" s="1"/>
  <c r="AG308" i="27"/>
  <c r="BB308" i="27" s="1"/>
  <c r="AH308" i="27"/>
  <c r="BC308" i="27" s="1"/>
  <c r="Y308" i="27"/>
  <c r="AT308" i="27" s="1"/>
  <c r="AI308" i="27"/>
  <c r="BD308" i="27" s="1"/>
  <c r="AJ380" i="27"/>
  <c r="BE380" i="27" s="1"/>
  <c r="AK380" i="27"/>
  <c r="BF380" i="27" s="1"/>
  <c r="AA380" i="27"/>
  <c r="AV380" i="27" s="1"/>
  <c r="AM380" i="27"/>
  <c r="BH380" i="27" s="1"/>
  <c r="AB380" i="27"/>
  <c r="AW380" i="27" s="1"/>
  <c r="AN380" i="27"/>
  <c r="BI380" i="27" s="1"/>
  <c r="AC380" i="27"/>
  <c r="AX380" i="27" s="1"/>
  <c r="AO380" i="27"/>
  <c r="BJ380" i="27" s="1"/>
  <c r="AD380" i="27"/>
  <c r="AY380" i="27" s="1"/>
  <c r="AP380" i="27"/>
  <c r="BK380" i="27" s="1"/>
  <c r="AE380" i="27"/>
  <c r="AZ380" i="27" s="1"/>
  <c r="AQ380" i="27"/>
  <c r="BL380" i="27" s="1"/>
  <c r="AG380" i="27"/>
  <c r="BB380" i="27" s="1"/>
  <c r="AH380" i="27"/>
  <c r="BC380" i="27" s="1"/>
  <c r="Z380" i="27"/>
  <c r="AF380" i="27"/>
  <c r="BA380" i="27" s="1"/>
  <c r="AI380" i="27"/>
  <c r="BD380" i="27" s="1"/>
  <c r="AL380" i="27"/>
  <c r="BG380" i="27" s="1"/>
  <c r="Y380" i="27"/>
  <c r="AT380" i="27" s="1"/>
  <c r="AR380" i="27"/>
  <c r="BM380" i="27" s="1"/>
  <c r="AK255" i="27"/>
  <c r="BF255" i="27" s="1"/>
  <c r="Z255" i="27"/>
  <c r="AL255" i="27"/>
  <c r="BG255" i="27" s="1"/>
  <c r="AA255" i="27"/>
  <c r="AV255" i="27" s="1"/>
  <c r="AM255" i="27"/>
  <c r="BH255" i="27" s="1"/>
  <c r="AB255" i="27"/>
  <c r="AW255" i="27" s="1"/>
  <c r="AN255" i="27"/>
  <c r="BI255" i="27" s="1"/>
  <c r="AC255" i="27"/>
  <c r="AX255" i="27" s="1"/>
  <c r="AO255" i="27"/>
  <c r="BJ255" i="27" s="1"/>
  <c r="AD255" i="27"/>
  <c r="AY255" i="27" s="1"/>
  <c r="AP255" i="27"/>
  <c r="BK255" i="27" s="1"/>
  <c r="AE255" i="27"/>
  <c r="AZ255" i="27" s="1"/>
  <c r="AQ255" i="27"/>
  <c r="BL255" i="27" s="1"/>
  <c r="AF255" i="27"/>
  <c r="BA255" i="27" s="1"/>
  <c r="AR255" i="27"/>
  <c r="BM255" i="27" s="1"/>
  <c r="AG255" i="27"/>
  <c r="BB255" i="27" s="1"/>
  <c r="AH255" i="27"/>
  <c r="BC255" i="27" s="1"/>
  <c r="AI255" i="27"/>
  <c r="BD255" i="27" s="1"/>
  <c r="Y255" i="27"/>
  <c r="AT255" i="27" s="1"/>
  <c r="AJ255" i="27"/>
  <c r="BE255" i="27" s="1"/>
  <c r="AI327" i="27"/>
  <c r="BD327" i="27" s="1"/>
  <c r="AJ327" i="27"/>
  <c r="BE327" i="27" s="1"/>
  <c r="AK327" i="27"/>
  <c r="BF327" i="27" s="1"/>
  <c r="Z327" i="27"/>
  <c r="AL327" i="27"/>
  <c r="BG327" i="27" s="1"/>
  <c r="AA327" i="27"/>
  <c r="AV327" i="27" s="1"/>
  <c r="AM327" i="27"/>
  <c r="BH327" i="27" s="1"/>
  <c r="AB327" i="27"/>
  <c r="AW327" i="27" s="1"/>
  <c r="AN327" i="27"/>
  <c r="BI327" i="27" s="1"/>
  <c r="AC327" i="27"/>
  <c r="AX327" i="27" s="1"/>
  <c r="AO327" i="27"/>
  <c r="BJ327" i="27" s="1"/>
  <c r="AD327" i="27"/>
  <c r="AY327" i="27" s="1"/>
  <c r="AP327" i="27"/>
  <c r="BK327" i="27" s="1"/>
  <c r="AE327" i="27"/>
  <c r="AZ327" i="27" s="1"/>
  <c r="AQ327" i="27"/>
  <c r="BL327" i="27" s="1"/>
  <c r="AF327" i="27"/>
  <c r="BA327" i="27" s="1"/>
  <c r="AR327" i="27"/>
  <c r="BM327" i="27" s="1"/>
  <c r="AG327" i="27"/>
  <c r="BB327" i="27" s="1"/>
  <c r="Y327" i="27"/>
  <c r="AT327" i="27" s="1"/>
  <c r="AH327" i="27"/>
  <c r="BC327" i="27" s="1"/>
  <c r="AB198" i="27"/>
  <c r="AW198" i="27" s="1"/>
  <c r="AN198" i="27"/>
  <c r="BI198" i="27" s="1"/>
  <c r="AC198" i="27"/>
  <c r="AX198" i="27" s="1"/>
  <c r="AO198" i="27"/>
  <c r="BJ198" i="27" s="1"/>
  <c r="AD198" i="27"/>
  <c r="AY198" i="27" s="1"/>
  <c r="AP198" i="27"/>
  <c r="BK198" i="27" s="1"/>
  <c r="AE198" i="27"/>
  <c r="AZ198" i="27" s="1"/>
  <c r="AQ198" i="27"/>
  <c r="BL198" i="27" s="1"/>
  <c r="AF198" i="27"/>
  <c r="BA198" i="27" s="1"/>
  <c r="AR198" i="27"/>
  <c r="BM198" i="27" s="1"/>
  <c r="AG198" i="27"/>
  <c r="BB198" i="27" s="1"/>
  <c r="AH198" i="27"/>
  <c r="BC198" i="27" s="1"/>
  <c r="AI198" i="27"/>
  <c r="BD198" i="27" s="1"/>
  <c r="AJ198" i="27"/>
  <c r="BE198" i="27" s="1"/>
  <c r="AK198" i="27"/>
  <c r="BF198" i="27" s="1"/>
  <c r="Z198" i="27"/>
  <c r="AL198" i="27"/>
  <c r="BG198" i="27" s="1"/>
  <c r="AA198" i="27"/>
  <c r="AV198" i="27" s="1"/>
  <c r="AM198" i="27"/>
  <c r="BH198" i="27" s="1"/>
  <c r="Y198" i="27"/>
  <c r="AT198" i="27" s="1"/>
  <c r="AJ274" i="27"/>
  <c r="BE274" i="27" s="1"/>
  <c r="AK274" i="27"/>
  <c r="BF274" i="27" s="1"/>
  <c r="Z274" i="27"/>
  <c r="AL274" i="27"/>
  <c r="BG274" i="27" s="1"/>
  <c r="AA274" i="27"/>
  <c r="AV274" i="27" s="1"/>
  <c r="AM274" i="27"/>
  <c r="BH274" i="27" s="1"/>
  <c r="AB274" i="27"/>
  <c r="AW274" i="27" s="1"/>
  <c r="AN274" i="27"/>
  <c r="BI274" i="27" s="1"/>
  <c r="AC274" i="27"/>
  <c r="AX274" i="27" s="1"/>
  <c r="AO274" i="27"/>
  <c r="BJ274" i="27" s="1"/>
  <c r="AD274" i="27"/>
  <c r="AY274" i="27" s="1"/>
  <c r="AP274" i="27"/>
  <c r="BK274" i="27" s="1"/>
  <c r="AE274" i="27"/>
  <c r="AZ274" i="27" s="1"/>
  <c r="AQ274" i="27"/>
  <c r="BL274" i="27" s="1"/>
  <c r="AF274" i="27"/>
  <c r="BA274" i="27" s="1"/>
  <c r="AR274" i="27"/>
  <c r="BM274" i="27" s="1"/>
  <c r="AG274" i="27"/>
  <c r="BB274" i="27" s="1"/>
  <c r="AH274" i="27"/>
  <c r="BC274" i="27" s="1"/>
  <c r="AI274" i="27"/>
  <c r="BD274" i="27" s="1"/>
  <c r="Y274" i="27"/>
  <c r="AT274" i="27" s="1"/>
  <c r="AH346" i="27"/>
  <c r="BC346" i="27" s="1"/>
  <c r="AI346" i="27"/>
  <c r="BD346" i="27" s="1"/>
  <c r="AK346" i="27"/>
  <c r="BF346" i="27" s="1"/>
  <c r="Z346" i="27"/>
  <c r="AL346" i="27"/>
  <c r="BG346" i="27" s="1"/>
  <c r="AA346" i="27"/>
  <c r="AV346" i="27" s="1"/>
  <c r="AM346" i="27"/>
  <c r="BH346" i="27" s="1"/>
  <c r="AB346" i="27"/>
  <c r="AW346" i="27" s="1"/>
  <c r="AN346" i="27"/>
  <c r="BI346" i="27" s="1"/>
  <c r="AC346" i="27"/>
  <c r="AX346" i="27" s="1"/>
  <c r="AO346" i="27"/>
  <c r="BJ346" i="27" s="1"/>
  <c r="AE346" i="27"/>
  <c r="AZ346" i="27" s="1"/>
  <c r="AQ346" i="27"/>
  <c r="BL346" i="27" s="1"/>
  <c r="AF346" i="27"/>
  <c r="BA346" i="27" s="1"/>
  <c r="AR346" i="27"/>
  <c r="BM346" i="27" s="1"/>
  <c r="AD346" i="27"/>
  <c r="AY346" i="27" s="1"/>
  <c r="AG346" i="27"/>
  <c r="BB346" i="27" s="1"/>
  <c r="AJ346" i="27"/>
  <c r="BE346" i="27" s="1"/>
  <c r="AP346" i="27"/>
  <c r="BK346" i="27" s="1"/>
  <c r="Y346" i="27"/>
  <c r="AT346" i="27" s="1"/>
  <c r="AA205" i="27"/>
  <c r="AV205" i="27" s="1"/>
  <c r="AM205" i="27"/>
  <c r="BH205" i="27" s="1"/>
  <c r="AB205" i="27"/>
  <c r="AW205" i="27" s="1"/>
  <c r="AN205" i="27"/>
  <c r="BI205" i="27" s="1"/>
  <c r="AC205" i="27"/>
  <c r="AX205" i="27" s="1"/>
  <c r="AO205" i="27"/>
  <c r="BJ205" i="27" s="1"/>
  <c r="AD205" i="27"/>
  <c r="AY205" i="27" s="1"/>
  <c r="AP205" i="27"/>
  <c r="BK205" i="27" s="1"/>
  <c r="AE205" i="27"/>
  <c r="AZ205" i="27" s="1"/>
  <c r="AQ205" i="27"/>
  <c r="BL205" i="27" s="1"/>
  <c r="AF205" i="27"/>
  <c r="BA205" i="27" s="1"/>
  <c r="AR205" i="27"/>
  <c r="BM205" i="27" s="1"/>
  <c r="AG205" i="27"/>
  <c r="BB205" i="27" s="1"/>
  <c r="AH205" i="27"/>
  <c r="BC205" i="27" s="1"/>
  <c r="AI205" i="27"/>
  <c r="BD205" i="27" s="1"/>
  <c r="AJ205" i="27"/>
  <c r="BE205" i="27" s="1"/>
  <c r="AK205" i="27"/>
  <c r="BF205" i="27" s="1"/>
  <c r="Z205" i="27"/>
  <c r="AL205" i="27"/>
  <c r="BG205" i="27" s="1"/>
  <c r="Y205" i="27"/>
  <c r="AT205" i="27" s="1"/>
  <c r="AC275" i="27"/>
  <c r="AX275" i="27" s="1"/>
  <c r="AO275" i="27"/>
  <c r="BJ275" i="27" s="1"/>
  <c r="AD275" i="27"/>
  <c r="AY275" i="27" s="1"/>
  <c r="AP275" i="27"/>
  <c r="BK275" i="27" s="1"/>
  <c r="AE275" i="27"/>
  <c r="AZ275" i="27" s="1"/>
  <c r="AQ275" i="27"/>
  <c r="BL275" i="27" s="1"/>
  <c r="AF275" i="27"/>
  <c r="BA275" i="27" s="1"/>
  <c r="AR275" i="27"/>
  <c r="BM275" i="27" s="1"/>
  <c r="AG275" i="27"/>
  <c r="BB275" i="27" s="1"/>
  <c r="AH275" i="27"/>
  <c r="BC275" i="27" s="1"/>
  <c r="AI275" i="27"/>
  <c r="BD275" i="27" s="1"/>
  <c r="AJ275" i="27"/>
  <c r="BE275" i="27" s="1"/>
  <c r="AK275" i="27"/>
  <c r="BF275" i="27" s="1"/>
  <c r="Z275" i="27"/>
  <c r="AL275" i="27"/>
  <c r="BG275" i="27" s="1"/>
  <c r="AA275" i="27"/>
  <c r="AV275" i="27" s="1"/>
  <c r="AM275" i="27"/>
  <c r="BH275" i="27" s="1"/>
  <c r="AB275" i="27"/>
  <c r="AW275" i="27" s="1"/>
  <c r="AN275" i="27"/>
  <c r="BI275" i="27" s="1"/>
  <c r="Y275" i="27"/>
  <c r="AT275" i="27" s="1"/>
  <c r="AA359" i="27"/>
  <c r="AV359" i="27" s="1"/>
  <c r="AM359" i="27"/>
  <c r="BH359" i="27" s="1"/>
  <c r="AB359" i="27"/>
  <c r="AW359" i="27" s="1"/>
  <c r="AN359" i="27"/>
  <c r="BI359" i="27" s="1"/>
  <c r="AD359" i="27"/>
  <c r="AY359" i="27" s="1"/>
  <c r="AP359" i="27"/>
  <c r="BK359" i="27" s="1"/>
  <c r="AE359" i="27"/>
  <c r="AZ359" i="27" s="1"/>
  <c r="AQ359" i="27"/>
  <c r="BL359" i="27" s="1"/>
  <c r="AF359" i="27"/>
  <c r="BA359" i="27" s="1"/>
  <c r="AR359" i="27"/>
  <c r="BM359" i="27" s="1"/>
  <c r="AG359" i="27"/>
  <c r="BB359" i="27" s="1"/>
  <c r="AH359" i="27"/>
  <c r="BC359" i="27" s="1"/>
  <c r="AJ359" i="27"/>
  <c r="BE359" i="27" s="1"/>
  <c r="AK359" i="27"/>
  <c r="BF359" i="27" s="1"/>
  <c r="Y359" i="27"/>
  <c r="AT359" i="27" s="1"/>
  <c r="Z359" i="27"/>
  <c r="AC359" i="27"/>
  <c r="AX359" i="27" s="1"/>
  <c r="AI359" i="27"/>
  <c r="BD359" i="27" s="1"/>
  <c r="AL359" i="27"/>
  <c r="BG359" i="27" s="1"/>
  <c r="AO359" i="27"/>
  <c r="BJ359" i="27" s="1"/>
  <c r="AF230" i="27"/>
  <c r="BA230" i="27" s="1"/>
  <c r="AR230" i="27"/>
  <c r="BM230" i="27" s="1"/>
  <c r="AG230" i="27"/>
  <c r="BB230" i="27" s="1"/>
  <c r="AH230" i="27"/>
  <c r="BC230" i="27" s="1"/>
  <c r="AI230" i="27"/>
  <c r="BD230" i="27" s="1"/>
  <c r="AJ230" i="27"/>
  <c r="BE230" i="27" s="1"/>
  <c r="AK230" i="27"/>
  <c r="BF230" i="27" s="1"/>
  <c r="Z230" i="27"/>
  <c r="AL230" i="27"/>
  <c r="BG230" i="27" s="1"/>
  <c r="AA230" i="27"/>
  <c r="AV230" i="27" s="1"/>
  <c r="AM230" i="27"/>
  <c r="BH230" i="27" s="1"/>
  <c r="AB230" i="27"/>
  <c r="AW230" i="27" s="1"/>
  <c r="AN230" i="27"/>
  <c r="BI230" i="27" s="1"/>
  <c r="AC230" i="27"/>
  <c r="AX230" i="27" s="1"/>
  <c r="AO230" i="27"/>
  <c r="BJ230" i="27" s="1"/>
  <c r="AD230" i="27"/>
  <c r="AY230" i="27" s="1"/>
  <c r="AP230" i="27"/>
  <c r="BK230" i="27" s="1"/>
  <c r="AE230" i="27"/>
  <c r="AZ230" i="27" s="1"/>
  <c r="AQ230" i="27"/>
  <c r="BL230" i="27" s="1"/>
  <c r="Y230" i="27"/>
  <c r="AT230" i="27" s="1"/>
  <c r="AF300" i="27"/>
  <c r="BA300" i="27" s="1"/>
  <c r="AR300" i="27"/>
  <c r="BM300" i="27" s="1"/>
  <c r="AG300" i="27"/>
  <c r="BB300" i="27" s="1"/>
  <c r="AH300" i="27"/>
  <c r="BC300" i="27" s="1"/>
  <c r="AI300" i="27"/>
  <c r="BD300" i="27" s="1"/>
  <c r="AJ300" i="27"/>
  <c r="BE300" i="27" s="1"/>
  <c r="AK300" i="27"/>
  <c r="BF300" i="27" s="1"/>
  <c r="Z300" i="27"/>
  <c r="AL300" i="27"/>
  <c r="BG300" i="27" s="1"/>
  <c r="AA300" i="27"/>
  <c r="AV300" i="27" s="1"/>
  <c r="AM300" i="27"/>
  <c r="BH300" i="27" s="1"/>
  <c r="AB300" i="27"/>
  <c r="AW300" i="27" s="1"/>
  <c r="AN300" i="27"/>
  <c r="BI300" i="27" s="1"/>
  <c r="AC300" i="27"/>
  <c r="AX300" i="27" s="1"/>
  <c r="AO300" i="27"/>
  <c r="BJ300" i="27" s="1"/>
  <c r="Y300" i="27"/>
  <c r="AT300" i="27" s="1"/>
  <c r="AD300" i="27"/>
  <c r="AY300" i="27" s="1"/>
  <c r="AP300" i="27"/>
  <c r="BK300" i="27" s="1"/>
  <c r="AE300" i="27"/>
  <c r="AZ300" i="27" s="1"/>
  <c r="AQ300" i="27"/>
  <c r="BL300" i="27" s="1"/>
  <c r="AF372" i="27"/>
  <c r="BA372" i="27" s="1"/>
  <c r="AR372" i="27"/>
  <c r="BM372" i="27" s="1"/>
  <c r="AG372" i="27"/>
  <c r="BB372" i="27" s="1"/>
  <c r="AI372" i="27"/>
  <c r="BD372" i="27" s="1"/>
  <c r="AJ372" i="27"/>
  <c r="BE372" i="27" s="1"/>
  <c r="AK372" i="27"/>
  <c r="BF372" i="27" s="1"/>
  <c r="Z372" i="27"/>
  <c r="AL372" i="27"/>
  <c r="BG372" i="27" s="1"/>
  <c r="AA372" i="27"/>
  <c r="AV372" i="27" s="1"/>
  <c r="AM372" i="27"/>
  <c r="BH372" i="27" s="1"/>
  <c r="AC372" i="27"/>
  <c r="AX372" i="27" s="1"/>
  <c r="AO372" i="27"/>
  <c r="BJ372" i="27" s="1"/>
  <c r="AD372" i="27"/>
  <c r="AY372" i="27" s="1"/>
  <c r="AP372" i="27"/>
  <c r="BK372" i="27" s="1"/>
  <c r="Y372" i="27"/>
  <c r="AT372" i="27" s="1"/>
  <c r="AB372" i="27"/>
  <c r="AW372" i="27" s="1"/>
  <c r="AE372" i="27"/>
  <c r="AZ372" i="27" s="1"/>
  <c r="AH372" i="27"/>
  <c r="BC372" i="27" s="1"/>
  <c r="AN372" i="27"/>
  <c r="BI372" i="27" s="1"/>
  <c r="AQ372" i="27"/>
  <c r="BL372" i="27" s="1"/>
  <c r="AA241" i="27"/>
  <c r="AV241" i="27" s="1"/>
  <c r="AM241" i="27"/>
  <c r="BH241" i="27" s="1"/>
  <c r="AB241" i="27"/>
  <c r="AW241" i="27" s="1"/>
  <c r="AN241" i="27"/>
  <c r="BI241" i="27" s="1"/>
  <c r="AC241" i="27"/>
  <c r="AX241" i="27" s="1"/>
  <c r="AO241" i="27"/>
  <c r="BJ241" i="27" s="1"/>
  <c r="AD241" i="27"/>
  <c r="AY241" i="27" s="1"/>
  <c r="AP241" i="27"/>
  <c r="BK241" i="27" s="1"/>
  <c r="AE241" i="27"/>
  <c r="AZ241" i="27" s="1"/>
  <c r="AQ241" i="27"/>
  <c r="BL241" i="27" s="1"/>
  <c r="AF241" i="27"/>
  <c r="BA241" i="27" s="1"/>
  <c r="AR241" i="27"/>
  <c r="BM241" i="27" s="1"/>
  <c r="AG241" i="27"/>
  <c r="BB241" i="27" s="1"/>
  <c r="AH241" i="27"/>
  <c r="BC241" i="27" s="1"/>
  <c r="AI241" i="27"/>
  <c r="BD241" i="27" s="1"/>
  <c r="AJ241" i="27"/>
  <c r="BE241" i="27" s="1"/>
  <c r="AK241" i="27"/>
  <c r="BF241" i="27" s="1"/>
  <c r="Z241" i="27"/>
  <c r="AL241" i="27"/>
  <c r="BG241" i="27" s="1"/>
  <c r="Y241" i="27"/>
  <c r="AT241" i="27" s="1"/>
  <c r="AK313" i="27"/>
  <c r="BF313" i="27" s="1"/>
  <c r="Z313" i="27"/>
  <c r="AL313" i="27"/>
  <c r="BG313" i="27" s="1"/>
  <c r="AA313" i="27"/>
  <c r="AV313" i="27" s="1"/>
  <c r="AM313" i="27"/>
  <c r="BH313" i="27" s="1"/>
  <c r="AB313" i="27"/>
  <c r="AW313" i="27" s="1"/>
  <c r="AN313" i="27"/>
  <c r="BI313" i="27" s="1"/>
  <c r="AC313" i="27"/>
  <c r="AX313" i="27" s="1"/>
  <c r="AO313" i="27"/>
  <c r="BJ313" i="27" s="1"/>
  <c r="AD313" i="27"/>
  <c r="AY313" i="27" s="1"/>
  <c r="AP313" i="27"/>
  <c r="BK313" i="27" s="1"/>
  <c r="AE313" i="27"/>
  <c r="AZ313" i="27" s="1"/>
  <c r="AQ313" i="27"/>
  <c r="BL313" i="27" s="1"/>
  <c r="AF313" i="27"/>
  <c r="BA313" i="27" s="1"/>
  <c r="AR313" i="27"/>
  <c r="BM313" i="27" s="1"/>
  <c r="AG313" i="27"/>
  <c r="BB313" i="27" s="1"/>
  <c r="AH313" i="27"/>
  <c r="BC313" i="27" s="1"/>
  <c r="AI313" i="27"/>
  <c r="BD313" i="27" s="1"/>
  <c r="Y313" i="27"/>
  <c r="AT313" i="27" s="1"/>
  <c r="AJ313" i="27"/>
  <c r="BE313" i="27" s="1"/>
  <c r="AJ207" i="28"/>
  <c r="BE207" i="28" s="1"/>
  <c r="Y207" i="28"/>
  <c r="AT207" i="28" s="1"/>
  <c r="AK207" i="28"/>
  <c r="BF207" i="28" s="1"/>
  <c r="AA207" i="28"/>
  <c r="AV207" i="28" s="1"/>
  <c r="AM207" i="28"/>
  <c r="BH207" i="28" s="1"/>
  <c r="AB207" i="28"/>
  <c r="AW207" i="28" s="1"/>
  <c r="AN207" i="28"/>
  <c r="BI207" i="28" s="1"/>
  <c r="AC207" i="28"/>
  <c r="AX207" i="28" s="1"/>
  <c r="AO207" i="28"/>
  <c r="BJ207" i="28" s="1"/>
  <c r="AD207" i="28"/>
  <c r="AY207" i="28" s="1"/>
  <c r="AP207" i="28"/>
  <c r="BK207" i="28" s="1"/>
  <c r="AE207" i="28"/>
  <c r="AZ207" i="28" s="1"/>
  <c r="AQ207" i="28"/>
  <c r="BL207" i="28" s="1"/>
  <c r="AG207" i="28"/>
  <c r="BB207" i="28" s="1"/>
  <c r="AH207" i="28"/>
  <c r="BC207" i="28" s="1"/>
  <c r="AL207" i="28"/>
  <c r="BG207" i="28" s="1"/>
  <c r="AR207" i="28"/>
  <c r="BM207" i="28" s="1"/>
  <c r="Z207" i="28"/>
  <c r="AF207" i="28"/>
  <c r="BA207" i="28" s="1"/>
  <c r="AI207" i="28"/>
  <c r="BD207" i="28" s="1"/>
  <c r="AI279" i="28"/>
  <c r="BD279" i="28" s="1"/>
  <c r="AJ279" i="28"/>
  <c r="BE279" i="28" s="1"/>
  <c r="Z279" i="28"/>
  <c r="AL279" i="28"/>
  <c r="BG279" i="28" s="1"/>
  <c r="AA279" i="28"/>
  <c r="AV279" i="28" s="1"/>
  <c r="AM279" i="28"/>
  <c r="BH279" i="28" s="1"/>
  <c r="AB279" i="28"/>
  <c r="AW279" i="28" s="1"/>
  <c r="AN279" i="28"/>
  <c r="BI279" i="28" s="1"/>
  <c r="AC279" i="28"/>
  <c r="AX279" i="28" s="1"/>
  <c r="AO279" i="28"/>
  <c r="BJ279" i="28" s="1"/>
  <c r="AD279" i="28"/>
  <c r="AY279" i="28" s="1"/>
  <c r="AP279" i="28"/>
  <c r="BK279" i="28" s="1"/>
  <c r="AF279" i="28"/>
  <c r="BA279" i="28" s="1"/>
  <c r="AR279" i="28"/>
  <c r="BM279" i="28" s="1"/>
  <c r="AG279" i="28"/>
  <c r="BB279" i="28" s="1"/>
  <c r="Y279" i="28"/>
  <c r="AT279" i="28" s="1"/>
  <c r="AE279" i="28"/>
  <c r="AZ279" i="28" s="1"/>
  <c r="AH279" i="28"/>
  <c r="BC279" i="28" s="1"/>
  <c r="AK279" i="28"/>
  <c r="BF279" i="28" s="1"/>
  <c r="AQ279" i="28"/>
  <c r="BL279" i="28" s="1"/>
  <c r="AG351" i="28"/>
  <c r="BB351" i="28" s="1"/>
  <c r="AH351" i="28"/>
  <c r="BC351" i="28" s="1"/>
  <c r="AI351" i="28"/>
  <c r="BD351" i="28" s="1"/>
  <c r="AJ351" i="28"/>
  <c r="BE351" i="28" s="1"/>
  <c r="Y351" i="28"/>
  <c r="AT351" i="28" s="1"/>
  <c r="AK351" i="28"/>
  <c r="BF351" i="28" s="1"/>
  <c r="Z351" i="28"/>
  <c r="AL351" i="28"/>
  <c r="BG351" i="28" s="1"/>
  <c r="AA351" i="28"/>
  <c r="AV351" i="28" s="1"/>
  <c r="AM351" i="28"/>
  <c r="BH351" i="28" s="1"/>
  <c r="AB351" i="28"/>
  <c r="AW351" i="28" s="1"/>
  <c r="AN351" i="28"/>
  <c r="BI351" i="28" s="1"/>
  <c r="AC351" i="28"/>
  <c r="AX351" i="28" s="1"/>
  <c r="AO351" i="28"/>
  <c r="BJ351" i="28" s="1"/>
  <c r="AD351" i="28"/>
  <c r="AY351" i="28" s="1"/>
  <c r="AP351" i="28"/>
  <c r="BK351" i="28" s="1"/>
  <c r="AE351" i="28"/>
  <c r="AZ351" i="28" s="1"/>
  <c r="AQ351" i="28"/>
  <c r="BL351" i="28" s="1"/>
  <c r="AF351" i="28"/>
  <c r="BA351" i="28" s="1"/>
  <c r="AR351" i="28"/>
  <c r="BM351" i="28" s="1"/>
  <c r="AA244" i="28"/>
  <c r="AV244" i="28" s="1"/>
  <c r="AM244" i="28"/>
  <c r="BH244" i="28" s="1"/>
  <c r="AB244" i="28"/>
  <c r="AW244" i="28" s="1"/>
  <c r="AN244" i="28"/>
  <c r="BI244" i="28" s="1"/>
  <c r="AD244" i="28"/>
  <c r="AY244" i="28" s="1"/>
  <c r="AP244" i="28"/>
  <c r="BK244" i="28" s="1"/>
  <c r="AE244" i="28"/>
  <c r="AZ244" i="28" s="1"/>
  <c r="AQ244" i="28"/>
  <c r="BL244" i="28" s="1"/>
  <c r="AF244" i="28"/>
  <c r="BA244" i="28" s="1"/>
  <c r="AR244" i="28"/>
  <c r="BM244" i="28" s="1"/>
  <c r="AG244" i="28"/>
  <c r="BB244" i="28" s="1"/>
  <c r="AH244" i="28"/>
  <c r="BC244" i="28" s="1"/>
  <c r="AJ244" i="28"/>
  <c r="BE244" i="28" s="1"/>
  <c r="Y244" i="28"/>
  <c r="AT244" i="28" s="1"/>
  <c r="AK244" i="28"/>
  <c r="BF244" i="28" s="1"/>
  <c r="Z244" i="28"/>
  <c r="AC244" i="28"/>
  <c r="AX244" i="28" s="1"/>
  <c r="AI244" i="28"/>
  <c r="BD244" i="28" s="1"/>
  <c r="AL244" i="28"/>
  <c r="BG244" i="28" s="1"/>
  <c r="AO244" i="28"/>
  <c r="BJ244" i="28" s="1"/>
  <c r="AA316" i="28"/>
  <c r="AV316" i="28" s="1"/>
  <c r="AM316" i="28"/>
  <c r="BH316" i="28" s="1"/>
  <c r="AB316" i="28"/>
  <c r="AW316" i="28" s="1"/>
  <c r="AN316" i="28"/>
  <c r="BI316" i="28" s="1"/>
  <c r="AD316" i="28"/>
  <c r="AY316" i="28" s="1"/>
  <c r="AP316" i="28"/>
  <c r="BK316" i="28" s="1"/>
  <c r="AE316" i="28"/>
  <c r="AZ316" i="28" s="1"/>
  <c r="AQ316" i="28"/>
  <c r="BL316" i="28" s="1"/>
  <c r="AG316" i="28"/>
  <c r="BB316" i="28" s="1"/>
  <c r="AH316" i="28"/>
  <c r="BC316" i="28" s="1"/>
  <c r="AJ316" i="28"/>
  <c r="BE316" i="28" s="1"/>
  <c r="Y316" i="28"/>
  <c r="AT316" i="28" s="1"/>
  <c r="AK316" i="28"/>
  <c r="BF316" i="28" s="1"/>
  <c r="Z316" i="28"/>
  <c r="AC316" i="28"/>
  <c r="AX316" i="28" s="1"/>
  <c r="AF316" i="28"/>
  <c r="BA316" i="28" s="1"/>
  <c r="AI316" i="28"/>
  <c r="BD316" i="28" s="1"/>
  <c r="AL316" i="28"/>
  <c r="BG316" i="28" s="1"/>
  <c r="AO316" i="28"/>
  <c r="BJ316" i="28" s="1"/>
  <c r="AR316" i="28"/>
  <c r="BM316" i="28" s="1"/>
  <c r="AF209" i="28"/>
  <c r="BA209" i="28" s="1"/>
  <c r="AR209" i="28"/>
  <c r="BM209" i="28" s="1"/>
  <c r="AG209" i="28"/>
  <c r="BB209" i="28" s="1"/>
  <c r="AI209" i="28"/>
  <c r="BD209" i="28" s="1"/>
  <c r="AJ209" i="28"/>
  <c r="BE209" i="28" s="1"/>
  <c r="Y209" i="28"/>
  <c r="AT209" i="28" s="1"/>
  <c r="AK209" i="28"/>
  <c r="BF209" i="28" s="1"/>
  <c r="Z209" i="28"/>
  <c r="AL209" i="28"/>
  <c r="BG209" i="28" s="1"/>
  <c r="AA209" i="28"/>
  <c r="AV209" i="28" s="1"/>
  <c r="AM209" i="28"/>
  <c r="BH209" i="28" s="1"/>
  <c r="AC209" i="28"/>
  <c r="AX209" i="28" s="1"/>
  <c r="AO209" i="28"/>
  <c r="BJ209" i="28" s="1"/>
  <c r="AD209" i="28"/>
  <c r="AY209" i="28" s="1"/>
  <c r="AP209" i="28"/>
  <c r="BK209" i="28" s="1"/>
  <c r="AB209" i="28"/>
  <c r="AW209" i="28" s="1"/>
  <c r="AE209" i="28"/>
  <c r="AZ209" i="28" s="1"/>
  <c r="AH209" i="28"/>
  <c r="BC209" i="28" s="1"/>
  <c r="AN209" i="28"/>
  <c r="BI209" i="28" s="1"/>
  <c r="AQ209" i="28"/>
  <c r="BL209" i="28" s="1"/>
  <c r="AE281" i="28"/>
  <c r="AZ281" i="28" s="1"/>
  <c r="AQ281" i="28"/>
  <c r="BL281" i="28" s="1"/>
  <c r="AF281" i="28"/>
  <c r="BA281" i="28" s="1"/>
  <c r="AR281" i="28"/>
  <c r="BM281" i="28" s="1"/>
  <c r="AH281" i="28"/>
  <c r="BC281" i="28" s="1"/>
  <c r="AI281" i="28"/>
  <c r="BD281" i="28" s="1"/>
  <c r="AJ281" i="28"/>
  <c r="BE281" i="28" s="1"/>
  <c r="Y281" i="28"/>
  <c r="AT281" i="28" s="1"/>
  <c r="AK281" i="28"/>
  <c r="BF281" i="28" s="1"/>
  <c r="Z281" i="28"/>
  <c r="AL281" i="28"/>
  <c r="BG281" i="28" s="1"/>
  <c r="AB281" i="28"/>
  <c r="AW281" i="28" s="1"/>
  <c r="AN281" i="28"/>
  <c r="BI281" i="28" s="1"/>
  <c r="AC281" i="28"/>
  <c r="AX281" i="28" s="1"/>
  <c r="AO281" i="28"/>
  <c r="BJ281" i="28" s="1"/>
  <c r="AA281" i="28"/>
  <c r="AV281" i="28" s="1"/>
  <c r="AD281" i="28"/>
  <c r="AY281" i="28" s="1"/>
  <c r="AG281" i="28"/>
  <c r="BB281" i="28" s="1"/>
  <c r="AM281" i="28"/>
  <c r="BH281" i="28" s="1"/>
  <c r="AP281" i="28"/>
  <c r="BK281" i="28" s="1"/>
  <c r="AC353" i="28"/>
  <c r="AX353" i="28" s="1"/>
  <c r="AO353" i="28"/>
  <c r="BJ353" i="28" s="1"/>
  <c r="AD353" i="28"/>
  <c r="AY353" i="28" s="1"/>
  <c r="AP353" i="28"/>
  <c r="BK353" i="28" s="1"/>
  <c r="AE353" i="28"/>
  <c r="AZ353" i="28" s="1"/>
  <c r="AQ353" i="28"/>
  <c r="BL353" i="28" s="1"/>
  <c r="AF353" i="28"/>
  <c r="BA353" i="28" s="1"/>
  <c r="AR353" i="28"/>
  <c r="BM353" i="28" s="1"/>
  <c r="AG353" i="28"/>
  <c r="BB353" i="28" s="1"/>
  <c r="AH353" i="28"/>
  <c r="BC353" i="28" s="1"/>
  <c r="AI353" i="28"/>
  <c r="BD353" i="28" s="1"/>
  <c r="AJ353" i="28"/>
  <c r="BE353" i="28" s="1"/>
  <c r="Y353" i="28"/>
  <c r="AT353" i="28" s="1"/>
  <c r="AK353" i="28"/>
  <c r="BF353" i="28" s="1"/>
  <c r="Z353" i="28"/>
  <c r="AL353" i="28"/>
  <c r="BG353" i="28" s="1"/>
  <c r="AA353" i="28"/>
  <c r="AV353" i="28" s="1"/>
  <c r="AM353" i="28"/>
  <c r="BH353" i="28" s="1"/>
  <c r="AB353" i="28"/>
  <c r="AW353" i="28" s="1"/>
  <c r="AN353" i="28"/>
  <c r="BI353" i="28" s="1"/>
  <c r="AI246" i="28"/>
  <c r="BD246" i="28" s="1"/>
  <c r="AJ246" i="28"/>
  <c r="BE246" i="28" s="1"/>
  <c r="Z246" i="28"/>
  <c r="AL246" i="28"/>
  <c r="BG246" i="28" s="1"/>
  <c r="AA246" i="28"/>
  <c r="AV246" i="28" s="1"/>
  <c r="AM246" i="28"/>
  <c r="BH246" i="28" s="1"/>
  <c r="AB246" i="28"/>
  <c r="AW246" i="28" s="1"/>
  <c r="AN246" i="28"/>
  <c r="BI246" i="28" s="1"/>
  <c r="AC246" i="28"/>
  <c r="AX246" i="28" s="1"/>
  <c r="AO246" i="28"/>
  <c r="BJ246" i="28" s="1"/>
  <c r="AD246" i="28"/>
  <c r="AY246" i="28" s="1"/>
  <c r="AP246" i="28"/>
  <c r="BK246" i="28" s="1"/>
  <c r="AF246" i="28"/>
  <c r="BA246" i="28" s="1"/>
  <c r="AR246" i="28"/>
  <c r="BM246" i="28" s="1"/>
  <c r="AG246" i="28"/>
  <c r="BB246" i="28" s="1"/>
  <c r="Y246" i="28"/>
  <c r="AT246" i="28" s="1"/>
  <c r="AE246" i="28"/>
  <c r="AZ246" i="28" s="1"/>
  <c r="AH246" i="28"/>
  <c r="BC246" i="28" s="1"/>
  <c r="AK246" i="28"/>
  <c r="BF246" i="28" s="1"/>
  <c r="AQ246" i="28"/>
  <c r="BL246" i="28" s="1"/>
  <c r="AI318" i="28"/>
  <c r="BD318" i="28" s="1"/>
  <c r="AJ318" i="28"/>
  <c r="BE318" i="28" s="1"/>
  <c r="Z318" i="28"/>
  <c r="AL318" i="28"/>
  <c r="BG318" i="28" s="1"/>
  <c r="AA318" i="28"/>
  <c r="AV318" i="28" s="1"/>
  <c r="AM318" i="28"/>
  <c r="BH318" i="28" s="1"/>
  <c r="AC318" i="28"/>
  <c r="AX318" i="28" s="1"/>
  <c r="AO318" i="28"/>
  <c r="BJ318" i="28" s="1"/>
  <c r="AD318" i="28"/>
  <c r="AY318" i="28" s="1"/>
  <c r="AP318" i="28"/>
  <c r="BK318" i="28" s="1"/>
  <c r="AF318" i="28"/>
  <c r="BA318" i="28" s="1"/>
  <c r="AR318" i="28"/>
  <c r="BM318" i="28" s="1"/>
  <c r="AG318" i="28"/>
  <c r="BB318" i="28" s="1"/>
  <c r="Y318" i="28"/>
  <c r="AT318" i="28" s="1"/>
  <c r="AB318" i="28"/>
  <c r="AW318" i="28" s="1"/>
  <c r="AE318" i="28"/>
  <c r="AZ318" i="28" s="1"/>
  <c r="AH318" i="28"/>
  <c r="BC318" i="28" s="1"/>
  <c r="AK318" i="28"/>
  <c r="BF318" i="28" s="1"/>
  <c r="AN318" i="28"/>
  <c r="BI318" i="28" s="1"/>
  <c r="AQ318" i="28"/>
  <c r="BL318" i="28" s="1"/>
  <c r="AB211" i="28"/>
  <c r="AW211" i="28" s="1"/>
  <c r="AN211" i="28"/>
  <c r="BI211" i="28" s="1"/>
  <c r="AC211" i="28"/>
  <c r="AX211" i="28" s="1"/>
  <c r="AO211" i="28"/>
  <c r="BJ211" i="28" s="1"/>
  <c r="AE211" i="28"/>
  <c r="AZ211" i="28" s="1"/>
  <c r="AQ211" i="28"/>
  <c r="BL211" i="28" s="1"/>
  <c r="AF211" i="28"/>
  <c r="BA211" i="28" s="1"/>
  <c r="AR211" i="28"/>
  <c r="BM211" i="28" s="1"/>
  <c r="AG211" i="28"/>
  <c r="BB211" i="28" s="1"/>
  <c r="AH211" i="28"/>
  <c r="BC211" i="28" s="1"/>
  <c r="AI211" i="28"/>
  <c r="BD211" i="28" s="1"/>
  <c r="Y211" i="28"/>
  <c r="AT211" i="28" s="1"/>
  <c r="AK211" i="28"/>
  <c r="BF211" i="28" s="1"/>
  <c r="Z211" i="28"/>
  <c r="AL211" i="28"/>
  <c r="BG211" i="28" s="1"/>
  <c r="AA211" i="28"/>
  <c r="AV211" i="28" s="1"/>
  <c r="AD211" i="28"/>
  <c r="AY211" i="28" s="1"/>
  <c r="AJ211" i="28"/>
  <c r="BE211" i="28" s="1"/>
  <c r="AM211" i="28"/>
  <c r="BH211" i="28" s="1"/>
  <c r="AP211" i="28"/>
  <c r="BK211" i="28" s="1"/>
  <c r="AA283" i="28"/>
  <c r="AV283" i="28" s="1"/>
  <c r="AM283" i="28"/>
  <c r="BH283" i="28" s="1"/>
  <c r="AB283" i="28"/>
  <c r="AW283" i="28" s="1"/>
  <c r="AN283" i="28"/>
  <c r="BI283" i="28" s="1"/>
  <c r="AD283" i="28"/>
  <c r="AY283" i="28" s="1"/>
  <c r="AP283" i="28"/>
  <c r="BK283" i="28" s="1"/>
  <c r="AE283" i="28"/>
  <c r="AZ283" i="28" s="1"/>
  <c r="AQ283" i="28"/>
  <c r="BL283" i="28" s="1"/>
  <c r="AF283" i="28"/>
  <c r="BA283" i="28" s="1"/>
  <c r="AR283" i="28"/>
  <c r="BM283" i="28" s="1"/>
  <c r="AG283" i="28"/>
  <c r="BB283" i="28" s="1"/>
  <c r="AH283" i="28"/>
  <c r="BC283" i="28" s="1"/>
  <c r="AJ283" i="28"/>
  <c r="BE283" i="28" s="1"/>
  <c r="Y283" i="28"/>
  <c r="AT283" i="28" s="1"/>
  <c r="AK283" i="28"/>
  <c r="BF283" i="28" s="1"/>
  <c r="AI283" i="28"/>
  <c r="BD283" i="28" s="1"/>
  <c r="AL283" i="28"/>
  <c r="BG283" i="28" s="1"/>
  <c r="AO283" i="28"/>
  <c r="BJ283" i="28" s="1"/>
  <c r="Z283" i="28"/>
  <c r="AC283" i="28"/>
  <c r="AX283" i="28" s="1"/>
  <c r="Y355" i="28"/>
  <c r="AT355" i="28" s="1"/>
  <c r="AK355" i="28"/>
  <c r="BF355" i="28" s="1"/>
  <c r="Z355" i="28"/>
  <c r="AL355" i="28"/>
  <c r="BG355" i="28" s="1"/>
  <c r="AA355" i="28"/>
  <c r="AV355" i="28" s="1"/>
  <c r="AM355" i="28"/>
  <c r="BH355" i="28" s="1"/>
  <c r="AB355" i="28"/>
  <c r="AW355" i="28" s="1"/>
  <c r="AN355" i="28"/>
  <c r="BI355" i="28" s="1"/>
  <c r="AC355" i="28"/>
  <c r="AX355" i="28" s="1"/>
  <c r="AO355" i="28"/>
  <c r="BJ355" i="28" s="1"/>
  <c r="AD355" i="28"/>
  <c r="AY355" i="28" s="1"/>
  <c r="AP355" i="28"/>
  <c r="BK355" i="28" s="1"/>
  <c r="AE355" i="28"/>
  <c r="AZ355" i="28" s="1"/>
  <c r="AQ355" i="28"/>
  <c r="BL355" i="28" s="1"/>
  <c r="AF355" i="28"/>
  <c r="BA355" i="28" s="1"/>
  <c r="AR355" i="28"/>
  <c r="BM355" i="28" s="1"/>
  <c r="AG355" i="28"/>
  <c r="BB355" i="28" s="1"/>
  <c r="AH355" i="28"/>
  <c r="BC355" i="28" s="1"/>
  <c r="AI355" i="28"/>
  <c r="BD355" i="28" s="1"/>
  <c r="AJ355" i="28"/>
  <c r="BE355" i="28" s="1"/>
  <c r="AE254" i="28"/>
  <c r="AZ254" i="28" s="1"/>
  <c r="AQ254" i="28"/>
  <c r="BL254" i="28" s="1"/>
  <c r="AF254" i="28"/>
  <c r="BA254" i="28" s="1"/>
  <c r="AR254" i="28"/>
  <c r="BM254" i="28" s="1"/>
  <c r="AH254" i="28"/>
  <c r="BC254" i="28" s="1"/>
  <c r="AI254" i="28"/>
  <c r="BD254" i="28" s="1"/>
  <c r="AJ254" i="28"/>
  <c r="BE254" i="28" s="1"/>
  <c r="Y254" i="28"/>
  <c r="AT254" i="28" s="1"/>
  <c r="AK254" i="28"/>
  <c r="BF254" i="28" s="1"/>
  <c r="Z254" i="28"/>
  <c r="AL254" i="28"/>
  <c r="BG254" i="28" s="1"/>
  <c r="AB254" i="28"/>
  <c r="AW254" i="28" s="1"/>
  <c r="AN254" i="28"/>
  <c r="BI254" i="28" s="1"/>
  <c r="AC254" i="28"/>
  <c r="AX254" i="28" s="1"/>
  <c r="AO254" i="28"/>
  <c r="BJ254" i="28" s="1"/>
  <c r="AM254" i="28"/>
  <c r="BH254" i="28" s="1"/>
  <c r="AP254" i="28"/>
  <c r="BK254" i="28" s="1"/>
  <c r="AA254" i="28"/>
  <c r="AV254" i="28" s="1"/>
  <c r="AD254" i="28"/>
  <c r="AY254" i="28" s="1"/>
  <c r="AG254" i="28"/>
  <c r="BB254" i="28" s="1"/>
  <c r="AC326" i="28"/>
  <c r="AX326" i="28" s="1"/>
  <c r="AO326" i="28"/>
  <c r="BJ326" i="28" s="1"/>
  <c r="AD326" i="28"/>
  <c r="AY326" i="28" s="1"/>
  <c r="AP326" i="28"/>
  <c r="BK326" i="28" s="1"/>
  <c r="AE326" i="28"/>
  <c r="AZ326" i="28" s="1"/>
  <c r="AQ326" i="28"/>
  <c r="BL326" i="28" s="1"/>
  <c r="AF326" i="28"/>
  <c r="BA326" i="28" s="1"/>
  <c r="AR326" i="28"/>
  <c r="BM326" i="28" s="1"/>
  <c r="AG326" i="28"/>
  <c r="BB326" i="28" s="1"/>
  <c r="AH326" i="28"/>
  <c r="BC326" i="28" s="1"/>
  <c r="AI326" i="28"/>
  <c r="BD326" i="28" s="1"/>
  <c r="AJ326" i="28"/>
  <c r="BE326" i="28" s="1"/>
  <c r="Y326" i="28"/>
  <c r="AT326" i="28" s="1"/>
  <c r="AK326" i="28"/>
  <c r="BF326" i="28" s="1"/>
  <c r="Z326" i="28"/>
  <c r="AL326" i="28"/>
  <c r="BG326" i="28" s="1"/>
  <c r="AA326" i="28"/>
  <c r="AV326" i="28" s="1"/>
  <c r="AM326" i="28"/>
  <c r="BH326" i="28" s="1"/>
  <c r="AN326" i="28"/>
  <c r="BI326" i="28" s="1"/>
  <c r="AB326" i="28"/>
  <c r="AW326" i="28" s="1"/>
  <c r="BK396" i="30"/>
  <c r="BH396" i="30"/>
  <c r="BC396" i="30"/>
  <c r="AF288" i="24"/>
  <c r="BA288" i="24" s="1"/>
  <c r="AR288" i="24"/>
  <c r="BM288" i="24" s="1"/>
  <c r="AG288" i="24"/>
  <c r="BB288" i="24" s="1"/>
  <c r="AH288" i="24"/>
  <c r="BC288" i="24" s="1"/>
  <c r="AI288" i="24"/>
  <c r="BD288" i="24" s="1"/>
  <c r="AJ288" i="24"/>
  <c r="BE288" i="24" s="1"/>
  <c r="AK288" i="24"/>
  <c r="BF288" i="24" s="1"/>
  <c r="Z288" i="24"/>
  <c r="AL288" i="24"/>
  <c r="BG288" i="24" s="1"/>
  <c r="AA288" i="24"/>
  <c r="AV288" i="24" s="1"/>
  <c r="AM288" i="24"/>
  <c r="BH288" i="24" s="1"/>
  <c r="AB288" i="24"/>
  <c r="AW288" i="24" s="1"/>
  <c r="AN288" i="24"/>
  <c r="BI288" i="24" s="1"/>
  <c r="AC288" i="24"/>
  <c r="AX288" i="24" s="1"/>
  <c r="AO288" i="24"/>
  <c r="BJ288" i="24" s="1"/>
  <c r="AD288" i="24"/>
  <c r="AY288" i="24" s="1"/>
  <c r="AP288" i="24"/>
  <c r="BK288" i="24" s="1"/>
  <c r="AE288" i="24"/>
  <c r="AZ288" i="24" s="1"/>
  <c r="AQ288" i="24"/>
  <c r="BL288" i="24" s="1"/>
  <c r="Y288" i="24"/>
  <c r="AT288" i="24" s="1"/>
  <c r="AD146" i="24"/>
  <c r="AY146" i="24" s="1"/>
  <c r="AP146" i="24"/>
  <c r="BK146" i="24" s="1"/>
  <c r="AE146" i="24"/>
  <c r="AZ146" i="24" s="1"/>
  <c r="AQ146" i="24"/>
  <c r="BL146" i="24" s="1"/>
  <c r="AF146" i="24"/>
  <c r="BA146" i="24" s="1"/>
  <c r="AR146" i="24"/>
  <c r="BM146" i="24" s="1"/>
  <c r="AG146" i="24"/>
  <c r="BB146" i="24" s="1"/>
  <c r="AH146" i="24"/>
  <c r="BC146" i="24" s="1"/>
  <c r="AI146" i="24"/>
  <c r="BD146" i="24" s="1"/>
  <c r="AJ146" i="24"/>
  <c r="BE146" i="24" s="1"/>
  <c r="AK146" i="24"/>
  <c r="BF146" i="24" s="1"/>
  <c r="Z146" i="24"/>
  <c r="AL146" i="24"/>
  <c r="BG146" i="24" s="1"/>
  <c r="AA146" i="24"/>
  <c r="AV146" i="24" s="1"/>
  <c r="AM146" i="24"/>
  <c r="BH146" i="24" s="1"/>
  <c r="AB146" i="24"/>
  <c r="AW146" i="24" s="1"/>
  <c r="AN146" i="24"/>
  <c r="BI146" i="24" s="1"/>
  <c r="AC146" i="24"/>
  <c r="AX146" i="24" s="1"/>
  <c r="Y146" i="24"/>
  <c r="AT146" i="24" s="1"/>
  <c r="AO146" i="24"/>
  <c r="BJ146" i="24" s="1"/>
  <c r="AG70" i="24"/>
  <c r="BB70" i="24" s="1"/>
  <c r="AH70" i="24"/>
  <c r="BC70" i="24" s="1"/>
  <c r="AI70" i="24"/>
  <c r="BD70" i="24" s="1"/>
  <c r="AJ70" i="24"/>
  <c r="BE70" i="24" s="1"/>
  <c r="AK70" i="24"/>
  <c r="BF70" i="24" s="1"/>
  <c r="Z70" i="24"/>
  <c r="AL70" i="24"/>
  <c r="BG70" i="24" s="1"/>
  <c r="AA70" i="24"/>
  <c r="AV70" i="24" s="1"/>
  <c r="AM70" i="24"/>
  <c r="BH70" i="24" s="1"/>
  <c r="AB70" i="24"/>
  <c r="AW70" i="24" s="1"/>
  <c r="AN70" i="24"/>
  <c r="BI70" i="24" s="1"/>
  <c r="AC70" i="24"/>
  <c r="AX70" i="24" s="1"/>
  <c r="AO70" i="24"/>
  <c r="BJ70" i="24" s="1"/>
  <c r="AD70" i="24"/>
  <c r="AY70" i="24" s="1"/>
  <c r="AP70" i="24"/>
  <c r="BK70" i="24" s="1"/>
  <c r="AE70" i="24"/>
  <c r="AZ70" i="24" s="1"/>
  <c r="AQ70" i="24"/>
  <c r="BL70" i="24" s="1"/>
  <c r="AR70" i="24"/>
  <c r="BM70" i="24" s="1"/>
  <c r="AF70" i="24"/>
  <c r="BA70" i="24" s="1"/>
  <c r="Y70" i="24"/>
  <c r="AT70" i="24" s="1"/>
  <c r="AH142" i="24"/>
  <c r="BC142" i="24" s="1"/>
  <c r="AI142" i="24"/>
  <c r="BD142" i="24" s="1"/>
  <c r="AJ142" i="24"/>
  <c r="BE142" i="24" s="1"/>
  <c r="AK142" i="24"/>
  <c r="BF142" i="24" s="1"/>
  <c r="Z142" i="24"/>
  <c r="AL142" i="24"/>
  <c r="BG142" i="24" s="1"/>
  <c r="AA142" i="24"/>
  <c r="AV142" i="24" s="1"/>
  <c r="AM142" i="24"/>
  <c r="BH142" i="24" s="1"/>
  <c r="AB142" i="24"/>
  <c r="AW142" i="24" s="1"/>
  <c r="AN142" i="24"/>
  <c r="BI142" i="24" s="1"/>
  <c r="AC142" i="24"/>
  <c r="AX142" i="24" s="1"/>
  <c r="AO142" i="24"/>
  <c r="BJ142" i="24" s="1"/>
  <c r="AD142" i="24"/>
  <c r="AY142" i="24" s="1"/>
  <c r="AP142" i="24"/>
  <c r="BK142" i="24" s="1"/>
  <c r="AE142" i="24"/>
  <c r="AZ142" i="24" s="1"/>
  <c r="AQ142" i="24"/>
  <c r="BL142" i="24" s="1"/>
  <c r="AF142" i="24"/>
  <c r="BA142" i="24" s="1"/>
  <c r="AR142" i="24"/>
  <c r="BM142" i="24" s="1"/>
  <c r="AG142" i="24"/>
  <c r="BB142" i="24" s="1"/>
  <c r="Y142" i="24"/>
  <c r="AT142" i="24" s="1"/>
  <c r="AH214" i="24"/>
  <c r="BC214" i="24" s="1"/>
  <c r="AI214" i="24"/>
  <c r="BD214" i="24" s="1"/>
  <c r="AJ214" i="24"/>
  <c r="BE214" i="24" s="1"/>
  <c r="AK214" i="24"/>
  <c r="BF214" i="24" s="1"/>
  <c r="Z214" i="24"/>
  <c r="AL214" i="24"/>
  <c r="BG214" i="24" s="1"/>
  <c r="AA214" i="24"/>
  <c r="AV214" i="24" s="1"/>
  <c r="AM214" i="24"/>
  <c r="BH214" i="24" s="1"/>
  <c r="AB214" i="24"/>
  <c r="AW214" i="24" s="1"/>
  <c r="AN214" i="24"/>
  <c r="BI214" i="24" s="1"/>
  <c r="AC214" i="24"/>
  <c r="AX214" i="24" s="1"/>
  <c r="AO214" i="24"/>
  <c r="BJ214" i="24" s="1"/>
  <c r="AD214" i="24"/>
  <c r="AY214" i="24" s="1"/>
  <c r="AP214" i="24"/>
  <c r="BK214" i="24" s="1"/>
  <c r="AE214" i="24"/>
  <c r="AZ214" i="24" s="1"/>
  <c r="AQ214" i="24"/>
  <c r="BL214" i="24" s="1"/>
  <c r="AF214" i="24"/>
  <c r="BA214" i="24" s="1"/>
  <c r="AR214" i="24"/>
  <c r="BM214" i="24" s="1"/>
  <c r="AG214" i="24"/>
  <c r="BB214" i="24" s="1"/>
  <c r="Y214" i="24"/>
  <c r="AT214" i="24" s="1"/>
  <c r="AK78" i="24"/>
  <c r="BF78" i="24" s="1"/>
  <c r="Z78" i="24"/>
  <c r="AL78" i="24"/>
  <c r="BG78" i="24" s="1"/>
  <c r="AA78" i="24"/>
  <c r="AV78" i="24" s="1"/>
  <c r="AM78" i="24"/>
  <c r="BH78" i="24" s="1"/>
  <c r="AB78" i="24"/>
  <c r="AW78" i="24" s="1"/>
  <c r="AN78" i="24"/>
  <c r="BI78" i="24" s="1"/>
  <c r="AC78" i="24"/>
  <c r="AX78" i="24" s="1"/>
  <c r="AO78" i="24"/>
  <c r="BJ78" i="24" s="1"/>
  <c r="AD78" i="24"/>
  <c r="AY78" i="24" s="1"/>
  <c r="AP78" i="24"/>
  <c r="BK78" i="24" s="1"/>
  <c r="AE78" i="24"/>
  <c r="AZ78" i="24" s="1"/>
  <c r="AQ78" i="24"/>
  <c r="BL78" i="24" s="1"/>
  <c r="AF78" i="24"/>
  <c r="BA78" i="24" s="1"/>
  <c r="AR78" i="24"/>
  <c r="BM78" i="24" s="1"/>
  <c r="AG78" i="24"/>
  <c r="BB78" i="24" s="1"/>
  <c r="AH78" i="24"/>
  <c r="BC78" i="24" s="1"/>
  <c r="AI78" i="24"/>
  <c r="BD78" i="24" s="1"/>
  <c r="AJ78" i="24"/>
  <c r="BE78" i="24" s="1"/>
  <c r="Y78" i="24"/>
  <c r="AT78" i="24" s="1"/>
  <c r="Z150" i="24"/>
  <c r="AL150" i="24"/>
  <c r="BG150" i="24" s="1"/>
  <c r="AA150" i="24"/>
  <c r="AV150" i="24" s="1"/>
  <c r="AM150" i="24"/>
  <c r="BH150" i="24" s="1"/>
  <c r="AB150" i="24"/>
  <c r="AW150" i="24" s="1"/>
  <c r="AN150" i="24"/>
  <c r="BI150" i="24" s="1"/>
  <c r="AC150" i="24"/>
  <c r="AX150" i="24" s="1"/>
  <c r="AO150" i="24"/>
  <c r="BJ150" i="24" s="1"/>
  <c r="AD150" i="24"/>
  <c r="AY150" i="24" s="1"/>
  <c r="AP150" i="24"/>
  <c r="BK150" i="24" s="1"/>
  <c r="AE150" i="24"/>
  <c r="AZ150" i="24" s="1"/>
  <c r="AQ150" i="24"/>
  <c r="BL150" i="24" s="1"/>
  <c r="AF150" i="24"/>
  <c r="BA150" i="24" s="1"/>
  <c r="AR150" i="24"/>
  <c r="BM150" i="24" s="1"/>
  <c r="AG150" i="24"/>
  <c r="BB150" i="24" s="1"/>
  <c r="AH150" i="24"/>
  <c r="BC150" i="24" s="1"/>
  <c r="AI150" i="24"/>
  <c r="BD150" i="24" s="1"/>
  <c r="AJ150" i="24"/>
  <c r="BE150" i="24" s="1"/>
  <c r="Y150" i="24"/>
  <c r="AT150" i="24" s="1"/>
  <c r="AK150" i="24"/>
  <c r="BF150" i="24" s="1"/>
  <c r="Z222" i="24"/>
  <c r="AL222" i="24"/>
  <c r="BG222" i="24" s="1"/>
  <c r="AA222" i="24"/>
  <c r="AV222" i="24" s="1"/>
  <c r="AM222" i="24"/>
  <c r="BH222" i="24" s="1"/>
  <c r="AB222" i="24"/>
  <c r="AW222" i="24" s="1"/>
  <c r="AN222" i="24"/>
  <c r="BI222" i="24" s="1"/>
  <c r="AC222" i="24"/>
  <c r="AX222" i="24" s="1"/>
  <c r="AO222" i="24"/>
  <c r="BJ222" i="24" s="1"/>
  <c r="AD222" i="24"/>
  <c r="AY222" i="24" s="1"/>
  <c r="AP222" i="24"/>
  <c r="BK222" i="24" s="1"/>
  <c r="AE222" i="24"/>
  <c r="AZ222" i="24" s="1"/>
  <c r="AQ222" i="24"/>
  <c r="BL222" i="24" s="1"/>
  <c r="AF222" i="24"/>
  <c r="BA222" i="24" s="1"/>
  <c r="AR222" i="24"/>
  <c r="BM222" i="24" s="1"/>
  <c r="AG222" i="24"/>
  <c r="BB222" i="24" s="1"/>
  <c r="AH222" i="24"/>
  <c r="BC222" i="24" s="1"/>
  <c r="AI222" i="24"/>
  <c r="BD222" i="24" s="1"/>
  <c r="AJ222" i="24"/>
  <c r="BE222" i="24" s="1"/>
  <c r="AK222" i="24"/>
  <c r="BF222" i="24" s="1"/>
  <c r="Y222" i="24"/>
  <c r="AT222" i="24" s="1"/>
  <c r="Z294" i="24"/>
  <c r="AL294" i="24"/>
  <c r="BG294" i="24" s="1"/>
  <c r="AA294" i="24"/>
  <c r="AV294" i="24" s="1"/>
  <c r="AM294" i="24"/>
  <c r="BH294" i="24" s="1"/>
  <c r="AB294" i="24"/>
  <c r="AW294" i="24" s="1"/>
  <c r="AN294" i="24"/>
  <c r="BI294" i="24" s="1"/>
  <c r="AC294" i="24"/>
  <c r="AX294" i="24" s="1"/>
  <c r="AO294" i="24"/>
  <c r="BJ294" i="24" s="1"/>
  <c r="AD294" i="24"/>
  <c r="AY294" i="24" s="1"/>
  <c r="AP294" i="24"/>
  <c r="BK294" i="24" s="1"/>
  <c r="AE294" i="24"/>
  <c r="AZ294" i="24" s="1"/>
  <c r="AQ294" i="24"/>
  <c r="BL294" i="24" s="1"/>
  <c r="AF294" i="24"/>
  <c r="BA294" i="24" s="1"/>
  <c r="AR294" i="24"/>
  <c r="BM294" i="24" s="1"/>
  <c r="AG294" i="24"/>
  <c r="BB294" i="24" s="1"/>
  <c r="AH294" i="24"/>
  <c r="BC294" i="24" s="1"/>
  <c r="AI294" i="24"/>
  <c r="BD294" i="24" s="1"/>
  <c r="AJ294" i="24"/>
  <c r="BE294" i="24" s="1"/>
  <c r="Y294" i="24"/>
  <c r="AT294" i="24" s="1"/>
  <c r="AK294" i="24"/>
  <c r="BF294" i="24" s="1"/>
  <c r="AK366" i="24"/>
  <c r="BF366" i="24" s="1"/>
  <c r="Z366" i="24"/>
  <c r="AL366" i="24"/>
  <c r="BG366" i="24" s="1"/>
  <c r="AA366" i="24"/>
  <c r="AV366" i="24" s="1"/>
  <c r="AM366" i="24"/>
  <c r="BH366" i="24" s="1"/>
  <c r="AJ366" i="24"/>
  <c r="BE366" i="24" s="1"/>
  <c r="AB366" i="24"/>
  <c r="AW366" i="24" s="1"/>
  <c r="AN366" i="24"/>
  <c r="BI366" i="24" s="1"/>
  <c r="Y366" i="24"/>
  <c r="AT366" i="24" s="1"/>
  <c r="AG366" i="24"/>
  <c r="BB366" i="24" s="1"/>
  <c r="AC366" i="24"/>
  <c r="AX366" i="24" s="1"/>
  <c r="AO366" i="24"/>
  <c r="BJ366" i="24" s="1"/>
  <c r="AD366" i="24"/>
  <c r="AY366" i="24" s="1"/>
  <c r="AP366" i="24"/>
  <c r="BK366" i="24" s="1"/>
  <c r="AE366" i="24"/>
  <c r="AZ366" i="24" s="1"/>
  <c r="AQ366" i="24"/>
  <c r="BL366" i="24" s="1"/>
  <c r="AF366" i="24"/>
  <c r="BA366" i="24" s="1"/>
  <c r="AR366" i="24"/>
  <c r="BM366" i="24" s="1"/>
  <c r="AH366" i="24"/>
  <c r="BC366" i="24" s="1"/>
  <c r="AI366" i="24"/>
  <c r="BD366" i="24" s="1"/>
  <c r="AI319" i="24"/>
  <c r="BD319" i="24" s="1"/>
  <c r="AJ319" i="24"/>
  <c r="BE319" i="24" s="1"/>
  <c r="AK319" i="24"/>
  <c r="BF319" i="24" s="1"/>
  <c r="Z319" i="24"/>
  <c r="AL319" i="24"/>
  <c r="BG319" i="24" s="1"/>
  <c r="AA319" i="24"/>
  <c r="AV319" i="24" s="1"/>
  <c r="AM319" i="24"/>
  <c r="BH319" i="24" s="1"/>
  <c r="AB319" i="24"/>
  <c r="AW319" i="24" s="1"/>
  <c r="AN319" i="24"/>
  <c r="BI319" i="24" s="1"/>
  <c r="Y319" i="24"/>
  <c r="AT319" i="24" s="1"/>
  <c r="AC319" i="24"/>
  <c r="AX319" i="24" s="1"/>
  <c r="AO319" i="24"/>
  <c r="BJ319" i="24" s="1"/>
  <c r="AD319" i="24"/>
  <c r="AY319" i="24" s="1"/>
  <c r="AP319" i="24"/>
  <c r="BK319" i="24" s="1"/>
  <c r="AE319" i="24"/>
  <c r="AZ319" i="24" s="1"/>
  <c r="AQ319" i="24"/>
  <c r="BL319" i="24" s="1"/>
  <c r="AH319" i="24"/>
  <c r="BC319" i="24" s="1"/>
  <c r="AF319" i="24"/>
  <c r="BA319" i="24" s="1"/>
  <c r="AR319" i="24"/>
  <c r="BM319" i="24" s="1"/>
  <c r="AG319" i="24"/>
  <c r="BB319" i="24" s="1"/>
  <c r="AC337" i="24"/>
  <c r="AX337" i="24" s="1"/>
  <c r="AO337" i="24"/>
  <c r="BJ337" i="24" s="1"/>
  <c r="AD337" i="24"/>
  <c r="AY337" i="24" s="1"/>
  <c r="AP337" i="24"/>
  <c r="BK337" i="24" s="1"/>
  <c r="AE337" i="24"/>
  <c r="AZ337" i="24" s="1"/>
  <c r="AQ337" i="24"/>
  <c r="BL337" i="24" s="1"/>
  <c r="AF337" i="24"/>
  <c r="BA337" i="24" s="1"/>
  <c r="AR337" i="24"/>
  <c r="BM337" i="24" s="1"/>
  <c r="AG337" i="24"/>
  <c r="BB337" i="24" s="1"/>
  <c r="Y337" i="24"/>
  <c r="AT337" i="24" s="1"/>
  <c r="AH337" i="24"/>
  <c r="BC337" i="24" s="1"/>
  <c r="AI337" i="24"/>
  <c r="BD337" i="24" s="1"/>
  <c r="AJ337" i="24"/>
  <c r="BE337" i="24" s="1"/>
  <c r="AB337" i="24"/>
  <c r="AW337" i="24" s="1"/>
  <c r="AK337" i="24"/>
  <c r="BF337" i="24" s="1"/>
  <c r="AN337" i="24"/>
  <c r="BI337" i="24" s="1"/>
  <c r="Z337" i="24"/>
  <c r="AL337" i="24"/>
  <c r="BG337" i="24" s="1"/>
  <c r="AA337" i="24"/>
  <c r="AV337" i="24" s="1"/>
  <c r="AM337" i="24"/>
  <c r="BH337" i="24" s="1"/>
  <c r="AK133" i="24"/>
  <c r="BF133" i="24" s="1"/>
  <c r="Z133" i="24"/>
  <c r="AL133" i="24"/>
  <c r="BG133" i="24" s="1"/>
  <c r="AA133" i="24"/>
  <c r="AV133" i="24" s="1"/>
  <c r="AM133" i="24"/>
  <c r="BH133" i="24" s="1"/>
  <c r="AB133" i="24"/>
  <c r="AW133" i="24" s="1"/>
  <c r="AN133" i="24"/>
  <c r="BI133" i="24" s="1"/>
  <c r="AC133" i="24"/>
  <c r="AX133" i="24" s="1"/>
  <c r="AO133" i="24"/>
  <c r="BJ133" i="24" s="1"/>
  <c r="AD133" i="24"/>
  <c r="AY133" i="24" s="1"/>
  <c r="AP133" i="24"/>
  <c r="BK133" i="24" s="1"/>
  <c r="AE133" i="24"/>
  <c r="AZ133" i="24" s="1"/>
  <c r="AQ133" i="24"/>
  <c r="BL133" i="24" s="1"/>
  <c r="AF133" i="24"/>
  <c r="BA133" i="24" s="1"/>
  <c r="AR133" i="24"/>
  <c r="BM133" i="24" s="1"/>
  <c r="AG133" i="24"/>
  <c r="BB133" i="24" s="1"/>
  <c r="AH133" i="24"/>
  <c r="BC133" i="24" s="1"/>
  <c r="AI133" i="24"/>
  <c r="BD133" i="24" s="1"/>
  <c r="AJ133" i="24"/>
  <c r="BE133" i="24" s="1"/>
  <c r="Y133" i="24"/>
  <c r="AT133" i="24" s="1"/>
  <c r="AK265" i="24"/>
  <c r="BF265" i="24" s="1"/>
  <c r="Z265" i="24"/>
  <c r="AL265" i="24"/>
  <c r="BG265" i="24" s="1"/>
  <c r="AA265" i="24"/>
  <c r="AV265" i="24" s="1"/>
  <c r="AM265" i="24"/>
  <c r="BH265" i="24" s="1"/>
  <c r="AB265" i="24"/>
  <c r="AW265" i="24" s="1"/>
  <c r="AN265" i="24"/>
  <c r="BI265" i="24" s="1"/>
  <c r="AC265" i="24"/>
  <c r="AX265" i="24" s="1"/>
  <c r="AO265" i="24"/>
  <c r="BJ265" i="24" s="1"/>
  <c r="AD265" i="24"/>
  <c r="AY265" i="24" s="1"/>
  <c r="AP265" i="24"/>
  <c r="BK265" i="24" s="1"/>
  <c r="AE265" i="24"/>
  <c r="AZ265" i="24" s="1"/>
  <c r="AQ265" i="24"/>
  <c r="BL265" i="24" s="1"/>
  <c r="AF265" i="24"/>
  <c r="BA265" i="24" s="1"/>
  <c r="AR265" i="24"/>
  <c r="BM265" i="24" s="1"/>
  <c r="AG265" i="24"/>
  <c r="BB265" i="24" s="1"/>
  <c r="AH265" i="24"/>
  <c r="BC265" i="24" s="1"/>
  <c r="AI265" i="24"/>
  <c r="BD265" i="24" s="1"/>
  <c r="Y265" i="24"/>
  <c r="AT265" i="24" s="1"/>
  <c r="AJ265" i="24"/>
  <c r="BE265" i="24" s="1"/>
  <c r="AI111" i="24"/>
  <c r="BD111" i="24" s="1"/>
  <c r="AJ111" i="24"/>
  <c r="BE111" i="24" s="1"/>
  <c r="AK111" i="24"/>
  <c r="BF111" i="24" s="1"/>
  <c r="Z111" i="24"/>
  <c r="AL111" i="24"/>
  <c r="BG111" i="24" s="1"/>
  <c r="AA111" i="24"/>
  <c r="AV111" i="24" s="1"/>
  <c r="AM111" i="24"/>
  <c r="BH111" i="24" s="1"/>
  <c r="AB111" i="24"/>
  <c r="AW111" i="24" s="1"/>
  <c r="AN111" i="24"/>
  <c r="BI111" i="24" s="1"/>
  <c r="AC111" i="24"/>
  <c r="AX111" i="24" s="1"/>
  <c r="AO111" i="24"/>
  <c r="BJ111" i="24" s="1"/>
  <c r="AD111" i="24"/>
  <c r="AY111" i="24" s="1"/>
  <c r="AP111" i="24"/>
  <c r="BK111" i="24" s="1"/>
  <c r="AE111" i="24"/>
  <c r="AZ111" i="24" s="1"/>
  <c r="AQ111" i="24"/>
  <c r="BL111" i="24" s="1"/>
  <c r="AF111" i="24"/>
  <c r="BA111" i="24" s="1"/>
  <c r="AR111" i="24"/>
  <c r="BM111" i="24" s="1"/>
  <c r="AG111" i="24"/>
  <c r="BB111" i="24" s="1"/>
  <c r="Y111" i="24"/>
  <c r="AT111" i="24" s="1"/>
  <c r="AH111" i="24"/>
  <c r="BC111" i="24" s="1"/>
  <c r="AI183" i="24"/>
  <c r="BD183" i="24" s="1"/>
  <c r="AJ183" i="24"/>
  <c r="BE183" i="24" s="1"/>
  <c r="AK183" i="24"/>
  <c r="BF183" i="24" s="1"/>
  <c r="Z183" i="24"/>
  <c r="AL183" i="24"/>
  <c r="BG183" i="24" s="1"/>
  <c r="AA183" i="24"/>
  <c r="AV183" i="24" s="1"/>
  <c r="AM183" i="24"/>
  <c r="BH183" i="24" s="1"/>
  <c r="AB183" i="24"/>
  <c r="AW183" i="24" s="1"/>
  <c r="AN183" i="24"/>
  <c r="BI183" i="24" s="1"/>
  <c r="AC183" i="24"/>
  <c r="AX183" i="24" s="1"/>
  <c r="AO183" i="24"/>
  <c r="BJ183" i="24" s="1"/>
  <c r="AD183" i="24"/>
  <c r="AY183" i="24" s="1"/>
  <c r="AP183" i="24"/>
  <c r="BK183" i="24" s="1"/>
  <c r="AE183" i="24"/>
  <c r="AZ183" i="24" s="1"/>
  <c r="AQ183" i="24"/>
  <c r="BL183" i="24" s="1"/>
  <c r="AF183" i="24"/>
  <c r="BA183" i="24" s="1"/>
  <c r="AR183" i="24"/>
  <c r="BM183" i="24" s="1"/>
  <c r="AG183" i="24"/>
  <c r="BB183" i="24" s="1"/>
  <c r="Y183" i="24"/>
  <c r="AT183" i="24" s="1"/>
  <c r="AH183" i="24"/>
  <c r="BC183" i="24" s="1"/>
  <c r="AI255" i="24"/>
  <c r="BD255" i="24" s="1"/>
  <c r="AJ255" i="24"/>
  <c r="BE255" i="24" s="1"/>
  <c r="AK255" i="24"/>
  <c r="BF255" i="24" s="1"/>
  <c r="Z255" i="24"/>
  <c r="AL255" i="24"/>
  <c r="BG255" i="24" s="1"/>
  <c r="AA255" i="24"/>
  <c r="AV255" i="24" s="1"/>
  <c r="AM255" i="24"/>
  <c r="BH255" i="24" s="1"/>
  <c r="AB255" i="24"/>
  <c r="AW255" i="24" s="1"/>
  <c r="AN255" i="24"/>
  <c r="BI255" i="24" s="1"/>
  <c r="AC255" i="24"/>
  <c r="AX255" i="24" s="1"/>
  <c r="AO255" i="24"/>
  <c r="BJ255" i="24" s="1"/>
  <c r="AD255" i="24"/>
  <c r="AY255" i="24" s="1"/>
  <c r="AP255" i="24"/>
  <c r="BK255" i="24" s="1"/>
  <c r="AE255" i="24"/>
  <c r="AZ255" i="24" s="1"/>
  <c r="AQ255" i="24"/>
  <c r="BL255" i="24" s="1"/>
  <c r="AF255" i="24"/>
  <c r="BA255" i="24" s="1"/>
  <c r="AR255" i="24"/>
  <c r="BM255" i="24" s="1"/>
  <c r="AG255" i="24"/>
  <c r="BB255" i="24" s="1"/>
  <c r="Y255" i="24"/>
  <c r="AT255" i="24" s="1"/>
  <c r="AH255" i="24"/>
  <c r="BC255" i="24" s="1"/>
  <c r="AA327" i="24"/>
  <c r="AV327" i="24" s="1"/>
  <c r="AM327" i="24"/>
  <c r="BH327" i="24" s="1"/>
  <c r="AB327" i="24"/>
  <c r="AW327" i="24" s="1"/>
  <c r="AN327" i="24"/>
  <c r="BI327" i="24" s="1"/>
  <c r="Y327" i="24"/>
  <c r="AT327" i="24" s="1"/>
  <c r="AC327" i="24"/>
  <c r="AX327" i="24" s="1"/>
  <c r="AO327" i="24"/>
  <c r="BJ327" i="24" s="1"/>
  <c r="AD327" i="24"/>
  <c r="AY327" i="24" s="1"/>
  <c r="AP327" i="24"/>
  <c r="BK327" i="24" s="1"/>
  <c r="AE327" i="24"/>
  <c r="AZ327" i="24" s="1"/>
  <c r="AQ327" i="24"/>
  <c r="BL327" i="24" s="1"/>
  <c r="AF327" i="24"/>
  <c r="BA327" i="24" s="1"/>
  <c r="AR327" i="24"/>
  <c r="BM327" i="24" s="1"/>
  <c r="AG327" i="24"/>
  <c r="BB327" i="24" s="1"/>
  <c r="AH327" i="24"/>
  <c r="BC327" i="24" s="1"/>
  <c r="AI327" i="24"/>
  <c r="BD327" i="24" s="1"/>
  <c r="AJ327" i="24"/>
  <c r="BE327" i="24" s="1"/>
  <c r="Z327" i="24"/>
  <c r="AK327" i="24"/>
  <c r="BF327" i="24" s="1"/>
  <c r="AL327" i="24"/>
  <c r="BG327" i="24" s="1"/>
  <c r="AH314" i="24"/>
  <c r="BC314" i="24" s="1"/>
  <c r="Y314" i="24"/>
  <c r="AT314" i="24" s="1"/>
  <c r="AI314" i="24"/>
  <c r="BD314" i="24" s="1"/>
  <c r="AJ314" i="24"/>
  <c r="BE314" i="24" s="1"/>
  <c r="AK314" i="24"/>
  <c r="BF314" i="24" s="1"/>
  <c r="Z314" i="24"/>
  <c r="AL314" i="24"/>
  <c r="BG314" i="24" s="1"/>
  <c r="AA314" i="24"/>
  <c r="AV314" i="24" s="1"/>
  <c r="AM314" i="24"/>
  <c r="BH314" i="24" s="1"/>
  <c r="AB314" i="24"/>
  <c r="AW314" i="24" s="1"/>
  <c r="AN314" i="24"/>
  <c r="BI314" i="24" s="1"/>
  <c r="AC314" i="24"/>
  <c r="AX314" i="24" s="1"/>
  <c r="AO314" i="24"/>
  <c r="BJ314" i="24" s="1"/>
  <c r="AD314" i="24"/>
  <c r="AY314" i="24" s="1"/>
  <c r="AP314" i="24"/>
  <c r="BK314" i="24" s="1"/>
  <c r="AE314" i="24"/>
  <c r="AZ314" i="24" s="1"/>
  <c r="AQ314" i="24"/>
  <c r="BL314" i="24" s="1"/>
  <c r="AF314" i="24"/>
  <c r="BA314" i="24" s="1"/>
  <c r="AR314" i="24"/>
  <c r="BM314" i="24" s="1"/>
  <c r="AG314" i="24"/>
  <c r="BB314" i="24" s="1"/>
  <c r="AA131" i="24"/>
  <c r="AV131" i="24" s="1"/>
  <c r="AM131" i="24"/>
  <c r="BH131" i="24" s="1"/>
  <c r="AB131" i="24"/>
  <c r="AW131" i="24" s="1"/>
  <c r="AN131" i="24"/>
  <c r="BI131" i="24" s="1"/>
  <c r="AC131" i="24"/>
  <c r="AX131" i="24" s="1"/>
  <c r="AO131" i="24"/>
  <c r="BJ131" i="24" s="1"/>
  <c r="AD131" i="24"/>
  <c r="AY131" i="24" s="1"/>
  <c r="AP131" i="24"/>
  <c r="BK131" i="24" s="1"/>
  <c r="AE131" i="24"/>
  <c r="AZ131" i="24" s="1"/>
  <c r="AQ131" i="24"/>
  <c r="BL131" i="24" s="1"/>
  <c r="AF131" i="24"/>
  <c r="BA131" i="24" s="1"/>
  <c r="AR131" i="24"/>
  <c r="BM131" i="24" s="1"/>
  <c r="AG131" i="24"/>
  <c r="BB131" i="24" s="1"/>
  <c r="AH131" i="24"/>
  <c r="BC131" i="24" s="1"/>
  <c r="AI131" i="24"/>
  <c r="BD131" i="24" s="1"/>
  <c r="AJ131" i="24"/>
  <c r="BE131" i="24" s="1"/>
  <c r="AK131" i="24"/>
  <c r="BF131" i="24" s="1"/>
  <c r="Z131" i="24"/>
  <c r="AL131" i="24"/>
  <c r="BG131" i="24" s="1"/>
  <c r="Y131" i="24"/>
  <c r="AT131" i="24" s="1"/>
  <c r="AK305" i="24"/>
  <c r="BF305" i="24" s="1"/>
  <c r="Z305" i="24"/>
  <c r="AL305" i="24"/>
  <c r="BG305" i="24" s="1"/>
  <c r="AA305" i="24"/>
  <c r="AV305" i="24" s="1"/>
  <c r="AM305" i="24"/>
  <c r="BH305" i="24" s="1"/>
  <c r="AB305" i="24"/>
  <c r="AW305" i="24" s="1"/>
  <c r="AN305" i="24"/>
  <c r="BI305" i="24" s="1"/>
  <c r="Y305" i="24"/>
  <c r="AT305" i="24" s="1"/>
  <c r="AC305" i="24"/>
  <c r="AX305" i="24" s="1"/>
  <c r="AO305" i="24"/>
  <c r="BJ305" i="24" s="1"/>
  <c r="AD305" i="24"/>
  <c r="AY305" i="24" s="1"/>
  <c r="AP305" i="24"/>
  <c r="BK305" i="24" s="1"/>
  <c r="AE305" i="24"/>
  <c r="AZ305" i="24" s="1"/>
  <c r="AQ305" i="24"/>
  <c r="BL305" i="24" s="1"/>
  <c r="AF305" i="24"/>
  <c r="BA305" i="24" s="1"/>
  <c r="AR305" i="24"/>
  <c r="BM305" i="24" s="1"/>
  <c r="AJ305" i="24"/>
  <c r="BE305" i="24" s="1"/>
  <c r="AG305" i="24"/>
  <c r="BB305" i="24" s="1"/>
  <c r="AH305" i="24"/>
  <c r="BC305" i="24" s="1"/>
  <c r="AI305" i="24"/>
  <c r="BD305" i="24" s="1"/>
  <c r="AA376" i="24"/>
  <c r="AV376" i="24" s="1"/>
  <c r="AM376" i="24"/>
  <c r="BH376" i="24" s="1"/>
  <c r="Y376" i="24"/>
  <c r="AT376" i="24" s="1"/>
  <c r="AB376" i="24"/>
  <c r="AW376" i="24" s="1"/>
  <c r="AN376" i="24"/>
  <c r="BI376" i="24" s="1"/>
  <c r="AO376" i="24"/>
  <c r="BJ376" i="24" s="1"/>
  <c r="AC376" i="24"/>
  <c r="AX376" i="24" s="1"/>
  <c r="AL376" i="24"/>
  <c r="BG376" i="24" s="1"/>
  <c r="AD376" i="24"/>
  <c r="AY376" i="24" s="1"/>
  <c r="AP376" i="24"/>
  <c r="BK376" i="24" s="1"/>
  <c r="AI376" i="24"/>
  <c r="BD376" i="24" s="1"/>
  <c r="AE376" i="24"/>
  <c r="AZ376" i="24" s="1"/>
  <c r="AQ376" i="24"/>
  <c r="BL376" i="24" s="1"/>
  <c r="Z376" i="24"/>
  <c r="AF376" i="24"/>
  <c r="BA376" i="24" s="1"/>
  <c r="AR376" i="24"/>
  <c r="BM376" i="24" s="1"/>
  <c r="AG376" i="24"/>
  <c r="BB376" i="24" s="1"/>
  <c r="AH376" i="24"/>
  <c r="BC376" i="24" s="1"/>
  <c r="AJ376" i="24"/>
  <c r="BE376" i="24" s="1"/>
  <c r="AK376" i="24"/>
  <c r="BF376" i="24" s="1"/>
  <c r="AG209" i="24"/>
  <c r="BB209" i="24" s="1"/>
  <c r="AH209" i="24"/>
  <c r="BC209" i="24" s="1"/>
  <c r="AI209" i="24"/>
  <c r="BD209" i="24" s="1"/>
  <c r="AJ209" i="24"/>
  <c r="BE209" i="24" s="1"/>
  <c r="AK209" i="24"/>
  <c r="BF209" i="24" s="1"/>
  <c r="Z209" i="24"/>
  <c r="AL209" i="24"/>
  <c r="BG209" i="24" s="1"/>
  <c r="AA209" i="24"/>
  <c r="AV209" i="24" s="1"/>
  <c r="AM209" i="24"/>
  <c r="BH209" i="24" s="1"/>
  <c r="AB209" i="24"/>
  <c r="AW209" i="24" s="1"/>
  <c r="AN209" i="24"/>
  <c r="BI209" i="24" s="1"/>
  <c r="AC209" i="24"/>
  <c r="AX209" i="24" s="1"/>
  <c r="AO209" i="24"/>
  <c r="BJ209" i="24" s="1"/>
  <c r="AD209" i="24"/>
  <c r="AY209" i="24" s="1"/>
  <c r="AP209" i="24"/>
  <c r="BK209" i="24" s="1"/>
  <c r="AE209" i="24"/>
  <c r="AZ209" i="24" s="1"/>
  <c r="AQ209" i="24"/>
  <c r="BL209" i="24" s="1"/>
  <c r="Y209" i="24"/>
  <c r="AT209" i="24" s="1"/>
  <c r="AF209" i="24"/>
  <c r="BA209" i="24" s="1"/>
  <c r="AR209" i="24"/>
  <c r="BM209" i="24" s="1"/>
  <c r="AD158" i="24"/>
  <c r="AY158" i="24" s="1"/>
  <c r="AP158" i="24"/>
  <c r="BK158" i="24" s="1"/>
  <c r="AE158" i="24"/>
  <c r="AZ158" i="24" s="1"/>
  <c r="AQ158" i="24"/>
  <c r="BL158" i="24" s="1"/>
  <c r="AF158" i="24"/>
  <c r="BA158" i="24" s="1"/>
  <c r="AR158" i="24"/>
  <c r="BM158" i="24" s="1"/>
  <c r="AG158" i="24"/>
  <c r="BB158" i="24" s="1"/>
  <c r="AH158" i="24"/>
  <c r="BC158" i="24" s="1"/>
  <c r="AI158" i="24"/>
  <c r="BD158" i="24" s="1"/>
  <c r="AJ158" i="24"/>
  <c r="BE158" i="24" s="1"/>
  <c r="AK158" i="24"/>
  <c r="BF158" i="24" s="1"/>
  <c r="Z158" i="24"/>
  <c r="AL158" i="24"/>
  <c r="BG158" i="24" s="1"/>
  <c r="AA158" i="24"/>
  <c r="AV158" i="24" s="1"/>
  <c r="AM158" i="24"/>
  <c r="BH158" i="24" s="1"/>
  <c r="AB158" i="24"/>
  <c r="AW158" i="24" s="1"/>
  <c r="AN158" i="24"/>
  <c r="BI158" i="24" s="1"/>
  <c r="Y158" i="24"/>
  <c r="AT158" i="24" s="1"/>
  <c r="AC158" i="24"/>
  <c r="AX158" i="24" s="1"/>
  <c r="AO158" i="24"/>
  <c r="BJ158" i="24" s="1"/>
  <c r="AD278" i="24"/>
  <c r="AY278" i="24" s="1"/>
  <c r="AP278" i="24"/>
  <c r="BK278" i="24" s="1"/>
  <c r="AE278" i="24"/>
  <c r="AZ278" i="24" s="1"/>
  <c r="AQ278" i="24"/>
  <c r="BL278" i="24" s="1"/>
  <c r="AF278" i="24"/>
  <c r="BA278" i="24" s="1"/>
  <c r="AR278" i="24"/>
  <c r="BM278" i="24" s="1"/>
  <c r="AG278" i="24"/>
  <c r="BB278" i="24" s="1"/>
  <c r="AH278" i="24"/>
  <c r="BC278" i="24" s="1"/>
  <c r="AI278" i="24"/>
  <c r="BD278" i="24" s="1"/>
  <c r="AJ278" i="24"/>
  <c r="BE278" i="24" s="1"/>
  <c r="AK278" i="24"/>
  <c r="BF278" i="24" s="1"/>
  <c r="Z278" i="24"/>
  <c r="AL278" i="24"/>
  <c r="BG278" i="24" s="1"/>
  <c r="AA278" i="24"/>
  <c r="AV278" i="24" s="1"/>
  <c r="AM278" i="24"/>
  <c r="BH278" i="24" s="1"/>
  <c r="AB278" i="24"/>
  <c r="AW278" i="24" s="1"/>
  <c r="AN278" i="24"/>
  <c r="BI278" i="24" s="1"/>
  <c r="Y278" i="24"/>
  <c r="AT278" i="24" s="1"/>
  <c r="AC278" i="24"/>
  <c r="AX278" i="24" s="1"/>
  <c r="AO278" i="24"/>
  <c r="BJ278" i="24" s="1"/>
  <c r="AG269" i="24"/>
  <c r="BB269" i="24" s="1"/>
  <c r="AH269" i="24"/>
  <c r="BC269" i="24" s="1"/>
  <c r="AI269" i="24"/>
  <c r="BD269" i="24" s="1"/>
  <c r="AJ269" i="24"/>
  <c r="BE269" i="24" s="1"/>
  <c r="AK269" i="24"/>
  <c r="BF269" i="24" s="1"/>
  <c r="Z269" i="24"/>
  <c r="AL269" i="24"/>
  <c r="BG269" i="24" s="1"/>
  <c r="AA269" i="24"/>
  <c r="AV269" i="24" s="1"/>
  <c r="AM269" i="24"/>
  <c r="BH269" i="24" s="1"/>
  <c r="AB269" i="24"/>
  <c r="AW269" i="24" s="1"/>
  <c r="AN269" i="24"/>
  <c r="BI269" i="24" s="1"/>
  <c r="AC269" i="24"/>
  <c r="AX269" i="24" s="1"/>
  <c r="AO269" i="24"/>
  <c r="BJ269" i="24" s="1"/>
  <c r="AD269" i="24"/>
  <c r="AY269" i="24" s="1"/>
  <c r="AP269" i="24"/>
  <c r="BK269" i="24" s="1"/>
  <c r="AE269" i="24"/>
  <c r="AZ269" i="24" s="1"/>
  <c r="AQ269" i="24"/>
  <c r="BL269" i="24" s="1"/>
  <c r="AF269" i="24"/>
  <c r="BA269" i="24" s="1"/>
  <c r="Y269" i="24"/>
  <c r="AT269" i="24" s="1"/>
  <c r="AR269" i="24"/>
  <c r="BM269" i="24" s="1"/>
  <c r="Z322" i="24"/>
  <c r="AL322" i="24"/>
  <c r="BG322" i="24" s="1"/>
  <c r="AA322" i="24"/>
  <c r="AV322" i="24" s="1"/>
  <c r="AM322" i="24"/>
  <c r="BH322" i="24" s="1"/>
  <c r="AB322" i="24"/>
  <c r="AW322" i="24" s="1"/>
  <c r="AN322" i="24"/>
  <c r="BI322" i="24" s="1"/>
  <c r="AC322" i="24"/>
  <c r="AX322" i="24" s="1"/>
  <c r="AO322" i="24"/>
  <c r="BJ322" i="24" s="1"/>
  <c r="AD322" i="24"/>
  <c r="AY322" i="24" s="1"/>
  <c r="AP322" i="24"/>
  <c r="BK322" i="24" s="1"/>
  <c r="AE322" i="24"/>
  <c r="AZ322" i="24" s="1"/>
  <c r="AQ322" i="24"/>
  <c r="BL322" i="24" s="1"/>
  <c r="AF322" i="24"/>
  <c r="BA322" i="24" s="1"/>
  <c r="AR322" i="24"/>
  <c r="BM322" i="24" s="1"/>
  <c r="AK322" i="24"/>
  <c r="BF322" i="24" s="1"/>
  <c r="AG322" i="24"/>
  <c r="BB322" i="24" s="1"/>
  <c r="AH322" i="24"/>
  <c r="BC322" i="24" s="1"/>
  <c r="Y322" i="24"/>
  <c r="AT322" i="24" s="1"/>
  <c r="AI322" i="24"/>
  <c r="BD322" i="24" s="1"/>
  <c r="AJ322" i="24"/>
  <c r="BE322" i="24" s="1"/>
  <c r="AI380" i="24"/>
  <c r="BD380" i="24" s="1"/>
  <c r="AJ380" i="24"/>
  <c r="BE380" i="24" s="1"/>
  <c r="AK380" i="24"/>
  <c r="BF380" i="24" s="1"/>
  <c r="AH380" i="24"/>
  <c r="BC380" i="24" s="1"/>
  <c r="Z380" i="24"/>
  <c r="AL380" i="24"/>
  <c r="BG380" i="24" s="1"/>
  <c r="AA380" i="24"/>
  <c r="AV380" i="24" s="1"/>
  <c r="AM380" i="24"/>
  <c r="BH380" i="24" s="1"/>
  <c r="AB380" i="24"/>
  <c r="AW380" i="24" s="1"/>
  <c r="AN380" i="24"/>
  <c r="BI380" i="24" s="1"/>
  <c r="Y380" i="24"/>
  <c r="AT380" i="24" s="1"/>
  <c r="AE380" i="24"/>
  <c r="AZ380" i="24" s="1"/>
  <c r="AC380" i="24"/>
  <c r="AX380" i="24" s="1"/>
  <c r="AO380" i="24"/>
  <c r="BJ380" i="24" s="1"/>
  <c r="AD380" i="24"/>
  <c r="AY380" i="24" s="1"/>
  <c r="AP380" i="24"/>
  <c r="BK380" i="24" s="1"/>
  <c r="AQ380" i="24"/>
  <c r="BL380" i="24" s="1"/>
  <c r="AF380" i="24"/>
  <c r="BA380" i="24" s="1"/>
  <c r="AR380" i="24"/>
  <c r="BM380" i="24" s="1"/>
  <c r="AG380" i="24"/>
  <c r="BB380" i="24" s="1"/>
  <c r="AB332" i="24"/>
  <c r="AW332" i="24" s="1"/>
  <c r="AN332" i="24"/>
  <c r="BI332" i="24" s="1"/>
  <c r="AC332" i="24"/>
  <c r="AX332" i="24" s="1"/>
  <c r="AO332" i="24"/>
  <c r="BJ332" i="24" s="1"/>
  <c r="AA332" i="24"/>
  <c r="AV332" i="24" s="1"/>
  <c r="AD332" i="24"/>
  <c r="AY332" i="24" s="1"/>
  <c r="AP332" i="24"/>
  <c r="BK332" i="24" s="1"/>
  <c r="AE332" i="24"/>
  <c r="AZ332" i="24" s="1"/>
  <c r="AQ332" i="24"/>
  <c r="BL332" i="24" s="1"/>
  <c r="AF332" i="24"/>
  <c r="BA332" i="24" s="1"/>
  <c r="AR332" i="24"/>
  <c r="BM332" i="24" s="1"/>
  <c r="AM332" i="24"/>
  <c r="BH332" i="24" s="1"/>
  <c r="AG332" i="24"/>
  <c r="BB332" i="24" s="1"/>
  <c r="AH332" i="24"/>
  <c r="BC332" i="24" s="1"/>
  <c r="Y332" i="24"/>
  <c r="AT332" i="24" s="1"/>
  <c r="AI332" i="24"/>
  <c r="BD332" i="24" s="1"/>
  <c r="AJ332" i="24"/>
  <c r="BE332" i="24" s="1"/>
  <c r="AK332" i="24"/>
  <c r="BF332" i="24" s="1"/>
  <c r="Z332" i="24"/>
  <c r="AL332" i="24"/>
  <c r="BG332" i="24" s="1"/>
  <c r="AI132" i="25"/>
  <c r="BD132" i="25" s="1"/>
  <c r="AJ132" i="25"/>
  <c r="BE132" i="25" s="1"/>
  <c r="Y132" i="25"/>
  <c r="AT132" i="25" s="1"/>
  <c r="AK132" i="25"/>
  <c r="BF132" i="25" s="1"/>
  <c r="Z132" i="25"/>
  <c r="AL132" i="25"/>
  <c r="BG132" i="25" s="1"/>
  <c r="AA132" i="25"/>
  <c r="AV132" i="25" s="1"/>
  <c r="AM132" i="25"/>
  <c r="BH132" i="25" s="1"/>
  <c r="AB132" i="25"/>
  <c r="AW132" i="25" s="1"/>
  <c r="AN132" i="25"/>
  <c r="BI132" i="25" s="1"/>
  <c r="AC132" i="25"/>
  <c r="AX132" i="25" s="1"/>
  <c r="AO132" i="25"/>
  <c r="BJ132" i="25" s="1"/>
  <c r="AD132" i="25"/>
  <c r="AY132" i="25" s="1"/>
  <c r="AP132" i="25"/>
  <c r="BK132" i="25" s="1"/>
  <c r="AE132" i="25"/>
  <c r="AZ132" i="25" s="1"/>
  <c r="AQ132" i="25"/>
  <c r="BL132" i="25" s="1"/>
  <c r="AF132" i="25"/>
  <c r="BA132" i="25" s="1"/>
  <c r="AR132" i="25"/>
  <c r="BM132" i="25" s="1"/>
  <c r="AG132" i="25"/>
  <c r="BB132" i="25" s="1"/>
  <c r="AH132" i="25"/>
  <c r="BC132" i="25" s="1"/>
  <c r="AA202" i="25"/>
  <c r="AV202" i="25" s="1"/>
  <c r="AM202" i="25"/>
  <c r="BH202" i="25" s="1"/>
  <c r="AB202" i="25"/>
  <c r="AW202" i="25" s="1"/>
  <c r="AN202" i="25"/>
  <c r="BI202" i="25" s="1"/>
  <c r="AC202" i="25"/>
  <c r="AX202" i="25" s="1"/>
  <c r="AO202" i="25"/>
  <c r="BJ202" i="25" s="1"/>
  <c r="AD202" i="25"/>
  <c r="AY202" i="25" s="1"/>
  <c r="AP202" i="25"/>
  <c r="BK202" i="25" s="1"/>
  <c r="AE202" i="25"/>
  <c r="AZ202" i="25" s="1"/>
  <c r="AQ202" i="25"/>
  <c r="BL202" i="25" s="1"/>
  <c r="AF202" i="25"/>
  <c r="BA202" i="25" s="1"/>
  <c r="AR202" i="25"/>
  <c r="BM202" i="25" s="1"/>
  <c r="AG202" i="25"/>
  <c r="BB202" i="25" s="1"/>
  <c r="AH202" i="25"/>
  <c r="BC202" i="25" s="1"/>
  <c r="AI202" i="25"/>
  <c r="BD202" i="25" s="1"/>
  <c r="AJ202" i="25"/>
  <c r="BE202" i="25" s="1"/>
  <c r="Y202" i="25"/>
  <c r="AT202" i="25" s="1"/>
  <c r="AK202" i="25"/>
  <c r="BF202" i="25" s="1"/>
  <c r="Z202" i="25"/>
  <c r="AL202" i="25"/>
  <c r="BG202" i="25" s="1"/>
  <c r="Z274" i="25"/>
  <c r="AL274" i="25"/>
  <c r="BG274" i="25" s="1"/>
  <c r="AA274" i="25"/>
  <c r="AV274" i="25" s="1"/>
  <c r="AM274" i="25"/>
  <c r="BH274" i="25" s="1"/>
  <c r="AB274" i="25"/>
  <c r="AW274" i="25" s="1"/>
  <c r="AN274" i="25"/>
  <c r="BI274" i="25" s="1"/>
  <c r="AC274" i="25"/>
  <c r="AX274" i="25" s="1"/>
  <c r="AO274" i="25"/>
  <c r="BJ274" i="25" s="1"/>
  <c r="AD274" i="25"/>
  <c r="AY274" i="25" s="1"/>
  <c r="AP274" i="25"/>
  <c r="BK274" i="25" s="1"/>
  <c r="AE274" i="25"/>
  <c r="AZ274" i="25" s="1"/>
  <c r="AQ274" i="25"/>
  <c r="BL274" i="25" s="1"/>
  <c r="AF274" i="25"/>
  <c r="BA274" i="25" s="1"/>
  <c r="AR274" i="25"/>
  <c r="BM274" i="25" s="1"/>
  <c r="AG274" i="25"/>
  <c r="BB274" i="25" s="1"/>
  <c r="AH274" i="25"/>
  <c r="BC274" i="25" s="1"/>
  <c r="AI274" i="25"/>
  <c r="BD274" i="25" s="1"/>
  <c r="AJ274" i="25"/>
  <c r="BE274" i="25" s="1"/>
  <c r="Y274" i="25"/>
  <c r="AT274" i="25" s="1"/>
  <c r="AK274" i="25"/>
  <c r="BF274" i="25" s="1"/>
  <c r="Z346" i="25"/>
  <c r="AL346" i="25"/>
  <c r="BG346" i="25" s="1"/>
  <c r="AA346" i="25"/>
  <c r="AV346" i="25" s="1"/>
  <c r="AM346" i="25"/>
  <c r="BH346" i="25" s="1"/>
  <c r="AB346" i="25"/>
  <c r="AW346" i="25" s="1"/>
  <c r="AN346" i="25"/>
  <c r="BI346" i="25" s="1"/>
  <c r="AC346" i="25"/>
  <c r="AX346" i="25" s="1"/>
  <c r="AO346" i="25"/>
  <c r="BJ346" i="25" s="1"/>
  <c r="AD346" i="25"/>
  <c r="AY346" i="25" s="1"/>
  <c r="AP346" i="25"/>
  <c r="BK346" i="25" s="1"/>
  <c r="AE346" i="25"/>
  <c r="AZ346" i="25" s="1"/>
  <c r="AQ346" i="25"/>
  <c r="BL346" i="25" s="1"/>
  <c r="AF346" i="25"/>
  <c r="BA346" i="25" s="1"/>
  <c r="AR346" i="25"/>
  <c r="BM346" i="25" s="1"/>
  <c r="AG346" i="25"/>
  <c r="BB346" i="25" s="1"/>
  <c r="AH346" i="25"/>
  <c r="BC346" i="25" s="1"/>
  <c r="AI346" i="25"/>
  <c r="BD346" i="25" s="1"/>
  <c r="AJ346" i="25"/>
  <c r="BE346" i="25" s="1"/>
  <c r="Y346" i="25"/>
  <c r="AT346" i="25" s="1"/>
  <c r="AK346" i="25"/>
  <c r="BF346" i="25" s="1"/>
  <c r="AA145" i="25"/>
  <c r="AV145" i="25" s="1"/>
  <c r="AM145" i="25"/>
  <c r="BH145" i="25" s="1"/>
  <c r="AB145" i="25"/>
  <c r="AW145" i="25" s="1"/>
  <c r="AN145" i="25"/>
  <c r="BI145" i="25" s="1"/>
  <c r="AC145" i="25"/>
  <c r="AX145" i="25" s="1"/>
  <c r="AO145" i="25"/>
  <c r="BJ145" i="25" s="1"/>
  <c r="AD145" i="25"/>
  <c r="AY145" i="25" s="1"/>
  <c r="AP145" i="25"/>
  <c r="BK145" i="25" s="1"/>
  <c r="AE145" i="25"/>
  <c r="AZ145" i="25" s="1"/>
  <c r="AQ145" i="25"/>
  <c r="BL145" i="25" s="1"/>
  <c r="AF145" i="25"/>
  <c r="BA145" i="25" s="1"/>
  <c r="AR145" i="25"/>
  <c r="BM145" i="25" s="1"/>
  <c r="AG145" i="25"/>
  <c r="BB145" i="25" s="1"/>
  <c r="AH145" i="25"/>
  <c r="BC145" i="25" s="1"/>
  <c r="AI145" i="25"/>
  <c r="BD145" i="25" s="1"/>
  <c r="AJ145" i="25"/>
  <c r="BE145" i="25" s="1"/>
  <c r="Y145" i="25"/>
  <c r="AT145" i="25" s="1"/>
  <c r="AK145" i="25"/>
  <c r="BF145" i="25" s="1"/>
  <c r="Z145" i="25"/>
  <c r="AL145" i="25"/>
  <c r="BG145" i="25" s="1"/>
  <c r="AE215" i="25"/>
  <c r="AZ215" i="25" s="1"/>
  <c r="AQ215" i="25"/>
  <c r="BL215" i="25" s="1"/>
  <c r="AF215" i="25"/>
  <c r="BA215" i="25" s="1"/>
  <c r="AR215" i="25"/>
  <c r="BM215" i="25" s="1"/>
  <c r="AG215" i="25"/>
  <c r="BB215" i="25" s="1"/>
  <c r="AH215" i="25"/>
  <c r="BC215" i="25" s="1"/>
  <c r="AI215" i="25"/>
  <c r="BD215" i="25" s="1"/>
  <c r="AJ215" i="25"/>
  <c r="BE215" i="25" s="1"/>
  <c r="Y215" i="25"/>
  <c r="AT215" i="25" s="1"/>
  <c r="AK215" i="25"/>
  <c r="BF215" i="25" s="1"/>
  <c r="Z215" i="25"/>
  <c r="AL215" i="25"/>
  <c r="BG215" i="25" s="1"/>
  <c r="AA215" i="25"/>
  <c r="AV215" i="25" s="1"/>
  <c r="AM215" i="25"/>
  <c r="BH215" i="25" s="1"/>
  <c r="AB215" i="25"/>
  <c r="AW215" i="25" s="1"/>
  <c r="AN215" i="25"/>
  <c r="BI215" i="25" s="1"/>
  <c r="AC215" i="25"/>
  <c r="AX215" i="25" s="1"/>
  <c r="AO215" i="25"/>
  <c r="BJ215" i="25" s="1"/>
  <c r="AD215" i="25"/>
  <c r="AY215" i="25" s="1"/>
  <c r="AP215" i="25"/>
  <c r="BK215" i="25" s="1"/>
  <c r="AD287" i="25"/>
  <c r="AY287" i="25" s="1"/>
  <c r="AP287" i="25"/>
  <c r="BK287" i="25" s="1"/>
  <c r="AE287" i="25"/>
  <c r="AZ287" i="25" s="1"/>
  <c r="AQ287" i="25"/>
  <c r="BL287" i="25" s="1"/>
  <c r="AF287" i="25"/>
  <c r="BA287" i="25" s="1"/>
  <c r="AR287" i="25"/>
  <c r="BM287" i="25" s="1"/>
  <c r="AG287" i="25"/>
  <c r="BB287" i="25" s="1"/>
  <c r="AH287" i="25"/>
  <c r="BC287" i="25" s="1"/>
  <c r="AI287" i="25"/>
  <c r="BD287" i="25" s="1"/>
  <c r="AJ287" i="25"/>
  <c r="BE287" i="25" s="1"/>
  <c r="Y287" i="25"/>
  <c r="AT287" i="25" s="1"/>
  <c r="AK287" i="25"/>
  <c r="BF287" i="25" s="1"/>
  <c r="Z287" i="25"/>
  <c r="AL287" i="25"/>
  <c r="BG287" i="25" s="1"/>
  <c r="AA287" i="25"/>
  <c r="AV287" i="25" s="1"/>
  <c r="AM287" i="25"/>
  <c r="BH287" i="25" s="1"/>
  <c r="AB287" i="25"/>
  <c r="AW287" i="25" s="1"/>
  <c r="AN287" i="25"/>
  <c r="BI287" i="25" s="1"/>
  <c r="AC287" i="25"/>
  <c r="AX287" i="25" s="1"/>
  <c r="AO287" i="25"/>
  <c r="BJ287" i="25" s="1"/>
  <c r="AD359" i="25"/>
  <c r="AY359" i="25" s="1"/>
  <c r="AP359" i="25"/>
  <c r="BK359" i="25" s="1"/>
  <c r="AE359" i="25"/>
  <c r="AZ359" i="25" s="1"/>
  <c r="AQ359" i="25"/>
  <c r="BL359" i="25" s="1"/>
  <c r="AF359" i="25"/>
  <c r="BA359" i="25" s="1"/>
  <c r="AR359" i="25"/>
  <c r="BM359" i="25" s="1"/>
  <c r="AG359" i="25"/>
  <c r="BB359" i="25" s="1"/>
  <c r="AH359" i="25"/>
  <c r="BC359" i="25" s="1"/>
  <c r="AI359" i="25"/>
  <c r="BD359" i="25" s="1"/>
  <c r="AJ359" i="25"/>
  <c r="BE359" i="25" s="1"/>
  <c r="Y359" i="25"/>
  <c r="AT359" i="25" s="1"/>
  <c r="AK359" i="25"/>
  <c r="BF359" i="25" s="1"/>
  <c r="Z359" i="25"/>
  <c r="AL359" i="25"/>
  <c r="BG359" i="25" s="1"/>
  <c r="AA359" i="25"/>
  <c r="AV359" i="25" s="1"/>
  <c r="AM359" i="25"/>
  <c r="BH359" i="25" s="1"/>
  <c r="AB359" i="25"/>
  <c r="AW359" i="25" s="1"/>
  <c r="AN359" i="25"/>
  <c r="BI359" i="25" s="1"/>
  <c r="AC359" i="25"/>
  <c r="AX359" i="25" s="1"/>
  <c r="AO359" i="25"/>
  <c r="BJ359" i="25" s="1"/>
  <c r="AI162" i="25"/>
  <c r="BD162" i="25" s="1"/>
  <c r="AJ162" i="25"/>
  <c r="BE162" i="25" s="1"/>
  <c r="Y162" i="25"/>
  <c r="AT162" i="25" s="1"/>
  <c r="AK162" i="25"/>
  <c r="BF162" i="25" s="1"/>
  <c r="Z162" i="25"/>
  <c r="AL162" i="25"/>
  <c r="BG162" i="25" s="1"/>
  <c r="AA162" i="25"/>
  <c r="AV162" i="25" s="1"/>
  <c r="AM162" i="25"/>
  <c r="BH162" i="25" s="1"/>
  <c r="AB162" i="25"/>
  <c r="AW162" i="25" s="1"/>
  <c r="AN162" i="25"/>
  <c r="BI162" i="25" s="1"/>
  <c r="AC162" i="25"/>
  <c r="AX162" i="25" s="1"/>
  <c r="AO162" i="25"/>
  <c r="BJ162" i="25" s="1"/>
  <c r="AD162" i="25"/>
  <c r="AY162" i="25" s="1"/>
  <c r="AP162" i="25"/>
  <c r="BK162" i="25" s="1"/>
  <c r="AE162" i="25"/>
  <c r="AZ162" i="25" s="1"/>
  <c r="AQ162" i="25"/>
  <c r="BL162" i="25" s="1"/>
  <c r="AF162" i="25"/>
  <c r="BA162" i="25" s="1"/>
  <c r="AR162" i="25"/>
  <c r="BM162" i="25" s="1"/>
  <c r="AG162" i="25"/>
  <c r="BB162" i="25" s="1"/>
  <c r="AH162" i="25"/>
  <c r="BC162" i="25" s="1"/>
  <c r="AI234" i="25"/>
  <c r="BD234" i="25" s="1"/>
  <c r="AJ234" i="25"/>
  <c r="BE234" i="25" s="1"/>
  <c r="Y234" i="25"/>
  <c r="AT234" i="25" s="1"/>
  <c r="AK234" i="25"/>
  <c r="BF234" i="25" s="1"/>
  <c r="Z234" i="25"/>
  <c r="AL234" i="25"/>
  <c r="BG234" i="25" s="1"/>
  <c r="AA234" i="25"/>
  <c r="AV234" i="25" s="1"/>
  <c r="AM234" i="25"/>
  <c r="BH234" i="25" s="1"/>
  <c r="AB234" i="25"/>
  <c r="AW234" i="25" s="1"/>
  <c r="AN234" i="25"/>
  <c r="BI234" i="25" s="1"/>
  <c r="AC234" i="25"/>
  <c r="AX234" i="25" s="1"/>
  <c r="AO234" i="25"/>
  <c r="BJ234" i="25" s="1"/>
  <c r="AD234" i="25"/>
  <c r="AY234" i="25" s="1"/>
  <c r="AP234" i="25"/>
  <c r="BK234" i="25" s="1"/>
  <c r="AE234" i="25"/>
  <c r="AZ234" i="25" s="1"/>
  <c r="AQ234" i="25"/>
  <c r="BL234" i="25" s="1"/>
  <c r="AF234" i="25"/>
  <c r="BA234" i="25" s="1"/>
  <c r="AR234" i="25"/>
  <c r="BM234" i="25" s="1"/>
  <c r="AG234" i="25"/>
  <c r="BB234" i="25" s="1"/>
  <c r="AH234" i="25"/>
  <c r="BC234" i="25" s="1"/>
  <c r="AH306" i="25"/>
  <c r="BC306" i="25" s="1"/>
  <c r="AI306" i="25"/>
  <c r="BD306" i="25" s="1"/>
  <c r="AJ306" i="25"/>
  <c r="BE306" i="25" s="1"/>
  <c r="Y306" i="25"/>
  <c r="AT306" i="25" s="1"/>
  <c r="AK306" i="25"/>
  <c r="BF306" i="25" s="1"/>
  <c r="Z306" i="25"/>
  <c r="AL306" i="25"/>
  <c r="BG306" i="25" s="1"/>
  <c r="AA306" i="25"/>
  <c r="AV306" i="25" s="1"/>
  <c r="AM306" i="25"/>
  <c r="BH306" i="25" s="1"/>
  <c r="AB306" i="25"/>
  <c r="AW306" i="25" s="1"/>
  <c r="AN306" i="25"/>
  <c r="BI306" i="25" s="1"/>
  <c r="AC306" i="25"/>
  <c r="AX306" i="25" s="1"/>
  <c r="AO306" i="25"/>
  <c r="BJ306" i="25" s="1"/>
  <c r="AD306" i="25"/>
  <c r="AY306" i="25" s="1"/>
  <c r="AP306" i="25"/>
  <c r="BK306" i="25" s="1"/>
  <c r="AE306" i="25"/>
  <c r="AZ306" i="25" s="1"/>
  <c r="AQ306" i="25"/>
  <c r="BL306" i="25" s="1"/>
  <c r="AF306" i="25"/>
  <c r="BA306" i="25" s="1"/>
  <c r="AR306" i="25"/>
  <c r="BM306" i="25" s="1"/>
  <c r="AG306" i="25"/>
  <c r="BB306" i="25" s="1"/>
  <c r="AH378" i="25"/>
  <c r="BC378" i="25" s="1"/>
  <c r="AI378" i="25"/>
  <c r="BD378" i="25" s="1"/>
  <c r="AJ378" i="25"/>
  <c r="BE378" i="25" s="1"/>
  <c r="Y378" i="25"/>
  <c r="AT378" i="25" s="1"/>
  <c r="AK378" i="25"/>
  <c r="BF378" i="25" s="1"/>
  <c r="Z378" i="25"/>
  <c r="AL378" i="25"/>
  <c r="BG378" i="25" s="1"/>
  <c r="AA378" i="25"/>
  <c r="AV378" i="25" s="1"/>
  <c r="AM378" i="25"/>
  <c r="BH378" i="25" s="1"/>
  <c r="AB378" i="25"/>
  <c r="AW378" i="25" s="1"/>
  <c r="AN378" i="25"/>
  <c r="BI378" i="25" s="1"/>
  <c r="AC378" i="25"/>
  <c r="AX378" i="25" s="1"/>
  <c r="AO378" i="25"/>
  <c r="BJ378" i="25" s="1"/>
  <c r="AD378" i="25"/>
  <c r="AY378" i="25" s="1"/>
  <c r="AP378" i="25"/>
  <c r="BK378" i="25" s="1"/>
  <c r="AE378" i="25"/>
  <c r="AZ378" i="25" s="1"/>
  <c r="AQ378" i="25"/>
  <c r="BL378" i="25" s="1"/>
  <c r="AF378" i="25"/>
  <c r="BA378" i="25" s="1"/>
  <c r="AR378" i="25"/>
  <c r="BM378" i="25" s="1"/>
  <c r="AG378" i="25"/>
  <c r="BB378" i="25" s="1"/>
  <c r="AA181" i="25"/>
  <c r="AV181" i="25" s="1"/>
  <c r="AM181" i="25"/>
  <c r="BH181" i="25" s="1"/>
  <c r="AB181" i="25"/>
  <c r="AW181" i="25" s="1"/>
  <c r="AN181" i="25"/>
  <c r="BI181" i="25" s="1"/>
  <c r="AC181" i="25"/>
  <c r="AX181" i="25" s="1"/>
  <c r="AO181" i="25"/>
  <c r="BJ181" i="25" s="1"/>
  <c r="AD181" i="25"/>
  <c r="AY181" i="25" s="1"/>
  <c r="AP181" i="25"/>
  <c r="BK181" i="25" s="1"/>
  <c r="AE181" i="25"/>
  <c r="AZ181" i="25" s="1"/>
  <c r="AQ181" i="25"/>
  <c r="BL181" i="25" s="1"/>
  <c r="AF181" i="25"/>
  <c r="BA181" i="25" s="1"/>
  <c r="AR181" i="25"/>
  <c r="BM181" i="25" s="1"/>
  <c r="AG181" i="25"/>
  <c r="BB181" i="25" s="1"/>
  <c r="AH181" i="25"/>
  <c r="BC181" i="25" s="1"/>
  <c r="AI181" i="25"/>
  <c r="BD181" i="25" s="1"/>
  <c r="AJ181" i="25"/>
  <c r="BE181" i="25" s="1"/>
  <c r="Y181" i="25"/>
  <c r="AT181" i="25" s="1"/>
  <c r="AK181" i="25"/>
  <c r="BF181" i="25" s="1"/>
  <c r="Z181" i="25"/>
  <c r="AL181" i="25"/>
  <c r="BG181" i="25" s="1"/>
  <c r="Z253" i="25"/>
  <c r="AL253" i="25"/>
  <c r="BG253" i="25" s="1"/>
  <c r="AA253" i="25"/>
  <c r="AV253" i="25" s="1"/>
  <c r="AM253" i="25"/>
  <c r="BH253" i="25" s="1"/>
  <c r="AB253" i="25"/>
  <c r="AW253" i="25" s="1"/>
  <c r="AN253" i="25"/>
  <c r="BI253" i="25" s="1"/>
  <c r="AC253" i="25"/>
  <c r="AX253" i="25" s="1"/>
  <c r="AO253" i="25"/>
  <c r="BJ253" i="25" s="1"/>
  <c r="AD253" i="25"/>
  <c r="AY253" i="25" s="1"/>
  <c r="AP253" i="25"/>
  <c r="BK253" i="25" s="1"/>
  <c r="AE253" i="25"/>
  <c r="AZ253" i="25" s="1"/>
  <c r="AQ253" i="25"/>
  <c r="BL253" i="25" s="1"/>
  <c r="AF253" i="25"/>
  <c r="BA253" i="25" s="1"/>
  <c r="AR253" i="25"/>
  <c r="BM253" i="25" s="1"/>
  <c r="AG253" i="25"/>
  <c r="BB253" i="25" s="1"/>
  <c r="AH253" i="25"/>
  <c r="BC253" i="25" s="1"/>
  <c r="AI253" i="25"/>
  <c r="BD253" i="25" s="1"/>
  <c r="AJ253" i="25"/>
  <c r="BE253" i="25" s="1"/>
  <c r="Y253" i="25"/>
  <c r="AT253" i="25" s="1"/>
  <c r="AK253" i="25"/>
  <c r="BF253" i="25" s="1"/>
  <c r="Z325" i="25"/>
  <c r="AL325" i="25"/>
  <c r="BG325" i="25" s="1"/>
  <c r="AA325" i="25"/>
  <c r="AV325" i="25" s="1"/>
  <c r="AM325" i="25"/>
  <c r="BH325" i="25" s="1"/>
  <c r="AB325" i="25"/>
  <c r="AW325" i="25" s="1"/>
  <c r="AN325" i="25"/>
  <c r="BI325" i="25" s="1"/>
  <c r="AC325" i="25"/>
  <c r="AX325" i="25" s="1"/>
  <c r="AO325" i="25"/>
  <c r="BJ325" i="25" s="1"/>
  <c r="AD325" i="25"/>
  <c r="AY325" i="25" s="1"/>
  <c r="AP325" i="25"/>
  <c r="BK325" i="25" s="1"/>
  <c r="AE325" i="25"/>
  <c r="AZ325" i="25" s="1"/>
  <c r="AQ325" i="25"/>
  <c r="BL325" i="25" s="1"/>
  <c r="AF325" i="25"/>
  <c r="BA325" i="25" s="1"/>
  <c r="AR325" i="25"/>
  <c r="BM325" i="25" s="1"/>
  <c r="AG325" i="25"/>
  <c r="BB325" i="25" s="1"/>
  <c r="AH325" i="25"/>
  <c r="BC325" i="25" s="1"/>
  <c r="AI325" i="25"/>
  <c r="BD325" i="25" s="1"/>
  <c r="AJ325" i="25"/>
  <c r="BE325" i="25" s="1"/>
  <c r="Y325" i="25"/>
  <c r="AT325" i="25" s="1"/>
  <c r="AK325" i="25"/>
  <c r="BF325" i="25" s="1"/>
  <c r="AA124" i="25"/>
  <c r="AV124" i="25" s="1"/>
  <c r="AM124" i="25"/>
  <c r="BH124" i="25" s="1"/>
  <c r="AB124" i="25"/>
  <c r="AW124" i="25" s="1"/>
  <c r="AN124" i="25"/>
  <c r="BI124" i="25" s="1"/>
  <c r="AC124" i="25"/>
  <c r="AX124" i="25" s="1"/>
  <c r="AO124" i="25"/>
  <c r="BJ124" i="25" s="1"/>
  <c r="AD124" i="25"/>
  <c r="AY124" i="25" s="1"/>
  <c r="AP124" i="25"/>
  <c r="BK124" i="25" s="1"/>
  <c r="AE124" i="25"/>
  <c r="AZ124" i="25" s="1"/>
  <c r="AQ124" i="25"/>
  <c r="BL124" i="25" s="1"/>
  <c r="AF124" i="25"/>
  <c r="BA124" i="25" s="1"/>
  <c r="AR124" i="25"/>
  <c r="BM124" i="25" s="1"/>
  <c r="AG124" i="25"/>
  <c r="BB124" i="25" s="1"/>
  <c r="AH124" i="25"/>
  <c r="BC124" i="25" s="1"/>
  <c r="AI124" i="25"/>
  <c r="BD124" i="25" s="1"/>
  <c r="AJ124" i="25"/>
  <c r="BE124" i="25" s="1"/>
  <c r="Y124" i="25"/>
  <c r="AT124" i="25" s="1"/>
  <c r="AK124" i="25"/>
  <c r="BF124" i="25" s="1"/>
  <c r="Z124" i="25"/>
  <c r="AL124" i="25"/>
  <c r="BG124" i="25" s="1"/>
  <c r="AE194" i="25"/>
  <c r="AZ194" i="25" s="1"/>
  <c r="AQ194" i="25"/>
  <c r="BL194" i="25" s="1"/>
  <c r="AF194" i="25"/>
  <c r="BA194" i="25" s="1"/>
  <c r="AR194" i="25"/>
  <c r="BM194" i="25" s="1"/>
  <c r="AG194" i="25"/>
  <c r="BB194" i="25" s="1"/>
  <c r="AH194" i="25"/>
  <c r="BC194" i="25" s="1"/>
  <c r="AI194" i="25"/>
  <c r="BD194" i="25" s="1"/>
  <c r="AJ194" i="25"/>
  <c r="BE194" i="25" s="1"/>
  <c r="Y194" i="25"/>
  <c r="AT194" i="25" s="1"/>
  <c r="AK194" i="25"/>
  <c r="BF194" i="25" s="1"/>
  <c r="Z194" i="25"/>
  <c r="AL194" i="25"/>
  <c r="BG194" i="25" s="1"/>
  <c r="AA194" i="25"/>
  <c r="AV194" i="25" s="1"/>
  <c r="AM194" i="25"/>
  <c r="BH194" i="25" s="1"/>
  <c r="AB194" i="25"/>
  <c r="AW194" i="25" s="1"/>
  <c r="AN194" i="25"/>
  <c r="BI194" i="25" s="1"/>
  <c r="AC194" i="25"/>
  <c r="AX194" i="25" s="1"/>
  <c r="AO194" i="25"/>
  <c r="BJ194" i="25" s="1"/>
  <c r="AD194" i="25"/>
  <c r="AY194" i="25" s="1"/>
  <c r="AP194" i="25"/>
  <c r="BK194" i="25" s="1"/>
  <c r="AD266" i="25"/>
  <c r="AY266" i="25" s="1"/>
  <c r="AP266" i="25"/>
  <c r="BK266" i="25" s="1"/>
  <c r="AE266" i="25"/>
  <c r="AZ266" i="25" s="1"/>
  <c r="AQ266" i="25"/>
  <c r="BL266" i="25" s="1"/>
  <c r="AF266" i="25"/>
  <c r="BA266" i="25" s="1"/>
  <c r="AR266" i="25"/>
  <c r="BM266" i="25" s="1"/>
  <c r="AG266" i="25"/>
  <c r="BB266" i="25" s="1"/>
  <c r="AH266" i="25"/>
  <c r="BC266" i="25" s="1"/>
  <c r="AI266" i="25"/>
  <c r="BD266" i="25" s="1"/>
  <c r="AJ266" i="25"/>
  <c r="BE266" i="25" s="1"/>
  <c r="Y266" i="25"/>
  <c r="AT266" i="25" s="1"/>
  <c r="AK266" i="25"/>
  <c r="BF266" i="25" s="1"/>
  <c r="Z266" i="25"/>
  <c r="AL266" i="25"/>
  <c r="BG266" i="25" s="1"/>
  <c r="AA266" i="25"/>
  <c r="AV266" i="25" s="1"/>
  <c r="AM266" i="25"/>
  <c r="BH266" i="25" s="1"/>
  <c r="AB266" i="25"/>
  <c r="AW266" i="25" s="1"/>
  <c r="AN266" i="25"/>
  <c r="BI266" i="25" s="1"/>
  <c r="AC266" i="25"/>
  <c r="AX266" i="25" s="1"/>
  <c r="AO266" i="25"/>
  <c r="BJ266" i="25" s="1"/>
  <c r="AD338" i="25"/>
  <c r="AY338" i="25" s="1"/>
  <c r="AP338" i="25"/>
  <c r="BK338" i="25" s="1"/>
  <c r="AE338" i="25"/>
  <c r="AZ338" i="25" s="1"/>
  <c r="AQ338" i="25"/>
  <c r="BL338" i="25" s="1"/>
  <c r="AF338" i="25"/>
  <c r="BA338" i="25" s="1"/>
  <c r="AR338" i="25"/>
  <c r="BM338" i="25" s="1"/>
  <c r="AG338" i="25"/>
  <c r="BB338" i="25" s="1"/>
  <c r="AH338" i="25"/>
  <c r="BC338" i="25" s="1"/>
  <c r="AI338" i="25"/>
  <c r="BD338" i="25" s="1"/>
  <c r="AJ338" i="25"/>
  <c r="BE338" i="25" s="1"/>
  <c r="Y338" i="25"/>
  <c r="AT338" i="25" s="1"/>
  <c r="AK338" i="25"/>
  <c r="BF338" i="25" s="1"/>
  <c r="Z338" i="25"/>
  <c r="AL338" i="25"/>
  <c r="BG338" i="25" s="1"/>
  <c r="AA338" i="25"/>
  <c r="AV338" i="25" s="1"/>
  <c r="AM338" i="25"/>
  <c r="BH338" i="25" s="1"/>
  <c r="AB338" i="25"/>
  <c r="AW338" i="25" s="1"/>
  <c r="AN338" i="25"/>
  <c r="BI338" i="25" s="1"/>
  <c r="AC338" i="25"/>
  <c r="AX338" i="25" s="1"/>
  <c r="AO338" i="25"/>
  <c r="BJ338" i="25" s="1"/>
  <c r="AE131" i="25"/>
  <c r="AZ131" i="25" s="1"/>
  <c r="AQ131" i="25"/>
  <c r="BL131" i="25" s="1"/>
  <c r="AF131" i="25"/>
  <c r="BA131" i="25" s="1"/>
  <c r="AR131" i="25"/>
  <c r="BM131" i="25" s="1"/>
  <c r="AG131" i="25"/>
  <c r="BB131" i="25" s="1"/>
  <c r="AH131" i="25"/>
  <c r="BC131" i="25" s="1"/>
  <c r="AI131" i="25"/>
  <c r="BD131" i="25" s="1"/>
  <c r="AJ131" i="25"/>
  <c r="BE131" i="25" s="1"/>
  <c r="Y131" i="25"/>
  <c r="AT131" i="25" s="1"/>
  <c r="AK131" i="25"/>
  <c r="BF131" i="25" s="1"/>
  <c r="Z131" i="25"/>
  <c r="AL131" i="25"/>
  <c r="BG131" i="25" s="1"/>
  <c r="AA131" i="25"/>
  <c r="AV131" i="25" s="1"/>
  <c r="AM131" i="25"/>
  <c r="BH131" i="25" s="1"/>
  <c r="AB131" i="25"/>
  <c r="AW131" i="25" s="1"/>
  <c r="AN131" i="25"/>
  <c r="BI131" i="25" s="1"/>
  <c r="AC131" i="25"/>
  <c r="AX131" i="25" s="1"/>
  <c r="AO131" i="25"/>
  <c r="BJ131" i="25" s="1"/>
  <c r="AD131" i="25"/>
  <c r="AY131" i="25" s="1"/>
  <c r="AP131" i="25"/>
  <c r="BK131" i="25" s="1"/>
  <c r="AI219" i="25"/>
  <c r="BD219" i="25" s="1"/>
  <c r="AJ219" i="25"/>
  <c r="BE219" i="25" s="1"/>
  <c r="Y219" i="25"/>
  <c r="AT219" i="25" s="1"/>
  <c r="AK219" i="25"/>
  <c r="BF219" i="25" s="1"/>
  <c r="Z219" i="25"/>
  <c r="AL219" i="25"/>
  <c r="BG219" i="25" s="1"/>
  <c r="AA219" i="25"/>
  <c r="AV219" i="25" s="1"/>
  <c r="AM219" i="25"/>
  <c r="BH219" i="25" s="1"/>
  <c r="AB219" i="25"/>
  <c r="AW219" i="25" s="1"/>
  <c r="AN219" i="25"/>
  <c r="BI219" i="25" s="1"/>
  <c r="AC219" i="25"/>
  <c r="AX219" i="25" s="1"/>
  <c r="AO219" i="25"/>
  <c r="BJ219" i="25" s="1"/>
  <c r="AD219" i="25"/>
  <c r="AY219" i="25" s="1"/>
  <c r="AP219" i="25"/>
  <c r="BK219" i="25" s="1"/>
  <c r="AE219" i="25"/>
  <c r="AZ219" i="25" s="1"/>
  <c r="AQ219" i="25"/>
  <c r="BL219" i="25" s="1"/>
  <c r="AF219" i="25"/>
  <c r="BA219" i="25" s="1"/>
  <c r="AR219" i="25"/>
  <c r="BM219" i="25" s="1"/>
  <c r="AG219" i="25"/>
  <c r="BB219" i="25" s="1"/>
  <c r="AH219" i="25"/>
  <c r="BC219" i="25" s="1"/>
  <c r="AH291" i="25"/>
  <c r="BC291" i="25" s="1"/>
  <c r="AI291" i="25"/>
  <c r="BD291" i="25" s="1"/>
  <c r="AJ291" i="25"/>
  <c r="BE291" i="25" s="1"/>
  <c r="Y291" i="25"/>
  <c r="AT291" i="25" s="1"/>
  <c r="AK291" i="25"/>
  <c r="BF291" i="25" s="1"/>
  <c r="Z291" i="25"/>
  <c r="AL291" i="25"/>
  <c r="BG291" i="25" s="1"/>
  <c r="AA291" i="25"/>
  <c r="AV291" i="25" s="1"/>
  <c r="AM291" i="25"/>
  <c r="BH291" i="25" s="1"/>
  <c r="AB291" i="25"/>
  <c r="AW291" i="25" s="1"/>
  <c r="AN291" i="25"/>
  <c r="BI291" i="25" s="1"/>
  <c r="AC291" i="25"/>
  <c r="AX291" i="25" s="1"/>
  <c r="AO291" i="25"/>
  <c r="BJ291" i="25" s="1"/>
  <c r="AD291" i="25"/>
  <c r="AY291" i="25" s="1"/>
  <c r="AP291" i="25"/>
  <c r="BK291" i="25" s="1"/>
  <c r="AE291" i="25"/>
  <c r="AZ291" i="25" s="1"/>
  <c r="AQ291" i="25"/>
  <c r="BL291" i="25" s="1"/>
  <c r="AF291" i="25"/>
  <c r="BA291" i="25" s="1"/>
  <c r="AR291" i="25"/>
  <c r="BM291" i="25" s="1"/>
  <c r="AG291" i="25"/>
  <c r="BB291" i="25" s="1"/>
  <c r="AH363" i="25"/>
  <c r="BC363" i="25" s="1"/>
  <c r="AI363" i="25"/>
  <c r="BD363" i="25" s="1"/>
  <c r="AJ363" i="25"/>
  <c r="BE363" i="25" s="1"/>
  <c r="Y363" i="25"/>
  <c r="AT363" i="25" s="1"/>
  <c r="AK363" i="25"/>
  <c r="BF363" i="25" s="1"/>
  <c r="Z363" i="25"/>
  <c r="AL363" i="25"/>
  <c r="BG363" i="25" s="1"/>
  <c r="AA363" i="25"/>
  <c r="AV363" i="25" s="1"/>
  <c r="AM363" i="25"/>
  <c r="BH363" i="25" s="1"/>
  <c r="AB363" i="25"/>
  <c r="AW363" i="25" s="1"/>
  <c r="AN363" i="25"/>
  <c r="BI363" i="25" s="1"/>
  <c r="AC363" i="25"/>
  <c r="AX363" i="25" s="1"/>
  <c r="AO363" i="25"/>
  <c r="BJ363" i="25" s="1"/>
  <c r="AD363" i="25"/>
  <c r="AY363" i="25" s="1"/>
  <c r="AP363" i="25"/>
  <c r="BK363" i="25" s="1"/>
  <c r="AE363" i="25"/>
  <c r="AZ363" i="25" s="1"/>
  <c r="AQ363" i="25"/>
  <c r="BL363" i="25" s="1"/>
  <c r="AF363" i="25"/>
  <c r="BA363" i="25" s="1"/>
  <c r="AR363" i="25"/>
  <c r="BM363" i="25" s="1"/>
  <c r="AG363" i="25"/>
  <c r="BB363" i="25" s="1"/>
  <c r="AC179" i="26"/>
  <c r="AX179" i="26" s="1"/>
  <c r="AO179" i="26"/>
  <c r="BJ179" i="26" s="1"/>
  <c r="AD179" i="26"/>
  <c r="AY179" i="26" s="1"/>
  <c r="AP179" i="26"/>
  <c r="BK179" i="26" s="1"/>
  <c r="AE179" i="26"/>
  <c r="AZ179" i="26" s="1"/>
  <c r="AQ179" i="26"/>
  <c r="BL179" i="26" s="1"/>
  <c r="AF179" i="26"/>
  <c r="BA179" i="26" s="1"/>
  <c r="AR179" i="26"/>
  <c r="BM179" i="26" s="1"/>
  <c r="AG179" i="26"/>
  <c r="BB179" i="26" s="1"/>
  <c r="AH179" i="26"/>
  <c r="BC179" i="26" s="1"/>
  <c r="AI179" i="26"/>
  <c r="BD179" i="26" s="1"/>
  <c r="AJ179" i="26"/>
  <c r="BE179" i="26" s="1"/>
  <c r="Y179" i="26"/>
  <c r="AT179" i="26" s="1"/>
  <c r="AK179" i="26"/>
  <c r="BF179" i="26" s="1"/>
  <c r="Z179" i="26"/>
  <c r="AL179" i="26"/>
  <c r="BG179" i="26" s="1"/>
  <c r="AA179" i="26"/>
  <c r="AV179" i="26" s="1"/>
  <c r="AM179" i="26"/>
  <c r="BH179" i="26" s="1"/>
  <c r="AB179" i="26"/>
  <c r="AW179" i="26" s="1"/>
  <c r="AN179" i="26"/>
  <c r="BI179" i="26" s="1"/>
  <c r="AC251" i="26"/>
  <c r="AX251" i="26" s="1"/>
  <c r="AO251" i="26"/>
  <c r="BJ251" i="26" s="1"/>
  <c r="AD251" i="26"/>
  <c r="AY251" i="26" s="1"/>
  <c r="AP251" i="26"/>
  <c r="BK251" i="26" s="1"/>
  <c r="AE251" i="26"/>
  <c r="AZ251" i="26" s="1"/>
  <c r="AQ251" i="26"/>
  <c r="BL251" i="26" s="1"/>
  <c r="AF251" i="26"/>
  <c r="BA251" i="26" s="1"/>
  <c r="AR251" i="26"/>
  <c r="BM251" i="26" s="1"/>
  <c r="AG251" i="26"/>
  <c r="BB251" i="26" s="1"/>
  <c r="AH251" i="26"/>
  <c r="BC251" i="26" s="1"/>
  <c r="AI251" i="26"/>
  <c r="BD251" i="26" s="1"/>
  <c r="AJ251" i="26"/>
  <c r="BE251" i="26" s="1"/>
  <c r="Y251" i="26"/>
  <c r="AT251" i="26" s="1"/>
  <c r="AK251" i="26"/>
  <c r="BF251" i="26" s="1"/>
  <c r="Z251" i="26"/>
  <c r="AL251" i="26"/>
  <c r="BG251" i="26" s="1"/>
  <c r="AA251" i="26"/>
  <c r="AV251" i="26" s="1"/>
  <c r="AM251" i="26"/>
  <c r="BH251" i="26" s="1"/>
  <c r="AB251" i="26"/>
  <c r="AW251" i="26" s="1"/>
  <c r="AN251" i="26"/>
  <c r="BI251" i="26" s="1"/>
  <c r="AD323" i="26"/>
  <c r="AY323" i="26" s="1"/>
  <c r="AP323" i="26"/>
  <c r="BK323" i="26" s="1"/>
  <c r="AE323" i="26"/>
  <c r="AZ323" i="26" s="1"/>
  <c r="AQ323" i="26"/>
  <c r="BL323" i="26" s="1"/>
  <c r="AF323" i="26"/>
  <c r="BA323" i="26" s="1"/>
  <c r="AR323" i="26"/>
  <c r="BM323" i="26" s="1"/>
  <c r="AG323" i="26"/>
  <c r="BB323" i="26" s="1"/>
  <c r="AH323" i="26"/>
  <c r="BC323" i="26" s="1"/>
  <c r="AI323" i="26"/>
  <c r="BD323" i="26" s="1"/>
  <c r="AJ323" i="26"/>
  <c r="BE323" i="26" s="1"/>
  <c r="Y323" i="26"/>
  <c r="AT323" i="26" s="1"/>
  <c r="AK323" i="26"/>
  <c r="BF323" i="26" s="1"/>
  <c r="Z323" i="26"/>
  <c r="AL323" i="26"/>
  <c r="BG323" i="26" s="1"/>
  <c r="AA323" i="26"/>
  <c r="AV323" i="26" s="1"/>
  <c r="AM323" i="26"/>
  <c r="BH323" i="26" s="1"/>
  <c r="AB323" i="26"/>
  <c r="AW323" i="26" s="1"/>
  <c r="AN323" i="26"/>
  <c r="BI323" i="26" s="1"/>
  <c r="AC323" i="26"/>
  <c r="AX323" i="26" s="1"/>
  <c r="AO323" i="26"/>
  <c r="BJ323" i="26" s="1"/>
  <c r="AG216" i="26"/>
  <c r="BB216" i="26" s="1"/>
  <c r="AH216" i="26"/>
  <c r="BC216" i="26" s="1"/>
  <c r="AI216" i="26"/>
  <c r="BD216" i="26" s="1"/>
  <c r="AJ216" i="26"/>
  <c r="BE216" i="26" s="1"/>
  <c r="Y216" i="26"/>
  <c r="AT216" i="26" s="1"/>
  <c r="AK216" i="26"/>
  <c r="BF216" i="26" s="1"/>
  <c r="Z216" i="26"/>
  <c r="AL216" i="26"/>
  <c r="BG216" i="26" s="1"/>
  <c r="AA216" i="26"/>
  <c r="AV216" i="26" s="1"/>
  <c r="AM216" i="26"/>
  <c r="BH216" i="26" s="1"/>
  <c r="AB216" i="26"/>
  <c r="AW216" i="26" s="1"/>
  <c r="AN216" i="26"/>
  <c r="BI216" i="26" s="1"/>
  <c r="AC216" i="26"/>
  <c r="AX216" i="26" s="1"/>
  <c r="AO216" i="26"/>
  <c r="BJ216" i="26" s="1"/>
  <c r="AD216" i="26"/>
  <c r="AY216" i="26" s="1"/>
  <c r="AP216" i="26"/>
  <c r="BK216" i="26" s="1"/>
  <c r="AE216" i="26"/>
  <c r="AZ216" i="26" s="1"/>
  <c r="AQ216" i="26"/>
  <c r="BL216" i="26" s="1"/>
  <c r="AR216" i="26"/>
  <c r="BM216" i="26" s="1"/>
  <c r="AF216" i="26"/>
  <c r="BA216" i="26" s="1"/>
  <c r="AG288" i="26"/>
  <c r="BB288" i="26" s="1"/>
  <c r="AH288" i="26"/>
  <c r="BC288" i="26" s="1"/>
  <c r="AI288" i="26"/>
  <c r="BD288" i="26" s="1"/>
  <c r="AJ288" i="26"/>
  <c r="BE288" i="26" s="1"/>
  <c r="Y288" i="26"/>
  <c r="AT288" i="26" s="1"/>
  <c r="AK288" i="26"/>
  <c r="BF288" i="26" s="1"/>
  <c r="Z288" i="26"/>
  <c r="AL288" i="26"/>
  <c r="BG288" i="26" s="1"/>
  <c r="AA288" i="26"/>
  <c r="AV288" i="26" s="1"/>
  <c r="AM288" i="26"/>
  <c r="BH288" i="26" s="1"/>
  <c r="AB288" i="26"/>
  <c r="AW288" i="26" s="1"/>
  <c r="AN288" i="26"/>
  <c r="BI288" i="26" s="1"/>
  <c r="AC288" i="26"/>
  <c r="AX288" i="26" s="1"/>
  <c r="AO288" i="26"/>
  <c r="BJ288" i="26" s="1"/>
  <c r="AD288" i="26"/>
  <c r="AY288" i="26" s="1"/>
  <c r="AP288" i="26"/>
  <c r="BK288" i="26" s="1"/>
  <c r="AE288" i="26"/>
  <c r="AZ288" i="26" s="1"/>
  <c r="AQ288" i="26"/>
  <c r="BL288" i="26" s="1"/>
  <c r="AR288" i="26"/>
  <c r="BM288" i="26" s="1"/>
  <c r="AF288" i="26"/>
  <c r="BA288" i="26" s="1"/>
  <c r="AH360" i="26"/>
  <c r="BC360" i="26" s="1"/>
  <c r="AI360" i="26"/>
  <c r="BD360" i="26" s="1"/>
  <c r="AJ360" i="26"/>
  <c r="BE360" i="26" s="1"/>
  <c r="Y360" i="26"/>
  <c r="AT360" i="26" s="1"/>
  <c r="AK360" i="26"/>
  <c r="BF360" i="26" s="1"/>
  <c r="Z360" i="26"/>
  <c r="AL360" i="26"/>
  <c r="BG360" i="26" s="1"/>
  <c r="AA360" i="26"/>
  <c r="AV360" i="26" s="1"/>
  <c r="AM360" i="26"/>
  <c r="BH360" i="26" s="1"/>
  <c r="AB360" i="26"/>
  <c r="AW360" i="26" s="1"/>
  <c r="AN360" i="26"/>
  <c r="BI360" i="26" s="1"/>
  <c r="AC360" i="26"/>
  <c r="AX360" i="26" s="1"/>
  <c r="AO360" i="26"/>
  <c r="BJ360" i="26" s="1"/>
  <c r="AD360" i="26"/>
  <c r="AY360" i="26" s="1"/>
  <c r="AP360" i="26"/>
  <c r="BK360" i="26" s="1"/>
  <c r="AE360" i="26"/>
  <c r="AZ360" i="26" s="1"/>
  <c r="AQ360" i="26"/>
  <c r="BL360" i="26" s="1"/>
  <c r="AF360" i="26"/>
  <c r="BA360" i="26" s="1"/>
  <c r="AR360" i="26"/>
  <c r="BM360" i="26" s="1"/>
  <c r="AG360" i="26"/>
  <c r="BB360" i="26" s="1"/>
  <c r="Y181" i="26"/>
  <c r="AT181" i="26" s="1"/>
  <c r="AK181" i="26"/>
  <c r="BF181" i="26" s="1"/>
  <c r="Z181" i="26"/>
  <c r="AL181" i="26"/>
  <c r="BG181" i="26" s="1"/>
  <c r="AA181" i="26"/>
  <c r="AV181" i="26" s="1"/>
  <c r="AM181" i="26"/>
  <c r="BH181" i="26" s="1"/>
  <c r="AB181" i="26"/>
  <c r="AW181" i="26" s="1"/>
  <c r="AN181" i="26"/>
  <c r="BI181" i="26" s="1"/>
  <c r="AC181" i="26"/>
  <c r="AX181" i="26" s="1"/>
  <c r="AO181" i="26"/>
  <c r="BJ181" i="26" s="1"/>
  <c r="AD181" i="26"/>
  <c r="AY181" i="26" s="1"/>
  <c r="AP181" i="26"/>
  <c r="BK181" i="26" s="1"/>
  <c r="AE181" i="26"/>
  <c r="AZ181" i="26" s="1"/>
  <c r="AQ181" i="26"/>
  <c r="BL181" i="26" s="1"/>
  <c r="AF181" i="26"/>
  <c r="BA181" i="26" s="1"/>
  <c r="AR181" i="26"/>
  <c r="BM181" i="26" s="1"/>
  <c r="AG181" i="26"/>
  <c r="BB181" i="26" s="1"/>
  <c r="AH181" i="26"/>
  <c r="BC181" i="26" s="1"/>
  <c r="AI181" i="26"/>
  <c r="BD181" i="26" s="1"/>
  <c r="AJ181" i="26"/>
  <c r="BE181" i="26" s="1"/>
  <c r="Y253" i="26"/>
  <c r="AT253" i="26" s="1"/>
  <c r="AK253" i="26"/>
  <c r="BF253" i="26" s="1"/>
  <c r="Z253" i="26"/>
  <c r="AL253" i="26"/>
  <c r="BG253" i="26" s="1"/>
  <c r="AA253" i="26"/>
  <c r="AV253" i="26" s="1"/>
  <c r="AM253" i="26"/>
  <c r="BH253" i="26" s="1"/>
  <c r="AB253" i="26"/>
  <c r="AW253" i="26" s="1"/>
  <c r="AN253" i="26"/>
  <c r="BI253" i="26" s="1"/>
  <c r="AC253" i="26"/>
  <c r="AX253" i="26" s="1"/>
  <c r="AO253" i="26"/>
  <c r="BJ253" i="26" s="1"/>
  <c r="AD253" i="26"/>
  <c r="AY253" i="26" s="1"/>
  <c r="AP253" i="26"/>
  <c r="BK253" i="26" s="1"/>
  <c r="AE253" i="26"/>
  <c r="AZ253" i="26" s="1"/>
  <c r="AQ253" i="26"/>
  <c r="BL253" i="26" s="1"/>
  <c r="AF253" i="26"/>
  <c r="BA253" i="26" s="1"/>
  <c r="AR253" i="26"/>
  <c r="BM253" i="26" s="1"/>
  <c r="AG253" i="26"/>
  <c r="BB253" i="26" s="1"/>
  <c r="AH253" i="26"/>
  <c r="BC253" i="26" s="1"/>
  <c r="AI253" i="26"/>
  <c r="BD253" i="26" s="1"/>
  <c r="AJ253" i="26"/>
  <c r="BE253" i="26" s="1"/>
  <c r="Z325" i="26"/>
  <c r="AL325" i="26"/>
  <c r="BG325" i="26" s="1"/>
  <c r="AA325" i="26"/>
  <c r="AV325" i="26" s="1"/>
  <c r="AM325" i="26"/>
  <c r="BH325" i="26" s="1"/>
  <c r="AB325" i="26"/>
  <c r="AW325" i="26" s="1"/>
  <c r="AN325" i="26"/>
  <c r="BI325" i="26" s="1"/>
  <c r="AC325" i="26"/>
  <c r="AX325" i="26" s="1"/>
  <c r="AO325" i="26"/>
  <c r="BJ325" i="26" s="1"/>
  <c r="AD325" i="26"/>
  <c r="AY325" i="26" s="1"/>
  <c r="AP325" i="26"/>
  <c r="BK325" i="26" s="1"/>
  <c r="AE325" i="26"/>
  <c r="AZ325" i="26" s="1"/>
  <c r="AQ325" i="26"/>
  <c r="BL325" i="26" s="1"/>
  <c r="AF325" i="26"/>
  <c r="BA325" i="26" s="1"/>
  <c r="AR325" i="26"/>
  <c r="BM325" i="26" s="1"/>
  <c r="AG325" i="26"/>
  <c r="BB325" i="26" s="1"/>
  <c r="AH325" i="26"/>
  <c r="BC325" i="26" s="1"/>
  <c r="AI325" i="26"/>
  <c r="BD325" i="26" s="1"/>
  <c r="AJ325" i="26"/>
  <c r="BE325" i="26" s="1"/>
  <c r="Y325" i="26"/>
  <c r="AT325" i="26" s="1"/>
  <c r="AK325" i="26"/>
  <c r="BF325" i="26" s="1"/>
  <c r="AC224" i="26"/>
  <c r="AX224" i="26" s="1"/>
  <c r="AO224" i="26"/>
  <c r="BJ224" i="26" s="1"/>
  <c r="AD224" i="26"/>
  <c r="AY224" i="26" s="1"/>
  <c r="AP224" i="26"/>
  <c r="BK224" i="26" s="1"/>
  <c r="AE224" i="26"/>
  <c r="AZ224" i="26" s="1"/>
  <c r="AQ224" i="26"/>
  <c r="BL224" i="26" s="1"/>
  <c r="AF224" i="26"/>
  <c r="BA224" i="26" s="1"/>
  <c r="AR224" i="26"/>
  <c r="BM224" i="26" s="1"/>
  <c r="AG224" i="26"/>
  <c r="BB224" i="26" s="1"/>
  <c r="AH224" i="26"/>
  <c r="BC224" i="26" s="1"/>
  <c r="AI224" i="26"/>
  <c r="BD224" i="26" s="1"/>
  <c r="AJ224" i="26"/>
  <c r="BE224" i="26" s="1"/>
  <c r="Y224" i="26"/>
  <c r="AT224" i="26" s="1"/>
  <c r="AK224" i="26"/>
  <c r="BF224" i="26" s="1"/>
  <c r="Z224" i="26"/>
  <c r="AL224" i="26"/>
  <c r="BG224" i="26" s="1"/>
  <c r="AA224" i="26"/>
  <c r="AV224" i="26" s="1"/>
  <c r="AM224" i="26"/>
  <c r="BH224" i="26" s="1"/>
  <c r="AB224" i="26"/>
  <c r="AW224" i="26" s="1"/>
  <c r="AN224" i="26"/>
  <c r="BI224" i="26" s="1"/>
  <c r="AC296" i="26"/>
  <c r="AX296" i="26" s="1"/>
  <c r="AO296" i="26"/>
  <c r="BJ296" i="26" s="1"/>
  <c r="AD296" i="26"/>
  <c r="AY296" i="26" s="1"/>
  <c r="AP296" i="26"/>
  <c r="BK296" i="26" s="1"/>
  <c r="AE296" i="26"/>
  <c r="AZ296" i="26" s="1"/>
  <c r="AQ296" i="26"/>
  <c r="BL296" i="26" s="1"/>
  <c r="AF296" i="26"/>
  <c r="BA296" i="26" s="1"/>
  <c r="AR296" i="26"/>
  <c r="BM296" i="26" s="1"/>
  <c r="AG296" i="26"/>
  <c r="BB296" i="26" s="1"/>
  <c r="AH296" i="26"/>
  <c r="BC296" i="26" s="1"/>
  <c r="AI296" i="26"/>
  <c r="BD296" i="26" s="1"/>
  <c r="AJ296" i="26"/>
  <c r="BE296" i="26" s="1"/>
  <c r="Y296" i="26"/>
  <c r="AT296" i="26" s="1"/>
  <c r="AK296" i="26"/>
  <c r="BF296" i="26" s="1"/>
  <c r="Z296" i="26"/>
  <c r="AL296" i="26"/>
  <c r="BG296" i="26" s="1"/>
  <c r="AA296" i="26"/>
  <c r="AV296" i="26" s="1"/>
  <c r="AM296" i="26"/>
  <c r="BH296" i="26" s="1"/>
  <c r="AB296" i="26"/>
  <c r="AW296" i="26" s="1"/>
  <c r="AN296" i="26"/>
  <c r="BI296" i="26" s="1"/>
  <c r="AD368" i="26"/>
  <c r="AP368" i="26"/>
  <c r="AE368" i="26"/>
  <c r="AQ368" i="26"/>
  <c r="AF368" i="26"/>
  <c r="AR368" i="26"/>
  <c r="AG368" i="26"/>
  <c r="AH368" i="26"/>
  <c r="AI368" i="26"/>
  <c r="AJ368" i="26"/>
  <c r="Y368" i="26"/>
  <c r="AT368" i="26" s="1"/>
  <c r="AK368" i="26"/>
  <c r="Z368" i="26"/>
  <c r="AL368" i="26"/>
  <c r="AA368" i="26"/>
  <c r="AM368" i="26"/>
  <c r="AB368" i="26"/>
  <c r="AN368" i="26"/>
  <c r="AC368" i="26"/>
  <c r="AO368" i="26"/>
  <c r="AG195" i="26"/>
  <c r="BB195" i="26" s="1"/>
  <c r="AH195" i="26"/>
  <c r="BC195" i="26" s="1"/>
  <c r="AI195" i="26"/>
  <c r="BD195" i="26" s="1"/>
  <c r="AJ195" i="26"/>
  <c r="BE195" i="26" s="1"/>
  <c r="Y195" i="26"/>
  <c r="AT195" i="26" s="1"/>
  <c r="AK195" i="26"/>
  <c r="BF195" i="26" s="1"/>
  <c r="Z195" i="26"/>
  <c r="AL195" i="26"/>
  <c r="BG195" i="26" s="1"/>
  <c r="AA195" i="26"/>
  <c r="AV195" i="26" s="1"/>
  <c r="AM195" i="26"/>
  <c r="BH195" i="26" s="1"/>
  <c r="AB195" i="26"/>
  <c r="AW195" i="26" s="1"/>
  <c r="AN195" i="26"/>
  <c r="BI195" i="26" s="1"/>
  <c r="AC195" i="26"/>
  <c r="AX195" i="26" s="1"/>
  <c r="AO195" i="26"/>
  <c r="BJ195" i="26" s="1"/>
  <c r="AD195" i="26"/>
  <c r="AY195" i="26" s="1"/>
  <c r="AP195" i="26"/>
  <c r="BK195" i="26" s="1"/>
  <c r="AE195" i="26"/>
  <c r="AZ195" i="26" s="1"/>
  <c r="AQ195" i="26"/>
  <c r="BL195" i="26" s="1"/>
  <c r="AF195" i="26"/>
  <c r="BA195" i="26" s="1"/>
  <c r="AR195" i="26"/>
  <c r="BM195" i="26" s="1"/>
  <c r="AG267" i="26"/>
  <c r="BB267" i="26" s="1"/>
  <c r="AH267" i="26"/>
  <c r="BC267" i="26" s="1"/>
  <c r="AI267" i="26"/>
  <c r="BD267" i="26" s="1"/>
  <c r="AJ267" i="26"/>
  <c r="BE267" i="26" s="1"/>
  <c r="Y267" i="26"/>
  <c r="AT267" i="26" s="1"/>
  <c r="AK267" i="26"/>
  <c r="BF267" i="26" s="1"/>
  <c r="Z267" i="26"/>
  <c r="AL267" i="26"/>
  <c r="BG267" i="26" s="1"/>
  <c r="AA267" i="26"/>
  <c r="AV267" i="26" s="1"/>
  <c r="AM267" i="26"/>
  <c r="BH267" i="26" s="1"/>
  <c r="AB267" i="26"/>
  <c r="AW267" i="26" s="1"/>
  <c r="AN267" i="26"/>
  <c r="BI267" i="26" s="1"/>
  <c r="AC267" i="26"/>
  <c r="AX267" i="26" s="1"/>
  <c r="AO267" i="26"/>
  <c r="BJ267" i="26" s="1"/>
  <c r="AD267" i="26"/>
  <c r="AY267" i="26" s="1"/>
  <c r="AP267" i="26"/>
  <c r="BK267" i="26" s="1"/>
  <c r="AE267" i="26"/>
  <c r="AZ267" i="26" s="1"/>
  <c r="AQ267" i="26"/>
  <c r="BL267" i="26" s="1"/>
  <c r="AF267" i="26"/>
  <c r="BA267" i="26" s="1"/>
  <c r="AR267" i="26"/>
  <c r="BM267" i="26" s="1"/>
  <c r="AH339" i="26"/>
  <c r="BC339" i="26" s="1"/>
  <c r="AI339" i="26"/>
  <c r="BD339" i="26" s="1"/>
  <c r="AJ339" i="26"/>
  <c r="BE339" i="26" s="1"/>
  <c r="Y339" i="26"/>
  <c r="AT339" i="26" s="1"/>
  <c r="AK339" i="26"/>
  <c r="BF339" i="26" s="1"/>
  <c r="Z339" i="26"/>
  <c r="AL339" i="26"/>
  <c r="BG339" i="26" s="1"/>
  <c r="AA339" i="26"/>
  <c r="AV339" i="26" s="1"/>
  <c r="AM339" i="26"/>
  <c r="BH339" i="26" s="1"/>
  <c r="AB339" i="26"/>
  <c r="AW339" i="26" s="1"/>
  <c r="AN339" i="26"/>
  <c r="BI339" i="26" s="1"/>
  <c r="AC339" i="26"/>
  <c r="AX339" i="26" s="1"/>
  <c r="AO339" i="26"/>
  <c r="BJ339" i="26" s="1"/>
  <c r="AD339" i="26"/>
  <c r="AY339" i="26" s="1"/>
  <c r="AP339" i="26"/>
  <c r="BK339" i="26" s="1"/>
  <c r="AE339" i="26"/>
  <c r="AZ339" i="26" s="1"/>
  <c r="AQ339" i="26"/>
  <c r="BL339" i="26" s="1"/>
  <c r="AF339" i="26"/>
  <c r="BA339" i="26" s="1"/>
  <c r="AR339" i="26"/>
  <c r="BM339" i="26" s="1"/>
  <c r="AG339" i="26"/>
  <c r="BB339" i="26" s="1"/>
  <c r="Y166" i="26"/>
  <c r="AT166" i="26" s="1"/>
  <c r="AK166" i="26"/>
  <c r="BF166" i="26" s="1"/>
  <c r="Z166" i="26"/>
  <c r="AL166" i="26"/>
  <c r="BG166" i="26" s="1"/>
  <c r="AA166" i="26"/>
  <c r="AV166" i="26" s="1"/>
  <c r="AM166" i="26"/>
  <c r="BH166" i="26" s="1"/>
  <c r="AB166" i="26"/>
  <c r="AW166" i="26" s="1"/>
  <c r="AN166" i="26"/>
  <c r="BI166" i="26" s="1"/>
  <c r="AC166" i="26"/>
  <c r="AX166" i="26" s="1"/>
  <c r="AO166" i="26"/>
  <c r="BJ166" i="26" s="1"/>
  <c r="AD166" i="26"/>
  <c r="AY166" i="26" s="1"/>
  <c r="AP166" i="26"/>
  <c r="BK166" i="26" s="1"/>
  <c r="AE166" i="26"/>
  <c r="AZ166" i="26" s="1"/>
  <c r="AQ166" i="26"/>
  <c r="BL166" i="26" s="1"/>
  <c r="AF166" i="26"/>
  <c r="BA166" i="26" s="1"/>
  <c r="AR166" i="26"/>
  <c r="BM166" i="26" s="1"/>
  <c r="AG166" i="26"/>
  <c r="BB166" i="26" s="1"/>
  <c r="AH166" i="26"/>
  <c r="BC166" i="26" s="1"/>
  <c r="AI166" i="26"/>
  <c r="BD166" i="26" s="1"/>
  <c r="AJ166" i="26"/>
  <c r="BE166" i="26" s="1"/>
  <c r="Y238" i="26"/>
  <c r="AT238" i="26" s="1"/>
  <c r="AK238" i="26"/>
  <c r="BF238" i="26" s="1"/>
  <c r="Z238" i="26"/>
  <c r="AL238" i="26"/>
  <c r="BG238" i="26" s="1"/>
  <c r="AA238" i="26"/>
  <c r="AV238" i="26" s="1"/>
  <c r="AM238" i="26"/>
  <c r="BH238" i="26" s="1"/>
  <c r="AB238" i="26"/>
  <c r="AW238" i="26" s="1"/>
  <c r="AN238" i="26"/>
  <c r="BI238" i="26" s="1"/>
  <c r="AC238" i="26"/>
  <c r="AX238" i="26" s="1"/>
  <c r="AO238" i="26"/>
  <c r="BJ238" i="26" s="1"/>
  <c r="AD238" i="26"/>
  <c r="AY238" i="26" s="1"/>
  <c r="AP238" i="26"/>
  <c r="BK238" i="26" s="1"/>
  <c r="AE238" i="26"/>
  <c r="AZ238" i="26" s="1"/>
  <c r="AQ238" i="26"/>
  <c r="BL238" i="26" s="1"/>
  <c r="AF238" i="26"/>
  <c r="BA238" i="26" s="1"/>
  <c r="AR238" i="26"/>
  <c r="BM238" i="26" s="1"/>
  <c r="AG238" i="26"/>
  <c r="BB238" i="26" s="1"/>
  <c r="AH238" i="26"/>
  <c r="BC238" i="26" s="1"/>
  <c r="AI238" i="26"/>
  <c r="BD238" i="26" s="1"/>
  <c r="AJ238" i="26"/>
  <c r="BE238" i="26" s="1"/>
  <c r="Y310" i="26"/>
  <c r="AT310" i="26" s="1"/>
  <c r="AK310" i="26"/>
  <c r="BF310" i="26" s="1"/>
  <c r="Z310" i="26"/>
  <c r="AL310" i="26"/>
  <c r="BG310" i="26" s="1"/>
  <c r="AA310" i="26"/>
  <c r="AV310" i="26" s="1"/>
  <c r="AM310" i="26"/>
  <c r="BH310" i="26" s="1"/>
  <c r="AB310" i="26"/>
  <c r="AW310" i="26" s="1"/>
  <c r="AN310" i="26"/>
  <c r="BI310" i="26" s="1"/>
  <c r="AC310" i="26"/>
  <c r="AX310" i="26" s="1"/>
  <c r="AO310" i="26"/>
  <c r="BJ310" i="26" s="1"/>
  <c r="AD310" i="26"/>
  <c r="AY310" i="26" s="1"/>
  <c r="AP310" i="26"/>
  <c r="BK310" i="26" s="1"/>
  <c r="AE310" i="26"/>
  <c r="AZ310" i="26" s="1"/>
  <c r="AQ310" i="26"/>
  <c r="BL310" i="26" s="1"/>
  <c r="AF310" i="26"/>
  <c r="BA310" i="26" s="1"/>
  <c r="AR310" i="26"/>
  <c r="BM310" i="26" s="1"/>
  <c r="AG310" i="26"/>
  <c r="BB310" i="26" s="1"/>
  <c r="AH310" i="26"/>
  <c r="BC310" i="26" s="1"/>
  <c r="AI310" i="26"/>
  <c r="BD310" i="26" s="1"/>
  <c r="AJ310" i="26"/>
  <c r="BE310" i="26" s="1"/>
  <c r="Z382" i="26"/>
  <c r="AL382" i="26"/>
  <c r="AA382" i="26"/>
  <c r="AM382" i="26"/>
  <c r="AB382" i="26"/>
  <c r="AN382" i="26"/>
  <c r="AC382" i="26"/>
  <c r="AO382" i="26"/>
  <c r="AD382" i="26"/>
  <c r="AP382" i="26"/>
  <c r="AE382" i="26"/>
  <c r="AQ382" i="26"/>
  <c r="AF382" i="26"/>
  <c r="AR382" i="26"/>
  <c r="AG382" i="26"/>
  <c r="AH382" i="26"/>
  <c r="AI382" i="26"/>
  <c r="AJ382" i="26"/>
  <c r="AK382" i="26"/>
  <c r="Y382" i="26"/>
  <c r="AT382" i="26" s="1"/>
  <c r="AF242" i="27"/>
  <c r="BA242" i="27" s="1"/>
  <c r="AR242" i="27"/>
  <c r="BM242" i="27" s="1"/>
  <c r="AG242" i="27"/>
  <c r="BB242" i="27" s="1"/>
  <c r="AH242" i="27"/>
  <c r="BC242" i="27" s="1"/>
  <c r="AI242" i="27"/>
  <c r="BD242" i="27" s="1"/>
  <c r="AJ242" i="27"/>
  <c r="BE242" i="27" s="1"/>
  <c r="AK242" i="27"/>
  <c r="BF242" i="27" s="1"/>
  <c r="Z242" i="27"/>
  <c r="AL242" i="27"/>
  <c r="BG242" i="27" s="1"/>
  <c r="AA242" i="27"/>
  <c r="AV242" i="27" s="1"/>
  <c r="AM242" i="27"/>
  <c r="BH242" i="27" s="1"/>
  <c r="AB242" i="27"/>
  <c r="AW242" i="27" s="1"/>
  <c r="AN242" i="27"/>
  <c r="BI242" i="27" s="1"/>
  <c r="AC242" i="27"/>
  <c r="AX242" i="27" s="1"/>
  <c r="AO242" i="27"/>
  <c r="BJ242" i="27" s="1"/>
  <c r="AD242" i="27"/>
  <c r="AY242" i="27" s="1"/>
  <c r="AP242" i="27"/>
  <c r="BK242" i="27" s="1"/>
  <c r="AQ242" i="27"/>
  <c r="BL242" i="27" s="1"/>
  <c r="AE242" i="27"/>
  <c r="AZ242" i="27" s="1"/>
  <c r="Y242" i="27"/>
  <c r="AT242" i="27" s="1"/>
  <c r="AD314" i="27"/>
  <c r="AY314" i="27" s="1"/>
  <c r="AP314" i="27"/>
  <c r="BK314" i="27" s="1"/>
  <c r="AE314" i="27"/>
  <c r="AZ314" i="27" s="1"/>
  <c r="AQ314" i="27"/>
  <c r="BL314" i="27" s="1"/>
  <c r="AF314" i="27"/>
  <c r="BA314" i="27" s="1"/>
  <c r="AR314" i="27"/>
  <c r="BM314" i="27" s="1"/>
  <c r="AG314" i="27"/>
  <c r="BB314" i="27" s="1"/>
  <c r="AH314" i="27"/>
  <c r="BC314" i="27" s="1"/>
  <c r="AI314" i="27"/>
  <c r="BD314" i="27" s="1"/>
  <c r="AJ314" i="27"/>
  <c r="BE314" i="27" s="1"/>
  <c r="AK314" i="27"/>
  <c r="BF314" i="27" s="1"/>
  <c r="Z314" i="27"/>
  <c r="AL314" i="27"/>
  <c r="BG314" i="27" s="1"/>
  <c r="AA314" i="27"/>
  <c r="AV314" i="27" s="1"/>
  <c r="AM314" i="27"/>
  <c r="BH314" i="27" s="1"/>
  <c r="AB314" i="27"/>
  <c r="AW314" i="27" s="1"/>
  <c r="AN314" i="27"/>
  <c r="BI314" i="27" s="1"/>
  <c r="Y314" i="27"/>
  <c r="AT314" i="27" s="1"/>
  <c r="AC314" i="27"/>
  <c r="AX314" i="27" s="1"/>
  <c r="AO314" i="27"/>
  <c r="BJ314" i="27" s="1"/>
  <c r="AD185" i="27"/>
  <c r="AY185" i="27" s="1"/>
  <c r="AP185" i="27"/>
  <c r="BK185" i="27" s="1"/>
  <c r="AE185" i="27"/>
  <c r="AZ185" i="27" s="1"/>
  <c r="AQ185" i="27"/>
  <c r="BL185" i="27" s="1"/>
  <c r="AF185" i="27"/>
  <c r="BA185" i="27" s="1"/>
  <c r="AR185" i="27"/>
  <c r="BM185" i="27" s="1"/>
  <c r="AG185" i="27"/>
  <c r="BB185" i="27" s="1"/>
  <c r="AH185" i="27"/>
  <c r="BC185" i="27" s="1"/>
  <c r="AI185" i="27"/>
  <c r="BD185" i="27" s="1"/>
  <c r="AJ185" i="27"/>
  <c r="BE185" i="27" s="1"/>
  <c r="AK185" i="27"/>
  <c r="BF185" i="27" s="1"/>
  <c r="Z185" i="27"/>
  <c r="AL185" i="27"/>
  <c r="BG185" i="27" s="1"/>
  <c r="AA185" i="27"/>
  <c r="AV185" i="27" s="1"/>
  <c r="AM185" i="27"/>
  <c r="BH185" i="27" s="1"/>
  <c r="AB185" i="27"/>
  <c r="AW185" i="27" s="1"/>
  <c r="AN185" i="27"/>
  <c r="BI185" i="27" s="1"/>
  <c r="AC185" i="27"/>
  <c r="AX185" i="27" s="1"/>
  <c r="AO185" i="27"/>
  <c r="BJ185" i="27" s="1"/>
  <c r="Y185" i="27"/>
  <c r="AT185" i="27" s="1"/>
  <c r="AE261" i="27"/>
  <c r="AZ261" i="27" s="1"/>
  <c r="AQ261" i="27"/>
  <c r="BL261" i="27" s="1"/>
  <c r="AF261" i="27"/>
  <c r="BA261" i="27" s="1"/>
  <c r="AR261" i="27"/>
  <c r="BM261" i="27" s="1"/>
  <c r="AG261" i="27"/>
  <c r="BB261" i="27" s="1"/>
  <c r="AH261" i="27"/>
  <c r="BC261" i="27" s="1"/>
  <c r="AI261" i="27"/>
  <c r="BD261" i="27" s="1"/>
  <c r="AJ261" i="27"/>
  <c r="BE261" i="27" s="1"/>
  <c r="AK261" i="27"/>
  <c r="BF261" i="27" s="1"/>
  <c r="Z261" i="27"/>
  <c r="AL261" i="27"/>
  <c r="BG261" i="27" s="1"/>
  <c r="AA261" i="27"/>
  <c r="AV261" i="27" s="1"/>
  <c r="AM261" i="27"/>
  <c r="BH261" i="27" s="1"/>
  <c r="AB261" i="27"/>
  <c r="AW261" i="27" s="1"/>
  <c r="AN261" i="27"/>
  <c r="BI261" i="27" s="1"/>
  <c r="AC261" i="27"/>
  <c r="AX261" i="27" s="1"/>
  <c r="AO261" i="27"/>
  <c r="BJ261" i="27" s="1"/>
  <c r="AD261" i="27"/>
  <c r="AY261" i="27" s="1"/>
  <c r="AP261" i="27"/>
  <c r="BK261" i="27" s="1"/>
  <c r="Y261" i="27"/>
  <c r="AT261" i="27" s="1"/>
  <c r="AC333" i="27"/>
  <c r="AX333" i="27" s="1"/>
  <c r="AO333" i="27"/>
  <c r="BJ333" i="27" s="1"/>
  <c r="AD333" i="27"/>
  <c r="AY333" i="27" s="1"/>
  <c r="AP333" i="27"/>
  <c r="BK333" i="27" s="1"/>
  <c r="AE333" i="27"/>
  <c r="AZ333" i="27" s="1"/>
  <c r="AQ333" i="27"/>
  <c r="BL333" i="27" s="1"/>
  <c r="AF333" i="27"/>
  <c r="BA333" i="27" s="1"/>
  <c r="AR333" i="27"/>
  <c r="BM333" i="27" s="1"/>
  <c r="AG333" i="27"/>
  <c r="BB333" i="27" s="1"/>
  <c r="AH333" i="27"/>
  <c r="BC333" i="27" s="1"/>
  <c r="AI333" i="27"/>
  <c r="BD333" i="27" s="1"/>
  <c r="AJ333" i="27"/>
  <c r="BE333" i="27" s="1"/>
  <c r="AK333" i="27"/>
  <c r="BF333" i="27" s="1"/>
  <c r="Z333" i="27"/>
  <c r="AL333" i="27"/>
  <c r="BG333" i="27" s="1"/>
  <c r="AA333" i="27"/>
  <c r="AV333" i="27" s="1"/>
  <c r="AM333" i="27"/>
  <c r="BH333" i="27" s="1"/>
  <c r="AB333" i="27"/>
  <c r="AW333" i="27" s="1"/>
  <c r="AN333" i="27"/>
  <c r="BI333" i="27" s="1"/>
  <c r="Y333" i="27"/>
  <c r="AT333" i="27" s="1"/>
  <c r="AH204" i="27"/>
  <c r="BC204" i="27" s="1"/>
  <c r="AI204" i="27"/>
  <c r="BD204" i="27" s="1"/>
  <c r="AJ204" i="27"/>
  <c r="BE204" i="27" s="1"/>
  <c r="AK204" i="27"/>
  <c r="BF204" i="27" s="1"/>
  <c r="Z204" i="27"/>
  <c r="AL204" i="27"/>
  <c r="BG204" i="27" s="1"/>
  <c r="AA204" i="27"/>
  <c r="AV204" i="27" s="1"/>
  <c r="AM204" i="27"/>
  <c r="BH204" i="27" s="1"/>
  <c r="AB204" i="27"/>
  <c r="AW204" i="27" s="1"/>
  <c r="AN204" i="27"/>
  <c r="BI204" i="27" s="1"/>
  <c r="AC204" i="27"/>
  <c r="AX204" i="27" s="1"/>
  <c r="AO204" i="27"/>
  <c r="BJ204" i="27" s="1"/>
  <c r="AD204" i="27"/>
  <c r="AY204" i="27" s="1"/>
  <c r="AP204" i="27"/>
  <c r="BK204" i="27" s="1"/>
  <c r="AE204" i="27"/>
  <c r="AZ204" i="27" s="1"/>
  <c r="AQ204" i="27"/>
  <c r="BL204" i="27" s="1"/>
  <c r="AF204" i="27"/>
  <c r="BA204" i="27" s="1"/>
  <c r="AR204" i="27"/>
  <c r="BM204" i="27" s="1"/>
  <c r="Y204" i="27"/>
  <c r="AT204" i="27" s="1"/>
  <c r="AG204" i="27"/>
  <c r="BB204" i="27" s="1"/>
  <c r="AD280" i="27"/>
  <c r="AY280" i="27" s="1"/>
  <c r="AP280" i="27"/>
  <c r="BK280" i="27" s="1"/>
  <c r="AE280" i="27"/>
  <c r="AZ280" i="27" s="1"/>
  <c r="AQ280" i="27"/>
  <c r="BL280" i="27" s="1"/>
  <c r="AF280" i="27"/>
  <c r="BA280" i="27" s="1"/>
  <c r="AR280" i="27"/>
  <c r="BM280" i="27" s="1"/>
  <c r="AG280" i="27"/>
  <c r="BB280" i="27" s="1"/>
  <c r="AH280" i="27"/>
  <c r="BC280" i="27" s="1"/>
  <c r="AI280" i="27"/>
  <c r="BD280" i="27" s="1"/>
  <c r="AJ280" i="27"/>
  <c r="BE280" i="27" s="1"/>
  <c r="AK280" i="27"/>
  <c r="BF280" i="27" s="1"/>
  <c r="Z280" i="27"/>
  <c r="AL280" i="27"/>
  <c r="BG280" i="27" s="1"/>
  <c r="AA280" i="27"/>
  <c r="AV280" i="27" s="1"/>
  <c r="AM280" i="27"/>
  <c r="BH280" i="27" s="1"/>
  <c r="AB280" i="27"/>
  <c r="AW280" i="27" s="1"/>
  <c r="AN280" i="27"/>
  <c r="BI280" i="27" s="1"/>
  <c r="AO280" i="27"/>
  <c r="BJ280" i="27" s="1"/>
  <c r="Y280" i="27"/>
  <c r="AT280" i="27" s="1"/>
  <c r="AC280" i="27"/>
  <c r="AX280" i="27" s="1"/>
  <c r="AB352" i="27"/>
  <c r="AW352" i="27" s="1"/>
  <c r="AN352" i="27"/>
  <c r="BI352" i="27" s="1"/>
  <c r="AC352" i="27"/>
  <c r="AX352" i="27" s="1"/>
  <c r="AO352" i="27"/>
  <c r="BJ352" i="27" s="1"/>
  <c r="AE352" i="27"/>
  <c r="AZ352" i="27" s="1"/>
  <c r="AQ352" i="27"/>
  <c r="BL352" i="27" s="1"/>
  <c r="AF352" i="27"/>
  <c r="BA352" i="27" s="1"/>
  <c r="AR352" i="27"/>
  <c r="BM352" i="27" s="1"/>
  <c r="AG352" i="27"/>
  <c r="BB352" i="27" s="1"/>
  <c r="AH352" i="27"/>
  <c r="BC352" i="27" s="1"/>
  <c r="AI352" i="27"/>
  <c r="BD352" i="27" s="1"/>
  <c r="AK352" i="27"/>
  <c r="BF352" i="27" s="1"/>
  <c r="Z352" i="27"/>
  <c r="AL352" i="27"/>
  <c r="BG352" i="27" s="1"/>
  <c r="AA352" i="27"/>
  <c r="AV352" i="27" s="1"/>
  <c r="Y352" i="27"/>
  <c r="AT352" i="27" s="1"/>
  <c r="AD352" i="27"/>
  <c r="AY352" i="27" s="1"/>
  <c r="AJ352" i="27"/>
  <c r="BE352" i="27" s="1"/>
  <c r="AM352" i="27"/>
  <c r="BH352" i="27" s="1"/>
  <c r="AP352" i="27"/>
  <c r="BK352" i="27" s="1"/>
  <c r="AG211" i="27"/>
  <c r="BB211" i="27" s="1"/>
  <c r="AH211" i="27"/>
  <c r="BC211" i="27" s="1"/>
  <c r="AI211" i="27"/>
  <c r="BD211" i="27" s="1"/>
  <c r="AJ211" i="27"/>
  <c r="BE211" i="27" s="1"/>
  <c r="AK211" i="27"/>
  <c r="BF211" i="27" s="1"/>
  <c r="Z211" i="27"/>
  <c r="AL211" i="27"/>
  <c r="BG211" i="27" s="1"/>
  <c r="AA211" i="27"/>
  <c r="AV211" i="27" s="1"/>
  <c r="AM211" i="27"/>
  <c r="BH211" i="27" s="1"/>
  <c r="AB211" i="27"/>
  <c r="AW211" i="27" s="1"/>
  <c r="AN211" i="27"/>
  <c r="BI211" i="27" s="1"/>
  <c r="AC211" i="27"/>
  <c r="AX211" i="27" s="1"/>
  <c r="AO211" i="27"/>
  <c r="BJ211" i="27" s="1"/>
  <c r="AD211" i="27"/>
  <c r="AY211" i="27" s="1"/>
  <c r="AP211" i="27"/>
  <c r="BK211" i="27" s="1"/>
  <c r="AE211" i="27"/>
  <c r="AZ211" i="27" s="1"/>
  <c r="AQ211" i="27"/>
  <c r="BL211" i="27" s="1"/>
  <c r="Y211" i="27"/>
  <c r="AT211" i="27" s="1"/>
  <c r="AF211" i="27"/>
  <c r="BA211" i="27" s="1"/>
  <c r="AR211" i="27"/>
  <c r="BM211" i="27" s="1"/>
  <c r="AI293" i="27"/>
  <c r="BD293" i="27" s="1"/>
  <c r="AJ293" i="27"/>
  <c r="BE293" i="27" s="1"/>
  <c r="Z293" i="27"/>
  <c r="AL293" i="27"/>
  <c r="BG293" i="27" s="1"/>
  <c r="AA293" i="27"/>
  <c r="AV293" i="27" s="1"/>
  <c r="AM293" i="27"/>
  <c r="BH293" i="27" s="1"/>
  <c r="AB293" i="27"/>
  <c r="AW293" i="27" s="1"/>
  <c r="AN293" i="27"/>
  <c r="BI293" i="27" s="1"/>
  <c r="AC293" i="27"/>
  <c r="AX293" i="27" s="1"/>
  <c r="AO293" i="27"/>
  <c r="BJ293" i="27" s="1"/>
  <c r="AD293" i="27"/>
  <c r="AY293" i="27" s="1"/>
  <c r="AP293" i="27"/>
  <c r="BK293" i="27" s="1"/>
  <c r="AF293" i="27"/>
  <c r="BA293" i="27" s="1"/>
  <c r="AR293" i="27"/>
  <c r="BM293" i="27" s="1"/>
  <c r="AG293" i="27"/>
  <c r="BB293" i="27" s="1"/>
  <c r="AE293" i="27"/>
  <c r="AZ293" i="27" s="1"/>
  <c r="AH293" i="27"/>
  <c r="BC293" i="27" s="1"/>
  <c r="AK293" i="27"/>
  <c r="BF293" i="27" s="1"/>
  <c r="AQ293" i="27"/>
  <c r="BL293" i="27" s="1"/>
  <c r="Y293" i="27"/>
  <c r="AT293" i="27" s="1"/>
  <c r="AG365" i="27"/>
  <c r="BB365" i="27" s="1"/>
  <c r="AH365" i="27"/>
  <c r="BC365" i="27" s="1"/>
  <c r="AJ365" i="27"/>
  <c r="BE365" i="27" s="1"/>
  <c r="AK365" i="27"/>
  <c r="BF365" i="27" s="1"/>
  <c r="Z365" i="27"/>
  <c r="AL365" i="27"/>
  <c r="BG365" i="27" s="1"/>
  <c r="AA365" i="27"/>
  <c r="AV365" i="27" s="1"/>
  <c r="AM365" i="27"/>
  <c r="BH365" i="27" s="1"/>
  <c r="AB365" i="27"/>
  <c r="AW365" i="27" s="1"/>
  <c r="AN365" i="27"/>
  <c r="BI365" i="27" s="1"/>
  <c r="AD365" i="27"/>
  <c r="AY365" i="27" s="1"/>
  <c r="AP365" i="27"/>
  <c r="BK365" i="27" s="1"/>
  <c r="AE365" i="27"/>
  <c r="AZ365" i="27" s="1"/>
  <c r="AQ365" i="27"/>
  <c r="BL365" i="27" s="1"/>
  <c r="Y365" i="27"/>
  <c r="AT365" i="27" s="1"/>
  <c r="AC365" i="27"/>
  <c r="AX365" i="27" s="1"/>
  <c r="AF365" i="27"/>
  <c r="BA365" i="27" s="1"/>
  <c r="AI365" i="27"/>
  <c r="BD365" i="27" s="1"/>
  <c r="AO365" i="27"/>
  <c r="BJ365" i="27" s="1"/>
  <c r="AR365" i="27"/>
  <c r="BM365" i="27" s="1"/>
  <c r="Z236" i="27"/>
  <c r="AL236" i="27"/>
  <c r="BG236" i="27" s="1"/>
  <c r="AA236" i="27"/>
  <c r="AV236" i="27" s="1"/>
  <c r="AM236" i="27"/>
  <c r="BH236" i="27" s="1"/>
  <c r="AB236" i="27"/>
  <c r="AW236" i="27" s="1"/>
  <c r="AN236" i="27"/>
  <c r="BI236" i="27" s="1"/>
  <c r="AC236" i="27"/>
  <c r="AX236" i="27" s="1"/>
  <c r="AO236" i="27"/>
  <c r="BJ236" i="27" s="1"/>
  <c r="AD236" i="27"/>
  <c r="AY236" i="27" s="1"/>
  <c r="AP236" i="27"/>
  <c r="BK236" i="27" s="1"/>
  <c r="AE236" i="27"/>
  <c r="AZ236" i="27" s="1"/>
  <c r="AQ236" i="27"/>
  <c r="BL236" i="27" s="1"/>
  <c r="AF236" i="27"/>
  <c r="BA236" i="27" s="1"/>
  <c r="AR236" i="27"/>
  <c r="BM236" i="27" s="1"/>
  <c r="AG236" i="27"/>
  <c r="BB236" i="27" s="1"/>
  <c r="AH236" i="27"/>
  <c r="BC236" i="27" s="1"/>
  <c r="AI236" i="27"/>
  <c r="BD236" i="27" s="1"/>
  <c r="AJ236" i="27"/>
  <c r="BE236" i="27" s="1"/>
  <c r="AK236" i="27"/>
  <c r="BF236" i="27" s="1"/>
  <c r="Y236" i="27"/>
  <c r="AT236" i="27" s="1"/>
  <c r="Z306" i="27"/>
  <c r="AL306" i="27"/>
  <c r="BG306" i="27" s="1"/>
  <c r="AA306" i="27"/>
  <c r="AV306" i="27" s="1"/>
  <c r="AM306" i="27"/>
  <c r="BH306" i="27" s="1"/>
  <c r="AB306" i="27"/>
  <c r="AW306" i="27" s="1"/>
  <c r="AN306" i="27"/>
  <c r="BI306" i="27" s="1"/>
  <c r="AC306" i="27"/>
  <c r="AX306" i="27" s="1"/>
  <c r="AO306" i="27"/>
  <c r="BJ306" i="27" s="1"/>
  <c r="Y306" i="27"/>
  <c r="AT306" i="27" s="1"/>
  <c r="AD306" i="27"/>
  <c r="AY306" i="27" s="1"/>
  <c r="AP306" i="27"/>
  <c r="BK306" i="27" s="1"/>
  <c r="AE306" i="27"/>
  <c r="AZ306" i="27" s="1"/>
  <c r="AQ306" i="27"/>
  <c r="BL306" i="27" s="1"/>
  <c r="AF306" i="27"/>
  <c r="BA306" i="27" s="1"/>
  <c r="AR306" i="27"/>
  <c r="BM306" i="27" s="1"/>
  <c r="AG306" i="27"/>
  <c r="BB306" i="27" s="1"/>
  <c r="AH306" i="27"/>
  <c r="BC306" i="27" s="1"/>
  <c r="AI306" i="27"/>
  <c r="BD306" i="27" s="1"/>
  <c r="AJ306" i="27"/>
  <c r="BE306" i="27" s="1"/>
  <c r="AK306" i="27"/>
  <c r="BF306" i="27" s="1"/>
  <c r="Z378" i="27"/>
  <c r="AL378" i="27"/>
  <c r="BG378" i="27" s="1"/>
  <c r="AA378" i="27"/>
  <c r="AV378" i="27" s="1"/>
  <c r="AM378" i="27"/>
  <c r="BH378" i="27" s="1"/>
  <c r="AC378" i="27"/>
  <c r="AX378" i="27" s="1"/>
  <c r="AO378" i="27"/>
  <c r="BJ378" i="27" s="1"/>
  <c r="AD378" i="27"/>
  <c r="AY378" i="27" s="1"/>
  <c r="AP378" i="27"/>
  <c r="BK378" i="27" s="1"/>
  <c r="AE378" i="27"/>
  <c r="AZ378" i="27" s="1"/>
  <c r="AQ378" i="27"/>
  <c r="BL378" i="27" s="1"/>
  <c r="AF378" i="27"/>
  <c r="BA378" i="27" s="1"/>
  <c r="AR378" i="27"/>
  <c r="BM378" i="27" s="1"/>
  <c r="AG378" i="27"/>
  <c r="BB378" i="27" s="1"/>
  <c r="AI378" i="27"/>
  <c r="BD378" i="27" s="1"/>
  <c r="AJ378" i="27"/>
  <c r="BE378" i="27" s="1"/>
  <c r="AN378" i="27"/>
  <c r="BI378" i="27" s="1"/>
  <c r="Y378" i="27"/>
  <c r="AT378" i="27" s="1"/>
  <c r="AB378" i="27"/>
  <c r="AW378" i="27" s="1"/>
  <c r="AH378" i="27"/>
  <c r="BC378" i="27" s="1"/>
  <c r="AK378" i="27"/>
  <c r="BF378" i="27" s="1"/>
  <c r="AG247" i="27"/>
  <c r="BB247" i="27" s="1"/>
  <c r="AH247" i="27"/>
  <c r="BC247" i="27" s="1"/>
  <c r="AI247" i="27"/>
  <c r="BD247" i="27" s="1"/>
  <c r="AJ247" i="27"/>
  <c r="BE247" i="27" s="1"/>
  <c r="AK247" i="27"/>
  <c r="BF247" i="27" s="1"/>
  <c r="Z247" i="27"/>
  <c r="AL247" i="27"/>
  <c r="BG247" i="27" s="1"/>
  <c r="AA247" i="27"/>
  <c r="AV247" i="27" s="1"/>
  <c r="AM247" i="27"/>
  <c r="BH247" i="27" s="1"/>
  <c r="AB247" i="27"/>
  <c r="AW247" i="27" s="1"/>
  <c r="AN247" i="27"/>
  <c r="BI247" i="27" s="1"/>
  <c r="AC247" i="27"/>
  <c r="AX247" i="27" s="1"/>
  <c r="AO247" i="27"/>
  <c r="BJ247" i="27" s="1"/>
  <c r="AD247" i="27"/>
  <c r="AY247" i="27" s="1"/>
  <c r="AP247" i="27"/>
  <c r="BK247" i="27" s="1"/>
  <c r="AE247" i="27"/>
  <c r="AZ247" i="27" s="1"/>
  <c r="AQ247" i="27"/>
  <c r="BL247" i="27" s="1"/>
  <c r="Y247" i="27"/>
  <c r="AT247" i="27" s="1"/>
  <c r="AF247" i="27"/>
  <c r="BA247" i="27" s="1"/>
  <c r="AR247" i="27"/>
  <c r="BM247" i="27" s="1"/>
  <c r="AE319" i="27"/>
  <c r="AZ319" i="27" s="1"/>
  <c r="AQ319" i="27"/>
  <c r="BL319" i="27" s="1"/>
  <c r="AF319" i="27"/>
  <c r="BA319" i="27" s="1"/>
  <c r="AR319" i="27"/>
  <c r="BM319" i="27" s="1"/>
  <c r="AG319" i="27"/>
  <c r="BB319" i="27" s="1"/>
  <c r="AH319" i="27"/>
  <c r="BC319" i="27" s="1"/>
  <c r="AI319" i="27"/>
  <c r="BD319" i="27" s="1"/>
  <c r="AJ319" i="27"/>
  <c r="BE319" i="27" s="1"/>
  <c r="AK319" i="27"/>
  <c r="BF319" i="27" s="1"/>
  <c r="Z319" i="27"/>
  <c r="AL319" i="27"/>
  <c r="BG319" i="27" s="1"/>
  <c r="AA319" i="27"/>
  <c r="AV319" i="27" s="1"/>
  <c r="AM319" i="27"/>
  <c r="BH319" i="27" s="1"/>
  <c r="AB319" i="27"/>
  <c r="AW319" i="27" s="1"/>
  <c r="AN319" i="27"/>
  <c r="BI319" i="27" s="1"/>
  <c r="AC319" i="27"/>
  <c r="AX319" i="27" s="1"/>
  <c r="AO319" i="27"/>
  <c r="BJ319" i="27" s="1"/>
  <c r="AD319" i="27"/>
  <c r="AY319" i="27" s="1"/>
  <c r="AP319" i="27"/>
  <c r="BK319" i="27" s="1"/>
  <c r="Y319" i="27"/>
  <c r="AT319" i="27" s="1"/>
  <c r="AJ213" i="28"/>
  <c r="BE213" i="28" s="1"/>
  <c r="Y213" i="28"/>
  <c r="AT213" i="28" s="1"/>
  <c r="AK213" i="28"/>
  <c r="BF213" i="28" s="1"/>
  <c r="AA213" i="28"/>
  <c r="AV213" i="28" s="1"/>
  <c r="AM213" i="28"/>
  <c r="BH213" i="28" s="1"/>
  <c r="AB213" i="28"/>
  <c r="AW213" i="28" s="1"/>
  <c r="AN213" i="28"/>
  <c r="BI213" i="28" s="1"/>
  <c r="AC213" i="28"/>
  <c r="AX213" i="28" s="1"/>
  <c r="AO213" i="28"/>
  <c r="BJ213" i="28" s="1"/>
  <c r="AD213" i="28"/>
  <c r="AY213" i="28" s="1"/>
  <c r="AP213" i="28"/>
  <c r="BK213" i="28" s="1"/>
  <c r="AE213" i="28"/>
  <c r="AZ213" i="28" s="1"/>
  <c r="AQ213" i="28"/>
  <c r="BL213" i="28" s="1"/>
  <c r="AG213" i="28"/>
  <c r="BB213" i="28" s="1"/>
  <c r="AH213" i="28"/>
  <c r="BC213" i="28" s="1"/>
  <c r="Z213" i="28"/>
  <c r="AF213" i="28"/>
  <c r="BA213" i="28" s="1"/>
  <c r="AI213" i="28"/>
  <c r="BD213" i="28" s="1"/>
  <c r="AL213" i="28"/>
  <c r="BG213" i="28" s="1"/>
  <c r="AR213" i="28"/>
  <c r="BM213" i="28" s="1"/>
  <c r="AI285" i="28"/>
  <c r="BD285" i="28" s="1"/>
  <c r="AJ285" i="28"/>
  <c r="BE285" i="28" s="1"/>
  <c r="Z285" i="28"/>
  <c r="AL285" i="28"/>
  <c r="BG285" i="28" s="1"/>
  <c r="AA285" i="28"/>
  <c r="AV285" i="28" s="1"/>
  <c r="AM285" i="28"/>
  <c r="BH285" i="28" s="1"/>
  <c r="AB285" i="28"/>
  <c r="AW285" i="28" s="1"/>
  <c r="AN285" i="28"/>
  <c r="BI285" i="28" s="1"/>
  <c r="AC285" i="28"/>
  <c r="AX285" i="28" s="1"/>
  <c r="AO285" i="28"/>
  <c r="BJ285" i="28" s="1"/>
  <c r="AD285" i="28"/>
  <c r="AY285" i="28" s="1"/>
  <c r="AP285" i="28"/>
  <c r="BK285" i="28" s="1"/>
  <c r="AF285" i="28"/>
  <c r="BA285" i="28" s="1"/>
  <c r="AR285" i="28"/>
  <c r="BM285" i="28" s="1"/>
  <c r="AG285" i="28"/>
  <c r="BB285" i="28" s="1"/>
  <c r="AQ285" i="28"/>
  <c r="BL285" i="28" s="1"/>
  <c r="Y285" i="28"/>
  <c r="AT285" i="28" s="1"/>
  <c r="AE285" i="28"/>
  <c r="AZ285" i="28" s="1"/>
  <c r="AH285" i="28"/>
  <c r="BC285" i="28" s="1"/>
  <c r="AK285" i="28"/>
  <c r="BF285" i="28" s="1"/>
  <c r="AG357" i="28"/>
  <c r="BB357" i="28" s="1"/>
  <c r="AH357" i="28"/>
  <c r="BC357" i="28" s="1"/>
  <c r="AI357" i="28"/>
  <c r="BD357" i="28" s="1"/>
  <c r="AJ357" i="28"/>
  <c r="BE357" i="28" s="1"/>
  <c r="Y357" i="28"/>
  <c r="AT357" i="28" s="1"/>
  <c r="AK357" i="28"/>
  <c r="BF357" i="28" s="1"/>
  <c r="Z357" i="28"/>
  <c r="AL357" i="28"/>
  <c r="BG357" i="28" s="1"/>
  <c r="AA357" i="28"/>
  <c r="AV357" i="28" s="1"/>
  <c r="AM357" i="28"/>
  <c r="BH357" i="28" s="1"/>
  <c r="AB357" i="28"/>
  <c r="AW357" i="28" s="1"/>
  <c r="AN357" i="28"/>
  <c r="BI357" i="28" s="1"/>
  <c r="AC357" i="28"/>
  <c r="AX357" i="28" s="1"/>
  <c r="AO357" i="28"/>
  <c r="BJ357" i="28" s="1"/>
  <c r="AD357" i="28"/>
  <c r="AY357" i="28" s="1"/>
  <c r="AP357" i="28"/>
  <c r="BK357" i="28" s="1"/>
  <c r="AE357" i="28"/>
  <c r="AZ357" i="28" s="1"/>
  <c r="AQ357" i="28"/>
  <c r="BL357" i="28" s="1"/>
  <c r="AF357" i="28"/>
  <c r="BA357" i="28" s="1"/>
  <c r="AR357" i="28"/>
  <c r="BM357" i="28" s="1"/>
  <c r="AA250" i="28"/>
  <c r="AV250" i="28" s="1"/>
  <c r="AM250" i="28"/>
  <c r="BH250" i="28" s="1"/>
  <c r="AB250" i="28"/>
  <c r="AW250" i="28" s="1"/>
  <c r="AN250" i="28"/>
  <c r="BI250" i="28" s="1"/>
  <c r="AD250" i="28"/>
  <c r="AY250" i="28" s="1"/>
  <c r="AP250" i="28"/>
  <c r="BK250" i="28" s="1"/>
  <c r="AE250" i="28"/>
  <c r="AZ250" i="28" s="1"/>
  <c r="AQ250" i="28"/>
  <c r="BL250" i="28" s="1"/>
  <c r="AF250" i="28"/>
  <c r="BA250" i="28" s="1"/>
  <c r="AR250" i="28"/>
  <c r="BM250" i="28" s="1"/>
  <c r="AG250" i="28"/>
  <c r="BB250" i="28" s="1"/>
  <c r="AH250" i="28"/>
  <c r="BC250" i="28" s="1"/>
  <c r="AJ250" i="28"/>
  <c r="BE250" i="28" s="1"/>
  <c r="Y250" i="28"/>
  <c r="AT250" i="28" s="1"/>
  <c r="AK250" i="28"/>
  <c r="BF250" i="28" s="1"/>
  <c r="Z250" i="28"/>
  <c r="AC250" i="28"/>
  <c r="AX250" i="28" s="1"/>
  <c r="AI250" i="28"/>
  <c r="BD250" i="28" s="1"/>
  <c r="AL250" i="28"/>
  <c r="BG250" i="28" s="1"/>
  <c r="AO250" i="28"/>
  <c r="BJ250" i="28" s="1"/>
  <c r="Y322" i="28"/>
  <c r="AT322" i="28" s="1"/>
  <c r="AK322" i="28"/>
  <c r="BF322" i="28" s="1"/>
  <c r="Z322" i="28"/>
  <c r="AL322" i="28"/>
  <c r="BG322" i="28" s="1"/>
  <c r="AA322" i="28"/>
  <c r="AV322" i="28" s="1"/>
  <c r="AM322" i="28"/>
  <c r="BH322" i="28" s="1"/>
  <c r="AB322" i="28"/>
  <c r="AW322" i="28" s="1"/>
  <c r="AN322" i="28"/>
  <c r="BI322" i="28" s="1"/>
  <c r="AC322" i="28"/>
  <c r="AX322" i="28" s="1"/>
  <c r="AO322" i="28"/>
  <c r="BJ322" i="28" s="1"/>
  <c r="AD322" i="28"/>
  <c r="AY322" i="28" s="1"/>
  <c r="AP322" i="28"/>
  <c r="BK322" i="28" s="1"/>
  <c r="AE322" i="28"/>
  <c r="AZ322" i="28" s="1"/>
  <c r="AQ322" i="28"/>
  <c r="BL322" i="28" s="1"/>
  <c r="AF322" i="28"/>
  <c r="BA322" i="28" s="1"/>
  <c r="AR322" i="28"/>
  <c r="BM322" i="28" s="1"/>
  <c r="AG322" i="28"/>
  <c r="BB322" i="28" s="1"/>
  <c r="AH322" i="28"/>
  <c r="BC322" i="28" s="1"/>
  <c r="AI322" i="28"/>
  <c r="BD322" i="28" s="1"/>
  <c r="AJ322" i="28"/>
  <c r="BE322" i="28" s="1"/>
  <c r="AF215" i="28"/>
  <c r="BA215" i="28" s="1"/>
  <c r="AR215" i="28"/>
  <c r="BM215" i="28" s="1"/>
  <c r="AG215" i="28"/>
  <c r="BB215" i="28" s="1"/>
  <c r="AI215" i="28"/>
  <c r="BD215" i="28" s="1"/>
  <c r="AJ215" i="28"/>
  <c r="BE215" i="28" s="1"/>
  <c r="Y215" i="28"/>
  <c r="AT215" i="28" s="1"/>
  <c r="AK215" i="28"/>
  <c r="BF215" i="28" s="1"/>
  <c r="Z215" i="28"/>
  <c r="AL215" i="28"/>
  <c r="BG215" i="28" s="1"/>
  <c r="AA215" i="28"/>
  <c r="AV215" i="28" s="1"/>
  <c r="AM215" i="28"/>
  <c r="BH215" i="28" s="1"/>
  <c r="AC215" i="28"/>
  <c r="AX215" i="28" s="1"/>
  <c r="AO215" i="28"/>
  <c r="BJ215" i="28" s="1"/>
  <c r="AD215" i="28"/>
  <c r="AY215" i="28" s="1"/>
  <c r="AP215" i="28"/>
  <c r="BK215" i="28" s="1"/>
  <c r="AB215" i="28"/>
  <c r="AW215" i="28" s="1"/>
  <c r="AH215" i="28"/>
  <c r="BC215" i="28" s="1"/>
  <c r="AN215" i="28"/>
  <c r="BI215" i="28" s="1"/>
  <c r="AQ215" i="28"/>
  <c r="BL215" i="28" s="1"/>
  <c r="AE215" i="28"/>
  <c r="AZ215" i="28" s="1"/>
  <c r="AE287" i="28"/>
  <c r="AZ287" i="28" s="1"/>
  <c r="AQ287" i="28"/>
  <c r="BL287" i="28" s="1"/>
  <c r="AF287" i="28"/>
  <c r="BA287" i="28" s="1"/>
  <c r="AR287" i="28"/>
  <c r="BM287" i="28" s="1"/>
  <c r="AH287" i="28"/>
  <c r="BC287" i="28" s="1"/>
  <c r="AI287" i="28"/>
  <c r="BD287" i="28" s="1"/>
  <c r="AJ287" i="28"/>
  <c r="BE287" i="28" s="1"/>
  <c r="Y287" i="28"/>
  <c r="AT287" i="28" s="1"/>
  <c r="AK287" i="28"/>
  <c r="BF287" i="28" s="1"/>
  <c r="Z287" i="28"/>
  <c r="AL287" i="28"/>
  <c r="BG287" i="28" s="1"/>
  <c r="AB287" i="28"/>
  <c r="AW287" i="28" s="1"/>
  <c r="AN287" i="28"/>
  <c r="BI287" i="28" s="1"/>
  <c r="AC287" i="28"/>
  <c r="AX287" i="28" s="1"/>
  <c r="AO287" i="28"/>
  <c r="BJ287" i="28" s="1"/>
  <c r="AA287" i="28"/>
  <c r="AV287" i="28" s="1"/>
  <c r="AD287" i="28"/>
  <c r="AY287" i="28" s="1"/>
  <c r="AG287" i="28"/>
  <c r="BB287" i="28" s="1"/>
  <c r="AM287" i="28"/>
  <c r="BH287" i="28" s="1"/>
  <c r="AP287" i="28"/>
  <c r="BK287" i="28" s="1"/>
  <c r="AC359" i="28"/>
  <c r="AX359" i="28" s="1"/>
  <c r="AO359" i="28"/>
  <c r="BJ359" i="28" s="1"/>
  <c r="AD359" i="28"/>
  <c r="AY359" i="28" s="1"/>
  <c r="AP359" i="28"/>
  <c r="BK359" i="28" s="1"/>
  <c r="AE359" i="28"/>
  <c r="AZ359" i="28" s="1"/>
  <c r="AQ359" i="28"/>
  <c r="BL359" i="28" s="1"/>
  <c r="AF359" i="28"/>
  <c r="BA359" i="28" s="1"/>
  <c r="AR359" i="28"/>
  <c r="BM359" i="28" s="1"/>
  <c r="AG359" i="28"/>
  <c r="BB359" i="28" s="1"/>
  <c r="AH359" i="28"/>
  <c r="BC359" i="28" s="1"/>
  <c r="AI359" i="28"/>
  <c r="BD359" i="28" s="1"/>
  <c r="AJ359" i="28"/>
  <c r="BE359" i="28" s="1"/>
  <c r="Y359" i="28"/>
  <c r="AT359" i="28" s="1"/>
  <c r="AK359" i="28"/>
  <c r="BF359" i="28" s="1"/>
  <c r="Z359" i="28"/>
  <c r="AL359" i="28"/>
  <c r="BG359" i="28" s="1"/>
  <c r="AA359" i="28"/>
  <c r="AV359" i="28" s="1"/>
  <c r="AM359" i="28"/>
  <c r="BH359" i="28" s="1"/>
  <c r="AB359" i="28"/>
  <c r="AW359" i="28" s="1"/>
  <c r="AN359" i="28"/>
  <c r="BI359" i="28" s="1"/>
  <c r="AI252" i="28"/>
  <c r="BD252" i="28" s="1"/>
  <c r="AJ252" i="28"/>
  <c r="BE252" i="28" s="1"/>
  <c r="Z252" i="28"/>
  <c r="AL252" i="28"/>
  <c r="BG252" i="28" s="1"/>
  <c r="AA252" i="28"/>
  <c r="AV252" i="28" s="1"/>
  <c r="AM252" i="28"/>
  <c r="BH252" i="28" s="1"/>
  <c r="AB252" i="28"/>
  <c r="AW252" i="28" s="1"/>
  <c r="AN252" i="28"/>
  <c r="BI252" i="28" s="1"/>
  <c r="AC252" i="28"/>
  <c r="AX252" i="28" s="1"/>
  <c r="AO252" i="28"/>
  <c r="BJ252" i="28" s="1"/>
  <c r="AD252" i="28"/>
  <c r="AY252" i="28" s="1"/>
  <c r="AP252" i="28"/>
  <c r="BK252" i="28" s="1"/>
  <c r="AF252" i="28"/>
  <c r="BA252" i="28" s="1"/>
  <c r="AR252" i="28"/>
  <c r="BM252" i="28" s="1"/>
  <c r="AG252" i="28"/>
  <c r="BB252" i="28" s="1"/>
  <c r="AE252" i="28"/>
  <c r="AZ252" i="28" s="1"/>
  <c r="AH252" i="28"/>
  <c r="BC252" i="28" s="1"/>
  <c r="AK252" i="28"/>
  <c r="BF252" i="28" s="1"/>
  <c r="AQ252" i="28"/>
  <c r="BL252" i="28" s="1"/>
  <c r="Y252" i="28"/>
  <c r="AT252" i="28" s="1"/>
  <c r="AG324" i="28"/>
  <c r="BB324" i="28" s="1"/>
  <c r="AH324" i="28"/>
  <c r="BC324" i="28" s="1"/>
  <c r="AI324" i="28"/>
  <c r="BD324" i="28" s="1"/>
  <c r="AJ324" i="28"/>
  <c r="BE324" i="28" s="1"/>
  <c r="Y324" i="28"/>
  <c r="AT324" i="28" s="1"/>
  <c r="AK324" i="28"/>
  <c r="BF324" i="28" s="1"/>
  <c r="Z324" i="28"/>
  <c r="AL324" i="28"/>
  <c r="BG324" i="28" s="1"/>
  <c r="AA324" i="28"/>
  <c r="AV324" i="28" s="1"/>
  <c r="AM324" i="28"/>
  <c r="BH324" i="28" s="1"/>
  <c r="AB324" i="28"/>
  <c r="AW324" i="28" s="1"/>
  <c r="AN324" i="28"/>
  <c r="BI324" i="28" s="1"/>
  <c r="AC324" i="28"/>
  <c r="AX324" i="28" s="1"/>
  <c r="AO324" i="28"/>
  <c r="BJ324" i="28" s="1"/>
  <c r="AD324" i="28"/>
  <c r="AY324" i="28" s="1"/>
  <c r="AP324" i="28"/>
  <c r="BK324" i="28" s="1"/>
  <c r="AE324" i="28"/>
  <c r="AZ324" i="28" s="1"/>
  <c r="AQ324" i="28"/>
  <c r="BL324" i="28" s="1"/>
  <c r="AF324" i="28"/>
  <c r="BA324" i="28" s="1"/>
  <c r="AR324" i="28"/>
  <c r="BM324" i="28" s="1"/>
  <c r="AB217" i="28"/>
  <c r="AW217" i="28" s="1"/>
  <c r="AN217" i="28"/>
  <c r="BI217" i="28" s="1"/>
  <c r="AC217" i="28"/>
  <c r="AX217" i="28" s="1"/>
  <c r="AO217" i="28"/>
  <c r="BJ217" i="28" s="1"/>
  <c r="AE217" i="28"/>
  <c r="AZ217" i="28" s="1"/>
  <c r="AQ217" i="28"/>
  <c r="BL217" i="28" s="1"/>
  <c r="AF217" i="28"/>
  <c r="BA217" i="28" s="1"/>
  <c r="AR217" i="28"/>
  <c r="BM217" i="28" s="1"/>
  <c r="AG217" i="28"/>
  <c r="BB217" i="28" s="1"/>
  <c r="AH217" i="28"/>
  <c r="BC217" i="28" s="1"/>
  <c r="AI217" i="28"/>
  <c r="BD217" i="28" s="1"/>
  <c r="Y217" i="28"/>
  <c r="AT217" i="28" s="1"/>
  <c r="AK217" i="28"/>
  <c r="BF217" i="28" s="1"/>
  <c r="Z217" i="28"/>
  <c r="AL217" i="28"/>
  <c r="BG217" i="28" s="1"/>
  <c r="AD217" i="28"/>
  <c r="AY217" i="28" s="1"/>
  <c r="AJ217" i="28"/>
  <c r="BE217" i="28" s="1"/>
  <c r="AP217" i="28"/>
  <c r="BK217" i="28" s="1"/>
  <c r="AA217" i="28"/>
  <c r="AV217" i="28" s="1"/>
  <c r="AM217" i="28"/>
  <c r="BH217" i="28" s="1"/>
  <c r="AA289" i="28"/>
  <c r="AV289" i="28" s="1"/>
  <c r="AM289" i="28"/>
  <c r="BH289" i="28" s="1"/>
  <c r="AB289" i="28"/>
  <c r="AW289" i="28" s="1"/>
  <c r="AN289" i="28"/>
  <c r="BI289" i="28" s="1"/>
  <c r="AD289" i="28"/>
  <c r="AY289" i="28" s="1"/>
  <c r="AP289" i="28"/>
  <c r="BK289" i="28" s="1"/>
  <c r="AE289" i="28"/>
  <c r="AZ289" i="28" s="1"/>
  <c r="AQ289" i="28"/>
  <c r="BL289" i="28" s="1"/>
  <c r="AF289" i="28"/>
  <c r="BA289" i="28" s="1"/>
  <c r="AR289" i="28"/>
  <c r="BM289" i="28" s="1"/>
  <c r="AG289" i="28"/>
  <c r="BB289" i="28" s="1"/>
  <c r="AH289" i="28"/>
  <c r="BC289" i="28" s="1"/>
  <c r="AJ289" i="28"/>
  <c r="BE289" i="28" s="1"/>
  <c r="Y289" i="28"/>
  <c r="AT289" i="28" s="1"/>
  <c r="AK289" i="28"/>
  <c r="BF289" i="28" s="1"/>
  <c r="Z289" i="28"/>
  <c r="AC289" i="28"/>
  <c r="AX289" i="28" s="1"/>
  <c r="AI289" i="28"/>
  <c r="BD289" i="28" s="1"/>
  <c r="AL289" i="28"/>
  <c r="BG289" i="28" s="1"/>
  <c r="AO289" i="28"/>
  <c r="BJ289" i="28" s="1"/>
  <c r="Y361" i="28"/>
  <c r="AT361" i="28" s="1"/>
  <c r="AK361" i="28"/>
  <c r="BF361" i="28" s="1"/>
  <c r="Z361" i="28"/>
  <c r="AL361" i="28"/>
  <c r="BG361" i="28" s="1"/>
  <c r="AA361" i="28"/>
  <c r="AV361" i="28" s="1"/>
  <c r="AM361" i="28"/>
  <c r="BH361" i="28" s="1"/>
  <c r="AB361" i="28"/>
  <c r="AW361" i="28" s="1"/>
  <c r="AN361" i="28"/>
  <c r="BI361" i="28" s="1"/>
  <c r="AC361" i="28"/>
  <c r="AX361" i="28" s="1"/>
  <c r="AO361" i="28"/>
  <c r="BJ361" i="28" s="1"/>
  <c r="AD361" i="28"/>
  <c r="AY361" i="28" s="1"/>
  <c r="AP361" i="28"/>
  <c r="BK361" i="28" s="1"/>
  <c r="AE361" i="28"/>
  <c r="AZ361" i="28" s="1"/>
  <c r="AQ361" i="28"/>
  <c r="BL361" i="28" s="1"/>
  <c r="AF361" i="28"/>
  <c r="BA361" i="28" s="1"/>
  <c r="AR361" i="28"/>
  <c r="BM361" i="28" s="1"/>
  <c r="AG361" i="28"/>
  <c r="BB361" i="28" s="1"/>
  <c r="AH361" i="28"/>
  <c r="BC361" i="28" s="1"/>
  <c r="AI361" i="28"/>
  <c r="BD361" i="28" s="1"/>
  <c r="AJ361" i="28"/>
  <c r="BE361" i="28" s="1"/>
  <c r="AE260" i="28"/>
  <c r="AZ260" i="28" s="1"/>
  <c r="AQ260" i="28"/>
  <c r="BL260" i="28" s="1"/>
  <c r="AF260" i="28"/>
  <c r="BA260" i="28" s="1"/>
  <c r="AR260" i="28"/>
  <c r="BM260" i="28" s="1"/>
  <c r="AH260" i="28"/>
  <c r="BC260" i="28" s="1"/>
  <c r="AI260" i="28"/>
  <c r="BD260" i="28" s="1"/>
  <c r="AJ260" i="28"/>
  <c r="BE260" i="28" s="1"/>
  <c r="Y260" i="28"/>
  <c r="AT260" i="28" s="1"/>
  <c r="AK260" i="28"/>
  <c r="BF260" i="28" s="1"/>
  <c r="Z260" i="28"/>
  <c r="AL260" i="28"/>
  <c r="BG260" i="28" s="1"/>
  <c r="AB260" i="28"/>
  <c r="AW260" i="28" s="1"/>
  <c r="AN260" i="28"/>
  <c r="BI260" i="28" s="1"/>
  <c r="AC260" i="28"/>
  <c r="AX260" i="28" s="1"/>
  <c r="AO260" i="28"/>
  <c r="BJ260" i="28" s="1"/>
  <c r="AA260" i="28"/>
  <c r="AV260" i="28" s="1"/>
  <c r="AD260" i="28"/>
  <c r="AY260" i="28" s="1"/>
  <c r="AG260" i="28"/>
  <c r="BB260" i="28" s="1"/>
  <c r="AM260" i="28"/>
  <c r="BH260" i="28" s="1"/>
  <c r="AP260" i="28"/>
  <c r="BK260" i="28" s="1"/>
  <c r="AC332" i="28"/>
  <c r="AX332" i="28" s="1"/>
  <c r="AO332" i="28"/>
  <c r="BJ332" i="28" s="1"/>
  <c r="AD332" i="28"/>
  <c r="AY332" i="28" s="1"/>
  <c r="AP332" i="28"/>
  <c r="BK332" i="28" s="1"/>
  <c r="AE332" i="28"/>
  <c r="AZ332" i="28" s="1"/>
  <c r="AQ332" i="28"/>
  <c r="BL332" i="28" s="1"/>
  <c r="AF332" i="28"/>
  <c r="BA332" i="28" s="1"/>
  <c r="AR332" i="28"/>
  <c r="BM332" i="28" s="1"/>
  <c r="AG332" i="28"/>
  <c r="BB332" i="28" s="1"/>
  <c r="AH332" i="28"/>
  <c r="BC332" i="28" s="1"/>
  <c r="AI332" i="28"/>
  <c r="BD332" i="28" s="1"/>
  <c r="AJ332" i="28"/>
  <c r="BE332" i="28" s="1"/>
  <c r="Y332" i="28"/>
  <c r="AT332" i="28" s="1"/>
  <c r="AK332" i="28"/>
  <c r="BF332" i="28" s="1"/>
  <c r="Z332" i="28"/>
  <c r="AL332" i="28"/>
  <c r="BG332" i="28" s="1"/>
  <c r="AA332" i="28"/>
  <c r="AV332" i="28" s="1"/>
  <c r="AM332" i="28"/>
  <c r="BH332" i="28" s="1"/>
  <c r="AB332" i="28"/>
  <c r="AW332" i="28" s="1"/>
  <c r="AN332" i="28"/>
  <c r="BI332" i="28" s="1"/>
  <c r="AY396" i="30"/>
  <c r="AV396" i="30"/>
  <c r="AA76" i="24"/>
  <c r="AV76" i="24" s="1"/>
  <c r="AM76" i="24"/>
  <c r="BH76" i="24" s="1"/>
  <c r="AB76" i="24"/>
  <c r="AW76" i="24" s="1"/>
  <c r="AN76" i="24"/>
  <c r="BI76" i="24" s="1"/>
  <c r="AC76" i="24"/>
  <c r="AX76" i="24" s="1"/>
  <c r="AO76" i="24"/>
  <c r="BJ76" i="24" s="1"/>
  <c r="AD76" i="24"/>
  <c r="AY76" i="24" s="1"/>
  <c r="AP76" i="24"/>
  <c r="BK76" i="24" s="1"/>
  <c r="AE76" i="24"/>
  <c r="AZ76" i="24" s="1"/>
  <c r="AQ76" i="24"/>
  <c r="BL76" i="24" s="1"/>
  <c r="AF76" i="24"/>
  <c r="BA76" i="24" s="1"/>
  <c r="AR76" i="24"/>
  <c r="BM76" i="24" s="1"/>
  <c r="AG76" i="24"/>
  <c r="BB76" i="24" s="1"/>
  <c r="AH76" i="24"/>
  <c r="BC76" i="24" s="1"/>
  <c r="AI76" i="24"/>
  <c r="BD76" i="24" s="1"/>
  <c r="AJ76" i="24"/>
  <c r="BE76" i="24" s="1"/>
  <c r="AK76" i="24"/>
  <c r="BF76" i="24" s="1"/>
  <c r="Z76" i="24"/>
  <c r="AL76" i="24"/>
  <c r="BG76" i="24" s="1"/>
  <c r="Y76" i="24"/>
  <c r="AT76" i="24" s="1"/>
  <c r="AB220" i="24"/>
  <c r="AW220" i="24" s="1"/>
  <c r="AN220" i="24"/>
  <c r="BI220" i="24" s="1"/>
  <c r="AC220" i="24"/>
  <c r="AX220" i="24" s="1"/>
  <c r="AO220" i="24"/>
  <c r="BJ220" i="24" s="1"/>
  <c r="AD220" i="24"/>
  <c r="AY220" i="24" s="1"/>
  <c r="AP220" i="24"/>
  <c r="BK220" i="24" s="1"/>
  <c r="AE220" i="24"/>
  <c r="AZ220" i="24" s="1"/>
  <c r="AQ220" i="24"/>
  <c r="BL220" i="24" s="1"/>
  <c r="AF220" i="24"/>
  <c r="BA220" i="24" s="1"/>
  <c r="AR220" i="24"/>
  <c r="BM220" i="24" s="1"/>
  <c r="AG220" i="24"/>
  <c r="BB220" i="24" s="1"/>
  <c r="AH220" i="24"/>
  <c r="BC220" i="24" s="1"/>
  <c r="AI220" i="24"/>
  <c r="BD220" i="24" s="1"/>
  <c r="AJ220" i="24"/>
  <c r="BE220" i="24" s="1"/>
  <c r="AK220" i="24"/>
  <c r="BF220" i="24" s="1"/>
  <c r="Z220" i="24"/>
  <c r="AL220" i="24"/>
  <c r="BG220" i="24" s="1"/>
  <c r="Y220" i="24"/>
  <c r="AT220" i="24" s="1"/>
  <c r="AA220" i="24"/>
  <c r="AV220" i="24" s="1"/>
  <c r="AM220" i="24"/>
  <c r="BH220" i="24" s="1"/>
  <c r="AE84" i="24"/>
  <c r="AZ84" i="24" s="1"/>
  <c r="AQ84" i="24"/>
  <c r="BL84" i="24" s="1"/>
  <c r="AF84" i="24"/>
  <c r="BA84" i="24" s="1"/>
  <c r="AR84" i="24"/>
  <c r="BM84" i="24" s="1"/>
  <c r="AG84" i="24"/>
  <c r="BB84" i="24" s="1"/>
  <c r="AH84" i="24"/>
  <c r="BC84" i="24" s="1"/>
  <c r="AI84" i="24"/>
  <c r="BD84" i="24" s="1"/>
  <c r="AJ84" i="24"/>
  <c r="BE84" i="24" s="1"/>
  <c r="AK84" i="24"/>
  <c r="BF84" i="24" s="1"/>
  <c r="Z84" i="24"/>
  <c r="AL84" i="24"/>
  <c r="BG84" i="24" s="1"/>
  <c r="AA84" i="24"/>
  <c r="AV84" i="24" s="1"/>
  <c r="AM84" i="24"/>
  <c r="BH84" i="24" s="1"/>
  <c r="AB84" i="24"/>
  <c r="AW84" i="24" s="1"/>
  <c r="AN84" i="24"/>
  <c r="BI84" i="24" s="1"/>
  <c r="AC84" i="24"/>
  <c r="AX84" i="24" s="1"/>
  <c r="AO84" i="24"/>
  <c r="BJ84" i="24" s="1"/>
  <c r="AD84" i="24"/>
  <c r="AY84" i="24" s="1"/>
  <c r="AP84" i="24"/>
  <c r="BK84" i="24" s="1"/>
  <c r="Y84" i="24"/>
  <c r="AT84" i="24" s="1"/>
  <c r="AF156" i="24"/>
  <c r="BA156" i="24" s="1"/>
  <c r="AR156" i="24"/>
  <c r="BM156" i="24" s="1"/>
  <c r="AG156" i="24"/>
  <c r="BB156" i="24" s="1"/>
  <c r="AH156" i="24"/>
  <c r="BC156" i="24" s="1"/>
  <c r="AI156" i="24"/>
  <c r="BD156" i="24" s="1"/>
  <c r="AJ156" i="24"/>
  <c r="BE156" i="24" s="1"/>
  <c r="AK156" i="24"/>
  <c r="BF156" i="24" s="1"/>
  <c r="Z156" i="24"/>
  <c r="AL156" i="24"/>
  <c r="BG156" i="24" s="1"/>
  <c r="AA156" i="24"/>
  <c r="AV156" i="24" s="1"/>
  <c r="AM156" i="24"/>
  <c r="BH156" i="24" s="1"/>
  <c r="AB156" i="24"/>
  <c r="AW156" i="24" s="1"/>
  <c r="AN156" i="24"/>
  <c r="BI156" i="24" s="1"/>
  <c r="AC156" i="24"/>
  <c r="AX156" i="24" s="1"/>
  <c r="AO156" i="24"/>
  <c r="BJ156" i="24" s="1"/>
  <c r="AD156" i="24"/>
  <c r="AY156" i="24" s="1"/>
  <c r="AP156" i="24"/>
  <c r="BK156" i="24" s="1"/>
  <c r="AE156" i="24"/>
  <c r="AZ156" i="24" s="1"/>
  <c r="AQ156" i="24"/>
  <c r="BL156" i="24" s="1"/>
  <c r="Y156" i="24"/>
  <c r="AT156" i="24" s="1"/>
  <c r="AF228" i="24"/>
  <c r="BA228" i="24" s="1"/>
  <c r="AR228" i="24"/>
  <c r="BM228" i="24" s="1"/>
  <c r="AG228" i="24"/>
  <c r="BB228" i="24" s="1"/>
  <c r="AH228" i="24"/>
  <c r="BC228" i="24" s="1"/>
  <c r="AI228" i="24"/>
  <c r="BD228" i="24" s="1"/>
  <c r="AJ228" i="24"/>
  <c r="BE228" i="24" s="1"/>
  <c r="AK228" i="24"/>
  <c r="BF228" i="24" s="1"/>
  <c r="Z228" i="24"/>
  <c r="AL228" i="24"/>
  <c r="BG228" i="24" s="1"/>
  <c r="AA228" i="24"/>
  <c r="AV228" i="24" s="1"/>
  <c r="AM228" i="24"/>
  <c r="BH228" i="24" s="1"/>
  <c r="AB228" i="24"/>
  <c r="AW228" i="24" s="1"/>
  <c r="AN228" i="24"/>
  <c r="BI228" i="24" s="1"/>
  <c r="AC228" i="24"/>
  <c r="AX228" i="24" s="1"/>
  <c r="AO228" i="24"/>
  <c r="BJ228" i="24" s="1"/>
  <c r="AD228" i="24"/>
  <c r="AY228" i="24" s="1"/>
  <c r="AP228" i="24"/>
  <c r="BK228" i="24" s="1"/>
  <c r="AQ228" i="24"/>
  <c r="BL228" i="24" s="1"/>
  <c r="AE228" i="24"/>
  <c r="AZ228" i="24" s="1"/>
  <c r="Y228" i="24"/>
  <c r="AT228" i="24" s="1"/>
  <c r="Z300" i="24"/>
  <c r="AC300" i="24"/>
  <c r="AX300" i="24" s="1"/>
  <c r="AJ300" i="24"/>
  <c r="BE300" i="24" s="1"/>
  <c r="AK300" i="24"/>
  <c r="BF300" i="24" s="1"/>
  <c r="AI300" i="24"/>
  <c r="BD300" i="24" s="1"/>
  <c r="AL300" i="24"/>
  <c r="BG300" i="24" s="1"/>
  <c r="AM300" i="24"/>
  <c r="BH300" i="24" s="1"/>
  <c r="AA300" i="24"/>
  <c r="AV300" i="24" s="1"/>
  <c r="AN300" i="24"/>
  <c r="BI300" i="24" s="1"/>
  <c r="AB300" i="24"/>
  <c r="AW300" i="24" s="1"/>
  <c r="AO300" i="24"/>
  <c r="BJ300" i="24" s="1"/>
  <c r="AD300" i="24"/>
  <c r="AY300" i="24" s="1"/>
  <c r="AP300" i="24"/>
  <c r="BK300" i="24" s="1"/>
  <c r="AE300" i="24"/>
  <c r="AZ300" i="24" s="1"/>
  <c r="AQ300" i="24"/>
  <c r="BL300" i="24" s="1"/>
  <c r="AF300" i="24"/>
  <c r="BA300" i="24" s="1"/>
  <c r="AR300" i="24"/>
  <c r="BM300" i="24" s="1"/>
  <c r="AG300" i="24"/>
  <c r="BB300" i="24" s="1"/>
  <c r="AH300" i="24"/>
  <c r="BC300" i="24" s="1"/>
  <c r="Y300" i="24"/>
  <c r="AT300" i="24" s="1"/>
  <c r="AE372" i="24"/>
  <c r="AQ372" i="24"/>
  <c r="AF372" i="24"/>
  <c r="AR372" i="24"/>
  <c r="AG372" i="24"/>
  <c r="AH372" i="24"/>
  <c r="AI372" i="24"/>
  <c r="AJ372" i="24"/>
  <c r="AK372" i="24"/>
  <c r="Z372" i="24"/>
  <c r="AL372" i="24"/>
  <c r="AP372" i="24"/>
  <c r="AA372" i="24"/>
  <c r="AM372" i="24"/>
  <c r="AB372" i="24"/>
  <c r="AN372" i="24"/>
  <c r="Y372" i="24"/>
  <c r="AT372" i="24" s="1"/>
  <c r="AC372" i="24"/>
  <c r="AO372" i="24"/>
  <c r="AD372" i="24"/>
  <c r="AI331" i="24"/>
  <c r="BD331" i="24" s="1"/>
  <c r="AJ331" i="24"/>
  <c r="BE331" i="24" s="1"/>
  <c r="AK331" i="24"/>
  <c r="BF331" i="24" s="1"/>
  <c r="Z331" i="24"/>
  <c r="AL331" i="24"/>
  <c r="BG331" i="24" s="1"/>
  <c r="AA331" i="24"/>
  <c r="AV331" i="24" s="1"/>
  <c r="AM331" i="24"/>
  <c r="BH331" i="24" s="1"/>
  <c r="AB331" i="24"/>
  <c r="AW331" i="24" s="1"/>
  <c r="AN331" i="24"/>
  <c r="BI331" i="24" s="1"/>
  <c r="Y331" i="24"/>
  <c r="AT331" i="24" s="1"/>
  <c r="AC331" i="24"/>
  <c r="AX331" i="24" s="1"/>
  <c r="AO331" i="24"/>
  <c r="BJ331" i="24" s="1"/>
  <c r="AD331" i="24"/>
  <c r="AY331" i="24" s="1"/>
  <c r="AP331" i="24"/>
  <c r="BK331" i="24" s="1"/>
  <c r="AE331" i="24"/>
  <c r="AZ331" i="24" s="1"/>
  <c r="AQ331" i="24"/>
  <c r="BL331" i="24" s="1"/>
  <c r="AH331" i="24"/>
  <c r="BC331" i="24" s="1"/>
  <c r="AF331" i="24"/>
  <c r="BA331" i="24" s="1"/>
  <c r="AR331" i="24"/>
  <c r="BM331" i="24" s="1"/>
  <c r="AG331" i="24"/>
  <c r="BB331" i="24" s="1"/>
  <c r="AI355" i="24"/>
  <c r="BD355" i="24" s="1"/>
  <c r="AJ355" i="24"/>
  <c r="BE355" i="24" s="1"/>
  <c r="AK355" i="24"/>
  <c r="BF355" i="24" s="1"/>
  <c r="Z355" i="24"/>
  <c r="AL355" i="24"/>
  <c r="BG355" i="24" s="1"/>
  <c r="AA355" i="24"/>
  <c r="AV355" i="24" s="1"/>
  <c r="AM355" i="24"/>
  <c r="BH355" i="24" s="1"/>
  <c r="AB355" i="24"/>
  <c r="AW355" i="24" s="1"/>
  <c r="AN355" i="24"/>
  <c r="BI355" i="24" s="1"/>
  <c r="Y355" i="24"/>
  <c r="AT355" i="24" s="1"/>
  <c r="AC355" i="24"/>
  <c r="AX355" i="24" s="1"/>
  <c r="AO355" i="24"/>
  <c r="BJ355" i="24" s="1"/>
  <c r="AH355" i="24"/>
  <c r="BC355" i="24" s="1"/>
  <c r="AD355" i="24"/>
  <c r="AY355" i="24" s="1"/>
  <c r="AP355" i="24"/>
  <c r="BK355" i="24" s="1"/>
  <c r="AE355" i="24"/>
  <c r="AZ355" i="24" s="1"/>
  <c r="AQ355" i="24"/>
  <c r="BL355" i="24" s="1"/>
  <c r="AF355" i="24"/>
  <c r="BA355" i="24" s="1"/>
  <c r="AR355" i="24"/>
  <c r="BM355" i="24" s="1"/>
  <c r="AG355" i="24"/>
  <c r="BB355" i="24" s="1"/>
  <c r="AE139" i="24"/>
  <c r="AZ139" i="24" s="1"/>
  <c r="AQ139" i="24"/>
  <c r="BL139" i="24" s="1"/>
  <c r="AF139" i="24"/>
  <c r="BA139" i="24" s="1"/>
  <c r="AR139" i="24"/>
  <c r="BM139" i="24" s="1"/>
  <c r="AG139" i="24"/>
  <c r="BB139" i="24" s="1"/>
  <c r="AH139" i="24"/>
  <c r="BC139" i="24" s="1"/>
  <c r="AI139" i="24"/>
  <c r="BD139" i="24" s="1"/>
  <c r="AJ139" i="24"/>
  <c r="BE139" i="24" s="1"/>
  <c r="AK139" i="24"/>
  <c r="BF139" i="24" s="1"/>
  <c r="Z139" i="24"/>
  <c r="AL139" i="24"/>
  <c r="BG139" i="24" s="1"/>
  <c r="AA139" i="24"/>
  <c r="AV139" i="24" s="1"/>
  <c r="AM139" i="24"/>
  <c r="BH139" i="24" s="1"/>
  <c r="AB139" i="24"/>
  <c r="AW139" i="24" s="1"/>
  <c r="AN139" i="24"/>
  <c r="BI139" i="24" s="1"/>
  <c r="AC139" i="24"/>
  <c r="AX139" i="24" s="1"/>
  <c r="AO139" i="24"/>
  <c r="BJ139" i="24" s="1"/>
  <c r="AD139" i="24"/>
  <c r="AY139" i="24" s="1"/>
  <c r="AP139" i="24"/>
  <c r="BK139" i="24" s="1"/>
  <c r="Y139" i="24"/>
  <c r="AT139" i="24" s="1"/>
  <c r="AE283" i="24"/>
  <c r="AZ283" i="24" s="1"/>
  <c r="AQ283" i="24"/>
  <c r="BL283" i="24" s="1"/>
  <c r="AF283" i="24"/>
  <c r="BA283" i="24" s="1"/>
  <c r="AR283" i="24"/>
  <c r="BM283" i="24" s="1"/>
  <c r="AG283" i="24"/>
  <c r="BB283" i="24" s="1"/>
  <c r="AH283" i="24"/>
  <c r="BC283" i="24" s="1"/>
  <c r="AI283" i="24"/>
  <c r="BD283" i="24" s="1"/>
  <c r="AJ283" i="24"/>
  <c r="BE283" i="24" s="1"/>
  <c r="AK283" i="24"/>
  <c r="BF283" i="24" s="1"/>
  <c r="Z283" i="24"/>
  <c r="AL283" i="24"/>
  <c r="BG283" i="24" s="1"/>
  <c r="AA283" i="24"/>
  <c r="AV283" i="24" s="1"/>
  <c r="AM283" i="24"/>
  <c r="BH283" i="24" s="1"/>
  <c r="AB283" i="24"/>
  <c r="AW283" i="24" s="1"/>
  <c r="AN283" i="24"/>
  <c r="BI283" i="24" s="1"/>
  <c r="AC283" i="24"/>
  <c r="AX283" i="24" s="1"/>
  <c r="AO283" i="24"/>
  <c r="BJ283" i="24" s="1"/>
  <c r="AD283" i="24"/>
  <c r="AY283" i="24" s="1"/>
  <c r="AP283" i="24"/>
  <c r="BK283" i="24" s="1"/>
  <c r="Y283" i="24"/>
  <c r="AT283" i="24" s="1"/>
  <c r="AC117" i="24"/>
  <c r="AX117" i="24" s="1"/>
  <c r="AO117" i="24"/>
  <c r="BJ117" i="24" s="1"/>
  <c r="AD117" i="24"/>
  <c r="AY117" i="24" s="1"/>
  <c r="AP117" i="24"/>
  <c r="BK117" i="24" s="1"/>
  <c r="AE117" i="24"/>
  <c r="AZ117" i="24" s="1"/>
  <c r="AQ117" i="24"/>
  <c r="BL117" i="24" s="1"/>
  <c r="AF117" i="24"/>
  <c r="BA117" i="24" s="1"/>
  <c r="AR117" i="24"/>
  <c r="BM117" i="24" s="1"/>
  <c r="AG117" i="24"/>
  <c r="BB117" i="24" s="1"/>
  <c r="AH117" i="24"/>
  <c r="BC117" i="24" s="1"/>
  <c r="AI117" i="24"/>
  <c r="BD117" i="24" s="1"/>
  <c r="AJ117" i="24"/>
  <c r="BE117" i="24" s="1"/>
  <c r="AK117" i="24"/>
  <c r="BF117" i="24" s="1"/>
  <c r="Z117" i="24"/>
  <c r="AL117" i="24"/>
  <c r="BG117" i="24" s="1"/>
  <c r="AA117" i="24"/>
  <c r="AV117" i="24" s="1"/>
  <c r="AM117" i="24"/>
  <c r="BH117" i="24" s="1"/>
  <c r="AB117" i="24"/>
  <c r="AW117" i="24" s="1"/>
  <c r="AN117" i="24"/>
  <c r="BI117" i="24" s="1"/>
  <c r="Y117" i="24"/>
  <c r="AT117" i="24" s="1"/>
  <c r="AC189" i="24"/>
  <c r="AX189" i="24" s="1"/>
  <c r="AO189" i="24"/>
  <c r="BJ189" i="24" s="1"/>
  <c r="AD189" i="24"/>
  <c r="AY189" i="24" s="1"/>
  <c r="AP189" i="24"/>
  <c r="BK189" i="24" s="1"/>
  <c r="AE189" i="24"/>
  <c r="AZ189" i="24" s="1"/>
  <c r="AQ189" i="24"/>
  <c r="BL189" i="24" s="1"/>
  <c r="AF189" i="24"/>
  <c r="BA189" i="24" s="1"/>
  <c r="AR189" i="24"/>
  <c r="BM189" i="24" s="1"/>
  <c r="AG189" i="24"/>
  <c r="BB189" i="24" s="1"/>
  <c r="AH189" i="24"/>
  <c r="BC189" i="24" s="1"/>
  <c r="AI189" i="24"/>
  <c r="BD189" i="24" s="1"/>
  <c r="AJ189" i="24"/>
  <c r="BE189" i="24" s="1"/>
  <c r="AK189" i="24"/>
  <c r="BF189" i="24" s="1"/>
  <c r="Z189" i="24"/>
  <c r="AL189" i="24"/>
  <c r="BG189" i="24" s="1"/>
  <c r="AA189" i="24"/>
  <c r="AV189" i="24" s="1"/>
  <c r="AM189" i="24"/>
  <c r="BH189" i="24" s="1"/>
  <c r="Y189" i="24"/>
  <c r="AT189" i="24" s="1"/>
  <c r="AB189" i="24"/>
  <c r="AW189" i="24" s="1"/>
  <c r="AN189" i="24"/>
  <c r="BI189" i="24" s="1"/>
  <c r="AC261" i="24"/>
  <c r="AX261" i="24" s="1"/>
  <c r="AO261" i="24"/>
  <c r="BJ261" i="24" s="1"/>
  <c r="AD261" i="24"/>
  <c r="AY261" i="24" s="1"/>
  <c r="AP261" i="24"/>
  <c r="BK261" i="24" s="1"/>
  <c r="AE261" i="24"/>
  <c r="AZ261" i="24" s="1"/>
  <c r="AQ261" i="24"/>
  <c r="BL261" i="24" s="1"/>
  <c r="AF261" i="24"/>
  <c r="BA261" i="24" s="1"/>
  <c r="AR261" i="24"/>
  <c r="BM261" i="24" s="1"/>
  <c r="AG261" i="24"/>
  <c r="BB261" i="24" s="1"/>
  <c r="AH261" i="24"/>
  <c r="BC261" i="24" s="1"/>
  <c r="AI261" i="24"/>
  <c r="BD261" i="24" s="1"/>
  <c r="AJ261" i="24"/>
  <c r="BE261" i="24" s="1"/>
  <c r="AK261" i="24"/>
  <c r="BF261" i="24" s="1"/>
  <c r="Z261" i="24"/>
  <c r="AL261" i="24"/>
  <c r="BG261" i="24" s="1"/>
  <c r="AA261" i="24"/>
  <c r="AV261" i="24" s="1"/>
  <c r="AM261" i="24"/>
  <c r="BH261" i="24" s="1"/>
  <c r="AB261" i="24"/>
  <c r="AW261" i="24" s="1"/>
  <c r="AN261" i="24"/>
  <c r="BI261" i="24" s="1"/>
  <c r="Y261" i="24"/>
  <c r="AT261" i="24" s="1"/>
  <c r="AG333" i="24"/>
  <c r="BB333" i="24" s="1"/>
  <c r="AH333" i="24"/>
  <c r="BC333" i="24" s="1"/>
  <c r="AI333" i="24"/>
  <c r="BD333" i="24" s="1"/>
  <c r="AJ333" i="24"/>
  <c r="BE333" i="24" s="1"/>
  <c r="Y333" i="24"/>
  <c r="AT333" i="24" s="1"/>
  <c r="AR333" i="24"/>
  <c r="BM333" i="24" s="1"/>
  <c r="AK333" i="24"/>
  <c r="BF333" i="24" s="1"/>
  <c r="Z333" i="24"/>
  <c r="AL333" i="24"/>
  <c r="BG333" i="24" s="1"/>
  <c r="AA333" i="24"/>
  <c r="AV333" i="24" s="1"/>
  <c r="AM333" i="24"/>
  <c r="BH333" i="24" s="1"/>
  <c r="AB333" i="24"/>
  <c r="AW333" i="24" s="1"/>
  <c r="AN333" i="24"/>
  <c r="BI333" i="24" s="1"/>
  <c r="AC333" i="24"/>
  <c r="AX333" i="24" s="1"/>
  <c r="AO333" i="24"/>
  <c r="BJ333" i="24" s="1"/>
  <c r="AD333" i="24"/>
  <c r="AY333" i="24" s="1"/>
  <c r="AP333" i="24"/>
  <c r="BK333" i="24" s="1"/>
  <c r="AE333" i="24"/>
  <c r="AZ333" i="24" s="1"/>
  <c r="AQ333" i="24"/>
  <c r="BL333" i="24" s="1"/>
  <c r="AF333" i="24"/>
  <c r="BA333" i="24" s="1"/>
  <c r="AJ373" i="24"/>
  <c r="BE373" i="24" s="1"/>
  <c r="AK373" i="24"/>
  <c r="BF373" i="24" s="1"/>
  <c r="Z373" i="24"/>
  <c r="AL373" i="24"/>
  <c r="BG373" i="24" s="1"/>
  <c r="AA373" i="24"/>
  <c r="AV373" i="24" s="1"/>
  <c r="AM373" i="24"/>
  <c r="BH373" i="24" s="1"/>
  <c r="AR373" i="24"/>
  <c r="BM373" i="24" s="1"/>
  <c r="AB373" i="24"/>
  <c r="AW373" i="24" s="1"/>
  <c r="AN373" i="24"/>
  <c r="BI373" i="24" s="1"/>
  <c r="AF373" i="24"/>
  <c r="BA373" i="24" s="1"/>
  <c r="AC373" i="24"/>
  <c r="AX373" i="24" s="1"/>
  <c r="AO373" i="24"/>
  <c r="BJ373" i="24" s="1"/>
  <c r="AD373" i="24"/>
  <c r="AY373" i="24" s="1"/>
  <c r="AP373" i="24"/>
  <c r="BK373" i="24" s="1"/>
  <c r="AE373" i="24"/>
  <c r="AZ373" i="24" s="1"/>
  <c r="AQ373" i="24"/>
  <c r="BL373" i="24" s="1"/>
  <c r="AI373" i="24"/>
  <c r="BD373" i="24" s="1"/>
  <c r="AG373" i="24"/>
  <c r="BB373" i="24" s="1"/>
  <c r="AH373" i="24"/>
  <c r="BC373" i="24" s="1"/>
  <c r="Y373" i="24"/>
  <c r="AT373" i="24" s="1"/>
  <c r="AA143" i="24"/>
  <c r="AV143" i="24" s="1"/>
  <c r="AM143" i="24"/>
  <c r="BH143" i="24" s="1"/>
  <c r="AB143" i="24"/>
  <c r="AW143" i="24" s="1"/>
  <c r="AN143" i="24"/>
  <c r="BI143" i="24" s="1"/>
  <c r="AC143" i="24"/>
  <c r="AX143" i="24" s="1"/>
  <c r="AO143" i="24"/>
  <c r="BJ143" i="24" s="1"/>
  <c r="AD143" i="24"/>
  <c r="AY143" i="24" s="1"/>
  <c r="AP143" i="24"/>
  <c r="BK143" i="24" s="1"/>
  <c r="AE143" i="24"/>
  <c r="AZ143" i="24" s="1"/>
  <c r="AQ143" i="24"/>
  <c r="BL143" i="24" s="1"/>
  <c r="AF143" i="24"/>
  <c r="BA143" i="24" s="1"/>
  <c r="AR143" i="24"/>
  <c r="BM143" i="24" s="1"/>
  <c r="AG143" i="24"/>
  <c r="BB143" i="24" s="1"/>
  <c r="AH143" i="24"/>
  <c r="BC143" i="24" s="1"/>
  <c r="AI143" i="24"/>
  <c r="BD143" i="24" s="1"/>
  <c r="AJ143" i="24"/>
  <c r="BE143" i="24" s="1"/>
  <c r="AK143" i="24"/>
  <c r="BF143" i="24" s="1"/>
  <c r="Z143" i="24"/>
  <c r="AL143" i="24"/>
  <c r="BG143" i="24" s="1"/>
  <c r="Y143" i="24"/>
  <c r="AT143" i="24" s="1"/>
  <c r="AF316" i="24"/>
  <c r="BA316" i="24" s="1"/>
  <c r="AR316" i="24"/>
  <c r="BM316" i="24" s="1"/>
  <c r="AG316" i="24"/>
  <c r="BB316" i="24" s="1"/>
  <c r="Y316" i="24"/>
  <c r="AT316" i="24" s="1"/>
  <c r="AH316" i="24"/>
  <c r="BC316" i="24" s="1"/>
  <c r="AQ316" i="24"/>
  <c r="BL316" i="24" s="1"/>
  <c r="AI316" i="24"/>
  <c r="BD316" i="24" s="1"/>
  <c r="AJ316" i="24"/>
  <c r="BE316" i="24" s="1"/>
  <c r="AK316" i="24"/>
  <c r="BF316" i="24" s="1"/>
  <c r="Z316" i="24"/>
  <c r="AL316" i="24"/>
  <c r="BG316" i="24" s="1"/>
  <c r="AA316" i="24"/>
  <c r="AV316" i="24" s="1"/>
  <c r="AM316" i="24"/>
  <c r="BH316" i="24" s="1"/>
  <c r="AE316" i="24"/>
  <c r="AZ316" i="24" s="1"/>
  <c r="AB316" i="24"/>
  <c r="AW316" i="24" s="1"/>
  <c r="AN316" i="24"/>
  <c r="BI316" i="24" s="1"/>
  <c r="AC316" i="24"/>
  <c r="AX316" i="24" s="1"/>
  <c r="AO316" i="24"/>
  <c r="BJ316" i="24" s="1"/>
  <c r="AD316" i="24"/>
  <c r="AY316" i="24" s="1"/>
  <c r="AP316" i="24"/>
  <c r="BK316" i="24" s="1"/>
  <c r="AK329" i="24"/>
  <c r="BF329" i="24" s="1"/>
  <c r="Z329" i="24"/>
  <c r="AL329" i="24"/>
  <c r="BG329" i="24" s="1"/>
  <c r="AA329" i="24"/>
  <c r="AV329" i="24" s="1"/>
  <c r="AM329" i="24"/>
  <c r="BH329" i="24" s="1"/>
  <c r="AB329" i="24"/>
  <c r="AW329" i="24" s="1"/>
  <c r="AN329" i="24"/>
  <c r="BI329" i="24" s="1"/>
  <c r="Y329" i="24"/>
  <c r="AT329" i="24" s="1"/>
  <c r="AC329" i="24"/>
  <c r="AX329" i="24" s="1"/>
  <c r="AO329" i="24"/>
  <c r="BJ329" i="24" s="1"/>
  <c r="AD329" i="24"/>
  <c r="AY329" i="24" s="1"/>
  <c r="AP329" i="24"/>
  <c r="BK329" i="24" s="1"/>
  <c r="AE329" i="24"/>
  <c r="AZ329" i="24" s="1"/>
  <c r="AQ329" i="24"/>
  <c r="BL329" i="24" s="1"/>
  <c r="AF329" i="24"/>
  <c r="BA329" i="24" s="1"/>
  <c r="AR329" i="24"/>
  <c r="BM329" i="24" s="1"/>
  <c r="AJ329" i="24"/>
  <c r="BE329" i="24" s="1"/>
  <c r="AG329" i="24"/>
  <c r="BB329" i="24" s="1"/>
  <c r="AH329" i="24"/>
  <c r="BC329" i="24" s="1"/>
  <c r="AI329" i="24"/>
  <c r="BD329" i="24" s="1"/>
  <c r="AG233" i="24"/>
  <c r="BB233" i="24" s="1"/>
  <c r="AH233" i="24"/>
  <c r="BC233" i="24" s="1"/>
  <c r="AI233" i="24"/>
  <c r="BD233" i="24" s="1"/>
  <c r="AJ233" i="24"/>
  <c r="BE233" i="24" s="1"/>
  <c r="AK233" i="24"/>
  <c r="BF233" i="24" s="1"/>
  <c r="Z233" i="24"/>
  <c r="AL233" i="24"/>
  <c r="BG233" i="24" s="1"/>
  <c r="AA233" i="24"/>
  <c r="AV233" i="24" s="1"/>
  <c r="AM233" i="24"/>
  <c r="BH233" i="24" s="1"/>
  <c r="AB233" i="24"/>
  <c r="AW233" i="24" s="1"/>
  <c r="AN233" i="24"/>
  <c r="BI233" i="24" s="1"/>
  <c r="AC233" i="24"/>
  <c r="AX233" i="24" s="1"/>
  <c r="AO233" i="24"/>
  <c r="BJ233" i="24" s="1"/>
  <c r="AD233" i="24"/>
  <c r="AY233" i="24" s="1"/>
  <c r="AP233" i="24"/>
  <c r="BK233" i="24" s="1"/>
  <c r="AE233" i="24"/>
  <c r="AZ233" i="24" s="1"/>
  <c r="AQ233" i="24"/>
  <c r="BL233" i="24" s="1"/>
  <c r="Y233" i="24"/>
  <c r="AT233" i="24" s="1"/>
  <c r="AF233" i="24"/>
  <c r="BA233" i="24" s="1"/>
  <c r="AR233" i="24"/>
  <c r="BM233" i="24" s="1"/>
  <c r="AD170" i="24"/>
  <c r="AY170" i="24" s="1"/>
  <c r="AP170" i="24"/>
  <c r="BK170" i="24" s="1"/>
  <c r="AE170" i="24"/>
  <c r="AZ170" i="24" s="1"/>
  <c r="AQ170" i="24"/>
  <c r="BL170" i="24" s="1"/>
  <c r="AF170" i="24"/>
  <c r="BA170" i="24" s="1"/>
  <c r="AR170" i="24"/>
  <c r="BM170" i="24" s="1"/>
  <c r="AG170" i="24"/>
  <c r="BB170" i="24" s="1"/>
  <c r="AH170" i="24"/>
  <c r="BC170" i="24" s="1"/>
  <c r="AI170" i="24"/>
  <c r="BD170" i="24" s="1"/>
  <c r="AJ170" i="24"/>
  <c r="BE170" i="24" s="1"/>
  <c r="AK170" i="24"/>
  <c r="BF170" i="24" s="1"/>
  <c r="Z170" i="24"/>
  <c r="AL170" i="24"/>
  <c r="BG170" i="24" s="1"/>
  <c r="AA170" i="24"/>
  <c r="AV170" i="24" s="1"/>
  <c r="AM170" i="24"/>
  <c r="BH170" i="24" s="1"/>
  <c r="AB170" i="24"/>
  <c r="AW170" i="24" s="1"/>
  <c r="AN170" i="24"/>
  <c r="BI170" i="24" s="1"/>
  <c r="Y170" i="24"/>
  <c r="AT170" i="24" s="1"/>
  <c r="AC170" i="24"/>
  <c r="AX170" i="24" s="1"/>
  <c r="AO170" i="24"/>
  <c r="BJ170" i="24" s="1"/>
  <c r="AF340" i="24"/>
  <c r="BA340" i="24" s="1"/>
  <c r="AR340" i="24"/>
  <c r="BM340" i="24" s="1"/>
  <c r="Y340" i="24"/>
  <c r="AT340" i="24" s="1"/>
  <c r="AG340" i="24"/>
  <c r="BB340" i="24" s="1"/>
  <c r="AH340" i="24"/>
  <c r="BC340" i="24" s="1"/>
  <c r="AQ340" i="24"/>
  <c r="BL340" i="24" s="1"/>
  <c r="AI340" i="24"/>
  <c r="BD340" i="24" s="1"/>
  <c r="AJ340" i="24"/>
  <c r="BE340" i="24" s="1"/>
  <c r="AE340" i="24"/>
  <c r="AZ340" i="24" s="1"/>
  <c r="AK340" i="24"/>
  <c r="BF340" i="24" s="1"/>
  <c r="Z340" i="24"/>
  <c r="AL340" i="24"/>
  <c r="BG340" i="24" s="1"/>
  <c r="AA340" i="24"/>
  <c r="AV340" i="24" s="1"/>
  <c r="AM340" i="24"/>
  <c r="BH340" i="24" s="1"/>
  <c r="AB340" i="24"/>
  <c r="AW340" i="24" s="1"/>
  <c r="AN340" i="24"/>
  <c r="BI340" i="24" s="1"/>
  <c r="AC340" i="24"/>
  <c r="AX340" i="24" s="1"/>
  <c r="AO340" i="24"/>
  <c r="BJ340" i="24" s="1"/>
  <c r="AD340" i="24"/>
  <c r="AY340" i="24" s="1"/>
  <c r="AP340" i="24"/>
  <c r="BK340" i="24" s="1"/>
  <c r="AD290" i="24"/>
  <c r="AY290" i="24" s="1"/>
  <c r="AP290" i="24"/>
  <c r="BK290" i="24" s="1"/>
  <c r="AE290" i="24"/>
  <c r="AZ290" i="24" s="1"/>
  <c r="AQ290" i="24"/>
  <c r="BL290" i="24" s="1"/>
  <c r="AF290" i="24"/>
  <c r="BA290" i="24" s="1"/>
  <c r="AR290" i="24"/>
  <c r="BM290" i="24" s="1"/>
  <c r="AG290" i="24"/>
  <c r="BB290" i="24" s="1"/>
  <c r="AH290" i="24"/>
  <c r="BC290" i="24" s="1"/>
  <c r="AI290" i="24"/>
  <c r="BD290" i="24" s="1"/>
  <c r="AJ290" i="24"/>
  <c r="BE290" i="24" s="1"/>
  <c r="AK290" i="24"/>
  <c r="BF290" i="24" s="1"/>
  <c r="Z290" i="24"/>
  <c r="AL290" i="24"/>
  <c r="BG290" i="24" s="1"/>
  <c r="AA290" i="24"/>
  <c r="AV290" i="24" s="1"/>
  <c r="AM290" i="24"/>
  <c r="BH290" i="24" s="1"/>
  <c r="AB290" i="24"/>
  <c r="AW290" i="24" s="1"/>
  <c r="AN290" i="24"/>
  <c r="BI290" i="24" s="1"/>
  <c r="AC290" i="24"/>
  <c r="AX290" i="24" s="1"/>
  <c r="Y290" i="24"/>
  <c r="AT290" i="24" s="1"/>
  <c r="AO290" i="24"/>
  <c r="BJ290" i="24" s="1"/>
  <c r="AD379" i="24"/>
  <c r="AY379" i="24" s="1"/>
  <c r="AP379" i="24"/>
  <c r="BK379" i="24" s="1"/>
  <c r="AE379" i="24"/>
  <c r="AZ379" i="24" s="1"/>
  <c r="AQ379" i="24"/>
  <c r="BL379" i="24" s="1"/>
  <c r="AF379" i="24"/>
  <c r="BA379" i="24" s="1"/>
  <c r="AR379" i="24"/>
  <c r="BM379" i="24" s="1"/>
  <c r="AG379" i="24"/>
  <c r="BB379" i="24" s="1"/>
  <c r="Z379" i="24"/>
  <c r="AH379" i="24"/>
  <c r="BC379" i="24" s="1"/>
  <c r="Y379" i="24"/>
  <c r="AT379" i="24" s="1"/>
  <c r="AI379" i="24"/>
  <c r="BD379" i="24" s="1"/>
  <c r="AJ379" i="24"/>
  <c r="BE379" i="24" s="1"/>
  <c r="AK379" i="24"/>
  <c r="BF379" i="24" s="1"/>
  <c r="AL379" i="24"/>
  <c r="BG379" i="24" s="1"/>
  <c r="AO379" i="24"/>
  <c r="BJ379" i="24" s="1"/>
  <c r="AA379" i="24"/>
  <c r="AV379" i="24" s="1"/>
  <c r="AM379" i="24"/>
  <c r="BH379" i="24" s="1"/>
  <c r="AB379" i="24"/>
  <c r="AW379" i="24" s="1"/>
  <c r="AN379" i="24"/>
  <c r="BI379" i="24" s="1"/>
  <c r="AC379" i="24"/>
  <c r="AX379" i="24" s="1"/>
  <c r="AJ152" i="24"/>
  <c r="BE152" i="24" s="1"/>
  <c r="AK152" i="24"/>
  <c r="BF152" i="24" s="1"/>
  <c r="Z152" i="24"/>
  <c r="AL152" i="24"/>
  <c r="BG152" i="24" s="1"/>
  <c r="AA152" i="24"/>
  <c r="AV152" i="24" s="1"/>
  <c r="AM152" i="24"/>
  <c r="BH152" i="24" s="1"/>
  <c r="AB152" i="24"/>
  <c r="AW152" i="24" s="1"/>
  <c r="AN152" i="24"/>
  <c r="BI152" i="24" s="1"/>
  <c r="AC152" i="24"/>
  <c r="AX152" i="24" s="1"/>
  <c r="AO152" i="24"/>
  <c r="BJ152" i="24" s="1"/>
  <c r="AD152" i="24"/>
  <c r="AY152" i="24" s="1"/>
  <c r="AP152" i="24"/>
  <c r="BK152" i="24" s="1"/>
  <c r="AE152" i="24"/>
  <c r="AZ152" i="24" s="1"/>
  <c r="AQ152" i="24"/>
  <c r="BL152" i="24" s="1"/>
  <c r="AF152" i="24"/>
  <c r="BA152" i="24" s="1"/>
  <c r="AR152" i="24"/>
  <c r="BM152" i="24" s="1"/>
  <c r="AG152" i="24"/>
  <c r="BB152" i="24" s="1"/>
  <c r="AH152" i="24"/>
  <c r="BC152" i="24" s="1"/>
  <c r="Y152" i="24"/>
  <c r="AT152" i="24" s="1"/>
  <c r="AI152" i="24"/>
  <c r="BD152" i="24" s="1"/>
  <c r="AJ236" i="24"/>
  <c r="BE236" i="24" s="1"/>
  <c r="AK236" i="24"/>
  <c r="BF236" i="24" s="1"/>
  <c r="Z236" i="24"/>
  <c r="AL236" i="24"/>
  <c r="BG236" i="24" s="1"/>
  <c r="AA236" i="24"/>
  <c r="AV236" i="24" s="1"/>
  <c r="AM236" i="24"/>
  <c r="BH236" i="24" s="1"/>
  <c r="AB236" i="24"/>
  <c r="AW236" i="24" s="1"/>
  <c r="AN236" i="24"/>
  <c r="BI236" i="24" s="1"/>
  <c r="AC236" i="24"/>
  <c r="AX236" i="24" s="1"/>
  <c r="AO236" i="24"/>
  <c r="BJ236" i="24" s="1"/>
  <c r="AD236" i="24"/>
  <c r="AY236" i="24" s="1"/>
  <c r="AP236" i="24"/>
  <c r="BK236" i="24" s="1"/>
  <c r="AE236" i="24"/>
  <c r="AZ236" i="24" s="1"/>
  <c r="AQ236" i="24"/>
  <c r="BL236" i="24" s="1"/>
  <c r="AF236" i="24"/>
  <c r="BA236" i="24" s="1"/>
  <c r="AR236" i="24"/>
  <c r="BM236" i="24" s="1"/>
  <c r="AG236" i="24"/>
  <c r="BB236" i="24" s="1"/>
  <c r="AH236" i="24"/>
  <c r="BC236" i="24" s="1"/>
  <c r="Y236" i="24"/>
  <c r="AT236" i="24" s="1"/>
  <c r="AI236" i="24"/>
  <c r="BD236" i="24" s="1"/>
  <c r="AI138" i="25"/>
  <c r="BD138" i="25" s="1"/>
  <c r="AJ138" i="25"/>
  <c r="BE138" i="25" s="1"/>
  <c r="Y138" i="25"/>
  <c r="AT138" i="25" s="1"/>
  <c r="AK138" i="25"/>
  <c r="BF138" i="25" s="1"/>
  <c r="Z138" i="25"/>
  <c r="AL138" i="25"/>
  <c r="BG138" i="25" s="1"/>
  <c r="AA138" i="25"/>
  <c r="AV138" i="25" s="1"/>
  <c r="AM138" i="25"/>
  <c r="BH138" i="25" s="1"/>
  <c r="AB138" i="25"/>
  <c r="AW138" i="25" s="1"/>
  <c r="AN138" i="25"/>
  <c r="BI138" i="25" s="1"/>
  <c r="AC138" i="25"/>
  <c r="AX138" i="25" s="1"/>
  <c r="AO138" i="25"/>
  <c r="BJ138" i="25" s="1"/>
  <c r="AD138" i="25"/>
  <c r="AY138" i="25" s="1"/>
  <c r="AP138" i="25"/>
  <c r="BK138" i="25" s="1"/>
  <c r="AE138" i="25"/>
  <c r="AZ138" i="25" s="1"/>
  <c r="AQ138" i="25"/>
  <c r="BL138" i="25" s="1"/>
  <c r="AF138" i="25"/>
  <c r="BA138" i="25" s="1"/>
  <c r="AR138" i="25"/>
  <c r="BM138" i="25" s="1"/>
  <c r="AG138" i="25"/>
  <c r="BB138" i="25" s="1"/>
  <c r="AH138" i="25"/>
  <c r="BC138" i="25" s="1"/>
  <c r="AA208" i="25"/>
  <c r="AV208" i="25" s="1"/>
  <c r="AM208" i="25"/>
  <c r="BH208" i="25" s="1"/>
  <c r="AB208" i="25"/>
  <c r="AW208" i="25" s="1"/>
  <c r="AN208" i="25"/>
  <c r="BI208" i="25" s="1"/>
  <c r="AC208" i="25"/>
  <c r="AX208" i="25" s="1"/>
  <c r="AO208" i="25"/>
  <c r="BJ208" i="25" s="1"/>
  <c r="AD208" i="25"/>
  <c r="AY208" i="25" s="1"/>
  <c r="AP208" i="25"/>
  <c r="BK208" i="25" s="1"/>
  <c r="AE208" i="25"/>
  <c r="AZ208" i="25" s="1"/>
  <c r="AQ208" i="25"/>
  <c r="BL208" i="25" s="1"/>
  <c r="AF208" i="25"/>
  <c r="BA208" i="25" s="1"/>
  <c r="AR208" i="25"/>
  <c r="BM208" i="25" s="1"/>
  <c r="AG208" i="25"/>
  <c r="BB208" i="25" s="1"/>
  <c r="AH208" i="25"/>
  <c r="BC208" i="25" s="1"/>
  <c r="AI208" i="25"/>
  <c r="BD208" i="25" s="1"/>
  <c r="AJ208" i="25"/>
  <c r="BE208" i="25" s="1"/>
  <c r="Y208" i="25"/>
  <c r="AT208" i="25" s="1"/>
  <c r="AK208" i="25"/>
  <c r="BF208" i="25" s="1"/>
  <c r="Z208" i="25"/>
  <c r="AL208" i="25"/>
  <c r="BG208" i="25" s="1"/>
  <c r="Z280" i="25"/>
  <c r="AL280" i="25"/>
  <c r="BG280" i="25" s="1"/>
  <c r="AA280" i="25"/>
  <c r="AV280" i="25" s="1"/>
  <c r="AM280" i="25"/>
  <c r="BH280" i="25" s="1"/>
  <c r="AB280" i="25"/>
  <c r="AW280" i="25" s="1"/>
  <c r="AN280" i="25"/>
  <c r="BI280" i="25" s="1"/>
  <c r="AC280" i="25"/>
  <c r="AX280" i="25" s="1"/>
  <c r="AO280" i="25"/>
  <c r="BJ280" i="25" s="1"/>
  <c r="AD280" i="25"/>
  <c r="AY280" i="25" s="1"/>
  <c r="AP280" i="25"/>
  <c r="BK280" i="25" s="1"/>
  <c r="AE280" i="25"/>
  <c r="AZ280" i="25" s="1"/>
  <c r="AQ280" i="25"/>
  <c r="BL280" i="25" s="1"/>
  <c r="AF280" i="25"/>
  <c r="BA280" i="25" s="1"/>
  <c r="AR280" i="25"/>
  <c r="BM280" i="25" s="1"/>
  <c r="AG280" i="25"/>
  <c r="BB280" i="25" s="1"/>
  <c r="AH280" i="25"/>
  <c r="BC280" i="25" s="1"/>
  <c r="AI280" i="25"/>
  <c r="BD280" i="25" s="1"/>
  <c r="AJ280" i="25"/>
  <c r="BE280" i="25" s="1"/>
  <c r="Y280" i="25"/>
  <c r="AT280" i="25" s="1"/>
  <c r="AK280" i="25"/>
  <c r="BF280" i="25" s="1"/>
  <c r="Z352" i="25"/>
  <c r="AL352" i="25"/>
  <c r="BG352" i="25" s="1"/>
  <c r="AA352" i="25"/>
  <c r="AV352" i="25" s="1"/>
  <c r="AM352" i="25"/>
  <c r="BH352" i="25" s="1"/>
  <c r="AB352" i="25"/>
  <c r="AW352" i="25" s="1"/>
  <c r="AN352" i="25"/>
  <c r="BI352" i="25" s="1"/>
  <c r="AC352" i="25"/>
  <c r="AX352" i="25" s="1"/>
  <c r="AO352" i="25"/>
  <c r="BJ352" i="25" s="1"/>
  <c r="AD352" i="25"/>
  <c r="AY352" i="25" s="1"/>
  <c r="AP352" i="25"/>
  <c r="BK352" i="25" s="1"/>
  <c r="AE352" i="25"/>
  <c r="AZ352" i="25" s="1"/>
  <c r="AQ352" i="25"/>
  <c r="BL352" i="25" s="1"/>
  <c r="AF352" i="25"/>
  <c r="BA352" i="25" s="1"/>
  <c r="AR352" i="25"/>
  <c r="BM352" i="25" s="1"/>
  <c r="AG352" i="25"/>
  <c r="BB352" i="25" s="1"/>
  <c r="AH352" i="25"/>
  <c r="BC352" i="25" s="1"/>
  <c r="AI352" i="25"/>
  <c r="BD352" i="25" s="1"/>
  <c r="AJ352" i="25"/>
  <c r="BE352" i="25" s="1"/>
  <c r="Y352" i="25"/>
  <c r="AT352" i="25" s="1"/>
  <c r="AK352" i="25"/>
  <c r="BF352" i="25" s="1"/>
  <c r="AA151" i="25"/>
  <c r="AV151" i="25" s="1"/>
  <c r="AM151" i="25"/>
  <c r="BH151" i="25" s="1"/>
  <c r="AB151" i="25"/>
  <c r="AW151" i="25" s="1"/>
  <c r="AN151" i="25"/>
  <c r="BI151" i="25" s="1"/>
  <c r="AC151" i="25"/>
  <c r="AX151" i="25" s="1"/>
  <c r="AO151" i="25"/>
  <c r="BJ151" i="25" s="1"/>
  <c r="AD151" i="25"/>
  <c r="AY151" i="25" s="1"/>
  <c r="AP151" i="25"/>
  <c r="BK151" i="25" s="1"/>
  <c r="AE151" i="25"/>
  <c r="AZ151" i="25" s="1"/>
  <c r="AQ151" i="25"/>
  <c r="BL151" i="25" s="1"/>
  <c r="AF151" i="25"/>
  <c r="BA151" i="25" s="1"/>
  <c r="AR151" i="25"/>
  <c r="BM151" i="25" s="1"/>
  <c r="AG151" i="25"/>
  <c r="BB151" i="25" s="1"/>
  <c r="AH151" i="25"/>
  <c r="BC151" i="25" s="1"/>
  <c r="AI151" i="25"/>
  <c r="BD151" i="25" s="1"/>
  <c r="AJ151" i="25"/>
  <c r="BE151" i="25" s="1"/>
  <c r="Y151" i="25"/>
  <c r="AT151" i="25" s="1"/>
  <c r="AK151" i="25"/>
  <c r="BF151" i="25" s="1"/>
  <c r="Z151" i="25"/>
  <c r="AL151" i="25"/>
  <c r="BG151" i="25" s="1"/>
  <c r="AE221" i="25"/>
  <c r="AZ221" i="25" s="1"/>
  <c r="AQ221" i="25"/>
  <c r="BL221" i="25" s="1"/>
  <c r="AF221" i="25"/>
  <c r="BA221" i="25" s="1"/>
  <c r="AR221" i="25"/>
  <c r="BM221" i="25" s="1"/>
  <c r="AG221" i="25"/>
  <c r="BB221" i="25" s="1"/>
  <c r="AH221" i="25"/>
  <c r="BC221" i="25" s="1"/>
  <c r="AI221" i="25"/>
  <c r="BD221" i="25" s="1"/>
  <c r="AJ221" i="25"/>
  <c r="BE221" i="25" s="1"/>
  <c r="Y221" i="25"/>
  <c r="AT221" i="25" s="1"/>
  <c r="AK221" i="25"/>
  <c r="BF221" i="25" s="1"/>
  <c r="Z221" i="25"/>
  <c r="AL221" i="25"/>
  <c r="BG221" i="25" s="1"/>
  <c r="AA221" i="25"/>
  <c r="AV221" i="25" s="1"/>
  <c r="AM221" i="25"/>
  <c r="BH221" i="25" s="1"/>
  <c r="AB221" i="25"/>
  <c r="AW221" i="25" s="1"/>
  <c r="AN221" i="25"/>
  <c r="BI221" i="25" s="1"/>
  <c r="AC221" i="25"/>
  <c r="AX221" i="25" s="1"/>
  <c r="AO221" i="25"/>
  <c r="BJ221" i="25" s="1"/>
  <c r="AP221" i="25"/>
  <c r="BK221" i="25" s="1"/>
  <c r="AD221" i="25"/>
  <c r="AY221" i="25" s="1"/>
  <c r="AD293" i="25"/>
  <c r="AY293" i="25" s="1"/>
  <c r="AP293" i="25"/>
  <c r="BK293" i="25" s="1"/>
  <c r="AE293" i="25"/>
  <c r="AZ293" i="25" s="1"/>
  <c r="AQ293" i="25"/>
  <c r="BL293" i="25" s="1"/>
  <c r="AF293" i="25"/>
  <c r="BA293" i="25" s="1"/>
  <c r="AR293" i="25"/>
  <c r="BM293" i="25" s="1"/>
  <c r="AG293" i="25"/>
  <c r="BB293" i="25" s="1"/>
  <c r="AH293" i="25"/>
  <c r="BC293" i="25" s="1"/>
  <c r="AI293" i="25"/>
  <c r="BD293" i="25" s="1"/>
  <c r="AJ293" i="25"/>
  <c r="BE293" i="25" s="1"/>
  <c r="Y293" i="25"/>
  <c r="AT293" i="25" s="1"/>
  <c r="AK293" i="25"/>
  <c r="BF293" i="25" s="1"/>
  <c r="Z293" i="25"/>
  <c r="AL293" i="25"/>
  <c r="BG293" i="25" s="1"/>
  <c r="AA293" i="25"/>
  <c r="AV293" i="25" s="1"/>
  <c r="AM293" i="25"/>
  <c r="BH293" i="25" s="1"/>
  <c r="AB293" i="25"/>
  <c r="AW293" i="25" s="1"/>
  <c r="AN293" i="25"/>
  <c r="BI293" i="25" s="1"/>
  <c r="AC293" i="25"/>
  <c r="AX293" i="25" s="1"/>
  <c r="AO293" i="25"/>
  <c r="BJ293" i="25" s="1"/>
  <c r="AD365" i="25"/>
  <c r="AY365" i="25" s="1"/>
  <c r="AP365" i="25"/>
  <c r="BK365" i="25" s="1"/>
  <c r="AE365" i="25"/>
  <c r="AZ365" i="25" s="1"/>
  <c r="AQ365" i="25"/>
  <c r="BL365" i="25" s="1"/>
  <c r="AF365" i="25"/>
  <c r="BA365" i="25" s="1"/>
  <c r="AR365" i="25"/>
  <c r="BM365" i="25" s="1"/>
  <c r="AG365" i="25"/>
  <c r="BB365" i="25" s="1"/>
  <c r="AH365" i="25"/>
  <c r="BC365" i="25" s="1"/>
  <c r="AI365" i="25"/>
  <c r="BD365" i="25" s="1"/>
  <c r="AJ365" i="25"/>
  <c r="BE365" i="25" s="1"/>
  <c r="Y365" i="25"/>
  <c r="AT365" i="25" s="1"/>
  <c r="AK365" i="25"/>
  <c r="BF365" i="25" s="1"/>
  <c r="Z365" i="25"/>
  <c r="AL365" i="25"/>
  <c r="BG365" i="25" s="1"/>
  <c r="AA365" i="25"/>
  <c r="AV365" i="25" s="1"/>
  <c r="AM365" i="25"/>
  <c r="BH365" i="25" s="1"/>
  <c r="AB365" i="25"/>
  <c r="AW365" i="25" s="1"/>
  <c r="AN365" i="25"/>
  <c r="BI365" i="25" s="1"/>
  <c r="AC365" i="25"/>
  <c r="AX365" i="25" s="1"/>
  <c r="AO365" i="25"/>
  <c r="BJ365" i="25" s="1"/>
  <c r="AI168" i="25"/>
  <c r="BD168" i="25" s="1"/>
  <c r="AJ168" i="25"/>
  <c r="BE168" i="25" s="1"/>
  <c r="Y168" i="25"/>
  <c r="AT168" i="25" s="1"/>
  <c r="AK168" i="25"/>
  <c r="BF168" i="25" s="1"/>
  <c r="Z168" i="25"/>
  <c r="AL168" i="25"/>
  <c r="BG168" i="25" s="1"/>
  <c r="AA168" i="25"/>
  <c r="AV168" i="25" s="1"/>
  <c r="AM168" i="25"/>
  <c r="BH168" i="25" s="1"/>
  <c r="AB168" i="25"/>
  <c r="AW168" i="25" s="1"/>
  <c r="AN168" i="25"/>
  <c r="BI168" i="25" s="1"/>
  <c r="AC168" i="25"/>
  <c r="AX168" i="25" s="1"/>
  <c r="AO168" i="25"/>
  <c r="BJ168" i="25" s="1"/>
  <c r="AD168" i="25"/>
  <c r="AY168" i="25" s="1"/>
  <c r="AP168" i="25"/>
  <c r="BK168" i="25" s="1"/>
  <c r="AE168" i="25"/>
  <c r="AZ168" i="25" s="1"/>
  <c r="AQ168" i="25"/>
  <c r="BL168" i="25" s="1"/>
  <c r="AF168" i="25"/>
  <c r="BA168" i="25" s="1"/>
  <c r="AR168" i="25"/>
  <c r="BM168" i="25" s="1"/>
  <c r="AG168" i="25"/>
  <c r="BB168" i="25" s="1"/>
  <c r="AH168" i="25"/>
  <c r="BC168" i="25" s="1"/>
  <c r="AH240" i="25"/>
  <c r="BC240" i="25" s="1"/>
  <c r="AI240" i="25"/>
  <c r="BD240" i="25" s="1"/>
  <c r="AJ240" i="25"/>
  <c r="BE240" i="25" s="1"/>
  <c r="Y240" i="25"/>
  <c r="AT240" i="25" s="1"/>
  <c r="AK240" i="25"/>
  <c r="BF240" i="25" s="1"/>
  <c r="Z240" i="25"/>
  <c r="AL240" i="25"/>
  <c r="BG240" i="25" s="1"/>
  <c r="AA240" i="25"/>
  <c r="AV240" i="25" s="1"/>
  <c r="AM240" i="25"/>
  <c r="BH240" i="25" s="1"/>
  <c r="AB240" i="25"/>
  <c r="AW240" i="25" s="1"/>
  <c r="AN240" i="25"/>
  <c r="BI240" i="25" s="1"/>
  <c r="AC240" i="25"/>
  <c r="AX240" i="25" s="1"/>
  <c r="AO240" i="25"/>
  <c r="BJ240" i="25" s="1"/>
  <c r="AD240" i="25"/>
  <c r="AY240" i="25" s="1"/>
  <c r="AP240" i="25"/>
  <c r="BK240" i="25" s="1"/>
  <c r="AE240" i="25"/>
  <c r="AZ240" i="25" s="1"/>
  <c r="AQ240" i="25"/>
  <c r="BL240" i="25" s="1"/>
  <c r="AF240" i="25"/>
  <c r="BA240" i="25" s="1"/>
  <c r="AR240" i="25"/>
  <c r="BM240" i="25" s="1"/>
  <c r="AG240" i="25"/>
  <c r="BB240" i="25" s="1"/>
  <c r="AH312" i="25"/>
  <c r="BC312" i="25" s="1"/>
  <c r="AI312" i="25"/>
  <c r="BD312" i="25" s="1"/>
  <c r="AJ312" i="25"/>
  <c r="BE312" i="25" s="1"/>
  <c r="Y312" i="25"/>
  <c r="AT312" i="25" s="1"/>
  <c r="AK312" i="25"/>
  <c r="BF312" i="25" s="1"/>
  <c r="Z312" i="25"/>
  <c r="AL312" i="25"/>
  <c r="BG312" i="25" s="1"/>
  <c r="AA312" i="25"/>
  <c r="AV312" i="25" s="1"/>
  <c r="AM312" i="25"/>
  <c r="BH312" i="25" s="1"/>
  <c r="AB312" i="25"/>
  <c r="AW312" i="25" s="1"/>
  <c r="AN312" i="25"/>
  <c r="BI312" i="25" s="1"/>
  <c r="AC312" i="25"/>
  <c r="AX312" i="25" s="1"/>
  <c r="AO312" i="25"/>
  <c r="BJ312" i="25" s="1"/>
  <c r="AD312" i="25"/>
  <c r="AY312" i="25" s="1"/>
  <c r="AP312" i="25"/>
  <c r="BK312" i="25" s="1"/>
  <c r="AE312" i="25"/>
  <c r="AZ312" i="25" s="1"/>
  <c r="AQ312" i="25"/>
  <c r="BL312" i="25" s="1"/>
  <c r="AF312" i="25"/>
  <c r="BA312" i="25" s="1"/>
  <c r="AR312" i="25"/>
  <c r="BM312" i="25" s="1"/>
  <c r="AG312" i="25"/>
  <c r="BB312" i="25" s="1"/>
  <c r="AH384" i="25"/>
  <c r="BC384" i="25" s="1"/>
  <c r="AI384" i="25"/>
  <c r="BD384" i="25" s="1"/>
  <c r="AJ384" i="25"/>
  <c r="BE384" i="25" s="1"/>
  <c r="Y384" i="25"/>
  <c r="AT384" i="25" s="1"/>
  <c r="AK384" i="25"/>
  <c r="BF384" i="25" s="1"/>
  <c r="Z384" i="25"/>
  <c r="AL384" i="25"/>
  <c r="BG384" i="25" s="1"/>
  <c r="AA384" i="25"/>
  <c r="AV384" i="25" s="1"/>
  <c r="AM384" i="25"/>
  <c r="BH384" i="25" s="1"/>
  <c r="AB384" i="25"/>
  <c r="AW384" i="25" s="1"/>
  <c r="AN384" i="25"/>
  <c r="BI384" i="25" s="1"/>
  <c r="AC384" i="25"/>
  <c r="AX384" i="25" s="1"/>
  <c r="AO384" i="25"/>
  <c r="BJ384" i="25" s="1"/>
  <c r="AD384" i="25"/>
  <c r="AY384" i="25" s="1"/>
  <c r="AP384" i="25"/>
  <c r="BK384" i="25" s="1"/>
  <c r="AE384" i="25"/>
  <c r="AZ384" i="25" s="1"/>
  <c r="AQ384" i="25"/>
  <c r="BL384" i="25" s="1"/>
  <c r="AF384" i="25"/>
  <c r="BA384" i="25" s="1"/>
  <c r="AR384" i="25"/>
  <c r="BM384" i="25" s="1"/>
  <c r="AG384" i="25"/>
  <c r="BB384" i="25" s="1"/>
  <c r="AA187" i="25"/>
  <c r="AV187" i="25" s="1"/>
  <c r="AM187" i="25"/>
  <c r="BH187" i="25" s="1"/>
  <c r="AB187" i="25"/>
  <c r="AW187" i="25" s="1"/>
  <c r="AN187" i="25"/>
  <c r="BI187" i="25" s="1"/>
  <c r="AC187" i="25"/>
  <c r="AX187" i="25" s="1"/>
  <c r="AO187" i="25"/>
  <c r="BJ187" i="25" s="1"/>
  <c r="AD187" i="25"/>
  <c r="AY187" i="25" s="1"/>
  <c r="AP187" i="25"/>
  <c r="BK187" i="25" s="1"/>
  <c r="AE187" i="25"/>
  <c r="AZ187" i="25" s="1"/>
  <c r="AQ187" i="25"/>
  <c r="BL187" i="25" s="1"/>
  <c r="AF187" i="25"/>
  <c r="BA187" i="25" s="1"/>
  <c r="AR187" i="25"/>
  <c r="BM187" i="25" s="1"/>
  <c r="AG187" i="25"/>
  <c r="BB187" i="25" s="1"/>
  <c r="AH187" i="25"/>
  <c r="BC187" i="25" s="1"/>
  <c r="AI187" i="25"/>
  <c r="BD187" i="25" s="1"/>
  <c r="AJ187" i="25"/>
  <c r="BE187" i="25" s="1"/>
  <c r="Y187" i="25"/>
  <c r="AT187" i="25" s="1"/>
  <c r="AK187" i="25"/>
  <c r="BF187" i="25" s="1"/>
  <c r="Z187" i="25"/>
  <c r="AL187" i="25"/>
  <c r="BG187" i="25" s="1"/>
  <c r="Z259" i="25"/>
  <c r="AL259" i="25"/>
  <c r="BG259" i="25" s="1"/>
  <c r="AA259" i="25"/>
  <c r="AV259" i="25" s="1"/>
  <c r="AM259" i="25"/>
  <c r="BH259" i="25" s="1"/>
  <c r="AB259" i="25"/>
  <c r="AW259" i="25" s="1"/>
  <c r="AN259" i="25"/>
  <c r="BI259" i="25" s="1"/>
  <c r="AC259" i="25"/>
  <c r="AX259" i="25" s="1"/>
  <c r="AO259" i="25"/>
  <c r="BJ259" i="25" s="1"/>
  <c r="AD259" i="25"/>
  <c r="AY259" i="25" s="1"/>
  <c r="AP259" i="25"/>
  <c r="BK259" i="25" s="1"/>
  <c r="AE259" i="25"/>
  <c r="AZ259" i="25" s="1"/>
  <c r="AQ259" i="25"/>
  <c r="BL259" i="25" s="1"/>
  <c r="AF259" i="25"/>
  <c r="BA259" i="25" s="1"/>
  <c r="AR259" i="25"/>
  <c r="BM259" i="25" s="1"/>
  <c r="AG259" i="25"/>
  <c r="BB259" i="25" s="1"/>
  <c r="AH259" i="25"/>
  <c r="BC259" i="25" s="1"/>
  <c r="AI259" i="25"/>
  <c r="BD259" i="25" s="1"/>
  <c r="AJ259" i="25"/>
  <c r="BE259" i="25" s="1"/>
  <c r="Y259" i="25"/>
  <c r="AT259" i="25" s="1"/>
  <c r="AK259" i="25"/>
  <c r="BF259" i="25" s="1"/>
  <c r="Z331" i="25"/>
  <c r="AL331" i="25"/>
  <c r="BG331" i="25" s="1"/>
  <c r="AA331" i="25"/>
  <c r="AV331" i="25" s="1"/>
  <c r="AM331" i="25"/>
  <c r="BH331" i="25" s="1"/>
  <c r="AB331" i="25"/>
  <c r="AW331" i="25" s="1"/>
  <c r="AN331" i="25"/>
  <c r="BI331" i="25" s="1"/>
  <c r="AC331" i="25"/>
  <c r="AX331" i="25" s="1"/>
  <c r="AO331" i="25"/>
  <c r="BJ331" i="25" s="1"/>
  <c r="AD331" i="25"/>
  <c r="AY331" i="25" s="1"/>
  <c r="AP331" i="25"/>
  <c r="BK331" i="25" s="1"/>
  <c r="AE331" i="25"/>
  <c r="AZ331" i="25" s="1"/>
  <c r="AQ331" i="25"/>
  <c r="BL331" i="25" s="1"/>
  <c r="AF331" i="25"/>
  <c r="BA331" i="25" s="1"/>
  <c r="AR331" i="25"/>
  <c r="BM331" i="25" s="1"/>
  <c r="AG331" i="25"/>
  <c r="BB331" i="25" s="1"/>
  <c r="AH331" i="25"/>
  <c r="BC331" i="25" s="1"/>
  <c r="AI331" i="25"/>
  <c r="BD331" i="25" s="1"/>
  <c r="AJ331" i="25"/>
  <c r="BE331" i="25" s="1"/>
  <c r="Y331" i="25"/>
  <c r="AT331" i="25" s="1"/>
  <c r="AK331" i="25"/>
  <c r="BF331" i="25" s="1"/>
  <c r="AA130" i="25"/>
  <c r="AV130" i="25" s="1"/>
  <c r="AM130" i="25"/>
  <c r="BH130" i="25" s="1"/>
  <c r="AB130" i="25"/>
  <c r="AW130" i="25" s="1"/>
  <c r="AN130" i="25"/>
  <c r="BI130" i="25" s="1"/>
  <c r="AC130" i="25"/>
  <c r="AX130" i="25" s="1"/>
  <c r="AO130" i="25"/>
  <c r="BJ130" i="25" s="1"/>
  <c r="AD130" i="25"/>
  <c r="AY130" i="25" s="1"/>
  <c r="AP130" i="25"/>
  <c r="BK130" i="25" s="1"/>
  <c r="AE130" i="25"/>
  <c r="AZ130" i="25" s="1"/>
  <c r="AQ130" i="25"/>
  <c r="BL130" i="25" s="1"/>
  <c r="AF130" i="25"/>
  <c r="BA130" i="25" s="1"/>
  <c r="AR130" i="25"/>
  <c r="BM130" i="25" s="1"/>
  <c r="AG130" i="25"/>
  <c r="BB130" i="25" s="1"/>
  <c r="AH130" i="25"/>
  <c r="BC130" i="25" s="1"/>
  <c r="AI130" i="25"/>
  <c r="BD130" i="25" s="1"/>
  <c r="AJ130" i="25"/>
  <c r="BE130" i="25" s="1"/>
  <c r="Y130" i="25"/>
  <c r="AT130" i="25" s="1"/>
  <c r="AK130" i="25"/>
  <c r="BF130" i="25" s="1"/>
  <c r="Z130" i="25"/>
  <c r="AL130" i="25"/>
  <c r="BG130" i="25" s="1"/>
  <c r="AE200" i="25"/>
  <c r="AZ200" i="25" s="1"/>
  <c r="AQ200" i="25"/>
  <c r="BL200" i="25" s="1"/>
  <c r="AF200" i="25"/>
  <c r="BA200" i="25" s="1"/>
  <c r="AR200" i="25"/>
  <c r="BM200" i="25" s="1"/>
  <c r="AG200" i="25"/>
  <c r="BB200" i="25" s="1"/>
  <c r="AH200" i="25"/>
  <c r="BC200" i="25" s="1"/>
  <c r="AI200" i="25"/>
  <c r="BD200" i="25" s="1"/>
  <c r="AJ200" i="25"/>
  <c r="BE200" i="25" s="1"/>
  <c r="Y200" i="25"/>
  <c r="AT200" i="25" s="1"/>
  <c r="AK200" i="25"/>
  <c r="BF200" i="25" s="1"/>
  <c r="Z200" i="25"/>
  <c r="AL200" i="25"/>
  <c r="BG200" i="25" s="1"/>
  <c r="AA200" i="25"/>
  <c r="AV200" i="25" s="1"/>
  <c r="AM200" i="25"/>
  <c r="BH200" i="25" s="1"/>
  <c r="AB200" i="25"/>
  <c r="AW200" i="25" s="1"/>
  <c r="AN200" i="25"/>
  <c r="BI200" i="25" s="1"/>
  <c r="AC200" i="25"/>
  <c r="AX200" i="25" s="1"/>
  <c r="AO200" i="25"/>
  <c r="BJ200" i="25" s="1"/>
  <c r="AD200" i="25"/>
  <c r="AY200" i="25" s="1"/>
  <c r="AP200" i="25"/>
  <c r="BK200" i="25" s="1"/>
  <c r="AD272" i="25"/>
  <c r="AY272" i="25" s="1"/>
  <c r="AP272" i="25"/>
  <c r="BK272" i="25" s="1"/>
  <c r="AE272" i="25"/>
  <c r="AZ272" i="25" s="1"/>
  <c r="AQ272" i="25"/>
  <c r="BL272" i="25" s="1"/>
  <c r="AF272" i="25"/>
  <c r="BA272" i="25" s="1"/>
  <c r="AR272" i="25"/>
  <c r="BM272" i="25" s="1"/>
  <c r="AG272" i="25"/>
  <c r="BB272" i="25" s="1"/>
  <c r="AH272" i="25"/>
  <c r="BC272" i="25" s="1"/>
  <c r="AI272" i="25"/>
  <c r="BD272" i="25" s="1"/>
  <c r="AJ272" i="25"/>
  <c r="BE272" i="25" s="1"/>
  <c r="Y272" i="25"/>
  <c r="AT272" i="25" s="1"/>
  <c r="AK272" i="25"/>
  <c r="BF272" i="25" s="1"/>
  <c r="Z272" i="25"/>
  <c r="AL272" i="25"/>
  <c r="BG272" i="25" s="1"/>
  <c r="AA272" i="25"/>
  <c r="AV272" i="25" s="1"/>
  <c r="AM272" i="25"/>
  <c r="BH272" i="25" s="1"/>
  <c r="AB272" i="25"/>
  <c r="AW272" i="25" s="1"/>
  <c r="AN272" i="25"/>
  <c r="BI272" i="25" s="1"/>
  <c r="AO272" i="25"/>
  <c r="BJ272" i="25" s="1"/>
  <c r="AC272" i="25"/>
  <c r="AX272" i="25" s="1"/>
  <c r="AD344" i="25"/>
  <c r="AY344" i="25" s="1"/>
  <c r="AP344" i="25"/>
  <c r="BK344" i="25" s="1"/>
  <c r="AE344" i="25"/>
  <c r="AZ344" i="25" s="1"/>
  <c r="AQ344" i="25"/>
  <c r="BL344" i="25" s="1"/>
  <c r="AF344" i="25"/>
  <c r="BA344" i="25" s="1"/>
  <c r="AR344" i="25"/>
  <c r="BM344" i="25" s="1"/>
  <c r="AG344" i="25"/>
  <c r="BB344" i="25" s="1"/>
  <c r="AH344" i="25"/>
  <c r="BC344" i="25" s="1"/>
  <c r="AI344" i="25"/>
  <c r="BD344" i="25" s="1"/>
  <c r="AJ344" i="25"/>
  <c r="BE344" i="25" s="1"/>
  <c r="Y344" i="25"/>
  <c r="AT344" i="25" s="1"/>
  <c r="AK344" i="25"/>
  <c r="BF344" i="25" s="1"/>
  <c r="Z344" i="25"/>
  <c r="AL344" i="25"/>
  <c r="BG344" i="25" s="1"/>
  <c r="AA344" i="25"/>
  <c r="AV344" i="25" s="1"/>
  <c r="AM344" i="25"/>
  <c r="BH344" i="25" s="1"/>
  <c r="AB344" i="25"/>
  <c r="AW344" i="25" s="1"/>
  <c r="AN344" i="25"/>
  <c r="BI344" i="25" s="1"/>
  <c r="AO344" i="25"/>
  <c r="BJ344" i="25" s="1"/>
  <c r="AC344" i="25"/>
  <c r="AX344" i="25" s="1"/>
  <c r="AE137" i="25"/>
  <c r="AZ137" i="25" s="1"/>
  <c r="AQ137" i="25"/>
  <c r="BL137" i="25" s="1"/>
  <c r="AF137" i="25"/>
  <c r="BA137" i="25" s="1"/>
  <c r="AR137" i="25"/>
  <c r="BM137" i="25" s="1"/>
  <c r="AG137" i="25"/>
  <c r="BB137" i="25" s="1"/>
  <c r="AH137" i="25"/>
  <c r="BC137" i="25" s="1"/>
  <c r="AI137" i="25"/>
  <c r="BD137" i="25" s="1"/>
  <c r="AJ137" i="25"/>
  <c r="BE137" i="25" s="1"/>
  <c r="Y137" i="25"/>
  <c r="AT137" i="25" s="1"/>
  <c r="AK137" i="25"/>
  <c r="BF137" i="25" s="1"/>
  <c r="Z137" i="25"/>
  <c r="AL137" i="25"/>
  <c r="BG137" i="25" s="1"/>
  <c r="AA137" i="25"/>
  <c r="AV137" i="25" s="1"/>
  <c r="AM137" i="25"/>
  <c r="BH137" i="25" s="1"/>
  <c r="AB137" i="25"/>
  <c r="AW137" i="25" s="1"/>
  <c r="AN137" i="25"/>
  <c r="BI137" i="25" s="1"/>
  <c r="AC137" i="25"/>
  <c r="AX137" i="25" s="1"/>
  <c r="AO137" i="25"/>
  <c r="BJ137" i="25" s="1"/>
  <c r="AD137" i="25"/>
  <c r="AY137" i="25" s="1"/>
  <c r="AP137" i="25"/>
  <c r="BK137" i="25" s="1"/>
  <c r="AI225" i="25"/>
  <c r="BD225" i="25" s="1"/>
  <c r="AJ225" i="25"/>
  <c r="BE225" i="25" s="1"/>
  <c r="Y225" i="25"/>
  <c r="AT225" i="25" s="1"/>
  <c r="AK225" i="25"/>
  <c r="BF225" i="25" s="1"/>
  <c r="Z225" i="25"/>
  <c r="AL225" i="25"/>
  <c r="BG225" i="25" s="1"/>
  <c r="AA225" i="25"/>
  <c r="AV225" i="25" s="1"/>
  <c r="AM225" i="25"/>
  <c r="BH225" i="25" s="1"/>
  <c r="AB225" i="25"/>
  <c r="AW225" i="25" s="1"/>
  <c r="AN225" i="25"/>
  <c r="BI225" i="25" s="1"/>
  <c r="AC225" i="25"/>
  <c r="AX225" i="25" s="1"/>
  <c r="AO225" i="25"/>
  <c r="BJ225" i="25" s="1"/>
  <c r="AD225" i="25"/>
  <c r="AY225" i="25" s="1"/>
  <c r="AP225" i="25"/>
  <c r="BK225" i="25" s="1"/>
  <c r="AE225" i="25"/>
  <c r="AZ225" i="25" s="1"/>
  <c r="AQ225" i="25"/>
  <c r="BL225" i="25" s="1"/>
  <c r="AF225" i="25"/>
  <c r="BA225" i="25" s="1"/>
  <c r="AR225" i="25"/>
  <c r="BM225" i="25" s="1"/>
  <c r="AG225" i="25"/>
  <c r="BB225" i="25" s="1"/>
  <c r="AH225" i="25"/>
  <c r="BC225" i="25" s="1"/>
  <c r="AH297" i="25"/>
  <c r="BC297" i="25" s="1"/>
  <c r="AI297" i="25"/>
  <c r="BD297" i="25" s="1"/>
  <c r="AJ297" i="25"/>
  <c r="BE297" i="25" s="1"/>
  <c r="Y297" i="25"/>
  <c r="AT297" i="25" s="1"/>
  <c r="AK297" i="25"/>
  <c r="BF297" i="25" s="1"/>
  <c r="Z297" i="25"/>
  <c r="AL297" i="25"/>
  <c r="BG297" i="25" s="1"/>
  <c r="AA297" i="25"/>
  <c r="AV297" i="25" s="1"/>
  <c r="AM297" i="25"/>
  <c r="BH297" i="25" s="1"/>
  <c r="AB297" i="25"/>
  <c r="AW297" i="25" s="1"/>
  <c r="AN297" i="25"/>
  <c r="BI297" i="25" s="1"/>
  <c r="AC297" i="25"/>
  <c r="AX297" i="25" s="1"/>
  <c r="AO297" i="25"/>
  <c r="BJ297" i="25" s="1"/>
  <c r="AD297" i="25"/>
  <c r="AY297" i="25" s="1"/>
  <c r="AP297" i="25"/>
  <c r="BK297" i="25" s="1"/>
  <c r="AE297" i="25"/>
  <c r="AZ297" i="25" s="1"/>
  <c r="AQ297" i="25"/>
  <c r="BL297" i="25" s="1"/>
  <c r="AF297" i="25"/>
  <c r="BA297" i="25" s="1"/>
  <c r="AR297" i="25"/>
  <c r="BM297" i="25" s="1"/>
  <c r="AG297" i="25"/>
  <c r="BB297" i="25" s="1"/>
  <c r="AH369" i="25"/>
  <c r="AI369" i="25"/>
  <c r="AJ369" i="25"/>
  <c r="Y369" i="25"/>
  <c r="AT369" i="25" s="1"/>
  <c r="AK369" i="25"/>
  <c r="Z369" i="25"/>
  <c r="AL369" i="25"/>
  <c r="AA369" i="25"/>
  <c r="AM369" i="25"/>
  <c r="AB369" i="25"/>
  <c r="AN369" i="25"/>
  <c r="AC369" i="25"/>
  <c r="AO369" i="25"/>
  <c r="AD369" i="25"/>
  <c r="AP369" i="25"/>
  <c r="AE369" i="25"/>
  <c r="AQ369" i="25"/>
  <c r="AF369" i="25"/>
  <c r="AR369" i="25"/>
  <c r="AG369" i="25"/>
  <c r="AC185" i="26"/>
  <c r="AX185" i="26" s="1"/>
  <c r="AO185" i="26"/>
  <c r="BJ185" i="26" s="1"/>
  <c r="AD185" i="26"/>
  <c r="AY185" i="26" s="1"/>
  <c r="AP185" i="26"/>
  <c r="BK185" i="26" s="1"/>
  <c r="AE185" i="26"/>
  <c r="AZ185" i="26" s="1"/>
  <c r="AQ185" i="26"/>
  <c r="BL185" i="26" s="1"/>
  <c r="AF185" i="26"/>
  <c r="BA185" i="26" s="1"/>
  <c r="AR185" i="26"/>
  <c r="BM185" i="26" s="1"/>
  <c r="AG185" i="26"/>
  <c r="BB185" i="26" s="1"/>
  <c r="AH185" i="26"/>
  <c r="BC185" i="26" s="1"/>
  <c r="AI185" i="26"/>
  <c r="BD185" i="26" s="1"/>
  <c r="AJ185" i="26"/>
  <c r="BE185" i="26" s="1"/>
  <c r="Y185" i="26"/>
  <c r="AT185" i="26" s="1"/>
  <c r="AK185" i="26"/>
  <c r="BF185" i="26" s="1"/>
  <c r="Z185" i="26"/>
  <c r="AL185" i="26"/>
  <c r="BG185" i="26" s="1"/>
  <c r="AA185" i="26"/>
  <c r="AV185" i="26" s="1"/>
  <c r="AM185" i="26"/>
  <c r="BH185" i="26" s="1"/>
  <c r="AB185" i="26"/>
  <c r="AW185" i="26" s="1"/>
  <c r="AN185" i="26"/>
  <c r="BI185" i="26" s="1"/>
  <c r="AC257" i="26"/>
  <c r="AX257" i="26" s="1"/>
  <c r="AO257" i="26"/>
  <c r="BJ257" i="26" s="1"/>
  <c r="AD257" i="26"/>
  <c r="AY257" i="26" s="1"/>
  <c r="AP257" i="26"/>
  <c r="BK257" i="26" s="1"/>
  <c r="AE257" i="26"/>
  <c r="AZ257" i="26" s="1"/>
  <c r="AQ257" i="26"/>
  <c r="BL257" i="26" s="1"/>
  <c r="AF257" i="26"/>
  <c r="BA257" i="26" s="1"/>
  <c r="AR257" i="26"/>
  <c r="BM257" i="26" s="1"/>
  <c r="AG257" i="26"/>
  <c r="BB257" i="26" s="1"/>
  <c r="AH257" i="26"/>
  <c r="BC257" i="26" s="1"/>
  <c r="AI257" i="26"/>
  <c r="BD257" i="26" s="1"/>
  <c r="AJ257" i="26"/>
  <c r="BE257" i="26" s="1"/>
  <c r="Y257" i="26"/>
  <c r="AT257" i="26" s="1"/>
  <c r="AK257" i="26"/>
  <c r="BF257" i="26" s="1"/>
  <c r="Z257" i="26"/>
  <c r="AL257" i="26"/>
  <c r="BG257" i="26" s="1"/>
  <c r="AA257" i="26"/>
  <c r="AV257" i="26" s="1"/>
  <c r="AM257" i="26"/>
  <c r="BH257" i="26" s="1"/>
  <c r="AB257" i="26"/>
  <c r="AW257" i="26" s="1"/>
  <c r="AN257" i="26"/>
  <c r="BI257" i="26" s="1"/>
  <c r="AD329" i="26"/>
  <c r="AY329" i="26" s="1"/>
  <c r="AP329" i="26"/>
  <c r="BK329" i="26" s="1"/>
  <c r="AE329" i="26"/>
  <c r="AZ329" i="26" s="1"/>
  <c r="AQ329" i="26"/>
  <c r="BL329" i="26" s="1"/>
  <c r="AF329" i="26"/>
  <c r="BA329" i="26" s="1"/>
  <c r="AR329" i="26"/>
  <c r="BM329" i="26" s="1"/>
  <c r="AG329" i="26"/>
  <c r="BB329" i="26" s="1"/>
  <c r="AH329" i="26"/>
  <c r="BC329" i="26" s="1"/>
  <c r="AI329" i="26"/>
  <c r="BD329" i="26" s="1"/>
  <c r="AJ329" i="26"/>
  <c r="BE329" i="26" s="1"/>
  <c r="Y329" i="26"/>
  <c r="AT329" i="26" s="1"/>
  <c r="AK329" i="26"/>
  <c r="BF329" i="26" s="1"/>
  <c r="Z329" i="26"/>
  <c r="AL329" i="26"/>
  <c r="BG329" i="26" s="1"/>
  <c r="AA329" i="26"/>
  <c r="AV329" i="26" s="1"/>
  <c r="AM329" i="26"/>
  <c r="BH329" i="26" s="1"/>
  <c r="AB329" i="26"/>
  <c r="AW329" i="26" s="1"/>
  <c r="AN329" i="26"/>
  <c r="BI329" i="26" s="1"/>
  <c r="AC329" i="26"/>
  <c r="AX329" i="26" s="1"/>
  <c r="AO329" i="26"/>
  <c r="BJ329" i="26" s="1"/>
  <c r="AG222" i="26"/>
  <c r="BB222" i="26" s="1"/>
  <c r="AH222" i="26"/>
  <c r="BC222" i="26" s="1"/>
  <c r="AI222" i="26"/>
  <c r="BD222" i="26" s="1"/>
  <c r="AJ222" i="26"/>
  <c r="BE222" i="26" s="1"/>
  <c r="Y222" i="26"/>
  <c r="AT222" i="26" s="1"/>
  <c r="AK222" i="26"/>
  <c r="BF222" i="26" s="1"/>
  <c r="Z222" i="26"/>
  <c r="AL222" i="26"/>
  <c r="BG222" i="26" s="1"/>
  <c r="AA222" i="26"/>
  <c r="AV222" i="26" s="1"/>
  <c r="AM222" i="26"/>
  <c r="BH222" i="26" s="1"/>
  <c r="AB222" i="26"/>
  <c r="AW222" i="26" s="1"/>
  <c r="AN222" i="26"/>
  <c r="BI222" i="26" s="1"/>
  <c r="AC222" i="26"/>
  <c r="AX222" i="26" s="1"/>
  <c r="AO222" i="26"/>
  <c r="BJ222" i="26" s="1"/>
  <c r="AD222" i="26"/>
  <c r="AY222" i="26" s="1"/>
  <c r="AP222" i="26"/>
  <c r="BK222" i="26" s="1"/>
  <c r="AE222" i="26"/>
  <c r="AZ222" i="26" s="1"/>
  <c r="AQ222" i="26"/>
  <c r="BL222" i="26" s="1"/>
  <c r="AF222" i="26"/>
  <c r="BA222" i="26" s="1"/>
  <c r="AR222" i="26"/>
  <c r="BM222" i="26" s="1"/>
  <c r="AG294" i="26"/>
  <c r="BB294" i="26" s="1"/>
  <c r="AH294" i="26"/>
  <c r="BC294" i="26" s="1"/>
  <c r="AI294" i="26"/>
  <c r="BD294" i="26" s="1"/>
  <c r="AJ294" i="26"/>
  <c r="BE294" i="26" s="1"/>
  <c r="Y294" i="26"/>
  <c r="AT294" i="26" s="1"/>
  <c r="AK294" i="26"/>
  <c r="BF294" i="26" s="1"/>
  <c r="Z294" i="26"/>
  <c r="AL294" i="26"/>
  <c r="BG294" i="26" s="1"/>
  <c r="AA294" i="26"/>
  <c r="AV294" i="26" s="1"/>
  <c r="AM294" i="26"/>
  <c r="BH294" i="26" s="1"/>
  <c r="AB294" i="26"/>
  <c r="AW294" i="26" s="1"/>
  <c r="AN294" i="26"/>
  <c r="BI294" i="26" s="1"/>
  <c r="AC294" i="26"/>
  <c r="AX294" i="26" s="1"/>
  <c r="AO294" i="26"/>
  <c r="BJ294" i="26" s="1"/>
  <c r="AD294" i="26"/>
  <c r="AY294" i="26" s="1"/>
  <c r="AP294" i="26"/>
  <c r="BK294" i="26" s="1"/>
  <c r="AE294" i="26"/>
  <c r="AZ294" i="26" s="1"/>
  <c r="AQ294" i="26"/>
  <c r="BL294" i="26" s="1"/>
  <c r="AF294" i="26"/>
  <c r="BA294" i="26" s="1"/>
  <c r="AR294" i="26"/>
  <c r="BM294" i="26" s="1"/>
  <c r="AH366" i="26"/>
  <c r="BC366" i="26" s="1"/>
  <c r="AI366" i="26"/>
  <c r="BD366" i="26" s="1"/>
  <c r="AJ366" i="26"/>
  <c r="BE366" i="26" s="1"/>
  <c r="Y366" i="26"/>
  <c r="AT366" i="26" s="1"/>
  <c r="AK366" i="26"/>
  <c r="BF366" i="26" s="1"/>
  <c r="Z366" i="26"/>
  <c r="AL366" i="26"/>
  <c r="BG366" i="26" s="1"/>
  <c r="AA366" i="26"/>
  <c r="AV366" i="26" s="1"/>
  <c r="AM366" i="26"/>
  <c r="BH366" i="26" s="1"/>
  <c r="AB366" i="26"/>
  <c r="AW366" i="26" s="1"/>
  <c r="AN366" i="26"/>
  <c r="BI366" i="26" s="1"/>
  <c r="AC366" i="26"/>
  <c r="AX366" i="26" s="1"/>
  <c r="AO366" i="26"/>
  <c r="BJ366" i="26" s="1"/>
  <c r="AD366" i="26"/>
  <c r="AY366" i="26" s="1"/>
  <c r="AP366" i="26"/>
  <c r="BK366" i="26" s="1"/>
  <c r="AE366" i="26"/>
  <c r="AZ366" i="26" s="1"/>
  <c r="AQ366" i="26"/>
  <c r="BL366" i="26" s="1"/>
  <c r="AF366" i="26"/>
  <c r="BA366" i="26" s="1"/>
  <c r="AR366" i="26"/>
  <c r="BM366" i="26" s="1"/>
  <c r="AG366" i="26"/>
  <c r="BB366" i="26" s="1"/>
  <c r="Y187" i="26"/>
  <c r="AT187" i="26" s="1"/>
  <c r="AK187" i="26"/>
  <c r="BF187" i="26" s="1"/>
  <c r="Z187" i="26"/>
  <c r="AL187" i="26"/>
  <c r="BG187" i="26" s="1"/>
  <c r="AA187" i="26"/>
  <c r="AV187" i="26" s="1"/>
  <c r="AM187" i="26"/>
  <c r="BH187" i="26" s="1"/>
  <c r="AB187" i="26"/>
  <c r="AW187" i="26" s="1"/>
  <c r="AN187" i="26"/>
  <c r="BI187" i="26" s="1"/>
  <c r="AC187" i="26"/>
  <c r="AX187" i="26" s="1"/>
  <c r="AO187" i="26"/>
  <c r="BJ187" i="26" s="1"/>
  <c r="AD187" i="26"/>
  <c r="AY187" i="26" s="1"/>
  <c r="AP187" i="26"/>
  <c r="BK187" i="26" s="1"/>
  <c r="AE187" i="26"/>
  <c r="AZ187" i="26" s="1"/>
  <c r="AQ187" i="26"/>
  <c r="BL187" i="26" s="1"/>
  <c r="AF187" i="26"/>
  <c r="BA187" i="26" s="1"/>
  <c r="AR187" i="26"/>
  <c r="BM187" i="26" s="1"/>
  <c r="AG187" i="26"/>
  <c r="BB187" i="26" s="1"/>
  <c r="AH187" i="26"/>
  <c r="BC187" i="26" s="1"/>
  <c r="AI187" i="26"/>
  <c r="BD187" i="26" s="1"/>
  <c r="AJ187" i="26"/>
  <c r="BE187" i="26" s="1"/>
  <c r="Y259" i="26"/>
  <c r="AT259" i="26" s="1"/>
  <c r="AK259" i="26"/>
  <c r="BF259" i="26" s="1"/>
  <c r="Z259" i="26"/>
  <c r="AL259" i="26"/>
  <c r="BG259" i="26" s="1"/>
  <c r="AA259" i="26"/>
  <c r="AV259" i="26" s="1"/>
  <c r="AM259" i="26"/>
  <c r="BH259" i="26" s="1"/>
  <c r="AB259" i="26"/>
  <c r="AW259" i="26" s="1"/>
  <c r="AN259" i="26"/>
  <c r="BI259" i="26" s="1"/>
  <c r="AC259" i="26"/>
  <c r="AX259" i="26" s="1"/>
  <c r="AO259" i="26"/>
  <c r="BJ259" i="26" s="1"/>
  <c r="AD259" i="26"/>
  <c r="AY259" i="26" s="1"/>
  <c r="AP259" i="26"/>
  <c r="BK259" i="26" s="1"/>
  <c r="AE259" i="26"/>
  <c r="AZ259" i="26" s="1"/>
  <c r="AQ259" i="26"/>
  <c r="BL259" i="26" s="1"/>
  <c r="AF259" i="26"/>
  <c r="BA259" i="26" s="1"/>
  <c r="AR259" i="26"/>
  <c r="BM259" i="26" s="1"/>
  <c r="AG259" i="26"/>
  <c r="BB259" i="26" s="1"/>
  <c r="AH259" i="26"/>
  <c r="BC259" i="26" s="1"/>
  <c r="AI259" i="26"/>
  <c r="BD259" i="26" s="1"/>
  <c r="AJ259" i="26"/>
  <c r="BE259" i="26" s="1"/>
  <c r="Z331" i="26"/>
  <c r="AL331" i="26"/>
  <c r="BG331" i="26" s="1"/>
  <c r="AA331" i="26"/>
  <c r="AV331" i="26" s="1"/>
  <c r="AM331" i="26"/>
  <c r="BH331" i="26" s="1"/>
  <c r="AB331" i="26"/>
  <c r="AW331" i="26" s="1"/>
  <c r="AN331" i="26"/>
  <c r="BI331" i="26" s="1"/>
  <c r="AC331" i="26"/>
  <c r="AX331" i="26" s="1"/>
  <c r="AO331" i="26"/>
  <c r="BJ331" i="26" s="1"/>
  <c r="AD331" i="26"/>
  <c r="AY331" i="26" s="1"/>
  <c r="AP331" i="26"/>
  <c r="BK331" i="26" s="1"/>
  <c r="AE331" i="26"/>
  <c r="AZ331" i="26" s="1"/>
  <c r="AQ331" i="26"/>
  <c r="BL331" i="26" s="1"/>
  <c r="AF331" i="26"/>
  <c r="BA331" i="26" s="1"/>
  <c r="AR331" i="26"/>
  <c r="BM331" i="26" s="1"/>
  <c r="AG331" i="26"/>
  <c r="BB331" i="26" s="1"/>
  <c r="AH331" i="26"/>
  <c r="BC331" i="26" s="1"/>
  <c r="AI331" i="26"/>
  <c r="BD331" i="26" s="1"/>
  <c r="AJ331" i="26"/>
  <c r="BE331" i="26" s="1"/>
  <c r="Y331" i="26"/>
  <c r="AT331" i="26" s="1"/>
  <c r="AK331" i="26"/>
  <c r="BF331" i="26" s="1"/>
  <c r="AC230" i="26"/>
  <c r="AX230" i="26" s="1"/>
  <c r="AO230" i="26"/>
  <c r="BJ230" i="26" s="1"/>
  <c r="AD230" i="26"/>
  <c r="AY230" i="26" s="1"/>
  <c r="AP230" i="26"/>
  <c r="BK230" i="26" s="1"/>
  <c r="AE230" i="26"/>
  <c r="AZ230" i="26" s="1"/>
  <c r="AQ230" i="26"/>
  <c r="BL230" i="26" s="1"/>
  <c r="AF230" i="26"/>
  <c r="BA230" i="26" s="1"/>
  <c r="AR230" i="26"/>
  <c r="BM230" i="26" s="1"/>
  <c r="AG230" i="26"/>
  <c r="BB230" i="26" s="1"/>
  <c r="AH230" i="26"/>
  <c r="BC230" i="26" s="1"/>
  <c r="AI230" i="26"/>
  <c r="BD230" i="26" s="1"/>
  <c r="AJ230" i="26"/>
  <c r="BE230" i="26" s="1"/>
  <c r="Y230" i="26"/>
  <c r="AT230" i="26" s="1"/>
  <c r="AK230" i="26"/>
  <c r="BF230" i="26" s="1"/>
  <c r="Z230" i="26"/>
  <c r="AL230" i="26"/>
  <c r="BG230" i="26" s="1"/>
  <c r="AA230" i="26"/>
  <c r="AV230" i="26" s="1"/>
  <c r="AM230" i="26"/>
  <c r="BH230" i="26" s="1"/>
  <c r="AB230" i="26"/>
  <c r="AW230" i="26" s="1"/>
  <c r="AN230" i="26"/>
  <c r="BI230" i="26" s="1"/>
  <c r="AC302" i="26"/>
  <c r="AX302" i="26" s="1"/>
  <c r="AO302" i="26"/>
  <c r="BJ302" i="26" s="1"/>
  <c r="AD302" i="26"/>
  <c r="AY302" i="26" s="1"/>
  <c r="AP302" i="26"/>
  <c r="BK302" i="26" s="1"/>
  <c r="AE302" i="26"/>
  <c r="AZ302" i="26" s="1"/>
  <c r="AQ302" i="26"/>
  <c r="BL302" i="26" s="1"/>
  <c r="AF302" i="26"/>
  <c r="BA302" i="26" s="1"/>
  <c r="AR302" i="26"/>
  <c r="BM302" i="26" s="1"/>
  <c r="AG302" i="26"/>
  <c r="BB302" i="26" s="1"/>
  <c r="AH302" i="26"/>
  <c r="BC302" i="26" s="1"/>
  <c r="AI302" i="26"/>
  <c r="BD302" i="26" s="1"/>
  <c r="AJ302" i="26"/>
  <c r="BE302" i="26" s="1"/>
  <c r="Y302" i="26"/>
  <c r="AT302" i="26" s="1"/>
  <c r="AK302" i="26"/>
  <c r="BF302" i="26" s="1"/>
  <c r="Z302" i="26"/>
  <c r="AL302" i="26"/>
  <c r="BG302" i="26" s="1"/>
  <c r="AA302" i="26"/>
  <c r="AV302" i="26" s="1"/>
  <c r="AM302" i="26"/>
  <c r="BH302" i="26" s="1"/>
  <c r="AB302" i="26"/>
  <c r="AW302" i="26" s="1"/>
  <c r="AN302" i="26"/>
  <c r="BI302" i="26" s="1"/>
  <c r="AD374" i="26"/>
  <c r="AP374" i="26"/>
  <c r="AE374" i="26"/>
  <c r="AQ374" i="26"/>
  <c r="AF374" i="26"/>
  <c r="AR374" i="26"/>
  <c r="AG374" i="26"/>
  <c r="AH374" i="26"/>
  <c r="AI374" i="26"/>
  <c r="AJ374" i="26"/>
  <c r="Y374" i="26"/>
  <c r="AT374" i="26" s="1"/>
  <c r="AK374" i="26"/>
  <c r="Z374" i="26"/>
  <c r="AL374" i="26"/>
  <c r="AA374" i="26"/>
  <c r="AM374" i="26"/>
  <c r="AB374" i="26"/>
  <c r="AN374" i="26"/>
  <c r="AC374" i="26"/>
  <c r="AO374" i="26"/>
  <c r="AG201" i="26"/>
  <c r="BB201" i="26" s="1"/>
  <c r="AH201" i="26"/>
  <c r="BC201" i="26" s="1"/>
  <c r="AI201" i="26"/>
  <c r="BD201" i="26" s="1"/>
  <c r="AJ201" i="26"/>
  <c r="BE201" i="26" s="1"/>
  <c r="Y201" i="26"/>
  <c r="AT201" i="26" s="1"/>
  <c r="AK201" i="26"/>
  <c r="BF201" i="26" s="1"/>
  <c r="Z201" i="26"/>
  <c r="AL201" i="26"/>
  <c r="BG201" i="26" s="1"/>
  <c r="AA201" i="26"/>
  <c r="AV201" i="26" s="1"/>
  <c r="AM201" i="26"/>
  <c r="BH201" i="26" s="1"/>
  <c r="AB201" i="26"/>
  <c r="AW201" i="26" s="1"/>
  <c r="AN201" i="26"/>
  <c r="BI201" i="26" s="1"/>
  <c r="AC201" i="26"/>
  <c r="AX201" i="26" s="1"/>
  <c r="AO201" i="26"/>
  <c r="BJ201" i="26" s="1"/>
  <c r="AD201" i="26"/>
  <c r="AY201" i="26" s="1"/>
  <c r="AP201" i="26"/>
  <c r="BK201" i="26" s="1"/>
  <c r="AE201" i="26"/>
  <c r="AZ201" i="26" s="1"/>
  <c r="AQ201" i="26"/>
  <c r="BL201" i="26" s="1"/>
  <c r="AF201" i="26"/>
  <c r="BA201" i="26" s="1"/>
  <c r="AR201" i="26"/>
  <c r="BM201" i="26" s="1"/>
  <c r="AG273" i="26"/>
  <c r="BB273" i="26" s="1"/>
  <c r="AH273" i="26"/>
  <c r="BC273" i="26" s="1"/>
  <c r="AI273" i="26"/>
  <c r="BD273" i="26" s="1"/>
  <c r="AJ273" i="26"/>
  <c r="BE273" i="26" s="1"/>
  <c r="Y273" i="26"/>
  <c r="AT273" i="26" s="1"/>
  <c r="AK273" i="26"/>
  <c r="BF273" i="26" s="1"/>
  <c r="Z273" i="26"/>
  <c r="AL273" i="26"/>
  <c r="BG273" i="26" s="1"/>
  <c r="AA273" i="26"/>
  <c r="AV273" i="26" s="1"/>
  <c r="AM273" i="26"/>
  <c r="BH273" i="26" s="1"/>
  <c r="AB273" i="26"/>
  <c r="AW273" i="26" s="1"/>
  <c r="AN273" i="26"/>
  <c r="BI273" i="26" s="1"/>
  <c r="AC273" i="26"/>
  <c r="AX273" i="26" s="1"/>
  <c r="AO273" i="26"/>
  <c r="BJ273" i="26" s="1"/>
  <c r="AD273" i="26"/>
  <c r="AY273" i="26" s="1"/>
  <c r="AP273" i="26"/>
  <c r="BK273" i="26" s="1"/>
  <c r="AE273" i="26"/>
  <c r="AZ273" i="26" s="1"/>
  <c r="AQ273" i="26"/>
  <c r="BL273" i="26" s="1"/>
  <c r="AF273" i="26"/>
  <c r="BA273" i="26" s="1"/>
  <c r="AR273" i="26"/>
  <c r="BM273" i="26" s="1"/>
  <c r="AH345" i="26"/>
  <c r="BC345" i="26" s="1"/>
  <c r="AI345" i="26"/>
  <c r="BD345" i="26" s="1"/>
  <c r="AJ345" i="26"/>
  <c r="BE345" i="26" s="1"/>
  <c r="Y345" i="26"/>
  <c r="AT345" i="26" s="1"/>
  <c r="AK345" i="26"/>
  <c r="BF345" i="26" s="1"/>
  <c r="Z345" i="26"/>
  <c r="AL345" i="26"/>
  <c r="BG345" i="26" s="1"/>
  <c r="AA345" i="26"/>
  <c r="AV345" i="26" s="1"/>
  <c r="AM345" i="26"/>
  <c r="BH345" i="26" s="1"/>
  <c r="AB345" i="26"/>
  <c r="AW345" i="26" s="1"/>
  <c r="AN345" i="26"/>
  <c r="BI345" i="26" s="1"/>
  <c r="AC345" i="26"/>
  <c r="AX345" i="26" s="1"/>
  <c r="AO345" i="26"/>
  <c r="BJ345" i="26" s="1"/>
  <c r="AD345" i="26"/>
  <c r="AY345" i="26" s="1"/>
  <c r="AP345" i="26"/>
  <c r="BK345" i="26" s="1"/>
  <c r="AE345" i="26"/>
  <c r="AZ345" i="26" s="1"/>
  <c r="AQ345" i="26"/>
  <c r="BL345" i="26" s="1"/>
  <c r="AF345" i="26"/>
  <c r="BA345" i="26" s="1"/>
  <c r="AR345" i="26"/>
  <c r="BM345" i="26" s="1"/>
  <c r="AG345" i="26"/>
  <c r="BB345" i="26" s="1"/>
  <c r="Y172" i="26"/>
  <c r="AT172" i="26" s="1"/>
  <c r="AK172" i="26"/>
  <c r="BF172" i="26" s="1"/>
  <c r="Z172" i="26"/>
  <c r="AL172" i="26"/>
  <c r="BG172" i="26" s="1"/>
  <c r="AA172" i="26"/>
  <c r="AV172" i="26" s="1"/>
  <c r="AM172" i="26"/>
  <c r="BH172" i="26" s="1"/>
  <c r="AB172" i="26"/>
  <c r="AW172" i="26" s="1"/>
  <c r="AN172" i="26"/>
  <c r="BI172" i="26" s="1"/>
  <c r="AC172" i="26"/>
  <c r="AX172" i="26" s="1"/>
  <c r="AO172" i="26"/>
  <c r="BJ172" i="26" s="1"/>
  <c r="AD172" i="26"/>
  <c r="AY172" i="26" s="1"/>
  <c r="AP172" i="26"/>
  <c r="BK172" i="26" s="1"/>
  <c r="AE172" i="26"/>
  <c r="AZ172" i="26" s="1"/>
  <c r="AQ172" i="26"/>
  <c r="BL172" i="26" s="1"/>
  <c r="AF172" i="26"/>
  <c r="BA172" i="26" s="1"/>
  <c r="AR172" i="26"/>
  <c r="BM172" i="26" s="1"/>
  <c r="AG172" i="26"/>
  <c r="BB172" i="26" s="1"/>
  <c r="AH172" i="26"/>
  <c r="BC172" i="26" s="1"/>
  <c r="AI172" i="26"/>
  <c r="BD172" i="26" s="1"/>
  <c r="AJ172" i="26"/>
  <c r="BE172" i="26" s="1"/>
  <c r="Y244" i="26"/>
  <c r="AT244" i="26" s="1"/>
  <c r="AK244" i="26"/>
  <c r="BF244" i="26" s="1"/>
  <c r="Z244" i="26"/>
  <c r="AL244" i="26"/>
  <c r="BG244" i="26" s="1"/>
  <c r="AA244" i="26"/>
  <c r="AV244" i="26" s="1"/>
  <c r="AM244" i="26"/>
  <c r="BH244" i="26" s="1"/>
  <c r="AB244" i="26"/>
  <c r="AW244" i="26" s="1"/>
  <c r="AN244" i="26"/>
  <c r="BI244" i="26" s="1"/>
  <c r="AC244" i="26"/>
  <c r="AX244" i="26" s="1"/>
  <c r="AO244" i="26"/>
  <c r="BJ244" i="26" s="1"/>
  <c r="AD244" i="26"/>
  <c r="AY244" i="26" s="1"/>
  <c r="AP244" i="26"/>
  <c r="BK244" i="26" s="1"/>
  <c r="AE244" i="26"/>
  <c r="AZ244" i="26" s="1"/>
  <c r="AQ244" i="26"/>
  <c r="BL244" i="26" s="1"/>
  <c r="AF244" i="26"/>
  <c r="BA244" i="26" s="1"/>
  <c r="AR244" i="26"/>
  <c r="BM244" i="26" s="1"/>
  <c r="AG244" i="26"/>
  <c r="BB244" i="26" s="1"/>
  <c r="AH244" i="26"/>
  <c r="BC244" i="26" s="1"/>
  <c r="AI244" i="26"/>
  <c r="BD244" i="26" s="1"/>
  <c r="AJ244" i="26"/>
  <c r="BE244" i="26" s="1"/>
  <c r="Y316" i="26"/>
  <c r="AT316" i="26" s="1"/>
  <c r="AK316" i="26"/>
  <c r="BF316" i="26" s="1"/>
  <c r="Z316" i="26"/>
  <c r="AL316" i="26"/>
  <c r="BG316" i="26" s="1"/>
  <c r="AA316" i="26"/>
  <c r="AV316" i="26" s="1"/>
  <c r="AM316" i="26"/>
  <c r="BH316" i="26" s="1"/>
  <c r="AB316" i="26"/>
  <c r="AW316" i="26" s="1"/>
  <c r="AN316" i="26"/>
  <c r="BI316" i="26" s="1"/>
  <c r="AC316" i="26"/>
  <c r="AX316" i="26" s="1"/>
  <c r="AO316" i="26"/>
  <c r="BJ316" i="26" s="1"/>
  <c r="AD316" i="26"/>
  <c r="AY316" i="26" s="1"/>
  <c r="AP316" i="26"/>
  <c r="BK316" i="26" s="1"/>
  <c r="AE316" i="26"/>
  <c r="AZ316" i="26" s="1"/>
  <c r="AQ316" i="26"/>
  <c r="BL316" i="26" s="1"/>
  <c r="AF316" i="26"/>
  <c r="BA316" i="26" s="1"/>
  <c r="AR316" i="26"/>
  <c r="BM316" i="26" s="1"/>
  <c r="AG316" i="26"/>
  <c r="BB316" i="26" s="1"/>
  <c r="AH316" i="26"/>
  <c r="BC316" i="26" s="1"/>
  <c r="AI316" i="26"/>
  <c r="BD316" i="26" s="1"/>
  <c r="AJ316" i="26"/>
  <c r="BE316" i="26" s="1"/>
  <c r="AF183" i="27"/>
  <c r="BA183" i="27" s="1"/>
  <c r="AR183" i="27"/>
  <c r="BM183" i="27" s="1"/>
  <c r="AG183" i="27"/>
  <c r="BB183" i="27" s="1"/>
  <c r="AH183" i="27"/>
  <c r="BC183" i="27" s="1"/>
  <c r="AI183" i="27"/>
  <c r="BD183" i="27" s="1"/>
  <c r="AJ183" i="27"/>
  <c r="BE183" i="27" s="1"/>
  <c r="AK183" i="27"/>
  <c r="BF183" i="27" s="1"/>
  <c r="Z183" i="27"/>
  <c r="AL183" i="27"/>
  <c r="BG183" i="27" s="1"/>
  <c r="AA183" i="27"/>
  <c r="AV183" i="27" s="1"/>
  <c r="AM183" i="27"/>
  <c r="BH183" i="27" s="1"/>
  <c r="AB183" i="27"/>
  <c r="AW183" i="27" s="1"/>
  <c r="AN183" i="27"/>
  <c r="BI183" i="27" s="1"/>
  <c r="AC183" i="27"/>
  <c r="AX183" i="27" s="1"/>
  <c r="AO183" i="27"/>
  <c r="BJ183" i="27" s="1"/>
  <c r="AD183" i="27"/>
  <c r="AY183" i="27" s="1"/>
  <c r="AP183" i="27"/>
  <c r="BK183" i="27" s="1"/>
  <c r="AE183" i="27"/>
  <c r="AZ183" i="27" s="1"/>
  <c r="AQ183" i="27"/>
  <c r="BL183" i="27" s="1"/>
  <c r="Y183" i="27"/>
  <c r="AT183" i="27" s="1"/>
  <c r="Z248" i="27"/>
  <c r="AL248" i="27"/>
  <c r="AA248" i="27"/>
  <c r="AM248" i="27"/>
  <c r="AB248" i="27"/>
  <c r="AN248" i="27"/>
  <c r="AC248" i="27"/>
  <c r="AO248" i="27"/>
  <c r="AD248" i="27"/>
  <c r="AP248" i="27"/>
  <c r="AE248" i="27"/>
  <c r="AQ248" i="27"/>
  <c r="AF248" i="27"/>
  <c r="AR248" i="27"/>
  <c r="AG248" i="27"/>
  <c r="AH248" i="27"/>
  <c r="AI248" i="27"/>
  <c r="AJ248" i="27"/>
  <c r="Y248" i="27"/>
  <c r="AT248" i="27" s="1"/>
  <c r="AK248" i="27"/>
  <c r="AJ320" i="27"/>
  <c r="BE320" i="27" s="1"/>
  <c r="AK320" i="27"/>
  <c r="BF320" i="27" s="1"/>
  <c r="Z320" i="27"/>
  <c r="AL320" i="27"/>
  <c r="BG320" i="27" s="1"/>
  <c r="AA320" i="27"/>
  <c r="AV320" i="27" s="1"/>
  <c r="AM320" i="27"/>
  <c r="BH320" i="27" s="1"/>
  <c r="AB320" i="27"/>
  <c r="AW320" i="27" s="1"/>
  <c r="AN320" i="27"/>
  <c r="BI320" i="27" s="1"/>
  <c r="AC320" i="27"/>
  <c r="AX320" i="27" s="1"/>
  <c r="AO320" i="27"/>
  <c r="BJ320" i="27" s="1"/>
  <c r="AD320" i="27"/>
  <c r="AY320" i="27" s="1"/>
  <c r="AP320" i="27"/>
  <c r="BK320" i="27" s="1"/>
  <c r="AE320" i="27"/>
  <c r="AZ320" i="27" s="1"/>
  <c r="AQ320" i="27"/>
  <c r="BL320" i="27" s="1"/>
  <c r="AF320" i="27"/>
  <c r="BA320" i="27" s="1"/>
  <c r="AR320" i="27"/>
  <c r="BM320" i="27" s="1"/>
  <c r="AG320" i="27"/>
  <c r="BB320" i="27" s="1"/>
  <c r="AH320" i="27"/>
  <c r="BC320" i="27" s="1"/>
  <c r="AI320" i="27"/>
  <c r="BD320" i="27" s="1"/>
  <c r="Y320" i="27"/>
  <c r="AT320" i="27" s="1"/>
  <c r="AJ191" i="27"/>
  <c r="BE191" i="27" s="1"/>
  <c r="AK191" i="27"/>
  <c r="BF191" i="27" s="1"/>
  <c r="Z191" i="27"/>
  <c r="AL191" i="27"/>
  <c r="BG191" i="27" s="1"/>
  <c r="AA191" i="27"/>
  <c r="AV191" i="27" s="1"/>
  <c r="AM191" i="27"/>
  <c r="BH191" i="27" s="1"/>
  <c r="AB191" i="27"/>
  <c r="AW191" i="27" s="1"/>
  <c r="AN191" i="27"/>
  <c r="BI191" i="27" s="1"/>
  <c r="AC191" i="27"/>
  <c r="AX191" i="27" s="1"/>
  <c r="AO191" i="27"/>
  <c r="BJ191" i="27" s="1"/>
  <c r="AD191" i="27"/>
  <c r="AY191" i="27" s="1"/>
  <c r="AP191" i="27"/>
  <c r="BK191" i="27" s="1"/>
  <c r="AE191" i="27"/>
  <c r="AZ191" i="27" s="1"/>
  <c r="AQ191" i="27"/>
  <c r="BL191" i="27" s="1"/>
  <c r="AF191" i="27"/>
  <c r="BA191" i="27" s="1"/>
  <c r="AR191" i="27"/>
  <c r="BM191" i="27" s="1"/>
  <c r="AG191" i="27"/>
  <c r="BB191" i="27" s="1"/>
  <c r="AH191" i="27"/>
  <c r="BC191" i="27" s="1"/>
  <c r="AI191" i="27"/>
  <c r="BD191" i="27" s="1"/>
  <c r="Y191" i="27"/>
  <c r="AT191" i="27" s="1"/>
  <c r="AK267" i="27"/>
  <c r="BF267" i="27" s="1"/>
  <c r="Z267" i="27"/>
  <c r="AL267" i="27"/>
  <c r="BG267" i="27" s="1"/>
  <c r="AA267" i="27"/>
  <c r="AV267" i="27" s="1"/>
  <c r="AM267" i="27"/>
  <c r="BH267" i="27" s="1"/>
  <c r="AB267" i="27"/>
  <c r="AW267" i="27" s="1"/>
  <c r="AN267" i="27"/>
  <c r="BI267" i="27" s="1"/>
  <c r="AC267" i="27"/>
  <c r="AX267" i="27" s="1"/>
  <c r="AO267" i="27"/>
  <c r="BJ267" i="27" s="1"/>
  <c r="AD267" i="27"/>
  <c r="AY267" i="27" s="1"/>
  <c r="AP267" i="27"/>
  <c r="BK267" i="27" s="1"/>
  <c r="AE267" i="27"/>
  <c r="AZ267" i="27" s="1"/>
  <c r="AQ267" i="27"/>
  <c r="BL267" i="27" s="1"/>
  <c r="AF267" i="27"/>
  <c r="BA267" i="27" s="1"/>
  <c r="AR267" i="27"/>
  <c r="BM267" i="27" s="1"/>
  <c r="AG267" i="27"/>
  <c r="BB267" i="27" s="1"/>
  <c r="AH267" i="27"/>
  <c r="BC267" i="27" s="1"/>
  <c r="AI267" i="27"/>
  <c r="BD267" i="27" s="1"/>
  <c r="Y267" i="27"/>
  <c r="AT267" i="27" s="1"/>
  <c r="AJ267" i="27"/>
  <c r="BE267" i="27" s="1"/>
  <c r="AI339" i="27"/>
  <c r="BD339" i="27" s="1"/>
  <c r="AJ339" i="27"/>
  <c r="BE339" i="27" s="1"/>
  <c r="AK339" i="27"/>
  <c r="BF339" i="27" s="1"/>
  <c r="Z339" i="27"/>
  <c r="AL339" i="27"/>
  <c r="BG339" i="27" s="1"/>
  <c r="AA339" i="27"/>
  <c r="AV339" i="27" s="1"/>
  <c r="AM339" i="27"/>
  <c r="BH339" i="27" s="1"/>
  <c r="AB339" i="27"/>
  <c r="AW339" i="27" s="1"/>
  <c r="AN339" i="27"/>
  <c r="BI339" i="27" s="1"/>
  <c r="AC339" i="27"/>
  <c r="AX339" i="27" s="1"/>
  <c r="AO339" i="27"/>
  <c r="BJ339" i="27" s="1"/>
  <c r="AD339" i="27"/>
  <c r="AY339" i="27" s="1"/>
  <c r="AP339" i="27"/>
  <c r="BK339" i="27" s="1"/>
  <c r="AE339" i="27"/>
  <c r="AZ339" i="27" s="1"/>
  <c r="AQ339" i="27"/>
  <c r="BL339" i="27" s="1"/>
  <c r="AF339" i="27"/>
  <c r="BA339" i="27" s="1"/>
  <c r="AR339" i="27"/>
  <c r="BM339" i="27" s="1"/>
  <c r="AG339" i="27"/>
  <c r="BB339" i="27" s="1"/>
  <c r="AH339" i="27"/>
  <c r="BC339" i="27" s="1"/>
  <c r="Y339" i="27"/>
  <c r="AT339" i="27" s="1"/>
  <c r="AB210" i="27"/>
  <c r="AW210" i="27" s="1"/>
  <c r="AN210" i="27"/>
  <c r="BI210" i="27" s="1"/>
  <c r="AC210" i="27"/>
  <c r="AX210" i="27" s="1"/>
  <c r="AO210" i="27"/>
  <c r="BJ210" i="27" s="1"/>
  <c r="AD210" i="27"/>
  <c r="AY210" i="27" s="1"/>
  <c r="AP210" i="27"/>
  <c r="BK210" i="27" s="1"/>
  <c r="AE210" i="27"/>
  <c r="AZ210" i="27" s="1"/>
  <c r="AQ210" i="27"/>
  <c r="BL210" i="27" s="1"/>
  <c r="AF210" i="27"/>
  <c r="BA210" i="27" s="1"/>
  <c r="AR210" i="27"/>
  <c r="BM210" i="27" s="1"/>
  <c r="AG210" i="27"/>
  <c r="BB210" i="27" s="1"/>
  <c r="AH210" i="27"/>
  <c r="BC210" i="27" s="1"/>
  <c r="AI210" i="27"/>
  <c r="BD210" i="27" s="1"/>
  <c r="AJ210" i="27"/>
  <c r="BE210" i="27" s="1"/>
  <c r="AK210" i="27"/>
  <c r="BF210" i="27" s="1"/>
  <c r="Z210" i="27"/>
  <c r="AL210" i="27"/>
  <c r="BG210" i="27" s="1"/>
  <c r="Y210" i="27"/>
  <c r="AT210" i="27" s="1"/>
  <c r="AA210" i="27"/>
  <c r="AV210" i="27" s="1"/>
  <c r="AM210" i="27"/>
  <c r="BH210" i="27" s="1"/>
  <c r="AJ286" i="27"/>
  <c r="BE286" i="27" s="1"/>
  <c r="AK286" i="27"/>
  <c r="BF286" i="27" s="1"/>
  <c r="AA286" i="27"/>
  <c r="AV286" i="27" s="1"/>
  <c r="AM286" i="27"/>
  <c r="BH286" i="27" s="1"/>
  <c r="AB286" i="27"/>
  <c r="AW286" i="27" s="1"/>
  <c r="AN286" i="27"/>
  <c r="BI286" i="27" s="1"/>
  <c r="AC286" i="27"/>
  <c r="AX286" i="27" s="1"/>
  <c r="AO286" i="27"/>
  <c r="BJ286" i="27" s="1"/>
  <c r="AD286" i="27"/>
  <c r="AY286" i="27" s="1"/>
  <c r="AP286" i="27"/>
  <c r="BK286" i="27" s="1"/>
  <c r="AE286" i="27"/>
  <c r="AZ286" i="27" s="1"/>
  <c r="AQ286" i="27"/>
  <c r="BL286" i="27" s="1"/>
  <c r="AG286" i="27"/>
  <c r="BB286" i="27" s="1"/>
  <c r="AH286" i="27"/>
  <c r="BC286" i="27" s="1"/>
  <c r="Z286" i="27"/>
  <c r="Y286" i="27"/>
  <c r="AT286" i="27" s="1"/>
  <c r="AF286" i="27"/>
  <c r="BA286" i="27" s="1"/>
  <c r="AI286" i="27"/>
  <c r="BD286" i="27" s="1"/>
  <c r="AL286" i="27"/>
  <c r="BG286" i="27" s="1"/>
  <c r="AR286" i="27"/>
  <c r="BM286" i="27" s="1"/>
  <c r="AH358" i="27"/>
  <c r="BC358" i="27" s="1"/>
  <c r="AI358" i="27"/>
  <c r="BD358" i="27" s="1"/>
  <c r="AK358" i="27"/>
  <c r="BF358" i="27" s="1"/>
  <c r="Z358" i="27"/>
  <c r="AL358" i="27"/>
  <c r="BG358" i="27" s="1"/>
  <c r="AA358" i="27"/>
  <c r="AV358" i="27" s="1"/>
  <c r="AM358" i="27"/>
  <c r="BH358" i="27" s="1"/>
  <c r="AB358" i="27"/>
  <c r="AW358" i="27" s="1"/>
  <c r="AN358" i="27"/>
  <c r="BI358" i="27" s="1"/>
  <c r="AC358" i="27"/>
  <c r="AX358" i="27" s="1"/>
  <c r="AO358" i="27"/>
  <c r="BJ358" i="27" s="1"/>
  <c r="AE358" i="27"/>
  <c r="AZ358" i="27" s="1"/>
  <c r="AQ358" i="27"/>
  <c r="BL358" i="27" s="1"/>
  <c r="AF358" i="27"/>
  <c r="BA358" i="27" s="1"/>
  <c r="AR358" i="27"/>
  <c r="BM358" i="27" s="1"/>
  <c r="AJ358" i="27"/>
  <c r="BE358" i="27" s="1"/>
  <c r="AP358" i="27"/>
  <c r="BK358" i="27" s="1"/>
  <c r="AD358" i="27"/>
  <c r="AY358" i="27" s="1"/>
  <c r="Y358" i="27"/>
  <c r="AT358" i="27" s="1"/>
  <c r="AG358" i="27"/>
  <c r="BB358" i="27" s="1"/>
  <c r="AA217" i="27"/>
  <c r="AV217" i="27" s="1"/>
  <c r="AM217" i="27"/>
  <c r="BH217" i="27" s="1"/>
  <c r="AB217" i="27"/>
  <c r="AW217" i="27" s="1"/>
  <c r="AN217" i="27"/>
  <c r="BI217" i="27" s="1"/>
  <c r="AC217" i="27"/>
  <c r="AX217" i="27" s="1"/>
  <c r="AO217" i="27"/>
  <c r="BJ217" i="27" s="1"/>
  <c r="AD217" i="27"/>
  <c r="AY217" i="27" s="1"/>
  <c r="AP217" i="27"/>
  <c r="BK217" i="27" s="1"/>
  <c r="AE217" i="27"/>
  <c r="AZ217" i="27" s="1"/>
  <c r="AQ217" i="27"/>
  <c r="BL217" i="27" s="1"/>
  <c r="AF217" i="27"/>
  <c r="BA217" i="27" s="1"/>
  <c r="AR217" i="27"/>
  <c r="BM217" i="27" s="1"/>
  <c r="AG217" i="27"/>
  <c r="BB217" i="27" s="1"/>
  <c r="AH217" i="27"/>
  <c r="BC217" i="27" s="1"/>
  <c r="AI217" i="27"/>
  <c r="BD217" i="27" s="1"/>
  <c r="AJ217" i="27"/>
  <c r="BE217" i="27" s="1"/>
  <c r="AK217" i="27"/>
  <c r="BF217" i="27" s="1"/>
  <c r="Z217" i="27"/>
  <c r="AL217" i="27"/>
  <c r="BG217" i="27" s="1"/>
  <c r="Y217" i="27"/>
  <c r="AT217" i="27" s="1"/>
  <c r="AA299" i="27"/>
  <c r="AV299" i="27" s="1"/>
  <c r="AM299" i="27"/>
  <c r="BH299" i="27" s="1"/>
  <c r="AB299" i="27"/>
  <c r="AW299" i="27" s="1"/>
  <c r="AN299" i="27"/>
  <c r="BI299" i="27" s="1"/>
  <c r="AC299" i="27"/>
  <c r="AX299" i="27" s="1"/>
  <c r="AO299" i="27"/>
  <c r="BJ299" i="27" s="1"/>
  <c r="AD299" i="27"/>
  <c r="AY299" i="27" s="1"/>
  <c r="AP299" i="27"/>
  <c r="BK299" i="27" s="1"/>
  <c r="AE299" i="27"/>
  <c r="AZ299" i="27" s="1"/>
  <c r="AQ299" i="27"/>
  <c r="BL299" i="27" s="1"/>
  <c r="AF299" i="27"/>
  <c r="BA299" i="27" s="1"/>
  <c r="AR299" i="27"/>
  <c r="BM299" i="27" s="1"/>
  <c r="AG299" i="27"/>
  <c r="BB299" i="27" s="1"/>
  <c r="AH299" i="27"/>
  <c r="BC299" i="27" s="1"/>
  <c r="AI299" i="27"/>
  <c r="BD299" i="27" s="1"/>
  <c r="AJ299" i="27"/>
  <c r="BE299" i="27" s="1"/>
  <c r="AK299" i="27"/>
  <c r="BF299" i="27" s="1"/>
  <c r="Z299" i="27"/>
  <c r="AL299" i="27"/>
  <c r="BG299" i="27" s="1"/>
  <c r="Y299" i="27"/>
  <c r="AT299" i="27" s="1"/>
  <c r="AA371" i="27"/>
  <c r="AV371" i="27" s="1"/>
  <c r="AM371" i="27"/>
  <c r="BH371" i="27" s="1"/>
  <c r="AB371" i="27"/>
  <c r="AW371" i="27" s="1"/>
  <c r="AN371" i="27"/>
  <c r="BI371" i="27" s="1"/>
  <c r="AD371" i="27"/>
  <c r="AY371" i="27" s="1"/>
  <c r="AP371" i="27"/>
  <c r="BK371" i="27" s="1"/>
  <c r="AE371" i="27"/>
  <c r="AZ371" i="27" s="1"/>
  <c r="AQ371" i="27"/>
  <c r="BL371" i="27" s="1"/>
  <c r="AF371" i="27"/>
  <c r="BA371" i="27" s="1"/>
  <c r="AR371" i="27"/>
  <c r="BM371" i="27" s="1"/>
  <c r="AG371" i="27"/>
  <c r="BB371" i="27" s="1"/>
  <c r="AH371" i="27"/>
  <c r="BC371" i="27" s="1"/>
  <c r="AJ371" i="27"/>
  <c r="BE371" i="27" s="1"/>
  <c r="AK371" i="27"/>
  <c r="BF371" i="27" s="1"/>
  <c r="AC371" i="27"/>
  <c r="AX371" i="27" s="1"/>
  <c r="Y371" i="27"/>
  <c r="AT371" i="27" s="1"/>
  <c r="AI371" i="27"/>
  <c r="BD371" i="27" s="1"/>
  <c r="AL371" i="27"/>
  <c r="BG371" i="27" s="1"/>
  <c r="AO371" i="27"/>
  <c r="BJ371" i="27" s="1"/>
  <c r="Z371" i="27"/>
  <c r="AH240" i="27"/>
  <c r="BC240" i="27" s="1"/>
  <c r="AI240" i="27"/>
  <c r="BD240" i="27" s="1"/>
  <c r="AJ240" i="27"/>
  <c r="BE240" i="27" s="1"/>
  <c r="AK240" i="27"/>
  <c r="BF240" i="27" s="1"/>
  <c r="Z240" i="27"/>
  <c r="AL240" i="27"/>
  <c r="BG240" i="27" s="1"/>
  <c r="AA240" i="27"/>
  <c r="AV240" i="27" s="1"/>
  <c r="AM240" i="27"/>
  <c r="BH240" i="27" s="1"/>
  <c r="AB240" i="27"/>
  <c r="AW240" i="27" s="1"/>
  <c r="AN240" i="27"/>
  <c r="BI240" i="27" s="1"/>
  <c r="AC240" i="27"/>
  <c r="AX240" i="27" s="1"/>
  <c r="AO240" i="27"/>
  <c r="BJ240" i="27" s="1"/>
  <c r="AD240" i="27"/>
  <c r="AY240" i="27" s="1"/>
  <c r="AP240" i="27"/>
  <c r="BK240" i="27" s="1"/>
  <c r="AE240" i="27"/>
  <c r="AZ240" i="27" s="1"/>
  <c r="AQ240" i="27"/>
  <c r="BL240" i="27" s="1"/>
  <c r="AF240" i="27"/>
  <c r="BA240" i="27" s="1"/>
  <c r="AR240" i="27"/>
  <c r="BM240" i="27" s="1"/>
  <c r="AG240" i="27"/>
  <c r="BB240" i="27" s="1"/>
  <c r="Y240" i="27"/>
  <c r="AT240" i="27" s="1"/>
  <c r="AF312" i="27"/>
  <c r="BA312" i="27" s="1"/>
  <c r="AR312" i="27"/>
  <c r="BM312" i="27" s="1"/>
  <c r="AG312" i="27"/>
  <c r="BB312" i="27" s="1"/>
  <c r="AH312" i="27"/>
  <c r="BC312" i="27" s="1"/>
  <c r="AI312" i="27"/>
  <c r="BD312" i="27" s="1"/>
  <c r="AJ312" i="27"/>
  <c r="BE312" i="27" s="1"/>
  <c r="AK312" i="27"/>
  <c r="BF312" i="27" s="1"/>
  <c r="Z312" i="27"/>
  <c r="AL312" i="27"/>
  <c r="BG312" i="27" s="1"/>
  <c r="AA312" i="27"/>
  <c r="AV312" i="27" s="1"/>
  <c r="AM312" i="27"/>
  <c r="BH312" i="27" s="1"/>
  <c r="AB312" i="27"/>
  <c r="AW312" i="27" s="1"/>
  <c r="AN312" i="27"/>
  <c r="BI312" i="27" s="1"/>
  <c r="AC312" i="27"/>
  <c r="AX312" i="27" s="1"/>
  <c r="AO312" i="27"/>
  <c r="BJ312" i="27" s="1"/>
  <c r="Y312" i="27"/>
  <c r="AT312" i="27" s="1"/>
  <c r="AD312" i="27"/>
  <c r="AY312" i="27" s="1"/>
  <c r="AP312" i="27"/>
  <c r="BK312" i="27" s="1"/>
  <c r="AE312" i="27"/>
  <c r="AZ312" i="27" s="1"/>
  <c r="AQ312" i="27"/>
  <c r="BL312" i="27" s="1"/>
  <c r="AF384" i="27"/>
  <c r="BA384" i="27" s="1"/>
  <c r="AR384" i="27"/>
  <c r="BM384" i="27" s="1"/>
  <c r="AG384" i="27"/>
  <c r="BB384" i="27" s="1"/>
  <c r="AI384" i="27"/>
  <c r="BD384" i="27" s="1"/>
  <c r="AJ384" i="27"/>
  <c r="BE384" i="27" s="1"/>
  <c r="AK384" i="27"/>
  <c r="BF384" i="27" s="1"/>
  <c r="Z384" i="27"/>
  <c r="AL384" i="27"/>
  <c r="BG384" i="27" s="1"/>
  <c r="AA384" i="27"/>
  <c r="AV384" i="27" s="1"/>
  <c r="AM384" i="27"/>
  <c r="BH384" i="27" s="1"/>
  <c r="AC384" i="27"/>
  <c r="AX384" i="27" s="1"/>
  <c r="AO384" i="27"/>
  <c r="BJ384" i="27" s="1"/>
  <c r="AD384" i="27"/>
  <c r="AY384" i="27" s="1"/>
  <c r="AP384" i="27"/>
  <c r="BK384" i="27" s="1"/>
  <c r="AB384" i="27"/>
  <c r="AW384" i="27" s="1"/>
  <c r="Y384" i="27"/>
  <c r="AT384" i="27" s="1"/>
  <c r="AE384" i="27"/>
  <c r="AZ384" i="27" s="1"/>
  <c r="AH384" i="27"/>
  <c r="BC384" i="27" s="1"/>
  <c r="AN384" i="27"/>
  <c r="BI384" i="27" s="1"/>
  <c r="AQ384" i="27"/>
  <c r="BL384" i="27" s="1"/>
  <c r="AA253" i="27"/>
  <c r="AV253" i="27" s="1"/>
  <c r="AM253" i="27"/>
  <c r="BH253" i="27" s="1"/>
  <c r="AB253" i="27"/>
  <c r="AW253" i="27" s="1"/>
  <c r="AN253" i="27"/>
  <c r="BI253" i="27" s="1"/>
  <c r="AC253" i="27"/>
  <c r="AX253" i="27" s="1"/>
  <c r="AO253" i="27"/>
  <c r="BJ253" i="27" s="1"/>
  <c r="AD253" i="27"/>
  <c r="AY253" i="27" s="1"/>
  <c r="AP253" i="27"/>
  <c r="BK253" i="27" s="1"/>
  <c r="AE253" i="27"/>
  <c r="AZ253" i="27" s="1"/>
  <c r="AQ253" i="27"/>
  <c r="BL253" i="27" s="1"/>
  <c r="AF253" i="27"/>
  <c r="BA253" i="27" s="1"/>
  <c r="AR253" i="27"/>
  <c r="BM253" i="27" s="1"/>
  <c r="AG253" i="27"/>
  <c r="BB253" i="27" s="1"/>
  <c r="AH253" i="27"/>
  <c r="BC253" i="27" s="1"/>
  <c r="AI253" i="27"/>
  <c r="BD253" i="27" s="1"/>
  <c r="AJ253" i="27"/>
  <c r="BE253" i="27" s="1"/>
  <c r="AK253" i="27"/>
  <c r="BF253" i="27" s="1"/>
  <c r="Z253" i="27"/>
  <c r="AL253" i="27"/>
  <c r="BG253" i="27" s="1"/>
  <c r="Y253" i="27"/>
  <c r="AT253" i="27" s="1"/>
  <c r="AK325" i="27"/>
  <c r="BF325" i="27" s="1"/>
  <c r="Z325" i="27"/>
  <c r="AL325" i="27"/>
  <c r="BG325" i="27" s="1"/>
  <c r="AA325" i="27"/>
  <c r="AV325" i="27" s="1"/>
  <c r="AM325" i="27"/>
  <c r="BH325" i="27" s="1"/>
  <c r="AB325" i="27"/>
  <c r="AW325" i="27" s="1"/>
  <c r="AN325" i="27"/>
  <c r="BI325" i="27" s="1"/>
  <c r="AC325" i="27"/>
  <c r="AX325" i="27" s="1"/>
  <c r="AO325" i="27"/>
  <c r="BJ325" i="27" s="1"/>
  <c r="AD325" i="27"/>
  <c r="AY325" i="27" s="1"/>
  <c r="AP325" i="27"/>
  <c r="BK325" i="27" s="1"/>
  <c r="AE325" i="27"/>
  <c r="AZ325" i="27" s="1"/>
  <c r="AQ325" i="27"/>
  <c r="BL325" i="27" s="1"/>
  <c r="AF325" i="27"/>
  <c r="BA325" i="27" s="1"/>
  <c r="AR325" i="27"/>
  <c r="BM325" i="27" s="1"/>
  <c r="AG325" i="27"/>
  <c r="BB325" i="27" s="1"/>
  <c r="AH325" i="27"/>
  <c r="BC325" i="27" s="1"/>
  <c r="AI325" i="27"/>
  <c r="BD325" i="27" s="1"/>
  <c r="AJ325" i="27"/>
  <c r="BE325" i="27" s="1"/>
  <c r="Y325" i="27"/>
  <c r="AT325" i="27" s="1"/>
  <c r="AJ219" i="28"/>
  <c r="BE219" i="28" s="1"/>
  <c r="Y219" i="28"/>
  <c r="AT219" i="28" s="1"/>
  <c r="AK219" i="28"/>
  <c r="BF219" i="28" s="1"/>
  <c r="AA219" i="28"/>
  <c r="AV219" i="28" s="1"/>
  <c r="AM219" i="28"/>
  <c r="BH219" i="28" s="1"/>
  <c r="AB219" i="28"/>
  <c r="AW219" i="28" s="1"/>
  <c r="AN219" i="28"/>
  <c r="BI219" i="28" s="1"/>
  <c r="AC219" i="28"/>
  <c r="AX219" i="28" s="1"/>
  <c r="AO219" i="28"/>
  <c r="BJ219" i="28" s="1"/>
  <c r="AD219" i="28"/>
  <c r="AY219" i="28" s="1"/>
  <c r="AP219" i="28"/>
  <c r="BK219" i="28" s="1"/>
  <c r="AE219" i="28"/>
  <c r="AZ219" i="28" s="1"/>
  <c r="AQ219" i="28"/>
  <c r="BL219" i="28" s="1"/>
  <c r="AG219" i="28"/>
  <c r="BB219" i="28" s="1"/>
  <c r="AH219" i="28"/>
  <c r="BC219" i="28" s="1"/>
  <c r="AL219" i="28"/>
  <c r="BG219" i="28" s="1"/>
  <c r="AR219" i="28"/>
  <c r="BM219" i="28" s="1"/>
  <c r="Z219" i="28"/>
  <c r="AF219" i="28"/>
  <c r="BA219" i="28" s="1"/>
  <c r="AI219" i="28"/>
  <c r="BD219" i="28" s="1"/>
  <c r="AI291" i="28"/>
  <c r="BD291" i="28" s="1"/>
  <c r="AJ291" i="28"/>
  <c r="BE291" i="28" s="1"/>
  <c r="Z291" i="28"/>
  <c r="AL291" i="28"/>
  <c r="BG291" i="28" s="1"/>
  <c r="AA291" i="28"/>
  <c r="AV291" i="28" s="1"/>
  <c r="AM291" i="28"/>
  <c r="BH291" i="28" s="1"/>
  <c r="AB291" i="28"/>
  <c r="AW291" i="28" s="1"/>
  <c r="AN291" i="28"/>
  <c r="BI291" i="28" s="1"/>
  <c r="AC291" i="28"/>
  <c r="AX291" i="28" s="1"/>
  <c r="AO291" i="28"/>
  <c r="BJ291" i="28" s="1"/>
  <c r="AD291" i="28"/>
  <c r="AY291" i="28" s="1"/>
  <c r="AP291" i="28"/>
  <c r="BK291" i="28" s="1"/>
  <c r="AF291" i="28"/>
  <c r="BA291" i="28" s="1"/>
  <c r="AR291" i="28"/>
  <c r="BM291" i="28" s="1"/>
  <c r="AG291" i="28"/>
  <c r="BB291" i="28" s="1"/>
  <c r="Y291" i="28"/>
  <c r="AT291" i="28" s="1"/>
  <c r="AE291" i="28"/>
  <c r="AZ291" i="28" s="1"/>
  <c r="AH291" i="28"/>
  <c r="BC291" i="28" s="1"/>
  <c r="AK291" i="28"/>
  <c r="BF291" i="28" s="1"/>
  <c r="AQ291" i="28"/>
  <c r="BL291" i="28" s="1"/>
  <c r="AG363" i="28"/>
  <c r="BB363" i="28" s="1"/>
  <c r="AH363" i="28"/>
  <c r="BC363" i="28" s="1"/>
  <c r="AI363" i="28"/>
  <c r="BD363" i="28" s="1"/>
  <c r="AJ363" i="28"/>
  <c r="BE363" i="28" s="1"/>
  <c r="Y363" i="28"/>
  <c r="AT363" i="28" s="1"/>
  <c r="AK363" i="28"/>
  <c r="BF363" i="28" s="1"/>
  <c r="Z363" i="28"/>
  <c r="AL363" i="28"/>
  <c r="BG363" i="28" s="1"/>
  <c r="AA363" i="28"/>
  <c r="AV363" i="28" s="1"/>
  <c r="AM363" i="28"/>
  <c r="BH363" i="28" s="1"/>
  <c r="AB363" i="28"/>
  <c r="AW363" i="28" s="1"/>
  <c r="AN363" i="28"/>
  <c r="BI363" i="28" s="1"/>
  <c r="AC363" i="28"/>
  <c r="AX363" i="28" s="1"/>
  <c r="AO363" i="28"/>
  <c r="BJ363" i="28" s="1"/>
  <c r="AD363" i="28"/>
  <c r="AY363" i="28" s="1"/>
  <c r="AP363" i="28"/>
  <c r="BK363" i="28" s="1"/>
  <c r="AE363" i="28"/>
  <c r="AZ363" i="28" s="1"/>
  <c r="AQ363" i="28"/>
  <c r="BL363" i="28" s="1"/>
  <c r="AF363" i="28"/>
  <c r="BA363" i="28" s="1"/>
  <c r="AR363" i="28"/>
  <c r="BM363" i="28" s="1"/>
  <c r="AA256" i="28"/>
  <c r="AV256" i="28" s="1"/>
  <c r="AM256" i="28"/>
  <c r="BH256" i="28" s="1"/>
  <c r="AB256" i="28"/>
  <c r="AW256" i="28" s="1"/>
  <c r="AN256" i="28"/>
  <c r="BI256" i="28" s="1"/>
  <c r="AD256" i="28"/>
  <c r="AY256" i="28" s="1"/>
  <c r="AP256" i="28"/>
  <c r="BK256" i="28" s="1"/>
  <c r="AE256" i="28"/>
  <c r="AZ256" i="28" s="1"/>
  <c r="AQ256" i="28"/>
  <c r="BL256" i="28" s="1"/>
  <c r="AF256" i="28"/>
  <c r="BA256" i="28" s="1"/>
  <c r="AR256" i="28"/>
  <c r="BM256" i="28" s="1"/>
  <c r="AG256" i="28"/>
  <c r="BB256" i="28" s="1"/>
  <c r="AH256" i="28"/>
  <c r="BC256" i="28" s="1"/>
  <c r="AJ256" i="28"/>
  <c r="BE256" i="28" s="1"/>
  <c r="Y256" i="28"/>
  <c r="AT256" i="28" s="1"/>
  <c r="AK256" i="28"/>
  <c r="BF256" i="28" s="1"/>
  <c r="Z256" i="28"/>
  <c r="AC256" i="28"/>
  <c r="AX256" i="28" s="1"/>
  <c r="AI256" i="28"/>
  <c r="BD256" i="28" s="1"/>
  <c r="AL256" i="28"/>
  <c r="BG256" i="28" s="1"/>
  <c r="AO256" i="28"/>
  <c r="BJ256" i="28" s="1"/>
  <c r="Y328" i="28"/>
  <c r="AT328" i="28" s="1"/>
  <c r="AK328" i="28"/>
  <c r="BF328" i="28" s="1"/>
  <c r="Z328" i="28"/>
  <c r="AL328" i="28"/>
  <c r="BG328" i="28" s="1"/>
  <c r="AA328" i="28"/>
  <c r="AV328" i="28" s="1"/>
  <c r="AM328" i="28"/>
  <c r="BH328" i="28" s="1"/>
  <c r="AB328" i="28"/>
  <c r="AW328" i="28" s="1"/>
  <c r="AN328" i="28"/>
  <c r="BI328" i="28" s="1"/>
  <c r="AC328" i="28"/>
  <c r="AX328" i="28" s="1"/>
  <c r="AO328" i="28"/>
  <c r="BJ328" i="28" s="1"/>
  <c r="AD328" i="28"/>
  <c r="AY328" i="28" s="1"/>
  <c r="AP328" i="28"/>
  <c r="BK328" i="28" s="1"/>
  <c r="AE328" i="28"/>
  <c r="AZ328" i="28" s="1"/>
  <c r="AQ328" i="28"/>
  <c r="BL328" i="28" s="1"/>
  <c r="AF328" i="28"/>
  <c r="BA328" i="28" s="1"/>
  <c r="AR328" i="28"/>
  <c r="BM328" i="28" s="1"/>
  <c r="AG328" i="28"/>
  <c r="BB328" i="28" s="1"/>
  <c r="AH328" i="28"/>
  <c r="BC328" i="28" s="1"/>
  <c r="AI328" i="28"/>
  <c r="BD328" i="28" s="1"/>
  <c r="AJ328" i="28"/>
  <c r="BE328" i="28" s="1"/>
  <c r="AF221" i="28"/>
  <c r="BA221" i="28" s="1"/>
  <c r="AR221" i="28"/>
  <c r="BM221" i="28" s="1"/>
  <c r="AG221" i="28"/>
  <c r="BB221" i="28" s="1"/>
  <c r="AI221" i="28"/>
  <c r="BD221" i="28" s="1"/>
  <c r="AJ221" i="28"/>
  <c r="BE221" i="28" s="1"/>
  <c r="Y221" i="28"/>
  <c r="AT221" i="28" s="1"/>
  <c r="AK221" i="28"/>
  <c r="BF221" i="28" s="1"/>
  <c r="Z221" i="28"/>
  <c r="AL221" i="28"/>
  <c r="BG221" i="28" s="1"/>
  <c r="AA221" i="28"/>
  <c r="AV221" i="28" s="1"/>
  <c r="AM221" i="28"/>
  <c r="BH221" i="28" s="1"/>
  <c r="AC221" i="28"/>
  <c r="AX221" i="28" s="1"/>
  <c r="AO221" i="28"/>
  <c r="BJ221" i="28" s="1"/>
  <c r="AD221" i="28"/>
  <c r="AY221" i="28" s="1"/>
  <c r="AP221" i="28"/>
  <c r="BK221" i="28" s="1"/>
  <c r="AB221" i="28"/>
  <c r="AW221" i="28" s="1"/>
  <c r="AE221" i="28"/>
  <c r="AZ221" i="28" s="1"/>
  <c r="AH221" i="28"/>
  <c r="BC221" i="28" s="1"/>
  <c r="AN221" i="28"/>
  <c r="BI221" i="28" s="1"/>
  <c r="AQ221" i="28"/>
  <c r="BL221" i="28" s="1"/>
  <c r="AE293" i="28"/>
  <c r="AZ293" i="28" s="1"/>
  <c r="AQ293" i="28"/>
  <c r="BL293" i="28" s="1"/>
  <c r="AF293" i="28"/>
  <c r="BA293" i="28" s="1"/>
  <c r="AR293" i="28"/>
  <c r="BM293" i="28" s="1"/>
  <c r="AH293" i="28"/>
  <c r="BC293" i="28" s="1"/>
  <c r="AI293" i="28"/>
  <c r="BD293" i="28" s="1"/>
  <c r="AJ293" i="28"/>
  <c r="BE293" i="28" s="1"/>
  <c r="Y293" i="28"/>
  <c r="AT293" i="28" s="1"/>
  <c r="AK293" i="28"/>
  <c r="BF293" i="28" s="1"/>
  <c r="Z293" i="28"/>
  <c r="AL293" i="28"/>
  <c r="BG293" i="28" s="1"/>
  <c r="AB293" i="28"/>
  <c r="AW293" i="28" s="1"/>
  <c r="AN293" i="28"/>
  <c r="BI293" i="28" s="1"/>
  <c r="AC293" i="28"/>
  <c r="AX293" i="28" s="1"/>
  <c r="AO293" i="28"/>
  <c r="BJ293" i="28" s="1"/>
  <c r="AA293" i="28"/>
  <c r="AV293" i="28" s="1"/>
  <c r="AD293" i="28"/>
  <c r="AY293" i="28" s="1"/>
  <c r="AG293" i="28"/>
  <c r="BB293" i="28" s="1"/>
  <c r="AM293" i="28"/>
  <c r="BH293" i="28" s="1"/>
  <c r="AP293" i="28"/>
  <c r="BK293" i="28" s="1"/>
  <c r="AC365" i="28"/>
  <c r="AX365" i="28" s="1"/>
  <c r="AO365" i="28"/>
  <c r="BJ365" i="28" s="1"/>
  <c r="AD365" i="28"/>
  <c r="AY365" i="28" s="1"/>
  <c r="AP365" i="28"/>
  <c r="BK365" i="28" s="1"/>
  <c r="AE365" i="28"/>
  <c r="AZ365" i="28" s="1"/>
  <c r="AQ365" i="28"/>
  <c r="BL365" i="28" s="1"/>
  <c r="AF365" i="28"/>
  <c r="BA365" i="28" s="1"/>
  <c r="AR365" i="28"/>
  <c r="BM365" i="28" s="1"/>
  <c r="AG365" i="28"/>
  <c r="BB365" i="28" s="1"/>
  <c r="AH365" i="28"/>
  <c r="BC365" i="28" s="1"/>
  <c r="AI365" i="28"/>
  <c r="BD365" i="28" s="1"/>
  <c r="AJ365" i="28"/>
  <c r="BE365" i="28" s="1"/>
  <c r="Y365" i="28"/>
  <c r="AT365" i="28" s="1"/>
  <c r="AK365" i="28"/>
  <c r="BF365" i="28" s="1"/>
  <c r="Z365" i="28"/>
  <c r="AL365" i="28"/>
  <c r="BG365" i="28" s="1"/>
  <c r="AA365" i="28"/>
  <c r="AV365" i="28" s="1"/>
  <c r="AM365" i="28"/>
  <c r="BH365" i="28" s="1"/>
  <c r="AB365" i="28"/>
  <c r="AW365" i="28" s="1"/>
  <c r="AN365" i="28"/>
  <c r="BI365" i="28" s="1"/>
  <c r="AI258" i="28"/>
  <c r="BD258" i="28" s="1"/>
  <c r="AJ258" i="28"/>
  <c r="BE258" i="28" s="1"/>
  <c r="Z258" i="28"/>
  <c r="AL258" i="28"/>
  <c r="BG258" i="28" s="1"/>
  <c r="AA258" i="28"/>
  <c r="AV258" i="28" s="1"/>
  <c r="AM258" i="28"/>
  <c r="BH258" i="28" s="1"/>
  <c r="AB258" i="28"/>
  <c r="AW258" i="28" s="1"/>
  <c r="AN258" i="28"/>
  <c r="BI258" i="28" s="1"/>
  <c r="AC258" i="28"/>
  <c r="AX258" i="28" s="1"/>
  <c r="AO258" i="28"/>
  <c r="BJ258" i="28" s="1"/>
  <c r="AD258" i="28"/>
  <c r="AY258" i="28" s="1"/>
  <c r="AP258" i="28"/>
  <c r="BK258" i="28" s="1"/>
  <c r="AF258" i="28"/>
  <c r="BA258" i="28" s="1"/>
  <c r="AR258" i="28"/>
  <c r="BM258" i="28" s="1"/>
  <c r="AG258" i="28"/>
  <c r="BB258" i="28" s="1"/>
  <c r="Y258" i="28"/>
  <c r="AT258" i="28" s="1"/>
  <c r="AE258" i="28"/>
  <c r="AZ258" i="28" s="1"/>
  <c r="AH258" i="28"/>
  <c r="BC258" i="28" s="1"/>
  <c r="AK258" i="28"/>
  <c r="BF258" i="28" s="1"/>
  <c r="AQ258" i="28"/>
  <c r="BL258" i="28" s="1"/>
  <c r="AG330" i="28"/>
  <c r="BB330" i="28" s="1"/>
  <c r="AH330" i="28"/>
  <c r="BC330" i="28" s="1"/>
  <c r="AI330" i="28"/>
  <c r="BD330" i="28" s="1"/>
  <c r="AJ330" i="28"/>
  <c r="BE330" i="28" s="1"/>
  <c r="Y330" i="28"/>
  <c r="AT330" i="28" s="1"/>
  <c r="AK330" i="28"/>
  <c r="BF330" i="28" s="1"/>
  <c r="Z330" i="28"/>
  <c r="AL330" i="28"/>
  <c r="BG330" i="28" s="1"/>
  <c r="AA330" i="28"/>
  <c r="AV330" i="28" s="1"/>
  <c r="AM330" i="28"/>
  <c r="BH330" i="28" s="1"/>
  <c r="AB330" i="28"/>
  <c r="AW330" i="28" s="1"/>
  <c r="AN330" i="28"/>
  <c r="BI330" i="28" s="1"/>
  <c r="AC330" i="28"/>
  <c r="AX330" i="28" s="1"/>
  <c r="AO330" i="28"/>
  <c r="BJ330" i="28" s="1"/>
  <c r="AD330" i="28"/>
  <c r="AY330" i="28" s="1"/>
  <c r="AP330" i="28"/>
  <c r="BK330" i="28" s="1"/>
  <c r="AE330" i="28"/>
  <c r="AZ330" i="28" s="1"/>
  <c r="AQ330" i="28"/>
  <c r="BL330" i="28" s="1"/>
  <c r="AF330" i="28"/>
  <c r="BA330" i="28" s="1"/>
  <c r="AR330" i="28"/>
  <c r="BM330" i="28" s="1"/>
  <c r="AB223" i="28"/>
  <c r="AW223" i="28" s="1"/>
  <c r="AN223" i="28"/>
  <c r="BI223" i="28" s="1"/>
  <c r="AC223" i="28"/>
  <c r="AX223" i="28" s="1"/>
  <c r="AO223" i="28"/>
  <c r="BJ223" i="28" s="1"/>
  <c r="AE223" i="28"/>
  <c r="AZ223" i="28" s="1"/>
  <c r="AQ223" i="28"/>
  <c r="BL223" i="28" s="1"/>
  <c r="AF223" i="28"/>
  <c r="BA223" i="28" s="1"/>
  <c r="AR223" i="28"/>
  <c r="BM223" i="28" s="1"/>
  <c r="AG223" i="28"/>
  <c r="BB223" i="28" s="1"/>
  <c r="AH223" i="28"/>
  <c r="BC223" i="28" s="1"/>
  <c r="AI223" i="28"/>
  <c r="BD223" i="28" s="1"/>
  <c r="Y223" i="28"/>
  <c r="AT223" i="28" s="1"/>
  <c r="AK223" i="28"/>
  <c r="BF223" i="28" s="1"/>
  <c r="Z223" i="28"/>
  <c r="AL223" i="28"/>
  <c r="BG223" i="28" s="1"/>
  <c r="AA223" i="28"/>
  <c r="AV223" i="28" s="1"/>
  <c r="AD223" i="28"/>
  <c r="AY223" i="28" s="1"/>
  <c r="AJ223" i="28"/>
  <c r="BE223" i="28" s="1"/>
  <c r="AM223" i="28"/>
  <c r="BH223" i="28" s="1"/>
  <c r="AP223" i="28"/>
  <c r="BK223" i="28" s="1"/>
  <c r="AA295" i="28"/>
  <c r="AV295" i="28" s="1"/>
  <c r="AM295" i="28"/>
  <c r="BH295" i="28" s="1"/>
  <c r="AB295" i="28"/>
  <c r="AW295" i="28" s="1"/>
  <c r="AN295" i="28"/>
  <c r="BI295" i="28" s="1"/>
  <c r="AD295" i="28"/>
  <c r="AY295" i="28" s="1"/>
  <c r="AP295" i="28"/>
  <c r="BK295" i="28" s="1"/>
  <c r="AE295" i="28"/>
  <c r="AZ295" i="28" s="1"/>
  <c r="AQ295" i="28"/>
  <c r="BL295" i="28" s="1"/>
  <c r="AF295" i="28"/>
  <c r="BA295" i="28" s="1"/>
  <c r="AR295" i="28"/>
  <c r="BM295" i="28" s="1"/>
  <c r="AG295" i="28"/>
  <c r="BB295" i="28" s="1"/>
  <c r="AH295" i="28"/>
  <c r="BC295" i="28" s="1"/>
  <c r="AJ295" i="28"/>
  <c r="BE295" i="28" s="1"/>
  <c r="Y295" i="28"/>
  <c r="AT295" i="28" s="1"/>
  <c r="AK295" i="28"/>
  <c r="BF295" i="28" s="1"/>
  <c r="AI295" i="28"/>
  <c r="BD295" i="28" s="1"/>
  <c r="AL295" i="28"/>
  <c r="BG295" i="28" s="1"/>
  <c r="AO295" i="28"/>
  <c r="BJ295" i="28" s="1"/>
  <c r="Z295" i="28"/>
  <c r="AC295" i="28"/>
  <c r="AX295" i="28" s="1"/>
  <c r="Y367" i="28"/>
  <c r="AT367" i="28" s="1"/>
  <c r="AK367" i="28"/>
  <c r="Z367" i="28"/>
  <c r="AL367" i="28"/>
  <c r="AA367" i="28"/>
  <c r="AM367" i="28"/>
  <c r="AB367" i="28"/>
  <c r="AN367" i="28"/>
  <c r="AC367" i="28"/>
  <c r="AO367" i="28"/>
  <c r="AD367" i="28"/>
  <c r="AP367" i="28"/>
  <c r="AE367" i="28"/>
  <c r="AQ367" i="28"/>
  <c r="AF367" i="28"/>
  <c r="AR367" i="28"/>
  <c r="AG367" i="28"/>
  <c r="AH367" i="28"/>
  <c r="AI367" i="28"/>
  <c r="AJ367" i="28"/>
  <c r="AE266" i="28"/>
  <c r="AZ266" i="28" s="1"/>
  <c r="AQ266" i="28"/>
  <c r="BL266" i="28" s="1"/>
  <c r="AF266" i="28"/>
  <c r="BA266" i="28" s="1"/>
  <c r="AR266" i="28"/>
  <c r="BM266" i="28" s="1"/>
  <c r="AH266" i="28"/>
  <c r="BC266" i="28" s="1"/>
  <c r="AI266" i="28"/>
  <c r="BD266" i="28" s="1"/>
  <c r="AJ266" i="28"/>
  <c r="BE266" i="28" s="1"/>
  <c r="Y266" i="28"/>
  <c r="AT266" i="28" s="1"/>
  <c r="AK266" i="28"/>
  <c r="BF266" i="28" s="1"/>
  <c r="Z266" i="28"/>
  <c r="AL266" i="28"/>
  <c r="BG266" i="28" s="1"/>
  <c r="AB266" i="28"/>
  <c r="AW266" i="28" s="1"/>
  <c r="AN266" i="28"/>
  <c r="BI266" i="28" s="1"/>
  <c r="AC266" i="28"/>
  <c r="AX266" i="28" s="1"/>
  <c r="AO266" i="28"/>
  <c r="BJ266" i="28" s="1"/>
  <c r="AM266" i="28"/>
  <c r="BH266" i="28" s="1"/>
  <c r="AP266" i="28"/>
  <c r="BK266" i="28" s="1"/>
  <c r="AA266" i="28"/>
  <c r="AV266" i="28" s="1"/>
  <c r="AD266" i="28"/>
  <c r="AY266" i="28" s="1"/>
  <c r="AG266" i="28"/>
  <c r="BB266" i="28" s="1"/>
  <c r="AC338" i="28"/>
  <c r="AX338" i="28" s="1"/>
  <c r="AO338" i="28"/>
  <c r="BJ338" i="28" s="1"/>
  <c r="AD338" i="28"/>
  <c r="AY338" i="28" s="1"/>
  <c r="AP338" i="28"/>
  <c r="BK338" i="28" s="1"/>
  <c r="AE338" i="28"/>
  <c r="AZ338" i="28" s="1"/>
  <c r="AQ338" i="28"/>
  <c r="BL338" i="28" s="1"/>
  <c r="AF338" i="28"/>
  <c r="BA338" i="28" s="1"/>
  <c r="AR338" i="28"/>
  <c r="BM338" i="28" s="1"/>
  <c r="AG338" i="28"/>
  <c r="BB338" i="28" s="1"/>
  <c r="AH338" i="28"/>
  <c r="BC338" i="28" s="1"/>
  <c r="AI338" i="28"/>
  <c r="BD338" i="28" s="1"/>
  <c r="AJ338" i="28"/>
  <c r="BE338" i="28" s="1"/>
  <c r="Y338" i="28"/>
  <c r="AT338" i="28" s="1"/>
  <c r="AK338" i="28"/>
  <c r="BF338" i="28" s="1"/>
  <c r="Z338" i="28"/>
  <c r="AL338" i="28"/>
  <c r="BG338" i="28" s="1"/>
  <c r="AA338" i="28"/>
  <c r="AV338" i="28" s="1"/>
  <c r="AM338" i="28"/>
  <c r="BH338" i="28" s="1"/>
  <c r="AB338" i="28"/>
  <c r="AW338" i="28" s="1"/>
  <c r="AN338" i="28"/>
  <c r="BI338" i="28" s="1"/>
  <c r="BJ396" i="30"/>
  <c r="BG396" i="30"/>
  <c r="AB148" i="24"/>
  <c r="AW148" i="24" s="1"/>
  <c r="AN148" i="24"/>
  <c r="BI148" i="24" s="1"/>
  <c r="AC148" i="24"/>
  <c r="AX148" i="24" s="1"/>
  <c r="AO148" i="24"/>
  <c r="BJ148" i="24" s="1"/>
  <c r="AD148" i="24"/>
  <c r="AY148" i="24" s="1"/>
  <c r="AP148" i="24"/>
  <c r="BK148" i="24" s="1"/>
  <c r="AE148" i="24"/>
  <c r="AZ148" i="24" s="1"/>
  <c r="AQ148" i="24"/>
  <c r="BL148" i="24" s="1"/>
  <c r="AF148" i="24"/>
  <c r="BA148" i="24" s="1"/>
  <c r="AR148" i="24"/>
  <c r="BM148" i="24" s="1"/>
  <c r="AG148" i="24"/>
  <c r="BB148" i="24" s="1"/>
  <c r="AH148" i="24"/>
  <c r="BC148" i="24" s="1"/>
  <c r="AI148" i="24"/>
  <c r="BD148" i="24" s="1"/>
  <c r="AJ148" i="24"/>
  <c r="BE148" i="24" s="1"/>
  <c r="AK148" i="24"/>
  <c r="BF148" i="24" s="1"/>
  <c r="Z148" i="24"/>
  <c r="AL148" i="24"/>
  <c r="BG148" i="24" s="1"/>
  <c r="Y148" i="24"/>
  <c r="AT148" i="24" s="1"/>
  <c r="AA148" i="24"/>
  <c r="AV148" i="24" s="1"/>
  <c r="AM148" i="24"/>
  <c r="BH148" i="24" s="1"/>
  <c r="AH154" i="24"/>
  <c r="BC154" i="24" s="1"/>
  <c r="AI154" i="24"/>
  <c r="BD154" i="24" s="1"/>
  <c r="AJ154" i="24"/>
  <c r="BE154" i="24" s="1"/>
  <c r="AK154" i="24"/>
  <c r="BF154" i="24" s="1"/>
  <c r="Z154" i="24"/>
  <c r="AL154" i="24"/>
  <c r="BG154" i="24" s="1"/>
  <c r="AA154" i="24"/>
  <c r="AV154" i="24" s="1"/>
  <c r="AM154" i="24"/>
  <c r="BH154" i="24" s="1"/>
  <c r="AB154" i="24"/>
  <c r="AW154" i="24" s="1"/>
  <c r="AN154" i="24"/>
  <c r="BI154" i="24" s="1"/>
  <c r="AC154" i="24"/>
  <c r="AX154" i="24" s="1"/>
  <c r="AO154" i="24"/>
  <c r="BJ154" i="24" s="1"/>
  <c r="AD154" i="24"/>
  <c r="AY154" i="24" s="1"/>
  <c r="AP154" i="24"/>
  <c r="BK154" i="24" s="1"/>
  <c r="AE154" i="24"/>
  <c r="AZ154" i="24" s="1"/>
  <c r="AQ154" i="24"/>
  <c r="BL154" i="24" s="1"/>
  <c r="AF154" i="24"/>
  <c r="BA154" i="24" s="1"/>
  <c r="AR154" i="24"/>
  <c r="BM154" i="24" s="1"/>
  <c r="AG154" i="24"/>
  <c r="BB154" i="24" s="1"/>
  <c r="Y154" i="24"/>
  <c r="AT154" i="24" s="1"/>
  <c r="Z162" i="24"/>
  <c r="AL162" i="24"/>
  <c r="BG162" i="24" s="1"/>
  <c r="AA162" i="24"/>
  <c r="AV162" i="24" s="1"/>
  <c r="AM162" i="24"/>
  <c r="BH162" i="24" s="1"/>
  <c r="AB162" i="24"/>
  <c r="AW162" i="24" s="1"/>
  <c r="AN162" i="24"/>
  <c r="BI162" i="24" s="1"/>
  <c r="AC162" i="24"/>
  <c r="AX162" i="24" s="1"/>
  <c r="AO162" i="24"/>
  <c r="BJ162" i="24" s="1"/>
  <c r="AD162" i="24"/>
  <c r="AY162" i="24" s="1"/>
  <c r="AP162" i="24"/>
  <c r="BK162" i="24" s="1"/>
  <c r="AE162" i="24"/>
  <c r="AZ162" i="24" s="1"/>
  <c r="AQ162" i="24"/>
  <c r="BL162" i="24" s="1"/>
  <c r="AF162" i="24"/>
  <c r="BA162" i="24" s="1"/>
  <c r="AR162" i="24"/>
  <c r="BM162" i="24" s="1"/>
  <c r="AG162" i="24"/>
  <c r="BB162" i="24" s="1"/>
  <c r="AH162" i="24"/>
  <c r="BC162" i="24" s="1"/>
  <c r="AI162" i="24"/>
  <c r="BD162" i="24" s="1"/>
  <c r="AJ162" i="24"/>
  <c r="BE162" i="24" s="1"/>
  <c r="AK162" i="24"/>
  <c r="BF162" i="24" s="1"/>
  <c r="Y162" i="24"/>
  <c r="AT162" i="24" s="1"/>
  <c r="AC349" i="24"/>
  <c r="AX349" i="24" s="1"/>
  <c r="AO349" i="24"/>
  <c r="BJ349" i="24" s="1"/>
  <c r="AD349" i="24"/>
  <c r="AY349" i="24" s="1"/>
  <c r="AP349" i="24"/>
  <c r="BK349" i="24" s="1"/>
  <c r="AE349" i="24"/>
  <c r="AZ349" i="24" s="1"/>
  <c r="AQ349" i="24"/>
  <c r="BL349" i="24" s="1"/>
  <c r="AF349" i="24"/>
  <c r="BA349" i="24" s="1"/>
  <c r="AR349" i="24"/>
  <c r="BM349" i="24" s="1"/>
  <c r="AG349" i="24"/>
  <c r="BB349" i="24" s="1"/>
  <c r="AH349" i="24"/>
  <c r="BC349" i="24" s="1"/>
  <c r="AI349" i="24"/>
  <c r="BD349" i="24" s="1"/>
  <c r="AJ349" i="24"/>
  <c r="BE349" i="24" s="1"/>
  <c r="Y349" i="24"/>
  <c r="AT349" i="24" s="1"/>
  <c r="AK349" i="24"/>
  <c r="BF349" i="24" s="1"/>
  <c r="AB349" i="24"/>
  <c r="AW349" i="24" s="1"/>
  <c r="Z349" i="24"/>
  <c r="AL349" i="24"/>
  <c r="BG349" i="24" s="1"/>
  <c r="AN349" i="24"/>
  <c r="BI349" i="24" s="1"/>
  <c r="AA349" i="24"/>
  <c r="AV349" i="24" s="1"/>
  <c r="AM349" i="24"/>
  <c r="BH349" i="24" s="1"/>
  <c r="AD67" i="24"/>
  <c r="AY67" i="24" s="1"/>
  <c r="AP67" i="24"/>
  <c r="BK67" i="24" s="1"/>
  <c r="AE67" i="24"/>
  <c r="AZ67" i="24" s="1"/>
  <c r="AQ67" i="24"/>
  <c r="BL67" i="24" s="1"/>
  <c r="AF67" i="24"/>
  <c r="BA67" i="24" s="1"/>
  <c r="AR67" i="24"/>
  <c r="BM67" i="24" s="1"/>
  <c r="AG67" i="24"/>
  <c r="BB67" i="24" s="1"/>
  <c r="AH67" i="24"/>
  <c r="BC67" i="24" s="1"/>
  <c r="AI67" i="24"/>
  <c r="BD67" i="24" s="1"/>
  <c r="AJ67" i="24"/>
  <c r="BE67" i="24" s="1"/>
  <c r="AK67" i="24"/>
  <c r="BF67" i="24" s="1"/>
  <c r="Z67" i="24"/>
  <c r="AL67" i="24"/>
  <c r="BG67" i="24" s="1"/>
  <c r="AA67" i="24"/>
  <c r="AV67" i="24" s="1"/>
  <c r="AM67" i="24"/>
  <c r="BH67" i="24" s="1"/>
  <c r="AB67" i="24"/>
  <c r="AW67" i="24" s="1"/>
  <c r="AN67" i="24"/>
  <c r="BI67" i="24" s="1"/>
  <c r="AC67" i="24"/>
  <c r="AX67" i="24" s="1"/>
  <c r="AO67" i="24"/>
  <c r="BJ67" i="24" s="1"/>
  <c r="Y67" i="24"/>
  <c r="AT67" i="24" s="1"/>
  <c r="AK145" i="24"/>
  <c r="BF145" i="24" s="1"/>
  <c r="Z145" i="24"/>
  <c r="AL145" i="24"/>
  <c r="BG145" i="24" s="1"/>
  <c r="AA145" i="24"/>
  <c r="AV145" i="24" s="1"/>
  <c r="AM145" i="24"/>
  <c r="BH145" i="24" s="1"/>
  <c r="AB145" i="24"/>
  <c r="AW145" i="24" s="1"/>
  <c r="AN145" i="24"/>
  <c r="BI145" i="24" s="1"/>
  <c r="AC145" i="24"/>
  <c r="AX145" i="24" s="1"/>
  <c r="AO145" i="24"/>
  <c r="BJ145" i="24" s="1"/>
  <c r="AD145" i="24"/>
  <c r="AY145" i="24" s="1"/>
  <c r="AP145" i="24"/>
  <c r="BK145" i="24" s="1"/>
  <c r="AE145" i="24"/>
  <c r="AZ145" i="24" s="1"/>
  <c r="AQ145" i="24"/>
  <c r="BL145" i="24" s="1"/>
  <c r="AF145" i="24"/>
  <c r="BA145" i="24" s="1"/>
  <c r="AR145" i="24"/>
  <c r="BM145" i="24" s="1"/>
  <c r="AG145" i="24"/>
  <c r="BB145" i="24" s="1"/>
  <c r="AH145" i="24"/>
  <c r="BC145" i="24" s="1"/>
  <c r="AI145" i="24"/>
  <c r="BD145" i="24" s="1"/>
  <c r="Y145" i="24"/>
  <c r="AT145" i="24" s="1"/>
  <c r="AJ145" i="24"/>
  <c r="BE145" i="24" s="1"/>
  <c r="AC301" i="24"/>
  <c r="AX301" i="24" s="1"/>
  <c r="AO301" i="24"/>
  <c r="BJ301" i="24" s="1"/>
  <c r="Y301" i="24"/>
  <c r="AT301" i="24" s="1"/>
  <c r="AD301" i="24"/>
  <c r="AY301" i="24" s="1"/>
  <c r="AP301" i="24"/>
  <c r="BK301" i="24" s="1"/>
  <c r="AE301" i="24"/>
  <c r="AZ301" i="24" s="1"/>
  <c r="AQ301" i="24"/>
  <c r="BL301" i="24" s="1"/>
  <c r="AF301" i="24"/>
  <c r="BA301" i="24" s="1"/>
  <c r="AR301" i="24"/>
  <c r="BM301" i="24" s="1"/>
  <c r="AB301" i="24"/>
  <c r="AW301" i="24" s="1"/>
  <c r="AG301" i="24"/>
  <c r="BB301" i="24" s="1"/>
  <c r="AH301" i="24"/>
  <c r="BC301" i="24" s="1"/>
  <c r="AI301" i="24"/>
  <c r="BD301" i="24" s="1"/>
  <c r="AN301" i="24"/>
  <c r="BI301" i="24" s="1"/>
  <c r="AJ301" i="24"/>
  <c r="BE301" i="24" s="1"/>
  <c r="AK301" i="24"/>
  <c r="BF301" i="24" s="1"/>
  <c r="Z301" i="24"/>
  <c r="AL301" i="24"/>
  <c r="BG301" i="24" s="1"/>
  <c r="AA301" i="24"/>
  <c r="AV301" i="24" s="1"/>
  <c r="AM301" i="24"/>
  <c r="BH301" i="24" s="1"/>
  <c r="AI267" i="24"/>
  <c r="BD267" i="24" s="1"/>
  <c r="AJ267" i="24"/>
  <c r="BE267" i="24" s="1"/>
  <c r="AK267" i="24"/>
  <c r="BF267" i="24" s="1"/>
  <c r="Z267" i="24"/>
  <c r="AL267" i="24"/>
  <c r="BG267" i="24" s="1"/>
  <c r="AA267" i="24"/>
  <c r="AV267" i="24" s="1"/>
  <c r="AM267" i="24"/>
  <c r="BH267" i="24" s="1"/>
  <c r="AB267" i="24"/>
  <c r="AW267" i="24" s="1"/>
  <c r="AN267" i="24"/>
  <c r="BI267" i="24" s="1"/>
  <c r="AC267" i="24"/>
  <c r="AX267" i="24" s="1"/>
  <c r="AO267" i="24"/>
  <c r="BJ267" i="24" s="1"/>
  <c r="AD267" i="24"/>
  <c r="AY267" i="24" s="1"/>
  <c r="AP267" i="24"/>
  <c r="BK267" i="24" s="1"/>
  <c r="AE267" i="24"/>
  <c r="AZ267" i="24" s="1"/>
  <c r="AQ267" i="24"/>
  <c r="BL267" i="24" s="1"/>
  <c r="AF267" i="24"/>
  <c r="BA267" i="24" s="1"/>
  <c r="AR267" i="24"/>
  <c r="BM267" i="24" s="1"/>
  <c r="AG267" i="24"/>
  <c r="BB267" i="24" s="1"/>
  <c r="AH267" i="24"/>
  <c r="BC267" i="24" s="1"/>
  <c r="Y267" i="24"/>
  <c r="AT267" i="24" s="1"/>
  <c r="AH274" i="24"/>
  <c r="BC274" i="24" s="1"/>
  <c r="AI274" i="24"/>
  <c r="BD274" i="24" s="1"/>
  <c r="AJ274" i="24"/>
  <c r="BE274" i="24" s="1"/>
  <c r="AK274" i="24"/>
  <c r="BF274" i="24" s="1"/>
  <c r="Z274" i="24"/>
  <c r="AL274" i="24"/>
  <c r="BG274" i="24" s="1"/>
  <c r="AA274" i="24"/>
  <c r="AV274" i="24" s="1"/>
  <c r="AM274" i="24"/>
  <c r="BH274" i="24" s="1"/>
  <c r="AB274" i="24"/>
  <c r="AW274" i="24" s="1"/>
  <c r="AN274" i="24"/>
  <c r="BI274" i="24" s="1"/>
  <c r="AC274" i="24"/>
  <c r="AX274" i="24" s="1"/>
  <c r="AO274" i="24"/>
  <c r="BJ274" i="24" s="1"/>
  <c r="AD274" i="24"/>
  <c r="AY274" i="24" s="1"/>
  <c r="AP274" i="24"/>
  <c r="BK274" i="24" s="1"/>
  <c r="AE274" i="24"/>
  <c r="AZ274" i="24" s="1"/>
  <c r="AQ274" i="24"/>
  <c r="BL274" i="24" s="1"/>
  <c r="AF274" i="24"/>
  <c r="BA274" i="24" s="1"/>
  <c r="AR274" i="24"/>
  <c r="BM274" i="24" s="1"/>
  <c r="Y274" i="24"/>
  <c r="AT274" i="24" s="1"/>
  <c r="AG274" i="24"/>
  <c r="BB274" i="24" s="1"/>
  <c r="AA155" i="24"/>
  <c r="AV155" i="24" s="1"/>
  <c r="AM155" i="24"/>
  <c r="BH155" i="24" s="1"/>
  <c r="AB155" i="24"/>
  <c r="AW155" i="24" s="1"/>
  <c r="AN155" i="24"/>
  <c r="BI155" i="24" s="1"/>
  <c r="AC155" i="24"/>
  <c r="AX155" i="24" s="1"/>
  <c r="AO155" i="24"/>
  <c r="BJ155" i="24" s="1"/>
  <c r="AD155" i="24"/>
  <c r="AY155" i="24" s="1"/>
  <c r="AP155" i="24"/>
  <c r="BK155" i="24" s="1"/>
  <c r="AE155" i="24"/>
  <c r="AZ155" i="24" s="1"/>
  <c r="AQ155" i="24"/>
  <c r="BL155" i="24" s="1"/>
  <c r="AF155" i="24"/>
  <c r="BA155" i="24" s="1"/>
  <c r="AR155" i="24"/>
  <c r="BM155" i="24" s="1"/>
  <c r="AG155" i="24"/>
  <c r="BB155" i="24" s="1"/>
  <c r="AH155" i="24"/>
  <c r="BC155" i="24" s="1"/>
  <c r="AI155" i="24"/>
  <c r="BD155" i="24" s="1"/>
  <c r="AJ155" i="24"/>
  <c r="BE155" i="24" s="1"/>
  <c r="AK155" i="24"/>
  <c r="BF155" i="24" s="1"/>
  <c r="Z155" i="24"/>
  <c r="AL155" i="24"/>
  <c r="BG155" i="24" s="1"/>
  <c r="Y155" i="24"/>
  <c r="AT155" i="24" s="1"/>
  <c r="AH326" i="24"/>
  <c r="BC326" i="24" s="1"/>
  <c r="Y326" i="24"/>
  <c r="AT326" i="24" s="1"/>
  <c r="AI326" i="24"/>
  <c r="BD326" i="24" s="1"/>
  <c r="AJ326" i="24"/>
  <c r="BE326" i="24" s="1"/>
  <c r="AK326" i="24"/>
  <c r="BF326" i="24" s="1"/>
  <c r="Z326" i="24"/>
  <c r="AL326" i="24"/>
  <c r="BG326" i="24" s="1"/>
  <c r="AA326" i="24"/>
  <c r="AV326" i="24" s="1"/>
  <c r="AM326" i="24"/>
  <c r="BH326" i="24" s="1"/>
  <c r="AB326" i="24"/>
  <c r="AW326" i="24" s="1"/>
  <c r="AN326" i="24"/>
  <c r="BI326" i="24" s="1"/>
  <c r="AC326" i="24"/>
  <c r="AX326" i="24" s="1"/>
  <c r="AO326" i="24"/>
  <c r="BJ326" i="24" s="1"/>
  <c r="AD326" i="24"/>
  <c r="AY326" i="24" s="1"/>
  <c r="AP326" i="24"/>
  <c r="BK326" i="24" s="1"/>
  <c r="AG326" i="24"/>
  <c r="BB326" i="24" s="1"/>
  <c r="AE326" i="24"/>
  <c r="AZ326" i="24" s="1"/>
  <c r="AQ326" i="24"/>
  <c r="BL326" i="24" s="1"/>
  <c r="AF326" i="24"/>
  <c r="BA326" i="24" s="1"/>
  <c r="AR326" i="24"/>
  <c r="BM326" i="24" s="1"/>
  <c r="AG257" i="24"/>
  <c r="BB257" i="24" s="1"/>
  <c r="AH257" i="24"/>
  <c r="BC257" i="24" s="1"/>
  <c r="AI257" i="24"/>
  <c r="BD257" i="24" s="1"/>
  <c r="AJ257" i="24"/>
  <c r="BE257" i="24" s="1"/>
  <c r="AK257" i="24"/>
  <c r="BF257" i="24" s="1"/>
  <c r="Z257" i="24"/>
  <c r="AL257" i="24"/>
  <c r="BG257" i="24" s="1"/>
  <c r="AA257" i="24"/>
  <c r="AV257" i="24" s="1"/>
  <c r="AM257" i="24"/>
  <c r="BH257" i="24" s="1"/>
  <c r="AB257" i="24"/>
  <c r="AW257" i="24" s="1"/>
  <c r="AN257" i="24"/>
  <c r="BI257" i="24" s="1"/>
  <c r="AC257" i="24"/>
  <c r="AX257" i="24" s="1"/>
  <c r="AO257" i="24"/>
  <c r="BJ257" i="24" s="1"/>
  <c r="AD257" i="24"/>
  <c r="AY257" i="24" s="1"/>
  <c r="AP257" i="24"/>
  <c r="BK257" i="24" s="1"/>
  <c r="AE257" i="24"/>
  <c r="AZ257" i="24" s="1"/>
  <c r="AQ257" i="24"/>
  <c r="BL257" i="24" s="1"/>
  <c r="Y257" i="24"/>
  <c r="AT257" i="24" s="1"/>
  <c r="AF257" i="24"/>
  <c r="BA257" i="24" s="1"/>
  <c r="AR257" i="24"/>
  <c r="BM257" i="24" s="1"/>
  <c r="AD182" i="24"/>
  <c r="AY182" i="24" s="1"/>
  <c r="AP182" i="24"/>
  <c r="BK182" i="24" s="1"/>
  <c r="AE182" i="24"/>
  <c r="AZ182" i="24" s="1"/>
  <c r="AQ182" i="24"/>
  <c r="BL182" i="24" s="1"/>
  <c r="AF182" i="24"/>
  <c r="BA182" i="24" s="1"/>
  <c r="AR182" i="24"/>
  <c r="BM182" i="24" s="1"/>
  <c r="AG182" i="24"/>
  <c r="BB182" i="24" s="1"/>
  <c r="AH182" i="24"/>
  <c r="BC182" i="24" s="1"/>
  <c r="AI182" i="24"/>
  <c r="BD182" i="24" s="1"/>
  <c r="AJ182" i="24"/>
  <c r="BE182" i="24" s="1"/>
  <c r="AK182" i="24"/>
  <c r="BF182" i="24" s="1"/>
  <c r="Z182" i="24"/>
  <c r="AL182" i="24"/>
  <c r="BG182" i="24" s="1"/>
  <c r="AA182" i="24"/>
  <c r="AV182" i="24" s="1"/>
  <c r="AM182" i="24"/>
  <c r="BH182" i="24" s="1"/>
  <c r="AB182" i="24"/>
  <c r="AW182" i="24" s="1"/>
  <c r="AN182" i="24"/>
  <c r="BI182" i="24" s="1"/>
  <c r="Y182" i="24"/>
  <c r="AT182" i="24" s="1"/>
  <c r="AC182" i="24"/>
  <c r="AX182" i="24" s="1"/>
  <c r="AO182" i="24"/>
  <c r="BJ182" i="24" s="1"/>
  <c r="AA299" i="24"/>
  <c r="AV299" i="24" s="1"/>
  <c r="AM299" i="24"/>
  <c r="BH299" i="24" s="1"/>
  <c r="AB299" i="24"/>
  <c r="AW299" i="24" s="1"/>
  <c r="AN299" i="24"/>
  <c r="BI299" i="24" s="1"/>
  <c r="AC299" i="24"/>
  <c r="AX299" i="24" s="1"/>
  <c r="AO299" i="24"/>
  <c r="BJ299" i="24" s="1"/>
  <c r="AD299" i="24"/>
  <c r="AY299" i="24" s="1"/>
  <c r="AP299" i="24"/>
  <c r="BK299" i="24" s="1"/>
  <c r="AE299" i="24"/>
  <c r="AZ299" i="24" s="1"/>
  <c r="AQ299" i="24"/>
  <c r="BL299" i="24" s="1"/>
  <c r="AF299" i="24"/>
  <c r="BA299" i="24" s="1"/>
  <c r="AR299" i="24"/>
  <c r="BM299" i="24" s="1"/>
  <c r="AG299" i="24"/>
  <c r="BB299" i="24" s="1"/>
  <c r="AH299" i="24"/>
  <c r="BC299" i="24" s="1"/>
  <c r="AI299" i="24"/>
  <c r="BD299" i="24" s="1"/>
  <c r="AJ299" i="24"/>
  <c r="BE299" i="24" s="1"/>
  <c r="AK299" i="24"/>
  <c r="BF299" i="24" s="1"/>
  <c r="Z299" i="24"/>
  <c r="AL299" i="24"/>
  <c r="BG299" i="24" s="1"/>
  <c r="Y299" i="24"/>
  <c r="AT299" i="24" s="1"/>
  <c r="AI92" i="24"/>
  <c r="BD92" i="24" s="1"/>
  <c r="AJ92" i="24"/>
  <c r="BE92" i="24" s="1"/>
  <c r="AK92" i="24"/>
  <c r="BF92" i="24" s="1"/>
  <c r="Z92" i="24"/>
  <c r="AL92" i="24"/>
  <c r="BG92" i="24" s="1"/>
  <c r="AA92" i="24"/>
  <c r="AV92" i="24" s="1"/>
  <c r="AM92" i="24"/>
  <c r="BH92" i="24" s="1"/>
  <c r="AB92" i="24"/>
  <c r="AW92" i="24" s="1"/>
  <c r="AN92" i="24"/>
  <c r="BI92" i="24" s="1"/>
  <c r="AC92" i="24"/>
  <c r="AX92" i="24" s="1"/>
  <c r="AO92" i="24"/>
  <c r="BJ92" i="24" s="1"/>
  <c r="AD92" i="24"/>
  <c r="AY92" i="24" s="1"/>
  <c r="AP92" i="24"/>
  <c r="BK92" i="24" s="1"/>
  <c r="AE92" i="24"/>
  <c r="AZ92" i="24" s="1"/>
  <c r="AQ92" i="24"/>
  <c r="BL92" i="24" s="1"/>
  <c r="AF92" i="24"/>
  <c r="BA92" i="24" s="1"/>
  <c r="AR92" i="24"/>
  <c r="BM92" i="24" s="1"/>
  <c r="AG92" i="24"/>
  <c r="BB92" i="24" s="1"/>
  <c r="AH92" i="24"/>
  <c r="BC92" i="24" s="1"/>
  <c r="Y92" i="24"/>
  <c r="AT92" i="24" s="1"/>
  <c r="AC362" i="24"/>
  <c r="AO362" i="24"/>
  <c r="AN362" i="24"/>
  <c r="AD362" i="24"/>
  <c r="AP362" i="24"/>
  <c r="AE362" i="24"/>
  <c r="AQ362" i="24"/>
  <c r="AF362" i="24"/>
  <c r="AR362" i="24"/>
  <c r="AG362" i="24"/>
  <c r="AH362" i="24"/>
  <c r="AI362" i="24"/>
  <c r="AB362" i="24"/>
  <c r="AJ362" i="24"/>
  <c r="AK362" i="24"/>
  <c r="Z362" i="24"/>
  <c r="AL362" i="24"/>
  <c r="Y362" i="24"/>
  <c r="AT362" i="24" s="1"/>
  <c r="AA362" i="24"/>
  <c r="AM362" i="24"/>
  <c r="Z334" i="24"/>
  <c r="AL334" i="24"/>
  <c r="BG334" i="24" s="1"/>
  <c r="AA334" i="24"/>
  <c r="AV334" i="24" s="1"/>
  <c r="AM334" i="24"/>
  <c r="BH334" i="24" s="1"/>
  <c r="AB334" i="24"/>
  <c r="AW334" i="24" s="1"/>
  <c r="AN334" i="24"/>
  <c r="BI334" i="24" s="1"/>
  <c r="AC334" i="24"/>
  <c r="AX334" i="24" s="1"/>
  <c r="AO334" i="24"/>
  <c r="BJ334" i="24" s="1"/>
  <c r="AD334" i="24"/>
  <c r="AY334" i="24" s="1"/>
  <c r="AP334" i="24"/>
  <c r="BK334" i="24" s="1"/>
  <c r="AE334" i="24"/>
  <c r="AZ334" i="24" s="1"/>
  <c r="AQ334" i="24"/>
  <c r="BL334" i="24" s="1"/>
  <c r="AF334" i="24"/>
  <c r="BA334" i="24" s="1"/>
  <c r="AR334" i="24"/>
  <c r="BM334" i="24" s="1"/>
  <c r="AG334" i="24"/>
  <c r="BB334" i="24" s="1"/>
  <c r="Y334" i="24"/>
  <c r="AT334" i="24" s="1"/>
  <c r="AH334" i="24"/>
  <c r="BC334" i="24" s="1"/>
  <c r="AI334" i="24"/>
  <c r="BD334" i="24" s="1"/>
  <c r="AK334" i="24"/>
  <c r="BF334" i="24" s="1"/>
  <c r="AJ334" i="24"/>
  <c r="BE334" i="24" s="1"/>
  <c r="AI144" i="25"/>
  <c r="BD144" i="25" s="1"/>
  <c r="AJ144" i="25"/>
  <c r="BE144" i="25" s="1"/>
  <c r="Y144" i="25"/>
  <c r="AT144" i="25" s="1"/>
  <c r="AK144" i="25"/>
  <c r="BF144" i="25" s="1"/>
  <c r="Z144" i="25"/>
  <c r="AL144" i="25"/>
  <c r="BG144" i="25" s="1"/>
  <c r="AA144" i="25"/>
  <c r="AV144" i="25" s="1"/>
  <c r="AM144" i="25"/>
  <c r="BH144" i="25" s="1"/>
  <c r="AB144" i="25"/>
  <c r="AW144" i="25" s="1"/>
  <c r="AN144" i="25"/>
  <c r="BI144" i="25" s="1"/>
  <c r="AC144" i="25"/>
  <c r="AX144" i="25" s="1"/>
  <c r="AO144" i="25"/>
  <c r="BJ144" i="25" s="1"/>
  <c r="AD144" i="25"/>
  <c r="AY144" i="25" s="1"/>
  <c r="AP144" i="25"/>
  <c r="BK144" i="25" s="1"/>
  <c r="AE144" i="25"/>
  <c r="AZ144" i="25" s="1"/>
  <c r="AQ144" i="25"/>
  <c r="BL144" i="25" s="1"/>
  <c r="AF144" i="25"/>
  <c r="BA144" i="25" s="1"/>
  <c r="AR144" i="25"/>
  <c r="BM144" i="25" s="1"/>
  <c r="AG144" i="25"/>
  <c r="BB144" i="25" s="1"/>
  <c r="AH144" i="25"/>
  <c r="BC144" i="25" s="1"/>
  <c r="AA214" i="25"/>
  <c r="AV214" i="25" s="1"/>
  <c r="AM214" i="25"/>
  <c r="BH214" i="25" s="1"/>
  <c r="AB214" i="25"/>
  <c r="AW214" i="25" s="1"/>
  <c r="AN214" i="25"/>
  <c r="BI214" i="25" s="1"/>
  <c r="AC214" i="25"/>
  <c r="AX214" i="25" s="1"/>
  <c r="AO214" i="25"/>
  <c r="BJ214" i="25" s="1"/>
  <c r="AD214" i="25"/>
  <c r="AY214" i="25" s="1"/>
  <c r="AP214" i="25"/>
  <c r="BK214" i="25" s="1"/>
  <c r="AE214" i="25"/>
  <c r="AZ214" i="25" s="1"/>
  <c r="AQ214" i="25"/>
  <c r="BL214" i="25" s="1"/>
  <c r="AF214" i="25"/>
  <c r="BA214" i="25" s="1"/>
  <c r="AR214" i="25"/>
  <c r="BM214" i="25" s="1"/>
  <c r="AG214" i="25"/>
  <c r="BB214" i="25" s="1"/>
  <c r="AH214" i="25"/>
  <c r="BC214" i="25" s="1"/>
  <c r="AI214" i="25"/>
  <c r="BD214" i="25" s="1"/>
  <c r="AJ214" i="25"/>
  <c r="BE214" i="25" s="1"/>
  <c r="Y214" i="25"/>
  <c r="AT214" i="25" s="1"/>
  <c r="AK214" i="25"/>
  <c r="BF214" i="25" s="1"/>
  <c r="AL214" i="25"/>
  <c r="BG214" i="25" s="1"/>
  <c r="Z214" i="25"/>
  <c r="Z286" i="25"/>
  <c r="AL286" i="25"/>
  <c r="BG286" i="25" s="1"/>
  <c r="AA286" i="25"/>
  <c r="AV286" i="25" s="1"/>
  <c r="AM286" i="25"/>
  <c r="BH286" i="25" s="1"/>
  <c r="AB286" i="25"/>
  <c r="AW286" i="25" s="1"/>
  <c r="AN286" i="25"/>
  <c r="BI286" i="25" s="1"/>
  <c r="AC286" i="25"/>
  <c r="AX286" i="25" s="1"/>
  <c r="AO286" i="25"/>
  <c r="BJ286" i="25" s="1"/>
  <c r="AD286" i="25"/>
  <c r="AY286" i="25" s="1"/>
  <c r="AP286" i="25"/>
  <c r="BK286" i="25" s="1"/>
  <c r="AE286" i="25"/>
  <c r="AZ286" i="25" s="1"/>
  <c r="AQ286" i="25"/>
  <c r="BL286" i="25" s="1"/>
  <c r="AF286" i="25"/>
  <c r="BA286" i="25" s="1"/>
  <c r="AR286" i="25"/>
  <c r="BM286" i="25" s="1"/>
  <c r="AG286" i="25"/>
  <c r="BB286" i="25" s="1"/>
  <c r="AH286" i="25"/>
  <c r="BC286" i="25" s="1"/>
  <c r="AI286" i="25"/>
  <c r="BD286" i="25" s="1"/>
  <c r="AJ286" i="25"/>
  <c r="BE286" i="25" s="1"/>
  <c r="Y286" i="25"/>
  <c r="AT286" i="25" s="1"/>
  <c r="AK286" i="25"/>
  <c r="BF286" i="25" s="1"/>
  <c r="Z358" i="25"/>
  <c r="AL358" i="25"/>
  <c r="BG358" i="25" s="1"/>
  <c r="AA358" i="25"/>
  <c r="AV358" i="25" s="1"/>
  <c r="AM358" i="25"/>
  <c r="BH358" i="25" s="1"/>
  <c r="AB358" i="25"/>
  <c r="AW358" i="25" s="1"/>
  <c r="AN358" i="25"/>
  <c r="BI358" i="25" s="1"/>
  <c r="AC358" i="25"/>
  <c r="AX358" i="25" s="1"/>
  <c r="AO358" i="25"/>
  <c r="BJ358" i="25" s="1"/>
  <c r="AD358" i="25"/>
  <c r="AY358" i="25" s="1"/>
  <c r="AP358" i="25"/>
  <c r="BK358" i="25" s="1"/>
  <c r="AE358" i="25"/>
  <c r="AZ358" i="25" s="1"/>
  <c r="AQ358" i="25"/>
  <c r="BL358" i="25" s="1"/>
  <c r="AF358" i="25"/>
  <c r="BA358" i="25" s="1"/>
  <c r="AR358" i="25"/>
  <c r="BM358" i="25" s="1"/>
  <c r="AG358" i="25"/>
  <c r="BB358" i="25" s="1"/>
  <c r="AH358" i="25"/>
  <c r="BC358" i="25" s="1"/>
  <c r="AI358" i="25"/>
  <c r="BD358" i="25" s="1"/>
  <c r="AJ358" i="25"/>
  <c r="BE358" i="25" s="1"/>
  <c r="Y358" i="25"/>
  <c r="AT358" i="25" s="1"/>
  <c r="AK358" i="25"/>
  <c r="BF358" i="25" s="1"/>
  <c r="AE155" i="25"/>
  <c r="AZ155" i="25" s="1"/>
  <c r="AQ155" i="25"/>
  <c r="BL155" i="25" s="1"/>
  <c r="AF155" i="25"/>
  <c r="BA155" i="25" s="1"/>
  <c r="AR155" i="25"/>
  <c r="BM155" i="25" s="1"/>
  <c r="AG155" i="25"/>
  <c r="BB155" i="25" s="1"/>
  <c r="AH155" i="25"/>
  <c r="BC155" i="25" s="1"/>
  <c r="AI155" i="25"/>
  <c r="BD155" i="25" s="1"/>
  <c r="AJ155" i="25"/>
  <c r="BE155" i="25" s="1"/>
  <c r="Y155" i="25"/>
  <c r="AT155" i="25" s="1"/>
  <c r="AK155" i="25"/>
  <c r="BF155" i="25" s="1"/>
  <c r="Z155" i="25"/>
  <c r="AL155" i="25"/>
  <c r="BG155" i="25" s="1"/>
  <c r="AA155" i="25"/>
  <c r="AV155" i="25" s="1"/>
  <c r="AM155" i="25"/>
  <c r="BH155" i="25" s="1"/>
  <c r="AB155" i="25"/>
  <c r="AW155" i="25" s="1"/>
  <c r="AN155" i="25"/>
  <c r="BI155" i="25" s="1"/>
  <c r="AC155" i="25"/>
  <c r="AX155" i="25" s="1"/>
  <c r="AO155" i="25"/>
  <c r="BJ155" i="25" s="1"/>
  <c r="AD155" i="25"/>
  <c r="AY155" i="25" s="1"/>
  <c r="AP155" i="25"/>
  <c r="BK155" i="25" s="1"/>
  <c r="AE227" i="25"/>
  <c r="AZ227" i="25" s="1"/>
  <c r="AQ227" i="25"/>
  <c r="BL227" i="25" s="1"/>
  <c r="AF227" i="25"/>
  <c r="BA227" i="25" s="1"/>
  <c r="AR227" i="25"/>
  <c r="BM227" i="25" s="1"/>
  <c r="AG227" i="25"/>
  <c r="BB227" i="25" s="1"/>
  <c r="AH227" i="25"/>
  <c r="BC227" i="25" s="1"/>
  <c r="AI227" i="25"/>
  <c r="BD227" i="25" s="1"/>
  <c r="AJ227" i="25"/>
  <c r="BE227" i="25" s="1"/>
  <c r="Y227" i="25"/>
  <c r="AT227" i="25" s="1"/>
  <c r="AK227" i="25"/>
  <c r="BF227" i="25" s="1"/>
  <c r="Z227" i="25"/>
  <c r="AL227" i="25"/>
  <c r="BG227" i="25" s="1"/>
  <c r="AA227" i="25"/>
  <c r="AV227" i="25" s="1"/>
  <c r="AM227" i="25"/>
  <c r="BH227" i="25" s="1"/>
  <c r="AB227" i="25"/>
  <c r="AW227" i="25" s="1"/>
  <c r="AN227" i="25"/>
  <c r="BI227" i="25" s="1"/>
  <c r="AC227" i="25"/>
  <c r="AX227" i="25" s="1"/>
  <c r="AO227" i="25"/>
  <c r="BJ227" i="25" s="1"/>
  <c r="AD227" i="25"/>
  <c r="AY227" i="25" s="1"/>
  <c r="AP227" i="25"/>
  <c r="BK227" i="25" s="1"/>
  <c r="AD299" i="25"/>
  <c r="AY299" i="25" s="1"/>
  <c r="AP299" i="25"/>
  <c r="BK299" i="25" s="1"/>
  <c r="AE299" i="25"/>
  <c r="AZ299" i="25" s="1"/>
  <c r="AQ299" i="25"/>
  <c r="BL299" i="25" s="1"/>
  <c r="AF299" i="25"/>
  <c r="BA299" i="25" s="1"/>
  <c r="AR299" i="25"/>
  <c r="BM299" i="25" s="1"/>
  <c r="AG299" i="25"/>
  <c r="BB299" i="25" s="1"/>
  <c r="AH299" i="25"/>
  <c r="BC299" i="25" s="1"/>
  <c r="AI299" i="25"/>
  <c r="BD299" i="25" s="1"/>
  <c r="AJ299" i="25"/>
  <c r="BE299" i="25" s="1"/>
  <c r="Y299" i="25"/>
  <c r="AT299" i="25" s="1"/>
  <c r="AK299" i="25"/>
  <c r="BF299" i="25" s="1"/>
  <c r="Z299" i="25"/>
  <c r="AL299" i="25"/>
  <c r="BG299" i="25" s="1"/>
  <c r="AA299" i="25"/>
  <c r="AV299" i="25" s="1"/>
  <c r="AM299" i="25"/>
  <c r="BH299" i="25" s="1"/>
  <c r="AB299" i="25"/>
  <c r="AW299" i="25" s="1"/>
  <c r="AN299" i="25"/>
  <c r="BI299" i="25" s="1"/>
  <c r="AC299" i="25"/>
  <c r="AX299" i="25" s="1"/>
  <c r="AO299" i="25"/>
  <c r="BJ299" i="25" s="1"/>
  <c r="AD371" i="25"/>
  <c r="AP371" i="25"/>
  <c r="AE371" i="25"/>
  <c r="AQ371" i="25"/>
  <c r="AF371" i="25"/>
  <c r="AR371" i="25"/>
  <c r="AG371" i="25"/>
  <c r="AH371" i="25"/>
  <c r="AI371" i="25"/>
  <c r="AJ371" i="25"/>
  <c r="Y371" i="25"/>
  <c r="AT371" i="25" s="1"/>
  <c r="AK371" i="25"/>
  <c r="Z371" i="25"/>
  <c r="AL371" i="25"/>
  <c r="AA371" i="25"/>
  <c r="AM371" i="25"/>
  <c r="AB371" i="25"/>
  <c r="AN371" i="25"/>
  <c r="AC371" i="25"/>
  <c r="AO371" i="25"/>
  <c r="AI174" i="25"/>
  <c r="BD174" i="25" s="1"/>
  <c r="AJ174" i="25"/>
  <c r="BE174" i="25" s="1"/>
  <c r="Y174" i="25"/>
  <c r="AT174" i="25" s="1"/>
  <c r="AK174" i="25"/>
  <c r="BF174" i="25" s="1"/>
  <c r="Z174" i="25"/>
  <c r="AL174" i="25"/>
  <c r="BG174" i="25" s="1"/>
  <c r="AA174" i="25"/>
  <c r="AV174" i="25" s="1"/>
  <c r="AM174" i="25"/>
  <c r="BH174" i="25" s="1"/>
  <c r="AB174" i="25"/>
  <c r="AW174" i="25" s="1"/>
  <c r="AN174" i="25"/>
  <c r="BI174" i="25" s="1"/>
  <c r="AC174" i="25"/>
  <c r="AX174" i="25" s="1"/>
  <c r="AO174" i="25"/>
  <c r="BJ174" i="25" s="1"/>
  <c r="AD174" i="25"/>
  <c r="AY174" i="25" s="1"/>
  <c r="AP174" i="25"/>
  <c r="BK174" i="25" s="1"/>
  <c r="AE174" i="25"/>
  <c r="AZ174" i="25" s="1"/>
  <c r="AQ174" i="25"/>
  <c r="BL174" i="25" s="1"/>
  <c r="AF174" i="25"/>
  <c r="BA174" i="25" s="1"/>
  <c r="AR174" i="25"/>
  <c r="BM174" i="25" s="1"/>
  <c r="AG174" i="25"/>
  <c r="BB174" i="25" s="1"/>
  <c r="AH174" i="25"/>
  <c r="BC174" i="25" s="1"/>
  <c r="AH246" i="25"/>
  <c r="BC246" i="25" s="1"/>
  <c r="AI246" i="25"/>
  <c r="BD246" i="25" s="1"/>
  <c r="AJ246" i="25"/>
  <c r="BE246" i="25" s="1"/>
  <c r="Y246" i="25"/>
  <c r="AT246" i="25" s="1"/>
  <c r="AK246" i="25"/>
  <c r="BF246" i="25" s="1"/>
  <c r="Z246" i="25"/>
  <c r="AL246" i="25"/>
  <c r="BG246" i="25" s="1"/>
  <c r="AA246" i="25"/>
  <c r="AV246" i="25" s="1"/>
  <c r="AM246" i="25"/>
  <c r="BH246" i="25" s="1"/>
  <c r="AB246" i="25"/>
  <c r="AW246" i="25" s="1"/>
  <c r="AN246" i="25"/>
  <c r="BI246" i="25" s="1"/>
  <c r="AC246" i="25"/>
  <c r="AX246" i="25" s="1"/>
  <c r="AO246" i="25"/>
  <c r="BJ246" i="25" s="1"/>
  <c r="AD246" i="25"/>
  <c r="AY246" i="25" s="1"/>
  <c r="AP246" i="25"/>
  <c r="BK246" i="25" s="1"/>
  <c r="AE246" i="25"/>
  <c r="AZ246" i="25" s="1"/>
  <c r="AQ246" i="25"/>
  <c r="BL246" i="25" s="1"/>
  <c r="AF246" i="25"/>
  <c r="BA246" i="25" s="1"/>
  <c r="AR246" i="25"/>
  <c r="BM246" i="25" s="1"/>
  <c r="AG246" i="25"/>
  <c r="BB246" i="25" s="1"/>
  <c r="AH318" i="25"/>
  <c r="BC318" i="25" s="1"/>
  <c r="AI318" i="25"/>
  <c r="BD318" i="25" s="1"/>
  <c r="AJ318" i="25"/>
  <c r="BE318" i="25" s="1"/>
  <c r="Y318" i="25"/>
  <c r="AT318" i="25" s="1"/>
  <c r="AK318" i="25"/>
  <c r="BF318" i="25" s="1"/>
  <c r="Z318" i="25"/>
  <c r="AL318" i="25"/>
  <c r="BG318" i="25" s="1"/>
  <c r="AA318" i="25"/>
  <c r="AV318" i="25" s="1"/>
  <c r="AM318" i="25"/>
  <c r="BH318" i="25" s="1"/>
  <c r="AB318" i="25"/>
  <c r="AW318" i="25" s="1"/>
  <c r="AN318" i="25"/>
  <c r="BI318" i="25" s="1"/>
  <c r="AC318" i="25"/>
  <c r="AX318" i="25" s="1"/>
  <c r="AO318" i="25"/>
  <c r="BJ318" i="25" s="1"/>
  <c r="AD318" i="25"/>
  <c r="AY318" i="25" s="1"/>
  <c r="AP318" i="25"/>
  <c r="BK318" i="25" s="1"/>
  <c r="AE318" i="25"/>
  <c r="AZ318" i="25" s="1"/>
  <c r="AQ318" i="25"/>
  <c r="BL318" i="25" s="1"/>
  <c r="AF318" i="25"/>
  <c r="BA318" i="25" s="1"/>
  <c r="AR318" i="25"/>
  <c r="BM318" i="25" s="1"/>
  <c r="AG318" i="25"/>
  <c r="BB318" i="25" s="1"/>
  <c r="AI117" i="25"/>
  <c r="BD117" i="25" s="1"/>
  <c r="AJ117" i="25"/>
  <c r="BE117" i="25" s="1"/>
  <c r="Y117" i="25"/>
  <c r="AT117" i="25" s="1"/>
  <c r="AK117" i="25"/>
  <c r="BF117" i="25" s="1"/>
  <c r="Z117" i="25"/>
  <c r="AL117" i="25"/>
  <c r="BG117" i="25" s="1"/>
  <c r="AA117" i="25"/>
  <c r="AV117" i="25" s="1"/>
  <c r="AM117" i="25"/>
  <c r="BH117" i="25" s="1"/>
  <c r="AB117" i="25"/>
  <c r="AW117" i="25" s="1"/>
  <c r="AN117" i="25"/>
  <c r="BI117" i="25" s="1"/>
  <c r="AC117" i="25"/>
  <c r="AX117" i="25" s="1"/>
  <c r="AO117" i="25"/>
  <c r="BJ117" i="25" s="1"/>
  <c r="AD117" i="25"/>
  <c r="AY117" i="25" s="1"/>
  <c r="AP117" i="25"/>
  <c r="BK117" i="25" s="1"/>
  <c r="AE117" i="25"/>
  <c r="AZ117" i="25" s="1"/>
  <c r="AQ117" i="25"/>
  <c r="BL117" i="25" s="1"/>
  <c r="AF117" i="25"/>
  <c r="BA117" i="25" s="1"/>
  <c r="AR117" i="25"/>
  <c r="BM117" i="25" s="1"/>
  <c r="AG117" i="25"/>
  <c r="BB117" i="25" s="1"/>
  <c r="AH117" i="25"/>
  <c r="BC117" i="25" s="1"/>
  <c r="AA193" i="25"/>
  <c r="AV193" i="25" s="1"/>
  <c r="AM193" i="25"/>
  <c r="BH193" i="25" s="1"/>
  <c r="AB193" i="25"/>
  <c r="AW193" i="25" s="1"/>
  <c r="AN193" i="25"/>
  <c r="BI193" i="25" s="1"/>
  <c r="AC193" i="25"/>
  <c r="AX193" i="25" s="1"/>
  <c r="AO193" i="25"/>
  <c r="BJ193" i="25" s="1"/>
  <c r="AD193" i="25"/>
  <c r="AY193" i="25" s="1"/>
  <c r="AP193" i="25"/>
  <c r="BK193" i="25" s="1"/>
  <c r="AE193" i="25"/>
  <c r="AZ193" i="25" s="1"/>
  <c r="AQ193" i="25"/>
  <c r="BL193" i="25" s="1"/>
  <c r="AF193" i="25"/>
  <c r="BA193" i="25" s="1"/>
  <c r="AR193" i="25"/>
  <c r="BM193" i="25" s="1"/>
  <c r="AG193" i="25"/>
  <c r="BB193" i="25" s="1"/>
  <c r="AH193" i="25"/>
  <c r="BC193" i="25" s="1"/>
  <c r="AI193" i="25"/>
  <c r="BD193" i="25" s="1"/>
  <c r="AJ193" i="25"/>
  <c r="BE193" i="25" s="1"/>
  <c r="Y193" i="25"/>
  <c r="AT193" i="25" s="1"/>
  <c r="AK193" i="25"/>
  <c r="BF193" i="25" s="1"/>
  <c r="Z193" i="25"/>
  <c r="AL193" i="25"/>
  <c r="BG193" i="25" s="1"/>
  <c r="Z265" i="25"/>
  <c r="AL265" i="25"/>
  <c r="BG265" i="25" s="1"/>
  <c r="AA265" i="25"/>
  <c r="AV265" i="25" s="1"/>
  <c r="AM265" i="25"/>
  <c r="BH265" i="25" s="1"/>
  <c r="AB265" i="25"/>
  <c r="AW265" i="25" s="1"/>
  <c r="AN265" i="25"/>
  <c r="BI265" i="25" s="1"/>
  <c r="AC265" i="25"/>
  <c r="AX265" i="25" s="1"/>
  <c r="AO265" i="25"/>
  <c r="BJ265" i="25" s="1"/>
  <c r="AD265" i="25"/>
  <c r="AY265" i="25" s="1"/>
  <c r="AP265" i="25"/>
  <c r="BK265" i="25" s="1"/>
  <c r="AE265" i="25"/>
  <c r="AZ265" i="25" s="1"/>
  <c r="AQ265" i="25"/>
  <c r="BL265" i="25" s="1"/>
  <c r="AF265" i="25"/>
  <c r="BA265" i="25" s="1"/>
  <c r="AR265" i="25"/>
  <c r="BM265" i="25" s="1"/>
  <c r="AG265" i="25"/>
  <c r="BB265" i="25" s="1"/>
  <c r="AH265" i="25"/>
  <c r="BC265" i="25" s="1"/>
  <c r="AI265" i="25"/>
  <c r="BD265" i="25" s="1"/>
  <c r="AJ265" i="25"/>
  <c r="BE265" i="25" s="1"/>
  <c r="AK265" i="25"/>
  <c r="BF265" i="25" s="1"/>
  <c r="Y265" i="25"/>
  <c r="AT265" i="25" s="1"/>
  <c r="Z337" i="25"/>
  <c r="AL337" i="25"/>
  <c r="BG337" i="25" s="1"/>
  <c r="AA337" i="25"/>
  <c r="AV337" i="25" s="1"/>
  <c r="AM337" i="25"/>
  <c r="BH337" i="25" s="1"/>
  <c r="AB337" i="25"/>
  <c r="AW337" i="25" s="1"/>
  <c r="AN337" i="25"/>
  <c r="BI337" i="25" s="1"/>
  <c r="AC337" i="25"/>
  <c r="AX337" i="25" s="1"/>
  <c r="AO337" i="25"/>
  <c r="BJ337" i="25" s="1"/>
  <c r="AD337" i="25"/>
  <c r="AY337" i="25" s="1"/>
  <c r="AP337" i="25"/>
  <c r="BK337" i="25" s="1"/>
  <c r="AE337" i="25"/>
  <c r="AZ337" i="25" s="1"/>
  <c r="AQ337" i="25"/>
  <c r="BL337" i="25" s="1"/>
  <c r="AF337" i="25"/>
  <c r="BA337" i="25" s="1"/>
  <c r="AR337" i="25"/>
  <c r="BM337" i="25" s="1"/>
  <c r="AG337" i="25"/>
  <c r="BB337" i="25" s="1"/>
  <c r="AH337" i="25"/>
  <c r="BC337" i="25" s="1"/>
  <c r="AI337" i="25"/>
  <c r="BD337" i="25" s="1"/>
  <c r="AJ337" i="25"/>
  <c r="BE337" i="25" s="1"/>
  <c r="AK337" i="25"/>
  <c r="BF337" i="25" s="1"/>
  <c r="Y337" i="25"/>
  <c r="AT337" i="25" s="1"/>
  <c r="AA136" i="25"/>
  <c r="AV136" i="25" s="1"/>
  <c r="AM136" i="25"/>
  <c r="BH136" i="25" s="1"/>
  <c r="AB136" i="25"/>
  <c r="AW136" i="25" s="1"/>
  <c r="AN136" i="25"/>
  <c r="BI136" i="25" s="1"/>
  <c r="AC136" i="25"/>
  <c r="AX136" i="25" s="1"/>
  <c r="AO136" i="25"/>
  <c r="BJ136" i="25" s="1"/>
  <c r="AD136" i="25"/>
  <c r="AY136" i="25" s="1"/>
  <c r="AP136" i="25"/>
  <c r="BK136" i="25" s="1"/>
  <c r="AE136" i="25"/>
  <c r="AZ136" i="25" s="1"/>
  <c r="AQ136" i="25"/>
  <c r="BL136" i="25" s="1"/>
  <c r="AF136" i="25"/>
  <c r="BA136" i="25" s="1"/>
  <c r="AR136" i="25"/>
  <c r="BM136" i="25" s="1"/>
  <c r="AG136" i="25"/>
  <c r="BB136" i="25" s="1"/>
  <c r="AH136" i="25"/>
  <c r="BC136" i="25" s="1"/>
  <c r="AI136" i="25"/>
  <c r="BD136" i="25" s="1"/>
  <c r="AJ136" i="25"/>
  <c r="BE136" i="25" s="1"/>
  <c r="Y136" i="25"/>
  <c r="AT136" i="25" s="1"/>
  <c r="AK136" i="25"/>
  <c r="BF136" i="25" s="1"/>
  <c r="Z136" i="25"/>
  <c r="AL136" i="25"/>
  <c r="BG136" i="25" s="1"/>
  <c r="AE206" i="25"/>
  <c r="AZ206" i="25" s="1"/>
  <c r="AQ206" i="25"/>
  <c r="BL206" i="25" s="1"/>
  <c r="AF206" i="25"/>
  <c r="BA206" i="25" s="1"/>
  <c r="AR206" i="25"/>
  <c r="BM206" i="25" s="1"/>
  <c r="AG206" i="25"/>
  <c r="BB206" i="25" s="1"/>
  <c r="AH206" i="25"/>
  <c r="BC206" i="25" s="1"/>
  <c r="AI206" i="25"/>
  <c r="BD206" i="25" s="1"/>
  <c r="AJ206" i="25"/>
  <c r="BE206" i="25" s="1"/>
  <c r="Y206" i="25"/>
  <c r="AT206" i="25" s="1"/>
  <c r="AK206" i="25"/>
  <c r="BF206" i="25" s="1"/>
  <c r="Z206" i="25"/>
  <c r="AL206" i="25"/>
  <c r="BG206" i="25" s="1"/>
  <c r="AA206" i="25"/>
  <c r="AV206" i="25" s="1"/>
  <c r="AM206" i="25"/>
  <c r="BH206" i="25" s="1"/>
  <c r="AB206" i="25"/>
  <c r="AW206" i="25" s="1"/>
  <c r="AN206" i="25"/>
  <c r="BI206" i="25" s="1"/>
  <c r="AC206" i="25"/>
  <c r="AX206" i="25" s="1"/>
  <c r="AO206" i="25"/>
  <c r="BJ206" i="25" s="1"/>
  <c r="AD206" i="25"/>
  <c r="AY206" i="25" s="1"/>
  <c r="AP206" i="25"/>
  <c r="BK206" i="25" s="1"/>
  <c r="AD278" i="25"/>
  <c r="AY278" i="25" s="1"/>
  <c r="AP278" i="25"/>
  <c r="BK278" i="25" s="1"/>
  <c r="AE278" i="25"/>
  <c r="AZ278" i="25" s="1"/>
  <c r="AQ278" i="25"/>
  <c r="BL278" i="25" s="1"/>
  <c r="AF278" i="25"/>
  <c r="BA278" i="25" s="1"/>
  <c r="AR278" i="25"/>
  <c r="BM278" i="25" s="1"/>
  <c r="AG278" i="25"/>
  <c r="BB278" i="25" s="1"/>
  <c r="AH278" i="25"/>
  <c r="BC278" i="25" s="1"/>
  <c r="AI278" i="25"/>
  <c r="BD278" i="25" s="1"/>
  <c r="AJ278" i="25"/>
  <c r="BE278" i="25" s="1"/>
  <c r="Y278" i="25"/>
  <c r="AT278" i="25" s="1"/>
  <c r="AK278" i="25"/>
  <c r="BF278" i="25" s="1"/>
  <c r="Z278" i="25"/>
  <c r="AL278" i="25"/>
  <c r="BG278" i="25" s="1"/>
  <c r="AA278" i="25"/>
  <c r="AV278" i="25" s="1"/>
  <c r="AM278" i="25"/>
  <c r="BH278" i="25" s="1"/>
  <c r="AB278" i="25"/>
  <c r="AW278" i="25" s="1"/>
  <c r="AN278" i="25"/>
  <c r="BI278" i="25" s="1"/>
  <c r="AC278" i="25"/>
  <c r="AX278" i="25" s="1"/>
  <c r="AO278" i="25"/>
  <c r="BJ278" i="25" s="1"/>
  <c r="AD350" i="25"/>
  <c r="AY350" i="25" s="1"/>
  <c r="AP350" i="25"/>
  <c r="BK350" i="25" s="1"/>
  <c r="AE350" i="25"/>
  <c r="AZ350" i="25" s="1"/>
  <c r="AQ350" i="25"/>
  <c r="BL350" i="25" s="1"/>
  <c r="AF350" i="25"/>
  <c r="BA350" i="25" s="1"/>
  <c r="AR350" i="25"/>
  <c r="BM350" i="25" s="1"/>
  <c r="AG350" i="25"/>
  <c r="BB350" i="25" s="1"/>
  <c r="AH350" i="25"/>
  <c r="BC350" i="25" s="1"/>
  <c r="AI350" i="25"/>
  <c r="BD350" i="25" s="1"/>
  <c r="AJ350" i="25"/>
  <c r="BE350" i="25" s="1"/>
  <c r="Y350" i="25"/>
  <c r="AT350" i="25" s="1"/>
  <c r="AK350" i="25"/>
  <c r="BF350" i="25" s="1"/>
  <c r="Z350" i="25"/>
  <c r="AL350" i="25"/>
  <c r="BG350" i="25" s="1"/>
  <c r="AA350" i="25"/>
  <c r="AV350" i="25" s="1"/>
  <c r="AM350" i="25"/>
  <c r="BH350" i="25" s="1"/>
  <c r="AB350" i="25"/>
  <c r="AW350" i="25" s="1"/>
  <c r="AN350" i="25"/>
  <c r="BI350" i="25" s="1"/>
  <c r="AC350" i="25"/>
  <c r="AX350" i="25" s="1"/>
  <c r="AO350" i="25"/>
  <c r="BJ350" i="25" s="1"/>
  <c r="AE143" i="25"/>
  <c r="AZ143" i="25" s="1"/>
  <c r="AQ143" i="25"/>
  <c r="BL143" i="25" s="1"/>
  <c r="AF143" i="25"/>
  <c r="BA143" i="25" s="1"/>
  <c r="AR143" i="25"/>
  <c r="BM143" i="25" s="1"/>
  <c r="AG143" i="25"/>
  <c r="BB143" i="25" s="1"/>
  <c r="AH143" i="25"/>
  <c r="BC143" i="25" s="1"/>
  <c r="AI143" i="25"/>
  <c r="BD143" i="25" s="1"/>
  <c r="AJ143" i="25"/>
  <c r="BE143" i="25" s="1"/>
  <c r="Y143" i="25"/>
  <c r="AT143" i="25" s="1"/>
  <c r="AK143" i="25"/>
  <c r="BF143" i="25" s="1"/>
  <c r="Z143" i="25"/>
  <c r="AL143" i="25"/>
  <c r="BG143" i="25" s="1"/>
  <c r="AA143" i="25"/>
  <c r="AV143" i="25" s="1"/>
  <c r="AM143" i="25"/>
  <c r="BH143" i="25" s="1"/>
  <c r="AB143" i="25"/>
  <c r="AW143" i="25" s="1"/>
  <c r="AN143" i="25"/>
  <c r="BI143" i="25" s="1"/>
  <c r="AC143" i="25"/>
  <c r="AX143" i="25" s="1"/>
  <c r="AO143" i="25"/>
  <c r="BJ143" i="25" s="1"/>
  <c r="AD143" i="25"/>
  <c r="AY143" i="25" s="1"/>
  <c r="AP143" i="25"/>
  <c r="BK143" i="25" s="1"/>
  <c r="AI231" i="25"/>
  <c r="BD231" i="25" s="1"/>
  <c r="AJ231" i="25"/>
  <c r="BE231" i="25" s="1"/>
  <c r="Y231" i="25"/>
  <c r="AT231" i="25" s="1"/>
  <c r="AK231" i="25"/>
  <c r="BF231" i="25" s="1"/>
  <c r="Z231" i="25"/>
  <c r="AL231" i="25"/>
  <c r="BG231" i="25" s="1"/>
  <c r="AA231" i="25"/>
  <c r="AV231" i="25" s="1"/>
  <c r="AM231" i="25"/>
  <c r="BH231" i="25" s="1"/>
  <c r="AB231" i="25"/>
  <c r="AW231" i="25" s="1"/>
  <c r="AN231" i="25"/>
  <c r="BI231" i="25" s="1"/>
  <c r="AC231" i="25"/>
  <c r="AX231" i="25" s="1"/>
  <c r="AO231" i="25"/>
  <c r="BJ231" i="25" s="1"/>
  <c r="AD231" i="25"/>
  <c r="AY231" i="25" s="1"/>
  <c r="AP231" i="25"/>
  <c r="BK231" i="25" s="1"/>
  <c r="AE231" i="25"/>
  <c r="AZ231" i="25" s="1"/>
  <c r="AQ231" i="25"/>
  <c r="BL231" i="25" s="1"/>
  <c r="AF231" i="25"/>
  <c r="BA231" i="25" s="1"/>
  <c r="AR231" i="25"/>
  <c r="BM231" i="25" s="1"/>
  <c r="AG231" i="25"/>
  <c r="BB231" i="25" s="1"/>
  <c r="AH231" i="25"/>
  <c r="BC231" i="25" s="1"/>
  <c r="AH303" i="25"/>
  <c r="BC303" i="25" s="1"/>
  <c r="AI303" i="25"/>
  <c r="BD303" i="25" s="1"/>
  <c r="AJ303" i="25"/>
  <c r="BE303" i="25" s="1"/>
  <c r="Y303" i="25"/>
  <c r="AT303" i="25" s="1"/>
  <c r="AK303" i="25"/>
  <c r="BF303" i="25" s="1"/>
  <c r="Z303" i="25"/>
  <c r="AL303" i="25"/>
  <c r="BG303" i="25" s="1"/>
  <c r="AA303" i="25"/>
  <c r="AV303" i="25" s="1"/>
  <c r="AM303" i="25"/>
  <c r="BH303" i="25" s="1"/>
  <c r="AB303" i="25"/>
  <c r="AW303" i="25" s="1"/>
  <c r="AN303" i="25"/>
  <c r="BI303" i="25" s="1"/>
  <c r="AC303" i="25"/>
  <c r="AX303" i="25" s="1"/>
  <c r="AO303" i="25"/>
  <c r="BJ303" i="25" s="1"/>
  <c r="AD303" i="25"/>
  <c r="AY303" i="25" s="1"/>
  <c r="AP303" i="25"/>
  <c r="BK303" i="25" s="1"/>
  <c r="AE303" i="25"/>
  <c r="AZ303" i="25" s="1"/>
  <c r="AQ303" i="25"/>
  <c r="BL303" i="25" s="1"/>
  <c r="AF303" i="25"/>
  <c r="BA303" i="25" s="1"/>
  <c r="AR303" i="25"/>
  <c r="BM303" i="25" s="1"/>
  <c r="AG303" i="25"/>
  <c r="BB303" i="25" s="1"/>
  <c r="AH375" i="25"/>
  <c r="AI375" i="25"/>
  <c r="AJ375" i="25"/>
  <c r="Y375" i="25"/>
  <c r="AT375" i="25" s="1"/>
  <c r="AK375" i="25"/>
  <c r="Z375" i="25"/>
  <c r="AL375" i="25"/>
  <c r="AA375" i="25"/>
  <c r="AM375" i="25"/>
  <c r="AB375" i="25"/>
  <c r="AN375" i="25"/>
  <c r="AC375" i="25"/>
  <c r="AO375" i="25"/>
  <c r="AD375" i="25"/>
  <c r="AP375" i="25"/>
  <c r="AE375" i="25"/>
  <c r="AQ375" i="25"/>
  <c r="AF375" i="25"/>
  <c r="AR375" i="25"/>
  <c r="AG375" i="25"/>
  <c r="AC191" i="26"/>
  <c r="AX191" i="26" s="1"/>
  <c r="AO191" i="26"/>
  <c r="BJ191" i="26" s="1"/>
  <c r="AD191" i="26"/>
  <c r="AY191" i="26" s="1"/>
  <c r="AP191" i="26"/>
  <c r="BK191" i="26" s="1"/>
  <c r="AE191" i="26"/>
  <c r="AZ191" i="26" s="1"/>
  <c r="AQ191" i="26"/>
  <c r="BL191" i="26" s="1"/>
  <c r="AF191" i="26"/>
  <c r="BA191" i="26" s="1"/>
  <c r="AR191" i="26"/>
  <c r="BM191" i="26" s="1"/>
  <c r="AG191" i="26"/>
  <c r="BB191" i="26" s="1"/>
  <c r="AH191" i="26"/>
  <c r="BC191" i="26" s="1"/>
  <c r="AI191" i="26"/>
  <c r="BD191" i="26" s="1"/>
  <c r="AJ191" i="26"/>
  <c r="BE191" i="26" s="1"/>
  <c r="Y191" i="26"/>
  <c r="AT191" i="26" s="1"/>
  <c r="AK191" i="26"/>
  <c r="BF191" i="26" s="1"/>
  <c r="Z191" i="26"/>
  <c r="AL191" i="26"/>
  <c r="BG191" i="26" s="1"/>
  <c r="AA191" i="26"/>
  <c r="AV191" i="26" s="1"/>
  <c r="AM191" i="26"/>
  <c r="BH191" i="26" s="1"/>
  <c r="AB191" i="26"/>
  <c r="AW191" i="26" s="1"/>
  <c r="AN191" i="26"/>
  <c r="BI191" i="26" s="1"/>
  <c r="AC263" i="26"/>
  <c r="AX263" i="26" s="1"/>
  <c r="AO263" i="26"/>
  <c r="BJ263" i="26" s="1"/>
  <c r="AD263" i="26"/>
  <c r="AY263" i="26" s="1"/>
  <c r="AP263" i="26"/>
  <c r="BK263" i="26" s="1"/>
  <c r="AE263" i="26"/>
  <c r="AZ263" i="26" s="1"/>
  <c r="AQ263" i="26"/>
  <c r="BL263" i="26" s="1"/>
  <c r="AF263" i="26"/>
  <c r="BA263" i="26" s="1"/>
  <c r="AR263" i="26"/>
  <c r="BM263" i="26" s="1"/>
  <c r="AG263" i="26"/>
  <c r="BB263" i="26" s="1"/>
  <c r="AH263" i="26"/>
  <c r="BC263" i="26" s="1"/>
  <c r="AI263" i="26"/>
  <c r="BD263" i="26" s="1"/>
  <c r="AJ263" i="26"/>
  <c r="BE263" i="26" s="1"/>
  <c r="Y263" i="26"/>
  <c r="AT263" i="26" s="1"/>
  <c r="AK263" i="26"/>
  <c r="BF263" i="26" s="1"/>
  <c r="Z263" i="26"/>
  <c r="AL263" i="26"/>
  <c r="BG263" i="26" s="1"/>
  <c r="AA263" i="26"/>
  <c r="AV263" i="26" s="1"/>
  <c r="AM263" i="26"/>
  <c r="BH263" i="26" s="1"/>
  <c r="AB263" i="26"/>
  <c r="AW263" i="26" s="1"/>
  <c r="AN263" i="26"/>
  <c r="BI263" i="26" s="1"/>
  <c r="AD335" i="26"/>
  <c r="AY335" i="26" s="1"/>
  <c r="AP335" i="26"/>
  <c r="BK335" i="26" s="1"/>
  <c r="AE335" i="26"/>
  <c r="AZ335" i="26" s="1"/>
  <c r="AQ335" i="26"/>
  <c r="BL335" i="26" s="1"/>
  <c r="AF335" i="26"/>
  <c r="BA335" i="26" s="1"/>
  <c r="AR335" i="26"/>
  <c r="BM335" i="26" s="1"/>
  <c r="AG335" i="26"/>
  <c r="BB335" i="26" s="1"/>
  <c r="AH335" i="26"/>
  <c r="BC335" i="26" s="1"/>
  <c r="AI335" i="26"/>
  <c r="BD335" i="26" s="1"/>
  <c r="AJ335" i="26"/>
  <c r="BE335" i="26" s="1"/>
  <c r="Y335" i="26"/>
  <c r="AT335" i="26" s="1"/>
  <c r="AK335" i="26"/>
  <c r="BF335" i="26" s="1"/>
  <c r="Z335" i="26"/>
  <c r="AL335" i="26"/>
  <c r="BG335" i="26" s="1"/>
  <c r="AA335" i="26"/>
  <c r="AV335" i="26" s="1"/>
  <c r="AM335" i="26"/>
  <c r="BH335" i="26" s="1"/>
  <c r="AB335" i="26"/>
  <c r="AW335" i="26" s="1"/>
  <c r="AN335" i="26"/>
  <c r="BI335" i="26" s="1"/>
  <c r="AC335" i="26"/>
  <c r="AX335" i="26" s="1"/>
  <c r="AO335" i="26"/>
  <c r="BJ335" i="26" s="1"/>
  <c r="AG228" i="26"/>
  <c r="BB228" i="26" s="1"/>
  <c r="AH228" i="26"/>
  <c r="BC228" i="26" s="1"/>
  <c r="AI228" i="26"/>
  <c r="BD228" i="26" s="1"/>
  <c r="AJ228" i="26"/>
  <c r="BE228" i="26" s="1"/>
  <c r="Y228" i="26"/>
  <c r="AT228" i="26" s="1"/>
  <c r="AK228" i="26"/>
  <c r="BF228" i="26" s="1"/>
  <c r="Z228" i="26"/>
  <c r="AL228" i="26"/>
  <c r="BG228" i="26" s="1"/>
  <c r="AA228" i="26"/>
  <c r="AV228" i="26" s="1"/>
  <c r="AM228" i="26"/>
  <c r="BH228" i="26" s="1"/>
  <c r="AB228" i="26"/>
  <c r="AW228" i="26" s="1"/>
  <c r="AN228" i="26"/>
  <c r="BI228" i="26" s="1"/>
  <c r="AC228" i="26"/>
  <c r="AX228" i="26" s="1"/>
  <c r="AO228" i="26"/>
  <c r="BJ228" i="26" s="1"/>
  <c r="AD228" i="26"/>
  <c r="AY228" i="26" s="1"/>
  <c r="AP228" i="26"/>
  <c r="BK228" i="26" s="1"/>
  <c r="AE228" i="26"/>
  <c r="AZ228" i="26" s="1"/>
  <c r="AQ228" i="26"/>
  <c r="BL228" i="26" s="1"/>
  <c r="AF228" i="26"/>
  <c r="BA228" i="26" s="1"/>
  <c r="AR228" i="26"/>
  <c r="BM228" i="26" s="1"/>
  <c r="AG300" i="26"/>
  <c r="BB300" i="26" s="1"/>
  <c r="AH300" i="26"/>
  <c r="BC300" i="26" s="1"/>
  <c r="AI300" i="26"/>
  <c r="BD300" i="26" s="1"/>
  <c r="AJ300" i="26"/>
  <c r="BE300" i="26" s="1"/>
  <c r="Y300" i="26"/>
  <c r="AT300" i="26" s="1"/>
  <c r="AK300" i="26"/>
  <c r="BF300" i="26" s="1"/>
  <c r="Z300" i="26"/>
  <c r="AL300" i="26"/>
  <c r="BG300" i="26" s="1"/>
  <c r="AA300" i="26"/>
  <c r="AV300" i="26" s="1"/>
  <c r="AM300" i="26"/>
  <c r="BH300" i="26" s="1"/>
  <c r="AB300" i="26"/>
  <c r="AW300" i="26" s="1"/>
  <c r="AN300" i="26"/>
  <c r="BI300" i="26" s="1"/>
  <c r="AC300" i="26"/>
  <c r="AX300" i="26" s="1"/>
  <c r="AO300" i="26"/>
  <c r="BJ300" i="26" s="1"/>
  <c r="AD300" i="26"/>
  <c r="AY300" i="26" s="1"/>
  <c r="AP300" i="26"/>
  <c r="BK300" i="26" s="1"/>
  <c r="AE300" i="26"/>
  <c r="AZ300" i="26" s="1"/>
  <c r="AQ300" i="26"/>
  <c r="BL300" i="26" s="1"/>
  <c r="AF300" i="26"/>
  <c r="BA300" i="26" s="1"/>
  <c r="AR300" i="26"/>
  <c r="BM300" i="26" s="1"/>
  <c r="AH372" i="26"/>
  <c r="AI372" i="26"/>
  <c r="AJ372" i="26"/>
  <c r="Y372" i="26"/>
  <c r="AT372" i="26" s="1"/>
  <c r="AK372" i="26"/>
  <c r="Z372" i="26"/>
  <c r="AL372" i="26"/>
  <c r="AA372" i="26"/>
  <c r="AM372" i="26"/>
  <c r="AB372" i="26"/>
  <c r="AN372" i="26"/>
  <c r="AC372" i="26"/>
  <c r="AO372" i="26"/>
  <c r="AD372" i="26"/>
  <c r="AP372" i="26"/>
  <c r="AE372" i="26"/>
  <c r="AQ372" i="26"/>
  <c r="AF372" i="26"/>
  <c r="AR372" i="26"/>
  <c r="AG372" i="26"/>
  <c r="Y193" i="26"/>
  <c r="AT193" i="26" s="1"/>
  <c r="AK193" i="26"/>
  <c r="BF193" i="26" s="1"/>
  <c r="Z193" i="26"/>
  <c r="AL193" i="26"/>
  <c r="BG193" i="26" s="1"/>
  <c r="AA193" i="26"/>
  <c r="AV193" i="26" s="1"/>
  <c r="AM193" i="26"/>
  <c r="BH193" i="26" s="1"/>
  <c r="AB193" i="26"/>
  <c r="AW193" i="26" s="1"/>
  <c r="AN193" i="26"/>
  <c r="BI193" i="26" s="1"/>
  <c r="AC193" i="26"/>
  <c r="AX193" i="26" s="1"/>
  <c r="AO193" i="26"/>
  <c r="BJ193" i="26" s="1"/>
  <c r="AD193" i="26"/>
  <c r="AY193" i="26" s="1"/>
  <c r="AP193" i="26"/>
  <c r="BK193" i="26" s="1"/>
  <c r="AE193" i="26"/>
  <c r="AZ193" i="26" s="1"/>
  <c r="AQ193" i="26"/>
  <c r="BL193" i="26" s="1"/>
  <c r="AF193" i="26"/>
  <c r="BA193" i="26" s="1"/>
  <c r="AR193" i="26"/>
  <c r="BM193" i="26" s="1"/>
  <c r="AG193" i="26"/>
  <c r="BB193" i="26" s="1"/>
  <c r="AH193" i="26"/>
  <c r="BC193" i="26" s="1"/>
  <c r="AI193" i="26"/>
  <c r="BD193" i="26" s="1"/>
  <c r="AJ193" i="26"/>
  <c r="BE193" i="26" s="1"/>
  <c r="Y265" i="26"/>
  <c r="AT265" i="26" s="1"/>
  <c r="AK265" i="26"/>
  <c r="BF265" i="26" s="1"/>
  <c r="Z265" i="26"/>
  <c r="AL265" i="26"/>
  <c r="BG265" i="26" s="1"/>
  <c r="AA265" i="26"/>
  <c r="AV265" i="26" s="1"/>
  <c r="AM265" i="26"/>
  <c r="BH265" i="26" s="1"/>
  <c r="AB265" i="26"/>
  <c r="AW265" i="26" s="1"/>
  <c r="AN265" i="26"/>
  <c r="BI265" i="26" s="1"/>
  <c r="AC265" i="26"/>
  <c r="AX265" i="26" s="1"/>
  <c r="AO265" i="26"/>
  <c r="BJ265" i="26" s="1"/>
  <c r="AD265" i="26"/>
  <c r="AY265" i="26" s="1"/>
  <c r="AP265" i="26"/>
  <c r="BK265" i="26" s="1"/>
  <c r="AE265" i="26"/>
  <c r="AZ265" i="26" s="1"/>
  <c r="AQ265" i="26"/>
  <c r="BL265" i="26" s="1"/>
  <c r="AF265" i="26"/>
  <c r="BA265" i="26" s="1"/>
  <c r="AR265" i="26"/>
  <c r="BM265" i="26" s="1"/>
  <c r="AG265" i="26"/>
  <c r="BB265" i="26" s="1"/>
  <c r="AH265" i="26"/>
  <c r="BC265" i="26" s="1"/>
  <c r="AI265" i="26"/>
  <c r="BD265" i="26" s="1"/>
  <c r="AJ265" i="26"/>
  <c r="BE265" i="26" s="1"/>
  <c r="Z337" i="26"/>
  <c r="AL337" i="26"/>
  <c r="BG337" i="26" s="1"/>
  <c r="AA337" i="26"/>
  <c r="AV337" i="26" s="1"/>
  <c r="AM337" i="26"/>
  <c r="BH337" i="26" s="1"/>
  <c r="AB337" i="26"/>
  <c r="AW337" i="26" s="1"/>
  <c r="AN337" i="26"/>
  <c r="BI337" i="26" s="1"/>
  <c r="AC337" i="26"/>
  <c r="AX337" i="26" s="1"/>
  <c r="AO337" i="26"/>
  <c r="BJ337" i="26" s="1"/>
  <c r="AD337" i="26"/>
  <c r="AY337" i="26" s="1"/>
  <c r="AP337" i="26"/>
  <c r="BK337" i="26" s="1"/>
  <c r="AE337" i="26"/>
  <c r="AZ337" i="26" s="1"/>
  <c r="AQ337" i="26"/>
  <c r="BL337" i="26" s="1"/>
  <c r="AF337" i="26"/>
  <c r="BA337" i="26" s="1"/>
  <c r="AR337" i="26"/>
  <c r="BM337" i="26" s="1"/>
  <c r="AG337" i="26"/>
  <c r="BB337" i="26" s="1"/>
  <c r="AH337" i="26"/>
  <c r="BC337" i="26" s="1"/>
  <c r="AI337" i="26"/>
  <c r="BD337" i="26" s="1"/>
  <c r="AJ337" i="26"/>
  <c r="BE337" i="26" s="1"/>
  <c r="Y337" i="26"/>
  <c r="AT337" i="26" s="1"/>
  <c r="AK337" i="26"/>
  <c r="BF337" i="26" s="1"/>
  <c r="AC164" i="26"/>
  <c r="AX164" i="26" s="1"/>
  <c r="AO164" i="26"/>
  <c r="BJ164" i="26" s="1"/>
  <c r="AD164" i="26"/>
  <c r="AY164" i="26" s="1"/>
  <c r="AP164" i="26"/>
  <c r="BK164" i="26" s="1"/>
  <c r="AE164" i="26"/>
  <c r="AZ164" i="26" s="1"/>
  <c r="AQ164" i="26"/>
  <c r="BL164" i="26" s="1"/>
  <c r="AF164" i="26"/>
  <c r="BA164" i="26" s="1"/>
  <c r="AR164" i="26"/>
  <c r="BM164" i="26" s="1"/>
  <c r="AG164" i="26"/>
  <c r="BB164" i="26" s="1"/>
  <c r="AH164" i="26"/>
  <c r="BC164" i="26" s="1"/>
  <c r="AI164" i="26"/>
  <c r="BD164" i="26" s="1"/>
  <c r="AJ164" i="26"/>
  <c r="BE164" i="26" s="1"/>
  <c r="Y164" i="26"/>
  <c r="AT164" i="26" s="1"/>
  <c r="AK164" i="26"/>
  <c r="BF164" i="26" s="1"/>
  <c r="Z164" i="26"/>
  <c r="AL164" i="26"/>
  <c r="BG164" i="26" s="1"/>
  <c r="AA164" i="26"/>
  <c r="AV164" i="26" s="1"/>
  <c r="AM164" i="26"/>
  <c r="BH164" i="26" s="1"/>
  <c r="AB164" i="26"/>
  <c r="AW164" i="26" s="1"/>
  <c r="AN164" i="26"/>
  <c r="BI164" i="26" s="1"/>
  <c r="AC236" i="26"/>
  <c r="AX236" i="26" s="1"/>
  <c r="AO236" i="26"/>
  <c r="BJ236" i="26" s="1"/>
  <c r="AD236" i="26"/>
  <c r="AY236" i="26" s="1"/>
  <c r="AP236" i="26"/>
  <c r="BK236" i="26" s="1"/>
  <c r="AE236" i="26"/>
  <c r="AZ236" i="26" s="1"/>
  <c r="AQ236" i="26"/>
  <c r="BL236" i="26" s="1"/>
  <c r="AF236" i="26"/>
  <c r="BA236" i="26" s="1"/>
  <c r="AR236" i="26"/>
  <c r="BM236" i="26" s="1"/>
  <c r="AG236" i="26"/>
  <c r="BB236" i="26" s="1"/>
  <c r="AH236" i="26"/>
  <c r="BC236" i="26" s="1"/>
  <c r="AI236" i="26"/>
  <c r="BD236" i="26" s="1"/>
  <c r="AJ236" i="26"/>
  <c r="BE236" i="26" s="1"/>
  <c r="Y236" i="26"/>
  <c r="AT236" i="26" s="1"/>
  <c r="AK236" i="26"/>
  <c r="BF236" i="26" s="1"/>
  <c r="Z236" i="26"/>
  <c r="AL236" i="26"/>
  <c r="BG236" i="26" s="1"/>
  <c r="AA236" i="26"/>
  <c r="AV236" i="26" s="1"/>
  <c r="AM236" i="26"/>
  <c r="BH236" i="26" s="1"/>
  <c r="AB236" i="26"/>
  <c r="AW236" i="26" s="1"/>
  <c r="AN236" i="26"/>
  <c r="BI236" i="26" s="1"/>
  <c r="AC308" i="26"/>
  <c r="AX308" i="26" s="1"/>
  <c r="AO308" i="26"/>
  <c r="BJ308" i="26" s="1"/>
  <c r="AD308" i="26"/>
  <c r="AY308" i="26" s="1"/>
  <c r="AP308" i="26"/>
  <c r="BK308" i="26" s="1"/>
  <c r="AE308" i="26"/>
  <c r="AZ308" i="26" s="1"/>
  <c r="AQ308" i="26"/>
  <c r="BL308" i="26" s="1"/>
  <c r="AF308" i="26"/>
  <c r="BA308" i="26" s="1"/>
  <c r="AR308" i="26"/>
  <c r="BM308" i="26" s="1"/>
  <c r="AG308" i="26"/>
  <c r="BB308" i="26" s="1"/>
  <c r="AH308" i="26"/>
  <c r="BC308" i="26" s="1"/>
  <c r="AI308" i="26"/>
  <c r="BD308" i="26" s="1"/>
  <c r="AJ308" i="26"/>
  <c r="BE308" i="26" s="1"/>
  <c r="Y308" i="26"/>
  <c r="AT308" i="26" s="1"/>
  <c r="AK308" i="26"/>
  <c r="BF308" i="26" s="1"/>
  <c r="Z308" i="26"/>
  <c r="AL308" i="26"/>
  <c r="BG308" i="26" s="1"/>
  <c r="AA308" i="26"/>
  <c r="AV308" i="26" s="1"/>
  <c r="AM308" i="26"/>
  <c r="BH308" i="26" s="1"/>
  <c r="AB308" i="26"/>
  <c r="AW308" i="26" s="1"/>
  <c r="AN308" i="26"/>
  <c r="BI308" i="26" s="1"/>
  <c r="AD380" i="26"/>
  <c r="AY380" i="26" s="1"/>
  <c r="AP380" i="26"/>
  <c r="BK380" i="26" s="1"/>
  <c r="AE380" i="26"/>
  <c r="AZ380" i="26" s="1"/>
  <c r="AQ380" i="26"/>
  <c r="BL380" i="26" s="1"/>
  <c r="AF380" i="26"/>
  <c r="BA380" i="26" s="1"/>
  <c r="AR380" i="26"/>
  <c r="BM380" i="26" s="1"/>
  <c r="AG380" i="26"/>
  <c r="BB380" i="26" s="1"/>
  <c r="AH380" i="26"/>
  <c r="BC380" i="26" s="1"/>
  <c r="AI380" i="26"/>
  <c r="BD380" i="26" s="1"/>
  <c r="AJ380" i="26"/>
  <c r="BE380" i="26" s="1"/>
  <c r="Y380" i="26"/>
  <c r="AT380" i="26" s="1"/>
  <c r="AK380" i="26"/>
  <c r="BF380" i="26" s="1"/>
  <c r="Z380" i="26"/>
  <c r="AL380" i="26"/>
  <c r="BG380" i="26" s="1"/>
  <c r="AA380" i="26"/>
  <c r="AV380" i="26" s="1"/>
  <c r="AM380" i="26"/>
  <c r="BH380" i="26" s="1"/>
  <c r="AB380" i="26"/>
  <c r="AW380" i="26" s="1"/>
  <c r="AN380" i="26"/>
  <c r="BI380" i="26" s="1"/>
  <c r="AC380" i="26"/>
  <c r="AX380" i="26" s="1"/>
  <c r="AO380" i="26"/>
  <c r="BJ380" i="26" s="1"/>
  <c r="AG207" i="26"/>
  <c r="BB207" i="26" s="1"/>
  <c r="AH207" i="26"/>
  <c r="BC207" i="26" s="1"/>
  <c r="AI207" i="26"/>
  <c r="BD207" i="26" s="1"/>
  <c r="AJ207" i="26"/>
  <c r="BE207" i="26" s="1"/>
  <c r="Y207" i="26"/>
  <c r="AT207" i="26" s="1"/>
  <c r="AK207" i="26"/>
  <c r="BF207" i="26" s="1"/>
  <c r="Z207" i="26"/>
  <c r="AL207" i="26"/>
  <c r="BG207" i="26" s="1"/>
  <c r="AA207" i="26"/>
  <c r="AV207" i="26" s="1"/>
  <c r="AM207" i="26"/>
  <c r="BH207" i="26" s="1"/>
  <c r="AB207" i="26"/>
  <c r="AW207" i="26" s="1"/>
  <c r="AN207" i="26"/>
  <c r="BI207" i="26" s="1"/>
  <c r="AC207" i="26"/>
  <c r="AX207" i="26" s="1"/>
  <c r="AO207" i="26"/>
  <c r="BJ207" i="26" s="1"/>
  <c r="AD207" i="26"/>
  <c r="AY207" i="26" s="1"/>
  <c r="AP207" i="26"/>
  <c r="BK207" i="26" s="1"/>
  <c r="AE207" i="26"/>
  <c r="AZ207" i="26" s="1"/>
  <c r="AQ207" i="26"/>
  <c r="BL207" i="26" s="1"/>
  <c r="AF207" i="26"/>
  <c r="BA207" i="26" s="1"/>
  <c r="AR207" i="26"/>
  <c r="BM207" i="26" s="1"/>
  <c r="AG279" i="26"/>
  <c r="BB279" i="26" s="1"/>
  <c r="AH279" i="26"/>
  <c r="BC279" i="26" s="1"/>
  <c r="AI279" i="26"/>
  <c r="BD279" i="26" s="1"/>
  <c r="AJ279" i="26"/>
  <c r="BE279" i="26" s="1"/>
  <c r="Y279" i="26"/>
  <c r="AT279" i="26" s="1"/>
  <c r="AK279" i="26"/>
  <c r="BF279" i="26" s="1"/>
  <c r="Z279" i="26"/>
  <c r="AL279" i="26"/>
  <c r="BG279" i="26" s="1"/>
  <c r="AA279" i="26"/>
  <c r="AV279" i="26" s="1"/>
  <c r="AM279" i="26"/>
  <c r="BH279" i="26" s="1"/>
  <c r="AB279" i="26"/>
  <c r="AW279" i="26" s="1"/>
  <c r="AN279" i="26"/>
  <c r="BI279" i="26" s="1"/>
  <c r="AC279" i="26"/>
  <c r="AX279" i="26" s="1"/>
  <c r="AO279" i="26"/>
  <c r="BJ279" i="26" s="1"/>
  <c r="AD279" i="26"/>
  <c r="AY279" i="26" s="1"/>
  <c r="AP279" i="26"/>
  <c r="BK279" i="26" s="1"/>
  <c r="AE279" i="26"/>
  <c r="AZ279" i="26" s="1"/>
  <c r="AQ279" i="26"/>
  <c r="BL279" i="26" s="1"/>
  <c r="AF279" i="26"/>
  <c r="BA279" i="26" s="1"/>
  <c r="AR279" i="26"/>
  <c r="BM279" i="26" s="1"/>
  <c r="AH351" i="26"/>
  <c r="BC351" i="26" s="1"/>
  <c r="AI351" i="26"/>
  <c r="BD351" i="26" s="1"/>
  <c r="AJ351" i="26"/>
  <c r="BE351" i="26" s="1"/>
  <c r="Y351" i="26"/>
  <c r="AT351" i="26" s="1"/>
  <c r="AK351" i="26"/>
  <c r="BF351" i="26" s="1"/>
  <c r="Z351" i="26"/>
  <c r="AL351" i="26"/>
  <c r="BG351" i="26" s="1"/>
  <c r="AA351" i="26"/>
  <c r="AV351" i="26" s="1"/>
  <c r="AM351" i="26"/>
  <c r="BH351" i="26" s="1"/>
  <c r="AB351" i="26"/>
  <c r="AW351" i="26" s="1"/>
  <c r="AN351" i="26"/>
  <c r="BI351" i="26" s="1"/>
  <c r="AC351" i="26"/>
  <c r="AX351" i="26" s="1"/>
  <c r="AO351" i="26"/>
  <c r="BJ351" i="26" s="1"/>
  <c r="AD351" i="26"/>
  <c r="AY351" i="26" s="1"/>
  <c r="AP351" i="26"/>
  <c r="BK351" i="26" s="1"/>
  <c r="AE351" i="26"/>
  <c r="AZ351" i="26" s="1"/>
  <c r="AQ351" i="26"/>
  <c r="BL351" i="26" s="1"/>
  <c r="AF351" i="26"/>
  <c r="BA351" i="26" s="1"/>
  <c r="AR351" i="26"/>
  <c r="BM351" i="26" s="1"/>
  <c r="AG351" i="26"/>
  <c r="BB351" i="26" s="1"/>
  <c r="Y178" i="26"/>
  <c r="AT178" i="26" s="1"/>
  <c r="AK178" i="26"/>
  <c r="BF178" i="26" s="1"/>
  <c r="Z178" i="26"/>
  <c r="AL178" i="26"/>
  <c r="BG178" i="26" s="1"/>
  <c r="AA178" i="26"/>
  <c r="AV178" i="26" s="1"/>
  <c r="AM178" i="26"/>
  <c r="BH178" i="26" s="1"/>
  <c r="AB178" i="26"/>
  <c r="AW178" i="26" s="1"/>
  <c r="AN178" i="26"/>
  <c r="BI178" i="26" s="1"/>
  <c r="AC178" i="26"/>
  <c r="AX178" i="26" s="1"/>
  <c r="AO178" i="26"/>
  <c r="BJ178" i="26" s="1"/>
  <c r="AD178" i="26"/>
  <c r="AY178" i="26" s="1"/>
  <c r="AP178" i="26"/>
  <c r="BK178" i="26" s="1"/>
  <c r="AE178" i="26"/>
  <c r="AZ178" i="26" s="1"/>
  <c r="AQ178" i="26"/>
  <c r="BL178" i="26" s="1"/>
  <c r="AF178" i="26"/>
  <c r="BA178" i="26" s="1"/>
  <c r="AR178" i="26"/>
  <c r="BM178" i="26" s="1"/>
  <c r="AG178" i="26"/>
  <c r="BB178" i="26" s="1"/>
  <c r="AH178" i="26"/>
  <c r="BC178" i="26" s="1"/>
  <c r="AI178" i="26"/>
  <c r="BD178" i="26" s="1"/>
  <c r="AJ178" i="26"/>
  <c r="BE178" i="26" s="1"/>
  <c r="Y250" i="26"/>
  <c r="AT250" i="26" s="1"/>
  <c r="AK250" i="26"/>
  <c r="BF250" i="26" s="1"/>
  <c r="Z250" i="26"/>
  <c r="AL250" i="26"/>
  <c r="BG250" i="26" s="1"/>
  <c r="AA250" i="26"/>
  <c r="AV250" i="26" s="1"/>
  <c r="AM250" i="26"/>
  <c r="BH250" i="26" s="1"/>
  <c r="AB250" i="26"/>
  <c r="AW250" i="26" s="1"/>
  <c r="AN250" i="26"/>
  <c r="BI250" i="26" s="1"/>
  <c r="AC250" i="26"/>
  <c r="AX250" i="26" s="1"/>
  <c r="AO250" i="26"/>
  <c r="BJ250" i="26" s="1"/>
  <c r="AD250" i="26"/>
  <c r="AY250" i="26" s="1"/>
  <c r="AP250" i="26"/>
  <c r="BK250" i="26" s="1"/>
  <c r="AE250" i="26"/>
  <c r="AZ250" i="26" s="1"/>
  <c r="AQ250" i="26"/>
  <c r="BL250" i="26" s="1"/>
  <c r="AF250" i="26"/>
  <c r="BA250" i="26" s="1"/>
  <c r="AR250" i="26"/>
  <c r="BM250" i="26" s="1"/>
  <c r="AG250" i="26"/>
  <c r="BB250" i="26" s="1"/>
  <c r="AH250" i="26"/>
  <c r="BC250" i="26" s="1"/>
  <c r="AI250" i="26"/>
  <c r="BD250" i="26" s="1"/>
  <c r="AJ250" i="26"/>
  <c r="BE250" i="26" s="1"/>
  <c r="Z322" i="26"/>
  <c r="AL322" i="26"/>
  <c r="BG322" i="26" s="1"/>
  <c r="AA322" i="26"/>
  <c r="AV322" i="26" s="1"/>
  <c r="AM322" i="26"/>
  <c r="BH322" i="26" s="1"/>
  <c r="AB322" i="26"/>
  <c r="AW322" i="26" s="1"/>
  <c r="AN322" i="26"/>
  <c r="BI322" i="26" s="1"/>
  <c r="AC322" i="26"/>
  <c r="AX322" i="26" s="1"/>
  <c r="AO322" i="26"/>
  <c r="BJ322" i="26" s="1"/>
  <c r="AD322" i="26"/>
  <c r="AY322" i="26" s="1"/>
  <c r="AP322" i="26"/>
  <c r="BK322" i="26" s="1"/>
  <c r="AE322" i="26"/>
  <c r="AZ322" i="26" s="1"/>
  <c r="AQ322" i="26"/>
  <c r="BL322" i="26" s="1"/>
  <c r="AF322" i="26"/>
  <c r="BA322" i="26" s="1"/>
  <c r="AR322" i="26"/>
  <c r="BM322" i="26" s="1"/>
  <c r="AG322" i="26"/>
  <c r="BB322" i="26" s="1"/>
  <c r="AH322" i="26"/>
  <c r="BC322" i="26" s="1"/>
  <c r="AI322" i="26"/>
  <c r="BD322" i="26" s="1"/>
  <c r="AJ322" i="26"/>
  <c r="BE322" i="26" s="1"/>
  <c r="Y322" i="26"/>
  <c r="AT322" i="26" s="1"/>
  <c r="AK322" i="26"/>
  <c r="BF322" i="26" s="1"/>
  <c r="AK184" i="27"/>
  <c r="BF184" i="27" s="1"/>
  <c r="Z184" i="27"/>
  <c r="AL184" i="27"/>
  <c r="BG184" i="27" s="1"/>
  <c r="AA184" i="27"/>
  <c r="AV184" i="27" s="1"/>
  <c r="AM184" i="27"/>
  <c r="BH184" i="27" s="1"/>
  <c r="AB184" i="27"/>
  <c r="AW184" i="27" s="1"/>
  <c r="AN184" i="27"/>
  <c r="BI184" i="27" s="1"/>
  <c r="AC184" i="27"/>
  <c r="AX184" i="27" s="1"/>
  <c r="AO184" i="27"/>
  <c r="BJ184" i="27" s="1"/>
  <c r="AD184" i="27"/>
  <c r="AY184" i="27" s="1"/>
  <c r="AP184" i="27"/>
  <c r="BK184" i="27" s="1"/>
  <c r="AE184" i="27"/>
  <c r="AZ184" i="27" s="1"/>
  <c r="AQ184" i="27"/>
  <c r="BL184" i="27" s="1"/>
  <c r="AF184" i="27"/>
  <c r="BA184" i="27" s="1"/>
  <c r="AR184" i="27"/>
  <c r="BM184" i="27" s="1"/>
  <c r="AG184" i="27"/>
  <c r="BB184" i="27" s="1"/>
  <c r="AH184" i="27"/>
  <c r="BC184" i="27" s="1"/>
  <c r="AI184" i="27"/>
  <c r="BD184" i="27" s="1"/>
  <c r="AJ184" i="27"/>
  <c r="BE184" i="27" s="1"/>
  <c r="Y184" i="27"/>
  <c r="AT184" i="27" s="1"/>
  <c r="AF254" i="27"/>
  <c r="BA254" i="27" s="1"/>
  <c r="AR254" i="27"/>
  <c r="BM254" i="27" s="1"/>
  <c r="AG254" i="27"/>
  <c r="BB254" i="27" s="1"/>
  <c r="AH254" i="27"/>
  <c r="BC254" i="27" s="1"/>
  <c r="AI254" i="27"/>
  <c r="BD254" i="27" s="1"/>
  <c r="AJ254" i="27"/>
  <c r="BE254" i="27" s="1"/>
  <c r="AK254" i="27"/>
  <c r="BF254" i="27" s="1"/>
  <c r="Z254" i="27"/>
  <c r="AL254" i="27"/>
  <c r="BG254" i="27" s="1"/>
  <c r="AA254" i="27"/>
  <c r="AV254" i="27" s="1"/>
  <c r="AM254" i="27"/>
  <c r="BH254" i="27" s="1"/>
  <c r="AB254" i="27"/>
  <c r="AW254" i="27" s="1"/>
  <c r="AN254" i="27"/>
  <c r="BI254" i="27" s="1"/>
  <c r="AC254" i="27"/>
  <c r="AX254" i="27" s="1"/>
  <c r="AO254" i="27"/>
  <c r="BJ254" i="27" s="1"/>
  <c r="AD254" i="27"/>
  <c r="AY254" i="27" s="1"/>
  <c r="AP254" i="27"/>
  <c r="BK254" i="27" s="1"/>
  <c r="AE254" i="27"/>
  <c r="AZ254" i="27" s="1"/>
  <c r="AQ254" i="27"/>
  <c r="BL254" i="27" s="1"/>
  <c r="Y254" i="27"/>
  <c r="AT254" i="27" s="1"/>
  <c r="AD326" i="27"/>
  <c r="AY326" i="27" s="1"/>
  <c r="AP326" i="27"/>
  <c r="BK326" i="27" s="1"/>
  <c r="AE326" i="27"/>
  <c r="AZ326" i="27" s="1"/>
  <c r="AQ326" i="27"/>
  <c r="BL326" i="27" s="1"/>
  <c r="AF326" i="27"/>
  <c r="BA326" i="27" s="1"/>
  <c r="AR326" i="27"/>
  <c r="BM326" i="27" s="1"/>
  <c r="AG326" i="27"/>
  <c r="BB326" i="27" s="1"/>
  <c r="AH326" i="27"/>
  <c r="BC326" i="27" s="1"/>
  <c r="AI326" i="27"/>
  <c r="BD326" i="27" s="1"/>
  <c r="AJ326" i="27"/>
  <c r="BE326" i="27" s="1"/>
  <c r="AK326" i="27"/>
  <c r="BF326" i="27" s="1"/>
  <c r="Z326" i="27"/>
  <c r="AL326" i="27"/>
  <c r="BG326" i="27" s="1"/>
  <c r="AA326" i="27"/>
  <c r="AV326" i="27" s="1"/>
  <c r="AM326" i="27"/>
  <c r="BH326" i="27" s="1"/>
  <c r="AB326" i="27"/>
  <c r="AW326" i="27" s="1"/>
  <c r="AN326" i="27"/>
  <c r="BI326" i="27" s="1"/>
  <c r="AC326" i="27"/>
  <c r="AX326" i="27" s="1"/>
  <c r="Y326" i="27"/>
  <c r="AT326" i="27" s="1"/>
  <c r="AO326" i="27"/>
  <c r="BJ326" i="27" s="1"/>
  <c r="AI197" i="27"/>
  <c r="BD197" i="27" s="1"/>
  <c r="AJ197" i="27"/>
  <c r="BE197" i="27" s="1"/>
  <c r="AK197" i="27"/>
  <c r="BF197" i="27" s="1"/>
  <c r="Z197" i="27"/>
  <c r="AL197" i="27"/>
  <c r="BG197" i="27" s="1"/>
  <c r="AA197" i="27"/>
  <c r="AV197" i="27" s="1"/>
  <c r="AM197" i="27"/>
  <c r="BH197" i="27" s="1"/>
  <c r="AB197" i="27"/>
  <c r="AW197" i="27" s="1"/>
  <c r="AN197" i="27"/>
  <c r="BI197" i="27" s="1"/>
  <c r="AC197" i="27"/>
  <c r="AX197" i="27" s="1"/>
  <c r="AO197" i="27"/>
  <c r="BJ197" i="27" s="1"/>
  <c r="AD197" i="27"/>
  <c r="AY197" i="27" s="1"/>
  <c r="AP197" i="27"/>
  <c r="BK197" i="27" s="1"/>
  <c r="AE197" i="27"/>
  <c r="AZ197" i="27" s="1"/>
  <c r="AQ197" i="27"/>
  <c r="BL197" i="27" s="1"/>
  <c r="AF197" i="27"/>
  <c r="BA197" i="27" s="1"/>
  <c r="AR197" i="27"/>
  <c r="BM197" i="27" s="1"/>
  <c r="AG197" i="27"/>
  <c r="BB197" i="27" s="1"/>
  <c r="AH197" i="27"/>
  <c r="BC197" i="27" s="1"/>
  <c r="Y197" i="27"/>
  <c r="AT197" i="27" s="1"/>
  <c r="AE273" i="27"/>
  <c r="AZ273" i="27" s="1"/>
  <c r="AQ273" i="27"/>
  <c r="BL273" i="27" s="1"/>
  <c r="AF273" i="27"/>
  <c r="BA273" i="27" s="1"/>
  <c r="AR273" i="27"/>
  <c r="BM273" i="27" s="1"/>
  <c r="AG273" i="27"/>
  <c r="BB273" i="27" s="1"/>
  <c r="AH273" i="27"/>
  <c r="BC273" i="27" s="1"/>
  <c r="AI273" i="27"/>
  <c r="BD273" i="27" s="1"/>
  <c r="AJ273" i="27"/>
  <c r="BE273" i="27" s="1"/>
  <c r="AK273" i="27"/>
  <c r="BF273" i="27" s="1"/>
  <c r="Z273" i="27"/>
  <c r="AL273" i="27"/>
  <c r="BG273" i="27" s="1"/>
  <c r="AA273" i="27"/>
  <c r="AV273" i="27" s="1"/>
  <c r="AM273" i="27"/>
  <c r="BH273" i="27" s="1"/>
  <c r="AB273" i="27"/>
  <c r="AW273" i="27" s="1"/>
  <c r="AN273" i="27"/>
  <c r="BI273" i="27" s="1"/>
  <c r="AC273" i="27"/>
  <c r="AX273" i="27" s="1"/>
  <c r="AO273" i="27"/>
  <c r="BJ273" i="27" s="1"/>
  <c r="AD273" i="27"/>
  <c r="AY273" i="27" s="1"/>
  <c r="AP273" i="27"/>
  <c r="BK273" i="27" s="1"/>
  <c r="Y273" i="27"/>
  <c r="AT273" i="27" s="1"/>
  <c r="AC345" i="27"/>
  <c r="AX345" i="27" s="1"/>
  <c r="AO345" i="27"/>
  <c r="BJ345" i="27" s="1"/>
  <c r="AD345" i="27"/>
  <c r="AY345" i="27" s="1"/>
  <c r="AP345" i="27"/>
  <c r="BK345" i="27" s="1"/>
  <c r="AF345" i="27"/>
  <c r="BA345" i="27" s="1"/>
  <c r="AR345" i="27"/>
  <c r="BM345" i="27" s="1"/>
  <c r="AG345" i="27"/>
  <c r="BB345" i="27" s="1"/>
  <c r="AH345" i="27"/>
  <c r="BC345" i="27" s="1"/>
  <c r="AI345" i="27"/>
  <c r="BD345" i="27" s="1"/>
  <c r="AJ345" i="27"/>
  <c r="BE345" i="27" s="1"/>
  <c r="Z345" i="27"/>
  <c r="AL345" i="27"/>
  <c r="BG345" i="27" s="1"/>
  <c r="AA345" i="27"/>
  <c r="AV345" i="27" s="1"/>
  <c r="AM345" i="27"/>
  <c r="BH345" i="27" s="1"/>
  <c r="AQ345" i="27"/>
  <c r="BL345" i="27" s="1"/>
  <c r="AB345" i="27"/>
  <c r="AW345" i="27" s="1"/>
  <c r="AE345" i="27"/>
  <c r="AZ345" i="27" s="1"/>
  <c r="AK345" i="27"/>
  <c r="BF345" i="27" s="1"/>
  <c r="Y345" i="27"/>
  <c r="AT345" i="27" s="1"/>
  <c r="AN345" i="27"/>
  <c r="BI345" i="27" s="1"/>
  <c r="AH216" i="27"/>
  <c r="BC216" i="27" s="1"/>
  <c r="AI216" i="27"/>
  <c r="BD216" i="27" s="1"/>
  <c r="AJ216" i="27"/>
  <c r="BE216" i="27" s="1"/>
  <c r="AK216" i="27"/>
  <c r="BF216" i="27" s="1"/>
  <c r="Z216" i="27"/>
  <c r="AL216" i="27"/>
  <c r="BG216" i="27" s="1"/>
  <c r="AA216" i="27"/>
  <c r="AV216" i="27" s="1"/>
  <c r="AM216" i="27"/>
  <c r="BH216" i="27" s="1"/>
  <c r="AB216" i="27"/>
  <c r="AW216" i="27" s="1"/>
  <c r="AN216" i="27"/>
  <c r="BI216" i="27" s="1"/>
  <c r="AC216" i="27"/>
  <c r="AX216" i="27" s="1"/>
  <c r="AO216" i="27"/>
  <c r="BJ216" i="27" s="1"/>
  <c r="AD216" i="27"/>
  <c r="AY216" i="27" s="1"/>
  <c r="AP216" i="27"/>
  <c r="BK216" i="27" s="1"/>
  <c r="AE216" i="27"/>
  <c r="AZ216" i="27" s="1"/>
  <c r="AQ216" i="27"/>
  <c r="BL216" i="27" s="1"/>
  <c r="AF216" i="27"/>
  <c r="BA216" i="27" s="1"/>
  <c r="AR216" i="27"/>
  <c r="BM216" i="27" s="1"/>
  <c r="AG216" i="27"/>
  <c r="BB216" i="27" s="1"/>
  <c r="Y216" i="27"/>
  <c r="AT216" i="27" s="1"/>
  <c r="AD292" i="27"/>
  <c r="AY292" i="27" s="1"/>
  <c r="AP292" i="27"/>
  <c r="BK292" i="27" s="1"/>
  <c r="AE292" i="27"/>
  <c r="AZ292" i="27" s="1"/>
  <c r="AQ292" i="27"/>
  <c r="BL292" i="27" s="1"/>
  <c r="AG292" i="27"/>
  <c r="BB292" i="27" s="1"/>
  <c r="AH292" i="27"/>
  <c r="BC292" i="27" s="1"/>
  <c r="AI292" i="27"/>
  <c r="BD292" i="27" s="1"/>
  <c r="AJ292" i="27"/>
  <c r="BE292" i="27" s="1"/>
  <c r="AK292" i="27"/>
  <c r="BF292" i="27" s="1"/>
  <c r="AA292" i="27"/>
  <c r="AV292" i="27" s="1"/>
  <c r="AM292" i="27"/>
  <c r="BH292" i="27" s="1"/>
  <c r="AB292" i="27"/>
  <c r="AW292" i="27" s="1"/>
  <c r="AN292" i="27"/>
  <c r="BI292" i="27" s="1"/>
  <c r="AC292" i="27"/>
  <c r="AX292" i="27" s="1"/>
  <c r="AF292" i="27"/>
  <c r="BA292" i="27" s="1"/>
  <c r="Y292" i="27"/>
  <c r="AT292" i="27" s="1"/>
  <c r="AL292" i="27"/>
  <c r="BG292" i="27" s="1"/>
  <c r="AO292" i="27"/>
  <c r="BJ292" i="27" s="1"/>
  <c r="AR292" i="27"/>
  <c r="BM292" i="27" s="1"/>
  <c r="Z292" i="27"/>
  <c r="AB364" i="27"/>
  <c r="AW364" i="27" s="1"/>
  <c r="AN364" i="27"/>
  <c r="BI364" i="27" s="1"/>
  <c r="AC364" i="27"/>
  <c r="AX364" i="27" s="1"/>
  <c r="AO364" i="27"/>
  <c r="BJ364" i="27" s="1"/>
  <c r="AE364" i="27"/>
  <c r="AZ364" i="27" s="1"/>
  <c r="AQ364" i="27"/>
  <c r="BL364" i="27" s="1"/>
  <c r="AF364" i="27"/>
  <c r="BA364" i="27" s="1"/>
  <c r="AR364" i="27"/>
  <c r="BM364" i="27" s="1"/>
  <c r="AG364" i="27"/>
  <c r="BB364" i="27" s="1"/>
  <c r="AH364" i="27"/>
  <c r="BC364" i="27" s="1"/>
  <c r="AI364" i="27"/>
  <c r="BD364" i="27" s="1"/>
  <c r="AK364" i="27"/>
  <c r="BF364" i="27" s="1"/>
  <c r="Z364" i="27"/>
  <c r="AL364" i="27"/>
  <c r="BG364" i="27" s="1"/>
  <c r="AA364" i="27"/>
  <c r="AV364" i="27" s="1"/>
  <c r="AD364" i="27"/>
  <c r="AY364" i="27" s="1"/>
  <c r="AJ364" i="27"/>
  <c r="BE364" i="27" s="1"/>
  <c r="AM364" i="27"/>
  <c r="BH364" i="27" s="1"/>
  <c r="Y364" i="27"/>
  <c r="AT364" i="27" s="1"/>
  <c r="AP364" i="27"/>
  <c r="BK364" i="27" s="1"/>
  <c r="AG223" i="27"/>
  <c r="BB223" i="27" s="1"/>
  <c r="AH223" i="27"/>
  <c r="BC223" i="27" s="1"/>
  <c r="AI223" i="27"/>
  <c r="BD223" i="27" s="1"/>
  <c r="AJ223" i="27"/>
  <c r="BE223" i="27" s="1"/>
  <c r="AK223" i="27"/>
  <c r="BF223" i="27" s="1"/>
  <c r="Z223" i="27"/>
  <c r="AL223" i="27"/>
  <c r="BG223" i="27" s="1"/>
  <c r="AA223" i="27"/>
  <c r="AV223" i="27" s="1"/>
  <c r="AM223" i="27"/>
  <c r="BH223" i="27" s="1"/>
  <c r="AB223" i="27"/>
  <c r="AW223" i="27" s="1"/>
  <c r="AN223" i="27"/>
  <c r="BI223" i="27" s="1"/>
  <c r="AC223" i="27"/>
  <c r="AX223" i="27" s="1"/>
  <c r="AO223" i="27"/>
  <c r="BJ223" i="27" s="1"/>
  <c r="AD223" i="27"/>
  <c r="AY223" i="27" s="1"/>
  <c r="AP223" i="27"/>
  <c r="BK223" i="27" s="1"/>
  <c r="AE223" i="27"/>
  <c r="AZ223" i="27" s="1"/>
  <c r="AQ223" i="27"/>
  <c r="BL223" i="27" s="1"/>
  <c r="Y223" i="27"/>
  <c r="AT223" i="27" s="1"/>
  <c r="AF223" i="27"/>
  <c r="BA223" i="27" s="1"/>
  <c r="AR223" i="27"/>
  <c r="BM223" i="27" s="1"/>
  <c r="AG305" i="27"/>
  <c r="BB305" i="27" s="1"/>
  <c r="AH305" i="27"/>
  <c r="BC305" i="27" s="1"/>
  <c r="AI305" i="27"/>
  <c r="BD305" i="27" s="1"/>
  <c r="AJ305" i="27"/>
  <c r="BE305" i="27" s="1"/>
  <c r="AK305" i="27"/>
  <c r="BF305" i="27" s="1"/>
  <c r="Z305" i="27"/>
  <c r="AL305" i="27"/>
  <c r="BG305" i="27" s="1"/>
  <c r="AA305" i="27"/>
  <c r="AV305" i="27" s="1"/>
  <c r="AM305" i="27"/>
  <c r="BH305" i="27" s="1"/>
  <c r="AB305" i="27"/>
  <c r="AW305" i="27" s="1"/>
  <c r="AN305" i="27"/>
  <c r="BI305" i="27" s="1"/>
  <c r="AC305" i="27"/>
  <c r="AX305" i="27" s="1"/>
  <c r="AO305" i="27"/>
  <c r="BJ305" i="27" s="1"/>
  <c r="AD305" i="27"/>
  <c r="AY305" i="27" s="1"/>
  <c r="AP305" i="27"/>
  <c r="BK305" i="27" s="1"/>
  <c r="AE305" i="27"/>
  <c r="AZ305" i="27" s="1"/>
  <c r="AQ305" i="27"/>
  <c r="BL305" i="27" s="1"/>
  <c r="Y305" i="27"/>
  <c r="AT305" i="27" s="1"/>
  <c r="AF305" i="27"/>
  <c r="BA305" i="27" s="1"/>
  <c r="AR305" i="27"/>
  <c r="BM305" i="27" s="1"/>
  <c r="AG377" i="27"/>
  <c r="BB377" i="27" s="1"/>
  <c r="AH377" i="27"/>
  <c r="BC377" i="27" s="1"/>
  <c r="AJ377" i="27"/>
  <c r="BE377" i="27" s="1"/>
  <c r="AK377" i="27"/>
  <c r="BF377" i="27" s="1"/>
  <c r="Z377" i="27"/>
  <c r="AL377" i="27"/>
  <c r="BG377" i="27" s="1"/>
  <c r="AA377" i="27"/>
  <c r="AV377" i="27" s="1"/>
  <c r="AM377" i="27"/>
  <c r="BH377" i="27" s="1"/>
  <c r="AB377" i="27"/>
  <c r="AW377" i="27" s="1"/>
  <c r="AN377" i="27"/>
  <c r="BI377" i="27" s="1"/>
  <c r="AD377" i="27"/>
  <c r="AY377" i="27" s="1"/>
  <c r="AP377" i="27"/>
  <c r="BK377" i="27" s="1"/>
  <c r="AE377" i="27"/>
  <c r="AZ377" i="27" s="1"/>
  <c r="AQ377" i="27"/>
  <c r="BL377" i="27" s="1"/>
  <c r="AC377" i="27"/>
  <c r="AX377" i="27" s="1"/>
  <c r="AF377" i="27"/>
  <c r="BA377" i="27" s="1"/>
  <c r="AI377" i="27"/>
  <c r="BD377" i="27" s="1"/>
  <c r="Y377" i="27"/>
  <c r="AT377" i="27" s="1"/>
  <c r="AO377" i="27"/>
  <c r="BJ377" i="27" s="1"/>
  <c r="AR377" i="27"/>
  <c r="BM377" i="27" s="1"/>
  <c r="AB246" i="27"/>
  <c r="AW246" i="27" s="1"/>
  <c r="AN246" i="27"/>
  <c r="BI246" i="27" s="1"/>
  <c r="AC246" i="27"/>
  <c r="AX246" i="27" s="1"/>
  <c r="AO246" i="27"/>
  <c r="BJ246" i="27" s="1"/>
  <c r="AD246" i="27"/>
  <c r="AY246" i="27" s="1"/>
  <c r="AP246" i="27"/>
  <c r="BK246" i="27" s="1"/>
  <c r="AE246" i="27"/>
  <c r="AZ246" i="27" s="1"/>
  <c r="AQ246" i="27"/>
  <c r="BL246" i="27" s="1"/>
  <c r="AF246" i="27"/>
  <c r="BA246" i="27" s="1"/>
  <c r="AR246" i="27"/>
  <c r="BM246" i="27" s="1"/>
  <c r="AG246" i="27"/>
  <c r="BB246" i="27" s="1"/>
  <c r="AH246" i="27"/>
  <c r="BC246" i="27" s="1"/>
  <c r="AI246" i="27"/>
  <c r="BD246" i="27" s="1"/>
  <c r="AJ246" i="27"/>
  <c r="BE246" i="27" s="1"/>
  <c r="AK246" i="27"/>
  <c r="BF246" i="27" s="1"/>
  <c r="Z246" i="27"/>
  <c r="AL246" i="27"/>
  <c r="BG246" i="27" s="1"/>
  <c r="Y246" i="27"/>
  <c r="AT246" i="27" s="1"/>
  <c r="AA246" i="27"/>
  <c r="AV246" i="27" s="1"/>
  <c r="AM246" i="27"/>
  <c r="BH246" i="27" s="1"/>
  <c r="Z318" i="27"/>
  <c r="AL318" i="27"/>
  <c r="BG318" i="27" s="1"/>
  <c r="AA318" i="27"/>
  <c r="AV318" i="27" s="1"/>
  <c r="AM318" i="27"/>
  <c r="BH318" i="27" s="1"/>
  <c r="AB318" i="27"/>
  <c r="AW318" i="27" s="1"/>
  <c r="AN318" i="27"/>
  <c r="BI318" i="27" s="1"/>
  <c r="AC318" i="27"/>
  <c r="AX318" i="27" s="1"/>
  <c r="AO318" i="27"/>
  <c r="BJ318" i="27" s="1"/>
  <c r="AD318" i="27"/>
  <c r="AY318" i="27" s="1"/>
  <c r="AP318" i="27"/>
  <c r="BK318" i="27" s="1"/>
  <c r="AE318" i="27"/>
  <c r="AZ318" i="27" s="1"/>
  <c r="AQ318" i="27"/>
  <c r="BL318" i="27" s="1"/>
  <c r="AF318" i="27"/>
  <c r="BA318" i="27" s="1"/>
  <c r="AR318" i="27"/>
  <c r="BM318" i="27" s="1"/>
  <c r="AG318" i="27"/>
  <c r="BB318" i="27" s="1"/>
  <c r="AH318" i="27"/>
  <c r="BC318" i="27" s="1"/>
  <c r="AI318" i="27"/>
  <c r="BD318" i="27" s="1"/>
  <c r="AJ318" i="27"/>
  <c r="BE318" i="27" s="1"/>
  <c r="AK318" i="27"/>
  <c r="BF318" i="27" s="1"/>
  <c r="Y318" i="27"/>
  <c r="AT318" i="27" s="1"/>
  <c r="Z189" i="27"/>
  <c r="AL189" i="27"/>
  <c r="BG189" i="27" s="1"/>
  <c r="AA189" i="27"/>
  <c r="AV189" i="27" s="1"/>
  <c r="AM189" i="27"/>
  <c r="BH189" i="27" s="1"/>
  <c r="AB189" i="27"/>
  <c r="AW189" i="27" s="1"/>
  <c r="AN189" i="27"/>
  <c r="BI189" i="27" s="1"/>
  <c r="AC189" i="27"/>
  <c r="AX189" i="27" s="1"/>
  <c r="AO189" i="27"/>
  <c r="BJ189" i="27" s="1"/>
  <c r="AD189" i="27"/>
  <c r="AY189" i="27" s="1"/>
  <c r="AP189" i="27"/>
  <c r="BK189" i="27" s="1"/>
  <c r="AE189" i="27"/>
  <c r="AZ189" i="27" s="1"/>
  <c r="AQ189" i="27"/>
  <c r="BL189" i="27" s="1"/>
  <c r="AF189" i="27"/>
  <c r="BA189" i="27" s="1"/>
  <c r="AR189" i="27"/>
  <c r="BM189" i="27" s="1"/>
  <c r="AG189" i="27"/>
  <c r="BB189" i="27" s="1"/>
  <c r="AH189" i="27"/>
  <c r="BC189" i="27" s="1"/>
  <c r="AI189" i="27"/>
  <c r="BD189" i="27" s="1"/>
  <c r="AJ189" i="27"/>
  <c r="BE189" i="27" s="1"/>
  <c r="Y189" i="27"/>
  <c r="AT189" i="27" s="1"/>
  <c r="AK189" i="27"/>
  <c r="BF189" i="27" s="1"/>
  <c r="AG259" i="27"/>
  <c r="BB259" i="27" s="1"/>
  <c r="AH259" i="27"/>
  <c r="BC259" i="27" s="1"/>
  <c r="AI259" i="27"/>
  <c r="BD259" i="27" s="1"/>
  <c r="AJ259" i="27"/>
  <c r="BE259" i="27" s="1"/>
  <c r="AK259" i="27"/>
  <c r="BF259" i="27" s="1"/>
  <c r="Z259" i="27"/>
  <c r="AL259" i="27"/>
  <c r="BG259" i="27" s="1"/>
  <c r="AA259" i="27"/>
  <c r="AV259" i="27" s="1"/>
  <c r="AM259" i="27"/>
  <c r="BH259" i="27" s="1"/>
  <c r="AB259" i="27"/>
  <c r="AW259" i="27" s="1"/>
  <c r="AN259" i="27"/>
  <c r="BI259" i="27" s="1"/>
  <c r="AC259" i="27"/>
  <c r="AX259" i="27" s="1"/>
  <c r="AO259" i="27"/>
  <c r="BJ259" i="27" s="1"/>
  <c r="AD259" i="27"/>
  <c r="AY259" i="27" s="1"/>
  <c r="AP259" i="27"/>
  <c r="BK259" i="27" s="1"/>
  <c r="AE259" i="27"/>
  <c r="AZ259" i="27" s="1"/>
  <c r="AQ259" i="27"/>
  <c r="BL259" i="27" s="1"/>
  <c r="AF259" i="27"/>
  <c r="BA259" i="27" s="1"/>
  <c r="AR259" i="27"/>
  <c r="BM259" i="27" s="1"/>
  <c r="Y259" i="27"/>
  <c r="AT259" i="27" s="1"/>
  <c r="AE331" i="27"/>
  <c r="AZ331" i="27" s="1"/>
  <c r="AQ331" i="27"/>
  <c r="BL331" i="27" s="1"/>
  <c r="AF331" i="27"/>
  <c r="BA331" i="27" s="1"/>
  <c r="AR331" i="27"/>
  <c r="BM331" i="27" s="1"/>
  <c r="AG331" i="27"/>
  <c r="BB331" i="27" s="1"/>
  <c r="AH331" i="27"/>
  <c r="BC331" i="27" s="1"/>
  <c r="AI331" i="27"/>
  <c r="BD331" i="27" s="1"/>
  <c r="AJ331" i="27"/>
  <c r="BE331" i="27" s="1"/>
  <c r="AK331" i="27"/>
  <c r="BF331" i="27" s="1"/>
  <c r="Z331" i="27"/>
  <c r="AL331" i="27"/>
  <c r="BG331" i="27" s="1"/>
  <c r="AA331" i="27"/>
  <c r="AV331" i="27" s="1"/>
  <c r="AM331" i="27"/>
  <c r="BH331" i="27" s="1"/>
  <c r="AB331" i="27"/>
  <c r="AW331" i="27" s="1"/>
  <c r="AN331" i="27"/>
  <c r="BI331" i="27" s="1"/>
  <c r="AC331" i="27"/>
  <c r="AX331" i="27" s="1"/>
  <c r="AO331" i="27"/>
  <c r="BJ331" i="27" s="1"/>
  <c r="AP331" i="27"/>
  <c r="BK331" i="27" s="1"/>
  <c r="Y331" i="27"/>
  <c r="AT331" i="27" s="1"/>
  <c r="AD331" i="27"/>
  <c r="AY331" i="27" s="1"/>
  <c r="AJ225" i="28"/>
  <c r="BE225" i="28" s="1"/>
  <c r="Y225" i="28"/>
  <c r="AT225" i="28" s="1"/>
  <c r="AK225" i="28"/>
  <c r="BF225" i="28" s="1"/>
  <c r="AA225" i="28"/>
  <c r="AV225" i="28" s="1"/>
  <c r="AM225" i="28"/>
  <c r="BH225" i="28" s="1"/>
  <c r="AB225" i="28"/>
  <c r="AW225" i="28" s="1"/>
  <c r="AN225" i="28"/>
  <c r="BI225" i="28" s="1"/>
  <c r="AC225" i="28"/>
  <c r="AX225" i="28" s="1"/>
  <c r="AO225" i="28"/>
  <c r="BJ225" i="28" s="1"/>
  <c r="AD225" i="28"/>
  <c r="AY225" i="28" s="1"/>
  <c r="AP225" i="28"/>
  <c r="BK225" i="28" s="1"/>
  <c r="AE225" i="28"/>
  <c r="AZ225" i="28" s="1"/>
  <c r="AQ225" i="28"/>
  <c r="BL225" i="28" s="1"/>
  <c r="AG225" i="28"/>
  <c r="BB225" i="28" s="1"/>
  <c r="AH225" i="28"/>
  <c r="BC225" i="28" s="1"/>
  <c r="Z225" i="28"/>
  <c r="AF225" i="28"/>
  <c r="BA225" i="28" s="1"/>
  <c r="AI225" i="28"/>
  <c r="BD225" i="28" s="1"/>
  <c r="AL225" i="28"/>
  <c r="BG225" i="28" s="1"/>
  <c r="AR225" i="28"/>
  <c r="BM225" i="28" s="1"/>
  <c r="AI297" i="28"/>
  <c r="BD297" i="28" s="1"/>
  <c r="AJ297" i="28"/>
  <c r="BE297" i="28" s="1"/>
  <c r="Z297" i="28"/>
  <c r="AL297" i="28"/>
  <c r="BG297" i="28" s="1"/>
  <c r="AA297" i="28"/>
  <c r="AV297" i="28" s="1"/>
  <c r="AM297" i="28"/>
  <c r="BH297" i="28" s="1"/>
  <c r="AB297" i="28"/>
  <c r="AW297" i="28" s="1"/>
  <c r="AN297" i="28"/>
  <c r="BI297" i="28" s="1"/>
  <c r="AC297" i="28"/>
  <c r="AX297" i="28" s="1"/>
  <c r="AO297" i="28"/>
  <c r="BJ297" i="28" s="1"/>
  <c r="AD297" i="28"/>
  <c r="AY297" i="28" s="1"/>
  <c r="AP297" i="28"/>
  <c r="BK297" i="28" s="1"/>
  <c r="AF297" i="28"/>
  <c r="BA297" i="28" s="1"/>
  <c r="AR297" i="28"/>
  <c r="BM297" i="28" s="1"/>
  <c r="AG297" i="28"/>
  <c r="BB297" i="28" s="1"/>
  <c r="AQ297" i="28"/>
  <c r="BL297" i="28" s="1"/>
  <c r="Y297" i="28"/>
  <c r="AT297" i="28" s="1"/>
  <c r="AE297" i="28"/>
  <c r="AZ297" i="28" s="1"/>
  <c r="AH297" i="28"/>
  <c r="BC297" i="28" s="1"/>
  <c r="AK297" i="28"/>
  <c r="BF297" i="28" s="1"/>
  <c r="AG369" i="28"/>
  <c r="AH369" i="28"/>
  <c r="AI369" i="28"/>
  <c r="AJ369" i="28"/>
  <c r="Y369" i="28"/>
  <c r="AT369" i="28" s="1"/>
  <c r="AK369" i="28"/>
  <c r="Z369" i="28"/>
  <c r="AL369" i="28"/>
  <c r="AA369" i="28"/>
  <c r="AM369" i="28"/>
  <c r="AB369" i="28"/>
  <c r="AN369" i="28"/>
  <c r="AC369" i="28"/>
  <c r="AO369" i="28"/>
  <c r="AD369" i="28"/>
  <c r="AP369" i="28"/>
  <c r="AE369" i="28"/>
  <c r="AQ369" i="28"/>
  <c r="AR369" i="28"/>
  <c r="AF369" i="28"/>
  <c r="AA262" i="28"/>
  <c r="AV262" i="28" s="1"/>
  <c r="AM262" i="28"/>
  <c r="BH262" i="28" s="1"/>
  <c r="AB262" i="28"/>
  <c r="AW262" i="28" s="1"/>
  <c r="AN262" i="28"/>
  <c r="BI262" i="28" s="1"/>
  <c r="AD262" i="28"/>
  <c r="AY262" i="28" s="1"/>
  <c r="AP262" i="28"/>
  <c r="BK262" i="28" s="1"/>
  <c r="AE262" i="28"/>
  <c r="AZ262" i="28" s="1"/>
  <c r="AQ262" i="28"/>
  <c r="BL262" i="28" s="1"/>
  <c r="AF262" i="28"/>
  <c r="BA262" i="28" s="1"/>
  <c r="AR262" i="28"/>
  <c r="BM262" i="28" s="1"/>
  <c r="AG262" i="28"/>
  <c r="BB262" i="28" s="1"/>
  <c r="AH262" i="28"/>
  <c r="BC262" i="28" s="1"/>
  <c r="AJ262" i="28"/>
  <c r="BE262" i="28" s="1"/>
  <c r="Y262" i="28"/>
  <c r="AT262" i="28" s="1"/>
  <c r="AK262" i="28"/>
  <c r="BF262" i="28" s="1"/>
  <c r="Z262" i="28"/>
  <c r="AC262" i="28"/>
  <c r="AX262" i="28" s="1"/>
  <c r="AI262" i="28"/>
  <c r="BD262" i="28" s="1"/>
  <c r="AL262" i="28"/>
  <c r="BG262" i="28" s="1"/>
  <c r="AO262" i="28"/>
  <c r="BJ262" i="28" s="1"/>
  <c r="Y334" i="28"/>
  <c r="AT334" i="28" s="1"/>
  <c r="AK334" i="28"/>
  <c r="BF334" i="28" s="1"/>
  <c r="Z334" i="28"/>
  <c r="AL334" i="28"/>
  <c r="BG334" i="28" s="1"/>
  <c r="AA334" i="28"/>
  <c r="AV334" i="28" s="1"/>
  <c r="AM334" i="28"/>
  <c r="BH334" i="28" s="1"/>
  <c r="AB334" i="28"/>
  <c r="AW334" i="28" s="1"/>
  <c r="AN334" i="28"/>
  <c r="BI334" i="28" s="1"/>
  <c r="AC334" i="28"/>
  <c r="AX334" i="28" s="1"/>
  <c r="AO334" i="28"/>
  <c r="BJ334" i="28" s="1"/>
  <c r="AD334" i="28"/>
  <c r="AY334" i="28" s="1"/>
  <c r="AP334" i="28"/>
  <c r="BK334" i="28" s="1"/>
  <c r="AE334" i="28"/>
  <c r="AZ334" i="28" s="1"/>
  <c r="AQ334" i="28"/>
  <c r="BL334" i="28" s="1"/>
  <c r="AF334" i="28"/>
  <c r="BA334" i="28" s="1"/>
  <c r="AR334" i="28"/>
  <c r="BM334" i="28" s="1"/>
  <c r="AG334" i="28"/>
  <c r="BB334" i="28" s="1"/>
  <c r="AH334" i="28"/>
  <c r="BC334" i="28" s="1"/>
  <c r="AI334" i="28"/>
  <c r="BD334" i="28" s="1"/>
  <c r="AJ334" i="28"/>
  <c r="BE334" i="28" s="1"/>
  <c r="AF227" i="28"/>
  <c r="BA227" i="28" s="1"/>
  <c r="AR227" i="28"/>
  <c r="BM227" i="28" s="1"/>
  <c r="AG227" i="28"/>
  <c r="BB227" i="28" s="1"/>
  <c r="AI227" i="28"/>
  <c r="BD227" i="28" s="1"/>
  <c r="AJ227" i="28"/>
  <c r="BE227" i="28" s="1"/>
  <c r="Y227" i="28"/>
  <c r="AT227" i="28" s="1"/>
  <c r="AK227" i="28"/>
  <c r="BF227" i="28" s="1"/>
  <c r="Z227" i="28"/>
  <c r="AL227" i="28"/>
  <c r="BG227" i="28" s="1"/>
  <c r="AA227" i="28"/>
  <c r="AV227" i="28" s="1"/>
  <c r="AM227" i="28"/>
  <c r="BH227" i="28" s="1"/>
  <c r="AC227" i="28"/>
  <c r="AX227" i="28" s="1"/>
  <c r="AO227" i="28"/>
  <c r="BJ227" i="28" s="1"/>
  <c r="AD227" i="28"/>
  <c r="AY227" i="28" s="1"/>
  <c r="AP227" i="28"/>
  <c r="BK227" i="28" s="1"/>
  <c r="AB227" i="28"/>
  <c r="AW227" i="28" s="1"/>
  <c r="AH227" i="28"/>
  <c r="BC227" i="28" s="1"/>
  <c r="AN227" i="28"/>
  <c r="BI227" i="28" s="1"/>
  <c r="AQ227" i="28"/>
  <c r="BL227" i="28" s="1"/>
  <c r="AE227" i="28"/>
  <c r="AZ227" i="28" s="1"/>
  <c r="AE299" i="28"/>
  <c r="AZ299" i="28" s="1"/>
  <c r="AQ299" i="28"/>
  <c r="BL299" i="28" s="1"/>
  <c r="AF299" i="28"/>
  <c r="BA299" i="28" s="1"/>
  <c r="AR299" i="28"/>
  <c r="BM299" i="28" s="1"/>
  <c r="AH299" i="28"/>
  <c r="BC299" i="28" s="1"/>
  <c r="AI299" i="28"/>
  <c r="BD299" i="28" s="1"/>
  <c r="AJ299" i="28"/>
  <c r="BE299" i="28" s="1"/>
  <c r="Y299" i="28"/>
  <c r="AT299" i="28" s="1"/>
  <c r="AK299" i="28"/>
  <c r="BF299" i="28" s="1"/>
  <c r="Z299" i="28"/>
  <c r="AL299" i="28"/>
  <c r="BG299" i="28" s="1"/>
  <c r="AB299" i="28"/>
  <c r="AW299" i="28" s="1"/>
  <c r="AN299" i="28"/>
  <c r="BI299" i="28" s="1"/>
  <c r="AC299" i="28"/>
  <c r="AX299" i="28" s="1"/>
  <c r="AO299" i="28"/>
  <c r="BJ299" i="28" s="1"/>
  <c r="AA299" i="28"/>
  <c r="AV299" i="28" s="1"/>
  <c r="AD299" i="28"/>
  <c r="AY299" i="28" s="1"/>
  <c r="AG299" i="28"/>
  <c r="BB299" i="28" s="1"/>
  <c r="AM299" i="28"/>
  <c r="BH299" i="28" s="1"/>
  <c r="AP299" i="28"/>
  <c r="BK299" i="28" s="1"/>
  <c r="AC371" i="28"/>
  <c r="AO371" i="28"/>
  <c r="AD371" i="28"/>
  <c r="AP371" i="28"/>
  <c r="AE371" i="28"/>
  <c r="AQ371" i="28"/>
  <c r="AF371" i="28"/>
  <c r="AR371" i="28"/>
  <c r="AG371" i="28"/>
  <c r="AH371" i="28"/>
  <c r="AI371" i="28"/>
  <c r="AJ371" i="28"/>
  <c r="Y371" i="28"/>
  <c r="AT371" i="28" s="1"/>
  <c r="AK371" i="28"/>
  <c r="Z371" i="28"/>
  <c r="AL371" i="28"/>
  <c r="AA371" i="28"/>
  <c r="AM371" i="28"/>
  <c r="AB371" i="28"/>
  <c r="AN371" i="28"/>
  <c r="AI264" i="28"/>
  <c r="BD264" i="28" s="1"/>
  <c r="AJ264" i="28"/>
  <c r="BE264" i="28" s="1"/>
  <c r="Z264" i="28"/>
  <c r="AL264" i="28"/>
  <c r="BG264" i="28" s="1"/>
  <c r="AA264" i="28"/>
  <c r="AV264" i="28" s="1"/>
  <c r="AM264" i="28"/>
  <c r="BH264" i="28" s="1"/>
  <c r="AB264" i="28"/>
  <c r="AW264" i="28" s="1"/>
  <c r="AN264" i="28"/>
  <c r="BI264" i="28" s="1"/>
  <c r="AC264" i="28"/>
  <c r="AX264" i="28" s="1"/>
  <c r="AO264" i="28"/>
  <c r="BJ264" i="28" s="1"/>
  <c r="AD264" i="28"/>
  <c r="AY264" i="28" s="1"/>
  <c r="AP264" i="28"/>
  <c r="BK264" i="28" s="1"/>
  <c r="AF264" i="28"/>
  <c r="BA264" i="28" s="1"/>
  <c r="AR264" i="28"/>
  <c r="BM264" i="28" s="1"/>
  <c r="AG264" i="28"/>
  <c r="BB264" i="28" s="1"/>
  <c r="AE264" i="28"/>
  <c r="AZ264" i="28" s="1"/>
  <c r="AH264" i="28"/>
  <c r="BC264" i="28" s="1"/>
  <c r="AK264" i="28"/>
  <c r="BF264" i="28" s="1"/>
  <c r="AQ264" i="28"/>
  <c r="BL264" i="28" s="1"/>
  <c r="Y264" i="28"/>
  <c r="AT264" i="28" s="1"/>
  <c r="AG336" i="28"/>
  <c r="BB336" i="28" s="1"/>
  <c r="AH336" i="28"/>
  <c r="BC336" i="28" s="1"/>
  <c r="AI336" i="28"/>
  <c r="BD336" i="28" s="1"/>
  <c r="AJ336" i="28"/>
  <c r="BE336" i="28" s="1"/>
  <c r="Y336" i="28"/>
  <c r="AT336" i="28" s="1"/>
  <c r="AK336" i="28"/>
  <c r="BF336" i="28" s="1"/>
  <c r="Z336" i="28"/>
  <c r="AL336" i="28"/>
  <c r="BG336" i="28" s="1"/>
  <c r="AA336" i="28"/>
  <c r="AV336" i="28" s="1"/>
  <c r="AM336" i="28"/>
  <c r="BH336" i="28" s="1"/>
  <c r="AB336" i="28"/>
  <c r="AW336" i="28" s="1"/>
  <c r="AN336" i="28"/>
  <c r="BI336" i="28" s="1"/>
  <c r="AC336" i="28"/>
  <c r="AX336" i="28" s="1"/>
  <c r="AO336" i="28"/>
  <c r="BJ336" i="28" s="1"/>
  <c r="AD336" i="28"/>
  <c r="AY336" i="28" s="1"/>
  <c r="AP336" i="28"/>
  <c r="BK336" i="28" s="1"/>
  <c r="AE336" i="28"/>
  <c r="AZ336" i="28" s="1"/>
  <c r="AQ336" i="28"/>
  <c r="BL336" i="28" s="1"/>
  <c r="AF336" i="28"/>
  <c r="BA336" i="28" s="1"/>
  <c r="AR336" i="28"/>
  <c r="BM336" i="28" s="1"/>
  <c r="AA229" i="28"/>
  <c r="AV229" i="28" s="1"/>
  <c r="AM229" i="28"/>
  <c r="BH229" i="28" s="1"/>
  <c r="AB229" i="28"/>
  <c r="AW229" i="28" s="1"/>
  <c r="AN229" i="28"/>
  <c r="BI229" i="28" s="1"/>
  <c r="AD229" i="28"/>
  <c r="AY229" i="28" s="1"/>
  <c r="AP229" i="28"/>
  <c r="BK229" i="28" s="1"/>
  <c r="AE229" i="28"/>
  <c r="AZ229" i="28" s="1"/>
  <c r="AQ229" i="28"/>
  <c r="BL229" i="28" s="1"/>
  <c r="AF229" i="28"/>
  <c r="BA229" i="28" s="1"/>
  <c r="AR229" i="28"/>
  <c r="BM229" i="28" s="1"/>
  <c r="AG229" i="28"/>
  <c r="BB229" i="28" s="1"/>
  <c r="AH229" i="28"/>
  <c r="BC229" i="28" s="1"/>
  <c r="AI229" i="28"/>
  <c r="BD229" i="28" s="1"/>
  <c r="AJ229" i="28"/>
  <c r="BE229" i="28" s="1"/>
  <c r="Y229" i="28"/>
  <c r="AT229" i="28" s="1"/>
  <c r="AK229" i="28"/>
  <c r="BF229" i="28" s="1"/>
  <c r="AO229" i="28"/>
  <c r="BJ229" i="28" s="1"/>
  <c r="Z229" i="28"/>
  <c r="AC229" i="28"/>
  <c r="AX229" i="28" s="1"/>
  <c r="AL229" i="28"/>
  <c r="BG229" i="28" s="1"/>
  <c r="AA301" i="28"/>
  <c r="AV301" i="28" s="1"/>
  <c r="AM301" i="28"/>
  <c r="BH301" i="28" s="1"/>
  <c r="AB301" i="28"/>
  <c r="AW301" i="28" s="1"/>
  <c r="AN301" i="28"/>
  <c r="BI301" i="28" s="1"/>
  <c r="AD301" i="28"/>
  <c r="AY301" i="28" s="1"/>
  <c r="AP301" i="28"/>
  <c r="BK301" i="28" s="1"/>
  <c r="AE301" i="28"/>
  <c r="AZ301" i="28" s="1"/>
  <c r="AQ301" i="28"/>
  <c r="BL301" i="28" s="1"/>
  <c r="AF301" i="28"/>
  <c r="BA301" i="28" s="1"/>
  <c r="AR301" i="28"/>
  <c r="BM301" i="28" s="1"/>
  <c r="AG301" i="28"/>
  <c r="BB301" i="28" s="1"/>
  <c r="AH301" i="28"/>
  <c r="BC301" i="28" s="1"/>
  <c r="AJ301" i="28"/>
  <c r="BE301" i="28" s="1"/>
  <c r="Y301" i="28"/>
  <c r="AT301" i="28" s="1"/>
  <c r="AK301" i="28"/>
  <c r="BF301" i="28" s="1"/>
  <c r="Z301" i="28"/>
  <c r="AC301" i="28"/>
  <c r="AX301" i="28" s="1"/>
  <c r="AI301" i="28"/>
  <c r="BD301" i="28" s="1"/>
  <c r="AL301" i="28"/>
  <c r="BG301" i="28" s="1"/>
  <c r="AO301" i="28"/>
  <c r="BJ301" i="28" s="1"/>
  <c r="Y373" i="28"/>
  <c r="AT373" i="28" s="1"/>
  <c r="AK373" i="28"/>
  <c r="BF373" i="28" s="1"/>
  <c r="Z373" i="28"/>
  <c r="AL373" i="28"/>
  <c r="BG373" i="28" s="1"/>
  <c r="AA373" i="28"/>
  <c r="AV373" i="28" s="1"/>
  <c r="AM373" i="28"/>
  <c r="BH373" i="28" s="1"/>
  <c r="AB373" i="28"/>
  <c r="AW373" i="28" s="1"/>
  <c r="AN373" i="28"/>
  <c r="BI373" i="28" s="1"/>
  <c r="AC373" i="28"/>
  <c r="AX373" i="28" s="1"/>
  <c r="AO373" i="28"/>
  <c r="BJ373" i="28" s="1"/>
  <c r="AD373" i="28"/>
  <c r="AY373" i="28" s="1"/>
  <c r="AP373" i="28"/>
  <c r="BK373" i="28" s="1"/>
  <c r="AE373" i="28"/>
  <c r="AZ373" i="28" s="1"/>
  <c r="AQ373" i="28"/>
  <c r="BL373" i="28" s="1"/>
  <c r="AF373" i="28"/>
  <c r="BA373" i="28" s="1"/>
  <c r="AR373" i="28"/>
  <c r="BM373" i="28" s="1"/>
  <c r="AG373" i="28"/>
  <c r="BB373" i="28" s="1"/>
  <c r="AH373" i="28"/>
  <c r="BC373" i="28" s="1"/>
  <c r="AI373" i="28"/>
  <c r="BD373" i="28" s="1"/>
  <c r="AJ373" i="28"/>
  <c r="BE373" i="28" s="1"/>
  <c r="AE272" i="28"/>
  <c r="AZ272" i="28" s="1"/>
  <c r="AQ272" i="28"/>
  <c r="BL272" i="28" s="1"/>
  <c r="AF272" i="28"/>
  <c r="BA272" i="28" s="1"/>
  <c r="AR272" i="28"/>
  <c r="BM272" i="28" s="1"/>
  <c r="AH272" i="28"/>
  <c r="BC272" i="28" s="1"/>
  <c r="AI272" i="28"/>
  <c r="BD272" i="28" s="1"/>
  <c r="AJ272" i="28"/>
  <c r="BE272" i="28" s="1"/>
  <c r="Y272" i="28"/>
  <c r="AT272" i="28" s="1"/>
  <c r="AK272" i="28"/>
  <c r="BF272" i="28" s="1"/>
  <c r="Z272" i="28"/>
  <c r="AL272" i="28"/>
  <c r="BG272" i="28" s="1"/>
  <c r="AB272" i="28"/>
  <c r="AW272" i="28" s="1"/>
  <c r="AN272" i="28"/>
  <c r="BI272" i="28" s="1"/>
  <c r="AC272" i="28"/>
  <c r="AX272" i="28" s="1"/>
  <c r="AO272" i="28"/>
  <c r="BJ272" i="28" s="1"/>
  <c r="AA272" i="28"/>
  <c r="AV272" i="28" s="1"/>
  <c r="AD272" i="28"/>
  <c r="AY272" i="28" s="1"/>
  <c r="AG272" i="28"/>
  <c r="BB272" i="28" s="1"/>
  <c r="AM272" i="28"/>
  <c r="BH272" i="28" s="1"/>
  <c r="AP272" i="28"/>
  <c r="BK272" i="28" s="1"/>
  <c r="AC344" i="28"/>
  <c r="AX344" i="28" s="1"/>
  <c r="AO344" i="28"/>
  <c r="BJ344" i="28" s="1"/>
  <c r="AD344" i="28"/>
  <c r="AY344" i="28" s="1"/>
  <c r="AP344" i="28"/>
  <c r="BK344" i="28" s="1"/>
  <c r="AE344" i="28"/>
  <c r="AZ344" i="28" s="1"/>
  <c r="AQ344" i="28"/>
  <c r="BL344" i="28" s="1"/>
  <c r="AF344" i="28"/>
  <c r="BA344" i="28" s="1"/>
  <c r="AR344" i="28"/>
  <c r="BM344" i="28" s="1"/>
  <c r="AG344" i="28"/>
  <c r="BB344" i="28" s="1"/>
  <c r="AH344" i="28"/>
  <c r="BC344" i="28" s="1"/>
  <c r="AI344" i="28"/>
  <c r="BD344" i="28" s="1"/>
  <c r="AJ344" i="28"/>
  <c r="BE344" i="28" s="1"/>
  <c r="Y344" i="28"/>
  <c r="AT344" i="28" s="1"/>
  <c r="AK344" i="28"/>
  <c r="BF344" i="28" s="1"/>
  <c r="Z344" i="28"/>
  <c r="AL344" i="28"/>
  <c r="BG344" i="28" s="1"/>
  <c r="AA344" i="28"/>
  <c r="AV344" i="28" s="1"/>
  <c r="AM344" i="28"/>
  <c r="BH344" i="28" s="1"/>
  <c r="AB344" i="28"/>
  <c r="AW344" i="28" s="1"/>
  <c r="AN344" i="28"/>
  <c r="BI344" i="28" s="1"/>
  <c r="AX396" i="30"/>
  <c r="BB396" i="30"/>
  <c r="AD306" i="24"/>
  <c r="AY306" i="24" s="1"/>
  <c r="AP306" i="24"/>
  <c r="BK306" i="24" s="1"/>
  <c r="AE306" i="24"/>
  <c r="AZ306" i="24" s="1"/>
  <c r="AQ306" i="24"/>
  <c r="BL306" i="24" s="1"/>
  <c r="AO306" i="24"/>
  <c r="BJ306" i="24" s="1"/>
  <c r="AF306" i="24"/>
  <c r="BA306" i="24" s="1"/>
  <c r="AR306" i="24"/>
  <c r="BM306" i="24" s="1"/>
  <c r="AG306" i="24"/>
  <c r="BB306" i="24" s="1"/>
  <c r="AH306" i="24"/>
  <c r="BC306" i="24" s="1"/>
  <c r="Y306" i="24"/>
  <c r="AT306" i="24" s="1"/>
  <c r="AI306" i="24"/>
  <c r="BD306" i="24" s="1"/>
  <c r="AJ306" i="24"/>
  <c r="BE306" i="24" s="1"/>
  <c r="AK306" i="24"/>
  <c r="BF306" i="24" s="1"/>
  <c r="Z306" i="24"/>
  <c r="AL306" i="24"/>
  <c r="BG306" i="24" s="1"/>
  <c r="AC306" i="24"/>
  <c r="AX306" i="24" s="1"/>
  <c r="AA306" i="24"/>
  <c r="AV306" i="24" s="1"/>
  <c r="AM306" i="24"/>
  <c r="BH306" i="24" s="1"/>
  <c r="AB306" i="24"/>
  <c r="AW306" i="24" s="1"/>
  <c r="AN306" i="24"/>
  <c r="BI306" i="24" s="1"/>
  <c r="AF352" i="24"/>
  <c r="BA352" i="24" s="1"/>
  <c r="AR352" i="24"/>
  <c r="BM352" i="24" s="1"/>
  <c r="AG352" i="24"/>
  <c r="BB352" i="24" s="1"/>
  <c r="Y352" i="24"/>
  <c r="AT352" i="24" s="1"/>
  <c r="AQ352" i="24"/>
  <c r="BL352" i="24" s="1"/>
  <c r="AH352" i="24"/>
  <c r="BC352" i="24" s="1"/>
  <c r="AI352" i="24"/>
  <c r="BD352" i="24" s="1"/>
  <c r="AJ352" i="24"/>
  <c r="BE352" i="24" s="1"/>
  <c r="AK352" i="24"/>
  <c r="BF352" i="24" s="1"/>
  <c r="Z352" i="24"/>
  <c r="AL352" i="24"/>
  <c r="BG352" i="24" s="1"/>
  <c r="AA352" i="24"/>
  <c r="AV352" i="24" s="1"/>
  <c r="AM352" i="24"/>
  <c r="BH352" i="24" s="1"/>
  <c r="AE352" i="24"/>
  <c r="AZ352" i="24" s="1"/>
  <c r="AB352" i="24"/>
  <c r="AW352" i="24" s="1"/>
  <c r="AN352" i="24"/>
  <c r="BI352" i="24" s="1"/>
  <c r="AC352" i="24"/>
  <c r="AX352" i="24" s="1"/>
  <c r="AO352" i="24"/>
  <c r="BJ352" i="24" s="1"/>
  <c r="AD352" i="24"/>
  <c r="AY352" i="24" s="1"/>
  <c r="AP352" i="24"/>
  <c r="BK352" i="24" s="1"/>
  <c r="AA88" i="24"/>
  <c r="AV88" i="24" s="1"/>
  <c r="AM88" i="24"/>
  <c r="BH88" i="24" s="1"/>
  <c r="AB88" i="24"/>
  <c r="AW88" i="24" s="1"/>
  <c r="AN88" i="24"/>
  <c r="BI88" i="24" s="1"/>
  <c r="AC88" i="24"/>
  <c r="AX88" i="24" s="1"/>
  <c r="AO88" i="24"/>
  <c r="BJ88" i="24" s="1"/>
  <c r="AD88" i="24"/>
  <c r="AY88" i="24" s="1"/>
  <c r="AP88" i="24"/>
  <c r="BK88" i="24" s="1"/>
  <c r="AE88" i="24"/>
  <c r="AZ88" i="24" s="1"/>
  <c r="AQ88" i="24"/>
  <c r="BL88" i="24" s="1"/>
  <c r="AF88" i="24"/>
  <c r="BA88" i="24" s="1"/>
  <c r="AR88" i="24"/>
  <c r="BM88" i="24" s="1"/>
  <c r="AG88" i="24"/>
  <c r="BB88" i="24" s="1"/>
  <c r="AH88" i="24"/>
  <c r="BC88" i="24" s="1"/>
  <c r="AI88" i="24"/>
  <c r="BD88" i="24" s="1"/>
  <c r="AJ88" i="24"/>
  <c r="BE88" i="24" s="1"/>
  <c r="AK88" i="24"/>
  <c r="BF88" i="24" s="1"/>
  <c r="Z88" i="24"/>
  <c r="AL88" i="24"/>
  <c r="BG88" i="24" s="1"/>
  <c r="Y88" i="24"/>
  <c r="AT88" i="24" s="1"/>
  <c r="AB160" i="24"/>
  <c r="AW160" i="24" s="1"/>
  <c r="AN160" i="24"/>
  <c r="BI160" i="24" s="1"/>
  <c r="AC160" i="24"/>
  <c r="AX160" i="24" s="1"/>
  <c r="AO160" i="24"/>
  <c r="BJ160" i="24" s="1"/>
  <c r="AD160" i="24"/>
  <c r="AY160" i="24" s="1"/>
  <c r="AP160" i="24"/>
  <c r="BK160" i="24" s="1"/>
  <c r="AE160" i="24"/>
  <c r="AZ160" i="24" s="1"/>
  <c r="AQ160" i="24"/>
  <c r="BL160" i="24" s="1"/>
  <c r="AF160" i="24"/>
  <c r="BA160" i="24" s="1"/>
  <c r="AR160" i="24"/>
  <c r="BM160" i="24" s="1"/>
  <c r="AG160" i="24"/>
  <c r="BB160" i="24" s="1"/>
  <c r="AH160" i="24"/>
  <c r="BC160" i="24" s="1"/>
  <c r="AI160" i="24"/>
  <c r="BD160" i="24" s="1"/>
  <c r="AJ160" i="24"/>
  <c r="BE160" i="24" s="1"/>
  <c r="AK160" i="24"/>
  <c r="BF160" i="24" s="1"/>
  <c r="Z160" i="24"/>
  <c r="AL160" i="24"/>
  <c r="BG160" i="24" s="1"/>
  <c r="Y160" i="24"/>
  <c r="AT160" i="24" s="1"/>
  <c r="AM160" i="24"/>
  <c r="BH160" i="24" s="1"/>
  <c r="AA160" i="24"/>
  <c r="AV160" i="24" s="1"/>
  <c r="AB232" i="24"/>
  <c r="AW232" i="24" s="1"/>
  <c r="AN232" i="24"/>
  <c r="BI232" i="24" s="1"/>
  <c r="AC232" i="24"/>
  <c r="AX232" i="24" s="1"/>
  <c r="AO232" i="24"/>
  <c r="BJ232" i="24" s="1"/>
  <c r="AD232" i="24"/>
  <c r="AY232" i="24" s="1"/>
  <c r="AP232" i="24"/>
  <c r="BK232" i="24" s="1"/>
  <c r="AE232" i="24"/>
  <c r="AZ232" i="24" s="1"/>
  <c r="AQ232" i="24"/>
  <c r="BL232" i="24" s="1"/>
  <c r="AF232" i="24"/>
  <c r="BA232" i="24" s="1"/>
  <c r="AR232" i="24"/>
  <c r="BM232" i="24" s="1"/>
  <c r="AG232" i="24"/>
  <c r="BB232" i="24" s="1"/>
  <c r="AH232" i="24"/>
  <c r="BC232" i="24" s="1"/>
  <c r="AI232" i="24"/>
  <c r="BD232" i="24" s="1"/>
  <c r="AJ232" i="24"/>
  <c r="BE232" i="24" s="1"/>
  <c r="AK232" i="24"/>
  <c r="BF232" i="24" s="1"/>
  <c r="Z232" i="24"/>
  <c r="AL232" i="24"/>
  <c r="BG232" i="24" s="1"/>
  <c r="Y232" i="24"/>
  <c r="AT232" i="24" s="1"/>
  <c r="AA232" i="24"/>
  <c r="AV232" i="24" s="1"/>
  <c r="AM232" i="24"/>
  <c r="BH232" i="24" s="1"/>
  <c r="AE96" i="24"/>
  <c r="AZ96" i="24" s="1"/>
  <c r="AQ96" i="24"/>
  <c r="BL96" i="24" s="1"/>
  <c r="AF96" i="24"/>
  <c r="BA96" i="24" s="1"/>
  <c r="AR96" i="24"/>
  <c r="BM96" i="24" s="1"/>
  <c r="AG96" i="24"/>
  <c r="BB96" i="24" s="1"/>
  <c r="AH96" i="24"/>
  <c r="BC96" i="24" s="1"/>
  <c r="AI96" i="24"/>
  <c r="BD96" i="24" s="1"/>
  <c r="AJ96" i="24"/>
  <c r="BE96" i="24" s="1"/>
  <c r="AK96" i="24"/>
  <c r="BF96" i="24" s="1"/>
  <c r="Z96" i="24"/>
  <c r="AL96" i="24"/>
  <c r="BG96" i="24" s="1"/>
  <c r="AA96" i="24"/>
  <c r="AV96" i="24" s="1"/>
  <c r="AM96" i="24"/>
  <c r="BH96" i="24" s="1"/>
  <c r="AB96" i="24"/>
  <c r="AW96" i="24" s="1"/>
  <c r="AN96" i="24"/>
  <c r="BI96" i="24" s="1"/>
  <c r="AC96" i="24"/>
  <c r="AX96" i="24" s="1"/>
  <c r="AO96" i="24"/>
  <c r="BJ96" i="24" s="1"/>
  <c r="AD96" i="24"/>
  <c r="AY96" i="24" s="1"/>
  <c r="AP96" i="24"/>
  <c r="BK96" i="24" s="1"/>
  <c r="Y96" i="24"/>
  <c r="AT96" i="24" s="1"/>
  <c r="AF168" i="24"/>
  <c r="BA168" i="24" s="1"/>
  <c r="AR168" i="24"/>
  <c r="BM168" i="24" s="1"/>
  <c r="AG168" i="24"/>
  <c r="BB168" i="24" s="1"/>
  <c r="AH168" i="24"/>
  <c r="BC168" i="24" s="1"/>
  <c r="AI168" i="24"/>
  <c r="BD168" i="24" s="1"/>
  <c r="AJ168" i="24"/>
  <c r="BE168" i="24" s="1"/>
  <c r="AK168" i="24"/>
  <c r="BF168" i="24" s="1"/>
  <c r="Z168" i="24"/>
  <c r="AL168" i="24"/>
  <c r="BG168" i="24" s="1"/>
  <c r="AA168" i="24"/>
  <c r="AV168" i="24" s="1"/>
  <c r="AM168" i="24"/>
  <c r="BH168" i="24" s="1"/>
  <c r="AB168" i="24"/>
  <c r="AW168" i="24" s="1"/>
  <c r="AN168" i="24"/>
  <c r="BI168" i="24" s="1"/>
  <c r="AC168" i="24"/>
  <c r="AX168" i="24" s="1"/>
  <c r="AO168" i="24"/>
  <c r="BJ168" i="24" s="1"/>
  <c r="AD168" i="24"/>
  <c r="AY168" i="24" s="1"/>
  <c r="AP168" i="24"/>
  <c r="BK168" i="24" s="1"/>
  <c r="AQ168" i="24"/>
  <c r="BL168" i="24" s="1"/>
  <c r="AE168" i="24"/>
  <c r="AZ168" i="24" s="1"/>
  <c r="Y168" i="24"/>
  <c r="AT168" i="24" s="1"/>
  <c r="AF240" i="24"/>
  <c r="BA240" i="24" s="1"/>
  <c r="AR240" i="24"/>
  <c r="BM240" i="24" s="1"/>
  <c r="AG240" i="24"/>
  <c r="BB240" i="24" s="1"/>
  <c r="AH240" i="24"/>
  <c r="BC240" i="24" s="1"/>
  <c r="AI240" i="24"/>
  <c r="BD240" i="24" s="1"/>
  <c r="AJ240" i="24"/>
  <c r="BE240" i="24" s="1"/>
  <c r="AK240" i="24"/>
  <c r="BF240" i="24" s="1"/>
  <c r="Z240" i="24"/>
  <c r="AL240" i="24"/>
  <c r="BG240" i="24" s="1"/>
  <c r="AA240" i="24"/>
  <c r="AV240" i="24" s="1"/>
  <c r="AM240" i="24"/>
  <c r="BH240" i="24" s="1"/>
  <c r="AB240" i="24"/>
  <c r="AW240" i="24" s="1"/>
  <c r="AN240" i="24"/>
  <c r="BI240" i="24" s="1"/>
  <c r="AC240" i="24"/>
  <c r="AX240" i="24" s="1"/>
  <c r="AO240" i="24"/>
  <c r="BJ240" i="24" s="1"/>
  <c r="AD240" i="24"/>
  <c r="AY240" i="24" s="1"/>
  <c r="AP240" i="24"/>
  <c r="BK240" i="24" s="1"/>
  <c r="AE240" i="24"/>
  <c r="AZ240" i="24" s="1"/>
  <c r="AQ240" i="24"/>
  <c r="BL240" i="24" s="1"/>
  <c r="Y240" i="24"/>
  <c r="AT240" i="24" s="1"/>
  <c r="AJ312" i="24"/>
  <c r="BE312" i="24" s="1"/>
  <c r="AK312" i="24"/>
  <c r="BF312" i="24" s="1"/>
  <c r="Z312" i="24"/>
  <c r="AL312" i="24"/>
  <c r="BG312" i="24" s="1"/>
  <c r="AA312" i="24"/>
  <c r="AV312" i="24" s="1"/>
  <c r="AM312" i="24"/>
  <c r="BH312" i="24" s="1"/>
  <c r="AB312" i="24"/>
  <c r="AW312" i="24" s="1"/>
  <c r="AN312" i="24"/>
  <c r="BI312" i="24" s="1"/>
  <c r="AC312" i="24"/>
  <c r="AX312" i="24" s="1"/>
  <c r="AO312" i="24"/>
  <c r="BJ312" i="24" s="1"/>
  <c r="AD312" i="24"/>
  <c r="AY312" i="24" s="1"/>
  <c r="AP312" i="24"/>
  <c r="BK312" i="24" s="1"/>
  <c r="AE312" i="24"/>
  <c r="AZ312" i="24" s="1"/>
  <c r="AQ312" i="24"/>
  <c r="BL312" i="24" s="1"/>
  <c r="AF312" i="24"/>
  <c r="BA312" i="24" s="1"/>
  <c r="AR312" i="24"/>
  <c r="BM312" i="24" s="1"/>
  <c r="AG312" i="24"/>
  <c r="BB312" i="24" s="1"/>
  <c r="AI312" i="24"/>
  <c r="BD312" i="24" s="1"/>
  <c r="AH312" i="24"/>
  <c r="BC312" i="24" s="1"/>
  <c r="Y312" i="24"/>
  <c r="AT312" i="24" s="1"/>
  <c r="AE384" i="24"/>
  <c r="AZ384" i="24" s="1"/>
  <c r="AQ384" i="24"/>
  <c r="BL384" i="24" s="1"/>
  <c r="AF384" i="24"/>
  <c r="BA384" i="24" s="1"/>
  <c r="AR384" i="24"/>
  <c r="BM384" i="24" s="1"/>
  <c r="AG384" i="24"/>
  <c r="BB384" i="24" s="1"/>
  <c r="AH384" i="24"/>
  <c r="BC384" i="24" s="1"/>
  <c r="AI384" i="24"/>
  <c r="BD384" i="24" s="1"/>
  <c r="AA384" i="24"/>
  <c r="AV384" i="24" s="1"/>
  <c r="AD384" i="24"/>
  <c r="AY384" i="24" s="1"/>
  <c r="AJ384" i="24"/>
  <c r="BE384" i="24" s="1"/>
  <c r="AK384" i="24"/>
  <c r="BF384" i="24" s="1"/>
  <c r="Z384" i="24"/>
  <c r="AL384" i="24"/>
  <c r="BG384" i="24" s="1"/>
  <c r="AM384" i="24"/>
  <c r="BH384" i="24" s="1"/>
  <c r="AP384" i="24"/>
  <c r="BK384" i="24" s="1"/>
  <c r="AB384" i="24"/>
  <c r="AW384" i="24" s="1"/>
  <c r="AN384" i="24"/>
  <c r="BI384" i="24" s="1"/>
  <c r="Y384" i="24"/>
  <c r="AT384" i="24" s="1"/>
  <c r="AC384" i="24"/>
  <c r="AX384" i="24" s="1"/>
  <c r="AO384" i="24"/>
  <c r="BJ384" i="24" s="1"/>
  <c r="AJ73" i="24"/>
  <c r="BE73" i="24" s="1"/>
  <c r="AK73" i="24"/>
  <c r="BF73" i="24" s="1"/>
  <c r="Z73" i="24"/>
  <c r="AL73" i="24"/>
  <c r="BG73" i="24" s="1"/>
  <c r="AA73" i="24"/>
  <c r="AV73" i="24" s="1"/>
  <c r="AM73" i="24"/>
  <c r="BH73" i="24" s="1"/>
  <c r="AB73" i="24"/>
  <c r="AW73" i="24" s="1"/>
  <c r="AN73" i="24"/>
  <c r="BI73" i="24" s="1"/>
  <c r="AC73" i="24"/>
  <c r="AX73" i="24" s="1"/>
  <c r="AO73" i="24"/>
  <c r="BJ73" i="24" s="1"/>
  <c r="AD73" i="24"/>
  <c r="AY73" i="24" s="1"/>
  <c r="AP73" i="24"/>
  <c r="BK73" i="24" s="1"/>
  <c r="AE73" i="24"/>
  <c r="AZ73" i="24" s="1"/>
  <c r="AQ73" i="24"/>
  <c r="BL73" i="24" s="1"/>
  <c r="AF73" i="24"/>
  <c r="BA73" i="24" s="1"/>
  <c r="AR73" i="24"/>
  <c r="BM73" i="24" s="1"/>
  <c r="AG73" i="24"/>
  <c r="BB73" i="24" s="1"/>
  <c r="AH73" i="24"/>
  <c r="BC73" i="24" s="1"/>
  <c r="AI73" i="24"/>
  <c r="BD73" i="24" s="1"/>
  <c r="Y73" i="24"/>
  <c r="AT73" i="24" s="1"/>
  <c r="AD79" i="24"/>
  <c r="AY79" i="24" s="1"/>
  <c r="AP79" i="24"/>
  <c r="BK79" i="24" s="1"/>
  <c r="AE79" i="24"/>
  <c r="AZ79" i="24" s="1"/>
  <c r="AQ79" i="24"/>
  <c r="BL79" i="24" s="1"/>
  <c r="AF79" i="24"/>
  <c r="BA79" i="24" s="1"/>
  <c r="AR79" i="24"/>
  <c r="BM79" i="24" s="1"/>
  <c r="AG79" i="24"/>
  <c r="BB79" i="24" s="1"/>
  <c r="AH79" i="24"/>
  <c r="BC79" i="24" s="1"/>
  <c r="AI79" i="24"/>
  <c r="BD79" i="24" s="1"/>
  <c r="AJ79" i="24"/>
  <c r="BE79" i="24" s="1"/>
  <c r="AK79" i="24"/>
  <c r="BF79" i="24" s="1"/>
  <c r="Z79" i="24"/>
  <c r="AL79" i="24"/>
  <c r="BG79" i="24" s="1"/>
  <c r="AA79" i="24"/>
  <c r="AV79" i="24" s="1"/>
  <c r="AM79" i="24"/>
  <c r="BH79" i="24" s="1"/>
  <c r="AB79" i="24"/>
  <c r="AW79" i="24" s="1"/>
  <c r="AN79" i="24"/>
  <c r="BI79" i="24" s="1"/>
  <c r="AC79" i="24"/>
  <c r="AX79" i="24" s="1"/>
  <c r="AO79" i="24"/>
  <c r="BJ79" i="24" s="1"/>
  <c r="Y79" i="24"/>
  <c r="AT79" i="24" s="1"/>
  <c r="AE151" i="24"/>
  <c r="AZ151" i="24" s="1"/>
  <c r="AQ151" i="24"/>
  <c r="BL151" i="24" s="1"/>
  <c r="AF151" i="24"/>
  <c r="BA151" i="24" s="1"/>
  <c r="AR151" i="24"/>
  <c r="BM151" i="24" s="1"/>
  <c r="AG151" i="24"/>
  <c r="BB151" i="24" s="1"/>
  <c r="AH151" i="24"/>
  <c r="BC151" i="24" s="1"/>
  <c r="AI151" i="24"/>
  <c r="BD151" i="24" s="1"/>
  <c r="AJ151" i="24"/>
  <c r="BE151" i="24" s="1"/>
  <c r="AK151" i="24"/>
  <c r="BF151" i="24" s="1"/>
  <c r="Z151" i="24"/>
  <c r="AL151" i="24"/>
  <c r="BG151" i="24" s="1"/>
  <c r="AA151" i="24"/>
  <c r="AV151" i="24" s="1"/>
  <c r="AM151" i="24"/>
  <c r="BH151" i="24" s="1"/>
  <c r="AB151" i="24"/>
  <c r="AW151" i="24" s="1"/>
  <c r="AN151" i="24"/>
  <c r="BI151" i="24" s="1"/>
  <c r="AC151" i="24"/>
  <c r="AX151" i="24" s="1"/>
  <c r="AO151" i="24"/>
  <c r="BJ151" i="24" s="1"/>
  <c r="Y151" i="24"/>
  <c r="AT151" i="24" s="1"/>
  <c r="AD151" i="24"/>
  <c r="AY151" i="24" s="1"/>
  <c r="AP151" i="24"/>
  <c r="BK151" i="24" s="1"/>
  <c r="AC325" i="24"/>
  <c r="AX325" i="24" s="1"/>
  <c r="AO325" i="24"/>
  <c r="BJ325" i="24" s="1"/>
  <c r="AD325" i="24"/>
  <c r="AY325" i="24" s="1"/>
  <c r="AP325" i="24"/>
  <c r="BK325" i="24" s="1"/>
  <c r="Y325" i="24"/>
  <c r="AT325" i="24" s="1"/>
  <c r="AE325" i="24"/>
  <c r="AZ325" i="24" s="1"/>
  <c r="AQ325" i="24"/>
  <c r="BL325" i="24" s="1"/>
  <c r="AF325" i="24"/>
  <c r="BA325" i="24" s="1"/>
  <c r="AR325" i="24"/>
  <c r="BM325" i="24" s="1"/>
  <c r="AN325" i="24"/>
  <c r="BI325" i="24" s="1"/>
  <c r="AG325" i="24"/>
  <c r="BB325" i="24" s="1"/>
  <c r="AB325" i="24"/>
  <c r="AW325" i="24" s="1"/>
  <c r="AH325" i="24"/>
  <c r="BC325" i="24" s="1"/>
  <c r="AI325" i="24"/>
  <c r="BD325" i="24" s="1"/>
  <c r="AJ325" i="24"/>
  <c r="BE325" i="24" s="1"/>
  <c r="AK325" i="24"/>
  <c r="BF325" i="24" s="1"/>
  <c r="Z325" i="24"/>
  <c r="AL325" i="24"/>
  <c r="BG325" i="24" s="1"/>
  <c r="AA325" i="24"/>
  <c r="AV325" i="24" s="1"/>
  <c r="AM325" i="24"/>
  <c r="BH325" i="24" s="1"/>
  <c r="AC129" i="24"/>
  <c r="AX129" i="24" s="1"/>
  <c r="AO129" i="24"/>
  <c r="BJ129" i="24" s="1"/>
  <c r="AD129" i="24"/>
  <c r="AY129" i="24" s="1"/>
  <c r="AP129" i="24"/>
  <c r="BK129" i="24" s="1"/>
  <c r="AE129" i="24"/>
  <c r="AZ129" i="24" s="1"/>
  <c r="AQ129" i="24"/>
  <c r="BL129" i="24" s="1"/>
  <c r="AF129" i="24"/>
  <c r="BA129" i="24" s="1"/>
  <c r="AR129" i="24"/>
  <c r="BM129" i="24" s="1"/>
  <c r="AG129" i="24"/>
  <c r="BB129" i="24" s="1"/>
  <c r="AH129" i="24"/>
  <c r="BC129" i="24" s="1"/>
  <c r="AI129" i="24"/>
  <c r="BD129" i="24" s="1"/>
  <c r="AJ129" i="24"/>
  <c r="BE129" i="24" s="1"/>
  <c r="AK129" i="24"/>
  <c r="BF129" i="24" s="1"/>
  <c r="Z129" i="24"/>
  <c r="AL129" i="24"/>
  <c r="BG129" i="24" s="1"/>
  <c r="AA129" i="24"/>
  <c r="AV129" i="24" s="1"/>
  <c r="AM129" i="24"/>
  <c r="BH129" i="24" s="1"/>
  <c r="Y129" i="24"/>
  <c r="AT129" i="24" s="1"/>
  <c r="AB129" i="24"/>
  <c r="AW129" i="24" s="1"/>
  <c r="AN129" i="24"/>
  <c r="BI129" i="24" s="1"/>
  <c r="AC201" i="24"/>
  <c r="AX201" i="24" s="1"/>
  <c r="AO201" i="24"/>
  <c r="BJ201" i="24" s="1"/>
  <c r="AD201" i="24"/>
  <c r="AY201" i="24" s="1"/>
  <c r="AP201" i="24"/>
  <c r="BK201" i="24" s="1"/>
  <c r="AE201" i="24"/>
  <c r="AZ201" i="24" s="1"/>
  <c r="AQ201" i="24"/>
  <c r="BL201" i="24" s="1"/>
  <c r="AF201" i="24"/>
  <c r="BA201" i="24" s="1"/>
  <c r="AR201" i="24"/>
  <c r="BM201" i="24" s="1"/>
  <c r="AG201" i="24"/>
  <c r="BB201" i="24" s="1"/>
  <c r="AH201" i="24"/>
  <c r="BC201" i="24" s="1"/>
  <c r="AI201" i="24"/>
  <c r="BD201" i="24" s="1"/>
  <c r="AJ201" i="24"/>
  <c r="BE201" i="24" s="1"/>
  <c r="AK201" i="24"/>
  <c r="BF201" i="24" s="1"/>
  <c r="Z201" i="24"/>
  <c r="AL201" i="24"/>
  <c r="BG201" i="24" s="1"/>
  <c r="AA201" i="24"/>
  <c r="AV201" i="24" s="1"/>
  <c r="AM201" i="24"/>
  <c r="BH201" i="24" s="1"/>
  <c r="AB201" i="24"/>
  <c r="AW201" i="24" s="1"/>
  <c r="AN201" i="24"/>
  <c r="BI201" i="24" s="1"/>
  <c r="Y201" i="24"/>
  <c r="AT201" i="24" s="1"/>
  <c r="AC273" i="24"/>
  <c r="AX273" i="24" s="1"/>
  <c r="AO273" i="24"/>
  <c r="BJ273" i="24" s="1"/>
  <c r="AD273" i="24"/>
  <c r="AY273" i="24" s="1"/>
  <c r="AP273" i="24"/>
  <c r="BK273" i="24" s="1"/>
  <c r="AE273" i="24"/>
  <c r="AZ273" i="24" s="1"/>
  <c r="AQ273" i="24"/>
  <c r="BL273" i="24" s="1"/>
  <c r="AF273" i="24"/>
  <c r="BA273" i="24" s="1"/>
  <c r="AR273" i="24"/>
  <c r="BM273" i="24" s="1"/>
  <c r="AG273" i="24"/>
  <c r="BB273" i="24" s="1"/>
  <c r="AH273" i="24"/>
  <c r="BC273" i="24" s="1"/>
  <c r="AI273" i="24"/>
  <c r="BD273" i="24" s="1"/>
  <c r="AJ273" i="24"/>
  <c r="BE273" i="24" s="1"/>
  <c r="AK273" i="24"/>
  <c r="BF273" i="24" s="1"/>
  <c r="Z273" i="24"/>
  <c r="AL273" i="24"/>
  <c r="BG273" i="24" s="1"/>
  <c r="AA273" i="24"/>
  <c r="AV273" i="24" s="1"/>
  <c r="AM273" i="24"/>
  <c r="BH273" i="24" s="1"/>
  <c r="Y273" i="24"/>
  <c r="AT273" i="24" s="1"/>
  <c r="AB273" i="24"/>
  <c r="AW273" i="24" s="1"/>
  <c r="AN273" i="24"/>
  <c r="BI273" i="24" s="1"/>
  <c r="AG345" i="24"/>
  <c r="BB345" i="24" s="1"/>
  <c r="AH345" i="24"/>
  <c r="BC345" i="24" s="1"/>
  <c r="AF345" i="24"/>
  <c r="BA345" i="24" s="1"/>
  <c r="AI345" i="24"/>
  <c r="BD345" i="24" s="1"/>
  <c r="AJ345" i="24"/>
  <c r="BE345" i="24" s="1"/>
  <c r="AK345" i="24"/>
  <c r="BF345" i="24" s="1"/>
  <c r="Z345" i="24"/>
  <c r="AL345" i="24"/>
  <c r="BG345" i="24" s="1"/>
  <c r="AA345" i="24"/>
  <c r="AV345" i="24" s="1"/>
  <c r="AM345" i="24"/>
  <c r="BH345" i="24" s="1"/>
  <c r="AB345" i="24"/>
  <c r="AW345" i="24" s="1"/>
  <c r="AN345" i="24"/>
  <c r="BI345" i="24" s="1"/>
  <c r="Y345" i="24"/>
  <c r="AT345" i="24" s="1"/>
  <c r="AC345" i="24"/>
  <c r="AX345" i="24" s="1"/>
  <c r="AO345" i="24"/>
  <c r="BJ345" i="24" s="1"/>
  <c r="AD345" i="24"/>
  <c r="AY345" i="24" s="1"/>
  <c r="AP345" i="24"/>
  <c r="BK345" i="24" s="1"/>
  <c r="AE345" i="24"/>
  <c r="AZ345" i="24" s="1"/>
  <c r="AQ345" i="24"/>
  <c r="BL345" i="24" s="1"/>
  <c r="AR345" i="24"/>
  <c r="BM345" i="24" s="1"/>
  <c r="AJ284" i="24"/>
  <c r="BE284" i="24" s="1"/>
  <c r="AK284" i="24"/>
  <c r="BF284" i="24" s="1"/>
  <c r="Z284" i="24"/>
  <c r="AL284" i="24"/>
  <c r="BG284" i="24" s="1"/>
  <c r="AA284" i="24"/>
  <c r="AV284" i="24" s="1"/>
  <c r="AM284" i="24"/>
  <c r="BH284" i="24" s="1"/>
  <c r="AB284" i="24"/>
  <c r="AW284" i="24" s="1"/>
  <c r="AN284" i="24"/>
  <c r="BI284" i="24" s="1"/>
  <c r="AC284" i="24"/>
  <c r="AX284" i="24" s="1"/>
  <c r="AO284" i="24"/>
  <c r="BJ284" i="24" s="1"/>
  <c r="AD284" i="24"/>
  <c r="AY284" i="24" s="1"/>
  <c r="AP284" i="24"/>
  <c r="BK284" i="24" s="1"/>
  <c r="AE284" i="24"/>
  <c r="AZ284" i="24" s="1"/>
  <c r="AQ284" i="24"/>
  <c r="BL284" i="24" s="1"/>
  <c r="AF284" i="24"/>
  <c r="BA284" i="24" s="1"/>
  <c r="AR284" i="24"/>
  <c r="BM284" i="24" s="1"/>
  <c r="AG284" i="24"/>
  <c r="BB284" i="24" s="1"/>
  <c r="AH284" i="24"/>
  <c r="BC284" i="24" s="1"/>
  <c r="AI284" i="24"/>
  <c r="BD284" i="24" s="1"/>
  <c r="Y284" i="24"/>
  <c r="AT284" i="24" s="1"/>
  <c r="AA167" i="24"/>
  <c r="AV167" i="24" s="1"/>
  <c r="AM167" i="24"/>
  <c r="BH167" i="24" s="1"/>
  <c r="AB167" i="24"/>
  <c r="AW167" i="24" s="1"/>
  <c r="AN167" i="24"/>
  <c r="BI167" i="24" s="1"/>
  <c r="AC167" i="24"/>
  <c r="AX167" i="24" s="1"/>
  <c r="AO167" i="24"/>
  <c r="BJ167" i="24" s="1"/>
  <c r="AD167" i="24"/>
  <c r="AY167" i="24" s="1"/>
  <c r="AP167" i="24"/>
  <c r="BK167" i="24" s="1"/>
  <c r="AE167" i="24"/>
  <c r="AZ167" i="24" s="1"/>
  <c r="AQ167" i="24"/>
  <c r="BL167" i="24" s="1"/>
  <c r="AF167" i="24"/>
  <c r="BA167" i="24" s="1"/>
  <c r="AR167" i="24"/>
  <c r="BM167" i="24" s="1"/>
  <c r="AG167" i="24"/>
  <c r="BB167" i="24" s="1"/>
  <c r="AH167" i="24"/>
  <c r="BC167" i="24" s="1"/>
  <c r="AI167" i="24"/>
  <c r="BD167" i="24" s="1"/>
  <c r="AJ167" i="24"/>
  <c r="BE167" i="24" s="1"/>
  <c r="AK167" i="24"/>
  <c r="BF167" i="24" s="1"/>
  <c r="Z167" i="24"/>
  <c r="Y167" i="24"/>
  <c r="AT167" i="24" s="1"/>
  <c r="AL167" i="24"/>
  <c r="BG167" i="24" s="1"/>
  <c r="AC374" i="24"/>
  <c r="AO374" i="24"/>
  <c r="AD374" i="24"/>
  <c r="AP374" i="24"/>
  <c r="AB374" i="24"/>
  <c r="AE374" i="24"/>
  <c r="AQ374" i="24"/>
  <c r="AF374" i="24"/>
  <c r="AR374" i="24"/>
  <c r="AG374" i="24"/>
  <c r="AH374" i="24"/>
  <c r="AI374" i="24"/>
  <c r="AN374" i="24"/>
  <c r="AJ374" i="24"/>
  <c r="AK374" i="24"/>
  <c r="Z374" i="24"/>
  <c r="AL374" i="24"/>
  <c r="AA374" i="24"/>
  <c r="AM374" i="24"/>
  <c r="Y374" i="24"/>
  <c r="AT374" i="24" s="1"/>
  <c r="Z310" i="24"/>
  <c r="AL310" i="24"/>
  <c r="BG310" i="24" s="1"/>
  <c r="AA310" i="24"/>
  <c r="AV310" i="24" s="1"/>
  <c r="AM310" i="24"/>
  <c r="BH310" i="24" s="1"/>
  <c r="AB310" i="24"/>
  <c r="AW310" i="24" s="1"/>
  <c r="AN310" i="24"/>
  <c r="BI310" i="24" s="1"/>
  <c r="AK310" i="24"/>
  <c r="BF310" i="24" s="1"/>
  <c r="AC310" i="24"/>
  <c r="AX310" i="24" s="1"/>
  <c r="AO310" i="24"/>
  <c r="BJ310" i="24" s="1"/>
  <c r="AD310" i="24"/>
  <c r="AY310" i="24" s="1"/>
  <c r="AP310" i="24"/>
  <c r="BK310" i="24" s="1"/>
  <c r="Y310" i="24"/>
  <c r="AT310" i="24" s="1"/>
  <c r="AE310" i="24"/>
  <c r="AZ310" i="24" s="1"/>
  <c r="AQ310" i="24"/>
  <c r="BL310" i="24" s="1"/>
  <c r="AF310" i="24"/>
  <c r="BA310" i="24" s="1"/>
  <c r="AR310" i="24"/>
  <c r="BM310" i="24" s="1"/>
  <c r="AG310" i="24"/>
  <c r="BB310" i="24" s="1"/>
  <c r="AH310" i="24"/>
  <c r="BC310" i="24" s="1"/>
  <c r="AI310" i="24"/>
  <c r="BD310" i="24" s="1"/>
  <c r="AJ310" i="24"/>
  <c r="BE310" i="24" s="1"/>
  <c r="AB280" i="24"/>
  <c r="AW280" i="24" s="1"/>
  <c r="AN280" i="24"/>
  <c r="BI280" i="24" s="1"/>
  <c r="AC280" i="24"/>
  <c r="AX280" i="24" s="1"/>
  <c r="AO280" i="24"/>
  <c r="BJ280" i="24" s="1"/>
  <c r="AD280" i="24"/>
  <c r="AY280" i="24" s="1"/>
  <c r="AP280" i="24"/>
  <c r="BK280" i="24" s="1"/>
  <c r="AE280" i="24"/>
  <c r="AZ280" i="24" s="1"/>
  <c r="AQ280" i="24"/>
  <c r="BL280" i="24" s="1"/>
  <c r="AF280" i="24"/>
  <c r="BA280" i="24" s="1"/>
  <c r="AR280" i="24"/>
  <c r="BM280" i="24" s="1"/>
  <c r="AG280" i="24"/>
  <c r="BB280" i="24" s="1"/>
  <c r="AH280" i="24"/>
  <c r="BC280" i="24" s="1"/>
  <c r="AI280" i="24"/>
  <c r="BD280" i="24" s="1"/>
  <c r="AJ280" i="24"/>
  <c r="BE280" i="24" s="1"/>
  <c r="AK280" i="24"/>
  <c r="BF280" i="24" s="1"/>
  <c r="Z280" i="24"/>
  <c r="AL280" i="24"/>
  <c r="BG280" i="24" s="1"/>
  <c r="Y280" i="24"/>
  <c r="AT280" i="24" s="1"/>
  <c r="AA280" i="24"/>
  <c r="AV280" i="24" s="1"/>
  <c r="AM280" i="24"/>
  <c r="BH280" i="24" s="1"/>
  <c r="AD194" i="24"/>
  <c r="AY194" i="24" s="1"/>
  <c r="AP194" i="24"/>
  <c r="BK194" i="24" s="1"/>
  <c r="AE194" i="24"/>
  <c r="AZ194" i="24" s="1"/>
  <c r="AQ194" i="24"/>
  <c r="BL194" i="24" s="1"/>
  <c r="AF194" i="24"/>
  <c r="BA194" i="24" s="1"/>
  <c r="AR194" i="24"/>
  <c r="BM194" i="24" s="1"/>
  <c r="AG194" i="24"/>
  <c r="BB194" i="24" s="1"/>
  <c r="AH194" i="24"/>
  <c r="BC194" i="24" s="1"/>
  <c r="AI194" i="24"/>
  <c r="BD194" i="24" s="1"/>
  <c r="AJ194" i="24"/>
  <c r="BE194" i="24" s="1"/>
  <c r="AK194" i="24"/>
  <c r="BF194" i="24" s="1"/>
  <c r="Z194" i="24"/>
  <c r="AL194" i="24"/>
  <c r="BG194" i="24" s="1"/>
  <c r="AA194" i="24"/>
  <c r="AV194" i="24" s="1"/>
  <c r="AM194" i="24"/>
  <c r="BH194" i="24" s="1"/>
  <c r="AB194" i="24"/>
  <c r="AW194" i="24" s="1"/>
  <c r="AN194" i="24"/>
  <c r="BI194" i="24" s="1"/>
  <c r="Y194" i="24"/>
  <c r="AT194" i="24" s="1"/>
  <c r="AC194" i="24"/>
  <c r="AX194" i="24" s="1"/>
  <c r="AO194" i="24"/>
  <c r="BJ194" i="24" s="1"/>
  <c r="AJ361" i="24"/>
  <c r="BE361" i="24" s="1"/>
  <c r="AK361" i="24"/>
  <c r="BF361" i="24" s="1"/>
  <c r="Z361" i="24"/>
  <c r="AL361" i="24"/>
  <c r="BG361" i="24" s="1"/>
  <c r="AI361" i="24"/>
  <c r="BD361" i="24" s="1"/>
  <c r="AA361" i="24"/>
  <c r="AV361" i="24" s="1"/>
  <c r="AM361" i="24"/>
  <c r="BH361" i="24" s="1"/>
  <c r="AB361" i="24"/>
  <c r="AW361" i="24" s="1"/>
  <c r="AN361" i="24"/>
  <c r="BI361" i="24" s="1"/>
  <c r="AC361" i="24"/>
  <c r="AX361" i="24" s="1"/>
  <c r="AO361" i="24"/>
  <c r="BJ361" i="24" s="1"/>
  <c r="AD361" i="24"/>
  <c r="AY361" i="24" s="1"/>
  <c r="AP361" i="24"/>
  <c r="BK361" i="24" s="1"/>
  <c r="AE361" i="24"/>
  <c r="AZ361" i="24" s="1"/>
  <c r="AQ361" i="24"/>
  <c r="BL361" i="24" s="1"/>
  <c r="AF361" i="24"/>
  <c r="BA361" i="24" s="1"/>
  <c r="AR361" i="24"/>
  <c r="BM361" i="24" s="1"/>
  <c r="AG361" i="24"/>
  <c r="BB361" i="24" s="1"/>
  <c r="AH361" i="24"/>
  <c r="BC361" i="24" s="1"/>
  <c r="Y361" i="24"/>
  <c r="AT361" i="24" s="1"/>
  <c r="AG370" i="24"/>
  <c r="AH370" i="24"/>
  <c r="AI370" i="24"/>
  <c r="AJ370" i="24"/>
  <c r="AR370" i="24"/>
  <c r="AK370" i="24"/>
  <c r="AF370" i="24"/>
  <c r="Z370" i="24"/>
  <c r="AL370" i="24"/>
  <c r="Y370" i="24"/>
  <c r="AT370" i="24" s="1"/>
  <c r="AA370" i="24"/>
  <c r="AM370" i="24"/>
  <c r="AB370" i="24"/>
  <c r="AN370" i="24"/>
  <c r="AC370" i="24"/>
  <c r="AO370" i="24"/>
  <c r="AD370" i="24"/>
  <c r="AP370" i="24"/>
  <c r="AE370" i="24"/>
  <c r="AQ370" i="24"/>
  <c r="AJ140" i="24"/>
  <c r="BE140" i="24" s="1"/>
  <c r="AK140" i="24"/>
  <c r="BF140" i="24" s="1"/>
  <c r="Z140" i="24"/>
  <c r="AL140" i="24"/>
  <c r="BG140" i="24" s="1"/>
  <c r="AA140" i="24"/>
  <c r="AV140" i="24" s="1"/>
  <c r="AM140" i="24"/>
  <c r="BH140" i="24" s="1"/>
  <c r="AB140" i="24"/>
  <c r="AW140" i="24" s="1"/>
  <c r="AN140" i="24"/>
  <c r="BI140" i="24" s="1"/>
  <c r="AC140" i="24"/>
  <c r="AX140" i="24" s="1"/>
  <c r="AO140" i="24"/>
  <c r="BJ140" i="24" s="1"/>
  <c r="AD140" i="24"/>
  <c r="AY140" i="24" s="1"/>
  <c r="AP140" i="24"/>
  <c r="BK140" i="24" s="1"/>
  <c r="AE140" i="24"/>
  <c r="AZ140" i="24" s="1"/>
  <c r="AQ140" i="24"/>
  <c r="BL140" i="24" s="1"/>
  <c r="AF140" i="24"/>
  <c r="BA140" i="24" s="1"/>
  <c r="AR140" i="24"/>
  <c r="BM140" i="24" s="1"/>
  <c r="AG140" i="24"/>
  <c r="BB140" i="24" s="1"/>
  <c r="AH140" i="24"/>
  <c r="BC140" i="24" s="1"/>
  <c r="AI140" i="24"/>
  <c r="BD140" i="24" s="1"/>
  <c r="Y140" i="24"/>
  <c r="AT140" i="24" s="1"/>
  <c r="AH302" i="24"/>
  <c r="BC302" i="24" s="1"/>
  <c r="Y302" i="24"/>
  <c r="AT302" i="24" s="1"/>
  <c r="AI302" i="24"/>
  <c r="BD302" i="24" s="1"/>
  <c r="AJ302" i="24"/>
  <c r="BE302" i="24" s="1"/>
  <c r="AK302" i="24"/>
  <c r="BF302" i="24" s="1"/>
  <c r="Z302" i="24"/>
  <c r="AL302" i="24"/>
  <c r="BG302" i="24" s="1"/>
  <c r="AA302" i="24"/>
  <c r="AV302" i="24" s="1"/>
  <c r="AM302" i="24"/>
  <c r="BH302" i="24" s="1"/>
  <c r="AB302" i="24"/>
  <c r="AW302" i="24" s="1"/>
  <c r="AN302" i="24"/>
  <c r="BI302" i="24" s="1"/>
  <c r="AC302" i="24"/>
  <c r="AX302" i="24" s="1"/>
  <c r="AO302" i="24"/>
  <c r="BJ302" i="24" s="1"/>
  <c r="AD302" i="24"/>
  <c r="AY302" i="24" s="1"/>
  <c r="AP302" i="24"/>
  <c r="BK302" i="24" s="1"/>
  <c r="AE302" i="24"/>
  <c r="AZ302" i="24" s="1"/>
  <c r="AQ302" i="24"/>
  <c r="BL302" i="24" s="1"/>
  <c r="AG302" i="24"/>
  <c r="BB302" i="24" s="1"/>
  <c r="AF302" i="24"/>
  <c r="BA302" i="24" s="1"/>
  <c r="AR302" i="24"/>
  <c r="BM302" i="24" s="1"/>
  <c r="AI68" i="24"/>
  <c r="BD68" i="24" s="1"/>
  <c r="AJ68" i="24"/>
  <c r="BE68" i="24" s="1"/>
  <c r="AK68" i="24"/>
  <c r="BF68" i="24" s="1"/>
  <c r="Z68" i="24"/>
  <c r="AL68" i="24"/>
  <c r="BG68" i="24" s="1"/>
  <c r="AA68" i="24"/>
  <c r="AV68" i="24" s="1"/>
  <c r="AM68" i="24"/>
  <c r="BH68" i="24" s="1"/>
  <c r="AB68" i="24"/>
  <c r="AW68" i="24" s="1"/>
  <c r="AN68" i="24"/>
  <c r="BI68" i="24" s="1"/>
  <c r="AC68" i="24"/>
  <c r="AX68" i="24" s="1"/>
  <c r="AO68" i="24"/>
  <c r="BJ68" i="24" s="1"/>
  <c r="AD68" i="24"/>
  <c r="AY68" i="24" s="1"/>
  <c r="AP68" i="24"/>
  <c r="BK68" i="24" s="1"/>
  <c r="AE68" i="24"/>
  <c r="AZ68" i="24" s="1"/>
  <c r="AQ68" i="24"/>
  <c r="BL68" i="24" s="1"/>
  <c r="AF68" i="24"/>
  <c r="BA68" i="24" s="1"/>
  <c r="AR68" i="24"/>
  <c r="BM68" i="24" s="1"/>
  <c r="AG68" i="24"/>
  <c r="BB68" i="24" s="1"/>
  <c r="AH68" i="24"/>
  <c r="BC68" i="24" s="1"/>
  <c r="Y68" i="24"/>
  <c r="AT68" i="24" s="1"/>
  <c r="AI150" i="25"/>
  <c r="BD150" i="25" s="1"/>
  <c r="AJ150" i="25"/>
  <c r="BE150" i="25" s="1"/>
  <c r="Y150" i="25"/>
  <c r="AT150" i="25" s="1"/>
  <c r="AK150" i="25"/>
  <c r="BF150" i="25" s="1"/>
  <c r="Z150" i="25"/>
  <c r="AL150" i="25"/>
  <c r="BG150" i="25" s="1"/>
  <c r="AA150" i="25"/>
  <c r="AV150" i="25" s="1"/>
  <c r="AM150" i="25"/>
  <c r="BH150" i="25" s="1"/>
  <c r="AB150" i="25"/>
  <c r="AW150" i="25" s="1"/>
  <c r="AN150" i="25"/>
  <c r="BI150" i="25" s="1"/>
  <c r="AC150" i="25"/>
  <c r="AX150" i="25" s="1"/>
  <c r="AO150" i="25"/>
  <c r="BJ150" i="25" s="1"/>
  <c r="AD150" i="25"/>
  <c r="AY150" i="25" s="1"/>
  <c r="AP150" i="25"/>
  <c r="BK150" i="25" s="1"/>
  <c r="AE150" i="25"/>
  <c r="AZ150" i="25" s="1"/>
  <c r="AQ150" i="25"/>
  <c r="BL150" i="25" s="1"/>
  <c r="AF150" i="25"/>
  <c r="BA150" i="25" s="1"/>
  <c r="AR150" i="25"/>
  <c r="BM150" i="25" s="1"/>
  <c r="AG150" i="25"/>
  <c r="BB150" i="25" s="1"/>
  <c r="AH150" i="25"/>
  <c r="BC150" i="25" s="1"/>
  <c r="AA220" i="25"/>
  <c r="AV220" i="25" s="1"/>
  <c r="AM220" i="25"/>
  <c r="BH220" i="25" s="1"/>
  <c r="AB220" i="25"/>
  <c r="AW220" i="25" s="1"/>
  <c r="AN220" i="25"/>
  <c r="BI220" i="25" s="1"/>
  <c r="AC220" i="25"/>
  <c r="AX220" i="25" s="1"/>
  <c r="AO220" i="25"/>
  <c r="BJ220" i="25" s="1"/>
  <c r="AD220" i="25"/>
  <c r="AY220" i="25" s="1"/>
  <c r="AP220" i="25"/>
  <c r="BK220" i="25" s="1"/>
  <c r="AE220" i="25"/>
  <c r="AZ220" i="25" s="1"/>
  <c r="AQ220" i="25"/>
  <c r="BL220" i="25" s="1"/>
  <c r="AF220" i="25"/>
  <c r="BA220" i="25" s="1"/>
  <c r="AR220" i="25"/>
  <c r="BM220" i="25" s="1"/>
  <c r="AG220" i="25"/>
  <c r="BB220" i="25" s="1"/>
  <c r="AH220" i="25"/>
  <c r="BC220" i="25" s="1"/>
  <c r="AI220" i="25"/>
  <c r="BD220" i="25" s="1"/>
  <c r="AJ220" i="25"/>
  <c r="BE220" i="25" s="1"/>
  <c r="Y220" i="25"/>
  <c r="AT220" i="25" s="1"/>
  <c r="AK220" i="25"/>
  <c r="BF220" i="25" s="1"/>
  <c r="Z220" i="25"/>
  <c r="AL220" i="25"/>
  <c r="BG220" i="25" s="1"/>
  <c r="Z292" i="25"/>
  <c r="AL292" i="25"/>
  <c r="BG292" i="25" s="1"/>
  <c r="AA292" i="25"/>
  <c r="AV292" i="25" s="1"/>
  <c r="AM292" i="25"/>
  <c r="BH292" i="25" s="1"/>
  <c r="AB292" i="25"/>
  <c r="AW292" i="25" s="1"/>
  <c r="AN292" i="25"/>
  <c r="BI292" i="25" s="1"/>
  <c r="AC292" i="25"/>
  <c r="AX292" i="25" s="1"/>
  <c r="AO292" i="25"/>
  <c r="BJ292" i="25" s="1"/>
  <c r="AD292" i="25"/>
  <c r="AY292" i="25" s="1"/>
  <c r="AP292" i="25"/>
  <c r="BK292" i="25" s="1"/>
  <c r="AE292" i="25"/>
  <c r="AZ292" i="25" s="1"/>
  <c r="AQ292" i="25"/>
  <c r="BL292" i="25" s="1"/>
  <c r="AF292" i="25"/>
  <c r="BA292" i="25" s="1"/>
  <c r="AR292" i="25"/>
  <c r="BM292" i="25" s="1"/>
  <c r="AG292" i="25"/>
  <c r="BB292" i="25" s="1"/>
  <c r="AH292" i="25"/>
  <c r="BC292" i="25" s="1"/>
  <c r="AI292" i="25"/>
  <c r="BD292" i="25" s="1"/>
  <c r="AJ292" i="25"/>
  <c r="BE292" i="25" s="1"/>
  <c r="Y292" i="25"/>
  <c r="AT292" i="25" s="1"/>
  <c r="AK292" i="25"/>
  <c r="BF292" i="25" s="1"/>
  <c r="Z364" i="25"/>
  <c r="AL364" i="25"/>
  <c r="BG364" i="25" s="1"/>
  <c r="AA364" i="25"/>
  <c r="AV364" i="25" s="1"/>
  <c r="AM364" i="25"/>
  <c r="BH364" i="25" s="1"/>
  <c r="AB364" i="25"/>
  <c r="AW364" i="25" s="1"/>
  <c r="AN364" i="25"/>
  <c r="BI364" i="25" s="1"/>
  <c r="AC364" i="25"/>
  <c r="AX364" i="25" s="1"/>
  <c r="AO364" i="25"/>
  <c r="BJ364" i="25" s="1"/>
  <c r="AD364" i="25"/>
  <c r="AY364" i="25" s="1"/>
  <c r="AP364" i="25"/>
  <c r="BK364" i="25" s="1"/>
  <c r="AE364" i="25"/>
  <c r="AZ364" i="25" s="1"/>
  <c r="AQ364" i="25"/>
  <c r="BL364" i="25" s="1"/>
  <c r="AF364" i="25"/>
  <c r="BA364" i="25" s="1"/>
  <c r="AR364" i="25"/>
  <c r="BM364" i="25" s="1"/>
  <c r="AG364" i="25"/>
  <c r="BB364" i="25" s="1"/>
  <c r="AH364" i="25"/>
  <c r="BC364" i="25" s="1"/>
  <c r="AI364" i="25"/>
  <c r="BD364" i="25" s="1"/>
  <c r="AJ364" i="25"/>
  <c r="BE364" i="25" s="1"/>
  <c r="Y364" i="25"/>
  <c r="AT364" i="25" s="1"/>
  <c r="AK364" i="25"/>
  <c r="BF364" i="25" s="1"/>
  <c r="AE161" i="25"/>
  <c r="AZ161" i="25" s="1"/>
  <c r="AQ161" i="25"/>
  <c r="BL161" i="25" s="1"/>
  <c r="AF161" i="25"/>
  <c r="BA161" i="25" s="1"/>
  <c r="AR161" i="25"/>
  <c r="BM161" i="25" s="1"/>
  <c r="AG161" i="25"/>
  <c r="BB161" i="25" s="1"/>
  <c r="AH161" i="25"/>
  <c r="BC161" i="25" s="1"/>
  <c r="AI161" i="25"/>
  <c r="BD161" i="25" s="1"/>
  <c r="AJ161" i="25"/>
  <c r="BE161" i="25" s="1"/>
  <c r="Y161" i="25"/>
  <c r="AT161" i="25" s="1"/>
  <c r="AK161" i="25"/>
  <c r="BF161" i="25" s="1"/>
  <c r="Z161" i="25"/>
  <c r="AL161" i="25"/>
  <c r="BG161" i="25" s="1"/>
  <c r="AA161" i="25"/>
  <c r="AV161" i="25" s="1"/>
  <c r="AM161" i="25"/>
  <c r="BH161" i="25" s="1"/>
  <c r="AB161" i="25"/>
  <c r="AW161" i="25" s="1"/>
  <c r="AN161" i="25"/>
  <c r="BI161" i="25" s="1"/>
  <c r="AC161" i="25"/>
  <c r="AX161" i="25" s="1"/>
  <c r="AO161" i="25"/>
  <c r="BJ161" i="25" s="1"/>
  <c r="AD161" i="25"/>
  <c r="AY161" i="25" s="1"/>
  <c r="AP161" i="25"/>
  <c r="BK161" i="25" s="1"/>
  <c r="AE233" i="25"/>
  <c r="AZ233" i="25" s="1"/>
  <c r="AQ233" i="25"/>
  <c r="BL233" i="25" s="1"/>
  <c r="AF233" i="25"/>
  <c r="BA233" i="25" s="1"/>
  <c r="AR233" i="25"/>
  <c r="BM233" i="25" s="1"/>
  <c r="AG233" i="25"/>
  <c r="BB233" i="25" s="1"/>
  <c r="AH233" i="25"/>
  <c r="BC233" i="25" s="1"/>
  <c r="AI233" i="25"/>
  <c r="BD233" i="25" s="1"/>
  <c r="AJ233" i="25"/>
  <c r="BE233" i="25" s="1"/>
  <c r="Y233" i="25"/>
  <c r="AT233" i="25" s="1"/>
  <c r="AK233" i="25"/>
  <c r="BF233" i="25" s="1"/>
  <c r="Z233" i="25"/>
  <c r="AL233" i="25"/>
  <c r="BG233" i="25" s="1"/>
  <c r="AA233" i="25"/>
  <c r="AV233" i="25" s="1"/>
  <c r="AM233" i="25"/>
  <c r="BH233" i="25" s="1"/>
  <c r="AB233" i="25"/>
  <c r="AW233" i="25" s="1"/>
  <c r="AN233" i="25"/>
  <c r="BI233" i="25" s="1"/>
  <c r="AC233" i="25"/>
  <c r="AX233" i="25" s="1"/>
  <c r="AO233" i="25"/>
  <c r="BJ233" i="25" s="1"/>
  <c r="AD233" i="25"/>
  <c r="AY233" i="25" s="1"/>
  <c r="AP233" i="25"/>
  <c r="BK233" i="25" s="1"/>
  <c r="AD305" i="25"/>
  <c r="AY305" i="25" s="1"/>
  <c r="AP305" i="25"/>
  <c r="BK305" i="25" s="1"/>
  <c r="AE305" i="25"/>
  <c r="AZ305" i="25" s="1"/>
  <c r="AQ305" i="25"/>
  <c r="BL305" i="25" s="1"/>
  <c r="AF305" i="25"/>
  <c r="BA305" i="25" s="1"/>
  <c r="AR305" i="25"/>
  <c r="BM305" i="25" s="1"/>
  <c r="AG305" i="25"/>
  <c r="BB305" i="25" s="1"/>
  <c r="AH305" i="25"/>
  <c r="BC305" i="25" s="1"/>
  <c r="AI305" i="25"/>
  <c r="BD305" i="25" s="1"/>
  <c r="AJ305" i="25"/>
  <c r="BE305" i="25" s="1"/>
  <c r="Y305" i="25"/>
  <c r="AT305" i="25" s="1"/>
  <c r="AK305" i="25"/>
  <c r="BF305" i="25" s="1"/>
  <c r="Z305" i="25"/>
  <c r="AL305" i="25"/>
  <c r="BG305" i="25" s="1"/>
  <c r="AA305" i="25"/>
  <c r="AV305" i="25" s="1"/>
  <c r="AM305" i="25"/>
  <c r="BH305" i="25" s="1"/>
  <c r="AB305" i="25"/>
  <c r="AW305" i="25" s="1"/>
  <c r="AN305" i="25"/>
  <c r="BI305" i="25" s="1"/>
  <c r="AC305" i="25"/>
  <c r="AX305" i="25" s="1"/>
  <c r="AO305" i="25"/>
  <c r="BJ305" i="25" s="1"/>
  <c r="AD377" i="25"/>
  <c r="AY377" i="25" s="1"/>
  <c r="AP377" i="25"/>
  <c r="BK377" i="25" s="1"/>
  <c r="AE377" i="25"/>
  <c r="AZ377" i="25" s="1"/>
  <c r="AQ377" i="25"/>
  <c r="BL377" i="25" s="1"/>
  <c r="AF377" i="25"/>
  <c r="BA377" i="25" s="1"/>
  <c r="AR377" i="25"/>
  <c r="BM377" i="25" s="1"/>
  <c r="AG377" i="25"/>
  <c r="BB377" i="25" s="1"/>
  <c r="AH377" i="25"/>
  <c r="BC377" i="25" s="1"/>
  <c r="AI377" i="25"/>
  <c r="BD377" i="25" s="1"/>
  <c r="AJ377" i="25"/>
  <c r="BE377" i="25" s="1"/>
  <c r="Y377" i="25"/>
  <c r="AT377" i="25" s="1"/>
  <c r="AK377" i="25"/>
  <c r="BF377" i="25" s="1"/>
  <c r="Z377" i="25"/>
  <c r="AL377" i="25"/>
  <c r="BG377" i="25" s="1"/>
  <c r="AA377" i="25"/>
  <c r="AV377" i="25" s="1"/>
  <c r="AM377" i="25"/>
  <c r="BH377" i="25" s="1"/>
  <c r="AB377" i="25"/>
  <c r="AW377" i="25" s="1"/>
  <c r="AN377" i="25"/>
  <c r="BI377" i="25" s="1"/>
  <c r="AC377" i="25"/>
  <c r="AX377" i="25" s="1"/>
  <c r="AO377" i="25"/>
  <c r="BJ377" i="25" s="1"/>
  <c r="AI180" i="25"/>
  <c r="BD180" i="25" s="1"/>
  <c r="AJ180" i="25"/>
  <c r="BE180" i="25" s="1"/>
  <c r="Y180" i="25"/>
  <c r="AT180" i="25" s="1"/>
  <c r="AK180" i="25"/>
  <c r="BF180" i="25" s="1"/>
  <c r="Z180" i="25"/>
  <c r="AL180" i="25"/>
  <c r="BG180" i="25" s="1"/>
  <c r="AA180" i="25"/>
  <c r="AV180" i="25" s="1"/>
  <c r="AM180" i="25"/>
  <c r="BH180" i="25" s="1"/>
  <c r="AB180" i="25"/>
  <c r="AW180" i="25" s="1"/>
  <c r="AN180" i="25"/>
  <c r="BI180" i="25" s="1"/>
  <c r="AC180" i="25"/>
  <c r="AX180" i="25" s="1"/>
  <c r="AO180" i="25"/>
  <c r="BJ180" i="25" s="1"/>
  <c r="AD180" i="25"/>
  <c r="AY180" i="25" s="1"/>
  <c r="AP180" i="25"/>
  <c r="BK180" i="25" s="1"/>
  <c r="AE180" i="25"/>
  <c r="AZ180" i="25" s="1"/>
  <c r="AQ180" i="25"/>
  <c r="BL180" i="25" s="1"/>
  <c r="AF180" i="25"/>
  <c r="BA180" i="25" s="1"/>
  <c r="AR180" i="25"/>
  <c r="BM180" i="25" s="1"/>
  <c r="AG180" i="25"/>
  <c r="BB180" i="25" s="1"/>
  <c r="AH180" i="25"/>
  <c r="BC180" i="25" s="1"/>
  <c r="AH252" i="25"/>
  <c r="BC252" i="25" s="1"/>
  <c r="AI252" i="25"/>
  <c r="BD252" i="25" s="1"/>
  <c r="AJ252" i="25"/>
  <c r="BE252" i="25" s="1"/>
  <c r="Y252" i="25"/>
  <c r="AT252" i="25" s="1"/>
  <c r="AK252" i="25"/>
  <c r="BF252" i="25" s="1"/>
  <c r="Z252" i="25"/>
  <c r="AL252" i="25"/>
  <c r="BG252" i="25" s="1"/>
  <c r="AA252" i="25"/>
  <c r="AV252" i="25" s="1"/>
  <c r="AM252" i="25"/>
  <c r="BH252" i="25" s="1"/>
  <c r="AB252" i="25"/>
  <c r="AW252" i="25" s="1"/>
  <c r="AN252" i="25"/>
  <c r="BI252" i="25" s="1"/>
  <c r="AC252" i="25"/>
  <c r="AX252" i="25" s="1"/>
  <c r="AO252" i="25"/>
  <c r="BJ252" i="25" s="1"/>
  <c r="AD252" i="25"/>
  <c r="AY252" i="25" s="1"/>
  <c r="AP252" i="25"/>
  <c r="BK252" i="25" s="1"/>
  <c r="AE252" i="25"/>
  <c r="AZ252" i="25" s="1"/>
  <c r="AQ252" i="25"/>
  <c r="BL252" i="25" s="1"/>
  <c r="AF252" i="25"/>
  <c r="BA252" i="25" s="1"/>
  <c r="AR252" i="25"/>
  <c r="BM252" i="25" s="1"/>
  <c r="AG252" i="25"/>
  <c r="BB252" i="25" s="1"/>
  <c r="AH324" i="25"/>
  <c r="BC324" i="25" s="1"/>
  <c r="AI324" i="25"/>
  <c r="BD324" i="25" s="1"/>
  <c r="AJ324" i="25"/>
  <c r="BE324" i="25" s="1"/>
  <c r="Y324" i="25"/>
  <c r="AT324" i="25" s="1"/>
  <c r="AK324" i="25"/>
  <c r="BF324" i="25" s="1"/>
  <c r="Z324" i="25"/>
  <c r="AL324" i="25"/>
  <c r="BG324" i="25" s="1"/>
  <c r="AA324" i="25"/>
  <c r="AV324" i="25" s="1"/>
  <c r="AM324" i="25"/>
  <c r="BH324" i="25" s="1"/>
  <c r="AB324" i="25"/>
  <c r="AW324" i="25" s="1"/>
  <c r="AN324" i="25"/>
  <c r="BI324" i="25" s="1"/>
  <c r="AC324" i="25"/>
  <c r="AX324" i="25" s="1"/>
  <c r="AO324" i="25"/>
  <c r="BJ324" i="25" s="1"/>
  <c r="AD324" i="25"/>
  <c r="AY324" i="25" s="1"/>
  <c r="AP324" i="25"/>
  <c r="BK324" i="25" s="1"/>
  <c r="AE324" i="25"/>
  <c r="AZ324" i="25" s="1"/>
  <c r="AQ324" i="25"/>
  <c r="BL324" i="25" s="1"/>
  <c r="AF324" i="25"/>
  <c r="BA324" i="25" s="1"/>
  <c r="AR324" i="25"/>
  <c r="BM324" i="25" s="1"/>
  <c r="AG324" i="25"/>
  <c r="BB324" i="25" s="1"/>
  <c r="AI123" i="25"/>
  <c r="BD123" i="25" s="1"/>
  <c r="AJ123" i="25"/>
  <c r="BE123" i="25" s="1"/>
  <c r="Y123" i="25"/>
  <c r="AT123" i="25" s="1"/>
  <c r="AK123" i="25"/>
  <c r="BF123" i="25" s="1"/>
  <c r="Z123" i="25"/>
  <c r="AL123" i="25"/>
  <c r="BG123" i="25" s="1"/>
  <c r="AA123" i="25"/>
  <c r="AV123" i="25" s="1"/>
  <c r="AM123" i="25"/>
  <c r="BH123" i="25" s="1"/>
  <c r="AB123" i="25"/>
  <c r="AW123" i="25" s="1"/>
  <c r="AN123" i="25"/>
  <c r="BI123" i="25" s="1"/>
  <c r="AC123" i="25"/>
  <c r="AX123" i="25" s="1"/>
  <c r="AO123" i="25"/>
  <c r="BJ123" i="25" s="1"/>
  <c r="AD123" i="25"/>
  <c r="AY123" i="25" s="1"/>
  <c r="AP123" i="25"/>
  <c r="BK123" i="25" s="1"/>
  <c r="AE123" i="25"/>
  <c r="AZ123" i="25" s="1"/>
  <c r="AQ123" i="25"/>
  <c r="BL123" i="25" s="1"/>
  <c r="AF123" i="25"/>
  <c r="BA123" i="25" s="1"/>
  <c r="AR123" i="25"/>
  <c r="BM123" i="25" s="1"/>
  <c r="AG123" i="25"/>
  <c r="BB123" i="25" s="1"/>
  <c r="AH123" i="25"/>
  <c r="BC123" i="25" s="1"/>
  <c r="AA199" i="25"/>
  <c r="AV199" i="25" s="1"/>
  <c r="AM199" i="25"/>
  <c r="BH199" i="25" s="1"/>
  <c r="AB199" i="25"/>
  <c r="AW199" i="25" s="1"/>
  <c r="AN199" i="25"/>
  <c r="BI199" i="25" s="1"/>
  <c r="AC199" i="25"/>
  <c r="AX199" i="25" s="1"/>
  <c r="AO199" i="25"/>
  <c r="BJ199" i="25" s="1"/>
  <c r="AD199" i="25"/>
  <c r="AY199" i="25" s="1"/>
  <c r="AP199" i="25"/>
  <c r="BK199" i="25" s="1"/>
  <c r="AE199" i="25"/>
  <c r="AZ199" i="25" s="1"/>
  <c r="AQ199" i="25"/>
  <c r="BL199" i="25" s="1"/>
  <c r="AF199" i="25"/>
  <c r="BA199" i="25" s="1"/>
  <c r="AR199" i="25"/>
  <c r="BM199" i="25" s="1"/>
  <c r="AG199" i="25"/>
  <c r="BB199" i="25" s="1"/>
  <c r="AH199" i="25"/>
  <c r="BC199" i="25" s="1"/>
  <c r="AI199" i="25"/>
  <c r="BD199" i="25" s="1"/>
  <c r="AJ199" i="25"/>
  <c r="BE199" i="25" s="1"/>
  <c r="Y199" i="25"/>
  <c r="AT199" i="25" s="1"/>
  <c r="AK199" i="25"/>
  <c r="BF199" i="25" s="1"/>
  <c r="Z199" i="25"/>
  <c r="AL199" i="25"/>
  <c r="BG199" i="25" s="1"/>
  <c r="Z271" i="25"/>
  <c r="AL271" i="25"/>
  <c r="BG271" i="25" s="1"/>
  <c r="AA271" i="25"/>
  <c r="AV271" i="25" s="1"/>
  <c r="AM271" i="25"/>
  <c r="BH271" i="25" s="1"/>
  <c r="AB271" i="25"/>
  <c r="AW271" i="25" s="1"/>
  <c r="AN271" i="25"/>
  <c r="BI271" i="25" s="1"/>
  <c r="AC271" i="25"/>
  <c r="AX271" i="25" s="1"/>
  <c r="AO271" i="25"/>
  <c r="BJ271" i="25" s="1"/>
  <c r="AD271" i="25"/>
  <c r="AY271" i="25" s="1"/>
  <c r="AP271" i="25"/>
  <c r="BK271" i="25" s="1"/>
  <c r="AE271" i="25"/>
  <c r="AZ271" i="25" s="1"/>
  <c r="AQ271" i="25"/>
  <c r="BL271" i="25" s="1"/>
  <c r="AF271" i="25"/>
  <c r="BA271" i="25" s="1"/>
  <c r="AR271" i="25"/>
  <c r="BM271" i="25" s="1"/>
  <c r="AG271" i="25"/>
  <c r="BB271" i="25" s="1"/>
  <c r="AH271" i="25"/>
  <c r="BC271" i="25" s="1"/>
  <c r="AI271" i="25"/>
  <c r="BD271" i="25" s="1"/>
  <c r="AJ271" i="25"/>
  <c r="BE271" i="25" s="1"/>
  <c r="Y271" i="25"/>
  <c r="AT271" i="25" s="1"/>
  <c r="AK271" i="25"/>
  <c r="BF271" i="25" s="1"/>
  <c r="Z343" i="25"/>
  <c r="AL343" i="25"/>
  <c r="BG343" i="25" s="1"/>
  <c r="AA343" i="25"/>
  <c r="AV343" i="25" s="1"/>
  <c r="AM343" i="25"/>
  <c r="BH343" i="25" s="1"/>
  <c r="AB343" i="25"/>
  <c r="AW343" i="25" s="1"/>
  <c r="AN343" i="25"/>
  <c r="BI343" i="25" s="1"/>
  <c r="AC343" i="25"/>
  <c r="AX343" i="25" s="1"/>
  <c r="AO343" i="25"/>
  <c r="BJ343" i="25" s="1"/>
  <c r="AD343" i="25"/>
  <c r="AY343" i="25" s="1"/>
  <c r="AP343" i="25"/>
  <c r="BK343" i="25" s="1"/>
  <c r="AE343" i="25"/>
  <c r="AZ343" i="25" s="1"/>
  <c r="AQ343" i="25"/>
  <c r="BL343" i="25" s="1"/>
  <c r="AF343" i="25"/>
  <c r="BA343" i="25" s="1"/>
  <c r="AR343" i="25"/>
  <c r="BM343" i="25" s="1"/>
  <c r="AG343" i="25"/>
  <c r="BB343" i="25" s="1"/>
  <c r="AH343" i="25"/>
  <c r="BC343" i="25" s="1"/>
  <c r="AI343" i="25"/>
  <c r="BD343" i="25" s="1"/>
  <c r="AJ343" i="25"/>
  <c r="BE343" i="25" s="1"/>
  <c r="Y343" i="25"/>
  <c r="AT343" i="25" s="1"/>
  <c r="AK343" i="25"/>
  <c r="BF343" i="25" s="1"/>
  <c r="AA142" i="25"/>
  <c r="AV142" i="25" s="1"/>
  <c r="AM142" i="25"/>
  <c r="BH142" i="25" s="1"/>
  <c r="AB142" i="25"/>
  <c r="AW142" i="25" s="1"/>
  <c r="AN142" i="25"/>
  <c r="BI142" i="25" s="1"/>
  <c r="AC142" i="25"/>
  <c r="AX142" i="25" s="1"/>
  <c r="AO142" i="25"/>
  <c r="BJ142" i="25" s="1"/>
  <c r="AD142" i="25"/>
  <c r="AY142" i="25" s="1"/>
  <c r="AP142" i="25"/>
  <c r="BK142" i="25" s="1"/>
  <c r="AE142" i="25"/>
  <c r="AZ142" i="25" s="1"/>
  <c r="AQ142" i="25"/>
  <c r="BL142" i="25" s="1"/>
  <c r="AF142" i="25"/>
  <c r="BA142" i="25" s="1"/>
  <c r="AR142" i="25"/>
  <c r="BM142" i="25" s="1"/>
  <c r="AG142" i="25"/>
  <c r="BB142" i="25" s="1"/>
  <c r="AH142" i="25"/>
  <c r="BC142" i="25" s="1"/>
  <c r="AI142" i="25"/>
  <c r="BD142" i="25" s="1"/>
  <c r="AJ142" i="25"/>
  <c r="BE142" i="25" s="1"/>
  <c r="Y142" i="25"/>
  <c r="AT142" i="25" s="1"/>
  <c r="AK142" i="25"/>
  <c r="BF142" i="25" s="1"/>
  <c r="AL142" i="25"/>
  <c r="BG142" i="25" s="1"/>
  <c r="Z142" i="25"/>
  <c r="AE212" i="25"/>
  <c r="AZ212" i="25" s="1"/>
  <c r="AQ212" i="25"/>
  <c r="BL212" i="25" s="1"/>
  <c r="AF212" i="25"/>
  <c r="BA212" i="25" s="1"/>
  <c r="AR212" i="25"/>
  <c r="BM212" i="25" s="1"/>
  <c r="AG212" i="25"/>
  <c r="BB212" i="25" s="1"/>
  <c r="AH212" i="25"/>
  <c r="BC212" i="25" s="1"/>
  <c r="AI212" i="25"/>
  <c r="BD212" i="25" s="1"/>
  <c r="AJ212" i="25"/>
  <c r="BE212" i="25" s="1"/>
  <c r="Y212" i="25"/>
  <c r="AT212" i="25" s="1"/>
  <c r="AK212" i="25"/>
  <c r="BF212" i="25" s="1"/>
  <c r="Z212" i="25"/>
  <c r="AL212" i="25"/>
  <c r="BG212" i="25" s="1"/>
  <c r="AA212" i="25"/>
  <c r="AV212" i="25" s="1"/>
  <c r="AM212" i="25"/>
  <c r="BH212" i="25" s="1"/>
  <c r="AB212" i="25"/>
  <c r="AW212" i="25" s="1"/>
  <c r="AN212" i="25"/>
  <c r="BI212" i="25" s="1"/>
  <c r="AC212" i="25"/>
  <c r="AX212" i="25" s="1"/>
  <c r="AO212" i="25"/>
  <c r="BJ212" i="25" s="1"/>
  <c r="AD212" i="25"/>
  <c r="AY212" i="25" s="1"/>
  <c r="AP212" i="25"/>
  <c r="BK212" i="25" s="1"/>
  <c r="AD284" i="25"/>
  <c r="AY284" i="25" s="1"/>
  <c r="AP284" i="25"/>
  <c r="BK284" i="25" s="1"/>
  <c r="AE284" i="25"/>
  <c r="AZ284" i="25" s="1"/>
  <c r="AQ284" i="25"/>
  <c r="BL284" i="25" s="1"/>
  <c r="AF284" i="25"/>
  <c r="BA284" i="25" s="1"/>
  <c r="AR284" i="25"/>
  <c r="BM284" i="25" s="1"/>
  <c r="AG284" i="25"/>
  <c r="BB284" i="25" s="1"/>
  <c r="AH284" i="25"/>
  <c r="BC284" i="25" s="1"/>
  <c r="AI284" i="25"/>
  <c r="BD284" i="25" s="1"/>
  <c r="AJ284" i="25"/>
  <c r="BE284" i="25" s="1"/>
  <c r="Y284" i="25"/>
  <c r="AT284" i="25" s="1"/>
  <c r="AK284" i="25"/>
  <c r="BF284" i="25" s="1"/>
  <c r="Z284" i="25"/>
  <c r="AL284" i="25"/>
  <c r="BG284" i="25" s="1"/>
  <c r="AA284" i="25"/>
  <c r="AV284" i="25" s="1"/>
  <c r="AM284" i="25"/>
  <c r="BH284" i="25" s="1"/>
  <c r="AB284" i="25"/>
  <c r="AW284" i="25" s="1"/>
  <c r="AN284" i="25"/>
  <c r="BI284" i="25" s="1"/>
  <c r="AC284" i="25"/>
  <c r="AX284" i="25" s="1"/>
  <c r="AO284" i="25"/>
  <c r="BJ284" i="25" s="1"/>
  <c r="AD356" i="25"/>
  <c r="AY356" i="25" s="1"/>
  <c r="AP356" i="25"/>
  <c r="BK356" i="25" s="1"/>
  <c r="AE356" i="25"/>
  <c r="AZ356" i="25" s="1"/>
  <c r="AQ356" i="25"/>
  <c r="BL356" i="25" s="1"/>
  <c r="AF356" i="25"/>
  <c r="BA356" i="25" s="1"/>
  <c r="AR356" i="25"/>
  <c r="BM356" i="25" s="1"/>
  <c r="AG356" i="25"/>
  <c r="BB356" i="25" s="1"/>
  <c r="AH356" i="25"/>
  <c r="BC356" i="25" s="1"/>
  <c r="AI356" i="25"/>
  <c r="BD356" i="25" s="1"/>
  <c r="AJ356" i="25"/>
  <c r="BE356" i="25" s="1"/>
  <c r="Y356" i="25"/>
  <c r="AT356" i="25" s="1"/>
  <c r="AK356" i="25"/>
  <c r="BF356" i="25" s="1"/>
  <c r="Z356" i="25"/>
  <c r="AL356" i="25"/>
  <c r="BG356" i="25" s="1"/>
  <c r="AA356" i="25"/>
  <c r="AV356" i="25" s="1"/>
  <c r="AM356" i="25"/>
  <c r="BH356" i="25" s="1"/>
  <c r="AB356" i="25"/>
  <c r="AW356" i="25" s="1"/>
  <c r="AN356" i="25"/>
  <c r="BI356" i="25" s="1"/>
  <c r="AC356" i="25"/>
  <c r="AX356" i="25" s="1"/>
  <c r="AO356" i="25"/>
  <c r="BJ356" i="25" s="1"/>
  <c r="AE149" i="25"/>
  <c r="AZ149" i="25" s="1"/>
  <c r="AQ149" i="25"/>
  <c r="BL149" i="25" s="1"/>
  <c r="AF149" i="25"/>
  <c r="BA149" i="25" s="1"/>
  <c r="AR149" i="25"/>
  <c r="BM149" i="25" s="1"/>
  <c r="AG149" i="25"/>
  <c r="BB149" i="25" s="1"/>
  <c r="AH149" i="25"/>
  <c r="BC149" i="25" s="1"/>
  <c r="AI149" i="25"/>
  <c r="BD149" i="25" s="1"/>
  <c r="AJ149" i="25"/>
  <c r="BE149" i="25" s="1"/>
  <c r="Y149" i="25"/>
  <c r="AT149" i="25" s="1"/>
  <c r="AK149" i="25"/>
  <c r="BF149" i="25" s="1"/>
  <c r="Z149" i="25"/>
  <c r="AL149" i="25"/>
  <c r="BG149" i="25" s="1"/>
  <c r="AA149" i="25"/>
  <c r="AV149" i="25" s="1"/>
  <c r="AM149" i="25"/>
  <c r="BH149" i="25" s="1"/>
  <c r="AB149" i="25"/>
  <c r="AW149" i="25" s="1"/>
  <c r="AN149" i="25"/>
  <c r="BI149" i="25" s="1"/>
  <c r="AC149" i="25"/>
  <c r="AX149" i="25" s="1"/>
  <c r="AO149" i="25"/>
  <c r="BJ149" i="25" s="1"/>
  <c r="AP149" i="25"/>
  <c r="BK149" i="25" s="1"/>
  <c r="AD149" i="25"/>
  <c r="AY149" i="25" s="1"/>
  <c r="AH237" i="25"/>
  <c r="BC237" i="25" s="1"/>
  <c r="AI237" i="25"/>
  <c r="BD237" i="25" s="1"/>
  <c r="AJ237" i="25"/>
  <c r="BE237" i="25" s="1"/>
  <c r="Y237" i="25"/>
  <c r="AT237" i="25" s="1"/>
  <c r="AK237" i="25"/>
  <c r="BF237" i="25" s="1"/>
  <c r="Z237" i="25"/>
  <c r="AL237" i="25"/>
  <c r="BG237" i="25" s="1"/>
  <c r="AA237" i="25"/>
  <c r="AV237" i="25" s="1"/>
  <c r="AM237" i="25"/>
  <c r="BH237" i="25" s="1"/>
  <c r="AB237" i="25"/>
  <c r="AW237" i="25" s="1"/>
  <c r="AN237" i="25"/>
  <c r="BI237" i="25" s="1"/>
  <c r="AC237" i="25"/>
  <c r="AX237" i="25" s="1"/>
  <c r="AO237" i="25"/>
  <c r="BJ237" i="25" s="1"/>
  <c r="AD237" i="25"/>
  <c r="AY237" i="25" s="1"/>
  <c r="AP237" i="25"/>
  <c r="BK237" i="25" s="1"/>
  <c r="AE237" i="25"/>
  <c r="AZ237" i="25" s="1"/>
  <c r="AQ237" i="25"/>
  <c r="BL237" i="25" s="1"/>
  <c r="AF237" i="25"/>
  <c r="BA237" i="25" s="1"/>
  <c r="AR237" i="25"/>
  <c r="BM237" i="25" s="1"/>
  <c r="AG237" i="25"/>
  <c r="BB237" i="25" s="1"/>
  <c r="AH309" i="25"/>
  <c r="BC309" i="25" s="1"/>
  <c r="AI309" i="25"/>
  <c r="BD309" i="25" s="1"/>
  <c r="AJ309" i="25"/>
  <c r="BE309" i="25" s="1"/>
  <c r="Y309" i="25"/>
  <c r="AT309" i="25" s="1"/>
  <c r="AK309" i="25"/>
  <c r="BF309" i="25" s="1"/>
  <c r="Z309" i="25"/>
  <c r="AL309" i="25"/>
  <c r="BG309" i="25" s="1"/>
  <c r="AA309" i="25"/>
  <c r="AV309" i="25" s="1"/>
  <c r="AM309" i="25"/>
  <c r="BH309" i="25" s="1"/>
  <c r="AB309" i="25"/>
  <c r="AW309" i="25" s="1"/>
  <c r="AN309" i="25"/>
  <c r="BI309" i="25" s="1"/>
  <c r="AC309" i="25"/>
  <c r="AX309" i="25" s="1"/>
  <c r="AO309" i="25"/>
  <c r="BJ309" i="25" s="1"/>
  <c r="AD309" i="25"/>
  <c r="AY309" i="25" s="1"/>
  <c r="AP309" i="25"/>
  <c r="BK309" i="25" s="1"/>
  <c r="AE309" i="25"/>
  <c r="AZ309" i="25" s="1"/>
  <c r="AQ309" i="25"/>
  <c r="BL309" i="25" s="1"/>
  <c r="AF309" i="25"/>
  <c r="BA309" i="25" s="1"/>
  <c r="AR309" i="25"/>
  <c r="BM309" i="25" s="1"/>
  <c r="AG309" i="25"/>
  <c r="BB309" i="25" s="1"/>
  <c r="AH381" i="25"/>
  <c r="AI381" i="25"/>
  <c r="AJ381" i="25"/>
  <c r="Y381" i="25"/>
  <c r="AT381" i="25" s="1"/>
  <c r="AK381" i="25"/>
  <c r="Z381" i="25"/>
  <c r="AL381" i="25"/>
  <c r="AA381" i="25"/>
  <c r="AM381" i="25"/>
  <c r="AB381" i="25"/>
  <c r="AN381" i="25"/>
  <c r="AC381" i="25"/>
  <c r="AO381" i="25"/>
  <c r="AD381" i="25"/>
  <c r="AP381" i="25"/>
  <c r="AE381" i="25"/>
  <c r="AQ381" i="25"/>
  <c r="AF381" i="25"/>
  <c r="AR381" i="25"/>
  <c r="AG381" i="25"/>
  <c r="AC197" i="26"/>
  <c r="AX197" i="26" s="1"/>
  <c r="AO197" i="26"/>
  <c r="BJ197" i="26" s="1"/>
  <c r="AD197" i="26"/>
  <c r="AY197" i="26" s="1"/>
  <c r="AP197" i="26"/>
  <c r="BK197" i="26" s="1"/>
  <c r="AE197" i="26"/>
  <c r="AZ197" i="26" s="1"/>
  <c r="AQ197" i="26"/>
  <c r="BL197" i="26" s="1"/>
  <c r="AF197" i="26"/>
  <c r="BA197" i="26" s="1"/>
  <c r="AR197" i="26"/>
  <c r="BM197" i="26" s="1"/>
  <c r="AG197" i="26"/>
  <c r="BB197" i="26" s="1"/>
  <c r="AH197" i="26"/>
  <c r="BC197" i="26" s="1"/>
  <c r="AI197" i="26"/>
  <c r="BD197" i="26" s="1"/>
  <c r="AJ197" i="26"/>
  <c r="BE197" i="26" s="1"/>
  <c r="Y197" i="26"/>
  <c r="AT197" i="26" s="1"/>
  <c r="AK197" i="26"/>
  <c r="BF197" i="26" s="1"/>
  <c r="Z197" i="26"/>
  <c r="AL197" i="26"/>
  <c r="BG197" i="26" s="1"/>
  <c r="AA197" i="26"/>
  <c r="AV197" i="26" s="1"/>
  <c r="AM197" i="26"/>
  <c r="BH197" i="26" s="1"/>
  <c r="AB197" i="26"/>
  <c r="AW197" i="26" s="1"/>
  <c r="AN197" i="26"/>
  <c r="BI197" i="26" s="1"/>
  <c r="AC269" i="26"/>
  <c r="AX269" i="26" s="1"/>
  <c r="AO269" i="26"/>
  <c r="BJ269" i="26" s="1"/>
  <c r="AD269" i="26"/>
  <c r="AY269" i="26" s="1"/>
  <c r="AP269" i="26"/>
  <c r="BK269" i="26" s="1"/>
  <c r="AE269" i="26"/>
  <c r="AZ269" i="26" s="1"/>
  <c r="AQ269" i="26"/>
  <c r="BL269" i="26" s="1"/>
  <c r="AF269" i="26"/>
  <c r="BA269" i="26" s="1"/>
  <c r="AR269" i="26"/>
  <c r="BM269" i="26" s="1"/>
  <c r="AG269" i="26"/>
  <c r="BB269" i="26" s="1"/>
  <c r="AH269" i="26"/>
  <c r="BC269" i="26" s="1"/>
  <c r="AI269" i="26"/>
  <c r="BD269" i="26" s="1"/>
  <c r="AJ269" i="26"/>
  <c r="BE269" i="26" s="1"/>
  <c r="Y269" i="26"/>
  <c r="AT269" i="26" s="1"/>
  <c r="AK269" i="26"/>
  <c r="BF269" i="26" s="1"/>
  <c r="Z269" i="26"/>
  <c r="AL269" i="26"/>
  <c r="BG269" i="26" s="1"/>
  <c r="AA269" i="26"/>
  <c r="AV269" i="26" s="1"/>
  <c r="AM269" i="26"/>
  <c r="BH269" i="26" s="1"/>
  <c r="AB269" i="26"/>
  <c r="AW269" i="26" s="1"/>
  <c r="AN269" i="26"/>
  <c r="BI269" i="26" s="1"/>
  <c r="AD341" i="26"/>
  <c r="AY341" i="26" s="1"/>
  <c r="AP341" i="26"/>
  <c r="BK341" i="26" s="1"/>
  <c r="AE341" i="26"/>
  <c r="AZ341" i="26" s="1"/>
  <c r="AQ341" i="26"/>
  <c r="BL341" i="26" s="1"/>
  <c r="AF341" i="26"/>
  <c r="BA341" i="26" s="1"/>
  <c r="AR341" i="26"/>
  <c r="BM341" i="26" s="1"/>
  <c r="AG341" i="26"/>
  <c r="BB341" i="26" s="1"/>
  <c r="AH341" i="26"/>
  <c r="BC341" i="26" s="1"/>
  <c r="AI341" i="26"/>
  <c r="BD341" i="26" s="1"/>
  <c r="AJ341" i="26"/>
  <c r="BE341" i="26" s="1"/>
  <c r="Y341" i="26"/>
  <c r="AT341" i="26" s="1"/>
  <c r="AK341" i="26"/>
  <c r="BF341" i="26" s="1"/>
  <c r="Z341" i="26"/>
  <c r="AL341" i="26"/>
  <c r="BG341" i="26" s="1"/>
  <c r="AA341" i="26"/>
  <c r="AV341" i="26" s="1"/>
  <c r="AM341" i="26"/>
  <c r="BH341" i="26" s="1"/>
  <c r="AB341" i="26"/>
  <c r="AW341" i="26" s="1"/>
  <c r="AN341" i="26"/>
  <c r="BI341" i="26" s="1"/>
  <c r="AC341" i="26"/>
  <c r="AX341" i="26" s="1"/>
  <c r="AO341" i="26"/>
  <c r="BJ341" i="26" s="1"/>
  <c r="AG162" i="26"/>
  <c r="BB162" i="26" s="1"/>
  <c r="AH162" i="26"/>
  <c r="BC162" i="26" s="1"/>
  <c r="AI162" i="26"/>
  <c r="BD162" i="26" s="1"/>
  <c r="AJ162" i="26"/>
  <c r="BE162" i="26" s="1"/>
  <c r="Y162" i="26"/>
  <c r="AT162" i="26" s="1"/>
  <c r="AK162" i="26"/>
  <c r="BF162" i="26" s="1"/>
  <c r="Z162" i="26"/>
  <c r="AL162" i="26"/>
  <c r="BG162" i="26" s="1"/>
  <c r="AA162" i="26"/>
  <c r="AV162" i="26" s="1"/>
  <c r="AM162" i="26"/>
  <c r="BH162" i="26" s="1"/>
  <c r="AB162" i="26"/>
  <c r="AW162" i="26" s="1"/>
  <c r="AN162" i="26"/>
  <c r="BI162" i="26" s="1"/>
  <c r="AC162" i="26"/>
  <c r="AX162" i="26" s="1"/>
  <c r="AO162" i="26"/>
  <c r="BJ162" i="26" s="1"/>
  <c r="AD162" i="26"/>
  <c r="AY162" i="26" s="1"/>
  <c r="AP162" i="26"/>
  <c r="BK162" i="26" s="1"/>
  <c r="AE162" i="26"/>
  <c r="AZ162" i="26" s="1"/>
  <c r="AQ162" i="26"/>
  <c r="BL162" i="26" s="1"/>
  <c r="AF162" i="26"/>
  <c r="BA162" i="26" s="1"/>
  <c r="AR162" i="26"/>
  <c r="BM162" i="26" s="1"/>
  <c r="AG234" i="26"/>
  <c r="BB234" i="26" s="1"/>
  <c r="AH234" i="26"/>
  <c r="BC234" i="26" s="1"/>
  <c r="AI234" i="26"/>
  <c r="BD234" i="26" s="1"/>
  <c r="AJ234" i="26"/>
  <c r="BE234" i="26" s="1"/>
  <c r="Y234" i="26"/>
  <c r="AT234" i="26" s="1"/>
  <c r="AK234" i="26"/>
  <c r="BF234" i="26" s="1"/>
  <c r="Z234" i="26"/>
  <c r="AL234" i="26"/>
  <c r="BG234" i="26" s="1"/>
  <c r="AA234" i="26"/>
  <c r="AV234" i="26" s="1"/>
  <c r="AM234" i="26"/>
  <c r="BH234" i="26" s="1"/>
  <c r="AB234" i="26"/>
  <c r="AW234" i="26" s="1"/>
  <c r="AN234" i="26"/>
  <c r="BI234" i="26" s="1"/>
  <c r="AC234" i="26"/>
  <c r="AX234" i="26" s="1"/>
  <c r="AO234" i="26"/>
  <c r="BJ234" i="26" s="1"/>
  <c r="AD234" i="26"/>
  <c r="AY234" i="26" s="1"/>
  <c r="AP234" i="26"/>
  <c r="BK234" i="26" s="1"/>
  <c r="AE234" i="26"/>
  <c r="AZ234" i="26" s="1"/>
  <c r="AQ234" i="26"/>
  <c r="BL234" i="26" s="1"/>
  <c r="AF234" i="26"/>
  <c r="BA234" i="26" s="1"/>
  <c r="AR234" i="26"/>
  <c r="BM234" i="26" s="1"/>
  <c r="AG306" i="26"/>
  <c r="BB306" i="26" s="1"/>
  <c r="AH306" i="26"/>
  <c r="BC306" i="26" s="1"/>
  <c r="AI306" i="26"/>
  <c r="BD306" i="26" s="1"/>
  <c r="AJ306" i="26"/>
  <c r="BE306" i="26" s="1"/>
  <c r="Y306" i="26"/>
  <c r="AT306" i="26" s="1"/>
  <c r="AK306" i="26"/>
  <c r="BF306" i="26" s="1"/>
  <c r="Z306" i="26"/>
  <c r="AL306" i="26"/>
  <c r="BG306" i="26" s="1"/>
  <c r="AA306" i="26"/>
  <c r="AV306" i="26" s="1"/>
  <c r="AM306" i="26"/>
  <c r="BH306" i="26" s="1"/>
  <c r="AB306" i="26"/>
  <c r="AW306" i="26" s="1"/>
  <c r="AN306" i="26"/>
  <c r="BI306" i="26" s="1"/>
  <c r="AC306" i="26"/>
  <c r="AX306" i="26" s="1"/>
  <c r="AO306" i="26"/>
  <c r="BJ306" i="26" s="1"/>
  <c r="AD306" i="26"/>
  <c r="AY306" i="26" s="1"/>
  <c r="AP306" i="26"/>
  <c r="BK306" i="26" s="1"/>
  <c r="AE306" i="26"/>
  <c r="AZ306" i="26" s="1"/>
  <c r="AQ306" i="26"/>
  <c r="BL306" i="26" s="1"/>
  <c r="AF306" i="26"/>
  <c r="BA306" i="26" s="1"/>
  <c r="AR306" i="26"/>
  <c r="BM306" i="26" s="1"/>
  <c r="AH378" i="26"/>
  <c r="BC378" i="26" s="1"/>
  <c r="AI378" i="26"/>
  <c r="BD378" i="26" s="1"/>
  <c r="AJ378" i="26"/>
  <c r="BE378" i="26" s="1"/>
  <c r="Y378" i="26"/>
  <c r="AT378" i="26" s="1"/>
  <c r="AK378" i="26"/>
  <c r="BF378" i="26" s="1"/>
  <c r="Z378" i="26"/>
  <c r="AL378" i="26"/>
  <c r="BG378" i="26" s="1"/>
  <c r="AA378" i="26"/>
  <c r="AV378" i="26" s="1"/>
  <c r="AM378" i="26"/>
  <c r="BH378" i="26" s="1"/>
  <c r="AB378" i="26"/>
  <c r="AW378" i="26" s="1"/>
  <c r="AN378" i="26"/>
  <c r="BI378" i="26" s="1"/>
  <c r="AC378" i="26"/>
  <c r="AX378" i="26" s="1"/>
  <c r="AO378" i="26"/>
  <c r="BJ378" i="26" s="1"/>
  <c r="AD378" i="26"/>
  <c r="AY378" i="26" s="1"/>
  <c r="AP378" i="26"/>
  <c r="BK378" i="26" s="1"/>
  <c r="AE378" i="26"/>
  <c r="AZ378" i="26" s="1"/>
  <c r="AQ378" i="26"/>
  <c r="BL378" i="26" s="1"/>
  <c r="AF378" i="26"/>
  <c r="BA378" i="26" s="1"/>
  <c r="AR378" i="26"/>
  <c r="BM378" i="26" s="1"/>
  <c r="AG378" i="26"/>
  <c r="BB378" i="26" s="1"/>
  <c r="Y199" i="26"/>
  <c r="AT199" i="26" s="1"/>
  <c r="AK199" i="26"/>
  <c r="BF199" i="26" s="1"/>
  <c r="Z199" i="26"/>
  <c r="AL199" i="26"/>
  <c r="BG199" i="26" s="1"/>
  <c r="AA199" i="26"/>
  <c r="AV199" i="26" s="1"/>
  <c r="AM199" i="26"/>
  <c r="BH199" i="26" s="1"/>
  <c r="AB199" i="26"/>
  <c r="AW199" i="26" s="1"/>
  <c r="AN199" i="26"/>
  <c r="BI199" i="26" s="1"/>
  <c r="AC199" i="26"/>
  <c r="AX199" i="26" s="1"/>
  <c r="AO199" i="26"/>
  <c r="BJ199" i="26" s="1"/>
  <c r="AD199" i="26"/>
  <c r="AY199" i="26" s="1"/>
  <c r="AP199" i="26"/>
  <c r="BK199" i="26" s="1"/>
  <c r="AE199" i="26"/>
  <c r="AZ199" i="26" s="1"/>
  <c r="AQ199" i="26"/>
  <c r="BL199" i="26" s="1"/>
  <c r="AF199" i="26"/>
  <c r="BA199" i="26" s="1"/>
  <c r="AR199" i="26"/>
  <c r="BM199" i="26" s="1"/>
  <c r="AG199" i="26"/>
  <c r="BB199" i="26" s="1"/>
  <c r="AH199" i="26"/>
  <c r="BC199" i="26" s="1"/>
  <c r="AI199" i="26"/>
  <c r="BD199" i="26" s="1"/>
  <c r="AJ199" i="26"/>
  <c r="BE199" i="26" s="1"/>
  <c r="Y271" i="26"/>
  <c r="AT271" i="26" s="1"/>
  <c r="AK271" i="26"/>
  <c r="BF271" i="26" s="1"/>
  <c r="Z271" i="26"/>
  <c r="AL271" i="26"/>
  <c r="BG271" i="26" s="1"/>
  <c r="AA271" i="26"/>
  <c r="AV271" i="26" s="1"/>
  <c r="AM271" i="26"/>
  <c r="BH271" i="26" s="1"/>
  <c r="AB271" i="26"/>
  <c r="AW271" i="26" s="1"/>
  <c r="AN271" i="26"/>
  <c r="BI271" i="26" s="1"/>
  <c r="AC271" i="26"/>
  <c r="AX271" i="26" s="1"/>
  <c r="AO271" i="26"/>
  <c r="BJ271" i="26" s="1"/>
  <c r="AD271" i="26"/>
  <c r="AY271" i="26" s="1"/>
  <c r="AP271" i="26"/>
  <c r="BK271" i="26" s="1"/>
  <c r="AE271" i="26"/>
  <c r="AZ271" i="26" s="1"/>
  <c r="AQ271" i="26"/>
  <c r="BL271" i="26" s="1"/>
  <c r="AF271" i="26"/>
  <c r="BA271" i="26" s="1"/>
  <c r="AR271" i="26"/>
  <c r="BM271" i="26" s="1"/>
  <c r="AG271" i="26"/>
  <c r="BB271" i="26" s="1"/>
  <c r="AH271" i="26"/>
  <c r="BC271" i="26" s="1"/>
  <c r="AI271" i="26"/>
  <c r="BD271" i="26" s="1"/>
  <c r="AJ271" i="26"/>
  <c r="BE271" i="26" s="1"/>
  <c r="Z343" i="26"/>
  <c r="AL343" i="26"/>
  <c r="BG343" i="26" s="1"/>
  <c r="AA343" i="26"/>
  <c r="AV343" i="26" s="1"/>
  <c r="AM343" i="26"/>
  <c r="BH343" i="26" s="1"/>
  <c r="AB343" i="26"/>
  <c r="AW343" i="26" s="1"/>
  <c r="AN343" i="26"/>
  <c r="BI343" i="26" s="1"/>
  <c r="AC343" i="26"/>
  <c r="AX343" i="26" s="1"/>
  <c r="AO343" i="26"/>
  <c r="BJ343" i="26" s="1"/>
  <c r="AD343" i="26"/>
  <c r="AY343" i="26" s="1"/>
  <c r="AP343" i="26"/>
  <c r="BK343" i="26" s="1"/>
  <c r="AE343" i="26"/>
  <c r="AZ343" i="26" s="1"/>
  <c r="AQ343" i="26"/>
  <c r="BL343" i="26" s="1"/>
  <c r="AF343" i="26"/>
  <c r="BA343" i="26" s="1"/>
  <c r="AR343" i="26"/>
  <c r="BM343" i="26" s="1"/>
  <c r="AG343" i="26"/>
  <c r="BB343" i="26" s="1"/>
  <c r="AH343" i="26"/>
  <c r="BC343" i="26" s="1"/>
  <c r="AI343" i="26"/>
  <c r="BD343" i="26" s="1"/>
  <c r="AJ343" i="26"/>
  <c r="BE343" i="26" s="1"/>
  <c r="Y343" i="26"/>
  <c r="AT343" i="26" s="1"/>
  <c r="AK343" i="26"/>
  <c r="BF343" i="26" s="1"/>
  <c r="AC170" i="26"/>
  <c r="AX170" i="26" s="1"/>
  <c r="AO170" i="26"/>
  <c r="BJ170" i="26" s="1"/>
  <c r="AD170" i="26"/>
  <c r="AY170" i="26" s="1"/>
  <c r="AP170" i="26"/>
  <c r="BK170" i="26" s="1"/>
  <c r="AE170" i="26"/>
  <c r="AZ170" i="26" s="1"/>
  <c r="AQ170" i="26"/>
  <c r="BL170" i="26" s="1"/>
  <c r="AF170" i="26"/>
  <c r="BA170" i="26" s="1"/>
  <c r="AR170" i="26"/>
  <c r="BM170" i="26" s="1"/>
  <c r="AG170" i="26"/>
  <c r="BB170" i="26" s="1"/>
  <c r="AH170" i="26"/>
  <c r="BC170" i="26" s="1"/>
  <c r="AI170" i="26"/>
  <c r="BD170" i="26" s="1"/>
  <c r="AJ170" i="26"/>
  <c r="BE170" i="26" s="1"/>
  <c r="Y170" i="26"/>
  <c r="AT170" i="26" s="1"/>
  <c r="AK170" i="26"/>
  <c r="BF170" i="26" s="1"/>
  <c r="Z170" i="26"/>
  <c r="AL170" i="26"/>
  <c r="BG170" i="26" s="1"/>
  <c r="AA170" i="26"/>
  <c r="AV170" i="26" s="1"/>
  <c r="AM170" i="26"/>
  <c r="BH170" i="26" s="1"/>
  <c r="AB170" i="26"/>
  <c r="AW170" i="26" s="1"/>
  <c r="AN170" i="26"/>
  <c r="BI170" i="26" s="1"/>
  <c r="AC242" i="26"/>
  <c r="AX242" i="26" s="1"/>
  <c r="AO242" i="26"/>
  <c r="BJ242" i="26" s="1"/>
  <c r="AD242" i="26"/>
  <c r="AY242" i="26" s="1"/>
  <c r="AP242" i="26"/>
  <c r="BK242" i="26" s="1"/>
  <c r="AE242" i="26"/>
  <c r="AZ242" i="26" s="1"/>
  <c r="AQ242" i="26"/>
  <c r="BL242" i="26" s="1"/>
  <c r="AF242" i="26"/>
  <c r="BA242" i="26" s="1"/>
  <c r="AR242" i="26"/>
  <c r="BM242" i="26" s="1"/>
  <c r="AG242" i="26"/>
  <c r="BB242" i="26" s="1"/>
  <c r="AH242" i="26"/>
  <c r="BC242" i="26" s="1"/>
  <c r="AI242" i="26"/>
  <c r="BD242" i="26" s="1"/>
  <c r="AJ242" i="26"/>
  <c r="BE242" i="26" s="1"/>
  <c r="Y242" i="26"/>
  <c r="AT242" i="26" s="1"/>
  <c r="AK242" i="26"/>
  <c r="BF242" i="26" s="1"/>
  <c r="Z242" i="26"/>
  <c r="AL242" i="26"/>
  <c r="BG242" i="26" s="1"/>
  <c r="AA242" i="26"/>
  <c r="AV242" i="26" s="1"/>
  <c r="AM242" i="26"/>
  <c r="BH242" i="26" s="1"/>
  <c r="AB242" i="26"/>
  <c r="AW242" i="26" s="1"/>
  <c r="AN242" i="26"/>
  <c r="BI242" i="26" s="1"/>
  <c r="AC314" i="26"/>
  <c r="AX314" i="26" s="1"/>
  <c r="AO314" i="26"/>
  <c r="BJ314" i="26" s="1"/>
  <c r="AD314" i="26"/>
  <c r="AY314" i="26" s="1"/>
  <c r="AP314" i="26"/>
  <c r="BK314" i="26" s="1"/>
  <c r="AE314" i="26"/>
  <c r="AZ314" i="26" s="1"/>
  <c r="AQ314" i="26"/>
  <c r="BL314" i="26" s="1"/>
  <c r="AF314" i="26"/>
  <c r="BA314" i="26" s="1"/>
  <c r="AR314" i="26"/>
  <c r="BM314" i="26" s="1"/>
  <c r="AG314" i="26"/>
  <c r="BB314" i="26" s="1"/>
  <c r="AH314" i="26"/>
  <c r="BC314" i="26" s="1"/>
  <c r="AI314" i="26"/>
  <c r="BD314" i="26" s="1"/>
  <c r="AJ314" i="26"/>
  <c r="BE314" i="26" s="1"/>
  <c r="Y314" i="26"/>
  <c r="AT314" i="26" s="1"/>
  <c r="AK314" i="26"/>
  <c r="BF314" i="26" s="1"/>
  <c r="Z314" i="26"/>
  <c r="AL314" i="26"/>
  <c r="BG314" i="26" s="1"/>
  <c r="AA314" i="26"/>
  <c r="AV314" i="26" s="1"/>
  <c r="AM314" i="26"/>
  <c r="BH314" i="26" s="1"/>
  <c r="AB314" i="26"/>
  <c r="AW314" i="26" s="1"/>
  <c r="AN314" i="26"/>
  <c r="BI314" i="26" s="1"/>
  <c r="AG213" i="26"/>
  <c r="BB213" i="26" s="1"/>
  <c r="AH213" i="26"/>
  <c r="BC213" i="26" s="1"/>
  <c r="AI213" i="26"/>
  <c r="BD213" i="26" s="1"/>
  <c r="AJ213" i="26"/>
  <c r="BE213" i="26" s="1"/>
  <c r="Y213" i="26"/>
  <c r="AT213" i="26" s="1"/>
  <c r="AK213" i="26"/>
  <c r="BF213" i="26" s="1"/>
  <c r="Z213" i="26"/>
  <c r="AL213" i="26"/>
  <c r="BG213" i="26" s="1"/>
  <c r="AA213" i="26"/>
  <c r="AV213" i="26" s="1"/>
  <c r="AM213" i="26"/>
  <c r="BH213" i="26" s="1"/>
  <c r="AB213" i="26"/>
  <c r="AW213" i="26" s="1"/>
  <c r="AN213" i="26"/>
  <c r="BI213" i="26" s="1"/>
  <c r="AC213" i="26"/>
  <c r="AX213" i="26" s="1"/>
  <c r="AO213" i="26"/>
  <c r="BJ213" i="26" s="1"/>
  <c r="AD213" i="26"/>
  <c r="AY213" i="26" s="1"/>
  <c r="AP213" i="26"/>
  <c r="BK213" i="26" s="1"/>
  <c r="AE213" i="26"/>
  <c r="AZ213" i="26" s="1"/>
  <c r="AQ213" i="26"/>
  <c r="BL213" i="26" s="1"/>
  <c r="AF213" i="26"/>
  <c r="BA213" i="26" s="1"/>
  <c r="AR213" i="26"/>
  <c r="BM213" i="26" s="1"/>
  <c r="AG285" i="26"/>
  <c r="BB285" i="26" s="1"/>
  <c r="AH285" i="26"/>
  <c r="BC285" i="26" s="1"/>
  <c r="AI285" i="26"/>
  <c r="BD285" i="26" s="1"/>
  <c r="AJ285" i="26"/>
  <c r="BE285" i="26" s="1"/>
  <c r="Y285" i="26"/>
  <c r="AT285" i="26" s="1"/>
  <c r="AK285" i="26"/>
  <c r="BF285" i="26" s="1"/>
  <c r="Z285" i="26"/>
  <c r="AL285" i="26"/>
  <c r="BG285" i="26" s="1"/>
  <c r="AA285" i="26"/>
  <c r="AV285" i="26" s="1"/>
  <c r="AM285" i="26"/>
  <c r="BH285" i="26" s="1"/>
  <c r="AB285" i="26"/>
  <c r="AW285" i="26" s="1"/>
  <c r="AN285" i="26"/>
  <c r="BI285" i="26" s="1"/>
  <c r="AC285" i="26"/>
  <c r="AX285" i="26" s="1"/>
  <c r="AO285" i="26"/>
  <c r="BJ285" i="26" s="1"/>
  <c r="AD285" i="26"/>
  <c r="AY285" i="26" s="1"/>
  <c r="AP285" i="26"/>
  <c r="BK285" i="26" s="1"/>
  <c r="AE285" i="26"/>
  <c r="AZ285" i="26" s="1"/>
  <c r="AQ285" i="26"/>
  <c r="BL285" i="26" s="1"/>
  <c r="AF285" i="26"/>
  <c r="BA285" i="26" s="1"/>
  <c r="AR285" i="26"/>
  <c r="BM285" i="26" s="1"/>
  <c r="AH357" i="26"/>
  <c r="BC357" i="26" s="1"/>
  <c r="AI357" i="26"/>
  <c r="BD357" i="26" s="1"/>
  <c r="AJ357" i="26"/>
  <c r="BE357" i="26" s="1"/>
  <c r="Y357" i="26"/>
  <c r="AT357" i="26" s="1"/>
  <c r="AK357" i="26"/>
  <c r="BF357" i="26" s="1"/>
  <c r="Z357" i="26"/>
  <c r="AL357" i="26"/>
  <c r="BG357" i="26" s="1"/>
  <c r="AA357" i="26"/>
  <c r="AV357" i="26" s="1"/>
  <c r="AM357" i="26"/>
  <c r="BH357" i="26" s="1"/>
  <c r="AB357" i="26"/>
  <c r="AW357" i="26" s="1"/>
  <c r="AN357" i="26"/>
  <c r="BI357" i="26" s="1"/>
  <c r="AC357" i="26"/>
  <c r="AX357" i="26" s="1"/>
  <c r="AO357" i="26"/>
  <c r="BJ357" i="26" s="1"/>
  <c r="AD357" i="26"/>
  <c r="AY357" i="26" s="1"/>
  <c r="AP357" i="26"/>
  <c r="BK357" i="26" s="1"/>
  <c r="AE357" i="26"/>
  <c r="AZ357" i="26" s="1"/>
  <c r="AQ357" i="26"/>
  <c r="BL357" i="26" s="1"/>
  <c r="AF357" i="26"/>
  <c r="BA357" i="26" s="1"/>
  <c r="AR357" i="26"/>
  <c r="BM357" i="26" s="1"/>
  <c r="AG357" i="26"/>
  <c r="BB357" i="26" s="1"/>
  <c r="Y184" i="26"/>
  <c r="AT184" i="26" s="1"/>
  <c r="AK184" i="26"/>
  <c r="BF184" i="26" s="1"/>
  <c r="Z184" i="26"/>
  <c r="AL184" i="26"/>
  <c r="BG184" i="26" s="1"/>
  <c r="AA184" i="26"/>
  <c r="AV184" i="26" s="1"/>
  <c r="AM184" i="26"/>
  <c r="BH184" i="26" s="1"/>
  <c r="AB184" i="26"/>
  <c r="AW184" i="26" s="1"/>
  <c r="AN184" i="26"/>
  <c r="BI184" i="26" s="1"/>
  <c r="AC184" i="26"/>
  <c r="AX184" i="26" s="1"/>
  <c r="AO184" i="26"/>
  <c r="BJ184" i="26" s="1"/>
  <c r="AD184" i="26"/>
  <c r="AY184" i="26" s="1"/>
  <c r="AP184" i="26"/>
  <c r="BK184" i="26" s="1"/>
  <c r="AE184" i="26"/>
  <c r="AZ184" i="26" s="1"/>
  <c r="AQ184" i="26"/>
  <c r="BL184" i="26" s="1"/>
  <c r="AF184" i="26"/>
  <c r="BA184" i="26" s="1"/>
  <c r="AR184" i="26"/>
  <c r="BM184" i="26" s="1"/>
  <c r="AG184" i="26"/>
  <c r="BB184" i="26" s="1"/>
  <c r="AH184" i="26"/>
  <c r="BC184" i="26" s="1"/>
  <c r="AI184" i="26"/>
  <c r="BD184" i="26" s="1"/>
  <c r="AJ184" i="26"/>
  <c r="BE184" i="26" s="1"/>
  <c r="Y256" i="26"/>
  <c r="AT256" i="26" s="1"/>
  <c r="AK256" i="26"/>
  <c r="BF256" i="26" s="1"/>
  <c r="Z256" i="26"/>
  <c r="AL256" i="26"/>
  <c r="BG256" i="26" s="1"/>
  <c r="AA256" i="26"/>
  <c r="AV256" i="26" s="1"/>
  <c r="AM256" i="26"/>
  <c r="BH256" i="26" s="1"/>
  <c r="AB256" i="26"/>
  <c r="AW256" i="26" s="1"/>
  <c r="AN256" i="26"/>
  <c r="BI256" i="26" s="1"/>
  <c r="AC256" i="26"/>
  <c r="AX256" i="26" s="1"/>
  <c r="AO256" i="26"/>
  <c r="BJ256" i="26" s="1"/>
  <c r="AD256" i="26"/>
  <c r="AY256" i="26" s="1"/>
  <c r="AP256" i="26"/>
  <c r="BK256" i="26" s="1"/>
  <c r="AE256" i="26"/>
  <c r="AZ256" i="26" s="1"/>
  <c r="AQ256" i="26"/>
  <c r="BL256" i="26" s="1"/>
  <c r="AF256" i="26"/>
  <c r="BA256" i="26" s="1"/>
  <c r="AR256" i="26"/>
  <c r="BM256" i="26" s="1"/>
  <c r="AG256" i="26"/>
  <c r="BB256" i="26" s="1"/>
  <c r="AH256" i="26"/>
  <c r="BC256" i="26" s="1"/>
  <c r="AI256" i="26"/>
  <c r="BD256" i="26" s="1"/>
  <c r="AJ256" i="26"/>
  <c r="BE256" i="26" s="1"/>
  <c r="Z328" i="26"/>
  <c r="AL328" i="26"/>
  <c r="BG328" i="26" s="1"/>
  <c r="AA328" i="26"/>
  <c r="AV328" i="26" s="1"/>
  <c r="AM328" i="26"/>
  <c r="BH328" i="26" s="1"/>
  <c r="AB328" i="26"/>
  <c r="AW328" i="26" s="1"/>
  <c r="AN328" i="26"/>
  <c r="BI328" i="26" s="1"/>
  <c r="AC328" i="26"/>
  <c r="AX328" i="26" s="1"/>
  <c r="AO328" i="26"/>
  <c r="BJ328" i="26" s="1"/>
  <c r="AD328" i="26"/>
  <c r="AY328" i="26" s="1"/>
  <c r="AP328" i="26"/>
  <c r="BK328" i="26" s="1"/>
  <c r="AE328" i="26"/>
  <c r="AZ328" i="26" s="1"/>
  <c r="AQ328" i="26"/>
  <c r="BL328" i="26" s="1"/>
  <c r="AF328" i="26"/>
  <c r="BA328" i="26" s="1"/>
  <c r="AR328" i="26"/>
  <c r="BM328" i="26" s="1"/>
  <c r="AG328" i="26"/>
  <c r="BB328" i="26" s="1"/>
  <c r="AH328" i="26"/>
  <c r="BC328" i="26" s="1"/>
  <c r="AI328" i="26"/>
  <c r="BD328" i="26" s="1"/>
  <c r="AJ328" i="26"/>
  <c r="BE328" i="26" s="1"/>
  <c r="Y328" i="26"/>
  <c r="AT328" i="26" s="1"/>
  <c r="AK328" i="26"/>
  <c r="BF328" i="26" s="1"/>
  <c r="AE190" i="27"/>
  <c r="AZ190" i="27" s="1"/>
  <c r="AQ190" i="27"/>
  <c r="BL190" i="27" s="1"/>
  <c r="AF190" i="27"/>
  <c r="BA190" i="27" s="1"/>
  <c r="AR190" i="27"/>
  <c r="BM190" i="27" s="1"/>
  <c r="AG190" i="27"/>
  <c r="BB190" i="27" s="1"/>
  <c r="AH190" i="27"/>
  <c r="BC190" i="27" s="1"/>
  <c r="AI190" i="27"/>
  <c r="BD190" i="27" s="1"/>
  <c r="AJ190" i="27"/>
  <c r="BE190" i="27" s="1"/>
  <c r="AK190" i="27"/>
  <c r="BF190" i="27" s="1"/>
  <c r="Z190" i="27"/>
  <c r="AL190" i="27"/>
  <c r="BG190" i="27" s="1"/>
  <c r="AA190" i="27"/>
  <c r="AV190" i="27" s="1"/>
  <c r="AM190" i="27"/>
  <c r="BH190" i="27" s="1"/>
  <c r="AB190" i="27"/>
  <c r="AW190" i="27" s="1"/>
  <c r="AN190" i="27"/>
  <c r="BI190" i="27" s="1"/>
  <c r="AC190" i="27"/>
  <c r="AX190" i="27" s="1"/>
  <c r="AO190" i="27"/>
  <c r="BJ190" i="27" s="1"/>
  <c r="AD190" i="27"/>
  <c r="AY190" i="27" s="1"/>
  <c r="AP190" i="27"/>
  <c r="BK190" i="27" s="1"/>
  <c r="Y190" i="27"/>
  <c r="AT190" i="27" s="1"/>
  <c r="Z260" i="27"/>
  <c r="AL260" i="27"/>
  <c r="BG260" i="27" s="1"/>
  <c r="AA260" i="27"/>
  <c r="AV260" i="27" s="1"/>
  <c r="AM260" i="27"/>
  <c r="BH260" i="27" s="1"/>
  <c r="AB260" i="27"/>
  <c r="AW260" i="27" s="1"/>
  <c r="AN260" i="27"/>
  <c r="BI260" i="27" s="1"/>
  <c r="AC260" i="27"/>
  <c r="AX260" i="27" s="1"/>
  <c r="AO260" i="27"/>
  <c r="BJ260" i="27" s="1"/>
  <c r="AD260" i="27"/>
  <c r="AY260" i="27" s="1"/>
  <c r="AP260" i="27"/>
  <c r="BK260" i="27" s="1"/>
  <c r="AE260" i="27"/>
  <c r="AZ260" i="27" s="1"/>
  <c r="AQ260" i="27"/>
  <c r="BL260" i="27" s="1"/>
  <c r="AF260" i="27"/>
  <c r="BA260" i="27" s="1"/>
  <c r="AR260" i="27"/>
  <c r="BM260" i="27" s="1"/>
  <c r="AG260" i="27"/>
  <c r="BB260" i="27" s="1"/>
  <c r="AH260" i="27"/>
  <c r="BC260" i="27" s="1"/>
  <c r="AI260" i="27"/>
  <c r="BD260" i="27" s="1"/>
  <c r="AJ260" i="27"/>
  <c r="BE260" i="27" s="1"/>
  <c r="AK260" i="27"/>
  <c r="BF260" i="27" s="1"/>
  <c r="Y260" i="27"/>
  <c r="AT260" i="27" s="1"/>
  <c r="AJ332" i="27"/>
  <c r="BE332" i="27" s="1"/>
  <c r="AK332" i="27"/>
  <c r="BF332" i="27" s="1"/>
  <c r="Z332" i="27"/>
  <c r="AL332" i="27"/>
  <c r="BG332" i="27" s="1"/>
  <c r="AA332" i="27"/>
  <c r="AV332" i="27" s="1"/>
  <c r="AM332" i="27"/>
  <c r="BH332" i="27" s="1"/>
  <c r="AB332" i="27"/>
  <c r="AW332" i="27" s="1"/>
  <c r="AN332" i="27"/>
  <c r="BI332" i="27" s="1"/>
  <c r="AC332" i="27"/>
  <c r="AX332" i="27" s="1"/>
  <c r="AO332" i="27"/>
  <c r="BJ332" i="27" s="1"/>
  <c r="AD332" i="27"/>
  <c r="AY332" i="27" s="1"/>
  <c r="AP332" i="27"/>
  <c r="BK332" i="27" s="1"/>
  <c r="AE332" i="27"/>
  <c r="AZ332" i="27" s="1"/>
  <c r="AQ332" i="27"/>
  <c r="BL332" i="27" s="1"/>
  <c r="AF332" i="27"/>
  <c r="BA332" i="27" s="1"/>
  <c r="AR332" i="27"/>
  <c r="BM332" i="27" s="1"/>
  <c r="AG332" i="27"/>
  <c r="BB332" i="27" s="1"/>
  <c r="AH332" i="27"/>
  <c r="BC332" i="27" s="1"/>
  <c r="AI332" i="27"/>
  <c r="BD332" i="27" s="1"/>
  <c r="Y332" i="27"/>
  <c r="AT332" i="27" s="1"/>
  <c r="AC203" i="27"/>
  <c r="AX203" i="27" s="1"/>
  <c r="AO203" i="27"/>
  <c r="BJ203" i="27" s="1"/>
  <c r="AD203" i="27"/>
  <c r="AY203" i="27" s="1"/>
  <c r="AP203" i="27"/>
  <c r="BK203" i="27" s="1"/>
  <c r="AE203" i="27"/>
  <c r="AZ203" i="27" s="1"/>
  <c r="AQ203" i="27"/>
  <c r="BL203" i="27" s="1"/>
  <c r="AF203" i="27"/>
  <c r="BA203" i="27" s="1"/>
  <c r="AR203" i="27"/>
  <c r="BM203" i="27" s="1"/>
  <c r="AG203" i="27"/>
  <c r="BB203" i="27" s="1"/>
  <c r="AH203" i="27"/>
  <c r="BC203" i="27" s="1"/>
  <c r="AI203" i="27"/>
  <c r="BD203" i="27" s="1"/>
  <c r="AJ203" i="27"/>
  <c r="BE203" i="27" s="1"/>
  <c r="AK203" i="27"/>
  <c r="BF203" i="27" s="1"/>
  <c r="Z203" i="27"/>
  <c r="AL203" i="27"/>
  <c r="BG203" i="27" s="1"/>
  <c r="AA203" i="27"/>
  <c r="AV203" i="27" s="1"/>
  <c r="AM203" i="27"/>
  <c r="BH203" i="27" s="1"/>
  <c r="AB203" i="27"/>
  <c r="AW203" i="27" s="1"/>
  <c r="AN203" i="27"/>
  <c r="BI203" i="27" s="1"/>
  <c r="Y203" i="27"/>
  <c r="AT203" i="27" s="1"/>
  <c r="AK279" i="27"/>
  <c r="BF279" i="27" s="1"/>
  <c r="Z279" i="27"/>
  <c r="AL279" i="27"/>
  <c r="BG279" i="27" s="1"/>
  <c r="AA279" i="27"/>
  <c r="AV279" i="27" s="1"/>
  <c r="AM279" i="27"/>
  <c r="BH279" i="27" s="1"/>
  <c r="AB279" i="27"/>
  <c r="AW279" i="27" s="1"/>
  <c r="AN279" i="27"/>
  <c r="BI279" i="27" s="1"/>
  <c r="AC279" i="27"/>
  <c r="AX279" i="27" s="1"/>
  <c r="AO279" i="27"/>
  <c r="BJ279" i="27" s="1"/>
  <c r="AD279" i="27"/>
  <c r="AY279" i="27" s="1"/>
  <c r="AP279" i="27"/>
  <c r="BK279" i="27" s="1"/>
  <c r="AE279" i="27"/>
  <c r="AZ279" i="27" s="1"/>
  <c r="AQ279" i="27"/>
  <c r="BL279" i="27" s="1"/>
  <c r="AF279" i="27"/>
  <c r="BA279" i="27" s="1"/>
  <c r="AR279" i="27"/>
  <c r="BM279" i="27" s="1"/>
  <c r="AG279" i="27"/>
  <c r="BB279" i="27" s="1"/>
  <c r="AH279" i="27"/>
  <c r="BC279" i="27" s="1"/>
  <c r="AI279" i="27"/>
  <c r="BD279" i="27" s="1"/>
  <c r="Y279" i="27"/>
  <c r="AT279" i="27" s="1"/>
  <c r="AJ279" i="27"/>
  <c r="BE279" i="27" s="1"/>
  <c r="AI351" i="27"/>
  <c r="BD351" i="27" s="1"/>
  <c r="AJ351" i="27"/>
  <c r="BE351" i="27" s="1"/>
  <c r="Z351" i="27"/>
  <c r="AL351" i="27"/>
  <c r="BG351" i="27" s="1"/>
  <c r="AA351" i="27"/>
  <c r="AV351" i="27" s="1"/>
  <c r="AM351" i="27"/>
  <c r="BH351" i="27" s="1"/>
  <c r="AB351" i="27"/>
  <c r="AW351" i="27" s="1"/>
  <c r="AN351" i="27"/>
  <c r="BI351" i="27" s="1"/>
  <c r="AC351" i="27"/>
  <c r="AX351" i="27" s="1"/>
  <c r="AO351" i="27"/>
  <c r="BJ351" i="27" s="1"/>
  <c r="AD351" i="27"/>
  <c r="AY351" i="27" s="1"/>
  <c r="AP351" i="27"/>
  <c r="BK351" i="27" s="1"/>
  <c r="AF351" i="27"/>
  <c r="BA351" i="27" s="1"/>
  <c r="AR351" i="27"/>
  <c r="BM351" i="27" s="1"/>
  <c r="AG351" i="27"/>
  <c r="BB351" i="27" s="1"/>
  <c r="AE351" i="27"/>
  <c r="AZ351" i="27" s="1"/>
  <c r="AH351" i="27"/>
  <c r="BC351" i="27" s="1"/>
  <c r="AK351" i="27"/>
  <c r="BF351" i="27" s="1"/>
  <c r="AQ351" i="27"/>
  <c r="BL351" i="27" s="1"/>
  <c r="Y351" i="27"/>
  <c r="AT351" i="27" s="1"/>
  <c r="AB222" i="27"/>
  <c r="AW222" i="27" s="1"/>
  <c r="AN222" i="27"/>
  <c r="BI222" i="27" s="1"/>
  <c r="AC222" i="27"/>
  <c r="AX222" i="27" s="1"/>
  <c r="AO222" i="27"/>
  <c r="BJ222" i="27" s="1"/>
  <c r="AD222" i="27"/>
  <c r="AY222" i="27" s="1"/>
  <c r="AP222" i="27"/>
  <c r="BK222" i="27" s="1"/>
  <c r="AE222" i="27"/>
  <c r="AZ222" i="27" s="1"/>
  <c r="AQ222" i="27"/>
  <c r="BL222" i="27" s="1"/>
  <c r="AF222" i="27"/>
  <c r="BA222" i="27" s="1"/>
  <c r="AR222" i="27"/>
  <c r="BM222" i="27" s="1"/>
  <c r="AG222" i="27"/>
  <c r="BB222" i="27" s="1"/>
  <c r="AH222" i="27"/>
  <c r="BC222" i="27" s="1"/>
  <c r="AI222" i="27"/>
  <c r="BD222" i="27" s="1"/>
  <c r="AJ222" i="27"/>
  <c r="BE222" i="27" s="1"/>
  <c r="AK222" i="27"/>
  <c r="BF222" i="27" s="1"/>
  <c r="Z222" i="27"/>
  <c r="AL222" i="27"/>
  <c r="BG222" i="27" s="1"/>
  <c r="AA222" i="27"/>
  <c r="AV222" i="27" s="1"/>
  <c r="Y222" i="27"/>
  <c r="AT222" i="27" s="1"/>
  <c r="AM222" i="27"/>
  <c r="BH222" i="27" s="1"/>
  <c r="AH298" i="27"/>
  <c r="BC298" i="27" s="1"/>
  <c r="AI298" i="27"/>
  <c r="BD298" i="27" s="1"/>
  <c r="AJ298" i="27"/>
  <c r="BE298" i="27" s="1"/>
  <c r="AK298" i="27"/>
  <c r="BF298" i="27" s="1"/>
  <c r="Z298" i="27"/>
  <c r="AL298" i="27"/>
  <c r="BG298" i="27" s="1"/>
  <c r="AA298" i="27"/>
  <c r="AV298" i="27" s="1"/>
  <c r="AM298" i="27"/>
  <c r="BH298" i="27" s="1"/>
  <c r="AB298" i="27"/>
  <c r="AW298" i="27" s="1"/>
  <c r="AN298" i="27"/>
  <c r="BI298" i="27" s="1"/>
  <c r="AC298" i="27"/>
  <c r="AX298" i="27" s="1"/>
  <c r="AO298" i="27"/>
  <c r="BJ298" i="27" s="1"/>
  <c r="Y298" i="27"/>
  <c r="AT298" i="27" s="1"/>
  <c r="AD298" i="27"/>
  <c r="AY298" i="27" s="1"/>
  <c r="AP298" i="27"/>
  <c r="BK298" i="27" s="1"/>
  <c r="AE298" i="27"/>
  <c r="AZ298" i="27" s="1"/>
  <c r="AQ298" i="27"/>
  <c r="BL298" i="27" s="1"/>
  <c r="AF298" i="27"/>
  <c r="BA298" i="27" s="1"/>
  <c r="AR298" i="27"/>
  <c r="BM298" i="27" s="1"/>
  <c r="AG298" i="27"/>
  <c r="BB298" i="27" s="1"/>
  <c r="AH370" i="27"/>
  <c r="BC370" i="27" s="1"/>
  <c r="AI370" i="27"/>
  <c r="BD370" i="27" s="1"/>
  <c r="AK370" i="27"/>
  <c r="BF370" i="27" s="1"/>
  <c r="Z370" i="27"/>
  <c r="AL370" i="27"/>
  <c r="BG370" i="27" s="1"/>
  <c r="AA370" i="27"/>
  <c r="AV370" i="27" s="1"/>
  <c r="AM370" i="27"/>
  <c r="BH370" i="27" s="1"/>
  <c r="AB370" i="27"/>
  <c r="AW370" i="27" s="1"/>
  <c r="AN370" i="27"/>
  <c r="BI370" i="27" s="1"/>
  <c r="AC370" i="27"/>
  <c r="AX370" i="27" s="1"/>
  <c r="AO370" i="27"/>
  <c r="BJ370" i="27" s="1"/>
  <c r="AE370" i="27"/>
  <c r="AZ370" i="27" s="1"/>
  <c r="AQ370" i="27"/>
  <c r="BL370" i="27" s="1"/>
  <c r="AF370" i="27"/>
  <c r="BA370" i="27" s="1"/>
  <c r="AR370" i="27"/>
  <c r="BM370" i="27" s="1"/>
  <c r="AD370" i="27"/>
  <c r="AY370" i="27" s="1"/>
  <c r="AG370" i="27"/>
  <c r="BB370" i="27" s="1"/>
  <c r="AJ370" i="27"/>
  <c r="BE370" i="27" s="1"/>
  <c r="AP370" i="27"/>
  <c r="BK370" i="27" s="1"/>
  <c r="Y370" i="27"/>
  <c r="AT370" i="27" s="1"/>
  <c r="AA229" i="27"/>
  <c r="AV229" i="27" s="1"/>
  <c r="AM229" i="27"/>
  <c r="BH229" i="27" s="1"/>
  <c r="AB229" i="27"/>
  <c r="AW229" i="27" s="1"/>
  <c r="AN229" i="27"/>
  <c r="BI229" i="27" s="1"/>
  <c r="AC229" i="27"/>
  <c r="AX229" i="27" s="1"/>
  <c r="AO229" i="27"/>
  <c r="BJ229" i="27" s="1"/>
  <c r="AD229" i="27"/>
  <c r="AY229" i="27" s="1"/>
  <c r="AP229" i="27"/>
  <c r="BK229" i="27" s="1"/>
  <c r="AE229" i="27"/>
  <c r="AZ229" i="27" s="1"/>
  <c r="AQ229" i="27"/>
  <c r="BL229" i="27" s="1"/>
  <c r="AF229" i="27"/>
  <c r="BA229" i="27" s="1"/>
  <c r="AR229" i="27"/>
  <c r="BM229" i="27" s="1"/>
  <c r="AG229" i="27"/>
  <c r="BB229" i="27" s="1"/>
  <c r="AH229" i="27"/>
  <c r="BC229" i="27" s="1"/>
  <c r="AI229" i="27"/>
  <c r="BD229" i="27" s="1"/>
  <c r="AJ229" i="27"/>
  <c r="BE229" i="27" s="1"/>
  <c r="AK229" i="27"/>
  <c r="BF229" i="27" s="1"/>
  <c r="Z229" i="27"/>
  <c r="AL229" i="27"/>
  <c r="BG229" i="27" s="1"/>
  <c r="Y229" i="27"/>
  <c r="AT229" i="27" s="1"/>
  <c r="AA311" i="27"/>
  <c r="AV311" i="27" s="1"/>
  <c r="AM311" i="27"/>
  <c r="BH311" i="27" s="1"/>
  <c r="AB311" i="27"/>
  <c r="AW311" i="27" s="1"/>
  <c r="AN311" i="27"/>
  <c r="BI311" i="27" s="1"/>
  <c r="AC311" i="27"/>
  <c r="AX311" i="27" s="1"/>
  <c r="AO311" i="27"/>
  <c r="BJ311" i="27" s="1"/>
  <c r="AD311" i="27"/>
  <c r="AY311" i="27" s="1"/>
  <c r="AP311" i="27"/>
  <c r="BK311" i="27" s="1"/>
  <c r="AE311" i="27"/>
  <c r="AZ311" i="27" s="1"/>
  <c r="AQ311" i="27"/>
  <c r="BL311" i="27" s="1"/>
  <c r="AF311" i="27"/>
  <c r="BA311" i="27" s="1"/>
  <c r="AR311" i="27"/>
  <c r="BM311" i="27" s="1"/>
  <c r="AG311" i="27"/>
  <c r="BB311" i="27" s="1"/>
  <c r="AH311" i="27"/>
  <c r="BC311" i="27" s="1"/>
  <c r="AI311" i="27"/>
  <c r="BD311" i="27" s="1"/>
  <c r="AJ311" i="27"/>
  <c r="BE311" i="27" s="1"/>
  <c r="AK311" i="27"/>
  <c r="BF311" i="27" s="1"/>
  <c r="Y311" i="27"/>
  <c r="AT311" i="27" s="1"/>
  <c r="Z311" i="27"/>
  <c r="AL311" i="27"/>
  <c r="BG311" i="27" s="1"/>
  <c r="AA383" i="27"/>
  <c r="AV383" i="27" s="1"/>
  <c r="AM383" i="27"/>
  <c r="BH383" i="27" s="1"/>
  <c r="AB383" i="27"/>
  <c r="AW383" i="27" s="1"/>
  <c r="AN383" i="27"/>
  <c r="BI383" i="27" s="1"/>
  <c r="AD383" i="27"/>
  <c r="AY383" i="27" s="1"/>
  <c r="AP383" i="27"/>
  <c r="BK383" i="27" s="1"/>
  <c r="AE383" i="27"/>
  <c r="AZ383" i="27" s="1"/>
  <c r="AQ383" i="27"/>
  <c r="BL383" i="27" s="1"/>
  <c r="AF383" i="27"/>
  <c r="BA383" i="27" s="1"/>
  <c r="AR383" i="27"/>
  <c r="BM383" i="27" s="1"/>
  <c r="AG383" i="27"/>
  <c r="BB383" i="27" s="1"/>
  <c r="AH383" i="27"/>
  <c r="BC383" i="27" s="1"/>
  <c r="AJ383" i="27"/>
  <c r="BE383" i="27" s="1"/>
  <c r="AK383" i="27"/>
  <c r="BF383" i="27" s="1"/>
  <c r="AO383" i="27"/>
  <c r="BJ383" i="27" s="1"/>
  <c r="Y383" i="27"/>
  <c r="AT383" i="27" s="1"/>
  <c r="Z383" i="27"/>
  <c r="AC383" i="27"/>
  <c r="AX383" i="27" s="1"/>
  <c r="AI383" i="27"/>
  <c r="BD383" i="27" s="1"/>
  <c r="AL383" i="27"/>
  <c r="BG383" i="27" s="1"/>
  <c r="AH252" i="27"/>
  <c r="BC252" i="27" s="1"/>
  <c r="AI252" i="27"/>
  <c r="BD252" i="27" s="1"/>
  <c r="AJ252" i="27"/>
  <c r="BE252" i="27" s="1"/>
  <c r="AK252" i="27"/>
  <c r="BF252" i="27" s="1"/>
  <c r="Z252" i="27"/>
  <c r="AL252" i="27"/>
  <c r="BG252" i="27" s="1"/>
  <c r="AA252" i="27"/>
  <c r="AV252" i="27" s="1"/>
  <c r="AM252" i="27"/>
  <c r="BH252" i="27" s="1"/>
  <c r="AB252" i="27"/>
  <c r="AW252" i="27" s="1"/>
  <c r="AN252" i="27"/>
  <c r="BI252" i="27" s="1"/>
  <c r="AC252" i="27"/>
  <c r="AX252" i="27" s="1"/>
  <c r="AO252" i="27"/>
  <c r="BJ252" i="27" s="1"/>
  <c r="AD252" i="27"/>
  <c r="AY252" i="27" s="1"/>
  <c r="AP252" i="27"/>
  <c r="BK252" i="27" s="1"/>
  <c r="AE252" i="27"/>
  <c r="AZ252" i="27" s="1"/>
  <c r="AQ252" i="27"/>
  <c r="BL252" i="27" s="1"/>
  <c r="AF252" i="27"/>
  <c r="BA252" i="27" s="1"/>
  <c r="AR252" i="27"/>
  <c r="BM252" i="27" s="1"/>
  <c r="AG252" i="27"/>
  <c r="BB252" i="27" s="1"/>
  <c r="Y252" i="27"/>
  <c r="AT252" i="27" s="1"/>
  <c r="AF324" i="27"/>
  <c r="BA324" i="27" s="1"/>
  <c r="AR324" i="27"/>
  <c r="BM324" i="27" s="1"/>
  <c r="AG324" i="27"/>
  <c r="BB324" i="27" s="1"/>
  <c r="AH324" i="27"/>
  <c r="BC324" i="27" s="1"/>
  <c r="AI324" i="27"/>
  <c r="BD324" i="27" s="1"/>
  <c r="AJ324" i="27"/>
  <c r="BE324" i="27" s="1"/>
  <c r="AK324" i="27"/>
  <c r="BF324" i="27" s="1"/>
  <c r="Z324" i="27"/>
  <c r="AL324" i="27"/>
  <c r="BG324" i="27" s="1"/>
  <c r="AA324" i="27"/>
  <c r="AV324" i="27" s="1"/>
  <c r="AM324" i="27"/>
  <c r="BH324" i="27" s="1"/>
  <c r="AB324" i="27"/>
  <c r="AW324" i="27" s="1"/>
  <c r="AN324" i="27"/>
  <c r="BI324" i="27" s="1"/>
  <c r="AC324" i="27"/>
  <c r="AX324" i="27" s="1"/>
  <c r="AO324" i="27"/>
  <c r="BJ324" i="27" s="1"/>
  <c r="AD324" i="27"/>
  <c r="AY324" i="27" s="1"/>
  <c r="AP324" i="27"/>
  <c r="BK324" i="27" s="1"/>
  <c r="AE324" i="27"/>
  <c r="AZ324" i="27" s="1"/>
  <c r="AQ324" i="27"/>
  <c r="BL324" i="27" s="1"/>
  <c r="Y324" i="27"/>
  <c r="AT324" i="27" s="1"/>
  <c r="AF195" i="27"/>
  <c r="BA195" i="27" s="1"/>
  <c r="AR195" i="27"/>
  <c r="BM195" i="27" s="1"/>
  <c r="AG195" i="27"/>
  <c r="BB195" i="27" s="1"/>
  <c r="AH195" i="27"/>
  <c r="BC195" i="27" s="1"/>
  <c r="AI195" i="27"/>
  <c r="BD195" i="27" s="1"/>
  <c r="AJ195" i="27"/>
  <c r="BE195" i="27" s="1"/>
  <c r="AK195" i="27"/>
  <c r="BF195" i="27" s="1"/>
  <c r="Z195" i="27"/>
  <c r="AL195" i="27"/>
  <c r="BG195" i="27" s="1"/>
  <c r="AA195" i="27"/>
  <c r="AV195" i="27" s="1"/>
  <c r="AM195" i="27"/>
  <c r="BH195" i="27" s="1"/>
  <c r="AB195" i="27"/>
  <c r="AW195" i="27" s="1"/>
  <c r="AN195" i="27"/>
  <c r="BI195" i="27" s="1"/>
  <c r="AC195" i="27"/>
  <c r="AX195" i="27" s="1"/>
  <c r="AO195" i="27"/>
  <c r="BJ195" i="27" s="1"/>
  <c r="AD195" i="27"/>
  <c r="AY195" i="27" s="1"/>
  <c r="AP195" i="27"/>
  <c r="BK195" i="27" s="1"/>
  <c r="AE195" i="27"/>
  <c r="AZ195" i="27" s="1"/>
  <c r="AQ195" i="27"/>
  <c r="BL195" i="27" s="1"/>
  <c r="Y195" i="27"/>
  <c r="AT195" i="27" s="1"/>
  <c r="AA265" i="27"/>
  <c r="AV265" i="27" s="1"/>
  <c r="AM265" i="27"/>
  <c r="BH265" i="27" s="1"/>
  <c r="AB265" i="27"/>
  <c r="AW265" i="27" s="1"/>
  <c r="AN265" i="27"/>
  <c r="BI265" i="27" s="1"/>
  <c r="AC265" i="27"/>
  <c r="AX265" i="27" s="1"/>
  <c r="AO265" i="27"/>
  <c r="BJ265" i="27" s="1"/>
  <c r="AD265" i="27"/>
  <c r="AY265" i="27" s="1"/>
  <c r="AP265" i="27"/>
  <c r="BK265" i="27" s="1"/>
  <c r="AE265" i="27"/>
  <c r="AZ265" i="27" s="1"/>
  <c r="AQ265" i="27"/>
  <c r="BL265" i="27" s="1"/>
  <c r="AF265" i="27"/>
  <c r="BA265" i="27" s="1"/>
  <c r="AR265" i="27"/>
  <c r="BM265" i="27" s="1"/>
  <c r="AG265" i="27"/>
  <c r="BB265" i="27" s="1"/>
  <c r="AH265" i="27"/>
  <c r="BC265" i="27" s="1"/>
  <c r="AI265" i="27"/>
  <c r="BD265" i="27" s="1"/>
  <c r="AJ265" i="27"/>
  <c r="BE265" i="27" s="1"/>
  <c r="AK265" i="27"/>
  <c r="BF265" i="27" s="1"/>
  <c r="AL265" i="27"/>
  <c r="BG265" i="27" s="1"/>
  <c r="Y265" i="27"/>
  <c r="AT265" i="27" s="1"/>
  <c r="Z265" i="27"/>
  <c r="AK337" i="27"/>
  <c r="BF337" i="27" s="1"/>
  <c r="Z337" i="27"/>
  <c r="AL337" i="27"/>
  <c r="BG337" i="27" s="1"/>
  <c r="AA337" i="27"/>
  <c r="AV337" i="27" s="1"/>
  <c r="AM337" i="27"/>
  <c r="BH337" i="27" s="1"/>
  <c r="AB337" i="27"/>
  <c r="AW337" i="27" s="1"/>
  <c r="AN337" i="27"/>
  <c r="BI337" i="27" s="1"/>
  <c r="AC337" i="27"/>
  <c r="AX337" i="27" s="1"/>
  <c r="AO337" i="27"/>
  <c r="BJ337" i="27" s="1"/>
  <c r="AD337" i="27"/>
  <c r="AY337" i="27" s="1"/>
  <c r="AP337" i="27"/>
  <c r="BK337" i="27" s="1"/>
  <c r="AE337" i="27"/>
  <c r="AZ337" i="27" s="1"/>
  <c r="AQ337" i="27"/>
  <c r="BL337" i="27" s="1"/>
  <c r="AF337" i="27"/>
  <c r="BA337" i="27" s="1"/>
  <c r="AR337" i="27"/>
  <c r="BM337" i="27" s="1"/>
  <c r="AG337" i="27"/>
  <c r="BB337" i="27" s="1"/>
  <c r="AH337" i="27"/>
  <c r="BC337" i="27" s="1"/>
  <c r="AI337" i="27"/>
  <c r="BD337" i="27" s="1"/>
  <c r="Y337" i="27"/>
  <c r="AT337" i="27" s="1"/>
  <c r="AJ337" i="27"/>
  <c r="BE337" i="27" s="1"/>
  <c r="AI231" i="28"/>
  <c r="BD231" i="28" s="1"/>
  <c r="AJ231" i="28"/>
  <c r="BE231" i="28" s="1"/>
  <c r="Z231" i="28"/>
  <c r="AL231" i="28"/>
  <c r="BG231" i="28" s="1"/>
  <c r="AA231" i="28"/>
  <c r="AV231" i="28" s="1"/>
  <c r="AM231" i="28"/>
  <c r="BH231" i="28" s="1"/>
  <c r="AB231" i="28"/>
  <c r="AW231" i="28" s="1"/>
  <c r="AN231" i="28"/>
  <c r="BI231" i="28" s="1"/>
  <c r="AC231" i="28"/>
  <c r="AX231" i="28" s="1"/>
  <c r="AO231" i="28"/>
  <c r="BJ231" i="28" s="1"/>
  <c r="AD231" i="28"/>
  <c r="AY231" i="28" s="1"/>
  <c r="AP231" i="28"/>
  <c r="BK231" i="28" s="1"/>
  <c r="AE231" i="28"/>
  <c r="AZ231" i="28" s="1"/>
  <c r="AQ231" i="28"/>
  <c r="BL231" i="28" s="1"/>
  <c r="AF231" i="28"/>
  <c r="BA231" i="28" s="1"/>
  <c r="AR231" i="28"/>
  <c r="BM231" i="28" s="1"/>
  <c r="AG231" i="28"/>
  <c r="BB231" i="28" s="1"/>
  <c r="Y231" i="28"/>
  <c r="AT231" i="28" s="1"/>
  <c r="AH231" i="28"/>
  <c r="BC231" i="28" s="1"/>
  <c r="AK231" i="28"/>
  <c r="BF231" i="28" s="1"/>
  <c r="AI303" i="28"/>
  <c r="BD303" i="28" s="1"/>
  <c r="AJ303" i="28"/>
  <c r="BE303" i="28" s="1"/>
  <c r="Z303" i="28"/>
  <c r="AL303" i="28"/>
  <c r="BG303" i="28" s="1"/>
  <c r="AA303" i="28"/>
  <c r="AV303" i="28" s="1"/>
  <c r="AM303" i="28"/>
  <c r="BH303" i="28" s="1"/>
  <c r="AB303" i="28"/>
  <c r="AW303" i="28" s="1"/>
  <c r="AN303" i="28"/>
  <c r="BI303" i="28" s="1"/>
  <c r="AC303" i="28"/>
  <c r="AX303" i="28" s="1"/>
  <c r="AO303" i="28"/>
  <c r="BJ303" i="28" s="1"/>
  <c r="AD303" i="28"/>
  <c r="AY303" i="28" s="1"/>
  <c r="AP303" i="28"/>
  <c r="BK303" i="28" s="1"/>
  <c r="AF303" i="28"/>
  <c r="BA303" i="28" s="1"/>
  <c r="AR303" i="28"/>
  <c r="BM303" i="28" s="1"/>
  <c r="AG303" i="28"/>
  <c r="BB303" i="28" s="1"/>
  <c r="Y303" i="28"/>
  <c r="AT303" i="28" s="1"/>
  <c r="AE303" i="28"/>
  <c r="AZ303" i="28" s="1"/>
  <c r="AH303" i="28"/>
  <c r="BC303" i="28" s="1"/>
  <c r="AK303" i="28"/>
  <c r="BF303" i="28" s="1"/>
  <c r="AQ303" i="28"/>
  <c r="BL303" i="28" s="1"/>
  <c r="AG375" i="28"/>
  <c r="AH375" i="28"/>
  <c r="AI375" i="28"/>
  <c r="AJ375" i="28"/>
  <c r="Y375" i="28"/>
  <c r="AT375" i="28" s="1"/>
  <c r="AK375" i="28"/>
  <c r="Z375" i="28"/>
  <c r="AL375" i="28"/>
  <c r="AA375" i="28"/>
  <c r="AM375" i="28"/>
  <c r="AB375" i="28"/>
  <c r="AN375" i="28"/>
  <c r="AC375" i="28"/>
  <c r="AO375" i="28"/>
  <c r="AD375" i="28"/>
  <c r="AP375" i="28"/>
  <c r="AE375" i="28"/>
  <c r="AQ375" i="28"/>
  <c r="AF375" i="28"/>
  <c r="AR375" i="28"/>
  <c r="AA268" i="28"/>
  <c r="AV268" i="28" s="1"/>
  <c r="AM268" i="28"/>
  <c r="BH268" i="28" s="1"/>
  <c r="AB268" i="28"/>
  <c r="AW268" i="28" s="1"/>
  <c r="AN268" i="28"/>
  <c r="BI268" i="28" s="1"/>
  <c r="AD268" i="28"/>
  <c r="AY268" i="28" s="1"/>
  <c r="AP268" i="28"/>
  <c r="BK268" i="28" s="1"/>
  <c r="AE268" i="28"/>
  <c r="AZ268" i="28" s="1"/>
  <c r="AQ268" i="28"/>
  <c r="BL268" i="28" s="1"/>
  <c r="AF268" i="28"/>
  <c r="BA268" i="28" s="1"/>
  <c r="AR268" i="28"/>
  <c r="BM268" i="28" s="1"/>
  <c r="AG268" i="28"/>
  <c r="BB268" i="28" s="1"/>
  <c r="AH268" i="28"/>
  <c r="BC268" i="28" s="1"/>
  <c r="AJ268" i="28"/>
  <c r="BE268" i="28" s="1"/>
  <c r="Y268" i="28"/>
  <c r="AT268" i="28" s="1"/>
  <c r="AK268" i="28"/>
  <c r="BF268" i="28" s="1"/>
  <c r="Z268" i="28"/>
  <c r="AC268" i="28"/>
  <c r="AX268" i="28" s="1"/>
  <c r="AI268" i="28"/>
  <c r="BD268" i="28" s="1"/>
  <c r="AL268" i="28"/>
  <c r="BG268" i="28" s="1"/>
  <c r="AO268" i="28"/>
  <c r="BJ268" i="28" s="1"/>
  <c r="Y340" i="28"/>
  <c r="AT340" i="28" s="1"/>
  <c r="AK340" i="28"/>
  <c r="BF340" i="28" s="1"/>
  <c r="Z340" i="28"/>
  <c r="AL340" i="28"/>
  <c r="BG340" i="28" s="1"/>
  <c r="AA340" i="28"/>
  <c r="AV340" i="28" s="1"/>
  <c r="AM340" i="28"/>
  <c r="BH340" i="28" s="1"/>
  <c r="AB340" i="28"/>
  <c r="AW340" i="28" s="1"/>
  <c r="AN340" i="28"/>
  <c r="BI340" i="28" s="1"/>
  <c r="AC340" i="28"/>
  <c r="AX340" i="28" s="1"/>
  <c r="AO340" i="28"/>
  <c r="BJ340" i="28" s="1"/>
  <c r="AD340" i="28"/>
  <c r="AY340" i="28" s="1"/>
  <c r="AP340" i="28"/>
  <c r="BK340" i="28" s="1"/>
  <c r="AE340" i="28"/>
  <c r="AZ340" i="28" s="1"/>
  <c r="AQ340" i="28"/>
  <c r="BL340" i="28" s="1"/>
  <c r="AF340" i="28"/>
  <c r="BA340" i="28" s="1"/>
  <c r="AR340" i="28"/>
  <c r="BM340" i="28" s="1"/>
  <c r="AG340" i="28"/>
  <c r="BB340" i="28" s="1"/>
  <c r="AH340" i="28"/>
  <c r="BC340" i="28" s="1"/>
  <c r="AI340" i="28"/>
  <c r="BD340" i="28" s="1"/>
  <c r="AJ340" i="28"/>
  <c r="BE340" i="28" s="1"/>
  <c r="AE233" i="28"/>
  <c r="AZ233" i="28" s="1"/>
  <c r="AQ233" i="28"/>
  <c r="BL233" i="28" s="1"/>
  <c r="AF233" i="28"/>
  <c r="BA233" i="28" s="1"/>
  <c r="AR233" i="28"/>
  <c r="BM233" i="28" s="1"/>
  <c r="AH233" i="28"/>
  <c r="BC233" i="28" s="1"/>
  <c r="AI233" i="28"/>
  <c r="BD233" i="28" s="1"/>
  <c r="AJ233" i="28"/>
  <c r="BE233" i="28" s="1"/>
  <c r="Y233" i="28"/>
  <c r="AT233" i="28" s="1"/>
  <c r="AK233" i="28"/>
  <c r="BF233" i="28" s="1"/>
  <c r="Z233" i="28"/>
  <c r="AL233" i="28"/>
  <c r="BG233" i="28" s="1"/>
  <c r="AB233" i="28"/>
  <c r="AW233" i="28" s="1"/>
  <c r="AN233" i="28"/>
  <c r="BI233" i="28" s="1"/>
  <c r="AC233" i="28"/>
  <c r="AX233" i="28" s="1"/>
  <c r="AO233" i="28"/>
  <c r="BJ233" i="28" s="1"/>
  <c r="AA233" i="28"/>
  <c r="AV233" i="28" s="1"/>
  <c r="AD233" i="28"/>
  <c r="AY233" i="28" s="1"/>
  <c r="AG233" i="28"/>
  <c r="BB233" i="28" s="1"/>
  <c r="AM233" i="28"/>
  <c r="BH233" i="28" s="1"/>
  <c r="AP233" i="28"/>
  <c r="BK233" i="28" s="1"/>
  <c r="AE305" i="28"/>
  <c r="AZ305" i="28" s="1"/>
  <c r="AQ305" i="28"/>
  <c r="BL305" i="28" s="1"/>
  <c r="AF305" i="28"/>
  <c r="BA305" i="28" s="1"/>
  <c r="AR305" i="28"/>
  <c r="BM305" i="28" s="1"/>
  <c r="AH305" i="28"/>
  <c r="BC305" i="28" s="1"/>
  <c r="AI305" i="28"/>
  <c r="BD305" i="28" s="1"/>
  <c r="AJ305" i="28"/>
  <c r="BE305" i="28" s="1"/>
  <c r="Y305" i="28"/>
  <c r="AT305" i="28" s="1"/>
  <c r="AK305" i="28"/>
  <c r="BF305" i="28" s="1"/>
  <c r="Z305" i="28"/>
  <c r="AL305" i="28"/>
  <c r="BG305" i="28" s="1"/>
  <c r="AB305" i="28"/>
  <c r="AW305" i="28" s="1"/>
  <c r="AN305" i="28"/>
  <c r="BI305" i="28" s="1"/>
  <c r="AC305" i="28"/>
  <c r="AX305" i="28" s="1"/>
  <c r="AO305" i="28"/>
  <c r="BJ305" i="28" s="1"/>
  <c r="AA305" i="28"/>
  <c r="AV305" i="28" s="1"/>
  <c r="AD305" i="28"/>
  <c r="AY305" i="28" s="1"/>
  <c r="AG305" i="28"/>
  <c r="BB305" i="28" s="1"/>
  <c r="AM305" i="28"/>
  <c r="BH305" i="28" s="1"/>
  <c r="AP305" i="28"/>
  <c r="BK305" i="28" s="1"/>
  <c r="AC377" i="28"/>
  <c r="AX377" i="28" s="1"/>
  <c r="AO377" i="28"/>
  <c r="BJ377" i="28" s="1"/>
  <c r="AD377" i="28"/>
  <c r="AY377" i="28" s="1"/>
  <c r="AP377" i="28"/>
  <c r="BK377" i="28" s="1"/>
  <c r="AE377" i="28"/>
  <c r="AZ377" i="28" s="1"/>
  <c r="AQ377" i="28"/>
  <c r="BL377" i="28" s="1"/>
  <c r="AF377" i="28"/>
  <c r="BA377" i="28" s="1"/>
  <c r="AR377" i="28"/>
  <c r="BM377" i="28" s="1"/>
  <c r="AG377" i="28"/>
  <c r="BB377" i="28" s="1"/>
  <c r="AH377" i="28"/>
  <c r="BC377" i="28" s="1"/>
  <c r="AI377" i="28"/>
  <c r="BD377" i="28" s="1"/>
  <c r="AJ377" i="28"/>
  <c r="BE377" i="28" s="1"/>
  <c r="Y377" i="28"/>
  <c r="AT377" i="28" s="1"/>
  <c r="AK377" i="28"/>
  <c r="BF377" i="28" s="1"/>
  <c r="Z377" i="28"/>
  <c r="AL377" i="28"/>
  <c r="BG377" i="28" s="1"/>
  <c r="AA377" i="28"/>
  <c r="AV377" i="28" s="1"/>
  <c r="AM377" i="28"/>
  <c r="BH377" i="28" s="1"/>
  <c r="AB377" i="28"/>
  <c r="AW377" i="28" s="1"/>
  <c r="AN377" i="28"/>
  <c r="BI377" i="28" s="1"/>
  <c r="AI270" i="28"/>
  <c r="BD270" i="28" s="1"/>
  <c r="AJ270" i="28"/>
  <c r="BE270" i="28" s="1"/>
  <c r="Z270" i="28"/>
  <c r="AL270" i="28"/>
  <c r="BG270" i="28" s="1"/>
  <c r="AA270" i="28"/>
  <c r="AV270" i="28" s="1"/>
  <c r="AM270" i="28"/>
  <c r="BH270" i="28" s="1"/>
  <c r="AB270" i="28"/>
  <c r="AW270" i="28" s="1"/>
  <c r="AN270" i="28"/>
  <c r="BI270" i="28" s="1"/>
  <c r="AC270" i="28"/>
  <c r="AX270" i="28" s="1"/>
  <c r="AO270" i="28"/>
  <c r="BJ270" i="28" s="1"/>
  <c r="AD270" i="28"/>
  <c r="AY270" i="28" s="1"/>
  <c r="AP270" i="28"/>
  <c r="BK270" i="28" s="1"/>
  <c r="AF270" i="28"/>
  <c r="BA270" i="28" s="1"/>
  <c r="AR270" i="28"/>
  <c r="BM270" i="28" s="1"/>
  <c r="AG270" i="28"/>
  <c r="BB270" i="28" s="1"/>
  <c r="Y270" i="28"/>
  <c r="AT270" i="28" s="1"/>
  <c r="AE270" i="28"/>
  <c r="AZ270" i="28" s="1"/>
  <c r="AH270" i="28"/>
  <c r="BC270" i="28" s="1"/>
  <c r="AK270" i="28"/>
  <c r="BF270" i="28" s="1"/>
  <c r="AQ270" i="28"/>
  <c r="BL270" i="28" s="1"/>
  <c r="AG342" i="28"/>
  <c r="BB342" i="28" s="1"/>
  <c r="AH342" i="28"/>
  <c r="BC342" i="28" s="1"/>
  <c r="AI342" i="28"/>
  <c r="BD342" i="28" s="1"/>
  <c r="AJ342" i="28"/>
  <c r="BE342" i="28" s="1"/>
  <c r="Y342" i="28"/>
  <c r="AT342" i="28" s="1"/>
  <c r="AK342" i="28"/>
  <c r="BF342" i="28" s="1"/>
  <c r="Z342" i="28"/>
  <c r="AL342" i="28"/>
  <c r="BG342" i="28" s="1"/>
  <c r="AA342" i="28"/>
  <c r="AV342" i="28" s="1"/>
  <c r="AM342" i="28"/>
  <c r="BH342" i="28" s="1"/>
  <c r="AB342" i="28"/>
  <c r="AW342" i="28" s="1"/>
  <c r="AN342" i="28"/>
  <c r="BI342" i="28" s="1"/>
  <c r="AC342" i="28"/>
  <c r="AX342" i="28" s="1"/>
  <c r="AO342" i="28"/>
  <c r="BJ342" i="28" s="1"/>
  <c r="AD342" i="28"/>
  <c r="AY342" i="28" s="1"/>
  <c r="AP342" i="28"/>
  <c r="BK342" i="28" s="1"/>
  <c r="AE342" i="28"/>
  <c r="AZ342" i="28" s="1"/>
  <c r="AQ342" i="28"/>
  <c r="BL342" i="28" s="1"/>
  <c r="AF342" i="28"/>
  <c r="BA342" i="28" s="1"/>
  <c r="AR342" i="28"/>
  <c r="BM342" i="28" s="1"/>
  <c r="AA235" i="28"/>
  <c r="AV235" i="28" s="1"/>
  <c r="AM235" i="28"/>
  <c r="BH235" i="28" s="1"/>
  <c r="AB235" i="28"/>
  <c r="AW235" i="28" s="1"/>
  <c r="AN235" i="28"/>
  <c r="BI235" i="28" s="1"/>
  <c r="AD235" i="28"/>
  <c r="AY235" i="28" s="1"/>
  <c r="AP235" i="28"/>
  <c r="BK235" i="28" s="1"/>
  <c r="AE235" i="28"/>
  <c r="AZ235" i="28" s="1"/>
  <c r="AQ235" i="28"/>
  <c r="BL235" i="28" s="1"/>
  <c r="AF235" i="28"/>
  <c r="BA235" i="28" s="1"/>
  <c r="AR235" i="28"/>
  <c r="BM235" i="28" s="1"/>
  <c r="AG235" i="28"/>
  <c r="BB235" i="28" s="1"/>
  <c r="AH235" i="28"/>
  <c r="BC235" i="28" s="1"/>
  <c r="AJ235" i="28"/>
  <c r="BE235" i="28" s="1"/>
  <c r="Y235" i="28"/>
  <c r="AT235" i="28" s="1"/>
  <c r="AK235" i="28"/>
  <c r="BF235" i="28" s="1"/>
  <c r="AI235" i="28"/>
  <c r="BD235" i="28" s="1"/>
  <c r="AL235" i="28"/>
  <c r="BG235" i="28" s="1"/>
  <c r="AO235" i="28"/>
  <c r="BJ235" i="28" s="1"/>
  <c r="Z235" i="28"/>
  <c r="AC235" i="28"/>
  <c r="AX235" i="28" s="1"/>
  <c r="AA307" i="28"/>
  <c r="AV307" i="28" s="1"/>
  <c r="AM307" i="28"/>
  <c r="BH307" i="28" s="1"/>
  <c r="AB307" i="28"/>
  <c r="AW307" i="28" s="1"/>
  <c r="AN307" i="28"/>
  <c r="BI307" i="28" s="1"/>
  <c r="AD307" i="28"/>
  <c r="AY307" i="28" s="1"/>
  <c r="AP307" i="28"/>
  <c r="BK307" i="28" s="1"/>
  <c r="AE307" i="28"/>
  <c r="AZ307" i="28" s="1"/>
  <c r="AQ307" i="28"/>
  <c r="BL307" i="28" s="1"/>
  <c r="AF307" i="28"/>
  <c r="BA307" i="28" s="1"/>
  <c r="AR307" i="28"/>
  <c r="BM307" i="28" s="1"/>
  <c r="AG307" i="28"/>
  <c r="BB307" i="28" s="1"/>
  <c r="AH307" i="28"/>
  <c r="BC307" i="28" s="1"/>
  <c r="AJ307" i="28"/>
  <c r="BE307" i="28" s="1"/>
  <c r="Y307" i="28"/>
  <c r="AT307" i="28" s="1"/>
  <c r="AK307" i="28"/>
  <c r="BF307" i="28" s="1"/>
  <c r="AI307" i="28"/>
  <c r="BD307" i="28" s="1"/>
  <c r="AL307" i="28"/>
  <c r="BG307" i="28" s="1"/>
  <c r="AO307" i="28"/>
  <c r="BJ307" i="28" s="1"/>
  <c r="Z307" i="28"/>
  <c r="AC307" i="28"/>
  <c r="AX307" i="28" s="1"/>
  <c r="Y379" i="28"/>
  <c r="AT379" i="28" s="1"/>
  <c r="AK379" i="28"/>
  <c r="BF379" i="28" s="1"/>
  <c r="Z379" i="28"/>
  <c r="AL379" i="28"/>
  <c r="BG379" i="28" s="1"/>
  <c r="AA379" i="28"/>
  <c r="AV379" i="28" s="1"/>
  <c r="AM379" i="28"/>
  <c r="BH379" i="28" s="1"/>
  <c r="AB379" i="28"/>
  <c r="AW379" i="28" s="1"/>
  <c r="AN379" i="28"/>
  <c r="BI379" i="28" s="1"/>
  <c r="AC379" i="28"/>
  <c r="AX379" i="28" s="1"/>
  <c r="AO379" i="28"/>
  <c r="BJ379" i="28" s="1"/>
  <c r="AD379" i="28"/>
  <c r="AY379" i="28" s="1"/>
  <c r="AP379" i="28"/>
  <c r="BK379" i="28" s="1"/>
  <c r="AE379" i="28"/>
  <c r="AZ379" i="28" s="1"/>
  <c r="AQ379" i="28"/>
  <c r="BL379" i="28" s="1"/>
  <c r="AF379" i="28"/>
  <c r="BA379" i="28" s="1"/>
  <c r="AR379" i="28"/>
  <c r="BM379" i="28" s="1"/>
  <c r="AG379" i="28"/>
  <c r="BB379" i="28" s="1"/>
  <c r="AH379" i="28"/>
  <c r="BC379" i="28" s="1"/>
  <c r="AI379" i="28"/>
  <c r="BD379" i="28" s="1"/>
  <c r="AJ379" i="28"/>
  <c r="BE379" i="28" s="1"/>
  <c r="AE278" i="28"/>
  <c r="AZ278" i="28" s="1"/>
  <c r="AQ278" i="28"/>
  <c r="BL278" i="28" s="1"/>
  <c r="AF278" i="28"/>
  <c r="BA278" i="28" s="1"/>
  <c r="AR278" i="28"/>
  <c r="BM278" i="28" s="1"/>
  <c r="AH278" i="28"/>
  <c r="BC278" i="28" s="1"/>
  <c r="AI278" i="28"/>
  <c r="BD278" i="28" s="1"/>
  <c r="AJ278" i="28"/>
  <c r="BE278" i="28" s="1"/>
  <c r="Y278" i="28"/>
  <c r="AT278" i="28" s="1"/>
  <c r="AK278" i="28"/>
  <c r="BF278" i="28" s="1"/>
  <c r="Z278" i="28"/>
  <c r="AL278" i="28"/>
  <c r="BG278" i="28" s="1"/>
  <c r="AB278" i="28"/>
  <c r="AW278" i="28" s="1"/>
  <c r="AN278" i="28"/>
  <c r="BI278" i="28" s="1"/>
  <c r="AC278" i="28"/>
  <c r="AX278" i="28" s="1"/>
  <c r="AO278" i="28"/>
  <c r="BJ278" i="28" s="1"/>
  <c r="AM278" i="28"/>
  <c r="BH278" i="28" s="1"/>
  <c r="AP278" i="28"/>
  <c r="BK278" i="28" s="1"/>
  <c r="AA278" i="28"/>
  <c r="AV278" i="28" s="1"/>
  <c r="AD278" i="28"/>
  <c r="AY278" i="28" s="1"/>
  <c r="AG278" i="28"/>
  <c r="BB278" i="28" s="1"/>
  <c r="AC350" i="28"/>
  <c r="AX350" i="28" s="1"/>
  <c r="AO350" i="28"/>
  <c r="BJ350" i="28" s="1"/>
  <c r="AD350" i="28"/>
  <c r="AY350" i="28" s="1"/>
  <c r="AP350" i="28"/>
  <c r="BK350" i="28" s="1"/>
  <c r="AE350" i="28"/>
  <c r="AZ350" i="28" s="1"/>
  <c r="AQ350" i="28"/>
  <c r="BL350" i="28" s="1"/>
  <c r="AF350" i="28"/>
  <c r="BA350" i="28" s="1"/>
  <c r="AR350" i="28"/>
  <c r="BM350" i="28" s="1"/>
  <c r="AG350" i="28"/>
  <c r="BB350" i="28" s="1"/>
  <c r="AH350" i="28"/>
  <c r="BC350" i="28" s="1"/>
  <c r="AI350" i="28"/>
  <c r="BD350" i="28" s="1"/>
  <c r="AJ350" i="28"/>
  <c r="BE350" i="28" s="1"/>
  <c r="Y350" i="28"/>
  <c r="AT350" i="28" s="1"/>
  <c r="AK350" i="28"/>
  <c r="BF350" i="28" s="1"/>
  <c r="Z350" i="28"/>
  <c r="AL350" i="28"/>
  <c r="BG350" i="28" s="1"/>
  <c r="AA350" i="28"/>
  <c r="AV350" i="28" s="1"/>
  <c r="AM350" i="28"/>
  <c r="BH350" i="28" s="1"/>
  <c r="AB350" i="28"/>
  <c r="AW350" i="28" s="1"/>
  <c r="AN350" i="28"/>
  <c r="BI350" i="28" s="1"/>
  <c r="AK378" i="24"/>
  <c r="BF378" i="24" s="1"/>
  <c r="AA378" i="24"/>
  <c r="AV378" i="24" s="1"/>
  <c r="Z378" i="24"/>
  <c r="AL378" i="24"/>
  <c r="BG378" i="24" s="1"/>
  <c r="AM378" i="24"/>
  <c r="BH378" i="24" s="1"/>
  <c r="AB378" i="24"/>
  <c r="AW378" i="24" s="1"/>
  <c r="AN378" i="24"/>
  <c r="BI378" i="24" s="1"/>
  <c r="Y378" i="24"/>
  <c r="AT378" i="24" s="1"/>
  <c r="AC378" i="24"/>
  <c r="AX378" i="24" s="1"/>
  <c r="AO378" i="24"/>
  <c r="BJ378" i="24" s="1"/>
  <c r="AG378" i="24"/>
  <c r="BB378" i="24" s="1"/>
  <c r="AD378" i="24"/>
  <c r="AY378" i="24" s="1"/>
  <c r="AP378" i="24"/>
  <c r="BK378" i="24" s="1"/>
  <c r="AE378" i="24"/>
  <c r="AZ378" i="24" s="1"/>
  <c r="AQ378" i="24"/>
  <c r="BL378" i="24" s="1"/>
  <c r="AF378" i="24"/>
  <c r="BA378" i="24" s="1"/>
  <c r="AR378" i="24"/>
  <c r="BM378" i="24" s="1"/>
  <c r="AJ378" i="24"/>
  <c r="BE378" i="24" s="1"/>
  <c r="AH378" i="24"/>
  <c r="BC378" i="24" s="1"/>
  <c r="AI378" i="24"/>
  <c r="BD378" i="24" s="1"/>
  <c r="AH350" i="24"/>
  <c r="BC350" i="24" s="1"/>
  <c r="Y350" i="24"/>
  <c r="AT350" i="24" s="1"/>
  <c r="AI350" i="24"/>
  <c r="BD350" i="24" s="1"/>
  <c r="AJ350" i="24"/>
  <c r="BE350" i="24" s="1"/>
  <c r="AK350" i="24"/>
  <c r="BF350" i="24" s="1"/>
  <c r="AG350" i="24"/>
  <c r="BB350" i="24" s="1"/>
  <c r="Z350" i="24"/>
  <c r="AL350" i="24"/>
  <c r="BG350" i="24" s="1"/>
  <c r="AA350" i="24"/>
  <c r="AV350" i="24" s="1"/>
  <c r="AM350" i="24"/>
  <c r="BH350" i="24" s="1"/>
  <c r="AB350" i="24"/>
  <c r="AW350" i="24" s="1"/>
  <c r="AN350" i="24"/>
  <c r="BI350" i="24" s="1"/>
  <c r="AC350" i="24"/>
  <c r="AX350" i="24" s="1"/>
  <c r="AO350" i="24"/>
  <c r="BJ350" i="24" s="1"/>
  <c r="AD350" i="24"/>
  <c r="AY350" i="24" s="1"/>
  <c r="AP350" i="24"/>
  <c r="BK350" i="24" s="1"/>
  <c r="AE350" i="24"/>
  <c r="AZ350" i="24" s="1"/>
  <c r="AQ350" i="24"/>
  <c r="BL350" i="24" s="1"/>
  <c r="AF350" i="24"/>
  <c r="BA350" i="24" s="1"/>
  <c r="AR350" i="24"/>
  <c r="BM350" i="24" s="1"/>
  <c r="AG94" i="24"/>
  <c r="BB94" i="24" s="1"/>
  <c r="AH94" i="24"/>
  <c r="BC94" i="24" s="1"/>
  <c r="AI94" i="24"/>
  <c r="BD94" i="24" s="1"/>
  <c r="AJ94" i="24"/>
  <c r="BE94" i="24" s="1"/>
  <c r="AK94" i="24"/>
  <c r="BF94" i="24" s="1"/>
  <c r="Z94" i="24"/>
  <c r="AL94" i="24"/>
  <c r="BG94" i="24" s="1"/>
  <c r="AA94" i="24"/>
  <c r="AV94" i="24" s="1"/>
  <c r="AM94" i="24"/>
  <c r="BH94" i="24" s="1"/>
  <c r="AB94" i="24"/>
  <c r="AW94" i="24" s="1"/>
  <c r="AN94" i="24"/>
  <c r="BI94" i="24" s="1"/>
  <c r="AC94" i="24"/>
  <c r="AX94" i="24" s="1"/>
  <c r="AO94" i="24"/>
  <c r="BJ94" i="24" s="1"/>
  <c r="AD94" i="24"/>
  <c r="AY94" i="24" s="1"/>
  <c r="AP94" i="24"/>
  <c r="BK94" i="24" s="1"/>
  <c r="AE94" i="24"/>
  <c r="AZ94" i="24" s="1"/>
  <c r="AQ94" i="24"/>
  <c r="BL94" i="24" s="1"/>
  <c r="AF94" i="24"/>
  <c r="BA94" i="24" s="1"/>
  <c r="AR94" i="24"/>
  <c r="BM94" i="24" s="1"/>
  <c r="Y94" i="24"/>
  <c r="AT94" i="24" s="1"/>
  <c r="AH166" i="24"/>
  <c r="BC166" i="24" s="1"/>
  <c r="AI166" i="24"/>
  <c r="BD166" i="24" s="1"/>
  <c r="AJ166" i="24"/>
  <c r="BE166" i="24" s="1"/>
  <c r="AK166" i="24"/>
  <c r="BF166" i="24" s="1"/>
  <c r="Z166" i="24"/>
  <c r="AL166" i="24"/>
  <c r="BG166" i="24" s="1"/>
  <c r="AA166" i="24"/>
  <c r="AV166" i="24" s="1"/>
  <c r="AM166" i="24"/>
  <c r="BH166" i="24" s="1"/>
  <c r="AB166" i="24"/>
  <c r="AW166" i="24" s="1"/>
  <c r="AN166" i="24"/>
  <c r="BI166" i="24" s="1"/>
  <c r="AC166" i="24"/>
  <c r="AX166" i="24" s="1"/>
  <c r="AO166" i="24"/>
  <c r="BJ166" i="24" s="1"/>
  <c r="AD166" i="24"/>
  <c r="AY166" i="24" s="1"/>
  <c r="AP166" i="24"/>
  <c r="BK166" i="24" s="1"/>
  <c r="AE166" i="24"/>
  <c r="AZ166" i="24" s="1"/>
  <c r="AQ166" i="24"/>
  <c r="BL166" i="24" s="1"/>
  <c r="AF166" i="24"/>
  <c r="BA166" i="24" s="1"/>
  <c r="AR166" i="24"/>
  <c r="BM166" i="24" s="1"/>
  <c r="Y166" i="24"/>
  <c r="AT166" i="24" s="1"/>
  <c r="AG166" i="24"/>
  <c r="BB166" i="24" s="1"/>
  <c r="AH238" i="24"/>
  <c r="BC238" i="24" s="1"/>
  <c r="AI238" i="24"/>
  <c r="BD238" i="24" s="1"/>
  <c r="AJ238" i="24"/>
  <c r="BE238" i="24" s="1"/>
  <c r="AK238" i="24"/>
  <c r="BF238" i="24" s="1"/>
  <c r="Z238" i="24"/>
  <c r="AL238" i="24"/>
  <c r="BG238" i="24" s="1"/>
  <c r="AA238" i="24"/>
  <c r="AV238" i="24" s="1"/>
  <c r="AM238" i="24"/>
  <c r="BH238" i="24" s="1"/>
  <c r="AB238" i="24"/>
  <c r="AW238" i="24" s="1"/>
  <c r="AN238" i="24"/>
  <c r="BI238" i="24" s="1"/>
  <c r="AC238" i="24"/>
  <c r="AX238" i="24" s="1"/>
  <c r="AO238" i="24"/>
  <c r="BJ238" i="24" s="1"/>
  <c r="AD238" i="24"/>
  <c r="AY238" i="24" s="1"/>
  <c r="AP238" i="24"/>
  <c r="BK238" i="24" s="1"/>
  <c r="AE238" i="24"/>
  <c r="AZ238" i="24" s="1"/>
  <c r="AQ238" i="24"/>
  <c r="BL238" i="24" s="1"/>
  <c r="AF238" i="24"/>
  <c r="BA238" i="24" s="1"/>
  <c r="AR238" i="24"/>
  <c r="BM238" i="24" s="1"/>
  <c r="AG238" i="24"/>
  <c r="BB238" i="24" s="1"/>
  <c r="Y238" i="24"/>
  <c r="AT238" i="24" s="1"/>
  <c r="AK102" i="24"/>
  <c r="BF102" i="24" s="1"/>
  <c r="Z102" i="24"/>
  <c r="AL102" i="24"/>
  <c r="BG102" i="24" s="1"/>
  <c r="AB102" i="24"/>
  <c r="AW102" i="24" s="1"/>
  <c r="AN102" i="24"/>
  <c r="BI102" i="24" s="1"/>
  <c r="AC102" i="24"/>
  <c r="AX102" i="24" s="1"/>
  <c r="AO102" i="24"/>
  <c r="BJ102" i="24" s="1"/>
  <c r="AD102" i="24"/>
  <c r="AY102" i="24" s="1"/>
  <c r="AP102" i="24"/>
  <c r="BK102" i="24" s="1"/>
  <c r="AE102" i="24"/>
  <c r="AZ102" i="24" s="1"/>
  <c r="AF102" i="24"/>
  <c r="BA102" i="24" s="1"/>
  <c r="AG102" i="24"/>
  <c r="BB102" i="24" s="1"/>
  <c r="AH102" i="24"/>
  <c r="BC102" i="24" s="1"/>
  <c r="AI102" i="24"/>
  <c r="BD102" i="24" s="1"/>
  <c r="AA102" i="24"/>
  <c r="AV102" i="24" s="1"/>
  <c r="AJ102" i="24"/>
  <c r="BE102" i="24" s="1"/>
  <c r="AM102" i="24"/>
  <c r="BH102" i="24" s="1"/>
  <c r="AQ102" i="24"/>
  <c r="BL102" i="24" s="1"/>
  <c r="AR102" i="24"/>
  <c r="BM102" i="24" s="1"/>
  <c r="Y102" i="24"/>
  <c r="AT102" i="24" s="1"/>
  <c r="Z174" i="24"/>
  <c r="AL174" i="24"/>
  <c r="BG174" i="24" s="1"/>
  <c r="AA174" i="24"/>
  <c r="AV174" i="24" s="1"/>
  <c r="AM174" i="24"/>
  <c r="BH174" i="24" s="1"/>
  <c r="AB174" i="24"/>
  <c r="AW174" i="24" s="1"/>
  <c r="AN174" i="24"/>
  <c r="BI174" i="24" s="1"/>
  <c r="AC174" i="24"/>
  <c r="AX174" i="24" s="1"/>
  <c r="AO174" i="24"/>
  <c r="BJ174" i="24" s="1"/>
  <c r="AD174" i="24"/>
  <c r="AY174" i="24" s="1"/>
  <c r="AP174" i="24"/>
  <c r="BK174" i="24" s="1"/>
  <c r="AE174" i="24"/>
  <c r="AZ174" i="24" s="1"/>
  <c r="AQ174" i="24"/>
  <c r="BL174" i="24" s="1"/>
  <c r="AF174" i="24"/>
  <c r="BA174" i="24" s="1"/>
  <c r="AR174" i="24"/>
  <c r="BM174" i="24" s="1"/>
  <c r="AG174" i="24"/>
  <c r="BB174" i="24" s="1"/>
  <c r="AH174" i="24"/>
  <c r="BC174" i="24" s="1"/>
  <c r="AI174" i="24"/>
  <c r="BD174" i="24" s="1"/>
  <c r="AJ174" i="24"/>
  <c r="BE174" i="24" s="1"/>
  <c r="Y174" i="24"/>
  <c r="AT174" i="24" s="1"/>
  <c r="AK174" i="24"/>
  <c r="BF174" i="24" s="1"/>
  <c r="Z246" i="24"/>
  <c r="AL246" i="24"/>
  <c r="BG246" i="24" s="1"/>
  <c r="AA246" i="24"/>
  <c r="AV246" i="24" s="1"/>
  <c r="AM246" i="24"/>
  <c r="BH246" i="24" s="1"/>
  <c r="AB246" i="24"/>
  <c r="AW246" i="24" s="1"/>
  <c r="AN246" i="24"/>
  <c r="BI246" i="24" s="1"/>
  <c r="AC246" i="24"/>
  <c r="AX246" i="24" s="1"/>
  <c r="AO246" i="24"/>
  <c r="BJ246" i="24" s="1"/>
  <c r="AD246" i="24"/>
  <c r="AY246" i="24" s="1"/>
  <c r="AP246" i="24"/>
  <c r="BK246" i="24" s="1"/>
  <c r="AE246" i="24"/>
  <c r="AZ246" i="24" s="1"/>
  <c r="AQ246" i="24"/>
  <c r="BL246" i="24" s="1"/>
  <c r="AF246" i="24"/>
  <c r="BA246" i="24" s="1"/>
  <c r="AR246" i="24"/>
  <c r="BM246" i="24" s="1"/>
  <c r="AG246" i="24"/>
  <c r="BB246" i="24" s="1"/>
  <c r="AH246" i="24"/>
  <c r="BC246" i="24" s="1"/>
  <c r="AI246" i="24"/>
  <c r="BD246" i="24" s="1"/>
  <c r="AJ246" i="24"/>
  <c r="BE246" i="24" s="1"/>
  <c r="AK246" i="24"/>
  <c r="BF246" i="24" s="1"/>
  <c r="Y246" i="24"/>
  <c r="AT246" i="24" s="1"/>
  <c r="AD318" i="24"/>
  <c r="AY318" i="24" s="1"/>
  <c r="AP318" i="24"/>
  <c r="BK318" i="24" s="1"/>
  <c r="AE318" i="24"/>
  <c r="AZ318" i="24" s="1"/>
  <c r="AQ318" i="24"/>
  <c r="BL318" i="24" s="1"/>
  <c r="AC318" i="24"/>
  <c r="AX318" i="24" s="1"/>
  <c r="AF318" i="24"/>
  <c r="BA318" i="24" s="1"/>
  <c r="AR318" i="24"/>
  <c r="BM318" i="24" s="1"/>
  <c r="AG318" i="24"/>
  <c r="BB318" i="24" s="1"/>
  <c r="AH318" i="24"/>
  <c r="BC318" i="24" s="1"/>
  <c r="Y318" i="24"/>
  <c r="AT318" i="24" s="1"/>
  <c r="AI318" i="24"/>
  <c r="BD318" i="24" s="1"/>
  <c r="AJ318" i="24"/>
  <c r="BE318" i="24" s="1"/>
  <c r="AK318" i="24"/>
  <c r="BF318" i="24" s="1"/>
  <c r="Z318" i="24"/>
  <c r="AL318" i="24"/>
  <c r="BG318" i="24" s="1"/>
  <c r="AA318" i="24"/>
  <c r="AV318" i="24" s="1"/>
  <c r="AM318" i="24"/>
  <c r="BH318" i="24" s="1"/>
  <c r="AO318" i="24"/>
  <c r="BJ318" i="24" s="1"/>
  <c r="AB318" i="24"/>
  <c r="AW318" i="24" s="1"/>
  <c r="AN318" i="24"/>
  <c r="BI318" i="24" s="1"/>
  <c r="AE163" i="24"/>
  <c r="AZ163" i="24" s="1"/>
  <c r="AQ163" i="24"/>
  <c r="BL163" i="24" s="1"/>
  <c r="AF163" i="24"/>
  <c r="BA163" i="24" s="1"/>
  <c r="AR163" i="24"/>
  <c r="BM163" i="24" s="1"/>
  <c r="AG163" i="24"/>
  <c r="BB163" i="24" s="1"/>
  <c r="AH163" i="24"/>
  <c r="BC163" i="24" s="1"/>
  <c r="AI163" i="24"/>
  <c r="BD163" i="24" s="1"/>
  <c r="AJ163" i="24"/>
  <c r="BE163" i="24" s="1"/>
  <c r="AK163" i="24"/>
  <c r="BF163" i="24" s="1"/>
  <c r="Z163" i="24"/>
  <c r="AL163" i="24"/>
  <c r="BG163" i="24" s="1"/>
  <c r="AA163" i="24"/>
  <c r="AV163" i="24" s="1"/>
  <c r="AM163" i="24"/>
  <c r="BH163" i="24" s="1"/>
  <c r="AB163" i="24"/>
  <c r="AW163" i="24" s="1"/>
  <c r="AN163" i="24"/>
  <c r="BI163" i="24" s="1"/>
  <c r="AC163" i="24"/>
  <c r="AX163" i="24" s="1"/>
  <c r="AO163" i="24"/>
  <c r="BJ163" i="24" s="1"/>
  <c r="AD163" i="24"/>
  <c r="AY163" i="24" s="1"/>
  <c r="AP163" i="24"/>
  <c r="BK163" i="24" s="1"/>
  <c r="Y163" i="24"/>
  <c r="AT163" i="24" s="1"/>
  <c r="AK169" i="24"/>
  <c r="BF169" i="24" s="1"/>
  <c r="Z169" i="24"/>
  <c r="AL169" i="24"/>
  <c r="BG169" i="24" s="1"/>
  <c r="AA169" i="24"/>
  <c r="AV169" i="24" s="1"/>
  <c r="AM169" i="24"/>
  <c r="BH169" i="24" s="1"/>
  <c r="AB169" i="24"/>
  <c r="AW169" i="24" s="1"/>
  <c r="AN169" i="24"/>
  <c r="BI169" i="24" s="1"/>
  <c r="AC169" i="24"/>
  <c r="AX169" i="24" s="1"/>
  <c r="AO169" i="24"/>
  <c r="BJ169" i="24" s="1"/>
  <c r="AD169" i="24"/>
  <c r="AY169" i="24" s="1"/>
  <c r="AP169" i="24"/>
  <c r="BK169" i="24" s="1"/>
  <c r="AE169" i="24"/>
  <c r="AZ169" i="24" s="1"/>
  <c r="AQ169" i="24"/>
  <c r="BL169" i="24" s="1"/>
  <c r="AF169" i="24"/>
  <c r="BA169" i="24" s="1"/>
  <c r="AR169" i="24"/>
  <c r="BM169" i="24" s="1"/>
  <c r="AG169" i="24"/>
  <c r="BB169" i="24" s="1"/>
  <c r="AH169" i="24"/>
  <c r="BC169" i="24" s="1"/>
  <c r="AI169" i="24"/>
  <c r="BD169" i="24" s="1"/>
  <c r="Y169" i="24"/>
  <c r="AT169" i="24" s="1"/>
  <c r="AJ169" i="24"/>
  <c r="BE169" i="24" s="1"/>
  <c r="AJ85" i="24"/>
  <c r="BE85" i="24" s="1"/>
  <c r="AK85" i="24"/>
  <c r="BF85" i="24" s="1"/>
  <c r="Z85" i="24"/>
  <c r="AL85" i="24"/>
  <c r="BG85" i="24" s="1"/>
  <c r="AA85" i="24"/>
  <c r="AV85" i="24" s="1"/>
  <c r="AM85" i="24"/>
  <c r="BH85" i="24" s="1"/>
  <c r="AB85" i="24"/>
  <c r="AW85" i="24" s="1"/>
  <c r="AN85" i="24"/>
  <c r="BI85" i="24" s="1"/>
  <c r="AC85" i="24"/>
  <c r="AX85" i="24" s="1"/>
  <c r="AO85" i="24"/>
  <c r="BJ85" i="24" s="1"/>
  <c r="AD85" i="24"/>
  <c r="AY85" i="24" s="1"/>
  <c r="AP85" i="24"/>
  <c r="BK85" i="24" s="1"/>
  <c r="AE85" i="24"/>
  <c r="AZ85" i="24" s="1"/>
  <c r="AQ85" i="24"/>
  <c r="BL85" i="24" s="1"/>
  <c r="AF85" i="24"/>
  <c r="BA85" i="24" s="1"/>
  <c r="AR85" i="24"/>
  <c r="BM85" i="24" s="1"/>
  <c r="AG85" i="24"/>
  <c r="BB85" i="24" s="1"/>
  <c r="AH85" i="24"/>
  <c r="BC85" i="24" s="1"/>
  <c r="AI85" i="24"/>
  <c r="BD85" i="24" s="1"/>
  <c r="Y85" i="24"/>
  <c r="AT85" i="24" s="1"/>
  <c r="AK157" i="24"/>
  <c r="BF157" i="24" s="1"/>
  <c r="Z157" i="24"/>
  <c r="AL157" i="24"/>
  <c r="BG157" i="24" s="1"/>
  <c r="AA157" i="24"/>
  <c r="AV157" i="24" s="1"/>
  <c r="AM157" i="24"/>
  <c r="BH157" i="24" s="1"/>
  <c r="AB157" i="24"/>
  <c r="AW157" i="24" s="1"/>
  <c r="AN157" i="24"/>
  <c r="BI157" i="24" s="1"/>
  <c r="AC157" i="24"/>
  <c r="AX157" i="24" s="1"/>
  <c r="AO157" i="24"/>
  <c r="BJ157" i="24" s="1"/>
  <c r="AD157" i="24"/>
  <c r="AY157" i="24" s="1"/>
  <c r="AP157" i="24"/>
  <c r="BK157" i="24" s="1"/>
  <c r="AE157" i="24"/>
  <c r="AZ157" i="24" s="1"/>
  <c r="AQ157" i="24"/>
  <c r="BL157" i="24" s="1"/>
  <c r="AF157" i="24"/>
  <c r="BA157" i="24" s="1"/>
  <c r="AR157" i="24"/>
  <c r="BM157" i="24" s="1"/>
  <c r="AG157" i="24"/>
  <c r="BB157" i="24" s="1"/>
  <c r="AH157" i="24"/>
  <c r="BC157" i="24" s="1"/>
  <c r="AI157" i="24"/>
  <c r="BD157" i="24" s="1"/>
  <c r="AJ157" i="24"/>
  <c r="BE157" i="24" s="1"/>
  <c r="Y157" i="24"/>
  <c r="AT157" i="24" s="1"/>
  <c r="AI343" i="24"/>
  <c r="BD343" i="24" s="1"/>
  <c r="AJ343" i="24"/>
  <c r="BE343" i="24" s="1"/>
  <c r="AK343" i="24"/>
  <c r="BF343" i="24" s="1"/>
  <c r="Z343" i="24"/>
  <c r="AL343" i="24"/>
  <c r="BG343" i="24" s="1"/>
  <c r="AA343" i="24"/>
  <c r="AV343" i="24" s="1"/>
  <c r="AM343" i="24"/>
  <c r="BH343" i="24" s="1"/>
  <c r="AB343" i="24"/>
  <c r="AW343" i="24" s="1"/>
  <c r="AN343" i="24"/>
  <c r="BI343" i="24" s="1"/>
  <c r="Y343" i="24"/>
  <c r="AT343" i="24" s="1"/>
  <c r="AC343" i="24"/>
  <c r="AX343" i="24" s="1"/>
  <c r="AO343" i="24"/>
  <c r="BJ343" i="24" s="1"/>
  <c r="AD343" i="24"/>
  <c r="AY343" i="24" s="1"/>
  <c r="AP343" i="24"/>
  <c r="BK343" i="24" s="1"/>
  <c r="AE343" i="24"/>
  <c r="AZ343" i="24" s="1"/>
  <c r="AQ343" i="24"/>
  <c r="BL343" i="24" s="1"/>
  <c r="AH343" i="24"/>
  <c r="BC343" i="24" s="1"/>
  <c r="AF343" i="24"/>
  <c r="BA343" i="24" s="1"/>
  <c r="AR343" i="24"/>
  <c r="BM343" i="24" s="1"/>
  <c r="AG343" i="24"/>
  <c r="BB343" i="24" s="1"/>
  <c r="AI135" i="24"/>
  <c r="BD135" i="24" s="1"/>
  <c r="AJ135" i="24"/>
  <c r="BE135" i="24" s="1"/>
  <c r="AK135" i="24"/>
  <c r="BF135" i="24" s="1"/>
  <c r="Z135" i="24"/>
  <c r="AL135" i="24"/>
  <c r="BG135" i="24" s="1"/>
  <c r="AA135" i="24"/>
  <c r="AV135" i="24" s="1"/>
  <c r="AM135" i="24"/>
  <c r="BH135" i="24" s="1"/>
  <c r="AB135" i="24"/>
  <c r="AW135" i="24" s="1"/>
  <c r="AN135" i="24"/>
  <c r="BI135" i="24" s="1"/>
  <c r="AC135" i="24"/>
  <c r="AX135" i="24" s="1"/>
  <c r="AO135" i="24"/>
  <c r="BJ135" i="24" s="1"/>
  <c r="AD135" i="24"/>
  <c r="AY135" i="24" s="1"/>
  <c r="AP135" i="24"/>
  <c r="BK135" i="24" s="1"/>
  <c r="AE135" i="24"/>
  <c r="AZ135" i="24" s="1"/>
  <c r="AQ135" i="24"/>
  <c r="BL135" i="24" s="1"/>
  <c r="AF135" i="24"/>
  <c r="BA135" i="24" s="1"/>
  <c r="AR135" i="24"/>
  <c r="BM135" i="24" s="1"/>
  <c r="AG135" i="24"/>
  <c r="BB135" i="24" s="1"/>
  <c r="Y135" i="24"/>
  <c r="AT135" i="24" s="1"/>
  <c r="AH135" i="24"/>
  <c r="BC135" i="24" s="1"/>
  <c r="AI207" i="24"/>
  <c r="BD207" i="24" s="1"/>
  <c r="AJ207" i="24"/>
  <c r="BE207" i="24" s="1"/>
  <c r="AK207" i="24"/>
  <c r="BF207" i="24" s="1"/>
  <c r="Z207" i="24"/>
  <c r="AL207" i="24"/>
  <c r="BG207" i="24" s="1"/>
  <c r="AA207" i="24"/>
  <c r="AV207" i="24" s="1"/>
  <c r="AM207" i="24"/>
  <c r="BH207" i="24" s="1"/>
  <c r="AB207" i="24"/>
  <c r="AW207" i="24" s="1"/>
  <c r="AN207" i="24"/>
  <c r="BI207" i="24" s="1"/>
  <c r="AC207" i="24"/>
  <c r="AX207" i="24" s="1"/>
  <c r="AO207" i="24"/>
  <c r="BJ207" i="24" s="1"/>
  <c r="AD207" i="24"/>
  <c r="AY207" i="24" s="1"/>
  <c r="AP207" i="24"/>
  <c r="BK207" i="24" s="1"/>
  <c r="AE207" i="24"/>
  <c r="AZ207" i="24" s="1"/>
  <c r="AQ207" i="24"/>
  <c r="BL207" i="24" s="1"/>
  <c r="AF207" i="24"/>
  <c r="BA207" i="24" s="1"/>
  <c r="AR207" i="24"/>
  <c r="BM207" i="24" s="1"/>
  <c r="AG207" i="24"/>
  <c r="BB207" i="24" s="1"/>
  <c r="AH207" i="24"/>
  <c r="BC207" i="24" s="1"/>
  <c r="Y207" i="24"/>
  <c r="AT207" i="24" s="1"/>
  <c r="AI279" i="24"/>
  <c r="BD279" i="24" s="1"/>
  <c r="AJ279" i="24"/>
  <c r="BE279" i="24" s="1"/>
  <c r="AK279" i="24"/>
  <c r="BF279" i="24" s="1"/>
  <c r="Z279" i="24"/>
  <c r="AL279" i="24"/>
  <c r="BG279" i="24" s="1"/>
  <c r="AA279" i="24"/>
  <c r="AV279" i="24" s="1"/>
  <c r="AM279" i="24"/>
  <c r="BH279" i="24" s="1"/>
  <c r="AB279" i="24"/>
  <c r="AW279" i="24" s="1"/>
  <c r="AN279" i="24"/>
  <c r="BI279" i="24" s="1"/>
  <c r="AC279" i="24"/>
  <c r="AX279" i="24" s="1"/>
  <c r="AO279" i="24"/>
  <c r="BJ279" i="24" s="1"/>
  <c r="AD279" i="24"/>
  <c r="AY279" i="24" s="1"/>
  <c r="AP279" i="24"/>
  <c r="BK279" i="24" s="1"/>
  <c r="AE279" i="24"/>
  <c r="AZ279" i="24" s="1"/>
  <c r="AQ279" i="24"/>
  <c r="BL279" i="24" s="1"/>
  <c r="AF279" i="24"/>
  <c r="BA279" i="24" s="1"/>
  <c r="AR279" i="24"/>
  <c r="BM279" i="24" s="1"/>
  <c r="AG279" i="24"/>
  <c r="BB279" i="24" s="1"/>
  <c r="Y279" i="24"/>
  <c r="AT279" i="24" s="1"/>
  <c r="AH279" i="24"/>
  <c r="BC279" i="24" s="1"/>
  <c r="AA351" i="24"/>
  <c r="AV351" i="24" s="1"/>
  <c r="AM351" i="24"/>
  <c r="BH351" i="24" s="1"/>
  <c r="AB351" i="24"/>
  <c r="AW351" i="24" s="1"/>
  <c r="AN351" i="24"/>
  <c r="BI351" i="24" s="1"/>
  <c r="Y351" i="24"/>
  <c r="AT351" i="24" s="1"/>
  <c r="AC351" i="24"/>
  <c r="AX351" i="24" s="1"/>
  <c r="AO351" i="24"/>
  <c r="BJ351" i="24" s="1"/>
  <c r="AD351" i="24"/>
  <c r="AY351" i="24" s="1"/>
  <c r="AP351" i="24"/>
  <c r="BK351" i="24" s="1"/>
  <c r="AE351" i="24"/>
  <c r="AZ351" i="24" s="1"/>
  <c r="AQ351" i="24"/>
  <c r="BL351" i="24" s="1"/>
  <c r="Z351" i="24"/>
  <c r="AF351" i="24"/>
  <c r="BA351" i="24" s="1"/>
  <c r="AR351" i="24"/>
  <c r="BM351" i="24" s="1"/>
  <c r="AG351" i="24"/>
  <c r="BB351" i="24" s="1"/>
  <c r="AH351" i="24"/>
  <c r="BC351" i="24" s="1"/>
  <c r="AI351" i="24"/>
  <c r="BD351" i="24" s="1"/>
  <c r="AJ351" i="24"/>
  <c r="BE351" i="24" s="1"/>
  <c r="AK351" i="24"/>
  <c r="BF351" i="24" s="1"/>
  <c r="AL351" i="24"/>
  <c r="BG351" i="24" s="1"/>
  <c r="AE335" i="24"/>
  <c r="AZ335" i="24" s="1"/>
  <c r="AQ335" i="24"/>
  <c r="BL335" i="24" s="1"/>
  <c r="AF335" i="24"/>
  <c r="BA335" i="24" s="1"/>
  <c r="AR335" i="24"/>
  <c r="BM335" i="24" s="1"/>
  <c r="AG335" i="24"/>
  <c r="BB335" i="24" s="1"/>
  <c r="AD335" i="24"/>
  <c r="AY335" i="24" s="1"/>
  <c r="AH335" i="24"/>
  <c r="BC335" i="24" s="1"/>
  <c r="AI335" i="24"/>
  <c r="BD335" i="24" s="1"/>
  <c r="AJ335" i="24"/>
  <c r="BE335" i="24" s="1"/>
  <c r="AK335" i="24"/>
  <c r="BF335" i="24" s="1"/>
  <c r="Z335" i="24"/>
  <c r="AL335" i="24"/>
  <c r="BG335" i="24" s="1"/>
  <c r="AA335" i="24"/>
  <c r="AV335" i="24" s="1"/>
  <c r="AM335" i="24"/>
  <c r="BH335" i="24" s="1"/>
  <c r="AB335" i="24"/>
  <c r="AW335" i="24" s="1"/>
  <c r="AN335" i="24"/>
  <c r="BI335" i="24" s="1"/>
  <c r="Y335" i="24"/>
  <c r="AT335" i="24" s="1"/>
  <c r="AC335" i="24"/>
  <c r="AX335" i="24" s="1"/>
  <c r="AO335" i="24"/>
  <c r="BJ335" i="24" s="1"/>
  <c r="AP335" i="24"/>
  <c r="BK335" i="24" s="1"/>
  <c r="AA179" i="24"/>
  <c r="AV179" i="24" s="1"/>
  <c r="AM179" i="24"/>
  <c r="BH179" i="24" s="1"/>
  <c r="AB179" i="24"/>
  <c r="AW179" i="24" s="1"/>
  <c r="AN179" i="24"/>
  <c r="BI179" i="24" s="1"/>
  <c r="AC179" i="24"/>
  <c r="AX179" i="24" s="1"/>
  <c r="AO179" i="24"/>
  <c r="BJ179" i="24" s="1"/>
  <c r="AD179" i="24"/>
  <c r="AY179" i="24" s="1"/>
  <c r="AP179" i="24"/>
  <c r="BK179" i="24" s="1"/>
  <c r="AE179" i="24"/>
  <c r="AZ179" i="24" s="1"/>
  <c r="AQ179" i="24"/>
  <c r="BL179" i="24" s="1"/>
  <c r="AF179" i="24"/>
  <c r="BA179" i="24" s="1"/>
  <c r="AR179" i="24"/>
  <c r="BM179" i="24" s="1"/>
  <c r="AG179" i="24"/>
  <c r="BB179" i="24" s="1"/>
  <c r="AH179" i="24"/>
  <c r="BC179" i="24" s="1"/>
  <c r="AI179" i="24"/>
  <c r="BD179" i="24" s="1"/>
  <c r="AJ179" i="24"/>
  <c r="BE179" i="24" s="1"/>
  <c r="AK179" i="24"/>
  <c r="BF179" i="24" s="1"/>
  <c r="Z179" i="24"/>
  <c r="AL179" i="24"/>
  <c r="BG179" i="24" s="1"/>
  <c r="Y179" i="24"/>
  <c r="AT179" i="24" s="1"/>
  <c r="AG382" i="24"/>
  <c r="AR382" i="24"/>
  <c r="AH382" i="24"/>
  <c r="AI382" i="24"/>
  <c r="AJ382" i="24"/>
  <c r="AO382" i="24"/>
  <c r="AK382" i="24"/>
  <c r="Z382" i="24"/>
  <c r="AL382" i="24"/>
  <c r="AA382" i="24"/>
  <c r="AM382" i="24"/>
  <c r="Y382" i="24"/>
  <c r="AT382" i="24" s="1"/>
  <c r="AC382" i="24"/>
  <c r="AF382" i="24"/>
  <c r="AB382" i="24"/>
  <c r="AN382" i="24"/>
  <c r="AD382" i="24"/>
  <c r="AP382" i="24"/>
  <c r="AE382" i="24"/>
  <c r="AQ382" i="24"/>
  <c r="AB320" i="24"/>
  <c r="AW320" i="24" s="1"/>
  <c r="AN320" i="24"/>
  <c r="BI320" i="24" s="1"/>
  <c r="AC320" i="24"/>
  <c r="AX320" i="24" s="1"/>
  <c r="AO320" i="24"/>
  <c r="BJ320" i="24" s="1"/>
  <c r="AD320" i="24"/>
  <c r="AY320" i="24" s="1"/>
  <c r="AP320" i="24"/>
  <c r="BK320" i="24" s="1"/>
  <c r="AE320" i="24"/>
  <c r="AZ320" i="24" s="1"/>
  <c r="AQ320" i="24"/>
  <c r="BL320" i="24" s="1"/>
  <c r="AF320" i="24"/>
  <c r="BA320" i="24" s="1"/>
  <c r="AR320" i="24"/>
  <c r="BM320" i="24" s="1"/>
  <c r="AM320" i="24"/>
  <c r="BH320" i="24" s="1"/>
  <c r="AG320" i="24"/>
  <c r="BB320" i="24" s="1"/>
  <c r="AH320" i="24"/>
  <c r="BC320" i="24" s="1"/>
  <c r="Y320" i="24"/>
  <c r="AT320" i="24" s="1"/>
  <c r="AI320" i="24"/>
  <c r="BD320" i="24" s="1"/>
  <c r="AJ320" i="24"/>
  <c r="BE320" i="24" s="1"/>
  <c r="AK320" i="24"/>
  <c r="BF320" i="24" s="1"/>
  <c r="Z320" i="24"/>
  <c r="AL320" i="24"/>
  <c r="BG320" i="24" s="1"/>
  <c r="AA320" i="24"/>
  <c r="AV320" i="24" s="1"/>
  <c r="AK341" i="24"/>
  <c r="BF341" i="24" s="1"/>
  <c r="Z341" i="24"/>
  <c r="AL341" i="24"/>
  <c r="BG341" i="24" s="1"/>
  <c r="AA341" i="24"/>
  <c r="AV341" i="24" s="1"/>
  <c r="AM341" i="24"/>
  <c r="BH341" i="24" s="1"/>
  <c r="AB341" i="24"/>
  <c r="AW341" i="24" s="1"/>
  <c r="AN341" i="24"/>
  <c r="BI341" i="24" s="1"/>
  <c r="Y341" i="24"/>
  <c r="AT341" i="24" s="1"/>
  <c r="AC341" i="24"/>
  <c r="AX341" i="24" s="1"/>
  <c r="AO341" i="24"/>
  <c r="BJ341" i="24" s="1"/>
  <c r="AD341" i="24"/>
  <c r="AY341" i="24" s="1"/>
  <c r="AP341" i="24"/>
  <c r="BK341" i="24" s="1"/>
  <c r="AE341" i="24"/>
  <c r="AZ341" i="24" s="1"/>
  <c r="AQ341" i="24"/>
  <c r="BL341" i="24" s="1"/>
  <c r="AF341" i="24"/>
  <c r="BA341" i="24" s="1"/>
  <c r="AR341" i="24"/>
  <c r="BM341" i="24" s="1"/>
  <c r="AG341" i="24"/>
  <c r="BB341" i="24" s="1"/>
  <c r="AH341" i="24"/>
  <c r="BC341" i="24" s="1"/>
  <c r="AI341" i="24"/>
  <c r="BD341" i="24" s="1"/>
  <c r="AJ341" i="24"/>
  <c r="BE341" i="24" s="1"/>
  <c r="AD206" i="24"/>
  <c r="AY206" i="24" s="1"/>
  <c r="AP206" i="24"/>
  <c r="BK206" i="24" s="1"/>
  <c r="AE206" i="24"/>
  <c r="AZ206" i="24" s="1"/>
  <c r="AQ206" i="24"/>
  <c r="BL206" i="24" s="1"/>
  <c r="AF206" i="24"/>
  <c r="BA206" i="24" s="1"/>
  <c r="AR206" i="24"/>
  <c r="BM206" i="24" s="1"/>
  <c r="AG206" i="24"/>
  <c r="BB206" i="24" s="1"/>
  <c r="AH206" i="24"/>
  <c r="BC206" i="24" s="1"/>
  <c r="AI206" i="24"/>
  <c r="BD206" i="24" s="1"/>
  <c r="AJ206" i="24"/>
  <c r="BE206" i="24" s="1"/>
  <c r="AK206" i="24"/>
  <c r="BF206" i="24" s="1"/>
  <c r="Z206" i="24"/>
  <c r="AL206" i="24"/>
  <c r="BG206" i="24" s="1"/>
  <c r="AA206" i="24"/>
  <c r="AV206" i="24" s="1"/>
  <c r="AM206" i="24"/>
  <c r="BH206" i="24" s="1"/>
  <c r="AB206" i="24"/>
  <c r="AW206" i="24" s="1"/>
  <c r="AN206" i="24"/>
  <c r="BI206" i="24" s="1"/>
  <c r="AO206" i="24"/>
  <c r="BJ206" i="24" s="1"/>
  <c r="Y206" i="24"/>
  <c r="AT206" i="24" s="1"/>
  <c r="AC206" i="24"/>
  <c r="AX206" i="24" s="1"/>
  <c r="AF77" i="24"/>
  <c r="BA77" i="24" s="1"/>
  <c r="AR77" i="24"/>
  <c r="BM77" i="24" s="1"/>
  <c r="AG77" i="24"/>
  <c r="BB77" i="24" s="1"/>
  <c r="AH77" i="24"/>
  <c r="BC77" i="24" s="1"/>
  <c r="AI77" i="24"/>
  <c r="BD77" i="24" s="1"/>
  <c r="AJ77" i="24"/>
  <c r="BE77" i="24" s="1"/>
  <c r="AK77" i="24"/>
  <c r="BF77" i="24" s="1"/>
  <c r="Z77" i="24"/>
  <c r="AL77" i="24"/>
  <c r="BG77" i="24" s="1"/>
  <c r="AA77" i="24"/>
  <c r="AV77" i="24" s="1"/>
  <c r="AM77" i="24"/>
  <c r="BH77" i="24" s="1"/>
  <c r="AB77" i="24"/>
  <c r="AW77" i="24" s="1"/>
  <c r="AN77" i="24"/>
  <c r="BI77" i="24" s="1"/>
  <c r="AC77" i="24"/>
  <c r="AX77" i="24" s="1"/>
  <c r="AO77" i="24"/>
  <c r="BJ77" i="24" s="1"/>
  <c r="AD77" i="24"/>
  <c r="AY77" i="24" s="1"/>
  <c r="AP77" i="24"/>
  <c r="BK77" i="24" s="1"/>
  <c r="AE77" i="24"/>
  <c r="AZ77" i="24" s="1"/>
  <c r="AQ77" i="24"/>
  <c r="BL77" i="24" s="1"/>
  <c r="Y77" i="24"/>
  <c r="AT77" i="24" s="1"/>
  <c r="AI80" i="24"/>
  <c r="BD80" i="24" s="1"/>
  <c r="AJ80" i="24"/>
  <c r="BE80" i="24" s="1"/>
  <c r="AK80" i="24"/>
  <c r="BF80" i="24" s="1"/>
  <c r="Z80" i="24"/>
  <c r="AL80" i="24"/>
  <c r="BG80" i="24" s="1"/>
  <c r="AA80" i="24"/>
  <c r="AV80" i="24" s="1"/>
  <c r="AM80" i="24"/>
  <c r="BH80" i="24" s="1"/>
  <c r="AB80" i="24"/>
  <c r="AW80" i="24" s="1"/>
  <c r="AN80" i="24"/>
  <c r="BI80" i="24" s="1"/>
  <c r="AC80" i="24"/>
  <c r="AX80" i="24" s="1"/>
  <c r="AO80" i="24"/>
  <c r="BJ80" i="24" s="1"/>
  <c r="AD80" i="24"/>
  <c r="AY80" i="24" s="1"/>
  <c r="AP80" i="24"/>
  <c r="BK80" i="24" s="1"/>
  <c r="AE80" i="24"/>
  <c r="AZ80" i="24" s="1"/>
  <c r="AQ80" i="24"/>
  <c r="BL80" i="24" s="1"/>
  <c r="AF80" i="24"/>
  <c r="BA80" i="24" s="1"/>
  <c r="AR80" i="24"/>
  <c r="BM80" i="24" s="1"/>
  <c r="AG80" i="24"/>
  <c r="BB80" i="24" s="1"/>
  <c r="AH80" i="24"/>
  <c r="BC80" i="24" s="1"/>
  <c r="Y80" i="24"/>
  <c r="AT80" i="24" s="1"/>
  <c r="AB292" i="24"/>
  <c r="AW292" i="24" s="1"/>
  <c r="AN292" i="24"/>
  <c r="BI292" i="24" s="1"/>
  <c r="AC292" i="24"/>
  <c r="AX292" i="24" s="1"/>
  <c r="AO292" i="24"/>
  <c r="BJ292" i="24" s="1"/>
  <c r="AD292" i="24"/>
  <c r="AY292" i="24" s="1"/>
  <c r="AP292" i="24"/>
  <c r="BK292" i="24" s="1"/>
  <c r="AE292" i="24"/>
  <c r="AZ292" i="24" s="1"/>
  <c r="AQ292" i="24"/>
  <c r="BL292" i="24" s="1"/>
  <c r="AF292" i="24"/>
  <c r="BA292" i="24" s="1"/>
  <c r="AR292" i="24"/>
  <c r="BM292" i="24" s="1"/>
  <c r="AG292" i="24"/>
  <c r="BB292" i="24" s="1"/>
  <c r="AH292" i="24"/>
  <c r="BC292" i="24" s="1"/>
  <c r="AI292" i="24"/>
  <c r="BD292" i="24" s="1"/>
  <c r="AJ292" i="24"/>
  <c r="BE292" i="24" s="1"/>
  <c r="AK292" i="24"/>
  <c r="BF292" i="24" s="1"/>
  <c r="Z292" i="24"/>
  <c r="AL292" i="24"/>
  <c r="BG292" i="24" s="1"/>
  <c r="Y292" i="24"/>
  <c r="AT292" i="24" s="1"/>
  <c r="AA292" i="24"/>
  <c r="AV292" i="24" s="1"/>
  <c r="AM292" i="24"/>
  <c r="BH292" i="24" s="1"/>
  <c r="AJ200" i="24"/>
  <c r="BE200" i="24" s="1"/>
  <c r="AK200" i="24"/>
  <c r="BF200" i="24" s="1"/>
  <c r="Z200" i="24"/>
  <c r="AL200" i="24"/>
  <c r="BG200" i="24" s="1"/>
  <c r="AA200" i="24"/>
  <c r="AV200" i="24" s="1"/>
  <c r="AM200" i="24"/>
  <c r="BH200" i="24" s="1"/>
  <c r="AB200" i="24"/>
  <c r="AW200" i="24" s="1"/>
  <c r="AN200" i="24"/>
  <c r="BI200" i="24" s="1"/>
  <c r="AC200" i="24"/>
  <c r="AX200" i="24" s="1"/>
  <c r="AO200" i="24"/>
  <c r="BJ200" i="24" s="1"/>
  <c r="AD200" i="24"/>
  <c r="AY200" i="24" s="1"/>
  <c r="AP200" i="24"/>
  <c r="BK200" i="24" s="1"/>
  <c r="AE200" i="24"/>
  <c r="AZ200" i="24" s="1"/>
  <c r="AQ200" i="24"/>
  <c r="BL200" i="24" s="1"/>
  <c r="AF200" i="24"/>
  <c r="BA200" i="24" s="1"/>
  <c r="AR200" i="24"/>
  <c r="BM200" i="24" s="1"/>
  <c r="AG200" i="24"/>
  <c r="BB200" i="24" s="1"/>
  <c r="AH200" i="24"/>
  <c r="BC200" i="24" s="1"/>
  <c r="AI200" i="24"/>
  <c r="BD200" i="24" s="1"/>
  <c r="Y200" i="24"/>
  <c r="AT200" i="24" s="1"/>
  <c r="AA275" i="24"/>
  <c r="AV275" i="24" s="1"/>
  <c r="AM275" i="24"/>
  <c r="BH275" i="24" s="1"/>
  <c r="AB275" i="24"/>
  <c r="AW275" i="24" s="1"/>
  <c r="AN275" i="24"/>
  <c r="BI275" i="24" s="1"/>
  <c r="AC275" i="24"/>
  <c r="AX275" i="24" s="1"/>
  <c r="AO275" i="24"/>
  <c r="BJ275" i="24" s="1"/>
  <c r="AD275" i="24"/>
  <c r="AY275" i="24" s="1"/>
  <c r="AP275" i="24"/>
  <c r="BK275" i="24" s="1"/>
  <c r="AE275" i="24"/>
  <c r="AZ275" i="24" s="1"/>
  <c r="AQ275" i="24"/>
  <c r="BL275" i="24" s="1"/>
  <c r="AF275" i="24"/>
  <c r="BA275" i="24" s="1"/>
  <c r="AR275" i="24"/>
  <c r="BM275" i="24" s="1"/>
  <c r="AG275" i="24"/>
  <c r="BB275" i="24" s="1"/>
  <c r="AH275" i="24"/>
  <c r="BC275" i="24" s="1"/>
  <c r="AI275" i="24"/>
  <c r="BD275" i="24" s="1"/>
  <c r="AJ275" i="24"/>
  <c r="BE275" i="24" s="1"/>
  <c r="AK275" i="24"/>
  <c r="BF275" i="24" s="1"/>
  <c r="Z275" i="24"/>
  <c r="AL275" i="24"/>
  <c r="BG275" i="24" s="1"/>
  <c r="Y275" i="24"/>
  <c r="AT275" i="24" s="1"/>
  <c r="AA154" i="25"/>
  <c r="AV154" i="25" s="1"/>
  <c r="AM154" i="25"/>
  <c r="BH154" i="25" s="1"/>
  <c r="AB154" i="25"/>
  <c r="AW154" i="25" s="1"/>
  <c r="AN154" i="25"/>
  <c r="BI154" i="25" s="1"/>
  <c r="AC154" i="25"/>
  <c r="AX154" i="25" s="1"/>
  <c r="AO154" i="25"/>
  <c r="BJ154" i="25" s="1"/>
  <c r="AD154" i="25"/>
  <c r="AY154" i="25" s="1"/>
  <c r="AP154" i="25"/>
  <c r="BK154" i="25" s="1"/>
  <c r="AE154" i="25"/>
  <c r="AZ154" i="25" s="1"/>
  <c r="AQ154" i="25"/>
  <c r="BL154" i="25" s="1"/>
  <c r="AF154" i="25"/>
  <c r="BA154" i="25" s="1"/>
  <c r="AR154" i="25"/>
  <c r="BM154" i="25" s="1"/>
  <c r="AG154" i="25"/>
  <c r="BB154" i="25" s="1"/>
  <c r="AH154" i="25"/>
  <c r="BC154" i="25" s="1"/>
  <c r="AI154" i="25"/>
  <c r="BD154" i="25" s="1"/>
  <c r="AJ154" i="25"/>
  <c r="BE154" i="25" s="1"/>
  <c r="Y154" i="25"/>
  <c r="AT154" i="25" s="1"/>
  <c r="AK154" i="25"/>
  <c r="BF154" i="25" s="1"/>
  <c r="Z154" i="25"/>
  <c r="AL154" i="25"/>
  <c r="BG154" i="25" s="1"/>
  <c r="AA226" i="25"/>
  <c r="AV226" i="25" s="1"/>
  <c r="AM226" i="25"/>
  <c r="BH226" i="25" s="1"/>
  <c r="AB226" i="25"/>
  <c r="AW226" i="25" s="1"/>
  <c r="AN226" i="25"/>
  <c r="BI226" i="25" s="1"/>
  <c r="AC226" i="25"/>
  <c r="AX226" i="25" s="1"/>
  <c r="AO226" i="25"/>
  <c r="BJ226" i="25" s="1"/>
  <c r="AD226" i="25"/>
  <c r="AY226" i="25" s="1"/>
  <c r="AP226" i="25"/>
  <c r="BK226" i="25" s="1"/>
  <c r="AE226" i="25"/>
  <c r="AZ226" i="25" s="1"/>
  <c r="AQ226" i="25"/>
  <c r="BL226" i="25" s="1"/>
  <c r="AF226" i="25"/>
  <c r="BA226" i="25" s="1"/>
  <c r="AR226" i="25"/>
  <c r="BM226" i="25" s="1"/>
  <c r="AG226" i="25"/>
  <c r="BB226" i="25" s="1"/>
  <c r="AH226" i="25"/>
  <c r="BC226" i="25" s="1"/>
  <c r="AI226" i="25"/>
  <c r="BD226" i="25" s="1"/>
  <c r="AJ226" i="25"/>
  <c r="BE226" i="25" s="1"/>
  <c r="Y226" i="25"/>
  <c r="AT226" i="25" s="1"/>
  <c r="AK226" i="25"/>
  <c r="BF226" i="25" s="1"/>
  <c r="Z226" i="25"/>
  <c r="AL226" i="25"/>
  <c r="BG226" i="25" s="1"/>
  <c r="Z298" i="25"/>
  <c r="AL298" i="25"/>
  <c r="BG298" i="25" s="1"/>
  <c r="AA298" i="25"/>
  <c r="AV298" i="25" s="1"/>
  <c r="AM298" i="25"/>
  <c r="BH298" i="25" s="1"/>
  <c r="AB298" i="25"/>
  <c r="AW298" i="25" s="1"/>
  <c r="AN298" i="25"/>
  <c r="BI298" i="25" s="1"/>
  <c r="AC298" i="25"/>
  <c r="AX298" i="25" s="1"/>
  <c r="AO298" i="25"/>
  <c r="BJ298" i="25" s="1"/>
  <c r="AD298" i="25"/>
  <c r="AY298" i="25" s="1"/>
  <c r="AP298" i="25"/>
  <c r="BK298" i="25" s="1"/>
  <c r="AE298" i="25"/>
  <c r="AZ298" i="25" s="1"/>
  <c r="AQ298" i="25"/>
  <c r="BL298" i="25" s="1"/>
  <c r="AF298" i="25"/>
  <c r="BA298" i="25" s="1"/>
  <c r="AR298" i="25"/>
  <c r="BM298" i="25" s="1"/>
  <c r="AG298" i="25"/>
  <c r="BB298" i="25" s="1"/>
  <c r="AH298" i="25"/>
  <c r="BC298" i="25" s="1"/>
  <c r="AI298" i="25"/>
  <c r="BD298" i="25" s="1"/>
  <c r="AJ298" i="25"/>
  <c r="BE298" i="25" s="1"/>
  <c r="Y298" i="25"/>
  <c r="AT298" i="25" s="1"/>
  <c r="AK298" i="25"/>
  <c r="BF298" i="25" s="1"/>
  <c r="Z370" i="25"/>
  <c r="AL370" i="25"/>
  <c r="AA370" i="25"/>
  <c r="AM370" i="25"/>
  <c r="AB370" i="25"/>
  <c r="AN370" i="25"/>
  <c r="AC370" i="25"/>
  <c r="AO370" i="25"/>
  <c r="AD370" i="25"/>
  <c r="AP370" i="25"/>
  <c r="AE370" i="25"/>
  <c r="AQ370" i="25"/>
  <c r="AF370" i="25"/>
  <c r="AR370" i="25"/>
  <c r="AG370" i="25"/>
  <c r="AH370" i="25"/>
  <c r="AI370" i="25"/>
  <c r="AJ370" i="25"/>
  <c r="Y370" i="25"/>
  <c r="AT370" i="25" s="1"/>
  <c r="AK370" i="25"/>
  <c r="AE167" i="25"/>
  <c r="AZ167" i="25" s="1"/>
  <c r="AQ167" i="25"/>
  <c r="BL167" i="25" s="1"/>
  <c r="AF167" i="25"/>
  <c r="BA167" i="25" s="1"/>
  <c r="AR167" i="25"/>
  <c r="BM167" i="25" s="1"/>
  <c r="AG167" i="25"/>
  <c r="BB167" i="25" s="1"/>
  <c r="AH167" i="25"/>
  <c r="BC167" i="25" s="1"/>
  <c r="AI167" i="25"/>
  <c r="BD167" i="25" s="1"/>
  <c r="AJ167" i="25"/>
  <c r="BE167" i="25" s="1"/>
  <c r="Y167" i="25"/>
  <c r="AT167" i="25" s="1"/>
  <c r="AK167" i="25"/>
  <c r="BF167" i="25" s="1"/>
  <c r="Z167" i="25"/>
  <c r="AL167" i="25"/>
  <c r="BG167" i="25" s="1"/>
  <c r="AA167" i="25"/>
  <c r="AV167" i="25" s="1"/>
  <c r="AM167" i="25"/>
  <c r="BH167" i="25" s="1"/>
  <c r="AB167" i="25"/>
  <c r="AW167" i="25" s="1"/>
  <c r="AN167" i="25"/>
  <c r="BI167" i="25" s="1"/>
  <c r="AC167" i="25"/>
  <c r="AX167" i="25" s="1"/>
  <c r="AO167" i="25"/>
  <c r="BJ167" i="25" s="1"/>
  <c r="AD167" i="25"/>
  <c r="AY167" i="25" s="1"/>
  <c r="AP167" i="25"/>
  <c r="BK167" i="25" s="1"/>
  <c r="AD239" i="25"/>
  <c r="AY239" i="25" s="1"/>
  <c r="AP239" i="25"/>
  <c r="BK239" i="25" s="1"/>
  <c r="AE239" i="25"/>
  <c r="AZ239" i="25" s="1"/>
  <c r="AQ239" i="25"/>
  <c r="BL239" i="25" s="1"/>
  <c r="AF239" i="25"/>
  <c r="BA239" i="25" s="1"/>
  <c r="AR239" i="25"/>
  <c r="BM239" i="25" s="1"/>
  <c r="AG239" i="25"/>
  <c r="BB239" i="25" s="1"/>
  <c r="AH239" i="25"/>
  <c r="BC239" i="25" s="1"/>
  <c r="AI239" i="25"/>
  <c r="BD239" i="25" s="1"/>
  <c r="AJ239" i="25"/>
  <c r="BE239" i="25" s="1"/>
  <c r="Y239" i="25"/>
  <c r="AT239" i="25" s="1"/>
  <c r="AK239" i="25"/>
  <c r="BF239" i="25" s="1"/>
  <c r="Z239" i="25"/>
  <c r="AL239" i="25"/>
  <c r="BG239" i="25" s="1"/>
  <c r="AA239" i="25"/>
  <c r="AV239" i="25" s="1"/>
  <c r="AM239" i="25"/>
  <c r="BH239" i="25" s="1"/>
  <c r="AB239" i="25"/>
  <c r="AW239" i="25" s="1"/>
  <c r="AN239" i="25"/>
  <c r="BI239" i="25" s="1"/>
  <c r="AC239" i="25"/>
  <c r="AX239" i="25" s="1"/>
  <c r="AO239" i="25"/>
  <c r="BJ239" i="25" s="1"/>
  <c r="AD311" i="25"/>
  <c r="AY311" i="25" s="1"/>
  <c r="AP311" i="25"/>
  <c r="BK311" i="25" s="1"/>
  <c r="AE311" i="25"/>
  <c r="AZ311" i="25" s="1"/>
  <c r="AQ311" i="25"/>
  <c r="BL311" i="25" s="1"/>
  <c r="AF311" i="25"/>
  <c r="BA311" i="25" s="1"/>
  <c r="AR311" i="25"/>
  <c r="BM311" i="25" s="1"/>
  <c r="AG311" i="25"/>
  <c r="BB311" i="25" s="1"/>
  <c r="AH311" i="25"/>
  <c r="BC311" i="25" s="1"/>
  <c r="AI311" i="25"/>
  <c r="BD311" i="25" s="1"/>
  <c r="AJ311" i="25"/>
  <c r="BE311" i="25" s="1"/>
  <c r="Y311" i="25"/>
  <c r="AT311" i="25" s="1"/>
  <c r="AK311" i="25"/>
  <c r="BF311" i="25" s="1"/>
  <c r="Z311" i="25"/>
  <c r="AL311" i="25"/>
  <c r="BG311" i="25" s="1"/>
  <c r="AA311" i="25"/>
  <c r="AV311" i="25" s="1"/>
  <c r="AM311" i="25"/>
  <c r="BH311" i="25" s="1"/>
  <c r="AB311" i="25"/>
  <c r="AW311" i="25" s="1"/>
  <c r="AN311" i="25"/>
  <c r="BI311" i="25" s="1"/>
  <c r="AC311" i="25"/>
  <c r="AX311" i="25" s="1"/>
  <c r="AO311" i="25"/>
  <c r="BJ311" i="25" s="1"/>
  <c r="AD383" i="25"/>
  <c r="AY383" i="25" s="1"/>
  <c r="AP383" i="25"/>
  <c r="BK383" i="25" s="1"/>
  <c r="AE383" i="25"/>
  <c r="AZ383" i="25" s="1"/>
  <c r="AQ383" i="25"/>
  <c r="BL383" i="25" s="1"/>
  <c r="AF383" i="25"/>
  <c r="BA383" i="25" s="1"/>
  <c r="AR383" i="25"/>
  <c r="BM383" i="25" s="1"/>
  <c r="AG383" i="25"/>
  <c r="BB383" i="25" s="1"/>
  <c r="AH383" i="25"/>
  <c r="BC383" i="25" s="1"/>
  <c r="AI383" i="25"/>
  <c r="BD383" i="25" s="1"/>
  <c r="AJ383" i="25"/>
  <c r="BE383" i="25" s="1"/>
  <c r="Y383" i="25"/>
  <c r="AT383" i="25" s="1"/>
  <c r="AK383" i="25"/>
  <c r="BF383" i="25" s="1"/>
  <c r="Z383" i="25"/>
  <c r="AL383" i="25"/>
  <c r="BG383" i="25" s="1"/>
  <c r="AA383" i="25"/>
  <c r="AV383" i="25" s="1"/>
  <c r="AM383" i="25"/>
  <c r="BH383" i="25" s="1"/>
  <c r="AB383" i="25"/>
  <c r="AW383" i="25" s="1"/>
  <c r="AN383" i="25"/>
  <c r="BI383" i="25" s="1"/>
  <c r="AC383" i="25"/>
  <c r="AX383" i="25" s="1"/>
  <c r="AO383" i="25"/>
  <c r="BJ383" i="25" s="1"/>
  <c r="AI186" i="25"/>
  <c r="BD186" i="25" s="1"/>
  <c r="AJ186" i="25"/>
  <c r="BE186" i="25" s="1"/>
  <c r="Y186" i="25"/>
  <c r="AT186" i="25" s="1"/>
  <c r="AK186" i="25"/>
  <c r="BF186" i="25" s="1"/>
  <c r="Z186" i="25"/>
  <c r="AL186" i="25"/>
  <c r="BG186" i="25" s="1"/>
  <c r="AA186" i="25"/>
  <c r="AV186" i="25" s="1"/>
  <c r="AM186" i="25"/>
  <c r="BH186" i="25" s="1"/>
  <c r="AB186" i="25"/>
  <c r="AW186" i="25" s="1"/>
  <c r="AN186" i="25"/>
  <c r="BI186" i="25" s="1"/>
  <c r="AC186" i="25"/>
  <c r="AX186" i="25" s="1"/>
  <c r="AO186" i="25"/>
  <c r="BJ186" i="25" s="1"/>
  <c r="AD186" i="25"/>
  <c r="AY186" i="25" s="1"/>
  <c r="AP186" i="25"/>
  <c r="BK186" i="25" s="1"/>
  <c r="AE186" i="25"/>
  <c r="AZ186" i="25" s="1"/>
  <c r="AQ186" i="25"/>
  <c r="BL186" i="25" s="1"/>
  <c r="AF186" i="25"/>
  <c r="BA186" i="25" s="1"/>
  <c r="AR186" i="25"/>
  <c r="BM186" i="25" s="1"/>
  <c r="AG186" i="25"/>
  <c r="BB186" i="25" s="1"/>
  <c r="AH186" i="25"/>
  <c r="BC186" i="25" s="1"/>
  <c r="AH258" i="25"/>
  <c r="BC258" i="25" s="1"/>
  <c r="AI258" i="25"/>
  <c r="BD258" i="25" s="1"/>
  <c r="AJ258" i="25"/>
  <c r="BE258" i="25" s="1"/>
  <c r="Y258" i="25"/>
  <c r="AT258" i="25" s="1"/>
  <c r="AK258" i="25"/>
  <c r="BF258" i="25" s="1"/>
  <c r="Z258" i="25"/>
  <c r="AL258" i="25"/>
  <c r="BG258" i="25" s="1"/>
  <c r="AA258" i="25"/>
  <c r="AV258" i="25" s="1"/>
  <c r="AM258" i="25"/>
  <c r="BH258" i="25" s="1"/>
  <c r="AB258" i="25"/>
  <c r="AW258" i="25" s="1"/>
  <c r="AN258" i="25"/>
  <c r="BI258" i="25" s="1"/>
  <c r="AC258" i="25"/>
  <c r="AX258" i="25" s="1"/>
  <c r="AO258" i="25"/>
  <c r="BJ258" i="25" s="1"/>
  <c r="AD258" i="25"/>
  <c r="AY258" i="25" s="1"/>
  <c r="AP258" i="25"/>
  <c r="BK258" i="25" s="1"/>
  <c r="AE258" i="25"/>
  <c r="AZ258" i="25" s="1"/>
  <c r="AQ258" i="25"/>
  <c r="BL258" i="25" s="1"/>
  <c r="AF258" i="25"/>
  <c r="BA258" i="25" s="1"/>
  <c r="AR258" i="25"/>
  <c r="BM258" i="25" s="1"/>
  <c r="AG258" i="25"/>
  <c r="BB258" i="25" s="1"/>
  <c r="AH330" i="25"/>
  <c r="BC330" i="25" s="1"/>
  <c r="AI330" i="25"/>
  <c r="BD330" i="25" s="1"/>
  <c r="AJ330" i="25"/>
  <c r="BE330" i="25" s="1"/>
  <c r="Y330" i="25"/>
  <c r="AT330" i="25" s="1"/>
  <c r="AK330" i="25"/>
  <c r="BF330" i="25" s="1"/>
  <c r="Z330" i="25"/>
  <c r="AL330" i="25"/>
  <c r="BG330" i="25" s="1"/>
  <c r="AA330" i="25"/>
  <c r="AV330" i="25" s="1"/>
  <c r="AM330" i="25"/>
  <c r="BH330" i="25" s="1"/>
  <c r="AB330" i="25"/>
  <c r="AW330" i="25" s="1"/>
  <c r="AN330" i="25"/>
  <c r="BI330" i="25" s="1"/>
  <c r="AC330" i="25"/>
  <c r="AX330" i="25" s="1"/>
  <c r="AO330" i="25"/>
  <c r="BJ330" i="25" s="1"/>
  <c r="AD330" i="25"/>
  <c r="AY330" i="25" s="1"/>
  <c r="AP330" i="25"/>
  <c r="BK330" i="25" s="1"/>
  <c r="AE330" i="25"/>
  <c r="AZ330" i="25" s="1"/>
  <c r="AQ330" i="25"/>
  <c r="BL330" i="25" s="1"/>
  <c r="AF330" i="25"/>
  <c r="BA330" i="25" s="1"/>
  <c r="AR330" i="25"/>
  <c r="BM330" i="25" s="1"/>
  <c r="AG330" i="25"/>
  <c r="BB330" i="25" s="1"/>
  <c r="AI129" i="25"/>
  <c r="BD129" i="25" s="1"/>
  <c r="AJ129" i="25"/>
  <c r="BE129" i="25" s="1"/>
  <c r="Y129" i="25"/>
  <c r="AT129" i="25" s="1"/>
  <c r="AK129" i="25"/>
  <c r="BF129" i="25" s="1"/>
  <c r="Z129" i="25"/>
  <c r="AL129" i="25"/>
  <c r="BG129" i="25" s="1"/>
  <c r="AA129" i="25"/>
  <c r="AV129" i="25" s="1"/>
  <c r="AM129" i="25"/>
  <c r="BH129" i="25" s="1"/>
  <c r="AB129" i="25"/>
  <c r="AW129" i="25" s="1"/>
  <c r="AN129" i="25"/>
  <c r="BI129" i="25" s="1"/>
  <c r="AC129" i="25"/>
  <c r="AX129" i="25" s="1"/>
  <c r="AO129" i="25"/>
  <c r="BJ129" i="25" s="1"/>
  <c r="AD129" i="25"/>
  <c r="AY129" i="25" s="1"/>
  <c r="AP129" i="25"/>
  <c r="BK129" i="25" s="1"/>
  <c r="AE129" i="25"/>
  <c r="AZ129" i="25" s="1"/>
  <c r="AQ129" i="25"/>
  <c r="BL129" i="25" s="1"/>
  <c r="AF129" i="25"/>
  <c r="BA129" i="25" s="1"/>
  <c r="AR129" i="25"/>
  <c r="BM129" i="25" s="1"/>
  <c r="AG129" i="25"/>
  <c r="BB129" i="25" s="1"/>
  <c r="AH129" i="25"/>
  <c r="BC129" i="25" s="1"/>
  <c r="AA205" i="25"/>
  <c r="AV205" i="25" s="1"/>
  <c r="AM205" i="25"/>
  <c r="BH205" i="25" s="1"/>
  <c r="AB205" i="25"/>
  <c r="AW205" i="25" s="1"/>
  <c r="AN205" i="25"/>
  <c r="BI205" i="25" s="1"/>
  <c r="AC205" i="25"/>
  <c r="AX205" i="25" s="1"/>
  <c r="AO205" i="25"/>
  <c r="BJ205" i="25" s="1"/>
  <c r="AD205" i="25"/>
  <c r="AY205" i="25" s="1"/>
  <c r="AP205" i="25"/>
  <c r="BK205" i="25" s="1"/>
  <c r="AE205" i="25"/>
  <c r="AZ205" i="25" s="1"/>
  <c r="AQ205" i="25"/>
  <c r="BL205" i="25" s="1"/>
  <c r="AF205" i="25"/>
  <c r="BA205" i="25" s="1"/>
  <c r="AR205" i="25"/>
  <c r="BM205" i="25" s="1"/>
  <c r="AG205" i="25"/>
  <c r="BB205" i="25" s="1"/>
  <c r="AH205" i="25"/>
  <c r="BC205" i="25" s="1"/>
  <c r="AI205" i="25"/>
  <c r="BD205" i="25" s="1"/>
  <c r="AJ205" i="25"/>
  <c r="BE205" i="25" s="1"/>
  <c r="Y205" i="25"/>
  <c r="AT205" i="25" s="1"/>
  <c r="AK205" i="25"/>
  <c r="BF205" i="25" s="1"/>
  <c r="Z205" i="25"/>
  <c r="AL205" i="25"/>
  <c r="BG205" i="25" s="1"/>
  <c r="Z277" i="25"/>
  <c r="AL277" i="25"/>
  <c r="BG277" i="25" s="1"/>
  <c r="AA277" i="25"/>
  <c r="AV277" i="25" s="1"/>
  <c r="AM277" i="25"/>
  <c r="BH277" i="25" s="1"/>
  <c r="AB277" i="25"/>
  <c r="AW277" i="25" s="1"/>
  <c r="AN277" i="25"/>
  <c r="BI277" i="25" s="1"/>
  <c r="AC277" i="25"/>
  <c r="AX277" i="25" s="1"/>
  <c r="AO277" i="25"/>
  <c r="BJ277" i="25" s="1"/>
  <c r="AD277" i="25"/>
  <c r="AY277" i="25" s="1"/>
  <c r="AP277" i="25"/>
  <c r="BK277" i="25" s="1"/>
  <c r="AE277" i="25"/>
  <c r="AZ277" i="25" s="1"/>
  <c r="AQ277" i="25"/>
  <c r="BL277" i="25" s="1"/>
  <c r="AF277" i="25"/>
  <c r="BA277" i="25" s="1"/>
  <c r="AR277" i="25"/>
  <c r="BM277" i="25" s="1"/>
  <c r="AG277" i="25"/>
  <c r="BB277" i="25" s="1"/>
  <c r="AH277" i="25"/>
  <c r="BC277" i="25" s="1"/>
  <c r="AI277" i="25"/>
  <c r="BD277" i="25" s="1"/>
  <c r="AJ277" i="25"/>
  <c r="BE277" i="25" s="1"/>
  <c r="Y277" i="25"/>
  <c r="AT277" i="25" s="1"/>
  <c r="AK277" i="25"/>
  <c r="BF277" i="25" s="1"/>
  <c r="Z349" i="25"/>
  <c r="AL349" i="25"/>
  <c r="BG349" i="25" s="1"/>
  <c r="AA349" i="25"/>
  <c r="AV349" i="25" s="1"/>
  <c r="AM349" i="25"/>
  <c r="BH349" i="25" s="1"/>
  <c r="AB349" i="25"/>
  <c r="AW349" i="25" s="1"/>
  <c r="AN349" i="25"/>
  <c r="BI349" i="25" s="1"/>
  <c r="AC349" i="25"/>
  <c r="AX349" i="25" s="1"/>
  <c r="AO349" i="25"/>
  <c r="BJ349" i="25" s="1"/>
  <c r="AD349" i="25"/>
  <c r="AY349" i="25" s="1"/>
  <c r="AP349" i="25"/>
  <c r="BK349" i="25" s="1"/>
  <c r="AE349" i="25"/>
  <c r="AZ349" i="25" s="1"/>
  <c r="AQ349" i="25"/>
  <c r="BL349" i="25" s="1"/>
  <c r="AF349" i="25"/>
  <c r="BA349" i="25" s="1"/>
  <c r="AR349" i="25"/>
  <c r="BM349" i="25" s="1"/>
  <c r="AG349" i="25"/>
  <c r="BB349" i="25" s="1"/>
  <c r="AH349" i="25"/>
  <c r="BC349" i="25" s="1"/>
  <c r="AI349" i="25"/>
  <c r="BD349" i="25" s="1"/>
  <c r="AJ349" i="25"/>
  <c r="BE349" i="25" s="1"/>
  <c r="Y349" i="25"/>
  <c r="AT349" i="25" s="1"/>
  <c r="AK349" i="25"/>
  <c r="BF349" i="25" s="1"/>
  <c r="AA148" i="25"/>
  <c r="AV148" i="25" s="1"/>
  <c r="AM148" i="25"/>
  <c r="BH148" i="25" s="1"/>
  <c r="AB148" i="25"/>
  <c r="AW148" i="25" s="1"/>
  <c r="AN148" i="25"/>
  <c r="BI148" i="25" s="1"/>
  <c r="AC148" i="25"/>
  <c r="AX148" i="25" s="1"/>
  <c r="AO148" i="25"/>
  <c r="BJ148" i="25" s="1"/>
  <c r="AD148" i="25"/>
  <c r="AY148" i="25" s="1"/>
  <c r="AP148" i="25"/>
  <c r="BK148" i="25" s="1"/>
  <c r="AE148" i="25"/>
  <c r="AZ148" i="25" s="1"/>
  <c r="AQ148" i="25"/>
  <c r="BL148" i="25" s="1"/>
  <c r="AF148" i="25"/>
  <c r="BA148" i="25" s="1"/>
  <c r="AR148" i="25"/>
  <c r="BM148" i="25" s="1"/>
  <c r="AG148" i="25"/>
  <c r="BB148" i="25" s="1"/>
  <c r="AH148" i="25"/>
  <c r="BC148" i="25" s="1"/>
  <c r="AI148" i="25"/>
  <c r="BD148" i="25" s="1"/>
  <c r="AJ148" i="25"/>
  <c r="BE148" i="25" s="1"/>
  <c r="Y148" i="25"/>
  <c r="AT148" i="25" s="1"/>
  <c r="AK148" i="25"/>
  <c r="BF148" i="25" s="1"/>
  <c r="Z148" i="25"/>
  <c r="AL148" i="25"/>
  <c r="BG148" i="25" s="1"/>
  <c r="AE218" i="25"/>
  <c r="AZ218" i="25" s="1"/>
  <c r="AQ218" i="25"/>
  <c r="BL218" i="25" s="1"/>
  <c r="AF218" i="25"/>
  <c r="BA218" i="25" s="1"/>
  <c r="AR218" i="25"/>
  <c r="BM218" i="25" s="1"/>
  <c r="AG218" i="25"/>
  <c r="BB218" i="25" s="1"/>
  <c r="AH218" i="25"/>
  <c r="BC218" i="25" s="1"/>
  <c r="AI218" i="25"/>
  <c r="BD218" i="25" s="1"/>
  <c r="AJ218" i="25"/>
  <c r="BE218" i="25" s="1"/>
  <c r="Y218" i="25"/>
  <c r="AT218" i="25" s="1"/>
  <c r="AK218" i="25"/>
  <c r="BF218" i="25" s="1"/>
  <c r="Z218" i="25"/>
  <c r="AL218" i="25"/>
  <c r="BG218" i="25" s="1"/>
  <c r="AA218" i="25"/>
  <c r="AV218" i="25" s="1"/>
  <c r="AM218" i="25"/>
  <c r="BH218" i="25" s="1"/>
  <c r="AB218" i="25"/>
  <c r="AW218" i="25" s="1"/>
  <c r="AN218" i="25"/>
  <c r="BI218" i="25" s="1"/>
  <c r="AC218" i="25"/>
  <c r="AX218" i="25" s="1"/>
  <c r="AO218" i="25"/>
  <c r="BJ218" i="25" s="1"/>
  <c r="AD218" i="25"/>
  <c r="AY218" i="25" s="1"/>
  <c r="AP218" i="25"/>
  <c r="BK218" i="25" s="1"/>
  <c r="AD290" i="25"/>
  <c r="AY290" i="25" s="1"/>
  <c r="AP290" i="25"/>
  <c r="BK290" i="25" s="1"/>
  <c r="AE290" i="25"/>
  <c r="AZ290" i="25" s="1"/>
  <c r="AQ290" i="25"/>
  <c r="BL290" i="25" s="1"/>
  <c r="AF290" i="25"/>
  <c r="BA290" i="25" s="1"/>
  <c r="AR290" i="25"/>
  <c r="BM290" i="25" s="1"/>
  <c r="AG290" i="25"/>
  <c r="BB290" i="25" s="1"/>
  <c r="AH290" i="25"/>
  <c r="BC290" i="25" s="1"/>
  <c r="AI290" i="25"/>
  <c r="BD290" i="25" s="1"/>
  <c r="AJ290" i="25"/>
  <c r="BE290" i="25" s="1"/>
  <c r="Y290" i="25"/>
  <c r="AT290" i="25" s="1"/>
  <c r="AK290" i="25"/>
  <c r="BF290" i="25" s="1"/>
  <c r="Z290" i="25"/>
  <c r="AL290" i="25"/>
  <c r="BG290" i="25" s="1"/>
  <c r="AA290" i="25"/>
  <c r="AV290" i="25" s="1"/>
  <c r="AM290" i="25"/>
  <c r="BH290" i="25" s="1"/>
  <c r="AB290" i="25"/>
  <c r="AW290" i="25" s="1"/>
  <c r="AN290" i="25"/>
  <c r="BI290" i="25" s="1"/>
  <c r="AC290" i="25"/>
  <c r="AX290" i="25" s="1"/>
  <c r="AO290" i="25"/>
  <c r="BJ290" i="25" s="1"/>
  <c r="AD362" i="25"/>
  <c r="AP362" i="25"/>
  <c r="AE362" i="25"/>
  <c r="AQ362" i="25"/>
  <c r="AF362" i="25"/>
  <c r="AR362" i="25"/>
  <c r="AG362" i="25"/>
  <c r="AH362" i="25"/>
  <c r="AI362" i="25"/>
  <c r="AJ362" i="25"/>
  <c r="Y362" i="25"/>
  <c r="AT362" i="25" s="1"/>
  <c r="AK362" i="25"/>
  <c r="Z362" i="25"/>
  <c r="AL362" i="25"/>
  <c r="AA362" i="25"/>
  <c r="AM362" i="25"/>
  <c r="AB362" i="25"/>
  <c r="AN362" i="25"/>
  <c r="AC362" i="25"/>
  <c r="AO362" i="25"/>
  <c r="AI153" i="25"/>
  <c r="BD153" i="25" s="1"/>
  <c r="AJ153" i="25"/>
  <c r="BE153" i="25" s="1"/>
  <c r="Y153" i="25"/>
  <c r="AT153" i="25" s="1"/>
  <c r="AK153" i="25"/>
  <c r="BF153" i="25" s="1"/>
  <c r="Z153" i="25"/>
  <c r="AL153" i="25"/>
  <c r="BG153" i="25" s="1"/>
  <c r="AA153" i="25"/>
  <c r="AV153" i="25" s="1"/>
  <c r="AM153" i="25"/>
  <c r="BH153" i="25" s="1"/>
  <c r="AB153" i="25"/>
  <c r="AW153" i="25" s="1"/>
  <c r="AN153" i="25"/>
  <c r="BI153" i="25" s="1"/>
  <c r="AC153" i="25"/>
  <c r="AX153" i="25" s="1"/>
  <c r="AO153" i="25"/>
  <c r="BJ153" i="25" s="1"/>
  <c r="AD153" i="25"/>
  <c r="AY153" i="25" s="1"/>
  <c r="AP153" i="25"/>
  <c r="BK153" i="25" s="1"/>
  <c r="AE153" i="25"/>
  <c r="AZ153" i="25" s="1"/>
  <c r="AQ153" i="25"/>
  <c r="BL153" i="25" s="1"/>
  <c r="AF153" i="25"/>
  <c r="BA153" i="25" s="1"/>
  <c r="AR153" i="25"/>
  <c r="BM153" i="25" s="1"/>
  <c r="AG153" i="25"/>
  <c r="BB153" i="25" s="1"/>
  <c r="AH153" i="25"/>
  <c r="BC153" i="25" s="1"/>
  <c r="AH243" i="25"/>
  <c r="BC243" i="25" s="1"/>
  <c r="AI243" i="25"/>
  <c r="BD243" i="25" s="1"/>
  <c r="AJ243" i="25"/>
  <c r="BE243" i="25" s="1"/>
  <c r="Y243" i="25"/>
  <c r="AT243" i="25" s="1"/>
  <c r="AK243" i="25"/>
  <c r="BF243" i="25" s="1"/>
  <c r="Z243" i="25"/>
  <c r="AL243" i="25"/>
  <c r="BG243" i="25" s="1"/>
  <c r="AA243" i="25"/>
  <c r="AV243" i="25" s="1"/>
  <c r="AM243" i="25"/>
  <c r="BH243" i="25" s="1"/>
  <c r="AB243" i="25"/>
  <c r="AW243" i="25" s="1"/>
  <c r="AN243" i="25"/>
  <c r="BI243" i="25" s="1"/>
  <c r="AC243" i="25"/>
  <c r="AX243" i="25" s="1"/>
  <c r="AO243" i="25"/>
  <c r="BJ243" i="25" s="1"/>
  <c r="AD243" i="25"/>
  <c r="AY243" i="25" s="1"/>
  <c r="AP243" i="25"/>
  <c r="BK243" i="25" s="1"/>
  <c r="AE243" i="25"/>
  <c r="AZ243" i="25" s="1"/>
  <c r="AQ243" i="25"/>
  <c r="BL243" i="25" s="1"/>
  <c r="AF243" i="25"/>
  <c r="BA243" i="25" s="1"/>
  <c r="AR243" i="25"/>
  <c r="BM243" i="25" s="1"/>
  <c r="AG243" i="25"/>
  <c r="BB243" i="25" s="1"/>
  <c r="AH315" i="25"/>
  <c r="BC315" i="25" s="1"/>
  <c r="AI315" i="25"/>
  <c r="BD315" i="25" s="1"/>
  <c r="AJ315" i="25"/>
  <c r="BE315" i="25" s="1"/>
  <c r="Y315" i="25"/>
  <c r="AT315" i="25" s="1"/>
  <c r="AK315" i="25"/>
  <c r="BF315" i="25" s="1"/>
  <c r="Z315" i="25"/>
  <c r="AL315" i="25"/>
  <c r="BG315" i="25" s="1"/>
  <c r="AA315" i="25"/>
  <c r="AV315" i="25" s="1"/>
  <c r="AM315" i="25"/>
  <c r="BH315" i="25" s="1"/>
  <c r="AB315" i="25"/>
  <c r="AW315" i="25" s="1"/>
  <c r="AN315" i="25"/>
  <c r="BI315" i="25" s="1"/>
  <c r="AC315" i="25"/>
  <c r="AX315" i="25" s="1"/>
  <c r="AO315" i="25"/>
  <c r="BJ315" i="25" s="1"/>
  <c r="AD315" i="25"/>
  <c r="AY315" i="25" s="1"/>
  <c r="AP315" i="25"/>
  <c r="BK315" i="25" s="1"/>
  <c r="AE315" i="25"/>
  <c r="AZ315" i="25" s="1"/>
  <c r="AQ315" i="25"/>
  <c r="BL315" i="25" s="1"/>
  <c r="AF315" i="25"/>
  <c r="BA315" i="25" s="1"/>
  <c r="AR315" i="25"/>
  <c r="BM315" i="25" s="1"/>
  <c r="AG315" i="25"/>
  <c r="BB315" i="25" s="1"/>
  <c r="AC203" i="26"/>
  <c r="AX203" i="26" s="1"/>
  <c r="AO203" i="26"/>
  <c r="BJ203" i="26" s="1"/>
  <c r="AD203" i="26"/>
  <c r="AY203" i="26" s="1"/>
  <c r="AP203" i="26"/>
  <c r="BK203" i="26" s="1"/>
  <c r="AE203" i="26"/>
  <c r="AZ203" i="26" s="1"/>
  <c r="AQ203" i="26"/>
  <c r="BL203" i="26" s="1"/>
  <c r="AF203" i="26"/>
  <c r="BA203" i="26" s="1"/>
  <c r="AR203" i="26"/>
  <c r="BM203" i="26" s="1"/>
  <c r="AG203" i="26"/>
  <c r="BB203" i="26" s="1"/>
  <c r="AH203" i="26"/>
  <c r="BC203" i="26" s="1"/>
  <c r="AI203" i="26"/>
  <c r="BD203" i="26" s="1"/>
  <c r="AJ203" i="26"/>
  <c r="BE203" i="26" s="1"/>
  <c r="Y203" i="26"/>
  <c r="AT203" i="26" s="1"/>
  <c r="AK203" i="26"/>
  <c r="BF203" i="26" s="1"/>
  <c r="Z203" i="26"/>
  <c r="AL203" i="26"/>
  <c r="BG203" i="26" s="1"/>
  <c r="AA203" i="26"/>
  <c r="AV203" i="26" s="1"/>
  <c r="AM203" i="26"/>
  <c r="BH203" i="26" s="1"/>
  <c r="AB203" i="26"/>
  <c r="AW203" i="26" s="1"/>
  <c r="AN203" i="26"/>
  <c r="BI203" i="26" s="1"/>
  <c r="AC275" i="26"/>
  <c r="AX275" i="26" s="1"/>
  <c r="AO275" i="26"/>
  <c r="BJ275" i="26" s="1"/>
  <c r="AD275" i="26"/>
  <c r="AY275" i="26" s="1"/>
  <c r="AP275" i="26"/>
  <c r="BK275" i="26" s="1"/>
  <c r="AE275" i="26"/>
  <c r="AZ275" i="26" s="1"/>
  <c r="AQ275" i="26"/>
  <c r="BL275" i="26" s="1"/>
  <c r="AF275" i="26"/>
  <c r="BA275" i="26" s="1"/>
  <c r="AR275" i="26"/>
  <c r="BM275" i="26" s="1"/>
  <c r="AG275" i="26"/>
  <c r="BB275" i="26" s="1"/>
  <c r="AH275" i="26"/>
  <c r="BC275" i="26" s="1"/>
  <c r="AI275" i="26"/>
  <c r="BD275" i="26" s="1"/>
  <c r="AJ275" i="26"/>
  <c r="BE275" i="26" s="1"/>
  <c r="Y275" i="26"/>
  <c r="AT275" i="26" s="1"/>
  <c r="AK275" i="26"/>
  <c r="BF275" i="26" s="1"/>
  <c r="Z275" i="26"/>
  <c r="AL275" i="26"/>
  <c r="BG275" i="26" s="1"/>
  <c r="AA275" i="26"/>
  <c r="AV275" i="26" s="1"/>
  <c r="AM275" i="26"/>
  <c r="BH275" i="26" s="1"/>
  <c r="AB275" i="26"/>
  <c r="AW275" i="26" s="1"/>
  <c r="AN275" i="26"/>
  <c r="BI275" i="26" s="1"/>
  <c r="AD347" i="26"/>
  <c r="AY347" i="26" s="1"/>
  <c r="AP347" i="26"/>
  <c r="BK347" i="26" s="1"/>
  <c r="AE347" i="26"/>
  <c r="AZ347" i="26" s="1"/>
  <c r="AQ347" i="26"/>
  <c r="BL347" i="26" s="1"/>
  <c r="AF347" i="26"/>
  <c r="BA347" i="26" s="1"/>
  <c r="AR347" i="26"/>
  <c r="BM347" i="26" s="1"/>
  <c r="AG347" i="26"/>
  <c r="BB347" i="26" s="1"/>
  <c r="AH347" i="26"/>
  <c r="BC347" i="26" s="1"/>
  <c r="AI347" i="26"/>
  <c r="BD347" i="26" s="1"/>
  <c r="AJ347" i="26"/>
  <c r="BE347" i="26" s="1"/>
  <c r="Y347" i="26"/>
  <c r="AT347" i="26" s="1"/>
  <c r="AK347" i="26"/>
  <c r="BF347" i="26" s="1"/>
  <c r="Z347" i="26"/>
  <c r="AL347" i="26"/>
  <c r="BG347" i="26" s="1"/>
  <c r="AA347" i="26"/>
  <c r="AV347" i="26" s="1"/>
  <c r="AM347" i="26"/>
  <c r="BH347" i="26" s="1"/>
  <c r="AB347" i="26"/>
  <c r="AW347" i="26" s="1"/>
  <c r="AN347" i="26"/>
  <c r="BI347" i="26" s="1"/>
  <c r="AC347" i="26"/>
  <c r="AX347" i="26" s="1"/>
  <c r="AO347" i="26"/>
  <c r="BJ347" i="26" s="1"/>
  <c r="AG168" i="26"/>
  <c r="BB168" i="26" s="1"/>
  <c r="AH168" i="26"/>
  <c r="BC168" i="26" s="1"/>
  <c r="AI168" i="26"/>
  <c r="BD168" i="26" s="1"/>
  <c r="AJ168" i="26"/>
  <c r="BE168" i="26" s="1"/>
  <c r="Y168" i="26"/>
  <c r="AT168" i="26" s="1"/>
  <c r="AK168" i="26"/>
  <c r="BF168" i="26" s="1"/>
  <c r="Z168" i="26"/>
  <c r="AL168" i="26"/>
  <c r="BG168" i="26" s="1"/>
  <c r="AA168" i="26"/>
  <c r="AV168" i="26" s="1"/>
  <c r="AM168" i="26"/>
  <c r="BH168" i="26" s="1"/>
  <c r="AB168" i="26"/>
  <c r="AW168" i="26" s="1"/>
  <c r="AN168" i="26"/>
  <c r="BI168" i="26" s="1"/>
  <c r="AC168" i="26"/>
  <c r="AX168" i="26" s="1"/>
  <c r="AO168" i="26"/>
  <c r="BJ168" i="26" s="1"/>
  <c r="AD168" i="26"/>
  <c r="AY168" i="26" s="1"/>
  <c r="AP168" i="26"/>
  <c r="BK168" i="26" s="1"/>
  <c r="AE168" i="26"/>
  <c r="AZ168" i="26" s="1"/>
  <c r="AQ168" i="26"/>
  <c r="BL168" i="26" s="1"/>
  <c r="AF168" i="26"/>
  <c r="BA168" i="26" s="1"/>
  <c r="AR168" i="26"/>
  <c r="BM168" i="26" s="1"/>
  <c r="AG240" i="26"/>
  <c r="BB240" i="26" s="1"/>
  <c r="AH240" i="26"/>
  <c r="BC240" i="26" s="1"/>
  <c r="AI240" i="26"/>
  <c r="BD240" i="26" s="1"/>
  <c r="AJ240" i="26"/>
  <c r="BE240" i="26" s="1"/>
  <c r="Y240" i="26"/>
  <c r="AT240" i="26" s="1"/>
  <c r="AK240" i="26"/>
  <c r="BF240" i="26" s="1"/>
  <c r="Z240" i="26"/>
  <c r="AL240" i="26"/>
  <c r="BG240" i="26" s="1"/>
  <c r="AA240" i="26"/>
  <c r="AV240" i="26" s="1"/>
  <c r="AM240" i="26"/>
  <c r="BH240" i="26" s="1"/>
  <c r="AB240" i="26"/>
  <c r="AW240" i="26" s="1"/>
  <c r="AN240" i="26"/>
  <c r="BI240" i="26" s="1"/>
  <c r="AC240" i="26"/>
  <c r="AX240" i="26" s="1"/>
  <c r="AO240" i="26"/>
  <c r="BJ240" i="26" s="1"/>
  <c r="AD240" i="26"/>
  <c r="AY240" i="26" s="1"/>
  <c r="AP240" i="26"/>
  <c r="BK240" i="26" s="1"/>
  <c r="AE240" i="26"/>
  <c r="AZ240" i="26" s="1"/>
  <c r="AQ240" i="26"/>
  <c r="BL240" i="26" s="1"/>
  <c r="AF240" i="26"/>
  <c r="BA240" i="26" s="1"/>
  <c r="AR240" i="26"/>
  <c r="BM240" i="26" s="1"/>
  <c r="AG312" i="26"/>
  <c r="BB312" i="26" s="1"/>
  <c r="AH312" i="26"/>
  <c r="BC312" i="26" s="1"/>
  <c r="AI312" i="26"/>
  <c r="BD312" i="26" s="1"/>
  <c r="AJ312" i="26"/>
  <c r="BE312" i="26" s="1"/>
  <c r="Y312" i="26"/>
  <c r="AT312" i="26" s="1"/>
  <c r="AK312" i="26"/>
  <c r="BF312" i="26" s="1"/>
  <c r="Z312" i="26"/>
  <c r="AL312" i="26"/>
  <c r="BG312" i="26" s="1"/>
  <c r="AA312" i="26"/>
  <c r="AV312" i="26" s="1"/>
  <c r="AM312" i="26"/>
  <c r="BH312" i="26" s="1"/>
  <c r="AB312" i="26"/>
  <c r="AW312" i="26" s="1"/>
  <c r="AN312" i="26"/>
  <c r="BI312" i="26" s="1"/>
  <c r="AC312" i="26"/>
  <c r="AX312" i="26" s="1"/>
  <c r="AO312" i="26"/>
  <c r="BJ312" i="26" s="1"/>
  <c r="AD312" i="26"/>
  <c r="AY312" i="26" s="1"/>
  <c r="AP312" i="26"/>
  <c r="BK312" i="26" s="1"/>
  <c r="AE312" i="26"/>
  <c r="AZ312" i="26" s="1"/>
  <c r="AQ312" i="26"/>
  <c r="BL312" i="26" s="1"/>
  <c r="AF312" i="26"/>
  <c r="BA312" i="26" s="1"/>
  <c r="AR312" i="26"/>
  <c r="BM312" i="26" s="1"/>
  <c r="AH384" i="26"/>
  <c r="BC384" i="26" s="1"/>
  <c r="AI384" i="26"/>
  <c r="BD384" i="26" s="1"/>
  <c r="AJ384" i="26"/>
  <c r="BE384" i="26" s="1"/>
  <c r="Y384" i="26"/>
  <c r="AT384" i="26" s="1"/>
  <c r="AK384" i="26"/>
  <c r="BF384" i="26" s="1"/>
  <c r="Z384" i="26"/>
  <c r="AL384" i="26"/>
  <c r="BG384" i="26" s="1"/>
  <c r="AA384" i="26"/>
  <c r="AV384" i="26" s="1"/>
  <c r="AM384" i="26"/>
  <c r="BH384" i="26" s="1"/>
  <c r="AB384" i="26"/>
  <c r="AW384" i="26" s="1"/>
  <c r="AN384" i="26"/>
  <c r="BI384" i="26" s="1"/>
  <c r="AC384" i="26"/>
  <c r="AX384" i="26" s="1"/>
  <c r="AO384" i="26"/>
  <c r="BJ384" i="26" s="1"/>
  <c r="AD384" i="26"/>
  <c r="AY384" i="26" s="1"/>
  <c r="AP384" i="26"/>
  <c r="BK384" i="26" s="1"/>
  <c r="AE384" i="26"/>
  <c r="AZ384" i="26" s="1"/>
  <c r="AQ384" i="26"/>
  <c r="BL384" i="26" s="1"/>
  <c r="AF384" i="26"/>
  <c r="BA384" i="26" s="1"/>
  <c r="AR384" i="26"/>
  <c r="BM384" i="26" s="1"/>
  <c r="AG384" i="26"/>
  <c r="BB384" i="26" s="1"/>
  <c r="Y205" i="26"/>
  <c r="AT205" i="26" s="1"/>
  <c r="AK205" i="26"/>
  <c r="BF205" i="26" s="1"/>
  <c r="Z205" i="26"/>
  <c r="AL205" i="26"/>
  <c r="BG205" i="26" s="1"/>
  <c r="AA205" i="26"/>
  <c r="AV205" i="26" s="1"/>
  <c r="AM205" i="26"/>
  <c r="BH205" i="26" s="1"/>
  <c r="AB205" i="26"/>
  <c r="AW205" i="26" s="1"/>
  <c r="AN205" i="26"/>
  <c r="BI205" i="26" s="1"/>
  <c r="AC205" i="26"/>
  <c r="AX205" i="26" s="1"/>
  <c r="AO205" i="26"/>
  <c r="BJ205" i="26" s="1"/>
  <c r="AD205" i="26"/>
  <c r="AY205" i="26" s="1"/>
  <c r="AP205" i="26"/>
  <c r="BK205" i="26" s="1"/>
  <c r="AE205" i="26"/>
  <c r="AZ205" i="26" s="1"/>
  <c r="AQ205" i="26"/>
  <c r="BL205" i="26" s="1"/>
  <c r="AF205" i="26"/>
  <c r="BA205" i="26" s="1"/>
  <c r="AR205" i="26"/>
  <c r="BM205" i="26" s="1"/>
  <c r="AG205" i="26"/>
  <c r="BB205" i="26" s="1"/>
  <c r="AH205" i="26"/>
  <c r="BC205" i="26" s="1"/>
  <c r="AI205" i="26"/>
  <c r="BD205" i="26" s="1"/>
  <c r="AJ205" i="26"/>
  <c r="BE205" i="26" s="1"/>
  <c r="Y277" i="26"/>
  <c r="AT277" i="26" s="1"/>
  <c r="AK277" i="26"/>
  <c r="BF277" i="26" s="1"/>
  <c r="Z277" i="26"/>
  <c r="AL277" i="26"/>
  <c r="BG277" i="26" s="1"/>
  <c r="AA277" i="26"/>
  <c r="AV277" i="26" s="1"/>
  <c r="AM277" i="26"/>
  <c r="BH277" i="26" s="1"/>
  <c r="AB277" i="26"/>
  <c r="AW277" i="26" s="1"/>
  <c r="AN277" i="26"/>
  <c r="BI277" i="26" s="1"/>
  <c r="AC277" i="26"/>
  <c r="AX277" i="26" s="1"/>
  <c r="AO277" i="26"/>
  <c r="BJ277" i="26" s="1"/>
  <c r="AD277" i="26"/>
  <c r="AY277" i="26" s="1"/>
  <c r="AP277" i="26"/>
  <c r="BK277" i="26" s="1"/>
  <c r="AE277" i="26"/>
  <c r="AZ277" i="26" s="1"/>
  <c r="AQ277" i="26"/>
  <c r="BL277" i="26" s="1"/>
  <c r="AF277" i="26"/>
  <c r="BA277" i="26" s="1"/>
  <c r="AR277" i="26"/>
  <c r="BM277" i="26" s="1"/>
  <c r="AG277" i="26"/>
  <c r="BB277" i="26" s="1"/>
  <c r="AH277" i="26"/>
  <c r="BC277" i="26" s="1"/>
  <c r="AI277" i="26"/>
  <c r="BD277" i="26" s="1"/>
  <c r="AJ277" i="26"/>
  <c r="BE277" i="26" s="1"/>
  <c r="Z349" i="26"/>
  <c r="AL349" i="26"/>
  <c r="BG349" i="26" s="1"/>
  <c r="AA349" i="26"/>
  <c r="AV349" i="26" s="1"/>
  <c r="AM349" i="26"/>
  <c r="BH349" i="26" s="1"/>
  <c r="AB349" i="26"/>
  <c r="AW349" i="26" s="1"/>
  <c r="AN349" i="26"/>
  <c r="BI349" i="26" s="1"/>
  <c r="AC349" i="26"/>
  <c r="AX349" i="26" s="1"/>
  <c r="AO349" i="26"/>
  <c r="BJ349" i="26" s="1"/>
  <c r="AD349" i="26"/>
  <c r="AY349" i="26" s="1"/>
  <c r="AP349" i="26"/>
  <c r="BK349" i="26" s="1"/>
  <c r="AE349" i="26"/>
  <c r="AZ349" i="26" s="1"/>
  <c r="AQ349" i="26"/>
  <c r="BL349" i="26" s="1"/>
  <c r="AF349" i="26"/>
  <c r="BA349" i="26" s="1"/>
  <c r="AR349" i="26"/>
  <c r="BM349" i="26" s="1"/>
  <c r="AG349" i="26"/>
  <c r="BB349" i="26" s="1"/>
  <c r="AH349" i="26"/>
  <c r="BC349" i="26" s="1"/>
  <c r="AI349" i="26"/>
  <c r="BD349" i="26" s="1"/>
  <c r="AJ349" i="26"/>
  <c r="BE349" i="26" s="1"/>
  <c r="Y349" i="26"/>
  <c r="AT349" i="26" s="1"/>
  <c r="AK349" i="26"/>
  <c r="BF349" i="26" s="1"/>
  <c r="AC176" i="26"/>
  <c r="AX176" i="26" s="1"/>
  <c r="AO176" i="26"/>
  <c r="BJ176" i="26" s="1"/>
  <c r="AD176" i="26"/>
  <c r="AY176" i="26" s="1"/>
  <c r="AP176" i="26"/>
  <c r="BK176" i="26" s="1"/>
  <c r="AE176" i="26"/>
  <c r="AZ176" i="26" s="1"/>
  <c r="AQ176" i="26"/>
  <c r="BL176" i="26" s="1"/>
  <c r="AF176" i="26"/>
  <c r="BA176" i="26" s="1"/>
  <c r="AR176" i="26"/>
  <c r="BM176" i="26" s="1"/>
  <c r="AG176" i="26"/>
  <c r="BB176" i="26" s="1"/>
  <c r="AH176" i="26"/>
  <c r="BC176" i="26" s="1"/>
  <c r="AI176" i="26"/>
  <c r="BD176" i="26" s="1"/>
  <c r="AJ176" i="26"/>
  <c r="BE176" i="26" s="1"/>
  <c r="Y176" i="26"/>
  <c r="AT176" i="26" s="1"/>
  <c r="AK176" i="26"/>
  <c r="BF176" i="26" s="1"/>
  <c r="Z176" i="26"/>
  <c r="AL176" i="26"/>
  <c r="BG176" i="26" s="1"/>
  <c r="AA176" i="26"/>
  <c r="AV176" i="26" s="1"/>
  <c r="AM176" i="26"/>
  <c r="BH176" i="26" s="1"/>
  <c r="AB176" i="26"/>
  <c r="AW176" i="26" s="1"/>
  <c r="AN176" i="26"/>
  <c r="BI176" i="26" s="1"/>
  <c r="AC248" i="26"/>
  <c r="AX248" i="26" s="1"/>
  <c r="AO248" i="26"/>
  <c r="BJ248" i="26" s="1"/>
  <c r="AD248" i="26"/>
  <c r="AY248" i="26" s="1"/>
  <c r="AP248" i="26"/>
  <c r="BK248" i="26" s="1"/>
  <c r="AE248" i="26"/>
  <c r="AZ248" i="26" s="1"/>
  <c r="AQ248" i="26"/>
  <c r="BL248" i="26" s="1"/>
  <c r="AF248" i="26"/>
  <c r="BA248" i="26" s="1"/>
  <c r="AR248" i="26"/>
  <c r="BM248" i="26" s="1"/>
  <c r="AG248" i="26"/>
  <c r="BB248" i="26" s="1"/>
  <c r="AH248" i="26"/>
  <c r="BC248" i="26" s="1"/>
  <c r="AI248" i="26"/>
  <c r="BD248" i="26" s="1"/>
  <c r="AJ248" i="26"/>
  <c r="BE248" i="26" s="1"/>
  <c r="Y248" i="26"/>
  <c r="AT248" i="26" s="1"/>
  <c r="AK248" i="26"/>
  <c r="BF248" i="26" s="1"/>
  <c r="Z248" i="26"/>
  <c r="AL248" i="26"/>
  <c r="BG248" i="26" s="1"/>
  <c r="AA248" i="26"/>
  <c r="AV248" i="26" s="1"/>
  <c r="AM248" i="26"/>
  <c r="BH248" i="26" s="1"/>
  <c r="AB248" i="26"/>
  <c r="AW248" i="26" s="1"/>
  <c r="AN248" i="26"/>
  <c r="BI248" i="26" s="1"/>
  <c r="AC320" i="26"/>
  <c r="AX320" i="26" s="1"/>
  <c r="AO320" i="26"/>
  <c r="BJ320" i="26" s="1"/>
  <c r="AD320" i="26"/>
  <c r="AY320" i="26" s="1"/>
  <c r="AP320" i="26"/>
  <c r="BK320" i="26" s="1"/>
  <c r="AE320" i="26"/>
  <c r="AZ320" i="26" s="1"/>
  <c r="AF320" i="26"/>
  <c r="BA320" i="26" s="1"/>
  <c r="AR320" i="26"/>
  <c r="BM320" i="26" s="1"/>
  <c r="AG320" i="26"/>
  <c r="BB320" i="26" s="1"/>
  <c r="AH320" i="26"/>
  <c r="BC320" i="26" s="1"/>
  <c r="AI320" i="26"/>
  <c r="BD320" i="26" s="1"/>
  <c r="AJ320" i="26"/>
  <c r="BE320" i="26" s="1"/>
  <c r="Y320" i="26"/>
  <c r="AT320" i="26" s="1"/>
  <c r="AK320" i="26"/>
  <c r="BF320" i="26" s="1"/>
  <c r="Z320" i="26"/>
  <c r="AL320" i="26"/>
  <c r="BG320" i="26" s="1"/>
  <c r="AA320" i="26"/>
  <c r="AV320" i="26" s="1"/>
  <c r="AB320" i="26"/>
  <c r="AW320" i="26" s="1"/>
  <c r="AM320" i="26"/>
  <c r="BH320" i="26" s="1"/>
  <c r="AN320" i="26"/>
  <c r="BI320" i="26" s="1"/>
  <c r="AQ320" i="26"/>
  <c r="BL320" i="26" s="1"/>
  <c r="AG219" i="26"/>
  <c r="BB219" i="26" s="1"/>
  <c r="AH219" i="26"/>
  <c r="BC219" i="26" s="1"/>
  <c r="AI219" i="26"/>
  <c r="BD219" i="26" s="1"/>
  <c r="AJ219" i="26"/>
  <c r="BE219" i="26" s="1"/>
  <c r="Y219" i="26"/>
  <c r="AT219" i="26" s="1"/>
  <c r="AK219" i="26"/>
  <c r="BF219" i="26" s="1"/>
  <c r="Z219" i="26"/>
  <c r="AL219" i="26"/>
  <c r="BG219" i="26" s="1"/>
  <c r="AA219" i="26"/>
  <c r="AV219" i="26" s="1"/>
  <c r="AM219" i="26"/>
  <c r="BH219" i="26" s="1"/>
  <c r="AB219" i="26"/>
  <c r="AW219" i="26" s="1"/>
  <c r="AN219" i="26"/>
  <c r="BI219" i="26" s="1"/>
  <c r="AC219" i="26"/>
  <c r="AX219" i="26" s="1"/>
  <c r="AO219" i="26"/>
  <c r="BJ219" i="26" s="1"/>
  <c r="AD219" i="26"/>
  <c r="AY219" i="26" s="1"/>
  <c r="AP219" i="26"/>
  <c r="BK219" i="26" s="1"/>
  <c r="AE219" i="26"/>
  <c r="AZ219" i="26" s="1"/>
  <c r="AQ219" i="26"/>
  <c r="BL219" i="26" s="1"/>
  <c r="AF219" i="26"/>
  <c r="BA219" i="26" s="1"/>
  <c r="AR219" i="26"/>
  <c r="BM219" i="26" s="1"/>
  <c r="AG291" i="26"/>
  <c r="BB291" i="26" s="1"/>
  <c r="AH291" i="26"/>
  <c r="BC291" i="26" s="1"/>
  <c r="AI291" i="26"/>
  <c r="BD291" i="26" s="1"/>
  <c r="AJ291" i="26"/>
  <c r="BE291" i="26" s="1"/>
  <c r="Y291" i="26"/>
  <c r="AT291" i="26" s="1"/>
  <c r="AK291" i="26"/>
  <c r="BF291" i="26" s="1"/>
  <c r="Z291" i="26"/>
  <c r="AL291" i="26"/>
  <c r="BG291" i="26" s="1"/>
  <c r="AA291" i="26"/>
  <c r="AV291" i="26" s="1"/>
  <c r="AM291" i="26"/>
  <c r="BH291" i="26" s="1"/>
  <c r="AB291" i="26"/>
  <c r="AW291" i="26" s="1"/>
  <c r="AN291" i="26"/>
  <c r="BI291" i="26" s="1"/>
  <c r="AC291" i="26"/>
  <c r="AX291" i="26" s="1"/>
  <c r="AO291" i="26"/>
  <c r="BJ291" i="26" s="1"/>
  <c r="AD291" i="26"/>
  <c r="AY291" i="26" s="1"/>
  <c r="AP291" i="26"/>
  <c r="BK291" i="26" s="1"/>
  <c r="AE291" i="26"/>
  <c r="AZ291" i="26" s="1"/>
  <c r="AQ291" i="26"/>
  <c r="BL291" i="26" s="1"/>
  <c r="AF291" i="26"/>
  <c r="BA291" i="26" s="1"/>
  <c r="AR291" i="26"/>
  <c r="BM291" i="26" s="1"/>
  <c r="AH363" i="26"/>
  <c r="BC363" i="26" s="1"/>
  <c r="AI363" i="26"/>
  <c r="BD363" i="26" s="1"/>
  <c r="AJ363" i="26"/>
  <c r="BE363" i="26" s="1"/>
  <c r="Y363" i="26"/>
  <c r="AT363" i="26" s="1"/>
  <c r="AK363" i="26"/>
  <c r="BF363" i="26" s="1"/>
  <c r="Z363" i="26"/>
  <c r="AL363" i="26"/>
  <c r="BG363" i="26" s="1"/>
  <c r="AA363" i="26"/>
  <c r="AV363" i="26" s="1"/>
  <c r="AM363" i="26"/>
  <c r="BH363" i="26" s="1"/>
  <c r="AB363" i="26"/>
  <c r="AW363" i="26" s="1"/>
  <c r="AN363" i="26"/>
  <c r="BI363" i="26" s="1"/>
  <c r="AC363" i="26"/>
  <c r="AX363" i="26" s="1"/>
  <c r="AO363" i="26"/>
  <c r="BJ363" i="26" s="1"/>
  <c r="AD363" i="26"/>
  <c r="AY363" i="26" s="1"/>
  <c r="AP363" i="26"/>
  <c r="BK363" i="26" s="1"/>
  <c r="AE363" i="26"/>
  <c r="AZ363" i="26" s="1"/>
  <c r="AQ363" i="26"/>
  <c r="BL363" i="26" s="1"/>
  <c r="AF363" i="26"/>
  <c r="BA363" i="26" s="1"/>
  <c r="AR363" i="26"/>
  <c r="BM363" i="26" s="1"/>
  <c r="AG363" i="26"/>
  <c r="BB363" i="26" s="1"/>
  <c r="Y190" i="26"/>
  <c r="AT190" i="26" s="1"/>
  <c r="AK190" i="26"/>
  <c r="BF190" i="26" s="1"/>
  <c r="Z190" i="26"/>
  <c r="AL190" i="26"/>
  <c r="BG190" i="26" s="1"/>
  <c r="AA190" i="26"/>
  <c r="AV190" i="26" s="1"/>
  <c r="AM190" i="26"/>
  <c r="BH190" i="26" s="1"/>
  <c r="AB190" i="26"/>
  <c r="AW190" i="26" s="1"/>
  <c r="AN190" i="26"/>
  <c r="BI190" i="26" s="1"/>
  <c r="AC190" i="26"/>
  <c r="AX190" i="26" s="1"/>
  <c r="AO190" i="26"/>
  <c r="BJ190" i="26" s="1"/>
  <c r="AD190" i="26"/>
  <c r="AY190" i="26" s="1"/>
  <c r="AP190" i="26"/>
  <c r="BK190" i="26" s="1"/>
  <c r="AE190" i="26"/>
  <c r="AZ190" i="26" s="1"/>
  <c r="AQ190" i="26"/>
  <c r="BL190" i="26" s="1"/>
  <c r="AF190" i="26"/>
  <c r="BA190" i="26" s="1"/>
  <c r="AR190" i="26"/>
  <c r="BM190" i="26" s="1"/>
  <c r="AG190" i="26"/>
  <c r="BB190" i="26" s="1"/>
  <c r="AH190" i="26"/>
  <c r="BC190" i="26" s="1"/>
  <c r="AI190" i="26"/>
  <c r="BD190" i="26" s="1"/>
  <c r="AJ190" i="26"/>
  <c r="BE190" i="26" s="1"/>
  <c r="Y262" i="26"/>
  <c r="AT262" i="26" s="1"/>
  <c r="AK262" i="26"/>
  <c r="BF262" i="26" s="1"/>
  <c r="Z262" i="26"/>
  <c r="AL262" i="26"/>
  <c r="BG262" i="26" s="1"/>
  <c r="AA262" i="26"/>
  <c r="AV262" i="26" s="1"/>
  <c r="AM262" i="26"/>
  <c r="BH262" i="26" s="1"/>
  <c r="AB262" i="26"/>
  <c r="AW262" i="26" s="1"/>
  <c r="AN262" i="26"/>
  <c r="BI262" i="26" s="1"/>
  <c r="AC262" i="26"/>
  <c r="AX262" i="26" s="1"/>
  <c r="AO262" i="26"/>
  <c r="BJ262" i="26" s="1"/>
  <c r="AD262" i="26"/>
  <c r="AY262" i="26" s="1"/>
  <c r="AP262" i="26"/>
  <c r="BK262" i="26" s="1"/>
  <c r="AE262" i="26"/>
  <c r="AZ262" i="26" s="1"/>
  <c r="AQ262" i="26"/>
  <c r="BL262" i="26" s="1"/>
  <c r="AF262" i="26"/>
  <c r="BA262" i="26" s="1"/>
  <c r="AR262" i="26"/>
  <c r="BM262" i="26" s="1"/>
  <c r="AG262" i="26"/>
  <c r="BB262" i="26" s="1"/>
  <c r="AH262" i="26"/>
  <c r="BC262" i="26" s="1"/>
  <c r="AI262" i="26"/>
  <c r="BD262" i="26" s="1"/>
  <c r="AJ262" i="26"/>
  <c r="BE262" i="26" s="1"/>
  <c r="Z334" i="26"/>
  <c r="AL334" i="26"/>
  <c r="BG334" i="26" s="1"/>
  <c r="AA334" i="26"/>
  <c r="AV334" i="26" s="1"/>
  <c r="AM334" i="26"/>
  <c r="BH334" i="26" s="1"/>
  <c r="AB334" i="26"/>
  <c r="AW334" i="26" s="1"/>
  <c r="AN334" i="26"/>
  <c r="BI334" i="26" s="1"/>
  <c r="AC334" i="26"/>
  <c r="AX334" i="26" s="1"/>
  <c r="AO334" i="26"/>
  <c r="BJ334" i="26" s="1"/>
  <c r="AD334" i="26"/>
  <c r="AY334" i="26" s="1"/>
  <c r="AP334" i="26"/>
  <c r="BK334" i="26" s="1"/>
  <c r="AE334" i="26"/>
  <c r="AZ334" i="26" s="1"/>
  <c r="AQ334" i="26"/>
  <c r="BL334" i="26" s="1"/>
  <c r="AF334" i="26"/>
  <c r="BA334" i="26" s="1"/>
  <c r="AR334" i="26"/>
  <c r="BM334" i="26" s="1"/>
  <c r="AG334" i="26"/>
  <c r="BB334" i="26" s="1"/>
  <c r="AH334" i="26"/>
  <c r="BC334" i="26" s="1"/>
  <c r="AI334" i="26"/>
  <c r="BD334" i="26" s="1"/>
  <c r="AJ334" i="26"/>
  <c r="BE334" i="26" s="1"/>
  <c r="Y334" i="26"/>
  <c r="AT334" i="26" s="1"/>
  <c r="AK334" i="26"/>
  <c r="BF334" i="26" s="1"/>
  <c r="AB196" i="27"/>
  <c r="AW196" i="27" s="1"/>
  <c r="AC196" i="27"/>
  <c r="AX196" i="27" s="1"/>
  <c r="AD196" i="27"/>
  <c r="AY196" i="27" s="1"/>
  <c r="AP196" i="27"/>
  <c r="BK196" i="27" s="1"/>
  <c r="AE196" i="27"/>
  <c r="AZ196" i="27" s="1"/>
  <c r="AQ196" i="27"/>
  <c r="BL196" i="27" s="1"/>
  <c r="AF196" i="27"/>
  <c r="BA196" i="27" s="1"/>
  <c r="AR196" i="27"/>
  <c r="BM196" i="27" s="1"/>
  <c r="AG196" i="27"/>
  <c r="BB196" i="27" s="1"/>
  <c r="AH196" i="27"/>
  <c r="BC196" i="27" s="1"/>
  <c r="AI196" i="27"/>
  <c r="BD196" i="27" s="1"/>
  <c r="AJ196" i="27"/>
  <c r="BE196" i="27" s="1"/>
  <c r="AK196" i="27"/>
  <c r="BF196" i="27" s="1"/>
  <c r="AL196" i="27"/>
  <c r="BG196" i="27" s="1"/>
  <c r="AM196" i="27"/>
  <c r="BH196" i="27" s="1"/>
  <c r="Z196" i="27"/>
  <c r="AN196" i="27"/>
  <c r="BI196" i="27" s="1"/>
  <c r="Y196" i="27"/>
  <c r="AT196" i="27" s="1"/>
  <c r="AA196" i="27"/>
  <c r="AV196" i="27" s="1"/>
  <c r="AO196" i="27"/>
  <c r="BJ196" i="27" s="1"/>
  <c r="AF266" i="27"/>
  <c r="BA266" i="27" s="1"/>
  <c r="AR266" i="27"/>
  <c r="BM266" i="27" s="1"/>
  <c r="AG266" i="27"/>
  <c r="BB266" i="27" s="1"/>
  <c r="AH266" i="27"/>
  <c r="BC266" i="27" s="1"/>
  <c r="AI266" i="27"/>
  <c r="BD266" i="27" s="1"/>
  <c r="AJ266" i="27"/>
  <c r="BE266" i="27" s="1"/>
  <c r="AK266" i="27"/>
  <c r="BF266" i="27" s="1"/>
  <c r="Z266" i="27"/>
  <c r="AL266" i="27"/>
  <c r="BG266" i="27" s="1"/>
  <c r="AA266" i="27"/>
  <c r="AV266" i="27" s="1"/>
  <c r="AM266" i="27"/>
  <c r="BH266" i="27" s="1"/>
  <c r="AB266" i="27"/>
  <c r="AW266" i="27" s="1"/>
  <c r="AN266" i="27"/>
  <c r="BI266" i="27" s="1"/>
  <c r="AC266" i="27"/>
  <c r="AX266" i="27" s="1"/>
  <c r="AO266" i="27"/>
  <c r="BJ266" i="27" s="1"/>
  <c r="AD266" i="27"/>
  <c r="AY266" i="27" s="1"/>
  <c r="AP266" i="27"/>
  <c r="BK266" i="27" s="1"/>
  <c r="AE266" i="27"/>
  <c r="AZ266" i="27" s="1"/>
  <c r="AQ266" i="27"/>
  <c r="BL266" i="27" s="1"/>
  <c r="Y266" i="27"/>
  <c r="AT266" i="27" s="1"/>
  <c r="AD338" i="27"/>
  <c r="AY338" i="27" s="1"/>
  <c r="AP338" i="27"/>
  <c r="BK338" i="27" s="1"/>
  <c r="AE338" i="27"/>
  <c r="AZ338" i="27" s="1"/>
  <c r="AQ338" i="27"/>
  <c r="BL338" i="27" s="1"/>
  <c r="AF338" i="27"/>
  <c r="BA338" i="27" s="1"/>
  <c r="AR338" i="27"/>
  <c r="BM338" i="27" s="1"/>
  <c r="AG338" i="27"/>
  <c r="BB338" i="27" s="1"/>
  <c r="AH338" i="27"/>
  <c r="BC338" i="27" s="1"/>
  <c r="AI338" i="27"/>
  <c r="BD338" i="27" s="1"/>
  <c r="AJ338" i="27"/>
  <c r="BE338" i="27" s="1"/>
  <c r="AK338" i="27"/>
  <c r="BF338" i="27" s="1"/>
  <c r="Z338" i="27"/>
  <c r="AL338" i="27"/>
  <c r="BG338" i="27" s="1"/>
  <c r="AA338" i="27"/>
  <c r="AV338" i="27" s="1"/>
  <c r="AM338" i="27"/>
  <c r="BH338" i="27" s="1"/>
  <c r="AB338" i="27"/>
  <c r="AW338" i="27" s="1"/>
  <c r="AN338" i="27"/>
  <c r="BI338" i="27" s="1"/>
  <c r="Y338" i="27"/>
  <c r="AT338" i="27" s="1"/>
  <c r="AC338" i="27"/>
  <c r="AX338" i="27" s="1"/>
  <c r="AO338" i="27"/>
  <c r="BJ338" i="27" s="1"/>
  <c r="AI209" i="27"/>
  <c r="BD209" i="27" s="1"/>
  <c r="AJ209" i="27"/>
  <c r="BE209" i="27" s="1"/>
  <c r="AK209" i="27"/>
  <c r="BF209" i="27" s="1"/>
  <c r="Z209" i="27"/>
  <c r="AL209" i="27"/>
  <c r="BG209" i="27" s="1"/>
  <c r="AA209" i="27"/>
  <c r="AV209" i="27" s="1"/>
  <c r="AM209" i="27"/>
  <c r="BH209" i="27" s="1"/>
  <c r="AB209" i="27"/>
  <c r="AW209" i="27" s="1"/>
  <c r="AN209" i="27"/>
  <c r="BI209" i="27" s="1"/>
  <c r="AC209" i="27"/>
  <c r="AX209" i="27" s="1"/>
  <c r="AO209" i="27"/>
  <c r="BJ209" i="27" s="1"/>
  <c r="AD209" i="27"/>
  <c r="AY209" i="27" s="1"/>
  <c r="AP209" i="27"/>
  <c r="BK209" i="27" s="1"/>
  <c r="AE209" i="27"/>
  <c r="AZ209" i="27" s="1"/>
  <c r="AQ209" i="27"/>
  <c r="BL209" i="27" s="1"/>
  <c r="AF209" i="27"/>
  <c r="BA209" i="27" s="1"/>
  <c r="AR209" i="27"/>
  <c r="BM209" i="27" s="1"/>
  <c r="AG209" i="27"/>
  <c r="BB209" i="27" s="1"/>
  <c r="AH209" i="27"/>
  <c r="BC209" i="27" s="1"/>
  <c r="Y209" i="27"/>
  <c r="AT209" i="27" s="1"/>
  <c r="AE285" i="27"/>
  <c r="AZ285" i="27" s="1"/>
  <c r="AQ285" i="27"/>
  <c r="BL285" i="27" s="1"/>
  <c r="AF285" i="27"/>
  <c r="BA285" i="27" s="1"/>
  <c r="AR285" i="27"/>
  <c r="BM285" i="27" s="1"/>
  <c r="AH285" i="27"/>
  <c r="BC285" i="27" s="1"/>
  <c r="AI285" i="27"/>
  <c r="BD285" i="27" s="1"/>
  <c r="AJ285" i="27"/>
  <c r="BE285" i="27" s="1"/>
  <c r="AK285" i="27"/>
  <c r="BF285" i="27" s="1"/>
  <c r="Z285" i="27"/>
  <c r="AL285" i="27"/>
  <c r="BG285" i="27" s="1"/>
  <c r="AB285" i="27"/>
  <c r="AW285" i="27" s="1"/>
  <c r="AN285" i="27"/>
  <c r="BI285" i="27" s="1"/>
  <c r="AC285" i="27"/>
  <c r="AX285" i="27" s="1"/>
  <c r="AO285" i="27"/>
  <c r="BJ285" i="27" s="1"/>
  <c r="AA285" i="27"/>
  <c r="AV285" i="27" s="1"/>
  <c r="AD285" i="27"/>
  <c r="AY285" i="27" s="1"/>
  <c r="AG285" i="27"/>
  <c r="BB285" i="27" s="1"/>
  <c r="AM285" i="27"/>
  <c r="BH285" i="27" s="1"/>
  <c r="AP285" i="27"/>
  <c r="BK285" i="27" s="1"/>
  <c r="Y285" i="27"/>
  <c r="AT285" i="27" s="1"/>
  <c r="AC357" i="27"/>
  <c r="AX357" i="27" s="1"/>
  <c r="AO357" i="27"/>
  <c r="BJ357" i="27" s="1"/>
  <c r="AD357" i="27"/>
  <c r="AY357" i="27" s="1"/>
  <c r="AP357" i="27"/>
  <c r="BK357" i="27" s="1"/>
  <c r="AF357" i="27"/>
  <c r="BA357" i="27" s="1"/>
  <c r="AR357" i="27"/>
  <c r="BM357" i="27" s="1"/>
  <c r="AG357" i="27"/>
  <c r="BB357" i="27" s="1"/>
  <c r="AH357" i="27"/>
  <c r="BC357" i="27" s="1"/>
  <c r="AI357" i="27"/>
  <c r="BD357" i="27" s="1"/>
  <c r="AJ357" i="27"/>
  <c r="BE357" i="27" s="1"/>
  <c r="Z357" i="27"/>
  <c r="AL357" i="27"/>
  <c r="BG357" i="27" s="1"/>
  <c r="AA357" i="27"/>
  <c r="AV357" i="27" s="1"/>
  <c r="AM357" i="27"/>
  <c r="BH357" i="27" s="1"/>
  <c r="AB357" i="27"/>
  <c r="AW357" i="27" s="1"/>
  <c r="AE357" i="27"/>
  <c r="AZ357" i="27" s="1"/>
  <c r="AK357" i="27"/>
  <c r="BF357" i="27" s="1"/>
  <c r="AN357" i="27"/>
  <c r="BI357" i="27" s="1"/>
  <c r="AQ357" i="27"/>
  <c r="BL357" i="27" s="1"/>
  <c r="Y357" i="27"/>
  <c r="AT357" i="27" s="1"/>
  <c r="AH228" i="27"/>
  <c r="BC228" i="27" s="1"/>
  <c r="AI228" i="27"/>
  <c r="BD228" i="27" s="1"/>
  <c r="AJ228" i="27"/>
  <c r="BE228" i="27" s="1"/>
  <c r="AK228" i="27"/>
  <c r="BF228" i="27" s="1"/>
  <c r="Z228" i="27"/>
  <c r="AL228" i="27"/>
  <c r="BG228" i="27" s="1"/>
  <c r="AA228" i="27"/>
  <c r="AV228" i="27" s="1"/>
  <c r="AM228" i="27"/>
  <c r="BH228" i="27" s="1"/>
  <c r="AB228" i="27"/>
  <c r="AW228" i="27" s="1"/>
  <c r="AN228" i="27"/>
  <c r="BI228" i="27" s="1"/>
  <c r="AC228" i="27"/>
  <c r="AX228" i="27" s="1"/>
  <c r="AO228" i="27"/>
  <c r="BJ228" i="27" s="1"/>
  <c r="AD228" i="27"/>
  <c r="AY228" i="27" s="1"/>
  <c r="AP228" i="27"/>
  <c r="BK228" i="27" s="1"/>
  <c r="AE228" i="27"/>
  <c r="AZ228" i="27" s="1"/>
  <c r="AQ228" i="27"/>
  <c r="BL228" i="27" s="1"/>
  <c r="AF228" i="27"/>
  <c r="BA228" i="27" s="1"/>
  <c r="AR228" i="27"/>
  <c r="BM228" i="27" s="1"/>
  <c r="AG228" i="27"/>
  <c r="BB228" i="27" s="1"/>
  <c r="Y228" i="27"/>
  <c r="AT228" i="27" s="1"/>
  <c r="AB304" i="27"/>
  <c r="AW304" i="27" s="1"/>
  <c r="AN304" i="27"/>
  <c r="BI304" i="27" s="1"/>
  <c r="AC304" i="27"/>
  <c r="AX304" i="27" s="1"/>
  <c r="AO304" i="27"/>
  <c r="BJ304" i="27" s="1"/>
  <c r="Y304" i="27"/>
  <c r="AT304" i="27" s="1"/>
  <c r="AD304" i="27"/>
  <c r="AY304" i="27" s="1"/>
  <c r="AP304" i="27"/>
  <c r="BK304" i="27" s="1"/>
  <c r="AE304" i="27"/>
  <c r="AZ304" i="27" s="1"/>
  <c r="AQ304" i="27"/>
  <c r="BL304" i="27" s="1"/>
  <c r="AF304" i="27"/>
  <c r="BA304" i="27" s="1"/>
  <c r="AR304" i="27"/>
  <c r="BM304" i="27" s="1"/>
  <c r="AG304" i="27"/>
  <c r="BB304" i="27" s="1"/>
  <c r="AH304" i="27"/>
  <c r="BC304" i="27" s="1"/>
  <c r="AI304" i="27"/>
  <c r="BD304" i="27" s="1"/>
  <c r="AJ304" i="27"/>
  <c r="BE304" i="27" s="1"/>
  <c r="AK304" i="27"/>
  <c r="BF304" i="27" s="1"/>
  <c r="Z304" i="27"/>
  <c r="AL304" i="27"/>
  <c r="BG304" i="27" s="1"/>
  <c r="AA304" i="27"/>
  <c r="AV304" i="27" s="1"/>
  <c r="AM304" i="27"/>
  <c r="BH304" i="27" s="1"/>
  <c r="AB376" i="27"/>
  <c r="AW376" i="27" s="1"/>
  <c r="AN376" i="27"/>
  <c r="BI376" i="27" s="1"/>
  <c r="AC376" i="27"/>
  <c r="AX376" i="27" s="1"/>
  <c r="AO376" i="27"/>
  <c r="BJ376" i="27" s="1"/>
  <c r="AE376" i="27"/>
  <c r="AZ376" i="27" s="1"/>
  <c r="AQ376" i="27"/>
  <c r="BL376" i="27" s="1"/>
  <c r="AF376" i="27"/>
  <c r="BA376" i="27" s="1"/>
  <c r="AR376" i="27"/>
  <c r="BM376" i="27" s="1"/>
  <c r="AG376" i="27"/>
  <c r="BB376" i="27" s="1"/>
  <c r="AH376" i="27"/>
  <c r="BC376" i="27" s="1"/>
  <c r="AI376" i="27"/>
  <c r="BD376" i="27" s="1"/>
  <c r="AK376" i="27"/>
  <c r="BF376" i="27" s="1"/>
  <c r="Z376" i="27"/>
  <c r="AL376" i="27"/>
  <c r="BG376" i="27" s="1"/>
  <c r="AD376" i="27"/>
  <c r="AY376" i="27" s="1"/>
  <c r="AJ376" i="27"/>
  <c r="BE376" i="27" s="1"/>
  <c r="AM376" i="27"/>
  <c r="BH376" i="27" s="1"/>
  <c r="AP376" i="27"/>
  <c r="BK376" i="27" s="1"/>
  <c r="Y376" i="27"/>
  <c r="AT376" i="27" s="1"/>
  <c r="AA376" i="27"/>
  <c r="AV376" i="27" s="1"/>
  <c r="AG235" i="27"/>
  <c r="BB235" i="27" s="1"/>
  <c r="AH235" i="27"/>
  <c r="BC235" i="27" s="1"/>
  <c r="AI235" i="27"/>
  <c r="BD235" i="27" s="1"/>
  <c r="AJ235" i="27"/>
  <c r="BE235" i="27" s="1"/>
  <c r="AK235" i="27"/>
  <c r="BF235" i="27" s="1"/>
  <c r="Z235" i="27"/>
  <c r="AL235" i="27"/>
  <c r="BG235" i="27" s="1"/>
  <c r="AA235" i="27"/>
  <c r="AV235" i="27" s="1"/>
  <c r="AM235" i="27"/>
  <c r="BH235" i="27" s="1"/>
  <c r="AB235" i="27"/>
  <c r="AW235" i="27" s="1"/>
  <c r="AN235" i="27"/>
  <c r="BI235" i="27" s="1"/>
  <c r="AC235" i="27"/>
  <c r="AX235" i="27" s="1"/>
  <c r="AO235" i="27"/>
  <c r="BJ235" i="27" s="1"/>
  <c r="AD235" i="27"/>
  <c r="AY235" i="27" s="1"/>
  <c r="AP235" i="27"/>
  <c r="BK235" i="27" s="1"/>
  <c r="AE235" i="27"/>
  <c r="AZ235" i="27" s="1"/>
  <c r="AQ235" i="27"/>
  <c r="BL235" i="27" s="1"/>
  <c r="AF235" i="27"/>
  <c r="BA235" i="27" s="1"/>
  <c r="AR235" i="27"/>
  <c r="BM235" i="27" s="1"/>
  <c r="Y235" i="27"/>
  <c r="AT235" i="27" s="1"/>
  <c r="AG317" i="27"/>
  <c r="BB317" i="27" s="1"/>
  <c r="AH317" i="27"/>
  <c r="BC317" i="27" s="1"/>
  <c r="AI317" i="27"/>
  <c r="BD317" i="27" s="1"/>
  <c r="AJ317" i="27"/>
  <c r="BE317" i="27" s="1"/>
  <c r="AK317" i="27"/>
  <c r="BF317" i="27" s="1"/>
  <c r="Z317" i="27"/>
  <c r="AL317" i="27"/>
  <c r="BG317" i="27" s="1"/>
  <c r="AA317" i="27"/>
  <c r="AV317" i="27" s="1"/>
  <c r="AM317" i="27"/>
  <c r="BH317" i="27" s="1"/>
  <c r="AB317" i="27"/>
  <c r="AW317" i="27" s="1"/>
  <c r="AN317" i="27"/>
  <c r="BI317" i="27" s="1"/>
  <c r="AC317" i="27"/>
  <c r="AX317" i="27" s="1"/>
  <c r="AO317" i="27"/>
  <c r="BJ317" i="27" s="1"/>
  <c r="AD317" i="27"/>
  <c r="AY317" i="27" s="1"/>
  <c r="AP317" i="27"/>
  <c r="BK317" i="27" s="1"/>
  <c r="AE317" i="27"/>
  <c r="AZ317" i="27" s="1"/>
  <c r="AQ317" i="27"/>
  <c r="BL317" i="27" s="1"/>
  <c r="AF317" i="27"/>
  <c r="BA317" i="27" s="1"/>
  <c r="AR317" i="27"/>
  <c r="BM317" i="27" s="1"/>
  <c r="Y317" i="27"/>
  <c r="AT317" i="27" s="1"/>
  <c r="AG188" i="27"/>
  <c r="BB188" i="27" s="1"/>
  <c r="AH188" i="27"/>
  <c r="BC188" i="27" s="1"/>
  <c r="AI188" i="27"/>
  <c r="BD188" i="27" s="1"/>
  <c r="AJ188" i="27"/>
  <c r="BE188" i="27" s="1"/>
  <c r="AK188" i="27"/>
  <c r="BF188" i="27" s="1"/>
  <c r="Z188" i="27"/>
  <c r="AL188" i="27"/>
  <c r="BG188" i="27" s="1"/>
  <c r="AA188" i="27"/>
  <c r="AV188" i="27" s="1"/>
  <c r="AM188" i="27"/>
  <c r="BH188" i="27" s="1"/>
  <c r="AB188" i="27"/>
  <c r="AW188" i="27" s="1"/>
  <c r="AN188" i="27"/>
  <c r="BI188" i="27" s="1"/>
  <c r="AC188" i="27"/>
  <c r="AX188" i="27" s="1"/>
  <c r="AO188" i="27"/>
  <c r="BJ188" i="27" s="1"/>
  <c r="AD188" i="27"/>
  <c r="AY188" i="27" s="1"/>
  <c r="AP188" i="27"/>
  <c r="BK188" i="27" s="1"/>
  <c r="AE188" i="27"/>
  <c r="AZ188" i="27" s="1"/>
  <c r="AQ188" i="27"/>
  <c r="BL188" i="27" s="1"/>
  <c r="AF188" i="27"/>
  <c r="BA188" i="27" s="1"/>
  <c r="AR188" i="27"/>
  <c r="BM188" i="27" s="1"/>
  <c r="Y188" i="27"/>
  <c r="AT188" i="27" s="1"/>
  <c r="AB258" i="27"/>
  <c r="AW258" i="27" s="1"/>
  <c r="AN258" i="27"/>
  <c r="BI258" i="27" s="1"/>
  <c r="AC258" i="27"/>
  <c r="AX258" i="27" s="1"/>
  <c r="AO258" i="27"/>
  <c r="BJ258" i="27" s="1"/>
  <c r="AD258" i="27"/>
  <c r="AY258" i="27" s="1"/>
  <c r="AP258" i="27"/>
  <c r="BK258" i="27" s="1"/>
  <c r="AE258" i="27"/>
  <c r="AZ258" i="27" s="1"/>
  <c r="AQ258" i="27"/>
  <c r="BL258" i="27" s="1"/>
  <c r="AF258" i="27"/>
  <c r="BA258" i="27" s="1"/>
  <c r="AR258" i="27"/>
  <c r="BM258" i="27" s="1"/>
  <c r="AG258" i="27"/>
  <c r="BB258" i="27" s="1"/>
  <c r="AH258" i="27"/>
  <c r="BC258" i="27" s="1"/>
  <c r="AI258" i="27"/>
  <c r="BD258" i="27" s="1"/>
  <c r="AJ258" i="27"/>
  <c r="BE258" i="27" s="1"/>
  <c r="AK258" i="27"/>
  <c r="BF258" i="27" s="1"/>
  <c r="Z258" i="27"/>
  <c r="AL258" i="27"/>
  <c r="BG258" i="27" s="1"/>
  <c r="AA258" i="27"/>
  <c r="AV258" i="27" s="1"/>
  <c r="AM258" i="27"/>
  <c r="BH258" i="27" s="1"/>
  <c r="Y258" i="27"/>
  <c r="AT258" i="27" s="1"/>
  <c r="Z330" i="27"/>
  <c r="AL330" i="27"/>
  <c r="BG330" i="27" s="1"/>
  <c r="AA330" i="27"/>
  <c r="AV330" i="27" s="1"/>
  <c r="AM330" i="27"/>
  <c r="BH330" i="27" s="1"/>
  <c r="AB330" i="27"/>
  <c r="AW330" i="27" s="1"/>
  <c r="AN330" i="27"/>
  <c r="BI330" i="27" s="1"/>
  <c r="AC330" i="27"/>
  <c r="AX330" i="27" s="1"/>
  <c r="AO330" i="27"/>
  <c r="BJ330" i="27" s="1"/>
  <c r="AD330" i="27"/>
  <c r="AY330" i="27" s="1"/>
  <c r="AP330" i="27"/>
  <c r="BK330" i="27" s="1"/>
  <c r="AE330" i="27"/>
  <c r="AZ330" i="27" s="1"/>
  <c r="AQ330" i="27"/>
  <c r="BL330" i="27" s="1"/>
  <c r="AF330" i="27"/>
  <c r="BA330" i="27" s="1"/>
  <c r="AR330" i="27"/>
  <c r="BM330" i="27" s="1"/>
  <c r="AG330" i="27"/>
  <c r="BB330" i="27" s="1"/>
  <c r="AH330" i="27"/>
  <c r="BC330" i="27" s="1"/>
  <c r="AI330" i="27"/>
  <c r="BD330" i="27" s="1"/>
  <c r="AJ330" i="27"/>
  <c r="BE330" i="27" s="1"/>
  <c r="Y330" i="27"/>
  <c r="AT330" i="27" s="1"/>
  <c r="AK330" i="27"/>
  <c r="BF330" i="27" s="1"/>
  <c r="AE201" i="27"/>
  <c r="AZ201" i="27" s="1"/>
  <c r="AQ201" i="27"/>
  <c r="BL201" i="27" s="1"/>
  <c r="AF201" i="27"/>
  <c r="BA201" i="27" s="1"/>
  <c r="AR201" i="27"/>
  <c r="BM201" i="27" s="1"/>
  <c r="AG201" i="27"/>
  <c r="BB201" i="27" s="1"/>
  <c r="AH201" i="27"/>
  <c r="BC201" i="27" s="1"/>
  <c r="AI201" i="27"/>
  <c r="BD201" i="27" s="1"/>
  <c r="AJ201" i="27"/>
  <c r="BE201" i="27" s="1"/>
  <c r="AK201" i="27"/>
  <c r="BF201" i="27" s="1"/>
  <c r="Z201" i="27"/>
  <c r="AL201" i="27"/>
  <c r="BG201" i="27" s="1"/>
  <c r="AA201" i="27"/>
  <c r="AV201" i="27" s="1"/>
  <c r="AM201" i="27"/>
  <c r="BH201" i="27" s="1"/>
  <c r="AB201" i="27"/>
  <c r="AW201" i="27" s="1"/>
  <c r="AN201" i="27"/>
  <c r="BI201" i="27" s="1"/>
  <c r="AC201" i="27"/>
  <c r="AX201" i="27" s="1"/>
  <c r="AO201" i="27"/>
  <c r="BJ201" i="27" s="1"/>
  <c r="AD201" i="27"/>
  <c r="AY201" i="27" s="1"/>
  <c r="Y201" i="27"/>
  <c r="AT201" i="27" s="1"/>
  <c r="AP201" i="27"/>
  <c r="BK201" i="27" s="1"/>
  <c r="AG271" i="27"/>
  <c r="BB271" i="27" s="1"/>
  <c r="AH271" i="27"/>
  <c r="BC271" i="27" s="1"/>
  <c r="AI271" i="27"/>
  <c r="BD271" i="27" s="1"/>
  <c r="AJ271" i="27"/>
  <c r="BE271" i="27" s="1"/>
  <c r="AK271" i="27"/>
  <c r="BF271" i="27" s="1"/>
  <c r="Z271" i="27"/>
  <c r="AL271" i="27"/>
  <c r="BG271" i="27" s="1"/>
  <c r="AA271" i="27"/>
  <c r="AV271" i="27" s="1"/>
  <c r="AM271" i="27"/>
  <c r="BH271" i="27" s="1"/>
  <c r="AB271" i="27"/>
  <c r="AW271" i="27" s="1"/>
  <c r="AN271" i="27"/>
  <c r="BI271" i="27" s="1"/>
  <c r="AC271" i="27"/>
  <c r="AX271" i="27" s="1"/>
  <c r="AO271" i="27"/>
  <c r="BJ271" i="27" s="1"/>
  <c r="AD271" i="27"/>
  <c r="AY271" i="27" s="1"/>
  <c r="AP271" i="27"/>
  <c r="BK271" i="27" s="1"/>
  <c r="AE271" i="27"/>
  <c r="AZ271" i="27" s="1"/>
  <c r="AQ271" i="27"/>
  <c r="BL271" i="27" s="1"/>
  <c r="Y271" i="27"/>
  <c r="AT271" i="27" s="1"/>
  <c r="AF271" i="27"/>
  <c r="BA271" i="27" s="1"/>
  <c r="AR271" i="27"/>
  <c r="BM271" i="27" s="1"/>
  <c r="AE343" i="27"/>
  <c r="AZ343" i="27" s="1"/>
  <c r="AQ343" i="27"/>
  <c r="BL343" i="27" s="1"/>
  <c r="AF343" i="27"/>
  <c r="BA343" i="27" s="1"/>
  <c r="AR343" i="27"/>
  <c r="BM343" i="27" s="1"/>
  <c r="AH343" i="27"/>
  <c r="BC343" i="27" s="1"/>
  <c r="AI343" i="27"/>
  <c r="BD343" i="27" s="1"/>
  <c r="AJ343" i="27"/>
  <c r="BE343" i="27" s="1"/>
  <c r="AK343" i="27"/>
  <c r="BF343" i="27" s="1"/>
  <c r="Z343" i="27"/>
  <c r="AL343" i="27"/>
  <c r="BG343" i="27" s="1"/>
  <c r="AB343" i="27"/>
  <c r="AW343" i="27" s="1"/>
  <c r="AN343" i="27"/>
  <c r="BI343" i="27" s="1"/>
  <c r="AC343" i="27"/>
  <c r="AX343" i="27" s="1"/>
  <c r="AO343" i="27"/>
  <c r="BJ343" i="27" s="1"/>
  <c r="AG343" i="27"/>
  <c r="BB343" i="27" s="1"/>
  <c r="AM343" i="27"/>
  <c r="BH343" i="27" s="1"/>
  <c r="AP343" i="27"/>
  <c r="BK343" i="27" s="1"/>
  <c r="Y343" i="27"/>
  <c r="AT343" i="27" s="1"/>
  <c r="AA343" i="27"/>
  <c r="AV343" i="27" s="1"/>
  <c r="AD343" i="27"/>
  <c r="AY343" i="27" s="1"/>
  <c r="AI237" i="28"/>
  <c r="BD237" i="28" s="1"/>
  <c r="AJ237" i="28"/>
  <c r="BE237" i="28" s="1"/>
  <c r="Z237" i="28"/>
  <c r="AL237" i="28"/>
  <c r="BG237" i="28" s="1"/>
  <c r="AA237" i="28"/>
  <c r="AV237" i="28" s="1"/>
  <c r="AM237" i="28"/>
  <c r="BH237" i="28" s="1"/>
  <c r="AB237" i="28"/>
  <c r="AW237" i="28" s="1"/>
  <c r="AN237" i="28"/>
  <c r="BI237" i="28" s="1"/>
  <c r="AC237" i="28"/>
  <c r="AX237" i="28" s="1"/>
  <c r="AO237" i="28"/>
  <c r="BJ237" i="28" s="1"/>
  <c r="AD237" i="28"/>
  <c r="AY237" i="28" s="1"/>
  <c r="AP237" i="28"/>
  <c r="BK237" i="28" s="1"/>
  <c r="AF237" i="28"/>
  <c r="BA237" i="28" s="1"/>
  <c r="AR237" i="28"/>
  <c r="BM237" i="28" s="1"/>
  <c r="AG237" i="28"/>
  <c r="BB237" i="28" s="1"/>
  <c r="AQ237" i="28"/>
  <c r="BL237" i="28" s="1"/>
  <c r="Y237" i="28"/>
  <c r="AT237" i="28" s="1"/>
  <c r="AE237" i="28"/>
  <c r="AZ237" i="28" s="1"/>
  <c r="AH237" i="28"/>
  <c r="BC237" i="28" s="1"/>
  <c r="AK237" i="28"/>
  <c r="BF237" i="28" s="1"/>
  <c r="AI309" i="28"/>
  <c r="BD309" i="28" s="1"/>
  <c r="AJ309" i="28"/>
  <c r="BE309" i="28" s="1"/>
  <c r="Z309" i="28"/>
  <c r="AL309" i="28"/>
  <c r="BG309" i="28" s="1"/>
  <c r="AA309" i="28"/>
  <c r="AV309" i="28" s="1"/>
  <c r="AM309" i="28"/>
  <c r="BH309" i="28" s="1"/>
  <c r="AB309" i="28"/>
  <c r="AW309" i="28" s="1"/>
  <c r="AN309" i="28"/>
  <c r="BI309" i="28" s="1"/>
  <c r="AC309" i="28"/>
  <c r="AX309" i="28" s="1"/>
  <c r="AO309" i="28"/>
  <c r="BJ309" i="28" s="1"/>
  <c r="AD309" i="28"/>
  <c r="AY309" i="28" s="1"/>
  <c r="AP309" i="28"/>
  <c r="BK309" i="28" s="1"/>
  <c r="AF309" i="28"/>
  <c r="BA309" i="28" s="1"/>
  <c r="AR309" i="28"/>
  <c r="BM309" i="28" s="1"/>
  <c r="AG309" i="28"/>
  <c r="BB309" i="28" s="1"/>
  <c r="AQ309" i="28"/>
  <c r="BL309" i="28" s="1"/>
  <c r="Y309" i="28"/>
  <c r="AT309" i="28" s="1"/>
  <c r="AE309" i="28"/>
  <c r="AZ309" i="28" s="1"/>
  <c r="AH309" i="28"/>
  <c r="BC309" i="28" s="1"/>
  <c r="AK309" i="28"/>
  <c r="BF309" i="28" s="1"/>
  <c r="AG381" i="28"/>
  <c r="AH381" i="28"/>
  <c r="AI381" i="28"/>
  <c r="AJ381" i="28"/>
  <c r="Y381" i="28"/>
  <c r="AT381" i="28" s="1"/>
  <c r="AK381" i="28"/>
  <c r="Z381" i="28"/>
  <c r="AL381" i="28"/>
  <c r="AA381" i="28"/>
  <c r="AM381" i="28"/>
  <c r="AB381" i="28"/>
  <c r="AN381" i="28"/>
  <c r="AC381" i="28"/>
  <c r="AO381" i="28"/>
  <c r="AD381" i="28"/>
  <c r="AP381" i="28"/>
  <c r="AE381" i="28"/>
  <c r="AQ381" i="28"/>
  <c r="AF381" i="28"/>
  <c r="AR381" i="28"/>
  <c r="AA274" i="28"/>
  <c r="AV274" i="28" s="1"/>
  <c r="AM274" i="28"/>
  <c r="BH274" i="28" s="1"/>
  <c r="AB274" i="28"/>
  <c r="AW274" i="28" s="1"/>
  <c r="AN274" i="28"/>
  <c r="BI274" i="28" s="1"/>
  <c r="AD274" i="28"/>
  <c r="AY274" i="28" s="1"/>
  <c r="AP274" i="28"/>
  <c r="BK274" i="28" s="1"/>
  <c r="AE274" i="28"/>
  <c r="AZ274" i="28" s="1"/>
  <c r="AQ274" i="28"/>
  <c r="BL274" i="28" s="1"/>
  <c r="AF274" i="28"/>
  <c r="BA274" i="28" s="1"/>
  <c r="AR274" i="28"/>
  <c r="BM274" i="28" s="1"/>
  <c r="AG274" i="28"/>
  <c r="BB274" i="28" s="1"/>
  <c r="AH274" i="28"/>
  <c r="BC274" i="28" s="1"/>
  <c r="AJ274" i="28"/>
  <c r="BE274" i="28" s="1"/>
  <c r="Y274" i="28"/>
  <c r="AT274" i="28" s="1"/>
  <c r="AK274" i="28"/>
  <c r="BF274" i="28" s="1"/>
  <c r="Z274" i="28"/>
  <c r="AC274" i="28"/>
  <c r="AX274" i="28" s="1"/>
  <c r="AI274" i="28"/>
  <c r="BD274" i="28" s="1"/>
  <c r="AL274" i="28"/>
  <c r="BG274" i="28" s="1"/>
  <c r="AO274" i="28"/>
  <c r="BJ274" i="28" s="1"/>
  <c r="Y346" i="28"/>
  <c r="AT346" i="28" s="1"/>
  <c r="AK346" i="28"/>
  <c r="BF346" i="28" s="1"/>
  <c r="Z346" i="28"/>
  <c r="AL346" i="28"/>
  <c r="BG346" i="28" s="1"/>
  <c r="AA346" i="28"/>
  <c r="AV346" i="28" s="1"/>
  <c r="AM346" i="28"/>
  <c r="BH346" i="28" s="1"/>
  <c r="AB346" i="28"/>
  <c r="AW346" i="28" s="1"/>
  <c r="AN346" i="28"/>
  <c r="BI346" i="28" s="1"/>
  <c r="AC346" i="28"/>
  <c r="AX346" i="28" s="1"/>
  <c r="AO346" i="28"/>
  <c r="BJ346" i="28" s="1"/>
  <c r="AD346" i="28"/>
  <c r="AY346" i="28" s="1"/>
  <c r="AP346" i="28"/>
  <c r="BK346" i="28" s="1"/>
  <c r="AE346" i="28"/>
  <c r="AZ346" i="28" s="1"/>
  <c r="AQ346" i="28"/>
  <c r="BL346" i="28" s="1"/>
  <c r="AF346" i="28"/>
  <c r="BA346" i="28" s="1"/>
  <c r="AR346" i="28"/>
  <c r="BM346" i="28" s="1"/>
  <c r="AG346" i="28"/>
  <c r="BB346" i="28" s="1"/>
  <c r="AH346" i="28"/>
  <c r="BC346" i="28" s="1"/>
  <c r="AI346" i="28"/>
  <c r="BD346" i="28" s="1"/>
  <c r="AJ346" i="28"/>
  <c r="BE346" i="28" s="1"/>
  <c r="AE239" i="28"/>
  <c r="AZ239" i="28" s="1"/>
  <c r="AQ239" i="28"/>
  <c r="BL239" i="28" s="1"/>
  <c r="AF239" i="28"/>
  <c r="BA239" i="28" s="1"/>
  <c r="AR239" i="28"/>
  <c r="BM239" i="28" s="1"/>
  <c r="AH239" i="28"/>
  <c r="BC239" i="28" s="1"/>
  <c r="AI239" i="28"/>
  <c r="BD239" i="28" s="1"/>
  <c r="AJ239" i="28"/>
  <c r="BE239" i="28" s="1"/>
  <c r="Y239" i="28"/>
  <c r="AT239" i="28" s="1"/>
  <c r="AK239" i="28"/>
  <c r="BF239" i="28" s="1"/>
  <c r="Z239" i="28"/>
  <c r="AL239" i="28"/>
  <c r="BG239" i="28" s="1"/>
  <c r="AB239" i="28"/>
  <c r="AW239" i="28" s="1"/>
  <c r="AN239" i="28"/>
  <c r="BI239" i="28" s="1"/>
  <c r="AC239" i="28"/>
  <c r="AX239" i="28" s="1"/>
  <c r="AO239" i="28"/>
  <c r="BJ239" i="28" s="1"/>
  <c r="AA239" i="28"/>
  <c r="AV239" i="28" s="1"/>
  <c r="AD239" i="28"/>
  <c r="AY239" i="28" s="1"/>
  <c r="AG239" i="28"/>
  <c r="BB239" i="28" s="1"/>
  <c r="AM239" i="28"/>
  <c r="BH239" i="28" s="1"/>
  <c r="AP239" i="28"/>
  <c r="BK239" i="28" s="1"/>
  <c r="AE311" i="28"/>
  <c r="AZ311" i="28" s="1"/>
  <c r="AQ311" i="28"/>
  <c r="BL311" i="28" s="1"/>
  <c r="AF311" i="28"/>
  <c r="BA311" i="28" s="1"/>
  <c r="AR311" i="28"/>
  <c r="BM311" i="28" s="1"/>
  <c r="AH311" i="28"/>
  <c r="BC311" i="28" s="1"/>
  <c r="AI311" i="28"/>
  <c r="BD311" i="28" s="1"/>
  <c r="AJ311" i="28"/>
  <c r="BE311" i="28" s="1"/>
  <c r="Y311" i="28"/>
  <c r="AT311" i="28" s="1"/>
  <c r="AK311" i="28"/>
  <c r="BF311" i="28" s="1"/>
  <c r="Z311" i="28"/>
  <c r="AL311" i="28"/>
  <c r="BG311" i="28" s="1"/>
  <c r="AB311" i="28"/>
  <c r="AW311" i="28" s="1"/>
  <c r="AN311" i="28"/>
  <c r="BI311" i="28" s="1"/>
  <c r="AC311" i="28"/>
  <c r="AX311" i="28" s="1"/>
  <c r="AO311" i="28"/>
  <c r="BJ311" i="28" s="1"/>
  <c r="AA311" i="28"/>
  <c r="AV311" i="28" s="1"/>
  <c r="AD311" i="28"/>
  <c r="AY311" i="28" s="1"/>
  <c r="AG311" i="28"/>
  <c r="BB311" i="28" s="1"/>
  <c r="AM311" i="28"/>
  <c r="BH311" i="28" s="1"/>
  <c r="AP311" i="28"/>
  <c r="BK311" i="28" s="1"/>
  <c r="AC383" i="28"/>
  <c r="AX383" i="28" s="1"/>
  <c r="AO383" i="28"/>
  <c r="BJ383" i="28" s="1"/>
  <c r="AD383" i="28"/>
  <c r="AY383" i="28" s="1"/>
  <c r="AP383" i="28"/>
  <c r="BK383" i="28" s="1"/>
  <c r="AE383" i="28"/>
  <c r="AZ383" i="28" s="1"/>
  <c r="AQ383" i="28"/>
  <c r="BL383" i="28" s="1"/>
  <c r="AF383" i="28"/>
  <c r="BA383" i="28" s="1"/>
  <c r="AR383" i="28"/>
  <c r="BM383" i="28" s="1"/>
  <c r="AG383" i="28"/>
  <c r="BB383" i="28" s="1"/>
  <c r="AH383" i="28"/>
  <c r="BC383" i="28" s="1"/>
  <c r="AI383" i="28"/>
  <c r="BD383" i="28" s="1"/>
  <c r="AJ383" i="28"/>
  <c r="BE383" i="28" s="1"/>
  <c r="Y383" i="28"/>
  <c r="AT383" i="28" s="1"/>
  <c r="AK383" i="28"/>
  <c r="BF383" i="28" s="1"/>
  <c r="Z383" i="28"/>
  <c r="AL383" i="28"/>
  <c r="BG383" i="28" s="1"/>
  <c r="AA383" i="28"/>
  <c r="AV383" i="28" s="1"/>
  <c r="AM383" i="28"/>
  <c r="BH383" i="28" s="1"/>
  <c r="AB383" i="28"/>
  <c r="AW383" i="28" s="1"/>
  <c r="AN383" i="28"/>
  <c r="BI383" i="28" s="1"/>
  <c r="AI276" i="28"/>
  <c r="BD276" i="28" s="1"/>
  <c r="AJ276" i="28"/>
  <c r="BE276" i="28" s="1"/>
  <c r="Z276" i="28"/>
  <c r="AL276" i="28"/>
  <c r="BG276" i="28" s="1"/>
  <c r="AA276" i="28"/>
  <c r="AV276" i="28" s="1"/>
  <c r="AM276" i="28"/>
  <c r="BH276" i="28" s="1"/>
  <c r="AB276" i="28"/>
  <c r="AW276" i="28" s="1"/>
  <c r="AN276" i="28"/>
  <c r="BI276" i="28" s="1"/>
  <c r="AC276" i="28"/>
  <c r="AX276" i="28" s="1"/>
  <c r="AO276" i="28"/>
  <c r="BJ276" i="28" s="1"/>
  <c r="AD276" i="28"/>
  <c r="AY276" i="28" s="1"/>
  <c r="AP276" i="28"/>
  <c r="BK276" i="28" s="1"/>
  <c r="AF276" i="28"/>
  <c r="BA276" i="28" s="1"/>
  <c r="AR276" i="28"/>
  <c r="BM276" i="28" s="1"/>
  <c r="AG276" i="28"/>
  <c r="BB276" i="28" s="1"/>
  <c r="AE276" i="28"/>
  <c r="AZ276" i="28" s="1"/>
  <c r="AH276" i="28"/>
  <c r="BC276" i="28" s="1"/>
  <c r="AK276" i="28"/>
  <c r="BF276" i="28" s="1"/>
  <c r="AQ276" i="28"/>
  <c r="BL276" i="28" s="1"/>
  <c r="Y276" i="28"/>
  <c r="AT276" i="28" s="1"/>
  <c r="AG348" i="28"/>
  <c r="BB348" i="28" s="1"/>
  <c r="AH348" i="28"/>
  <c r="BC348" i="28" s="1"/>
  <c r="AI348" i="28"/>
  <c r="BD348" i="28" s="1"/>
  <c r="AJ348" i="28"/>
  <c r="BE348" i="28" s="1"/>
  <c r="Y348" i="28"/>
  <c r="AT348" i="28" s="1"/>
  <c r="AK348" i="28"/>
  <c r="BF348" i="28" s="1"/>
  <c r="Z348" i="28"/>
  <c r="AL348" i="28"/>
  <c r="BG348" i="28" s="1"/>
  <c r="AA348" i="28"/>
  <c r="AV348" i="28" s="1"/>
  <c r="AM348" i="28"/>
  <c r="BH348" i="28" s="1"/>
  <c r="AB348" i="28"/>
  <c r="AW348" i="28" s="1"/>
  <c r="AN348" i="28"/>
  <c r="BI348" i="28" s="1"/>
  <c r="AC348" i="28"/>
  <c r="AX348" i="28" s="1"/>
  <c r="AO348" i="28"/>
  <c r="BJ348" i="28" s="1"/>
  <c r="AD348" i="28"/>
  <c r="AY348" i="28" s="1"/>
  <c r="AP348" i="28"/>
  <c r="BK348" i="28" s="1"/>
  <c r="AE348" i="28"/>
  <c r="AZ348" i="28" s="1"/>
  <c r="AQ348" i="28"/>
  <c r="BL348" i="28" s="1"/>
  <c r="AF348" i="28"/>
  <c r="BA348" i="28" s="1"/>
  <c r="AR348" i="28"/>
  <c r="BM348" i="28" s="1"/>
  <c r="AA241" i="28"/>
  <c r="AV241" i="28" s="1"/>
  <c r="AM241" i="28"/>
  <c r="BH241" i="28" s="1"/>
  <c r="AB241" i="28"/>
  <c r="AW241" i="28" s="1"/>
  <c r="AN241" i="28"/>
  <c r="BI241" i="28" s="1"/>
  <c r="AD241" i="28"/>
  <c r="AY241" i="28" s="1"/>
  <c r="AP241" i="28"/>
  <c r="BK241" i="28" s="1"/>
  <c r="AE241" i="28"/>
  <c r="AZ241" i="28" s="1"/>
  <c r="AQ241" i="28"/>
  <c r="BL241" i="28" s="1"/>
  <c r="AF241" i="28"/>
  <c r="BA241" i="28" s="1"/>
  <c r="AR241" i="28"/>
  <c r="BM241" i="28" s="1"/>
  <c r="AG241" i="28"/>
  <c r="BB241" i="28" s="1"/>
  <c r="AH241" i="28"/>
  <c r="BC241" i="28" s="1"/>
  <c r="AJ241" i="28"/>
  <c r="BE241" i="28" s="1"/>
  <c r="Y241" i="28"/>
  <c r="AT241" i="28" s="1"/>
  <c r="AK241" i="28"/>
  <c r="BF241" i="28" s="1"/>
  <c r="Z241" i="28"/>
  <c r="AC241" i="28"/>
  <c r="AX241" i="28" s="1"/>
  <c r="AI241" i="28"/>
  <c r="BD241" i="28" s="1"/>
  <c r="AL241" i="28"/>
  <c r="BG241" i="28" s="1"/>
  <c r="AO241" i="28"/>
  <c r="BJ241" i="28" s="1"/>
  <c r="AA313" i="28"/>
  <c r="AV313" i="28" s="1"/>
  <c r="AM313" i="28"/>
  <c r="BH313" i="28" s="1"/>
  <c r="AB313" i="28"/>
  <c r="AW313" i="28" s="1"/>
  <c r="AN313" i="28"/>
  <c r="BI313" i="28" s="1"/>
  <c r="AD313" i="28"/>
  <c r="AY313" i="28" s="1"/>
  <c r="AP313" i="28"/>
  <c r="BK313" i="28" s="1"/>
  <c r="AE313" i="28"/>
  <c r="AZ313" i="28" s="1"/>
  <c r="AQ313" i="28"/>
  <c r="BL313" i="28" s="1"/>
  <c r="AG313" i="28"/>
  <c r="BB313" i="28" s="1"/>
  <c r="AH313" i="28"/>
  <c r="BC313" i="28" s="1"/>
  <c r="AJ313" i="28"/>
  <c r="BE313" i="28" s="1"/>
  <c r="Y313" i="28"/>
  <c r="AT313" i="28" s="1"/>
  <c r="AK313" i="28"/>
  <c r="BF313" i="28" s="1"/>
  <c r="Z313" i="28"/>
  <c r="AC313" i="28"/>
  <c r="AX313" i="28" s="1"/>
  <c r="AF313" i="28"/>
  <c r="BA313" i="28" s="1"/>
  <c r="AI313" i="28"/>
  <c r="BD313" i="28" s="1"/>
  <c r="AL313" i="28"/>
  <c r="BG313" i="28" s="1"/>
  <c r="AO313" i="28"/>
  <c r="BJ313" i="28" s="1"/>
  <c r="AR313" i="28"/>
  <c r="BM313" i="28" s="1"/>
  <c r="AF212" i="28"/>
  <c r="BA212" i="28" s="1"/>
  <c r="AR212" i="28"/>
  <c r="BM212" i="28" s="1"/>
  <c r="AG212" i="28"/>
  <c r="BB212" i="28" s="1"/>
  <c r="AI212" i="28"/>
  <c r="BD212" i="28" s="1"/>
  <c r="AJ212" i="28"/>
  <c r="BE212" i="28" s="1"/>
  <c r="Y212" i="28"/>
  <c r="AT212" i="28" s="1"/>
  <c r="AK212" i="28"/>
  <c r="BF212" i="28" s="1"/>
  <c r="Z212" i="28"/>
  <c r="AL212" i="28"/>
  <c r="BG212" i="28" s="1"/>
  <c r="AA212" i="28"/>
  <c r="AV212" i="28" s="1"/>
  <c r="AM212" i="28"/>
  <c r="BH212" i="28" s="1"/>
  <c r="AC212" i="28"/>
  <c r="AX212" i="28" s="1"/>
  <c r="AO212" i="28"/>
  <c r="BJ212" i="28" s="1"/>
  <c r="AD212" i="28"/>
  <c r="AY212" i="28" s="1"/>
  <c r="AP212" i="28"/>
  <c r="BK212" i="28" s="1"/>
  <c r="AH212" i="28"/>
  <c r="BC212" i="28" s="1"/>
  <c r="AN212" i="28"/>
  <c r="BI212" i="28" s="1"/>
  <c r="AB212" i="28"/>
  <c r="AW212" i="28" s="1"/>
  <c r="AE212" i="28"/>
  <c r="AZ212" i="28" s="1"/>
  <c r="AQ212" i="28"/>
  <c r="BL212" i="28" s="1"/>
  <c r="AE284" i="28"/>
  <c r="AZ284" i="28" s="1"/>
  <c r="AQ284" i="28"/>
  <c r="BL284" i="28" s="1"/>
  <c r="AF284" i="28"/>
  <c r="BA284" i="28" s="1"/>
  <c r="AR284" i="28"/>
  <c r="BM284" i="28" s="1"/>
  <c r="AH284" i="28"/>
  <c r="BC284" i="28" s="1"/>
  <c r="AI284" i="28"/>
  <c r="BD284" i="28" s="1"/>
  <c r="AJ284" i="28"/>
  <c r="BE284" i="28" s="1"/>
  <c r="Y284" i="28"/>
  <c r="AT284" i="28" s="1"/>
  <c r="AK284" i="28"/>
  <c r="BF284" i="28" s="1"/>
  <c r="Z284" i="28"/>
  <c r="AL284" i="28"/>
  <c r="BG284" i="28" s="1"/>
  <c r="AB284" i="28"/>
  <c r="AW284" i="28" s="1"/>
  <c r="AN284" i="28"/>
  <c r="BI284" i="28" s="1"/>
  <c r="AC284" i="28"/>
  <c r="AX284" i="28" s="1"/>
  <c r="AO284" i="28"/>
  <c r="BJ284" i="28" s="1"/>
  <c r="AA284" i="28"/>
  <c r="AV284" i="28" s="1"/>
  <c r="AD284" i="28"/>
  <c r="AY284" i="28" s="1"/>
  <c r="AG284" i="28"/>
  <c r="BB284" i="28" s="1"/>
  <c r="AM284" i="28"/>
  <c r="BH284" i="28" s="1"/>
  <c r="AP284" i="28"/>
  <c r="BK284" i="28" s="1"/>
  <c r="AC356" i="28"/>
  <c r="AX356" i="28" s="1"/>
  <c r="AO356" i="28"/>
  <c r="BJ356" i="28" s="1"/>
  <c r="AD356" i="28"/>
  <c r="AY356" i="28" s="1"/>
  <c r="AP356" i="28"/>
  <c r="BK356" i="28" s="1"/>
  <c r="AE356" i="28"/>
  <c r="AZ356" i="28" s="1"/>
  <c r="AQ356" i="28"/>
  <c r="BL356" i="28" s="1"/>
  <c r="AF356" i="28"/>
  <c r="BA356" i="28" s="1"/>
  <c r="AR356" i="28"/>
  <c r="BM356" i="28" s="1"/>
  <c r="AG356" i="28"/>
  <c r="BB356" i="28" s="1"/>
  <c r="AH356" i="28"/>
  <c r="BC356" i="28" s="1"/>
  <c r="AI356" i="28"/>
  <c r="BD356" i="28" s="1"/>
  <c r="AJ356" i="28"/>
  <c r="BE356" i="28" s="1"/>
  <c r="Y356" i="28"/>
  <c r="AT356" i="28" s="1"/>
  <c r="AK356" i="28"/>
  <c r="BF356" i="28" s="1"/>
  <c r="Z356" i="28"/>
  <c r="AL356" i="28"/>
  <c r="BG356" i="28" s="1"/>
  <c r="AA356" i="28"/>
  <c r="AV356" i="28" s="1"/>
  <c r="AM356" i="28"/>
  <c r="BH356" i="28" s="1"/>
  <c r="AB356" i="28"/>
  <c r="AW356" i="28" s="1"/>
  <c r="AN356" i="28"/>
  <c r="BI356" i="28" s="1"/>
  <c r="BF396" i="30"/>
  <c r="BM396" i="30"/>
  <c r="AK90" i="24"/>
  <c r="BF90" i="24" s="1"/>
  <c r="Z90" i="24"/>
  <c r="AL90" i="24"/>
  <c r="BG90" i="24" s="1"/>
  <c r="AA90" i="24"/>
  <c r="AV90" i="24" s="1"/>
  <c r="AM90" i="24"/>
  <c r="BH90" i="24" s="1"/>
  <c r="AB90" i="24"/>
  <c r="AW90" i="24" s="1"/>
  <c r="AN90" i="24"/>
  <c r="BI90" i="24" s="1"/>
  <c r="AC90" i="24"/>
  <c r="AX90" i="24" s="1"/>
  <c r="AO90" i="24"/>
  <c r="BJ90" i="24" s="1"/>
  <c r="AD90" i="24"/>
  <c r="AY90" i="24" s="1"/>
  <c r="AP90" i="24"/>
  <c r="BK90" i="24" s="1"/>
  <c r="AE90" i="24"/>
  <c r="AZ90" i="24" s="1"/>
  <c r="AQ90" i="24"/>
  <c r="BL90" i="24" s="1"/>
  <c r="AF90" i="24"/>
  <c r="BA90" i="24" s="1"/>
  <c r="AR90" i="24"/>
  <c r="BM90" i="24" s="1"/>
  <c r="AG90" i="24"/>
  <c r="BB90" i="24" s="1"/>
  <c r="AH90" i="24"/>
  <c r="BC90" i="24" s="1"/>
  <c r="AI90" i="24"/>
  <c r="BD90" i="24" s="1"/>
  <c r="AJ90" i="24"/>
  <c r="BE90" i="24" s="1"/>
  <c r="Y90" i="24"/>
  <c r="AT90" i="24" s="1"/>
  <c r="AI123" i="24"/>
  <c r="BD123" i="24" s="1"/>
  <c r="AJ123" i="24"/>
  <c r="BE123" i="24" s="1"/>
  <c r="AK123" i="24"/>
  <c r="BF123" i="24" s="1"/>
  <c r="Z123" i="24"/>
  <c r="AL123" i="24"/>
  <c r="BG123" i="24" s="1"/>
  <c r="AA123" i="24"/>
  <c r="AV123" i="24" s="1"/>
  <c r="AM123" i="24"/>
  <c r="BH123" i="24" s="1"/>
  <c r="AB123" i="24"/>
  <c r="AW123" i="24" s="1"/>
  <c r="AN123" i="24"/>
  <c r="BI123" i="24" s="1"/>
  <c r="AC123" i="24"/>
  <c r="AX123" i="24" s="1"/>
  <c r="AO123" i="24"/>
  <c r="BJ123" i="24" s="1"/>
  <c r="AD123" i="24"/>
  <c r="AY123" i="24" s="1"/>
  <c r="AP123" i="24"/>
  <c r="BK123" i="24" s="1"/>
  <c r="AE123" i="24"/>
  <c r="AZ123" i="24" s="1"/>
  <c r="AQ123" i="24"/>
  <c r="BL123" i="24" s="1"/>
  <c r="AF123" i="24"/>
  <c r="BA123" i="24" s="1"/>
  <c r="AR123" i="24"/>
  <c r="BM123" i="24" s="1"/>
  <c r="AG123" i="24"/>
  <c r="BB123" i="24" s="1"/>
  <c r="AH123" i="24"/>
  <c r="BC123" i="24" s="1"/>
  <c r="Y123" i="24"/>
  <c r="AT123" i="24" s="1"/>
  <c r="AB172" i="24"/>
  <c r="AW172" i="24" s="1"/>
  <c r="AN172" i="24"/>
  <c r="BI172" i="24" s="1"/>
  <c r="AC172" i="24"/>
  <c r="AX172" i="24" s="1"/>
  <c r="AO172" i="24"/>
  <c r="BJ172" i="24" s="1"/>
  <c r="AD172" i="24"/>
  <c r="AY172" i="24" s="1"/>
  <c r="AP172" i="24"/>
  <c r="BK172" i="24" s="1"/>
  <c r="AE172" i="24"/>
  <c r="AZ172" i="24" s="1"/>
  <c r="AQ172" i="24"/>
  <c r="BL172" i="24" s="1"/>
  <c r="AF172" i="24"/>
  <c r="BA172" i="24" s="1"/>
  <c r="AR172" i="24"/>
  <c r="BM172" i="24" s="1"/>
  <c r="AG172" i="24"/>
  <c r="BB172" i="24" s="1"/>
  <c r="AH172" i="24"/>
  <c r="BC172" i="24" s="1"/>
  <c r="AI172" i="24"/>
  <c r="BD172" i="24" s="1"/>
  <c r="AJ172" i="24"/>
  <c r="BE172" i="24" s="1"/>
  <c r="AK172" i="24"/>
  <c r="BF172" i="24" s="1"/>
  <c r="Z172" i="24"/>
  <c r="AL172" i="24"/>
  <c r="BG172" i="24" s="1"/>
  <c r="Y172" i="24"/>
  <c r="AT172" i="24" s="1"/>
  <c r="AA172" i="24"/>
  <c r="AV172" i="24" s="1"/>
  <c r="AM172" i="24"/>
  <c r="BH172" i="24" s="1"/>
  <c r="AF108" i="24"/>
  <c r="BA108" i="24" s="1"/>
  <c r="AR108" i="24"/>
  <c r="BM108" i="24" s="1"/>
  <c r="AG108" i="24"/>
  <c r="BB108" i="24" s="1"/>
  <c r="AH108" i="24"/>
  <c r="BC108" i="24" s="1"/>
  <c r="AI108" i="24"/>
  <c r="BD108" i="24" s="1"/>
  <c r="AJ108" i="24"/>
  <c r="BE108" i="24" s="1"/>
  <c r="AK108" i="24"/>
  <c r="BF108" i="24" s="1"/>
  <c r="Z108" i="24"/>
  <c r="AL108" i="24"/>
  <c r="BG108" i="24" s="1"/>
  <c r="AA108" i="24"/>
  <c r="AV108" i="24" s="1"/>
  <c r="AM108" i="24"/>
  <c r="BH108" i="24" s="1"/>
  <c r="AB108" i="24"/>
  <c r="AW108" i="24" s="1"/>
  <c r="AN108" i="24"/>
  <c r="BI108" i="24" s="1"/>
  <c r="AC108" i="24"/>
  <c r="AX108" i="24" s="1"/>
  <c r="AO108" i="24"/>
  <c r="BJ108" i="24" s="1"/>
  <c r="AD108" i="24"/>
  <c r="AY108" i="24" s="1"/>
  <c r="AP108" i="24"/>
  <c r="BK108" i="24" s="1"/>
  <c r="AE108" i="24"/>
  <c r="AZ108" i="24" s="1"/>
  <c r="AQ108" i="24"/>
  <c r="BL108" i="24" s="1"/>
  <c r="Y108" i="24"/>
  <c r="AT108" i="24" s="1"/>
  <c r="AF252" i="24"/>
  <c r="BA252" i="24" s="1"/>
  <c r="AR252" i="24"/>
  <c r="BM252" i="24" s="1"/>
  <c r="AG252" i="24"/>
  <c r="BB252" i="24" s="1"/>
  <c r="AH252" i="24"/>
  <c r="BC252" i="24" s="1"/>
  <c r="AI252" i="24"/>
  <c r="BD252" i="24" s="1"/>
  <c r="AJ252" i="24"/>
  <c r="BE252" i="24" s="1"/>
  <c r="AK252" i="24"/>
  <c r="BF252" i="24" s="1"/>
  <c r="Z252" i="24"/>
  <c r="AL252" i="24"/>
  <c r="BG252" i="24" s="1"/>
  <c r="AA252" i="24"/>
  <c r="AV252" i="24" s="1"/>
  <c r="AM252" i="24"/>
  <c r="BH252" i="24" s="1"/>
  <c r="AB252" i="24"/>
  <c r="AW252" i="24" s="1"/>
  <c r="AN252" i="24"/>
  <c r="BI252" i="24" s="1"/>
  <c r="AC252" i="24"/>
  <c r="AX252" i="24" s="1"/>
  <c r="AO252" i="24"/>
  <c r="BJ252" i="24" s="1"/>
  <c r="AD252" i="24"/>
  <c r="AY252" i="24" s="1"/>
  <c r="AP252" i="24"/>
  <c r="BK252" i="24" s="1"/>
  <c r="AE252" i="24"/>
  <c r="AZ252" i="24" s="1"/>
  <c r="AQ252" i="24"/>
  <c r="BL252" i="24" s="1"/>
  <c r="Y252" i="24"/>
  <c r="AT252" i="24" s="1"/>
  <c r="AK205" i="24"/>
  <c r="BF205" i="24" s="1"/>
  <c r="Z205" i="24"/>
  <c r="AL205" i="24"/>
  <c r="BG205" i="24" s="1"/>
  <c r="AA205" i="24"/>
  <c r="AV205" i="24" s="1"/>
  <c r="AM205" i="24"/>
  <c r="BH205" i="24" s="1"/>
  <c r="AB205" i="24"/>
  <c r="AW205" i="24" s="1"/>
  <c r="AN205" i="24"/>
  <c r="BI205" i="24" s="1"/>
  <c r="AC205" i="24"/>
  <c r="AX205" i="24" s="1"/>
  <c r="AO205" i="24"/>
  <c r="BJ205" i="24" s="1"/>
  <c r="AD205" i="24"/>
  <c r="AY205" i="24" s="1"/>
  <c r="AP205" i="24"/>
  <c r="BK205" i="24" s="1"/>
  <c r="AE205" i="24"/>
  <c r="AZ205" i="24" s="1"/>
  <c r="AQ205" i="24"/>
  <c r="BL205" i="24" s="1"/>
  <c r="AF205" i="24"/>
  <c r="BA205" i="24" s="1"/>
  <c r="AR205" i="24"/>
  <c r="BM205" i="24" s="1"/>
  <c r="AG205" i="24"/>
  <c r="BB205" i="24" s="1"/>
  <c r="AH205" i="24"/>
  <c r="BC205" i="24" s="1"/>
  <c r="AI205" i="24"/>
  <c r="BD205" i="24" s="1"/>
  <c r="Y205" i="24"/>
  <c r="AT205" i="24" s="1"/>
  <c r="AJ205" i="24"/>
  <c r="BE205" i="24" s="1"/>
  <c r="AE199" i="24"/>
  <c r="AZ199" i="24" s="1"/>
  <c r="AQ199" i="24"/>
  <c r="BL199" i="24" s="1"/>
  <c r="AF199" i="24"/>
  <c r="BA199" i="24" s="1"/>
  <c r="AR199" i="24"/>
  <c r="BM199" i="24" s="1"/>
  <c r="AG199" i="24"/>
  <c r="BB199" i="24" s="1"/>
  <c r="AH199" i="24"/>
  <c r="BC199" i="24" s="1"/>
  <c r="AI199" i="24"/>
  <c r="BD199" i="24" s="1"/>
  <c r="AJ199" i="24"/>
  <c r="BE199" i="24" s="1"/>
  <c r="AK199" i="24"/>
  <c r="BF199" i="24" s="1"/>
  <c r="Z199" i="24"/>
  <c r="AL199" i="24"/>
  <c r="BG199" i="24" s="1"/>
  <c r="AA199" i="24"/>
  <c r="AV199" i="24" s="1"/>
  <c r="AM199" i="24"/>
  <c r="BH199" i="24" s="1"/>
  <c r="AB199" i="24"/>
  <c r="AW199" i="24" s="1"/>
  <c r="AN199" i="24"/>
  <c r="BI199" i="24" s="1"/>
  <c r="AC199" i="24"/>
  <c r="AX199" i="24" s="1"/>
  <c r="AO199" i="24"/>
  <c r="BJ199" i="24" s="1"/>
  <c r="AD199" i="24"/>
  <c r="AY199" i="24" s="1"/>
  <c r="AP199" i="24"/>
  <c r="BK199" i="24" s="1"/>
  <c r="Y199" i="24"/>
  <c r="AT199" i="24" s="1"/>
  <c r="AD91" i="24"/>
  <c r="AY91" i="24" s="1"/>
  <c r="AP91" i="24"/>
  <c r="BK91" i="24" s="1"/>
  <c r="AE91" i="24"/>
  <c r="AZ91" i="24" s="1"/>
  <c r="AQ91" i="24"/>
  <c r="BL91" i="24" s="1"/>
  <c r="AF91" i="24"/>
  <c r="BA91" i="24" s="1"/>
  <c r="AR91" i="24"/>
  <c r="BM91" i="24" s="1"/>
  <c r="AG91" i="24"/>
  <c r="BB91" i="24" s="1"/>
  <c r="AH91" i="24"/>
  <c r="BC91" i="24" s="1"/>
  <c r="AI91" i="24"/>
  <c r="BD91" i="24" s="1"/>
  <c r="AJ91" i="24"/>
  <c r="BE91" i="24" s="1"/>
  <c r="AK91" i="24"/>
  <c r="BF91" i="24" s="1"/>
  <c r="Z91" i="24"/>
  <c r="AL91" i="24"/>
  <c r="BG91" i="24" s="1"/>
  <c r="AA91" i="24"/>
  <c r="AV91" i="24" s="1"/>
  <c r="AM91" i="24"/>
  <c r="BH91" i="24" s="1"/>
  <c r="AB91" i="24"/>
  <c r="AW91" i="24" s="1"/>
  <c r="AN91" i="24"/>
  <c r="BI91" i="24" s="1"/>
  <c r="AC91" i="24"/>
  <c r="AX91" i="24" s="1"/>
  <c r="AO91" i="24"/>
  <c r="BJ91" i="24" s="1"/>
  <c r="Y91" i="24"/>
  <c r="AT91" i="24" s="1"/>
  <c r="AE175" i="24"/>
  <c r="AZ175" i="24" s="1"/>
  <c r="AQ175" i="24"/>
  <c r="BL175" i="24" s="1"/>
  <c r="AF175" i="24"/>
  <c r="BA175" i="24" s="1"/>
  <c r="AR175" i="24"/>
  <c r="BM175" i="24" s="1"/>
  <c r="AG175" i="24"/>
  <c r="BB175" i="24" s="1"/>
  <c r="AH175" i="24"/>
  <c r="BC175" i="24" s="1"/>
  <c r="AI175" i="24"/>
  <c r="BD175" i="24" s="1"/>
  <c r="AJ175" i="24"/>
  <c r="BE175" i="24" s="1"/>
  <c r="AK175" i="24"/>
  <c r="BF175" i="24" s="1"/>
  <c r="Z175" i="24"/>
  <c r="AL175" i="24"/>
  <c r="BG175" i="24" s="1"/>
  <c r="AA175" i="24"/>
  <c r="AV175" i="24" s="1"/>
  <c r="AM175" i="24"/>
  <c r="BH175" i="24" s="1"/>
  <c r="AB175" i="24"/>
  <c r="AW175" i="24" s="1"/>
  <c r="AN175" i="24"/>
  <c r="BI175" i="24" s="1"/>
  <c r="AC175" i="24"/>
  <c r="AX175" i="24" s="1"/>
  <c r="AO175" i="24"/>
  <c r="BJ175" i="24" s="1"/>
  <c r="AP175" i="24"/>
  <c r="BK175" i="24" s="1"/>
  <c r="Y175" i="24"/>
  <c r="AT175" i="24" s="1"/>
  <c r="AD175" i="24"/>
  <c r="AY175" i="24" s="1"/>
  <c r="AB69" i="24"/>
  <c r="AW69" i="24" s="1"/>
  <c r="AN69" i="24"/>
  <c r="BI69" i="24" s="1"/>
  <c r="AC69" i="24"/>
  <c r="AX69" i="24" s="1"/>
  <c r="AO69" i="24"/>
  <c r="BJ69" i="24" s="1"/>
  <c r="AD69" i="24"/>
  <c r="AY69" i="24" s="1"/>
  <c r="AP69" i="24"/>
  <c r="BK69" i="24" s="1"/>
  <c r="AE69" i="24"/>
  <c r="AZ69" i="24" s="1"/>
  <c r="AQ69" i="24"/>
  <c r="BL69" i="24" s="1"/>
  <c r="AF69" i="24"/>
  <c r="BA69" i="24" s="1"/>
  <c r="AR69" i="24"/>
  <c r="BM69" i="24" s="1"/>
  <c r="AG69" i="24"/>
  <c r="BB69" i="24" s="1"/>
  <c r="AH69" i="24"/>
  <c r="BC69" i="24" s="1"/>
  <c r="AI69" i="24"/>
  <c r="BD69" i="24" s="1"/>
  <c r="AJ69" i="24"/>
  <c r="BE69" i="24" s="1"/>
  <c r="AK69" i="24"/>
  <c r="BF69" i="24" s="1"/>
  <c r="Z69" i="24"/>
  <c r="AL69" i="24"/>
  <c r="BG69" i="24" s="1"/>
  <c r="AA69" i="24"/>
  <c r="AV69" i="24" s="1"/>
  <c r="AM69" i="24"/>
  <c r="BH69" i="24" s="1"/>
  <c r="Y69" i="24"/>
  <c r="AT69" i="24" s="1"/>
  <c r="AC141" i="24"/>
  <c r="AX141" i="24" s="1"/>
  <c r="AO141" i="24"/>
  <c r="BJ141" i="24" s="1"/>
  <c r="AD141" i="24"/>
  <c r="AY141" i="24" s="1"/>
  <c r="AP141" i="24"/>
  <c r="BK141" i="24" s="1"/>
  <c r="AE141" i="24"/>
  <c r="AZ141" i="24" s="1"/>
  <c r="AQ141" i="24"/>
  <c r="BL141" i="24" s="1"/>
  <c r="AF141" i="24"/>
  <c r="BA141" i="24" s="1"/>
  <c r="AR141" i="24"/>
  <c r="BM141" i="24" s="1"/>
  <c r="AG141" i="24"/>
  <c r="BB141" i="24" s="1"/>
  <c r="AH141" i="24"/>
  <c r="BC141" i="24" s="1"/>
  <c r="AI141" i="24"/>
  <c r="BD141" i="24" s="1"/>
  <c r="AJ141" i="24"/>
  <c r="BE141" i="24" s="1"/>
  <c r="AK141" i="24"/>
  <c r="BF141" i="24" s="1"/>
  <c r="Z141" i="24"/>
  <c r="AL141" i="24"/>
  <c r="BG141" i="24" s="1"/>
  <c r="AA141" i="24"/>
  <c r="AV141" i="24" s="1"/>
  <c r="AM141" i="24"/>
  <c r="BH141" i="24" s="1"/>
  <c r="AB141" i="24"/>
  <c r="AW141" i="24" s="1"/>
  <c r="AN141" i="24"/>
  <c r="BI141" i="24" s="1"/>
  <c r="Y141" i="24"/>
  <c r="AT141" i="24" s="1"/>
  <c r="AC213" i="24"/>
  <c r="AX213" i="24" s="1"/>
  <c r="AO213" i="24"/>
  <c r="BJ213" i="24" s="1"/>
  <c r="AD213" i="24"/>
  <c r="AY213" i="24" s="1"/>
  <c r="AP213" i="24"/>
  <c r="BK213" i="24" s="1"/>
  <c r="AE213" i="24"/>
  <c r="AZ213" i="24" s="1"/>
  <c r="AQ213" i="24"/>
  <c r="BL213" i="24" s="1"/>
  <c r="AF213" i="24"/>
  <c r="BA213" i="24" s="1"/>
  <c r="AR213" i="24"/>
  <c r="BM213" i="24" s="1"/>
  <c r="AG213" i="24"/>
  <c r="BB213" i="24" s="1"/>
  <c r="AH213" i="24"/>
  <c r="BC213" i="24" s="1"/>
  <c r="AI213" i="24"/>
  <c r="BD213" i="24" s="1"/>
  <c r="AJ213" i="24"/>
  <c r="BE213" i="24" s="1"/>
  <c r="AK213" i="24"/>
  <c r="BF213" i="24" s="1"/>
  <c r="Z213" i="24"/>
  <c r="AL213" i="24"/>
  <c r="BG213" i="24" s="1"/>
  <c r="AA213" i="24"/>
  <c r="AV213" i="24" s="1"/>
  <c r="AM213" i="24"/>
  <c r="BH213" i="24" s="1"/>
  <c r="Y213" i="24"/>
  <c r="AT213" i="24" s="1"/>
  <c r="AB213" i="24"/>
  <c r="AW213" i="24" s="1"/>
  <c r="AN213" i="24"/>
  <c r="BI213" i="24" s="1"/>
  <c r="AC285" i="24"/>
  <c r="AX285" i="24" s="1"/>
  <c r="AO285" i="24"/>
  <c r="BJ285" i="24" s="1"/>
  <c r="AD285" i="24"/>
  <c r="AY285" i="24" s="1"/>
  <c r="AP285" i="24"/>
  <c r="BK285" i="24" s="1"/>
  <c r="AE285" i="24"/>
  <c r="AZ285" i="24" s="1"/>
  <c r="AQ285" i="24"/>
  <c r="BL285" i="24" s="1"/>
  <c r="AF285" i="24"/>
  <c r="BA285" i="24" s="1"/>
  <c r="AR285" i="24"/>
  <c r="BM285" i="24" s="1"/>
  <c r="AG285" i="24"/>
  <c r="BB285" i="24" s="1"/>
  <c r="AH285" i="24"/>
  <c r="BC285" i="24" s="1"/>
  <c r="AI285" i="24"/>
  <c r="BD285" i="24" s="1"/>
  <c r="AJ285" i="24"/>
  <c r="BE285" i="24" s="1"/>
  <c r="AK285" i="24"/>
  <c r="BF285" i="24" s="1"/>
  <c r="Z285" i="24"/>
  <c r="AL285" i="24"/>
  <c r="BG285" i="24" s="1"/>
  <c r="AA285" i="24"/>
  <c r="AV285" i="24" s="1"/>
  <c r="AM285" i="24"/>
  <c r="BH285" i="24" s="1"/>
  <c r="AB285" i="24"/>
  <c r="AW285" i="24" s="1"/>
  <c r="AN285" i="24"/>
  <c r="BI285" i="24" s="1"/>
  <c r="Y285" i="24"/>
  <c r="AT285" i="24" s="1"/>
  <c r="AB357" i="24"/>
  <c r="AW357" i="24" s="1"/>
  <c r="AN357" i="24"/>
  <c r="BI357" i="24" s="1"/>
  <c r="AC357" i="24"/>
  <c r="AX357" i="24" s="1"/>
  <c r="AO357" i="24"/>
  <c r="BJ357" i="24" s="1"/>
  <c r="AD357" i="24"/>
  <c r="AY357" i="24" s="1"/>
  <c r="AP357" i="24"/>
  <c r="BK357" i="24" s="1"/>
  <c r="AE357" i="24"/>
  <c r="AZ357" i="24" s="1"/>
  <c r="AQ357" i="24"/>
  <c r="BL357" i="24" s="1"/>
  <c r="AF357" i="24"/>
  <c r="BA357" i="24" s="1"/>
  <c r="AR357" i="24"/>
  <c r="BM357" i="24" s="1"/>
  <c r="AM357" i="24"/>
  <c r="BH357" i="24" s="1"/>
  <c r="AG357" i="24"/>
  <c r="BB357" i="24" s="1"/>
  <c r="AH357" i="24"/>
  <c r="BC357" i="24" s="1"/>
  <c r="Y357" i="24"/>
  <c r="AT357" i="24" s="1"/>
  <c r="AI357" i="24"/>
  <c r="BD357" i="24" s="1"/>
  <c r="AJ357" i="24"/>
  <c r="BE357" i="24" s="1"/>
  <c r="AK357" i="24"/>
  <c r="BF357" i="24" s="1"/>
  <c r="AA357" i="24"/>
  <c r="AV357" i="24" s="1"/>
  <c r="Z357" i="24"/>
  <c r="AL357" i="24"/>
  <c r="BG357" i="24" s="1"/>
  <c r="Z346" i="24"/>
  <c r="AL346" i="24"/>
  <c r="BG346" i="24" s="1"/>
  <c r="AA346" i="24"/>
  <c r="AV346" i="24" s="1"/>
  <c r="AM346" i="24"/>
  <c r="BH346" i="24" s="1"/>
  <c r="AB346" i="24"/>
  <c r="AW346" i="24" s="1"/>
  <c r="AN346" i="24"/>
  <c r="BI346" i="24" s="1"/>
  <c r="AK346" i="24"/>
  <c r="BF346" i="24" s="1"/>
  <c r="AC346" i="24"/>
  <c r="AX346" i="24" s="1"/>
  <c r="AO346" i="24"/>
  <c r="BJ346" i="24" s="1"/>
  <c r="AD346" i="24"/>
  <c r="AY346" i="24" s="1"/>
  <c r="AP346" i="24"/>
  <c r="BK346" i="24" s="1"/>
  <c r="AE346" i="24"/>
  <c r="AZ346" i="24" s="1"/>
  <c r="AQ346" i="24"/>
  <c r="BL346" i="24" s="1"/>
  <c r="AF346" i="24"/>
  <c r="BA346" i="24" s="1"/>
  <c r="AR346" i="24"/>
  <c r="BM346" i="24" s="1"/>
  <c r="AG346" i="24"/>
  <c r="BB346" i="24" s="1"/>
  <c r="Y346" i="24"/>
  <c r="AT346" i="24" s="1"/>
  <c r="AH346" i="24"/>
  <c r="BC346" i="24" s="1"/>
  <c r="AI346" i="24"/>
  <c r="BD346" i="24" s="1"/>
  <c r="AJ346" i="24"/>
  <c r="BE346" i="24" s="1"/>
  <c r="AA191" i="24"/>
  <c r="AV191" i="24" s="1"/>
  <c r="AM191" i="24"/>
  <c r="BH191" i="24" s="1"/>
  <c r="AB191" i="24"/>
  <c r="AW191" i="24" s="1"/>
  <c r="AN191" i="24"/>
  <c r="BI191" i="24" s="1"/>
  <c r="AC191" i="24"/>
  <c r="AX191" i="24" s="1"/>
  <c r="AO191" i="24"/>
  <c r="BJ191" i="24" s="1"/>
  <c r="AD191" i="24"/>
  <c r="AY191" i="24" s="1"/>
  <c r="AP191" i="24"/>
  <c r="BK191" i="24" s="1"/>
  <c r="AE191" i="24"/>
  <c r="AZ191" i="24" s="1"/>
  <c r="AQ191" i="24"/>
  <c r="BL191" i="24" s="1"/>
  <c r="AF191" i="24"/>
  <c r="BA191" i="24" s="1"/>
  <c r="AR191" i="24"/>
  <c r="BM191" i="24" s="1"/>
  <c r="AG191" i="24"/>
  <c r="BB191" i="24" s="1"/>
  <c r="AH191" i="24"/>
  <c r="BC191" i="24" s="1"/>
  <c r="AI191" i="24"/>
  <c r="BD191" i="24" s="1"/>
  <c r="AJ191" i="24"/>
  <c r="BE191" i="24" s="1"/>
  <c r="AK191" i="24"/>
  <c r="BF191" i="24" s="1"/>
  <c r="AL191" i="24"/>
  <c r="BG191" i="24" s="1"/>
  <c r="Z191" i="24"/>
  <c r="Y191" i="24"/>
  <c r="AT191" i="24" s="1"/>
  <c r="AK317" i="24"/>
  <c r="BF317" i="24" s="1"/>
  <c r="Z317" i="24"/>
  <c r="AL317" i="24"/>
  <c r="BG317" i="24" s="1"/>
  <c r="AA317" i="24"/>
  <c r="AV317" i="24" s="1"/>
  <c r="AM317" i="24"/>
  <c r="BH317" i="24" s="1"/>
  <c r="AB317" i="24"/>
  <c r="AW317" i="24" s="1"/>
  <c r="AN317" i="24"/>
  <c r="BI317" i="24" s="1"/>
  <c r="Y317" i="24"/>
  <c r="AT317" i="24" s="1"/>
  <c r="AJ317" i="24"/>
  <c r="BE317" i="24" s="1"/>
  <c r="AC317" i="24"/>
  <c r="AX317" i="24" s="1"/>
  <c r="AO317" i="24"/>
  <c r="BJ317" i="24" s="1"/>
  <c r="AD317" i="24"/>
  <c r="AY317" i="24" s="1"/>
  <c r="AP317" i="24"/>
  <c r="BK317" i="24" s="1"/>
  <c r="AE317" i="24"/>
  <c r="AZ317" i="24" s="1"/>
  <c r="AQ317" i="24"/>
  <c r="BL317" i="24" s="1"/>
  <c r="AF317" i="24"/>
  <c r="BA317" i="24" s="1"/>
  <c r="AR317" i="24"/>
  <c r="BM317" i="24" s="1"/>
  <c r="AG317" i="24"/>
  <c r="BB317" i="24" s="1"/>
  <c r="AH317" i="24"/>
  <c r="BC317" i="24" s="1"/>
  <c r="AI317" i="24"/>
  <c r="BD317" i="24" s="1"/>
  <c r="AF377" i="24"/>
  <c r="BA377" i="24" s="1"/>
  <c r="AR377" i="24"/>
  <c r="BM377" i="24" s="1"/>
  <c r="AG377" i="24"/>
  <c r="BB377" i="24" s="1"/>
  <c r="AH377" i="24"/>
  <c r="BC377" i="24" s="1"/>
  <c r="Y377" i="24"/>
  <c r="AT377" i="24" s="1"/>
  <c r="AI377" i="24"/>
  <c r="BD377" i="24" s="1"/>
  <c r="AE377" i="24"/>
  <c r="AZ377" i="24" s="1"/>
  <c r="AJ377" i="24"/>
  <c r="BE377" i="24" s="1"/>
  <c r="AK377" i="24"/>
  <c r="BF377" i="24" s="1"/>
  <c r="Z377" i="24"/>
  <c r="AL377" i="24"/>
  <c r="BG377" i="24" s="1"/>
  <c r="AA377" i="24"/>
  <c r="AV377" i="24" s="1"/>
  <c r="AM377" i="24"/>
  <c r="BH377" i="24" s="1"/>
  <c r="AB377" i="24"/>
  <c r="AW377" i="24" s="1"/>
  <c r="AN377" i="24"/>
  <c r="BI377" i="24" s="1"/>
  <c r="AC377" i="24"/>
  <c r="AX377" i="24" s="1"/>
  <c r="AO377" i="24"/>
  <c r="BJ377" i="24" s="1"/>
  <c r="AQ377" i="24"/>
  <c r="BL377" i="24" s="1"/>
  <c r="AD377" i="24"/>
  <c r="AY377" i="24" s="1"/>
  <c r="AP377" i="24"/>
  <c r="BK377" i="24" s="1"/>
  <c r="AC74" i="24"/>
  <c r="AX74" i="24" s="1"/>
  <c r="AO74" i="24"/>
  <c r="BJ74" i="24" s="1"/>
  <c r="AD74" i="24"/>
  <c r="AY74" i="24" s="1"/>
  <c r="AP74" i="24"/>
  <c r="BK74" i="24" s="1"/>
  <c r="AE74" i="24"/>
  <c r="AZ74" i="24" s="1"/>
  <c r="AQ74" i="24"/>
  <c r="BL74" i="24" s="1"/>
  <c r="AF74" i="24"/>
  <c r="BA74" i="24" s="1"/>
  <c r="AR74" i="24"/>
  <c r="BM74" i="24" s="1"/>
  <c r="AG74" i="24"/>
  <c r="BB74" i="24" s="1"/>
  <c r="AH74" i="24"/>
  <c r="BC74" i="24" s="1"/>
  <c r="AI74" i="24"/>
  <c r="BD74" i="24" s="1"/>
  <c r="AJ74" i="24"/>
  <c r="BE74" i="24" s="1"/>
  <c r="AK74" i="24"/>
  <c r="BF74" i="24" s="1"/>
  <c r="Z74" i="24"/>
  <c r="AL74" i="24"/>
  <c r="BG74" i="24" s="1"/>
  <c r="AA74" i="24"/>
  <c r="AV74" i="24" s="1"/>
  <c r="AM74" i="24"/>
  <c r="BH74" i="24" s="1"/>
  <c r="AB74" i="24"/>
  <c r="AW74" i="24" s="1"/>
  <c r="AN74" i="24"/>
  <c r="BI74" i="24" s="1"/>
  <c r="Y74" i="24"/>
  <c r="AT74" i="24" s="1"/>
  <c r="AD218" i="24"/>
  <c r="AY218" i="24" s="1"/>
  <c r="AP218" i="24"/>
  <c r="BK218" i="24" s="1"/>
  <c r="AE218" i="24"/>
  <c r="AZ218" i="24" s="1"/>
  <c r="AQ218" i="24"/>
  <c r="BL218" i="24" s="1"/>
  <c r="AF218" i="24"/>
  <c r="BA218" i="24" s="1"/>
  <c r="AR218" i="24"/>
  <c r="BM218" i="24" s="1"/>
  <c r="AG218" i="24"/>
  <c r="BB218" i="24" s="1"/>
  <c r="AH218" i="24"/>
  <c r="BC218" i="24" s="1"/>
  <c r="AI218" i="24"/>
  <c r="BD218" i="24" s="1"/>
  <c r="AJ218" i="24"/>
  <c r="BE218" i="24" s="1"/>
  <c r="AK218" i="24"/>
  <c r="BF218" i="24" s="1"/>
  <c r="Z218" i="24"/>
  <c r="AL218" i="24"/>
  <c r="BG218" i="24" s="1"/>
  <c r="AA218" i="24"/>
  <c r="AV218" i="24" s="1"/>
  <c r="AM218" i="24"/>
  <c r="BH218" i="24" s="1"/>
  <c r="AB218" i="24"/>
  <c r="AW218" i="24" s="1"/>
  <c r="AN218" i="24"/>
  <c r="BI218" i="24" s="1"/>
  <c r="Y218" i="24"/>
  <c r="AT218" i="24" s="1"/>
  <c r="AC218" i="24"/>
  <c r="AX218" i="24" s="1"/>
  <c r="AO218" i="24"/>
  <c r="BJ218" i="24" s="1"/>
  <c r="AF101" i="24"/>
  <c r="BA101" i="24" s="1"/>
  <c r="AR101" i="24"/>
  <c r="BM101" i="24" s="1"/>
  <c r="AG101" i="24"/>
  <c r="BB101" i="24" s="1"/>
  <c r="AH101" i="24"/>
  <c r="BC101" i="24" s="1"/>
  <c r="AI101" i="24"/>
  <c r="BD101" i="24" s="1"/>
  <c r="AJ101" i="24"/>
  <c r="BE101" i="24" s="1"/>
  <c r="AK101" i="24"/>
  <c r="BF101" i="24" s="1"/>
  <c r="Z101" i="24"/>
  <c r="AL101" i="24"/>
  <c r="BG101" i="24" s="1"/>
  <c r="AA101" i="24"/>
  <c r="AV101" i="24" s="1"/>
  <c r="AM101" i="24"/>
  <c r="BH101" i="24" s="1"/>
  <c r="AB101" i="24"/>
  <c r="AW101" i="24" s="1"/>
  <c r="AN101" i="24"/>
  <c r="BI101" i="24" s="1"/>
  <c r="AC101" i="24"/>
  <c r="AX101" i="24" s="1"/>
  <c r="AO101" i="24"/>
  <c r="BJ101" i="24" s="1"/>
  <c r="AD101" i="24"/>
  <c r="AY101" i="24" s="1"/>
  <c r="AP101" i="24"/>
  <c r="BK101" i="24" s="1"/>
  <c r="AE101" i="24"/>
  <c r="AZ101" i="24" s="1"/>
  <c r="AQ101" i="24"/>
  <c r="BL101" i="24" s="1"/>
  <c r="Y101" i="24"/>
  <c r="AT101" i="24" s="1"/>
  <c r="AJ128" i="24"/>
  <c r="BE128" i="24" s="1"/>
  <c r="AK128" i="24"/>
  <c r="BF128" i="24" s="1"/>
  <c r="Z128" i="24"/>
  <c r="AL128" i="24"/>
  <c r="BG128" i="24" s="1"/>
  <c r="AA128" i="24"/>
  <c r="AV128" i="24" s="1"/>
  <c r="AM128" i="24"/>
  <c r="BH128" i="24" s="1"/>
  <c r="AB128" i="24"/>
  <c r="AW128" i="24" s="1"/>
  <c r="AN128" i="24"/>
  <c r="BI128" i="24" s="1"/>
  <c r="AC128" i="24"/>
  <c r="AX128" i="24" s="1"/>
  <c r="AO128" i="24"/>
  <c r="BJ128" i="24" s="1"/>
  <c r="AD128" i="24"/>
  <c r="AY128" i="24" s="1"/>
  <c r="AP128" i="24"/>
  <c r="BK128" i="24" s="1"/>
  <c r="AE128" i="24"/>
  <c r="AZ128" i="24" s="1"/>
  <c r="AQ128" i="24"/>
  <c r="BL128" i="24" s="1"/>
  <c r="AF128" i="24"/>
  <c r="BA128" i="24" s="1"/>
  <c r="AR128" i="24"/>
  <c r="BM128" i="24" s="1"/>
  <c r="AG128" i="24"/>
  <c r="BB128" i="24" s="1"/>
  <c r="AH128" i="24"/>
  <c r="BC128" i="24" s="1"/>
  <c r="Y128" i="24"/>
  <c r="AT128" i="24" s="1"/>
  <c r="AI128" i="24"/>
  <c r="BD128" i="24" s="1"/>
  <c r="AK353" i="24"/>
  <c r="BF353" i="24" s="1"/>
  <c r="Z353" i="24"/>
  <c r="AL353" i="24"/>
  <c r="BG353" i="24" s="1"/>
  <c r="AA353" i="24"/>
  <c r="AV353" i="24" s="1"/>
  <c r="AM353" i="24"/>
  <c r="BH353" i="24" s="1"/>
  <c r="AJ353" i="24"/>
  <c r="BE353" i="24" s="1"/>
  <c r="AB353" i="24"/>
  <c r="AW353" i="24" s="1"/>
  <c r="AN353" i="24"/>
  <c r="BI353" i="24" s="1"/>
  <c r="Y353" i="24"/>
  <c r="AT353" i="24" s="1"/>
  <c r="AC353" i="24"/>
  <c r="AX353" i="24" s="1"/>
  <c r="AO353" i="24"/>
  <c r="BJ353" i="24" s="1"/>
  <c r="AD353" i="24"/>
  <c r="AY353" i="24" s="1"/>
  <c r="AP353" i="24"/>
  <c r="BK353" i="24" s="1"/>
  <c r="AE353" i="24"/>
  <c r="AZ353" i="24" s="1"/>
  <c r="AQ353" i="24"/>
  <c r="BL353" i="24" s="1"/>
  <c r="AF353" i="24"/>
  <c r="BA353" i="24" s="1"/>
  <c r="AR353" i="24"/>
  <c r="BM353" i="24" s="1"/>
  <c r="AG353" i="24"/>
  <c r="BB353" i="24" s="1"/>
  <c r="AH353" i="24"/>
  <c r="BC353" i="24" s="1"/>
  <c r="AI353" i="24"/>
  <c r="BD353" i="24" s="1"/>
  <c r="AJ272" i="24"/>
  <c r="BE272" i="24" s="1"/>
  <c r="AK272" i="24"/>
  <c r="BF272" i="24" s="1"/>
  <c r="Z272" i="24"/>
  <c r="AL272" i="24"/>
  <c r="BG272" i="24" s="1"/>
  <c r="AA272" i="24"/>
  <c r="AV272" i="24" s="1"/>
  <c r="AM272" i="24"/>
  <c r="BH272" i="24" s="1"/>
  <c r="AB272" i="24"/>
  <c r="AW272" i="24" s="1"/>
  <c r="AN272" i="24"/>
  <c r="BI272" i="24" s="1"/>
  <c r="AC272" i="24"/>
  <c r="AX272" i="24" s="1"/>
  <c r="AO272" i="24"/>
  <c r="BJ272" i="24" s="1"/>
  <c r="AD272" i="24"/>
  <c r="AY272" i="24" s="1"/>
  <c r="AP272" i="24"/>
  <c r="BK272" i="24" s="1"/>
  <c r="AE272" i="24"/>
  <c r="AZ272" i="24" s="1"/>
  <c r="AQ272" i="24"/>
  <c r="BL272" i="24" s="1"/>
  <c r="AF272" i="24"/>
  <c r="BA272" i="24" s="1"/>
  <c r="AR272" i="24"/>
  <c r="BM272" i="24" s="1"/>
  <c r="AG272" i="24"/>
  <c r="BB272" i="24" s="1"/>
  <c r="AH272" i="24"/>
  <c r="BC272" i="24" s="1"/>
  <c r="Y272" i="24"/>
  <c r="AT272" i="24" s="1"/>
  <c r="AI272" i="24"/>
  <c r="BD272" i="24" s="1"/>
  <c r="AE311" i="24"/>
  <c r="AZ311" i="24" s="1"/>
  <c r="AQ311" i="24"/>
  <c r="BL311" i="24" s="1"/>
  <c r="AF311" i="24"/>
  <c r="BA311" i="24" s="1"/>
  <c r="AR311" i="24"/>
  <c r="BM311" i="24" s="1"/>
  <c r="AP311" i="24"/>
  <c r="BK311" i="24" s="1"/>
  <c r="AG311" i="24"/>
  <c r="BB311" i="24" s="1"/>
  <c r="AH311" i="24"/>
  <c r="BC311" i="24" s="1"/>
  <c r="AD311" i="24"/>
  <c r="AY311" i="24" s="1"/>
  <c r="AI311" i="24"/>
  <c r="BD311" i="24" s="1"/>
  <c r="AJ311" i="24"/>
  <c r="BE311" i="24" s="1"/>
  <c r="AK311" i="24"/>
  <c r="BF311" i="24" s="1"/>
  <c r="Z311" i="24"/>
  <c r="AL311" i="24"/>
  <c r="BG311" i="24" s="1"/>
  <c r="AA311" i="24"/>
  <c r="AV311" i="24" s="1"/>
  <c r="AM311" i="24"/>
  <c r="BH311" i="24" s="1"/>
  <c r="AB311" i="24"/>
  <c r="AW311" i="24" s="1"/>
  <c r="AN311" i="24"/>
  <c r="BI311" i="24" s="1"/>
  <c r="Y311" i="24"/>
  <c r="AT311" i="24" s="1"/>
  <c r="AC311" i="24"/>
  <c r="AX311" i="24" s="1"/>
  <c r="AO311" i="24"/>
  <c r="BJ311" i="24" s="1"/>
  <c r="AA160" i="25"/>
  <c r="AV160" i="25" s="1"/>
  <c r="AM160" i="25"/>
  <c r="BH160" i="25" s="1"/>
  <c r="AB160" i="25"/>
  <c r="AW160" i="25" s="1"/>
  <c r="AN160" i="25"/>
  <c r="BI160" i="25" s="1"/>
  <c r="AC160" i="25"/>
  <c r="AX160" i="25" s="1"/>
  <c r="AO160" i="25"/>
  <c r="BJ160" i="25" s="1"/>
  <c r="AD160" i="25"/>
  <c r="AY160" i="25" s="1"/>
  <c r="AP160" i="25"/>
  <c r="BK160" i="25" s="1"/>
  <c r="AE160" i="25"/>
  <c r="AZ160" i="25" s="1"/>
  <c r="AQ160" i="25"/>
  <c r="BL160" i="25" s="1"/>
  <c r="AF160" i="25"/>
  <c r="BA160" i="25" s="1"/>
  <c r="AR160" i="25"/>
  <c r="BM160" i="25" s="1"/>
  <c r="AG160" i="25"/>
  <c r="BB160" i="25" s="1"/>
  <c r="AH160" i="25"/>
  <c r="BC160" i="25" s="1"/>
  <c r="AI160" i="25"/>
  <c r="BD160" i="25" s="1"/>
  <c r="AJ160" i="25"/>
  <c r="BE160" i="25" s="1"/>
  <c r="Y160" i="25"/>
  <c r="AT160" i="25" s="1"/>
  <c r="AK160" i="25"/>
  <c r="BF160" i="25" s="1"/>
  <c r="Z160" i="25"/>
  <c r="AL160" i="25"/>
  <c r="BG160" i="25" s="1"/>
  <c r="AA232" i="25"/>
  <c r="AV232" i="25" s="1"/>
  <c r="AM232" i="25"/>
  <c r="BH232" i="25" s="1"/>
  <c r="AB232" i="25"/>
  <c r="AW232" i="25" s="1"/>
  <c r="AN232" i="25"/>
  <c r="BI232" i="25" s="1"/>
  <c r="AC232" i="25"/>
  <c r="AX232" i="25" s="1"/>
  <c r="AO232" i="25"/>
  <c r="BJ232" i="25" s="1"/>
  <c r="AD232" i="25"/>
  <c r="AY232" i="25" s="1"/>
  <c r="AP232" i="25"/>
  <c r="BK232" i="25" s="1"/>
  <c r="AE232" i="25"/>
  <c r="AZ232" i="25" s="1"/>
  <c r="AQ232" i="25"/>
  <c r="BL232" i="25" s="1"/>
  <c r="AF232" i="25"/>
  <c r="BA232" i="25" s="1"/>
  <c r="AR232" i="25"/>
  <c r="BM232" i="25" s="1"/>
  <c r="AG232" i="25"/>
  <c r="BB232" i="25" s="1"/>
  <c r="AH232" i="25"/>
  <c r="BC232" i="25" s="1"/>
  <c r="AI232" i="25"/>
  <c r="BD232" i="25" s="1"/>
  <c r="AJ232" i="25"/>
  <c r="BE232" i="25" s="1"/>
  <c r="Y232" i="25"/>
  <c r="AT232" i="25" s="1"/>
  <c r="AK232" i="25"/>
  <c r="BF232" i="25" s="1"/>
  <c r="Z232" i="25"/>
  <c r="AL232" i="25"/>
  <c r="BG232" i="25" s="1"/>
  <c r="Z304" i="25"/>
  <c r="AL304" i="25"/>
  <c r="BG304" i="25" s="1"/>
  <c r="AA304" i="25"/>
  <c r="AV304" i="25" s="1"/>
  <c r="AM304" i="25"/>
  <c r="BH304" i="25" s="1"/>
  <c r="AB304" i="25"/>
  <c r="AW304" i="25" s="1"/>
  <c r="AN304" i="25"/>
  <c r="BI304" i="25" s="1"/>
  <c r="AC304" i="25"/>
  <c r="AX304" i="25" s="1"/>
  <c r="AO304" i="25"/>
  <c r="BJ304" i="25" s="1"/>
  <c r="AD304" i="25"/>
  <c r="AY304" i="25" s="1"/>
  <c r="AP304" i="25"/>
  <c r="BK304" i="25" s="1"/>
  <c r="AE304" i="25"/>
  <c r="AZ304" i="25" s="1"/>
  <c r="AQ304" i="25"/>
  <c r="BL304" i="25" s="1"/>
  <c r="AF304" i="25"/>
  <c r="BA304" i="25" s="1"/>
  <c r="AR304" i="25"/>
  <c r="BM304" i="25" s="1"/>
  <c r="AG304" i="25"/>
  <c r="BB304" i="25" s="1"/>
  <c r="AH304" i="25"/>
  <c r="BC304" i="25" s="1"/>
  <c r="AI304" i="25"/>
  <c r="BD304" i="25" s="1"/>
  <c r="AJ304" i="25"/>
  <c r="BE304" i="25" s="1"/>
  <c r="Y304" i="25"/>
  <c r="AT304" i="25" s="1"/>
  <c r="AK304" i="25"/>
  <c r="BF304" i="25" s="1"/>
  <c r="Z376" i="25"/>
  <c r="AL376" i="25"/>
  <c r="BG376" i="25" s="1"/>
  <c r="AA376" i="25"/>
  <c r="AV376" i="25" s="1"/>
  <c r="AM376" i="25"/>
  <c r="BH376" i="25" s="1"/>
  <c r="AB376" i="25"/>
  <c r="AW376" i="25" s="1"/>
  <c r="AN376" i="25"/>
  <c r="BI376" i="25" s="1"/>
  <c r="AC376" i="25"/>
  <c r="AX376" i="25" s="1"/>
  <c r="AO376" i="25"/>
  <c r="BJ376" i="25" s="1"/>
  <c r="AD376" i="25"/>
  <c r="AY376" i="25" s="1"/>
  <c r="AP376" i="25"/>
  <c r="BK376" i="25" s="1"/>
  <c r="AE376" i="25"/>
  <c r="AZ376" i="25" s="1"/>
  <c r="AQ376" i="25"/>
  <c r="BL376" i="25" s="1"/>
  <c r="AF376" i="25"/>
  <c r="BA376" i="25" s="1"/>
  <c r="AR376" i="25"/>
  <c r="BM376" i="25" s="1"/>
  <c r="AG376" i="25"/>
  <c r="BB376" i="25" s="1"/>
  <c r="AH376" i="25"/>
  <c r="BC376" i="25" s="1"/>
  <c r="AI376" i="25"/>
  <c r="BD376" i="25" s="1"/>
  <c r="AJ376" i="25"/>
  <c r="BE376" i="25" s="1"/>
  <c r="Y376" i="25"/>
  <c r="AT376" i="25" s="1"/>
  <c r="AK376" i="25"/>
  <c r="BF376" i="25" s="1"/>
  <c r="AE173" i="25"/>
  <c r="AZ173" i="25" s="1"/>
  <c r="AQ173" i="25"/>
  <c r="BL173" i="25" s="1"/>
  <c r="AF173" i="25"/>
  <c r="BA173" i="25" s="1"/>
  <c r="AR173" i="25"/>
  <c r="BM173" i="25" s="1"/>
  <c r="AG173" i="25"/>
  <c r="BB173" i="25" s="1"/>
  <c r="AH173" i="25"/>
  <c r="BC173" i="25" s="1"/>
  <c r="AI173" i="25"/>
  <c r="BD173" i="25" s="1"/>
  <c r="AJ173" i="25"/>
  <c r="BE173" i="25" s="1"/>
  <c r="Y173" i="25"/>
  <c r="AT173" i="25" s="1"/>
  <c r="AK173" i="25"/>
  <c r="BF173" i="25" s="1"/>
  <c r="Z173" i="25"/>
  <c r="AL173" i="25"/>
  <c r="BG173" i="25" s="1"/>
  <c r="AA173" i="25"/>
  <c r="AV173" i="25" s="1"/>
  <c r="AM173" i="25"/>
  <c r="BH173" i="25" s="1"/>
  <c r="AB173" i="25"/>
  <c r="AW173" i="25" s="1"/>
  <c r="AN173" i="25"/>
  <c r="BI173" i="25" s="1"/>
  <c r="AC173" i="25"/>
  <c r="AX173" i="25" s="1"/>
  <c r="AO173" i="25"/>
  <c r="BJ173" i="25" s="1"/>
  <c r="AD173" i="25"/>
  <c r="AY173" i="25" s="1"/>
  <c r="AP173" i="25"/>
  <c r="BK173" i="25" s="1"/>
  <c r="AD245" i="25"/>
  <c r="AY245" i="25" s="1"/>
  <c r="AP245" i="25"/>
  <c r="BK245" i="25" s="1"/>
  <c r="AE245" i="25"/>
  <c r="AZ245" i="25" s="1"/>
  <c r="AQ245" i="25"/>
  <c r="BL245" i="25" s="1"/>
  <c r="AF245" i="25"/>
  <c r="BA245" i="25" s="1"/>
  <c r="AR245" i="25"/>
  <c r="BM245" i="25" s="1"/>
  <c r="AG245" i="25"/>
  <c r="BB245" i="25" s="1"/>
  <c r="AH245" i="25"/>
  <c r="BC245" i="25" s="1"/>
  <c r="AI245" i="25"/>
  <c r="BD245" i="25" s="1"/>
  <c r="AJ245" i="25"/>
  <c r="BE245" i="25" s="1"/>
  <c r="Y245" i="25"/>
  <c r="AT245" i="25" s="1"/>
  <c r="AK245" i="25"/>
  <c r="BF245" i="25" s="1"/>
  <c r="Z245" i="25"/>
  <c r="AL245" i="25"/>
  <c r="BG245" i="25" s="1"/>
  <c r="AA245" i="25"/>
  <c r="AV245" i="25" s="1"/>
  <c r="AM245" i="25"/>
  <c r="BH245" i="25" s="1"/>
  <c r="AB245" i="25"/>
  <c r="AW245" i="25" s="1"/>
  <c r="AN245" i="25"/>
  <c r="BI245" i="25" s="1"/>
  <c r="AC245" i="25"/>
  <c r="AX245" i="25" s="1"/>
  <c r="AO245" i="25"/>
  <c r="BJ245" i="25" s="1"/>
  <c r="AD317" i="25"/>
  <c r="AY317" i="25" s="1"/>
  <c r="AP317" i="25"/>
  <c r="BK317" i="25" s="1"/>
  <c r="AE317" i="25"/>
  <c r="AZ317" i="25" s="1"/>
  <c r="AQ317" i="25"/>
  <c r="BL317" i="25" s="1"/>
  <c r="AF317" i="25"/>
  <c r="BA317" i="25" s="1"/>
  <c r="AR317" i="25"/>
  <c r="BM317" i="25" s="1"/>
  <c r="AG317" i="25"/>
  <c r="BB317" i="25" s="1"/>
  <c r="AH317" i="25"/>
  <c r="BC317" i="25" s="1"/>
  <c r="AI317" i="25"/>
  <c r="BD317" i="25" s="1"/>
  <c r="AJ317" i="25"/>
  <c r="BE317" i="25" s="1"/>
  <c r="Y317" i="25"/>
  <c r="AT317" i="25" s="1"/>
  <c r="AK317" i="25"/>
  <c r="BF317" i="25" s="1"/>
  <c r="Z317" i="25"/>
  <c r="AL317" i="25"/>
  <c r="BG317" i="25" s="1"/>
  <c r="AA317" i="25"/>
  <c r="AV317" i="25" s="1"/>
  <c r="AM317" i="25"/>
  <c r="BH317" i="25" s="1"/>
  <c r="AB317" i="25"/>
  <c r="AW317" i="25" s="1"/>
  <c r="AN317" i="25"/>
  <c r="BI317" i="25" s="1"/>
  <c r="AC317" i="25"/>
  <c r="AX317" i="25" s="1"/>
  <c r="AO317" i="25"/>
  <c r="BJ317" i="25" s="1"/>
  <c r="AE116" i="25"/>
  <c r="AZ116" i="25" s="1"/>
  <c r="AQ116" i="25"/>
  <c r="BL116" i="25" s="1"/>
  <c r="AF116" i="25"/>
  <c r="BA116" i="25" s="1"/>
  <c r="AR116" i="25"/>
  <c r="BM116" i="25" s="1"/>
  <c r="AG116" i="25"/>
  <c r="BB116" i="25" s="1"/>
  <c r="AH116" i="25"/>
  <c r="BC116" i="25" s="1"/>
  <c r="AI116" i="25"/>
  <c r="BD116" i="25" s="1"/>
  <c r="AJ116" i="25"/>
  <c r="BE116" i="25" s="1"/>
  <c r="Y116" i="25"/>
  <c r="AT116" i="25" s="1"/>
  <c r="AK116" i="25"/>
  <c r="BF116" i="25" s="1"/>
  <c r="Z116" i="25"/>
  <c r="AL116" i="25"/>
  <c r="BG116" i="25" s="1"/>
  <c r="AA116" i="25"/>
  <c r="AV116" i="25" s="1"/>
  <c r="AM116" i="25"/>
  <c r="BH116" i="25" s="1"/>
  <c r="AB116" i="25"/>
  <c r="AW116" i="25" s="1"/>
  <c r="AN116" i="25"/>
  <c r="BI116" i="25" s="1"/>
  <c r="AC116" i="25"/>
  <c r="AX116" i="25" s="1"/>
  <c r="AO116" i="25"/>
  <c r="BJ116" i="25" s="1"/>
  <c r="AD116" i="25"/>
  <c r="AY116" i="25" s="1"/>
  <c r="AP116" i="25"/>
  <c r="BK116" i="25" s="1"/>
  <c r="AI192" i="25"/>
  <c r="BD192" i="25" s="1"/>
  <c r="AJ192" i="25"/>
  <c r="BE192" i="25" s="1"/>
  <c r="Y192" i="25"/>
  <c r="AT192" i="25" s="1"/>
  <c r="AK192" i="25"/>
  <c r="BF192" i="25" s="1"/>
  <c r="Z192" i="25"/>
  <c r="AL192" i="25"/>
  <c r="BG192" i="25" s="1"/>
  <c r="AA192" i="25"/>
  <c r="AV192" i="25" s="1"/>
  <c r="AM192" i="25"/>
  <c r="BH192" i="25" s="1"/>
  <c r="AB192" i="25"/>
  <c r="AW192" i="25" s="1"/>
  <c r="AN192" i="25"/>
  <c r="BI192" i="25" s="1"/>
  <c r="AC192" i="25"/>
  <c r="AX192" i="25" s="1"/>
  <c r="AO192" i="25"/>
  <c r="BJ192" i="25" s="1"/>
  <c r="AD192" i="25"/>
  <c r="AY192" i="25" s="1"/>
  <c r="AP192" i="25"/>
  <c r="BK192" i="25" s="1"/>
  <c r="AE192" i="25"/>
  <c r="AZ192" i="25" s="1"/>
  <c r="AQ192" i="25"/>
  <c r="BL192" i="25" s="1"/>
  <c r="AF192" i="25"/>
  <c r="BA192" i="25" s="1"/>
  <c r="AR192" i="25"/>
  <c r="BM192" i="25" s="1"/>
  <c r="AG192" i="25"/>
  <c r="BB192" i="25" s="1"/>
  <c r="AH192" i="25"/>
  <c r="BC192" i="25" s="1"/>
  <c r="AH264" i="25"/>
  <c r="BC264" i="25" s="1"/>
  <c r="AI264" i="25"/>
  <c r="BD264" i="25" s="1"/>
  <c r="AJ264" i="25"/>
  <c r="BE264" i="25" s="1"/>
  <c r="Y264" i="25"/>
  <c r="AT264" i="25" s="1"/>
  <c r="AK264" i="25"/>
  <c r="BF264" i="25" s="1"/>
  <c r="Z264" i="25"/>
  <c r="AL264" i="25"/>
  <c r="BG264" i="25" s="1"/>
  <c r="AA264" i="25"/>
  <c r="AV264" i="25" s="1"/>
  <c r="AM264" i="25"/>
  <c r="BH264" i="25" s="1"/>
  <c r="AB264" i="25"/>
  <c r="AW264" i="25" s="1"/>
  <c r="AN264" i="25"/>
  <c r="BI264" i="25" s="1"/>
  <c r="AC264" i="25"/>
  <c r="AX264" i="25" s="1"/>
  <c r="AO264" i="25"/>
  <c r="BJ264" i="25" s="1"/>
  <c r="AD264" i="25"/>
  <c r="AY264" i="25" s="1"/>
  <c r="AP264" i="25"/>
  <c r="BK264" i="25" s="1"/>
  <c r="AE264" i="25"/>
  <c r="AZ264" i="25" s="1"/>
  <c r="AQ264" i="25"/>
  <c r="BL264" i="25" s="1"/>
  <c r="AF264" i="25"/>
  <c r="BA264" i="25" s="1"/>
  <c r="AR264" i="25"/>
  <c r="BM264" i="25" s="1"/>
  <c r="AG264" i="25"/>
  <c r="BB264" i="25" s="1"/>
  <c r="AH336" i="25"/>
  <c r="BC336" i="25" s="1"/>
  <c r="AI336" i="25"/>
  <c r="BD336" i="25" s="1"/>
  <c r="AJ336" i="25"/>
  <c r="BE336" i="25" s="1"/>
  <c r="Y336" i="25"/>
  <c r="AT336" i="25" s="1"/>
  <c r="AK336" i="25"/>
  <c r="BF336" i="25" s="1"/>
  <c r="Z336" i="25"/>
  <c r="AL336" i="25"/>
  <c r="BG336" i="25" s="1"/>
  <c r="AA336" i="25"/>
  <c r="AV336" i="25" s="1"/>
  <c r="AM336" i="25"/>
  <c r="BH336" i="25" s="1"/>
  <c r="AB336" i="25"/>
  <c r="AW336" i="25" s="1"/>
  <c r="AN336" i="25"/>
  <c r="BI336" i="25" s="1"/>
  <c r="AC336" i="25"/>
  <c r="AX336" i="25" s="1"/>
  <c r="AO336" i="25"/>
  <c r="BJ336" i="25" s="1"/>
  <c r="AD336" i="25"/>
  <c r="AY336" i="25" s="1"/>
  <c r="AP336" i="25"/>
  <c r="BK336" i="25" s="1"/>
  <c r="AE336" i="25"/>
  <c r="AZ336" i="25" s="1"/>
  <c r="AQ336" i="25"/>
  <c r="BL336" i="25" s="1"/>
  <c r="AF336" i="25"/>
  <c r="BA336" i="25" s="1"/>
  <c r="AR336" i="25"/>
  <c r="BM336" i="25" s="1"/>
  <c r="AG336" i="25"/>
  <c r="BB336" i="25" s="1"/>
  <c r="AI135" i="25"/>
  <c r="BD135" i="25" s="1"/>
  <c r="AJ135" i="25"/>
  <c r="BE135" i="25" s="1"/>
  <c r="Y135" i="25"/>
  <c r="AT135" i="25" s="1"/>
  <c r="AK135" i="25"/>
  <c r="BF135" i="25" s="1"/>
  <c r="Z135" i="25"/>
  <c r="AL135" i="25"/>
  <c r="BG135" i="25" s="1"/>
  <c r="AA135" i="25"/>
  <c r="AV135" i="25" s="1"/>
  <c r="AM135" i="25"/>
  <c r="BH135" i="25" s="1"/>
  <c r="AB135" i="25"/>
  <c r="AW135" i="25" s="1"/>
  <c r="AN135" i="25"/>
  <c r="BI135" i="25" s="1"/>
  <c r="AC135" i="25"/>
  <c r="AX135" i="25" s="1"/>
  <c r="AO135" i="25"/>
  <c r="BJ135" i="25" s="1"/>
  <c r="AD135" i="25"/>
  <c r="AY135" i="25" s="1"/>
  <c r="AP135" i="25"/>
  <c r="BK135" i="25" s="1"/>
  <c r="AE135" i="25"/>
  <c r="AZ135" i="25" s="1"/>
  <c r="AQ135" i="25"/>
  <c r="BL135" i="25" s="1"/>
  <c r="AF135" i="25"/>
  <c r="BA135" i="25" s="1"/>
  <c r="AR135" i="25"/>
  <c r="BM135" i="25" s="1"/>
  <c r="AG135" i="25"/>
  <c r="BB135" i="25" s="1"/>
  <c r="AH135" i="25"/>
  <c r="BC135" i="25" s="1"/>
  <c r="AA211" i="25"/>
  <c r="AV211" i="25" s="1"/>
  <c r="AM211" i="25"/>
  <c r="BH211" i="25" s="1"/>
  <c r="AB211" i="25"/>
  <c r="AW211" i="25" s="1"/>
  <c r="AN211" i="25"/>
  <c r="BI211" i="25" s="1"/>
  <c r="AC211" i="25"/>
  <c r="AX211" i="25" s="1"/>
  <c r="AO211" i="25"/>
  <c r="BJ211" i="25" s="1"/>
  <c r="AD211" i="25"/>
  <c r="AY211" i="25" s="1"/>
  <c r="AP211" i="25"/>
  <c r="BK211" i="25" s="1"/>
  <c r="AE211" i="25"/>
  <c r="AZ211" i="25" s="1"/>
  <c r="AQ211" i="25"/>
  <c r="BL211" i="25" s="1"/>
  <c r="AF211" i="25"/>
  <c r="BA211" i="25" s="1"/>
  <c r="AR211" i="25"/>
  <c r="BM211" i="25" s="1"/>
  <c r="AG211" i="25"/>
  <c r="BB211" i="25" s="1"/>
  <c r="AH211" i="25"/>
  <c r="BC211" i="25" s="1"/>
  <c r="AI211" i="25"/>
  <c r="BD211" i="25" s="1"/>
  <c r="AJ211" i="25"/>
  <c r="BE211" i="25" s="1"/>
  <c r="Y211" i="25"/>
  <c r="AT211" i="25" s="1"/>
  <c r="AK211" i="25"/>
  <c r="BF211" i="25" s="1"/>
  <c r="Z211" i="25"/>
  <c r="AL211" i="25"/>
  <c r="BG211" i="25" s="1"/>
  <c r="Z283" i="25"/>
  <c r="AL283" i="25"/>
  <c r="BG283" i="25" s="1"/>
  <c r="AA283" i="25"/>
  <c r="AV283" i="25" s="1"/>
  <c r="AM283" i="25"/>
  <c r="BH283" i="25" s="1"/>
  <c r="AB283" i="25"/>
  <c r="AW283" i="25" s="1"/>
  <c r="AN283" i="25"/>
  <c r="BI283" i="25" s="1"/>
  <c r="AC283" i="25"/>
  <c r="AX283" i="25" s="1"/>
  <c r="AO283" i="25"/>
  <c r="BJ283" i="25" s="1"/>
  <c r="AD283" i="25"/>
  <c r="AY283" i="25" s="1"/>
  <c r="AP283" i="25"/>
  <c r="BK283" i="25" s="1"/>
  <c r="AE283" i="25"/>
  <c r="AZ283" i="25" s="1"/>
  <c r="AQ283" i="25"/>
  <c r="BL283" i="25" s="1"/>
  <c r="AF283" i="25"/>
  <c r="BA283" i="25" s="1"/>
  <c r="AR283" i="25"/>
  <c r="BM283" i="25" s="1"/>
  <c r="AG283" i="25"/>
  <c r="BB283" i="25" s="1"/>
  <c r="AH283" i="25"/>
  <c r="BC283" i="25" s="1"/>
  <c r="AI283" i="25"/>
  <c r="BD283" i="25" s="1"/>
  <c r="AJ283" i="25"/>
  <c r="BE283" i="25" s="1"/>
  <c r="Y283" i="25"/>
  <c r="AT283" i="25" s="1"/>
  <c r="AK283" i="25"/>
  <c r="BF283" i="25" s="1"/>
  <c r="Z355" i="25"/>
  <c r="AL355" i="25"/>
  <c r="BG355" i="25" s="1"/>
  <c r="AA355" i="25"/>
  <c r="AV355" i="25" s="1"/>
  <c r="AM355" i="25"/>
  <c r="BH355" i="25" s="1"/>
  <c r="AB355" i="25"/>
  <c r="AW355" i="25" s="1"/>
  <c r="AN355" i="25"/>
  <c r="BI355" i="25" s="1"/>
  <c r="AC355" i="25"/>
  <c r="AX355" i="25" s="1"/>
  <c r="AO355" i="25"/>
  <c r="BJ355" i="25" s="1"/>
  <c r="AD355" i="25"/>
  <c r="AY355" i="25" s="1"/>
  <c r="AP355" i="25"/>
  <c r="BK355" i="25" s="1"/>
  <c r="AE355" i="25"/>
  <c r="AZ355" i="25" s="1"/>
  <c r="AQ355" i="25"/>
  <c r="BL355" i="25" s="1"/>
  <c r="AF355" i="25"/>
  <c r="BA355" i="25" s="1"/>
  <c r="AR355" i="25"/>
  <c r="BM355" i="25" s="1"/>
  <c r="AG355" i="25"/>
  <c r="BB355" i="25" s="1"/>
  <c r="AH355" i="25"/>
  <c r="BC355" i="25" s="1"/>
  <c r="AI355" i="25"/>
  <c r="BD355" i="25" s="1"/>
  <c r="AJ355" i="25"/>
  <c r="BE355" i="25" s="1"/>
  <c r="Y355" i="25"/>
  <c r="AT355" i="25" s="1"/>
  <c r="AK355" i="25"/>
  <c r="BF355" i="25" s="1"/>
  <c r="AE152" i="25"/>
  <c r="AZ152" i="25" s="1"/>
  <c r="AQ152" i="25"/>
  <c r="BL152" i="25" s="1"/>
  <c r="AF152" i="25"/>
  <c r="BA152" i="25" s="1"/>
  <c r="AR152" i="25"/>
  <c r="BM152" i="25" s="1"/>
  <c r="AG152" i="25"/>
  <c r="BB152" i="25" s="1"/>
  <c r="AH152" i="25"/>
  <c r="BC152" i="25" s="1"/>
  <c r="AI152" i="25"/>
  <c r="BD152" i="25" s="1"/>
  <c r="AJ152" i="25"/>
  <c r="BE152" i="25" s="1"/>
  <c r="Y152" i="25"/>
  <c r="AT152" i="25" s="1"/>
  <c r="AK152" i="25"/>
  <c r="BF152" i="25" s="1"/>
  <c r="Z152" i="25"/>
  <c r="AL152" i="25"/>
  <c r="BG152" i="25" s="1"/>
  <c r="AA152" i="25"/>
  <c r="AV152" i="25" s="1"/>
  <c r="AM152" i="25"/>
  <c r="BH152" i="25" s="1"/>
  <c r="AB152" i="25"/>
  <c r="AW152" i="25" s="1"/>
  <c r="AN152" i="25"/>
  <c r="BI152" i="25" s="1"/>
  <c r="AC152" i="25"/>
  <c r="AX152" i="25" s="1"/>
  <c r="AO152" i="25"/>
  <c r="BJ152" i="25" s="1"/>
  <c r="AD152" i="25"/>
  <c r="AY152" i="25" s="1"/>
  <c r="AP152" i="25"/>
  <c r="BK152" i="25" s="1"/>
  <c r="AE224" i="25"/>
  <c r="AZ224" i="25" s="1"/>
  <c r="AQ224" i="25"/>
  <c r="BL224" i="25" s="1"/>
  <c r="AF224" i="25"/>
  <c r="BA224" i="25" s="1"/>
  <c r="AR224" i="25"/>
  <c r="BM224" i="25" s="1"/>
  <c r="AG224" i="25"/>
  <c r="BB224" i="25" s="1"/>
  <c r="AH224" i="25"/>
  <c r="BC224" i="25" s="1"/>
  <c r="AI224" i="25"/>
  <c r="BD224" i="25" s="1"/>
  <c r="AJ224" i="25"/>
  <c r="BE224" i="25" s="1"/>
  <c r="Y224" i="25"/>
  <c r="AT224" i="25" s="1"/>
  <c r="AK224" i="25"/>
  <c r="BF224" i="25" s="1"/>
  <c r="Z224" i="25"/>
  <c r="AL224" i="25"/>
  <c r="BG224" i="25" s="1"/>
  <c r="AA224" i="25"/>
  <c r="AV224" i="25" s="1"/>
  <c r="AM224" i="25"/>
  <c r="BH224" i="25" s="1"/>
  <c r="AB224" i="25"/>
  <c r="AW224" i="25" s="1"/>
  <c r="AN224" i="25"/>
  <c r="BI224" i="25" s="1"/>
  <c r="AC224" i="25"/>
  <c r="AX224" i="25" s="1"/>
  <c r="AO224" i="25"/>
  <c r="BJ224" i="25" s="1"/>
  <c r="AD224" i="25"/>
  <c r="AY224" i="25" s="1"/>
  <c r="AP224" i="25"/>
  <c r="BK224" i="25" s="1"/>
  <c r="AD296" i="25"/>
  <c r="AY296" i="25" s="1"/>
  <c r="AP296" i="25"/>
  <c r="BK296" i="25" s="1"/>
  <c r="AE296" i="25"/>
  <c r="AZ296" i="25" s="1"/>
  <c r="AQ296" i="25"/>
  <c r="BL296" i="25" s="1"/>
  <c r="AF296" i="25"/>
  <c r="BA296" i="25" s="1"/>
  <c r="AR296" i="25"/>
  <c r="BM296" i="25" s="1"/>
  <c r="AG296" i="25"/>
  <c r="BB296" i="25" s="1"/>
  <c r="AH296" i="25"/>
  <c r="BC296" i="25" s="1"/>
  <c r="AI296" i="25"/>
  <c r="BD296" i="25" s="1"/>
  <c r="AJ296" i="25"/>
  <c r="BE296" i="25" s="1"/>
  <c r="Y296" i="25"/>
  <c r="AT296" i="25" s="1"/>
  <c r="AK296" i="25"/>
  <c r="BF296" i="25" s="1"/>
  <c r="Z296" i="25"/>
  <c r="AL296" i="25"/>
  <c r="BG296" i="25" s="1"/>
  <c r="AA296" i="25"/>
  <c r="AV296" i="25" s="1"/>
  <c r="AM296" i="25"/>
  <c r="BH296" i="25" s="1"/>
  <c r="AB296" i="25"/>
  <c r="AW296" i="25" s="1"/>
  <c r="AN296" i="25"/>
  <c r="BI296" i="25" s="1"/>
  <c r="AC296" i="25"/>
  <c r="AX296" i="25" s="1"/>
  <c r="AO296" i="25"/>
  <c r="BJ296" i="25" s="1"/>
  <c r="AD368" i="25"/>
  <c r="AP368" i="25"/>
  <c r="AE368" i="25"/>
  <c r="AQ368" i="25"/>
  <c r="AF368" i="25"/>
  <c r="AR368" i="25"/>
  <c r="AG368" i="25"/>
  <c r="AH368" i="25"/>
  <c r="AI368" i="25"/>
  <c r="AJ368" i="25"/>
  <c r="Y368" i="25"/>
  <c r="AT368" i="25" s="1"/>
  <c r="AK368" i="25"/>
  <c r="Z368" i="25"/>
  <c r="AL368" i="25"/>
  <c r="AA368" i="25"/>
  <c r="AM368" i="25"/>
  <c r="AB368" i="25"/>
  <c r="AN368" i="25"/>
  <c r="AC368" i="25"/>
  <c r="AO368" i="25"/>
  <c r="AI159" i="25"/>
  <c r="AJ159" i="25"/>
  <c r="Y159" i="25"/>
  <c r="AT159" i="25" s="1"/>
  <c r="AK159" i="25"/>
  <c r="Z159" i="25"/>
  <c r="AL159" i="25"/>
  <c r="AA159" i="25"/>
  <c r="AM159" i="25"/>
  <c r="AB159" i="25"/>
  <c r="AN159" i="25"/>
  <c r="AC159" i="25"/>
  <c r="AO159" i="25"/>
  <c r="AD159" i="25"/>
  <c r="AP159" i="25"/>
  <c r="AE159" i="25"/>
  <c r="AQ159" i="25"/>
  <c r="AF159" i="25"/>
  <c r="AR159" i="25"/>
  <c r="AG159" i="25"/>
  <c r="AH159" i="25"/>
  <c r="AH249" i="25"/>
  <c r="BC249" i="25" s="1"/>
  <c r="AI249" i="25"/>
  <c r="BD249" i="25" s="1"/>
  <c r="AJ249" i="25"/>
  <c r="BE249" i="25" s="1"/>
  <c r="Y249" i="25"/>
  <c r="AT249" i="25" s="1"/>
  <c r="AK249" i="25"/>
  <c r="BF249" i="25" s="1"/>
  <c r="Z249" i="25"/>
  <c r="AL249" i="25"/>
  <c r="BG249" i="25" s="1"/>
  <c r="AA249" i="25"/>
  <c r="AV249" i="25" s="1"/>
  <c r="AM249" i="25"/>
  <c r="BH249" i="25" s="1"/>
  <c r="AB249" i="25"/>
  <c r="AW249" i="25" s="1"/>
  <c r="AN249" i="25"/>
  <c r="BI249" i="25" s="1"/>
  <c r="AC249" i="25"/>
  <c r="AX249" i="25" s="1"/>
  <c r="AO249" i="25"/>
  <c r="BJ249" i="25" s="1"/>
  <c r="AD249" i="25"/>
  <c r="AY249" i="25" s="1"/>
  <c r="AP249" i="25"/>
  <c r="BK249" i="25" s="1"/>
  <c r="AE249" i="25"/>
  <c r="AZ249" i="25" s="1"/>
  <c r="AQ249" i="25"/>
  <c r="BL249" i="25" s="1"/>
  <c r="AF249" i="25"/>
  <c r="BA249" i="25" s="1"/>
  <c r="AR249" i="25"/>
  <c r="BM249" i="25" s="1"/>
  <c r="AG249" i="25"/>
  <c r="BB249" i="25" s="1"/>
  <c r="AH321" i="25"/>
  <c r="BC321" i="25" s="1"/>
  <c r="AI321" i="25"/>
  <c r="BD321" i="25" s="1"/>
  <c r="AJ321" i="25"/>
  <c r="BE321" i="25" s="1"/>
  <c r="Y321" i="25"/>
  <c r="AT321" i="25" s="1"/>
  <c r="AK321" i="25"/>
  <c r="BF321" i="25" s="1"/>
  <c r="Z321" i="25"/>
  <c r="AL321" i="25"/>
  <c r="BG321" i="25" s="1"/>
  <c r="AA321" i="25"/>
  <c r="AV321" i="25" s="1"/>
  <c r="AM321" i="25"/>
  <c r="BH321" i="25" s="1"/>
  <c r="AB321" i="25"/>
  <c r="AW321" i="25" s="1"/>
  <c r="AN321" i="25"/>
  <c r="BI321" i="25" s="1"/>
  <c r="AC321" i="25"/>
  <c r="AX321" i="25" s="1"/>
  <c r="AO321" i="25"/>
  <c r="BJ321" i="25" s="1"/>
  <c r="AD321" i="25"/>
  <c r="AY321" i="25" s="1"/>
  <c r="AP321" i="25"/>
  <c r="BK321" i="25" s="1"/>
  <c r="AE321" i="25"/>
  <c r="AZ321" i="25" s="1"/>
  <c r="AQ321" i="25"/>
  <c r="BL321" i="25" s="1"/>
  <c r="AF321" i="25"/>
  <c r="BA321" i="25" s="1"/>
  <c r="AR321" i="25"/>
  <c r="BM321" i="25" s="1"/>
  <c r="AG321" i="25"/>
  <c r="BB321" i="25" s="1"/>
  <c r="AC209" i="26"/>
  <c r="AX209" i="26" s="1"/>
  <c r="AO209" i="26"/>
  <c r="BJ209" i="26" s="1"/>
  <c r="AD209" i="26"/>
  <c r="AY209" i="26" s="1"/>
  <c r="AP209" i="26"/>
  <c r="BK209" i="26" s="1"/>
  <c r="AE209" i="26"/>
  <c r="AZ209" i="26" s="1"/>
  <c r="AQ209" i="26"/>
  <c r="BL209" i="26" s="1"/>
  <c r="AF209" i="26"/>
  <c r="BA209" i="26" s="1"/>
  <c r="AR209" i="26"/>
  <c r="BM209" i="26" s="1"/>
  <c r="AG209" i="26"/>
  <c r="BB209" i="26" s="1"/>
  <c r="AH209" i="26"/>
  <c r="BC209" i="26" s="1"/>
  <c r="AI209" i="26"/>
  <c r="BD209" i="26" s="1"/>
  <c r="AJ209" i="26"/>
  <c r="BE209" i="26" s="1"/>
  <c r="Y209" i="26"/>
  <c r="AT209" i="26" s="1"/>
  <c r="AK209" i="26"/>
  <c r="BF209" i="26" s="1"/>
  <c r="Z209" i="26"/>
  <c r="AL209" i="26"/>
  <c r="BG209" i="26" s="1"/>
  <c r="AA209" i="26"/>
  <c r="AV209" i="26" s="1"/>
  <c r="AM209" i="26"/>
  <c r="BH209" i="26" s="1"/>
  <c r="AN209" i="26"/>
  <c r="BI209" i="26" s="1"/>
  <c r="AB209" i="26"/>
  <c r="AW209" i="26" s="1"/>
  <c r="AC281" i="26"/>
  <c r="AX281" i="26" s="1"/>
  <c r="AO281" i="26"/>
  <c r="BJ281" i="26" s="1"/>
  <c r="AD281" i="26"/>
  <c r="AY281" i="26" s="1"/>
  <c r="AP281" i="26"/>
  <c r="BK281" i="26" s="1"/>
  <c r="AE281" i="26"/>
  <c r="AZ281" i="26" s="1"/>
  <c r="AQ281" i="26"/>
  <c r="BL281" i="26" s="1"/>
  <c r="AF281" i="26"/>
  <c r="BA281" i="26" s="1"/>
  <c r="AR281" i="26"/>
  <c r="BM281" i="26" s="1"/>
  <c r="AG281" i="26"/>
  <c r="BB281" i="26" s="1"/>
  <c r="AH281" i="26"/>
  <c r="BC281" i="26" s="1"/>
  <c r="AI281" i="26"/>
  <c r="BD281" i="26" s="1"/>
  <c r="AJ281" i="26"/>
  <c r="BE281" i="26" s="1"/>
  <c r="Y281" i="26"/>
  <c r="AT281" i="26" s="1"/>
  <c r="AK281" i="26"/>
  <c r="BF281" i="26" s="1"/>
  <c r="Z281" i="26"/>
  <c r="AL281" i="26"/>
  <c r="BG281" i="26" s="1"/>
  <c r="AA281" i="26"/>
  <c r="AV281" i="26" s="1"/>
  <c r="AM281" i="26"/>
  <c r="BH281" i="26" s="1"/>
  <c r="AN281" i="26"/>
  <c r="BI281" i="26" s="1"/>
  <c r="AB281" i="26"/>
  <c r="AW281" i="26" s="1"/>
  <c r="AD353" i="26"/>
  <c r="AY353" i="26" s="1"/>
  <c r="AP353" i="26"/>
  <c r="BK353" i="26" s="1"/>
  <c r="AE353" i="26"/>
  <c r="AZ353" i="26" s="1"/>
  <c r="AQ353" i="26"/>
  <c r="BL353" i="26" s="1"/>
  <c r="AF353" i="26"/>
  <c r="BA353" i="26" s="1"/>
  <c r="AR353" i="26"/>
  <c r="BM353" i="26" s="1"/>
  <c r="AG353" i="26"/>
  <c r="BB353" i="26" s="1"/>
  <c r="AH353" i="26"/>
  <c r="BC353" i="26" s="1"/>
  <c r="AI353" i="26"/>
  <c r="BD353" i="26" s="1"/>
  <c r="AJ353" i="26"/>
  <c r="BE353" i="26" s="1"/>
  <c r="Y353" i="26"/>
  <c r="AT353" i="26" s="1"/>
  <c r="AK353" i="26"/>
  <c r="BF353" i="26" s="1"/>
  <c r="Z353" i="26"/>
  <c r="AL353" i="26"/>
  <c r="BG353" i="26" s="1"/>
  <c r="AA353" i="26"/>
  <c r="AV353" i="26" s="1"/>
  <c r="AM353" i="26"/>
  <c r="BH353" i="26" s="1"/>
  <c r="AB353" i="26"/>
  <c r="AW353" i="26" s="1"/>
  <c r="AN353" i="26"/>
  <c r="BI353" i="26" s="1"/>
  <c r="AO353" i="26"/>
  <c r="BJ353" i="26" s="1"/>
  <c r="AC353" i="26"/>
  <c r="AX353" i="26" s="1"/>
  <c r="AG174" i="26"/>
  <c r="BB174" i="26" s="1"/>
  <c r="AH174" i="26"/>
  <c r="BC174" i="26" s="1"/>
  <c r="AI174" i="26"/>
  <c r="BD174" i="26" s="1"/>
  <c r="AJ174" i="26"/>
  <c r="BE174" i="26" s="1"/>
  <c r="Y174" i="26"/>
  <c r="AT174" i="26" s="1"/>
  <c r="AK174" i="26"/>
  <c r="BF174" i="26" s="1"/>
  <c r="Z174" i="26"/>
  <c r="AL174" i="26"/>
  <c r="BG174" i="26" s="1"/>
  <c r="AA174" i="26"/>
  <c r="AV174" i="26" s="1"/>
  <c r="AM174" i="26"/>
  <c r="BH174" i="26" s="1"/>
  <c r="AB174" i="26"/>
  <c r="AW174" i="26" s="1"/>
  <c r="AN174" i="26"/>
  <c r="BI174" i="26" s="1"/>
  <c r="AC174" i="26"/>
  <c r="AX174" i="26" s="1"/>
  <c r="AO174" i="26"/>
  <c r="BJ174" i="26" s="1"/>
  <c r="AD174" i="26"/>
  <c r="AY174" i="26" s="1"/>
  <c r="AP174" i="26"/>
  <c r="BK174" i="26" s="1"/>
  <c r="AE174" i="26"/>
  <c r="AZ174" i="26" s="1"/>
  <c r="AQ174" i="26"/>
  <c r="BL174" i="26" s="1"/>
  <c r="AF174" i="26"/>
  <c r="BA174" i="26" s="1"/>
  <c r="AR174" i="26"/>
  <c r="BM174" i="26" s="1"/>
  <c r="AG246" i="26"/>
  <c r="BB246" i="26" s="1"/>
  <c r="AH246" i="26"/>
  <c r="BC246" i="26" s="1"/>
  <c r="AI246" i="26"/>
  <c r="BD246" i="26" s="1"/>
  <c r="AJ246" i="26"/>
  <c r="BE246" i="26" s="1"/>
  <c r="Y246" i="26"/>
  <c r="AT246" i="26" s="1"/>
  <c r="AK246" i="26"/>
  <c r="BF246" i="26" s="1"/>
  <c r="Z246" i="26"/>
  <c r="AL246" i="26"/>
  <c r="BG246" i="26" s="1"/>
  <c r="AA246" i="26"/>
  <c r="AV246" i="26" s="1"/>
  <c r="AM246" i="26"/>
  <c r="BH246" i="26" s="1"/>
  <c r="AB246" i="26"/>
  <c r="AW246" i="26" s="1"/>
  <c r="AN246" i="26"/>
  <c r="BI246" i="26" s="1"/>
  <c r="AC246" i="26"/>
  <c r="AX246" i="26" s="1"/>
  <c r="AO246" i="26"/>
  <c r="BJ246" i="26" s="1"/>
  <c r="AD246" i="26"/>
  <c r="AY246" i="26" s="1"/>
  <c r="AP246" i="26"/>
  <c r="BK246" i="26" s="1"/>
  <c r="AE246" i="26"/>
  <c r="AZ246" i="26" s="1"/>
  <c r="AQ246" i="26"/>
  <c r="BL246" i="26" s="1"/>
  <c r="AF246" i="26"/>
  <c r="BA246" i="26" s="1"/>
  <c r="AR246" i="26"/>
  <c r="BM246" i="26" s="1"/>
  <c r="AG318" i="26"/>
  <c r="BB318" i="26" s="1"/>
  <c r="AH318" i="26"/>
  <c r="BC318" i="26" s="1"/>
  <c r="AI318" i="26"/>
  <c r="BD318" i="26" s="1"/>
  <c r="AJ318" i="26"/>
  <c r="BE318" i="26" s="1"/>
  <c r="Y318" i="26"/>
  <c r="AT318" i="26" s="1"/>
  <c r="AK318" i="26"/>
  <c r="BF318" i="26" s="1"/>
  <c r="Z318" i="26"/>
  <c r="AL318" i="26"/>
  <c r="BG318" i="26" s="1"/>
  <c r="AA318" i="26"/>
  <c r="AV318" i="26" s="1"/>
  <c r="AM318" i="26"/>
  <c r="BH318" i="26" s="1"/>
  <c r="AB318" i="26"/>
  <c r="AW318" i="26" s="1"/>
  <c r="AN318" i="26"/>
  <c r="BI318" i="26" s="1"/>
  <c r="AC318" i="26"/>
  <c r="AX318" i="26" s="1"/>
  <c r="AO318" i="26"/>
  <c r="BJ318" i="26" s="1"/>
  <c r="AD318" i="26"/>
  <c r="AY318" i="26" s="1"/>
  <c r="AP318" i="26"/>
  <c r="BK318" i="26" s="1"/>
  <c r="AE318" i="26"/>
  <c r="AZ318" i="26" s="1"/>
  <c r="AQ318" i="26"/>
  <c r="BL318" i="26" s="1"/>
  <c r="AF318" i="26"/>
  <c r="BA318" i="26" s="1"/>
  <c r="AR318" i="26"/>
  <c r="BM318" i="26" s="1"/>
  <c r="Y211" i="26"/>
  <c r="AT211" i="26" s="1"/>
  <c r="AK211" i="26"/>
  <c r="BF211" i="26" s="1"/>
  <c r="Z211" i="26"/>
  <c r="AL211" i="26"/>
  <c r="BG211" i="26" s="1"/>
  <c r="AA211" i="26"/>
  <c r="AV211" i="26" s="1"/>
  <c r="AM211" i="26"/>
  <c r="BH211" i="26" s="1"/>
  <c r="AB211" i="26"/>
  <c r="AW211" i="26" s="1"/>
  <c r="AN211" i="26"/>
  <c r="BI211" i="26" s="1"/>
  <c r="AC211" i="26"/>
  <c r="AX211" i="26" s="1"/>
  <c r="AO211" i="26"/>
  <c r="BJ211" i="26" s="1"/>
  <c r="AD211" i="26"/>
  <c r="AY211" i="26" s="1"/>
  <c r="AP211" i="26"/>
  <c r="BK211" i="26" s="1"/>
  <c r="AE211" i="26"/>
  <c r="AZ211" i="26" s="1"/>
  <c r="AQ211" i="26"/>
  <c r="BL211" i="26" s="1"/>
  <c r="AF211" i="26"/>
  <c r="BA211" i="26" s="1"/>
  <c r="AR211" i="26"/>
  <c r="BM211" i="26" s="1"/>
  <c r="AG211" i="26"/>
  <c r="BB211" i="26" s="1"/>
  <c r="AH211" i="26"/>
  <c r="BC211" i="26" s="1"/>
  <c r="AI211" i="26"/>
  <c r="BD211" i="26" s="1"/>
  <c r="AJ211" i="26"/>
  <c r="BE211" i="26" s="1"/>
  <c r="Y283" i="26"/>
  <c r="AT283" i="26" s="1"/>
  <c r="AK283" i="26"/>
  <c r="BF283" i="26" s="1"/>
  <c r="Z283" i="26"/>
  <c r="AL283" i="26"/>
  <c r="BG283" i="26" s="1"/>
  <c r="AA283" i="26"/>
  <c r="AV283" i="26" s="1"/>
  <c r="AM283" i="26"/>
  <c r="BH283" i="26" s="1"/>
  <c r="AB283" i="26"/>
  <c r="AW283" i="26" s="1"/>
  <c r="AN283" i="26"/>
  <c r="BI283" i="26" s="1"/>
  <c r="AC283" i="26"/>
  <c r="AX283" i="26" s="1"/>
  <c r="AO283" i="26"/>
  <c r="BJ283" i="26" s="1"/>
  <c r="AD283" i="26"/>
  <c r="AY283" i="26" s="1"/>
  <c r="AP283" i="26"/>
  <c r="BK283" i="26" s="1"/>
  <c r="AE283" i="26"/>
  <c r="AZ283" i="26" s="1"/>
  <c r="AQ283" i="26"/>
  <c r="BL283" i="26" s="1"/>
  <c r="AF283" i="26"/>
  <c r="BA283" i="26" s="1"/>
  <c r="AR283" i="26"/>
  <c r="BM283" i="26" s="1"/>
  <c r="AG283" i="26"/>
  <c r="BB283" i="26" s="1"/>
  <c r="AH283" i="26"/>
  <c r="BC283" i="26" s="1"/>
  <c r="AI283" i="26"/>
  <c r="BD283" i="26" s="1"/>
  <c r="AJ283" i="26"/>
  <c r="BE283" i="26" s="1"/>
  <c r="Z355" i="26"/>
  <c r="AL355" i="26"/>
  <c r="BG355" i="26" s="1"/>
  <c r="AA355" i="26"/>
  <c r="AV355" i="26" s="1"/>
  <c r="AM355" i="26"/>
  <c r="BH355" i="26" s="1"/>
  <c r="AB355" i="26"/>
  <c r="AW355" i="26" s="1"/>
  <c r="AN355" i="26"/>
  <c r="BI355" i="26" s="1"/>
  <c r="AC355" i="26"/>
  <c r="AX355" i="26" s="1"/>
  <c r="AO355" i="26"/>
  <c r="BJ355" i="26" s="1"/>
  <c r="AD355" i="26"/>
  <c r="AY355" i="26" s="1"/>
  <c r="AP355" i="26"/>
  <c r="BK355" i="26" s="1"/>
  <c r="AE355" i="26"/>
  <c r="AZ355" i="26" s="1"/>
  <c r="AQ355" i="26"/>
  <c r="BL355" i="26" s="1"/>
  <c r="AF355" i="26"/>
  <c r="BA355" i="26" s="1"/>
  <c r="AR355" i="26"/>
  <c r="BM355" i="26" s="1"/>
  <c r="AG355" i="26"/>
  <c r="BB355" i="26" s="1"/>
  <c r="AH355" i="26"/>
  <c r="BC355" i="26" s="1"/>
  <c r="AI355" i="26"/>
  <c r="BD355" i="26" s="1"/>
  <c r="AJ355" i="26"/>
  <c r="BE355" i="26" s="1"/>
  <c r="Y355" i="26"/>
  <c r="AT355" i="26" s="1"/>
  <c r="AK355" i="26"/>
  <c r="BF355" i="26" s="1"/>
  <c r="AC182" i="26"/>
  <c r="AX182" i="26" s="1"/>
  <c r="AO182" i="26"/>
  <c r="BJ182" i="26" s="1"/>
  <c r="AD182" i="26"/>
  <c r="AY182" i="26" s="1"/>
  <c r="AP182" i="26"/>
  <c r="BK182" i="26" s="1"/>
  <c r="AE182" i="26"/>
  <c r="AZ182" i="26" s="1"/>
  <c r="AQ182" i="26"/>
  <c r="BL182" i="26" s="1"/>
  <c r="AF182" i="26"/>
  <c r="BA182" i="26" s="1"/>
  <c r="AR182" i="26"/>
  <c r="BM182" i="26" s="1"/>
  <c r="AG182" i="26"/>
  <c r="BB182" i="26" s="1"/>
  <c r="AH182" i="26"/>
  <c r="BC182" i="26" s="1"/>
  <c r="AI182" i="26"/>
  <c r="BD182" i="26" s="1"/>
  <c r="AJ182" i="26"/>
  <c r="BE182" i="26" s="1"/>
  <c r="Y182" i="26"/>
  <c r="AT182" i="26" s="1"/>
  <c r="AK182" i="26"/>
  <c r="BF182" i="26" s="1"/>
  <c r="Z182" i="26"/>
  <c r="AL182" i="26"/>
  <c r="BG182" i="26" s="1"/>
  <c r="AA182" i="26"/>
  <c r="AV182" i="26" s="1"/>
  <c r="AM182" i="26"/>
  <c r="BH182" i="26" s="1"/>
  <c r="AB182" i="26"/>
  <c r="AW182" i="26" s="1"/>
  <c r="AN182" i="26"/>
  <c r="BI182" i="26" s="1"/>
  <c r="AC254" i="26"/>
  <c r="AX254" i="26" s="1"/>
  <c r="AO254" i="26"/>
  <c r="BJ254" i="26" s="1"/>
  <c r="AD254" i="26"/>
  <c r="AY254" i="26" s="1"/>
  <c r="AP254" i="26"/>
  <c r="BK254" i="26" s="1"/>
  <c r="AE254" i="26"/>
  <c r="AZ254" i="26" s="1"/>
  <c r="AQ254" i="26"/>
  <c r="BL254" i="26" s="1"/>
  <c r="AF254" i="26"/>
  <c r="BA254" i="26" s="1"/>
  <c r="AR254" i="26"/>
  <c r="BM254" i="26" s="1"/>
  <c r="AG254" i="26"/>
  <c r="BB254" i="26" s="1"/>
  <c r="AH254" i="26"/>
  <c r="BC254" i="26" s="1"/>
  <c r="AI254" i="26"/>
  <c r="BD254" i="26" s="1"/>
  <c r="AJ254" i="26"/>
  <c r="BE254" i="26" s="1"/>
  <c r="Y254" i="26"/>
  <c r="AT254" i="26" s="1"/>
  <c r="AK254" i="26"/>
  <c r="BF254" i="26" s="1"/>
  <c r="Z254" i="26"/>
  <c r="AL254" i="26"/>
  <c r="BG254" i="26" s="1"/>
  <c r="AA254" i="26"/>
  <c r="AV254" i="26" s="1"/>
  <c r="AM254" i="26"/>
  <c r="BH254" i="26" s="1"/>
  <c r="AB254" i="26"/>
  <c r="AW254" i="26" s="1"/>
  <c r="AN254" i="26"/>
  <c r="BI254" i="26" s="1"/>
  <c r="AD326" i="26"/>
  <c r="AY326" i="26" s="1"/>
  <c r="AP326" i="26"/>
  <c r="BK326" i="26" s="1"/>
  <c r="AE326" i="26"/>
  <c r="AZ326" i="26" s="1"/>
  <c r="AQ326" i="26"/>
  <c r="BL326" i="26" s="1"/>
  <c r="AF326" i="26"/>
  <c r="BA326" i="26" s="1"/>
  <c r="AR326" i="26"/>
  <c r="BM326" i="26" s="1"/>
  <c r="AG326" i="26"/>
  <c r="BB326" i="26" s="1"/>
  <c r="AH326" i="26"/>
  <c r="BC326" i="26" s="1"/>
  <c r="AI326" i="26"/>
  <c r="BD326" i="26" s="1"/>
  <c r="AJ326" i="26"/>
  <c r="BE326" i="26" s="1"/>
  <c r="Y326" i="26"/>
  <c r="AT326" i="26" s="1"/>
  <c r="AK326" i="26"/>
  <c r="BF326" i="26" s="1"/>
  <c r="Z326" i="26"/>
  <c r="AL326" i="26"/>
  <c r="BG326" i="26" s="1"/>
  <c r="AA326" i="26"/>
  <c r="AV326" i="26" s="1"/>
  <c r="AM326" i="26"/>
  <c r="BH326" i="26" s="1"/>
  <c r="AB326" i="26"/>
  <c r="AW326" i="26" s="1"/>
  <c r="AN326" i="26"/>
  <c r="BI326" i="26" s="1"/>
  <c r="AC326" i="26"/>
  <c r="AX326" i="26" s="1"/>
  <c r="AO326" i="26"/>
  <c r="BJ326" i="26" s="1"/>
  <c r="AG225" i="26"/>
  <c r="AH225" i="26"/>
  <c r="AI225" i="26"/>
  <c r="AJ225" i="26"/>
  <c r="Y225" i="26"/>
  <c r="AT225" i="26" s="1"/>
  <c r="AK225" i="26"/>
  <c r="Z225" i="26"/>
  <c r="AL225" i="26"/>
  <c r="AA225" i="26"/>
  <c r="AM225" i="26"/>
  <c r="AB225" i="26"/>
  <c r="AN225" i="26"/>
  <c r="AC225" i="26"/>
  <c r="AO225" i="26"/>
  <c r="AD225" i="26"/>
  <c r="AP225" i="26"/>
  <c r="AE225" i="26"/>
  <c r="AQ225" i="26"/>
  <c r="AF225" i="26"/>
  <c r="AR225" i="26"/>
  <c r="AG297" i="26"/>
  <c r="BB297" i="26" s="1"/>
  <c r="AH297" i="26"/>
  <c r="BC297" i="26" s="1"/>
  <c r="AI297" i="26"/>
  <c r="BD297" i="26" s="1"/>
  <c r="AJ297" i="26"/>
  <c r="BE297" i="26" s="1"/>
  <c r="Y297" i="26"/>
  <c r="AT297" i="26" s="1"/>
  <c r="AK297" i="26"/>
  <c r="BF297" i="26" s="1"/>
  <c r="Z297" i="26"/>
  <c r="AL297" i="26"/>
  <c r="BG297" i="26" s="1"/>
  <c r="AA297" i="26"/>
  <c r="AV297" i="26" s="1"/>
  <c r="AM297" i="26"/>
  <c r="BH297" i="26" s="1"/>
  <c r="AB297" i="26"/>
  <c r="AW297" i="26" s="1"/>
  <c r="AN297" i="26"/>
  <c r="BI297" i="26" s="1"/>
  <c r="AC297" i="26"/>
  <c r="AX297" i="26" s="1"/>
  <c r="AO297" i="26"/>
  <c r="BJ297" i="26" s="1"/>
  <c r="AD297" i="26"/>
  <c r="AY297" i="26" s="1"/>
  <c r="AP297" i="26"/>
  <c r="BK297" i="26" s="1"/>
  <c r="AE297" i="26"/>
  <c r="AZ297" i="26" s="1"/>
  <c r="AQ297" i="26"/>
  <c r="BL297" i="26" s="1"/>
  <c r="AF297" i="26"/>
  <c r="BA297" i="26" s="1"/>
  <c r="AR297" i="26"/>
  <c r="BM297" i="26" s="1"/>
  <c r="AH369" i="26"/>
  <c r="AI369" i="26"/>
  <c r="AJ369" i="26"/>
  <c r="Y369" i="26"/>
  <c r="AT369" i="26" s="1"/>
  <c r="AK369" i="26"/>
  <c r="Z369" i="26"/>
  <c r="AL369" i="26"/>
  <c r="AA369" i="26"/>
  <c r="AM369" i="26"/>
  <c r="AB369" i="26"/>
  <c r="AN369" i="26"/>
  <c r="AC369" i="26"/>
  <c r="AO369" i="26"/>
  <c r="AD369" i="26"/>
  <c r="AP369" i="26"/>
  <c r="AE369" i="26"/>
  <c r="AQ369" i="26"/>
  <c r="AF369" i="26"/>
  <c r="AR369" i="26"/>
  <c r="AG369" i="26"/>
  <c r="Y196" i="26"/>
  <c r="AT196" i="26" s="1"/>
  <c r="AK196" i="26"/>
  <c r="BF196" i="26" s="1"/>
  <c r="Z196" i="26"/>
  <c r="AL196" i="26"/>
  <c r="BG196" i="26" s="1"/>
  <c r="AA196" i="26"/>
  <c r="AV196" i="26" s="1"/>
  <c r="AM196" i="26"/>
  <c r="BH196" i="26" s="1"/>
  <c r="AB196" i="26"/>
  <c r="AW196" i="26" s="1"/>
  <c r="AN196" i="26"/>
  <c r="BI196" i="26" s="1"/>
  <c r="AC196" i="26"/>
  <c r="AX196" i="26" s="1"/>
  <c r="AO196" i="26"/>
  <c r="BJ196" i="26" s="1"/>
  <c r="AD196" i="26"/>
  <c r="AY196" i="26" s="1"/>
  <c r="AP196" i="26"/>
  <c r="BK196" i="26" s="1"/>
  <c r="AE196" i="26"/>
  <c r="AZ196" i="26" s="1"/>
  <c r="AQ196" i="26"/>
  <c r="BL196" i="26" s="1"/>
  <c r="AF196" i="26"/>
  <c r="BA196" i="26" s="1"/>
  <c r="AR196" i="26"/>
  <c r="BM196" i="26" s="1"/>
  <c r="AG196" i="26"/>
  <c r="BB196" i="26" s="1"/>
  <c r="AH196" i="26"/>
  <c r="BC196" i="26" s="1"/>
  <c r="AI196" i="26"/>
  <c r="BD196" i="26" s="1"/>
  <c r="AJ196" i="26"/>
  <c r="BE196" i="26" s="1"/>
  <c r="Y268" i="26"/>
  <c r="AT268" i="26" s="1"/>
  <c r="AK268" i="26"/>
  <c r="BF268" i="26" s="1"/>
  <c r="Z268" i="26"/>
  <c r="AL268" i="26"/>
  <c r="BG268" i="26" s="1"/>
  <c r="AA268" i="26"/>
  <c r="AV268" i="26" s="1"/>
  <c r="AM268" i="26"/>
  <c r="BH268" i="26" s="1"/>
  <c r="AB268" i="26"/>
  <c r="AW268" i="26" s="1"/>
  <c r="AN268" i="26"/>
  <c r="BI268" i="26" s="1"/>
  <c r="AC268" i="26"/>
  <c r="AX268" i="26" s="1"/>
  <c r="AO268" i="26"/>
  <c r="BJ268" i="26" s="1"/>
  <c r="AD268" i="26"/>
  <c r="AY268" i="26" s="1"/>
  <c r="AP268" i="26"/>
  <c r="BK268" i="26" s="1"/>
  <c r="AE268" i="26"/>
  <c r="AZ268" i="26" s="1"/>
  <c r="AQ268" i="26"/>
  <c r="BL268" i="26" s="1"/>
  <c r="AF268" i="26"/>
  <c r="BA268" i="26" s="1"/>
  <c r="AR268" i="26"/>
  <c r="BM268" i="26" s="1"/>
  <c r="AG268" i="26"/>
  <c r="BB268" i="26" s="1"/>
  <c r="AH268" i="26"/>
  <c r="BC268" i="26" s="1"/>
  <c r="AI268" i="26"/>
  <c r="BD268" i="26" s="1"/>
  <c r="AJ268" i="26"/>
  <c r="BE268" i="26" s="1"/>
  <c r="Z340" i="26"/>
  <c r="AL340" i="26"/>
  <c r="BG340" i="26" s="1"/>
  <c r="AA340" i="26"/>
  <c r="AV340" i="26" s="1"/>
  <c r="AM340" i="26"/>
  <c r="BH340" i="26" s="1"/>
  <c r="AB340" i="26"/>
  <c r="AW340" i="26" s="1"/>
  <c r="AN340" i="26"/>
  <c r="BI340" i="26" s="1"/>
  <c r="AC340" i="26"/>
  <c r="AX340" i="26" s="1"/>
  <c r="AO340" i="26"/>
  <c r="BJ340" i="26" s="1"/>
  <c r="AD340" i="26"/>
  <c r="AY340" i="26" s="1"/>
  <c r="AP340" i="26"/>
  <c r="BK340" i="26" s="1"/>
  <c r="AE340" i="26"/>
  <c r="AZ340" i="26" s="1"/>
  <c r="AQ340" i="26"/>
  <c r="BL340" i="26" s="1"/>
  <c r="AF340" i="26"/>
  <c r="BA340" i="26" s="1"/>
  <c r="AR340" i="26"/>
  <c r="BM340" i="26" s="1"/>
  <c r="AG340" i="26"/>
  <c r="BB340" i="26" s="1"/>
  <c r="AH340" i="26"/>
  <c r="BC340" i="26" s="1"/>
  <c r="AI340" i="26"/>
  <c r="BD340" i="26" s="1"/>
  <c r="AJ340" i="26"/>
  <c r="BE340" i="26" s="1"/>
  <c r="Y340" i="26"/>
  <c r="AT340" i="26" s="1"/>
  <c r="AK340" i="26"/>
  <c r="BF340" i="26" s="1"/>
  <c r="AJ202" i="27"/>
  <c r="BE202" i="27" s="1"/>
  <c r="AK202" i="27"/>
  <c r="BF202" i="27" s="1"/>
  <c r="Z202" i="27"/>
  <c r="AL202" i="27"/>
  <c r="BG202" i="27" s="1"/>
  <c r="AA202" i="27"/>
  <c r="AV202" i="27" s="1"/>
  <c r="AM202" i="27"/>
  <c r="BH202" i="27" s="1"/>
  <c r="AB202" i="27"/>
  <c r="AW202" i="27" s="1"/>
  <c r="AN202" i="27"/>
  <c r="BI202" i="27" s="1"/>
  <c r="AC202" i="27"/>
  <c r="AX202" i="27" s="1"/>
  <c r="AO202" i="27"/>
  <c r="BJ202" i="27" s="1"/>
  <c r="AD202" i="27"/>
  <c r="AY202" i="27" s="1"/>
  <c r="AP202" i="27"/>
  <c r="BK202" i="27" s="1"/>
  <c r="AE202" i="27"/>
  <c r="AZ202" i="27" s="1"/>
  <c r="AQ202" i="27"/>
  <c r="BL202" i="27" s="1"/>
  <c r="AF202" i="27"/>
  <c r="BA202" i="27" s="1"/>
  <c r="AR202" i="27"/>
  <c r="BM202" i="27" s="1"/>
  <c r="AG202" i="27"/>
  <c r="BB202" i="27" s="1"/>
  <c r="AH202" i="27"/>
  <c r="BC202" i="27" s="1"/>
  <c r="Y202" i="27"/>
  <c r="AT202" i="27" s="1"/>
  <c r="AI202" i="27"/>
  <c r="BD202" i="27" s="1"/>
  <c r="Z272" i="27"/>
  <c r="AL272" i="27"/>
  <c r="BG272" i="27" s="1"/>
  <c r="AA272" i="27"/>
  <c r="AV272" i="27" s="1"/>
  <c r="AM272" i="27"/>
  <c r="BH272" i="27" s="1"/>
  <c r="AB272" i="27"/>
  <c r="AW272" i="27" s="1"/>
  <c r="AN272" i="27"/>
  <c r="BI272" i="27" s="1"/>
  <c r="AC272" i="27"/>
  <c r="AX272" i="27" s="1"/>
  <c r="AO272" i="27"/>
  <c r="BJ272" i="27" s="1"/>
  <c r="AD272" i="27"/>
  <c r="AY272" i="27" s="1"/>
  <c r="AP272" i="27"/>
  <c r="BK272" i="27" s="1"/>
  <c r="AE272" i="27"/>
  <c r="AZ272" i="27" s="1"/>
  <c r="AQ272" i="27"/>
  <c r="BL272" i="27" s="1"/>
  <c r="AF272" i="27"/>
  <c r="BA272" i="27" s="1"/>
  <c r="AR272" i="27"/>
  <c r="BM272" i="27" s="1"/>
  <c r="AG272" i="27"/>
  <c r="BB272" i="27" s="1"/>
  <c r="AH272" i="27"/>
  <c r="BC272" i="27" s="1"/>
  <c r="AI272" i="27"/>
  <c r="BD272" i="27" s="1"/>
  <c r="AJ272" i="27"/>
  <c r="BE272" i="27" s="1"/>
  <c r="Y272" i="27"/>
  <c r="AT272" i="27" s="1"/>
  <c r="AK272" i="27"/>
  <c r="BF272" i="27" s="1"/>
  <c r="AJ344" i="27"/>
  <c r="BE344" i="27" s="1"/>
  <c r="AK344" i="27"/>
  <c r="BF344" i="27" s="1"/>
  <c r="AA344" i="27"/>
  <c r="AV344" i="27" s="1"/>
  <c r="AM344" i="27"/>
  <c r="BH344" i="27" s="1"/>
  <c r="AB344" i="27"/>
  <c r="AW344" i="27" s="1"/>
  <c r="AN344" i="27"/>
  <c r="BI344" i="27" s="1"/>
  <c r="AC344" i="27"/>
  <c r="AX344" i="27" s="1"/>
  <c r="AO344" i="27"/>
  <c r="BJ344" i="27" s="1"/>
  <c r="AD344" i="27"/>
  <c r="AY344" i="27" s="1"/>
  <c r="AP344" i="27"/>
  <c r="BK344" i="27" s="1"/>
  <c r="AE344" i="27"/>
  <c r="AZ344" i="27" s="1"/>
  <c r="AQ344" i="27"/>
  <c r="BL344" i="27" s="1"/>
  <c r="AG344" i="27"/>
  <c r="BB344" i="27" s="1"/>
  <c r="AH344" i="27"/>
  <c r="BC344" i="27" s="1"/>
  <c r="Z344" i="27"/>
  <c r="AF344" i="27"/>
  <c r="BA344" i="27" s="1"/>
  <c r="AI344" i="27"/>
  <c r="BD344" i="27" s="1"/>
  <c r="AL344" i="27"/>
  <c r="BG344" i="27" s="1"/>
  <c r="AR344" i="27"/>
  <c r="BM344" i="27" s="1"/>
  <c r="Y344" i="27"/>
  <c r="AT344" i="27" s="1"/>
  <c r="AC215" i="27"/>
  <c r="AX215" i="27" s="1"/>
  <c r="AO215" i="27"/>
  <c r="BJ215" i="27" s="1"/>
  <c r="AD215" i="27"/>
  <c r="AY215" i="27" s="1"/>
  <c r="AP215" i="27"/>
  <c r="BK215" i="27" s="1"/>
  <c r="AE215" i="27"/>
  <c r="AZ215" i="27" s="1"/>
  <c r="AQ215" i="27"/>
  <c r="BL215" i="27" s="1"/>
  <c r="AF215" i="27"/>
  <c r="BA215" i="27" s="1"/>
  <c r="AR215" i="27"/>
  <c r="BM215" i="27" s="1"/>
  <c r="AG215" i="27"/>
  <c r="BB215" i="27" s="1"/>
  <c r="AH215" i="27"/>
  <c r="BC215" i="27" s="1"/>
  <c r="AI215" i="27"/>
  <c r="BD215" i="27" s="1"/>
  <c r="AJ215" i="27"/>
  <c r="BE215" i="27" s="1"/>
  <c r="AK215" i="27"/>
  <c r="BF215" i="27" s="1"/>
  <c r="Z215" i="27"/>
  <c r="AL215" i="27"/>
  <c r="BG215" i="27" s="1"/>
  <c r="AA215" i="27"/>
  <c r="AV215" i="27" s="1"/>
  <c r="AM215" i="27"/>
  <c r="BH215" i="27" s="1"/>
  <c r="AB215" i="27"/>
  <c r="AW215" i="27" s="1"/>
  <c r="AN215" i="27"/>
  <c r="BI215" i="27" s="1"/>
  <c r="Y215" i="27"/>
  <c r="AT215" i="27" s="1"/>
  <c r="AK291" i="27"/>
  <c r="BF291" i="27" s="1"/>
  <c r="Z291" i="27"/>
  <c r="AL291" i="27"/>
  <c r="BG291" i="27" s="1"/>
  <c r="AB291" i="27"/>
  <c r="AW291" i="27" s="1"/>
  <c r="AN291" i="27"/>
  <c r="BI291" i="27" s="1"/>
  <c r="AC291" i="27"/>
  <c r="AX291" i="27" s="1"/>
  <c r="AO291" i="27"/>
  <c r="BJ291" i="27" s="1"/>
  <c r="AD291" i="27"/>
  <c r="AY291" i="27" s="1"/>
  <c r="AP291" i="27"/>
  <c r="BK291" i="27" s="1"/>
  <c r="AE291" i="27"/>
  <c r="AZ291" i="27" s="1"/>
  <c r="AQ291" i="27"/>
  <c r="BL291" i="27" s="1"/>
  <c r="AF291" i="27"/>
  <c r="BA291" i="27" s="1"/>
  <c r="AR291" i="27"/>
  <c r="BM291" i="27" s="1"/>
  <c r="AH291" i="27"/>
  <c r="BC291" i="27" s="1"/>
  <c r="AI291" i="27"/>
  <c r="BD291" i="27" s="1"/>
  <c r="Y291" i="27"/>
  <c r="AT291" i="27" s="1"/>
  <c r="AA291" i="27"/>
  <c r="AV291" i="27" s="1"/>
  <c r="AG291" i="27"/>
  <c r="BB291" i="27" s="1"/>
  <c r="AJ291" i="27"/>
  <c r="BE291" i="27" s="1"/>
  <c r="AM291" i="27"/>
  <c r="BH291" i="27" s="1"/>
  <c r="AI363" i="27"/>
  <c r="BD363" i="27" s="1"/>
  <c r="AJ363" i="27"/>
  <c r="BE363" i="27" s="1"/>
  <c r="Z363" i="27"/>
  <c r="AL363" i="27"/>
  <c r="BG363" i="27" s="1"/>
  <c r="AA363" i="27"/>
  <c r="AV363" i="27" s="1"/>
  <c r="AM363" i="27"/>
  <c r="BH363" i="27" s="1"/>
  <c r="AB363" i="27"/>
  <c r="AW363" i="27" s="1"/>
  <c r="AN363" i="27"/>
  <c r="BI363" i="27" s="1"/>
  <c r="AC363" i="27"/>
  <c r="AX363" i="27" s="1"/>
  <c r="AO363" i="27"/>
  <c r="BJ363" i="27" s="1"/>
  <c r="AD363" i="27"/>
  <c r="AY363" i="27" s="1"/>
  <c r="AP363" i="27"/>
  <c r="BK363" i="27" s="1"/>
  <c r="AF363" i="27"/>
  <c r="BA363" i="27" s="1"/>
  <c r="AR363" i="27"/>
  <c r="BM363" i="27" s="1"/>
  <c r="AG363" i="27"/>
  <c r="BB363" i="27" s="1"/>
  <c r="AK363" i="27"/>
  <c r="BF363" i="27" s="1"/>
  <c r="AQ363" i="27"/>
  <c r="BL363" i="27" s="1"/>
  <c r="Y363" i="27"/>
  <c r="AT363" i="27" s="1"/>
  <c r="AE363" i="27"/>
  <c r="AZ363" i="27" s="1"/>
  <c r="AH363" i="27"/>
  <c r="BC363" i="27" s="1"/>
  <c r="AB234" i="27"/>
  <c r="AW234" i="27" s="1"/>
  <c r="AN234" i="27"/>
  <c r="BI234" i="27" s="1"/>
  <c r="AC234" i="27"/>
  <c r="AX234" i="27" s="1"/>
  <c r="AO234" i="27"/>
  <c r="BJ234" i="27" s="1"/>
  <c r="AD234" i="27"/>
  <c r="AY234" i="27" s="1"/>
  <c r="AP234" i="27"/>
  <c r="BK234" i="27" s="1"/>
  <c r="AE234" i="27"/>
  <c r="AZ234" i="27" s="1"/>
  <c r="AQ234" i="27"/>
  <c r="BL234" i="27" s="1"/>
  <c r="AF234" i="27"/>
  <c r="BA234" i="27" s="1"/>
  <c r="AR234" i="27"/>
  <c r="BM234" i="27" s="1"/>
  <c r="AG234" i="27"/>
  <c r="BB234" i="27" s="1"/>
  <c r="AH234" i="27"/>
  <c r="BC234" i="27" s="1"/>
  <c r="AI234" i="27"/>
  <c r="BD234" i="27" s="1"/>
  <c r="AJ234" i="27"/>
  <c r="BE234" i="27" s="1"/>
  <c r="AK234" i="27"/>
  <c r="BF234" i="27" s="1"/>
  <c r="Z234" i="27"/>
  <c r="AL234" i="27"/>
  <c r="BG234" i="27" s="1"/>
  <c r="Y234" i="27"/>
  <c r="AT234" i="27" s="1"/>
  <c r="AA234" i="27"/>
  <c r="AV234" i="27" s="1"/>
  <c r="AM234" i="27"/>
  <c r="BH234" i="27" s="1"/>
  <c r="AH310" i="27"/>
  <c r="BC310" i="27" s="1"/>
  <c r="AI310" i="27"/>
  <c r="BD310" i="27" s="1"/>
  <c r="AJ310" i="27"/>
  <c r="BE310" i="27" s="1"/>
  <c r="AK310" i="27"/>
  <c r="BF310" i="27" s="1"/>
  <c r="Z310" i="27"/>
  <c r="AL310" i="27"/>
  <c r="BG310" i="27" s="1"/>
  <c r="AA310" i="27"/>
  <c r="AV310" i="27" s="1"/>
  <c r="AM310" i="27"/>
  <c r="BH310" i="27" s="1"/>
  <c r="AB310" i="27"/>
  <c r="AW310" i="27" s="1"/>
  <c r="AN310" i="27"/>
  <c r="BI310" i="27" s="1"/>
  <c r="AC310" i="27"/>
  <c r="AX310" i="27" s="1"/>
  <c r="AO310" i="27"/>
  <c r="BJ310" i="27" s="1"/>
  <c r="Y310" i="27"/>
  <c r="AT310" i="27" s="1"/>
  <c r="AD310" i="27"/>
  <c r="AY310" i="27" s="1"/>
  <c r="AP310" i="27"/>
  <c r="BK310" i="27" s="1"/>
  <c r="AE310" i="27"/>
  <c r="AZ310" i="27" s="1"/>
  <c r="AQ310" i="27"/>
  <c r="BL310" i="27" s="1"/>
  <c r="AF310" i="27"/>
  <c r="BA310" i="27" s="1"/>
  <c r="AR310" i="27"/>
  <c r="BM310" i="27" s="1"/>
  <c r="AG310" i="27"/>
  <c r="BB310" i="27" s="1"/>
  <c r="AH382" i="27"/>
  <c r="AI382" i="27"/>
  <c r="AK382" i="27"/>
  <c r="Z382" i="27"/>
  <c r="AL382" i="27"/>
  <c r="AA382" i="27"/>
  <c r="AM382" i="27"/>
  <c r="AB382" i="27"/>
  <c r="AN382" i="27"/>
  <c r="AC382" i="27"/>
  <c r="AO382" i="27"/>
  <c r="AE382" i="27"/>
  <c r="AQ382" i="27"/>
  <c r="AF382" i="27"/>
  <c r="AR382" i="27"/>
  <c r="AD382" i="27"/>
  <c r="AG382" i="27"/>
  <c r="AJ382" i="27"/>
  <c r="AP382" i="27"/>
  <c r="Y382" i="27"/>
  <c r="AT382" i="27" s="1"/>
  <c r="AC239" i="27"/>
  <c r="AX239" i="27" s="1"/>
  <c r="AO239" i="27"/>
  <c r="BJ239" i="27" s="1"/>
  <c r="AD239" i="27"/>
  <c r="AY239" i="27" s="1"/>
  <c r="AP239" i="27"/>
  <c r="BK239" i="27" s="1"/>
  <c r="AE239" i="27"/>
  <c r="AZ239" i="27" s="1"/>
  <c r="AQ239" i="27"/>
  <c r="BL239" i="27" s="1"/>
  <c r="AF239" i="27"/>
  <c r="BA239" i="27" s="1"/>
  <c r="AR239" i="27"/>
  <c r="BM239" i="27" s="1"/>
  <c r="AG239" i="27"/>
  <c r="BB239" i="27" s="1"/>
  <c r="AH239" i="27"/>
  <c r="BC239" i="27" s="1"/>
  <c r="AI239" i="27"/>
  <c r="BD239" i="27" s="1"/>
  <c r="AJ239" i="27"/>
  <c r="BE239" i="27" s="1"/>
  <c r="AK239" i="27"/>
  <c r="BF239" i="27" s="1"/>
  <c r="Z239" i="27"/>
  <c r="AL239" i="27"/>
  <c r="BG239" i="27" s="1"/>
  <c r="AA239" i="27"/>
  <c r="AV239" i="27" s="1"/>
  <c r="AM239" i="27"/>
  <c r="BH239" i="27" s="1"/>
  <c r="AB239" i="27"/>
  <c r="AW239" i="27" s="1"/>
  <c r="AN239" i="27"/>
  <c r="BI239" i="27" s="1"/>
  <c r="Y239" i="27"/>
  <c r="AT239" i="27" s="1"/>
  <c r="AA323" i="27"/>
  <c r="AV323" i="27" s="1"/>
  <c r="AM323" i="27"/>
  <c r="BH323" i="27" s="1"/>
  <c r="AB323" i="27"/>
  <c r="AW323" i="27" s="1"/>
  <c r="AN323" i="27"/>
  <c r="BI323" i="27" s="1"/>
  <c r="AC323" i="27"/>
  <c r="AX323" i="27" s="1"/>
  <c r="AO323" i="27"/>
  <c r="BJ323" i="27" s="1"/>
  <c r="AD323" i="27"/>
  <c r="AY323" i="27" s="1"/>
  <c r="AP323" i="27"/>
  <c r="BK323" i="27" s="1"/>
  <c r="AE323" i="27"/>
  <c r="AZ323" i="27" s="1"/>
  <c r="AQ323" i="27"/>
  <c r="BL323" i="27" s="1"/>
  <c r="AF323" i="27"/>
  <c r="BA323" i="27" s="1"/>
  <c r="AR323" i="27"/>
  <c r="BM323" i="27" s="1"/>
  <c r="AG323" i="27"/>
  <c r="BB323" i="27" s="1"/>
  <c r="AH323" i="27"/>
  <c r="BC323" i="27" s="1"/>
  <c r="AI323" i="27"/>
  <c r="BD323" i="27" s="1"/>
  <c r="AJ323" i="27"/>
  <c r="BE323" i="27" s="1"/>
  <c r="AK323" i="27"/>
  <c r="BF323" i="27" s="1"/>
  <c r="Y323" i="27"/>
  <c r="AT323" i="27" s="1"/>
  <c r="Z323" i="27"/>
  <c r="AL323" i="27"/>
  <c r="BG323" i="27" s="1"/>
  <c r="AA194" i="27"/>
  <c r="AV194" i="27" s="1"/>
  <c r="AM194" i="27"/>
  <c r="BH194" i="27" s="1"/>
  <c r="AB194" i="27"/>
  <c r="AW194" i="27" s="1"/>
  <c r="AN194" i="27"/>
  <c r="BI194" i="27" s="1"/>
  <c r="AC194" i="27"/>
  <c r="AX194" i="27" s="1"/>
  <c r="AO194" i="27"/>
  <c r="BJ194" i="27" s="1"/>
  <c r="AD194" i="27"/>
  <c r="AY194" i="27" s="1"/>
  <c r="AP194" i="27"/>
  <c r="BK194" i="27" s="1"/>
  <c r="AE194" i="27"/>
  <c r="AZ194" i="27" s="1"/>
  <c r="AQ194" i="27"/>
  <c r="BL194" i="27" s="1"/>
  <c r="AF194" i="27"/>
  <c r="BA194" i="27" s="1"/>
  <c r="AR194" i="27"/>
  <c r="BM194" i="27" s="1"/>
  <c r="AG194" i="27"/>
  <c r="BB194" i="27" s="1"/>
  <c r="AH194" i="27"/>
  <c r="BC194" i="27" s="1"/>
  <c r="AI194" i="27"/>
  <c r="BD194" i="27" s="1"/>
  <c r="AJ194" i="27"/>
  <c r="BE194" i="27" s="1"/>
  <c r="AK194" i="27"/>
  <c r="BF194" i="27" s="1"/>
  <c r="Z194" i="27"/>
  <c r="AL194" i="27"/>
  <c r="BG194" i="27" s="1"/>
  <c r="Y194" i="27"/>
  <c r="AT194" i="27" s="1"/>
  <c r="AH264" i="27"/>
  <c r="BC264" i="27" s="1"/>
  <c r="AI264" i="27"/>
  <c r="BD264" i="27" s="1"/>
  <c r="AJ264" i="27"/>
  <c r="BE264" i="27" s="1"/>
  <c r="AK264" i="27"/>
  <c r="BF264" i="27" s="1"/>
  <c r="Z264" i="27"/>
  <c r="AL264" i="27"/>
  <c r="BG264" i="27" s="1"/>
  <c r="AA264" i="27"/>
  <c r="AV264" i="27" s="1"/>
  <c r="AM264" i="27"/>
  <c r="BH264" i="27" s="1"/>
  <c r="AB264" i="27"/>
  <c r="AW264" i="27" s="1"/>
  <c r="AN264" i="27"/>
  <c r="BI264" i="27" s="1"/>
  <c r="AC264" i="27"/>
  <c r="AX264" i="27" s="1"/>
  <c r="AO264" i="27"/>
  <c r="BJ264" i="27" s="1"/>
  <c r="AD264" i="27"/>
  <c r="AY264" i="27" s="1"/>
  <c r="AP264" i="27"/>
  <c r="BK264" i="27" s="1"/>
  <c r="AE264" i="27"/>
  <c r="AZ264" i="27" s="1"/>
  <c r="AQ264" i="27"/>
  <c r="BL264" i="27" s="1"/>
  <c r="AF264" i="27"/>
  <c r="BA264" i="27" s="1"/>
  <c r="AR264" i="27"/>
  <c r="BM264" i="27" s="1"/>
  <c r="Y264" i="27"/>
  <c r="AT264" i="27" s="1"/>
  <c r="AG264" i="27"/>
  <c r="BB264" i="27" s="1"/>
  <c r="AF336" i="27"/>
  <c r="BA336" i="27" s="1"/>
  <c r="AR336" i="27"/>
  <c r="BM336" i="27" s="1"/>
  <c r="AG336" i="27"/>
  <c r="BB336" i="27" s="1"/>
  <c r="AH336" i="27"/>
  <c r="BC336" i="27" s="1"/>
  <c r="AI336" i="27"/>
  <c r="BD336" i="27" s="1"/>
  <c r="AJ336" i="27"/>
  <c r="BE336" i="27" s="1"/>
  <c r="AK336" i="27"/>
  <c r="BF336" i="27" s="1"/>
  <c r="Z336" i="27"/>
  <c r="AL336" i="27"/>
  <c r="BG336" i="27" s="1"/>
  <c r="AA336" i="27"/>
  <c r="AV336" i="27" s="1"/>
  <c r="AM336" i="27"/>
  <c r="BH336" i="27" s="1"/>
  <c r="AB336" i="27"/>
  <c r="AW336" i="27" s="1"/>
  <c r="AN336" i="27"/>
  <c r="BI336" i="27" s="1"/>
  <c r="AC336" i="27"/>
  <c r="AX336" i="27" s="1"/>
  <c r="AO336" i="27"/>
  <c r="BJ336" i="27" s="1"/>
  <c r="AD336" i="27"/>
  <c r="AY336" i="27" s="1"/>
  <c r="AP336" i="27"/>
  <c r="BK336" i="27" s="1"/>
  <c r="Y336" i="27"/>
  <c r="AT336" i="27" s="1"/>
  <c r="AE336" i="27"/>
  <c r="AZ336" i="27" s="1"/>
  <c r="AQ336" i="27"/>
  <c r="BL336" i="27" s="1"/>
  <c r="AK207" i="27"/>
  <c r="BF207" i="27" s="1"/>
  <c r="Z207" i="27"/>
  <c r="AL207" i="27"/>
  <c r="BG207" i="27" s="1"/>
  <c r="AA207" i="27"/>
  <c r="AV207" i="27" s="1"/>
  <c r="AM207" i="27"/>
  <c r="BH207" i="27" s="1"/>
  <c r="AB207" i="27"/>
  <c r="AW207" i="27" s="1"/>
  <c r="AN207" i="27"/>
  <c r="BI207" i="27" s="1"/>
  <c r="AC207" i="27"/>
  <c r="AX207" i="27" s="1"/>
  <c r="AO207" i="27"/>
  <c r="BJ207" i="27" s="1"/>
  <c r="AD207" i="27"/>
  <c r="AY207" i="27" s="1"/>
  <c r="AP207" i="27"/>
  <c r="BK207" i="27" s="1"/>
  <c r="AE207" i="27"/>
  <c r="AZ207" i="27" s="1"/>
  <c r="AQ207" i="27"/>
  <c r="BL207" i="27" s="1"/>
  <c r="AF207" i="27"/>
  <c r="BA207" i="27" s="1"/>
  <c r="AR207" i="27"/>
  <c r="BM207" i="27" s="1"/>
  <c r="AG207" i="27"/>
  <c r="BB207" i="27" s="1"/>
  <c r="AH207" i="27"/>
  <c r="BC207" i="27" s="1"/>
  <c r="AI207" i="27"/>
  <c r="BD207" i="27" s="1"/>
  <c r="Y207" i="27"/>
  <c r="AT207" i="27" s="1"/>
  <c r="AJ207" i="27"/>
  <c r="BE207" i="27" s="1"/>
  <c r="AA277" i="27"/>
  <c r="AV277" i="27" s="1"/>
  <c r="AM277" i="27"/>
  <c r="BH277" i="27" s="1"/>
  <c r="AB277" i="27"/>
  <c r="AW277" i="27" s="1"/>
  <c r="AN277" i="27"/>
  <c r="BI277" i="27" s="1"/>
  <c r="AC277" i="27"/>
  <c r="AX277" i="27" s="1"/>
  <c r="AO277" i="27"/>
  <c r="BJ277" i="27" s="1"/>
  <c r="AD277" i="27"/>
  <c r="AY277" i="27" s="1"/>
  <c r="AP277" i="27"/>
  <c r="BK277" i="27" s="1"/>
  <c r="AE277" i="27"/>
  <c r="AZ277" i="27" s="1"/>
  <c r="AQ277" i="27"/>
  <c r="BL277" i="27" s="1"/>
  <c r="AF277" i="27"/>
  <c r="BA277" i="27" s="1"/>
  <c r="AR277" i="27"/>
  <c r="BM277" i="27" s="1"/>
  <c r="AG277" i="27"/>
  <c r="BB277" i="27" s="1"/>
  <c r="AH277" i="27"/>
  <c r="BC277" i="27" s="1"/>
  <c r="AI277" i="27"/>
  <c r="BD277" i="27" s="1"/>
  <c r="AJ277" i="27"/>
  <c r="BE277" i="27" s="1"/>
  <c r="AK277" i="27"/>
  <c r="BF277" i="27" s="1"/>
  <c r="Z277" i="27"/>
  <c r="AL277" i="27"/>
  <c r="BG277" i="27" s="1"/>
  <c r="Y277" i="27"/>
  <c r="AT277" i="27" s="1"/>
  <c r="AK349" i="27"/>
  <c r="BF349" i="27" s="1"/>
  <c r="Z349" i="27"/>
  <c r="AL349" i="27"/>
  <c r="BG349" i="27" s="1"/>
  <c r="AB349" i="27"/>
  <c r="AW349" i="27" s="1"/>
  <c r="AN349" i="27"/>
  <c r="BI349" i="27" s="1"/>
  <c r="AC349" i="27"/>
  <c r="AX349" i="27" s="1"/>
  <c r="AO349" i="27"/>
  <c r="BJ349" i="27" s="1"/>
  <c r="AD349" i="27"/>
  <c r="AY349" i="27" s="1"/>
  <c r="AP349" i="27"/>
  <c r="BK349" i="27" s="1"/>
  <c r="AE349" i="27"/>
  <c r="AZ349" i="27" s="1"/>
  <c r="AQ349" i="27"/>
  <c r="BL349" i="27" s="1"/>
  <c r="AF349" i="27"/>
  <c r="BA349" i="27" s="1"/>
  <c r="AR349" i="27"/>
  <c r="BM349" i="27" s="1"/>
  <c r="AH349" i="27"/>
  <c r="BC349" i="27" s="1"/>
  <c r="AI349" i="27"/>
  <c r="BD349" i="27" s="1"/>
  <c r="Y349" i="27"/>
  <c r="AT349" i="27" s="1"/>
  <c r="AA349" i="27"/>
  <c r="AV349" i="27" s="1"/>
  <c r="AG349" i="27"/>
  <c r="BB349" i="27" s="1"/>
  <c r="AJ349" i="27"/>
  <c r="BE349" i="27" s="1"/>
  <c r="AM349" i="27"/>
  <c r="BH349" i="27" s="1"/>
  <c r="AI243" i="28"/>
  <c r="BD243" i="28" s="1"/>
  <c r="AJ243" i="28"/>
  <c r="BE243" i="28" s="1"/>
  <c r="Z243" i="28"/>
  <c r="AL243" i="28"/>
  <c r="BG243" i="28" s="1"/>
  <c r="AA243" i="28"/>
  <c r="AV243" i="28" s="1"/>
  <c r="AM243" i="28"/>
  <c r="BH243" i="28" s="1"/>
  <c r="AB243" i="28"/>
  <c r="AW243" i="28" s="1"/>
  <c r="AN243" i="28"/>
  <c r="BI243" i="28" s="1"/>
  <c r="AC243" i="28"/>
  <c r="AX243" i="28" s="1"/>
  <c r="AO243" i="28"/>
  <c r="BJ243" i="28" s="1"/>
  <c r="AD243" i="28"/>
  <c r="AY243" i="28" s="1"/>
  <c r="AP243" i="28"/>
  <c r="BK243" i="28" s="1"/>
  <c r="AF243" i="28"/>
  <c r="BA243" i="28" s="1"/>
  <c r="AR243" i="28"/>
  <c r="BM243" i="28" s="1"/>
  <c r="AG243" i="28"/>
  <c r="BB243" i="28" s="1"/>
  <c r="Y243" i="28"/>
  <c r="AT243" i="28" s="1"/>
  <c r="AE243" i="28"/>
  <c r="AZ243" i="28" s="1"/>
  <c r="AH243" i="28"/>
  <c r="BC243" i="28" s="1"/>
  <c r="AK243" i="28"/>
  <c r="BF243" i="28" s="1"/>
  <c r="AQ243" i="28"/>
  <c r="BL243" i="28" s="1"/>
  <c r="AI315" i="28"/>
  <c r="BD315" i="28" s="1"/>
  <c r="AJ315" i="28"/>
  <c r="BE315" i="28" s="1"/>
  <c r="Z315" i="28"/>
  <c r="AL315" i="28"/>
  <c r="BG315" i="28" s="1"/>
  <c r="AA315" i="28"/>
  <c r="AV315" i="28" s="1"/>
  <c r="AM315" i="28"/>
  <c r="BH315" i="28" s="1"/>
  <c r="AC315" i="28"/>
  <c r="AX315" i="28" s="1"/>
  <c r="AO315" i="28"/>
  <c r="BJ315" i="28" s="1"/>
  <c r="AD315" i="28"/>
  <c r="AY315" i="28" s="1"/>
  <c r="AP315" i="28"/>
  <c r="BK315" i="28" s="1"/>
  <c r="AF315" i="28"/>
  <c r="BA315" i="28" s="1"/>
  <c r="AR315" i="28"/>
  <c r="BM315" i="28" s="1"/>
  <c r="AG315" i="28"/>
  <c r="BB315" i="28" s="1"/>
  <c r="Y315" i="28"/>
  <c r="AT315" i="28" s="1"/>
  <c r="AB315" i="28"/>
  <c r="AW315" i="28" s="1"/>
  <c r="AE315" i="28"/>
  <c r="AZ315" i="28" s="1"/>
  <c r="AH315" i="28"/>
  <c r="BC315" i="28" s="1"/>
  <c r="AK315" i="28"/>
  <c r="BF315" i="28" s="1"/>
  <c r="AN315" i="28"/>
  <c r="BI315" i="28" s="1"/>
  <c r="AQ315" i="28"/>
  <c r="BL315" i="28" s="1"/>
  <c r="AB208" i="28"/>
  <c r="AW208" i="28" s="1"/>
  <c r="AN208" i="28"/>
  <c r="BI208" i="28" s="1"/>
  <c r="AC208" i="28"/>
  <c r="AX208" i="28" s="1"/>
  <c r="AO208" i="28"/>
  <c r="BJ208" i="28" s="1"/>
  <c r="AE208" i="28"/>
  <c r="AZ208" i="28" s="1"/>
  <c r="AQ208" i="28"/>
  <c r="BL208" i="28" s="1"/>
  <c r="AF208" i="28"/>
  <c r="BA208" i="28" s="1"/>
  <c r="AR208" i="28"/>
  <c r="BM208" i="28" s="1"/>
  <c r="AG208" i="28"/>
  <c r="BB208" i="28" s="1"/>
  <c r="AH208" i="28"/>
  <c r="BC208" i="28" s="1"/>
  <c r="AI208" i="28"/>
  <c r="BD208" i="28" s="1"/>
  <c r="Y208" i="28"/>
  <c r="AT208" i="28" s="1"/>
  <c r="AK208" i="28"/>
  <c r="BF208" i="28" s="1"/>
  <c r="Z208" i="28"/>
  <c r="AL208" i="28"/>
  <c r="BG208" i="28" s="1"/>
  <c r="AD208" i="28"/>
  <c r="AY208" i="28" s="1"/>
  <c r="AJ208" i="28"/>
  <c r="BE208" i="28" s="1"/>
  <c r="AM208" i="28"/>
  <c r="BH208" i="28" s="1"/>
  <c r="AP208" i="28"/>
  <c r="BK208" i="28" s="1"/>
  <c r="AA208" i="28"/>
  <c r="AV208" i="28" s="1"/>
  <c r="AA280" i="28"/>
  <c r="AV280" i="28" s="1"/>
  <c r="AM280" i="28"/>
  <c r="BH280" i="28" s="1"/>
  <c r="AB280" i="28"/>
  <c r="AW280" i="28" s="1"/>
  <c r="AN280" i="28"/>
  <c r="BI280" i="28" s="1"/>
  <c r="AD280" i="28"/>
  <c r="AY280" i="28" s="1"/>
  <c r="AP280" i="28"/>
  <c r="BK280" i="28" s="1"/>
  <c r="AE280" i="28"/>
  <c r="AZ280" i="28" s="1"/>
  <c r="AQ280" i="28"/>
  <c r="BL280" i="28" s="1"/>
  <c r="AF280" i="28"/>
  <c r="BA280" i="28" s="1"/>
  <c r="AR280" i="28"/>
  <c r="BM280" i="28" s="1"/>
  <c r="AG280" i="28"/>
  <c r="BB280" i="28" s="1"/>
  <c r="AH280" i="28"/>
  <c r="BC280" i="28" s="1"/>
  <c r="AJ280" i="28"/>
  <c r="BE280" i="28" s="1"/>
  <c r="Y280" i="28"/>
  <c r="AT280" i="28" s="1"/>
  <c r="AK280" i="28"/>
  <c r="BF280" i="28" s="1"/>
  <c r="Z280" i="28"/>
  <c r="AC280" i="28"/>
  <c r="AX280" i="28" s="1"/>
  <c r="AI280" i="28"/>
  <c r="BD280" i="28" s="1"/>
  <c r="AL280" i="28"/>
  <c r="BG280" i="28" s="1"/>
  <c r="AO280" i="28"/>
  <c r="BJ280" i="28" s="1"/>
  <c r="Y352" i="28"/>
  <c r="AT352" i="28" s="1"/>
  <c r="AK352" i="28"/>
  <c r="BF352" i="28" s="1"/>
  <c r="Z352" i="28"/>
  <c r="AL352" i="28"/>
  <c r="BG352" i="28" s="1"/>
  <c r="AA352" i="28"/>
  <c r="AV352" i="28" s="1"/>
  <c r="AM352" i="28"/>
  <c r="BH352" i="28" s="1"/>
  <c r="AB352" i="28"/>
  <c r="AW352" i="28" s="1"/>
  <c r="AN352" i="28"/>
  <c r="BI352" i="28" s="1"/>
  <c r="AC352" i="28"/>
  <c r="AX352" i="28" s="1"/>
  <c r="AO352" i="28"/>
  <c r="BJ352" i="28" s="1"/>
  <c r="AD352" i="28"/>
  <c r="AY352" i="28" s="1"/>
  <c r="AP352" i="28"/>
  <c r="BK352" i="28" s="1"/>
  <c r="AE352" i="28"/>
  <c r="AZ352" i="28" s="1"/>
  <c r="AQ352" i="28"/>
  <c r="BL352" i="28" s="1"/>
  <c r="AF352" i="28"/>
  <c r="BA352" i="28" s="1"/>
  <c r="AR352" i="28"/>
  <c r="BM352" i="28" s="1"/>
  <c r="AG352" i="28"/>
  <c r="BB352" i="28" s="1"/>
  <c r="AH352" i="28"/>
  <c r="BC352" i="28" s="1"/>
  <c r="AI352" i="28"/>
  <c r="BD352" i="28" s="1"/>
  <c r="AJ352" i="28"/>
  <c r="BE352" i="28" s="1"/>
  <c r="AE245" i="28"/>
  <c r="AZ245" i="28" s="1"/>
  <c r="AQ245" i="28"/>
  <c r="BL245" i="28" s="1"/>
  <c r="AF245" i="28"/>
  <c r="BA245" i="28" s="1"/>
  <c r="AR245" i="28"/>
  <c r="BM245" i="28" s="1"/>
  <c r="AH245" i="28"/>
  <c r="BC245" i="28" s="1"/>
  <c r="AI245" i="28"/>
  <c r="BD245" i="28" s="1"/>
  <c r="AJ245" i="28"/>
  <c r="BE245" i="28" s="1"/>
  <c r="Y245" i="28"/>
  <c r="AT245" i="28" s="1"/>
  <c r="AK245" i="28"/>
  <c r="BF245" i="28" s="1"/>
  <c r="Z245" i="28"/>
  <c r="AL245" i="28"/>
  <c r="BG245" i="28" s="1"/>
  <c r="AB245" i="28"/>
  <c r="AW245" i="28" s="1"/>
  <c r="AN245" i="28"/>
  <c r="BI245" i="28" s="1"/>
  <c r="AC245" i="28"/>
  <c r="AX245" i="28" s="1"/>
  <c r="AO245" i="28"/>
  <c r="BJ245" i="28" s="1"/>
  <c r="AA245" i="28"/>
  <c r="AV245" i="28" s="1"/>
  <c r="AD245" i="28"/>
  <c r="AY245" i="28" s="1"/>
  <c r="AG245" i="28"/>
  <c r="BB245" i="28" s="1"/>
  <c r="AM245" i="28"/>
  <c r="BH245" i="28" s="1"/>
  <c r="AP245" i="28"/>
  <c r="BK245" i="28" s="1"/>
  <c r="AE317" i="28"/>
  <c r="AZ317" i="28" s="1"/>
  <c r="AQ317" i="28"/>
  <c r="BL317" i="28" s="1"/>
  <c r="AF317" i="28"/>
  <c r="BA317" i="28" s="1"/>
  <c r="AR317" i="28"/>
  <c r="BM317" i="28" s="1"/>
  <c r="AH317" i="28"/>
  <c r="BC317" i="28" s="1"/>
  <c r="AI317" i="28"/>
  <c r="BD317" i="28" s="1"/>
  <c r="Y317" i="28"/>
  <c r="AT317" i="28" s="1"/>
  <c r="AK317" i="28"/>
  <c r="BF317" i="28" s="1"/>
  <c r="Z317" i="28"/>
  <c r="AL317" i="28"/>
  <c r="BG317" i="28" s="1"/>
  <c r="AB317" i="28"/>
  <c r="AW317" i="28" s="1"/>
  <c r="AN317" i="28"/>
  <c r="BI317" i="28" s="1"/>
  <c r="AC317" i="28"/>
  <c r="AX317" i="28" s="1"/>
  <c r="AO317" i="28"/>
  <c r="BJ317" i="28" s="1"/>
  <c r="AP317" i="28"/>
  <c r="BK317" i="28" s="1"/>
  <c r="AA317" i="28"/>
  <c r="AV317" i="28" s="1"/>
  <c r="AD317" i="28"/>
  <c r="AY317" i="28" s="1"/>
  <c r="AG317" i="28"/>
  <c r="BB317" i="28" s="1"/>
  <c r="AJ317" i="28"/>
  <c r="BE317" i="28" s="1"/>
  <c r="AM317" i="28"/>
  <c r="BH317" i="28" s="1"/>
  <c r="AJ210" i="28"/>
  <c r="BE210" i="28" s="1"/>
  <c r="Y210" i="28"/>
  <c r="AT210" i="28" s="1"/>
  <c r="AK210" i="28"/>
  <c r="BF210" i="28" s="1"/>
  <c r="AA210" i="28"/>
  <c r="AV210" i="28" s="1"/>
  <c r="AM210" i="28"/>
  <c r="BH210" i="28" s="1"/>
  <c r="AB210" i="28"/>
  <c r="AW210" i="28" s="1"/>
  <c r="AN210" i="28"/>
  <c r="BI210" i="28" s="1"/>
  <c r="AC210" i="28"/>
  <c r="AX210" i="28" s="1"/>
  <c r="AO210" i="28"/>
  <c r="BJ210" i="28" s="1"/>
  <c r="AD210" i="28"/>
  <c r="AY210" i="28" s="1"/>
  <c r="AP210" i="28"/>
  <c r="BK210" i="28" s="1"/>
  <c r="AE210" i="28"/>
  <c r="AZ210" i="28" s="1"/>
  <c r="AQ210" i="28"/>
  <c r="BL210" i="28" s="1"/>
  <c r="AG210" i="28"/>
  <c r="BB210" i="28" s="1"/>
  <c r="AH210" i="28"/>
  <c r="BC210" i="28" s="1"/>
  <c r="Z210" i="28"/>
  <c r="AF210" i="28"/>
  <c r="BA210" i="28" s="1"/>
  <c r="AL210" i="28"/>
  <c r="BG210" i="28" s="1"/>
  <c r="AR210" i="28"/>
  <c r="BM210" i="28" s="1"/>
  <c r="AI210" i="28"/>
  <c r="BD210" i="28" s="1"/>
  <c r="AI282" i="28"/>
  <c r="BD282" i="28" s="1"/>
  <c r="AJ282" i="28"/>
  <c r="BE282" i="28" s="1"/>
  <c r="Z282" i="28"/>
  <c r="AL282" i="28"/>
  <c r="BG282" i="28" s="1"/>
  <c r="AA282" i="28"/>
  <c r="AV282" i="28" s="1"/>
  <c r="AM282" i="28"/>
  <c r="BH282" i="28" s="1"/>
  <c r="AB282" i="28"/>
  <c r="AW282" i="28" s="1"/>
  <c r="AN282" i="28"/>
  <c r="BI282" i="28" s="1"/>
  <c r="AC282" i="28"/>
  <c r="AX282" i="28" s="1"/>
  <c r="AO282" i="28"/>
  <c r="BJ282" i="28" s="1"/>
  <c r="AD282" i="28"/>
  <c r="AY282" i="28" s="1"/>
  <c r="AP282" i="28"/>
  <c r="BK282" i="28" s="1"/>
  <c r="AF282" i="28"/>
  <c r="BA282" i="28" s="1"/>
  <c r="AR282" i="28"/>
  <c r="BM282" i="28" s="1"/>
  <c r="AG282" i="28"/>
  <c r="BB282" i="28" s="1"/>
  <c r="Y282" i="28"/>
  <c r="AT282" i="28" s="1"/>
  <c r="AE282" i="28"/>
  <c r="AZ282" i="28" s="1"/>
  <c r="AH282" i="28"/>
  <c r="BC282" i="28" s="1"/>
  <c r="AK282" i="28"/>
  <c r="BF282" i="28" s="1"/>
  <c r="AQ282" i="28"/>
  <c r="BL282" i="28" s="1"/>
  <c r="AG354" i="28"/>
  <c r="BB354" i="28" s="1"/>
  <c r="AH354" i="28"/>
  <c r="BC354" i="28" s="1"/>
  <c r="AI354" i="28"/>
  <c r="BD354" i="28" s="1"/>
  <c r="AJ354" i="28"/>
  <c r="BE354" i="28" s="1"/>
  <c r="Y354" i="28"/>
  <c r="AT354" i="28" s="1"/>
  <c r="AK354" i="28"/>
  <c r="BF354" i="28" s="1"/>
  <c r="Z354" i="28"/>
  <c r="AL354" i="28"/>
  <c r="BG354" i="28" s="1"/>
  <c r="AA354" i="28"/>
  <c r="AV354" i="28" s="1"/>
  <c r="AM354" i="28"/>
  <c r="BH354" i="28" s="1"/>
  <c r="AB354" i="28"/>
  <c r="AW354" i="28" s="1"/>
  <c r="AN354" i="28"/>
  <c r="BI354" i="28" s="1"/>
  <c r="AC354" i="28"/>
  <c r="AX354" i="28" s="1"/>
  <c r="AO354" i="28"/>
  <c r="BJ354" i="28" s="1"/>
  <c r="AD354" i="28"/>
  <c r="AY354" i="28" s="1"/>
  <c r="AP354" i="28"/>
  <c r="BK354" i="28" s="1"/>
  <c r="AE354" i="28"/>
  <c r="AZ354" i="28" s="1"/>
  <c r="AQ354" i="28"/>
  <c r="BL354" i="28" s="1"/>
  <c r="AF354" i="28"/>
  <c r="BA354" i="28" s="1"/>
  <c r="AR354" i="28"/>
  <c r="BM354" i="28" s="1"/>
  <c r="AA247" i="28"/>
  <c r="AV247" i="28" s="1"/>
  <c r="AM247" i="28"/>
  <c r="BH247" i="28" s="1"/>
  <c r="AB247" i="28"/>
  <c r="AW247" i="28" s="1"/>
  <c r="AN247" i="28"/>
  <c r="BI247" i="28" s="1"/>
  <c r="AD247" i="28"/>
  <c r="AY247" i="28" s="1"/>
  <c r="AP247" i="28"/>
  <c r="BK247" i="28" s="1"/>
  <c r="AE247" i="28"/>
  <c r="AZ247" i="28" s="1"/>
  <c r="AQ247" i="28"/>
  <c r="BL247" i="28" s="1"/>
  <c r="AF247" i="28"/>
  <c r="BA247" i="28" s="1"/>
  <c r="AR247" i="28"/>
  <c r="BM247" i="28" s="1"/>
  <c r="AG247" i="28"/>
  <c r="BB247" i="28" s="1"/>
  <c r="AH247" i="28"/>
  <c r="BC247" i="28" s="1"/>
  <c r="AJ247" i="28"/>
  <c r="BE247" i="28" s="1"/>
  <c r="Y247" i="28"/>
  <c r="AT247" i="28" s="1"/>
  <c r="AK247" i="28"/>
  <c r="BF247" i="28" s="1"/>
  <c r="AI247" i="28"/>
  <c r="BD247" i="28" s="1"/>
  <c r="AL247" i="28"/>
  <c r="BG247" i="28" s="1"/>
  <c r="AO247" i="28"/>
  <c r="BJ247" i="28" s="1"/>
  <c r="Z247" i="28"/>
  <c r="AC247" i="28"/>
  <c r="AX247" i="28" s="1"/>
  <c r="AA319" i="28"/>
  <c r="AV319" i="28" s="1"/>
  <c r="AM319" i="28"/>
  <c r="BH319" i="28" s="1"/>
  <c r="AB319" i="28"/>
  <c r="AW319" i="28" s="1"/>
  <c r="AN319" i="28"/>
  <c r="BI319" i="28" s="1"/>
  <c r="AD319" i="28"/>
  <c r="AY319" i="28" s="1"/>
  <c r="AP319" i="28"/>
  <c r="BK319" i="28" s="1"/>
  <c r="AE319" i="28"/>
  <c r="AZ319" i="28" s="1"/>
  <c r="AQ319" i="28"/>
  <c r="BL319" i="28" s="1"/>
  <c r="AG319" i="28"/>
  <c r="BB319" i="28" s="1"/>
  <c r="AH319" i="28"/>
  <c r="BC319" i="28" s="1"/>
  <c r="AJ319" i="28"/>
  <c r="BE319" i="28" s="1"/>
  <c r="Y319" i="28"/>
  <c r="AT319" i="28" s="1"/>
  <c r="AK319" i="28"/>
  <c r="BF319" i="28" s="1"/>
  <c r="AL319" i="28"/>
  <c r="BG319" i="28" s="1"/>
  <c r="AO319" i="28"/>
  <c r="BJ319" i="28" s="1"/>
  <c r="AR319" i="28"/>
  <c r="BM319" i="28" s="1"/>
  <c r="Z319" i="28"/>
  <c r="AC319" i="28"/>
  <c r="AX319" i="28" s="1"/>
  <c r="AF319" i="28"/>
  <c r="BA319" i="28" s="1"/>
  <c r="AI319" i="28"/>
  <c r="BD319" i="28" s="1"/>
  <c r="AF218" i="28"/>
  <c r="BA218" i="28" s="1"/>
  <c r="AR218" i="28"/>
  <c r="BM218" i="28" s="1"/>
  <c r="AG218" i="28"/>
  <c r="BB218" i="28" s="1"/>
  <c r="AI218" i="28"/>
  <c r="BD218" i="28" s="1"/>
  <c r="AJ218" i="28"/>
  <c r="BE218" i="28" s="1"/>
  <c r="Y218" i="28"/>
  <c r="AT218" i="28" s="1"/>
  <c r="AK218" i="28"/>
  <c r="BF218" i="28" s="1"/>
  <c r="Z218" i="28"/>
  <c r="AL218" i="28"/>
  <c r="BG218" i="28" s="1"/>
  <c r="AA218" i="28"/>
  <c r="AV218" i="28" s="1"/>
  <c r="AM218" i="28"/>
  <c r="BH218" i="28" s="1"/>
  <c r="AC218" i="28"/>
  <c r="AX218" i="28" s="1"/>
  <c r="AO218" i="28"/>
  <c r="BJ218" i="28" s="1"/>
  <c r="AD218" i="28"/>
  <c r="AY218" i="28" s="1"/>
  <c r="AP218" i="28"/>
  <c r="BK218" i="28" s="1"/>
  <c r="AB218" i="28"/>
  <c r="AW218" i="28" s="1"/>
  <c r="AE218" i="28"/>
  <c r="AZ218" i="28" s="1"/>
  <c r="AH218" i="28"/>
  <c r="BC218" i="28" s="1"/>
  <c r="AN218" i="28"/>
  <c r="BI218" i="28" s="1"/>
  <c r="AQ218" i="28"/>
  <c r="BL218" i="28" s="1"/>
  <c r="AE290" i="28"/>
  <c r="AZ290" i="28" s="1"/>
  <c r="AQ290" i="28"/>
  <c r="BL290" i="28" s="1"/>
  <c r="AF290" i="28"/>
  <c r="BA290" i="28" s="1"/>
  <c r="AR290" i="28"/>
  <c r="BM290" i="28" s="1"/>
  <c r="AH290" i="28"/>
  <c r="BC290" i="28" s="1"/>
  <c r="AI290" i="28"/>
  <c r="BD290" i="28" s="1"/>
  <c r="AJ290" i="28"/>
  <c r="BE290" i="28" s="1"/>
  <c r="Y290" i="28"/>
  <c r="AT290" i="28" s="1"/>
  <c r="AK290" i="28"/>
  <c r="BF290" i="28" s="1"/>
  <c r="Z290" i="28"/>
  <c r="AL290" i="28"/>
  <c r="BG290" i="28" s="1"/>
  <c r="AB290" i="28"/>
  <c r="AW290" i="28" s="1"/>
  <c r="AN290" i="28"/>
  <c r="BI290" i="28" s="1"/>
  <c r="AC290" i="28"/>
  <c r="AX290" i="28" s="1"/>
  <c r="AO290" i="28"/>
  <c r="BJ290" i="28" s="1"/>
  <c r="AM290" i="28"/>
  <c r="BH290" i="28" s="1"/>
  <c r="AP290" i="28"/>
  <c r="BK290" i="28" s="1"/>
  <c r="AA290" i="28"/>
  <c r="AV290" i="28" s="1"/>
  <c r="AD290" i="28"/>
  <c r="AY290" i="28" s="1"/>
  <c r="AG290" i="28"/>
  <c r="BB290" i="28" s="1"/>
  <c r="AC362" i="28"/>
  <c r="AX362" i="28" s="1"/>
  <c r="AO362" i="28"/>
  <c r="BJ362" i="28" s="1"/>
  <c r="AD362" i="28"/>
  <c r="AY362" i="28" s="1"/>
  <c r="AP362" i="28"/>
  <c r="BK362" i="28" s="1"/>
  <c r="AE362" i="28"/>
  <c r="AZ362" i="28" s="1"/>
  <c r="AQ362" i="28"/>
  <c r="BL362" i="28" s="1"/>
  <c r="AF362" i="28"/>
  <c r="BA362" i="28" s="1"/>
  <c r="AR362" i="28"/>
  <c r="BM362" i="28" s="1"/>
  <c r="AG362" i="28"/>
  <c r="BB362" i="28" s="1"/>
  <c r="AH362" i="28"/>
  <c r="BC362" i="28" s="1"/>
  <c r="AI362" i="28"/>
  <c r="BD362" i="28" s="1"/>
  <c r="AJ362" i="28"/>
  <c r="BE362" i="28" s="1"/>
  <c r="Y362" i="28"/>
  <c r="AT362" i="28" s="1"/>
  <c r="AK362" i="28"/>
  <c r="BF362" i="28" s="1"/>
  <c r="Z362" i="28"/>
  <c r="AL362" i="28"/>
  <c r="BG362" i="28" s="1"/>
  <c r="AA362" i="28"/>
  <c r="AV362" i="28" s="1"/>
  <c r="AM362" i="28"/>
  <c r="BH362" i="28" s="1"/>
  <c r="AN362" i="28"/>
  <c r="BI362" i="28" s="1"/>
  <c r="AB362" i="28"/>
  <c r="AW362" i="28" s="1"/>
  <c r="BA396" i="30"/>
  <c r="AI356" i="24"/>
  <c r="BD356" i="24" s="1"/>
  <c r="AJ356" i="24"/>
  <c r="BE356" i="24" s="1"/>
  <c r="AK356" i="24"/>
  <c r="BF356" i="24" s="1"/>
  <c r="Z356" i="24"/>
  <c r="AL356" i="24"/>
  <c r="BG356" i="24" s="1"/>
  <c r="AA356" i="24"/>
  <c r="AV356" i="24" s="1"/>
  <c r="AM356" i="24"/>
  <c r="BH356" i="24" s="1"/>
  <c r="AB356" i="24"/>
  <c r="AW356" i="24" s="1"/>
  <c r="AN356" i="24"/>
  <c r="BI356" i="24" s="1"/>
  <c r="AC356" i="24"/>
  <c r="AX356" i="24" s="1"/>
  <c r="AO356" i="24"/>
  <c r="BJ356" i="24" s="1"/>
  <c r="Y356" i="24"/>
  <c r="AT356" i="24" s="1"/>
  <c r="AD356" i="24"/>
  <c r="AY356" i="24" s="1"/>
  <c r="AP356" i="24"/>
  <c r="BK356" i="24" s="1"/>
  <c r="AE356" i="24"/>
  <c r="AZ356" i="24" s="1"/>
  <c r="AQ356" i="24"/>
  <c r="BL356" i="24" s="1"/>
  <c r="AF356" i="24"/>
  <c r="BA356" i="24" s="1"/>
  <c r="AR356" i="24"/>
  <c r="BM356" i="24" s="1"/>
  <c r="AG356" i="24"/>
  <c r="BB356" i="24" s="1"/>
  <c r="AH356" i="24"/>
  <c r="BC356" i="24" s="1"/>
  <c r="Z63" i="24"/>
  <c r="AK63" i="24"/>
  <c r="BF63" i="24" s="1"/>
  <c r="AL63" i="24"/>
  <c r="BG63" i="24" s="1"/>
  <c r="AA63" i="24"/>
  <c r="AV63" i="24" s="1"/>
  <c r="AM63" i="24"/>
  <c r="BH63" i="24" s="1"/>
  <c r="AB63" i="24"/>
  <c r="AW63" i="24" s="1"/>
  <c r="AN63" i="24"/>
  <c r="BI63" i="24" s="1"/>
  <c r="AC63" i="24"/>
  <c r="AX63" i="24" s="1"/>
  <c r="AO63" i="24"/>
  <c r="BJ63" i="24" s="1"/>
  <c r="AD63" i="24"/>
  <c r="AY63" i="24" s="1"/>
  <c r="AP63" i="24"/>
  <c r="BK63" i="24" s="1"/>
  <c r="AE63" i="24"/>
  <c r="AZ63" i="24" s="1"/>
  <c r="AQ63" i="24"/>
  <c r="BL63" i="24" s="1"/>
  <c r="AF63" i="24"/>
  <c r="BA63" i="24" s="1"/>
  <c r="AR63" i="24"/>
  <c r="BM63" i="24" s="1"/>
  <c r="AG63" i="24"/>
  <c r="BB63" i="24" s="1"/>
  <c r="Y63" i="24"/>
  <c r="AT63" i="24" s="1"/>
  <c r="AH63" i="24"/>
  <c r="BC63" i="24" s="1"/>
  <c r="AI63" i="24"/>
  <c r="BD63" i="24" s="1"/>
  <c r="AJ63" i="24"/>
  <c r="BE63" i="24" s="1"/>
  <c r="I46" i="29"/>
  <c r="H46" i="29"/>
  <c r="I35" i="29"/>
  <c r="J35" i="29"/>
  <c r="K35" i="29"/>
  <c r="L35" i="29"/>
  <c r="M35" i="29"/>
  <c r="N35" i="29"/>
  <c r="O35" i="29"/>
  <c r="P35" i="29"/>
  <c r="R35" i="29"/>
  <c r="S35" i="29"/>
  <c r="T35" i="29"/>
  <c r="U35" i="29"/>
  <c r="V35" i="29"/>
  <c r="W35" i="29"/>
  <c r="X35" i="29"/>
  <c r="Y35" i="29"/>
  <c r="Z35" i="29"/>
  <c r="AA35" i="29"/>
  <c r="AC35" i="29"/>
  <c r="AD35" i="29"/>
  <c r="AE35" i="29"/>
  <c r="AF35" i="29"/>
  <c r="AG35" i="29"/>
  <c r="AH35" i="29"/>
  <c r="AI35" i="29"/>
  <c r="I44" i="29"/>
  <c r="J44" i="29"/>
  <c r="K44" i="29"/>
  <c r="L44" i="29"/>
  <c r="M44" i="29"/>
  <c r="N44" i="29"/>
  <c r="O44" i="29"/>
  <c r="P44" i="29"/>
  <c r="R44" i="29"/>
  <c r="S44" i="29"/>
  <c r="T44" i="29"/>
  <c r="U44" i="29"/>
  <c r="V44" i="29"/>
  <c r="W44" i="29"/>
  <c r="X44" i="29"/>
  <c r="Y44" i="29"/>
  <c r="Z44" i="29"/>
  <c r="AA44" i="29"/>
  <c r="AB44" i="29"/>
  <c r="AC44" i="29"/>
  <c r="AD44" i="29"/>
  <c r="AE44" i="29"/>
  <c r="AF44" i="29"/>
  <c r="AG44" i="29"/>
  <c r="AH44" i="29"/>
  <c r="AI44" i="29"/>
  <c r="H44" i="29"/>
  <c r="I43" i="29"/>
  <c r="H43" i="29"/>
  <c r="I41" i="29"/>
  <c r="J41" i="29"/>
  <c r="K41" i="29"/>
  <c r="L41" i="29"/>
  <c r="M41" i="29"/>
  <c r="N41" i="29"/>
  <c r="O41" i="29"/>
  <c r="P41" i="29"/>
  <c r="R41" i="29"/>
  <c r="S41" i="29"/>
  <c r="T41" i="29"/>
  <c r="U41" i="29"/>
  <c r="V41" i="29"/>
  <c r="W41" i="29"/>
  <c r="X41" i="29"/>
  <c r="Y41" i="29"/>
  <c r="Z41" i="29"/>
  <c r="AA41" i="29"/>
  <c r="AB41" i="29"/>
  <c r="AC41" i="29"/>
  <c r="AD41" i="29"/>
  <c r="AE41" i="29"/>
  <c r="AF41" i="29"/>
  <c r="AG41" i="29"/>
  <c r="AH41" i="29"/>
  <c r="AI41" i="29"/>
  <c r="H41" i="29"/>
  <c r="I40" i="29"/>
  <c r="H40" i="29"/>
  <c r="I37" i="29"/>
  <c r="H37" i="29"/>
  <c r="F36" i="29"/>
  <c r="F39" i="29" s="1"/>
  <c r="F42" i="29" s="1"/>
  <c r="F45" i="29" s="1"/>
  <c r="AO391" i="28"/>
  <c r="AO390" i="28"/>
  <c r="AO391" i="27"/>
  <c r="AO390" i="27"/>
  <c r="AO391" i="26"/>
  <c r="AO390" i="26"/>
  <c r="AO391" i="25"/>
  <c r="AO390" i="25"/>
  <c r="AO391" i="24"/>
  <c r="AO390" i="24"/>
  <c r="AA16" i="24"/>
  <c r="AV16" i="24" s="1"/>
  <c r="AV387" i="24" s="1"/>
  <c r="AB16" i="24"/>
  <c r="AW16" i="24" s="1"/>
  <c r="AW387" i="24" s="1"/>
  <c r="AC16" i="24"/>
  <c r="AX16" i="24" s="1"/>
  <c r="AX387" i="24" s="1"/>
  <c r="AD16" i="24"/>
  <c r="AY16" i="24" s="1"/>
  <c r="AY387" i="24" s="1"/>
  <c r="AE16" i="24"/>
  <c r="AZ16" i="24" s="1"/>
  <c r="AZ387" i="24" s="1"/>
  <c r="AF16" i="24"/>
  <c r="BA16" i="24" s="1"/>
  <c r="BA387" i="24" s="1"/>
  <c r="AG16" i="24"/>
  <c r="BB16" i="24" s="1"/>
  <c r="BB387" i="24" s="1"/>
  <c r="AH16" i="24"/>
  <c r="BC16" i="24" s="1"/>
  <c r="BC387" i="24" s="1"/>
  <c r="AI16" i="24"/>
  <c r="BD16" i="24" s="1"/>
  <c r="BD387" i="24" s="1"/>
  <c r="AJ16" i="24"/>
  <c r="BE16" i="24" s="1"/>
  <c r="BE387" i="24" s="1"/>
  <c r="AK16" i="24"/>
  <c r="BF16" i="24" s="1"/>
  <c r="BF387" i="24" s="1"/>
  <c r="AL16" i="24"/>
  <c r="BG16" i="24" s="1"/>
  <c r="BG387" i="24" s="1"/>
  <c r="AM16" i="24"/>
  <c r="BH16" i="24" s="1"/>
  <c r="BH387" i="24" s="1"/>
  <c r="AN16" i="24"/>
  <c r="BI16" i="24" s="1"/>
  <c r="BI387" i="24" s="1"/>
  <c r="AO16" i="24"/>
  <c r="BJ16" i="24" s="1"/>
  <c r="BJ387" i="24" s="1"/>
  <c r="AP16" i="24"/>
  <c r="BK16" i="24" s="1"/>
  <c r="BK387" i="24" s="1"/>
  <c r="AQ16" i="24"/>
  <c r="BL16" i="24" s="1"/>
  <c r="BL387" i="24" s="1"/>
  <c r="AR16" i="24"/>
  <c r="BM16" i="24" s="1"/>
  <c r="BM387" i="24" s="1"/>
  <c r="AA16" i="25"/>
  <c r="AV16" i="25" s="1"/>
  <c r="AV387" i="25" s="1"/>
  <c r="AB16" i="25"/>
  <c r="AW16" i="25" s="1"/>
  <c r="AW387" i="25" s="1"/>
  <c r="AC16" i="25"/>
  <c r="AX16" i="25" s="1"/>
  <c r="AX387" i="25" s="1"/>
  <c r="AD16" i="25"/>
  <c r="AY16" i="25" s="1"/>
  <c r="AY387" i="25" s="1"/>
  <c r="AE16" i="25"/>
  <c r="AZ16" i="25" s="1"/>
  <c r="AZ387" i="25" s="1"/>
  <c r="AF16" i="25"/>
  <c r="BA16" i="25" s="1"/>
  <c r="BA387" i="25" s="1"/>
  <c r="AG16" i="25"/>
  <c r="BB16" i="25" s="1"/>
  <c r="BB387" i="25" s="1"/>
  <c r="AH16" i="25"/>
  <c r="BC16" i="25" s="1"/>
  <c r="AI16" i="25"/>
  <c r="BD16" i="25" s="1"/>
  <c r="BD387" i="25" s="1"/>
  <c r="AJ16" i="25"/>
  <c r="BE16" i="25" s="1"/>
  <c r="BE387" i="25" s="1"/>
  <c r="AK16" i="25"/>
  <c r="BF16" i="25" s="1"/>
  <c r="BF387" i="25" s="1"/>
  <c r="AL16" i="25"/>
  <c r="BG16" i="25" s="1"/>
  <c r="BG387" i="25" s="1"/>
  <c r="AM16" i="25"/>
  <c r="BH16" i="25" s="1"/>
  <c r="BH387" i="25" s="1"/>
  <c r="AN16" i="25"/>
  <c r="BI16" i="25" s="1"/>
  <c r="BI387" i="25" s="1"/>
  <c r="AO16" i="25"/>
  <c r="BJ16" i="25" s="1"/>
  <c r="BJ387" i="25" s="1"/>
  <c r="AP16" i="25"/>
  <c r="BK16" i="25" s="1"/>
  <c r="BK387" i="25" s="1"/>
  <c r="AQ16" i="25"/>
  <c r="BL16" i="25" s="1"/>
  <c r="BL387" i="25" s="1"/>
  <c r="AR16" i="25"/>
  <c r="BM16" i="25" s="1"/>
  <c r="BM387" i="25" s="1"/>
  <c r="AA16" i="26"/>
  <c r="AV16" i="26" s="1"/>
  <c r="AV387" i="26" s="1"/>
  <c r="AB16" i="26"/>
  <c r="AW16" i="26" s="1"/>
  <c r="AW387" i="26" s="1"/>
  <c r="AC16" i="26"/>
  <c r="AX16" i="26" s="1"/>
  <c r="AX387" i="26" s="1"/>
  <c r="AD16" i="26"/>
  <c r="AY16" i="26" s="1"/>
  <c r="AY387" i="26" s="1"/>
  <c r="AE16" i="26"/>
  <c r="AZ16" i="26" s="1"/>
  <c r="AZ387" i="26" s="1"/>
  <c r="AF16" i="26"/>
  <c r="BA16" i="26" s="1"/>
  <c r="BA387" i="26" s="1"/>
  <c r="AG16" i="26"/>
  <c r="BB16" i="26" s="1"/>
  <c r="BB387" i="26" s="1"/>
  <c r="AH16" i="26"/>
  <c r="BC16" i="26" s="1"/>
  <c r="BC387" i="26" s="1"/>
  <c r="AI16" i="26"/>
  <c r="BD16" i="26" s="1"/>
  <c r="BD387" i="26" s="1"/>
  <c r="AJ16" i="26"/>
  <c r="BE16" i="26" s="1"/>
  <c r="BE387" i="26" s="1"/>
  <c r="AK16" i="26"/>
  <c r="BF16" i="26" s="1"/>
  <c r="BF387" i="26" s="1"/>
  <c r="AL16" i="26"/>
  <c r="BG16" i="26" s="1"/>
  <c r="BG387" i="26" s="1"/>
  <c r="AM16" i="26"/>
  <c r="BH16" i="26" s="1"/>
  <c r="BH387" i="26" s="1"/>
  <c r="AN16" i="26"/>
  <c r="BI16" i="26" s="1"/>
  <c r="BI387" i="26" s="1"/>
  <c r="AO16" i="26"/>
  <c r="BJ16" i="26" s="1"/>
  <c r="BJ387" i="26" s="1"/>
  <c r="AP16" i="26"/>
  <c r="BK16" i="26" s="1"/>
  <c r="BK387" i="26" s="1"/>
  <c r="AQ16" i="26"/>
  <c r="BL16" i="26" s="1"/>
  <c r="BL387" i="26" s="1"/>
  <c r="AR16" i="26"/>
  <c r="BM16" i="26" s="1"/>
  <c r="BM387" i="26" s="1"/>
  <c r="AA16" i="27"/>
  <c r="AV16" i="27" s="1"/>
  <c r="AV387" i="27" s="1"/>
  <c r="AB16" i="27"/>
  <c r="AW16" i="27" s="1"/>
  <c r="AW387" i="27" s="1"/>
  <c r="AC16" i="27"/>
  <c r="AX16" i="27" s="1"/>
  <c r="AX387" i="27" s="1"/>
  <c r="AD16" i="27"/>
  <c r="AY16" i="27" s="1"/>
  <c r="AY387" i="27" s="1"/>
  <c r="AE16" i="27"/>
  <c r="AZ16" i="27" s="1"/>
  <c r="AZ387" i="27" s="1"/>
  <c r="AF16" i="27"/>
  <c r="BA16" i="27" s="1"/>
  <c r="BA387" i="27" s="1"/>
  <c r="AG16" i="27"/>
  <c r="BB16" i="27" s="1"/>
  <c r="BB387" i="27" s="1"/>
  <c r="AH16" i="27"/>
  <c r="BC16" i="27" s="1"/>
  <c r="BC387" i="27" s="1"/>
  <c r="AI16" i="27"/>
  <c r="BD16" i="27" s="1"/>
  <c r="BD387" i="27" s="1"/>
  <c r="AJ16" i="27"/>
  <c r="BE16" i="27" s="1"/>
  <c r="BE387" i="27" s="1"/>
  <c r="AK16" i="27"/>
  <c r="BF16" i="27" s="1"/>
  <c r="BF387" i="27" s="1"/>
  <c r="AL16" i="27"/>
  <c r="BG16" i="27" s="1"/>
  <c r="BG387" i="27" s="1"/>
  <c r="AM16" i="27"/>
  <c r="BH16" i="27" s="1"/>
  <c r="BH387" i="27" s="1"/>
  <c r="AN16" i="27"/>
  <c r="BI16" i="27" s="1"/>
  <c r="BI387" i="27" s="1"/>
  <c r="AO16" i="27"/>
  <c r="BJ16" i="27" s="1"/>
  <c r="BJ387" i="27" s="1"/>
  <c r="AP16" i="27"/>
  <c r="BK16" i="27" s="1"/>
  <c r="BK387" i="27" s="1"/>
  <c r="AQ16" i="27"/>
  <c r="BL16" i="27" s="1"/>
  <c r="BL387" i="27" s="1"/>
  <c r="AR16" i="27"/>
  <c r="BM16" i="27" s="1"/>
  <c r="BM387" i="27" s="1"/>
  <c r="AA16" i="28"/>
  <c r="AV16" i="28" s="1"/>
  <c r="AV387" i="28" s="1"/>
  <c r="AB16" i="28"/>
  <c r="AW16" i="28" s="1"/>
  <c r="AW387" i="28" s="1"/>
  <c r="AC16" i="28"/>
  <c r="AX16" i="28" s="1"/>
  <c r="AX387" i="28" s="1"/>
  <c r="AD16" i="28"/>
  <c r="AY16" i="28" s="1"/>
  <c r="AY387" i="28" s="1"/>
  <c r="AE16" i="28"/>
  <c r="AZ16" i="28" s="1"/>
  <c r="AZ387" i="28" s="1"/>
  <c r="AF16" i="28"/>
  <c r="BA16" i="28" s="1"/>
  <c r="BA387" i="28" s="1"/>
  <c r="AG16" i="28"/>
  <c r="BB16" i="28" s="1"/>
  <c r="BB387" i="28" s="1"/>
  <c r="AH16" i="28"/>
  <c r="BC16" i="28" s="1"/>
  <c r="BC387" i="28" s="1"/>
  <c r="AI16" i="28"/>
  <c r="BD16" i="28" s="1"/>
  <c r="BD387" i="28" s="1"/>
  <c r="AJ16" i="28"/>
  <c r="BE16" i="28" s="1"/>
  <c r="BE387" i="28" s="1"/>
  <c r="AK16" i="28"/>
  <c r="BF16" i="28" s="1"/>
  <c r="BF387" i="28" s="1"/>
  <c r="AL16" i="28"/>
  <c r="BG16" i="28" s="1"/>
  <c r="BG387" i="28" s="1"/>
  <c r="AM16" i="28"/>
  <c r="BH16" i="28" s="1"/>
  <c r="BH387" i="28" s="1"/>
  <c r="AN16" i="28"/>
  <c r="BI16" i="28" s="1"/>
  <c r="BI387" i="28" s="1"/>
  <c r="AO16" i="28"/>
  <c r="BJ16" i="28" s="1"/>
  <c r="BJ387" i="28" s="1"/>
  <c r="AP16" i="28"/>
  <c r="BK16" i="28" s="1"/>
  <c r="BK387" i="28" s="1"/>
  <c r="AQ16" i="28"/>
  <c r="BL16" i="28" s="1"/>
  <c r="BL387" i="28" s="1"/>
  <c r="AR16" i="28"/>
  <c r="BM16" i="28" s="1"/>
  <c r="BM387" i="28" s="1"/>
  <c r="Y16" i="28"/>
  <c r="AT16" i="28" s="1"/>
  <c r="AT387" i="28" s="1"/>
  <c r="Y2" i="28"/>
  <c r="AT2" i="28" s="1"/>
  <c r="AT386" i="28" s="1"/>
  <c r="BK1" i="28"/>
  <c r="BL1" i="28"/>
  <c r="BM1" i="28"/>
  <c r="AU1" i="28"/>
  <c r="AV1" i="28"/>
  <c r="AW1" i="28"/>
  <c r="AX1" i="28"/>
  <c r="AY1" i="28"/>
  <c r="AZ1" i="28"/>
  <c r="BA1" i="28"/>
  <c r="BB1" i="28"/>
  <c r="BC1" i="28"/>
  <c r="BD1" i="28"/>
  <c r="BE1" i="28"/>
  <c r="BF1" i="28"/>
  <c r="BG1" i="28"/>
  <c r="BH1" i="28"/>
  <c r="BI1" i="28"/>
  <c r="BJ1" i="28"/>
  <c r="AT1" i="28"/>
  <c r="Y16" i="27"/>
  <c r="AT16" i="27" s="1"/>
  <c r="AT387" i="27" s="1"/>
  <c r="Y2" i="27"/>
  <c r="AT2" i="27" s="1"/>
  <c r="AT386" i="27" s="1"/>
  <c r="AU1" i="27"/>
  <c r="AV1" i="27"/>
  <c r="AW1" i="27"/>
  <c r="AX1" i="27"/>
  <c r="AY1" i="27"/>
  <c r="AZ1" i="27"/>
  <c r="BA1" i="27"/>
  <c r="BB1" i="27"/>
  <c r="BC1" i="27"/>
  <c r="BD1" i="27"/>
  <c r="BE1" i="27"/>
  <c r="BF1" i="27"/>
  <c r="BG1" i="27"/>
  <c r="BH1" i="27"/>
  <c r="BI1" i="27"/>
  <c r="BJ1" i="27"/>
  <c r="BK1" i="27"/>
  <c r="BL1" i="27"/>
  <c r="BM1" i="27"/>
  <c r="AT1" i="27"/>
  <c r="Y16" i="26"/>
  <c r="Y2" i="26"/>
  <c r="AT2" i="26" s="1"/>
  <c r="AT386" i="26" s="1"/>
  <c r="AU1" i="26"/>
  <c r="AV1" i="26"/>
  <c r="AW1" i="26"/>
  <c r="AX1" i="26"/>
  <c r="AY1" i="26"/>
  <c r="AZ1" i="26"/>
  <c r="BA1" i="26"/>
  <c r="BB1" i="26"/>
  <c r="BC1" i="26"/>
  <c r="BD1" i="26"/>
  <c r="BE1" i="26"/>
  <c r="BF1" i="26"/>
  <c r="BG1" i="26"/>
  <c r="BH1" i="26"/>
  <c r="BI1" i="26"/>
  <c r="BJ1" i="26"/>
  <c r="BK1" i="26"/>
  <c r="BL1" i="26"/>
  <c r="BM1" i="26"/>
  <c r="AT1" i="26"/>
  <c r="Y16" i="25"/>
  <c r="AT16" i="25" s="1"/>
  <c r="AT387" i="25" s="1"/>
  <c r="Y2" i="25"/>
  <c r="AT2" i="25" s="1"/>
  <c r="AT386" i="25" s="1"/>
  <c r="BL1" i="25"/>
  <c r="BM1" i="25"/>
  <c r="AU1" i="25"/>
  <c r="AV1" i="25"/>
  <c r="AW1" i="25"/>
  <c r="AX1" i="25"/>
  <c r="AY1" i="25"/>
  <c r="AZ1" i="25"/>
  <c r="BA1" i="25"/>
  <c r="BB1" i="25"/>
  <c r="BC1" i="25"/>
  <c r="BD1" i="25"/>
  <c r="BE1" i="25"/>
  <c r="BF1" i="25"/>
  <c r="BG1" i="25"/>
  <c r="BH1" i="25"/>
  <c r="BI1" i="25"/>
  <c r="BJ1" i="25"/>
  <c r="BK1" i="25"/>
  <c r="AT1" i="25"/>
  <c r="Y16" i="24"/>
  <c r="AT16" i="24" s="1"/>
  <c r="AT387" i="24" s="1"/>
  <c r="Y2" i="24"/>
  <c r="AT2" i="24" s="1"/>
  <c r="AT386" i="24" s="1"/>
  <c r="BM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AT1" i="24"/>
  <c r="F34" i="29"/>
  <c r="F37" i="29" s="1"/>
  <c r="F31" i="29"/>
  <c r="C26" i="29"/>
  <c r="AI20" i="29"/>
  <c r="AH20" i="29"/>
  <c r="AG20" i="29"/>
  <c r="AF20" i="29"/>
  <c r="AE20" i="29"/>
  <c r="AD20" i="29"/>
  <c r="AC20" i="29"/>
  <c r="AB20" i="29"/>
  <c r="AA20" i="29"/>
  <c r="Z20" i="29"/>
  <c r="Y20" i="29"/>
  <c r="X20" i="29"/>
  <c r="W20" i="29"/>
  <c r="V20" i="29"/>
  <c r="U20" i="29"/>
  <c r="T20" i="29"/>
  <c r="S20" i="29"/>
  <c r="R20" i="29"/>
  <c r="Q20" i="29"/>
  <c r="P20" i="29"/>
  <c r="O20" i="29"/>
  <c r="N20" i="29"/>
  <c r="M20" i="29"/>
  <c r="L20" i="29"/>
  <c r="K20" i="29"/>
  <c r="J20" i="29"/>
  <c r="I20" i="29"/>
  <c r="H20" i="29"/>
  <c r="G20" i="29"/>
  <c r="F20" i="29"/>
  <c r="D20" i="29"/>
  <c r="C20" i="29"/>
  <c r="AI19" i="29"/>
  <c r="AH19" i="29"/>
  <c r="AG19" i="29"/>
  <c r="AF19" i="29"/>
  <c r="AE19" i="29"/>
  <c r="AD19" i="29"/>
  <c r="AC19" i="29"/>
  <c r="AB19" i="29"/>
  <c r="AA19" i="29"/>
  <c r="Z19" i="29"/>
  <c r="Y19" i="29"/>
  <c r="X19" i="29"/>
  <c r="W19" i="29"/>
  <c r="V19" i="29"/>
  <c r="U19" i="29"/>
  <c r="T19" i="29"/>
  <c r="S19" i="29"/>
  <c r="R19" i="29"/>
  <c r="Q19" i="29"/>
  <c r="P19" i="29"/>
  <c r="O19" i="29"/>
  <c r="N19" i="29"/>
  <c r="M19" i="29"/>
  <c r="L19" i="29"/>
  <c r="K19" i="29"/>
  <c r="J19" i="29"/>
  <c r="I19" i="29"/>
  <c r="H19" i="29"/>
  <c r="G19" i="29"/>
  <c r="F19" i="29"/>
  <c r="E19" i="29"/>
  <c r="E20" i="29" s="1"/>
  <c r="D19" i="29"/>
  <c r="C19" i="29"/>
  <c r="AI18" i="29"/>
  <c r="AH18" i="29"/>
  <c r="AG18" i="29"/>
  <c r="AF18" i="29"/>
  <c r="AE18" i="29"/>
  <c r="AD18" i="29"/>
  <c r="AC18" i="29"/>
  <c r="AB18" i="29"/>
  <c r="AA18" i="29"/>
  <c r="Z18" i="29"/>
  <c r="Y18" i="29"/>
  <c r="X18" i="29"/>
  <c r="W18" i="29"/>
  <c r="V18" i="29"/>
  <c r="U18" i="29"/>
  <c r="T18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D18" i="29"/>
  <c r="C18" i="29"/>
  <c r="G13" i="29"/>
  <c r="F13" i="29"/>
  <c r="F14" i="29" s="1"/>
  <c r="F15" i="29" s="1"/>
  <c r="F16" i="29" s="1"/>
  <c r="F17" i="29" s="1"/>
  <c r="G12" i="29"/>
  <c r="C12" i="29"/>
  <c r="E9" i="29"/>
  <c r="E4" i="29"/>
  <c r="F3" i="29"/>
  <c r="F12" i="29" s="1"/>
  <c r="D3" i="29"/>
  <c r="F15" i="11"/>
  <c r="D15" i="11"/>
  <c r="C40" i="22" s="1"/>
  <c r="G42" i="12"/>
  <c r="G15" i="11" s="1"/>
  <c r="E42" i="12"/>
  <c r="G41" i="12"/>
  <c r="F41" i="12"/>
  <c r="D18" i="6"/>
  <c r="D20" i="6"/>
  <c r="E11" i="11"/>
  <c r="E12" i="11" s="1"/>
  <c r="E5" i="11"/>
  <c r="AK4" i="11"/>
  <c r="D29" i="22" s="1"/>
  <c r="E43" i="22"/>
  <c r="F43" i="22"/>
  <c r="G43" i="22"/>
  <c r="H43" i="22"/>
  <c r="I43" i="22"/>
  <c r="J43" i="22"/>
  <c r="K43" i="22"/>
  <c r="L43" i="22"/>
  <c r="C55" i="22"/>
  <c r="C57" i="22"/>
  <c r="C38" i="22"/>
  <c r="C18" i="22"/>
  <c r="F6" i="21"/>
  <c r="O2" i="22"/>
  <c r="O17" i="22" s="1"/>
  <c r="O60" i="22" s="1"/>
  <c r="P2" i="22"/>
  <c r="P27" i="22" s="1"/>
  <c r="Q2" i="22"/>
  <c r="Q17" i="22" s="1"/>
  <c r="Q60" i="22" s="1"/>
  <c r="R2" i="22"/>
  <c r="R17" i="22" s="1"/>
  <c r="R60" i="22" s="1"/>
  <c r="S2" i="22"/>
  <c r="S17" i="22" s="1"/>
  <c r="S60" i="22" s="1"/>
  <c r="T2" i="22"/>
  <c r="T27" i="22" s="1"/>
  <c r="U2" i="22"/>
  <c r="U27" i="22" s="1"/>
  <c r="V2" i="22"/>
  <c r="V17" i="22" s="1"/>
  <c r="V60" i="22" s="1"/>
  <c r="W2" i="22"/>
  <c r="W17" i="22" s="1"/>
  <c r="W60" i="22" s="1"/>
  <c r="X2" i="22"/>
  <c r="X17" i="22" s="1"/>
  <c r="X60" i="22" s="1"/>
  <c r="Y2" i="22"/>
  <c r="Y27" i="22" s="1"/>
  <c r="Z2" i="22"/>
  <c r="Z17" i="22" s="1"/>
  <c r="Z60" i="22" s="1"/>
  <c r="AA2" i="22"/>
  <c r="AA17" i="22" s="1"/>
  <c r="AA60" i="22" s="1"/>
  <c r="AB2" i="22"/>
  <c r="AB27" i="22" s="1"/>
  <c r="AC2" i="22"/>
  <c r="AC17" i="22" s="1"/>
  <c r="AC60" i="22" s="1"/>
  <c r="AD2" i="22"/>
  <c r="AD17" i="22" s="1"/>
  <c r="AD60" i="22" s="1"/>
  <c r="AE2" i="22"/>
  <c r="AE27" i="22" s="1"/>
  <c r="N2" i="22"/>
  <c r="N17" i="22" s="1"/>
  <c r="N60" i="22" s="1"/>
  <c r="AW12" i="11" l="1"/>
  <c r="BI12" i="11"/>
  <c r="AL12" i="11"/>
  <c r="AX12" i="11"/>
  <c r="BJ12" i="11"/>
  <c r="AV12" i="11"/>
  <c r="AM12" i="11"/>
  <c r="AY12" i="11"/>
  <c r="BK12" i="11"/>
  <c r="AN12" i="11"/>
  <c r="AZ12" i="11"/>
  <c r="BL12" i="11"/>
  <c r="AO12" i="11"/>
  <c r="BA12" i="11"/>
  <c r="AP12" i="11"/>
  <c r="BB12" i="11"/>
  <c r="AQ12" i="11"/>
  <c r="BC12" i="11"/>
  <c r="AR12" i="11"/>
  <c r="BD12" i="11"/>
  <c r="AS12" i="11"/>
  <c r="BE12" i="11"/>
  <c r="AT12" i="11"/>
  <c r="BF12" i="11"/>
  <c r="AU12" i="11"/>
  <c r="BG12" i="11"/>
  <c r="BH12" i="11"/>
  <c r="E30" i="21"/>
  <c r="AW5" i="11"/>
  <c r="BI5" i="11"/>
  <c r="AL5" i="11"/>
  <c r="AX5" i="11"/>
  <c r="BJ5" i="11"/>
  <c r="AM5" i="11"/>
  <c r="AY5" i="11"/>
  <c r="BK5" i="11"/>
  <c r="AN5" i="11"/>
  <c r="AZ5" i="11"/>
  <c r="BL5" i="11"/>
  <c r="AO5" i="11"/>
  <c r="BA5" i="11"/>
  <c r="AP5" i="11"/>
  <c r="BB5" i="11"/>
  <c r="AQ5" i="11"/>
  <c r="BC5" i="11"/>
  <c r="AR5" i="11"/>
  <c r="BD5" i="11"/>
  <c r="AS5" i="11"/>
  <c r="BE5" i="11"/>
  <c r="AT5" i="11"/>
  <c r="BF5" i="11"/>
  <c r="AU5" i="11"/>
  <c r="BG5" i="11"/>
  <c r="AV5" i="11"/>
  <c r="BH5" i="11"/>
  <c r="F262" i="33"/>
  <c r="F292" i="33" s="1"/>
  <c r="G89" i="12"/>
  <c r="AU186" i="30"/>
  <c r="D251" i="16" s="1"/>
  <c r="AU201" i="30"/>
  <c r="D266" i="16" s="1"/>
  <c r="AU88" i="30"/>
  <c r="D153" i="16" s="1"/>
  <c r="AU171" i="30"/>
  <c r="D236" i="16" s="1"/>
  <c r="AU190" i="30"/>
  <c r="D255" i="16" s="1"/>
  <c r="AU210" i="30"/>
  <c r="D275" i="16" s="1"/>
  <c r="AU116" i="30"/>
  <c r="D181" i="16" s="1"/>
  <c r="AU96" i="30"/>
  <c r="D161" i="16" s="1"/>
  <c r="AU90" i="30"/>
  <c r="D155" i="16" s="1"/>
  <c r="AU170" i="30"/>
  <c r="D235" i="16" s="1"/>
  <c r="AU221" i="30"/>
  <c r="D286" i="16" s="1"/>
  <c r="AU144" i="30"/>
  <c r="D209" i="16" s="1"/>
  <c r="AU209" i="30"/>
  <c r="D274" i="16" s="1"/>
  <c r="AU224" i="30"/>
  <c r="D289" i="16" s="1"/>
  <c r="AU203" i="30"/>
  <c r="D268" i="16" s="1"/>
  <c r="AU97" i="30"/>
  <c r="D162" i="16" s="1"/>
  <c r="AU95" i="30"/>
  <c r="D160" i="16" s="1"/>
  <c r="AU212" i="30"/>
  <c r="D277" i="16" s="1"/>
  <c r="AU126" i="30"/>
  <c r="D191" i="16" s="1"/>
  <c r="AU192" i="30"/>
  <c r="D257" i="16" s="1"/>
  <c r="AU185" i="30"/>
  <c r="D250" i="16" s="1"/>
  <c r="AU108" i="30"/>
  <c r="D173" i="16" s="1"/>
  <c r="AU114" i="30"/>
  <c r="D179" i="16" s="1"/>
  <c r="AU180" i="30"/>
  <c r="D245" i="16" s="1"/>
  <c r="AU214" i="30"/>
  <c r="D279" i="16" s="1"/>
  <c r="AU142" i="30"/>
  <c r="D207" i="16" s="1"/>
  <c r="AU109" i="30"/>
  <c r="D174" i="16" s="1"/>
  <c r="AU155" i="30"/>
  <c r="D220" i="16" s="1"/>
  <c r="AU80" i="30"/>
  <c r="D145" i="16" s="1"/>
  <c r="AU143" i="30"/>
  <c r="D208" i="16" s="1"/>
  <c r="AU91" i="30"/>
  <c r="D156" i="16" s="1"/>
  <c r="AU199" i="30"/>
  <c r="D264" i="16" s="1"/>
  <c r="AU79" i="30"/>
  <c r="D144" i="16" s="1"/>
  <c r="AU77" i="30"/>
  <c r="D142" i="16" s="1"/>
  <c r="AU194" i="30"/>
  <c r="D259" i="16" s="1"/>
  <c r="AU187" i="30"/>
  <c r="D252" i="16" s="1"/>
  <c r="AU106" i="30"/>
  <c r="D171" i="16" s="1"/>
  <c r="AU179" i="30"/>
  <c r="D244" i="16" s="1"/>
  <c r="AU107" i="30"/>
  <c r="D172" i="16" s="1"/>
  <c r="AU167" i="30"/>
  <c r="D232" i="16" s="1"/>
  <c r="AU161" i="30"/>
  <c r="D226" i="16" s="1"/>
  <c r="AU130" i="30"/>
  <c r="D195" i="16" s="1"/>
  <c r="AU162" i="30"/>
  <c r="D227" i="16" s="1"/>
  <c r="AU165" i="30"/>
  <c r="D230" i="16" s="1"/>
  <c r="AU146" i="30"/>
  <c r="D211" i="16" s="1"/>
  <c r="AU139" i="30"/>
  <c r="D204" i="16" s="1"/>
  <c r="AU133" i="30"/>
  <c r="D198" i="16" s="1"/>
  <c r="AU135" i="30"/>
  <c r="D200" i="16" s="1"/>
  <c r="AU122" i="30"/>
  <c r="D187" i="16" s="1"/>
  <c r="AU104" i="30"/>
  <c r="D169" i="16" s="1"/>
  <c r="AU69" i="30"/>
  <c r="D134" i="16" s="1"/>
  <c r="AU208" i="30"/>
  <c r="D273" i="16" s="1"/>
  <c r="AU136" i="30"/>
  <c r="D201" i="16" s="1"/>
  <c r="AU183" i="30"/>
  <c r="D248" i="16" s="1"/>
  <c r="AU137" i="30"/>
  <c r="D202" i="16" s="1"/>
  <c r="AU178" i="30"/>
  <c r="D243" i="16" s="1"/>
  <c r="AU159" i="30"/>
  <c r="D224" i="16" s="1"/>
  <c r="AU211" i="30"/>
  <c r="D276" i="16" s="1"/>
  <c r="AU99" i="30"/>
  <c r="D164" i="16" s="1"/>
  <c r="AU153" i="30"/>
  <c r="D218" i="16" s="1"/>
  <c r="AU198" i="30"/>
  <c r="D263" i="16" s="1"/>
  <c r="AU220" i="30"/>
  <c r="D285" i="16" s="1"/>
  <c r="AU148" i="30"/>
  <c r="D213" i="16" s="1"/>
  <c r="AU207" i="30"/>
  <c r="D272" i="16" s="1"/>
  <c r="AU73" i="30"/>
  <c r="D138" i="16" s="1"/>
  <c r="AU227" i="30"/>
  <c r="D292" i="16" s="1"/>
  <c r="AU111" i="30"/>
  <c r="D176" i="16" s="1"/>
  <c r="AU163" i="30"/>
  <c r="D228" i="16" s="1"/>
  <c r="AU156" i="30"/>
  <c r="D221" i="16" s="1"/>
  <c r="AU78" i="30"/>
  <c r="D143" i="16" s="1"/>
  <c r="AU131" i="30"/>
  <c r="D196" i="16" s="1"/>
  <c r="AU225" i="30"/>
  <c r="D290" i="16" s="1"/>
  <c r="AU140" i="30"/>
  <c r="D205" i="16" s="1"/>
  <c r="AU206" i="30"/>
  <c r="D271" i="16" s="1"/>
  <c r="AU75" i="30"/>
  <c r="D140" i="16" s="1"/>
  <c r="AU100" i="30"/>
  <c r="D165" i="16" s="1"/>
  <c r="AU182" i="30"/>
  <c r="D247" i="16" s="1"/>
  <c r="AU175" i="30"/>
  <c r="D240" i="16" s="1"/>
  <c r="AU202" i="30"/>
  <c r="D267" i="16" s="1"/>
  <c r="AU228" i="30"/>
  <c r="D293" i="16" s="1"/>
  <c r="AU184" i="30"/>
  <c r="D249" i="16" s="1"/>
  <c r="AU216" i="30"/>
  <c r="D281" i="16" s="1"/>
  <c r="AU105" i="30"/>
  <c r="D170" i="16" s="1"/>
  <c r="AU172" i="30"/>
  <c r="D237" i="16" s="1"/>
  <c r="AU204" i="30"/>
  <c r="D269" i="16" s="1"/>
  <c r="AU197" i="30"/>
  <c r="D262" i="16" s="1"/>
  <c r="AU125" i="30"/>
  <c r="D190" i="16" s="1"/>
  <c r="AU205" i="30"/>
  <c r="D270" i="16" s="1"/>
  <c r="AU191" i="30"/>
  <c r="D256" i="16" s="1"/>
  <c r="AU160" i="30"/>
  <c r="D225" i="16" s="1"/>
  <c r="AU147" i="30"/>
  <c r="D212" i="16" s="1"/>
  <c r="AU128" i="30"/>
  <c r="D193" i="16" s="1"/>
  <c r="AU71" i="30"/>
  <c r="D136" i="16" s="1"/>
  <c r="AU181" i="30"/>
  <c r="D246" i="16" s="1"/>
  <c r="AU123" i="30"/>
  <c r="D188" i="16" s="1"/>
  <c r="AU176" i="30"/>
  <c r="D241" i="16" s="1"/>
  <c r="AU86" i="30"/>
  <c r="D151" i="16" s="1"/>
  <c r="AU84" i="30"/>
  <c r="D149" i="16" s="1"/>
  <c r="AU82" i="30"/>
  <c r="D147" i="16" s="1"/>
  <c r="AU158" i="30"/>
  <c r="D223" i="16" s="1"/>
  <c r="AU177" i="30"/>
  <c r="D242" i="16" s="1"/>
  <c r="AU164" i="30"/>
  <c r="D229" i="16" s="1"/>
  <c r="AU76" i="30"/>
  <c r="D141" i="16" s="1"/>
  <c r="AU219" i="30"/>
  <c r="D284" i="16" s="1"/>
  <c r="AU134" i="30"/>
  <c r="D199" i="16" s="1"/>
  <c r="AU173" i="30"/>
  <c r="D238" i="16" s="1"/>
  <c r="AU188" i="30"/>
  <c r="D253" i="16" s="1"/>
  <c r="AU174" i="30"/>
  <c r="D239" i="16" s="1"/>
  <c r="AU117" i="30"/>
  <c r="D182" i="16" s="1"/>
  <c r="AU124" i="30"/>
  <c r="D189" i="16" s="1"/>
  <c r="AU149" i="30"/>
  <c r="D214" i="16" s="1"/>
  <c r="AU151" i="30"/>
  <c r="D216" i="16" s="1"/>
  <c r="AU132" i="30"/>
  <c r="D197" i="16" s="1"/>
  <c r="AU89" i="30"/>
  <c r="D154" i="16" s="1"/>
  <c r="AU166" i="30"/>
  <c r="D231" i="16" s="1"/>
  <c r="AU115" i="30"/>
  <c r="D180" i="16" s="1"/>
  <c r="AU102" i="30"/>
  <c r="D167" i="16" s="1"/>
  <c r="AU141" i="30"/>
  <c r="D206" i="16" s="1"/>
  <c r="AU200" i="30"/>
  <c r="D265" i="16" s="1"/>
  <c r="AU121" i="30"/>
  <c r="D186" i="16" s="1"/>
  <c r="AU129" i="30"/>
  <c r="D194" i="16" s="1"/>
  <c r="AU195" i="30"/>
  <c r="D260" i="16" s="1"/>
  <c r="AU223" i="30"/>
  <c r="D288" i="16" s="1"/>
  <c r="AU103" i="30"/>
  <c r="D168" i="16" s="1"/>
  <c r="AU215" i="30"/>
  <c r="D280" i="16" s="1"/>
  <c r="AU72" i="30"/>
  <c r="D137" i="16" s="1"/>
  <c r="AU152" i="30"/>
  <c r="D217" i="16" s="1"/>
  <c r="AU218" i="30"/>
  <c r="D283" i="16" s="1"/>
  <c r="AU85" i="30"/>
  <c r="D150" i="16" s="1"/>
  <c r="AU93" i="30"/>
  <c r="D158" i="16" s="1"/>
  <c r="AU236" i="30"/>
  <c r="D301" i="16" s="1"/>
  <c r="AU314" i="30"/>
  <c r="D379" i="16" s="1"/>
  <c r="AU278" i="30"/>
  <c r="D343" i="16" s="1"/>
  <c r="AU242" i="30"/>
  <c r="D307" i="16" s="1"/>
  <c r="AU368" i="30"/>
  <c r="D433" i="16" s="1"/>
  <c r="AU343" i="30"/>
  <c r="D408" i="16" s="1"/>
  <c r="AU309" i="30"/>
  <c r="D374" i="16" s="1"/>
  <c r="AU273" i="30"/>
  <c r="D338" i="16" s="1"/>
  <c r="AU331" i="30"/>
  <c r="D396" i="16" s="1"/>
  <c r="AU295" i="30"/>
  <c r="D360" i="16" s="1"/>
  <c r="AU259" i="30"/>
  <c r="D324" i="16" s="1"/>
  <c r="AU358" i="30"/>
  <c r="D423" i="16" s="1"/>
  <c r="AU275" i="30"/>
  <c r="D340" i="16" s="1"/>
  <c r="AU230" i="30"/>
  <c r="D295" i="16" s="1"/>
  <c r="AU52" i="30"/>
  <c r="D117" i="16" s="1"/>
  <c r="AU306" i="30"/>
  <c r="D371" i="16" s="1"/>
  <c r="AU270" i="30"/>
  <c r="D335" i="16" s="1"/>
  <c r="AU375" i="30"/>
  <c r="D440" i="16" s="1"/>
  <c r="AU328" i="30"/>
  <c r="D393" i="16" s="1"/>
  <c r="AU256" i="30"/>
  <c r="D321" i="16" s="1"/>
  <c r="AU352" i="30"/>
  <c r="D417" i="16" s="1"/>
  <c r="AU308" i="30"/>
  <c r="D373" i="16" s="1"/>
  <c r="AU272" i="30"/>
  <c r="D337" i="16" s="1"/>
  <c r="AU379" i="30"/>
  <c r="D444" i="16" s="1"/>
  <c r="AU362" i="30"/>
  <c r="D427" i="16" s="1"/>
  <c r="AU65" i="30"/>
  <c r="D130" i="16" s="1"/>
  <c r="AU339" i="30"/>
  <c r="D404" i="16" s="1"/>
  <c r="AU303" i="30"/>
  <c r="D368" i="16" s="1"/>
  <c r="AU267" i="30"/>
  <c r="D332" i="16" s="1"/>
  <c r="AU372" i="30"/>
  <c r="D437" i="16" s="1"/>
  <c r="AU49" i="30"/>
  <c r="D114" i="16" s="1"/>
  <c r="AU325" i="30"/>
  <c r="D390" i="16" s="1"/>
  <c r="AU289" i="30"/>
  <c r="D354" i="16" s="1"/>
  <c r="AU253" i="30"/>
  <c r="D318" i="16" s="1"/>
  <c r="AU305" i="30"/>
  <c r="D370" i="16" s="1"/>
  <c r="AU269" i="30"/>
  <c r="D334" i="16" s="1"/>
  <c r="AU240" i="30"/>
  <c r="D305" i="16" s="1"/>
  <c r="AU62" i="30"/>
  <c r="D127" i="16" s="1"/>
  <c r="AU336" i="30"/>
  <c r="D401" i="16" s="1"/>
  <c r="AU300" i="30"/>
  <c r="D365" i="16" s="1"/>
  <c r="AU264" i="30"/>
  <c r="D329" i="16" s="1"/>
  <c r="AU361" i="30"/>
  <c r="D426" i="16" s="1"/>
  <c r="AU369" i="30"/>
  <c r="D434" i="16" s="1"/>
  <c r="AU66" i="30"/>
  <c r="D131" i="16" s="1"/>
  <c r="AU322" i="30"/>
  <c r="D387" i="16" s="1"/>
  <c r="AU286" i="30"/>
  <c r="D351" i="16" s="1"/>
  <c r="AU250" i="30"/>
  <c r="D315" i="16" s="1"/>
  <c r="AU287" i="30"/>
  <c r="D352" i="16" s="1"/>
  <c r="AU67" i="30"/>
  <c r="D132" i="16" s="1"/>
  <c r="AU282" i="30"/>
  <c r="D347" i="16" s="1"/>
  <c r="AU351" i="30"/>
  <c r="D416" i="16" s="1"/>
  <c r="AU338" i="30"/>
  <c r="D403" i="16" s="1"/>
  <c r="AU302" i="30"/>
  <c r="D367" i="16" s="1"/>
  <c r="AU266" i="30"/>
  <c r="D331" i="16" s="1"/>
  <c r="AU237" i="30"/>
  <c r="D302" i="16" s="1"/>
  <c r="AU59" i="30"/>
  <c r="D124" i="16" s="1"/>
  <c r="AU333" i="30"/>
  <c r="D398" i="16" s="1"/>
  <c r="AU297" i="30"/>
  <c r="D362" i="16" s="1"/>
  <c r="AU261" i="30"/>
  <c r="D326" i="16" s="1"/>
  <c r="AU346" i="30"/>
  <c r="D411" i="16" s="1"/>
  <c r="AU63" i="30"/>
  <c r="D128" i="16" s="1"/>
  <c r="AU319" i="30"/>
  <c r="D384" i="16" s="1"/>
  <c r="AU283" i="30"/>
  <c r="D348" i="16" s="1"/>
  <c r="AU247" i="30"/>
  <c r="D312" i="16" s="1"/>
  <c r="AU350" i="30"/>
  <c r="D415" i="16" s="1"/>
  <c r="AU277" i="30"/>
  <c r="D342" i="16" s="1"/>
  <c r="AU341" i="30"/>
  <c r="D406" i="16" s="1"/>
  <c r="AU268" i="30"/>
  <c r="D333" i="16" s="1"/>
  <c r="AU335" i="30"/>
  <c r="D400" i="16" s="1"/>
  <c r="AU299" i="30"/>
  <c r="D364" i="16" s="1"/>
  <c r="AU263" i="30"/>
  <c r="D328" i="16" s="1"/>
  <c r="AU234" i="30"/>
  <c r="D299" i="16" s="1"/>
  <c r="AU56" i="30"/>
  <c r="D121" i="16" s="1"/>
  <c r="AU330" i="30"/>
  <c r="D395" i="16" s="1"/>
  <c r="AU294" i="30"/>
  <c r="D359" i="16" s="1"/>
  <c r="AU258" i="30"/>
  <c r="D323" i="16" s="1"/>
  <c r="AU55" i="30"/>
  <c r="D120" i="16" s="1"/>
  <c r="AU60" i="30"/>
  <c r="D125" i="16" s="1"/>
  <c r="AU316" i="30"/>
  <c r="D381" i="16" s="1"/>
  <c r="AU280" i="30"/>
  <c r="D345" i="16" s="1"/>
  <c r="AU244" i="30"/>
  <c r="D309" i="16" s="1"/>
  <c r="AU327" i="30"/>
  <c r="D392" i="16" s="1"/>
  <c r="AU340" i="30"/>
  <c r="D405" i="16" s="1"/>
  <c r="AU332" i="30"/>
  <c r="D397" i="16" s="1"/>
  <c r="AU296" i="30"/>
  <c r="D361" i="16" s="1"/>
  <c r="AU260" i="30"/>
  <c r="D325" i="16" s="1"/>
  <c r="AU231" i="30"/>
  <c r="D296" i="16" s="1"/>
  <c r="AU53" i="30"/>
  <c r="D118" i="16" s="1"/>
  <c r="AU291" i="30"/>
  <c r="D356" i="16" s="1"/>
  <c r="AU255" i="30"/>
  <c r="D320" i="16" s="1"/>
  <c r="AU241" i="30"/>
  <c r="D306" i="16" s="1"/>
  <c r="AU57" i="30"/>
  <c r="D122" i="16" s="1"/>
  <c r="AU313" i="30"/>
  <c r="D378" i="16" s="1"/>
  <c r="AU251" i="30"/>
  <c r="D316" i="16" s="1"/>
  <c r="AU246" i="30"/>
  <c r="D311" i="16" s="1"/>
  <c r="AU304" i="30"/>
  <c r="D369" i="16" s="1"/>
  <c r="AU329" i="30"/>
  <c r="D394" i="16" s="1"/>
  <c r="AU293" i="30"/>
  <c r="D358" i="16" s="1"/>
  <c r="AU257" i="30"/>
  <c r="D322" i="16" s="1"/>
  <c r="AU50" i="30"/>
  <c r="D115" i="16" s="1"/>
  <c r="AU324" i="30"/>
  <c r="D389" i="16" s="1"/>
  <c r="AU288" i="30"/>
  <c r="D353" i="16" s="1"/>
  <c r="AU252" i="30"/>
  <c r="D317" i="16" s="1"/>
  <c r="AU238" i="30"/>
  <c r="D303" i="16" s="1"/>
  <c r="AU54" i="30"/>
  <c r="D119" i="16" s="1"/>
  <c r="AU310" i="30"/>
  <c r="D375" i="16" s="1"/>
  <c r="AU274" i="30"/>
  <c r="D339" i="16" s="1"/>
  <c r="AU326" i="30"/>
  <c r="D391" i="16" s="1"/>
  <c r="AU290" i="30"/>
  <c r="D355" i="16" s="1"/>
  <c r="AU254" i="30"/>
  <c r="D319" i="16" s="1"/>
  <c r="AU380" i="30"/>
  <c r="D445" i="16" s="1"/>
  <c r="AU321" i="30"/>
  <c r="D386" i="16" s="1"/>
  <c r="AU285" i="30"/>
  <c r="D350" i="16" s="1"/>
  <c r="AU249" i="30"/>
  <c r="D314" i="16" s="1"/>
  <c r="AU235" i="30"/>
  <c r="D300" i="16" s="1"/>
  <c r="AU51" i="30"/>
  <c r="D116" i="16" s="1"/>
  <c r="AU307" i="30"/>
  <c r="D372" i="16" s="1"/>
  <c r="AU271" i="30"/>
  <c r="D336" i="16" s="1"/>
  <c r="AU323" i="30"/>
  <c r="D388" i="16" s="1"/>
  <c r="AU318" i="30"/>
  <c r="D383" i="16" s="1"/>
  <c r="AU232" i="30"/>
  <c r="D297" i="16" s="1"/>
  <c r="AU320" i="30"/>
  <c r="D385" i="16" s="1"/>
  <c r="AU284" i="30"/>
  <c r="D349" i="16" s="1"/>
  <c r="AU248" i="30"/>
  <c r="D313" i="16" s="1"/>
  <c r="AU374" i="30"/>
  <c r="D439" i="16" s="1"/>
  <c r="AU239" i="30"/>
  <c r="D304" i="16" s="1"/>
  <c r="AU58" i="30"/>
  <c r="D123" i="16" s="1"/>
  <c r="AU315" i="30"/>
  <c r="D380" i="16" s="1"/>
  <c r="AU279" i="30"/>
  <c r="D344" i="16" s="1"/>
  <c r="AU243" i="30"/>
  <c r="D308" i="16" s="1"/>
  <c r="AU384" i="30"/>
  <c r="D449" i="16" s="1"/>
  <c r="AU337" i="30"/>
  <c r="D402" i="16" s="1"/>
  <c r="AU301" i="30"/>
  <c r="D366" i="16" s="1"/>
  <c r="AU265" i="30"/>
  <c r="D330" i="16" s="1"/>
  <c r="AU317" i="30"/>
  <c r="D382" i="16" s="1"/>
  <c r="AU281" i="30"/>
  <c r="D346" i="16" s="1"/>
  <c r="AU245" i="30"/>
  <c r="D310" i="16" s="1"/>
  <c r="AU370" i="30"/>
  <c r="D435" i="16" s="1"/>
  <c r="AU312" i="30"/>
  <c r="D377" i="16" s="1"/>
  <c r="AU276" i="30"/>
  <c r="D341" i="16" s="1"/>
  <c r="AU233" i="30"/>
  <c r="D298" i="16" s="1"/>
  <c r="AU345" i="30"/>
  <c r="D410" i="16" s="1"/>
  <c r="AU334" i="30"/>
  <c r="D399" i="16" s="1"/>
  <c r="AU298" i="30"/>
  <c r="D363" i="16" s="1"/>
  <c r="AU262" i="30"/>
  <c r="D327" i="16" s="1"/>
  <c r="AU311" i="30"/>
  <c r="D376" i="16" s="1"/>
  <c r="AU64" i="30"/>
  <c r="D129" i="16" s="1"/>
  <c r="AU61" i="30"/>
  <c r="D126" i="16" s="1"/>
  <c r="AU292" i="30"/>
  <c r="D357" i="16" s="1"/>
  <c r="AU226" i="30"/>
  <c r="D291" i="16" s="1"/>
  <c r="AU154" i="30"/>
  <c r="D219" i="16" s="1"/>
  <c r="AU213" i="30"/>
  <c r="D278" i="16" s="1"/>
  <c r="AU81" i="30"/>
  <c r="D146" i="16" s="1"/>
  <c r="AU168" i="30"/>
  <c r="D233" i="16" s="1"/>
  <c r="AU94" i="30"/>
  <c r="D159" i="16" s="1"/>
  <c r="AU169" i="30"/>
  <c r="D234" i="16" s="1"/>
  <c r="AU196" i="30"/>
  <c r="D261" i="16" s="1"/>
  <c r="AU112" i="30"/>
  <c r="D177" i="16" s="1"/>
  <c r="AU118" i="30"/>
  <c r="D183" i="16" s="1"/>
  <c r="AU229" i="30"/>
  <c r="D294" i="16" s="1"/>
  <c r="AU157" i="30"/>
  <c r="D222" i="16" s="1"/>
  <c r="AU74" i="30"/>
  <c r="D139" i="16" s="1"/>
  <c r="AU217" i="30"/>
  <c r="D282" i="16" s="1"/>
  <c r="AU145" i="30"/>
  <c r="D210" i="16" s="1"/>
  <c r="AU119" i="30"/>
  <c r="D184" i="16" s="1"/>
  <c r="AU83" i="30"/>
  <c r="D148" i="16" s="1"/>
  <c r="AU113" i="30"/>
  <c r="D178" i="16" s="1"/>
  <c r="AU87" i="30"/>
  <c r="D152" i="16" s="1"/>
  <c r="AU193" i="30"/>
  <c r="D258" i="16" s="1"/>
  <c r="AU98" i="30"/>
  <c r="D163" i="16" s="1"/>
  <c r="AU110" i="30"/>
  <c r="D175" i="16" s="1"/>
  <c r="AU92" i="30"/>
  <c r="D157" i="16" s="1"/>
  <c r="AU189" i="30"/>
  <c r="D254" i="16" s="1"/>
  <c r="AU101" i="30"/>
  <c r="D166" i="16" s="1"/>
  <c r="AU70" i="30"/>
  <c r="D135" i="16" s="1"/>
  <c r="AU222" i="30"/>
  <c r="D287" i="16" s="1"/>
  <c r="AU150" i="30"/>
  <c r="D215" i="16" s="1"/>
  <c r="AU138" i="30"/>
  <c r="D203" i="16" s="1"/>
  <c r="AU127" i="30"/>
  <c r="D192" i="16" s="1"/>
  <c r="AU120" i="30"/>
  <c r="D185" i="16" s="1"/>
  <c r="AU68" i="30"/>
  <c r="D133" i="16" s="1"/>
  <c r="AW154" i="30"/>
  <c r="F219" i="16" s="1"/>
  <c r="BA154" i="30"/>
  <c r="J219" i="16" s="1"/>
  <c r="AV213" i="30"/>
  <c r="E278" i="16" s="1"/>
  <c r="BK200" i="30"/>
  <c r="T265" i="16" s="1"/>
  <c r="BJ128" i="30"/>
  <c r="S193" i="16" s="1"/>
  <c r="AW193" i="30"/>
  <c r="F258" i="16" s="1"/>
  <c r="BM186" i="30"/>
  <c r="V251" i="16" s="1"/>
  <c r="BF114" i="30"/>
  <c r="O179" i="16" s="1"/>
  <c r="AY179" i="30"/>
  <c r="H244" i="16" s="1"/>
  <c r="BC179" i="30"/>
  <c r="L244" i="16" s="1"/>
  <c r="AV107" i="30"/>
  <c r="E172" i="16" s="1"/>
  <c r="AZ107" i="30"/>
  <c r="I172" i="16" s="1"/>
  <c r="BA73" i="30"/>
  <c r="J138" i="16" s="1"/>
  <c r="BM71" i="30"/>
  <c r="V136" i="16" s="1"/>
  <c r="AZ81" i="30"/>
  <c r="I146" i="16" s="1"/>
  <c r="BB81" i="30"/>
  <c r="K146" i="16" s="1"/>
  <c r="BD180" i="30"/>
  <c r="M245" i="16" s="1"/>
  <c r="BE214" i="30"/>
  <c r="N279" i="16" s="1"/>
  <c r="BD214" i="30"/>
  <c r="M279" i="16" s="1"/>
  <c r="BC142" i="30"/>
  <c r="L207" i="16" s="1"/>
  <c r="AV142" i="30"/>
  <c r="E207" i="16" s="1"/>
  <c r="BK201" i="30"/>
  <c r="T266" i="16" s="1"/>
  <c r="BD129" i="30"/>
  <c r="M194" i="16" s="1"/>
  <c r="BI188" i="30"/>
  <c r="R253" i="16" s="1"/>
  <c r="BD188" i="30"/>
  <c r="M253" i="16" s="1"/>
  <c r="BB116" i="30"/>
  <c r="K181" i="16" s="1"/>
  <c r="BH181" i="30"/>
  <c r="Q246" i="16" s="1"/>
  <c r="AZ109" i="30"/>
  <c r="I174" i="16" s="1"/>
  <c r="AV109" i="30"/>
  <c r="E174" i="16" s="1"/>
  <c r="BK174" i="30"/>
  <c r="T239" i="16" s="1"/>
  <c r="BA167" i="30"/>
  <c r="J232" i="16" s="1"/>
  <c r="BG167" i="30"/>
  <c r="P232" i="16" s="1"/>
  <c r="AY98" i="30"/>
  <c r="H163" i="16" s="1"/>
  <c r="BA98" i="30"/>
  <c r="J163" i="16" s="1"/>
  <c r="BB96" i="30"/>
  <c r="K161" i="16" s="1"/>
  <c r="BJ100" i="30"/>
  <c r="S165" i="16" s="1"/>
  <c r="BK100" i="30"/>
  <c r="T165" i="16" s="1"/>
  <c r="BD69" i="30"/>
  <c r="M134" i="16" s="1"/>
  <c r="BB69" i="30"/>
  <c r="K134" i="16" s="1"/>
  <c r="BL208" i="30"/>
  <c r="U273" i="16" s="1"/>
  <c r="BJ136" i="30"/>
  <c r="S201" i="16" s="1"/>
  <c r="BB136" i="30"/>
  <c r="K201" i="16" s="1"/>
  <c r="AX195" i="30"/>
  <c r="G260" i="16" s="1"/>
  <c r="AW195" i="30"/>
  <c r="F260" i="16" s="1"/>
  <c r="BF182" i="30"/>
  <c r="O247" i="16" s="1"/>
  <c r="BI182" i="30"/>
  <c r="R247" i="16" s="1"/>
  <c r="AY110" i="30"/>
  <c r="H175" i="16" s="1"/>
  <c r="BA110" i="30"/>
  <c r="J175" i="16" s="1"/>
  <c r="BI175" i="30"/>
  <c r="R240" i="16" s="1"/>
  <c r="BD168" i="30"/>
  <c r="M233" i="16" s="1"/>
  <c r="AV161" i="30"/>
  <c r="E226" i="16" s="1"/>
  <c r="BC92" i="30"/>
  <c r="L157" i="16" s="1"/>
  <c r="AZ92" i="30"/>
  <c r="I157" i="16" s="1"/>
  <c r="BE90" i="30"/>
  <c r="N155" i="16" s="1"/>
  <c r="BA94" i="30"/>
  <c r="J159" i="16" s="1"/>
  <c r="BB94" i="30"/>
  <c r="K159" i="16" s="1"/>
  <c r="BF68" i="30"/>
  <c r="O133" i="16" s="1"/>
  <c r="AW202" i="30"/>
  <c r="F267" i="16" s="1"/>
  <c r="BE202" i="30"/>
  <c r="N267" i="16" s="1"/>
  <c r="BC130" i="30"/>
  <c r="L195" i="16" s="1"/>
  <c r="BA189" i="30"/>
  <c r="J254" i="16" s="1"/>
  <c r="BM117" i="30"/>
  <c r="V182" i="16" s="1"/>
  <c r="BA117" i="30"/>
  <c r="J182" i="16" s="1"/>
  <c r="AV176" i="30"/>
  <c r="E241" i="16" s="1"/>
  <c r="BJ176" i="30"/>
  <c r="S241" i="16" s="1"/>
  <c r="BB169" i="30"/>
  <c r="K234" i="16" s="1"/>
  <c r="BI155" i="30"/>
  <c r="R220" i="16" s="1"/>
  <c r="BM86" i="30"/>
  <c r="V151" i="16" s="1"/>
  <c r="BH86" i="30"/>
  <c r="Q151" i="16" s="1"/>
  <c r="BA84" i="30"/>
  <c r="J149" i="16" s="1"/>
  <c r="AV84" i="30"/>
  <c r="E149" i="16" s="1"/>
  <c r="BG88" i="30"/>
  <c r="P153" i="16" s="1"/>
  <c r="AX196" i="30"/>
  <c r="G261" i="16" s="1"/>
  <c r="BB196" i="30"/>
  <c r="K261" i="16" s="1"/>
  <c r="BL124" i="30"/>
  <c r="U189" i="16" s="1"/>
  <c r="BH124" i="30"/>
  <c r="Q189" i="16" s="1"/>
  <c r="BK183" i="30"/>
  <c r="T248" i="16" s="1"/>
  <c r="BF111" i="30"/>
  <c r="O176" i="16" s="1"/>
  <c r="BA170" i="30"/>
  <c r="J235" i="16" s="1"/>
  <c r="BJ170" i="30"/>
  <c r="S235" i="16" s="1"/>
  <c r="AY156" i="30"/>
  <c r="H221" i="16" s="1"/>
  <c r="BA149" i="30"/>
  <c r="J214" i="16" s="1"/>
  <c r="AZ80" i="30"/>
  <c r="I145" i="16" s="1"/>
  <c r="AW78" i="30"/>
  <c r="F143" i="16" s="1"/>
  <c r="BB78" i="30"/>
  <c r="K143" i="16" s="1"/>
  <c r="BG82" i="30"/>
  <c r="P147" i="16" s="1"/>
  <c r="AV184" i="30"/>
  <c r="E249" i="16" s="1"/>
  <c r="BG112" i="30"/>
  <c r="P177" i="16" s="1"/>
  <c r="AV112" i="30"/>
  <c r="E177" i="16" s="1"/>
  <c r="BG171" i="30"/>
  <c r="P236" i="16" s="1"/>
  <c r="AW164" i="30"/>
  <c r="F229" i="16" s="1"/>
  <c r="BA164" i="30"/>
  <c r="J229" i="16" s="1"/>
  <c r="BK150" i="30"/>
  <c r="T215" i="16" s="1"/>
  <c r="BK215" i="30"/>
  <c r="T280" i="16" s="1"/>
  <c r="BK165" i="30"/>
  <c r="T230" i="16" s="1"/>
  <c r="AX165" i="30"/>
  <c r="G230" i="16" s="1"/>
  <c r="BH152" i="30"/>
  <c r="Q217" i="16" s="1"/>
  <c r="BK217" i="30"/>
  <c r="T282" i="16" s="1"/>
  <c r="BL217" i="30"/>
  <c r="U282" i="16" s="1"/>
  <c r="BI145" i="30"/>
  <c r="R210" i="16" s="1"/>
  <c r="BL145" i="30"/>
  <c r="U210" i="16" s="1"/>
  <c r="BM210" i="30"/>
  <c r="V275" i="16" s="1"/>
  <c r="BM138" i="30"/>
  <c r="V203" i="16" s="1"/>
  <c r="BB138" i="30"/>
  <c r="K203" i="16" s="1"/>
  <c r="AW203" i="30"/>
  <c r="F268" i="16" s="1"/>
  <c r="AW131" i="30"/>
  <c r="F196" i="16" s="1"/>
  <c r="BE97" i="30"/>
  <c r="N162" i="16" s="1"/>
  <c r="BM95" i="30"/>
  <c r="V160" i="16" s="1"/>
  <c r="AZ105" i="30"/>
  <c r="I170" i="16" s="1"/>
  <c r="AX172" i="30"/>
  <c r="G237" i="16" s="1"/>
  <c r="BB172" i="30"/>
  <c r="K237" i="16" s="1"/>
  <c r="BM159" i="30"/>
  <c r="V224" i="16" s="1"/>
  <c r="BI159" i="30"/>
  <c r="R224" i="16" s="1"/>
  <c r="AX218" i="30"/>
  <c r="G283" i="16" s="1"/>
  <c r="AW146" i="30"/>
  <c r="F211" i="16" s="1"/>
  <c r="BJ146" i="30"/>
  <c r="S211" i="16" s="1"/>
  <c r="AZ211" i="30"/>
  <c r="I276" i="16" s="1"/>
  <c r="BC211" i="30"/>
  <c r="L276" i="16" s="1"/>
  <c r="AX139" i="30"/>
  <c r="G204" i="16" s="1"/>
  <c r="BC204" i="30"/>
  <c r="L269" i="16" s="1"/>
  <c r="BL204" i="30"/>
  <c r="U269" i="16" s="1"/>
  <c r="AV132" i="30"/>
  <c r="E197" i="16" s="1"/>
  <c r="AW132" i="30"/>
  <c r="F197" i="16" s="1"/>
  <c r="BB197" i="30"/>
  <c r="K262" i="16" s="1"/>
  <c r="BM125" i="30"/>
  <c r="V190" i="16" s="1"/>
  <c r="AY125" i="30"/>
  <c r="H190" i="16" s="1"/>
  <c r="AW91" i="30"/>
  <c r="F156" i="16" s="1"/>
  <c r="BH91" i="30"/>
  <c r="Q156" i="16" s="1"/>
  <c r="BI89" i="30"/>
  <c r="R154" i="16" s="1"/>
  <c r="BB99" i="30"/>
  <c r="K164" i="16" s="1"/>
  <c r="BF99" i="30"/>
  <c r="O164" i="16" s="1"/>
  <c r="BD160" i="30"/>
  <c r="M225" i="16" s="1"/>
  <c r="BH219" i="30"/>
  <c r="Q284" i="16" s="1"/>
  <c r="BK219" i="30"/>
  <c r="T284" i="16" s="1"/>
  <c r="BG147" i="30"/>
  <c r="P212" i="16" s="1"/>
  <c r="AV147" i="30"/>
  <c r="E212" i="16" s="1"/>
  <c r="BE206" i="30"/>
  <c r="N271" i="16" s="1"/>
  <c r="BH134" i="30"/>
  <c r="Q199" i="16" s="1"/>
  <c r="BF134" i="30"/>
  <c r="O199" i="16" s="1"/>
  <c r="BJ199" i="30"/>
  <c r="S264" i="16" s="1"/>
  <c r="BL199" i="30"/>
  <c r="U264" i="16" s="1"/>
  <c r="AX192" i="30"/>
  <c r="G257" i="16" s="1"/>
  <c r="AZ192" i="30"/>
  <c r="I257" i="16" s="1"/>
  <c r="BJ120" i="30"/>
  <c r="S185" i="16" s="1"/>
  <c r="AZ185" i="30"/>
  <c r="I250" i="16" s="1"/>
  <c r="BC113" i="30"/>
  <c r="L178" i="16" s="1"/>
  <c r="BE113" i="30"/>
  <c r="N178" i="16" s="1"/>
  <c r="BK79" i="30"/>
  <c r="T144" i="16" s="1"/>
  <c r="BF79" i="30"/>
  <c r="O144" i="16" s="1"/>
  <c r="BE77" i="30"/>
  <c r="N142" i="16" s="1"/>
  <c r="BM87" i="30"/>
  <c r="V152" i="16" s="1"/>
  <c r="BD87" i="30"/>
  <c r="M152" i="16" s="1"/>
  <c r="BE220" i="30"/>
  <c r="N285" i="16" s="1"/>
  <c r="BB220" i="30"/>
  <c r="K285" i="16" s="1"/>
  <c r="BK187" i="30"/>
  <c r="T252" i="16" s="1"/>
  <c r="BA187" i="30"/>
  <c r="J252" i="16" s="1"/>
  <c r="AZ115" i="30"/>
  <c r="I180" i="16" s="1"/>
  <c r="BI108" i="30"/>
  <c r="R173" i="16" s="1"/>
  <c r="AV108" i="30"/>
  <c r="E173" i="16" s="1"/>
  <c r="BG173" i="30"/>
  <c r="P238" i="16" s="1"/>
  <c r="AX173" i="30"/>
  <c r="G238" i="16" s="1"/>
  <c r="AY104" i="30"/>
  <c r="H169" i="16" s="1"/>
  <c r="BG102" i="30"/>
  <c r="P167" i="16" s="1"/>
  <c r="BH102" i="30"/>
  <c r="Q167" i="16" s="1"/>
  <c r="BL154" i="30"/>
  <c r="U219" i="16" s="1"/>
  <c r="BB141" i="30"/>
  <c r="K206" i="16" s="1"/>
  <c r="BM200" i="30"/>
  <c r="V265" i="16" s="1"/>
  <c r="AV200" i="30"/>
  <c r="E265" i="16" s="1"/>
  <c r="BI128" i="30"/>
  <c r="R193" i="16" s="1"/>
  <c r="BJ193" i="30"/>
  <c r="S258" i="16" s="1"/>
  <c r="BJ121" i="30"/>
  <c r="S186" i="16" s="1"/>
  <c r="BH121" i="30"/>
  <c r="Q186" i="16" s="1"/>
  <c r="AX186" i="30"/>
  <c r="G251" i="16" s="1"/>
  <c r="BH114" i="30"/>
  <c r="Q179" i="16" s="1"/>
  <c r="BE114" i="30"/>
  <c r="N179" i="16" s="1"/>
  <c r="BM179" i="30"/>
  <c r="V244" i="16" s="1"/>
  <c r="BJ179" i="30"/>
  <c r="S244" i="16" s="1"/>
  <c r="BH107" i="30"/>
  <c r="Q172" i="16" s="1"/>
  <c r="BI73" i="30"/>
  <c r="R138" i="16" s="1"/>
  <c r="BC73" i="30"/>
  <c r="L138" i="16" s="1"/>
  <c r="BL71" i="30"/>
  <c r="U136" i="16" s="1"/>
  <c r="BD71" i="30"/>
  <c r="M136" i="16" s="1"/>
  <c r="AY180" i="30"/>
  <c r="H245" i="16" s="1"/>
  <c r="BC180" i="30"/>
  <c r="L245" i="16" s="1"/>
  <c r="BA214" i="30"/>
  <c r="J279" i="16" s="1"/>
  <c r="BC214" i="30"/>
  <c r="L279" i="16" s="1"/>
  <c r="AY142" i="30"/>
  <c r="H207" i="16" s="1"/>
  <c r="BI201" i="30"/>
  <c r="R266" i="16" s="1"/>
  <c r="AW201" i="30"/>
  <c r="F266" i="16" s="1"/>
  <c r="BI129" i="30"/>
  <c r="R194" i="16" s="1"/>
  <c r="BK129" i="30"/>
  <c r="T194" i="16" s="1"/>
  <c r="BA116" i="30"/>
  <c r="J181" i="16" s="1"/>
  <c r="BL116" i="30"/>
  <c r="U181" i="16" s="1"/>
  <c r="BG181" i="30"/>
  <c r="P246" i="16" s="1"/>
  <c r="BM181" i="30"/>
  <c r="V246" i="16" s="1"/>
  <c r="AY109" i="30"/>
  <c r="H174" i="16" s="1"/>
  <c r="AZ167" i="30"/>
  <c r="I232" i="16" s="1"/>
  <c r="BF167" i="30"/>
  <c r="O232" i="16" s="1"/>
  <c r="BK98" i="30"/>
  <c r="T163" i="16" s="1"/>
  <c r="BL98" i="30"/>
  <c r="U163" i="16" s="1"/>
  <c r="BA96" i="30"/>
  <c r="J161" i="16" s="1"/>
  <c r="BF100" i="30"/>
  <c r="O165" i="16" s="1"/>
  <c r="BC69" i="30"/>
  <c r="L134" i="16" s="1"/>
  <c r="BM69" i="30"/>
  <c r="V134" i="16" s="1"/>
  <c r="BK208" i="30"/>
  <c r="T273" i="16" s="1"/>
  <c r="BI136" i="30"/>
  <c r="R201" i="16" s="1"/>
  <c r="BM136" i="30"/>
  <c r="V201" i="16" s="1"/>
  <c r="BL195" i="30"/>
  <c r="U260" i="16" s="1"/>
  <c r="BH195" i="30"/>
  <c r="Q260" i="16" s="1"/>
  <c r="BI123" i="30"/>
  <c r="R188" i="16" s="1"/>
  <c r="BC182" i="30"/>
  <c r="L247" i="16" s="1"/>
  <c r="BK110" i="30"/>
  <c r="T175" i="16" s="1"/>
  <c r="BL110" i="30"/>
  <c r="U175" i="16" s="1"/>
  <c r="BH175" i="30"/>
  <c r="Q240" i="16" s="1"/>
  <c r="AY168" i="30"/>
  <c r="H233" i="16" s="1"/>
  <c r="BC168" i="30"/>
  <c r="L233" i="16" s="1"/>
  <c r="BH161" i="30"/>
  <c r="Q226" i="16" s="1"/>
  <c r="BJ161" i="30"/>
  <c r="S226" i="16" s="1"/>
  <c r="BB92" i="30"/>
  <c r="K157" i="16" s="1"/>
  <c r="BL90" i="30"/>
  <c r="U155" i="16" s="1"/>
  <c r="AY90" i="30"/>
  <c r="H155" i="16" s="1"/>
  <c r="AY94" i="30"/>
  <c r="H159" i="16" s="1"/>
  <c r="BI94" i="30"/>
  <c r="R159" i="16" s="1"/>
  <c r="BE68" i="30"/>
  <c r="N133" i="16" s="1"/>
  <c r="BD202" i="30"/>
  <c r="M267" i="16" s="1"/>
  <c r="BA130" i="30"/>
  <c r="J195" i="16" s="1"/>
  <c r="BH130" i="30"/>
  <c r="Q195" i="16" s="1"/>
  <c r="AZ189" i="30"/>
  <c r="I254" i="16" s="1"/>
  <c r="AV117" i="30"/>
  <c r="E182" i="16" s="1"/>
  <c r="AZ117" i="30"/>
  <c r="I182" i="16" s="1"/>
  <c r="AY169" i="30"/>
  <c r="H234" i="16" s="1"/>
  <c r="BE162" i="30"/>
  <c r="N227" i="16" s="1"/>
  <c r="BJ162" i="30"/>
  <c r="S227" i="16" s="1"/>
  <c r="BH155" i="30"/>
  <c r="Q220" i="16" s="1"/>
  <c r="BE86" i="30"/>
  <c r="N151" i="16" s="1"/>
  <c r="BG86" i="30"/>
  <c r="P151" i="16" s="1"/>
  <c r="AZ84" i="30"/>
  <c r="I149" i="16" s="1"/>
  <c r="BF84" i="30"/>
  <c r="O149" i="16" s="1"/>
  <c r="BB88" i="30"/>
  <c r="K153" i="16" s="1"/>
  <c r="AW196" i="30"/>
  <c r="F261" i="16" s="1"/>
  <c r="AY196" i="30"/>
  <c r="H261" i="16" s="1"/>
  <c r="AW124" i="30"/>
  <c r="F189" i="16" s="1"/>
  <c r="AV124" i="30"/>
  <c r="E189" i="16" s="1"/>
  <c r="BC111" i="30"/>
  <c r="L176" i="16" s="1"/>
  <c r="AZ170" i="30"/>
  <c r="I235" i="16" s="1"/>
  <c r="AX170" i="30"/>
  <c r="G235" i="16" s="1"/>
  <c r="AW156" i="30"/>
  <c r="F221" i="16" s="1"/>
  <c r="AY149" i="30"/>
  <c r="H214" i="16" s="1"/>
  <c r="BJ149" i="30"/>
  <c r="S214" i="16" s="1"/>
  <c r="BC80" i="30"/>
  <c r="L145" i="16" s="1"/>
  <c r="BD80" i="30"/>
  <c r="M145" i="16" s="1"/>
  <c r="BD82" i="30"/>
  <c r="M147" i="16" s="1"/>
  <c r="BC82" i="30"/>
  <c r="L147" i="16" s="1"/>
  <c r="BJ184" i="30"/>
  <c r="S249" i="16" s="1"/>
  <c r="BM184" i="30"/>
  <c r="V249" i="16" s="1"/>
  <c r="BD112" i="30"/>
  <c r="M177" i="16" s="1"/>
  <c r="BC171" i="30"/>
  <c r="L236" i="16" s="1"/>
  <c r="BF171" i="30"/>
  <c r="O236" i="16" s="1"/>
  <c r="AW158" i="30"/>
  <c r="F223" i="16" s="1"/>
  <c r="BE158" i="30"/>
  <c r="N223" i="16" s="1"/>
  <c r="AY151" i="30"/>
  <c r="H216" i="16" s="1"/>
  <c r="BK144" i="30"/>
  <c r="T209" i="16" s="1"/>
  <c r="AW144" i="30"/>
  <c r="F209" i="16" s="1"/>
  <c r="BK209" i="30"/>
  <c r="T274" i="16" s="1"/>
  <c r="BM137" i="30"/>
  <c r="V202" i="16" s="1"/>
  <c r="BJ137" i="30"/>
  <c r="S202" i="16" s="1"/>
  <c r="BK103" i="30"/>
  <c r="T168" i="16" s="1"/>
  <c r="BI103" i="30"/>
  <c r="R168" i="16" s="1"/>
  <c r="AX101" i="30"/>
  <c r="G166" i="16" s="1"/>
  <c r="BM70" i="30"/>
  <c r="V135" i="16" s="1"/>
  <c r="BL70" i="30"/>
  <c r="U135" i="16" s="1"/>
  <c r="BB190" i="30"/>
  <c r="K255" i="16" s="1"/>
  <c r="BM190" i="30"/>
  <c r="V255" i="16" s="1"/>
  <c r="BM118" i="30"/>
  <c r="V183" i="16" s="1"/>
  <c r="BK177" i="30"/>
  <c r="T242" i="16" s="1"/>
  <c r="AX177" i="30"/>
  <c r="G242" i="16" s="1"/>
  <c r="AZ74" i="30"/>
  <c r="I139" i="16" s="1"/>
  <c r="AX74" i="30"/>
  <c r="G139" i="16" s="1"/>
  <c r="BK72" i="30"/>
  <c r="T137" i="16" s="1"/>
  <c r="AW76" i="30"/>
  <c r="F141" i="16" s="1"/>
  <c r="AZ76" i="30"/>
  <c r="I141" i="16" s="1"/>
  <c r="BL165" i="30"/>
  <c r="U230" i="16" s="1"/>
  <c r="BG152" i="30"/>
  <c r="P217" i="16" s="1"/>
  <c r="BI217" i="30"/>
  <c r="R282" i="16" s="1"/>
  <c r="BH217" i="30"/>
  <c r="Q282" i="16" s="1"/>
  <c r="BG145" i="30"/>
  <c r="P210" i="16" s="1"/>
  <c r="AZ145" i="30"/>
  <c r="I210" i="16" s="1"/>
  <c r="BI210" i="30"/>
  <c r="R275" i="16" s="1"/>
  <c r="BL138" i="30"/>
  <c r="U203" i="16" s="1"/>
  <c r="BJ138" i="30"/>
  <c r="S203" i="16" s="1"/>
  <c r="BM203" i="30"/>
  <c r="V268" i="16" s="1"/>
  <c r="BF203" i="30"/>
  <c r="O268" i="16" s="1"/>
  <c r="BJ131" i="30"/>
  <c r="S196" i="16" s="1"/>
  <c r="BC97" i="30"/>
  <c r="L162" i="16" s="1"/>
  <c r="BG97" i="30"/>
  <c r="P162" i="16" s="1"/>
  <c r="BJ95" i="30"/>
  <c r="S160" i="16" s="1"/>
  <c r="BA95" i="30"/>
  <c r="J160" i="16" s="1"/>
  <c r="AY105" i="30"/>
  <c r="H170" i="16" s="1"/>
  <c r="AW172" i="30"/>
  <c r="F237" i="16" s="1"/>
  <c r="AY172" i="30"/>
  <c r="H237" i="16" s="1"/>
  <c r="AX159" i="30"/>
  <c r="G224" i="16" s="1"/>
  <c r="AW159" i="30"/>
  <c r="F224" i="16" s="1"/>
  <c r="AW218" i="30"/>
  <c r="F283" i="16" s="1"/>
  <c r="AV146" i="30"/>
  <c r="E211" i="16" s="1"/>
  <c r="AX146" i="30"/>
  <c r="G211" i="16" s="1"/>
  <c r="AY211" i="30"/>
  <c r="H276" i="16" s="1"/>
  <c r="BB211" i="30"/>
  <c r="K276" i="16" s="1"/>
  <c r="AW139" i="30"/>
  <c r="F204" i="16" s="1"/>
  <c r="BB204" i="30"/>
  <c r="K269" i="16" s="1"/>
  <c r="AZ204" i="30"/>
  <c r="I269" i="16" s="1"/>
  <c r="BA197" i="30"/>
  <c r="J262" i="16" s="1"/>
  <c r="AW125" i="30"/>
  <c r="F190" i="16" s="1"/>
  <c r="AX125" i="30"/>
  <c r="G190" i="16" s="1"/>
  <c r="BM91" i="30"/>
  <c r="V156" i="16" s="1"/>
  <c r="BH89" i="30"/>
  <c r="Q154" i="16" s="1"/>
  <c r="BA99" i="30"/>
  <c r="J164" i="16" s="1"/>
  <c r="BC99" i="30"/>
  <c r="L164" i="16" s="1"/>
  <c r="BC166" i="30"/>
  <c r="L231" i="16" s="1"/>
  <c r="BB225" i="30"/>
  <c r="K290" i="16" s="1"/>
  <c r="BC153" i="30"/>
  <c r="L218" i="16" s="1"/>
  <c r="BC212" i="30"/>
  <c r="L277" i="16" s="1"/>
  <c r="BG212" i="30"/>
  <c r="P277" i="16" s="1"/>
  <c r="BB140" i="30"/>
  <c r="K205" i="16" s="1"/>
  <c r="AZ140" i="30"/>
  <c r="I205" i="16" s="1"/>
  <c r="BG205" i="30"/>
  <c r="P270" i="16" s="1"/>
  <c r="BC133" i="30"/>
  <c r="L198" i="16" s="1"/>
  <c r="AY198" i="30"/>
  <c r="H263" i="16" s="1"/>
  <c r="AV198" i="30"/>
  <c r="E263" i="16" s="1"/>
  <c r="BL126" i="30"/>
  <c r="U191" i="16" s="1"/>
  <c r="AY191" i="30"/>
  <c r="H256" i="16" s="1"/>
  <c r="BC191" i="30"/>
  <c r="L256" i="16" s="1"/>
  <c r="AW119" i="30"/>
  <c r="F184" i="16" s="1"/>
  <c r="BH85" i="30"/>
  <c r="Q150" i="16" s="1"/>
  <c r="AY83" i="30"/>
  <c r="H148" i="16" s="1"/>
  <c r="BC93" i="30"/>
  <c r="L158" i="16" s="1"/>
  <c r="BD93" i="30"/>
  <c r="M158" i="16" s="1"/>
  <c r="BC160" i="30"/>
  <c r="L225" i="16" s="1"/>
  <c r="BG219" i="30"/>
  <c r="P284" i="16" s="1"/>
  <c r="AY219" i="30"/>
  <c r="H284" i="16" s="1"/>
  <c r="BF87" i="30"/>
  <c r="O152" i="16" s="1"/>
  <c r="AY148" i="30"/>
  <c r="H213" i="16" s="1"/>
  <c r="BB207" i="30"/>
  <c r="K272" i="16" s="1"/>
  <c r="BK207" i="30"/>
  <c r="T272" i="16" s="1"/>
  <c r="AV135" i="30"/>
  <c r="E200" i="16" s="1"/>
  <c r="AV194" i="30"/>
  <c r="E259" i="16" s="1"/>
  <c r="BE122" i="30"/>
  <c r="N187" i="16" s="1"/>
  <c r="BL122" i="30"/>
  <c r="U187" i="16" s="1"/>
  <c r="BL187" i="30"/>
  <c r="U252" i="16" s="1"/>
  <c r="BM115" i="30"/>
  <c r="V180" i="16" s="1"/>
  <c r="BG108" i="30"/>
  <c r="P173" i="16" s="1"/>
  <c r="BK108" i="30"/>
  <c r="T173" i="16" s="1"/>
  <c r="BH106" i="30"/>
  <c r="Q171" i="16" s="1"/>
  <c r="BK154" i="30"/>
  <c r="T219" i="16" s="1"/>
  <c r="AZ154" i="30"/>
  <c r="I219" i="16" s="1"/>
  <c r="BM213" i="30"/>
  <c r="V278" i="16" s="1"/>
  <c r="BM141" i="30"/>
  <c r="V206" i="16" s="1"/>
  <c r="BI200" i="30"/>
  <c r="R265" i="16" s="1"/>
  <c r="BH128" i="30"/>
  <c r="Q193" i="16" s="1"/>
  <c r="AV193" i="30"/>
  <c r="E258" i="16" s="1"/>
  <c r="AV121" i="30"/>
  <c r="E186" i="16" s="1"/>
  <c r="BB114" i="30"/>
  <c r="K179" i="16" s="1"/>
  <c r="BC114" i="30"/>
  <c r="L179" i="16" s="1"/>
  <c r="AW179" i="30"/>
  <c r="F244" i="16" s="1"/>
  <c r="AX179" i="30"/>
  <c r="G244" i="16" s="1"/>
  <c r="BG107" i="30"/>
  <c r="P172" i="16" s="1"/>
  <c r="BG73" i="30"/>
  <c r="P138" i="16" s="1"/>
  <c r="BB73" i="30"/>
  <c r="K138" i="16" s="1"/>
  <c r="BI71" i="30"/>
  <c r="R136" i="16" s="1"/>
  <c r="BB71" i="30"/>
  <c r="K136" i="16" s="1"/>
  <c r="BG81" i="30"/>
  <c r="P146" i="16" s="1"/>
  <c r="BM180" i="30"/>
  <c r="V245" i="16" s="1"/>
  <c r="BA180" i="30"/>
  <c r="J245" i="16" s="1"/>
  <c r="AZ214" i="30"/>
  <c r="I279" i="16" s="1"/>
  <c r="BB214" i="30"/>
  <c r="K279" i="16" s="1"/>
  <c r="AX142" i="30"/>
  <c r="G207" i="16" s="1"/>
  <c r="BJ201" i="30"/>
  <c r="S266" i="16" s="1"/>
  <c r="AY129" i="30"/>
  <c r="H194" i="16" s="1"/>
  <c r="BH188" i="30"/>
  <c r="Q253" i="16" s="1"/>
  <c r="AX116" i="30"/>
  <c r="G181" i="16" s="1"/>
  <c r="AY116" i="30"/>
  <c r="H181" i="16" s="1"/>
  <c r="BE181" i="30"/>
  <c r="N246" i="16" s="1"/>
  <c r="BA181" i="30"/>
  <c r="J246" i="16" s="1"/>
  <c r="BE174" i="30"/>
  <c r="N239" i="16" s="1"/>
  <c r="BJ174" i="30"/>
  <c r="S239" i="16" s="1"/>
  <c r="AY167" i="30"/>
  <c r="H232" i="16" s="1"/>
  <c r="BC167" i="30"/>
  <c r="L232" i="16" s="1"/>
  <c r="AV98" i="30"/>
  <c r="E163" i="16" s="1"/>
  <c r="AZ98" i="30"/>
  <c r="I163" i="16" s="1"/>
  <c r="AZ96" i="30"/>
  <c r="I161" i="16" s="1"/>
  <c r="BE100" i="30"/>
  <c r="N165" i="16" s="1"/>
  <c r="BB100" i="30"/>
  <c r="K165" i="16" s="1"/>
  <c r="BK69" i="30"/>
  <c r="T134" i="16" s="1"/>
  <c r="BA69" i="30"/>
  <c r="J134" i="16" s="1"/>
  <c r="BI208" i="30"/>
  <c r="R273" i="16" s="1"/>
  <c r="BG136" i="30"/>
  <c r="P201" i="16" s="1"/>
  <c r="BA136" i="30"/>
  <c r="J201" i="16" s="1"/>
  <c r="AV195" i="30"/>
  <c r="E260" i="16" s="1"/>
  <c r="BB182" i="30"/>
  <c r="K247" i="16" s="1"/>
  <c r="BG161" i="30"/>
  <c r="P226" i="16" s="1"/>
  <c r="AX161" i="30"/>
  <c r="G226" i="16" s="1"/>
  <c r="AY92" i="30"/>
  <c r="H157" i="16" s="1"/>
  <c r="BK90" i="30"/>
  <c r="T155" i="16" s="1"/>
  <c r="AX94" i="30"/>
  <c r="G159" i="16" s="1"/>
  <c r="AW94" i="30"/>
  <c r="F159" i="16" s="1"/>
  <c r="AX169" i="30"/>
  <c r="G234" i="16" s="1"/>
  <c r="BD162" i="30"/>
  <c r="M227" i="16" s="1"/>
  <c r="BG162" i="30"/>
  <c r="P227" i="16" s="1"/>
  <c r="BG155" i="30"/>
  <c r="P220" i="16" s="1"/>
  <c r="BC86" i="30"/>
  <c r="L151" i="16" s="1"/>
  <c r="BK196" i="30"/>
  <c r="T261" i="16" s="1"/>
  <c r="BF196" i="30"/>
  <c r="O261" i="16" s="1"/>
  <c r="BK124" i="30"/>
  <c r="T189" i="16" s="1"/>
  <c r="BC124" i="30"/>
  <c r="L189" i="16" s="1"/>
  <c r="BM111" i="30"/>
  <c r="V176" i="16" s="1"/>
  <c r="AZ111" i="30"/>
  <c r="I176" i="16" s="1"/>
  <c r="AY170" i="30"/>
  <c r="H235" i="16" s="1"/>
  <c r="BE170" i="30"/>
  <c r="N235" i="16" s="1"/>
  <c r="BI163" i="30"/>
  <c r="R228" i="16" s="1"/>
  <c r="BH156" i="30"/>
  <c r="Q221" i="16" s="1"/>
  <c r="AW149" i="30"/>
  <c r="F214" i="16" s="1"/>
  <c r="AX149" i="30"/>
  <c r="G214" i="16" s="1"/>
  <c r="AY80" i="30"/>
  <c r="H145" i="16" s="1"/>
  <c r="BB80" i="30"/>
  <c r="K145" i="16" s="1"/>
  <c r="BE78" i="30"/>
  <c r="N143" i="16" s="1"/>
  <c r="BA82" i="30"/>
  <c r="J147" i="16" s="1"/>
  <c r="BB82" i="30"/>
  <c r="K147" i="16" s="1"/>
  <c r="BA184" i="30"/>
  <c r="J249" i="16" s="1"/>
  <c r="BC112" i="30"/>
  <c r="L177" i="16" s="1"/>
  <c r="BA171" i="30"/>
  <c r="J236" i="16" s="1"/>
  <c r="BE171" i="30"/>
  <c r="N236" i="16" s="1"/>
  <c r="AV158" i="30"/>
  <c r="E223" i="16" s="1"/>
  <c r="BD158" i="30"/>
  <c r="M223" i="16" s="1"/>
  <c r="AX151" i="30"/>
  <c r="G216" i="16" s="1"/>
  <c r="BB151" i="30"/>
  <c r="K216" i="16" s="1"/>
  <c r="BG144" i="30"/>
  <c r="P209" i="16" s="1"/>
  <c r="BH144" i="30"/>
  <c r="Q209" i="16" s="1"/>
  <c r="BJ209" i="30"/>
  <c r="S274" i="16" s="1"/>
  <c r="BK137" i="30"/>
  <c r="T202" i="16" s="1"/>
  <c r="AX137" i="30"/>
  <c r="G202" i="16" s="1"/>
  <c r="BJ103" i="30"/>
  <c r="S168" i="16" s="1"/>
  <c r="AW103" i="30"/>
  <c r="F168" i="16" s="1"/>
  <c r="AW101" i="30"/>
  <c r="F166" i="16" s="1"/>
  <c r="BK70" i="30"/>
  <c r="T135" i="16" s="1"/>
  <c r="AZ70" i="30"/>
  <c r="I135" i="16" s="1"/>
  <c r="BL177" i="30"/>
  <c r="U242" i="16" s="1"/>
  <c r="AV164" i="30"/>
  <c r="E229" i="16" s="1"/>
  <c r="BJ164" i="30"/>
  <c r="S229" i="16" s="1"/>
  <c r="BD157" i="30"/>
  <c r="M222" i="16" s="1"/>
  <c r="BF150" i="30"/>
  <c r="O215" i="16" s="1"/>
  <c r="AZ215" i="30"/>
  <c r="I280" i="16" s="1"/>
  <c r="BI143" i="30"/>
  <c r="R208" i="16" s="1"/>
  <c r="BE143" i="30"/>
  <c r="N208" i="16" s="1"/>
  <c r="AV74" i="30"/>
  <c r="E139" i="16" s="1"/>
  <c r="BM72" i="30"/>
  <c r="V137" i="16" s="1"/>
  <c r="AY72" i="30"/>
  <c r="H137" i="16" s="1"/>
  <c r="BA76" i="30"/>
  <c r="J141" i="16" s="1"/>
  <c r="BJ76" i="30"/>
  <c r="S141" i="16" s="1"/>
  <c r="AV216" i="30"/>
  <c r="E281" i="16" s="1"/>
  <c r="BG178" i="30"/>
  <c r="P243" i="16" s="1"/>
  <c r="BI178" i="30"/>
  <c r="R243" i="16" s="1"/>
  <c r="BC152" i="30"/>
  <c r="L217" i="16" s="1"/>
  <c r="BG217" i="30"/>
  <c r="P282" i="16" s="1"/>
  <c r="AV217" i="30"/>
  <c r="E282" i="16" s="1"/>
  <c r="BH210" i="30"/>
  <c r="Q275" i="16" s="1"/>
  <c r="BK138" i="30"/>
  <c r="T203" i="16" s="1"/>
  <c r="AX138" i="30"/>
  <c r="G203" i="16" s="1"/>
  <c r="BK203" i="30"/>
  <c r="T268" i="16" s="1"/>
  <c r="AV131" i="30"/>
  <c r="E196" i="16" s="1"/>
  <c r="BA97" i="30"/>
  <c r="J162" i="16" s="1"/>
  <c r="BF97" i="30"/>
  <c r="O162" i="16" s="1"/>
  <c r="BK95" i="30"/>
  <c r="T160" i="16" s="1"/>
  <c r="BL159" i="30"/>
  <c r="U224" i="16" s="1"/>
  <c r="BH159" i="30"/>
  <c r="Q224" i="16" s="1"/>
  <c r="BM218" i="30"/>
  <c r="V283" i="16" s="1"/>
  <c r="BF146" i="30"/>
  <c r="O211" i="16" s="1"/>
  <c r="AW211" i="30"/>
  <c r="F276" i="16" s="1"/>
  <c r="BJ211" i="30"/>
  <c r="S276" i="16" s="1"/>
  <c r="BA204" i="30"/>
  <c r="J269" i="16" s="1"/>
  <c r="BK204" i="30"/>
  <c r="T269" i="16" s="1"/>
  <c r="BM132" i="30"/>
  <c r="V197" i="16" s="1"/>
  <c r="BJ132" i="30"/>
  <c r="S197" i="16" s="1"/>
  <c r="AZ197" i="30"/>
  <c r="I262" i="16" s="1"/>
  <c r="BK125" i="30"/>
  <c r="T190" i="16" s="1"/>
  <c r="BL125" i="30"/>
  <c r="U190" i="16" s="1"/>
  <c r="BL91" i="30"/>
  <c r="U156" i="16" s="1"/>
  <c r="AZ91" i="30"/>
  <c r="I156" i="16" s="1"/>
  <c r="BE89" i="30"/>
  <c r="N154" i="16" s="1"/>
  <c r="AW99" i="30"/>
  <c r="F164" i="16" s="1"/>
  <c r="AZ99" i="30"/>
  <c r="I164" i="16" s="1"/>
  <c r="BB166" i="30"/>
  <c r="K231" i="16" s="1"/>
  <c r="BM166" i="30"/>
  <c r="V231" i="16" s="1"/>
  <c r="BA225" i="30"/>
  <c r="J290" i="16" s="1"/>
  <c r="BA153" i="30"/>
  <c r="J218" i="16" s="1"/>
  <c r="BB153" i="30"/>
  <c r="K218" i="16" s="1"/>
  <c r="BA212" i="30"/>
  <c r="J277" i="16" s="1"/>
  <c r="BA140" i="30"/>
  <c r="J205" i="16" s="1"/>
  <c r="BE205" i="30"/>
  <c r="N270" i="16" s="1"/>
  <c r="BF205" i="30"/>
  <c r="O270" i="16" s="1"/>
  <c r="BA133" i="30"/>
  <c r="J198" i="16" s="1"/>
  <c r="BF133" i="30"/>
  <c r="O198" i="16" s="1"/>
  <c r="BL198" i="30"/>
  <c r="U263" i="16" s="1"/>
  <c r="BH126" i="30"/>
  <c r="Q191" i="16" s="1"/>
  <c r="BM191" i="30"/>
  <c r="V256" i="16" s="1"/>
  <c r="BJ191" i="30"/>
  <c r="S256" i="16" s="1"/>
  <c r="BK119" i="30"/>
  <c r="T184" i="16" s="1"/>
  <c r="BM85" i="30"/>
  <c r="V150" i="16" s="1"/>
  <c r="BC85" i="30"/>
  <c r="L150" i="16" s="1"/>
  <c r="AV83" i="30"/>
  <c r="E148" i="16" s="1"/>
  <c r="BD83" i="30"/>
  <c r="M148" i="16" s="1"/>
  <c r="AZ93" i="30"/>
  <c r="I158" i="16" s="1"/>
  <c r="BE147" i="30"/>
  <c r="N212" i="16" s="1"/>
  <c r="BD206" i="30"/>
  <c r="M271" i="16" s="1"/>
  <c r="AZ206" i="30"/>
  <c r="I271" i="16" s="1"/>
  <c r="BC134" i="30"/>
  <c r="L199" i="16" s="1"/>
  <c r="BD134" i="30"/>
  <c r="M199" i="16" s="1"/>
  <c r="BI199" i="30"/>
  <c r="R264" i="16" s="1"/>
  <c r="BE127" i="30"/>
  <c r="N192" i="16" s="1"/>
  <c r="BI192" i="30"/>
  <c r="R257" i="16" s="1"/>
  <c r="BM185" i="30"/>
  <c r="V250" i="16" s="1"/>
  <c r="AY113" i="30"/>
  <c r="H178" i="16" s="1"/>
  <c r="BF113" i="30"/>
  <c r="O178" i="16" s="1"/>
  <c r="BA79" i="30"/>
  <c r="J144" i="16" s="1"/>
  <c r="BI77" i="30"/>
  <c r="R142" i="16" s="1"/>
  <c r="BG77" i="30"/>
  <c r="P142" i="16" s="1"/>
  <c r="BE87" i="30"/>
  <c r="N152" i="16" s="1"/>
  <c r="BH87" i="30"/>
  <c r="Q152" i="16" s="1"/>
  <c r="AZ220" i="30"/>
  <c r="I285" i="16" s="1"/>
  <c r="AX220" i="30"/>
  <c r="G285" i="16" s="1"/>
  <c r="BF148" i="30"/>
  <c r="O213" i="16" s="1"/>
  <c r="BA207" i="30"/>
  <c r="J272" i="16" s="1"/>
  <c r="AY207" i="30"/>
  <c r="H272" i="16" s="1"/>
  <c r="AZ135" i="30"/>
  <c r="I200" i="16" s="1"/>
  <c r="BD135" i="30"/>
  <c r="M200" i="16" s="1"/>
  <c r="BK194" i="30"/>
  <c r="T259" i="16" s="1"/>
  <c r="BD122" i="30"/>
  <c r="M187" i="16" s="1"/>
  <c r="AZ122" i="30"/>
  <c r="I187" i="16" s="1"/>
  <c r="BC173" i="30"/>
  <c r="L238" i="16" s="1"/>
  <c r="BD173" i="30"/>
  <c r="M238" i="16" s="1"/>
  <c r="AV104" i="30"/>
  <c r="E169" i="16" s="1"/>
  <c r="BA102" i="30"/>
  <c r="J167" i="16" s="1"/>
  <c r="BL106" i="30"/>
  <c r="U171" i="16" s="1"/>
  <c r="AV106" i="30"/>
  <c r="E171" i="16" s="1"/>
  <c r="BK75" i="30"/>
  <c r="T140" i="16" s="1"/>
  <c r="BL73" i="30"/>
  <c r="U138" i="16" s="1"/>
  <c r="BM167" i="30"/>
  <c r="V232" i="16" s="1"/>
  <c r="BJ167" i="30"/>
  <c r="S232" i="16" s="1"/>
  <c r="BJ98" i="30"/>
  <c r="S163" i="16" s="1"/>
  <c r="BM96" i="30"/>
  <c r="V161" i="16" s="1"/>
  <c r="BL96" i="30"/>
  <c r="U161" i="16" s="1"/>
  <c r="AY100" i="30"/>
  <c r="H165" i="16" s="1"/>
  <c r="BI100" i="30"/>
  <c r="R165" i="16" s="1"/>
  <c r="AY69" i="30"/>
  <c r="H134" i="16" s="1"/>
  <c r="BF208" i="30"/>
  <c r="O273" i="16" s="1"/>
  <c r="BG208" i="30"/>
  <c r="P273" i="16" s="1"/>
  <c r="BE136" i="30"/>
  <c r="N201" i="16" s="1"/>
  <c r="BL136" i="30"/>
  <c r="U201" i="16" s="1"/>
  <c r="BK195" i="30"/>
  <c r="T260" i="16" s="1"/>
  <c r="BE123" i="30"/>
  <c r="N188" i="16" s="1"/>
  <c r="BH123" i="30"/>
  <c r="Q188" i="16" s="1"/>
  <c r="BA182" i="30"/>
  <c r="J247" i="16" s="1"/>
  <c r="BJ182" i="30"/>
  <c r="S247" i="16" s="1"/>
  <c r="BJ110" i="30"/>
  <c r="S175" i="16" s="1"/>
  <c r="BC175" i="30"/>
  <c r="L240" i="16" s="1"/>
  <c r="BE175" i="30"/>
  <c r="N240" i="16" s="1"/>
  <c r="BF161" i="30"/>
  <c r="O226" i="16" s="1"/>
  <c r="BE161" i="30"/>
  <c r="N226" i="16" s="1"/>
  <c r="BK92" i="30"/>
  <c r="T157" i="16" s="1"/>
  <c r="BD90" i="30"/>
  <c r="M155" i="16" s="1"/>
  <c r="BG90" i="30"/>
  <c r="P155" i="16" s="1"/>
  <c r="AZ94" i="30"/>
  <c r="I159" i="16" s="1"/>
  <c r="BH94" i="30"/>
  <c r="Q159" i="16" s="1"/>
  <c r="BM202" i="30"/>
  <c r="V267" i="16" s="1"/>
  <c r="BB202" i="30"/>
  <c r="K267" i="16" s="1"/>
  <c r="BM130" i="30"/>
  <c r="V195" i="16" s="1"/>
  <c r="BB130" i="30"/>
  <c r="K195" i="16" s="1"/>
  <c r="BM189" i="30"/>
  <c r="V254" i="16" s="1"/>
  <c r="BD117" i="30"/>
  <c r="M182" i="16" s="1"/>
  <c r="BI176" i="30"/>
  <c r="R241" i="16" s="1"/>
  <c r="BD176" i="30"/>
  <c r="M241" i="16" s="1"/>
  <c r="AW169" i="30"/>
  <c r="F234" i="16" s="1"/>
  <c r="BM156" i="30"/>
  <c r="V221" i="16" s="1"/>
  <c r="AV156" i="30"/>
  <c r="E221" i="16" s="1"/>
  <c r="BL158" i="30"/>
  <c r="U223" i="16" s="1"/>
  <c r="AW151" i="30"/>
  <c r="F216" i="16" s="1"/>
  <c r="BF144" i="30"/>
  <c r="O209" i="16" s="1"/>
  <c r="AV144" i="30"/>
  <c r="E209" i="16" s="1"/>
  <c r="BI209" i="30"/>
  <c r="R274" i="16" s="1"/>
  <c r="BI137" i="30"/>
  <c r="R202" i="16" s="1"/>
  <c r="BC103" i="30"/>
  <c r="L168" i="16" s="1"/>
  <c r="BH103" i="30"/>
  <c r="Q168" i="16" s="1"/>
  <c r="BK101" i="30"/>
  <c r="T166" i="16" s="1"/>
  <c r="BH70" i="30"/>
  <c r="Q135" i="16" s="1"/>
  <c r="AY70" i="30"/>
  <c r="H135" i="16" s="1"/>
  <c r="AX190" i="30"/>
  <c r="G255" i="16" s="1"/>
  <c r="BL190" i="30"/>
  <c r="U255" i="16" s="1"/>
  <c r="BL118" i="30"/>
  <c r="U183" i="16" s="1"/>
  <c r="BJ177" i="30"/>
  <c r="S242" i="16" s="1"/>
  <c r="BK164" i="30"/>
  <c r="T229" i="16" s="1"/>
  <c r="AX164" i="30"/>
  <c r="G229" i="16" s="1"/>
  <c r="BC157" i="30"/>
  <c r="L222" i="16" s="1"/>
  <c r="BB157" i="30"/>
  <c r="K222" i="16" s="1"/>
  <c r="BH143" i="30"/>
  <c r="Q208" i="16" s="1"/>
  <c r="BD143" i="30"/>
  <c r="M208" i="16" s="1"/>
  <c r="BL74" i="30"/>
  <c r="U139" i="16" s="1"/>
  <c r="BI72" i="30"/>
  <c r="R137" i="16" s="1"/>
  <c r="BJ72" i="30"/>
  <c r="S137" i="16" s="1"/>
  <c r="AV76" i="30"/>
  <c r="E141" i="16" s="1"/>
  <c r="AX76" i="30"/>
  <c r="G141" i="16" s="1"/>
  <c r="BE178" i="30"/>
  <c r="N243" i="16" s="1"/>
  <c r="BH178" i="30"/>
  <c r="Q243" i="16" s="1"/>
  <c r="BG165" i="30"/>
  <c r="P230" i="16" s="1"/>
  <c r="BB165" i="30"/>
  <c r="K230" i="16" s="1"/>
  <c r="BB152" i="30"/>
  <c r="K217" i="16" s="1"/>
  <c r="BF217" i="30"/>
  <c r="O282" i="16" s="1"/>
  <c r="BD217" i="30"/>
  <c r="M282" i="16" s="1"/>
  <c r="BD145" i="30"/>
  <c r="M210" i="16" s="1"/>
  <c r="AV145" i="30"/>
  <c r="E210" i="16" s="1"/>
  <c r="BD210" i="30"/>
  <c r="M275" i="16" s="1"/>
  <c r="BG138" i="30"/>
  <c r="P203" i="16" s="1"/>
  <c r="BI138" i="30"/>
  <c r="R203" i="16" s="1"/>
  <c r="BJ203" i="30"/>
  <c r="S268" i="16" s="1"/>
  <c r="BB203" i="30"/>
  <c r="K268" i="16" s="1"/>
  <c r="BI131" i="30"/>
  <c r="R196" i="16" s="1"/>
  <c r="BB97" i="30"/>
  <c r="K162" i="16" s="1"/>
  <c r="AV95" i="30"/>
  <c r="E160" i="16" s="1"/>
  <c r="AZ95" i="30"/>
  <c r="I160" i="16" s="1"/>
  <c r="AV172" i="30"/>
  <c r="E237" i="16" s="1"/>
  <c r="AV159" i="30"/>
  <c r="E224" i="16" s="1"/>
  <c r="BM146" i="30"/>
  <c r="V211" i="16" s="1"/>
  <c r="AX211" i="30"/>
  <c r="G276" i="16" s="1"/>
  <c r="AW204" i="30"/>
  <c r="F269" i="16" s="1"/>
  <c r="AY204" i="30"/>
  <c r="H269" i="16" s="1"/>
  <c r="BK132" i="30"/>
  <c r="T197" i="16" s="1"/>
  <c r="AX132" i="30"/>
  <c r="G197" i="16" s="1"/>
  <c r="AY197" i="30"/>
  <c r="H262" i="16" s="1"/>
  <c r="AV125" i="30"/>
  <c r="E190" i="16" s="1"/>
  <c r="BG91" i="30"/>
  <c r="P156" i="16" s="1"/>
  <c r="AY166" i="30"/>
  <c r="H231" i="16" s="1"/>
  <c r="BA166" i="30"/>
  <c r="J231" i="16" s="1"/>
  <c r="AW225" i="30"/>
  <c r="F290" i="16" s="1"/>
  <c r="AZ153" i="30"/>
  <c r="I218" i="16" s="1"/>
  <c r="BJ153" i="30"/>
  <c r="S218" i="16" s="1"/>
  <c r="AY212" i="30"/>
  <c r="H277" i="16" s="1"/>
  <c r="BF212" i="30"/>
  <c r="O277" i="16" s="1"/>
  <c r="AY140" i="30"/>
  <c r="H205" i="16" s="1"/>
  <c r="BA205" i="30"/>
  <c r="J270" i="16" s="1"/>
  <c r="BH205" i="30"/>
  <c r="Q270" i="16" s="1"/>
  <c r="AZ133" i="30"/>
  <c r="I198" i="16" s="1"/>
  <c r="BH133" i="30"/>
  <c r="Q198" i="16" s="1"/>
  <c r="AX198" i="30"/>
  <c r="G263" i="16" s="1"/>
  <c r="BG126" i="30"/>
  <c r="P191" i="16" s="1"/>
  <c r="BI126" i="30"/>
  <c r="R191" i="16" s="1"/>
  <c r="AW191" i="30"/>
  <c r="F256" i="16" s="1"/>
  <c r="AX191" i="30"/>
  <c r="G256" i="16" s="1"/>
  <c r="AV119" i="30"/>
  <c r="E184" i="16" s="1"/>
  <c r="BK85" i="30"/>
  <c r="T150" i="16" s="1"/>
  <c r="BB85" i="30"/>
  <c r="K150" i="16" s="1"/>
  <c r="AZ83" i="30"/>
  <c r="I148" i="16" s="1"/>
  <c r="BB83" i="30"/>
  <c r="K148" i="16" s="1"/>
  <c r="AY93" i="30"/>
  <c r="H158" i="16" s="1"/>
  <c r="AW160" i="30"/>
  <c r="F225" i="16" s="1"/>
  <c r="AY160" i="30"/>
  <c r="H225" i="16" s="1"/>
  <c r="BC219" i="30"/>
  <c r="L284" i="16" s="1"/>
  <c r="AX219" i="30"/>
  <c r="G284" i="16" s="1"/>
  <c r="BC147" i="30"/>
  <c r="L212" i="16" s="1"/>
  <c r="BC206" i="30"/>
  <c r="L271" i="16" s="1"/>
  <c r="BH206" i="30"/>
  <c r="Q271" i="16" s="1"/>
  <c r="BB134" i="30"/>
  <c r="K199" i="16" s="1"/>
  <c r="BL134" i="30"/>
  <c r="U199" i="16" s="1"/>
  <c r="BD127" i="30"/>
  <c r="M192" i="16" s="1"/>
  <c r="BI127" i="30"/>
  <c r="R192" i="16" s="1"/>
  <c r="BK192" i="30"/>
  <c r="T257" i="16" s="1"/>
  <c r="AW192" i="30"/>
  <c r="F257" i="16" s="1"/>
  <c r="BH120" i="30"/>
  <c r="Q185" i="16" s="1"/>
  <c r="BK185" i="30"/>
  <c r="T250" i="16" s="1"/>
  <c r="AW185" i="30"/>
  <c r="F250" i="16" s="1"/>
  <c r="BB113" i="30"/>
  <c r="K178" i="16" s="1"/>
  <c r="BH77" i="30"/>
  <c r="Q142" i="16" s="1"/>
  <c r="AX87" i="30"/>
  <c r="G152" i="16" s="1"/>
  <c r="AV87" i="30"/>
  <c r="E152" i="16" s="1"/>
  <c r="AY220" i="30"/>
  <c r="H285" i="16" s="1"/>
  <c r="AX148" i="30"/>
  <c r="G213" i="16" s="1"/>
  <c r="AW207" i="30"/>
  <c r="F272" i="16" s="1"/>
  <c r="BJ207" i="30"/>
  <c r="S272" i="16" s="1"/>
  <c r="AY135" i="30"/>
  <c r="H200" i="16" s="1"/>
  <c r="BG194" i="30"/>
  <c r="P259" i="16" s="1"/>
  <c r="BC122" i="30"/>
  <c r="L187" i="16" s="1"/>
  <c r="BG122" i="30"/>
  <c r="P187" i="16" s="1"/>
  <c r="AY108" i="30"/>
  <c r="H173" i="16" s="1"/>
  <c r="BB173" i="30"/>
  <c r="K238" i="16" s="1"/>
  <c r="BI104" i="30"/>
  <c r="R169" i="16" s="1"/>
  <c r="BJ104" i="30"/>
  <c r="S169" i="16" s="1"/>
  <c r="AY102" i="30"/>
  <c r="H167" i="16" s="1"/>
  <c r="BJ102" i="30"/>
  <c r="S167" i="16" s="1"/>
  <c r="BG75" i="30"/>
  <c r="P140" i="16" s="1"/>
  <c r="AY75" i="30"/>
  <c r="H140" i="16" s="1"/>
  <c r="BH73" i="30"/>
  <c r="Q138" i="16" s="1"/>
  <c r="AZ73" i="30"/>
  <c r="I138" i="16" s="1"/>
  <c r="AX100" i="30"/>
  <c r="G165" i="16" s="1"/>
  <c r="AW100" i="30"/>
  <c r="F165" i="16" s="1"/>
  <c r="BJ69" i="30"/>
  <c r="S134" i="16" s="1"/>
  <c r="BE208" i="30"/>
  <c r="N273" i="16" s="1"/>
  <c r="BH208" i="30"/>
  <c r="Q273" i="16" s="1"/>
  <c r="BD136" i="30"/>
  <c r="M201" i="16" s="1"/>
  <c r="AZ136" i="30"/>
  <c r="I201" i="16" s="1"/>
  <c r="AZ182" i="30"/>
  <c r="I247" i="16" s="1"/>
  <c r="AX182" i="30"/>
  <c r="G247" i="16" s="1"/>
  <c r="BB175" i="30"/>
  <c r="K240" i="16" s="1"/>
  <c r="BC161" i="30"/>
  <c r="L226" i="16" s="1"/>
  <c r="BD161" i="30"/>
  <c r="M226" i="16" s="1"/>
  <c r="AV92" i="30"/>
  <c r="E157" i="16" s="1"/>
  <c r="BC90" i="30"/>
  <c r="L155" i="16" s="1"/>
  <c r="BA90" i="30"/>
  <c r="J155" i="16" s="1"/>
  <c r="BL94" i="30"/>
  <c r="U159" i="16" s="1"/>
  <c r="BB68" i="30"/>
  <c r="K133" i="16" s="1"/>
  <c r="BL202" i="30"/>
  <c r="U267" i="16" s="1"/>
  <c r="BK202" i="30"/>
  <c r="T267" i="16" s="1"/>
  <c r="AY130" i="30"/>
  <c r="H195" i="16" s="1"/>
  <c r="BK189" i="30"/>
  <c r="T254" i="16" s="1"/>
  <c r="AX189" i="30"/>
  <c r="G254" i="16" s="1"/>
  <c r="BI117" i="30"/>
  <c r="R182" i="16" s="1"/>
  <c r="BK117" i="30"/>
  <c r="T182" i="16" s="1"/>
  <c r="BJ169" i="30"/>
  <c r="S234" i="16" s="1"/>
  <c r="BK169" i="30"/>
  <c r="T234" i="16" s="1"/>
  <c r="BA162" i="30"/>
  <c r="J227" i="16" s="1"/>
  <c r="BI162" i="30"/>
  <c r="R227" i="16" s="1"/>
  <c r="BB155" i="30"/>
  <c r="K220" i="16" s="1"/>
  <c r="BJ155" i="30"/>
  <c r="S220" i="16" s="1"/>
  <c r="AV86" i="30"/>
  <c r="E151" i="16" s="1"/>
  <c r="BD86" i="30"/>
  <c r="M151" i="16" s="1"/>
  <c r="AW84" i="30"/>
  <c r="F149" i="16" s="1"/>
  <c r="BE88" i="30"/>
  <c r="N153" i="16" s="1"/>
  <c r="BM88" i="30"/>
  <c r="V153" i="16" s="1"/>
  <c r="BJ196" i="30"/>
  <c r="S261" i="16" s="1"/>
  <c r="BM196" i="30"/>
  <c r="V261" i="16" s="1"/>
  <c r="BJ124" i="30"/>
  <c r="S189" i="16" s="1"/>
  <c r="BC183" i="30"/>
  <c r="L248" i="16" s="1"/>
  <c r="BF183" i="30"/>
  <c r="O248" i="16" s="1"/>
  <c r="BI111" i="30"/>
  <c r="R176" i="16" s="1"/>
  <c r="BJ111" i="30"/>
  <c r="S176" i="16" s="1"/>
  <c r="AW170" i="30"/>
  <c r="F235" i="16" s="1"/>
  <c r="BG163" i="30"/>
  <c r="P228" i="16" s="1"/>
  <c r="BL156" i="30"/>
  <c r="U221" i="16" s="1"/>
  <c r="BD156" i="30"/>
  <c r="M221" i="16" s="1"/>
  <c r="BL80" i="30"/>
  <c r="U145" i="16" s="1"/>
  <c r="AX80" i="30"/>
  <c r="G145" i="16" s="1"/>
  <c r="BK78" i="30"/>
  <c r="T143" i="16" s="1"/>
  <c r="BM82" i="30"/>
  <c r="V147" i="16" s="1"/>
  <c r="AZ82" i="30"/>
  <c r="I147" i="16" s="1"/>
  <c r="BH184" i="30"/>
  <c r="Q249" i="16" s="1"/>
  <c r="AZ184" i="30"/>
  <c r="I249" i="16" s="1"/>
  <c r="AZ112" i="30"/>
  <c r="I177" i="16" s="1"/>
  <c r="AY171" i="30"/>
  <c r="H236" i="16" s="1"/>
  <c r="BB171" i="30"/>
  <c r="K236" i="16" s="1"/>
  <c r="BM158" i="30"/>
  <c r="V223" i="16" s="1"/>
  <c r="AZ158" i="30"/>
  <c r="I223" i="16" s="1"/>
  <c r="BA151" i="30"/>
  <c r="J216" i="16" s="1"/>
  <c r="BE144" i="30"/>
  <c r="N209" i="16" s="1"/>
  <c r="BD144" i="30"/>
  <c r="M209" i="16" s="1"/>
  <c r="AW190" i="30"/>
  <c r="F255" i="16" s="1"/>
  <c r="AZ190" i="30"/>
  <c r="I255" i="16" s="1"/>
  <c r="AW118" i="30"/>
  <c r="F183" i="16" s="1"/>
  <c r="BG177" i="30"/>
  <c r="P242" i="16" s="1"/>
  <c r="BB177" i="30"/>
  <c r="K242" i="16" s="1"/>
  <c r="BE164" i="30"/>
  <c r="N229" i="16" s="1"/>
  <c r="BC150" i="30"/>
  <c r="L215" i="16" s="1"/>
  <c r="BE215" i="30"/>
  <c r="N280" i="16" s="1"/>
  <c r="AV215" i="30"/>
  <c r="E280" i="16" s="1"/>
  <c r="BG143" i="30"/>
  <c r="P208" i="16" s="1"/>
  <c r="BC74" i="30"/>
  <c r="L139" i="16" s="1"/>
  <c r="BD72" i="30"/>
  <c r="M137" i="16" s="1"/>
  <c r="AX72" i="30"/>
  <c r="G137" i="16" s="1"/>
  <c r="BF76" i="30"/>
  <c r="O141" i="16" s="1"/>
  <c r="BM216" i="30"/>
  <c r="V281" i="16" s="1"/>
  <c r="BD178" i="30"/>
  <c r="M243" i="16" s="1"/>
  <c r="BF178" i="30"/>
  <c r="O243" i="16" s="1"/>
  <c r="BF165" i="30"/>
  <c r="O230" i="16" s="1"/>
  <c r="BI165" i="30"/>
  <c r="R230" i="16" s="1"/>
  <c r="BA152" i="30"/>
  <c r="J217" i="16" s="1"/>
  <c r="BJ152" i="30"/>
  <c r="S217" i="16" s="1"/>
  <c r="BE217" i="30"/>
  <c r="N282" i="16" s="1"/>
  <c r="BC217" i="30"/>
  <c r="L282" i="16" s="1"/>
  <c r="BK159" i="30"/>
  <c r="T224" i="16" s="1"/>
  <c r="BK218" i="30"/>
  <c r="T283" i="16" s="1"/>
  <c r="AZ218" i="30"/>
  <c r="I283" i="16" s="1"/>
  <c r="BK146" i="30"/>
  <c r="T211" i="16" s="1"/>
  <c r="BE146" i="30"/>
  <c r="N211" i="16" s="1"/>
  <c r="BM211" i="30"/>
  <c r="V276" i="16" s="1"/>
  <c r="BK139" i="30"/>
  <c r="T204" i="16" s="1"/>
  <c r="AV204" i="30"/>
  <c r="E269" i="16" s="1"/>
  <c r="BJ204" i="30"/>
  <c r="S269" i="16" s="1"/>
  <c r="BH132" i="30"/>
  <c r="Q197" i="16" s="1"/>
  <c r="BK197" i="30"/>
  <c r="T262" i="16" s="1"/>
  <c r="BM197" i="30"/>
  <c r="V262" i="16" s="1"/>
  <c r="BJ125" i="30"/>
  <c r="S190" i="16" s="1"/>
  <c r="BG125" i="30"/>
  <c r="P190" i="16" s="1"/>
  <c r="BJ99" i="30"/>
  <c r="S164" i="16" s="1"/>
  <c r="AX166" i="30"/>
  <c r="G231" i="16" s="1"/>
  <c r="BL166" i="30"/>
  <c r="U231" i="16" s="1"/>
  <c r="AV225" i="30"/>
  <c r="E290" i="16" s="1"/>
  <c r="AY153" i="30"/>
  <c r="H218" i="16" s="1"/>
  <c r="AX153" i="30"/>
  <c r="G218" i="16" s="1"/>
  <c r="AX212" i="30"/>
  <c r="G277" i="16" s="1"/>
  <c r="AW140" i="30"/>
  <c r="F205" i="16" s="1"/>
  <c r="AZ205" i="30"/>
  <c r="I270" i="16" s="1"/>
  <c r="AV205" i="30"/>
  <c r="E270" i="16" s="1"/>
  <c r="AV133" i="30"/>
  <c r="E198" i="16" s="1"/>
  <c r="BK198" i="30"/>
  <c r="T263" i="16" s="1"/>
  <c r="BF126" i="30"/>
  <c r="O191" i="16" s="1"/>
  <c r="BL191" i="30"/>
  <c r="U256" i="16" s="1"/>
  <c r="BE191" i="30"/>
  <c r="N256" i="16" s="1"/>
  <c r="BJ119" i="30"/>
  <c r="S184" i="16" s="1"/>
  <c r="AY85" i="30"/>
  <c r="H150" i="16" s="1"/>
  <c r="BL85" i="30"/>
  <c r="U150" i="16" s="1"/>
  <c r="BM83" i="30"/>
  <c r="V148" i="16" s="1"/>
  <c r="BJ83" i="30"/>
  <c r="S148" i="16" s="1"/>
  <c r="BM93" i="30"/>
  <c r="V158" i="16" s="1"/>
  <c r="BG104" i="30"/>
  <c r="P169" i="16" s="1"/>
  <c r="BG154" i="30"/>
  <c r="P219" i="16" s="1"/>
  <c r="BH213" i="30"/>
  <c r="Q278" i="16" s="1"/>
  <c r="AW141" i="30"/>
  <c r="F206" i="16" s="1"/>
  <c r="BG193" i="30"/>
  <c r="P258" i="16" s="1"/>
  <c r="BF186" i="30"/>
  <c r="O251" i="16" s="1"/>
  <c r="BK179" i="30"/>
  <c r="T244" i="16" s="1"/>
  <c r="AY107" i="30"/>
  <c r="H172" i="16" s="1"/>
  <c r="AY73" i="30"/>
  <c r="H138" i="16" s="1"/>
  <c r="BJ73" i="30"/>
  <c r="S138" i="16" s="1"/>
  <c r="AW71" i="30"/>
  <c r="F136" i="16" s="1"/>
  <c r="BL81" i="30"/>
  <c r="U146" i="16" s="1"/>
  <c r="BI180" i="30"/>
  <c r="R245" i="16" s="1"/>
  <c r="BL167" i="30"/>
  <c r="U232" i="16" s="1"/>
  <c r="BE167" i="30"/>
  <c r="N232" i="16" s="1"/>
  <c r="BI98" i="30"/>
  <c r="R163" i="16" s="1"/>
  <c r="BG96" i="30"/>
  <c r="P161" i="16" s="1"/>
  <c r="BK96" i="30"/>
  <c r="T161" i="16" s="1"/>
  <c r="BG100" i="30"/>
  <c r="P165" i="16" s="1"/>
  <c r="BH100" i="30"/>
  <c r="Q165" i="16" s="1"/>
  <c r="AX69" i="30"/>
  <c r="G134" i="16" s="1"/>
  <c r="BJ195" i="30"/>
  <c r="S260" i="16" s="1"/>
  <c r="BB123" i="30"/>
  <c r="K188" i="16" s="1"/>
  <c r="BF123" i="30"/>
  <c r="O188" i="16" s="1"/>
  <c r="AY182" i="30"/>
  <c r="H247" i="16" s="1"/>
  <c r="BE182" i="30"/>
  <c r="N247" i="16" s="1"/>
  <c r="BI110" i="30"/>
  <c r="R175" i="16" s="1"/>
  <c r="AY175" i="30"/>
  <c r="H240" i="16" s="1"/>
  <c r="BF175" i="30"/>
  <c r="O240" i="16" s="1"/>
  <c r="AY68" i="30"/>
  <c r="H133" i="16" s="1"/>
  <c r="AZ68" i="30"/>
  <c r="BI202" i="30"/>
  <c r="R267" i="16" s="1"/>
  <c r="BH176" i="30"/>
  <c r="Q241" i="16" s="1"/>
  <c r="AZ162" i="30"/>
  <c r="I227" i="16" s="1"/>
  <c r="AW162" i="30"/>
  <c r="F227" i="16" s="1"/>
  <c r="BA155" i="30"/>
  <c r="J220" i="16" s="1"/>
  <c r="AX155" i="30"/>
  <c r="G220" i="16" s="1"/>
  <c r="BL86" i="30"/>
  <c r="U151" i="16" s="1"/>
  <c r="BB86" i="30"/>
  <c r="K151" i="16" s="1"/>
  <c r="BI84" i="30"/>
  <c r="R149" i="16" s="1"/>
  <c r="BC88" i="30"/>
  <c r="L153" i="16" s="1"/>
  <c r="AX88" i="30"/>
  <c r="G153" i="16" s="1"/>
  <c r="BA196" i="30"/>
  <c r="J261" i="16" s="1"/>
  <c r="BA183" i="30"/>
  <c r="J248" i="16" s="1"/>
  <c r="BE183" i="30"/>
  <c r="N248" i="16" s="1"/>
  <c r="BB111" i="30"/>
  <c r="K176" i="16" s="1"/>
  <c r="AX111" i="30"/>
  <c r="G176" i="16" s="1"/>
  <c r="BL170" i="30"/>
  <c r="U235" i="16" s="1"/>
  <c r="BC163" i="30"/>
  <c r="L228" i="16" s="1"/>
  <c r="BE163" i="30"/>
  <c r="N228" i="16" s="1"/>
  <c r="BK156" i="30"/>
  <c r="T221" i="16" s="1"/>
  <c r="BE149" i="30"/>
  <c r="N214" i="16" s="1"/>
  <c r="BK80" i="30"/>
  <c r="T145" i="16" s="1"/>
  <c r="BM78" i="30"/>
  <c r="V143" i="16" s="1"/>
  <c r="AY78" i="30"/>
  <c r="H143" i="16" s="1"/>
  <c r="BK82" i="30"/>
  <c r="T147" i="16" s="1"/>
  <c r="BJ82" i="30"/>
  <c r="S147" i="16" s="1"/>
  <c r="BG184" i="30"/>
  <c r="P249" i="16" s="1"/>
  <c r="BL112" i="30"/>
  <c r="U177" i="16" s="1"/>
  <c r="BK112" i="30"/>
  <c r="T177" i="16" s="1"/>
  <c r="BM171" i="30"/>
  <c r="V236" i="16" s="1"/>
  <c r="BI171" i="30"/>
  <c r="R236" i="16" s="1"/>
  <c r="BK158" i="30"/>
  <c r="T223" i="16" s="1"/>
  <c r="BE209" i="30"/>
  <c r="N274" i="16" s="1"/>
  <c r="AZ209" i="30"/>
  <c r="I274" i="16" s="1"/>
  <c r="BC101" i="30"/>
  <c r="L166" i="16" s="1"/>
  <c r="BH101" i="30"/>
  <c r="Q166" i="16" s="1"/>
  <c r="BD70" i="30"/>
  <c r="M135" i="16" s="1"/>
  <c r="AX70" i="30"/>
  <c r="G135" i="16" s="1"/>
  <c r="BK190" i="30"/>
  <c r="T255" i="16" s="1"/>
  <c r="BI118" i="30"/>
  <c r="R183" i="16" s="1"/>
  <c r="BK118" i="30"/>
  <c r="T183" i="16" s="1"/>
  <c r="BF177" i="30"/>
  <c r="O242" i="16" s="1"/>
  <c r="BI177" i="30"/>
  <c r="R242" i="16" s="1"/>
  <c r="BE138" i="30"/>
  <c r="N203" i="16" s="1"/>
  <c r="BJ218" i="30"/>
  <c r="S283" i="16" s="1"/>
  <c r="BH218" i="30"/>
  <c r="Q283" i="16" s="1"/>
  <c r="BI146" i="30"/>
  <c r="R211" i="16" s="1"/>
  <c r="BD146" i="30"/>
  <c r="M211" i="16" s="1"/>
  <c r="BJ139" i="30"/>
  <c r="S204" i="16" s="1"/>
  <c r="BB139" i="30"/>
  <c r="K204" i="16" s="1"/>
  <c r="BB89" i="30"/>
  <c r="K154" i="16" s="1"/>
  <c r="BM99" i="30"/>
  <c r="V164" i="16" s="1"/>
  <c r="AX99" i="30"/>
  <c r="G164" i="16" s="1"/>
  <c r="BI153" i="30"/>
  <c r="R218" i="16" s="1"/>
  <c r="AW212" i="30"/>
  <c r="F277" i="16" s="1"/>
  <c r="BB212" i="30"/>
  <c r="K277" i="16" s="1"/>
  <c r="BE126" i="30"/>
  <c r="N191" i="16" s="1"/>
  <c r="BD126" i="30"/>
  <c r="M191" i="16" s="1"/>
  <c r="AV160" i="30"/>
  <c r="E225" i="16" s="1"/>
  <c r="BA219" i="30"/>
  <c r="J284" i="16" s="1"/>
  <c r="AZ147" i="30"/>
  <c r="I212" i="16" s="1"/>
  <c r="AY206" i="30"/>
  <c r="H271" i="16" s="1"/>
  <c r="BG206" i="30"/>
  <c r="P271" i="16" s="1"/>
  <c r="AY134" i="30"/>
  <c r="H199" i="16" s="1"/>
  <c r="BG199" i="30"/>
  <c r="P264" i="16" s="1"/>
  <c r="AZ127" i="30"/>
  <c r="I192" i="16" s="1"/>
  <c r="BF127" i="30"/>
  <c r="O192" i="16" s="1"/>
  <c r="BJ192" i="30"/>
  <c r="S257" i="16" s="1"/>
  <c r="AV192" i="30"/>
  <c r="E257" i="16" s="1"/>
  <c r="BF120" i="30"/>
  <c r="O185" i="16" s="1"/>
  <c r="BA122" i="30"/>
  <c r="J187" i="16" s="1"/>
  <c r="BH187" i="30"/>
  <c r="Q252" i="16" s="1"/>
  <c r="BF115" i="30"/>
  <c r="O180" i="16" s="1"/>
  <c r="BE108" i="30"/>
  <c r="N173" i="16" s="1"/>
  <c r="BE104" i="30"/>
  <c r="N169" i="16" s="1"/>
  <c r="AZ102" i="30"/>
  <c r="I167" i="16" s="1"/>
  <c r="BE102" i="30"/>
  <c r="N167" i="16" s="1"/>
  <c r="AW75" i="30"/>
  <c r="F140" i="16" s="1"/>
  <c r="AX75" i="30"/>
  <c r="G140" i="16" s="1"/>
  <c r="BE154" i="30"/>
  <c r="N219" i="16" s="1"/>
  <c r="BG213" i="30"/>
  <c r="P278" i="16" s="1"/>
  <c r="AZ213" i="30"/>
  <c r="I278" i="16" s="1"/>
  <c r="BF141" i="30"/>
  <c r="O206" i="16" s="1"/>
  <c r="BH141" i="30"/>
  <c r="Q206" i="16" s="1"/>
  <c r="BE200" i="30"/>
  <c r="N265" i="16" s="1"/>
  <c r="AY128" i="30"/>
  <c r="H193" i="16" s="1"/>
  <c r="BB128" i="30"/>
  <c r="K193" i="16" s="1"/>
  <c r="BE193" i="30"/>
  <c r="N258" i="16" s="1"/>
  <c r="BA193" i="30"/>
  <c r="J258" i="16" s="1"/>
  <c r="BE121" i="30"/>
  <c r="N186" i="16" s="1"/>
  <c r="BE186" i="30"/>
  <c r="N251" i="16" s="1"/>
  <c r="BJ186" i="30"/>
  <c r="S251" i="16" s="1"/>
  <c r="BJ114" i="30"/>
  <c r="S179" i="16" s="1"/>
  <c r="AX107" i="30"/>
  <c r="G172" i="16" s="1"/>
  <c r="BK71" i="30"/>
  <c r="T136" i="16" s="1"/>
  <c r="BI81" i="30"/>
  <c r="R146" i="16" s="1"/>
  <c r="BJ81" i="30"/>
  <c r="S146" i="16" s="1"/>
  <c r="BK180" i="30"/>
  <c r="T245" i="16" s="1"/>
  <c r="AW180" i="30"/>
  <c r="F245" i="16" s="1"/>
  <c r="BM214" i="30"/>
  <c r="V279" i="16" s="1"/>
  <c r="BK142" i="30"/>
  <c r="T207" i="16" s="1"/>
  <c r="BB142" i="30"/>
  <c r="K207" i="16" s="1"/>
  <c r="BB201" i="30"/>
  <c r="K266" i="16" s="1"/>
  <c r="BE129" i="30"/>
  <c r="N194" i="16" s="1"/>
  <c r="BJ116" i="30"/>
  <c r="S181" i="16" s="1"/>
  <c r="BF116" i="30"/>
  <c r="O181" i="16" s="1"/>
  <c r="AY181" i="30"/>
  <c r="H246" i="16" s="1"/>
  <c r="BK109" i="30"/>
  <c r="T174" i="16" s="1"/>
  <c r="BG109" i="30"/>
  <c r="P174" i="16" s="1"/>
  <c r="AZ174" i="30"/>
  <c r="I239" i="16" s="1"/>
  <c r="AW174" i="30"/>
  <c r="F239" i="16" s="1"/>
  <c r="AV167" i="30"/>
  <c r="E232" i="16" s="1"/>
  <c r="BD167" i="30"/>
  <c r="M232" i="16" s="1"/>
  <c r="BH98" i="30"/>
  <c r="Q163" i="16" s="1"/>
  <c r="BF96" i="30"/>
  <c r="O161" i="16" s="1"/>
  <c r="BD100" i="30"/>
  <c r="M165" i="16" s="1"/>
  <c r="AV100" i="30"/>
  <c r="E165" i="16" s="1"/>
  <c r="BH69" i="30"/>
  <c r="Q134" i="16" s="1"/>
  <c r="AY136" i="30"/>
  <c r="H201" i="16" s="1"/>
  <c r="AV136" i="30"/>
  <c r="E201" i="16" s="1"/>
  <c r="BG195" i="30"/>
  <c r="P260" i="16" s="1"/>
  <c r="BA123" i="30"/>
  <c r="J188" i="16" s="1"/>
  <c r="BD123" i="30"/>
  <c r="M188" i="16" s="1"/>
  <c r="BM182" i="30"/>
  <c r="V247" i="16" s="1"/>
  <c r="BD182" i="30"/>
  <c r="M247" i="16" s="1"/>
  <c r="BH110" i="30"/>
  <c r="Q175" i="16" s="1"/>
  <c r="AX175" i="30"/>
  <c r="G240" i="16" s="1"/>
  <c r="BK168" i="30"/>
  <c r="T233" i="16" s="1"/>
  <c r="AW168" i="30"/>
  <c r="F233" i="16" s="1"/>
  <c r="BA161" i="30"/>
  <c r="J226" i="16" s="1"/>
  <c r="BG92" i="30"/>
  <c r="P157" i="16" s="1"/>
  <c r="BH90" i="30"/>
  <c r="Q155" i="16" s="1"/>
  <c r="BK94" i="30"/>
  <c r="T159" i="16" s="1"/>
  <c r="BJ202" i="30"/>
  <c r="S267" i="16" s="1"/>
  <c r="AX130" i="30"/>
  <c r="G195" i="16" s="1"/>
  <c r="BG176" i="30"/>
  <c r="P241" i="16" s="1"/>
  <c r="AY162" i="30"/>
  <c r="H227" i="16" s="1"/>
  <c r="BH162" i="30"/>
  <c r="Q227" i="16" s="1"/>
  <c r="AY155" i="30"/>
  <c r="H220" i="16" s="1"/>
  <c r="BF155" i="30"/>
  <c r="O220" i="16" s="1"/>
  <c r="BK86" i="30"/>
  <c r="T151" i="16" s="1"/>
  <c r="BJ86" i="30"/>
  <c r="S151" i="16" s="1"/>
  <c r="BG84" i="30"/>
  <c r="P149" i="16" s="1"/>
  <c r="AY88" i="30"/>
  <c r="H153" i="16" s="1"/>
  <c r="BK88" i="30"/>
  <c r="T153" i="16" s="1"/>
  <c r="BI196" i="30"/>
  <c r="R261" i="16" s="1"/>
  <c r="BL196" i="30"/>
  <c r="U261" i="16" s="1"/>
  <c r="BI124" i="30"/>
  <c r="R189" i="16" s="1"/>
  <c r="AZ183" i="30"/>
  <c r="I248" i="16" s="1"/>
  <c r="BD183" i="30"/>
  <c r="M248" i="16" s="1"/>
  <c r="BE111" i="30"/>
  <c r="N176" i="16" s="1"/>
  <c r="AV170" i="30"/>
  <c r="E235" i="16" s="1"/>
  <c r="BB163" i="30"/>
  <c r="K228" i="16" s="1"/>
  <c r="BD163" i="30"/>
  <c r="M228" i="16" s="1"/>
  <c r="BG156" i="30"/>
  <c r="P221" i="16" s="1"/>
  <c r="BK149" i="30"/>
  <c r="T214" i="16" s="1"/>
  <c r="BD149" i="30"/>
  <c r="M214" i="16" s="1"/>
  <c r="AV80" i="30"/>
  <c r="E145" i="16" s="1"/>
  <c r="BA78" i="30"/>
  <c r="J143" i="16" s="1"/>
  <c r="BJ78" i="30"/>
  <c r="S143" i="16" s="1"/>
  <c r="BI158" i="30"/>
  <c r="R223" i="16" s="1"/>
  <c r="BJ151" i="30"/>
  <c r="S216" i="16" s="1"/>
  <c r="AZ151" i="30"/>
  <c r="I216" i="16" s="1"/>
  <c r="BA144" i="30"/>
  <c r="J209" i="16" s="1"/>
  <c r="BD209" i="30"/>
  <c r="M274" i="16" s="1"/>
  <c r="BH209" i="30"/>
  <c r="Q274" i="16" s="1"/>
  <c r="BC137" i="30"/>
  <c r="L202" i="16" s="1"/>
  <c r="BD137" i="30"/>
  <c r="M202" i="16" s="1"/>
  <c r="BG103" i="30"/>
  <c r="P168" i="16" s="1"/>
  <c r="BB101" i="30"/>
  <c r="K166" i="16" s="1"/>
  <c r="BG101" i="30"/>
  <c r="P166" i="16" s="1"/>
  <c r="BA70" i="30"/>
  <c r="J135" i="16" s="1"/>
  <c r="BF70" i="30"/>
  <c r="O135" i="16" s="1"/>
  <c r="AV190" i="30"/>
  <c r="E255" i="16" s="1"/>
  <c r="BG118" i="30"/>
  <c r="P183" i="16" s="1"/>
  <c r="BE177" i="30"/>
  <c r="N242" i="16" s="1"/>
  <c r="AW177" i="30"/>
  <c r="F242" i="16" s="1"/>
  <c r="AW157" i="30"/>
  <c r="F222" i="16" s="1"/>
  <c r="BL157" i="30"/>
  <c r="U222" i="16" s="1"/>
  <c r="AZ150" i="30"/>
  <c r="I215" i="16" s="1"/>
  <c r="BB150" i="30"/>
  <c r="K215" i="16" s="1"/>
  <c r="BC215" i="30"/>
  <c r="L280" i="16" s="1"/>
  <c r="BB143" i="30"/>
  <c r="K208" i="16" s="1"/>
  <c r="AY74" i="30"/>
  <c r="H139" i="16" s="1"/>
  <c r="BG74" i="30"/>
  <c r="P139" i="16" s="1"/>
  <c r="AV72" i="30"/>
  <c r="E137" i="16" s="1"/>
  <c r="BH76" i="30"/>
  <c r="Q141" i="16" s="1"/>
  <c r="BI216" i="30"/>
  <c r="R281" i="16" s="1"/>
  <c r="BL216" i="30"/>
  <c r="U281" i="16" s="1"/>
  <c r="BB178" i="30"/>
  <c r="K243" i="16" s="1"/>
  <c r="BM178" i="30"/>
  <c r="V243" i="16" s="1"/>
  <c r="BD165" i="30"/>
  <c r="M230" i="16" s="1"/>
  <c r="BH165" i="30"/>
  <c r="Q230" i="16" s="1"/>
  <c r="BF152" i="30"/>
  <c r="O217" i="16" s="1"/>
  <c r="AX145" i="30"/>
  <c r="G210" i="16" s="1"/>
  <c r="BC210" i="30"/>
  <c r="L275" i="16" s="1"/>
  <c r="BK210" i="30"/>
  <c r="T275" i="16" s="1"/>
  <c r="BC138" i="30"/>
  <c r="L203" i="16" s="1"/>
  <c r="AV138" i="30"/>
  <c r="E203" i="16" s="1"/>
  <c r="BD203" i="30"/>
  <c r="M268" i="16" s="1"/>
  <c r="BE131" i="30"/>
  <c r="N196" i="16" s="1"/>
  <c r="BG131" i="30"/>
  <c r="P196" i="16" s="1"/>
  <c r="BD97" i="30"/>
  <c r="M162" i="16" s="1"/>
  <c r="BH97" i="30"/>
  <c r="Q162" i="16" s="1"/>
  <c r="BE95" i="30"/>
  <c r="N160" i="16" s="1"/>
  <c r="BH105" i="30"/>
  <c r="Q170" i="16" s="1"/>
  <c r="BI172" i="30"/>
  <c r="R237" i="16" s="1"/>
  <c r="BL172" i="30"/>
  <c r="U237" i="16" s="1"/>
  <c r="BM204" i="30"/>
  <c r="V269" i="16" s="1"/>
  <c r="BF204" i="30"/>
  <c r="O269" i="16" s="1"/>
  <c r="BH125" i="30"/>
  <c r="Q190" i="16" s="1"/>
  <c r="BF125" i="30"/>
  <c r="O190" i="16" s="1"/>
  <c r="BK166" i="30"/>
  <c r="T231" i="16" s="1"/>
  <c r="BL225" i="30"/>
  <c r="U290" i="16" s="1"/>
  <c r="AW153" i="30"/>
  <c r="F218" i="16" s="1"/>
  <c r="BM212" i="30"/>
  <c r="V277" i="16" s="1"/>
  <c r="BJ140" i="30"/>
  <c r="S205" i="16" s="1"/>
  <c r="BC205" i="30"/>
  <c r="L270" i="16" s="1"/>
  <c r="BF198" i="30"/>
  <c r="O263" i="16" s="1"/>
  <c r="BJ198" i="30"/>
  <c r="S263" i="16" s="1"/>
  <c r="BJ160" i="30"/>
  <c r="S225" i="16" s="1"/>
  <c r="BM160" i="30"/>
  <c r="V225" i="16" s="1"/>
  <c r="AW219" i="30"/>
  <c r="F284" i="16" s="1"/>
  <c r="AY147" i="30"/>
  <c r="H212" i="16" s="1"/>
  <c r="BB147" i="30"/>
  <c r="K212" i="16" s="1"/>
  <c r="AX206" i="30"/>
  <c r="G271" i="16" s="1"/>
  <c r="AW134" i="30"/>
  <c r="F199" i="16" s="1"/>
  <c r="BI79" i="30"/>
  <c r="R144" i="16" s="1"/>
  <c r="BC79" i="30"/>
  <c r="L144" i="16" s="1"/>
  <c r="BK77" i="30"/>
  <c r="T142" i="16" s="1"/>
  <c r="BD77" i="30"/>
  <c r="M142" i="16" s="1"/>
  <c r="BI87" i="30"/>
  <c r="R152" i="16" s="1"/>
  <c r="BM220" i="30"/>
  <c r="V285" i="16" s="1"/>
  <c r="BK148" i="30"/>
  <c r="T213" i="16" s="1"/>
  <c r="BA148" i="30"/>
  <c r="J213" i="16" s="1"/>
  <c r="BM207" i="30"/>
  <c r="V272" i="16" s="1"/>
  <c r="BM135" i="30"/>
  <c r="V200" i="16" s="1"/>
  <c r="BB194" i="30"/>
  <c r="K259" i="16" s="1"/>
  <c r="BH194" i="30"/>
  <c r="Q259" i="16" s="1"/>
  <c r="AY122" i="30"/>
  <c r="H187" i="16" s="1"/>
  <c r="BG187" i="30"/>
  <c r="P252" i="16" s="1"/>
  <c r="BD115" i="30"/>
  <c r="M180" i="16" s="1"/>
  <c r="BH108" i="30"/>
  <c r="Q173" i="16" s="1"/>
  <c r="BD108" i="30"/>
  <c r="M173" i="16" s="1"/>
  <c r="AY173" i="30"/>
  <c r="H238" i="16" s="1"/>
  <c r="AX104" i="30"/>
  <c r="G169" i="16" s="1"/>
  <c r="BL102" i="30"/>
  <c r="U167" i="16" s="1"/>
  <c r="BD102" i="30"/>
  <c r="M167" i="16" s="1"/>
  <c r="BJ106" i="30"/>
  <c r="S171" i="16" s="1"/>
  <c r="BH75" i="30"/>
  <c r="Q140" i="16" s="1"/>
  <c r="BD154" i="30"/>
  <c r="M219" i="16" s="1"/>
  <c r="BE213" i="30"/>
  <c r="N278" i="16" s="1"/>
  <c r="BK213" i="30"/>
  <c r="T278" i="16" s="1"/>
  <c r="BE141" i="30"/>
  <c r="N206" i="16" s="1"/>
  <c r="AV141" i="30"/>
  <c r="E206" i="16" s="1"/>
  <c r="BC200" i="30"/>
  <c r="L265" i="16" s="1"/>
  <c r="AX128" i="30"/>
  <c r="G193" i="16" s="1"/>
  <c r="BL128" i="30"/>
  <c r="U193" i="16" s="1"/>
  <c r="BD193" i="30"/>
  <c r="M258" i="16" s="1"/>
  <c r="BL193" i="30"/>
  <c r="U258" i="16" s="1"/>
  <c r="BD121" i="30"/>
  <c r="M186" i="16" s="1"/>
  <c r="BD186" i="30"/>
  <c r="M251" i="16" s="1"/>
  <c r="BG186" i="30"/>
  <c r="P251" i="16" s="1"/>
  <c r="BL114" i="30"/>
  <c r="U179" i="16" s="1"/>
  <c r="AX114" i="30"/>
  <c r="G179" i="16" s="1"/>
  <c r="BI179" i="30"/>
  <c r="R244" i="16" s="1"/>
  <c r="BJ107" i="30"/>
  <c r="S172" i="16" s="1"/>
  <c r="BF107" i="30"/>
  <c r="O172" i="16" s="1"/>
  <c r="AV73" i="30"/>
  <c r="E138" i="16" s="1"/>
  <c r="BF73" i="30"/>
  <c r="O138" i="16" s="1"/>
  <c r="BA71" i="30"/>
  <c r="J136" i="16" s="1"/>
  <c r="AW81" i="30"/>
  <c r="F146" i="16" s="1"/>
  <c r="AX81" i="30"/>
  <c r="G146" i="16" s="1"/>
  <c r="BH180" i="30"/>
  <c r="Q245" i="16" s="1"/>
  <c r="AW188" i="30"/>
  <c r="F253" i="16" s="1"/>
  <c r="BA188" i="30"/>
  <c r="J253" i="16" s="1"/>
  <c r="BI116" i="30"/>
  <c r="R181" i="16" s="1"/>
  <c r="AX181" i="30"/>
  <c r="G246" i="16" s="1"/>
  <c r="BJ109" i="30"/>
  <c r="S174" i="16" s="1"/>
  <c r="BF109" i="30"/>
  <c r="O174" i="16" s="1"/>
  <c r="AY174" i="30"/>
  <c r="H239" i="16" s="1"/>
  <c r="BH174" i="30"/>
  <c r="Q239" i="16" s="1"/>
  <c r="AY208" i="30"/>
  <c r="H273" i="16" s="1"/>
  <c r="BC208" i="30"/>
  <c r="L273" i="16" s="1"/>
  <c r="AX136" i="30"/>
  <c r="G201" i="16" s="1"/>
  <c r="BC195" i="30"/>
  <c r="L260" i="16" s="1"/>
  <c r="BF195" i="30"/>
  <c r="O260" i="16" s="1"/>
  <c r="AZ123" i="30"/>
  <c r="I188" i="16" s="1"/>
  <c r="BK123" i="30"/>
  <c r="T188" i="16" s="1"/>
  <c r="AW182" i="30"/>
  <c r="F247" i="16" s="1"/>
  <c r="BG110" i="30"/>
  <c r="P175" i="16" s="1"/>
  <c r="BD110" i="30"/>
  <c r="M175" i="16" s="1"/>
  <c r="AW175" i="30"/>
  <c r="F240" i="16" s="1"/>
  <c r="BM175" i="30"/>
  <c r="V240" i="16" s="1"/>
  <c r="BH169" i="30"/>
  <c r="Q234" i="16" s="1"/>
  <c r="BM162" i="30"/>
  <c r="V227" i="16" s="1"/>
  <c r="AV162" i="30"/>
  <c r="E227" i="16" s="1"/>
  <c r="BF163" i="30"/>
  <c r="O228" i="16" s="1"/>
  <c r="BF156" i="30"/>
  <c r="O221" i="16" s="1"/>
  <c r="BE82" i="30"/>
  <c r="N147" i="16" s="1"/>
  <c r="BF82" i="30"/>
  <c r="O147" i="16" s="1"/>
  <c r="BD184" i="30"/>
  <c r="M249" i="16" s="1"/>
  <c r="BF112" i="30"/>
  <c r="O177" i="16" s="1"/>
  <c r="BJ112" i="30"/>
  <c r="S177" i="16" s="1"/>
  <c r="BH171" i="30"/>
  <c r="Q236" i="16" s="1"/>
  <c r="BB137" i="30"/>
  <c r="K202" i="16" s="1"/>
  <c r="BL137" i="30"/>
  <c r="U202" i="16" s="1"/>
  <c r="BJ118" i="30"/>
  <c r="S183" i="16" s="1"/>
  <c r="BH164" i="30"/>
  <c r="Q229" i="16" s="1"/>
  <c r="AZ157" i="30"/>
  <c r="I222" i="16" s="1"/>
  <c r="AY150" i="30"/>
  <c r="H215" i="16" s="1"/>
  <c r="BJ150" i="30"/>
  <c r="S215" i="16" s="1"/>
  <c r="BA215" i="30"/>
  <c r="J280" i="16" s="1"/>
  <c r="BF215" i="30"/>
  <c r="O280" i="16" s="1"/>
  <c r="BA143" i="30"/>
  <c r="J208" i="16" s="1"/>
  <c r="AW74" i="30"/>
  <c r="F139" i="16" s="1"/>
  <c r="AZ72" i="30"/>
  <c r="I137" i="16" s="1"/>
  <c r="BF72" i="30"/>
  <c r="O137" i="16" s="1"/>
  <c r="BM76" i="30"/>
  <c r="V141" i="16" s="1"/>
  <c r="BH216" i="30"/>
  <c r="Q281" i="16" s="1"/>
  <c r="AZ216" i="30"/>
  <c r="I281" i="16" s="1"/>
  <c r="AY178" i="30"/>
  <c r="H243" i="16" s="1"/>
  <c r="BA178" i="30"/>
  <c r="J243" i="16" s="1"/>
  <c r="AV152" i="30"/>
  <c r="E217" i="16" s="1"/>
  <c r="AY217" i="30"/>
  <c r="H282" i="16" s="1"/>
  <c r="AX217" i="30"/>
  <c r="G282" i="16" s="1"/>
  <c r="BB210" i="30"/>
  <c r="K275" i="16" s="1"/>
  <c r="AY210" i="30"/>
  <c r="H275" i="16" s="1"/>
  <c r="AZ97" i="30"/>
  <c r="I162" i="16" s="1"/>
  <c r="AV97" i="30"/>
  <c r="E162" i="16" s="1"/>
  <c r="BD95" i="30"/>
  <c r="M160" i="16" s="1"/>
  <c r="BA139" i="30"/>
  <c r="J204" i="16" s="1"/>
  <c r="AY91" i="30"/>
  <c r="H156" i="16" s="1"/>
  <c r="BG89" i="30"/>
  <c r="P154" i="16" s="1"/>
  <c r="BI99" i="30"/>
  <c r="R164" i="16" s="1"/>
  <c r="BD99" i="30"/>
  <c r="M164" i="16" s="1"/>
  <c r="AV166" i="30"/>
  <c r="E231" i="16" s="1"/>
  <c r="AZ225" i="30"/>
  <c r="I290" i="16" s="1"/>
  <c r="BM153" i="30"/>
  <c r="V218" i="16" s="1"/>
  <c r="BH153" i="30"/>
  <c r="Q218" i="16" s="1"/>
  <c r="BK212" i="30"/>
  <c r="T277" i="16" s="1"/>
  <c r="BC119" i="30"/>
  <c r="L184" i="16" s="1"/>
  <c r="BE85" i="30"/>
  <c r="N150" i="16" s="1"/>
  <c r="AX85" i="30"/>
  <c r="G150" i="16" s="1"/>
  <c r="AW83" i="30"/>
  <c r="F148" i="16" s="1"/>
  <c r="BF93" i="30"/>
  <c r="O158" i="16" s="1"/>
  <c r="AV93" i="30"/>
  <c r="E158" i="16" s="1"/>
  <c r="BA160" i="30"/>
  <c r="J225" i="16" s="1"/>
  <c r="AV219" i="30"/>
  <c r="E284" i="16" s="1"/>
  <c r="BJ147" i="30"/>
  <c r="S212" i="16" s="1"/>
  <c r="AW206" i="30"/>
  <c r="F271" i="16" s="1"/>
  <c r="BF206" i="30"/>
  <c r="O271" i="16" s="1"/>
  <c r="BM127" i="30"/>
  <c r="V192" i="16" s="1"/>
  <c r="AV127" i="30"/>
  <c r="E192" i="16" s="1"/>
  <c r="BF192" i="30"/>
  <c r="O257" i="16" s="1"/>
  <c r="AZ120" i="30"/>
  <c r="I185" i="16" s="1"/>
  <c r="BG185" i="30"/>
  <c r="P250" i="16" s="1"/>
  <c r="AX185" i="30"/>
  <c r="G250" i="16" s="1"/>
  <c r="AW113" i="30"/>
  <c r="F178" i="16" s="1"/>
  <c r="BH79" i="30"/>
  <c r="Q144" i="16" s="1"/>
  <c r="BB79" i="30"/>
  <c r="K144" i="16" s="1"/>
  <c r="BA77" i="30"/>
  <c r="J142" i="16" s="1"/>
  <c r="BB77" i="30"/>
  <c r="K142" i="16" s="1"/>
  <c r="BG87" i="30"/>
  <c r="P152" i="16" s="1"/>
  <c r="BL220" i="30"/>
  <c r="U285" i="16" s="1"/>
  <c r="BJ148" i="30"/>
  <c r="S213" i="16" s="1"/>
  <c r="BL148" i="30"/>
  <c r="U213" i="16" s="1"/>
  <c r="BI207" i="30"/>
  <c r="R272" i="16" s="1"/>
  <c r="BL135" i="30"/>
  <c r="U200" i="16" s="1"/>
  <c r="BB135" i="30"/>
  <c r="K200" i="16" s="1"/>
  <c r="BA194" i="30"/>
  <c r="J259" i="16" s="1"/>
  <c r="BJ194" i="30"/>
  <c r="S259" i="16" s="1"/>
  <c r="AX122" i="30"/>
  <c r="G187" i="16" s="1"/>
  <c r="BC187" i="30"/>
  <c r="L252" i="16" s="1"/>
  <c r="BE187" i="30"/>
  <c r="N252" i="16" s="1"/>
  <c r="BC115" i="30"/>
  <c r="L180" i="16" s="1"/>
  <c r="BG115" i="30"/>
  <c r="P180" i="16" s="1"/>
  <c r="BC108" i="30"/>
  <c r="L173" i="16" s="1"/>
  <c r="BK173" i="30"/>
  <c r="T238" i="16" s="1"/>
  <c r="BM173" i="30"/>
  <c r="V238" i="16" s="1"/>
  <c r="AW104" i="30"/>
  <c r="F169" i="16" s="1"/>
  <c r="BM104" i="30"/>
  <c r="V169" i="16" s="1"/>
  <c r="AV102" i="30"/>
  <c r="E167" i="16" s="1"/>
  <c r="BM106" i="30"/>
  <c r="V171" i="16" s="1"/>
  <c r="BG106" i="30"/>
  <c r="P171" i="16" s="1"/>
  <c r="BL75" i="30"/>
  <c r="U140" i="16" s="1"/>
  <c r="AV75" i="30"/>
  <c r="E140" i="16" s="1"/>
  <c r="BC193" i="30"/>
  <c r="L258" i="16" s="1"/>
  <c r="BD114" i="30"/>
  <c r="M179" i="16" s="1"/>
  <c r="BM201" i="30"/>
  <c r="V266" i="16" s="1"/>
  <c r="AV201" i="30"/>
  <c r="E266" i="16" s="1"/>
  <c r="BB129" i="30"/>
  <c r="K194" i="16" s="1"/>
  <c r="BL188" i="30"/>
  <c r="U253" i="16" s="1"/>
  <c r="AZ188" i="30"/>
  <c r="I253" i="16" s="1"/>
  <c r="BH116" i="30"/>
  <c r="Q181" i="16" s="1"/>
  <c r="AZ116" i="30"/>
  <c r="I181" i="16" s="1"/>
  <c r="AW181" i="30"/>
  <c r="F246" i="16" s="1"/>
  <c r="BE109" i="30"/>
  <c r="N174" i="16" s="1"/>
  <c r="BB109" i="30"/>
  <c r="K174" i="16" s="1"/>
  <c r="BM174" i="30"/>
  <c r="V239" i="16" s="1"/>
  <c r="AV174" i="30"/>
  <c r="E239" i="16" s="1"/>
  <c r="BC98" i="30"/>
  <c r="L163" i="16" s="1"/>
  <c r="AW69" i="30"/>
  <c r="F134" i="16" s="1"/>
  <c r="BG69" i="30"/>
  <c r="P134" i="16" s="1"/>
  <c r="AW208" i="30"/>
  <c r="F273" i="16" s="1"/>
  <c r="BB208" i="30"/>
  <c r="K273" i="16" s="1"/>
  <c r="AW136" i="30"/>
  <c r="F201" i="16" s="1"/>
  <c r="BA195" i="30"/>
  <c r="J260" i="16" s="1"/>
  <c r="BE195" i="30"/>
  <c r="N260" i="16" s="1"/>
  <c r="AW123" i="30"/>
  <c r="F188" i="16" s="1"/>
  <c r="AY123" i="30"/>
  <c r="H188" i="16" s="1"/>
  <c r="BL182" i="30"/>
  <c r="U247" i="16" s="1"/>
  <c r="BC110" i="30"/>
  <c r="L175" i="16" s="1"/>
  <c r="BJ168" i="30"/>
  <c r="S233" i="16" s="1"/>
  <c r="AV168" i="30"/>
  <c r="E233" i="16" s="1"/>
  <c r="BA202" i="30"/>
  <c r="J267" i="16" s="1"/>
  <c r="BG130" i="30"/>
  <c r="P195" i="16" s="1"/>
  <c r="AW130" i="30"/>
  <c r="F195" i="16" s="1"/>
  <c r="BF189" i="30"/>
  <c r="O254" i="16" s="1"/>
  <c r="BI189" i="30"/>
  <c r="R254" i="16" s="1"/>
  <c r="BF117" i="30"/>
  <c r="O182" i="16" s="1"/>
  <c r="AY176" i="30"/>
  <c r="H241" i="16" s="1"/>
  <c r="BC176" i="30"/>
  <c r="L241" i="16" s="1"/>
  <c r="BG169" i="30"/>
  <c r="P234" i="16" s="1"/>
  <c r="AX162" i="30"/>
  <c r="G227" i="16" s="1"/>
  <c r="BG170" i="30"/>
  <c r="P235" i="16" s="1"/>
  <c r="BG151" i="30"/>
  <c r="P216" i="16" s="1"/>
  <c r="AV151" i="30"/>
  <c r="E216" i="16" s="1"/>
  <c r="AY144" i="30"/>
  <c r="H209" i="16" s="1"/>
  <c r="BA209" i="30"/>
  <c r="J274" i="16" s="1"/>
  <c r="BG209" i="30"/>
  <c r="P274" i="16" s="1"/>
  <c r="BA137" i="30"/>
  <c r="J202" i="16" s="1"/>
  <c r="AZ137" i="30"/>
  <c r="I202" i="16" s="1"/>
  <c r="BE103" i="30"/>
  <c r="N168" i="16" s="1"/>
  <c r="BJ101" i="30"/>
  <c r="S166" i="16" s="1"/>
  <c r="BI70" i="30"/>
  <c r="R135" i="16" s="1"/>
  <c r="BE70" i="30"/>
  <c r="N135" i="16" s="1"/>
  <c r="BG164" i="30"/>
  <c r="P229" i="16" s="1"/>
  <c r="BK157" i="30"/>
  <c r="T222" i="16" s="1"/>
  <c r="BH157" i="30"/>
  <c r="Q222" i="16" s="1"/>
  <c r="AX150" i="30"/>
  <c r="G215" i="16" s="1"/>
  <c r="AY215" i="30"/>
  <c r="H280" i="16" s="1"/>
  <c r="AY143" i="30"/>
  <c r="H208" i="16" s="1"/>
  <c r="BM74" i="30"/>
  <c r="V139" i="16" s="1"/>
  <c r="BF74" i="30"/>
  <c r="O139" i="16" s="1"/>
  <c r="BG72" i="30"/>
  <c r="P137" i="16" s="1"/>
  <c r="BE76" i="30"/>
  <c r="N141" i="16" s="1"/>
  <c r="BG216" i="30"/>
  <c r="P281" i="16" s="1"/>
  <c r="BK216" i="30"/>
  <c r="T281" i="16" s="1"/>
  <c r="AX178" i="30"/>
  <c r="G243" i="16" s="1"/>
  <c r="BA165" i="30"/>
  <c r="J230" i="16" s="1"/>
  <c r="BE152" i="30"/>
  <c r="N217" i="16" s="1"/>
  <c r="AW217" i="30"/>
  <c r="F282" i="16" s="1"/>
  <c r="AW145" i="30"/>
  <c r="F210" i="16" s="1"/>
  <c r="BA210" i="30"/>
  <c r="J275" i="16" s="1"/>
  <c r="BJ210" i="30"/>
  <c r="S275" i="16" s="1"/>
  <c r="AZ138" i="30"/>
  <c r="I203" i="16" s="1"/>
  <c r="BC203" i="30"/>
  <c r="L268" i="16" s="1"/>
  <c r="AZ203" i="30"/>
  <c r="I268" i="16" s="1"/>
  <c r="BB131" i="30"/>
  <c r="K196" i="16" s="1"/>
  <c r="BL131" i="30"/>
  <c r="U196" i="16" s="1"/>
  <c r="AY97" i="30"/>
  <c r="H162" i="16" s="1"/>
  <c r="BI95" i="30"/>
  <c r="R160" i="16" s="1"/>
  <c r="AY95" i="30"/>
  <c r="H160" i="16" s="1"/>
  <c r="BI105" i="30"/>
  <c r="R170" i="16" s="1"/>
  <c r="BJ105" i="30"/>
  <c r="S170" i="16" s="1"/>
  <c r="BG172" i="30"/>
  <c r="P237" i="16" s="1"/>
  <c r="BC159" i="30"/>
  <c r="L224" i="16" s="1"/>
  <c r="BF159" i="30"/>
  <c r="O224" i="16" s="1"/>
  <c r="BD218" i="30"/>
  <c r="M283" i="16" s="1"/>
  <c r="BC146" i="30"/>
  <c r="L211" i="16" s="1"/>
  <c r="BG211" i="30"/>
  <c r="P276" i="16" s="1"/>
  <c r="BI211" i="30"/>
  <c r="R276" i="16" s="1"/>
  <c r="BE139" i="30"/>
  <c r="N204" i="16" s="1"/>
  <c r="BL139" i="30"/>
  <c r="U204" i="16" s="1"/>
  <c r="BH204" i="30"/>
  <c r="Q269" i="16" s="1"/>
  <c r="BF132" i="30"/>
  <c r="O197" i="16" s="1"/>
  <c r="BE132" i="30"/>
  <c r="N197" i="16" s="1"/>
  <c r="BH197" i="30"/>
  <c r="Q262" i="16" s="1"/>
  <c r="BJ197" i="30"/>
  <c r="S262" i="16" s="1"/>
  <c r="BD125" i="30"/>
  <c r="M190" i="16" s="1"/>
  <c r="BK91" i="30"/>
  <c r="T156" i="16" s="1"/>
  <c r="AX91" i="30"/>
  <c r="G156" i="16" s="1"/>
  <c r="BF89" i="30"/>
  <c r="O154" i="16" s="1"/>
  <c r="BL99" i="30"/>
  <c r="U164" i="16" s="1"/>
  <c r="BJ166" i="30"/>
  <c r="S231" i="16" s="1"/>
  <c r="BI225" i="30"/>
  <c r="R290" i="16" s="1"/>
  <c r="BK225" i="30"/>
  <c r="T290" i="16" s="1"/>
  <c r="BK140" i="30"/>
  <c r="T205" i="16" s="1"/>
  <c r="BF140" i="30"/>
  <c r="O205" i="16" s="1"/>
  <c r="BJ205" i="30"/>
  <c r="S270" i="16" s="1"/>
  <c r="BD198" i="30"/>
  <c r="M263" i="16" s="1"/>
  <c r="BI198" i="30"/>
  <c r="R263" i="16" s="1"/>
  <c r="BA126" i="30"/>
  <c r="J191" i="16" s="1"/>
  <c r="BJ126" i="30"/>
  <c r="S191" i="16" s="1"/>
  <c r="BI191" i="30"/>
  <c r="R256" i="16" s="1"/>
  <c r="BB119" i="30"/>
  <c r="K184" i="16" s="1"/>
  <c r="BL119" i="30"/>
  <c r="U184" i="16" s="1"/>
  <c r="BD85" i="30"/>
  <c r="M150" i="16" s="1"/>
  <c r="BF85" i="30"/>
  <c r="O150" i="16" s="1"/>
  <c r="BI83" i="30"/>
  <c r="R148" i="16" s="1"/>
  <c r="BB93" i="30"/>
  <c r="K158" i="16" s="1"/>
  <c r="BH93" i="30"/>
  <c r="Q158" i="16" s="1"/>
  <c r="BI160" i="30"/>
  <c r="R225" i="16" s="1"/>
  <c r="BL160" i="30"/>
  <c r="U225" i="16" s="1"/>
  <c r="BA199" i="30"/>
  <c r="J264" i="16" s="1"/>
  <c r="BC199" i="30"/>
  <c r="L264" i="16" s="1"/>
  <c r="AX127" i="30"/>
  <c r="G192" i="16" s="1"/>
  <c r="BC127" i="30"/>
  <c r="L192" i="16" s="1"/>
  <c r="BE192" i="30"/>
  <c r="N257" i="16" s="1"/>
  <c r="AW120" i="30"/>
  <c r="F185" i="16" s="1"/>
  <c r="BB120" i="30"/>
  <c r="K185" i="16" s="1"/>
  <c r="BF185" i="30"/>
  <c r="O250" i="16" s="1"/>
  <c r="BE185" i="30"/>
  <c r="N250" i="16" s="1"/>
  <c r="BJ113" i="30"/>
  <c r="S178" i="16" s="1"/>
  <c r="AY79" i="30"/>
  <c r="H144" i="16" s="1"/>
  <c r="BL79" i="30"/>
  <c r="U144" i="16" s="1"/>
  <c r="AZ77" i="30"/>
  <c r="I142" i="16" s="1"/>
  <c r="BJ77" i="30"/>
  <c r="S142" i="16" s="1"/>
  <c r="BA87" i="30"/>
  <c r="J152" i="16" s="1"/>
  <c r="BK220" i="30"/>
  <c r="T285" i="16" s="1"/>
  <c r="BH220" i="30"/>
  <c r="Q285" i="16" s="1"/>
  <c r="BI148" i="30"/>
  <c r="R213" i="16" s="1"/>
  <c r="AZ148" i="30"/>
  <c r="I213" i="16" s="1"/>
  <c r="BH207" i="30"/>
  <c r="Q272" i="16" s="1"/>
  <c r="BK135" i="30"/>
  <c r="T200" i="16" s="1"/>
  <c r="BJ135" i="30"/>
  <c r="S200" i="16" s="1"/>
  <c r="AZ194" i="30"/>
  <c r="I259" i="16" s="1"/>
  <c r="AX194" i="30"/>
  <c r="G259" i="16" s="1"/>
  <c r="BM122" i="30"/>
  <c r="V187" i="16" s="1"/>
  <c r="BB187" i="30"/>
  <c r="K252" i="16" s="1"/>
  <c r="BD187" i="30"/>
  <c r="M252" i="16" s="1"/>
  <c r="AW115" i="30"/>
  <c r="F180" i="16" s="1"/>
  <c r="BB115" i="30"/>
  <c r="K180" i="16" s="1"/>
  <c r="BB108" i="30"/>
  <c r="K173" i="16" s="1"/>
  <c r="AW173" i="30"/>
  <c r="F238" i="16" s="1"/>
  <c r="BH104" i="30"/>
  <c r="Q169" i="16" s="1"/>
  <c r="BA104" i="30"/>
  <c r="J169" i="16" s="1"/>
  <c r="BK102" i="30"/>
  <c r="T167" i="16" s="1"/>
  <c r="BF106" i="30"/>
  <c r="O171" i="16" s="1"/>
  <c r="BD106" i="30"/>
  <c r="M171" i="16" s="1"/>
  <c r="BI75" i="30"/>
  <c r="R140" i="16" s="1"/>
  <c r="BF75" i="30"/>
  <c r="O140" i="16" s="1"/>
  <c r="BC154" i="30"/>
  <c r="L219" i="16" s="1"/>
  <c r="BB213" i="30"/>
  <c r="K278" i="16" s="1"/>
  <c r="BJ213" i="30"/>
  <c r="S278" i="16" s="1"/>
  <c r="BA141" i="30"/>
  <c r="J206" i="16" s="1"/>
  <c r="BF200" i="30"/>
  <c r="O265" i="16" s="1"/>
  <c r="BA200" i="30"/>
  <c r="J265" i="16" s="1"/>
  <c r="AW128" i="30"/>
  <c r="F193" i="16" s="1"/>
  <c r="BG128" i="30"/>
  <c r="P193" i="16" s="1"/>
  <c r="BB193" i="30"/>
  <c r="K258" i="16" s="1"/>
  <c r="BL121" i="30"/>
  <c r="U186" i="16" s="1"/>
  <c r="AZ121" i="30"/>
  <c r="I186" i="16" s="1"/>
  <c r="BA186" i="30"/>
  <c r="J251" i="16" s="1"/>
  <c r="BI186" i="30"/>
  <c r="R251" i="16" s="1"/>
  <c r="BK114" i="30"/>
  <c r="T179" i="16" s="1"/>
  <c r="BB179" i="30"/>
  <c r="K244" i="16" s="1"/>
  <c r="BH179" i="30"/>
  <c r="Q244" i="16" s="1"/>
  <c r="BG180" i="30"/>
  <c r="P245" i="16" s="1"/>
  <c r="BI214" i="30"/>
  <c r="R279" i="16" s="1"/>
  <c r="BG142" i="30"/>
  <c r="P207" i="16" s="1"/>
  <c r="BL142" i="30"/>
  <c r="U207" i="16" s="1"/>
  <c r="AY201" i="30"/>
  <c r="H266" i="16" s="1"/>
  <c r="BM129" i="30"/>
  <c r="V194" i="16" s="1"/>
  <c r="BA129" i="30"/>
  <c r="J194" i="16" s="1"/>
  <c r="AV188" i="30"/>
  <c r="E253" i="16" s="1"/>
  <c r="BJ188" i="30"/>
  <c r="S253" i="16" s="1"/>
  <c r="BE116" i="30"/>
  <c r="N181" i="16" s="1"/>
  <c r="BJ181" i="30"/>
  <c r="S246" i="16" s="1"/>
  <c r="BK181" i="30"/>
  <c r="T246" i="16" s="1"/>
  <c r="BC109" i="30"/>
  <c r="L174" i="16" s="1"/>
  <c r="BI109" i="30"/>
  <c r="R174" i="16" s="1"/>
  <c r="AX174" i="30"/>
  <c r="G239" i="16" s="1"/>
  <c r="BG168" i="30"/>
  <c r="P233" i="16" s="1"/>
  <c r="AW92" i="30"/>
  <c r="F157" i="16" s="1"/>
  <c r="BM94" i="30"/>
  <c r="V159" i="16" s="1"/>
  <c r="BG94" i="30"/>
  <c r="P159" i="16" s="1"/>
  <c r="BK68" i="30"/>
  <c r="T133" i="16" s="1"/>
  <c r="AV68" i="30"/>
  <c r="E133" i="16" s="1"/>
  <c r="AZ202" i="30"/>
  <c r="I267" i="16" s="1"/>
  <c r="BF130" i="30"/>
  <c r="O195" i="16" s="1"/>
  <c r="BJ130" i="30"/>
  <c r="S195" i="16" s="1"/>
  <c r="BE189" i="30"/>
  <c r="N254" i="16" s="1"/>
  <c r="AW189" i="30"/>
  <c r="F254" i="16" s="1"/>
  <c r="BE117" i="30"/>
  <c r="N182" i="16" s="1"/>
  <c r="BM176" i="30"/>
  <c r="V241" i="16" s="1"/>
  <c r="BB176" i="30"/>
  <c r="K241" i="16" s="1"/>
  <c r="BE169" i="30"/>
  <c r="N234" i="16" s="1"/>
  <c r="BA169" i="30"/>
  <c r="J234" i="16" s="1"/>
  <c r="BD155" i="30"/>
  <c r="M220" i="16" s="1"/>
  <c r="BJ88" i="30"/>
  <c r="S153" i="16" s="1"/>
  <c r="AZ88" i="30"/>
  <c r="I153" i="16" s="1"/>
  <c r="AX183" i="30"/>
  <c r="G248" i="16" s="1"/>
  <c r="AW183" i="30"/>
  <c r="F248" i="16" s="1"/>
  <c r="BF170" i="30"/>
  <c r="O235" i="16" s="1"/>
  <c r="BI170" i="30"/>
  <c r="R235" i="16" s="1"/>
  <c r="AW163" i="30"/>
  <c r="F228" i="16" s="1"/>
  <c r="BM163" i="30"/>
  <c r="V228" i="16" s="1"/>
  <c r="BC156" i="30"/>
  <c r="L221" i="16" s="1"/>
  <c r="BB156" i="30"/>
  <c r="K221" i="16" s="1"/>
  <c r="BG149" i="30"/>
  <c r="P214" i="16" s="1"/>
  <c r="AW82" i="30"/>
  <c r="F147" i="16" s="1"/>
  <c r="AX184" i="30"/>
  <c r="G249" i="16" s="1"/>
  <c r="BB184" i="30"/>
  <c r="K249" i="16" s="1"/>
  <c r="AY112" i="30"/>
  <c r="H177" i="16" s="1"/>
  <c r="BB112" i="30"/>
  <c r="K177" i="16" s="1"/>
  <c r="BK171" i="30"/>
  <c r="T236" i="16" s="1"/>
  <c r="BJ158" i="30"/>
  <c r="S223" i="16" s="1"/>
  <c r="BE151" i="30"/>
  <c r="N216" i="16" s="1"/>
  <c r="BB144" i="30"/>
  <c r="K209" i="16" s="1"/>
  <c r="BG190" i="30"/>
  <c r="P255" i="16" s="1"/>
  <c r="BI190" i="30"/>
  <c r="R255" i="16" s="1"/>
  <c r="BD118" i="30"/>
  <c r="M183" i="16" s="1"/>
  <c r="BH118" i="30"/>
  <c r="Q183" i="16" s="1"/>
  <c r="BA177" i="30"/>
  <c r="J242" i="16" s="1"/>
  <c r="BF164" i="30"/>
  <c r="O229" i="16" s="1"/>
  <c r="BJ157" i="30"/>
  <c r="S222" i="16" s="1"/>
  <c r="AV157" i="30"/>
  <c r="E222" i="16" s="1"/>
  <c r="BI150" i="30"/>
  <c r="R215" i="16" s="1"/>
  <c r="AX215" i="30"/>
  <c r="G280" i="16" s="1"/>
  <c r="BB215" i="30"/>
  <c r="K280" i="16" s="1"/>
  <c r="AW143" i="30"/>
  <c r="F208" i="16" s="1"/>
  <c r="BK74" i="30"/>
  <c r="T139" i="16" s="1"/>
  <c r="BE72" i="30"/>
  <c r="N137" i="16" s="1"/>
  <c r="BB72" i="30"/>
  <c r="K137" i="16" s="1"/>
  <c r="BD76" i="30"/>
  <c r="M141" i="16" s="1"/>
  <c r="BE216" i="30"/>
  <c r="N281" i="16" s="1"/>
  <c r="AY216" i="30"/>
  <c r="H281" i="16" s="1"/>
  <c r="AW178" i="30"/>
  <c r="F243" i="16" s="1"/>
  <c r="AZ178" i="30"/>
  <c r="I243" i="16" s="1"/>
  <c r="AZ165" i="30"/>
  <c r="I230" i="16" s="1"/>
  <c r="BM152" i="30"/>
  <c r="V217" i="16" s="1"/>
  <c r="BD152" i="30"/>
  <c r="M217" i="16" s="1"/>
  <c r="BB145" i="30"/>
  <c r="K210" i="16" s="1"/>
  <c r="AW210" i="30"/>
  <c r="F275" i="16" s="1"/>
  <c r="AX210" i="30"/>
  <c r="G275" i="16" s="1"/>
  <c r="AY138" i="30"/>
  <c r="H203" i="16" s="1"/>
  <c r="BA203" i="30"/>
  <c r="J268" i="16" s="1"/>
  <c r="BH203" i="30"/>
  <c r="Q268" i="16" s="1"/>
  <c r="BA131" i="30"/>
  <c r="J196" i="16" s="1"/>
  <c r="AZ131" i="30"/>
  <c r="I196" i="16" s="1"/>
  <c r="BM97" i="30"/>
  <c r="V162" i="16" s="1"/>
  <c r="BC95" i="30"/>
  <c r="L160" i="16" s="1"/>
  <c r="AX95" i="30"/>
  <c r="G160" i="16" s="1"/>
  <c r="BF105" i="30"/>
  <c r="O170" i="16" s="1"/>
  <c r="AX105" i="30"/>
  <c r="G170" i="16" s="1"/>
  <c r="BE172" i="30"/>
  <c r="N237" i="16" s="1"/>
  <c r="BA159" i="30"/>
  <c r="J224" i="16" s="1"/>
  <c r="BE159" i="30"/>
  <c r="N224" i="16" s="1"/>
  <c r="BC218" i="30"/>
  <c r="L283" i="16" s="1"/>
  <c r="BF218" i="30"/>
  <c r="O283" i="16" s="1"/>
  <c r="BB146" i="30"/>
  <c r="K211" i="16" s="1"/>
  <c r="BF211" i="30"/>
  <c r="O276" i="16" s="1"/>
  <c r="BH211" i="30"/>
  <c r="Q276" i="16" s="1"/>
  <c r="BD139" i="30"/>
  <c r="M204" i="16" s="1"/>
  <c r="AZ139" i="30"/>
  <c r="I204" i="16" s="1"/>
  <c r="BG204" i="30"/>
  <c r="P269" i="16" s="1"/>
  <c r="BA132" i="30"/>
  <c r="J197" i="16" s="1"/>
  <c r="BC132" i="30"/>
  <c r="L197" i="16" s="1"/>
  <c r="BG197" i="30"/>
  <c r="P262" i="16" s="1"/>
  <c r="AX197" i="30"/>
  <c r="G262" i="16" s="1"/>
  <c r="BC125" i="30"/>
  <c r="L190" i="16" s="1"/>
  <c r="BJ91" i="30"/>
  <c r="S156" i="16" s="1"/>
  <c r="BB91" i="30"/>
  <c r="K156" i="16" s="1"/>
  <c r="BL89" i="30"/>
  <c r="U154" i="16" s="1"/>
  <c r="BD89" i="30"/>
  <c r="M154" i="16" s="1"/>
  <c r="AV99" i="30"/>
  <c r="E164" i="16" s="1"/>
  <c r="AX205" i="30"/>
  <c r="G270" i="16" s="1"/>
  <c r="AY133" i="30"/>
  <c r="H198" i="16" s="1"/>
  <c r="BC198" i="30"/>
  <c r="L263" i="16" s="1"/>
  <c r="BG198" i="30"/>
  <c r="P263" i="16" s="1"/>
  <c r="AZ126" i="30"/>
  <c r="I191" i="16" s="1"/>
  <c r="AX126" i="30"/>
  <c r="G191" i="16" s="1"/>
  <c r="BH83" i="30"/>
  <c r="Q148" i="16" s="1"/>
  <c r="BA93" i="30"/>
  <c r="J158" i="16" s="1"/>
  <c r="BG93" i="30"/>
  <c r="P158" i="16" s="1"/>
  <c r="AY199" i="30"/>
  <c r="H264" i="16" s="1"/>
  <c r="BB199" i="30"/>
  <c r="K264" i="16" s="1"/>
  <c r="BM120" i="30"/>
  <c r="V185" i="16" s="1"/>
  <c r="BD120" i="30"/>
  <c r="M185" i="16" s="1"/>
  <c r="AV113" i="30"/>
  <c r="E178" i="16" s="1"/>
  <c r="BG148" i="30"/>
  <c r="P213" i="16" s="1"/>
  <c r="BH148" i="30"/>
  <c r="Q213" i="16" s="1"/>
  <c r="BG207" i="30"/>
  <c r="P272" i="16" s="1"/>
  <c r="BG135" i="30"/>
  <c r="P200" i="16" s="1"/>
  <c r="AX135" i="30"/>
  <c r="G200" i="16" s="1"/>
  <c r="AW122" i="30"/>
  <c r="F187" i="16" s="1"/>
  <c r="AY154" i="30"/>
  <c r="H219" i="16" s="1"/>
  <c r="AZ186" i="30"/>
  <c r="I251" i="16" s="1"/>
  <c r="BE142" i="30"/>
  <c r="N207" i="16" s="1"/>
  <c r="AZ142" i="30"/>
  <c r="I207" i="16" s="1"/>
  <c r="BK188" i="30"/>
  <c r="T253" i="16" s="1"/>
  <c r="AX188" i="30"/>
  <c r="G253" i="16" s="1"/>
  <c r="BA109" i="30"/>
  <c r="J174" i="16" s="1"/>
  <c r="AW109" i="30"/>
  <c r="F174" i="16" s="1"/>
  <c r="BF168" i="30"/>
  <c r="O233" i="16" s="1"/>
  <c r="AW161" i="30"/>
  <c r="F226" i="16" s="1"/>
  <c r="BH92" i="30"/>
  <c r="Q157" i="16" s="1"/>
  <c r="BA92" i="30"/>
  <c r="J157" i="16" s="1"/>
  <c r="BI90" i="30"/>
  <c r="R155" i="16" s="1"/>
  <c r="BF94" i="30"/>
  <c r="O159" i="16" s="1"/>
  <c r="BD94" i="30"/>
  <c r="M159" i="16" s="1"/>
  <c r="BJ68" i="30"/>
  <c r="S133" i="16" s="1"/>
  <c r="BG68" i="30"/>
  <c r="P133" i="16" s="1"/>
  <c r="BH202" i="30"/>
  <c r="Q267" i="16" s="1"/>
  <c r="BE130" i="30"/>
  <c r="N195" i="16" s="1"/>
  <c r="BD189" i="30"/>
  <c r="M254" i="16" s="1"/>
  <c r="BH189" i="30"/>
  <c r="Q254" i="16" s="1"/>
  <c r="BC117" i="30"/>
  <c r="L182" i="16" s="1"/>
  <c r="AW176" i="30"/>
  <c r="F241" i="16" s="1"/>
  <c r="BA176" i="30"/>
  <c r="J241" i="16" s="1"/>
  <c r="BD169" i="30"/>
  <c r="M234" i="16" s="1"/>
  <c r="BL169" i="30"/>
  <c r="U234" i="16" s="1"/>
  <c r="BM155" i="30"/>
  <c r="V220" i="16" s="1"/>
  <c r="BL155" i="30"/>
  <c r="U220" i="16" s="1"/>
  <c r="AZ86" i="30"/>
  <c r="I151" i="16" s="1"/>
  <c r="BD84" i="30"/>
  <c r="M149" i="16" s="1"/>
  <c r="BD196" i="30"/>
  <c r="M261" i="16" s="1"/>
  <c r="BM124" i="30"/>
  <c r="V189" i="16" s="1"/>
  <c r="BD124" i="30"/>
  <c r="M189" i="16" s="1"/>
  <c r="BH111" i="30"/>
  <c r="Q176" i="16" s="1"/>
  <c r="BK163" i="30"/>
  <c r="T228" i="16" s="1"/>
  <c r="BA163" i="30"/>
  <c r="J228" i="16" s="1"/>
  <c r="BA156" i="30"/>
  <c r="J221" i="16" s="1"/>
  <c r="BJ156" i="30"/>
  <c r="S221" i="16" s="1"/>
  <c r="BI80" i="30"/>
  <c r="R145" i="16" s="1"/>
  <c r="BG78" i="30"/>
  <c r="P143" i="16" s="1"/>
  <c r="BF78" i="30"/>
  <c r="O143" i="16" s="1"/>
  <c r="AV82" i="30"/>
  <c r="E147" i="16" s="1"/>
  <c r="AW184" i="30"/>
  <c r="F249" i="16" s="1"/>
  <c r="AY184" i="30"/>
  <c r="H249" i="16" s="1"/>
  <c r="AX112" i="30"/>
  <c r="G177" i="16" s="1"/>
  <c r="AW112" i="30"/>
  <c r="F177" i="16" s="1"/>
  <c r="BB158" i="30"/>
  <c r="K223" i="16" s="1"/>
  <c r="AX158" i="30"/>
  <c r="G223" i="16" s="1"/>
  <c r="AX209" i="30"/>
  <c r="G274" i="16" s="1"/>
  <c r="BF209" i="30"/>
  <c r="O274" i="16" s="1"/>
  <c r="AW137" i="30"/>
  <c r="F202" i="16" s="1"/>
  <c r="AX103" i="30"/>
  <c r="G168" i="16" s="1"/>
  <c r="AZ103" i="30"/>
  <c r="I168" i="16" s="1"/>
  <c r="BE101" i="30"/>
  <c r="N166" i="16" s="1"/>
  <c r="BA101" i="30"/>
  <c r="J166" i="16" s="1"/>
  <c r="AV70" i="30"/>
  <c r="E135" i="16" s="1"/>
  <c r="BE190" i="30"/>
  <c r="N255" i="16" s="1"/>
  <c r="BH190" i="30"/>
  <c r="Q255" i="16" s="1"/>
  <c r="BA118" i="30"/>
  <c r="J183" i="16" s="1"/>
  <c r="AV118" i="30"/>
  <c r="E183" i="16" s="1"/>
  <c r="AZ177" i="30"/>
  <c r="I242" i="16" s="1"/>
  <c r="AY164" i="30"/>
  <c r="H229" i="16" s="1"/>
  <c r="BC164" i="30"/>
  <c r="L229" i="16" s="1"/>
  <c r="BI157" i="30"/>
  <c r="R222" i="16" s="1"/>
  <c r="BM150" i="30"/>
  <c r="V215" i="16" s="1"/>
  <c r="AW150" i="30"/>
  <c r="F215" i="16" s="1"/>
  <c r="AW215" i="30"/>
  <c r="F280" i="16" s="1"/>
  <c r="AV143" i="30"/>
  <c r="E208" i="16" s="1"/>
  <c r="BJ143" i="30"/>
  <c r="S208" i="16" s="1"/>
  <c r="BI74" i="30"/>
  <c r="R139" i="16" s="1"/>
  <c r="BD74" i="30"/>
  <c r="M139" i="16" s="1"/>
  <c r="BL72" i="30"/>
  <c r="U137" i="16" s="1"/>
  <c r="BK76" i="30"/>
  <c r="T141" i="16" s="1"/>
  <c r="BC76" i="30"/>
  <c r="L141" i="16" s="1"/>
  <c r="BC216" i="30"/>
  <c r="L281" i="16" s="1"/>
  <c r="BJ216" i="30"/>
  <c r="S281" i="16" s="1"/>
  <c r="BK178" i="30"/>
  <c r="T243" i="16" s="1"/>
  <c r="AY165" i="30"/>
  <c r="H230" i="16" s="1"/>
  <c r="BK152" i="30"/>
  <c r="T217" i="16" s="1"/>
  <c r="BL152" i="30"/>
  <c r="U217" i="16" s="1"/>
  <c r="BM217" i="30"/>
  <c r="V282" i="16" s="1"/>
  <c r="BK145" i="30"/>
  <c r="T210" i="16" s="1"/>
  <c r="BM145" i="30"/>
  <c r="V210" i="16" s="1"/>
  <c r="AV210" i="30"/>
  <c r="E275" i="16" s="1"/>
  <c r="BF210" i="30"/>
  <c r="O275" i="16" s="1"/>
  <c r="AY203" i="30"/>
  <c r="H268" i="16" s="1"/>
  <c r="AV203" i="30"/>
  <c r="E268" i="16" s="1"/>
  <c r="AY131" i="30"/>
  <c r="H196" i="16" s="1"/>
  <c r="BF131" i="30"/>
  <c r="O196" i="16" s="1"/>
  <c r="AX97" i="30"/>
  <c r="G162" i="16" s="1"/>
  <c r="BB95" i="30"/>
  <c r="K160" i="16" s="1"/>
  <c r="BF95" i="30"/>
  <c r="O160" i="16" s="1"/>
  <c r="BB105" i="30"/>
  <c r="K170" i="16" s="1"/>
  <c r="BE105" i="30"/>
  <c r="N170" i="16" s="1"/>
  <c r="BD172" i="30"/>
  <c r="M237" i="16" s="1"/>
  <c r="AZ159" i="30"/>
  <c r="I224" i="16" s="1"/>
  <c r="BD159" i="30"/>
  <c r="M224" i="16" s="1"/>
  <c r="BA218" i="30"/>
  <c r="J283" i="16" s="1"/>
  <c r="BA146" i="30"/>
  <c r="J211" i="16" s="1"/>
  <c r="BE211" i="30"/>
  <c r="N276" i="16" s="1"/>
  <c r="AV211" i="30"/>
  <c r="E276" i="16" s="1"/>
  <c r="BC139" i="30"/>
  <c r="L204" i="16" s="1"/>
  <c r="BH139" i="30"/>
  <c r="Q204" i="16" s="1"/>
  <c r="BE204" i="30"/>
  <c r="N269" i="16" s="1"/>
  <c r="AZ132" i="30"/>
  <c r="I197" i="16" s="1"/>
  <c r="BB132" i="30"/>
  <c r="K197" i="16" s="1"/>
  <c r="BF197" i="30"/>
  <c r="O262" i="16" s="1"/>
  <c r="BE197" i="30"/>
  <c r="N262" i="16" s="1"/>
  <c r="BB125" i="30"/>
  <c r="K190" i="16" s="1"/>
  <c r="BC91" i="30"/>
  <c r="L156" i="16" s="1"/>
  <c r="BI91" i="30"/>
  <c r="R156" i="16" s="1"/>
  <c r="AV89" i="30"/>
  <c r="E154" i="16" s="1"/>
  <c r="BJ89" i="30"/>
  <c r="S154" i="16" s="1"/>
  <c r="BH99" i="30"/>
  <c r="Q164" i="16" s="1"/>
  <c r="BG166" i="30"/>
  <c r="P231" i="16" s="1"/>
  <c r="BI166" i="30"/>
  <c r="R231" i="16" s="1"/>
  <c r="BG225" i="30"/>
  <c r="P290" i="16" s="1"/>
  <c r="BJ225" i="30"/>
  <c r="S290" i="16" s="1"/>
  <c r="BG153" i="30"/>
  <c r="P218" i="16" s="1"/>
  <c r="BI212" i="30"/>
  <c r="R277" i="16" s="1"/>
  <c r="AZ212" i="30"/>
  <c r="I277" i="16" s="1"/>
  <c r="BH140" i="30"/>
  <c r="Q205" i="16" s="1"/>
  <c r="BE140" i="30"/>
  <c r="N205" i="16" s="1"/>
  <c r="BL205" i="30"/>
  <c r="U270" i="16" s="1"/>
  <c r="BI133" i="30"/>
  <c r="R198" i="16" s="1"/>
  <c r="BL133" i="30"/>
  <c r="U198" i="16" s="1"/>
  <c r="BA198" i="30"/>
  <c r="J263" i="16" s="1"/>
  <c r="BB198" i="30"/>
  <c r="K263" i="16" s="1"/>
  <c r="AW126" i="30"/>
  <c r="F191" i="16" s="1"/>
  <c r="BB191" i="30"/>
  <c r="K256" i="16" s="1"/>
  <c r="BH191" i="30"/>
  <c r="Q256" i="16" s="1"/>
  <c r="AY119" i="30"/>
  <c r="H184" i="16" s="1"/>
  <c r="BG119" i="30"/>
  <c r="P184" i="16" s="1"/>
  <c r="BL83" i="30"/>
  <c r="U148" i="16" s="1"/>
  <c r="BG83" i="30"/>
  <c r="P148" i="16" s="1"/>
  <c r="BL219" i="30"/>
  <c r="U284" i="16" s="1"/>
  <c r="BL147" i="30"/>
  <c r="U212" i="16" s="1"/>
  <c r="AW147" i="30"/>
  <c r="F212" i="16" s="1"/>
  <c r="BJ206" i="30"/>
  <c r="S271" i="16" s="1"/>
  <c r="BK134" i="30"/>
  <c r="T199" i="16" s="1"/>
  <c r="BJ134" i="30"/>
  <c r="S199" i="16" s="1"/>
  <c r="AX199" i="30"/>
  <c r="G264" i="16" s="1"/>
  <c r="BF199" i="30"/>
  <c r="O264" i="16" s="1"/>
  <c r="AW127" i="30"/>
  <c r="F192" i="16" s="1"/>
  <c r="AY192" i="30"/>
  <c r="H257" i="16" s="1"/>
  <c r="BC192" i="30"/>
  <c r="L257" i="16" s="1"/>
  <c r="AV120" i="30"/>
  <c r="E185" i="16" s="1"/>
  <c r="BK120" i="30"/>
  <c r="T185" i="16" s="1"/>
  <c r="BB185" i="30"/>
  <c r="K250" i="16" s="1"/>
  <c r="BH113" i="30"/>
  <c r="Q178" i="16" s="1"/>
  <c r="BI113" i="30"/>
  <c r="R178" i="16" s="1"/>
  <c r="AW79" i="30"/>
  <c r="F144" i="16" s="1"/>
  <c r="BJ79" i="30"/>
  <c r="S144" i="16" s="1"/>
  <c r="AW77" i="30"/>
  <c r="AY87" i="30"/>
  <c r="H152" i="16" s="1"/>
  <c r="BJ87" i="30"/>
  <c r="S152" i="16" s="1"/>
  <c r="BG220" i="30"/>
  <c r="P285" i="16" s="1"/>
  <c r="BD220" i="30"/>
  <c r="M285" i="16" s="1"/>
  <c r="BE148" i="30"/>
  <c r="N213" i="16" s="1"/>
  <c r="AV148" i="30"/>
  <c r="E213" i="16" s="1"/>
  <c r="BD207" i="30"/>
  <c r="M272" i="16" s="1"/>
  <c r="BF135" i="30"/>
  <c r="O200" i="16" s="1"/>
  <c r="BI135" i="30"/>
  <c r="R200" i="16" s="1"/>
  <c r="BM194" i="30"/>
  <c r="V259" i="16" s="1"/>
  <c r="BD194" i="30"/>
  <c r="M259" i="16" s="1"/>
  <c r="BK122" i="30"/>
  <c r="T187" i="16" s="1"/>
  <c r="AX187" i="30"/>
  <c r="G252" i="16" s="1"/>
  <c r="BE115" i="30"/>
  <c r="N180" i="16" s="1"/>
  <c r="AV115" i="30"/>
  <c r="E180" i="16" s="1"/>
  <c r="AZ108" i="30"/>
  <c r="I173" i="16" s="1"/>
  <c r="AV173" i="30"/>
  <c r="E238" i="16" s="1"/>
  <c r="BC104" i="30"/>
  <c r="L169" i="16" s="1"/>
  <c r="AZ104" i="30"/>
  <c r="I169" i="16" s="1"/>
  <c r="BI102" i="30"/>
  <c r="R167" i="16" s="1"/>
  <c r="BA106" i="30"/>
  <c r="J171" i="16" s="1"/>
  <c r="BB106" i="30"/>
  <c r="K171" i="16" s="1"/>
  <c r="AZ75" i="30"/>
  <c r="I140" i="16" s="1"/>
  <c r="BB75" i="30"/>
  <c r="K140" i="16" s="1"/>
  <c r="AX154" i="30"/>
  <c r="G219" i="16" s="1"/>
  <c r="BM154" i="30"/>
  <c r="V219" i="16" s="1"/>
  <c r="AW213" i="30"/>
  <c r="F278" i="16" s="1"/>
  <c r="BF213" i="30"/>
  <c r="O278" i="16" s="1"/>
  <c r="AY141" i="30"/>
  <c r="H206" i="16" s="1"/>
  <c r="AY200" i="30"/>
  <c r="H265" i="16" s="1"/>
  <c r="AW200" i="30"/>
  <c r="F265" i="16" s="1"/>
  <c r="AV128" i="30"/>
  <c r="E193" i="16" s="1"/>
  <c r="BF128" i="30"/>
  <c r="O193" i="16" s="1"/>
  <c r="AX193" i="30"/>
  <c r="G258" i="16" s="1"/>
  <c r="BK121" i="30"/>
  <c r="T186" i="16" s="1"/>
  <c r="BM121" i="30"/>
  <c r="V186" i="16" s="1"/>
  <c r="BG114" i="30"/>
  <c r="P179" i="16" s="1"/>
  <c r="AZ179" i="30"/>
  <c r="I244" i="16" s="1"/>
  <c r="BF179" i="30"/>
  <c r="O244" i="16" s="1"/>
  <c r="BK107" i="30"/>
  <c r="T172" i="16" s="1"/>
  <c r="BL107" i="30"/>
  <c r="U172" i="16" s="1"/>
  <c r="BC71" i="30"/>
  <c r="L136" i="16" s="1"/>
  <c r="BF71" i="30"/>
  <c r="O136" i="16" s="1"/>
  <c r="BA81" i="30"/>
  <c r="J146" i="16" s="1"/>
  <c r="BE180" i="30"/>
  <c r="N245" i="16" s="1"/>
  <c r="BF214" i="30"/>
  <c r="O279" i="16" s="1"/>
  <c r="AV214" i="30"/>
  <c r="E279" i="16" s="1"/>
  <c r="BD142" i="30"/>
  <c r="M207" i="16" s="1"/>
  <c r="BH142" i="30"/>
  <c r="Q207" i="16" s="1"/>
  <c r="AX201" i="30"/>
  <c r="G266" i="16" s="1"/>
  <c r="BL129" i="30"/>
  <c r="U194" i="16" s="1"/>
  <c r="AW129" i="30"/>
  <c r="F194" i="16" s="1"/>
  <c r="BE188" i="30"/>
  <c r="N253" i="16" s="1"/>
  <c r="BC116" i="30"/>
  <c r="L181" i="16" s="1"/>
  <c r="BI181" i="30"/>
  <c r="R246" i="16" s="1"/>
  <c r="BF181" i="30"/>
  <c r="O246" i="16" s="1"/>
  <c r="BD109" i="30"/>
  <c r="M174" i="16" s="1"/>
  <c r="BH109" i="30"/>
  <c r="Q174" i="16" s="1"/>
  <c r="BE69" i="30"/>
  <c r="N134" i="16" s="1"/>
  <c r="BK136" i="30"/>
  <c r="T201" i="16" s="1"/>
  <c r="BM195" i="30"/>
  <c r="V260" i="16" s="1"/>
  <c r="BI195" i="30"/>
  <c r="R260" i="16" s="1"/>
  <c r="BL123" i="30"/>
  <c r="U188" i="16" s="1"/>
  <c r="BG182" i="30"/>
  <c r="P247" i="16" s="1"/>
  <c r="BE168" i="30"/>
  <c r="N233" i="16" s="1"/>
  <c r="BI161" i="30"/>
  <c r="R226" i="16" s="1"/>
  <c r="BL161" i="30"/>
  <c r="U226" i="16" s="1"/>
  <c r="BD92" i="30"/>
  <c r="M157" i="16" s="1"/>
  <c r="BL92" i="30"/>
  <c r="U157" i="16" s="1"/>
  <c r="BF90" i="30"/>
  <c r="O155" i="16" s="1"/>
  <c r="BE94" i="30"/>
  <c r="N159" i="16" s="1"/>
  <c r="BC94" i="30"/>
  <c r="L159" i="16" s="1"/>
  <c r="BI68" i="30"/>
  <c r="R133" i="16" s="1"/>
  <c r="AV202" i="30"/>
  <c r="E267" i="16" s="1"/>
  <c r="BD130" i="30"/>
  <c r="M195" i="16" s="1"/>
  <c r="BI130" i="30"/>
  <c r="R195" i="16" s="1"/>
  <c r="BC189" i="30"/>
  <c r="L254" i="16" s="1"/>
  <c r="AV189" i="30"/>
  <c r="E254" i="16" s="1"/>
  <c r="BB117" i="30"/>
  <c r="K182" i="16" s="1"/>
  <c r="BL176" i="30"/>
  <c r="U241" i="16" s="1"/>
  <c r="AZ176" i="30"/>
  <c r="I241" i="16" s="1"/>
  <c r="BK162" i="30"/>
  <c r="T227" i="16" s="1"/>
  <c r="BK155" i="30"/>
  <c r="T220" i="16" s="1"/>
  <c r="AZ155" i="30"/>
  <c r="I220" i="16" s="1"/>
  <c r="AY86" i="30"/>
  <c r="H151" i="16" s="1"/>
  <c r="BE84" i="30"/>
  <c r="N149" i="16" s="1"/>
  <c r="BH84" i="30"/>
  <c r="Q149" i="16" s="1"/>
  <c r="BH88" i="30"/>
  <c r="Q153" i="16" s="1"/>
  <c r="BC196" i="30"/>
  <c r="L261" i="16" s="1"/>
  <c r="AX124" i="30"/>
  <c r="G189" i="16" s="1"/>
  <c r="BA124" i="30"/>
  <c r="J189" i="16" s="1"/>
  <c r="AV183" i="30"/>
  <c r="E248" i="16" s="1"/>
  <c r="BG111" i="30"/>
  <c r="P176" i="16" s="1"/>
  <c r="BB170" i="30"/>
  <c r="K235" i="16" s="1"/>
  <c r="BH170" i="30"/>
  <c r="Q235" i="16" s="1"/>
  <c r="AV163" i="30"/>
  <c r="E228" i="16" s="1"/>
  <c r="BL163" i="30"/>
  <c r="U228" i="16" s="1"/>
  <c r="BA80" i="30"/>
  <c r="J145" i="16" s="1"/>
  <c r="BF80" i="30"/>
  <c r="O145" i="16" s="1"/>
  <c r="BC78" i="30"/>
  <c r="L143" i="16" s="1"/>
  <c r="BH82" i="30"/>
  <c r="Q147" i="16" s="1"/>
  <c r="BK184" i="30"/>
  <c r="T249" i="16" s="1"/>
  <c r="BF184" i="30"/>
  <c r="O249" i="16" s="1"/>
  <c r="BM112" i="30"/>
  <c r="V177" i="16" s="1"/>
  <c r="BH112" i="30"/>
  <c r="Q177" i="16" s="1"/>
  <c r="BJ171" i="30"/>
  <c r="S236" i="16" s="1"/>
  <c r="BC151" i="30"/>
  <c r="L216" i="16" s="1"/>
  <c r="BM144" i="30"/>
  <c r="V209" i="16" s="1"/>
  <c r="AX144" i="30"/>
  <c r="G209" i="16" s="1"/>
  <c r="AW209" i="30"/>
  <c r="F274" i="16" s="1"/>
  <c r="AV137" i="30"/>
  <c r="E202" i="16" s="1"/>
  <c r="BD101" i="30"/>
  <c r="M166" i="16" s="1"/>
  <c r="BC70" i="30"/>
  <c r="L135" i="16" s="1"/>
  <c r="BD190" i="30"/>
  <c r="M255" i="16" s="1"/>
  <c r="AZ118" i="30"/>
  <c r="I183" i="16" s="1"/>
  <c r="BC118" i="30"/>
  <c r="L183" i="16" s="1"/>
  <c r="AY177" i="30"/>
  <c r="H242" i="16" s="1"/>
  <c r="BM164" i="30"/>
  <c r="V229" i="16" s="1"/>
  <c r="BB164" i="30"/>
  <c r="K229" i="16" s="1"/>
  <c r="BG157" i="30"/>
  <c r="P222" i="16" s="1"/>
  <c r="BL150" i="30"/>
  <c r="U215" i="16" s="1"/>
  <c r="BH150" i="30"/>
  <c r="Q215" i="16" s="1"/>
  <c r="BM215" i="30"/>
  <c r="V280" i="16" s="1"/>
  <c r="BI152" i="30"/>
  <c r="R217" i="16" s="1"/>
  <c r="AZ152" i="30"/>
  <c r="I217" i="16" s="1"/>
  <c r="BA145" i="30"/>
  <c r="J210" i="16" s="1"/>
  <c r="AX203" i="30"/>
  <c r="G268" i="16" s="1"/>
  <c r="BG203" i="30"/>
  <c r="P268" i="16" s="1"/>
  <c r="AX131" i="30"/>
  <c r="G196" i="16" s="1"/>
  <c r="BL97" i="30"/>
  <c r="U162" i="16" s="1"/>
  <c r="AW95" i="30"/>
  <c r="F160" i="16" s="1"/>
  <c r="BC105" i="30"/>
  <c r="L170" i="16" s="1"/>
  <c r="BD105" i="30"/>
  <c r="M170" i="16" s="1"/>
  <c r="BC172" i="30"/>
  <c r="L237" i="16" s="1"/>
  <c r="BA211" i="30"/>
  <c r="J276" i="16" s="1"/>
  <c r="BD211" i="30"/>
  <c r="M276" i="16" s="1"/>
  <c r="BC197" i="30"/>
  <c r="L262" i="16" s="1"/>
  <c r="BD197" i="30"/>
  <c r="M262" i="16" s="1"/>
  <c r="BA91" i="30"/>
  <c r="J156" i="16" s="1"/>
  <c r="AV91" i="30"/>
  <c r="E156" i="16" s="1"/>
  <c r="BE166" i="30"/>
  <c r="N231" i="16" s="1"/>
  <c r="BH166" i="30"/>
  <c r="Q231" i="16" s="1"/>
  <c r="BE225" i="30"/>
  <c r="N290" i="16" s="1"/>
  <c r="AX225" i="30"/>
  <c r="G290" i="16" s="1"/>
  <c r="BF153" i="30"/>
  <c r="O218" i="16" s="1"/>
  <c r="BE212" i="30"/>
  <c r="N277" i="16" s="1"/>
  <c r="BH212" i="30"/>
  <c r="Q277" i="16" s="1"/>
  <c r="BG140" i="30"/>
  <c r="P205" i="16" s="1"/>
  <c r="BD140" i="30"/>
  <c r="M205" i="16" s="1"/>
  <c r="AW198" i="30"/>
  <c r="F263" i="16" s="1"/>
  <c r="BG191" i="30"/>
  <c r="P256" i="16" s="1"/>
  <c r="AX119" i="30"/>
  <c r="G184" i="16" s="1"/>
  <c r="AX93" i="30"/>
  <c r="G158" i="16" s="1"/>
  <c r="BE160" i="30"/>
  <c r="N225" i="16" s="1"/>
  <c r="BI219" i="30"/>
  <c r="R284" i="16" s="1"/>
  <c r="AZ219" i="30"/>
  <c r="I284" i="16" s="1"/>
  <c r="BK147" i="30"/>
  <c r="T212" i="16" s="1"/>
  <c r="BH147" i="30"/>
  <c r="Q212" i="16" s="1"/>
  <c r="BI206" i="30"/>
  <c r="R271" i="16" s="1"/>
  <c r="BI134" i="30"/>
  <c r="R199" i="16" s="1"/>
  <c r="AX134" i="30"/>
  <c r="G199" i="16" s="1"/>
  <c r="AW199" i="30"/>
  <c r="F264" i="16" s="1"/>
  <c r="BK127" i="30"/>
  <c r="T192" i="16" s="1"/>
  <c r="BM192" i="30"/>
  <c r="V257" i="16" s="1"/>
  <c r="BA192" i="30"/>
  <c r="J257" i="16" s="1"/>
  <c r="BL120" i="30"/>
  <c r="U185" i="16" s="1"/>
  <c r="AY120" i="30"/>
  <c r="H185" i="16" s="1"/>
  <c r="BA185" i="30"/>
  <c r="J250" i="16" s="1"/>
  <c r="BG113" i="30"/>
  <c r="P178" i="16" s="1"/>
  <c r="BM79" i="30"/>
  <c r="V144" i="16" s="1"/>
  <c r="AX79" i="30"/>
  <c r="G144" i="16" s="1"/>
  <c r="BM77" i="30"/>
  <c r="V142" i="16" s="1"/>
  <c r="AW87" i="30"/>
  <c r="F152" i="16" s="1"/>
  <c r="BF220" i="30"/>
  <c r="O285" i="16" s="1"/>
  <c r="BC220" i="30"/>
  <c r="L285" i="16" s="1"/>
  <c r="BD148" i="30"/>
  <c r="M213" i="16" s="1"/>
  <c r="BE207" i="30"/>
  <c r="N272" i="16" s="1"/>
  <c r="BL207" i="30"/>
  <c r="U272" i="16" s="1"/>
  <c r="BE135" i="30"/>
  <c r="N200" i="16" s="1"/>
  <c r="AW135" i="30"/>
  <c r="F200" i="16" s="1"/>
  <c r="AW194" i="30"/>
  <c r="F259" i="16" s="1"/>
  <c r="BI122" i="30"/>
  <c r="R187" i="16" s="1"/>
  <c r="AV122" i="30"/>
  <c r="E187" i="16" s="1"/>
  <c r="BB104" i="30"/>
  <c r="K169" i="16" s="1"/>
  <c r="BI106" i="30"/>
  <c r="R171" i="16" s="1"/>
  <c r="BM75" i="30"/>
  <c r="V140" i="16" s="1"/>
  <c r="AT100" i="30"/>
  <c r="C165" i="16" s="1"/>
  <c r="AT69" i="30"/>
  <c r="AT219" i="30"/>
  <c r="C284" i="16" s="1"/>
  <c r="AT214" i="30"/>
  <c r="C279" i="16" s="1"/>
  <c r="AT94" i="30"/>
  <c r="C159" i="16" s="1"/>
  <c r="AT70" i="30"/>
  <c r="C135" i="16" s="1"/>
  <c r="AT215" i="30"/>
  <c r="C280" i="16" s="1"/>
  <c r="AT35" i="12"/>
  <c r="AN35" i="12"/>
  <c r="BD35" i="12"/>
  <c r="BJ35" i="12"/>
  <c r="AS35" i="12"/>
  <c r="AY35" i="12"/>
  <c r="AU35" i="12"/>
  <c r="AM35" i="12"/>
  <c r="AQ35" i="12"/>
  <c r="AZ35" i="12"/>
  <c r="BC35" i="12"/>
  <c r="BI35" i="12"/>
  <c r="BH35" i="12"/>
  <c r="AV35" i="12"/>
  <c r="AR35" i="12"/>
  <c r="BL35" i="12"/>
  <c r="AW35" i="12"/>
  <c r="AK35" i="12"/>
  <c r="BE35" i="12"/>
  <c r="BA35" i="12"/>
  <c r="BB35" i="12"/>
  <c r="AL35" i="12"/>
  <c r="BG35" i="12"/>
  <c r="AO35" i="12"/>
  <c r="AX35" i="12"/>
  <c r="BF35" i="12"/>
  <c r="AP35" i="12"/>
  <c r="BK35" i="12"/>
  <c r="AT388" i="24"/>
  <c r="AT388" i="28"/>
  <c r="AT388" i="25"/>
  <c r="AT388" i="27"/>
  <c r="E5" i="29"/>
  <c r="E6" i="29" s="1"/>
  <c r="AP9" i="29"/>
  <c r="BB9" i="29"/>
  <c r="AQ9" i="29"/>
  <c r="BC9" i="29"/>
  <c r="AR9" i="29"/>
  <c r="BD9" i="29"/>
  <c r="AS9" i="29"/>
  <c r="BE9" i="29"/>
  <c r="AT9" i="29"/>
  <c r="BF9" i="29"/>
  <c r="AU9" i="29"/>
  <c r="BG9" i="29"/>
  <c r="AK9" i="29"/>
  <c r="AV9" i="29"/>
  <c r="BH9" i="29"/>
  <c r="AW9" i="29"/>
  <c r="BI9" i="29"/>
  <c r="AL9" i="29"/>
  <c r="AX9" i="29"/>
  <c r="BJ9" i="29"/>
  <c r="AM9" i="29"/>
  <c r="AY9" i="29"/>
  <c r="BK9" i="29"/>
  <c r="AN9" i="29"/>
  <c r="AZ9" i="29"/>
  <c r="BL9" i="29"/>
  <c r="AO9" i="29"/>
  <c r="BA9" i="29"/>
  <c r="AO19" i="29"/>
  <c r="BA19" i="29"/>
  <c r="AP19" i="29"/>
  <c r="BB19" i="29"/>
  <c r="AQ19" i="29"/>
  <c r="BC19" i="29"/>
  <c r="AR19" i="29"/>
  <c r="BD19" i="29"/>
  <c r="AS19" i="29"/>
  <c r="BE19" i="29"/>
  <c r="AK19" i="29"/>
  <c r="AT19" i="29"/>
  <c r="BF19" i="29"/>
  <c r="AU19" i="29"/>
  <c r="BG19" i="29"/>
  <c r="AV19" i="29"/>
  <c r="BH19" i="29"/>
  <c r="AW19" i="29"/>
  <c r="BI19" i="29"/>
  <c r="AL19" i="29"/>
  <c r="AX19" i="29"/>
  <c r="BJ19" i="29"/>
  <c r="AM19" i="29"/>
  <c r="AY19" i="29"/>
  <c r="BK19" i="29"/>
  <c r="AN19" i="29"/>
  <c r="AZ19" i="29"/>
  <c r="BL19" i="29"/>
  <c r="E339" i="33"/>
  <c r="E350" i="33"/>
  <c r="E356" i="33" s="1"/>
  <c r="F300" i="33"/>
  <c r="F313" i="33" s="1"/>
  <c r="F297" i="33"/>
  <c r="G95" i="12" s="1"/>
  <c r="F321" i="33"/>
  <c r="F329" i="33" s="1"/>
  <c r="F305" i="33"/>
  <c r="F319" i="33"/>
  <c r="F327" i="33" s="1"/>
  <c r="F343" i="33" s="1"/>
  <c r="F348" i="33" s="1"/>
  <c r="F354" i="33" s="1"/>
  <c r="E311" i="33"/>
  <c r="E289" i="33"/>
  <c r="AU271" i="27"/>
  <c r="AU376" i="24"/>
  <c r="AU366" i="24"/>
  <c r="AU366" i="25"/>
  <c r="AU121" i="24"/>
  <c r="AU128" i="24"/>
  <c r="AU376" i="27"/>
  <c r="AU186" i="25"/>
  <c r="AU366" i="26"/>
  <c r="AU366" i="27"/>
  <c r="AU367" i="27"/>
  <c r="AU373" i="26"/>
  <c r="AU373" i="28"/>
  <c r="AU207" i="26"/>
  <c r="AU276" i="27"/>
  <c r="AU272" i="27"/>
  <c r="AU273" i="27"/>
  <c r="AU181" i="25"/>
  <c r="AU182" i="25"/>
  <c r="AU373" i="27"/>
  <c r="AU123" i="24"/>
  <c r="AU373" i="24"/>
  <c r="AU376" i="26"/>
  <c r="AU368" i="27"/>
  <c r="AU377" i="26"/>
  <c r="AT388" i="26"/>
  <c r="AU208" i="26"/>
  <c r="AU185" i="25"/>
  <c r="Z14" i="28"/>
  <c r="Z15" i="27"/>
  <c r="Z15" i="28"/>
  <c r="Z14" i="27"/>
  <c r="Z14" i="25"/>
  <c r="AU14" i="25" s="1"/>
  <c r="Z15" i="25"/>
  <c r="AU15" i="25" s="1"/>
  <c r="Z15" i="24"/>
  <c r="Z14" i="24"/>
  <c r="Z136" i="26"/>
  <c r="AU136" i="26" s="1"/>
  <c r="Z139" i="26"/>
  <c r="AU139" i="26" s="1"/>
  <c r="Z142" i="26"/>
  <c r="AU142" i="26" s="1"/>
  <c r="Z145" i="26"/>
  <c r="AU145" i="26" s="1"/>
  <c r="Z148" i="26"/>
  <c r="AU148" i="26" s="1"/>
  <c r="Z151" i="26"/>
  <c r="AU151" i="26" s="1"/>
  <c r="Z154" i="26"/>
  <c r="AU154" i="26" s="1"/>
  <c r="Z157" i="26"/>
  <c r="AU157" i="26" s="1"/>
  <c r="Z160" i="26"/>
  <c r="AU160" i="26" s="1"/>
  <c r="Z138" i="26"/>
  <c r="AU138" i="26" s="1"/>
  <c r="Z141" i="26"/>
  <c r="AU141" i="26" s="1"/>
  <c r="Z144" i="26"/>
  <c r="AU144" i="26" s="1"/>
  <c r="Z147" i="26"/>
  <c r="AU147" i="26" s="1"/>
  <c r="Z150" i="26"/>
  <c r="AU150" i="26" s="1"/>
  <c r="Z153" i="26"/>
  <c r="AU153" i="26" s="1"/>
  <c r="Z156" i="26"/>
  <c r="AU156" i="26" s="1"/>
  <c r="Z159" i="26"/>
  <c r="AU159" i="26" s="1"/>
  <c r="Z15" i="26"/>
  <c r="AU15" i="26" s="1"/>
  <c r="Z137" i="26"/>
  <c r="AU137" i="26" s="1"/>
  <c r="Z140" i="26"/>
  <c r="AU140" i="26" s="1"/>
  <c r="Z143" i="26"/>
  <c r="AU143" i="26" s="1"/>
  <c r="Z146" i="26"/>
  <c r="AU146" i="26" s="1"/>
  <c r="Z149" i="26"/>
  <c r="AU149" i="26" s="1"/>
  <c r="Z152" i="26"/>
  <c r="AU152" i="26" s="1"/>
  <c r="Z155" i="26"/>
  <c r="AU155" i="26" s="1"/>
  <c r="Z158" i="26"/>
  <c r="AU158" i="26" s="1"/>
  <c r="Z14" i="26"/>
  <c r="AU14" i="26" s="1"/>
  <c r="AU126" i="24"/>
  <c r="AU296" i="28"/>
  <c r="AU297" i="28"/>
  <c r="AU274" i="27"/>
  <c r="AU188" i="25"/>
  <c r="AU269" i="27"/>
  <c r="AU184" i="25"/>
  <c r="AU376" i="25"/>
  <c r="AU275" i="27"/>
  <c r="AU120" i="24"/>
  <c r="AU365" i="28"/>
  <c r="AU187" i="25"/>
  <c r="AU183" i="25"/>
  <c r="AU125" i="24"/>
  <c r="AU366" i="28"/>
  <c r="AU209" i="26"/>
  <c r="AU122" i="24"/>
  <c r="AU124" i="24"/>
  <c r="AU189" i="25"/>
  <c r="AU373" i="25"/>
  <c r="AU268" i="27"/>
  <c r="AU376" i="28"/>
  <c r="AT16" i="26"/>
  <c r="AT387" i="26" s="1"/>
  <c r="AU127" i="24"/>
  <c r="AU270" i="27"/>
  <c r="Q35" i="29"/>
  <c r="AT394" i="24"/>
  <c r="C62" i="22"/>
  <c r="B62" i="22" s="1"/>
  <c r="C54" i="22"/>
  <c r="G67" i="29" s="1"/>
  <c r="C77" i="22"/>
  <c r="B77" i="22" s="1"/>
  <c r="I24" i="23"/>
  <c r="B14" i="33" s="1"/>
  <c r="H22" i="23"/>
  <c r="B6" i="33" s="1"/>
  <c r="H25" i="23"/>
  <c r="B18" i="33" s="1"/>
  <c r="H26" i="23"/>
  <c r="B24" i="33" s="1"/>
  <c r="H31" i="23"/>
  <c r="H32" i="23"/>
  <c r="H34" i="23"/>
  <c r="H33" i="23"/>
  <c r="I34" i="23"/>
  <c r="K25" i="23"/>
  <c r="B21" i="33" s="1"/>
  <c r="I33" i="23"/>
  <c r="I35" i="23"/>
  <c r="H23" i="23"/>
  <c r="B9" i="33" s="1"/>
  <c r="K26" i="23"/>
  <c r="B27" i="33" s="1"/>
  <c r="H24" i="23"/>
  <c r="B13" i="33" s="1"/>
  <c r="I26" i="23"/>
  <c r="B25" i="33" s="1"/>
  <c r="I25" i="23"/>
  <c r="B19" i="33" s="1"/>
  <c r="I23" i="23"/>
  <c r="B10" i="33" s="1"/>
  <c r="J34" i="23"/>
  <c r="J25" i="23"/>
  <c r="B20" i="33" s="1"/>
  <c r="J24" i="23"/>
  <c r="B15" i="33" s="1"/>
  <c r="J26" i="23"/>
  <c r="B26" i="33" s="1"/>
  <c r="Q41" i="29"/>
  <c r="Z17" i="30"/>
  <c r="AU17" i="30" s="1"/>
  <c r="D82" i="16" s="1"/>
  <c r="Z18" i="30"/>
  <c r="AU18" i="30" s="1"/>
  <c r="D83" i="16" s="1"/>
  <c r="Z21" i="30"/>
  <c r="AU21" i="30" s="1"/>
  <c r="D86" i="16" s="1"/>
  <c r="Z24" i="30"/>
  <c r="AU24" i="30" s="1"/>
  <c r="D89" i="16" s="1"/>
  <c r="Z27" i="30"/>
  <c r="AU27" i="30" s="1"/>
  <c r="D92" i="16" s="1"/>
  <c r="Z30" i="30"/>
  <c r="AU30" i="30" s="1"/>
  <c r="D95" i="16" s="1"/>
  <c r="Z33" i="30"/>
  <c r="AU33" i="30" s="1"/>
  <c r="D98" i="16" s="1"/>
  <c r="Z36" i="30"/>
  <c r="AU36" i="30" s="1"/>
  <c r="D101" i="16" s="1"/>
  <c r="Z39" i="30"/>
  <c r="AU39" i="30" s="1"/>
  <c r="D104" i="16" s="1"/>
  <c r="Z42" i="30"/>
  <c r="AU42" i="30" s="1"/>
  <c r="D107" i="16" s="1"/>
  <c r="Z45" i="30"/>
  <c r="AU45" i="30" s="1"/>
  <c r="D110" i="16" s="1"/>
  <c r="Z48" i="30"/>
  <c r="AU48" i="30" s="1"/>
  <c r="D113" i="16" s="1"/>
  <c r="Z3" i="30"/>
  <c r="AU3" i="30" s="1"/>
  <c r="D68" i="16" s="1"/>
  <c r="Z6" i="30"/>
  <c r="AU6" i="30" s="1"/>
  <c r="D71" i="16" s="1"/>
  <c r="Z9" i="30"/>
  <c r="AU9" i="30" s="1"/>
  <c r="D74" i="16" s="1"/>
  <c r="Z12" i="30"/>
  <c r="AU12" i="30" s="1"/>
  <c r="D77" i="16" s="1"/>
  <c r="Z15" i="30"/>
  <c r="AU15" i="30" s="1"/>
  <c r="D80" i="16" s="1"/>
  <c r="Z16" i="30"/>
  <c r="AU16" i="30" s="1"/>
  <c r="D81" i="16" s="1"/>
  <c r="Z20" i="30"/>
  <c r="AU20" i="30" s="1"/>
  <c r="D85" i="16" s="1"/>
  <c r="Z23" i="30"/>
  <c r="AU23" i="30" s="1"/>
  <c r="D88" i="16" s="1"/>
  <c r="Z26" i="30"/>
  <c r="AU26" i="30" s="1"/>
  <c r="D91" i="16" s="1"/>
  <c r="Z29" i="30"/>
  <c r="AU29" i="30" s="1"/>
  <c r="D94" i="16" s="1"/>
  <c r="Z32" i="30"/>
  <c r="AU32" i="30" s="1"/>
  <c r="D97" i="16" s="1"/>
  <c r="Z35" i="30"/>
  <c r="AU35" i="30" s="1"/>
  <c r="D100" i="16" s="1"/>
  <c r="Z38" i="30"/>
  <c r="AU38" i="30" s="1"/>
  <c r="D103" i="16" s="1"/>
  <c r="Z41" i="30"/>
  <c r="AU41" i="30" s="1"/>
  <c r="D106" i="16" s="1"/>
  <c r="Z44" i="30"/>
  <c r="AU44" i="30" s="1"/>
  <c r="D109" i="16" s="1"/>
  <c r="Z47" i="30"/>
  <c r="AU47" i="30" s="1"/>
  <c r="D112" i="16" s="1"/>
  <c r="Z2" i="30"/>
  <c r="AU2" i="30" s="1"/>
  <c r="Z5" i="30"/>
  <c r="AU5" i="30" s="1"/>
  <c r="D70" i="16" s="1"/>
  <c r="Z8" i="30"/>
  <c r="AU8" i="30" s="1"/>
  <c r="D73" i="16" s="1"/>
  <c r="Z11" i="30"/>
  <c r="AU11" i="30" s="1"/>
  <c r="D76" i="16" s="1"/>
  <c r="Z14" i="30"/>
  <c r="AU14" i="30" s="1"/>
  <c r="D79" i="16" s="1"/>
  <c r="Z19" i="30"/>
  <c r="AU19" i="30" s="1"/>
  <c r="D84" i="16" s="1"/>
  <c r="Z22" i="30"/>
  <c r="AU22" i="30" s="1"/>
  <c r="D87" i="16" s="1"/>
  <c r="Z25" i="30"/>
  <c r="AU25" i="30" s="1"/>
  <c r="D90" i="16" s="1"/>
  <c r="Z28" i="30"/>
  <c r="AU28" i="30" s="1"/>
  <c r="D93" i="16" s="1"/>
  <c r="Z31" i="30"/>
  <c r="AU31" i="30" s="1"/>
  <c r="D96" i="16" s="1"/>
  <c r="Z34" i="30"/>
  <c r="AU34" i="30" s="1"/>
  <c r="D99" i="16" s="1"/>
  <c r="Z37" i="30"/>
  <c r="AU37" i="30" s="1"/>
  <c r="D102" i="16" s="1"/>
  <c r="Z40" i="30"/>
  <c r="AU40" i="30" s="1"/>
  <c r="D105" i="16" s="1"/>
  <c r="Z43" i="30"/>
  <c r="AU43" i="30" s="1"/>
  <c r="D108" i="16" s="1"/>
  <c r="Z46" i="30"/>
  <c r="AU46" i="30" s="1"/>
  <c r="D111" i="16" s="1"/>
  <c r="Z4" i="30"/>
  <c r="AU4" i="30" s="1"/>
  <c r="D69" i="16" s="1"/>
  <c r="Z7" i="30"/>
  <c r="AU7" i="30" s="1"/>
  <c r="D72" i="16" s="1"/>
  <c r="Z10" i="30"/>
  <c r="AU10" i="30" s="1"/>
  <c r="D75" i="16" s="1"/>
  <c r="Z13" i="30"/>
  <c r="AU13" i="30" s="1"/>
  <c r="D78" i="16" s="1"/>
  <c r="Q44" i="29"/>
  <c r="F40" i="29"/>
  <c r="F43" i="29" s="1"/>
  <c r="F46" i="29" s="1"/>
  <c r="Z16" i="28"/>
  <c r="AU16" i="28" s="1"/>
  <c r="Z17" i="28"/>
  <c r="AU17" i="28" s="1"/>
  <c r="Z20" i="28"/>
  <c r="AU20" i="28" s="1"/>
  <c r="Z23" i="28"/>
  <c r="AU23" i="28" s="1"/>
  <c r="Z26" i="28"/>
  <c r="AU26" i="28" s="1"/>
  <c r="Z29" i="28"/>
  <c r="AU29" i="28" s="1"/>
  <c r="Z32" i="28"/>
  <c r="AU32" i="28" s="1"/>
  <c r="Z35" i="28"/>
  <c r="AU35" i="28" s="1"/>
  <c r="AU209" i="28"/>
  <c r="Z24" i="28"/>
  <c r="AU24" i="28" s="1"/>
  <c r="Z38" i="28"/>
  <c r="AU38" i="28" s="1"/>
  <c r="Z41" i="28"/>
  <c r="AU41" i="28" s="1"/>
  <c r="Z44" i="28"/>
  <c r="AU44" i="28" s="1"/>
  <c r="Z47" i="28"/>
  <c r="AU47" i="28" s="1"/>
  <c r="Z50" i="28"/>
  <c r="AU50" i="28" s="1"/>
  <c r="Z53" i="28"/>
  <c r="AU53" i="28" s="1"/>
  <c r="Z56" i="28"/>
  <c r="AU56" i="28" s="1"/>
  <c r="Z59" i="28"/>
  <c r="AU59" i="28" s="1"/>
  <c r="Z62" i="28"/>
  <c r="AU62" i="28" s="1"/>
  <c r="Z65" i="28"/>
  <c r="AU65" i="28" s="1"/>
  <c r="Z68" i="28"/>
  <c r="AU68" i="28" s="1"/>
  <c r="Z71" i="28"/>
  <c r="AU71" i="28" s="1"/>
  <c r="Z74" i="28"/>
  <c r="AU74" i="28" s="1"/>
  <c r="Z77" i="28"/>
  <c r="AU77" i="28" s="1"/>
  <c r="Z80" i="28"/>
  <c r="AU80" i="28" s="1"/>
  <c r="Z83" i="28"/>
  <c r="AU83" i="28" s="1"/>
  <c r="Z86" i="28"/>
  <c r="AU86" i="28" s="1"/>
  <c r="Z89" i="28"/>
  <c r="AU89" i="28" s="1"/>
  <c r="Z92" i="28"/>
  <c r="AU92" i="28" s="1"/>
  <c r="Z95" i="28"/>
  <c r="AU95" i="28" s="1"/>
  <c r="Z98" i="28"/>
  <c r="AU98" i="28" s="1"/>
  <c r="Z101" i="28"/>
  <c r="AU101" i="28" s="1"/>
  <c r="Z104" i="28"/>
  <c r="AU104" i="28" s="1"/>
  <c r="Z107" i="28"/>
  <c r="AU107" i="28" s="1"/>
  <c r="Z110" i="28"/>
  <c r="AU110" i="28" s="1"/>
  <c r="Z113" i="28"/>
  <c r="AU113" i="28" s="1"/>
  <c r="Z116" i="28"/>
  <c r="AU116" i="28" s="1"/>
  <c r="Z119" i="28"/>
  <c r="AU119" i="28" s="1"/>
  <c r="Z122" i="28"/>
  <c r="AU122" i="28" s="1"/>
  <c r="Z125" i="28"/>
  <c r="AU125" i="28" s="1"/>
  <c r="Z128" i="28"/>
  <c r="AU128" i="28" s="1"/>
  <c r="Z131" i="28"/>
  <c r="AU131" i="28" s="1"/>
  <c r="Z134" i="28"/>
  <c r="AU134" i="28" s="1"/>
  <c r="Z137" i="28"/>
  <c r="AU137" i="28" s="1"/>
  <c r="Z140" i="28"/>
  <c r="AU140" i="28" s="1"/>
  <c r="Z143" i="28"/>
  <c r="AU143" i="28" s="1"/>
  <c r="Z146" i="28"/>
  <c r="AU146" i="28" s="1"/>
  <c r="Z149" i="28"/>
  <c r="AU149" i="28" s="1"/>
  <c r="Z152" i="28"/>
  <c r="AU152" i="28" s="1"/>
  <c r="Z155" i="28"/>
  <c r="AU155" i="28" s="1"/>
  <c r="Z158" i="28"/>
  <c r="AU158" i="28" s="1"/>
  <c r="Z161" i="28"/>
  <c r="AU161" i="28" s="1"/>
  <c r="Z164" i="28"/>
  <c r="AU164" i="28" s="1"/>
  <c r="Z167" i="28"/>
  <c r="AU167" i="28" s="1"/>
  <c r="Z170" i="28"/>
  <c r="AU170" i="28" s="1"/>
  <c r="Z173" i="28"/>
  <c r="AU173" i="28" s="1"/>
  <c r="Z176" i="28"/>
  <c r="AU176" i="28" s="1"/>
  <c r="Z179" i="28"/>
  <c r="AU179" i="28" s="1"/>
  <c r="Z182" i="28"/>
  <c r="AU182" i="28" s="1"/>
  <c r="Z185" i="28"/>
  <c r="AU185" i="28" s="1"/>
  <c r="Z188" i="28"/>
  <c r="AU188" i="28" s="1"/>
  <c r="Z191" i="28"/>
  <c r="AU191" i="28" s="1"/>
  <c r="Z194" i="28"/>
  <c r="AU194" i="28" s="1"/>
  <c r="Z197" i="28"/>
  <c r="AU197" i="28" s="1"/>
  <c r="Z200" i="28"/>
  <c r="AU200" i="28" s="1"/>
  <c r="Z203" i="28"/>
  <c r="AU203" i="28" s="1"/>
  <c r="Z21" i="28"/>
  <c r="AU21" i="28" s="1"/>
  <c r="Z18" i="28"/>
  <c r="AU18" i="28" s="1"/>
  <c r="Z19" i="27"/>
  <c r="AU19" i="27" s="1"/>
  <c r="Z22" i="27"/>
  <c r="AU22" i="27" s="1"/>
  <c r="Z25" i="27"/>
  <c r="AU25" i="27" s="1"/>
  <c r="Z28" i="27"/>
  <c r="AU28" i="27" s="1"/>
  <c r="Z31" i="27"/>
  <c r="AU31" i="27" s="1"/>
  <c r="Z34" i="27"/>
  <c r="AU34" i="27" s="1"/>
  <c r="Z37" i="27"/>
  <c r="AU37" i="27" s="1"/>
  <c r="Z40" i="27"/>
  <c r="AU40" i="27" s="1"/>
  <c r="Z43" i="27"/>
  <c r="AU43" i="27" s="1"/>
  <c r="Z46" i="27"/>
  <c r="AU46" i="27" s="1"/>
  <c r="Z49" i="27"/>
  <c r="AU49" i="27" s="1"/>
  <c r="Z52" i="27"/>
  <c r="AU52" i="27" s="1"/>
  <c r="Z55" i="27"/>
  <c r="AU55" i="27" s="1"/>
  <c r="Z58" i="27"/>
  <c r="AU58" i="27" s="1"/>
  <c r="Z61" i="27"/>
  <c r="AU61" i="27" s="1"/>
  <c r="Z64" i="27"/>
  <c r="AU64" i="27" s="1"/>
  <c r="Z67" i="27"/>
  <c r="AU67" i="27" s="1"/>
  <c r="Z70" i="27"/>
  <c r="AU70" i="27" s="1"/>
  <c r="Z73" i="27"/>
  <c r="AU73" i="27" s="1"/>
  <c r="Z76" i="27"/>
  <c r="AU76" i="27" s="1"/>
  <c r="Z79" i="27"/>
  <c r="AU79" i="27" s="1"/>
  <c r="Z82" i="27"/>
  <c r="AU82" i="27" s="1"/>
  <c r="Z85" i="27"/>
  <c r="AU85" i="27" s="1"/>
  <c r="Z88" i="27"/>
  <c r="AU88" i="27" s="1"/>
  <c r="Z91" i="27"/>
  <c r="AU91" i="27" s="1"/>
  <c r="Z94" i="27"/>
  <c r="AU94" i="27" s="1"/>
  <c r="Z97" i="27"/>
  <c r="AU97" i="27" s="1"/>
  <c r="Z100" i="27"/>
  <c r="AU100" i="27" s="1"/>
  <c r="Z103" i="27"/>
  <c r="AU103" i="27" s="1"/>
  <c r="Z106" i="27"/>
  <c r="AU106" i="27" s="1"/>
  <c r="Z109" i="27"/>
  <c r="AU109" i="27" s="1"/>
  <c r="Z112" i="27"/>
  <c r="AU112" i="27" s="1"/>
  <c r="Z115" i="27"/>
  <c r="AU115" i="27" s="1"/>
  <c r="Z118" i="27"/>
  <c r="AU118" i="27" s="1"/>
  <c r="Z121" i="27"/>
  <c r="AU121" i="27" s="1"/>
  <c r="Z124" i="27"/>
  <c r="AU124" i="27" s="1"/>
  <c r="Z127" i="27"/>
  <c r="AU127" i="27" s="1"/>
  <c r="Z37" i="28"/>
  <c r="AU37" i="28" s="1"/>
  <c r="Z40" i="28"/>
  <c r="AU40" i="28" s="1"/>
  <c r="Z43" i="28"/>
  <c r="AU43" i="28" s="1"/>
  <c r="Z46" i="28"/>
  <c r="AU46" i="28" s="1"/>
  <c r="Z49" i="28"/>
  <c r="AU49" i="28" s="1"/>
  <c r="Z52" i="28"/>
  <c r="AU52" i="28" s="1"/>
  <c r="Z55" i="28"/>
  <c r="AU55" i="28" s="1"/>
  <c r="Z58" i="28"/>
  <c r="AU58" i="28" s="1"/>
  <c r="Z61" i="28"/>
  <c r="AU61" i="28" s="1"/>
  <c r="Z64" i="28"/>
  <c r="AU64" i="28" s="1"/>
  <c r="Z67" i="28"/>
  <c r="AU67" i="28" s="1"/>
  <c r="Z70" i="28"/>
  <c r="AU70" i="28" s="1"/>
  <c r="Z73" i="28"/>
  <c r="AU73" i="28" s="1"/>
  <c r="Z76" i="28"/>
  <c r="AU76" i="28" s="1"/>
  <c r="Z79" i="28"/>
  <c r="AU79" i="28" s="1"/>
  <c r="Z82" i="28"/>
  <c r="AU82" i="28" s="1"/>
  <c r="Z85" i="28"/>
  <c r="AU85" i="28" s="1"/>
  <c r="Z88" i="28"/>
  <c r="AU88" i="28" s="1"/>
  <c r="Z91" i="28"/>
  <c r="AU91" i="28" s="1"/>
  <c r="Z94" i="28"/>
  <c r="AU94" i="28" s="1"/>
  <c r="Z97" i="28"/>
  <c r="AU97" i="28" s="1"/>
  <c r="Z100" i="28"/>
  <c r="AU100" i="28" s="1"/>
  <c r="Z103" i="28"/>
  <c r="AU103" i="28" s="1"/>
  <c r="Z106" i="28"/>
  <c r="AU106" i="28" s="1"/>
  <c r="Z109" i="28"/>
  <c r="AU109" i="28" s="1"/>
  <c r="Z112" i="28"/>
  <c r="AU112" i="28" s="1"/>
  <c r="Z115" i="28"/>
  <c r="AU115" i="28" s="1"/>
  <c r="Z118" i="28"/>
  <c r="AU118" i="28" s="1"/>
  <c r="Z121" i="28"/>
  <c r="AU121" i="28" s="1"/>
  <c r="Z124" i="28"/>
  <c r="AU124" i="28" s="1"/>
  <c r="Z127" i="28"/>
  <c r="AU127" i="28" s="1"/>
  <c r="Z130" i="28"/>
  <c r="AU130" i="28" s="1"/>
  <c r="Z133" i="28"/>
  <c r="AU133" i="28" s="1"/>
  <c r="Z136" i="28"/>
  <c r="AU136" i="28" s="1"/>
  <c r="Z139" i="28"/>
  <c r="AU139" i="28" s="1"/>
  <c r="Z142" i="28"/>
  <c r="AU142" i="28" s="1"/>
  <c r="Z145" i="28"/>
  <c r="AU145" i="28" s="1"/>
  <c r="Z148" i="28"/>
  <c r="AU148" i="28" s="1"/>
  <c r="Z151" i="28"/>
  <c r="AU151" i="28" s="1"/>
  <c r="Z154" i="28"/>
  <c r="AU154" i="28" s="1"/>
  <c r="Z157" i="28"/>
  <c r="AU157" i="28" s="1"/>
  <c r="Z160" i="28"/>
  <c r="AU160" i="28" s="1"/>
  <c r="Z163" i="28"/>
  <c r="AU163" i="28" s="1"/>
  <c r="Z166" i="28"/>
  <c r="AU166" i="28" s="1"/>
  <c r="Z169" i="28"/>
  <c r="AU169" i="28" s="1"/>
  <c r="Z172" i="28"/>
  <c r="AU172" i="28" s="1"/>
  <c r="Z175" i="28"/>
  <c r="AU175" i="28" s="1"/>
  <c r="Z178" i="28"/>
  <c r="AU178" i="28" s="1"/>
  <c r="Z181" i="28"/>
  <c r="AU181" i="28" s="1"/>
  <c r="Z184" i="28"/>
  <c r="AU184" i="28" s="1"/>
  <c r="Z187" i="28"/>
  <c r="AU187" i="28" s="1"/>
  <c r="Z190" i="28"/>
  <c r="AU190" i="28" s="1"/>
  <c r="Z193" i="28"/>
  <c r="AU193" i="28" s="1"/>
  <c r="Z196" i="28"/>
  <c r="AU196" i="28" s="1"/>
  <c r="Z199" i="28"/>
  <c r="AU199" i="28" s="1"/>
  <c r="Z202" i="28"/>
  <c r="AU202" i="28" s="1"/>
  <c r="Z205" i="28"/>
  <c r="AU205" i="28" s="1"/>
  <c r="Z34" i="28"/>
  <c r="AU34" i="28" s="1"/>
  <c r="Z31" i="28"/>
  <c r="AU31" i="28" s="1"/>
  <c r="Z28" i="28"/>
  <c r="AU28" i="28" s="1"/>
  <c r="Z18" i="27"/>
  <c r="AU18" i="27" s="1"/>
  <c r="Z21" i="27"/>
  <c r="AU21" i="27" s="1"/>
  <c r="Z24" i="27"/>
  <c r="AU24" i="27" s="1"/>
  <c r="Z27" i="27"/>
  <c r="AU27" i="27" s="1"/>
  <c r="Z30" i="27"/>
  <c r="AU30" i="27" s="1"/>
  <c r="Z33" i="27"/>
  <c r="AU33" i="27" s="1"/>
  <c r="Z36" i="27"/>
  <c r="AU36" i="27" s="1"/>
  <c r="Z39" i="27"/>
  <c r="AU39" i="27" s="1"/>
  <c r="Z42" i="27"/>
  <c r="AU42" i="27" s="1"/>
  <c r="Z45" i="27"/>
  <c r="AU45" i="27" s="1"/>
  <c r="Z48" i="27"/>
  <c r="AU48" i="27" s="1"/>
  <c r="Z51" i="27"/>
  <c r="AU51" i="27" s="1"/>
  <c r="Z54" i="27"/>
  <c r="AU54" i="27" s="1"/>
  <c r="Z57" i="27"/>
  <c r="AU57" i="27" s="1"/>
  <c r="Z60" i="27"/>
  <c r="AU60" i="27" s="1"/>
  <c r="Z63" i="27"/>
  <c r="AU63" i="27" s="1"/>
  <c r="Z66" i="27"/>
  <c r="AU66" i="27" s="1"/>
  <c r="Z69" i="27"/>
  <c r="AU69" i="27" s="1"/>
  <c r="Z72" i="27"/>
  <c r="AU72" i="27" s="1"/>
  <c r="Z75" i="27"/>
  <c r="AU75" i="27" s="1"/>
  <c r="Z78" i="27"/>
  <c r="AU78" i="27" s="1"/>
  <c r="Z81" i="27"/>
  <c r="AU81" i="27" s="1"/>
  <c r="Z84" i="27"/>
  <c r="AU84" i="27" s="1"/>
  <c r="Z87" i="27"/>
  <c r="AU87" i="27" s="1"/>
  <c r="Z90" i="27"/>
  <c r="AU90" i="27" s="1"/>
  <c r="Z93" i="27"/>
  <c r="AU93" i="27" s="1"/>
  <c r="Z96" i="27"/>
  <c r="AU96" i="27" s="1"/>
  <c r="Z99" i="27"/>
  <c r="AU99" i="27" s="1"/>
  <c r="Z102" i="27"/>
  <c r="AU102" i="27" s="1"/>
  <c r="Z105" i="27"/>
  <c r="AU105" i="27" s="1"/>
  <c r="Z108" i="27"/>
  <c r="AU108" i="27" s="1"/>
  <c r="Z111" i="27"/>
  <c r="AU111" i="27" s="1"/>
  <c r="Z114" i="27"/>
  <c r="AU114" i="27" s="1"/>
  <c r="Z117" i="27"/>
  <c r="AU117" i="27" s="1"/>
  <c r="Z120" i="27"/>
  <c r="AU120" i="27" s="1"/>
  <c r="Z123" i="27"/>
  <c r="AU123" i="27" s="1"/>
  <c r="Z126" i="27"/>
  <c r="AU126" i="27" s="1"/>
  <c r="Z25" i="28"/>
  <c r="AU25" i="28" s="1"/>
  <c r="Z36" i="28"/>
  <c r="AU36" i="28" s="1"/>
  <c r="Z39" i="28"/>
  <c r="AU39" i="28" s="1"/>
  <c r="Z42" i="28"/>
  <c r="AU42" i="28" s="1"/>
  <c r="Z45" i="28"/>
  <c r="AU45" i="28" s="1"/>
  <c r="Z48" i="28"/>
  <c r="AU48" i="28" s="1"/>
  <c r="Z51" i="28"/>
  <c r="AU51" i="28" s="1"/>
  <c r="Z54" i="28"/>
  <c r="AU54" i="28" s="1"/>
  <c r="Z57" i="28"/>
  <c r="AU57" i="28" s="1"/>
  <c r="Z60" i="28"/>
  <c r="AU60" i="28" s="1"/>
  <c r="Z63" i="28"/>
  <c r="AU63" i="28" s="1"/>
  <c r="Z66" i="28"/>
  <c r="AU66" i="28" s="1"/>
  <c r="Z69" i="28"/>
  <c r="AU69" i="28" s="1"/>
  <c r="Z72" i="28"/>
  <c r="AU72" i="28" s="1"/>
  <c r="Z75" i="28"/>
  <c r="AU75" i="28" s="1"/>
  <c r="Z78" i="28"/>
  <c r="AU78" i="28" s="1"/>
  <c r="Z81" i="28"/>
  <c r="AU81" i="28" s="1"/>
  <c r="Z84" i="28"/>
  <c r="AU84" i="28" s="1"/>
  <c r="Z87" i="28"/>
  <c r="AU87" i="28" s="1"/>
  <c r="Z90" i="28"/>
  <c r="AU90" i="28" s="1"/>
  <c r="Z93" i="28"/>
  <c r="AU93" i="28" s="1"/>
  <c r="Z96" i="28"/>
  <c r="AU96" i="28" s="1"/>
  <c r="Z99" i="28"/>
  <c r="AU99" i="28" s="1"/>
  <c r="Z102" i="28"/>
  <c r="AU102" i="28" s="1"/>
  <c r="Z105" i="28"/>
  <c r="AU105" i="28" s="1"/>
  <c r="Z108" i="28"/>
  <c r="AU108" i="28" s="1"/>
  <c r="Z111" i="28"/>
  <c r="AU111" i="28" s="1"/>
  <c r="Z114" i="28"/>
  <c r="AU114" i="28" s="1"/>
  <c r="Z117" i="28"/>
  <c r="AU117" i="28" s="1"/>
  <c r="Z120" i="28"/>
  <c r="AU120" i="28" s="1"/>
  <c r="Z123" i="28"/>
  <c r="AU123" i="28" s="1"/>
  <c r="Z126" i="28"/>
  <c r="AU126" i="28" s="1"/>
  <c r="Z129" i="28"/>
  <c r="AU129" i="28" s="1"/>
  <c r="Z132" i="28"/>
  <c r="AU132" i="28" s="1"/>
  <c r="Z135" i="28"/>
  <c r="AU135" i="28" s="1"/>
  <c r="Z138" i="28"/>
  <c r="AU138" i="28" s="1"/>
  <c r="Z141" i="28"/>
  <c r="AU141" i="28" s="1"/>
  <c r="Z144" i="28"/>
  <c r="AU144" i="28" s="1"/>
  <c r="Z147" i="28"/>
  <c r="AU147" i="28" s="1"/>
  <c r="Z150" i="28"/>
  <c r="AU150" i="28" s="1"/>
  <c r="Z153" i="28"/>
  <c r="AU153" i="28" s="1"/>
  <c r="Z156" i="28"/>
  <c r="AU156" i="28" s="1"/>
  <c r="Z159" i="28"/>
  <c r="AU159" i="28" s="1"/>
  <c r="Z162" i="28"/>
  <c r="AU162" i="28" s="1"/>
  <c r="Z165" i="28"/>
  <c r="AU165" i="28" s="1"/>
  <c r="Z168" i="28"/>
  <c r="AU168" i="28" s="1"/>
  <c r="Z171" i="28"/>
  <c r="AU171" i="28" s="1"/>
  <c r="Z174" i="28"/>
  <c r="AU174" i="28" s="1"/>
  <c r="Z177" i="28"/>
  <c r="AU177" i="28" s="1"/>
  <c r="Z180" i="28"/>
  <c r="AU180" i="28" s="1"/>
  <c r="Z183" i="28"/>
  <c r="AU183" i="28" s="1"/>
  <c r="Z186" i="28"/>
  <c r="AU186" i="28" s="1"/>
  <c r="Z189" i="28"/>
  <c r="AU189" i="28" s="1"/>
  <c r="Z192" i="28"/>
  <c r="AU192" i="28" s="1"/>
  <c r="Z195" i="28"/>
  <c r="AU195" i="28" s="1"/>
  <c r="Z198" i="28"/>
  <c r="AU198" i="28" s="1"/>
  <c r="Z201" i="28"/>
  <c r="AU201" i="28" s="1"/>
  <c r="Z204" i="28"/>
  <c r="AU204" i="28" s="1"/>
  <c r="Z22" i="28"/>
  <c r="AU22" i="28" s="1"/>
  <c r="Z33" i="28"/>
  <c r="AU33" i="28" s="1"/>
  <c r="Z19" i="28"/>
  <c r="AU19" i="28" s="1"/>
  <c r="Z30" i="28"/>
  <c r="AU30" i="28" s="1"/>
  <c r="Z20" i="27"/>
  <c r="AU20" i="27" s="1"/>
  <c r="Z38" i="27"/>
  <c r="AU38" i="27" s="1"/>
  <c r="Z56" i="27"/>
  <c r="AU56" i="27" s="1"/>
  <c r="Z74" i="27"/>
  <c r="AU74" i="27" s="1"/>
  <c r="Z92" i="27"/>
  <c r="AU92" i="27" s="1"/>
  <c r="Z110" i="27"/>
  <c r="AU110" i="27" s="1"/>
  <c r="Z128" i="27"/>
  <c r="AU128" i="27" s="1"/>
  <c r="Z131" i="27"/>
  <c r="AU131" i="27" s="1"/>
  <c r="Z134" i="27"/>
  <c r="AU134" i="27" s="1"/>
  <c r="Z137" i="27"/>
  <c r="AU137" i="27" s="1"/>
  <c r="Z140" i="27"/>
  <c r="AU140" i="27" s="1"/>
  <c r="Z143" i="27"/>
  <c r="AU143" i="27" s="1"/>
  <c r="Z146" i="27"/>
  <c r="AU146" i="27" s="1"/>
  <c r="Z149" i="27"/>
  <c r="AU149" i="27" s="1"/>
  <c r="Z152" i="27"/>
  <c r="AU152" i="27" s="1"/>
  <c r="Z155" i="27"/>
  <c r="AU155" i="27" s="1"/>
  <c r="Z158" i="27"/>
  <c r="AU158" i="27" s="1"/>
  <c r="Z161" i="27"/>
  <c r="AU161" i="27" s="1"/>
  <c r="Z164" i="27"/>
  <c r="AU164" i="27" s="1"/>
  <c r="Z167" i="27"/>
  <c r="AU167" i="27" s="1"/>
  <c r="Z170" i="27"/>
  <c r="AU170" i="27" s="1"/>
  <c r="Z173" i="27"/>
  <c r="AU173" i="27" s="1"/>
  <c r="Z176" i="27"/>
  <c r="AU176" i="27" s="1"/>
  <c r="Z179" i="27"/>
  <c r="AU179" i="27" s="1"/>
  <c r="Z182" i="27"/>
  <c r="AU182" i="27" s="1"/>
  <c r="Z17" i="27"/>
  <c r="AU17" i="27" s="1"/>
  <c r="Z35" i="27"/>
  <c r="AU35" i="27" s="1"/>
  <c r="Z53" i="27"/>
  <c r="AU53" i="27" s="1"/>
  <c r="Z71" i="27"/>
  <c r="AU71" i="27" s="1"/>
  <c r="Z89" i="27"/>
  <c r="AU89" i="27" s="1"/>
  <c r="Z107" i="27"/>
  <c r="AU107" i="27" s="1"/>
  <c r="Z125" i="27"/>
  <c r="AU125" i="27" s="1"/>
  <c r="Z27" i="28"/>
  <c r="AU27" i="28" s="1"/>
  <c r="Z32" i="27"/>
  <c r="AU32" i="27" s="1"/>
  <c r="Z50" i="27"/>
  <c r="AU50" i="27" s="1"/>
  <c r="Z68" i="27"/>
  <c r="AU68" i="27" s="1"/>
  <c r="Z86" i="27"/>
  <c r="AU86" i="27" s="1"/>
  <c r="Z104" i="27"/>
  <c r="AU104" i="27" s="1"/>
  <c r="Z122" i="27"/>
  <c r="AU122" i="27" s="1"/>
  <c r="Z130" i="27"/>
  <c r="AU130" i="27" s="1"/>
  <c r="Z133" i="27"/>
  <c r="AU133" i="27" s="1"/>
  <c r="Z136" i="27"/>
  <c r="AU136" i="27" s="1"/>
  <c r="Z139" i="27"/>
  <c r="AU139" i="27" s="1"/>
  <c r="Z142" i="27"/>
  <c r="AU142" i="27" s="1"/>
  <c r="Z145" i="27"/>
  <c r="AU145" i="27" s="1"/>
  <c r="Z148" i="27"/>
  <c r="AU148" i="27" s="1"/>
  <c r="Z151" i="27"/>
  <c r="AU151" i="27" s="1"/>
  <c r="Z154" i="27"/>
  <c r="AU154" i="27" s="1"/>
  <c r="Z157" i="27"/>
  <c r="AU157" i="27" s="1"/>
  <c r="Z160" i="27"/>
  <c r="AU160" i="27" s="1"/>
  <c r="Z163" i="27"/>
  <c r="AU163" i="27" s="1"/>
  <c r="Z166" i="27"/>
  <c r="AU166" i="27" s="1"/>
  <c r="Z169" i="27"/>
  <c r="AU169" i="27" s="1"/>
  <c r="Z172" i="27"/>
  <c r="AU172" i="27" s="1"/>
  <c r="Z175" i="27"/>
  <c r="AU175" i="27" s="1"/>
  <c r="Z178" i="27"/>
  <c r="AU178" i="27" s="1"/>
  <c r="Z181" i="27"/>
  <c r="AU181" i="27" s="1"/>
  <c r="Z29" i="27"/>
  <c r="AU29" i="27" s="1"/>
  <c r="Z47" i="27"/>
  <c r="AU47" i="27" s="1"/>
  <c r="Z65" i="27"/>
  <c r="AU65" i="27" s="1"/>
  <c r="Z83" i="27"/>
  <c r="AU83" i="27" s="1"/>
  <c r="Z101" i="27"/>
  <c r="AU101" i="27" s="1"/>
  <c r="Z119" i="27"/>
  <c r="AU119" i="27" s="1"/>
  <c r="Z26" i="27"/>
  <c r="AU26" i="27" s="1"/>
  <c r="Z44" i="27"/>
  <c r="AU44" i="27" s="1"/>
  <c r="Z62" i="27"/>
  <c r="AU62" i="27" s="1"/>
  <c r="Z80" i="27"/>
  <c r="AU80" i="27" s="1"/>
  <c r="Z98" i="27"/>
  <c r="AU98" i="27" s="1"/>
  <c r="Z116" i="27"/>
  <c r="AU116" i="27" s="1"/>
  <c r="Z129" i="27"/>
  <c r="AU129" i="27" s="1"/>
  <c r="Z132" i="27"/>
  <c r="AU132" i="27" s="1"/>
  <c r="Z135" i="27"/>
  <c r="AU135" i="27" s="1"/>
  <c r="Z138" i="27"/>
  <c r="AU138" i="27" s="1"/>
  <c r="Z141" i="27"/>
  <c r="AU141" i="27" s="1"/>
  <c r="Z144" i="27"/>
  <c r="AU144" i="27" s="1"/>
  <c r="Z147" i="27"/>
  <c r="AU147" i="27" s="1"/>
  <c r="Z150" i="27"/>
  <c r="AU150" i="27" s="1"/>
  <c r="Z153" i="27"/>
  <c r="AU153" i="27" s="1"/>
  <c r="Z156" i="27"/>
  <c r="AU156" i="27" s="1"/>
  <c r="Z159" i="27"/>
  <c r="AU159" i="27" s="1"/>
  <c r="Z162" i="27"/>
  <c r="AU162" i="27" s="1"/>
  <c r="Z165" i="27"/>
  <c r="AU165" i="27" s="1"/>
  <c r="Z168" i="27"/>
  <c r="AU168" i="27" s="1"/>
  <c r="Z171" i="27"/>
  <c r="AU171" i="27" s="1"/>
  <c r="Z174" i="27"/>
  <c r="AU174" i="27" s="1"/>
  <c r="Z177" i="27"/>
  <c r="AU177" i="27" s="1"/>
  <c r="Z180" i="27"/>
  <c r="AU180" i="27" s="1"/>
  <c r="Z23" i="27"/>
  <c r="AU23" i="27" s="1"/>
  <c r="Z41" i="27"/>
  <c r="AU41" i="27" s="1"/>
  <c r="Z59" i="27"/>
  <c r="AU59" i="27" s="1"/>
  <c r="Z77" i="27"/>
  <c r="AU77" i="27" s="1"/>
  <c r="Z95" i="27"/>
  <c r="AU95" i="27" s="1"/>
  <c r="Z113" i="27"/>
  <c r="AU113" i="27" s="1"/>
  <c r="Z19" i="26"/>
  <c r="AU19" i="26" s="1"/>
  <c r="Z22" i="26"/>
  <c r="AU22" i="26" s="1"/>
  <c r="Z25" i="26"/>
  <c r="AU25" i="26" s="1"/>
  <c r="Z28" i="26"/>
  <c r="AU28" i="26" s="1"/>
  <c r="Z31" i="26"/>
  <c r="AU31" i="26" s="1"/>
  <c r="Z34" i="26"/>
  <c r="AU34" i="26" s="1"/>
  <c r="Z37" i="26"/>
  <c r="AU37" i="26" s="1"/>
  <c r="Z40" i="26"/>
  <c r="AU40" i="26" s="1"/>
  <c r="Z43" i="26"/>
  <c r="AU43" i="26" s="1"/>
  <c r="Z46" i="26"/>
  <c r="AU46" i="26" s="1"/>
  <c r="Z49" i="26"/>
  <c r="AU49" i="26" s="1"/>
  <c r="Z52" i="26"/>
  <c r="AU52" i="26" s="1"/>
  <c r="Z55" i="26"/>
  <c r="AU55" i="26" s="1"/>
  <c r="Z58" i="26"/>
  <c r="AU58" i="26" s="1"/>
  <c r="Z61" i="26"/>
  <c r="AU61" i="26" s="1"/>
  <c r="Z64" i="26"/>
  <c r="AU64" i="26" s="1"/>
  <c r="Z67" i="26"/>
  <c r="AU67" i="26" s="1"/>
  <c r="Z70" i="26"/>
  <c r="AU70" i="26" s="1"/>
  <c r="Z73" i="26"/>
  <c r="AU73" i="26" s="1"/>
  <c r="Z76" i="26"/>
  <c r="AU76" i="26" s="1"/>
  <c r="Z79" i="26"/>
  <c r="AU79" i="26" s="1"/>
  <c r="Z82" i="26"/>
  <c r="AU82" i="26" s="1"/>
  <c r="Z85" i="26"/>
  <c r="AU85" i="26" s="1"/>
  <c r="Z88" i="26"/>
  <c r="AU88" i="26" s="1"/>
  <c r="Z91" i="26"/>
  <c r="AU91" i="26" s="1"/>
  <c r="Z94" i="26"/>
  <c r="AU94" i="26" s="1"/>
  <c r="Z97" i="26"/>
  <c r="AU97" i="26" s="1"/>
  <c r="Z100" i="26"/>
  <c r="AU100" i="26" s="1"/>
  <c r="Z103" i="26"/>
  <c r="AU103" i="26" s="1"/>
  <c r="Z106" i="26"/>
  <c r="AU106" i="26" s="1"/>
  <c r="Z109" i="26"/>
  <c r="AU109" i="26" s="1"/>
  <c r="Z112" i="26"/>
  <c r="AU112" i="26" s="1"/>
  <c r="Z115" i="26"/>
  <c r="AU115" i="26" s="1"/>
  <c r="Z118" i="26"/>
  <c r="AU118" i="26" s="1"/>
  <c r="Z121" i="26"/>
  <c r="AU121" i="26" s="1"/>
  <c r="Z124" i="26"/>
  <c r="AU124" i="26" s="1"/>
  <c r="Z127" i="26"/>
  <c r="AU127" i="26" s="1"/>
  <c r="Z130" i="26"/>
  <c r="AU130" i="26" s="1"/>
  <c r="Z133" i="26"/>
  <c r="AU133" i="26" s="1"/>
  <c r="Z17" i="25"/>
  <c r="AU17" i="25" s="1"/>
  <c r="Z20" i="25"/>
  <c r="AU20" i="25" s="1"/>
  <c r="Z23" i="25"/>
  <c r="AU23" i="25" s="1"/>
  <c r="Z26" i="25"/>
  <c r="AU26" i="25" s="1"/>
  <c r="Z29" i="25"/>
  <c r="AU29" i="25" s="1"/>
  <c r="Z32" i="25"/>
  <c r="AU32" i="25" s="1"/>
  <c r="Z35" i="25"/>
  <c r="AU35" i="25" s="1"/>
  <c r="Z38" i="25"/>
  <c r="AU38" i="25" s="1"/>
  <c r="Z41" i="25"/>
  <c r="AU41" i="25" s="1"/>
  <c r="Z44" i="25"/>
  <c r="AU44" i="25" s="1"/>
  <c r="Z47" i="25"/>
  <c r="AU47" i="25" s="1"/>
  <c r="Z50" i="25"/>
  <c r="AU50" i="25" s="1"/>
  <c r="Z53" i="25"/>
  <c r="AU53" i="25" s="1"/>
  <c r="Z56" i="25"/>
  <c r="AU56" i="25" s="1"/>
  <c r="Z59" i="25"/>
  <c r="AU59" i="25" s="1"/>
  <c r="Z62" i="25"/>
  <c r="AU62" i="25" s="1"/>
  <c r="Z18" i="26"/>
  <c r="AU18" i="26" s="1"/>
  <c r="Z21" i="26"/>
  <c r="AU21" i="26" s="1"/>
  <c r="Z24" i="26"/>
  <c r="AU24" i="26" s="1"/>
  <c r="Z27" i="26"/>
  <c r="AU27" i="26" s="1"/>
  <c r="Z30" i="26"/>
  <c r="AU30" i="26" s="1"/>
  <c r="Z33" i="26"/>
  <c r="AU33" i="26" s="1"/>
  <c r="Z36" i="26"/>
  <c r="AU36" i="26" s="1"/>
  <c r="Z39" i="26"/>
  <c r="AU39" i="26" s="1"/>
  <c r="Z42" i="26"/>
  <c r="AU42" i="26" s="1"/>
  <c r="Z45" i="26"/>
  <c r="AU45" i="26" s="1"/>
  <c r="Z48" i="26"/>
  <c r="AU48" i="26" s="1"/>
  <c r="Z51" i="26"/>
  <c r="AU51" i="26" s="1"/>
  <c r="Z54" i="26"/>
  <c r="AU54" i="26" s="1"/>
  <c r="Z57" i="26"/>
  <c r="AU57" i="26" s="1"/>
  <c r="Z60" i="26"/>
  <c r="AU60" i="26" s="1"/>
  <c r="Z63" i="26"/>
  <c r="AU63" i="26" s="1"/>
  <c r="Z66" i="26"/>
  <c r="AU66" i="26" s="1"/>
  <c r="Z69" i="26"/>
  <c r="AU69" i="26" s="1"/>
  <c r="Z72" i="26"/>
  <c r="AU72" i="26" s="1"/>
  <c r="Z75" i="26"/>
  <c r="AU75" i="26" s="1"/>
  <c r="Z78" i="26"/>
  <c r="AU78" i="26" s="1"/>
  <c r="Z81" i="26"/>
  <c r="AU81" i="26" s="1"/>
  <c r="Z84" i="26"/>
  <c r="AU84" i="26" s="1"/>
  <c r="Z87" i="26"/>
  <c r="AU87" i="26" s="1"/>
  <c r="Z90" i="26"/>
  <c r="AU90" i="26" s="1"/>
  <c r="Z93" i="26"/>
  <c r="AU93" i="26" s="1"/>
  <c r="Z96" i="26"/>
  <c r="AU96" i="26" s="1"/>
  <c r="Z99" i="26"/>
  <c r="AU99" i="26" s="1"/>
  <c r="Z102" i="26"/>
  <c r="AU102" i="26" s="1"/>
  <c r="Z105" i="26"/>
  <c r="AU105" i="26" s="1"/>
  <c r="Z108" i="26"/>
  <c r="AU108" i="26" s="1"/>
  <c r="Z111" i="26"/>
  <c r="AU111" i="26" s="1"/>
  <c r="Z114" i="26"/>
  <c r="AU114" i="26" s="1"/>
  <c r="Z117" i="26"/>
  <c r="AU117" i="26" s="1"/>
  <c r="Z120" i="26"/>
  <c r="AU120" i="26" s="1"/>
  <c r="Z123" i="26"/>
  <c r="AU123" i="26" s="1"/>
  <c r="Z126" i="26"/>
  <c r="AU126" i="26" s="1"/>
  <c r="Z129" i="26"/>
  <c r="AU129" i="26" s="1"/>
  <c r="Z132" i="26"/>
  <c r="AU132" i="26" s="1"/>
  <c r="Z135" i="26"/>
  <c r="AU135" i="26" s="1"/>
  <c r="Z19" i="25"/>
  <c r="AU19" i="25" s="1"/>
  <c r="Z22" i="25"/>
  <c r="AU22" i="25" s="1"/>
  <c r="Z25" i="25"/>
  <c r="AU25" i="25" s="1"/>
  <c r="Z28" i="25"/>
  <c r="AU28" i="25" s="1"/>
  <c r="Z31" i="25"/>
  <c r="AU31" i="25" s="1"/>
  <c r="Z34" i="25"/>
  <c r="AU34" i="25" s="1"/>
  <c r="Z37" i="25"/>
  <c r="AU37" i="25" s="1"/>
  <c r="Z40" i="25"/>
  <c r="AU40" i="25" s="1"/>
  <c r="Z43" i="25"/>
  <c r="AU43" i="25" s="1"/>
  <c r="Z46" i="25"/>
  <c r="AU46" i="25" s="1"/>
  <c r="Z49" i="25"/>
  <c r="AU49" i="25" s="1"/>
  <c r="Z52" i="25"/>
  <c r="AU52" i="25" s="1"/>
  <c r="Z55" i="25"/>
  <c r="AU55" i="25" s="1"/>
  <c r="Z58" i="25"/>
  <c r="AU58" i="25" s="1"/>
  <c r="Z61" i="25"/>
  <c r="AU61" i="25" s="1"/>
  <c r="Z64" i="25"/>
  <c r="AU64" i="25" s="1"/>
  <c r="Z17" i="24"/>
  <c r="AU17" i="24" s="1"/>
  <c r="Z20" i="24"/>
  <c r="AU20" i="24" s="1"/>
  <c r="Z23" i="24"/>
  <c r="AU23" i="24" s="1"/>
  <c r="Z26" i="24"/>
  <c r="AU26" i="24" s="1"/>
  <c r="Z29" i="24"/>
  <c r="AU29" i="24" s="1"/>
  <c r="Z32" i="24"/>
  <c r="AU32" i="24" s="1"/>
  <c r="Z35" i="24"/>
  <c r="AU35" i="24" s="1"/>
  <c r="Z38" i="24"/>
  <c r="AU38" i="24" s="1"/>
  <c r="Z41" i="24"/>
  <c r="AU41" i="24" s="1"/>
  <c r="Z44" i="24"/>
  <c r="AU44" i="24" s="1"/>
  <c r="Z47" i="24"/>
  <c r="AU47" i="24" s="1"/>
  <c r="Z50" i="24"/>
  <c r="AU50" i="24" s="1"/>
  <c r="Z53" i="24"/>
  <c r="AU53" i="24" s="1"/>
  <c r="Z56" i="24"/>
  <c r="AU56" i="24" s="1"/>
  <c r="Z59" i="24"/>
  <c r="AU59" i="24" s="1"/>
  <c r="Z62" i="24"/>
  <c r="AU62" i="24" s="1"/>
  <c r="Z23" i="26"/>
  <c r="AU23" i="26" s="1"/>
  <c r="Z41" i="26"/>
  <c r="AU41" i="26" s="1"/>
  <c r="Z59" i="26"/>
  <c r="AU59" i="26" s="1"/>
  <c r="Z77" i="26"/>
  <c r="AU77" i="26" s="1"/>
  <c r="Z95" i="26"/>
  <c r="AU95" i="26" s="1"/>
  <c r="Z113" i="26"/>
  <c r="AU113" i="26" s="1"/>
  <c r="Z131" i="26"/>
  <c r="AU131" i="26" s="1"/>
  <c r="Z30" i="25"/>
  <c r="AU30" i="25" s="1"/>
  <c r="Z48" i="25"/>
  <c r="AU48" i="25" s="1"/>
  <c r="Z66" i="25"/>
  <c r="AU66" i="25" s="1"/>
  <c r="Z69" i="25"/>
  <c r="AU69" i="25" s="1"/>
  <c r="Z72" i="25"/>
  <c r="AU72" i="25" s="1"/>
  <c r="Z75" i="25"/>
  <c r="AU75" i="25" s="1"/>
  <c r="Z78" i="25"/>
  <c r="AU78" i="25" s="1"/>
  <c r="Z81" i="25"/>
  <c r="AU81" i="25" s="1"/>
  <c r="Z84" i="25"/>
  <c r="AU84" i="25" s="1"/>
  <c r="Z87" i="25"/>
  <c r="AU87" i="25" s="1"/>
  <c r="Z90" i="25"/>
  <c r="AU90" i="25" s="1"/>
  <c r="Z93" i="25"/>
  <c r="AU93" i="25" s="1"/>
  <c r="Z96" i="25"/>
  <c r="AU96" i="25" s="1"/>
  <c r="Z99" i="25"/>
  <c r="AU99" i="25" s="1"/>
  <c r="Z102" i="25"/>
  <c r="AU102" i="25" s="1"/>
  <c r="Z105" i="25"/>
  <c r="AU105" i="25" s="1"/>
  <c r="Z108" i="25"/>
  <c r="AU108" i="25" s="1"/>
  <c r="Z111" i="25"/>
  <c r="AU111" i="25" s="1"/>
  <c r="Z20" i="26"/>
  <c r="AU20" i="26" s="1"/>
  <c r="Z38" i="26"/>
  <c r="AU38" i="26" s="1"/>
  <c r="Z56" i="26"/>
  <c r="AU56" i="26" s="1"/>
  <c r="Z74" i="26"/>
  <c r="AU74" i="26" s="1"/>
  <c r="Z92" i="26"/>
  <c r="AU92" i="26" s="1"/>
  <c r="Z110" i="26"/>
  <c r="AU110" i="26" s="1"/>
  <c r="Z128" i="26"/>
  <c r="AU128" i="26" s="1"/>
  <c r="Z27" i="25"/>
  <c r="AU27" i="25" s="1"/>
  <c r="Z45" i="25"/>
  <c r="AU45" i="25" s="1"/>
  <c r="Z63" i="25"/>
  <c r="AU63" i="25" s="1"/>
  <c r="Z19" i="24"/>
  <c r="AU19" i="24" s="1"/>
  <c r="Z22" i="24"/>
  <c r="AU22" i="24" s="1"/>
  <c r="Z25" i="24"/>
  <c r="AU25" i="24" s="1"/>
  <c r="Z28" i="24"/>
  <c r="AU28" i="24" s="1"/>
  <c r="Z31" i="24"/>
  <c r="AU31" i="24" s="1"/>
  <c r="Z34" i="24"/>
  <c r="AU34" i="24" s="1"/>
  <c r="Z37" i="24"/>
  <c r="AU37" i="24" s="1"/>
  <c r="Z40" i="24"/>
  <c r="AU40" i="24" s="1"/>
  <c r="Z43" i="24"/>
  <c r="AU43" i="24" s="1"/>
  <c r="Z46" i="24"/>
  <c r="AU46" i="24" s="1"/>
  <c r="Z49" i="24"/>
  <c r="AU49" i="24" s="1"/>
  <c r="Z52" i="24"/>
  <c r="AU52" i="24" s="1"/>
  <c r="Z55" i="24"/>
  <c r="AU55" i="24" s="1"/>
  <c r="Z58" i="24"/>
  <c r="AU58" i="24" s="1"/>
  <c r="Z61" i="24"/>
  <c r="AU61" i="24" s="1"/>
  <c r="Z17" i="26"/>
  <c r="AU17" i="26" s="1"/>
  <c r="Z35" i="26"/>
  <c r="AU35" i="26" s="1"/>
  <c r="Z53" i="26"/>
  <c r="AU53" i="26" s="1"/>
  <c r="Z71" i="26"/>
  <c r="AU71" i="26" s="1"/>
  <c r="Z89" i="26"/>
  <c r="AU89" i="26" s="1"/>
  <c r="Z107" i="26"/>
  <c r="AU107" i="26" s="1"/>
  <c r="Z125" i="26"/>
  <c r="AU125" i="26" s="1"/>
  <c r="Z24" i="25"/>
  <c r="AU24" i="25" s="1"/>
  <c r="Z42" i="25"/>
  <c r="AU42" i="25" s="1"/>
  <c r="Z60" i="25"/>
  <c r="AU60" i="25" s="1"/>
  <c r="Z65" i="25"/>
  <c r="AU65" i="25" s="1"/>
  <c r="Z68" i="25"/>
  <c r="AU68" i="25" s="1"/>
  <c r="Z71" i="25"/>
  <c r="AU71" i="25" s="1"/>
  <c r="Z74" i="25"/>
  <c r="AU74" i="25" s="1"/>
  <c r="Z77" i="25"/>
  <c r="AU77" i="25" s="1"/>
  <c r="Z80" i="25"/>
  <c r="AU80" i="25" s="1"/>
  <c r="Z83" i="25"/>
  <c r="AU83" i="25" s="1"/>
  <c r="Z86" i="25"/>
  <c r="AU86" i="25" s="1"/>
  <c r="Z89" i="25"/>
  <c r="AU89" i="25" s="1"/>
  <c r="Z92" i="25"/>
  <c r="AU92" i="25" s="1"/>
  <c r="Z95" i="25"/>
  <c r="AU95" i="25" s="1"/>
  <c r="Z98" i="25"/>
  <c r="AU98" i="25" s="1"/>
  <c r="Z101" i="25"/>
  <c r="AU101" i="25" s="1"/>
  <c r="Z104" i="25"/>
  <c r="AU104" i="25" s="1"/>
  <c r="Z107" i="25"/>
  <c r="AU107" i="25" s="1"/>
  <c r="Z110" i="25"/>
  <c r="AU110" i="25" s="1"/>
  <c r="Z32" i="26"/>
  <c r="AU32" i="26" s="1"/>
  <c r="Z50" i="26"/>
  <c r="AU50" i="26" s="1"/>
  <c r="Z68" i="26"/>
  <c r="AU68" i="26" s="1"/>
  <c r="Z86" i="26"/>
  <c r="AU86" i="26" s="1"/>
  <c r="Z104" i="26"/>
  <c r="AU104" i="26" s="1"/>
  <c r="Z122" i="26"/>
  <c r="AU122" i="26" s="1"/>
  <c r="Z21" i="25"/>
  <c r="AU21" i="25" s="1"/>
  <c r="Z39" i="25"/>
  <c r="AU39" i="25" s="1"/>
  <c r="Z57" i="25"/>
  <c r="AU57" i="25" s="1"/>
  <c r="Z18" i="24"/>
  <c r="AU18" i="24" s="1"/>
  <c r="Z21" i="24"/>
  <c r="AU21" i="24" s="1"/>
  <c r="Z24" i="24"/>
  <c r="AU24" i="24" s="1"/>
  <c r="Z27" i="24"/>
  <c r="AU27" i="24" s="1"/>
  <c r="Z30" i="24"/>
  <c r="AU30" i="24" s="1"/>
  <c r="Z33" i="24"/>
  <c r="AU33" i="24" s="1"/>
  <c r="Z36" i="24"/>
  <c r="AU36" i="24" s="1"/>
  <c r="Z39" i="24"/>
  <c r="AU39" i="24" s="1"/>
  <c r="Z42" i="24"/>
  <c r="AU42" i="24" s="1"/>
  <c r="Z45" i="24"/>
  <c r="AU45" i="24" s="1"/>
  <c r="Z48" i="24"/>
  <c r="AU48" i="24" s="1"/>
  <c r="Z51" i="24"/>
  <c r="AU51" i="24" s="1"/>
  <c r="Z54" i="24"/>
  <c r="AU54" i="24" s="1"/>
  <c r="Z57" i="24"/>
  <c r="AU57" i="24" s="1"/>
  <c r="Z60" i="24"/>
  <c r="AU60" i="24" s="1"/>
  <c r="Z67" i="25"/>
  <c r="AU67" i="25" s="1"/>
  <c r="Z70" i="25"/>
  <c r="AU70" i="25" s="1"/>
  <c r="Z73" i="25"/>
  <c r="AU73" i="25" s="1"/>
  <c r="Z76" i="25"/>
  <c r="AU76" i="25" s="1"/>
  <c r="Z79" i="25"/>
  <c r="AU79" i="25" s="1"/>
  <c r="Z82" i="25"/>
  <c r="AU82" i="25" s="1"/>
  <c r="Z85" i="25"/>
  <c r="AU85" i="25" s="1"/>
  <c r="Z88" i="25"/>
  <c r="AU88" i="25" s="1"/>
  <c r="Z91" i="25"/>
  <c r="AU91" i="25" s="1"/>
  <c r="Z94" i="25"/>
  <c r="AU94" i="25" s="1"/>
  <c r="Z97" i="25"/>
  <c r="AU97" i="25" s="1"/>
  <c r="Z100" i="25"/>
  <c r="AU100" i="25" s="1"/>
  <c r="Z103" i="25"/>
  <c r="AU103" i="25" s="1"/>
  <c r="Z106" i="25"/>
  <c r="AU106" i="25" s="1"/>
  <c r="Z109" i="25"/>
  <c r="AU109" i="25" s="1"/>
  <c r="Z112" i="25"/>
  <c r="AU112" i="25" s="1"/>
  <c r="Z26" i="26"/>
  <c r="AU26" i="26" s="1"/>
  <c r="Z44" i="26"/>
  <c r="AU44" i="26" s="1"/>
  <c r="Z62" i="26"/>
  <c r="AU62" i="26" s="1"/>
  <c r="Z80" i="26"/>
  <c r="AU80" i="26" s="1"/>
  <c r="Z98" i="26"/>
  <c r="AU98" i="26" s="1"/>
  <c r="Z116" i="26"/>
  <c r="AU116" i="26" s="1"/>
  <c r="Z134" i="26"/>
  <c r="AU134" i="26" s="1"/>
  <c r="Z33" i="25"/>
  <c r="AU33" i="25" s="1"/>
  <c r="Z51" i="25"/>
  <c r="AU51" i="25" s="1"/>
  <c r="Z47" i="26"/>
  <c r="AU47" i="26" s="1"/>
  <c r="Z83" i="26"/>
  <c r="AU83" i="26" s="1"/>
  <c r="Z119" i="26"/>
  <c r="AU119" i="26" s="1"/>
  <c r="Z36" i="25"/>
  <c r="AU36" i="25" s="1"/>
  <c r="Z29" i="26"/>
  <c r="AU29" i="26" s="1"/>
  <c r="Z65" i="26"/>
  <c r="AU65" i="26" s="1"/>
  <c r="Z101" i="26"/>
  <c r="AU101" i="26" s="1"/>
  <c r="Z18" i="25"/>
  <c r="AU18" i="25" s="1"/>
  <c r="Z54" i="25"/>
  <c r="AU54" i="25" s="1"/>
  <c r="AU158" i="24"/>
  <c r="AU345" i="24"/>
  <c r="AU290" i="24"/>
  <c r="AU223" i="24"/>
  <c r="AU276" i="24"/>
  <c r="AU261" i="24"/>
  <c r="AU257" i="24"/>
  <c r="AU322" i="24"/>
  <c r="AU178" i="24"/>
  <c r="AU303" i="24"/>
  <c r="AU224" i="24"/>
  <c r="AU349" i="24"/>
  <c r="AU234" i="24"/>
  <c r="AU90" i="24"/>
  <c r="AU299" i="24"/>
  <c r="AU325" i="24"/>
  <c r="AU268" i="24"/>
  <c r="AU95" i="24"/>
  <c r="AU100" i="24"/>
  <c r="AU93" i="24"/>
  <c r="AU357" i="25"/>
  <c r="AU321" i="25"/>
  <c r="AU285" i="25"/>
  <c r="AU249" i="25"/>
  <c r="AU213" i="25"/>
  <c r="AU103" i="24"/>
  <c r="AU185" i="24"/>
  <c r="AU379" i="25"/>
  <c r="AU343" i="25"/>
  <c r="AU307" i="25"/>
  <c r="AU271" i="25"/>
  <c r="AU235" i="25"/>
  <c r="AU199" i="25"/>
  <c r="AU183" i="24"/>
  <c r="AU188" i="24"/>
  <c r="AU181" i="24"/>
  <c r="AU377" i="25"/>
  <c r="AU341" i="25"/>
  <c r="AU305" i="25"/>
  <c r="AU269" i="25"/>
  <c r="AU233" i="25"/>
  <c r="AU197" i="25"/>
  <c r="AU161" i="25"/>
  <c r="AU125" i="25"/>
  <c r="AU168" i="25"/>
  <c r="AU132" i="25"/>
  <c r="AU332" i="26"/>
  <c r="AU296" i="26"/>
  <c r="AU260" i="26"/>
  <c r="AU178" i="25"/>
  <c r="AU142" i="25"/>
  <c r="AU384" i="26"/>
  <c r="AU379" i="26"/>
  <c r="AU348" i="26"/>
  <c r="AU312" i="26"/>
  <c r="AU276" i="26"/>
  <c r="AU240" i="26"/>
  <c r="AU204" i="26"/>
  <c r="AU168" i="26"/>
  <c r="AU349" i="26"/>
  <c r="AU313" i="26"/>
  <c r="AU277" i="26"/>
  <c r="AU241" i="26"/>
  <c r="AU205" i="26"/>
  <c r="AU169" i="26"/>
  <c r="AU236" i="26"/>
  <c r="AU200" i="26"/>
  <c r="AU161" i="26"/>
  <c r="AU342" i="27"/>
  <c r="AU198" i="27"/>
  <c r="AU263" i="27"/>
  <c r="AU316" i="27"/>
  <c r="AU237" i="27"/>
  <c r="AU290" i="27"/>
  <c r="AU343" i="27"/>
  <c r="AU199" i="27"/>
  <c r="AU264" i="27"/>
  <c r="AU341" i="27"/>
  <c r="AU197" i="27"/>
  <c r="AU262" i="27"/>
  <c r="AU336" i="28"/>
  <c r="AU285" i="24"/>
  <c r="AU278" i="24"/>
  <c r="AU355" i="24"/>
  <c r="AU211" i="24"/>
  <c r="AU273" i="24"/>
  <c r="AU266" i="24"/>
  <c r="AU343" i="24"/>
  <c r="AU199" i="24"/>
  <c r="AU237" i="24"/>
  <c r="AU254" i="24"/>
  <c r="AU331" i="24"/>
  <c r="AU225" i="24"/>
  <c r="AU242" i="24"/>
  <c r="AU319" i="24"/>
  <c r="AU228" i="24"/>
  <c r="AU353" i="24"/>
  <c r="AU209" i="24"/>
  <c r="AU274" i="24"/>
  <c r="AU249" i="24"/>
  <c r="AU255" i="24"/>
  <c r="AU320" i="24"/>
  <c r="AU361" i="24"/>
  <c r="AU330" i="24"/>
  <c r="AU186" i="24"/>
  <c r="AU354" i="24"/>
  <c r="AU251" i="24"/>
  <c r="AU364" i="24"/>
  <c r="AU220" i="24"/>
  <c r="AU196" i="24"/>
  <c r="AU189" i="24"/>
  <c r="AU345" i="25"/>
  <c r="AU309" i="25"/>
  <c r="AU273" i="25"/>
  <c r="AU237" i="25"/>
  <c r="AU201" i="25"/>
  <c r="AU74" i="24"/>
  <c r="AU137" i="24"/>
  <c r="AU331" i="25"/>
  <c r="AU295" i="25"/>
  <c r="AU259" i="25"/>
  <c r="AU223" i="25"/>
  <c r="AU118" i="24"/>
  <c r="AU135" i="24"/>
  <c r="AU140" i="24"/>
  <c r="AU133" i="24"/>
  <c r="AU365" i="25"/>
  <c r="AU329" i="25"/>
  <c r="AU293" i="25"/>
  <c r="AU257" i="25"/>
  <c r="AU221" i="25"/>
  <c r="AU149" i="25"/>
  <c r="AU192" i="25"/>
  <c r="AU156" i="25"/>
  <c r="AU120" i="25"/>
  <c r="AU356" i="26"/>
  <c r="AU320" i="26"/>
  <c r="AU284" i="26"/>
  <c r="AU248" i="26"/>
  <c r="AU166" i="25"/>
  <c r="AU130" i="25"/>
  <c r="AU336" i="26"/>
  <c r="AU300" i="26"/>
  <c r="AU264" i="26"/>
  <c r="AU228" i="26"/>
  <c r="AU192" i="26"/>
  <c r="AU337" i="26"/>
  <c r="AU301" i="26"/>
  <c r="AU265" i="26"/>
  <c r="AU229" i="26"/>
  <c r="AU193" i="26"/>
  <c r="AU224" i="26"/>
  <c r="AU188" i="26"/>
  <c r="AU294" i="27"/>
  <c r="AU359" i="27"/>
  <c r="AU215" i="27"/>
  <c r="AU333" i="27"/>
  <c r="AU189" i="27"/>
  <c r="AU242" i="27"/>
  <c r="AU295" i="27"/>
  <c r="AU360" i="27"/>
  <c r="AU216" i="27"/>
  <c r="AU293" i="27"/>
  <c r="AU358" i="27"/>
  <c r="AU214" i="27"/>
  <c r="AU360" i="28"/>
  <c r="AU324" i="28"/>
  <c r="AU291" i="27"/>
  <c r="AU356" i="27"/>
  <c r="AU212" i="27"/>
  <c r="AU265" i="27"/>
  <c r="AU294" i="28"/>
  <c r="AU258" i="28"/>
  <c r="AU222" i="28"/>
  <c r="AU331" i="28"/>
  <c r="AU295" i="28"/>
  <c r="AU259" i="28"/>
  <c r="AU223" i="28"/>
  <c r="AU335" i="28"/>
  <c r="AU299" i="28"/>
  <c r="AU263" i="28"/>
  <c r="AU227" i="28"/>
  <c r="AU230" i="24"/>
  <c r="AU307" i="24"/>
  <c r="AU360" i="24"/>
  <c r="AU216" i="24"/>
  <c r="AU341" i="24"/>
  <c r="AU262" i="24"/>
  <c r="AU384" i="24"/>
  <c r="AU243" i="24"/>
  <c r="AU308" i="24"/>
  <c r="AU277" i="24"/>
  <c r="AU318" i="24"/>
  <c r="AU174" i="24"/>
  <c r="AU383" i="24"/>
  <c r="AU239" i="24"/>
  <c r="AU352" i="24"/>
  <c r="AU208" i="24"/>
  <c r="AU184" i="24"/>
  <c r="AU177" i="24"/>
  <c r="AU378" i="25"/>
  <c r="AU342" i="25"/>
  <c r="AU306" i="25"/>
  <c r="AU270" i="25"/>
  <c r="AU234" i="25"/>
  <c r="AU198" i="25"/>
  <c r="AU187" i="24"/>
  <c r="AU132" i="24"/>
  <c r="AU364" i="25"/>
  <c r="AU328" i="25"/>
  <c r="AU292" i="25"/>
  <c r="AU256" i="25"/>
  <c r="AU220" i="25"/>
  <c r="AU106" i="24"/>
  <c r="AU326" i="25"/>
  <c r="AU290" i="25"/>
  <c r="AU254" i="25"/>
  <c r="AU218" i="25"/>
  <c r="AU146" i="25"/>
  <c r="AU153" i="25"/>
  <c r="AU117" i="25"/>
  <c r="AU353" i="26"/>
  <c r="AU317" i="26"/>
  <c r="AU281" i="26"/>
  <c r="AU245" i="26"/>
  <c r="AU163" i="25"/>
  <c r="AU127" i="25"/>
  <c r="AU364" i="26"/>
  <c r="AU333" i="26"/>
  <c r="AU297" i="26"/>
  <c r="AU261" i="26"/>
  <c r="AU189" i="26"/>
  <c r="AU334" i="26"/>
  <c r="AU298" i="26"/>
  <c r="AU262" i="26"/>
  <c r="AU226" i="26"/>
  <c r="AU190" i="26"/>
  <c r="AU221" i="26"/>
  <c r="AU185" i="26"/>
  <c r="AU282" i="27"/>
  <c r="AU347" i="27"/>
  <c r="AU203" i="27"/>
  <c r="AU256" i="27"/>
  <c r="AU321" i="27"/>
  <c r="AU230" i="27"/>
  <c r="AU283" i="27"/>
  <c r="AU348" i="27"/>
  <c r="AU204" i="27"/>
  <c r="AU281" i="27"/>
  <c r="AU346" i="27"/>
  <c r="AU202" i="27"/>
  <c r="AU357" i="28"/>
  <c r="AU321" i="28"/>
  <c r="AU279" i="27"/>
  <c r="AU344" i="27"/>
  <c r="AU200" i="27"/>
  <c r="AU253" i="27"/>
  <c r="AU291" i="28"/>
  <c r="AU255" i="28"/>
  <c r="AU219" i="28"/>
  <c r="AU364" i="28"/>
  <c r="AU328" i="28"/>
  <c r="AU292" i="28"/>
  <c r="AU256" i="28"/>
  <c r="AU220" i="28"/>
  <c r="AU332" i="28"/>
  <c r="AU260" i="28"/>
  <c r="AU224" i="28"/>
  <c r="AU218" i="24"/>
  <c r="AU295" i="24"/>
  <c r="AU348" i="24"/>
  <c r="AU204" i="24"/>
  <c r="AU329" i="24"/>
  <c r="AU297" i="24"/>
  <c r="AU250" i="24"/>
  <c r="AU231" i="24"/>
  <c r="AU296" i="24"/>
  <c r="AU265" i="24"/>
  <c r="AU306" i="24"/>
  <c r="AU162" i="24"/>
  <c r="AU227" i="24"/>
  <c r="AU340" i="24"/>
  <c r="AU167" i="24"/>
  <c r="AU172" i="24"/>
  <c r="AU165" i="24"/>
  <c r="AU339" i="25"/>
  <c r="AU303" i="25"/>
  <c r="AU267" i="25"/>
  <c r="AU231" i="25"/>
  <c r="AU195" i="25"/>
  <c r="AU175" i="24"/>
  <c r="AU113" i="24"/>
  <c r="AU361" i="25"/>
  <c r="AU325" i="25"/>
  <c r="AU289" i="25"/>
  <c r="AU253" i="25"/>
  <c r="AU217" i="25"/>
  <c r="AU94" i="24"/>
  <c r="AU111" i="24"/>
  <c r="AU116" i="24"/>
  <c r="AU109" i="24"/>
  <c r="AU359" i="25"/>
  <c r="AU323" i="25"/>
  <c r="AU287" i="25"/>
  <c r="AU251" i="25"/>
  <c r="AU215" i="25"/>
  <c r="AU179" i="25"/>
  <c r="AU143" i="25"/>
  <c r="AU150" i="25"/>
  <c r="AU114" i="25"/>
  <c r="AU350" i="26"/>
  <c r="AU314" i="26"/>
  <c r="AU278" i="26"/>
  <c r="AU242" i="26"/>
  <c r="AU160" i="25"/>
  <c r="AU124" i="25"/>
  <c r="AU361" i="26"/>
  <c r="AU330" i="26"/>
  <c r="AU294" i="26"/>
  <c r="AU258" i="26"/>
  <c r="AU222" i="26"/>
  <c r="AU186" i="26"/>
  <c r="AU331" i="26"/>
  <c r="AU295" i="26"/>
  <c r="AU259" i="26"/>
  <c r="AU223" i="26"/>
  <c r="AU187" i="26"/>
  <c r="AU218" i="26"/>
  <c r="AU182" i="26"/>
  <c r="AU335" i="27"/>
  <c r="AU191" i="27"/>
  <c r="AU244" i="27"/>
  <c r="AU309" i="27"/>
  <c r="AU218" i="27"/>
  <c r="AU336" i="27"/>
  <c r="AU192" i="27"/>
  <c r="AU334" i="27"/>
  <c r="AU190" i="27"/>
  <c r="AU354" i="28"/>
  <c r="AU350" i="24"/>
  <c r="AU206" i="24"/>
  <c r="AU283" i="24"/>
  <c r="AU338" i="24"/>
  <c r="AU271" i="24"/>
  <c r="AU326" i="24"/>
  <c r="AU333" i="24"/>
  <c r="AU259" i="24"/>
  <c r="AU312" i="24"/>
  <c r="AU314" i="24"/>
  <c r="AU321" i="24"/>
  <c r="AU247" i="24"/>
  <c r="AU300" i="24"/>
  <c r="AU156" i="24"/>
  <c r="AU281" i="24"/>
  <c r="AU346" i="24"/>
  <c r="AU202" i="24"/>
  <c r="AU327" i="24"/>
  <c r="AU309" i="24"/>
  <c r="AU248" i="24"/>
  <c r="AU217" i="24"/>
  <c r="AU258" i="24"/>
  <c r="AU114" i="24"/>
  <c r="AU323" i="24"/>
  <c r="AU179" i="24"/>
  <c r="AU292" i="24"/>
  <c r="AU119" i="24"/>
  <c r="AU117" i="24"/>
  <c r="AU363" i="25"/>
  <c r="AU327" i="25"/>
  <c r="AU291" i="25"/>
  <c r="AU255" i="25"/>
  <c r="AU219" i="25"/>
  <c r="AU146" i="24"/>
  <c r="AU72" i="24"/>
  <c r="AU65" i="24"/>
  <c r="AU349" i="25"/>
  <c r="AU313" i="25"/>
  <c r="AU277" i="25"/>
  <c r="AU241" i="25"/>
  <c r="AU205" i="25"/>
  <c r="AU113" i="25"/>
  <c r="AU68" i="24"/>
  <c r="AU383" i="25"/>
  <c r="AU347" i="25"/>
  <c r="AU311" i="25"/>
  <c r="AU275" i="25"/>
  <c r="AU239" i="25"/>
  <c r="AU203" i="25"/>
  <c r="AU167" i="25"/>
  <c r="AU131" i="25"/>
  <c r="AU174" i="25"/>
  <c r="AU138" i="25"/>
  <c r="AU338" i="26"/>
  <c r="AU302" i="26"/>
  <c r="AU266" i="26"/>
  <c r="AU148" i="25"/>
  <c r="AU354" i="26"/>
  <c r="AU318" i="26"/>
  <c r="AU282" i="26"/>
  <c r="AU246" i="26"/>
  <c r="AU210" i="26"/>
  <c r="AU174" i="26"/>
  <c r="AU319" i="26"/>
  <c r="AU283" i="26"/>
  <c r="AU247" i="26"/>
  <c r="AU211" i="26"/>
  <c r="AU175" i="26"/>
  <c r="AU206" i="26"/>
  <c r="AU167" i="26"/>
  <c r="AU222" i="27"/>
  <c r="AU302" i="24"/>
  <c r="AU168" i="24"/>
  <c r="AU154" i="24"/>
  <c r="AU380" i="24"/>
  <c r="AU241" i="24"/>
  <c r="AU198" i="24"/>
  <c r="AU287" i="24"/>
  <c r="AU304" i="24"/>
  <c r="AU160" i="24"/>
  <c r="AU69" i="24"/>
  <c r="AU324" i="25"/>
  <c r="AU261" i="25"/>
  <c r="AU204" i="25"/>
  <c r="AU91" i="24"/>
  <c r="AU89" i="24"/>
  <c r="AU334" i="25"/>
  <c r="AU268" i="25"/>
  <c r="AU208" i="25"/>
  <c r="AU99" i="24"/>
  <c r="AU169" i="24"/>
  <c r="AU350" i="25"/>
  <c r="AU284" i="25"/>
  <c r="AU227" i="25"/>
  <c r="AU164" i="25"/>
  <c r="AU180" i="25"/>
  <c r="AU123" i="25"/>
  <c r="AU329" i="26"/>
  <c r="AU269" i="26"/>
  <c r="AU157" i="25"/>
  <c r="AU355" i="26"/>
  <c r="AU303" i="26"/>
  <c r="AU237" i="26"/>
  <c r="AU177" i="26"/>
  <c r="AU328" i="26"/>
  <c r="AU271" i="26"/>
  <c r="AU191" i="26"/>
  <c r="AU330" i="27"/>
  <c r="AU299" i="27"/>
  <c r="AU292" i="27"/>
  <c r="AU266" i="27"/>
  <c r="AU235" i="27"/>
  <c r="AU240" i="27"/>
  <c r="AU233" i="27"/>
  <c r="AU238" i="27"/>
  <c r="AU345" i="28"/>
  <c r="AU339" i="27"/>
  <c r="AU380" i="27"/>
  <c r="AU188" i="27"/>
  <c r="AU217" i="27"/>
  <c r="AU276" i="28"/>
  <c r="AU234" i="28"/>
  <c r="AU325" i="28"/>
  <c r="AU283" i="28"/>
  <c r="AU241" i="28"/>
  <c r="AU383" i="28"/>
  <c r="AU341" i="28"/>
  <c r="AU293" i="28"/>
  <c r="AU251" i="28"/>
  <c r="AU379" i="24"/>
  <c r="AU144" i="24"/>
  <c r="AU142" i="24"/>
  <c r="AU356" i="24"/>
  <c r="AU229" i="24"/>
  <c r="AU150" i="24"/>
  <c r="AU275" i="24"/>
  <c r="AU280" i="24"/>
  <c r="AU148" i="24"/>
  <c r="AU384" i="25"/>
  <c r="AU318" i="25"/>
  <c r="AU258" i="25"/>
  <c r="AU194" i="24"/>
  <c r="AU79" i="24"/>
  <c r="AU77" i="24"/>
  <c r="AU322" i="25"/>
  <c r="AU265" i="25"/>
  <c r="AU202" i="25"/>
  <c r="AU87" i="24"/>
  <c r="AU157" i="24"/>
  <c r="AU344" i="25"/>
  <c r="AU281" i="25"/>
  <c r="AU224" i="25"/>
  <c r="AU158" i="25"/>
  <c r="AU177" i="25"/>
  <c r="AU383" i="26"/>
  <c r="AU326" i="26"/>
  <c r="AU263" i="26"/>
  <c r="AU154" i="25"/>
  <c r="AU378" i="26"/>
  <c r="AU291" i="26"/>
  <c r="AU234" i="26"/>
  <c r="AU171" i="26"/>
  <c r="AU325" i="26"/>
  <c r="AU268" i="26"/>
  <c r="AU202" i="26"/>
  <c r="AU179" i="26"/>
  <c r="AU318" i="27"/>
  <c r="AU287" i="27"/>
  <c r="AU280" i="27"/>
  <c r="AU261" i="27"/>
  <c r="AU254" i="27"/>
  <c r="AU223" i="27"/>
  <c r="AU226" i="27"/>
  <c r="AU342" i="28"/>
  <c r="AU327" i="27"/>
  <c r="AU205" i="27"/>
  <c r="AU273" i="28"/>
  <c r="AU231" i="28"/>
  <c r="AU322" i="28"/>
  <c r="AU238" i="28"/>
  <c r="AU290" i="28"/>
  <c r="AU235" i="24"/>
  <c r="AU213" i="24"/>
  <c r="AU358" i="24"/>
  <c r="AU363" i="24"/>
  <c r="AU344" i="24"/>
  <c r="AU205" i="24"/>
  <c r="AU138" i="24"/>
  <c r="AU263" i="24"/>
  <c r="AU256" i="24"/>
  <c r="AU136" i="24"/>
  <c r="AU315" i="25"/>
  <c r="AU252" i="25"/>
  <c r="AU182" i="24"/>
  <c r="AU67" i="24"/>
  <c r="AU319" i="25"/>
  <c r="AU262" i="25"/>
  <c r="AU196" i="25"/>
  <c r="AU75" i="24"/>
  <c r="AU145" i="24"/>
  <c r="AU338" i="25"/>
  <c r="AU278" i="25"/>
  <c r="AU212" i="25"/>
  <c r="AU155" i="25"/>
  <c r="AU171" i="25"/>
  <c r="AU380" i="26"/>
  <c r="AU323" i="26"/>
  <c r="AU257" i="26"/>
  <c r="AU151" i="25"/>
  <c r="AU351" i="26"/>
  <c r="AU288" i="26"/>
  <c r="AU231" i="26"/>
  <c r="AU165" i="26"/>
  <c r="AU322" i="26"/>
  <c r="AU256" i="26"/>
  <c r="AU199" i="26"/>
  <c r="AU239" i="26"/>
  <c r="AU176" i="26"/>
  <c r="AU306" i="27"/>
  <c r="AU232" i="27"/>
  <c r="AU249" i="27"/>
  <c r="AU206" i="27"/>
  <c r="AU211" i="27"/>
  <c r="AU209" i="27"/>
  <c r="AU201" i="24"/>
  <c r="AU377" i="24"/>
  <c r="AU334" i="24"/>
  <c r="AU351" i="24"/>
  <c r="AU332" i="24"/>
  <c r="AU313" i="24"/>
  <c r="AU215" i="24"/>
  <c r="AU244" i="24"/>
  <c r="AU112" i="24"/>
  <c r="AU312" i="25"/>
  <c r="AU246" i="25"/>
  <c r="AU170" i="24"/>
  <c r="AU316" i="25"/>
  <c r="AU250" i="25"/>
  <c r="AU193" i="25"/>
  <c r="AU97" i="24"/>
  <c r="AU335" i="25"/>
  <c r="AU272" i="25"/>
  <c r="AU209" i="25"/>
  <c r="AU152" i="25"/>
  <c r="AU165" i="25"/>
  <c r="AU311" i="26"/>
  <c r="AU254" i="26"/>
  <c r="AU145" i="25"/>
  <c r="AU363" i="26"/>
  <c r="AU345" i="26"/>
  <c r="AU285" i="26"/>
  <c r="AU219" i="26"/>
  <c r="AU162" i="26"/>
  <c r="AU316" i="26"/>
  <c r="AU253" i="26"/>
  <c r="AU196" i="26"/>
  <c r="AU233" i="26"/>
  <c r="AU173" i="26"/>
  <c r="AU258" i="27"/>
  <c r="AU251" i="27"/>
  <c r="AU220" i="27"/>
  <c r="AU225" i="27"/>
  <c r="AU194" i="27"/>
  <c r="AU187" i="27"/>
  <c r="AU185" i="27"/>
  <c r="AU384" i="28"/>
  <c r="AU333" i="28"/>
  <c r="AU303" i="27"/>
  <c r="AU320" i="27"/>
  <c r="AU349" i="27"/>
  <c r="AU309" i="28"/>
  <c r="AU267" i="28"/>
  <c r="AU225" i="28"/>
  <c r="AU358" i="28"/>
  <c r="AU316" i="28"/>
  <c r="AU274" i="28"/>
  <c r="AU232" i="28"/>
  <c r="AU326" i="28"/>
  <c r="AU284" i="28"/>
  <c r="AU242" i="28"/>
  <c r="AU336" i="24"/>
  <c r="AU365" i="24"/>
  <c r="AU310" i="24"/>
  <c r="AU339" i="24"/>
  <c r="AU284" i="24"/>
  <c r="AU301" i="24"/>
  <c r="AU102" i="24"/>
  <c r="AU203" i="24"/>
  <c r="AU232" i="24"/>
  <c r="AU88" i="24"/>
  <c r="AU300" i="25"/>
  <c r="AU243" i="25"/>
  <c r="AU134" i="24"/>
  <c r="AU108" i="24"/>
  <c r="AU310" i="25"/>
  <c r="AU247" i="25"/>
  <c r="AU130" i="24"/>
  <c r="AU85" i="24"/>
  <c r="AU332" i="25"/>
  <c r="AU266" i="25"/>
  <c r="AU206" i="25"/>
  <c r="AU140" i="25"/>
  <c r="AU162" i="25"/>
  <c r="AU308" i="26"/>
  <c r="AU251" i="26"/>
  <c r="AU139" i="25"/>
  <c r="AU360" i="26"/>
  <c r="AU342" i="26"/>
  <c r="AU279" i="26"/>
  <c r="AU216" i="26"/>
  <c r="AU310" i="26"/>
  <c r="AU250" i="26"/>
  <c r="AU184" i="26"/>
  <c r="AU230" i="26"/>
  <c r="AU164" i="26"/>
  <c r="AU246" i="27"/>
  <c r="AU239" i="27"/>
  <c r="AU208" i="27"/>
  <c r="AU213" i="27"/>
  <c r="AU379" i="27"/>
  <c r="AU384" i="27"/>
  <c r="AU377" i="27"/>
  <c r="AU330" i="28"/>
  <c r="AU267" i="27"/>
  <c r="AU308" i="27"/>
  <c r="AU337" i="27"/>
  <c r="AU306" i="28"/>
  <c r="AU264" i="28"/>
  <c r="AU216" i="28"/>
  <c r="AU355" i="28"/>
  <c r="AU313" i="28"/>
  <c r="AU271" i="28"/>
  <c r="AU229" i="28"/>
  <c r="AU323" i="28"/>
  <c r="AU281" i="28"/>
  <c r="AU239" i="28"/>
  <c r="AU302" i="28"/>
  <c r="AU221" i="27"/>
  <c r="AU380" i="28"/>
  <c r="AU319" i="28"/>
  <c r="AU324" i="24"/>
  <c r="AU317" i="24"/>
  <c r="AU298" i="24"/>
  <c r="AU315" i="24"/>
  <c r="AU272" i="24"/>
  <c r="AU378" i="24"/>
  <c r="AU78" i="24"/>
  <c r="AU191" i="24"/>
  <c r="AU155" i="24"/>
  <c r="AU76" i="24"/>
  <c r="AU360" i="25"/>
  <c r="AU297" i="25"/>
  <c r="AU240" i="25"/>
  <c r="AU110" i="24"/>
  <c r="AU96" i="24"/>
  <c r="AU304" i="25"/>
  <c r="AU244" i="25"/>
  <c r="AU82" i="24"/>
  <c r="AU176" i="24"/>
  <c r="AU73" i="24"/>
  <c r="AU320" i="25"/>
  <c r="AU263" i="25"/>
  <c r="AU200" i="25"/>
  <c r="AU137" i="25"/>
  <c r="AU365" i="26"/>
  <c r="AU305" i="26"/>
  <c r="AU170" i="26"/>
  <c r="AU136" i="25"/>
  <c r="AU357" i="26"/>
  <c r="AU339" i="26"/>
  <c r="AU273" i="26"/>
  <c r="AU213" i="26"/>
  <c r="AU307" i="26"/>
  <c r="AU244" i="26"/>
  <c r="AU181" i="26"/>
  <c r="AU227" i="26"/>
  <c r="AU234" i="27"/>
  <c r="AU227" i="27"/>
  <c r="AU196" i="27"/>
  <c r="AU201" i="27"/>
  <c r="AU372" i="27"/>
  <c r="AU365" i="27"/>
  <c r="AU370" i="27"/>
  <c r="AU378" i="28"/>
  <c r="AU327" i="28"/>
  <c r="AU255" i="27"/>
  <c r="AU296" i="27"/>
  <c r="AU325" i="27"/>
  <c r="AU303" i="28"/>
  <c r="AU261" i="28"/>
  <c r="AU213" i="28"/>
  <c r="AU352" i="28"/>
  <c r="AU310" i="28"/>
  <c r="AU268" i="28"/>
  <c r="AU226" i="28"/>
  <c r="AU362" i="28"/>
  <c r="AU320" i="28"/>
  <c r="AU278" i="28"/>
  <c r="AU236" i="28"/>
  <c r="AU280" i="28"/>
  <c r="AU339" i="28"/>
  <c r="AU193" i="27"/>
  <c r="AU270" i="28"/>
  <c r="AU361" i="28"/>
  <c r="AU377" i="28"/>
  <c r="AU288" i="24"/>
  <c r="AU305" i="24"/>
  <c r="AU286" i="24"/>
  <c r="AU291" i="24"/>
  <c r="AU260" i="24"/>
  <c r="AU294" i="24"/>
  <c r="AU66" i="24"/>
  <c r="AU337" i="24"/>
  <c r="AU143" i="24"/>
  <c r="AU64" i="24"/>
  <c r="AU354" i="25"/>
  <c r="AU294" i="25"/>
  <c r="AU228" i="25"/>
  <c r="AU98" i="24"/>
  <c r="AU84" i="24"/>
  <c r="AU358" i="25"/>
  <c r="AU301" i="25"/>
  <c r="AU238" i="25"/>
  <c r="AU70" i="24"/>
  <c r="AU164" i="24"/>
  <c r="AU380" i="25"/>
  <c r="AU317" i="25"/>
  <c r="AU260" i="25"/>
  <c r="AU194" i="25"/>
  <c r="AU134" i="25"/>
  <c r="AU147" i="25"/>
  <c r="AU299" i="26"/>
  <c r="AU190" i="25"/>
  <c r="AU133" i="25"/>
  <c r="AU327" i="26"/>
  <c r="AU270" i="26"/>
  <c r="AU304" i="26"/>
  <c r="AU238" i="26"/>
  <c r="AU178" i="26"/>
  <c r="AU215" i="26"/>
  <c r="AU210" i="27"/>
  <c r="AU184" i="27"/>
  <c r="AU350" i="27"/>
  <c r="AU355" i="27"/>
  <c r="AU324" i="27"/>
  <c r="AU353" i="27"/>
  <c r="AU322" i="27"/>
  <c r="AU318" i="28"/>
  <c r="AU243" i="27"/>
  <c r="AU284" i="27"/>
  <c r="AU313" i="27"/>
  <c r="AU300" i="28"/>
  <c r="AU252" i="28"/>
  <c r="AU210" i="28"/>
  <c r="AU349" i="28"/>
  <c r="AU307" i="28"/>
  <c r="AU265" i="28"/>
  <c r="AU217" i="28"/>
  <c r="AU359" i="28"/>
  <c r="AU317" i="28"/>
  <c r="AU275" i="28"/>
  <c r="AU233" i="28"/>
  <c r="AU228" i="27"/>
  <c r="AU248" i="28"/>
  <c r="AU264" i="24"/>
  <c r="AU293" i="24"/>
  <c r="AU238" i="24"/>
  <c r="AU279" i="24"/>
  <c r="AU236" i="24"/>
  <c r="AU282" i="24"/>
  <c r="AU289" i="24"/>
  <c r="AU131" i="24"/>
  <c r="AU153" i="24"/>
  <c r="AU351" i="25"/>
  <c r="AU288" i="25"/>
  <c r="AU225" i="25"/>
  <c r="AU86" i="24"/>
  <c r="AU197" i="24"/>
  <c r="AU355" i="25"/>
  <c r="AU298" i="25"/>
  <c r="AU232" i="25"/>
  <c r="AU152" i="24"/>
  <c r="AU314" i="25"/>
  <c r="AU248" i="25"/>
  <c r="AU191" i="25"/>
  <c r="AU128" i="25"/>
  <c r="AU144" i="25"/>
  <c r="AU359" i="26"/>
  <c r="AU293" i="26"/>
  <c r="AU121" i="25"/>
  <c r="AU324" i="26"/>
  <c r="AU267" i="26"/>
  <c r="AU201" i="26"/>
  <c r="AU292" i="26"/>
  <c r="AU235" i="26"/>
  <c r="AU172" i="26"/>
  <c r="AU212" i="26"/>
  <c r="AU186" i="27"/>
  <c r="AU364" i="27"/>
  <c r="AU369" i="27"/>
  <c r="AU338" i="27"/>
  <c r="AU331" i="27"/>
  <c r="AU312" i="27"/>
  <c r="AU329" i="27"/>
  <c r="AU310" i="27"/>
  <c r="AU315" i="28"/>
  <c r="AU231" i="27"/>
  <c r="AU301" i="27"/>
  <c r="AU249" i="28"/>
  <c r="AU207" i="28"/>
  <c r="AU346" i="28"/>
  <c r="AU304" i="28"/>
  <c r="AU262" i="28"/>
  <c r="AU214" i="28"/>
  <c r="AU356" i="28"/>
  <c r="AU314" i="28"/>
  <c r="AU272" i="28"/>
  <c r="AU230" i="28"/>
  <c r="AU245" i="28"/>
  <c r="AU252" i="24"/>
  <c r="AU269" i="24"/>
  <c r="AU226" i="24"/>
  <c r="AU267" i="24"/>
  <c r="AU212" i="24"/>
  <c r="AU270" i="24"/>
  <c r="AU359" i="24"/>
  <c r="AU342" i="24"/>
  <c r="AU107" i="24"/>
  <c r="AU141" i="24"/>
  <c r="AU348" i="25"/>
  <c r="AU282" i="25"/>
  <c r="AU222" i="25"/>
  <c r="AU163" i="24"/>
  <c r="AU173" i="24"/>
  <c r="AU352" i="25"/>
  <c r="AU286" i="25"/>
  <c r="AU229" i="25"/>
  <c r="AU195" i="24"/>
  <c r="AU104" i="24"/>
  <c r="AU308" i="25"/>
  <c r="AU245" i="25"/>
  <c r="AU122" i="25"/>
  <c r="AU141" i="25"/>
  <c r="AU347" i="26"/>
  <c r="AU290" i="26"/>
  <c r="AU118" i="25"/>
  <c r="AU321" i="26"/>
  <c r="AU255" i="26"/>
  <c r="AU198" i="26"/>
  <c r="AU352" i="26"/>
  <c r="AU289" i="26"/>
  <c r="AU232" i="26"/>
  <c r="AU166" i="26"/>
  <c r="AU383" i="27"/>
  <c r="AU352" i="27"/>
  <c r="AU357" i="27"/>
  <c r="AU326" i="27"/>
  <c r="AU319" i="27"/>
  <c r="AU300" i="27"/>
  <c r="AU317" i="27"/>
  <c r="AU298" i="27"/>
  <c r="AU312" i="28"/>
  <c r="AU219" i="27"/>
  <c r="AU260" i="27"/>
  <c r="AU289" i="27"/>
  <c r="AU288" i="28"/>
  <c r="AU246" i="28"/>
  <c r="AU343" i="28"/>
  <c r="AU301" i="28"/>
  <c r="AU253" i="28"/>
  <c r="AU211" i="28"/>
  <c r="AU353" i="28"/>
  <c r="AU311" i="28"/>
  <c r="AU269" i="28"/>
  <c r="AU221" i="28"/>
  <c r="AU334" i="28"/>
  <c r="AU338" i="28"/>
  <c r="AU315" i="27"/>
  <c r="AU228" i="28"/>
  <c r="AU235" i="28"/>
  <c r="AU287" i="28"/>
  <c r="AU240" i="24"/>
  <c r="AU245" i="24"/>
  <c r="AU214" i="24"/>
  <c r="AU219" i="24"/>
  <c r="AU200" i="24"/>
  <c r="AU246" i="24"/>
  <c r="AU347" i="24"/>
  <c r="AU129" i="24"/>
  <c r="AU336" i="25"/>
  <c r="AU279" i="25"/>
  <c r="AU216" i="25"/>
  <c r="AU151" i="24"/>
  <c r="AU161" i="24"/>
  <c r="AU346" i="25"/>
  <c r="AU283" i="25"/>
  <c r="AU226" i="25"/>
  <c r="AU171" i="24"/>
  <c r="AU92" i="24"/>
  <c r="AU302" i="25"/>
  <c r="AU242" i="25"/>
  <c r="AU176" i="25"/>
  <c r="AU119" i="25"/>
  <c r="AU135" i="25"/>
  <c r="AU344" i="26"/>
  <c r="AU287" i="26"/>
  <c r="AU175" i="25"/>
  <c r="AU115" i="25"/>
  <c r="AU315" i="26"/>
  <c r="AU252" i="26"/>
  <c r="AU195" i="26"/>
  <c r="AU346" i="26"/>
  <c r="AU286" i="26"/>
  <c r="AU220" i="26"/>
  <c r="AU163" i="26"/>
  <c r="AU203" i="26"/>
  <c r="AU371" i="27"/>
  <c r="AU340" i="27"/>
  <c r="AU345" i="27"/>
  <c r="AU314" i="27"/>
  <c r="AU307" i="27"/>
  <c r="AU288" i="27"/>
  <c r="AU305" i="27"/>
  <c r="AU286" i="27"/>
  <c r="AU363" i="28"/>
  <c r="AU207" i="27"/>
  <c r="AU277" i="27"/>
  <c r="AU285" i="28"/>
  <c r="AU243" i="28"/>
  <c r="AU340" i="28"/>
  <c r="AU298" i="28"/>
  <c r="AU250" i="28"/>
  <c r="AU208" i="28"/>
  <c r="AU350" i="28"/>
  <c r="AU308" i="28"/>
  <c r="AU266" i="28"/>
  <c r="AU218" i="28"/>
  <c r="AU361" i="27"/>
  <c r="AU192" i="24"/>
  <c r="AU233" i="24"/>
  <c r="AU190" i="24"/>
  <c r="AU207" i="24"/>
  <c r="AU222" i="24"/>
  <c r="AU335" i="24"/>
  <c r="AU328" i="24"/>
  <c r="AU71" i="24"/>
  <c r="AU105" i="24"/>
  <c r="AU333" i="25"/>
  <c r="AU276" i="25"/>
  <c r="AU210" i="25"/>
  <c r="AU139" i="24"/>
  <c r="AU149" i="24"/>
  <c r="AU340" i="25"/>
  <c r="AU280" i="25"/>
  <c r="AU214" i="25"/>
  <c r="AU159" i="24"/>
  <c r="AU80" i="24"/>
  <c r="AU356" i="25"/>
  <c r="AU299" i="25"/>
  <c r="AU236" i="25"/>
  <c r="AU173" i="25"/>
  <c r="AU116" i="25"/>
  <c r="AU129" i="25"/>
  <c r="AU341" i="26"/>
  <c r="AU275" i="26"/>
  <c r="AU172" i="25"/>
  <c r="AU309" i="26"/>
  <c r="AU249" i="26"/>
  <c r="AU183" i="26"/>
  <c r="AU343" i="26"/>
  <c r="AU280" i="26"/>
  <c r="AU217" i="26"/>
  <c r="AU197" i="26"/>
  <c r="AU378" i="27"/>
  <c r="AU323" i="27"/>
  <c r="AU328" i="27"/>
  <c r="AU297" i="27"/>
  <c r="AU302" i="27"/>
  <c r="AU259" i="27"/>
  <c r="AU257" i="27"/>
  <c r="AU351" i="28"/>
  <c r="AU363" i="27"/>
  <c r="AU195" i="27"/>
  <c r="AU236" i="27"/>
  <c r="AU241" i="27"/>
  <c r="AU282" i="28"/>
  <c r="AU240" i="28"/>
  <c r="AU379" i="28"/>
  <c r="AU337" i="28"/>
  <c r="AU289" i="28"/>
  <c r="AU247" i="28"/>
  <c r="AU206" i="28"/>
  <c r="AU347" i="28"/>
  <c r="AU305" i="28"/>
  <c r="AU257" i="28"/>
  <c r="AU215" i="28"/>
  <c r="AU180" i="24"/>
  <c r="AU221" i="24"/>
  <c r="AU166" i="24"/>
  <c r="AU357" i="24"/>
  <c r="AU253" i="24"/>
  <c r="AU210" i="24"/>
  <c r="AU311" i="24"/>
  <c r="AU316" i="24"/>
  <c r="AU81" i="24"/>
  <c r="AU330" i="25"/>
  <c r="AU264" i="25"/>
  <c r="AU207" i="25"/>
  <c r="AU115" i="24"/>
  <c r="AU101" i="24"/>
  <c r="AU337" i="25"/>
  <c r="AU274" i="25"/>
  <c r="AU211" i="25"/>
  <c r="AU147" i="24"/>
  <c r="AU193" i="24"/>
  <c r="AU353" i="25"/>
  <c r="AU296" i="25"/>
  <c r="AU230" i="25"/>
  <c r="AU170" i="25"/>
  <c r="AU126" i="25"/>
  <c r="AU335" i="26"/>
  <c r="AU272" i="26"/>
  <c r="AU169" i="25"/>
  <c r="AU306" i="26"/>
  <c r="AU243" i="26"/>
  <c r="AU180" i="26"/>
  <c r="AU340" i="26"/>
  <c r="AU274" i="26"/>
  <c r="AU214" i="26"/>
  <c r="AU194" i="26"/>
  <c r="AU354" i="27"/>
  <c r="AU304" i="27"/>
  <c r="AU278" i="27"/>
  <c r="AU252" i="27"/>
  <c r="AU250" i="27"/>
  <c r="AU348" i="28"/>
  <c r="AU351" i="27"/>
  <c r="AU183" i="27"/>
  <c r="AU224" i="27"/>
  <c r="AU229" i="27"/>
  <c r="AU279" i="28"/>
  <c r="AU237" i="28"/>
  <c r="AU286" i="28"/>
  <c r="AU244" i="28"/>
  <c r="AU344" i="28"/>
  <c r="AU254" i="28"/>
  <c r="AU212" i="28"/>
  <c r="AU358" i="26"/>
  <c r="AU311" i="27"/>
  <c r="AU285" i="27"/>
  <c r="AU247" i="27"/>
  <c r="AU245" i="27"/>
  <c r="AU332" i="27"/>
  <c r="AU329" i="28"/>
  <c r="AU63" i="24"/>
  <c r="AT395" i="24"/>
  <c r="AT394" i="26"/>
  <c r="F35" i="29"/>
  <c r="F38" i="29" s="1"/>
  <c r="F41" i="29" s="1"/>
  <c r="F44" i="29" s="1"/>
  <c r="AT395" i="28"/>
  <c r="AT394" i="25"/>
  <c r="Z16" i="24"/>
  <c r="AU16" i="24" s="1"/>
  <c r="Z16" i="25"/>
  <c r="AU16" i="25" s="1"/>
  <c r="Z16" i="26"/>
  <c r="AU16" i="26" s="1"/>
  <c r="Z16" i="27"/>
  <c r="AU16" i="27" s="1"/>
  <c r="BD395" i="25"/>
  <c r="AX395" i="25"/>
  <c r="BJ395" i="25"/>
  <c r="BI395" i="25"/>
  <c r="AW395" i="25"/>
  <c r="BH395" i="25"/>
  <c r="AV395" i="25"/>
  <c r="BE395" i="25"/>
  <c r="BB395" i="25"/>
  <c r="BM395" i="25"/>
  <c r="BA395" i="25"/>
  <c r="X27" i="22"/>
  <c r="W27" i="22"/>
  <c r="S27" i="22"/>
  <c r="R27" i="22"/>
  <c r="Q27" i="22"/>
  <c r="AE17" i="22"/>
  <c r="AE60" i="22" s="1"/>
  <c r="AD27" i="22"/>
  <c r="AC27" i="22"/>
  <c r="Y17" i="22"/>
  <c r="Y60" i="22" s="1"/>
  <c r="AK5" i="11"/>
  <c r="D30" i="22" s="1"/>
  <c r="AA27" i="22"/>
  <c r="O27" i="22"/>
  <c r="U17" i="22"/>
  <c r="U60" i="22" s="1"/>
  <c r="Z27" i="22"/>
  <c r="N27" i="22"/>
  <c r="T17" i="22"/>
  <c r="T60" i="22" s="1"/>
  <c r="V27" i="22"/>
  <c r="P17" i="22"/>
  <c r="P60" i="22" s="1"/>
  <c r="AB17" i="22"/>
  <c r="AB60" i="22" s="1"/>
  <c r="B33" i="21"/>
  <c r="D33" i="21"/>
  <c r="F33" i="21"/>
  <c r="G33" i="21"/>
  <c r="C33" i="21"/>
  <c r="C24" i="22" s="1"/>
  <c r="I30" i="21"/>
  <c r="J30" i="21"/>
  <c r="K30" i="21"/>
  <c r="L30" i="21"/>
  <c r="M30" i="21"/>
  <c r="N30" i="21"/>
  <c r="O30" i="21"/>
  <c r="P30" i="21"/>
  <c r="Q30" i="21"/>
  <c r="R30" i="21"/>
  <c r="S30" i="21"/>
  <c r="T30" i="21"/>
  <c r="U30" i="21"/>
  <c r="V30" i="21"/>
  <c r="W30" i="21"/>
  <c r="X30" i="21"/>
  <c r="Y30" i="21"/>
  <c r="Z30" i="21"/>
  <c r="AA30" i="21"/>
  <c r="AB30" i="21"/>
  <c r="AC30" i="21"/>
  <c r="AD30" i="21"/>
  <c r="AE30" i="21"/>
  <c r="AF30" i="21"/>
  <c r="AG30" i="21"/>
  <c r="AH30" i="21"/>
  <c r="AI30" i="21"/>
  <c r="I31" i="21"/>
  <c r="J31" i="21"/>
  <c r="K31" i="21"/>
  <c r="L31" i="21"/>
  <c r="M31" i="21"/>
  <c r="N31" i="21"/>
  <c r="O31" i="21"/>
  <c r="P31" i="21"/>
  <c r="Q31" i="21"/>
  <c r="R31" i="21"/>
  <c r="S31" i="21"/>
  <c r="T31" i="21"/>
  <c r="U31" i="21"/>
  <c r="V31" i="21"/>
  <c r="W31" i="21"/>
  <c r="X31" i="21"/>
  <c r="Y31" i="21"/>
  <c r="Z31" i="21"/>
  <c r="AA31" i="21"/>
  <c r="AB31" i="21"/>
  <c r="AC31" i="21"/>
  <c r="AD31" i="21"/>
  <c r="AE31" i="21"/>
  <c r="AF31" i="21"/>
  <c r="AG31" i="21"/>
  <c r="AH31" i="21"/>
  <c r="AI31" i="21"/>
  <c r="I32" i="21"/>
  <c r="J32" i="21"/>
  <c r="K32" i="21"/>
  <c r="L32" i="21"/>
  <c r="M32" i="21"/>
  <c r="N32" i="21"/>
  <c r="O32" i="21"/>
  <c r="P32" i="21"/>
  <c r="Q32" i="21"/>
  <c r="R32" i="21"/>
  <c r="S32" i="21"/>
  <c r="T32" i="21"/>
  <c r="U32" i="21"/>
  <c r="V32" i="21"/>
  <c r="W32" i="21"/>
  <c r="X32" i="21"/>
  <c r="Y32" i="21"/>
  <c r="Z32" i="21"/>
  <c r="AA32" i="21"/>
  <c r="AB32" i="21"/>
  <c r="AC32" i="21"/>
  <c r="AD32" i="21"/>
  <c r="AE32" i="21"/>
  <c r="AF32" i="21"/>
  <c r="AG32" i="21"/>
  <c r="AH32" i="21"/>
  <c r="AI32" i="21"/>
  <c r="B28" i="21"/>
  <c r="C28" i="21"/>
  <c r="G28" i="21"/>
  <c r="C29" i="21"/>
  <c r="F29" i="21"/>
  <c r="C30" i="21"/>
  <c r="D30" i="21"/>
  <c r="F30" i="21"/>
  <c r="G30" i="21"/>
  <c r="C31" i="21"/>
  <c r="D31" i="21"/>
  <c r="F31" i="21"/>
  <c r="G31" i="21"/>
  <c r="C32" i="21"/>
  <c r="D32" i="21"/>
  <c r="F32" i="21"/>
  <c r="G32" i="21"/>
  <c r="H30" i="21"/>
  <c r="H31" i="21"/>
  <c r="H32" i="21"/>
  <c r="C21" i="21"/>
  <c r="C13" i="22" s="1"/>
  <c r="C22" i="21"/>
  <c r="C14" i="22" s="1"/>
  <c r="C23" i="21"/>
  <c r="C15" i="22" s="1"/>
  <c r="C20" i="21"/>
  <c r="C12" i="22" s="1"/>
  <c r="J45" i="19"/>
  <c r="J47" i="19"/>
  <c r="I46" i="19"/>
  <c r="J46" i="19" s="1"/>
  <c r="I44" i="19"/>
  <c r="J44" i="19" s="1"/>
  <c r="F71" i="19"/>
  <c r="F72" i="19"/>
  <c r="E72" i="19"/>
  <c r="E71" i="19"/>
  <c r="C72" i="19"/>
  <c r="C71" i="19"/>
  <c r="B20" i="21"/>
  <c r="B15" i="21"/>
  <c r="H36" i="19"/>
  <c r="J36" i="19" s="1"/>
  <c r="C15" i="21"/>
  <c r="C7" i="22" s="1"/>
  <c r="C16" i="21"/>
  <c r="C8" i="22" s="1"/>
  <c r="C17" i="21"/>
  <c r="C9" i="22" s="1"/>
  <c r="C18" i="21"/>
  <c r="C10" i="22" s="1"/>
  <c r="C19" i="21"/>
  <c r="C11" i="22" s="1"/>
  <c r="J35" i="19"/>
  <c r="H34" i="19"/>
  <c r="J34" i="19" s="1"/>
  <c r="B3" i="21"/>
  <c r="Q4" i="21"/>
  <c r="Q5" i="21"/>
  <c r="Q3" i="21"/>
  <c r="I9" i="21"/>
  <c r="J9" i="21"/>
  <c r="K9" i="21"/>
  <c r="L9" i="21"/>
  <c r="M9" i="21"/>
  <c r="N9" i="21"/>
  <c r="O9" i="21"/>
  <c r="P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I10" i="21"/>
  <c r="J10" i="21"/>
  <c r="K10" i="21"/>
  <c r="L10" i="21"/>
  <c r="M10" i="21"/>
  <c r="N10" i="21"/>
  <c r="O10" i="21"/>
  <c r="P10" i="21"/>
  <c r="R10" i="21"/>
  <c r="S10" i="21"/>
  <c r="T10" i="21"/>
  <c r="U10" i="21"/>
  <c r="V10" i="21"/>
  <c r="W10" i="21"/>
  <c r="X10" i="21"/>
  <c r="Y10" i="21"/>
  <c r="Z10" i="21"/>
  <c r="AA10" i="21"/>
  <c r="AB10" i="21"/>
  <c r="AC10" i="21"/>
  <c r="AD10" i="21"/>
  <c r="AE10" i="21"/>
  <c r="AF10" i="21"/>
  <c r="AG10" i="21"/>
  <c r="AH10" i="21"/>
  <c r="AI10" i="21"/>
  <c r="I11" i="21"/>
  <c r="J11" i="21"/>
  <c r="K11" i="21"/>
  <c r="L11" i="21"/>
  <c r="M11" i="21"/>
  <c r="N11" i="21"/>
  <c r="O11" i="21"/>
  <c r="P11" i="21"/>
  <c r="R11" i="21"/>
  <c r="S11" i="21"/>
  <c r="T11" i="21"/>
  <c r="U11" i="21"/>
  <c r="V11" i="21"/>
  <c r="W11" i="21"/>
  <c r="X11" i="21"/>
  <c r="Y11" i="21"/>
  <c r="Z11" i="21"/>
  <c r="AA11" i="21"/>
  <c r="AB11" i="21"/>
  <c r="AC11" i="21"/>
  <c r="AD11" i="21"/>
  <c r="AE11" i="21"/>
  <c r="AF11" i="21"/>
  <c r="AG11" i="21"/>
  <c r="AH11" i="21"/>
  <c r="AI11" i="21"/>
  <c r="H10" i="21"/>
  <c r="H11" i="21"/>
  <c r="H9" i="21"/>
  <c r="D10" i="21"/>
  <c r="D11" i="21"/>
  <c r="D9" i="21"/>
  <c r="F4" i="21"/>
  <c r="F5" i="21"/>
  <c r="F7" i="21"/>
  <c r="F8" i="21"/>
  <c r="F3" i="21"/>
  <c r="C2" i="21"/>
  <c r="I58" i="19"/>
  <c r="J58" i="19" s="1"/>
  <c r="K58" i="19" s="1"/>
  <c r="L58" i="19" s="1"/>
  <c r="M58" i="19" s="1"/>
  <c r="N58" i="19" s="1"/>
  <c r="O58" i="19" s="1"/>
  <c r="P58" i="19" s="1"/>
  <c r="Q58" i="19" s="1"/>
  <c r="R58" i="19" s="1"/>
  <c r="S58" i="19" s="1"/>
  <c r="T58" i="19" s="1"/>
  <c r="U58" i="19" s="1"/>
  <c r="V58" i="19" s="1"/>
  <c r="W58" i="19" s="1"/>
  <c r="X58" i="19" s="1"/>
  <c r="Y58" i="19" s="1"/>
  <c r="Z58" i="19" s="1"/>
  <c r="AA58" i="19" s="1"/>
  <c r="AB58" i="19" s="1"/>
  <c r="AC58" i="19" s="1"/>
  <c r="I59" i="19"/>
  <c r="J59" i="19" s="1"/>
  <c r="K59" i="19" s="1"/>
  <c r="L59" i="19" s="1"/>
  <c r="M59" i="19" s="1"/>
  <c r="N59" i="19" s="1"/>
  <c r="O59" i="19" s="1"/>
  <c r="P59" i="19" s="1"/>
  <c r="Q59" i="19" s="1"/>
  <c r="R59" i="19" s="1"/>
  <c r="S59" i="19" s="1"/>
  <c r="T59" i="19" s="1"/>
  <c r="U59" i="19" s="1"/>
  <c r="V59" i="19" s="1"/>
  <c r="W59" i="19" s="1"/>
  <c r="X59" i="19" s="1"/>
  <c r="Y59" i="19" s="1"/>
  <c r="Z59" i="19" s="1"/>
  <c r="AA59" i="19" s="1"/>
  <c r="AB59" i="19" s="1"/>
  <c r="AC59" i="19" s="1"/>
  <c r="I57" i="19"/>
  <c r="J57" i="19" s="1"/>
  <c r="K57" i="19" s="1"/>
  <c r="L57" i="19" s="1"/>
  <c r="M57" i="19" s="1"/>
  <c r="N57" i="19" s="1"/>
  <c r="O57" i="19" s="1"/>
  <c r="P57" i="19" s="1"/>
  <c r="Q57" i="19" s="1"/>
  <c r="R57" i="19" s="1"/>
  <c r="S57" i="19" s="1"/>
  <c r="T57" i="19" s="1"/>
  <c r="U57" i="19" s="1"/>
  <c r="V57" i="19" s="1"/>
  <c r="W57" i="19" s="1"/>
  <c r="X57" i="19" s="1"/>
  <c r="Y57" i="19" s="1"/>
  <c r="Z57" i="19" s="1"/>
  <c r="AA57" i="19" s="1"/>
  <c r="AB57" i="19" s="1"/>
  <c r="AC57" i="19" s="1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I56" i="19"/>
  <c r="H58" i="19"/>
  <c r="H59" i="19"/>
  <c r="H57" i="19"/>
  <c r="I54" i="19"/>
  <c r="J54" i="19" s="1"/>
  <c r="K54" i="19" s="1"/>
  <c r="L54" i="19" s="1"/>
  <c r="M54" i="19" s="1"/>
  <c r="N54" i="19" s="1"/>
  <c r="O54" i="19" s="1"/>
  <c r="P54" i="19" s="1"/>
  <c r="Q54" i="19" s="1"/>
  <c r="R54" i="19" s="1"/>
  <c r="S54" i="19" s="1"/>
  <c r="T54" i="19" s="1"/>
  <c r="U54" i="19" s="1"/>
  <c r="V54" i="19" s="1"/>
  <c r="W54" i="19" s="1"/>
  <c r="X54" i="19" s="1"/>
  <c r="Y54" i="19" s="1"/>
  <c r="Z54" i="19" s="1"/>
  <c r="AA54" i="19" s="1"/>
  <c r="AB54" i="19" s="1"/>
  <c r="AC54" i="19" s="1"/>
  <c r="J53" i="19"/>
  <c r="K53" i="19" s="1"/>
  <c r="L53" i="19" s="1"/>
  <c r="M53" i="19" s="1"/>
  <c r="N53" i="19" s="1"/>
  <c r="O53" i="19" s="1"/>
  <c r="P53" i="19" s="1"/>
  <c r="Q53" i="19" s="1"/>
  <c r="R53" i="19" s="1"/>
  <c r="S53" i="19" s="1"/>
  <c r="D70" i="19" s="1"/>
  <c r="K52" i="19"/>
  <c r="L52" i="19" s="1"/>
  <c r="M52" i="19" s="1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13" i="20"/>
  <c r="G267" i="33"/>
  <c r="G274" i="33" s="1"/>
  <c r="O19" i="20"/>
  <c r="L18" i="20"/>
  <c r="L17" i="20"/>
  <c r="L16" i="20"/>
  <c r="L15" i="20"/>
  <c r="L14" i="20"/>
  <c r="L13" i="20"/>
  <c r="L12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20" i="20"/>
  <c r="J15" i="20"/>
  <c r="J14" i="20"/>
  <c r="J13" i="20"/>
  <c r="J12" i="20"/>
  <c r="N52" i="19" l="1"/>
  <c r="O52" i="19" s="1"/>
  <c r="P52" i="19" s="1"/>
  <c r="Q52" i="19" s="1"/>
  <c r="R52" i="19" s="1"/>
  <c r="S52" i="19" s="1"/>
  <c r="T52" i="19" s="1"/>
  <c r="U52" i="19" s="1"/>
  <c r="V52" i="19" s="1"/>
  <c r="W52" i="19" s="1"/>
  <c r="X52" i="19" s="1"/>
  <c r="Y52" i="19" s="1"/>
  <c r="Z52" i="19" s="1"/>
  <c r="AA52" i="19" s="1"/>
  <c r="AB52" i="19" s="1"/>
  <c r="AC52" i="19" s="1"/>
  <c r="AD52" i="19" s="1"/>
  <c r="AT396" i="27"/>
  <c r="AT396" i="25"/>
  <c r="AT396" i="28"/>
  <c r="C134" i="16"/>
  <c r="AT389" i="30"/>
  <c r="C3" i="33"/>
  <c r="D67" i="16"/>
  <c r="AU388" i="30"/>
  <c r="F142" i="16"/>
  <c r="I133" i="16"/>
  <c r="AT36" i="12"/>
  <c r="AO36" i="12"/>
  <c r="BK36" i="12"/>
  <c r="AW36" i="12"/>
  <c r="BD36" i="12"/>
  <c r="AU36" i="12"/>
  <c r="BE36" i="12"/>
  <c r="AY36" i="12"/>
  <c r="BL36" i="12"/>
  <c r="AR36" i="12"/>
  <c r="AZ36" i="12"/>
  <c r="BC36" i="12"/>
  <c r="AN36" i="12"/>
  <c r="BJ36" i="12"/>
  <c r="BF36" i="12"/>
  <c r="AX36" i="12"/>
  <c r="AS36" i="12"/>
  <c r="BI36" i="12"/>
  <c r="BA36" i="12"/>
  <c r="BB36" i="12"/>
  <c r="AP36" i="12"/>
  <c r="AL36" i="12"/>
  <c r="AV36" i="12"/>
  <c r="BG36" i="12"/>
  <c r="AM36" i="12"/>
  <c r="BH36" i="12"/>
  <c r="AQ36" i="12"/>
  <c r="AK36" i="12"/>
  <c r="AL20" i="29"/>
  <c r="AX20" i="29"/>
  <c r="BJ20" i="29"/>
  <c r="AM20" i="29"/>
  <c r="AY20" i="29"/>
  <c r="BK20" i="29"/>
  <c r="AN20" i="29"/>
  <c r="AZ20" i="29"/>
  <c r="BL20" i="29"/>
  <c r="AO20" i="29"/>
  <c r="BA20" i="29"/>
  <c r="AK20" i="29"/>
  <c r="AP20" i="29"/>
  <c r="BB20" i="29"/>
  <c r="AQ20" i="29"/>
  <c r="BC20" i="29"/>
  <c r="AR20" i="29"/>
  <c r="BD20" i="29"/>
  <c r="AS20" i="29"/>
  <c r="BE20" i="29"/>
  <c r="AT20" i="29"/>
  <c r="BF20" i="29"/>
  <c r="AU20" i="29"/>
  <c r="BG20" i="29"/>
  <c r="AV20" i="29"/>
  <c r="BH20" i="29"/>
  <c r="AW20" i="29"/>
  <c r="BI20" i="29"/>
  <c r="Y14" i="20"/>
  <c r="Y18" i="20"/>
  <c r="Y17" i="20"/>
  <c r="Y16" i="20"/>
  <c r="P283" i="33" s="1"/>
  <c r="P291" i="33" s="1"/>
  <c r="Y15" i="20"/>
  <c r="P179" i="33" s="1"/>
  <c r="P273" i="33"/>
  <c r="P280" i="33" s="1"/>
  <c r="P288" i="33" s="1"/>
  <c r="P318" i="33" s="1"/>
  <c r="AC267" i="33"/>
  <c r="AC274" i="33" s="1"/>
  <c r="Q267" i="33"/>
  <c r="Q274" i="33" s="1"/>
  <c r="C283" i="33"/>
  <c r="C291" i="33" s="1"/>
  <c r="P5" i="33"/>
  <c r="C6" i="33"/>
  <c r="C31" i="33" s="1"/>
  <c r="AH267" i="33"/>
  <c r="AH274" i="33" s="1"/>
  <c r="U267" i="33"/>
  <c r="U274" i="33" s="1"/>
  <c r="E319" i="33"/>
  <c r="E327" i="33" s="1"/>
  <c r="E343" i="33" s="1"/>
  <c r="E348" i="33" s="1"/>
  <c r="E354" i="33" s="1"/>
  <c r="E305" i="33"/>
  <c r="F350" i="33"/>
  <c r="F356" i="33" s="1"/>
  <c r="F339" i="33"/>
  <c r="T238" i="33"/>
  <c r="T246" i="33" s="1"/>
  <c r="T254" i="33"/>
  <c r="T179" i="33"/>
  <c r="C254" i="33"/>
  <c r="C179" i="33"/>
  <c r="C238" i="33"/>
  <c r="C246" i="33" s="1"/>
  <c r="C10" i="33"/>
  <c r="C47" i="33" s="1"/>
  <c r="C67" i="33" s="1"/>
  <c r="C73" i="33" s="1"/>
  <c r="C79" i="33" s="1"/>
  <c r="AB283" i="33"/>
  <c r="AB291" i="33" s="1"/>
  <c r="AE179" i="33"/>
  <c r="AE238" i="33"/>
  <c r="AE246" i="33" s="1"/>
  <c r="AE254" i="33"/>
  <c r="S238" i="33"/>
  <c r="S246" i="33" s="1"/>
  <c r="S179" i="33"/>
  <c r="S254" i="33"/>
  <c r="AB28" i="33"/>
  <c r="AB138" i="33" s="1"/>
  <c r="AB146" i="33" s="1"/>
  <c r="AB154" i="33" s="1"/>
  <c r="AB267" i="33"/>
  <c r="AB274" i="33" s="1"/>
  <c r="P28" i="33"/>
  <c r="P138" i="33" s="1"/>
  <c r="P146" i="33" s="1"/>
  <c r="P154" i="33" s="1"/>
  <c r="P267" i="33"/>
  <c r="P274" i="33" s="1"/>
  <c r="Q283" i="33"/>
  <c r="Q291" i="33" s="1"/>
  <c r="AA283" i="33"/>
  <c r="AA291" i="33" s="1"/>
  <c r="O283" i="33"/>
  <c r="O291" i="33" s="1"/>
  <c r="AD238" i="33"/>
  <c r="AD246" i="33" s="1"/>
  <c r="AD179" i="33"/>
  <c r="AD254" i="33"/>
  <c r="R179" i="33"/>
  <c r="R254" i="33"/>
  <c r="R238" i="33"/>
  <c r="R246" i="33" s="1"/>
  <c r="AA28" i="33"/>
  <c r="AA138" i="33" s="1"/>
  <c r="AA146" i="33" s="1"/>
  <c r="AA154" i="33" s="1"/>
  <c r="AA267" i="33"/>
  <c r="AA274" i="33" s="1"/>
  <c r="O28" i="33"/>
  <c r="O138" i="33" s="1"/>
  <c r="O146" i="33" s="1"/>
  <c r="O154" i="33" s="1"/>
  <c r="O267" i="33"/>
  <c r="O274" i="33" s="1"/>
  <c r="Z283" i="33"/>
  <c r="Z291" i="33" s="1"/>
  <c r="N283" i="33"/>
  <c r="N291" i="33" s="1"/>
  <c r="AC179" i="33"/>
  <c r="AC238" i="33"/>
  <c r="AC246" i="33" s="1"/>
  <c r="AC254" i="33"/>
  <c r="Q238" i="33"/>
  <c r="Q246" i="33" s="1"/>
  <c r="Q179" i="33"/>
  <c r="Q254" i="33"/>
  <c r="Z28" i="33"/>
  <c r="Z138" i="33" s="1"/>
  <c r="Z146" i="33" s="1"/>
  <c r="Z154" i="33" s="1"/>
  <c r="Z267" i="33"/>
  <c r="Z274" i="33" s="1"/>
  <c r="N28" i="33"/>
  <c r="N138" i="33" s="1"/>
  <c r="N146" i="33" s="1"/>
  <c r="N154" i="33" s="1"/>
  <c r="N267" i="33"/>
  <c r="N274" i="33" s="1"/>
  <c r="Y283" i="33"/>
  <c r="Y291" i="33" s="1"/>
  <c r="M283" i="33"/>
  <c r="M291" i="33" s="1"/>
  <c r="AB179" i="33"/>
  <c r="AB254" i="33"/>
  <c r="AB238" i="33"/>
  <c r="AB246" i="33" s="1"/>
  <c r="Y28" i="33"/>
  <c r="Y138" i="33" s="1"/>
  <c r="Y146" i="33" s="1"/>
  <c r="Y154" i="33" s="1"/>
  <c r="Y267" i="33"/>
  <c r="Y274" i="33" s="1"/>
  <c r="M28" i="33"/>
  <c r="M138" i="33" s="1"/>
  <c r="M146" i="33" s="1"/>
  <c r="M154" i="33" s="1"/>
  <c r="M267" i="33"/>
  <c r="M274" i="33" s="1"/>
  <c r="H179" i="33"/>
  <c r="H254" i="33"/>
  <c r="H238" i="33"/>
  <c r="H246" i="33" s="1"/>
  <c r="X283" i="33"/>
  <c r="X291" i="33" s="1"/>
  <c r="L283" i="33"/>
  <c r="L291" i="33" s="1"/>
  <c r="AA238" i="33"/>
  <c r="AA246" i="33" s="1"/>
  <c r="AA254" i="33"/>
  <c r="AA179" i="33"/>
  <c r="O238" i="33"/>
  <c r="O246" i="33" s="1"/>
  <c r="O254" i="33"/>
  <c r="O179" i="33"/>
  <c r="X28" i="33"/>
  <c r="X138" i="33" s="1"/>
  <c r="X146" i="33" s="1"/>
  <c r="X154" i="33" s="1"/>
  <c r="X267" i="33"/>
  <c r="X274" i="33" s="1"/>
  <c r="L28" i="33"/>
  <c r="L138" i="33" s="1"/>
  <c r="L146" i="33" s="1"/>
  <c r="L154" i="33" s="1"/>
  <c r="L267" i="33"/>
  <c r="L274" i="33" s="1"/>
  <c r="AF179" i="33"/>
  <c r="AF238" i="33"/>
  <c r="AF246" i="33" s="1"/>
  <c r="AF254" i="33"/>
  <c r="W283" i="33"/>
  <c r="W291" i="33" s="1"/>
  <c r="K283" i="33"/>
  <c r="K291" i="33" s="1"/>
  <c r="Z179" i="33"/>
  <c r="Z238" i="33"/>
  <c r="Z246" i="33" s="1"/>
  <c r="Z254" i="33"/>
  <c r="N238" i="33"/>
  <c r="N246" i="33" s="1"/>
  <c r="N179" i="33"/>
  <c r="N254" i="33"/>
  <c r="W28" i="33"/>
  <c r="W138" i="33" s="1"/>
  <c r="W146" i="33" s="1"/>
  <c r="W154" i="33" s="1"/>
  <c r="W267" i="33"/>
  <c r="W274" i="33" s="1"/>
  <c r="K28" i="33"/>
  <c r="K138" i="33" s="1"/>
  <c r="K146" i="33" s="1"/>
  <c r="K154" i="33" s="1"/>
  <c r="K267" i="33"/>
  <c r="K274" i="33" s="1"/>
  <c r="AH283" i="33"/>
  <c r="AH291" i="33" s="1"/>
  <c r="V283" i="33"/>
  <c r="V291" i="33" s="1"/>
  <c r="J283" i="33"/>
  <c r="J291" i="33" s="1"/>
  <c r="Y238" i="33"/>
  <c r="Y246" i="33" s="1"/>
  <c r="Y254" i="33"/>
  <c r="Y179" i="33"/>
  <c r="M254" i="33"/>
  <c r="M179" i="33"/>
  <c r="M238" i="33"/>
  <c r="M246" i="33" s="1"/>
  <c r="V28" i="33"/>
  <c r="V138" i="33" s="1"/>
  <c r="V146" i="33" s="1"/>
  <c r="V154" i="33" s="1"/>
  <c r="V267" i="33"/>
  <c r="V274" i="33" s="1"/>
  <c r="J28" i="33"/>
  <c r="J138" i="33" s="1"/>
  <c r="J146" i="33" s="1"/>
  <c r="J154" i="33" s="1"/>
  <c r="J267" i="33"/>
  <c r="J274" i="33" s="1"/>
  <c r="AG283" i="33"/>
  <c r="AG291" i="33" s="1"/>
  <c r="U283" i="33"/>
  <c r="U291" i="33" s="1"/>
  <c r="I283" i="33"/>
  <c r="I291" i="33" s="1"/>
  <c r="X179" i="33"/>
  <c r="X238" i="33"/>
  <c r="X246" i="33" s="1"/>
  <c r="X254" i="33"/>
  <c r="L238" i="33"/>
  <c r="L246" i="33" s="1"/>
  <c r="L179" i="33"/>
  <c r="L254" i="33"/>
  <c r="AG28" i="33"/>
  <c r="AG138" i="33" s="1"/>
  <c r="AG146" i="33" s="1"/>
  <c r="AG154" i="33" s="1"/>
  <c r="AG267" i="33"/>
  <c r="AG274" i="33" s="1"/>
  <c r="I28" i="33"/>
  <c r="I138" i="33" s="1"/>
  <c r="I146" i="33" s="1"/>
  <c r="I154" i="33" s="1"/>
  <c r="I267" i="33"/>
  <c r="I274" i="33" s="1"/>
  <c r="G238" i="33"/>
  <c r="G246" i="33" s="1"/>
  <c r="G179" i="33"/>
  <c r="G254" i="33"/>
  <c r="AF283" i="33"/>
  <c r="AF291" i="33" s="1"/>
  <c r="T283" i="33"/>
  <c r="T291" i="33" s="1"/>
  <c r="H283" i="33"/>
  <c r="H291" i="33" s="1"/>
  <c r="W254" i="33"/>
  <c r="W238" i="33"/>
  <c r="W246" i="33" s="1"/>
  <c r="W179" i="33"/>
  <c r="K254" i="33"/>
  <c r="K238" i="33"/>
  <c r="K246" i="33" s="1"/>
  <c r="K179" i="33"/>
  <c r="AF28" i="33"/>
  <c r="AF138" i="33" s="1"/>
  <c r="AF146" i="33" s="1"/>
  <c r="AF154" i="33" s="1"/>
  <c r="AF267" i="33"/>
  <c r="AF274" i="33" s="1"/>
  <c r="T28" i="33"/>
  <c r="T138" i="33" s="1"/>
  <c r="T146" i="33" s="1"/>
  <c r="T154" i="33" s="1"/>
  <c r="T267" i="33"/>
  <c r="T274" i="33" s="1"/>
  <c r="H28" i="33"/>
  <c r="H138" i="33" s="1"/>
  <c r="H146" i="33" s="1"/>
  <c r="H154" i="33" s="1"/>
  <c r="H267" i="33"/>
  <c r="H274" i="33" s="1"/>
  <c r="AC283" i="33"/>
  <c r="AC291" i="33" s="1"/>
  <c r="C28" i="33"/>
  <c r="C138" i="33" s="1"/>
  <c r="C146" i="33" s="1"/>
  <c r="C154" i="33" s="1"/>
  <c r="C267" i="33"/>
  <c r="C274" i="33" s="1"/>
  <c r="G283" i="33"/>
  <c r="G291" i="33" s="1"/>
  <c r="AE283" i="33"/>
  <c r="AE291" i="33" s="1"/>
  <c r="S283" i="33"/>
  <c r="S291" i="33" s="1"/>
  <c r="AH179" i="33"/>
  <c r="AH254" i="33"/>
  <c r="AH238" i="33"/>
  <c r="AH246" i="33" s="1"/>
  <c r="V179" i="33"/>
  <c r="V238" i="33"/>
  <c r="V246" i="33" s="1"/>
  <c r="V254" i="33"/>
  <c r="J179" i="33"/>
  <c r="J238" i="33"/>
  <c r="J246" i="33" s="1"/>
  <c r="J254" i="33"/>
  <c r="AE28" i="33"/>
  <c r="AE138" i="33" s="1"/>
  <c r="AE146" i="33" s="1"/>
  <c r="AE154" i="33" s="1"/>
  <c r="AE267" i="33"/>
  <c r="AE274" i="33" s="1"/>
  <c r="S28" i="33"/>
  <c r="S138" i="33" s="1"/>
  <c r="S146" i="33" s="1"/>
  <c r="S154" i="33" s="1"/>
  <c r="S267" i="33"/>
  <c r="S274" i="33" s="1"/>
  <c r="AD283" i="33"/>
  <c r="AD291" i="33" s="1"/>
  <c r="R283" i="33"/>
  <c r="R291" i="33" s="1"/>
  <c r="AG254" i="33"/>
  <c r="AG179" i="33"/>
  <c r="AG238" i="33"/>
  <c r="AG246" i="33" s="1"/>
  <c r="U254" i="33"/>
  <c r="U238" i="33"/>
  <c r="U246" i="33" s="1"/>
  <c r="U179" i="33"/>
  <c r="I238" i="33"/>
  <c r="I246" i="33" s="1"/>
  <c r="I179" i="33"/>
  <c r="I254" i="33"/>
  <c r="AD28" i="33"/>
  <c r="AD138" i="33" s="1"/>
  <c r="AD146" i="33" s="1"/>
  <c r="AD154" i="33" s="1"/>
  <c r="AD267" i="33"/>
  <c r="AD274" i="33" s="1"/>
  <c r="R28" i="33"/>
  <c r="R138" i="33" s="1"/>
  <c r="R146" i="33" s="1"/>
  <c r="R154" i="33" s="1"/>
  <c r="R267" i="33"/>
  <c r="R274" i="33" s="1"/>
  <c r="L6" i="33"/>
  <c r="L31" i="33" s="1"/>
  <c r="G6" i="33"/>
  <c r="G31" i="33" s="1"/>
  <c r="W6" i="33"/>
  <c r="W31" i="33" s="1"/>
  <c r="K6" i="33"/>
  <c r="K31" i="33" s="1"/>
  <c r="AF15" i="33"/>
  <c r="AF10" i="33"/>
  <c r="AF47" i="33" s="1"/>
  <c r="AF67" i="33" s="1"/>
  <c r="AF73" i="33" s="1"/>
  <c r="AF79" i="33" s="1"/>
  <c r="T15" i="33"/>
  <c r="T10" i="33"/>
  <c r="T47" i="33" s="1"/>
  <c r="T67" i="33" s="1"/>
  <c r="T73" i="33" s="1"/>
  <c r="T79" i="33" s="1"/>
  <c r="H15" i="33"/>
  <c r="H10" i="33"/>
  <c r="H47" i="33" s="1"/>
  <c r="H67" i="33" s="1"/>
  <c r="H73" i="33" s="1"/>
  <c r="H79" i="33" s="1"/>
  <c r="AC28" i="33"/>
  <c r="AC138" i="33" s="1"/>
  <c r="AC146" i="33" s="1"/>
  <c r="AC154" i="33" s="1"/>
  <c r="Q28" i="33"/>
  <c r="Q138" i="33" s="1"/>
  <c r="Q146" i="33" s="1"/>
  <c r="Q154" i="33" s="1"/>
  <c r="V6" i="33"/>
  <c r="V31" i="33" s="1"/>
  <c r="S15" i="33"/>
  <c r="S10" i="33"/>
  <c r="S47" i="33" s="1"/>
  <c r="S67" i="33" s="1"/>
  <c r="S73" i="33" s="1"/>
  <c r="S79" i="33" s="1"/>
  <c r="J6" i="33"/>
  <c r="J31" i="33" s="1"/>
  <c r="AG6" i="33"/>
  <c r="AG31" i="33" s="1"/>
  <c r="U6" i="33"/>
  <c r="U31" i="33" s="1"/>
  <c r="I6" i="33"/>
  <c r="I31" i="33" s="1"/>
  <c r="AD15" i="33"/>
  <c r="AD10" i="33"/>
  <c r="AD47" i="33" s="1"/>
  <c r="AD67" i="33" s="1"/>
  <c r="AD73" i="33" s="1"/>
  <c r="AD79" i="33" s="1"/>
  <c r="R15" i="33"/>
  <c r="R10" i="33"/>
  <c r="R47" i="33" s="1"/>
  <c r="R67" i="33" s="1"/>
  <c r="R73" i="33" s="1"/>
  <c r="R79" i="33" s="1"/>
  <c r="C15" i="33"/>
  <c r="AE15" i="33"/>
  <c r="AE10" i="33"/>
  <c r="AE47" i="33" s="1"/>
  <c r="AE67" i="33" s="1"/>
  <c r="AE73" i="33" s="1"/>
  <c r="AE79" i="33" s="1"/>
  <c r="AF6" i="33"/>
  <c r="AF31" i="33" s="1"/>
  <c r="T6" i="33"/>
  <c r="T31" i="33" s="1"/>
  <c r="H6" i="33"/>
  <c r="H31" i="33" s="1"/>
  <c r="AC15" i="33"/>
  <c r="AC10" i="33"/>
  <c r="AC47" i="33" s="1"/>
  <c r="AC67" i="33" s="1"/>
  <c r="AC73" i="33" s="1"/>
  <c r="AC79" i="33" s="1"/>
  <c r="Q15" i="33"/>
  <c r="Q10" i="33"/>
  <c r="Q47" i="33" s="1"/>
  <c r="Q67" i="33" s="1"/>
  <c r="Q73" i="33" s="1"/>
  <c r="Q79" i="33" s="1"/>
  <c r="AH6" i="33"/>
  <c r="AH31" i="33" s="1"/>
  <c r="AE6" i="33"/>
  <c r="AE31" i="33" s="1"/>
  <c r="S6" i="33"/>
  <c r="S31" i="33" s="1"/>
  <c r="AB15" i="33"/>
  <c r="AB10" i="33"/>
  <c r="AB47" i="33" s="1"/>
  <c r="AB67" i="33" s="1"/>
  <c r="AB73" i="33" s="1"/>
  <c r="AB79" i="33" s="1"/>
  <c r="P15" i="33"/>
  <c r="P10" i="33"/>
  <c r="P47" i="33" s="1"/>
  <c r="P67" i="33" s="1"/>
  <c r="P73" i="33" s="1"/>
  <c r="P79" i="33" s="1"/>
  <c r="R6" i="33"/>
  <c r="R31" i="33" s="1"/>
  <c r="O15" i="33"/>
  <c r="O10" i="33"/>
  <c r="O47" i="33" s="1"/>
  <c r="O67" i="33" s="1"/>
  <c r="O73" i="33" s="1"/>
  <c r="O79" i="33" s="1"/>
  <c r="X6" i="33"/>
  <c r="X31" i="33" s="1"/>
  <c r="U15" i="33"/>
  <c r="U10" i="33"/>
  <c r="U47" i="33" s="1"/>
  <c r="U67" i="33" s="1"/>
  <c r="U73" i="33" s="1"/>
  <c r="U79" i="33" s="1"/>
  <c r="AA15" i="33"/>
  <c r="AA10" i="33"/>
  <c r="AA47" i="33" s="1"/>
  <c r="AA67" i="33" s="1"/>
  <c r="AA73" i="33" s="1"/>
  <c r="AA79" i="33" s="1"/>
  <c r="G28" i="33"/>
  <c r="G138" i="33" s="1"/>
  <c r="G146" i="33" s="1"/>
  <c r="G154" i="33" s="1"/>
  <c r="AC6" i="33"/>
  <c r="AC31" i="33" s="1"/>
  <c r="Q6" i="33"/>
  <c r="Q31" i="33" s="1"/>
  <c r="Z15" i="33"/>
  <c r="Z10" i="33"/>
  <c r="Z47" i="33" s="1"/>
  <c r="Z67" i="33" s="1"/>
  <c r="Z73" i="33" s="1"/>
  <c r="Z79" i="33" s="1"/>
  <c r="N15" i="33"/>
  <c r="N10" i="33"/>
  <c r="N47" i="33" s="1"/>
  <c r="N67" i="33" s="1"/>
  <c r="N73" i="33" s="1"/>
  <c r="N79" i="33" s="1"/>
  <c r="M15" i="33"/>
  <c r="M10" i="33"/>
  <c r="M47" i="33" s="1"/>
  <c r="M67" i="33" s="1"/>
  <c r="M73" i="33" s="1"/>
  <c r="M79" i="33" s="1"/>
  <c r="I15" i="33"/>
  <c r="I10" i="33"/>
  <c r="I47" i="33" s="1"/>
  <c r="I67" i="33" s="1"/>
  <c r="I73" i="33" s="1"/>
  <c r="I79" i="33" s="1"/>
  <c r="AB6" i="33"/>
  <c r="AB31" i="33" s="1"/>
  <c r="AA6" i="33"/>
  <c r="AA31" i="33" s="1"/>
  <c r="O6" i="33"/>
  <c r="O31" i="33" s="1"/>
  <c r="X15" i="33"/>
  <c r="X10" i="33"/>
  <c r="X47" i="33" s="1"/>
  <c r="X67" i="33" s="1"/>
  <c r="X73" i="33" s="1"/>
  <c r="X79" i="33" s="1"/>
  <c r="L15" i="33"/>
  <c r="L10" i="33"/>
  <c r="L47" i="33" s="1"/>
  <c r="L67" i="33" s="1"/>
  <c r="L73" i="33" s="1"/>
  <c r="L79" i="33" s="1"/>
  <c r="U28" i="33"/>
  <c r="U138" i="33" s="1"/>
  <c r="U146" i="33" s="1"/>
  <c r="U154" i="33" s="1"/>
  <c r="AG15" i="33"/>
  <c r="AG10" i="33"/>
  <c r="AG47" i="33" s="1"/>
  <c r="AG67" i="33" s="1"/>
  <c r="AG73" i="33" s="1"/>
  <c r="AG79" i="33" s="1"/>
  <c r="AD6" i="33"/>
  <c r="AD31" i="33" s="1"/>
  <c r="P6" i="33"/>
  <c r="P31" i="33" s="1"/>
  <c r="AH28" i="33"/>
  <c r="AH138" i="33" s="1"/>
  <c r="AH146" i="33" s="1"/>
  <c r="AH154" i="33" s="1"/>
  <c r="G15" i="33"/>
  <c r="G10" i="33"/>
  <c r="G47" i="33" s="1"/>
  <c r="G67" i="33" s="1"/>
  <c r="G73" i="33" s="1"/>
  <c r="G79" i="33" s="1"/>
  <c r="Z6" i="33"/>
  <c r="Z31" i="33" s="1"/>
  <c r="N6" i="33"/>
  <c r="N31" i="33" s="1"/>
  <c r="W10" i="33"/>
  <c r="W47" i="33" s="1"/>
  <c r="W67" i="33" s="1"/>
  <c r="W73" i="33" s="1"/>
  <c r="W79" i="33" s="1"/>
  <c r="W15" i="33"/>
  <c r="K10" i="33"/>
  <c r="K47" i="33" s="1"/>
  <c r="K67" i="33" s="1"/>
  <c r="K73" i="33" s="1"/>
  <c r="K79" i="33" s="1"/>
  <c r="K15" i="33"/>
  <c r="Y15" i="33"/>
  <c r="Y10" i="33"/>
  <c r="Y47" i="33" s="1"/>
  <c r="Y67" i="33" s="1"/>
  <c r="Y73" i="33" s="1"/>
  <c r="Y79" i="33" s="1"/>
  <c r="Y6" i="33"/>
  <c r="Y31" i="33" s="1"/>
  <c r="M6" i="33"/>
  <c r="M31" i="33" s="1"/>
  <c r="AH10" i="33"/>
  <c r="AH47" i="33" s="1"/>
  <c r="AH67" i="33" s="1"/>
  <c r="AH73" i="33" s="1"/>
  <c r="AH79" i="33" s="1"/>
  <c r="AH15" i="33"/>
  <c r="V10" i="33"/>
  <c r="V47" i="33" s="1"/>
  <c r="V67" i="33" s="1"/>
  <c r="V73" i="33" s="1"/>
  <c r="V79" i="33" s="1"/>
  <c r="V15" i="33"/>
  <c r="J15" i="33"/>
  <c r="J10" i="33"/>
  <c r="J47" i="33" s="1"/>
  <c r="J67" i="33" s="1"/>
  <c r="J73" i="33" s="1"/>
  <c r="J79" i="33" s="1"/>
  <c r="E7" i="29"/>
  <c r="AU387" i="26"/>
  <c r="AU387" i="25"/>
  <c r="AT396" i="24"/>
  <c r="C52" i="22"/>
  <c r="AT396" i="26"/>
  <c r="AW395" i="26"/>
  <c r="BE395" i="27"/>
  <c r="BG395" i="28"/>
  <c r="BM395" i="24"/>
  <c r="AZ395" i="24"/>
  <c r="AZ395" i="25"/>
  <c r="BM395" i="26"/>
  <c r="BD395" i="28"/>
  <c r="AT395" i="25"/>
  <c r="BI395" i="24"/>
  <c r="BI395" i="26"/>
  <c r="BL395" i="25"/>
  <c r="BB395" i="24"/>
  <c r="BF395" i="25"/>
  <c r="BB395" i="26"/>
  <c r="BG395" i="26"/>
  <c r="BG395" i="27"/>
  <c r="BM395" i="27"/>
  <c r="AT395" i="27"/>
  <c r="BL395" i="27"/>
  <c r="BA395" i="24"/>
  <c r="BE395" i="28"/>
  <c r="BC395" i="24"/>
  <c r="AX395" i="24"/>
  <c r="AX395" i="26"/>
  <c r="BC395" i="26"/>
  <c r="AV395" i="27"/>
  <c r="BB395" i="27"/>
  <c r="BF395" i="28"/>
  <c r="AX395" i="28"/>
  <c r="AV395" i="28"/>
  <c r="BD395" i="24"/>
  <c r="AY395" i="25"/>
  <c r="BJ395" i="26"/>
  <c r="BH395" i="27"/>
  <c r="BA395" i="28"/>
  <c r="AT395" i="26"/>
  <c r="BH395" i="28"/>
  <c r="AT394" i="28"/>
  <c r="BJ395" i="24"/>
  <c r="AY395" i="24"/>
  <c r="BE395" i="24"/>
  <c r="BG395" i="25"/>
  <c r="BK395" i="25"/>
  <c r="AW395" i="27"/>
  <c r="BC395" i="27"/>
  <c r="AY395" i="28"/>
  <c r="BM395" i="28"/>
  <c r="BK395" i="27"/>
  <c r="BK395" i="24"/>
  <c r="BF395" i="24"/>
  <c r="AZ395" i="26"/>
  <c r="AY395" i="26"/>
  <c r="BD395" i="26"/>
  <c r="BD395" i="27"/>
  <c r="BI395" i="27"/>
  <c r="BK395" i="28"/>
  <c r="AW395" i="28"/>
  <c r="AV395" i="26"/>
  <c r="BL395" i="24"/>
  <c r="BG395" i="24"/>
  <c r="BL395" i="26"/>
  <c r="BK395" i="26"/>
  <c r="BH395" i="26"/>
  <c r="AX395" i="27"/>
  <c r="AZ395" i="28"/>
  <c r="BB395" i="28"/>
  <c r="BI395" i="28"/>
  <c r="BH395" i="24"/>
  <c r="BA395" i="27"/>
  <c r="BF395" i="26"/>
  <c r="BE395" i="26"/>
  <c r="BJ395" i="27"/>
  <c r="BL395" i="28"/>
  <c r="BJ395" i="28"/>
  <c r="AT394" i="27"/>
  <c r="AV395" i="24"/>
  <c r="BA395" i="26"/>
  <c r="BF395" i="27"/>
  <c r="AW395" i="24"/>
  <c r="AZ395" i="27"/>
  <c r="AY395" i="27"/>
  <c r="BC395" i="28"/>
  <c r="AV30" i="21"/>
  <c r="O21" i="22" s="1"/>
  <c r="BH30" i="21"/>
  <c r="AA21" i="22" s="1"/>
  <c r="AW30" i="21"/>
  <c r="P21" i="22" s="1"/>
  <c r="BI30" i="21"/>
  <c r="AB21" i="22" s="1"/>
  <c r="AL30" i="21"/>
  <c r="E21" i="22" s="1"/>
  <c r="AX30" i="21"/>
  <c r="Q21" i="22" s="1"/>
  <c r="BJ30" i="21"/>
  <c r="AC21" i="22" s="1"/>
  <c r="AM30" i="21"/>
  <c r="F21" i="22" s="1"/>
  <c r="AY30" i="21"/>
  <c r="R21" i="22" s="1"/>
  <c r="BK30" i="21"/>
  <c r="AD21" i="22" s="1"/>
  <c r="AN30" i="21"/>
  <c r="G21" i="22" s="1"/>
  <c r="AZ30" i="21"/>
  <c r="S21" i="22" s="1"/>
  <c r="BL30" i="21"/>
  <c r="AE21" i="22" s="1"/>
  <c r="AQ30" i="21"/>
  <c r="J21" i="22" s="1"/>
  <c r="BC30" i="21"/>
  <c r="V21" i="22" s="1"/>
  <c r="AO30" i="21"/>
  <c r="H21" i="22" s="1"/>
  <c r="BA30" i="21"/>
  <c r="T21" i="22" s="1"/>
  <c r="AK30" i="21"/>
  <c r="D21" i="22" s="1"/>
  <c r="BD30" i="21"/>
  <c r="W21" i="22" s="1"/>
  <c r="AP30" i="21"/>
  <c r="I21" i="22" s="1"/>
  <c r="BB30" i="21"/>
  <c r="U21" i="22" s="1"/>
  <c r="AR30" i="21"/>
  <c r="K21" i="22" s="1"/>
  <c r="AS30" i="21"/>
  <c r="L21" i="22" s="1"/>
  <c r="BE30" i="21"/>
  <c r="X21" i="22" s="1"/>
  <c r="BG30" i="21"/>
  <c r="Z21" i="22" s="1"/>
  <c r="AT30" i="21"/>
  <c r="M21" i="22" s="1"/>
  <c r="BF30" i="21"/>
  <c r="Y21" i="22" s="1"/>
  <c r="AU30" i="21"/>
  <c r="N21" i="22" s="1"/>
  <c r="T49" i="22" s="1"/>
  <c r="T53" i="19"/>
  <c r="U53" i="19" s="1"/>
  <c r="V53" i="19" s="1"/>
  <c r="W53" i="19" s="1"/>
  <c r="X53" i="19" s="1"/>
  <c r="Y53" i="19" s="1"/>
  <c r="Z53" i="19" s="1"/>
  <c r="AA53" i="19" s="1"/>
  <c r="AB53" i="19" s="1"/>
  <c r="AC53" i="19" s="1"/>
  <c r="AD53" i="19" s="1"/>
  <c r="Q11" i="21"/>
  <c r="Q10" i="21"/>
  <c r="Q9" i="21"/>
  <c r="AD59" i="19"/>
  <c r="AD54" i="19"/>
  <c r="AD58" i="19"/>
  <c r="AD57" i="19"/>
  <c r="J44" i="20"/>
  <c r="P238" i="33" l="1"/>
  <c r="P246" i="33" s="1"/>
  <c r="P254" i="33"/>
  <c r="Q4" i="11"/>
  <c r="AT4" i="11" s="1"/>
  <c r="P3" i="33"/>
  <c r="G65" i="29"/>
  <c r="B75" i="22"/>
  <c r="O53" i="12"/>
  <c r="U53" i="12"/>
  <c r="K53" i="12"/>
  <c r="L53" i="12"/>
  <c r="AG53" i="12"/>
  <c r="AA53" i="12"/>
  <c r="P53" i="12"/>
  <c r="AD53" i="12"/>
  <c r="H53" i="12"/>
  <c r="AB53" i="12"/>
  <c r="W53" i="12"/>
  <c r="M53" i="12"/>
  <c r="N53" i="12"/>
  <c r="AC53" i="12"/>
  <c r="T53" i="12"/>
  <c r="R53" i="12"/>
  <c r="X53" i="12"/>
  <c r="Z53" i="12"/>
  <c r="Q53" i="12"/>
  <c r="AF53" i="12"/>
  <c r="AE53" i="12"/>
  <c r="AI53" i="12"/>
  <c r="Y53" i="12"/>
  <c r="J53" i="12"/>
  <c r="V53" i="12"/>
  <c r="S53" i="12"/>
  <c r="I53" i="12"/>
  <c r="AH53" i="12"/>
  <c r="C40" i="33"/>
  <c r="D56" i="12" s="1"/>
  <c r="D53" i="12"/>
  <c r="C52" i="33"/>
  <c r="C72" i="33"/>
  <c r="C78" i="33" s="1"/>
  <c r="C84" i="33" s="1"/>
  <c r="C91" i="33" s="1"/>
  <c r="C97" i="33" s="1"/>
  <c r="C103" i="33" s="1"/>
  <c r="C110" i="33" s="1"/>
  <c r="C117" i="33" s="1"/>
  <c r="C124" i="33" s="1"/>
  <c r="C171" i="33" s="1"/>
  <c r="C24" i="33"/>
  <c r="C9" i="33"/>
  <c r="C34" i="33" s="1"/>
  <c r="C61" i="33" s="1"/>
  <c r="C18" i="33"/>
  <c r="C14" i="33"/>
  <c r="C57" i="33"/>
  <c r="C62" i="33"/>
  <c r="C46" i="33"/>
  <c r="Y19" i="20"/>
  <c r="M29" i="20"/>
  <c r="A3" i="33"/>
  <c r="P326" i="33"/>
  <c r="P335" i="33"/>
  <c r="P23" i="33"/>
  <c r="P17" i="33"/>
  <c r="P12" i="33"/>
  <c r="P8" i="33"/>
  <c r="P129" i="33" s="1"/>
  <c r="P168" i="33" s="1"/>
  <c r="P212" i="33" s="1"/>
  <c r="P242" i="33" s="1"/>
  <c r="P250" i="33" s="1"/>
  <c r="P338" i="33" s="1"/>
  <c r="P342" i="33" s="1"/>
  <c r="P347" i="33" s="1"/>
  <c r="P353" i="33" s="1"/>
  <c r="P360" i="33" s="1"/>
  <c r="AD40" i="33"/>
  <c r="AD57" i="33"/>
  <c r="AD46" i="33"/>
  <c r="AD72" i="33"/>
  <c r="AD78" i="33" s="1"/>
  <c r="AD84" i="33" s="1"/>
  <c r="AD91" i="33" s="1"/>
  <c r="AD97" i="33" s="1"/>
  <c r="AD103" i="33" s="1"/>
  <c r="AD110" i="33" s="1"/>
  <c r="AD117" i="33" s="1"/>
  <c r="AD124" i="33" s="1"/>
  <c r="AD62" i="33"/>
  <c r="AD52" i="33"/>
  <c r="H57" i="33"/>
  <c r="H46" i="33"/>
  <c r="H72" i="33"/>
  <c r="H78" i="33" s="1"/>
  <c r="H84" i="33" s="1"/>
  <c r="H91" i="33" s="1"/>
  <c r="H97" i="33" s="1"/>
  <c r="H103" i="33" s="1"/>
  <c r="H110" i="33" s="1"/>
  <c r="H117" i="33" s="1"/>
  <c r="H124" i="33" s="1"/>
  <c r="H40" i="33"/>
  <c r="H52" i="33"/>
  <c r="H62" i="33"/>
  <c r="S104" i="33"/>
  <c r="S111" i="33" s="1"/>
  <c r="S118" i="33" s="1"/>
  <c r="S125" i="33" s="1"/>
  <c r="S85" i="33"/>
  <c r="L188" i="33"/>
  <c r="L197" i="33"/>
  <c r="L206" i="33" s="1"/>
  <c r="L215" i="33" s="1"/>
  <c r="J178" i="33"/>
  <c r="J162" i="33"/>
  <c r="J363" i="33" s="1"/>
  <c r="Z188" i="33"/>
  <c r="Z197" i="33"/>
  <c r="Z206" i="33" s="1"/>
  <c r="Z215" i="33" s="1"/>
  <c r="O197" i="33"/>
  <c r="O206" i="33" s="1"/>
  <c r="O215" i="33" s="1"/>
  <c r="O188" i="33"/>
  <c r="H197" i="33"/>
  <c r="H206" i="33" s="1"/>
  <c r="H215" i="33" s="1"/>
  <c r="H188" i="33"/>
  <c r="Z178" i="33"/>
  <c r="Z162" i="33"/>
  <c r="Z363" i="33" s="1"/>
  <c r="O178" i="33"/>
  <c r="O162" i="33"/>
  <c r="O363" i="33" s="1"/>
  <c r="AE188" i="33"/>
  <c r="AE197" i="33"/>
  <c r="AE206" i="33" s="1"/>
  <c r="AE215" i="33" s="1"/>
  <c r="N62" i="33"/>
  <c r="N40" i="33"/>
  <c r="N46" i="33"/>
  <c r="N52" i="33"/>
  <c r="N72" i="33"/>
  <c r="N78" i="33" s="1"/>
  <c r="N84" i="33" s="1"/>
  <c r="N91" i="33" s="1"/>
  <c r="N97" i="33" s="1"/>
  <c r="N103" i="33" s="1"/>
  <c r="N110" i="33" s="1"/>
  <c r="N117" i="33" s="1"/>
  <c r="N124" i="33" s="1"/>
  <c r="N57" i="33"/>
  <c r="O57" i="33"/>
  <c r="O52" i="33"/>
  <c r="O40" i="33"/>
  <c r="O62" i="33"/>
  <c r="O46" i="33"/>
  <c r="O72" i="33"/>
  <c r="O78" i="33" s="1"/>
  <c r="O84" i="33" s="1"/>
  <c r="O91" i="33" s="1"/>
  <c r="O97" i="33" s="1"/>
  <c r="O103" i="33" s="1"/>
  <c r="O110" i="33" s="1"/>
  <c r="O117" i="33" s="1"/>
  <c r="O124" i="33" s="1"/>
  <c r="N104" i="33"/>
  <c r="N111" i="33" s="1"/>
  <c r="N118" i="33" s="1"/>
  <c r="N125" i="33" s="1"/>
  <c r="N85" i="33"/>
  <c r="AA85" i="33"/>
  <c r="AA104" i="33"/>
  <c r="AA111" i="33" s="1"/>
  <c r="AA118" i="33" s="1"/>
  <c r="AA125" i="33" s="1"/>
  <c r="AD104" i="33"/>
  <c r="AD111" i="33" s="1"/>
  <c r="AD118" i="33" s="1"/>
  <c r="AD125" i="33" s="1"/>
  <c r="AD85" i="33"/>
  <c r="U197" i="33"/>
  <c r="U206" i="33" s="1"/>
  <c r="U215" i="33" s="1"/>
  <c r="U188" i="33"/>
  <c r="T178" i="33"/>
  <c r="T162" i="33"/>
  <c r="T363" i="33" s="1"/>
  <c r="M40" i="33"/>
  <c r="M46" i="33"/>
  <c r="M52" i="33"/>
  <c r="M72" i="33"/>
  <c r="M78" i="33" s="1"/>
  <c r="M84" i="33" s="1"/>
  <c r="M91" i="33" s="1"/>
  <c r="M97" i="33" s="1"/>
  <c r="M103" i="33" s="1"/>
  <c r="M110" i="33" s="1"/>
  <c r="M117" i="33" s="1"/>
  <c r="M124" i="33" s="1"/>
  <c r="M57" i="33"/>
  <c r="M62" i="33"/>
  <c r="R40" i="33"/>
  <c r="R46" i="33"/>
  <c r="R57" i="33"/>
  <c r="R72" i="33"/>
  <c r="R78" i="33" s="1"/>
  <c r="R84" i="33" s="1"/>
  <c r="R91" i="33" s="1"/>
  <c r="R97" i="33" s="1"/>
  <c r="R103" i="33" s="1"/>
  <c r="R110" i="33" s="1"/>
  <c r="R117" i="33" s="1"/>
  <c r="R124" i="33" s="1"/>
  <c r="R62" i="33"/>
  <c r="R52" i="33"/>
  <c r="Y62" i="33"/>
  <c r="Y46" i="33"/>
  <c r="Y52" i="33"/>
  <c r="Y40" i="33"/>
  <c r="Y57" i="33"/>
  <c r="Y72" i="33"/>
  <c r="Y78" i="33" s="1"/>
  <c r="Y84" i="33" s="1"/>
  <c r="Y91" i="33" s="1"/>
  <c r="Y97" i="33" s="1"/>
  <c r="Y103" i="33" s="1"/>
  <c r="Y110" i="33" s="1"/>
  <c r="Y117" i="33" s="1"/>
  <c r="Y124" i="33" s="1"/>
  <c r="AG85" i="33"/>
  <c r="AG104" i="33"/>
  <c r="AG111" i="33" s="1"/>
  <c r="AG118" i="33" s="1"/>
  <c r="AG125" i="33" s="1"/>
  <c r="P104" i="33"/>
  <c r="P111" i="33" s="1"/>
  <c r="P118" i="33" s="1"/>
  <c r="P125" i="33" s="1"/>
  <c r="P85" i="33"/>
  <c r="T46" i="33"/>
  <c r="T62" i="33"/>
  <c r="T52" i="33"/>
  <c r="T72" i="33"/>
  <c r="T78" i="33" s="1"/>
  <c r="T84" i="33" s="1"/>
  <c r="T91" i="33" s="1"/>
  <c r="T97" i="33" s="1"/>
  <c r="T103" i="33" s="1"/>
  <c r="T110" i="33" s="1"/>
  <c r="T117" i="33" s="1"/>
  <c r="T124" i="33" s="1"/>
  <c r="T40" i="33"/>
  <c r="T57" i="33"/>
  <c r="AE178" i="33"/>
  <c r="AE162" i="33"/>
  <c r="AE363" i="33" s="1"/>
  <c r="V178" i="33"/>
  <c r="V162" i="33"/>
  <c r="V363" i="33" s="1"/>
  <c r="M178" i="33"/>
  <c r="M162" i="33"/>
  <c r="M363" i="33" s="1"/>
  <c r="Q197" i="33"/>
  <c r="Q206" i="33" s="1"/>
  <c r="Q215" i="33" s="1"/>
  <c r="Q188" i="33"/>
  <c r="AA162" i="33"/>
  <c r="AA363" i="33" s="1"/>
  <c r="AA178" i="33"/>
  <c r="G162" i="33"/>
  <c r="G363" i="33" s="1"/>
  <c r="G178" i="33"/>
  <c r="Z62" i="33"/>
  <c r="Z72" i="33"/>
  <c r="Z78" i="33" s="1"/>
  <c r="Z84" i="33" s="1"/>
  <c r="Z91" i="33" s="1"/>
  <c r="Z97" i="33" s="1"/>
  <c r="Z103" i="33" s="1"/>
  <c r="Z110" i="33" s="1"/>
  <c r="Z117" i="33" s="1"/>
  <c r="Z124" i="33" s="1"/>
  <c r="Z57" i="33"/>
  <c r="Z52" i="33"/>
  <c r="Z46" i="33"/>
  <c r="Z40" i="33"/>
  <c r="V40" i="33"/>
  <c r="V57" i="33"/>
  <c r="V62" i="33"/>
  <c r="V46" i="33"/>
  <c r="V52" i="33"/>
  <c r="V72" i="33"/>
  <c r="V78" i="33" s="1"/>
  <c r="V84" i="33" s="1"/>
  <c r="V91" i="33" s="1"/>
  <c r="V97" i="33" s="1"/>
  <c r="V103" i="33" s="1"/>
  <c r="V110" i="33" s="1"/>
  <c r="V117" i="33" s="1"/>
  <c r="V124" i="33" s="1"/>
  <c r="AA197" i="33"/>
  <c r="AA206" i="33" s="1"/>
  <c r="AA215" i="33" s="1"/>
  <c r="AA188" i="33"/>
  <c r="Y104" i="33"/>
  <c r="Y111" i="33" s="1"/>
  <c r="Y118" i="33" s="1"/>
  <c r="Y125" i="33" s="1"/>
  <c r="Y85" i="33"/>
  <c r="Z85" i="33"/>
  <c r="Z104" i="33"/>
  <c r="Z111" i="33" s="1"/>
  <c r="Z118" i="33" s="1"/>
  <c r="Z125" i="33" s="1"/>
  <c r="U85" i="33"/>
  <c r="U104" i="33"/>
  <c r="U111" i="33" s="1"/>
  <c r="U118" i="33" s="1"/>
  <c r="U125" i="33" s="1"/>
  <c r="AH40" i="33"/>
  <c r="AH46" i="33"/>
  <c r="AH52" i="33"/>
  <c r="AH57" i="33"/>
  <c r="AH62" i="33"/>
  <c r="AH72" i="33"/>
  <c r="AH78" i="33" s="1"/>
  <c r="AH84" i="33" s="1"/>
  <c r="AH91" i="33" s="1"/>
  <c r="AH97" i="33" s="1"/>
  <c r="AH103" i="33" s="1"/>
  <c r="AH110" i="33" s="1"/>
  <c r="AH117" i="33" s="1"/>
  <c r="AH124" i="33" s="1"/>
  <c r="AF57" i="33"/>
  <c r="AF52" i="33"/>
  <c r="AF72" i="33"/>
  <c r="AF78" i="33" s="1"/>
  <c r="AF84" i="33" s="1"/>
  <c r="AF91" i="33" s="1"/>
  <c r="AF97" i="33" s="1"/>
  <c r="AF103" i="33" s="1"/>
  <c r="AF110" i="33" s="1"/>
  <c r="AF117" i="33" s="1"/>
  <c r="AF124" i="33" s="1"/>
  <c r="AF62" i="33"/>
  <c r="AF40" i="33"/>
  <c r="AF46" i="33"/>
  <c r="I52" i="33"/>
  <c r="I72" i="33"/>
  <c r="I78" i="33" s="1"/>
  <c r="I84" i="33" s="1"/>
  <c r="I91" i="33" s="1"/>
  <c r="I97" i="33" s="1"/>
  <c r="I103" i="33" s="1"/>
  <c r="I110" i="33" s="1"/>
  <c r="I117" i="33" s="1"/>
  <c r="I124" i="33" s="1"/>
  <c r="I40" i="33"/>
  <c r="I46" i="33"/>
  <c r="I62" i="33"/>
  <c r="I57" i="33"/>
  <c r="K197" i="33"/>
  <c r="K206" i="33" s="1"/>
  <c r="K215" i="33" s="1"/>
  <c r="K188" i="33"/>
  <c r="X197" i="33"/>
  <c r="X206" i="33" s="1"/>
  <c r="X215" i="33" s="1"/>
  <c r="X188" i="33"/>
  <c r="M188" i="33"/>
  <c r="M197" i="33"/>
  <c r="M206" i="33" s="1"/>
  <c r="M215" i="33" s="1"/>
  <c r="K178" i="33"/>
  <c r="K162" i="33"/>
  <c r="K363" i="33" s="1"/>
  <c r="Y178" i="33"/>
  <c r="Y162" i="33"/>
  <c r="Y363" i="33" s="1"/>
  <c r="P178" i="33"/>
  <c r="P162" i="33"/>
  <c r="P363" i="33" s="1"/>
  <c r="S178" i="33"/>
  <c r="S162" i="33"/>
  <c r="S363" i="33" s="1"/>
  <c r="J85" i="33"/>
  <c r="J104" i="33"/>
  <c r="J111" i="33" s="1"/>
  <c r="J118" i="33" s="1"/>
  <c r="J125" i="33" s="1"/>
  <c r="AF85" i="33"/>
  <c r="AF104" i="33"/>
  <c r="AF111" i="33" s="1"/>
  <c r="AF118" i="33" s="1"/>
  <c r="AF125" i="33" s="1"/>
  <c r="G85" i="33"/>
  <c r="G104" i="33"/>
  <c r="G111" i="33" s="1"/>
  <c r="G118" i="33" s="1"/>
  <c r="G125" i="33" s="1"/>
  <c r="AB52" i="33"/>
  <c r="AB46" i="33"/>
  <c r="AB40" i="33"/>
  <c r="AB62" i="33"/>
  <c r="AB72" i="33"/>
  <c r="AB78" i="33" s="1"/>
  <c r="AB84" i="33" s="1"/>
  <c r="AB91" i="33" s="1"/>
  <c r="AB97" i="33" s="1"/>
  <c r="AB103" i="33" s="1"/>
  <c r="AB110" i="33" s="1"/>
  <c r="AB117" i="33" s="1"/>
  <c r="AB124" i="33" s="1"/>
  <c r="AB57" i="33"/>
  <c r="AB104" i="33"/>
  <c r="AB111" i="33" s="1"/>
  <c r="AB118" i="33" s="1"/>
  <c r="AB125" i="33" s="1"/>
  <c r="AB85" i="33"/>
  <c r="Q162" i="33"/>
  <c r="Q363" i="33" s="1"/>
  <c r="Q178" i="33"/>
  <c r="AG188" i="33"/>
  <c r="AG197" i="33"/>
  <c r="AG206" i="33" s="1"/>
  <c r="AG215" i="33" s="1"/>
  <c r="J188" i="33"/>
  <c r="J197" i="33"/>
  <c r="J206" i="33" s="1"/>
  <c r="J215" i="33" s="1"/>
  <c r="G188" i="33"/>
  <c r="G197" i="33"/>
  <c r="G206" i="33" s="1"/>
  <c r="G215" i="33" s="1"/>
  <c r="R188" i="33"/>
  <c r="R197" i="33"/>
  <c r="R206" i="33" s="1"/>
  <c r="R215" i="33" s="1"/>
  <c r="C104" i="33"/>
  <c r="C111" i="33" s="1"/>
  <c r="C118" i="33" s="1"/>
  <c r="C125" i="33" s="1"/>
  <c r="C85" i="33"/>
  <c r="AA52" i="33"/>
  <c r="AA57" i="33"/>
  <c r="AA46" i="33"/>
  <c r="AA40" i="33"/>
  <c r="AA72" i="33"/>
  <c r="AA78" i="33" s="1"/>
  <c r="AA84" i="33" s="1"/>
  <c r="AA91" i="33" s="1"/>
  <c r="AA97" i="33" s="1"/>
  <c r="AA103" i="33" s="1"/>
  <c r="AA110" i="33" s="1"/>
  <c r="AA117" i="33" s="1"/>
  <c r="AA124" i="33" s="1"/>
  <c r="AA62" i="33"/>
  <c r="U178" i="33"/>
  <c r="U162" i="33"/>
  <c r="U363" i="33" s="1"/>
  <c r="Q104" i="33"/>
  <c r="Q111" i="33" s="1"/>
  <c r="Q118" i="33" s="1"/>
  <c r="Q125" i="33" s="1"/>
  <c r="Q85" i="33"/>
  <c r="AE85" i="33"/>
  <c r="AE104" i="33"/>
  <c r="AE111" i="33" s="1"/>
  <c r="AE118" i="33" s="1"/>
  <c r="AE125" i="33" s="1"/>
  <c r="U52" i="33"/>
  <c r="U40" i="33"/>
  <c r="U72" i="33"/>
  <c r="U78" i="33" s="1"/>
  <c r="U84" i="33" s="1"/>
  <c r="U91" i="33" s="1"/>
  <c r="U97" i="33" s="1"/>
  <c r="U103" i="33" s="1"/>
  <c r="U110" i="33" s="1"/>
  <c r="U117" i="33" s="1"/>
  <c r="U124" i="33" s="1"/>
  <c r="U46" i="33"/>
  <c r="U62" i="33"/>
  <c r="U57" i="33"/>
  <c r="K72" i="33"/>
  <c r="K78" i="33" s="1"/>
  <c r="K84" i="33" s="1"/>
  <c r="K91" i="33" s="1"/>
  <c r="K97" i="33" s="1"/>
  <c r="K103" i="33" s="1"/>
  <c r="K110" i="33" s="1"/>
  <c r="K117" i="33" s="1"/>
  <c r="K124" i="33" s="1"/>
  <c r="K46" i="33"/>
  <c r="K40" i="33"/>
  <c r="K52" i="33"/>
  <c r="K62" i="33"/>
  <c r="K57" i="33"/>
  <c r="Y197" i="33"/>
  <c r="Y206" i="33" s="1"/>
  <c r="Y215" i="33" s="1"/>
  <c r="Y188" i="33"/>
  <c r="W162" i="33"/>
  <c r="W363" i="33" s="1"/>
  <c r="W178" i="33"/>
  <c r="AC197" i="33"/>
  <c r="AC206" i="33" s="1"/>
  <c r="AC215" i="33" s="1"/>
  <c r="AC188" i="33"/>
  <c r="AB178" i="33"/>
  <c r="AB162" i="33"/>
  <c r="AB363" i="33" s="1"/>
  <c r="L40" i="33"/>
  <c r="L72" i="33"/>
  <c r="L78" i="33" s="1"/>
  <c r="L84" i="33" s="1"/>
  <c r="L91" i="33" s="1"/>
  <c r="L97" i="33" s="1"/>
  <c r="L103" i="33" s="1"/>
  <c r="L110" i="33" s="1"/>
  <c r="L117" i="33" s="1"/>
  <c r="L124" i="33" s="1"/>
  <c r="L62" i="33"/>
  <c r="L52" i="33"/>
  <c r="L57" i="33"/>
  <c r="L46" i="33"/>
  <c r="AF178" i="33"/>
  <c r="AF162" i="33"/>
  <c r="AF363" i="33" s="1"/>
  <c r="V85" i="33"/>
  <c r="V104" i="33"/>
  <c r="V111" i="33" s="1"/>
  <c r="V118" i="33" s="1"/>
  <c r="V125" i="33" s="1"/>
  <c r="L85" i="33"/>
  <c r="L104" i="33"/>
  <c r="L111" i="33" s="1"/>
  <c r="L118" i="33" s="1"/>
  <c r="L125" i="33" s="1"/>
  <c r="I85" i="33"/>
  <c r="I104" i="33"/>
  <c r="I111" i="33" s="1"/>
  <c r="I118" i="33" s="1"/>
  <c r="I125" i="33" s="1"/>
  <c r="Q57" i="33"/>
  <c r="Q46" i="33"/>
  <c r="Q62" i="33"/>
  <c r="Q52" i="33"/>
  <c r="Q40" i="33"/>
  <c r="Q72" i="33"/>
  <c r="Q78" i="33" s="1"/>
  <c r="Q84" i="33" s="1"/>
  <c r="Q91" i="33" s="1"/>
  <c r="Q97" i="33" s="1"/>
  <c r="Q103" i="33" s="1"/>
  <c r="Q110" i="33" s="1"/>
  <c r="Q117" i="33" s="1"/>
  <c r="Q124" i="33" s="1"/>
  <c r="X40" i="33"/>
  <c r="X62" i="33"/>
  <c r="X52" i="33"/>
  <c r="X57" i="33"/>
  <c r="X72" i="33"/>
  <c r="X78" i="33" s="1"/>
  <c r="X84" i="33" s="1"/>
  <c r="X91" i="33" s="1"/>
  <c r="X97" i="33" s="1"/>
  <c r="X103" i="33" s="1"/>
  <c r="X110" i="33" s="1"/>
  <c r="X117" i="33" s="1"/>
  <c r="X124" i="33" s="1"/>
  <c r="X46" i="33"/>
  <c r="AC162" i="33"/>
  <c r="AC363" i="33" s="1"/>
  <c r="AC178" i="33"/>
  <c r="R178" i="33"/>
  <c r="R162" i="33"/>
  <c r="R363" i="33" s="1"/>
  <c r="C178" i="33"/>
  <c r="C162" i="33"/>
  <c r="C363" i="33" s="1"/>
  <c r="W188" i="33"/>
  <c r="W197" i="33"/>
  <c r="W206" i="33" s="1"/>
  <c r="W215" i="33" s="1"/>
  <c r="AF188" i="33"/>
  <c r="AF197" i="33"/>
  <c r="AF206" i="33" s="1"/>
  <c r="AF215" i="33" s="1"/>
  <c r="P188" i="33"/>
  <c r="P197" i="33"/>
  <c r="P206" i="33" s="1"/>
  <c r="P215" i="33" s="1"/>
  <c r="AD197" i="33"/>
  <c r="AD206" i="33" s="1"/>
  <c r="AD215" i="33" s="1"/>
  <c r="AD188" i="33"/>
  <c r="C188" i="33"/>
  <c r="C197" i="33"/>
  <c r="C206" i="33" s="1"/>
  <c r="C215" i="33" s="1"/>
  <c r="K104" i="33"/>
  <c r="K111" i="33" s="1"/>
  <c r="K118" i="33" s="1"/>
  <c r="K125" i="33" s="1"/>
  <c r="K85" i="33"/>
  <c r="AH178" i="33"/>
  <c r="AH162" i="33"/>
  <c r="AH363" i="33" s="1"/>
  <c r="S52" i="33"/>
  <c r="S62" i="33"/>
  <c r="S46" i="33"/>
  <c r="S72" i="33"/>
  <c r="S78" i="33" s="1"/>
  <c r="S84" i="33" s="1"/>
  <c r="S91" i="33" s="1"/>
  <c r="S97" i="33" s="1"/>
  <c r="S103" i="33" s="1"/>
  <c r="S110" i="33" s="1"/>
  <c r="S117" i="33" s="1"/>
  <c r="S124" i="33" s="1"/>
  <c r="S40" i="33"/>
  <c r="S57" i="33"/>
  <c r="AG52" i="33"/>
  <c r="AG40" i="33"/>
  <c r="AG72" i="33"/>
  <c r="AG78" i="33" s="1"/>
  <c r="AG84" i="33" s="1"/>
  <c r="AG91" i="33" s="1"/>
  <c r="AG97" i="33" s="1"/>
  <c r="AG103" i="33" s="1"/>
  <c r="AG110" i="33" s="1"/>
  <c r="AG117" i="33" s="1"/>
  <c r="AG124" i="33" s="1"/>
  <c r="AG57" i="33"/>
  <c r="AG62" i="33"/>
  <c r="AG46" i="33"/>
  <c r="W72" i="33"/>
  <c r="W78" i="33" s="1"/>
  <c r="W84" i="33" s="1"/>
  <c r="W91" i="33" s="1"/>
  <c r="W97" i="33" s="1"/>
  <c r="W103" i="33" s="1"/>
  <c r="W110" i="33" s="1"/>
  <c r="W117" i="33" s="1"/>
  <c r="W124" i="33" s="1"/>
  <c r="W40" i="33"/>
  <c r="W46" i="33"/>
  <c r="W62" i="33"/>
  <c r="W57" i="33"/>
  <c r="W52" i="33"/>
  <c r="V188" i="33"/>
  <c r="V197" i="33"/>
  <c r="V206" i="33" s="1"/>
  <c r="V215" i="33" s="1"/>
  <c r="I178" i="33"/>
  <c r="I162" i="33"/>
  <c r="I363" i="33" s="1"/>
  <c r="N188" i="33"/>
  <c r="N197" i="33"/>
  <c r="N206" i="33" s="1"/>
  <c r="N215" i="33" s="1"/>
  <c r="S188" i="33"/>
  <c r="S197" i="33"/>
  <c r="S206" i="33" s="1"/>
  <c r="S215" i="33" s="1"/>
  <c r="AC57" i="33"/>
  <c r="AC52" i="33"/>
  <c r="AC62" i="33"/>
  <c r="AC46" i="33"/>
  <c r="AC40" i="33"/>
  <c r="AC72" i="33"/>
  <c r="AC78" i="33" s="1"/>
  <c r="AC84" i="33" s="1"/>
  <c r="AC91" i="33" s="1"/>
  <c r="AC97" i="33" s="1"/>
  <c r="AC103" i="33" s="1"/>
  <c r="AC110" i="33" s="1"/>
  <c r="AC117" i="33" s="1"/>
  <c r="AC124" i="33" s="1"/>
  <c r="O104" i="33"/>
  <c r="O111" i="33" s="1"/>
  <c r="O118" i="33" s="1"/>
  <c r="O125" i="33" s="1"/>
  <c r="O85" i="33"/>
  <c r="AC104" i="33"/>
  <c r="AC111" i="33" s="1"/>
  <c r="AC118" i="33" s="1"/>
  <c r="AC125" i="33" s="1"/>
  <c r="AC85" i="33"/>
  <c r="H85" i="33"/>
  <c r="H104" i="33"/>
  <c r="H111" i="33" s="1"/>
  <c r="H118" i="33" s="1"/>
  <c r="H125" i="33" s="1"/>
  <c r="AD178" i="33"/>
  <c r="AD162" i="33"/>
  <c r="AD363" i="33" s="1"/>
  <c r="L178" i="33"/>
  <c r="L162" i="33"/>
  <c r="L363" i="33" s="1"/>
  <c r="T188" i="33"/>
  <c r="T197" i="33"/>
  <c r="T206" i="33" s="1"/>
  <c r="T215" i="33" s="1"/>
  <c r="AH85" i="33"/>
  <c r="AH104" i="33"/>
  <c r="AH111" i="33" s="1"/>
  <c r="AH118" i="33" s="1"/>
  <c r="AH125" i="33" s="1"/>
  <c r="P52" i="33"/>
  <c r="P46" i="33"/>
  <c r="P40" i="33"/>
  <c r="P72" i="33"/>
  <c r="P78" i="33" s="1"/>
  <c r="P84" i="33" s="1"/>
  <c r="P91" i="33" s="1"/>
  <c r="P97" i="33" s="1"/>
  <c r="P103" i="33" s="1"/>
  <c r="P110" i="33" s="1"/>
  <c r="P117" i="33" s="1"/>
  <c r="P124" i="33" s="1"/>
  <c r="P62" i="33"/>
  <c r="P57" i="33"/>
  <c r="X85" i="33"/>
  <c r="X104" i="33"/>
  <c r="X111" i="33" s="1"/>
  <c r="X118" i="33" s="1"/>
  <c r="X125" i="33" s="1"/>
  <c r="M104" i="33"/>
  <c r="M111" i="33" s="1"/>
  <c r="M118" i="33" s="1"/>
  <c r="M125" i="33" s="1"/>
  <c r="M85" i="33"/>
  <c r="AE52" i="33"/>
  <c r="AE62" i="33"/>
  <c r="AE57" i="33"/>
  <c r="AE40" i="33"/>
  <c r="AE72" i="33"/>
  <c r="AE78" i="33" s="1"/>
  <c r="AE84" i="33" s="1"/>
  <c r="AE91" i="33" s="1"/>
  <c r="AE97" i="33" s="1"/>
  <c r="AE103" i="33" s="1"/>
  <c r="AE110" i="33" s="1"/>
  <c r="AE117" i="33" s="1"/>
  <c r="AE124" i="33" s="1"/>
  <c r="AE46" i="33"/>
  <c r="R104" i="33"/>
  <c r="R111" i="33" s="1"/>
  <c r="R118" i="33" s="1"/>
  <c r="R125" i="33" s="1"/>
  <c r="R85" i="33"/>
  <c r="J40" i="33"/>
  <c r="J52" i="33"/>
  <c r="J46" i="33"/>
  <c r="J57" i="33"/>
  <c r="J62" i="33"/>
  <c r="J72" i="33"/>
  <c r="J78" i="33" s="1"/>
  <c r="J84" i="33" s="1"/>
  <c r="J91" i="33" s="1"/>
  <c r="J97" i="33" s="1"/>
  <c r="J103" i="33" s="1"/>
  <c r="J110" i="33" s="1"/>
  <c r="J117" i="33" s="1"/>
  <c r="J124" i="33" s="1"/>
  <c r="G52" i="33"/>
  <c r="G62" i="33"/>
  <c r="G40" i="33"/>
  <c r="G72" i="33"/>
  <c r="G78" i="33" s="1"/>
  <c r="G84" i="33" s="1"/>
  <c r="G91" i="33" s="1"/>
  <c r="G97" i="33" s="1"/>
  <c r="G103" i="33" s="1"/>
  <c r="G110" i="33" s="1"/>
  <c r="G117" i="33" s="1"/>
  <c r="G124" i="33" s="1"/>
  <c r="G46" i="33"/>
  <c r="G57" i="33"/>
  <c r="AG178" i="33"/>
  <c r="AG162" i="33"/>
  <c r="AG363" i="33" s="1"/>
  <c r="AB188" i="33"/>
  <c r="AB197" i="33"/>
  <c r="AB206" i="33" s="1"/>
  <c r="AB215" i="33" s="1"/>
  <c r="N162" i="33"/>
  <c r="N363" i="33" s="1"/>
  <c r="N178" i="33"/>
  <c r="T85" i="33"/>
  <c r="T104" i="33"/>
  <c r="T111" i="33" s="1"/>
  <c r="T118" i="33" s="1"/>
  <c r="T125" i="33" s="1"/>
  <c r="W104" i="33"/>
  <c r="W111" i="33" s="1"/>
  <c r="W118" i="33" s="1"/>
  <c r="W125" i="33" s="1"/>
  <c r="W85" i="33"/>
  <c r="I197" i="33"/>
  <c r="I206" i="33" s="1"/>
  <c r="I215" i="33" s="1"/>
  <c r="I188" i="33"/>
  <c r="AH197" i="33"/>
  <c r="AH206" i="33" s="1"/>
  <c r="AH215" i="33" s="1"/>
  <c r="AH188" i="33"/>
  <c r="H178" i="33"/>
  <c r="H162" i="33"/>
  <c r="H363" i="33" s="1"/>
  <c r="X178" i="33"/>
  <c r="X162" i="33"/>
  <c r="X363" i="33" s="1"/>
  <c r="J25" i="33"/>
  <c r="J19" i="33"/>
  <c r="Z24" i="33"/>
  <c r="Z9" i="33"/>
  <c r="Z34" i="33" s="1"/>
  <c r="Z18" i="33"/>
  <c r="Z14" i="33"/>
  <c r="AA9" i="33"/>
  <c r="AA34" i="33" s="1"/>
  <c r="AA24" i="33"/>
  <c r="AA14" i="33"/>
  <c r="AA18" i="33"/>
  <c r="AD26" i="33"/>
  <c r="AD20" i="33"/>
  <c r="AD90" i="33" s="1"/>
  <c r="AD96" i="33" s="1"/>
  <c r="AD102" i="33" s="1"/>
  <c r="AD109" i="33" s="1"/>
  <c r="AD116" i="33" s="1"/>
  <c r="AD123" i="33" s="1"/>
  <c r="P26" i="33"/>
  <c r="P20" i="33"/>
  <c r="P90" i="33" s="1"/>
  <c r="P96" i="33" s="1"/>
  <c r="P102" i="33" s="1"/>
  <c r="P109" i="33" s="1"/>
  <c r="P116" i="33" s="1"/>
  <c r="P123" i="33" s="1"/>
  <c r="J26" i="33"/>
  <c r="J20" i="33"/>
  <c r="J90" i="33" s="1"/>
  <c r="J96" i="33" s="1"/>
  <c r="J102" i="33" s="1"/>
  <c r="J109" i="33" s="1"/>
  <c r="J116" i="33" s="1"/>
  <c r="J123" i="33" s="1"/>
  <c r="Y25" i="33"/>
  <c r="Y19" i="33"/>
  <c r="Z25" i="33"/>
  <c r="Z19" i="33"/>
  <c r="U25" i="33"/>
  <c r="U19" i="33"/>
  <c r="AH24" i="33"/>
  <c r="AH18" i="33"/>
  <c r="AH9" i="33"/>
  <c r="AH34" i="33" s="1"/>
  <c r="AH14" i="33"/>
  <c r="AF9" i="33"/>
  <c r="AF34" i="33" s="1"/>
  <c r="AF24" i="33"/>
  <c r="AF14" i="33"/>
  <c r="AF18" i="33"/>
  <c r="V24" i="33"/>
  <c r="V18" i="33"/>
  <c r="V9" i="33"/>
  <c r="V34" i="33" s="1"/>
  <c r="V14" i="33"/>
  <c r="AF25" i="33"/>
  <c r="AF19" i="33"/>
  <c r="Y26" i="33"/>
  <c r="Y20" i="33"/>
  <c r="Y90" i="33" s="1"/>
  <c r="Y96" i="33" s="1"/>
  <c r="Y102" i="33" s="1"/>
  <c r="Y109" i="33" s="1"/>
  <c r="Y116" i="33" s="1"/>
  <c r="Y123" i="33" s="1"/>
  <c r="G25" i="33"/>
  <c r="G19" i="33"/>
  <c r="AB9" i="33"/>
  <c r="AB34" i="33" s="1"/>
  <c r="AB18" i="33"/>
  <c r="AB14" i="33"/>
  <c r="AB24" i="33"/>
  <c r="Z26" i="33"/>
  <c r="Z20" i="33"/>
  <c r="Z90" i="33" s="1"/>
  <c r="Z96" i="33" s="1"/>
  <c r="Z102" i="33" s="1"/>
  <c r="Z109" i="33" s="1"/>
  <c r="Z116" i="33" s="1"/>
  <c r="Z123" i="33" s="1"/>
  <c r="U26" i="33"/>
  <c r="U20" i="33"/>
  <c r="U90" i="33" s="1"/>
  <c r="U96" i="33" s="1"/>
  <c r="U102" i="33" s="1"/>
  <c r="U109" i="33" s="1"/>
  <c r="U116" i="33" s="1"/>
  <c r="U123" i="33" s="1"/>
  <c r="AB25" i="33"/>
  <c r="AB19" i="33"/>
  <c r="I24" i="33"/>
  <c r="I14" i="33"/>
  <c r="I18" i="33"/>
  <c r="I9" i="33"/>
  <c r="I34" i="33" s="1"/>
  <c r="AF26" i="33"/>
  <c r="AF20" i="33"/>
  <c r="AF90" i="33" s="1"/>
  <c r="AF96" i="33" s="1"/>
  <c r="AF102" i="33" s="1"/>
  <c r="AF109" i="33" s="1"/>
  <c r="AF116" i="33" s="1"/>
  <c r="AF123" i="33" s="1"/>
  <c r="AG26" i="33"/>
  <c r="AG20" i="33"/>
  <c r="AG90" i="33" s="1"/>
  <c r="AG96" i="33" s="1"/>
  <c r="AG102" i="33" s="1"/>
  <c r="AG109" i="33" s="1"/>
  <c r="AG116" i="33" s="1"/>
  <c r="AG123" i="33" s="1"/>
  <c r="V26" i="33"/>
  <c r="V20" i="33"/>
  <c r="V90" i="33" s="1"/>
  <c r="V96" i="33" s="1"/>
  <c r="V102" i="33" s="1"/>
  <c r="V109" i="33" s="1"/>
  <c r="V116" i="33" s="1"/>
  <c r="V123" i="33" s="1"/>
  <c r="G26" i="33"/>
  <c r="G20" i="33"/>
  <c r="G90" i="33" s="1"/>
  <c r="G96" i="33" s="1"/>
  <c r="G102" i="33" s="1"/>
  <c r="G109" i="33" s="1"/>
  <c r="G116" i="33" s="1"/>
  <c r="G123" i="33" s="1"/>
  <c r="AB26" i="33"/>
  <c r="AB20" i="33"/>
  <c r="AB90" i="33" s="1"/>
  <c r="AB96" i="33" s="1"/>
  <c r="AB102" i="33" s="1"/>
  <c r="AB109" i="33" s="1"/>
  <c r="AB116" i="33" s="1"/>
  <c r="AB123" i="33" s="1"/>
  <c r="Q25" i="33"/>
  <c r="Q19" i="33"/>
  <c r="AE25" i="33"/>
  <c r="AE19" i="33"/>
  <c r="V25" i="33"/>
  <c r="V19" i="33"/>
  <c r="K26" i="33"/>
  <c r="K20" i="33"/>
  <c r="K90" i="33" s="1"/>
  <c r="K96" i="33" s="1"/>
  <c r="K102" i="33" s="1"/>
  <c r="K109" i="33" s="1"/>
  <c r="K116" i="33" s="1"/>
  <c r="K123" i="33" s="1"/>
  <c r="L25" i="33"/>
  <c r="L19" i="33"/>
  <c r="I25" i="33"/>
  <c r="I19" i="33"/>
  <c r="Q9" i="33"/>
  <c r="Q34" i="33" s="1"/>
  <c r="Q18" i="33"/>
  <c r="Q14" i="33"/>
  <c r="Q24" i="33"/>
  <c r="X24" i="33"/>
  <c r="X9" i="33"/>
  <c r="X34" i="33" s="1"/>
  <c r="X14" i="33"/>
  <c r="X18" i="33"/>
  <c r="Q26" i="33"/>
  <c r="Q20" i="33"/>
  <c r="Q90" i="33" s="1"/>
  <c r="Q96" i="33" s="1"/>
  <c r="Q102" i="33" s="1"/>
  <c r="Q109" i="33" s="1"/>
  <c r="Q116" i="33" s="1"/>
  <c r="Q123" i="33" s="1"/>
  <c r="AE26" i="33"/>
  <c r="AE20" i="33"/>
  <c r="AE90" i="33" s="1"/>
  <c r="AE96" i="33" s="1"/>
  <c r="AE102" i="33" s="1"/>
  <c r="AE109" i="33" s="1"/>
  <c r="AE116" i="33" s="1"/>
  <c r="AE123" i="33" s="1"/>
  <c r="U24" i="33"/>
  <c r="U18" i="33"/>
  <c r="U9" i="33"/>
  <c r="U34" i="33" s="1"/>
  <c r="U14" i="33"/>
  <c r="K24" i="33"/>
  <c r="K18" i="33"/>
  <c r="K9" i="33"/>
  <c r="K34" i="33" s="1"/>
  <c r="K14" i="33"/>
  <c r="K25" i="33"/>
  <c r="K19" i="33"/>
  <c r="L26" i="33"/>
  <c r="L20" i="33"/>
  <c r="L90" i="33" s="1"/>
  <c r="L96" i="33" s="1"/>
  <c r="L102" i="33" s="1"/>
  <c r="L109" i="33" s="1"/>
  <c r="L116" i="33" s="1"/>
  <c r="L123" i="33" s="1"/>
  <c r="I26" i="33"/>
  <c r="I20" i="33"/>
  <c r="I90" i="33" s="1"/>
  <c r="I96" i="33" s="1"/>
  <c r="I102" i="33" s="1"/>
  <c r="I109" i="33" s="1"/>
  <c r="I116" i="33" s="1"/>
  <c r="I123" i="33" s="1"/>
  <c r="S9" i="33"/>
  <c r="S34" i="33" s="1"/>
  <c r="S14" i="33"/>
  <c r="S18" i="33"/>
  <c r="S24" i="33"/>
  <c r="AH26" i="33"/>
  <c r="AH20" i="33"/>
  <c r="AH90" i="33" s="1"/>
  <c r="AH96" i="33" s="1"/>
  <c r="AH102" i="33" s="1"/>
  <c r="AH109" i="33" s="1"/>
  <c r="AH116" i="33" s="1"/>
  <c r="AH123" i="33" s="1"/>
  <c r="AC9" i="33"/>
  <c r="AC34" i="33" s="1"/>
  <c r="AC18" i="33"/>
  <c r="AC24" i="33"/>
  <c r="AC14" i="33"/>
  <c r="O25" i="33"/>
  <c r="O19" i="33"/>
  <c r="AC25" i="33"/>
  <c r="AC19" i="33"/>
  <c r="C25" i="33"/>
  <c r="C19" i="33"/>
  <c r="AG24" i="33"/>
  <c r="AG9" i="33"/>
  <c r="AG34" i="33" s="1"/>
  <c r="AG18" i="33"/>
  <c r="AG14" i="33"/>
  <c r="W24" i="33"/>
  <c r="W9" i="33"/>
  <c r="W34" i="33" s="1"/>
  <c r="W14" i="33"/>
  <c r="W18" i="33"/>
  <c r="AH25" i="33"/>
  <c r="AH19" i="33"/>
  <c r="W26" i="33"/>
  <c r="W20" i="33"/>
  <c r="W90" i="33" s="1"/>
  <c r="W96" i="33" s="1"/>
  <c r="W102" i="33" s="1"/>
  <c r="W109" i="33" s="1"/>
  <c r="W116" i="33" s="1"/>
  <c r="W123" i="33" s="1"/>
  <c r="P9" i="33"/>
  <c r="P34" i="33" s="1"/>
  <c r="P18" i="33"/>
  <c r="P24" i="33"/>
  <c r="P14" i="33"/>
  <c r="X25" i="33"/>
  <c r="X19" i="33"/>
  <c r="M25" i="33"/>
  <c r="M19" i="33"/>
  <c r="O20" i="33"/>
  <c r="O90" i="33" s="1"/>
  <c r="O96" i="33" s="1"/>
  <c r="O102" i="33" s="1"/>
  <c r="O109" i="33" s="1"/>
  <c r="O116" i="33" s="1"/>
  <c r="O123" i="33" s="1"/>
  <c r="O26" i="33"/>
  <c r="AE9" i="33"/>
  <c r="AE34" i="33" s="1"/>
  <c r="AE18" i="33"/>
  <c r="AE14" i="33"/>
  <c r="AE24" i="33"/>
  <c r="AC26" i="33"/>
  <c r="AC20" i="33"/>
  <c r="AC90" i="33" s="1"/>
  <c r="AC96" i="33" s="1"/>
  <c r="AC102" i="33" s="1"/>
  <c r="AC109" i="33" s="1"/>
  <c r="AC116" i="33" s="1"/>
  <c r="AC123" i="33" s="1"/>
  <c r="C26" i="33"/>
  <c r="C20" i="33"/>
  <c r="C90" i="33" s="1"/>
  <c r="C96" i="33" s="1"/>
  <c r="C102" i="33" s="1"/>
  <c r="C109" i="33" s="1"/>
  <c r="C116" i="33" s="1"/>
  <c r="C123" i="33" s="1"/>
  <c r="H25" i="33"/>
  <c r="H19" i="33"/>
  <c r="W25" i="33"/>
  <c r="W19" i="33"/>
  <c r="X26" i="33"/>
  <c r="X20" i="33"/>
  <c r="X90" i="33" s="1"/>
  <c r="X96" i="33" s="1"/>
  <c r="X102" i="33" s="1"/>
  <c r="X109" i="33" s="1"/>
  <c r="X116" i="33" s="1"/>
  <c r="X123" i="33" s="1"/>
  <c r="M26" i="33"/>
  <c r="M20" i="33"/>
  <c r="M90" i="33" s="1"/>
  <c r="M96" i="33" s="1"/>
  <c r="M102" i="33" s="1"/>
  <c r="M109" i="33" s="1"/>
  <c r="M116" i="33" s="1"/>
  <c r="M123" i="33" s="1"/>
  <c r="R25" i="33"/>
  <c r="R19" i="33"/>
  <c r="J24" i="33"/>
  <c r="J18" i="33"/>
  <c r="J9" i="33"/>
  <c r="J34" i="33" s="1"/>
  <c r="J14" i="33"/>
  <c r="H20" i="33"/>
  <c r="H90" i="33" s="1"/>
  <c r="H96" i="33" s="1"/>
  <c r="H102" i="33" s="1"/>
  <c r="H109" i="33" s="1"/>
  <c r="H116" i="33" s="1"/>
  <c r="H123" i="33" s="1"/>
  <c r="H26" i="33"/>
  <c r="G9" i="33"/>
  <c r="G34" i="33" s="1"/>
  <c r="G18" i="33"/>
  <c r="G14" i="33"/>
  <c r="G24" i="33"/>
  <c r="M24" i="33"/>
  <c r="M14" i="33"/>
  <c r="M9" i="33"/>
  <c r="M34" i="33" s="1"/>
  <c r="M18" i="33"/>
  <c r="AD9" i="33"/>
  <c r="AD34" i="33" s="1"/>
  <c r="AD18" i="33"/>
  <c r="AD14" i="33"/>
  <c r="AD24" i="33"/>
  <c r="R9" i="33"/>
  <c r="R34" i="33" s="1"/>
  <c r="R24" i="33"/>
  <c r="R18" i="33"/>
  <c r="R14" i="33"/>
  <c r="H9" i="33"/>
  <c r="H34" i="33" s="1"/>
  <c r="H14" i="33"/>
  <c r="H18" i="33"/>
  <c r="H24" i="33"/>
  <c r="R26" i="33"/>
  <c r="R20" i="33"/>
  <c r="R90" i="33" s="1"/>
  <c r="R96" i="33" s="1"/>
  <c r="R102" i="33" s="1"/>
  <c r="R109" i="33" s="1"/>
  <c r="R116" i="33" s="1"/>
  <c r="R123" i="33" s="1"/>
  <c r="N24" i="33"/>
  <c r="N18" i="33"/>
  <c r="N9" i="33"/>
  <c r="N34" i="33" s="1"/>
  <c r="N14" i="33"/>
  <c r="O9" i="33"/>
  <c r="O34" i="33" s="1"/>
  <c r="O14" i="33"/>
  <c r="O18" i="33"/>
  <c r="O24" i="33"/>
  <c r="N25" i="33"/>
  <c r="N19" i="33"/>
  <c r="AA25" i="33"/>
  <c r="AA19" i="33"/>
  <c r="S25" i="33"/>
  <c r="S19" i="33"/>
  <c r="T25" i="33"/>
  <c r="T19" i="33"/>
  <c r="L24" i="33"/>
  <c r="L9" i="33"/>
  <c r="L34" i="33" s="1"/>
  <c r="L14" i="33"/>
  <c r="L18" i="33"/>
  <c r="Y24" i="33"/>
  <c r="Y18" i="33"/>
  <c r="Y9" i="33"/>
  <c r="Y34" i="33" s="1"/>
  <c r="Y14" i="33"/>
  <c r="AG25" i="33"/>
  <c r="AG19" i="33"/>
  <c r="N26" i="33"/>
  <c r="N20" i="33"/>
  <c r="N90" i="33" s="1"/>
  <c r="N96" i="33" s="1"/>
  <c r="N102" i="33" s="1"/>
  <c r="N109" i="33" s="1"/>
  <c r="N116" i="33" s="1"/>
  <c r="N123" i="33" s="1"/>
  <c r="AA20" i="33"/>
  <c r="AA90" i="33" s="1"/>
  <c r="AA96" i="33" s="1"/>
  <c r="AA102" i="33" s="1"/>
  <c r="AA109" i="33" s="1"/>
  <c r="AA116" i="33" s="1"/>
  <c r="AA123" i="33" s="1"/>
  <c r="AA26" i="33"/>
  <c r="P25" i="33"/>
  <c r="P19" i="33"/>
  <c r="T9" i="33"/>
  <c r="T34" i="33" s="1"/>
  <c r="T24" i="33"/>
  <c r="T14" i="33"/>
  <c r="T18" i="33"/>
  <c r="AD25" i="33"/>
  <c r="AD19" i="33"/>
  <c r="S26" i="33"/>
  <c r="S20" i="33"/>
  <c r="S90" i="33" s="1"/>
  <c r="S96" i="33" s="1"/>
  <c r="S102" i="33" s="1"/>
  <c r="S109" i="33" s="1"/>
  <c r="S116" i="33" s="1"/>
  <c r="S123" i="33" s="1"/>
  <c r="T20" i="33"/>
  <c r="T90" i="33" s="1"/>
  <c r="T96" i="33" s="1"/>
  <c r="T102" i="33" s="1"/>
  <c r="T109" i="33" s="1"/>
  <c r="T116" i="33" s="1"/>
  <c r="T123" i="33" s="1"/>
  <c r="T26" i="33"/>
  <c r="E8" i="29"/>
  <c r="G49" i="22"/>
  <c r="E49" i="22"/>
  <c r="AT397" i="30"/>
  <c r="AU396" i="30"/>
  <c r="AU395" i="25"/>
  <c r="AU395" i="26"/>
  <c r="M43" i="20"/>
  <c r="M33" i="20"/>
  <c r="M22" i="20"/>
  <c r="M34" i="20"/>
  <c r="M14" i="20"/>
  <c r="M37" i="20"/>
  <c r="M30" i="20"/>
  <c r="M26" i="20"/>
  <c r="M23" i="20"/>
  <c r="M42" i="20"/>
  <c r="M35" i="20"/>
  <c r="M13" i="20"/>
  <c r="M38" i="20"/>
  <c r="M20" i="20"/>
  <c r="M25" i="20"/>
  <c r="M12" i="20"/>
  <c r="M40" i="20"/>
  <c r="M41" i="20"/>
  <c r="M39" i="20"/>
  <c r="M32" i="20"/>
  <c r="M16" i="20"/>
  <c r="M17" i="20"/>
  <c r="M18" i="20"/>
  <c r="M19" i="20"/>
  <c r="M15" i="20"/>
  <c r="M27" i="20"/>
  <c r="M24" i="20"/>
  <c r="M28" i="20"/>
  <c r="M21" i="20"/>
  <c r="M36" i="20"/>
  <c r="M31" i="20"/>
  <c r="AE44" i="20" l="1"/>
  <c r="C21" i="33"/>
  <c r="O54" i="12"/>
  <c r="W56" i="12"/>
  <c r="T54" i="12"/>
  <c r="V54" i="12"/>
  <c r="AB54" i="12"/>
  <c r="K56" i="12"/>
  <c r="T56" i="12"/>
  <c r="AE56" i="12"/>
  <c r="U54" i="12"/>
  <c r="S54" i="12"/>
  <c r="AF54" i="12"/>
  <c r="W54" i="12"/>
  <c r="AD56" i="12"/>
  <c r="AG56" i="12"/>
  <c r="Z54" i="12"/>
  <c r="J54" i="12"/>
  <c r="P56" i="12"/>
  <c r="AE54" i="12"/>
  <c r="K54" i="12"/>
  <c r="R54" i="12"/>
  <c r="AC54" i="12"/>
  <c r="M56" i="12"/>
  <c r="L56" i="12"/>
  <c r="S56" i="12"/>
  <c r="X54" i="12"/>
  <c r="AA54" i="12"/>
  <c r="X56" i="12"/>
  <c r="I56" i="12"/>
  <c r="H56" i="12"/>
  <c r="AF56" i="12"/>
  <c r="Z56" i="12"/>
  <c r="O56" i="12"/>
  <c r="N54" i="12"/>
  <c r="Q56" i="12"/>
  <c r="AC56" i="12"/>
  <c r="M54" i="12"/>
  <c r="I54" i="12"/>
  <c r="AD54" i="12"/>
  <c r="AI54" i="12"/>
  <c r="Y56" i="12"/>
  <c r="J56" i="12"/>
  <c r="U56" i="12"/>
  <c r="AB56" i="12"/>
  <c r="AH54" i="12"/>
  <c r="P54" i="12"/>
  <c r="Q54" i="12"/>
  <c r="L54" i="12"/>
  <c r="R56" i="12"/>
  <c r="AI56" i="12"/>
  <c r="N56" i="12"/>
  <c r="AG54" i="12"/>
  <c r="Y54" i="12"/>
  <c r="AH56" i="12"/>
  <c r="V56" i="12"/>
  <c r="H54" i="12"/>
  <c r="AA56" i="12"/>
  <c r="C13" i="33"/>
  <c r="C27" i="33" s="1"/>
  <c r="C132" i="33"/>
  <c r="C139" i="33"/>
  <c r="C147" i="33" s="1"/>
  <c r="C155" i="33" s="1"/>
  <c r="C163" i="33" s="1"/>
  <c r="C364" i="33" s="1"/>
  <c r="C51" i="33"/>
  <c r="D54" i="12"/>
  <c r="C37" i="33"/>
  <c r="D55" i="12" s="1"/>
  <c r="C43" i="33"/>
  <c r="C56" i="33"/>
  <c r="C66" i="33"/>
  <c r="AS18" i="20"/>
  <c r="AV18" i="20"/>
  <c r="BQ18" i="20"/>
  <c r="BB18" i="20"/>
  <c r="BO18" i="20"/>
  <c r="BI18" i="20"/>
  <c r="BS18" i="20"/>
  <c r="BE18" i="20"/>
  <c r="BJ18" i="20"/>
  <c r="BC18" i="20"/>
  <c r="AW18" i="20"/>
  <c r="BG18" i="20"/>
  <c r="BN18" i="20"/>
  <c r="AU18" i="20"/>
  <c r="BR18" i="20"/>
  <c r="BT18" i="20"/>
  <c r="BH18" i="20"/>
  <c r="BM18" i="20"/>
  <c r="BL18" i="20"/>
  <c r="BF18" i="20"/>
  <c r="BK18" i="20"/>
  <c r="BA18" i="20"/>
  <c r="AZ18" i="20"/>
  <c r="AX18" i="20"/>
  <c r="AT18" i="20"/>
  <c r="BD18" i="20"/>
  <c r="BP18" i="20"/>
  <c r="AY18" i="20"/>
  <c r="BC35" i="20"/>
  <c r="BO35" i="20"/>
  <c r="BD35" i="20"/>
  <c r="BP35" i="20"/>
  <c r="BE35" i="20"/>
  <c r="BQ35" i="20"/>
  <c r="AT35" i="20"/>
  <c r="BF35" i="20"/>
  <c r="BR35" i="20"/>
  <c r="AU35" i="20"/>
  <c r="BG35" i="20"/>
  <c r="BS35" i="20"/>
  <c r="AV35" i="20"/>
  <c r="BH35" i="20"/>
  <c r="BT35" i="20"/>
  <c r="AW35" i="20"/>
  <c r="BI35" i="20"/>
  <c r="AX35" i="20"/>
  <c r="BJ35" i="20"/>
  <c r="AY35" i="20"/>
  <c r="BK35" i="20"/>
  <c r="AZ35" i="20"/>
  <c r="BL35" i="20"/>
  <c r="AS35" i="20"/>
  <c r="BA35" i="20"/>
  <c r="BM35" i="20"/>
  <c r="BB35" i="20"/>
  <c r="BN35" i="20"/>
  <c r="AZ24" i="20"/>
  <c r="BL24" i="20"/>
  <c r="BA24" i="20"/>
  <c r="BM24" i="20"/>
  <c r="BB24" i="20"/>
  <c r="BN24" i="20"/>
  <c r="BC24" i="20"/>
  <c r="BO24" i="20"/>
  <c r="BD24" i="20"/>
  <c r="BP24" i="20"/>
  <c r="BE24" i="20"/>
  <c r="BQ24" i="20"/>
  <c r="AT24" i="20"/>
  <c r="BF24" i="20"/>
  <c r="BR24" i="20"/>
  <c r="AU24" i="20"/>
  <c r="BG24" i="20"/>
  <c r="BS24" i="20"/>
  <c r="AV24" i="20"/>
  <c r="BH24" i="20"/>
  <c r="BT24" i="20"/>
  <c r="AW24" i="20"/>
  <c r="BI24" i="20"/>
  <c r="AX24" i="20"/>
  <c r="BJ24" i="20"/>
  <c r="AS24" i="20"/>
  <c r="AY24" i="20"/>
  <c r="BK24" i="20"/>
  <c r="AZ20" i="20"/>
  <c r="BL20" i="20"/>
  <c r="BA20" i="20"/>
  <c r="BM20" i="20"/>
  <c r="BB20" i="20"/>
  <c r="BN20" i="20"/>
  <c r="BC20" i="20"/>
  <c r="BO20" i="20"/>
  <c r="BD20" i="20"/>
  <c r="BP20" i="20"/>
  <c r="BE20" i="20"/>
  <c r="BQ20" i="20"/>
  <c r="AT20" i="20"/>
  <c r="BF20" i="20"/>
  <c r="BR20" i="20"/>
  <c r="AS20" i="20"/>
  <c r="AU20" i="20"/>
  <c r="BG20" i="20"/>
  <c r="BS20" i="20"/>
  <c r="AV20" i="20"/>
  <c r="BH20" i="20"/>
  <c r="BT20" i="20"/>
  <c r="AW20" i="20"/>
  <c r="BI20" i="20"/>
  <c r="AX20" i="20"/>
  <c r="BJ20" i="20"/>
  <c r="AY20" i="20"/>
  <c r="BK20" i="20"/>
  <c r="BC17" i="20"/>
  <c r="BH17" i="20"/>
  <c r="AZ17" i="20"/>
  <c r="AT17" i="20"/>
  <c r="BP17" i="20"/>
  <c r="BN17" i="20"/>
  <c r="BJ17" i="20"/>
  <c r="AV17" i="20"/>
  <c r="BS17" i="20"/>
  <c r="BD17" i="20"/>
  <c r="BB17" i="20"/>
  <c r="AX17" i="20"/>
  <c r="BI17" i="20"/>
  <c r="BG17" i="20"/>
  <c r="AS17" i="20"/>
  <c r="AW17" i="20"/>
  <c r="AU17" i="20"/>
  <c r="BM17" i="20"/>
  <c r="BK17" i="20"/>
  <c r="BQ17" i="20"/>
  <c r="BA17" i="20"/>
  <c r="BR17" i="20"/>
  <c r="AY17" i="20"/>
  <c r="BT17" i="20"/>
  <c r="BE17" i="20"/>
  <c r="BL17" i="20"/>
  <c r="BF17" i="20"/>
  <c r="BO17" i="20"/>
  <c r="AT42" i="20"/>
  <c r="BF42" i="20"/>
  <c r="BR42" i="20"/>
  <c r="AU42" i="20"/>
  <c r="BG42" i="20"/>
  <c r="BS42" i="20"/>
  <c r="AV42" i="20"/>
  <c r="BH42" i="20"/>
  <c r="BT42" i="20"/>
  <c r="AW42" i="20"/>
  <c r="BI42" i="20"/>
  <c r="AX42" i="20"/>
  <c r="BJ42" i="20"/>
  <c r="AS42" i="20"/>
  <c r="AY42" i="20"/>
  <c r="BK42" i="20"/>
  <c r="AZ42" i="20"/>
  <c r="BL42" i="20"/>
  <c r="BA42" i="20"/>
  <c r="BM42" i="20"/>
  <c r="BB42" i="20"/>
  <c r="BN42" i="20"/>
  <c r="BC42" i="20"/>
  <c r="BO42" i="20"/>
  <c r="BD42" i="20"/>
  <c r="BP42" i="20"/>
  <c r="BE42" i="20"/>
  <c r="BQ42" i="20"/>
  <c r="BC23" i="20"/>
  <c r="BO23" i="20"/>
  <c r="BD23" i="20"/>
  <c r="BP23" i="20"/>
  <c r="BE23" i="20"/>
  <c r="BQ23" i="20"/>
  <c r="AT23" i="20"/>
  <c r="BF23" i="20"/>
  <c r="BR23" i="20"/>
  <c r="AU23" i="20"/>
  <c r="BG23" i="20"/>
  <c r="BS23" i="20"/>
  <c r="AV23" i="20"/>
  <c r="BH23" i="20"/>
  <c r="BT23" i="20"/>
  <c r="AW23" i="20"/>
  <c r="BI23" i="20"/>
  <c r="AX23" i="20"/>
  <c r="BJ23" i="20"/>
  <c r="AY23" i="20"/>
  <c r="BK23" i="20"/>
  <c r="AZ23" i="20"/>
  <c r="BL23" i="20"/>
  <c r="AS23" i="20"/>
  <c r="BA23" i="20"/>
  <c r="BM23" i="20"/>
  <c r="BB23" i="20"/>
  <c r="BN23" i="20"/>
  <c r="AT26" i="20"/>
  <c r="BF26" i="20"/>
  <c r="BR26" i="20"/>
  <c r="AS26" i="20"/>
  <c r="AU26" i="20"/>
  <c r="BG26" i="20"/>
  <c r="BS26" i="20"/>
  <c r="AV26" i="20"/>
  <c r="BH26" i="20"/>
  <c r="BT26" i="20"/>
  <c r="AW26" i="20"/>
  <c r="BI26" i="20"/>
  <c r="AX26" i="20"/>
  <c r="BJ26" i="20"/>
  <c r="AY26" i="20"/>
  <c r="BK26" i="20"/>
  <c r="AZ26" i="20"/>
  <c r="BL26" i="20"/>
  <c r="BA26" i="20"/>
  <c r="BM26" i="20"/>
  <c r="BB26" i="20"/>
  <c r="BN26" i="20"/>
  <c r="BC26" i="20"/>
  <c r="BO26" i="20"/>
  <c r="BD26" i="20"/>
  <c r="BP26" i="20"/>
  <c r="BE26" i="20"/>
  <c r="BQ26" i="20"/>
  <c r="BC31" i="20"/>
  <c r="BO31" i="20"/>
  <c r="BD31" i="20"/>
  <c r="BP31" i="20"/>
  <c r="BE31" i="20"/>
  <c r="BQ31" i="20"/>
  <c r="AT31" i="20"/>
  <c r="BF31" i="20"/>
  <c r="BR31" i="20"/>
  <c r="AU31" i="20"/>
  <c r="BG31" i="20"/>
  <c r="BS31" i="20"/>
  <c r="AV31" i="20"/>
  <c r="BH31" i="20"/>
  <c r="BT31" i="20"/>
  <c r="AS31" i="20"/>
  <c r="AW31" i="20"/>
  <c r="BI31" i="20"/>
  <c r="AX31" i="20"/>
  <c r="BJ31" i="20"/>
  <c r="AY31" i="20"/>
  <c r="BK31" i="20"/>
  <c r="AZ31" i="20"/>
  <c r="BL31" i="20"/>
  <c r="BA31" i="20"/>
  <c r="BM31" i="20"/>
  <c r="BB31" i="20"/>
  <c r="BN31" i="20"/>
  <c r="BC39" i="20"/>
  <c r="BO39" i="20"/>
  <c r="BD39" i="20"/>
  <c r="BP39" i="20"/>
  <c r="AS39" i="20"/>
  <c r="BE39" i="20"/>
  <c r="BQ39" i="20"/>
  <c r="AT39" i="20"/>
  <c r="BF39" i="20"/>
  <c r="BR39" i="20"/>
  <c r="AU39" i="20"/>
  <c r="BG39" i="20"/>
  <c r="BS39" i="20"/>
  <c r="AV39" i="20"/>
  <c r="BH39" i="20"/>
  <c r="BT39" i="20"/>
  <c r="AW39" i="20"/>
  <c r="BI39" i="20"/>
  <c r="AX39" i="20"/>
  <c r="BJ39" i="20"/>
  <c r="AY39" i="20"/>
  <c r="BK39" i="20"/>
  <c r="AZ39" i="20"/>
  <c r="BL39" i="20"/>
  <c r="BA39" i="20"/>
  <c r="BM39" i="20"/>
  <c r="BB39" i="20"/>
  <c r="BN39" i="20"/>
  <c r="AT30" i="20"/>
  <c r="BF30" i="20"/>
  <c r="BR30" i="20"/>
  <c r="AU30" i="20"/>
  <c r="BG30" i="20"/>
  <c r="BS30" i="20"/>
  <c r="AV30" i="20"/>
  <c r="BH30" i="20"/>
  <c r="BT30" i="20"/>
  <c r="AW30" i="20"/>
  <c r="BI30" i="20"/>
  <c r="AX30" i="20"/>
  <c r="BJ30" i="20"/>
  <c r="AS30" i="20"/>
  <c r="AY30" i="20"/>
  <c r="BK30" i="20"/>
  <c r="AZ30" i="20"/>
  <c r="BL30" i="20"/>
  <c r="BA30" i="20"/>
  <c r="BM30" i="20"/>
  <c r="BB30" i="20"/>
  <c r="BN30" i="20"/>
  <c r="BC30" i="20"/>
  <c r="BO30" i="20"/>
  <c r="BD30" i="20"/>
  <c r="BP30" i="20"/>
  <c r="BE30" i="20"/>
  <c r="BQ30" i="20"/>
  <c r="AZ32" i="20"/>
  <c r="BL32" i="20"/>
  <c r="BA32" i="20"/>
  <c r="BM32" i="20"/>
  <c r="BB32" i="20"/>
  <c r="BN32" i="20"/>
  <c r="BC32" i="20"/>
  <c r="BO32" i="20"/>
  <c r="BD32" i="20"/>
  <c r="BP32" i="20"/>
  <c r="BE32" i="20"/>
  <c r="BQ32" i="20"/>
  <c r="AT32" i="20"/>
  <c r="BF32" i="20"/>
  <c r="BR32" i="20"/>
  <c r="AS32" i="20"/>
  <c r="AU32" i="20"/>
  <c r="BG32" i="20"/>
  <c r="BS32" i="20"/>
  <c r="AV32" i="20"/>
  <c r="BH32" i="20"/>
  <c r="BT32" i="20"/>
  <c r="AW32" i="20"/>
  <c r="BI32" i="20"/>
  <c r="AX32" i="20"/>
  <c r="BJ32" i="20"/>
  <c r="AY32" i="20"/>
  <c r="BK32" i="20"/>
  <c r="AZ36" i="20"/>
  <c r="BL36" i="20"/>
  <c r="BA36" i="20"/>
  <c r="BM36" i="20"/>
  <c r="BB36" i="20"/>
  <c r="BN36" i="20"/>
  <c r="BC36" i="20"/>
  <c r="BO36" i="20"/>
  <c r="BD36" i="20"/>
  <c r="BP36" i="20"/>
  <c r="BE36" i="20"/>
  <c r="BQ36" i="20"/>
  <c r="AT36" i="20"/>
  <c r="BF36" i="20"/>
  <c r="BR36" i="20"/>
  <c r="AU36" i="20"/>
  <c r="BG36" i="20"/>
  <c r="BS36" i="20"/>
  <c r="AV36" i="20"/>
  <c r="BH36" i="20"/>
  <c r="BT36" i="20"/>
  <c r="AW36" i="20"/>
  <c r="BI36" i="20"/>
  <c r="AX36" i="20"/>
  <c r="BJ36" i="20"/>
  <c r="AS36" i="20"/>
  <c r="AY36" i="20"/>
  <c r="BK36" i="20"/>
  <c r="AW41" i="20"/>
  <c r="BI41" i="20"/>
  <c r="AX41" i="20"/>
  <c r="BJ41" i="20"/>
  <c r="AY41" i="20"/>
  <c r="BK41" i="20"/>
  <c r="AZ41" i="20"/>
  <c r="BL41" i="20"/>
  <c r="AS41" i="20"/>
  <c r="BA41" i="20"/>
  <c r="BM41" i="20"/>
  <c r="BB41" i="20"/>
  <c r="BN41" i="20"/>
  <c r="BC41" i="20"/>
  <c r="BO41" i="20"/>
  <c r="BD41" i="20"/>
  <c r="BP41" i="20"/>
  <c r="BE41" i="20"/>
  <c r="BQ41" i="20"/>
  <c r="AT41" i="20"/>
  <c r="BF41" i="20"/>
  <c r="BR41" i="20"/>
  <c r="AU41" i="20"/>
  <c r="BG41" i="20"/>
  <c r="BS41" i="20"/>
  <c r="AV41" i="20"/>
  <c r="BH41" i="20"/>
  <c r="BT41" i="20"/>
  <c r="AW37" i="20"/>
  <c r="BI37" i="20"/>
  <c r="AX37" i="20"/>
  <c r="BJ37" i="20"/>
  <c r="AY37" i="20"/>
  <c r="BK37" i="20"/>
  <c r="AZ37" i="20"/>
  <c r="BL37" i="20"/>
  <c r="BA37" i="20"/>
  <c r="BM37" i="20"/>
  <c r="BB37" i="20"/>
  <c r="BN37" i="20"/>
  <c r="BC37" i="20"/>
  <c r="BO37" i="20"/>
  <c r="BD37" i="20"/>
  <c r="BP37" i="20"/>
  <c r="BE37" i="20"/>
  <c r="BQ37" i="20"/>
  <c r="AT37" i="20"/>
  <c r="BF37" i="20"/>
  <c r="BR37" i="20"/>
  <c r="AU37" i="20"/>
  <c r="BG37" i="20"/>
  <c r="BS37" i="20"/>
  <c r="AV37" i="20"/>
  <c r="BH37" i="20"/>
  <c r="BT37" i="20"/>
  <c r="AS37" i="20"/>
  <c r="AW21" i="20"/>
  <c r="BI21" i="20"/>
  <c r="AX21" i="20"/>
  <c r="BJ21" i="20"/>
  <c r="AY21" i="20"/>
  <c r="BK21" i="20"/>
  <c r="AZ21" i="20"/>
  <c r="BL21" i="20"/>
  <c r="BA21" i="20"/>
  <c r="BM21" i="20"/>
  <c r="BB21" i="20"/>
  <c r="BN21" i="20"/>
  <c r="BC21" i="20"/>
  <c r="BO21" i="20"/>
  <c r="BD21" i="20"/>
  <c r="BP21" i="20"/>
  <c r="AS21" i="20"/>
  <c r="BE21" i="20"/>
  <c r="BQ21" i="20"/>
  <c r="AT21" i="20"/>
  <c r="BF21" i="20"/>
  <c r="BR21" i="20"/>
  <c r="AU21" i="20"/>
  <c r="BG21" i="20"/>
  <c r="BS21" i="20"/>
  <c r="AV21" i="20"/>
  <c r="BH21" i="20"/>
  <c r="BT21" i="20"/>
  <c r="AZ40" i="20"/>
  <c r="BL40" i="20"/>
  <c r="BA40" i="20"/>
  <c r="BM40" i="20"/>
  <c r="BB40" i="20"/>
  <c r="BN40" i="20"/>
  <c r="AS40" i="20"/>
  <c r="BC40" i="20"/>
  <c r="BO40" i="20"/>
  <c r="BD40" i="20"/>
  <c r="BP40" i="20"/>
  <c r="BE40" i="20"/>
  <c r="BQ40" i="20"/>
  <c r="AT40" i="20"/>
  <c r="BF40" i="20"/>
  <c r="BR40" i="20"/>
  <c r="AU40" i="20"/>
  <c r="BG40" i="20"/>
  <c r="BS40" i="20"/>
  <c r="AV40" i="20"/>
  <c r="BH40" i="20"/>
  <c r="BT40" i="20"/>
  <c r="AW40" i="20"/>
  <c r="BI40" i="20"/>
  <c r="AX40" i="20"/>
  <c r="BJ40" i="20"/>
  <c r="AY40" i="20"/>
  <c r="BK40" i="20"/>
  <c r="BT14" i="20"/>
  <c r="AT14" i="20"/>
  <c r="BN14" i="20"/>
  <c r="AX14" i="20"/>
  <c r="BL14" i="20"/>
  <c r="BH14" i="20"/>
  <c r="BB14" i="20"/>
  <c r="BI14" i="20"/>
  <c r="BO14" i="20"/>
  <c r="AZ14" i="20"/>
  <c r="AV14" i="20"/>
  <c r="BQ14" i="20"/>
  <c r="AW14" i="20"/>
  <c r="BC14" i="20"/>
  <c r="BM14" i="20"/>
  <c r="BK14" i="20"/>
  <c r="BS14" i="20"/>
  <c r="BE14" i="20"/>
  <c r="AS14" i="20"/>
  <c r="BA14" i="20"/>
  <c r="AY14" i="20"/>
  <c r="BG14" i="20"/>
  <c r="BR14" i="20"/>
  <c r="BP14" i="20"/>
  <c r="AU14" i="20"/>
  <c r="BF14" i="20"/>
  <c r="BD14" i="20"/>
  <c r="BJ14" i="20"/>
  <c r="AZ28" i="20"/>
  <c r="BL28" i="20"/>
  <c r="BA28" i="20"/>
  <c r="BM28" i="20"/>
  <c r="BB28" i="20"/>
  <c r="BN28" i="20"/>
  <c r="AS28" i="20"/>
  <c r="BC28" i="20"/>
  <c r="BO28" i="20"/>
  <c r="BD28" i="20"/>
  <c r="BP28" i="20"/>
  <c r="BE28" i="20"/>
  <c r="BQ28" i="20"/>
  <c r="AT28" i="20"/>
  <c r="BF28" i="20"/>
  <c r="BR28" i="20"/>
  <c r="AU28" i="20"/>
  <c r="BG28" i="20"/>
  <c r="BS28" i="20"/>
  <c r="AV28" i="20"/>
  <c r="BH28" i="20"/>
  <c r="BT28" i="20"/>
  <c r="AW28" i="20"/>
  <c r="BI28" i="20"/>
  <c r="AX28" i="20"/>
  <c r="BJ28" i="20"/>
  <c r="AY28" i="20"/>
  <c r="BK28" i="20"/>
  <c r="M44" i="20"/>
  <c r="BT12" i="20"/>
  <c r="BO12" i="20"/>
  <c r="BC12" i="20"/>
  <c r="AD44" i="20"/>
  <c r="AL44" i="20"/>
  <c r="Y44" i="20"/>
  <c r="BB12" i="20"/>
  <c r="AS12" i="20"/>
  <c r="BS12" i="20"/>
  <c r="BG12" i="20"/>
  <c r="AJ44" i="20"/>
  <c r="S44" i="20"/>
  <c r="BL12" i="20"/>
  <c r="X44" i="20"/>
  <c r="AP44" i="20"/>
  <c r="AZ12" i="20"/>
  <c r="AU12" i="20"/>
  <c r="AT12" i="20"/>
  <c r="AK44" i="20"/>
  <c r="R44" i="20"/>
  <c r="BK12" i="20"/>
  <c r="BR12" i="20"/>
  <c r="W44" i="20"/>
  <c r="AI44" i="20"/>
  <c r="AO44" i="20"/>
  <c r="AY12" i="20"/>
  <c r="BF12" i="20"/>
  <c r="AC44" i="20"/>
  <c r="BJ12" i="20"/>
  <c r="AH44" i="20"/>
  <c r="Q44" i="20"/>
  <c r="AX12" i="20"/>
  <c r="BQ12" i="20"/>
  <c r="BH12" i="20"/>
  <c r="V44" i="20"/>
  <c r="AN44" i="20"/>
  <c r="BI12" i="20"/>
  <c r="BP12" i="20"/>
  <c r="U44" i="20"/>
  <c r="AB44" i="20"/>
  <c r="AW12" i="20"/>
  <c r="BE12" i="20"/>
  <c r="AM44" i="20"/>
  <c r="AG44" i="20"/>
  <c r="AA44" i="20"/>
  <c r="Z44" i="20"/>
  <c r="T44" i="20"/>
  <c r="BN12" i="20"/>
  <c r="BM12" i="20"/>
  <c r="AV12" i="20"/>
  <c r="BD12" i="20"/>
  <c r="AF44" i="20"/>
  <c r="BA12" i="20"/>
  <c r="AQ44" i="20"/>
  <c r="AT34" i="20"/>
  <c r="BF34" i="20"/>
  <c r="BR34" i="20"/>
  <c r="AU34" i="20"/>
  <c r="BG34" i="20"/>
  <c r="BS34" i="20"/>
  <c r="AV34" i="20"/>
  <c r="BH34" i="20"/>
  <c r="BT34" i="20"/>
  <c r="AW34" i="20"/>
  <c r="BI34" i="20"/>
  <c r="AX34" i="20"/>
  <c r="BJ34" i="20"/>
  <c r="AY34" i="20"/>
  <c r="BK34" i="20"/>
  <c r="AZ34" i="20"/>
  <c r="BL34" i="20"/>
  <c r="BA34" i="20"/>
  <c r="BM34" i="20"/>
  <c r="BB34" i="20"/>
  <c r="BN34" i="20"/>
  <c r="AS34" i="20"/>
  <c r="BC34" i="20"/>
  <c r="BO34" i="20"/>
  <c r="BD34" i="20"/>
  <c r="BP34" i="20"/>
  <c r="BE34" i="20"/>
  <c r="BQ34" i="20"/>
  <c r="AW25" i="20"/>
  <c r="BI25" i="20"/>
  <c r="AX25" i="20"/>
  <c r="BJ25" i="20"/>
  <c r="AY25" i="20"/>
  <c r="BK25" i="20"/>
  <c r="AZ25" i="20"/>
  <c r="BL25" i="20"/>
  <c r="BA25" i="20"/>
  <c r="BM25" i="20"/>
  <c r="BB25" i="20"/>
  <c r="BN25" i="20"/>
  <c r="BC25" i="20"/>
  <c r="BO25" i="20"/>
  <c r="BD25" i="20"/>
  <c r="BP25" i="20"/>
  <c r="BE25" i="20"/>
  <c r="BQ25" i="20"/>
  <c r="AT25" i="20"/>
  <c r="BF25" i="20"/>
  <c r="BR25" i="20"/>
  <c r="AU25" i="20"/>
  <c r="BG25" i="20"/>
  <c r="BS25" i="20"/>
  <c r="AV25" i="20"/>
  <c r="BH25" i="20"/>
  <c r="BT25" i="20"/>
  <c r="AS25" i="20"/>
  <c r="AT22" i="20"/>
  <c r="BF22" i="20"/>
  <c r="BR22" i="20"/>
  <c r="AU22" i="20"/>
  <c r="BG22" i="20"/>
  <c r="BS22" i="20"/>
  <c r="AV22" i="20"/>
  <c r="BH22" i="20"/>
  <c r="BT22" i="20"/>
  <c r="AW22" i="20"/>
  <c r="BI22" i="20"/>
  <c r="AX22" i="20"/>
  <c r="BJ22" i="20"/>
  <c r="AY22" i="20"/>
  <c r="BK22" i="20"/>
  <c r="AZ22" i="20"/>
  <c r="BL22" i="20"/>
  <c r="BA22" i="20"/>
  <c r="BM22" i="20"/>
  <c r="BB22" i="20"/>
  <c r="BN22" i="20"/>
  <c r="AS22" i="20"/>
  <c r="BC22" i="20"/>
  <c r="BO22" i="20"/>
  <c r="BD22" i="20"/>
  <c r="BP22" i="20"/>
  <c r="BE22" i="20"/>
  <c r="BQ22" i="20"/>
  <c r="AT16" i="20"/>
  <c r="BA16" i="20"/>
  <c r="BL16" i="20"/>
  <c r="AV16" i="20"/>
  <c r="BS16" i="20"/>
  <c r="BP16" i="20"/>
  <c r="BJ16" i="20"/>
  <c r="BO16" i="20"/>
  <c r="AZ16" i="20"/>
  <c r="BG16" i="20"/>
  <c r="BD16" i="20"/>
  <c r="AX16" i="20"/>
  <c r="AU16" i="20"/>
  <c r="AS16" i="20"/>
  <c r="BN16" i="20"/>
  <c r="BI16" i="20"/>
  <c r="BR16" i="20"/>
  <c r="BQ16" i="20"/>
  <c r="BB16" i="20"/>
  <c r="BC16" i="20"/>
  <c r="BK16" i="20"/>
  <c r="AW16" i="20"/>
  <c r="BT16" i="20"/>
  <c r="BF16" i="20"/>
  <c r="BE16" i="20"/>
  <c r="BM16" i="20"/>
  <c r="AY16" i="20"/>
  <c r="BH16" i="20"/>
  <c r="AW33" i="20"/>
  <c r="BI33" i="20"/>
  <c r="AX33" i="20"/>
  <c r="BJ33" i="20"/>
  <c r="AY33" i="20"/>
  <c r="BK33" i="20"/>
  <c r="AZ33" i="20"/>
  <c r="BL33" i="20"/>
  <c r="BA33" i="20"/>
  <c r="BM33" i="20"/>
  <c r="BB33" i="20"/>
  <c r="BN33" i="20"/>
  <c r="BC33" i="20"/>
  <c r="BO33" i="20"/>
  <c r="BD33" i="20"/>
  <c r="BP33" i="20"/>
  <c r="AS33" i="20"/>
  <c r="BE33" i="20"/>
  <c r="BQ33" i="20"/>
  <c r="AT33" i="20"/>
  <c r="BF33" i="20"/>
  <c r="BR33" i="20"/>
  <c r="AU33" i="20"/>
  <c r="BG33" i="20"/>
  <c r="BS33" i="20"/>
  <c r="AV33" i="20"/>
  <c r="BH33" i="20"/>
  <c r="BT33" i="20"/>
  <c r="AT15" i="20"/>
  <c r="BO15" i="20"/>
  <c r="BA15" i="20"/>
  <c r="BT15" i="20"/>
  <c r="AU15" i="20"/>
  <c r="AX15" i="20"/>
  <c r="AW15" i="20"/>
  <c r="BQ15" i="20"/>
  <c r="BC15" i="20"/>
  <c r="BH15" i="20"/>
  <c r="BN15" i="20"/>
  <c r="AS15" i="20"/>
  <c r="BG15" i="20"/>
  <c r="BL15" i="20"/>
  <c r="BK15" i="20"/>
  <c r="BR15" i="20"/>
  <c r="AV15" i="20"/>
  <c r="BB15" i="20"/>
  <c r="BS15" i="20"/>
  <c r="BP15" i="20"/>
  <c r="BM15" i="20"/>
  <c r="AZ15" i="20"/>
  <c r="BF15" i="20"/>
  <c r="BE15" i="20"/>
  <c r="BD15" i="20"/>
  <c r="AY15" i="20"/>
  <c r="BJ15" i="20"/>
  <c r="BI15" i="20"/>
  <c r="AT38" i="20"/>
  <c r="BF38" i="20"/>
  <c r="BR38" i="20"/>
  <c r="AS38" i="20"/>
  <c r="AU38" i="20"/>
  <c r="BG38" i="20"/>
  <c r="BS38" i="20"/>
  <c r="AV38" i="20"/>
  <c r="BH38" i="20"/>
  <c r="BT38" i="20"/>
  <c r="AW38" i="20"/>
  <c r="BI38" i="20"/>
  <c r="AX38" i="20"/>
  <c r="BJ38" i="20"/>
  <c r="AY38" i="20"/>
  <c r="BK38" i="20"/>
  <c r="AZ38" i="20"/>
  <c r="BL38" i="20"/>
  <c r="BA38" i="20"/>
  <c r="BM38" i="20"/>
  <c r="BB38" i="20"/>
  <c r="BN38" i="20"/>
  <c r="BC38" i="20"/>
  <c r="BO38" i="20"/>
  <c r="BD38" i="20"/>
  <c r="BP38" i="20"/>
  <c r="BE38" i="20"/>
  <c r="BQ38" i="20"/>
  <c r="BC43" i="20"/>
  <c r="BO43" i="20"/>
  <c r="BD43" i="20"/>
  <c r="BP43" i="20"/>
  <c r="BE43" i="20"/>
  <c r="BQ43" i="20"/>
  <c r="AT43" i="20"/>
  <c r="BF43" i="20"/>
  <c r="BR43" i="20"/>
  <c r="AU43" i="20"/>
  <c r="BG43" i="20"/>
  <c r="BS43" i="20"/>
  <c r="AV43" i="20"/>
  <c r="BH43" i="20"/>
  <c r="BT43" i="20"/>
  <c r="AS43" i="20"/>
  <c r="AW43" i="20"/>
  <c r="BI43" i="20"/>
  <c r="AX43" i="20"/>
  <c r="BJ43" i="20"/>
  <c r="AY43" i="20"/>
  <c r="BK43" i="20"/>
  <c r="AZ43" i="20"/>
  <c r="BL43" i="20"/>
  <c r="BA43" i="20"/>
  <c r="BM43" i="20"/>
  <c r="BB43" i="20"/>
  <c r="BN43" i="20"/>
  <c r="D350" i="33"/>
  <c r="D231" i="33"/>
  <c r="D73" i="33"/>
  <c r="D238" i="33"/>
  <c r="D79" i="33"/>
  <c r="D236" i="33"/>
  <c r="D85" i="33"/>
  <c r="D217" i="33"/>
  <c r="D56" i="33"/>
  <c r="D31" i="33"/>
  <c r="E53" i="12" s="1"/>
  <c r="D284" i="33"/>
  <c r="D97" i="33"/>
  <c r="D213" i="33"/>
  <c r="D101" i="33"/>
  <c r="D180" i="33"/>
  <c r="D156" i="33"/>
  <c r="D362" i="33"/>
  <c r="D252" i="33"/>
  <c r="D102" i="33"/>
  <c r="D263" i="33"/>
  <c r="D110" i="33"/>
  <c r="D268" i="33"/>
  <c r="D118" i="33"/>
  <c r="D245" i="33"/>
  <c r="D91" i="33"/>
  <c r="D311" i="33"/>
  <c r="D314" i="33"/>
  <c r="D124" i="33"/>
  <c r="D254" i="33"/>
  <c r="D62" i="33"/>
  <c r="D199" i="33"/>
  <c r="D288" i="33"/>
  <c r="D293" i="33"/>
  <c r="D130" i="33"/>
  <c r="D353" i="33"/>
  <c r="D291" i="33"/>
  <c r="D139" i="33"/>
  <c r="D342" i="33"/>
  <c r="D289" i="33"/>
  <c r="D137" i="33"/>
  <c r="D275" i="33"/>
  <c r="D116" i="33"/>
  <c r="D224" i="33"/>
  <c r="D339" i="33"/>
  <c r="D145" i="33"/>
  <c r="D282" i="33"/>
  <c r="D104" i="33"/>
  <c r="D344" i="33"/>
  <c r="D181" i="33"/>
  <c r="D280" i="33"/>
  <c r="D321" i="33"/>
  <c r="D153" i="33"/>
  <c r="D267" i="33"/>
  <c r="D319" i="33"/>
  <c r="D163" i="33"/>
  <c r="D250" i="33"/>
  <c r="D330" i="33"/>
  <c r="D161" i="33"/>
  <c r="D326" i="33"/>
  <c r="D307" i="33"/>
  <c r="D147" i="33"/>
  <c r="D122" i="33"/>
  <c r="D363" i="33"/>
  <c r="D169" i="33"/>
  <c r="D300" i="33"/>
  <c r="D312" i="33"/>
  <c r="D132" i="33"/>
  <c r="D229" i="33"/>
  <c r="D349" i="33"/>
  <c r="D178" i="33"/>
  <c r="D168" i="33"/>
  <c r="D357" i="33"/>
  <c r="D152" i="33"/>
  <c r="D355" i="33"/>
  <c r="D235" i="33"/>
  <c r="D328" i="33"/>
  <c r="D171" i="33"/>
  <c r="D51" i="33"/>
  <c r="D34" i="33"/>
  <c r="E54" i="12" s="1"/>
  <c r="D198" i="33"/>
  <c r="D203" i="33"/>
  <c r="D343" i="33"/>
  <c r="D155" i="33"/>
  <c r="D212" i="33"/>
  <c r="D322" i="33"/>
  <c r="D95" i="33"/>
  <c r="D46" i="33"/>
  <c r="D208" i="33"/>
  <c r="D83" i="33"/>
  <c r="D206" i="33"/>
  <c r="D71" i="33"/>
  <c r="D204" i="33"/>
  <c r="D136" i="33"/>
  <c r="D365" i="33"/>
  <c r="D90" i="33"/>
  <c r="D214" i="33"/>
  <c r="D108" i="33"/>
  <c r="D361" i="33"/>
  <c r="D172" i="33"/>
  <c r="D67" i="33"/>
  <c r="D230" i="33"/>
  <c r="D72" i="33"/>
  <c r="D237" i="33"/>
  <c r="D78" i="33"/>
  <c r="D246" i="33"/>
  <c r="D61" i="33"/>
  <c r="D216" i="33"/>
  <c r="D125" i="33"/>
  <c r="D255" i="33"/>
  <c r="D57" i="33"/>
  <c r="D40" i="33"/>
  <c r="E56" i="12" s="1"/>
  <c r="D196" i="33"/>
  <c r="D313" i="33"/>
  <c r="D253" i="33"/>
  <c r="D327" i="33"/>
  <c r="D103" i="33"/>
  <c r="D251" i="33"/>
  <c r="D111" i="33"/>
  <c r="D269" i="33"/>
  <c r="D109" i="33"/>
  <c r="D276" i="33"/>
  <c r="D84" i="33"/>
  <c r="D244" i="33"/>
  <c r="D146" i="33"/>
  <c r="D283" i="33"/>
  <c r="D96" i="33"/>
  <c r="D225" i="33"/>
  <c r="D170" i="33"/>
  <c r="D131" i="33"/>
  <c r="D360" i="33"/>
  <c r="D292" i="33"/>
  <c r="D140" i="33"/>
  <c r="D347" i="33"/>
  <c r="D290" i="33"/>
  <c r="D138" i="33"/>
  <c r="D338" i="33"/>
  <c r="D301" i="33"/>
  <c r="D117" i="33"/>
  <c r="D274" i="33"/>
  <c r="D305" i="33"/>
  <c r="D123" i="33"/>
  <c r="D215" i="33"/>
  <c r="D154" i="33"/>
  <c r="D273" i="33"/>
  <c r="D320" i="33"/>
  <c r="D164" i="33"/>
  <c r="D262" i="33"/>
  <c r="D331" i="33"/>
  <c r="D162" i="33"/>
  <c r="D242" i="33"/>
  <c r="D329" i="33"/>
  <c r="D148" i="33"/>
  <c r="D318" i="33"/>
  <c r="D306" i="33"/>
  <c r="D281" i="33"/>
  <c r="D179" i="33"/>
  <c r="D176" i="33"/>
  <c r="D348" i="33"/>
  <c r="D177" i="33"/>
  <c r="D160" i="33"/>
  <c r="D356" i="33"/>
  <c r="D144" i="33"/>
  <c r="D354" i="33"/>
  <c r="D115" i="33"/>
  <c r="D43" i="33"/>
  <c r="E57" i="12" s="1"/>
  <c r="D195" i="33"/>
  <c r="D89" i="33"/>
  <c r="D47" i="33"/>
  <c r="D207" i="33"/>
  <c r="D77" i="33"/>
  <c r="D205" i="33"/>
  <c r="D66" i="33"/>
  <c r="D129" i="33"/>
  <c r="D364" i="33"/>
  <c r="D243" i="33"/>
  <c r="D52" i="33"/>
  <c r="D37" i="33"/>
  <c r="E55" i="12" s="1"/>
  <c r="D197" i="33"/>
  <c r="D194" i="33"/>
  <c r="BC27" i="20"/>
  <c r="BO27" i="20"/>
  <c r="BD27" i="20"/>
  <c r="BP27" i="20"/>
  <c r="AS27" i="20"/>
  <c r="BE27" i="20"/>
  <c r="BQ27" i="20"/>
  <c r="AT27" i="20"/>
  <c r="BF27" i="20"/>
  <c r="BR27" i="20"/>
  <c r="AU27" i="20"/>
  <c r="BG27" i="20"/>
  <c r="BS27" i="20"/>
  <c r="AV27" i="20"/>
  <c r="BH27" i="20"/>
  <c r="BT27" i="20"/>
  <c r="AW27" i="20"/>
  <c r="BI27" i="20"/>
  <c r="AX27" i="20"/>
  <c r="BJ27" i="20"/>
  <c r="AY27" i="20"/>
  <c r="BK27" i="20"/>
  <c r="AZ27" i="20"/>
  <c r="BL27" i="20"/>
  <c r="BA27" i="20"/>
  <c r="BM27" i="20"/>
  <c r="BB27" i="20"/>
  <c r="BN27" i="20"/>
  <c r="AY19" i="20"/>
  <c r="BK19" i="20"/>
  <c r="AZ19" i="20"/>
  <c r="BL19" i="20"/>
  <c r="BA19" i="20"/>
  <c r="BM19" i="20"/>
  <c r="BB19" i="20"/>
  <c r="BN19" i="20"/>
  <c r="BC19" i="20"/>
  <c r="BO19" i="20"/>
  <c r="BD19" i="20"/>
  <c r="BP19" i="20"/>
  <c r="BE19" i="20"/>
  <c r="BQ19" i="20"/>
  <c r="AT19" i="20"/>
  <c r="BF19" i="20"/>
  <c r="BR19" i="20"/>
  <c r="AU19" i="20"/>
  <c r="BG19" i="20"/>
  <c r="BS19" i="20"/>
  <c r="AV19" i="20"/>
  <c r="BH19" i="20"/>
  <c r="BT19" i="20"/>
  <c r="AW19" i="20"/>
  <c r="BI19" i="20"/>
  <c r="AS19" i="20"/>
  <c r="AX19" i="20"/>
  <c r="BJ19" i="20"/>
  <c r="BB13" i="20"/>
  <c r="BJ13" i="20"/>
  <c r="AV13" i="20"/>
  <c r="BS13" i="20"/>
  <c r="AX13" i="20"/>
  <c r="BI13" i="20"/>
  <c r="BG13" i="20"/>
  <c r="BM13" i="20"/>
  <c r="AW13" i="20"/>
  <c r="AU13" i="20"/>
  <c r="BQ13" i="20"/>
  <c r="BA13" i="20"/>
  <c r="BO13" i="20"/>
  <c r="BK13" i="20"/>
  <c r="BE13" i="20"/>
  <c r="BL13" i="20"/>
  <c r="BR13" i="20"/>
  <c r="BC13" i="20"/>
  <c r="AY13" i="20"/>
  <c r="BT13" i="20"/>
  <c r="AZ13" i="20"/>
  <c r="BF13" i="20"/>
  <c r="BP13" i="20"/>
  <c r="BN13" i="20"/>
  <c r="BH13" i="20"/>
  <c r="AT13" i="20"/>
  <c r="AS13" i="20"/>
  <c r="BD13" i="20"/>
  <c r="AW29" i="20"/>
  <c r="BI29" i="20"/>
  <c r="AX29" i="20"/>
  <c r="BJ29" i="20"/>
  <c r="AY29" i="20"/>
  <c r="BK29" i="20"/>
  <c r="AZ29" i="20"/>
  <c r="BL29" i="20"/>
  <c r="AS29" i="20"/>
  <c r="BA29" i="20"/>
  <c r="BM29" i="20"/>
  <c r="BB29" i="20"/>
  <c r="BN29" i="20"/>
  <c r="BC29" i="20"/>
  <c r="BO29" i="20"/>
  <c r="BD29" i="20"/>
  <c r="BP29" i="20"/>
  <c r="BE29" i="20"/>
  <c r="BQ29" i="20"/>
  <c r="AT29" i="20"/>
  <c r="BF29" i="20"/>
  <c r="BR29" i="20"/>
  <c r="AU29" i="20"/>
  <c r="BG29" i="20"/>
  <c r="BS29" i="20"/>
  <c r="AV29" i="20"/>
  <c r="BH29" i="20"/>
  <c r="BT29" i="20"/>
  <c r="Z137" i="33"/>
  <c r="Z145" i="33" s="1"/>
  <c r="Z153" i="33" s="1"/>
  <c r="Z131" i="33"/>
  <c r="Z170" i="33"/>
  <c r="X140" i="33"/>
  <c r="X148" i="33" s="1"/>
  <c r="X156" i="33" s="1"/>
  <c r="X172" i="33"/>
  <c r="I140" i="33"/>
  <c r="I148" i="33" s="1"/>
  <c r="I156" i="33" s="1"/>
  <c r="I172" i="33"/>
  <c r="K187" i="33"/>
  <c r="K196" i="33"/>
  <c r="K205" i="33" s="1"/>
  <c r="L139" i="33"/>
  <c r="L147" i="33" s="1"/>
  <c r="L155" i="33" s="1"/>
  <c r="L171" i="33"/>
  <c r="L132" i="33"/>
  <c r="AE172" i="33"/>
  <c r="AE140" i="33"/>
  <c r="AE148" i="33" s="1"/>
  <c r="AE156" i="33" s="1"/>
  <c r="N172" i="33"/>
  <c r="N140" i="33"/>
  <c r="N148" i="33" s="1"/>
  <c r="N156" i="33" s="1"/>
  <c r="P61" i="33"/>
  <c r="P51" i="33"/>
  <c r="P43" i="33"/>
  <c r="P37" i="33"/>
  <c r="P56" i="33"/>
  <c r="P66" i="33"/>
  <c r="AG37" i="33"/>
  <c r="AG43" i="33"/>
  <c r="AG61" i="33"/>
  <c r="AG66" i="33"/>
  <c r="AG51" i="33"/>
  <c r="AG56" i="33"/>
  <c r="V37" i="33"/>
  <c r="V43" i="33"/>
  <c r="V61" i="33"/>
  <c r="V66" i="33"/>
  <c r="V51" i="33"/>
  <c r="V56" i="33"/>
  <c r="AD137" i="33"/>
  <c r="AD145" i="33" s="1"/>
  <c r="AD153" i="33" s="1"/>
  <c r="AD131" i="33"/>
  <c r="AD170" i="33"/>
  <c r="W140" i="33"/>
  <c r="W148" i="33" s="1"/>
  <c r="W156" i="33" s="1"/>
  <c r="W172" i="33"/>
  <c r="G132" i="33"/>
  <c r="G171" i="33"/>
  <c r="G139" i="33"/>
  <c r="G147" i="33" s="1"/>
  <c r="G155" i="33" s="1"/>
  <c r="R172" i="33"/>
  <c r="R140" i="33"/>
  <c r="R148" i="33" s="1"/>
  <c r="R156" i="33" s="1"/>
  <c r="L196" i="33"/>
  <c r="L205" i="33" s="1"/>
  <c r="L187" i="33"/>
  <c r="I187" i="33"/>
  <c r="I196" i="33"/>
  <c r="I205" i="33" s="1"/>
  <c r="L172" i="33"/>
  <c r="L140" i="33"/>
  <c r="L148" i="33" s="1"/>
  <c r="L156" i="33" s="1"/>
  <c r="G187" i="33"/>
  <c r="G196" i="33"/>
  <c r="G205" i="33" s="1"/>
  <c r="Y171" i="33"/>
  <c r="Y139" i="33"/>
  <c r="Y147" i="33" s="1"/>
  <c r="Y155" i="33" s="1"/>
  <c r="Y132" i="33"/>
  <c r="H132" i="33"/>
  <c r="H171" i="33"/>
  <c r="H139" i="33"/>
  <c r="H147" i="33" s="1"/>
  <c r="H155" i="33" s="1"/>
  <c r="AH51" i="33"/>
  <c r="AH37" i="33"/>
  <c r="AH43" i="33"/>
  <c r="AH66" i="33"/>
  <c r="AH61" i="33"/>
  <c r="AH56" i="33"/>
  <c r="T137" i="33"/>
  <c r="T145" i="33" s="1"/>
  <c r="T153" i="33" s="1"/>
  <c r="T131" i="33"/>
  <c r="T170" i="33"/>
  <c r="R43" i="33"/>
  <c r="R56" i="33"/>
  <c r="R61" i="33"/>
  <c r="R51" i="33"/>
  <c r="R37" i="33"/>
  <c r="R66" i="33"/>
  <c r="AE43" i="33"/>
  <c r="AE37" i="33"/>
  <c r="AE51" i="33"/>
  <c r="AE56" i="33"/>
  <c r="AE66" i="33"/>
  <c r="AE61" i="33"/>
  <c r="W137" i="33"/>
  <c r="W145" i="33" s="1"/>
  <c r="W153" i="33" s="1"/>
  <c r="W170" i="33"/>
  <c r="W131" i="33"/>
  <c r="AC51" i="33"/>
  <c r="AC66" i="33"/>
  <c r="AC43" i="33"/>
  <c r="AC61" i="33"/>
  <c r="AC56" i="33"/>
  <c r="AC37" i="33"/>
  <c r="AE131" i="33"/>
  <c r="AE170" i="33"/>
  <c r="AE137" i="33"/>
  <c r="AE145" i="33" s="1"/>
  <c r="AE153" i="33" s="1"/>
  <c r="I37" i="33"/>
  <c r="I43" i="33"/>
  <c r="I61" i="33"/>
  <c r="I66" i="33"/>
  <c r="I56" i="33"/>
  <c r="I51" i="33"/>
  <c r="T140" i="33"/>
  <c r="T148" i="33" s="1"/>
  <c r="T156" i="33" s="1"/>
  <c r="T172" i="33"/>
  <c r="AH196" i="33"/>
  <c r="AH205" i="33" s="1"/>
  <c r="AH187" i="33"/>
  <c r="C172" i="33"/>
  <c r="C140" i="33"/>
  <c r="C148" i="33" s="1"/>
  <c r="C156" i="33" s="1"/>
  <c r="AB172" i="33"/>
  <c r="AB140" i="33"/>
  <c r="AB148" i="33" s="1"/>
  <c r="AB156" i="33" s="1"/>
  <c r="J140" i="33"/>
  <c r="J148" i="33" s="1"/>
  <c r="J156" i="33" s="1"/>
  <c r="J172" i="33"/>
  <c r="AD172" i="33"/>
  <c r="AD140" i="33"/>
  <c r="AD148" i="33" s="1"/>
  <c r="AD156" i="33" s="1"/>
  <c r="O132" i="33"/>
  <c r="O171" i="33"/>
  <c r="O139" i="33"/>
  <c r="O147" i="33" s="1"/>
  <c r="O155" i="33" s="1"/>
  <c r="AC139" i="33"/>
  <c r="AC147" i="33" s="1"/>
  <c r="AC155" i="33" s="1"/>
  <c r="AC132" i="33"/>
  <c r="AC171" i="33"/>
  <c r="S131" i="33"/>
  <c r="S170" i="33"/>
  <c r="S137" i="33"/>
  <c r="S145" i="33" s="1"/>
  <c r="S153" i="33" s="1"/>
  <c r="AA131" i="33"/>
  <c r="AA137" i="33"/>
  <c r="AA145" i="33" s="1"/>
  <c r="AA153" i="33" s="1"/>
  <c r="AA170" i="33"/>
  <c r="L66" i="33"/>
  <c r="L37" i="33"/>
  <c r="L51" i="33"/>
  <c r="L56" i="33"/>
  <c r="L43" i="33"/>
  <c r="L61" i="33"/>
  <c r="R137" i="33"/>
  <c r="R145" i="33" s="1"/>
  <c r="R153" i="33" s="1"/>
  <c r="R131" i="33"/>
  <c r="R170" i="33"/>
  <c r="AH131" i="33"/>
  <c r="AH137" i="33"/>
  <c r="AH145" i="33" s="1"/>
  <c r="AH153" i="33" s="1"/>
  <c r="AH170" i="33"/>
  <c r="Q51" i="33"/>
  <c r="Q66" i="33"/>
  <c r="Q61" i="33"/>
  <c r="Q43" i="33"/>
  <c r="Q37" i="33"/>
  <c r="Q56" i="33"/>
  <c r="AD196" i="33"/>
  <c r="AD205" i="33" s="1"/>
  <c r="AD187" i="33"/>
  <c r="AG171" i="33"/>
  <c r="AG139" i="33"/>
  <c r="AG147" i="33" s="1"/>
  <c r="AG155" i="33" s="1"/>
  <c r="AG132" i="33"/>
  <c r="V140" i="33"/>
  <c r="V148" i="33" s="1"/>
  <c r="V156" i="33" s="1"/>
  <c r="V172" i="33"/>
  <c r="AB187" i="33"/>
  <c r="AB196" i="33"/>
  <c r="AB205" i="33" s="1"/>
  <c r="Q172" i="33"/>
  <c r="Q140" i="33"/>
  <c r="Q148" i="33" s="1"/>
  <c r="Q156" i="33" s="1"/>
  <c r="U140" i="33"/>
  <c r="U148" i="33" s="1"/>
  <c r="U156" i="33" s="1"/>
  <c r="U172" i="33"/>
  <c r="AA187" i="33"/>
  <c r="AA196" i="33"/>
  <c r="AA205" i="33" s="1"/>
  <c r="I171" i="33"/>
  <c r="I139" i="33"/>
  <c r="I147" i="33" s="1"/>
  <c r="I155" i="33" s="1"/>
  <c r="I132" i="33"/>
  <c r="L131" i="33"/>
  <c r="L170" i="33"/>
  <c r="L137" i="33"/>
  <c r="L145" i="33" s="1"/>
  <c r="L153" i="33" s="1"/>
  <c r="N137" i="33"/>
  <c r="N145" i="33" s="1"/>
  <c r="N153" i="33" s="1"/>
  <c r="N170" i="33"/>
  <c r="N131" i="33"/>
  <c r="O131" i="33"/>
  <c r="O170" i="33"/>
  <c r="O137" i="33"/>
  <c r="O145" i="33" s="1"/>
  <c r="O153" i="33" s="1"/>
  <c r="Q131" i="33"/>
  <c r="Q137" i="33"/>
  <c r="Q145" i="33" s="1"/>
  <c r="Q153" i="33" s="1"/>
  <c r="Q170" i="33"/>
  <c r="AB131" i="33"/>
  <c r="AB137" i="33"/>
  <c r="AB145" i="33" s="1"/>
  <c r="AB153" i="33" s="1"/>
  <c r="AB170" i="33"/>
  <c r="N187" i="33"/>
  <c r="N196" i="33"/>
  <c r="N205" i="33" s="1"/>
  <c r="AE139" i="33"/>
  <c r="AE147" i="33" s="1"/>
  <c r="AE155" i="33" s="1"/>
  <c r="AE132" i="33"/>
  <c r="AE171" i="33"/>
  <c r="P139" i="33"/>
  <c r="P147" i="33" s="1"/>
  <c r="P155" i="33" s="1"/>
  <c r="P132" i="33"/>
  <c r="P171" i="33"/>
  <c r="H172" i="33"/>
  <c r="H140" i="33"/>
  <c r="H148" i="33" s="1"/>
  <c r="H156" i="33" s="1"/>
  <c r="K140" i="33"/>
  <c r="K148" i="33" s="1"/>
  <c r="K156" i="33" s="1"/>
  <c r="K172" i="33"/>
  <c r="C196" i="33"/>
  <c r="C205" i="33" s="1"/>
  <c r="C187" i="33"/>
  <c r="K132" i="33"/>
  <c r="K139" i="33"/>
  <c r="K147" i="33" s="1"/>
  <c r="K155" i="33" s="1"/>
  <c r="K171" i="33"/>
  <c r="T132" i="33"/>
  <c r="T171" i="33"/>
  <c r="T139" i="33"/>
  <c r="T147" i="33" s="1"/>
  <c r="T155" i="33" s="1"/>
  <c r="J187" i="33"/>
  <c r="J196" i="33"/>
  <c r="J205" i="33" s="1"/>
  <c r="G43" i="33"/>
  <c r="H57" i="12" s="1"/>
  <c r="G37" i="33"/>
  <c r="G51" i="33"/>
  <c r="G56" i="33"/>
  <c r="G66" i="33"/>
  <c r="G61" i="33"/>
  <c r="K43" i="33"/>
  <c r="K37" i="33"/>
  <c r="K51" i="33"/>
  <c r="K56" i="33"/>
  <c r="K66" i="33"/>
  <c r="K61" i="33"/>
  <c r="AB61" i="33"/>
  <c r="AB37" i="33"/>
  <c r="AB51" i="33"/>
  <c r="AB43" i="33"/>
  <c r="AB56" i="33"/>
  <c r="AB66" i="33"/>
  <c r="X196" i="33"/>
  <c r="X205" i="33" s="1"/>
  <c r="X187" i="33"/>
  <c r="Q171" i="33"/>
  <c r="Q132" i="33"/>
  <c r="Q139" i="33"/>
  <c r="Q147" i="33" s="1"/>
  <c r="Q155" i="33" s="1"/>
  <c r="U196" i="33"/>
  <c r="U205" i="33" s="1"/>
  <c r="U187" i="33"/>
  <c r="AB171" i="33"/>
  <c r="AB139" i="33"/>
  <c r="AB147" i="33" s="1"/>
  <c r="AB155" i="33" s="1"/>
  <c r="AB132" i="33"/>
  <c r="S187" i="33"/>
  <c r="S196" i="33"/>
  <c r="S205" i="33" s="1"/>
  <c r="AF171" i="33"/>
  <c r="AF139" i="33"/>
  <c r="AF147" i="33" s="1"/>
  <c r="AF155" i="33" s="1"/>
  <c r="AF132" i="33"/>
  <c r="Z172" i="33"/>
  <c r="Z140" i="33"/>
  <c r="Z148" i="33" s="1"/>
  <c r="Z156" i="33" s="1"/>
  <c r="M171" i="33"/>
  <c r="M132" i="33"/>
  <c r="M139" i="33"/>
  <c r="M147" i="33" s="1"/>
  <c r="M155" i="33" s="1"/>
  <c r="V139" i="33"/>
  <c r="V147" i="33" s="1"/>
  <c r="V155" i="33" s="1"/>
  <c r="V132" i="33"/>
  <c r="V171" i="33"/>
  <c r="C170" i="33"/>
  <c r="C137" i="33"/>
  <c r="C145" i="33" s="1"/>
  <c r="C153" i="33" s="1"/>
  <c r="C131" i="33"/>
  <c r="G137" i="33"/>
  <c r="G145" i="33" s="1"/>
  <c r="G153" i="33" s="1"/>
  <c r="G170" i="33"/>
  <c r="G131" i="33"/>
  <c r="J171" i="33"/>
  <c r="J139" i="33"/>
  <c r="J147" i="33" s="1"/>
  <c r="J155" i="33" s="1"/>
  <c r="J132" i="33"/>
  <c r="R196" i="33"/>
  <c r="R205" i="33" s="1"/>
  <c r="R187" i="33"/>
  <c r="AF196" i="33"/>
  <c r="AF205" i="33" s="1"/>
  <c r="AF187" i="33"/>
  <c r="W187" i="33"/>
  <c r="W196" i="33"/>
  <c r="W205" i="33" s="1"/>
  <c r="O187" i="33"/>
  <c r="O196" i="33"/>
  <c r="O205" i="33" s="1"/>
  <c r="AF137" i="33"/>
  <c r="AF145" i="33" s="1"/>
  <c r="AF153" i="33" s="1"/>
  <c r="AF131" i="33"/>
  <c r="AF170" i="33"/>
  <c r="AF172" i="33"/>
  <c r="AF140" i="33"/>
  <c r="AF148" i="33" s="1"/>
  <c r="AF156" i="33" s="1"/>
  <c r="AD43" i="33"/>
  <c r="AD37" i="33"/>
  <c r="AD66" i="33"/>
  <c r="AD51" i="33"/>
  <c r="AD56" i="33"/>
  <c r="AD61" i="33"/>
  <c r="H137" i="33"/>
  <c r="H145" i="33" s="1"/>
  <c r="H153" i="33" s="1"/>
  <c r="H131" i="33"/>
  <c r="H170" i="33"/>
  <c r="AA37" i="33"/>
  <c r="AA51" i="33"/>
  <c r="AA43" i="33"/>
  <c r="AA56" i="33"/>
  <c r="AA61" i="33"/>
  <c r="AA66" i="33"/>
  <c r="H187" i="33"/>
  <c r="H196" i="33"/>
  <c r="H205" i="33" s="1"/>
  <c r="AC172" i="33"/>
  <c r="AC140" i="33"/>
  <c r="AC148" i="33" s="1"/>
  <c r="AC156" i="33" s="1"/>
  <c r="AC196" i="33"/>
  <c r="AC205" i="33" s="1"/>
  <c r="AC187" i="33"/>
  <c r="P196" i="33"/>
  <c r="P205" i="33" s="1"/>
  <c r="P187" i="33"/>
  <c r="AD132" i="33"/>
  <c r="AD139" i="33"/>
  <c r="AD147" i="33" s="1"/>
  <c r="AD155" i="33" s="1"/>
  <c r="AD171" i="33"/>
  <c r="Z139" i="33"/>
  <c r="Z147" i="33" s="1"/>
  <c r="Z155" i="33" s="1"/>
  <c r="Z171" i="33"/>
  <c r="Z132" i="33"/>
  <c r="AE187" i="33"/>
  <c r="AE196" i="33"/>
  <c r="AE205" i="33" s="1"/>
  <c r="O43" i="33"/>
  <c r="O51" i="33"/>
  <c r="O56" i="33"/>
  <c r="O61" i="33"/>
  <c r="O37" i="33"/>
  <c r="O66" i="33"/>
  <c r="M131" i="33"/>
  <c r="M170" i="33"/>
  <c r="M137" i="33"/>
  <c r="M145" i="33" s="1"/>
  <c r="M153" i="33" s="1"/>
  <c r="AC170" i="33"/>
  <c r="AC131" i="33"/>
  <c r="AC137" i="33"/>
  <c r="AC145" i="33" s="1"/>
  <c r="AC153" i="33" s="1"/>
  <c r="W43" i="33"/>
  <c r="W56" i="33"/>
  <c r="W51" i="33"/>
  <c r="W37" i="33"/>
  <c r="W66" i="33"/>
  <c r="W61" i="33"/>
  <c r="X37" i="33"/>
  <c r="X66" i="33"/>
  <c r="X43" i="33"/>
  <c r="X56" i="33"/>
  <c r="X61" i="33"/>
  <c r="X51" i="33"/>
  <c r="K137" i="33"/>
  <c r="K145" i="33" s="1"/>
  <c r="K153" i="33" s="1"/>
  <c r="K131" i="33"/>
  <c r="K170" i="33"/>
  <c r="V131" i="33"/>
  <c r="V170" i="33"/>
  <c r="V137" i="33"/>
  <c r="V145" i="33" s="1"/>
  <c r="V153" i="33" s="1"/>
  <c r="Y170" i="33"/>
  <c r="Y137" i="33"/>
  <c r="Y145" i="33" s="1"/>
  <c r="Y153" i="33" s="1"/>
  <c r="Y131" i="33"/>
  <c r="AH140" i="33"/>
  <c r="AH148" i="33" s="1"/>
  <c r="AH156" i="33" s="1"/>
  <c r="AH172" i="33"/>
  <c r="AA171" i="33"/>
  <c r="AA139" i="33"/>
  <c r="AA147" i="33" s="1"/>
  <c r="AA155" i="33" s="1"/>
  <c r="AA132" i="33"/>
  <c r="Y140" i="33"/>
  <c r="Y148" i="33" s="1"/>
  <c r="Y156" i="33" s="1"/>
  <c r="Y172" i="33"/>
  <c r="M187" i="33"/>
  <c r="M196" i="33"/>
  <c r="M205" i="33" s="1"/>
  <c r="Z187" i="33"/>
  <c r="Z196" i="33"/>
  <c r="Z205" i="33" s="1"/>
  <c r="S140" i="33"/>
  <c r="S148" i="33" s="1"/>
  <c r="S156" i="33" s="1"/>
  <c r="S172" i="33"/>
  <c r="T61" i="33"/>
  <c r="T43" i="33"/>
  <c r="T56" i="33"/>
  <c r="T37" i="33"/>
  <c r="T66" i="33"/>
  <c r="T51" i="33"/>
  <c r="Q187" i="33"/>
  <c r="Q196" i="33"/>
  <c r="Q205" i="33" s="1"/>
  <c r="S43" i="33"/>
  <c r="S56" i="33"/>
  <c r="S37" i="33"/>
  <c r="S51" i="33"/>
  <c r="S66" i="33"/>
  <c r="S61" i="33"/>
  <c r="U170" i="33"/>
  <c r="U131" i="33"/>
  <c r="U137" i="33"/>
  <c r="U145" i="33" s="1"/>
  <c r="U153" i="33" s="1"/>
  <c r="AF43" i="33"/>
  <c r="AF51" i="33"/>
  <c r="AF61" i="33"/>
  <c r="AF56" i="33"/>
  <c r="AF37" i="33"/>
  <c r="AF66" i="33"/>
  <c r="J170" i="33"/>
  <c r="J131" i="33"/>
  <c r="J137" i="33"/>
  <c r="J145" i="33" s="1"/>
  <c r="J153" i="33" s="1"/>
  <c r="AG187" i="33"/>
  <c r="AG196" i="33"/>
  <c r="AG205" i="33" s="1"/>
  <c r="O140" i="33"/>
  <c r="O148" i="33" s="1"/>
  <c r="O156" i="33" s="1"/>
  <c r="O172" i="33"/>
  <c r="S171" i="33"/>
  <c r="S132" i="33"/>
  <c r="S139" i="33"/>
  <c r="S147" i="33" s="1"/>
  <c r="S155" i="33" s="1"/>
  <c r="U171" i="33"/>
  <c r="U139" i="33"/>
  <c r="U147" i="33" s="1"/>
  <c r="U155" i="33" s="1"/>
  <c r="U132" i="33"/>
  <c r="Y196" i="33"/>
  <c r="Y205" i="33" s="1"/>
  <c r="Y187" i="33"/>
  <c r="AH171" i="33"/>
  <c r="AH132" i="33"/>
  <c r="AH139" i="33"/>
  <c r="AH147" i="33" s="1"/>
  <c r="AH155" i="33" s="1"/>
  <c r="P172" i="33"/>
  <c r="P140" i="33"/>
  <c r="P148" i="33" s="1"/>
  <c r="P156" i="33" s="1"/>
  <c r="AA140" i="33"/>
  <c r="AA148" i="33" s="1"/>
  <c r="AA156" i="33" s="1"/>
  <c r="AA172" i="33"/>
  <c r="P131" i="33"/>
  <c r="P137" i="33"/>
  <c r="P145" i="33" s="1"/>
  <c r="P153" i="33" s="1"/>
  <c r="P170" i="33"/>
  <c r="X132" i="33"/>
  <c r="X171" i="33"/>
  <c r="X139" i="33"/>
  <c r="X147" i="33" s="1"/>
  <c r="X155" i="33" s="1"/>
  <c r="Y51" i="33"/>
  <c r="Y43" i="33"/>
  <c r="Y66" i="33"/>
  <c r="Y61" i="33"/>
  <c r="Y56" i="33"/>
  <c r="Y37" i="33"/>
  <c r="H43" i="33"/>
  <c r="H61" i="33"/>
  <c r="H37" i="33"/>
  <c r="H66" i="33"/>
  <c r="H51" i="33"/>
  <c r="H56" i="33"/>
  <c r="M51" i="33"/>
  <c r="M43" i="33"/>
  <c r="M66" i="33"/>
  <c r="M61" i="33"/>
  <c r="M37" i="33"/>
  <c r="M56" i="33"/>
  <c r="J37" i="33"/>
  <c r="J66" i="33"/>
  <c r="J43" i="33"/>
  <c r="J61" i="33"/>
  <c r="J56" i="33"/>
  <c r="J51" i="33"/>
  <c r="N51" i="33"/>
  <c r="N37" i="33"/>
  <c r="N43" i="33"/>
  <c r="N66" i="33"/>
  <c r="N61" i="33"/>
  <c r="N56" i="33"/>
  <c r="X170" i="33"/>
  <c r="X131" i="33"/>
  <c r="X137" i="33"/>
  <c r="X145" i="33" s="1"/>
  <c r="X153" i="33" s="1"/>
  <c r="I131" i="33"/>
  <c r="I137" i="33"/>
  <c r="I145" i="33" s="1"/>
  <c r="I153" i="33" s="1"/>
  <c r="I170" i="33"/>
  <c r="U37" i="33"/>
  <c r="U66" i="33"/>
  <c r="U43" i="33"/>
  <c r="U61" i="33"/>
  <c r="U51" i="33"/>
  <c r="U56" i="33"/>
  <c r="AG170" i="33"/>
  <c r="AG131" i="33"/>
  <c r="AG137" i="33"/>
  <c r="AG145" i="33" s="1"/>
  <c r="AG153" i="33" s="1"/>
  <c r="Z51" i="33"/>
  <c r="Z56" i="33"/>
  <c r="Z66" i="33"/>
  <c r="Z61" i="33"/>
  <c r="Z43" i="33"/>
  <c r="Z37" i="33"/>
  <c r="M140" i="33"/>
  <c r="M148" i="33" s="1"/>
  <c r="M156" i="33" s="1"/>
  <c r="M172" i="33"/>
  <c r="W132" i="33"/>
  <c r="W171" i="33"/>
  <c r="W139" i="33"/>
  <c r="W147" i="33" s="1"/>
  <c r="W155" i="33" s="1"/>
  <c r="G140" i="33"/>
  <c r="G148" i="33" s="1"/>
  <c r="G156" i="33" s="1"/>
  <c r="G172" i="33"/>
  <c r="V196" i="33"/>
  <c r="V205" i="33" s="1"/>
  <c r="V187" i="33"/>
  <c r="AG140" i="33"/>
  <c r="AG148" i="33" s="1"/>
  <c r="AG156" i="33" s="1"/>
  <c r="AG172" i="33"/>
  <c r="R139" i="33"/>
  <c r="R147" i="33" s="1"/>
  <c r="R155" i="33" s="1"/>
  <c r="R171" i="33"/>
  <c r="R132" i="33"/>
  <c r="T196" i="33"/>
  <c r="T205" i="33" s="1"/>
  <c r="T187" i="33"/>
  <c r="N139" i="33"/>
  <c r="N147" i="33" s="1"/>
  <c r="N155" i="33" s="1"/>
  <c r="N132" i="33"/>
  <c r="N171" i="33"/>
  <c r="Q21" i="33"/>
  <c r="Q13" i="33"/>
  <c r="G21" i="33"/>
  <c r="G13" i="33"/>
  <c r="K21" i="33"/>
  <c r="K13" i="33"/>
  <c r="AB21" i="33"/>
  <c r="AB13" i="33"/>
  <c r="AD21" i="33"/>
  <c r="AD13" i="33"/>
  <c r="AA21" i="33"/>
  <c r="AA13" i="33"/>
  <c r="L21" i="33"/>
  <c r="L13" i="33"/>
  <c r="O21" i="33"/>
  <c r="O13" i="33"/>
  <c r="W21" i="33"/>
  <c r="W13" i="33"/>
  <c r="X21" i="33"/>
  <c r="X13" i="33"/>
  <c r="Y21" i="33"/>
  <c r="Y13" i="33"/>
  <c r="H21" i="33"/>
  <c r="H13" i="33"/>
  <c r="M21" i="33"/>
  <c r="M13" i="33"/>
  <c r="J21" i="33"/>
  <c r="J13" i="33"/>
  <c r="S21" i="33"/>
  <c r="S13" i="33"/>
  <c r="AF21" i="33"/>
  <c r="AF13" i="33"/>
  <c r="N13" i="33"/>
  <c r="N21" i="33"/>
  <c r="U21" i="33"/>
  <c r="U13" i="33"/>
  <c r="Z13" i="33"/>
  <c r="Z21" i="33"/>
  <c r="AH21" i="33"/>
  <c r="AH13" i="33"/>
  <c r="P21" i="33"/>
  <c r="P13" i="33"/>
  <c r="AG21" i="33"/>
  <c r="AG13" i="33"/>
  <c r="V21" i="33"/>
  <c r="V13" i="33"/>
  <c r="T21" i="33"/>
  <c r="T13" i="33"/>
  <c r="R21" i="33"/>
  <c r="R13" i="33"/>
  <c r="AE21" i="33"/>
  <c r="AE13" i="33"/>
  <c r="AC21" i="33"/>
  <c r="AC13" i="33"/>
  <c r="I13" i="33"/>
  <c r="I21" i="33"/>
  <c r="J2" i="20"/>
  <c r="AP391" i="30" s="1"/>
  <c r="E89" i="19"/>
  <c r="E90" i="19" s="1"/>
  <c r="D67" i="19"/>
  <c r="D89" i="19"/>
  <c r="D90" i="19" s="1"/>
  <c r="D63" i="19"/>
  <c r="E63" i="19"/>
  <c r="C63" i="19"/>
  <c r="C56" i="19"/>
  <c r="C10" i="21" s="1"/>
  <c r="C57" i="19"/>
  <c r="C11" i="21" s="1"/>
  <c r="C58" i="19"/>
  <c r="C12" i="21" s="1"/>
  <c r="C59" i="19"/>
  <c r="C13" i="21" s="1"/>
  <c r="C60" i="19"/>
  <c r="C14" i="21" s="1"/>
  <c r="C55" i="19"/>
  <c r="C9" i="21" s="1"/>
  <c r="C50" i="19"/>
  <c r="C4" i="21" s="1"/>
  <c r="C51" i="19"/>
  <c r="C5" i="21" s="1"/>
  <c r="C52" i="19"/>
  <c r="C6" i="21" s="1"/>
  <c r="C53" i="19"/>
  <c r="C7" i="21" s="1"/>
  <c r="C54" i="19"/>
  <c r="C8" i="21" s="1"/>
  <c r="C49" i="19"/>
  <c r="C3" i="21" s="1"/>
  <c r="E56" i="19"/>
  <c r="F10" i="21" s="1"/>
  <c r="E57" i="19"/>
  <c r="F11" i="21" s="1"/>
  <c r="E58" i="19"/>
  <c r="F12" i="21" s="1"/>
  <c r="E59" i="19"/>
  <c r="F13" i="21" s="1"/>
  <c r="E60" i="19"/>
  <c r="F14" i="21" s="1"/>
  <c r="E55" i="19"/>
  <c r="F9" i="21" s="1"/>
  <c r="F16" i="19"/>
  <c r="D38" i="19"/>
  <c r="D37" i="19"/>
  <c r="F29" i="19"/>
  <c r="E29" i="19"/>
  <c r="E28" i="19"/>
  <c r="F27" i="19"/>
  <c r="E27" i="19"/>
  <c r="E26" i="19"/>
  <c r="E31" i="19" s="1"/>
  <c r="G25" i="19" s="1"/>
  <c r="F24" i="19"/>
  <c r="D11" i="19"/>
  <c r="D7" i="19"/>
  <c r="D6" i="19"/>
  <c r="D5" i="19"/>
  <c r="D4" i="19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N37" i="22"/>
  <c r="E34" i="16"/>
  <c r="D34" i="16"/>
  <c r="G34" i="16"/>
  <c r="I34" i="16"/>
  <c r="H34" i="16"/>
  <c r="F34" i="16"/>
  <c r="J34" i="16"/>
  <c r="K34" i="16"/>
  <c r="N34" i="16"/>
  <c r="M34" i="16"/>
  <c r="L34" i="16"/>
  <c r="O34" i="16"/>
  <c r="P34" i="16"/>
  <c r="Q34" i="16"/>
  <c r="R34" i="16"/>
  <c r="S34" i="16"/>
  <c r="T34" i="16"/>
  <c r="U34" i="16"/>
  <c r="V34" i="16"/>
  <c r="E35" i="16"/>
  <c r="D35" i="16"/>
  <c r="G35" i="16"/>
  <c r="I35" i="16"/>
  <c r="H35" i="16"/>
  <c r="F35" i="16"/>
  <c r="J35" i="16"/>
  <c r="K35" i="16"/>
  <c r="N35" i="16"/>
  <c r="M35" i="16"/>
  <c r="L35" i="16"/>
  <c r="O35" i="16"/>
  <c r="P35" i="16"/>
  <c r="Q35" i="16"/>
  <c r="R35" i="16"/>
  <c r="S35" i="16"/>
  <c r="T35" i="16"/>
  <c r="U35" i="16"/>
  <c r="V35" i="16"/>
  <c r="E36" i="16"/>
  <c r="D36" i="16"/>
  <c r="G36" i="16"/>
  <c r="I36" i="16"/>
  <c r="H36" i="16"/>
  <c r="F36" i="16"/>
  <c r="J36" i="16"/>
  <c r="K36" i="16"/>
  <c r="N36" i="16"/>
  <c r="M36" i="16"/>
  <c r="L36" i="16"/>
  <c r="O36" i="16"/>
  <c r="P36" i="16"/>
  <c r="Q36" i="16"/>
  <c r="R36" i="16"/>
  <c r="S36" i="16"/>
  <c r="T36" i="16"/>
  <c r="U36" i="16"/>
  <c r="V36" i="16"/>
  <c r="E37" i="16"/>
  <c r="D37" i="16"/>
  <c r="G37" i="16"/>
  <c r="I37" i="16"/>
  <c r="H37" i="16"/>
  <c r="F37" i="16"/>
  <c r="J37" i="16"/>
  <c r="K37" i="16"/>
  <c r="N37" i="16"/>
  <c r="M37" i="16"/>
  <c r="L37" i="16"/>
  <c r="O37" i="16"/>
  <c r="P37" i="16"/>
  <c r="Q37" i="16"/>
  <c r="R37" i="16"/>
  <c r="S37" i="16"/>
  <c r="T37" i="16"/>
  <c r="U37" i="16"/>
  <c r="V37" i="16"/>
  <c r="E38" i="16"/>
  <c r="D38" i="16"/>
  <c r="G38" i="16"/>
  <c r="I38" i="16"/>
  <c r="H38" i="16"/>
  <c r="F38" i="16"/>
  <c r="J38" i="16"/>
  <c r="K38" i="16"/>
  <c r="N38" i="16"/>
  <c r="M38" i="16"/>
  <c r="L38" i="16"/>
  <c r="O38" i="16"/>
  <c r="P38" i="16"/>
  <c r="Q38" i="16"/>
  <c r="R38" i="16"/>
  <c r="S38" i="16"/>
  <c r="T38" i="16"/>
  <c r="U38" i="16"/>
  <c r="V38" i="16"/>
  <c r="E39" i="16"/>
  <c r="D39" i="16"/>
  <c r="G39" i="16"/>
  <c r="I39" i="16"/>
  <c r="H39" i="16"/>
  <c r="F39" i="16"/>
  <c r="J39" i="16"/>
  <c r="K39" i="16"/>
  <c r="N39" i="16"/>
  <c r="M39" i="16"/>
  <c r="L39" i="16"/>
  <c r="O39" i="16"/>
  <c r="P39" i="16"/>
  <c r="Q39" i="16"/>
  <c r="R39" i="16"/>
  <c r="S39" i="16"/>
  <c r="T39" i="16"/>
  <c r="U39" i="16"/>
  <c r="V39" i="16"/>
  <c r="E40" i="16"/>
  <c r="D40" i="16"/>
  <c r="G40" i="16"/>
  <c r="I40" i="16"/>
  <c r="H40" i="16"/>
  <c r="F40" i="16"/>
  <c r="J40" i="16"/>
  <c r="K40" i="16"/>
  <c r="N40" i="16"/>
  <c r="M40" i="16"/>
  <c r="L40" i="16"/>
  <c r="O40" i="16"/>
  <c r="P40" i="16"/>
  <c r="Q40" i="16"/>
  <c r="R40" i="16"/>
  <c r="S40" i="16"/>
  <c r="T40" i="16"/>
  <c r="U40" i="16"/>
  <c r="V40" i="16"/>
  <c r="E41" i="16"/>
  <c r="D41" i="16"/>
  <c r="G41" i="16"/>
  <c r="I41" i="16"/>
  <c r="H41" i="16"/>
  <c r="F41" i="16"/>
  <c r="J41" i="16"/>
  <c r="K41" i="16"/>
  <c r="N41" i="16"/>
  <c r="M41" i="16"/>
  <c r="L41" i="16"/>
  <c r="O41" i="16"/>
  <c r="P41" i="16"/>
  <c r="Q41" i="16"/>
  <c r="R41" i="16"/>
  <c r="S41" i="16"/>
  <c r="T41" i="16"/>
  <c r="U41" i="16"/>
  <c r="V41" i="16"/>
  <c r="E42" i="16"/>
  <c r="D42" i="16"/>
  <c r="G42" i="16"/>
  <c r="I42" i="16"/>
  <c r="H42" i="16"/>
  <c r="F42" i="16"/>
  <c r="J42" i="16"/>
  <c r="K42" i="16"/>
  <c r="N42" i="16"/>
  <c r="M42" i="16"/>
  <c r="L42" i="16"/>
  <c r="O42" i="16"/>
  <c r="P42" i="16"/>
  <c r="Q42" i="16"/>
  <c r="R42" i="16"/>
  <c r="S42" i="16"/>
  <c r="T42" i="16"/>
  <c r="U42" i="16"/>
  <c r="V42" i="16"/>
  <c r="E43" i="16"/>
  <c r="D43" i="16"/>
  <c r="G43" i="16"/>
  <c r="I43" i="16"/>
  <c r="H43" i="16"/>
  <c r="F43" i="16"/>
  <c r="J43" i="16"/>
  <c r="K43" i="16"/>
  <c r="N43" i="16"/>
  <c r="M43" i="16"/>
  <c r="L43" i="16"/>
  <c r="O43" i="16"/>
  <c r="P43" i="16"/>
  <c r="Q43" i="16"/>
  <c r="R43" i="16"/>
  <c r="S43" i="16"/>
  <c r="T43" i="16"/>
  <c r="U43" i="16"/>
  <c r="V43" i="16"/>
  <c r="E44" i="16"/>
  <c r="D44" i="16"/>
  <c r="G44" i="16"/>
  <c r="I44" i="16"/>
  <c r="H44" i="16"/>
  <c r="F44" i="16"/>
  <c r="J44" i="16"/>
  <c r="K44" i="16"/>
  <c r="N44" i="16"/>
  <c r="M44" i="16"/>
  <c r="L44" i="16"/>
  <c r="O44" i="16"/>
  <c r="P44" i="16"/>
  <c r="Q44" i="16"/>
  <c r="R44" i="16"/>
  <c r="S44" i="16"/>
  <c r="T44" i="16"/>
  <c r="U44" i="16"/>
  <c r="V44" i="16"/>
  <c r="E45" i="16"/>
  <c r="D45" i="16"/>
  <c r="G45" i="16"/>
  <c r="I45" i="16"/>
  <c r="H45" i="16"/>
  <c r="F45" i="16"/>
  <c r="J45" i="16"/>
  <c r="K45" i="16"/>
  <c r="N45" i="16"/>
  <c r="M45" i="16"/>
  <c r="L45" i="16"/>
  <c r="O45" i="16"/>
  <c r="P45" i="16"/>
  <c r="Q45" i="16"/>
  <c r="R45" i="16"/>
  <c r="S45" i="16"/>
  <c r="T45" i="16"/>
  <c r="U45" i="16"/>
  <c r="V45" i="16"/>
  <c r="E46" i="16"/>
  <c r="D46" i="16"/>
  <c r="G46" i="16"/>
  <c r="I46" i="16"/>
  <c r="H46" i="16"/>
  <c r="F46" i="16"/>
  <c r="J46" i="16"/>
  <c r="K46" i="16"/>
  <c r="N46" i="16"/>
  <c r="M46" i="16"/>
  <c r="L46" i="16"/>
  <c r="O46" i="16"/>
  <c r="P46" i="16"/>
  <c r="Q46" i="16"/>
  <c r="R46" i="16"/>
  <c r="S46" i="16"/>
  <c r="T46" i="16"/>
  <c r="U46" i="16"/>
  <c r="V46" i="16"/>
  <c r="E47" i="16"/>
  <c r="D47" i="16"/>
  <c r="G47" i="16"/>
  <c r="I47" i="16"/>
  <c r="H47" i="16"/>
  <c r="F47" i="16"/>
  <c r="J47" i="16"/>
  <c r="K47" i="16"/>
  <c r="N47" i="16"/>
  <c r="M47" i="16"/>
  <c r="L47" i="16"/>
  <c r="O47" i="16"/>
  <c r="P47" i="16"/>
  <c r="Q47" i="16"/>
  <c r="R47" i="16"/>
  <c r="S47" i="16"/>
  <c r="T47" i="16"/>
  <c r="U47" i="16"/>
  <c r="V47" i="16"/>
  <c r="E48" i="16"/>
  <c r="D48" i="16"/>
  <c r="G48" i="16"/>
  <c r="I48" i="16"/>
  <c r="H48" i="16"/>
  <c r="F48" i="16"/>
  <c r="J48" i="16"/>
  <c r="K48" i="16"/>
  <c r="N48" i="16"/>
  <c r="M48" i="16"/>
  <c r="L48" i="16"/>
  <c r="O48" i="16"/>
  <c r="P48" i="16"/>
  <c r="Q48" i="16"/>
  <c r="R48" i="16"/>
  <c r="S48" i="16"/>
  <c r="T48" i="16"/>
  <c r="U48" i="16"/>
  <c r="V48" i="16"/>
  <c r="E49" i="16"/>
  <c r="D49" i="16"/>
  <c r="G49" i="16"/>
  <c r="I49" i="16"/>
  <c r="H49" i="16"/>
  <c r="F49" i="16"/>
  <c r="J49" i="16"/>
  <c r="K49" i="16"/>
  <c r="N49" i="16"/>
  <c r="M49" i="16"/>
  <c r="L49" i="16"/>
  <c r="O49" i="16"/>
  <c r="P49" i="16"/>
  <c r="Q49" i="16"/>
  <c r="R49" i="16"/>
  <c r="S49" i="16"/>
  <c r="T49" i="16"/>
  <c r="U49" i="16"/>
  <c r="V49" i="16"/>
  <c r="E50" i="16"/>
  <c r="D50" i="16"/>
  <c r="G50" i="16"/>
  <c r="I50" i="16"/>
  <c r="H50" i="16"/>
  <c r="F50" i="16"/>
  <c r="J50" i="16"/>
  <c r="K50" i="16"/>
  <c r="N50" i="16"/>
  <c r="M50" i="16"/>
  <c r="L50" i="16"/>
  <c r="O50" i="16"/>
  <c r="P50" i="16"/>
  <c r="Q50" i="16"/>
  <c r="R50" i="16"/>
  <c r="S50" i="16"/>
  <c r="T50" i="16"/>
  <c r="U50" i="16"/>
  <c r="V50" i="16"/>
  <c r="E51" i="16"/>
  <c r="D51" i="16"/>
  <c r="G51" i="16"/>
  <c r="I51" i="16"/>
  <c r="H51" i="16"/>
  <c r="F51" i="16"/>
  <c r="J51" i="16"/>
  <c r="K51" i="16"/>
  <c r="N51" i="16"/>
  <c r="M51" i="16"/>
  <c r="L51" i="16"/>
  <c r="O51" i="16"/>
  <c r="P51" i="16"/>
  <c r="Q51" i="16"/>
  <c r="R51" i="16"/>
  <c r="S51" i="16"/>
  <c r="T51" i="16"/>
  <c r="U51" i="16"/>
  <c r="V51" i="16"/>
  <c r="E52" i="16"/>
  <c r="D52" i="16"/>
  <c r="G52" i="16"/>
  <c r="I52" i="16"/>
  <c r="H52" i="16"/>
  <c r="F52" i="16"/>
  <c r="J52" i="16"/>
  <c r="K52" i="16"/>
  <c r="N52" i="16"/>
  <c r="M52" i="16"/>
  <c r="L52" i="16"/>
  <c r="O52" i="16"/>
  <c r="P52" i="16"/>
  <c r="Q52" i="16"/>
  <c r="R52" i="16"/>
  <c r="S52" i="16"/>
  <c r="T52" i="16"/>
  <c r="U52" i="16"/>
  <c r="V52" i="16"/>
  <c r="E53" i="16"/>
  <c r="D53" i="16"/>
  <c r="G53" i="16"/>
  <c r="I53" i="16"/>
  <c r="H53" i="16"/>
  <c r="F53" i="16"/>
  <c r="J53" i="16"/>
  <c r="K53" i="16"/>
  <c r="N53" i="16"/>
  <c r="M53" i="16"/>
  <c r="L53" i="16"/>
  <c r="O53" i="16"/>
  <c r="P53" i="16"/>
  <c r="Q53" i="16"/>
  <c r="R53" i="16"/>
  <c r="S53" i="16"/>
  <c r="T53" i="16"/>
  <c r="U53" i="16"/>
  <c r="V53" i="16"/>
  <c r="E54" i="16"/>
  <c r="D54" i="16"/>
  <c r="G54" i="16"/>
  <c r="I54" i="16"/>
  <c r="H54" i="16"/>
  <c r="F54" i="16"/>
  <c r="J54" i="16"/>
  <c r="K54" i="16"/>
  <c r="N54" i="16"/>
  <c r="M54" i="16"/>
  <c r="L54" i="16"/>
  <c r="O54" i="16"/>
  <c r="P54" i="16"/>
  <c r="Q54" i="16"/>
  <c r="R54" i="16"/>
  <c r="S54" i="16"/>
  <c r="T54" i="16"/>
  <c r="U54" i="16"/>
  <c r="V54" i="16"/>
  <c r="E55" i="16"/>
  <c r="D55" i="16"/>
  <c r="G55" i="16"/>
  <c r="I55" i="16"/>
  <c r="H55" i="16"/>
  <c r="F55" i="16"/>
  <c r="J55" i="16"/>
  <c r="K55" i="16"/>
  <c r="N55" i="16"/>
  <c r="M55" i="16"/>
  <c r="L55" i="16"/>
  <c r="O55" i="16"/>
  <c r="P55" i="16"/>
  <c r="Q55" i="16"/>
  <c r="R55" i="16"/>
  <c r="S55" i="16"/>
  <c r="T55" i="16"/>
  <c r="U55" i="16"/>
  <c r="V55" i="16"/>
  <c r="E56" i="16"/>
  <c r="D56" i="16"/>
  <c r="G56" i="16"/>
  <c r="I56" i="16"/>
  <c r="H56" i="16"/>
  <c r="F56" i="16"/>
  <c r="J56" i="16"/>
  <c r="K56" i="16"/>
  <c r="N56" i="16"/>
  <c r="M56" i="16"/>
  <c r="L56" i="16"/>
  <c r="O56" i="16"/>
  <c r="P56" i="16"/>
  <c r="Q56" i="16"/>
  <c r="R56" i="16"/>
  <c r="S56" i="16"/>
  <c r="T56" i="16"/>
  <c r="U56" i="16"/>
  <c r="V56" i="16"/>
  <c r="E57" i="16"/>
  <c r="D57" i="16"/>
  <c r="G57" i="16"/>
  <c r="I57" i="16"/>
  <c r="H57" i="16"/>
  <c r="F57" i="16"/>
  <c r="J57" i="16"/>
  <c r="K57" i="16"/>
  <c r="N57" i="16"/>
  <c r="M57" i="16"/>
  <c r="L57" i="16"/>
  <c r="O57" i="16"/>
  <c r="P57" i="16"/>
  <c r="Q57" i="16"/>
  <c r="R57" i="16"/>
  <c r="S57" i="16"/>
  <c r="T57" i="16"/>
  <c r="U57" i="16"/>
  <c r="V57" i="16"/>
  <c r="V33" i="16"/>
  <c r="U33" i="16"/>
  <c r="T33" i="16"/>
  <c r="S33" i="16"/>
  <c r="R33" i="16"/>
  <c r="Q33" i="16"/>
  <c r="P33" i="16"/>
  <c r="O33" i="16"/>
  <c r="L33" i="16"/>
  <c r="M33" i="16"/>
  <c r="N33" i="16"/>
  <c r="K33" i="16"/>
  <c r="J33" i="16"/>
  <c r="G33" i="16"/>
  <c r="H33" i="16"/>
  <c r="E33" i="16"/>
  <c r="V32" i="16"/>
  <c r="V59" i="16" s="1"/>
  <c r="U32" i="16"/>
  <c r="U59" i="16" s="1"/>
  <c r="T32" i="16"/>
  <c r="T59" i="16" s="1"/>
  <c r="S32" i="16"/>
  <c r="S59" i="16" s="1"/>
  <c r="R59" i="16"/>
  <c r="Q32" i="16"/>
  <c r="Q59" i="16" s="1"/>
  <c r="P32" i="16"/>
  <c r="P59" i="16" s="1"/>
  <c r="O32" i="16"/>
  <c r="O59" i="16" s="1"/>
  <c r="L32" i="16"/>
  <c r="L59" i="16" s="1"/>
  <c r="M59" i="16"/>
  <c r="N32" i="16"/>
  <c r="N59" i="16" s="1"/>
  <c r="K32" i="16"/>
  <c r="K59" i="16" s="1"/>
  <c r="J32" i="16"/>
  <c r="J59" i="16" s="1"/>
  <c r="F32" i="16"/>
  <c r="F59" i="16" s="1"/>
  <c r="H32" i="16"/>
  <c r="H59" i="16" s="1"/>
  <c r="I32" i="16"/>
  <c r="I59" i="16" s="1"/>
  <c r="G32" i="16"/>
  <c r="G59" i="16" s="1"/>
  <c r="D32" i="16"/>
  <c r="D59" i="16" s="1"/>
  <c r="E32" i="16"/>
  <c r="E59" i="16" s="1"/>
  <c r="B56" i="16"/>
  <c r="B57" i="16"/>
  <c r="B54" i="16"/>
  <c r="B55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33" i="16"/>
  <c r="C14" i="11"/>
  <c r="D40" i="12"/>
  <c r="C34" i="12"/>
  <c r="D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G34" i="12"/>
  <c r="B34" i="12"/>
  <c r="Q25" i="12"/>
  <c r="G26" i="12"/>
  <c r="H26" i="12"/>
  <c r="I26" i="12"/>
  <c r="J26" i="12"/>
  <c r="K26" i="12"/>
  <c r="L26" i="12"/>
  <c r="M26" i="12"/>
  <c r="N26" i="12"/>
  <c r="O26" i="12"/>
  <c r="P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G27" i="12"/>
  <c r="H27" i="12"/>
  <c r="I27" i="12"/>
  <c r="J27" i="12"/>
  <c r="K27" i="12"/>
  <c r="L27" i="12"/>
  <c r="M27" i="12"/>
  <c r="N27" i="12"/>
  <c r="O27" i="12"/>
  <c r="P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G28" i="12"/>
  <c r="H28" i="12"/>
  <c r="I28" i="12"/>
  <c r="J28" i="12"/>
  <c r="K28" i="12"/>
  <c r="L28" i="12"/>
  <c r="M28" i="12"/>
  <c r="N28" i="12"/>
  <c r="O28" i="12"/>
  <c r="P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G29" i="12"/>
  <c r="H29" i="12"/>
  <c r="I29" i="12"/>
  <c r="J29" i="12"/>
  <c r="K29" i="12"/>
  <c r="L29" i="12"/>
  <c r="M29" i="12"/>
  <c r="N29" i="12"/>
  <c r="O29" i="12"/>
  <c r="P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G30" i="12"/>
  <c r="H30" i="12"/>
  <c r="I30" i="12"/>
  <c r="J30" i="12"/>
  <c r="K30" i="12"/>
  <c r="L30" i="12"/>
  <c r="M30" i="12"/>
  <c r="N30" i="12"/>
  <c r="O30" i="12"/>
  <c r="P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F27" i="12"/>
  <c r="F28" i="12"/>
  <c r="F29" i="12"/>
  <c r="F30" i="12"/>
  <c r="F26" i="12"/>
  <c r="C31" i="12"/>
  <c r="C29" i="12"/>
  <c r="D28" i="12"/>
  <c r="D29" i="12"/>
  <c r="D30" i="12"/>
  <c r="D27" i="12"/>
  <c r="D26" i="12"/>
  <c r="B26" i="12"/>
  <c r="AM6" i="12"/>
  <c r="AR7" i="12"/>
  <c r="AP4" i="12"/>
  <c r="AN5" i="12"/>
  <c r="Q4" i="12"/>
  <c r="Q5" i="12"/>
  <c r="Q6" i="12"/>
  <c r="Q7" i="12"/>
  <c r="Q13" i="12"/>
  <c r="Q14" i="12"/>
  <c r="Q15" i="12"/>
  <c r="Q19" i="12"/>
  <c r="Q23" i="12"/>
  <c r="Q24" i="12"/>
  <c r="Q3" i="12"/>
  <c r="H20" i="12"/>
  <c r="I20" i="12"/>
  <c r="J20" i="12"/>
  <c r="K20" i="12"/>
  <c r="L20" i="12"/>
  <c r="M20" i="12"/>
  <c r="N20" i="12"/>
  <c r="O20" i="12"/>
  <c r="P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H21" i="12"/>
  <c r="I21" i="12"/>
  <c r="J21" i="12"/>
  <c r="K21" i="12"/>
  <c r="L21" i="12"/>
  <c r="M21" i="12"/>
  <c r="N21" i="12"/>
  <c r="O21" i="12"/>
  <c r="P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H22" i="12"/>
  <c r="I22" i="12"/>
  <c r="J22" i="12"/>
  <c r="K22" i="12"/>
  <c r="L22" i="12"/>
  <c r="M22" i="12"/>
  <c r="N22" i="12"/>
  <c r="O22" i="12"/>
  <c r="P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F21" i="12"/>
  <c r="F22" i="12"/>
  <c r="F20" i="12"/>
  <c r="G19" i="12"/>
  <c r="G21" i="12" s="1"/>
  <c r="G24" i="12"/>
  <c r="H16" i="12"/>
  <c r="I16" i="12"/>
  <c r="J16" i="12"/>
  <c r="K16" i="12"/>
  <c r="L16" i="12"/>
  <c r="M16" i="12"/>
  <c r="N16" i="12"/>
  <c r="O16" i="12"/>
  <c r="P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H17" i="12"/>
  <c r="I17" i="12"/>
  <c r="J17" i="12"/>
  <c r="K17" i="12"/>
  <c r="L17" i="12"/>
  <c r="M17" i="12"/>
  <c r="N17" i="12"/>
  <c r="O17" i="12"/>
  <c r="P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H18" i="12"/>
  <c r="I18" i="12"/>
  <c r="J18" i="12"/>
  <c r="K18" i="12"/>
  <c r="L18" i="12"/>
  <c r="M18" i="12"/>
  <c r="N18" i="12"/>
  <c r="O18" i="12"/>
  <c r="P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F18" i="12"/>
  <c r="F17" i="12"/>
  <c r="F16" i="12"/>
  <c r="D21" i="12"/>
  <c r="D20" i="12"/>
  <c r="D22" i="12" s="1"/>
  <c r="D18" i="12"/>
  <c r="D17" i="12"/>
  <c r="C23" i="12"/>
  <c r="C18" i="12"/>
  <c r="C19" i="12"/>
  <c r="C21" i="12"/>
  <c r="C17" i="12"/>
  <c r="B17" i="12"/>
  <c r="D16" i="12"/>
  <c r="G13" i="12"/>
  <c r="G16" i="12" s="1"/>
  <c r="G14" i="12"/>
  <c r="G15" i="12"/>
  <c r="G22" i="12" s="1"/>
  <c r="C16" i="12"/>
  <c r="C14" i="12"/>
  <c r="C13" i="12"/>
  <c r="B13" i="12"/>
  <c r="F10" i="12"/>
  <c r="F31" i="12" s="1"/>
  <c r="G10" i="12"/>
  <c r="G31" i="12" s="1"/>
  <c r="H10" i="12"/>
  <c r="I10" i="12"/>
  <c r="J10" i="12"/>
  <c r="K10" i="12"/>
  <c r="L10" i="12"/>
  <c r="M10" i="12"/>
  <c r="N10" i="12"/>
  <c r="O10" i="12"/>
  <c r="P10" i="12"/>
  <c r="R10" i="12"/>
  <c r="S10" i="12"/>
  <c r="S31" i="12" s="1"/>
  <c r="T10" i="12"/>
  <c r="T31" i="12" s="1"/>
  <c r="U10" i="12"/>
  <c r="V10" i="12"/>
  <c r="W10" i="12"/>
  <c r="X10" i="12"/>
  <c r="Y10" i="12"/>
  <c r="Y31" i="12" s="1"/>
  <c r="Z10" i="12"/>
  <c r="AA10" i="12"/>
  <c r="AB10" i="12"/>
  <c r="AC10" i="12"/>
  <c r="AD10" i="12"/>
  <c r="AE10" i="12"/>
  <c r="AE31" i="12" s="1"/>
  <c r="AF10" i="12"/>
  <c r="AF31" i="12" s="1"/>
  <c r="AG10" i="12"/>
  <c r="AH10" i="12"/>
  <c r="AI10" i="12"/>
  <c r="F11" i="12"/>
  <c r="F32" i="12" s="1"/>
  <c r="G11" i="12"/>
  <c r="G32" i="12" s="1"/>
  <c r="H11" i="12"/>
  <c r="H32" i="12" s="1"/>
  <c r="I11" i="12"/>
  <c r="J11" i="12"/>
  <c r="J32" i="12" s="1"/>
  <c r="K11" i="12"/>
  <c r="L11" i="12"/>
  <c r="M11" i="12"/>
  <c r="N11" i="12"/>
  <c r="O11" i="12"/>
  <c r="P11" i="12"/>
  <c r="R11" i="12"/>
  <c r="S11" i="12"/>
  <c r="T11" i="12"/>
  <c r="U11" i="12"/>
  <c r="V11" i="12"/>
  <c r="W11" i="12"/>
  <c r="X11" i="12"/>
  <c r="Y11" i="12"/>
  <c r="Z11" i="12"/>
  <c r="AA11" i="12"/>
  <c r="AB11" i="12"/>
  <c r="AB32" i="12" s="1"/>
  <c r="AC11" i="12"/>
  <c r="AD11" i="12"/>
  <c r="AE11" i="12"/>
  <c r="AF11" i="12"/>
  <c r="AG11" i="12"/>
  <c r="AH11" i="12"/>
  <c r="AI11" i="12"/>
  <c r="F12" i="12"/>
  <c r="F33" i="12" s="1"/>
  <c r="G12" i="12"/>
  <c r="G33" i="12" s="1"/>
  <c r="H12" i="12"/>
  <c r="I12" i="12"/>
  <c r="I33" i="12" s="1"/>
  <c r="J12" i="12"/>
  <c r="K12" i="12"/>
  <c r="K33" i="12" s="1"/>
  <c r="L12" i="12"/>
  <c r="L33" i="12" s="1"/>
  <c r="M12" i="12"/>
  <c r="M33" i="12" s="1"/>
  <c r="N12" i="12"/>
  <c r="N33" i="12" s="1"/>
  <c r="O12" i="12"/>
  <c r="P12" i="12"/>
  <c r="R12" i="12"/>
  <c r="S12" i="12"/>
  <c r="T12" i="12"/>
  <c r="U12" i="12"/>
  <c r="V12" i="12"/>
  <c r="W12" i="12"/>
  <c r="X12" i="12"/>
  <c r="X33" i="12" s="1"/>
  <c r="Y12" i="12"/>
  <c r="Y33" i="12" s="1"/>
  <c r="Z12" i="12"/>
  <c r="AA12" i="12"/>
  <c r="AB12" i="12"/>
  <c r="AC12" i="12"/>
  <c r="AD12" i="12"/>
  <c r="AE12" i="12"/>
  <c r="AF12" i="12"/>
  <c r="AG12" i="12"/>
  <c r="AH12" i="12"/>
  <c r="AI12" i="12"/>
  <c r="D12" i="12"/>
  <c r="D33" i="12" s="1"/>
  <c r="D11" i="12"/>
  <c r="D32" i="12" s="1"/>
  <c r="D10" i="12"/>
  <c r="D31" i="12" s="1"/>
  <c r="C10" i="12"/>
  <c r="F8" i="12"/>
  <c r="G8" i="12"/>
  <c r="H8" i="12"/>
  <c r="I8" i="12"/>
  <c r="J8" i="12"/>
  <c r="K8" i="12"/>
  <c r="L8" i="12"/>
  <c r="M8" i="12"/>
  <c r="N8" i="12"/>
  <c r="O8" i="12"/>
  <c r="P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F9" i="12"/>
  <c r="G9" i="12"/>
  <c r="H9" i="12"/>
  <c r="I9" i="12"/>
  <c r="J9" i="12"/>
  <c r="K9" i="12"/>
  <c r="L9" i="12"/>
  <c r="M9" i="12"/>
  <c r="N9" i="12"/>
  <c r="O9" i="12"/>
  <c r="P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D9" i="12"/>
  <c r="D8" i="12"/>
  <c r="C8" i="12"/>
  <c r="C6" i="12"/>
  <c r="B3" i="12"/>
  <c r="C3" i="12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H9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I12" i="11"/>
  <c r="J12" i="11"/>
  <c r="K12" i="11"/>
  <c r="L12" i="11"/>
  <c r="M12" i="11"/>
  <c r="I37" i="22" s="1"/>
  <c r="N12" i="11"/>
  <c r="O12" i="11"/>
  <c r="P12" i="11"/>
  <c r="Q12" i="11"/>
  <c r="R12" i="11"/>
  <c r="S12" i="11"/>
  <c r="T12" i="11"/>
  <c r="U12" i="11"/>
  <c r="V12" i="11"/>
  <c r="W12" i="11"/>
  <c r="X12" i="11"/>
  <c r="Y12" i="11"/>
  <c r="U37" i="22" s="1"/>
  <c r="Z12" i="11"/>
  <c r="AA12" i="11"/>
  <c r="AB12" i="11"/>
  <c r="AC12" i="11"/>
  <c r="AD12" i="11"/>
  <c r="Z37" i="22" s="1"/>
  <c r="AE12" i="11"/>
  <c r="AF12" i="11"/>
  <c r="AG12" i="11"/>
  <c r="AH12" i="11"/>
  <c r="AI12" i="11"/>
  <c r="H11" i="11"/>
  <c r="AK11" i="11" s="1"/>
  <c r="D36" i="22" s="1"/>
  <c r="AK12" i="11"/>
  <c r="D37" i="22" s="1"/>
  <c r="H10" i="11"/>
  <c r="G9" i="11"/>
  <c r="G10" i="11"/>
  <c r="G11" i="11"/>
  <c r="G12" i="11"/>
  <c r="F9" i="11"/>
  <c r="F10" i="11"/>
  <c r="F11" i="11"/>
  <c r="F12" i="11"/>
  <c r="D10" i="11"/>
  <c r="D11" i="11"/>
  <c r="D12" i="11"/>
  <c r="D9" i="11"/>
  <c r="C9" i="11"/>
  <c r="C10" i="11"/>
  <c r="C11" i="11"/>
  <c r="C12" i="11"/>
  <c r="C8" i="11"/>
  <c r="D3" i="11"/>
  <c r="D28" i="21" s="1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5" i="10"/>
  <c r="Q26" i="10"/>
  <c r="Q29" i="10"/>
  <c r="Q30" i="10"/>
  <c r="Q33" i="10"/>
  <c r="Q34" i="10"/>
  <c r="Q35" i="10"/>
  <c r="Q36" i="10"/>
  <c r="Q37" i="10"/>
  <c r="Q38" i="10"/>
  <c r="Q39" i="10"/>
  <c r="Q3" i="10"/>
  <c r="G29" i="10"/>
  <c r="G33" i="10" s="1"/>
  <c r="G37" i="10" s="1"/>
  <c r="G30" i="10"/>
  <c r="G34" i="10" s="1"/>
  <c r="G38" i="10" s="1"/>
  <c r="G27" i="10"/>
  <c r="G31" i="10" s="1"/>
  <c r="G35" i="10" s="1"/>
  <c r="H27" i="10"/>
  <c r="H31" i="10" s="1"/>
  <c r="I27" i="10"/>
  <c r="I31" i="10" s="1"/>
  <c r="J27" i="10"/>
  <c r="J31" i="10" s="1"/>
  <c r="K27" i="10"/>
  <c r="K31" i="10" s="1"/>
  <c r="L27" i="10"/>
  <c r="L31" i="10" s="1"/>
  <c r="M27" i="10"/>
  <c r="M31" i="10" s="1"/>
  <c r="N27" i="10"/>
  <c r="N31" i="10" s="1"/>
  <c r="O27" i="10"/>
  <c r="O31" i="10" s="1"/>
  <c r="P27" i="10"/>
  <c r="P31" i="10" s="1"/>
  <c r="R27" i="10"/>
  <c r="R31" i="10" s="1"/>
  <c r="S27" i="10"/>
  <c r="S31" i="10" s="1"/>
  <c r="T27" i="10"/>
  <c r="T31" i="10" s="1"/>
  <c r="U27" i="10"/>
  <c r="U31" i="10" s="1"/>
  <c r="V27" i="10"/>
  <c r="V31" i="10" s="1"/>
  <c r="W27" i="10"/>
  <c r="W31" i="10" s="1"/>
  <c r="X27" i="10"/>
  <c r="X31" i="10" s="1"/>
  <c r="Y27" i="10"/>
  <c r="Y31" i="10" s="1"/>
  <c r="Z27" i="10"/>
  <c r="Z31" i="10" s="1"/>
  <c r="AA27" i="10"/>
  <c r="AA31" i="10" s="1"/>
  <c r="AB27" i="10"/>
  <c r="AB31" i="10" s="1"/>
  <c r="AC27" i="10"/>
  <c r="AC31" i="10" s="1"/>
  <c r="AD27" i="10"/>
  <c r="AD31" i="10" s="1"/>
  <c r="AE27" i="10"/>
  <c r="AE31" i="10" s="1"/>
  <c r="AF27" i="10"/>
  <c r="AF31" i="10" s="1"/>
  <c r="AG27" i="10"/>
  <c r="AG31" i="10" s="1"/>
  <c r="AH27" i="10"/>
  <c r="AH31" i="10" s="1"/>
  <c r="AI27" i="10"/>
  <c r="AI31" i="10" s="1"/>
  <c r="G28" i="10"/>
  <c r="G32" i="10" s="1"/>
  <c r="H28" i="10"/>
  <c r="H32" i="10" s="1"/>
  <c r="I28" i="10"/>
  <c r="I32" i="10" s="1"/>
  <c r="J28" i="10"/>
  <c r="J32" i="10" s="1"/>
  <c r="K28" i="10"/>
  <c r="K32" i="10" s="1"/>
  <c r="L28" i="10"/>
  <c r="L32" i="10" s="1"/>
  <c r="M28" i="10"/>
  <c r="M32" i="10" s="1"/>
  <c r="N28" i="10"/>
  <c r="N32" i="10" s="1"/>
  <c r="O28" i="10"/>
  <c r="O32" i="10" s="1"/>
  <c r="P28" i="10"/>
  <c r="P32" i="10" s="1"/>
  <c r="R28" i="10"/>
  <c r="R32" i="10" s="1"/>
  <c r="S28" i="10"/>
  <c r="S32" i="10" s="1"/>
  <c r="T28" i="10"/>
  <c r="T32" i="10" s="1"/>
  <c r="U28" i="10"/>
  <c r="U32" i="10" s="1"/>
  <c r="V28" i="10"/>
  <c r="V32" i="10" s="1"/>
  <c r="W28" i="10"/>
  <c r="W32" i="10" s="1"/>
  <c r="X28" i="10"/>
  <c r="X32" i="10" s="1"/>
  <c r="Y28" i="10"/>
  <c r="Y32" i="10" s="1"/>
  <c r="Z28" i="10"/>
  <c r="Z32" i="10" s="1"/>
  <c r="AA28" i="10"/>
  <c r="AA32" i="10" s="1"/>
  <c r="AB28" i="10"/>
  <c r="AB32" i="10" s="1"/>
  <c r="AC28" i="10"/>
  <c r="AC32" i="10" s="1"/>
  <c r="AD28" i="10"/>
  <c r="AD32" i="10" s="1"/>
  <c r="AE28" i="10"/>
  <c r="AE32" i="10" s="1"/>
  <c r="AF28" i="10"/>
  <c r="AF32" i="10" s="1"/>
  <c r="AG28" i="10"/>
  <c r="AG32" i="10" s="1"/>
  <c r="AH28" i="10"/>
  <c r="AH32" i="10" s="1"/>
  <c r="AI28" i="10"/>
  <c r="AI32" i="10" s="1"/>
  <c r="F28" i="10"/>
  <c r="F32" i="10" s="1"/>
  <c r="F39" i="10" s="1"/>
  <c r="F27" i="10"/>
  <c r="F31" i="10" s="1"/>
  <c r="D28" i="10"/>
  <c r="D32" i="10" s="1"/>
  <c r="D27" i="10"/>
  <c r="D31" i="10" s="1"/>
  <c r="I23" i="10"/>
  <c r="J23" i="10"/>
  <c r="K23" i="10"/>
  <c r="L23" i="10"/>
  <c r="M23" i="10"/>
  <c r="N23" i="10"/>
  <c r="O23" i="10"/>
  <c r="P23" i="10"/>
  <c r="R23" i="10"/>
  <c r="S23" i="10"/>
  <c r="S41" i="10" s="1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E41" i="10" s="1"/>
  <c r="AF23" i="10"/>
  <c r="AG23" i="10"/>
  <c r="AH23" i="10"/>
  <c r="AH41" i="10" s="1"/>
  <c r="AI23" i="10"/>
  <c r="AI41" i="10" s="1"/>
  <c r="I24" i="10"/>
  <c r="J24" i="10"/>
  <c r="K24" i="10"/>
  <c r="L24" i="10"/>
  <c r="M24" i="10"/>
  <c r="N24" i="10"/>
  <c r="O24" i="10"/>
  <c r="P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H24" i="10"/>
  <c r="H23" i="10"/>
  <c r="H41" i="10" s="1"/>
  <c r="F25" i="10"/>
  <c r="F29" i="10" s="1"/>
  <c r="F33" i="10" s="1"/>
  <c r="F26" i="10"/>
  <c r="F30" i="10" s="1"/>
  <c r="F34" i="10" s="1"/>
  <c r="F24" i="10"/>
  <c r="F23" i="10"/>
  <c r="D24" i="10"/>
  <c r="D23" i="10"/>
  <c r="E36" i="19" l="1"/>
  <c r="K34" i="19" s="1"/>
  <c r="AS45" i="20"/>
  <c r="BB45" i="20"/>
  <c r="AP393" i="30"/>
  <c r="AP392" i="30"/>
  <c r="AT391" i="30"/>
  <c r="C20" i="11"/>
  <c r="AT392" i="30"/>
  <c r="AP394" i="30"/>
  <c r="AV392" i="30"/>
  <c r="BJ392" i="30"/>
  <c r="AX392" i="30"/>
  <c r="AZ392" i="30"/>
  <c r="BF392" i="30"/>
  <c r="BA392" i="30"/>
  <c r="BI392" i="30"/>
  <c r="BK392" i="30"/>
  <c r="BL392" i="30"/>
  <c r="BG392" i="30"/>
  <c r="BB392" i="30"/>
  <c r="BM392" i="30"/>
  <c r="BD392" i="30"/>
  <c r="BH392" i="30"/>
  <c r="BC392" i="30"/>
  <c r="BE392" i="30"/>
  <c r="AW392" i="30"/>
  <c r="AY392" i="30"/>
  <c r="AT393" i="30"/>
  <c r="H18" i="11" s="1"/>
  <c r="AK18" i="11" s="1"/>
  <c r="AU392" i="30"/>
  <c r="AD41" i="10"/>
  <c r="R41" i="10"/>
  <c r="AC41" i="10"/>
  <c r="P41" i="10"/>
  <c r="AB41" i="10"/>
  <c r="O41" i="10"/>
  <c r="AA41" i="10"/>
  <c r="N41" i="10"/>
  <c r="Z41" i="10"/>
  <c r="M41" i="10"/>
  <c r="Y41" i="10"/>
  <c r="L41" i="10"/>
  <c r="X41" i="10"/>
  <c r="K41" i="10"/>
  <c r="W41" i="10"/>
  <c r="J41" i="10"/>
  <c r="V41" i="10"/>
  <c r="I41" i="10"/>
  <c r="AG41" i="10"/>
  <c r="U41" i="10"/>
  <c r="AF41" i="10"/>
  <c r="T41" i="10"/>
  <c r="C180" i="33"/>
  <c r="BA4" i="10"/>
  <c r="K55" i="12"/>
  <c r="L55" i="12"/>
  <c r="O55" i="12"/>
  <c r="Z55" i="12"/>
  <c r="T55" i="12"/>
  <c r="N55" i="12"/>
  <c r="AG55" i="12"/>
  <c r="J55" i="12"/>
  <c r="Q55" i="12"/>
  <c r="Y55" i="12"/>
  <c r="AE55" i="12"/>
  <c r="AA55" i="12"/>
  <c r="R55" i="12"/>
  <c r="P55" i="12"/>
  <c r="W55" i="12"/>
  <c r="V55" i="12"/>
  <c r="X55" i="12"/>
  <c r="AC55" i="12"/>
  <c r="H55" i="12"/>
  <c r="AD55" i="12"/>
  <c r="AB55" i="12"/>
  <c r="M55" i="12"/>
  <c r="AF55" i="12"/>
  <c r="U55" i="12"/>
  <c r="I55" i="12"/>
  <c r="S55" i="12"/>
  <c r="AI55" i="12"/>
  <c r="AH55" i="12"/>
  <c r="S71" i="33"/>
  <c r="S77" i="33" s="1"/>
  <c r="S83" i="33" s="1"/>
  <c r="S89" i="33" s="1"/>
  <c r="S95" i="33" s="1"/>
  <c r="S101" i="33" s="1"/>
  <c r="S108" i="33" s="1"/>
  <c r="S115" i="33" s="1"/>
  <c r="S122" i="33" s="1"/>
  <c r="T57" i="12"/>
  <c r="P71" i="33"/>
  <c r="P77" i="33" s="1"/>
  <c r="P83" i="33" s="1"/>
  <c r="P89" i="33" s="1"/>
  <c r="P95" i="33" s="1"/>
  <c r="P101" i="33" s="1"/>
  <c r="P108" i="33" s="1"/>
  <c r="P115" i="33" s="1"/>
  <c r="P122" i="33" s="1"/>
  <c r="Q57" i="12"/>
  <c r="U71" i="33"/>
  <c r="U77" i="33" s="1"/>
  <c r="U83" i="33" s="1"/>
  <c r="U89" i="33" s="1"/>
  <c r="U95" i="33" s="1"/>
  <c r="U101" i="33" s="1"/>
  <c r="U108" i="33" s="1"/>
  <c r="U115" i="33" s="1"/>
  <c r="U122" i="33" s="1"/>
  <c r="V57" i="12"/>
  <c r="N71" i="33"/>
  <c r="N77" i="33" s="1"/>
  <c r="N83" i="33" s="1"/>
  <c r="N89" i="33" s="1"/>
  <c r="N95" i="33" s="1"/>
  <c r="N101" i="33" s="1"/>
  <c r="N108" i="33" s="1"/>
  <c r="N115" i="33" s="1"/>
  <c r="N122" i="33" s="1"/>
  <c r="O57" i="12"/>
  <c r="AD71" i="33"/>
  <c r="AD77" i="33" s="1"/>
  <c r="AD83" i="33" s="1"/>
  <c r="AD89" i="33" s="1"/>
  <c r="AD95" i="33" s="1"/>
  <c r="AD101" i="33" s="1"/>
  <c r="AD108" i="33" s="1"/>
  <c r="AD115" i="33" s="1"/>
  <c r="AD122" i="33" s="1"/>
  <c r="AE57" i="12"/>
  <c r="AB71" i="33"/>
  <c r="AB77" i="33" s="1"/>
  <c r="AB83" i="33" s="1"/>
  <c r="AB89" i="33" s="1"/>
  <c r="AB95" i="33" s="1"/>
  <c r="AB101" i="33" s="1"/>
  <c r="AB108" i="33" s="1"/>
  <c r="AB115" i="33" s="1"/>
  <c r="AB122" i="33" s="1"/>
  <c r="AC57" i="12"/>
  <c r="L71" i="33"/>
  <c r="L77" i="33" s="1"/>
  <c r="L83" i="33" s="1"/>
  <c r="L89" i="33" s="1"/>
  <c r="L95" i="33" s="1"/>
  <c r="L101" i="33" s="1"/>
  <c r="L108" i="33" s="1"/>
  <c r="L115" i="33" s="1"/>
  <c r="L122" i="33" s="1"/>
  <c r="M57" i="12"/>
  <c r="V71" i="33"/>
  <c r="V77" i="33" s="1"/>
  <c r="V83" i="33" s="1"/>
  <c r="V89" i="33" s="1"/>
  <c r="V95" i="33" s="1"/>
  <c r="V101" i="33" s="1"/>
  <c r="V108" i="33" s="1"/>
  <c r="V115" i="33" s="1"/>
  <c r="V122" i="33" s="1"/>
  <c r="W57" i="12"/>
  <c r="Z71" i="33"/>
  <c r="Z77" i="33" s="1"/>
  <c r="Z83" i="33" s="1"/>
  <c r="Z89" i="33" s="1"/>
  <c r="Z95" i="33" s="1"/>
  <c r="Z101" i="33" s="1"/>
  <c r="Z108" i="33" s="1"/>
  <c r="Z115" i="33" s="1"/>
  <c r="Z122" i="33" s="1"/>
  <c r="AA57" i="12"/>
  <c r="M71" i="33"/>
  <c r="M77" i="33" s="1"/>
  <c r="M83" i="33" s="1"/>
  <c r="M89" i="33" s="1"/>
  <c r="M95" i="33" s="1"/>
  <c r="M101" i="33" s="1"/>
  <c r="M108" i="33" s="1"/>
  <c r="M115" i="33" s="1"/>
  <c r="M122" i="33" s="1"/>
  <c r="N57" i="12"/>
  <c r="Y71" i="33"/>
  <c r="Y77" i="33" s="1"/>
  <c r="Y83" i="33" s="1"/>
  <c r="Y89" i="33" s="1"/>
  <c r="Y95" i="33" s="1"/>
  <c r="Y101" i="33" s="1"/>
  <c r="Y108" i="33" s="1"/>
  <c r="Y115" i="33" s="1"/>
  <c r="Y122" i="33" s="1"/>
  <c r="Z57" i="12"/>
  <c r="AA71" i="33"/>
  <c r="AA77" i="33" s="1"/>
  <c r="AA83" i="33" s="1"/>
  <c r="AA89" i="33" s="1"/>
  <c r="AA95" i="33" s="1"/>
  <c r="AA101" i="33" s="1"/>
  <c r="AA108" i="33" s="1"/>
  <c r="AA115" i="33" s="1"/>
  <c r="AA122" i="33" s="1"/>
  <c r="AB57" i="12"/>
  <c r="Q71" i="33"/>
  <c r="Q77" i="33" s="1"/>
  <c r="Q83" i="33" s="1"/>
  <c r="Q89" i="33" s="1"/>
  <c r="Q95" i="33" s="1"/>
  <c r="Q101" i="33" s="1"/>
  <c r="Q108" i="33" s="1"/>
  <c r="Q115" i="33" s="1"/>
  <c r="Q122" i="33" s="1"/>
  <c r="R57" i="12"/>
  <c r="AF71" i="33"/>
  <c r="AF77" i="33" s="1"/>
  <c r="AF83" i="33" s="1"/>
  <c r="AF89" i="33" s="1"/>
  <c r="AF95" i="33" s="1"/>
  <c r="AF101" i="33" s="1"/>
  <c r="AF108" i="33" s="1"/>
  <c r="AF115" i="33" s="1"/>
  <c r="AF122" i="33" s="1"/>
  <c r="AG57" i="12"/>
  <c r="R71" i="33"/>
  <c r="R77" i="33" s="1"/>
  <c r="R83" i="33" s="1"/>
  <c r="R89" i="33" s="1"/>
  <c r="R95" i="33" s="1"/>
  <c r="R101" i="33" s="1"/>
  <c r="R108" i="33" s="1"/>
  <c r="R115" i="33" s="1"/>
  <c r="R122" i="33" s="1"/>
  <c r="S57" i="12"/>
  <c r="AE71" i="33"/>
  <c r="AE77" i="33" s="1"/>
  <c r="AE83" i="33" s="1"/>
  <c r="AE89" i="33" s="1"/>
  <c r="AE95" i="33" s="1"/>
  <c r="AE101" i="33" s="1"/>
  <c r="AE108" i="33" s="1"/>
  <c r="AE115" i="33" s="1"/>
  <c r="AE122" i="33" s="1"/>
  <c r="AF57" i="12"/>
  <c r="W71" i="33"/>
  <c r="W77" i="33" s="1"/>
  <c r="W83" i="33" s="1"/>
  <c r="W89" i="33" s="1"/>
  <c r="W95" i="33" s="1"/>
  <c r="W101" i="33" s="1"/>
  <c r="W108" i="33" s="1"/>
  <c r="W115" i="33" s="1"/>
  <c r="W122" i="33" s="1"/>
  <c r="X57" i="12"/>
  <c r="O71" i="33"/>
  <c r="O77" i="33" s="1"/>
  <c r="O83" i="33" s="1"/>
  <c r="O89" i="33" s="1"/>
  <c r="O95" i="33" s="1"/>
  <c r="O101" i="33" s="1"/>
  <c r="O108" i="33" s="1"/>
  <c r="O115" i="33" s="1"/>
  <c r="O122" i="33" s="1"/>
  <c r="P57" i="12"/>
  <c r="AC71" i="33"/>
  <c r="AC77" i="33" s="1"/>
  <c r="AC83" i="33" s="1"/>
  <c r="AC89" i="33" s="1"/>
  <c r="AC95" i="33" s="1"/>
  <c r="AC101" i="33" s="1"/>
  <c r="AC108" i="33" s="1"/>
  <c r="AC115" i="33" s="1"/>
  <c r="AC122" i="33" s="1"/>
  <c r="AD57" i="12"/>
  <c r="AH71" i="33"/>
  <c r="AH77" i="33" s="1"/>
  <c r="AH83" i="33" s="1"/>
  <c r="AH89" i="33" s="1"/>
  <c r="AH95" i="33" s="1"/>
  <c r="AH101" i="33" s="1"/>
  <c r="AH108" i="33" s="1"/>
  <c r="AH115" i="33" s="1"/>
  <c r="AH122" i="33" s="1"/>
  <c r="AI57" i="12"/>
  <c r="J71" i="33"/>
  <c r="J77" i="33" s="1"/>
  <c r="J83" i="33" s="1"/>
  <c r="J89" i="33" s="1"/>
  <c r="J95" i="33" s="1"/>
  <c r="J101" i="33" s="1"/>
  <c r="J108" i="33" s="1"/>
  <c r="J115" i="33" s="1"/>
  <c r="J122" i="33" s="1"/>
  <c r="K57" i="12"/>
  <c r="T71" i="33"/>
  <c r="T77" i="33" s="1"/>
  <c r="T83" i="33" s="1"/>
  <c r="T89" i="33" s="1"/>
  <c r="T95" i="33" s="1"/>
  <c r="T101" i="33" s="1"/>
  <c r="T108" i="33" s="1"/>
  <c r="T115" i="33" s="1"/>
  <c r="T122" i="33" s="1"/>
  <c r="T127" i="33" s="1"/>
  <c r="U57" i="12"/>
  <c r="AG71" i="33"/>
  <c r="AG77" i="33" s="1"/>
  <c r="AG83" i="33" s="1"/>
  <c r="AG89" i="33" s="1"/>
  <c r="AG95" i="33" s="1"/>
  <c r="AG101" i="33" s="1"/>
  <c r="AG108" i="33" s="1"/>
  <c r="AG115" i="33" s="1"/>
  <c r="AG122" i="33" s="1"/>
  <c r="AH57" i="12"/>
  <c r="H71" i="33"/>
  <c r="H77" i="33" s="1"/>
  <c r="H83" i="33" s="1"/>
  <c r="H89" i="33" s="1"/>
  <c r="H95" i="33" s="1"/>
  <c r="H101" i="33" s="1"/>
  <c r="H108" i="33" s="1"/>
  <c r="H115" i="33" s="1"/>
  <c r="H122" i="33" s="1"/>
  <c r="I57" i="12"/>
  <c r="X71" i="33"/>
  <c r="X77" i="33" s="1"/>
  <c r="X83" i="33" s="1"/>
  <c r="X89" i="33" s="1"/>
  <c r="X95" i="33" s="1"/>
  <c r="X101" i="33" s="1"/>
  <c r="X108" i="33" s="1"/>
  <c r="X115" i="33" s="1"/>
  <c r="X122" i="33" s="1"/>
  <c r="Y57" i="12"/>
  <c r="K71" i="33"/>
  <c r="K77" i="33" s="1"/>
  <c r="K83" i="33" s="1"/>
  <c r="K89" i="33" s="1"/>
  <c r="K95" i="33" s="1"/>
  <c r="K101" i="33" s="1"/>
  <c r="K108" i="33" s="1"/>
  <c r="K115" i="33" s="1"/>
  <c r="K122" i="33" s="1"/>
  <c r="L57" i="12"/>
  <c r="I71" i="33"/>
  <c r="I77" i="33" s="1"/>
  <c r="I83" i="33" s="1"/>
  <c r="I89" i="33" s="1"/>
  <c r="I95" i="33" s="1"/>
  <c r="I101" i="33" s="1"/>
  <c r="I108" i="33" s="1"/>
  <c r="I115" i="33" s="1"/>
  <c r="I122" i="33" s="1"/>
  <c r="J57" i="12"/>
  <c r="C53" i="16"/>
  <c r="C41" i="16"/>
  <c r="C51" i="16"/>
  <c r="C39" i="16"/>
  <c r="C56" i="16"/>
  <c r="C44" i="16"/>
  <c r="C49" i="16"/>
  <c r="C37" i="16"/>
  <c r="C54" i="16"/>
  <c r="C42" i="16"/>
  <c r="C47" i="16"/>
  <c r="C35" i="16"/>
  <c r="C52" i="16"/>
  <c r="C40" i="16"/>
  <c r="C57" i="16"/>
  <c r="C45" i="16"/>
  <c r="C34" i="16"/>
  <c r="C50" i="16"/>
  <c r="C38" i="16"/>
  <c r="C55" i="16"/>
  <c r="C43" i="16"/>
  <c r="C46" i="16"/>
  <c r="C48" i="16"/>
  <c r="C36" i="16"/>
  <c r="P87" i="33"/>
  <c r="U87" i="33"/>
  <c r="Z87" i="33"/>
  <c r="AD87" i="33"/>
  <c r="N87" i="33"/>
  <c r="S59" i="33"/>
  <c r="AE59" i="33"/>
  <c r="J59" i="33"/>
  <c r="V59" i="33"/>
  <c r="AH59" i="33"/>
  <c r="N59" i="33"/>
  <c r="Z59" i="33"/>
  <c r="U59" i="33"/>
  <c r="I59" i="33"/>
  <c r="Y59" i="33"/>
  <c r="K59" i="33"/>
  <c r="AA59" i="33"/>
  <c r="L59" i="33"/>
  <c r="AB59" i="33"/>
  <c r="M59" i="33"/>
  <c r="AC59" i="33"/>
  <c r="O59" i="33"/>
  <c r="AD59" i="33"/>
  <c r="T59" i="33"/>
  <c r="H59" i="33"/>
  <c r="P59" i="33"/>
  <c r="Q59" i="33"/>
  <c r="R59" i="33"/>
  <c r="W59" i="33"/>
  <c r="X59" i="33"/>
  <c r="AF59" i="33"/>
  <c r="AG59" i="33"/>
  <c r="Y93" i="33"/>
  <c r="R93" i="33"/>
  <c r="S93" i="33"/>
  <c r="U93" i="33"/>
  <c r="I93" i="33"/>
  <c r="W93" i="33"/>
  <c r="N93" i="33"/>
  <c r="AD93" i="33"/>
  <c r="J93" i="33"/>
  <c r="AA93" i="33"/>
  <c r="L93" i="33"/>
  <c r="P93" i="33"/>
  <c r="Z93" i="33"/>
  <c r="P113" i="33"/>
  <c r="AB113" i="33"/>
  <c r="W113" i="33"/>
  <c r="I113" i="33"/>
  <c r="X113" i="33"/>
  <c r="J113" i="33"/>
  <c r="Y113" i="33"/>
  <c r="Z113" i="33"/>
  <c r="M113" i="33"/>
  <c r="AA113" i="33"/>
  <c r="N113" i="33"/>
  <c r="S113" i="33"/>
  <c r="AG113" i="33"/>
  <c r="R113" i="33"/>
  <c r="U113" i="33"/>
  <c r="V113" i="33"/>
  <c r="AD113" i="33"/>
  <c r="AE113" i="33"/>
  <c r="Q113" i="33"/>
  <c r="O113" i="33"/>
  <c r="M120" i="33"/>
  <c r="Y120" i="33"/>
  <c r="H120" i="33"/>
  <c r="T120" i="33"/>
  <c r="AF120" i="33"/>
  <c r="V120" i="33"/>
  <c r="Z120" i="33"/>
  <c r="L120" i="33"/>
  <c r="AA120" i="33"/>
  <c r="N120" i="33"/>
  <c r="AB120" i="33"/>
  <c r="O120" i="33"/>
  <c r="P120" i="33"/>
  <c r="AD120" i="33"/>
  <c r="U120" i="33"/>
  <c r="AE120" i="33"/>
  <c r="AG120" i="33"/>
  <c r="W120" i="33"/>
  <c r="AH120" i="33"/>
  <c r="I120" i="33"/>
  <c r="J120" i="33"/>
  <c r="Q120" i="33"/>
  <c r="R120" i="33"/>
  <c r="S120" i="33"/>
  <c r="P64" i="33"/>
  <c r="AB64" i="33"/>
  <c r="S64" i="33"/>
  <c r="AE64" i="33"/>
  <c r="K64" i="33"/>
  <c r="W64" i="33"/>
  <c r="J64" i="33"/>
  <c r="Z64" i="33"/>
  <c r="N64" i="33"/>
  <c r="AD64" i="33"/>
  <c r="O64" i="33"/>
  <c r="AF64" i="33"/>
  <c r="Q64" i="33"/>
  <c r="AG64" i="33"/>
  <c r="R64" i="33"/>
  <c r="AH64" i="33"/>
  <c r="T64" i="33"/>
  <c r="I64" i="33"/>
  <c r="Y64" i="33"/>
  <c r="U64" i="33"/>
  <c r="V64" i="33"/>
  <c r="X64" i="33"/>
  <c r="AA64" i="33"/>
  <c r="AC64" i="33"/>
  <c r="H64" i="33"/>
  <c r="M64" i="33"/>
  <c r="L64" i="33"/>
  <c r="C71" i="33"/>
  <c r="C77" i="33" s="1"/>
  <c r="C83" i="33" s="1"/>
  <c r="C89" i="33" s="1"/>
  <c r="C95" i="33" s="1"/>
  <c r="C101" i="33" s="1"/>
  <c r="C108" i="33" s="1"/>
  <c r="C115" i="33" s="1"/>
  <c r="C122" i="33" s="1"/>
  <c r="C136" i="33" s="1"/>
  <c r="C144" i="33" s="1"/>
  <c r="C152" i="33" s="1"/>
  <c r="C160" i="33" s="1"/>
  <c r="C361" i="33" s="1"/>
  <c r="D57" i="12"/>
  <c r="J127" i="33"/>
  <c r="V127" i="33"/>
  <c r="AH127" i="33"/>
  <c r="Q127" i="33"/>
  <c r="AC127" i="33"/>
  <c r="I127" i="33"/>
  <c r="X127" i="33"/>
  <c r="M127" i="33"/>
  <c r="AA127" i="33"/>
  <c r="N127" i="33"/>
  <c r="AB127" i="33"/>
  <c r="O127" i="33"/>
  <c r="AD127" i="33"/>
  <c r="P127" i="33"/>
  <c r="R127" i="33"/>
  <c r="AF127" i="33"/>
  <c r="H127" i="33"/>
  <c r="W127" i="33"/>
  <c r="AG127" i="33"/>
  <c r="K127" i="33"/>
  <c r="L127" i="33"/>
  <c r="S127" i="33"/>
  <c r="U127" i="33"/>
  <c r="AE127" i="33"/>
  <c r="Y127" i="33"/>
  <c r="Z127" i="33"/>
  <c r="J99" i="33"/>
  <c r="V99" i="33"/>
  <c r="AH99" i="33"/>
  <c r="Q99" i="33"/>
  <c r="AC99" i="33"/>
  <c r="P99" i="33"/>
  <c r="AE99" i="33"/>
  <c r="U99" i="33"/>
  <c r="H99" i="33"/>
  <c r="W99" i="33"/>
  <c r="I99" i="33"/>
  <c r="X99" i="33"/>
  <c r="K99" i="33"/>
  <c r="Y99" i="33"/>
  <c r="O99" i="33"/>
  <c r="AD99" i="33"/>
  <c r="L99" i="33"/>
  <c r="M99" i="33"/>
  <c r="N99" i="33"/>
  <c r="R99" i="33"/>
  <c r="S99" i="33"/>
  <c r="Z99" i="33"/>
  <c r="AA99" i="33"/>
  <c r="AB99" i="33"/>
  <c r="AF99" i="33"/>
  <c r="AG99" i="33"/>
  <c r="M69" i="33"/>
  <c r="Y69" i="33"/>
  <c r="P69" i="33"/>
  <c r="AB69" i="33"/>
  <c r="H69" i="33"/>
  <c r="T69" i="33"/>
  <c r="AF69" i="33"/>
  <c r="O69" i="33"/>
  <c r="AE69" i="33"/>
  <c r="S69" i="33"/>
  <c r="U69" i="33"/>
  <c r="V69" i="33"/>
  <c r="W69" i="33"/>
  <c r="I69" i="33"/>
  <c r="X69" i="33"/>
  <c r="N69" i="33"/>
  <c r="AD69" i="33"/>
  <c r="AC69" i="33"/>
  <c r="AG69" i="33"/>
  <c r="AH69" i="33"/>
  <c r="J69" i="33"/>
  <c r="K69" i="33"/>
  <c r="AA69" i="33"/>
  <c r="L69" i="33"/>
  <c r="Q69" i="33"/>
  <c r="R69" i="33"/>
  <c r="Z69" i="33"/>
  <c r="S106" i="33"/>
  <c r="AE106" i="33"/>
  <c r="N106" i="33"/>
  <c r="Z106" i="33"/>
  <c r="R106" i="33"/>
  <c r="AG106" i="33"/>
  <c r="H106" i="33"/>
  <c r="V106" i="33"/>
  <c r="I106" i="33"/>
  <c r="W106" i="33"/>
  <c r="J106" i="33"/>
  <c r="X106" i="33"/>
  <c r="K106" i="33"/>
  <c r="Y106" i="33"/>
  <c r="L106" i="33"/>
  <c r="AA106" i="33"/>
  <c r="Q106" i="33"/>
  <c r="AF106" i="33"/>
  <c r="M106" i="33"/>
  <c r="O106" i="33"/>
  <c r="P106" i="33"/>
  <c r="U106" i="33"/>
  <c r="AB106" i="33"/>
  <c r="AC106" i="33"/>
  <c r="AD106" i="33"/>
  <c r="AH106" i="33"/>
  <c r="J75" i="33"/>
  <c r="V75" i="33"/>
  <c r="AH75" i="33"/>
  <c r="M75" i="33"/>
  <c r="Y75" i="33"/>
  <c r="Q75" i="33"/>
  <c r="AC75" i="33"/>
  <c r="T75" i="33"/>
  <c r="H75" i="33"/>
  <c r="X75" i="33"/>
  <c r="I75" i="33"/>
  <c r="Z75" i="33"/>
  <c r="K75" i="33"/>
  <c r="AA75" i="33"/>
  <c r="L75" i="33"/>
  <c r="AB75" i="33"/>
  <c r="N75" i="33"/>
  <c r="AD75" i="33"/>
  <c r="S75" i="33"/>
  <c r="O75" i="33"/>
  <c r="P75" i="33"/>
  <c r="R75" i="33"/>
  <c r="U75" i="33"/>
  <c r="W75" i="33"/>
  <c r="AE75" i="33"/>
  <c r="AF75" i="33"/>
  <c r="AG75" i="33"/>
  <c r="S81" i="33"/>
  <c r="AE81" i="33"/>
  <c r="J81" i="33"/>
  <c r="V81" i="33"/>
  <c r="N81" i="33"/>
  <c r="Z81" i="33"/>
  <c r="I81" i="33"/>
  <c r="Y81" i="33"/>
  <c r="M81" i="33"/>
  <c r="AC81" i="33"/>
  <c r="O81" i="33"/>
  <c r="AD81" i="33"/>
  <c r="P81" i="33"/>
  <c r="AF81" i="33"/>
  <c r="Q81" i="33"/>
  <c r="AG81" i="33"/>
  <c r="R81" i="33"/>
  <c r="AH81" i="33"/>
  <c r="H81" i="33"/>
  <c r="X81" i="33"/>
  <c r="L81" i="33"/>
  <c r="T81" i="33"/>
  <c r="U81" i="33"/>
  <c r="W81" i="33"/>
  <c r="K81" i="33"/>
  <c r="AA81" i="33"/>
  <c r="AB81" i="33"/>
  <c r="J54" i="33"/>
  <c r="V54" i="33"/>
  <c r="AH54" i="33"/>
  <c r="M54" i="33"/>
  <c r="Y54" i="33"/>
  <c r="Q54" i="33"/>
  <c r="AC54" i="33"/>
  <c r="P54" i="33"/>
  <c r="AF54" i="33"/>
  <c r="T54" i="33"/>
  <c r="U54" i="33"/>
  <c r="W54" i="33"/>
  <c r="H54" i="33"/>
  <c r="X54" i="33"/>
  <c r="I54" i="33"/>
  <c r="Z54" i="33"/>
  <c r="O54" i="33"/>
  <c r="AE54" i="33"/>
  <c r="AG54" i="33"/>
  <c r="AD54" i="33"/>
  <c r="K54" i="33"/>
  <c r="L54" i="33"/>
  <c r="N54" i="33"/>
  <c r="R54" i="33"/>
  <c r="S54" i="33"/>
  <c r="AA54" i="33"/>
  <c r="AB54" i="33"/>
  <c r="BG34" i="12"/>
  <c r="AU34" i="12"/>
  <c r="BF34" i="12"/>
  <c r="AT34" i="12"/>
  <c r="BE34" i="12"/>
  <c r="AS34" i="12"/>
  <c r="BD34" i="12"/>
  <c r="AR34" i="12"/>
  <c r="BC34" i="12"/>
  <c r="AQ34" i="12"/>
  <c r="BB34" i="12"/>
  <c r="AP34" i="12"/>
  <c r="BA34" i="12"/>
  <c r="AO34" i="12"/>
  <c r="BL34" i="12"/>
  <c r="AZ34" i="12"/>
  <c r="AN34" i="12"/>
  <c r="BK34" i="12"/>
  <c r="AY34" i="12"/>
  <c r="AM34" i="12"/>
  <c r="BJ34" i="12"/>
  <c r="AX34" i="12"/>
  <c r="AL34" i="12"/>
  <c r="BI34" i="12"/>
  <c r="AW34" i="12"/>
  <c r="BH34" i="12"/>
  <c r="AV34" i="12"/>
  <c r="Q30" i="12"/>
  <c r="Q26" i="12"/>
  <c r="Q28" i="12"/>
  <c r="Q27" i="12"/>
  <c r="Q29" i="12"/>
  <c r="AT29" i="12" s="1"/>
  <c r="Q17" i="12"/>
  <c r="Q21" i="12"/>
  <c r="Q18" i="12"/>
  <c r="AV28" i="12"/>
  <c r="AU9" i="12"/>
  <c r="AM27" i="12"/>
  <c r="Q22" i="12"/>
  <c r="AN8" i="12"/>
  <c r="Q8" i="12"/>
  <c r="AS17" i="12"/>
  <c r="Q16" i="12"/>
  <c r="AR18" i="12"/>
  <c r="D14" i="11"/>
  <c r="D26" i="29"/>
  <c r="Q20" i="12"/>
  <c r="AN26" i="12"/>
  <c r="Q9" i="12"/>
  <c r="AT9" i="12" s="1"/>
  <c r="AN30" i="12"/>
  <c r="G64" i="33"/>
  <c r="G69" i="33"/>
  <c r="G54" i="33"/>
  <c r="G59" i="33"/>
  <c r="H49" i="33"/>
  <c r="T49" i="33"/>
  <c r="AF49" i="33"/>
  <c r="I49" i="33"/>
  <c r="U49" i="33"/>
  <c r="AG49" i="33"/>
  <c r="J49" i="33"/>
  <c r="V49" i="33"/>
  <c r="AH49" i="33"/>
  <c r="K49" i="33"/>
  <c r="W49" i="33"/>
  <c r="G49" i="33"/>
  <c r="H58" i="12" s="1"/>
  <c r="L49" i="33"/>
  <c r="X49" i="33"/>
  <c r="M49" i="33"/>
  <c r="Y49" i="33"/>
  <c r="N49" i="33"/>
  <c r="Z49" i="33"/>
  <c r="O49" i="33"/>
  <c r="AA49" i="33"/>
  <c r="P49" i="33"/>
  <c r="AB49" i="33"/>
  <c r="AD49" i="33"/>
  <c r="Q49" i="33"/>
  <c r="AC49" i="33"/>
  <c r="R49" i="33"/>
  <c r="S49" i="33"/>
  <c r="AE49" i="33"/>
  <c r="G71" i="33"/>
  <c r="G77" i="33" s="1"/>
  <c r="G83" i="33" s="1"/>
  <c r="G89" i="33" s="1"/>
  <c r="G95" i="33" s="1"/>
  <c r="G101" i="33" s="1"/>
  <c r="G108" i="33" s="1"/>
  <c r="G115" i="33" s="1"/>
  <c r="G122" i="33" s="1"/>
  <c r="G136" i="33" s="1"/>
  <c r="G144" i="33" s="1"/>
  <c r="G152" i="33" s="1"/>
  <c r="G158" i="33" s="1"/>
  <c r="BA11" i="11"/>
  <c r="T36" i="22" s="1"/>
  <c r="AO11" i="11"/>
  <c r="H36" i="22" s="1"/>
  <c r="BL11" i="11"/>
  <c r="AE36" i="22" s="1"/>
  <c r="AZ11" i="11"/>
  <c r="S36" i="22" s="1"/>
  <c r="AN11" i="11"/>
  <c r="G36" i="22" s="1"/>
  <c r="BK11" i="11"/>
  <c r="AD36" i="22" s="1"/>
  <c r="AY11" i="11"/>
  <c r="R36" i="22" s="1"/>
  <c r="AM11" i="11"/>
  <c r="F36" i="22" s="1"/>
  <c r="BJ11" i="11"/>
  <c r="AC36" i="22" s="1"/>
  <c r="AX11" i="11"/>
  <c r="Q36" i="22" s="1"/>
  <c r="AL11" i="11"/>
  <c r="E36" i="22" s="1"/>
  <c r="BI11" i="11"/>
  <c r="AB36" i="22" s="1"/>
  <c r="AW11" i="11"/>
  <c r="P36" i="22" s="1"/>
  <c r="BH11" i="11"/>
  <c r="AA36" i="22" s="1"/>
  <c r="AV11" i="11"/>
  <c r="O36" i="22" s="1"/>
  <c r="BG11" i="11"/>
  <c r="Z36" i="22" s="1"/>
  <c r="AU11" i="11"/>
  <c r="N36" i="22" s="1"/>
  <c r="BF11" i="11"/>
  <c r="Y36" i="22" s="1"/>
  <c r="AT11" i="11"/>
  <c r="M36" i="22" s="1"/>
  <c r="BE11" i="11"/>
  <c r="X36" i="22" s="1"/>
  <c r="AS11" i="11"/>
  <c r="L36" i="22" s="1"/>
  <c r="BD11" i="11"/>
  <c r="W36" i="22" s="1"/>
  <c r="AR11" i="11"/>
  <c r="K36" i="22" s="1"/>
  <c r="BC11" i="11"/>
  <c r="V36" i="22" s="1"/>
  <c r="AQ11" i="11"/>
  <c r="J36" i="22" s="1"/>
  <c r="BB11" i="11"/>
  <c r="U36" i="22" s="1"/>
  <c r="AP11" i="11"/>
  <c r="I36" i="22" s="1"/>
  <c r="X6" i="21"/>
  <c r="BI45" i="20"/>
  <c r="T6" i="21"/>
  <c r="BE45" i="20"/>
  <c r="BF45" i="20"/>
  <c r="U6" i="21"/>
  <c r="AD6" i="21"/>
  <c r="BO45" i="20"/>
  <c r="M6" i="21"/>
  <c r="AX45" i="20"/>
  <c r="BS45" i="20"/>
  <c r="AH6" i="21"/>
  <c r="BG45" i="20"/>
  <c r="V6" i="21"/>
  <c r="BA45" i="20"/>
  <c r="P6" i="21"/>
  <c r="BR45" i="20"/>
  <c r="AG6" i="21"/>
  <c r="AF6" i="21"/>
  <c r="BQ45" i="20"/>
  <c r="AA6" i="21"/>
  <c r="BL45" i="20"/>
  <c r="AV45" i="20"/>
  <c r="K6" i="21"/>
  <c r="L6" i="21"/>
  <c r="AW45" i="20"/>
  <c r="AY45" i="20"/>
  <c r="N6" i="21"/>
  <c r="O6" i="21"/>
  <c r="AZ45" i="20"/>
  <c r="BM45" i="20"/>
  <c r="AB6" i="21"/>
  <c r="H6" i="21"/>
  <c r="H29" i="21" s="1"/>
  <c r="AK29" i="21" s="1"/>
  <c r="R6" i="21"/>
  <c r="BC45" i="20"/>
  <c r="BD45" i="20"/>
  <c r="S6" i="21"/>
  <c r="Y6" i="21"/>
  <c r="BJ45" i="20"/>
  <c r="AU45" i="20"/>
  <c r="J6" i="21"/>
  <c r="AP391" i="28"/>
  <c r="AP391" i="25"/>
  <c r="AP391" i="27"/>
  <c r="AP391" i="24"/>
  <c r="AP391" i="26"/>
  <c r="BP45" i="20"/>
  <c r="AE6" i="21"/>
  <c r="AT45" i="20"/>
  <c r="I6" i="21"/>
  <c r="AC6" i="21"/>
  <c r="BN45" i="20"/>
  <c r="AP390" i="25"/>
  <c r="AT392" i="25" s="1"/>
  <c r="AP390" i="28"/>
  <c r="AT392" i="28" s="1"/>
  <c r="AP390" i="27"/>
  <c r="AT392" i="27" s="1"/>
  <c r="AP390" i="24"/>
  <c r="AT392" i="24" s="1"/>
  <c r="AP390" i="26"/>
  <c r="AT392" i="26" s="1"/>
  <c r="BT45" i="20"/>
  <c r="AI6" i="21"/>
  <c r="BK45" i="20"/>
  <c r="Z6" i="21"/>
  <c r="BH45" i="20"/>
  <c r="BH46" i="20" s="1"/>
  <c r="W6" i="21"/>
  <c r="R163" i="33"/>
  <c r="R364" i="33" s="1"/>
  <c r="R180" i="33"/>
  <c r="J130" i="33"/>
  <c r="J134" i="33" s="1"/>
  <c r="J169" i="33"/>
  <c r="J174" i="33" s="1"/>
  <c r="J136" i="33"/>
  <c r="J144" i="33" s="1"/>
  <c r="J152" i="33" s="1"/>
  <c r="J158" i="33" s="1"/>
  <c r="X180" i="33"/>
  <c r="X163" i="33"/>
  <c r="X364" i="33" s="1"/>
  <c r="O164" i="33"/>
  <c r="O365" i="33" s="1"/>
  <c r="O181" i="33"/>
  <c r="AF130" i="33"/>
  <c r="AF134" i="33" s="1"/>
  <c r="AF136" i="33"/>
  <c r="AF144" i="33" s="1"/>
  <c r="AF152" i="33" s="1"/>
  <c r="AF158" i="33" s="1"/>
  <c r="AF169" i="33"/>
  <c r="AF174" i="33" s="1"/>
  <c r="V177" i="33"/>
  <c r="V161" i="33"/>
  <c r="V362" i="33" s="1"/>
  <c r="H177" i="33"/>
  <c r="H161" i="33"/>
  <c r="H362" i="33" s="1"/>
  <c r="C161" i="33"/>
  <c r="C362" i="33" s="1"/>
  <c r="C177" i="33"/>
  <c r="U164" i="33"/>
  <c r="U365" i="33" s="1"/>
  <c r="U181" i="33"/>
  <c r="R161" i="33"/>
  <c r="R362" i="33" s="1"/>
  <c r="R177" i="33"/>
  <c r="R181" i="33"/>
  <c r="R164" i="33"/>
  <c r="R365" i="33" s="1"/>
  <c r="AG181" i="33"/>
  <c r="AG164" i="33"/>
  <c r="AG365" i="33" s="1"/>
  <c r="Z169" i="33"/>
  <c r="Z174" i="33" s="1"/>
  <c r="Z136" i="33"/>
  <c r="Z144" i="33" s="1"/>
  <c r="Z152" i="33" s="1"/>
  <c r="Z158" i="33" s="1"/>
  <c r="Z130" i="33"/>
  <c r="Z134" i="33" s="1"/>
  <c r="U130" i="33"/>
  <c r="U134" i="33" s="1"/>
  <c r="U136" i="33"/>
  <c r="U144" i="33" s="1"/>
  <c r="U152" i="33" s="1"/>
  <c r="U158" i="33" s="1"/>
  <c r="U169" i="33"/>
  <c r="U174" i="33" s="1"/>
  <c r="T177" i="33"/>
  <c r="T161" i="33"/>
  <c r="T362" i="33" s="1"/>
  <c r="Y163" i="33"/>
  <c r="Y364" i="33" s="1"/>
  <c r="Y180" i="33"/>
  <c r="G180" i="33"/>
  <c r="G163" i="33"/>
  <c r="G364" i="33" s="1"/>
  <c r="L180" i="33"/>
  <c r="L163" i="33"/>
  <c r="L364" i="33" s="1"/>
  <c r="AF180" i="33"/>
  <c r="AF163" i="33"/>
  <c r="AF364" i="33" s="1"/>
  <c r="N136" i="33"/>
  <c r="N144" i="33" s="1"/>
  <c r="N152" i="33" s="1"/>
  <c r="N158" i="33" s="1"/>
  <c r="N130" i="33"/>
  <c r="N134" i="33" s="1"/>
  <c r="N169" i="33"/>
  <c r="N174" i="33" s="1"/>
  <c r="J161" i="33"/>
  <c r="J362" i="33" s="1"/>
  <c r="J177" i="33"/>
  <c r="Y181" i="33"/>
  <c r="Y164" i="33"/>
  <c r="Y365" i="33" s="1"/>
  <c r="Z180" i="33"/>
  <c r="Z163" i="33"/>
  <c r="Z364" i="33" s="1"/>
  <c r="AF181" i="33"/>
  <c r="AF164" i="33"/>
  <c r="AF365" i="33" s="1"/>
  <c r="K181" i="33"/>
  <c r="K164" i="33"/>
  <c r="K365" i="33" s="1"/>
  <c r="AB177" i="33"/>
  <c r="AB161" i="33"/>
  <c r="AB362" i="33" s="1"/>
  <c r="L161" i="33"/>
  <c r="L362" i="33" s="1"/>
  <c r="L177" i="33"/>
  <c r="Q169" i="33"/>
  <c r="Q174" i="33" s="1"/>
  <c r="Q136" i="33"/>
  <c r="Q144" i="33" s="1"/>
  <c r="Q152" i="33" s="1"/>
  <c r="Q158" i="33" s="1"/>
  <c r="Q130" i="33"/>
  <c r="Q134" i="33" s="1"/>
  <c r="L130" i="33"/>
  <c r="L134" i="33" s="1"/>
  <c r="L169" i="33"/>
  <c r="L174" i="33" s="1"/>
  <c r="L136" i="33"/>
  <c r="L144" i="33" s="1"/>
  <c r="L152" i="33" s="1"/>
  <c r="L158" i="33" s="1"/>
  <c r="V130" i="33"/>
  <c r="V134" i="33" s="1"/>
  <c r="V136" i="33"/>
  <c r="V144" i="33" s="1"/>
  <c r="V152" i="33" s="1"/>
  <c r="V158" i="33" s="1"/>
  <c r="V169" i="33"/>
  <c r="V174" i="33" s="1"/>
  <c r="H130" i="33"/>
  <c r="H134" i="33" s="1"/>
  <c r="H136" i="33"/>
  <c r="H144" i="33" s="1"/>
  <c r="H152" i="33" s="1"/>
  <c r="H158" i="33" s="1"/>
  <c r="H169" i="33"/>
  <c r="H174" i="33" s="1"/>
  <c r="P177" i="33"/>
  <c r="P161" i="33"/>
  <c r="P362" i="33" s="1"/>
  <c r="U163" i="33"/>
  <c r="U364" i="33" s="1"/>
  <c r="U180" i="33"/>
  <c r="K130" i="33"/>
  <c r="K134" i="33" s="1"/>
  <c r="K136" i="33"/>
  <c r="K144" i="33" s="1"/>
  <c r="K152" i="33" s="1"/>
  <c r="K158" i="33" s="1"/>
  <c r="K169" i="33"/>
  <c r="K174" i="33" s="1"/>
  <c r="H181" i="33"/>
  <c r="H164" i="33"/>
  <c r="H365" i="33" s="1"/>
  <c r="J181" i="33"/>
  <c r="J164" i="33"/>
  <c r="J365" i="33" s="1"/>
  <c r="AC136" i="33"/>
  <c r="AC144" i="33" s="1"/>
  <c r="AC152" i="33" s="1"/>
  <c r="AC158" i="33" s="1"/>
  <c r="AC169" i="33"/>
  <c r="AC174" i="33" s="1"/>
  <c r="AC130" i="33"/>
  <c r="AC134" i="33" s="1"/>
  <c r="AE169" i="33"/>
  <c r="AE174" i="33" s="1"/>
  <c r="AE136" i="33"/>
  <c r="AE144" i="33" s="1"/>
  <c r="AE152" i="33" s="1"/>
  <c r="AE158" i="33" s="1"/>
  <c r="AE130" i="33"/>
  <c r="AE134" i="33" s="1"/>
  <c r="P130" i="33"/>
  <c r="P134" i="33" s="1"/>
  <c r="P136" i="33"/>
  <c r="P144" i="33" s="1"/>
  <c r="P152" i="33" s="1"/>
  <c r="P158" i="33" s="1"/>
  <c r="P169" i="33"/>
  <c r="P174" i="33" s="1"/>
  <c r="AA180" i="33"/>
  <c r="AA163" i="33"/>
  <c r="AA364" i="33" s="1"/>
  <c r="K177" i="33"/>
  <c r="K161" i="33"/>
  <c r="K362" i="33" s="1"/>
  <c r="AD180" i="33"/>
  <c r="AD163" i="33"/>
  <c r="AD364" i="33" s="1"/>
  <c r="AB181" i="33"/>
  <c r="AB164" i="33"/>
  <c r="AB365" i="33" s="1"/>
  <c r="T181" i="33"/>
  <c r="T164" i="33"/>
  <c r="T365" i="33" s="1"/>
  <c r="G181" i="33"/>
  <c r="G164" i="33"/>
  <c r="G365" i="33" s="1"/>
  <c r="I161" i="33"/>
  <c r="I362" i="33" s="1"/>
  <c r="I177" i="33"/>
  <c r="S180" i="33"/>
  <c r="S163" i="33"/>
  <c r="S364" i="33" s="1"/>
  <c r="T130" i="33"/>
  <c r="T134" i="33" s="1"/>
  <c r="T136" i="33"/>
  <c r="T144" i="33" s="1"/>
  <c r="T152" i="33" s="1"/>
  <c r="T158" i="33" s="1"/>
  <c r="T169" i="33"/>
  <c r="T174" i="33" s="1"/>
  <c r="J180" i="33"/>
  <c r="J163" i="33"/>
  <c r="J364" i="33" s="1"/>
  <c r="V163" i="33"/>
  <c r="V364" i="33" s="1"/>
  <c r="V180" i="33"/>
  <c r="AB180" i="33"/>
  <c r="AB163" i="33"/>
  <c r="AB364" i="33" s="1"/>
  <c r="AB136" i="33"/>
  <c r="AB144" i="33" s="1"/>
  <c r="AB152" i="33" s="1"/>
  <c r="AB158" i="33" s="1"/>
  <c r="AB130" i="33"/>
  <c r="AB134" i="33" s="1"/>
  <c r="AB169" i="33"/>
  <c r="AB174" i="33" s="1"/>
  <c r="T163" i="33"/>
  <c r="T364" i="33" s="1"/>
  <c r="T180" i="33"/>
  <c r="Q161" i="33"/>
  <c r="Q362" i="33" s="1"/>
  <c r="Q177" i="33"/>
  <c r="V181" i="33"/>
  <c r="V164" i="33"/>
  <c r="V365" i="33" s="1"/>
  <c r="L181" i="33"/>
  <c r="L164" i="33"/>
  <c r="L365" i="33" s="1"/>
  <c r="W181" i="33"/>
  <c r="W164" i="33"/>
  <c r="W365" i="33" s="1"/>
  <c r="I181" i="33"/>
  <c r="I164" i="33"/>
  <c r="I365" i="33" s="1"/>
  <c r="N177" i="33"/>
  <c r="N161" i="33"/>
  <c r="N362" i="33" s="1"/>
  <c r="N180" i="33"/>
  <c r="N163" i="33"/>
  <c r="N364" i="33" s="1"/>
  <c r="W180" i="33"/>
  <c r="W163" i="33"/>
  <c r="W364" i="33" s="1"/>
  <c r="AG177" i="33"/>
  <c r="AG161" i="33"/>
  <c r="AG362" i="33" s="1"/>
  <c r="AA181" i="33"/>
  <c r="AA164" i="33"/>
  <c r="AA365" i="33" s="1"/>
  <c r="W130" i="33"/>
  <c r="W134" i="33" s="1"/>
  <c r="W136" i="33"/>
  <c r="W144" i="33" s="1"/>
  <c r="W152" i="33" s="1"/>
  <c r="W158" i="33" s="1"/>
  <c r="W169" i="33"/>
  <c r="W174" i="33" s="1"/>
  <c r="AA130" i="33"/>
  <c r="AA134" i="33" s="1"/>
  <c r="AA136" i="33"/>
  <c r="AA144" i="33" s="1"/>
  <c r="AA152" i="33" s="1"/>
  <c r="AA158" i="33" s="1"/>
  <c r="AA169" i="33"/>
  <c r="AA174" i="33" s="1"/>
  <c r="AD136" i="33"/>
  <c r="AD144" i="33" s="1"/>
  <c r="AD152" i="33" s="1"/>
  <c r="AD158" i="33" s="1"/>
  <c r="AD169" i="33"/>
  <c r="AD174" i="33" s="1"/>
  <c r="AD130" i="33"/>
  <c r="AD134" i="33" s="1"/>
  <c r="AF177" i="33"/>
  <c r="AF161" i="33"/>
  <c r="AF362" i="33" s="1"/>
  <c r="M163" i="33"/>
  <c r="M364" i="33" s="1"/>
  <c r="M180" i="33"/>
  <c r="I163" i="33"/>
  <c r="I364" i="33" s="1"/>
  <c r="I180" i="33"/>
  <c r="C181" i="33"/>
  <c r="C164" i="33"/>
  <c r="C365" i="33" s="1"/>
  <c r="I169" i="33"/>
  <c r="I174" i="33" s="1"/>
  <c r="I130" i="33"/>
  <c r="I134" i="33" s="1"/>
  <c r="I136" i="33"/>
  <c r="I144" i="33" s="1"/>
  <c r="I152" i="33" s="1"/>
  <c r="I158" i="33" s="1"/>
  <c r="AH130" i="33"/>
  <c r="AH134" i="33" s="1"/>
  <c r="AH169" i="33"/>
  <c r="AH174" i="33" s="1"/>
  <c r="AH136" i="33"/>
  <c r="AH144" i="33" s="1"/>
  <c r="AH152" i="33" s="1"/>
  <c r="AH158" i="33" s="1"/>
  <c r="X161" i="33"/>
  <c r="X362" i="33" s="1"/>
  <c r="X177" i="33"/>
  <c r="M136" i="33"/>
  <c r="M144" i="33" s="1"/>
  <c r="M152" i="33" s="1"/>
  <c r="M158" i="33" s="1"/>
  <c r="M169" i="33"/>
  <c r="M174" i="33" s="1"/>
  <c r="M130" i="33"/>
  <c r="M134" i="33" s="1"/>
  <c r="P181" i="33"/>
  <c r="P164" i="33"/>
  <c r="P365" i="33" s="1"/>
  <c r="AH164" i="33"/>
  <c r="AH365" i="33" s="1"/>
  <c r="AH181" i="33"/>
  <c r="AC161" i="33"/>
  <c r="AC362" i="33" s="1"/>
  <c r="AC177" i="33"/>
  <c r="O136" i="33"/>
  <c r="O144" i="33" s="1"/>
  <c r="O152" i="33" s="1"/>
  <c r="O158" i="33" s="1"/>
  <c r="O169" i="33"/>
  <c r="O174" i="33" s="1"/>
  <c r="O130" i="33"/>
  <c r="O134" i="33" s="1"/>
  <c r="P180" i="33"/>
  <c r="P163" i="33"/>
  <c r="P364" i="33" s="1"/>
  <c r="O177" i="33"/>
  <c r="O161" i="33"/>
  <c r="O362" i="33" s="1"/>
  <c r="AG180" i="33"/>
  <c r="AG163" i="33"/>
  <c r="AG364" i="33" s="1"/>
  <c r="AH177" i="33"/>
  <c r="AH161" i="33"/>
  <c r="AH362" i="33" s="1"/>
  <c r="N164" i="33"/>
  <c r="N365" i="33" s="1"/>
  <c r="N181" i="33"/>
  <c r="X164" i="33"/>
  <c r="X365" i="33" s="1"/>
  <c r="X181" i="33"/>
  <c r="U161" i="33"/>
  <c r="U362" i="33" s="1"/>
  <c r="U177" i="33"/>
  <c r="AD164" i="33"/>
  <c r="AD365" i="33" s="1"/>
  <c r="AD181" i="33"/>
  <c r="C198" i="33"/>
  <c r="C207" i="33" s="1"/>
  <c r="C216" i="33" s="1"/>
  <c r="C189" i="33"/>
  <c r="S181" i="33"/>
  <c r="S164" i="33"/>
  <c r="S365" i="33" s="1"/>
  <c r="AA161" i="33"/>
  <c r="AA362" i="33" s="1"/>
  <c r="AA177" i="33"/>
  <c r="AC180" i="33"/>
  <c r="AC163" i="33"/>
  <c r="AC364" i="33" s="1"/>
  <c r="AE177" i="33"/>
  <c r="AE161" i="33"/>
  <c r="AE362" i="33" s="1"/>
  <c r="W161" i="33"/>
  <c r="W362" i="33" s="1"/>
  <c r="W177" i="33"/>
  <c r="AD177" i="33"/>
  <c r="AD161" i="33"/>
  <c r="AD362" i="33" s="1"/>
  <c r="Q181" i="33"/>
  <c r="Q164" i="33"/>
  <c r="Q365" i="33" s="1"/>
  <c r="Y136" i="33"/>
  <c r="Y144" i="33" s="1"/>
  <c r="Y152" i="33" s="1"/>
  <c r="Y158" i="33" s="1"/>
  <c r="Y130" i="33"/>
  <c r="Y134" i="33" s="1"/>
  <c r="Y169" i="33"/>
  <c r="Y174" i="33" s="1"/>
  <c r="AH180" i="33"/>
  <c r="AH163" i="33"/>
  <c r="AH364" i="33" s="1"/>
  <c r="S130" i="33"/>
  <c r="S134" i="33" s="1"/>
  <c r="S136" i="33"/>
  <c r="S144" i="33" s="1"/>
  <c r="S152" i="33" s="1"/>
  <c r="S158" i="33" s="1"/>
  <c r="S169" i="33"/>
  <c r="S174" i="33" s="1"/>
  <c r="Y177" i="33"/>
  <c r="Y161" i="33"/>
  <c r="Y362" i="33" s="1"/>
  <c r="X169" i="33"/>
  <c r="X174" i="33" s="1"/>
  <c r="X130" i="33"/>
  <c r="X134" i="33" s="1"/>
  <c r="X136" i="33"/>
  <c r="X144" i="33" s="1"/>
  <c r="X152" i="33" s="1"/>
  <c r="X158" i="33" s="1"/>
  <c r="G177" i="33"/>
  <c r="G161" i="33"/>
  <c r="G362" i="33" s="1"/>
  <c r="Z164" i="33"/>
  <c r="Z365" i="33" s="1"/>
  <c r="Z181" i="33"/>
  <c r="Q180" i="33"/>
  <c r="Q163" i="33"/>
  <c r="Q364" i="33" s="1"/>
  <c r="K180" i="33"/>
  <c r="K163" i="33"/>
  <c r="K364" i="33" s="1"/>
  <c r="O180" i="33"/>
  <c r="O163" i="33"/>
  <c r="O364" i="33" s="1"/>
  <c r="H180" i="33"/>
  <c r="H163" i="33"/>
  <c r="H364" i="33" s="1"/>
  <c r="AG130" i="33"/>
  <c r="AG134" i="33" s="1"/>
  <c r="AG169" i="33"/>
  <c r="AG174" i="33" s="1"/>
  <c r="AG136" i="33"/>
  <c r="AG144" i="33" s="1"/>
  <c r="AG152" i="33" s="1"/>
  <c r="AG158" i="33" s="1"/>
  <c r="AE181" i="33"/>
  <c r="AE164" i="33"/>
  <c r="AE365" i="33" s="1"/>
  <c r="M181" i="33"/>
  <c r="M164" i="33"/>
  <c r="M365" i="33" s="1"/>
  <c r="M177" i="33"/>
  <c r="M161" i="33"/>
  <c r="M362" i="33" s="1"/>
  <c r="AC181" i="33"/>
  <c r="AC164" i="33"/>
  <c r="AC365" i="33" s="1"/>
  <c r="G130" i="33"/>
  <c r="G134" i="33" s="1"/>
  <c r="AE163" i="33"/>
  <c r="AE364" i="33" s="1"/>
  <c r="AE180" i="33"/>
  <c r="S177" i="33"/>
  <c r="S161" i="33"/>
  <c r="S362" i="33" s="1"/>
  <c r="R169" i="33"/>
  <c r="R174" i="33" s="1"/>
  <c r="R130" i="33"/>
  <c r="R134" i="33" s="1"/>
  <c r="R136" i="33"/>
  <c r="R144" i="33" s="1"/>
  <c r="R152" i="33" s="1"/>
  <c r="R158" i="33" s="1"/>
  <c r="Z177" i="33"/>
  <c r="Z161" i="33"/>
  <c r="Z362" i="33" s="1"/>
  <c r="AC27" i="33"/>
  <c r="AG27" i="33"/>
  <c r="N27" i="33"/>
  <c r="AF27" i="33"/>
  <c r="G27" i="33"/>
  <c r="Z27" i="33"/>
  <c r="M27" i="33"/>
  <c r="X27" i="33"/>
  <c r="O27" i="33"/>
  <c r="AA27" i="33"/>
  <c r="P27" i="33"/>
  <c r="AB27" i="33"/>
  <c r="L27" i="33"/>
  <c r="AE27" i="33"/>
  <c r="V27" i="33"/>
  <c r="U27" i="33"/>
  <c r="H27" i="33"/>
  <c r="AH27" i="33"/>
  <c r="S27" i="33"/>
  <c r="J27" i="33"/>
  <c r="Q27" i="33"/>
  <c r="I27" i="33"/>
  <c r="R27" i="33"/>
  <c r="Y27" i="33"/>
  <c r="W27" i="33"/>
  <c r="AD27" i="33"/>
  <c r="T27" i="33"/>
  <c r="K27" i="33"/>
  <c r="BG28" i="12"/>
  <c r="BJ27" i="12"/>
  <c r="AU4" i="12"/>
  <c r="BA18" i="12"/>
  <c r="BB7" i="12"/>
  <c r="BD29" i="12"/>
  <c r="AQ18" i="12"/>
  <c r="AQ7" i="12"/>
  <c r="AU29" i="12"/>
  <c r="AO18" i="12"/>
  <c r="AP7" i="12"/>
  <c r="BE29" i="12"/>
  <c r="AS29" i="12"/>
  <c r="BD17" i="12"/>
  <c r="BJ6" i="12"/>
  <c r="AR29" i="12"/>
  <c r="BF9" i="12"/>
  <c r="BF6" i="12"/>
  <c r="BA6" i="12"/>
  <c r="AK29" i="12"/>
  <c r="AU28" i="12"/>
  <c r="BK8" i="12"/>
  <c r="AX6" i="12"/>
  <c r="BF8" i="12"/>
  <c r="AT6" i="12"/>
  <c r="BK30" i="12"/>
  <c r="AX27" i="12"/>
  <c r="AY8" i="12"/>
  <c r="AO6" i="12"/>
  <c r="AY30" i="12"/>
  <c r="AL27" i="12"/>
  <c r="AT8" i="12"/>
  <c r="AL6" i="12"/>
  <c r="AM30" i="12"/>
  <c r="AY26" i="12"/>
  <c r="AM8" i="12"/>
  <c r="AY5" i="12"/>
  <c r="AP3" i="12"/>
  <c r="BG29" i="12"/>
  <c r="BC18" i="12"/>
  <c r="BC7" i="12"/>
  <c r="BG4" i="12"/>
  <c r="C32" i="16"/>
  <c r="F8" i="11"/>
  <c r="F28" i="21"/>
  <c r="BJ30" i="12"/>
  <c r="AX30" i="12"/>
  <c r="AL30" i="12"/>
  <c r="BI30" i="12"/>
  <c r="AW30" i="12"/>
  <c r="BH30" i="12"/>
  <c r="AV30" i="12"/>
  <c r="BG30" i="12"/>
  <c r="AU30" i="12"/>
  <c r="BF30" i="12"/>
  <c r="AT30" i="12"/>
  <c r="BE30" i="12"/>
  <c r="AS30" i="12"/>
  <c r="BD30" i="12"/>
  <c r="AR30" i="12"/>
  <c r="AK30" i="12"/>
  <c r="BC30" i="12"/>
  <c r="AQ30" i="12"/>
  <c r="BB30" i="12"/>
  <c r="AP30" i="12"/>
  <c r="BA30" i="12"/>
  <c r="AO30" i="12"/>
  <c r="BL30" i="12"/>
  <c r="AZ30" i="12"/>
  <c r="BC29" i="12"/>
  <c r="AQ29" i="12"/>
  <c r="BB29" i="12"/>
  <c r="AP29" i="12"/>
  <c r="BA29" i="12"/>
  <c r="AO29" i="12"/>
  <c r="BL29" i="12"/>
  <c r="AZ29" i="12"/>
  <c r="AN29" i="12"/>
  <c r="BK29" i="12"/>
  <c r="AY29" i="12"/>
  <c r="AM29" i="12"/>
  <c r="BJ29" i="12"/>
  <c r="AX29" i="12"/>
  <c r="AL29" i="12"/>
  <c r="BI29" i="12"/>
  <c r="AW29" i="12"/>
  <c r="BH29" i="12"/>
  <c r="AV29" i="12"/>
  <c r="BF29" i="12"/>
  <c r="BF28" i="12"/>
  <c r="AT28" i="12"/>
  <c r="BE28" i="12"/>
  <c r="AS28" i="12"/>
  <c r="BD28" i="12"/>
  <c r="AR28" i="12"/>
  <c r="BC28" i="12"/>
  <c r="AQ28" i="12"/>
  <c r="BB28" i="12"/>
  <c r="AP28" i="12"/>
  <c r="BA28" i="12"/>
  <c r="AO28" i="12"/>
  <c r="BL28" i="12"/>
  <c r="AZ28" i="12"/>
  <c r="AN28" i="12"/>
  <c r="BK28" i="12"/>
  <c r="AY28" i="12"/>
  <c r="AM28" i="12"/>
  <c r="BJ28" i="12"/>
  <c r="AX28" i="12"/>
  <c r="AL28" i="12"/>
  <c r="BI28" i="12"/>
  <c r="AW28" i="12"/>
  <c r="AK28" i="12"/>
  <c r="BH28" i="12"/>
  <c r="BI27" i="12"/>
  <c r="AW27" i="12"/>
  <c r="BH27" i="12"/>
  <c r="AV27" i="12"/>
  <c r="BG27" i="12"/>
  <c r="AU27" i="12"/>
  <c r="BF27" i="12"/>
  <c r="AT27" i="12"/>
  <c r="BE27" i="12"/>
  <c r="AS27" i="12"/>
  <c r="BD27" i="12"/>
  <c r="AR27" i="12"/>
  <c r="BC27" i="12"/>
  <c r="AQ27" i="12"/>
  <c r="BB27" i="12"/>
  <c r="AP27" i="12"/>
  <c r="BA27" i="12"/>
  <c r="AO27" i="12"/>
  <c r="BL27" i="12"/>
  <c r="AZ27" i="12"/>
  <c r="AN27" i="12"/>
  <c r="AK27" i="12"/>
  <c r="BK27" i="12"/>
  <c r="AY27" i="12"/>
  <c r="AM26" i="12"/>
  <c r="BK26" i="12"/>
  <c r="BJ26" i="12"/>
  <c r="AX26" i="12"/>
  <c r="AL26" i="12"/>
  <c r="BI26" i="12"/>
  <c r="AW26" i="12"/>
  <c r="BH26" i="12"/>
  <c r="AV26" i="12"/>
  <c r="BG26" i="12"/>
  <c r="AU26" i="12"/>
  <c r="BF26" i="12"/>
  <c r="AT26" i="12"/>
  <c r="BE26" i="12"/>
  <c r="AS26" i="12"/>
  <c r="BD26" i="12"/>
  <c r="AR26" i="12"/>
  <c r="BC26" i="12"/>
  <c r="AQ26" i="12"/>
  <c r="AK26" i="12"/>
  <c r="BB26" i="12"/>
  <c r="AP26" i="12"/>
  <c r="BA26" i="12"/>
  <c r="AO26" i="12"/>
  <c r="BL26" i="12"/>
  <c r="AZ26" i="12"/>
  <c r="BE9" i="12"/>
  <c r="AS9" i="12"/>
  <c r="BD9" i="12"/>
  <c r="AR9" i="12"/>
  <c r="BC9" i="12"/>
  <c r="AQ9" i="12"/>
  <c r="BB9" i="12"/>
  <c r="AP9" i="12"/>
  <c r="BA9" i="12"/>
  <c r="AO9" i="12"/>
  <c r="BL9" i="12"/>
  <c r="AZ9" i="12"/>
  <c r="AN9" i="12"/>
  <c r="BK9" i="12"/>
  <c r="AY9" i="12"/>
  <c r="AM9" i="12"/>
  <c r="AK9" i="12"/>
  <c r="BJ9" i="12"/>
  <c r="AX9" i="12"/>
  <c r="AL9" i="12"/>
  <c r="BI9" i="12"/>
  <c r="AW9" i="12"/>
  <c r="BH9" i="12"/>
  <c r="AV9" i="12"/>
  <c r="BG9" i="12"/>
  <c r="BJ8" i="12"/>
  <c r="AX8" i="12"/>
  <c r="AL8" i="12"/>
  <c r="BI8" i="12"/>
  <c r="AW8" i="12"/>
  <c r="BH8" i="12"/>
  <c r="AV8" i="12"/>
  <c r="BG8" i="12"/>
  <c r="AU8" i="12"/>
  <c r="BE8" i="12"/>
  <c r="AS8" i="12"/>
  <c r="BD8" i="12"/>
  <c r="AR8" i="12"/>
  <c r="BC8" i="12"/>
  <c r="AQ8" i="12"/>
  <c r="BB8" i="12"/>
  <c r="AP8" i="12"/>
  <c r="AK8" i="12"/>
  <c r="BA8" i="12"/>
  <c r="AO8" i="12"/>
  <c r="BL8" i="12"/>
  <c r="AZ8" i="12"/>
  <c r="BA7" i="12"/>
  <c r="AO7" i="12"/>
  <c r="BL7" i="12"/>
  <c r="AZ7" i="12"/>
  <c r="AN7" i="12"/>
  <c r="BK7" i="12"/>
  <c r="AY7" i="12"/>
  <c r="AM7" i="12"/>
  <c r="BJ7" i="12"/>
  <c r="AX7" i="12"/>
  <c r="AL7" i="12"/>
  <c r="BI7" i="12"/>
  <c r="AW7" i="12"/>
  <c r="BH7" i="12"/>
  <c r="AV7" i="12"/>
  <c r="BG7" i="12"/>
  <c r="AU7" i="12"/>
  <c r="BF7" i="12"/>
  <c r="AT7" i="12"/>
  <c r="BE7" i="12"/>
  <c r="AS7" i="12"/>
  <c r="AK7" i="12"/>
  <c r="BD7" i="12"/>
  <c r="BI6" i="12"/>
  <c r="AW6" i="12"/>
  <c r="BH6" i="12"/>
  <c r="AV6" i="12"/>
  <c r="AK6" i="12"/>
  <c r="BG6" i="12"/>
  <c r="AU6" i="12"/>
  <c r="BE6" i="12"/>
  <c r="AS6" i="12"/>
  <c r="BD6" i="12"/>
  <c r="AR6" i="12"/>
  <c r="BC6" i="12"/>
  <c r="AQ6" i="12"/>
  <c r="BB6" i="12"/>
  <c r="AP6" i="12"/>
  <c r="BL6" i="12"/>
  <c r="AZ6" i="12"/>
  <c r="AN6" i="12"/>
  <c r="BK6" i="12"/>
  <c r="AY6" i="12"/>
  <c r="AM5" i="12"/>
  <c r="BK5" i="12"/>
  <c r="AK5" i="12"/>
  <c r="BJ5" i="12"/>
  <c r="AX5" i="12"/>
  <c r="AL5" i="12"/>
  <c r="BI5" i="12"/>
  <c r="AW5" i="12"/>
  <c r="BH5" i="12"/>
  <c r="AV5" i="12"/>
  <c r="BG5" i="12"/>
  <c r="AU5" i="12"/>
  <c r="BF5" i="12"/>
  <c r="AT5" i="12"/>
  <c r="BE5" i="12"/>
  <c r="AS5" i="12"/>
  <c r="BD5" i="12"/>
  <c r="AR5" i="12"/>
  <c r="BC5" i="12"/>
  <c r="AQ5" i="12"/>
  <c r="BB5" i="12"/>
  <c r="AP5" i="12"/>
  <c r="BA5" i="12"/>
  <c r="AO5" i="12"/>
  <c r="BL5" i="12"/>
  <c r="AZ5" i="12"/>
  <c r="AK4" i="12"/>
  <c r="BA4" i="12"/>
  <c r="AO4" i="12"/>
  <c r="BL4" i="12"/>
  <c r="AZ4" i="12"/>
  <c r="AN4" i="12"/>
  <c r="BK4" i="12"/>
  <c r="AY4" i="12"/>
  <c r="AM4" i="12"/>
  <c r="BJ4" i="12"/>
  <c r="AX4" i="12"/>
  <c r="AL4" i="12"/>
  <c r="BI4" i="12"/>
  <c r="AW4" i="12"/>
  <c r="BH4" i="12"/>
  <c r="AV4" i="12"/>
  <c r="BF4" i="12"/>
  <c r="AT4" i="12"/>
  <c r="BE4" i="12"/>
  <c r="AS4" i="12"/>
  <c r="BD4" i="12"/>
  <c r="AR4" i="12"/>
  <c r="BC4" i="12"/>
  <c r="AQ4" i="12"/>
  <c r="BB4" i="12"/>
  <c r="AT3" i="12"/>
  <c r="AS3" i="12"/>
  <c r="AR3" i="12"/>
  <c r="AO3" i="12"/>
  <c r="BG3" i="12"/>
  <c r="BF3" i="12"/>
  <c r="BE3" i="12"/>
  <c r="BD3" i="12"/>
  <c r="BA3" i="12"/>
  <c r="AU3" i="12"/>
  <c r="BL3" i="12"/>
  <c r="AZ3" i="12"/>
  <c r="AN3" i="12"/>
  <c r="BK3" i="12"/>
  <c r="AY3" i="12"/>
  <c r="AM3" i="12"/>
  <c r="BJ3" i="12"/>
  <c r="AX3" i="12"/>
  <c r="AL3" i="12"/>
  <c r="BI3" i="12"/>
  <c r="AW3" i="12"/>
  <c r="BH3" i="12"/>
  <c r="AV3" i="12"/>
  <c r="AK3" i="12"/>
  <c r="BC3" i="12"/>
  <c r="AQ3" i="12"/>
  <c r="BB3" i="12"/>
  <c r="BB18" i="12"/>
  <c r="AP18" i="12"/>
  <c r="BL18" i="12"/>
  <c r="AZ18" i="12"/>
  <c r="AN18" i="12"/>
  <c r="AK18" i="12"/>
  <c r="BK18" i="12"/>
  <c r="AY18" i="12"/>
  <c r="AM18" i="12"/>
  <c r="BJ18" i="12"/>
  <c r="AX18" i="12"/>
  <c r="AL18" i="12"/>
  <c r="BI18" i="12"/>
  <c r="AW18" i="12"/>
  <c r="BH18" i="12"/>
  <c r="AV18" i="12"/>
  <c r="BG18" i="12"/>
  <c r="AU18" i="12"/>
  <c r="BF18" i="12"/>
  <c r="AT18" i="12"/>
  <c r="BE18" i="12"/>
  <c r="AS18" i="12"/>
  <c r="BD18" i="12"/>
  <c r="AR17" i="12"/>
  <c r="BC17" i="12"/>
  <c r="AQ17" i="12"/>
  <c r="AK17" i="12"/>
  <c r="BB17" i="12"/>
  <c r="AP17" i="12"/>
  <c r="BA17" i="12"/>
  <c r="AO17" i="12"/>
  <c r="BL17" i="12"/>
  <c r="AZ17" i="12"/>
  <c r="AN17" i="12"/>
  <c r="BK17" i="12"/>
  <c r="AY17" i="12"/>
  <c r="AM17" i="12"/>
  <c r="BJ17" i="12"/>
  <c r="AX17" i="12"/>
  <c r="AL17" i="12"/>
  <c r="BI17" i="12"/>
  <c r="AW17" i="12"/>
  <c r="BH17" i="12"/>
  <c r="AV17" i="12"/>
  <c r="BG17" i="12"/>
  <c r="AU17" i="12"/>
  <c r="BF17" i="12"/>
  <c r="AT17" i="12"/>
  <c r="BE17" i="12"/>
  <c r="Y37" i="22"/>
  <c r="M37" i="22"/>
  <c r="X37" i="22"/>
  <c r="L37" i="22"/>
  <c r="W37" i="22"/>
  <c r="K37" i="22"/>
  <c r="V37" i="22"/>
  <c r="J37" i="22"/>
  <c r="T37" i="22"/>
  <c r="H37" i="22"/>
  <c r="AE37" i="22"/>
  <c r="S37" i="22"/>
  <c r="G37" i="22"/>
  <c r="AD37" i="22"/>
  <c r="R37" i="22"/>
  <c r="F37" i="22"/>
  <c r="AC37" i="22"/>
  <c r="Q37" i="22"/>
  <c r="E37" i="22"/>
  <c r="AB37" i="22"/>
  <c r="P37" i="22"/>
  <c r="AA37" i="22"/>
  <c r="O37" i="22"/>
  <c r="D17" i="19"/>
  <c r="D18" i="19"/>
  <c r="F31" i="19"/>
  <c r="F36" i="19" s="1"/>
  <c r="AK34" i="12"/>
  <c r="Z32" i="12"/>
  <c r="AD31" i="12"/>
  <c r="R31" i="12"/>
  <c r="K32" i="12"/>
  <c r="Q31" i="10"/>
  <c r="X32" i="12"/>
  <c r="L31" i="12"/>
  <c r="T32" i="12"/>
  <c r="P32" i="12"/>
  <c r="AH33" i="12"/>
  <c r="N32" i="12"/>
  <c r="Q32" i="10"/>
  <c r="AA33" i="12"/>
  <c r="M32" i="12"/>
  <c r="V33" i="12"/>
  <c r="AF32" i="12"/>
  <c r="Q23" i="10"/>
  <c r="Q41" i="10" s="1"/>
  <c r="AC32" i="12"/>
  <c r="AA32" i="12"/>
  <c r="Q27" i="10"/>
  <c r="Q28" i="10"/>
  <c r="G36" i="10"/>
  <c r="G39" i="10"/>
  <c r="AR3" i="10"/>
  <c r="BD3" i="10"/>
  <c r="AS3" i="10"/>
  <c r="BE3" i="10"/>
  <c r="AU3" i="10"/>
  <c r="BG3" i="10"/>
  <c r="AV3" i="10"/>
  <c r="BH3" i="10"/>
  <c r="AW3" i="10"/>
  <c r="BI3" i="10"/>
  <c r="AL3" i="10"/>
  <c r="AX3" i="10"/>
  <c r="BJ3" i="10"/>
  <c r="AM3" i="10"/>
  <c r="AY3" i="10"/>
  <c r="BK3" i="10"/>
  <c r="AN3" i="10"/>
  <c r="AO3" i="10"/>
  <c r="BA3" i="10"/>
  <c r="AP3" i="10"/>
  <c r="AQ3" i="10"/>
  <c r="AT3" i="10"/>
  <c r="AZ3" i="10"/>
  <c r="BB3" i="10"/>
  <c r="AK3" i="10"/>
  <c r="BC3" i="10"/>
  <c r="BF3" i="10"/>
  <c r="BL3" i="10"/>
  <c r="Q24" i="10"/>
  <c r="AI33" i="12"/>
  <c r="W33" i="12"/>
  <c r="J33" i="12"/>
  <c r="O32" i="12"/>
  <c r="AG31" i="12"/>
  <c r="U31" i="12"/>
  <c r="H31" i="12"/>
  <c r="H50" i="12" s="1"/>
  <c r="Q12" i="12"/>
  <c r="AG33" i="12"/>
  <c r="U33" i="12"/>
  <c r="H33" i="12"/>
  <c r="Y32" i="12"/>
  <c r="L32" i="12"/>
  <c r="AC31" i="12"/>
  <c r="P31" i="12"/>
  <c r="AF33" i="12"/>
  <c r="T33" i="12"/>
  <c r="AB31" i="12"/>
  <c r="O31" i="12"/>
  <c r="AE33" i="12"/>
  <c r="S33" i="12"/>
  <c r="AI32" i="12"/>
  <c r="W32" i="12"/>
  <c r="AA31" i="12"/>
  <c r="N31" i="12"/>
  <c r="AD33" i="12"/>
  <c r="R33" i="12"/>
  <c r="AH32" i="12"/>
  <c r="V32" i="12"/>
  <c r="I32" i="12"/>
  <c r="Z31" i="12"/>
  <c r="M31" i="12"/>
  <c r="Q11" i="12"/>
  <c r="AC33" i="12"/>
  <c r="P33" i="12"/>
  <c r="AG32" i="12"/>
  <c r="U32" i="12"/>
  <c r="AB33" i="12"/>
  <c r="O33" i="12"/>
  <c r="X31" i="12"/>
  <c r="K31" i="12"/>
  <c r="AE32" i="12"/>
  <c r="S32" i="12"/>
  <c r="AI31" i="12"/>
  <c r="W31" i="12"/>
  <c r="J31" i="12"/>
  <c r="Z33" i="12"/>
  <c r="AD32" i="12"/>
  <c r="R32" i="12"/>
  <c r="AH31" i="12"/>
  <c r="V31" i="12"/>
  <c r="I31" i="12"/>
  <c r="Q10" i="12"/>
  <c r="G20" i="12"/>
  <c r="G25" i="12" s="1"/>
  <c r="G17" i="12"/>
  <c r="G18" i="12"/>
  <c r="G23" i="12" s="1"/>
  <c r="D71" i="19" l="1"/>
  <c r="D49" i="19"/>
  <c r="E3" i="21" s="1"/>
  <c r="K35" i="19"/>
  <c r="L34" i="19"/>
  <c r="V87" i="33"/>
  <c r="K120" i="33"/>
  <c r="Y87" i="33"/>
  <c r="T99" i="33"/>
  <c r="X120" i="33"/>
  <c r="AG93" i="33"/>
  <c r="AH66" i="12" s="1"/>
  <c r="T93" i="33"/>
  <c r="U66" i="12" s="1"/>
  <c r="T106" i="33"/>
  <c r="U68" i="12" s="1"/>
  <c r="R87" i="33"/>
  <c r="AE93" i="33"/>
  <c r="AC120" i="33"/>
  <c r="AF93" i="33"/>
  <c r="AG66" i="12" s="1"/>
  <c r="AF113" i="33"/>
  <c r="L113" i="33"/>
  <c r="AH113" i="33"/>
  <c r="AG87" i="33"/>
  <c r="AF87" i="33"/>
  <c r="AC113" i="33"/>
  <c r="AD69" i="12" s="1"/>
  <c r="K113" i="33"/>
  <c r="L69" i="12" s="1"/>
  <c r="V93" i="33"/>
  <c r="W66" i="12" s="1"/>
  <c r="O87" i="33"/>
  <c r="Q93" i="33"/>
  <c r="AH93" i="33"/>
  <c r="J87" i="33"/>
  <c r="K65" i="12" s="1"/>
  <c r="AE87" i="33"/>
  <c r="M87" i="33"/>
  <c r="AC87" i="33"/>
  <c r="AB87" i="33"/>
  <c r="T113" i="33"/>
  <c r="H93" i="33"/>
  <c r="I66" i="12" s="1"/>
  <c r="M93" i="33"/>
  <c r="L87" i="33"/>
  <c r="M65" i="12" s="1"/>
  <c r="AH87" i="33"/>
  <c r="Q87" i="33"/>
  <c r="X87" i="33"/>
  <c r="X93" i="33"/>
  <c r="Y66" i="12" s="1"/>
  <c r="W87" i="33"/>
  <c r="D27" i="6"/>
  <c r="D12" i="6"/>
  <c r="D28" i="6"/>
  <c r="D29" i="6"/>
  <c r="D5" i="6"/>
  <c r="D9" i="6"/>
  <c r="J5" i="6"/>
  <c r="D11" i="6"/>
  <c r="J8" i="6"/>
  <c r="J6" i="6"/>
  <c r="D25" i="6"/>
  <c r="D30" i="6"/>
  <c r="D33" i="6"/>
  <c r="J10" i="6"/>
  <c r="D26" i="6"/>
  <c r="D6" i="6"/>
  <c r="D10" i="6"/>
  <c r="D7" i="6"/>
  <c r="D32" i="6"/>
  <c r="J9" i="6"/>
  <c r="D8" i="6"/>
  <c r="D31" i="6"/>
  <c r="J7" i="6"/>
  <c r="K87" i="33"/>
  <c r="E17" i="11"/>
  <c r="E16" i="11"/>
  <c r="K93" i="33"/>
  <c r="T87" i="33"/>
  <c r="AC93" i="33"/>
  <c r="AD66" i="12" s="1"/>
  <c r="I87" i="33"/>
  <c r="J65" i="12" s="1"/>
  <c r="S87" i="33"/>
  <c r="T65" i="12" s="1"/>
  <c r="AX4" i="10"/>
  <c r="BB4" i="10"/>
  <c r="AM4" i="10"/>
  <c r="BK4" i="10"/>
  <c r="AV4" i="10"/>
  <c r="AO4" i="10"/>
  <c r="BI4" i="10"/>
  <c r="BG4" i="10"/>
  <c r="AU4" i="10"/>
  <c r="AZ4" i="10"/>
  <c r="BF4" i="10"/>
  <c r="BC4" i="10"/>
  <c r="AY4" i="10"/>
  <c r="AW4" i="10"/>
  <c r="BE4" i="10"/>
  <c r="AT4" i="10"/>
  <c r="AQ4" i="10"/>
  <c r="AS4" i="10"/>
  <c r="AN4" i="10"/>
  <c r="BD4" i="10"/>
  <c r="BJ4" i="10"/>
  <c r="AR4" i="10"/>
  <c r="AP4" i="10"/>
  <c r="BL4" i="10"/>
  <c r="AL4" i="10"/>
  <c r="AK4" i="10"/>
  <c r="BH4" i="10"/>
  <c r="O93" i="33"/>
  <c r="H113" i="33"/>
  <c r="AB93" i="33"/>
  <c r="AC66" i="12" s="1"/>
  <c r="H87" i="33"/>
  <c r="I65" i="12" s="1"/>
  <c r="C176" i="33"/>
  <c r="C185" i="33" s="1"/>
  <c r="AA87" i="33"/>
  <c r="T142" i="33"/>
  <c r="U73" i="12" s="1"/>
  <c r="AA142" i="33"/>
  <c r="AB73" i="12" s="1"/>
  <c r="AB142" i="33"/>
  <c r="AC73" i="12" s="1"/>
  <c r="AC150" i="33"/>
  <c r="R150" i="33"/>
  <c r="O142" i="33"/>
  <c r="Z142" i="33"/>
  <c r="AA73" i="12" s="1"/>
  <c r="P142" i="33"/>
  <c r="AA150" i="33"/>
  <c r="AF150" i="33"/>
  <c r="AP393" i="27"/>
  <c r="G106" i="33"/>
  <c r="Y142" i="33"/>
  <c r="Z73" i="12" s="1"/>
  <c r="L142" i="33"/>
  <c r="V150" i="33"/>
  <c r="W74" i="12" s="1"/>
  <c r="G150" i="33"/>
  <c r="H74" i="12" s="1"/>
  <c r="T150" i="33"/>
  <c r="G81" i="33"/>
  <c r="H64" i="12" s="1"/>
  <c r="N142" i="33"/>
  <c r="U142" i="33"/>
  <c r="Q150" i="33"/>
  <c r="Z150" i="33"/>
  <c r="H150" i="33"/>
  <c r="I74" i="12" s="1"/>
  <c r="M142" i="33"/>
  <c r="AG142" i="33"/>
  <c r="AH73" i="12" s="1"/>
  <c r="P150" i="33"/>
  <c r="AB150" i="33"/>
  <c r="AC74" i="12" s="1"/>
  <c r="Y150" i="33"/>
  <c r="G120" i="33"/>
  <c r="J142" i="33"/>
  <c r="K73" i="12" s="1"/>
  <c r="S142" i="33"/>
  <c r="O150" i="33"/>
  <c r="P74" i="12" s="1"/>
  <c r="N150" i="33"/>
  <c r="M150" i="33"/>
  <c r="G113" i="33"/>
  <c r="H69" i="12" s="1"/>
  <c r="G75" i="33"/>
  <c r="G99" i="33"/>
  <c r="H67" i="12" s="1"/>
  <c r="AH142" i="33"/>
  <c r="AF142" i="33"/>
  <c r="AG73" i="12" s="1"/>
  <c r="L150" i="33"/>
  <c r="W150" i="33"/>
  <c r="X74" i="12" s="1"/>
  <c r="I142" i="33"/>
  <c r="J73" i="12" s="1"/>
  <c r="R142" i="33"/>
  <c r="K150" i="33"/>
  <c r="I150" i="33"/>
  <c r="D72" i="19"/>
  <c r="E23" i="21" s="1"/>
  <c r="AD142" i="33"/>
  <c r="AE142" i="33"/>
  <c r="AF73" i="12" s="1"/>
  <c r="AE150" i="33"/>
  <c r="U150" i="33"/>
  <c r="V74" i="12" s="1"/>
  <c r="G93" i="33"/>
  <c r="H66" i="12" s="1"/>
  <c r="D52" i="19"/>
  <c r="G127" i="33"/>
  <c r="H142" i="33"/>
  <c r="I73" i="12" s="1"/>
  <c r="Q142" i="33"/>
  <c r="R73" i="12" s="1"/>
  <c r="J150" i="33"/>
  <c r="K74" i="12" s="1"/>
  <c r="AH150" i="33"/>
  <c r="G87" i="33"/>
  <c r="X142" i="33"/>
  <c r="AC142" i="33"/>
  <c r="W142" i="33"/>
  <c r="X73" i="12" s="1"/>
  <c r="X150" i="33"/>
  <c r="Y74" i="12" s="1"/>
  <c r="S150" i="33"/>
  <c r="T74" i="12" s="1"/>
  <c r="V142" i="33"/>
  <c r="G142" i="33"/>
  <c r="K142" i="33"/>
  <c r="AD150" i="33"/>
  <c r="AE74" i="12" s="1"/>
  <c r="AG150" i="33"/>
  <c r="AH74" i="12" s="1"/>
  <c r="U58" i="12"/>
  <c r="AD63" i="12"/>
  <c r="T62" i="12"/>
  <c r="AD58" i="12"/>
  <c r="M58" i="12"/>
  <c r="I58" i="12"/>
  <c r="O59" i="12"/>
  <c r="V59" i="12"/>
  <c r="AI64" i="12"/>
  <c r="AA64" i="12"/>
  <c r="AE63" i="12"/>
  <c r="R63" i="12"/>
  <c r="AG77" i="12"/>
  <c r="AC77" i="12"/>
  <c r="Q68" i="12"/>
  <c r="X68" i="12"/>
  <c r="K62" i="12"/>
  <c r="AF62" i="12"/>
  <c r="AB67" i="12"/>
  <c r="Y67" i="12"/>
  <c r="K67" i="12"/>
  <c r="M71" i="12"/>
  <c r="AB71" i="12"/>
  <c r="P73" i="12"/>
  <c r="AD75" i="12"/>
  <c r="K75" i="12"/>
  <c r="Y61" i="12"/>
  <c r="AE61" i="12"/>
  <c r="Y70" i="12"/>
  <c r="W70" i="12"/>
  <c r="N72" i="12"/>
  <c r="AG72" i="12"/>
  <c r="V69" i="12"/>
  <c r="Y69" i="12"/>
  <c r="AA66" i="12"/>
  <c r="O66" i="12"/>
  <c r="U60" i="12"/>
  <c r="AA60" i="12"/>
  <c r="Z65" i="12"/>
  <c r="R65" i="12"/>
  <c r="O77" i="12"/>
  <c r="L62" i="12"/>
  <c r="S74" i="12"/>
  <c r="W69" i="12"/>
  <c r="W65" i="12"/>
  <c r="R58" i="12"/>
  <c r="M59" i="12"/>
  <c r="U59" i="12"/>
  <c r="S64" i="12"/>
  <c r="O64" i="12"/>
  <c r="O63" i="12"/>
  <c r="Z63" i="12"/>
  <c r="AB77" i="12"/>
  <c r="N77" i="12"/>
  <c r="Q77" i="12"/>
  <c r="J68" i="12"/>
  <c r="AI62" i="12"/>
  <c r="P62" i="12"/>
  <c r="AA67" i="12"/>
  <c r="J67" i="12"/>
  <c r="L71" i="12"/>
  <c r="N71" i="12"/>
  <c r="U74" i="12"/>
  <c r="AC75" i="12"/>
  <c r="X75" i="12"/>
  <c r="W61" i="12"/>
  <c r="O61" i="12"/>
  <c r="V70" i="12"/>
  <c r="AG70" i="12"/>
  <c r="M72" i="12"/>
  <c r="R72" i="12"/>
  <c r="S69" i="12"/>
  <c r="J69" i="12"/>
  <c r="X66" i="12"/>
  <c r="AE60" i="12"/>
  <c r="O60" i="12"/>
  <c r="Y65" i="12"/>
  <c r="L75" i="12"/>
  <c r="S72" i="12"/>
  <c r="AE58" i="12"/>
  <c r="X58" i="12"/>
  <c r="L59" i="12"/>
  <c r="AG59" i="12"/>
  <c r="AH64" i="12"/>
  <c r="W64" i="12"/>
  <c r="AH63" i="12"/>
  <c r="AC63" i="12"/>
  <c r="N63" i="12"/>
  <c r="W77" i="12"/>
  <c r="AH77" i="12"/>
  <c r="P68" i="12"/>
  <c r="W68" i="12"/>
  <c r="AH62" i="12"/>
  <c r="AG62" i="12"/>
  <c r="T67" i="12"/>
  <c r="X67" i="12"/>
  <c r="AH71" i="12"/>
  <c r="Y71" i="12"/>
  <c r="P75" i="12"/>
  <c r="J75" i="12"/>
  <c r="V61" i="12"/>
  <c r="AA61" i="12"/>
  <c r="T70" i="12"/>
  <c r="AE70" i="12"/>
  <c r="U70" i="12"/>
  <c r="L72" i="12"/>
  <c r="AE72" i="12"/>
  <c r="AH69" i="12"/>
  <c r="AI69" i="12"/>
  <c r="R66" i="12"/>
  <c r="J66" i="12"/>
  <c r="Z66" i="12"/>
  <c r="P60" i="12"/>
  <c r="AI60" i="12"/>
  <c r="AA65" i="12"/>
  <c r="N65" i="12"/>
  <c r="I64" i="12"/>
  <c r="T63" i="12"/>
  <c r="L77" i="12"/>
  <c r="W67" i="12"/>
  <c r="Y75" i="12"/>
  <c r="AB61" i="12"/>
  <c r="AC58" i="12"/>
  <c r="L58" i="12"/>
  <c r="AE59" i="12"/>
  <c r="Q59" i="12"/>
  <c r="AC64" i="12"/>
  <c r="R64" i="12"/>
  <c r="K64" i="12"/>
  <c r="AG63" i="12"/>
  <c r="M63" i="12"/>
  <c r="AI63" i="12"/>
  <c r="V77" i="12"/>
  <c r="T77" i="12"/>
  <c r="N68" i="12"/>
  <c r="I68" i="12"/>
  <c r="AD62" i="12"/>
  <c r="U62" i="12"/>
  <c r="S67" i="12"/>
  <c r="I67" i="12"/>
  <c r="X71" i="12"/>
  <c r="J71" i="12"/>
  <c r="N73" i="12"/>
  <c r="Z74" i="12"/>
  <c r="AB75" i="12"/>
  <c r="W75" i="12"/>
  <c r="Z61" i="12"/>
  <c r="K61" i="12"/>
  <c r="H70" i="12"/>
  <c r="Q70" i="12"/>
  <c r="I70" i="12"/>
  <c r="J72" i="12"/>
  <c r="Q72" i="12"/>
  <c r="T69" i="12"/>
  <c r="U69" i="12"/>
  <c r="Q66" i="12"/>
  <c r="N66" i="12"/>
  <c r="AD60" i="12"/>
  <c r="W60" i="12"/>
  <c r="P65" i="12"/>
  <c r="X65" i="12"/>
  <c r="Y58" i="12"/>
  <c r="X59" i="12"/>
  <c r="AD77" i="12"/>
  <c r="AC67" i="12"/>
  <c r="T71" i="12"/>
  <c r="P61" i="12"/>
  <c r="L70" i="12"/>
  <c r="AF65" i="12"/>
  <c r="Q58" i="12"/>
  <c r="AI58" i="12"/>
  <c r="AH59" i="12"/>
  <c r="AD59" i="12"/>
  <c r="AB64" i="12"/>
  <c r="AG64" i="12"/>
  <c r="AF64" i="12"/>
  <c r="AF63" i="12"/>
  <c r="AB63" i="12"/>
  <c r="W63" i="12"/>
  <c r="U77" i="12"/>
  <c r="AA77" i="12"/>
  <c r="AG68" i="12"/>
  <c r="AH68" i="12"/>
  <c r="AE62" i="12"/>
  <c r="I62" i="12"/>
  <c r="O67" i="12"/>
  <c r="V67" i="12"/>
  <c r="I71" i="12"/>
  <c r="AD71" i="12"/>
  <c r="T73" i="12"/>
  <c r="Z75" i="12"/>
  <c r="I75" i="12"/>
  <c r="J61" i="12"/>
  <c r="X61" i="12"/>
  <c r="S70" i="12"/>
  <c r="AD70" i="12"/>
  <c r="Z70" i="12"/>
  <c r="AH72" i="12"/>
  <c r="AD72" i="12"/>
  <c r="X69" i="12"/>
  <c r="M66" i="12"/>
  <c r="V66" i="12"/>
  <c r="AH60" i="12"/>
  <c r="N60" i="12"/>
  <c r="K60" i="12"/>
  <c r="O65" i="12"/>
  <c r="V65" i="12"/>
  <c r="L65" i="12"/>
  <c r="S58" i="12"/>
  <c r="S59" i="12"/>
  <c r="J64" i="12"/>
  <c r="K68" i="12"/>
  <c r="L67" i="12"/>
  <c r="O71" i="12"/>
  <c r="U72" i="12"/>
  <c r="K69" i="12"/>
  <c r="I60" i="12"/>
  <c r="V60" i="12"/>
  <c r="AB58" i="12"/>
  <c r="W58" i="12"/>
  <c r="AF59" i="12"/>
  <c r="R59" i="12"/>
  <c r="L64" i="12"/>
  <c r="Q64" i="12"/>
  <c r="T64" i="12"/>
  <c r="H63" i="12"/>
  <c r="L63" i="12"/>
  <c r="K63" i="12"/>
  <c r="I77" i="12"/>
  <c r="M77" i="12"/>
  <c r="R68" i="12"/>
  <c r="S68" i="12"/>
  <c r="O62" i="12"/>
  <c r="AC62" i="12"/>
  <c r="U67" i="12"/>
  <c r="AA71" i="12"/>
  <c r="AG71" i="12"/>
  <c r="R71" i="12"/>
  <c r="M74" i="12"/>
  <c r="H75" i="12"/>
  <c r="V75" i="12"/>
  <c r="AA75" i="12"/>
  <c r="U61" i="12"/>
  <c r="L61" i="12"/>
  <c r="R70" i="12"/>
  <c r="P70" i="12"/>
  <c r="N70" i="12"/>
  <c r="I72" i="12"/>
  <c r="P72" i="12"/>
  <c r="P69" i="12"/>
  <c r="O69" i="12"/>
  <c r="L66" i="12"/>
  <c r="AI66" i="12"/>
  <c r="AG60" i="12"/>
  <c r="AC60" i="12"/>
  <c r="AF60" i="12"/>
  <c r="AI65" i="12"/>
  <c r="AC65" i="12"/>
  <c r="AF70" i="12"/>
  <c r="K58" i="12"/>
  <c r="Z59" i="12"/>
  <c r="AE64" i="12"/>
  <c r="X63" i="12"/>
  <c r="AA63" i="12"/>
  <c r="AI68" i="12"/>
  <c r="AB68" i="12"/>
  <c r="AA68" i="12"/>
  <c r="AA62" i="12"/>
  <c r="Y62" i="12"/>
  <c r="Q62" i="12"/>
  <c r="N67" i="12"/>
  <c r="AF67" i="12"/>
  <c r="Z71" i="12"/>
  <c r="S71" i="12"/>
  <c r="AI71" i="12"/>
  <c r="S73" i="12"/>
  <c r="L74" i="12"/>
  <c r="AI75" i="12"/>
  <c r="U75" i="12"/>
  <c r="O75" i="12"/>
  <c r="C169" i="33"/>
  <c r="C130" i="33"/>
  <c r="AI61" i="12"/>
  <c r="AF61" i="12"/>
  <c r="K70" i="12"/>
  <c r="AC70" i="12"/>
  <c r="Z72" i="12"/>
  <c r="AB72" i="12"/>
  <c r="AA72" i="12"/>
  <c r="I69" i="12"/>
  <c r="AB69" i="12"/>
  <c r="AC69" i="12"/>
  <c r="AB66" i="12"/>
  <c r="T66" i="12"/>
  <c r="Y60" i="12"/>
  <c r="M60" i="12"/>
  <c r="T60" i="12"/>
  <c r="U65" i="12"/>
  <c r="Q65" i="12"/>
  <c r="Z77" i="12"/>
  <c r="AA58" i="12"/>
  <c r="AH58" i="12"/>
  <c r="H60" i="12"/>
  <c r="AA59" i="12"/>
  <c r="N59" i="12"/>
  <c r="V64" i="12"/>
  <c r="P64" i="12"/>
  <c r="V63" i="12"/>
  <c r="J63" i="12"/>
  <c r="R77" i="12"/>
  <c r="K77" i="12"/>
  <c r="AE68" i="12"/>
  <c r="M68" i="12"/>
  <c r="O68" i="12"/>
  <c r="S62" i="12"/>
  <c r="J62" i="12"/>
  <c r="Z62" i="12"/>
  <c r="M67" i="12"/>
  <c r="Q67" i="12"/>
  <c r="AF71" i="12"/>
  <c r="Q71" i="12"/>
  <c r="W71" i="12"/>
  <c r="AE73" i="12"/>
  <c r="N75" i="12"/>
  <c r="S75" i="12"/>
  <c r="AF75" i="12"/>
  <c r="M61" i="12"/>
  <c r="S61" i="12"/>
  <c r="T61" i="12"/>
  <c r="J70" i="12"/>
  <c r="O70" i="12"/>
  <c r="X72" i="12"/>
  <c r="AC72" i="12"/>
  <c r="O72" i="12"/>
  <c r="R69" i="12"/>
  <c r="N69" i="12"/>
  <c r="Q69" i="12"/>
  <c r="X60" i="12"/>
  <c r="AB60" i="12"/>
  <c r="AH65" i="12"/>
  <c r="O58" i="12"/>
  <c r="V58" i="12"/>
  <c r="H59" i="12"/>
  <c r="AC59" i="12"/>
  <c r="J59" i="12"/>
  <c r="AI59" i="12"/>
  <c r="U64" i="12"/>
  <c r="AD64" i="12"/>
  <c r="S63" i="12"/>
  <c r="Y63" i="12"/>
  <c r="P77" i="12"/>
  <c r="Y77" i="12"/>
  <c r="AD68" i="12"/>
  <c r="Z68" i="12"/>
  <c r="AF68" i="12"/>
  <c r="R62" i="12"/>
  <c r="X62" i="12"/>
  <c r="N62" i="12"/>
  <c r="AE67" i="12"/>
  <c r="AD67" i="12"/>
  <c r="H71" i="12"/>
  <c r="AE71" i="12"/>
  <c r="K71" i="12"/>
  <c r="AI74" i="12"/>
  <c r="AH75" i="12"/>
  <c r="Q75" i="12"/>
  <c r="T75" i="12"/>
  <c r="N61" i="12"/>
  <c r="AH61" i="12"/>
  <c r="AC61" i="12"/>
  <c r="AI70" i="12"/>
  <c r="AB70" i="12"/>
  <c r="W72" i="12"/>
  <c r="Y72" i="12"/>
  <c r="AF72" i="12"/>
  <c r="AG69" i="12"/>
  <c r="AA69" i="12"/>
  <c r="K66" i="12"/>
  <c r="S66" i="12"/>
  <c r="S60" i="12"/>
  <c r="L60" i="12"/>
  <c r="P58" i="12"/>
  <c r="S77" i="12"/>
  <c r="AF58" i="12"/>
  <c r="Z58" i="12"/>
  <c r="J58" i="12"/>
  <c r="H62" i="12"/>
  <c r="AB59" i="12"/>
  <c r="Y59" i="12"/>
  <c r="W59" i="12"/>
  <c r="M64" i="12"/>
  <c r="N64" i="12"/>
  <c r="Q63" i="12"/>
  <c r="I63" i="12"/>
  <c r="AF77" i="12"/>
  <c r="J77" i="12"/>
  <c r="AC68" i="12"/>
  <c r="L68" i="12"/>
  <c r="T68" i="12"/>
  <c r="M62" i="12"/>
  <c r="W62" i="12"/>
  <c r="AH67" i="12"/>
  <c r="P67" i="12"/>
  <c r="R67" i="12"/>
  <c r="V71" i="12"/>
  <c r="P71" i="12"/>
  <c r="Y73" i="12"/>
  <c r="AD73" i="12"/>
  <c r="M75" i="12"/>
  <c r="AG75" i="12"/>
  <c r="I61" i="12"/>
  <c r="R61" i="12"/>
  <c r="Q61" i="12"/>
  <c r="X70" i="12"/>
  <c r="M70" i="12"/>
  <c r="H72" i="12"/>
  <c r="K72" i="12"/>
  <c r="T72" i="12"/>
  <c r="AF69" i="12"/>
  <c r="M69" i="12"/>
  <c r="AF66" i="12"/>
  <c r="R60" i="12"/>
  <c r="Z60" i="12"/>
  <c r="AE65" i="12"/>
  <c r="AG65" i="12"/>
  <c r="P59" i="12"/>
  <c r="X64" i="12"/>
  <c r="T58" i="12"/>
  <c r="N58" i="12"/>
  <c r="AG58" i="12"/>
  <c r="H61" i="12"/>
  <c r="T59" i="12"/>
  <c r="I59" i="12"/>
  <c r="K59" i="12"/>
  <c r="Y64" i="12"/>
  <c r="Z64" i="12"/>
  <c r="P63" i="12"/>
  <c r="U63" i="12"/>
  <c r="AE77" i="12"/>
  <c r="AI77" i="12"/>
  <c r="X77" i="12"/>
  <c r="V68" i="12"/>
  <c r="Y68" i="12"/>
  <c r="AB62" i="12"/>
  <c r="V62" i="12"/>
  <c r="AG67" i="12"/>
  <c r="Z67" i="12"/>
  <c r="AI67" i="12"/>
  <c r="U71" i="12"/>
  <c r="AC71" i="12"/>
  <c r="H73" i="12"/>
  <c r="AE75" i="12"/>
  <c r="R75" i="12"/>
  <c r="AD61" i="12"/>
  <c r="AG61" i="12"/>
  <c r="AH70" i="12"/>
  <c r="AA70" i="12"/>
  <c r="V72" i="12"/>
  <c r="AI72" i="12"/>
  <c r="AE69" i="12"/>
  <c r="Z69" i="12"/>
  <c r="AE66" i="12"/>
  <c r="P66" i="12"/>
  <c r="Q60" i="12"/>
  <c r="J60" i="12"/>
  <c r="AD65" i="12"/>
  <c r="S65" i="12"/>
  <c r="C39" i="22"/>
  <c r="D34" i="21"/>
  <c r="G169" i="33"/>
  <c r="G174" i="33" s="1"/>
  <c r="J8" i="21"/>
  <c r="J21" i="21"/>
  <c r="J22" i="21"/>
  <c r="J19" i="21"/>
  <c r="J17" i="21"/>
  <c r="J13" i="21"/>
  <c r="AM13" i="21" s="1"/>
  <c r="J20" i="21"/>
  <c r="J29" i="21"/>
  <c r="AM29" i="21" s="1"/>
  <c r="F20" i="22" s="1"/>
  <c r="J15" i="21"/>
  <c r="J12" i="21"/>
  <c r="AM12" i="21" s="1"/>
  <c r="J18" i="21"/>
  <c r="AM6" i="21"/>
  <c r="J14" i="21"/>
  <c r="J23" i="21"/>
  <c r="J7" i="21"/>
  <c r="J16" i="21"/>
  <c r="K29" i="21"/>
  <c r="AN29" i="21" s="1"/>
  <c r="G20" i="22" s="1"/>
  <c r="K7" i="21"/>
  <c r="K21" i="21"/>
  <c r="K22" i="21"/>
  <c r="K23" i="21"/>
  <c r="K16" i="21"/>
  <c r="K17" i="21"/>
  <c r="K13" i="21"/>
  <c r="AN13" i="21" s="1"/>
  <c r="K19" i="21"/>
  <c r="K14" i="21"/>
  <c r="K20" i="21"/>
  <c r="K15" i="21"/>
  <c r="K12" i="21"/>
  <c r="AN12" i="21" s="1"/>
  <c r="K8" i="21"/>
  <c r="AN6" i="21"/>
  <c r="K18" i="21"/>
  <c r="D55" i="19"/>
  <c r="E9" i="21" s="1"/>
  <c r="D60" i="19"/>
  <c r="E14" i="21" s="1"/>
  <c r="W29" i="21"/>
  <c r="AZ29" i="21" s="1"/>
  <c r="S20" i="22" s="1"/>
  <c r="W20" i="21"/>
  <c r="W14" i="21"/>
  <c r="W13" i="21"/>
  <c r="AZ13" i="21" s="1"/>
  <c r="W7" i="21"/>
  <c r="W15" i="21"/>
  <c r="W22" i="21"/>
  <c r="W16" i="21"/>
  <c r="W8" i="21"/>
  <c r="W17" i="21"/>
  <c r="W12" i="21"/>
  <c r="AZ12" i="21" s="1"/>
  <c r="W19" i="21"/>
  <c r="AZ6" i="21"/>
  <c r="W23" i="21"/>
  <c r="W18" i="21"/>
  <c r="W21" i="21"/>
  <c r="AH29" i="21"/>
  <c r="BK29" i="21" s="1"/>
  <c r="AD20" i="22" s="1"/>
  <c r="AH22" i="21"/>
  <c r="AH19" i="21"/>
  <c r="AH20" i="21"/>
  <c r="AH16" i="21"/>
  <c r="AH8" i="21"/>
  <c r="AH7" i="21"/>
  <c r="AH14" i="21"/>
  <c r="AH13" i="21"/>
  <c r="BK13" i="21" s="1"/>
  <c r="AH12" i="21"/>
  <c r="BK12" i="21" s="1"/>
  <c r="AH18" i="21"/>
  <c r="BK6" i="21"/>
  <c r="AH23" i="21"/>
  <c r="AH21" i="21"/>
  <c r="AH15" i="21"/>
  <c r="AH17" i="21"/>
  <c r="AD13" i="21"/>
  <c r="BG13" i="21" s="1"/>
  <c r="AD22" i="21"/>
  <c r="AD21" i="21"/>
  <c r="BG6" i="21"/>
  <c r="AD17" i="21"/>
  <c r="AD16" i="21"/>
  <c r="AD15" i="21"/>
  <c r="AD20" i="21"/>
  <c r="AD19" i="21"/>
  <c r="AD18" i="21"/>
  <c r="AD12" i="21"/>
  <c r="BG12" i="21" s="1"/>
  <c r="AD8" i="21"/>
  <c r="AD29" i="21"/>
  <c r="BG29" i="21" s="1"/>
  <c r="Z20" i="22" s="1"/>
  <c r="AD7" i="21"/>
  <c r="AD14" i="21"/>
  <c r="AD23" i="21"/>
  <c r="D53" i="19"/>
  <c r="AK6" i="21"/>
  <c r="H18" i="21"/>
  <c r="H12" i="21"/>
  <c r="AK12" i="21" s="1"/>
  <c r="D20" i="22"/>
  <c r="H22" i="21"/>
  <c r="H14" i="21"/>
  <c r="H7" i="21"/>
  <c r="H13" i="21"/>
  <c r="AK13" i="21" s="1"/>
  <c r="H16" i="21"/>
  <c r="H21" i="21"/>
  <c r="H19" i="21"/>
  <c r="H15" i="21"/>
  <c r="H23" i="21"/>
  <c r="H20" i="21"/>
  <c r="H8" i="21"/>
  <c r="H17" i="21"/>
  <c r="AB29" i="21"/>
  <c r="BE29" i="21" s="1"/>
  <c r="X20" i="22" s="1"/>
  <c r="AB22" i="21"/>
  <c r="AB14" i="21"/>
  <c r="AB17" i="21"/>
  <c r="AB7" i="21"/>
  <c r="AB13" i="21"/>
  <c r="BE13" i="21" s="1"/>
  <c r="AB12" i="21"/>
  <c r="BE12" i="21" s="1"/>
  <c r="AB8" i="21"/>
  <c r="BE6" i="21"/>
  <c r="AB19" i="21"/>
  <c r="AB23" i="21"/>
  <c r="AB20" i="21"/>
  <c r="AB16" i="21"/>
  <c r="AB18" i="21"/>
  <c r="AB15" i="21"/>
  <c r="AB21" i="21"/>
  <c r="U29" i="21"/>
  <c r="AX29" i="21" s="1"/>
  <c r="Q20" i="22" s="1"/>
  <c r="AX6" i="21"/>
  <c r="U8" i="21"/>
  <c r="U21" i="21"/>
  <c r="U15" i="21"/>
  <c r="U13" i="21"/>
  <c r="AX13" i="21" s="1"/>
  <c r="U22" i="21"/>
  <c r="U17" i="21"/>
  <c r="U16" i="21"/>
  <c r="U7" i="21"/>
  <c r="U20" i="21"/>
  <c r="U18" i="21"/>
  <c r="U14" i="21"/>
  <c r="U19" i="21"/>
  <c r="U12" i="21"/>
  <c r="AX12" i="21" s="1"/>
  <c r="U23" i="21"/>
  <c r="AP392" i="26"/>
  <c r="D15" i="33"/>
  <c r="D14" i="33"/>
  <c r="D12" i="33"/>
  <c r="D13" i="33"/>
  <c r="AT390" i="26"/>
  <c r="AP393" i="26"/>
  <c r="AP394" i="26"/>
  <c r="BI391" i="26"/>
  <c r="AX391" i="26"/>
  <c r="BJ391" i="26"/>
  <c r="BC391" i="26"/>
  <c r="BB391" i="26"/>
  <c r="AW391" i="26"/>
  <c r="BM391" i="26"/>
  <c r="BG391" i="26"/>
  <c r="H39" i="29"/>
  <c r="AK39" i="29" s="1"/>
  <c r="L70" i="29" s="1"/>
  <c r="AT391" i="26"/>
  <c r="BA391" i="26"/>
  <c r="BD391" i="26"/>
  <c r="BF391" i="26"/>
  <c r="AV391" i="26"/>
  <c r="BL391" i="26"/>
  <c r="BE391" i="26"/>
  <c r="BK391" i="26"/>
  <c r="AZ391" i="26"/>
  <c r="AY391" i="26"/>
  <c r="BH391" i="26"/>
  <c r="AU391" i="26"/>
  <c r="Y15" i="21"/>
  <c r="Y23" i="21"/>
  <c r="Y19" i="21"/>
  <c r="Y8" i="21"/>
  <c r="Y16" i="21"/>
  <c r="Y22" i="21"/>
  <c r="Y20" i="21"/>
  <c r="Y14" i="21"/>
  <c r="Y12" i="21"/>
  <c r="BB12" i="21" s="1"/>
  <c r="Y21" i="21"/>
  <c r="BB6" i="21"/>
  <c r="Y13" i="21"/>
  <c r="BB13" i="21" s="1"/>
  <c r="Y18" i="21"/>
  <c r="Y17" i="21"/>
  <c r="Y7" i="21"/>
  <c r="Y29" i="21"/>
  <c r="BB29" i="21" s="1"/>
  <c r="U20" i="22" s="1"/>
  <c r="AA16" i="21"/>
  <c r="AA19" i="21"/>
  <c r="BD6" i="21"/>
  <c r="AA22" i="21"/>
  <c r="AA13" i="21"/>
  <c r="BD13" i="21" s="1"/>
  <c r="AA23" i="21"/>
  <c r="AA21" i="21"/>
  <c r="AA14" i="21"/>
  <c r="AA15" i="21"/>
  <c r="AA12" i="21"/>
  <c r="BD12" i="21" s="1"/>
  <c r="AA29" i="21"/>
  <c r="BD29" i="21" s="1"/>
  <c r="W20" i="22" s="1"/>
  <c r="AA7" i="21"/>
  <c r="AA18" i="21"/>
  <c r="AA20" i="21"/>
  <c r="AA17" i="21"/>
  <c r="AA8" i="21"/>
  <c r="Z29" i="21"/>
  <c r="BC29" i="21" s="1"/>
  <c r="V20" i="22" s="1"/>
  <c r="Z12" i="21"/>
  <c r="BC12" i="21" s="1"/>
  <c r="Z16" i="21"/>
  <c r="BC6" i="21"/>
  <c r="Z8" i="21"/>
  <c r="Z23" i="21"/>
  <c r="Z17" i="21"/>
  <c r="Z22" i="21"/>
  <c r="Z19" i="21"/>
  <c r="Z21" i="21"/>
  <c r="Z13" i="21"/>
  <c r="BC13" i="21" s="1"/>
  <c r="Z14" i="21"/>
  <c r="Z7" i="21"/>
  <c r="Z18" i="21"/>
  <c r="Z20" i="21"/>
  <c r="Z15" i="21"/>
  <c r="AP394" i="24"/>
  <c r="AP393" i="24"/>
  <c r="AP392" i="24"/>
  <c r="AT391" i="24"/>
  <c r="AT390" i="24"/>
  <c r="D6" i="33"/>
  <c r="D5" i="33"/>
  <c r="BJ391" i="24"/>
  <c r="H33" i="29"/>
  <c r="AK33" i="29" s="1"/>
  <c r="BC391" i="24"/>
  <c r="BD391" i="24"/>
  <c r="AX391" i="24"/>
  <c r="BM391" i="24"/>
  <c r="AZ391" i="24"/>
  <c r="BA391" i="24"/>
  <c r="BB391" i="24"/>
  <c r="BI391" i="24"/>
  <c r="BK391" i="24"/>
  <c r="BF391" i="24"/>
  <c r="BG391" i="24"/>
  <c r="BH391" i="24"/>
  <c r="AY391" i="24"/>
  <c r="BL391" i="24"/>
  <c r="AV391" i="24"/>
  <c r="BE391" i="24"/>
  <c r="AW391" i="24"/>
  <c r="R19" i="21"/>
  <c r="R20" i="21"/>
  <c r="R14" i="21"/>
  <c r="R22" i="21"/>
  <c r="AU6" i="21"/>
  <c r="R13" i="21"/>
  <c r="AU13" i="21" s="1"/>
  <c r="R16" i="21"/>
  <c r="R7" i="21"/>
  <c r="R17" i="21"/>
  <c r="R23" i="21"/>
  <c r="R15" i="21"/>
  <c r="R21" i="21"/>
  <c r="R8" i="21"/>
  <c r="R18" i="21"/>
  <c r="R12" i="21"/>
  <c r="AU12" i="21" s="1"/>
  <c r="R29" i="21"/>
  <c r="AU29" i="21" s="1"/>
  <c r="N20" i="22" s="1"/>
  <c r="T48" i="22" s="1"/>
  <c r="M7" i="21"/>
  <c r="M8" i="21"/>
  <c r="M13" i="21"/>
  <c r="AP13" i="21" s="1"/>
  <c r="M21" i="21"/>
  <c r="M18" i="21"/>
  <c r="AP6" i="21"/>
  <c r="M19" i="21"/>
  <c r="M22" i="21"/>
  <c r="M17" i="21"/>
  <c r="M15" i="21"/>
  <c r="M23" i="21"/>
  <c r="M20" i="21"/>
  <c r="M14" i="21"/>
  <c r="M12" i="21"/>
  <c r="AP12" i="21" s="1"/>
  <c r="M16" i="21"/>
  <c r="M29" i="21"/>
  <c r="AP29" i="21" s="1"/>
  <c r="I20" i="22" s="1"/>
  <c r="D19" i="33"/>
  <c r="D18" i="33"/>
  <c r="D21" i="33"/>
  <c r="D17" i="33"/>
  <c r="D20" i="33"/>
  <c r="AP392" i="27"/>
  <c r="AP394" i="27"/>
  <c r="H42" i="29"/>
  <c r="AK42" i="29" s="1"/>
  <c r="AT391" i="27"/>
  <c r="AV391" i="27"/>
  <c r="BL391" i="27"/>
  <c r="BE391" i="27"/>
  <c r="BG391" i="27"/>
  <c r="BB391" i="27"/>
  <c r="BM391" i="27"/>
  <c r="BF391" i="27"/>
  <c r="BD391" i="27"/>
  <c r="AT390" i="27"/>
  <c r="BI391" i="27"/>
  <c r="BA391" i="27"/>
  <c r="AX391" i="27"/>
  <c r="AW391" i="27"/>
  <c r="BK391" i="27"/>
  <c r="BJ391" i="27"/>
  <c r="AZ391" i="27"/>
  <c r="AY391" i="27"/>
  <c r="BH391" i="27"/>
  <c r="BC391" i="27"/>
  <c r="AC8" i="21"/>
  <c r="AC18" i="21"/>
  <c r="AC20" i="21"/>
  <c r="AC7" i="21"/>
  <c r="AC16" i="21"/>
  <c r="AC12" i="21"/>
  <c r="BF12" i="21" s="1"/>
  <c r="BF6" i="21"/>
  <c r="AC29" i="21"/>
  <c r="BF29" i="21" s="1"/>
  <c r="Y20" i="22" s="1"/>
  <c r="AC13" i="21"/>
  <c r="BF13" i="21" s="1"/>
  <c r="AC23" i="21"/>
  <c r="AC15" i="21"/>
  <c r="AC17" i="21"/>
  <c r="AC19" i="21"/>
  <c r="AC21" i="21"/>
  <c r="AC22" i="21"/>
  <c r="AC14" i="21"/>
  <c r="O19" i="21"/>
  <c r="O13" i="21"/>
  <c r="AR13" i="21" s="1"/>
  <c r="O8" i="21"/>
  <c r="O12" i="21"/>
  <c r="AR12" i="21" s="1"/>
  <c r="O20" i="21"/>
  <c r="O21" i="21"/>
  <c r="AR6" i="21"/>
  <c r="O22" i="21"/>
  <c r="O14" i="21"/>
  <c r="O16" i="21"/>
  <c r="O17" i="21"/>
  <c r="O7" i="21"/>
  <c r="O18" i="21"/>
  <c r="O29" i="21"/>
  <c r="AR29" i="21" s="1"/>
  <c r="K20" i="22" s="1"/>
  <c r="O15" i="21"/>
  <c r="O23" i="21"/>
  <c r="AF18" i="21"/>
  <c r="AF13" i="21"/>
  <c r="BI13" i="21" s="1"/>
  <c r="AF8" i="21"/>
  <c r="AF20" i="21"/>
  <c r="AF16" i="21"/>
  <c r="AF29" i="21"/>
  <c r="BI29" i="21" s="1"/>
  <c r="AB20" i="22" s="1"/>
  <c r="AF19" i="21"/>
  <c r="BI6" i="21"/>
  <c r="AF17" i="21"/>
  <c r="AF15" i="21"/>
  <c r="AF14" i="21"/>
  <c r="AF23" i="21"/>
  <c r="AF21" i="21"/>
  <c r="AF22" i="21"/>
  <c r="AF7" i="21"/>
  <c r="AF12" i="21"/>
  <c r="BI12" i="21" s="1"/>
  <c r="P13" i="21"/>
  <c r="AS13" i="21" s="1"/>
  <c r="P14" i="21"/>
  <c r="P29" i="21"/>
  <c r="AS29" i="21" s="1"/>
  <c r="L20" i="22" s="1"/>
  <c r="P16" i="21"/>
  <c r="P20" i="21"/>
  <c r="AS6" i="21"/>
  <c r="P7" i="21"/>
  <c r="P12" i="21"/>
  <c r="AS12" i="21" s="1"/>
  <c r="P17" i="21"/>
  <c r="P19" i="21"/>
  <c r="P15" i="21"/>
  <c r="P18" i="21"/>
  <c r="P23" i="21"/>
  <c r="P21" i="21"/>
  <c r="P8" i="21"/>
  <c r="P22" i="21"/>
  <c r="T13" i="21"/>
  <c r="AW13" i="21" s="1"/>
  <c r="T23" i="21"/>
  <c r="AW6" i="21"/>
  <c r="T22" i="21"/>
  <c r="T19" i="21"/>
  <c r="T17" i="21"/>
  <c r="T14" i="21"/>
  <c r="T16" i="21"/>
  <c r="T12" i="21"/>
  <c r="AW12" i="21" s="1"/>
  <c r="T20" i="21"/>
  <c r="T8" i="21"/>
  <c r="T15" i="21"/>
  <c r="T21" i="21"/>
  <c r="T29" i="21"/>
  <c r="AW29" i="21" s="1"/>
  <c r="P20" i="22" s="1"/>
  <c r="T18" i="21"/>
  <c r="T7" i="21"/>
  <c r="AI15" i="21"/>
  <c r="AI22" i="21"/>
  <c r="AI12" i="21"/>
  <c r="BL12" i="21" s="1"/>
  <c r="AI23" i="21"/>
  <c r="BL6" i="21"/>
  <c r="AI20" i="21"/>
  <c r="AI21" i="21"/>
  <c r="AI13" i="21"/>
  <c r="BL13" i="21" s="1"/>
  <c r="AI18" i="21"/>
  <c r="AI19" i="21"/>
  <c r="AI14" i="21"/>
  <c r="AI7" i="21"/>
  <c r="AI17" i="21"/>
  <c r="AI16" i="21"/>
  <c r="AI8" i="21"/>
  <c r="AI29" i="21"/>
  <c r="BL29" i="21" s="1"/>
  <c r="AE20" i="22" s="1"/>
  <c r="AP392" i="28"/>
  <c r="D25" i="33"/>
  <c r="D28" i="33"/>
  <c r="D26" i="33"/>
  <c r="D23" i="33"/>
  <c r="D24" i="33"/>
  <c r="D27" i="33"/>
  <c r="AP393" i="28"/>
  <c r="AP394" i="28"/>
  <c r="AT391" i="28"/>
  <c r="BG391" i="28"/>
  <c r="BE391" i="28"/>
  <c r="BF391" i="28"/>
  <c r="BA391" i="28"/>
  <c r="AX391" i="28"/>
  <c r="BD391" i="28"/>
  <c r="AV391" i="28"/>
  <c r="H45" i="29"/>
  <c r="AK45" i="29" s="1"/>
  <c r="AY391" i="28"/>
  <c r="BL391" i="28"/>
  <c r="BC391" i="28"/>
  <c r="BM391" i="28"/>
  <c r="BJ391" i="28"/>
  <c r="AZ391" i="28"/>
  <c r="BH391" i="28"/>
  <c r="BB391" i="28"/>
  <c r="AT390" i="28"/>
  <c r="BK391" i="28"/>
  <c r="BI391" i="28"/>
  <c r="AW391" i="28"/>
  <c r="I23" i="21"/>
  <c r="I18" i="21"/>
  <c r="I13" i="21"/>
  <c r="I7" i="21"/>
  <c r="I29" i="21"/>
  <c r="AL29" i="21" s="1"/>
  <c r="E20" i="22" s="1"/>
  <c r="I8" i="21"/>
  <c r="I15" i="21"/>
  <c r="I14" i="21"/>
  <c r="I20" i="21"/>
  <c r="I17" i="21"/>
  <c r="I16" i="21"/>
  <c r="I12" i="21"/>
  <c r="I22" i="21"/>
  <c r="AL6" i="21"/>
  <c r="I19" i="21"/>
  <c r="Q6" i="21"/>
  <c r="I21" i="21"/>
  <c r="N29" i="21"/>
  <c r="AQ29" i="21" s="1"/>
  <c r="J20" i="22" s="1"/>
  <c r="N19" i="21"/>
  <c r="N14" i="21"/>
  <c r="N7" i="21"/>
  <c r="N8" i="21"/>
  <c r="N20" i="21"/>
  <c r="N21" i="21"/>
  <c r="N17" i="21"/>
  <c r="N22" i="21"/>
  <c r="N16" i="21"/>
  <c r="N23" i="21"/>
  <c r="AQ6" i="21"/>
  <c r="N18" i="21"/>
  <c r="N13" i="21"/>
  <c r="AQ13" i="21" s="1"/>
  <c r="N12" i="21"/>
  <c r="AQ12" i="21" s="1"/>
  <c r="N15" i="21"/>
  <c r="D10" i="33"/>
  <c r="D9" i="33"/>
  <c r="D8" i="33"/>
  <c r="AP393" i="25"/>
  <c r="AP392" i="25"/>
  <c r="AP394" i="25"/>
  <c r="H36" i="29"/>
  <c r="AK36" i="29" s="1"/>
  <c r="BI391" i="25"/>
  <c r="BF391" i="25"/>
  <c r="AV391" i="25"/>
  <c r="BL391" i="25"/>
  <c r="BK391" i="25"/>
  <c r="BM391" i="25"/>
  <c r="BA391" i="25"/>
  <c r="AT391" i="25"/>
  <c r="AT390" i="25"/>
  <c r="AW391" i="25"/>
  <c r="BH391" i="25"/>
  <c r="AX391" i="25"/>
  <c r="AZ391" i="25"/>
  <c r="BD391" i="25"/>
  <c r="BG391" i="25"/>
  <c r="BB391" i="25"/>
  <c r="AY391" i="25"/>
  <c r="BJ391" i="25"/>
  <c r="BE391" i="25"/>
  <c r="AU391" i="25"/>
  <c r="BA6" i="21"/>
  <c r="X13" i="21"/>
  <c r="BA13" i="21" s="1"/>
  <c r="X22" i="21"/>
  <c r="X7" i="21"/>
  <c r="X18" i="21"/>
  <c r="X14" i="21"/>
  <c r="X20" i="21"/>
  <c r="X21" i="21"/>
  <c r="X29" i="21"/>
  <c r="BA29" i="21" s="1"/>
  <c r="T20" i="22" s="1"/>
  <c r="X8" i="21"/>
  <c r="X23" i="21"/>
  <c r="X15" i="21"/>
  <c r="X16" i="21"/>
  <c r="X12" i="21"/>
  <c r="BA12" i="21" s="1"/>
  <c r="X19" i="21"/>
  <c r="X17" i="21"/>
  <c r="AE29" i="21"/>
  <c r="BH29" i="21" s="1"/>
  <c r="AA20" i="22" s="1"/>
  <c r="AE23" i="21"/>
  <c r="AE15" i="21"/>
  <c r="AE13" i="21"/>
  <c r="BH13" i="21" s="1"/>
  <c r="AE17" i="21"/>
  <c r="AE20" i="21"/>
  <c r="AE14" i="21"/>
  <c r="AE21" i="21"/>
  <c r="AE7" i="21"/>
  <c r="AE22" i="21"/>
  <c r="AE19" i="21"/>
  <c r="AE12" i="21"/>
  <c r="BH12" i="21" s="1"/>
  <c r="AE16" i="21"/>
  <c r="BH6" i="21"/>
  <c r="AE8" i="21"/>
  <c r="AE18" i="21"/>
  <c r="S29" i="21"/>
  <c r="AV29" i="21" s="1"/>
  <c r="O20" i="22" s="1"/>
  <c r="S21" i="21"/>
  <c r="S14" i="21"/>
  <c r="S7" i="21"/>
  <c r="S22" i="21"/>
  <c r="S17" i="21"/>
  <c r="S12" i="21"/>
  <c r="AV12" i="21" s="1"/>
  <c r="S15" i="21"/>
  <c r="S13" i="21"/>
  <c r="AV13" i="21" s="1"/>
  <c r="AV6" i="21"/>
  <c r="S20" i="21"/>
  <c r="S16" i="21"/>
  <c r="S8" i="21"/>
  <c r="S19" i="21"/>
  <c r="S23" i="21"/>
  <c r="S18" i="21"/>
  <c r="L12" i="21"/>
  <c r="AO12" i="21" s="1"/>
  <c r="L18" i="21"/>
  <c r="L20" i="21"/>
  <c r="AO6" i="21"/>
  <c r="L19" i="21"/>
  <c r="L15" i="21"/>
  <c r="L22" i="21"/>
  <c r="L8" i="21"/>
  <c r="L21" i="21"/>
  <c r="L7" i="21"/>
  <c r="L23" i="21"/>
  <c r="L13" i="21"/>
  <c r="AO13" i="21" s="1"/>
  <c r="L14" i="21"/>
  <c r="L29" i="21"/>
  <c r="AO29" i="21" s="1"/>
  <c r="H20" i="22" s="1"/>
  <c r="L16" i="21"/>
  <c r="L17" i="21"/>
  <c r="AG29" i="21"/>
  <c r="BJ29" i="21" s="1"/>
  <c r="AC20" i="22" s="1"/>
  <c r="AG12" i="21"/>
  <c r="BJ12" i="21" s="1"/>
  <c r="AG23" i="21"/>
  <c r="BJ6" i="21"/>
  <c r="AG7" i="21"/>
  <c r="AG8" i="21"/>
  <c r="AG13" i="21"/>
  <c r="BJ13" i="21" s="1"/>
  <c r="AG17" i="21"/>
  <c r="AG19" i="21"/>
  <c r="AG21" i="21"/>
  <c r="AG15" i="21"/>
  <c r="AG20" i="21"/>
  <c r="AG16" i="21"/>
  <c r="AG14" i="21"/>
  <c r="AG22" i="21"/>
  <c r="AG18" i="21"/>
  <c r="V20" i="21"/>
  <c r="V13" i="21"/>
  <c r="AY13" i="21" s="1"/>
  <c r="V19" i="21"/>
  <c r="V29" i="21"/>
  <c r="AY29" i="21" s="1"/>
  <c r="R20" i="22" s="1"/>
  <c r="V12" i="21"/>
  <c r="AY12" i="21" s="1"/>
  <c r="V18" i="21"/>
  <c r="AY6" i="21"/>
  <c r="V14" i="21"/>
  <c r="V23" i="21"/>
  <c r="V21" i="21"/>
  <c r="V15" i="21"/>
  <c r="V7" i="21"/>
  <c r="V22" i="21"/>
  <c r="V17" i="21"/>
  <c r="V16" i="21"/>
  <c r="V8" i="21"/>
  <c r="H189" i="33"/>
  <c r="H198" i="33"/>
  <c r="H207" i="33" s="1"/>
  <c r="H216" i="33" s="1"/>
  <c r="AC195" i="33"/>
  <c r="AC204" i="33" s="1"/>
  <c r="AC214" i="33" s="1"/>
  <c r="AC230" i="33" s="1"/>
  <c r="AC236" i="33" s="1"/>
  <c r="AC244" i="33" s="1"/>
  <c r="AC252" i="33" s="1"/>
  <c r="AC282" i="33" s="1"/>
  <c r="AC186" i="33"/>
  <c r="AA199" i="33"/>
  <c r="AA208" i="33" s="1"/>
  <c r="AA217" i="33" s="1"/>
  <c r="AA255" i="33" s="1"/>
  <c r="AA268" i="33" s="1"/>
  <c r="AA190" i="33"/>
  <c r="W190" i="33"/>
  <c r="W199" i="33"/>
  <c r="W208" i="33" s="1"/>
  <c r="W217" i="33" s="1"/>
  <c r="W255" i="33" s="1"/>
  <c r="W268" i="33" s="1"/>
  <c r="AB176" i="33"/>
  <c r="AB183" i="33" s="1"/>
  <c r="AB160" i="33"/>
  <c r="I186" i="33"/>
  <c r="I195" i="33"/>
  <c r="I204" i="33" s="1"/>
  <c r="I214" i="33" s="1"/>
  <c r="I230" i="33" s="1"/>
  <c r="I236" i="33" s="1"/>
  <c r="I244" i="33" s="1"/>
  <c r="I252" i="33" s="1"/>
  <c r="I282" i="33" s="1"/>
  <c r="H176" i="33"/>
  <c r="H183" i="33" s="1"/>
  <c r="H160" i="33"/>
  <c r="Y190" i="33"/>
  <c r="Y199" i="33"/>
  <c r="Y208" i="33" s="1"/>
  <c r="Y217" i="33" s="1"/>
  <c r="Y255" i="33" s="1"/>
  <c r="Y268" i="33" s="1"/>
  <c r="Y189" i="33"/>
  <c r="Y198" i="33"/>
  <c r="Y207" i="33" s="1"/>
  <c r="Y216" i="33" s="1"/>
  <c r="Z186" i="33"/>
  <c r="Z195" i="33"/>
  <c r="Z204" i="33" s="1"/>
  <c r="Z214" i="33" s="1"/>
  <c r="Z230" i="33" s="1"/>
  <c r="Z236" i="33" s="1"/>
  <c r="Z244" i="33" s="1"/>
  <c r="Z252" i="33" s="1"/>
  <c r="Z282" i="33" s="1"/>
  <c r="Q190" i="33"/>
  <c r="Q199" i="33"/>
  <c r="Q208" i="33" s="1"/>
  <c r="Q217" i="33" s="1"/>
  <c r="Q255" i="33" s="1"/>
  <c r="Q268" i="33" s="1"/>
  <c r="AH186" i="33"/>
  <c r="AH195" i="33"/>
  <c r="AH204" i="33" s="1"/>
  <c r="AH214" i="33" s="1"/>
  <c r="AH230" i="33" s="1"/>
  <c r="AH236" i="33" s="1"/>
  <c r="AH244" i="33" s="1"/>
  <c r="AH252" i="33" s="1"/>
  <c r="AH282" i="33" s="1"/>
  <c r="AA189" i="33"/>
  <c r="AA198" i="33"/>
  <c r="AA207" i="33" s="1"/>
  <c r="AA216" i="33" s="1"/>
  <c r="R199" i="33"/>
  <c r="R208" i="33" s="1"/>
  <c r="R217" i="33" s="1"/>
  <c r="R255" i="33" s="1"/>
  <c r="R268" i="33" s="1"/>
  <c r="R190" i="33"/>
  <c r="R160" i="33"/>
  <c r="R176" i="33"/>
  <c r="R183" i="33" s="1"/>
  <c r="O189" i="33"/>
  <c r="O198" i="33"/>
  <c r="O207" i="33" s="1"/>
  <c r="O216" i="33" s="1"/>
  <c r="AH190" i="33"/>
  <c r="AH199" i="33"/>
  <c r="AH208" i="33" s="1"/>
  <c r="AH217" i="33" s="1"/>
  <c r="AH255" i="33" s="1"/>
  <c r="AH268" i="33" s="1"/>
  <c r="I160" i="33"/>
  <c r="I176" i="33"/>
  <c r="I183" i="33" s="1"/>
  <c r="AG186" i="33"/>
  <c r="AG195" i="33"/>
  <c r="AG204" i="33" s="1"/>
  <c r="AG214" i="33" s="1"/>
  <c r="AG230" i="33" s="1"/>
  <c r="AG236" i="33" s="1"/>
  <c r="AG244" i="33" s="1"/>
  <c r="AG252" i="33" s="1"/>
  <c r="AG282" i="33" s="1"/>
  <c r="L190" i="33"/>
  <c r="L199" i="33"/>
  <c r="L208" i="33" s="1"/>
  <c r="L217" i="33" s="1"/>
  <c r="L255" i="33" s="1"/>
  <c r="L268" i="33" s="1"/>
  <c r="AB198" i="33"/>
  <c r="AB207" i="33" s="1"/>
  <c r="AB216" i="33" s="1"/>
  <c r="AB189" i="33"/>
  <c r="AB195" i="33"/>
  <c r="AB204" i="33" s="1"/>
  <c r="AB214" i="33" s="1"/>
  <c r="AB230" i="33" s="1"/>
  <c r="AB236" i="33" s="1"/>
  <c r="AB244" i="33" s="1"/>
  <c r="AB252" i="33" s="1"/>
  <c r="AB282" i="33" s="1"/>
  <c r="AB186" i="33"/>
  <c r="R186" i="33"/>
  <c r="R195" i="33"/>
  <c r="R204" i="33" s="1"/>
  <c r="R214" i="33" s="1"/>
  <c r="R230" i="33" s="1"/>
  <c r="R236" i="33" s="1"/>
  <c r="R244" i="33" s="1"/>
  <c r="R252" i="33" s="1"/>
  <c r="R282" i="33" s="1"/>
  <c r="S199" i="33"/>
  <c r="S208" i="33" s="1"/>
  <c r="S217" i="33" s="1"/>
  <c r="S255" i="33" s="1"/>
  <c r="S268" i="33" s="1"/>
  <c r="S190" i="33"/>
  <c r="J190" i="33"/>
  <c r="J199" i="33"/>
  <c r="J208" i="33" s="1"/>
  <c r="J217" i="33" s="1"/>
  <c r="J255" i="33" s="1"/>
  <c r="J268" i="33" s="1"/>
  <c r="J186" i="33"/>
  <c r="J195" i="33"/>
  <c r="J204" i="33" s="1"/>
  <c r="J214" i="33" s="1"/>
  <c r="J230" i="33" s="1"/>
  <c r="J236" i="33" s="1"/>
  <c r="J244" i="33" s="1"/>
  <c r="J252" i="33" s="1"/>
  <c r="J282" i="33" s="1"/>
  <c r="AF176" i="33"/>
  <c r="AF183" i="33" s="1"/>
  <c r="AF160" i="33"/>
  <c r="M195" i="33"/>
  <c r="M204" i="33" s="1"/>
  <c r="M214" i="33" s="1"/>
  <c r="M230" i="33" s="1"/>
  <c r="M236" i="33" s="1"/>
  <c r="M244" i="33" s="1"/>
  <c r="M252" i="33" s="1"/>
  <c r="M282" i="33" s="1"/>
  <c r="M186" i="33"/>
  <c r="Y195" i="33"/>
  <c r="Y204" i="33" s="1"/>
  <c r="Y214" i="33" s="1"/>
  <c r="Y230" i="33" s="1"/>
  <c r="Y236" i="33" s="1"/>
  <c r="Y244" i="33" s="1"/>
  <c r="Y252" i="33" s="1"/>
  <c r="Y282" i="33" s="1"/>
  <c r="Y186" i="33"/>
  <c r="AD186" i="33"/>
  <c r="AD195" i="33"/>
  <c r="AD204" i="33" s="1"/>
  <c r="AD214" i="33" s="1"/>
  <c r="AD230" i="33" s="1"/>
  <c r="AD236" i="33" s="1"/>
  <c r="AD244" i="33" s="1"/>
  <c r="AD252" i="33" s="1"/>
  <c r="AD282" i="33" s="1"/>
  <c r="C231" i="33"/>
  <c r="C237" i="33" s="1"/>
  <c r="C245" i="33" s="1"/>
  <c r="C225" i="33"/>
  <c r="AG189" i="33"/>
  <c r="AG198" i="33"/>
  <c r="AG207" i="33" s="1"/>
  <c r="AG216" i="33" s="1"/>
  <c r="V189" i="33"/>
  <c r="V198" i="33"/>
  <c r="V207" i="33" s="1"/>
  <c r="V216" i="33" s="1"/>
  <c r="G190" i="33"/>
  <c r="G199" i="33"/>
  <c r="G208" i="33" s="1"/>
  <c r="G217" i="33" s="1"/>
  <c r="G255" i="33" s="1"/>
  <c r="G268" i="33" s="1"/>
  <c r="H190" i="33"/>
  <c r="H199" i="33"/>
  <c r="H208" i="33" s="1"/>
  <c r="H217" i="33" s="1"/>
  <c r="H255" i="33" s="1"/>
  <c r="H268" i="33" s="1"/>
  <c r="V176" i="33"/>
  <c r="V183" i="33" s="1"/>
  <c r="V160" i="33"/>
  <c r="T195" i="33"/>
  <c r="T204" i="33" s="1"/>
  <c r="T214" i="33" s="1"/>
  <c r="T230" i="33" s="1"/>
  <c r="T236" i="33" s="1"/>
  <c r="T244" i="33" s="1"/>
  <c r="T252" i="33" s="1"/>
  <c r="T282" i="33" s="1"/>
  <c r="T186" i="33"/>
  <c r="O190" i="33"/>
  <c r="O199" i="33"/>
  <c r="O208" i="33" s="1"/>
  <c r="O217" i="33" s="1"/>
  <c r="O255" i="33" s="1"/>
  <c r="O268" i="33" s="1"/>
  <c r="AC190" i="33"/>
  <c r="AC199" i="33"/>
  <c r="AC208" i="33" s="1"/>
  <c r="AC217" i="33" s="1"/>
  <c r="AC255" i="33" s="1"/>
  <c r="AC268" i="33" s="1"/>
  <c r="K189" i="33"/>
  <c r="K198" i="33"/>
  <c r="K207" i="33" s="1"/>
  <c r="K216" i="33" s="1"/>
  <c r="W186" i="33"/>
  <c r="W195" i="33"/>
  <c r="W204" i="33" s="1"/>
  <c r="W214" i="33" s="1"/>
  <c r="W230" i="33" s="1"/>
  <c r="W236" i="33" s="1"/>
  <c r="W244" i="33" s="1"/>
  <c r="W252" i="33" s="1"/>
  <c r="W282" i="33" s="1"/>
  <c r="AD190" i="33"/>
  <c r="AD199" i="33"/>
  <c r="AD208" i="33" s="1"/>
  <c r="AD217" i="33" s="1"/>
  <c r="AD255" i="33" s="1"/>
  <c r="AD268" i="33" s="1"/>
  <c r="AD176" i="33"/>
  <c r="AD183" i="33" s="1"/>
  <c r="AD160" i="33"/>
  <c r="W198" i="33"/>
  <c r="W207" i="33" s="1"/>
  <c r="W216" i="33" s="1"/>
  <c r="W189" i="33"/>
  <c r="V199" i="33"/>
  <c r="V208" i="33" s="1"/>
  <c r="V217" i="33" s="1"/>
  <c r="V255" i="33" s="1"/>
  <c r="V268" i="33" s="1"/>
  <c r="V190" i="33"/>
  <c r="P176" i="33"/>
  <c r="P183" i="33" s="1"/>
  <c r="P160" i="33"/>
  <c r="K190" i="33"/>
  <c r="K199" i="33"/>
  <c r="K208" i="33" s="1"/>
  <c r="K217" i="33" s="1"/>
  <c r="K255" i="33" s="1"/>
  <c r="K268" i="33" s="1"/>
  <c r="U199" i="33"/>
  <c r="U208" i="33" s="1"/>
  <c r="U217" i="33" s="1"/>
  <c r="U255" i="33" s="1"/>
  <c r="U268" i="33" s="1"/>
  <c r="U190" i="33"/>
  <c r="M190" i="33"/>
  <c r="M199" i="33"/>
  <c r="M208" i="33" s="1"/>
  <c r="M217" i="33" s="1"/>
  <c r="M255" i="33" s="1"/>
  <c r="M268" i="33" s="1"/>
  <c r="S160" i="33"/>
  <c r="S176" i="33"/>
  <c r="S183" i="33" s="1"/>
  <c r="O195" i="33"/>
  <c r="O204" i="33" s="1"/>
  <c r="O214" i="33" s="1"/>
  <c r="O230" i="33" s="1"/>
  <c r="O236" i="33" s="1"/>
  <c r="O244" i="33" s="1"/>
  <c r="O252" i="33" s="1"/>
  <c r="O282" i="33" s="1"/>
  <c r="O186" i="33"/>
  <c r="P190" i="33"/>
  <c r="P199" i="33"/>
  <c r="P208" i="33" s="1"/>
  <c r="P217" i="33" s="1"/>
  <c r="P255" i="33" s="1"/>
  <c r="P268" i="33" s="1"/>
  <c r="Q186" i="33"/>
  <c r="Q195" i="33"/>
  <c r="Q204" i="33" s="1"/>
  <c r="Q214" i="33" s="1"/>
  <c r="Q230" i="33" s="1"/>
  <c r="Q236" i="33" s="1"/>
  <c r="Q244" i="33" s="1"/>
  <c r="Q252" i="33" s="1"/>
  <c r="Q282" i="33" s="1"/>
  <c r="T190" i="33"/>
  <c r="T199" i="33"/>
  <c r="T208" i="33" s="1"/>
  <c r="T217" i="33" s="1"/>
  <c r="T255" i="33" s="1"/>
  <c r="T268" i="33" s="1"/>
  <c r="K176" i="33"/>
  <c r="K183" i="33" s="1"/>
  <c r="K160" i="33"/>
  <c r="L176" i="33"/>
  <c r="L183" i="33" s="1"/>
  <c r="L160" i="33"/>
  <c r="N176" i="33"/>
  <c r="N183" i="33" s="1"/>
  <c r="N160" i="33"/>
  <c r="U176" i="33"/>
  <c r="U183" i="33" s="1"/>
  <c r="U160" i="33"/>
  <c r="AF186" i="33"/>
  <c r="AF195" i="33"/>
  <c r="AF204" i="33" s="1"/>
  <c r="AF214" i="33" s="1"/>
  <c r="AF230" i="33" s="1"/>
  <c r="AF236" i="33" s="1"/>
  <c r="AF244" i="33" s="1"/>
  <c r="AF252" i="33" s="1"/>
  <c r="AF282" i="33" s="1"/>
  <c r="S195" i="33"/>
  <c r="S204" i="33" s="1"/>
  <c r="S214" i="33" s="1"/>
  <c r="S230" i="33" s="1"/>
  <c r="S236" i="33" s="1"/>
  <c r="S244" i="33" s="1"/>
  <c r="S252" i="33" s="1"/>
  <c r="S282" i="33" s="1"/>
  <c r="S186" i="33"/>
  <c r="Q198" i="33"/>
  <c r="Q207" i="33" s="1"/>
  <c r="Q216" i="33" s="1"/>
  <c r="Q189" i="33"/>
  <c r="U186" i="33"/>
  <c r="U195" i="33"/>
  <c r="U204" i="33" s="1"/>
  <c r="U214" i="33" s="1"/>
  <c r="U230" i="33" s="1"/>
  <c r="U236" i="33" s="1"/>
  <c r="U244" i="33" s="1"/>
  <c r="U252" i="33" s="1"/>
  <c r="U282" i="33" s="1"/>
  <c r="C199" i="33"/>
  <c r="C208" i="33" s="1"/>
  <c r="C217" i="33" s="1"/>
  <c r="C255" i="33" s="1"/>
  <c r="C268" i="33" s="1"/>
  <c r="C275" i="33" s="1"/>
  <c r="C306" i="33" s="1"/>
  <c r="C330" i="33" s="1"/>
  <c r="C344" i="33" s="1"/>
  <c r="C357" i="33" s="1"/>
  <c r="C190" i="33"/>
  <c r="AA160" i="33"/>
  <c r="AA176" i="33"/>
  <c r="AA183" i="33" s="1"/>
  <c r="N189" i="33"/>
  <c r="N198" i="33"/>
  <c r="N207" i="33" s="1"/>
  <c r="N216" i="33" s="1"/>
  <c r="J198" i="33"/>
  <c r="J207" i="33" s="1"/>
  <c r="J216" i="33" s="1"/>
  <c r="J189" i="33"/>
  <c r="C186" i="33"/>
  <c r="C195" i="33"/>
  <c r="C204" i="33" s="1"/>
  <c r="C214" i="33" s="1"/>
  <c r="C230" i="33" s="1"/>
  <c r="C236" i="33" s="1"/>
  <c r="C244" i="33" s="1"/>
  <c r="C252" i="33" s="1"/>
  <c r="C282" i="33" s="1"/>
  <c r="X198" i="33"/>
  <c r="X207" i="33" s="1"/>
  <c r="X216" i="33" s="1"/>
  <c r="X189" i="33"/>
  <c r="AE189" i="33"/>
  <c r="AE198" i="33"/>
  <c r="AE207" i="33" s="1"/>
  <c r="AE216" i="33" s="1"/>
  <c r="AE190" i="33"/>
  <c r="AE199" i="33"/>
  <c r="AE208" i="33" s="1"/>
  <c r="AE217" i="33" s="1"/>
  <c r="AE255" i="33" s="1"/>
  <c r="AE268" i="33" s="1"/>
  <c r="Z190" i="33"/>
  <c r="Z199" i="33"/>
  <c r="Z208" i="33" s="1"/>
  <c r="Z217" i="33" s="1"/>
  <c r="Z255" i="33" s="1"/>
  <c r="Z268" i="33" s="1"/>
  <c r="AE186" i="33"/>
  <c r="AE195" i="33"/>
  <c r="AE204" i="33" s="1"/>
  <c r="AE214" i="33" s="1"/>
  <c r="AE230" i="33" s="1"/>
  <c r="AE236" i="33" s="1"/>
  <c r="AE244" i="33" s="1"/>
  <c r="AE252" i="33" s="1"/>
  <c r="AE282" i="33" s="1"/>
  <c r="P189" i="33"/>
  <c r="P198" i="33"/>
  <c r="P207" i="33" s="1"/>
  <c r="P216" i="33" s="1"/>
  <c r="I189" i="33"/>
  <c r="I198" i="33"/>
  <c r="I207" i="33" s="1"/>
  <c r="I216" i="33" s="1"/>
  <c r="T198" i="33"/>
  <c r="T207" i="33" s="1"/>
  <c r="T216" i="33" s="1"/>
  <c r="T189" i="33"/>
  <c r="AB190" i="33"/>
  <c r="AB199" i="33"/>
  <c r="AB208" i="33" s="1"/>
  <c r="AB217" i="33" s="1"/>
  <c r="AB255" i="33" s="1"/>
  <c r="AB268" i="33" s="1"/>
  <c r="AE160" i="33"/>
  <c r="AE176" i="33"/>
  <c r="AE183" i="33" s="1"/>
  <c r="U189" i="33"/>
  <c r="U198" i="33"/>
  <c r="U207" i="33" s="1"/>
  <c r="U216" i="33" s="1"/>
  <c r="AF198" i="33"/>
  <c r="AF207" i="33" s="1"/>
  <c r="AF216" i="33" s="1"/>
  <c r="AF189" i="33"/>
  <c r="J176" i="33"/>
  <c r="J183" i="33" s="1"/>
  <c r="J160" i="33"/>
  <c r="AG176" i="33"/>
  <c r="AG183" i="33" s="1"/>
  <c r="AG160" i="33"/>
  <c r="AH189" i="33"/>
  <c r="AH198" i="33"/>
  <c r="AH207" i="33" s="1"/>
  <c r="AH216" i="33" s="1"/>
  <c r="X190" i="33"/>
  <c r="X199" i="33"/>
  <c r="X208" i="33" s="1"/>
  <c r="X217" i="33" s="1"/>
  <c r="X255" i="33" s="1"/>
  <c r="X268" i="33" s="1"/>
  <c r="M176" i="33"/>
  <c r="M183" i="33" s="1"/>
  <c r="M160" i="33"/>
  <c r="N186" i="33"/>
  <c r="N195" i="33"/>
  <c r="N204" i="33" s="1"/>
  <c r="N214" i="33" s="1"/>
  <c r="N230" i="33" s="1"/>
  <c r="N236" i="33" s="1"/>
  <c r="N244" i="33" s="1"/>
  <c r="N252" i="33" s="1"/>
  <c r="N282" i="33" s="1"/>
  <c r="T176" i="33"/>
  <c r="T183" i="33" s="1"/>
  <c r="T160" i="33"/>
  <c r="AF199" i="33"/>
  <c r="AF208" i="33" s="1"/>
  <c r="AF217" i="33" s="1"/>
  <c r="AF255" i="33" s="1"/>
  <c r="AF268" i="33" s="1"/>
  <c r="AF190" i="33"/>
  <c r="Z176" i="33"/>
  <c r="Z183" i="33" s="1"/>
  <c r="Z160" i="33"/>
  <c r="AC189" i="33"/>
  <c r="AC198" i="33"/>
  <c r="AC207" i="33" s="1"/>
  <c r="AC216" i="33" s="1"/>
  <c r="X186" i="33"/>
  <c r="X195" i="33"/>
  <c r="X204" i="33" s="1"/>
  <c r="X214" i="33" s="1"/>
  <c r="X230" i="33" s="1"/>
  <c r="X236" i="33" s="1"/>
  <c r="X244" i="33" s="1"/>
  <c r="X252" i="33" s="1"/>
  <c r="X282" i="33" s="1"/>
  <c r="W176" i="33"/>
  <c r="W183" i="33" s="1"/>
  <c r="W160" i="33"/>
  <c r="AD198" i="33"/>
  <c r="AD207" i="33" s="1"/>
  <c r="AD216" i="33" s="1"/>
  <c r="AD189" i="33"/>
  <c r="Q160" i="33"/>
  <c r="Q176" i="33"/>
  <c r="Q183" i="33" s="1"/>
  <c r="L198" i="33"/>
  <c r="L207" i="33" s="1"/>
  <c r="L216" i="33" s="1"/>
  <c r="L189" i="33"/>
  <c r="H195" i="33"/>
  <c r="H204" i="33" s="1"/>
  <c r="H214" i="33" s="1"/>
  <c r="H230" i="33" s="1"/>
  <c r="H236" i="33" s="1"/>
  <c r="H244" i="33" s="1"/>
  <c r="H252" i="33" s="1"/>
  <c r="H282" i="33" s="1"/>
  <c r="H186" i="33"/>
  <c r="G160" i="33"/>
  <c r="G176" i="33"/>
  <c r="G183" i="33" s="1"/>
  <c r="G195" i="33"/>
  <c r="G204" i="33" s="1"/>
  <c r="G214" i="33" s="1"/>
  <c r="G230" i="33" s="1"/>
  <c r="G236" i="33" s="1"/>
  <c r="G244" i="33" s="1"/>
  <c r="G252" i="33" s="1"/>
  <c r="G282" i="33" s="1"/>
  <c r="G186" i="33"/>
  <c r="AA195" i="33"/>
  <c r="AA204" i="33" s="1"/>
  <c r="AA214" i="33" s="1"/>
  <c r="AA230" i="33" s="1"/>
  <c r="AA236" i="33" s="1"/>
  <c r="AA244" i="33" s="1"/>
  <c r="AA252" i="33" s="1"/>
  <c r="AA282" i="33" s="1"/>
  <c r="AA186" i="33"/>
  <c r="N199" i="33"/>
  <c r="N208" i="33" s="1"/>
  <c r="N217" i="33" s="1"/>
  <c r="N255" i="33" s="1"/>
  <c r="N268" i="33" s="1"/>
  <c r="N190" i="33"/>
  <c r="M198" i="33"/>
  <c r="M207" i="33" s="1"/>
  <c r="M216" i="33" s="1"/>
  <c r="M189" i="33"/>
  <c r="I190" i="33"/>
  <c r="I199" i="33"/>
  <c r="I208" i="33" s="1"/>
  <c r="I217" i="33" s="1"/>
  <c r="I255" i="33" s="1"/>
  <c r="I268" i="33" s="1"/>
  <c r="P195" i="33"/>
  <c r="P204" i="33" s="1"/>
  <c r="P214" i="33" s="1"/>
  <c r="P230" i="33" s="1"/>
  <c r="P236" i="33" s="1"/>
  <c r="P244" i="33" s="1"/>
  <c r="P252" i="33" s="1"/>
  <c r="P282" i="33" s="1"/>
  <c r="P186" i="33"/>
  <c r="Z189" i="33"/>
  <c r="Z198" i="33"/>
  <c r="Z207" i="33" s="1"/>
  <c r="Z216" i="33" s="1"/>
  <c r="R189" i="33"/>
  <c r="R198" i="33"/>
  <c r="R207" i="33" s="1"/>
  <c r="R216" i="33" s="1"/>
  <c r="X176" i="33"/>
  <c r="X183" i="33" s="1"/>
  <c r="X160" i="33"/>
  <c r="Y176" i="33"/>
  <c r="Y183" i="33" s="1"/>
  <c r="Y160" i="33"/>
  <c r="O176" i="33"/>
  <c r="O183" i="33" s="1"/>
  <c r="O160" i="33"/>
  <c r="AH176" i="33"/>
  <c r="AH183" i="33" s="1"/>
  <c r="AH160" i="33"/>
  <c r="S189" i="33"/>
  <c r="S198" i="33"/>
  <c r="S207" i="33" s="1"/>
  <c r="S216" i="33" s="1"/>
  <c r="K186" i="33"/>
  <c r="K195" i="33"/>
  <c r="K204" i="33" s="1"/>
  <c r="K214" i="33" s="1"/>
  <c r="K230" i="33" s="1"/>
  <c r="K236" i="33" s="1"/>
  <c r="K244" i="33" s="1"/>
  <c r="K252" i="33" s="1"/>
  <c r="K282" i="33" s="1"/>
  <c r="AC160" i="33"/>
  <c r="AC176" i="33"/>
  <c r="AC183" i="33" s="1"/>
  <c r="L195" i="33"/>
  <c r="L204" i="33" s="1"/>
  <c r="L214" i="33" s="1"/>
  <c r="L230" i="33" s="1"/>
  <c r="L236" i="33" s="1"/>
  <c r="L244" i="33" s="1"/>
  <c r="L252" i="33" s="1"/>
  <c r="L282" i="33" s="1"/>
  <c r="L186" i="33"/>
  <c r="G189" i="33"/>
  <c r="G198" i="33"/>
  <c r="G207" i="33" s="1"/>
  <c r="G216" i="33" s="1"/>
  <c r="AG199" i="33"/>
  <c r="AG208" i="33" s="1"/>
  <c r="AG217" i="33" s="1"/>
  <c r="AG255" i="33" s="1"/>
  <c r="AG268" i="33" s="1"/>
  <c r="AG190" i="33"/>
  <c r="V186" i="33"/>
  <c r="V195" i="33"/>
  <c r="V204" i="33" s="1"/>
  <c r="V214" i="33" s="1"/>
  <c r="V230" i="33" s="1"/>
  <c r="V236" i="33" s="1"/>
  <c r="V244" i="33" s="1"/>
  <c r="V252" i="33" s="1"/>
  <c r="V282" i="33" s="1"/>
  <c r="G29" i="19"/>
  <c r="G28" i="19"/>
  <c r="G27" i="19"/>
  <c r="G26" i="19"/>
  <c r="AK16" i="11"/>
  <c r="D50" i="19"/>
  <c r="E4" i="21" s="1"/>
  <c r="G24" i="19"/>
  <c r="D51" i="19"/>
  <c r="E5" i="21" s="1"/>
  <c r="D54" i="19"/>
  <c r="E8" i="21" s="1"/>
  <c r="D58" i="19"/>
  <c r="D59" i="19"/>
  <c r="D56" i="19"/>
  <c r="E10" i="21" s="1"/>
  <c r="D57" i="19"/>
  <c r="E11" i="21" s="1"/>
  <c r="Q32" i="12"/>
  <c r="Q33" i="12"/>
  <c r="Q31" i="12"/>
  <c r="C2" i="12"/>
  <c r="D2" i="10"/>
  <c r="E2" i="10"/>
  <c r="E2" i="29" s="1"/>
  <c r="F2" i="10"/>
  <c r="F2" i="29" s="1"/>
  <c r="G2" i="10"/>
  <c r="G2" i="29" s="1"/>
  <c r="H2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AA2" i="10"/>
  <c r="AB2" i="10"/>
  <c r="AC2" i="10"/>
  <c r="AD2" i="10"/>
  <c r="AE2" i="10"/>
  <c r="AF2" i="10"/>
  <c r="AG2" i="10"/>
  <c r="AH2" i="10"/>
  <c r="AI2" i="10"/>
  <c r="AK17" i="11" l="1"/>
  <c r="D42" i="22" s="1"/>
  <c r="D56" i="22" s="1"/>
  <c r="I69" i="29" s="1"/>
  <c r="AL17" i="11"/>
  <c r="E42" i="22" s="1"/>
  <c r="AY16" i="11"/>
  <c r="R41" i="22" s="1"/>
  <c r="S55" i="22" s="1"/>
  <c r="U55" i="22" s="1"/>
  <c r="BC16" i="11"/>
  <c r="V41" i="22" s="1"/>
  <c r="AW16" i="11"/>
  <c r="P41" i="22" s="1"/>
  <c r="AX16" i="11"/>
  <c r="Q41" i="22" s="1"/>
  <c r="BD16" i="11"/>
  <c r="W41" i="22" s="1"/>
  <c r="AP16" i="11"/>
  <c r="I41" i="22" s="1"/>
  <c r="AQ16" i="11"/>
  <c r="J41" i="22" s="1"/>
  <c r="AS16" i="11"/>
  <c r="L41" i="22" s="1"/>
  <c r="BH16" i="11"/>
  <c r="AA41" i="22" s="1"/>
  <c r="AR16" i="11"/>
  <c r="K41" i="22" s="1"/>
  <c r="AO16" i="11"/>
  <c r="H41" i="22" s="1"/>
  <c r="AT16" i="11"/>
  <c r="M41" i="22" s="1"/>
  <c r="F55" i="22" s="1"/>
  <c r="BE16" i="11"/>
  <c r="X41" i="22" s="1"/>
  <c r="AN16" i="11"/>
  <c r="G41" i="22" s="1"/>
  <c r="AL16" i="11"/>
  <c r="E41" i="22" s="1"/>
  <c r="AZ16" i="11"/>
  <c r="S41" i="22" s="1"/>
  <c r="AM16" i="11"/>
  <c r="F41" i="22" s="1"/>
  <c r="BL16" i="11"/>
  <c r="AE41" i="22" s="1"/>
  <c r="BK16" i="11"/>
  <c r="AD41" i="22" s="1"/>
  <c r="BA16" i="11"/>
  <c r="T41" i="22" s="1"/>
  <c r="BF16" i="11"/>
  <c r="Y41" i="22" s="1"/>
  <c r="AV16" i="11"/>
  <c r="O41" i="22" s="1"/>
  <c r="AU16" i="11"/>
  <c r="N41" i="22" s="1"/>
  <c r="BB16" i="11"/>
  <c r="U41" i="22" s="1"/>
  <c r="BI16" i="11"/>
  <c r="AB41" i="22" s="1"/>
  <c r="BJ16" i="11"/>
  <c r="AC41" i="22" s="1"/>
  <c r="BG16" i="11"/>
  <c r="Z41" i="22" s="1"/>
  <c r="H22" i="11"/>
  <c r="O74" i="12"/>
  <c r="L73" i="12"/>
  <c r="V73" i="12"/>
  <c r="AB65" i="12"/>
  <c r="AG74" i="12"/>
  <c r="W73" i="12"/>
  <c r="O73" i="12"/>
  <c r="AB74" i="12"/>
  <c r="C194" i="33"/>
  <c r="C203" i="33" s="1"/>
  <c r="C213" i="33" s="1"/>
  <c r="C229" i="33" s="1"/>
  <c r="C235" i="33" s="1"/>
  <c r="C243" i="33" s="1"/>
  <c r="C251" i="33" s="1"/>
  <c r="C281" i="33" s="1"/>
  <c r="T78" i="12"/>
  <c r="J74" i="12"/>
  <c r="R74" i="12"/>
  <c r="X78" i="12"/>
  <c r="M78" i="12"/>
  <c r="H78" i="12"/>
  <c r="AI78" i="12"/>
  <c r="N78" i="12"/>
  <c r="L78" i="12"/>
  <c r="AE78" i="12"/>
  <c r="I78" i="12"/>
  <c r="Q73" i="12"/>
  <c r="AF78" i="12"/>
  <c r="J78" i="12"/>
  <c r="H77" i="12"/>
  <c r="P78" i="12"/>
  <c r="W78" i="12"/>
  <c r="AB78" i="12"/>
  <c r="Z78" i="12"/>
  <c r="AA78" i="12"/>
  <c r="V78" i="12"/>
  <c r="AC78" i="12"/>
  <c r="H65" i="12"/>
  <c r="AF74" i="12"/>
  <c r="AI73" i="12"/>
  <c r="Q74" i="12"/>
  <c r="M73" i="12"/>
  <c r="AD74" i="12"/>
  <c r="AD78" i="12"/>
  <c r="R78" i="12"/>
  <c r="Y78" i="12"/>
  <c r="AH78" i="12"/>
  <c r="O78" i="12"/>
  <c r="Q78" i="12"/>
  <c r="H68" i="12"/>
  <c r="S78" i="12"/>
  <c r="U78" i="12"/>
  <c r="K78" i="12"/>
  <c r="AG78" i="12"/>
  <c r="N74" i="12"/>
  <c r="AA74" i="12"/>
  <c r="V275" i="33"/>
  <c r="V271" i="33"/>
  <c r="R361" i="33"/>
  <c r="R166" i="33"/>
  <c r="AA275" i="33"/>
  <c r="AA271" i="33"/>
  <c r="AF275" i="33"/>
  <c r="AF271" i="33"/>
  <c r="W361" i="33"/>
  <c r="W166" i="33"/>
  <c r="L361" i="33"/>
  <c r="L166" i="33"/>
  <c r="O275" i="33"/>
  <c r="O271" i="33"/>
  <c r="L275" i="33"/>
  <c r="L271" i="33"/>
  <c r="Y275" i="33"/>
  <c r="Y271" i="33"/>
  <c r="AC361" i="33"/>
  <c r="AC166" i="33"/>
  <c r="S361" i="33"/>
  <c r="S166" i="33"/>
  <c r="R275" i="33"/>
  <c r="R271" i="33"/>
  <c r="AH361" i="33"/>
  <c r="AH166" i="33"/>
  <c r="M361" i="33"/>
  <c r="M166" i="33"/>
  <c r="K361" i="33"/>
  <c r="K166" i="33"/>
  <c r="M275" i="33"/>
  <c r="M271" i="33"/>
  <c r="AD361" i="33"/>
  <c r="AD166" i="33"/>
  <c r="J275" i="33"/>
  <c r="J271" i="33"/>
  <c r="H361" i="33"/>
  <c r="H166" i="33"/>
  <c r="J361" i="33"/>
  <c r="J166" i="33"/>
  <c r="AF361" i="33"/>
  <c r="AF166" i="33"/>
  <c r="N275" i="33"/>
  <c r="N271" i="33"/>
  <c r="T361" i="33"/>
  <c r="T166" i="33"/>
  <c r="O361" i="33"/>
  <c r="O166" i="33"/>
  <c r="I275" i="33"/>
  <c r="I271" i="33"/>
  <c r="X275" i="33"/>
  <c r="X271" i="33"/>
  <c r="Z275" i="33"/>
  <c r="Z271" i="33"/>
  <c r="T275" i="33"/>
  <c r="T271" i="33"/>
  <c r="AD275" i="33"/>
  <c r="AD271" i="33"/>
  <c r="V361" i="33"/>
  <c r="V166" i="33"/>
  <c r="AE361" i="33"/>
  <c r="AE166" i="33"/>
  <c r="U275" i="33"/>
  <c r="U271" i="33"/>
  <c r="S275" i="33"/>
  <c r="S271" i="33"/>
  <c r="I361" i="33"/>
  <c r="I166" i="33"/>
  <c r="G361" i="33"/>
  <c r="G166" i="33"/>
  <c r="Y361" i="33"/>
  <c r="Y166" i="33"/>
  <c r="Z361" i="33"/>
  <c r="Z166" i="33"/>
  <c r="AB275" i="33"/>
  <c r="AB271" i="33"/>
  <c r="AE275" i="33"/>
  <c r="AE271" i="33"/>
  <c r="U361" i="33"/>
  <c r="U166" i="33"/>
  <c r="K275" i="33"/>
  <c r="K271" i="33"/>
  <c r="H275" i="33"/>
  <c r="H271" i="33"/>
  <c r="AH275" i="33"/>
  <c r="AH271" i="33"/>
  <c r="Q275" i="33"/>
  <c r="Q271" i="33"/>
  <c r="AB361" i="33"/>
  <c r="AB166" i="33"/>
  <c r="AA361" i="33"/>
  <c r="AA166" i="33"/>
  <c r="AG275" i="33"/>
  <c r="AG271" i="33"/>
  <c r="X361" i="33"/>
  <c r="X166" i="33"/>
  <c r="AG361" i="33"/>
  <c r="AG166" i="33"/>
  <c r="N361" i="33"/>
  <c r="N166" i="33"/>
  <c r="P275" i="33"/>
  <c r="P271" i="33"/>
  <c r="P361" i="33"/>
  <c r="P166" i="33"/>
  <c r="G275" i="33"/>
  <c r="G271" i="33"/>
  <c r="W275" i="33"/>
  <c r="W271" i="33"/>
  <c r="Q361" i="33"/>
  <c r="Q166" i="33"/>
  <c r="AC275" i="33"/>
  <c r="AC271" i="33"/>
  <c r="M39" i="21"/>
  <c r="Y39" i="21"/>
  <c r="Z39" i="21"/>
  <c r="O39" i="21"/>
  <c r="Q39" i="21"/>
  <c r="S39" i="21"/>
  <c r="AE39" i="21"/>
  <c r="I39" i="21"/>
  <c r="AG39" i="21"/>
  <c r="AI39" i="21"/>
  <c r="AC39" i="21"/>
  <c r="R39" i="21"/>
  <c r="T39" i="21"/>
  <c r="AF39" i="21"/>
  <c r="U39" i="21"/>
  <c r="AD39" i="21"/>
  <c r="J39" i="21"/>
  <c r="V39" i="21"/>
  <c r="AH39" i="21"/>
  <c r="K39" i="21"/>
  <c r="W39" i="21"/>
  <c r="AB39" i="21"/>
  <c r="L39" i="21"/>
  <c r="X39" i="21"/>
  <c r="H39" i="21"/>
  <c r="N39" i="21"/>
  <c r="AA39" i="21"/>
  <c r="P39" i="21"/>
  <c r="N70" i="29"/>
  <c r="M70" i="29"/>
  <c r="K70" i="29"/>
  <c r="C53" i="22"/>
  <c r="C25" i="22"/>
  <c r="K29" i="33"/>
  <c r="T29" i="33"/>
  <c r="AF29" i="33"/>
  <c r="X29" i="33"/>
  <c r="AB29" i="33"/>
  <c r="N29" i="33"/>
  <c r="O29" i="33"/>
  <c r="P29" i="33"/>
  <c r="AD29" i="33"/>
  <c r="E37" i="29"/>
  <c r="Q8" i="21"/>
  <c r="AT8" i="21" s="1"/>
  <c r="D7" i="33"/>
  <c r="I7" i="33"/>
  <c r="AB7" i="33"/>
  <c r="G7" i="33"/>
  <c r="L7" i="33"/>
  <c r="V7" i="33"/>
  <c r="Q7" i="33"/>
  <c r="AG7" i="33"/>
  <c r="AH7" i="33"/>
  <c r="AC7" i="33"/>
  <c r="AE7" i="33"/>
  <c r="R7" i="33"/>
  <c r="U7" i="33"/>
  <c r="P7" i="33"/>
  <c r="N7" i="33"/>
  <c r="Z7" i="33"/>
  <c r="J7" i="33"/>
  <c r="M7" i="33"/>
  <c r="Y7" i="33"/>
  <c r="T7" i="33"/>
  <c r="X7" i="33"/>
  <c r="W7" i="33"/>
  <c r="AF7" i="33"/>
  <c r="S7" i="33"/>
  <c r="H7" i="33"/>
  <c r="K7" i="33"/>
  <c r="O7" i="33"/>
  <c r="AA7" i="33"/>
  <c r="AD7" i="33"/>
  <c r="E38" i="29"/>
  <c r="L29" i="33"/>
  <c r="Y29" i="33"/>
  <c r="E35" i="29"/>
  <c r="D22" i="33"/>
  <c r="T22" i="33"/>
  <c r="P22" i="33"/>
  <c r="Y22" i="33"/>
  <c r="AB22" i="33"/>
  <c r="M22" i="33"/>
  <c r="AH22" i="33"/>
  <c r="AD22" i="33"/>
  <c r="H22" i="33"/>
  <c r="Z22" i="33"/>
  <c r="U22" i="33"/>
  <c r="L22" i="33"/>
  <c r="AE22" i="33"/>
  <c r="J22" i="33"/>
  <c r="G22" i="33"/>
  <c r="O22" i="33"/>
  <c r="S22" i="33"/>
  <c r="W22" i="33"/>
  <c r="K22" i="33"/>
  <c r="I22" i="33"/>
  <c r="AG22" i="33"/>
  <c r="Q22" i="33"/>
  <c r="AA22" i="33"/>
  <c r="N22" i="33"/>
  <c r="AF22" i="33"/>
  <c r="AC22" i="33"/>
  <c r="V22" i="33"/>
  <c r="R22" i="33"/>
  <c r="X22" i="33"/>
  <c r="H29" i="33"/>
  <c r="D11" i="33"/>
  <c r="R11" i="33"/>
  <c r="O11" i="33"/>
  <c r="J11" i="33"/>
  <c r="U11" i="33"/>
  <c r="I11" i="33"/>
  <c r="AA11" i="33"/>
  <c r="G11" i="33"/>
  <c r="AE11" i="33"/>
  <c r="Y11" i="33"/>
  <c r="Z11" i="33"/>
  <c r="V11" i="33"/>
  <c r="L11" i="33"/>
  <c r="Q11" i="33"/>
  <c r="K11" i="33"/>
  <c r="W11" i="33"/>
  <c r="S11" i="33"/>
  <c r="H11" i="33"/>
  <c r="AH11" i="33"/>
  <c r="P11" i="33"/>
  <c r="AC11" i="33"/>
  <c r="AD11" i="33"/>
  <c r="M11" i="33"/>
  <c r="N11" i="33"/>
  <c r="T11" i="33"/>
  <c r="AB11" i="33"/>
  <c r="X11" i="33"/>
  <c r="AF11" i="33"/>
  <c r="AG11" i="33"/>
  <c r="Q29" i="21"/>
  <c r="AT29" i="21" s="1"/>
  <c r="M20" i="22" s="1"/>
  <c r="Q22" i="21"/>
  <c r="AT6" i="21"/>
  <c r="Q20" i="21"/>
  <c r="Q21" i="21"/>
  <c r="Q23" i="21"/>
  <c r="Q7" i="21"/>
  <c r="AT7" i="21" s="1"/>
  <c r="Q19" i="21"/>
  <c r="AL13" i="21"/>
  <c r="Q13" i="21"/>
  <c r="AT13" i="21" s="1"/>
  <c r="E20" i="21"/>
  <c r="BJ20" i="21" s="1"/>
  <c r="AC12" i="22" s="1"/>
  <c r="E21" i="21"/>
  <c r="AR21" i="21" s="1"/>
  <c r="K13" i="22" s="1"/>
  <c r="E22" i="21"/>
  <c r="AV22" i="21" s="1"/>
  <c r="O14" i="22" s="1"/>
  <c r="BF23" i="21"/>
  <c r="Y15" i="22" s="1"/>
  <c r="Q18" i="21"/>
  <c r="E44" i="29"/>
  <c r="E34" i="29"/>
  <c r="AC29" i="33"/>
  <c r="E32" i="29"/>
  <c r="AK32" i="29" s="1"/>
  <c r="AA29" i="33"/>
  <c r="Q12" i="21"/>
  <c r="AT12" i="21" s="1"/>
  <c r="AL12" i="21"/>
  <c r="Z29" i="33"/>
  <c r="J70" i="29"/>
  <c r="D16" i="33"/>
  <c r="X16" i="33"/>
  <c r="V16" i="33"/>
  <c r="S16" i="33"/>
  <c r="J16" i="33"/>
  <c r="R16" i="33"/>
  <c r="W16" i="33"/>
  <c r="N16" i="33"/>
  <c r="O16" i="33"/>
  <c r="P16" i="33"/>
  <c r="AD16" i="33"/>
  <c r="K16" i="33"/>
  <c r="AF16" i="33"/>
  <c r="AA16" i="33"/>
  <c r="AB16" i="33"/>
  <c r="T16" i="33"/>
  <c r="AC16" i="33"/>
  <c r="Z16" i="33"/>
  <c r="U16" i="33"/>
  <c r="Q16" i="33"/>
  <c r="L16" i="33"/>
  <c r="H16" i="33"/>
  <c r="AG16" i="33"/>
  <c r="G16" i="33"/>
  <c r="M16" i="33"/>
  <c r="AE16" i="33"/>
  <c r="AH16" i="33"/>
  <c r="I16" i="33"/>
  <c r="Y16" i="33"/>
  <c r="AG29" i="33"/>
  <c r="Q16" i="21"/>
  <c r="D29" i="33"/>
  <c r="U29" i="33"/>
  <c r="G29" i="33"/>
  <c r="V29" i="33"/>
  <c r="Q17" i="21"/>
  <c r="Q29" i="33"/>
  <c r="M29" i="33"/>
  <c r="S29" i="33"/>
  <c r="AE29" i="33"/>
  <c r="J29" i="33"/>
  <c r="Q14" i="21"/>
  <c r="E41" i="29"/>
  <c r="E48" i="22"/>
  <c r="H61" i="29" s="1"/>
  <c r="AH29" i="33"/>
  <c r="R29" i="33"/>
  <c r="Q15" i="21"/>
  <c r="E46" i="29"/>
  <c r="E43" i="29"/>
  <c r="E40" i="29"/>
  <c r="I29" i="33"/>
  <c r="W29" i="33"/>
  <c r="M225" i="33"/>
  <c r="M231" i="33"/>
  <c r="M237" i="33" s="1"/>
  <c r="M245" i="33" s="1"/>
  <c r="G225" i="33"/>
  <c r="G231" i="33"/>
  <c r="G237" i="33" s="1"/>
  <c r="G245" i="33" s="1"/>
  <c r="V194" i="33"/>
  <c r="V185" i="33"/>
  <c r="I194" i="33"/>
  <c r="I185" i="33"/>
  <c r="AH312" i="33"/>
  <c r="AH290" i="33"/>
  <c r="AH320" i="33" s="1"/>
  <c r="AH328" i="33" s="1"/>
  <c r="AH349" i="33" s="1"/>
  <c r="AH355" i="33" s="1"/>
  <c r="I290" i="33"/>
  <c r="I320" i="33" s="1"/>
  <c r="I328" i="33" s="1"/>
  <c r="I349" i="33" s="1"/>
  <c r="I355" i="33" s="1"/>
  <c r="I312" i="33"/>
  <c r="AA185" i="33"/>
  <c r="AA194" i="33"/>
  <c r="Q312" i="33"/>
  <c r="Q290" i="33"/>
  <c r="Q320" i="33" s="1"/>
  <c r="Q328" i="33" s="1"/>
  <c r="Q349" i="33" s="1"/>
  <c r="Q355" i="33" s="1"/>
  <c r="AC185" i="33"/>
  <c r="AC194" i="33"/>
  <c r="Q185" i="33"/>
  <c r="Q194" i="33"/>
  <c r="Z185" i="33"/>
  <c r="Z194" i="33"/>
  <c r="U185" i="33"/>
  <c r="U194" i="33"/>
  <c r="Y312" i="33"/>
  <c r="Y290" i="33"/>
  <c r="Y320" i="33" s="1"/>
  <c r="Y328" i="33" s="1"/>
  <c r="Y349" i="33" s="1"/>
  <c r="Y355" i="33" s="1"/>
  <c r="W312" i="33"/>
  <c r="W290" i="33"/>
  <c r="W320" i="33" s="1"/>
  <c r="W328" i="33" s="1"/>
  <c r="W349" i="33" s="1"/>
  <c r="W355" i="33" s="1"/>
  <c r="R290" i="33"/>
  <c r="R320" i="33" s="1"/>
  <c r="R328" i="33" s="1"/>
  <c r="R349" i="33" s="1"/>
  <c r="R355" i="33" s="1"/>
  <c r="R312" i="33"/>
  <c r="X185" i="33"/>
  <c r="X194" i="33"/>
  <c r="AE231" i="33"/>
  <c r="AE237" i="33" s="1"/>
  <c r="AE245" i="33" s="1"/>
  <c r="AE225" i="33"/>
  <c r="K231" i="33"/>
  <c r="K237" i="33" s="1"/>
  <c r="K245" i="33" s="1"/>
  <c r="K225" i="33"/>
  <c r="AB185" i="33"/>
  <c r="AB194" i="33"/>
  <c r="T231" i="33"/>
  <c r="T237" i="33" s="1"/>
  <c r="T245" i="33" s="1"/>
  <c r="T225" i="33"/>
  <c r="M312" i="33"/>
  <c r="M290" i="33"/>
  <c r="M320" i="33" s="1"/>
  <c r="M328" i="33" s="1"/>
  <c r="M349" i="33" s="1"/>
  <c r="M355" i="33" s="1"/>
  <c r="AB312" i="33"/>
  <c r="AB290" i="33"/>
  <c r="AB320" i="33" s="1"/>
  <c r="AB328" i="33" s="1"/>
  <c r="AB349" i="33" s="1"/>
  <c r="AB355" i="33" s="1"/>
  <c r="O225" i="33"/>
  <c r="O231" i="33"/>
  <c r="O237" i="33" s="1"/>
  <c r="O245" i="33" s="1"/>
  <c r="Z312" i="33"/>
  <c r="Z290" i="33"/>
  <c r="Z320" i="33" s="1"/>
  <c r="Z328" i="33" s="1"/>
  <c r="Z349" i="33" s="1"/>
  <c r="Z355" i="33" s="1"/>
  <c r="Y185" i="33"/>
  <c r="Y194" i="33"/>
  <c r="AA290" i="33"/>
  <c r="AA320" i="33" s="1"/>
  <c r="AA328" i="33" s="1"/>
  <c r="AA349" i="33" s="1"/>
  <c r="AA355" i="33" s="1"/>
  <c r="AA312" i="33"/>
  <c r="AD231" i="33"/>
  <c r="AD237" i="33" s="1"/>
  <c r="AD245" i="33" s="1"/>
  <c r="AD225" i="33"/>
  <c r="I231" i="33"/>
  <c r="I237" i="33" s="1"/>
  <c r="I245" i="33" s="1"/>
  <c r="I225" i="33"/>
  <c r="U290" i="33"/>
  <c r="U320" i="33" s="1"/>
  <c r="U328" i="33" s="1"/>
  <c r="U349" i="33" s="1"/>
  <c r="U355" i="33" s="1"/>
  <c r="U312" i="33"/>
  <c r="V225" i="33"/>
  <c r="V231" i="33"/>
  <c r="V237" i="33" s="1"/>
  <c r="V245" i="33" s="1"/>
  <c r="AH231" i="33"/>
  <c r="AH237" i="33" s="1"/>
  <c r="AH245" i="33" s="1"/>
  <c r="AH225" i="33"/>
  <c r="P194" i="33"/>
  <c r="P185" i="33"/>
  <c r="V312" i="33"/>
  <c r="V290" i="33"/>
  <c r="V320" i="33" s="1"/>
  <c r="V328" i="33" s="1"/>
  <c r="V349" i="33" s="1"/>
  <c r="V355" i="33" s="1"/>
  <c r="S231" i="33"/>
  <c r="S237" i="33" s="1"/>
  <c r="S245" i="33" s="1"/>
  <c r="S225" i="33"/>
  <c r="Z231" i="33"/>
  <c r="Z237" i="33" s="1"/>
  <c r="Z245" i="33" s="1"/>
  <c r="Z225" i="33"/>
  <c r="T194" i="33"/>
  <c r="T185" i="33"/>
  <c r="J194" i="33"/>
  <c r="J185" i="33"/>
  <c r="X231" i="33"/>
  <c r="X237" i="33" s="1"/>
  <c r="X245" i="33" s="1"/>
  <c r="X225" i="33"/>
  <c r="O312" i="33"/>
  <c r="O290" i="33"/>
  <c r="O320" i="33" s="1"/>
  <c r="O328" i="33" s="1"/>
  <c r="O349" i="33" s="1"/>
  <c r="O355" i="33" s="1"/>
  <c r="AF194" i="33"/>
  <c r="AF185" i="33"/>
  <c r="R185" i="33"/>
  <c r="R194" i="33"/>
  <c r="Y225" i="33"/>
  <c r="Y231" i="33"/>
  <c r="Y237" i="33" s="1"/>
  <c r="Y245" i="33" s="1"/>
  <c r="L225" i="33"/>
  <c r="L231" i="33"/>
  <c r="L237" i="33" s="1"/>
  <c r="L245" i="33" s="1"/>
  <c r="R231" i="33"/>
  <c r="R237" i="33" s="1"/>
  <c r="R245" i="33" s="1"/>
  <c r="R225" i="33"/>
  <c r="AG185" i="33"/>
  <c r="AG194" i="33"/>
  <c r="G312" i="33"/>
  <c r="G290" i="33"/>
  <c r="G320" i="33" s="1"/>
  <c r="G328" i="33" s="1"/>
  <c r="G349" i="33" s="1"/>
  <c r="G355" i="33" s="1"/>
  <c r="W185" i="33"/>
  <c r="W194" i="33"/>
  <c r="N290" i="33"/>
  <c r="N320" i="33" s="1"/>
  <c r="N328" i="33" s="1"/>
  <c r="N349" i="33" s="1"/>
  <c r="N355" i="33" s="1"/>
  <c r="N312" i="33"/>
  <c r="P225" i="33"/>
  <c r="P231" i="33"/>
  <c r="P237" i="33" s="1"/>
  <c r="P245" i="33" s="1"/>
  <c r="C290" i="33"/>
  <c r="C320" i="33" s="1"/>
  <c r="C328" i="33" s="1"/>
  <c r="C349" i="33" s="1"/>
  <c r="C355" i="33" s="1"/>
  <c r="C312" i="33"/>
  <c r="S194" i="33"/>
  <c r="S185" i="33"/>
  <c r="AG231" i="33"/>
  <c r="AG237" i="33" s="1"/>
  <c r="AG245" i="33" s="1"/>
  <c r="AG225" i="33"/>
  <c r="J312" i="33"/>
  <c r="J290" i="33"/>
  <c r="J320" i="33" s="1"/>
  <c r="J328" i="33" s="1"/>
  <c r="J349" i="33" s="1"/>
  <c r="J355" i="33" s="1"/>
  <c r="AB225" i="33"/>
  <c r="AB231" i="33"/>
  <c r="AB237" i="33" s="1"/>
  <c r="AB245" i="33" s="1"/>
  <c r="K312" i="33"/>
  <c r="K290" i="33"/>
  <c r="K320" i="33" s="1"/>
  <c r="K328" i="33" s="1"/>
  <c r="K349" i="33" s="1"/>
  <c r="K355" i="33" s="1"/>
  <c r="N185" i="33"/>
  <c r="N194" i="33"/>
  <c r="G185" i="33"/>
  <c r="G194" i="33"/>
  <c r="X290" i="33"/>
  <c r="X320" i="33" s="1"/>
  <c r="X328" i="33" s="1"/>
  <c r="X349" i="33" s="1"/>
  <c r="X355" i="33" s="1"/>
  <c r="X312" i="33"/>
  <c r="AF231" i="33"/>
  <c r="AF237" i="33" s="1"/>
  <c r="AF245" i="33" s="1"/>
  <c r="AF225" i="33"/>
  <c r="Q225" i="33"/>
  <c r="Q231" i="33"/>
  <c r="Q237" i="33" s="1"/>
  <c r="Q245" i="33" s="1"/>
  <c r="L185" i="33"/>
  <c r="L194" i="33"/>
  <c r="W231" i="33"/>
  <c r="W237" i="33" s="1"/>
  <c r="W245" i="33" s="1"/>
  <c r="W225" i="33"/>
  <c r="AH185" i="33"/>
  <c r="AH194" i="33"/>
  <c r="P290" i="33"/>
  <c r="P320" i="33" s="1"/>
  <c r="P328" i="33" s="1"/>
  <c r="P349" i="33" s="1"/>
  <c r="P355" i="33" s="1"/>
  <c r="P312" i="33"/>
  <c r="U225" i="33"/>
  <c r="U231" i="33"/>
  <c r="U237" i="33" s="1"/>
  <c r="U245" i="33" s="1"/>
  <c r="AE290" i="33"/>
  <c r="AE320" i="33" s="1"/>
  <c r="AE328" i="33" s="1"/>
  <c r="AE349" i="33" s="1"/>
  <c r="AE355" i="33" s="1"/>
  <c r="AE312" i="33"/>
  <c r="AC290" i="33"/>
  <c r="AC320" i="33" s="1"/>
  <c r="AC328" i="33" s="1"/>
  <c r="AC349" i="33" s="1"/>
  <c r="AC355" i="33" s="1"/>
  <c r="AC312" i="33"/>
  <c r="AC231" i="33"/>
  <c r="AC237" i="33" s="1"/>
  <c r="AC245" i="33" s="1"/>
  <c r="AC225" i="33"/>
  <c r="M185" i="33"/>
  <c r="M194" i="33"/>
  <c r="S312" i="33"/>
  <c r="S290" i="33"/>
  <c r="S320" i="33" s="1"/>
  <c r="S328" i="33" s="1"/>
  <c r="S349" i="33" s="1"/>
  <c r="S355" i="33" s="1"/>
  <c r="K185" i="33"/>
  <c r="K194" i="33"/>
  <c r="AD194" i="33"/>
  <c r="AD185" i="33"/>
  <c r="T290" i="33"/>
  <c r="T320" i="33" s="1"/>
  <c r="T328" i="33" s="1"/>
  <c r="T349" i="33" s="1"/>
  <c r="T355" i="33" s="1"/>
  <c r="T312" i="33"/>
  <c r="C253" i="33"/>
  <c r="C259" i="33"/>
  <c r="AG290" i="33"/>
  <c r="AG320" i="33" s="1"/>
  <c r="AG328" i="33" s="1"/>
  <c r="AG349" i="33" s="1"/>
  <c r="AG355" i="33" s="1"/>
  <c r="AG312" i="33"/>
  <c r="AA231" i="33"/>
  <c r="AA237" i="33" s="1"/>
  <c r="AA245" i="33" s="1"/>
  <c r="AA225" i="33"/>
  <c r="H231" i="33"/>
  <c r="H237" i="33" s="1"/>
  <c r="H245" i="33" s="1"/>
  <c r="H225" i="33"/>
  <c r="L312" i="33"/>
  <c r="L290" i="33"/>
  <c r="L320" i="33" s="1"/>
  <c r="L328" i="33" s="1"/>
  <c r="L349" i="33" s="1"/>
  <c r="L355" i="33" s="1"/>
  <c r="J231" i="33"/>
  <c r="J237" i="33" s="1"/>
  <c r="J245" i="33" s="1"/>
  <c r="J225" i="33"/>
  <c r="O194" i="33"/>
  <c r="O185" i="33"/>
  <c r="H290" i="33"/>
  <c r="H320" i="33" s="1"/>
  <c r="H328" i="33" s="1"/>
  <c r="H349" i="33" s="1"/>
  <c r="H355" i="33" s="1"/>
  <c r="H312" i="33"/>
  <c r="AE185" i="33"/>
  <c r="AE194" i="33"/>
  <c r="N225" i="33"/>
  <c r="N231" i="33"/>
  <c r="N237" i="33" s="1"/>
  <c r="N245" i="33" s="1"/>
  <c r="AF290" i="33"/>
  <c r="AF320" i="33" s="1"/>
  <c r="AF328" i="33" s="1"/>
  <c r="AF349" i="33" s="1"/>
  <c r="AF355" i="33" s="1"/>
  <c r="AF312" i="33"/>
  <c r="AD290" i="33"/>
  <c r="AD320" i="33" s="1"/>
  <c r="AD328" i="33" s="1"/>
  <c r="AD349" i="33" s="1"/>
  <c r="AD355" i="33" s="1"/>
  <c r="AD312" i="33"/>
  <c r="H194" i="33"/>
  <c r="H185" i="33"/>
  <c r="D41" i="22"/>
  <c r="D55" i="22" s="1"/>
  <c r="I68" i="29" s="1"/>
  <c r="AG2" i="12"/>
  <c r="AG2" i="29"/>
  <c r="U2" i="12"/>
  <c r="U2" i="29"/>
  <c r="I2" i="12"/>
  <c r="I2" i="29"/>
  <c r="AF2" i="12"/>
  <c r="AF2" i="29"/>
  <c r="T2" i="12"/>
  <c r="T2" i="29"/>
  <c r="H2" i="12"/>
  <c r="H2" i="29"/>
  <c r="AC2" i="12"/>
  <c r="AC2" i="29"/>
  <c r="Q2" i="12"/>
  <c r="Q2" i="29"/>
  <c r="AB2" i="12"/>
  <c r="AB2" i="29"/>
  <c r="P2" i="12"/>
  <c r="P2" i="29"/>
  <c r="AD2" i="12"/>
  <c r="AD2" i="29"/>
  <c r="AA2" i="12"/>
  <c r="AA2" i="29"/>
  <c r="O2" i="12"/>
  <c r="O2" i="29"/>
  <c r="Z2" i="12"/>
  <c r="Z2" i="29"/>
  <c r="N2" i="12"/>
  <c r="N2" i="29"/>
  <c r="M2" i="12"/>
  <c r="M2" i="29"/>
  <c r="X2" i="12"/>
  <c r="X2" i="29"/>
  <c r="AI2" i="12"/>
  <c r="AI2" i="29"/>
  <c r="W2" i="12"/>
  <c r="W2" i="29"/>
  <c r="K2" i="12"/>
  <c r="K2" i="29"/>
  <c r="AE2" i="12"/>
  <c r="AE2" i="29"/>
  <c r="S2" i="12"/>
  <c r="S2" i="29"/>
  <c r="R2" i="12"/>
  <c r="R2" i="29"/>
  <c r="Y2" i="12"/>
  <c r="Y2" i="29"/>
  <c r="L2" i="12"/>
  <c r="L2" i="29"/>
  <c r="AH2" i="12"/>
  <c r="AH2" i="29"/>
  <c r="V2" i="12"/>
  <c r="V2" i="29"/>
  <c r="J2" i="12"/>
  <c r="J2" i="29"/>
  <c r="AW14" i="21"/>
  <c r="BI14" i="21"/>
  <c r="AL14" i="21"/>
  <c r="AX14" i="21"/>
  <c r="BJ14" i="21"/>
  <c r="AM14" i="21"/>
  <c r="AY14" i="21"/>
  <c r="BK14" i="21"/>
  <c r="AN14" i="21"/>
  <c r="AZ14" i="21"/>
  <c r="BL14" i="21"/>
  <c r="AO14" i="21"/>
  <c r="BA14" i="21"/>
  <c r="AP14" i="21"/>
  <c r="BB14" i="21"/>
  <c r="AK14" i="21"/>
  <c r="AQ14" i="21"/>
  <c r="BC14" i="21"/>
  <c r="AR14" i="21"/>
  <c r="BD14" i="21"/>
  <c r="AT14" i="21"/>
  <c r="BF14" i="21"/>
  <c r="AU14" i="21"/>
  <c r="BG14" i="21"/>
  <c r="AV14" i="21"/>
  <c r="BH14" i="21"/>
  <c r="AS14" i="21"/>
  <c r="BE14" i="21"/>
  <c r="AQ8" i="21"/>
  <c r="BC8" i="21"/>
  <c r="AR8" i="21"/>
  <c r="BD8" i="21"/>
  <c r="AS8" i="21"/>
  <c r="BE8" i="21"/>
  <c r="BF8" i="21"/>
  <c r="AL8" i="21"/>
  <c r="AU8" i="21"/>
  <c r="BG8" i="21"/>
  <c r="AX8" i="21"/>
  <c r="AV8" i="21"/>
  <c r="BH8" i="21"/>
  <c r="AW8" i="21"/>
  <c r="BI8" i="21"/>
  <c r="BJ8" i="21"/>
  <c r="AM8" i="21"/>
  <c r="AY8" i="21"/>
  <c r="BK8" i="21"/>
  <c r="AN8" i="21"/>
  <c r="AZ8" i="21"/>
  <c r="BL8" i="21"/>
  <c r="AO8" i="21"/>
  <c r="BA8" i="21"/>
  <c r="AP8" i="21"/>
  <c r="BB8" i="21"/>
  <c r="AK8" i="21"/>
  <c r="BF7" i="21"/>
  <c r="AU7" i="21"/>
  <c r="BG7" i="21"/>
  <c r="AV7" i="21"/>
  <c r="BH7" i="21"/>
  <c r="AW7" i="21"/>
  <c r="BI7" i="21"/>
  <c r="AL7" i="21"/>
  <c r="AX7" i="21"/>
  <c r="BJ7" i="21"/>
  <c r="AM7" i="21"/>
  <c r="AY7" i="21"/>
  <c r="BK7" i="21"/>
  <c r="BA7" i="21"/>
  <c r="AN7" i="21"/>
  <c r="AZ7" i="21"/>
  <c r="BL7" i="21"/>
  <c r="AO7" i="21"/>
  <c r="AP7" i="21"/>
  <c r="BB7" i="21"/>
  <c r="AQ7" i="21"/>
  <c r="BC7" i="21"/>
  <c r="AR7" i="21"/>
  <c r="BD7" i="21"/>
  <c r="AK7" i="21"/>
  <c r="AS7" i="21"/>
  <c r="BE7" i="21"/>
  <c r="AN9" i="21"/>
  <c r="AZ9" i="21"/>
  <c r="BL9" i="21"/>
  <c r="AK9" i="21"/>
  <c r="AO9" i="21"/>
  <c r="BA9" i="21"/>
  <c r="AP9" i="21"/>
  <c r="BB9" i="21"/>
  <c r="AQ9" i="21"/>
  <c r="BC9" i="21"/>
  <c r="AR9" i="21"/>
  <c r="BD9" i="21"/>
  <c r="AS9" i="21"/>
  <c r="BE9" i="21"/>
  <c r="AT9" i="21"/>
  <c r="BF9" i="21"/>
  <c r="AU9" i="21"/>
  <c r="BG9" i="21"/>
  <c r="AV9" i="21"/>
  <c r="BH9" i="21"/>
  <c r="AW9" i="21"/>
  <c r="BI9" i="21"/>
  <c r="AL9" i="21"/>
  <c r="AX9" i="21"/>
  <c r="BJ9" i="21"/>
  <c r="AM9" i="21"/>
  <c r="AY9" i="21"/>
  <c r="BK9" i="21"/>
  <c r="AN5" i="21"/>
  <c r="AZ5" i="21"/>
  <c r="BL5" i="21"/>
  <c r="AO5" i="21"/>
  <c r="BA5" i="21"/>
  <c r="AP5" i="21"/>
  <c r="BB5" i="21"/>
  <c r="AQ5" i="21"/>
  <c r="BC5" i="21"/>
  <c r="AR5" i="21"/>
  <c r="BD5" i="21"/>
  <c r="AS5" i="21"/>
  <c r="BE5" i="21"/>
  <c r="AT5" i="21"/>
  <c r="BF5" i="21"/>
  <c r="AU5" i="21"/>
  <c r="BG5" i="21"/>
  <c r="AV5" i="21"/>
  <c r="BH5" i="21"/>
  <c r="AW5" i="21"/>
  <c r="BI5" i="21"/>
  <c r="AL5" i="21"/>
  <c r="AX5" i="21"/>
  <c r="BJ5" i="21"/>
  <c r="AM5" i="21"/>
  <c r="AY5" i="21"/>
  <c r="BK5" i="21"/>
  <c r="AK5" i="21"/>
  <c r="AT3" i="21"/>
  <c r="BF3" i="21"/>
  <c r="AU3" i="21"/>
  <c r="BG3" i="21"/>
  <c r="AV3" i="21"/>
  <c r="BH3" i="21"/>
  <c r="AW3" i="21"/>
  <c r="BI3" i="21"/>
  <c r="AK3" i="21"/>
  <c r="AL3" i="21"/>
  <c r="AX3" i="21"/>
  <c r="BJ3" i="21"/>
  <c r="AM3" i="21"/>
  <c r="AY3" i="21"/>
  <c r="BK3" i="21"/>
  <c r="AN3" i="21"/>
  <c r="AZ3" i="21"/>
  <c r="BL3" i="21"/>
  <c r="AO3" i="21"/>
  <c r="BA3" i="21"/>
  <c r="AP3" i="21"/>
  <c r="BB3" i="21"/>
  <c r="AQ3" i="21"/>
  <c r="BC3" i="21"/>
  <c r="AR3" i="21"/>
  <c r="BD3" i="21"/>
  <c r="AS3" i="21"/>
  <c r="BE3" i="21"/>
  <c r="AT11" i="21"/>
  <c r="BF11" i="21"/>
  <c r="AU11" i="21"/>
  <c r="BG11" i="21"/>
  <c r="AV11" i="21"/>
  <c r="BH11" i="21"/>
  <c r="AK11" i="21"/>
  <c r="AW11" i="21"/>
  <c r="BI11" i="21"/>
  <c r="AL11" i="21"/>
  <c r="AX11" i="21"/>
  <c r="BJ11" i="21"/>
  <c r="AM11" i="21"/>
  <c r="AY11" i="21"/>
  <c r="BK11" i="21"/>
  <c r="AN11" i="21"/>
  <c r="AZ11" i="21"/>
  <c r="BL11" i="21"/>
  <c r="AO11" i="21"/>
  <c r="BA11" i="21"/>
  <c r="AP11" i="21"/>
  <c r="BB11" i="21"/>
  <c r="AQ11" i="21"/>
  <c r="BC11" i="21"/>
  <c r="AR11" i="21"/>
  <c r="BD11" i="21"/>
  <c r="AS11" i="21"/>
  <c r="BE11" i="21"/>
  <c r="AQ4" i="21"/>
  <c r="BC4" i="21"/>
  <c r="AR4" i="21"/>
  <c r="BD4" i="21"/>
  <c r="AS4" i="21"/>
  <c r="BE4" i="21"/>
  <c r="AT4" i="21"/>
  <c r="BF4" i="21"/>
  <c r="AU4" i="21"/>
  <c r="BG4" i="21"/>
  <c r="AV4" i="21"/>
  <c r="BH4" i="21"/>
  <c r="AW4" i="21"/>
  <c r="BI4" i="21"/>
  <c r="AL4" i="21"/>
  <c r="AX4" i="21"/>
  <c r="BJ4" i="21"/>
  <c r="AK4" i="21"/>
  <c r="AM4" i="21"/>
  <c r="AY4" i="21"/>
  <c r="BK4" i="21"/>
  <c r="AN4" i="21"/>
  <c r="AZ4" i="21"/>
  <c r="BL4" i="21"/>
  <c r="AO4" i="21"/>
  <c r="BA4" i="21"/>
  <c r="AP4" i="21"/>
  <c r="BB4" i="21"/>
  <c r="AW10" i="21"/>
  <c r="BI10" i="21"/>
  <c r="AL10" i="21"/>
  <c r="AX10" i="21"/>
  <c r="BJ10" i="21"/>
  <c r="AK10" i="21"/>
  <c r="AM10" i="21"/>
  <c r="AY10" i="21"/>
  <c r="BK10" i="21"/>
  <c r="AN10" i="21"/>
  <c r="AZ10" i="21"/>
  <c r="BL10" i="21"/>
  <c r="AO10" i="21"/>
  <c r="BA10" i="21"/>
  <c r="AP10" i="21"/>
  <c r="BB10" i="21"/>
  <c r="AQ10" i="21"/>
  <c r="BC10" i="21"/>
  <c r="AR10" i="21"/>
  <c r="BD10" i="21"/>
  <c r="AS10" i="21"/>
  <c r="BE10" i="21"/>
  <c r="AT10" i="21"/>
  <c r="BF10" i="21"/>
  <c r="AU10" i="21"/>
  <c r="BG10" i="21"/>
  <c r="AV10" i="21"/>
  <c r="BH10" i="21"/>
  <c r="M34" i="19"/>
  <c r="N34" i="19" s="1"/>
  <c r="O34" i="19" s="1"/>
  <c r="K36" i="19"/>
  <c r="L36" i="19" s="1"/>
  <c r="M36" i="19" s="1"/>
  <c r="N36" i="19" s="1"/>
  <c r="O36" i="19" s="1"/>
  <c r="L35" i="19"/>
  <c r="M35" i="19" s="1"/>
  <c r="N35" i="19" s="1"/>
  <c r="O35" i="19" s="1"/>
  <c r="D13" i="19" s="1"/>
  <c r="G2" i="11"/>
  <c r="G2" i="12"/>
  <c r="F2" i="11"/>
  <c r="F2" i="12"/>
  <c r="E2" i="11"/>
  <c r="E2" i="12"/>
  <c r="D2" i="12"/>
  <c r="L2" i="11"/>
  <c r="AO2" i="10"/>
  <c r="AO2" i="12" s="1"/>
  <c r="AY2" i="10"/>
  <c r="AY2" i="12" s="1"/>
  <c r="V2" i="11"/>
  <c r="AM2" i="10"/>
  <c r="AM2" i="12" s="1"/>
  <c r="J2" i="11"/>
  <c r="AN2" i="10"/>
  <c r="AN2" i="12" s="1"/>
  <c r="K2" i="11"/>
  <c r="AX2" i="10"/>
  <c r="AX2" i="12" s="1"/>
  <c r="U2" i="11"/>
  <c r="AL2" i="10"/>
  <c r="AL2" i="12" s="1"/>
  <c r="I2" i="11"/>
  <c r="BI2" i="10"/>
  <c r="BI2" i="12" s="1"/>
  <c r="AF2" i="11"/>
  <c r="AW2" i="10"/>
  <c r="AW2" i="12" s="1"/>
  <c r="T2" i="11"/>
  <c r="H2" i="11"/>
  <c r="AK2" i="10"/>
  <c r="AK2" i="12" s="1"/>
  <c r="BB2" i="10"/>
  <c r="BB2" i="12" s="1"/>
  <c r="Y2" i="11"/>
  <c r="AE2" i="11"/>
  <c r="BH2" i="10"/>
  <c r="BH2" i="12" s="1"/>
  <c r="AV2" i="10"/>
  <c r="AV2" i="12" s="1"/>
  <c r="S2" i="11"/>
  <c r="AZ2" i="10"/>
  <c r="AZ2" i="12" s="1"/>
  <c r="W2" i="11"/>
  <c r="AD2" i="11"/>
  <c r="BG2" i="10"/>
  <c r="BG2" i="12" s="1"/>
  <c r="R2" i="11"/>
  <c r="AU2" i="10"/>
  <c r="AU2" i="12" s="1"/>
  <c r="AP2" i="10"/>
  <c r="AP2" i="12" s="1"/>
  <c r="M2" i="11"/>
  <c r="AH2" i="11"/>
  <c r="BK2" i="10"/>
  <c r="BK2" i="12" s="1"/>
  <c r="Q2" i="11"/>
  <c r="AT2" i="10"/>
  <c r="AT2" i="12" s="1"/>
  <c r="AB2" i="11"/>
  <c r="BE2" i="10"/>
  <c r="BE2" i="12" s="1"/>
  <c r="P2" i="11"/>
  <c r="AS2" i="10"/>
  <c r="AS2" i="12" s="1"/>
  <c r="AI2" i="11"/>
  <c r="BL2" i="10"/>
  <c r="BL2" i="12" s="1"/>
  <c r="BJ2" i="10"/>
  <c r="BJ2" i="12" s="1"/>
  <c r="AG2" i="11"/>
  <c r="AC2" i="11"/>
  <c r="BF2" i="10"/>
  <c r="BF2" i="12" s="1"/>
  <c r="BD2" i="10"/>
  <c r="BD2" i="12" s="1"/>
  <c r="AA2" i="11"/>
  <c r="AR2" i="10"/>
  <c r="AR2" i="12" s="1"/>
  <c r="O2" i="11"/>
  <c r="X2" i="11"/>
  <c r="BA2" i="10"/>
  <c r="BA2" i="12" s="1"/>
  <c r="BC2" i="10"/>
  <c r="BC2" i="12" s="1"/>
  <c r="Z2" i="11"/>
  <c r="AQ2" i="10"/>
  <c r="AQ2" i="12" s="1"/>
  <c r="N2" i="11"/>
  <c r="F37" i="6"/>
  <c r="C29" i="6"/>
  <c r="C28" i="6"/>
  <c r="C30" i="6" s="1"/>
  <c r="C26" i="6"/>
  <c r="C25" i="6"/>
  <c r="C24" i="6"/>
  <c r="C37" i="6" s="1"/>
  <c r="D24" i="6"/>
  <c r="D37" i="6" s="1"/>
  <c r="E24" i="6"/>
  <c r="E37" i="6" s="1"/>
  <c r="B24" i="6"/>
  <c r="B37" i="6" s="1"/>
  <c r="C20" i="6"/>
  <c r="I10" i="6"/>
  <c r="I6" i="6"/>
  <c r="I7" i="6"/>
  <c r="I8" i="6"/>
  <c r="I9" i="6"/>
  <c r="I5" i="6"/>
  <c r="C26" i="12"/>
  <c r="I4" i="6"/>
  <c r="J4" i="6"/>
  <c r="K4" i="6"/>
  <c r="K2" i="4"/>
  <c r="N2" i="4" s="1"/>
  <c r="M4" i="4"/>
  <c r="D10" i="4"/>
  <c r="D9" i="4"/>
  <c r="F6" i="38" s="1"/>
  <c r="D8" i="4"/>
  <c r="E20" i="4"/>
  <c r="F20" i="4" s="1"/>
  <c r="G20" i="4" s="1"/>
  <c r="E21" i="4"/>
  <c r="F21" i="4" s="1"/>
  <c r="G21" i="4" s="1"/>
  <c r="E22" i="4"/>
  <c r="F22" i="4" s="1"/>
  <c r="G22" i="4" s="1"/>
  <c r="E23" i="4"/>
  <c r="F23" i="4" s="1"/>
  <c r="G23" i="4" s="1"/>
  <c r="E24" i="4"/>
  <c r="F24" i="4" s="1"/>
  <c r="G24" i="4" s="1"/>
  <c r="E25" i="4"/>
  <c r="F25" i="4" s="1"/>
  <c r="G25" i="4" s="1"/>
  <c r="E26" i="4"/>
  <c r="F26" i="4" s="1"/>
  <c r="G26" i="4" s="1"/>
  <c r="E27" i="4"/>
  <c r="F27" i="4" s="1"/>
  <c r="G27" i="4" s="1"/>
  <c r="E28" i="4"/>
  <c r="F28" i="4" s="1"/>
  <c r="G28" i="4" s="1"/>
  <c r="E29" i="4"/>
  <c r="F29" i="4" s="1"/>
  <c r="G29" i="4" s="1"/>
  <c r="E30" i="4"/>
  <c r="F30" i="4" s="1"/>
  <c r="G30" i="4" s="1"/>
  <c r="E31" i="4"/>
  <c r="F31" i="4" s="1"/>
  <c r="G31" i="4" s="1"/>
  <c r="E32" i="4"/>
  <c r="F32" i="4" s="1"/>
  <c r="G32" i="4" s="1"/>
  <c r="E33" i="4"/>
  <c r="F33" i="4" s="1"/>
  <c r="G33" i="4" s="1"/>
  <c r="E34" i="4"/>
  <c r="F34" i="4" s="1"/>
  <c r="G34" i="4" s="1"/>
  <c r="E35" i="4"/>
  <c r="F35" i="4" s="1"/>
  <c r="G35" i="4" s="1"/>
  <c r="E36" i="4"/>
  <c r="F36" i="4" s="1"/>
  <c r="G36" i="4" s="1"/>
  <c r="E37" i="4"/>
  <c r="F37" i="4" s="1"/>
  <c r="G37" i="4" s="1"/>
  <c r="E38" i="4"/>
  <c r="F38" i="4" s="1"/>
  <c r="G38" i="4" s="1"/>
  <c r="E39" i="4"/>
  <c r="F39" i="4" s="1"/>
  <c r="G39" i="4" s="1"/>
  <c r="E40" i="4"/>
  <c r="F40" i="4" s="1"/>
  <c r="G40" i="4" s="1"/>
  <c r="E41" i="4"/>
  <c r="F41" i="4" s="1"/>
  <c r="G41" i="4" s="1"/>
  <c r="E42" i="4"/>
  <c r="F42" i="4" s="1"/>
  <c r="G42" i="4" s="1"/>
  <c r="E43" i="4"/>
  <c r="F43" i="4" s="1"/>
  <c r="G43" i="4" s="1"/>
  <c r="E44" i="4"/>
  <c r="F44" i="4" s="1"/>
  <c r="G44" i="4" s="1"/>
  <c r="E45" i="4"/>
  <c r="F45" i="4" s="1"/>
  <c r="G45" i="4" s="1"/>
  <c r="E46" i="4"/>
  <c r="F46" i="4" s="1"/>
  <c r="G46" i="4" s="1"/>
  <c r="E47" i="4"/>
  <c r="F47" i="4" s="1"/>
  <c r="G47" i="4" s="1"/>
  <c r="E48" i="4"/>
  <c r="F48" i="4" s="1"/>
  <c r="G48" i="4" s="1"/>
  <c r="E49" i="4"/>
  <c r="F49" i="4" s="1"/>
  <c r="G49" i="4" s="1"/>
  <c r="E50" i="4"/>
  <c r="F50" i="4" s="1"/>
  <c r="G50" i="4" s="1"/>
  <c r="E51" i="4"/>
  <c r="F51" i="4" s="1"/>
  <c r="G51" i="4" s="1"/>
  <c r="E52" i="4"/>
  <c r="F52" i="4" s="1"/>
  <c r="G52" i="4" s="1"/>
  <c r="E53" i="4"/>
  <c r="F53" i="4" s="1"/>
  <c r="G53" i="4" s="1"/>
  <c r="E54" i="4"/>
  <c r="F54" i="4" s="1"/>
  <c r="G54" i="4" s="1"/>
  <c r="E55" i="4"/>
  <c r="F55" i="4" s="1"/>
  <c r="G55" i="4" s="1"/>
  <c r="E56" i="4"/>
  <c r="F56" i="4" s="1"/>
  <c r="G56" i="4" s="1"/>
  <c r="E57" i="4"/>
  <c r="F57" i="4" s="1"/>
  <c r="G57" i="4" s="1"/>
  <c r="E58" i="4"/>
  <c r="F58" i="4" s="1"/>
  <c r="G58" i="4" s="1"/>
  <c r="E59" i="4"/>
  <c r="F59" i="4" s="1"/>
  <c r="G59" i="4" s="1"/>
  <c r="E60" i="4"/>
  <c r="F60" i="4" s="1"/>
  <c r="G60" i="4" s="1"/>
  <c r="E61" i="4"/>
  <c r="F61" i="4" s="1"/>
  <c r="G61" i="4" s="1"/>
  <c r="E62" i="4"/>
  <c r="F62" i="4" s="1"/>
  <c r="G62" i="4" s="1"/>
  <c r="E63" i="4"/>
  <c r="F63" i="4" s="1"/>
  <c r="G63" i="4" s="1"/>
  <c r="E64" i="4"/>
  <c r="F64" i="4" s="1"/>
  <c r="G64" i="4" s="1"/>
  <c r="E65" i="4"/>
  <c r="F65" i="4" s="1"/>
  <c r="G65" i="4" s="1"/>
  <c r="E66" i="4"/>
  <c r="F66" i="4" s="1"/>
  <c r="G66" i="4" s="1"/>
  <c r="E67" i="4"/>
  <c r="F67" i="4" s="1"/>
  <c r="G67" i="4" s="1"/>
  <c r="E68" i="4"/>
  <c r="F68" i="4" s="1"/>
  <c r="G68" i="4" s="1"/>
  <c r="E69" i="4"/>
  <c r="F69" i="4" s="1"/>
  <c r="G69" i="4" s="1"/>
  <c r="E70" i="4"/>
  <c r="F70" i="4" s="1"/>
  <c r="G70" i="4" s="1"/>
  <c r="E71" i="4"/>
  <c r="F71" i="4" s="1"/>
  <c r="G71" i="4" s="1"/>
  <c r="E72" i="4"/>
  <c r="F72" i="4" s="1"/>
  <c r="E19" i="4"/>
  <c r="F19" i="4" s="1"/>
  <c r="G19" i="4" s="1"/>
  <c r="D19" i="19" l="1"/>
  <c r="D20" i="19"/>
  <c r="BC26" i="10"/>
  <c r="AO26" i="10"/>
  <c r="BG26" i="10"/>
  <c r="AQ26" i="10"/>
  <c r="AX26" i="10"/>
  <c r="AK26" i="10"/>
  <c r="AM26" i="10"/>
  <c r="BD26" i="10"/>
  <c r="BK26" i="10"/>
  <c r="BE26" i="10"/>
  <c r="AZ26" i="10"/>
  <c r="BF26" i="10"/>
  <c r="AP26" i="10"/>
  <c r="BB26" i="10"/>
  <c r="AS26" i="10"/>
  <c r="AW26" i="10"/>
  <c r="AT26" i="10"/>
  <c r="BI26" i="10"/>
  <c r="AU26" i="10"/>
  <c r="AL26" i="10"/>
  <c r="AV26" i="10"/>
  <c r="BJ26" i="10"/>
  <c r="BH26" i="10"/>
  <c r="AY26" i="10"/>
  <c r="BL26" i="10"/>
  <c r="BA26" i="10"/>
  <c r="AN26" i="10"/>
  <c r="AR26" i="10"/>
  <c r="AN10" i="10"/>
  <c r="AS10" i="10"/>
  <c r="AU10" i="10"/>
  <c r="BA10" i="10"/>
  <c r="BC10" i="10"/>
  <c r="AL10" i="10"/>
  <c r="BB10" i="10"/>
  <c r="BE10" i="10"/>
  <c r="BJ10" i="10"/>
  <c r="BI10" i="10"/>
  <c r="AY10" i="10"/>
  <c r="AQ10" i="10"/>
  <c r="AM10" i="10"/>
  <c r="BD10" i="10"/>
  <c r="BK10" i="10"/>
  <c r="BF10" i="10"/>
  <c r="AO10" i="10"/>
  <c r="AP10" i="10"/>
  <c r="BH10" i="10"/>
  <c r="AK10" i="10"/>
  <c r="AR10" i="10"/>
  <c r="BG10" i="10"/>
  <c r="AV10" i="10"/>
  <c r="AX10" i="10"/>
  <c r="AW10" i="10"/>
  <c r="AZ10" i="10"/>
  <c r="BL10" i="10"/>
  <c r="AT10" i="10"/>
  <c r="D13" i="4"/>
  <c r="BF21" i="10"/>
  <c r="AL21" i="10"/>
  <c r="BE21" i="10"/>
  <c r="BL21" i="10"/>
  <c r="BG21" i="10"/>
  <c r="AT21" i="10"/>
  <c r="BA21" i="10"/>
  <c r="BH21" i="10"/>
  <c r="BB21" i="10"/>
  <c r="BI21" i="10"/>
  <c r="AK21" i="10"/>
  <c r="BC21" i="10"/>
  <c r="BJ21" i="10"/>
  <c r="AR21" i="10"/>
  <c r="AY21" i="10"/>
  <c r="AO21" i="10"/>
  <c r="BD21" i="10"/>
  <c r="BK21" i="10"/>
  <c r="AP21" i="10"/>
  <c r="AZ21" i="10"/>
  <c r="AN21" i="10"/>
  <c r="AQ21" i="10"/>
  <c r="AS21" i="10"/>
  <c r="AU21" i="10"/>
  <c r="AV21" i="10"/>
  <c r="AW21" i="10"/>
  <c r="AM21" i="10"/>
  <c r="AX21" i="10"/>
  <c r="AQ22" i="10"/>
  <c r="BJ22" i="10"/>
  <c r="AR22" i="10"/>
  <c r="BK22" i="10"/>
  <c r="AT22" i="10"/>
  <c r="AZ22" i="10"/>
  <c r="AU22" i="10"/>
  <c r="AW22" i="10"/>
  <c r="AO22" i="10"/>
  <c r="AV22" i="10"/>
  <c r="AL22" i="10"/>
  <c r="AP22" i="10"/>
  <c r="AS22" i="10"/>
  <c r="BE22" i="10"/>
  <c r="AK22" i="10"/>
  <c r="BH22" i="10"/>
  <c r="AM22" i="10"/>
  <c r="AY22" i="10"/>
  <c r="AN22" i="10"/>
  <c r="BL22" i="10"/>
  <c r="BB22" i="10"/>
  <c r="BD22" i="10"/>
  <c r="BC22" i="10"/>
  <c r="BI22" i="10"/>
  <c r="BA22" i="10"/>
  <c r="AX22" i="10"/>
  <c r="BF22" i="10"/>
  <c r="BG22" i="10"/>
  <c r="AS12" i="10"/>
  <c r="AK12" i="10"/>
  <c r="AP12" i="10"/>
  <c r="AV12" i="10"/>
  <c r="AL12" i="10"/>
  <c r="AQ12" i="10"/>
  <c r="AM12" i="10"/>
  <c r="AT12" i="10"/>
  <c r="AN12" i="10"/>
  <c r="AR12" i="10"/>
  <c r="AW12" i="10"/>
  <c r="AO12" i="10"/>
  <c r="BA12" i="10"/>
  <c r="BB12" i="10"/>
  <c r="AU12" i="10"/>
  <c r="BI12" i="10"/>
  <c r="BG12" i="10"/>
  <c r="BJ12" i="10"/>
  <c r="BH12" i="10"/>
  <c r="BK12" i="10"/>
  <c r="BL12" i="10"/>
  <c r="AY12" i="10"/>
  <c r="BF12" i="10"/>
  <c r="BD12" i="10"/>
  <c r="AX12" i="10"/>
  <c r="BE12" i="10"/>
  <c r="AZ12" i="10"/>
  <c r="BC12" i="10"/>
  <c r="BB11" i="10"/>
  <c r="AK11" i="10"/>
  <c r="BF11" i="10"/>
  <c r="BL11" i="10"/>
  <c r="AW11" i="10"/>
  <c r="BA11" i="10"/>
  <c r="AV11" i="10"/>
  <c r="AO11" i="10"/>
  <c r="BH11" i="10"/>
  <c r="AX11" i="10"/>
  <c r="BD11" i="10"/>
  <c r="AR11" i="10"/>
  <c r="BC11" i="10"/>
  <c r="AQ11" i="10"/>
  <c r="AU11" i="10"/>
  <c r="AP11" i="10"/>
  <c r="BG11" i="10"/>
  <c r="AL11" i="10"/>
  <c r="AT11" i="10"/>
  <c r="BJ11" i="10"/>
  <c r="AZ11" i="10"/>
  <c r="BE11" i="10"/>
  <c r="AM11" i="10"/>
  <c r="AY11" i="10"/>
  <c r="AS11" i="10"/>
  <c r="AN11" i="10"/>
  <c r="BK11" i="10"/>
  <c r="BI11" i="10"/>
  <c r="E49" i="38"/>
  <c r="B6" i="38"/>
  <c r="I4" i="4" s="1"/>
  <c r="AP17" i="10"/>
  <c r="AY17" i="10"/>
  <c r="AS17" i="10"/>
  <c r="BB17" i="10"/>
  <c r="AL17" i="10"/>
  <c r="BG17" i="10"/>
  <c r="AU17" i="10"/>
  <c r="BC17" i="10"/>
  <c r="AV17" i="10"/>
  <c r="BD17" i="10"/>
  <c r="BJ17" i="10"/>
  <c r="AK17" i="10"/>
  <c r="AQ17" i="10"/>
  <c r="AW17" i="10"/>
  <c r="AO17" i="10"/>
  <c r="AX17" i="10"/>
  <c r="AR17" i="10"/>
  <c r="AM17" i="10"/>
  <c r="AN17" i="10"/>
  <c r="BE17" i="10"/>
  <c r="BF17" i="10"/>
  <c r="AZ17" i="10"/>
  <c r="BA17" i="10"/>
  <c r="AT17" i="10"/>
  <c r="BH17" i="10"/>
  <c r="BI17" i="10"/>
  <c r="BK17" i="10"/>
  <c r="BL17" i="10"/>
  <c r="AR8" i="10"/>
  <c r="AQ8" i="10"/>
  <c r="AS8" i="10"/>
  <c r="AX8" i="10"/>
  <c r="AT8" i="10"/>
  <c r="AZ8" i="10"/>
  <c r="AU8" i="10"/>
  <c r="BC8" i="10"/>
  <c r="AV8" i="10"/>
  <c r="BJ8" i="10"/>
  <c r="AO8" i="10"/>
  <c r="BH8" i="10"/>
  <c r="BK8" i="10"/>
  <c r="BA8" i="10"/>
  <c r="AL8" i="10"/>
  <c r="AM8" i="10"/>
  <c r="BB8" i="10"/>
  <c r="BI8" i="10"/>
  <c r="AK8" i="10"/>
  <c r="AP8" i="10"/>
  <c r="BD8" i="10"/>
  <c r="BE8" i="10"/>
  <c r="BF8" i="10"/>
  <c r="BG8" i="10"/>
  <c r="AW8" i="10"/>
  <c r="AY8" i="10"/>
  <c r="AN8" i="10"/>
  <c r="BL8" i="10"/>
  <c r="BJ18" i="10"/>
  <c r="BB18" i="10"/>
  <c r="AT18" i="10"/>
  <c r="AU18" i="10"/>
  <c r="BD18" i="10"/>
  <c r="AV18" i="10"/>
  <c r="BE18" i="10"/>
  <c r="AW18" i="10"/>
  <c r="BF18" i="10"/>
  <c r="AL18" i="10"/>
  <c r="BA18" i="10"/>
  <c r="AS18" i="10"/>
  <c r="AP18" i="10"/>
  <c r="AQ18" i="10"/>
  <c r="AM18" i="10"/>
  <c r="AK18" i="10"/>
  <c r="AY18" i="10"/>
  <c r="BG18" i="10"/>
  <c r="BK18" i="10"/>
  <c r="BH18" i="10"/>
  <c r="BI18" i="10"/>
  <c r="BL18" i="10"/>
  <c r="AZ18" i="10"/>
  <c r="AO18" i="10"/>
  <c r="BC18" i="10"/>
  <c r="AX18" i="10"/>
  <c r="AN18" i="10"/>
  <c r="AR18" i="10"/>
  <c r="AK9" i="10"/>
  <c r="BJ9" i="10"/>
  <c r="BK9" i="10"/>
  <c r="BI9" i="10"/>
  <c r="BB9" i="10"/>
  <c r="AU9" i="10"/>
  <c r="BC9" i="10"/>
  <c r="AW9" i="10"/>
  <c r="BD9" i="10"/>
  <c r="AZ9" i="10"/>
  <c r="AL9" i="10"/>
  <c r="BE9" i="10"/>
  <c r="BG9" i="10"/>
  <c r="AV9" i="10"/>
  <c r="AX9" i="10"/>
  <c r="AY9" i="10"/>
  <c r="BA9" i="10"/>
  <c r="BH9" i="10"/>
  <c r="AP9" i="10"/>
  <c r="AQ9" i="10"/>
  <c r="AR9" i="10"/>
  <c r="AS9" i="10"/>
  <c r="AM9" i="10"/>
  <c r="BL9" i="10"/>
  <c r="AT9" i="10"/>
  <c r="AO9" i="10"/>
  <c r="AN9" i="10"/>
  <c r="BF9" i="10"/>
  <c r="AT25" i="10"/>
  <c r="BD25" i="10"/>
  <c r="BJ25" i="10"/>
  <c r="BL25" i="10"/>
  <c r="AU25" i="10"/>
  <c r="BA25" i="10"/>
  <c r="AV25" i="10"/>
  <c r="BB25" i="10"/>
  <c r="AW25" i="10"/>
  <c r="BC25" i="10"/>
  <c r="AL25" i="10"/>
  <c r="BF25" i="10"/>
  <c r="AK25" i="10"/>
  <c r="AS25" i="10"/>
  <c r="BH25" i="10"/>
  <c r="BI25" i="10"/>
  <c r="AN25" i="10"/>
  <c r="AX25" i="10"/>
  <c r="AZ25" i="10"/>
  <c r="AM25" i="10"/>
  <c r="AO25" i="10"/>
  <c r="AY25" i="10"/>
  <c r="AQ25" i="10"/>
  <c r="AR25" i="10"/>
  <c r="AP25" i="10"/>
  <c r="BE25" i="10"/>
  <c r="BG25" i="10"/>
  <c r="BK25" i="10"/>
  <c r="AZ30" i="10"/>
  <c r="AK30" i="10"/>
  <c r="BI30" i="10"/>
  <c r="AP30" i="10"/>
  <c r="BH30" i="10"/>
  <c r="AX30" i="10"/>
  <c r="AR30" i="10"/>
  <c r="AM30" i="10"/>
  <c r="AS30" i="10"/>
  <c r="BK30" i="10"/>
  <c r="AT30" i="10"/>
  <c r="AN30" i="10"/>
  <c r="BL30" i="10"/>
  <c r="BC30" i="10"/>
  <c r="BA30" i="10"/>
  <c r="BB30" i="10"/>
  <c r="BD30" i="10"/>
  <c r="BE30" i="10"/>
  <c r="BF30" i="10"/>
  <c r="AQ30" i="10"/>
  <c r="AW30" i="10"/>
  <c r="AU30" i="10"/>
  <c r="BJ30" i="10"/>
  <c r="AV30" i="10"/>
  <c r="AY30" i="10"/>
  <c r="AL30" i="10"/>
  <c r="AO30" i="10"/>
  <c r="BG30" i="10"/>
  <c r="BF29" i="10"/>
  <c r="AZ29" i="10"/>
  <c r="AU29" i="10"/>
  <c r="BK29" i="10"/>
  <c r="AO29" i="10"/>
  <c r="AV29" i="10"/>
  <c r="AP29" i="10"/>
  <c r="AK29" i="10"/>
  <c r="AQ29" i="10"/>
  <c r="BI29" i="10"/>
  <c r="AT29" i="10"/>
  <c r="AR29" i="10"/>
  <c r="AX29" i="10"/>
  <c r="BD29" i="10"/>
  <c r="BJ29" i="10"/>
  <c r="AS29" i="10"/>
  <c r="AY29" i="10"/>
  <c r="BA29" i="10"/>
  <c r="BB29" i="10"/>
  <c r="BE29" i="10"/>
  <c r="BG29" i="10"/>
  <c r="BH29" i="10"/>
  <c r="AW29" i="10"/>
  <c r="AL29" i="10"/>
  <c r="AM29" i="10"/>
  <c r="AN29" i="10"/>
  <c r="BL29" i="10"/>
  <c r="BC29" i="10"/>
  <c r="AV16" i="10"/>
  <c r="AN16" i="10"/>
  <c r="BJ16" i="10"/>
  <c r="BB16" i="10"/>
  <c r="AS16" i="10"/>
  <c r="AX16" i="10"/>
  <c r="BF16" i="10"/>
  <c r="AQ16" i="10"/>
  <c r="AY16" i="10"/>
  <c r="BG16" i="10"/>
  <c r="AL16" i="10"/>
  <c r="AT16" i="10"/>
  <c r="AZ16" i="10"/>
  <c r="AU16" i="10"/>
  <c r="AM16" i="10"/>
  <c r="BH16" i="10"/>
  <c r="BI16" i="10"/>
  <c r="AW16" i="10"/>
  <c r="BK16" i="10"/>
  <c r="BL16" i="10"/>
  <c r="AK16" i="10"/>
  <c r="BA16" i="10"/>
  <c r="AO16" i="10"/>
  <c r="BC16" i="10"/>
  <c r="AR16" i="10"/>
  <c r="AP16" i="10"/>
  <c r="BD16" i="10"/>
  <c r="BE16" i="10"/>
  <c r="C224" i="33"/>
  <c r="G66" i="29"/>
  <c r="B76" i="22"/>
  <c r="C221" i="33"/>
  <c r="D83" i="12" s="1"/>
  <c r="X91" i="12"/>
  <c r="Y76" i="12"/>
  <c r="I91" i="12"/>
  <c r="Z76" i="12"/>
  <c r="W76" i="12"/>
  <c r="P76" i="12"/>
  <c r="K91" i="12"/>
  <c r="S91" i="12"/>
  <c r="M76" i="12"/>
  <c r="H91" i="12"/>
  <c r="AH91" i="12"/>
  <c r="L91" i="12"/>
  <c r="H76" i="12"/>
  <c r="AE91" i="12"/>
  <c r="U76" i="12"/>
  <c r="AE76" i="12"/>
  <c r="T76" i="12"/>
  <c r="X76" i="12"/>
  <c r="Q76" i="12"/>
  <c r="AB76" i="12"/>
  <c r="V76" i="12"/>
  <c r="J76" i="12"/>
  <c r="U91" i="12"/>
  <c r="O91" i="12"/>
  <c r="N91" i="12"/>
  <c r="AD76" i="12"/>
  <c r="AG91" i="12"/>
  <c r="Q91" i="12"/>
  <c r="AC76" i="12"/>
  <c r="AF91" i="12"/>
  <c r="T91" i="12"/>
  <c r="AA91" i="12"/>
  <c r="AG76" i="12"/>
  <c r="L76" i="12"/>
  <c r="Z91" i="12"/>
  <c r="AB91" i="12"/>
  <c r="AD91" i="12"/>
  <c r="O76" i="12"/>
  <c r="R91" i="12"/>
  <c r="AC91" i="12"/>
  <c r="V91" i="12"/>
  <c r="Y91" i="12"/>
  <c r="K76" i="12"/>
  <c r="N76" i="12"/>
  <c r="M91" i="12"/>
  <c r="S76" i="12"/>
  <c r="R76" i="12"/>
  <c r="AH76" i="12"/>
  <c r="AI91" i="12"/>
  <c r="AA76" i="12"/>
  <c r="AF76" i="12"/>
  <c r="J91" i="12"/>
  <c r="I76" i="12"/>
  <c r="AI76" i="12"/>
  <c r="P91" i="12"/>
  <c r="W91" i="12"/>
  <c r="L203" i="33"/>
  <c r="L201" i="33"/>
  <c r="V203" i="33"/>
  <c r="V201" i="33"/>
  <c r="G306" i="33"/>
  <c r="G330" i="33" s="1"/>
  <c r="G344" i="33" s="1"/>
  <c r="G357" i="33" s="1"/>
  <c r="G278" i="33"/>
  <c r="AG306" i="33"/>
  <c r="AG330" i="33" s="1"/>
  <c r="AG344" i="33" s="1"/>
  <c r="AG357" i="33" s="1"/>
  <c r="AG278" i="33"/>
  <c r="K306" i="33"/>
  <c r="K330" i="33" s="1"/>
  <c r="K344" i="33" s="1"/>
  <c r="K357" i="33" s="1"/>
  <c r="K278" i="33"/>
  <c r="J306" i="33"/>
  <c r="J330" i="33" s="1"/>
  <c r="J344" i="33" s="1"/>
  <c r="J357" i="33" s="1"/>
  <c r="J278" i="33"/>
  <c r="R306" i="33"/>
  <c r="R330" i="33" s="1"/>
  <c r="R344" i="33" s="1"/>
  <c r="R357" i="33" s="1"/>
  <c r="R278" i="33"/>
  <c r="J203" i="33"/>
  <c r="J201" i="33"/>
  <c r="AD306" i="33"/>
  <c r="AD330" i="33" s="1"/>
  <c r="AD344" i="33" s="1"/>
  <c r="AD357" i="33" s="1"/>
  <c r="AD278" i="33"/>
  <c r="H203" i="33"/>
  <c r="H201" i="33"/>
  <c r="T203" i="33"/>
  <c r="T201" i="33"/>
  <c r="Y203" i="33"/>
  <c r="Y201" i="33"/>
  <c r="AB203" i="33"/>
  <c r="AB201" i="33"/>
  <c r="AA203" i="33"/>
  <c r="AA201" i="33"/>
  <c r="P203" i="33"/>
  <c r="P201" i="33"/>
  <c r="AC203" i="33"/>
  <c r="AC201" i="33"/>
  <c r="AD203" i="33"/>
  <c r="AD201" i="33"/>
  <c r="K203" i="33"/>
  <c r="K201" i="33"/>
  <c r="W203" i="33"/>
  <c r="W201" i="33"/>
  <c r="R203" i="33"/>
  <c r="R201" i="33"/>
  <c r="P306" i="33"/>
  <c r="P330" i="33" s="1"/>
  <c r="P344" i="33" s="1"/>
  <c r="P357" i="33" s="1"/>
  <c r="P278" i="33"/>
  <c r="AE306" i="33"/>
  <c r="AE330" i="33" s="1"/>
  <c r="AE344" i="33" s="1"/>
  <c r="AE357" i="33" s="1"/>
  <c r="AE278" i="33"/>
  <c r="T306" i="33"/>
  <c r="T330" i="33" s="1"/>
  <c r="T344" i="33" s="1"/>
  <c r="T357" i="33" s="1"/>
  <c r="T278" i="33"/>
  <c r="N306" i="33"/>
  <c r="N330" i="33" s="1"/>
  <c r="N344" i="33" s="1"/>
  <c r="N357" i="33" s="1"/>
  <c r="N278" i="33"/>
  <c r="M306" i="33"/>
  <c r="M330" i="33" s="1"/>
  <c r="M344" i="33" s="1"/>
  <c r="M357" i="33" s="1"/>
  <c r="M278" i="33"/>
  <c r="AF306" i="33"/>
  <c r="AF330" i="33" s="1"/>
  <c r="AF344" i="33" s="1"/>
  <c r="AF357" i="33" s="1"/>
  <c r="AF278" i="33"/>
  <c r="U203" i="33"/>
  <c r="U201" i="33"/>
  <c r="S306" i="33"/>
  <c r="S330" i="33" s="1"/>
  <c r="S344" i="33" s="1"/>
  <c r="S357" i="33" s="1"/>
  <c r="S278" i="33"/>
  <c r="AE203" i="33"/>
  <c r="AE201" i="33"/>
  <c r="AC306" i="33"/>
  <c r="AC330" i="33" s="1"/>
  <c r="AC344" i="33" s="1"/>
  <c r="AC357" i="33" s="1"/>
  <c r="AC278" i="33"/>
  <c r="Q306" i="33"/>
  <c r="Q330" i="33" s="1"/>
  <c r="Q344" i="33" s="1"/>
  <c r="Q357" i="33" s="1"/>
  <c r="Q278" i="33"/>
  <c r="AB306" i="33"/>
  <c r="AB330" i="33" s="1"/>
  <c r="AB344" i="33" s="1"/>
  <c r="AB357" i="33" s="1"/>
  <c r="AB278" i="33"/>
  <c r="Z306" i="33"/>
  <c r="Z330" i="33" s="1"/>
  <c r="Z344" i="33" s="1"/>
  <c r="Z357" i="33" s="1"/>
  <c r="Z278" i="33"/>
  <c r="Y306" i="33"/>
  <c r="Y330" i="33" s="1"/>
  <c r="Y344" i="33" s="1"/>
  <c r="Y357" i="33" s="1"/>
  <c r="Y278" i="33"/>
  <c r="AA306" i="33"/>
  <c r="AA330" i="33" s="1"/>
  <c r="AA344" i="33" s="1"/>
  <c r="AA357" i="33" s="1"/>
  <c r="AA278" i="33"/>
  <c r="AF203" i="33"/>
  <c r="AF201" i="33"/>
  <c r="Z203" i="33"/>
  <c r="Z201" i="33"/>
  <c r="U306" i="33"/>
  <c r="U330" i="33" s="1"/>
  <c r="U344" i="33" s="1"/>
  <c r="U357" i="33" s="1"/>
  <c r="U278" i="33"/>
  <c r="O203" i="33"/>
  <c r="O201" i="33"/>
  <c r="M203" i="33"/>
  <c r="M201" i="33"/>
  <c r="AH203" i="33"/>
  <c r="AH201" i="33"/>
  <c r="G203" i="33"/>
  <c r="G201" i="33"/>
  <c r="AG203" i="33"/>
  <c r="AG201" i="33"/>
  <c r="AH306" i="33"/>
  <c r="AH330" i="33" s="1"/>
  <c r="AH344" i="33" s="1"/>
  <c r="AH357" i="33" s="1"/>
  <c r="AH278" i="33"/>
  <c r="X306" i="33"/>
  <c r="X330" i="33" s="1"/>
  <c r="X344" i="33" s="1"/>
  <c r="X357" i="33" s="1"/>
  <c r="X278" i="33"/>
  <c r="L306" i="33"/>
  <c r="L330" i="33" s="1"/>
  <c r="L344" i="33" s="1"/>
  <c r="L357" i="33" s="1"/>
  <c r="L278" i="33"/>
  <c r="X203" i="33"/>
  <c r="X201" i="33"/>
  <c r="Q203" i="33"/>
  <c r="Q201" i="33"/>
  <c r="S203" i="33"/>
  <c r="S201" i="33"/>
  <c r="N203" i="33"/>
  <c r="N201" i="33"/>
  <c r="I203" i="33"/>
  <c r="I201" i="33"/>
  <c r="W306" i="33"/>
  <c r="W330" i="33" s="1"/>
  <c r="W344" i="33" s="1"/>
  <c r="W357" i="33" s="1"/>
  <c r="W278" i="33"/>
  <c r="H306" i="33"/>
  <c r="H330" i="33" s="1"/>
  <c r="H344" i="33" s="1"/>
  <c r="H357" i="33" s="1"/>
  <c r="H278" i="33"/>
  <c r="I306" i="33"/>
  <c r="I330" i="33" s="1"/>
  <c r="I344" i="33" s="1"/>
  <c r="I357" i="33" s="1"/>
  <c r="I278" i="33"/>
  <c r="O306" i="33"/>
  <c r="O330" i="33" s="1"/>
  <c r="O344" i="33" s="1"/>
  <c r="O357" i="33" s="1"/>
  <c r="O278" i="33"/>
  <c r="V306" i="33"/>
  <c r="V330" i="33" s="1"/>
  <c r="V344" i="33" s="1"/>
  <c r="V357" i="33" s="1"/>
  <c r="V278" i="33"/>
  <c r="AO23" i="21"/>
  <c r="H15" i="22" s="1"/>
  <c r="AV20" i="21"/>
  <c r="O12" i="22" s="1"/>
  <c r="AM21" i="21"/>
  <c r="F13" i="22" s="1"/>
  <c r="AM23" i="21"/>
  <c r="F15" i="22" s="1"/>
  <c r="BK20" i="21"/>
  <c r="AD12" i="22" s="1"/>
  <c r="BA20" i="21"/>
  <c r="T12" i="22" s="1"/>
  <c r="BE23" i="21"/>
  <c r="X15" i="22" s="1"/>
  <c r="AW20" i="21"/>
  <c r="P12" i="22" s="1"/>
  <c r="AS23" i="21"/>
  <c r="L15" i="22" s="1"/>
  <c r="AU21" i="21"/>
  <c r="N13" i="22" s="1"/>
  <c r="AL23" i="21"/>
  <c r="E15" i="22" s="1"/>
  <c r="BJ23" i="21"/>
  <c r="AC15" i="22" s="1"/>
  <c r="BA21" i="21"/>
  <c r="T13" i="22" s="1"/>
  <c r="AW23" i="21"/>
  <c r="P15" i="22" s="1"/>
  <c r="BD23" i="21"/>
  <c r="W15" i="22" s="1"/>
  <c r="AV23" i="21"/>
  <c r="O15" i="22" s="1"/>
  <c r="BC23" i="21"/>
  <c r="V15" i="22" s="1"/>
  <c r="AK22" i="21"/>
  <c r="D14" i="22" s="1"/>
  <c r="BB21" i="21"/>
  <c r="U13" i="22" s="1"/>
  <c r="AV21" i="21"/>
  <c r="O13" i="22" s="1"/>
  <c r="AK21" i="21"/>
  <c r="D13" i="22" s="1"/>
  <c r="AP21" i="21"/>
  <c r="I13" i="22" s="1"/>
  <c r="BG23" i="21"/>
  <c r="Z15" i="22" s="1"/>
  <c r="AQ21" i="21"/>
  <c r="J13" i="22" s="1"/>
  <c r="AO21" i="21"/>
  <c r="H13" i="22" s="1"/>
  <c r="BG21" i="21"/>
  <c r="Z13" i="22" s="1"/>
  <c r="AR23" i="21"/>
  <c r="K15" i="22" s="1"/>
  <c r="BE21" i="21"/>
  <c r="X13" i="22" s="1"/>
  <c r="BF21" i="21"/>
  <c r="Y13" i="22" s="1"/>
  <c r="AY22" i="21"/>
  <c r="R14" i="22" s="1"/>
  <c r="AU23" i="21"/>
  <c r="N15" i="22" s="1"/>
  <c r="AN21" i="21"/>
  <c r="G13" i="22" s="1"/>
  <c r="BH21" i="21"/>
  <c r="AA13" i="22" s="1"/>
  <c r="AS21" i="21"/>
  <c r="L13" i="22" s="1"/>
  <c r="BB23" i="21"/>
  <c r="U15" i="22" s="1"/>
  <c r="BL21" i="21"/>
  <c r="AE13" i="22" s="1"/>
  <c r="AW21" i="21"/>
  <c r="P13" i="22" s="1"/>
  <c r="AZ22" i="21"/>
  <c r="S14" i="22" s="1"/>
  <c r="BE22" i="21"/>
  <c r="X14" i="22" s="1"/>
  <c r="BD21" i="21"/>
  <c r="W13" i="22" s="1"/>
  <c r="C262" i="33"/>
  <c r="C292" i="33" s="1"/>
  <c r="C297" i="33" s="1"/>
  <c r="D95" i="12" s="1"/>
  <c r="D89" i="12"/>
  <c r="U8" i="29"/>
  <c r="U17" i="29" s="1"/>
  <c r="BL20" i="21"/>
  <c r="AE12" i="22" s="1"/>
  <c r="AQ20" i="21"/>
  <c r="J12" i="22" s="1"/>
  <c r="BE20" i="21"/>
  <c r="X12" i="22" s="1"/>
  <c r="BF20" i="21"/>
  <c r="Y12" i="22" s="1"/>
  <c r="AL20" i="21"/>
  <c r="E12" i="22" s="1"/>
  <c r="AX20" i="21"/>
  <c r="Q12" i="22" s="1"/>
  <c r="AY20" i="21"/>
  <c r="R12" i="22" s="1"/>
  <c r="BC20" i="21"/>
  <c r="V12" i="22" s="1"/>
  <c r="AN20" i="21"/>
  <c r="G12" i="22" s="1"/>
  <c r="AS20" i="21"/>
  <c r="L12" i="22" s="1"/>
  <c r="BI23" i="21"/>
  <c r="AB15" i="22" s="1"/>
  <c r="AM22" i="21"/>
  <c r="F14" i="22" s="1"/>
  <c r="BH22" i="21"/>
  <c r="AA14" i="22" s="1"/>
  <c r="BG22" i="21"/>
  <c r="Z14" i="22" s="1"/>
  <c r="AO22" i="21"/>
  <c r="H14" i="22" s="1"/>
  <c r="AX22" i="21"/>
  <c r="Q14" i="22" s="1"/>
  <c r="AS22" i="21"/>
  <c r="L14" i="22" s="1"/>
  <c r="AL22" i="21"/>
  <c r="E14" i="22" s="1"/>
  <c r="BJ22" i="21"/>
  <c r="AC14" i="22" s="1"/>
  <c r="BA23" i="21"/>
  <c r="T15" i="22" s="1"/>
  <c r="AW22" i="21"/>
  <c r="P14" i="22" s="1"/>
  <c r="AZ23" i="21"/>
  <c r="S15" i="22" s="1"/>
  <c r="BD22" i="21"/>
  <c r="W14" i="22" s="1"/>
  <c r="BF22" i="21"/>
  <c r="Y14" i="22" s="1"/>
  <c r="AM20" i="21"/>
  <c r="F12" i="22" s="1"/>
  <c r="L8" i="29"/>
  <c r="AO8" i="29" s="1"/>
  <c r="AN23" i="21"/>
  <c r="G15" i="22" s="1"/>
  <c r="D4" i="22"/>
  <c r="BI21" i="21"/>
  <c r="AB13" i="22" s="1"/>
  <c r="V4" i="22"/>
  <c r="BC22" i="21"/>
  <c r="V14" i="22" s="1"/>
  <c r="AT23" i="21"/>
  <c r="M15" i="22" s="1"/>
  <c r="AE8" i="29"/>
  <c r="BH8" i="29" s="1"/>
  <c r="Q8" i="29"/>
  <c r="AT8" i="29" s="1"/>
  <c r="P8" i="29"/>
  <c r="AS8" i="29" s="1"/>
  <c r="O8" i="29"/>
  <c r="AR8" i="29" s="1"/>
  <c r="AC8" i="29"/>
  <c r="BF8" i="29" s="1"/>
  <c r="AG8" i="29"/>
  <c r="BJ8" i="29" s="1"/>
  <c r="Y8" i="29"/>
  <c r="BB8" i="29" s="1"/>
  <c r="AZ20" i="21"/>
  <c r="S12" i="22" s="1"/>
  <c r="AU20" i="21"/>
  <c r="N12" i="22" s="1"/>
  <c r="AR20" i="21"/>
  <c r="K12" i="22" s="1"/>
  <c r="AO20" i="21"/>
  <c r="H12" i="22" s="1"/>
  <c r="BG20" i="21"/>
  <c r="Z12" i="22" s="1"/>
  <c r="BL22" i="21"/>
  <c r="AE14" i="22" s="1"/>
  <c r="AI6" i="29"/>
  <c r="BL6" i="29" s="1"/>
  <c r="AC6" i="29"/>
  <c r="BF6" i="29" s="1"/>
  <c r="W6" i="29"/>
  <c r="AZ6" i="29" s="1"/>
  <c r="BI22" i="21"/>
  <c r="AB14" i="22" s="1"/>
  <c r="Y5" i="29"/>
  <c r="BB5" i="29" s="1"/>
  <c r="L5" i="29"/>
  <c r="AO5" i="29" s="1"/>
  <c r="P5" i="29"/>
  <c r="AS5" i="29" s="1"/>
  <c r="AH7" i="29"/>
  <c r="BK7" i="29" s="1"/>
  <c r="I7" i="29"/>
  <c r="AL7" i="29" s="1"/>
  <c r="BH20" i="21"/>
  <c r="AA12" i="22" s="1"/>
  <c r="BI38" i="29"/>
  <c r="BA38" i="29"/>
  <c r="AP38" i="29"/>
  <c r="AV38" i="29"/>
  <c r="BF38" i="29"/>
  <c r="BB38" i="29"/>
  <c r="AR38" i="29"/>
  <c r="AZ38" i="29"/>
  <c r="AT38" i="29"/>
  <c r="BH38" i="29"/>
  <c r="AN38" i="29"/>
  <c r="BL38" i="29"/>
  <c r="AU38" i="29"/>
  <c r="AO38" i="29"/>
  <c r="AW38" i="29"/>
  <c r="BD38" i="29"/>
  <c r="AQ38" i="29"/>
  <c r="BE38" i="29"/>
  <c r="BJ38" i="29"/>
  <c r="AL38" i="29"/>
  <c r="BG38" i="29"/>
  <c r="BC38" i="29"/>
  <c r="AY38" i="29"/>
  <c r="AK38" i="29"/>
  <c r="AS38" i="29"/>
  <c r="AM38" i="29"/>
  <c r="AX38" i="29"/>
  <c r="BK38" i="29"/>
  <c r="Z4" i="29"/>
  <c r="BC4" i="29" s="1"/>
  <c r="R4" i="29"/>
  <c r="AU4" i="29" s="1"/>
  <c r="X3" i="22"/>
  <c r="AI8" i="29"/>
  <c r="BL8" i="29" s="1"/>
  <c r="AF6" i="29"/>
  <c r="BI6" i="29" s="1"/>
  <c r="AB6" i="29"/>
  <c r="BE6" i="29" s="1"/>
  <c r="Y6" i="29"/>
  <c r="BB6" i="29" s="1"/>
  <c r="AC5" i="29"/>
  <c r="BF5" i="29" s="1"/>
  <c r="R5" i="29"/>
  <c r="AU5" i="29" s="1"/>
  <c r="S5" i="29"/>
  <c r="AV5" i="29" s="1"/>
  <c r="J7" i="29"/>
  <c r="AM7" i="29" s="1"/>
  <c r="AE7" i="29"/>
  <c r="BH7" i="29" s="1"/>
  <c r="AL21" i="21"/>
  <c r="E13" i="22" s="1"/>
  <c r="BB20" i="21"/>
  <c r="U12" i="22" s="1"/>
  <c r="N4" i="29"/>
  <c r="AQ4" i="29" s="1"/>
  <c r="W4" i="29"/>
  <c r="AZ4" i="29" s="1"/>
  <c r="H8" i="29"/>
  <c r="AK8" i="29" s="1"/>
  <c r="N6" i="29"/>
  <c r="AQ6" i="29" s="1"/>
  <c r="AG6" i="29"/>
  <c r="BJ6" i="29" s="1"/>
  <c r="U5" i="29"/>
  <c r="AX5" i="29" s="1"/>
  <c r="M5" i="29"/>
  <c r="AP5" i="29" s="1"/>
  <c r="L7" i="29"/>
  <c r="AO7" i="29" s="1"/>
  <c r="AI7" i="29"/>
  <c r="BL7" i="29" s="1"/>
  <c r="AE4" i="29"/>
  <c r="BH4" i="29" s="1"/>
  <c r="K4" i="29"/>
  <c r="AN4" i="29" s="1"/>
  <c r="M4" i="29"/>
  <c r="AP4" i="29" s="1"/>
  <c r="R3" i="22"/>
  <c r="Y3" i="22"/>
  <c r="T8" i="29"/>
  <c r="AW8" i="29" s="1"/>
  <c r="R8" i="29"/>
  <c r="AU8" i="29" s="1"/>
  <c r="H6" i="29"/>
  <c r="AK6" i="29" s="1"/>
  <c r="L6" i="29"/>
  <c r="AO6" i="29" s="1"/>
  <c r="O5" i="29"/>
  <c r="AR5" i="29" s="1"/>
  <c r="W5" i="29"/>
  <c r="AZ5" i="29" s="1"/>
  <c r="AP20" i="21"/>
  <c r="I12" i="22" s="1"/>
  <c r="X7" i="29"/>
  <c r="BA7" i="29" s="1"/>
  <c r="N7" i="29"/>
  <c r="AQ7" i="29" s="1"/>
  <c r="BD35" i="29"/>
  <c r="BA35" i="29"/>
  <c r="BL35" i="29"/>
  <c r="AR35" i="29"/>
  <c r="AX35" i="29"/>
  <c r="AK35" i="29"/>
  <c r="AT35" i="29"/>
  <c r="BB35" i="29"/>
  <c r="AL35" i="29"/>
  <c r="AU35" i="29"/>
  <c r="BH35" i="29"/>
  <c r="BJ35" i="29"/>
  <c r="AO35" i="29"/>
  <c r="AM35" i="29"/>
  <c r="BG35" i="29"/>
  <c r="BF35" i="29"/>
  <c r="BC35" i="29"/>
  <c r="AW35" i="29"/>
  <c r="BK35" i="29"/>
  <c r="AS35" i="29"/>
  <c r="AQ35" i="29"/>
  <c r="AN35" i="29"/>
  <c r="BI35" i="29"/>
  <c r="AZ35" i="29"/>
  <c r="AV35" i="29"/>
  <c r="BE35" i="29"/>
  <c r="AP35" i="29"/>
  <c r="AY35" i="29"/>
  <c r="AB4" i="29"/>
  <c r="BE4" i="29" s="1"/>
  <c r="AA4" i="29"/>
  <c r="BD4" i="29" s="1"/>
  <c r="H4" i="29"/>
  <c r="AK4" i="29" s="1"/>
  <c r="F3" i="22"/>
  <c r="AL40" i="29"/>
  <c r="AK40" i="29"/>
  <c r="L69" i="29" s="1"/>
  <c r="S8" i="29"/>
  <c r="AV8" i="29" s="1"/>
  <c r="AH6" i="29"/>
  <c r="BK6" i="29" s="1"/>
  <c r="AE6" i="29"/>
  <c r="BH6" i="29" s="1"/>
  <c r="AR44" i="29"/>
  <c r="AQ44" i="29"/>
  <c r="BK44" i="29"/>
  <c r="AT44" i="29"/>
  <c r="AP44" i="29"/>
  <c r="AN44" i="29"/>
  <c r="AK44" i="29"/>
  <c r="BB44" i="29"/>
  <c r="AZ44" i="29"/>
  <c r="AL44" i="29"/>
  <c r="AS44" i="29"/>
  <c r="AW44" i="29"/>
  <c r="BE44" i="29"/>
  <c r="AO44" i="29"/>
  <c r="BF44" i="29"/>
  <c r="BA44" i="29"/>
  <c r="AU44" i="29"/>
  <c r="AX44" i="29"/>
  <c r="BG44" i="29"/>
  <c r="BL44" i="29"/>
  <c r="AV44" i="29"/>
  <c r="BD44" i="29"/>
  <c r="BH44" i="29"/>
  <c r="BI44" i="29"/>
  <c r="AM44" i="29"/>
  <c r="BC44" i="29"/>
  <c r="BJ44" i="29"/>
  <c r="AY44" i="29"/>
  <c r="AT21" i="21"/>
  <c r="M13" i="22" s="1"/>
  <c r="N5" i="29"/>
  <c r="AQ5" i="29" s="1"/>
  <c r="AA5" i="29"/>
  <c r="BD5" i="29" s="1"/>
  <c r="BK23" i="21"/>
  <c r="AD15" i="22" s="1"/>
  <c r="Y7" i="29"/>
  <c r="BB7" i="29" s="1"/>
  <c r="T7" i="29"/>
  <c r="AW7" i="29" s="1"/>
  <c r="AC7" i="29"/>
  <c r="BF7" i="29" s="1"/>
  <c r="P4" i="29"/>
  <c r="AS4" i="29" s="1"/>
  <c r="O4" i="29"/>
  <c r="AR4" i="29" s="1"/>
  <c r="AC4" i="29"/>
  <c r="BF4" i="29" s="1"/>
  <c r="I6" i="29"/>
  <c r="AL6" i="29" s="1"/>
  <c r="Q6" i="29"/>
  <c r="AT6" i="29" s="1"/>
  <c r="AA8" i="29"/>
  <c r="BD8" i="29" s="1"/>
  <c r="AZ21" i="21"/>
  <c r="S13" i="22" s="1"/>
  <c r="AT20" i="21"/>
  <c r="M12" i="22" s="1"/>
  <c r="AE5" i="29"/>
  <c r="BH5" i="29" s="1"/>
  <c r="Z5" i="29"/>
  <c r="BC5" i="29" s="1"/>
  <c r="AK23" i="21"/>
  <c r="D15" i="22" s="1"/>
  <c r="S7" i="29"/>
  <c r="AV7" i="29" s="1"/>
  <c r="P7" i="29"/>
  <c r="AS7" i="29" s="1"/>
  <c r="Z7" i="29"/>
  <c r="BC7" i="29" s="1"/>
  <c r="AY23" i="21"/>
  <c r="R15" i="22" s="1"/>
  <c r="L4" i="29"/>
  <c r="AO4" i="29" s="1"/>
  <c r="Q4" i="29"/>
  <c r="AT4" i="29" s="1"/>
  <c r="J4" i="29"/>
  <c r="AM4" i="29" s="1"/>
  <c r="AF8" i="29"/>
  <c r="BI8" i="29" s="1"/>
  <c r="V8" i="29"/>
  <c r="AY8" i="29" s="1"/>
  <c r="M6" i="29"/>
  <c r="AP6" i="29" s="1"/>
  <c r="P6" i="29"/>
  <c r="AS6" i="29" s="1"/>
  <c r="AB8" i="29"/>
  <c r="BE8" i="29" s="1"/>
  <c r="AK34" i="29"/>
  <c r="AL34" i="29"/>
  <c r="AD5" i="29"/>
  <c r="BG5" i="29" s="1"/>
  <c r="AF5" i="29"/>
  <c r="BI5" i="29" s="1"/>
  <c r="I8" i="29"/>
  <c r="AL8" i="29" s="1"/>
  <c r="W7" i="29"/>
  <c r="AZ7" i="29" s="1"/>
  <c r="H7" i="29"/>
  <c r="AK7" i="29" s="1"/>
  <c r="Q7" i="29"/>
  <c r="AT7" i="29" s="1"/>
  <c r="Z8" i="29"/>
  <c r="BC8" i="29" s="1"/>
  <c r="I4" i="29"/>
  <c r="AL4" i="29" s="1"/>
  <c r="V4" i="29"/>
  <c r="AY4" i="29" s="1"/>
  <c r="R5" i="22"/>
  <c r="AK43" i="29"/>
  <c r="M69" i="29" s="1"/>
  <c r="AL43" i="29"/>
  <c r="AH8" i="29"/>
  <c r="BK8" i="29" s="1"/>
  <c r="R6" i="29"/>
  <c r="AU6" i="29" s="1"/>
  <c r="O6" i="29"/>
  <c r="AR6" i="29" s="1"/>
  <c r="BF32" i="29"/>
  <c r="AW32" i="29"/>
  <c r="AU32" i="29"/>
  <c r="AR32" i="29"/>
  <c r="BD32" i="29"/>
  <c r="BL32" i="29"/>
  <c r="BA32" i="29"/>
  <c r="BJ32" i="29"/>
  <c r="AZ32" i="29"/>
  <c r="BC32" i="29"/>
  <c r="AO32" i="29"/>
  <c r="BE32" i="29"/>
  <c r="BB32" i="29"/>
  <c r="AV32" i="29"/>
  <c r="AT32" i="29"/>
  <c r="BI32" i="29"/>
  <c r="AL32" i="29"/>
  <c r="AX32" i="29"/>
  <c r="AP32" i="29"/>
  <c r="BK32" i="29"/>
  <c r="AY32" i="29"/>
  <c r="AM32" i="29"/>
  <c r="BH32" i="29"/>
  <c r="AS32" i="29"/>
  <c r="AN32" i="29"/>
  <c r="BG32" i="29"/>
  <c r="AQ32" i="29"/>
  <c r="AQ22" i="21"/>
  <c r="J14" i="22" s="1"/>
  <c r="AX21" i="21"/>
  <c r="Q13" i="22" s="1"/>
  <c r="AT22" i="21"/>
  <c r="M14" i="22" s="1"/>
  <c r="Q5" i="29"/>
  <c r="AT5" i="29" s="1"/>
  <c r="H5" i="29"/>
  <c r="AK5" i="29" s="1"/>
  <c r="BB22" i="21"/>
  <c r="U14" i="22" s="1"/>
  <c r="AD7" i="29"/>
  <c r="BG7" i="29" s="1"/>
  <c r="K7" i="29"/>
  <c r="AN7" i="29" s="1"/>
  <c r="U7" i="29"/>
  <c r="AX7" i="29" s="1"/>
  <c r="BK22" i="21"/>
  <c r="AD14" i="22" s="1"/>
  <c r="T4" i="29"/>
  <c r="AW4" i="29" s="1"/>
  <c r="S4" i="29"/>
  <c r="AV4" i="29" s="1"/>
  <c r="AR22" i="21"/>
  <c r="K14" i="22" s="1"/>
  <c r="AY21" i="21"/>
  <c r="R13" i="22" s="1"/>
  <c r="V6" i="29"/>
  <c r="AY6" i="29" s="1"/>
  <c r="X6" i="29"/>
  <c r="BA6" i="29" s="1"/>
  <c r="AX23" i="21"/>
  <c r="Q15" i="22" s="1"/>
  <c r="G48" i="22"/>
  <c r="AI5" i="29"/>
  <c r="BL5" i="29" s="1"/>
  <c r="AB5" i="29"/>
  <c r="BE5" i="29" s="1"/>
  <c r="BD20" i="21"/>
  <c r="W12" i="22" s="1"/>
  <c r="AG7" i="29"/>
  <c r="BJ7" i="29" s="1"/>
  <c r="AF7" i="29"/>
  <c r="BI7" i="29" s="1"/>
  <c r="BK21" i="21"/>
  <c r="AD13" i="22" s="1"/>
  <c r="AG4" i="29"/>
  <c r="BJ4" i="29" s="1"/>
  <c r="AF4" i="29"/>
  <c r="BI4" i="29" s="1"/>
  <c r="BI20" i="21"/>
  <c r="AB12" i="22" s="1"/>
  <c r="AK37" i="29"/>
  <c r="K69" i="29" s="1"/>
  <c r="AL37" i="29"/>
  <c r="K8" i="29"/>
  <c r="AN8" i="29" s="1"/>
  <c r="W8" i="29"/>
  <c r="AZ8" i="29" s="1"/>
  <c r="AA6" i="29"/>
  <c r="BD6" i="29" s="1"/>
  <c r="S6" i="29"/>
  <c r="AV6" i="29" s="1"/>
  <c r="BJ21" i="21"/>
  <c r="AC13" i="22" s="1"/>
  <c r="AP23" i="21"/>
  <c r="I15" i="22" s="1"/>
  <c r="AQ23" i="21"/>
  <c r="J15" i="22" s="1"/>
  <c r="I5" i="29"/>
  <c r="AL5" i="29" s="1"/>
  <c r="J5" i="29"/>
  <c r="AM5" i="29" s="1"/>
  <c r="BC21" i="21"/>
  <c r="V13" i="22" s="1"/>
  <c r="O7" i="29"/>
  <c r="AR7" i="29" s="1"/>
  <c r="M7" i="29"/>
  <c r="AP7" i="29" s="1"/>
  <c r="AK20" i="21"/>
  <c r="D12" i="22" s="1"/>
  <c r="X4" i="29"/>
  <c r="BA4" i="29" s="1"/>
  <c r="AD4" i="29"/>
  <c r="BG4" i="29" s="1"/>
  <c r="BL23" i="21"/>
  <c r="AE15" i="22" s="1"/>
  <c r="W5" i="22"/>
  <c r="X8" i="29"/>
  <c r="BA8" i="29" s="1"/>
  <c r="AQ41" i="29"/>
  <c r="AR41" i="29"/>
  <c r="AW41" i="29"/>
  <c r="AT41" i="29"/>
  <c r="BJ41" i="29"/>
  <c r="BC41" i="29"/>
  <c r="BG41" i="29"/>
  <c r="BK41" i="29"/>
  <c r="BL41" i="29"/>
  <c r="AN41" i="29"/>
  <c r="BI41" i="29"/>
  <c r="BA41" i="29"/>
  <c r="AM41" i="29"/>
  <c r="AY41" i="29"/>
  <c r="AL41" i="29"/>
  <c r="BH41" i="29"/>
  <c r="AX41" i="29"/>
  <c r="BD41" i="29"/>
  <c r="AZ41" i="29"/>
  <c r="AU41" i="29"/>
  <c r="AO41" i="29"/>
  <c r="AP41" i="29"/>
  <c r="BF41" i="29"/>
  <c r="AK41" i="29"/>
  <c r="BB41" i="29"/>
  <c r="AS41" i="29"/>
  <c r="AV41" i="29"/>
  <c r="BE41" i="29"/>
  <c r="N8" i="29"/>
  <c r="AQ8" i="29" s="1"/>
  <c r="Z6" i="29"/>
  <c r="BC6" i="29" s="1"/>
  <c r="AD6" i="29"/>
  <c r="BG6" i="29" s="1"/>
  <c r="K6" i="29"/>
  <c r="AN6" i="29" s="1"/>
  <c r="AP22" i="21"/>
  <c r="I14" i="22" s="1"/>
  <c r="BH23" i="21"/>
  <c r="AA15" i="22" s="1"/>
  <c r="AN22" i="21"/>
  <c r="G14" i="22" s="1"/>
  <c r="AH5" i="29"/>
  <c r="BK5" i="29" s="1"/>
  <c r="T5" i="29"/>
  <c r="AW5" i="29" s="1"/>
  <c r="V5" i="29"/>
  <c r="AY5" i="29" s="1"/>
  <c r="AU22" i="21"/>
  <c r="N14" i="22" s="1"/>
  <c r="AB7" i="29"/>
  <c r="BE7" i="29" s="1"/>
  <c r="V7" i="29"/>
  <c r="AY7" i="29" s="1"/>
  <c r="M8" i="29"/>
  <c r="AP8" i="29" s="1"/>
  <c r="Y4" i="29"/>
  <c r="BB4" i="29" s="1"/>
  <c r="AI4" i="29"/>
  <c r="BL4" i="29" s="1"/>
  <c r="BA22" i="21"/>
  <c r="T14" i="22" s="1"/>
  <c r="J8" i="29"/>
  <c r="AM8" i="29" s="1"/>
  <c r="AK46" i="29"/>
  <c r="N69" i="29" s="1"/>
  <c r="AL46" i="29"/>
  <c r="J6" i="29"/>
  <c r="AM6" i="29" s="1"/>
  <c r="U6" i="29"/>
  <c r="AX6" i="29" s="1"/>
  <c r="T6" i="29"/>
  <c r="AW6" i="29" s="1"/>
  <c r="AD8" i="29"/>
  <c r="BG8" i="29" s="1"/>
  <c r="AG5" i="29"/>
  <c r="BJ5" i="29" s="1"/>
  <c r="X5" i="29"/>
  <c r="BA5" i="29" s="1"/>
  <c r="K5" i="29"/>
  <c r="AN5" i="29" s="1"/>
  <c r="R7" i="29"/>
  <c r="AU7" i="29" s="1"/>
  <c r="AA7" i="29"/>
  <c r="BD7" i="29" s="1"/>
  <c r="U4" i="29"/>
  <c r="AX4" i="29" s="1"/>
  <c r="AH4" i="29"/>
  <c r="BK4" i="29" s="1"/>
  <c r="AA253" i="33"/>
  <c r="AA259" i="33"/>
  <c r="AG259" i="33"/>
  <c r="AG253" i="33"/>
  <c r="S259" i="33"/>
  <c r="S253" i="33"/>
  <c r="O253" i="33"/>
  <c r="O259" i="33"/>
  <c r="I253" i="33"/>
  <c r="I259" i="33"/>
  <c r="AE259" i="33"/>
  <c r="AE253" i="33"/>
  <c r="AC259" i="33"/>
  <c r="AC253" i="33"/>
  <c r="W259" i="33"/>
  <c r="W253" i="33"/>
  <c r="R253" i="33"/>
  <c r="R259" i="33"/>
  <c r="X259" i="33"/>
  <c r="X253" i="33"/>
  <c r="P259" i="33"/>
  <c r="P253" i="33"/>
  <c r="L253" i="33"/>
  <c r="L259" i="33"/>
  <c r="AD259" i="33"/>
  <c r="AD253" i="33"/>
  <c r="J253" i="33"/>
  <c r="J259" i="33"/>
  <c r="AH253" i="33"/>
  <c r="AH259" i="33"/>
  <c r="Q253" i="33"/>
  <c r="Q259" i="33"/>
  <c r="AB259" i="33"/>
  <c r="AB253" i="33"/>
  <c r="Y259" i="33"/>
  <c r="Y253" i="33"/>
  <c r="V253" i="33"/>
  <c r="V259" i="33"/>
  <c r="T259" i="33"/>
  <c r="T253" i="33"/>
  <c r="G259" i="33"/>
  <c r="G253" i="33"/>
  <c r="N253" i="33"/>
  <c r="N259" i="33"/>
  <c r="U259" i="33"/>
  <c r="U253" i="33"/>
  <c r="H253" i="33"/>
  <c r="H259" i="33"/>
  <c r="AF259" i="33"/>
  <c r="AF253" i="33"/>
  <c r="Z259" i="33"/>
  <c r="Z253" i="33"/>
  <c r="M253" i="33"/>
  <c r="M259" i="33"/>
  <c r="K253" i="33"/>
  <c r="K259" i="33"/>
  <c r="C311" i="33"/>
  <c r="C289" i="33"/>
  <c r="AG4" i="33"/>
  <c r="X4" i="33"/>
  <c r="AH4" i="33"/>
  <c r="Z4" i="33"/>
  <c r="AK2" i="29"/>
  <c r="G4" i="33"/>
  <c r="AN2" i="29"/>
  <c r="J4" i="33"/>
  <c r="Q4" i="33"/>
  <c r="W4" i="33"/>
  <c r="AC4" i="33"/>
  <c r="S4" i="33"/>
  <c r="AM2" i="29"/>
  <c r="I4" i="33"/>
  <c r="R4" i="33"/>
  <c r="AP2" i="29"/>
  <c r="L4" i="33"/>
  <c r="AE4" i="33"/>
  <c r="U4" i="33"/>
  <c r="AD4" i="33"/>
  <c r="AQ2" i="29"/>
  <c r="M4" i="33"/>
  <c r="AA4" i="33"/>
  <c r="AL2" i="29"/>
  <c r="H4" i="33"/>
  <c r="AS2" i="29"/>
  <c r="O4" i="33"/>
  <c r="Y4" i="33"/>
  <c r="T4" i="33"/>
  <c r="P4" i="33"/>
  <c r="AO2" i="29"/>
  <c r="K4" i="33"/>
  <c r="V4" i="33"/>
  <c r="AR2" i="29"/>
  <c r="N4" i="33"/>
  <c r="AB4" i="33"/>
  <c r="AF4" i="33"/>
  <c r="AZ2" i="29"/>
  <c r="O48" i="29"/>
  <c r="BJ2" i="29"/>
  <c r="Y48" i="29"/>
  <c r="BB2" i="29"/>
  <c r="Q48" i="29"/>
  <c r="BL2" i="29"/>
  <c r="AA48" i="29"/>
  <c r="BD2" i="29"/>
  <c r="S48" i="29"/>
  <c r="AU2" i="29"/>
  <c r="J48" i="29"/>
  <c r="BA2" i="29"/>
  <c r="P48" i="29"/>
  <c r="BG2" i="29"/>
  <c r="V48" i="29"/>
  <c r="AW2" i="29"/>
  <c r="L48" i="29"/>
  <c r="AV2" i="29"/>
  <c r="K48" i="29"/>
  <c r="BI2" i="29"/>
  <c r="X48" i="29"/>
  <c r="AY2" i="29"/>
  <c r="N48" i="29"/>
  <c r="BH2" i="29"/>
  <c r="W48" i="29"/>
  <c r="BE2" i="29"/>
  <c r="T48" i="29"/>
  <c r="BK2" i="29"/>
  <c r="Z48" i="29"/>
  <c r="BC2" i="29"/>
  <c r="R48" i="29"/>
  <c r="AT2" i="29"/>
  <c r="I48" i="29"/>
  <c r="AX2" i="29"/>
  <c r="M48" i="29"/>
  <c r="BF2" i="29"/>
  <c r="U48" i="29"/>
  <c r="S3" i="22"/>
  <c r="W3" i="22"/>
  <c r="AU15" i="28"/>
  <c r="AU14" i="28"/>
  <c r="AU14" i="27"/>
  <c r="AU15" i="27"/>
  <c r="BC15" i="25"/>
  <c r="AU15" i="24"/>
  <c r="BC14" i="25"/>
  <c r="AU14" i="24"/>
  <c r="AD6" i="22"/>
  <c r="D43" i="22"/>
  <c r="P2" i="21"/>
  <c r="X11" i="20"/>
  <c r="AS2" i="11"/>
  <c r="AS2" i="21" s="1"/>
  <c r="AD2" i="21"/>
  <c r="AL11" i="20"/>
  <c r="BG2" i="11"/>
  <c r="BG2" i="21" s="1"/>
  <c r="BG26" i="21" s="1"/>
  <c r="O2" i="21"/>
  <c r="W11" i="20"/>
  <c r="AR2" i="11"/>
  <c r="AR2" i="21" s="1"/>
  <c r="W2" i="21"/>
  <c r="AE11" i="20"/>
  <c r="AZ2" i="11"/>
  <c r="AZ2" i="21" s="1"/>
  <c r="AZ26" i="21" s="1"/>
  <c r="AF2" i="21"/>
  <c r="AN11" i="20"/>
  <c r="BI2" i="11"/>
  <c r="BI2" i="21" s="1"/>
  <c r="BI26" i="21" s="1"/>
  <c r="V2" i="21"/>
  <c r="AD11" i="20"/>
  <c r="AY2" i="11"/>
  <c r="AY2" i="21" s="1"/>
  <c r="AY26" i="21" s="1"/>
  <c r="X2" i="21"/>
  <c r="AF11" i="20"/>
  <c r="BA2" i="11"/>
  <c r="BA2" i="21" s="1"/>
  <c r="BA26" i="21" s="1"/>
  <c r="AB2" i="21"/>
  <c r="AJ11" i="20"/>
  <c r="BE2" i="11"/>
  <c r="BE2" i="21" s="1"/>
  <c r="BE26" i="21" s="1"/>
  <c r="L2" i="21"/>
  <c r="T11" i="20"/>
  <c r="AO2" i="11"/>
  <c r="AO2" i="21" s="1"/>
  <c r="S2" i="21"/>
  <c r="AA11" i="20"/>
  <c r="AV2" i="11"/>
  <c r="AV2" i="21" s="1"/>
  <c r="AV26" i="21" s="1"/>
  <c r="AA2" i="21"/>
  <c r="AI11" i="20"/>
  <c r="BD2" i="11"/>
  <c r="BD2" i="21" s="1"/>
  <c r="BD26" i="21" s="1"/>
  <c r="I2" i="21"/>
  <c r="Q11" i="20"/>
  <c r="AL2" i="11"/>
  <c r="AL2" i="21" s="1"/>
  <c r="Q2" i="21"/>
  <c r="Y11" i="20"/>
  <c r="AT2" i="11"/>
  <c r="AT2" i="21" s="1"/>
  <c r="D2" i="21"/>
  <c r="L11" i="20"/>
  <c r="T2" i="21"/>
  <c r="AB11" i="20"/>
  <c r="AW2" i="11"/>
  <c r="AW2" i="21" s="1"/>
  <c r="AW26" i="21" s="1"/>
  <c r="U2" i="21"/>
  <c r="AC11" i="20"/>
  <c r="AX2" i="11"/>
  <c r="AX2" i="21" s="1"/>
  <c r="AX26" i="21" s="1"/>
  <c r="AK11" i="20"/>
  <c r="AC2" i="21"/>
  <c r="BF2" i="11"/>
  <c r="BF2" i="21" s="1"/>
  <c r="BF26" i="21" s="1"/>
  <c r="AP11" i="20"/>
  <c r="AH2" i="21"/>
  <c r="BK2" i="11"/>
  <c r="BK2" i="21" s="1"/>
  <c r="BK26" i="21" s="1"/>
  <c r="AE2" i="21"/>
  <c r="AM11" i="20"/>
  <c r="BH2" i="11"/>
  <c r="BH2" i="21" s="1"/>
  <c r="BH26" i="21" s="1"/>
  <c r="M11" i="20"/>
  <c r="E2" i="21"/>
  <c r="N2" i="21"/>
  <c r="V11" i="20"/>
  <c r="AQ2" i="11"/>
  <c r="AQ2" i="21" s="1"/>
  <c r="AG2" i="21"/>
  <c r="AO11" i="20"/>
  <c r="BJ2" i="11"/>
  <c r="BJ2" i="21" s="1"/>
  <c r="BJ26" i="21" s="1"/>
  <c r="M2" i="21"/>
  <c r="U11" i="20"/>
  <c r="AP2" i="11"/>
  <c r="AP2" i="21" s="1"/>
  <c r="Y2" i="21"/>
  <c r="AG11" i="20"/>
  <c r="BB2" i="11"/>
  <c r="BB2" i="21" s="1"/>
  <c r="BB26" i="21" s="1"/>
  <c r="K2" i="21"/>
  <c r="S11" i="20"/>
  <c r="AN2" i="11"/>
  <c r="AN2" i="21" s="1"/>
  <c r="F2" i="21"/>
  <c r="N11" i="20"/>
  <c r="Z2" i="21"/>
  <c r="AH11" i="20"/>
  <c r="BC2" i="11"/>
  <c r="BC2" i="21" s="1"/>
  <c r="BC26" i="21" s="1"/>
  <c r="R11" i="20"/>
  <c r="J2" i="21"/>
  <c r="AM2" i="11"/>
  <c r="AM2" i="21" s="1"/>
  <c r="AI2" i="21"/>
  <c r="AQ11" i="20"/>
  <c r="BL2" i="11"/>
  <c r="BL2" i="21" s="1"/>
  <c r="BL26" i="21" s="1"/>
  <c r="R2" i="21"/>
  <c r="Z11" i="20"/>
  <c r="AU2" i="11"/>
  <c r="AU2" i="21" s="1"/>
  <c r="AU26" i="21" s="1"/>
  <c r="H2" i="21"/>
  <c r="P11" i="20"/>
  <c r="AK2" i="11"/>
  <c r="AK2" i="21" s="1"/>
  <c r="AK26" i="21" s="1"/>
  <c r="O11" i="20"/>
  <c r="G2" i="21"/>
  <c r="AM22" i="12"/>
  <c r="AY22" i="12"/>
  <c r="BK22" i="12"/>
  <c r="AN22" i="12"/>
  <c r="AZ22" i="12"/>
  <c r="BL22" i="12"/>
  <c r="AO22" i="12"/>
  <c r="BA22" i="12"/>
  <c r="AK22" i="12"/>
  <c r="AW22" i="12"/>
  <c r="AP22" i="12"/>
  <c r="BB22" i="12"/>
  <c r="BC22" i="12"/>
  <c r="AX22" i="12"/>
  <c r="AQ22" i="12"/>
  <c r="AR22" i="12"/>
  <c r="BD22" i="12"/>
  <c r="AS22" i="12"/>
  <c r="BE22" i="12"/>
  <c r="BI22" i="12"/>
  <c r="AL22" i="12"/>
  <c r="AT22" i="12"/>
  <c r="BF22" i="12"/>
  <c r="AU22" i="12"/>
  <c r="BG22" i="12"/>
  <c r="BJ22" i="12"/>
  <c r="AV22" i="12"/>
  <c r="BH22" i="12"/>
  <c r="AM21" i="12"/>
  <c r="AY21" i="12"/>
  <c r="BK21" i="12"/>
  <c r="AN21" i="12"/>
  <c r="AZ21" i="12"/>
  <c r="BL21" i="12"/>
  <c r="AO21" i="12"/>
  <c r="BA21" i="12"/>
  <c r="AP21" i="12"/>
  <c r="BB21" i="12"/>
  <c r="AX21" i="12"/>
  <c r="AQ21" i="12"/>
  <c r="BC21" i="12"/>
  <c r="BJ21" i="12"/>
  <c r="AR21" i="12"/>
  <c r="BD21" i="12"/>
  <c r="AK21" i="12"/>
  <c r="AS21" i="12"/>
  <c r="BE21" i="12"/>
  <c r="AT21" i="12"/>
  <c r="BF21" i="12"/>
  <c r="AU21" i="12"/>
  <c r="BG21" i="12"/>
  <c r="AV21" i="12"/>
  <c r="BH21" i="12"/>
  <c r="AW21" i="12"/>
  <c r="BI21" i="12"/>
  <c r="AL21" i="12"/>
  <c r="AM20" i="12"/>
  <c r="AY20" i="12"/>
  <c r="BK20" i="12"/>
  <c r="AN20" i="12"/>
  <c r="AZ20" i="12"/>
  <c r="BL20" i="12"/>
  <c r="BJ20" i="12"/>
  <c r="AO20" i="12"/>
  <c r="BA20" i="12"/>
  <c r="AP20" i="12"/>
  <c r="BB20" i="12"/>
  <c r="AQ20" i="12"/>
  <c r="BC20" i="12"/>
  <c r="AR20" i="12"/>
  <c r="BD20" i="12"/>
  <c r="AS20" i="12"/>
  <c r="BE20" i="12"/>
  <c r="AT20" i="12"/>
  <c r="BF20" i="12"/>
  <c r="AL20" i="12"/>
  <c r="AU20" i="12"/>
  <c r="BG20" i="12"/>
  <c r="AK20" i="12"/>
  <c r="AV20" i="12"/>
  <c r="BH20" i="12"/>
  <c r="AX20" i="12"/>
  <c r="AW20" i="12"/>
  <c r="BI20" i="12"/>
  <c r="AM19" i="12"/>
  <c r="AY19" i="12"/>
  <c r="BK19" i="12"/>
  <c r="AN19" i="12"/>
  <c r="AZ19" i="12"/>
  <c r="BL19" i="12"/>
  <c r="AO19" i="12"/>
  <c r="BA19" i="12"/>
  <c r="AP19" i="12"/>
  <c r="BB19" i="12"/>
  <c r="AQ19" i="12"/>
  <c r="BC19" i="12"/>
  <c r="BE19" i="12"/>
  <c r="AR19" i="12"/>
  <c r="BD19" i="12"/>
  <c r="AS19" i="12"/>
  <c r="AT19" i="12"/>
  <c r="BF19" i="12"/>
  <c r="AX19" i="12"/>
  <c r="AK19" i="12"/>
  <c r="AU19" i="12"/>
  <c r="BG19" i="12"/>
  <c r="AL19" i="12"/>
  <c r="BJ19" i="12"/>
  <c r="AV19" i="12"/>
  <c r="BH19" i="12"/>
  <c r="AW19" i="12"/>
  <c r="BI19" i="12"/>
  <c r="AM25" i="12"/>
  <c r="AY25" i="12"/>
  <c r="BK25" i="12"/>
  <c r="AN25" i="12"/>
  <c r="AZ25" i="12"/>
  <c r="BL25" i="12"/>
  <c r="AO25" i="12"/>
  <c r="BA25" i="12"/>
  <c r="AP25" i="12"/>
  <c r="BB25" i="12"/>
  <c r="AQ25" i="12"/>
  <c r="BC25" i="12"/>
  <c r="AR25" i="12"/>
  <c r="BD25" i="12"/>
  <c r="AS25" i="12"/>
  <c r="BE25" i="12"/>
  <c r="AK25" i="12"/>
  <c r="AL25" i="12"/>
  <c r="AT25" i="12"/>
  <c r="BF25" i="12"/>
  <c r="AU25" i="12"/>
  <c r="BG25" i="12"/>
  <c r="AV25" i="12"/>
  <c r="BH25" i="12"/>
  <c r="AW25" i="12"/>
  <c r="BI25" i="12"/>
  <c r="AX25" i="12"/>
  <c r="BJ25" i="12"/>
  <c r="AM24" i="12"/>
  <c r="AY24" i="12"/>
  <c r="BK24" i="12"/>
  <c r="AX24" i="12"/>
  <c r="AN24" i="12"/>
  <c r="AZ24" i="12"/>
  <c r="BL24" i="12"/>
  <c r="AO24" i="12"/>
  <c r="BA24" i="12"/>
  <c r="AP24" i="12"/>
  <c r="BB24" i="12"/>
  <c r="AQ24" i="12"/>
  <c r="BC24" i="12"/>
  <c r="AR24" i="12"/>
  <c r="BD24" i="12"/>
  <c r="BJ24" i="12"/>
  <c r="AS24" i="12"/>
  <c r="BE24" i="12"/>
  <c r="AL24" i="12"/>
  <c r="AT24" i="12"/>
  <c r="BF24" i="12"/>
  <c r="AU24" i="12"/>
  <c r="BG24" i="12"/>
  <c r="AV24" i="12"/>
  <c r="BH24" i="12"/>
  <c r="AK24" i="12"/>
  <c r="AW24" i="12"/>
  <c r="BI24" i="12"/>
  <c r="AM23" i="12"/>
  <c r="AY23" i="12"/>
  <c r="BK23" i="12"/>
  <c r="AK23" i="12"/>
  <c r="AN23" i="12"/>
  <c r="AZ23" i="12"/>
  <c r="BL23" i="12"/>
  <c r="AO23" i="12"/>
  <c r="BA23" i="12"/>
  <c r="BJ23" i="12"/>
  <c r="AP23" i="12"/>
  <c r="BB23" i="12"/>
  <c r="AL23" i="12"/>
  <c r="AQ23" i="12"/>
  <c r="BC23" i="12"/>
  <c r="AR23" i="12"/>
  <c r="BD23" i="12"/>
  <c r="AS23" i="12"/>
  <c r="BE23" i="12"/>
  <c r="AT23" i="12"/>
  <c r="BF23" i="12"/>
  <c r="AU23" i="12"/>
  <c r="BG23" i="12"/>
  <c r="AV23" i="12"/>
  <c r="BH23" i="12"/>
  <c r="AX23" i="12"/>
  <c r="AW23" i="12"/>
  <c r="BI23" i="12"/>
  <c r="AP16" i="12"/>
  <c r="BB16" i="12"/>
  <c r="AQ16" i="12"/>
  <c r="BC16" i="12"/>
  <c r="AK16" i="12"/>
  <c r="AR16" i="12"/>
  <c r="BD16" i="12"/>
  <c r="AS16" i="12"/>
  <c r="BE16" i="12"/>
  <c r="AT16" i="12"/>
  <c r="BF16" i="12"/>
  <c r="AU16" i="12"/>
  <c r="BG16" i="12"/>
  <c r="AV16" i="12"/>
  <c r="BH16" i="12"/>
  <c r="AW16" i="12"/>
  <c r="BI16" i="12"/>
  <c r="AL16" i="12"/>
  <c r="AX16" i="12"/>
  <c r="BJ16" i="12"/>
  <c r="AM16" i="12"/>
  <c r="AY16" i="12"/>
  <c r="BK16" i="12"/>
  <c r="AN16" i="12"/>
  <c r="AZ16" i="12"/>
  <c r="BL16" i="12"/>
  <c r="AO16" i="12"/>
  <c r="BA16" i="12"/>
  <c r="L3" i="22"/>
  <c r="L6" i="22"/>
  <c r="M3" i="22"/>
  <c r="AB3" i="22"/>
  <c r="R4" i="22"/>
  <c r="G3" i="22"/>
  <c r="AC4" i="22"/>
  <c r="L4" i="22"/>
  <c r="K3" i="22"/>
  <c r="W4" i="22"/>
  <c r="V3" i="22"/>
  <c r="AC3" i="22"/>
  <c r="D5" i="22"/>
  <c r="N5" i="22"/>
  <c r="H5" i="22"/>
  <c r="AB4" i="22"/>
  <c r="E3" i="22"/>
  <c r="M5" i="22"/>
  <c r="O4" i="22"/>
  <c r="Q5" i="22"/>
  <c r="K6" i="22"/>
  <c r="F6" i="22"/>
  <c r="U3" i="22"/>
  <c r="S5" i="22"/>
  <c r="I3" i="22"/>
  <c r="AA6" i="22"/>
  <c r="J6" i="22"/>
  <c r="Q6" i="22"/>
  <c r="T3" i="22"/>
  <c r="L5" i="22"/>
  <c r="U6" i="22"/>
  <c r="S4" i="22"/>
  <c r="H3" i="22"/>
  <c r="P3" i="22"/>
  <c r="O3" i="22"/>
  <c r="D6" i="22"/>
  <c r="Z3" i="22"/>
  <c r="J5" i="22"/>
  <c r="N3" i="22"/>
  <c r="M6" i="22"/>
  <c r="S6" i="22"/>
  <c r="O5" i="22"/>
  <c r="I5" i="22"/>
  <c r="U4" i="22"/>
  <c r="Q4" i="22"/>
  <c r="R6" i="22"/>
  <c r="I4" i="22"/>
  <c r="E4" i="22"/>
  <c r="K4" i="22"/>
  <c r="J3" i="22"/>
  <c r="Q3" i="22"/>
  <c r="AD5" i="22"/>
  <c r="Y5" i="22"/>
  <c r="AE5" i="22"/>
  <c r="T4" i="22"/>
  <c r="V6" i="22"/>
  <c r="AC6" i="22"/>
  <c r="H4" i="22"/>
  <c r="P4" i="22"/>
  <c r="J4" i="22"/>
  <c r="D3" i="22"/>
  <c r="F5" i="22"/>
  <c r="X5" i="22"/>
  <c r="G5" i="22"/>
  <c r="AE4" i="22"/>
  <c r="AA4" i="22"/>
  <c r="AC5" i="22"/>
  <c r="O6" i="22"/>
  <c r="G4" i="22"/>
  <c r="Z4" i="22"/>
  <c r="AE3" i="22"/>
  <c r="AA3" i="22"/>
  <c r="E5" i="22"/>
  <c r="K5" i="22"/>
  <c r="N6" i="22"/>
  <c r="T6" i="22"/>
  <c r="P6" i="22"/>
  <c r="AD4" i="22"/>
  <c r="N4" i="22"/>
  <c r="AB5" i="22"/>
  <c r="V5" i="22"/>
  <c r="Y4" i="22"/>
  <c r="P5" i="22"/>
  <c r="Y6" i="22"/>
  <c r="AE6" i="22"/>
  <c r="F4" i="22"/>
  <c r="M4" i="22"/>
  <c r="AD3" i="22"/>
  <c r="AA5" i="22"/>
  <c r="U5" i="22"/>
  <c r="X4" i="22"/>
  <c r="X6" i="22"/>
  <c r="G6" i="22"/>
  <c r="Z5" i="22"/>
  <c r="T5" i="22"/>
  <c r="E6" i="22"/>
  <c r="Z6" i="22"/>
  <c r="I6" i="22"/>
  <c r="AB6" i="22"/>
  <c r="H6" i="22"/>
  <c r="W6" i="22"/>
  <c r="AU13" i="12"/>
  <c r="BG13" i="12"/>
  <c r="AW13" i="12"/>
  <c r="BI13" i="12"/>
  <c r="AL13" i="12"/>
  <c r="AX13" i="12"/>
  <c r="BJ13" i="12"/>
  <c r="AK13" i="12"/>
  <c r="AM13" i="12"/>
  <c r="AY13" i="12"/>
  <c r="BK13" i="12"/>
  <c r="AN13" i="12"/>
  <c r="AZ13" i="12"/>
  <c r="BL13" i="12"/>
  <c r="AP13" i="12"/>
  <c r="AO13" i="12"/>
  <c r="BA13" i="12"/>
  <c r="BB13" i="12"/>
  <c r="AQ13" i="12"/>
  <c r="BC13" i="12"/>
  <c r="AR13" i="12"/>
  <c r="BD13" i="12"/>
  <c r="AS13" i="12"/>
  <c r="BE13" i="12"/>
  <c r="AV13" i="12"/>
  <c r="AT13" i="12"/>
  <c r="BF13" i="12"/>
  <c r="BH13" i="12"/>
  <c r="D19" i="6"/>
  <c r="G72" i="4"/>
  <c r="F3" i="4" s="1"/>
  <c r="F2" i="22" l="1"/>
  <c r="AM26" i="21"/>
  <c r="K2" i="22"/>
  <c r="AR26" i="21"/>
  <c r="I2" i="22"/>
  <c r="AP26" i="21"/>
  <c r="M2" i="22"/>
  <c r="AT26" i="21"/>
  <c r="H2" i="22"/>
  <c r="AO26" i="21"/>
  <c r="L2" i="22"/>
  <c r="AS26" i="21"/>
  <c r="G2" i="22"/>
  <c r="AN26" i="21"/>
  <c r="J2" i="22"/>
  <c r="AQ26" i="21"/>
  <c r="E2" i="22"/>
  <c r="AL26" i="21"/>
  <c r="F8" i="38"/>
  <c r="B8" i="38" s="1"/>
  <c r="C4" i="4" s="1"/>
  <c r="D14" i="4"/>
  <c r="E57" i="38"/>
  <c r="E50" i="38"/>
  <c r="BI24" i="10"/>
  <c r="AW24" i="10"/>
  <c r="BG24" i="10"/>
  <c r="AO24" i="10"/>
  <c r="AK24" i="10"/>
  <c r="BL24" i="10"/>
  <c r="AU24" i="10"/>
  <c r="BA24" i="10"/>
  <c r="AL24" i="10"/>
  <c r="AQ24" i="10"/>
  <c r="AX24" i="10"/>
  <c r="BC24" i="10"/>
  <c r="BJ24" i="10"/>
  <c r="AR24" i="10"/>
  <c r="AM24" i="10"/>
  <c r="BD24" i="10"/>
  <c r="AY24" i="10"/>
  <c r="BE24" i="10"/>
  <c r="AN24" i="10"/>
  <c r="AS24" i="10"/>
  <c r="BF24" i="10"/>
  <c r="AV24" i="10"/>
  <c r="BH24" i="10"/>
  <c r="BK24" i="10"/>
  <c r="AZ24" i="10"/>
  <c r="AP24" i="10"/>
  <c r="BB24" i="10"/>
  <c r="AT24" i="10"/>
  <c r="AV20" i="10"/>
  <c r="BB20" i="10"/>
  <c r="BJ20" i="10"/>
  <c r="AO20" i="10"/>
  <c r="BH20" i="10"/>
  <c r="AZ20" i="10"/>
  <c r="AK20" i="10"/>
  <c r="AN20" i="10"/>
  <c r="BD20" i="10"/>
  <c r="BC20" i="10"/>
  <c r="AQ20" i="10"/>
  <c r="AY20" i="10"/>
  <c r="BF20" i="10"/>
  <c r="AM20" i="10"/>
  <c r="BL20" i="10"/>
  <c r="AT20" i="10"/>
  <c r="BG20" i="10"/>
  <c r="AX20" i="10"/>
  <c r="BA20" i="10"/>
  <c r="AS20" i="10"/>
  <c r="AP20" i="10"/>
  <c r="BE20" i="10"/>
  <c r="BK20" i="10"/>
  <c r="BI20" i="10"/>
  <c r="AR20" i="10"/>
  <c r="AW20" i="10"/>
  <c r="AU20" i="10"/>
  <c r="AL20" i="10"/>
  <c r="AS33" i="10"/>
  <c r="AO33" i="10"/>
  <c r="AY33" i="10"/>
  <c r="AR33" i="10"/>
  <c r="AM33" i="10"/>
  <c r="AU33" i="10"/>
  <c r="BK33" i="10"/>
  <c r="BA33" i="10"/>
  <c r="AP33" i="10"/>
  <c r="AT33" i="10"/>
  <c r="BI33" i="10"/>
  <c r="AK33" i="10"/>
  <c r="AW33" i="10"/>
  <c r="AN33" i="10"/>
  <c r="AZ33" i="10"/>
  <c r="BL33" i="10"/>
  <c r="BF33" i="10"/>
  <c r="BD33" i="10"/>
  <c r="AV33" i="10"/>
  <c r="BE33" i="10"/>
  <c r="BB33" i="10"/>
  <c r="AX33" i="10"/>
  <c r="BJ33" i="10"/>
  <c r="AL33" i="10"/>
  <c r="BH33" i="10"/>
  <c r="AQ33" i="10"/>
  <c r="BG33" i="10"/>
  <c r="BC33" i="10"/>
  <c r="AY14" i="10"/>
  <c r="AW14" i="10"/>
  <c r="AP14" i="10"/>
  <c r="BD14" i="10"/>
  <c r="AS14" i="10"/>
  <c r="AN14" i="10"/>
  <c r="AL14" i="10"/>
  <c r="AT14" i="10"/>
  <c r="AQ14" i="10"/>
  <c r="BJ14" i="10"/>
  <c r="AU14" i="10"/>
  <c r="AR14" i="10"/>
  <c r="AX14" i="10"/>
  <c r="BE14" i="10"/>
  <c r="AM14" i="10"/>
  <c r="BF14" i="10"/>
  <c r="BA14" i="10"/>
  <c r="BB14" i="10"/>
  <c r="BI14" i="10"/>
  <c r="BL14" i="10"/>
  <c r="AV14" i="10"/>
  <c r="AK14" i="10"/>
  <c r="BC14" i="10"/>
  <c r="BG14" i="10"/>
  <c r="BH14" i="10"/>
  <c r="BK14" i="10"/>
  <c r="AO14" i="10"/>
  <c r="AZ14" i="10"/>
  <c r="AW23" i="10"/>
  <c r="AQ23" i="10"/>
  <c r="AL23" i="10"/>
  <c r="AR23" i="10"/>
  <c r="AN23" i="10"/>
  <c r="BJ23" i="10"/>
  <c r="AS23" i="10"/>
  <c r="BF23" i="10"/>
  <c r="AY23" i="10"/>
  <c r="AX23" i="10"/>
  <c r="AM23" i="10"/>
  <c r="AZ23" i="10"/>
  <c r="BA23" i="10"/>
  <c r="AT23" i="10"/>
  <c r="AP23" i="10"/>
  <c r="AU23" i="10"/>
  <c r="BB23" i="10"/>
  <c r="BG23" i="10"/>
  <c r="BC23" i="10"/>
  <c r="AV23" i="10"/>
  <c r="BD23" i="10"/>
  <c r="AK23" i="10"/>
  <c r="BH23" i="10"/>
  <c r="BI23" i="10"/>
  <c r="BK23" i="10"/>
  <c r="BL23" i="10"/>
  <c r="AO23" i="10"/>
  <c r="BE23" i="10"/>
  <c r="AO10" i="12"/>
  <c r="AM10" i="12"/>
  <c r="BK10" i="12"/>
  <c r="BF10" i="12"/>
  <c r="AS10" i="12"/>
  <c r="AY10" i="12"/>
  <c r="BA10" i="12"/>
  <c r="BE10" i="12"/>
  <c r="AL10" i="12"/>
  <c r="AN10" i="12"/>
  <c r="AR10" i="12"/>
  <c r="BI10" i="12"/>
  <c r="BD10" i="12"/>
  <c r="BL10" i="12"/>
  <c r="AQ10" i="12"/>
  <c r="AZ10" i="12"/>
  <c r="BG10" i="12"/>
  <c r="BC10" i="12"/>
  <c r="AP10" i="12"/>
  <c r="AW10" i="12"/>
  <c r="AV10" i="12"/>
  <c r="AU10" i="12"/>
  <c r="BH10" i="12"/>
  <c r="BJ10" i="12"/>
  <c r="BB10" i="12"/>
  <c r="AX10" i="12"/>
  <c r="AK10" i="12"/>
  <c r="AT10" i="12"/>
  <c r="AZ19" i="10"/>
  <c r="BF19" i="10"/>
  <c r="AU19" i="10"/>
  <c r="BB19" i="10"/>
  <c r="BJ19" i="10"/>
  <c r="AV19" i="10"/>
  <c r="BC19" i="10"/>
  <c r="AW19" i="10"/>
  <c r="AX19" i="10"/>
  <c r="BD19" i="10"/>
  <c r="AY19" i="10"/>
  <c r="BE19" i="10"/>
  <c r="AL19" i="10"/>
  <c r="BK19" i="10"/>
  <c r="AM19" i="10"/>
  <c r="AO19" i="10"/>
  <c r="AP19" i="10"/>
  <c r="AQ19" i="10"/>
  <c r="AR19" i="10"/>
  <c r="AS19" i="10"/>
  <c r="BH19" i="10"/>
  <c r="AT19" i="10"/>
  <c r="BG19" i="10"/>
  <c r="BL19" i="10"/>
  <c r="BA19" i="10"/>
  <c r="AN19" i="10"/>
  <c r="BI19" i="10"/>
  <c r="AK19" i="10"/>
  <c r="AL31" i="10"/>
  <c r="AR31" i="10"/>
  <c r="AN31" i="10"/>
  <c r="AT31" i="10"/>
  <c r="AY31" i="10"/>
  <c r="BE31" i="10"/>
  <c r="AU31" i="10"/>
  <c r="AO31" i="10"/>
  <c r="AV31" i="10"/>
  <c r="AP31" i="10"/>
  <c r="AZ31" i="10"/>
  <c r="AW31" i="10"/>
  <c r="AQ31" i="10"/>
  <c r="AX31" i="10"/>
  <c r="BJ31" i="10"/>
  <c r="BL31" i="10"/>
  <c r="BA31" i="10"/>
  <c r="BB31" i="10"/>
  <c r="BC31" i="10"/>
  <c r="BD31" i="10"/>
  <c r="BF31" i="10"/>
  <c r="AK31" i="10"/>
  <c r="BH31" i="10"/>
  <c r="BI31" i="10"/>
  <c r="AM31" i="10"/>
  <c r="BK31" i="10"/>
  <c r="AS31" i="10"/>
  <c r="BG31" i="10"/>
  <c r="BI31" i="12"/>
  <c r="AW31" i="12"/>
  <c r="BB31" i="12"/>
  <c r="BH31" i="12"/>
  <c r="AV31" i="12"/>
  <c r="AZ31" i="12"/>
  <c r="BC31" i="12"/>
  <c r="AM31" i="12"/>
  <c r="AR31" i="12"/>
  <c r="BK31" i="12"/>
  <c r="BD31" i="12"/>
  <c r="AO31" i="12"/>
  <c r="AS31" i="12"/>
  <c r="BL31" i="12"/>
  <c r="BJ31" i="12"/>
  <c r="BE31" i="12"/>
  <c r="AY31" i="12"/>
  <c r="BG31" i="12"/>
  <c r="AK31" i="12"/>
  <c r="BA31" i="12"/>
  <c r="AQ31" i="12"/>
  <c r="AP31" i="12"/>
  <c r="BF31" i="12"/>
  <c r="AU31" i="12"/>
  <c r="AX31" i="12"/>
  <c r="AN31" i="12"/>
  <c r="AL31" i="12"/>
  <c r="AT31" i="12"/>
  <c r="AQ34" i="10"/>
  <c r="AN34" i="10"/>
  <c r="AT34" i="10"/>
  <c r="BA34" i="10"/>
  <c r="AV34" i="10"/>
  <c r="AX34" i="10"/>
  <c r="BB34" i="10"/>
  <c r="AW34" i="10"/>
  <c r="AK34" i="10"/>
  <c r="BD34" i="10"/>
  <c r="AY34" i="10"/>
  <c r="BE34" i="10"/>
  <c r="BK34" i="10"/>
  <c r="AZ34" i="10"/>
  <c r="AP34" i="10"/>
  <c r="AR34" i="10"/>
  <c r="AS34" i="10"/>
  <c r="BF34" i="10"/>
  <c r="AU34" i="10"/>
  <c r="BJ34" i="10"/>
  <c r="BH34" i="10"/>
  <c r="AL34" i="10"/>
  <c r="BL34" i="10"/>
  <c r="AM34" i="10"/>
  <c r="BC34" i="10"/>
  <c r="AO34" i="10"/>
  <c r="BI34" i="10"/>
  <c r="BG34" i="10"/>
  <c r="BF32" i="10"/>
  <c r="AZ32" i="10"/>
  <c r="BI32" i="10"/>
  <c r="BG32" i="10"/>
  <c r="AO32" i="10"/>
  <c r="BH32" i="10"/>
  <c r="AP32" i="10"/>
  <c r="AK32" i="10"/>
  <c r="AQ32" i="10"/>
  <c r="AX32" i="10"/>
  <c r="BD32" i="10"/>
  <c r="BA32" i="10"/>
  <c r="AS32" i="10"/>
  <c r="BB32" i="10"/>
  <c r="AV32" i="10"/>
  <c r="AL32" i="10"/>
  <c r="BJ32" i="10"/>
  <c r="AM32" i="10"/>
  <c r="AY32" i="10"/>
  <c r="BC32" i="10"/>
  <c r="AN32" i="10"/>
  <c r="AR32" i="10"/>
  <c r="BE32" i="10"/>
  <c r="AU32" i="10"/>
  <c r="BK32" i="10"/>
  <c r="BL32" i="10"/>
  <c r="AW32" i="10"/>
  <c r="AT32" i="10"/>
  <c r="AU39" i="10"/>
  <c r="AO39" i="10"/>
  <c r="AV39" i="10"/>
  <c r="AP39" i="10"/>
  <c r="AW39" i="10"/>
  <c r="AQ39" i="10"/>
  <c r="AT39" i="10"/>
  <c r="AL39" i="10"/>
  <c r="AR39" i="10"/>
  <c r="BJ39" i="10"/>
  <c r="AZ39" i="10"/>
  <c r="BE39" i="10"/>
  <c r="AM39" i="10"/>
  <c r="AY39" i="10"/>
  <c r="AS39" i="10"/>
  <c r="BG39" i="10"/>
  <c r="BH39" i="10"/>
  <c r="BI39" i="10"/>
  <c r="AN39" i="10"/>
  <c r="AX39" i="10"/>
  <c r="BK39" i="10"/>
  <c r="BA39" i="10"/>
  <c r="BC39" i="10"/>
  <c r="BD39" i="10"/>
  <c r="AK39" i="10"/>
  <c r="BF39" i="10"/>
  <c r="BL39" i="10"/>
  <c r="BB39" i="10"/>
  <c r="AX7" i="10"/>
  <c r="AS7" i="10"/>
  <c r="BK7" i="10"/>
  <c r="AK7" i="10"/>
  <c r="BE7" i="10"/>
  <c r="AO7" i="10"/>
  <c r="AV7" i="10"/>
  <c r="AP7" i="10"/>
  <c r="BH7" i="10"/>
  <c r="AW7" i="10"/>
  <c r="AT7" i="10"/>
  <c r="BI7" i="10"/>
  <c r="AZ7" i="10"/>
  <c r="AL7" i="10"/>
  <c r="BB7" i="10"/>
  <c r="AR7" i="10"/>
  <c r="AM7" i="10"/>
  <c r="BF7" i="10"/>
  <c r="BG7" i="10"/>
  <c r="BJ7" i="10"/>
  <c r="AY7" i="10"/>
  <c r="BA7" i="10"/>
  <c r="AN7" i="10"/>
  <c r="AU7" i="10"/>
  <c r="AQ7" i="10"/>
  <c r="BC7" i="10"/>
  <c r="BL7" i="10"/>
  <c r="BD7" i="10"/>
  <c r="AM37" i="10"/>
  <c r="BF37" i="10"/>
  <c r="AN37" i="10"/>
  <c r="AT37" i="10"/>
  <c r="BK37" i="10"/>
  <c r="AS37" i="10"/>
  <c r="AZ37" i="10"/>
  <c r="BE37" i="10"/>
  <c r="BA37" i="10"/>
  <c r="AV37" i="10"/>
  <c r="BB37" i="10"/>
  <c r="AQ37" i="10"/>
  <c r="BI37" i="10"/>
  <c r="BC37" i="10"/>
  <c r="AL37" i="10"/>
  <c r="AY37" i="10"/>
  <c r="BD37" i="10"/>
  <c r="BJ37" i="10"/>
  <c r="BL37" i="10"/>
  <c r="AO37" i="10"/>
  <c r="AP37" i="10"/>
  <c r="AR37" i="10"/>
  <c r="BG37" i="10"/>
  <c r="AK37" i="10"/>
  <c r="AU37" i="10"/>
  <c r="BH37" i="10"/>
  <c r="AW37" i="10"/>
  <c r="AX37" i="10"/>
  <c r="BE35" i="10"/>
  <c r="AX35" i="10"/>
  <c r="BD35" i="10"/>
  <c r="BF35" i="10"/>
  <c r="BJ35" i="10"/>
  <c r="AZ35" i="10"/>
  <c r="AM35" i="10"/>
  <c r="AT35" i="10"/>
  <c r="AU35" i="10"/>
  <c r="AO35" i="10"/>
  <c r="BG35" i="10"/>
  <c r="BA35" i="10"/>
  <c r="BL35" i="10"/>
  <c r="AV35" i="10"/>
  <c r="AP35" i="10"/>
  <c r="BH35" i="10"/>
  <c r="BB35" i="10"/>
  <c r="AK35" i="10"/>
  <c r="AQ35" i="10"/>
  <c r="BI35" i="10"/>
  <c r="AR35" i="10"/>
  <c r="BK35" i="10"/>
  <c r="BC35" i="10"/>
  <c r="AN35" i="10"/>
  <c r="AY35" i="10"/>
  <c r="AS35" i="10"/>
  <c r="AW35" i="10"/>
  <c r="AL35" i="10"/>
  <c r="AP38" i="10"/>
  <c r="AM38" i="10"/>
  <c r="AV38" i="10"/>
  <c r="AQ38" i="10"/>
  <c r="BD38" i="10"/>
  <c r="BL38" i="10"/>
  <c r="BI38" i="10"/>
  <c r="BA38" i="10"/>
  <c r="BF38" i="10"/>
  <c r="BJ38" i="10"/>
  <c r="AO38" i="10"/>
  <c r="AT38" i="10"/>
  <c r="BH38" i="10"/>
  <c r="AN38" i="10"/>
  <c r="AW38" i="10"/>
  <c r="BG38" i="10"/>
  <c r="AY38" i="10"/>
  <c r="AU38" i="10"/>
  <c r="BK38" i="10"/>
  <c r="BC38" i="10"/>
  <c r="AZ38" i="10"/>
  <c r="AX38" i="10"/>
  <c r="BE38" i="10"/>
  <c r="AL38" i="10"/>
  <c r="BB38" i="10"/>
  <c r="AS38" i="10"/>
  <c r="AR38" i="10"/>
  <c r="AK38" i="10"/>
  <c r="BC5" i="10"/>
  <c r="BL5" i="10"/>
  <c r="AX5" i="10"/>
  <c r="BD5" i="10"/>
  <c r="AN5" i="10"/>
  <c r="AM5" i="10"/>
  <c r="BE5" i="10"/>
  <c r="AV5" i="10"/>
  <c r="BK5" i="10"/>
  <c r="BG5" i="10"/>
  <c r="BJ5" i="10"/>
  <c r="BF5" i="10"/>
  <c r="AY5" i="10"/>
  <c r="BH5" i="10"/>
  <c r="AP5" i="10"/>
  <c r="AT5" i="10"/>
  <c r="BB5" i="10"/>
  <c r="AQ5" i="10"/>
  <c r="AR5" i="10"/>
  <c r="AS5" i="10"/>
  <c r="AW5" i="10"/>
  <c r="AL5" i="10"/>
  <c r="AO5" i="10"/>
  <c r="BA5" i="10"/>
  <c r="AU5" i="10"/>
  <c r="AZ5" i="10"/>
  <c r="BI5" i="10"/>
  <c r="AK5" i="10"/>
  <c r="BI27" i="10"/>
  <c r="BC27" i="10"/>
  <c r="AL27" i="10"/>
  <c r="AR27" i="10"/>
  <c r="AM27" i="10"/>
  <c r="BE27" i="10"/>
  <c r="AN27" i="10"/>
  <c r="BF27" i="10"/>
  <c r="BK27" i="10"/>
  <c r="AU27" i="10"/>
  <c r="AO27" i="10"/>
  <c r="BG27" i="10"/>
  <c r="BA27" i="10"/>
  <c r="BL27" i="10"/>
  <c r="AK27" i="10"/>
  <c r="BH27" i="10"/>
  <c r="BB27" i="10"/>
  <c r="AW27" i="10"/>
  <c r="AY27" i="10"/>
  <c r="AX27" i="10"/>
  <c r="BJ27" i="10"/>
  <c r="AP27" i="10"/>
  <c r="AQ27" i="10"/>
  <c r="BD27" i="10"/>
  <c r="AZ27" i="10"/>
  <c r="AS27" i="10"/>
  <c r="AV27" i="10"/>
  <c r="AT27" i="10"/>
  <c r="AW13" i="10"/>
  <c r="AT13" i="10"/>
  <c r="BH13" i="10"/>
  <c r="AY13" i="10"/>
  <c r="AZ13" i="10"/>
  <c r="AN13" i="10"/>
  <c r="BG13" i="10"/>
  <c r="AK13" i="10"/>
  <c r="AP13" i="10"/>
  <c r="BL13" i="10"/>
  <c r="AV13" i="10"/>
  <c r="BF13" i="10"/>
  <c r="BB13" i="10"/>
  <c r="BD13" i="10"/>
  <c r="BI13" i="10"/>
  <c r="BE13" i="10"/>
  <c r="AQ13" i="10"/>
  <c r="BJ13" i="10"/>
  <c r="AL13" i="10"/>
  <c r="AS13" i="10"/>
  <c r="AX13" i="10"/>
  <c r="AM13" i="10"/>
  <c r="BK13" i="10"/>
  <c r="AO13" i="10"/>
  <c r="AU13" i="10"/>
  <c r="BC13" i="10"/>
  <c r="BA13" i="10"/>
  <c r="AR13" i="10"/>
  <c r="BJ6" i="10"/>
  <c r="BD6" i="10"/>
  <c r="AM6" i="10"/>
  <c r="BF6" i="10"/>
  <c r="AN6" i="10"/>
  <c r="AS6" i="10"/>
  <c r="AU6" i="10"/>
  <c r="BL6" i="10"/>
  <c r="AK6" i="10"/>
  <c r="BG6" i="10"/>
  <c r="AO6" i="10"/>
  <c r="AW6" i="10"/>
  <c r="AV6" i="10"/>
  <c r="BA6" i="10"/>
  <c r="BC6" i="10"/>
  <c r="AL6" i="10"/>
  <c r="BB6" i="10"/>
  <c r="AR6" i="10"/>
  <c r="BI6" i="10"/>
  <c r="AQ6" i="10"/>
  <c r="AT6" i="10"/>
  <c r="BE6" i="10"/>
  <c r="BH6" i="10"/>
  <c r="AX6" i="10"/>
  <c r="AY6" i="10"/>
  <c r="BK6" i="10"/>
  <c r="AZ6" i="10"/>
  <c r="AP6" i="10"/>
  <c r="AW28" i="10"/>
  <c r="BI28" i="10"/>
  <c r="BH28" i="10"/>
  <c r="BA28" i="10"/>
  <c r="AL28" i="10"/>
  <c r="AP28" i="10"/>
  <c r="AR28" i="10"/>
  <c r="AK28" i="10"/>
  <c r="AS28" i="10"/>
  <c r="AY28" i="10"/>
  <c r="BE28" i="10"/>
  <c r="BK28" i="10"/>
  <c r="BF28" i="10"/>
  <c r="AN28" i="10"/>
  <c r="BG28" i="10"/>
  <c r="BL28" i="10"/>
  <c r="AZ28" i="10"/>
  <c r="AO28" i="10"/>
  <c r="BB28" i="10"/>
  <c r="AQ28" i="10"/>
  <c r="BC28" i="10"/>
  <c r="BD28" i="10"/>
  <c r="AU28" i="10"/>
  <c r="AV28" i="10"/>
  <c r="AM28" i="10"/>
  <c r="AX28" i="10"/>
  <c r="BJ28" i="10"/>
  <c r="AT28" i="10"/>
  <c r="E6" i="11"/>
  <c r="E10" i="29"/>
  <c r="AP36" i="10"/>
  <c r="BB36" i="10"/>
  <c r="AQ36" i="10"/>
  <c r="AW36" i="10"/>
  <c r="AU36" i="10"/>
  <c r="AZ36" i="10"/>
  <c r="BG36" i="10"/>
  <c r="AO36" i="10"/>
  <c r="BC36" i="10"/>
  <c r="AL36" i="10"/>
  <c r="BI36" i="10"/>
  <c r="BD36" i="10"/>
  <c r="BJ36" i="10"/>
  <c r="AS36" i="10"/>
  <c r="AM36" i="10"/>
  <c r="BE36" i="10"/>
  <c r="AY36" i="10"/>
  <c r="BF36" i="10"/>
  <c r="BL36" i="10"/>
  <c r="AX36" i="10"/>
  <c r="BK36" i="10"/>
  <c r="BA36" i="10"/>
  <c r="BH36" i="10"/>
  <c r="AR36" i="10"/>
  <c r="AT36" i="10"/>
  <c r="AK36" i="10"/>
  <c r="AV36" i="10"/>
  <c r="AN36" i="10"/>
  <c r="E18" i="29"/>
  <c r="E10" i="11"/>
  <c r="AK15" i="10"/>
  <c r="BB15" i="10"/>
  <c r="AS15" i="10"/>
  <c r="AV15" i="10"/>
  <c r="AO15" i="10"/>
  <c r="BA15" i="10"/>
  <c r="AL15" i="10"/>
  <c r="AP15" i="10"/>
  <c r="BJ15" i="10"/>
  <c r="AQ15" i="10"/>
  <c r="AY15" i="10"/>
  <c r="AR15" i="10"/>
  <c r="AN15" i="10"/>
  <c r="BD15" i="10"/>
  <c r="BI15" i="10"/>
  <c r="AU15" i="10"/>
  <c r="BL15" i="10"/>
  <c r="BG15" i="10"/>
  <c r="AT15" i="10"/>
  <c r="BH15" i="10"/>
  <c r="AW15" i="10"/>
  <c r="AX15" i="10"/>
  <c r="AZ15" i="10"/>
  <c r="BK15" i="10"/>
  <c r="AM15" i="10"/>
  <c r="BC15" i="10"/>
  <c r="BE15" i="10"/>
  <c r="BF15" i="10"/>
  <c r="P92" i="12"/>
  <c r="T80" i="12"/>
  <c r="AH80" i="12"/>
  <c r="AA80" i="12"/>
  <c r="R92" i="12"/>
  <c r="N92" i="12"/>
  <c r="X80" i="12"/>
  <c r="AC80" i="12"/>
  <c r="K80" i="12"/>
  <c r="W80" i="12"/>
  <c r="J92" i="12"/>
  <c r="R80" i="12"/>
  <c r="H80" i="12"/>
  <c r="AG80" i="12"/>
  <c r="AD92" i="12"/>
  <c r="O92" i="12"/>
  <c r="L80" i="12"/>
  <c r="Z80" i="12"/>
  <c r="S92" i="12"/>
  <c r="M80" i="12"/>
  <c r="I92" i="12"/>
  <c r="Y80" i="12"/>
  <c r="AI80" i="12"/>
  <c r="AB92" i="12"/>
  <c r="AF80" i="12"/>
  <c r="U92" i="12"/>
  <c r="AE80" i="12"/>
  <c r="U80" i="12"/>
  <c r="K92" i="12"/>
  <c r="X92" i="12"/>
  <c r="M92" i="12"/>
  <c r="N80" i="12"/>
  <c r="Z92" i="12"/>
  <c r="T92" i="12"/>
  <c r="AF92" i="12"/>
  <c r="AD80" i="12"/>
  <c r="L92" i="12"/>
  <c r="J80" i="12"/>
  <c r="Y92" i="12"/>
  <c r="P80" i="12"/>
  <c r="AA92" i="12"/>
  <c r="V80" i="12"/>
  <c r="Q92" i="12"/>
  <c r="Q80" i="12"/>
  <c r="I80" i="12"/>
  <c r="AH92" i="12"/>
  <c r="W92" i="12"/>
  <c r="O80" i="12"/>
  <c r="AI92" i="12"/>
  <c r="V92" i="12"/>
  <c r="AC92" i="12"/>
  <c r="AG92" i="12"/>
  <c r="S80" i="12"/>
  <c r="AB80" i="12"/>
  <c r="AE92" i="12"/>
  <c r="H92" i="12"/>
  <c r="AE213" i="33"/>
  <c r="AE210" i="33"/>
  <c r="T213" i="33"/>
  <c r="T210" i="33"/>
  <c r="G262" i="33"/>
  <c r="H89" i="12"/>
  <c r="M213" i="33"/>
  <c r="M210" i="33"/>
  <c r="AD213" i="33"/>
  <c r="AD210" i="33"/>
  <c r="AF262" i="33"/>
  <c r="AG89" i="12"/>
  <c r="AC213" i="33"/>
  <c r="AC210" i="33"/>
  <c r="H262" i="33"/>
  <c r="I89" i="12"/>
  <c r="T262" i="33"/>
  <c r="U89" i="12"/>
  <c r="W262" i="33"/>
  <c r="X89" i="12"/>
  <c r="AG262" i="33"/>
  <c r="AH89" i="12"/>
  <c r="I213" i="33"/>
  <c r="I210" i="33"/>
  <c r="R262" i="33"/>
  <c r="S89" i="12"/>
  <c r="K262" i="33"/>
  <c r="L89" i="12"/>
  <c r="V262" i="33"/>
  <c r="W89" i="12"/>
  <c r="AE262" i="33"/>
  <c r="AF89" i="12"/>
  <c r="AA262" i="33"/>
  <c r="AB89" i="12"/>
  <c r="O213" i="33"/>
  <c r="O210" i="33"/>
  <c r="U213" i="33"/>
  <c r="U210" i="33"/>
  <c r="P213" i="33"/>
  <c r="P210" i="33"/>
  <c r="AD262" i="33"/>
  <c r="AE89" i="12"/>
  <c r="AC262" i="33"/>
  <c r="AD89" i="12"/>
  <c r="I262" i="33"/>
  <c r="J89" i="12"/>
  <c r="N213" i="33"/>
  <c r="N210" i="33"/>
  <c r="H213" i="33"/>
  <c r="H210" i="33"/>
  <c r="M262" i="33"/>
  <c r="N89" i="12"/>
  <c r="U262" i="33"/>
  <c r="V89" i="12"/>
  <c r="AH262" i="33"/>
  <c r="AI89" i="12"/>
  <c r="L262" i="33"/>
  <c r="M89" i="12"/>
  <c r="R213" i="33"/>
  <c r="R210" i="33"/>
  <c r="AA213" i="33"/>
  <c r="AA210" i="33"/>
  <c r="Y262" i="33"/>
  <c r="Z89" i="12"/>
  <c r="O262" i="33"/>
  <c r="P89" i="12"/>
  <c r="S213" i="33"/>
  <c r="S210" i="33"/>
  <c r="AG213" i="33"/>
  <c r="AG210" i="33"/>
  <c r="Z213" i="33"/>
  <c r="Z210" i="33"/>
  <c r="W213" i="33"/>
  <c r="W210" i="33"/>
  <c r="AB213" i="33"/>
  <c r="AB210" i="33"/>
  <c r="Z262" i="33"/>
  <c r="AA89" i="12"/>
  <c r="AB262" i="33"/>
  <c r="AC89" i="12"/>
  <c r="P262" i="33"/>
  <c r="Q89" i="12"/>
  <c r="Q213" i="33"/>
  <c r="Q210" i="33"/>
  <c r="G213" i="33"/>
  <c r="G210" i="33"/>
  <c r="J213" i="33"/>
  <c r="J210" i="33"/>
  <c r="V213" i="33"/>
  <c r="V210" i="33"/>
  <c r="N262" i="33"/>
  <c r="O89" i="12"/>
  <c r="Q262" i="33"/>
  <c r="R89" i="12"/>
  <c r="S262" i="33"/>
  <c r="T89" i="12"/>
  <c r="AF213" i="33"/>
  <c r="AF210" i="33"/>
  <c r="K213" i="33"/>
  <c r="K210" i="33"/>
  <c r="Y213" i="33"/>
  <c r="Y210" i="33"/>
  <c r="J262" i="33"/>
  <c r="K89" i="12"/>
  <c r="X262" i="33"/>
  <c r="Y89" i="12"/>
  <c r="X213" i="33"/>
  <c r="X210" i="33"/>
  <c r="AH213" i="33"/>
  <c r="AH210" i="33"/>
  <c r="L213" i="33"/>
  <c r="L210" i="33"/>
  <c r="C321" i="33"/>
  <c r="C329" i="33" s="1"/>
  <c r="C339" i="33" s="1"/>
  <c r="C300" i="33"/>
  <c r="C313" i="33" s="1"/>
  <c r="AU387" i="28"/>
  <c r="AU395" i="28" s="1"/>
  <c r="AU387" i="27"/>
  <c r="N68" i="29"/>
  <c r="L68" i="29"/>
  <c r="M68" i="29"/>
  <c r="K68" i="29"/>
  <c r="AB50" i="12"/>
  <c r="AB51" i="12" s="1"/>
  <c r="G292" i="33"/>
  <c r="G297" i="33" s="1"/>
  <c r="G265" i="33"/>
  <c r="AX8" i="29"/>
  <c r="AE38" i="21"/>
  <c r="H38" i="21"/>
  <c r="AH38" i="21"/>
  <c r="S38" i="21"/>
  <c r="V38" i="21"/>
  <c r="AF38" i="21"/>
  <c r="Q38" i="21"/>
  <c r="AC38" i="21"/>
  <c r="K38" i="21"/>
  <c r="N38" i="21"/>
  <c r="L38" i="21"/>
  <c r="W38" i="21"/>
  <c r="AI38" i="21"/>
  <c r="U38" i="21"/>
  <c r="R38" i="21"/>
  <c r="P38" i="21"/>
  <c r="I38" i="21"/>
  <c r="AB38" i="21"/>
  <c r="J38" i="21"/>
  <c r="Y38" i="21"/>
  <c r="O38" i="21"/>
  <c r="AA38" i="21"/>
  <c r="T38" i="21"/>
  <c r="M38" i="21"/>
  <c r="AG38" i="21"/>
  <c r="X38" i="21"/>
  <c r="Z38" i="21"/>
  <c r="AD38" i="21"/>
  <c r="L17" i="29"/>
  <c r="AC17" i="29"/>
  <c r="O17" i="29"/>
  <c r="P17" i="29"/>
  <c r="Q17" i="29"/>
  <c r="AE17" i="29"/>
  <c r="Y17" i="29"/>
  <c r="AG17" i="29"/>
  <c r="BT11" i="20"/>
  <c r="AT11" i="20"/>
  <c r="BM11" i="20"/>
  <c r="BH11" i="20"/>
  <c r="BF11" i="20"/>
  <c r="BJ11" i="20"/>
  <c r="BL11" i="20"/>
  <c r="BI11" i="20"/>
  <c r="AZ11" i="20"/>
  <c r="AU11" i="20"/>
  <c r="BP11" i="20"/>
  <c r="BE11" i="20"/>
  <c r="AX11" i="20"/>
  <c r="AS11" i="20"/>
  <c r="BK11" i="20"/>
  <c r="BD11" i="20"/>
  <c r="BG11" i="20"/>
  <c r="BO11" i="20"/>
  <c r="BR11" i="20"/>
  <c r="BS11" i="20"/>
  <c r="BC11" i="20"/>
  <c r="BB11" i="20"/>
  <c r="AW11" i="20"/>
  <c r="BQ11" i="20"/>
  <c r="BA11" i="20"/>
  <c r="AV11" i="20"/>
  <c r="AY11" i="20"/>
  <c r="BN11" i="20"/>
  <c r="S15" i="29"/>
  <c r="AD16" i="29"/>
  <c r="V13" i="29"/>
  <c r="I17" i="29"/>
  <c r="Q15" i="29"/>
  <c r="AC16" i="29"/>
  <c r="T17" i="29"/>
  <c r="L16" i="29"/>
  <c r="V14" i="29"/>
  <c r="X13" i="29"/>
  <c r="S13" i="29"/>
  <c r="J13" i="29"/>
  <c r="AA13" i="29"/>
  <c r="AE16" i="29"/>
  <c r="P14" i="29"/>
  <c r="AA16" i="29"/>
  <c r="AI13" i="29"/>
  <c r="I14" i="29"/>
  <c r="AA15" i="29"/>
  <c r="AF16" i="29"/>
  <c r="I13" i="29"/>
  <c r="V17" i="29"/>
  <c r="S16" i="29"/>
  <c r="I15" i="29"/>
  <c r="AH15" i="29"/>
  <c r="M13" i="29"/>
  <c r="J16" i="29"/>
  <c r="AI17" i="29"/>
  <c r="W15" i="29"/>
  <c r="AD17" i="29"/>
  <c r="Y13" i="29"/>
  <c r="AG16" i="29"/>
  <c r="T13" i="29"/>
  <c r="J68" i="29"/>
  <c r="AB17" i="29"/>
  <c r="T16" i="29"/>
  <c r="AB13" i="29"/>
  <c r="L14" i="29"/>
  <c r="T14" i="29"/>
  <c r="K15" i="29"/>
  <c r="H14" i="29"/>
  <c r="AF14" i="29"/>
  <c r="P15" i="29"/>
  <c r="Q13" i="29"/>
  <c r="AC13" i="29"/>
  <c r="Y16" i="29"/>
  <c r="W14" i="29"/>
  <c r="M14" i="29"/>
  <c r="Y15" i="29"/>
  <c r="AC15" i="29"/>
  <c r="R16" i="29"/>
  <c r="M17" i="29"/>
  <c r="AH14" i="29"/>
  <c r="AD15" i="29"/>
  <c r="X17" i="29"/>
  <c r="Q14" i="29"/>
  <c r="Z17" i="29"/>
  <c r="AD14" i="29"/>
  <c r="L13" i="29"/>
  <c r="O14" i="29"/>
  <c r="K13" i="29"/>
  <c r="U14" i="29"/>
  <c r="S14" i="29"/>
  <c r="Y14" i="29"/>
  <c r="K17" i="29"/>
  <c r="M15" i="29"/>
  <c r="AF17" i="29"/>
  <c r="Z14" i="29"/>
  <c r="L15" i="29"/>
  <c r="AE13" i="29"/>
  <c r="AG15" i="29"/>
  <c r="AB15" i="29"/>
  <c r="I16" i="29"/>
  <c r="AI15" i="29"/>
  <c r="AH13" i="29"/>
  <c r="K14" i="29"/>
  <c r="T15" i="29"/>
  <c r="Z15" i="29"/>
  <c r="M16" i="29"/>
  <c r="AF13" i="29"/>
  <c r="AB14" i="29"/>
  <c r="U16" i="29"/>
  <c r="O15" i="29"/>
  <c r="Q16" i="29"/>
  <c r="AE14" i="29"/>
  <c r="O13" i="29"/>
  <c r="N15" i="29"/>
  <c r="W13" i="29"/>
  <c r="R14" i="29"/>
  <c r="J17" i="29"/>
  <c r="V16" i="29"/>
  <c r="O16" i="29"/>
  <c r="X15" i="29"/>
  <c r="H15" i="29"/>
  <c r="AH16" i="29"/>
  <c r="U13" i="29"/>
  <c r="X14" i="29"/>
  <c r="U15" i="29"/>
  <c r="AB16" i="29"/>
  <c r="W17" i="29"/>
  <c r="AG13" i="29"/>
  <c r="K16" i="29"/>
  <c r="R15" i="29"/>
  <c r="H16" i="29"/>
  <c r="P13" i="29"/>
  <c r="AA14" i="29"/>
  <c r="AI16" i="29"/>
  <c r="N13" i="29"/>
  <c r="AC14" i="29"/>
  <c r="AF15" i="29"/>
  <c r="R13" i="29"/>
  <c r="AG14" i="29"/>
  <c r="AI14" i="29"/>
  <c r="W16" i="29"/>
  <c r="Z16" i="29"/>
  <c r="AA17" i="29"/>
  <c r="N16" i="29"/>
  <c r="R17" i="29"/>
  <c r="H17" i="29"/>
  <c r="J15" i="29"/>
  <c r="N17" i="29"/>
  <c r="AD13" i="29"/>
  <c r="J14" i="29"/>
  <c r="V15" i="29"/>
  <c r="AH17" i="29"/>
  <c r="J69" i="29"/>
  <c r="P16" i="29"/>
  <c r="N14" i="29"/>
  <c r="AE15" i="29"/>
  <c r="S17" i="29"/>
  <c r="H13" i="29"/>
  <c r="X16" i="29"/>
  <c r="Z13" i="29"/>
  <c r="C319" i="33"/>
  <c r="C327" i="33" s="1"/>
  <c r="C343" i="33" s="1"/>
  <c r="C348" i="33" s="1"/>
  <c r="C354" i="33" s="1"/>
  <c r="C305" i="33"/>
  <c r="BC387" i="25"/>
  <c r="AU387" i="24"/>
  <c r="D57" i="22"/>
  <c r="I70" i="29" s="1"/>
  <c r="I27" i="22"/>
  <c r="I60" i="22" s="1"/>
  <c r="I17" i="22"/>
  <c r="K17" i="22"/>
  <c r="K27" i="22"/>
  <c r="K60" i="22" s="1"/>
  <c r="H17" i="22"/>
  <c r="H27" i="22"/>
  <c r="H60" i="22" s="1"/>
  <c r="E17" i="22"/>
  <c r="E27" i="22"/>
  <c r="E60" i="22" s="1"/>
  <c r="M17" i="22"/>
  <c r="M60" i="22" s="1"/>
  <c r="M27" i="22"/>
  <c r="G27" i="22"/>
  <c r="G60" i="22" s="1"/>
  <c r="G17" i="22"/>
  <c r="D27" i="22"/>
  <c r="D60" i="22" s="1"/>
  <c r="F17" i="22"/>
  <c r="F27" i="22"/>
  <c r="F60" i="22" s="1"/>
  <c r="J27" i="22"/>
  <c r="J60" i="22" s="1"/>
  <c r="J17" i="22"/>
  <c r="L17" i="22"/>
  <c r="L27" i="22"/>
  <c r="L60" i="22" s="1"/>
  <c r="AS15" i="12"/>
  <c r="BE15" i="12"/>
  <c r="AT15" i="12"/>
  <c r="BF15" i="12"/>
  <c r="BD15" i="12"/>
  <c r="AU15" i="12"/>
  <c r="BG15" i="12"/>
  <c r="AV15" i="12"/>
  <c r="BH15" i="12"/>
  <c r="AW15" i="12"/>
  <c r="BI15" i="12"/>
  <c r="AR15" i="12"/>
  <c r="AL15" i="12"/>
  <c r="AX15" i="12"/>
  <c r="BJ15" i="12"/>
  <c r="AM15" i="12"/>
  <c r="AY15" i="12"/>
  <c r="BK15" i="12"/>
  <c r="AN15" i="12"/>
  <c r="AZ15" i="12"/>
  <c r="BL15" i="12"/>
  <c r="AO15" i="12"/>
  <c r="BA15" i="12"/>
  <c r="AP15" i="12"/>
  <c r="BB15" i="12"/>
  <c r="AK15" i="12"/>
  <c r="AQ15" i="12"/>
  <c r="BC15" i="12"/>
  <c r="V39" i="12"/>
  <c r="V40" i="12" s="1"/>
  <c r="Y39" i="12"/>
  <c r="Y40" i="12" s="1"/>
  <c r="E16" i="21"/>
  <c r="E17" i="21"/>
  <c r="E18" i="21"/>
  <c r="E19" i="21"/>
  <c r="E15" i="21"/>
  <c r="AW14" i="12"/>
  <c r="BI14" i="12"/>
  <c r="AL14" i="12"/>
  <c r="AX14" i="12"/>
  <c r="BJ14" i="12"/>
  <c r="AM14" i="12"/>
  <c r="AY14" i="12"/>
  <c r="BK14" i="12"/>
  <c r="AK14" i="12"/>
  <c r="AN14" i="12"/>
  <c r="AZ14" i="12"/>
  <c r="BL14" i="12"/>
  <c r="AO14" i="12"/>
  <c r="BA14" i="12"/>
  <c r="AP14" i="12"/>
  <c r="BB14" i="12"/>
  <c r="AQ14" i="12"/>
  <c r="BC14" i="12"/>
  <c r="AR14" i="12"/>
  <c r="BD14" i="12"/>
  <c r="AS14" i="12"/>
  <c r="BE14" i="12"/>
  <c r="AT14" i="12"/>
  <c r="BF14" i="12"/>
  <c r="AU14" i="12"/>
  <c r="BG14" i="12"/>
  <c r="AV14" i="12"/>
  <c r="BH14" i="12"/>
  <c r="E40" i="21" l="1"/>
  <c r="H24" i="21"/>
  <c r="H27" i="21" s="1"/>
  <c r="AK27" i="21" s="1"/>
  <c r="G300" i="33"/>
  <c r="E83" i="38"/>
  <c r="L50" i="12"/>
  <c r="L51" i="12" s="1"/>
  <c r="L34" i="21" s="1"/>
  <c r="I50" i="12"/>
  <c r="I51" i="12" s="1"/>
  <c r="I34" i="21" s="1"/>
  <c r="AM41" i="10"/>
  <c r="S50" i="12"/>
  <c r="S51" i="12" s="1"/>
  <c r="M39" i="12"/>
  <c r="M40" i="12" s="1"/>
  <c r="M26" i="29" s="1"/>
  <c r="AP26" i="29" s="1"/>
  <c r="N50" i="12"/>
  <c r="N51" i="12" s="1"/>
  <c r="N34" i="21" s="1"/>
  <c r="O39" i="12"/>
  <c r="O40" i="12" s="1"/>
  <c r="O26" i="29" s="1"/>
  <c r="AR26" i="29" s="1"/>
  <c r="AH39" i="12"/>
  <c r="AH40" i="12" s="1"/>
  <c r="AH26" i="29" s="1"/>
  <c r="BK26" i="29" s="1"/>
  <c r="S39" i="12"/>
  <c r="S40" i="12" s="1"/>
  <c r="S26" i="29" s="1"/>
  <c r="AV26" i="29" s="1"/>
  <c r="AD39" i="12"/>
  <c r="AD40" i="12" s="1"/>
  <c r="AD26" i="29" s="1"/>
  <c r="BG26" i="29" s="1"/>
  <c r="AB39" i="12"/>
  <c r="AB40" i="12" s="1"/>
  <c r="AB26" i="29" s="1"/>
  <c r="BE26" i="29" s="1"/>
  <c r="J50" i="12"/>
  <c r="J51" i="12" s="1"/>
  <c r="F25" i="22" s="1"/>
  <c r="AY41" i="10"/>
  <c r="K39" i="12"/>
  <c r="K40" i="12" s="1"/>
  <c r="P39" i="12"/>
  <c r="P40" i="12" s="1"/>
  <c r="AH50" i="12"/>
  <c r="AH51" i="12" s="1"/>
  <c r="AD25" i="22" s="1"/>
  <c r="P50" i="12"/>
  <c r="P51" i="12" s="1"/>
  <c r="P34" i="21" s="1"/>
  <c r="U39" i="12"/>
  <c r="U40" i="12" s="1"/>
  <c r="U26" i="29" s="1"/>
  <c r="AX26" i="29" s="1"/>
  <c r="Q39" i="12"/>
  <c r="Q40" i="12" s="1"/>
  <c r="AI50" i="12"/>
  <c r="AI51" i="12" s="1"/>
  <c r="AE25" i="22" s="1"/>
  <c r="Z50" i="12"/>
  <c r="Z51" i="12" s="1"/>
  <c r="V25" i="22" s="1"/>
  <c r="Z39" i="12"/>
  <c r="Z40" i="12" s="1"/>
  <c r="Z26" i="29" s="1"/>
  <c r="BC26" i="29" s="1"/>
  <c r="R39" i="12"/>
  <c r="R40" i="12" s="1"/>
  <c r="R26" i="29" s="1"/>
  <c r="AU26" i="29" s="1"/>
  <c r="AC50" i="12"/>
  <c r="AC51" i="12" s="1"/>
  <c r="Y25" i="22" s="1"/>
  <c r="R50" i="12"/>
  <c r="R51" i="12" s="1"/>
  <c r="R34" i="21" s="1"/>
  <c r="W39" i="12"/>
  <c r="W40" i="12" s="1"/>
  <c r="W26" i="29" s="1"/>
  <c r="AZ26" i="29" s="1"/>
  <c r="AI39" i="12"/>
  <c r="AI40" i="12" s="1"/>
  <c r="T50" i="12"/>
  <c r="T51" i="12" s="1"/>
  <c r="AG39" i="12"/>
  <c r="AG40" i="12" s="1"/>
  <c r="AG26" i="29" s="1"/>
  <c r="BJ26" i="29" s="1"/>
  <c r="AC39" i="12"/>
  <c r="AC40" i="12" s="1"/>
  <c r="AC26" i="29" s="1"/>
  <c r="BF26" i="29" s="1"/>
  <c r="AD50" i="12"/>
  <c r="AD51" i="12" s="1"/>
  <c r="Z25" i="22" s="1"/>
  <c r="N39" i="12"/>
  <c r="N40" i="12" s="1"/>
  <c r="AF39" i="12"/>
  <c r="AF40" i="12" s="1"/>
  <c r="AF26" i="29" s="1"/>
  <c r="BI26" i="29" s="1"/>
  <c r="AF50" i="12"/>
  <c r="AF51" i="12" s="1"/>
  <c r="AF34" i="21" s="1"/>
  <c r="J39" i="12"/>
  <c r="J40" i="12" s="1"/>
  <c r="J26" i="29" s="1"/>
  <c r="AM26" i="29" s="1"/>
  <c r="X39" i="12"/>
  <c r="X40" i="12" s="1"/>
  <c r="X26" i="29" s="1"/>
  <c r="BA26" i="29" s="1"/>
  <c r="O50" i="12"/>
  <c r="O51" i="12" s="1"/>
  <c r="K25" i="22" s="1"/>
  <c r="AA39" i="12"/>
  <c r="AA40" i="12" s="1"/>
  <c r="AA26" i="29" s="1"/>
  <c r="BD26" i="29" s="1"/>
  <c r="BK12" i="12"/>
  <c r="AY12" i="12"/>
  <c r="BJ12" i="12"/>
  <c r="AV12" i="12"/>
  <c r="AX12" i="12"/>
  <c r="BH12" i="12"/>
  <c r="AK12" i="12"/>
  <c r="BG12" i="12"/>
  <c r="BI12" i="12"/>
  <c r="AU12" i="12"/>
  <c r="BB12" i="12"/>
  <c r="AW12" i="12"/>
  <c r="BF12" i="12"/>
  <c r="BE12" i="12"/>
  <c r="BD12" i="12"/>
  <c r="AS12" i="12"/>
  <c r="AQ12" i="12"/>
  <c r="AP12" i="12"/>
  <c r="AM12" i="12"/>
  <c r="AL12" i="12"/>
  <c r="AR12" i="12"/>
  <c r="BC12" i="12"/>
  <c r="AZ12" i="12"/>
  <c r="AN12" i="12"/>
  <c r="BA12" i="12"/>
  <c r="AO12" i="12"/>
  <c r="BL12" i="12"/>
  <c r="AT12" i="12"/>
  <c r="Q50" i="12"/>
  <c r="Q51" i="12" s="1"/>
  <c r="M25" i="22" s="1"/>
  <c r="Y50" i="12"/>
  <c r="Y51" i="12" s="1"/>
  <c r="U25" i="22" s="1"/>
  <c r="X50" i="12"/>
  <c r="X51" i="12" s="1"/>
  <c r="T25" i="22" s="1"/>
  <c r="I39" i="12"/>
  <c r="I40" i="12" s="1"/>
  <c r="I26" i="29" s="1"/>
  <c r="AL26" i="29" s="1"/>
  <c r="L39" i="12"/>
  <c r="L40" i="12" s="1"/>
  <c r="L14" i="11" s="1"/>
  <c r="T39" i="12"/>
  <c r="T40" i="12" s="1"/>
  <c r="T26" i="29" s="1"/>
  <c r="AW26" i="29" s="1"/>
  <c r="W50" i="12"/>
  <c r="W51" i="12" s="1"/>
  <c r="S25" i="22" s="1"/>
  <c r="AG50" i="12"/>
  <c r="AG51" i="12" s="1"/>
  <c r="AC25" i="22" s="1"/>
  <c r="H39" i="12"/>
  <c r="H40" i="12" s="1"/>
  <c r="V50" i="12"/>
  <c r="V51" i="12" s="1"/>
  <c r="R25" i="22" s="1"/>
  <c r="AE39" i="12"/>
  <c r="AE40" i="12" s="1"/>
  <c r="AE14" i="11" s="1"/>
  <c r="BH14" i="11" s="1"/>
  <c r="AA39" i="22" s="1"/>
  <c r="AA50" i="12"/>
  <c r="AA51" i="12" s="1"/>
  <c r="W25" i="22" s="1"/>
  <c r="AE50" i="12"/>
  <c r="AE51" i="12" s="1"/>
  <c r="AA25" i="22" s="1"/>
  <c r="M50" i="12"/>
  <c r="M51" i="12" s="1"/>
  <c r="I25" i="22" s="1"/>
  <c r="K50" i="12"/>
  <c r="K51" i="12" s="1"/>
  <c r="G25" i="22" s="1"/>
  <c r="U50" i="12"/>
  <c r="U51" i="12" s="1"/>
  <c r="Q25" i="22" s="1"/>
  <c r="E84" i="38"/>
  <c r="E91" i="38"/>
  <c r="H51" i="12"/>
  <c r="D25" i="22" s="1"/>
  <c r="E53" i="22" s="1"/>
  <c r="H66" i="29" s="1"/>
  <c r="AK41" i="10"/>
  <c r="AL10" i="11"/>
  <c r="E35" i="22" s="1"/>
  <c r="BB10" i="11"/>
  <c r="U35" i="22" s="1"/>
  <c r="AX10" i="11"/>
  <c r="Q35" i="22" s="1"/>
  <c r="AQ10" i="11"/>
  <c r="J35" i="22" s="1"/>
  <c r="BJ10" i="11"/>
  <c r="AC35" i="22" s="1"/>
  <c r="BC10" i="11"/>
  <c r="V35" i="22" s="1"/>
  <c r="AM10" i="11"/>
  <c r="F35" i="22" s="1"/>
  <c r="AR10" i="11"/>
  <c r="K35" i="22" s="1"/>
  <c r="AT10" i="11"/>
  <c r="M35" i="22" s="1"/>
  <c r="F49" i="22" s="1"/>
  <c r="AY10" i="11"/>
  <c r="R35" i="22" s="1"/>
  <c r="S49" i="22" s="1"/>
  <c r="U49" i="22" s="1"/>
  <c r="BD10" i="11"/>
  <c r="W35" i="22" s="1"/>
  <c r="BF10" i="11"/>
  <c r="Y35" i="22" s="1"/>
  <c r="BK10" i="11"/>
  <c r="AD35" i="22" s="1"/>
  <c r="AS10" i="11"/>
  <c r="L35" i="22" s="1"/>
  <c r="AU10" i="11"/>
  <c r="N35" i="22" s="1"/>
  <c r="AN10" i="11"/>
  <c r="G35" i="22" s="1"/>
  <c r="BE10" i="11"/>
  <c r="X35" i="22" s="1"/>
  <c r="BG10" i="11"/>
  <c r="Z35" i="22" s="1"/>
  <c r="AZ10" i="11"/>
  <c r="S35" i="22" s="1"/>
  <c r="AP10" i="11"/>
  <c r="I35" i="22" s="1"/>
  <c r="AV10" i="11"/>
  <c r="O35" i="22" s="1"/>
  <c r="BL10" i="11"/>
  <c r="AE35" i="22" s="1"/>
  <c r="BI10" i="11"/>
  <c r="AB35" i="22" s="1"/>
  <c r="BH10" i="11"/>
  <c r="AA35" i="22" s="1"/>
  <c r="AO10" i="11"/>
  <c r="H35" i="22" s="1"/>
  <c r="AW10" i="11"/>
  <c r="P35" i="22" s="1"/>
  <c r="BA10" i="11"/>
  <c r="T35" i="22" s="1"/>
  <c r="AK10" i="11"/>
  <c r="D35" i="22" s="1"/>
  <c r="D49" i="22" s="1"/>
  <c r="R3" i="11"/>
  <c r="R3" i="29"/>
  <c r="L3" i="11"/>
  <c r="L3" i="29"/>
  <c r="X3" i="11"/>
  <c r="X3" i="29"/>
  <c r="AZ41" i="10"/>
  <c r="I3" i="11"/>
  <c r="I3" i="29"/>
  <c r="M3" i="11"/>
  <c r="M3" i="29"/>
  <c r="AB3" i="11"/>
  <c r="AB3" i="29"/>
  <c r="S3" i="11"/>
  <c r="S3" i="29"/>
  <c r="E9" i="11"/>
  <c r="E13" i="29"/>
  <c r="E14" i="29" s="1"/>
  <c r="E15" i="29" s="1"/>
  <c r="E16" i="29" s="1"/>
  <c r="E17" i="29" s="1"/>
  <c r="AX17" i="29" s="1"/>
  <c r="AU41" i="10"/>
  <c r="AS41" i="10"/>
  <c r="BF41" i="10"/>
  <c r="AF3" i="11"/>
  <c r="AF3" i="29"/>
  <c r="BA41" i="10"/>
  <c r="AR41" i="10"/>
  <c r="BJ41" i="10"/>
  <c r="Z3" i="11"/>
  <c r="Z3" i="29"/>
  <c r="W3" i="11"/>
  <c r="W3" i="29"/>
  <c r="T3" i="11"/>
  <c r="T3" i="29"/>
  <c r="AG3" i="11"/>
  <c r="AG3" i="29"/>
  <c r="AN41" i="10"/>
  <c r="AK18" i="29"/>
  <c r="AW18" i="29"/>
  <c r="BA18" i="29"/>
  <c r="BI18" i="29"/>
  <c r="AP18" i="29"/>
  <c r="AR18" i="29"/>
  <c r="AL18" i="29"/>
  <c r="BB18" i="29"/>
  <c r="BD18" i="29"/>
  <c r="AX18" i="29"/>
  <c r="AQ18" i="29"/>
  <c r="BH18" i="29"/>
  <c r="AS18" i="29"/>
  <c r="BJ18" i="29"/>
  <c r="BC18" i="29"/>
  <c r="BE18" i="29"/>
  <c r="AM18" i="29"/>
  <c r="AT18" i="29"/>
  <c r="AY18" i="29"/>
  <c r="BF18" i="29"/>
  <c r="BK18" i="29"/>
  <c r="AU18" i="29"/>
  <c r="AN18" i="29"/>
  <c r="AO18" i="29"/>
  <c r="BG18" i="29"/>
  <c r="AZ18" i="29"/>
  <c r="AV18" i="29"/>
  <c r="BL18" i="29"/>
  <c r="BA33" i="12"/>
  <c r="AQ33" i="12"/>
  <c r="AO33" i="12"/>
  <c r="AN33" i="12"/>
  <c r="AP33" i="12"/>
  <c r="BB33" i="12"/>
  <c r="AL33" i="12"/>
  <c r="AU33" i="12"/>
  <c r="BF33" i="12"/>
  <c r="AX33" i="12"/>
  <c r="AS33" i="12"/>
  <c r="BJ33" i="12"/>
  <c r="AM33" i="12"/>
  <c r="AZ33" i="12"/>
  <c r="BE33" i="12"/>
  <c r="BC33" i="12"/>
  <c r="BG33" i="12"/>
  <c r="BL33" i="12"/>
  <c r="AR33" i="12"/>
  <c r="AV33" i="12"/>
  <c r="BK33" i="12"/>
  <c r="BH33" i="12"/>
  <c r="AW33" i="12"/>
  <c r="BD33" i="12"/>
  <c r="AK33" i="12"/>
  <c r="BI33" i="12"/>
  <c r="AY33" i="12"/>
  <c r="AT33" i="12"/>
  <c r="AO41" i="10"/>
  <c r="AQ41" i="10"/>
  <c r="P3" i="11"/>
  <c r="P3" i="29"/>
  <c r="BD41" i="10"/>
  <c r="BF11" i="12"/>
  <c r="BG11" i="12"/>
  <c r="BA11" i="12"/>
  <c r="AY11" i="12"/>
  <c r="AQ11" i="12"/>
  <c r="BI11" i="12"/>
  <c r="AK11" i="12"/>
  <c r="AS11" i="12"/>
  <c r="AU11" i="12"/>
  <c r="AN11" i="12"/>
  <c r="AL11" i="12"/>
  <c r="AW11" i="12"/>
  <c r="BC11" i="12"/>
  <c r="AP11" i="12"/>
  <c r="BH11" i="12"/>
  <c r="BB11" i="12"/>
  <c r="BL11" i="12"/>
  <c r="AV11" i="12"/>
  <c r="AO11" i="12"/>
  <c r="AZ11" i="12"/>
  <c r="BJ11" i="12"/>
  <c r="AX11" i="12"/>
  <c r="BD11" i="12"/>
  <c r="BK11" i="12"/>
  <c r="AM11" i="12"/>
  <c r="AR11" i="12"/>
  <c r="BE11" i="12"/>
  <c r="AT11" i="12"/>
  <c r="Q3" i="11"/>
  <c r="Q3" i="29"/>
  <c r="N3" i="11"/>
  <c r="N3" i="29"/>
  <c r="BB41" i="10"/>
  <c r="BG41" i="10"/>
  <c r="AX41" i="10"/>
  <c r="AM32" i="12"/>
  <c r="BE32" i="12"/>
  <c r="AK32" i="12"/>
  <c r="BA32" i="12"/>
  <c r="AU32" i="12"/>
  <c r="AY32" i="12"/>
  <c r="BC32" i="12"/>
  <c r="AO32" i="12"/>
  <c r="AS32" i="12"/>
  <c r="BG32" i="12"/>
  <c r="BJ32" i="12"/>
  <c r="AV32" i="12"/>
  <c r="AP32" i="12"/>
  <c r="AX32" i="12"/>
  <c r="BL32" i="12"/>
  <c r="AQ32" i="12"/>
  <c r="BK32" i="12"/>
  <c r="AR32" i="12"/>
  <c r="BB32" i="12"/>
  <c r="BF32" i="12"/>
  <c r="AW32" i="12"/>
  <c r="AN32" i="12"/>
  <c r="AZ32" i="12"/>
  <c r="BI32" i="12"/>
  <c r="BD32" i="12"/>
  <c r="BH32" i="12"/>
  <c r="AL32" i="12"/>
  <c r="AT32" i="12"/>
  <c r="H3" i="29"/>
  <c r="H3" i="11"/>
  <c r="AL41" i="10"/>
  <c r="AI3" i="11"/>
  <c r="AI3" i="29"/>
  <c r="BK41" i="10"/>
  <c r="K3" i="11"/>
  <c r="K3" i="29"/>
  <c r="E11" i="29"/>
  <c r="BA10" i="29"/>
  <c r="AU10" i="29"/>
  <c r="AP10" i="29"/>
  <c r="BG10" i="29"/>
  <c r="BB10" i="29"/>
  <c r="AV10" i="29"/>
  <c r="AQ10" i="29"/>
  <c r="BH10" i="29"/>
  <c r="BC10" i="29"/>
  <c r="AW10" i="29"/>
  <c r="AO10" i="29"/>
  <c r="AM10" i="29"/>
  <c r="AR10" i="29"/>
  <c r="BI10" i="29"/>
  <c r="AY10" i="29"/>
  <c r="BD10" i="29"/>
  <c r="AL10" i="29"/>
  <c r="BK10" i="29"/>
  <c r="AS10" i="29"/>
  <c r="AX10" i="29"/>
  <c r="AN10" i="29"/>
  <c r="BE10" i="29"/>
  <c r="BJ10" i="29"/>
  <c r="BF10" i="29"/>
  <c r="AZ10" i="29"/>
  <c r="AK10" i="29"/>
  <c r="BL10" i="29"/>
  <c r="AT10" i="29"/>
  <c r="AH3" i="11"/>
  <c r="AH3" i="29"/>
  <c r="AD3" i="11"/>
  <c r="AD3" i="29"/>
  <c r="AT41" i="10"/>
  <c r="AC3" i="11"/>
  <c r="AC3" i="29"/>
  <c r="BL41" i="10"/>
  <c r="E51" i="38"/>
  <c r="E58" i="38"/>
  <c r="E31" i="21"/>
  <c r="AS6" i="11"/>
  <c r="L31" i="22" s="1"/>
  <c r="BJ6" i="11"/>
  <c r="AC31" i="22" s="1"/>
  <c r="AK6" i="11"/>
  <c r="D31" i="22" s="1"/>
  <c r="D50" i="22" s="1"/>
  <c r="BE6" i="11"/>
  <c r="X31" i="22" s="1"/>
  <c r="AM6" i="11"/>
  <c r="F31" i="22" s="1"/>
  <c r="AT6" i="11"/>
  <c r="M31" i="22" s="1"/>
  <c r="F50" i="22" s="1"/>
  <c r="AY6" i="11"/>
  <c r="R31" i="22" s="1"/>
  <c r="S50" i="22" s="1"/>
  <c r="U50" i="22" s="1"/>
  <c r="BF6" i="11"/>
  <c r="Y31" i="22" s="1"/>
  <c r="BK6" i="11"/>
  <c r="AD31" i="22" s="1"/>
  <c r="AU6" i="11"/>
  <c r="N31" i="22" s="1"/>
  <c r="AN6" i="11"/>
  <c r="G31" i="22" s="1"/>
  <c r="BG6" i="11"/>
  <c r="Z31" i="22" s="1"/>
  <c r="AZ6" i="11"/>
  <c r="S31" i="22" s="1"/>
  <c r="AV6" i="11"/>
  <c r="O31" i="22" s="1"/>
  <c r="BL6" i="11"/>
  <c r="AE31" i="22" s="1"/>
  <c r="BH6" i="11"/>
  <c r="AA31" i="22" s="1"/>
  <c r="AO6" i="11"/>
  <c r="H31" i="22" s="1"/>
  <c r="AQ6" i="11"/>
  <c r="J31" i="22" s="1"/>
  <c r="AW6" i="11"/>
  <c r="P31" i="22" s="1"/>
  <c r="BA6" i="11"/>
  <c r="T31" i="22" s="1"/>
  <c r="BD6" i="11"/>
  <c r="W31" i="22" s="1"/>
  <c r="BC6" i="11"/>
  <c r="V31" i="22" s="1"/>
  <c r="BI6" i="11"/>
  <c r="AB31" i="22" s="1"/>
  <c r="AP6" i="11"/>
  <c r="I31" i="22" s="1"/>
  <c r="AX6" i="11"/>
  <c r="Q31" i="22" s="1"/>
  <c r="E7" i="11"/>
  <c r="AR6" i="11"/>
  <c r="K31" i="22" s="1"/>
  <c r="AL6" i="11"/>
  <c r="E31" i="22" s="1"/>
  <c r="BB6" i="11"/>
  <c r="U31" i="22" s="1"/>
  <c r="U3" i="11"/>
  <c r="U3" i="29"/>
  <c r="J3" i="11"/>
  <c r="J3" i="29"/>
  <c r="AP41" i="10"/>
  <c r="AA3" i="11"/>
  <c r="AA3" i="29"/>
  <c r="BC41" i="10"/>
  <c r="O3" i="11"/>
  <c r="O3" i="29"/>
  <c r="V3" i="11"/>
  <c r="V3" i="29"/>
  <c r="AV41" i="10"/>
  <c r="Y3" i="11"/>
  <c r="Y3" i="29"/>
  <c r="BI41" i="10"/>
  <c r="AW41" i="10"/>
  <c r="BH41" i="10"/>
  <c r="BE41" i="10"/>
  <c r="AE3" i="11"/>
  <c r="AE3" i="29"/>
  <c r="H95" i="12"/>
  <c r="AH81" i="12"/>
  <c r="AE81" i="12"/>
  <c r="T81" i="12"/>
  <c r="N81" i="12"/>
  <c r="Z81" i="12"/>
  <c r="W81" i="12"/>
  <c r="M81" i="12"/>
  <c r="L81" i="12"/>
  <c r="K81" i="12"/>
  <c r="AC81" i="12"/>
  <c r="Q81" i="12"/>
  <c r="U81" i="12"/>
  <c r="AI81" i="12"/>
  <c r="AG81" i="12"/>
  <c r="H81" i="12"/>
  <c r="X81" i="12"/>
  <c r="AB81" i="12"/>
  <c r="I81" i="12"/>
  <c r="V81" i="12"/>
  <c r="AD81" i="12"/>
  <c r="AF81" i="12"/>
  <c r="Y81" i="12"/>
  <c r="R81" i="12"/>
  <c r="AA81" i="12"/>
  <c r="S81" i="12"/>
  <c r="O81" i="12"/>
  <c r="P81" i="12"/>
  <c r="J81" i="12"/>
  <c r="AF292" i="33"/>
  <c r="AF265" i="33"/>
  <c r="X292" i="33"/>
  <c r="X265" i="33"/>
  <c r="Q292" i="33"/>
  <c r="Q265" i="33"/>
  <c r="P292" i="33"/>
  <c r="P265" i="33"/>
  <c r="AG219" i="33"/>
  <c r="AG224" i="33"/>
  <c r="AG227" i="33" s="1"/>
  <c r="AG221" i="33"/>
  <c r="AG229" i="33"/>
  <c r="L292" i="33"/>
  <c r="L265" i="33"/>
  <c r="I292" i="33"/>
  <c r="I265" i="33"/>
  <c r="AA292" i="33"/>
  <c r="AA265" i="33"/>
  <c r="AG292" i="33"/>
  <c r="AG265" i="33"/>
  <c r="AD219" i="33"/>
  <c r="AD224" i="33"/>
  <c r="AD227" i="33" s="1"/>
  <c r="AD229" i="33"/>
  <c r="AD221" i="33"/>
  <c r="G321" i="33"/>
  <c r="G329" i="33" s="1"/>
  <c r="J292" i="33"/>
  <c r="J265" i="33"/>
  <c r="N292" i="33"/>
  <c r="N265" i="33"/>
  <c r="AB292" i="33"/>
  <c r="AB265" i="33"/>
  <c r="S219" i="33"/>
  <c r="S221" i="33"/>
  <c r="S224" i="33"/>
  <c r="S227" i="33" s="1"/>
  <c r="S229" i="33"/>
  <c r="AH292" i="33"/>
  <c r="AH265" i="33"/>
  <c r="AC292" i="33"/>
  <c r="AC265" i="33"/>
  <c r="AE292" i="33"/>
  <c r="AE265" i="33"/>
  <c r="W292" i="33"/>
  <c r="W265" i="33"/>
  <c r="Y219" i="33"/>
  <c r="Y224" i="33"/>
  <c r="Y227" i="33" s="1"/>
  <c r="Y221" i="33"/>
  <c r="Y229" i="33"/>
  <c r="V219" i="33"/>
  <c r="V229" i="33"/>
  <c r="V221" i="33"/>
  <c r="V224" i="33"/>
  <c r="V227" i="33" s="1"/>
  <c r="Z292" i="33"/>
  <c r="Z265" i="33"/>
  <c r="O292" i="33"/>
  <c r="O265" i="33"/>
  <c r="U292" i="33"/>
  <c r="U265" i="33"/>
  <c r="AD292" i="33"/>
  <c r="AD265" i="33"/>
  <c r="V292" i="33"/>
  <c r="V265" i="33"/>
  <c r="T292" i="33"/>
  <c r="T265" i="33"/>
  <c r="M219" i="33"/>
  <c r="M221" i="33"/>
  <c r="M224" i="33"/>
  <c r="M227" i="33" s="1"/>
  <c r="M229" i="33"/>
  <c r="L219" i="33"/>
  <c r="L224" i="33"/>
  <c r="L227" i="33" s="1"/>
  <c r="L221" i="33"/>
  <c r="L229" i="33"/>
  <c r="K219" i="33"/>
  <c r="K221" i="33"/>
  <c r="K224" i="33"/>
  <c r="K227" i="33" s="1"/>
  <c r="K229" i="33"/>
  <c r="J219" i="33"/>
  <c r="J221" i="33"/>
  <c r="J229" i="33"/>
  <c r="J224" i="33"/>
  <c r="J227" i="33" s="1"/>
  <c r="AB219" i="33"/>
  <c r="AB221" i="33"/>
  <c r="AB229" i="33"/>
  <c r="AB224" i="33"/>
  <c r="AB227" i="33" s="1"/>
  <c r="Y292" i="33"/>
  <c r="Y265" i="33"/>
  <c r="M292" i="33"/>
  <c r="M265" i="33"/>
  <c r="P219" i="33"/>
  <c r="P221" i="33"/>
  <c r="P224" i="33"/>
  <c r="P227" i="33" s="1"/>
  <c r="P229" i="33"/>
  <c r="K292" i="33"/>
  <c r="K265" i="33"/>
  <c r="H292" i="33"/>
  <c r="H265" i="33"/>
  <c r="AH219" i="33"/>
  <c r="AH224" i="33"/>
  <c r="AH227" i="33" s="1"/>
  <c r="AH221" i="33"/>
  <c r="AH229" i="33"/>
  <c r="AF219" i="33"/>
  <c r="AF221" i="33"/>
  <c r="AF229" i="33"/>
  <c r="AF224" i="33"/>
  <c r="AF227" i="33" s="1"/>
  <c r="G219" i="33"/>
  <c r="G224" i="33"/>
  <c r="G227" i="33" s="1"/>
  <c r="G229" i="33"/>
  <c r="G221" i="33"/>
  <c r="W219" i="33"/>
  <c r="W224" i="33"/>
  <c r="W227" i="33" s="1"/>
  <c r="W221" i="33"/>
  <c r="W229" i="33"/>
  <c r="AA219" i="33"/>
  <c r="AA221" i="33"/>
  <c r="AA224" i="33"/>
  <c r="AA227" i="33" s="1"/>
  <c r="AA229" i="33"/>
  <c r="H219" i="33"/>
  <c r="H229" i="33"/>
  <c r="H221" i="33"/>
  <c r="H224" i="33"/>
  <c r="H227" i="33" s="1"/>
  <c r="U219" i="33"/>
  <c r="U224" i="33"/>
  <c r="U227" i="33" s="1"/>
  <c r="U221" i="33"/>
  <c r="U229" i="33"/>
  <c r="R292" i="33"/>
  <c r="R265" i="33"/>
  <c r="AC219" i="33"/>
  <c r="AC224" i="33"/>
  <c r="AC227" i="33" s="1"/>
  <c r="AC221" i="33"/>
  <c r="AC229" i="33"/>
  <c r="T219" i="33"/>
  <c r="T229" i="33"/>
  <c r="T221" i="33"/>
  <c r="T224" i="33"/>
  <c r="T227" i="33" s="1"/>
  <c r="X219" i="33"/>
  <c r="X221" i="33"/>
  <c r="X224" i="33"/>
  <c r="X227" i="33" s="1"/>
  <c r="X229" i="33"/>
  <c r="S292" i="33"/>
  <c r="S265" i="33"/>
  <c r="Q219" i="33"/>
  <c r="Q224" i="33"/>
  <c r="Q227" i="33" s="1"/>
  <c r="Q221" i="33"/>
  <c r="Q229" i="33"/>
  <c r="Z219" i="33"/>
  <c r="Z224" i="33"/>
  <c r="Z227" i="33" s="1"/>
  <c r="Z221" i="33"/>
  <c r="Z229" i="33"/>
  <c r="R219" i="33"/>
  <c r="R229" i="33"/>
  <c r="R224" i="33"/>
  <c r="R227" i="33" s="1"/>
  <c r="R221" i="33"/>
  <c r="N219" i="33"/>
  <c r="N229" i="33"/>
  <c r="N221" i="33"/>
  <c r="N224" i="33"/>
  <c r="N227" i="33" s="1"/>
  <c r="O219" i="33"/>
  <c r="O221" i="33"/>
  <c r="O229" i="33"/>
  <c r="O224" i="33"/>
  <c r="O227" i="33" s="1"/>
  <c r="I219" i="33"/>
  <c r="I224" i="33"/>
  <c r="I227" i="33" s="1"/>
  <c r="I229" i="33"/>
  <c r="I221" i="33"/>
  <c r="AE219" i="33"/>
  <c r="AE224" i="33"/>
  <c r="AE227" i="33" s="1"/>
  <c r="AE229" i="33"/>
  <c r="AE221" i="33"/>
  <c r="AE26" i="29"/>
  <c r="BH26" i="29" s="1"/>
  <c r="E41" i="21"/>
  <c r="E42" i="21" s="1"/>
  <c r="E43" i="21" s="1"/>
  <c r="E44" i="21" s="1"/>
  <c r="E45" i="21" s="1"/>
  <c r="E46" i="21" s="1"/>
  <c r="E47" i="21" s="1"/>
  <c r="E48" i="21" s="1"/>
  <c r="E49" i="21" s="1"/>
  <c r="E50" i="21" s="1"/>
  <c r="E51" i="21" s="1"/>
  <c r="E52" i="21" s="1"/>
  <c r="E53" i="21" s="1"/>
  <c r="E54" i="21" s="1"/>
  <c r="E55" i="21" s="1"/>
  <c r="E56" i="21" s="1"/>
  <c r="E57" i="21" s="1"/>
  <c r="E58" i="21" s="1"/>
  <c r="E59" i="21" s="1"/>
  <c r="E60" i="21" s="1"/>
  <c r="E61" i="21" s="1"/>
  <c r="E62" i="21" s="1"/>
  <c r="E63" i="21" s="1"/>
  <c r="E64" i="21" s="1"/>
  <c r="E65" i="21" s="1"/>
  <c r="E66" i="21" s="1"/>
  <c r="E67" i="21" s="1"/>
  <c r="E68" i="21" s="1"/>
  <c r="E69" i="21" s="1"/>
  <c r="E70" i="21" s="1"/>
  <c r="E71" i="21" s="1"/>
  <c r="E72" i="21" s="1"/>
  <c r="E73" i="21" s="1"/>
  <c r="E74" i="21" s="1"/>
  <c r="E75" i="21" s="1"/>
  <c r="E76" i="21" s="1"/>
  <c r="E77" i="21" s="1"/>
  <c r="E78" i="21" s="1"/>
  <c r="E79" i="21" s="1"/>
  <c r="E80" i="21" s="1"/>
  <c r="E81" i="21" s="1"/>
  <c r="E82" i="21" s="1"/>
  <c r="E83" i="21" s="1"/>
  <c r="E84" i="21" s="1"/>
  <c r="E85" i="21" s="1"/>
  <c r="E86" i="21" s="1"/>
  <c r="E87" i="21" s="1"/>
  <c r="E88" i="21" s="1"/>
  <c r="E89" i="21" s="1"/>
  <c r="E90" i="21" s="1"/>
  <c r="E91" i="21" s="1"/>
  <c r="E92" i="21" s="1"/>
  <c r="C350" i="33"/>
  <c r="C356" i="33" s="1"/>
  <c r="H90" i="12"/>
  <c r="P25" i="22"/>
  <c r="T34" i="21"/>
  <c r="E25" i="22"/>
  <c r="H25" i="22"/>
  <c r="V34" i="21"/>
  <c r="O25" i="22"/>
  <c r="S34" i="21"/>
  <c r="AD34" i="21"/>
  <c r="X25" i="22"/>
  <c r="AB34" i="21"/>
  <c r="L25" i="22"/>
  <c r="G313" i="33"/>
  <c r="G303" i="33"/>
  <c r="G339" i="33"/>
  <c r="G350" i="33"/>
  <c r="G356" i="33" s="1"/>
  <c r="AU391" i="28"/>
  <c r="BC391" i="25"/>
  <c r="BC395" i="25"/>
  <c r="AU391" i="27"/>
  <c r="AU395" i="27"/>
  <c r="AU391" i="24"/>
  <c r="AU395" i="24"/>
  <c r="Y26" i="29"/>
  <c r="BB26" i="29" s="1"/>
  <c r="K26" i="29"/>
  <c r="AN26" i="29" s="1"/>
  <c r="P26" i="29"/>
  <c r="AS26" i="29" s="1"/>
  <c r="Q26" i="29"/>
  <c r="AT26" i="29" s="1"/>
  <c r="AI26" i="29"/>
  <c r="BL26" i="29" s="1"/>
  <c r="N26" i="29"/>
  <c r="AQ26" i="29" s="1"/>
  <c r="V26" i="29"/>
  <c r="AY26" i="29" s="1"/>
  <c r="AT15" i="21"/>
  <c r="M7" i="22" s="1"/>
  <c r="BF15" i="21"/>
  <c r="Y7" i="22" s="1"/>
  <c r="AU15" i="21"/>
  <c r="N7" i="22" s="1"/>
  <c r="BG15" i="21"/>
  <c r="Z7" i="22" s="1"/>
  <c r="AV15" i="21"/>
  <c r="O7" i="22" s="1"/>
  <c r="BH15" i="21"/>
  <c r="AA7" i="22" s="1"/>
  <c r="AW15" i="21"/>
  <c r="P7" i="22" s="1"/>
  <c r="BI15" i="21"/>
  <c r="AB7" i="22" s="1"/>
  <c r="AL15" i="21"/>
  <c r="E7" i="22" s="1"/>
  <c r="AX15" i="21"/>
  <c r="Q7" i="22" s="1"/>
  <c r="BJ15" i="21"/>
  <c r="AC7" i="22" s="1"/>
  <c r="AM15" i="21"/>
  <c r="F7" i="22" s="1"/>
  <c r="AY15" i="21"/>
  <c r="R7" i="22" s="1"/>
  <c r="BK15" i="21"/>
  <c r="AD7" i="22" s="1"/>
  <c r="AN15" i="21"/>
  <c r="G7" i="22" s="1"/>
  <c r="AZ15" i="21"/>
  <c r="S7" i="22" s="1"/>
  <c r="BL15" i="21"/>
  <c r="AE7" i="22" s="1"/>
  <c r="AK15" i="21"/>
  <c r="D7" i="22" s="1"/>
  <c r="AO15" i="21"/>
  <c r="H7" i="22" s="1"/>
  <c r="BA15" i="21"/>
  <c r="T7" i="22" s="1"/>
  <c r="AQ15" i="21"/>
  <c r="J7" i="22" s="1"/>
  <c r="BC15" i="21"/>
  <c r="V7" i="22" s="1"/>
  <c r="AR15" i="21"/>
  <c r="K7" i="22" s="1"/>
  <c r="BD15" i="21"/>
  <c r="W7" i="22" s="1"/>
  <c r="AP15" i="21"/>
  <c r="I7" i="22" s="1"/>
  <c r="AS15" i="21"/>
  <c r="L7" i="22" s="1"/>
  <c r="BB15" i="21"/>
  <c r="U7" i="22" s="1"/>
  <c r="BE15" i="21"/>
  <c r="X7" i="22" s="1"/>
  <c r="AA24" i="21"/>
  <c r="M24" i="21"/>
  <c r="M27" i="21" s="1"/>
  <c r="AD24" i="21"/>
  <c r="AD27" i="21" s="1"/>
  <c r="K24" i="21"/>
  <c r="K27" i="21" s="1"/>
  <c r="Y24" i="21"/>
  <c r="Y27" i="21" s="1"/>
  <c r="W24" i="21"/>
  <c r="W27" i="21" s="1"/>
  <c r="AI24" i="21"/>
  <c r="AI27" i="21" s="1"/>
  <c r="P24" i="21"/>
  <c r="P27" i="21" s="1"/>
  <c r="I24" i="21"/>
  <c r="I27" i="21" s="1"/>
  <c r="S24" i="21"/>
  <c r="S27" i="21" s="1"/>
  <c r="U24" i="21"/>
  <c r="U27" i="21" s="1"/>
  <c r="AB24" i="21"/>
  <c r="AB27" i="21" s="1"/>
  <c r="AE24" i="21"/>
  <c r="AE27" i="21" s="1"/>
  <c r="AG24" i="21"/>
  <c r="AG27" i="21" s="1"/>
  <c r="N24" i="21"/>
  <c r="N27" i="21" s="1"/>
  <c r="L24" i="21"/>
  <c r="L27" i="21" s="1"/>
  <c r="Z24" i="21"/>
  <c r="Z27" i="21" s="1"/>
  <c r="X24" i="21"/>
  <c r="X27" i="21" s="1"/>
  <c r="Q24" i="21"/>
  <c r="Q27" i="21" s="1"/>
  <c r="T24" i="21"/>
  <c r="T27" i="21" s="1"/>
  <c r="J24" i="21"/>
  <c r="J27" i="21" s="1"/>
  <c r="AC24" i="21"/>
  <c r="AC27" i="21" s="1"/>
  <c r="AF24" i="21"/>
  <c r="AF27" i="21" s="1"/>
  <c r="V24" i="21"/>
  <c r="AH24" i="21"/>
  <c r="AH27" i="21" s="1"/>
  <c r="O24" i="21"/>
  <c r="O27" i="21" s="1"/>
  <c r="R24" i="21"/>
  <c r="R27" i="21" s="1"/>
  <c r="AT19" i="21"/>
  <c r="M11" i="22" s="1"/>
  <c r="BF19" i="21"/>
  <c r="Y11" i="22" s="1"/>
  <c r="AU19" i="21"/>
  <c r="N11" i="22" s="1"/>
  <c r="BG19" i="21"/>
  <c r="Z11" i="22" s="1"/>
  <c r="AV19" i="21"/>
  <c r="O11" i="22" s="1"/>
  <c r="BH19" i="21"/>
  <c r="AA11" i="22" s="1"/>
  <c r="AW19" i="21"/>
  <c r="P11" i="22" s="1"/>
  <c r="BI19" i="21"/>
  <c r="AB11" i="22" s="1"/>
  <c r="AL19" i="21"/>
  <c r="E11" i="22" s="1"/>
  <c r="AX19" i="21"/>
  <c r="Q11" i="22" s="1"/>
  <c r="BJ19" i="21"/>
  <c r="AC11" i="22" s="1"/>
  <c r="AM19" i="21"/>
  <c r="F11" i="22" s="1"/>
  <c r="AY19" i="21"/>
  <c r="R11" i="22" s="1"/>
  <c r="BK19" i="21"/>
  <c r="AD11" i="22" s="1"/>
  <c r="AN19" i="21"/>
  <c r="G11" i="22" s="1"/>
  <c r="AZ19" i="21"/>
  <c r="S11" i="22" s="1"/>
  <c r="BL19" i="21"/>
  <c r="AE11" i="22" s="1"/>
  <c r="AO19" i="21"/>
  <c r="H11" i="22" s="1"/>
  <c r="BA19" i="21"/>
  <c r="T11" i="22" s="1"/>
  <c r="AQ19" i="21"/>
  <c r="J11" i="22" s="1"/>
  <c r="BC19" i="21"/>
  <c r="V11" i="22" s="1"/>
  <c r="AR19" i="21"/>
  <c r="K11" i="22" s="1"/>
  <c r="BD19" i="21"/>
  <c r="W11" i="22" s="1"/>
  <c r="AK19" i="21"/>
  <c r="D11" i="22" s="1"/>
  <c r="BE19" i="21"/>
  <c r="X11" i="22" s="1"/>
  <c r="AP19" i="21"/>
  <c r="I11" i="22" s="1"/>
  <c r="BB19" i="21"/>
  <c r="U11" i="22" s="1"/>
  <c r="AS19" i="21"/>
  <c r="L11" i="22" s="1"/>
  <c r="AW18" i="21"/>
  <c r="P10" i="22" s="1"/>
  <c r="BI18" i="21"/>
  <c r="AB10" i="22" s="1"/>
  <c r="AL18" i="21"/>
  <c r="E10" i="22" s="1"/>
  <c r="AX18" i="21"/>
  <c r="Q10" i="22" s="1"/>
  <c r="BJ18" i="21"/>
  <c r="AC10" i="22" s="1"/>
  <c r="AM18" i="21"/>
  <c r="F10" i="22" s="1"/>
  <c r="AY18" i="21"/>
  <c r="R10" i="22" s="1"/>
  <c r="BK18" i="21"/>
  <c r="AD10" i="22" s="1"/>
  <c r="AN18" i="21"/>
  <c r="G10" i="22" s="1"/>
  <c r="AZ18" i="21"/>
  <c r="S10" i="22" s="1"/>
  <c r="BL18" i="21"/>
  <c r="AE10" i="22" s="1"/>
  <c r="AO18" i="21"/>
  <c r="H10" i="22" s="1"/>
  <c r="BA18" i="21"/>
  <c r="T10" i="22" s="1"/>
  <c r="AP18" i="21"/>
  <c r="I10" i="22" s="1"/>
  <c r="BB18" i="21"/>
  <c r="U10" i="22" s="1"/>
  <c r="AQ18" i="21"/>
  <c r="J10" i="22" s="1"/>
  <c r="BC18" i="21"/>
  <c r="V10" i="22" s="1"/>
  <c r="AR18" i="21"/>
  <c r="K10" i="22" s="1"/>
  <c r="BD18" i="21"/>
  <c r="W10" i="22" s="1"/>
  <c r="AT18" i="21"/>
  <c r="M10" i="22" s="1"/>
  <c r="BF18" i="21"/>
  <c r="Y10" i="22" s="1"/>
  <c r="AK18" i="21"/>
  <c r="D10" i="22" s="1"/>
  <c r="AU18" i="21"/>
  <c r="N10" i="22" s="1"/>
  <c r="BG18" i="21"/>
  <c r="Z10" i="22" s="1"/>
  <c r="AS18" i="21"/>
  <c r="L10" i="22" s="1"/>
  <c r="AV18" i="21"/>
  <c r="O10" i="22" s="1"/>
  <c r="BE18" i="21"/>
  <c r="X10" i="22" s="1"/>
  <c r="BH18" i="21"/>
  <c r="AA10" i="22" s="1"/>
  <c r="AN17" i="21"/>
  <c r="G9" i="22" s="1"/>
  <c r="AZ17" i="21"/>
  <c r="S9" i="22" s="1"/>
  <c r="BL17" i="21"/>
  <c r="AE9" i="22" s="1"/>
  <c r="AO17" i="21"/>
  <c r="H9" i="22" s="1"/>
  <c r="BA17" i="21"/>
  <c r="T9" i="22" s="1"/>
  <c r="AP17" i="21"/>
  <c r="I9" i="22" s="1"/>
  <c r="BB17" i="21"/>
  <c r="U9" i="22" s="1"/>
  <c r="AQ17" i="21"/>
  <c r="J9" i="22" s="1"/>
  <c r="BC17" i="21"/>
  <c r="V9" i="22" s="1"/>
  <c r="AR17" i="21"/>
  <c r="K9" i="22" s="1"/>
  <c r="BD17" i="21"/>
  <c r="W9" i="22" s="1"/>
  <c r="AS17" i="21"/>
  <c r="L9" i="22" s="1"/>
  <c r="BE17" i="21"/>
  <c r="X9" i="22" s="1"/>
  <c r="AT17" i="21"/>
  <c r="M9" i="22" s="1"/>
  <c r="BF17" i="21"/>
  <c r="Y9" i="22" s="1"/>
  <c r="AU17" i="21"/>
  <c r="N9" i="22" s="1"/>
  <c r="BG17" i="21"/>
  <c r="Z9" i="22" s="1"/>
  <c r="AW17" i="21"/>
  <c r="P9" i="22" s="1"/>
  <c r="BI17" i="21"/>
  <c r="AB9" i="22" s="1"/>
  <c r="AL17" i="21"/>
  <c r="E9" i="22" s="1"/>
  <c r="AX17" i="21"/>
  <c r="Q9" i="22" s="1"/>
  <c r="BJ17" i="21"/>
  <c r="AC9" i="22" s="1"/>
  <c r="AM17" i="21"/>
  <c r="F9" i="22" s="1"/>
  <c r="AY17" i="21"/>
  <c r="R9" i="22" s="1"/>
  <c r="BH17" i="21"/>
  <c r="AA9" i="22" s="1"/>
  <c r="BK17" i="21"/>
  <c r="AD9" i="22" s="1"/>
  <c r="AK17" i="21"/>
  <c r="D9" i="22" s="1"/>
  <c r="AV17" i="21"/>
  <c r="O9" i="22" s="1"/>
  <c r="AQ16" i="21"/>
  <c r="J8" i="22" s="1"/>
  <c r="BC16" i="21"/>
  <c r="V8" i="22" s="1"/>
  <c r="AR16" i="21"/>
  <c r="K8" i="22" s="1"/>
  <c r="BD16" i="21"/>
  <c r="W8" i="22" s="1"/>
  <c r="AS16" i="21"/>
  <c r="L8" i="22" s="1"/>
  <c r="BE16" i="21"/>
  <c r="X8" i="22" s="1"/>
  <c r="AT16" i="21"/>
  <c r="M8" i="22" s="1"/>
  <c r="BF16" i="21"/>
  <c r="Y8" i="22" s="1"/>
  <c r="AU16" i="21"/>
  <c r="N8" i="22" s="1"/>
  <c r="BG16" i="21"/>
  <c r="Z8" i="22" s="1"/>
  <c r="AK16" i="21"/>
  <c r="D8" i="22" s="1"/>
  <c r="AV16" i="21"/>
  <c r="O8" i="22" s="1"/>
  <c r="BH16" i="21"/>
  <c r="AA8" i="22" s="1"/>
  <c r="AW16" i="21"/>
  <c r="P8" i="22" s="1"/>
  <c r="BI16" i="21"/>
  <c r="AB8" i="22" s="1"/>
  <c r="AL16" i="21"/>
  <c r="E8" i="22" s="1"/>
  <c r="AX16" i="21"/>
  <c r="Q8" i="22" s="1"/>
  <c r="BJ16" i="21"/>
  <c r="AC8" i="22" s="1"/>
  <c r="AN16" i="21"/>
  <c r="G8" i="22" s="1"/>
  <c r="AZ16" i="21"/>
  <c r="S8" i="22" s="1"/>
  <c r="BL16" i="21"/>
  <c r="AE8" i="22" s="1"/>
  <c r="AO16" i="21"/>
  <c r="H8" i="22" s="1"/>
  <c r="BA16" i="21"/>
  <c r="T8" i="22" s="1"/>
  <c r="AM16" i="21"/>
  <c r="F8" i="22" s="1"/>
  <c r="AP16" i="21"/>
  <c r="I8" i="22" s="1"/>
  <c r="AY16" i="21"/>
  <c r="R8" i="22" s="1"/>
  <c r="BK16" i="21"/>
  <c r="AD8" i="22" s="1"/>
  <c r="BB16" i="21"/>
  <c r="U8" i="22" s="1"/>
  <c r="AA27" i="21" l="1"/>
  <c r="V27" i="21"/>
  <c r="AY27" i="21" s="1"/>
  <c r="R18" i="22" s="1"/>
  <c r="U34" i="21"/>
  <c r="W34" i="21"/>
  <c r="H34" i="21"/>
  <c r="O34" i="21"/>
  <c r="N25" i="22"/>
  <c r="T53" i="22" s="1"/>
  <c r="J25" i="22"/>
  <c r="AB25" i="22"/>
  <c r="AG34" i="21"/>
  <c r="BJ34" i="21" s="1"/>
  <c r="L26" i="29"/>
  <c r="AO26" i="29" s="1"/>
  <c r="AA34" i="21"/>
  <c r="J34" i="21"/>
  <c r="AM34" i="21" s="1"/>
  <c r="T14" i="11"/>
  <c r="AW14" i="11" s="1"/>
  <c r="P39" i="22" s="1"/>
  <c r="AC34" i="21"/>
  <c r="BF34" i="21" s="1"/>
  <c r="AH34" i="21"/>
  <c r="BK34" i="21" s="1"/>
  <c r="AI34" i="21"/>
  <c r="M34" i="21"/>
  <c r="AP34" i="21" s="1"/>
  <c r="K34" i="21"/>
  <c r="AN34" i="21" s="1"/>
  <c r="Y34" i="21"/>
  <c r="BB34" i="21" s="1"/>
  <c r="BG14" i="29"/>
  <c r="X34" i="21"/>
  <c r="BA34" i="21" s="1"/>
  <c r="AO13" i="29"/>
  <c r="Q34" i="21"/>
  <c r="AT34" i="21" s="1"/>
  <c r="BK15" i="29"/>
  <c r="BG16" i="29"/>
  <c r="BF16" i="29"/>
  <c r="BK13" i="29"/>
  <c r="BI15" i="29"/>
  <c r="BL13" i="29"/>
  <c r="Z34" i="21"/>
  <c r="BC34" i="21" s="1"/>
  <c r="BJ16" i="29"/>
  <c r="AE34" i="21"/>
  <c r="BH34" i="21" s="1"/>
  <c r="AZ16" i="29"/>
  <c r="AK16" i="29"/>
  <c r="M61" i="29" s="1"/>
  <c r="BC17" i="29"/>
  <c r="I37" i="12"/>
  <c r="I136" i="12" s="1"/>
  <c r="AL3" i="11"/>
  <c r="E28" i="22" s="1"/>
  <c r="I8" i="11"/>
  <c r="I28" i="21"/>
  <c r="AL28" i="21" s="1"/>
  <c r="E19" i="22" s="1"/>
  <c r="R37" i="12"/>
  <c r="AU3" i="11"/>
  <c r="N28" i="22" s="1"/>
  <c r="R28" i="21"/>
  <c r="AU28" i="21" s="1"/>
  <c r="N19" i="22" s="1"/>
  <c r="T47" i="22" s="1"/>
  <c r="R8" i="11"/>
  <c r="AY3" i="29"/>
  <c r="V12" i="29"/>
  <c r="AY12" i="29" s="1"/>
  <c r="E59" i="38"/>
  <c r="E52" i="38"/>
  <c r="H37" i="12"/>
  <c r="H145" i="12" s="1"/>
  <c r="H8" i="11"/>
  <c r="AK8" i="11" s="1"/>
  <c r="D33" i="22" s="1"/>
  <c r="H28" i="21"/>
  <c r="AK28" i="21" s="1"/>
  <c r="D19" i="22" s="1"/>
  <c r="E47" i="22" s="1"/>
  <c r="AK3" i="11"/>
  <c r="D28" i="22" s="1"/>
  <c r="AZ3" i="29"/>
  <c r="W12" i="29"/>
  <c r="AZ12" i="29" s="1"/>
  <c r="BI16" i="29"/>
  <c r="BA17" i="29"/>
  <c r="BD17" i="29"/>
  <c r="AO15" i="29"/>
  <c r="BH13" i="29"/>
  <c r="BJ15" i="29"/>
  <c r="AW16" i="29"/>
  <c r="BH16" i="29"/>
  <c r="BK17" i="29"/>
  <c r="BG13" i="29"/>
  <c r="AQ15" i="29"/>
  <c r="AZ15" i="29"/>
  <c r="V37" i="12"/>
  <c r="AY3" i="11"/>
  <c r="R28" i="22" s="1"/>
  <c r="V28" i="21"/>
  <c r="AY28" i="21" s="1"/>
  <c r="R19" i="22" s="1"/>
  <c r="V8" i="11"/>
  <c r="BH11" i="29"/>
  <c r="AO11" i="29"/>
  <c r="BF11" i="29"/>
  <c r="BB11" i="29"/>
  <c r="AW11" i="29"/>
  <c r="BA11" i="29"/>
  <c r="AU11" i="29"/>
  <c r="BI11" i="29"/>
  <c r="AP11" i="29"/>
  <c r="BG11" i="29"/>
  <c r="AL11" i="29"/>
  <c r="AX11" i="29"/>
  <c r="AQ11" i="29"/>
  <c r="BJ11" i="29"/>
  <c r="BC11" i="29"/>
  <c r="AM11" i="29"/>
  <c r="AK11" i="29"/>
  <c r="AN11" i="29"/>
  <c r="AY11" i="29"/>
  <c r="AR11" i="29"/>
  <c r="BK11" i="29"/>
  <c r="BD11" i="29"/>
  <c r="AS11" i="29"/>
  <c r="AZ11" i="29"/>
  <c r="BE11" i="29"/>
  <c r="AV11" i="29"/>
  <c r="BL11" i="29"/>
  <c r="AT11" i="29"/>
  <c r="AK3" i="29"/>
  <c r="H12" i="29"/>
  <c r="AK12" i="29" s="1"/>
  <c r="W37" i="12"/>
  <c r="W136" i="12" s="1"/>
  <c r="AZ3" i="11"/>
  <c r="S28" i="22" s="1"/>
  <c r="W8" i="11"/>
  <c r="W28" i="21"/>
  <c r="AZ28" i="21" s="1"/>
  <c r="S19" i="22" s="1"/>
  <c r="AS17" i="29"/>
  <c r="BB17" i="29"/>
  <c r="AS15" i="29"/>
  <c r="AP16" i="29"/>
  <c r="AS16" i="29"/>
  <c r="BE14" i="29"/>
  <c r="AX16" i="29"/>
  <c r="AR15" i="29"/>
  <c r="AP14" i="29"/>
  <c r="AP13" i="29"/>
  <c r="AR17" i="29"/>
  <c r="BC13" i="29"/>
  <c r="BE16" i="29"/>
  <c r="AN15" i="29"/>
  <c r="AR3" i="29"/>
  <c r="O12" i="29"/>
  <c r="AR12" i="29" s="1"/>
  <c r="AC12" i="29"/>
  <c r="BF12" i="29" s="1"/>
  <c r="BF3" i="29"/>
  <c r="Z12" i="29"/>
  <c r="BC12" i="29" s="1"/>
  <c r="BC3" i="29"/>
  <c r="AW17" i="29"/>
  <c r="BI17" i="29"/>
  <c r="AU15" i="29"/>
  <c r="BK14" i="29"/>
  <c r="BA15" i="29"/>
  <c r="AK15" i="29"/>
  <c r="L61" i="29" s="1"/>
  <c r="BK16" i="29"/>
  <c r="AR14" i="29"/>
  <c r="BE13" i="29"/>
  <c r="AY13" i="29"/>
  <c r="AU13" i="29"/>
  <c r="AP17" i="29"/>
  <c r="H26" i="29"/>
  <c r="AK26" i="29" s="1"/>
  <c r="H14" i="11"/>
  <c r="AK14" i="11" s="1"/>
  <c r="D39" i="22" s="1"/>
  <c r="D53" i="22" s="1"/>
  <c r="I66" i="29" s="1"/>
  <c r="O37" i="12"/>
  <c r="O136" i="12" s="1"/>
  <c r="AR3" i="11"/>
  <c r="K28" i="22" s="1"/>
  <c r="O8" i="11"/>
  <c r="O28" i="21"/>
  <c r="AR28" i="21" s="1"/>
  <c r="K19" i="22" s="1"/>
  <c r="E32" i="21"/>
  <c r="BA7" i="11"/>
  <c r="T32" i="22" s="1"/>
  <c r="BG7" i="11"/>
  <c r="Z32" i="22" s="1"/>
  <c r="BH7" i="11"/>
  <c r="AA32" i="22" s="1"/>
  <c r="AQ7" i="11"/>
  <c r="J32" i="22" s="1"/>
  <c r="AP7" i="11"/>
  <c r="I32" i="22" s="1"/>
  <c r="AV7" i="11"/>
  <c r="O32" i="22" s="1"/>
  <c r="BB7" i="11"/>
  <c r="U32" i="22" s="1"/>
  <c r="AW7" i="11"/>
  <c r="P32" i="22" s="1"/>
  <c r="BC7" i="11"/>
  <c r="V32" i="22" s="1"/>
  <c r="BI7" i="11"/>
  <c r="AB32" i="22" s="1"/>
  <c r="AR7" i="11"/>
  <c r="K32" i="22" s="1"/>
  <c r="AL7" i="11"/>
  <c r="E32" i="22" s="1"/>
  <c r="AY7" i="11"/>
  <c r="R32" i="22" s="1"/>
  <c r="S51" i="22" s="1"/>
  <c r="U51" i="22" s="1"/>
  <c r="BD7" i="11"/>
  <c r="W32" i="22" s="1"/>
  <c r="AX7" i="11"/>
  <c r="Q32" i="22" s="1"/>
  <c r="AT7" i="11"/>
  <c r="M32" i="22" s="1"/>
  <c r="F51" i="22" s="1"/>
  <c r="AS7" i="11"/>
  <c r="L32" i="22" s="1"/>
  <c r="BJ7" i="11"/>
  <c r="AC32" i="22" s="1"/>
  <c r="BE7" i="11"/>
  <c r="X32" i="22" s="1"/>
  <c r="AM7" i="11"/>
  <c r="F32" i="22" s="1"/>
  <c r="AN7" i="11"/>
  <c r="G32" i="22" s="1"/>
  <c r="AZ7" i="11"/>
  <c r="S32" i="22" s="1"/>
  <c r="BL7" i="11"/>
  <c r="AE32" i="22" s="1"/>
  <c r="BF7" i="11"/>
  <c r="Y32" i="22" s="1"/>
  <c r="BK7" i="11"/>
  <c r="AD32" i="22" s="1"/>
  <c r="AO7" i="11"/>
  <c r="H32" i="22" s="1"/>
  <c r="AU7" i="11"/>
  <c r="N32" i="22" s="1"/>
  <c r="AK7" i="11"/>
  <c r="D32" i="22" s="1"/>
  <c r="D51" i="22" s="1"/>
  <c r="AC37" i="12"/>
  <c r="AC136" i="12" s="1"/>
  <c r="BF3" i="11"/>
  <c r="Y28" i="22" s="1"/>
  <c r="AC8" i="11"/>
  <c r="AC28" i="21"/>
  <c r="BF28" i="21" s="1"/>
  <c r="Y19" i="22" s="1"/>
  <c r="Z37" i="12"/>
  <c r="BC3" i="11"/>
  <c r="V28" i="22" s="1"/>
  <c r="Z8" i="11"/>
  <c r="Z28" i="21"/>
  <c r="BC28" i="21" s="1"/>
  <c r="V19" i="22" s="1"/>
  <c r="BI3" i="29"/>
  <c r="AF12" i="29"/>
  <c r="BI12" i="29" s="1"/>
  <c r="AY9" i="11"/>
  <c r="R34" i="22" s="1"/>
  <c r="S48" i="22" s="1"/>
  <c r="U48" i="22" s="1"/>
  <c r="BE9" i="11"/>
  <c r="X34" i="22" s="1"/>
  <c r="AV9" i="11"/>
  <c r="O34" i="22" s="1"/>
  <c r="AM9" i="11"/>
  <c r="F34" i="22" s="1"/>
  <c r="AS9" i="11"/>
  <c r="L34" i="22" s="1"/>
  <c r="BJ9" i="11"/>
  <c r="AC34" i="22" s="1"/>
  <c r="BD9" i="11"/>
  <c r="W34" i="22" s="1"/>
  <c r="AK9" i="11"/>
  <c r="D34" i="22" s="1"/>
  <c r="D48" i="22" s="1"/>
  <c r="I61" i="29" s="1"/>
  <c r="AX9" i="11"/>
  <c r="Q34" i="22" s="1"/>
  <c r="AR9" i="11"/>
  <c r="K34" i="22" s="1"/>
  <c r="AL9" i="11"/>
  <c r="E34" i="22" s="1"/>
  <c r="BC9" i="11"/>
  <c r="V34" i="22" s="1"/>
  <c r="BI9" i="11"/>
  <c r="AB34" i="22" s="1"/>
  <c r="AQ9" i="11"/>
  <c r="J34" i="22" s="1"/>
  <c r="AW9" i="11"/>
  <c r="P34" i="22" s="1"/>
  <c r="BB9" i="11"/>
  <c r="U34" i="22" s="1"/>
  <c r="AO9" i="11"/>
  <c r="H34" i="22" s="1"/>
  <c r="BH9" i="11"/>
  <c r="AA34" i="22" s="1"/>
  <c r="AP9" i="11"/>
  <c r="I34" i="22" s="1"/>
  <c r="BL9" i="11"/>
  <c r="AE34" i="22" s="1"/>
  <c r="BG9" i="11"/>
  <c r="Z34" i="22" s="1"/>
  <c r="BA9" i="11"/>
  <c r="T34" i="22" s="1"/>
  <c r="AZ9" i="11"/>
  <c r="S34" i="22" s="1"/>
  <c r="AU9" i="11"/>
  <c r="N34" i="22" s="1"/>
  <c r="AN9" i="11"/>
  <c r="G34" i="22" s="1"/>
  <c r="BF9" i="11"/>
  <c r="Y34" i="22" s="1"/>
  <c r="BK9" i="11"/>
  <c r="AD34" i="22" s="1"/>
  <c r="AT9" i="11"/>
  <c r="M34" i="22" s="1"/>
  <c r="F48" i="22" s="1"/>
  <c r="BD15" i="29"/>
  <c r="AY16" i="29"/>
  <c r="AY14" i="29"/>
  <c r="AS13" i="29"/>
  <c r="BD14" i="29"/>
  <c r="BL16" i="29"/>
  <c r="BE15" i="29"/>
  <c r="BB15" i="29"/>
  <c r="AS14" i="29"/>
  <c r="E85" i="38"/>
  <c r="E92" i="38"/>
  <c r="AM14" i="29"/>
  <c r="BB14" i="29"/>
  <c r="T37" i="12"/>
  <c r="T136" i="12" s="1"/>
  <c r="AW3" i="11"/>
  <c r="P28" i="22" s="1"/>
  <c r="T8" i="11"/>
  <c r="T28" i="21"/>
  <c r="AW28" i="21" s="1"/>
  <c r="P19" i="22" s="1"/>
  <c r="AF37" i="12"/>
  <c r="AF136" i="12" s="1"/>
  <c r="BI3" i="11"/>
  <c r="AB28" i="22" s="1"/>
  <c r="AF8" i="11"/>
  <c r="AF28" i="21"/>
  <c r="BI28" i="21" s="1"/>
  <c r="AB19" i="22" s="1"/>
  <c r="AV3" i="29"/>
  <c r="S12" i="29"/>
  <c r="AV12" i="29" s="1"/>
  <c r="BB13" i="29"/>
  <c r="BC16" i="29"/>
  <c r="AL13" i="29"/>
  <c r="AQ16" i="29"/>
  <c r="AU17" i="29"/>
  <c r="AK17" i="29"/>
  <c r="N61" i="29" s="1"/>
  <c r="AT16" i="29"/>
  <c r="AN13" i="29"/>
  <c r="AM16" i="29"/>
  <c r="AK14" i="29"/>
  <c r="K61" i="29" s="1"/>
  <c r="AN14" i="29"/>
  <c r="U37" i="12"/>
  <c r="AX3" i="11"/>
  <c r="Q28" i="22" s="1"/>
  <c r="U8" i="11"/>
  <c r="U28" i="21"/>
  <c r="AX28" i="21" s="1"/>
  <c r="Q19" i="22" s="1"/>
  <c r="BD3" i="29"/>
  <c r="AA12" i="29"/>
  <c r="BD12" i="29" s="1"/>
  <c r="AZ31" i="21"/>
  <c r="S22" i="22" s="1"/>
  <c r="AP31" i="21"/>
  <c r="I22" i="22" s="1"/>
  <c r="BJ31" i="21"/>
  <c r="AC22" i="22" s="1"/>
  <c r="AL31" i="21"/>
  <c r="E22" i="22" s="1"/>
  <c r="BB31" i="21"/>
  <c r="U22" i="22" s="1"/>
  <c r="AX31" i="21"/>
  <c r="Q22" i="22" s="1"/>
  <c r="BF31" i="21"/>
  <c r="Y22" i="22" s="1"/>
  <c r="AS31" i="21"/>
  <c r="L22" i="22" s="1"/>
  <c r="BE31" i="21"/>
  <c r="X22" i="22" s="1"/>
  <c r="BL31" i="21"/>
  <c r="AE22" i="22" s="1"/>
  <c r="AQ31" i="21"/>
  <c r="J22" i="22" s="1"/>
  <c r="AT31" i="21"/>
  <c r="M22" i="22" s="1"/>
  <c r="G50" i="22" s="1"/>
  <c r="BC31" i="21"/>
  <c r="V22" i="22" s="1"/>
  <c r="AM31" i="21"/>
  <c r="F22" i="22" s="1"/>
  <c r="AU31" i="21"/>
  <c r="N22" i="22" s="1"/>
  <c r="T50" i="22" s="1"/>
  <c r="AY31" i="21"/>
  <c r="R22" i="22" s="1"/>
  <c r="AR31" i="21"/>
  <c r="K22" i="22" s="1"/>
  <c r="AN31" i="21"/>
  <c r="G22" i="22" s="1"/>
  <c r="BG31" i="21"/>
  <c r="Z22" i="22" s="1"/>
  <c r="BK31" i="21"/>
  <c r="AD22" i="22" s="1"/>
  <c r="AV31" i="21"/>
  <c r="O22" i="22" s="1"/>
  <c r="AK31" i="21"/>
  <c r="D22" i="22" s="1"/>
  <c r="E50" i="22" s="1"/>
  <c r="H63" i="29" s="1"/>
  <c r="BH31" i="21"/>
  <c r="AA22" i="22" s="1"/>
  <c r="AW31" i="21"/>
  <c r="P22" i="22" s="1"/>
  <c r="AO31" i="21"/>
  <c r="H22" i="22" s="1"/>
  <c r="BI31" i="21"/>
  <c r="AB22" i="22" s="1"/>
  <c r="BA31" i="21"/>
  <c r="T22" i="22" s="1"/>
  <c r="BD31" i="21"/>
  <c r="W22" i="22" s="1"/>
  <c r="AD12" i="29"/>
  <c r="BG12" i="29" s="1"/>
  <c r="BG3" i="29"/>
  <c r="N12" i="29"/>
  <c r="AQ12" i="29" s="1"/>
  <c r="AQ3" i="29"/>
  <c r="S37" i="12"/>
  <c r="S136" i="12" s="1"/>
  <c r="AV3" i="11"/>
  <c r="O28" i="22" s="1"/>
  <c r="S8" i="11"/>
  <c r="S28" i="21"/>
  <c r="AV28" i="21" s="1"/>
  <c r="O19" i="22" s="1"/>
  <c r="BI14" i="29"/>
  <c r="AU14" i="29"/>
  <c r="AW13" i="29"/>
  <c r="AQ14" i="29"/>
  <c r="BH15" i="29"/>
  <c r="AV17" i="29"/>
  <c r="AX13" i="29"/>
  <c r="AL16" i="29"/>
  <c r="AO14" i="29"/>
  <c r="AL17" i="29"/>
  <c r="AZ13" i="29"/>
  <c r="AA37" i="12"/>
  <c r="AA136" i="12" s="1"/>
  <c r="BD3" i="11"/>
  <c r="W28" i="22" s="1"/>
  <c r="AA8" i="11"/>
  <c r="AA28" i="21"/>
  <c r="BD28" i="21" s="1"/>
  <c r="W19" i="22" s="1"/>
  <c r="AD37" i="12"/>
  <c r="AD136" i="12" s="1"/>
  <c r="BG3" i="11"/>
  <c r="Z28" i="22" s="1"/>
  <c r="AD8" i="11"/>
  <c r="AD28" i="21"/>
  <c r="BG28" i="21" s="1"/>
  <c r="Z19" i="22" s="1"/>
  <c r="AN3" i="29"/>
  <c r="K12" i="29"/>
  <c r="AN12" i="29" s="1"/>
  <c r="N37" i="12"/>
  <c r="N136" i="12" s="1"/>
  <c r="AQ3" i="11"/>
  <c r="J28" i="22" s="1"/>
  <c r="N8" i="11"/>
  <c r="N28" i="21"/>
  <c r="AQ28" i="21" s="1"/>
  <c r="J19" i="22" s="1"/>
  <c r="H62" i="29"/>
  <c r="I62" i="29" s="1"/>
  <c r="J62" i="29" s="1"/>
  <c r="K62" i="29" s="1"/>
  <c r="L62" i="29" s="1"/>
  <c r="M62" i="29" s="1"/>
  <c r="N62" i="29" s="1"/>
  <c r="AB12" i="29"/>
  <c r="BE12" i="29" s="1"/>
  <c r="BE3" i="29"/>
  <c r="BG15" i="29"/>
  <c r="BA3" i="29"/>
  <c r="X12" i="29"/>
  <c r="BA12" i="29" s="1"/>
  <c r="AT13" i="29"/>
  <c r="AL14" i="29"/>
  <c r="AW15" i="29"/>
  <c r="AN17" i="29"/>
  <c r="AQ13" i="29"/>
  <c r="BH14" i="29"/>
  <c r="BF15" i="29"/>
  <c r="BD16" i="29"/>
  <c r="AZ17" i="29"/>
  <c r="U136" i="12"/>
  <c r="BK3" i="29"/>
  <c r="AH12" i="29"/>
  <c r="BK12" i="29" s="1"/>
  <c r="K37" i="12"/>
  <c r="K136" i="12" s="1"/>
  <c r="AN3" i="11"/>
  <c r="G28" i="22" s="1"/>
  <c r="K8" i="11"/>
  <c r="K28" i="21"/>
  <c r="AN28" i="21" s="1"/>
  <c r="G19" i="22" s="1"/>
  <c r="Q12" i="29"/>
  <c r="AT12" i="29" s="1"/>
  <c r="AT3" i="29"/>
  <c r="P12" i="29"/>
  <c r="AS12" i="29" s="1"/>
  <c r="AS3" i="29"/>
  <c r="AB37" i="12"/>
  <c r="AB136" i="12" s="1"/>
  <c r="BE3" i="11"/>
  <c r="X28" i="22" s="1"/>
  <c r="AB8" i="11"/>
  <c r="AB28" i="21"/>
  <c r="BE28" i="21" s="1"/>
  <c r="X19" i="22" s="1"/>
  <c r="AP15" i="29"/>
  <c r="X37" i="12"/>
  <c r="BA3" i="11"/>
  <c r="T28" i="22" s="1"/>
  <c r="X28" i="21"/>
  <c r="BA28" i="21" s="1"/>
  <c r="T19" i="22" s="1"/>
  <c r="X8" i="11"/>
  <c r="AT14" i="29"/>
  <c r="BJ13" i="29"/>
  <c r="AM13" i="29"/>
  <c r="AM15" i="29"/>
  <c r="BA14" i="29"/>
  <c r="AX14" i="29"/>
  <c r="BL17" i="29"/>
  <c r="BJ14" i="29"/>
  <c r="R136" i="12"/>
  <c r="AE12" i="29"/>
  <c r="BH12" i="29" s="1"/>
  <c r="BH3" i="29"/>
  <c r="AM3" i="29"/>
  <c r="J12" i="29"/>
  <c r="AM12" i="29" s="1"/>
  <c r="AH37" i="12"/>
  <c r="AH136" i="12" s="1"/>
  <c r="BK3" i="11"/>
  <c r="AD28" i="22" s="1"/>
  <c r="AH8" i="11"/>
  <c r="AH28" i="21"/>
  <c r="BK28" i="21" s="1"/>
  <c r="AD19" i="22" s="1"/>
  <c r="Q37" i="12"/>
  <c r="Q136" i="12" s="1"/>
  <c r="AT3" i="11"/>
  <c r="M28" i="22" s="1"/>
  <c r="Q8" i="11"/>
  <c r="Q28" i="21"/>
  <c r="AT28" i="21" s="1"/>
  <c r="M19" i="22" s="1"/>
  <c r="G47" i="22" s="1"/>
  <c r="P37" i="12"/>
  <c r="P136" i="12" s="1"/>
  <c r="AS3" i="11"/>
  <c r="L28" i="22" s="1"/>
  <c r="P28" i="21"/>
  <c r="AS28" i="21" s="1"/>
  <c r="L19" i="22" s="1"/>
  <c r="P8" i="11"/>
  <c r="BJ3" i="29"/>
  <c r="AG12" i="29"/>
  <c r="BJ12" i="29" s="1"/>
  <c r="M12" i="29"/>
  <c r="AP12" i="29" s="1"/>
  <c r="AP3" i="29"/>
  <c r="BC15" i="29"/>
  <c r="L12" i="29"/>
  <c r="AO12" i="29" s="1"/>
  <c r="AO3" i="29"/>
  <c r="BC14" i="29"/>
  <c r="BA13" i="29"/>
  <c r="AV13" i="29"/>
  <c r="AL15" i="29"/>
  <c r="AO17" i="29"/>
  <c r="AK13" i="29"/>
  <c r="BF14" i="29"/>
  <c r="BL15" i="29"/>
  <c r="AW14" i="29"/>
  <c r="AY15" i="29"/>
  <c r="I63" i="29"/>
  <c r="J63" i="29" s="1"/>
  <c r="K63" i="29" s="1"/>
  <c r="L63" i="29" s="1"/>
  <c r="M63" i="29" s="1"/>
  <c r="N63" i="29" s="1"/>
  <c r="AE37" i="12"/>
  <c r="AE136" i="12" s="1"/>
  <c r="BH3" i="11"/>
  <c r="AA28" i="22" s="1"/>
  <c r="AE28" i="21"/>
  <c r="BH28" i="21" s="1"/>
  <c r="AA19" i="22" s="1"/>
  <c r="AE8" i="11"/>
  <c r="Y12" i="29"/>
  <c r="BB12" i="29" s="1"/>
  <c r="BB3" i="29"/>
  <c r="J37" i="12"/>
  <c r="J136" i="12" s="1"/>
  <c r="AM3" i="11"/>
  <c r="F28" i="22" s="1"/>
  <c r="J28" i="21"/>
  <c r="AM28" i="21" s="1"/>
  <c r="F19" i="22" s="1"/>
  <c r="J8" i="11"/>
  <c r="BL3" i="29"/>
  <c r="AI12" i="29"/>
  <c r="BL12" i="29" s="1"/>
  <c r="AG37" i="12"/>
  <c r="BJ3" i="11"/>
  <c r="AC28" i="22" s="1"/>
  <c r="AG8" i="11"/>
  <c r="AG28" i="21"/>
  <c r="BJ28" i="21" s="1"/>
  <c r="AC19" i="22" s="1"/>
  <c r="M37" i="12"/>
  <c r="M136" i="12" s="1"/>
  <c r="AP3" i="11"/>
  <c r="I28" i="22" s="1"/>
  <c r="M8" i="11"/>
  <c r="M28" i="21"/>
  <c r="AP28" i="21" s="1"/>
  <c r="I19" i="22" s="1"/>
  <c r="AM17" i="29"/>
  <c r="L37" i="12"/>
  <c r="AO3" i="11"/>
  <c r="H28" i="22" s="1"/>
  <c r="L28" i="21"/>
  <c r="AO28" i="21" s="1"/>
  <c r="H19" i="22" s="1"/>
  <c r="L8" i="11"/>
  <c r="BJ17" i="29"/>
  <c r="BI13" i="29"/>
  <c r="AY17" i="29"/>
  <c r="AV16" i="29"/>
  <c r="BE17" i="29"/>
  <c r="AV15" i="29"/>
  <c r="BG17" i="29"/>
  <c r="AQ17" i="29"/>
  <c r="AR13" i="29"/>
  <c r="AU16" i="29"/>
  <c r="AT17" i="29"/>
  <c r="BH17" i="29"/>
  <c r="Y37" i="12"/>
  <c r="Y136" i="12" s="1"/>
  <c r="BB3" i="11"/>
  <c r="U28" i="22" s="1"/>
  <c r="Y8" i="11"/>
  <c r="Y28" i="21"/>
  <c r="BB28" i="21" s="1"/>
  <c r="U19" i="22" s="1"/>
  <c r="AX3" i="29"/>
  <c r="U12" i="29"/>
  <c r="AX12" i="29" s="1"/>
  <c r="AI37" i="12"/>
  <c r="BL3" i="11"/>
  <c r="AE28" i="22" s="1"/>
  <c r="AI8" i="11"/>
  <c r="AI28" i="21"/>
  <c r="BL28" i="21" s="1"/>
  <c r="AE19" i="22" s="1"/>
  <c r="AW3" i="29"/>
  <c r="T12" i="29"/>
  <c r="AW12" i="29" s="1"/>
  <c r="AL3" i="29"/>
  <c r="I12" i="29"/>
  <c r="AL12" i="29" s="1"/>
  <c r="AN16" i="29"/>
  <c r="AU3" i="29"/>
  <c r="R12" i="29"/>
  <c r="AU12" i="29" s="1"/>
  <c r="AO16" i="29"/>
  <c r="AR16" i="29"/>
  <c r="BF13" i="29"/>
  <c r="BB16" i="29"/>
  <c r="AZ14" i="29"/>
  <c r="BD13" i="29"/>
  <c r="BF17" i="29"/>
  <c r="BA16" i="29"/>
  <c r="AX15" i="29"/>
  <c r="AV14" i="29"/>
  <c r="AT15" i="29"/>
  <c r="BL14" i="29"/>
  <c r="AF83" i="12"/>
  <c r="L83" i="12"/>
  <c r="O83" i="12"/>
  <c r="O138" i="12" s="1"/>
  <c r="R83" i="12"/>
  <c r="R138" i="12" s="1"/>
  <c r="U83" i="12"/>
  <c r="U138" i="12" s="1"/>
  <c r="AE83" i="12"/>
  <c r="H83" i="12"/>
  <c r="AH83" i="12"/>
  <c r="I83" i="12"/>
  <c r="M83" i="12"/>
  <c r="Z83" i="12"/>
  <c r="AO14" i="11"/>
  <c r="H39" i="22" s="1"/>
  <c r="J83" i="12"/>
  <c r="J138" i="12" s="1"/>
  <c r="S83" i="12"/>
  <c r="AC83" i="12"/>
  <c r="T83" i="12"/>
  <c r="T138" i="12" s="1"/>
  <c r="AD83" i="12"/>
  <c r="Y83" i="12"/>
  <c r="AB83" i="12"/>
  <c r="AG83" i="12"/>
  <c r="Q83" i="12"/>
  <c r="K83" i="12"/>
  <c r="K138" i="12" s="1"/>
  <c r="N83" i="12"/>
  <c r="N138" i="12" s="1"/>
  <c r="AA83" i="12"/>
  <c r="P83" i="12"/>
  <c r="V83" i="12"/>
  <c r="X83" i="12"/>
  <c r="AI83" i="12"/>
  <c r="W83" i="12"/>
  <c r="W138" i="12" s="1"/>
  <c r="O84" i="12"/>
  <c r="O139" i="12" s="1"/>
  <c r="U84" i="12"/>
  <c r="U139" i="12" s="1"/>
  <c r="V84" i="12"/>
  <c r="X84" i="12"/>
  <c r="AI84" i="12"/>
  <c r="Z90" i="12"/>
  <c r="Z145" i="12" s="1"/>
  <c r="W90" i="12"/>
  <c r="W145" i="12" s="1"/>
  <c r="AI90" i="12"/>
  <c r="V82" i="12"/>
  <c r="X82" i="12"/>
  <c r="AI82" i="12"/>
  <c r="L82" i="12"/>
  <c r="L137" i="12" s="1"/>
  <c r="W82" i="12"/>
  <c r="W137" i="12" s="1"/>
  <c r="AF84" i="12"/>
  <c r="R84" i="12"/>
  <c r="R139" i="12" s="1"/>
  <c r="I84" i="12"/>
  <c r="I90" i="12"/>
  <c r="AC84" i="12"/>
  <c r="AE90" i="12"/>
  <c r="AF82" i="12"/>
  <c r="O82" i="12"/>
  <c r="O137" i="12" s="1"/>
  <c r="R82" i="12"/>
  <c r="R137" i="12" s="1"/>
  <c r="U82" i="12"/>
  <c r="U137" i="12" s="1"/>
  <c r="T84" i="12"/>
  <c r="T139" i="12" s="1"/>
  <c r="AE84" i="12"/>
  <c r="AE139" i="12" s="1"/>
  <c r="AH84" i="12"/>
  <c r="T90" i="12"/>
  <c r="T145" i="12" s="1"/>
  <c r="H84" i="12"/>
  <c r="L90" i="12"/>
  <c r="M84" i="12"/>
  <c r="V90" i="12"/>
  <c r="Z84" i="12"/>
  <c r="Z139" i="12" s="1"/>
  <c r="AE82" i="12"/>
  <c r="AH82" i="12"/>
  <c r="S84" i="12"/>
  <c r="S139" i="12" s="1"/>
  <c r="I82" i="12"/>
  <c r="I137" i="12" s="1"/>
  <c r="H82" i="12"/>
  <c r="AC82" i="12"/>
  <c r="AC137" i="12" s="1"/>
  <c r="M82" i="12"/>
  <c r="Z82" i="12"/>
  <c r="Z137" i="12" s="1"/>
  <c r="T82" i="12"/>
  <c r="T137" i="12" s="1"/>
  <c r="AH90" i="12"/>
  <c r="Q90" i="12"/>
  <c r="Q145" i="12" s="1"/>
  <c r="J84" i="12"/>
  <c r="J139" i="12" s="1"/>
  <c r="AD84" i="12"/>
  <c r="AG84" i="12"/>
  <c r="K84" i="12"/>
  <c r="K139" i="12" s="1"/>
  <c r="P90" i="12"/>
  <c r="X90" i="12"/>
  <c r="AC90" i="12"/>
  <c r="AC145" i="12" s="1"/>
  <c r="J82" i="12"/>
  <c r="J137" i="12" s="1"/>
  <c r="S82" i="12"/>
  <c r="S137" i="12" s="1"/>
  <c r="Y84" i="12"/>
  <c r="AD82" i="12"/>
  <c r="AB84" i="12"/>
  <c r="Q84" i="12"/>
  <c r="Q139" i="12" s="1"/>
  <c r="N84" i="12"/>
  <c r="N139" i="12" s="1"/>
  <c r="AB90" i="12"/>
  <c r="R90" i="12"/>
  <c r="R145" i="12" s="1"/>
  <c r="P84" i="12"/>
  <c r="S90" i="12"/>
  <c r="S145" i="12" s="1"/>
  <c r="AA90" i="12"/>
  <c r="AF90" i="12"/>
  <c r="O90" i="12"/>
  <c r="O145" i="12" s="1"/>
  <c r="Y82" i="12"/>
  <c r="AB82" i="12"/>
  <c r="AG82" i="12"/>
  <c r="Q82" i="12"/>
  <c r="Q137" i="12" s="1"/>
  <c r="K82" i="12"/>
  <c r="K137" i="12" s="1"/>
  <c r="N82" i="12"/>
  <c r="N137" i="12" s="1"/>
  <c r="J90" i="12"/>
  <c r="J145" i="12" s="1"/>
  <c r="Y90" i="12"/>
  <c r="AA84" i="12"/>
  <c r="N90" i="12"/>
  <c r="N145" i="12" s="1"/>
  <c r="U90" i="12"/>
  <c r="U145" i="12" s="1"/>
  <c r="W84" i="12"/>
  <c r="W139" i="12" s="1"/>
  <c r="AD90" i="12"/>
  <c r="K90" i="12"/>
  <c r="K145" i="12" s="1"/>
  <c r="P82" i="12"/>
  <c r="AA82" i="12"/>
  <c r="L84" i="12"/>
  <c r="L139" i="12" s="1"/>
  <c r="M90" i="12"/>
  <c r="AG90" i="12"/>
  <c r="V297" i="33"/>
  <c r="V300" i="33"/>
  <c r="V321" i="33"/>
  <c r="V329" i="33" s="1"/>
  <c r="AH300" i="33"/>
  <c r="AH297" i="33"/>
  <c r="AH321" i="33"/>
  <c r="AH329" i="33" s="1"/>
  <c r="AG235" i="33"/>
  <c r="AG233" i="33"/>
  <c r="N235" i="33"/>
  <c r="N233" i="33"/>
  <c r="T235" i="33"/>
  <c r="T233" i="33"/>
  <c r="L235" i="33"/>
  <c r="L233" i="33"/>
  <c r="Y235" i="33"/>
  <c r="Y233" i="33"/>
  <c r="S235" i="33"/>
  <c r="S233" i="33"/>
  <c r="AD235" i="33"/>
  <c r="AD233" i="33"/>
  <c r="G235" i="33"/>
  <c r="G233" i="33"/>
  <c r="H300" i="33"/>
  <c r="H297" i="33"/>
  <c r="H321" i="33"/>
  <c r="H329" i="33" s="1"/>
  <c r="AB235" i="33"/>
  <c r="AB233" i="33"/>
  <c r="AD300" i="33"/>
  <c r="AD297" i="33"/>
  <c r="AD321" i="33"/>
  <c r="AD329" i="33" s="1"/>
  <c r="AC235" i="33"/>
  <c r="AC233" i="33"/>
  <c r="H235" i="33"/>
  <c r="H233" i="33"/>
  <c r="I235" i="33"/>
  <c r="I233" i="33"/>
  <c r="S300" i="33"/>
  <c r="S321" i="33"/>
  <c r="S329" i="33" s="1"/>
  <c r="S297" i="33"/>
  <c r="K297" i="33"/>
  <c r="K300" i="33"/>
  <c r="K321" i="33"/>
  <c r="K329" i="33" s="1"/>
  <c r="U297" i="33"/>
  <c r="U321" i="33"/>
  <c r="U329" i="33" s="1"/>
  <c r="U300" i="33"/>
  <c r="AE235" i="33"/>
  <c r="AE233" i="33"/>
  <c r="R235" i="33"/>
  <c r="R233" i="33"/>
  <c r="X235" i="33"/>
  <c r="X233" i="33"/>
  <c r="AA235" i="33"/>
  <c r="AA233" i="33"/>
  <c r="P235" i="33"/>
  <c r="P233" i="33"/>
  <c r="M235" i="33"/>
  <c r="M233" i="33"/>
  <c r="AG300" i="33"/>
  <c r="AG321" i="33"/>
  <c r="AG329" i="33" s="1"/>
  <c r="AG297" i="33"/>
  <c r="P300" i="33"/>
  <c r="P297" i="33"/>
  <c r="P321" i="33"/>
  <c r="P329" i="33" s="1"/>
  <c r="AF235" i="33"/>
  <c r="AF233" i="33"/>
  <c r="J235" i="33"/>
  <c r="J233" i="33"/>
  <c r="O297" i="33"/>
  <c r="O300" i="33"/>
  <c r="O321" i="33"/>
  <c r="O329" i="33" s="1"/>
  <c r="W297" i="33"/>
  <c r="W321" i="33"/>
  <c r="W329" i="33" s="1"/>
  <c r="W300" i="33"/>
  <c r="AB321" i="33"/>
  <c r="AB329" i="33" s="1"/>
  <c r="AB297" i="33"/>
  <c r="AB300" i="33"/>
  <c r="Z235" i="33"/>
  <c r="Z233" i="33"/>
  <c r="AA321" i="33"/>
  <c r="AA329" i="33" s="1"/>
  <c r="AA300" i="33"/>
  <c r="AA297" i="33"/>
  <c r="Q321" i="33"/>
  <c r="Q329" i="33" s="1"/>
  <c r="Q297" i="33"/>
  <c r="Q300" i="33"/>
  <c r="O235" i="33"/>
  <c r="O233" i="33"/>
  <c r="R300" i="33"/>
  <c r="R321" i="33"/>
  <c r="R329" i="33" s="1"/>
  <c r="R297" i="33"/>
  <c r="Z297" i="33"/>
  <c r="Z300" i="33"/>
  <c r="Z321" i="33"/>
  <c r="Z329" i="33" s="1"/>
  <c r="AE321" i="33"/>
  <c r="AE329" i="33" s="1"/>
  <c r="AE297" i="33"/>
  <c r="AE300" i="33"/>
  <c r="N321" i="33"/>
  <c r="N329" i="33" s="1"/>
  <c r="N297" i="33"/>
  <c r="N300" i="33"/>
  <c r="U235" i="33"/>
  <c r="U233" i="33"/>
  <c r="W235" i="33"/>
  <c r="W233" i="33"/>
  <c r="AH235" i="33"/>
  <c r="AH233" i="33"/>
  <c r="K235" i="33"/>
  <c r="K233" i="33"/>
  <c r="I297" i="33"/>
  <c r="I321" i="33"/>
  <c r="I329" i="33" s="1"/>
  <c r="I300" i="33"/>
  <c r="X297" i="33"/>
  <c r="X300" i="33"/>
  <c r="X321" i="33"/>
  <c r="X329" i="33" s="1"/>
  <c r="Y321" i="33"/>
  <c r="Y329" i="33" s="1"/>
  <c r="Y300" i="33"/>
  <c r="Y297" i="33"/>
  <c r="D16" i="22" a="1"/>
  <c r="D16" i="22" s="1"/>
  <c r="M300" i="33"/>
  <c r="M321" i="33"/>
  <c r="M329" i="33" s="1"/>
  <c r="M297" i="33"/>
  <c r="T321" i="33"/>
  <c r="T329" i="33" s="1"/>
  <c r="T297" i="33"/>
  <c r="T300" i="33"/>
  <c r="AC300" i="33"/>
  <c r="AC297" i="33"/>
  <c r="AC321" i="33"/>
  <c r="AC329" i="33" s="1"/>
  <c r="J300" i="33"/>
  <c r="J297" i="33"/>
  <c r="J321" i="33"/>
  <c r="J329" i="33" s="1"/>
  <c r="Q235" i="33"/>
  <c r="Q233" i="33"/>
  <c r="V235" i="33"/>
  <c r="V233" i="33"/>
  <c r="L321" i="33"/>
  <c r="L329" i="33" s="1"/>
  <c r="L300" i="33"/>
  <c r="L297" i="33"/>
  <c r="AF297" i="33"/>
  <c r="AF300" i="33"/>
  <c r="AF321" i="33"/>
  <c r="AF329" i="33" s="1"/>
  <c r="E93" i="21"/>
  <c r="H92" i="21"/>
  <c r="H147" i="21" s="1"/>
  <c r="H96" i="12"/>
  <c r="AS34" i="21"/>
  <c r="BE34" i="21"/>
  <c r="BG34" i="21"/>
  <c r="BD34" i="21"/>
  <c r="AK34" i="21"/>
  <c r="AR34" i="21"/>
  <c r="AY34" i="21"/>
  <c r="BI34" i="21"/>
  <c r="AX34" i="21"/>
  <c r="AZ34" i="21"/>
  <c r="AO34" i="21"/>
  <c r="AL34" i="21"/>
  <c r="AV34" i="21"/>
  <c r="BL34" i="21"/>
  <c r="AW34" i="21"/>
  <c r="AQ34" i="21"/>
  <c r="AU34" i="21"/>
  <c r="AM27" i="21"/>
  <c r="F18" i="22" s="1"/>
  <c r="AW27" i="21"/>
  <c r="P18" i="22" s="1"/>
  <c r="AS27" i="21"/>
  <c r="L18" i="22" s="1"/>
  <c r="AV27" i="21"/>
  <c r="O18" i="22" s="1"/>
  <c r="AT27" i="21"/>
  <c r="M18" i="22" s="1"/>
  <c r="BL27" i="21"/>
  <c r="AE18" i="22" s="1"/>
  <c r="AL27" i="21"/>
  <c r="E18" i="22" s="1"/>
  <c r="BA27" i="21"/>
  <c r="T18" i="22" s="1"/>
  <c r="AZ27" i="21"/>
  <c r="S18" i="22" s="1"/>
  <c r="BF27" i="21"/>
  <c r="Y18" i="22" s="1"/>
  <c r="BC27" i="21"/>
  <c r="V18" i="22" s="1"/>
  <c r="BB27" i="21"/>
  <c r="U18" i="22" s="1"/>
  <c r="AN27" i="21"/>
  <c r="G18" i="22" s="1"/>
  <c r="AQ27" i="21"/>
  <c r="J18" i="22" s="1"/>
  <c r="AU27" i="21"/>
  <c r="N18" i="22" s="1"/>
  <c r="BG27" i="21"/>
  <c r="Z18" i="22" s="1"/>
  <c r="AR27" i="21"/>
  <c r="K18" i="22" s="1"/>
  <c r="BJ27" i="21"/>
  <c r="AC18" i="22" s="1"/>
  <c r="AP27" i="21"/>
  <c r="I18" i="22" s="1"/>
  <c r="BK27" i="21"/>
  <c r="AD18" i="22" s="1"/>
  <c r="BD27" i="21"/>
  <c r="W18" i="22" s="1"/>
  <c r="AO27" i="21"/>
  <c r="H18" i="22" s="1"/>
  <c r="BH27" i="21"/>
  <c r="AA18" i="22" s="1"/>
  <c r="BE27" i="21"/>
  <c r="X18" i="22" s="1"/>
  <c r="BI27" i="21"/>
  <c r="AB18" i="22" s="1"/>
  <c r="AX27" i="21"/>
  <c r="Q18" i="22" s="1"/>
  <c r="AD14" i="11"/>
  <c r="N14" i="11"/>
  <c r="Z14" i="11"/>
  <c r="U14" i="11"/>
  <c r="AA14" i="11"/>
  <c r="S14" i="11"/>
  <c r="I14" i="11"/>
  <c r="P14" i="11"/>
  <c r="X14" i="11"/>
  <c r="O14" i="11"/>
  <c r="AI14" i="11"/>
  <c r="K14" i="11"/>
  <c r="M14" i="11"/>
  <c r="W14" i="11"/>
  <c r="AH14" i="11"/>
  <c r="AF14" i="11"/>
  <c r="AC14" i="11"/>
  <c r="R14" i="11"/>
  <c r="AB14" i="11"/>
  <c r="V14" i="11"/>
  <c r="J14" i="11"/>
  <c r="AG14" i="11"/>
  <c r="Q14" i="11"/>
  <c r="Y14" i="11"/>
  <c r="X137" i="12" l="1"/>
  <c r="X138" i="12"/>
  <c r="AH138" i="12"/>
  <c r="H150" i="12"/>
  <c r="H108" i="12"/>
  <c r="M137" i="12"/>
  <c r="AH139" i="12"/>
  <c r="H136" i="12"/>
  <c r="AH137" i="12"/>
  <c r="AH145" i="12"/>
  <c r="P139" i="12"/>
  <c r="P145" i="12"/>
  <c r="AG145" i="12"/>
  <c r="AG139" i="12"/>
  <c r="P138" i="12"/>
  <c r="P137" i="12"/>
  <c r="AG137" i="12"/>
  <c r="AE145" i="12"/>
  <c r="Y145" i="12"/>
  <c r="AD138" i="12"/>
  <c r="AD139" i="12"/>
  <c r="AE137" i="12"/>
  <c r="S138" i="12"/>
  <c r="AD137" i="12"/>
  <c r="Z138" i="12"/>
  <c r="AD145" i="12"/>
  <c r="D47" i="22"/>
  <c r="AA137" i="12"/>
  <c r="AF137" i="12"/>
  <c r="AF138" i="12"/>
  <c r="AA138" i="12"/>
  <c r="X139" i="12"/>
  <c r="Q138" i="12"/>
  <c r="AF145" i="12"/>
  <c r="AA145" i="12"/>
  <c r="AF139" i="12"/>
  <c r="AA139" i="12"/>
  <c r="X145" i="12"/>
  <c r="AE138" i="12"/>
  <c r="M145" i="12"/>
  <c r="AI145" i="12"/>
  <c r="H151" i="12"/>
  <c r="M139" i="12"/>
  <c r="Y137" i="12"/>
  <c r="Y139" i="12"/>
  <c r="M138" i="12"/>
  <c r="H139" i="12"/>
  <c r="I139" i="12"/>
  <c r="AB138" i="12"/>
  <c r="H138" i="12"/>
  <c r="H137" i="12"/>
  <c r="Y138" i="12"/>
  <c r="AZ8" i="11"/>
  <c r="S33" i="22" s="1"/>
  <c r="V128" i="12"/>
  <c r="V48" i="12"/>
  <c r="V31" i="29" s="1"/>
  <c r="AY31" i="29" s="1"/>
  <c r="V44" i="12"/>
  <c r="V27" i="29" s="1"/>
  <c r="AY27" i="29" s="1"/>
  <c r="AY37" i="12"/>
  <c r="V132" i="12"/>
  <c r="V129" i="12"/>
  <c r="V122" i="12"/>
  <c r="V115" i="12"/>
  <c r="V118" i="12"/>
  <c r="V108" i="12"/>
  <c r="V131" i="12"/>
  <c r="V123" i="12"/>
  <c r="V127" i="12"/>
  <c r="V119" i="12"/>
  <c r="V120" i="12"/>
  <c r="V133" i="12"/>
  <c r="V110" i="12"/>
  <c r="V45" i="12"/>
  <c r="V28" i="29" s="1"/>
  <c r="AY28" i="29" s="1"/>
  <c r="V47" i="12"/>
  <c r="V30" i="29" s="1"/>
  <c r="AY30" i="29" s="1"/>
  <c r="V109" i="12"/>
  <c r="V121" i="12"/>
  <c r="V124" i="12"/>
  <c r="V113" i="12"/>
  <c r="V116" i="12"/>
  <c r="V126" i="12"/>
  <c r="V46" i="12"/>
  <c r="V29" i="29" s="1"/>
  <c r="AY29" i="29" s="1"/>
  <c r="V125" i="12"/>
  <c r="V111" i="12"/>
  <c r="V112" i="12"/>
  <c r="V130" i="12"/>
  <c r="V117" i="12"/>
  <c r="V41" i="12" a="1"/>
  <c r="V41" i="12" s="1"/>
  <c r="V42" i="12" s="1"/>
  <c r="V15" i="11" s="1"/>
  <c r="AY15" i="11" s="1"/>
  <c r="R40" i="22" s="1"/>
  <c r="S54" i="22" s="1"/>
  <c r="U54" i="22" s="1"/>
  <c r="V114" i="12"/>
  <c r="V146" i="12"/>
  <c r="V147" i="12"/>
  <c r="V135" i="12"/>
  <c r="V144" i="12"/>
  <c r="AI137" i="12"/>
  <c r="AI138" i="12"/>
  <c r="BL8" i="11"/>
  <c r="AE33" i="22" s="1"/>
  <c r="AO8" i="11"/>
  <c r="H33" i="22" s="1"/>
  <c r="AG45" i="12"/>
  <c r="AG28" i="29" s="1"/>
  <c r="BJ28" i="29" s="1"/>
  <c r="AG46" i="12"/>
  <c r="AG29" i="29" s="1"/>
  <c r="BJ29" i="29" s="1"/>
  <c r="AG133" i="12"/>
  <c r="AG44" i="12"/>
  <c r="AG27" i="29" s="1"/>
  <c r="BJ27" i="29" s="1"/>
  <c r="AG47" i="12"/>
  <c r="AG30" i="29" s="1"/>
  <c r="BJ30" i="29" s="1"/>
  <c r="AG48" i="12"/>
  <c r="AG31" i="29" s="1"/>
  <c r="BJ31" i="29" s="1"/>
  <c r="AG146" i="12"/>
  <c r="AG116" i="12"/>
  <c r="AG120" i="12"/>
  <c r="AG128" i="12"/>
  <c r="AG121" i="12"/>
  <c r="AG115" i="12"/>
  <c r="AG112" i="12"/>
  <c r="AG130" i="12"/>
  <c r="AG122" i="12"/>
  <c r="AG110" i="12"/>
  <c r="AG108" i="12"/>
  <c r="AG132" i="12"/>
  <c r="AG127" i="12"/>
  <c r="AG117" i="12"/>
  <c r="AG126" i="12"/>
  <c r="AG119" i="12"/>
  <c r="AG113" i="12"/>
  <c r="AG118" i="12"/>
  <c r="AG41" i="12" a="1"/>
  <c r="AG41" i="12" s="1"/>
  <c r="AG42" i="12" s="1"/>
  <c r="AG15" i="11" s="1"/>
  <c r="BJ15" i="11" s="1"/>
  <c r="AC40" i="22" s="1"/>
  <c r="AG111" i="12"/>
  <c r="AG114" i="12"/>
  <c r="AG125" i="12"/>
  <c r="AG123" i="12"/>
  <c r="BJ37" i="12"/>
  <c r="AG109" i="12"/>
  <c r="AG129" i="12"/>
  <c r="AG124" i="12"/>
  <c r="AG131" i="12"/>
  <c r="AG135" i="12"/>
  <c r="AG147" i="12"/>
  <c r="AG144" i="12"/>
  <c r="AE46" i="12"/>
  <c r="AE29" i="29" s="1"/>
  <c r="BH29" i="29" s="1"/>
  <c r="AE44" i="12"/>
  <c r="AE27" i="29" s="1"/>
  <c r="BH27" i="29" s="1"/>
  <c r="AE45" i="12"/>
  <c r="AE28" i="29" s="1"/>
  <c r="BH28" i="29" s="1"/>
  <c r="AE47" i="12"/>
  <c r="AE30" i="29" s="1"/>
  <c r="BH30" i="29" s="1"/>
  <c r="AE108" i="12"/>
  <c r="AE113" i="12"/>
  <c r="AE125" i="12"/>
  <c r="AE115" i="12"/>
  <c r="AE114" i="12"/>
  <c r="AE120" i="12"/>
  <c r="AE126" i="12"/>
  <c r="AE123" i="12"/>
  <c r="AE133" i="12"/>
  <c r="AE41" i="12" a="1"/>
  <c r="AE41" i="12" s="1"/>
  <c r="AE42" i="12" s="1"/>
  <c r="AE15" i="11" s="1"/>
  <c r="BH15" i="11" s="1"/>
  <c r="AA40" i="22" s="1"/>
  <c r="AE112" i="12"/>
  <c r="AE116" i="12"/>
  <c r="AE48" i="12"/>
  <c r="AE31" i="29" s="1"/>
  <c r="BH31" i="29" s="1"/>
  <c r="AE111" i="12"/>
  <c r="AE128" i="12"/>
  <c r="AE131" i="12"/>
  <c r="AE109" i="12"/>
  <c r="AE121" i="12"/>
  <c r="AE118" i="12"/>
  <c r="AE110" i="12"/>
  <c r="AE122" i="12"/>
  <c r="AE117" i="12"/>
  <c r="AE132" i="12"/>
  <c r="BH37" i="12"/>
  <c r="AE130" i="12"/>
  <c r="AE124" i="12"/>
  <c r="AE129" i="12"/>
  <c r="AE119" i="12"/>
  <c r="AE146" i="12"/>
  <c r="AE127" i="12"/>
  <c r="AE147" i="12"/>
  <c r="AE144" i="12"/>
  <c r="AE135" i="12"/>
  <c r="BG8" i="11"/>
  <c r="Z33" i="22" s="1"/>
  <c r="S44" i="12"/>
  <c r="S27" i="29" s="1"/>
  <c r="AV27" i="29" s="1"/>
  <c r="S47" i="12"/>
  <c r="S30" i="29" s="1"/>
  <c r="AV30" i="29" s="1"/>
  <c r="S48" i="12"/>
  <c r="S31" i="29" s="1"/>
  <c r="AV31" i="29" s="1"/>
  <c r="S133" i="12"/>
  <c r="S117" i="12"/>
  <c r="S130" i="12"/>
  <c r="S123" i="12"/>
  <c r="AV37" i="12"/>
  <c r="S41" i="12" a="1"/>
  <c r="S41" i="12" s="1"/>
  <c r="S42" i="12" s="1"/>
  <c r="S15" i="11" s="1"/>
  <c r="AV15" i="11" s="1"/>
  <c r="O40" i="22" s="1"/>
  <c r="S112" i="12"/>
  <c r="S120" i="12"/>
  <c r="S124" i="12"/>
  <c r="S114" i="12"/>
  <c r="S121" i="12"/>
  <c r="S45" i="12"/>
  <c r="S28" i="29" s="1"/>
  <c r="AV28" i="29" s="1"/>
  <c r="S46" i="12"/>
  <c r="S29" i="29" s="1"/>
  <c r="AV29" i="29" s="1"/>
  <c r="S109" i="12"/>
  <c r="S113" i="12"/>
  <c r="S122" i="12"/>
  <c r="S118" i="12"/>
  <c r="S129" i="12"/>
  <c r="S126" i="12"/>
  <c r="S131" i="12"/>
  <c r="S108" i="12"/>
  <c r="S116" i="12"/>
  <c r="S146" i="12"/>
  <c r="S111" i="12"/>
  <c r="S110" i="12"/>
  <c r="S119" i="12"/>
  <c r="S127" i="12"/>
  <c r="S132" i="12"/>
  <c r="S128" i="12"/>
  <c r="S115" i="12"/>
  <c r="S125" i="12"/>
  <c r="S144" i="12"/>
  <c r="S147" i="12"/>
  <c r="S135" i="12"/>
  <c r="AG136" i="12"/>
  <c r="AS8" i="11"/>
  <c r="L33" i="22" s="1"/>
  <c r="AB145" i="12"/>
  <c r="AC138" i="12"/>
  <c r="BA8" i="11"/>
  <c r="T33" i="22" s="1"/>
  <c r="W48" i="12"/>
  <c r="W31" i="29" s="1"/>
  <c r="AZ31" i="29" s="1"/>
  <c r="W128" i="12"/>
  <c r="W46" i="12"/>
  <c r="W29" i="29" s="1"/>
  <c r="AZ29" i="29" s="1"/>
  <c r="W133" i="12"/>
  <c r="W47" i="12"/>
  <c r="W30" i="29" s="1"/>
  <c r="AZ30" i="29" s="1"/>
  <c r="W45" i="12"/>
  <c r="W28" i="29" s="1"/>
  <c r="AZ28" i="29" s="1"/>
  <c r="W126" i="12"/>
  <c r="W118" i="12"/>
  <c r="W117" i="12"/>
  <c r="W131" i="12"/>
  <c r="W110" i="12"/>
  <c r="W113" i="12"/>
  <c r="W127" i="12"/>
  <c r="W120" i="12"/>
  <c r="W108" i="12"/>
  <c r="W44" i="12"/>
  <c r="W27" i="29" s="1"/>
  <c r="AZ27" i="29" s="1"/>
  <c r="W132" i="12"/>
  <c r="W119" i="12"/>
  <c r="W114" i="12"/>
  <c r="W109" i="12"/>
  <c r="W111" i="12"/>
  <c r="W121" i="12"/>
  <c r="W123" i="12"/>
  <c r="W146" i="12"/>
  <c r="AZ37" i="12"/>
  <c r="W130" i="12"/>
  <c r="W125" i="12"/>
  <c r="W116" i="12"/>
  <c r="W112" i="12"/>
  <c r="W122" i="12"/>
  <c r="W124" i="12"/>
  <c r="W115" i="12"/>
  <c r="W41" i="12" a="1"/>
  <c r="W41" i="12" s="1"/>
  <c r="W42" i="12" s="1"/>
  <c r="W15" i="11" s="1"/>
  <c r="AZ15" i="11" s="1"/>
  <c r="S40" i="22" s="1"/>
  <c r="W129" i="12"/>
  <c r="W135" i="12"/>
  <c r="W147" i="12"/>
  <c r="W144" i="12"/>
  <c r="V136" i="12"/>
  <c r="V137" i="12"/>
  <c r="V138" i="12"/>
  <c r="L138" i="12"/>
  <c r="AI128" i="12"/>
  <c r="AI48" i="12"/>
  <c r="AI31" i="29" s="1"/>
  <c r="BL31" i="29" s="1"/>
  <c r="AI46" i="12"/>
  <c r="AI29" i="29" s="1"/>
  <c r="BL29" i="29" s="1"/>
  <c r="AI126" i="12"/>
  <c r="AI115" i="12"/>
  <c r="AI130" i="12"/>
  <c r="AI146" i="12"/>
  <c r="AI111" i="12"/>
  <c r="AI122" i="12"/>
  <c r="AI109" i="12"/>
  <c r="AI120" i="12"/>
  <c r="AI124" i="12"/>
  <c r="AI119" i="12"/>
  <c r="AI47" i="12"/>
  <c r="AI30" i="29" s="1"/>
  <c r="BL30" i="29" s="1"/>
  <c r="AI113" i="12"/>
  <c r="AI114" i="12"/>
  <c r="AI108" i="12"/>
  <c r="AI132" i="12"/>
  <c r="BL37" i="12"/>
  <c r="AI41" i="12" a="1"/>
  <c r="AI41" i="12" s="1"/>
  <c r="AI42" i="12" s="1"/>
  <c r="AI15" i="11" s="1"/>
  <c r="BL15" i="11" s="1"/>
  <c r="AE40" i="22" s="1"/>
  <c r="AI127" i="12"/>
  <c r="AI117" i="12"/>
  <c r="AI121" i="12"/>
  <c r="AI133" i="12"/>
  <c r="AI123" i="12"/>
  <c r="AI112" i="12"/>
  <c r="AI44" i="12"/>
  <c r="AI27" i="29" s="1"/>
  <c r="BL27" i="29" s="1"/>
  <c r="AI45" i="12"/>
  <c r="AI28" i="29" s="1"/>
  <c r="BL28" i="29" s="1"/>
  <c r="AI118" i="12"/>
  <c r="AI110" i="12"/>
  <c r="AI129" i="12"/>
  <c r="AI116" i="12"/>
  <c r="AI125" i="12"/>
  <c r="AI131" i="12"/>
  <c r="AI144" i="12"/>
  <c r="AI147" i="12"/>
  <c r="AI135" i="12"/>
  <c r="P47" i="12"/>
  <c r="P30" i="29" s="1"/>
  <c r="AS30" i="29" s="1"/>
  <c r="P44" i="12"/>
  <c r="P27" i="29" s="1"/>
  <c r="AS27" i="29" s="1"/>
  <c r="P133" i="12"/>
  <c r="P110" i="12"/>
  <c r="P114" i="12"/>
  <c r="P129" i="12"/>
  <c r="P109" i="12"/>
  <c r="P113" i="12"/>
  <c r="P130" i="12"/>
  <c r="P124" i="12"/>
  <c r="P127" i="12"/>
  <c r="P121" i="12"/>
  <c r="P118" i="12"/>
  <c r="P120" i="12"/>
  <c r="AS37" i="12"/>
  <c r="P112" i="12"/>
  <c r="P123" i="12"/>
  <c r="P119" i="12"/>
  <c r="P131" i="12"/>
  <c r="P117" i="12"/>
  <c r="P126" i="12"/>
  <c r="P125" i="12"/>
  <c r="P122" i="12"/>
  <c r="P111" i="12"/>
  <c r="P45" i="12"/>
  <c r="P28" i="29" s="1"/>
  <c r="AS28" i="29" s="1"/>
  <c r="P108" i="12"/>
  <c r="P132" i="12"/>
  <c r="P41" i="12" a="1"/>
  <c r="P41" i="12" s="1"/>
  <c r="P42" i="12" s="1"/>
  <c r="P15" i="11" s="1"/>
  <c r="AS15" i="11" s="1"/>
  <c r="L40" i="22" s="1"/>
  <c r="P116" i="12"/>
  <c r="P48" i="12"/>
  <c r="P31" i="29" s="1"/>
  <c r="AS31" i="29" s="1"/>
  <c r="P146" i="12"/>
  <c r="P115" i="12"/>
  <c r="P128" i="12"/>
  <c r="P46" i="12"/>
  <c r="P29" i="29" s="1"/>
  <c r="AS29" i="29" s="1"/>
  <c r="P135" i="12"/>
  <c r="P144" i="12"/>
  <c r="P147" i="12"/>
  <c r="AD47" i="12"/>
  <c r="AD30" i="29" s="1"/>
  <c r="BG30" i="29" s="1"/>
  <c r="AD48" i="12"/>
  <c r="AD31" i="29" s="1"/>
  <c r="BG31" i="29" s="1"/>
  <c r="AD44" i="12"/>
  <c r="AD27" i="29" s="1"/>
  <c r="BG27" i="29" s="1"/>
  <c r="AD133" i="12"/>
  <c r="AD129" i="12"/>
  <c r="AD45" i="12"/>
  <c r="AD28" i="29" s="1"/>
  <c r="BG28" i="29" s="1"/>
  <c r="AD116" i="12"/>
  <c r="AD122" i="12"/>
  <c r="AD113" i="12"/>
  <c r="AD117" i="12"/>
  <c r="AD111" i="12"/>
  <c r="AD119" i="12"/>
  <c r="AD146" i="12"/>
  <c r="AD118" i="12"/>
  <c r="AD127" i="12"/>
  <c r="BG37" i="12"/>
  <c r="AD120" i="12"/>
  <c r="AD108" i="12"/>
  <c r="AD132" i="12"/>
  <c r="AD121" i="12"/>
  <c r="AD124" i="12"/>
  <c r="AD130" i="12"/>
  <c r="AD114" i="12"/>
  <c r="AD109" i="12"/>
  <c r="AD112" i="12"/>
  <c r="AD46" i="12"/>
  <c r="AD29" i="29" s="1"/>
  <c r="BG29" i="29" s="1"/>
  <c r="AD41" i="12" a="1"/>
  <c r="AD41" i="12" s="1"/>
  <c r="AD42" i="12" s="1"/>
  <c r="AD15" i="11" s="1"/>
  <c r="BG15" i="11" s="1"/>
  <c r="Z40" i="22" s="1"/>
  <c r="AD126" i="12"/>
  <c r="AD131" i="12"/>
  <c r="AD110" i="12"/>
  <c r="AD115" i="12"/>
  <c r="AD123" i="12"/>
  <c r="AD128" i="12"/>
  <c r="AD125" i="12"/>
  <c r="AD135" i="12"/>
  <c r="AD144" i="12"/>
  <c r="AD147" i="12"/>
  <c r="BJ32" i="21"/>
  <c r="AC23" i="22" s="1"/>
  <c r="AT32" i="21"/>
  <c r="M23" i="22" s="1"/>
  <c r="G51" i="22" s="1"/>
  <c r="AL32" i="21"/>
  <c r="E23" i="22" s="1"/>
  <c r="AO32" i="21"/>
  <c r="H23" i="22" s="1"/>
  <c r="AM32" i="21"/>
  <c r="F23" i="22" s="1"/>
  <c r="AU32" i="21"/>
  <c r="N23" i="22" s="1"/>
  <c r="T51" i="22" s="1"/>
  <c r="AV32" i="21"/>
  <c r="O23" i="22" s="1"/>
  <c r="BA32" i="21"/>
  <c r="T23" i="22" s="1"/>
  <c r="BB32" i="21"/>
  <c r="U23" i="22" s="1"/>
  <c r="BD32" i="21"/>
  <c r="W23" i="22" s="1"/>
  <c r="BG32" i="21"/>
  <c r="Z23" i="22" s="1"/>
  <c r="AY32" i="21"/>
  <c r="R23" i="22" s="1"/>
  <c r="BL32" i="21"/>
  <c r="AE23" i="22" s="1"/>
  <c r="AS32" i="21"/>
  <c r="L23" i="22" s="1"/>
  <c r="BI32" i="21"/>
  <c r="AB23" i="22" s="1"/>
  <c r="BE32" i="21"/>
  <c r="X23" i="22" s="1"/>
  <c r="AP32" i="21"/>
  <c r="I23" i="22" s="1"/>
  <c r="AZ32" i="21"/>
  <c r="S23" i="22" s="1"/>
  <c r="AW32" i="21"/>
  <c r="P23" i="22" s="1"/>
  <c r="AK32" i="21"/>
  <c r="D23" i="22" s="1"/>
  <c r="E51" i="22" s="1"/>
  <c r="H64" i="29" s="1"/>
  <c r="AQ32" i="21"/>
  <c r="J23" i="22" s="1"/>
  <c r="BH32" i="21"/>
  <c r="AA23" i="22" s="1"/>
  <c r="BC32" i="21"/>
  <c r="V23" i="22" s="1"/>
  <c r="AR32" i="21"/>
  <c r="K23" i="22" s="1"/>
  <c r="AX32" i="21"/>
  <c r="Q23" i="22" s="1"/>
  <c r="BF32" i="21"/>
  <c r="Y23" i="22" s="1"/>
  <c r="AN32" i="21"/>
  <c r="G23" i="22" s="1"/>
  <c r="BK32" i="21"/>
  <c r="AD23" i="22" s="1"/>
  <c r="AU8" i="11"/>
  <c r="N33" i="22" s="1"/>
  <c r="AN8" i="11"/>
  <c r="G33" i="22" s="1"/>
  <c r="AX8" i="11"/>
  <c r="Q33" i="22" s="1"/>
  <c r="AW8" i="11"/>
  <c r="P33" i="22" s="1"/>
  <c r="BC8" i="11"/>
  <c r="V33" i="22" s="1"/>
  <c r="H60" i="29"/>
  <c r="I60" i="29" s="1"/>
  <c r="J60" i="29" s="1"/>
  <c r="K60" i="29" s="1"/>
  <c r="L60" i="29" s="1"/>
  <c r="M60" i="29" s="1"/>
  <c r="N60" i="29" s="1"/>
  <c r="I64" i="29"/>
  <c r="J64" i="29" s="1"/>
  <c r="K64" i="29" s="1"/>
  <c r="L64" i="29" s="1"/>
  <c r="M64" i="29" s="1"/>
  <c r="N64" i="29" s="1"/>
  <c r="AB139" i="12"/>
  <c r="V145" i="12"/>
  <c r="AT8" i="11"/>
  <c r="M33" i="22" s="1"/>
  <c r="F47" i="22" s="1"/>
  <c r="X47" i="12"/>
  <c r="X30" i="29" s="1"/>
  <c r="BA30" i="29" s="1"/>
  <c r="X133" i="12"/>
  <c r="X111" i="12"/>
  <c r="X117" i="12"/>
  <c r="X115" i="12"/>
  <c r="X126" i="12"/>
  <c r="X130" i="12"/>
  <c r="X108" i="12"/>
  <c r="X123" i="12"/>
  <c r="X120" i="12"/>
  <c r="X110" i="12"/>
  <c r="X127" i="12"/>
  <c r="X124" i="12"/>
  <c r="X114" i="12"/>
  <c r="X44" i="12"/>
  <c r="X27" i="29" s="1"/>
  <c r="BA27" i="29" s="1"/>
  <c r="X46" i="12"/>
  <c r="X29" i="29" s="1"/>
  <c r="BA29" i="29" s="1"/>
  <c r="X131" i="12"/>
  <c r="BA37" i="12"/>
  <c r="X41" i="12" a="1"/>
  <c r="X41" i="12" s="1"/>
  <c r="X42" i="12" s="1"/>
  <c r="X15" i="11" s="1"/>
  <c r="BA15" i="11" s="1"/>
  <c r="T40" i="22" s="1"/>
  <c r="X112" i="12"/>
  <c r="X132" i="12"/>
  <c r="X48" i="12"/>
  <c r="X31" i="29" s="1"/>
  <c r="BA31" i="29" s="1"/>
  <c r="X146" i="12"/>
  <c r="X109" i="12"/>
  <c r="X119" i="12"/>
  <c r="X129" i="12"/>
  <c r="X118" i="12"/>
  <c r="X113" i="12"/>
  <c r="X116" i="12"/>
  <c r="X122" i="12"/>
  <c r="X121" i="12"/>
  <c r="X125" i="12"/>
  <c r="X45" i="12"/>
  <c r="X28" i="29" s="1"/>
  <c r="BA28" i="29" s="1"/>
  <c r="X128" i="12"/>
  <c r="X135" i="12"/>
  <c r="X147" i="12"/>
  <c r="X144" i="12"/>
  <c r="BD8" i="11"/>
  <c r="W33" i="22" s="1"/>
  <c r="AR8" i="11"/>
  <c r="K33" i="22" s="1"/>
  <c r="L44" i="12"/>
  <c r="L27" i="29" s="1"/>
  <c r="AO27" i="29" s="1"/>
  <c r="L45" i="12"/>
  <c r="L28" i="29" s="1"/>
  <c r="AO28" i="29" s="1"/>
  <c r="L46" i="12"/>
  <c r="L29" i="29" s="1"/>
  <c r="AO29" i="29" s="1"/>
  <c r="L48" i="12"/>
  <c r="L31" i="29" s="1"/>
  <c r="AO31" i="29" s="1"/>
  <c r="L123" i="12"/>
  <c r="L126" i="12"/>
  <c r="L109" i="12"/>
  <c r="L111" i="12"/>
  <c r="L125" i="12"/>
  <c r="L117" i="12"/>
  <c r="L112" i="12"/>
  <c r="L124" i="12"/>
  <c r="L146" i="12"/>
  <c r="L133" i="12"/>
  <c r="L41" i="12" a="1"/>
  <c r="L41" i="12" s="1"/>
  <c r="L42" i="12" s="1"/>
  <c r="L15" i="11" s="1"/>
  <c r="AO15" i="11" s="1"/>
  <c r="H40" i="22" s="1"/>
  <c r="L127" i="12"/>
  <c r="L121" i="12"/>
  <c r="L114" i="12"/>
  <c r="L132" i="12"/>
  <c r="L118" i="12"/>
  <c r="L119" i="12"/>
  <c r="L110" i="12"/>
  <c r="L115" i="12"/>
  <c r="L131" i="12"/>
  <c r="L128" i="12"/>
  <c r="L120" i="12"/>
  <c r="L129" i="12"/>
  <c r="L116" i="12"/>
  <c r="L47" i="12"/>
  <c r="L30" i="29" s="1"/>
  <c r="AO30" i="29" s="1"/>
  <c r="AO37" i="12"/>
  <c r="L108" i="12"/>
  <c r="L122" i="12"/>
  <c r="L113" i="12"/>
  <c r="L130" i="12"/>
  <c r="L135" i="12"/>
  <c r="L147" i="12"/>
  <c r="L144" i="12"/>
  <c r="AB137" i="12"/>
  <c r="AC139" i="12"/>
  <c r="K44" i="12"/>
  <c r="K27" i="29" s="1"/>
  <c r="AN27" i="29" s="1"/>
  <c r="K133" i="12"/>
  <c r="K47" i="12"/>
  <c r="K30" i="29" s="1"/>
  <c r="AN30" i="29" s="1"/>
  <c r="K46" i="12"/>
  <c r="K29" i="29" s="1"/>
  <c r="AN29" i="29" s="1"/>
  <c r="K127" i="12"/>
  <c r="K110" i="12"/>
  <c r="K115" i="12"/>
  <c r="K128" i="12"/>
  <c r="K132" i="12"/>
  <c r="K109" i="12"/>
  <c r="K41" i="12" a="1"/>
  <c r="K41" i="12" s="1"/>
  <c r="K42" i="12" s="1"/>
  <c r="K15" i="11" s="1"/>
  <c r="AN15" i="11" s="1"/>
  <c r="G40" i="22" s="1"/>
  <c r="K45" i="12"/>
  <c r="K28" i="29" s="1"/>
  <c r="AN28" i="29" s="1"/>
  <c r="K111" i="12"/>
  <c r="K130" i="12"/>
  <c r="K121" i="12"/>
  <c r="K114" i="12"/>
  <c r="K122" i="12"/>
  <c r="K108" i="12"/>
  <c r="K113" i="12"/>
  <c r="K48" i="12"/>
  <c r="K31" i="29" s="1"/>
  <c r="AN31" i="29" s="1"/>
  <c r="AN37" i="12"/>
  <c r="K124" i="12"/>
  <c r="K116" i="12"/>
  <c r="K112" i="12"/>
  <c r="K119" i="12"/>
  <c r="K126" i="12"/>
  <c r="K131" i="12"/>
  <c r="K120" i="12"/>
  <c r="K123" i="12"/>
  <c r="K125" i="12"/>
  <c r="K146" i="12"/>
  <c r="K118" i="12"/>
  <c r="K129" i="12"/>
  <c r="K117" i="12"/>
  <c r="K147" i="12"/>
  <c r="K144" i="12"/>
  <c r="K135" i="12"/>
  <c r="U45" i="12"/>
  <c r="U28" i="29" s="1"/>
  <c r="AX28" i="29" s="1"/>
  <c r="U48" i="12"/>
  <c r="U31" i="29" s="1"/>
  <c r="AX31" i="29" s="1"/>
  <c r="U47" i="12"/>
  <c r="U30" i="29" s="1"/>
  <c r="AX30" i="29" s="1"/>
  <c r="U46" i="12"/>
  <c r="U29" i="29" s="1"/>
  <c r="AX29" i="29" s="1"/>
  <c r="U133" i="12"/>
  <c r="U44" i="12"/>
  <c r="U27" i="29" s="1"/>
  <c r="AX27" i="29" s="1"/>
  <c r="U108" i="12"/>
  <c r="U41" i="12" a="1"/>
  <c r="U41" i="12" s="1"/>
  <c r="U42" i="12" s="1"/>
  <c r="U15" i="11" s="1"/>
  <c r="AX15" i="11" s="1"/>
  <c r="Q40" i="22" s="1"/>
  <c r="U125" i="12"/>
  <c r="U116" i="12"/>
  <c r="U146" i="12"/>
  <c r="U131" i="12"/>
  <c r="U112" i="12"/>
  <c r="U110" i="12"/>
  <c r="U121" i="12"/>
  <c r="AX37" i="12"/>
  <c r="U127" i="12"/>
  <c r="U132" i="12"/>
  <c r="U117" i="12"/>
  <c r="U111" i="12"/>
  <c r="U120" i="12"/>
  <c r="U130" i="12"/>
  <c r="U118" i="12"/>
  <c r="U113" i="12"/>
  <c r="U126" i="12"/>
  <c r="U129" i="12"/>
  <c r="U119" i="12"/>
  <c r="U115" i="12"/>
  <c r="U122" i="12"/>
  <c r="U124" i="12"/>
  <c r="U114" i="12"/>
  <c r="U128" i="12"/>
  <c r="U109" i="12"/>
  <c r="U123" i="12"/>
  <c r="U135" i="12"/>
  <c r="U147" i="12"/>
  <c r="U144" i="12"/>
  <c r="T47" i="12"/>
  <c r="T30" i="29" s="1"/>
  <c r="AW30" i="29" s="1"/>
  <c r="T133" i="12"/>
  <c r="T48" i="12"/>
  <c r="T31" i="29" s="1"/>
  <c r="AW31" i="29" s="1"/>
  <c r="T46" i="12"/>
  <c r="T29" i="29" s="1"/>
  <c r="AW29" i="29" s="1"/>
  <c r="T41" i="12" a="1"/>
  <c r="T41" i="12" s="1"/>
  <c r="T42" i="12" s="1"/>
  <c r="T15" i="11" s="1"/>
  <c r="AW15" i="11" s="1"/>
  <c r="P40" i="22" s="1"/>
  <c r="T122" i="12"/>
  <c r="T119" i="12"/>
  <c r="T109" i="12"/>
  <c r="T127" i="12"/>
  <c r="T115" i="12"/>
  <c r="T128" i="12"/>
  <c r="T113" i="12"/>
  <c r="T44" i="12"/>
  <c r="T27" i="29" s="1"/>
  <c r="AW27" i="29" s="1"/>
  <c r="T112" i="12"/>
  <c r="T124" i="12"/>
  <c r="T108" i="12"/>
  <c r="T123" i="12"/>
  <c r="T114" i="12"/>
  <c r="T118" i="12"/>
  <c r="T130" i="12"/>
  <c r="T132" i="12"/>
  <c r="T120" i="12"/>
  <c r="T125" i="12"/>
  <c r="AW37" i="12"/>
  <c r="T110" i="12"/>
  <c r="T129" i="12"/>
  <c r="T131" i="12"/>
  <c r="T117" i="12"/>
  <c r="T146" i="12"/>
  <c r="T111" i="12"/>
  <c r="T116" i="12"/>
  <c r="T121" i="12"/>
  <c r="T45" i="12"/>
  <c r="T28" i="29" s="1"/>
  <c r="AW28" i="29" s="1"/>
  <c r="T126" i="12"/>
  <c r="T147" i="12"/>
  <c r="T144" i="12"/>
  <c r="T135" i="12"/>
  <c r="Z44" i="12"/>
  <c r="Z27" i="29" s="1"/>
  <c r="BC27" i="29" s="1"/>
  <c r="Z45" i="12"/>
  <c r="Z28" i="29" s="1"/>
  <c r="BC28" i="29" s="1"/>
  <c r="Z47" i="12"/>
  <c r="Z30" i="29" s="1"/>
  <c r="BC30" i="29" s="1"/>
  <c r="Z110" i="12"/>
  <c r="Z126" i="12"/>
  <c r="BC37" i="12"/>
  <c r="Z125" i="12"/>
  <c r="Z118" i="12"/>
  <c r="Z127" i="12"/>
  <c r="Z128" i="12"/>
  <c r="Z46" i="12"/>
  <c r="Z29" i="29" s="1"/>
  <c r="BC29" i="29" s="1"/>
  <c r="Z121" i="12"/>
  <c r="Z132" i="12"/>
  <c r="Z109" i="12"/>
  <c r="Z124" i="12"/>
  <c r="Z117" i="12"/>
  <c r="Z115" i="12"/>
  <c r="Z41" i="12" a="1"/>
  <c r="Z41" i="12" s="1"/>
  <c r="Z42" i="12" s="1"/>
  <c r="Z15" i="11" s="1"/>
  <c r="BC15" i="11" s="1"/>
  <c r="V40" i="22" s="1"/>
  <c r="Z111" i="12"/>
  <c r="Z130" i="12"/>
  <c r="Z113" i="12"/>
  <c r="Z116" i="12"/>
  <c r="Z114" i="12"/>
  <c r="Z123" i="12"/>
  <c r="Z131" i="12"/>
  <c r="Z120" i="12"/>
  <c r="Z112" i="12"/>
  <c r="Z129" i="12"/>
  <c r="Z122" i="12"/>
  <c r="Z48" i="12"/>
  <c r="Z31" i="29" s="1"/>
  <c r="BC31" i="29" s="1"/>
  <c r="Z133" i="12"/>
  <c r="Z108" i="12"/>
  <c r="Z146" i="12"/>
  <c r="Z119" i="12"/>
  <c r="Z147" i="12"/>
  <c r="Z135" i="12"/>
  <c r="Z144" i="12"/>
  <c r="R47" i="12"/>
  <c r="R30" i="29" s="1"/>
  <c r="AU30" i="29" s="1"/>
  <c r="R129" i="12"/>
  <c r="R48" i="12"/>
  <c r="R31" i="29" s="1"/>
  <c r="AU31" i="29" s="1"/>
  <c r="R133" i="12"/>
  <c r="R45" i="12"/>
  <c r="R28" i="29" s="1"/>
  <c r="AU28" i="29" s="1"/>
  <c r="R46" i="12"/>
  <c r="R29" i="29" s="1"/>
  <c r="AU29" i="29" s="1"/>
  <c r="R126" i="12"/>
  <c r="R122" i="12"/>
  <c r="R116" i="12"/>
  <c r="R109" i="12"/>
  <c r="R111" i="12"/>
  <c r="R112" i="12"/>
  <c r="R113" i="12"/>
  <c r="R124" i="12"/>
  <c r="R114" i="12"/>
  <c r="R125" i="12"/>
  <c r="R44" i="12"/>
  <c r="R27" i="29" s="1"/>
  <c r="AU27" i="29" s="1"/>
  <c r="R132" i="12"/>
  <c r="R108" i="12"/>
  <c r="R110" i="12"/>
  <c r="R128" i="12"/>
  <c r="R130" i="12"/>
  <c r="R119" i="12"/>
  <c r="R123" i="12"/>
  <c r="R118" i="12"/>
  <c r="R115" i="12"/>
  <c r="R127" i="12"/>
  <c r="R120" i="12"/>
  <c r="AU37" i="12"/>
  <c r="R41" i="12" a="1"/>
  <c r="R41" i="12" s="1"/>
  <c r="R42" i="12" s="1"/>
  <c r="R15" i="11" s="1"/>
  <c r="AU15" i="11" s="1"/>
  <c r="N40" i="22" s="1"/>
  <c r="R121" i="12"/>
  <c r="R131" i="12"/>
  <c r="R117" i="12"/>
  <c r="R146" i="12"/>
  <c r="R147" i="12"/>
  <c r="R135" i="12"/>
  <c r="R144" i="12"/>
  <c r="L145" i="12"/>
  <c r="I145" i="12"/>
  <c r="AI139" i="12"/>
  <c r="BB8" i="11"/>
  <c r="U33" i="22" s="1"/>
  <c r="AP8" i="11"/>
  <c r="I33" i="22" s="1"/>
  <c r="J44" i="12"/>
  <c r="J27" i="29" s="1"/>
  <c r="AM27" i="29" s="1"/>
  <c r="J133" i="12"/>
  <c r="J129" i="12"/>
  <c r="J46" i="12"/>
  <c r="J29" i="29" s="1"/>
  <c r="AM29" i="29" s="1"/>
  <c r="J41" i="12" a="1"/>
  <c r="J41" i="12" s="1"/>
  <c r="J42" i="12" s="1"/>
  <c r="J15" i="11" s="1"/>
  <c r="AM15" i="11" s="1"/>
  <c r="F40" i="22" s="1"/>
  <c r="J128" i="12"/>
  <c r="J45" i="12"/>
  <c r="J28" i="29" s="1"/>
  <c r="AM28" i="29" s="1"/>
  <c r="J112" i="12"/>
  <c r="AM37" i="12"/>
  <c r="J124" i="12"/>
  <c r="J113" i="12"/>
  <c r="J127" i="12"/>
  <c r="J111" i="12"/>
  <c r="J125" i="12"/>
  <c r="J123" i="12"/>
  <c r="J120" i="12"/>
  <c r="J146" i="12"/>
  <c r="J110" i="12"/>
  <c r="J48" i="12"/>
  <c r="J31" i="29" s="1"/>
  <c r="AM31" i="29" s="1"/>
  <c r="J121" i="12"/>
  <c r="J132" i="12"/>
  <c r="J118" i="12"/>
  <c r="J108" i="12"/>
  <c r="J130" i="12"/>
  <c r="J131" i="12"/>
  <c r="J47" i="12"/>
  <c r="J30" i="29" s="1"/>
  <c r="AM30" i="29" s="1"/>
  <c r="J114" i="12"/>
  <c r="J122" i="12"/>
  <c r="J115" i="12"/>
  <c r="J116" i="12"/>
  <c r="J126" i="12"/>
  <c r="J119" i="12"/>
  <c r="J117" i="12"/>
  <c r="J109" i="12"/>
  <c r="J135" i="12"/>
  <c r="J144" i="12"/>
  <c r="J147" i="12"/>
  <c r="Q44" i="12"/>
  <c r="Q27" i="29" s="1"/>
  <c r="AT27" i="29" s="1"/>
  <c r="Q45" i="12"/>
  <c r="Q28" i="29" s="1"/>
  <c r="AT28" i="29" s="1"/>
  <c r="Q47" i="12"/>
  <c r="Q30" i="29" s="1"/>
  <c r="AT30" i="29" s="1"/>
  <c r="Q129" i="12"/>
  <c r="Q128" i="12"/>
  <c r="Q46" i="12"/>
  <c r="Q29" i="29" s="1"/>
  <c r="AT29" i="29" s="1"/>
  <c r="Q125" i="12"/>
  <c r="Q130" i="12"/>
  <c r="Q123" i="12"/>
  <c r="Q111" i="12"/>
  <c r="Q119" i="12"/>
  <c r="Q116" i="12"/>
  <c r="Q124" i="12"/>
  <c r="Q117" i="12"/>
  <c r="AT37" i="12"/>
  <c r="Q41" i="12" a="1"/>
  <c r="Q41" i="12" s="1"/>
  <c r="Q42" i="12" s="1"/>
  <c r="Q15" i="11" s="1"/>
  <c r="AT15" i="11" s="1"/>
  <c r="M40" i="22" s="1"/>
  <c r="F54" i="22" s="1"/>
  <c r="Q121" i="12"/>
  <c r="Q132" i="12"/>
  <c r="Q109" i="12"/>
  <c r="Q120" i="12"/>
  <c r="Q118" i="12"/>
  <c r="Q146" i="12"/>
  <c r="Q113" i="12"/>
  <c r="Q108" i="12"/>
  <c r="Q122" i="12"/>
  <c r="Q114" i="12"/>
  <c r="Q110" i="12"/>
  <c r="Q127" i="12"/>
  <c r="Q115" i="12"/>
  <c r="Q126" i="12"/>
  <c r="Q133" i="12"/>
  <c r="Q131" i="12"/>
  <c r="Q112" i="12"/>
  <c r="Q48" i="12"/>
  <c r="Q31" i="29" s="1"/>
  <c r="AT31" i="29" s="1"/>
  <c r="Q144" i="12"/>
  <c r="Q147" i="12"/>
  <c r="Q135" i="12"/>
  <c r="AQ8" i="11"/>
  <c r="J33" i="22" s="1"/>
  <c r="AA44" i="12"/>
  <c r="AA27" i="29" s="1"/>
  <c r="BD27" i="29" s="1"/>
  <c r="AA129" i="12"/>
  <c r="AA45" i="12"/>
  <c r="AA28" i="29" s="1"/>
  <c r="BD28" i="29" s="1"/>
  <c r="AA47" i="12"/>
  <c r="AA30" i="29" s="1"/>
  <c r="BD30" i="29" s="1"/>
  <c r="AA108" i="12"/>
  <c r="AA128" i="12"/>
  <c r="AA125" i="12"/>
  <c r="AA117" i="12"/>
  <c r="AA111" i="12"/>
  <c r="AA127" i="12"/>
  <c r="AA121" i="12"/>
  <c r="AA109" i="12"/>
  <c r="AA132" i="12"/>
  <c r="AA120" i="12"/>
  <c r="AA130" i="12"/>
  <c r="AA113" i="12"/>
  <c r="BD37" i="12"/>
  <c r="AA110" i="12"/>
  <c r="AA119" i="12"/>
  <c r="AA146" i="12"/>
  <c r="AA112" i="12"/>
  <c r="AA126" i="12"/>
  <c r="AA115" i="12"/>
  <c r="AA131" i="12"/>
  <c r="AA116" i="12"/>
  <c r="AA124" i="12"/>
  <c r="AA46" i="12"/>
  <c r="AA29" i="29" s="1"/>
  <c r="BD29" i="29" s="1"/>
  <c r="AA118" i="12"/>
  <c r="AA114" i="12"/>
  <c r="AA48" i="12"/>
  <c r="AA31" i="29" s="1"/>
  <c r="BD31" i="29" s="1"/>
  <c r="AA41" i="12" a="1"/>
  <c r="AA41" i="12" s="1"/>
  <c r="AA42" i="12" s="1"/>
  <c r="AA15" i="11" s="1"/>
  <c r="BD15" i="11" s="1"/>
  <c r="W40" i="22" s="1"/>
  <c r="AA122" i="12"/>
  <c r="AA123" i="12"/>
  <c r="AA133" i="12"/>
  <c r="AA135" i="12"/>
  <c r="AA144" i="12"/>
  <c r="AA147" i="12"/>
  <c r="O129" i="12"/>
  <c r="O46" i="12"/>
  <c r="O29" i="29" s="1"/>
  <c r="AR29" i="29" s="1"/>
  <c r="O48" i="12"/>
  <c r="O31" i="29" s="1"/>
  <c r="AR31" i="29" s="1"/>
  <c r="O45" i="12"/>
  <c r="O28" i="29" s="1"/>
  <c r="AR28" i="29" s="1"/>
  <c r="O44" i="12"/>
  <c r="O27" i="29" s="1"/>
  <c r="AR27" i="29" s="1"/>
  <c r="AR37" i="12"/>
  <c r="O115" i="12"/>
  <c r="O125" i="12"/>
  <c r="O118" i="12"/>
  <c r="O121" i="12"/>
  <c r="O146" i="12"/>
  <c r="O133" i="12"/>
  <c r="O124" i="12"/>
  <c r="O110" i="12"/>
  <c r="O116" i="12"/>
  <c r="O130" i="12"/>
  <c r="O108" i="12"/>
  <c r="O111" i="12"/>
  <c r="O112" i="12"/>
  <c r="O114" i="12"/>
  <c r="O113" i="12"/>
  <c r="O132" i="12"/>
  <c r="O131" i="12"/>
  <c r="O109" i="12"/>
  <c r="O126" i="12"/>
  <c r="O117" i="12"/>
  <c r="O119" i="12"/>
  <c r="O122" i="12"/>
  <c r="O120" i="12"/>
  <c r="O128" i="12"/>
  <c r="O47" i="12"/>
  <c r="O30" i="29" s="1"/>
  <c r="AR30" i="29" s="1"/>
  <c r="O123" i="12"/>
  <c r="O41" i="12" a="1"/>
  <c r="O41" i="12" s="1"/>
  <c r="O42" i="12" s="1"/>
  <c r="O15" i="11" s="1"/>
  <c r="AR15" i="11" s="1"/>
  <c r="K40" i="22" s="1"/>
  <c r="O127" i="12"/>
  <c r="O135" i="12"/>
  <c r="O147" i="12"/>
  <c r="O144" i="12"/>
  <c r="Z136" i="12"/>
  <c r="AM8" i="11"/>
  <c r="F33" i="22" s="1"/>
  <c r="I138" i="12"/>
  <c r="BE8" i="11"/>
  <c r="X33" i="22" s="1"/>
  <c r="BF8" i="11"/>
  <c r="Y33" i="22" s="1"/>
  <c r="H132" i="12"/>
  <c r="H45" i="12"/>
  <c r="H46" i="12"/>
  <c r="H44" i="12"/>
  <c r="H133" i="12"/>
  <c r="H48" i="12"/>
  <c r="H47" i="12"/>
  <c r="H109" i="12"/>
  <c r="H110" i="12"/>
  <c r="H119" i="12"/>
  <c r="H124" i="12"/>
  <c r="H127" i="12"/>
  <c r="H123" i="12"/>
  <c r="H114" i="12"/>
  <c r="H122" i="12"/>
  <c r="H129" i="12"/>
  <c r="H118" i="12"/>
  <c r="H121" i="12"/>
  <c r="H113" i="12"/>
  <c r="H131" i="12"/>
  <c r="H41" i="12" a="1"/>
  <c r="H41" i="12" s="1"/>
  <c r="H42" i="12" s="1"/>
  <c r="H15" i="11" s="1"/>
  <c r="AK15" i="11" s="1"/>
  <c r="D40" i="22" s="1"/>
  <c r="D54" i="22" s="1"/>
  <c r="I67" i="29" s="1"/>
  <c r="H111" i="12"/>
  <c r="AK37" i="12"/>
  <c r="H120" i="12"/>
  <c r="H112" i="12"/>
  <c r="H115" i="12"/>
  <c r="H116" i="12"/>
  <c r="H146" i="12"/>
  <c r="H126" i="12"/>
  <c r="H128" i="12"/>
  <c r="H117" i="12"/>
  <c r="H125" i="12"/>
  <c r="H130" i="12"/>
  <c r="H147" i="12"/>
  <c r="H135" i="12"/>
  <c r="H144" i="12"/>
  <c r="AL8" i="11"/>
  <c r="E33" i="22" s="1"/>
  <c r="V139" i="12"/>
  <c r="AG138" i="12"/>
  <c r="Y47" i="12"/>
  <c r="Y30" i="29" s="1"/>
  <c r="BB30" i="29" s="1"/>
  <c r="Y44" i="12"/>
  <c r="Y27" i="29" s="1"/>
  <c r="BB27" i="29" s="1"/>
  <c r="Y48" i="12"/>
  <c r="Y31" i="29" s="1"/>
  <c r="BB31" i="29" s="1"/>
  <c r="Y46" i="12"/>
  <c r="Y29" i="29" s="1"/>
  <c r="BB29" i="29" s="1"/>
  <c r="Y109" i="12"/>
  <c r="Y128" i="12"/>
  <c r="Y126" i="12"/>
  <c r="Y41" i="12" a="1"/>
  <c r="Y41" i="12" s="1"/>
  <c r="Y42" i="12" s="1"/>
  <c r="Y15" i="11" s="1"/>
  <c r="BB15" i="11" s="1"/>
  <c r="U40" i="22" s="1"/>
  <c r="Y118" i="12"/>
  <c r="Y115" i="12"/>
  <c r="Y146" i="12"/>
  <c r="Y110" i="12"/>
  <c r="Y112" i="12"/>
  <c r="Y123" i="12"/>
  <c r="Y122" i="12"/>
  <c r="Y129" i="12"/>
  <c r="Y113" i="12"/>
  <c r="Y116" i="12"/>
  <c r="Y132" i="12"/>
  <c r="Y121" i="12"/>
  <c r="Y125" i="12"/>
  <c r="Y133" i="12"/>
  <c r="Y111" i="12"/>
  <c r="Y119" i="12"/>
  <c r="Y114" i="12"/>
  <c r="Y130" i="12"/>
  <c r="Y127" i="12"/>
  <c r="Y45" i="12"/>
  <c r="Y28" i="29" s="1"/>
  <c r="BB28" i="29" s="1"/>
  <c r="Y120" i="12"/>
  <c r="BB37" i="12"/>
  <c r="Y108" i="12"/>
  <c r="Y131" i="12"/>
  <c r="Y124" i="12"/>
  <c r="Y117" i="12"/>
  <c r="Y135" i="12"/>
  <c r="Y147" i="12"/>
  <c r="Y144" i="12"/>
  <c r="M46" i="12"/>
  <c r="M29" i="29" s="1"/>
  <c r="AP29" i="29" s="1"/>
  <c r="M128" i="12"/>
  <c r="M45" i="12"/>
  <c r="M28" i="29" s="1"/>
  <c r="AP28" i="29" s="1"/>
  <c r="M44" i="12"/>
  <c r="M27" i="29" s="1"/>
  <c r="AP27" i="29" s="1"/>
  <c r="M133" i="12"/>
  <c r="M130" i="12"/>
  <c r="M146" i="12"/>
  <c r="AP37" i="12"/>
  <c r="M124" i="12"/>
  <c r="M110" i="12"/>
  <c r="M113" i="12"/>
  <c r="M116" i="12"/>
  <c r="M115" i="12"/>
  <c r="M120" i="12"/>
  <c r="M131" i="12"/>
  <c r="M41" i="12" a="1"/>
  <c r="M41" i="12" s="1"/>
  <c r="M42" i="12" s="1"/>
  <c r="M15" i="11" s="1"/>
  <c r="AP15" i="11" s="1"/>
  <c r="I40" i="22" s="1"/>
  <c r="M114" i="12"/>
  <c r="M47" i="12"/>
  <c r="M30" i="29" s="1"/>
  <c r="AP30" i="29" s="1"/>
  <c r="M122" i="12"/>
  <c r="M127" i="12"/>
  <c r="M132" i="12"/>
  <c r="M123" i="12"/>
  <c r="M108" i="12"/>
  <c r="M111" i="12"/>
  <c r="M121" i="12"/>
  <c r="M126" i="12"/>
  <c r="M112" i="12"/>
  <c r="M118" i="12"/>
  <c r="M117" i="12"/>
  <c r="M125" i="12"/>
  <c r="M48" i="12"/>
  <c r="M31" i="29" s="1"/>
  <c r="AP31" i="29" s="1"/>
  <c r="M129" i="12"/>
  <c r="M109" i="12"/>
  <c r="M119" i="12"/>
  <c r="M144" i="12"/>
  <c r="M147" i="12"/>
  <c r="M135" i="12"/>
  <c r="BK8" i="11"/>
  <c r="AD33" i="22" s="1"/>
  <c r="N47" i="12"/>
  <c r="N30" i="29" s="1"/>
  <c r="AQ30" i="29" s="1"/>
  <c r="N46" i="12"/>
  <c r="N29" i="29" s="1"/>
  <c r="AQ29" i="29" s="1"/>
  <c r="N48" i="12"/>
  <c r="N31" i="29" s="1"/>
  <c r="AQ31" i="29" s="1"/>
  <c r="N129" i="12"/>
  <c r="N45" i="12"/>
  <c r="N28" i="29" s="1"/>
  <c r="AQ28" i="29" s="1"/>
  <c r="N111" i="12"/>
  <c r="N112" i="12"/>
  <c r="N126" i="12"/>
  <c r="N44" i="12"/>
  <c r="N27" i="29" s="1"/>
  <c r="AQ27" i="29" s="1"/>
  <c r="N128" i="12"/>
  <c r="N130" i="12"/>
  <c r="N115" i="12"/>
  <c r="N114" i="12"/>
  <c r="AQ37" i="12"/>
  <c r="N124" i="12"/>
  <c r="N113" i="12"/>
  <c r="N120" i="12"/>
  <c r="N146" i="12"/>
  <c r="N133" i="12"/>
  <c r="N108" i="12"/>
  <c r="N122" i="12"/>
  <c r="N110" i="12"/>
  <c r="N131" i="12"/>
  <c r="N109" i="12"/>
  <c r="N117" i="12"/>
  <c r="N121" i="12"/>
  <c r="N116" i="12"/>
  <c r="N119" i="12"/>
  <c r="N118" i="12"/>
  <c r="N127" i="12"/>
  <c r="N41" i="12" a="1"/>
  <c r="N41" i="12" s="1"/>
  <c r="N42" i="12" s="1"/>
  <c r="N15" i="11" s="1"/>
  <c r="AQ15" i="11" s="1"/>
  <c r="J40" i="22" s="1"/>
  <c r="N125" i="12"/>
  <c r="N132" i="12"/>
  <c r="N123" i="12"/>
  <c r="N135" i="12"/>
  <c r="N147" i="12"/>
  <c r="N144" i="12"/>
  <c r="AI136" i="12"/>
  <c r="BI8" i="11"/>
  <c r="AB33" i="22" s="1"/>
  <c r="X136" i="12"/>
  <c r="AY8" i="11"/>
  <c r="R33" i="22" s="1"/>
  <c r="S47" i="22" s="1"/>
  <c r="U47" i="22" s="1"/>
  <c r="E53" i="38"/>
  <c r="E60" i="38"/>
  <c r="BH8" i="11"/>
  <c r="AA33" i="22" s="1"/>
  <c r="AB45" i="12"/>
  <c r="AB28" i="29" s="1"/>
  <c r="BE28" i="29" s="1"/>
  <c r="AB129" i="12"/>
  <c r="AB44" i="12"/>
  <c r="AB27" i="29" s="1"/>
  <c r="BE27" i="29" s="1"/>
  <c r="AB133" i="12"/>
  <c r="AB46" i="12"/>
  <c r="AB29" i="29" s="1"/>
  <c r="BE29" i="29" s="1"/>
  <c r="AB120" i="12"/>
  <c r="AB127" i="12"/>
  <c r="AB116" i="12"/>
  <c r="AB115" i="12"/>
  <c r="AB146" i="12"/>
  <c r="AB109" i="12"/>
  <c r="AB130" i="12"/>
  <c r="AB132" i="12"/>
  <c r="AB123" i="12"/>
  <c r="BE37" i="12"/>
  <c r="AB117" i="12"/>
  <c r="AB113" i="12"/>
  <c r="AB124" i="12"/>
  <c r="AB121" i="12"/>
  <c r="AB48" i="12"/>
  <c r="AB31" i="29" s="1"/>
  <c r="BE31" i="29" s="1"/>
  <c r="AB41" i="12" a="1"/>
  <c r="AB41" i="12" s="1"/>
  <c r="AB42" i="12" s="1"/>
  <c r="AB15" i="11" s="1"/>
  <c r="BE15" i="11" s="1"/>
  <c r="X40" i="22" s="1"/>
  <c r="AB110" i="12"/>
  <c r="AB114" i="12"/>
  <c r="AB118" i="12"/>
  <c r="AB119" i="12"/>
  <c r="AB122" i="12"/>
  <c r="AB108" i="12"/>
  <c r="AB128" i="12"/>
  <c r="AB111" i="12"/>
  <c r="AB112" i="12"/>
  <c r="AB125" i="12"/>
  <c r="AB131" i="12"/>
  <c r="AB126" i="12"/>
  <c r="AB47" i="12"/>
  <c r="AB30" i="29" s="1"/>
  <c r="BE30" i="29" s="1"/>
  <c r="AB144" i="12"/>
  <c r="AB147" i="12"/>
  <c r="AB135" i="12"/>
  <c r="E86" i="38"/>
  <c r="E93" i="38"/>
  <c r="AC47" i="12"/>
  <c r="AC30" i="29" s="1"/>
  <c r="BF30" i="29" s="1"/>
  <c r="AC48" i="12"/>
  <c r="AC31" i="29" s="1"/>
  <c r="BF31" i="29" s="1"/>
  <c r="AC46" i="12"/>
  <c r="AC29" i="29" s="1"/>
  <c r="BF29" i="29" s="1"/>
  <c r="AC44" i="12"/>
  <c r="AC27" i="29" s="1"/>
  <c r="BF27" i="29" s="1"/>
  <c r="AC131" i="12"/>
  <c r="AC41" i="12" a="1"/>
  <c r="AC41" i="12" s="1"/>
  <c r="AC42" i="12" s="1"/>
  <c r="AC15" i="11" s="1"/>
  <c r="BF15" i="11" s="1"/>
  <c r="Y40" i="22" s="1"/>
  <c r="AC109" i="12"/>
  <c r="AC132" i="12"/>
  <c r="AC45" i="12"/>
  <c r="AC28" i="29" s="1"/>
  <c r="BF28" i="29" s="1"/>
  <c r="AC112" i="12"/>
  <c r="AC146" i="12"/>
  <c r="AC111" i="12"/>
  <c r="AC127" i="12"/>
  <c r="AC129" i="12"/>
  <c r="AC128" i="12"/>
  <c r="AC118" i="12"/>
  <c r="AC130" i="12"/>
  <c r="AC126" i="12"/>
  <c r="AC117" i="12"/>
  <c r="BF37" i="12"/>
  <c r="AC125" i="12"/>
  <c r="AC123" i="12"/>
  <c r="AC122" i="12"/>
  <c r="AC120" i="12"/>
  <c r="AC119" i="12"/>
  <c r="AC113" i="12"/>
  <c r="AC124" i="12"/>
  <c r="AC133" i="12"/>
  <c r="AC108" i="12"/>
  <c r="AC114" i="12"/>
  <c r="AC116" i="12"/>
  <c r="AC110" i="12"/>
  <c r="AC115" i="12"/>
  <c r="AC121" i="12"/>
  <c r="AC144" i="12"/>
  <c r="AC147" i="12"/>
  <c r="AC135" i="12"/>
  <c r="I46" i="12"/>
  <c r="I29" i="29" s="1"/>
  <c r="AL29" i="29" s="1"/>
  <c r="I44" i="12"/>
  <c r="I27" i="29" s="1"/>
  <c r="AL27" i="29" s="1"/>
  <c r="I48" i="12"/>
  <c r="I31" i="29" s="1"/>
  <c r="AL31" i="29" s="1"/>
  <c r="I133" i="12"/>
  <c r="I127" i="12"/>
  <c r="I108" i="12"/>
  <c r="I146" i="12"/>
  <c r="I113" i="12"/>
  <c r="I123" i="12"/>
  <c r="I115" i="12"/>
  <c r="I124" i="12"/>
  <c r="I47" i="12"/>
  <c r="I30" i="29" s="1"/>
  <c r="AL30" i="29" s="1"/>
  <c r="AL37" i="12"/>
  <c r="I41" i="12" a="1"/>
  <c r="I41" i="12" s="1"/>
  <c r="I42" i="12" s="1"/>
  <c r="I15" i="11" s="1"/>
  <c r="AL15" i="11" s="1"/>
  <c r="E40" i="22" s="1"/>
  <c r="I119" i="12"/>
  <c r="I131" i="12"/>
  <c r="I111" i="12"/>
  <c r="I132" i="12"/>
  <c r="I130" i="12"/>
  <c r="I118" i="12"/>
  <c r="I120" i="12"/>
  <c r="I45" i="12"/>
  <c r="I28" i="29" s="1"/>
  <c r="AL28" i="29" s="1"/>
  <c r="I110" i="12"/>
  <c r="I129" i="12"/>
  <c r="I114" i="12"/>
  <c r="I109" i="12"/>
  <c r="I112" i="12"/>
  <c r="I117" i="12"/>
  <c r="I121" i="12"/>
  <c r="I122" i="12"/>
  <c r="I126" i="12"/>
  <c r="I128" i="12"/>
  <c r="I116" i="12"/>
  <c r="I125" i="12"/>
  <c r="I144" i="12"/>
  <c r="I135" i="12"/>
  <c r="I147" i="12"/>
  <c r="BJ8" i="11"/>
  <c r="AC33" i="22" s="1"/>
  <c r="J61" i="29"/>
  <c r="AH45" i="12"/>
  <c r="AH28" i="29" s="1"/>
  <c r="BK28" i="29" s="1"/>
  <c r="AH44" i="12"/>
  <c r="AH27" i="29" s="1"/>
  <c r="BK27" i="29" s="1"/>
  <c r="AH46" i="12"/>
  <c r="AH29" i="29" s="1"/>
  <c r="BK29" i="29" s="1"/>
  <c r="AH47" i="12"/>
  <c r="AH30" i="29" s="1"/>
  <c r="BK30" i="29" s="1"/>
  <c r="AH110" i="12"/>
  <c r="AH117" i="12"/>
  <c r="AH131" i="12"/>
  <c r="AH132" i="12"/>
  <c r="AH115" i="12"/>
  <c r="AH128" i="12"/>
  <c r="AH126" i="12"/>
  <c r="AH146" i="12"/>
  <c r="AH125" i="12"/>
  <c r="AH48" i="12"/>
  <c r="AH31" i="29" s="1"/>
  <c r="BK31" i="29" s="1"/>
  <c r="AH116" i="12"/>
  <c r="AH120" i="12"/>
  <c r="AH127" i="12"/>
  <c r="AH124" i="12"/>
  <c r="AH122" i="12"/>
  <c r="AH130" i="12"/>
  <c r="AH114" i="12"/>
  <c r="AH108" i="12"/>
  <c r="AH111" i="12"/>
  <c r="AH123" i="12"/>
  <c r="AH119" i="12"/>
  <c r="AH121" i="12"/>
  <c r="AH109" i="12"/>
  <c r="AH113" i="12"/>
  <c r="BK37" i="12"/>
  <c r="AH118" i="12"/>
  <c r="AH129" i="12"/>
  <c r="AH133" i="12"/>
  <c r="AH112" i="12"/>
  <c r="AH41" i="12" a="1"/>
  <c r="AH41" i="12" s="1"/>
  <c r="AH42" i="12" s="1"/>
  <c r="AH15" i="11" s="1"/>
  <c r="BK15" i="11" s="1"/>
  <c r="AD40" i="22" s="1"/>
  <c r="AH147" i="12"/>
  <c r="AH144" i="12"/>
  <c r="AH135" i="12"/>
  <c r="AV8" i="11"/>
  <c r="O33" i="22" s="1"/>
  <c r="AF129" i="12"/>
  <c r="AF133" i="12"/>
  <c r="AF48" i="12"/>
  <c r="AF31" i="29" s="1"/>
  <c r="BI31" i="29" s="1"/>
  <c r="AF46" i="12"/>
  <c r="AF29" i="29" s="1"/>
  <c r="BI29" i="29" s="1"/>
  <c r="AF45" i="12"/>
  <c r="AF28" i="29" s="1"/>
  <c r="BI28" i="29" s="1"/>
  <c r="AF47" i="12"/>
  <c r="AF30" i="29" s="1"/>
  <c r="BI30" i="29" s="1"/>
  <c r="AF41" i="12" a="1"/>
  <c r="AF41" i="12" s="1"/>
  <c r="AF42" i="12" s="1"/>
  <c r="AF15" i="11" s="1"/>
  <c r="BI15" i="11" s="1"/>
  <c r="AB40" i="22" s="1"/>
  <c r="AF120" i="12"/>
  <c r="AF119" i="12"/>
  <c r="AF110" i="12"/>
  <c r="AF124" i="12"/>
  <c r="AF121" i="12"/>
  <c r="AF130" i="12"/>
  <c r="AF122" i="12"/>
  <c r="AF108" i="12"/>
  <c r="AF113" i="12"/>
  <c r="AF126" i="12"/>
  <c r="AF127" i="12"/>
  <c r="AF146" i="12"/>
  <c r="AF117" i="12"/>
  <c r="AF123" i="12"/>
  <c r="BI37" i="12"/>
  <c r="AF132" i="12"/>
  <c r="AF118" i="12"/>
  <c r="AF109" i="12"/>
  <c r="AF112" i="12"/>
  <c r="AF125" i="12"/>
  <c r="AF114" i="12"/>
  <c r="AF115" i="12"/>
  <c r="AF128" i="12"/>
  <c r="AF131" i="12"/>
  <c r="AF116" i="12"/>
  <c r="AF111" i="12"/>
  <c r="AF44" i="12"/>
  <c r="AF27" i="29" s="1"/>
  <c r="BI27" i="29" s="1"/>
  <c r="AF147" i="12"/>
  <c r="AF135" i="12"/>
  <c r="AF144" i="12"/>
  <c r="L136" i="12"/>
  <c r="K95" i="12"/>
  <c r="K150" i="12" s="1"/>
  <c r="Z95" i="12"/>
  <c r="Z150" i="12" s="1"/>
  <c r="AB95" i="12"/>
  <c r="AB150" i="12" s="1"/>
  <c r="P95" i="12"/>
  <c r="P150" i="12" s="1"/>
  <c r="V95" i="12"/>
  <c r="V150" i="12" s="1"/>
  <c r="AG95" i="12"/>
  <c r="AG150" i="12" s="1"/>
  <c r="AD95" i="12"/>
  <c r="AD150" i="12" s="1"/>
  <c r="AA95" i="12"/>
  <c r="AA150" i="12" s="1"/>
  <c r="M95" i="12"/>
  <c r="M150" i="12" s="1"/>
  <c r="S95" i="12"/>
  <c r="S150" i="12" s="1"/>
  <c r="AE95" i="12"/>
  <c r="AE150" i="12" s="1"/>
  <c r="AI95" i="12"/>
  <c r="AI150" i="12" s="1"/>
  <c r="Y95" i="12"/>
  <c r="Y150" i="12" s="1"/>
  <c r="L95" i="12"/>
  <c r="L150" i="12" s="1"/>
  <c r="U95" i="12"/>
  <c r="U150" i="12" s="1"/>
  <c r="AC95" i="12"/>
  <c r="AC150" i="12" s="1"/>
  <c r="T95" i="12"/>
  <c r="T150" i="12" s="1"/>
  <c r="Q95" i="12"/>
  <c r="Q150" i="12" s="1"/>
  <c r="N95" i="12"/>
  <c r="N150" i="12" s="1"/>
  <c r="J95" i="12"/>
  <c r="J150" i="12" s="1"/>
  <c r="O95" i="12"/>
  <c r="O150" i="12" s="1"/>
  <c r="W95" i="12"/>
  <c r="W150" i="12" s="1"/>
  <c r="AH95" i="12"/>
  <c r="AH150" i="12" s="1"/>
  <c r="I95" i="12"/>
  <c r="I150" i="12" s="1"/>
  <c r="R95" i="12"/>
  <c r="R150" i="12" s="1"/>
  <c r="X95" i="12"/>
  <c r="X150" i="12" s="1"/>
  <c r="AF95" i="12"/>
  <c r="AF150" i="12" s="1"/>
  <c r="D18" i="22"/>
  <c r="K85" i="12"/>
  <c r="K140" i="12" s="1"/>
  <c r="Q85" i="12"/>
  <c r="Q140" i="12" s="1"/>
  <c r="V85" i="12"/>
  <c r="V140" i="12" s="1"/>
  <c r="AA85" i="12"/>
  <c r="AA140" i="12" s="1"/>
  <c r="T85" i="12"/>
  <c r="T140" i="12" s="1"/>
  <c r="AG85" i="12"/>
  <c r="AG140" i="12" s="1"/>
  <c r="AB85" i="12"/>
  <c r="AB140" i="12" s="1"/>
  <c r="Z85" i="12"/>
  <c r="Z140" i="12" s="1"/>
  <c r="Y85" i="12"/>
  <c r="Y140" i="12" s="1"/>
  <c r="AC85" i="12"/>
  <c r="AC140" i="12" s="1"/>
  <c r="W85" i="12"/>
  <c r="W140" i="12" s="1"/>
  <c r="P85" i="12"/>
  <c r="P140" i="12" s="1"/>
  <c r="M85" i="12"/>
  <c r="M140" i="12" s="1"/>
  <c r="S85" i="12"/>
  <c r="S140" i="12" s="1"/>
  <c r="R85" i="12"/>
  <c r="R140" i="12" s="1"/>
  <c r="L85" i="12"/>
  <c r="L140" i="12" s="1"/>
  <c r="J85" i="12"/>
  <c r="J140" i="12" s="1"/>
  <c r="U85" i="12"/>
  <c r="U140" i="12" s="1"/>
  <c r="AF85" i="12"/>
  <c r="AF140" i="12" s="1"/>
  <c r="AI85" i="12"/>
  <c r="AI140" i="12" s="1"/>
  <c r="I85" i="12"/>
  <c r="I140" i="12" s="1"/>
  <c r="H85" i="12"/>
  <c r="H140" i="12" s="1"/>
  <c r="O85" i="12"/>
  <c r="O140" i="12" s="1"/>
  <c r="N85" i="12"/>
  <c r="N140" i="12" s="1"/>
  <c r="X85" i="12"/>
  <c r="X140" i="12" s="1"/>
  <c r="AD85" i="12"/>
  <c r="AD140" i="12" s="1"/>
  <c r="AE85" i="12"/>
  <c r="AE140" i="12" s="1"/>
  <c r="AH85" i="12"/>
  <c r="AH140" i="12" s="1"/>
  <c r="N339" i="33"/>
  <c r="N350" i="33"/>
  <c r="N356" i="33" s="1"/>
  <c r="Q313" i="33"/>
  <c r="Q303" i="33"/>
  <c r="W350" i="33"/>
  <c r="W356" i="33" s="1"/>
  <c r="W339" i="33"/>
  <c r="R243" i="33"/>
  <c r="R240" i="33"/>
  <c r="M350" i="33"/>
  <c r="M356" i="33" s="1"/>
  <c r="M339" i="33"/>
  <c r="Q243" i="33"/>
  <c r="Q240" i="33"/>
  <c r="M313" i="33"/>
  <c r="M303" i="33"/>
  <c r="K243" i="33"/>
  <c r="K240" i="33"/>
  <c r="AE313" i="33"/>
  <c r="AE303" i="33"/>
  <c r="AG350" i="33"/>
  <c r="AG356" i="33" s="1"/>
  <c r="AG339" i="33"/>
  <c r="I243" i="33"/>
  <c r="I240" i="33"/>
  <c r="H313" i="33"/>
  <c r="H303" i="33"/>
  <c r="T243" i="33"/>
  <c r="T240" i="33"/>
  <c r="Q339" i="33"/>
  <c r="Q350" i="33"/>
  <c r="Q356" i="33" s="1"/>
  <c r="O350" i="33"/>
  <c r="O356" i="33" s="1"/>
  <c r="O339" i="33"/>
  <c r="AG313" i="33"/>
  <c r="AG303" i="33"/>
  <c r="AE243" i="33"/>
  <c r="AE240" i="33"/>
  <c r="AH243" i="33"/>
  <c r="AH240" i="33"/>
  <c r="AE339" i="33"/>
  <c r="AE350" i="33"/>
  <c r="AE356" i="33" s="1"/>
  <c r="O313" i="33"/>
  <c r="O303" i="33"/>
  <c r="U313" i="33"/>
  <c r="U303" i="33"/>
  <c r="H243" i="33"/>
  <c r="H240" i="33"/>
  <c r="G243" i="33"/>
  <c r="G240" i="33"/>
  <c r="N243" i="33"/>
  <c r="N240" i="33"/>
  <c r="AF350" i="33"/>
  <c r="AF356" i="33" s="1"/>
  <c r="AF339" i="33"/>
  <c r="J313" i="33"/>
  <c r="J303" i="33"/>
  <c r="Y313" i="33"/>
  <c r="Y303" i="33"/>
  <c r="Z339" i="33"/>
  <c r="Z350" i="33"/>
  <c r="Z356" i="33" s="1"/>
  <c r="AA313" i="33"/>
  <c r="AA303" i="33"/>
  <c r="M243" i="33"/>
  <c r="M240" i="33"/>
  <c r="U350" i="33"/>
  <c r="U356" i="33" s="1"/>
  <c r="U339" i="33"/>
  <c r="AF313" i="33"/>
  <c r="AF303" i="33"/>
  <c r="AC339" i="33"/>
  <c r="AC350" i="33"/>
  <c r="AC356" i="33" s="1"/>
  <c r="Y350" i="33"/>
  <c r="Y356" i="33" s="1"/>
  <c r="Y339" i="33"/>
  <c r="W243" i="33"/>
  <c r="W240" i="33"/>
  <c r="Z313" i="33"/>
  <c r="Z303" i="33"/>
  <c r="AA339" i="33"/>
  <c r="AA350" i="33"/>
  <c r="AA356" i="33" s="1"/>
  <c r="AC243" i="33"/>
  <c r="AC240" i="33"/>
  <c r="AD243" i="33"/>
  <c r="AD240" i="33"/>
  <c r="AG243" i="33"/>
  <c r="AG240" i="33"/>
  <c r="X339" i="33"/>
  <c r="X350" i="33"/>
  <c r="X356" i="33" s="1"/>
  <c r="J243" i="33"/>
  <c r="J240" i="33"/>
  <c r="P243" i="33"/>
  <c r="P240" i="33"/>
  <c r="K350" i="33"/>
  <c r="K356" i="33" s="1"/>
  <c r="K339" i="33"/>
  <c r="AD350" i="33"/>
  <c r="AD356" i="33" s="1"/>
  <c r="AD339" i="33"/>
  <c r="AH350" i="33"/>
  <c r="AH356" i="33" s="1"/>
  <c r="AH339" i="33"/>
  <c r="AC313" i="33"/>
  <c r="AC303" i="33"/>
  <c r="U243" i="33"/>
  <c r="U240" i="33"/>
  <c r="Z243" i="33"/>
  <c r="Z240" i="33"/>
  <c r="K313" i="33"/>
  <c r="K303" i="33"/>
  <c r="S243" i="33"/>
  <c r="S240" i="33"/>
  <c r="J339" i="33"/>
  <c r="J350" i="33"/>
  <c r="J356" i="33" s="1"/>
  <c r="L313" i="33"/>
  <c r="L303" i="33"/>
  <c r="T313" i="33"/>
  <c r="T303" i="33"/>
  <c r="R339" i="33"/>
  <c r="R350" i="33"/>
  <c r="R356" i="33" s="1"/>
  <c r="AB313" i="33"/>
  <c r="AB303" i="33"/>
  <c r="AF243" i="33"/>
  <c r="AF240" i="33"/>
  <c r="AA243" i="33"/>
  <c r="AA240" i="33"/>
  <c r="AD313" i="33"/>
  <c r="AD303" i="33"/>
  <c r="AH313" i="33"/>
  <c r="AH303" i="33"/>
  <c r="X313" i="33"/>
  <c r="X303" i="33"/>
  <c r="L350" i="33"/>
  <c r="L356" i="33" s="1"/>
  <c r="L339" i="33"/>
  <c r="I313" i="33"/>
  <c r="I303" i="33"/>
  <c r="R313" i="33"/>
  <c r="R303" i="33"/>
  <c r="P339" i="33"/>
  <c r="P350" i="33"/>
  <c r="P356" i="33" s="1"/>
  <c r="Y243" i="33"/>
  <c r="Y240" i="33"/>
  <c r="V350" i="33"/>
  <c r="V356" i="33" s="1"/>
  <c r="V339" i="33"/>
  <c r="T339" i="33"/>
  <c r="T350" i="33"/>
  <c r="T356" i="33" s="1"/>
  <c r="I350" i="33"/>
  <c r="I356" i="33" s="1"/>
  <c r="I339" i="33"/>
  <c r="N313" i="33"/>
  <c r="N303" i="33"/>
  <c r="AB339" i="33"/>
  <c r="AB350" i="33"/>
  <c r="AB356" i="33" s="1"/>
  <c r="X243" i="33"/>
  <c r="X240" i="33"/>
  <c r="S339" i="33"/>
  <c r="S350" i="33"/>
  <c r="S356" i="33" s="1"/>
  <c r="AB243" i="33"/>
  <c r="AB240" i="33"/>
  <c r="V313" i="33"/>
  <c r="V303" i="33"/>
  <c r="V243" i="33"/>
  <c r="V240" i="33"/>
  <c r="O243" i="33"/>
  <c r="O240" i="33"/>
  <c r="W313" i="33"/>
  <c r="W303" i="33"/>
  <c r="P313" i="33"/>
  <c r="P303" i="33"/>
  <c r="S313" i="33"/>
  <c r="S303" i="33"/>
  <c r="H339" i="33"/>
  <c r="H350" i="33"/>
  <c r="H356" i="33" s="1"/>
  <c r="L243" i="33"/>
  <c r="L240" i="33"/>
  <c r="AM14" i="11"/>
  <c r="F39" i="22" s="1"/>
  <c r="BA14" i="11"/>
  <c r="T39" i="22" s="1"/>
  <c r="AL14" i="11"/>
  <c r="E39" i="22" s="1"/>
  <c r="BD14" i="11"/>
  <c r="W39" i="22" s="1"/>
  <c r="AS14" i="11"/>
  <c r="L39" i="22" s="1"/>
  <c r="BI14" i="11"/>
  <c r="AB39" i="22" s="1"/>
  <c r="AX14" i="11"/>
  <c r="Q39" i="22" s="1"/>
  <c r="BF14" i="11"/>
  <c r="Y39" i="22" s="1"/>
  <c r="BK14" i="11"/>
  <c r="AD39" i="22" s="1"/>
  <c r="BG14" i="11"/>
  <c r="Z39" i="22" s="1"/>
  <c r="AU14" i="11"/>
  <c r="N39" i="22" s="1"/>
  <c r="AZ14" i="11"/>
  <c r="S39" i="22" s="1"/>
  <c r="AN14" i="11"/>
  <c r="G39" i="22" s="1"/>
  <c r="AY14" i="11"/>
  <c r="R39" i="22" s="1"/>
  <c r="S53" i="22" s="1"/>
  <c r="U53" i="22" s="1"/>
  <c r="BE14" i="11"/>
  <c r="X39" i="22" s="1"/>
  <c r="AV14" i="11"/>
  <c r="O39" i="22" s="1"/>
  <c r="BC14" i="11"/>
  <c r="V39" i="22" s="1"/>
  <c r="BL14" i="11"/>
  <c r="AE39" i="22" s="1"/>
  <c r="AQ14" i="11"/>
  <c r="J39" i="22" s="1"/>
  <c r="AP14" i="11"/>
  <c r="I39" i="22" s="1"/>
  <c r="BB14" i="11"/>
  <c r="U39" i="22" s="1"/>
  <c r="AT14" i="11"/>
  <c r="M39" i="22" s="1"/>
  <c r="BJ14" i="11"/>
  <c r="AC39" i="22" s="1"/>
  <c r="AR14" i="11"/>
  <c r="K39" i="22" s="1"/>
  <c r="J66" i="29"/>
  <c r="G46" i="22"/>
  <c r="M67" i="29" l="1"/>
  <c r="H30" i="29"/>
  <c r="AK30" i="29" s="1"/>
  <c r="E87" i="38"/>
  <c r="E94" i="38"/>
  <c r="E61" i="38"/>
  <c r="E54" i="38"/>
  <c r="H31" i="29"/>
  <c r="AK31" i="29" s="1"/>
  <c r="N67" i="29"/>
  <c r="H27" i="29"/>
  <c r="AK27" i="29" s="1"/>
  <c r="J67" i="29"/>
  <c r="L67" i="29"/>
  <c r="H29" i="29"/>
  <c r="AK29" i="29" s="1"/>
  <c r="H28" i="29"/>
  <c r="AK28" i="29" s="1"/>
  <c r="K67" i="29"/>
  <c r="E46" i="22"/>
  <c r="H59" i="29" s="1"/>
  <c r="Y96" i="12"/>
  <c r="Y151" i="12" s="1"/>
  <c r="AA86" i="12"/>
  <c r="AA141" i="12" s="1"/>
  <c r="Q86" i="12"/>
  <c r="Q141" i="12" s="1"/>
  <c r="U86" i="12"/>
  <c r="U141" i="12" s="1"/>
  <c r="N96" i="12"/>
  <c r="N151" i="12" s="1"/>
  <c r="Q96" i="12"/>
  <c r="Q151" i="12" s="1"/>
  <c r="K86" i="12"/>
  <c r="K141" i="12" s="1"/>
  <c r="N86" i="12"/>
  <c r="N141" i="12" s="1"/>
  <c r="AI86" i="12"/>
  <c r="AI141" i="12" s="1"/>
  <c r="R86" i="12"/>
  <c r="R141" i="12" s="1"/>
  <c r="V86" i="12"/>
  <c r="V141" i="12" s="1"/>
  <c r="AA96" i="12"/>
  <c r="AA151" i="12" s="1"/>
  <c r="O86" i="12"/>
  <c r="O141" i="12" s="1"/>
  <c r="I96" i="12"/>
  <c r="I151" i="12" s="1"/>
  <c r="P86" i="12"/>
  <c r="P141" i="12" s="1"/>
  <c r="M96" i="12"/>
  <c r="M151" i="12" s="1"/>
  <c r="AD96" i="12"/>
  <c r="AD151" i="12" s="1"/>
  <c r="AB96" i="12"/>
  <c r="AB151" i="12" s="1"/>
  <c r="AF86" i="12"/>
  <c r="AF141" i="12" s="1"/>
  <c r="Y86" i="12"/>
  <c r="Y141" i="12" s="1"/>
  <c r="AE96" i="12"/>
  <c r="AE151" i="12" s="1"/>
  <c r="X86" i="12"/>
  <c r="X141" i="12" s="1"/>
  <c r="H86" i="12"/>
  <c r="H141" i="12" s="1"/>
  <c r="J86" i="12"/>
  <c r="J141" i="12" s="1"/>
  <c r="M86" i="12"/>
  <c r="M141" i="12" s="1"/>
  <c r="S96" i="12"/>
  <c r="S151" i="12" s="1"/>
  <c r="AH86" i="12"/>
  <c r="AH141" i="12" s="1"/>
  <c r="I86" i="12"/>
  <c r="I141" i="12" s="1"/>
  <c r="S86" i="12"/>
  <c r="S141" i="12" s="1"/>
  <c r="X96" i="12"/>
  <c r="X151" i="12" s="1"/>
  <c r="O96" i="12"/>
  <c r="O151" i="12" s="1"/>
  <c r="AB86" i="12"/>
  <c r="AB141" i="12" s="1"/>
  <c r="AH96" i="12"/>
  <c r="AH151" i="12" s="1"/>
  <c r="AI96" i="12"/>
  <c r="AI151" i="12" s="1"/>
  <c r="AG86" i="12"/>
  <c r="AG141" i="12" s="1"/>
  <c r="AE86" i="12"/>
  <c r="AE141" i="12" s="1"/>
  <c r="Z96" i="12"/>
  <c r="Z151" i="12" s="1"/>
  <c r="V96" i="12"/>
  <c r="V151" i="12" s="1"/>
  <c r="AF96" i="12"/>
  <c r="AF151" i="12" s="1"/>
  <c r="Z86" i="12"/>
  <c r="Z141" i="12" s="1"/>
  <c r="W96" i="12"/>
  <c r="W151" i="12" s="1"/>
  <c r="J96" i="12"/>
  <c r="J151" i="12" s="1"/>
  <c r="T86" i="12"/>
  <c r="T141" i="12" s="1"/>
  <c r="U96" i="12"/>
  <c r="U151" i="12" s="1"/>
  <c r="T96" i="12"/>
  <c r="T151" i="12" s="1"/>
  <c r="AC96" i="12"/>
  <c r="AC151" i="12" s="1"/>
  <c r="AD86" i="12"/>
  <c r="AD141" i="12" s="1"/>
  <c r="K96" i="12"/>
  <c r="K151" i="12" s="1"/>
  <c r="P96" i="12"/>
  <c r="P151" i="12" s="1"/>
  <c r="L86" i="12"/>
  <c r="L141" i="12" s="1"/>
  <c r="R96" i="12"/>
  <c r="R151" i="12" s="1"/>
  <c r="W86" i="12"/>
  <c r="W141" i="12" s="1"/>
  <c r="AC86" i="12"/>
  <c r="AC141" i="12" s="1"/>
  <c r="L96" i="12"/>
  <c r="L151" i="12" s="1"/>
  <c r="AG96" i="12"/>
  <c r="AG151" i="12" s="1"/>
  <c r="X251" i="33"/>
  <c r="X248" i="33"/>
  <c r="Y251" i="33"/>
  <c r="Y248" i="33"/>
  <c r="U251" i="33"/>
  <c r="U248" i="33"/>
  <c r="J251" i="33"/>
  <c r="J248" i="33"/>
  <c r="M251" i="33"/>
  <c r="M248" i="33"/>
  <c r="N251" i="33"/>
  <c r="N248" i="33"/>
  <c r="AH251" i="33"/>
  <c r="AH248" i="33"/>
  <c r="Q251" i="33"/>
  <c r="Q248" i="33"/>
  <c r="O251" i="33"/>
  <c r="O248" i="33"/>
  <c r="W251" i="33"/>
  <c r="W248" i="33"/>
  <c r="G251" i="33"/>
  <c r="G248" i="33"/>
  <c r="AE251" i="33"/>
  <c r="AE248" i="33"/>
  <c r="I251" i="33"/>
  <c r="I248" i="33"/>
  <c r="L251" i="33"/>
  <c r="L248" i="33"/>
  <c r="V251" i="33"/>
  <c r="V248" i="33"/>
  <c r="AA251" i="33"/>
  <c r="AA248" i="33"/>
  <c r="AG251" i="33"/>
  <c r="AG248" i="33"/>
  <c r="H251" i="33"/>
  <c r="H248" i="33"/>
  <c r="R251" i="33"/>
  <c r="R248" i="33"/>
  <c r="AF251" i="33"/>
  <c r="AF248" i="33"/>
  <c r="S251" i="33"/>
  <c r="S248" i="33"/>
  <c r="AD251" i="33"/>
  <c r="AD248" i="33"/>
  <c r="AB251" i="33"/>
  <c r="AB248" i="33"/>
  <c r="AC251" i="33"/>
  <c r="AC248" i="33"/>
  <c r="K251" i="33"/>
  <c r="K248" i="33"/>
  <c r="Z251" i="33"/>
  <c r="Z248" i="33"/>
  <c r="P251" i="33"/>
  <c r="P248" i="33"/>
  <c r="T251" i="33"/>
  <c r="T248" i="33"/>
  <c r="K66" i="29"/>
  <c r="F53" i="22"/>
  <c r="E62" i="38" l="1"/>
  <c r="E55" i="38"/>
  <c r="E63" i="38" s="1"/>
  <c r="E88" i="38"/>
  <c r="E95" i="38"/>
  <c r="AA87" i="12"/>
  <c r="AA142" i="12" s="1"/>
  <c r="AG87" i="12"/>
  <c r="AG142" i="12" s="1"/>
  <c r="M87" i="12"/>
  <c r="M142" i="12" s="1"/>
  <c r="R87" i="12"/>
  <c r="R142" i="12" s="1"/>
  <c r="Z87" i="12"/>
  <c r="Z142" i="12" s="1"/>
  <c r="L87" i="12"/>
  <c r="L142" i="12" s="1"/>
  <c r="S87" i="12"/>
  <c r="S142" i="12" s="1"/>
  <c r="J87" i="12"/>
  <c r="J142" i="12" s="1"/>
  <c r="AI87" i="12"/>
  <c r="AI142" i="12" s="1"/>
  <c r="Y87" i="12"/>
  <c r="Y142" i="12" s="1"/>
  <c r="AD87" i="12"/>
  <c r="AD142" i="12" s="1"/>
  <c r="I87" i="12"/>
  <c r="I142" i="12" s="1"/>
  <c r="AF87" i="12"/>
  <c r="AF142" i="12" s="1"/>
  <c r="O87" i="12"/>
  <c r="O142" i="12" s="1"/>
  <c r="AC87" i="12"/>
  <c r="AC142" i="12" s="1"/>
  <c r="AH87" i="12"/>
  <c r="AH142" i="12" s="1"/>
  <c r="H87" i="12"/>
  <c r="H142" i="12" s="1"/>
  <c r="N87" i="12"/>
  <c r="N142" i="12" s="1"/>
  <c r="U87" i="12"/>
  <c r="U142" i="12" s="1"/>
  <c r="AE87" i="12"/>
  <c r="AE142" i="12" s="1"/>
  <c r="AB87" i="12"/>
  <c r="AB142" i="12" s="1"/>
  <c r="X87" i="12"/>
  <c r="X142" i="12" s="1"/>
  <c r="K87" i="12"/>
  <c r="K142" i="12" s="1"/>
  <c r="Q87" i="12"/>
  <c r="Q142" i="12" s="1"/>
  <c r="T87" i="12"/>
  <c r="T142" i="12" s="1"/>
  <c r="W87" i="12"/>
  <c r="W142" i="12" s="1"/>
  <c r="P87" i="12"/>
  <c r="P142" i="12" s="1"/>
  <c r="V87" i="12"/>
  <c r="V142" i="12" s="1"/>
  <c r="AC281" i="33"/>
  <c r="AC257" i="33"/>
  <c r="H281" i="33"/>
  <c r="H257" i="33"/>
  <c r="AE281" i="33"/>
  <c r="AE257" i="33"/>
  <c r="N281" i="33"/>
  <c r="N257" i="33"/>
  <c r="AB281" i="33"/>
  <c r="AB257" i="33"/>
  <c r="AG281" i="33"/>
  <c r="AG257" i="33"/>
  <c r="G281" i="33"/>
  <c r="G257" i="33"/>
  <c r="M281" i="33"/>
  <c r="M257" i="33"/>
  <c r="T281" i="33"/>
  <c r="T257" i="33"/>
  <c r="AD281" i="33"/>
  <c r="AD257" i="33"/>
  <c r="AA281" i="33"/>
  <c r="AA257" i="33"/>
  <c r="W281" i="33"/>
  <c r="W257" i="33"/>
  <c r="J281" i="33"/>
  <c r="J257" i="33"/>
  <c r="P281" i="33"/>
  <c r="P257" i="33"/>
  <c r="S281" i="33"/>
  <c r="S257" i="33"/>
  <c r="V281" i="33"/>
  <c r="V257" i="33"/>
  <c r="O281" i="33"/>
  <c r="O257" i="33"/>
  <c r="U281" i="33"/>
  <c r="U257" i="33"/>
  <c r="Z281" i="33"/>
  <c r="Z257" i="33"/>
  <c r="AF281" i="33"/>
  <c r="AF257" i="33"/>
  <c r="L281" i="33"/>
  <c r="L257" i="33"/>
  <c r="Q281" i="33"/>
  <c r="Q257" i="33"/>
  <c r="Y281" i="33"/>
  <c r="Y257" i="33"/>
  <c r="K281" i="33"/>
  <c r="K257" i="33"/>
  <c r="R281" i="33"/>
  <c r="R257" i="33"/>
  <c r="I281" i="33"/>
  <c r="I257" i="33"/>
  <c r="AH281" i="33"/>
  <c r="AH257" i="33"/>
  <c r="X281" i="33"/>
  <c r="X257" i="33"/>
  <c r="L66" i="29"/>
  <c r="G53" i="22"/>
  <c r="E96" i="38" l="1"/>
  <c r="E89" i="38"/>
  <c r="E97" i="38" s="1"/>
  <c r="I88" i="12"/>
  <c r="I143" i="12" s="1"/>
  <c r="AD88" i="12"/>
  <c r="AD143" i="12" s="1"/>
  <c r="Q88" i="12"/>
  <c r="Q143" i="12" s="1"/>
  <c r="L88" i="12"/>
  <c r="L143" i="12" s="1"/>
  <c r="X88" i="12"/>
  <c r="X143" i="12" s="1"/>
  <c r="AH88" i="12"/>
  <c r="AH143" i="12" s="1"/>
  <c r="N88" i="12"/>
  <c r="N143" i="12" s="1"/>
  <c r="V88" i="12"/>
  <c r="V143" i="12" s="1"/>
  <c r="S88" i="12"/>
  <c r="S143" i="12" s="1"/>
  <c r="Z88" i="12"/>
  <c r="Z143" i="12" s="1"/>
  <c r="P88" i="12"/>
  <c r="P143" i="12" s="1"/>
  <c r="AC88" i="12"/>
  <c r="AC143" i="12" s="1"/>
  <c r="H88" i="12"/>
  <c r="H143" i="12" s="1"/>
  <c r="AB88" i="12"/>
  <c r="AB143" i="12" s="1"/>
  <c r="J88" i="12"/>
  <c r="J143" i="12" s="1"/>
  <c r="AA88" i="12"/>
  <c r="AA143" i="12" s="1"/>
  <c r="Y88" i="12"/>
  <c r="Y143" i="12" s="1"/>
  <c r="W88" i="12"/>
  <c r="W143" i="12" s="1"/>
  <c r="AE88" i="12"/>
  <c r="AE143" i="12" s="1"/>
  <c r="O88" i="12"/>
  <c r="O143" i="12" s="1"/>
  <c r="K88" i="12"/>
  <c r="K143" i="12" s="1"/>
  <c r="R88" i="12"/>
  <c r="R143" i="12" s="1"/>
  <c r="AG88" i="12"/>
  <c r="AG143" i="12" s="1"/>
  <c r="AI88" i="12"/>
  <c r="AI143" i="12" s="1"/>
  <c r="M88" i="12"/>
  <c r="M143" i="12" s="1"/>
  <c r="T88" i="12"/>
  <c r="T143" i="12" s="1"/>
  <c r="U88" i="12"/>
  <c r="U143" i="12" s="1"/>
  <c r="AF88" i="12"/>
  <c r="AF143" i="12" s="1"/>
  <c r="K286" i="33"/>
  <c r="K289" i="33"/>
  <c r="K311" i="33"/>
  <c r="K316" i="33" s="1"/>
  <c r="U286" i="33"/>
  <c r="U289" i="33"/>
  <c r="U311" i="33"/>
  <c r="U316" i="33" s="1"/>
  <c r="W286" i="33"/>
  <c r="W289" i="33"/>
  <c r="W311" i="33"/>
  <c r="W316" i="33" s="1"/>
  <c r="AG286" i="33"/>
  <c r="AG289" i="33"/>
  <c r="AG311" i="33"/>
  <c r="AG316" i="33" s="1"/>
  <c r="Y286" i="33"/>
  <c r="Y289" i="33"/>
  <c r="Y311" i="33"/>
  <c r="Y316" i="33" s="1"/>
  <c r="O286" i="33"/>
  <c r="O289" i="33"/>
  <c r="O311" i="33"/>
  <c r="O316" i="33" s="1"/>
  <c r="AA286" i="33"/>
  <c r="AA311" i="33"/>
  <c r="AA316" i="33" s="1"/>
  <c r="AA289" i="33"/>
  <c r="AB286" i="33"/>
  <c r="AB311" i="33"/>
  <c r="AB316" i="33" s="1"/>
  <c r="AB289" i="33"/>
  <c r="X286" i="33"/>
  <c r="X311" i="33"/>
  <c r="X316" i="33" s="1"/>
  <c r="X289" i="33"/>
  <c r="Q286" i="33"/>
  <c r="Q289" i="33"/>
  <c r="Q311" i="33"/>
  <c r="Q316" i="33" s="1"/>
  <c r="V286" i="33"/>
  <c r="V289" i="33"/>
  <c r="V311" i="33"/>
  <c r="V316" i="33" s="1"/>
  <c r="AD286" i="33"/>
  <c r="AD289" i="33"/>
  <c r="AD311" i="33"/>
  <c r="AD316" i="33" s="1"/>
  <c r="N286" i="33"/>
  <c r="N311" i="33"/>
  <c r="N316" i="33" s="1"/>
  <c r="N289" i="33"/>
  <c r="AH286" i="33"/>
  <c r="AH289" i="33"/>
  <c r="AH311" i="33"/>
  <c r="AH316" i="33" s="1"/>
  <c r="L286" i="33"/>
  <c r="L311" i="33"/>
  <c r="L316" i="33" s="1"/>
  <c r="L289" i="33"/>
  <c r="S286" i="33"/>
  <c r="S311" i="33"/>
  <c r="S316" i="33" s="1"/>
  <c r="S289" i="33"/>
  <c r="T286" i="33"/>
  <c r="T311" i="33"/>
  <c r="T316" i="33" s="1"/>
  <c r="T289" i="33"/>
  <c r="AE286" i="33"/>
  <c r="AE311" i="33"/>
  <c r="AE316" i="33" s="1"/>
  <c r="AE289" i="33"/>
  <c r="I286" i="33"/>
  <c r="I289" i="33"/>
  <c r="I311" i="33"/>
  <c r="I316" i="33" s="1"/>
  <c r="AF286" i="33"/>
  <c r="AF289" i="33"/>
  <c r="AF311" i="33"/>
  <c r="AF316" i="33" s="1"/>
  <c r="P286" i="33"/>
  <c r="P289" i="33"/>
  <c r="P311" i="33"/>
  <c r="P316" i="33" s="1"/>
  <c r="M286" i="33"/>
  <c r="M311" i="33"/>
  <c r="M316" i="33" s="1"/>
  <c r="M289" i="33"/>
  <c r="H286" i="33"/>
  <c r="H311" i="33"/>
  <c r="H316" i="33" s="1"/>
  <c r="H289" i="33"/>
  <c r="R286" i="33"/>
  <c r="R311" i="33"/>
  <c r="R316" i="33" s="1"/>
  <c r="R289" i="33"/>
  <c r="Z286" i="33"/>
  <c r="Z289" i="33"/>
  <c r="Z311" i="33"/>
  <c r="Z316" i="33" s="1"/>
  <c r="J286" i="33"/>
  <c r="J289" i="33"/>
  <c r="J311" i="33"/>
  <c r="J316" i="33" s="1"/>
  <c r="G286" i="33"/>
  <c r="G311" i="33"/>
  <c r="G316" i="33" s="1"/>
  <c r="G289" i="33"/>
  <c r="AC286" i="33"/>
  <c r="AC311" i="33"/>
  <c r="AC316" i="33" s="1"/>
  <c r="AC289" i="33"/>
  <c r="M66" i="29"/>
  <c r="S98" i="12" l="1"/>
  <c r="S153" i="12" s="1"/>
  <c r="T98" i="12"/>
  <c r="T153" i="12" s="1"/>
  <c r="AC98" i="12"/>
  <c r="AC153" i="12" s="1"/>
  <c r="AH93" i="12"/>
  <c r="AH148" i="12" s="1"/>
  <c r="J98" i="12"/>
  <c r="J153" i="12" s="1"/>
  <c r="W98" i="12"/>
  <c r="W153" i="12" s="1"/>
  <c r="X98" i="12"/>
  <c r="X153" i="12" s="1"/>
  <c r="S93" i="12"/>
  <c r="S148" i="12" s="1"/>
  <c r="AB98" i="12"/>
  <c r="AB153" i="12" s="1"/>
  <c r="I98" i="12"/>
  <c r="I153" i="12" s="1"/>
  <c r="J93" i="12"/>
  <c r="J148" i="12" s="1"/>
  <c r="W93" i="12"/>
  <c r="W148" i="12" s="1"/>
  <c r="AB93" i="12"/>
  <c r="AB148" i="12" s="1"/>
  <c r="X93" i="12"/>
  <c r="X148" i="12" s="1"/>
  <c r="AE93" i="12"/>
  <c r="AE148" i="12" s="1"/>
  <c r="I93" i="12"/>
  <c r="I148" i="12" s="1"/>
  <c r="K98" i="12"/>
  <c r="K153" i="12" s="1"/>
  <c r="AI98" i="12"/>
  <c r="AI153" i="12" s="1"/>
  <c r="R98" i="12"/>
  <c r="R153" i="12" s="1"/>
  <c r="P98" i="12"/>
  <c r="P153" i="12" s="1"/>
  <c r="V98" i="12"/>
  <c r="V153" i="12" s="1"/>
  <c r="H98" i="12"/>
  <c r="H153" i="12" s="1"/>
  <c r="M93" i="12"/>
  <c r="M148" i="12" s="1"/>
  <c r="N98" i="12"/>
  <c r="N153" i="12" s="1"/>
  <c r="AF98" i="12"/>
  <c r="AF153" i="12" s="1"/>
  <c r="AG93" i="12"/>
  <c r="AG148" i="12" s="1"/>
  <c r="N93" i="12"/>
  <c r="N148" i="12" s="1"/>
  <c r="AI93" i="12"/>
  <c r="AI148" i="12" s="1"/>
  <c r="R93" i="12"/>
  <c r="R148" i="12" s="1"/>
  <c r="P93" i="12"/>
  <c r="P148" i="12" s="1"/>
  <c r="V93" i="12"/>
  <c r="V148" i="12" s="1"/>
  <c r="T93" i="12"/>
  <c r="T148" i="12" s="1"/>
  <c r="AF93" i="12"/>
  <c r="AF148" i="12" s="1"/>
  <c r="Q98" i="12"/>
  <c r="Q153" i="12" s="1"/>
  <c r="Z98" i="12"/>
  <c r="Z153" i="12" s="1"/>
  <c r="L98" i="12"/>
  <c r="L153" i="12" s="1"/>
  <c r="AD93" i="12"/>
  <c r="AD148" i="12" s="1"/>
  <c r="K93" i="12"/>
  <c r="K148" i="12" s="1"/>
  <c r="AA98" i="12"/>
  <c r="AA153" i="12" s="1"/>
  <c r="U98" i="12"/>
  <c r="U153" i="12" s="1"/>
  <c r="O98" i="12"/>
  <c r="O153" i="12" s="1"/>
  <c r="Y98" i="12"/>
  <c r="Y153" i="12" s="1"/>
  <c r="AC93" i="12"/>
  <c r="AC148" i="12" s="1"/>
  <c r="H93" i="12"/>
  <c r="H148" i="12" s="1"/>
  <c r="Q93" i="12"/>
  <c r="Q148" i="12" s="1"/>
  <c r="U93" i="12"/>
  <c r="U148" i="12" s="1"/>
  <c r="O93" i="12"/>
  <c r="O148" i="12" s="1"/>
  <c r="Y93" i="12"/>
  <c r="Y148" i="12" s="1"/>
  <c r="Z93" i="12"/>
  <c r="Z148" i="12" s="1"/>
  <c r="L93" i="12"/>
  <c r="L148" i="12" s="1"/>
  <c r="AD98" i="12"/>
  <c r="AD153" i="12" s="1"/>
  <c r="M98" i="12"/>
  <c r="M153" i="12" s="1"/>
  <c r="AA93" i="12"/>
  <c r="AA148" i="12" s="1"/>
  <c r="AG98" i="12"/>
  <c r="AG153" i="12" s="1"/>
  <c r="AE98" i="12"/>
  <c r="AE153" i="12" s="1"/>
  <c r="AH98" i="12"/>
  <c r="AH153" i="12" s="1"/>
  <c r="AC295" i="33"/>
  <c r="AC319" i="33"/>
  <c r="AC305" i="33"/>
  <c r="AC309" i="33" s="1"/>
  <c r="R295" i="33"/>
  <c r="R319" i="33"/>
  <c r="R305" i="33"/>
  <c r="R309" i="33" s="1"/>
  <c r="S295" i="33"/>
  <c r="S319" i="33"/>
  <c r="S305" i="33"/>
  <c r="S309" i="33" s="1"/>
  <c r="AB295" i="33"/>
  <c r="AB305" i="33"/>
  <c r="AB309" i="33" s="1"/>
  <c r="AB319" i="33"/>
  <c r="AF295" i="33"/>
  <c r="AF305" i="33"/>
  <c r="AF309" i="33" s="1"/>
  <c r="AF319" i="33"/>
  <c r="AD295" i="33"/>
  <c r="AD305" i="33"/>
  <c r="AD309" i="33" s="1"/>
  <c r="AD319" i="33"/>
  <c r="AG295" i="33"/>
  <c r="AG305" i="33"/>
  <c r="AG309" i="33" s="1"/>
  <c r="AG319" i="33"/>
  <c r="G295" i="33"/>
  <c r="G319" i="33"/>
  <c r="G305" i="33"/>
  <c r="G309" i="33" s="1"/>
  <c r="H295" i="33"/>
  <c r="H305" i="33"/>
  <c r="H309" i="33" s="1"/>
  <c r="H319" i="33"/>
  <c r="L295" i="33"/>
  <c r="L305" i="33"/>
  <c r="L309" i="33" s="1"/>
  <c r="L319" i="33"/>
  <c r="AA295" i="33"/>
  <c r="AA305" i="33"/>
  <c r="AA309" i="33" s="1"/>
  <c r="AA319" i="33"/>
  <c r="I295" i="33"/>
  <c r="I319" i="33"/>
  <c r="I305" i="33"/>
  <c r="I309" i="33" s="1"/>
  <c r="V295" i="33"/>
  <c r="V305" i="33"/>
  <c r="V309" i="33" s="1"/>
  <c r="V319" i="33"/>
  <c r="W295" i="33"/>
  <c r="W305" i="33"/>
  <c r="W309" i="33" s="1"/>
  <c r="W319" i="33"/>
  <c r="M295" i="33"/>
  <c r="M319" i="33"/>
  <c r="M305" i="33"/>
  <c r="M309" i="33" s="1"/>
  <c r="AE295" i="33"/>
  <c r="AE305" i="33"/>
  <c r="AE309" i="33" s="1"/>
  <c r="AE319" i="33"/>
  <c r="J295" i="33"/>
  <c r="J305" i="33"/>
  <c r="J309" i="33" s="1"/>
  <c r="J319" i="33"/>
  <c r="AH295" i="33"/>
  <c r="AH319" i="33"/>
  <c r="AH305" i="33"/>
  <c r="AH309" i="33" s="1"/>
  <c r="Q295" i="33"/>
  <c r="Q305" i="33"/>
  <c r="Q309" i="33" s="1"/>
  <c r="Q319" i="33"/>
  <c r="O295" i="33"/>
  <c r="O305" i="33"/>
  <c r="O309" i="33" s="1"/>
  <c r="O319" i="33"/>
  <c r="U295" i="33"/>
  <c r="U319" i="33"/>
  <c r="U305" i="33"/>
  <c r="U309" i="33" s="1"/>
  <c r="T295" i="33"/>
  <c r="T305" i="33"/>
  <c r="T309" i="33" s="1"/>
  <c r="T319" i="33"/>
  <c r="N295" i="33"/>
  <c r="N319" i="33"/>
  <c r="N305" i="33"/>
  <c r="N309" i="33" s="1"/>
  <c r="X295" i="33"/>
  <c r="X305" i="33"/>
  <c r="X309" i="33" s="1"/>
  <c r="X319" i="33"/>
  <c r="Z295" i="33"/>
  <c r="Z305" i="33"/>
  <c r="Z309" i="33" s="1"/>
  <c r="Z319" i="33"/>
  <c r="P295" i="33"/>
  <c r="P305" i="33"/>
  <c r="P309" i="33" s="1"/>
  <c r="P319" i="33"/>
  <c r="Y295" i="33"/>
  <c r="Y305" i="33"/>
  <c r="Y309" i="33" s="1"/>
  <c r="Y319" i="33"/>
  <c r="K295" i="33"/>
  <c r="K319" i="33"/>
  <c r="K305" i="33"/>
  <c r="K309" i="33" s="1"/>
  <c r="N66" i="29"/>
  <c r="L97" i="12" l="1"/>
  <c r="L152" i="12" s="1"/>
  <c r="J97" i="12"/>
  <c r="J152" i="12" s="1"/>
  <c r="H97" i="12"/>
  <c r="H152" i="12" s="1"/>
  <c r="Y97" i="12"/>
  <c r="Y152" i="12" s="1"/>
  <c r="P97" i="12"/>
  <c r="P152" i="12" s="1"/>
  <c r="AF97" i="12"/>
  <c r="AF152" i="12" s="1"/>
  <c r="AC97" i="12"/>
  <c r="AC152" i="12" s="1"/>
  <c r="J94" i="12"/>
  <c r="J149" i="12" s="1"/>
  <c r="AC94" i="12"/>
  <c r="AC149" i="12" s="1"/>
  <c r="L94" i="12"/>
  <c r="L149" i="12" s="1"/>
  <c r="N97" i="12"/>
  <c r="N152" i="12" s="1"/>
  <c r="T97" i="12"/>
  <c r="T152" i="12" s="1"/>
  <c r="O97" i="12"/>
  <c r="O152" i="12" s="1"/>
  <c r="R97" i="12"/>
  <c r="R152" i="12" s="1"/>
  <c r="AB97" i="12"/>
  <c r="AB152" i="12" s="1"/>
  <c r="AH97" i="12"/>
  <c r="AH152" i="12" s="1"/>
  <c r="H94" i="12"/>
  <c r="H149" i="12" s="1"/>
  <c r="Z94" i="12"/>
  <c r="Z149" i="12" s="1"/>
  <c r="R94" i="12"/>
  <c r="R149" i="12" s="1"/>
  <c r="AB94" i="12"/>
  <c r="AB149" i="12" s="1"/>
  <c r="AH94" i="12"/>
  <c r="AH149" i="12" s="1"/>
  <c r="T94" i="12"/>
  <c r="T149" i="12" s="1"/>
  <c r="Y94" i="12"/>
  <c r="Y149" i="12" s="1"/>
  <c r="Z97" i="12"/>
  <c r="Z152" i="12" s="1"/>
  <c r="O94" i="12"/>
  <c r="O149" i="12" s="1"/>
  <c r="N94" i="12"/>
  <c r="N149" i="12" s="1"/>
  <c r="AI97" i="12"/>
  <c r="AI152" i="12" s="1"/>
  <c r="S97" i="12"/>
  <c r="S152" i="12" s="1"/>
  <c r="P94" i="12"/>
  <c r="P149" i="12" s="1"/>
  <c r="X97" i="12"/>
  <c r="X152" i="12" s="1"/>
  <c r="M97" i="12"/>
  <c r="M152" i="12" s="1"/>
  <c r="AE97" i="12"/>
  <c r="AE152" i="12" s="1"/>
  <c r="AF94" i="12"/>
  <c r="AF149" i="12" s="1"/>
  <c r="Q94" i="12"/>
  <c r="Q149" i="12" s="1"/>
  <c r="X94" i="12"/>
  <c r="X149" i="12" s="1"/>
  <c r="M94" i="12"/>
  <c r="M149" i="12" s="1"/>
  <c r="AE94" i="12"/>
  <c r="AE149" i="12" s="1"/>
  <c r="S94" i="12"/>
  <c r="S149" i="12" s="1"/>
  <c r="U97" i="12"/>
  <c r="U152" i="12" s="1"/>
  <c r="AI94" i="12"/>
  <c r="AI149" i="12" s="1"/>
  <c r="V97" i="12"/>
  <c r="V152" i="12" s="1"/>
  <c r="AD97" i="12"/>
  <c r="AD152" i="12" s="1"/>
  <c r="Q97" i="12"/>
  <c r="Q152" i="12" s="1"/>
  <c r="U94" i="12"/>
  <c r="U149" i="12" s="1"/>
  <c r="AA97" i="12"/>
  <c r="AA152" i="12" s="1"/>
  <c r="K97" i="12"/>
  <c r="K152" i="12" s="1"/>
  <c r="W97" i="12"/>
  <c r="W152" i="12" s="1"/>
  <c r="I97" i="12"/>
  <c r="I152" i="12" s="1"/>
  <c r="AG97" i="12"/>
  <c r="AG152" i="12" s="1"/>
  <c r="AA94" i="12"/>
  <c r="AA149" i="12" s="1"/>
  <c r="V94" i="12"/>
  <c r="V149" i="12" s="1"/>
  <c r="K94" i="12"/>
  <c r="K149" i="12" s="1"/>
  <c r="W94" i="12"/>
  <c r="W149" i="12" s="1"/>
  <c r="I94" i="12"/>
  <c r="I149" i="12" s="1"/>
  <c r="AG94" i="12"/>
  <c r="AG149" i="12" s="1"/>
  <c r="AD94" i="12"/>
  <c r="AD149" i="12" s="1"/>
  <c r="K327" i="33"/>
  <c r="K324" i="33"/>
  <c r="I327" i="33"/>
  <c r="I324" i="33"/>
  <c r="G327" i="33"/>
  <c r="G324" i="33"/>
  <c r="Y327" i="33"/>
  <c r="Y324" i="33"/>
  <c r="Q327" i="33"/>
  <c r="Q324" i="33"/>
  <c r="AA327" i="33"/>
  <c r="AA324" i="33"/>
  <c r="AG327" i="33"/>
  <c r="AG324" i="33"/>
  <c r="N327" i="33"/>
  <c r="N324" i="33"/>
  <c r="M327" i="33"/>
  <c r="M324" i="33"/>
  <c r="S327" i="33"/>
  <c r="S324" i="33"/>
  <c r="P327" i="33"/>
  <c r="P324" i="33"/>
  <c r="T327" i="33"/>
  <c r="T324" i="33"/>
  <c r="W327" i="33"/>
  <c r="W324" i="33"/>
  <c r="L327" i="33"/>
  <c r="L324" i="33"/>
  <c r="AD327" i="33"/>
  <c r="AD324" i="33"/>
  <c r="AH327" i="33"/>
  <c r="AH324" i="33"/>
  <c r="R327" i="33"/>
  <c r="R324" i="33"/>
  <c r="AE327" i="33"/>
  <c r="AE324" i="33"/>
  <c r="AB327" i="33"/>
  <c r="AB324" i="33"/>
  <c r="Z327" i="33"/>
  <c r="Z324" i="33"/>
  <c r="J327" i="33"/>
  <c r="J324" i="33"/>
  <c r="V327" i="33"/>
  <c r="V324" i="33"/>
  <c r="H327" i="33"/>
  <c r="H324" i="33"/>
  <c r="AF327" i="33"/>
  <c r="AF324" i="33"/>
  <c r="O327" i="33"/>
  <c r="O324" i="33"/>
  <c r="U327" i="33"/>
  <c r="U324" i="33"/>
  <c r="AC327" i="33"/>
  <c r="AC324" i="33"/>
  <c r="X327" i="33"/>
  <c r="X324" i="33"/>
  <c r="AA99" i="12" l="1"/>
  <c r="AA154" i="12" s="1"/>
  <c r="Q99" i="12"/>
  <c r="Q154" i="12" s="1"/>
  <c r="R99" i="12"/>
  <c r="R154" i="12" s="1"/>
  <c r="Y99" i="12"/>
  <c r="Y154" i="12" s="1"/>
  <c r="T99" i="12"/>
  <c r="T154" i="12" s="1"/>
  <c r="Z99" i="12"/>
  <c r="Z154" i="12" s="1"/>
  <c r="I99" i="12"/>
  <c r="I154" i="12" s="1"/>
  <c r="AI99" i="12"/>
  <c r="AI154" i="12" s="1"/>
  <c r="W99" i="12"/>
  <c r="W154" i="12" s="1"/>
  <c r="K99" i="12"/>
  <c r="K154" i="12" s="1"/>
  <c r="AE99" i="12"/>
  <c r="AE154" i="12" s="1"/>
  <c r="N99" i="12"/>
  <c r="N154" i="12" s="1"/>
  <c r="H99" i="12"/>
  <c r="H154" i="12" s="1"/>
  <c r="S99" i="12"/>
  <c r="S154" i="12" s="1"/>
  <c r="AD99" i="12"/>
  <c r="AD154" i="12" s="1"/>
  <c r="M99" i="12"/>
  <c r="M154" i="12" s="1"/>
  <c r="J99" i="12"/>
  <c r="J154" i="12" s="1"/>
  <c r="O99" i="12"/>
  <c r="O154" i="12" s="1"/>
  <c r="V99" i="12"/>
  <c r="V154" i="12" s="1"/>
  <c r="P99" i="12"/>
  <c r="P154" i="12" s="1"/>
  <c r="X99" i="12"/>
  <c r="X154" i="12" s="1"/>
  <c r="AH99" i="12"/>
  <c r="AH154" i="12" s="1"/>
  <c r="L99" i="12"/>
  <c r="L154" i="12" s="1"/>
  <c r="AC99" i="12"/>
  <c r="AC154" i="12" s="1"/>
  <c r="AG99" i="12"/>
  <c r="AG154" i="12" s="1"/>
  <c r="AF99" i="12"/>
  <c r="AF154" i="12" s="1"/>
  <c r="U99" i="12"/>
  <c r="U154" i="12" s="1"/>
  <c r="AB99" i="12"/>
  <c r="AB154" i="12" s="1"/>
  <c r="AF343" i="33"/>
  <c r="AF348" i="33" s="1"/>
  <c r="AF354" i="33" s="1"/>
  <c r="AF333" i="33"/>
  <c r="AE343" i="33"/>
  <c r="AE348" i="33" s="1"/>
  <c r="AE354" i="33" s="1"/>
  <c r="AE333" i="33"/>
  <c r="T343" i="33"/>
  <c r="T348" i="33" s="1"/>
  <c r="T354" i="33" s="1"/>
  <c r="T333" i="33"/>
  <c r="AA343" i="33"/>
  <c r="AA348" i="33" s="1"/>
  <c r="AA354" i="33" s="1"/>
  <c r="AA333" i="33"/>
  <c r="H343" i="33"/>
  <c r="H348" i="33" s="1"/>
  <c r="H354" i="33" s="1"/>
  <c r="H333" i="33"/>
  <c r="R343" i="33"/>
  <c r="R348" i="33" s="1"/>
  <c r="R354" i="33" s="1"/>
  <c r="R333" i="33"/>
  <c r="P343" i="33"/>
  <c r="P348" i="33" s="1"/>
  <c r="P354" i="33" s="1"/>
  <c r="P333" i="33"/>
  <c r="Q343" i="33"/>
  <c r="Q348" i="33" s="1"/>
  <c r="Q354" i="33" s="1"/>
  <c r="Q333" i="33"/>
  <c r="X343" i="33"/>
  <c r="X348" i="33" s="1"/>
  <c r="X354" i="33" s="1"/>
  <c r="X333" i="33"/>
  <c r="V343" i="33"/>
  <c r="V348" i="33" s="1"/>
  <c r="V354" i="33" s="1"/>
  <c r="V333" i="33"/>
  <c r="AH343" i="33"/>
  <c r="AH348" i="33" s="1"/>
  <c r="AH354" i="33" s="1"/>
  <c r="AH333" i="33"/>
  <c r="S343" i="33"/>
  <c r="S348" i="33" s="1"/>
  <c r="S354" i="33" s="1"/>
  <c r="S333" i="33"/>
  <c r="Y343" i="33"/>
  <c r="Y348" i="33" s="1"/>
  <c r="Y354" i="33" s="1"/>
  <c r="Y333" i="33"/>
  <c r="AC343" i="33"/>
  <c r="AC348" i="33" s="1"/>
  <c r="AC354" i="33" s="1"/>
  <c r="AC333" i="33"/>
  <c r="J343" i="33"/>
  <c r="J348" i="33" s="1"/>
  <c r="J354" i="33" s="1"/>
  <c r="J333" i="33"/>
  <c r="AD343" i="33"/>
  <c r="AD348" i="33" s="1"/>
  <c r="AD354" i="33" s="1"/>
  <c r="AD333" i="33"/>
  <c r="M343" i="33"/>
  <c r="M348" i="33" s="1"/>
  <c r="M354" i="33" s="1"/>
  <c r="M333" i="33"/>
  <c r="G343" i="33"/>
  <c r="G348" i="33" s="1"/>
  <c r="G354" i="33" s="1"/>
  <c r="G333" i="33"/>
  <c r="U343" i="33"/>
  <c r="U348" i="33" s="1"/>
  <c r="U354" i="33" s="1"/>
  <c r="U333" i="33"/>
  <c r="Z343" i="33"/>
  <c r="Z348" i="33" s="1"/>
  <c r="Z354" i="33" s="1"/>
  <c r="Z333" i="33"/>
  <c r="L343" i="33"/>
  <c r="L348" i="33" s="1"/>
  <c r="L354" i="33" s="1"/>
  <c r="L333" i="33"/>
  <c r="N343" i="33"/>
  <c r="N348" i="33" s="1"/>
  <c r="N354" i="33" s="1"/>
  <c r="N333" i="33"/>
  <c r="I343" i="33"/>
  <c r="I348" i="33" s="1"/>
  <c r="I354" i="33" s="1"/>
  <c r="I333" i="33"/>
  <c r="O343" i="33"/>
  <c r="O348" i="33" s="1"/>
  <c r="O354" i="33" s="1"/>
  <c r="O333" i="33"/>
  <c r="AB343" i="33"/>
  <c r="AB348" i="33" s="1"/>
  <c r="AB354" i="33" s="1"/>
  <c r="AB333" i="33"/>
  <c r="W343" i="33"/>
  <c r="W348" i="33" s="1"/>
  <c r="W354" i="33" s="1"/>
  <c r="W333" i="33"/>
  <c r="AG343" i="33"/>
  <c r="AG348" i="33" s="1"/>
  <c r="AG354" i="33" s="1"/>
  <c r="AG333" i="33"/>
  <c r="K343" i="33"/>
  <c r="K348" i="33" s="1"/>
  <c r="K354" i="33" s="1"/>
  <c r="K333" i="33"/>
  <c r="T100" i="12" l="1"/>
  <c r="T155" i="12" s="1"/>
  <c r="S100" i="12"/>
  <c r="S155" i="12" s="1"/>
  <c r="P100" i="12"/>
  <c r="P155" i="12" s="1"/>
  <c r="AE100" i="12"/>
  <c r="AE155" i="12" s="1"/>
  <c r="AB100" i="12"/>
  <c r="AB155" i="12" s="1"/>
  <c r="O100" i="12"/>
  <c r="O155" i="12" s="1"/>
  <c r="W100" i="12"/>
  <c r="W155" i="12" s="1"/>
  <c r="AI100" i="12"/>
  <c r="AI155" i="12" s="1"/>
  <c r="Y100" i="12"/>
  <c r="Y155" i="12" s="1"/>
  <c r="N100" i="12"/>
  <c r="N155" i="12" s="1"/>
  <c r="K100" i="12"/>
  <c r="K155" i="12" s="1"/>
  <c r="U100" i="12"/>
  <c r="U155" i="12" s="1"/>
  <c r="H100" i="12"/>
  <c r="H155" i="12" s="1"/>
  <c r="M100" i="12"/>
  <c r="M155" i="12" s="1"/>
  <c r="AD100" i="12"/>
  <c r="AD155" i="12" s="1"/>
  <c r="AF100" i="12"/>
  <c r="AF155" i="12" s="1"/>
  <c r="L100" i="12"/>
  <c r="L155" i="12" s="1"/>
  <c r="AA100" i="12"/>
  <c r="AA155" i="12" s="1"/>
  <c r="R100" i="12"/>
  <c r="R155" i="12" s="1"/>
  <c r="J100" i="12"/>
  <c r="J155" i="12" s="1"/>
  <c r="AH100" i="12"/>
  <c r="AH155" i="12" s="1"/>
  <c r="AC100" i="12"/>
  <c r="AC155" i="12" s="1"/>
  <c r="V100" i="12"/>
  <c r="V155" i="12" s="1"/>
  <c r="Q100" i="12"/>
  <c r="Q155" i="12" s="1"/>
  <c r="AG100" i="12"/>
  <c r="AG155" i="12" s="1"/>
  <c r="I100" i="12"/>
  <c r="I155" i="12" s="1"/>
  <c r="X100" i="12"/>
  <c r="X155" i="12" s="1"/>
  <c r="Z100" i="12"/>
  <c r="Z155" i="12" s="1"/>
  <c r="O334" i="33"/>
  <c r="AA334" i="33"/>
  <c r="T334" i="33"/>
  <c r="N334" i="33"/>
  <c r="I334" i="33"/>
  <c r="L334" i="33"/>
  <c r="P334" i="33"/>
  <c r="AF334" i="33"/>
  <c r="K334" i="33"/>
  <c r="W334" i="33"/>
  <c r="Q334" i="33"/>
  <c r="AG334" i="33"/>
  <c r="AC334" i="33"/>
  <c r="G334" i="33"/>
  <c r="R334" i="33"/>
  <c r="J334" i="33"/>
  <c r="V334" i="33"/>
  <c r="AD334" i="33"/>
  <c r="X334" i="33"/>
  <c r="S334" i="33"/>
  <c r="T88" i="21" l="1"/>
  <c r="T143" i="21" s="1"/>
  <c r="Y88" i="21"/>
  <c r="Y143" i="21" s="1"/>
  <c r="W88" i="21"/>
  <c r="W143" i="21" s="1"/>
  <c r="AG88" i="21"/>
  <c r="AG143" i="21" s="1"/>
  <c r="K88" i="21"/>
  <c r="K143" i="21" s="1"/>
  <c r="O88" i="21"/>
  <c r="O143" i="21" s="1"/>
  <c r="Q88" i="21"/>
  <c r="Q143" i="21" s="1"/>
  <c r="AE88" i="21"/>
  <c r="AE143" i="21" s="1"/>
  <c r="U88" i="21"/>
  <c r="U143" i="21" s="1"/>
  <c r="AD88" i="21"/>
  <c r="AD143" i="21" s="1"/>
  <c r="P88" i="21"/>
  <c r="P143" i="21" s="1"/>
  <c r="S88" i="21"/>
  <c r="S143" i="21" s="1"/>
  <c r="M88" i="21"/>
  <c r="M143" i="21" s="1"/>
  <c r="H88" i="21"/>
  <c r="H143" i="21" s="1"/>
  <c r="AH88" i="21"/>
  <c r="AH143" i="21" s="1"/>
  <c r="R88" i="21"/>
  <c r="R143" i="21" s="1"/>
  <c r="L88" i="21"/>
  <c r="L143" i="21" s="1"/>
  <c r="J88" i="21"/>
  <c r="J143" i="21" s="1"/>
  <c r="AB88" i="21"/>
  <c r="AB143" i="21" s="1"/>
  <c r="X88" i="21"/>
  <c r="X143" i="21" s="1"/>
  <c r="Z334" i="33"/>
  <c r="H334" i="33"/>
  <c r="AE334" i="33"/>
  <c r="AB334" i="33"/>
  <c r="M334" i="33"/>
  <c r="Y337" i="33"/>
  <c r="T337" i="33"/>
  <c r="I337" i="33"/>
  <c r="U334" i="33"/>
  <c r="AH334" i="33"/>
  <c r="Y334" i="33"/>
  <c r="AI88" i="21" l="1"/>
  <c r="AI143" i="21" s="1"/>
  <c r="V88" i="21"/>
  <c r="V143" i="21" s="1"/>
  <c r="I88" i="21"/>
  <c r="I143" i="21" s="1"/>
  <c r="AA88" i="21"/>
  <c r="AA143" i="21" s="1"/>
  <c r="Z88" i="21"/>
  <c r="Z143" i="21" s="1"/>
  <c r="J89" i="21"/>
  <c r="J144" i="21" s="1"/>
  <c r="U89" i="21"/>
  <c r="U144" i="21" s="1"/>
  <c r="N88" i="21"/>
  <c r="N143" i="21" s="1"/>
  <c r="Z89" i="21"/>
  <c r="Z144" i="21" s="1"/>
  <c r="AC88" i="21"/>
  <c r="AC143" i="21" s="1"/>
  <c r="AF88" i="21"/>
  <c r="AF143" i="21" s="1"/>
  <c r="W337" i="33"/>
  <c r="X337" i="33"/>
  <c r="AG337" i="33"/>
  <c r="AE337" i="33"/>
  <c r="AF337" i="33"/>
  <c r="Z337" i="33"/>
  <c r="P337" i="33"/>
  <c r="N337" i="33"/>
  <c r="H337" i="33"/>
  <c r="G337" i="33"/>
  <c r="S337" i="33"/>
  <c r="K337" i="33"/>
  <c r="AD337" i="33"/>
  <c r="AC337" i="33"/>
  <c r="J337" i="33"/>
  <c r="AA337" i="33"/>
  <c r="R337" i="33"/>
  <c r="L337" i="33"/>
  <c r="AB337" i="33"/>
  <c r="M337" i="33"/>
  <c r="AH337" i="33"/>
  <c r="V337" i="33"/>
  <c r="O337" i="33"/>
  <c r="U337" i="33"/>
  <c r="Q337" i="33"/>
  <c r="N341" i="33"/>
  <c r="AG89" i="21" l="1"/>
  <c r="AG144" i="21" s="1"/>
  <c r="AF89" i="21"/>
  <c r="AF144" i="21" s="1"/>
  <c r="S89" i="21"/>
  <c r="S144" i="21" s="1"/>
  <c r="AB89" i="21"/>
  <c r="AB144" i="21" s="1"/>
  <c r="O90" i="21"/>
  <c r="O145" i="21" s="1"/>
  <c r="Y89" i="21"/>
  <c r="Y144" i="21" s="1"/>
  <c r="K89" i="21"/>
  <c r="K144" i="21" s="1"/>
  <c r="R89" i="21"/>
  <c r="R144" i="21" s="1"/>
  <c r="AE89" i="21"/>
  <c r="AE144" i="21" s="1"/>
  <c r="V89" i="21"/>
  <c r="V144" i="21" s="1"/>
  <c r="W89" i="21"/>
  <c r="W144" i="21" s="1"/>
  <c r="H89" i="21"/>
  <c r="H144" i="21" s="1"/>
  <c r="X89" i="21"/>
  <c r="X144" i="21" s="1"/>
  <c r="P89" i="21"/>
  <c r="P144" i="21" s="1"/>
  <c r="AH89" i="21"/>
  <c r="AH144" i="21" s="1"/>
  <c r="L89" i="21"/>
  <c r="L144" i="21" s="1"/>
  <c r="AI89" i="21"/>
  <c r="AI144" i="21" s="1"/>
  <c r="I89" i="21"/>
  <c r="I144" i="21" s="1"/>
  <c r="N89" i="21"/>
  <c r="N144" i="21" s="1"/>
  <c r="O89" i="21"/>
  <c r="O144" i="21" s="1"/>
  <c r="AC89" i="21"/>
  <c r="AC144" i="21" s="1"/>
  <c r="Q89" i="21"/>
  <c r="Q144" i="21" s="1"/>
  <c r="AD89" i="21"/>
  <c r="AD144" i="21" s="1"/>
  <c r="T89" i="21"/>
  <c r="T144" i="21" s="1"/>
  <c r="M89" i="21"/>
  <c r="M144" i="21" s="1"/>
  <c r="AA89" i="21"/>
  <c r="AA144" i="21" s="1"/>
  <c r="AH341" i="33"/>
  <c r="V341" i="33"/>
  <c r="Z341" i="33"/>
  <c r="AG341" i="33"/>
  <c r="AC341" i="33"/>
  <c r="X341" i="33"/>
  <c r="AF341" i="33"/>
  <c r="W341" i="33"/>
  <c r="AA341" i="33"/>
  <c r="R341" i="33"/>
  <c r="AB341" i="33"/>
  <c r="M341" i="33"/>
  <c r="K341" i="33"/>
  <c r="P341" i="33"/>
  <c r="L341" i="33"/>
  <c r="H341" i="33"/>
  <c r="G341" i="33"/>
  <c r="Y341" i="33"/>
  <c r="Q341" i="33"/>
  <c r="I341" i="33"/>
  <c r="O341" i="33"/>
  <c r="AD341" i="33"/>
  <c r="S341" i="33"/>
  <c r="J341" i="33"/>
  <c r="AE341" i="33"/>
  <c r="AD346" i="33"/>
  <c r="T341" i="33"/>
  <c r="U341" i="33"/>
  <c r="N90" i="21" l="1"/>
  <c r="N145" i="21" s="1"/>
  <c r="R90" i="21"/>
  <c r="R145" i="21" s="1"/>
  <c r="X90" i="21"/>
  <c r="X145" i="21" s="1"/>
  <c r="AE90" i="21"/>
  <c r="AE145" i="21" s="1"/>
  <c r="P90" i="21"/>
  <c r="P145" i="21" s="1"/>
  <c r="AC90" i="21"/>
  <c r="AC145" i="21" s="1"/>
  <c r="S90" i="21"/>
  <c r="S145" i="21" s="1"/>
  <c r="AB90" i="21"/>
  <c r="AB145" i="21" s="1"/>
  <c r="AI90" i="21"/>
  <c r="AI145" i="21" s="1"/>
  <c r="T90" i="21"/>
  <c r="T145" i="21" s="1"/>
  <c r="Z90" i="21"/>
  <c r="Z145" i="21" s="1"/>
  <c r="H90" i="21"/>
  <c r="H145" i="21" s="1"/>
  <c r="V90" i="21"/>
  <c r="V145" i="21" s="1"/>
  <c r="I90" i="21"/>
  <c r="I145" i="21" s="1"/>
  <c r="AD90" i="21"/>
  <c r="AD145" i="21" s="1"/>
  <c r="K90" i="21"/>
  <c r="K145" i="21" s="1"/>
  <c r="J90" i="21"/>
  <c r="J145" i="21" s="1"/>
  <c r="AG90" i="21"/>
  <c r="AG145" i="21" s="1"/>
  <c r="Y90" i="21"/>
  <c r="Y145" i="21" s="1"/>
  <c r="AE91" i="21"/>
  <c r="AE146" i="21" s="1"/>
  <c r="M90" i="21"/>
  <c r="M145" i="21" s="1"/>
  <c r="AA90" i="21"/>
  <c r="AA145" i="21" s="1"/>
  <c r="L90" i="21"/>
  <c r="L145" i="21" s="1"/>
  <c r="U90" i="21"/>
  <c r="U145" i="21" s="1"/>
  <c r="AH90" i="21"/>
  <c r="AH145" i="21" s="1"/>
  <c r="AF90" i="21"/>
  <c r="AF145" i="21" s="1"/>
  <c r="Q90" i="21"/>
  <c r="Q145" i="21" s="1"/>
  <c r="W90" i="21"/>
  <c r="W145" i="21" s="1"/>
  <c r="H346" i="33"/>
  <c r="U346" i="33"/>
  <c r="G346" i="33"/>
  <c r="W346" i="33"/>
  <c r="Y346" i="33"/>
  <c r="Z346" i="33"/>
  <c r="X346" i="33"/>
  <c r="AH346" i="33"/>
  <c r="AE346" i="33"/>
  <c r="M346" i="33"/>
  <c r="AG346" i="33"/>
  <c r="P346" i="33"/>
  <c r="T346" i="33"/>
  <c r="N346" i="33"/>
  <c r="L346" i="33"/>
  <c r="I346" i="33"/>
  <c r="Q346" i="33"/>
  <c r="J346" i="33"/>
  <c r="O346" i="33"/>
  <c r="AC346" i="33"/>
  <c r="AB346" i="33"/>
  <c r="K346" i="33"/>
  <c r="V346" i="33"/>
  <c r="AF346" i="33"/>
  <c r="AA346" i="33"/>
  <c r="S346" i="33"/>
  <c r="R346" i="33"/>
  <c r="V352" i="33"/>
  <c r="Z91" i="21" l="1"/>
  <c r="Z146" i="21" s="1"/>
  <c r="H91" i="21"/>
  <c r="H146" i="21" s="1"/>
  <c r="O91" i="21"/>
  <c r="O146" i="21" s="1"/>
  <c r="I91" i="21"/>
  <c r="I146" i="21" s="1"/>
  <c r="AB91" i="21"/>
  <c r="AB146" i="21" s="1"/>
  <c r="J91" i="21"/>
  <c r="J146" i="21" s="1"/>
  <c r="S91" i="21"/>
  <c r="S146" i="21" s="1"/>
  <c r="W91" i="21"/>
  <c r="W146" i="21" s="1"/>
  <c r="Q91" i="21"/>
  <c r="Q146" i="21" s="1"/>
  <c r="L91" i="21"/>
  <c r="L146" i="21" s="1"/>
  <c r="AH91" i="21"/>
  <c r="AH146" i="21" s="1"/>
  <c r="X91" i="21"/>
  <c r="X146" i="21" s="1"/>
  <c r="V91" i="21"/>
  <c r="V146" i="21" s="1"/>
  <c r="M91" i="21"/>
  <c r="M146" i="21" s="1"/>
  <c r="N91" i="21"/>
  <c r="N146" i="21" s="1"/>
  <c r="AD91" i="21"/>
  <c r="AD146" i="21" s="1"/>
  <c r="U91" i="21"/>
  <c r="U146" i="21" s="1"/>
  <c r="AG91" i="21"/>
  <c r="AG146" i="21" s="1"/>
  <c r="AF91" i="21"/>
  <c r="AF146" i="21" s="1"/>
  <c r="P91" i="21"/>
  <c r="P146" i="21" s="1"/>
  <c r="AI91" i="21"/>
  <c r="AI146" i="21" s="1"/>
  <c r="T91" i="21"/>
  <c r="T146" i="21" s="1"/>
  <c r="AC91" i="21"/>
  <c r="AC146" i="21" s="1"/>
  <c r="K91" i="21"/>
  <c r="K146" i="21" s="1"/>
  <c r="Y91" i="21"/>
  <c r="Y146" i="21" s="1"/>
  <c r="W92" i="21"/>
  <c r="W147" i="21" s="1"/>
  <c r="R91" i="21"/>
  <c r="R146" i="21" s="1"/>
  <c r="AA91" i="21"/>
  <c r="AA146" i="21" s="1"/>
  <c r="AG352" i="33"/>
  <c r="U352" i="33"/>
  <c r="X352" i="33"/>
  <c r="M352" i="33"/>
  <c r="AF352" i="33"/>
  <c r="S352" i="33"/>
  <c r="AB352" i="33"/>
  <c r="AA352" i="33"/>
  <c r="AD352" i="33"/>
  <c r="W352" i="33"/>
  <c r="Z352" i="33"/>
  <c r="P352" i="33"/>
  <c r="N352" i="33"/>
  <c r="AE352" i="33"/>
  <c r="J352" i="33"/>
  <c r="T352" i="33"/>
  <c r="K352" i="33"/>
  <c r="O352" i="33"/>
  <c r="L352" i="33"/>
  <c r="I352" i="33"/>
  <c r="Y352" i="33"/>
  <c r="R352" i="33"/>
  <c r="AC352" i="33"/>
  <c r="H352" i="33"/>
  <c r="AH352" i="33"/>
  <c r="L359" i="33"/>
  <c r="R359" i="33"/>
  <c r="W359" i="33"/>
  <c r="X359" i="33"/>
  <c r="AD359" i="33"/>
  <c r="G359" i="33"/>
  <c r="M359" i="33"/>
  <c r="H359" i="33"/>
  <c r="AE359" i="33"/>
  <c r="T359" i="33"/>
  <c r="N359" i="33"/>
  <c r="I359" i="33"/>
  <c r="AF359" i="33"/>
  <c r="Z359" i="33"/>
  <c r="U359" i="33"/>
  <c r="O359" i="33"/>
  <c r="AG359" i="33"/>
  <c r="S359" i="33"/>
  <c r="P359" i="33"/>
  <c r="J359" i="33"/>
  <c r="AB359" i="33"/>
  <c r="V359" i="33"/>
  <c r="Q359" i="33"/>
  <c r="AH359" i="33"/>
  <c r="AC359" i="33"/>
  <c r="K359" i="33"/>
  <c r="Q352" i="33"/>
  <c r="AG93" i="21" l="1"/>
  <c r="AG148" i="21" s="1"/>
  <c r="Y92" i="21"/>
  <c r="Y147" i="21" s="1"/>
  <c r="M93" i="21"/>
  <c r="M148" i="21" s="1"/>
  <c r="V92" i="21"/>
  <c r="V147" i="21" s="1"/>
  <c r="J93" i="21"/>
  <c r="J148" i="21" s="1"/>
  <c r="Q92" i="21"/>
  <c r="Q147" i="21" s="1"/>
  <c r="AD93" i="21"/>
  <c r="AD148" i="21" s="1"/>
  <c r="AI93" i="21"/>
  <c r="AI148" i="21" s="1"/>
  <c r="O92" i="21"/>
  <c r="O147" i="21" s="1"/>
  <c r="R93" i="21"/>
  <c r="R148" i="21" s="1"/>
  <c r="AC93" i="21"/>
  <c r="AC148" i="21" s="1"/>
  <c r="AF93" i="21"/>
  <c r="AF148" i="21" s="1"/>
  <c r="S92" i="21"/>
  <c r="S147" i="21" s="1"/>
  <c r="X92" i="21"/>
  <c r="X147" i="21" s="1"/>
  <c r="AA92" i="21"/>
  <c r="AA147" i="21" s="1"/>
  <c r="AE92" i="21"/>
  <c r="AE147" i="21" s="1"/>
  <c r="I92" i="21"/>
  <c r="I147" i="21" s="1"/>
  <c r="AD92" i="21"/>
  <c r="AD147" i="21" s="1"/>
  <c r="Q93" i="21"/>
  <c r="Q148" i="21" s="1"/>
  <c r="N93" i="21"/>
  <c r="N148" i="21" s="1"/>
  <c r="J92" i="21"/>
  <c r="J147" i="21" s="1"/>
  <c r="AB92" i="21"/>
  <c r="AB147" i="21" s="1"/>
  <c r="L93" i="21"/>
  <c r="L148" i="21" s="1"/>
  <c r="S93" i="21"/>
  <c r="S148" i="21" s="1"/>
  <c r="K92" i="21"/>
  <c r="K147" i="21" s="1"/>
  <c r="AI92" i="21"/>
  <c r="AI147" i="21" s="1"/>
  <c r="AH92" i="21"/>
  <c r="AH147" i="21" s="1"/>
  <c r="U93" i="21"/>
  <c r="U148" i="21" s="1"/>
  <c r="Z92" i="21"/>
  <c r="Z147" i="21" s="1"/>
  <c r="W93" i="21"/>
  <c r="W148" i="21" s="1"/>
  <c r="I93" i="21"/>
  <c r="I148" i="21" s="1"/>
  <c r="AA93" i="21"/>
  <c r="AA148" i="21" s="1"/>
  <c r="AF92" i="21"/>
  <c r="AF147" i="21" s="1"/>
  <c r="K93" i="21"/>
  <c r="K148" i="21" s="1"/>
  <c r="H93" i="21"/>
  <c r="H148" i="21" s="1"/>
  <c r="M92" i="21"/>
  <c r="M147" i="21" s="1"/>
  <c r="AC92" i="21"/>
  <c r="AC147" i="21" s="1"/>
  <c r="AH93" i="21"/>
  <c r="AH148" i="21" s="1"/>
  <c r="AE93" i="21"/>
  <c r="AE148" i="21" s="1"/>
  <c r="P92" i="21"/>
  <c r="P147" i="21" s="1"/>
  <c r="T92" i="21"/>
  <c r="T147" i="21" s="1"/>
  <c r="L92" i="21"/>
  <c r="L147" i="21" s="1"/>
  <c r="AG92" i="21"/>
  <c r="AG147" i="21" s="1"/>
  <c r="O93" i="21"/>
  <c r="O148" i="21" s="1"/>
  <c r="T93" i="21"/>
  <c r="T148" i="21" s="1"/>
  <c r="P93" i="21"/>
  <c r="P148" i="21" s="1"/>
  <c r="Y93" i="21"/>
  <c r="Y148" i="21" s="1"/>
  <c r="R92" i="21"/>
  <c r="R147" i="21" s="1"/>
  <c r="V93" i="21"/>
  <c r="V148" i="21" s="1"/>
  <c r="X93" i="21"/>
  <c r="X148" i="21" s="1"/>
  <c r="U92" i="21"/>
  <c r="U147" i="21" s="1"/>
  <c r="N92" i="21"/>
  <c r="N147" i="21" s="1"/>
  <c r="Y359" i="33"/>
  <c r="AA359" i="33"/>
  <c r="Z93" i="21" l="1"/>
  <c r="Z148" i="21" s="1"/>
  <c r="AB93" i="21"/>
  <c r="AB148" i="21" s="1"/>
  <c r="D221" i="33" l="1"/>
  <c r="E83" i="12" s="1"/>
  <c r="D297" i="33" l="1"/>
  <c r="E95" i="12" s="1"/>
  <c r="D335" i="33"/>
  <c r="D259" i="33"/>
  <c r="E89" i="12" s="1"/>
  <c r="D190" i="33" l="1"/>
  <c r="D185" i="33" l="1"/>
  <c r="D186" i="33"/>
  <c r="D187" i="33"/>
  <c r="D188" i="33"/>
  <c r="D189" i="33"/>
  <c r="L192" i="33" l="1"/>
  <c r="AE192" i="33"/>
  <c r="P192" i="33"/>
  <c r="I192" i="33"/>
  <c r="AD192" i="33"/>
  <c r="AC192" i="33"/>
  <c r="T192" i="33"/>
  <c r="S192" i="33"/>
  <c r="N192" i="33"/>
  <c r="Y192" i="33"/>
  <c r="X192" i="33"/>
  <c r="J192" i="33"/>
  <c r="AB192" i="33"/>
  <c r="Q192" i="33"/>
  <c r="AA192" i="33"/>
  <c r="M192" i="33"/>
  <c r="U192" i="33"/>
  <c r="AH192" i="33"/>
  <c r="K192" i="33"/>
  <c r="G192" i="33"/>
  <c r="W192" i="33"/>
  <c r="AG192" i="33"/>
  <c r="V192" i="33"/>
  <c r="R192" i="33"/>
  <c r="AF192" i="33"/>
  <c r="H192" i="33"/>
  <c r="Z192" i="33"/>
  <c r="O192" i="33"/>
  <c r="Y79" i="12" l="1"/>
  <c r="Y134" i="12" s="1"/>
  <c r="S79" i="12"/>
  <c r="S134" i="12" s="1"/>
  <c r="U79" i="12"/>
  <c r="U134" i="12" s="1"/>
  <c r="AD79" i="12"/>
  <c r="AD134" i="12" s="1"/>
  <c r="AH79" i="12"/>
  <c r="AH134" i="12" s="1"/>
  <c r="X79" i="12"/>
  <c r="X134" i="12" s="1"/>
  <c r="V79" i="12"/>
  <c r="V134" i="12" s="1"/>
  <c r="AE79" i="12"/>
  <c r="AE134" i="12" s="1"/>
  <c r="K79" i="12"/>
  <c r="K134" i="12" s="1"/>
  <c r="O79" i="12"/>
  <c r="O134" i="12" s="1"/>
  <c r="AI79" i="12"/>
  <c r="AI134" i="12" s="1"/>
  <c r="N79" i="12"/>
  <c r="N134" i="12" s="1"/>
  <c r="J79" i="12"/>
  <c r="J134" i="12" s="1"/>
  <c r="H79" i="12"/>
  <c r="H134" i="12" s="1"/>
  <c r="AB79" i="12"/>
  <c r="AB134" i="12" s="1"/>
  <c r="Q79" i="12"/>
  <c r="Q134" i="12" s="1"/>
  <c r="Z79" i="12"/>
  <c r="Z134" i="12" s="1"/>
  <c r="L79" i="12"/>
  <c r="L134" i="12" s="1"/>
  <c r="P79" i="12"/>
  <c r="P134" i="12" s="1"/>
  <c r="AA79" i="12"/>
  <c r="AA134" i="12" s="1"/>
  <c r="I79" i="12"/>
  <c r="I134" i="12" s="1"/>
  <c r="R79" i="12"/>
  <c r="R134" i="12" s="1"/>
  <c r="AF79" i="12"/>
  <c r="AF134" i="12" s="1"/>
  <c r="W79" i="12"/>
  <c r="W134" i="12" s="1"/>
  <c r="T79" i="12"/>
  <c r="T134" i="12" s="1"/>
  <c r="AG79" i="12"/>
  <c r="AG134" i="12" s="1"/>
  <c r="AC79" i="12"/>
  <c r="AC134" i="12" s="1"/>
  <c r="M79" i="12"/>
  <c r="M134" i="12" s="1"/>
  <c r="D30" i="33" l="1"/>
  <c r="D32" i="33" l="1"/>
  <c r="D114" i="33" l="1"/>
  <c r="D121" i="33" l="1"/>
  <c r="D119" i="33"/>
  <c r="D128" i="33" l="1"/>
  <c r="D126" i="33"/>
  <c r="D135" i="33" l="1"/>
  <c r="D133" i="33"/>
  <c r="D143" i="33" l="1"/>
  <c r="D141" i="33"/>
  <c r="D151" i="33" l="1"/>
  <c r="D149" i="33"/>
  <c r="D159" i="33" l="1"/>
  <c r="D157" i="33"/>
  <c r="D167" i="33" l="1"/>
  <c r="D165" i="33"/>
  <c r="D175" i="33" l="1"/>
  <c r="D173" i="33"/>
  <c r="D184" i="33" l="1"/>
  <c r="D182" i="33"/>
  <c r="D193" i="33" l="1"/>
  <c r="D191" i="33"/>
  <c r="D202" i="33" l="1"/>
  <c r="D200" i="33"/>
  <c r="D211" i="33" l="1"/>
  <c r="D209" i="33"/>
  <c r="D220" i="33" l="1"/>
  <c r="D218" i="33"/>
  <c r="D223" i="33" l="1"/>
  <c r="D222" i="33"/>
  <c r="D228" i="33" l="1"/>
  <c r="D226" i="33"/>
  <c r="D234" i="33" l="1"/>
  <c r="D232" i="33"/>
  <c r="D241" i="33" l="1"/>
  <c r="D239" i="33"/>
  <c r="D249" i="33" l="1"/>
  <c r="D247" i="33"/>
  <c r="D258" i="33" l="1"/>
  <c r="D256" i="33"/>
  <c r="D261" i="33" l="1"/>
  <c r="D260" i="33"/>
  <c r="D266" i="33" l="1"/>
  <c r="D264" i="33"/>
  <c r="D272" i="33" l="1"/>
  <c r="D270" i="33"/>
  <c r="D279" i="33" l="1"/>
  <c r="D277" i="33"/>
  <c r="D287" i="33" l="1"/>
  <c r="D285" i="33"/>
  <c r="D296" i="33" l="1"/>
  <c r="D294" i="33"/>
  <c r="D299" i="33" l="1"/>
  <c r="D298" i="33"/>
  <c r="D304" i="33" l="1"/>
  <c r="D302" i="33"/>
  <c r="D310" i="33" l="1"/>
  <c r="D308" i="33"/>
  <c r="D317" i="33" l="1"/>
  <c r="D315" i="33"/>
  <c r="D325" i="33" l="1"/>
  <c r="D323" i="33"/>
  <c r="D334" i="33" l="1"/>
  <c r="D332" i="33"/>
  <c r="D337" i="33" l="1"/>
  <c r="M336" i="33"/>
  <c r="N101" i="12" s="1"/>
  <c r="N156" i="12" s="1"/>
  <c r="S336" i="33"/>
  <c r="T101" i="12" s="1"/>
  <c r="T156" i="12" s="1"/>
  <c r="H336" i="33"/>
  <c r="I101" i="12" s="1"/>
  <c r="I156" i="12" s="1"/>
  <c r="AD336" i="33"/>
  <c r="AE101" i="12" s="1"/>
  <c r="AE156" i="12" s="1"/>
  <c r="AG336" i="33"/>
  <c r="AH101" i="12" s="1"/>
  <c r="AH156" i="12" s="1"/>
  <c r="G336" i="33"/>
  <c r="H101" i="12" s="1"/>
  <c r="H156" i="12" s="1"/>
  <c r="Z336" i="33"/>
  <c r="AA101" i="12" s="1"/>
  <c r="AA156" i="12" s="1"/>
  <c r="J336" i="33"/>
  <c r="K101" i="12" s="1"/>
  <c r="K156" i="12" s="1"/>
  <c r="K336" i="33"/>
  <c r="L101" i="12" s="1"/>
  <c r="L156" i="12" s="1"/>
  <c r="V336" i="33"/>
  <c r="W101" i="12" s="1"/>
  <c r="W156" i="12" s="1"/>
  <c r="Q336" i="33"/>
  <c r="R101" i="12" s="1"/>
  <c r="R156" i="12" s="1"/>
  <c r="X336" i="33"/>
  <c r="Y101" i="12" s="1"/>
  <c r="Y156" i="12" s="1"/>
  <c r="AF336" i="33"/>
  <c r="AG101" i="12" s="1"/>
  <c r="AG156" i="12" s="1"/>
  <c r="R336" i="33"/>
  <c r="S101" i="12" s="1"/>
  <c r="S156" i="12" s="1"/>
  <c r="P336" i="33"/>
  <c r="Q101" i="12" s="1"/>
  <c r="Q156" i="12" s="1"/>
  <c r="AE336" i="33"/>
  <c r="AF101" i="12" s="1"/>
  <c r="AF156" i="12" s="1"/>
  <c r="AH336" i="33"/>
  <c r="AI101" i="12" s="1"/>
  <c r="AI156" i="12" s="1"/>
  <c r="U336" i="33"/>
  <c r="V101" i="12" s="1"/>
  <c r="V156" i="12" s="1"/>
  <c r="AA336" i="33"/>
  <c r="AB101" i="12" s="1"/>
  <c r="AB156" i="12" s="1"/>
  <c r="N336" i="33"/>
  <c r="O101" i="12" s="1"/>
  <c r="O156" i="12" s="1"/>
  <c r="T336" i="33"/>
  <c r="U101" i="12" s="1"/>
  <c r="U156" i="12" s="1"/>
  <c r="Y336" i="33"/>
  <c r="Z101" i="12" s="1"/>
  <c r="Z156" i="12" s="1"/>
  <c r="I336" i="33"/>
  <c r="J101" i="12" s="1"/>
  <c r="J156" i="12" s="1"/>
  <c r="O336" i="33"/>
  <c r="P101" i="12" s="1"/>
  <c r="P156" i="12" s="1"/>
  <c r="L336" i="33"/>
  <c r="M101" i="12" s="1"/>
  <c r="M156" i="12" s="1"/>
  <c r="D336" i="33"/>
  <c r="E101" i="12" s="1"/>
  <c r="AB336" i="33"/>
  <c r="AC101" i="12" s="1"/>
  <c r="AC156" i="12" s="1"/>
  <c r="W336" i="33"/>
  <c r="X101" i="12" s="1"/>
  <c r="X156" i="12" s="1"/>
  <c r="AC336" i="33"/>
  <c r="AD101" i="12" s="1"/>
  <c r="AD156" i="12" s="1"/>
  <c r="D341" i="33" l="1"/>
  <c r="Q340" i="33"/>
  <c r="R102" i="12" s="1"/>
  <c r="R157" i="12" s="1"/>
  <c r="K340" i="33"/>
  <c r="L102" i="12" s="1"/>
  <c r="L157" i="12" s="1"/>
  <c r="AF340" i="33"/>
  <c r="AG102" i="12" s="1"/>
  <c r="AG157" i="12" s="1"/>
  <c r="AB340" i="33"/>
  <c r="AC102" i="12" s="1"/>
  <c r="AC157" i="12" s="1"/>
  <c r="U340" i="33"/>
  <c r="V102" i="12" s="1"/>
  <c r="V157" i="12" s="1"/>
  <c r="R340" i="33"/>
  <c r="S102" i="12" s="1"/>
  <c r="S157" i="12" s="1"/>
  <c r="I340" i="33"/>
  <c r="J102" i="12" s="1"/>
  <c r="J157" i="12" s="1"/>
  <c r="T340" i="33"/>
  <c r="U102" i="12" s="1"/>
  <c r="U157" i="12" s="1"/>
  <c r="AH340" i="33"/>
  <c r="AI102" i="12" s="1"/>
  <c r="AI157" i="12" s="1"/>
  <c r="X340" i="33"/>
  <c r="Y102" i="12" s="1"/>
  <c r="Y157" i="12" s="1"/>
  <c r="W340" i="33"/>
  <c r="X102" i="12" s="1"/>
  <c r="X157" i="12" s="1"/>
  <c r="L340" i="33"/>
  <c r="M102" i="12" s="1"/>
  <c r="M157" i="12" s="1"/>
  <c r="AA340" i="33"/>
  <c r="AB102" i="12" s="1"/>
  <c r="AB157" i="12" s="1"/>
  <c r="P340" i="33"/>
  <c r="Q102" i="12" s="1"/>
  <c r="Q157" i="12" s="1"/>
  <c r="Z340" i="33"/>
  <c r="AA102" i="12" s="1"/>
  <c r="AA157" i="12" s="1"/>
  <c r="AE340" i="33"/>
  <c r="AF102" i="12" s="1"/>
  <c r="AF157" i="12" s="1"/>
  <c r="V340" i="33"/>
  <c r="W102" i="12" s="1"/>
  <c r="W157" i="12" s="1"/>
  <c r="M340" i="33"/>
  <c r="N102" i="12" s="1"/>
  <c r="N157" i="12" s="1"/>
  <c r="G340" i="33"/>
  <c r="H102" i="12" s="1"/>
  <c r="H157" i="12" s="1"/>
  <c r="AC340" i="33"/>
  <c r="AD102" i="12" s="1"/>
  <c r="AD157" i="12" s="1"/>
  <c r="D340" i="33"/>
  <c r="E102" i="12" s="1"/>
  <c r="O340" i="33"/>
  <c r="P102" i="12" s="1"/>
  <c r="P157" i="12" s="1"/>
  <c r="S340" i="33"/>
  <c r="T102" i="12" s="1"/>
  <c r="T157" i="12" s="1"/>
  <c r="AD340" i="33"/>
  <c r="AE102" i="12" s="1"/>
  <c r="AE157" i="12" s="1"/>
  <c r="J340" i="33"/>
  <c r="K102" i="12" s="1"/>
  <c r="K157" i="12" s="1"/>
  <c r="AG340" i="33"/>
  <c r="AH102" i="12" s="1"/>
  <c r="AH157" i="12" s="1"/>
  <c r="H340" i="33"/>
  <c r="I102" i="12" s="1"/>
  <c r="I157" i="12" s="1"/>
  <c r="N340" i="33"/>
  <c r="O102" i="12" s="1"/>
  <c r="O157" i="12" s="1"/>
  <c r="Y340" i="33"/>
  <c r="Z102" i="12" s="1"/>
  <c r="Z157" i="12" s="1"/>
  <c r="D346" i="33" l="1"/>
  <c r="P345" i="33"/>
  <c r="Q103" i="12" s="1"/>
  <c r="Q158" i="12" s="1"/>
  <c r="D345" i="33"/>
  <c r="E103" i="12" s="1"/>
  <c r="I345" i="33"/>
  <c r="J103" i="12" s="1"/>
  <c r="J158" i="12" s="1"/>
  <c r="Z345" i="33"/>
  <c r="AA103" i="12" s="1"/>
  <c r="AA158" i="12" s="1"/>
  <c r="X345" i="33"/>
  <c r="Y103" i="12" s="1"/>
  <c r="Y158" i="12" s="1"/>
  <c r="AA345" i="33"/>
  <c r="AB103" i="12" s="1"/>
  <c r="AB158" i="12" s="1"/>
  <c r="AD345" i="33"/>
  <c r="AE103" i="12" s="1"/>
  <c r="AE158" i="12" s="1"/>
  <c r="AE345" i="33"/>
  <c r="AF103" i="12" s="1"/>
  <c r="AF158" i="12" s="1"/>
  <c r="AG345" i="33"/>
  <c r="AH103" i="12" s="1"/>
  <c r="AH158" i="12" s="1"/>
  <c r="V345" i="33"/>
  <c r="W103" i="12" s="1"/>
  <c r="W158" i="12" s="1"/>
  <c r="M345" i="33"/>
  <c r="N103" i="12" s="1"/>
  <c r="N158" i="12" s="1"/>
  <c r="Y345" i="33"/>
  <c r="Z103" i="12" s="1"/>
  <c r="Z158" i="12" s="1"/>
  <c r="S345" i="33"/>
  <c r="T103" i="12" s="1"/>
  <c r="T158" i="12" s="1"/>
  <c r="K345" i="33"/>
  <c r="L103" i="12" s="1"/>
  <c r="L158" i="12" s="1"/>
  <c r="AF345" i="33"/>
  <c r="AG103" i="12" s="1"/>
  <c r="AG158" i="12" s="1"/>
  <c r="T345" i="33"/>
  <c r="U103" i="12" s="1"/>
  <c r="U158" i="12" s="1"/>
  <c r="N345" i="33"/>
  <c r="O103" i="12" s="1"/>
  <c r="O158" i="12" s="1"/>
  <c r="H345" i="33"/>
  <c r="I103" i="12" s="1"/>
  <c r="I158" i="12" s="1"/>
  <c r="G345" i="33"/>
  <c r="H103" i="12" s="1"/>
  <c r="H158" i="12" s="1"/>
  <c r="AC345" i="33"/>
  <c r="AD103" i="12" s="1"/>
  <c r="AD158" i="12" s="1"/>
  <c r="AH345" i="33"/>
  <c r="AI103" i="12" s="1"/>
  <c r="AI158" i="12" s="1"/>
  <c r="AB345" i="33"/>
  <c r="AC103" i="12" s="1"/>
  <c r="AC158" i="12" s="1"/>
  <c r="W345" i="33"/>
  <c r="X103" i="12" s="1"/>
  <c r="X158" i="12" s="1"/>
  <c r="U345" i="33"/>
  <c r="V103" i="12" s="1"/>
  <c r="V158" i="12" s="1"/>
  <c r="Q345" i="33"/>
  <c r="R103" i="12" s="1"/>
  <c r="R158" i="12" s="1"/>
  <c r="O345" i="33"/>
  <c r="P103" i="12" s="1"/>
  <c r="P158" i="12" s="1"/>
  <c r="R345" i="33"/>
  <c r="S103" i="12" s="1"/>
  <c r="S158" i="12" s="1"/>
  <c r="L345" i="33"/>
  <c r="M103" i="12" s="1"/>
  <c r="M158" i="12" s="1"/>
  <c r="J345" i="33"/>
  <c r="K103" i="12" s="1"/>
  <c r="K158" i="12" s="1"/>
  <c r="D352" i="33" l="1"/>
  <c r="L351" i="33"/>
  <c r="M104" i="12" s="1"/>
  <c r="M159" i="12" s="1"/>
  <c r="Y351" i="33"/>
  <c r="Z104" i="12" s="1"/>
  <c r="Z159" i="12" s="1"/>
  <c r="D351" i="33"/>
  <c r="E104" i="12" s="1"/>
  <c r="N351" i="33"/>
  <c r="O104" i="12" s="1"/>
  <c r="O159" i="12" s="1"/>
  <c r="R351" i="33"/>
  <c r="S104" i="12" s="1"/>
  <c r="S159" i="12" s="1"/>
  <c r="AB351" i="33"/>
  <c r="AC104" i="12" s="1"/>
  <c r="AC159" i="12" s="1"/>
  <c r="S351" i="33"/>
  <c r="T104" i="12" s="1"/>
  <c r="T159" i="12" s="1"/>
  <c r="AC351" i="33"/>
  <c r="AD104" i="12" s="1"/>
  <c r="AD159" i="12" s="1"/>
  <c r="AE351" i="33"/>
  <c r="AF104" i="12" s="1"/>
  <c r="AF159" i="12" s="1"/>
  <c r="X351" i="33"/>
  <c r="Y104" i="12" s="1"/>
  <c r="Y159" i="12" s="1"/>
  <c r="M351" i="33"/>
  <c r="N104" i="12" s="1"/>
  <c r="N159" i="12" s="1"/>
  <c r="O351" i="33"/>
  <c r="P104" i="12" s="1"/>
  <c r="P159" i="12" s="1"/>
  <c r="G351" i="33"/>
  <c r="H104" i="12" s="1"/>
  <c r="H159" i="12" s="1"/>
  <c r="AH351" i="33"/>
  <c r="AI104" i="12" s="1"/>
  <c r="AI159" i="12" s="1"/>
  <c r="Q351" i="33"/>
  <c r="R104" i="12" s="1"/>
  <c r="R159" i="12" s="1"/>
  <c r="V351" i="33"/>
  <c r="W104" i="12" s="1"/>
  <c r="W159" i="12" s="1"/>
  <c r="W351" i="33"/>
  <c r="X104" i="12" s="1"/>
  <c r="X159" i="12" s="1"/>
  <c r="P351" i="33"/>
  <c r="Q104" i="12" s="1"/>
  <c r="Q159" i="12" s="1"/>
  <c r="Z351" i="33"/>
  <c r="AA104" i="12" s="1"/>
  <c r="AA159" i="12" s="1"/>
  <c r="U351" i="33"/>
  <c r="V104" i="12" s="1"/>
  <c r="V159" i="12" s="1"/>
  <c r="K351" i="33"/>
  <c r="L104" i="12" s="1"/>
  <c r="L159" i="12" s="1"/>
  <c r="AF351" i="33"/>
  <c r="AG104" i="12" s="1"/>
  <c r="AG159" i="12" s="1"/>
  <c r="AD351" i="33"/>
  <c r="AE104" i="12" s="1"/>
  <c r="AE159" i="12" s="1"/>
  <c r="AG351" i="33"/>
  <c r="AH104" i="12" s="1"/>
  <c r="AH159" i="12" s="1"/>
  <c r="AA351" i="33"/>
  <c r="AB104" i="12" s="1"/>
  <c r="AB159" i="12" s="1"/>
  <c r="I351" i="33"/>
  <c r="J104" i="12" s="1"/>
  <c r="J159" i="12" s="1"/>
  <c r="J351" i="33"/>
  <c r="K104" i="12" s="1"/>
  <c r="K159" i="12" s="1"/>
  <c r="H351" i="33"/>
  <c r="I104" i="12" s="1"/>
  <c r="I159" i="12" s="1"/>
  <c r="T351" i="33"/>
  <c r="U104" i="12" s="1"/>
  <c r="U159" i="12" s="1"/>
  <c r="D359" i="33"/>
  <c r="W366" i="33" l="1"/>
  <c r="X106" i="12" s="1"/>
  <c r="X161" i="12" s="1"/>
  <c r="Q366" i="33"/>
  <c r="R106" i="12" s="1"/>
  <c r="R161" i="12" s="1"/>
  <c r="I366" i="33"/>
  <c r="J106" i="12" s="1"/>
  <c r="J161" i="12" s="1"/>
  <c r="K366" i="33"/>
  <c r="L106" i="12" s="1"/>
  <c r="L161" i="12" s="1"/>
  <c r="X366" i="33"/>
  <c r="Y106" i="12" s="1"/>
  <c r="Y161" i="12" s="1"/>
  <c r="V366" i="33"/>
  <c r="W106" i="12" s="1"/>
  <c r="W161" i="12" s="1"/>
  <c r="J366" i="33"/>
  <c r="K106" i="12" s="1"/>
  <c r="K161" i="12" s="1"/>
  <c r="AF366" i="33"/>
  <c r="AG106" i="12" s="1"/>
  <c r="AG161" i="12" s="1"/>
  <c r="AG366" i="33"/>
  <c r="AH106" i="12" s="1"/>
  <c r="AH161" i="12" s="1"/>
  <c r="U366" i="33"/>
  <c r="V106" i="12" s="1"/>
  <c r="V161" i="12" s="1"/>
  <c r="N366" i="33"/>
  <c r="O106" i="12" s="1"/>
  <c r="O161" i="12" s="1"/>
  <c r="AC366" i="33"/>
  <c r="AD106" i="12" s="1"/>
  <c r="AD161" i="12" s="1"/>
  <c r="AH366" i="33"/>
  <c r="AI106" i="12" s="1"/>
  <c r="AI161" i="12" s="1"/>
  <c r="P366" i="33"/>
  <c r="Q106" i="12" s="1"/>
  <c r="Q161" i="12" s="1"/>
  <c r="R366" i="33"/>
  <c r="S106" i="12" s="1"/>
  <c r="S161" i="12" s="1"/>
  <c r="AB366" i="33"/>
  <c r="AC106" i="12" s="1"/>
  <c r="AC161" i="12" s="1"/>
  <c r="O366" i="33"/>
  <c r="P106" i="12" s="1"/>
  <c r="P161" i="12" s="1"/>
  <c r="AA366" i="33"/>
  <c r="AB106" i="12" s="1"/>
  <c r="AB161" i="12" s="1"/>
  <c r="D366" i="33"/>
  <c r="E106" i="12" s="1"/>
  <c r="M366" i="33"/>
  <c r="N106" i="12" s="1"/>
  <c r="N161" i="12" s="1"/>
  <c r="L366" i="33"/>
  <c r="M106" i="12" s="1"/>
  <c r="M161" i="12" s="1"/>
  <c r="G366" i="33"/>
  <c r="H106" i="12" s="1"/>
  <c r="H161" i="12" s="1"/>
  <c r="H366" i="33"/>
  <c r="I106" i="12" s="1"/>
  <c r="I161" i="12" s="1"/>
  <c r="T366" i="33"/>
  <c r="U106" i="12" s="1"/>
  <c r="U161" i="12" s="1"/>
  <c r="Z366" i="33"/>
  <c r="AA106" i="12" s="1"/>
  <c r="AA161" i="12" s="1"/>
  <c r="Y366" i="33"/>
  <c r="Z106" i="12" s="1"/>
  <c r="Z161" i="12" s="1"/>
  <c r="AD366" i="33"/>
  <c r="AE106" i="12" s="1"/>
  <c r="AE161" i="12" s="1"/>
  <c r="S366" i="33"/>
  <c r="T106" i="12" s="1"/>
  <c r="T161" i="12" s="1"/>
  <c r="AE366" i="33"/>
  <c r="AF106" i="12" s="1"/>
  <c r="AF161" i="12" s="1"/>
  <c r="J358" i="33"/>
  <c r="K105" i="12" s="1"/>
  <c r="K160" i="12" s="1"/>
  <c r="AF358" i="33"/>
  <c r="AG105" i="12" s="1"/>
  <c r="AG160" i="12" s="1"/>
  <c r="Y358" i="33"/>
  <c r="Z105" i="12" s="1"/>
  <c r="Z160" i="12" s="1"/>
  <c r="D358" i="33"/>
  <c r="E105" i="12" s="1"/>
  <c r="U358" i="33"/>
  <c r="V105" i="12" s="1"/>
  <c r="V160" i="12" s="1"/>
  <c r="AH358" i="33"/>
  <c r="AI105" i="12" s="1"/>
  <c r="AI160" i="12" s="1"/>
  <c r="AG358" i="33"/>
  <c r="AH105" i="12" s="1"/>
  <c r="AH160" i="12" s="1"/>
  <c r="O358" i="33"/>
  <c r="P105" i="12" s="1"/>
  <c r="P160" i="12" s="1"/>
  <c r="AC358" i="33"/>
  <c r="AD105" i="12" s="1"/>
  <c r="AD160" i="12" s="1"/>
  <c r="V358" i="33"/>
  <c r="W105" i="12" s="1"/>
  <c r="W160" i="12" s="1"/>
  <c r="H358" i="33"/>
  <c r="I105" i="12" s="1"/>
  <c r="I160" i="12" s="1"/>
  <c r="M358" i="33"/>
  <c r="N105" i="12" s="1"/>
  <c r="N160" i="12" s="1"/>
  <c r="AA358" i="33"/>
  <c r="AB105" i="12" s="1"/>
  <c r="AB160" i="12" s="1"/>
  <c r="G358" i="33"/>
  <c r="H105" i="12" s="1"/>
  <c r="H160" i="12" s="1"/>
  <c r="N358" i="33"/>
  <c r="O105" i="12" s="1"/>
  <c r="O160" i="12" s="1"/>
  <c r="R358" i="33"/>
  <c r="S105" i="12" s="1"/>
  <c r="S160" i="12" s="1"/>
  <c r="P358" i="33"/>
  <c r="Q105" i="12" s="1"/>
  <c r="Q160" i="12" s="1"/>
  <c r="W358" i="33"/>
  <c r="X105" i="12" s="1"/>
  <c r="X160" i="12" s="1"/>
  <c r="AD358" i="33"/>
  <c r="AE105" i="12" s="1"/>
  <c r="AE160" i="12" s="1"/>
  <c r="AE358" i="33"/>
  <c r="AF105" i="12" s="1"/>
  <c r="AF160" i="12" s="1"/>
  <c r="Z358" i="33"/>
  <c r="AA105" i="12" s="1"/>
  <c r="AA160" i="12" s="1"/>
  <c r="Q358" i="33"/>
  <c r="R105" i="12" s="1"/>
  <c r="R160" i="12" s="1"/>
  <c r="K358" i="33"/>
  <c r="L105" i="12" s="1"/>
  <c r="L160" i="12" s="1"/>
  <c r="S358" i="33"/>
  <c r="T105" i="12" s="1"/>
  <c r="T160" i="12" s="1"/>
  <c r="T358" i="33"/>
  <c r="U105" i="12" s="1"/>
  <c r="U160" i="12" s="1"/>
  <c r="I358" i="33"/>
  <c r="J105" i="12" s="1"/>
  <c r="J160" i="12" s="1"/>
  <c r="X358" i="33"/>
  <c r="Y105" i="12" s="1"/>
  <c r="Y160" i="12" s="1"/>
  <c r="AB358" i="33"/>
  <c r="AC105" i="12" s="1"/>
  <c r="AC160" i="12" s="1"/>
  <c r="L358" i="33"/>
  <c r="M105" i="12" s="1"/>
  <c r="M160" i="12" s="1"/>
  <c r="AG30" i="33" l="1"/>
  <c r="AG32" i="33" s="1"/>
  <c r="AH40" i="21" s="1"/>
  <c r="AH95" i="21" s="1"/>
  <c r="Z325" i="33"/>
  <c r="I143" i="33"/>
  <c r="Y325" i="33"/>
  <c r="M30" i="33"/>
  <c r="M32" i="33" s="1"/>
  <c r="N40" i="21" s="1"/>
  <c r="N95" i="21" s="1"/>
  <c r="W135" i="33"/>
  <c r="I159" i="33"/>
  <c r="AB193" i="33" l="1"/>
  <c r="U266" i="33"/>
  <c r="O272" i="33"/>
  <c r="AH135" i="33"/>
  <c r="X249" i="33"/>
  <c r="Y234" i="33"/>
  <c r="L175" i="33"/>
  <c r="L266" i="33"/>
  <c r="I299" i="33"/>
  <c r="AF184" i="33"/>
  <c r="S249" i="33"/>
  <c r="AC299" i="33"/>
  <c r="AC223" i="33"/>
  <c r="AC128" i="33"/>
  <c r="AA228" i="33"/>
  <c r="G279" i="33"/>
  <c r="G202" i="33"/>
  <c r="T272" i="33"/>
  <c r="S325" i="33"/>
  <c r="AB272" i="33"/>
  <c r="AF202" i="33"/>
  <c r="AE167" i="33"/>
  <c r="R223" i="33"/>
  <c r="Q261" i="33"/>
  <c r="Q175" i="33"/>
  <c r="Q30" i="33"/>
  <c r="Q32" i="33" s="1"/>
  <c r="R40" i="21" s="1"/>
  <c r="R95" i="21" s="1"/>
  <c r="O241" i="33"/>
  <c r="U261" i="33"/>
  <c r="U175" i="33"/>
  <c r="U30" i="33"/>
  <c r="U32" i="33" s="1"/>
  <c r="V40" i="21" s="1"/>
  <c r="V95" i="21" s="1"/>
  <c r="H211" i="33"/>
  <c r="AD228" i="33"/>
  <c r="AA249" i="33"/>
  <c r="T220" i="33"/>
  <c r="S184" i="33"/>
  <c r="AB223" i="33"/>
  <c r="AF128" i="33"/>
  <c r="R151" i="33"/>
  <c r="H135" i="33"/>
  <c r="AD159" i="33"/>
  <c r="T143" i="33"/>
  <c r="S114" i="33"/>
  <c r="AB143" i="33"/>
  <c r="AH299" i="33"/>
  <c r="AH223" i="33"/>
  <c r="AH128" i="33"/>
  <c r="T30" i="33"/>
  <c r="T32" i="33" s="1"/>
  <c r="U40" i="21" s="1"/>
  <c r="U95" i="21" s="1"/>
  <c r="O296" i="33"/>
  <c r="H261" i="33"/>
  <c r="AD279" i="33"/>
  <c r="AA299" i="33"/>
  <c r="J258" i="33"/>
  <c r="N193" i="33"/>
  <c r="J202" i="33"/>
  <c r="N135" i="33"/>
  <c r="N249" i="33"/>
  <c r="Y121" i="33"/>
  <c r="X193" i="33"/>
  <c r="V159" i="33"/>
  <c r="V258" i="33"/>
  <c r="X128" i="33"/>
  <c r="X304" i="33"/>
  <c r="V279" i="33"/>
  <c r="X325" i="33"/>
  <c r="V223" i="33"/>
  <c r="Z266" i="33"/>
  <c r="Y220" i="33"/>
  <c r="K151" i="33"/>
  <c r="L223" i="33"/>
  <c r="K30" i="33"/>
  <c r="K32" i="33" s="1"/>
  <c r="L40" i="21" s="1"/>
  <c r="L95" i="21" s="1"/>
  <c r="L310" i="33"/>
  <c r="M128" i="33"/>
  <c r="M234" i="33"/>
  <c r="L272" i="33"/>
  <c r="K121" i="33"/>
  <c r="M167" i="33"/>
  <c r="W228" i="33"/>
  <c r="I266" i="33"/>
  <c r="J151" i="33"/>
  <c r="J30" i="33"/>
  <c r="J32" i="33" s="1"/>
  <c r="K40" i="21" s="1"/>
  <c r="K95" i="21" s="1"/>
  <c r="AG114" i="33"/>
  <c r="AG128" i="33"/>
  <c r="AG159" i="33"/>
  <c r="W310" i="33"/>
  <c r="X60" i="21"/>
  <c r="X115" i="21" s="1"/>
  <c r="W141" i="33"/>
  <c r="Z87" i="21"/>
  <c r="Z142" i="21" s="1"/>
  <c r="Y332" i="33"/>
  <c r="AA135" i="33"/>
  <c r="H317" i="33"/>
  <c r="AE304" i="33"/>
  <c r="Y135" i="33"/>
  <c r="Y175" i="33"/>
  <c r="M143" i="33"/>
  <c r="W220" i="33"/>
  <c r="S317" i="33"/>
  <c r="G193" i="33"/>
  <c r="AF279" i="33"/>
  <c r="Q249" i="33"/>
  <c r="U167" i="33"/>
  <c r="AD304" i="33"/>
  <c r="T296" i="33"/>
  <c r="S266" i="33"/>
  <c r="AB296" i="33"/>
  <c r="AF223" i="33"/>
  <c r="AE193" i="33"/>
  <c r="R241" i="33"/>
  <c r="O175" i="33"/>
  <c r="H228" i="33"/>
  <c r="AD249" i="33"/>
  <c r="AA184" i="33"/>
  <c r="T234" i="33"/>
  <c r="S211" i="33"/>
  <c r="AB234" i="33"/>
  <c r="AF151" i="33"/>
  <c r="AE121" i="33"/>
  <c r="H159" i="33"/>
  <c r="AA114" i="33"/>
  <c r="AH296" i="33"/>
  <c r="AH220" i="33"/>
  <c r="AH121" i="33"/>
  <c r="S135" i="33"/>
  <c r="AF30" i="33"/>
  <c r="AF32" i="33" s="1"/>
  <c r="AG40" i="21" s="1"/>
  <c r="AG95" i="21" s="1"/>
  <c r="Z121" i="33"/>
  <c r="N272" i="33"/>
  <c r="J279" i="33"/>
  <c r="N128" i="33"/>
  <c r="N228" i="33"/>
  <c r="J135" i="33"/>
  <c r="N325" i="33"/>
  <c r="Y184" i="33"/>
  <c r="X272" i="33"/>
  <c r="V249" i="33"/>
  <c r="X223" i="33"/>
  <c r="Z272" i="33"/>
  <c r="Y304" i="33"/>
  <c r="K241" i="33"/>
  <c r="L299" i="33"/>
  <c r="M114" i="33"/>
  <c r="M223" i="33"/>
  <c r="K184" i="33"/>
  <c r="M310" i="33"/>
  <c r="M241" i="33"/>
  <c r="I279" i="33"/>
  <c r="L211" i="33"/>
  <c r="AG211" i="33"/>
  <c r="AG220" i="33"/>
  <c r="K296" i="33"/>
  <c r="AC135" i="33"/>
  <c r="U184" i="33"/>
  <c r="AA223" i="33"/>
  <c r="V128" i="33"/>
  <c r="W258" i="33"/>
  <c r="I202" i="33"/>
  <c r="AC220" i="33"/>
  <c r="R299" i="33"/>
  <c r="U258" i="33"/>
  <c r="H287" i="33"/>
  <c r="AD114" i="33"/>
  <c r="AC287" i="33"/>
  <c r="AC211" i="33"/>
  <c r="AC114" i="33"/>
  <c r="O135" i="33"/>
  <c r="G266" i="33"/>
  <c r="G184" i="33"/>
  <c r="AD121" i="33"/>
  <c r="Q317" i="33"/>
  <c r="Q258" i="33"/>
  <c r="Q159" i="33"/>
  <c r="U325" i="33"/>
  <c r="U249" i="33"/>
  <c r="U159" i="33"/>
  <c r="AE30" i="33"/>
  <c r="AE32" i="33" s="1"/>
  <c r="AF40" i="21" s="1"/>
  <c r="AF95" i="21" s="1"/>
  <c r="AF299" i="33"/>
  <c r="AE272" i="33"/>
  <c r="R317" i="33"/>
  <c r="O261" i="33"/>
  <c r="H304" i="33"/>
  <c r="AD325" i="33"/>
  <c r="AA266" i="33"/>
  <c r="T310" i="33"/>
  <c r="S287" i="33"/>
  <c r="AB310" i="33"/>
  <c r="AF241" i="33"/>
  <c r="AE220" i="33"/>
  <c r="R175" i="33"/>
  <c r="O202" i="33"/>
  <c r="H249" i="33"/>
  <c r="AD184" i="33"/>
  <c r="AA211" i="33"/>
  <c r="AH287" i="33"/>
  <c r="AH211" i="33"/>
  <c r="AH114" i="33"/>
  <c r="T167" i="33"/>
  <c r="S228" i="33"/>
  <c r="AB167" i="33"/>
  <c r="AE143" i="33"/>
  <c r="O128" i="33"/>
  <c r="J193" i="33"/>
  <c r="N223" i="33"/>
  <c r="N304" i="33"/>
  <c r="J228" i="33"/>
  <c r="Z249" i="33"/>
  <c r="V325" i="33"/>
  <c r="X299" i="33"/>
  <c r="X151" i="33"/>
  <c r="V121" i="33"/>
  <c r="Z287" i="33"/>
  <c r="Z279" i="33"/>
  <c r="Z310" i="33"/>
  <c r="M184" i="33"/>
  <c r="M193" i="33"/>
  <c r="K317" i="33"/>
  <c r="M211" i="33"/>
  <c r="K167" i="33"/>
  <c r="M299" i="33"/>
  <c r="K261" i="33"/>
  <c r="W193" i="33"/>
  <c r="L193" i="33"/>
  <c r="L30" i="33"/>
  <c r="L32" i="33" s="1"/>
  <c r="M40" i="21" s="1"/>
  <c r="M95" i="21" s="1"/>
  <c r="M249" i="33"/>
  <c r="Y143" i="33"/>
  <c r="I114" i="33"/>
  <c r="I167" i="33"/>
  <c r="Y287" i="33"/>
  <c r="AG287" i="33"/>
  <c r="AG299" i="33"/>
  <c r="AG167" i="33"/>
  <c r="J61" i="21"/>
  <c r="J116" i="21" s="1"/>
  <c r="I149" i="33"/>
  <c r="S151" i="33"/>
  <c r="T121" i="33"/>
  <c r="AH304" i="33"/>
  <c r="O220" i="33"/>
  <c r="V167" i="33"/>
  <c r="L325" i="33"/>
  <c r="AC121" i="33"/>
  <c r="AE258" i="33"/>
  <c r="Q167" i="33"/>
  <c r="O317" i="33"/>
  <c r="AA325" i="33"/>
  <c r="T184" i="33"/>
  <c r="AD211" i="33"/>
  <c r="AC279" i="33"/>
  <c r="AC202" i="33"/>
  <c r="O228" i="33"/>
  <c r="G261" i="33"/>
  <c r="G175" i="33"/>
  <c r="H193" i="33"/>
  <c r="AD220" i="33"/>
  <c r="AA143" i="33"/>
  <c r="Q325" i="33"/>
  <c r="Q241" i="33"/>
  <c r="Q151" i="33"/>
  <c r="U317" i="33"/>
  <c r="U241" i="33"/>
  <c r="U151" i="33"/>
  <c r="AF114" i="33"/>
  <c r="R135" i="33"/>
  <c r="O159" i="33"/>
  <c r="H121" i="33"/>
  <c r="AD143" i="33"/>
  <c r="AF317" i="33"/>
  <c r="AE296" i="33"/>
  <c r="R261" i="33"/>
  <c r="O279" i="33"/>
  <c r="H325" i="33"/>
  <c r="AD266" i="33"/>
  <c r="AA287" i="33"/>
  <c r="AH279" i="33"/>
  <c r="AH202" i="33"/>
  <c r="T258" i="33"/>
  <c r="S304" i="33"/>
  <c r="AB258" i="33"/>
  <c r="AF175" i="33"/>
  <c r="AE234" i="33"/>
  <c r="R202" i="33"/>
  <c r="O223" i="33"/>
  <c r="N184" i="33"/>
  <c r="J272" i="33"/>
  <c r="N121" i="33"/>
  <c r="N299" i="33"/>
  <c r="J304" i="33"/>
  <c r="N167" i="33"/>
  <c r="V151" i="33"/>
  <c r="Z167" i="33"/>
  <c r="X121" i="33"/>
  <c r="V193" i="33"/>
  <c r="X241" i="33"/>
  <c r="V220" i="33"/>
  <c r="Z296" i="33"/>
  <c r="Z299" i="33"/>
  <c r="Y223" i="33"/>
  <c r="M266" i="33"/>
  <c r="M272" i="33"/>
  <c r="V228" i="33"/>
  <c r="W159" i="33"/>
  <c r="M287" i="33"/>
  <c r="K258" i="33"/>
  <c r="W175" i="33"/>
  <c r="Y279" i="33"/>
  <c r="W272" i="33"/>
  <c r="L279" i="33"/>
  <c r="L184" i="33"/>
  <c r="I220" i="33"/>
  <c r="I258" i="33"/>
  <c r="L261" i="33"/>
  <c r="I223" i="33"/>
  <c r="I234" i="33"/>
  <c r="AG143" i="33"/>
  <c r="AG258" i="33"/>
  <c r="AC228" i="33"/>
  <c r="Q266" i="33"/>
  <c r="AB121" i="33"/>
  <c r="AA279" i="33"/>
  <c r="P167" i="33"/>
  <c r="I184" i="33"/>
  <c r="AF266" i="33"/>
  <c r="AC272" i="33"/>
  <c r="G258" i="33"/>
  <c r="AD296" i="33"/>
  <c r="T202" i="33"/>
  <c r="Q310" i="33"/>
  <c r="Q234" i="33"/>
  <c r="AB202" i="33"/>
  <c r="U310" i="33"/>
  <c r="U234" i="33"/>
  <c r="U143" i="33"/>
  <c r="AF211" i="33"/>
  <c r="AE175" i="33"/>
  <c r="R228" i="33"/>
  <c r="O249" i="33"/>
  <c r="H220" i="33"/>
  <c r="AD234" i="33"/>
  <c r="T128" i="33"/>
  <c r="AB128" i="33"/>
  <c r="AF135" i="33"/>
  <c r="R159" i="33"/>
  <c r="H143" i="33"/>
  <c r="AH272" i="33"/>
  <c r="AH193" i="33"/>
  <c r="AF261" i="33"/>
  <c r="AE310" i="33"/>
  <c r="R279" i="33"/>
  <c r="O299" i="33"/>
  <c r="N30" i="33"/>
  <c r="N32" i="33" s="1"/>
  <c r="O40" i="21" s="1"/>
  <c r="O95" i="21" s="1"/>
  <c r="N266" i="33"/>
  <c r="J184" i="33"/>
  <c r="N220" i="33"/>
  <c r="N258" i="33"/>
  <c r="Y151" i="33"/>
  <c r="X184" i="33"/>
  <c r="V241" i="33"/>
  <c r="X220" i="33"/>
  <c r="V272" i="33"/>
  <c r="X317" i="33"/>
  <c r="V296" i="33"/>
  <c r="Z175" i="33"/>
  <c r="X30" i="33"/>
  <c r="X32" i="33" s="1"/>
  <c r="Y40" i="21" s="1"/>
  <c r="Y95" i="21" s="1"/>
  <c r="Y310" i="33"/>
  <c r="W143" i="33"/>
  <c r="L121" i="33"/>
  <c r="K114" i="33"/>
  <c r="W241" i="33"/>
  <c r="Y266" i="33"/>
  <c r="W261" i="33"/>
  <c r="L151" i="33"/>
  <c r="W128" i="33"/>
  <c r="K220" i="33"/>
  <c r="M317" i="33"/>
  <c r="I121" i="33"/>
  <c r="Y317" i="33"/>
  <c r="W121" i="33"/>
  <c r="AG310" i="33"/>
  <c r="AG234" i="33"/>
  <c r="I325" i="33"/>
  <c r="W202" i="33"/>
  <c r="AG193" i="33"/>
  <c r="G211" i="33"/>
  <c r="AA159" i="33"/>
  <c r="AB325" i="33"/>
  <c r="R272" i="33"/>
  <c r="K304" i="33"/>
  <c r="AC193" i="33"/>
  <c r="O304" i="33"/>
  <c r="G167" i="33"/>
  <c r="G30" i="33"/>
  <c r="G32" i="33" s="1"/>
  <c r="H40" i="21" s="1"/>
  <c r="H95" i="21" s="1"/>
  <c r="H272" i="33"/>
  <c r="AA234" i="33"/>
  <c r="S159" i="33"/>
  <c r="Q143" i="33"/>
  <c r="R114" i="33"/>
  <c r="AC266" i="33"/>
  <c r="AC184" i="33"/>
  <c r="G325" i="33"/>
  <c r="G249" i="33"/>
  <c r="G159" i="33"/>
  <c r="AA310" i="33"/>
  <c r="T279" i="33"/>
  <c r="S258" i="33"/>
  <c r="Q304" i="33"/>
  <c r="Q228" i="33"/>
  <c r="Q135" i="33"/>
  <c r="AB279" i="33"/>
  <c r="U304" i="33"/>
  <c r="U228" i="33"/>
  <c r="U135" i="33"/>
  <c r="AF287" i="33"/>
  <c r="AE261" i="33"/>
  <c r="R304" i="33"/>
  <c r="O325" i="33"/>
  <c r="H296" i="33"/>
  <c r="AD310" i="33"/>
  <c r="AA167" i="33"/>
  <c r="T223" i="33"/>
  <c r="S193" i="33"/>
  <c r="AB220" i="33"/>
  <c r="AF228" i="33"/>
  <c r="AE202" i="33"/>
  <c r="R249" i="33"/>
  <c r="O184" i="33"/>
  <c r="H234" i="33"/>
  <c r="AD167" i="33"/>
  <c r="T151" i="33"/>
  <c r="S121" i="33"/>
  <c r="AB151" i="33"/>
  <c r="AF159" i="33"/>
  <c r="AE128" i="33"/>
  <c r="O114" i="33"/>
  <c r="AH266" i="33"/>
  <c r="AH184" i="33"/>
  <c r="AB30" i="33"/>
  <c r="AB32" i="33" s="1"/>
  <c r="AC40" i="21" s="1"/>
  <c r="AC95" i="21" s="1"/>
  <c r="Z30" i="33"/>
  <c r="Z32" i="33" s="1"/>
  <c r="AA40" i="21" s="1"/>
  <c r="AA95" i="21" s="1"/>
  <c r="J266" i="33"/>
  <c r="Z143" i="33"/>
  <c r="N296" i="33"/>
  <c r="J128" i="33"/>
  <c r="N151" i="33"/>
  <c r="Z128" i="33"/>
  <c r="Y30" i="33"/>
  <c r="Y32" i="33" s="1"/>
  <c r="Z40" i="21" s="1"/>
  <c r="Z95" i="21" s="1"/>
  <c r="X266" i="33"/>
  <c r="V317" i="33"/>
  <c r="X114" i="33"/>
  <c r="X296" i="33"/>
  <c r="V299" i="33"/>
  <c r="Z220" i="33"/>
  <c r="Z317" i="33"/>
  <c r="L220" i="33"/>
  <c r="Y228" i="33"/>
  <c r="W325" i="33"/>
  <c r="L135" i="33"/>
  <c r="L241" i="33"/>
  <c r="M135" i="33"/>
  <c r="K202" i="33"/>
  <c r="W223" i="33"/>
  <c r="I175" i="33"/>
  <c r="I193" i="33"/>
  <c r="J241" i="33"/>
  <c r="W234" i="33"/>
  <c r="S30" i="33"/>
  <c r="S32" i="33" s="1"/>
  <c r="T40" i="21" s="1"/>
  <c r="T95" i="21" s="1"/>
  <c r="AA258" i="33"/>
  <c r="T299" i="33"/>
  <c r="S272" i="33"/>
  <c r="AB299" i="33"/>
  <c r="AF304" i="33"/>
  <c r="AE279" i="33"/>
  <c r="R325" i="33"/>
  <c r="O266" i="33"/>
  <c r="H310" i="33"/>
  <c r="AD258" i="33"/>
  <c r="AA193" i="33"/>
  <c r="T241" i="33"/>
  <c r="S220" i="33"/>
  <c r="AB241" i="33"/>
  <c r="AF249" i="33"/>
  <c r="AE223" i="33"/>
  <c r="R184" i="33"/>
  <c r="O211" i="33"/>
  <c r="AH261" i="33"/>
  <c r="AH175" i="33"/>
  <c r="H167" i="33"/>
  <c r="AD193" i="33"/>
  <c r="AA121" i="33"/>
  <c r="S143" i="33"/>
  <c r="Z114" i="33"/>
  <c r="N114" i="33"/>
  <c r="J121" i="33"/>
  <c r="J220" i="33"/>
  <c r="N241" i="33"/>
  <c r="J159" i="33"/>
  <c r="Z151" i="33"/>
  <c r="V143" i="33"/>
  <c r="Z159" i="33"/>
  <c r="X211" i="33"/>
  <c r="V184" i="33"/>
  <c r="X143" i="33"/>
  <c r="V114" i="33"/>
  <c r="Z223" i="33"/>
  <c r="X175" i="33"/>
  <c r="K143" i="33"/>
  <c r="L296" i="33"/>
  <c r="K159" i="33"/>
  <c r="L228" i="33"/>
  <c r="M121" i="33"/>
  <c r="L317" i="33"/>
  <c r="M228" i="33"/>
  <c r="K193" i="33"/>
  <c r="K279" i="33"/>
  <c r="W299" i="33"/>
  <c r="L287" i="33"/>
  <c r="L202" i="33"/>
  <c r="Y128" i="33"/>
  <c r="I261" i="33"/>
  <c r="I272" i="33"/>
  <c r="I135" i="33"/>
  <c r="J317" i="33"/>
  <c r="AG121" i="33"/>
  <c r="AG151" i="33"/>
  <c r="AG175" i="33"/>
  <c r="I128" i="33"/>
  <c r="G287" i="33"/>
  <c r="R128" i="33"/>
  <c r="H114" i="33"/>
  <c r="O30" i="33"/>
  <c r="O32" i="33" s="1"/>
  <c r="P40" i="21" s="1"/>
  <c r="P95" i="21" s="1"/>
  <c r="AD261" i="33"/>
  <c r="AF258" i="33"/>
  <c r="Y258" i="33"/>
  <c r="Z304" i="33"/>
  <c r="L234" i="33"/>
  <c r="G272" i="33"/>
  <c r="R211" i="33"/>
  <c r="AC30" i="33"/>
  <c r="AC32" i="33" s="1"/>
  <c r="AD40" i="21" s="1"/>
  <c r="AD95" i="21" s="1"/>
  <c r="Q299" i="33"/>
  <c r="U223" i="33"/>
  <c r="R287" i="33"/>
  <c r="G310" i="33"/>
  <c r="G234" i="33"/>
  <c r="G143" i="33"/>
  <c r="AF193" i="33"/>
  <c r="AE249" i="33"/>
  <c r="R220" i="33"/>
  <c r="O143" i="33"/>
  <c r="AD128" i="33"/>
  <c r="Q296" i="33"/>
  <c r="Q220" i="33"/>
  <c r="Q121" i="33"/>
  <c r="AA151" i="33"/>
  <c r="U296" i="33"/>
  <c r="U220" i="33"/>
  <c r="U121" i="33"/>
  <c r="T114" i="33"/>
  <c r="AB114" i="33"/>
  <c r="AF121" i="33"/>
  <c r="R143" i="33"/>
  <c r="AA30" i="33"/>
  <c r="AA32" i="33" s="1"/>
  <c r="AB40" i="21" s="1"/>
  <c r="AB95" i="21" s="1"/>
  <c r="R30" i="33"/>
  <c r="R32" i="33" s="1"/>
  <c r="S40" i="21" s="1"/>
  <c r="S95" i="21" s="1"/>
  <c r="AA272" i="33"/>
  <c r="T317" i="33"/>
  <c r="S296" i="33"/>
  <c r="AB317" i="33"/>
  <c r="AF325" i="33"/>
  <c r="AE299" i="33"/>
  <c r="R266" i="33"/>
  <c r="O287" i="33"/>
  <c r="AH258" i="33"/>
  <c r="AH167" i="33"/>
  <c r="AH30" i="33"/>
  <c r="AH32" i="33" s="1"/>
  <c r="AI40" i="21" s="1"/>
  <c r="AI95" i="21" s="1"/>
  <c r="H258" i="33"/>
  <c r="AD272" i="33"/>
  <c r="AA220" i="33"/>
  <c r="T175" i="33"/>
  <c r="S234" i="33"/>
  <c r="AB175" i="33"/>
  <c r="Z135" i="33"/>
  <c r="N211" i="33"/>
  <c r="J223" i="33"/>
  <c r="J299" i="33"/>
  <c r="N317" i="33"/>
  <c r="J249" i="33"/>
  <c r="Y193" i="33"/>
  <c r="Y159" i="33"/>
  <c r="V234" i="33"/>
  <c r="X287" i="33"/>
  <c r="V266" i="33"/>
  <c r="X234" i="33"/>
  <c r="V211" i="33"/>
  <c r="Z228" i="33"/>
  <c r="Y202" i="33"/>
  <c r="M175" i="33"/>
  <c r="K234" i="33"/>
  <c r="K249" i="33"/>
  <c r="L304" i="33"/>
  <c r="M220" i="33"/>
  <c r="K175" i="33"/>
  <c r="M304" i="33"/>
  <c r="K272" i="33"/>
  <c r="M151" i="33"/>
  <c r="X261" i="33"/>
  <c r="I287" i="33"/>
  <c r="I211" i="33"/>
  <c r="I30" i="33"/>
  <c r="I32" i="33" s="1"/>
  <c r="J40" i="21" s="1"/>
  <c r="J95" i="21" s="1"/>
  <c r="AG202" i="33"/>
  <c r="AG223" i="33"/>
  <c r="AG135" i="33"/>
  <c r="AG249" i="33"/>
  <c r="AG261" i="33"/>
  <c r="W287" i="33"/>
  <c r="AG184" i="33"/>
  <c r="AA87" i="21"/>
  <c r="AA142" i="21" s="1"/>
  <c r="Z332" i="33"/>
  <c r="G114" i="33"/>
  <c r="Q184" i="33"/>
  <c r="AD135" i="33"/>
  <c r="AH228" i="33"/>
  <c r="AD202" i="33"/>
  <c r="J310" i="33"/>
  <c r="V202" i="33"/>
  <c r="AA304" i="33"/>
  <c r="H184" i="33"/>
  <c r="G151" i="33"/>
  <c r="AE159" i="33"/>
  <c r="Q223" i="33"/>
  <c r="U128" i="33"/>
  <c r="AC167" i="33"/>
  <c r="AC325" i="33"/>
  <c r="AC249" i="33"/>
  <c r="AC159" i="33"/>
  <c r="G304" i="33"/>
  <c r="G228" i="33"/>
  <c r="G135" i="33"/>
  <c r="AF272" i="33"/>
  <c r="AE325" i="33"/>
  <c r="R296" i="33"/>
  <c r="O234" i="33"/>
  <c r="H202" i="33"/>
  <c r="AD223" i="33"/>
  <c r="Q287" i="33"/>
  <c r="Q211" i="33"/>
  <c r="Q114" i="33"/>
  <c r="AA241" i="33"/>
  <c r="U287" i="33"/>
  <c r="U211" i="33"/>
  <c r="U114" i="33"/>
  <c r="T211" i="33"/>
  <c r="S175" i="33"/>
  <c r="AB211" i="33"/>
  <c r="AF220" i="33"/>
  <c r="AE184" i="33"/>
  <c r="R234" i="33"/>
  <c r="H128" i="33"/>
  <c r="AD151" i="33"/>
  <c r="T135" i="33"/>
  <c r="AB135" i="33"/>
  <c r="AF143" i="33"/>
  <c r="AE114" i="33"/>
  <c r="AD30" i="33"/>
  <c r="AD32" i="33" s="1"/>
  <c r="AE40" i="21" s="1"/>
  <c r="AE95" i="21" s="1"/>
  <c r="AH317" i="33"/>
  <c r="AH249" i="33"/>
  <c r="AH159" i="33"/>
  <c r="AA296" i="33"/>
  <c r="T261" i="33"/>
  <c r="S310" i="33"/>
  <c r="AB261" i="33"/>
  <c r="N175" i="33"/>
  <c r="J175" i="33"/>
  <c r="N287" i="33"/>
  <c r="J114" i="33"/>
  <c r="J296" i="33"/>
  <c r="J325" i="33"/>
  <c r="Y249" i="33"/>
  <c r="V310" i="33"/>
  <c r="V175" i="33"/>
  <c r="Z211" i="33"/>
  <c r="X310" i="33"/>
  <c r="V287" i="33"/>
  <c r="X167" i="33"/>
  <c r="Z234" i="33"/>
  <c r="Y296" i="33"/>
  <c r="Y241" i="33"/>
  <c r="M261" i="33"/>
  <c r="K310" i="33"/>
  <c r="W151" i="33"/>
  <c r="M202" i="33"/>
  <c r="K325" i="33"/>
  <c r="W30" i="33"/>
  <c r="W32" i="33" s="1"/>
  <c r="X40" i="21" s="1"/>
  <c r="X95" i="21" s="1"/>
  <c r="M296" i="33"/>
  <c r="K266" i="33"/>
  <c r="K128" i="33"/>
  <c r="L114" i="33"/>
  <c r="I296" i="33"/>
  <c r="W279" i="33"/>
  <c r="AG279" i="33"/>
  <c r="AG296" i="33"/>
  <c r="AG228" i="33"/>
  <c r="AG317" i="33"/>
  <c r="AC304" i="33"/>
  <c r="S241" i="33"/>
  <c r="O151" i="33"/>
  <c r="S299" i="33"/>
  <c r="H175" i="33"/>
  <c r="N310" i="33"/>
  <c r="X228" i="33"/>
  <c r="L128" i="33"/>
  <c r="M258" i="33"/>
  <c r="I317" i="33"/>
  <c r="AC296" i="33"/>
  <c r="T266" i="33"/>
  <c r="AC261" i="33"/>
  <c r="G317" i="33"/>
  <c r="R121" i="33"/>
  <c r="Q128" i="33"/>
  <c r="U299" i="33"/>
  <c r="H266" i="33"/>
  <c r="AC258" i="33"/>
  <c r="AE151" i="33"/>
  <c r="AE241" i="33"/>
  <c r="AC317" i="33"/>
  <c r="AC241" i="33"/>
  <c r="AC151" i="33"/>
  <c r="AB184" i="33"/>
  <c r="G299" i="33"/>
  <c r="G223" i="33"/>
  <c r="G128" i="33"/>
  <c r="O310" i="33"/>
  <c r="H279" i="33"/>
  <c r="AD299" i="33"/>
  <c r="Q279" i="33"/>
  <c r="Q202" i="33"/>
  <c r="AA317" i="33"/>
  <c r="U279" i="33"/>
  <c r="U202" i="33"/>
  <c r="T287" i="33"/>
  <c r="S261" i="33"/>
  <c r="AB287" i="33"/>
  <c r="AF296" i="33"/>
  <c r="AE266" i="33"/>
  <c r="R310" i="33"/>
  <c r="O167" i="33"/>
  <c r="H223" i="33"/>
  <c r="AD241" i="33"/>
  <c r="AA175" i="33"/>
  <c r="T228" i="33"/>
  <c r="S202" i="33"/>
  <c r="AB228" i="33"/>
  <c r="AF234" i="33"/>
  <c r="AE211" i="33"/>
  <c r="R167" i="33"/>
  <c r="H151" i="33"/>
  <c r="T159" i="33"/>
  <c r="S128" i="33"/>
  <c r="AB159" i="33"/>
  <c r="AH325" i="33"/>
  <c r="AH241" i="33"/>
  <c r="AH143" i="33"/>
  <c r="AE135" i="33"/>
  <c r="H30" i="33"/>
  <c r="H32" i="33" s="1"/>
  <c r="I40" i="21" s="1"/>
  <c r="I95" i="21" s="1"/>
  <c r="N261" i="33"/>
  <c r="J261" i="33"/>
  <c r="N202" i="33"/>
  <c r="J211" i="33"/>
  <c r="N143" i="33"/>
  <c r="J143" i="33"/>
  <c r="Z193" i="33"/>
  <c r="Z258" i="33"/>
  <c r="X202" i="33"/>
  <c r="V30" i="33"/>
  <c r="V32" i="33" s="1"/>
  <c r="W40" i="21" s="1"/>
  <c r="W95" i="21" s="1"/>
  <c r="V261" i="33"/>
  <c r="X258" i="33"/>
  <c r="Z241" i="33"/>
  <c r="Y211" i="33"/>
  <c r="Y114" i="33"/>
  <c r="K135" i="33"/>
  <c r="V135" i="33"/>
  <c r="W249" i="33"/>
  <c r="M279" i="33"/>
  <c r="V304" i="33"/>
  <c r="W184" i="33"/>
  <c r="L159" i="33"/>
  <c r="K287" i="33"/>
  <c r="K223" i="33"/>
  <c r="L167" i="33"/>
  <c r="L258" i="33"/>
  <c r="W211" i="33"/>
  <c r="I151" i="33"/>
  <c r="W296" i="33"/>
  <c r="I310" i="33"/>
  <c r="I228" i="33"/>
  <c r="AG304" i="33"/>
  <c r="I304" i="33"/>
  <c r="AG266" i="33"/>
  <c r="T193" i="33"/>
  <c r="T325" i="33"/>
  <c r="J167" i="33"/>
  <c r="W304" i="33"/>
  <c r="AD287" i="33"/>
  <c r="AC175" i="33"/>
  <c r="G241" i="33"/>
  <c r="AE317" i="33"/>
  <c r="AC310" i="33"/>
  <c r="AC234" i="33"/>
  <c r="AC143" i="33"/>
  <c r="AB266" i="33"/>
  <c r="G296" i="33"/>
  <c r="G220" i="33"/>
  <c r="G121" i="33"/>
  <c r="S167" i="33"/>
  <c r="Q272" i="33"/>
  <c r="Q193" i="33"/>
  <c r="U272" i="33"/>
  <c r="U193" i="33"/>
  <c r="O258" i="33"/>
  <c r="H299" i="33"/>
  <c r="AD317" i="33"/>
  <c r="AA261" i="33"/>
  <c r="T304" i="33"/>
  <c r="S279" i="33"/>
  <c r="AB304" i="33"/>
  <c r="AF310" i="33"/>
  <c r="AE287" i="33"/>
  <c r="R258" i="33"/>
  <c r="O193" i="33"/>
  <c r="H241" i="33"/>
  <c r="AD175" i="33"/>
  <c r="AA202" i="33"/>
  <c r="T249" i="33"/>
  <c r="S223" i="33"/>
  <c r="AB249" i="33"/>
  <c r="AH310" i="33"/>
  <c r="AH234" i="33"/>
  <c r="AH151" i="33"/>
  <c r="AF167" i="33"/>
  <c r="AE228" i="33"/>
  <c r="R193" i="33"/>
  <c r="O121" i="33"/>
  <c r="AA128" i="33"/>
  <c r="N279" i="33"/>
  <c r="J287" i="33"/>
  <c r="N234" i="33"/>
  <c r="J234" i="33"/>
  <c r="Z202" i="33"/>
  <c r="N159" i="33"/>
  <c r="Y167" i="33"/>
  <c r="X279" i="33"/>
  <c r="Z184" i="33"/>
  <c r="X135" i="33"/>
  <c r="X159" i="33"/>
  <c r="Z261" i="33"/>
  <c r="Y299" i="33"/>
  <c r="Y261" i="33"/>
  <c r="K228" i="33"/>
  <c r="W317" i="33"/>
  <c r="K211" i="33"/>
  <c r="W167" i="33"/>
  <c r="L143" i="33"/>
  <c r="Y272" i="33"/>
  <c r="W266" i="33"/>
  <c r="L249" i="33"/>
  <c r="M159" i="33"/>
  <c r="K299" i="33"/>
  <c r="I241" i="33"/>
  <c r="M325" i="33"/>
  <c r="W114" i="33"/>
  <c r="AG325" i="33"/>
  <c r="I249" i="33"/>
  <c r="AG241" i="33"/>
  <c r="AG272" i="33"/>
  <c r="J63" i="21"/>
  <c r="J118" i="21" s="1"/>
  <c r="I165" i="33"/>
  <c r="P304" i="33" l="1"/>
  <c r="N87" i="21"/>
  <c r="N142" i="21" s="1"/>
  <c r="M332" i="33"/>
  <c r="R67" i="21"/>
  <c r="R122" i="21" s="1"/>
  <c r="Q200" i="33"/>
  <c r="AH84" i="21"/>
  <c r="AH139" i="21" s="1"/>
  <c r="AG308" i="33"/>
  <c r="O68" i="21"/>
  <c r="O123" i="21" s="1"/>
  <c r="N209" i="33"/>
  <c r="I80" i="21"/>
  <c r="I135" i="21" s="1"/>
  <c r="H285" i="33"/>
  <c r="L59" i="21"/>
  <c r="L114" i="21" s="1"/>
  <c r="K133" i="33"/>
  <c r="AA60" i="21"/>
  <c r="AA115" i="21" s="1"/>
  <c r="Z141" i="33"/>
  <c r="H61" i="21"/>
  <c r="H116" i="21" s="1"/>
  <c r="G149" i="33"/>
  <c r="AA63" i="21"/>
  <c r="AA118" i="21" s="1"/>
  <c r="Z165" i="33"/>
  <c r="N60" i="21"/>
  <c r="N115" i="21" s="1"/>
  <c r="M141" i="33"/>
  <c r="R60" i="21"/>
  <c r="R115" i="21" s="1"/>
  <c r="Q141" i="33"/>
  <c r="O70" i="21"/>
  <c r="O125" i="21" s="1"/>
  <c r="N222" i="33"/>
  <c r="N73" i="21"/>
  <c r="N128" i="21" s="1"/>
  <c r="M239" i="33"/>
  <c r="M65" i="21"/>
  <c r="M120" i="21" s="1"/>
  <c r="L182" i="33"/>
  <c r="P279" i="33"/>
  <c r="I61" i="21"/>
  <c r="I116" i="21" s="1"/>
  <c r="H149" i="33"/>
  <c r="S72" i="21"/>
  <c r="S127" i="21" s="1"/>
  <c r="R232" i="33"/>
  <c r="V85" i="21"/>
  <c r="V140" i="21" s="1"/>
  <c r="U315" i="33"/>
  <c r="AE82" i="21"/>
  <c r="AE137" i="21" s="1"/>
  <c r="AD298" i="33"/>
  <c r="J66" i="21"/>
  <c r="J121" i="21" s="1"/>
  <c r="I191" i="33"/>
  <c r="AD72" i="21"/>
  <c r="AD127" i="21" s="1"/>
  <c r="AC232" i="33"/>
  <c r="J71" i="21"/>
  <c r="J126" i="21" s="1"/>
  <c r="I226" i="33"/>
  <c r="Z80" i="21"/>
  <c r="Z135" i="21" s="1"/>
  <c r="Y285" i="33"/>
  <c r="W72" i="21"/>
  <c r="W127" i="21" s="1"/>
  <c r="V232" i="33"/>
  <c r="W70" i="21"/>
  <c r="W125" i="21" s="1"/>
  <c r="V222" i="33"/>
  <c r="W62" i="21"/>
  <c r="W117" i="21" s="1"/>
  <c r="V157" i="33"/>
  <c r="T84" i="21"/>
  <c r="T139" i="21" s="1"/>
  <c r="S308" i="33"/>
  <c r="AB81" i="21"/>
  <c r="AB136" i="21" s="1"/>
  <c r="AA294" i="33"/>
  <c r="AG86" i="21"/>
  <c r="AG141" i="21" s="1"/>
  <c r="AF323" i="33"/>
  <c r="N69" i="21"/>
  <c r="N124" i="21" s="1"/>
  <c r="M218" i="33"/>
  <c r="AA80" i="21"/>
  <c r="AA135" i="21" s="1"/>
  <c r="Z285" i="33"/>
  <c r="AI69" i="21"/>
  <c r="AI124" i="21" s="1"/>
  <c r="AH218" i="33"/>
  <c r="S65" i="21"/>
  <c r="S120" i="21" s="1"/>
  <c r="R182" i="33"/>
  <c r="AB78" i="21"/>
  <c r="AB133" i="21" s="1"/>
  <c r="AA270" i="33"/>
  <c r="AG83" i="21"/>
  <c r="AG138" i="21" s="1"/>
  <c r="AF302" i="33"/>
  <c r="AF72" i="21"/>
  <c r="AF127" i="21" s="1"/>
  <c r="AE232" i="33"/>
  <c r="H74" i="21"/>
  <c r="H129" i="21" s="1"/>
  <c r="G247" i="33"/>
  <c r="AI61" i="21"/>
  <c r="AI116" i="21" s="1"/>
  <c r="AH149" i="33"/>
  <c r="AD77" i="21"/>
  <c r="AD132" i="21" s="1"/>
  <c r="AC264" i="33"/>
  <c r="K57" i="21"/>
  <c r="K112" i="21" s="1"/>
  <c r="J119" i="33"/>
  <c r="M82" i="21"/>
  <c r="M137" i="21" s="1"/>
  <c r="L298" i="33"/>
  <c r="W83" i="21"/>
  <c r="W138" i="21" s="1"/>
  <c r="V302" i="33"/>
  <c r="AF68" i="21"/>
  <c r="AF123" i="21" s="1"/>
  <c r="AE209" i="33"/>
  <c r="Z62" i="21"/>
  <c r="Z117" i="21" s="1"/>
  <c r="Y157" i="33"/>
  <c r="P72" i="21"/>
  <c r="P127" i="21" s="1"/>
  <c r="O232" i="33"/>
  <c r="O75" i="21"/>
  <c r="O130" i="21" s="1"/>
  <c r="N256" i="33"/>
  <c r="AG59" i="21"/>
  <c r="AG114" i="21" s="1"/>
  <c r="AF133" i="33"/>
  <c r="P151" i="33"/>
  <c r="AH79" i="21"/>
  <c r="AH134" i="21" s="1"/>
  <c r="AG277" i="33"/>
  <c r="J74" i="21"/>
  <c r="J129" i="21" s="1"/>
  <c r="I247" i="33"/>
  <c r="L83" i="21"/>
  <c r="L138" i="21" s="1"/>
  <c r="K302" i="33"/>
  <c r="M61" i="21"/>
  <c r="M116" i="21" s="1"/>
  <c r="L149" i="33"/>
  <c r="L72" i="21"/>
  <c r="L127" i="21" s="1"/>
  <c r="K232" i="33"/>
  <c r="Z64" i="21"/>
  <c r="Z119" i="21" s="1"/>
  <c r="Y173" i="33"/>
  <c r="K81" i="21"/>
  <c r="K136" i="21" s="1"/>
  <c r="J294" i="33"/>
  <c r="AB59" i="21"/>
  <c r="AB114" i="21" s="1"/>
  <c r="AA133" i="33"/>
  <c r="AG64" i="21"/>
  <c r="AG119" i="21" s="1"/>
  <c r="AF173" i="33"/>
  <c r="T71" i="21"/>
  <c r="T126" i="21" s="1"/>
  <c r="S226" i="33"/>
  <c r="S76" i="21"/>
  <c r="S131" i="21" s="1"/>
  <c r="R260" i="33"/>
  <c r="AB77" i="21"/>
  <c r="AB132" i="21" s="1"/>
  <c r="AA264" i="33"/>
  <c r="V67" i="21"/>
  <c r="V122" i="21" s="1"/>
  <c r="U200" i="33"/>
  <c r="R79" i="21"/>
  <c r="R134" i="21" s="1"/>
  <c r="Q277" i="33"/>
  <c r="AD65" i="21"/>
  <c r="AD120" i="21" s="1"/>
  <c r="AC182" i="33"/>
  <c r="J72" i="21"/>
  <c r="J127" i="21" s="1"/>
  <c r="I232" i="33"/>
  <c r="X69" i="21"/>
  <c r="X124" i="21" s="1"/>
  <c r="W218" i="33"/>
  <c r="M63" i="21"/>
  <c r="M118" i="21" s="1"/>
  <c r="L165" i="33"/>
  <c r="N80" i="21"/>
  <c r="N135" i="21" s="1"/>
  <c r="M285" i="33"/>
  <c r="AA74" i="21"/>
  <c r="AA129" i="21" s="1"/>
  <c r="Z247" i="33"/>
  <c r="K61" i="21"/>
  <c r="K116" i="21" s="1"/>
  <c r="J149" i="33"/>
  <c r="K77" i="21"/>
  <c r="K132" i="21" s="1"/>
  <c r="J264" i="33"/>
  <c r="AI74" i="21"/>
  <c r="AI129" i="21" s="1"/>
  <c r="AH247" i="33"/>
  <c r="AC72" i="21"/>
  <c r="AC127" i="21" s="1"/>
  <c r="AB232" i="33"/>
  <c r="P64" i="21"/>
  <c r="P119" i="21" s="1"/>
  <c r="O173" i="33"/>
  <c r="U81" i="21"/>
  <c r="U136" i="21" s="1"/>
  <c r="T294" i="33"/>
  <c r="P85" i="21"/>
  <c r="P140" i="21" s="1"/>
  <c r="O315" i="33"/>
  <c r="H71" i="21"/>
  <c r="H126" i="21" s="1"/>
  <c r="G226" i="33"/>
  <c r="AD86" i="21"/>
  <c r="AD141" i="21" s="1"/>
  <c r="AC323" i="33"/>
  <c r="R59" i="21"/>
  <c r="R114" i="21" s="1"/>
  <c r="Q133" i="33"/>
  <c r="U78" i="21"/>
  <c r="U133" i="21" s="1"/>
  <c r="T270" i="33"/>
  <c r="O85" i="21"/>
  <c r="O140" i="21" s="1"/>
  <c r="N315" i="33"/>
  <c r="T74" i="21"/>
  <c r="T129" i="21" s="1"/>
  <c r="S247" i="33"/>
  <c r="AH86" i="21"/>
  <c r="AH141" i="21" s="1"/>
  <c r="AG323" i="33"/>
  <c r="Z74" i="21"/>
  <c r="Z129" i="21" s="1"/>
  <c r="Y247" i="33"/>
  <c r="AA69" i="21"/>
  <c r="AA124" i="21" s="1"/>
  <c r="Z218" i="33"/>
  <c r="O81" i="21"/>
  <c r="O136" i="21" s="1"/>
  <c r="N294" i="33"/>
  <c r="T85" i="21"/>
  <c r="T140" i="21" s="1"/>
  <c r="S315" i="33"/>
  <c r="AF57" i="21"/>
  <c r="AF112" i="21" s="1"/>
  <c r="AE119" i="33"/>
  <c r="AE62" i="21"/>
  <c r="AE117" i="21" s="1"/>
  <c r="AD157" i="33"/>
  <c r="AC69" i="21"/>
  <c r="AC124" i="21" s="1"/>
  <c r="AB218" i="33"/>
  <c r="V81" i="21"/>
  <c r="V136" i="21" s="1"/>
  <c r="U294" i="33"/>
  <c r="AE71" i="21"/>
  <c r="AE126" i="21" s="1"/>
  <c r="AD226" i="33"/>
  <c r="AD63" i="21"/>
  <c r="AD118" i="21" s="1"/>
  <c r="AC165" i="33"/>
  <c r="R71" i="21"/>
  <c r="R126" i="21" s="1"/>
  <c r="Q226" i="33"/>
  <c r="AB84" i="21"/>
  <c r="AB139" i="21" s="1"/>
  <c r="AA308" i="33"/>
  <c r="AI72" i="21"/>
  <c r="AI127" i="21" s="1"/>
  <c r="AH232" i="33"/>
  <c r="AH71" i="21"/>
  <c r="AH126" i="21" s="1"/>
  <c r="AG226" i="33"/>
  <c r="Y77" i="21"/>
  <c r="Y132" i="21" s="1"/>
  <c r="X264" i="33"/>
  <c r="N84" i="21"/>
  <c r="N139" i="21" s="1"/>
  <c r="M308" i="33"/>
  <c r="AA72" i="21"/>
  <c r="AA127" i="21" s="1"/>
  <c r="Z232" i="33"/>
  <c r="Y81" i="21"/>
  <c r="Y136" i="21" s="1"/>
  <c r="X294" i="33"/>
  <c r="O86" i="21"/>
  <c r="O141" i="21" s="1"/>
  <c r="N323" i="33"/>
  <c r="AB70" i="21"/>
  <c r="AB125" i="21" s="1"/>
  <c r="AA222" i="33"/>
  <c r="AI76" i="21"/>
  <c r="AI131" i="21" s="1"/>
  <c r="AH260" i="33"/>
  <c r="T82" i="21"/>
  <c r="T137" i="21" s="1"/>
  <c r="S298" i="33"/>
  <c r="U57" i="21"/>
  <c r="U112" i="21" s="1"/>
  <c r="T119" i="33"/>
  <c r="P61" i="21"/>
  <c r="P116" i="21" s="1"/>
  <c r="O149" i="33"/>
  <c r="H73" i="21"/>
  <c r="H128" i="21" s="1"/>
  <c r="G239" i="33"/>
  <c r="H79" i="21"/>
  <c r="H134" i="21" s="1"/>
  <c r="G277" i="33"/>
  <c r="AG76" i="21"/>
  <c r="AG131" i="21" s="1"/>
  <c r="AF260" i="33"/>
  <c r="J59" i="21"/>
  <c r="J114" i="21" s="1"/>
  <c r="I133" i="33"/>
  <c r="K86" i="21"/>
  <c r="K141" i="21" s="1"/>
  <c r="J323" i="33"/>
  <c r="M81" i="21"/>
  <c r="M136" i="21" s="1"/>
  <c r="L294" i="33"/>
  <c r="L61" i="21"/>
  <c r="L116" i="21" s="1"/>
  <c r="K149" i="33"/>
  <c r="W57" i="21"/>
  <c r="W112" i="21" s="1"/>
  <c r="V119" i="33"/>
  <c r="W61" i="21"/>
  <c r="W116" i="21" s="1"/>
  <c r="V149" i="33"/>
  <c r="K58" i="21"/>
  <c r="K113" i="21" s="1"/>
  <c r="J126" i="33"/>
  <c r="I64" i="21"/>
  <c r="I119" i="21" s="1"/>
  <c r="H173" i="33"/>
  <c r="S66" i="21"/>
  <c r="S121" i="21" s="1"/>
  <c r="R191" i="33"/>
  <c r="AB67" i="21"/>
  <c r="AB122" i="21" s="1"/>
  <c r="AA200" i="33"/>
  <c r="AG84" i="21"/>
  <c r="AG139" i="21" s="1"/>
  <c r="AF308" i="33"/>
  <c r="M74" i="21"/>
  <c r="M129" i="21" s="1"/>
  <c r="L247" i="33"/>
  <c r="M70" i="21"/>
  <c r="M125" i="21" s="1"/>
  <c r="L222" i="33"/>
  <c r="Y78" i="21"/>
  <c r="Y133" i="21" s="1"/>
  <c r="X270" i="33"/>
  <c r="AG72" i="21"/>
  <c r="AG127" i="21" s="1"/>
  <c r="AF232" i="33"/>
  <c r="I82" i="21"/>
  <c r="I137" i="21" s="1"/>
  <c r="H298" i="33"/>
  <c r="V60" i="21"/>
  <c r="V115" i="21" s="1"/>
  <c r="U141" i="33"/>
  <c r="R72" i="21"/>
  <c r="R127" i="21" s="1"/>
  <c r="Q232" i="33"/>
  <c r="R61" i="21"/>
  <c r="R116" i="21" s="1"/>
  <c r="Q149" i="33"/>
  <c r="P84" i="21"/>
  <c r="P139" i="21" s="1"/>
  <c r="O308" i="33"/>
  <c r="L84" i="21"/>
  <c r="L139" i="21" s="1"/>
  <c r="K308" i="33"/>
  <c r="AB63" i="21"/>
  <c r="AB118" i="21" s="1"/>
  <c r="AA165" i="33"/>
  <c r="J87" i="21"/>
  <c r="J142" i="21" s="1"/>
  <c r="I332" i="33"/>
  <c r="X59" i="21"/>
  <c r="X114" i="21" s="1"/>
  <c r="W133" i="33"/>
  <c r="Z78" i="21"/>
  <c r="Z133" i="21" s="1"/>
  <c r="Y270" i="33"/>
  <c r="Z85" i="21"/>
  <c r="Z140" i="21" s="1"/>
  <c r="Y315" i="33"/>
  <c r="AF85" i="21"/>
  <c r="AF140" i="21" s="1"/>
  <c r="AE315" i="33"/>
  <c r="I58" i="21"/>
  <c r="I113" i="21" s="1"/>
  <c r="H126" i="33"/>
  <c r="V62" i="21"/>
  <c r="V117" i="21" s="1"/>
  <c r="U157" i="33"/>
  <c r="R74" i="21"/>
  <c r="R129" i="21" s="1"/>
  <c r="Q247" i="33"/>
  <c r="I67" i="21"/>
  <c r="I122" i="21" s="1"/>
  <c r="H200" i="33"/>
  <c r="AB87" i="21"/>
  <c r="AB142" i="21" s="1"/>
  <c r="AA332" i="33"/>
  <c r="H78" i="21"/>
  <c r="H133" i="21" s="1"/>
  <c r="G270" i="33"/>
  <c r="AE57" i="21"/>
  <c r="AE112" i="21" s="1"/>
  <c r="AD119" i="33"/>
  <c r="J80" i="21"/>
  <c r="J135" i="21" s="1"/>
  <c r="I285" i="33"/>
  <c r="N85" i="21"/>
  <c r="N140" i="21" s="1"/>
  <c r="M315" i="33"/>
  <c r="N57" i="21"/>
  <c r="N112" i="21" s="1"/>
  <c r="M119" i="33"/>
  <c r="AA79" i="21"/>
  <c r="AA134" i="21" s="1"/>
  <c r="Z277" i="33"/>
  <c r="O87" i="21"/>
  <c r="O142" i="21" s="1"/>
  <c r="N332" i="33"/>
  <c r="O79" i="21"/>
  <c r="O134" i="21" s="1"/>
  <c r="N277" i="33"/>
  <c r="AI70" i="21"/>
  <c r="AI125" i="21" s="1"/>
  <c r="AH222" i="33"/>
  <c r="AB66" i="21"/>
  <c r="AB121" i="21" s="1"/>
  <c r="AA191" i="33"/>
  <c r="AG71" i="21"/>
  <c r="AG126" i="21" s="1"/>
  <c r="AF226" i="33"/>
  <c r="V64" i="21"/>
  <c r="V119" i="21" s="1"/>
  <c r="U173" i="33"/>
  <c r="T86" i="21"/>
  <c r="T141" i="21" s="1"/>
  <c r="S323" i="33"/>
  <c r="AB60" i="21"/>
  <c r="AB115" i="21" s="1"/>
  <c r="AA141" i="33"/>
  <c r="AH59" i="21"/>
  <c r="AH114" i="21" s="1"/>
  <c r="AG133" i="33"/>
  <c r="X72" i="21"/>
  <c r="X127" i="21" s="1"/>
  <c r="W232" i="33"/>
  <c r="M71" i="21"/>
  <c r="M126" i="21" s="1"/>
  <c r="L226" i="33"/>
  <c r="W71" i="21"/>
  <c r="W126" i="21" s="1"/>
  <c r="V226" i="33"/>
  <c r="W63" i="21"/>
  <c r="W118" i="21" s="1"/>
  <c r="V165" i="33"/>
  <c r="K76" i="21"/>
  <c r="K131" i="21" s="1"/>
  <c r="J260" i="33"/>
  <c r="AI83" i="21"/>
  <c r="AI138" i="21" s="1"/>
  <c r="AH302" i="33"/>
  <c r="AE63" i="21"/>
  <c r="AE118" i="21" s="1"/>
  <c r="AD165" i="33"/>
  <c r="AC71" i="21"/>
  <c r="AC126" i="21" s="1"/>
  <c r="AB226" i="33"/>
  <c r="AC79" i="21"/>
  <c r="AC134" i="21" s="1"/>
  <c r="AB277" i="33"/>
  <c r="H80" i="21"/>
  <c r="H135" i="21" s="1"/>
  <c r="G285" i="33"/>
  <c r="T75" i="21"/>
  <c r="T130" i="21" s="1"/>
  <c r="S256" i="33"/>
  <c r="P79" i="21"/>
  <c r="P134" i="21" s="1"/>
  <c r="O277" i="33"/>
  <c r="P202" i="33"/>
  <c r="V83" i="21"/>
  <c r="V138" i="21" s="1"/>
  <c r="U302" i="33"/>
  <c r="Y85" i="21"/>
  <c r="Y140" i="21" s="1"/>
  <c r="X315" i="33"/>
  <c r="V69" i="21"/>
  <c r="V124" i="21" s="1"/>
  <c r="U218" i="33"/>
  <c r="J81" i="21"/>
  <c r="J136" i="21" s="1"/>
  <c r="I294" i="33"/>
  <c r="AI64" i="21"/>
  <c r="AI119" i="21" s="1"/>
  <c r="AH173" i="33"/>
  <c r="S69" i="21"/>
  <c r="S124" i="21" s="1"/>
  <c r="R218" i="33"/>
  <c r="P69" i="21"/>
  <c r="P124" i="21" s="1"/>
  <c r="O218" i="33"/>
  <c r="Z72" i="21"/>
  <c r="Z127" i="21" s="1"/>
  <c r="Y232" i="33"/>
  <c r="AE85" i="21"/>
  <c r="AE140" i="21" s="1"/>
  <c r="AD315" i="33"/>
  <c r="J58" i="21"/>
  <c r="J113" i="21" s="1"/>
  <c r="I126" i="33"/>
  <c r="AE61" i="21"/>
  <c r="AE116" i="21" s="1"/>
  <c r="AD149" i="33"/>
  <c r="Y71" i="21"/>
  <c r="Y126" i="21" s="1"/>
  <c r="X226" i="33"/>
  <c r="P128" i="33"/>
  <c r="P249" i="33"/>
  <c r="AI67" i="21"/>
  <c r="AI122" i="21" s="1"/>
  <c r="AH200" i="33"/>
  <c r="U59" i="21"/>
  <c r="U114" i="21" s="1"/>
  <c r="T133" i="33"/>
  <c r="AF65" i="21"/>
  <c r="AF120" i="21" s="1"/>
  <c r="AE182" i="33"/>
  <c r="AC68" i="21"/>
  <c r="AC123" i="21" s="1"/>
  <c r="AB209" i="33"/>
  <c r="Q64" i="21"/>
  <c r="Q119" i="21" s="1"/>
  <c r="P173" i="33"/>
  <c r="M77" i="21"/>
  <c r="M132" i="21" s="1"/>
  <c r="L264" i="33"/>
  <c r="M66" i="21"/>
  <c r="M121" i="21" s="1"/>
  <c r="L191" i="33"/>
  <c r="N79" i="21"/>
  <c r="N134" i="21" s="1"/>
  <c r="M277" i="33"/>
  <c r="Y74" i="21"/>
  <c r="Y129" i="21" s="1"/>
  <c r="X247" i="33"/>
  <c r="O83" i="21"/>
  <c r="O138" i="21" s="1"/>
  <c r="N302" i="33"/>
  <c r="P71" i="21"/>
  <c r="P126" i="21" s="1"/>
  <c r="O226" i="33"/>
  <c r="U76" i="21"/>
  <c r="U131" i="21" s="1"/>
  <c r="T260" i="33"/>
  <c r="AE78" i="21"/>
  <c r="AE133" i="21" s="1"/>
  <c r="AD270" i="33"/>
  <c r="P310" i="33"/>
  <c r="AD58" i="21"/>
  <c r="AD113" i="21" s="1"/>
  <c r="AC126" i="33"/>
  <c r="P70" i="21"/>
  <c r="P125" i="21" s="1"/>
  <c r="O222" i="33"/>
  <c r="T62" i="21"/>
  <c r="T117" i="21" s="1"/>
  <c r="S157" i="33"/>
  <c r="AH83" i="21"/>
  <c r="AH138" i="21" s="1"/>
  <c r="AG302" i="33"/>
  <c r="Z61" i="21"/>
  <c r="Z116" i="21" s="1"/>
  <c r="Y149" i="33"/>
  <c r="X67" i="21"/>
  <c r="X122" i="21" s="1"/>
  <c r="W200" i="33"/>
  <c r="AA81" i="21"/>
  <c r="AA136" i="21" s="1"/>
  <c r="Z294" i="33"/>
  <c r="W87" i="21"/>
  <c r="W142" i="21" s="1"/>
  <c r="V332" i="33"/>
  <c r="K72" i="21"/>
  <c r="K127" i="21" s="1"/>
  <c r="J232" i="33"/>
  <c r="AC64" i="21"/>
  <c r="AC119" i="21" s="1"/>
  <c r="AB173" i="33"/>
  <c r="AI81" i="21"/>
  <c r="AI136" i="21" s="1"/>
  <c r="AH294" i="33"/>
  <c r="AF70" i="21"/>
  <c r="AF125" i="21" s="1"/>
  <c r="AE222" i="33"/>
  <c r="AE87" i="21"/>
  <c r="AE142" i="21" s="1"/>
  <c r="AD332" i="33"/>
  <c r="P296" i="33"/>
  <c r="W84" i="21"/>
  <c r="W139" i="21" s="1"/>
  <c r="V308" i="33"/>
  <c r="T77" i="21"/>
  <c r="T132" i="21" s="1"/>
  <c r="S264" i="33"/>
  <c r="I66" i="21"/>
  <c r="I121" i="21" s="1"/>
  <c r="H191" i="33"/>
  <c r="K75" i="21"/>
  <c r="K130" i="21" s="1"/>
  <c r="J256" i="33"/>
  <c r="H81" i="21"/>
  <c r="H136" i="21" s="1"/>
  <c r="G294" i="33"/>
  <c r="AA57" i="21"/>
  <c r="AA112" i="21" s="1"/>
  <c r="Z119" i="33"/>
  <c r="P57" i="21"/>
  <c r="P112" i="21" s="1"/>
  <c r="O119" i="33"/>
  <c r="H64" i="21"/>
  <c r="H119" i="21" s="1"/>
  <c r="G173" i="33"/>
  <c r="X77" i="21"/>
  <c r="X132" i="21" s="1"/>
  <c r="W264" i="33"/>
  <c r="AE70" i="21"/>
  <c r="AE125" i="21" s="1"/>
  <c r="AD222" i="33"/>
  <c r="S83" i="21"/>
  <c r="S138" i="21" s="1"/>
  <c r="R302" i="33"/>
  <c r="Z84" i="21"/>
  <c r="Z139" i="21" s="1"/>
  <c r="Y308" i="33"/>
  <c r="U73" i="21"/>
  <c r="U128" i="21" s="1"/>
  <c r="T239" i="33"/>
  <c r="AA78" i="21"/>
  <c r="AA133" i="21" s="1"/>
  <c r="Z270" i="33"/>
  <c r="H68" i="21"/>
  <c r="H123" i="21" s="1"/>
  <c r="G209" i="33"/>
  <c r="P228" i="33"/>
  <c r="AH74" i="21"/>
  <c r="AH129" i="21" s="1"/>
  <c r="AG247" i="33"/>
  <c r="N63" i="21"/>
  <c r="N118" i="21" s="1"/>
  <c r="M165" i="33"/>
  <c r="X64" i="21"/>
  <c r="X119" i="21" s="1"/>
  <c r="W173" i="33"/>
  <c r="Z77" i="21"/>
  <c r="Z132" i="21" s="1"/>
  <c r="Y264" i="33"/>
  <c r="Y60" i="21"/>
  <c r="Y115" i="21" s="1"/>
  <c r="X141" i="33"/>
  <c r="O63" i="21"/>
  <c r="O118" i="21" s="1"/>
  <c r="N165" i="33"/>
  <c r="U75" i="21"/>
  <c r="U130" i="21" s="1"/>
  <c r="T256" i="33"/>
  <c r="AF81" i="21"/>
  <c r="AF136" i="21" s="1"/>
  <c r="AE294" i="33"/>
  <c r="AE86" i="21"/>
  <c r="AE141" i="21" s="1"/>
  <c r="AD323" i="33"/>
  <c r="V79" i="21"/>
  <c r="V134" i="21" s="1"/>
  <c r="U277" i="33"/>
  <c r="AD61" i="21"/>
  <c r="AD116" i="21" s="1"/>
  <c r="AC149" i="33"/>
  <c r="AE81" i="21"/>
  <c r="AE136" i="21" s="1"/>
  <c r="AD294" i="33"/>
  <c r="J85" i="21"/>
  <c r="J140" i="21" s="1"/>
  <c r="I315" i="33"/>
  <c r="M76" i="21"/>
  <c r="M131" i="21" s="1"/>
  <c r="L260" i="33"/>
  <c r="X66" i="21"/>
  <c r="X121" i="21" s="1"/>
  <c r="W191" i="33"/>
  <c r="X75" i="21"/>
  <c r="X130" i="21" s="1"/>
  <c r="W256" i="33"/>
  <c r="Y76" i="21"/>
  <c r="Y131" i="21" s="1"/>
  <c r="X260" i="33"/>
  <c r="Y68" i="21"/>
  <c r="Y123" i="21" s="1"/>
  <c r="X209" i="33"/>
  <c r="O61" i="21"/>
  <c r="O116" i="21" s="1"/>
  <c r="N149" i="33"/>
  <c r="O77" i="21"/>
  <c r="O132" i="21" s="1"/>
  <c r="N264" i="33"/>
  <c r="AI87" i="21"/>
  <c r="AI142" i="21" s="1"/>
  <c r="AH332" i="33"/>
  <c r="I62" i="21"/>
  <c r="I117" i="21" s="1"/>
  <c r="H157" i="33"/>
  <c r="T68" i="21"/>
  <c r="T123" i="21" s="1"/>
  <c r="S209" i="33"/>
  <c r="S85" i="21"/>
  <c r="S140" i="21" s="1"/>
  <c r="R315" i="33"/>
  <c r="H83" i="21"/>
  <c r="H138" i="21" s="1"/>
  <c r="G302" i="33"/>
  <c r="AF74" i="21"/>
  <c r="AF129" i="21" s="1"/>
  <c r="AE247" i="33"/>
  <c r="AD82" i="21"/>
  <c r="AD137" i="21" s="1"/>
  <c r="AC298" i="33"/>
  <c r="I65" i="21"/>
  <c r="I120" i="21" s="1"/>
  <c r="H182" i="33"/>
  <c r="AD84" i="21"/>
  <c r="AD139" i="21" s="1"/>
  <c r="AC308" i="33"/>
  <c r="AH72" i="21"/>
  <c r="AH127" i="21" s="1"/>
  <c r="AG232" i="33"/>
  <c r="J82" i="21"/>
  <c r="J137" i="21" s="1"/>
  <c r="I298" i="33"/>
  <c r="L87" i="21"/>
  <c r="L142" i="21" s="1"/>
  <c r="K332" i="33"/>
  <c r="Z82" i="21"/>
  <c r="Z137" i="21" s="1"/>
  <c r="Y298" i="33"/>
  <c r="W65" i="21"/>
  <c r="W120" i="21" s="1"/>
  <c r="V182" i="33"/>
  <c r="K87" i="21"/>
  <c r="K142" i="21" s="1"/>
  <c r="J332" i="33"/>
  <c r="U77" i="21"/>
  <c r="U132" i="21" s="1"/>
  <c r="T264" i="33"/>
  <c r="AI63" i="21"/>
  <c r="AI118" i="21" s="1"/>
  <c r="AH165" i="33"/>
  <c r="AG61" i="21"/>
  <c r="AG116" i="21" s="1"/>
  <c r="AF149" i="33"/>
  <c r="I59" i="21"/>
  <c r="I114" i="21" s="1"/>
  <c r="H133" i="33"/>
  <c r="T65" i="21"/>
  <c r="T120" i="21" s="1"/>
  <c r="S182" i="33"/>
  <c r="AB74" i="21"/>
  <c r="AB129" i="21" s="1"/>
  <c r="AA247" i="33"/>
  <c r="I68" i="21"/>
  <c r="I123" i="21" s="1"/>
  <c r="H209" i="33"/>
  <c r="H60" i="21"/>
  <c r="H115" i="21" s="1"/>
  <c r="G141" i="33"/>
  <c r="AD75" i="21"/>
  <c r="AD130" i="21" s="1"/>
  <c r="AC256" i="33"/>
  <c r="AH66" i="21"/>
  <c r="AH121" i="21" s="1"/>
  <c r="AG191" i="33"/>
  <c r="AH68" i="21"/>
  <c r="AH123" i="21" s="1"/>
  <c r="AG209" i="33"/>
  <c r="K83" i="21"/>
  <c r="K138" i="21" s="1"/>
  <c r="J302" i="33"/>
  <c r="AE79" i="21"/>
  <c r="AE134" i="21" s="1"/>
  <c r="AD277" i="33"/>
  <c r="P81" i="21"/>
  <c r="P136" i="21" s="1"/>
  <c r="O294" i="33"/>
  <c r="U86" i="21"/>
  <c r="U141" i="21" s="1"/>
  <c r="T323" i="33"/>
  <c r="S61" i="21"/>
  <c r="S116" i="21" s="1"/>
  <c r="R149" i="33"/>
  <c r="R58" i="21"/>
  <c r="R113" i="21" s="1"/>
  <c r="Q126" i="33"/>
  <c r="S70" i="21"/>
  <c r="S125" i="21" s="1"/>
  <c r="R222" i="33"/>
  <c r="H85" i="21"/>
  <c r="H140" i="21" s="1"/>
  <c r="G315" i="33"/>
  <c r="R83" i="21"/>
  <c r="R138" i="21" s="1"/>
  <c r="Q302" i="33"/>
  <c r="AE77" i="21"/>
  <c r="AE132" i="21" s="1"/>
  <c r="AD264" i="33"/>
  <c r="AH65" i="21"/>
  <c r="AH120" i="21" s="1"/>
  <c r="AG182" i="33"/>
  <c r="J60" i="21"/>
  <c r="J115" i="21" s="1"/>
  <c r="I141" i="33"/>
  <c r="X83" i="21"/>
  <c r="X138" i="21" s="1"/>
  <c r="W302" i="33"/>
  <c r="N58" i="21"/>
  <c r="N113" i="21" s="1"/>
  <c r="M126" i="33"/>
  <c r="Y61" i="21"/>
  <c r="Y116" i="21" s="1"/>
  <c r="X149" i="33"/>
  <c r="AF71" i="21"/>
  <c r="AF126" i="21" s="1"/>
  <c r="AE226" i="33"/>
  <c r="AE76" i="21"/>
  <c r="AE131" i="21" s="1"/>
  <c r="AD260" i="33"/>
  <c r="AC83" i="21"/>
  <c r="AC138" i="21" s="1"/>
  <c r="AB302" i="33"/>
  <c r="K74" i="21"/>
  <c r="K129" i="21" s="1"/>
  <c r="J247" i="33"/>
  <c r="O82" i="21"/>
  <c r="O137" i="21" s="1"/>
  <c r="N298" i="33"/>
  <c r="AF59" i="21"/>
  <c r="AF114" i="21" s="1"/>
  <c r="AE133" i="33"/>
  <c r="AE64" i="21"/>
  <c r="AE119" i="21" s="1"/>
  <c r="AD173" i="33"/>
  <c r="AC70" i="21"/>
  <c r="AC125" i="21" s="1"/>
  <c r="AB222" i="33"/>
  <c r="P87" i="21"/>
  <c r="P142" i="21" s="1"/>
  <c r="O332" i="33"/>
  <c r="V72" i="21"/>
  <c r="V127" i="21" s="1"/>
  <c r="U232" i="33"/>
  <c r="R84" i="21"/>
  <c r="R139" i="21" s="1"/>
  <c r="Q308" i="33"/>
  <c r="T63" i="21"/>
  <c r="T118" i="21" s="1"/>
  <c r="S165" i="33"/>
  <c r="AH73" i="21"/>
  <c r="AH128" i="21" s="1"/>
  <c r="AG239" i="33"/>
  <c r="Y70" i="21"/>
  <c r="Y125" i="21" s="1"/>
  <c r="X222" i="33"/>
  <c r="O76" i="21"/>
  <c r="O131" i="21" s="1"/>
  <c r="N260" i="33"/>
  <c r="K66" i="21"/>
  <c r="K121" i="21" s="1"/>
  <c r="J191" i="33"/>
  <c r="AG77" i="21"/>
  <c r="AG132" i="21" s="1"/>
  <c r="AF264" i="33"/>
  <c r="P63" i="21"/>
  <c r="P118" i="21" s="1"/>
  <c r="O165" i="33"/>
  <c r="V74" i="21"/>
  <c r="V129" i="21" s="1"/>
  <c r="U247" i="33"/>
  <c r="R87" i="21"/>
  <c r="R142" i="21" s="1"/>
  <c r="Q332" i="33"/>
  <c r="R63" i="21"/>
  <c r="R118" i="21" s="1"/>
  <c r="Q165" i="33"/>
  <c r="AE58" i="21"/>
  <c r="AE113" i="21" s="1"/>
  <c r="AD126" i="33"/>
  <c r="P60" i="21"/>
  <c r="P115" i="21" s="1"/>
  <c r="O141" i="33"/>
  <c r="AB71" i="21"/>
  <c r="AB126" i="21" s="1"/>
  <c r="AA226" i="33"/>
  <c r="AD60" i="21"/>
  <c r="AD115" i="21" s="1"/>
  <c r="AC141" i="33"/>
  <c r="AH70" i="21"/>
  <c r="AH125" i="21" s="1"/>
  <c r="AG222" i="33"/>
  <c r="M83" i="21"/>
  <c r="M138" i="21" s="1"/>
  <c r="L302" i="33"/>
  <c r="W75" i="21"/>
  <c r="W130" i="21" s="1"/>
  <c r="V256" i="33"/>
  <c r="K60" i="21"/>
  <c r="K115" i="21" s="1"/>
  <c r="J141" i="33"/>
  <c r="AA58" i="21"/>
  <c r="AA113" i="21" s="1"/>
  <c r="Z126" i="33"/>
  <c r="AI82" i="21"/>
  <c r="AI137" i="21" s="1"/>
  <c r="AH298" i="33"/>
  <c r="AF58" i="21"/>
  <c r="AF113" i="21" s="1"/>
  <c r="AE126" i="33"/>
  <c r="AE75" i="21"/>
  <c r="AE130" i="21" s="1"/>
  <c r="AD256" i="33"/>
  <c r="AC82" i="21"/>
  <c r="AC137" i="21" s="1"/>
  <c r="AB298" i="33"/>
  <c r="X70" i="21"/>
  <c r="X125" i="21" s="1"/>
  <c r="W222" i="33"/>
  <c r="AF84" i="21"/>
  <c r="AF139" i="21" s="1"/>
  <c r="AE308" i="33"/>
  <c r="AH57" i="21"/>
  <c r="AH112" i="21" s="1"/>
  <c r="AG119" i="33"/>
  <c r="N64" i="21"/>
  <c r="N119" i="21" s="1"/>
  <c r="M173" i="33"/>
  <c r="L62" i="21"/>
  <c r="L117" i="21" s="1"/>
  <c r="K157" i="33"/>
  <c r="Y87" i="21"/>
  <c r="Y142" i="21" s="1"/>
  <c r="X332" i="33"/>
  <c r="Y67" i="21"/>
  <c r="Y122" i="21" s="1"/>
  <c r="X200" i="33"/>
  <c r="O60" i="21"/>
  <c r="O115" i="21" s="1"/>
  <c r="N141" i="33"/>
  <c r="I60" i="21"/>
  <c r="I115" i="21" s="1"/>
  <c r="H141" i="33"/>
  <c r="T66" i="21"/>
  <c r="T121" i="21" s="1"/>
  <c r="S191" i="33"/>
  <c r="R65" i="21"/>
  <c r="R120" i="21" s="1"/>
  <c r="Q182" i="33"/>
  <c r="T87" i="21"/>
  <c r="T142" i="21" s="1"/>
  <c r="S332" i="33"/>
  <c r="AB72" i="21"/>
  <c r="AB127" i="21" s="1"/>
  <c r="AA232" i="33"/>
  <c r="AG66" i="21"/>
  <c r="AG121" i="21" s="1"/>
  <c r="AF191" i="33"/>
  <c r="Z73" i="21"/>
  <c r="Z128" i="21" s="1"/>
  <c r="Y239" i="33"/>
  <c r="K70" i="21"/>
  <c r="K125" i="21" s="1"/>
  <c r="J222" i="33"/>
  <c r="AI71" i="21"/>
  <c r="AI126" i="21" s="1"/>
  <c r="AH226" i="33"/>
  <c r="P234" i="33"/>
  <c r="P266" i="33"/>
  <c r="P261" i="33"/>
  <c r="P211" i="33"/>
  <c r="AI79" i="21"/>
  <c r="AI134" i="21" s="1"/>
  <c r="AH277" i="33"/>
  <c r="S63" i="21"/>
  <c r="S118" i="21" s="1"/>
  <c r="R165" i="33"/>
  <c r="AG69" i="21"/>
  <c r="AG124" i="21" s="1"/>
  <c r="AF218" i="33"/>
  <c r="H76" i="21"/>
  <c r="H131" i="21" s="1"/>
  <c r="G260" i="33"/>
  <c r="J76" i="21"/>
  <c r="J131" i="21" s="1"/>
  <c r="I260" i="33"/>
  <c r="M80" i="21"/>
  <c r="M135" i="21" s="1"/>
  <c r="L285" i="33"/>
  <c r="X65" i="21"/>
  <c r="X120" i="21" s="1"/>
  <c r="W182" i="33"/>
  <c r="N78" i="21"/>
  <c r="N133" i="21" s="1"/>
  <c r="M270" i="33"/>
  <c r="W67" i="21"/>
  <c r="W122" i="21" s="1"/>
  <c r="V200" i="33"/>
  <c r="O58" i="21"/>
  <c r="O113" i="21" s="1"/>
  <c r="N126" i="33"/>
  <c r="S68" i="21"/>
  <c r="S123" i="21" s="1"/>
  <c r="R209" i="33"/>
  <c r="I87" i="21"/>
  <c r="I142" i="21" s="1"/>
  <c r="H332" i="33"/>
  <c r="AI84" i="21"/>
  <c r="AI139" i="21" s="1"/>
  <c r="AH308" i="33"/>
  <c r="AH81" i="21"/>
  <c r="AH136" i="21" s="1"/>
  <c r="AG294" i="33"/>
  <c r="N75" i="21"/>
  <c r="N130" i="21" s="1"/>
  <c r="M256" i="33"/>
  <c r="L77" i="21"/>
  <c r="L132" i="21" s="1"/>
  <c r="K264" i="33"/>
  <c r="L86" i="21"/>
  <c r="L141" i="21" s="1"/>
  <c r="K323" i="33"/>
  <c r="W58" i="21"/>
  <c r="W113" i="21" s="1"/>
  <c r="V126" i="33"/>
  <c r="O84" i="21"/>
  <c r="O139" i="21" s="1"/>
  <c r="N308" i="33"/>
  <c r="T72" i="21"/>
  <c r="T127" i="21" s="1"/>
  <c r="S232" i="33"/>
  <c r="AB69" i="21"/>
  <c r="AB124" i="21" s="1"/>
  <c r="AA218" i="33"/>
  <c r="AG74" i="21"/>
  <c r="AG129" i="21" s="1"/>
  <c r="AF247" i="33"/>
  <c r="I84" i="21"/>
  <c r="I139" i="21" s="1"/>
  <c r="H308" i="33"/>
  <c r="AC75" i="21"/>
  <c r="AC130" i="21" s="1"/>
  <c r="AB256" i="33"/>
  <c r="L81" i="21"/>
  <c r="L136" i="21" s="1"/>
  <c r="K294" i="33"/>
  <c r="H59" i="21"/>
  <c r="H114" i="21" s="1"/>
  <c r="G133" i="33"/>
  <c r="U65" i="21"/>
  <c r="U120" i="21" s="1"/>
  <c r="T182" i="33"/>
  <c r="H67" i="21"/>
  <c r="H122" i="21" s="1"/>
  <c r="G200" i="33"/>
  <c r="AD83" i="21"/>
  <c r="AD138" i="21" s="1"/>
  <c r="AC302" i="33"/>
  <c r="P220" i="33"/>
  <c r="P317" i="33"/>
  <c r="P30" i="33"/>
  <c r="P32" i="33" s="1"/>
  <c r="Q40" i="21" s="1"/>
  <c r="Q95" i="21" s="1"/>
  <c r="P159" i="33"/>
  <c r="J75" i="21"/>
  <c r="J130" i="21" s="1"/>
  <c r="I256" i="33"/>
  <c r="L69" i="21"/>
  <c r="L124" i="21" s="1"/>
  <c r="K218" i="33"/>
  <c r="Z83" i="21"/>
  <c r="Z138" i="21" s="1"/>
  <c r="Y302" i="33"/>
  <c r="AA66" i="21"/>
  <c r="AA121" i="21" s="1"/>
  <c r="Z191" i="33"/>
  <c r="AA68" i="21"/>
  <c r="AA123" i="21" s="1"/>
  <c r="Z209" i="33"/>
  <c r="O80" i="21"/>
  <c r="O135" i="21" s="1"/>
  <c r="N285" i="33"/>
  <c r="AI62" i="21"/>
  <c r="AI117" i="21" s="1"/>
  <c r="AH157" i="33"/>
  <c r="AB68" i="21"/>
  <c r="AB123" i="21" s="1"/>
  <c r="AA209" i="33"/>
  <c r="AG85" i="21"/>
  <c r="AG140" i="21" s="1"/>
  <c r="AF315" i="33"/>
  <c r="I83" i="21"/>
  <c r="I138" i="21" s="1"/>
  <c r="H302" i="33"/>
  <c r="H58" i="21"/>
  <c r="H113" i="21" s="1"/>
  <c r="G126" i="33"/>
  <c r="AD73" i="21"/>
  <c r="AD128" i="21" s="1"/>
  <c r="AC239" i="33"/>
  <c r="X84" i="21"/>
  <c r="X139" i="21" s="1"/>
  <c r="W308" i="33"/>
  <c r="U67" i="21"/>
  <c r="U122" i="21" s="1"/>
  <c r="T200" i="33"/>
  <c r="X82" i="21"/>
  <c r="X137" i="21" s="1"/>
  <c r="W298" i="33"/>
  <c r="M64" i="21"/>
  <c r="M119" i="21" s="1"/>
  <c r="L173" i="33"/>
  <c r="W60" i="21"/>
  <c r="W115" i="21" s="1"/>
  <c r="V141" i="33"/>
  <c r="AA76" i="21"/>
  <c r="AA131" i="21" s="1"/>
  <c r="Z260" i="33"/>
  <c r="AF60" i="21"/>
  <c r="AF115" i="21" s="1"/>
  <c r="AE141" i="33"/>
  <c r="AC63" i="21"/>
  <c r="AC118" i="21" s="1"/>
  <c r="AB165" i="33"/>
  <c r="U72" i="21"/>
  <c r="U127" i="21" s="1"/>
  <c r="T232" i="33"/>
  <c r="AF78" i="21"/>
  <c r="AF133" i="21" s="1"/>
  <c r="AE270" i="33"/>
  <c r="R68" i="21"/>
  <c r="R123" i="21" s="1"/>
  <c r="Q209" i="33"/>
  <c r="AC66" i="21"/>
  <c r="AC121" i="21" s="1"/>
  <c r="AB191" i="33"/>
  <c r="AF62" i="21"/>
  <c r="AF117" i="21" s="1"/>
  <c r="AE157" i="33"/>
  <c r="S58" i="21"/>
  <c r="S113" i="21" s="1"/>
  <c r="R126" i="33"/>
  <c r="J86" i="21"/>
  <c r="J141" i="21" s="1"/>
  <c r="I323" i="33"/>
  <c r="T83" i="21"/>
  <c r="T138" i="21" s="1"/>
  <c r="S302" i="33"/>
  <c r="AH82" i="21"/>
  <c r="AH137" i="21" s="1"/>
  <c r="AG298" i="33"/>
  <c r="N68" i="21"/>
  <c r="N123" i="21" s="1"/>
  <c r="M209" i="33"/>
  <c r="AA73" i="21"/>
  <c r="AA128" i="21" s="1"/>
  <c r="Z239" i="33"/>
  <c r="K65" i="21"/>
  <c r="K120" i="21" s="1"/>
  <c r="J182" i="33"/>
  <c r="AB82" i="21"/>
  <c r="AB137" i="21" s="1"/>
  <c r="AA298" i="33"/>
  <c r="AI75" i="21"/>
  <c r="AI130" i="21" s="1"/>
  <c r="AH256" i="33"/>
  <c r="AC60" i="21"/>
  <c r="AC115" i="21" s="1"/>
  <c r="AB141" i="33"/>
  <c r="U69" i="21"/>
  <c r="U124" i="21" s="1"/>
  <c r="T218" i="33"/>
  <c r="P73" i="21"/>
  <c r="P128" i="21" s="1"/>
  <c r="O239" i="33"/>
  <c r="H72" i="21"/>
  <c r="H127" i="21" s="1"/>
  <c r="G232" i="33"/>
  <c r="AD87" i="21"/>
  <c r="AD142" i="21" s="1"/>
  <c r="AC332" i="33"/>
  <c r="AF63" i="21"/>
  <c r="AF118" i="21" s="1"/>
  <c r="AE165" i="33"/>
  <c r="AE60" i="21"/>
  <c r="AE115" i="21" s="1"/>
  <c r="AD141" i="33"/>
  <c r="X81" i="21"/>
  <c r="X136" i="21" s="1"/>
  <c r="W294" i="33"/>
  <c r="N62" i="21"/>
  <c r="N117" i="21" s="1"/>
  <c r="M157" i="33"/>
  <c r="L65" i="21"/>
  <c r="L120" i="21" s="1"/>
  <c r="K182" i="33"/>
  <c r="L73" i="21"/>
  <c r="L128" i="21" s="1"/>
  <c r="K239" i="33"/>
  <c r="W69" i="21"/>
  <c r="W124" i="21" s="1"/>
  <c r="V218" i="33"/>
  <c r="W73" i="21"/>
  <c r="W128" i="21" s="1"/>
  <c r="V239" i="33"/>
  <c r="K71" i="21"/>
  <c r="K126" i="21" s="1"/>
  <c r="J226" i="33"/>
  <c r="I76" i="21"/>
  <c r="I131" i="21" s="1"/>
  <c r="H260" i="33"/>
  <c r="S78" i="21"/>
  <c r="S133" i="21" s="1"/>
  <c r="R270" i="33"/>
  <c r="AB79" i="21"/>
  <c r="AB134" i="21" s="1"/>
  <c r="AA277" i="33"/>
  <c r="V58" i="21"/>
  <c r="V113" i="21" s="1"/>
  <c r="U126" i="33"/>
  <c r="R70" i="21"/>
  <c r="R125" i="21" s="1"/>
  <c r="Q222" i="33"/>
  <c r="AF75" i="21"/>
  <c r="AF130" i="21" s="1"/>
  <c r="AE256" i="33"/>
  <c r="M73" i="21"/>
  <c r="M128" i="21" s="1"/>
  <c r="L239" i="33"/>
  <c r="AH62" i="21"/>
  <c r="AH117" i="21" s="1"/>
  <c r="AG157" i="33"/>
  <c r="J79" i="21"/>
  <c r="J134" i="21" s="1"/>
  <c r="I277" i="33"/>
  <c r="L80" i="21"/>
  <c r="L135" i="21" s="1"/>
  <c r="K285" i="33"/>
  <c r="M72" i="21"/>
  <c r="M127" i="21" s="1"/>
  <c r="L232" i="33"/>
  <c r="W66" i="21"/>
  <c r="W121" i="21" s="1"/>
  <c r="V191" i="33"/>
  <c r="AA62" i="21"/>
  <c r="AA117" i="21" s="1"/>
  <c r="Z157" i="33"/>
  <c r="O57" i="21"/>
  <c r="O112" i="21" s="1"/>
  <c r="N119" i="33"/>
  <c r="T61" i="21"/>
  <c r="T116" i="21" s="1"/>
  <c r="S149" i="33"/>
  <c r="AG75" i="21"/>
  <c r="AG130" i="21" s="1"/>
  <c r="AF256" i="33"/>
  <c r="I85" i="21"/>
  <c r="I140" i="21" s="1"/>
  <c r="H315" i="33"/>
  <c r="T79" i="21"/>
  <c r="T134" i="21" s="1"/>
  <c r="S277" i="33"/>
  <c r="X71" i="21"/>
  <c r="X126" i="21" s="1"/>
  <c r="W226" i="33"/>
  <c r="AA86" i="21"/>
  <c r="AA141" i="21" s="1"/>
  <c r="Z323" i="33"/>
  <c r="AA59" i="21"/>
  <c r="AA114" i="21" s="1"/>
  <c r="Z133" i="33"/>
  <c r="AA61" i="21"/>
  <c r="AA116" i="21" s="1"/>
  <c r="Z149" i="33"/>
  <c r="AG63" i="21"/>
  <c r="AG118" i="21" s="1"/>
  <c r="AF165" i="33"/>
  <c r="I73" i="21"/>
  <c r="I128" i="21" s="1"/>
  <c r="H239" i="33"/>
  <c r="T67" i="21"/>
  <c r="T122" i="21" s="1"/>
  <c r="S200" i="33"/>
  <c r="S84" i="21"/>
  <c r="S139" i="21" s="1"/>
  <c r="R308" i="33"/>
  <c r="V84" i="21"/>
  <c r="V139" i="21" s="1"/>
  <c r="U308" i="33"/>
  <c r="T76" i="21"/>
  <c r="T131" i="21" s="1"/>
  <c r="S260" i="33"/>
  <c r="AD66" i="21"/>
  <c r="AD121" i="21" s="1"/>
  <c r="AC191" i="33"/>
  <c r="AB73" i="21"/>
  <c r="AB128" i="21" s="1"/>
  <c r="AA239" i="33"/>
  <c r="AD67" i="21"/>
  <c r="AD122" i="21" s="1"/>
  <c r="AC200" i="33"/>
  <c r="H69" i="21"/>
  <c r="H124" i="21" s="1"/>
  <c r="G218" i="33"/>
  <c r="AH85" i="21"/>
  <c r="AH140" i="21" s="1"/>
  <c r="AG315" i="33"/>
  <c r="X74" i="21"/>
  <c r="X129" i="21" s="1"/>
  <c r="W247" i="33"/>
  <c r="AA65" i="21"/>
  <c r="AA120" i="21" s="1"/>
  <c r="Z182" i="33"/>
  <c r="O78" i="21"/>
  <c r="O133" i="21" s="1"/>
  <c r="N270" i="33"/>
  <c r="P258" i="33"/>
  <c r="S60" i="21"/>
  <c r="S115" i="21" s="1"/>
  <c r="R141" i="33"/>
  <c r="V86" i="21"/>
  <c r="V141" i="21" s="1"/>
  <c r="U323" i="33"/>
  <c r="AD68" i="21"/>
  <c r="AD123" i="21" s="1"/>
  <c r="AC209" i="33"/>
  <c r="P86" i="21"/>
  <c r="P141" i="21" s="1"/>
  <c r="O323" i="33"/>
  <c r="V63" i="21"/>
  <c r="V118" i="21" s="1"/>
  <c r="U165" i="33"/>
  <c r="R76" i="21"/>
  <c r="R131" i="21" s="1"/>
  <c r="Q260" i="33"/>
  <c r="I81" i="21"/>
  <c r="I136" i="21" s="1"/>
  <c r="H294" i="33"/>
  <c r="AD70" i="21"/>
  <c r="AD125" i="21" s="1"/>
  <c r="AC222" i="33"/>
  <c r="AH69" i="21"/>
  <c r="AH124" i="21" s="1"/>
  <c r="AG218" i="33"/>
  <c r="N74" i="21"/>
  <c r="N129" i="21" s="1"/>
  <c r="M247" i="33"/>
  <c r="L66" i="21"/>
  <c r="L121" i="21" s="1"/>
  <c r="K191" i="33"/>
  <c r="L74" i="21"/>
  <c r="L129" i="21" s="1"/>
  <c r="K247" i="33"/>
  <c r="Y79" i="21"/>
  <c r="Y134" i="21" s="1"/>
  <c r="X277" i="33"/>
  <c r="O72" i="21"/>
  <c r="O127" i="21" s="1"/>
  <c r="N232" i="33"/>
  <c r="T60" i="21"/>
  <c r="T115" i="21" s="1"/>
  <c r="S141" i="33"/>
  <c r="AB57" i="21"/>
  <c r="AB112" i="21" s="1"/>
  <c r="AA119" i="33"/>
  <c r="AG62" i="21"/>
  <c r="AG117" i="21" s="1"/>
  <c r="AF157" i="33"/>
  <c r="I72" i="21"/>
  <c r="I127" i="21" s="1"/>
  <c r="H232" i="33"/>
  <c r="T78" i="21"/>
  <c r="T133" i="21" s="1"/>
  <c r="S270" i="33"/>
  <c r="R75" i="21"/>
  <c r="R130" i="21" s="1"/>
  <c r="Q256" i="33"/>
  <c r="N61" i="21"/>
  <c r="N116" i="21" s="1"/>
  <c r="M149" i="33"/>
  <c r="I86" i="21"/>
  <c r="I141" i="21" s="1"/>
  <c r="H323" i="33"/>
  <c r="L58" i="21"/>
  <c r="L113" i="21" s="1"/>
  <c r="K126" i="33"/>
  <c r="N59" i="21"/>
  <c r="N114" i="21" s="1"/>
  <c r="M133" i="33"/>
  <c r="W80" i="21"/>
  <c r="W135" i="21" s="1"/>
  <c r="V285" i="33"/>
  <c r="AB83" i="21"/>
  <c r="AB138" i="21" s="1"/>
  <c r="AA302" i="33"/>
  <c r="AC61" i="21"/>
  <c r="AC116" i="21" s="1"/>
  <c r="AB149" i="33"/>
  <c r="U70" i="21"/>
  <c r="U125" i="21" s="1"/>
  <c r="T222" i="33"/>
  <c r="V65" i="21"/>
  <c r="V120" i="21" s="1"/>
  <c r="U182" i="33"/>
  <c r="R77" i="21"/>
  <c r="R132" i="21" s="1"/>
  <c r="Q264" i="33"/>
  <c r="U79" i="21"/>
  <c r="U134" i="21" s="1"/>
  <c r="T277" i="33"/>
  <c r="Y75" i="21"/>
  <c r="Y130" i="21" s="1"/>
  <c r="X256" i="33"/>
  <c r="V78" i="21"/>
  <c r="V133" i="21" s="1"/>
  <c r="U270" i="33"/>
  <c r="Y63" i="21"/>
  <c r="Y118" i="21" s="1"/>
  <c r="X165" i="33"/>
  <c r="U84" i="21"/>
  <c r="U139" i="21" s="1"/>
  <c r="T308" i="33"/>
  <c r="U87" i="21"/>
  <c r="U142" i="21" s="1"/>
  <c r="T332" i="33"/>
  <c r="W77" i="21"/>
  <c r="W132" i="21" s="1"/>
  <c r="V264" i="33"/>
  <c r="I71" i="21"/>
  <c r="I126" i="21" s="1"/>
  <c r="H226" i="33"/>
  <c r="Y72" i="21"/>
  <c r="Y127" i="21" s="1"/>
  <c r="X232" i="33"/>
  <c r="Z75" i="21"/>
  <c r="Z130" i="21" s="1"/>
  <c r="Y256" i="33"/>
  <c r="R81" i="21"/>
  <c r="R136" i="21" s="1"/>
  <c r="Q294" i="33"/>
  <c r="L79" i="21"/>
  <c r="L134" i="21" s="1"/>
  <c r="K277" i="33"/>
  <c r="M86" i="21"/>
  <c r="M141" i="21" s="1"/>
  <c r="L323" i="33"/>
  <c r="U62" i="21"/>
  <c r="U117" i="21" s="1"/>
  <c r="T157" i="33"/>
  <c r="X61" i="21"/>
  <c r="X116" i="21" s="1"/>
  <c r="W149" i="33"/>
  <c r="J78" i="21"/>
  <c r="J133" i="21" s="1"/>
  <c r="I270" i="33"/>
  <c r="AI60" i="21"/>
  <c r="AI115" i="21" s="1"/>
  <c r="AH141" i="33"/>
  <c r="P193" i="33"/>
  <c r="P299" i="33"/>
  <c r="P135" i="33"/>
  <c r="AE73" i="21"/>
  <c r="AE128" i="21" s="1"/>
  <c r="AD239" i="33"/>
  <c r="R73" i="21"/>
  <c r="R128" i="21" s="1"/>
  <c r="Q239" i="33"/>
  <c r="AB80" i="21"/>
  <c r="AB135" i="21" s="1"/>
  <c r="AA285" i="33"/>
  <c r="AH76" i="21"/>
  <c r="AH131" i="21" s="1"/>
  <c r="AG260" i="33"/>
  <c r="J70" i="21"/>
  <c r="J125" i="21" s="1"/>
  <c r="I222" i="33"/>
  <c r="L76" i="21"/>
  <c r="L131" i="21" s="1"/>
  <c r="K260" i="33"/>
  <c r="Z71" i="21"/>
  <c r="Z126" i="21" s="1"/>
  <c r="Y226" i="33"/>
  <c r="K79" i="21"/>
  <c r="K134" i="21" s="1"/>
  <c r="J277" i="33"/>
  <c r="AF73" i="21"/>
  <c r="AF128" i="21" s="1"/>
  <c r="AE239" i="33"/>
  <c r="P80" i="21"/>
  <c r="P135" i="21" s="1"/>
  <c r="O285" i="33"/>
  <c r="M87" i="21"/>
  <c r="M142" i="21" s="1"/>
  <c r="L332" i="33"/>
  <c r="Z81" i="21"/>
  <c r="Z136" i="21" s="1"/>
  <c r="Y294" i="33"/>
  <c r="N83" i="21"/>
  <c r="N138" i="21" s="1"/>
  <c r="M302" i="33"/>
  <c r="N67" i="21"/>
  <c r="N122" i="21" s="1"/>
  <c r="M200" i="33"/>
  <c r="Y62" i="21"/>
  <c r="Y117" i="21" s="1"/>
  <c r="X157" i="33"/>
  <c r="AA75" i="21"/>
  <c r="AA130" i="21" s="1"/>
  <c r="Z256" i="33"/>
  <c r="O71" i="21"/>
  <c r="O126" i="21" s="1"/>
  <c r="N226" i="33"/>
  <c r="P59" i="21"/>
  <c r="P114" i="21" s="1"/>
  <c r="O133" i="33"/>
  <c r="U64" i="21"/>
  <c r="U119" i="21" s="1"/>
  <c r="T173" i="33"/>
  <c r="AE66" i="21"/>
  <c r="AE121" i="21" s="1"/>
  <c r="AD191" i="33"/>
  <c r="AC85" i="21"/>
  <c r="AC140" i="21" s="1"/>
  <c r="AB315" i="33"/>
  <c r="P77" i="21"/>
  <c r="P132" i="21" s="1"/>
  <c r="O264" i="33"/>
  <c r="Z79" i="21"/>
  <c r="Z134" i="21" s="1"/>
  <c r="Y277" i="33"/>
  <c r="T64" i="21"/>
  <c r="T119" i="21" s="1"/>
  <c r="S173" i="33"/>
  <c r="N82" i="21"/>
  <c r="N137" i="21" s="1"/>
  <c r="M298" i="33"/>
  <c r="AE68" i="21"/>
  <c r="AE123" i="21" s="1"/>
  <c r="AD209" i="33"/>
  <c r="V71" i="21"/>
  <c r="V126" i="21" s="1"/>
  <c r="U226" i="33"/>
  <c r="P272" i="33"/>
  <c r="W59" i="21"/>
  <c r="W114" i="21" s="1"/>
  <c r="V133" i="33"/>
  <c r="AG68" i="21"/>
  <c r="AG123" i="21" s="1"/>
  <c r="AF209" i="33"/>
  <c r="P287" i="33"/>
  <c r="P114" i="33"/>
  <c r="AH87" i="21"/>
  <c r="AH142" i="21" s="1"/>
  <c r="AG332" i="33"/>
  <c r="M75" i="21"/>
  <c r="M130" i="21" s="1"/>
  <c r="L256" i="33"/>
  <c r="AA77" i="21"/>
  <c r="AA132" i="21" s="1"/>
  <c r="Z264" i="33"/>
  <c r="K73" i="21"/>
  <c r="K128" i="21" s="1"/>
  <c r="J239" i="33"/>
  <c r="P58" i="21"/>
  <c r="P113" i="21" s="1"/>
  <c r="O126" i="33"/>
  <c r="AI73" i="21"/>
  <c r="AI128" i="21" s="1"/>
  <c r="AH239" i="33"/>
  <c r="AE65" i="21"/>
  <c r="AE120" i="21" s="1"/>
  <c r="AD182" i="33"/>
  <c r="AC84" i="21"/>
  <c r="AC139" i="21" s="1"/>
  <c r="AB308" i="33"/>
  <c r="P76" i="21"/>
  <c r="P131" i="21" s="1"/>
  <c r="O260" i="33"/>
  <c r="H70" i="21"/>
  <c r="H125" i="21" s="1"/>
  <c r="G222" i="33"/>
  <c r="AD85" i="21"/>
  <c r="AD140" i="21" s="1"/>
  <c r="AC315" i="33"/>
  <c r="AH78" i="21"/>
  <c r="AH133" i="21" s="1"/>
  <c r="AG270" i="33"/>
  <c r="J62" i="21"/>
  <c r="J117" i="21" s="1"/>
  <c r="I157" i="33"/>
  <c r="L71" i="21"/>
  <c r="L126" i="21" s="1"/>
  <c r="K226" i="33"/>
  <c r="L60" i="21"/>
  <c r="L115" i="21" s="1"/>
  <c r="K141" i="33"/>
  <c r="K69" i="21"/>
  <c r="K124" i="21" s="1"/>
  <c r="J218" i="33"/>
  <c r="T59" i="21"/>
  <c r="T114" i="21" s="1"/>
  <c r="S133" i="33"/>
  <c r="S64" i="21"/>
  <c r="S119" i="21" s="1"/>
  <c r="R173" i="33"/>
  <c r="AB65" i="21"/>
  <c r="AB120" i="21" s="1"/>
  <c r="AA182" i="33"/>
  <c r="AG82" i="21"/>
  <c r="AG137" i="21" s="1"/>
  <c r="AF298" i="33"/>
  <c r="V68" i="21"/>
  <c r="V123" i="21" s="1"/>
  <c r="U209" i="33"/>
  <c r="R80" i="21"/>
  <c r="R135" i="21" s="1"/>
  <c r="Q285" i="33"/>
  <c r="AD76" i="21"/>
  <c r="AD131" i="21" s="1"/>
  <c r="AC260" i="33"/>
  <c r="N76" i="21"/>
  <c r="N131" i="21" s="1"/>
  <c r="M260" i="33"/>
  <c r="AH80" i="21"/>
  <c r="AH135" i="21" s="1"/>
  <c r="AG285" i="33"/>
  <c r="X62" i="21"/>
  <c r="X117" i="21" s="1"/>
  <c r="W157" i="33"/>
  <c r="Y64" i="21"/>
  <c r="Y119" i="21" s="1"/>
  <c r="X173" i="33"/>
  <c r="O65" i="21"/>
  <c r="O120" i="21" s="1"/>
  <c r="N182" i="33"/>
  <c r="AI86" i="21"/>
  <c r="AI141" i="21" s="1"/>
  <c r="AH323" i="33"/>
  <c r="S73" i="21"/>
  <c r="S128" i="21" s="1"/>
  <c r="R239" i="33"/>
  <c r="R57" i="21"/>
  <c r="R112" i="21" s="1"/>
  <c r="Q119" i="33"/>
  <c r="S82" i="21"/>
  <c r="S137" i="21" s="1"/>
  <c r="R298" i="33"/>
  <c r="H84" i="21"/>
  <c r="H139" i="21" s="1"/>
  <c r="G308" i="33"/>
  <c r="AD64" i="21"/>
  <c r="AD119" i="21" s="1"/>
  <c r="AC173" i="33"/>
  <c r="H62" i="21"/>
  <c r="H117" i="21" s="1"/>
  <c r="G157" i="33"/>
  <c r="W68" i="21"/>
  <c r="W123" i="21" s="1"/>
  <c r="V209" i="33"/>
  <c r="R66" i="21"/>
  <c r="R121" i="21" s="1"/>
  <c r="Q191" i="33"/>
  <c r="AH77" i="21"/>
  <c r="AH132" i="21" s="1"/>
  <c r="AG264" i="33"/>
  <c r="N70" i="21"/>
  <c r="N125" i="21" s="1"/>
  <c r="M222" i="33"/>
  <c r="N65" i="21"/>
  <c r="N120" i="21" s="1"/>
  <c r="M182" i="33"/>
  <c r="Y73" i="21"/>
  <c r="Y128" i="21" s="1"/>
  <c r="X239" i="33"/>
  <c r="Z63" i="21"/>
  <c r="Z118" i="21" s="1"/>
  <c r="Y165" i="33"/>
  <c r="AC65" i="21"/>
  <c r="AC120" i="21" s="1"/>
  <c r="AB182" i="33"/>
  <c r="AF83" i="21"/>
  <c r="AF138" i="21" s="1"/>
  <c r="AE302" i="33"/>
  <c r="AG58" i="21"/>
  <c r="AG113" i="21" s="1"/>
  <c r="AF126" i="33"/>
  <c r="V70" i="21"/>
  <c r="V125" i="21" s="1"/>
  <c r="U222" i="33"/>
  <c r="R82" i="21"/>
  <c r="R137" i="21" s="1"/>
  <c r="Q298" i="33"/>
  <c r="AG67" i="21"/>
  <c r="AG122" i="21" s="1"/>
  <c r="AF200" i="33"/>
  <c r="AA84" i="21"/>
  <c r="AA139" i="21" s="1"/>
  <c r="Z308" i="33"/>
  <c r="I57" i="21"/>
  <c r="I112" i="21" s="1"/>
  <c r="H119" i="33"/>
  <c r="J77" i="21"/>
  <c r="J132" i="21" s="1"/>
  <c r="I264" i="33"/>
  <c r="L67" i="21"/>
  <c r="L122" i="21" s="1"/>
  <c r="K200" i="33"/>
  <c r="L63" i="21"/>
  <c r="L118" i="21" s="1"/>
  <c r="K165" i="33"/>
  <c r="Y65" i="21"/>
  <c r="Y120" i="21" s="1"/>
  <c r="X182" i="33"/>
  <c r="K63" i="21"/>
  <c r="K118" i="21" s="1"/>
  <c r="J165" i="33"/>
  <c r="AI65" i="21"/>
  <c r="AI120" i="21" s="1"/>
  <c r="AH182" i="33"/>
  <c r="AC74" i="21"/>
  <c r="AC129" i="21" s="1"/>
  <c r="AB247" i="33"/>
  <c r="P78" i="21"/>
  <c r="P133" i="21" s="1"/>
  <c r="O270" i="33"/>
  <c r="U83" i="21"/>
  <c r="U138" i="21" s="1"/>
  <c r="T302" i="33"/>
  <c r="J67" i="21"/>
  <c r="J122" i="21" s="1"/>
  <c r="I200" i="33"/>
  <c r="L68" i="21"/>
  <c r="L123" i="21" s="1"/>
  <c r="K209" i="33"/>
  <c r="M60" i="21"/>
  <c r="M115" i="21" s="1"/>
  <c r="L141" i="33"/>
  <c r="Y82" i="21"/>
  <c r="Y137" i="21" s="1"/>
  <c r="X298" i="33"/>
  <c r="K78" i="21"/>
  <c r="K133" i="21" s="1"/>
  <c r="J270" i="33"/>
  <c r="AI66" i="21"/>
  <c r="AI121" i="21" s="1"/>
  <c r="AH191" i="33"/>
  <c r="AC62" i="21"/>
  <c r="AC117" i="21" s="1"/>
  <c r="AB157" i="33"/>
  <c r="P66" i="21"/>
  <c r="P121" i="21" s="1"/>
  <c r="O191" i="33"/>
  <c r="U71" i="21"/>
  <c r="U126" i="21" s="1"/>
  <c r="T226" i="33"/>
  <c r="AF77" i="21"/>
  <c r="AF132" i="21" s="1"/>
  <c r="AE264" i="33"/>
  <c r="AC80" i="21"/>
  <c r="AC135" i="21" s="1"/>
  <c r="AB285" i="33"/>
  <c r="U80" i="21"/>
  <c r="U135" i="21" s="1"/>
  <c r="T285" i="33"/>
  <c r="H63" i="21"/>
  <c r="H118" i="21" s="1"/>
  <c r="G165" i="33"/>
  <c r="AD78" i="21"/>
  <c r="AD133" i="21" s="1"/>
  <c r="AC270" i="33"/>
  <c r="I79" i="21"/>
  <c r="I134" i="21" s="1"/>
  <c r="H277" i="33"/>
  <c r="S79" i="21"/>
  <c r="S134" i="21" s="1"/>
  <c r="R277" i="33"/>
  <c r="X58" i="21"/>
  <c r="X113" i="21" s="1"/>
  <c r="W126" i="33"/>
  <c r="N86" i="21"/>
  <c r="N141" i="21" s="1"/>
  <c r="M323" i="33"/>
  <c r="L57" i="21"/>
  <c r="L112" i="21" s="1"/>
  <c r="K119" i="33"/>
  <c r="W82" i="21"/>
  <c r="W137" i="21" s="1"/>
  <c r="V298" i="33"/>
  <c r="W74" i="21"/>
  <c r="W129" i="21" s="1"/>
  <c r="V247" i="33"/>
  <c r="H65" i="21"/>
  <c r="H120" i="21" s="1"/>
  <c r="G182" i="33"/>
  <c r="AD80" i="21"/>
  <c r="AD135" i="21" s="1"/>
  <c r="AC285" i="33"/>
  <c r="R64" i="21"/>
  <c r="R119" i="21" s="1"/>
  <c r="Q173" i="33"/>
  <c r="V75" i="21"/>
  <c r="V130" i="21" s="1"/>
  <c r="U256" i="33"/>
  <c r="R86" i="21"/>
  <c r="R141" i="21" s="1"/>
  <c r="Q323" i="33"/>
  <c r="AD57" i="21"/>
  <c r="AD112" i="21" s="1"/>
  <c r="AC119" i="33"/>
  <c r="V76" i="21"/>
  <c r="V131" i="21" s="1"/>
  <c r="U260" i="33"/>
  <c r="J68" i="21"/>
  <c r="J123" i="21" s="1"/>
  <c r="I209" i="33"/>
  <c r="M69" i="21"/>
  <c r="M124" i="21" s="1"/>
  <c r="L218" i="33"/>
  <c r="N71" i="21"/>
  <c r="N126" i="21" s="1"/>
  <c r="M226" i="33"/>
  <c r="Z66" i="21"/>
  <c r="Z121" i="21" s="1"/>
  <c r="Y191" i="33"/>
  <c r="O59" i="21"/>
  <c r="O114" i="21" s="1"/>
  <c r="N133" i="33"/>
  <c r="AC73" i="21"/>
  <c r="AC128" i="21" s="1"/>
  <c r="AB239" i="33"/>
  <c r="P65" i="21"/>
  <c r="P120" i="21" s="1"/>
  <c r="O182" i="33"/>
  <c r="U82" i="21"/>
  <c r="U137" i="21" s="1"/>
  <c r="T298" i="33"/>
  <c r="AG80" i="21"/>
  <c r="AG135" i="21" s="1"/>
  <c r="AF285" i="33"/>
  <c r="Z65" i="21"/>
  <c r="Z120" i="21" s="1"/>
  <c r="Y182" i="33"/>
  <c r="X85" i="21"/>
  <c r="X140" i="21" s="1"/>
  <c r="W315" i="33"/>
  <c r="M79" i="21"/>
  <c r="M134" i="21" s="1"/>
  <c r="L277" i="33"/>
  <c r="M85" i="21"/>
  <c r="M140" i="21" s="1"/>
  <c r="L315" i="33"/>
  <c r="Y84" i="21"/>
  <c r="Y139" i="21" s="1"/>
  <c r="X308" i="33"/>
  <c r="Z58" i="21"/>
  <c r="Z113" i="21" s="1"/>
  <c r="Y126" i="33"/>
  <c r="K68" i="21"/>
  <c r="K123" i="21" s="1"/>
  <c r="J209" i="33"/>
  <c r="AE80" i="21"/>
  <c r="AE135" i="21" s="1"/>
  <c r="AD285" i="33"/>
  <c r="T57" i="21"/>
  <c r="T112" i="21" s="1"/>
  <c r="S119" i="33"/>
  <c r="S62" i="21"/>
  <c r="S117" i="21" s="1"/>
  <c r="R157" i="33"/>
  <c r="AB75" i="21"/>
  <c r="AB130" i="21" s="1"/>
  <c r="AA256" i="33"/>
  <c r="V77" i="21"/>
  <c r="V132" i="21" s="1"/>
  <c r="U264" i="33"/>
  <c r="S71" i="21"/>
  <c r="S126" i="21" s="1"/>
  <c r="R226" i="33"/>
  <c r="AD59" i="21"/>
  <c r="AD114" i="21" s="1"/>
  <c r="AC133" i="33"/>
  <c r="J83" i="21"/>
  <c r="J138" i="21" s="1"/>
  <c r="I302" i="33"/>
  <c r="AC67" i="21"/>
  <c r="AC122" i="21" s="1"/>
  <c r="AB200" i="33"/>
  <c r="AC78" i="21"/>
  <c r="AC133" i="21" s="1"/>
  <c r="AB270" i="33"/>
  <c r="AA67" i="21"/>
  <c r="AA122" i="21" s="1"/>
  <c r="Z200" i="33"/>
  <c r="AD74" i="21"/>
  <c r="AD129" i="21" s="1"/>
  <c r="AC247" i="33"/>
  <c r="N77" i="21"/>
  <c r="N132" i="21" s="1"/>
  <c r="M264" i="33"/>
  <c r="AG70" i="21"/>
  <c r="AG125" i="21" s="1"/>
  <c r="AF222" i="33"/>
  <c r="AH60" i="21"/>
  <c r="AH115" i="21" s="1"/>
  <c r="AG141" i="33"/>
  <c r="AC86" i="21"/>
  <c r="AC141" i="21" s="1"/>
  <c r="AB323" i="33"/>
  <c r="AF80" i="21"/>
  <c r="AF135" i="21" s="1"/>
  <c r="AE285" i="33"/>
  <c r="K59" i="21"/>
  <c r="K114" i="21" s="1"/>
  <c r="J133" i="33"/>
  <c r="H87" i="21"/>
  <c r="H142" i="21" s="1"/>
  <c r="G332" i="33"/>
  <c r="W79" i="21"/>
  <c r="W134" i="21" s="1"/>
  <c r="V277" i="33"/>
  <c r="U66" i="21"/>
  <c r="U121" i="21" s="1"/>
  <c r="T191" i="33"/>
  <c r="V66" i="21"/>
  <c r="V121" i="21" s="1"/>
  <c r="U191" i="33"/>
  <c r="AI58" i="21"/>
  <c r="AI113" i="21" s="1"/>
  <c r="AH126" i="33"/>
  <c r="P82" i="21"/>
  <c r="P137" i="21" s="1"/>
  <c r="O298" i="33"/>
  <c r="P175" i="33"/>
  <c r="AG60" i="21"/>
  <c r="AG115" i="21" s="1"/>
  <c r="AF141" i="33"/>
  <c r="I70" i="21"/>
  <c r="I125" i="21" s="1"/>
  <c r="H222" i="33"/>
  <c r="V61" i="21"/>
  <c r="V116" i="21" s="1"/>
  <c r="U149" i="33"/>
  <c r="R85" i="21"/>
  <c r="R140" i="21" s="1"/>
  <c r="Q315" i="33"/>
  <c r="AD79" i="21"/>
  <c r="AD134" i="21" s="1"/>
  <c r="AC277" i="33"/>
  <c r="AC58" i="21"/>
  <c r="AC113" i="21" s="1"/>
  <c r="AB126" i="33"/>
  <c r="AH61" i="21"/>
  <c r="AH116" i="21" s="1"/>
  <c r="AG149" i="33"/>
  <c r="N81" i="21"/>
  <c r="N136" i="21" s="1"/>
  <c r="M294" i="33"/>
  <c r="AA83" i="21"/>
  <c r="AA138" i="21" s="1"/>
  <c r="Z302" i="33"/>
  <c r="Y58" i="21"/>
  <c r="Y113" i="21" s="1"/>
  <c r="X126" i="33"/>
  <c r="O64" i="21"/>
  <c r="O119" i="21" s="1"/>
  <c r="N173" i="33"/>
  <c r="AG65" i="21"/>
  <c r="AG120" i="21" s="1"/>
  <c r="AF182" i="33"/>
  <c r="AI68" i="21"/>
  <c r="AI123" i="21" s="1"/>
  <c r="AH209" i="33"/>
  <c r="S77" i="21"/>
  <c r="S132" i="21" s="1"/>
  <c r="R264" i="33"/>
  <c r="U58" i="21"/>
  <c r="U113" i="21" s="1"/>
  <c r="T126" i="33"/>
  <c r="J64" i="21"/>
  <c r="J119" i="21" s="1"/>
  <c r="I173" i="33"/>
  <c r="N66" i="21"/>
  <c r="N121" i="21" s="1"/>
  <c r="M191" i="33"/>
  <c r="I75" i="21"/>
  <c r="I130" i="21" s="1"/>
  <c r="H256" i="33"/>
  <c r="T81" i="21"/>
  <c r="T136" i="21" s="1"/>
  <c r="S294" i="33"/>
  <c r="S86" i="21"/>
  <c r="S141" i="21" s="1"/>
  <c r="R323" i="33"/>
  <c r="Z69" i="21"/>
  <c r="Z124" i="21" s="1"/>
  <c r="Y218" i="33"/>
  <c r="AB86" i="21"/>
  <c r="AB141" i="21" s="1"/>
  <c r="AA323" i="33"/>
  <c r="Z68" i="21"/>
  <c r="Z123" i="21" s="1"/>
  <c r="Y209" i="33"/>
  <c r="AE67" i="21"/>
  <c r="AE122" i="21" s="1"/>
  <c r="AD200" i="33"/>
  <c r="R62" i="21"/>
  <c r="R117" i="21" s="1"/>
  <c r="Q157" i="33"/>
  <c r="H66" i="21"/>
  <c r="H121" i="21" s="1"/>
  <c r="G191" i="33"/>
  <c r="AF67" i="21"/>
  <c r="AF122" i="21" s="1"/>
  <c r="AE200" i="33"/>
  <c r="O67" i="21"/>
  <c r="O122" i="21" s="1"/>
  <c r="N200" i="33"/>
  <c r="P143" i="33"/>
  <c r="P241" i="33"/>
  <c r="P184" i="33"/>
  <c r="X57" i="21"/>
  <c r="X112" i="21" s="1"/>
  <c r="W119" i="33"/>
  <c r="X78" i="21"/>
  <c r="X133" i="21" s="1"/>
  <c r="W270" i="33"/>
  <c r="X86" i="21"/>
  <c r="X141" i="21" s="1"/>
  <c r="W323" i="33"/>
  <c r="Y80" i="21"/>
  <c r="Y135" i="21" s="1"/>
  <c r="X285" i="33"/>
  <c r="O73" i="21"/>
  <c r="O128" i="21" s="1"/>
  <c r="N239" i="33"/>
  <c r="S67" i="21"/>
  <c r="S122" i="21" s="1"/>
  <c r="R200" i="33"/>
  <c r="AI85" i="21"/>
  <c r="AI140" i="21" s="1"/>
  <c r="AH315" i="33"/>
  <c r="I74" i="21"/>
  <c r="I129" i="21" s="1"/>
  <c r="H247" i="33"/>
  <c r="T80" i="21"/>
  <c r="T135" i="21" s="1"/>
  <c r="S285" i="33"/>
  <c r="H82" i="21"/>
  <c r="H137" i="21" s="1"/>
  <c r="G298" i="33"/>
  <c r="AF86" i="21"/>
  <c r="AF141" i="21" s="1"/>
  <c r="AE323" i="33"/>
  <c r="K64" i="21"/>
  <c r="K119" i="21" s="1"/>
  <c r="J173" i="33"/>
  <c r="J84" i="21"/>
  <c r="J139" i="21" s="1"/>
  <c r="I308" i="33"/>
  <c r="Z57" i="21"/>
  <c r="Z112" i="21" s="1"/>
  <c r="Y119" i="33"/>
  <c r="U63" i="21"/>
  <c r="U118" i="21" s="1"/>
  <c r="T165" i="33"/>
  <c r="AF69" i="21"/>
  <c r="AF124" i="21" s="1"/>
  <c r="AE218" i="33"/>
  <c r="AE74" i="21"/>
  <c r="AE129" i="21" s="1"/>
  <c r="AD247" i="33"/>
  <c r="AC81" i="21"/>
  <c r="AC136" i="21" s="1"/>
  <c r="AB294" i="33"/>
  <c r="V80" i="21"/>
  <c r="V135" i="21" s="1"/>
  <c r="U285" i="33"/>
  <c r="AE83" i="21"/>
  <c r="AE138" i="21" s="1"/>
  <c r="AD302" i="33"/>
  <c r="AD62" i="21"/>
  <c r="AD117" i="21" s="1"/>
  <c r="AC157" i="33"/>
  <c r="I78" i="21"/>
  <c r="I133" i="21" s="1"/>
  <c r="H270" i="33"/>
  <c r="H86" i="21"/>
  <c r="H141" i="21" s="1"/>
  <c r="G323" i="33"/>
  <c r="M59" i="21"/>
  <c r="M114" i="21" s="1"/>
  <c r="L133" i="33"/>
  <c r="X80" i="21"/>
  <c r="X135" i="21" s="1"/>
  <c r="W285" i="33"/>
  <c r="M57" i="21"/>
  <c r="M112" i="21" s="1"/>
  <c r="L119" i="33"/>
  <c r="L78" i="21"/>
  <c r="L133" i="21" s="1"/>
  <c r="K270" i="33"/>
  <c r="L85" i="21"/>
  <c r="L140" i="21" s="1"/>
  <c r="K315" i="33"/>
  <c r="W81" i="21"/>
  <c r="W136" i="21" s="1"/>
  <c r="V294" i="33"/>
  <c r="W85" i="21"/>
  <c r="W140" i="21" s="1"/>
  <c r="V315" i="33"/>
  <c r="K82" i="21"/>
  <c r="K137" i="21" s="1"/>
  <c r="J298" i="33"/>
  <c r="U60" i="21"/>
  <c r="U115" i="21" s="1"/>
  <c r="T141" i="33"/>
  <c r="AF66" i="21"/>
  <c r="AF121" i="21" s="1"/>
  <c r="AE191" i="33"/>
  <c r="V57" i="21"/>
  <c r="V112" i="21" s="1"/>
  <c r="U119" i="33"/>
  <c r="R69" i="21"/>
  <c r="R124" i="21" s="1"/>
  <c r="Q218" i="33"/>
  <c r="AF87" i="21"/>
  <c r="AF142" i="21" s="1"/>
  <c r="AE332" i="33"/>
  <c r="V59" i="21"/>
  <c r="V114" i="21" s="1"/>
  <c r="U133" i="33"/>
  <c r="K85" i="21"/>
  <c r="K140" i="21" s="1"/>
  <c r="J315" i="33"/>
  <c r="H57" i="21"/>
  <c r="H112" i="21" s="1"/>
  <c r="G119" i="33"/>
  <c r="AH75" i="21"/>
  <c r="AH130" i="21" s="1"/>
  <c r="AG256" i="33"/>
  <c r="J69" i="21"/>
  <c r="J124" i="21" s="1"/>
  <c r="I218" i="33"/>
  <c r="M84" i="21"/>
  <c r="M139" i="21" s="1"/>
  <c r="L308" i="33"/>
  <c r="W78" i="21"/>
  <c r="W133" i="21" s="1"/>
  <c r="V270" i="33"/>
  <c r="Z67" i="21"/>
  <c r="Z122" i="21" s="1"/>
  <c r="Y200" i="33"/>
  <c r="O69" i="21"/>
  <c r="O124" i="21" s="1"/>
  <c r="N218" i="33"/>
  <c r="T73" i="21"/>
  <c r="T128" i="21" s="1"/>
  <c r="S239" i="33"/>
  <c r="AG87" i="21"/>
  <c r="AG142" i="21" s="1"/>
  <c r="AF332" i="33"/>
  <c r="AC57" i="21"/>
  <c r="AC112" i="21" s="1"/>
  <c r="AB119" i="33"/>
  <c r="V82" i="21"/>
  <c r="V137" i="21" s="1"/>
  <c r="U298" i="33"/>
  <c r="AE59" i="21"/>
  <c r="AE114" i="21" s="1"/>
  <c r="AD133" i="33"/>
  <c r="S81" i="21"/>
  <c r="S136" i="21" s="1"/>
  <c r="R294" i="33"/>
  <c r="Z76" i="21"/>
  <c r="Z131" i="21" s="1"/>
  <c r="Y260" i="33"/>
  <c r="S59" i="21"/>
  <c r="S114" i="21" s="1"/>
  <c r="R133" i="33"/>
  <c r="AH58" i="21"/>
  <c r="AH113" i="21" s="1"/>
  <c r="AG126" i="33"/>
  <c r="Z59" i="21"/>
  <c r="Z114" i="21" s="1"/>
  <c r="Y133" i="33"/>
  <c r="N72" i="21"/>
  <c r="N127" i="21" s="1"/>
  <c r="M232" i="33"/>
  <c r="AA71" i="21"/>
  <c r="AA126" i="21" s="1"/>
  <c r="Z226" i="33"/>
  <c r="Y69" i="21"/>
  <c r="Y124" i="21" s="1"/>
  <c r="X218" i="33"/>
  <c r="O74" i="21"/>
  <c r="O129" i="21" s="1"/>
  <c r="N247" i="33"/>
  <c r="AB58" i="21"/>
  <c r="AB113" i="21" s="1"/>
  <c r="AA126" i="33"/>
  <c r="AI77" i="21"/>
  <c r="AI132" i="21" s="1"/>
  <c r="AH264" i="33"/>
  <c r="T70" i="21"/>
  <c r="T125" i="21" s="1"/>
  <c r="S222" i="33"/>
  <c r="S87" i="21"/>
  <c r="S142" i="21" s="1"/>
  <c r="R332" i="33"/>
  <c r="AB76" i="21"/>
  <c r="AB131" i="21" s="1"/>
  <c r="AA260" i="33"/>
  <c r="X73" i="21"/>
  <c r="X128" i="21" s="1"/>
  <c r="W239" i="33"/>
  <c r="J65" i="21"/>
  <c r="J120" i="21" s="1"/>
  <c r="I182" i="33"/>
  <c r="X87" i="21"/>
  <c r="X142" i="21" s="1"/>
  <c r="W332" i="33"/>
  <c r="AA70" i="21"/>
  <c r="AA125" i="21" s="1"/>
  <c r="Z222" i="33"/>
  <c r="Y57" i="21"/>
  <c r="Y112" i="21" s="1"/>
  <c r="X119" i="33"/>
  <c r="O62" i="21"/>
  <c r="O117" i="21" s="1"/>
  <c r="N157" i="33"/>
  <c r="AI78" i="21"/>
  <c r="AI133" i="21" s="1"/>
  <c r="AH270" i="33"/>
  <c r="T58" i="21"/>
  <c r="T113" i="21" s="1"/>
  <c r="S126" i="33"/>
  <c r="S75" i="21"/>
  <c r="S130" i="21" s="1"/>
  <c r="R256" i="33"/>
  <c r="AB64" i="21"/>
  <c r="AB119" i="21" s="1"/>
  <c r="AA173" i="33"/>
  <c r="AG81" i="21"/>
  <c r="AG136" i="21" s="1"/>
  <c r="AF294" i="33"/>
  <c r="AB85" i="21"/>
  <c r="AB140" i="21" s="1"/>
  <c r="AA315" i="33"/>
  <c r="H75" i="21"/>
  <c r="H130" i="21" s="1"/>
  <c r="G256" i="33"/>
  <c r="S57" i="21"/>
  <c r="S112" i="21" s="1"/>
  <c r="R119" i="33"/>
  <c r="AC87" i="21"/>
  <c r="AC142" i="21" s="1"/>
  <c r="AB332" i="33"/>
  <c r="AH67" i="21"/>
  <c r="AH122" i="21" s="1"/>
  <c r="AG200" i="33"/>
  <c r="Z86" i="21"/>
  <c r="Z141" i="21" s="1"/>
  <c r="Y323" i="33"/>
  <c r="L70" i="21"/>
  <c r="L125" i="21" s="1"/>
  <c r="K222" i="33"/>
  <c r="M62" i="21"/>
  <c r="M117" i="21" s="1"/>
  <c r="L157" i="33"/>
  <c r="M58" i="21"/>
  <c r="M113" i="21" s="1"/>
  <c r="L126" i="33"/>
  <c r="Y86" i="21"/>
  <c r="Y141" i="21" s="1"/>
  <c r="X323" i="33"/>
  <c r="Y66" i="21"/>
  <c r="Y121" i="21" s="1"/>
  <c r="X191" i="33"/>
  <c r="P83" i="21"/>
  <c r="P138" i="21" s="1"/>
  <c r="O302" i="33"/>
  <c r="AG57" i="21"/>
  <c r="AG112" i="21" s="1"/>
  <c r="AF119" i="33"/>
  <c r="AB61" i="21"/>
  <c r="AB116" i="21" s="1"/>
  <c r="AA149" i="33"/>
  <c r="H77" i="21"/>
  <c r="H132" i="21" s="1"/>
  <c r="G264" i="33"/>
  <c r="AE69" i="21"/>
  <c r="AE124" i="21" s="1"/>
  <c r="AD218" i="33"/>
  <c r="AF76" i="21"/>
  <c r="AF131" i="21" s="1"/>
  <c r="AE260" i="33"/>
  <c r="V87" i="21"/>
  <c r="V142" i="21" s="1"/>
  <c r="U332" i="33"/>
  <c r="AD69" i="21"/>
  <c r="AD124" i="21" s="1"/>
  <c r="AC218" i="33"/>
  <c r="X76" i="21"/>
  <c r="X131" i="21" s="1"/>
  <c r="W260" i="33"/>
  <c r="L82" i="21"/>
  <c r="L137" i="21" s="1"/>
  <c r="K298" i="33"/>
  <c r="K80" i="21"/>
  <c r="K135" i="21" s="1"/>
  <c r="J285" i="33"/>
  <c r="I63" i="21"/>
  <c r="I118" i="21" s="1"/>
  <c r="H165" i="33"/>
  <c r="T69" i="21"/>
  <c r="T124" i="21" s="1"/>
  <c r="S218" i="33"/>
  <c r="S74" i="21"/>
  <c r="S129" i="21" s="1"/>
  <c r="R247" i="33"/>
  <c r="AE84" i="21"/>
  <c r="AE139" i="21" s="1"/>
  <c r="AD308" i="33"/>
  <c r="Z60" i="21"/>
  <c r="Z115" i="21" s="1"/>
  <c r="Y141" i="33"/>
  <c r="AH63" i="21"/>
  <c r="AH118" i="21" s="1"/>
  <c r="AG165" i="33"/>
  <c r="K62" i="21"/>
  <c r="K117" i="21" s="1"/>
  <c r="J157" i="33"/>
  <c r="Z70" i="21"/>
  <c r="Z125" i="21" s="1"/>
  <c r="Y222" i="33"/>
  <c r="Y59" i="21"/>
  <c r="Y114" i="21" s="1"/>
  <c r="X133" i="33"/>
  <c r="I77" i="21"/>
  <c r="I132" i="21" s="1"/>
  <c r="H264" i="33"/>
  <c r="AI59" i="21"/>
  <c r="AI114" i="21" s="1"/>
  <c r="AH133" i="33"/>
  <c r="U61" i="21"/>
  <c r="U116" i="21" s="1"/>
  <c r="T149" i="33"/>
  <c r="AE72" i="21"/>
  <c r="AE127" i="21" s="1"/>
  <c r="AD232" i="33"/>
  <c r="P74" i="21"/>
  <c r="P129" i="21" s="1"/>
  <c r="O247" i="33"/>
  <c r="AF64" i="21"/>
  <c r="AF119" i="21" s="1"/>
  <c r="AE173" i="33"/>
  <c r="AD71" i="21"/>
  <c r="AD126" i="21" s="1"/>
  <c r="AC226" i="33"/>
  <c r="M78" i="21"/>
  <c r="M133" i="21" s="1"/>
  <c r="L270" i="33"/>
  <c r="P67" i="21"/>
  <c r="P122" i="21" s="1"/>
  <c r="O200" i="33"/>
  <c r="AG73" i="21"/>
  <c r="AG128" i="21" s="1"/>
  <c r="AF239" i="33"/>
  <c r="P62" i="21"/>
  <c r="P117" i="21" s="1"/>
  <c r="O157" i="33"/>
  <c r="AC77" i="21"/>
  <c r="AC132" i="21" s="1"/>
  <c r="AB264" i="33"/>
  <c r="AG79" i="21"/>
  <c r="AG134" i="21" s="1"/>
  <c r="AF277" i="33"/>
  <c r="L75" i="21"/>
  <c r="L130" i="21" s="1"/>
  <c r="K256" i="33"/>
  <c r="AB62" i="21"/>
  <c r="AB117" i="21" s="1"/>
  <c r="AA157" i="33"/>
  <c r="M68" i="21"/>
  <c r="M123" i="21" s="1"/>
  <c r="L209" i="33"/>
  <c r="U74" i="21"/>
  <c r="U129" i="21" s="1"/>
  <c r="T247" i="33"/>
  <c r="W86" i="21"/>
  <c r="W141" i="21" s="1"/>
  <c r="V323" i="33"/>
  <c r="X68" i="21"/>
  <c r="X123" i="21" s="1"/>
  <c r="W209" i="33"/>
  <c r="S80" i="21"/>
  <c r="S135" i="21" s="1"/>
  <c r="R285" i="33"/>
  <c r="AD81" i="21"/>
  <c r="AD136" i="21" s="1"/>
  <c r="AC294" i="33"/>
  <c r="W76" i="21"/>
  <c r="W131" i="21" s="1"/>
  <c r="V260" i="33"/>
  <c r="I69" i="21"/>
  <c r="I124" i="21" s="1"/>
  <c r="H218" i="33"/>
  <c r="P121" i="33"/>
  <c r="P223" i="33"/>
  <c r="P325" i="33"/>
  <c r="AC59" i="21"/>
  <c r="AC114" i="21" s="1"/>
  <c r="AB133" i="33"/>
  <c r="P75" i="21"/>
  <c r="P130" i="21" s="1"/>
  <c r="O256" i="33"/>
  <c r="V73" i="21"/>
  <c r="V128" i="21" s="1"/>
  <c r="U239" i="33"/>
  <c r="U68" i="21"/>
  <c r="U123" i="21" s="1"/>
  <c r="T209" i="33"/>
  <c r="AG78" i="21"/>
  <c r="AG133" i="21" s="1"/>
  <c r="AF270" i="33"/>
  <c r="R78" i="21"/>
  <c r="R133" i="21" s="1"/>
  <c r="Q270" i="33"/>
  <c r="J73" i="21"/>
  <c r="J128" i="21" s="1"/>
  <c r="I239" i="33"/>
  <c r="X79" i="21"/>
  <c r="X134" i="21" s="1"/>
  <c r="W277" i="33"/>
  <c r="X63" i="21"/>
  <c r="X118" i="21" s="1"/>
  <c r="W165" i="33"/>
  <c r="AA82" i="21"/>
  <c r="AA137" i="21" s="1"/>
  <c r="Z298" i="33"/>
  <c r="AA64" i="21"/>
  <c r="AA119" i="21" s="1"/>
  <c r="Z173" i="33"/>
  <c r="K84" i="21"/>
  <c r="K139" i="21" s="1"/>
  <c r="J308" i="33"/>
  <c r="O66" i="21"/>
  <c r="O121" i="21" s="1"/>
  <c r="N191" i="33"/>
  <c r="AC76" i="21"/>
  <c r="AC131" i="21" s="1"/>
  <c r="AB260" i="33"/>
  <c r="AI80" i="21"/>
  <c r="AI135" i="21" s="1"/>
  <c r="AH285" i="33"/>
  <c r="AF82" i="21"/>
  <c r="AF137" i="21" s="1"/>
  <c r="AE298" i="33"/>
  <c r="W64" i="21"/>
  <c r="W119" i="21" s="1"/>
  <c r="V173" i="33"/>
  <c r="AH64" i="21"/>
  <c r="AH119" i="21" s="1"/>
  <c r="AG173" i="33"/>
  <c r="J57" i="21"/>
  <c r="J112" i="21" s="1"/>
  <c r="I119" i="33"/>
  <c r="M67" i="21"/>
  <c r="M122" i="21" s="1"/>
  <c r="L200" i="33"/>
  <c r="L64" i="21"/>
  <c r="L119" i="21" s="1"/>
  <c r="K173" i="33"/>
  <c r="AA85" i="21"/>
  <c r="AA140" i="21" s="1"/>
  <c r="Z315" i="33"/>
  <c r="Y83" i="21"/>
  <c r="Y138" i="21" s="1"/>
  <c r="X302" i="33"/>
  <c r="K67" i="21"/>
  <c r="K122" i="21" s="1"/>
  <c r="J200" i="33"/>
  <c r="AF61" i="21"/>
  <c r="AF116" i="21" s="1"/>
  <c r="AE149" i="33"/>
  <c r="AI57" i="21"/>
  <c r="AI112" i="21" s="1"/>
  <c r="AH119" i="33"/>
  <c r="P68" i="21"/>
  <c r="P123" i="21" s="1"/>
  <c r="O209" i="33"/>
  <c r="U85" i="21"/>
  <c r="U140" i="21" s="1"/>
  <c r="T315" i="33"/>
  <c r="AF79" i="21"/>
  <c r="AF134" i="21" s="1"/>
  <c r="AE277" i="33"/>
  <c r="Q83" i="21" l="1"/>
  <c r="Q138" i="21" s="1"/>
  <c r="P302" i="33"/>
  <c r="Q76" i="21"/>
  <c r="Q131" i="21" s="1"/>
  <c r="P260" i="33"/>
  <c r="Q69" i="21"/>
  <c r="Q124" i="21" s="1"/>
  <c r="P218" i="33"/>
  <c r="Q71" i="21"/>
  <c r="Q126" i="21" s="1"/>
  <c r="P226" i="33"/>
  <c r="Q74" i="21"/>
  <c r="Q129" i="21" s="1"/>
  <c r="P247" i="33"/>
  <c r="Q77" i="21"/>
  <c r="Q132" i="21" s="1"/>
  <c r="P264" i="33"/>
  <c r="Q72" i="21"/>
  <c r="Q127" i="21" s="1"/>
  <c r="P232" i="33"/>
  <c r="Q80" i="21"/>
  <c r="Q135" i="21" s="1"/>
  <c r="P285" i="33"/>
  <c r="Q57" i="21"/>
  <c r="Q112" i="21" s="1"/>
  <c r="P119" i="33"/>
  <c r="Q67" i="21"/>
  <c r="Q122" i="21" s="1"/>
  <c r="P200" i="33"/>
  <c r="Q58" i="21"/>
  <c r="Q113" i="21" s="1"/>
  <c r="P126" i="33"/>
  <c r="Q61" i="21"/>
  <c r="Q116" i="21" s="1"/>
  <c r="P149" i="33"/>
  <c r="Q86" i="21"/>
  <c r="Q141" i="21" s="1"/>
  <c r="P323" i="33"/>
  <c r="Q78" i="21"/>
  <c r="Q133" i="21" s="1"/>
  <c r="P270" i="33"/>
  <c r="Q82" i="21"/>
  <c r="Q137" i="21" s="1"/>
  <c r="P298" i="33"/>
  <c r="Q79" i="21"/>
  <c r="Q134" i="21" s="1"/>
  <c r="P277" i="33"/>
  <c r="Q65" i="21"/>
  <c r="Q120" i="21" s="1"/>
  <c r="P182" i="33"/>
  <c r="Q70" i="21"/>
  <c r="Q125" i="21" s="1"/>
  <c r="P222" i="33"/>
  <c r="Q73" i="21"/>
  <c r="Q128" i="21" s="1"/>
  <c r="P239" i="33"/>
  <c r="Q81" i="21"/>
  <c r="Q136" i="21" s="1"/>
  <c r="P294" i="33"/>
  <c r="Q75" i="21"/>
  <c r="Q130" i="21" s="1"/>
  <c r="P256" i="33"/>
  <c r="Q62" i="21"/>
  <c r="Q117" i="21" s="1"/>
  <c r="P157" i="33"/>
  <c r="Q63" i="21"/>
  <c r="Q118" i="21" s="1"/>
  <c r="P165" i="33"/>
  <c r="Q60" i="21"/>
  <c r="Q115" i="21" s="1"/>
  <c r="P141" i="33"/>
  <c r="Q87" i="21"/>
  <c r="Q142" i="21" s="1"/>
  <c r="P332" i="33"/>
  <c r="Q66" i="21"/>
  <c r="Q121" i="21" s="1"/>
  <c r="P191" i="33"/>
  <c r="Q85" i="21"/>
  <c r="Q140" i="21" s="1"/>
  <c r="P315" i="33"/>
  <c r="Q59" i="21"/>
  <c r="Q114" i="21" s="1"/>
  <c r="P133" i="33"/>
  <c r="Q68" i="21"/>
  <c r="Q123" i="21" s="1"/>
  <c r="P209" i="33"/>
  <c r="Q84" i="21"/>
  <c r="Q139" i="21" s="1"/>
  <c r="P308" i="33"/>
  <c r="F4" i="8" l="1"/>
  <c r="AC4" i="8" l="1"/>
  <c r="AE33" i="21" s="1"/>
  <c r="K6" i="8"/>
  <c r="M22" i="29" s="1"/>
  <c r="AP22" i="29" s="1"/>
  <c r="AD6" i="8"/>
  <c r="AF22" i="29" s="1"/>
  <c r="BI22" i="29" s="1"/>
  <c r="G7" i="8"/>
  <c r="I23" i="29" s="1"/>
  <c r="AL23" i="29" s="1"/>
  <c r="H5" i="8"/>
  <c r="J21" i="29" s="1"/>
  <c r="AM21" i="29" s="1"/>
  <c r="T4" i="8"/>
  <c r="V33" i="21" s="1"/>
  <c r="Y5" i="8"/>
  <c r="AA21" i="29" s="1"/>
  <c r="BD21" i="29" s="1"/>
  <c r="K3" i="8"/>
  <c r="M13" i="11" s="1"/>
  <c r="AP13" i="11" s="1"/>
  <c r="I38" i="22" s="1"/>
  <c r="L9" i="8"/>
  <c r="N25" i="29" s="1"/>
  <c r="AQ25" i="29" s="1"/>
  <c r="N4" i="8"/>
  <c r="P33" i="21" s="1"/>
  <c r="Z3" i="8"/>
  <c r="AB13" i="11" s="1"/>
  <c r="BE13" i="11" s="1"/>
  <c r="X38" i="22" s="1"/>
  <c r="Z6" i="8"/>
  <c r="AB22" i="29" s="1"/>
  <c r="BE22" i="29" s="1"/>
  <c r="O7" i="8"/>
  <c r="Q23" i="29" s="1"/>
  <c r="AT23" i="29" s="1"/>
  <c r="F5" i="8"/>
  <c r="AC9" i="8"/>
  <c r="AE25" i="29" s="1"/>
  <c r="BH25" i="29" s="1"/>
  <c r="R4" i="8"/>
  <c r="T33" i="21" s="1"/>
  <c r="AD3" i="8"/>
  <c r="AF13" i="11" s="1"/>
  <c r="BI13" i="11" s="1"/>
  <c r="AB38" i="22" s="1"/>
  <c r="S8" i="8"/>
  <c r="U24" i="29" s="1"/>
  <c r="AX24" i="29" s="1"/>
  <c r="AE9" i="8"/>
  <c r="AG25" i="29" s="1"/>
  <c r="BJ25" i="29" s="1"/>
  <c r="AF3" i="8"/>
  <c r="AH13" i="11" s="1"/>
  <c r="BK13" i="11" s="1"/>
  <c r="AD38" i="22" s="1"/>
  <c r="AF6" i="8"/>
  <c r="AH22" i="29" s="1"/>
  <c r="BK22" i="29" s="1"/>
  <c r="J8" i="8"/>
  <c r="L24" i="29" s="1"/>
  <c r="AO24" i="29" s="1"/>
  <c r="K5" i="8"/>
  <c r="M21" i="29" s="1"/>
  <c r="AP21" i="29" s="1"/>
  <c r="W6" i="8"/>
  <c r="Y22" i="29" s="1"/>
  <c r="BB22" i="29" s="1"/>
  <c r="M7" i="8"/>
  <c r="O23" i="29" s="1"/>
  <c r="AR23" i="29" s="1"/>
  <c r="Z4" i="8"/>
  <c r="AB33" i="21" s="1"/>
  <c r="P8" i="8"/>
  <c r="R24" i="29" s="1"/>
  <c r="AU24" i="29" s="1"/>
  <c r="R3" i="8"/>
  <c r="T13" i="11" s="1"/>
  <c r="AW13" i="11" s="1"/>
  <c r="P38" i="22" s="1"/>
  <c r="T6" i="8"/>
  <c r="V22" i="29" s="1"/>
  <c r="AY22" i="29" s="1"/>
  <c r="AA8" i="8"/>
  <c r="AC24" i="29" s="1"/>
  <c r="BF24" i="29" s="1"/>
  <c r="AB4" i="8"/>
  <c r="AD33" i="21" s="1"/>
  <c r="Q8" i="8"/>
  <c r="S24" i="29" s="1"/>
  <c r="AV24" i="29" s="1"/>
  <c r="R5" i="8"/>
  <c r="T21" i="29" s="1"/>
  <c r="AW21" i="29" s="1"/>
  <c r="AD5" i="8"/>
  <c r="AF21" i="29" s="1"/>
  <c r="BI21" i="29" s="1"/>
  <c r="AE8" i="8"/>
  <c r="AG24" i="29" s="1"/>
  <c r="BJ24" i="29" s="1"/>
  <c r="AF5" i="8"/>
  <c r="AH21" i="29" s="1"/>
  <c r="BK21" i="29" s="1"/>
  <c r="V9" i="8"/>
  <c r="X25" i="29" s="1"/>
  <c r="BA25" i="29" s="1"/>
  <c r="K4" i="8"/>
  <c r="M33" i="21" s="1"/>
  <c r="W3" i="8"/>
  <c r="Y13" i="11" s="1"/>
  <c r="BB13" i="11" s="1"/>
  <c r="U38" i="22" s="1"/>
  <c r="L8" i="8"/>
  <c r="N24" i="29" s="1"/>
  <c r="AQ24" i="29" s="1"/>
  <c r="X9" i="8"/>
  <c r="Z25" i="29" s="1"/>
  <c r="BC25" i="29" s="1"/>
  <c r="N5" i="8"/>
  <c r="P21" i="29" s="1"/>
  <c r="AS21" i="29" s="1"/>
  <c r="Z5" i="8"/>
  <c r="AB21" i="29" s="1"/>
  <c r="BE21" i="29" s="1"/>
  <c r="O3" i="8"/>
  <c r="Q13" i="11" s="1"/>
  <c r="AT13" i="11" s="1"/>
  <c r="M38" i="22" s="1"/>
  <c r="F52" i="22" s="1"/>
  <c r="O6" i="8"/>
  <c r="Q22" i="29" s="1"/>
  <c r="AT22" i="29" s="1"/>
  <c r="AA7" i="8"/>
  <c r="AC23" i="29" s="1"/>
  <c r="BF23" i="29" s="1"/>
  <c r="AB9" i="8"/>
  <c r="AD25" i="29" s="1"/>
  <c r="BG25" i="29" s="1"/>
  <c r="P9" i="8"/>
  <c r="R25" i="29" s="1"/>
  <c r="AU25" i="29" s="1"/>
  <c r="F9" i="8"/>
  <c r="G3" i="8"/>
  <c r="I13" i="11" s="1"/>
  <c r="AL13" i="11" s="1"/>
  <c r="E38" i="22" s="1"/>
  <c r="E44" i="22" s="1"/>
  <c r="G6" i="8"/>
  <c r="I22" i="29" s="1"/>
  <c r="AL22" i="29" s="1"/>
  <c r="S7" i="8"/>
  <c r="U23" i="29" s="1"/>
  <c r="AX23" i="29" s="1"/>
  <c r="H9" i="8"/>
  <c r="J25" i="29" s="1"/>
  <c r="AM25" i="29" s="1"/>
  <c r="T5" i="8"/>
  <c r="V21" i="29" s="1"/>
  <c r="AY21" i="29" s="1"/>
  <c r="AF4" i="8"/>
  <c r="AH33" i="21" s="1"/>
  <c r="J7" i="8"/>
  <c r="L23" i="29" s="1"/>
  <c r="AO23" i="29" s="1"/>
  <c r="V8" i="8"/>
  <c r="X24" i="29" s="1"/>
  <c r="BA24" i="29" s="1"/>
  <c r="Y9" i="8"/>
  <c r="AA25" i="29" s="1"/>
  <c r="BD25" i="29" s="1"/>
  <c r="W5" i="8"/>
  <c r="Y21" i="29" s="1"/>
  <c r="BB21" i="29" s="1"/>
  <c r="L7" i="8"/>
  <c r="N23" i="29" s="1"/>
  <c r="AQ23" i="29" s="1"/>
  <c r="N9" i="8"/>
  <c r="P25" i="29" s="1"/>
  <c r="AS25" i="29" s="1"/>
  <c r="O4" i="8"/>
  <c r="Q33" i="21" s="1"/>
  <c r="AA6" i="8"/>
  <c r="AC22" i="29" s="1"/>
  <c r="BF22" i="29" s="1"/>
  <c r="AB8" i="8"/>
  <c r="AD24" i="29" s="1"/>
  <c r="BG24" i="29" s="1"/>
  <c r="AC8" i="8"/>
  <c r="AE24" i="29" s="1"/>
  <c r="BH24" i="29" s="1"/>
  <c r="G5" i="8"/>
  <c r="I21" i="29" s="1"/>
  <c r="AL21" i="29" s="1"/>
  <c r="S6" i="8"/>
  <c r="U22" i="29" s="1"/>
  <c r="AX22" i="29" s="1"/>
  <c r="T9" i="8"/>
  <c r="V25" i="29" s="1"/>
  <c r="AY25" i="29" s="1"/>
  <c r="W4" i="8"/>
  <c r="Y33" i="21" s="1"/>
  <c r="M3" i="8"/>
  <c r="O13" i="11" s="1"/>
  <c r="AR13" i="11" s="1"/>
  <c r="K38" i="22" s="1"/>
  <c r="M6" i="8"/>
  <c r="O22" i="29" s="1"/>
  <c r="AR22" i="29" s="1"/>
  <c r="X8" i="8"/>
  <c r="Z24" i="29" s="1"/>
  <c r="BC24" i="29" s="1"/>
  <c r="AA3" i="8"/>
  <c r="AC13" i="11" s="1"/>
  <c r="BF13" i="11" s="1"/>
  <c r="Y38" i="22" s="1"/>
  <c r="P7" i="8"/>
  <c r="R23" i="29" s="1"/>
  <c r="AU23" i="29" s="1"/>
  <c r="Q7" i="8"/>
  <c r="S23" i="29" s="1"/>
  <c r="AV23" i="29" s="1"/>
  <c r="Q6" i="8"/>
  <c r="S22" i="29" s="1"/>
  <c r="AV22" i="29" s="1"/>
  <c r="AC7" i="8"/>
  <c r="AE23" i="29" s="1"/>
  <c r="BH23" i="29" s="1"/>
  <c r="R9" i="8"/>
  <c r="T25" i="29" s="1"/>
  <c r="AW25" i="29" s="1"/>
  <c r="AD4" i="8"/>
  <c r="AF33" i="21" s="1"/>
  <c r="S3" i="8"/>
  <c r="U13" i="11" s="1"/>
  <c r="AX13" i="11" s="1"/>
  <c r="Q38" i="22" s="1"/>
  <c r="AE7" i="8"/>
  <c r="AG23" i="29" s="1"/>
  <c r="BJ23" i="29" s="1"/>
  <c r="H8" i="8"/>
  <c r="J24" i="29" s="1"/>
  <c r="AM24" i="29" s="1"/>
  <c r="J6" i="8"/>
  <c r="L22" i="29" s="1"/>
  <c r="AO22" i="29" s="1"/>
  <c r="V7" i="8"/>
  <c r="X23" i="29" s="1"/>
  <c r="BA23" i="29" s="1"/>
  <c r="M5" i="8"/>
  <c r="O21" i="29" s="1"/>
  <c r="AR21" i="29" s="1"/>
  <c r="L6" i="8"/>
  <c r="N22" i="29" s="1"/>
  <c r="AQ22" i="29" s="1"/>
  <c r="N8" i="8"/>
  <c r="P24" i="29" s="1"/>
  <c r="AS24" i="29" s="1"/>
  <c r="Z9" i="8"/>
  <c r="AB25" i="29" s="1"/>
  <c r="BE25" i="29" s="1"/>
  <c r="O5" i="8"/>
  <c r="Q21" i="29" s="1"/>
  <c r="AT21" i="29" s="1"/>
  <c r="AA4" i="8"/>
  <c r="AC33" i="21" s="1"/>
  <c r="P6" i="8"/>
  <c r="R22" i="29" s="1"/>
  <c r="AU22" i="29" s="1"/>
  <c r="AB7" i="8"/>
  <c r="AD23" i="29" s="1"/>
  <c r="BG23" i="29" s="1"/>
  <c r="Q3" i="8"/>
  <c r="S13" i="11" s="1"/>
  <c r="AV13" i="11" s="1"/>
  <c r="O38" i="22" s="1"/>
  <c r="F8" i="8"/>
  <c r="R8" i="8"/>
  <c r="T24" i="29" s="1"/>
  <c r="AW24" i="29" s="1"/>
  <c r="AD9" i="8"/>
  <c r="AF25" i="29" s="1"/>
  <c r="BI25" i="29" s="1"/>
  <c r="G4" i="8"/>
  <c r="I33" i="21" s="1"/>
  <c r="S5" i="8"/>
  <c r="U21" i="29" s="1"/>
  <c r="AX21" i="29" s="1"/>
  <c r="H7" i="8"/>
  <c r="J23" i="29" s="1"/>
  <c r="AM23" i="29" s="1"/>
  <c r="AF9" i="8"/>
  <c r="AH25" i="29" s="1"/>
  <c r="BK25" i="29" s="1"/>
  <c r="J3" i="8"/>
  <c r="L13" i="11" s="1"/>
  <c r="AO13" i="11" s="1"/>
  <c r="H38" i="22" s="1"/>
  <c r="Y8" i="8"/>
  <c r="AA24" i="29" s="1"/>
  <c r="BD24" i="29" s="1"/>
  <c r="K9" i="8"/>
  <c r="M25" i="29" s="1"/>
  <c r="AP25" i="29" s="1"/>
  <c r="M4" i="8"/>
  <c r="O33" i="21" s="1"/>
  <c r="L3" i="8"/>
  <c r="N13" i="11" s="1"/>
  <c r="AQ13" i="11" s="1"/>
  <c r="J38" i="22" s="1"/>
  <c r="X7" i="8"/>
  <c r="Z23" i="29" s="1"/>
  <c r="BC23" i="29" s="1"/>
  <c r="P3" i="8"/>
  <c r="R13" i="11" s="1"/>
  <c r="AU13" i="11" s="1"/>
  <c r="N38" i="22" s="1"/>
  <c r="T3" i="8"/>
  <c r="V13" i="11" s="1"/>
  <c r="AY13" i="11" s="1"/>
  <c r="R38" i="22" s="1"/>
  <c r="S52" i="22" s="1"/>
  <c r="U52" i="22" s="1"/>
  <c r="AF7" i="8"/>
  <c r="AH23" i="29" s="1"/>
  <c r="BK23" i="29" s="1"/>
  <c r="W7" i="8"/>
  <c r="Y23" i="29" s="1"/>
  <c r="BB23" i="29" s="1"/>
  <c r="F7" i="8"/>
  <c r="S4" i="8"/>
  <c r="U33" i="21" s="1"/>
  <c r="AE3" i="8"/>
  <c r="AG13" i="11" s="1"/>
  <c r="BJ13" i="11" s="1"/>
  <c r="AC38" i="22" s="1"/>
  <c r="AE6" i="8"/>
  <c r="AG22" i="29" s="1"/>
  <c r="BJ22" i="29" s="1"/>
  <c r="T8" i="8"/>
  <c r="V24" i="29" s="1"/>
  <c r="AY24" i="29" s="1"/>
  <c r="J5" i="8"/>
  <c r="L21" i="29" s="1"/>
  <c r="AO21" i="29" s="1"/>
  <c r="V6" i="8"/>
  <c r="X22" i="29" s="1"/>
  <c r="BA22" i="29" s="1"/>
  <c r="Y7" i="8"/>
  <c r="AA23" i="29" s="1"/>
  <c r="BD23" i="29" s="1"/>
  <c r="L5" i="8"/>
  <c r="N21" i="29" s="1"/>
  <c r="AQ21" i="29" s="1"/>
  <c r="X6" i="8"/>
  <c r="Z22" i="29" s="1"/>
  <c r="BC22" i="29" s="1"/>
  <c r="Z8" i="8"/>
  <c r="AB24" i="29" s="1"/>
  <c r="BE24" i="29" s="1"/>
  <c r="AA5" i="8"/>
  <c r="AC21" i="29" s="1"/>
  <c r="BF21" i="29" s="1"/>
  <c r="AB6" i="8"/>
  <c r="AD22" i="29" s="1"/>
  <c r="BG22" i="29" s="1"/>
  <c r="G8" i="8"/>
  <c r="I24" i="29" s="1"/>
  <c r="AL24" i="29" s="1"/>
  <c r="J9" i="8"/>
  <c r="L25" i="29" s="1"/>
  <c r="AO25" i="29" s="1"/>
  <c r="AC6" i="8"/>
  <c r="AE22" i="29" s="1"/>
  <c r="BH22" i="29" s="1"/>
  <c r="AC3" i="8"/>
  <c r="AE13" i="11" s="1"/>
  <c r="BH13" i="11" s="1"/>
  <c r="AA38" i="22" s="1"/>
  <c r="R7" i="8"/>
  <c r="T23" i="29" s="1"/>
  <c r="AW23" i="29" s="1"/>
  <c r="AF8" i="8"/>
  <c r="AH24" i="29" s="1"/>
  <c r="BK24" i="29" s="1"/>
  <c r="V3" i="8"/>
  <c r="X13" i="11" s="1"/>
  <c r="BA13" i="11" s="1"/>
  <c r="T38" i="22" s="1"/>
  <c r="K8" i="8"/>
  <c r="M24" i="29" s="1"/>
  <c r="AP24" i="29" s="1"/>
  <c r="W9" i="8"/>
  <c r="Y25" i="29" s="1"/>
  <c r="BB25" i="29" s="1"/>
  <c r="L4" i="8"/>
  <c r="N33" i="21" s="1"/>
  <c r="X3" i="8"/>
  <c r="Z13" i="11" s="1"/>
  <c r="BC13" i="11" s="1"/>
  <c r="V38" i="22" s="1"/>
  <c r="N7" i="8"/>
  <c r="P23" i="29" s="1"/>
  <c r="AS23" i="29" s="1"/>
  <c r="O9" i="8"/>
  <c r="Q25" i="29" s="1"/>
  <c r="AT25" i="29" s="1"/>
  <c r="P4" i="8"/>
  <c r="R33" i="21" s="1"/>
  <c r="AB3" i="8"/>
  <c r="AD13" i="11" s="1"/>
  <c r="BG13" i="11" s="1"/>
  <c r="Z38" i="22" s="1"/>
  <c r="Y4" i="8"/>
  <c r="AA33" i="21" s="1"/>
  <c r="Q5" i="8"/>
  <c r="S21" i="29" s="1"/>
  <c r="AV21" i="29" s="1"/>
  <c r="AC5" i="8"/>
  <c r="AE21" i="29" s="1"/>
  <c r="BH21" i="29" s="1"/>
  <c r="F6" i="8"/>
  <c r="AD8" i="8"/>
  <c r="AF24" i="29" s="1"/>
  <c r="BI24" i="29" s="1"/>
  <c r="G9" i="8"/>
  <c r="I25" i="29" s="1"/>
  <c r="AL25" i="29" s="1"/>
  <c r="AE5" i="8"/>
  <c r="AG21" i="29" s="1"/>
  <c r="BJ21" i="29" s="1"/>
  <c r="H3" i="8"/>
  <c r="J13" i="11" s="1"/>
  <c r="AM13" i="11" s="1"/>
  <c r="F38" i="22" s="1"/>
  <c r="H6" i="8"/>
  <c r="J22" i="29" s="1"/>
  <c r="AM22" i="29" s="1"/>
  <c r="T7" i="8"/>
  <c r="V23" i="29" s="1"/>
  <c r="AY23" i="29" s="1"/>
  <c r="J4" i="8"/>
  <c r="L33" i="21" s="1"/>
  <c r="V4" i="8"/>
  <c r="X33" i="21" s="1"/>
  <c r="K7" i="8"/>
  <c r="M23" i="29" s="1"/>
  <c r="AP23" i="29" s="1"/>
  <c r="M9" i="8"/>
  <c r="O25" i="29" s="1"/>
  <c r="AR25" i="29" s="1"/>
  <c r="Z7" i="8"/>
  <c r="AB23" i="29" s="1"/>
  <c r="BE23" i="29" s="1"/>
  <c r="O8" i="8"/>
  <c r="Q24" i="29" s="1"/>
  <c r="AT24" i="29" s="1"/>
  <c r="AA9" i="8"/>
  <c r="AC25" i="29" s="1"/>
  <c r="BF25" i="29" s="1"/>
  <c r="P5" i="8"/>
  <c r="R21" i="29" s="1"/>
  <c r="AU21" i="29" s="1"/>
  <c r="AB5" i="8"/>
  <c r="AD21" i="29" s="1"/>
  <c r="BG21" i="29" s="1"/>
  <c r="H65" i="29"/>
  <c r="H71" i="29" s="1"/>
  <c r="H33" i="21"/>
  <c r="Q9" i="8"/>
  <c r="S25" i="29" s="1"/>
  <c r="AV25" i="29" s="1"/>
  <c r="S9" i="8"/>
  <c r="U25" i="29" s="1"/>
  <c r="AX25" i="29" s="1"/>
  <c r="M8" i="8"/>
  <c r="O24" i="29" s="1"/>
  <c r="AR24" i="29" s="1"/>
  <c r="X4" i="8"/>
  <c r="Z33" i="21" s="1"/>
  <c r="Q4" i="8"/>
  <c r="S33" i="21" s="1"/>
  <c r="F3" i="8"/>
  <c r="R6" i="8"/>
  <c r="T22" i="29" s="1"/>
  <c r="AW22" i="29" s="1"/>
  <c r="AD7" i="8"/>
  <c r="AF23" i="29" s="1"/>
  <c r="BI23" i="29" s="1"/>
  <c r="AE4" i="8"/>
  <c r="AG33" i="21" s="1"/>
  <c r="H4" i="8"/>
  <c r="J33" i="21" s="1"/>
  <c r="V5" i="8"/>
  <c r="X21" i="29" s="1"/>
  <c r="BA21" i="29" s="1"/>
  <c r="Y3" i="8"/>
  <c r="AA13" i="11" s="1"/>
  <c r="BD13" i="11" s="1"/>
  <c r="W38" i="22" s="1"/>
  <c r="Y6" i="8"/>
  <c r="AA22" i="29" s="1"/>
  <c r="BD22" i="29" s="1"/>
  <c r="W8" i="8"/>
  <c r="Y24" i="29" s="1"/>
  <c r="BB24" i="29" s="1"/>
  <c r="X5" i="8"/>
  <c r="Z21" i="29" s="1"/>
  <c r="BC21" i="29" s="1"/>
  <c r="N3" i="8"/>
  <c r="P13" i="11" s="1"/>
  <c r="AS13" i="11" s="1"/>
  <c r="L38" i="22" s="1"/>
  <c r="N6" i="8"/>
  <c r="P22" i="29" s="1"/>
  <c r="AS22" i="29" s="1"/>
  <c r="AM33" i="21" l="1"/>
  <c r="F24" i="22" s="1"/>
  <c r="J35" i="21"/>
  <c r="U3" i="8"/>
  <c r="W13" i="11" s="1"/>
  <c r="AZ13" i="11" s="1"/>
  <c r="S38" i="22" s="1"/>
  <c r="U6" i="8"/>
  <c r="W22" i="29" s="1"/>
  <c r="AZ22" i="29" s="1"/>
  <c r="AG4" i="8"/>
  <c r="AI33" i="21" s="1"/>
  <c r="U4" i="8"/>
  <c r="W33" i="21" s="1"/>
  <c r="AG5" i="8"/>
  <c r="AI21" i="29" s="1"/>
  <c r="BL21" i="29" s="1"/>
  <c r="U5" i="8"/>
  <c r="W21" i="29" s="1"/>
  <c r="AZ21" i="29" s="1"/>
  <c r="BF33" i="21"/>
  <c r="Y24" i="22" s="1"/>
  <c r="AC35" i="21"/>
  <c r="U50" i="29" s="1"/>
  <c r="I8" i="8"/>
  <c r="K24" i="29" s="1"/>
  <c r="AN24" i="29" s="1"/>
  <c r="AG9" i="8"/>
  <c r="AI25" i="29" s="1"/>
  <c r="BL25" i="29" s="1"/>
  <c r="H22" i="29"/>
  <c r="AK22" i="29" s="1"/>
  <c r="H52" i="29" s="1"/>
  <c r="K65" i="29"/>
  <c r="K71" i="29" s="1"/>
  <c r="AX33" i="21"/>
  <c r="Q24" i="22" s="1"/>
  <c r="U35" i="21"/>
  <c r="M50" i="29" s="1"/>
  <c r="M65" i="29"/>
  <c r="M71" i="29" s="1"/>
  <c r="H24" i="29"/>
  <c r="AK24" i="29" s="1"/>
  <c r="H54" i="29" s="1"/>
  <c r="AW33" i="21"/>
  <c r="P24" i="22" s="1"/>
  <c r="T35" i="21"/>
  <c r="L50" i="29" s="1"/>
  <c r="AS33" i="21"/>
  <c r="L24" i="22" s="1"/>
  <c r="P35" i="21"/>
  <c r="X35" i="21"/>
  <c r="P50" i="29" s="1"/>
  <c r="BA33" i="21"/>
  <c r="T24" i="22" s="1"/>
  <c r="U9" i="8"/>
  <c r="W25" i="29" s="1"/>
  <c r="AZ25" i="29" s="1"/>
  <c r="I7" i="8"/>
  <c r="K23" i="29" s="1"/>
  <c r="AN23" i="29" s="1"/>
  <c r="AG8" i="8"/>
  <c r="AI24" i="29" s="1"/>
  <c r="BL24" i="29" s="1"/>
  <c r="L65" i="29"/>
  <c r="L71" i="29" s="1"/>
  <c r="H23" i="29"/>
  <c r="AK23" i="29" s="1"/>
  <c r="H53" i="29" s="1"/>
  <c r="BB33" i="21"/>
  <c r="U24" i="22" s="1"/>
  <c r="Y35" i="21"/>
  <c r="Q50" i="29" s="1"/>
  <c r="L35" i="21"/>
  <c r="AO33" i="21"/>
  <c r="H24" i="22" s="1"/>
  <c r="BC33" i="21"/>
  <c r="V24" i="22" s="1"/>
  <c r="Z35" i="21"/>
  <c r="R50" i="29" s="1"/>
  <c r="AY33" i="21"/>
  <c r="R24" i="22" s="1"/>
  <c r="V35" i="21"/>
  <c r="N50" i="29" s="1"/>
  <c r="AU33" i="21"/>
  <c r="N24" i="22" s="1"/>
  <c r="R35" i="21"/>
  <c r="J50" i="29" s="1"/>
  <c r="U8" i="8"/>
  <c r="W24" i="29" s="1"/>
  <c r="AZ24" i="29" s="1"/>
  <c r="I65" i="29"/>
  <c r="I71" i="29" s="1"/>
  <c r="H13" i="11"/>
  <c r="H35" i="21"/>
  <c r="AK33" i="21"/>
  <c r="D24" i="22" s="1"/>
  <c r="AR33" i="21"/>
  <c r="K24" i="22" s="1"/>
  <c r="O35" i="21"/>
  <c r="AT33" i="21"/>
  <c r="M24" i="22" s="1"/>
  <c r="Q35" i="21"/>
  <c r="E75" i="22"/>
  <c r="E71" i="22"/>
  <c r="E76" i="22"/>
  <c r="E70" i="22"/>
  <c r="E74" i="22"/>
  <c r="E77" i="22"/>
  <c r="E63" i="22"/>
  <c r="E66" i="22"/>
  <c r="E78" i="22"/>
  <c r="E62" i="22"/>
  <c r="E72" i="22"/>
  <c r="E69" i="22"/>
  <c r="E67" i="22"/>
  <c r="E64" i="22"/>
  <c r="E79" i="22"/>
  <c r="E65" i="22"/>
  <c r="E73" i="22"/>
  <c r="M35" i="21"/>
  <c r="AP33" i="21"/>
  <c r="I24" i="22" s="1"/>
  <c r="AB35" i="21"/>
  <c r="T50" i="29" s="1"/>
  <c r="BE33" i="21"/>
  <c r="X24" i="22" s="1"/>
  <c r="J65" i="29"/>
  <c r="J71" i="29" s="1"/>
  <c r="H21" i="29"/>
  <c r="AK21" i="29" s="1"/>
  <c r="I9" i="8"/>
  <c r="K25" i="29" s="1"/>
  <c r="AN25" i="29" s="1"/>
  <c r="I3" i="8"/>
  <c r="K13" i="11" s="1"/>
  <c r="AN13" i="11" s="1"/>
  <c r="G38" i="22" s="1"/>
  <c r="I6" i="8"/>
  <c r="K22" i="29" s="1"/>
  <c r="AN22" i="29" s="1"/>
  <c r="AG7" i="8"/>
  <c r="AI23" i="29" s="1"/>
  <c r="BL23" i="29" s="1"/>
  <c r="U7" i="8"/>
  <c r="W23" i="29" s="1"/>
  <c r="AZ23" i="29" s="1"/>
  <c r="I4" i="8"/>
  <c r="K33" i="21" s="1"/>
  <c r="AV33" i="21"/>
  <c r="O24" i="22" s="1"/>
  <c r="S35" i="21"/>
  <c r="K50" i="29" s="1"/>
  <c r="AA35" i="21"/>
  <c r="S50" i="29" s="1"/>
  <c r="BD33" i="21"/>
  <c r="W24" i="22" s="1"/>
  <c r="N35" i="21"/>
  <c r="AQ33" i="21"/>
  <c r="J24" i="22" s="1"/>
  <c r="I35" i="21"/>
  <c r="AL33" i="21"/>
  <c r="E24" i="22" s="1"/>
  <c r="AF35" i="21"/>
  <c r="X50" i="29" s="1"/>
  <c r="BI33" i="21"/>
  <c r="AB24" i="22" s="1"/>
  <c r="AH35" i="21"/>
  <c r="Z50" i="29" s="1"/>
  <c r="BK33" i="21"/>
  <c r="AD24" i="22" s="1"/>
  <c r="H25" i="29"/>
  <c r="AK25" i="29" s="1"/>
  <c r="H55" i="29" s="1"/>
  <c r="N65" i="29"/>
  <c r="N71" i="29" s="1"/>
  <c r="AD35" i="21"/>
  <c r="V50" i="29" s="1"/>
  <c r="BG33" i="21"/>
  <c r="Z24" i="22" s="1"/>
  <c r="AE35" i="21"/>
  <c r="W50" i="29" s="1"/>
  <c r="BH33" i="21"/>
  <c r="AA24" i="22" s="1"/>
  <c r="BJ33" i="21"/>
  <c r="AC24" i="22" s="1"/>
  <c r="AG35" i="21"/>
  <c r="Y50" i="29" s="1"/>
  <c r="I5" i="8"/>
  <c r="K21" i="29" s="1"/>
  <c r="AN21" i="29" s="1"/>
  <c r="AG3" i="8"/>
  <c r="AI13" i="11" s="1"/>
  <c r="BL13" i="11" s="1"/>
  <c r="AE38" i="22" s="1"/>
  <c r="AG6" i="8"/>
  <c r="AI22" i="29" s="1"/>
  <c r="BL22" i="29" s="1"/>
  <c r="Z26" i="22" l="1"/>
  <c r="Z83" i="22" s="1"/>
  <c r="W26" i="22"/>
  <c r="W83" i="22" s="1"/>
  <c r="Q26" i="22"/>
  <c r="Q83" i="22" s="1"/>
  <c r="H51" i="29"/>
  <c r="I50" i="29"/>
  <c r="G52" i="22"/>
  <c r="G58" i="22" s="1"/>
  <c r="I46" i="22" s="1"/>
  <c r="M26" i="22"/>
  <c r="M83" i="22" s="1"/>
  <c r="H26" i="22"/>
  <c r="H83" i="22" s="1"/>
  <c r="T26" i="22"/>
  <c r="T83" i="22" s="1"/>
  <c r="AI35" i="21"/>
  <c r="AA50" i="29" s="1"/>
  <c r="BL33" i="21"/>
  <c r="AE24" i="22" s="1"/>
  <c r="X26" i="22"/>
  <c r="X83" i="22" s="1"/>
  <c r="T52" i="22"/>
  <c r="T58" i="22" s="1"/>
  <c r="N26" i="22"/>
  <c r="N83" i="22" s="1"/>
  <c r="AD26" i="22"/>
  <c r="AD83" i="22" s="1"/>
  <c r="K35" i="21"/>
  <c r="AN33" i="21"/>
  <c r="G24" i="22" s="1"/>
  <c r="J26" i="22"/>
  <c r="J83" i="22" s="1"/>
  <c r="O26" i="22"/>
  <c r="O83" i="22" s="1"/>
  <c r="I26" i="22"/>
  <c r="I83" i="22" s="1"/>
  <c r="K26" i="22"/>
  <c r="K83" i="22" s="1"/>
  <c r="R26" i="22"/>
  <c r="R83" i="22" s="1"/>
  <c r="U26" i="22"/>
  <c r="U83" i="22" s="1"/>
  <c r="L26" i="22"/>
  <c r="L83" i="22" s="1"/>
  <c r="AB26" i="22"/>
  <c r="AB83" i="22" s="1"/>
  <c r="D26" i="22"/>
  <c r="D83" i="22" s="1"/>
  <c r="E52" i="22"/>
  <c r="E58" i="22" s="1"/>
  <c r="H46" i="22" s="1"/>
  <c r="H50" i="29"/>
  <c r="V26" i="22"/>
  <c r="V83" i="22" s="1"/>
  <c r="P26" i="22"/>
  <c r="P83" i="22" s="1"/>
  <c r="AC26" i="22"/>
  <c r="AC83" i="22" s="1"/>
  <c r="E26" i="22"/>
  <c r="E82" i="22" s="1"/>
  <c r="E68" i="22"/>
  <c r="H20" i="11"/>
  <c r="AK13" i="11"/>
  <c r="D38" i="22" s="1"/>
  <c r="Y26" i="22"/>
  <c r="Y83" i="22" s="1"/>
  <c r="AA26" i="22"/>
  <c r="AA83" i="22" s="1"/>
  <c r="W35" i="21"/>
  <c r="O50" i="29" s="1"/>
  <c r="AZ33" i="21"/>
  <c r="S24" i="22" s="1"/>
  <c r="F26" i="22"/>
  <c r="F83" i="22" s="1"/>
  <c r="Q82" i="22" l="1"/>
  <c r="T82" i="22"/>
  <c r="H82" i="22"/>
  <c r="Z82" i="22"/>
  <c r="J82" i="22"/>
  <c r="D82" i="22"/>
  <c r="Y82" i="22"/>
  <c r="AB82" i="22"/>
  <c r="N82" i="22"/>
  <c r="P82" i="22"/>
  <c r="U82" i="22"/>
  <c r="V82" i="22"/>
  <c r="K82" i="22"/>
  <c r="L82" i="22"/>
  <c r="O82" i="22"/>
  <c r="X82" i="22"/>
  <c r="R82" i="22"/>
  <c r="AA82" i="22"/>
  <c r="AD82" i="22"/>
  <c r="S26" i="22"/>
  <c r="S83" i="22" s="1"/>
  <c r="H49" i="29"/>
  <c r="H21" i="11"/>
  <c r="I21" i="11"/>
  <c r="G26" i="22"/>
  <c r="G83" i="22" s="1"/>
  <c r="M82" i="22"/>
  <c r="I82" i="22"/>
  <c r="F82" i="22"/>
  <c r="D44" i="22"/>
  <c r="D52" i="22"/>
  <c r="D58" i="22" s="1"/>
  <c r="H58" i="22" s="1"/>
  <c r="AE26" i="22"/>
  <c r="AE83" i="22" s="1"/>
  <c r="E83" i="22"/>
  <c r="E81" i="22"/>
  <c r="AC82" i="22"/>
  <c r="W82" i="22"/>
  <c r="D75" i="22" l="1"/>
  <c r="D62" i="22"/>
  <c r="G82" i="22"/>
  <c r="S82" i="22"/>
  <c r="AE82" i="22"/>
  <c r="D64" i="22"/>
  <c r="D63" i="22"/>
  <c r="D72" i="22"/>
  <c r="D73" i="22"/>
  <c r="D67" i="22"/>
  <c r="D70" i="22"/>
  <c r="D71" i="22"/>
  <c r="D65" i="22"/>
  <c r="D66" i="22"/>
  <c r="D77" i="22"/>
  <c r="D76" i="22"/>
  <c r="D74" i="22"/>
  <c r="D81" i="22"/>
  <c r="D69" i="22"/>
  <c r="D79" i="22"/>
  <c r="D80" i="22"/>
  <c r="D78" i="22"/>
  <c r="D68" i="22"/>
  <c r="D36" i="33" l="1"/>
  <c r="D38" i="33" l="1"/>
  <c r="D33" i="33"/>
  <c r="D35" i="33" l="1"/>
  <c r="D39" i="33" l="1"/>
  <c r="D41" i="33" l="1"/>
  <c r="D42" i="33"/>
  <c r="D44" i="33" l="1"/>
  <c r="D45" i="33"/>
  <c r="D48" i="33" l="1"/>
  <c r="D50" i="33"/>
  <c r="D53" i="33" l="1"/>
  <c r="D55" i="33"/>
  <c r="D58" i="33" l="1"/>
  <c r="D60" i="33"/>
  <c r="D63" i="33" l="1"/>
  <c r="D65" i="33"/>
  <c r="D68" i="33" l="1"/>
  <c r="D70" i="33"/>
  <c r="D74" i="33" l="1"/>
  <c r="D76" i="33"/>
  <c r="D80" i="33" l="1"/>
  <c r="D82" i="33"/>
  <c r="D86" i="33" l="1"/>
  <c r="D88" i="33"/>
  <c r="D92" i="33" l="1"/>
  <c r="D94" i="33"/>
  <c r="D98" i="33" l="1"/>
  <c r="D100" i="33"/>
  <c r="D105" i="33" l="1"/>
  <c r="D107" i="33"/>
  <c r="D112" i="33" l="1"/>
  <c r="L33" i="33" l="1"/>
  <c r="K76" i="33"/>
  <c r="W45" i="33"/>
  <c r="W50" i="33"/>
  <c r="W60" i="33"/>
  <c r="AA60" i="33"/>
  <c r="AB48" i="21" l="1"/>
  <c r="AB103" i="21" s="1"/>
  <c r="AA63" i="33"/>
  <c r="L35" i="33"/>
  <c r="M41" i="21"/>
  <c r="M96" i="21" s="1"/>
  <c r="X48" i="21"/>
  <c r="X103" i="21" s="1"/>
  <c r="W63" i="33"/>
  <c r="X45" i="21"/>
  <c r="X100" i="21" s="1"/>
  <c r="W48" i="33"/>
  <c r="X46" i="21"/>
  <c r="X101" i="21" s="1"/>
  <c r="W53" i="33"/>
  <c r="L51" i="21"/>
  <c r="L106" i="21" s="1"/>
  <c r="K80" i="33"/>
  <c r="AG94" i="33"/>
  <c r="AG100" i="33"/>
  <c r="I76" i="33"/>
  <c r="AG88" i="33"/>
  <c r="AG82" i="33"/>
  <c r="AG76" i="33"/>
  <c r="AG70" i="33"/>
  <c r="AG60" i="33"/>
  <c r="AG45" i="33"/>
  <c r="W65" i="33"/>
  <c r="AG42" i="33"/>
  <c r="AG39" i="33"/>
  <c r="AG33" i="33"/>
  <c r="AG36" i="33"/>
  <c r="AG107" i="33"/>
  <c r="W107" i="33"/>
  <c r="L45" i="33"/>
  <c r="I82" i="33"/>
  <c r="I36" i="33"/>
  <c r="I70" i="33"/>
  <c r="I65" i="33"/>
  <c r="I60" i="33"/>
  <c r="I50" i="33"/>
  <c r="I45" i="33"/>
  <c r="I107" i="33"/>
  <c r="I42" i="33"/>
  <c r="J70" i="33"/>
  <c r="I100" i="33"/>
  <c r="I39" i="33"/>
  <c r="I55" i="33"/>
  <c r="I94" i="33"/>
  <c r="I33" i="33"/>
  <c r="I88" i="33"/>
  <c r="L50" i="33"/>
  <c r="AG65" i="33"/>
  <c r="AG55" i="33"/>
  <c r="AG50" i="33"/>
  <c r="V60" i="33"/>
  <c r="Y88" i="33"/>
  <c r="L82" i="33"/>
  <c r="L42" i="33"/>
  <c r="N50" i="33"/>
  <c r="L36" i="33"/>
  <c r="K60" i="33"/>
  <c r="K50" i="33"/>
  <c r="L107" i="33"/>
  <c r="M76" i="33"/>
  <c r="L94" i="33"/>
  <c r="M70" i="33"/>
  <c r="L88" i="33"/>
  <c r="K55" i="33"/>
  <c r="W55" i="33"/>
  <c r="L100" i="33"/>
  <c r="L39" i="33"/>
  <c r="M82" i="33"/>
  <c r="M36" i="33"/>
  <c r="Z76" i="33"/>
  <c r="K107" i="33"/>
  <c r="K42" i="33"/>
  <c r="W42" i="33"/>
  <c r="M65" i="33"/>
  <c r="AB33" i="33"/>
  <c r="K100" i="33"/>
  <c r="K39" i="33"/>
  <c r="W100" i="33"/>
  <c r="W39" i="33"/>
  <c r="L76" i="33"/>
  <c r="M60" i="33"/>
  <c r="K94" i="33"/>
  <c r="K33" i="33"/>
  <c r="W94" i="33"/>
  <c r="W33" i="33"/>
  <c r="L70" i="33"/>
  <c r="M55" i="33"/>
  <c r="K45" i="33"/>
  <c r="K88" i="33"/>
  <c r="K36" i="33"/>
  <c r="W88" i="33"/>
  <c r="W36" i="33"/>
  <c r="L65" i="33"/>
  <c r="M50" i="33"/>
  <c r="K82" i="33"/>
  <c r="W82" i="33"/>
  <c r="L60" i="33"/>
  <c r="M45" i="33"/>
  <c r="W76" i="33"/>
  <c r="L55" i="33"/>
  <c r="M107" i="33"/>
  <c r="M42" i="33"/>
  <c r="K70" i="33"/>
  <c r="W70" i="33"/>
  <c r="M100" i="33"/>
  <c r="M39" i="33"/>
  <c r="X33" i="33"/>
  <c r="K65" i="33"/>
  <c r="M94" i="33"/>
  <c r="M33" i="33"/>
  <c r="M88" i="33"/>
  <c r="Y33" i="33"/>
  <c r="V65" i="33"/>
  <c r="X88" i="33"/>
  <c r="S70" i="33"/>
  <c r="V55" i="33"/>
  <c r="X82" i="33"/>
  <c r="X36" i="33"/>
  <c r="V50" i="33"/>
  <c r="X76" i="33"/>
  <c r="V45" i="33"/>
  <c r="X70" i="33"/>
  <c r="V107" i="33"/>
  <c r="V42" i="33"/>
  <c r="X65" i="33"/>
  <c r="V100" i="33"/>
  <c r="V39" i="33"/>
  <c r="X60" i="33"/>
  <c r="V94" i="33"/>
  <c r="V33" i="33"/>
  <c r="H33" i="33"/>
  <c r="X55" i="33"/>
  <c r="V88" i="33"/>
  <c r="V36" i="33"/>
  <c r="X50" i="33"/>
  <c r="Y100" i="33"/>
  <c r="V82" i="33"/>
  <c r="AF33" i="33"/>
  <c r="X45" i="33"/>
  <c r="V76" i="33"/>
  <c r="X107" i="33"/>
  <c r="X42" i="33"/>
  <c r="V70" i="33"/>
  <c r="X100" i="33"/>
  <c r="X39" i="33"/>
  <c r="X94" i="33"/>
  <c r="Y94" i="33"/>
  <c r="Y82" i="33"/>
  <c r="Y76" i="33"/>
  <c r="Y70" i="33"/>
  <c r="Y65" i="33"/>
  <c r="Y39" i="33"/>
  <c r="Y36" i="33"/>
  <c r="Y107" i="33"/>
  <c r="N45" i="33"/>
  <c r="R45" i="33"/>
  <c r="Z107" i="33"/>
  <c r="Z100" i="33"/>
  <c r="Z94" i="33"/>
  <c r="AE70" i="33"/>
  <c r="Z88" i="33"/>
  <c r="J76" i="33"/>
  <c r="N82" i="33"/>
  <c r="J65" i="33"/>
  <c r="N42" i="33"/>
  <c r="J60" i="33"/>
  <c r="N39" i="33"/>
  <c r="J55" i="33"/>
  <c r="Y60" i="33"/>
  <c r="N33" i="33"/>
  <c r="Z82" i="33"/>
  <c r="AD45" i="33"/>
  <c r="J50" i="33"/>
  <c r="Y55" i="33"/>
  <c r="Z70" i="33"/>
  <c r="O60" i="33"/>
  <c r="J45" i="33"/>
  <c r="Y50" i="33"/>
  <c r="Z65" i="33"/>
  <c r="J107" i="33"/>
  <c r="J42" i="33"/>
  <c r="Y45" i="33"/>
  <c r="Z60" i="33"/>
  <c r="J100" i="33"/>
  <c r="J39" i="33"/>
  <c r="Y42" i="33"/>
  <c r="N107" i="33"/>
  <c r="Z55" i="33"/>
  <c r="J94" i="33"/>
  <c r="J33" i="33"/>
  <c r="N100" i="33"/>
  <c r="Z42" i="33"/>
  <c r="J88" i="33"/>
  <c r="J36" i="33"/>
  <c r="T33" i="33"/>
  <c r="N94" i="33"/>
  <c r="J82" i="33"/>
  <c r="N88" i="33"/>
  <c r="N36" i="33"/>
  <c r="N76" i="33"/>
  <c r="N70" i="33"/>
  <c r="N65" i="33"/>
  <c r="N60" i="33"/>
  <c r="N55" i="33"/>
  <c r="Z50" i="33"/>
  <c r="Z45" i="33"/>
  <c r="Z39" i="33"/>
  <c r="Z33" i="33"/>
  <c r="Z36" i="33"/>
  <c r="O55" i="33"/>
  <c r="AA55" i="33"/>
  <c r="AB88" i="33"/>
  <c r="R107" i="33"/>
  <c r="R42" i="33"/>
  <c r="AD107" i="33"/>
  <c r="AD42" i="33"/>
  <c r="S65" i="33"/>
  <c r="AE65" i="33"/>
  <c r="H88" i="33"/>
  <c r="T88" i="33"/>
  <c r="T36" i="33"/>
  <c r="AF88" i="33"/>
  <c r="O50" i="33"/>
  <c r="AA50" i="33"/>
  <c r="AB82" i="33"/>
  <c r="AB36" i="33"/>
  <c r="R100" i="33"/>
  <c r="R39" i="33"/>
  <c r="AD100" i="33"/>
  <c r="AD39" i="33"/>
  <c r="S60" i="33"/>
  <c r="AE60" i="33"/>
  <c r="H82" i="33"/>
  <c r="H36" i="33"/>
  <c r="T82" i="33"/>
  <c r="AF82" i="33"/>
  <c r="AF36" i="33"/>
  <c r="AH36" i="33"/>
  <c r="AH33" i="33"/>
  <c r="AH39" i="33"/>
  <c r="AH42" i="33"/>
  <c r="AH45" i="33"/>
  <c r="AH50" i="33"/>
  <c r="AH55" i="33"/>
  <c r="AH60" i="33"/>
  <c r="AH65" i="33"/>
  <c r="AH70" i="33"/>
  <c r="AH76" i="33"/>
  <c r="AH82" i="33"/>
  <c r="AH88" i="33"/>
  <c r="AH94" i="33"/>
  <c r="AH100" i="33"/>
  <c r="AH107" i="33"/>
  <c r="O45" i="33"/>
  <c r="AA45" i="33"/>
  <c r="AB76" i="33"/>
  <c r="R94" i="33"/>
  <c r="R33" i="33"/>
  <c r="AD94" i="33"/>
  <c r="AD33" i="33"/>
  <c r="S55" i="33"/>
  <c r="AE55" i="33"/>
  <c r="H76" i="33"/>
  <c r="T76" i="33"/>
  <c r="AF76" i="33"/>
  <c r="O107" i="33"/>
  <c r="O42" i="33"/>
  <c r="AA107" i="33"/>
  <c r="AA42" i="33"/>
  <c r="AB70" i="33"/>
  <c r="R88" i="33"/>
  <c r="R36" i="33"/>
  <c r="AD88" i="33"/>
  <c r="S50" i="33"/>
  <c r="AE50" i="33"/>
  <c r="H70" i="33"/>
  <c r="T70" i="33"/>
  <c r="AF70" i="33"/>
  <c r="O100" i="33"/>
  <c r="O39" i="33"/>
  <c r="AA100" i="33"/>
  <c r="AA39" i="33"/>
  <c r="AB65" i="33"/>
  <c r="R82" i="33"/>
  <c r="AD82" i="33"/>
  <c r="AD36" i="33"/>
  <c r="S45" i="33"/>
  <c r="AE45" i="33"/>
  <c r="H65" i="33"/>
  <c r="T65" i="33"/>
  <c r="AF65" i="33"/>
  <c r="O94" i="33"/>
  <c r="O33" i="33"/>
  <c r="AA94" i="33"/>
  <c r="AA33" i="33"/>
  <c r="AB60" i="33"/>
  <c r="R76" i="33"/>
  <c r="AD76" i="33"/>
  <c r="S107" i="33"/>
  <c r="S42" i="33"/>
  <c r="AE107" i="33"/>
  <c r="AE42" i="33"/>
  <c r="H60" i="33"/>
  <c r="T60" i="33"/>
  <c r="AF60" i="33"/>
  <c r="O88" i="33"/>
  <c r="AA88" i="33"/>
  <c r="AB55" i="33"/>
  <c r="R70" i="33"/>
  <c r="AD70" i="33"/>
  <c r="S100" i="33"/>
  <c r="S39" i="33"/>
  <c r="AE100" i="33"/>
  <c r="AE39" i="33"/>
  <c r="H55" i="33"/>
  <c r="T55" i="33"/>
  <c r="AF55" i="33"/>
  <c r="O82" i="33"/>
  <c r="O36" i="33"/>
  <c r="AA82" i="33"/>
  <c r="AA36" i="33"/>
  <c r="AB50" i="33"/>
  <c r="R65" i="33"/>
  <c r="AD65" i="33"/>
  <c r="S94" i="33"/>
  <c r="S33" i="33"/>
  <c r="AE94" i="33"/>
  <c r="AE33" i="33"/>
  <c r="H50" i="33"/>
  <c r="T50" i="33"/>
  <c r="AF50" i="33"/>
  <c r="O76" i="33"/>
  <c r="AA76" i="33"/>
  <c r="AB45" i="33"/>
  <c r="R60" i="33"/>
  <c r="AD60" i="33"/>
  <c r="S88" i="33"/>
  <c r="AE88" i="33"/>
  <c r="H45" i="33"/>
  <c r="T45" i="33"/>
  <c r="AF45" i="33"/>
  <c r="U36" i="33"/>
  <c r="U33" i="33"/>
  <c r="U39" i="33"/>
  <c r="U42" i="33"/>
  <c r="U45" i="33"/>
  <c r="U50" i="33"/>
  <c r="U55" i="33"/>
  <c r="U60" i="33"/>
  <c r="U65" i="33"/>
  <c r="U70" i="33"/>
  <c r="U76" i="33"/>
  <c r="U82" i="33"/>
  <c r="U88" i="33"/>
  <c r="U94" i="33"/>
  <c r="U100" i="33"/>
  <c r="U107" i="33"/>
  <c r="O70" i="33"/>
  <c r="AA70" i="33"/>
  <c r="AB107" i="33"/>
  <c r="AB42" i="33"/>
  <c r="Q36" i="33"/>
  <c r="Q33" i="33"/>
  <c r="Q39" i="33"/>
  <c r="Q42" i="33"/>
  <c r="Q45" i="33"/>
  <c r="Q50" i="33"/>
  <c r="Q55" i="33"/>
  <c r="Q60" i="33"/>
  <c r="Q65" i="33"/>
  <c r="Q70" i="33"/>
  <c r="Q76" i="33"/>
  <c r="Q82" i="33"/>
  <c r="Q88" i="33"/>
  <c r="Q94" i="33"/>
  <c r="Q100" i="33"/>
  <c r="Q107" i="33"/>
  <c r="R55" i="33"/>
  <c r="AD55" i="33"/>
  <c r="S82" i="33"/>
  <c r="S36" i="33"/>
  <c r="AE82" i="33"/>
  <c r="AE36" i="33"/>
  <c r="H107" i="33"/>
  <c r="H42" i="33"/>
  <c r="T107" i="33"/>
  <c r="T42" i="33"/>
  <c r="AF107" i="33"/>
  <c r="AF42" i="33"/>
  <c r="O65" i="33"/>
  <c r="AA65" i="33"/>
  <c r="AB100" i="33"/>
  <c r="AB39" i="33"/>
  <c r="R50" i="33"/>
  <c r="AD50" i="33"/>
  <c r="S76" i="33"/>
  <c r="AE76" i="33"/>
  <c r="H100" i="33"/>
  <c r="H39" i="33"/>
  <c r="T100" i="33"/>
  <c r="T39" i="33"/>
  <c r="AF100" i="33"/>
  <c r="AF39" i="33"/>
  <c r="G36" i="33"/>
  <c r="G33" i="33"/>
  <c r="G39" i="33"/>
  <c r="G42" i="33"/>
  <c r="G45" i="33"/>
  <c r="G50" i="33"/>
  <c r="G55" i="33"/>
  <c r="G60" i="33"/>
  <c r="G65" i="33"/>
  <c r="G70" i="33"/>
  <c r="G76" i="33"/>
  <c r="G82" i="33"/>
  <c r="G88" i="33"/>
  <c r="G94" i="33"/>
  <c r="G100" i="33"/>
  <c r="G107" i="33"/>
  <c r="AB94" i="33"/>
  <c r="AC36" i="33"/>
  <c r="AC33" i="33"/>
  <c r="AC39" i="33"/>
  <c r="AC42" i="33"/>
  <c r="AC45" i="33"/>
  <c r="AC50" i="33"/>
  <c r="AC55" i="33"/>
  <c r="AC60" i="33"/>
  <c r="AC65" i="33"/>
  <c r="AC70" i="33"/>
  <c r="AC76" i="33"/>
  <c r="AC82" i="33"/>
  <c r="AC88" i="33"/>
  <c r="AC94" i="33"/>
  <c r="AC100" i="33"/>
  <c r="AC107" i="33"/>
  <c r="H94" i="33"/>
  <c r="T94" i="33"/>
  <c r="AF94" i="33"/>
  <c r="AD54" i="21" l="1"/>
  <c r="AD109" i="21" s="1"/>
  <c r="AC98" i="33"/>
  <c r="V46" i="21"/>
  <c r="V101" i="21" s="1"/>
  <c r="U53" i="33"/>
  <c r="S52" i="21"/>
  <c r="S107" i="21" s="1"/>
  <c r="R86" i="33"/>
  <c r="I53" i="21"/>
  <c r="I108" i="21" s="1"/>
  <c r="H92" i="33"/>
  <c r="AE56" i="21"/>
  <c r="AE111" i="21" s="1"/>
  <c r="AD112" i="33"/>
  <c r="AA46" i="21"/>
  <c r="AA101" i="21" s="1"/>
  <c r="Z53" i="33"/>
  <c r="K52" i="21"/>
  <c r="K107" i="21" s="1"/>
  <c r="J86" i="33"/>
  <c r="AA44" i="21"/>
  <c r="AA99" i="21" s="1"/>
  <c r="Z44" i="33"/>
  <c r="K44" i="21"/>
  <c r="K99" i="21" s="1"/>
  <c r="J44" i="33"/>
  <c r="AA52" i="21"/>
  <c r="AA107" i="21" s="1"/>
  <c r="Z86" i="33"/>
  <c r="Y43" i="21"/>
  <c r="Y98" i="21" s="1"/>
  <c r="X41" i="33"/>
  <c r="W52" i="21"/>
  <c r="W107" i="21" s="1"/>
  <c r="V86" i="33"/>
  <c r="W56" i="21"/>
  <c r="W111" i="21" s="1"/>
  <c r="V112" i="33"/>
  <c r="W47" i="21"/>
  <c r="W102" i="21" s="1"/>
  <c r="V58" i="33"/>
  <c r="Y41" i="21"/>
  <c r="Y96" i="21" s="1"/>
  <c r="X35" i="33"/>
  <c r="M47" i="21"/>
  <c r="M102" i="21" s="1"/>
  <c r="L58" i="33"/>
  <c r="N49" i="21"/>
  <c r="N104" i="21" s="1"/>
  <c r="M68" i="33"/>
  <c r="L46" i="21"/>
  <c r="L101" i="21" s="1"/>
  <c r="K53" i="33"/>
  <c r="M52" i="21"/>
  <c r="M107" i="21" s="1"/>
  <c r="L86" i="33"/>
  <c r="AH47" i="21"/>
  <c r="AH102" i="21" s="1"/>
  <c r="AG58" i="33"/>
  <c r="J54" i="21"/>
  <c r="J109" i="21" s="1"/>
  <c r="I98" i="33"/>
  <c r="J56" i="21"/>
  <c r="J111" i="21" s="1"/>
  <c r="I112" i="33"/>
  <c r="AD52" i="21"/>
  <c r="AD107" i="21" s="1"/>
  <c r="AC86" i="33"/>
  <c r="AD42" i="21"/>
  <c r="AD97" i="21" s="1"/>
  <c r="AC38" i="33"/>
  <c r="H49" i="21"/>
  <c r="H104" i="21" s="1"/>
  <c r="G68" i="33"/>
  <c r="R45" i="21"/>
  <c r="R100" i="21" s="1"/>
  <c r="Q48" i="33"/>
  <c r="V45" i="21"/>
  <c r="V100" i="21" s="1"/>
  <c r="U48" i="33"/>
  <c r="AI49" i="21"/>
  <c r="AI104" i="21" s="1"/>
  <c r="AH68" i="33"/>
  <c r="O47" i="21"/>
  <c r="O102" i="21" s="1"/>
  <c r="N58" i="33"/>
  <c r="O55" i="21"/>
  <c r="O110" i="21" s="1"/>
  <c r="N105" i="33"/>
  <c r="Z44" i="21"/>
  <c r="Z99" i="21" s="1"/>
  <c r="Y44" i="33"/>
  <c r="K56" i="21"/>
  <c r="K111" i="21" s="1"/>
  <c r="J112" i="33"/>
  <c r="P48" i="21"/>
  <c r="P103" i="21" s="1"/>
  <c r="O63" i="33"/>
  <c r="O41" i="21"/>
  <c r="O96" i="21" s="1"/>
  <c r="N35" i="33"/>
  <c r="AA53" i="21"/>
  <c r="AA108" i="21" s="1"/>
  <c r="Z92" i="33"/>
  <c r="Z42" i="21"/>
  <c r="Z97" i="21" s="1"/>
  <c r="Y38" i="33"/>
  <c r="Y55" i="21"/>
  <c r="Y110" i="21" s="1"/>
  <c r="X105" i="33"/>
  <c r="W51" i="21"/>
  <c r="W106" i="21" s="1"/>
  <c r="V80" i="33"/>
  <c r="Y47" i="21"/>
  <c r="Y102" i="21" s="1"/>
  <c r="X58" i="33"/>
  <c r="L50" i="21"/>
  <c r="L105" i="21" s="1"/>
  <c r="K74" i="33"/>
  <c r="N47" i="21"/>
  <c r="N102" i="21" s="1"/>
  <c r="M58" i="33"/>
  <c r="L41" i="21"/>
  <c r="L96" i="21" s="1"/>
  <c r="K35" i="33"/>
  <c r="M53" i="21"/>
  <c r="M108" i="21" s="1"/>
  <c r="L92" i="33"/>
  <c r="M45" i="21"/>
  <c r="M100" i="21" s="1"/>
  <c r="L48" i="33"/>
  <c r="AH42" i="21"/>
  <c r="AH97" i="21" s="1"/>
  <c r="AG38" i="33"/>
  <c r="AH43" i="21"/>
  <c r="AH98" i="21" s="1"/>
  <c r="AG41" i="33"/>
  <c r="AH51" i="21"/>
  <c r="AH106" i="21" s="1"/>
  <c r="AG80" i="33"/>
  <c r="AF54" i="21"/>
  <c r="AF109" i="21" s="1"/>
  <c r="AE98" i="33"/>
  <c r="P55" i="21"/>
  <c r="P110" i="21" s="1"/>
  <c r="O105" i="33"/>
  <c r="V56" i="21"/>
  <c r="V111" i="21" s="1"/>
  <c r="U112" i="33"/>
  <c r="N41" i="21"/>
  <c r="N96" i="21" s="1"/>
  <c r="M35" i="33"/>
  <c r="X49" i="21"/>
  <c r="X104" i="21" s="1"/>
  <c r="W68" i="33"/>
  <c r="AC43" i="21"/>
  <c r="AC98" i="21" s="1"/>
  <c r="AB41" i="33"/>
  <c r="R55" i="21"/>
  <c r="R110" i="21" s="1"/>
  <c r="Q105" i="33"/>
  <c r="V43" i="21"/>
  <c r="V98" i="21" s="1"/>
  <c r="U41" i="33"/>
  <c r="U46" i="21"/>
  <c r="U101" i="21" s="1"/>
  <c r="T53" i="33"/>
  <c r="AG47" i="21"/>
  <c r="AG102" i="21" s="1"/>
  <c r="AF58" i="33"/>
  <c r="S50" i="21"/>
  <c r="S105" i="21" s="1"/>
  <c r="R74" i="33"/>
  <c r="U49" i="21"/>
  <c r="U104" i="21" s="1"/>
  <c r="T68" i="33"/>
  <c r="T45" i="21"/>
  <c r="T100" i="21" s="1"/>
  <c r="S48" i="33"/>
  <c r="AC49" i="21"/>
  <c r="AC104" i="21" s="1"/>
  <c r="AB68" i="33"/>
  <c r="AG50" i="21"/>
  <c r="AG105" i="21" s="1"/>
  <c r="AF74" i="33"/>
  <c r="AF46" i="21"/>
  <c r="AF101" i="21" s="1"/>
  <c r="AE53" i="33"/>
  <c r="S42" i="21"/>
  <c r="S97" i="21" s="1"/>
  <c r="R38" i="33"/>
  <c r="P44" i="21"/>
  <c r="P99" i="21" s="1"/>
  <c r="O44" i="33"/>
  <c r="I51" i="21"/>
  <c r="I106" i="21" s="1"/>
  <c r="H80" i="33"/>
  <c r="AE41" i="21"/>
  <c r="AE96" i="21" s="1"/>
  <c r="AD35" i="33"/>
  <c r="AB45" i="21"/>
  <c r="AB100" i="21" s="1"/>
  <c r="AA48" i="33"/>
  <c r="AI47" i="21"/>
  <c r="AI102" i="21" s="1"/>
  <c r="AH58" i="33"/>
  <c r="T48" i="21"/>
  <c r="T103" i="21" s="1"/>
  <c r="S63" i="33"/>
  <c r="AC42" i="21"/>
  <c r="AC97" i="21" s="1"/>
  <c r="AB38" i="33"/>
  <c r="AF49" i="21"/>
  <c r="AF104" i="21" s="1"/>
  <c r="AE68" i="33"/>
  <c r="S44" i="21"/>
  <c r="S99" i="21" s="1"/>
  <c r="R44" i="33"/>
  <c r="P47" i="21"/>
  <c r="P102" i="21" s="1"/>
  <c r="O58" i="33"/>
  <c r="O49" i="21"/>
  <c r="O104" i="21" s="1"/>
  <c r="N68" i="33"/>
  <c r="K55" i="21"/>
  <c r="K110" i="21" s="1"/>
  <c r="J105" i="33"/>
  <c r="Z98" i="33"/>
  <c r="AA54" i="21"/>
  <c r="AA109" i="21" s="1"/>
  <c r="Z43" i="21"/>
  <c r="Z98" i="21" s="1"/>
  <c r="Y41" i="33"/>
  <c r="Z55" i="21"/>
  <c r="Z110" i="21" s="1"/>
  <c r="Y105" i="33"/>
  <c r="W43" i="21"/>
  <c r="W98" i="21" s="1"/>
  <c r="V41" i="33"/>
  <c r="Y50" i="21"/>
  <c r="Y105" i="21" s="1"/>
  <c r="X74" i="33"/>
  <c r="W46" i="21"/>
  <c r="W101" i="21" s="1"/>
  <c r="V53" i="33"/>
  <c r="T50" i="21"/>
  <c r="T105" i="21" s="1"/>
  <c r="S74" i="33"/>
  <c r="N54" i="21"/>
  <c r="N109" i="21" s="1"/>
  <c r="M98" i="33"/>
  <c r="N55" i="21"/>
  <c r="N110" i="21" s="1"/>
  <c r="M105" i="33"/>
  <c r="L52" i="21"/>
  <c r="L107" i="21" s="1"/>
  <c r="K86" i="33"/>
  <c r="X42" i="21"/>
  <c r="X97" i="21" s="1"/>
  <c r="W38" i="33"/>
  <c r="X55" i="21"/>
  <c r="X110" i="21" s="1"/>
  <c r="W105" i="33"/>
  <c r="L105" i="33"/>
  <c r="M55" i="21"/>
  <c r="M110" i="21" s="1"/>
  <c r="N50" i="21"/>
  <c r="N105" i="21" s="1"/>
  <c r="M74" i="33"/>
  <c r="L48" i="21"/>
  <c r="L103" i="21" s="1"/>
  <c r="K63" i="33"/>
  <c r="AH49" i="21"/>
  <c r="AH104" i="21" s="1"/>
  <c r="AG68" i="33"/>
  <c r="J45" i="21"/>
  <c r="J100" i="21" s="1"/>
  <c r="I48" i="33"/>
  <c r="J52" i="21"/>
  <c r="J107" i="21" s="1"/>
  <c r="I86" i="33"/>
  <c r="AH45" i="21"/>
  <c r="AH100" i="21" s="1"/>
  <c r="AG48" i="33"/>
  <c r="AH52" i="21"/>
  <c r="AH107" i="21" s="1"/>
  <c r="AG86" i="33"/>
  <c r="H51" i="21"/>
  <c r="H106" i="21" s="1"/>
  <c r="G80" i="33"/>
  <c r="T56" i="21"/>
  <c r="T111" i="21" s="1"/>
  <c r="S112" i="33"/>
  <c r="AC54" i="21"/>
  <c r="AC109" i="21" s="1"/>
  <c r="AB98" i="33"/>
  <c r="AI48" i="21"/>
  <c r="AI103" i="21" s="1"/>
  <c r="AH63" i="33"/>
  <c r="M48" i="33"/>
  <c r="N45" i="21"/>
  <c r="N100" i="21" s="1"/>
  <c r="U43" i="21"/>
  <c r="U98" i="21" s="1"/>
  <c r="T41" i="33"/>
  <c r="S47" i="21"/>
  <c r="S102" i="21" s="1"/>
  <c r="R58" i="33"/>
  <c r="P50" i="21"/>
  <c r="P105" i="21" s="1"/>
  <c r="O74" i="33"/>
  <c r="AE48" i="21"/>
  <c r="AE103" i="21" s="1"/>
  <c r="AD63" i="33"/>
  <c r="T41" i="21"/>
  <c r="T96" i="21" s="1"/>
  <c r="S35" i="33"/>
  <c r="I48" i="21"/>
  <c r="I103" i="21" s="1"/>
  <c r="H63" i="33"/>
  <c r="AD49" i="21"/>
  <c r="AD104" i="21" s="1"/>
  <c r="AC68" i="33"/>
  <c r="AC55" i="21"/>
  <c r="AC110" i="21" s="1"/>
  <c r="AB105" i="33"/>
  <c r="R54" i="21"/>
  <c r="R109" i="21" s="1"/>
  <c r="Q98" i="33"/>
  <c r="V54" i="21"/>
  <c r="V109" i="21" s="1"/>
  <c r="U98" i="33"/>
  <c r="AF55" i="21"/>
  <c r="AF110" i="21" s="1"/>
  <c r="AE105" i="33"/>
  <c r="AB54" i="21"/>
  <c r="AB109" i="21" s="1"/>
  <c r="AA98" i="33"/>
  <c r="S53" i="21"/>
  <c r="S108" i="21" s="1"/>
  <c r="R92" i="33"/>
  <c r="P56" i="21"/>
  <c r="P111" i="21" s="1"/>
  <c r="O112" i="33"/>
  <c r="AE54" i="21"/>
  <c r="AE109" i="21" s="1"/>
  <c r="AD98" i="33"/>
  <c r="AI46" i="21"/>
  <c r="AI101" i="21" s="1"/>
  <c r="AH53" i="33"/>
  <c r="U52" i="21"/>
  <c r="U107" i="21" s="1"/>
  <c r="T86" i="33"/>
  <c r="AC52" i="21"/>
  <c r="AC107" i="21" s="1"/>
  <c r="AB86" i="33"/>
  <c r="AG53" i="21"/>
  <c r="AG108" i="21" s="1"/>
  <c r="AF92" i="33"/>
  <c r="S56" i="21"/>
  <c r="S111" i="21" s="1"/>
  <c r="R112" i="33"/>
  <c r="O50" i="21"/>
  <c r="O105" i="21" s="1"/>
  <c r="N74" i="33"/>
  <c r="O54" i="21"/>
  <c r="O109" i="21" s="1"/>
  <c r="N98" i="33"/>
  <c r="K41" i="21"/>
  <c r="K96" i="21" s="1"/>
  <c r="J35" i="33"/>
  <c r="AA49" i="21"/>
  <c r="AA104" i="21" s="1"/>
  <c r="Z68" i="33"/>
  <c r="O52" i="21"/>
  <c r="O107" i="21" s="1"/>
  <c r="N86" i="33"/>
  <c r="AA55" i="21"/>
  <c r="AA110" i="21" s="1"/>
  <c r="Z105" i="33"/>
  <c r="Z49" i="21"/>
  <c r="Z104" i="21" s="1"/>
  <c r="Y68" i="33"/>
  <c r="W50" i="21"/>
  <c r="W105" i="21" s="1"/>
  <c r="V74" i="33"/>
  <c r="X53" i="33"/>
  <c r="Y46" i="21"/>
  <c r="Y101" i="21" s="1"/>
  <c r="W55" i="21"/>
  <c r="W110" i="21" s="1"/>
  <c r="V105" i="33"/>
  <c r="X51" i="21"/>
  <c r="X106" i="21" s="1"/>
  <c r="W80" i="33"/>
  <c r="X53" i="21"/>
  <c r="X108" i="21" s="1"/>
  <c r="W92" i="33"/>
  <c r="X44" i="21"/>
  <c r="X99" i="21" s="1"/>
  <c r="W44" i="33"/>
  <c r="M54" i="21"/>
  <c r="M109" i="21" s="1"/>
  <c r="L98" i="33"/>
  <c r="I58" i="33"/>
  <c r="J47" i="21"/>
  <c r="J102" i="21" s="1"/>
  <c r="AH48" i="21"/>
  <c r="AH103" i="21" s="1"/>
  <c r="AG63" i="33"/>
  <c r="AH55" i="21"/>
  <c r="AH110" i="21" s="1"/>
  <c r="AG105" i="33"/>
  <c r="R46" i="21"/>
  <c r="R101" i="21" s="1"/>
  <c r="Q53" i="33"/>
  <c r="AB56" i="21"/>
  <c r="AB111" i="21" s="1"/>
  <c r="AA112" i="33"/>
  <c r="K48" i="21"/>
  <c r="K103" i="21" s="1"/>
  <c r="J63" i="33"/>
  <c r="AF42" i="21"/>
  <c r="AF97" i="21" s="1"/>
  <c r="AE38" i="33"/>
  <c r="V55" i="21"/>
  <c r="V110" i="21" s="1"/>
  <c r="U105" i="33"/>
  <c r="AB51" i="21"/>
  <c r="AB106" i="21" s="1"/>
  <c r="AA80" i="33"/>
  <c r="AF43" i="21"/>
  <c r="AF98" i="21" s="1"/>
  <c r="AE41" i="33"/>
  <c r="AB41" i="21"/>
  <c r="AB96" i="21" s="1"/>
  <c r="AA35" i="33"/>
  <c r="U55" i="21"/>
  <c r="U110" i="21" s="1"/>
  <c r="T105" i="33"/>
  <c r="AF52" i="21"/>
  <c r="AF107" i="21" s="1"/>
  <c r="AE86" i="33"/>
  <c r="V41" i="21"/>
  <c r="V96" i="21" s="1"/>
  <c r="U35" i="33"/>
  <c r="P53" i="21"/>
  <c r="P108" i="21" s="1"/>
  <c r="O92" i="33"/>
  <c r="AG54" i="21"/>
  <c r="AG109" i="21" s="1"/>
  <c r="AF98" i="33"/>
  <c r="AD48" i="21"/>
  <c r="AD103" i="21" s="1"/>
  <c r="AC63" i="33"/>
  <c r="H45" i="21"/>
  <c r="H100" i="21" s="1"/>
  <c r="G48" i="33"/>
  <c r="R53" i="21"/>
  <c r="R108" i="21" s="1"/>
  <c r="Q92" i="33"/>
  <c r="V53" i="21"/>
  <c r="V108" i="21" s="1"/>
  <c r="U92" i="33"/>
  <c r="AI45" i="21"/>
  <c r="AI100" i="21" s="1"/>
  <c r="AH48" i="33"/>
  <c r="O51" i="21"/>
  <c r="O106" i="21" s="1"/>
  <c r="N80" i="33"/>
  <c r="K54" i="21"/>
  <c r="K109" i="21" s="1"/>
  <c r="J98" i="33"/>
  <c r="Y63" i="33"/>
  <c r="Z48" i="21"/>
  <c r="Z103" i="21" s="1"/>
  <c r="AA56" i="21"/>
  <c r="AA111" i="21" s="1"/>
  <c r="Z112" i="33"/>
  <c r="Z50" i="21"/>
  <c r="Z105" i="21" s="1"/>
  <c r="Y74" i="33"/>
  <c r="Y54" i="21"/>
  <c r="Y109" i="21" s="1"/>
  <c r="X98" i="33"/>
  <c r="I41" i="21"/>
  <c r="I96" i="21" s="1"/>
  <c r="H35" i="33"/>
  <c r="M50" i="21"/>
  <c r="M105" i="21" s="1"/>
  <c r="L74" i="33"/>
  <c r="L44" i="21"/>
  <c r="L99" i="21" s="1"/>
  <c r="K44" i="33"/>
  <c r="X47" i="21"/>
  <c r="X102" i="21" s="1"/>
  <c r="W58" i="33"/>
  <c r="Z53" i="21"/>
  <c r="Z108" i="21" s="1"/>
  <c r="Y92" i="33"/>
  <c r="M46" i="21"/>
  <c r="M101" i="21" s="1"/>
  <c r="L53" i="33"/>
  <c r="J43" i="21"/>
  <c r="J98" i="21" s="1"/>
  <c r="I41" i="33"/>
  <c r="AH54" i="21"/>
  <c r="AH109" i="21" s="1"/>
  <c r="AG98" i="33"/>
  <c r="I54" i="21"/>
  <c r="I109" i="21" s="1"/>
  <c r="H98" i="33"/>
  <c r="AA92" i="33"/>
  <c r="AB53" i="21"/>
  <c r="AB108" i="21" s="1"/>
  <c r="AI50" i="21"/>
  <c r="AI105" i="21" s="1"/>
  <c r="AH74" i="33"/>
  <c r="K43" i="21"/>
  <c r="K98" i="21" s="1"/>
  <c r="J41" i="33"/>
  <c r="N43" i="21"/>
  <c r="N98" i="21" s="1"/>
  <c r="M41" i="33"/>
  <c r="AG44" i="21"/>
  <c r="AG99" i="21" s="1"/>
  <c r="AF44" i="33"/>
  <c r="R43" i="21"/>
  <c r="R98" i="21" s="1"/>
  <c r="Q41" i="33"/>
  <c r="I45" i="21"/>
  <c r="I100" i="21" s="1"/>
  <c r="H48" i="33"/>
  <c r="AC46" i="21"/>
  <c r="AC101" i="21" s="1"/>
  <c r="AB53" i="33"/>
  <c r="AE51" i="21"/>
  <c r="AE106" i="21" s="1"/>
  <c r="AD80" i="33"/>
  <c r="H46" i="21"/>
  <c r="H101" i="21" s="1"/>
  <c r="G53" i="33"/>
  <c r="AG56" i="21"/>
  <c r="AG111" i="21" s="1"/>
  <c r="AF112" i="33"/>
  <c r="R41" i="21"/>
  <c r="R96" i="21" s="1"/>
  <c r="Q35" i="33"/>
  <c r="T54" i="21"/>
  <c r="T109" i="21" s="1"/>
  <c r="S98" i="33"/>
  <c r="AD47" i="21"/>
  <c r="AD102" i="21" s="1"/>
  <c r="AC58" i="33"/>
  <c r="H56" i="21"/>
  <c r="H111" i="21" s="1"/>
  <c r="G112" i="33"/>
  <c r="H44" i="21"/>
  <c r="H99" i="21" s="1"/>
  <c r="G44" i="33"/>
  <c r="R52" i="21"/>
  <c r="R107" i="21" s="1"/>
  <c r="Q86" i="33"/>
  <c r="R42" i="21"/>
  <c r="R97" i="21" s="1"/>
  <c r="Q38" i="33"/>
  <c r="V52" i="21"/>
  <c r="V107" i="21" s="1"/>
  <c r="U86" i="33"/>
  <c r="U38" i="33"/>
  <c r="V42" i="21"/>
  <c r="V97" i="21" s="1"/>
  <c r="AI56" i="21"/>
  <c r="AI111" i="21" s="1"/>
  <c r="AH112" i="33"/>
  <c r="AI44" i="21"/>
  <c r="AI99" i="21" s="1"/>
  <c r="AH44" i="33"/>
  <c r="AA48" i="21"/>
  <c r="AA103" i="21" s="1"/>
  <c r="Z63" i="33"/>
  <c r="Z47" i="21"/>
  <c r="Z102" i="21" s="1"/>
  <c r="Y58" i="33"/>
  <c r="K47" i="21"/>
  <c r="K102" i="21" s="1"/>
  <c r="J58" i="33"/>
  <c r="O44" i="21"/>
  <c r="O99" i="21" s="1"/>
  <c r="N44" i="33"/>
  <c r="S45" i="21"/>
  <c r="S100" i="21" s="1"/>
  <c r="R48" i="33"/>
  <c r="Y45" i="21"/>
  <c r="Y100" i="21" s="1"/>
  <c r="X48" i="33"/>
  <c r="W41" i="21"/>
  <c r="W96" i="21" s="1"/>
  <c r="V35" i="33"/>
  <c r="M48" i="21"/>
  <c r="M103" i="21" s="1"/>
  <c r="L63" i="33"/>
  <c r="N48" i="21"/>
  <c r="N103" i="21" s="1"/>
  <c r="M63" i="33"/>
  <c r="L43" i="21"/>
  <c r="L98" i="21" s="1"/>
  <c r="K41" i="33"/>
  <c r="L56" i="21"/>
  <c r="L111" i="21" s="1"/>
  <c r="K112" i="33"/>
  <c r="N51" i="21"/>
  <c r="N106" i="21" s="1"/>
  <c r="M80" i="33"/>
  <c r="J53" i="21"/>
  <c r="J108" i="21" s="1"/>
  <c r="I92" i="33"/>
  <c r="J55" i="21"/>
  <c r="J110" i="21" s="1"/>
  <c r="I105" i="33"/>
  <c r="J46" i="21"/>
  <c r="J101" i="21" s="1"/>
  <c r="I53" i="33"/>
  <c r="I56" i="21"/>
  <c r="I111" i="21" s="1"/>
  <c r="H112" i="33"/>
  <c r="P52" i="21"/>
  <c r="P107" i="21" s="1"/>
  <c r="O86" i="33"/>
  <c r="AC80" i="33"/>
  <c r="AD51" i="21"/>
  <c r="AD106" i="21" s="1"/>
  <c r="R44" i="21"/>
  <c r="R99" i="21" s="1"/>
  <c r="Q44" i="33"/>
  <c r="Z54" i="21"/>
  <c r="Z109" i="21" s="1"/>
  <c r="Y98" i="33"/>
  <c r="J42" i="21"/>
  <c r="J97" i="21" s="1"/>
  <c r="I38" i="33"/>
  <c r="T51" i="21"/>
  <c r="T106" i="21" s="1"/>
  <c r="S80" i="33"/>
  <c r="I43" i="21"/>
  <c r="I98" i="21" s="1"/>
  <c r="H41" i="33"/>
  <c r="T42" i="21"/>
  <c r="T97" i="21" s="1"/>
  <c r="S38" i="33"/>
  <c r="AG45" i="21"/>
  <c r="AG100" i="21" s="1"/>
  <c r="AF48" i="33"/>
  <c r="AE49" i="21"/>
  <c r="AE104" i="21" s="1"/>
  <c r="AD68" i="33"/>
  <c r="AC47" i="21"/>
  <c r="AC102" i="21" s="1"/>
  <c r="AB58" i="33"/>
  <c r="P41" i="21"/>
  <c r="P96" i="21" s="1"/>
  <c r="O35" i="33"/>
  <c r="AB43" i="21"/>
  <c r="AB98" i="21" s="1"/>
  <c r="AA41" i="33"/>
  <c r="T46" i="21"/>
  <c r="T101" i="21" s="1"/>
  <c r="S53" i="33"/>
  <c r="AC50" i="21"/>
  <c r="AC105" i="21" s="1"/>
  <c r="AB74" i="33"/>
  <c r="AG51" i="21"/>
  <c r="AG106" i="21" s="1"/>
  <c r="AF80" i="33"/>
  <c r="AF47" i="21"/>
  <c r="AF102" i="21" s="1"/>
  <c r="AE58" i="33"/>
  <c r="S41" i="21"/>
  <c r="S96" i="21" s="1"/>
  <c r="R35" i="33"/>
  <c r="P45" i="21"/>
  <c r="P100" i="21" s="1"/>
  <c r="O48" i="33"/>
  <c r="AH105" i="33"/>
  <c r="AI55" i="21"/>
  <c r="AI110" i="21" s="1"/>
  <c r="AI43" i="21"/>
  <c r="AI98" i="21" s="1"/>
  <c r="AH41" i="33"/>
  <c r="I42" i="21"/>
  <c r="I97" i="21" s="1"/>
  <c r="H38" i="33"/>
  <c r="AE43" i="21"/>
  <c r="AE98" i="21" s="1"/>
  <c r="AD41" i="33"/>
  <c r="AB46" i="21"/>
  <c r="AB101" i="21" s="1"/>
  <c r="AA53" i="33"/>
  <c r="U42" i="21"/>
  <c r="U97" i="21" s="1"/>
  <c r="T38" i="33"/>
  <c r="T49" i="21"/>
  <c r="T104" i="21" s="1"/>
  <c r="S68" i="33"/>
  <c r="O42" i="21"/>
  <c r="O97" i="21" s="1"/>
  <c r="N38" i="33"/>
  <c r="U41" i="21"/>
  <c r="U96" i="21" s="1"/>
  <c r="T35" i="33"/>
  <c r="K46" i="21"/>
  <c r="K101" i="21" s="1"/>
  <c r="J53" i="33"/>
  <c r="K51" i="21"/>
  <c r="K106" i="21" s="1"/>
  <c r="J80" i="33"/>
  <c r="W54" i="21"/>
  <c r="W109" i="21" s="1"/>
  <c r="V98" i="33"/>
  <c r="Y49" i="21"/>
  <c r="Y104" i="21" s="1"/>
  <c r="X68" i="33"/>
  <c r="W45" i="21"/>
  <c r="W100" i="21" s="1"/>
  <c r="V48" i="33"/>
  <c r="Y53" i="21"/>
  <c r="Y108" i="21" s="1"/>
  <c r="X92" i="33"/>
  <c r="L49" i="21"/>
  <c r="L104" i="21" s="1"/>
  <c r="K68" i="33"/>
  <c r="N46" i="21"/>
  <c r="N101" i="21" s="1"/>
  <c r="M53" i="33"/>
  <c r="L42" i="21"/>
  <c r="L97" i="21" s="1"/>
  <c r="K38" i="33"/>
  <c r="L55" i="21"/>
  <c r="L110" i="21" s="1"/>
  <c r="K105" i="33"/>
  <c r="M56" i="21"/>
  <c r="M111" i="21" s="1"/>
  <c r="L112" i="33"/>
  <c r="M42" i="21"/>
  <c r="M97" i="21" s="1"/>
  <c r="L38" i="33"/>
  <c r="W48" i="21"/>
  <c r="W103" i="21" s="1"/>
  <c r="V63" i="33"/>
  <c r="J48" i="21"/>
  <c r="J103" i="21" s="1"/>
  <c r="I63" i="33"/>
  <c r="X56" i="21"/>
  <c r="X111" i="21" s="1"/>
  <c r="W112" i="33"/>
  <c r="AH41" i="21"/>
  <c r="AH96" i="21" s="1"/>
  <c r="AG35" i="33"/>
  <c r="AH50" i="21"/>
  <c r="AH105" i="21" s="1"/>
  <c r="AG74" i="33"/>
  <c r="AH53" i="21"/>
  <c r="AH108" i="21" s="1"/>
  <c r="AG92" i="33"/>
  <c r="H50" i="21"/>
  <c r="H105" i="21" s="1"/>
  <c r="G74" i="33"/>
  <c r="AE53" i="21"/>
  <c r="AE108" i="21" s="1"/>
  <c r="AD92" i="33"/>
  <c r="H48" i="21"/>
  <c r="H103" i="21" s="1"/>
  <c r="G63" i="33"/>
  <c r="O48" i="21"/>
  <c r="O103" i="21" s="1"/>
  <c r="N63" i="33"/>
  <c r="L54" i="21"/>
  <c r="L109" i="21" s="1"/>
  <c r="K98" i="33"/>
  <c r="AD50" i="21"/>
  <c r="AD105" i="21" s="1"/>
  <c r="AC74" i="33"/>
  <c r="G41" i="33"/>
  <c r="H43" i="21"/>
  <c r="H98" i="21" s="1"/>
  <c r="U44" i="21"/>
  <c r="U99" i="21" s="1"/>
  <c r="T44" i="33"/>
  <c r="V51" i="21"/>
  <c r="V106" i="21" s="1"/>
  <c r="U80" i="33"/>
  <c r="I46" i="21"/>
  <c r="I101" i="21" s="1"/>
  <c r="H53" i="33"/>
  <c r="T43" i="21"/>
  <c r="T98" i="21" s="1"/>
  <c r="S41" i="33"/>
  <c r="S51" i="21"/>
  <c r="S106" i="21" s="1"/>
  <c r="R80" i="33"/>
  <c r="U50" i="21"/>
  <c r="U105" i="21" s="1"/>
  <c r="T74" i="33"/>
  <c r="H54" i="21"/>
  <c r="H109" i="21" s="1"/>
  <c r="G98" i="33"/>
  <c r="U56" i="21"/>
  <c r="U111" i="21" s="1"/>
  <c r="T112" i="33"/>
  <c r="AC56" i="21"/>
  <c r="AC111" i="21" s="1"/>
  <c r="AB112" i="33"/>
  <c r="AB52" i="21"/>
  <c r="AB107" i="21" s="1"/>
  <c r="AA86" i="33"/>
  <c r="AF56" i="21"/>
  <c r="AF111" i="21" s="1"/>
  <c r="AE112" i="33"/>
  <c r="P54" i="21"/>
  <c r="P109" i="21" s="1"/>
  <c r="O98" i="33"/>
  <c r="AE52" i="21"/>
  <c r="AE107" i="21" s="1"/>
  <c r="AD86" i="33"/>
  <c r="AB55" i="21"/>
  <c r="AB110" i="21" s="1"/>
  <c r="AA105" i="33"/>
  <c r="S54" i="21"/>
  <c r="S109" i="21" s="1"/>
  <c r="R98" i="33"/>
  <c r="AI54" i="21"/>
  <c r="AI109" i="21" s="1"/>
  <c r="AH98" i="33"/>
  <c r="AI41" i="21"/>
  <c r="AI96" i="21" s="1"/>
  <c r="AH35" i="33"/>
  <c r="I52" i="21"/>
  <c r="I107" i="21" s="1"/>
  <c r="H86" i="33"/>
  <c r="AE55" i="21"/>
  <c r="AE110" i="21" s="1"/>
  <c r="AD105" i="33"/>
  <c r="U53" i="21"/>
  <c r="U108" i="21" s="1"/>
  <c r="T92" i="33"/>
  <c r="AC53" i="21"/>
  <c r="AC108" i="21" s="1"/>
  <c r="AB92" i="33"/>
  <c r="AA42" i="21"/>
  <c r="AA97" i="21" s="1"/>
  <c r="Z38" i="33"/>
  <c r="K42" i="21"/>
  <c r="K97" i="21" s="1"/>
  <c r="J38" i="33"/>
  <c r="AA47" i="21"/>
  <c r="AA102" i="21" s="1"/>
  <c r="Z58" i="33"/>
  <c r="Z46" i="21"/>
  <c r="Z101" i="21" s="1"/>
  <c r="Y53" i="33"/>
  <c r="Z51" i="21"/>
  <c r="Z106" i="21" s="1"/>
  <c r="Y80" i="33"/>
  <c r="W42" i="21"/>
  <c r="W97" i="21" s="1"/>
  <c r="V38" i="33"/>
  <c r="Y42" i="21"/>
  <c r="Y97" i="21" s="1"/>
  <c r="X38" i="33"/>
  <c r="W49" i="21"/>
  <c r="W104" i="21" s="1"/>
  <c r="V68" i="33"/>
  <c r="N53" i="21"/>
  <c r="N108" i="21" s="1"/>
  <c r="M92" i="33"/>
  <c r="N44" i="21"/>
  <c r="N99" i="21" s="1"/>
  <c r="M44" i="33"/>
  <c r="L53" i="21"/>
  <c r="L108" i="21" s="1"/>
  <c r="K92" i="33"/>
  <c r="AH56" i="21"/>
  <c r="AH111" i="21" s="1"/>
  <c r="AG112" i="33"/>
  <c r="AH44" i="21"/>
  <c r="AH99" i="21" s="1"/>
  <c r="AG44" i="33"/>
  <c r="AD53" i="21"/>
  <c r="AD108" i="21" s="1"/>
  <c r="AC92" i="33"/>
  <c r="T53" i="21"/>
  <c r="T108" i="21" s="1"/>
  <c r="S92" i="33"/>
  <c r="AG52" i="21"/>
  <c r="AG107" i="21" s="1"/>
  <c r="AF86" i="33"/>
  <c r="R56" i="21"/>
  <c r="R111" i="21" s="1"/>
  <c r="Q112" i="33"/>
  <c r="AF50" i="21"/>
  <c r="AF105" i="21" s="1"/>
  <c r="AE74" i="33"/>
  <c r="X43" i="21"/>
  <c r="X98" i="21" s="1"/>
  <c r="W41" i="33"/>
  <c r="AD46" i="21"/>
  <c r="AD101" i="21" s="1"/>
  <c r="AC53" i="33"/>
  <c r="AE46" i="21"/>
  <c r="AE101" i="21" s="1"/>
  <c r="AD53" i="33"/>
  <c r="R51" i="21"/>
  <c r="R106" i="21" s="1"/>
  <c r="Q80" i="33"/>
  <c r="S48" i="21"/>
  <c r="S103" i="21" s="1"/>
  <c r="R63" i="33"/>
  <c r="AB42" i="21"/>
  <c r="AB97" i="21" s="1"/>
  <c r="AA38" i="33"/>
  <c r="AG48" i="21"/>
  <c r="AG103" i="21" s="1"/>
  <c r="AF63" i="33"/>
  <c r="I49" i="21"/>
  <c r="I104" i="21" s="1"/>
  <c r="H68" i="33"/>
  <c r="U54" i="21"/>
  <c r="U109" i="21" s="1"/>
  <c r="T98" i="33"/>
  <c r="H41" i="21"/>
  <c r="H96" i="21" s="1"/>
  <c r="G35" i="33"/>
  <c r="R50" i="21"/>
  <c r="R105" i="21" s="1"/>
  <c r="Q74" i="33"/>
  <c r="AF53" i="21"/>
  <c r="AF108" i="21" s="1"/>
  <c r="AE92" i="33"/>
  <c r="AD56" i="21"/>
  <c r="AD111" i="21" s="1"/>
  <c r="AC112" i="33"/>
  <c r="AD44" i="21"/>
  <c r="AD99" i="21" s="1"/>
  <c r="AC44" i="33"/>
  <c r="H53" i="21"/>
  <c r="H108" i="21" s="1"/>
  <c r="G92" i="33"/>
  <c r="H42" i="21"/>
  <c r="H97" i="21" s="1"/>
  <c r="G38" i="33"/>
  <c r="R49" i="21"/>
  <c r="R104" i="21" s="1"/>
  <c r="Q68" i="33"/>
  <c r="V49" i="21"/>
  <c r="V104" i="21" s="1"/>
  <c r="U68" i="33"/>
  <c r="AI53" i="21"/>
  <c r="AI108" i="21" s="1"/>
  <c r="AH92" i="33"/>
  <c r="AI42" i="21"/>
  <c r="AI97" i="21" s="1"/>
  <c r="AH38" i="33"/>
  <c r="AA41" i="21"/>
  <c r="AA96" i="21" s="1"/>
  <c r="Z35" i="33"/>
  <c r="O53" i="21"/>
  <c r="O108" i="21" s="1"/>
  <c r="N92" i="33"/>
  <c r="K53" i="21"/>
  <c r="K108" i="21" s="1"/>
  <c r="J92" i="33"/>
  <c r="K45" i="21"/>
  <c r="K100" i="21" s="1"/>
  <c r="J48" i="33"/>
  <c r="Y44" i="21"/>
  <c r="Y99" i="21" s="1"/>
  <c r="X44" i="33"/>
  <c r="W53" i="21"/>
  <c r="W108" i="21" s="1"/>
  <c r="V92" i="33"/>
  <c r="Y52" i="21"/>
  <c r="Y107" i="21" s="1"/>
  <c r="X86" i="33"/>
  <c r="Z41" i="21"/>
  <c r="Z96" i="21" s="1"/>
  <c r="Y35" i="33"/>
  <c r="X50" i="21"/>
  <c r="X105" i="21" s="1"/>
  <c r="W74" i="33"/>
  <c r="N56" i="21"/>
  <c r="N111" i="21" s="1"/>
  <c r="M112" i="33"/>
  <c r="X41" i="21"/>
  <c r="X96" i="21" s="1"/>
  <c r="W35" i="33"/>
  <c r="AA51" i="21"/>
  <c r="AA106" i="21" s="1"/>
  <c r="Z80" i="33"/>
  <c r="L47" i="21"/>
  <c r="L102" i="21" s="1"/>
  <c r="K58" i="33"/>
  <c r="O46" i="21"/>
  <c r="O101" i="21" s="1"/>
  <c r="N53" i="33"/>
  <c r="J49" i="21"/>
  <c r="J104" i="21" s="1"/>
  <c r="I68" i="33"/>
  <c r="AG55" i="21"/>
  <c r="AG110" i="21" s="1"/>
  <c r="AF105" i="33"/>
  <c r="S55" i="21"/>
  <c r="S110" i="21" s="1"/>
  <c r="R105" i="33"/>
  <c r="V44" i="21"/>
  <c r="V99" i="21" s="1"/>
  <c r="U44" i="33"/>
  <c r="AA50" i="21"/>
  <c r="AA105" i="21" s="1"/>
  <c r="Z74" i="33"/>
  <c r="M43" i="21"/>
  <c r="M98" i="21" s="1"/>
  <c r="L41" i="33"/>
  <c r="H47" i="21"/>
  <c r="H102" i="21" s="1"/>
  <c r="G58" i="33"/>
  <c r="H55" i="21"/>
  <c r="H110" i="21" s="1"/>
  <c r="G105" i="33"/>
  <c r="AB49" i="21"/>
  <c r="AB104" i="21" s="1"/>
  <c r="AA68" i="33"/>
  <c r="AC44" i="21"/>
  <c r="AC99" i="21" s="1"/>
  <c r="AB44" i="33"/>
  <c r="P51" i="21"/>
  <c r="P106" i="21" s="1"/>
  <c r="O80" i="33"/>
  <c r="U47" i="21"/>
  <c r="U102" i="21" s="1"/>
  <c r="T58" i="33"/>
  <c r="AF44" i="21"/>
  <c r="AF99" i="21" s="1"/>
  <c r="AE44" i="33"/>
  <c r="AE42" i="21"/>
  <c r="AE97" i="21" s="1"/>
  <c r="AD38" i="33"/>
  <c r="AD45" i="21"/>
  <c r="AD100" i="21" s="1"/>
  <c r="AC48" i="33"/>
  <c r="I55" i="21"/>
  <c r="I110" i="21" s="1"/>
  <c r="H105" i="33"/>
  <c r="T52" i="21"/>
  <c r="T107" i="21" s="1"/>
  <c r="S86" i="33"/>
  <c r="V50" i="21"/>
  <c r="V105" i="21" s="1"/>
  <c r="U74" i="33"/>
  <c r="T55" i="21"/>
  <c r="T110" i="21" s="1"/>
  <c r="S105" i="33"/>
  <c r="AD55" i="21"/>
  <c r="AD110" i="21" s="1"/>
  <c r="AC105" i="33"/>
  <c r="AD43" i="21"/>
  <c r="AD98" i="21" s="1"/>
  <c r="AC41" i="33"/>
  <c r="H52" i="21"/>
  <c r="H107" i="21" s="1"/>
  <c r="G86" i="33"/>
  <c r="R48" i="21"/>
  <c r="R103" i="21" s="1"/>
  <c r="Q63" i="33"/>
  <c r="V48" i="21"/>
  <c r="V103" i="21" s="1"/>
  <c r="U63" i="33"/>
  <c r="AI52" i="21"/>
  <c r="AI107" i="21" s="1"/>
  <c r="AH86" i="33"/>
  <c r="AA43" i="21"/>
  <c r="AA98" i="21" s="1"/>
  <c r="Z41" i="33"/>
  <c r="O56" i="21"/>
  <c r="O111" i="21" s="1"/>
  <c r="N112" i="33"/>
  <c r="O43" i="21"/>
  <c r="O98" i="21" s="1"/>
  <c r="N41" i="33"/>
  <c r="K49" i="21"/>
  <c r="K104" i="21" s="1"/>
  <c r="J68" i="33"/>
  <c r="O45" i="21"/>
  <c r="O100" i="21" s="1"/>
  <c r="N48" i="33"/>
  <c r="Y56" i="21"/>
  <c r="Y111" i="21" s="1"/>
  <c r="X112" i="33"/>
  <c r="AG41" i="21"/>
  <c r="AG96" i="21" s="1"/>
  <c r="AF35" i="33"/>
  <c r="X54" i="21"/>
  <c r="X109" i="21" s="1"/>
  <c r="W98" i="33"/>
  <c r="M51" i="21"/>
  <c r="M106" i="21" s="1"/>
  <c r="L80" i="33"/>
  <c r="AC41" i="21"/>
  <c r="AC96" i="21" s="1"/>
  <c r="AB35" i="33"/>
  <c r="N42" i="21"/>
  <c r="N97" i="21" s="1"/>
  <c r="M38" i="33"/>
  <c r="M44" i="21"/>
  <c r="M99" i="21" s="1"/>
  <c r="L44" i="33"/>
  <c r="AH46" i="21"/>
  <c r="AH101" i="21" s="1"/>
  <c r="AG53" i="33"/>
  <c r="K50" i="21"/>
  <c r="K105" i="21" s="1"/>
  <c r="J74" i="33"/>
  <c r="J50" i="21"/>
  <c r="J105" i="21" s="1"/>
  <c r="I74" i="33"/>
  <c r="J51" i="21"/>
  <c r="J106" i="21" s="1"/>
  <c r="I80" i="33"/>
  <c r="AD41" i="21"/>
  <c r="AD96" i="21" s="1"/>
  <c r="AC35" i="33"/>
  <c r="AG43" i="21"/>
  <c r="AG98" i="21" s="1"/>
  <c r="AF41" i="33"/>
  <c r="AF51" i="21"/>
  <c r="AF106" i="21" s="1"/>
  <c r="AE80" i="33"/>
  <c r="S46" i="21"/>
  <c r="S101" i="21" s="1"/>
  <c r="R53" i="33"/>
  <c r="P49" i="21"/>
  <c r="P104" i="21" s="1"/>
  <c r="O68" i="33"/>
  <c r="I44" i="21"/>
  <c r="I99" i="21" s="1"/>
  <c r="H44" i="33"/>
  <c r="AE47" i="21"/>
  <c r="AE102" i="21" s="1"/>
  <c r="AD58" i="33"/>
  <c r="R47" i="21"/>
  <c r="R102" i="21" s="1"/>
  <c r="Q58" i="33"/>
  <c r="AB50" i="21"/>
  <c r="AB105" i="21" s="1"/>
  <c r="AA74" i="33"/>
  <c r="V47" i="21"/>
  <c r="V102" i="21" s="1"/>
  <c r="U58" i="33"/>
  <c r="U45" i="21"/>
  <c r="U100" i="21" s="1"/>
  <c r="T48" i="33"/>
  <c r="AC45" i="21"/>
  <c r="AC100" i="21" s="1"/>
  <c r="AB48" i="33"/>
  <c r="AG46" i="21"/>
  <c r="AG101" i="21" s="1"/>
  <c r="AF53" i="33"/>
  <c r="AF41" i="21"/>
  <c r="AF96" i="21" s="1"/>
  <c r="AE35" i="33"/>
  <c r="S49" i="21"/>
  <c r="S104" i="21" s="1"/>
  <c r="R68" i="33"/>
  <c r="P42" i="21"/>
  <c r="P97" i="21" s="1"/>
  <c r="O38" i="33"/>
  <c r="I47" i="21"/>
  <c r="I102" i="21" s="1"/>
  <c r="H58" i="33"/>
  <c r="AE50" i="21"/>
  <c r="AE105" i="21" s="1"/>
  <c r="AD74" i="33"/>
  <c r="U48" i="21"/>
  <c r="U103" i="21" s="1"/>
  <c r="T63" i="33"/>
  <c r="T44" i="21"/>
  <c r="T99" i="21" s="1"/>
  <c r="S44" i="33"/>
  <c r="AC48" i="21"/>
  <c r="AC103" i="21" s="1"/>
  <c r="AB63" i="33"/>
  <c r="AG49" i="21"/>
  <c r="AG104" i="21" s="1"/>
  <c r="AF68" i="33"/>
  <c r="AF45" i="21"/>
  <c r="AF100" i="21" s="1"/>
  <c r="AE48" i="33"/>
  <c r="P43" i="21"/>
  <c r="P98" i="21" s="1"/>
  <c r="O41" i="33"/>
  <c r="I50" i="21"/>
  <c r="I105" i="21" s="1"/>
  <c r="H74" i="33"/>
  <c r="AB44" i="21"/>
  <c r="AB99" i="21" s="1"/>
  <c r="AA44" i="33"/>
  <c r="U51" i="21"/>
  <c r="U106" i="21" s="1"/>
  <c r="T80" i="33"/>
  <c r="T47" i="21"/>
  <c r="T102" i="21" s="1"/>
  <c r="S58" i="33"/>
  <c r="AC51" i="21"/>
  <c r="AC106" i="21" s="1"/>
  <c r="AB80" i="33"/>
  <c r="AI51" i="21"/>
  <c r="AI106" i="21" s="1"/>
  <c r="AH80" i="33"/>
  <c r="AG42" i="21"/>
  <c r="AG97" i="21" s="1"/>
  <c r="AF38" i="33"/>
  <c r="AF48" i="21"/>
  <c r="AF103" i="21" s="1"/>
  <c r="AE63" i="33"/>
  <c r="S43" i="21"/>
  <c r="S98" i="21" s="1"/>
  <c r="R41" i="33"/>
  <c r="P46" i="21"/>
  <c r="P101" i="21" s="1"/>
  <c r="O53" i="33"/>
  <c r="AE44" i="21"/>
  <c r="AE99" i="21" s="1"/>
  <c r="AD44" i="33"/>
  <c r="AB47" i="21"/>
  <c r="AB102" i="21" s="1"/>
  <c r="AA58" i="33"/>
  <c r="AA45" i="21"/>
  <c r="AA100" i="21" s="1"/>
  <c r="Z48" i="33"/>
  <c r="Z45" i="21"/>
  <c r="Z100" i="21" s="1"/>
  <c r="Y48" i="33"/>
  <c r="AE45" i="21"/>
  <c r="AE100" i="21" s="1"/>
  <c r="AD48" i="33"/>
  <c r="Z56" i="21"/>
  <c r="Z111" i="21" s="1"/>
  <c r="Y112" i="33"/>
  <c r="Z52" i="21"/>
  <c r="Z107" i="21" s="1"/>
  <c r="Y86" i="33"/>
  <c r="Y48" i="21"/>
  <c r="Y103" i="21" s="1"/>
  <c r="X63" i="33"/>
  <c r="W44" i="21"/>
  <c r="W99" i="21" s="1"/>
  <c r="V44" i="33"/>
  <c r="Y51" i="21"/>
  <c r="Y106" i="21" s="1"/>
  <c r="X80" i="33"/>
  <c r="X52" i="21"/>
  <c r="X107" i="21" s="1"/>
  <c r="W86" i="33"/>
  <c r="M49" i="21"/>
  <c r="M104" i="21" s="1"/>
  <c r="L68" i="33"/>
  <c r="L45" i="21"/>
  <c r="L100" i="21" s="1"/>
  <c r="K48" i="33"/>
  <c r="N52" i="21"/>
  <c r="N107" i="21" s="1"/>
  <c r="M86" i="33"/>
  <c r="J41" i="21"/>
  <c r="J96" i="21" s="1"/>
  <c r="I35" i="33"/>
  <c r="J44" i="21"/>
  <c r="J99" i="21" s="1"/>
  <c r="I44" i="33"/>
  <c r="P45" i="33"/>
  <c r="P60" i="33"/>
  <c r="P76" i="33"/>
  <c r="P94" i="33"/>
  <c r="P42" i="33"/>
  <c r="P55" i="33"/>
  <c r="P70" i="33"/>
  <c r="P107" i="33"/>
  <c r="P88" i="33"/>
  <c r="P39" i="33"/>
  <c r="P50" i="33"/>
  <c r="P65" i="33"/>
  <c r="P36" i="33"/>
  <c r="P100" i="33"/>
  <c r="P82" i="33"/>
  <c r="P33" i="33"/>
  <c r="Q46" i="21" l="1"/>
  <c r="Q101" i="21" s="1"/>
  <c r="P53" i="33"/>
  <c r="Q56" i="21"/>
  <c r="Q111" i="21" s="1"/>
  <c r="P112" i="33"/>
  <c r="Q54" i="21"/>
  <c r="Q109" i="21" s="1"/>
  <c r="P98" i="33"/>
  <c r="Q50" i="21"/>
  <c r="Q105" i="21" s="1"/>
  <c r="P74" i="33"/>
  <c r="Q49" i="21"/>
  <c r="Q104" i="21" s="1"/>
  <c r="P68" i="33"/>
  <c r="Q41" i="21"/>
  <c r="Q96" i="21" s="1"/>
  <c r="P35" i="33"/>
  <c r="Q47" i="21"/>
  <c r="Q102" i="21" s="1"/>
  <c r="P58" i="33"/>
  <c r="Q52" i="21"/>
  <c r="Q107" i="21" s="1"/>
  <c r="P86" i="33"/>
  <c r="Q44" i="21"/>
  <c r="Q99" i="21" s="1"/>
  <c r="P44" i="33"/>
  <c r="Q51" i="21"/>
  <c r="Q106" i="21" s="1"/>
  <c r="P80" i="33"/>
  <c r="Q48" i="21"/>
  <c r="Q103" i="21" s="1"/>
  <c r="P63" i="33"/>
  <c r="Q45" i="21"/>
  <c r="Q100" i="21" s="1"/>
  <c r="P48" i="33"/>
  <c r="Q43" i="21"/>
  <c r="Q98" i="21" s="1"/>
  <c r="P41" i="33"/>
  <c r="Q55" i="21"/>
  <c r="Q110" i="21" s="1"/>
  <c r="P105" i="33"/>
  <c r="Q42" i="21"/>
  <c r="Q97" i="21" s="1"/>
  <c r="P38" i="33"/>
  <c r="Q53" i="21"/>
  <c r="Q108" i="21" s="1"/>
  <c r="P92" i="33"/>
  <c r="J17" i="11" l="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Q33" i="29"/>
  <c r="R33" i="29"/>
  <c r="S33" i="29"/>
  <c r="T33" i="29"/>
  <c r="U33" i="29"/>
  <c r="V33" i="29"/>
  <c r="W33" i="29"/>
  <c r="X33" i="29"/>
  <c r="Y33" i="29"/>
  <c r="Z33" i="29"/>
  <c r="AA33" i="29"/>
  <c r="AB33" i="29"/>
  <c r="AC33" i="29"/>
  <c r="AD33" i="29"/>
  <c r="AE33" i="29"/>
  <c r="AF33" i="29"/>
  <c r="AG33" i="29"/>
  <c r="AH33" i="29"/>
  <c r="AI33" i="29"/>
  <c r="AT33" i="29"/>
  <c r="AU33" i="29"/>
  <c r="AV33" i="29"/>
  <c r="AW33" i="29"/>
  <c r="AX33" i="29"/>
  <c r="AY33" i="29"/>
  <c r="AZ33" i="29"/>
  <c r="BA33" i="29"/>
  <c r="BB33" i="29"/>
  <c r="BC33" i="29"/>
  <c r="BD33" i="29"/>
  <c r="BE33" i="29"/>
  <c r="BF33" i="29"/>
  <c r="BG33" i="29"/>
  <c r="BH33" i="29"/>
  <c r="BI33" i="29"/>
  <c r="BJ33" i="29"/>
  <c r="BK33" i="29"/>
  <c r="BL33" i="29"/>
  <c r="J34" i="29"/>
  <c r="K34" i="29"/>
  <c r="L34" i="29"/>
  <c r="M34" i="29"/>
  <c r="N34" i="29"/>
  <c r="O34" i="29"/>
  <c r="P34" i="29"/>
  <c r="Q34" i="29"/>
  <c r="R34" i="29"/>
  <c r="S34" i="29"/>
  <c r="T34" i="29"/>
  <c r="U34" i="29"/>
  <c r="V34" i="29"/>
  <c r="W34" i="29"/>
  <c r="X34" i="29"/>
  <c r="Y34" i="29"/>
  <c r="Z34" i="29"/>
  <c r="AA34" i="29"/>
  <c r="AB34" i="29"/>
  <c r="AC34" i="29"/>
  <c r="AD34" i="29"/>
  <c r="AE34" i="29"/>
  <c r="AF34" i="29"/>
  <c r="AG34" i="29"/>
  <c r="AH34" i="29"/>
  <c r="AI34" i="29"/>
  <c r="AM34" i="29"/>
  <c r="AN34" i="29"/>
  <c r="AO34" i="29"/>
  <c r="AP34" i="29"/>
  <c r="AQ34" i="29"/>
  <c r="AR34" i="29"/>
  <c r="AS34" i="29"/>
  <c r="AT34" i="29"/>
  <c r="AU34" i="29"/>
  <c r="AV34" i="29"/>
  <c r="AW34" i="29"/>
  <c r="AX34" i="29"/>
  <c r="AY34" i="29"/>
  <c r="AZ34" i="29"/>
  <c r="BA34" i="29"/>
  <c r="BB34" i="29"/>
  <c r="BC34" i="29"/>
  <c r="BD34" i="29"/>
  <c r="BE34" i="29"/>
  <c r="BF34" i="29"/>
  <c r="BG34" i="29"/>
  <c r="BH34" i="29"/>
  <c r="BI34" i="29"/>
  <c r="BJ34" i="29"/>
  <c r="BK34" i="29"/>
  <c r="BL34" i="29"/>
  <c r="Q36" i="29"/>
  <c r="R36" i="29"/>
  <c r="S36" i="29"/>
  <c r="T36" i="29"/>
  <c r="U36" i="29"/>
  <c r="V36" i="29"/>
  <c r="W36" i="29"/>
  <c r="X36" i="29"/>
  <c r="Y36" i="29"/>
  <c r="Z36" i="29"/>
  <c r="AA36" i="29"/>
  <c r="AB36" i="29"/>
  <c r="AC36" i="29"/>
  <c r="AD36" i="29"/>
  <c r="AE36" i="29"/>
  <c r="AF36" i="29"/>
  <c r="AG36" i="29"/>
  <c r="AH36" i="29"/>
  <c r="AI36" i="29"/>
  <c r="AT36" i="29"/>
  <c r="AU36" i="29"/>
  <c r="AV36" i="29"/>
  <c r="AW36" i="29"/>
  <c r="AX36" i="29"/>
  <c r="AY36" i="29"/>
  <c r="AZ36" i="29"/>
  <c r="BA36" i="29"/>
  <c r="BB36" i="29"/>
  <c r="BC36" i="29"/>
  <c r="BD36" i="29"/>
  <c r="BE36" i="29"/>
  <c r="BF36" i="29"/>
  <c r="BG36" i="29"/>
  <c r="BH36" i="29"/>
  <c r="BI36" i="29"/>
  <c r="BJ36" i="29"/>
  <c r="BK36" i="29"/>
  <c r="BL36" i="29"/>
  <c r="J37" i="29"/>
  <c r="K37" i="29"/>
  <c r="L37" i="29"/>
  <c r="M37" i="29"/>
  <c r="N37" i="29"/>
  <c r="O37" i="29"/>
  <c r="P37" i="29"/>
  <c r="Q37" i="29"/>
  <c r="R37" i="29"/>
  <c r="S37" i="29"/>
  <c r="T37" i="29"/>
  <c r="U37" i="29"/>
  <c r="V37" i="29"/>
  <c r="W37" i="29"/>
  <c r="X37" i="29"/>
  <c r="Y37" i="29"/>
  <c r="Z37" i="29"/>
  <c r="AA37" i="29"/>
  <c r="AB37" i="29"/>
  <c r="AC37" i="29"/>
  <c r="AD37" i="29"/>
  <c r="AE37" i="29"/>
  <c r="AF37" i="29"/>
  <c r="AG37" i="29"/>
  <c r="AH37" i="29"/>
  <c r="AI37" i="29"/>
  <c r="AM37" i="29"/>
  <c r="AN37" i="29"/>
  <c r="AO37" i="29"/>
  <c r="AP37" i="29"/>
  <c r="AQ37" i="29"/>
  <c r="AR37" i="29"/>
  <c r="AS37" i="29"/>
  <c r="AT37" i="29"/>
  <c r="AU37" i="29"/>
  <c r="AV37" i="29"/>
  <c r="AW37" i="29"/>
  <c r="AX37" i="29"/>
  <c r="AY37" i="29"/>
  <c r="AZ37" i="29"/>
  <c r="BA37" i="29"/>
  <c r="BB37" i="29"/>
  <c r="BC37" i="29"/>
  <c r="BD37" i="29"/>
  <c r="BE37" i="29"/>
  <c r="BF37" i="29"/>
  <c r="BG37" i="29"/>
  <c r="BH37" i="29"/>
  <c r="BI37" i="29"/>
  <c r="BJ37" i="29"/>
  <c r="BK37" i="29"/>
  <c r="BL37" i="29"/>
  <c r="Q39" i="29"/>
  <c r="R39" i="29"/>
  <c r="S39" i="29"/>
  <c r="T39" i="29"/>
  <c r="U39" i="29"/>
  <c r="V39" i="29"/>
  <c r="W39" i="29"/>
  <c r="X39" i="29"/>
  <c r="Y39" i="29"/>
  <c r="Z39" i="29"/>
  <c r="AA39" i="29"/>
  <c r="AB39" i="29"/>
  <c r="AC39" i="29"/>
  <c r="AD39" i="29"/>
  <c r="AE39" i="29"/>
  <c r="AF39" i="29"/>
  <c r="AG39" i="29"/>
  <c r="AH39" i="29"/>
  <c r="AI39" i="29"/>
  <c r="AT39" i="29"/>
  <c r="AU39" i="29"/>
  <c r="AV39" i="29"/>
  <c r="AW39" i="29"/>
  <c r="AX39" i="29"/>
  <c r="AY39" i="29"/>
  <c r="AZ39" i="29"/>
  <c r="BA39" i="29"/>
  <c r="BB39" i="29"/>
  <c r="BC39" i="29"/>
  <c r="BD39" i="29"/>
  <c r="BE39" i="29"/>
  <c r="BF39" i="29"/>
  <c r="BG39" i="29"/>
  <c r="BH39" i="29"/>
  <c r="BI39" i="29"/>
  <c r="BJ39" i="29"/>
  <c r="BK39" i="29"/>
  <c r="BL39" i="29"/>
  <c r="J40" i="29"/>
  <c r="K40" i="29"/>
  <c r="L40" i="29"/>
  <c r="M40" i="29"/>
  <c r="N40" i="29"/>
  <c r="O40" i="29"/>
  <c r="P40" i="29"/>
  <c r="Q40" i="29"/>
  <c r="R40" i="29"/>
  <c r="S40" i="29"/>
  <c r="T40" i="29"/>
  <c r="U40" i="29"/>
  <c r="V40" i="29"/>
  <c r="W40" i="29"/>
  <c r="X40" i="29"/>
  <c r="Y40" i="29"/>
  <c r="Z40" i="29"/>
  <c r="AA40" i="29"/>
  <c r="AB40" i="29"/>
  <c r="AC40" i="29"/>
  <c r="AD40" i="29"/>
  <c r="AE40" i="29"/>
  <c r="AF40" i="29"/>
  <c r="AG40" i="29"/>
  <c r="AH40" i="29"/>
  <c r="AI40" i="29"/>
  <c r="AM40" i="29"/>
  <c r="AN40" i="29"/>
  <c r="AO40" i="29"/>
  <c r="AP40" i="29"/>
  <c r="AQ40" i="29"/>
  <c r="AR40" i="29"/>
  <c r="AS40" i="29"/>
  <c r="AT40" i="29"/>
  <c r="AU40" i="29"/>
  <c r="AV40" i="29"/>
  <c r="AW40" i="29"/>
  <c r="AX40" i="29"/>
  <c r="AY40" i="29"/>
  <c r="AZ40" i="29"/>
  <c r="BA40" i="29"/>
  <c r="BB40" i="29"/>
  <c r="BC40" i="29"/>
  <c r="BD40" i="29"/>
  <c r="BE40" i="29"/>
  <c r="BF40" i="29"/>
  <c r="BG40" i="29"/>
  <c r="BH40" i="29"/>
  <c r="BI40" i="29"/>
  <c r="BJ40" i="29"/>
  <c r="BK40" i="29"/>
  <c r="BL40" i="29"/>
  <c r="Q42" i="29"/>
  <c r="R42" i="29"/>
  <c r="S42" i="29"/>
  <c r="T42" i="29"/>
  <c r="U42" i="29"/>
  <c r="V42" i="29"/>
  <c r="W42" i="29"/>
  <c r="X42" i="29"/>
  <c r="Y42" i="29"/>
  <c r="Z42" i="29"/>
  <c r="AA42" i="29"/>
  <c r="AB42" i="29"/>
  <c r="AC42" i="29"/>
  <c r="AD42" i="29"/>
  <c r="AE42" i="29"/>
  <c r="AF42" i="29"/>
  <c r="AG42" i="29"/>
  <c r="AH42" i="29"/>
  <c r="AI42" i="29"/>
  <c r="AT42" i="29"/>
  <c r="AU42" i="29"/>
  <c r="AV42" i="29"/>
  <c r="AW42" i="29"/>
  <c r="AX42" i="29"/>
  <c r="AY42" i="29"/>
  <c r="AZ42" i="29"/>
  <c r="BA42" i="29"/>
  <c r="BB42" i="29"/>
  <c r="BC42" i="29"/>
  <c r="BD42" i="29"/>
  <c r="BE42" i="29"/>
  <c r="BF42" i="29"/>
  <c r="BG42" i="29"/>
  <c r="BH42" i="29"/>
  <c r="BI42" i="29"/>
  <c r="BJ42" i="29"/>
  <c r="BK42" i="29"/>
  <c r="BL42" i="29"/>
  <c r="J43" i="29"/>
  <c r="K43" i="29"/>
  <c r="L43" i="29"/>
  <c r="M43" i="29"/>
  <c r="N43" i="29"/>
  <c r="O43" i="29"/>
  <c r="P43" i="29"/>
  <c r="Q43" i="29"/>
  <c r="R43" i="29"/>
  <c r="S43" i="29"/>
  <c r="T43" i="29"/>
  <c r="U43" i="29"/>
  <c r="V43" i="29"/>
  <c r="W43" i="29"/>
  <c r="X43" i="29"/>
  <c r="Y43" i="29"/>
  <c r="Z43" i="29"/>
  <c r="AA43" i="29"/>
  <c r="AB43" i="29"/>
  <c r="AC43" i="29"/>
  <c r="AD43" i="29"/>
  <c r="AE43" i="29"/>
  <c r="AF43" i="29"/>
  <c r="AG43" i="29"/>
  <c r="AH43" i="29"/>
  <c r="AI43" i="29"/>
  <c r="AM43" i="29"/>
  <c r="AN43" i="29"/>
  <c r="AO43" i="29"/>
  <c r="AP43" i="29"/>
  <c r="AQ43" i="29"/>
  <c r="AR43" i="29"/>
  <c r="AS43" i="29"/>
  <c r="AT43" i="29"/>
  <c r="AU43" i="29"/>
  <c r="AV43" i="29"/>
  <c r="AW43" i="29"/>
  <c r="AX43" i="29"/>
  <c r="AY43" i="29"/>
  <c r="AZ43" i="29"/>
  <c r="BA43" i="29"/>
  <c r="BB43" i="29"/>
  <c r="BC43" i="29"/>
  <c r="BD43" i="29"/>
  <c r="BE43" i="29"/>
  <c r="BF43" i="29"/>
  <c r="BG43" i="29"/>
  <c r="BH43" i="29"/>
  <c r="BI43" i="29"/>
  <c r="BJ43" i="29"/>
  <c r="BK43" i="29"/>
  <c r="BL43" i="29"/>
  <c r="Q45" i="29"/>
  <c r="R45" i="29"/>
  <c r="S45" i="29"/>
  <c r="T45" i="29"/>
  <c r="U45" i="29"/>
  <c r="V45" i="29"/>
  <c r="W45" i="29"/>
  <c r="X45" i="29"/>
  <c r="Y45" i="29"/>
  <c r="Z45" i="29"/>
  <c r="AA45" i="29"/>
  <c r="AB45" i="29"/>
  <c r="AC45" i="29"/>
  <c r="AD45" i="29"/>
  <c r="AE45" i="29"/>
  <c r="AF45" i="29"/>
  <c r="AG45" i="29"/>
  <c r="AH45" i="29"/>
  <c r="AI45" i="29"/>
  <c r="AT45" i="29"/>
  <c r="AU45" i="29"/>
  <c r="AV45" i="29"/>
  <c r="AW45" i="29"/>
  <c r="AX45" i="29"/>
  <c r="AY45" i="29"/>
  <c r="AZ45" i="29"/>
  <c r="BA45" i="29"/>
  <c r="BB45" i="29"/>
  <c r="BC45" i="29"/>
  <c r="BD45" i="29"/>
  <c r="BE45" i="29"/>
  <c r="BF45" i="29"/>
  <c r="BG45" i="29"/>
  <c r="BH45" i="29"/>
  <c r="BI45" i="29"/>
  <c r="BJ45" i="29"/>
  <c r="BK45" i="29"/>
  <c r="BL45" i="29"/>
  <c r="J46" i="29"/>
  <c r="K46" i="29"/>
  <c r="L46" i="29"/>
  <c r="M46" i="29"/>
  <c r="N46" i="29"/>
  <c r="O46" i="29"/>
  <c r="P46" i="29"/>
  <c r="Q46" i="29"/>
  <c r="R46" i="29"/>
  <c r="S46" i="29"/>
  <c r="T46" i="29"/>
  <c r="U46" i="29"/>
  <c r="V46" i="29"/>
  <c r="W46" i="29"/>
  <c r="X46" i="29"/>
  <c r="Y46" i="29"/>
  <c r="Z46" i="29"/>
  <c r="AA46" i="29"/>
  <c r="AB46" i="29"/>
  <c r="AC46" i="29"/>
  <c r="AD46" i="29"/>
  <c r="AE46" i="29"/>
  <c r="AF46" i="29"/>
  <c r="AG46" i="29"/>
  <c r="AH46" i="29"/>
  <c r="AI46" i="29"/>
  <c r="AM46" i="29"/>
  <c r="AN46" i="29"/>
  <c r="AO46" i="29"/>
  <c r="AP46" i="29"/>
  <c r="AQ46" i="29"/>
  <c r="AR46" i="29"/>
  <c r="AS46" i="29"/>
  <c r="AT46" i="29"/>
  <c r="AU46" i="29"/>
  <c r="AV46" i="29"/>
  <c r="AW46" i="29"/>
  <c r="AX46" i="29"/>
  <c r="AY46" i="29"/>
  <c r="AZ46" i="29"/>
  <c r="BA46" i="29"/>
  <c r="BB46" i="29"/>
  <c r="BC46" i="29"/>
  <c r="BD46" i="29"/>
  <c r="BE46" i="29"/>
  <c r="BF46" i="29"/>
  <c r="BG46" i="29"/>
  <c r="BH46" i="29"/>
  <c r="BI46" i="29"/>
  <c r="BJ46" i="29"/>
  <c r="BK46" i="29"/>
  <c r="BL46" i="29"/>
  <c r="I49" i="29"/>
  <c r="J49" i="29"/>
  <c r="K49" i="29"/>
  <c r="L49" i="29"/>
  <c r="M49" i="29"/>
  <c r="N49" i="29"/>
  <c r="O49" i="29"/>
  <c r="P49" i="29"/>
  <c r="Q49" i="29"/>
  <c r="R49" i="29"/>
  <c r="S49" i="29"/>
  <c r="T49" i="29"/>
  <c r="U49" i="29"/>
  <c r="V49" i="29"/>
  <c r="W49" i="29"/>
  <c r="X49" i="29"/>
  <c r="Y49" i="29"/>
  <c r="Z49" i="29"/>
  <c r="AA49" i="29"/>
  <c r="I51" i="29"/>
  <c r="J51" i="29"/>
  <c r="K51" i="29"/>
  <c r="L51" i="29"/>
  <c r="M51" i="29"/>
  <c r="N51" i="29"/>
  <c r="O51" i="29"/>
  <c r="P51" i="29"/>
  <c r="Q51" i="29"/>
  <c r="R51" i="29"/>
  <c r="S51" i="29"/>
  <c r="T51" i="29"/>
  <c r="U51" i="29"/>
  <c r="V51" i="29"/>
  <c r="W51" i="29"/>
  <c r="X51" i="29"/>
  <c r="Y51" i="29"/>
  <c r="Z51" i="29"/>
  <c r="AA51" i="29"/>
  <c r="I52" i="29"/>
  <c r="J52" i="29"/>
  <c r="K52" i="29"/>
  <c r="L52" i="29"/>
  <c r="M52" i="29"/>
  <c r="N52" i="29"/>
  <c r="O52" i="29"/>
  <c r="P52" i="29"/>
  <c r="Q52" i="29"/>
  <c r="R52" i="29"/>
  <c r="S52" i="29"/>
  <c r="T52" i="29"/>
  <c r="U52" i="29"/>
  <c r="V52" i="29"/>
  <c r="W52" i="29"/>
  <c r="X52" i="29"/>
  <c r="Y52" i="29"/>
  <c r="Z52" i="29"/>
  <c r="AA52" i="29"/>
  <c r="I53" i="29"/>
  <c r="J53" i="29"/>
  <c r="K53" i="29"/>
  <c r="L53" i="29"/>
  <c r="M53" i="29"/>
  <c r="N53" i="29"/>
  <c r="O53" i="29"/>
  <c r="P53" i="29"/>
  <c r="Q53" i="29"/>
  <c r="R53" i="29"/>
  <c r="S53" i="29"/>
  <c r="T53" i="29"/>
  <c r="U53" i="29"/>
  <c r="V53" i="29"/>
  <c r="W53" i="29"/>
  <c r="X53" i="29"/>
  <c r="Y53" i="29"/>
  <c r="Z53" i="29"/>
  <c r="AA53" i="29"/>
  <c r="I54" i="29"/>
  <c r="J54" i="29"/>
  <c r="K54" i="29"/>
  <c r="L54" i="29"/>
  <c r="M54" i="29"/>
  <c r="N54" i="29"/>
  <c r="O54" i="29"/>
  <c r="P54" i="29"/>
  <c r="Q54" i="29"/>
  <c r="R54" i="29"/>
  <c r="S54" i="29"/>
  <c r="T54" i="29"/>
  <c r="U54" i="29"/>
  <c r="V54" i="29"/>
  <c r="W54" i="29"/>
  <c r="X54" i="29"/>
  <c r="Y54" i="29"/>
  <c r="Z54" i="29"/>
  <c r="AA54" i="29"/>
  <c r="I55" i="29"/>
  <c r="J55" i="29"/>
  <c r="K55" i="29"/>
  <c r="L55" i="29"/>
  <c r="M55" i="29"/>
  <c r="N55" i="29"/>
  <c r="O55" i="29"/>
  <c r="P55" i="29"/>
  <c r="Q55" i="29"/>
  <c r="R55" i="29"/>
  <c r="S55" i="29"/>
  <c r="T55" i="29"/>
  <c r="U55" i="29"/>
  <c r="V55" i="29"/>
  <c r="W55" i="29"/>
  <c r="X55" i="29"/>
  <c r="Y55" i="29"/>
  <c r="Z55" i="29"/>
  <c r="AA55" i="29"/>
  <c r="AU342" i="30"/>
  <c r="AV342" i="30"/>
  <c r="AW342" i="30"/>
  <c r="AX342" i="30"/>
  <c r="AY342" i="30"/>
  <c r="AZ342" i="30"/>
  <c r="BA342" i="30"/>
  <c r="BB342" i="30"/>
  <c r="BC342" i="30"/>
  <c r="BD342" i="30"/>
  <c r="BE342" i="30"/>
  <c r="BF342" i="30"/>
  <c r="BG342" i="30"/>
  <c r="BH342" i="30"/>
  <c r="BI342" i="30"/>
  <c r="BJ342" i="30"/>
  <c r="BK342" i="30"/>
  <c r="BL342" i="30"/>
  <c r="BM342" i="30"/>
  <c r="AU344" i="30"/>
  <c r="AV344" i="30"/>
  <c r="AW344" i="30"/>
  <c r="AX344" i="30"/>
  <c r="AY344" i="30"/>
  <c r="AZ344" i="30"/>
  <c r="BA344" i="30"/>
  <c r="BB344" i="30"/>
  <c r="BC344" i="30"/>
  <c r="BD344" i="30"/>
  <c r="BE344" i="30"/>
  <c r="BF344" i="30"/>
  <c r="BG344" i="30"/>
  <c r="BH344" i="30"/>
  <c r="BI344" i="30"/>
  <c r="BJ344" i="30"/>
  <c r="BK344" i="30"/>
  <c r="BL344" i="30"/>
  <c r="BM344" i="30"/>
  <c r="AU347" i="30"/>
  <c r="AV347" i="30"/>
  <c r="AW347" i="30"/>
  <c r="AX347" i="30"/>
  <c r="AY347" i="30"/>
  <c r="AZ347" i="30"/>
  <c r="BA347" i="30"/>
  <c r="BB347" i="30"/>
  <c r="BC347" i="30"/>
  <c r="BD347" i="30"/>
  <c r="BE347" i="30"/>
  <c r="BF347" i="30"/>
  <c r="BG347" i="30"/>
  <c r="BH347" i="30"/>
  <c r="BI347" i="30"/>
  <c r="BJ347" i="30"/>
  <c r="BK347" i="30"/>
  <c r="BL347" i="30"/>
  <c r="BM347" i="30"/>
  <c r="AU348" i="30"/>
  <c r="AV348" i="30"/>
  <c r="AW348" i="30"/>
  <c r="AX348" i="30"/>
  <c r="AY348" i="30"/>
  <c r="AZ348" i="30"/>
  <c r="BA348" i="30"/>
  <c r="BB348" i="30"/>
  <c r="BC348" i="30"/>
  <c r="BD348" i="30"/>
  <c r="BE348" i="30"/>
  <c r="BF348" i="30"/>
  <c r="BG348" i="30"/>
  <c r="BH348" i="30"/>
  <c r="BI348" i="30"/>
  <c r="BJ348" i="30"/>
  <c r="BK348" i="30"/>
  <c r="BL348" i="30"/>
  <c r="BM348" i="30"/>
  <c r="AU349" i="30"/>
  <c r="AV349" i="30"/>
  <c r="AW349" i="30"/>
  <c r="AX349" i="30"/>
  <c r="AY349" i="30"/>
  <c r="AZ349" i="30"/>
  <c r="BA349" i="30"/>
  <c r="BB349" i="30"/>
  <c r="BC349" i="30"/>
  <c r="BD349" i="30"/>
  <c r="BE349" i="30"/>
  <c r="BF349" i="30"/>
  <c r="BG349" i="30"/>
  <c r="BH349" i="30"/>
  <c r="BI349" i="30"/>
  <c r="BJ349" i="30"/>
  <c r="BK349" i="30"/>
  <c r="BL349" i="30"/>
  <c r="BM349" i="30"/>
  <c r="AU353" i="30"/>
  <c r="AV353" i="30"/>
  <c r="AW353" i="30"/>
  <c r="AX353" i="30"/>
  <c r="AY353" i="30"/>
  <c r="AZ353" i="30"/>
  <c r="BA353" i="30"/>
  <c r="BB353" i="30"/>
  <c r="BC353" i="30"/>
  <c r="BD353" i="30"/>
  <c r="BE353" i="30"/>
  <c r="BF353" i="30"/>
  <c r="BG353" i="30"/>
  <c r="BH353" i="30"/>
  <c r="BI353" i="30"/>
  <c r="BJ353" i="30"/>
  <c r="BK353" i="30"/>
  <c r="BL353" i="30"/>
  <c r="BM353" i="30"/>
  <c r="AU354" i="30"/>
  <c r="AV354" i="30"/>
  <c r="AW354" i="30"/>
  <c r="AX354" i="30"/>
  <c r="AY354" i="30"/>
  <c r="AZ354" i="30"/>
  <c r="BA354" i="30"/>
  <c r="BB354" i="30"/>
  <c r="BC354" i="30"/>
  <c r="BD354" i="30"/>
  <c r="BE354" i="30"/>
  <c r="BF354" i="30"/>
  <c r="BG354" i="30"/>
  <c r="BH354" i="30"/>
  <c r="BI354" i="30"/>
  <c r="BJ354" i="30"/>
  <c r="BK354" i="30"/>
  <c r="BL354" i="30"/>
  <c r="BM354" i="30"/>
  <c r="AU355" i="30"/>
  <c r="AV355" i="30"/>
  <c r="AW355" i="30"/>
  <c r="AX355" i="30"/>
  <c r="AY355" i="30"/>
  <c r="AZ355" i="30"/>
  <c r="BA355" i="30"/>
  <c r="BB355" i="30"/>
  <c r="BC355" i="30"/>
  <c r="BD355" i="30"/>
  <c r="BE355" i="30"/>
  <c r="BF355" i="30"/>
  <c r="BG355" i="30"/>
  <c r="BH355" i="30"/>
  <c r="BI355" i="30"/>
  <c r="BJ355" i="30"/>
  <c r="BK355" i="30"/>
  <c r="BL355" i="30"/>
  <c r="BM355" i="30"/>
  <c r="AU356" i="30"/>
  <c r="AV356" i="30"/>
  <c r="AW356" i="30"/>
  <c r="AX356" i="30"/>
  <c r="AY356" i="30"/>
  <c r="AZ356" i="30"/>
  <c r="BA356" i="30"/>
  <c r="BB356" i="30"/>
  <c r="BC356" i="30"/>
  <c r="BD356" i="30"/>
  <c r="BE356" i="30"/>
  <c r="BF356" i="30"/>
  <c r="BG356" i="30"/>
  <c r="BH356" i="30"/>
  <c r="BI356" i="30"/>
  <c r="BJ356" i="30"/>
  <c r="BK356" i="30"/>
  <c r="BL356" i="30"/>
  <c r="BM356" i="30"/>
  <c r="AU357" i="30"/>
  <c r="AV357" i="30"/>
  <c r="AW357" i="30"/>
  <c r="AX357" i="30"/>
  <c r="AY357" i="30"/>
  <c r="AZ357" i="30"/>
  <c r="BA357" i="30"/>
  <c r="BB357" i="30"/>
  <c r="BC357" i="30"/>
  <c r="BD357" i="30"/>
  <c r="BE357" i="30"/>
  <c r="BF357" i="30"/>
  <c r="BG357" i="30"/>
  <c r="BH357" i="30"/>
  <c r="BI357" i="30"/>
  <c r="BJ357" i="30"/>
  <c r="BK357" i="30"/>
  <c r="BL357" i="30"/>
  <c r="BM357" i="30"/>
  <c r="AU359" i="30"/>
  <c r="AV359" i="30"/>
  <c r="AW359" i="30"/>
  <c r="AX359" i="30"/>
  <c r="AY359" i="30"/>
  <c r="AZ359" i="30"/>
  <c r="BA359" i="30"/>
  <c r="BB359" i="30"/>
  <c r="BC359" i="30"/>
  <c r="BD359" i="30"/>
  <c r="BE359" i="30"/>
  <c r="BF359" i="30"/>
  <c r="BG359" i="30"/>
  <c r="BH359" i="30"/>
  <c r="BI359" i="30"/>
  <c r="BJ359" i="30"/>
  <c r="BK359" i="30"/>
  <c r="BL359" i="30"/>
  <c r="BM359" i="30"/>
  <c r="AU360" i="30"/>
  <c r="AV360" i="30"/>
  <c r="AW360" i="30"/>
  <c r="AX360" i="30"/>
  <c r="AY360" i="30"/>
  <c r="AZ360" i="30"/>
  <c r="BA360" i="30"/>
  <c r="BB360" i="30"/>
  <c r="BC360" i="30"/>
  <c r="BD360" i="30"/>
  <c r="BE360" i="30"/>
  <c r="BF360" i="30"/>
  <c r="BG360" i="30"/>
  <c r="BH360" i="30"/>
  <c r="BI360" i="30"/>
  <c r="BJ360" i="30"/>
  <c r="BK360" i="30"/>
  <c r="BL360" i="30"/>
  <c r="BM360" i="30"/>
  <c r="AU363" i="30"/>
  <c r="AV363" i="30"/>
  <c r="AW363" i="30"/>
  <c r="AX363" i="30"/>
  <c r="AY363" i="30"/>
  <c r="AZ363" i="30"/>
  <c r="BA363" i="30"/>
  <c r="BB363" i="30"/>
  <c r="BC363" i="30"/>
  <c r="BD363" i="30"/>
  <c r="BE363" i="30"/>
  <c r="BF363" i="30"/>
  <c r="BG363" i="30"/>
  <c r="BH363" i="30"/>
  <c r="BI363" i="30"/>
  <c r="BJ363" i="30"/>
  <c r="BK363" i="30"/>
  <c r="BL363" i="30"/>
  <c r="BM363" i="30"/>
  <c r="AU364" i="30"/>
  <c r="AV364" i="30"/>
  <c r="AW364" i="30"/>
  <c r="AX364" i="30"/>
  <c r="AY364" i="30"/>
  <c r="AZ364" i="30"/>
  <c r="BA364" i="30"/>
  <c r="BB364" i="30"/>
  <c r="BC364" i="30"/>
  <c r="BD364" i="30"/>
  <c r="BE364" i="30"/>
  <c r="BF364" i="30"/>
  <c r="BG364" i="30"/>
  <c r="BH364" i="30"/>
  <c r="BI364" i="30"/>
  <c r="BJ364" i="30"/>
  <c r="BK364" i="30"/>
  <c r="BL364" i="30"/>
  <c r="BM364" i="30"/>
  <c r="AU365" i="30"/>
  <c r="AV365" i="30"/>
  <c r="AW365" i="30"/>
  <c r="AX365" i="30"/>
  <c r="AY365" i="30"/>
  <c r="AZ365" i="30"/>
  <c r="BA365" i="30"/>
  <c r="BB365" i="30"/>
  <c r="BC365" i="30"/>
  <c r="BD365" i="30"/>
  <c r="BE365" i="30"/>
  <c r="BF365" i="30"/>
  <c r="BG365" i="30"/>
  <c r="BH365" i="30"/>
  <c r="BI365" i="30"/>
  <c r="BJ365" i="30"/>
  <c r="BK365" i="30"/>
  <c r="BL365" i="30"/>
  <c r="BM365" i="30"/>
  <c r="AU366" i="30"/>
  <c r="AV366" i="30"/>
  <c r="AW366" i="30"/>
  <c r="AX366" i="30"/>
  <c r="AY366" i="30"/>
  <c r="AZ366" i="30"/>
  <c r="BA366" i="30"/>
  <c r="BB366" i="30"/>
  <c r="BC366" i="30"/>
  <c r="BD366" i="30"/>
  <c r="BE366" i="30"/>
  <c r="BF366" i="30"/>
  <c r="BG366" i="30"/>
  <c r="BH366" i="30"/>
  <c r="BI366" i="30"/>
  <c r="BJ366" i="30"/>
  <c r="BK366" i="30"/>
  <c r="BL366" i="30"/>
  <c r="BM366" i="30"/>
  <c r="AU367" i="30"/>
  <c r="AV367" i="30"/>
  <c r="AW367" i="30"/>
  <c r="AX367" i="30"/>
  <c r="AY367" i="30"/>
  <c r="AZ367" i="30"/>
  <c r="BA367" i="30"/>
  <c r="BB367" i="30"/>
  <c r="BC367" i="30"/>
  <c r="BD367" i="30"/>
  <c r="BE367" i="30"/>
  <c r="BF367" i="30"/>
  <c r="BG367" i="30"/>
  <c r="BH367" i="30"/>
  <c r="BI367" i="30"/>
  <c r="BJ367" i="30"/>
  <c r="BK367" i="30"/>
  <c r="BL367" i="30"/>
  <c r="BM367" i="30"/>
  <c r="AU371" i="30"/>
  <c r="AV371" i="30"/>
  <c r="AW371" i="30"/>
  <c r="AX371" i="30"/>
  <c r="AY371" i="30"/>
  <c r="AZ371" i="30"/>
  <c r="BA371" i="30"/>
  <c r="BB371" i="30"/>
  <c r="BC371" i="30"/>
  <c r="BD371" i="30"/>
  <c r="BE371" i="30"/>
  <c r="BF371" i="30"/>
  <c r="BG371" i="30"/>
  <c r="BH371" i="30"/>
  <c r="BI371" i="30"/>
  <c r="BJ371" i="30"/>
  <c r="BK371" i="30"/>
  <c r="BL371" i="30"/>
  <c r="BM371" i="30"/>
  <c r="AU373" i="30"/>
  <c r="AV373" i="30"/>
  <c r="AW373" i="30"/>
  <c r="AX373" i="30"/>
  <c r="AY373" i="30"/>
  <c r="AZ373" i="30"/>
  <c r="BA373" i="30"/>
  <c r="BB373" i="30"/>
  <c r="BC373" i="30"/>
  <c r="BD373" i="30"/>
  <c r="BE373" i="30"/>
  <c r="BF373" i="30"/>
  <c r="BG373" i="30"/>
  <c r="BH373" i="30"/>
  <c r="BI373" i="30"/>
  <c r="BJ373" i="30"/>
  <c r="BK373" i="30"/>
  <c r="BL373" i="30"/>
  <c r="BM373" i="30"/>
  <c r="AU376" i="30"/>
  <c r="AV376" i="30"/>
  <c r="AW376" i="30"/>
  <c r="AX376" i="30"/>
  <c r="AY376" i="30"/>
  <c r="AZ376" i="30"/>
  <c r="BA376" i="30"/>
  <c r="BB376" i="30"/>
  <c r="BC376" i="30"/>
  <c r="BD376" i="30"/>
  <c r="BE376" i="30"/>
  <c r="BF376" i="30"/>
  <c r="BG376" i="30"/>
  <c r="BH376" i="30"/>
  <c r="BI376" i="30"/>
  <c r="BJ376" i="30"/>
  <c r="BK376" i="30"/>
  <c r="BL376" i="30"/>
  <c r="BM376" i="30"/>
  <c r="AU377" i="30"/>
  <c r="AV377" i="30"/>
  <c r="AW377" i="30"/>
  <c r="AX377" i="30"/>
  <c r="AY377" i="30"/>
  <c r="AZ377" i="30"/>
  <c r="BA377" i="30"/>
  <c r="BB377" i="30"/>
  <c r="BC377" i="30"/>
  <c r="BD377" i="30"/>
  <c r="BE377" i="30"/>
  <c r="BF377" i="30"/>
  <c r="BG377" i="30"/>
  <c r="BH377" i="30"/>
  <c r="BI377" i="30"/>
  <c r="BJ377" i="30"/>
  <c r="BK377" i="30"/>
  <c r="BL377" i="30"/>
  <c r="BM377" i="30"/>
  <c r="AU378" i="30"/>
  <c r="AV378" i="30"/>
  <c r="AW378" i="30"/>
  <c r="AX378" i="30"/>
  <c r="AY378" i="30"/>
  <c r="AZ378" i="30"/>
  <c r="BA378" i="30"/>
  <c r="BB378" i="30"/>
  <c r="BC378" i="30"/>
  <c r="BD378" i="30"/>
  <c r="BE378" i="30"/>
  <c r="BF378" i="30"/>
  <c r="BG378" i="30"/>
  <c r="BH378" i="30"/>
  <c r="BI378" i="30"/>
  <c r="BJ378" i="30"/>
  <c r="BK378" i="30"/>
  <c r="BL378" i="30"/>
  <c r="BM378" i="30"/>
  <c r="AU381" i="30"/>
  <c r="AV381" i="30"/>
  <c r="AW381" i="30"/>
  <c r="AX381" i="30"/>
  <c r="AY381" i="30"/>
  <c r="AZ381" i="30"/>
  <c r="BA381" i="30"/>
  <c r="BB381" i="30"/>
  <c r="BC381" i="30"/>
  <c r="BD381" i="30"/>
  <c r="BE381" i="30"/>
  <c r="BF381" i="30"/>
  <c r="BG381" i="30"/>
  <c r="BH381" i="30"/>
  <c r="BI381" i="30"/>
  <c r="BJ381" i="30"/>
  <c r="BK381" i="30"/>
  <c r="BL381" i="30"/>
  <c r="BM381" i="30"/>
  <c r="AU382" i="30"/>
  <c r="AV382" i="30"/>
  <c r="AW382" i="30"/>
  <c r="AX382" i="30"/>
  <c r="AY382" i="30"/>
  <c r="AZ382" i="30"/>
  <c r="BA382" i="30"/>
  <c r="BB382" i="30"/>
  <c r="BC382" i="30"/>
  <c r="BD382" i="30"/>
  <c r="BE382" i="30"/>
  <c r="BF382" i="30"/>
  <c r="BG382" i="30"/>
  <c r="BH382" i="30"/>
  <c r="BI382" i="30"/>
  <c r="BJ382" i="30"/>
  <c r="BK382" i="30"/>
  <c r="BL382" i="30"/>
  <c r="BM382" i="30"/>
  <c r="AU383" i="30"/>
  <c r="AV383" i="30"/>
  <c r="AW383" i="30"/>
  <c r="AX383" i="30"/>
  <c r="AY383" i="30"/>
  <c r="AZ383" i="30"/>
  <c r="BA383" i="30"/>
  <c r="BB383" i="30"/>
  <c r="BC383" i="30"/>
  <c r="BD383" i="30"/>
  <c r="BE383" i="30"/>
  <c r="BF383" i="30"/>
  <c r="BG383" i="30"/>
  <c r="BH383" i="30"/>
  <c r="BI383" i="30"/>
  <c r="BJ383" i="30"/>
  <c r="BK383" i="30"/>
  <c r="BL383" i="30"/>
  <c r="BM383" i="30"/>
  <c r="AU387" i="30"/>
  <c r="AV387" i="30"/>
  <c r="AW387" i="30"/>
  <c r="AX387" i="30"/>
  <c r="AY387" i="30"/>
  <c r="AZ387" i="30"/>
  <c r="BA387" i="30"/>
  <c r="BB387" i="30"/>
  <c r="BC387" i="30"/>
  <c r="BD387" i="30"/>
  <c r="BE387" i="30"/>
  <c r="BF387" i="30"/>
  <c r="BG387" i="30"/>
  <c r="BH387" i="30"/>
  <c r="BI387" i="30"/>
  <c r="BJ387" i="30"/>
  <c r="BK387" i="30"/>
  <c r="BL387" i="30"/>
  <c r="BM387" i="30"/>
  <c r="AU389" i="30"/>
  <c r="AV389" i="30"/>
  <c r="AW389" i="30"/>
  <c r="AX389" i="30"/>
  <c r="AY389" i="30"/>
  <c r="AZ389" i="30"/>
  <c r="BA389" i="30"/>
  <c r="BB389" i="30"/>
  <c r="BC389" i="30"/>
  <c r="BD389" i="30"/>
  <c r="BE389" i="30"/>
  <c r="BF389" i="30"/>
  <c r="BG389" i="30"/>
  <c r="BH389" i="30"/>
  <c r="BI389" i="30"/>
  <c r="BJ389" i="30"/>
  <c r="BK389" i="30"/>
  <c r="BL389" i="30"/>
  <c r="BM389" i="30"/>
  <c r="AU391" i="30"/>
  <c r="AV391" i="30"/>
  <c r="AW391" i="30"/>
  <c r="AX391" i="30"/>
  <c r="AY391" i="30"/>
  <c r="AZ391" i="30"/>
  <c r="BA391" i="30"/>
  <c r="BB391" i="30"/>
  <c r="BC391" i="30"/>
  <c r="BD391" i="30"/>
  <c r="BE391" i="30"/>
  <c r="BF391" i="30"/>
  <c r="BG391" i="30"/>
  <c r="BH391" i="30"/>
  <c r="BI391" i="30"/>
  <c r="BJ391" i="30"/>
  <c r="BK391" i="30"/>
  <c r="BL391" i="30"/>
  <c r="BM391" i="30"/>
  <c r="AU393" i="30"/>
  <c r="AV393" i="30"/>
  <c r="AW393" i="30"/>
  <c r="AX393" i="30"/>
  <c r="AY393" i="30"/>
  <c r="AZ393" i="30"/>
  <c r="BA393" i="30"/>
  <c r="BB393" i="30"/>
  <c r="BC393" i="30"/>
  <c r="BD393" i="30"/>
  <c r="BE393" i="30"/>
  <c r="BF393" i="30"/>
  <c r="BG393" i="30"/>
  <c r="BH393" i="30"/>
  <c r="BI393" i="30"/>
  <c r="BJ393" i="30"/>
  <c r="BK393" i="30"/>
  <c r="BL393" i="30"/>
  <c r="BM393" i="30"/>
  <c r="AU395" i="30"/>
  <c r="AV395" i="30"/>
  <c r="AW395" i="30"/>
  <c r="AX395" i="30"/>
  <c r="AY395" i="30"/>
  <c r="AZ395" i="30"/>
  <c r="BA395" i="30"/>
  <c r="BB395" i="30"/>
  <c r="BC395" i="30"/>
  <c r="BD395" i="30"/>
  <c r="BE395" i="30"/>
  <c r="BF395" i="30"/>
  <c r="BG395" i="30"/>
  <c r="BH395" i="30"/>
  <c r="BI395" i="30"/>
  <c r="BJ395" i="30"/>
  <c r="BK395" i="30"/>
  <c r="BL395" i="30"/>
  <c r="BM395" i="30"/>
  <c r="AU397" i="30"/>
  <c r="AV397" i="30"/>
  <c r="AW397" i="30"/>
  <c r="AX397" i="30"/>
  <c r="AY397" i="30"/>
  <c r="AZ397" i="30"/>
  <c r="BA397" i="30"/>
  <c r="BB397" i="30"/>
  <c r="BC397" i="30"/>
  <c r="BD397" i="30"/>
  <c r="BE397" i="30"/>
  <c r="BF397" i="30"/>
  <c r="BG397" i="30"/>
  <c r="BH397" i="30"/>
  <c r="BI397" i="30"/>
  <c r="BJ397" i="30"/>
  <c r="BK397" i="30"/>
  <c r="BL397" i="30"/>
  <c r="BM397" i="30"/>
  <c r="Z2" i="24"/>
  <c r="AA2" i="24"/>
  <c r="AB2" i="24"/>
  <c r="AC2" i="24"/>
  <c r="AD2" i="24"/>
  <c r="AE2" i="24"/>
  <c r="AF2" i="24"/>
  <c r="AG2" i="24"/>
  <c r="AH2" i="24"/>
  <c r="AI2" i="24"/>
  <c r="AJ2" i="24"/>
  <c r="AK2" i="24"/>
  <c r="AL2" i="24"/>
  <c r="AM2" i="24"/>
  <c r="AN2" i="24"/>
  <c r="AO2" i="24"/>
  <c r="AP2" i="24"/>
  <c r="AQ2" i="24"/>
  <c r="AR2" i="24"/>
  <c r="AU2" i="24"/>
  <c r="AV2" i="24"/>
  <c r="AW2" i="24"/>
  <c r="AX2" i="24"/>
  <c r="AY2" i="24"/>
  <c r="AZ2" i="24"/>
  <c r="BA2" i="24"/>
  <c r="BB2" i="24"/>
  <c r="BC2" i="24"/>
  <c r="BD2" i="24"/>
  <c r="BE2" i="24"/>
  <c r="BF2" i="24"/>
  <c r="BG2" i="24"/>
  <c r="BH2" i="24"/>
  <c r="BI2" i="24"/>
  <c r="BJ2" i="24"/>
  <c r="BK2" i="24"/>
  <c r="BL2" i="24"/>
  <c r="BM2" i="24"/>
  <c r="Z3" i="24"/>
  <c r="AA3" i="24"/>
  <c r="AB3" i="24"/>
  <c r="AC3" i="24"/>
  <c r="AD3" i="24"/>
  <c r="AE3" i="24"/>
  <c r="AF3" i="24"/>
  <c r="AG3" i="24"/>
  <c r="AH3" i="24"/>
  <c r="AI3" i="24"/>
  <c r="AJ3" i="24"/>
  <c r="AK3" i="24"/>
  <c r="AL3" i="24"/>
  <c r="AM3" i="24"/>
  <c r="AN3" i="24"/>
  <c r="AO3" i="24"/>
  <c r="AP3" i="24"/>
  <c r="AQ3" i="24"/>
  <c r="AR3" i="24"/>
  <c r="AU3" i="24"/>
  <c r="AV3" i="24"/>
  <c r="AW3" i="24"/>
  <c r="AX3" i="24"/>
  <c r="AY3" i="24"/>
  <c r="AZ3" i="24"/>
  <c r="BA3" i="24"/>
  <c r="BB3" i="24"/>
  <c r="BC3" i="24"/>
  <c r="BD3" i="24"/>
  <c r="BE3" i="24"/>
  <c r="BF3" i="24"/>
  <c r="BG3" i="24"/>
  <c r="BH3" i="24"/>
  <c r="BI3" i="24"/>
  <c r="BJ3" i="24"/>
  <c r="BK3" i="24"/>
  <c r="BL3" i="24"/>
  <c r="BM3" i="24"/>
  <c r="Z4" i="24"/>
  <c r="AA4" i="24"/>
  <c r="AB4" i="24"/>
  <c r="AC4" i="24"/>
  <c r="AD4" i="24"/>
  <c r="AE4" i="24"/>
  <c r="AF4" i="24"/>
  <c r="AG4" i="24"/>
  <c r="AH4" i="24"/>
  <c r="AI4" i="24"/>
  <c r="AJ4" i="24"/>
  <c r="AK4" i="24"/>
  <c r="AL4" i="24"/>
  <c r="AM4" i="24"/>
  <c r="AN4" i="24"/>
  <c r="AO4" i="24"/>
  <c r="AP4" i="24"/>
  <c r="AQ4" i="24"/>
  <c r="AR4" i="24"/>
  <c r="AU4" i="24"/>
  <c r="AV4" i="24"/>
  <c r="AW4" i="24"/>
  <c r="AX4" i="24"/>
  <c r="AY4" i="24"/>
  <c r="AZ4" i="24"/>
  <c r="BA4" i="24"/>
  <c r="BB4" i="24"/>
  <c r="BC4" i="24"/>
  <c r="BD4" i="24"/>
  <c r="BE4" i="24"/>
  <c r="BF4" i="24"/>
  <c r="BG4" i="24"/>
  <c r="BH4" i="24"/>
  <c r="BI4" i="24"/>
  <c r="BJ4" i="24"/>
  <c r="BK4" i="24"/>
  <c r="BL4" i="24"/>
  <c r="BM4" i="24"/>
  <c r="Z5" i="24"/>
  <c r="AA5" i="24"/>
  <c r="AB5" i="24"/>
  <c r="AC5" i="24"/>
  <c r="AD5" i="24"/>
  <c r="AE5" i="24"/>
  <c r="AF5" i="24"/>
  <c r="AG5" i="24"/>
  <c r="AH5" i="24"/>
  <c r="AI5" i="24"/>
  <c r="AJ5" i="24"/>
  <c r="AK5" i="24"/>
  <c r="AL5" i="24"/>
  <c r="AM5" i="24"/>
  <c r="AN5" i="24"/>
  <c r="AO5" i="24"/>
  <c r="AP5" i="24"/>
  <c r="AQ5" i="24"/>
  <c r="AR5" i="24"/>
  <c r="AU5" i="24"/>
  <c r="AV5" i="24"/>
  <c r="AW5" i="24"/>
  <c r="AX5" i="24"/>
  <c r="AY5" i="24"/>
  <c r="AZ5" i="24"/>
  <c r="BA5" i="24"/>
  <c r="BB5" i="24"/>
  <c r="BC5" i="24"/>
  <c r="BD5" i="24"/>
  <c r="BE5" i="24"/>
  <c r="BF5" i="24"/>
  <c r="BG5" i="24"/>
  <c r="BH5" i="24"/>
  <c r="BI5" i="24"/>
  <c r="BJ5" i="24"/>
  <c r="BK5" i="24"/>
  <c r="BL5" i="24"/>
  <c r="BM5" i="24"/>
  <c r="Z6" i="24"/>
  <c r="AA6" i="24"/>
  <c r="AB6" i="24"/>
  <c r="AC6" i="24"/>
  <c r="AD6" i="24"/>
  <c r="AE6" i="24"/>
  <c r="AF6" i="24"/>
  <c r="AG6" i="24"/>
  <c r="AH6" i="24"/>
  <c r="AI6" i="24"/>
  <c r="AJ6" i="24"/>
  <c r="AK6" i="24"/>
  <c r="AL6" i="24"/>
  <c r="AM6" i="24"/>
  <c r="AN6" i="24"/>
  <c r="AO6" i="24"/>
  <c r="AP6" i="24"/>
  <c r="AQ6" i="24"/>
  <c r="AR6" i="24"/>
  <c r="AU6" i="24"/>
  <c r="AV6" i="24"/>
  <c r="AW6" i="24"/>
  <c r="AX6" i="24"/>
  <c r="AY6" i="24"/>
  <c r="AZ6" i="24"/>
  <c r="BA6" i="24"/>
  <c r="BB6" i="24"/>
  <c r="BC6" i="24"/>
  <c r="BD6" i="24"/>
  <c r="BE6" i="24"/>
  <c r="BF6" i="24"/>
  <c r="BG6" i="24"/>
  <c r="BH6" i="24"/>
  <c r="BI6" i="24"/>
  <c r="BJ6" i="24"/>
  <c r="BK6" i="24"/>
  <c r="BL6" i="24"/>
  <c r="BM6" i="24"/>
  <c r="Z7" i="24"/>
  <c r="AA7" i="24"/>
  <c r="AB7" i="24"/>
  <c r="AC7" i="24"/>
  <c r="AD7" i="24"/>
  <c r="AE7" i="24"/>
  <c r="AF7" i="24"/>
  <c r="AG7" i="24"/>
  <c r="AH7" i="24"/>
  <c r="AI7" i="24"/>
  <c r="AJ7" i="24"/>
  <c r="AK7" i="24"/>
  <c r="AL7" i="24"/>
  <c r="AM7" i="24"/>
  <c r="AN7" i="24"/>
  <c r="AO7" i="24"/>
  <c r="AP7" i="24"/>
  <c r="AQ7" i="24"/>
  <c r="AR7" i="24"/>
  <c r="AU7" i="24"/>
  <c r="AV7" i="24"/>
  <c r="AW7" i="24"/>
  <c r="AX7" i="24"/>
  <c r="AY7" i="24"/>
  <c r="AZ7" i="24"/>
  <c r="BA7" i="24"/>
  <c r="BB7" i="24"/>
  <c r="BC7" i="24"/>
  <c r="BD7" i="24"/>
  <c r="BE7" i="24"/>
  <c r="BF7" i="24"/>
  <c r="BG7" i="24"/>
  <c r="BH7" i="24"/>
  <c r="BI7" i="24"/>
  <c r="BJ7" i="24"/>
  <c r="BK7" i="24"/>
  <c r="BL7" i="24"/>
  <c r="BM7" i="24"/>
  <c r="Z8" i="24"/>
  <c r="AA8" i="24"/>
  <c r="AB8" i="24"/>
  <c r="AC8" i="24"/>
  <c r="AD8" i="24"/>
  <c r="AE8" i="24"/>
  <c r="AF8" i="24"/>
  <c r="AG8" i="24"/>
  <c r="AH8" i="24"/>
  <c r="AI8" i="24"/>
  <c r="AJ8" i="24"/>
  <c r="AK8" i="24"/>
  <c r="AL8" i="24"/>
  <c r="AM8" i="24"/>
  <c r="AN8" i="24"/>
  <c r="AO8" i="24"/>
  <c r="AP8" i="24"/>
  <c r="AQ8" i="24"/>
  <c r="AR8" i="24"/>
  <c r="AU8" i="24"/>
  <c r="AV8" i="24"/>
  <c r="AW8" i="24"/>
  <c r="AX8" i="24"/>
  <c r="AY8" i="24"/>
  <c r="AZ8" i="24"/>
  <c r="BA8" i="24"/>
  <c r="BB8" i="24"/>
  <c r="BC8" i="24"/>
  <c r="BD8" i="24"/>
  <c r="BE8" i="24"/>
  <c r="BF8" i="24"/>
  <c r="BG8" i="24"/>
  <c r="BH8" i="24"/>
  <c r="BI8" i="24"/>
  <c r="BJ8" i="24"/>
  <c r="BK8" i="24"/>
  <c r="BL8" i="24"/>
  <c r="BM8" i="24"/>
  <c r="Z9" i="24"/>
  <c r="AA9" i="24"/>
  <c r="AB9" i="24"/>
  <c r="AC9" i="24"/>
  <c r="AD9" i="24"/>
  <c r="AE9" i="24"/>
  <c r="AF9" i="24"/>
  <c r="AG9" i="24"/>
  <c r="AH9" i="24"/>
  <c r="AI9" i="24"/>
  <c r="AJ9" i="24"/>
  <c r="AK9" i="24"/>
  <c r="AL9" i="24"/>
  <c r="AM9" i="24"/>
  <c r="AN9" i="24"/>
  <c r="AO9" i="24"/>
  <c r="AP9" i="24"/>
  <c r="AQ9" i="24"/>
  <c r="AR9" i="24"/>
  <c r="AU9" i="24"/>
  <c r="AV9" i="24"/>
  <c r="AW9" i="24"/>
  <c r="AX9" i="24"/>
  <c r="AY9" i="24"/>
  <c r="AZ9" i="24"/>
  <c r="BA9" i="24"/>
  <c r="BB9" i="24"/>
  <c r="BC9" i="24"/>
  <c r="BD9" i="24"/>
  <c r="BE9" i="24"/>
  <c r="BF9" i="24"/>
  <c r="BG9" i="24"/>
  <c r="BH9" i="24"/>
  <c r="BI9" i="24"/>
  <c r="BJ9" i="24"/>
  <c r="BK9" i="24"/>
  <c r="BL9" i="24"/>
  <c r="BM9" i="24"/>
  <c r="Z10" i="24"/>
  <c r="AA10" i="24"/>
  <c r="AB10" i="24"/>
  <c r="AC10" i="24"/>
  <c r="AD10" i="24"/>
  <c r="AE10" i="24"/>
  <c r="AF10" i="24"/>
  <c r="AG10" i="24"/>
  <c r="AH10" i="24"/>
  <c r="AI10" i="24"/>
  <c r="AJ10" i="24"/>
  <c r="AK10" i="24"/>
  <c r="AL10" i="24"/>
  <c r="AM10" i="24"/>
  <c r="AN10" i="24"/>
  <c r="AO10" i="24"/>
  <c r="AP10" i="24"/>
  <c r="AQ10" i="24"/>
  <c r="AR10" i="24"/>
  <c r="AU10" i="24"/>
  <c r="AV10" i="24"/>
  <c r="AW10" i="24"/>
  <c r="AX10" i="24"/>
  <c r="AY10" i="24"/>
  <c r="AZ10" i="24"/>
  <c r="BA10" i="24"/>
  <c r="BB10" i="24"/>
  <c r="BC10" i="24"/>
  <c r="BD10" i="24"/>
  <c r="BE10" i="24"/>
  <c r="BF10" i="24"/>
  <c r="BG10" i="24"/>
  <c r="BH10" i="24"/>
  <c r="BI10" i="24"/>
  <c r="BJ10" i="24"/>
  <c r="BK10" i="24"/>
  <c r="BL10" i="24"/>
  <c r="BM10" i="24"/>
  <c r="Z11" i="24"/>
  <c r="AA11" i="24"/>
  <c r="AB11" i="24"/>
  <c r="AC11" i="24"/>
  <c r="AD11" i="24"/>
  <c r="AE11" i="24"/>
  <c r="AF11" i="24"/>
  <c r="AG11" i="24"/>
  <c r="AH11" i="24"/>
  <c r="AI11" i="24"/>
  <c r="AJ11" i="24"/>
  <c r="AK11" i="24"/>
  <c r="AL11" i="24"/>
  <c r="AM11" i="24"/>
  <c r="AN11" i="24"/>
  <c r="AO11" i="24"/>
  <c r="AP11" i="24"/>
  <c r="AQ11" i="24"/>
  <c r="AR11" i="24"/>
  <c r="AU11" i="24"/>
  <c r="AV11" i="24"/>
  <c r="AW11" i="24"/>
  <c r="AX11" i="24"/>
  <c r="AY11" i="24"/>
  <c r="AZ11" i="24"/>
  <c r="BA11" i="24"/>
  <c r="BB11" i="24"/>
  <c r="BC11" i="24"/>
  <c r="BD11" i="24"/>
  <c r="BE11" i="24"/>
  <c r="BF11" i="24"/>
  <c r="BG11" i="24"/>
  <c r="BH11" i="24"/>
  <c r="BI11" i="24"/>
  <c r="BJ11" i="24"/>
  <c r="BK11" i="24"/>
  <c r="BL11" i="24"/>
  <c r="BM11" i="24"/>
  <c r="Z12" i="24"/>
  <c r="AA12" i="24"/>
  <c r="AB12" i="24"/>
  <c r="AC12" i="24"/>
  <c r="AD12" i="24"/>
  <c r="AE12" i="24"/>
  <c r="AF12" i="24"/>
  <c r="AG12" i="24"/>
  <c r="AH12" i="24"/>
  <c r="AI12" i="24"/>
  <c r="AJ12" i="24"/>
  <c r="AK12" i="24"/>
  <c r="AL12" i="24"/>
  <c r="AM12" i="24"/>
  <c r="AN12" i="24"/>
  <c r="AO12" i="24"/>
  <c r="AP12" i="24"/>
  <c r="AQ12" i="24"/>
  <c r="AR12" i="24"/>
  <c r="AU12" i="24"/>
  <c r="AV12" i="24"/>
  <c r="AW12" i="24"/>
  <c r="AX12" i="24"/>
  <c r="AY12" i="24"/>
  <c r="AZ12" i="24"/>
  <c r="BA12" i="24"/>
  <c r="BB12" i="24"/>
  <c r="BC12" i="24"/>
  <c r="BD12" i="24"/>
  <c r="BE12" i="24"/>
  <c r="BF12" i="24"/>
  <c r="BG12" i="24"/>
  <c r="BH12" i="24"/>
  <c r="BI12" i="24"/>
  <c r="BJ12" i="24"/>
  <c r="BK12" i="24"/>
  <c r="BL12" i="24"/>
  <c r="BM12" i="24"/>
  <c r="Z13" i="24"/>
  <c r="AA13" i="24"/>
  <c r="AB13" i="24"/>
  <c r="AC13" i="24"/>
  <c r="AD13" i="24"/>
  <c r="AE13" i="24"/>
  <c r="AF13" i="24"/>
  <c r="AG13" i="24"/>
  <c r="AH13" i="24"/>
  <c r="AI13" i="24"/>
  <c r="AJ13" i="24"/>
  <c r="AK13" i="24"/>
  <c r="AL13" i="24"/>
  <c r="AM13" i="24"/>
  <c r="AN13" i="24"/>
  <c r="AO13" i="24"/>
  <c r="AP13" i="24"/>
  <c r="AQ13" i="24"/>
  <c r="AR13" i="24"/>
  <c r="AU13" i="24"/>
  <c r="AV13" i="24"/>
  <c r="AW13" i="24"/>
  <c r="AX13" i="24"/>
  <c r="AY13" i="24"/>
  <c r="AZ13" i="24"/>
  <c r="BA13" i="24"/>
  <c r="BB13" i="24"/>
  <c r="BC13" i="24"/>
  <c r="BD13" i="24"/>
  <c r="BE13" i="24"/>
  <c r="BF13" i="24"/>
  <c r="BG13" i="24"/>
  <c r="BH13" i="24"/>
  <c r="BI13" i="24"/>
  <c r="BJ13" i="24"/>
  <c r="BK13" i="24"/>
  <c r="BL13" i="24"/>
  <c r="BM13" i="24"/>
  <c r="AU83" i="24"/>
  <c r="AV83" i="24"/>
  <c r="AW83" i="24"/>
  <c r="AX83" i="24"/>
  <c r="AY83" i="24"/>
  <c r="AZ83" i="24"/>
  <c r="BA83" i="24"/>
  <c r="BB83" i="24"/>
  <c r="BC83" i="24"/>
  <c r="BD83" i="24"/>
  <c r="BE83" i="24"/>
  <c r="BF83" i="24"/>
  <c r="BG83" i="24"/>
  <c r="BH83" i="24"/>
  <c r="BI83" i="24"/>
  <c r="BJ83" i="24"/>
  <c r="BK83" i="24"/>
  <c r="BL83" i="24"/>
  <c r="BM83" i="24"/>
  <c r="AU362" i="24"/>
  <c r="AV362" i="24"/>
  <c r="AW362" i="24"/>
  <c r="AX362" i="24"/>
  <c r="AY362" i="24"/>
  <c r="AZ362" i="24"/>
  <c r="BA362" i="24"/>
  <c r="BB362" i="24"/>
  <c r="BC362" i="24"/>
  <c r="BD362" i="24"/>
  <c r="BE362" i="24"/>
  <c r="BF362" i="24"/>
  <c r="BG362" i="24"/>
  <c r="BH362" i="24"/>
  <c r="BI362" i="24"/>
  <c r="BJ362" i="24"/>
  <c r="BK362" i="24"/>
  <c r="BL362" i="24"/>
  <c r="BM362" i="24"/>
  <c r="AU367" i="24"/>
  <c r="AV367" i="24"/>
  <c r="AW367" i="24"/>
  <c r="AX367" i="24"/>
  <c r="AY367" i="24"/>
  <c r="AZ367" i="24"/>
  <c r="BA367" i="24"/>
  <c r="BB367" i="24"/>
  <c r="BC367" i="24"/>
  <c r="BD367" i="24"/>
  <c r="BE367" i="24"/>
  <c r="BF367" i="24"/>
  <c r="BG367" i="24"/>
  <c r="BH367" i="24"/>
  <c r="BI367" i="24"/>
  <c r="BJ367" i="24"/>
  <c r="BK367" i="24"/>
  <c r="BL367" i="24"/>
  <c r="BM367" i="24"/>
  <c r="AU368" i="24"/>
  <c r="AV368" i="24"/>
  <c r="AW368" i="24"/>
  <c r="AX368" i="24"/>
  <c r="AY368" i="24"/>
  <c r="AZ368" i="24"/>
  <c r="BA368" i="24"/>
  <c r="BB368" i="24"/>
  <c r="BC368" i="24"/>
  <c r="BD368" i="24"/>
  <c r="BE368" i="24"/>
  <c r="BF368" i="24"/>
  <c r="BG368" i="24"/>
  <c r="BH368" i="24"/>
  <c r="BI368" i="24"/>
  <c r="BJ368" i="24"/>
  <c r="BK368" i="24"/>
  <c r="BL368" i="24"/>
  <c r="BM368" i="24"/>
  <c r="AU369" i="24"/>
  <c r="AV369" i="24"/>
  <c r="AW369" i="24"/>
  <c r="AX369" i="24"/>
  <c r="AY369" i="24"/>
  <c r="AZ369" i="24"/>
  <c r="BA369" i="24"/>
  <c r="BB369" i="24"/>
  <c r="BC369" i="24"/>
  <c r="BD369" i="24"/>
  <c r="BE369" i="24"/>
  <c r="BF369" i="24"/>
  <c r="BG369" i="24"/>
  <c r="BH369" i="24"/>
  <c r="BI369" i="24"/>
  <c r="BJ369" i="24"/>
  <c r="BK369" i="24"/>
  <c r="BL369" i="24"/>
  <c r="BM369" i="24"/>
  <c r="AU370" i="24"/>
  <c r="AV370" i="24"/>
  <c r="AW370" i="24"/>
  <c r="AX370" i="24"/>
  <c r="AY370" i="24"/>
  <c r="AZ370" i="24"/>
  <c r="BA370" i="24"/>
  <c r="BB370" i="24"/>
  <c r="BC370" i="24"/>
  <c r="BD370" i="24"/>
  <c r="BE370" i="24"/>
  <c r="BF370" i="24"/>
  <c r="BG370" i="24"/>
  <c r="BH370" i="24"/>
  <c r="BI370" i="24"/>
  <c r="BJ370" i="24"/>
  <c r="BK370" i="24"/>
  <c r="BL370" i="24"/>
  <c r="BM370" i="24"/>
  <c r="AU371" i="24"/>
  <c r="AV371" i="24"/>
  <c r="AW371" i="24"/>
  <c r="AX371" i="24"/>
  <c r="AY371" i="24"/>
  <c r="AZ371" i="24"/>
  <c r="BA371" i="24"/>
  <c r="BB371" i="24"/>
  <c r="BC371" i="24"/>
  <c r="BD371" i="24"/>
  <c r="BE371" i="24"/>
  <c r="BF371" i="24"/>
  <c r="BG371" i="24"/>
  <c r="BH371" i="24"/>
  <c r="BI371" i="24"/>
  <c r="BJ371" i="24"/>
  <c r="BK371" i="24"/>
  <c r="BL371" i="24"/>
  <c r="BM371" i="24"/>
  <c r="AU372" i="24"/>
  <c r="AV372" i="24"/>
  <c r="AW372" i="24"/>
  <c r="AX372" i="24"/>
  <c r="AY372" i="24"/>
  <c r="AZ372" i="24"/>
  <c r="BA372" i="24"/>
  <c r="BB372" i="24"/>
  <c r="BC372" i="24"/>
  <c r="BD372" i="24"/>
  <c r="BE372" i="24"/>
  <c r="BF372" i="24"/>
  <c r="BG372" i="24"/>
  <c r="BH372" i="24"/>
  <c r="BI372" i="24"/>
  <c r="BJ372" i="24"/>
  <c r="BK372" i="24"/>
  <c r="BL372" i="24"/>
  <c r="BM372" i="24"/>
  <c r="AU374" i="24"/>
  <c r="AV374" i="24"/>
  <c r="AW374" i="24"/>
  <c r="AX374" i="24"/>
  <c r="AY374" i="24"/>
  <c r="AZ374" i="24"/>
  <c r="BA374" i="24"/>
  <c r="BB374" i="24"/>
  <c r="BC374" i="24"/>
  <c r="BD374" i="24"/>
  <c r="BE374" i="24"/>
  <c r="BF374" i="24"/>
  <c r="BG374" i="24"/>
  <c r="BH374" i="24"/>
  <c r="BI374" i="24"/>
  <c r="BJ374" i="24"/>
  <c r="BK374" i="24"/>
  <c r="BL374" i="24"/>
  <c r="BM374" i="24"/>
  <c r="AU375" i="24"/>
  <c r="AV375" i="24"/>
  <c r="AW375" i="24"/>
  <c r="AX375" i="24"/>
  <c r="AY375" i="24"/>
  <c r="AZ375" i="24"/>
  <c r="BA375" i="24"/>
  <c r="BB375" i="24"/>
  <c r="BC375" i="24"/>
  <c r="BD375" i="24"/>
  <c r="BE375" i="24"/>
  <c r="BF375" i="24"/>
  <c r="BG375" i="24"/>
  <c r="BH375" i="24"/>
  <c r="BI375" i="24"/>
  <c r="BJ375" i="24"/>
  <c r="BK375" i="24"/>
  <c r="BL375" i="24"/>
  <c r="BM375" i="24"/>
  <c r="AU381" i="24"/>
  <c r="AV381" i="24"/>
  <c r="AW381" i="24"/>
  <c r="AX381" i="24"/>
  <c r="AY381" i="24"/>
  <c r="AZ381" i="24"/>
  <c r="BA381" i="24"/>
  <c r="BB381" i="24"/>
  <c r="BC381" i="24"/>
  <c r="BD381" i="24"/>
  <c r="BE381" i="24"/>
  <c r="BF381" i="24"/>
  <c r="BG381" i="24"/>
  <c r="BH381" i="24"/>
  <c r="BI381" i="24"/>
  <c r="BJ381" i="24"/>
  <c r="BK381" i="24"/>
  <c r="BL381" i="24"/>
  <c r="BM381" i="24"/>
  <c r="AU382" i="24"/>
  <c r="AV382" i="24"/>
  <c r="AW382" i="24"/>
  <c r="AX382" i="24"/>
  <c r="AY382" i="24"/>
  <c r="AZ382" i="24"/>
  <c r="BA382" i="24"/>
  <c r="BB382" i="24"/>
  <c r="BC382" i="24"/>
  <c r="BD382" i="24"/>
  <c r="BE382" i="24"/>
  <c r="BF382" i="24"/>
  <c r="BG382" i="24"/>
  <c r="BH382" i="24"/>
  <c r="BI382" i="24"/>
  <c r="BJ382" i="24"/>
  <c r="BK382" i="24"/>
  <c r="BL382" i="24"/>
  <c r="BM382" i="24"/>
  <c r="AU386" i="24"/>
  <c r="AV386" i="24"/>
  <c r="AW386" i="24"/>
  <c r="AX386" i="24"/>
  <c r="AY386" i="24"/>
  <c r="AZ386" i="24"/>
  <c r="BA386" i="24"/>
  <c r="BB386" i="24"/>
  <c r="BC386" i="24"/>
  <c r="BD386" i="24"/>
  <c r="BE386" i="24"/>
  <c r="BF386" i="24"/>
  <c r="BG386" i="24"/>
  <c r="BH386" i="24"/>
  <c r="BI386" i="24"/>
  <c r="BJ386" i="24"/>
  <c r="BK386" i="24"/>
  <c r="BL386" i="24"/>
  <c r="BM386" i="24"/>
  <c r="AU388" i="24"/>
  <c r="AV388" i="24"/>
  <c r="AW388" i="24"/>
  <c r="AX388" i="24"/>
  <c r="AY388" i="24"/>
  <c r="AZ388" i="24"/>
  <c r="BA388" i="24"/>
  <c r="BB388" i="24"/>
  <c r="BC388" i="24"/>
  <c r="BD388" i="24"/>
  <c r="BE388" i="24"/>
  <c r="BF388" i="24"/>
  <c r="BG388" i="24"/>
  <c r="BH388" i="24"/>
  <c r="BI388" i="24"/>
  <c r="BJ388" i="24"/>
  <c r="BK388" i="24"/>
  <c r="BL388" i="24"/>
  <c r="BM388" i="24"/>
  <c r="AU390" i="24"/>
  <c r="AV390" i="24"/>
  <c r="AW390" i="24"/>
  <c r="AX390" i="24"/>
  <c r="AY390" i="24"/>
  <c r="AZ390" i="24"/>
  <c r="BA390" i="24"/>
  <c r="BB390" i="24"/>
  <c r="BC390" i="24"/>
  <c r="BD390" i="24"/>
  <c r="BE390" i="24"/>
  <c r="BF390" i="24"/>
  <c r="BG390" i="24"/>
  <c r="BH390" i="24"/>
  <c r="BI390" i="24"/>
  <c r="BJ390" i="24"/>
  <c r="BK390" i="24"/>
  <c r="BL390" i="24"/>
  <c r="BM390" i="24"/>
  <c r="AU392" i="24"/>
  <c r="AV392" i="24"/>
  <c r="AW392" i="24"/>
  <c r="AX392" i="24"/>
  <c r="AY392" i="24"/>
  <c r="AZ392" i="24"/>
  <c r="BA392" i="24"/>
  <c r="BB392" i="24"/>
  <c r="BC392" i="24"/>
  <c r="BD392" i="24"/>
  <c r="BE392" i="24"/>
  <c r="BF392" i="24"/>
  <c r="BG392" i="24"/>
  <c r="BH392" i="24"/>
  <c r="BI392" i="24"/>
  <c r="BJ392" i="24"/>
  <c r="BK392" i="24"/>
  <c r="BL392" i="24"/>
  <c r="BM392" i="24"/>
  <c r="AU394" i="24"/>
  <c r="AV394" i="24"/>
  <c r="AW394" i="24"/>
  <c r="AX394" i="24"/>
  <c r="AY394" i="24"/>
  <c r="AZ394" i="24"/>
  <c r="BA394" i="24"/>
  <c r="BB394" i="24"/>
  <c r="BC394" i="24"/>
  <c r="BD394" i="24"/>
  <c r="BE394" i="24"/>
  <c r="BF394" i="24"/>
  <c r="BG394" i="24"/>
  <c r="BH394" i="24"/>
  <c r="BI394" i="24"/>
  <c r="BJ394" i="24"/>
  <c r="BK394" i="24"/>
  <c r="BL394" i="24"/>
  <c r="BM394" i="24"/>
  <c r="AU396" i="24"/>
  <c r="AV396" i="24"/>
  <c r="AW396" i="24"/>
  <c r="AX396" i="24"/>
  <c r="AY396" i="24"/>
  <c r="AZ396" i="24"/>
  <c r="BA396" i="24"/>
  <c r="BB396" i="24"/>
  <c r="BC396" i="24"/>
  <c r="BD396" i="24"/>
  <c r="BE396" i="24"/>
  <c r="BF396" i="24"/>
  <c r="BG396" i="24"/>
  <c r="BH396" i="24"/>
  <c r="BI396" i="24"/>
  <c r="BJ396" i="24"/>
  <c r="BK396" i="24"/>
  <c r="BL396" i="24"/>
  <c r="BM396" i="24"/>
  <c r="AA2" i="25"/>
  <c r="AB2" i="25"/>
  <c r="AC2" i="25"/>
  <c r="AD2" i="25"/>
  <c r="AE2" i="25"/>
  <c r="AF2" i="25"/>
  <c r="AG2" i="25"/>
  <c r="AH2" i="25"/>
  <c r="AI2" i="25"/>
  <c r="AJ2" i="25"/>
  <c r="AK2" i="25"/>
  <c r="AL2" i="25"/>
  <c r="AM2" i="25"/>
  <c r="AN2" i="25"/>
  <c r="AO2" i="25"/>
  <c r="AP2" i="25"/>
  <c r="AQ2" i="25"/>
  <c r="AR2" i="25"/>
  <c r="AV2" i="25"/>
  <c r="AW2" i="25"/>
  <c r="AX2" i="25"/>
  <c r="AY2" i="25"/>
  <c r="AZ2" i="25"/>
  <c r="BA2" i="25"/>
  <c r="BB2" i="25"/>
  <c r="BC2" i="25"/>
  <c r="BD2" i="25"/>
  <c r="BE2" i="25"/>
  <c r="BF2" i="25"/>
  <c r="BG2" i="25"/>
  <c r="BH2" i="25"/>
  <c r="BI2" i="25"/>
  <c r="BJ2" i="25"/>
  <c r="BK2" i="25"/>
  <c r="BL2" i="25"/>
  <c r="BM2" i="25"/>
  <c r="AA3" i="25"/>
  <c r="AB3" i="25"/>
  <c r="AC3" i="25"/>
  <c r="AD3" i="25"/>
  <c r="AE3" i="25"/>
  <c r="AF3" i="25"/>
  <c r="AG3" i="25"/>
  <c r="AH3" i="25"/>
  <c r="AI3" i="25"/>
  <c r="AJ3" i="25"/>
  <c r="AK3" i="25"/>
  <c r="AL3" i="25"/>
  <c r="AM3" i="25"/>
  <c r="AN3" i="25"/>
  <c r="AO3" i="25"/>
  <c r="AP3" i="25"/>
  <c r="AQ3" i="25"/>
  <c r="AR3" i="25"/>
  <c r="AV3" i="25"/>
  <c r="AW3" i="25"/>
  <c r="AX3" i="25"/>
  <c r="AY3" i="25"/>
  <c r="AZ3" i="25"/>
  <c r="BA3" i="25"/>
  <c r="BB3" i="25"/>
  <c r="BC3" i="25"/>
  <c r="BD3" i="25"/>
  <c r="BE3" i="25"/>
  <c r="BF3" i="25"/>
  <c r="BG3" i="25"/>
  <c r="BH3" i="25"/>
  <c r="BI3" i="25"/>
  <c r="BJ3" i="25"/>
  <c r="BK3" i="25"/>
  <c r="BL3" i="25"/>
  <c r="BM3" i="25"/>
  <c r="AA4" i="25"/>
  <c r="AB4" i="25"/>
  <c r="AC4" i="25"/>
  <c r="AD4" i="25"/>
  <c r="AE4" i="25"/>
  <c r="AF4" i="25"/>
  <c r="AG4" i="25"/>
  <c r="AH4" i="25"/>
  <c r="AI4" i="25"/>
  <c r="AJ4" i="25"/>
  <c r="AK4" i="25"/>
  <c r="AL4" i="25"/>
  <c r="AM4" i="25"/>
  <c r="AN4" i="25"/>
  <c r="AO4" i="25"/>
  <c r="AP4" i="25"/>
  <c r="AQ4" i="25"/>
  <c r="AR4" i="25"/>
  <c r="AV4" i="25"/>
  <c r="AW4" i="25"/>
  <c r="AX4" i="25"/>
  <c r="AY4" i="25"/>
  <c r="AZ4" i="25"/>
  <c r="BA4" i="25"/>
  <c r="BB4" i="25"/>
  <c r="BC4" i="25"/>
  <c r="BD4" i="25"/>
  <c r="BE4" i="25"/>
  <c r="BF4" i="25"/>
  <c r="BG4" i="25"/>
  <c r="BH4" i="25"/>
  <c r="BI4" i="25"/>
  <c r="BJ4" i="25"/>
  <c r="BK4" i="25"/>
  <c r="BL4" i="25"/>
  <c r="BM4" i="25"/>
  <c r="AA5" i="25"/>
  <c r="AB5" i="25"/>
  <c r="AC5" i="25"/>
  <c r="AD5" i="25"/>
  <c r="AE5" i="25"/>
  <c r="AF5" i="25"/>
  <c r="AG5" i="25"/>
  <c r="AH5" i="25"/>
  <c r="AI5" i="25"/>
  <c r="AJ5" i="25"/>
  <c r="AK5" i="25"/>
  <c r="AL5" i="25"/>
  <c r="AM5" i="25"/>
  <c r="AN5" i="25"/>
  <c r="AO5" i="25"/>
  <c r="AP5" i="25"/>
  <c r="AQ5" i="25"/>
  <c r="AR5" i="25"/>
  <c r="AV5" i="25"/>
  <c r="AW5" i="25"/>
  <c r="AX5" i="25"/>
  <c r="AY5" i="25"/>
  <c r="AZ5" i="25"/>
  <c r="BA5" i="25"/>
  <c r="BB5" i="25"/>
  <c r="BC5" i="25"/>
  <c r="BD5" i="25"/>
  <c r="BE5" i="25"/>
  <c r="BF5" i="25"/>
  <c r="BG5" i="25"/>
  <c r="BH5" i="25"/>
  <c r="BI5" i="25"/>
  <c r="BJ5" i="25"/>
  <c r="BK5" i="25"/>
  <c r="BL5" i="25"/>
  <c r="BM5" i="25"/>
  <c r="AA6" i="25"/>
  <c r="AB6" i="25"/>
  <c r="AC6" i="25"/>
  <c r="AD6" i="25"/>
  <c r="AE6" i="25"/>
  <c r="AF6" i="25"/>
  <c r="AG6" i="25"/>
  <c r="AH6" i="25"/>
  <c r="AI6" i="25"/>
  <c r="AJ6" i="25"/>
  <c r="AK6" i="25"/>
  <c r="AL6" i="25"/>
  <c r="AM6" i="25"/>
  <c r="AN6" i="25"/>
  <c r="AO6" i="25"/>
  <c r="AP6" i="25"/>
  <c r="AQ6" i="25"/>
  <c r="AR6" i="25"/>
  <c r="AV6" i="25"/>
  <c r="AW6" i="25"/>
  <c r="AX6" i="25"/>
  <c r="AY6" i="25"/>
  <c r="AZ6" i="25"/>
  <c r="BA6" i="25"/>
  <c r="BB6" i="25"/>
  <c r="BC6" i="25"/>
  <c r="BD6" i="25"/>
  <c r="BE6" i="25"/>
  <c r="BF6" i="25"/>
  <c r="BG6" i="25"/>
  <c r="BH6" i="25"/>
  <c r="BI6" i="25"/>
  <c r="BJ6" i="25"/>
  <c r="BK6" i="25"/>
  <c r="BL6" i="25"/>
  <c r="BM6" i="25"/>
  <c r="AA7" i="25"/>
  <c r="AB7" i="25"/>
  <c r="AC7" i="25"/>
  <c r="AD7" i="25"/>
  <c r="AE7" i="25"/>
  <c r="AF7" i="25"/>
  <c r="AG7" i="25"/>
  <c r="AH7" i="25"/>
  <c r="AI7" i="25"/>
  <c r="AJ7" i="25"/>
  <c r="AK7" i="25"/>
  <c r="AL7" i="25"/>
  <c r="AM7" i="25"/>
  <c r="AN7" i="25"/>
  <c r="AO7" i="25"/>
  <c r="AP7" i="25"/>
  <c r="AQ7" i="25"/>
  <c r="AR7" i="25"/>
  <c r="AV7" i="25"/>
  <c r="AW7" i="25"/>
  <c r="AX7" i="25"/>
  <c r="AY7" i="25"/>
  <c r="AZ7" i="25"/>
  <c r="BA7" i="25"/>
  <c r="BB7" i="25"/>
  <c r="BC7" i="25"/>
  <c r="BD7" i="25"/>
  <c r="BE7" i="25"/>
  <c r="BF7" i="25"/>
  <c r="BG7" i="25"/>
  <c r="BH7" i="25"/>
  <c r="BI7" i="25"/>
  <c r="BJ7" i="25"/>
  <c r="BK7" i="25"/>
  <c r="BL7" i="25"/>
  <c r="BM7" i="25"/>
  <c r="AA8" i="25"/>
  <c r="AB8" i="25"/>
  <c r="AC8" i="25"/>
  <c r="AD8" i="25"/>
  <c r="AE8" i="25"/>
  <c r="AF8" i="25"/>
  <c r="AG8" i="25"/>
  <c r="AH8" i="25"/>
  <c r="AI8" i="25"/>
  <c r="AJ8" i="25"/>
  <c r="AK8" i="25"/>
  <c r="AL8" i="25"/>
  <c r="AM8" i="25"/>
  <c r="AN8" i="25"/>
  <c r="AO8" i="25"/>
  <c r="AP8" i="25"/>
  <c r="AQ8" i="25"/>
  <c r="AR8" i="25"/>
  <c r="AV8" i="25"/>
  <c r="AW8" i="25"/>
  <c r="AX8" i="25"/>
  <c r="AY8" i="25"/>
  <c r="AZ8" i="25"/>
  <c r="BA8" i="25"/>
  <c r="BB8" i="25"/>
  <c r="BC8" i="25"/>
  <c r="BD8" i="25"/>
  <c r="BE8" i="25"/>
  <c r="BF8" i="25"/>
  <c r="BG8" i="25"/>
  <c r="BH8" i="25"/>
  <c r="BI8" i="25"/>
  <c r="BJ8" i="25"/>
  <c r="BK8" i="25"/>
  <c r="BL8" i="25"/>
  <c r="BM8" i="25"/>
  <c r="AA9" i="25"/>
  <c r="AB9" i="25"/>
  <c r="AC9" i="25"/>
  <c r="AD9" i="25"/>
  <c r="AE9" i="25"/>
  <c r="AF9" i="25"/>
  <c r="AG9" i="25"/>
  <c r="AH9" i="25"/>
  <c r="AI9" i="25"/>
  <c r="AJ9" i="25"/>
  <c r="AK9" i="25"/>
  <c r="AL9" i="25"/>
  <c r="AM9" i="25"/>
  <c r="AN9" i="25"/>
  <c r="AO9" i="25"/>
  <c r="AP9" i="25"/>
  <c r="AQ9" i="25"/>
  <c r="AR9" i="25"/>
  <c r="AV9" i="25"/>
  <c r="AW9" i="25"/>
  <c r="AX9" i="25"/>
  <c r="AY9" i="25"/>
  <c r="AZ9" i="25"/>
  <c r="BA9" i="25"/>
  <c r="BB9" i="25"/>
  <c r="BC9" i="25"/>
  <c r="BD9" i="25"/>
  <c r="BE9" i="25"/>
  <c r="BF9" i="25"/>
  <c r="BG9" i="25"/>
  <c r="BH9" i="25"/>
  <c r="BI9" i="25"/>
  <c r="BJ9" i="25"/>
  <c r="BK9" i="25"/>
  <c r="BL9" i="25"/>
  <c r="BM9" i="25"/>
  <c r="AA10" i="25"/>
  <c r="AB10" i="25"/>
  <c r="AC10" i="25"/>
  <c r="AD10" i="25"/>
  <c r="AE10" i="25"/>
  <c r="AF10" i="25"/>
  <c r="AG10" i="25"/>
  <c r="AH10" i="25"/>
  <c r="AI10" i="25"/>
  <c r="AJ10" i="25"/>
  <c r="AK10" i="25"/>
  <c r="AL10" i="25"/>
  <c r="AM10" i="25"/>
  <c r="AN10" i="25"/>
  <c r="AO10" i="25"/>
  <c r="AP10" i="25"/>
  <c r="AQ10" i="25"/>
  <c r="AR10" i="25"/>
  <c r="AV10" i="25"/>
  <c r="AW10" i="25"/>
  <c r="AX10" i="25"/>
  <c r="AY10" i="25"/>
  <c r="AZ10" i="25"/>
  <c r="BA10" i="25"/>
  <c r="BB10" i="25"/>
  <c r="BC10" i="25"/>
  <c r="BD10" i="25"/>
  <c r="BE10" i="25"/>
  <c r="BF10" i="25"/>
  <c r="BG10" i="25"/>
  <c r="BH10" i="25"/>
  <c r="BI10" i="25"/>
  <c r="BJ10" i="25"/>
  <c r="BK10" i="25"/>
  <c r="BL10" i="25"/>
  <c r="BM10" i="25"/>
  <c r="AA11" i="25"/>
  <c r="AB11" i="25"/>
  <c r="AC11" i="25"/>
  <c r="AD11" i="25"/>
  <c r="AE11" i="25"/>
  <c r="AF11" i="25"/>
  <c r="AG11" i="25"/>
  <c r="AH11" i="25"/>
  <c r="AI11" i="25"/>
  <c r="AJ11" i="25"/>
  <c r="AK11" i="25"/>
  <c r="AL11" i="25"/>
  <c r="AM11" i="25"/>
  <c r="AN11" i="25"/>
  <c r="AO11" i="25"/>
  <c r="AP11" i="25"/>
  <c r="AQ11" i="25"/>
  <c r="AR11" i="25"/>
  <c r="AV11" i="25"/>
  <c r="AW11" i="25"/>
  <c r="AX11" i="25"/>
  <c r="AY11" i="25"/>
  <c r="AZ11" i="25"/>
  <c r="BA11" i="25"/>
  <c r="BB11" i="25"/>
  <c r="BC11" i="25"/>
  <c r="BD11" i="25"/>
  <c r="BE11" i="25"/>
  <c r="BF11" i="25"/>
  <c r="BG11" i="25"/>
  <c r="BH11" i="25"/>
  <c r="BI11" i="25"/>
  <c r="BJ11" i="25"/>
  <c r="BK11" i="25"/>
  <c r="BL11" i="25"/>
  <c r="BM11" i="25"/>
  <c r="AA12" i="25"/>
  <c r="AB12" i="25"/>
  <c r="AC12" i="25"/>
  <c r="AD12" i="25"/>
  <c r="AE12" i="25"/>
  <c r="AF12" i="25"/>
  <c r="AG12" i="25"/>
  <c r="AH12" i="25"/>
  <c r="AI12" i="25"/>
  <c r="AJ12" i="25"/>
  <c r="AK12" i="25"/>
  <c r="AL12" i="25"/>
  <c r="AM12" i="25"/>
  <c r="AN12" i="25"/>
  <c r="AO12" i="25"/>
  <c r="AP12" i="25"/>
  <c r="AQ12" i="25"/>
  <c r="AR12" i="25"/>
  <c r="AV12" i="25"/>
  <c r="AW12" i="25"/>
  <c r="AX12" i="25"/>
  <c r="AY12" i="25"/>
  <c r="AZ12" i="25"/>
  <c r="BA12" i="25"/>
  <c r="BB12" i="25"/>
  <c r="BC12" i="25"/>
  <c r="BD12" i="25"/>
  <c r="BE12" i="25"/>
  <c r="BF12" i="25"/>
  <c r="BG12" i="25"/>
  <c r="BH12" i="25"/>
  <c r="BI12" i="25"/>
  <c r="BJ12" i="25"/>
  <c r="BK12" i="25"/>
  <c r="BL12" i="25"/>
  <c r="BM12" i="25"/>
  <c r="AA13" i="25"/>
  <c r="AB13" i="25"/>
  <c r="AC13" i="25"/>
  <c r="AD13" i="25"/>
  <c r="AE13" i="25"/>
  <c r="AF13" i="25"/>
  <c r="AG13" i="25"/>
  <c r="AH13" i="25"/>
  <c r="AI13" i="25"/>
  <c r="AJ13" i="25"/>
  <c r="AK13" i="25"/>
  <c r="AL13" i="25"/>
  <c r="AM13" i="25"/>
  <c r="AN13" i="25"/>
  <c r="AO13" i="25"/>
  <c r="AP13" i="25"/>
  <c r="AQ13" i="25"/>
  <c r="AR13" i="25"/>
  <c r="AV13" i="25"/>
  <c r="AW13" i="25"/>
  <c r="AX13" i="25"/>
  <c r="AY13" i="25"/>
  <c r="AZ13" i="25"/>
  <c r="BA13" i="25"/>
  <c r="BB13" i="25"/>
  <c r="BC13" i="25"/>
  <c r="BD13" i="25"/>
  <c r="BE13" i="25"/>
  <c r="BF13" i="25"/>
  <c r="BG13" i="25"/>
  <c r="BH13" i="25"/>
  <c r="BI13" i="25"/>
  <c r="BJ13" i="25"/>
  <c r="BK13" i="25"/>
  <c r="BL13" i="25"/>
  <c r="BM13" i="25"/>
  <c r="AU159" i="25"/>
  <c r="AV159" i="25"/>
  <c r="AW159" i="25"/>
  <c r="AX159" i="25"/>
  <c r="AY159" i="25"/>
  <c r="AZ159" i="25"/>
  <c r="BA159" i="25"/>
  <c r="BB159" i="25"/>
  <c r="BC159" i="25"/>
  <c r="BD159" i="25"/>
  <c r="BE159" i="25"/>
  <c r="BF159" i="25"/>
  <c r="BG159" i="25"/>
  <c r="BH159" i="25"/>
  <c r="BI159" i="25"/>
  <c r="BJ159" i="25"/>
  <c r="BK159" i="25"/>
  <c r="BL159" i="25"/>
  <c r="BM159" i="25"/>
  <c r="AU362" i="25"/>
  <c r="AV362" i="25"/>
  <c r="AW362" i="25"/>
  <c r="AX362" i="25"/>
  <c r="AY362" i="25"/>
  <c r="AZ362" i="25"/>
  <c r="BA362" i="25"/>
  <c r="BB362" i="25"/>
  <c r="BC362" i="25"/>
  <c r="BD362" i="25"/>
  <c r="BE362" i="25"/>
  <c r="BF362" i="25"/>
  <c r="BG362" i="25"/>
  <c r="BH362" i="25"/>
  <c r="BI362" i="25"/>
  <c r="BJ362" i="25"/>
  <c r="BK362" i="25"/>
  <c r="BL362" i="25"/>
  <c r="BM362" i="25"/>
  <c r="AU367" i="25"/>
  <c r="AV367" i="25"/>
  <c r="AW367" i="25"/>
  <c r="AX367" i="25"/>
  <c r="AY367" i="25"/>
  <c r="AZ367" i="25"/>
  <c r="BA367" i="25"/>
  <c r="BB367" i="25"/>
  <c r="BC367" i="25"/>
  <c r="BD367" i="25"/>
  <c r="BE367" i="25"/>
  <c r="BF367" i="25"/>
  <c r="BG367" i="25"/>
  <c r="BH367" i="25"/>
  <c r="BI367" i="25"/>
  <c r="BJ367" i="25"/>
  <c r="BK367" i="25"/>
  <c r="BL367" i="25"/>
  <c r="BM367" i="25"/>
  <c r="AU368" i="25"/>
  <c r="AV368" i="25"/>
  <c r="AW368" i="25"/>
  <c r="AX368" i="25"/>
  <c r="AY368" i="25"/>
  <c r="AZ368" i="25"/>
  <c r="BA368" i="25"/>
  <c r="BB368" i="25"/>
  <c r="BC368" i="25"/>
  <c r="BD368" i="25"/>
  <c r="BE368" i="25"/>
  <c r="BF368" i="25"/>
  <c r="BG368" i="25"/>
  <c r="BH368" i="25"/>
  <c r="BI368" i="25"/>
  <c r="BJ368" i="25"/>
  <c r="BK368" i="25"/>
  <c r="BL368" i="25"/>
  <c r="BM368" i="25"/>
  <c r="AU369" i="25"/>
  <c r="AV369" i="25"/>
  <c r="AW369" i="25"/>
  <c r="AX369" i="25"/>
  <c r="AY369" i="25"/>
  <c r="AZ369" i="25"/>
  <c r="BA369" i="25"/>
  <c r="BB369" i="25"/>
  <c r="BC369" i="25"/>
  <c r="BD369" i="25"/>
  <c r="BE369" i="25"/>
  <c r="BF369" i="25"/>
  <c r="BG369" i="25"/>
  <c r="BH369" i="25"/>
  <c r="BI369" i="25"/>
  <c r="BJ369" i="25"/>
  <c r="BK369" i="25"/>
  <c r="BL369" i="25"/>
  <c r="BM369" i="25"/>
  <c r="AU370" i="25"/>
  <c r="AV370" i="25"/>
  <c r="AW370" i="25"/>
  <c r="AX370" i="25"/>
  <c r="AY370" i="25"/>
  <c r="AZ370" i="25"/>
  <c r="BA370" i="25"/>
  <c r="BB370" i="25"/>
  <c r="BC370" i="25"/>
  <c r="BD370" i="25"/>
  <c r="BE370" i="25"/>
  <c r="BF370" i="25"/>
  <c r="BG370" i="25"/>
  <c r="BH370" i="25"/>
  <c r="BI370" i="25"/>
  <c r="BJ370" i="25"/>
  <c r="BK370" i="25"/>
  <c r="BL370" i="25"/>
  <c r="BM370" i="25"/>
  <c r="AU371" i="25"/>
  <c r="AV371" i="25"/>
  <c r="AW371" i="25"/>
  <c r="AX371" i="25"/>
  <c r="AY371" i="25"/>
  <c r="AZ371" i="25"/>
  <c r="BA371" i="25"/>
  <c r="BB371" i="25"/>
  <c r="BC371" i="25"/>
  <c r="BD371" i="25"/>
  <c r="BE371" i="25"/>
  <c r="BF371" i="25"/>
  <c r="BG371" i="25"/>
  <c r="BH371" i="25"/>
  <c r="BI371" i="25"/>
  <c r="BJ371" i="25"/>
  <c r="BK371" i="25"/>
  <c r="BL371" i="25"/>
  <c r="BM371" i="25"/>
  <c r="AU372" i="25"/>
  <c r="AV372" i="25"/>
  <c r="AW372" i="25"/>
  <c r="AX372" i="25"/>
  <c r="AY372" i="25"/>
  <c r="AZ372" i="25"/>
  <c r="BA372" i="25"/>
  <c r="BB372" i="25"/>
  <c r="BC372" i="25"/>
  <c r="BD372" i="25"/>
  <c r="BE372" i="25"/>
  <c r="BF372" i="25"/>
  <c r="BG372" i="25"/>
  <c r="BH372" i="25"/>
  <c r="BI372" i="25"/>
  <c r="BJ372" i="25"/>
  <c r="BK372" i="25"/>
  <c r="BL372" i="25"/>
  <c r="BM372" i="25"/>
  <c r="AU374" i="25"/>
  <c r="AV374" i="25"/>
  <c r="AW374" i="25"/>
  <c r="AX374" i="25"/>
  <c r="AY374" i="25"/>
  <c r="AZ374" i="25"/>
  <c r="BA374" i="25"/>
  <c r="BB374" i="25"/>
  <c r="BC374" i="25"/>
  <c r="BD374" i="25"/>
  <c r="BE374" i="25"/>
  <c r="BF374" i="25"/>
  <c r="BG374" i="25"/>
  <c r="BH374" i="25"/>
  <c r="BI374" i="25"/>
  <c r="BJ374" i="25"/>
  <c r="BK374" i="25"/>
  <c r="BL374" i="25"/>
  <c r="BM374" i="25"/>
  <c r="AU375" i="25"/>
  <c r="AV375" i="25"/>
  <c r="AW375" i="25"/>
  <c r="AX375" i="25"/>
  <c r="AY375" i="25"/>
  <c r="AZ375" i="25"/>
  <c r="BA375" i="25"/>
  <c r="BB375" i="25"/>
  <c r="BC375" i="25"/>
  <c r="BD375" i="25"/>
  <c r="BE375" i="25"/>
  <c r="BF375" i="25"/>
  <c r="BG375" i="25"/>
  <c r="BH375" i="25"/>
  <c r="BI375" i="25"/>
  <c r="BJ375" i="25"/>
  <c r="BK375" i="25"/>
  <c r="BL375" i="25"/>
  <c r="BM375" i="25"/>
  <c r="AU381" i="25"/>
  <c r="AV381" i="25"/>
  <c r="AW381" i="25"/>
  <c r="AX381" i="25"/>
  <c r="AY381" i="25"/>
  <c r="AZ381" i="25"/>
  <c r="BA381" i="25"/>
  <c r="BB381" i="25"/>
  <c r="BC381" i="25"/>
  <c r="BD381" i="25"/>
  <c r="BE381" i="25"/>
  <c r="BF381" i="25"/>
  <c r="BG381" i="25"/>
  <c r="BH381" i="25"/>
  <c r="BI381" i="25"/>
  <c r="BJ381" i="25"/>
  <c r="BK381" i="25"/>
  <c r="BL381" i="25"/>
  <c r="BM381" i="25"/>
  <c r="AU382" i="25"/>
  <c r="AV382" i="25"/>
  <c r="AW382" i="25"/>
  <c r="AX382" i="25"/>
  <c r="AY382" i="25"/>
  <c r="AZ382" i="25"/>
  <c r="BA382" i="25"/>
  <c r="BB382" i="25"/>
  <c r="BC382" i="25"/>
  <c r="BD382" i="25"/>
  <c r="BE382" i="25"/>
  <c r="BF382" i="25"/>
  <c r="BG382" i="25"/>
  <c r="BH382" i="25"/>
  <c r="BI382" i="25"/>
  <c r="BJ382" i="25"/>
  <c r="BK382" i="25"/>
  <c r="BL382" i="25"/>
  <c r="BM382" i="25"/>
  <c r="AU386" i="25"/>
  <c r="AV386" i="25"/>
  <c r="AW386" i="25"/>
  <c r="AX386" i="25"/>
  <c r="AY386" i="25"/>
  <c r="AZ386" i="25"/>
  <c r="BA386" i="25"/>
  <c r="BB386" i="25"/>
  <c r="BC386" i="25"/>
  <c r="BD386" i="25"/>
  <c r="BE386" i="25"/>
  <c r="BF386" i="25"/>
  <c r="BG386" i="25"/>
  <c r="BH386" i="25"/>
  <c r="BI386" i="25"/>
  <c r="BJ386" i="25"/>
  <c r="BK386" i="25"/>
  <c r="BL386" i="25"/>
  <c r="BM386" i="25"/>
  <c r="AU388" i="25"/>
  <c r="AV388" i="25"/>
  <c r="AW388" i="25"/>
  <c r="AX388" i="25"/>
  <c r="AY388" i="25"/>
  <c r="AZ388" i="25"/>
  <c r="BA388" i="25"/>
  <c r="BB388" i="25"/>
  <c r="BC388" i="25"/>
  <c r="BD388" i="25"/>
  <c r="BE388" i="25"/>
  <c r="BF388" i="25"/>
  <c r="BG388" i="25"/>
  <c r="BH388" i="25"/>
  <c r="BI388" i="25"/>
  <c r="BJ388" i="25"/>
  <c r="BK388" i="25"/>
  <c r="BL388" i="25"/>
  <c r="BM388" i="25"/>
  <c r="AU390" i="25"/>
  <c r="AV390" i="25"/>
  <c r="AW390" i="25"/>
  <c r="AX390" i="25"/>
  <c r="AY390" i="25"/>
  <c r="AZ390" i="25"/>
  <c r="BA390" i="25"/>
  <c r="BB390" i="25"/>
  <c r="BC390" i="25"/>
  <c r="BD390" i="25"/>
  <c r="BE390" i="25"/>
  <c r="BF390" i="25"/>
  <c r="BG390" i="25"/>
  <c r="BH390" i="25"/>
  <c r="BI390" i="25"/>
  <c r="BJ390" i="25"/>
  <c r="BK390" i="25"/>
  <c r="BL390" i="25"/>
  <c r="BM390" i="25"/>
  <c r="AU392" i="25"/>
  <c r="AV392" i="25"/>
  <c r="AW392" i="25"/>
  <c r="AX392" i="25"/>
  <c r="AY392" i="25"/>
  <c r="AZ392" i="25"/>
  <c r="BA392" i="25"/>
  <c r="BB392" i="25"/>
  <c r="BC392" i="25"/>
  <c r="BD392" i="25"/>
  <c r="BE392" i="25"/>
  <c r="BF392" i="25"/>
  <c r="BG392" i="25"/>
  <c r="BH392" i="25"/>
  <c r="BI392" i="25"/>
  <c r="BJ392" i="25"/>
  <c r="BK392" i="25"/>
  <c r="BL392" i="25"/>
  <c r="BM392" i="25"/>
  <c r="AU394" i="25"/>
  <c r="AV394" i="25"/>
  <c r="AW394" i="25"/>
  <c r="AX394" i="25"/>
  <c r="AY394" i="25"/>
  <c r="AZ394" i="25"/>
  <c r="BA394" i="25"/>
  <c r="BB394" i="25"/>
  <c r="BC394" i="25"/>
  <c r="BD394" i="25"/>
  <c r="BE394" i="25"/>
  <c r="BF394" i="25"/>
  <c r="BG394" i="25"/>
  <c r="BH394" i="25"/>
  <c r="BI394" i="25"/>
  <c r="BJ394" i="25"/>
  <c r="BK394" i="25"/>
  <c r="BL394" i="25"/>
  <c r="BM394" i="25"/>
  <c r="AU396" i="25"/>
  <c r="AV396" i="25"/>
  <c r="AW396" i="25"/>
  <c r="AX396" i="25"/>
  <c r="AY396" i="25"/>
  <c r="AZ396" i="25"/>
  <c r="BA396" i="25"/>
  <c r="BB396" i="25"/>
  <c r="BC396" i="25"/>
  <c r="BD396" i="25"/>
  <c r="BE396" i="25"/>
  <c r="BF396" i="25"/>
  <c r="BG396" i="25"/>
  <c r="BH396" i="25"/>
  <c r="BI396" i="25"/>
  <c r="BJ396" i="25"/>
  <c r="BK396" i="25"/>
  <c r="BL396" i="25"/>
  <c r="BM396" i="25"/>
  <c r="Z2" i="26"/>
  <c r="AA2" i="26"/>
  <c r="AB2" i="26"/>
  <c r="AC2" i="26"/>
  <c r="AD2" i="26"/>
  <c r="AE2" i="26"/>
  <c r="AF2" i="26"/>
  <c r="AG2" i="26"/>
  <c r="AH2" i="26"/>
  <c r="AI2" i="26"/>
  <c r="AJ2" i="26"/>
  <c r="AK2" i="26"/>
  <c r="AL2" i="26"/>
  <c r="AM2" i="26"/>
  <c r="AN2" i="26"/>
  <c r="AO2" i="26"/>
  <c r="AP2" i="26"/>
  <c r="AQ2" i="26"/>
  <c r="AR2" i="26"/>
  <c r="AU2" i="26"/>
  <c r="AV2" i="26"/>
  <c r="AW2" i="26"/>
  <c r="AX2" i="26"/>
  <c r="AY2" i="26"/>
  <c r="AZ2" i="26"/>
  <c r="BA2" i="26"/>
  <c r="BB2" i="26"/>
  <c r="BC2" i="26"/>
  <c r="BD2" i="26"/>
  <c r="BE2" i="26"/>
  <c r="BF2" i="26"/>
  <c r="BG2" i="26"/>
  <c r="BH2" i="26"/>
  <c r="BI2" i="26"/>
  <c r="BJ2" i="26"/>
  <c r="BK2" i="26"/>
  <c r="BL2" i="26"/>
  <c r="BM2" i="26"/>
  <c r="Z3" i="26"/>
  <c r="AA3" i="26"/>
  <c r="AB3" i="26"/>
  <c r="AC3" i="26"/>
  <c r="AD3" i="26"/>
  <c r="AE3" i="26"/>
  <c r="AF3" i="26"/>
  <c r="AG3" i="26"/>
  <c r="AH3" i="26"/>
  <c r="AI3" i="26"/>
  <c r="AJ3" i="26"/>
  <c r="AK3" i="26"/>
  <c r="AL3" i="26"/>
  <c r="AM3" i="26"/>
  <c r="AN3" i="26"/>
  <c r="AO3" i="26"/>
  <c r="AP3" i="26"/>
  <c r="AQ3" i="26"/>
  <c r="AR3" i="26"/>
  <c r="AU3" i="26"/>
  <c r="AV3" i="26"/>
  <c r="AW3" i="26"/>
  <c r="AX3" i="26"/>
  <c r="AY3" i="26"/>
  <c r="AZ3" i="26"/>
  <c r="BA3" i="26"/>
  <c r="BB3" i="26"/>
  <c r="BC3" i="26"/>
  <c r="BD3" i="26"/>
  <c r="BE3" i="26"/>
  <c r="BF3" i="26"/>
  <c r="BG3" i="26"/>
  <c r="BH3" i="26"/>
  <c r="BI3" i="26"/>
  <c r="BJ3" i="26"/>
  <c r="BK3" i="26"/>
  <c r="BL3" i="26"/>
  <c r="BM3" i="26"/>
  <c r="Z4" i="26"/>
  <c r="AA4" i="26"/>
  <c r="AB4" i="26"/>
  <c r="AC4" i="26"/>
  <c r="AD4" i="26"/>
  <c r="AE4" i="26"/>
  <c r="AF4" i="26"/>
  <c r="AG4" i="26"/>
  <c r="AH4" i="26"/>
  <c r="AI4" i="26"/>
  <c r="AJ4" i="26"/>
  <c r="AK4" i="26"/>
  <c r="AL4" i="26"/>
  <c r="AM4" i="26"/>
  <c r="AN4" i="26"/>
  <c r="AO4" i="26"/>
  <c r="AP4" i="26"/>
  <c r="AQ4" i="26"/>
  <c r="AR4" i="26"/>
  <c r="AU4" i="26"/>
  <c r="AV4" i="26"/>
  <c r="AW4" i="26"/>
  <c r="AX4" i="26"/>
  <c r="AY4" i="26"/>
  <c r="AZ4" i="26"/>
  <c r="BA4" i="26"/>
  <c r="BB4" i="26"/>
  <c r="BC4" i="26"/>
  <c r="BD4" i="26"/>
  <c r="BE4" i="26"/>
  <c r="BF4" i="26"/>
  <c r="BG4" i="26"/>
  <c r="BH4" i="26"/>
  <c r="BI4" i="26"/>
  <c r="BJ4" i="26"/>
  <c r="BK4" i="26"/>
  <c r="BL4" i="26"/>
  <c r="BM4" i="26"/>
  <c r="Z5" i="26"/>
  <c r="AA5" i="26"/>
  <c r="AB5" i="26"/>
  <c r="AC5" i="26"/>
  <c r="AD5" i="26"/>
  <c r="AE5" i="26"/>
  <c r="AF5" i="26"/>
  <c r="AG5" i="26"/>
  <c r="AH5" i="26"/>
  <c r="AI5" i="26"/>
  <c r="AJ5" i="26"/>
  <c r="AK5" i="26"/>
  <c r="AL5" i="26"/>
  <c r="AM5" i="26"/>
  <c r="AN5" i="26"/>
  <c r="AO5" i="26"/>
  <c r="AP5" i="26"/>
  <c r="AQ5" i="26"/>
  <c r="AR5" i="26"/>
  <c r="AU5" i="26"/>
  <c r="AV5" i="26"/>
  <c r="AW5" i="26"/>
  <c r="AX5" i="26"/>
  <c r="AY5" i="26"/>
  <c r="AZ5" i="26"/>
  <c r="BA5" i="26"/>
  <c r="BB5" i="26"/>
  <c r="BC5" i="26"/>
  <c r="BD5" i="26"/>
  <c r="BE5" i="26"/>
  <c r="BF5" i="26"/>
  <c r="BG5" i="26"/>
  <c r="BH5" i="26"/>
  <c r="BI5" i="26"/>
  <c r="BJ5" i="26"/>
  <c r="BK5" i="26"/>
  <c r="BL5" i="26"/>
  <c r="BM5" i="26"/>
  <c r="Z6" i="26"/>
  <c r="AA6" i="26"/>
  <c r="AB6" i="26"/>
  <c r="AC6" i="26"/>
  <c r="AD6" i="26"/>
  <c r="AE6" i="26"/>
  <c r="AF6" i="26"/>
  <c r="AG6" i="26"/>
  <c r="AH6" i="26"/>
  <c r="AI6" i="26"/>
  <c r="AJ6" i="26"/>
  <c r="AK6" i="26"/>
  <c r="AL6" i="26"/>
  <c r="AM6" i="26"/>
  <c r="AN6" i="26"/>
  <c r="AO6" i="26"/>
  <c r="AP6" i="26"/>
  <c r="AQ6" i="26"/>
  <c r="AR6" i="26"/>
  <c r="AU6" i="26"/>
  <c r="AV6" i="26"/>
  <c r="AW6" i="26"/>
  <c r="AX6" i="26"/>
  <c r="AY6" i="26"/>
  <c r="AZ6" i="26"/>
  <c r="BA6" i="26"/>
  <c r="BB6" i="26"/>
  <c r="BC6" i="26"/>
  <c r="BD6" i="26"/>
  <c r="BE6" i="26"/>
  <c r="BF6" i="26"/>
  <c r="BG6" i="26"/>
  <c r="BH6" i="26"/>
  <c r="BI6" i="26"/>
  <c r="BJ6" i="26"/>
  <c r="BK6" i="26"/>
  <c r="BL6" i="26"/>
  <c r="BM6" i="26"/>
  <c r="Z7" i="26"/>
  <c r="AA7" i="26"/>
  <c r="AB7" i="26"/>
  <c r="AC7" i="26"/>
  <c r="AD7" i="26"/>
  <c r="AE7" i="26"/>
  <c r="AF7" i="26"/>
  <c r="AG7" i="26"/>
  <c r="AH7" i="26"/>
  <c r="AI7" i="26"/>
  <c r="AJ7" i="26"/>
  <c r="AK7" i="26"/>
  <c r="AL7" i="26"/>
  <c r="AM7" i="26"/>
  <c r="AN7" i="26"/>
  <c r="AO7" i="26"/>
  <c r="AP7" i="26"/>
  <c r="AQ7" i="26"/>
  <c r="AR7" i="26"/>
  <c r="AU7" i="26"/>
  <c r="AV7" i="26"/>
  <c r="AW7" i="26"/>
  <c r="AX7" i="26"/>
  <c r="AY7" i="26"/>
  <c r="AZ7" i="26"/>
  <c r="BA7" i="26"/>
  <c r="BB7" i="26"/>
  <c r="BC7" i="26"/>
  <c r="BD7" i="26"/>
  <c r="BE7" i="26"/>
  <c r="BF7" i="26"/>
  <c r="BG7" i="26"/>
  <c r="BH7" i="26"/>
  <c r="BI7" i="26"/>
  <c r="BJ7" i="26"/>
  <c r="BK7" i="26"/>
  <c r="BL7" i="26"/>
  <c r="BM7" i="26"/>
  <c r="Z8" i="26"/>
  <c r="AA8" i="26"/>
  <c r="AB8" i="26"/>
  <c r="AC8" i="26"/>
  <c r="AD8" i="26"/>
  <c r="AE8" i="26"/>
  <c r="AF8" i="26"/>
  <c r="AG8" i="26"/>
  <c r="AH8" i="26"/>
  <c r="AI8" i="26"/>
  <c r="AJ8" i="26"/>
  <c r="AK8" i="26"/>
  <c r="AL8" i="26"/>
  <c r="AM8" i="26"/>
  <c r="AN8" i="26"/>
  <c r="AO8" i="26"/>
  <c r="AP8" i="26"/>
  <c r="AQ8" i="26"/>
  <c r="AR8" i="26"/>
  <c r="AU8" i="26"/>
  <c r="AV8" i="26"/>
  <c r="AW8" i="26"/>
  <c r="AX8" i="26"/>
  <c r="AY8" i="26"/>
  <c r="AZ8" i="26"/>
  <c r="BA8" i="26"/>
  <c r="BB8" i="26"/>
  <c r="BC8" i="26"/>
  <c r="BD8" i="26"/>
  <c r="BE8" i="26"/>
  <c r="BF8" i="26"/>
  <c r="BG8" i="26"/>
  <c r="BH8" i="26"/>
  <c r="BI8" i="26"/>
  <c r="BJ8" i="26"/>
  <c r="BK8" i="26"/>
  <c r="BL8" i="26"/>
  <c r="BM8" i="26"/>
  <c r="Z9" i="26"/>
  <c r="AA9" i="26"/>
  <c r="AB9" i="26"/>
  <c r="AC9" i="26"/>
  <c r="AD9" i="26"/>
  <c r="AE9" i="26"/>
  <c r="AF9" i="26"/>
  <c r="AG9" i="26"/>
  <c r="AH9" i="26"/>
  <c r="AI9" i="26"/>
  <c r="AJ9" i="26"/>
  <c r="AK9" i="26"/>
  <c r="AL9" i="26"/>
  <c r="AM9" i="26"/>
  <c r="AN9" i="26"/>
  <c r="AO9" i="26"/>
  <c r="AP9" i="26"/>
  <c r="AQ9" i="26"/>
  <c r="AR9" i="26"/>
  <c r="AU9" i="26"/>
  <c r="AV9" i="26"/>
  <c r="AW9" i="26"/>
  <c r="AX9" i="26"/>
  <c r="AY9" i="26"/>
  <c r="AZ9" i="26"/>
  <c r="BA9" i="26"/>
  <c r="BB9" i="26"/>
  <c r="BC9" i="26"/>
  <c r="BD9" i="26"/>
  <c r="BE9" i="26"/>
  <c r="BF9" i="26"/>
  <c r="BG9" i="26"/>
  <c r="BH9" i="26"/>
  <c r="BI9" i="26"/>
  <c r="BJ9" i="26"/>
  <c r="BK9" i="26"/>
  <c r="BL9" i="26"/>
  <c r="BM9" i="26"/>
  <c r="Z10" i="26"/>
  <c r="AA10" i="26"/>
  <c r="AB10" i="26"/>
  <c r="AC10" i="26"/>
  <c r="AD10" i="26"/>
  <c r="AE10" i="26"/>
  <c r="AF10" i="26"/>
  <c r="AG10" i="26"/>
  <c r="AH10" i="26"/>
  <c r="AI10" i="26"/>
  <c r="AJ10" i="26"/>
  <c r="AK10" i="26"/>
  <c r="AL10" i="26"/>
  <c r="AM10" i="26"/>
  <c r="AN10" i="26"/>
  <c r="AO10" i="26"/>
  <c r="AP10" i="26"/>
  <c r="AQ10" i="26"/>
  <c r="AR10" i="26"/>
  <c r="AU10" i="26"/>
  <c r="AV10" i="26"/>
  <c r="AW10" i="26"/>
  <c r="AX10" i="26"/>
  <c r="AY10" i="26"/>
  <c r="AZ10" i="26"/>
  <c r="BA10" i="26"/>
  <c r="BB10" i="26"/>
  <c r="BC10" i="26"/>
  <c r="BD10" i="26"/>
  <c r="BE10" i="26"/>
  <c r="BF10" i="26"/>
  <c r="BG10" i="26"/>
  <c r="BH10" i="26"/>
  <c r="BI10" i="26"/>
  <c r="BJ10" i="26"/>
  <c r="BK10" i="26"/>
  <c r="BL10" i="26"/>
  <c r="BM10" i="26"/>
  <c r="Z11" i="26"/>
  <c r="AA11" i="26"/>
  <c r="AB11" i="26"/>
  <c r="AC11" i="26"/>
  <c r="AD11" i="26"/>
  <c r="AE11" i="26"/>
  <c r="AF11" i="26"/>
  <c r="AG11" i="26"/>
  <c r="AH11" i="26"/>
  <c r="AI11" i="26"/>
  <c r="AJ11" i="26"/>
  <c r="AK11" i="26"/>
  <c r="AL11" i="26"/>
  <c r="AM11" i="26"/>
  <c r="AN11" i="26"/>
  <c r="AO11" i="26"/>
  <c r="AP11" i="26"/>
  <c r="AQ11" i="26"/>
  <c r="AR11" i="26"/>
  <c r="AU11" i="26"/>
  <c r="AV11" i="26"/>
  <c r="AW11" i="26"/>
  <c r="AX11" i="26"/>
  <c r="AY11" i="26"/>
  <c r="AZ11" i="26"/>
  <c r="BA11" i="26"/>
  <c r="BB11" i="26"/>
  <c r="BC11" i="26"/>
  <c r="BD11" i="26"/>
  <c r="BE11" i="26"/>
  <c r="BF11" i="26"/>
  <c r="BG11" i="26"/>
  <c r="BH11" i="26"/>
  <c r="BI11" i="26"/>
  <c r="BJ11" i="26"/>
  <c r="BK11" i="26"/>
  <c r="BL11" i="26"/>
  <c r="BM11" i="26"/>
  <c r="Z12" i="26"/>
  <c r="AA12" i="26"/>
  <c r="AB12" i="26"/>
  <c r="AC12" i="26"/>
  <c r="AD12" i="26"/>
  <c r="AE12" i="26"/>
  <c r="AF12" i="26"/>
  <c r="AG12" i="26"/>
  <c r="AH12" i="26"/>
  <c r="AI12" i="26"/>
  <c r="AJ12" i="26"/>
  <c r="AK12" i="26"/>
  <c r="AL12" i="26"/>
  <c r="AM12" i="26"/>
  <c r="AN12" i="26"/>
  <c r="AO12" i="26"/>
  <c r="AP12" i="26"/>
  <c r="AQ12" i="26"/>
  <c r="AR12" i="26"/>
  <c r="AU12" i="26"/>
  <c r="AV12" i="26"/>
  <c r="AW12" i="26"/>
  <c r="AX12" i="26"/>
  <c r="AY12" i="26"/>
  <c r="AZ12" i="26"/>
  <c r="BA12" i="26"/>
  <c r="BB12" i="26"/>
  <c r="BC12" i="26"/>
  <c r="BD12" i="26"/>
  <c r="BE12" i="26"/>
  <c r="BF12" i="26"/>
  <c r="BG12" i="26"/>
  <c r="BH12" i="26"/>
  <c r="BI12" i="26"/>
  <c r="BJ12" i="26"/>
  <c r="BK12" i="26"/>
  <c r="BL12" i="26"/>
  <c r="BM12" i="26"/>
  <c r="Z13" i="26"/>
  <c r="AA13" i="26"/>
  <c r="AB13" i="26"/>
  <c r="AC13" i="26"/>
  <c r="AD13" i="26"/>
  <c r="AE13" i="26"/>
  <c r="AF13" i="26"/>
  <c r="AG13" i="26"/>
  <c r="AH13" i="26"/>
  <c r="AI13" i="26"/>
  <c r="AJ13" i="26"/>
  <c r="AK13" i="26"/>
  <c r="AL13" i="26"/>
  <c r="AM13" i="26"/>
  <c r="AN13" i="26"/>
  <c r="AO13" i="26"/>
  <c r="AP13" i="26"/>
  <c r="AQ13" i="26"/>
  <c r="AR13" i="26"/>
  <c r="AU13" i="26"/>
  <c r="AV13" i="26"/>
  <c r="AW13" i="26"/>
  <c r="AX13" i="26"/>
  <c r="AY13" i="26"/>
  <c r="AZ13" i="26"/>
  <c r="BA13" i="26"/>
  <c r="BB13" i="26"/>
  <c r="BC13" i="26"/>
  <c r="BD13" i="26"/>
  <c r="BE13" i="26"/>
  <c r="BF13" i="26"/>
  <c r="BG13" i="26"/>
  <c r="BH13" i="26"/>
  <c r="BI13" i="26"/>
  <c r="BJ13" i="26"/>
  <c r="BK13" i="26"/>
  <c r="BL13" i="26"/>
  <c r="BM13" i="26"/>
  <c r="AU225" i="26"/>
  <c r="AV225" i="26"/>
  <c r="AW225" i="26"/>
  <c r="AX225" i="26"/>
  <c r="AY225" i="26"/>
  <c r="AZ225" i="26"/>
  <c r="BA225" i="26"/>
  <c r="BB225" i="26"/>
  <c r="BC225" i="26"/>
  <c r="BD225" i="26"/>
  <c r="BE225" i="26"/>
  <c r="BF225" i="26"/>
  <c r="BG225" i="26"/>
  <c r="BH225" i="26"/>
  <c r="BI225" i="26"/>
  <c r="BJ225" i="26"/>
  <c r="BK225" i="26"/>
  <c r="BL225" i="26"/>
  <c r="BM225" i="26"/>
  <c r="AU362" i="26"/>
  <c r="AV362" i="26"/>
  <c r="AW362" i="26"/>
  <c r="AX362" i="26"/>
  <c r="AY362" i="26"/>
  <c r="AZ362" i="26"/>
  <c r="BA362" i="26"/>
  <c r="BB362" i="26"/>
  <c r="BC362" i="26"/>
  <c r="BD362" i="26"/>
  <c r="BE362" i="26"/>
  <c r="BF362" i="26"/>
  <c r="BG362" i="26"/>
  <c r="BH362" i="26"/>
  <c r="BI362" i="26"/>
  <c r="BJ362" i="26"/>
  <c r="BK362" i="26"/>
  <c r="BL362" i="26"/>
  <c r="BM362" i="26"/>
  <c r="AU367" i="26"/>
  <c r="AV367" i="26"/>
  <c r="AW367" i="26"/>
  <c r="AX367" i="26"/>
  <c r="AY367" i="26"/>
  <c r="AZ367" i="26"/>
  <c r="BA367" i="26"/>
  <c r="BB367" i="26"/>
  <c r="BC367" i="26"/>
  <c r="BD367" i="26"/>
  <c r="BE367" i="26"/>
  <c r="BF367" i="26"/>
  <c r="BG367" i="26"/>
  <c r="BH367" i="26"/>
  <c r="BI367" i="26"/>
  <c r="BJ367" i="26"/>
  <c r="BK367" i="26"/>
  <c r="BL367" i="26"/>
  <c r="BM367" i="26"/>
  <c r="AU368" i="26"/>
  <c r="AV368" i="26"/>
  <c r="AW368" i="26"/>
  <c r="AX368" i="26"/>
  <c r="AY368" i="26"/>
  <c r="AZ368" i="26"/>
  <c r="BA368" i="26"/>
  <c r="BB368" i="26"/>
  <c r="BC368" i="26"/>
  <c r="BD368" i="26"/>
  <c r="BE368" i="26"/>
  <c r="BF368" i="26"/>
  <c r="BG368" i="26"/>
  <c r="BH368" i="26"/>
  <c r="BI368" i="26"/>
  <c r="BJ368" i="26"/>
  <c r="BK368" i="26"/>
  <c r="BL368" i="26"/>
  <c r="BM368" i="26"/>
  <c r="AU369" i="26"/>
  <c r="AV369" i="26"/>
  <c r="AW369" i="26"/>
  <c r="AX369" i="26"/>
  <c r="AY369" i="26"/>
  <c r="AZ369" i="26"/>
  <c r="BA369" i="26"/>
  <c r="BB369" i="26"/>
  <c r="BC369" i="26"/>
  <c r="BD369" i="26"/>
  <c r="BE369" i="26"/>
  <c r="BF369" i="26"/>
  <c r="BG369" i="26"/>
  <c r="BH369" i="26"/>
  <c r="BI369" i="26"/>
  <c r="BJ369" i="26"/>
  <c r="BK369" i="26"/>
  <c r="BL369" i="26"/>
  <c r="BM369" i="26"/>
  <c r="AU370" i="26"/>
  <c r="AV370" i="26"/>
  <c r="AW370" i="26"/>
  <c r="AX370" i="26"/>
  <c r="AY370" i="26"/>
  <c r="AZ370" i="26"/>
  <c r="BA370" i="26"/>
  <c r="BB370" i="26"/>
  <c r="BC370" i="26"/>
  <c r="BD370" i="26"/>
  <c r="BE370" i="26"/>
  <c r="BF370" i="26"/>
  <c r="BG370" i="26"/>
  <c r="BH370" i="26"/>
  <c r="BI370" i="26"/>
  <c r="BJ370" i="26"/>
  <c r="BK370" i="26"/>
  <c r="BL370" i="26"/>
  <c r="BM370" i="26"/>
  <c r="AU371" i="26"/>
  <c r="AV371" i="26"/>
  <c r="AW371" i="26"/>
  <c r="AX371" i="26"/>
  <c r="AY371" i="26"/>
  <c r="AZ371" i="26"/>
  <c r="BA371" i="26"/>
  <c r="BB371" i="26"/>
  <c r="BC371" i="26"/>
  <c r="BD371" i="26"/>
  <c r="BE371" i="26"/>
  <c r="BF371" i="26"/>
  <c r="BG371" i="26"/>
  <c r="BH371" i="26"/>
  <c r="BI371" i="26"/>
  <c r="BJ371" i="26"/>
  <c r="BK371" i="26"/>
  <c r="BL371" i="26"/>
  <c r="BM371" i="26"/>
  <c r="AU372" i="26"/>
  <c r="AV372" i="26"/>
  <c r="AW372" i="26"/>
  <c r="AX372" i="26"/>
  <c r="AY372" i="26"/>
  <c r="AZ372" i="26"/>
  <c r="BA372" i="26"/>
  <c r="BB372" i="26"/>
  <c r="BC372" i="26"/>
  <c r="BD372" i="26"/>
  <c r="BE372" i="26"/>
  <c r="BF372" i="26"/>
  <c r="BG372" i="26"/>
  <c r="BH372" i="26"/>
  <c r="BI372" i="26"/>
  <c r="BJ372" i="26"/>
  <c r="BK372" i="26"/>
  <c r="BL372" i="26"/>
  <c r="BM372" i="26"/>
  <c r="AU374" i="26"/>
  <c r="AV374" i="26"/>
  <c r="AW374" i="26"/>
  <c r="AX374" i="26"/>
  <c r="AY374" i="26"/>
  <c r="AZ374" i="26"/>
  <c r="BA374" i="26"/>
  <c r="BB374" i="26"/>
  <c r="BC374" i="26"/>
  <c r="BD374" i="26"/>
  <c r="BE374" i="26"/>
  <c r="BF374" i="26"/>
  <c r="BG374" i="26"/>
  <c r="BH374" i="26"/>
  <c r="BI374" i="26"/>
  <c r="BJ374" i="26"/>
  <c r="BK374" i="26"/>
  <c r="BL374" i="26"/>
  <c r="BM374" i="26"/>
  <c r="AU375" i="26"/>
  <c r="AV375" i="26"/>
  <c r="AW375" i="26"/>
  <c r="AX375" i="26"/>
  <c r="AY375" i="26"/>
  <c r="AZ375" i="26"/>
  <c r="BA375" i="26"/>
  <c r="BB375" i="26"/>
  <c r="BC375" i="26"/>
  <c r="BD375" i="26"/>
  <c r="BE375" i="26"/>
  <c r="BF375" i="26"/>
  <c r="BG375" i="26"/>
  <c r="BH375" i="26"/>
  <c r="BI375" i="26"/>
  <c r="BJ375" i="26"/>
  <c r="BK375" i="26"/>
  <c r="BL375" i="26"/>
  <c r="BM375" i="26"/>
  <c r="AU381" i="26"/>
  <c r="AV381" i="26"/>
  <c r="AW381" i="26"/>
  <c r="AX381" i="26"/>
  <c r="AY381" i="26"/>
  <c r="AZ381" i="26"/>
  <c r="BA381" i="26"/>
  <c r="BB381" i="26"/>
  <c r="BC381" i="26"/>
  <c r="BD381" i="26"/>
  <c r="BE381" i="26"/>
  <c r="BF381" i="26"/>
  <c r="BG381" i="26"/>
  <c r="BH381" i="26"/>
  <c r="BI381" i="26"/>
  <c r="BJ381" i="26"/>
  <c r="BK381" i="26"/>
  <c r="BL381" i="26"/>
  <c r="BM381" i="26"/>
  <c r="AU382" i="26"/>
  <c r="AV382" i="26"/>
  <c r="AW382" i="26"/>
  <c r="AX382" i="26"/>
  <c r="AY382" i="26"/>
  <c r="AZ382" i="26"/>
  <c r="BA382" i="26"/>
  <c r="BB382" i="26"/>
  <c r="BC382" i="26"/>
  <c r="BD382" i="26"/>
  <c r="BE382" i="26"/>
  <c r="BF382" i="26"/>
  <c r="BG382" i="26"/>
  <c r="BH382" i="26"/>
  <c r="BI382" i="26"/>
  <c r="BJ382" i="26"/>
  <c r="BK382" i="26"/>
  <c r="BL382" i="26"/>
  <c r="BM382" i="26"/>
  <c r="AU386" i="26"/>
  <c r="AV386" i="26"/>
  <c r="AW386" i="26"/>
  <c r="AX386" i="26"/>
  <c r="AY386" i="26"/>
  <c r="AZ386" i="26"/>
  <c r="BA386" i="26"/>
  <c r="BB386" i="26"/>
  <c r="BC386" i="26"/>
  <c r="BD386" i="26"/>
  <c r="BE386" i="26"/>
  <c r="BF386" i="26"/>
  <c r="BG386" i="26"/>
  <c r="BH386" i="26"/>
  <c r="BI386" i="26"/>
  <c r="BJ386" i="26"/>
  <c r="BK386" i="26"/>
  <c r="BL386" i="26"/>
  <c r="BM386" i="26"/>
  <c r="AU388" i="26"/>
  <c r="AV388" i="26"/>
  <c r="AW388" i="26"/>
  <c r="AX388" i="26"/>
  <c r="AY388" i="26"/>
  <c r="AZ388" i="26"/>
  <c r="BA388" i="26"/>
  <c r="BB388" i="26"/>
  <c r="BC388" i="26"/>
  <c r="BD388" i="26"/>
  <c r="BE388" i="26"/>
  <c r="BF388" i="26"/>
  <c r="BG388" i="26"/>
  <c r="BH388" i="26"/>
  <c r="BI388" i="26"/>
  <c r="BJ388" i="26"/>
  <c r="BK388" i="26"/>
  <c r="BL388" i="26"/>
  <c r="BM388" i="26"/>
  <c r="AU390" i="26"/>
  <c r="AV390" i="26"/>
  <c r="AW390" i="26"/>
  <c r="AX390" i="26"/>
  <c r="AY390" i="26"/>
  <c r="AZ390" i="26"/>
  <c r="BA390" i="26"/>
  <c r="BB390" i="26"/>
  <c r="BC390" i="26"/>
  <c r="BD390" i="26"/>
  <c r="BE390" i="26"/>
  <c r="BF390" i="26"/>
  <c r="BG390" i="26"/>
  <c r="BH390" i="26"/>
  <c r="BI390" i="26"/>
  <c r="BJ390" i="26"/>
  <c r="BK390" i="26"/>
  <c r="BL390" i="26"/>
  <c r="BM390" i="26"/>
  <c r="AU392" i="26"/>
  <c r="AV392" i="26"/>
  <c r="AW392" i="26"/>
  <c r="AX392" i="26"/>
  <c r="AY392" i="26"/>
  <c r="AZ392" i="26"/>
  <c r="BA392" i="26"/>
  <c r="BB392" i="26"/>
  <c r="BC392" i="26"/>
  <c r="BD392" i="26"/>
  <c r="BE392" i="26"/>
  <c r="BF392" i="26"/>
  <c r="BG392" i="26"/>
  <c r="BH392" i="26"/>
  <c r="BI392" i="26"/>
  <c r="BJ392" i="26"/>
  <c r="BK392" i="26"/>
  <c r="BL392" i="26"/>
  <c r="BM392" i="26"/>
  <c r="AU394" i="26"/>
  <c r="AV394" i="26"/>
  <c r="AW394" i="26"/>
  <c r="AX394" i="26"/>
  <c r="AY394" i="26"/>
  <c r="AZ394" i="26"/>
  <c r="BA394" i="26"/>
  <c r="BB394" i="26"/>
  <c r="BC394" i="26"/>
  <c r="BD394" i="26"/>
  <c r="BE394" i="26"/>
  <c r="BF394" i="26"/>
  <c r="BG394" i="26"/>
  <c r="BH394" i="26"/>
  <c r="BI394" i="26"/>
  <c r="BJ394" i="26"/>
  <c r="BK394" i="26"/>
  <c r="BL394" i="26"/>
  <c r="BM394" i="26"/>
  <c r="AU396" i="26"/>
  <c r="AV396" i="26"/>
  <c r="AW396" i="26"/>
  <c r="AX396" i="26"/>
  <c r="AY396" i="26"/>
  <c r="AZ396" i="26"/>
  <c r="BA396" i="26"/>
  <c r="BB396" i="26"/>
  <c r="BC396" i="26"/>
  <c r="BD396" i="26"/>
  <c r="BE396" i="26"/>
  <c r="BF396" i="26"/>
  <c r="BG396" i="26"/>
  <c r="BH396" i="26"/>
  <c r="BI396" i="26"/>
  <c r="BJ396" i="26"/>
  <c r="BK396" i="26"/>
  <c r="BL396" i="26"/>
  <c r="BM396" i="26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U2" i="27"/>
  <c r="AV2" i="27"/>
  <c r="AW2" i="27"/>
  <c r="AX2" i="27"/>
  <c r="AY2" i="27"/>
  <c r="AZ2" i="27"/>
  <c r="BA2" i="27"/>
  <c r="BB2" i="27"/>
  <c r="BC2" i="27"/>
  <c r="BD2" i="27"/>
  <c r="BE2" i="27"/>
  <c r="BF2" i="27"/>
  <c r="BG2" i="27"/>
  <c r="BH2" i="27"/>
  <c r="BI2" i="27"/>
  <c r="BJ2" i="27"/>
  <c r="BK2" i="27"/>
  <c r="BL2" i="27"/>
  <c r="BM2" i="27"/>
  <c r="Z3" i="27"/>
  <c r="AA3" i="27"/>
  <c r="AB3" i="27"/>
  <c r="AC3" i="27"/>
  <c r="AD3" i="27"/>
  <c r="AE3" i="27"/>
  <c r="AF3" i="27"/>
  <c r="AG3" i="27"/>
  <c r="AH3" i="27"/>
  <c r="AI3" i="27"/>
  <c r="AJ3" i="27"/>
  <c r="AK3" i="27"/>
  <c r="AL3" i="27"/>
  <c r="AM3" i="27"/>
  <c r="AN3" i="27"/>
  <c r="AO3" i="27"/>
  <c r="AP3" i="27"/>
  <c r="AQ3" i="27"/>
  <c r="AR3" i="27"/>
  <c r="AU3" i="27"/>
  <c r="AV3" i="27"/>
  <c r="AW3" i="27"/>
  <c r="AX3" i="27"/>
  <c r="AY3" i="27"/>
  <c r="AZ3" i="27"/>
  <c r="BA3" i="27"/>
  <c r="BB3" i="27"/>
  <c r="BC3" i="27"/>
  <c r="BD3" i="27"/>
  <c r="BE3" i="27"/>
  <c r="BF3" i="27"/>
  <c r="BG3" i="27"/>
  <c r="BH3" i="27"/>
  <c r="BI3" i="27"/>
  <c r="BJ3" i="27"/>
  <c r="BK3" i="27"/>
  <c r="BL3" i="27"/>
  <c r="BM3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AO4" i="27"/>
  <c r="AP4" i="27"/>
  <c r="AQ4" i="27"/>
  <c r="AR4" i="27"/>
  <c r="AU4" i="27"/>
  <c r="AV4" i="27"/>
  <c r="AW4" i="27"/>
  <c r="AX4" i="27"/>
  <c r="AY4" i="27"/>
  <c r="AZ4" i="27"/>
  <c r="BA4" i="27"/>
  <c r="BB4" i="27"/>
  <c r="BC4" i="27"/>
  <c r="BD4" i="27"/>
  <c r="BE4" i="27"/>
  <c r="BF4" i="27"/>
  <c r="BG4" i="27"/>
  <c r="BH4" i="27"/>
  <c r="BI4" i="27"/>
  <c r="BJ4" i="27"/>
  <c r="BK4" i="27"/>
  <c r="BL4" i="27"/>
  <c r="BM4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AU5" i="27"/>
  <c r="AV5" i="27"/>
  <c r="AW5" i="27"/>
  <c r="AX5" i="27"/>
  <c r="AY5" i="27"/>
  <c r="AZ5" i="27"/>
  <c r="BA5" i="27"/>
  <c r="BB5" i="27"/>
  <c r="BC5" i="27"/>
  <c r="BD5" i="27"/>
  <c r="BE5" i="27"/>
  <c r="BF5" i="27"/>
  <c r="BG5" i="27"/>
  <c r="BH5" i="27"/>
  <c r="BI5" i="27"/>
  <c r="BJ5" i="27"/>
  <c r="BK5" i="27"/>
  <c r="BL5" i="27"/>
  <c r="BM5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AM6" i="27"/>
  <c r="AN6" i="27"/>
  <c r="AO6" i="27"/>
  <c r="AP6" i="27"/>
  <c r="AQ6" i="27"/>
  <c r="AR6" i="27"/>
  <c r="AU6" i="27"/>
  <c r="AV6" i="27"/>
  <c r="AW6" i="27"/>
  <c r="AX6" i="27"/>
  <c r="AY6" i="27"/>
  <c r="AZ6" i="27"/>
  <c r="BA6" i="27"/>
  <c r="BB6" i="27"/>
  <c r="BC6" i="27"/>
  <c r="BD6" i="27"/>
  <c r="BE6" i="27"/>
  <c r="BF6" i="27"/>
  <c r="BG6" i="27"/>
  <c r="BH6" i="27"/>
  <c r="BI6" i="27"/>
  <c r="BJ6" i="27"/>
  <c r="BK6" i="27"/>
  <c r="BL6" i="27"/>
  <c r="BM6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U7" i="27"/>
  <c r="AV7" i="27"/>
  <c r="AW7" i="27"/>
  <c r="AX7" i="27"/>
  <c r="AY7" i="27"/>
  <c r="AZ7" i="27"/>
  <c r="BA7" i="27"/>
  <c r="BB7" i="27"/>
  <c r="BC7" i="27"/>
  <c r="BD7" i="27"/>
  <c r="BE7" i="27"/>
  <c r="BF7" i="27"/>
  <c r="BG7" i="27"/>
  <c r="BH7" i="27"/>
  <c r="BI7" i="27"/>
  <c r="BJ7" i="27"/>
  <c r="BK7" i="27"/>
  <c r="BL7" i="27"/>
  <c r="BM7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U8" i="27"/>
  <c r="AV8" i="27"/>
  <c r="AW8" i="27"/>
  <c r="AX8" i="27"/>
  <c r="AY8" i="27"/>
  <c r="AZ8" i="27"/>
  <c r="BA8" i="27"/>
  <c r="BB8" i="27"/>
  <c r="BC8" i="27"/>
  <c r="BD8" i="27"/>
  <c r="BE8" i="27"/>
  <c r="BF8" i="27"/>
  <c r="BG8" i="27"/>
  <c r="BH8" i="27"/>
  <c r="BI8" i="27"/>
  <c r="BJ8" i="27"/>
  <c r="BK8" i="27"/>
  <c r="BL8" i="27"/>
  <c r="BM8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U9" i="27"/>
  <c r="AV9" i="27"/>
  <c r="AW9" i="27"/>
  <c r="AX9" i="27"/>
  <c r="AY9" i="27"/>
  <c r="AZ9" i="27"/>
  <c r="BA9" i="27"/>
  <c r="BB9" i="27"/>
  <c r="BC9" i="27"/>
  <c r="BD9" i="27"/>
  <c r="BE9" i="27"/>
  <c r="BF9" i="27"/>
  <c r="BG9" i="27"/>
  <c r="BH9" i="27"/>
  <c r="BI9" i="27"/>
  <c r="BJ9" i="27"/>
  <c r="BK9" i="27"/>
  <c r="BL9" i="27"/>
  <c r="BM9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U10" i="27"/>
  <c r="AV10" i="27"/>
  <c r="AW10" i="27"/>
  <c r="AX10" i="27"/>
  <c r="AY10" i="27"/>
  <c r="AZ10" i="27"/>
  <c r="BA10" i="27"/>
  <c r="BB10" i="27"/>
  <c r="BC10" i="27"/>
  <c r="BD10" i="27"/>
  <c r="BE10" i="27"/>
  <c r="BF10" i="27"/>
  <c r="BG10" i="27"/>
  <c r="BH10" i="27"/>
  <c r="BI10" i="27"/>
  <c r="BJ10" i="27"/>
  <c r="BK10" i="27"/>
  <c r="BL10" i="27"/>
  <c r="BM10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U11" i="27"/>
  <c r="AV11" i="27"/>
  <c r="AW11" i="27"/>
  <c r="AX11" i="27"/>
  <c r="AY11" i="27"/>
  <c r="AZ11" i="27"/>
  <c r="BA11" i="27"/>
  <c r="BB11" i="27"/>
  <c r="BC11" i="27"/>
  <c r="BD11" i="27"/>
  <c r="BE11" i="27"/>
  <c r="BF11" i="27"/>
  <c r="BG11" i="27"/>
  <c r="BH11" i="27"/>
  <c r="BI11" i="27"/>
  <c r="BJ11" i="27"/>
  <c r="BK11" i="27"/>
  <c r="BL11" i="27"/>
  <c r="BM11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U12" i="27"/>
  <c r="AV12" i="27"/>
  <c r="AW12" i="27"/>
  <c r="AX12" i="27"/>
  <c r="AY12" i="27"/>
  <c r="AZ12" i="27"/>
  <c r="BA12" i="27"/>
  <c r="BB12" i="27"/>
  <c r="BC12" i="27"/>
  <c r="BD12" i="27"/>
  <c r="BE12" i="27"/>
  <c r="BF12" i="27"/>
  <c r="BG12" i="27"/>
  <c r="BH12" i="27"/>
  <c r="BI12" i="27"/>
  <c r="BJ12" i="27"/>
  <c r="BK12" i="27"/>
  <c r="BL12" i="27"/>
  <c r="BM12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U13" i="27"/>
  <c r="AV13" i="27"/>
  <c r="AW13" i="27"/>
  <c r="AX13" i="27"/>
  <c r="AY13" i="27"/>
  <c r="AZ13" i="27"/>
  <c r="BA13" i="27"/>
  <c r="BB13" i="27"/>
  <c r="BC13" i="27"/>
  <c r="BD13" i="27"/>
  <c r="BE13" i="27"/>
  <c r="BF13" i="27"/>
  <c r="BG13" i="27"/>
  <c r="BH13" i="27"/>
  <c r="BI13" i="27"/>
  <c r="BJ13" i="27"/>
  <c r="BK13" i="27"/>
  <c r="BL13" i="27"/>
  <c r="BM13" i="27"/>
  <c r="AU248" i="27"/>
  <c r="AV248" i="27"/>
  <c r="AW248" i="27"/>
  <c r="AX248" i="27"/>
  <c r="AY248" i="27"/>
  <c r="AZ248" i="27"/>
  <c r="BA248" i="27"/>
  <c r="BB248" i="27"/>
  <c r="BC248" i="27"/>
  <c r="BD248" i="27"/>
  <c r="BE248" i="27"/>
  <c r="BF248" i="27"/>
  <c r="BG248" i="27"/>
  <c r="BH248" i="27"/>
  <c r="BI248" i="27"/>
  <c r="BJ248" i="27"/>
  <c r="BK248" i="27"/>
  <c r="BL248" i="27"/>
  <c r="BM248" i="27"/>
  <c r="AU362" i="27"/>
  <c r="AV362" i="27"/>
  <c r="AW362" i="27"/>
  <c r="AX362" i="27"/>
  <c r="AY362" i="27"/>
  <c r="AZ362" i="27"/>
  <c r="BA362" i="27"/>
  <c r="BB362" i="27"/>
  <c r="BC362" i="27"/>
  <c r="BD362" i="27"/>
  <c r="BE362" i="27"/>
  <c r="BF362" i="27"/>
  <c r="BG362" i="27"/>
  <c r="BH362" i="27"/>
  <c r="BI362" i="27"/>
  <c r="BJ362" i="27"/>
  <c r="BK362" i="27"/>
  <c r="BL362" i="27"/>
  <c r="BM362" i="27"/>
  <c r="AU374" i="27"/>
  <c r="AV374" i="27"/>
  <c r="AW374" i="27"/>
  <c r="AX374" i="27"/>
  <c r="AY374" i="27"/>
  <c r="AZ374" i="27"/>
  <c r="BA374" i="27"/>
  <c r="BB374" i="27"/>
  <c r="BC374" i="27"/>
  <c r="BD374" i="27"/>
  <c r="BE374" i="27"/>
  <c r="BF374" i="27"/>
  <c r="BG374" i="27"/>
  <c r="BH374" i="27"/>
  <c r="BI374" i="27"/>
  <c r="BJ374" i="27"/>
  <c r="BK374" i="27"/>
  <c r="BL374" i="27"/>
  <c r="BM374" i="27"/>
  <c r="AU375" i="27"/>
  <c r="AV375" i="27"/>
  <c r="AW375" i="27"/>
  <c r="AX375" i="27"/>
  <c r="AY375" i="27"/>
  <c r="AZ375" i="27"/>
  <c r="BA375" i="27"/>
  <c r="BB375" i="27"/>
  <c r="BC375" i="27"/>
  <c r="BD375" i="27"/>
  <c r="BE375" i="27"/>
  <c r="BF375" i="27"/>
  <c r="BG375" i="27"/>
  <c r="BH375" i="27"/>
  <c r="BI375" i="27"/>
  <c r="BJ375" i="27"/>
  <c r="BK375" i="27"/>
  <c r="BL375" i="27"/>
  <c r="BM375" i="27"/>
  <c r="AU381" i="27"/>
  <c r="AV381" i="27"/>
  <c r="AW381" i="27"/>
  <c r="AX381" i="27"/>
  <c r="AY381" i="27"/>
  <c r="AZ381" i="27"/>
  <c r="BA381" i="27"/>
  <c r="BB381" i="27"/>
  <c r="BC381" i="27"/>
  <c r="BD381" i="27"/>
  <c r="BE381" i="27"/>
  <c r="BF381" i="27"/>
  <c r="BG381" i="27"/>
  <c r="BH381" i="27"/>
  <c r="BI381" i="27"/>
  <c r="BJ381" i="27"/>
  <c r="BK381" i="27"/>
  <c r="BL381" i="27"/>
  <c r="BM381" i="27"/>
  <c r="AU382" i="27"/>
  <c r="AV382" i="27"/>
  <c r="AW382" i="27"/>
  <c r="AX382" i="27"/>
  <c r="AY382" i="27"/>
  <c r="AZ382" i="27"/>
  <c r="BA382" i="27"/>
  <c r="BB382" i="27"/>
  <c r="BC382" i="27"/>
  <c r="BD382" i="27"/>
  <c r="BE382" i="27"/>
  <c r="BF382" i="27"/>
  <c r="BG382" i="27"/>
  <c r="BH382" i="27"/>
  <c r="BI382" i="27"/>
  <c r="BJ382" i="27"/>
  <c r="BK382" i="27"/>
  <c r="BL382" i="27"/>
  <c r="BM382" i="27"/>
  <c r="AU386" i="27"/>
  <c r="AV386" i="27"/>
  <c r="AW386" i="27"/>
  <c r="AX386" i="27"/>
  <c r="AY386" i="27"/>
  <c r="AZ386" i="27"/>
  <c r="BA386" i="27"/>
  <c r="BB386" i="27"/>
  <c r="BC386" i="27"/>
  <c r="BD386" i="27"/>
  <c r="BE386" i="27"/>
  <c r="BF386" i="27"/>
  <c r="BG386" i="27"/>
  <c r="BH386" i="27"/>
  <c r="BI386" i="27"/>
  <c r="BJ386" i="27"/>
  <c r="BK386" i="27"/>
  <c r="BL386" i="27"/>
  <c r="BM386" i="27"/>
  <c r="AU388" i="27"/>
  <c r="AV388" i="27"/>
  <c r="AW388" i="27"/>
  <c r="AX388" i="27"/>
  <c r="AY388" i="27"/>
  <c r="AZ388" i="27"/>
  <c r="BA388" i="27"/>
  <c r="BB388" i="27"/>
  <c r="BC388" i="27"/>
  <c r="BD388" i="27"/>
  <c r="BE388" i="27"/>
  <c r="BF388" i="27"/>
  <c r="BG388" i="27"/>
  <c r="BH388" i="27"/>
  <c r="BI388" i="27"/>
  <c r="BJ388" i="27"/>
  <c r="BK388" i="27"/>
  <c r="BL388" i="27"/>
  <c r="BM388" i="27"/>
  <c r="AU390" i="27"/>
  <c r="AV390" i="27"/>
  <c r="AW390" i="27"/>
  <c r="AX390" i="27"/>
  <c r="AY390" i="27"/>
  <c r="AZ390" i="27"/>
  <c r="BA390" i="27"/>
  <c r="BB390" i="27"/>
  <c r="BC390" i="27"/>
  <c r="BD390" i="27"/>
  <c r="BE390" i="27"/>
  <c r="BF390" i="27"/>
  <c r="BG390" i="27"/>
  <c r="BH390" i="27"/>
  <c r="BI390" i="27"/>
  <c r="BJ390" i="27"/>
  <c r="BK390" i="27"/>
  <c r="BL390" i="27"/>
  <c r="BM390" i="27"/>
  <c r="AU392" i="27"/>
  <c r="AV392" i="27"/>
  <c r="AW392" i="27"/>
  <c r="AX392" i="27"/>
  <c r="AY392" i="27"/>
  <c r="AZ392" i="27"/>
  <c r="BA392" i="27"/>
  <c r="BB392" i="27"/>
  <c r="BC392" i="27"/>
  <c r="BD392" i="27"/>
  <c r="BE392" i="27"/>
  <c r="BF392" i="27"/>
  <c r="BG392" i="27"/>
  <c r="BH392" i="27"/>
  <c r="BI392" i="27"/>
  <c r="BJ392" i="27"/>
  <c r="BK392" i="27"/>
  <c r="BL392" i="27"/>
  <c r="BM392" i="27"/>
  <c r="AU394" i="27"/>
  <c r="AV394" i="27"/>
  <c r="AW394" i="27"/>
  <c r="AX394" i="27"/>
  <c r="AY394" i="27"/>
  <c r="AZ394" i="27"/>
  <c r="BA394" i="27"/>
  <c r="BB394" i="27"/>
  <c r="BC394" i="27"/>
  <c r="BD394" i="27"/>
  <c r="BE394" i="27"/>
  <c r="BF394" i="27"/>
  <c r="BG394" i="27"/>
  <c r="BH394" i="27"/>
  <c r="BI394" i="27"/>
  <c r="BJ394" i="27"/>
  <c r="BK394" i="27"/>
  <c r="BL394" i="27"/>
  <c r="BM394" i="27"/>
  <c r="AU396" i="27"/>
  <c r="AV396" i="27"/>
  <c r="AW396" i="27"/>
  <c r="AX396" i="27"/>
  <c r="AY396" i="27"/>
  <c r="AZ396" i="27"/>
  <c r="BA396" i="27"/>
  <c r="BB396" i="27"/>
  <c r="BC396" i="27"/>
  <c r="BD396" i="27"/>
  <c r="BE396" i="27"/>
  <c r="BF396" i="27"/>
  <c r="BG396" i="27"/>
  <c r="BH396" i="27"/>
  <c r="BI396" i="27"/>
  <c r="BJ396" i="27"/>
  <c r="BK396" i="27"/>
  <c r="BL396" i="27"/>
  <c r="BM396" i="27"/>
  <c r="Z2" i="28"/>
  <c r="AA2" i="28"/>
  <c r="AB2" i="28"/>
  <c r="AC2" i="28"/>
  <c r="AD2" i="28"/>
  <c r="AE2" i="28"/>
  <c r="AF2" i="28"/>
  <c r="AG2" i="28"/>
  <c r="AH2" i="28"/>
  <c r="AI2" i="28"/>
  <c r="AJ2" i="28"/>
  <c r="AK2" i="28"/>
  <c r="AL2" i="28"/>
  <c r="AM2" i="28"/>
  <c r="AN2" i="28"/>
  <c r="AO2" i="28"/>
  <c r="AP2" i="28"/>
  <c r="AQ2" i="28"/>
  <c r="AR2" i="28"/>
  <c r="AU2" i="28"/>
  <c r="AV2" i="28"/>
  <c r="AW2" i="28"/>
  <c r="AX2" i="28"/>
  <c r="AY2" i="28"/>
  <c r="AZ2" i="28"/>
  <c r="BA2" i="28"/>
  <c r="BB2" i="28"/>
  <c r="BC2" i="28"/>
  <c r="BD2" i="28"/>
  <c r="BE2" i="28"/>
  <c r="BF2" i="28"/>
  <c r="BG2" i="28"/>
  <c r="BH2" i="28"/>
  <c r="BI2" i="28"/>
  <c r="BJ2" i="28"/>
  <c r="BK2" i="28"/>
  <c r="BL2" i="28"/>
  <c r="BM2" i="28"/>
  <c r="Z3" i="28"/>
  <c r="AA3" i="28"/>
  <c r="AB3" i="28"/>
  <c r="AC3" i="28"/>
  <c r="AD3" i="28"/>
  <c r="AE3" i="28"/>
  <c r="AF3" i="28"/>
  <c r="AG3" i="28"/>
  <c r="AH3" i="28"/>
  <c r="AI3" i="28"/>
  <c r="AJ3" i="28"/>
  <c r="AK3" i="28"/>
  <c r="AL3" i="28"/>
  <c r="AM3" i="28"/>
  <c r="AN3" i="28"/>
  <c r="AO3" i="28"/>
  <c r="AP3" i="28"/>
  <c r="AQ3" i="28"/>
  <c r="AR3" i="28"/>
  <c r="AU3" i="28"/>
  <c r="AV3" i="28"/>
  <c r="AW3" i="28"/>
  <c r="AX3" i="28"/>
  <c r="AY3" i="28"/>
  <c r="AZ3" i="28"/>
  <c r="BA3" i="28"/>
  <c r="BB3" i="28"/>
  <c r="BC3" i="28"/>
  <c r="BD3" i="28"/>
  <c r="BE3" i="28"/>
  <c r="BF3" i="28"/>
  <c r="BG3" i="28"/>
  <c r="BH3" i="28"/>
  <c r="BI3" i="28"/>
  <c r="BJ3" i="28"/>
  <c r="BK3" i="28"/>
  <c r="BL3" i="28"/>
  <c r="BM3" i="28"/>
  <c r="Z4" i="28"/>
  <c r="AA4" i="28"/>
  <c r="AB4" i="28"/>
  <c r="AC4" i="28"/>
  <c r="AD4" i="28"/>
  <c r="AE4" i="28"/>
  <c r="AF4" i="28"/>
  <c r="AG4" i="28"/>
  <c r="AH4" i="28"/>
  <c r="AI4" i="28"/>
  <c r="AJ4" i="28"/>
  <c r="AK4" i="28"/>
  <c r="AL4" i="28"/>
  <c r="AM4" i="28"/>
  <c r="AN4" i="28"/>
  <c r="AO4" i="28"/>
  <c r="AP4" i="28"/>
  <c r="AQ4" i="28"/>
  <c r="AR4" i="28"/>
  <c r="AU4" i="28"/>
  <c r="AV4" i="28"/>
  <c r="AW4" i="28"/>
  <c r="AX4" i="28"/>
  <c r="AY4" i="28"/>
  <c r="AZ4" i="28"/>
  <c r="BA4" i="28"/>
  <c r="BB4" i="28"/>
  <c r="BC4" i="28"/>
  <c r="BD4" i="28"/>
  <c r="BE4" i="28"/>
  <c r="BF4" i="28"/>
  <c r="BG4" i="28"/>
  <c r="BH4" i="28"/>
  <c r="BI4" i="28"/>
  <c r="BJ4" i="28"/>
  <c r="BK4" i="28"/>
  <c r="BL4" i="28"/>
  <c r="BM4" i="28"/>
  <c r="Z5" i="28"/>
  <c r="AA5" i="28"/>
  <c r="AB5" i="28"/>
  <c r="AC5" i="28"/>
  <c r="AD5" i="28"/>
  <c r="AE5" i="28"/>
  <c r="AF5" i="28"/>
  <c r="AG5" i="28"/>
  <c r="AH5" i="28"/>
  <c r="AI5" i="28"/>
  <c r="AJ5" i="28"/>
  <c r="AK5" i="28"/>
  <c r="AL5" i="28"/>
  <c r="AM5" i="28"/>
  <c r="AN5" i="28"/>
  <c r="AO5" i="28"/>
  <c r="AP5" i="28"/>
  <c r="AQ5" i="28"/>
  <c r="AR5" i="28"/>
  <c r="AU5" i="28"/>
  <c r="AV5" i="28"/>
  <c r="AW5" i="28"/>
  <c r="AX5" i="28"/>
  <c r="AY5" i="28"/>
  <c r="AZ5" i="28"/>
  <c r="BA5" i="28"/>
  <c r="BB5" i="28"/>
  <c r="BC5" i="28"/>
  <c r="BD5" i="28"/>
  <c r="BE5" i="28"/>
  <c r="BF5" i="28"/>
  <c r="BG5" i="28"/>
  <c r="BH5" i="28"/>
  <c r="BI5" i="28"/>
  <c r="BJ5" i="28"/>
  <c r="BK5" i="28"/>
  <c r="BL5" i="28"/>
  <c r="BM5" i="28"/>
  <c r="Z6" i="28"/>
  <c r="AA6" i="28"/>
  <c r="AB6" i="28"/>
  <c r="AC6" i="28"/>
  <c r="AD6" i="28"/>
  <c r="AE6" i="28"/>
  <c r="AF6" i="28"/>
  <c r="AG6" i="28"/>
  <c r="AH6" i="28"/>
  <c r="AI6" i="28"/>
  <c r="AJ6" i="28"/>
  <c r="AK6" i="28"/>
  <c r="AL6" i="28"/>
  <c r="AM6" i="28"/>
  <c r="AN6" i="28"/>
  <c r="AO6" i="28"/>
  <c r="AP6" i="28"/>
  <c r="AQ6" i="28"/>
  <c r="AR6" i="28"/>
  <c r="AU6" i="28"/>
  <c r="AV6" i="28"/>
  <c r="AW6" i="28"/>
  <c r="AX6" i="28"/>
  <c r="AY6" i="28"/>
  <c r="AZ6" i="28"/>
  <c r="BA6" i="28"/>
  <c r="BB6" i="28"/>
  <c r="BC6" i="28"/>
  <c r="BD6" i="28"/>
  <c r="BE6" i="28"/>
  <c r="BF6" i="28"/>
  <c r="BG6" i="28"/>
  <c r="BH6" i="28"/>
  <c r="BI6" i="28"/>
  <c r="BJ6" i="28"/>
  <c r="BK6" i="28"/>
  <c r="BL6" i="28"/>
  <c r="BM6" i="28"/>
  <c r="Z7" i="28"/>
  <c r="AA7" i="28"/>
  <c r="AB7" i="28"/>
  <c r="AC7" i="28"/>
  <c r="AD7" i="28"/>
  <c r="AE7" i="28"/>
  <c r="AF7" i="28"/>
  <c r="AG7" i="28"/>
  <c r="AH7" i="28"/>
  <c r="AI7" i="28"/>
  <c r="AJ7" i="28"/>
  <c r="AK7" i="28"/>
  <c r="AL7" i="28"/>
  <c r="AM7" i="28"/>
  <c r="AN7" i="28"/>
  <c r="AO7" i="28"/>
  <c r="AP7" i="28"/>
  <c r="AQ7" i="28"/>
  <c r="AR7" i="28"/>
  <c r="AU7" i="28"/>
  <c r="AV7" i="28"/>
  <c r="AW7" i="28"/>
  <c r="AX7" i="28"/>
  <c r="AY7" i="28"/>
  <c r="AZ7" i="28"/>
  <c r="BA7" i="28"/>
  <c r="BB7" i="28"/>
  <c r="BC7" i="28"/>
  <c r="BD7" i="28"/>
  <c r="BE7" i="28"/>
  <c r="BF7" i="28"/>
  <c r="BG7" i="28"/>
  <c r="BH7" i="28"/>
  <c r="BI7" i="28"/>
  <c r="BJ7" i="28"/>
  <c r="BK7" i="28"/>
  <c r="BL7" i="28"/>
  <c r="BM7" i="28"/>
  <c r="Z8" i="28"/>
  <c r="AA8" i="28"/>
  <c r="AB8" i="28"/>
  <c r="AC8" i="28"/>
  <c r="AD8" i="28"/>
  <c r="AE8" i="28"/>
  <c r="AF8" i="28"/>
  <c r="AG8" i="28"/>
  <c r="AH8" i="28"/>
  <c r="AI8" i="28"/>
  <c r="AJ8" i="28"/>
  <c r="AK8" i="28"/>
  <c r="AL8" i="28"/>
  <c r="AM8" i="28"/>
  <c r="AN8" i="28"/>
  <c r="AO8" i="28"/>
  <c r="AP8" i="28"/>
  <c r="AQ8" i="28"/>
  <c r="AR8" i="28"/>
  <c r="AU8" i="28"/>
  <c r="AV8" i="28"/>
  <c r="AW8" i="28"/>
  <c r="AX8" i="28"/>
  <c r="AY8" i="28"/>
  <c r="AZ8" i="28"/>
  <c r="BA8" i="28"/>
  <c r="BB8" i="28"/>
  <c r="BC8" i="28"/>
  <c r="BD8" i="28"/>
  <c r="BE8" i="28"/>
  <c r="BF8" i="28"/>
  <c r="BG8" i="28"/>
  <c r="BH8" i="28"/>
  <c r="BI8" i="28"/>
  <c r="BJ8" i="28"/>
  <c r="BK8" i="28"/>
  <c r="BL8" i="28"/>
  <c r="BM8" i="28"/>
  <c r="Z9" i="28"/>
  <c r="AA9" i="28"/>
  <c r="AB9" i="28"/>
  <c r="AC9" i="28"/>
  <c r="AD9" i="28"/>
  <c r="AE9" i="28"/>
  <c r="AF9" i="28"/>
  <c r="AG9" i="28"/>
  <c r="AH9" i="28"/>
  <c r="AI9" i="28"/>
  <c r="AJ9" i="28"/>
  <c r="AK9" i="28"/>
  <c r="AL9" i="28"/>
  <c r="AM9" i="28"/>
  <c r="AN9" i="28"/>
  <c r="AO9" i="28"/>
  <c r="AP9" i="28"/>
  <c r="AQ9" i="28"/>
  <c r="AR9" i="28"/>
  <c r="AU9" i="28"/>
  <c r="AV9" i="28"/>
  <c r="AW9" i="28"/>
  <c r="AX9" i="28"/>
  <c r="AY9" i="28"/>
  <c r="AZ9" i="28"/>
  <c r="BA9" i="28"/>
  <c r="BB9" i="28"/>
  <c r="BC9" i="28"/>
  <c r="BD9" i="28"/>
  <c r="BE9" i="28"/>
  <c r="BF9" i="28"/>
  <c r="BG9" i="28"/>
  <c r="BH9" i="28"/>
  <c r="BI9" i="28"/>
  <c r="BJ9" i="28"/>
  <c r="BK9" i="28"/>
  <c r="BL9" i="28"/>
  <c r="BM9" i="28"/>
  <c r="Z10" i="28"/>
  <c r="AA10" i="28"/>
  <c r="AB10" i="28"/>
  <c r="AC10" i="28"/>
  <c r="AD10" i="28"/>
  <c r="AE10" i="28"/>
  <c r="AF10" i="28"/>
  <c r="AG10" i="28"/>
  <c r="AH10" i="28"/>
  <c r="AI10" i="28"/>
  <c r="AJ10" i="28"/>
  <c r="AK10" i="28"/>
  <c r="AL10" i="28"/>
  <c r="AM10" i="28"/>
  <c r="AN10" i="28"/>
  <c r="AO10" i="28"/>
  <c r="AP10" i="28"/>
  <c r="AQ10" i="28"/>
  <c r="AR10" i="28"/>
  <c r="AU10" i="28"/>
  <c r="AV10" i="28"/>
  <c r="AW10" i="28"/>
  <c r="AX10" i="28"/>
  <c r="AY10" i="28"/>
  <c r="AZ10" i="28"/>
  <c r="BA10" i="28"/>
  <c r="BB10" i="28"/>
  <c r="BC10" i="28"/>
  <c r="BD10" i="28"/>
  <c r="BE10" i="28"/>
  <c r="BF10" i="28"/>
  <c r="BG10" i="28"/>
  <c r="BH10" i="28"/>
  <c r="BI10" i="28"/>
  <c r="BJ10" i="28"/>
  <c r="BK10" i="28"/>
  <c r="BL10" i="28"/>
  <c r="BM10" i="28"/>
  <c r="Z11" i="28"/>
  <c r="AA11" i="28"/>
  <c r="AB11" i="28"/>
  <c r="AC11" i="28"/>
  <c r="AD11" i="28"/>
  <c r="AE11" i="28"/>
  <c r="AF11" i="28"/>
  <c r="AG11" i="28"/>
  <c r="AH11" i="28"/>
  <c r="AI11" i="28"/>
  <c r="AJ11" i="28"/>
  <c r="AK11" i="28"/>
  <c r="AL11" i="28"/>
  <c r="AM11" i="28"/>
  <c r="AN11" i="28"/>
  <c r="AO11" i="28"/>
  <c r="AP11" i="28"/>
  <c r="AQ11" i="28"/>
  <c r="AR11" i="28"/>
  <c r="AU11" i="28"/>
  <c r="AV11" i="28"/>
  <c r="AW11" i="28"/>
  <c r="AX11" i="28"/>
  <c r="AY11" i="28"/>
  <c r="AZ11" i="28"/>
  <c r="BA11" i="28"/>
  <c r="BB11" i="28"/>
  <c r="BC11" i="28"/>
  <c r="BD11" i="28"/>
  <c r="BE11" i="28"/>
  <c r="BF11" i="28"/>
  <c r="BG11" i="28"/>
  <c r="BH11" i="28"/>
  <c r="BI11" i="28"/>
  <c r="BJ11" i="28"/>
  <c r="BK11" i="28"/>
  <c r="BL11" i="28"/>
  <c r="BM11" i="28"/>
  <c r="Z12" i="28"/>
  <c r="AA12" i="28"/>
  <c r="AB12" i="28"/>
  <c r="AC12" i="28"/>
  <c r="AD12" i="28"/>
  <c r="AE12" i="28"/>
  <c r="AF12" i="28"/>
  <c r="AG12" i="28"/>
  <c r="AH12" i="28"/>
  <c r="AI12" i="28"/>
  <c r="AJ12" i="28"/>
  <c r="AK12" i="28"/>
  <c r="AL12" i="28"/>
  <c r="AM12" i="28"/>
  <c r="AN12" i="28"/>
  <c r="AO12" i="28"/>
  <c r="AP12" i="28"/>
  <c r="AQ12" i="28"/>
  <c r="AR12" i="28"/>
  <c r="AU12" i="28"/>
  <c r="AV12" i="28"/>
  <c r="AW12" i="28"/>
  <c r="AX12" i="28"/>
  <c r="AY12" i="28"/>
  <c r="AZ12" i="28"/>
  <c r="BA12" i="28"/>
  <c r="BB12" i="28"/>
  <c r="BC12" i="28"/>
  <c r="BD12" i="28"/>
  <c r="BE12" i="28"/>
  <c r="BF12" i="28"/>
  <c r="BG12" i="28"/>
  <c r="BH12" i="28"/>
  <c r="BI12" i="28"/>
  <c r="BJ12" i="28"/>
  <c r="BK12" i="28"/>
  <c r="BL12" i="28"/>
  <c r="BM12" i="28"/>
  <c r="Z13" i="28"/>
  <c r="AA13" i="28"/>
  <c r="AB13" i="28"/>
  <c r="AC13" i="28"/>
  <c r="AD13" i="28"/>
  <c r="AE13" i="28"/>
  <c r="AF13" i="28"/>
  <c r="AG13" i="28"/>
  <c r="AH13" i="28"/>
  <c r="AI13" i="28"/>
  <c r="AJ13" i="28"/>
  <c r="AK13" i="28"/>
  <c r="AL13" i="28"/>
  <c r="AM13" i="28"/>
  <c r="AN13" i="28"/>
  <c r="AO13" i="28"/>
  <c r="AP13" i="28"/>
  <c r="AQ13" i="28"/>
  <c r="AR13" i="28"/>
  <c r="AU13" i="28"/>
  <c r="AV13" i="28"/>
  <c r="AW13" i="28"/>
  <c r="AX13" i="28"/>
  <c r="AY13" i="28"/>
  <c r="AZ13" i="28"/>
  <c r="BA13" i="28"/>
  <c r="BB13" i="28"/>
  <c r="BC13" i="28"/>
  <c r="BD13" i="28"/>
  <c r="BE13" i="28"/>
  <c r="BF13" i="28"/>
  <c r="BG13" i="28"/>
  <c r="BH13" i="28"/>
  <c r="BI13" i="28"/>
  <c r="BJ13" i="28"/>
  <c r="BK13" i="28"/>
  <c r="BL13" i="28"/>
  <c r="BM13" i="28"/>
  <c r="AU277" i="28"/>
  <c r="AV277" i="28"/>
  <c r="AW277" i="28"/>
  <c r="AX277" i="28"/>
  <c r="AY277" i="28"/>
  <c r="AZ277" i="28"/>
  <c r="BA277" i="28"/>
  <c r="BB277" i="28"/>
  <c r="BC277" i="28"/>
  <c r="BD277" i="28"/>
  <c r="BE277" i="28"/>
  <c r="BF277" i="28"/>
  <c r="BG277" i="28"/>
  <c r="BH277" i="28"/>
  <c r="BI277" i="28"/>
  <c r="BJ277" i="28"/>
  <c r="BK277" i="28"/>
  <c r="BL277" i="28"/>
  <c r="BM277" i="28"/>
  <c r="AU367" i="28"/>
  <c r="AV367" i="28"/>
  <c r="AW367" i="28"/>
  <c r="AX367" i="28"/>
  <c r="AY367" i="28"/>
  <c r="AZ367" i="28"/>
  <c r="BA367" i="28"/>
  <c r="BB367" i="28"/>
  <c r="BC367" i="28"/>
  <c r="BD367" i="28"/>
  <c r="BE367" i="28"/>
  <c r="BF367" i="28"/>
  <c r="BG367" i="28"/>
  <c r="BH367" i="28"/>
  <c r="BI367" i="28"/>
  <c r="BJ367" i="28"/>
  <c r="BK367" i="28"/>
  <c r="BL367" i="28"/>
  <c r="BM367" i="28"/>
  <c r="AU368" i="28"/>
  <c r="AV368" i="28"/>
  <c r="AW368" i="28"/>
  <c r="AX368" i="28"/>
  <c r="AY368" i="28"/>
  <c r="AZ368" i="28"/>
  <c r="BA368" i="28"/>
  <c r="BB368" i="28"/>
  <c r="BC368" i="28"/>
  <c r="BD368" i="28"/>
  <c r="BE368" i="28"/>
  <c r="BF368" i="28"/>
  <c r="BG368" i="28"/>
  <c r="BH368" i="28"/>
  <c r="BI368" i="28"/>
  <c r="BJ368" i="28"/>
  <c r="BK368" i="28"/>
  <c r="BL368" i="28"/>
  <c r="BM368" i="28"/>
  <c r="AU369" i="28"/>
  <c r="AV369" i="28"/>
  <c r="AW369" i="28"/>
  <c r="AX369" i="28"/>
  <c r="AY369" i="28"/>
  <c r="AZ369" i="28"/>
  <c r="BA369" i="28"/>
  <c r="BB369" i="28"/>
  <c r="BC369" i="28"/>
  <c r="BD369" i="28"/>
  <c r="BE369" i="28"/>
  <c r="BF369" i="28"/>
  <c r="BG369" i="28"/>
  <c r="BH369" i="28"/>
  <c r="BI369" i="28"/>
  <c r="BJ369" i="28"/>
  <c r="BK369" i="28"/>
  <c r="BL369" i="28"/>
  <c r="BM369" i="28"/>
  <c r="AU370" i="28"/>
  <c r="AV370" i="28"/>
  <c r="AW370" i="28"/>
  <c r="AX370" i="28"/>
  <c r="AY370" i="28"/>
  <c r="AZ370" i="28"/>
  <c r="BA370" i="28"/>
  <c r="BB370" i="28"/>
  <c r="BC370" i="28"/>
  <c r="BD370" i="28"/>
  <c r="BE370" i="28"/>
  <c r="BF370" i="28"/>
  <c r="BG370" i="28"/>
  <c r="BH370" i="28"/>
  <c r="BI370" i="28"/>
  <c r="BJ370" i="28"/>
  <c r="BK370" i="28"/>
  <c r="BL370" i="28"/>
  <c r="BM370" i="28"/>
  <c r="AU371" i="28"/>
  <c r="AV371" i="28"/>
  <c r="AW371" i="28"/>
  <c r="AX371" i="28"/>
  <c r="AY371" i="28"/>
  <c r="AZ371" i="28"/>
  <c r="BA371" i="28"/>
  <c r="BB371" i="28"/>
  <c r="BC371" i="28"/>
  <c r="BD371" i="28"/>
  <c r="BE371" i="28"/>
  <c r="BF371" i="28"/>
  <c r="BG371" i="28"/>
  <c r="BH371" i="28"/>
  <c r="BI371" i="28"/>
  <c r="BJ371" i="28"/>
  <c r="BK371" i="28"/>
  <c r="BL371" i="28"/>
  <c r="BM371" i="28"/>
  <c r="AU372" i="28"/>
  <c r="AV372" i="28"/>
  <c r="AW372" i="28"/>
  <c r="AX372" i="28"/>
  <c r="AY372" i="28"/>
  <c r="AZ372" i="28"/>
  <c r="BA372" i="28"/>
  <c r="BB372" i="28"/>
  <c r="BC372" i="28"/>
  <c r="BD372" i="28"/>
  <c r="BE372" i="28"/>
  <c r="BF372" i="28"/>
  <c r="BG372" i="28"/>
  <c r="BH372" i="28"/>
  <c r="BI372" i="28"/>
  <c r="BJ372" i="28"/>
  <c r="BK372" i="28"/>
  <c r="BL372" i="28"/>
  <c r="BM372" i="28"/>
  <c r="AU374" i="28"/>
  <c r="AV374" i="28"/>
  <c r="AW374" i="28"/>
  <c r="AX374" i="28"/>
  <c r="AY374" i="28"/>
  <c r="AZ374" i="28"/>
  <c r="BA374" i="28"/>
  <c r="BB374" i="28"/>
  <c r="BC374" i="28"/>
  <c r="BD374" i="28"/>
  <c r="BE374" i="28"/>
  <c r="BF374" i="28"/>
  <c r="BG374" i="28"/>
  <c r="BH374" i="28"/>
  <c r="BI374" i="28"/>
  <c r="BJ374" i="28"/>
  <c r="BK374" i="28"/>
  <c r="BL374" i="28"/>
  <c r="BM374" i="28"/>
  <c r="AU375" i="28"/>
  <c r="AV375" i="28"/>
  <c r="AW375" i="28"/>
  <c r="AX375" i="28"/>
  <c r="AY375" i="28"/>
  <c r="AZ375" i="28"/>
  <c r="BA375" i="28"/>
  <c r="BB375" i="28"/>
  <c r="BC375" i="28"/>
  <c r="BD375" i="28"/>
  <c r="BE375" i="28"/>
  <c r="BF375" i="28"/>
  <c r="BG375" i="28"/>
  <c r="BH375" i="28"/>
  <c r="BI375" i="28"/>
  <c r="BJ375" i="28"/>
  <c r="BK375" i="28"/>
  <c r="BL375" i="28"/>
  <c r="BM375" i="28"/>
  <c r="AU381" i="28"/>
  <c r="AV381" i="28"/>
  <c r="AW381" i="28"/>
  <c r="AX381" i="28"/>
  <c r="AY381" i="28"/>
  <c r="AZ381" i="28"/>
  <c r="BA381" i="28"/>
  <c r="BB381" i="28"/>
  <c r="BC381" i="28"/>
  <c r="BD381" i="28"/>
  <c r="BE381" i="28"/>
  <c r="BF381" i="28"/>
  <c r="BG381" i="28"/>
  <c r="BH381" i="28"/>
  <c r="BI381" i="28"/>
  <c r="BJ381" i="28"/>
  <c r="BK381" i="28"/>
  <c r="BL381" i="28"/>
  <c r="BM381" i="28"/>
  <c r="AU382" i="28"/>
  <c r="AV382" i="28"/>
  <c r="AW382" i="28"/>
  <c r="AX382" i="28"/>
  <c r="AY382" i="28"/>
  <c r="AZ382" i="28"/>
  <c r="BA382" i="28"/>
  <c r="BB382" i="28"/>
  <c r="BC382" i="28"/>
  <c r="BD382" i="28"/>
  <c r="BE382" i="28"/>
  <c r="BF382" i="28"/>
  <c r="BG382" i="28"/>
  <c r="BH382" i="28"/>
  <c r="BI382" i="28"/>
  <c r="BJ382" i="28"/>
  <c r="BK382" i="28"/>
  <c r="BL382" i="28"/>
  <c r="BM382" i="28"/>
  <c r="AU386" i="28"/>
  <c r="AV386" i="28"/>
  <c r="AW386" i="28"/>
  <c r="AX386" i="28"/>
  <c r="AY386" i="28"/>
  <c r="AZ386" i="28"/>
  <c r="BA386" i="28"/>
  <c r="BB386" i="28"/>
  <c r="BC386" i="28"/>
  <c r="BD386" i="28"/>
  <c r="BE386" i="28"/>
  <c r="BF386" i="28"/>
  <c r="BG386" i="28"/>
  <c r="BH386" i="28"/>
  <c r="BI386" i="28"/>
  <c r="BJ386" i="28"/>
  <c r="BK386" i="28"/>
  <c r="BL386" i="28"/>
  <c r="BM386" i="28"/>
  <c r="AU388" i="28"/>
  <c r="AV388" i="28"/>
  <c r="AW388" i="28"/>
  <c r="AX388" i="28"/>
  <c r="AY388" i="28"/>
  <c r="AZ388" i="28"/>
  <c r="BA388" i="28"/>
  <c r="BB388" i="28"/>
  <c r="BC388" i="28"/>
  <c r="BD388" i="28"/>
  <c r="BE388" i="28"/>
  <c r="BF388" i="28"/>
  <c r="BG388" i="28"/>
  <c r="BH388" i="28"/>
  <c r="BI388" i="28"/>
  <c r="BJ388" i="28"/>
  <c r="BK388" i="28"/>
  <c r="BL388" i="28"/>
  <c r="BM388" i="28"/>
  <c r="AU390" i="28"/>
  <c r="AV390" i="28"/>
  <c r="AW390" i="28"/>
  <c r="AX390" i="28"/>
  <c r="AY390" i="28"/>
  <c r="AZ390" i="28"/>
  <c r="BA390" i="28"/>
  <c r="BB390" i="28"/>
  <c r="BC390" i="28"/>
  <c r="BD390" i="28"/>
  <c r="BE390" i="28"/>
  <c r="BF390" i="28"/>
  <c r="BG390" i="28"/>
  <c r="BH390" i="28"/>
  <c r="BI390" i="28"/>
  <c r="BJ390" i="28"/>
  <c r="BK390" i="28"/>
  <c r="BL390" i="28"/>
  <c r="BM390" i="28"/>
  <c r="AU392" i="28"/>
  <c r="AV392" i="28"/>
  <c r="AW392" i="28"/>
  <c r="AX392" i="28"/>
  <c r="AY392" i="28"/>
  <c r="AZ392" i="28"/>
  <c r="BA392" i="28"/>
  <c r="BB392" i="28"/>
  <c r="BC392" i="28"/>
  <c r="BD392" i="28"/>
  <c r="BE392" i="28"/>
  <c r="BF392" i="28"/>
  <c r="BG392" i="28"/>
  <c r="BH392" i="28"/>
  <c r="BI392" i="28"/>
  <c r="BJ392" i="28"/>
  <c r="BK392" i="28"/>
  <c r="BL392" i="28"/>
  <c r="BM392" i="28"/>
  <c r="AU394" i="28"/>
  <c r="AV394" i="28"/>
  <c r="AW394" i="28"/>
  <c r="AX394" i="28"/>
  <c r="AY394" i="28"/>
  <c r="AZ394" i="28"/>
  <c r="BA394" i="28"/>
  <c r="BB394" i="28"/>
  <c r="BC394" i="28"/>
  <c r="BD394" i="28"/>
  <c r="BE394" i="28"/>
  <c r="BF394" i="28"/>
  <c r="BG394" i="28"/>
  <c r="BH394" i="28"/>
  <c r="BI394" i="28"/>
  <c r="BJ394" i="28"/>
  <c r="BK394" i="28"/>
  <c r="BL394" i="28"/>
  <c r="BM394" i="28"/>
  <c r="AU396" i="28"/>
  <c r="AV396" i="28"/>
  <c r="AW396" i="28"/>
  <c r="AX396" i="28"/>
  <c r="AY396" i="28"/>
  <c r="AZ396" i="28"/>
  <c r="BA396" i="28"/>
  <c r="BB396" i="28"/>
  <c r="BC396" i="28"/>
  <c r="BD396" i="28"/>
  <c r="BE396" i="28"/>
  <c r="BF396" i="28"/>
  <c r="BG396" i="28"/>
  <c r="BH396" i="28"/>
  <c r="BI396" i="28"/>
  <c r="BJ396" i="28"/>
  <c r="BK396" i="28"/>
  <c r="BL396" i="28"/>
  <c r="BM396" i="28"/>
  <c r="D407" i="16"/>
  <c r="E407" i="16"/>
  <c r="F407" i="16"/>
  <c r="G407" i="16"/>
  <c r="H407" i="16"/>
  <c r="I407" i="16"/>
  <c r="J407" i="16"/>
  <c r="K407" i="16"/>
  <c r="L407" i="16"/>
  <c r="M407" i="16"/>
  <c r="N407" i="16"/>
  <c r="O407" i="16"/>
  <c r="P407" i="16"/>
  <c r="Q407" i="16"/>
  <c r="R407" i="16"/>
  <c r="S407" i="16"/>
  <c r="T407" i="16"/>
  <c r="U407" i="16"/>
  <c r="V407" i="16"/>
  <c r="D409" i="16"/>
  <c r="E409" i="16"/>
  <c r="F409" i="16"/>
  <c r="G409" i="16"/>
  <c r="H409" i="16"/>
  <c r="I409" i="16"/>
  <c r="J409" i="16"/>
  <c r="K409" i="16"/>
  <c r="L409" i="16"/>
  <c r="M409" i="16"/>
  <c r="N409" i="16"/>
  <c r="O409" i="16"/>
  <c r="P409" i="16"/>
  <c r="Q409" i="16"/>
  <c r="R409" i="16"/>
  <c r="S409" i="16"/>
  <c r="T409" i="16"/>
  <c r="U409" i="16"/>
  <c r="V409" i="16"/>
  <c r="D412" i="16"/>
  <c r="E412" i="16"/>
  <c r="F412" i="16"/>
  <c r="G412" i="16"/>
  <c r="H412" i="16"/>
  <c r="I412" i="16"/>
  <c r="J412" i="16"/>
  <c r="K412" i="16"/>
  <c r="L412" i="16"/>
  <c r="M412" i="16"/>
  <c r="N412" i="16"/>
  <c r="O412" i="16"/>
  <c r="P412" i="16"/>
  <c r="Q412" i="16"/>
  <c r="R412" i="16"/>
  <c r="S412" i="16"/>
  <c r="T412" i="16"/>
  <c r="U412" i="16"/>
  <c r="V412" i="16"/>
  <c r="D413" i="16"/>
  <c r="E413" i="16"/>
  <c r="F413" i="16"/>
  <c r="G413" i="16"/>
  <c r="H413" i="16"/>
  <c r="I413" i="16"/>
  <c r="J413" i="16"/>
  <c r="K413" i="16"/>
  <c r="L413" i="16"/>
  <c r="M413" i="16"/>
  <c r="N413" i="16"/>
  <c r="O413" i="16"/>
  <c r="P413" i="16"/>
  <c r="Q413" i="16"/>
  <c r="R413" i="16"/>
  <c r="S413" i="16"/>
  <c r="T413" i="16"/>
  <c r="U413" i="16"/>
  <c r="V413" i="16"/>
  <c r="D414" i="16"/>
  <c r="E414" i="16"/>
  <c r="F414" i="16"/>
  <c r="G414" i="16"/>
  <c r="H414" i="16"/>
  <c r="I414" i="16"/>
  <c r="J414" i="16"/>
  <c r="K414" i="16"/>
  <c r="L414" i="16"/>
  <c r="M414" i="16"/>
  <c r="N414" i="16"/>
  <c r="O414" i="16"/>
  <c r="P414" i="16"/>
  <c r="Q414" i="16"/>
  <c r="R414" i="16"/>
  <c r="S414" i="16"/>
  <c r="T414" i="16"/>
  <c r="U414" i="16"/>
  <c r="V414" i="16"/>
  <c r="D418" i="16"/>
  <c r="E418" i="16"/>
  <c r="F418" i="16"/>
  <c r="G418" i="16"/>
  <c r="H418" i="16"/>
  <c r="I418" i="16"/>
  <c r="J418" i="16"/>
  <c r="K418" i="16"/>
  <c r="L418" i="16"/>
  <c r="M418" i="16"/>
  <c r="N418" i="16"/>
  <c r="O418" i="16"/>
  <c r="P418" i="16"/>
  <c r="Q418" i="16"/>
  <c r="R418" i="16"/>
  <c r="S418" i="16"/>
  <c r="T418" i="16"/>
  <c r="U418" i="16"/>
  <c r="V418" i="16"/>
  <c r="D419" i="16"/>
  <c r="E419" i="16"/>
  <c r="F419" i="16"/>
  <c r="G419" i="16"/>
  <c r="H419" i="16"/>
  <c r="I419" i="16"/>
  <c r="J419" i="16"/>
  <c r="K419" i="16"/>
  <c r="L419" i="16"/>
  <c r="M419" i="16"/>
  <c r="N419" i="16"/>
  <c r="O419" i="16"/>
  <c r="P419" i="16"/>
  <c r="Q419" i="16"/>
  <c r="R419" i="16"/>
  <c r="S419" i="16"/>
  <c r="T419" i="16"/>
  <c r="U419" i="16"/>
  <c r="V419" i="16"/>
  <c r="D420" i="16"/>
  <c r="E420" i="16"/>
  <c r="F420" i="16"/>
  <c r="G420" i="16"/>
  <c r="H420" i="16"/>
  <c r="I420" i="16"/>
  <c r="J420" i="16"/>
  <c r="K420" i="16"/>
  <c r="L420" i="16"/>
  <c r="M420" i="16"/>
  <c r="N420" i="16"/>
  <c r="O420" i="16"/>
  <c r="P420" i="16"/>
  <c r="Q420" i="16"/>
  <c r="R420" i="16"/>
  <c r="S420" i="16"/>
  <c r="T420" i="16"/>
  <c r="U420" i="16"/>
  <c r="V420" i="16"/>
  <c r="D421" i="16"/>
  <c r="E421" i="16"/>
  <c r="F421" i="16"/>
  <c r="G421" i="16"/>
  <c r="H421" i="16"/>
  <c r="I421" i="16"/>
  <c r="J421" i="16"/>
  <c r="K421" i="16"/>
  <c r="L421" i="16"/>
  <c r="M421" i="16"/>
  <c r="N421" i="16"/>
  <c r="O421" i="16"/>
  <c r="P421" i="16"/>
  <c r="Q421" i="16"/>
  <c r="R421" i="16"/>
  <c r="S421" i="16"/>
  <c r="T421" i="16"/>
  <c r="U421" i="16"/>
  <c r="V421" i="16"/>
  <c r="D422" i="16"/>
  <c r="E422" i="16"/>
  <c r="F422" i="16"/>
  <c r="G422" i="16"/>
  <c r="H422" i="16"/>
  <c r="I422" i="16"/>
  <c r="J422" i="16"/>
  <c r="K422" i="16"/>
  <c r="L422" i="16"/>
  <c r="M422" i="16"/>
  <c r="N422" i="16"/>
  <c r="O422" i="16"/>
  <c r="P422" i="16"/>
  <c r="Q422" i="16"/>
  <c r="R422" i="16"/>
  <c r="S422" i="16"/>
  <c r="T422" i="16"/>
  <c r="U422" i="16"/>
  <c r="V422" i="16"/>
  <c r="D424" i="16"/>
  <c r="E424" i="16"/>
  <c r="F424" i="16"/>
  <c r="G424" i="16"/>
  <c r="H424" i="16"/>
  <c r="I424" i="16"/>
  <c r="J424" i="16"/>
  <c r="K424" i="16"/>
  <c r="L424" i="16"/>
  <c r="M424" i="16"/>
  <c r="N424" i="16"/>
  <c r="O424" i="16"/>
  <c r="P424" i="16"/>
  <c r="Q424" i="16"/>
  <c r="R424" i="16"/>
  <c r="S424" i="16"/>
  <c r="T424" i="16"/>
  <c r="U424" i="16"/>
  <c r="V424" i="16"/>
  <c r="D425" i="16"/>
  <c r="E425" i="16"/>
  <c r="F425" i="16"/>
  <c r="G425" i="16"/>
  <c r="H425" i="16"/>
  <c r="I425" i="16"/>
  <c r="J425" i="16"/>
  <c r="K425" i="16"/>
  <c r="L425" i="16"/>
  <c r="M425" i="16"/>
  <c r="N425" i="16"/>
  <c r="O425" i="16"/>
  <c r="P425" i="16"/>
  <c r="Q425" i="16"/>
  <c r="R425" i="16"/>
  <c r="S425" i="16"/>
  <c r="T425" i="16"/>
  <c r="U425" i="16"/>
  <c r="V425" i="16"/>
  <c r="D428" i="16"/>
  <c r="E428" i="16"/>
  <c r="F428" i="16"/>
  <c r="G428" i="16"/>
  <c r="H428" i="16"/>
  <c r="I428" i="16"/>
  <c r="J428" i="16"/>
  <c r="K428" i="16"/>
  <c r="L428" i="16"/>
  <c r="M428" i="16"/>
  <c r="N428" i="16"/>
  <c r="O428" i="16"/>
  <c r="P428" i="16"/>
  <c r="Q428" i="16"/>
  <c r="R428" i="16"/>
  <c r="S428" i="16"/>
  <c r="T428" i="16"/>
  <c r="U428" i="16"/>
  <c r="V428" i="16"/>
  <c r="D429" i="16"/>
  <c r="E429" i="16"/>
  <c r="F429" i="16"/>
  <c r="G429" i="16"/>
  <c r="H429" i="16"/>
  <c r="I429" i="16"/>
  <c r="J429" i="16"/>
  <c r="K429" i="16"/>
  <c r="L429" i="16"/>
  <c r="M429" i="16"/>
  <c r="N429" i="16"/>
  <c r="O429" i="16"/>
  <c r="P429" i="16"/>
  <c r="Q429" i="16"/>
  <c r="R429" i="16"/>
  <c r="S429" i="16"/>
  <c r="T429" i="16"/>
  <c r="U429" i="16"/>
  <c r="V429" i="16"/>
  <c r="D430" i="16"/>
  <c r="E430" i="16"/>
  <c r="F430" i="16"/>
  <c r="G430" i="16"/>
  <c r="H430" i="16"/>
  <c r="I430" i="16"/>
  <c r="J430" i="16"/>
  <c r="K430" i="16"/>
  <c r="L430" i="16"/>
  <c r="M430" i="16"/>
  <c r="N430" i="16"/>
  <c r="O430" i="16"/>
  <c r="P430" i="16"/>
  <c r="Q430" i="16"/>
  <c r="R430" i="16"/>
  <c r="S430" i="16"/>
  <c r="T430" i="16"/>
  <c r="U430" i="16"/>
  <c r="V430" i="16"/>
  <c r="D431" i="16"/>
  <c r="E431" i="16"/>
  <c r="F431" i="16"/>
  <c r="G431" i="16"/>
  <c r="H431" i="16"/>
  <c r="I431" i="16"/>
  <c r="J431" i="16"/>
  <c r="K431" i="16"/>
  <c r="L431" i="16"/>
  <c r="M431" i="16"/>
  <c r="N431" i="16"/>
  <c r="O431" i="16"/>
  <c r="P431" i="16"/>
  <c r="Q431" i="16"/>
  <c r="R431" i="16"/>
  <c r="S431" i="16"/>
  <c r="T431" i="16"/>
  <c r="U431" i="16"/>
  <c r="V431" i="16"/>
  <c r="D432" i="16"/>
  <c r="E432" i="16"/>
  <c r="F432" i="16"/>
  <c r="G432" i="16"/>
  <c r="H432" i="16"/>
  <c r="I432" i="16"/>
  <c r="J432" i="16"/>
  <c r="K432" i="16"/>
  <c r="L432" i="16"/>
  <c r="M432" i="16"/>
  <c r="N432" i="16"/>
  <c r="O432" i="16"/>
  <c r="P432" i="16"/>
  <c r="Q432" i="16"/>
  <c r="R432" i="16"/>
  <c r="S432" i="16"/>
  <c r="T432" i="16"/>
  <c r="U432" i="16"/>
  <c r="V432" i="16"/>
  <c r="D436" i="16"/>
  <c r="E436" i="16"/>
  <c r="F436" i="16"/>
  <c r="G436" i="16"/>
  <c r="H436" i="16"/>
  <c r="I436" i="16"/>
  <c r="J436" i="16"/>
  <c r="K436" i="16"/>
  <c r="L436" i="16"/>
  <c r="M436" i="16"/>
  <c r="N436" i="16"/>
  <c r="O436" i="16"/>
  <c r="P436" i="16"/>
  <c r="Q436" i="16"/>
  <c r="R436" i="16"/>
  <c r="S436" i="16"/>
  <c r="T436" i="16"/>
  <c r="U436" i="16"/>
  <c r="V436" i="16"/>
  <c r="D438" i="16"/>
  <c r="E438" i="16"/>
  <c r="F438" i="16"/>
  <c r="G438" i="16"/>
  <c r="H438" i="16"/>
  <c r="I438" i="16"/>
  <c r="J438" i="16"/>
  <c r="K438" i="16"/>
  <c r="L438" i="16"/>
  <c r="M438" i="16"/>
  <c r="N438" i="16"/>
  <c r="O438" i="16"/>
  <c r="P438" i="16"/>
  <c r="Q438" i="16"/>
  <c r="R438" i="16"/>
  <c r="S438" i="16"/>
  <c r="T438" i="16"/>
  <c r="U438" i="16"/>
  <c r="V438" i="16"/>
  <c r="D441" i="16"/>
  <c r="E441" i="16"/>
  <c r="F441" i="16"/>
  <c r="G441" i="16"/>
  <c r="H441" i="16"/>
  <c r="I441" i="16"/>
  <c r="J441" i="16"/>
  <c r="K441" i="16"/>
  <c r="L441" i="16"/>
  <c r="M441" i="16"/>
  <c r="N441" i="16"/>
  <c r="O441" i="16"/>
  <c r="P441" i="16"/>
  <c r="Q441" i="16"/>
  <c r="R441" i="16"/>
  <c r="S441" i="16"/>
  <c r="T441" i="16"/>
  <c r="U441" i="16"/>
  <c r="V441" i="16"/>
  <c r="D442" i="16"/>
  <c r="E442" i="16"/>
  <c r="F442" i="16"/>
  <c r="G442" i="16"/>
  <c r="H442" i="16"/>
  <c r="I442" i="16"/>
  <c r="J442" i="16"/>
  <c r="K442" i="16"/>
  <c r="L442" i="16"/>
  <c r="M442" i="16"/>
  <c r="N442" i="16"/>
  <c r="O442" i="16"/>
  <c r="P442" i="16"/>
  <c r="Q442" i="16"/>
  <c r="R442" i="16"/>
  <c r="S442" i="16"/>
  <c r="T442" i="16"/>
  <c r="U442" i="16"/>
  <c r="V442" i="16"/>
  <c r="D443" i="16"/>
  <c r="E443" i="16"/>
  <c r="F443" i="16"/>
  <c r="G443" i="16"/>
  <c r="H443" i="16"/>
  <c r="I443" i="16"/>
  <c r="J443" i="16"/>
  <c r="K443" i="16"/>
  <c r="L443" i="16"/>
  <c r="M443" i="16"/>
  <c r="N443" i="16"/>
  <c r="O443" i="16"/>
  <c r="P443" i="16"/>
  <c r="Q443" i="16"/>
  <c r="R443" i="16"/>
  <c r="S443" i="16"/>
  <c r="T443" i="16"/>
  <c r="U443" i="16"/>
  <c r="V443" i="16"/>
  <c r="D446" i="16"/>
  <c r="E446" i="16"/>
  <c r="F446" i="16"/>
  <c r="G446" i="16"/>
  <c r="H446" i="16"/>
  <c r="I446" i="16"/>
  <c r="J446" i="16"/>
  <c r="K446" i="16"/>
  <c r="L446" i="16"/>
  <c r="M446" i="16"/>
  <c r="N446" i="16"/>
  <c r="O446" i="16"/>
  <c r="P446" i="16"/>
  <c r="Q446" i="16"/>
  <c r="R446" i="16"/>
  <c r="S446" i="16"/>
  <c r="T446" i="16"/>
  <c r="U446" i="16"/>
  <c r="V446" i="16"/>
  <c r="D447" i="16"/>
  <c r="E447" i="16"/>
  <c r="F447" i="16"/>
  <c r="G447" i="16"/>
  <c r="H447" i="16"/>
  <c r="I447" i="16"/>
  <c r="J447" i="16"/>
  <c r="K447" i="16"/>
  <c r="L447" i="16"/>
  <c r="M447" i="16"/>
  <c r="N447" i="16"/>
  <c r="O447" i="16"/>
  <c r="P447" i="16"/>
  <c r="Q447" i="16"/>
  <c r="R447" i="16"/>
  <c r="S447" i="16"/>
  <c r="T447" i="16"/>
  <c r="U447" i="16"/>
  <c r="V447" i="16"/>
  <c r="D448" i="16"/>
  <c r="E448" i="16"/>
  <c r="F448" i="16"/>
  <c r="G448" i="16"/>
  <c r="H448" i="16"/>
  <c r="I448" i="16"/>
  <c r="J448" i="16"/>
  <c r="K448" i="16"/>
  <c r="L448" i="16"/>
  <c r="M448" i="16"/>
  <c r="N448" i="16"/>
  <c r="O448" i="16"/>
  <c r="P448" i="16"/>
  <c r="Q448" i="16"/>
  <c r="R448" i="16"/>
  <c r="S448" i="16"/>
  <c r="T448" i="16"/>
  <c r="U448" i="16"/>
  <c r="V448" i="16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F56" i="22"/>
  <c r="S56" i="22"/>
  <c r="U56" i="22"/>
  <c r="F57" i="22"/>
  <c r="S57" i="22"/>
  <c r="U57" i="22"/>
  <c r="F58" i="22"/>
  <c r="I58" i="22"/>
  <c r="S58" i="22"/>
  <c r="U58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F70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F71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F72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F73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F74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AB74" i="22"/>
  <c r="AC74" i="22"/>
  <c r="AD74" i="22"/>
  <c r="AE74" i="22"/>
  <c r="F75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F76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F77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F78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F79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Y80" i="22"/>
  <c r="Z80" i="22"/>
  <c r="AA80" i="22"/>
  <c r="AB80" i="22"/>
  <c r="AC80" i="22"/>
  <c r="AD80" i="22"/>
  <c r="AE80" i="22"/>
  <c r="F81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Y81" i="22"/>
  <c r="Z81" i="22"/>
  <c r="AA81" i="22"/>
  <c r="AB81" i="22"/>
  <c r="AC81" i="22"/>
  <c r="AD81" i="22"/>
  <c r="AE81" i="22"/>
  <c r="R84" i="22"/>
  <c r="S84" i="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<sst xmlns="http://schemas.openxmlformats.org/spreadsheetml/2006/main" count="22325" uniqueCount="1074">
  <si>
    <t>GWP</t>
  </si>
  <si>
    <t>Transportation</t>
  </si>
  <si>
    <t>-</t>
  </si>
  <si>
    <t>Unit</t>
  </si>
  <si>
    <t>Data source:</t>
  </si>
  <si>
    <t xml:space="preserve">Hotel </t>
  </si>
  <si>
    <t>Source</t>
  </si>
  <si>
    <t>Average water consumption</t>
  </si>
  <si>
    <t>Average thermal consumption</t>
  </si>
  <si>
    <t>Average waste generation</t>
  </si>
  <si>
    <t>Alabama</t>
  </si>
  <si>
    <t>Alaska</t>
  </si>
  <si>
    <t>California</t>
  </si>
  <si>
    <t>Connecticut</t>
  </si>
  <si>
    <t>Delaware</t>
  </si>
  <si>
    <t>Idaho</t>
  </si>
  <si>
    <t>Maine</t>
  </si>
  <si>
    <t>Massachusetts</t>
  </si>
  <si>
    <t>Michigan</t>
  </si>
  <si>
    <t>Mississippi</t>
  </si>
  <si>
    <t>Missouri</t>
  </si>
  <si>
    <t>Montana</t>
  </si>
  <si>
    <t>Nebraska</t>
  </si>
  <si>
    <t>Nevada</t>
  </si>
  <si>
    <t>Pennsylvania</t>
  </si>
  <si>
    <t>Tennessee</t>
  </si>
  <si>
    <t>TOTAL</t>
  </si>
  <si>
    <t>Arizona</t>
  </si>
  <si>
    <t>Arkansas</t>
  </si>
  <si>
    <t>Colorado</t>
  </si>
  <si>
    <t>Florida</t>
  </si>
  <si>
    <t>Georgia</t>
  </si>
  <si>
    <t>Hawaii</t>
  </si>
  <si>
    <t>Illinois</t>
  </si>
  <si>
    <t>Indiana</t>
  </si>
  <si>
    <t>Iowa</t>
  </si>
  <si>
    <t>Kansas</t>
  </si>
  <si>
    <t>Kentucky</t>
  </si>
  <si>
    <t>Louisiana</t>
  </si>
  <si>
    <t>Maryland</t>
  </si>
  <si>
    <t>Minnesota</t>
  </si>
  <si>
    <t>Ohio</t>
  </si>
  <si>
    <t>Oklahoma</t>
  </si>
  <si>
    <t>Oregon</t>
  </si>
  <si>
    <t>Texas</t>
  </si>
  <si>
    <t>Utah</t>
  </si>
  <si>
    <t>Vermont</t>
  </si>
  <si>
    <t>Virginia</t>
  </si>
  <si>
    <t>Washington</t>
  </si>
  <si>
    <t>Wisconsin</t>
  </si>
  <si>
    <t>Wyoming</t>
  </si>
  <si>
    <t>PuertoRico</t>
  </si>
  <si>
    <t>District of Columbia</t>
  </si>
  <si>
    <t>New Hampshire</t>
  </si>
  <si>
    <t>New Jersey</t>
  </si>
  <si>
    <t>New Mexico</t>
  </si>
  <si>
    <t>New York</t>
  </si>
  <si>
    <t>North Carolina</t>
  </si>
  <si>
    <t>North Dakota</t>
  </si>
  <si>
    <t>Rhode Island</t>
  </si>
  <si>
    <t>South Carolina</t>
  </si>
  <si>
    <t>South Dakota</t>
  </si>
  <si>
    <t>West Virginia</t>
  </si>
  <si>
    <t>U.S. Virgin Islands</t>
  </si>
  <si>
    <t>State</t>
  </si>
  <si>
    <t>Total domestic water use (gal per capita per day)</t>
  </si>
  <si>
    <t>Indoor water use (gal per capita per day)</t>
  </si>
  <si>
    <t>Indoor water use (L per capita per day)</t>
  </si>
  <si>
    <t>Indoor water use (kg per capita per day)</t>
  </si>
  <si>
    <t>Average water use per capita per day by state, 2015 USGS Data</t>
  </si>
  <si>
    <t>kg per capita per day</t>
  </si>
  <si>
    <t>Paper and paperboard</t>
  </si>
  <si>
    <t>Glass</t>
  </si>
  <si>
    <t>Steel</t>
  </si>
  <si>
    <t>Aluminum</t>
  </si>
  <si>
    <t>Plastics</t>
  </si>
  <si>
    <t>Rubber and leather</t>
  </si>
  <si>
    <t>Textiles</t>
  </si>
  <si>
    <t>Wood</t>
  </si>
  <si>
    <t>Other materials</t>
  </si>
  <si>
    <t>Food, other MSW organics</t>
  </si>
  <si>
    <t>Yard trimmings</t>
  </si>
  <si>
    <t>Miscellaneous inorganic wastes</t>
  </si>
  <si>
    <t>Total</t>
  </si>
  <si>
    <t>Material</t>
  </si>
  <si>
    <t>Paper</t>
  </si>
  <si>
    <t>2018 MSW generation (million tons)</t>
  </si>
  <si>
    <t>Total MSW by material and treatment methods</t>
  </si>
  <si>
    <t>Weight Recycled (million tons)</t>
  </si>
  <si>
    <t>Weight Composted (million tons)</t>
  </si>
  <si>
    <t>Weight Other Food Management Pathways (million tons)</t>
  </si>
  <si>
    <t>Weight Combusted with Energy Recovery (million tons)</t>
  </si>
  <si>
    <t>Weight Landfilled (million tons)</t>
  </si>
  <si>
    <t>kWh per capita per day</t>
  </si>
  <si>
    <t>Share of energy end-use in hotel</t>
  </si>
  <si>
    <t>End uses of energy in hotel</t>
  </si>
  <si>
    <t>Value (kWh per capita per day)</t>
  </si>
  <si>
    <t>Operational - electricity</t>
  </si>
  <si>
    <t>water heating - natural gas</t>
  </si>
  <si>
    <t>Non-operational - electricity</t>
  </si>
  <si>
    <t>Laundry services</t>
  </si>
  <si>
    <t xml:space="preserve">Catering services - electricity </t>
  </si>
  <si>
    <t>MJ per capita per day</t>
  </si>
  <si>
    <t>L per capita per day</t>
  </si>
  <si>
    <t>Value</t>
  </si>
  <si>
    <t>kWh</t>
  </si>
  <si>
    <t>kg</t>
  </si>
  <si>
    <t>Guest home</t>
  </si>
  <si>
    <t>h</t>
  </si>
  <si>
    <t>Website maintenance</t>
  </si>
  <si>
    <t>Office work - secretariat</t>
  </si>
  <si>
    <t>Process</t>
  </si>
  <si>
    <t>Poster printing</t>
  </si>
  <si>
    <t>Slide preparation</t>
  </si>
  <si>
    <t>Computer usage</t>
  </si>
  <si>
    <t>Printed matter</t>
  </si>
  <si>
    <t>Printed matter, abstract reviewing process</t>
  </si>
  <si>
    <t>Graphic paper, 100% recycled</t>
  </si>
  <si>
    <t>Operation of printer, laser, black and white, per kg printed matter</t>
  </si>
  <si>
    <t>Printed matter, meeting</t>
  </si>
  <si>
    <t>Paper waste disposal</t>
  </si>
  <si>
    <t>Waste paper</t>
  </si>
  <si>
    <t>Preparation - Local conference committee</t>
  </si>
  <si>
    <t>Preparation - Permanent conference committee</t>
  </si>
  <si>
    <t>Preparation - Participants</t>
  </si>
  <si>
    <t>Abstract writing</t>
  </si>
  <si>
    <t>Item</t>
  </si>
  <si>
    <t>Assumptions</t>
  </si>
  <si>
    <t xml:space="preserve">	operation, computer, laptop, active mode</t>
  </si>
  <si>
    <t>operation, computer, laptop, standby/sleep mode</t>
  </si>
  <si>
    <t>operation, printer, laser, colour, per kg printed paper</t>
  </si>
  <si>
    <t>assume 30% acceptance rate, 1 hr per submission</t>
  </si>
  <si>
    <t>Preparation - Others</t>
  </si>
  <si>
    <t>Conference program</t>
  </si>
  <si>
    <t>Paper, wood containing, supercalendered</t>
  </si>
  <si>
    <t>Proceedings booklet</t>
  </si>
  <si>
    <t>Jute bag</t>
  </si>
  <si>
    <t>Jute textile production</t>
  </si>
  <si>
    <t>Transport, cargo aircraft, intercontinental</t>
  </si>
  <si>
    <t>Transport, freight, truck</t>
  </si>
  <si>
    <t>tkm</t>
  </si>
  <si>
    <t>Execution - Conference meeting rooms</t>
  </si>
  <si>
    <t>Electricity</t>
  </si>
  <si>
    <t>Electricity consumpton - mean</t>
  </si>
  <si>
    <t>Electricity consumpton - min</t>
  </si>
  <si>
    <t>Electricity consumpton - max</t>
  </si>
  <si>
    <t>United States</t>
  </si>
  <si>
    <t>United Kingdom</t>
  </si>
  <si>
    <t>Switzerland</t>
  </si>
  <si>
    <t>Japan</t>
  </si>
  <si>
    <t>Canada</t>
  </si>
  <si>
    <t>Germany</t>
  </si>
  <si>
    <t>Netherlands</t>
  </si>
  <si>
    <t>India</t>
  </si>
  <si>
    <t>Spain</t>
  </si>
  <si>
    <t>Catering</t>
  </si>
  <si>
    <t>CED</t>
  </si>
  <si>
    <t>fossil</t>
  </si>
  <si>
    <t>geothermal</t>
  </si>
  <si>
    <t>nuclear</t>
  </si>
  <si>
    <t>primary forest</t>
  </si>
  <si>
    <t>solar</t>
  </si>
  <si>
    <t>water</t>
  </si>
  <si>
    <t>wind</t>
  </si>
  <si>
    <t>ALOP</t>
  </si>
  <si>
    <t>GWP100</t>
  </si>
  <si>
    <t>FDP</t>
  </si>
  <si>
    <t>FETPinf</t>
  </si>
  <si>
    <t>FEP</t>
  </si>
  <si>
    <t>HTPinf</t>
  </si>
  <si>
    <t>IRP_HE</t>
  </si>
  <si>
    <t>METPinf</t>
  </si>
  <si>
    <t>MEP</t>
  </si>
  <si>
    <t>MDP</t>
  </si>
  <si>
    <t>NLTP</t>
  </si>
  <si>
    <t>ODPinf</t>
  </si>
  <si>
    <t>PMFP</t>
  </si>
  <si>
    <t>POFP</t>
  </si>
  <si>
    <t>TAP100</t>
  </si>
  <si>
    <t>TETPinf</t>
  </si>
  <si>
    <t>ULOP</t>
  </si>
  <si>
    <t>WDP</t>
  </si>
  <si>
    <t>biomass</t>
  </si>
  <si>
    <t>Ecoinvent v3.7.1</t>
  </si>
  <si>
    <t>Water</t>
  </si>
  <si>
    <t>Waste treatment</t>
  </si>
  <si>
    <t>Hotel</t>
  </si>
  <si>
    <t>MJ</t>
  </si>
  <si>
    <t>Calculation</t>
  </si>
  <si>
    <t>Wastewater treatment</t>
  </si>
  <si>
    <t>heat production, natural gas, at boiler condensing modulating &lt;100kW, RoW</t>
  </si>
  <si>
    <t>treatment of wastewater, from residence, capacity 1.1E10l/year, RoW</t>
  </si>
  <si>
    <t>m3</t>
  </si>
  <si>
    <t>treatment of waste paperboard, municipal incineration, RoW</t>
  </si>
  <si>
    <t>mixed nondurable paper products (8.8 million tons)</t>
  </si>
  <si>
    <t>corrugated boxes (32.1 million tons)</t>
  </si>
  <si>
    <t>newspapers/mechanical papers (3.3 million tons)</t>
  </si>
  <si>
    <t>mixed paper containers and packaging (1.8 million tons)</t>
  </si>
  <si>
    <t>treatment of waste glass, municipal incineration, RoW</t>
  </si>
  <si>
    <t>treatment of scrap steel, inert material landfill, RoW</t>
  </si>
  <si>
    <t>treatment of waste glass, sanitary landfill, GLO</t>
  </si>
  <si>
    <t>treatment of scrap aluminium, municipal incineration, RoW</t>
  </si>
  <si>
    <t>treatment of waste aluminium, sanitary landfill, RoW</t>
  </si>
  <si>
    <t>market for waste paperboard, unsorted, RoW (allocation, cut off, recyclable)</t>
  </si>
  <si>
    <t>market for waste paper, unsorted, RoW (allocation, cut off, recyclable)</t>
  </si>
  <si>
    <t>treatment of waste paperboard, sanitary landfill, RoW</t>
  </si>
  <si>
    <t>market for waste packaging glass, unsorted, GLO (allocation, cut off, recyclable)</t>
  </si>
  <si>
    <t>market for ferrous metal, in mixed metal scrap, RoW (allocation, cut off, recyclable)</t>
  </si>
  <si>
    <t>treatment of scrap steel, municipal incineration, RoW</t>
  </si>
  <si>
    <t>market for aluminium, in mixed metal scrap, RoW (allocation, cut off, recyclable)</t>
  </si>
  <si>
    <t>Other nonferrous metals (use Al as an representative)</t>
  </si>
  <si>
    <t>treatment of waste plastic, mixture, sanitary landfill, RoW</t>
  </si>
  <si>
    <t>treatment of waste plastic, mixture, municipal incineration, RoW</t>
  </si>
  <si>
    <t>market for waste plastic, consumer electronics, unsorted, RoW</t>
  </si>
  <si>
    <t>process-specific burdens, sanitary landfill, RoW</t>
  </si>
  <si>
    <t>market for waste rubber, unspecified, RoW</t>
  </si>
  <si>
    <t>market for transport, freight train, US</t>
  </si>
  <si>
    <t>market for transport, freight, lorry, unspecified, RoW</t>
  </si>
  <si>
    <t>ton*km</t>
  </si>
  <si>
    <t>treatment of waste yarn and waste textile, unsanitary landfill, RoW</t>
  </si>
  <si>
    <t>treatment of waste textile, soiled, municipal incineration, RoW</t>
  </si>
  <si>
    <t>treatment of waste wood, untreated, municipal incineration, RoW</t>
  </si>
  <si>
    <t>treatment of waste wood, untreated, sanitary landfill, RoW</t>
  </si>
  <si>
    <t>treatment of municipal solid waste, sanitary landfill, RoW</t>
  </si>
  <si>
    <t>treatment of municipal solid waste, incineration, RoW</t>
  </si>
  <si>
    <t>treatment of kitchen and garden biowaste, home composting in heaps and containers, RoW</t>
  </si>
  <si>
    <t>treatment of biowaste, municipal incineration, GLO</t>
  </si>
  <si>
    <t>treatment of biowaste, open dump, RoW</t>
  </si>
  <si>
    <t>treatment of biowaste by anaerobic digestion, RoW</t>
  </si>
  <si>
    <t>market for municipal waste collection service by 21 metric ton lorry, GLO</t>
  </si>
  <si>
    <t>Food, yard trimmings, other MSW organics</t>
  </si>
  <si>
    <t>Other wastes</t>
  </si>
  <si>
    <t>Aluminium, other non-ferrous metals</t>
  </si>
  <si>
    <t>per capita per day</t>
  </si>
  <si>
    <t>Waste treatment for guest home</t>
  </si>
  <si>
    <t>Waste</t>
  </si>
  <si>
    <t>Electricity use</t>
  </si>
  <si>
    <t>Thermal energy use</t>
  </si>
  <si>
    <t>Water use</t>
  </si>
  <si>
    <t>market for electricity, low voltage, US-NPCC</t>
  </si>
  <si>
    <t>Average US meals</t>
  </si>
  <si>
    <t>Food</t>
  </si>
  <si>
    <t>Preparation and execution</t>
  </si>
  <si>
    <t>operation, computer, laptop, 68% active work</t>
  </si>
  <si>
    <t>operation, computer, laptop, 23% active work</t>
  </si>
  <si>
    <t>market for operation, computer, laptop, 23% active work, GLO</t>
  </si>
  <si>
    <t>market for operation, computer, laptop, 68% active work with internet access 0.2 Mbit/s, GLO</t>
  </si>
  <si>
    <t>market for operation, computer, laptop, standby/sleep mode, GLO</t>
  </si>
  <si>
    <t>hour</t>
  </si>
  <si>
    <t>market for graphic paper, 100% recycled, GLO</t>
  </si>
  <si>
    <t>operation, printer, laser, black/white, per kg printed paper, RoW</t>
  </si>
  <si>
    <t>market for paper, woodfree, coated, RoW</t>
  </si>
  <si>
    <t>market for operation, computer, laptop, active mode, GLO</t>
  </si>
  <si>
    <t>operation, printer, laser, colour, per kg printed paper, RoW</t>
  </si>
  <si>
    <t>market for paper, woodcontaining, supercalendered, RoW</t>
  </si>
  <si>
    <t>market for textile, jute, GLO</t>
  </si>
  <si>
    <t>market for transport, freight, aircraft, long haul, GLO</t>
  </si>
  <si>
    <t>Water use - mean</t>
  </si>
  <si>
    <t>Water use - min</t>
  </si>
  <si>
    <t>Water use - max</t>
  </si>
  <si>
    <t>L</t>
  </si>
  <si>
    <t>Waste generation - mean</t>
  </si>
  <si>
    <t>Waste generation - min</t>
  </si>
  <si>
    <t>Waste generation - max</t>
  </si>
  <si>
    <t>total</t>
  </si>
  <si>
    <t>US</t>
  </si>
  <si>
    <t>Pittsburgh</t>
  </si>
  <si>
    <t>Houston</t>
  </si>
  <si>
    <t>IN</t>
  </si>
  <si>
    <t>EG</t>
  </si>
  <si>
    <t>Egypt</t>
  </si>
  <si>
    <t>CH</t>
  </si>
  <si>
    <t>JP</t>
  </si>
  <si>
    <t>Cincinnati</t>
  </si>
  <si>
    <t>CO</t>
  </si>
  <si>
    <t>Toronto</t>
  </si>
  <si>
    <t>Cleveland</t>
  </si>
  <si>
    <t>Portland</t>
  </si>
  <si>
    <t>IR</t>
  </si>
  <si>
    <t>Iran</t>
  </si>
  <si>
    <t>Sacramento</t>
  </si>
  <si>
    <t>DE</t>
  </si>
  <si>
    <t>KW</t>
  </si>
  <si>
    <t>Kuwait</t>
  </si>
  <si>
    <t>Philadelphia</t>
  </si>
  <si>
    <t>NL</t>
  </si>
  <si>
    <t>Raleigh</t>
  </si>
  <si>
    <t>Omaha</t>
  </si>
  <si>
    <t>lat</t>
  </si>
  <si>
    <t>long</t>
  </si>
  <si>
    <t>Eppley Airfield</t>
  </si>
  <si>
    <t>participants</t>
  </si>
  <si>
    <t>km</t>
  </si>
  <si>
    <t>Transportation by car</t>
  </si>
  <si>
    <t>Transportation by plane</t>
  </si>
  <si>
    <t>market for transport, passenger car, medium size, petrol, EURO 5, GLO</t>
  </si>
  <si>
    <t>km per capita</t>
  </si>
  <si>
    <t>Agricultural Land Occupation Potential (m2yr per passenger km)</t>
  </si>
  <si>
    <t>Cumulative Energy Demand, Non-Renewable (MJ per passenger km)</t>
  </si>
  <si>
    <t>Fossil Depletion Potential (kg oil eq per passenger km)</t>
  </si>
  <si>
    <t>Freshwater Eutrophication Potential (kg P eq per passenger km)</t>
  </si>
  <si>
    <t>Freshwater Ecotoxicity Potential (kg 14-DCB eq per passenger km)</t>
  </si>
  <si>
    <t>Global Warming Potential (kg CO2 eq per passenger km)</t>
  </si>
  <si>
    <t>Human Toxicity Potential (kg 1,4 DB eq per passenger km)</t>
  </si>
  <si>
    <t>Ionising Radiation Potential (kg U235 eq per passenger km)</t>
  </si>
  <si>
    <t>Metal Depletion Potential (kg Fe eq per passenger km)</t>
  </si>
  <si>
    <t>Marine Eutrophication Potential (kg N eq per passenger km)</t>
  </si>
  <si>
    <t>Marine Ecotoxicity Potential (kg 14-DCB eq per passenger km)</t>
  </si>
  <si>
    <t>Natural Land Transformation Potential (m2 per passenger km)</t>
  </si>
  <si>
    <t>Ozone Depletion Potential (kg CFC11 eq per passenger km)</t>
  </si>
  <si>
    <t>Particulate Matter Formation Potential (kg PM10 eq per passenger km)</t>
  </si>
  <si>
    <t>Photochemical Oxidant Formation Potential (kg NMVOC per passenger km)</t>
  </si>
  <si>
    <t>Terrestrial Acidification Potential (kg SO2 eq per passenger km)</t>
  </si>
  <si>
    <t>Terrestrial Ecotoxicity Potential (kg 14-DCB eq per passenger km)</t>
  </si>
  <si>
    <t>Urban Land Occupation Potential (m2yr per passenger km)</t>
  </si>
  <si>
    <t>Water Depletion Potential (m3 H2O per passenger km)</t>
  </si>
  <si>
    <t>Aircraft</t>
  </si>
  <si>
    <t>Airport</t>
  </si>
  <si>
    <t>Fuel production</t>
  </si>
  <si>
    <t>LTO</t>
  </si>
  <si>
    <t>CD</t>
  </si>
  <si>
    <t>Cruise</t>
  </si>
  <si>
    <t>aluminium</t>
  </si>
  <si>
    <t>composite</t>
  </si>
  <si>
    <t>nickel</t>
  </si>
  <si>
    <t>production electricity</t>
  </si>
  <si>
    <t>production heat</t>
  </si>
  <si>
    <t>steel</t>
  </si>
  <si>
    <t>titanium</t>
  </si>
  <si>
    <t>Airport construction</t>
  </si>
  <si>
    <t>Acetaldehyde</t>
  </si>
  <si>
    <t>Acrolein</t>
  </si>
  <si>
    <t>Benzene</t>
  </si>
  <si>
    <t>Brake Wear</t>
  </si>
  <si>
    <t>Ethylbenzene</t>
  </si>
  <si>
    <t>Formaldehyde</t>
  </si>
  <si>
    <t>Pom16pah</t>
  </si>
  <si>
    <t>Pom7pah</t>
  </si>
  <si>
    <t>Styrene</t>
  </si>
  <si>
    <t>Tire Wear</t>
  </si>
  <si>
    <t>Toluene</t>
  </si>
  <si>
    <t>Xylene</t>
  </si>
  <si>
    <t>AIC</t>
  </si>
  <si>
    <t>CO2</t>
  </si>
  <si>
    <t>H2O</t>
  </si>
  <si>
    <t>NOx</t>
  </si>
  <si>
    <t>Butadiene_1_3</t>
  </si>
  <si>
    <t>PM2.5</t>
  </si>
  <si>
    <t>SOx</t>
  </si>
  <si>
    <t>production emissions</t>
  </si>
  <si>
    <t>HC</t>
  </si>
  <si>
    <t>Propianaldehyde</t>
  </si>
  <si>
    <t>power</t>
  </si>
  <si>
    <t>slope</t>
  </si>
  <si>
    <t>intercept</t>
  </si>
  <si>
    <t>r_squared</t>
  </si>
  <si>
    <t>Air transportation</t>
  </si>
  <si>
    <t>per capita</t>
  </si>
  <si>
    <t xml:space="preserve"> </t>
  </si>
  <si>
    <t>#</t>
  </si>
  <si>
    <t>Internet core</t>
  </si>
  <si>
    <t>Network</t>
  </si>
  <si>
    <t>Parameter</t>
  </si>
  <si>
    <t>hours</t>
  </si>
  <si>
    <t>Host duration: Day 1</t>
  </si>
  <si>
    <t>Host duration: Day 2</t>
  </si>
  <si>
    <t>Host duration: Day 3</t>
  </si>
  <si>
    <t>Host duration: Day 4</t>
  </si>
  <si>
    <t>Percentage of participation per day</t>
  </si>
  <si>
    <t>ACLCA 2020 Virtual Conference - ConfTool Printout</t>
  </si>
  <si>
    <t>Downstream bandwidth of a Zoom group video calling for 720 HD video</t>
  </si>
  <si>
    <t>Upstream bandwidth of a Zoom group video calling for 720 HD video</t>
  </si>
  <si>
    <t>Mbps</t>
  </si>
  <si>
    <t>Conversion from hour to sec</t>
  </si>
  <si>
    <t>sec/hour</t>
  </si>
  <si>
    <t>Conversion from bit to byte</t>
  </si>
  <si>
    <t>byte/bit</t>
  </si>
  <si>
    <t>Conversion from MB to GB</t>
  </si>
  <si>
    <t>GB/MB</t>
  </si>
  <si>
    <t>Electricity use per GB transferred over the internet</t>
  </si>
  <si>
    <t>Connectivity</t>
  </si>
  <si>
    <t>RAN</t>
  </si>
  <si>
    <t>PS-Core</t>
  </si>
  <si>
    <t>Fixed line CPE</t>
  </si>
  <si>
    <t>Operator DC</t>
  </si>
  <si>
    <t>Office networks</t>
  </si>
  <si>
    <t>Applications</t>
  </si>
  <si>
    <t>2016 value (TWh)</t>
  </si>
  <si>
    <t>2016 value (EB)</t>
  </si>
  <si>
    <t>Data traffic</t>
  </si>
  <si>
    <t>DC+server+CDN</t>
  </si>
  <si>
    <t>Total data traffic for video</t>
  </si>
  <si>
    <t>Energy consumption for video</t>
  </si>
  <si>
    <t>Mobile network</t>
  </si>
  <si>
    <t>Fixed network</t>
  </si>
  <si>
    <t>Data traffic for video</t>
  </si>
  <si>
    <t>Total energy consumption for connectivity</t>
  </si>
  <si>
    <t>For fixed network (TWh)</t>
  </si>
  <si>
    <t>For mobile network (TWh)</t>
  </si>
  <si>
    <t>Conversion from TB to GB</t>
  </si>
  <si>
    <t>Conversion from TWh to kWh</t>
  </si>
  <si>
    <t>Electricity use per GB transferred over the internet (kWh/GB)</t>
  </si>
  <si>
    <t>kWh/GB</t>
  </si>
  <si>
    <t>Online duration for conference members</t>
  </si>
  <si>
    <t>Online duration per day for participants</t>
  </si>
  <si>
    <t>Number of conference members</t>
  </si>
  <si>
    <t>Number of participants</t>
  </si>
  <si>
    <t>person</t>
  </si>
  <si>
    <t>Grid_abbr</t>
  </si>
  <si>
    <t>Electricity use for conference members</t>
  </si>
  <si>
    <t>Electricity use for participants</t>
  </si>
  <si>
    <t>Network-related emissions</t>
  </si>
  <si>
    <t>Device-related emissions</t>
  </si>
  <si>
    <t>unit/hour</t>
  </si>
  <si>
    <t>kWh/hour</t>
  </si>
  <si>
    <t>Computer, laptop</t>
  </si>
  <si>
    <t>Internet access equipment</t>
  </si>
  <si>
    <t>Router, internet</t>
  </si>
  <si>
    <t>Energy consumption for laptop, video mode</t>
  </si>
  <si>
    <t>Server-related emissions</t>
  </si>
  <si>
    <t>Infrastructure</t>
  </si>
  <si>
    <t>IT</t>
  </si>
  <si>
    <t>Storage</t>
  </si>
  <si>
    <t>Mechanical</t>
  </si>
  <si>
    <t>Chillers</t>
  </si>
  <si>
    <t>Free Cooling Fans</t>
  </si>
  <si>
    <t>Humidification</t>
  </si>
  <si>
    <t>Pressurisation Fans</t>
  </si>
  <si>
    <t>Ventilation Fans</t>
  </si>
  <si>
    <t>Electrical</t>
  </si>
  <si>
    <t>Lighting</t>
  </si>
  <si>
    <t>Switchgear &amp; Distribution Losses</t>
  </si>
  <si>
    <t>UPS Losses</t>
  </si>
  <si>
    <t>PH</t>
  </si>
  <si>
    <t>Process Water Pumps</t>
  </si>
  <si>
    <t>RWH Pumps</t>
  </si>
  <si>
    <t>Total Energy consumption (kWh/year)</t>
  </si>
  <si>
    <t>Total energy consumption (kWh/year)</t>
  </si>
  <si>
    <t>Component for operational phase (13 MW, 60 yr)</t>
  </si>
  <si>
    <t>GWh</t>
  </si>
  <si>
    <t>Total energy consumption for data center in Sweden (2015)</t>
  </si>
  <si>
    <t>Average data traffic per capita in Sweden (2015)</t>
  </si>
  <si>
    <t>Sweden population (2015)</t>
  </si>
  <si>
    <t>million</t>
  </si>
  <si>
    <t>TB/year</t>
  </si>
  <si>
    <t>Total data traffic in Sweden (2015)</t>
  </si>
  <si>
    <t>TB</t>
  </si>
  <si>
    <t>GB/TB</t>
  </si>
  <si>
    <t>kWh/GWh</t>
  </si>
  <si>
    <t>Conversion from GWh to kWh</t>
  </si>
  <si>
    <t>Networking (10%)</t>
  </si>
  <si>
    <t>Servers (70%)</t>
  </si>
  <si>
    <t>Storage (20%)</t>
  </si>
  <si>
    <t>Energy consumption (kWh/kW/year)</t>
  </si>
  <si>
    <t>Total energy consumption (kWh/hour) (kWh/W/hour)</t>
  </si>
  <si>
    <t>US-RFC</t>
  </si>
  <si>
    <t>CA-ON</t>
  </si>
  <si>
    <t>CA-SK</t>
  </si>
  <si>
    <t>CA-QC</t>
  </si>
  <si>
    <t>CA-BC</t>
  </si>
  <si>
    <t>CA-NB</t>
  </si>
  <si>
    <t>CA-PE</t>
  </si>
  <si>
    <t>CA-AB</t>
  </si>
  <si>
    <t>GB</t>
  </si>
  <si>
    <t>BE</t>
  </si>
  <si>
    <t>BR</t>
  </si>
  <si>
    <t>ES</t>
  </si>
  <si>
    <t>CR</t>
  </si>
  <si>
    <t>RER / FR</t>
  </si>
  <si>
    <t>SE</t>
  </si>
  <si>
    <t>EC</t>
  </si>
  <si>
    <t>US-SERC</t>
  </si>
  <si>
    <t>US-NPCC</t>
  </si>
  <si>
    <t>US-FRCC</t>
  </si>
  <si>
    <t>US-WECC</t>
  </si>
  <si>
    <t>US-TRE</t>
  </si>
  <si>
    <t>US-MRO</t>
  </si>
  <si>
    <t>US-SPP</t>
  </si>
  <si>
    <t>market for electricity, low voltage, BE</t>
  </si>
  <si>
    <t>market for electricity, low voltage, CA-AB</t>
  </si>
  <si>
    <t>market for electricity, low voltage, CA-BC</t>
  </si>
  <si>
    <t>market for electricity, low voltage, CA-NB</t>
  </si>
  <si>
    <t>market for electricity, low voltage, CA-ON</t>
  </si>
  <si>
    <t>market for electricity, low voltage, CA-PE</t>
  </si>
  <si>
    <t>market for electricity, low voltage, CA-QC</t>
  </si>
  <si>
    <t>market for electricity, low voltage, CA-SK</t>
  </si>
  <si>
    <t>market for electricity, low voltage, CH</t>
  </si>
  <si>
    <t>market for electricity, low voltage, CR</t>
  </si>
  <si>
    <t>market for electricity, low voltage, DE</t>
  </si>
  <si>
    <t>market for electricity, low voltage, EC</t>
  </si>
  <si>
    <t>market for electricity, low voltage, EG</t>
  </si>
  <si>
    <t>market for electricity, low voltage, ES</t>
  </si>
  <si>
    <t>market for electricity, low voltage, GB</t>
  </si>
  <si>
    <t>market for electricity, low voltage, FR</t>
  </si>
  <si>
    <t>market for electricity, low voltage, SE</t>
  </si>
  <si>
    <t>market for electricity, low voltage, NL</t>
  </si>
  <si>
    <t>market for electricity, low voltage, IR</t>
  </si>
  <si>
    <t>market for electricity, low voltage, IT</t>
  </si>
  <si>
    <t>market for electricity, low voltage, JP</t>
  </si>
  <si>
    <t>market for electricity, low voltage, KW</t>
  </si>
  <si>
    <t>market for electricity, low voltage, IN-Western grid</t>
  </si>
  <si>
    <t>market for electricity, low voltage, BR-South-eastern grid</t>
  </si>
  <si>
    <t>Average electricity</t>
  </si>
  <si>
    <t>worst</t>
  </si>
  <si>
    <t>expected</t>
  </si>
  <si>
    <t>best</t>
  </si>
  <si>
    <t>Electricity use per GB transmission for 2020</t>
  </si>
  <si>
    <t>unit</t>
  </si>
  <si>
    <t>market for electricity, low voltage, average</t>
  </si>
  <si>
    <t>market for router, internet, GLO</t>
  </si>
  <si>
    <t>market for internet access equipment, GLO</t>
  </si>
  <si>
    <t>market for computer, laptop, GLO</t>
  </si>
  <si>
    <t>Annual electricity efficiency improvement</t>
  </si>
  <si>
    <t>Electricity usage (kWh/GB)</t>
  </si>
  <si>
    <t>Server</t>
  </si>
  <si>
    <t>Router</t>
  </si>
  <si>
    <t>Laptop</t>
  </si>
  <si>
    <t>Energy consumption for router</t>
  </si>
  <si>
    <t>Energy consumption for internet access equipment (ADSL, DSLAM)</t>
  </si>
  <si>
    <t>Laptop electricity consumption</t>
  </si>
  <si>
    <t>Information and communication technology</t>
  </si>
  <si>
    <t>Guest home-waste treatment</t>
  </si>
  <si>
    <t>Guest home-electricity use</t>
  </si>
  <si>
    <t>Guest home-thermal energy use</t>
  </si>
  <si>
    <t>Guest home-water use</t>
  </si>
  <si>
    <t>Guest home-wastewater treatment</t>
  </si>
  <si>
    <t>Hotel-waste treatment</t>
  </si>
  <si>
    <t>Hotel-electricity use</t>
  </si>
  <si>
    <t>Hotel-thermal energy use</t>
  </si>
  <si>
    <t>Hotel-water use</t>
  </si>
  <si>
    <t>Hotel-wastewater treatment</t>
  </si>
  <si>
    <t>Waste treatment for hotel</t>
  </si>
  <si>
    <t>Ground transportation (car)</t>
  </si>
  <si>
    <t>ICT</t>
  </si>
  <si>
    <t>Virtual Con</t>
  </si>
  <si>
    <t>In person Con</t>
  </si>
  <si>
    <t>5 hr per participant, 41 participants</t>
  </si>
  <si>
    <t>24*36 inch poster, 40 participants</t>
  </si>
  <si>
    <t>Preparation</t>
  </si>
  <si>
    <t>Execution</t>
  </si>
  <si>
    <t>Chicago O'Hare International Airport</t>
  </si>
  <si>
    <t>Hybrid</t>
  </si>
  <si>
    <t>US:1, EU:1</t>
  </si>
  <si>
    <t>US:2, EU:1</t>
  </si>
  <si>
    <t>US:3, EU:1</t>
  </si>
  <si>
    <t>US:4, EU:1</t>
  </si>
  <si>
    <t>Flughafen, Frankfurt/Main</t>
  </si>
  <si>
    <t>Type</t>
  </si>
  <si>
    <t>Number of cluster</t>
  </si>
  <si>
    <t>Hub</t>
  </si>
  <si>
    <t>Europe Hub</t>
  </si>
  <si>
    <t>US Hub 1</t>
  </si>
  <si>
    <t>US Hub 2</t>
  </si>
  <si>
    <t>US Hub 3</t>
  </si>
  <si>
    <t>US Hub 4</t>
  </si>
  <si>
    <t>Newark Liberty International Airport</t>
  </si>
  <si>
    <t>Denver International Airport</t>
  </si>
  <si>
    <t>San Francisco International Airport</t>
  </si>
  <si>
    <t>Hartsfield-Jackson Atlanta International Airport</t>
  </si>
  <si>
    <t>Seattle-Tacoma International Airport</t>
  </si>
  <si>
    <t>Rank</t>
  </si>
  <si>
    <t>500 km threshold for car</t>
  </si>
  <si>
    <t>field_1</t>
  </si>
  <si>
    <t>HubDist</t>
  </si>
  <si>
    <t>O'Hare International Airport</t>
  </si>
  <si>
    <t xml:space="preserve">United States </t>
  </si>
  <si>
    <t>Flughafen Frankfurt/Main</t>
  </si>
  <si>
    <t xml:space="preserve">Germany  </t>
  </si>
  <si>
    <t>Mode</t>
  </si>
  <si>
    <t>Air</t>
  </si>
  <si>
    <t xml:space="preserve">France  </t>
  </si>
  <si>
    <t>Transportation by rail</t>
  </si>
  <si>
    <t>transport, passenger train, long-distance, CH</t>
  </si>
  <si>
    <t>total distance by air</t>
  </si>
  <si>
    <t>total distance by car</t>
  </si>
  <si>
    <t>total distance by rail</t>
  </si>
  <si>
    <t>distance per participant by air</t>
  </si>
  <si>
    <t>distance per participant by car</t>
  </si>
  <si>
    <t>distance per participant by rail</t>
  </si>
  <si>
    <t>total environmental impact by air</t>
  </si>
  <si>
    <t>total environmental impact by car</t>
  </si>
  <si>
    <t>total environmental impact by rail</t>
  </si>
  <si>
    <t>total environmental impact by aie</t>
  </si>
  <si>
    <t>Environmental impact per participant by rail</t>
  </si>
  <si>
    <t>Environmental impact per participant by car</t>
  </si>
  <si>
    <t>Environmental impact per participant by air</t>
  </si>
  <si>
    <t>Environmental impact per km by air</t>
  </si>
  <si>
    <t>Environmental impact per km by car</t>
  </si>
  <si>
    <t>Environmental impact per km by rail</t>
  </si>
  <si>
    <t>rail</t>
  </si>
  <si>
    <t>car</t>
  </si>
  <si>
    <t>air</t>
  </si>
  <si>
    <t>In-person</t>
  </si>
  <si>
    <t>Virtual</t>
  </si>
  <si>
    <t>2 hubs</t>
  </si>
  <si>
    <t>3 hubs</t>
  </si>
  <si>
    <t>4 hubs</t>
  </si>
  <si>
    <t>5 hubs</t>
  </si>
  <si>
    <t>hubs</t>
  </si>
  <si>
    <t>US:5, EU:1</t>
  </si>
  <si>
    <t>US Hub 5</t>
  </si>
  <si>
    <t>Airport Rank</t>
  </si>
  <si>
    <t>Source_lat</t>
  </si>
  <si>
    <t>Source_long</t>
  </si>
  <si>
    <t>Source_Country</t>
  </si>
  <si>
    <t>Dest_Airport_Rank</t>
  </si>
  <si>
    <t>Dest_Country</t>
  </si>
  <si>
    <t>Dest_Airport</t>
  </si>
  <si>
    <t>Dest_lat</t>
  </si>
  <si>
    <t>Dest_long</t>
  </si>
  <si>
    <t>Ground_dist</t>
  </si>
  <si>
    <t>Unnamed: 0_y</t>
  </si>
  <si>
    <t>Country</t>
  </si>
  <si>
    <t>Ground_dist_decision</t>
  </si>
  <si>
    <t>Mode_decision</t>
  </si>
  <si>
    <t>Detroit</t>
  </si>
  <si>
    <t>Detroit Metropolitan Airport</t>
  </si>
  <si>
    <t>drive</t>
  </si>
  <si>
    <t>Nashville</t>
  </si>
  <si>
    <t>Nashville International Airport</t>
  </si>
  <si>
    <t xml:space="preserve">Japan Tokyo </t>
  </si>
  <si>
    <t xml:space="preserve">International (Haneda) Airport     </t>
  </si>
  <si>
    <t>NaN</t>
  </si>
  <si>
    <t>Oakland</t>
  </si>
  <si>
    <t>Oakland International Airport</t>
  </si>
  <si>
    <t>Buffalo</t>
  </si>
  <si>
    <t>Buffalo Niagara International Airport</t>
  </si>
  <si>
    <t>Sacramento International Airport</t>
  </si>
  <si>
    <t xml:space="preserve">United Kingdom </t>
  </si>
  <si>
    <t xml:space="preserve">Heathrow Airport      </t>
  </si>
  <si>
    <t>Washington, D.C.</t>
  </si>
  <si>
    <t>Washington Dulles International Airport</t>
  </si>
  <si>
    <t xml:space="preserve">Newark Liberty International Airport    </t>
  </si>
  <si>
    <t xml:space="preserve">Charlotte Douglas International Airport    </t>
  </si>
  <si>
    <t xml:space="preserve">Logan International Airport     </t>
  </si>
  <si>
    <t>National Capital Region</t>
  </si>
  <si>
    <t>Ottawa International Airport</t>
  </si>
  <si>
    <t>Edmonton Metropolitan Region</t>
  </si>
  <si>
    <t>Edmonton International Airport</t>
  </si>
  <si>
    <t>Milwaukee</t>
  </si>
  <si>
    <t>Milwaukee Mitchell International Airport</t>
  </si>
  <si>
    <t xml:space="preserve">Minneapolis/St Paul International Airport    </t>
  </si>
  <si>
    <t>Thunder Bay</t>
  </si>
  <si>
    <t>Thunder Bay International Airport</t>
  </si>
  <si>
    <t>Ronald Reagan Washington National Airport</t>
  </si>
  <si>
    <t xml:space="preserve">Denver International Airport     </t>
  </si>
  <si>
    <t>Bill and Hillary Clinton National Airport</t>
  </si>
  <si>
    <t>Kansas City</t>
  </si>
  <si>
    <t>Kansas City International Airport</t>
  </si>
  <si>
    <t>Quebec City</t>
  </si>
  <si>
    <t>QuÃƒÂ©bec City Jean Lesage International Airport</t>
  </si>
  <si>
    <t>Hamilton</t>
  </si>
  <si>
    <t>John C. Munro Hamilton International Airport</t>
  </si>
  <si>
    <t>Billy Bishop Toronto City Airport</t>
  </si>
  <si>
    <t>Greater Montreal</t>
  </si>
  <si>
    <t>MontrealÃ¢Â€Â“Trudeau International Airport</t>
  </si>
  <si>
    <t>Calgary Region</t>
  </si>
  <si>
    <t>Calgary International Airport</t>
  </si>
  <si>
    <t>Columbus</t>
  </si>
  <si>
    <t>John Glenn Columbus International Airport</t>
  </si>
  <si>
    <t>Cleveland Hopkins International Airport</t>
  </si>
  <si>
    <t>Greater Moncton</t>
  </si>
  <si>
    <t>Greater Moncton RomÃƒÂ©o LeBlanc International Airport</t>
  </si>
  <si>
    <t>Burbank</t>
  </si>
  <si>
    <t>Hollywood Burbank Airport</t>
  </si>
  <si>
    <t>Cincinnati/Northern Kentucky International Airport</t>
  </si>
  <si>
    <t>Austin</t>
  </si>
  <si>
    <t>AustinÃ‚Â–Bergstrom International Airport</t>
  </si>
  <si>
    <t xml:space="preserve">Sky Harbor International Airport    </t>
  </si>
  <si>
    <t>Pittsburgh International Airport</t>
  </si>
  <si>
    <t xml:space="preserve">Dallas/Ft Worth International Airport    </t>
  </si>
  <si>
    <t>Indianapolis</t>
  </si>
  <si>
    <t>Indianapolis International Airport</t>
  </si>
  <si>
    <t xml:space="preserve">O'Hare International Airport     </t>
  </si>
  <si>
    <t>Chicago</t>
  </si>
  <si>
    <t>Chicago Midway International Airport</t>
  </si>
  <si>
    <t>Albuquerque</t>
  </si>
  <si>
    <t>Albuquerque International Sunport</t>
  </si>
  <si>
    <t xml:space="preserve">Munich Airport      </t>
  </si>
  <si>
    <t xml:space="preserve">Netherlands  </t>
  </si>
  <si>
    <t xml:space="preserve">Amsterdam Airport Schiphol     </t>
  </si>
  <si>
    <t xml:space="preserve">Hartsfield-Jackson Atlanta International Airport    </t>
  </si>
  <si>
    <t xml:space="preserve">Brazil  </t>
  </si>
  <si>
    <t xml:space="preserve">Guarulhos International Airport     </t>
  </si>
  <si>
    <t>Baltimore</t>
  </si>
  <si>
    <t>Baltimore/Washington International Airport</t>
  </si>
  <si>
    <t xml:space="preserve">Spain  </t>
  </si>
  <si>
    <t xml:space="preserve">Aeropuerto de Barcelona-El Prat    </t>
  </si>
  <si>
    <t xml:space="preserve">George Bush Intercontinental Airport    </t>
  </si>
  <si>
    <t xml:space="preserve">John F. Kennedy International Airport   </t>
  </si>
  <si>
    <t>Cairo International Airport</t>
  </si>
  <si>
    <t>Costa Rica</t>
  </si>
  <si>
    <t>TobÃ­as BolaÃ±os International Airport, Aeropuerto, San JosÃ© Province, San JosÃ©, Costa Rica</t>
  </si>
  <si>
    <t>St. Louis</t>
  </si>
  <si>
    <t>St. Louis Lambert International Airport</t>
  </si>
  <si>
    <t>Orange County</t>
  </si>
  <si>
    <t>John Wayne Airport</t>
  </si>
  <si>
    <t>Portland International Airport</t>
  </si>
  <si>
    <t xml:space="preserve">Italy  </t>
  </si>
  <si>
    <t>Venice Marco Polo Airport</t>
  </si>
  <si>
    <t>Northwest Arkansas National Airport</t>
  </si>
  <si>
    <t>Mehrabad International Airport, Tehran, Iran</t>
  </si>
  <si>
    <t xml:space="preserve">Manchester Airport  </t>
  </si>
  <si>
    <t>William P. Hobby Airport</t>
  </si>
  <si>
    <t xml:space="preserve">India  </t>
  </si>
  <si>
    <t>Dr. Babasaheb Ambedkar International Airport</t>
  </si>
  <si>
    <t>Kuwait International Airport</t>
  </si>
  <si>
    <t xml:space="preserve">Flughafen Frankfurt/Main      </t>
  </si>
  <si>
    <t>Ontario</t>
  </si>
  <si>
    <t>Ontario International Airport</t>
  </si>
  <si>
    <t xml:space="preserve">Los Angeles International Airport    </t>
  </si>
  <si>
    <t>Fort Lauderdale</t>
  </si>
  <si>
    <t>Fort LauderdaleÃ‚Â–Hollywood International Airport</t>
  </si>
  <si>
    <t>New Orleans</t>
  </si>
  <si>
    <t>Louis Armstrong New Orleans International Airport</t>
  </si>
  <si>
    <t>Philadelphia International Airport</t>
  </si>
  <si>
    <t xml:space="preserve">Aeroporto di Roma-Fiumicino     </t>
  </si>
  <si>
    <t xml:space="preserve">Chhatrapati Shivaji International Airport    </t>
  </si>
  <si>
    <t>Raleigh-Durham International Airport</t>
  </si>
  <si>
    <t xml:space="preserve">Seattle-Tacoma International Airport     </t>
  </si>
  <si>
    <t>Regina</t>
  </si>
  <si>
    <t>Regina International Airport</t>
  </si>
  <si>
    <t xml:space="preserve">AÃƒÂ©roport de Paris-Charles de Gaulle   </t>
  </si>
  <si>
    <t>San Jose</t>
  </si>
  <si>
    <t>Norman Y. Mineta San JosÃƒÂ© International Airport</t>
  </si>
  <si>
    <t xml:space="preserve">Aeropuerto de Adolfo SuÃƒÂ¡rez Madrid-Barajas   </t>
  </si>
  <si>
    <t>Sweden</t>
  </si>
  <si>
    <t>Stockholm Arlanda Airport</t>
  </si>
  <si>
    <t>Metro Vancouver</t>
  </si>
  <si>
    <t>Vancouver International Airport</t>
  </si>
  <si>
    <t>Ecuador</t>
  </si>
  <si>
    <t>Aeropuerto Internacional JosÃ© JoaquÃ­n De Olmedo</t>
  </si>
  <si>
    <t>Final_mode</t>
  </si>
  <si>
    <t>Air_dist</t>
  </si>
  <si>
    <t>Transportation_3_Hubs</t>
  </si>
  <si>
    <t>Transportation_2_Hubs</t>
  </si>
  <si>
    <t>Transportation_4_Hubs</t>
  </si>
  <si>
    <t>Transportation_5_Hubs</t>
  </si>
  <si>
    <t>Transportation_6_Hubs</t>
  </si>
  <si>
    <t>6 hubs</t>
  </si>
  <si>
    <t>Freshwater eutrophication</t>
  </si>
  <si>
    <t>Ground transportation (train)</t>
  </si>
  <si>
    <t>Total number of participants</t>
  </si>
  <si>
    <t>Car</t>
  </si>
  <si>
    <t>multiple hubs</t>
  </si>
  <si>
    <t>Hybrid (&gt;1000 km virtual)</t>
  </si>
  <si>
    <t>Hybrid (&gt;3000 km virtual)</t>
  </si>
  <si>
    <t>Hybrid (&gt;5000 km virtual)</t>
  </si>
  <si>
    <t>Hybrid (&gt;10000 km virtual)</t>
  </si>
  <si>
    <t>Hybrid &gt;30% participants in-person)</t>
  </si>
  <si>
    <t>Hybrid &gt;50% participants in-person)</t>
  </si>
  <si>
    <t>Hybrid &gt;70% participants in-person)</t>
  </si>
  <si>
    <t>Hybrid &gt;90% participants in-person)</t>
  </si>
  <si>
    <t># of people</t>
  </si>
  <si>
    <t>US Hub 6</t>
  </si>
  <si>
    <t>US:1</t>
  </si>
  <si>
    <t>US:2</t>
  </si>
  <si>
    <t>US:3</t>
  </si>
  <si>
    <t>US:4</t>
  </si>
  <si>
    <t>US:1, ME:1</t>
  </si>
  <si>
    <t>US:2, ME:1</t>
  </si>
  <si>
    <t>US:3, ME:1</t>
  </si>
  <si>
    <t>US:2, ME:1, EU:1</t>
  </si>
  <si>
    <t>US:3, ME:1, EU:1</t>
  </si>
  <si>
    <t>US:4, ME:1, EU:1</t>
  </si>
  <si>
    <t>EU:1</t>
  </si>
  <si>
    <t>US:5</t>
  </si>
  <si>
    <t>US:6</t>
  </si>
  <si>
    <t>Middle East Hub</t>
  </si>
  <si>
    <t>Dallas Fort Worth International Airport</t>
  </si>
  <si>
    <t>Istanbul International Airport</t>
  </si>
  <si>
    <t>Charlotte Douglas International Airport</t>
  </si>
  <si>
    <t>McCarran International Airport</t>
  </si>
  <si>
    <t>Los Angeles International Airport</t>
  </si>
  <si>
    <t>Heathrow Airport</t>
  </si>
  <si>
    <t>1 hub</t>
  </si>
  <si>
    <t>Carbon footprint</t>
  </si>
  <si>
    <t>Carbon footprint
(In person conference)</t>
  </si>
  <si>
    <t>Carbon footprint
(Virtual conference)</t>
  </si>
  <si>
    <t>CED
(In person conference)</t>
  </si>
  <si>
    <t>CED
(Virtual conference)</t>
  </si>
  <si>
    <t>Home-electricity use</t>
  </si>
  <si>
    <t>Home-thermal energy use</t>
  </si>
  <si>
    <t>Home-waste treatment</t>
  </si>
  <si>
    <t>Home-water use</t>
  </si>
  <si>
    <t>Home-wastewater treatment</t>
  </si>
  <si>
    <t>Accommodation-waste treatment</t>
  </si>
  <si>
    <t>Accommodation-electricity use</t>
  </si>
  <si>
    <t>Accommodation-thermal energy use</t>
  </si>
  <si>
    <t>Accommodation-water use</t>
  </si>
  <si>
    <t>Accommodation-wastewater treatment</t>
  </si>
  <si>
    <t>Accommodation-waste treatment (Virtual)</t>
  </si>
  <si>
    <t>Accommodation-electricity use (Virtual)</t>
  </si>
  <si>
    <t>Accommodation-thermal energy use (Virtual)</t>
  </si>
  <si>
    <t>Accommodation-water use (Virtual)</t>
  </si>
  <si>
    <t>Accommodation-wastewater treatment (Virtual)</t>
  </si>
  <si>
    <t>Food (Virtual)</t>
  </si>
  <si>
    <t>Preparation (Virtual)</t>
  </si>
  <si>
    <t>Accommodation-waste treatment (In-person)</t>
  </si>
  <si>
    <t>Accommodation-electricity use (In-person)</t>
  </si>
  <si>
    <t>Accommodation-thermal energy use (In-person)</t>
  </si>
  <si>
    <t>Accommodation-water use (In-person)</t>
  </si>
  <si>
    <t>Accommodation-wastewater treatment (In-person)</t>
  </si>
  <si>
    <t>Food (In-person)</t>
  </si>
  <si>
    <t>Preparation (In-person)</t>
  </si>
  <si>
    <t>In-person: 6 hub</t>
  </si>
  <si>
    <t>electricity consumption</t>
  </si>
  <si>
    <t>In-person: 2 hub</t>
  </si>
  <si>
    <t>In-person: 3 hub</t>
  </si>
  <si>
    <t>In-person: 4 hub</t>
  </si>
  <si>
    <t>In-person: 5 hub</t>
  </si>
  <si>
    <t>Electricity use: 2 hub</t>
  </si>
  <si>
    <t>Electricity use: 3 hub</t>
  </si>
  <si>
    <t>Electricity use: 4 hub</t>
  </si>
  <si>
    <t>Electricity use: 5 hub</t>
  </si>
  <si>
    <t>Electricity use: 6 hub</t>
  </si>
  <si>
    <t>Food-2 hub</t>
  </si>
  <si>
    <t>Food-3 hub</t>
  </si>
  <si>
    <t>Food-4 hub</t>
  </si>
  <si>
    <t>Food-5 hub</t>
  </si>
  <si>
    <t>Food-6 hub</t>
  </si>
  <si>
    <t>Food-virtual</t>
  </si>
  <si>
    <t>Food-baseline in-person</t>
  </si>
  <si>
    <t>Execution: 2 hub</t>
  </si>
  <si>
    <t>Execution: 3 hub</t>
  </si>
  <si>
    <t>Execution: 4 hub</t>
  </si>
  <si>
    <t>Execution: 5 hub</t>
  </si>
  <si>
    <t>Execution: 6 hub</t>
  </si>
  <si>
    <t>Preparation - virtual</t>
  </si>
  <si>
    <t>Virtual Con_SA: LCIA-Elec</t>
  </si>
  <si>
    <t>market for electricity, low voltage, TR</t>
  </si>
  <si>
    <t>market group for tap water, GLO</t>
  </si>
  <si>
    <t>transport, passenger train, DE</t>
  </si>
  <si>
    <t>kWh per capita</t>
  </si>
  <si>
    <t>in-person</t>
  </si>
  <si>
    <t>Food: 2 hub</t>
  </si>
  <si>
    <t>Food: 3 hub</t>
  </si>
  <si>
    <t>Food: 4 hub</t>
  </si>
  <si>
    <t>Food: 5 hub</t>
  </si>
  <si>
    <t>Food: 6 hub</t>
  </si>
  <si>
    <t>Belgium</t>
  </si>
  <si>
    <t>Brazil</t>
  </si>
  <si>
    <t>Italy</t>
  </si>
  <si>
    <t>France</t>
  </si>
  <si>
    <t>Accommodation - electricity use</t>
  </si>
  <si>
    <t>transportation</t>
  </si>
  <si>
    <t>online duration</t>
  </si>
  <si>
    <t>device-related electricity consumption</t>
  </si>
  <si>
    <t>Baseline</t>
  </si>
  <si>
    <t>Worst</t>
  </si>
  <si>
    <t>Best</t>
  </si>
  <si>
    <t>Current value</t>
  </si>
  <si>
    <t>network-related electricity consumption</t>
  </si>
  <si>
    <t>DC-related electricity consumption</t>
  </si>
  <si>
    <t>Bseline</t>
  </si>
  <si>
    <t>Worst: Percentage of participation per day</t>
  </si>
  <si>
    <t>Worst: Online duration</t>
  </si>
  <si>
    <t>Best: Online duration</t>
  </si>
  <si>
    <t>Best: Percentage of participation per day</t>
  </si>
  <si>
    <t>2021 Baseline</t>
  </si>
  <si>
    <t>2022 Baseline</t>
  </si>
  <si>
    <t>2023 Baseline</t>
  </si>
  <si>
    <t>2024 Baseline</t>
  </si>
  <si>
    <t>2025 Baseline</t>
  </si>
  <si>
    <t>2026 Baseline</t>
  </si>
  <si>
    <t>2027 Baseline</t>
  </si>
  <si>
    <t>2028 Baseline</t>
  </si>
  <si>
    <t>2029 Baseline</t>
  </si>
  <si>
    <t>2030 Baseline</t>
  </si>
  <si>
    <t>2021 Worst</t>
  </si>
  <si>
    <t>2022 Worst</t>
  </si>
  <si>
    <t>2023 Worst</t>
  </si>
  <si>
    <t>2024 Worst</t>
  </si>
  <si>
    <t>2025 Worst</t>
  </si>
  <si>
    <t>2026 Worst</t>
  </si>
  <si>
    <t>2027 Worst</t>
  </si>
  <si>
    <t>2028 Worst</t>
  </si>
  <si>
    <t>2030 Worst</t>
  </si>
  <si>
    <t>2029 Worst</t>
  </si>
  <si>
    <t>2021 Best</t>
  </si>
  <si>
    <t>2022 Best</t>
  </si>
  <si>
    <t>2023 Best</t>
  </si>
  <si>
    <t>2024 Best</t>
  </si>
  <si>
    <t>2025 Best</t>
  </si>
  <si>
    <t>2026 Best</t>
  </si>
  <si>
    <t>2027 Best</t>
  </si>
  <si>
    <t>2028 Best</t>
  </si>
  <si>
    <t>2029 Best</t>
  </si>
  <si>
    <t>2030 Best</t>
  </si>
  <si>
    <t>Rail</t>
  </si>
  <si>
    <t>Plane</t>
  </si>
  <si>
    <t>Category</t>
  </si>
  <si>
    <t>Food consumption</t>
  </si>
  <si>
    <t>Heat consumption at home</t>
  </si>
  <si>
    <t>Heat consumption at hotel</t>
  </si>
  <si>
    <t>Electricity consumption at home</t>
  </si>
  <si>
    <t>Electricity consumption at hotel</t>
  </si>
  <si>
    <t>High</t>
  </si>
  <si>
    <t>Low</t>
  </si>
  <si>
    <t>Base</t>
  </si>
  <si>
    <t>Emission factor for air transportation</t>
  </si>
  <si>
    <t>Emission factor for rail transport</t>
  </si>
  <si>
    <t>Emission factor for driving</t>
  </si>
  <si>
    <t>Air transportation distance as multiples of the great-circle distance</t>
  </si>
  <si>
    <t>Average</t>
  </si>
  <si>
    <t>Min</t>
  </si>
  <si>
    <t>Max</t>
  </si>
  <si>
    <t>kg/capita/day</t>
  </si>
  <si>
    <t>Carbon footprint (Low)</t>
  </si>
  <si>
    <t>Carbon footprint (High)</t>
  </si>
  <si>
    <t>CED (Low)</t>
  </si>
  <si>
    <t>CED (High)</t>
  </si>
  <si>
    <t>Carbon footprint (Base)</t>
  </si>
  <si>
    <t>CED (Base)</t>
  </si>
  <si>
    <t>Very cold/Cold</t>
  </si>
  <si>
    <t>Mixed-humid</t>
  </si>
  <si>
    <t>Mixed-dry/Hot-dry</t>
  </si>
  <si>
    <t>Hot-humid</t>
  </si>
  <si>
    <t>Marine</t>
  </si>
  <si>
    <t>Northeast</t>
  </si>
  <si>
    <t>New England</t>
  </si>
  <si>
    <t>Middle Atlantic</t>
  </si>
  <si>
    <t>Midwest</t>
  </si>
  <si>
    <t>East North Central</t>
  </si>
  <si>
    <t>West North Central</t>
  </si>
  <si>
    <t>South</t>
  </si>
  <si>
    <t>South Atlantic</t>
  </si>
  <si>
    <t>East South Central</t>
  </si>
  <si>
    <t>West South Central</t>
  </si>
  <si>
    <t>West</t>
  </si>
  <si>
    <t>Mountain</t>
  </si>
  <si>
    <t>Mountain North</t>
  </si>
  <si>
    <t>Mountain South</t>
  </si>
  <si>
    <t>Pacific</t>
  </si>
  <si>
    <t>All</t>
  </si>
  <si>
    <t># of housing units (MM)</t>
  </si>
  <si>
    <t>Space heating energy consumption (mmBtu per household)</t>
  </si>
  <si>
    <t>Water heating energy consumption (mmBtu per household)</t>
  </si>
  <si>
    <t>Heating energy consumption (MJ/household/day)</t>
  </si>
  <si>
    <t>Average number of household members</t>
  </si>
  <si>
    <t>Heating energy consumption (MJ/capita/day)</t>
  </si>
  <si>
    <t>Table CE 3.1</t>
  </si>
  <si>
    <t>%</t>
  </si>
  <si>
    <t>market for transport, passenger car, small size, petrol, EURO 5, GLO</t>
  </si>
  <si>
    <t>pkm</t>
  </si>
  <si>
    <t>market for transport, passenger car, small size, diesel, EURO 5, GLO</t>
  </si>
  <si>
    <t>market for transport, passenger car, medium size, diesel, EURO 5, GLO</t>
  </si>
  <si>
    <t>market for transport, passenger car, large size, petrol, EURO 5, GLO</t>
  </si>
  <si>
    <t>market for transport, passenger car, large size, diesel, EURO 5, GLO</t>
  </si>
  <si>
    <t>market for transport, passenger car, electric, GLO</t>
  </si>
  <si>
    <t>transport, passenger train, BE</t>
  </si>
  <si>
    <t>transport, passenger train, FR</t>
  </si>
  <si>
    <t>transport, passenger train, IT</t>
  </si>
  <si>
    <t>transport, passenger train, RoW</t>
  </si>
  <si>
    <t>transport, passenger train, high-speed, DE</t>
  </si>
  <si>
    <t>transport, passenger train, high-speed, FR</t>
  </si>
  <si>
    <t>transport, passenger train, high-speed, IT</t>
  </si>
  <si>
    <t>transport, passenger train, high-speed, RoW</t>
  </si>
  <si>
    <t>kg CO2 eq.</t>
  </si>
  <si>
    <t>Reference</t>
  </si>
  <si>
    <t>[1]</t>
  </si>
  <si>
    <t>U.S. Energy Information Administration. State Energy Consumption Estimates 1960 Through 2018, Table C17, (June 2020) (Accessed 03/23/2021) https://www.eia.gov/state/seds/archive/seds2018.pdf.</t>
  </si>
  <si>
    <t>Average residential electricity consumption</t>
  </si>
  <si>
    <t>Filimonau, V., Dickinson, J., Robbins, D. &amp; Huijbregts, M. A. J. Reviewing the carbon footprint analysis of hotels: Life Cycle Energy Analysis (LCEA) as a holistic method for carbon impact appraisal of tourist accommodation. Journal of Cleaner Production 19, 1917-1930, (2011).</t>
  </si>
  <si>
    <t>[2]</t>
  </si>
  <si>
    <t>Gössling, S. et al. Tourism and water use: Supply, demand, and security. An international review. Tourism Management 33, 1-15, (2012).</t>
  </si>
  <si>
    <t>[3]</t>
  </si>
  <si>
    <t>[4]</t>
  </si>
  <si>
    <t>U.S. Energy Information Administration. 2015 Residential Energy Consumption Survey (RECS) Data (Accessed 09/11/2021) https://www.eia.gov/consumption/residential/data/2015/.</t>
  </si>
  <si>
    <t>[5]</t>
  </si>
  <si>
    <t>Cheryl, A. D. et al., U.S. Geological Survey. Estimated Use of Water in the United States in 2015, (2018) (Accessed 04/25/2021) https://pubs.usgs.gov/circ/1441/circ1441.pdf.</t>
  </si>
  <si>
    <t>[6]</t>
  </si>
  <si>
    <t>United States Environmental Protection Agency. Advancing Sustainable Materials Management: 2018 Fact Sheet, Table 1, (December 2020) (Accessed 03/23/2021) https://www.epa.gov/sites/production/files/2020-11/documents/2018_ff_fact_sheet.pdf.</t>
  </si>
  <si>
    <t>Neugebauer, S., Bolz, M., Mankaa, R. &amp; Traverso, M. How sustainable are sustainability conferences? – comprehensive Life Cycle Assessment of an International Conference Series in Europe. Journal of Cleaner Production 242, 118516, (2019).</t>
  </si>
  <si>
    <t>Hischier, R. &amp; Hilty, L. Environmental impacts of an international conference. Environmental Impact Assessment Review - ENVIRON IMPACT ASSESS REV 22, 543-557, (2002).</t>
  </si>
  <si>
    <t>GREENVIEW. 2017 Green Venue Report: The State of Convention &amp; Exhibition Center Sustainability, (2017) (Accessed 03/23/2021) https://greenview.sg/wp-content/uploads/2017/08/green-venue-report-2017.pdf.</t>
  </si>
  <si>
    <t>[7]</t>
  </si>
  <si>
    <t>[8]</t>
  </si>
  <si>
    <t>[9]</t>
  </si>
  <si>
    <t>Electricity_LCIA</t>
  </si>
  <si>
    <t>Pre&amp;Exe_LCIA</t>
  </si>
  <si>
    <t>Cox, B., Jemiolo, W. &amp; Mutel, C. Life cycle assessment of air transportation and the Swiss commercial air transport fleet. Transportation Research Part D: Transport and Environment 58, 1-13, (2018).</t>
  </si>
  <si>
    <t>[10]</t>
  </si>
  <si>
    <t>Distance (km)</t>
  </si>
  <si>
    <t>total number of participants (w. location &amp; w/o duplication)</t>
  </si>
  <si>
    <t>total number of participants (w/o duplication)</t>
  </si>
  <si>
    <t>total number of participants (w duplication)</t>
  </si>
  <si>
    <t>total number of conference members (w. location &amp; w/o duplication)</t>
  </si>
  <si>
    <t>total number of non-member participants (w. location &amp; w/o duplication)</t>
  </si>
  <si>
    <t>600 km threshold for rail</t>
  </si>
  <si>
    <t>IP=in-person</t>
  </si>
  <si>
    <t>Average US food supply</t>
  </si>
  <si>
    <t>Waste_LCIA</t>
  </si>
  <si>
    <t>Catering_LCIA</t>
  </si>
  <si>
    <t>[11]</t>
  </si>
  <si>
    <t>[12]</t>
  </si>
  <si>
    <t>Zoom Help Center. System requirements for Windows, macOS, and Linux (Accessed 03/23/2021) https://support.zoom.us/hc/en-us/articles/201362023.</t>
  </si>
  <si>
    <t>Burtscher, L. et al. The carbon footprint of large astronomy meetings. Nature Astronomy 4, 823-825, (2020).</t>
  </si>
  <si>
    <t>[13]</t>
  </si>
  <si>
    <t>ACLCA_raw data</t>
  </si>
  <si>
    <t>Andrae, A. S. G. &amp; Edler, T. On Global Electricity Usage of Communication Technology: Trends to 2030. Challenges 6, (2015).</t>
  </si>
  <si>
    <t>[14]</t>
  </si>
  <si>
    <t>[15]</t>
  </si>
  <si>
    <t>Pärssinen, M., Kotila, M., Cuevas, R., Phansalkar, A. &amp; Manner, J. Environmental impact assessment of online advertising. Environmental Impact Assessment Review 73, 177-200, (2018).</t>
  </si>
  <si>
    <t>Ecoinvent 3.7.1</t>
  </si>
  <si>
    <t>Ecoinvent 3.7.1, included in the office network</t>
  </si>
  <si>
    <t>Ecoinvent 3.7.1, included in the fixed network - PS-core</t>
  </si>
  <si>
    <t>[16]</t>
  </si>
  <si>
    <t xml:space="preserve">Malmodin, J. &amp; Lundén, D. The energy and carbon footprint of the ICT and EaM sector in Sweden 1990-2015 and beyond.  (2016). </t>
  </si>
  <si>
    <t>Whitehead, B., Andrews, D. &amp; Shah, A. The life cycle assessment of a UK data centre. The International Journal of Life Cycle Assessment 20, 332-349, (2015).</t>
  </si>
  <si>
    <t>[17]</t>
  </si>
  <si>
    <t>Data source</t>
  </si>
  <si>
    <t>Share of electricity consumption for fixed network</t>
  </si>
  <si>
    <t>Data center electric usage (kWh/GB)</t>
  </si>
  <si>
    <t>Data center IP traffic (EB)</t>
  </si>
  <si>
    <t>Shehabi, A., Smith, S. J., Masanet, E. &amp; Koomey, J. Data center growth in the United States: decoupling the demand for services from electricity use. Environmental Research Letters 13, 124030, (2018)</t>
  </si>
  <si>
    <t>[18]</t>
  </si>
  <si>
    <t>FAOSTAT. Food Supply - Crops Primary Equivalent, (2013) (Accessed 04/19/2021) http://www.fao.org/faostat/en/#data/CC.</t>
  </si>
  <si>
    <t>[19]</t>
  </si>
  <si>
    <t>[20]</t>
  </si>
  <si>
    <t>FAOSTAT. Food Supply - Livestock and Fish Primary Equivalent, (2013) (Accessed 04/19/2021) http://www.fao.org/faostat/en/#data/CL.</t>
  </si>
  <si>
    <t>[19],[20]</t>
  </si>
  <si>
    <t>U.S. Energy Information Administration. State Energy Data System (SEDS): 1960-2019 (complete), (2021) (Accessed 09/11/2021) https://www.eia.gov/state/seds/seds-data-complete.php?sid=US.</t>
  </si>
  <si>
    <t>[21]</t>
  </si>
  <si>
    <t>[22]</t>
  </si>
  <si>
    <t>UK Department for Business, Energy &amp; Industrial Strategy. Greenhouse Gas Reporting: Conversion Factors 2020, (2020) (Accessed 09/11/2021) https://www.gov.uk/government/publications/greenhouse-gas-reporting-conversion-factors-2020.</t>
  </si>
  <si>
    <t>[23]</t>
  </si>
  <si>
    <t>Network for Transport Measures. Default and Benchmark Transport Data., (2018) (Accessed 09/11/2021) https://www.transportmeasures.org/en/wiki/evaluation-transport-suppliers/train-travel-baselines-2018/.</t>
  </si>
  <si>
    <t>[24]</t>
  </si>
  <si>
    <t>Wernet, G. et al. The ecoinvent database version 3 (part I): overview and methodology. Int. J. Life Cycle Assess. 21, 1218-1230, (2016).</t>
  </si>
  <si>
    <t>[25]</t>
  </si>
  <si>
    <t>[24],[25]</t>
  </si>
  <si>
    <t>Kettunen, T. et al. in 6th USA/Europe Air Traffic Management Seminar, Baltimore.  27-30.</t>
  </si>
  <si>
    <t>[26]</t>
  </si>
  <si>
    <t>Outline:</t>
  </si>
  <si>
    <t>Tab</t>
  </si>
  <si>
    <t>Content</t>
  </si>
  <si>
    <t>Accommodation</t>
  </si>
  <si>
    <t>Transport_1_hub</t>
  </si>
  <si>
    <t>Transport_2_hubs</t>
  </si>
  <si>
    <t>Transport_3_hubs</t>
  </si>
  <si>
    <t>Transport_4_hubs</t>
  </si>
  <si>
    <t>Transport_5_hubs</t>
  </si>
  <si>
    <t>Transport_6_hubs</t>
  </si>
  <si>
    <t>Transportation_LCIA</t>
  </si>
  <si>
    <t>1_hub_LCIA</t>
  </si>
  <si>
    <t>Virtual_LCIA</t>
  </si>
  <si>
    <t>Virtual_1_hub_Comparison</t>
  </si>
  <si>
    <t>Summary_LCIA</t>
  </si>
  <si>
    <t>Virtual_SA</t>
  </si>
  <si>
    <t>SA</t>
  </si>
  <si>
    <t>Conference_hub_summary</t>
  </si>
  <si>
    <t>LCI for accommodation</t>
  </si>
  <si>
    <t>LCI for preparation and execution</t>
  </si>
  <si>
    <t>Raw data of participants from 2020 ACLCA conference</t>
  </si>
  <si>
    <t>Hub assignment and travel distance data for each participant from the facility location optimization results and transportation LCIA for the 1-hub in-person scenario</t>
  </si>
  <si>
    <t>Hub assignment and travel distance data for each participant from the facility location optimization results and transportation LCIA for the 2-hub in-person scenario</t>
  </si>
  <si>
    <t>Hub assignment and travel distance data for each participant from the facility location optimization results and transportation LCIA for the 3-hub in-person scenario</t>
  </si>
  <si>
    <t>Hub assignment and travel distance data for each participant from the facility location optimization results and transportation LCIA for the 4-hub in-person scenario</t>
  </si>
  <si>
    <t>Hub assignment and travel distance data for each participant from the facility location optimization results and transportation LCIA for the 5-hub in-person scenario</t>
  </si>
  <si>
    <t>Hub assignment and travel distance data for each participant from the facility location optimization results and transportation LCIA for the 6-hub in-person scenario</t>
  </si>
  <si>
    <t>LCI for virtual-conferencing services</t>
  </si>
  <si>
    <t>LCIA for catering</t>
  </si>
  <si>
    <t>LCIA for waste disposal</t>
  </si>
  <si>
    <t>LCIA for preparation and execution</t>
  </si>
  <si>
    <t>LCIA for transportation</t>
  </si>
  <si>
    <t>LCIA for electricity</t>
  </si>
  <si>
    <t>LCIA for 1-hub in-person scenario</t>
  </si>
  <si>
    <t>LCIA for virtual scenario</t>
  </si>
  <si>
    <t>Comparison of virtual and 1-hub in-person scenario</t>
  </si>
  <si>
    <t>Sensitivity analysis on several parameters</t>
  </si>
  <si>
    <t>Sensitivity analysis on virtual-related parameters</t>
  </si>
  <si>
    <t>Conference hubs obtained from the facility location optimization results  for each scenario</t>
  </si>
  <si>
    <t>LCIA summary for virtual and all in-person scenarios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</si>
</sst>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00%"/>
    <numFmt numFmtId="167" formatCode="0.00000"/>
    <numFmt numFmtId="168" formatCode="0.000000"/>
    <numFmt numFmtId="169" formatCode="0.0E+00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rebuchet MS"/>
      <family val="2"/>
    </font>
    <font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287">
    <xf numFmtId="0" fontId="0" fillId="0" borderId="0" xfId="0"/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164" fontId="0" fillId="0" borderId="0" xfId="0" applyNumberFormat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5" xfId="0" applyBorder="1" applyAlignment="1">
      <alignment horizontal="center" vertical="center" wrapText="1"/>
    </xf>
    <xf numFmtId="0" fontId="0" fillId="0" borderId="8" xfId="0" applyBorder="1"/>
    <xf numFmtId="2" fontId="0" fillId="0" borderId="0" xfId="0" applyNumberFormat="1" applyBorder="1"/>
    <xf numFmtId="2" fontId="0" fillId="0" borderId="7" xfId="0" applyNumberFormat="1" applyBorder="1"/>
    <xf numFmtId="0" fontId="0" fillId="0" borderId="2" xfId="0" applyBorder="1"/>
    <xf numFmtId="11" fontId="0" fillId="0" borderId="0" xfId="0" applyNumberFormat="1"/>
    <xf numFmtId="11" fontId="0" fillId="0" borderId="0" xfId="0" applyNumberFormat="1" applyAlignment="1">
      <alignment vertical="center"/>
    </xf>
    <xf numFmtId="11" fontId="0" fillId="0" borderId="0" xfId="0" applyNumberFormat="1" applyAlignment="1">
      <alignment horizontal="center" vertical="center"/>
    </xf>
    <xf numFmtId="11" fontId="0" fillId="0" borderId="0" xfId="0" applyNumberFormat="1" applyAlignment="1">
      <alignment horizontal="left" vertical="center"/>
    </xf>
    <xf numFmtId="165" fontId="0" fillId="0" borderId="0" xfId="2" applyNumberFormat="1" applyFont="1"/>
    <xf numFmtId="0" fontId="3" fillId="0" borderId="0" xfId="0" applyFont="1" applyBorder="1"/>
    <xf numFmtId="2" fontId="0" fillId="0" borderId="0" xfId="0" applyNumberFormat="1"/>
    <xf numFmtId="11" fontId="0" fillId="0" borderId="1" xfId="0" applyNumberFormat="1" applyBorder="1"/>
    <xf numFmtId="11" fontId="0" fillId="0" borderId="2" xfId="0" applyNumberFormat="1" applyBorder="1" applyAlignment="1">
      <alignment horizontal="center" vertical="center" wrapText="1"/>
    </xf>
    <xf numFmtId="11" fontId="0" fillId="0" borderId="2" xfId="0" applyNumberFormat="1" applyBorder="1" applyAlignment="1">
      <alignment horizontal="center" vertical="center"/>
    </xf>
    <xf numFmtId="11" fontId="0" fillId="0" borderId="3" xfId="0" applyNumberFormat="1" applyBorder="1" applyAlignment="1">
      <alignment horizontal="center" vertical="center"/>
    </xf>
    <xf numFmtId="11" fontId="0" fillId="0" borderId="0" xfId="0" applyNumberFormat="1" applyBorder="1" applyAlignment="1">
      <alignment vertical="center"/>
    </xf>
    <xf numFmtId="11" fontId="0" fillId="0" borderId="0" xfId="0" applyNumberFormat="1" applyBorder="1"/>
    <xf numFmtId="11" fontId="0" fillId="0" borderId="5" xfId="0" applyNumberFormat="1" applyBorder="1"/>
    <xf numFmtId="11" fontId="0" fillId="0" borderId="7" xfId="0" applyNumberFormat="1" applyBorder="1"/>
    <xf numFmtId="11" fontId="0" fillId="0" borderId="8" xfId="0" applyNumberFormat="1" applyBorder="1"/>
    <xf numFmtId="0" fontId="0" fillId="0" borderId="0" xfId="0" applyFill="1" applyBorder="1"/>
    <xf numFmtId="0" fontId="0" fillId="0" borderId="7" xfId="0" applyFill="1" applyBorder="1"/>
    <xf numFmtId="11" fontId="0" fillId="0" borderId="3" xfId="0" applyNumberFormat="1" applyBorder="1" applyAlignment="1">
      <alignment horizontal="center" vertical="center" wrapText="1"/>
    </xf>
    <xf numFmtId="11" fontId="3" fillId="0" borderId="0" xfId="0" applyNumberFormat="1" applyFont="1" applyBorder="1"/>
    <xf numFmtId="11" fontId="0" fillId="0" borderId="0" xfId="0" applyNumberFormat="1" applyBorder="1" applyAlignment="1">
      <alignment horizontal="left" vertical="center"/>
    </xf>
    <xf numFmtId="2" fontId="0" fillId="0" borderId="2" xfId="0" applyNumberFormat="1" applyBorder="1"/>
    <xf numFmtId="2" fontId="0" fillId="0" borderId="3" xfId="0" applyNumberFormat="1" applyBorder="1"/>
    <xf numFmtId="2" fontId="0" fillId="0" borderId="1" xfId="0" applyNumberFormat="1" applyBorder="1"/>
    <xf numFmtId="2" fontId="0" fillId="0" borderId="4" xfId="0" applyNumberFormat="1" applyBorder="1"/>
    <xf numFmtId="0" fontId="2" fillId="0" borderId="0" xfId="0" applyFont="1"/>
    <xf numFmtId="166" fontId="0" fillId="0" borderId="0" xfId="2" applyNumberFormat="1" applyFont="1"/>
    <xf numFmtId="0" fontId="3" fillId="0" borderId="0" xfId="0" applyFont="1"/>
    <xf numFmtId="2" fontId="0" fillId="3" borderId="0" xfId="0" applyNumberFormat="1" applyFill="1"/>
    <xf numFmtId="2" fontId="3" fillId="0" borderId="0" xfId="0" applyNumberFormat="1" applyFont="1"/>
    <xf numFmtId="2" fontId="2" fillId="0" borderId="0" xfId="0" applyNumberFormat="1" applyFont="1"/>
    <xf numFmtId="9" fontId="0" fillId="0" borderId="0" xfId="2" applyFont="1"/>
    <xf numFmtId="0" fontId="3" fillId="0" borderId="8" xfId="0" applyFont="1" applyBorder="1"/>
    <xf numFmtId="1" fontId="0" fillId="0" borderId="0" xfId="0" applyNumberFormat="1" applyBorder="1"/>
    <xf numFmtId="1" fontId="0" fillId="0" borderId="5" xfId="0" applyNumberFormat="1" applyBorder="1"/>
    <xf numFmtId="2" fontId="0" fillId="0" borderId="2" xfId="0" applyNumberFormat="1" applyBorder="1" applyAlignment="1">
      <alignment wrapText="1"/>
    </xf>
    <xf numFmtId="2" fontId="0" fillId="0" borderId="3" xfId="0" applyNumberFormat="1" applyBorder="1" applyAlignment="1">
      <alignment wrapText="1"/>
    </xf>
    <xf numFmtId="11" fontId="0" fillId="2" borderId="0" xfId="0" applyNumberFormat="1" applyFill="1" applyBorder="1"/>
    <xf numFmtId="2" fontId="0" fillId="2" borderId="0" xfId="0" applyNumberFormat="1" applyFill="1"/>
    <xf numFmtId="2" fontId="0" fillId="0" borderId="0" xfId="0" applyNumberFormat="1" applyFill="1"/>
    <xf numFmtId="0" fontId="0" fillId="0" borderId="0" xfId="2" applyNumberFormat="1" applyFont="1"/>
    <xf numFmtId="0" fontId="0" fillId="0" borderId="0" xfId="0" applyFill="1"/>
    <xf numFmtId="0" fontId="0" fillId="4" borderId="0" xfId="0" applyFill="1"/>
    <xf numFmtId="0" fontId="0" fillId="5" borderId="0" xfId="0" applyFill="1"/>
    <xf numFmtId="11" fontId="3" fillId="0" borderId="0" xfId="0" applyNumberFormat="1" applyFont="1"/>
    <xf numFmtId="2" fontId="3" fillId="0" borderId="0" xfId="0" applyNumberFormat="1" applyFont="1" applyFill="1"/>
    <xf numFmtId="11" fontId="0" fillId="0" borderId="0" xfId="0" applyNumberFormat="1" applyBorder="1" applyAlignment="1">
      <alignment horizontal="center" vertical="center" wrapText="1"/>
    </xf>
    <xf numFmtId="11" fontId="0" fillId="0" borderId="5" xfId="0" applyNumberFormat="1" applyBorder="1" applyAlignment="1">
      <alignment vertical="center"/>
    </xf>
    <xf numFmtId="167" fontId="0" fillId="4" borderId="0" xfId="0" applyNumberFormat="1" applyFill="1"/>
    <xf numFmtId="168" fontId="0" fillId="4" borderId="0" xfId="0" applyNumberFormat="1" applyFill="1"/>
    <xf numFmtId="11" fontId="0" fillId="0" borderId="2" xfId="0" applyNumberFormat="1" applyBorder="1"/>
    <xf numFmtId="11" fontId="0" fillId="0" borderId="4" xfId="0" applyNumberFormat="1" applyBorder="1"/>
    <xf numFmtId="11" fontId="0" fillId="0" borderId="6" xfId="0" applyNumberFormat="1" applyBorder="1"/>
    <xf numFmtId="1" fontId="0" fillId="0" borderId="0" xfId="0" applyNumberFormat="1"/>
    <xf numFmtId="11" fontId="0" fillId="0" borderId="0" xfId="0" applyNumberFormat="1" applyFill="1"/>
    <xf numFmtId="11" fontId="0" fillId="5" borderId="0" xfId="0" applyNumberFormat="1" applyFill="1"/>
    <xf numFmtId="165" fontId="2" fillId="0" borderId="0" xfId="2" applyNumberFormat="1" applyFont="1"/>
    <xf numFmtId="2" fontId="0" fillId="4" borderId="0" xfId="0" applyNumberFormat="1" applyFill="1"/>
    <xf numFmtId="9" fontId="2" fillId="0" borderId="0" xfId="2" applyFont="1"/>
    <xf numFmtId="11" fontId="2" fillId="0" borderId="0" xfId="0" applyNumberFormat="1" applyFont="1" applyBorder="1"/>
    <xf numFmtId="0" fontId="3" fillId="0" borderId="0" xfId="0" applyFont="1" applyFill="1"/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2" xfId="0" applyNumberFormat="1" applyFill="1" applyBorder="1" applyAlignment="1">
      <alignment horizontal="center" vertical="center"/>
    </xf>
    <xf numFmtId="11" fontId="0" fillId="0" borderId="0" xfId="0" applyNumberFormat="1" applyFill="1" applyBorder="1"/>
    <xf numFmtId="11" fontId="0" fillId="0" borderId="7" xfId="0" applyNumberFormat="1" applyFill="1" applyBorder="1"/>
    <xf numFmtId="2" fontId="0" fillId="0" borderId="7" xfId="0" applyNumberForma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1" fontId="3" fillId="0" borderId="0" xfId="0" applyNumberFormat="1" applyFont="1" applyFill="1" applyBorder="1"/>
    <xf numFmtId="0" fontId="0" fillId="0" borderId="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1" fontId="0" fillId="0" borderId="3" xfId="0" applyNumberFormat="1" applyBorder="1"/>
    <xf numFmtId="0" fontId="3" fillId="0" borderId="0" xfId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0" borderId="12" xfId="0" applyFont="1" applyBorder="1" applyAlignment="1">
      <alignment horizontal="center" vertical="top"/>
    </xf>
    <xf numFmtId="2" fontId="3" fillId="0" borderId="0" xfId="0" applyNumberFormat="1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2" fontId="3" fillId="0" borderId="7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/>
    </xf>
    <xf numFmtId="169" fontId="0" fillId="0" borderId="0" xfId="0" applyNumberFormat="1" applyBorder="1"/>
    <xf numFmtId="169" fontId="0" fillId="0" borderId="5" xfId="0" applyNumberFormat="1" applyBorder="1"/>
    <xf numFmtId="169" fontId="0" fillId="0" borderId="7" xfId="0" applyNumberFormat="1" applyBorder="1"/>
    <xf numFmtId="169" fontId="0" fillId="0" borderId="8" xfId="0" applyNumberFormat="1" applyBorder="1"/>
    <xf numFmtId="2" fontId="0" fillId="0" borderId="6" xfId="0" applyNumberFormat="1" applyBorder="1"/>
    <xf numFmtId="0" fontId="0" fillId="0" borderId="4" xfId="0" applyFill="1" applyBorder="1"/>
    <xf numFmtId="0" fontId="0" fillId="0" borderId="6" xfId="0" applyFill="1" applyBorder="1"/>
    <xf numFmtId="0" fontId="3" fillId="0" borderId="1" xfId="0" applyFont="1" applyFill="1" applyBorder="1"/>
    <xf numFmtId="0" fontId="3" fillId="0" borderId="2" xfId="0" applyFont="1" applyFill="1" applyBorder="1"/>
    <xf numFmtId="0" fontId="3" fillId="0" borderId="4" xfId="0" applyFont="1" applyFill="1" applyBorder="1"/>
    <xf numFmtId="0" fontId="3" fillId="0" borderId="0" xfId="0" applyFont="1" applyFill="1" applyBorder="1"/>
    <xf numFmtId="11" fontId="3" fillId="0" borderId="0" xfId="0" applyNumberFormat="1" applyFont="1" applyFill="1"/>
    <xf numFmtId="10" fontId="3" fillId="0" borderId="0" xfId="2" applyNumberFormat="1" applyFont="1" applyFill="1"/>
    <xf numFmtId="9" fontId="3" fillId="0" borderId="0" xfId="2" applyFont="1" applyFill="1"/>
    <xf numFmtId="10" fontId="3" fillId="0" borderId="0" xfId="0" applyNumberFormat="1" applyFont="1" applyFill="1"/>
    <xf numFmtId="9" fontId="3" fillId="0" borderId="0" xfId="0" applyNumberFormat="1" applyFont="1" applyFill="1"/>
    <xf numFmtId="0" fontId="3" fillId="0" borderId="0" xfId="0" applyFont="1" applyFill="1" applyBorder="1" applyAlignment="1"/>
    <xf numFmtId="0" fontId="3" fillId="0" borderId="6" xfId="0" applyFont="1" applyFill="1" applyBorder="1"/>
    <xf numFmtId="0" fontId="3" fillId="0" borderId="7" xfId="0" applyFont="1" applyFill="1" applyBorder="1"/>
    <xf numFmtId="0" fontId="3" fillId="0" borderId="3" xfId="0" applyFont="1" applyFill="1" applyBorder="1"/>
    <xf numFmtId="0" fontId="3" fillId="0" borderId="5" xfId="0" applyFont="1" applyFill="1" applyBorder="1"/>
    <xf numFmtId="0" fontId="7" fillId="0" borderId="0" xfId="0" applyFont="1" applyFill="1" applyBorder="1"/>
    <xf numFmtId="0" fontId="3" fillId="0" borderId="8" xfId="0" applyFont="1" applyFill="1" applyBorder="1"/>
    <xf numFmtId="1" fontId="3" fillId="0" borderId="0" xfId="0" applyNumberFormat="1" applyFont="1" applyFill="1"/>
    <xf numFmtId="11" fontId="3" fillId="0" borderId="0" xfId="2" applyNumberFormat="1" applyFont="1" applyFill="1"/>
    <xf numFmtId="2" fontId="3" fillId="0" borderId="2" xfId="0" applyNumberFormat="1" applyFont="1" applyFill="1" applyBorder="1"/>
    <xf numFmtId="2" fontId="3" fillId="0" borderId="3" xfId="0" applyNumberFormat="1" applyFont="1" applyFill="1" applyBorder="1"/>
    <xf numFmtId="2" fontId="3" fillId="0" borderId="0" xfId="0" applyNumberFormat="1" applyFont="1" applyFill="1" applyBorder="1"/>
    <xf numFmtId="2" fontId="3" fillId="0" borderId="5" xfId="0" applyNumberFormat="1" applyFont="1" applyFill="1" applyBorder="1"/>
    <xf numFmtId="2" fontId="3" fillId="0" borderId="0" xfId="0" applyNumberFormat="1" applyFont="1" applyFill="1" applyBorder="1" applyAlignment="1"/>
    <xf numFmtId="2" fontId="3" fillId="0" borderId="5" xfId="0" applyNumberFormat="1" applyFont="1" applyFill="1" applyBorder="1" applyAlignment="1"/>
    <xf numFmtId="2" fontId="3" fillId="0" borderId="7" xfId="0" applyNumberFormat="1" applyFont="1" applyFill="1" applyBorder="1"/>
    <xf numFmtId="2" fontId="3" fillId="0" borderId="8" xfId="0" applyNumberFormat="1" applyFont="1" applyFill="1" applyBorder="1"/>
    <xf numFmtId="1" fontId="3" fillId="0" borderId="0" xfId="0" applyNumberFormat="1" applyFont="1"/>
    <xf numFmtId="11" fontId="0" fillId="0" borderId="3" xfId="0" applyNumberFormat="1" applyFill="1" applyBorder="1" applyAlignment="1">
      <alignment horizontal="center" vertical="center"/>
    </xf>
    <xf numFmtId="11" fontId="0" fillId="0" borderId="5" xfId="0" applyNumberFormat="1" applyFill="1" applyBorder="1"/>
    <xf numFmtId="11" fontId="0" fillId="0" borderId="8" xfId="0" applyNumberFormat="1" applyFill="1" applyBorder="1"/>
    <xf numFmtId="11" fontId="0" fillId="0" borderId="1" xfId="0" applyNumberFormat="1" applyFill="1" applyBorder="1" applyAlignment="1">
      <alignment vertical="center"/>
    </xf>
    <xf numFmtId="11" fontId="0" fillId="0" borderId="2" xfId="0" applyNumberFormat="1" applyFill="1" applyBorder="1" applyAlignment="1">
      <alignment horizontal="center" vertical="center" wrapText="1"/>
    </xf>
    <xf numFmtId="11" fontId="0" fillId="0" borderId="0" xfId="0" applyNumberFormat="1" applyFill="1" applyAlignment="1">
      <alignment horizontal="center" vertical="center"/>
    </xf>
    <xf numFmtId="11" fontId="0" fillId="0" borderId="4" xfId="0" applyNumberFormat="1" applyFill="1" applyBorder="1" applyAlignment="1">
      <alignment vertical="center"/>
    </xf>
    <xf numFmtId="11" fontId="0" fillId="0" borderId="0" xfId="0" applyNumberFormat="1" applyFill="1" applyBorder="1" applyAlignment="1">
      <alignment vertical="center"/>
    </xf>
    <xf numFmtId="2" fontId="0" fillId="0" borderId="0" xfId="0" applyNumberFormat="1" applyFill="1" applyBorder="1"/>
    <xf numFmtId="11" fontId="0" fillId="0" borderId="7" xfId="0" applyNumberFormat="1" applyFill="1" applyBorder="1" applyAlignment="1">
      <alignment vertical="center"/>
    </xf>
    <xf numFmtId="2" fontId="0" fillId="0" borderId="7" xfId="0" applyNumberFormat="1" applyFill="1" applyBorder="1"/>
    <xf numFmtId="11" fontId="0" fillId="0" borderId="0" xfId="0" applyNumberFormat="1" applyFill="1" applyAlignment="1">
      <alignment vertical="center"/>
    </xf>
    <xf numFmtId="0" fontId="3" fillId="0" borderId="2" xfId="0" applyFont="1" applyBorder="1"/>
    <xf numFmtId="0" fontId="3" fillId="0" borderId="3" xfId="0" applyFont="1" applyBorder="1"/>
    <xf numFmtId="0" fontId="3" fillId="0" borderId="5" xfId="0" applyFont="1" applyBorder="1"/>
    <xf numFmtId="0" fontId="3" fillId="0" borderId="7" xfId="0" applyFont="1" applyBorder="1"/>
    <xf numFmtId="11" fontId="0" fillId="0" borderId="0" xfId="2" applyNumberFormat="1" applyFont="1"/>
    <xf numFmtId="11" fontId="3" fillId="0" borderId="1" xfId="0" applyNumberFormat="1" applyFont="1" applyBorder="1"/>
    <xf numFmtId="11" fontId="3" fillId="0" borderId="2" xfId="0" applyNumberFormat="1" applyFont="1" applyBorder="1"/>
    <xf numFmtId="11" fontId="3" fillId="0" borderId="3" xfId="0" applyNumberFormat="1" applyFont="1" applyBorder="1"/>
    <xf numFmtId="11" fontId="3" fillId="0" borderId="5" xfId="0" applyNumberFormat="1" applyFont="1" applyBorder="1"/>
    <xf numFmtId="11" fontId="3" fillId="0" borderId="4" xfId="0" applyNumberFormat="1" applyFont="1" applyBorder="1"/>
    <xf numFmtId="11" fontId="3" fillId="0" borderId="7" xfId="0" applyNumberFormat="1" applyFont="1" applyBorder="1"/>
    <xf numFmtId="11" fontId="3" fillId="0" borderId="8" xfId="0" applyNumberFormat="1" applyFont="1" applyBorder="1"/>
    <xf numFmtId="165" fontId="3" fillId="0" borderId="0" xfId="2" applyNumberFormat="1" applyFont="1" applyFill="1"/>
    <xf numFmtId="9" fontId="3" fillId="0" borderId="0" xfId="0" applyNumberFormat="1" applyFont="1" applyFill="1" applyBorder="1"/>
    <xf numFmtId="9" fontId="3" fillId="0" borderId="7" xfId="0" applyNumberFormat="1" applyFont="1" applyFill="1" applyBorder="1"/>
    <xf numFmtId="11" fontId="3" fillId="0" borderId="7" xfId="0" applyNumberFormat="1" applyFont="1" applyFill="1" applyBorder="1"/>
    <xf numFmtId="0" fontId="3" fillId="0" borderId="0" xfId="0" applyFont="1" applyFill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2" fontId="3" fillId="0" borderId="5" xfId="0" applyNumberFormat="1" applyFont="1" applyFill="1" applyBorder="1" applyAlignment="1">
      <alignment horizontal="center" vertical="center"/>
    </xf>
    <xf numFmtId="2" fontId="3" fillId="0" borderId="8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11" fontId="3" fillId="0" borderId="0" xfId="0" applyNumberFormat="1" applyFont="1" applyFill="1" applyBorder="1" applyAlignment="1">
      <alignment horizontal="center" vertical="center"/>
    </xf>
    <xf numFmtId="2" fontId="3" fillId="0" borderId="7" xfId="0" applyNumberFormat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11" fontId="3" fillId="0" borderId="7" xfId="0" applyNumberFormat="1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9" fontId="3" fillId="0" borderId="3" xfId="2" applyNumberFormat="1" applyFont="1" applyFill="1" applyBorder="1"/>
    <xf numFmtId="9" fontId="3" fillId="0" borderId="5" xfId="2" applyNumberFormat="1" applyFont="1" applyFill="1" applyBorder="1"/>
    <xf numFmtId="11" fontId="3" fillId="0" borderId="1" xfId="0" applyNumberFormat="1" applyFont="1" applyFill="1" applyBorder="1"/>
    <xf numFmtId="11" fontId="3" fillId="0" borderId="2" xfId="0" applyNumberFormat="1" applyFont="1" applyFill="1" applyBorder="1"/>
    <xf numFmtId="11" fontId="3" fillId="0" borderId="3" xfId="0" applyNumberFormat="1" applyFont="1" applyFill="1" applyBorder="1"/>
    <xf numFmtId="11" fontId="3" fillId="0" borderId="5" xfId="0" applyNumberFormat="1" applyFont="1" applyFill="1" applyBorder="1"/>
    <xf numFmtId="11" fontId="3" fillId="0" borderId="6" xfId="0" applyNumberFormat="1" applyFont="1" applyFill="1" applyBorder="1"/>
    <xf numFmtId="11" fontId="3" fillId="0" borderId="8" xfId="0" applyNumberFormat="1" applyFont="1" applyFill="1" applyBorder="1"/>
    <xf numFmtId="11" fontId="3" fillId="0" borderId="4" xfId="0" applyNumberFormat="1" applyFont="1" applyFill="1" applyBorder="1"/>
    <xf numFmtId="0" fontId="3" fillId="0" borderId="0" xfId="0" applyNumberFormat="1" applyFont="1" applyFill="1" applyBorder="1"/>
    <xf numFmtId="2" fontId="3" fillId="0" borderId="0" xfId="2" applyNumberFormat="1" applyFont="1" applyFill="1"/>
    <xf numFmtId="11" fontId="3" fillId="0" borderId="0" xfId="0" applyNumberFormat="1" applyFont="1" applyFill="1" applyAlignment="1">
      <alignment horizontal="left" vertical="center"/>
    </xf>
    <xf numFmtId="2" fontId="3" fillId="0" borderId="1" xfId="0" applyNumberFormat="1" applyFont="1" applyFill="1" applyBorder="1"/>
    <xf numFmtId="9" fontId="3" fillId="0" borderId="2" xfId="0" applyNumberFormat="1" applyFont="1" applyFill="1" applyBorder="1"/>
    <xf numFmtId="10" fontId="3" fillId="0" borderId="7" xfId="0" applyNumberFormat="1" applyFont="1" applyFill="1" applyBorder="1"/>
    <xf numFmtId="11" fontId="3" fillId="0" borderId="1" xfId="0" applyNumberFormat="1" applyFont="1" applyFill="1" applyBorder="1" applyAlignment="1">
      <alignment wrapText="1"/>
    </xf>
    <xf numFmtId="11" fontId="3" fillId="0" borderId="3" xfId="0" applyNumberFormat="1" applyFont="1" applyFill="1" applyBorder="1" applyAlignment="1"/>
    <xf numFmtId="11" fontId="3" fillId="0" borderId="0" xfId="0" applyNumberFormat="1" applyFont="1" applyFill="1" applyAlignment="1"/>
    <xf numFmtId="11" fontId="3" fillId="2" borderId="4" xfId="0" applyNumberFormat="1" applyFont="1" applyFill="1" applyBorder="1" applyAlignment="1">
      <alignment wrapText="1"/>
    </xf>
    <xf numFmtId="11" fontId="3" fillId="2" borderId="6" xfId="0" applyNumberFormat="1" applyFont="1" applyFill="1" applyBorder="1" applyAlignment="1">
      <alignment wrapText="1"/>
    </xf>
    <xf numFmtId="11" fontId="8" fillId="0" borderId="0" xfId="1" applyNumberFormat="1" applyFont="1" applyFill="1"/>
    <xf numFmtId="11" fontId="3" fillId="0" borderId="0" xfId="0" applyNumberFormat="1" applyFont="1" applyFill="1" applyAlignment="1">
      <alignment wrapText="1"/>
    </xf>
    <xf numFmtId="1" fontId="3" fillId="0" borderId="0" xfId="0" applyNumberFormat="1" applyFont="1" applyFill="1" applyBorder="1"/>
    <xf numFmtId="1" fontId="3" fillId="0" borderId="7" xfId="0" applyNumberFormat="1" applyFont="1" applyFill="1" applyBorder="1"/>
    <xf numFmtId="9" fontId="3" fillId="0" borderId="0" xfId="2" applyFont="1" applyFill="1" applyBorder="1"/>
    <xf numFmtId="165" fontId="3" fillId="0" borderId="0" xfId="0" applyNumberFormat="1" applyFont="1" applyFill="1" applyBorder="1"/>
    <xf numFmtId="9" fontId="3" fillId="0" borderId="5" xfId="2" applyFont="1" applyFill="1" applyBorder="1"/>
    <xf numFmtId="10" fontId="3" fillId="0" borderId="0" xfId="0" applyNumberFormat="1" applyFont="1" applyFill="1" applyBorder="1"/>
    <xf numFmtId="9" fontId="3" fillId="0" borderId="7" xfId="2" applyFont="1" applyFill="1" applyBorder="1"/>
    <xf numFmtId="165" fontId="3" fillId="0" borderId="7" xfId="0" applyNumberFormat="1" applyFont="1" applyFill="1" applyBorder="1"/>
    <xf numFmtId="9" fontId="3" fillId="0" borderId="8" xfId="2" applyFont="1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0" fontId="3" fillId="0" borderId="8" xfId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11" fontId="0" fillId="0" borderId="14" xfId="0" applyNumberFormat="1" applyBorder="1" applyAlignment="1">
      <alignment horizontal="center" vertical="center"/>
    </xf>
    <xf numFmtId="11" fontId="0" fillId="0" borderId="15" xfId="0" applyNumberFormat="1" applyBorder="1" applyAlignment="1">
      <alignment horizontal="center" vertical="center"/>
    </xf>
    <xf numFmtId="11" fontId="0" fillId="0" borderId="4" xfId="0" applyNumberFormat="1" applyBorder="1" applyAlignment="1">
      <alignment horizontal="center" vertical="center" wrapText="1"/>
    </xf>
    <xf numFmtId="11" fontId="0" fillId="0" borderId="6" xfId="0" applyNumberFormat="1" applyBorder="1" applyAlignment="1">
      <alignment horizontal="center" vertical="center" wrapText="1"/>
    </xf>
    <xf numFmtId="11" fontId="0" fillId="0" borderId="0" xfId="0" applyNumberFormat="1" applyBorder="1" applyAlignment="1">
      <alignment horizontal="left" vertical="center"/>
    </xf>
    <xf numFmtId="11" fontId="0" fillId="0" borderId="4" xfId="0" applyNumberFormat="1" applyBorder="1" applyAlignment="1">
      <alignment horizontal="left" vertical="center" wrapText="1"/>
    </xf>
    <xf numFmtId="11" fontId="0" fillId="0" borderId="7" xfId="0" applyNumberFormat="1" applyBorder="1" applyAlignment="1">
      <alignment horizontal="left" vertical="center"/>
    </xf>
    <xf numFmtId="11" fontId="0" fillId="0" borderId="4" xfId="0" applyNumberFormat="1" applyBorder="1" applyAlignment="1">
      <alignment horizontal="left" vertical="center"/>
    </xf>
    <xf numFmtId="11" fontId="0" fillId="0" borderId="6" xfId="0" applyNumberFormat="1" applyBorder="1" applyAlignment="1">
      <alignment horizontal="left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top"/>
    </xf>
    <xf numFmtId="11" fontId="3" fillId="0" borderId="4" xfId="0" applyNumberFormat="1" applyFont="1" applyBorder="1" applyAlignment="1">
      <alignment horizontal="left" vertical="center"/>
    </xf>
    <xf numFmtId="11" fontId="3" fillId="0" borderId="6" xfId="0" applyNumberFormat="1" applyFont="1" applyBorder="1" applyAlignment="1">
      <alignment horizontal="left" vertical="center"/>
    </xf>
    <xf numFmtId="11" fontId="3" fillId="0" borderId="0" xfId="0" applyNumberFormat="1" applyFont="1" applyBorder="1" applyAlignment="1">
      <alignment horizontal="left" vertical="center"/>
    </xf>
    <xf numFmtId="11" fontId="3" fillId="0" borderId="4" xfId="0" applyNumberFormat="1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1" fontId="3" fillId="0" borderId="6" xfId="0" applyNumberFormat="1" applyFont="1" applyFill="1" applyBorder="1" applyAlignment="1">
      <alignment horizontal="left" vertical="center"/>
    </xf>
    <xf numFmtId="11" fontId="3" fillId="0" borderId="0" xfId="0" applyNumberFormat="1" applyFont="1" applyFill="1" applyBorder="1" applyAlignment="1">
      <alignment horizontal="left" vertical="center"/>
    </xf>
    <xf numFmtId="11" fontId="3" fillId="0" borderId="4" xfId="0" applyNumberFormat="1" applyFont="1" applyFill="1" applyBorder="1" applyAlignment="1">
      <alignment horizontal="center" vertical="center"/>
    </xf>
    <xf numFmtId="11" fontId="3" fillId="0" borderId="2" xfId="0" applyNumberFormat="1" applyFont="1" applyFill="1" applyBorder="1" applyAlignment="1">
      <alignment horizontal="center"/>
    </xf>
    <xf numFmtId="11" fontId="3" fillId="0" borderId="0" xfId="0" applyNumberFormat="1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1" fontId="3" fillId="0" borderId="0" xfId="2" applyNumberFormat="1" applyFont="1" applyFill="1" applyBorder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6AB02"/>
      <color rgb="FF92D050"/>
      <color rgb="FF418ABD"/>
      <color rgb="FF8DA0CB"/>
      <color rgb="FFFDB462"/>
      <color rgb="FF00B050"/>
      <color rgb="FF377EB8"/>
      <color rgb="FFE41A1C"/>
      <color rgb="FFFFD92F"/>
      <color rgb="FFBEAE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ESE/Desktop/battery%20LCA/Working%20on/LCI%20data_ALCA_new_ReCiPe%20E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ESE/Desktop/Virtual%20Con/Catering%20by%20Type%20and%20S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ESE/Desktop/Virtual%20Con/Virtual%20Con/SA/Virtual%20Con_S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br."/>
      <sheetName val="NY elec. mix"/>
      <sheetName val="TX elec. mix"/>
      <sheetName val="NY elec. mix_SA"/>
      <sheetName val="Sheet3"/>
      <sheetName val="Sheet6"/>
      <sheetName val="Sheet7"/>
      <sheetName val="Sheet5"/>
      <sheetName val="Sheet1"/>
      <sheetName val="TEA"/>
      <sheetName val="LFP-ALCA-1life"/>
      <sheetName val="LMO&amp;NCM-ALCA-1life"/>
      <sheetName val="NMC333-ALCA-1life"/>
      <sheetName val="NMC622-ALCA-1life"/>
      <sheetName val="NMC532-ALCA-1life"/>
      <sheetName val="NCM811-ALCA-1life"/>
      <sheetName val="NCA_ALCA-1life"/>
      <sheetName val="LFP-ALCA-2life"/>
      <sheetName val="LMO&amp;NCM-ALCA-2life"/>
      <sheetName val="NMC333-ALCA-2life"/>
      <sheetName val="NMC532-ALCA-2life"/>
      <sheetName val="NMC622-ALCA-2life"/>
      <sheetName val="NCM811-ALCA-2life"/>
      <sheetName val="NCA-ALCA-2life"/>
      <sheetName val="transport"/>
      <sheetName val="Sheet2"/>
      <sheetName val="TEA (2)"/>
      <sheetName val="LFP-assumption"/>
      <sheetName val="LMO&amp;NCM-assumption"/>
      <sheetName val="NMC333-assumption"/>
      <sheetName val="NMC622-assumption"/>
      <sheetName val="NMC532-assumption"/>
      <sheetName val="NCM811-assumption"/>
      <sheetName val="NCA-assumption"/>
      <sheetName val="LFP-mass balance-1life"/>
      <sheetName val="LFP-mass balance-2life"/>
      <sheetName val="LMO&amp;NCM-mass balance-1life"/>
      <sheetName val="LMO&amp;NCM-mass balance-2life"/>
      <sheetName val="NMC333-mass balance-1life"/>
      <sheetName val="NMC333-mass balance-2life"/>
      <sheetName val="NMC622-mass balance-1life"/>
      <sheetName val="NMC622-mass balance-2life"/>
      <sheetName val="NMC532-mass balance-1life"/>
      <sheetName val="NMC532-mass balance-2life"/>
      <sheetName val="NCM811-mass balance-1life"/>
      <sheetName val="NCM811-mass balance-2life"/>
      <sheetName val="NCA-mass balance-1life"/>
      <sheetName val="NCA-mass balance-2life"/>
      <sheetName val="LFP-recycle"/>
      <sheetName val="LMO&amp;NCM-recycle"/>
      <sheetName val="NMC333-recycle"/>
      <sheetName val="NMC622-recycle"/>
      <sheetName val="NMC532-recycle"/>
      <sheetName val="NCM811-recycle"/>
      <sheetName val="NCA-recycle"/>
      <sheetName val="LFP-production"/>
      <sheetName val="LMO&amp;NCM-production"/>
      <sheetName val="NMC333-production"/>
      <sheetName val="NMC622-production"/>
      <sheetName val="NCM811-production"/>
      <sheetName val="NMC532-production"/>
      <sheetName val="NCA-production"/>
      <sheetName val="LFP-first use"/>
      <sheetName val="LMO&amp;NCM-first use"/>
      <sheetName val="NMC333-first use"/>
      <sheetName val="NMC622-first use"/>
      <sheetName val="NMC532-first use"/>
      <sheetName val="NCM811-first use"/>
      <sheetName val="NCA-first use"/>
      <sheetName val="LFP-repurpose"/>
      <sheetName val="LMO&amp;NCM-repurpose"/>
      <sheetName val="NMC333-repurpose"/>
      <sheetName val="NMC622-repurpose"/>
      <sheetName val="NMC532-repurpose"/>
      <sheetName val="NCM811-repurpose"/>
      <sheetName val="NCA-repurpose"/>
      <sheetName val="LFP-second use"/>
      <sheetName val="LMO&amp;NCM-second use"/>
      <sheetName val="NMC333-second use"/>
      <sheetName val="NMC532-second use"/>
      <sheetName val="NMC622-second use"/>
      <sheetName val="NCM811-second use"/>
      <sheetName val="NCA-second use"/>
      <sheetName val="Sheet4"/>
      <sheetName val="Comparison1"/>
      <sheetName val="Comparison2"/>
      <sheetName val="Figures"/>
      <sheetName val="US elec. mix"/>
      <sheetName val="CA elec. mix"/>
      <sheetName val="LMO-assumption"/>
      <sheetName val="LMO-mass balance-1life"/>
      <sheetName val="LMO-mass balance-2life"/>
      <sheetName val="LMO-production"/>
      <sheetName val="LMO-first use"/>
      <sheetName val="LMO-repurpose"/>
      <sheetName val="LMO-second use"/>
      <sheetName val="LMO-recycle"/>
      <sheetName val="LMO-ALCA-1life"/>
      <sheetName val="LMO-ALCA-2life"/>
    </sheetNames>
    <sheetDataSet>
      <sheetData sheetId="0"/>
      <sheetData sheetId="1">
        <row r="2">
          <cell r="R2" t="str">
            <v>Agricultural land occupation</v>
          </cell>
          <cell r="S2" t="str">
            <v>Climate change</v>
          </cell>
          <cell r="T2" t="str">
            <v>Fossil depletion</v>
          </cell>
          <cell r="U2" t="str">
            <v>Freshwater ecotoxicity</v>
          </cell>
          <cell r="V2" t="str">
            <v>Freshwater eutrophication</v>
          </cell>
          <cell r="W2" t="str">
            <v>Human toxicity</v>
          </cell>
          <cell r="X2" t="str">
            <v>Ionising radiation</v>
          </cell>
          <cell r="Y2" t="str">
            <v>Marine ecotoxicity</v>
          </cell>
          <cell r="Z2" t="str">
            <v>Marine eutrophication</v>
          </cell>
          <cell r="AA2" t="str">
            <v>Metal depletion</v>
          </cell>
          <cell r="AB2" t="str">
            <v>Natural land transformation</v>
          </cell>
          <cell r="AC2" t="str">
            <v>Ozone depletion</v>
          </cell>
          <cell r="AD2" t="str">
            <v>Particulate matter formation</v>
          </cell>
          <cell r="AE2" t="str">
            <v>Photochemical oxidant formation</v>
          </cell>
          <cell r="AF2" t="str">
            <v>Terrestrial acidification</v>
          </cell>
          <cell r="AG2" t="str">
            <v>Terrestrial ecotoxicity</v>
          </cell>
          <cell r="AH2" t="str">
            <v>Urban land occupation</v>
          </cell>
          <cell r="AI2" t="str">
            <v>Water depletion</v>
          </cell>
        </row>
        <row r="33">
          <cell r="E33" t="str">
            <v>market for electricity, low voltage, US-NPCC</v>
          </cell>
        </row>
        <row r="34">
          <cell r="E34" t="str">
            <v>market for electricity, low voltage, US-WECC</v>
          </cell>
        </row>
        <row r="35">
          <cell r="E35" t="str">
            <v>market for electricity, low voltage, US-TRE</v>
          </cell>
        </row>
        <row r="36">
          <cell r="E36" t="str">
            <v>market for electricity, low voltage, US-SERC</v>
          </cell>
        </row>
        <row r="37">
          <cell r="E37" t="str">
            <v>market for electricity, low voltage, US-RFC</v>
          </cell>
        </row>
        <row r="38">
          <cell r="E38" t="str">
            <v>market for electricity, low voltage, US-MRO</v>
          </cell>
        </row>
        <row r="40">
          <cell r="E40" t="str">
            <v>market for electricity, low voltage, US-FRCC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crops"/>
      <sheetName val="All animals"/>
      <sheetName val="Beverages"/>
      <sheetName val="Cocoa"/>
      <sheetName val="Honey"/>
      <sheetName val="Sugar"/>
      <sheetName val="Dairy"/>
      <sheetName val="Eggs"/>
      <sheetName val="Livestock meat"/>
      <sheetName val="Animal fat"/>
      <sheetName val="Fish"/>
      <sheetName val="Vegetable"/>
      <sheetName val="Nuts"/>
      <sheetName val="Seeds"/>
      <sheetName val="Vegetable oils"/>
      <sheetName val="Spices"/>
      <sheetName val="Starches"/>
      <sheetName val="Grain"/>
      <sheetName val="Fruit"/>
      <sheetName val="Legumes"/>
      <sheetName val="Soybean"/>
      <sheetName val="Cooking"/>
      <sheetName val="LCIA-Food"/>
      <sheetName val="LCIA - Catering"/>
      <sheetName val="Overall"/>
      <sheetName val="Impact Comparison"/>
      <sheetName val="Amount Comparison"/>
      <sheetName val="SA on Cater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87">
          <cell r="C87">
            <v>9.6794273427052406</v>
          </cell>
          <cell r="D87">
            <v>60.152525856925706</v>
          </cell>
          <cell r="E87">
            <v>65.170783905129497</v>
          </cell>
          <cell r="F87">
            <v>0.17021048142831097</v>
          </cell>
          <cell r="G87">
            <v>13.831983523437255</v>
          </cell>
          <cell r="H87">
            <v>2.7513111366050733</v>
          </cell>
          <cell r="I87">
            <v>0.48273093505301795</v>
          </cell>
          <cell r="J87">
            <v>3.7552394572179648</v>
          </cell>
          <cell r="K87">
            <v>1.4508201722497076</v>
          </cell>
          <cell r="L87">
            <v>147.76560546804657</v>
          </cell>
          <cell r="M87">
            <v>22.965819389455245</v>
          </cell>
          <cell r="N87">
            <v>8.9602593368420482</v>
          </cell>
          <cell r="O87">
            <v>1.8847798215898797</v>
          </cell>
          <cell r="P87">
            <v>0.22369947471090595</v>
          </cell>
          <cell r="Q87">
            <v>5.1038010948363452E-3</v>
          </cell>
          <cell r="R87">
            <v>6.0081390949560829</v>
          </cell>
          <cell r="S87">
            <v>0.99630367053847002</v>
          </cell>
          <cell r="T87">
            <v>0.18391214308903395</v>
          </cell>
          <cell r="U87">
            <v>3.3753177011850134E-2</v>
          </cell>
          <cell r="V87">
            <v>0.18810498250054578</v>
          </cell>
          <cell r="W87">
            <v>-4.2439374211490063E-4</v>
          </cell>
          <cell r="X87">
            <v>3.9453787992107048E-7</v>
          </cell>
          <cell r="Y87">
            <v>2.1370082337150653E-2</v>
          </cell>
          <cell r="Z87">
            <v>2.7548164166154888E-2</v>
          </cell>
          <cell r="AA87">
            <v>6.5447530509147173E-2</v>
          </cell>
          <cell r="AB87">
            <v>8.3650080056170931E-2</v>
          </cell>
          <cell r="AC87">
            <v>0.10067122016749086</v>
          </cell>
          <cell r="AD87">
            <v>0.48521207771854202</v>
          </cell>
        </row>
        <row r="88">
          <cell r="C88">
            <v>10.428370631309383</v>
          </cell>
          <cell r="D88">
            <v>62.104294215579998</v>
          </cell>
          <cell r="E88">
            <v>69.336231042399987</v>
          </cell>
          <cell r="F88">
            <v>3.3720109778899998E-2</v>
          </cell>
          <cell r="G88">
            <v>19.499339737250004</v>
          </cell>
          <cell r="H88">
            <v>2.8935299601267803</v>
          </cell>
          <cell r="I88">
            <v>0.11692352638789999</v>
          </cell>
          <cell r="J88">
            <v>1.31463079706</v>
          </cell>
          <cell r="K88">
            <v>0.756772556554</v>
          </cell>
          <cell r="L88">
            <v>156.0554419451376</v>
          </cell>
          <cell r="M88">
            <v>24.138561918490005</v>
          </cell>
          <cell r="N88">
            <v>9.683576983909381</v>
          </cell>
          <cell r="O88">
            <v>1.9893684359824522</v>
          </cell>
          <cell r="P88">
            <v>0.225533617016</v>
          </cell>
          <cell r="Q88">
            <v>4.9753860151500011E-3</v>
          </cell>
          <cell r="R88">
            <v>6.1653082091359988</v>
          </cell>
          <cell r="S88">
            <v>1.32373223994</v>
          </cell>
          <cell r="T88">
            <v>0.18417307254799997</v>
          </cell>
          <cell r="U88">
            <v>3.5189357424600005E-2</v>
          </cell>
          <cell r="V88">
            <v>0.19329724760600001</v>
          </cell>
          <cell r="W88">
            <v>-3.0799867240499998E-4</v>
          </cell>
          <cell r="X88">
            <v>3.9938687050999997E-7</v>
          </cell>
          <cell r="Y88">
            <v>2.1027100225400001E-2</v>
          </cell>
          <cell r="Z88">
            <v>2.8749398828196472E-2</v>
          </cell>
          <cell r="AA88">
            <v>6.9450288544414027E-2</v>
          </cell>
          <cell r="AB88">
            <v>8.4992137105759993E-2</v>
          </cell>
          <cell r="AC88">
            <v>0.10428865149399999</v>
          </cell>
          <cell r="AD88">
            <v>0.47030169780112907</v>
          </cell>
        </row>
        <row r="89">
          <cell r="C89">
            <v>10.308911202808734</v>
          </cell>
          <cell r="D89">
            <v>61.630575229070182</v>
          </cell>
          <cell r="E89">
            <v>69.147047260314878</v>
          </cell>
          <cell r="F89">
            <v>3.4982882541865795E-2</v>
          </cell>
          <cell r="G89">
            <v>18.482034830329845</v>
          </cell>
          <cell r="H89">
            <v>2.837600308294284</v>
          </cell>
          <cell r="I89">
            <v>0.30012940982461117</v>
          </cell>
          <cell r="J89">
            <v>1.3835162154708356</v>
          </cell>
          <cell r="K89">
            <v>1.003566634738752</v>
          </cell>
          <cell r="L89">
            <v>154.81945277058526</v>
          </cell>
          <cell r="M89">
            <v>23.854109981194522</v>
          </cell>
          <cell r="N89">
            <v>9.5756336521306658</v>
          </cell>
          <cell r="O89">
            <v>1.9775658660145146</v>
          </cell>
          <cell r="P89">
            <v>0.22950641128693733</v>
          </cell>
          <cell r="Q89">
            <v>5.0850207588398711E-3</v>
          </cell>
          <cell r="R89">
            <v>6.032810949479547</v>
          </cell>
          <cell r="S89">
            <v>1.2475685963649243</v>
          </cell>
          <cell r="T89">
            <v>0.18812998000764231</v>
          </cell>
          <cell r="U89">
            <v>3.4498052169978338E-2</v>
          </cell>
          <cell r="V89">
            <v>0.19636790110466582</v>
          </cell>
          <cell r="W89">
            <v>-3.100528405796867E-4</v>
          </cell>
          <cell r="X89">
            <v>3.9576537478365535E-7</v>
          </cell>
          <cell r="Y89">
            <v>2.0637948449698695E-2</v>
          </cell>
          <cell r="Z89">
            <v>2.8435899105157546E-2</v>
          </cell>
          <cell r="AA89">
            <v>6.867328178557526E-2</v>
          </cell>
          <cell r="AB89">
            <v>8.3949146674351452E-2</v>
          </cell>
          <cell r="AC89">
            <v>0.10586740365392949</v>
          </cell>
          <cell r="AD89">
            <v>0.46434664282681726</v>
          </cell>
        </row>
        <row r="90">
          <cell r="C90">
            <v>10.053400564945139</v>
          </cell>
          <cell r="D90">
            <v>61.759975184058902</v>
          </cell>
          <cell r="E90">
            <v>67.166662308656399</v>
          </cell>
          <cell r="F90">
            <v>0.23906255608699326</v>
          </cell>
          <cell r="G90">
            <v>14.370523894981435</v>
          </cell>
          <cell r="H90">
            <v>2.8404742546069097</v>
          </cell>
          <cell r="I90">
            <v>0.69704888905655071</v>
          </cell>
          <cell r="J90">
            <v>2.6042916403551697</v>
          </cell>
          <cell r="K90">
            <v>1.2110671861286213</v>
          </cell>
          <cell r="L90">
            <v>150.88910591393102</v>
          </cell>
          <cell r="M90">
            <v>23.882918085095461</v>
          </cell>
          <cell r="N90">
            <v>9.3219541684420069</v>
          </cell>
          <cell r="O90">
            <v>1.9325209954645675</v>
          </cell>
          <cell r="P90">
            <v>0.23136438059727155</v>
          </cell>
          <cell r="Q90">
            <v>5.185993137920915E-3</v>
          </cell>
          <cell r="R90">
            <v>6.0838960201695684</v>
          </cell>
          <cell r="S90">
            <v>0.98141990726928974</v>
          </cell>
          <cell r="T90">
            <v>0.1898527849139765</v>
          </cell>
          <cell r="U90">
            <v>3.4533568473455616E-2</v>
          </cell>
          <cell r="V90">
            <v>0.19600970062398171</v>
          </cell>
          <cell r="W90">
            <v>-2.9752030279955611E-4</v>
          </cell>
          <cell r="X90">
            <v>3.952258705810966E-7</v>
          </cell>
          <cell r="Y90">
            <v>2.1193921661199478E-2</v>
          </cell>
          <cell r="Z90">
            <v>2.8053842123691906E-2</v>
          </cell>
          <cell r="AA90">
            <v>6.7305032202477605E-2</v>
          </cell>
          <cell r="AB90">
            <v>8.4009072297867457E-2</v>
          </cell>
          <cell r="AC90">
            <v>0.10558985505953263</v>
          </cell>
          <cell r="AD90">
            <v>0.46569984644938689</v>
          </cell>
        </row>
        <row r="91">
          <cell r="C91">
            <v>10.173669076694488</v>
          </cell>
          <cell r="D91">
            <v>61.711660019568036</v>
          </cell>
          <cell r="E91">
            <v>68.081460219883553</v>
          </cell>
          <cell r="F91">
            <v>0.1452219708128418</v>
          </cell>
          <cell r="G91">
            <v>16.284473764433134</v>
          </cell>
          <cell r="H91">
            <v>2.840471607306648</v>
          </cell>
          <cell r="I91">
            <v>0.51027521803827391</v>
          </cell>
          <cell r="J91">
            <v>2.0415048936188773</v>
          </cell>
          <cell r="K91">
            <v>1.1098661417421984</v>
          </cell>
          <cell r="L91">
            <v>152.72493383540359</v>
          </cell>
          <cell r="M91">
            <v>23.876381092928359</v>
          </cell>
          <cell r="N91">
            <v>9.4411094687031039</v>
          </cell>
          <cell r="O91">
            <v>1.9535053296682228</v>
          </cell>
          <cell r="P91">
            <v>0.23041666258160573</v>
          </cell>
          <cell r="Q91">
            <v>5.136993973430053E-3</v>
          </cell>
          <cell r="R91">
            <v>6.063536751240064</v>
          </cell>
          <cell r="S91">
            <v>1.1055578707157649</v>
          </cell>
          <cell r="T91">
            <v>0.18896757342572582</v>
          </cell>
          <cell r="U91">
            <v>3.4533538708442557E-2</v>
          </cell>
          <cell r="V91">
            <v>0.19610197216445169</v>
          </cell>
          <cell r="W91">
            <v>-3.0323280410503913E-4</v>
          </cell>
          <cell r="X91">
            <v>3.9555923872731073E-7</v>
          </cell>
          <cell r="Y91">
            <v>2.0947526883131597E-2</v>
          </cell>
          <cell r="Z91">
            <v>2.8236855282960837E-2</v>
          </cell>
          <cell r="AA91">
            <v>6.7952302176367954E-2</v>
          </cell>
          <cell r="AB91">
            <v>8.4006112464969293E-2</v>
          </cell>
          <cell r="AC91">
            <v>0.1056802216391671</v>
          </cell>
          <cell r="AD91">
            <v>0.46521818900813361</v>
          </cell>
        </row>
        <row r="92">
          <cell r="C92">
            <v>10.106149912203627</v>
          </cell>
          <cell r="D92">
            <v>61.738784322440097</v>
          </cell>
          <cell r="E92">
            <v>67.567889462703391</v>
          </cell>
          <cell r="F92">
            <v>0.19790440465096187</v>
          </cell>
          <cell r="G92">
            <v>15.209975592109373</v>
          </cell>
          <cell r="H92">
            <v>2.8404730935103037</v>
          </cell>
          <cell r="I92">
            <v>0.61513061229414856</v>
          </cell>
          <cell r="J92">
            <v>2.3574553479269715</v>
          </cell>
          <cell r="K92">
            <v>1.1666807631521201</v>
          </cell>
          <cell r="L92">
            <v>151.6942935987874</v>
          </cell>
          <cell r="M92">
            <v>23.880050983267786</v>
          </cell>
          <cell r="N92">
            <v>9.3742152650477486</v>
          </cell>
          <cell r="O92">
            <v>1.9417246508170478</v>
          </cell>
          <cell r="P92">
            <v>0.23094871480092688</v>
          </cell>
          <cell r="Q92">
            <v>5.1645022763021162E-3</v>
          </cell>
          <cell r="R92">
            <v>6.0749665162531183</v>
          </cell>
          <cell r="S92">
            <v>1.0358663824651122</v>
          </cell>
          <cell r="T92">
            <v>0.189464534261235</v>
          </cell>
          <cell r="U92">
            <v>3.4533555418625329E-2</v>
          </cell>
          <cell r="V92">
            <v>0.19605017059787205</v>
          </cell>
          <cell r="W92">
            <v>-3.0002578582827673E-4</v>
          </cell>
          <cell r="X92">
            <v>3.9537208468031332E-7</v>
          </cell>
          <cell r="Y92">
            <v>2.1085853776081985E-2</v>
          </cell>
          <cell r="Z92">
            <v>2.8134111053195826E-2</v>
          </cell>
          <cell r="AA92">
            <v>6.7588922541903199E-2</v>
          </cell>
          <cell r="AB92">
            <v>8.4007774125543708E-2</v>
          </cell>
          <cell r="AC92">
            <v>0.10562948952428459</v>
          </cell>
          <cell r="AD92">
            <v>0.46548859318567931</v>
          </cell>
        </row>
        <row r="93">
          <cell r="C93">
            <v>10.117835969644878</v>
          </cell>
          <cell r="D93">
            <v>61.880629836800416</v>
          </cell>
          <cell r="E93">
            <v>68.042252909178586</v>
          </cell>
          <cell r="F93">
            <v>0.18969308203999583</v>
          </cell>
          <cell r="G93">
            <v>15.090091519002325</v>
          </cell>
          <cell r="H93">
            <v>2.8404795324659169</v>
          </cell>
          <cell r="I93">
            <v>0.61837381856046714</v>
          </cell>
          <cell r="J93">
            <v>2.3554859902246212</v>
          </cell>
          <cell r="K93">
            <v>1.1099255046664804</v>
          </cell>
          <cell r="L93">
            <v>152.12693219293882</v>
          </cell>
          <cell r="M93">
            <v>23.899258011988412</v>
          </cell>
          <cell r="N93">
            <v>9.3856285287553209</v>
          </cell>
          <cell r="O93">
            <v>1.955371857083366</v>
          </cell>
          <cell r="P93">
            <v>0.23163351897847256</v>
          </cell>
          <cell r="Q93">
            <v>5.2006398219940214E-3</v>
          </cell>
          <cell r="R93">
            <v>6.0963714248693064</v>
          </cell>
          <cell r="S93">
            <v>1.0280781840316919</v>
          </cell>
          <cell r="T93">
            <v>0.18997428883042555</v>
          </cell>
          <cell r="U93">
            <v>3.4540437298520889E-2</v>
          </cell>
          <cell r="V93">
            <v>0.1960097632871671</v>
          </cell>
          <cell r="W93">
            <v>-2.9947512264289817E-4</v>
          </cell>
          <cell r="X93">
            <v>3.9853011078997388E-7</v>
          </cell>
          <cell r="Y93">
            <v>2.1190208867465796E-2</v>
          </cell>
          <cell r="Z93">
            <v>2.8103388024475196E-2</v>
          </cell>
          <cell r="AA93">
            <v>6.7470422280806602E-2</v>
          </cell>
          <cell r="AB93">
            <v>8.4011466000217347E-2</v>
          </cell>
          <cell r="AC93">
            <v>0.10564181746162141</v>
          </cell>
          <cell r="AD93">
            <v>0.46547391642327723</v>
          </cell>
        </row>
      </sheetData>
      <sheetData sheetId="25"/>
      <sheetData sheetId="26">
        <row r="101">
          <cell r="C101">
            <v>3.4717300000000009</v>
          </cell>
        </row>
        <row r="102">
          <cell r="C102">
            <v>1.92408</v>
          </cell>
        </row>
      </sheetData>
      <sheetData sheetId="2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ctricity"/>
      <sheetName val="LCIA-Elec"/>
      <sheetName val="1_Hub_10%IP"/>
      <sheetName val="1_Hub_30%IP"/>
      <sheetName val="1_Hub_50%IP"/>
      <sheetName val="1_Hub_70%IP"/>
      <sheetName val="1_Hub_90%IP"/>
      <sheetName val="2_Hub_10%IP"/>
      <sheetName val="2_Hub_30%IP"/>
      <sheetName val="2_Hub_50%IP"/>
      <sheetName val="2_Hub_70%IP"/>
      <sheetName val="2_Hub_90%IP"/>
      <sheetName val="3_Hub_10%IP"/>
      <sheetName val="3_Hub_30%IP"/>
      <sheetName val="3_Hub_50%IP"/>
      <sheetName val="3_Hub_70%IP"/>
      <sheetName val="3_Hub_90%IP"/>
      <sheetName val="4_Hub_10%IP"/>
      <sheetName val="4_Hub_30%IP"/>
      <sheetName val="4_Hub_50%IP"/>
      <sheetName val="4_Hub_70%IP"/>
      <sheetName val="4_Hub_90%IP"/>
      <sheetName val="5_Hub_10%IP"/>
      <sheetName val="5_Hub_30%IP"/>
      <sheetName val="5_Hub_50%IP"/>
      <sheetName val="5_Hub_70%IP"/>
      <sheetName val="5_Hub_90%IP"/>
      <sheetName val="6_Hub_10%IP"/>
      <sheetName val="6_Hub_30%IP"/>
      <sheetName val="6_Hub_50%IP"/>
      <sheetName val="6_Hub_70%IP"/>
      <sheetName val="6_Hub_90%IP"/>
      <sheetName val="1_Hub_1000km"/>
      <sheetName val="1_Hub_3000km"/>
      <sheetName val="1_Hub_5000km"/>
      <sheetName val="1_Hub_10000km"/>
      <sheetName val="2_Hub_1000km"/>
      <sheetName val="2_Hub_3000km"/>
      <sheetName val="2_Hub_5000km"/>
      <sheetName val="2_Hub_10000km"/>
      <sheetName val="3_Hub_1000km"/>
      <sheetName val="3_Hub_3000km"/>
      <sheetName val="3_Hub_5000km"/>
      <sheetName val="3_Hub_10000km"/>
      <sheetName val="4_Hub_1000km"/>
      <sheetName val="4_Hub_3000km"/>
      <sheetName val="4_Hub_5000km"/>
      <sheetName val="4_Hub_10000km"/>
      <sheetName val="5_Hub_1000km"/>
      <sheetName val="5_Hub_3000km"/>
      <sheetName val="5_Hub_5000km"/>
      <sheetName val="5_Hub_10000km"/>
      <sheetName val="6_Hub_1000km"/>
      <sheetName val="6_Hub_3000km"/>
      <sheetName val="6_Hub_5000km"/>
      <sheetName val="6_Hub_10000km"/>
      <sheetName val="Comparison"/>
      <sheetName val="In-person"/>
      <sheetName val="Virtual"/>
      <sheetName val="Summary"/>
    </sheetNames>
    <sheetDataSet>
      <sheetData sheetId="0" refreshError="1"/>
      <sheetData sheetId="1">
        <row r="68">
          <cell r="D68">
            <v>344</v>
          </cell>
          <cell r="E68">
            <v>268</v>
          </cell>
          <cell r="F68">
            <v>191</v>
          </cell>
          <cell r="G68">
            <v>114</v>
          </cell>
          <cell r="H68">
            <v>38</v>
          </cell>
          <cell r="I68">
            <v>343</v>
          </cell>
          <cell r="J68">
            <v>268</v>
          </cell>
          <cell r="K68">
            <v>191</v>
          </cell>
          <cell r="L68">
            <v>114</v>
          </cell>
          <cell r="M68">
            <v>38</v>
          </cell>
          <cell r="N68">
            <v>323</v>
          </cell>
          <cell r="O68">
            <v>268</v>
          </cell>
          <cell r="P68">
            <v>191</v>
          </cell>
          <cell r="Q68">
            <v>114</v>
          </cell>
          <cell r="R68">
            <v>38</v>
          </cell>
          <cell r="S68">
            <v>303</v>
          </cell>
          <cell r="T68">
            <v>268</v>
          </cell>
          <cell r="U68">
            <v>191</v>
          </cell>
          <cell r="V68">
            <v>114</v>
          </cell>
          <cell r="W68">
            <v>38</v>
          </cell>
          <cell r="X68">
            <v>283</v>
          </cell>
          <cell r="Y68">
            <v>268</v>
          </cell>
          <cell r="Z68">
            <v>191</v>
          </cell>
          <cell r="AA68">
            <v>114</v>
          </cell>
          <cell r="AB68">
            <v>38</v>
          </cell>
          <cell r="AC68">
            <v>263</v>
          </cell>
          <cell r="AD68">
            <v>263</v>
          </cell>
          <cell r="AE68">
            <v>191</v>
          </cell>
          <cell r="AF68">
            <v>114</v>
          </cell>
          <cell r="AG68">
            <v>38</v>
          </cell>
          <cell r="AH68">
            <v>235</v>
          </cell>
          <cell r="AI68">
            <v>161</v>
          </cell>
          <cell r="AJ68">
            <v>125</v>
          </cell>
          <cell r="AK68">
            <v>95</v>
          </cell>
          <cell r="AL68">
            <v>72</v>
          </cell>
          <cell r="AM68">
            <v>50</v>
          </cell>
          <cell r="AN68">
            <v>47</v>
          </cell>
          <cell r="AO68">
            <v>13</v>
          </cell>
          <cell r="AP68">
            <v>10</v>
          </cell>
          <cell r="AQ68">
            <v>9</v>
          </cell>
          <cell r="AR68">
            <v>9</v>
          </cell>
          <cell r="AS68">
            <v>9</v>
          </cell>
          <cell r="AT68">
            <v>43</v>
          </cell>
          <cell r="AU68">
            <v>7</v>
          </cell>
          <cell r="AV68">
            <v>7</v>
          </cell>
          <cell r="AW68">
            <v>7</v>
          </cell>
          <cell r="AX68">
            <v>7</v>
          </cell>
          <cell r="AY68">
            <v>7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J68" t="str">
            <v>1_Hub_10%IP</v>
          </cell>
          <cell r="BK68">
            <v>0.47303342662790704</v>
          </cell>
          <cell r="BL68">
            <v>0.19799295546511628</v>
          </cell>
          <cell r="BM68">
            <v>5.7341833988372111</v>
          </cell>
          <cell r="BN68">
            <v>3.8640313666627908E-2</v>
          </cell>
          <cell r="BO68">
            <v>2.9615773776162793</v>
          </cell>
          <cell r="BP68">
            <v>9.667524716279066E-5</v>
          </cell>
          <cell r="BQ68">
            <v>0.11685273488081396</v>
          </cell>
          <cell r="BR68">
            <v>0.74223828525581403</v>
          </cell>
          <cell r="BS68">
            <v>0.27661813422093029</v>
          </cell>
          <cell r="BT68">
            <v>10.068199875189949</v>
          </cell>
          <cell r="BU68">
            <v>3.7140901753488366E-2</v>
          </cell>
          <cell r="BV68">
            <v>0.46843290616279071</v>
          </cell>
          <cell r="BW68">
            <v>0.14633769139534886</v>
          </cell>
          <cell r="BX68">
            <v>2.7479579906976744E-2</v>
          </cell>
          <cell r="BY68">
            <v>3.8570178279069756E-4</v>
          </cell>
          <cell r="BZ68">
            <v>0.25905337627906966</v>
          </cell>
          <cell r="CA68">
            <v>0.20412856536046509</v>
          </cell>
          <cell r="CB68">
            <v>2.3652207500000012E-2</v>
          </cell>
          <cell r="CC68">
            <v>1.1813706040697677E-4</v>
          </cell>
          <cell r="CD68">
            <v>1.1269089139534887E-2</v>
          </cell>
          <cell r="CE68">
            <v>-5.6933820104651166E-5</v>
          </cell>
          <cell r="CF68">
            <v>1.9076044023255815E-8</v>
          </cell>
          <cell r="CG68">
            <v>1.1960793337209301E-3</v>
          </cell>
          <cell r="CH68">
            <v>7.9437214976744172E-4</v>
          </cell>
          <cell r="CI68">
            <v>1.2897530232558135E-3</v>
          </cell>
          <cell r="CJ68">
            <v>2.6317616930232556E-5</v>
          </cell>
          <cell r="CK68">
            <v>2.1380853260465115E-3</v>
          </cell>
          <cell r="CL68">
            <v>5.3393367093023253E-3</v>
          </cell>
        </row>
        <row r="69">
          <cell r="BJ69" t="str">
            <v>1_Hub_30%IP</v>
          </cell>
          <cell r="BK69">
            <v>0.53002960731343307</v>
          </cell>
          <cell r="BL69">
            <v>0.20240243164179106</v>
          </cell>
          <cell r="BM69">
            <v>6.3828682432835819</v>
          </cell>
          <cell r="BN69">
            <v>4.9533073855671642E-2</v>
          </cell>
          <cell r="BO69">
            <v>2.2952584250000001</v>
          </cell>
          <cell r="BP69">
            <v>1.2035095755223878E-4</v>
          </cell>
          <cell r="BQ69">
            <v>0.14155164183955224</v>
          </cell>
          <cell r="BR69">
            <v>0.62731256391044754</v>
          </cell>
          <cell r="BS69">
            <v>0.364582881238806</v>
          </cell>
          <cell r="BT69">
            <v>10.0636296117274</v>
          </cell>
          <cell r="BU69">
            <v>3.1474556728358208E-2</v>
          </cell>
          <cell r="BV69">
            <v>0.52527006611940297</v>
          </cell>
          <cell r="BW69">
            <v>0.16134239716417911</v>
          </cell>
          <cell r="BX69">
            <v>3.0100883164179092E-2</v>
          </cell>
          <cell r="BY69">
            <v>5.1171035552238808E-4</v>
          </cell>
          <cell r="BZ69">
            <v>0.33556529940298496</v>
          </cell>
          <cell r="CA69">
            <v>0.15324248688059697</v>
          </cell>
          <cell r="CB69">
            <v>2.6111683507462687E-2</v>
          </cell>
          <cell r="CC69">
            <v>1.463548797761194E-4</v>
          </cell>
          <cell r="CD69">
            <v>1.1588736805970149E-2</v>
          </cell>
          <cell r="CE69">
            <v>-2.7752709388059699E-5</v>
          </cell>
          <cell r="CF69">
            <v>1.9429179641791046E-8</v>
          </cell>
          <cell r="CG69">
            <v>1.6241241746268657E-3</v>
          </cell>
          <cell r="CH69">
            <v>8.96687296716418E-4</v>
          </cell>
          <cell r="CI69">
            <v>1.4741438582089544E-3</v>
          </cell>
          <cell r="CJ69">
            <v>2.7277711283582092E-5</v>
          </cell>
          <cell r="CK69">
            <v>2.2972236274626866E-3</v>
          </cell>
          <cell r="CL69">
            <v>3.9608381641791056E-3</v>
          </cell>
        </row>
        <row r="70">
          <cell r="BJ70" t="str">
            <v>1_Hub_50%IP</v>
          </cell>
          <cell r="BK70">
            <v>0.51707844376963352</v>
          </cell>
          <cell r="BL70">
            <v>0.20751555853403142</v>
          </cell>
          <cell r="BM70">
            <v>6.3521973256544495</v>
          </cell>
          <cell r="BN70">
            <v>6.9337998006910997E-2</v>
          </cell>
          <cell r="BO70">
            <v>1.6065794654450261</v>
          </cell>
          <cell r="BP70">
            <v>1.616475530052356E-4</v>
          </cell>
          <cell r="BQ70">
            <v>0.18647887205235603</v>
          </cell>
          <cell r="BR70">
            <v>0.74843457658638723</v>
          </cell>
          <cell r="BS70">
            <v>0.42301483859685862</v>
          </cell>
          <cell r="BT70">
            <v>9.5937202824290289</v>
          </cell>
          <cell r="BU70">
            <v>3.052490682303665E-2</v>
          </cell>
          <cell r="BV70">
            <v>0.51260858492146599</v>
          </cell>
          <cell r="BW70">
            <v>0.16081642010471209</v>
          </cell>
          <cell r="BX70">
            <v>3.0820441298429323E-2</v>
          </cell>
          <cell r="BY70">
            <v>5.571591375916231E-4</v>
          </cell>
          <cell r="BZ70">
            <v>0.3606855949738218</v>
          </cell>
          <cell r="CA70">
            <v>0.1051379606492147</v>
          </cell>
          <cell r="CB70">
            <v>2.6856181047120418E-2</v>
          </cell>
          <cell r="CC70">
            <v>1.5470283130890051E-4</v>
          </cell>
          <cell r="CD70">
            <v>1.1628763685863871E-2</v>
          </cell>
          <cell r="CE70">
            <v>-1.9492398513089003E-5</v>
          </cell>
          <cell r="CF70">
            <v>1.9635355727748693E-8</v>
          </cell>
          <cell r="CG70">
            <v>1.7314546743455493E-3</v>
          </cell>
          <cell r="CH70">
            <v>9.0005661528795816E-4</v>
          </cell>
          <cell r="CI70">
            <v>1.4090297172774863E-3</v>
          </cell>
          <cell r="CJ70">
            <v>2.7199684942408375E-5</v>
          </cell>
          <cell r="CK70">
            <v>2.2756258228272251E-3</v>
          </cell>
          <cell r="CL70">
            <v>3.7625100942408371E-3</v>
          </cell>
        </row>
        <row r="71">
          <cell r="BJ71" t="str">
            <v>1_Hub_70%IP</v>
          </cell>
          <cell r="BK71">
            <v>0.46232238596491221</v>
          </cell>
          <cell r="BL71">
            <v>0.20179912807017542</v>
          </cell>
          <cell r="BM71">
            <v>5.8985166666666684</v>
          </cell>
          <cell r="BN71">
            <v>8.4006069912280712E-2</v>
          </cell>
          <cell r="BO71">
            <v>1.6525876868421052</v>
          </cell>
          <cell r="BP71">
            <v>2.5649074736842106E-4</v>
          </cell>
          <cell r="BQ71">
            <v>0.22850000106140353</v>
          </cell>
          <cell r="BR71">
            <v>0.94763073684210541</v>
          </cell>
          <cell r="BS71">
            <v>0.35721663245614044</v>
          </cell>
          <cell r="BT71">
            <v>9.3705134125982443</v>
          </cell>
          <cell r="BU71">
            <v>2.9746171052631581E-2</v>
          </cell>
          <cell r="BV71">
            <v>0.45823601754385956</v>
          </cell>
          <cell r="BW71">
            <v>0.15097255438596494</v>
          </cell>
          <cell r="BX71">
            <v>2.8645263157894743E-2</v>
          </cell>
          <cell r="BY71">
            <v>4.3293494736842112E-4</v>
          </cell>
          <cell r="BZ71">
            <v>0.28476536842105271</v>
          </cell>
          <cell r="CA71">
            <v>0.11133607543859649</v>
          </cell>
          <cell r="CB71">
            <v>2.4958649122807007E-2</v>
          </cell>
          <cell r="CC71">
            <v>1.2990839035087722E-4</v>
          </cell>
          <cell r="CD71">
            <v>1.1819742105263159E-2</v>
          </cell>
          <cell r="CE71">
            <v>-1.9449609649122807E-5</v>
          </cell>
          <cell r="CF71">
            <v>2.0499755263157893E-8</v>
          </cell>
          <cell r="CG71">
            <v>1.0681876666666667E-3</v>
          </cell>
          <cell r="CH71">
            <v>8.8287271929824579E-4</v>
          </cell>
          <cell r="CI71">
            <v>1.2632239473684211E-3</v>
          </cell>
          <cell r="CJ71">
            <v>2.5663123684210522E-5</v>
          </cell>
          <cell r="CK71">
            <v>2.2910700877192985E-3</v>
          </cell>
          <cell r="CL71">
            <v>4.6043874561403509E-3</v>
          </cell>
        </row>
        <row r="72">
          <cell r="BJ72" t="str">
            <v>1_Hub_90%IP</v>
          </cell>
          <cell r="BK72">
            <v>0.45033134210526321</v>
          </cell>
          <cell r="BL72">
            <v>0.25583100789473684</v>
          </cell>
          <cell r="BM72">
            <v>5.8840560526315793</v>
          </cell>
          <cell r="BN72">
            <v>1.6930379473684209E-2</v>
          </cell>
          <cell r="BO72">
            <v>2.500781236842105</v>
          </cell>
          <cell r="BP72">
            <v>7.2853901052631587E-4</v>
          </cell>
          <cell r="BQ72">
            <v>0.20956423599999999</v>
          </cell>
          <cell r="BR72">
            <v>0.89032202631578949</v>
          </cell>
          <cell r="BS72">
            <v>0.36194575000000007</v>
          </cell>
          <cell r="BT72">
            <v>10.12015922816842</v>
          </cell>
          <cell r="BU72">
            <v>3.5428444736842112E-2</v>
          </cell>
          <cell r="BV72">
            <v>0.44550373684210542</v>
          </cell>
          <cell r="BW72">
            <v>0.14994296052631581</v>
          </cell>
          <cell r="BX72">
            <v>2.4222105263157892E-2</v>
          </cell>
          <cell r="BY72">
            <v>2.2434934210526316E-4</v>
          </cell>
          <cell r="BZ72">
            <v>0.16904328947368419</v>
          </cell>
          <cell r="CA72">
            <v>0.15762828947368424</v>
          </cell>
          <cell r="CB72">
            <v>2.1164184210526321E-2</v>
          </cell>
          <cell r="CC72">
            <v>9.9731342105263156E-5</v>
          </cell>
          <cell r="CD72">
            <v>1.2385247368421054E-2</v>
          </cell>
          <cell r="CE72">
            <v>-1.9024065789473681E-5</v>
          </cell>
          <cell r="CF72">
            <v>2.2239176315789471E-8</v>
          </cell>
          <cell r="CG72">
            <v>6.444777631578947E-4</v>
          </cell>
          <cell r="CH72">
            <v>1.0145992105263159E-3</v>
          </cell>
          <cell r="CI72">
            <v>1.4807815789473684E-3</v>
          </cell>
          <cell r="CJ72">
            <v>2.4839531578947368E-5</v>
          </cell>
          <cell r="CK72">
            <v>2.648752105263157E-3</v>
          </cell>
          <cell r="CL72">
            <v>5.5182447368421041E-3</v>
          </cell>
        </row>
        <row r="73">
          <cell r="BJ73" t="str">
            <v>2_Hub_10%IP</v>
          </cell>
          <cell r="BK73">
            <v>0.4873032325364432</v>
          </cell>
          <cell r="BL73">
            <v>0.19712956466472301</v>
          </cell>
          <cell r="BM73">
            <v>5.8520783941690979</v>
          </cell>
          <cell r="BN73">
            <v>2.9565234668571427E-2</v>
          </cell>
          <cell r="BO73">
            <v>3.0217671075801746</v>
          </cell>
          <cell r="BP73">
            <v>9.6940524851311924E-5</v>
          </cell>
          <cell r="BQ73">
            <v>9.9145967344023325E-2</v>
          </cell>
          <cell r="BR73">
            <v>0.69873723652478126</v>
          </cell>
          <cell r="BS73">
            <v>0.29870457193002919</v>
          </cell>
          <cell r="BT73">
            <v>10.197225017406247</v>
          </cell>
          <cell r="BU73">
            <v>3.7103787764431483E-2</v>
          </cell>
          <cell r="BV73">
            <v>0.48264588839650147</v>
          </cell>
          <cell r="BW73">
            <v>0.14887293247813413</v>
          </cell>
          <cell r="BX73">
            <v>2.7805222997084548E-2</v>
          </cell>
          <cell r="BY73">
            <v>4.0781665679300293E-4</v>
          </cell>
          <cell r="BZ73">
            <v>0.27322982927113687</v>
          </cell>
          <cell r="CA73">
            <v>0.20806852036151605</v>
          </cell>
          <cell r="CB73">
            <v>2.3971546297376106E-2</v>
          </cell>
          <cell r="CC73">
            <v>1.2357926758017497E-4</v>
          </cell>
          <cell r="CD73">
            <v>1.127099610495627E-2</v>
          </cell>
          <cell r="CE73">
            <v>-5.7874420163265307E-5</v>
          </cell>
          <cell r="CF73">
            <v>1.8929035405247817E-8</v>
          </cell>
          <cell r="CG73">
            <v>1.2846396233236151E-3</v>
          </cell>
          <cell r="CH73">
            <v>8.1760133970845456E-4</v>
          </cell>
          <cell r="CI73">
            <v>1.3679196501457721E-3</v>
          </cell>
          <cell r="CJ73">
            <v>2.5888175580174921E-5</v>
          </cell>
          <cell r="CK73">
            <v>2.1328304727696789E-3</v>
          </cell>
          <cell r="CL73">
            <v>5.3533260291545202E-3</v>
          </cell>
        </row>
        <row r="74">
          <cell r="BJ74" t="str">
            <v>2_Hub_30%IP</v>
          </cell>
          <cell r="BK74">
            <v>0.47394954761194025</v>
          </cell>
          <cell r="BL74">
            <v>0.19588082716417909</v>
          </cell>
          <cell r="BM74">
            <v>5.7746913776119415</v>
          </cell>
          <cell r="BN74">
            <v>4.9500224930298514E-2</v>
          </cell>
          <cell r="BO74">
            <v>2.4917366339552238</v>
          </cell>
          <cell r="BP74">
            <v>1.1935405979104475E-4</v>
          </cell>
          <cell r="BQ74">
            <v>0.14315679775746271</v>
          </cell>
          <cell r="BR74">
            <v>0.86224139973134306</v>
          </cell>
          <cell r="BS74">
            <v>0.31653803049253726</v>
          </cell>
          <cell r="BT74">
            <v>9.833864645702775</v>
          </cell>
          <cell r="BU74">
            <v>3.8936459713432819E-2</v>
          </cell>
          <cell r="BV74">
            <v>0.46956268552238817</v>
          </cell>
          <cell r="BW74">
            <v>0.14682020835820897</v>
          </cell>
          <cell r="BX74">
            <v>2.7879516746268658E-2</v>
          </cell>
          <cell r="BY74">
            <v>4.3003054208955226E-4</v>
          </cell>
          <cell r="BZ74">
            <v>0.2846102441791043</v>
          </cell>
          <cell r="CA74">
            <v>0.17403304658208951</v>
          </cell>
          <cell r="CB74">
            <v>2.4121516343283585E-2</v>
          </cell>
          <cell r="CC74">
            <v>1.2693260738805973E-4</v>
          </cell>
          <cell r="CD74">
            <v>1.1208879343283584E-2</v>
          </cell>
          <cell r="CE74">
            <v>-6.7465895955223876E-5</v>
          </cell>
          <cell r="CF74">
            <v>1.8642840089552243E-8</v>
          </cell>
          <cell r="CG74">
            <v>1.3158789208955221E-3</v>
          </cell>
          <cell r="CH74">
            <v>8.0701279671641785E-4</v>
          </cell>
          <cell r="CI74">
            <v>1.2839576492537307E-3</v>
          </cell>
          <cell r="CJ74">
            <v>2.5752049343283586E-5</v>
          </cell>
          <cell r="CK74">
            <v>2.1913659782089555E-3</v>
          </cell>
          <cell r="CL74">
            <v>5.8348415223880611E-3</v>
          </cell>
        </row>
        <row r="75">
          <cell r="BJ75" t="str">
            <v>2_Hub_50%IP</v>
          </cell>
          <cell r="BK75">
            <v>0.49739321863874353</v>
          </cell>
          <cell r="BL75">
            <v>0.22048092502617803</v>
          </cell>
          <cell r="BM75">
            <v>6.1992622471204175</v>
          </cell>
          <cell r="BN75">
            <v>6.9323391012146601E-2</v>
          </cell>
          <cell r="BO75">
            <v>1.8496050151832459</v>
          </cell>
          <cell r="BP75">
            <v>1.6183619489005234E-4</v>
          </cell>
          <cell r="BQ75">
            <v>0.18842972258115184</v>
          </cell>
          <cell r="BR75">
            <v>0.79203923627225126</v>
          </cell>
          <cell r="BS75">
            <v>0.35293187524607322</v>
          </cell>
          <cell r="BT75">
            <v>9.6722342486363591</v>
          </cell>
          <cell r="BU75">
            <v>3.4107179074345545E-2</v>
          </cell>
          <cell r="BV75">
            <v>0.49290581005235612</v>
          </cell>
          <cell r="BW75">
            <v>0.15791725884816754</v>
          </cell>
          <cell r="BX75">
            <v>2.9616584753926704E-2</v>
          </cell>
          <cell r="BY75">
            <v>4.8919554596858642E-4</v>
          </cell>
          <cell r="BZ75">
            <v>0.31947814785340317</v>
          </cell>
          <cell r="CA75">
            <v>0.12283275646073301</v>
          </cell>
          <cell r="CB75">
            <v>2.5701084712041883E-2</v>
          </cell>
          <cell r="CC75">
            <v>1.4012294125654448E-4</v>
          </cell>
          <cell r="CD75">
            <v>1.1575808712041879E-2</v>
          </cell>
          <cell r="CE75">
            <v>-2.7954356628272249E-5</v>
          </cell>
          <cell r="CF75">
            <v>2.0334858345549739E-8</v>
          </cell>
          <cell r="CG75">
            <v>1.4500792607329844E-3</v>
          </cell>
          <cell r="CH75">
            <v>8.6291772523560209E-4</v>
          </cell>
          <cell r="CI75">
            <v>1.3131734240837698E-3</v>
          </cell>
          <cell r="CJ75">
            <v>2.768961059685864E-5</v>
          </cell>
          <cell r="CK75">
            <v>2.2733201160209421E-3</v>
          </cell>
          <cell r="CL75">
            <v>4.1018509319371722E-3</v>
          </cell>
        </row>
        <row r="76">
          <cell r="BJ76" t="str">
            <v>2_Hub_70%IP</v>
          </cell>
          <cell r="BK76">
            <v>0.46749563157894725</v>
          </cell>
          <cell r="BL76">
            <v>0.20981552280701751</v>
          </cell>
          <cell r="BM76">
            <v>5.9761771929824574</v>
          </cell>
          <cell r="BN76">
            <v>8.5389658333333313E-2</v>
          </cell>
          <cell r="BO76">
            <v>1.6091166342105265</v>
          </cell>
          <cell r="BP76">
            <v>2.5686422807017547E-4</v>
          </cell>
          <cell r="BQ76">
            <v>0.2323726497192983</v>
          </cell>
          <cell r="BR76">
            <v>0.93059845614035108</v>
          </cell>
          <cell r="BS76">
            <v>0.32500422894736847</v>
          </cell>
          <cell r="BT76">
            <v>9.3687312073684197</v>
          </cell>
          <cell r="BU76">
            <v>3.0217478070175441E-2</v>
          </cell>
          <cell r="BV76">
            <v>0.46330724561403502</v>
          </cell>
          <cell r="BW76">
            <v>0.15311802807017544</v>
          </cell>
          <cell r="BX76">
            <v>2.8593894736842113E-2</v>
          </cell>
          <cell r="BY76">
            <v>4.3259380701754388E-4</v>
          </cell>
          <cell r="BZ76">
            <v>0.28399054385964917</v>
          </cell>
          <cell r="CA76">
            <v>0.10558239122807016</v>
          </cell>
          <cell r="CB76">
            <v>2.4890157894736833E-2</v>
          </cell>
          <cell r="CC76">
            <v>1.2964347807017547E-4</v>
          </cell>
          <cell r="CD76">
            <v>1.1757040350877195E-2</v>
          </cell>
          <cell r="CE76">
            <v>-1.660043421052632E-5</v>
          </cell>
          <cell r="CF76">
            <v>2.0799742982456143E-8</v>
          </cell>
          <cell r="CG76">
            <v>1.0579859122807019E-3</v>
          </cell>
          <cell r="CH76">
            <v>8.8132587719298261E-4</v>
          </cell>
          <cell r="CI76">
            <v>1.2461871052631579E-3</v>
          </cell>
          <cell r="CJ76">
            <v>2.6235272807017542E-5</v>
          </cell>
          <cell r="CK76">
            <v>2.3092858771929826E-3</v>
          </cell>
          <cell r="CL76">
            <v>4.2010918421052628E-3</v>
          </cell>
        </row>
        <row r="77">
          <cell r="BJ77" t="str">
            <v>2_Hub_90%IP</v>
          </cell>
          <cell r="BK77">
            <v>0.45033134210526321</v>
          </cell>
          <cell r="BL77">
            <v>0.25583100789473684</v>
          </cell>
          <cell r="BM77">
            <v>5.8840560526315793</v>
          </cell>
          <cell r="BN77">
            <v>1.6930379473684209E-2</v>
          </cell>
          <cell r="BO77">
            <v>2.500781236842105</v>
          </cell>
          <cell r="BP77">
            <v>7.2853901052631587E-4</v>
          </cell>
          <cell r="BQ77">
            <v>0.20956423599999999</v>
          </cell>
          <cell r="BR77">
            <v>0.89032202631578949</v>
          </cell>
          <cell r="BS77">
            <v>0.36194575000000007</v>
          </cell>
          <cell r="BT77">
            <v>10.12015922816842</v>
          </cell>
          <cell r="BU77">
            <v>3.5428444736842112E-2</v>
          </cell>
          <cell r="BV77">
            <v>0.44550373684210542</v>
          </cell>
          <cell r="BW77">
            <v>0.14994296052631581</v>
          </cell>
          <cell r="BX77">
            <v>2.4222105263157892E-2</v>
          </cell>
          <cell r="BY77">
            <v>2.2434934210526316E-4</v>
          </cell>
          <cell r="BZ77">
            <v>0.16904328947368419</v>
          </cell>
          <cell r="CA77">
            <v>0.15762828947368424</v>
          </cell>
          <cell r="CB77">
            <v>2.1164184210526321E-2</v>
          </cell>
          <cell r="CC77">
            <v>9.9731342105263156E-5</v>
          </cell>
          <cell r="CD77">
            <v>1.2385247368421054E-2</v>
          </cell>
          <cell r="CE77">
            <v>-1.9024065789473681E-5</v>
          </cell>
          <cell r="CF77">
            <v>2.2239176315789471E-8</v>
          </cell>
          <cell r="CG77">
            <v>6.444777631578947E-4</v>
          </cell>
          <cell r="CH77">
            <v>1.0145992105263159E-3</v>
          </cell>
          <cell r="CI77">
            <v>1.4807815789473684E-3</v>
          </cell>
          <cell r="CJ77">
            <v>2.4839531578947368E-5</v>
          </cell>
          <cell r="CK77">
            <v>2.648752105263157E-3</v>
          </cell>
          <cell r="CL77">
            <v>5.5182447368421041E-3</v>
          </cell>
        </row>
        <row r="78">
          <cell r="BJ78" t="str">
            <v>3_Hub_10%IP</v>
          </cell>
          <cell r="BK78">
            <v>0.4841293150464398</v>
          </cell>
          <cell r="BL78">
            <v>0.20051819405572754</v>
          </cell>
          <cell r="BM78">
            <v>5.8349092544891654</v>
          </cell>
          <cell r="BN78">
            <v>3.1372834338452012E-2</v>
          </cell>
          <cell r="BO78">
            <v>2.9304870523219817</v>
          </cell>
          <cell r="BP78">
            <v>1.0202111462538697E-4</v>
          </cell>
          <cell r="BQ78">
            <v>0.10409590959442724</v>
          </cell>
          <cell r="BR78">
            <v>0.72970699730030941</v>
          </cell>
          <cell r="BS78">
            <v>0.30894349279256972</v>
          </cell>
          <cell r="BT78">
            <v>10.140135756007252</v>
          </cell>
          <cell r="BU78">
            <v>3.8030102796284819E-2</v>
          </cell>
          <cell r="BV78">
            <v>0.47953380718266259</v>
          </cell>
          <cell r="BW78">
            <v>0.14845280445820436</v>
          </cell>
          <cell r="BX78">
            <v>2.7862351356037141E-2</v>
          </cell>
          <cell r="BY78">
            <v>4.1539834452012389E-4</v>
          </cell>
          <cell r="BZ78">
            <v>0.27748859269349829</v>
          </cell>
          <cell r="CA78">
            <v>0.2025331965448916</v>
          </cell>
          <cell r="CB78">
            <v>2.4042056904024767E-2</v>
          </cell>
          <cell r="CC78">
            <v>1.2491581665634676E-4</v>
          </cell>
          <cell r="CD78">
            <v>1.1253732705882355E-2</v>
          </cell>
          <cell r="CE78">
            <v>-6.0099090142414863E-5</v>
          </cell>
          <cell r="CF78">
            <v>1.8906449362229105E-8</v>
          </cell>
          <cell r="CG78">
            <v>1.3061410241486065E-3</v>
          </cell>
          <cell r="CH78">
            <v>8.1477194897832794E-4</v>
          </cell>
          <cell r="CI78">
            <v>1.3546130030959748E-3</v>
          </cell>
          <cell r="CJ78">
            <v>2.5789276235294123E-5</v>
          </cell>
          <cell r="CK78">
            <v>2.1264357032817335E-3</v>
          </cell>
          <cell r="CL78">
            <v>5.5022217585139329E-3</v>
          </cell>
        </row>
        <row r="79">
          <cell r="BJ79" t="str">
            <v>3_Hub_30%IP</v>
          </cell>
          <cell r="BK79">
            <v>0.47498592820895519</v>
          </cell>
          <cell r="BL79">
            <v>0.20274642417910449</v>
          </cell>
          <cell r="BM79">
            <v>5.7772764522388078</v>
          </cell>
          <cell r="BN79">
            <v>3.6553625975074618E-2</v>
          </cell>
          <cell r="BO79">
            <v>2.7847612608208951</v>
          </cell>
          <cell r="BP79">
            <v>1.1936602247761192E-4</v>
          </cell>
          <cell r="BQ79">
            <v>0.11841033133955224</v>
          </cell>
          <cell r="BR79">
            <v>0.81163819077611932</v>
          </cell>
          <cell r="BS79">
            <v>0.30338473944776123</v>
          </cell>
          <cell r="BT79">
            <v>10.03489039079979</v>
          </cell>
          <cell r="BU79">
            <v>3.9896135086567155E-2</v>
          </cell>
          <cell r="BV79">
            <v>0.47051470044776122</v>
          </cell>
          <cell r="BW79">
            <v>0.14716416358208959</v>
          </cell>
          <cell r="BX79">
            <v>2.7561192119402982E-2</v>
          </cell>
          <cell r="BY79">
            <v>4.1041842268656724E-4</v>
          </cell>
          <cell r="BZ79">
            <v>0.27365943820895505</v>
          </cell>
          <cell r="CA79">
            <v>0.19413468837313427</v>
          </cell>
          <cell r="CB79">
            <v>2.3807684253731344E-2</v>
          </cell>
          <cell r="CC79">
            <v>1.2353260738805972E-4</v>
          </cell>
          <cell r="CD79">
            <v>1.1206383074626868E-2</v>
          </cell>
          <cell r="CE79">
            <v>-6.777246311940299E-5</v>
          </cell>
          <cell r="CF79">
            <v>1.8969448298507463E-8</v>
          </cell>
          <cell r="CG79">
            <v>1.2442623537313431E-3</v>
          </cell>
          <cell r="CH79">
            <v>8.0682484895522376E-4</v>
          </cell>
          <cell r="CI79">
            <v>1.3124520895522382E-3</v>
          </cell>
          <cell r="CJ79">
            <v>2.5511235910447763E-5</v>
          </cell>
          <cell r="CK79">
            <v>2.1391784035820903E-3</v>
          </cell>
          <cell r="CL79">
            <v>5.9137165223880602E-3</v>
          </cell>
        </row>
        <row r="80">
          <cell r="BJ80" t="str">
            <v>3_Hub_50%IP</v>
          </cell>
          <cell r="BK80">
            <v>0.51445211916230371</v>
          </cell>
          <cell r="BL80">
            <v>0.23227960565445033</v>
          </cell>
          <cell r="BM80">
            <v>6.3606433989528801</v>
          </cell>
          <cell r="BN80">
            <v>5.1169343001675388E-2</v>
          </cell>
          <cell r="BO80">
            <v>2.1333688895287954</v>
          </cell>
          <cell r="BP80">
            <v>1.6227506766492146E-4</v>
          </cell>
          <cell r="BQ80">
            <v>0.15516063357591622</v>
          </cell>
          <cell r="BR80">
            <v>0.711967393340314</v>
          </cell>
          <cell r="BS80">
            <v>0.35662032550785333</v>
          </cell>
          <cell r="BT80">
            <v>10.001371864629553</v>
          </cell>
          <cell r="BU80">
            <v>3.5839781168586389E-2</v>
          </cell>
          <cell r="BV80">
            <v>0.50982541214659693</v>
          </cell>
          <cell r="BW80">
            <v>0.16179010178010472</v>
          </cell>
          <cell r="BX80">
            <v>2.9755537633507849E-2</v>
          </cell>
          <cell r="BY80">
            <v>4.989283784293195E-4</v>
          </cell>
          <cell r="BZ80">
            <v>0.32682703790575912</v>
          </cell>
          <cell r="CA80">
            <v>0.14297412818848171</v>
          </cell>
          <cell r="CB80">
            <v>2.5827702513089006E-2</v>
          </cell>
          <cell r="CC80">
            <v>1.4355272136125653E-4</v>
          </cell>
          <cell r="CD80">
            <v>1.1593803476439787E-2</v>
          </cell>
          <cell r="CE80">
            <v>-2.9269241445026174E-5</v>
          </cell>
          <cell r="CF80">
            <v>2.0582544732984299E-8</v>
          </cell>
          <cell r="CG80">
            <v>1.4873217214659686E-3</v>
          </cell>
          <cell r="CH80">
            <v>8.8512029068062853E-4</v>
          </cell>
          <cell r="CI80">
            <v>1.4044371937172769E-3</v>
          </cell>
          <cell r="CJ80">
            <v>2.7335165570680631E-5</v>
          </cell>
          <cell r="CK80">
            <v>2.2509551421989529E-3</v>
          </cell>
          <cell r="CL80">
            <v>4.2668860104712039E-3</v>
          </cell>
        </row>
        <row r="81">
          <cell r="BJ81" t="str">
            <v>3_Hub_70%IP</v>
          </cell>
          <cell r="BK81">
            <v>0.43859966666666655</v>
          </cell>
          <cell r="BL81">
            <v>0.2197419438596491</v>
          </cell>
          <cell r="BM81">
            <v>5.6401421052631591</v>
          </cell>
          <cell r="BN81">
            <v>8.14939857894737E-2</v>
          </cell>
          <cell r="BO81">
            <v>2.0011641254385966</v>
          </cell>
          <cell r="BP81">
            <v>2.5672497368421052E-4</v>
          </cell>
          <cell r="BQ81">
            <v>0.23195164704385968</v>
          </cell>
          <cell r="BR81">
            <v>0.86478371929824582</v>
          </cell>
          <cell r="BS81">
            <v>0.3531032464912281</v>
          </cell>
          <cell r="BT81">
            <v>9.3926374981578942</v>
          </cell>
          <cell r="BU81">
            <v>3.221635087719299E-2</v>
          </cell>
          <cell r="BV81">
            <v>0.43420189473684201</v>
          </cell>
          <cell r="BW81">
            <v>0.14478030877192988</v>
          </cell>
          <cell r="BX81">
            <v>2.7560763157894744E-2</v>
          </cell>
          <cell r="BY81">
            <v>3.5317008771929828E-4</v>
          </cell>
          <cell r="BZ81">
            <v>0.2386987368421053</v>
          </cell>
          <cell r="CA81">
            <v>0.13415531666666666</v>
          </cell>
          <cell r="CB81">
            <v>2.3804078947368419E-2</v>
          </cell>
          <cell r="CC81">
            <v>1.1199214473684213E-4</v>
          </cell>
          <cell r="CD81">
            <v>1.1821370175438599E-2</v>
          </cell>
          <cell r="CE81">
            <v>-1.9223109649122812E-5</v>
          </cell>
          <cell r="CF81">
            <v>2.0241881578947372E-8</v>
          </cell>
          <cell r="CG81">
            <v>1.1855421403508776E-3</v>
          </cell>
          <cell r="CH81">
            <v>8.053785964912282E-4</v>
          </cell>
          <cell r="CI81">
            <v>1.1272050877192985E-3</v>
          </cell>
          <cell r="CJ81">
            <v>2.8440796491228077E-5</v>
          </cell>
          <cell r="CK81">
            <v>2.3911464035087722E-3</v>
          </cell>
          <cell r="CL81">
            <v>4.0794164035087722E-3</v>
          </cell>
        </row>
        <row r="82">
          <cell r="BJ82" t="str">
            <v>3_Hub_90%IP</v>
          </cell>
          <cell r="BK82">
            <v>0.45033134210526321</v>
          </cell>
          <cell r="BL82">
            <v>0.25583100789473684</v>
          </cell>
          <cell r="BM82">
            <v>5.8840560526315793</v>
          </cell>
          <cell r="BN82">
            <v>1.6930379473684209E-2</v>
          </cell>
          <cell r="BO82">
            <v>2.500781236842105</v>
          </cell>
          <cell r="BP82">
            <v>7.2853901052631587E-4</v>
          </cell>
          <cell r="BQ82">
            <v>0.20956423599999999</v>
          </cell>
          <cell r="BR82">
            <v>0.89032202631578949</v>
          </cell>
          <cell r="BS82">
            <v>0.36194575000000007</v>
          </cell>
          <cell r="BT82">
            <v>10.12015922816842</v>
          </cell>
          <cell r="BU82">
            <v>3.5428444736842112E-2</v>
          </cell>
          <cell r="BV82">
            <v>0.44550373684210542</v>
          </cell>
          <cell r="BW82">
            <v>0.14994296052631581</v>
          </cell>
          <cell r="BX82">
            <v>2.4222105263157892E-2</v>
          </cell>
          <cell r="BY82">
            <v>2.2434934210526316E-4</v>
          </cell>
          <cell r="BZ82">
            <v>0.16904328947368419</v>
          </cell>
          <cell r="CA82">
            <v>0.15762828947368424</v>
          </cell>
          <cell r="CB82">
            <v>2.1164184210526321E-2</v>
          </cell>
          <cell r="CC82">
            <v>9.9731342105263156E-5</v>
          </cell>
          <cell r="CD82">
            <v>1.2385247368421054E-2</v>
          </cell>
          <cell r="CE82">
            <v>-1.9024065789473681E-5</v>
          </cell>
          <cell r="CF82">
            <v>2.2239176315789471E-8</v>
          </cell>
          <cell r="CG82">
            <v>6.444777631578947E-4</v>
          </cell>
          <cell r="CH82">
            <v>1.0145992105263159E-3</v>
          </cell>
          <cell r="CI82">
            <v>1.4807815789473684E-3</v>
          </cell>
          <cell r="CJ82">
            <v>2.4839531578947368E-5</v>
          </cell>
          <cell r="CK82">
            <v>2.648752105263157E-3</v>
          </cell>
          <cell r="CL82">
            <v>5.5182447368421041E-3</v>
          </cell>
        </row>
        <row r="83">
          <cell r="BJ83" t="str">
            <v>4_Hub_10%IP</v>
          </cell>
          <cell r="BK83">
            <v>0.49086709161716174</v>
          </cell>
          <cell r="BL83">
            <v>0.20319860290429043</v>
          </cell>
          <cell r="BM83">
            <v>5.9015738917491758</v>
          </cell>
          <cell r="BN83">
            <v>2.3865067628118814E-2</v>
          </cell>
          <cell r="BO83">
            <v>3.0555498280528055</v>
          </cell>
          <cell r="BP83">
            <v>1.0764212483168313E-4</v>
          </cell>
          <cell r="BQ83">
            <v>9.143108745544555E-2</v>
          </cell>
          <cell r="BR83">
            <v>0.69327973639603946</v>
          </cell>
          <cell r="BS83">
            <v>0.31053586855445553</v>
          </cell>
          <cell r="BT83">
            <v>10.27954172486516</v>
          </cell>
          <cell r="BU83">
            <v>3.8922419812541242E-2</v>
          </cell>
          <cell r="BV83">
            <v>0.48622092316831683</v>
          </cell>
          <cell r="BW83">
            <v>0.15009983445544556</v>
          </cell>
          <cell r="BX83">
            <v>2.7800763986798673E-2</v>
          </cell>
          <cell r="BY83">
            <v>4.1650798442244221E-4</v>
          </cell>
          <cell r="BZ83">
            <v>0.27873467141914177</v>
          </cell>
          <cell r="CA83">
            <v>0.21143469466666662</v>
          </cell>
          <cell r="CB83">
            <v>2.3995902244224421E-2</v>
          </cell>
          <cell r="CC83">
            <v>1.2591500587458748E-4</v>
          </cell>
          <cell r="CD83">
            <v>1.1250152686468649E-2</v>
          </cell>
          <cell r="CE83">
            <v>-6.3079815564356429E-5</v>
          </cell>
          <cell r="CF83">
            <v>1.907683677887789E-8</v>
          </cell>
          <cell r="CG83">
            <v>1.2986790455445543E-3</v>
          </cell>
          <cell r="CH83">
            <v>8.2686296871287113E-4</v>
          </cell>
          <cell r="CI83">
            <v>1.3957502970297023E-3</v>
          </cell>
          <cell r="CJ83">
            <v>2.5552094468646869E-5</v>
          </cell>
          <cell r="CK83">
            <v>2.1200756836963698E-3</v>
          </cell>
          <cell r="CL83">
            <v>5.5108958019801993E-3</v>
          </cell>
        </row>
        <row r="84">
          <cell r="BJ84" t="str">
            <v>4_Hub_30%IP</v>
          </cell>
          <cell r="BK84">
            <v>0.47394626402985074</v>
          </cell>
          <cell r="BL84">
            <v>0.21272905104477613</v>
          </cell>
          <cell r="BM84">
            <v>5.7741204820895531</v>
          </cell>
          <cell r="BN84">
            <v>2.5746742094477613E-2</v>
          </cell>
          <cell r="BO84">
            <v>3.0663548429104472</v>
          </cell>
          <cell r="BP84">
            <v>1.1953726799999998E-4</v>
          </cell>
          <cell r="BQ84">
            <v>9.8611434697761194E-2</v>
          </cell>
          <cell r="BR84">
            <v>0.75298181764179084</v>
          </cell>
          <cell r="BS84">
            <v>0.29266458273134327</v>
          </cell>
          <cell r="BT84">
            <v>10.223328490478147</v>
          </cell>
          <cell r="BU84">
            <v>4.127204180298507E-2</v>
          </cell>
          <cell r="BV84">
            <v>0.46939492432835828</v>
          </cell>
          <cell r="BW84">
            <v>0.14749570835820899</v>
          </cell>
          <cell r="BX84">
            <v>2.7266083910447759E-2</v>
          </cell>
          <cell r="BY84">
            <v>3.9151263910447762E-4</v>
          </cell>
          <cell r="BZ84">
            <v>0.26298996805970137</v>
          </cell>
          <cell r="CA84">
            <v>0.21369591971641783</v>
          </cell>
          <cell r="CB84">
            <v>2.3509247686567168E-2</v>
          </cell>
          <cell r="CC84">
            <v>1.2018364470149255E-4</v>
          </cell>
          <cell r="CD84">
            <v>1.1211903970149257E-2</v>
          </cell>
          <cell r="CE84">
            <v>-6.7899948194029839E-5</v>
          </cell>
          <cell r="CF84">
            <v>1.942533411940299E-8</v>
          </cell>
          <cell r="CG84">
            <v>1.1777014582089551E-3</v>
          </cell>
          <cell r="CH84">
            <v>8.0324339373134314E-4</v>
          </cell>
          <cell r="CI84">
            <v>1.3260135447761188E-3</v>
          </cell>
          <cell r="CJ84">
            <v>2.5512535910447762E-5</v>
          </cell>
          <cell r="CK84">
            <v>2.0872843364179109E-3</v>
          </cell>
          <cell r="CL84">
            <v>5.8518773432835831E-3</v>
          </cell>
        </row>
        <row r="85">
          <cell r="BJ85" t="str">
            <v>4_Hub_50%IP</v>
          </cell>
          <cell r="BK85">
            <v>0.48790926052356026</v>
          </cell>
          <cell r="BL85">
            <v>0.21876578890052353</v>
          </cell>
          <cell r="BM85">
            <v>5.982229262827226</v>
          </cell>
          <cell r="BN85">
            <v>3.351249042575917E-2</v>
          </cell>
          <cell r="BO85">
            <v>2.3487204078534027</v>
          </cell>
          <cell r="BP85">
            <v>1.61161776565445E-4</v>
          </cell>
          <cell r="BQ85">
            <v>0.12161623297905762</v>
          </cell>
          <cell r="BR85">
            <v>0.89010710538219873</v>
          </cell>
          <cell r="BS85">
            <v>0.34799173912041875</v>
          </cell>
          <cell r="BT85">
            <v>9.9431041892651546</v>
          </cell>
          <cell r="BU85">
            <v>4.554134661361256E-2</v>
          </cell>
          <cell r="BV85">
            <v>0.48354591476439795</v>
          </cell>
          <cell r="BW85">
            <v>0.15203484209424084</v>
          </cell>
          <cell r="BX85">
            <v>2.777854705759162E-2</v>
          </cell>
          <cell r="BY85">
            <v>4.6023627371727746E-4</v>
          </cell>
          <cell r="BZ85">
            <v>0.30311520125654451</v>
          </cell>
          <cell r="CA85">
            <v>0.16255757321465969</v>
          </cell>
          <cell r="CB85">
            <v>2.4128462722513087E-2</v>
          </cell>
          <cell r="CC85">
            <v>1.3446432869109948E-4</v>
          </cell>
          <cell r="CD85">
            <v>1.1024210806282721E-2</v>
          </cell>
          <cell r="CE85">
            <v>-8.6042131497382211E-5</v>
          </cell>
          <cell r="CF85">
            <v>1.9310869340314136E-8</v>
          </cell>
          <cell r="CG85">
            <v>1.3487011560209422E-3</v>
          </cell>
          <cell r="CH85">
            <v>8.4260680376963329E-4</v>
          </cell>
          <cell r="CI85">
            <v>1.3742948167539267E-3</v>
          </cell>
          <cell r="CJ85">
            <v>2.4784746722513093E-5</v>
          </cell>
          <cell r="CK85">
            <v>2.1493512678534034E-3</v>
          </cell>
          <cell r="CL85">
            <v>6.009619518324608E-3</v>
          </cell>
        </row>
        <row r="86">
          <cell r="BJ86" t="str">
            <v>4_Hub_70%IP</v>
          </cell>
          <cell r="BK86">
            <v>0.48394878947368419</v>
          </cell>
          <cell r="BL86">
            <v>0.25140992631578946</v>
          </cell>
          <cell r="BM86">
            <v>6.1419973684210545</v>
          </cell>
          <cell r="BN86">
            <v>5.2576094385964917E-2</v>
          </cell>
          <cell r="BO86">
            <v>2.3201400728070176</v>
          </cell>
          <cell r="BP86">
            <v>2.5827183333333335E-4</v>
          </cell>
          <cell r="BQ86">
            <v>0.17996167511403516</v>
          </cell>
          <cell r="BR86">
            <v>0.71814722807017561</v>
          </cell>
          <cell r="BS86">
            <v>0.34042307105263164</v>
          </cell>
          <cell r="BT86">
            <v>10.004913708</v>
          </cell>
          <cell r="BU86">
            <v>3.6543640350877198E-2</v>
          </cell>
          <cell r="BV86">
            <v>0.47924189473684198</v>
          </cell>
          <cell r="BW86">
            <v>0.15718855438596493</v>
          </cell>
          <cell r="BX86">
            <v>2.8148184210526322E-2</v>
          </cell>
          <cell r="BY86">
            <v>3.9305421052631583E-4</v>
          </cell>
          <cell r="BZ86">
            <v>0.26470628070175445</v>
          </cell>
          <cell r="CA86">
            <v>0.154844653508772</v>
          </cell>
          <cell r="CB86">
            <v>2.4344736842105259E-2</v>
          </cell>
          <cell r="CC86">
            <v>1.2299477631578951E-4</v>
          </cell>
          <cell r="CD86">
            <v>1.1828185964912282E-2</v>
          </cell>
          <cell r="CE86">
            <v>-2.0901671052631582E-5</v>
          </cell>
          <cell r="CF86">
            <v>2.1359135964912285E-8</v>
          </cell>
          <cell r="CG86">
            <v>1.2458184561403511E-3</v>
          </cell>
          <cell r="CH86">
            <v>8.6513026315789498E-4</v>
          </cell>
          <cell r="CI86">
            <v>1.310189298245614E-3</v>
          </cell>
          <cell r="CJ86">
            <v>2.8287384210526321E-5</v>
          </cell>
          <cell r="CK86">
            <v>2.380865877192983E-3</v>
          </cell>
          <cell r="CL86">
            <v>4.0103067543859651E-3</v>
          </cell>
        </row>
        <row r="87">
          <cell r="BJ87" t="str">
            <v>4_Hub_90%IP</v>
          </cell>
          <cell r="BK87">
            <v>0.51517318421052638</v>
          </cell>
          <cell r="BL87">
            <v>0.19249696315789475</v>
          </cell>
          <cell r="BM87">
            <v>6.6519623684210529</v>
          </cell>
          <cell r="BN87">
            <v>9.530760921052632E-2</v>
          </cell>
          <cell r="BO87">
            <v>1.1992381131578951</v>
          </cell>
          <cell r="BP87">
            <v>7.1446278421052629E-4</v>
          </cell>
          <cell r="BQ87">
            <v>0.18868335705263162</v>
          </cell>
          <cell r="BR87">
            <v>1.0351760000000001</v>
          </cell>
          <cell r="BS87">
            <v>0.22041100263157895</v>
          </cell>
          <cell r="BT87">
            <v>9.5839898764157905</v>
          </cell>
          <cell r="BU87">
            <v>2.9536334210526319E-2</v>
          </cell>
          <cell r="BV87">
            <v>0.50990905263157904</v>
          </cell>
          <cell r="BW87">
            <v>0.16960659736842107</v>
          </cell>
          <cell r="BX87">
            <v>2.8128105263157899E-2</v>
          </cell>
          <cell r="BY87">
            <v>3.4716394736842101E-4</v>
          </cell>
          <cell r="BZ87">
            <v>0.23898052631578948</v>
          </cell>
          <cell r="CA87">
            <v>7.9912557894736821E-2</v>
          </cell>
          <cell r="CB87">
            <v>2.4141868421052634E-2</v>
          </cell>
          <cell r="CC87">
            <v>1.200289342105263E-4</v>
          </cell>
          <cell r="CD87">
            <v>1.1422584210526316E-2</v>
          </cell>
          <cell r="CE87">
            <v>-1.9194573684210525E-5</v>
          </cell>
          <cell r="CF87">
            <v>2.2605652631578946E-8</v>
          </cell>
          <cell r="CG87">
            <v>1.4293541842105265E-3</v>
          </cell>
          <cell r="CH87">
            <v>9.9801315789473685E-4</v>
          </cell>
          <cell r="CI87">
            <v>1.4104763157894735E-3</v>
          </cell>
          <cell r="CJ87">
            <v>3.3732060526315793E-5</v>
          </cell>
          <cell r="CK87">
            <v>2.2963305263157896E-3</v>
          </cell>
          <cell r="CL87">
            <v>4.451551842105262E-3</v>
          </cell>
        </row>
        <row r="88">
          <cell r="BJ88" t="str">
            <v>5_Hub_10%IP</v>
          </cell>
          <cell r="BK88">
            <v>0.48196017229681998</v>
          </cell>
          <cell r="BL88">
            <v>0.18874691406360425</v>
          </cell>
          <cell r="BM88">
            <v>5.7797769936395769</v>
          </cell>
          <cell r="BN88">
            <v>2.5519878061201415E-2</v>
          </cell>
          <cell r="BO88">
            <v>3.0098855049469968</v>
          </cell>
          <cell r="BP88">
            <v>1.1325803471378089E-4</v>
          </cell>
          <cell r="BQ88">
            <v>9.3738090102473512E-2</v>
          </cell>
          <cell r="BR88">
            <v>0.72994544214840984</v>
          </cell>
          <cell r="BS88">
            <v>0.33100568258657254</v>
          </cell>
          <cell r="BT88">
            <v>10.158731763583544</v>
          </cell>
          <cell r="BU88">
            <v>3.7579693297526494E-2</v>
          </cell>
          <cell r="BV88">
            <v>0.47743724282685529</v>
          </cell>
          <cell r="BW88">
            <v>0.14693727858657246</v>
          </cell>
          <cell r="BX88">
            <v>2.7677991123674913E-2</v>
          </cell>
          <cell r="BY88">
            <v>4.14869679434629E-4</v>
          </cell>
          <cell r="BZ88">
            <v>0.27746433017667832</v>
          </cell>
          <cell r="CA88">
            <v>0.20937495577385154</v>
          </cell>
          <cell r="CB88">
            <v>2.391794480565371E-2</v>
          </cell>
          <cell r="CC88">
            <v>1.2533302749116612E-4</v>
          </cell>
          <cell r="CD88">
            <v>1.123150623321555E-2</v>
          </cell>
          <cell r="CE88">
            <v>-6.5989625851590097E-5</v>
          </cell>
          <cell r="CF88">
            <v>1.8656825243816257E-8</v>
          </cell>
          <cell r="CG88">
            <v>1.2910662572438159E-3</v>
          </cell>
          <cell r="CH88">
            <v>8.2302784282685501E-4</v>
          </cell>
          <cell r="CI88">
            <v>1.3896902473498228E-3</v>
          </cell>
          <cell r="CJ88">
            <v>2.4839945667844525E-5</v>
          </cell>
          <cell r="CK88">
            <v>2.0889078874911666E-3</v>
          </cell>
          <cell r="CL88">
            <v>5.7375880848056539E-3</v>
          </cell>
        </row>
        <row r="89">
          <cell r="BJ89" t="str">
            <v>5_Hub_30%IP</v>
          </cell>
          <cell r="BK89">
            <v>0.4723431297014925</v>
          </cell>
          <cell r="BL89">
            <v>0.1895730846268657</v>
          </cell>
          <cell r="BM89">
            <v>5.6970973477611953</v>
          </cell>
          <cell r="BN89">
            <v>2.5742774557164182E-2</v>
          </cell>
          <cell r="BO89">
            <v>3.1170384249999996</v>
          </cell>
          <cell r="BP89">
            <v>1.1845792098507459E-4</v>
          </cell>
          <cell r="BQ89">
            <v>9.5426833951492554E-2</v>
          </cell>
          <cell r="BR89">
            <v>0.74752447808955214</v>
          </cell>
          <cell r="BS89">
            <v>0.30072976929850748</v>
          </cell>
          <cell r="BT89">
            <v>10.173251171205759</v>
          </cell>
          <cell r="BU89">
            <v>3.8139276877611927E-2</v>
          </cell>
          <cell r="BV89">
            <v>0.4678273123880598</v>
          </cell>
          <cell r="BW89">
            <v>0.14529305910447762</v>
          </cell>
          <cell r="BX89">
            <v>2.7120833910447759E-2</v>
          </cell>
          <cell r="BY89">
            <v>3.8359402716417912E-4</v>
          </cell>
          <cell r="BZ89">
            <v>0.25837841582089538</v>
          </cell>
          <cell r="CA89">
            <v>0.21708498688059694</v>
          </cell>
          <cell r="CB89">
            <v>2.339375888059702E-2</v>
          </cell>
          <cell r="CC89">
            <v>1.1872569694029849E-4</v>
          </cell>
          <cell r="CD89">
            <v>1.1218616656716422E-2</v>
          </cell>
          <cell r="CE89">
            <v>-6.8031776552238799E-5</v>
          </cell>
          <cell r="CF89">
            <v>1.8928558000000005E-8</v>
          </cell>
          <cell r="CG89">
            <v>1.153251682089552E-3</v>
          </cell>
          <cell r="CH89">
            <v>8.0874052059701478E-4</v>
          </cell>
          <cell r="CI89">
            <v>1.3497490298507457E-3</v>
          </cell>
          <cell r="CJ89">
            <v>2.4868121731343287E-5</v>
          </cell>
          <cell r="CK89">
            <v>2.0806725080597019E-3</v>
          </cell>
          <cell r="CL89">
            <v>5.8604829402985077E-3</v>
          </cell>
        </row>
        <row r="90">
          <cell r="BJ90" t="str">
            <v>5_Hub_50%IP</v>
          </cell>
          <cell r="BK90">
            <v>0.47375931287958112</v>
          </cell>
          <cell r="BL90">
            <v>0.17900700356020943</v>
          </cell>
          <cell r="BM90">
            <v>5.7278533465968593</v>
          </cell>
          <cell r="BN90">
            <v>3.3503926499057597E-2</v>
          </cell>
          <cell r="BO90">
            <v>2.5778088895287961</v>
          </cell>
          <cell r="BP90">
            <v>1.5923525038743456E-4</v>
          </cell>
          <cell r="BQ90">
            <v>0.11872378795287961</v>
          </cell>
          <cell r="BR90">
            <v>0.90844964988481658</v>
          </cell>
          <cell r="BS90">
            <v>0.36640156110994754</v>
          </cell>
          <cell r="BT90">
            <v>9.9119074003829564</v>
          </cell>
          <cell r="BU90">
            <v>4.0535126718324606E-2</v>
          </cell>
          <cell r="BV90">
            <v>0.46957052209424088</v>
          </cell>
          <cell r="BW90">
            <v>0.14523560125654453</v>
          </cell>
          <cell r="BX90">
            <v>2.7458939727748693E-2</v>
          </cell>
          <cell r="BY90">
            <v>4.4074284439790564E-4</v>
          </cell>
          <cell r="BZ90">
            <v>0.29162781905759161</v>
          </cell>
          <cell r="CA90">
            <v>0.18400034808376955</v>
          </cell>
          <cell r="CB90">
            <v>2.3878363246073297E-2</v>
          </cell>
          <cell r="CC90">
            <v>1.3061877895287956E-4</v>
          </cell>
          <cell r="CD90">
            <v>1.1114179392670155E-2</v>
          </cell>
          <cell r="CE90">
            <v>-8.7582189089005239E-5</v>
          </cell>
          <cell r="CF90">
            <v>1.8198458345549737E-8</v>
          </cell>
          <cell r="CG90">
            <v>1.2886077005235602E-3</v>
          </cell>
          <cell r="CH90">
            <v>8.3454125403141348E-4</v>
          </cell>
          <cell r="CI90">
            <v>1.3784003141361252E-3</v>
          </cell>
          <cell r="CJ90">
            <v>2.3288374994764398E-5</v>
          </cell>
          <cell r="CK90">
            <v>2.1241031003141364E-3</v>
          </cell>
          <cell r="CL90">
            <v>6.7868907225130904E-3</v>
          </cell>
        </row>
        <row r="91">
          <cell r="BJ91" t="str">
            <v>5_Hub_70%IP</v>
          </cell>
          <cell r="BK91">
            <v>0.50597276377192979</v>
          </cell>
          <cell r="BL91">
            <v>0.21407833254385961</v>
          </cell>
          <cell r="BM91">
            <v>6.313404095614036</v>
          </cell>
          <cell r="BN91">
            <v>5.2923622342017543E-2</v>
          </cell>
          <cell r="BO91">
            <v>1.884912649122807</v>
          </cell>
          <cell r="BP91">
            <v>2.5724007647368421E-4</v>
          </cell>
          <cell r="BQ91">
            <v>0.17368703357017548</v>
          </cell>
          <cell r="BR91">
            <v>0.74046992628070196</v>
          </cell>
          <cell r="BS91">
            <v>0.44415488292982463</v>
          </cell>
          <cell r="BT91">
            <v>9.8238877824798951</v>
          </cell>
          <cell r="BU91">
            <v>3.1582007915789474E-2</v>
          </cell>
          <cell r="BV91">
            <v>0.50156797184210511</v>
          </cell>
          <cell r="BW91">
            <v>0.16054022789473688</v>
          </cell>
          <cell r="BX91">
            <v>2.9732532596491234E-2</v>
          </cell>
          <cell r="BY91">
            <v>5.0098599526315793E-4</v>
          </cell>
          <cell r="BZ91">
            <v>0.328563122631579</v>
          </cell>
          <cell r="CA91">
            <v>0.12663218147368421</v>
          </cell>
          <cell r="CB91">
            <v>2.595192048245613E-2</v>
          </cell>
          <cell r="CC91">
            <v>1.4599377377192983E-4</v>
          </cell>
          <cell r="CD91">
            <v>1.1822948666666668E-2</v>
          </cell>
          <cell r="CE91">
            <v>-2.1797300105263158E-5</v>
          </cell>
          <cell r="CF91">
            <v>2.0698418271929822E-8</v>
          </cell>
          <cell r="CG91">
            <v>1.4681129657894737E-3</v>
          </cell>
          <cell r="CH91">
            <v>9.2862188719298262E-4</v>
          </cell>
          <cell r="CI91">
            <v>1.4635119692982454E-3</v>
          </cell>
          <cell r="CJ91">
            <v>2.5865827789473687E-5</v>
          </cell>
          <cell r="CK91">
            <v>2.2638347291228074E-3</v>
          </cell>
          <cell r="CL91">
            <v>4.1994027500000001E-3</v>
          </cell>
        </row>
        <row r="92">
          <cell r="BJ92" t="str">
            <v>5_Hub_90%IP</v>
          </cell>
          <cell r="BK92">
            <v>0.52228557894736849</v>
          </cell>
          <cell r="BL92">
            <v>0.19815133157894738</v>
          </cell>
          <cell r="BM92">
            <v>6.8048999999999991</v>
          </cell>
          <cell r="BN92">
            <v>6.8809703684210535E-2</v>
          </cell>
          <cell r="BO92">
            <v>1.4321863236842109</v>
          </cell>
          <cell r="BP92">
            <v>7.1726781052631583E-4</v>
          </cell>
          <cell r="BQ92">
            <v>0.16448991342105262</v>
          </cell>
          <cell r="BR92">
            <v>0.93270699999999984</v>
          </cell>
          <cell r="BS92">
            <v>0.26386205526315792</v>
          </cell>
          <cell r="BT92">
            <v>9.865823595442107</v>
          </cell>
          <cell r="BU92">
            <v>3.0027655263157895E-2</v>
          </cell>
          <cell r="BV92">
            <v>0.51688936842105271</v>
          </cell>
          <cell r="BW92">
            <v>0.1745485052631579</v>
          </cell>
          <cell r="BX92">
            <v>2.7813763157894737E-2</v>
          </cell>
          <cell r="BY92">
            <v>3.2963189473684206E-4</v>
          </cell>
          <cell r="BZ92">
            <v>0.22942702631578946</v>
          </cell>
          <cell r="CA92">
            <v>9.6962397368421036E-2</v>
          </cell>
          <cell r="CB92">
            <v>2.3950315789473681E-2</v>
          </cell>
          <cell r="CC92">
            <v>1.1833230263157893E-4</v>
          </cell>
          <cell r="CD92">
            <v>1.1539636842105263E-2</v>
          </cell>
          <cell r="CE92">
            <v>-1.9620631578947366E-5</v>
          </cell>
          <cell r="CF92">
            <v>2.5785239473684206E-8</v>
          </cell>
          <cell r="CG92">
            <v>1.3008182631578948E-3</v>
          </cell>
          <cell r="CH92">
            <v>1.0425363157894737E-3</v>
          </cell>
          <cell r="CI92">
            <v>1.5674360526315787E-3</v>
          </cell>
          <cell r="CJ92">
            <v>3.1732889473684208E-5</v>
          </cell>
          <cell r="CK92">
            <v>2.3234902631578945E-3</v>
          </cell>
          <cell r="CL92">
            <v>4.5802307894736828E-3</v>
          </cell>
        </row>
        <row r="93">
          <cell r="BJ93" t="str">
            <v>6_Hub_10%IP</v>
          </cell>
          <cell r="BK93">
            <v>0.48725448197718635</v>
          </cell>
          <cell r="BL93">
            <v>0.19066226874524717</v>
          </cell>
          <cell r="BM93">
            <v>5.8230528106463888</v>
          </cell>
          <cell r="BN93">
            <v>1.5442302248365016E-2</v>
          </cell>
          <cell r="BO93">
            <v>3.1530402961977182</v>
          </cell>
          <cell r="BP93">
            <v>1.2051955826615969E-4</v>
          </cell>
          <cell r="BQ93">
            <v>7.5860378323193922E-2</v>
          </cell>
          <cell r="BR93">
            <v>0.70832152139923943</v>
          </cell>
          <cell r="BS93">
            <v>0.33355364323954373</v>
          </cell>
          <cell r="BT93">
            <v>10.30005374035796</v>
          </cell>
          <cell r="BU93">
            <v>3.8547198491254743E-2</v>
          </cell>
          <cell r="BV93">
            <v>0.48270167193916352</v>
          </cell>
          <cell r="BW93">
            <v>0.1479735735361217</v>
          </cell>
          <cell r="BX93">
            <v>2.7545518965779468E-2</v>
          </cell>
          <cell r="BY93">
            <v>4.1357003528517104E-4</v>
          </cell>
          <cell r="BZ93">
            <v>0.27732701688212913</v>
          </cell>
          <cell r="CA93">
            <v>0.21969700564258546</v>
          </cell>
          <cell r="CB93">
            <v>2.3814518555133082E-2</v>
          </cell>
          <cell r="CC93">
            <v>1.2582451247148291E-4</v>
          </cell>
          <cell r="CD93">
            <v>1.1213597961977189E-2</v>
          </cell>
          <cell r="CE93">
            <v>-6.989362781749049E-5</v>
          </cell>
          <cell r="CF93">
            <v>1.8745329064638784E-8</v>
          </cell>
          <cell r="CG93">
            <v>1.2721511437262356E-3</v>
          </cell>
          <cell r="CH93">
            <v>8.3406722250950569E-4</v>
          </cell>
          <cell r="CI93">
            <v>1.4357123193916342E-3</v>
          </cell>
          <cell r="CJ93">
            <v>2.4310511878326997E-5</v>
          </cell>
          <cell r="CK93">
            <v>2.065288715437263E-3</v>
          </cell>
          <cell r="CL93">
            <v>5.9418989657794687E-3</v>
          </cell>
        </row>
        <row r="94">
          <cell r="BJ94" t="str">
            <v>6_Hub_30%IP</v>
          </cell>
          <cell r="BK94">
            <v>0.47838402570342209</v>
          </cell>
          <cell r="BL94">
            <v>0.18857038661596959</v>
          </cell>
          <cell r="BM94">
            <v>5.7445368410646402</v>
          </cell>
          <cell r="BN94">
            <v>1.9631870917566532E-2</v>
          </cell>
          <cell r="BO94">
            <v>3.2158475205323196</v>
          </cell>
          <cell r="BP94">
            <v>1.2029895370342204E-4</v>
          </cell>
          <cell r="BQ94">
            <v>8.3860960072243348E-2</v>
          </cell>
          <cell r="BR94">
            <v>0.72185416398479074</v>
          </cell>
          <cell r="BS94">
            <v>0.30007942270722432</v>
          </cell>
          <cell r="BT94">
            <v>10.274501464848454</v>
          </cell>
          <cell r="BU94">
            <v>3.8194981761216718E-2</v>
          </cell>
          <cell r="BV94">
            <v>0.47382304076045628</v>
          </cell>
          <cell r="BW94">
            <v>0.14637969520912553</v>
          </cell>
          <cell r="BX94">
            <v>2.7082887787072244E-2</v>
          </cell>
          <cell r="BY94">
            <v>3.8348627102661597E-4</v>
          </cell>
          <cell r="BZ94">
            <v>0.25881918418250938</v>
          </cell>
          <cell r="CA94">
            <v>0.2237676748441064</v>
          </cell>
          <cell r="CB94">
            <v>2.3364788517110269E-2</v>
          </cell>
          <cell r="CC94">
            <v>1.19268276730038E-4</v>
          </cell>
          <cell r="CD94">
            <v>1.1216818494296581E-2</v>
          </cell>
          <cell r="CE94">
            <v>-6.9294190555133078E-5</v>
          </cell>
          <cell r="CF94">
            <v>1.8950302448669201E-8</v>
          </cell>
          <cell r="CG94">
            <v>1.1477454403041824E-3</v>
          </cell>
          <cell r="CH94">
            <v>8.188302263117869E-4</v>
          </cell>
          <cell r="CI94">
            <v>1.3869522433460069E-3</v>
          </cell>
          <cell r="CJ94">
            <v>2.4609021384030422E-5</v>
          </cell>
          <cell r="CK94">
            <v>2.0767799701901144E-3</v>
          </cell>
          <cell r="CL94">
            <v>5.9006689277566549E-3</v>
          </cell>
        </row>
        <row r="95">
          <cell r="BJ95" t="str">
            <v>6_Hub_50%IP</v>
          </cell>
          <cell r="BK95">
            <v>0.47311125005235599</v>
          </cell>
          <cell r="BL95">
            <v>0.19119335434554974</v>
          </cell>
          <cell r="BM95">
            <v>5.7199842366492151</v>
          </cell>
          <cell r="BN95">
            <v>1.6988890582827227E-2</v>
          </cell>
          <cell r="BO95">
            <v>2.9519429209424084</v>
          </cell>
          <cell r="BP95">
            <v>1.5937637604188481E-4</v>
          </cell>
          <cell r="BQ95">
            <v>8.7515123031413594E-2</v>
          </cell>
          <cell r="BR95">
            <v>0.84789807396858619</v>
          </cell>
          <cell r="BS95">
            <v>0.34916756110994751</v>
          </cell>
          <cell r="BT95">
            <v>10.164849537005992</v>
          </cell>
          <cell r="BU95">
            <v>4.2227278550785334E-2</v>
          </cell>
          <cell r="BV95">
            <v>0.46882162157068069</v>
          </cell>
          <cell r="BW95">
            <v>0.14548675308900527</v>
          </cell>
          <cell r="BX95">
            <v>2.703790831413613E-2</v>
          </cell>
          <cell r="BY95">
            <v>4.1455756691099468E-4</v>
          </cell>
          <cell r="BZ95">
            <v>0.27689077193717276</v>
          </cell>
          <cell r="CA95">
            <v>0.20980448420942405</v>
          </cell>
          <cell r="CB95">
            <v>2.346043130890052E-2</v>
          </cell>
          <cell r="CC95">
            <v>1.2592888366492143E-4</v>
          </cell>
          <cell r="CD95">
            <v>1.1108488293193716E-2</v>
          </cell>
          <cell r="CE95">
            <v>-8.7899602701570692E-5</v>
          </cell>
          <cell r="CF95">
            <v>1.868734839790576E-8</v>
          </cell>
          <cell r="CG95">
            <v>1.1939221507853402E-3</v>
          </cell>
          <cell r="CH95">
            <v>8.3051303413612552E-4</v>
          </cell>
          <cell r="CI95">
            <v>1.404953246073298E-3</v>
          </cell>
          <cell r="CJ95">
            <v>2.3048610596858641E-5</v>
          </cell>
          <cell r="CK95">
            <v>2.0493383359162301E-3</v>
          </cell>
          <cell r="CL95">
            <v>6.9063572146596868E-3</v>
          </cell>
        </row>
        <row r="96">
          <cell r="BJ96" t="str">
            <v>6_Hub_70%IP</v>
          </cell>
          <cell r="BK96">
            <v>0.53768126982456144</v>
          </cell>
          <cell r="BL96">
            <v>0.22399980421052632</v>
          </cell>
          <cell r="BM96">
            <v>6.6350709578947384</v>
          </cell>
          <cell r="BN96">
            <v>2.6874792309824563E-2</v>
          </cell>
          <cell r="BO96">
            <v>2.0985196307017548</v>
          </cell>
          <cell r="BP96">
            <v>2.577972607368421E-4</v>
          </cell>
          <cell r="BQ96">
            <v>0.12449935713157893</v>
          </cell>
          <cell r="BR96">
            <v>0.68854518533333342</v>
          </cell>
          <cell r="BS96">
            <v>0.44774710677192986</v>
          </cell>
          <cell r="BT96">
            <v>10.245514631614423</v>
          </cell>
          <cell r="BU96">
            <v>3.5764878975438605E-2</v>
          </cell>
          <cell r="BV96">
            <v>0.53321082210526305</v>
          </cell>
          <cell r="BW96">
            <v>0.16832845122807019</v>
          </cell>
          <cell r="BX96">
            <v>3.002572533333334E-2</v>
          </cell>
          <cell r="BY96">
            <v>5.4473016035087721E-4</v>
          </cell>
          <cell r="BZ96">
            <v>0.35574694947368424</v>
          </cell>
          <cell r="CA96">
            <v>0.1427798463508772</v>
          </cell>
          <cell r="CB96">
            <v>2.6292098070175428E-2</v>
          </cell>
          <cell r="CC96">
            <v>1.5703840157894737E-4</v>
          </cell>
          <cell r="CD96">
            <v>1.1698956701754389E-2</v>
          </cell>
          <cell r="CE96">
            <v>-3.6911308035087705E-5</v>
          </cell>
          <cell r="CF96">
            <v>2.1208951263157896E-8</v>
          </cell>
          <cell r="CG96">
            <v>1.480494463157895E-3</v>
          </cell>
          <cell r="CH96">
            <v>9.7814759228070187E-4</v>
          </cell>
          <cell r="CI96">
            <v>1.6265010000000002E-3</v>
          </cell>
          <cell r="CJ96">
            <v>2.4339000210526311E-5</v>
          </cell>
          <cell r="CK96">
            <v>2.186049492631579E-3</v>
          </cell>
          <cell r="CL96">
            <v>4.773287087719299E-3</v>
          </cell>
        </row>
        <row r="97">
          <cell r="BJ97" t="str">
            <v>6_Hub_90%IP</v>
          </cell>
          <cell r="BK97">
            <v>0.53234689473684227</v>
          </cell>
          <cell r="BL97">
            <v>0.20555398947368422</v>
          </cell>
          <cell r="BM97">
            <v>6.8692999999999991</v>
          </cell>
          <cell r="BN97">
            <v>3.5690825263157901E-2</v>
          </cell>
          <cell r="BO97">
            <v>2.0527547447368422</v>
          </cell>
          <cell r="BP97">
            <v>7.1822021052631577E-4</v>
          </cell>
          <cell r="BQ97">
            <v>0.11188999376315791</v>
          </cell>
          <cell r="BR97">
            <v>0.83971857894736834</v>
          </cell>
          <cell r="BS97">
            <v>0.35533979210526317</v>
          </cell>
          <cell r="BT97">
            <v>10.4709661445</v>
          </cell>
          <cell r="BU97">
            <v>3.2855865789473693E-2</v>
          </cell>
          <cell r="BV97">
            <v>0.52697621052631582</v>
          </cell>
          <cell r="BW97">
            <v>0.17551682105263158</v>
          </cell>
          <cell r="BX97">
            <v>2.7785973684210534E-2</v>
          </cell>
          <cell r="BY97">
            <v>3.1727768421052632E-4</v>
          </cell>
          <cell r="BZ97">
            <v>0.22652360526315785</v>
          </cell>
          <cell r="CA97">
            <v>0.14490292368421054</v>
          </cell>
          <cell r="CB97">
            <v>2.3980236842105266E-2</v>
          </cell>
          <cell r="CC97">
            <v>1.2013735526315789E-4</v>
          </cell>
          <cell r="CD97">
            <v>1.1817715789473687E-2</v>
          </cell>
          <cell r="CE97">
            <v>-2.9427894736842106E-5</v>
          </cell>
          <cell r="CF97">
            <v>2.5994249999999998E-8</v>
          </cell>
          <cell r="CG97">
            <v>1.2811040526315787E-3</v>
          </cell>
          <cell r="CH97">
            <v>1.1153986842105264E-3</v>
          </cell>
          <cell r="CI97">
            <v>1.8025255263157895E-3</v>
          </cell>
          <cell r="CJ97">
            <v>2.9842152631578945E-5</v>
          </cell>
          <cell r="CK97">
            <v>2.3159744736842101E-3</v>
          </cell>
          <cell r="CL97">
            <v>5.6676255263157886E-3</v>
          </cell>
        </row>
        <row r="98">
          <cell r="BJ98" t="str">
            <v>1_Hub_1000km</v>
          </cell>
          <cell r="BK98">
            <v>0.53243950110638305</v>
          </cell>
          <cell r="BL98">
            <v>0.20634954331914898</v>
          </cell>
          <cell r="BM98">
            <v>6.4496301668085119</v>
          </cell>
          <cell r="BN98">
            <v>5.6436655060936168E-2</v>
          </cell>
          <cell r="BO98">
            <v>2.002849693191489</v>
          </cell>
          <cell r="BP98">
            <v>1.3494812691063827E-4</v>
          </cell>
          <cell r="BQ98">
            <v>0.15710336431914895</v>
          </cell>
          <cell r="BR98">
            <v>0.64994337926808488</v>
          </cell>
          <cell r="BS98">
            <v>0.3981631752</v>
          </cell>
          <cell r="BT98">
            <v>9.9206109252942305</v>
          </cell>
          <cell r="BU98">
            <v>3.076118384340425E-2</v>
          </cell>
          <cell r="BV98">
            <v>0.5277537860425533</v>
          </cell>
          <cell r="BW98">
            <v>0.16295783931914895</v>
          </cell>
          <cell r="BX98">
            <v>3.0670745906382978E-2</v>
          </cell>
          <cell r="BY98">
            <v>5.4164488204255313E-4</v>
          </cell>
          <cell r="BZ98">
            <v>0.35307737293617003</v>
          </cell>
          <cell r="CA98">
            <v>0.13229830844255322</v>
          </cell>
          <cell r="CB98">
            <v>2.6664300340425533E-2</v>
          </cell>
          <cell r="CC98">
            <v>1.524682586382979E-4</v>
          </cell>
          <cell r="CD98">
            <v>1.1644254740425533E-2</v>
          </cell>
          <cell r="CE98">
            <v>-2.1708204748936165E-5</v>
          </cell>
          <cell r="CF98">
            <v>1.9568886570212768E-8</v>
          </cell>
          <cell r="CG98">
            <v>1.7156502246808507E-3</v>
          </cell>
          <cell r="CH98">
            <v>9.0971750434042553E-4</v>
          </cell>
          <cell r="CI98">
            <v>1.4776829191489355E-3</v>
          </cell>
          <cell r="CJ98">
            <v>2.7394109889361701E-5</v>
          </cell>
          <cell r="CK98">
            <v>2.3030287751489367E-3</v>
          </cell>
          <cell r="CL98">
            <v>3.7312073531914889E-3</v>
          </cell>
        </row>
        <row r="99">
          <cell r="BJ99" t="str">
            <v>2_Hub_1000km</v>
          </cell>
          <cell r="BK99">
            <v>0.47539044720496881</v>
          </cell>
          <cell r="BL99">
            <v>0.21281087950310559</v>
          </cell>
          <cell r="BM99">
            <v>6.0323490683229828</v>
          </cell>
          <cell r="BN99">
            <v>8.2141412919254655E-2</v>
          </cell>
          <cell r="BO99">
            <v>1.8002178776397513</v>
          </cell>
          <cell r="BP99">
            <v>1.8774597639751551E-4</v>
          </cell>
          <cell r="BQ99">
            <v>0.21676009480124228</v>
          </cell>
          <cell r="BR99">
            <v>0.84411629813664568</v>
          </cell>
          <cell r="BS99">
            <v>0.3217859757763975</v>
          </cell>
          <cell r="BT99">
            <v>9.5103693530757791</v>
          </cell>
          <cell r="BU99">
            <v>3.1305453416149071E-2</v>
          </cell>
          <cell r="BV99">
            <v>0.47102152795031049</v>
          </cell>
          <cell r="BW99">
            <v>0.15457112546583854</v>
          </cell>
          <cell r="BX99">
            <v>2.904962111801242E-2</v>
          </cell>
          <cell r="BY99">
            <v>4.4440811180124218E-4</v>
          </cell>
          <cell r="BZ99">
            <v>0.29135127950310563</v>
          </cell>
          <cell r="CA99">
            <v>0.12000456211180129</v>
          </cell>
          <cell r="CB99">
            <v>2.5177751552795027E-2</v>
          </cell>
          <cell r="CC99">
            <v>1.3051053726708073E-4</v>
          </cell>
          <cell r="CD99">
            <v>1.1704370186335402E-2</v>
          </cell>
          <cell r="CE99">
            <v>-1.8851916149068317E-5</v>
          </cell>
          <cell r="CF99">
            <v>2.0888932298136646E-8</v>
          </cell>
          <cell r="CG99">
            <v>1.2164360496894411E-3</v>
          </cell>
          <cell r="CH99">
            <v>8.4511521739130441E-4</v>
          </cell>
          <cell r="CI99">
            <v>1.2204592546583852E-3</v>
          </cell>
          <cell r="CJ99">
            <v>2.782839378881988E-5</v>
          </cell>
          <cell r="CK99">
            <v>2.2747696273291923E-3</v>
          </cell>
          <cell r="CL99">
            <v>4.0654699999999998E-3</v>
          </cell>
        </row>
        <row r="100">
          <cell r="BJ100" t="str">
            <v>3_Hub_1000km</v>
          </cell>
          <cell r="BK100">
            <v>0.45101713599999999</v>
          </cell>
          <cell r="BL100">
            <v>0.23237529279999999</v>
          </cell>
          <cell r="BM100">
            <v>5.7761808000000006</v>
          </cell>
          <cell r="BN100">
            <v>7.6883519040000001E-2</v>
          </cell>
          <cell r="BO100">
            <v>2.1096224824000003</v>
          </cell>
          <cell r="BP100">
            <v>2.3644622399999999E-4</v>
          </cell>
          <cell r="BQ100">
            <v>0.22103384610400001</v>
          </cell>
          <cell r="BR100">
            <v>0.81747267200000018</v>
          </cell>
          <cell r="BS100">
            <v>0.32829409680000005</v>
          </cell>
          <cell r="BT100">
            <v>9.562099155368001</v>
          </cell>
          <cell r="BU100">
            <v>3.3949408E-2</v>
          </cell>
          <cell r="BV100">
            <v>0.44648020799999988</v>
          </cell>
          <cell r="BW100">
            <v>0.14820180160000002</v>
          </cell>
          <cell r="BX100">
            <v>2.7732872000000006E-2</v>
          </cell>
          <cell r="BY100">
            <v>3.6066015999999996E-4</v>
          </cell>
          <cell r="BZ100">
            <v>0.24352468800000002</v>
          </cell>
          <cell r="CA100">
            <v>0.14084964880000003</v>
          </cell>
          <cell r="CB100">
            <v>2.3920895999999994E-2</v>
          </cell>
          <cell r="CC100">
            <v>1.1369755600000002E-4</v>
          </cell>
          <cell r="CD100">
            <v>1.17935696E-2</v>
          </cell>
          <cell r="CE100">
            <v>-1.9343140000000001E-5</v>
          </cell>
          <cell r="CF100">
            <v>2.0541924000000002E-8</v>
          </cell>
          <cell r="CG100">
            <v>1.2071120319999999E-3</v>
          </cell>
          <cell r="CH100">
            <v>8.0879240000000005E-4</v>
          </cell>
          <cell r="CI100">
            <v>1.1472310399999999E-3</v>
          </cell>
          <cell r="CJ100">
            <v>2.9012126400000004E-5</v>
          </cell>
          <cell r="CK100">
            <v>2.4035167199999998E-3</v>
          </cell>
          <cell r="CL100">
            <v>3.9350725600000008E-3</v>
          </cell>
        </row>
        <row r="101">
          <cell r="BJ101" t="str">
            <v>4_Hub_1000km</v>
          </cell>
          <cell r="BK101">
            <v>0.4632309684210526</v>
          </cell>
          <cell r="BL101">
            <v>0.2541064378947368</v>
          </cell>
          <cell r="BM101">
            <v>5.9547536842105258</v>
          </cell>
          <cell r="BN101">
            <v>5.1255156631578931E-2</v>
          </cell>
          <cell r="BO101">
            <v>2.419798003157895</v>
          </cell>
          <cell r="BP101">
            <v>3.0550218947368417E-4</v>
          </cell>
          <cell r="BQ101">
            <v>0.18699295540000005</v>
          </cell>
          <cell r="BR101">
            <v>0.75531667368421063</v>
          </cell>
          <cell r="BS101">
            <v>0.33801854842105272</v>
          </cell>
          <cell r="BT101">
            <v>9.9605469615894702</v>
          </cell>
          <cell r="BU101">
            <v>3.6820694736842116E-2</v>
          </cell>
          <cell r="BV101">
            <v>0.45856553684210527</v>
          </cell>
          <cell r="BW101">
            <v>0.15290447578947369</v>
          </cell>
          <cell r="BX101">
            <v>2.7200094736842106E-2</v>
          </cell>
          <cell r="BY101">
            <v>3.3814442105263158E-4</v>
          </cell>
          <cell r="BZ101">
            <v>0.23223669473684219</v>
          </cell>
          <cell r="CA101">
            <v>0.16207374842105263</v>
          </cell>
          <cell r="CB101">
            <v>2.3492336842105256E-2</v>
          </cell>
          <cell r="CC101">
            <v>1.1206415263157894E-4</v>
          </cell>
          <cell r="CD101">
            <v>1.1896696842105264E-2</v>
          </cell>
          <cell r="CE101">
            <v>-2.0824552631578956E-5</v>
          </cell>
          <cell r="CF101">
            <v>2.1504742105263157E-8</v>
          </cell>
          <cell r="CG101">
            <v>1.1020526736842107E-3</v>
          </cell>
          <cell r="CH101">
            <v>8.5013947368421064E-4</v>
          </cell>
          <cell r="CI101">
            <v>1.2617776842105267E-3</v>
          </cell>
          <cell r="CJ101">
            <v>2.8131113684210526E-5</v>
          </cell>
          <cell r="CK101">
            <v>2.4047851578947368E-3</v>
          </cell>
          <cell r="CL101">
            <v>4.2142849473684211E-3</v>
          </cell>
        </row>
        <row r="102">
          <cell r="BJ102" t="str">
            <v>5_Hub_1000km</v>
          </cell>
          <cell r="BK102">
            <v>0.50265086111111101</v>
          </cell>
          <cell r="BL102">
            <v>0.22691661944444441</v>
          </cell>
          <cell r="BM102">
            <v>6.4284111111111093</v>
          </cell>
          <cell r="BN102">
            <v>6.5016409999999969E-2</v>
          </cell>
          <cell r="BO102">
            <v>2.0712427819444441</v>
          </cell>
          <cell r="BP102">
            <v>3.8948762499999999E-4</v>
          </cell>
          <cell r="BQ102">
            <v>0.16766362170833338</v>
          </cell>
          <cell r="BR102">
            <v>0.77506541666666651</v>
          </cell>
          <cell r="BS102">
            <v>0.29777711250000011</v>
          </cell>
          <cell r="BT102">
            <v>10.032482560999998</v>
          </cell>
          <cell r="BU102">
            <v>3.4571402777777781E-2</v>
          </cell>
          <cell r="BV102">
            <v>0.49755813888888883</v>
          </cell>
          <cell r="BW102">
            <v>0.16466498888888892</v>
          </cell>
          <cell r="BX102">
            <v>2.8468111111111114E-2</v>
          </cell>
          <cell r="BY102">
            <v>3.6564970833333335E-4</v>
          </cell>
          <cell r="BZ102">
            <v>0.24990802777777782</v>
          </cell>
          <cell r="CA102">
            <v>0.14189466805555553</v>
          </cell>
          <cell r="CB102">
            <v>2.4468402777777773E-2</v>
          </cell>
          <cell r="CC102">
            <v>1.2028671527777776E-4</v>
          </cell>
          <cell r="CD102">
            <v>1.166075277777778E-2</v>
          </cell>
          <cell r="CE102">
            <v>-2.3308516666666672E-5</v>
          </cell>
          <cell r="CF102">
            <v>2.3281256944444443E-8</v>
          </cell>
          <cell r="CG102">
            <v>1.3657224166666667E-3</v>
          </cell>
          <cell r="CH102">
            <v>9.3198055555555577E-4</v>
          </cell>
          <cell r="CI102">
            <v>1.4210745833333337E-3</v>
          </cell>
          <cell r="CJ102">
            <v>3.1155622222222228E-5</v>
          </cell>
          <cell r="CK102">
            <v>2.3515401388888887E-3</v>
          </cell>
          <cell r="CL102">
            <v>4.3262190277777784E-3</v>
          </cell>
        </row>
        <row r="103">
          <cell r="BJ103" t="str">
            <v>6_Hub_1000km</v>
          </cell>
          <cell r="BK103">
            <v>0.54238763999999995</v>
          </cell>
          <cell r="BL103">
            <v>0.25479353199999999</v>
          </cell>
          <cell r="BM103">
            <v>6.9642039999999996</v>
          </cell>
          <cell r="BN103">
            <v>2.40860304E-2</v>
          </cell>
          <cell r="BO103">
            <v>2.4865336060000001</v>
          </cell>
          <cell r="BP103">
            <v>5.5304382E-4</v>
          </cell>
          <cell r="BQ103">
            <v>9.675041526E-2</v>
          </cell>
          <cell r="BR103">
            <v>0.6698021999999999</v>
          </cell>
          <cell r="BS103">
            <v>0.297899042</v>
          </cell>
          <cell r="BT103">
            <v>10.794621869480002</v>
          </cell>
          <cell r="BU103">
            <v>3.884573999999999E-2</v>
          </cell>
          <cell r="BV103">
            <v>0.53687132000000015</v>
          </cell>
          <cell r="BW103">
            <v>0.17846118400000002</v>
          </cell>
          <cell r="BX103">
            <v>2.8049280000000003E-2</v>
          </cell>
          <cell r="BY103">
            <v>3.3647317999999993E-4</v>
          </cell>
          <cell r="BZ103">
            <v>0.23698875999999999</v>
          </cell>
          <cell r="CA103">
            <v>0.17192672199999998</v>
          </cell>
          <cell r="CB103">
            <v>2.4112179999999997E-2</v>
          </cell>
          <cell r="CC103">
            <v>1.2091007E-4</v>
          </cell>
          <cell r="CD103">
            <v>1.1746004000000001E-2</v>
          </cell>
          <cell r="CE103">
            <v>-2.7117383999999998E-5</v>
          </cell>
          <cell r="CF103">
            <v>2.5828089999999997E-8</v>
          </cell>
          <cell r="CG103">
            <v>1.28912828E-3</v>
          </cell>
          <cell r="CH103">
            <v>1.0437936000000001E-3</v>
          </cell>
          <cell r="CI103">
            <v>1.7011674000000001E-3</v>
          </cell>
          <cell r="CJ103">
            <v>3.0871216000000001E-5</v>
          </cell>
          <cell r="CK103">
            <v>2.3304377999999997E-3</v>
          </cell>
          <cell r="CL103">
            <v>4.8873593999999984E-3</v>
          </cell>
        </row>
        <row r="104">
          <cell r="BJ104" t="str">
            <v>1_Hub_3000km</v>
          </cell>
          <cell r="BK104">
            <v>0.42206004255319152</v>
          </cell>
          <cell r="BL104">
            <v>0.27773488510638294</v>
          </cell>
          <cell r="BM104">
            <v>5.6099978723404256</v>
          </cell>
          <cell r="BN104">
            <v>3.6036891489361705E-2</v>
          </cell>
          <cell r="BO104">
            <v>2.4783623042553193</v>
          </cell>
          <cell r="BP104">
            <v>5.9655778297872347E-4</v>
          </cell>
          <cell r="BQ104">
            <v>0.20932792697872343</v>
          </cell>
          <cell r="BR104">
            <v>0.92771036170212762</v>
          </cell>
          <cell r="BS104">
            <v>0.3809544574468085</v>
          </cell>
          <cell r="BT104">
            <v>9.9207212571021284</v>
          </cell>
          <cell r="BU104">
            <v>3.830732978723405E-2</v>
          </cell>
          <cell r="BV104">
            <v>0.4176933191489362</v>
          </cell>
          <cell r="BW104">
            <v>0.1441104085106383</v>
          </cell>
          <cell r="BX104">
            <v>2.4288340425531917E-2</v>
          </cell>
          <cell r="BY104">
            <v>2.0811461702127657E-4</v>
          </cell>
          <cell r="BZ104">
            <v>0.15774644680851063</v>
          </cell>
          <cell r="CA104">
            <v>0.16291966382978726</v>
          </cell>
          <cell r="CB104">
            <v>2.1189638297872342E-2</v>
          </cell>
          <cell r="CC104">
            <v>9.2149180851063808E-5</v>
          </cell>
          <cell r="CD104">
            <v>1.2239514893617022E-2</v>
          </cell>
          <cell r="CE104">
            <v>-1.722277659574468E-5</v>
          </cell>
          <cell r="CF104">
            <v>2.1190512765957446E-8</v>
          </cell>
          <cell r="CG104">
            <v>6.2620731914893616E-4</v>
          </cell>
          <cell r="CH104">
            <v>9.3657978723404281E-4</v>
          </cell>
          <cell r="CI104">
            <v>1.3433763829787232E-3</v>
          </cell>
          <cell r="CJ104">
            <v>2.3989968085106379E-5</v>
          </cell>
          <cell r="CK104">
            <v>2.6264887234042551E-3</v>
          </cell>
          <cell r="CL104">
            <v>4.7826525531914884E-3</v>
          </cell>
        </row>
        <row r="105">
          <cell r="BJ105" t="str">
            <v>2_Hub_3000km</v>
          </cell>
          <cell r="BK105">
            <v>0.53224084615384615</v>
          </cell>
          <cell r="BL105">
            <v>0.25493548461538462</v>
          </cell>
          <cell r="BM105">
            <v>6.616905384615384</v>
          </cell>
          <cell r="BN105">
            <v>8.3527663076923081E-2</v>
          </cell>
          <cell r="BO105">
            <v>0.8655739461538462</v>
          </cell>
          <cell r="BP105">
            <v>2.0564501076923078E-3</v>
          </cell>
          <cell r="BQ105">
            <v>0.13425642061538462</v>
          </cell>
          <cell r="BR105">
            <v>1.676316153846154</v>
          </cell>
          <cell r="BS105">
            <v>0.2012636153846154</v>
          </cell>
          <cell r="BT105">
            <v>9.8348351184153859</v>
          </cell>
          <cell r="BU105">
            <v>3.9795046153846152E-2</v>
          </cell>
          <cell r="BV105">
            <v>0.52610646153846163</v>
          </cell>
          <cell r="BW105">
            <v>0.16320774615384617</v>
          </cell>
          <cell r="BX105">
            <v>2.6286E-2</v>
          </cell>
          <cell r="BY105">
            <v>2.3353415384615384E-4</v>
          </cell>
          <cell r="BZ105">
            <v>0.18292723076923079</v>
          </cell>
          <cell r="CA105">
            <v>6.1851169230769228E-2</v>
          </cell>
          <cell r="CB105">
            <v>2.2740461538461539E-2</v>
          </cell>
          <cell r="CC105">
            <v>1.1596357692307693E-4</v>
          </cell>
          <cell r="CD105">
            <v>1.1526323076923077E-2</v>
          </cell>
          <cell r="CE105">
            <v>-2.7734215384615385E-5</v>
          </cell>
          <cell r="CF105">
            <v>1.3405369230769231E-8</v>
          </cell>
          <cell r="CG105">
            <v>1.2351699230769232E-3</v>
          </cell>
          <cell r="CH105">
            <v>1.2926276923076923E-3</v>
          </cell>
          <cell r="CI105">
            <v>1.8784853846153847E-3</v>
          </cell>
          <cell r="CJ105">
            <v>2.7961715384615386E-5</v>
          </cell>
          <cell r="CK105">
            <v>2.7213776923076922E-3</v>
          </cell>
          <cell r="CL105">
            <v>8.0317976923076923E-3</v>
          </cell>
        </row>
        <row r="106">
          <cell r="BJ106" t="str">
            <v>3_Hub_3000km</v>
          </cell>
          <cell r="BK106">
            <v>0.60594599999999998</v>
          </cell>
          <cell r="BL106">
            <v>0.29811293999999999</v>
          </cell>
          <cell r="BM106">
            <v>7.5247699999999993</v>
          </cell>
          <cell r="BN106">
            <v>3.7699619999999995E-3</v>
          </cell>
          <cell r="BO106">
            <v>0.89887650000000008</v>
          </cell>
          <cell r="BP106">
            <v>2.6695712499999998E-3</v>
          </cell>
          <cell r="BQ106">
            <v>0.1085026868</v>
          </cell>
          <cell r="BR106">
            <v>1.632361</v>
          </cell>
          <cell r="BS106">
            <v>0.15129970000000001</v>
          </cell>
          <cell r="BT106">
            <v>10.620362360050002</v>
          </cell>
          <cell r="BU106">
            <v>4.6222849999999996E-2</v>
          </cell>
          <cell r="BV106">
            <v>0.59882399999999991</v>
          </cell>
          <cell r="BW106">
            <v>0.18469189999999999</v>
          </cell>
          <cell r="BX106">
            <v>2.6105499999999997E-2</v>
          </cell>
          <cell r="BY106">
            <v>2.1582780000000001E-4</v>
          </cell>
          <cell r="BZ106">
            <v>0.17977369999999998</v>
          </cell>
          <cell r="CA106">
            <v>6.5516240000000003E-2</v>
          </cell>
          <cell r="CB106">
            <v>2.2630899999999999E-2</v>
          </cell>
          <cell r="CC106">
            <v>1.2617760000000001E-4</v>
          </cell>
          <cell r="CD106">
            <v>1.1646720000000001E-2</v>
          </cell>
          <cell r="CE106">
            <v>-3.2729430000000008E-5</v>
          </cell>
          <cell r="CF106">
            <v>1.3592639999999999E-8</v>
          </cell>
          <cell r="CG106">
            <v>1.2889209999999999E-3</v>
          </cell>
          <cell r="CH106">
            <v>1.5314409999999999E-3</v>
          </cell>
          <cell r="CI106">
            <v>2.2654339999999998E-3</v>
          </cell>
          <cell r="CJ106">
            <v>2.9214099999999999E-5</v>
          </cell>
          <cell r="CK106">
            <v>3.0069189999999998E-3</v>
          </cell>
          <cell r="CL106">
            <v>9.8184789999999997E-3</v>
          </cell>
        </row>
        <row r="107">
          <cell r="BJ107" t="str">
            <v>4_Hub_3000km</v>
          </cell>
          <cell r="BK107">
            <v>0.63528444444444443</v>
          </cell>
          <cell r="BL107">
            <v>0.26473882222222223</v>
          </cell>
          <cell r="BM107">
            <v>7.759777777777777</v>
          </cell>
          <cell r="BN107">
            <v>4.1427755555555551E-3</v>
          </cell>
          <cell r="BO107">
            <v>0.57256277777777775</v>
          </cell>
          <cell r="BP107">
            <v>2.9592700555555553E-3</v>
          </cell>
          <cell r="BQ107">
            <v>9.3810763111111112E-2</v>
          </cell>
          <cell r="BR107">
            <v>1.802048888888889</v>
          </cell>
          <cell r="BS107">
            <v>0.10074299999999999</v>
          </cell>
          <cell r="BT107">
            <v>10.600784075388891</v>
          </cell>
          <cell r="BU107">
            <v>4.2640166666666666E-2</v>
          </cell>
          <cell r="BV107">
            <v>0.62764888888888892</v>
          </cell>
          <cell r="BW107">
            <v>0.18870766666666666</v>
          </cell>
          <cell r="BX107">
            <v>2.6367333333333336E-2</v>
          </cell>
          <cell r="BY107">
            <v>2.3169144444444442E-4</v>
          </cell>
          <cell r="BZ107">
            <v>0.19120888888888887</v>
          </cell>
          <cell r="CA107">
            <v>3.917693333333333E-2</v>
          </cell>
          <cell r="CB107">
            <v>2.2842777777777781E-2</v>
          </cell>
          <cell r="CC107">
            <v>1.3419355555555556E-4</v>
          </cell>
          <cell r="CD107">
            <v>1.1577244444444445E-2</v>
          </cell>
          <cell r="CE107">
            <v>-3.5262455555555554E-5</v>
          </cell>
          <cell r="CF107">
            <v>1.2984155555555555E-8</v>
          </cell>
          <cell r="CG107">
            <v>1.398078888888889E-3</v>
          </cell>
          <cell r="CH107">
            <v>1.6237033333333332E-3</v>
          </cell>
          <cell r="CI107">
            <v>2.420238888888889E-3</v>
          </cell>
          <cell r="CJ107">
            <v>3.0299555555555555E-5</v>
          </cell>
          <cell r="CK107">
            <v>2.9628322222222223E-3</v>
          </cell>
          <cell r="CL107">
            <v>1.0719176666666667E-2</v>
          </cell>
        </row>
        <row r="108">
          <cell r="BJ108" t="str">
            <v>5_Hub_3000km</v>
          </cell>
          <cell r="BK108">
            <v>0.63528444444444443</v>
          </cell>
          <cell r="BL108">
            <v>0.26473882222222223</v>
          </cell>
          <cell r="BM108">
            <v>7.759777777777777</v>
          </cell>
          <cell r="BN108">
            <v>4.1427755555555551E-3</v>
          </cell>
          <cell r="BO108">
            <v>0.57256277777777775</v>
          </cell>
          <cell r="BP108">
            <v>2.9592700555555553E-3</v>
          </cell>
          <cell r="BQ108">
            <v>9.3810763111111112E-2</v>
          </cell>
          <cell r="BR108">
            <v>1.802048888888889</v>
          </cell>
          <cell r="BS108">
            <v>0.10074299999999999</v>
          </cell>
          <cell r="BT108">
            <v>10.600784075388891</v>
          </cell>
          <cell r="BU108">
            <v>4.2640166666666666E-2</v>
          </cell>
          <cell r="BV108">
            <v>0.62764888888888892</v>
          </cell>
          <cell r="BW108">
            <v>0.18870766666666666</v>
          </cell>
          <cell r="BX108">
            <v>2.6367333333333336E-2</v>
          </cell>
          <cell r="BY108">
            <v>2.3169144444444442E-4</v>
          </cell>
          <cell r="BZ108">
            <v>0.19120888888888887</v>
          </cell>
          <cell r="CA108">
            <v>3.917693333333333E-2</v>
          </cell>
          <cell r="CB108">
            <v>2.2842777777777781E-2</v>
          </cell>
          <cell r="CC108">
            <v>1.3419355555555556E-4</v>
          </cell>
          <cell r="CD108">
            <v>1.1577244444444445E-2</v>
          </cell>
          <cell r="CE108">
            <v>-3.5262455555555554E-5</v>
          </cell>
          <cell r="CF108">
            <v>1.2984155555555555E-8</v>
          </cell>
          <cell r="CG108">
            <v>1.398078888888889E-3</v>
          </cell>
          <cell r="CH108">
            <v>1.6237033333333332E-3</v>
          </cell>
          <cell r="CI108">
            <v>2.420238888888889E-3</v>
          </cell>
          <cell r="CJ108">
            <v>3.0299555555555555E-5</v>
          </cell>
          <cell r="CK108">
            <v>2.9628322222222223E-3</v>
          </cell>
          <cell r="CL108">
            <v>1.0719176666666667E-2</v>
          </cell>
        </row>
        <row r="109">
          <cell r="BJ109" t="str">
            <v>6_Hub_3000km</v>
          </cell>
          <cell r="BK109">
            <v>0.63528444444444443</v>
          </cell>
          <cell r="BL109">
            <v>0.26473882222222223</v>
          </cell>
          <cell r="BM109">
            <v>7.759777777777777</v>
          </cell>
          <cell r="BN109">
            <v>4.1427755555555551E-3</v>
          </cell>
          <cell r="BO109">
            <v>0.57256277777777775</v>
          </cell>
          <cell r="BP109">
            <v>2.9592700555555553E-3</v>
          </cell>
          <cell r="BQ109">
            <v>9.3810763111111112E-2</v>
          </cell>
          <cell r="BR109">
            <v>1.802048888888889</v>
          </cell>
          <cell r="BS109">
            <v>0.10074299999999999</v>
          </cell>
          <cell r="BT109">
            <v>10.600784075388891</v>
          </cell>
          <cell r="BU109">
            <v>4.2640166666666666E-2</v>
          </cell>
          <cell r="BV109">
            <v>0.62764888888888892</v>
          </cell>
          <cell r="BW109">
            <v>0.18870766666666666</v>
          </cell>
          <cell r="BX109">
            <v>2.6367333333333336E-2</v>
          </cell>
          <cell r="BY109">
            <v>2.3169144444444442E-4</v>
          </cell>
          <cell r="BZ109">
            <v>0.19120888888888887</v>
          </cell>
          <cell r="CA109">
            <v>3.917693333333333E-2</v>
          </cell>
          <cell r="CB109">
            <v>2.2842777777777781E-2</v>
          </cell>
          <cell r="CC109">
            <v>1.3419355555555556E-4</v>
          </cell>
          <cell r="CD109">
            <v>1.1577244444444445E-2</v>
          </cell>
          <cell r="CE109">
            <v>-3.5262455555555554E-5</v>
          </cell>
          <cell r="CF109">
            <v>1.2984155555555555E-8</v>
          </cell>
          <cell r="CG109">
            <v>1.398078888888889E-3</v>
          </cell>
          <cell r="CH109">
            <v>1.6237033333333332E-3</v>
          </cell>
          <cell r="CI109">
            <v>2.420238888888889E-3</v>
          </cell>
          <cell r="CJ109">
            <v>3.0299555555555555E-5</v>
          </cell>
          <cell r="CK109">
            <v>2.9628322222222223E-3</v>
          </cell>
          <cell r="CL109">
            <v>1.0719176666666667E-2</v>
          </cell>
        </row>
        <row r="110">
          <cell r="BJ110" t="str">
            <v>1_Hub_5000km</v>
          </cell>
          <cell r="BK110">
            <v>0.43772304651162791</v>
          </cell>
          <cell r="BL110">
            <v>0.29567391395348835</v>
          </cell>
          <cell r="BM110">
            <v>5.8288983720930228</v>
          </cell>
          <cell r="BN110">
            <v>1.5009944651162793E-2</v>
          </cell>
          <cell r="BO110">
            <v>2.6560043488372096</v>
          </cell>
          <cell r="BP110">
            <v>6.5106726511627905E-4</v>
          </cell>
          <cell r="BQ110">
            <v>0.21318816204651164</v>
          </cell>
          <cell r="BR110">
            <v>0.79902527906976717</v>
          </cell>
          <cell r="BS110">
            <v>0.3903601976744186</v>
          </cell>
          <cell r="BT110">
            <v>10.198811285590697</v>
          </cell>
          <cell r="BU110">
            <v>4.0432927906976744E-2</v>
          </cell>
          <cell r="BV110">
            <v>0.43316609302325587</v>
          </cell>
          <cell r="BW110">
            <v>0.14978098837209305</v>
          </cell>
          <cell r="BX110">
            <v>2.4167093023255811E-2</v>
          </cell>
          <cell r="BY110">
            <v>2.0675697674418607E-4</v>
          </cell>
          <cell r="BZ110">
            <v>0.15832395348837208</v>
          </cell>
          <cell r="CA110">
            <v>0.17448197674418606</v>
          </cell>
          <cell r="CB110">
            <v>2.1113000000000003E-2</v>
          </cell>
          <cell r="CC110">
            <v>9.4417697674418604E-5</v>
          </cell>
          <cell r="CD110">
            <v>1.2372079069767443E-2</v>
          </cell>
          <cell r="CE110">
            <v>-1.7966872093023255E-5</v>
          </cell>
          <cell r="CF110">
            <v>2.1870551162790697E-8</v>
          </cell>
          <cell r="CG110">
            <v>6.0517802325581389E-4</v>
          </cell>
          <cell r="CH110">
            <v>9.7814348837209309E-4</v>
          </cell>
          <cell r="CI110">
            <v>1.4100151162790698E-3</v>
          </cell>
          <cell r="CJ110">
            <v>2.4212260465116277E-5</v>
          </cell>
          <cell r="CK110">
            <v>2.736536744186046E-3</v>
          </cell>
          <cell r="CL110">
            <v>5.0756813953488364E-3</v>
          </cell>
        </row>
        <row r="111">
          <cell r="BJ111" t="str">
            <v>2_Hub_5000km</v>
          </cell>
          <cell r="BK111">
            <v>0.55985714285714283</v>
          </cell>
          <cell r="BL111">
            <v>0.31342285714285711</v>
          </cell>
          <cell r="BM111">
            <v>6.7371142857142852</v>
          </cell>
          <cell r="BN111">
            <v>5.2170385714285714E-3</v>
          </cell>
          <cell r="BO111">
            <v>0.66923714285714286</v>
          </cell>
          <cell r="BP111">
            <v>3.7983594285714286E-3</v>
          </cell>
          <cell r="BQ111">
            <v>0.10961583828571429</v>
          </cell>
          <cell r="BR111">
            <v>1.74925</v>
          </cell>
          <cell r="BS111">
            <v>9.5519428571428575E-2</v>
          </cell>
          <cell r="BT111">
            <v>9.6831749505714289</v>
          </cell>
          <cell r="BU111">
            <v>4.8306285714285711E-2</v>
          </cell>
          <cell r="BV111">
            <v>0.55196285714285709</v>
          </cell>
          <cell r="BW111">
            <v>0.16736628571428572</v>
          </cell>
          <cell r="BX111">
            <v>2.5493714285714286E-2</v>
          </cell>
          <cell r="BY111">
            <v>1.7687742857142857E-4</v>
          </cell>
          <cell r="BZ111">
            <v>0.15282485714285715</v>
          </cell>
          <cell r="CA111">
            <v>4.3830285714285711E-2</v>
          </cell>
          <cell r="CB111">
            <v>2.1926285714285714E-2</v>
          </cell>
          <cell r="CC111">
            <v>1.220817142857143E-4</v>
          </cell>
          <cell r="CD111">
            <v>1.1629771428571427E-2</v>
          </cell>
          <cell r="CE111">
            <v>-2.7671085714285716E-5</v>
          </cell>
          <cell r="CF111">
            <v>1.2982599999999999E-8</v>
          </cell>
          <cell r="CG111">
            <v>1.1035314285714286E-3</v>
          </cell>
          <cell r="CH111">
            <v>1.3951428571428572E-3</v>
          </cell>
          <cell r="CI111">
            <v>2.1222971428571428E-3</v>
          </cell>
          <cell r="CJ111">
            <v>3.1342142857142856E-5</v>
          </cell>
          <cell r="CK111">
            <v>2.4813314285714286E-3</v>
          </cell>
          <cell r="CL111">
            <v>1.3173557142857143E-2</v>
          </cell>
        </row>
        <row r="112">
          <cell r="BJ112" t="str">
            <v>3_Hub_5000km</v>
          </cell>
          <cell r="BK112">
            <v>0.45769571428571432</v>
          </cell>
          <cell r="BL112">
            <v>0.16449848571428571</v>
          </cell>
          <cell r="BM112">
            <v>5.5949428571428568</v>
          </cell>
          <cell r="BN112">
            <v>4.3653600000000004E-3</v>
          </cell>
          <cell r="BO112">
            <v>1.3444178571428569</v>
          </cell>
          <cell r="BP112">
            <v>3.2556499999999999E-5</v>
          </cell>
          <cell r="BQ112">
            <v>0.23257757142857144</v>
          </cell>
          <cell r="BR112">
            <v>1.0710585714285714</v>
          </cell>
          <cell r="BS112">
            <v>0.36673942857142855</v>
          </cell>
          <cell r="BT112">
            <v>8.778632687928571</v>
          </cell>
          <cell r="BU112">
            <v>2.3391357142857144E-2</v>
          </cell>
          <cell r="BV112">
            <v>0.45282285714285714</v>
          </cell>
          <cell r="BW112">
            <v>0.14078428571428572</v>
          </cell>
          <cell r="BX112">
            <v>2.6138285714285718E-2</v>
          </cell>
          <cell r="BY112">
            <v>3.4350300000000005E-4</v>
          </cell>
          <cell r="BZ112">
            <v>0.2303732857142857</v>
          </cell>
          <cell r="CA112">
            <v>8.0101771428571417E-2</v>
          </cell>
          <cell r="CB112">
            <v>2.2921828571428573E-2</v>
          </cell>
          <cell r="CC112">
            <v>1.0696514285714287E-4</v>
          </cell>
          <cell r="CD112">
            <v>1.2732400000000001E-2</v>
          </cell>
          <cell r="CE112">
            <v>-1.7425500000000001E-5</v>
          </cell>
          <cell r="CF112">
            <v>1.5415628571428571E-8</v>
          </cell>
          <cell r="CG112">
            <v>3.697414285714286E-4</v>
          </cell>
          <cell r="CH112">
            <v>8.0289999999999995E-4</v>
          </cell>
          <cell r="CI112">
            <v>1.0821714285714286E-3</v>
          </cell>
          <cell r="CJ112">
            <v>2.249034285714286E-5</v>
          </cell>
          <cell r="CK112">
            <v>2.249752857142857E-3</v>
          </cell>
          <cell r="CL112">
            <v>3.1180557142857146E-3</v>
          </cell>
        </row>
        <row r="113">
          <cell r="BJ113" t="str">
            <v>4_Hub_5000km</v>
          </cell>
          <cell r="BK113">
            <v>0.55985714285714283</v>
          </cell>
          <cell r="BL113">
            <v>0.31342285714285711</v>
          </cell>
          <cell r="BM113">
            <v>6.7371142857142852</v>
          </cell>
          <cell r="BN113">
            <v>5.2170385714285714E-3</v>
          </cell>
          <cell r="BO113">
            <v>0.66923714285714286</v>
          </cell>
          <cell r="BP113">
            <v>3.7983594285714286E-3</v>
          </cell>
          <cell r="BQ113">
            <v>0.10961583828571429</v>
          </cell>
          <cell r="BR113">
            <v>1.74925</v>
          </cell>
          <cell r="BS113">
            <v>9.5519428571428575E-2</v>
          </cell>
          <cell r="BT113">
            <v>9.6831749505714289</v>
          </cell>
          <cell r="BU113">
            <v>4.8306285714285711E-2</v>
          </cell>
          <cell r="BV113">
            <v>0.55196285714285709</v>
          </cell>
          <cell r="BW113">
            <v>0.16736628571428572</v>
          </cell>
          <cell r="BX113">
            <v>2.5493714285714286E-2</v>
          </cell>
          <cell r="BY113">
            <v>1.7687742857142857E-4</v>
          </cell>
          <cell r="BZ113">
            <v>0.15282485714285715</v>
          </cell>
          <cell r="CA113">
            <v>4.3830285714285711E-2</v>
          </cell>
          <cell r="CB113">
            <v>2.1926285714285714E-2</v>
          </cell>
          <cell r="CC113">
            <v>1.220817142857143E-4</v>
          </cell>
          <cell r="CD113">
            <v>1.1629771428571427E-2</v>
          </cell>
          <cell r="CE113">
            <v>-2.7671085714285716E-5</v>
          </cell>
          <cell r="CF113">
            <v>1.2982599999999999E-8</v>
          </cell>
          <cell r="CG113">
            <v>1.1035314285714286E-3</v>
          </cell>
          <cell r="CH113">
            <v>1.3951428571428572E-3</v>
          </cell>
          <cell r="CI113">
            <v>2.1222971428571428E-3</v>
          </cell>
          <cell r="CJ113">
            <v>3.1342142857142856E-5</v>
          </cell>
          <cell r="CK113">
            <v>2.4813314285714286E-3</v>
          </cell>
          <cell r="CL113">
            <v>1.3173557142857143E-2</v>
          </cell>
        </row>
        <row r="114">
          <cell r="BJ114" t="str">
            <v>5_Hub_5000km</v>
          </cell>
          <cell r="BK114">
            <v>0.55985714285714283</v>
          </cell>
          <cell r="BL114">
            <v>0.31342285714285711</v>
          </cell>
          <cell r="BM114">
            <v>6.7371142857142852</v>
          </cell>
          <cell r="BN114">
            <v>5.2170385714285714E-3</v>
          </cell>
          <cell r="BO114">
            <v>0.66923714285714286</v>
          </cell>
          <cell r="BP114">
            <v>3.7983594285714286E-3</v>
          </cell>
          <cell r="BQ114">
            <v>0.10961583828571429</v>
          </cell>
          <cell r="BR114">
            <v>1.74925</v>
          </cell>
          <cell r="BS114">
            <v>9.5519428571428575E-2</v>
          </cell>
          <cell r="BT114">
            <v>9.6831749505714289</v>
          </cell>
          <cell r="BU114">
            <v>4.8306285714285711E-2</v>
          </cell>
          <cell r="BV114">
            <v>0.55196285714285709</v>
          </cell>
          <cell r="BW114">
            <v>0.16736628571428572</v>
          </cell>
          <cell r="BX114">
            <v>2.5493714285714286E-2</v>
          </cell>
          <cell r="BY114">
            <v>1.7687742857142857E-4</v>
          </cell>
          <cell r="BZ114">
            <v>0.15282485714285715</v>
          </cell>
          <cell r="CA114">
            <v>4.3830285714285711E-2</v>
          </cell>
          <cell r="CB114">
            <v>2.1926285714285714E-2</v>
          </cell>
          <cell r="CC114">
            <v>1.220817142857143E-4</v>
          </cell>
          <cell r="CD114">
            <v>1.1629771428571427E-2</v>
          </cell>
          <cell r="CE114">
            <v>-2.7671085714285716E-5</v>
          </cell>
          <cell r="CF114">
            <v>1.2982599999999999E-8</v>
          </cell>
          <cell r="CG114">
            <v>1.1035314285714286E-3</v>
          </cell>
          <cell r="CH114">
            <v>1.3951428571428572E-3</v>
          </cell>
          <cell r="CI114">
            <v>2.1222971428571428E-3</v>
          </cell>
          <cell r="CJ114">
            <v>3.1342142857142856E-5</v>
          </cell>
          <cell r="CK114">
            <v>2.4813314285714286E-3</v>
          </cell>
          <cell r="CL114">
            <v>1.3173557142857143E-2</v>
          </cell>
        </row>
        <row r="115">
          <cell r="BJ115" t="str">
            <v>6_Hub_5000km</v>
          </cell>
          <cell r="BK115">
            <v>0.55985714285714283</v>
          </cell>
          <cell r="BL115">
            <v>0.31342285714285711</v>
          </cell>
          <cell r="BM115">
            <v>6.7371142857142852</v>
          </cell>
          <cell r="BN115">
            <v>5.2170385714285714E-3</v>
          </cell>
          <cell r="BO115">
            <v>0.66923714285714286</v>
          </cell>
          <cell r="BP115">
            <v>3.7983594285714286E-3</v>
          </cell>
          <cell r="BQ115">
            <v>0.10961583828571429</v>
          </cell>
          <cell r="BR115">
            <v>1.74925</v>
          </cell>
          <cell r="BS115">
            <v>9.5519428571428575E-2</v>
          </cell>
          <cell r="BT115">
            <v>9.6831749505714289</v>
          </cell>
          <cell r="BU115">
            <v>4.8306285714285711E-2</v>
          </cell>
          <cell r="BV115">
            <v>0.55196285714285709</v>
          </cell>
          <cell r="BW115">
            <v>0.16736628571428572</v>
          </cell>
          <cell r="BX115">
            <v>2.5493714285714286E-2</v>
          </cell>
          <cell r="BY115">
            <v>1.7687742857142857E-4</v>
          </cell>
          <cell r="BZ115">
            <v>0.15282485714285715</v>
          </cell>
          <cell r="CA115">
            <v>4.3830285714285711E-2</v>
          </cell>
          <cell r="CB115">
            <v>2.1926285714285714E-2</v>
          </cell>
          <cell r="CC115">
            <v>1.220817142857143E-4</v>
          </cell>
          <cell r="CD115">
            <v>1.1629771428571427E-2</v>
          </cell>
          <cell r="CE115">
            <v>-2.7671085714285716E-5</v>
          </cell>
          <cell r="CF115">
            <v>1.2982599999999999E-8</v>
          </cell>
          <cell r="CG115">
            <v>1.1035314285714286E-3</v>
          </cell>
          <cell r="CH115">
            <v>1.3951428571428572E-3</v>
          </cell>
          <cell r="CI115">
            <v>2.1222971428571428E-3</v>
          </cell>
          <cell r="CJ115">
            <v>3.1342142857142856E-5</v>
          </cell>
          <cell r="CK115">
            <v>2.4813314285714286E-3</v>
          </cell>
          <cell r="CL115">
            <v>1.3173557142857143E-2</v>
          </cell>
        </row>
        <row r="116">
          <cell r="BJ116" t="str">
            <v>1_Hub_10000km</v>
          </cell>
          <cell r="BK116">
            <v>0</v>
          </cell>
          <cell r="BL116">
            <v>0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BR116">
            <v>0</v>
          </cell>
          <cell r="BS116">
            <v>0</v>
          </cell>
          <cell r="BT116">
            <v>0</v>
          </cell>
          <cell r="BU116">
            <v>0</v>
          </cell>
          <cell r="BV116">
            <v>0</v>
          </cell>
          <cell r="BW116">
            <v>0</v>
          </cell>
          <cell r="BX116">
            <v>0</v>
          </cell>
          <cell r="BY116">
            <v>0</v>
          </cell>
          <cell r="BZ116">
            <v>0</v>
          </cell>
          <cell r="CA116">
            <v>0</v>
          </cell>
          <cell r="CB116">
            <v>0</v>
          </cell>
          <cell r="CC116">
            <v>0</v>
          </cell>
          <cell r="CD116">
            <v>0</v>
          </cell>
          <cell r="CE116">
            <v>0</v>
          </cell>
          <cell r="CF116">
            <v>0</v>
          </cell>
          <cell r="CG116">
            <v>0</v>
          </cell>
          <cell r="CH116">
            <v>0</v>
          </cell>
          <cell r="CI116">
            <v>0</v>
          </cell>
          <cell r="CJ116">
            <v>0</v>
          </cell>
          <cell r="CK116">
            <v>0</v>
          </cell>
          <cell r="CL116">
            <v>0</v>
          </cell>
        </row>
        <row r="117">
          <cell r="BJ117" t="str">
            <v>2_Hub_10000km</v>
          </cell>
          <cell r="BK117">
            <v>0</v>
          </cell>
          <cell r="BL117">
            <v>0</v>
          </cell>
          <cell r="BM117">
            <v>0</v>
          </cell>
          <cell r="BN117">
            <v>0</v>
          </cell>
          <cell r="BO117">
            <v>0</v>
          </cell>
          <cell r="BP117">
            <v>0</v>
          </cell>
          <cell r="BQ117">
            <v>0</v>
          </cell>
          <cell r="BR117">
            <v>0</v>
          </cell>
          <cell r="BS117">
            <v>0</v>
          </cell>
          <cell r="BT117">
            <v>0</v>
          </cell>
          <cell r="BU117">
            <v>0</v>
          </cell>
          <cell r="BV117">
            <v>0</v>
          </cell>
          <cell r="BW117">
            <v>0</v>
          </cell>
          <cell r="BX117">
            <v>0</v>
          </cell>
          <cell r="BY117">
            <v>0</v>
          </cell>
          <cell r="BZ117">
            <v>0</v>
          </cell>
          <cell r="CA117">
            <v>0</v>
          </cell>
          <cell r="CB117">
            <v>0</v>
          </cell>
          <cell r="CC117">
            <v>0</v>
          </cell>
          <cell r="CD117">
            <v>0</v>
          </cell>
          <cell r="CE117">
            <v>0</v>
          </cell>
          <cell r="CF117">
            <v>0</v>
          </cell>
          <cell r="CG117">
            <v>0</v>
          </cell>
          <cell r="CH117">
            <v>0</v>
          </cell>
          <cell r="CI117">
            <v>0</v>
          </cell>
          <cell r="CJ117">
            <v>0</v>
          </cell>
          <cell r="CK117">
            <v>0</v>
          </cell>
          <cell r="CL117">
            <v>0</v>
          </cell>
        </row>
        <row r="118">
          <cell r="BJ118" t="str">
            <v>3_Hub_10000km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  <cell r="BP118">
            <v>0</v>
          </cell>
          <cell r="BQ118">
            <v>0</v>
          </cell>
          <cell r="BR118">
            <v>0</v>
          </cell>
          <cell r="BS118">
            <v>0</v>
          </cell>
          <cell r="BT118">
            <v>0</v>
          </cell>
          <cell r="BU118">
            <v>0</v>
          </cell>
          <cell r="BV118">
            <v>0</v>
          </cell>
          <cell r="BW118">
            <v>0</v>
          </cell>
          <cell r="BX118">
            <v>0</v>
          </cell>
          <cell r="BY118">
            <v>0</v>
          </cell>
          <cell r="BZ118">
            <v>0</v>
          </cell>
          <cell r="CA118">
            <v>0</v>
          </cell>
          <cell r="CB118">
            <v>0</v>
          </cell>
          <cell r="CC118">
            <v>0</v>
          </cell>
          <cell r="CD118">
            <v>0</v>
          </cell>
          <cell r="CE118">
            <v>0</v>
          </cell>
          <cell r="CF118">
            <v>0</v>
          </cell>
          <cell r="CG118">
            <v>0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L118">
            <v>0</v>
          </cell>
        </row>
        <row r="119">
          <cell r="BJ119" t="str">
            <v>4_Hub_10000km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BR119">
            <v>0</v>
          </cell>
          <cell r="BS119">
            <v>0</v>
          </cell>
          <cell r="BT119">
            <v>0</v>
          </cell>
          <cell r="BU119">
            <v>0</v>
          </cell>
          <cell r="BV119">
            <v>0</v>
          </cell>
          <cell r="BW119">
            <v>0</v>
          </cell>
          <cell r="BX119">
            <v>0</v>
          </cell>
          <cell r="BY119">
            <v>0</v>
          </cell>
          <cell r="BZ119">
            <v>0</v>
          </cell>
          <cell r="CA119">
            <v>0</v>
          </cell>
          <cell r="CB119">
            <v>0</v>
          </cell>
          <cell r="CC119">
            <v>0</v>
          </cell>
          <cell r="CD119">
            <v>0</v>
          </cell>
          <cell r="CE119">
            <v>0</v>
          </cell>
          <cell r="CF119">
            <v>0</v>
          </cell>
          <cell r="CG119">
            <v>0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L119">
            <v>0</v>
          </cell>
        </row>
        <row r="120">
          <cell r="BJ120" t="str">
            <v>5_Hub_10000km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  <cell r="BP120">
            <v>0</v>
          </cell>
          <cell r="BQ120">
            <v>0</v>
          </cell>
          <cell r="BR120">
            <v>0</v>
          </cell>
          <cell r="BS120">
            <v>0</v>
          </cell>
          <cell r="BT120">
            <v>0</v>
          </cell>
          <cell r="BU120">
            <v>0</v>
          </cell>
          <cell r="BV120">
            <v>0</v>
          </cell>
          <cell r="BW120">
            <v>0</v>
          </cell>
          <cell r="BX120">
            <v>0</v>
          </cell>
          <cell r="BY120">
            <v>0</v>
          </cell>
          <cell r="BZ120">
            <v>0</v>
          </cell>
          <cell r="CA120">
            <v>0</v>
          </cell>
          <cell r="CB120">
            <v>0</v>
          </cell>
          <cell r="CC120">
            <v>0</v>
          </cell>
          <cell r="CD120">
            <v>0</v>
          </cell>
          <cell r="CE120">
            <v>0</v>
          </cell>
          <cell r="CF120">
            <v>0</v>
          </cell>
          <cell r="CG120">
            <v>0</v>
          </cell>
          <cell r="CH120">
            <v>0</v>
          </cell>
          <cell r="CI120">
            <v>0</v>
          </cell>
          <cell r="CJ120">
            <v>0</v>
          </cell>
          <cell r="CK120">
            <v>0</v>
          </cell>
          <cell r="CL120">
            <v>0</v>
          </cell>
        </row>
        <row r="121">
          <cell r="BJ121" t="str">
            <v>6_Hub_10000km</v>
          </cell>
          <cell r="BK121">
            <v>0</v>
          </cell>
          <cell r="BL121">
            <v>0</v>
          </cell>
          <cell r="BM121">
            <v>0</v>
          </cell>
          <cell r="BN121">
            <v>0</v>
          </cell>
          <cell r="BO121">
            <v>0</v>
          </cell>
          <cell r="BP121">
            <v>0</v>
          </cell>
          <cell r="BQ121">
            <v>0</v>
          </cell>
          <cell r="BR121">
            <v>0</v>
          </cell>
          <cell r="BS121">
            <v>0</v>
          </cell>
          <cell r="BT121">
            <v>0</v>
          </cell>
          <cell r="BU121">
            <v>0</v>
          </cell>
          <cell r="BV121">
            <v>0</v>
          </cell>
          <cell r="BW121">
            <v>0</v>
          </cell>
          <cell r="BX121">
            <v>0</v>
          </cell>
          <cell r="BY121">
            <v>0</v>
          </cell>
          <cell r="BZ121">
            <v>0</v>
          </cell>
          <cell r="CA121">
            <v>0</v>
          </cell>
          <cell r="CB121">
            <v>0</v>
          </cell>
          <cell r="CC121">
            <v>0</v>
          </cell>
          <cell r="CD121">
            <v>0</v>
          </cell>
          <cell r="CE121">
            <v>0</v>
          </cell>
          <cell r="CF121">
            <v>0</v>
          </cell>
          <cell r="CG121">
            <v>0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  <cell r="CL121">
            <v>0</v>
          </cell>
        </row>
      </sheetData>
      <sheetData sheetId="2">
        <row r="386">
          <cell r="Y386" t="str">
            <v>O'Hare International Airport</v>
          </cell>
          <cell r="Z386">
            <v>39</v>
          </cell>
        </row>
      </sheetData>
      <sheetData sheetId="3">
        <row r="386">
          <cell r="Y386" t="str">
            <v>Newark Liberty International Airport</v>
          </cell>
          <cell r="Z386">
            <v>115</v>
          </cell>
        </row>
      </sheetData>
      <sheetData sheetId="4">
        <row r="386">
          <cell r="Y386" t="str">
            <v>Newark Liberty International Airport</v>
          </cell>
          <cell r="Z386">
            <v>192</v>
          </cell>
        </row>
      </sheetData>
      <sheetData sheetId="5">
        <row r="386">
          <cell r="Y386" t="str">
            <v>O'Hare International Airport</v>
          </cell>
          <cell r="Z386">
            <v>269</v>
          </cell>
        </row>
      </sheetData>
      <sheetData sheetId="6">
        <row r="386">
          <cell r="Z386">
            <v>345</v>
          </cell>
        </row>
      </sheetData>
      <sheetData sheetId="7">
        <row r="386">
          <cell r="Y386" t="str">
            <v>O'Hare International Airport</v>
          </cell>
          <cell r="Z386">
            <v>20</v>
          </cell>
        </row>
        <row r="387">
          <cell r="Y387" t="str">
            <v>Denver International Airport</v>
          </cell>
          <cell r="Z387">
            <v>20</v>
          </cell>
        </row>
      </sheetData>
      <sheetData sheetId="8">
        <row r="386">
          <cell r="Y386" t="str">
            <v>Newark Liberty International Airport</v>
          </cell>
          <cell r="Z386">
            <v>75</v>
          </cell>
        </row>
        <row r="387">
          <cell r="Y387" t="str">
            <v>O'Hare International Airport</v>
          </cell>
          <cell r="Z387">
            <v>40</v>
          </cell>
        </row>
      </sheetData>
      <sheetData sheetId="9">
        <row r="386">
          <cell r="Y386" t="str">
            <v>Newark Liberty International Airport</v>
          </cell>
          <cell r="Z386">
            <v>128</v>
          </cell>
        </row>
        <row r="387">
          <cell r="Y387" t="str">
            <v>O'Hare International Airport</v>
          </cell>
          <cell r="Z387">
            <v>64</v>
          </cell>
        </row>
      </sheetData>
      <sheetData sheetId="10">
        <row r="386">
          <cell r="Y386" t="str">
            <v>Newark Liberty International Airport</v>
          </cell>
          <cell r="Z386">
            <v>141</v>
          </cell>
        </row>
        <row r="387">
          <cell r="Y387" t="str">
            <v>O'Hare International Airport</v>
          </cell>
          <cell r="Z387">
            <v>128</v>
          </cell>
        </row>
      </sheetData>
      <sheetData sheetId="11">
        <row r="386">
          <cell r="Y386" t="str">
            <v>Newark Liberty International Airport</v>
          </cell>
          <cell r="Z386">
            <v>223</v>
          </cell>
        </row>
        <row r="387">
          <cell r="Y387" t="str">
            <v>Denver International Airport</v>
          </cell>
          <cell r="Z387">
            <v>122</v>
          </cell>
        </row>
      </sheetData>
      <sheetData sheetId="12">
        <row r="386">
          <cell r="Y386" t="str">
            <v>Newark Liberty International Airport</v>
          </cell>
          <cell r="Z386">
            <v>20</v>
          </cell>
        </row>
        <row r="387">
          <cell r="Y387" t="str">
            <v>O'Hare International Airport</v>
          </cell>
          <cell r="Z387">
            <v>20</v>
          </cell>
        </row>
        <row r="388">
          <cell r="Y388" t="str">
            <v>Denver International Airport</v>
          </cell>
          <cell r="Z388">
            <v>20</v>
          </cell>
        </row>
      </sheetData>
      <sheetData sheetId="13">
        <row r="386">
          <cell r="Y386" t="str">
            <v>Newark Liberty International Airport</v>
          </cell>
          <cell r="Z386">
            <v>59</v>
          </cell>
        </row>
        <row r="387">
          <cell r="Y387" t="str">
            <v>O'Hare International Airport</v>
          </cell>
          <cell r="Z387">
            <v>34</v>
          </cell>
        </row>
        <row r="388">
          <cell r="Y388" t="str">
            <v>Denver International Airport</v>
          </cell>
          <cell r="Z388">
            <v>22</v>
          </cell>
        </row>
      </sheetData>
      <sheetData sheetId="14">
        <row r="386">
          <cell r="Y386" t="str">
            <v>Newark Liberty International Airport</v>
          </cell>
          <cell r="Z386">
            <v>116</v>
          </cell>
        </row>
        <row r="387">
          <cell r="Y387" t="str">
            <v>O'Hare International Airport</v>
          </cell>
          <cell r="Z387">
            <v>54</v>
          </cell>
        </row>
        <row r="388">
          <cell r="Y388" t="str">
            <v>Denver International Airport</v>
          </cell>
          <cell r="Z388">
            <v>22</v>
          </cell>
        </row>
      </sheetData>
      <sheetData sheetId="15">
        <row r="386">
          <cell r="Y386" t="str">
            <v>Newark Liberty International Airport</v>
          </cell>
          <cell r="Z386">
            <v>137</v>
          </cell>
        </row>
        <row r="387">
          <cell r="Y387" t="str">
            <v>Seattle-Tacoma International Airport</v>
          </cell>
          <cell r="Z387">
            <v>38</v>
          </cell>
        </row>
        <row r="388">
          <cell r="Y388" t="str">
            <v>O'Hare International Airport</v>
          </cell>
          <cell r="Z388">
            <v>94</v>
          </cell>
        </row>
      </sheetData>
      <sheetData sheetId="16">
        <row r="386">
          <cell r="Y386" t="str">
            <v>Newark Liberty International Airport</v>
          </cell>
          <cell r="Z386">
            <v>149</v>
          </cell>
        </row>
        <row r="387">
          <cell r="Y387" t="str">
            <v>Seattle-Tacoma International Airport</v>
          </cell>
          <cell r="Z387">
            <v>65</v>
          </cell>
        </row>
        <row r="388">
          <cell r="Y388" t="str">
            <v>O'Hare International Airport</v>
          </cell>
          <cell r="Z388">
            <v>131</v>
          </cell>
        </row>
      </sheetData>
      <sheetData sheetId="17">
        <row r="386">
          <cell r="Y386" t="str">
            <v>Newark Liberty International Airport</v>
          </cell>
          <cell r="Z386">
            <v>20</v>
          </cell>
        </row>
        <row r="387">
          <cell r="Y387" t="str">
            <v>Seattle-Tacoma International Airport</v>
          </cell>
          <cell r="Z387">
            <v>20</v>
          </cell>
        </row>
        <row r="388">
          <cell r="Y388" t="str">
            <v>O'Hare International Airport</v>
          </cell>
          <cell r="Z388">
            <v>20</v>
          </cell>
        </row>
        <row r="389">
          <cell r="Y389" t="str">
            <v>Denver International Airport</v>
          </cell>
          <cell r="Z389">
            <v>20</v>
          </cell>
        </row>
      </sheetData>
      <sheetData sheetId="18">
        <row r="386">
          <cell r="Y386" t="str">
            <v>Newark Liberty International Airport</v>
          </cell>
          <cell r="Z386">
            <v>39</v>
          </cell>
        </row>
        <row r="387">
          <cell r="Y387" t="str">
            <v>Seattle-Tacoma International Airport</v>
          </cell>
          <cell r="Z387">
            <v>20</v>
          </cell>
        </row>
        <row r="388">
          <cell r="Y388" t="str">
            <v>O'Hare International Airport</v>
          </cell>
          <cell r="Z388">
            <v>34</v>
          </cell>
        </row>
        <row r="389">
          <cell r="Y389" t="str">
            <v>Denver International Airport</v>
          </cell>
          <cell r="Z389">
            <v>22</v>
          </cell>
        </row>
      </sheetData>
      <sheetData sheetId="19">
        <row r="386">
          <cell r="Y386" t="str">
            <v>Newark Liberty International Airport</v>
          </cell>
          <cell r="Z386">
            <v>94</v>
          </cell>
        </row>
        <row r="387">
          <cell r="Y387" t="str">
            <v>Seattle-Tacoma International Airport</v>
          </cell>
          <cell r="Z387">
            <v>23</v>
          </cell>
        </row>
        <row r="388">
          <cell r="Y388" t="str">
            <v>O'Hare International Airport</v>
          </cell>
          <cell r="Z388">
            <v>53</v>
          </cell>
        </row>
        <row r="389">
          <cell r="Y389" t="str">
            <v>Denver International Airport</v>
          </cell>
          <cell r="Z389">
            <v>22</v>
          </cell>
        </row>
      </sheetData>
      <sheetData sheetId="20">
        <row r="386">
          <cell r="Y386" t="str">
            <v>Newark Liberty International Airport</v>
          </cell>
          <cell r="Z386">
            <v>132</v>
          </cell>
        </row>
        <row r="387">
          <cell r="Y387" t="str">
            <v>Seattle-Tacoma International Airport</v>
          </cell>
          <cell r="Z387">
            <v>33</v>
          </cell>
        </row>
        <row r="388">
          <cell r="Y388" t="str">
            <v>O'Hare International Airport</v>
          </cell>
          <cell r="Z388">
            <v>80</v>
          </cell>
        </row>
        <row r="389">
          <cell r="Y389" t="str">
            <v>Denver International Airport</v>
          </cell>
          <cell r="Z389">
            <v>24</v>
          </cell>
        </row>
      </sheetData>
      <sheetData sheetId="21">
        <row r="386">
          <cell r="Y386" t="str">
            <v>Flughafen Frankfurt/Main</v>
          </cell>
          <cell r="Z386">
            <v>32</v>
          </cell>
        </row>
        <row r="387">
          <cell r="Y387" t="str">
            <v>Newark Liberty International Airport</v>
          </cell>
          <cell r="Z387">
            <v>141</v>
          </cell>
        </row>
        <row r="388">
          <cell r="Y388" t="str">
            <v>Seattle-Tacoma International Airport</v>
          </cell>
          <cell r="Z388">
            <v>52</v>
          </cell>
        </row>
        <row r="389">
          <cell r="Y389" t="str">
            <v>O'Hare International Airport</v>
          </cell>
          <cell r="Z389">
            <v>120</v>
          </cell>
        </row>
      </sheetData>
      <sheetData sheetId="22">
        <row r="386">
          <cell r="Y386" t="str">
            <v>Newark Liberty International Airport</v>
          </cell>
          <cell r="Z386">
            <v>20</v>
          </cell>
        </row>
        <row r="387">
          <cell r="Y387" t="str">
            <v>Seattle-Tacoma International Airport</v>
          </cell>
          <cell r="Z387">
            <v>20</v>
          </cell>
        </row>
        <row r="388">
          <cell r="Y388" t="str">
            <v>Hartsfield-Jackson Atlanta International Airport</v>
          </cell>
          <cell r="Z388">
            <v>20</v>
          </cell>
        </row>
        <row r="389">
          <cell r="Y389" t="str">
            <v>O'Hare International Airport</v>
          </cell>
          <cell r="Z389">
            <v>20</v>
          </cell>
        </row>
        <row r="390">
          <cell r="Y390" t="str">
            <v>Denver International Airport</v>
          </cell>
          <cell r="Z390">
            <v>20</v>
          </cell>
        </row>
      </sheetData>
      <sheetData sheetId="23">
        <row r="386">
          <cell r="Y386" t="str">
            <v>Newark Liberty International Airport</v>
          </cell>
          <cell r="Z386">
            <v>20</v>
          </cell>
        </row>
        <row r="387">
          <cell r="Y387" t="str">
            <v>Seattle-Tacoma International Airport</v>
          </cell>
          <cell r="Z387">
            <v>20</v>
          </cell>
        </row>
        <row r="388">
          <cell r="Y388" t="str">
            <v>Hartsfield-Jackson Atlanta International Airport</v>
          </cell>
          <cell r="Z388">
            <v>20</v>
          </cell>
        </row>
        <row r="389">
          <cell r="Y389" t="str">
            <v>O'Hare International Airport</v>
          </cell>
          <cell r="Z389">
            <v>33</v>
          </cell>
        </row>
        <row r="390">
          <cell r="Y390" t="str">
            <v>Denver International Airport</v>
          </cell>
          <cell r="Z390">
            <v>22</v>
          </cell>
        </row>
      </sheetData>
      <sheetData sheetId="24">
        <row r="386">
          <cell r="Y386" t="str">
            <v>Newark Liberty International Airport</v>
          </cell>
          <cell r="Z386">
            <v>78</v>
          </cell>
        </row>
        <row r="387">
          <cell r="Y387" t="str">
            <v>Seattle-Tacoma International Airport</v>
          </cell>
          <cell r="Z387">
            <v>23</v>
          </cell>
        </row>
        <row r="388">
          <cell r="Y388" t="str">
            <v>Hartsfield-Jackson Atlanta International Airport</v>
          </cell>
          <cell r="Z388">
            <v>23</v>
          </cell>
        </row>
        <row r="389">
          <cell r="Y389" t="str">
            <v>O'Hare International Airport</v>
          </cell>
          <cell r="Z389">
            <v>46</v>
          </cell>
        </row>
        <row r="390">
          <cell r="Y390" t="str">
            <v>Denver International Airport</v>
          </cell>
          <cell r="Z390">
            <v>22</v>
          </cell>
        </row>
      </sheetData>
      <sheetData sheetId="25">
        <row r="386">
          <cell r="Y386" t="str">
            <v>Newark Liberty International Airport</v>
          </cell>
          <cell r="Z386">
            <v>125</v>
          </cell>
        </row>
        <row r="387">
          <cell r="Y387" t="str">
            <v>Seattle-Tacoma International Airport</v>
          </cell>
          <cell r="Z387">
            <v>27</v>
          </cell>
        </row>
        <row r="388">
          <cell r="Y388" t="str">
            <v>Hartsfield-Jackson Atlanta International Airport</v>
          </cell>
          <cell r="Z388">
            <v>28</v>
          </cell>
        </row>
        <row r="389">
          <cell r="Y389" t="str">
            <v>O'Hare International Airport</v>
          </cell>
          <cell r="Z389">
            <v>65</v>
          </cell>
        </row>
        <row r="390">
          <cell r="Y390" t="str">
            <v>Denver International Airport</v>
          </cell>
          <cell r="Z390">
            <v>24</v>
          </cell>
        </row>
      </sheetData>
      <sheetData sheetId="26">
        <row r="386">
          <cell r="Y386" t="str">
            <v>Flughafen Frankfurt/Main</v>
          </cell>
          <cell r="Z386">
            <v>26</v>
          </cell>
        </row>
        <row r="387">
          <cell r="Y387" t="str">
            <v>Newark Liberty International Airport</v>
          </cell>
          <cell r="Z387">
            <v>141</v>
          </cell>
        </row>
        <row r="388">
          <cell r="Y388" t="str">
            <v>Seattle-Tacoma International Airport</v>
          </cell>
          <cell r="Z388">
            <v>51</v>
          </cell>
        </row>
        <row r="389">
          <cell r="Y389" t="str">
            <v>O'Hare International Airport</v>
          </cell>
          <cell r="Z389">
            <v>98</v>
          </cell>
        </row>
        <row r="390">
          <cell r="Y390" t="str">
            <v>Denver International Airport</v>
          </cell>
          <cell r="Z390">
            <v>29</v>
          </cell>
        </row>
      </sheetData>
      <sheetData sheetId="27">
        <row r="386">
          <cell r="Y386" t="str">
            <v>Newark Liberty International Airport</v>
          </cell>
          <cell r="Z386">
            <v>20</v>
          </cell>
        </row>
        <row r="387">
          <cell r="Y387" t="str">
            <v>Seattle-Tacoma International Airport</v>
          </cell>
          <cell r="Z387">
            <v>20</v>
          </cell>
        </row>
        <row r="388">
          <cell r="Y388" t="str">
            <v>Hartsfield-Jackson Atlanta International Airport</v>
          </cell>
          <cell r="Z388">
            <v>20</v>
          </cell>
        </row>
        <row r="389">
          <cell r="Y389" t="str">
            <v>San Francisco International Airport</v>
          </cell>
          <cell r="Z389">
            <v>20</v>
          </cell>
        </row>
        <row r="390">
          <cell r="Y390" t="str">
            <v>O'Hare International Airport</v>
          </cell>
          <cell r="Z390">
            <v>20</v>
          </cell>
        </row>
        <row r="391">
          <cell r="Y391" t="str">
            <v>Denver International Airport</v>
          </cell>
          <cell r="Z391">
            <v>20</v>
          </cell>
        </row>
      </sheetData>
      <sheetData sheetId="28">
        <row r="386">
          <cell r="Y386" t="str">
            <v>Hartsfield-Jackson Atlanta International Airport</v>
          </cell>
          <cell r="Z386">
            <v>15</v>
          </cell>
        </row>
        <row r="387">
          <cell r="Y387" t="str">
            <v>O'Hare International Airport</v>
          </cell>
          <cell r="Z387">
            <v>32</v>
          </cell>
        </row>
        <row r="388">
          <cell r="Y388" t="str">
            <v>Denver International Airport</v>
          </cell>
          <cell r="Z388">
            <v>22</v>
          </cell>
        </row>
        <row r="389">
          <cell r="Y389" t="str">
            <v>San Francisco International Airport</v>
          </cell>
          <cell r="Z389">
            <v>16</v>
          </cell>
        </row>
        <row r="390">
          <cell r="Y390" t="str">
            <v>Seattle-Tacoma International Airport</v>
          </cell>
          <cell r="Z390">
            <v>15</v>
          </cell>
        </row>
        <row r="391">
          <cell r="Y391" t="str">
            <v>Newark Liberty International Airport</v>
          </cell>
          <cell r="Z391">
            <v>15</v>
          </cell>
        </row>
      </sheetData>
      <sheetData sheetId="29">
        <row r="386">
          <cell r="Y386" t="str">
            <v>Newark Liberty International Airport</v>
          </cell>
          <cell r="Z386">
            <v>67</v>
          </cell>
        </row>
        <row r="387">
          <cell r="Y387" t="str">
            <v>Seattle-Tacoma International Airport</v>
          </cell>
          <cell r="Z387">
            <v>23</v>
          </cell>
        </row>
        <row r="388">
          <cell r="Y388" t="str">
            <v>Hartsfield-Jackson Atlanta International Airport</v>
          </cell>
          <cell r="Z388">
            <v>21</v>
          </cell>
        </row>
        <row r="389">
          <cell r="Y389" t="str">
            <v>San Francisco International Airport</v>
          </cell>
          <cell r="Z389">
            <v>20</v>
          </cell>
        </row>
        <row r="390">
          <cell r="Y390" t="str">
            <v>O'Hare International Airport</v>
          </cell>
          <cell r="Z390">
            <v>39</v>
          </cell>
        </row>
        <row r="391">
          <cell r="Y391" t="str">
            <v>Denver International Airport</v>
          </cell>
          <cell r="Z391">
            <v>22</v>
          </cell>
        </row>
      </sheetData>
      <sheetData sheetId="30">
        <row r="386">
          <cell r="Y386" t="str">
            <v>Newark Liberty International Airport</v>
          </cell>
          <cell r="Z386">
            <v>121</v>
          </cell>
        </row>
        <row r="387">
          <cell r="Y387" t="str">
            <v>Seattle-Tacoma International Airport</v>
          </cell>
          <cell r="Z387">
            <v>23</v>
          </cell>
        </row>
        <row r="388">
          <cell r="Y388" t="str">
            <v>Hartsfield-Jackson Atlanta International Airport</v>
          </cell>
          <cell r="Z388">
            <v>23</v>
          </cell>
        </row>
        <row r="389">
          <cell r="Y389" t="str">
            <v>San Francisco International Airport</v>
          </cell>
          <cell r="Z389">
            <v>20</v>
          </cell>
        </row>
        <row r="390">
          <cell r="Y390" t="str">
            <v>O'Hare International Airport</v>
          </cell>
          <cell r="Z390">
            <v>59</v>
          </cell>
        </row>
        <row r="391">
          <cell r="Y391" t="str">
            <v>Denver International Airport</v>
          </cell>
          <cell r="Z391">
            <v>23</v>
          </cell>
        </row>
      </sheetData>
      <sheetData sheetId="31">
        <row r="386">
          <cell r="Y386" t="str">
            <v>Flughafen Frankfurt/Main</v>
          </cell>
          <cell r="Z386">
            <v>24</v>
          </cell>
        </row>
        <row r="387">
          <cell r="Y387" t="str">
            <v>Newark Liberty International Airport</v>
          </cell>
          <cell r="Z387">
            <v>138</v>
          </cell>
        </row>
        <row r="388">
          <cell r="Y388" t="str">
            <v>Seattle-Tacoma International Airport</v>
          </cell>
          <cell r="Z388">
            <v>35</v>
          </cell>
        </row>
        <row r="389">
          <cell r="Y389" t="str">
            <v>San Francisco International Airport</v>
          </cell>
          <cell r="Z389">
            <v>25</v>
          </cell>
        </row>
        <row r="390">
          <cell r="Y390" t="str">
            <v>O'Hare International Airport</v>
          </cell>
          <cell r="Z390">
            <v>95</v>
          </cell>
        </row>
        <row r="391">
          <cell r="Y391" t="str">
            <v>Denver International Airport</v>
          </cell>
          <cell r="Z391">
            <v>28</v>
          </cell>
        </row>
      </sheetData>
      <sheetData sheetId="32">
        <row r="386">
          <cell r="Y386" t="str">
            <v>Newark Liberty International Airport</v>
          </cell>
          <cell r="Z386">
            <v>148</v>
          </cell>
        </row>
      </sheetData>
      <sheetData sheetId="33">
        <row r="386">
          <cell r="Y386" t="str">
            <v>O'Hare International Airport</v>
          </cell>
          <cell r="Z386">
            <v>336</v>
          </cell>
        </row>
      </sheetData>
      <sheetData sheetId="34">
        <row r="386">
          <cell r="Y386" t="str">
            <v>O'Hare International Airport</v>
          </cell>
          <cell r="Z386">
            <v>340</v>
          </cell>
        </row>
      </sheetData>
      <sheetData sheetId="35">
        <row r="386">
          <cell r="Y386" t="str">
            <v>Heathrow Airport</v>
          </cell>
          <cell r="Z386">
            <v>383</v>
          </cell>
        </row>
      </sheetData>
      <sheetData sheetId="36">
        <row r="386">
          <cell r="Y386" t="str">
            <v>Newark Liberty International Airport</v>
          </cell>
          <cell r="Z386">
            <v>132</v>
          </cell>
        </row>
        <row r="387">
          <cell r="Y387" t="str">
            <v>O'Hare International Airport</v>
          </cell>
          <cell r="Z387">
            <v>90</v>
          </cell>
        </row>
      </sheetData>
      <sheetData sheetId="37">
        <row r="386">
          <cell r="Y386" t="str">
            <v>O'Hare International Airport</v>
          </cell>
          <cell r="Z386">
            <v>336</v>
          </cell>
        </row>
        <row r="387">
          <cell r="Y387" t="str">
            <v>Istanbul International Airport</v>
          </cell>
          <cell r="Z387">
            <v>34</v>
          </cell>
        </row>
      </sheetData>
      <sheetData sheetId="38">
        <row r="386">
          <cell r="Y386" t="str">
            <v>O'Hare International Airport</v>
          </cell>
          <cell r="Z386">
            <v>340</v>
          </cell>
        </row>
        <row r="387">
          <cell r="Y387" t="str">
            <v>Istanbul International Airport</v>
          </cell>
          <cell r="Z387">
            <v>36</v>
          </cell>
        </row>
      </sheetData>
      <sheetData sheetId="39">
        <row r="386">
          <cell r="Y386" t="str">
            <v>Flughafen Frankfurt/Main</v>
          </cell>
          <cell r="Z386">
            <v>39</v>
          </cell>
        </row>
        <row r="387">
          <cell r="Y387" t="str">
            <v>O'Hare International Airport</v>
          </cell>
          <cell r="Z387">
            <v>344</v>
          </cell>
        </row>
      </sheetData>
      <sheetData sheetId="40">
        <row r="386">
          <cell r="Y386" t="str">
            <v>Newark Liberty International Airport</v>
          </cell>
          <cell r="Z386">
            <v>132</v>
          </cell>
        </row>
        <row r="387">
          <cell r="Y387" t="str">
            <v>Seattle-Tacoma International Airport</v>
          </cell>
          <cell r="Z387">
            <v>36</v>
          </cell>
        </row>
        <row r="388">
          <cell r="Y388" t="str">
            <v>O'Hare International Airport</v>
          </cell>
          <cell r="Z388">
            <v>90</v>
          </cell>
        </row>
      </sheetData>
      <sheetData sheetId="41">
        <row r="386">
          <cell r="Y386" t="str">
            <v>Charlotte Douglas International Airport</v>
          </cell>
          <cell r="Z386">
            <v>222</v>
          </cell>
        </row>
        <row r="387">
          <cell r="Y387" t="str">
            <v>Denver International Airport</v>
          </cell>
          <cell r="Z387">
            <v>117</v>
          </cell>
        </row>
        <row r="388">
          <cell r="Y388" t="str">
            <v>Istanbul International Airport</v>
          </cell>
          <cell r="Z388">
            <v>34</v>
          </cell>
        </row>
      </sheetData>
      <sheetData sheetId="42">
        <row r="386">
          <cell r="Y386" t="str">
            <v>Newark Liberty International Airport</v>
          </cell>
          <cell r="Z386">
            <v>217</v>
          </cell>
        </row>
        <row r="387">
          <cell r="Y387" t="str">
            <v>Denver International Airport</v>
          </cell>
          <cell r="Z387">
            <v>128</v>
          </cell>
        </row>
        <row r="388">
          <cell r="Y388" t="str">
            <v>Istanbul International Airport</v>
          </cell>
          <cell r="Z388">
            <v>32</v>
          </cell>
        </row>
      </sheetData>
      <sheetData sheetId="43">
        <row r="386">
          <cell r="Y386" t="str">
            <v>Flughafen Frankfurt/Main</v>
          </cell>
          <cell r="Z386">
            <v>37</v>
          </cell>
        </row>
        <row r="387">
          <cell r="Y387" t="str">
            <v>Newark Liberty International Airport</v>
          </cell>
          <cell r="Z387">
            <v>222</v>
          </cell>
        </row>
        <row r="388">
          <cell r="Y388" t="str">
            <v>Denver International Airport</v>
          </cell>
          <cell r="Z388">
            <v>124</v>
          </cell>
        </row>
      </sheetData>
      <sheetData sheetId="44">
        <row r="386">
          <cell r="Y386" t="str">
            <v>Newark Liberty International Airport</v>
          </cell>
          <cell r="Z386">
            <v>132</v>
          </cell>
        </row>
        <row r="387">
          <cell r="Y387" t="str">
            <v>Seattle-Tacoma International Airport</v>
          </cell>
          <cell r="Z387">
            <v>35</v>
          </cell>
        </row>
        <row r="388">
          <cell r="Y388" t="str">
            <v>O'Hare International Airport</v>
          </cell>
          <cell r="Z388">
            <v>90</v>
          </cell>
        </row>
        <row r="389">
          <cell r="Y389" t="str">
            <v>McCarran International Airport</v>
          </cell>
          <cell r="Z389">
            <v>31</v>
          </cell>
        </row>
      </sheetData>
      <sheetData sheetId="45">
        <row r="386">
          <cell r="Y386" t="str">
            <v>Heathrow Airport</v>
          </cell>
          <cell r="Z386">
            <v>24</v>
          </cell>
        </row>
        <row r="387">
          <cell r="Y387" t="str">
            <v>Charlotte Douglas International Airport</v>
          </cell>
          <cell r="Z387">
            <v>222</v>
          </cell>
        </row>
        <row r="388">
          <cell r="Y388" t="str">
            <v>Denver International Airport</v>
          </cell>
          <cell r="Z388">
            <v>117</v>
          </cell>
        </row>
        <row r="389">
          <cell r="Y389" t="str">
            <v>Istanbul International Airport</v>
          </cell>
          <cell r="Z389">
            <v>11</v>
          </cell>
        </row>
      </sheetData>
      <sheetData sheetId="46">
        <row r="386">
          <cell r="Y386" t="str">
            <v>Newark Liberty International Airport</v>
          </cell>
          <cell r="Z386">
            <v>144</v>
          </cell>
        </row>
        <row r="387">
          <cell r="Y387" t="str">
            <v>Seattle-Tacoma International Airport</v>
          </cell>
          <cell r="Z387">
            <v>65</v>
          </cell>
        </row>
        <row r="388">
          <cell r="Y388" t="str">
            <v>O'Hare International Airport</v>
          </cell>
          <cell r="Z388">
            <v>131</v>
          </cell>
        </row>
        <row r="389">
          <cell r="Y389" t="str">
            <v>Istanbul International Airport</v>
          </cell>
          <cell r="Z389">
            <v>36</v>
          </cell>
        </row>
      </sheetData>
      <sheetData sheetId="47">
        <row r="386">
          <cell r="Y386" t="str">
            <v>Flughafen Frankfurt/Main</v>
          </cell>
          <cell r="Z386">
            <v>37</v>
          </cell>
        </row>
        <row r="387">
          <cell r="Y387" t="str">
            <v>Newark Liberty International Airport</v>
          </cell>
          <cell r="Z387">
            <v>148</v>
          </cell>
        </row>
        <row r="388">
          <cell r="Y388" t="str">
            <v>Seattle-Tacoma International Airport</v>
          </cell>
          <cell r="Z388">
            <v>67</v>
          </cell>
        </row>
        <row r="389">
          <cell r="Y389" t="str">
            <v>O'Hare International Airport</v>
          </cell>
          <cell r="Z389">
            <v>131</v>
          </cell>
        </row>
      </sheetData>
      <sheetData sheetId="48">
        <row r="386">
          <cell r="Y386" t="str">
            <v>Flughafen Frankfurt/Main</v>
          </cell>
          <cell r="Z386">
            <v>23</v>
          </cell>
        </row>
        <row r="387">
          <cell r="Y387" t="str">
            <v>Newark Liberty International Airport</v>
          </cell>
          <cell r="Z387">
            <v>132</v>
          </cell>
        </row>
        <row r="388">
          <cell r="Y388" t="str">
            <v>Seattle-Tacoma International Airport</v>
          </cell>
          <cell r="Z388">
            <v>35</v>
          </cell>
        </row>
        <row r="389">
          <cell r="Y389" t="str">
            <v>O'Hare International Airport</v>
          </cell>
          <cell r="Z389">
            <v>90</v>
          </cell>
        </row>
        <row r="390">
          <cell r="Y390" t="str">
            <v>McCarran International Airport</v>
          </cell>
          <cell r="Z390">
            <v>31</v>
          </cell>
        </row>
      </sheetData>
      <sheetData sheetId="49">
        <row r="386">
          <cell r="Y386" t="str">
            <v>Heathrow Airport</v>
          </cell>
          <cell r="Z386">
            <v>24</v>
          </cell>
        </row>
        <row r="387">
          <cell r="Y387" t="str">
            <v>Newark Liberty International Airport</v>
          </cell>
          <cell r="Z387">
            <v>200</v>
          </cell>
        </row>
        <row r="388">
          <cell r="Y388" t="str">
            <v>Seattle-Tacoma International Airport</v>
          </cell>
          <cell r="Z388">
            <v>61</v>
          </cell>
        </row>
        <row r="389">
          <cell r="Y389" t="str">
            <v>Dallas/Ft Worth International Airport</v>
          </cell>
          <cell r="Z389">
            <v>78</v>
          </cell>
        </row>
        <row r="390">
          <cell r="Y390" t="str">
            <v>Istanbul International Airport</v>
          </cell>
          <cell r="Z390">
            <v>11</v>
          </cell>
        </row>
      </sheetData>
      <sheetData sheetId="50">
        <row r="386">
          <cell r="Y386" t="str">
            <v>Heathrow Airport</v>
          </cell>
          <cell r="Z386">
            <v>23</v>
          </cell>
        </row>
        <row r="387">
          <cell r="Y387" t="str">
            <v>Newark Liberty International Airport</v>
          </cell>
          <cell r="Z387">
            <v>144</v>
          </cell>
        </row>
        <row r="388">
          <cell r="Y388" t="str">
            <v>Seattle-Tacoma International Airport</v>
          </cell>
          <cell r="Z388">
            <v>65</v>
          </cell>
        </row>
        <row r="389">
          <cell r="Y389" t="str">
            <v>O'Hare International Airport</v>
          </cell>
          <cell r="Z389">
            <v>131</v>
          </cell>
        </row>
        <row r="390">
          <cell r="Y390" t="str">
            <v>Istanbul International Airport</v>
          </cell>
          <cell r="Z390">
            <v>13</v>
          </cell>
        </row>
      </sheetData>
      <sheetData sheetId="51">
        <row r="386">
          <cell r="Y386" t="str">
            <v>Flughafen Frankfurt/Main</v>
          </cell>
          <cell r="Z386">
            <v>37</v>
          </cell>
        </row>
        <row r="387">
          <cell r="Y387" t="str">
            <v>Newark Liberty International Airport</v>
          </cell>
          <cell r="Z387">
            <v>148</v>
          </cell>
        </row>
        <row r="388">
          <cell r="Y388" t="str">
            <v>Seattle-Tacoma International Airport</v>
          </cell>
          <cell r="Z388">
            <v>53</v>
          </cell>
        </row>
        <row r="389">
          <cell r="Y389" t="str">
            <v>O'Hare International Airport</v>
          </cell>
          <cell r="Z389">
            <v>99</v>
          </cell>
        </row>
        <row r="390">
          <cell r="Y390" t="str">
            <v>Denver International Airport</v>
          </cell>
          <cell r="Z390">
            <v>46</v>
          </cell>
        </row>
      </sheetData>
      <sheetData sheetId="52">
        <row r="386">
          <cell r="Y386" t="str">
            <v>Flughafen Frankfurt/Main</v>
          </cell>
          <cell r="Z386">
            <v>23</v>
          </cell>
        </row>
        <row r="387">
          <cell r="Y387" t="str">
            <v>Newark Liberty International Airport</v>
          </cell>
          <cell r="Z387">
            <v>132</v>
          </cell>
        </row>
        <row r="388">
          <cell r="Y388" t="str">
            <v>Seattle-Tacoma International Airport</v>
          </cell>
          <cell r="Z388">
            <v>35</v>
          </cell>
        </row>
        <row r="389">
          <cell r="Y389" t="str">
            <v>O'Hare International Airport</v>
          </cell>
          <cell r="Z389">
            <v>90</v>
          </cell>
        </row>
        <row r="390">
          <cell r="Y390" t="str">
            <v>Los Angeles International Airport</v>
          </cell>
          <cell r="Z390">
            <v>29</v>
          </cell>
        </row>
        <row r="391">
          <cell r="Y391" t="str">
            <v>Denver International Airport</v>
          </cell>
          <cell r="Z391">
            <v>24</v>
          </cell>
        </row>
      </sheetData>
      <sheetData sheetId="53">
        <row r="386">
          <cell r="Y386" t="str">
            <v>Heathrow Airport</v>
          </cell>
          <cell r="Z386">
            <v>24</v>
          </cell>
        </row>
        <row r="387">
          <cell r="Y387" t="str">
            <v>Newark Liberty International Airport</v>
          </cell>
          <cell r="Z387">
            <v>142</v>
          </cell>
        </row>
        <row r="388">
          <cell r="Y388" t="str">
            <v>Seattle-Tacoma International Airport</v>
          </cell>
          <cell r="Z388">
            <v>61</v>
          </cell>
        </row>
        <row r="389">
          <cell r="Y389" t="str">
            <v>Dallas/Ft Worth International Airport</v>
          </cell>
          <cell r="Z389">
            <v>43</v>
          </cell>
        </row>
        <row r="390">
          <cell r="Y390" t="str">
            <v>O'Hare International Airport</v>
          </cell>
          <cell r="Z390">
            <v>93</v>
          </cell>
        </row>
        <row r="391">
          <cell r="Y391" t="str">
            <v>Istanbul International Airport</v>
          </cell>
          <cell r="Z391">
            <v>11</v>
          </cell>
        </row>
      </sheetData>
      <sheetData sheetId="54">
        <row r="386">
          <cell r="Y386" t="str">
            <v>Heathrow Airport</v>
          </cell>
          <cell r="Z386">
            <v>23</v>
          </cell>
        </row>
        <row r="387">
          <cell r="Y387" t="str">
            <v>Newark Liberty International Airport</v>
          </cell>
          <cell r="Z387">
            <v>144</v>
          </cell>
        </row>
        <row r="388">
          <cell r="Y388" t="str">
            <v>Seattle-Tacoma International Airport</v>
          </cell>
          <cell r="Z388">
            <v>51</v>
          </cell>
        </row>
        <row r="389">
          <cell r="Y389" t="str">
            <v>O'Hare International Airport</v>
          </cell>
          <cell r="Z389">
            <v>99</v>
          </cell>
        </row>
        <row r="390">
          <cell r="Y390" t="str">
            <v>Denver International Airport</v>
          </cell>
          <cell r="Z390">
            <v>46</v>
          </cell>
        </row>
        <row r="391">
          <cell r="Y391" t="str">
            <v>Istanbul International Airport</v>
          </cell>
          <cell r="Z391">
            <v>13</v>
          </cell>
        </row>
      </sheetData>
      <sheetData sheetId="55">
        <row r="386">
          <cell r="Y386" t="str">
            <v>Flughafen Frankfurt/Main</v>
          </cell>
          <cell r="Z386">
            <v>37</v>
          </cell>
        </row>
        <row r="387">
          <cell r="Y387" t="str">
            <v>Newark Liberty International Airport</v>
          </cell>
          <cell r="Z387">
            <v>129</v>
          </cell>
        </row>
        <row r="388">
          <cell r="Y388" t="str">
            <v>Seattle-Tacoma International Airport</v>
          </cell>
          <cell r="Z388">
            <v>53</v>
          </cell>
        </row>
        <row r="389">
          <cell r="Y389" t="str">
            <v>Hartsfield-Jackson Atlanta International Airport</v>
          </cell>
          <cell r="Z389">
            <v>43</v>
          </cell>
        </row>
        <row r="390">
          <cell r="Y390" t="str">
            <v>O'Hare International Airport</v>
          </cell>
          <cell r="Z390">
            <v>80</v>
          </cell>
        </row>
        <row r="391">
          <cell r="Y391" t="str">
            <v>Denver International Airport</v>
          </cell>
          <cell r="Z391">
            <v>41</v>
          </cell>
        </row>
      </sheetData>
      <sheetData sheetId="56" refreshError="1"/>
      <sheetData sheetId="57" refreshError="1"/>
      <sheetData sheetId="58" refreshError="1"/>
      <sheetData sheetId="5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greenview.sg/wp-content/uploads/2017/08/green-venue-report-2017.pd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.zoom.us/hc/en-us/articles/201362023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089D-1F92-48A0-8A45-CC7DEEB2A219}">
  <dimension ref="B2:C26"/>
  <sheetViews>
    <sheetView zoomScale="80" zoomScaleNormal="80" workbookViewId="0">
      <selection activeCell="C23" sqref="C23"/>
    </sheetView>
  </sheetViews>
  <sheetFormatPr defaultRowHeight="15" x14ac:dyDescent="0.25"/>
  <cols>
    <col min="2" max="2" width="27.7109375" bestFit="1" customWidth="1"/>
  </cols>
  <sheetData>
    <row r="2" spans="2:3" x14ac:dyDescent="0.25">
      <c r="B2" t="s">
        <v>1034</v>
      </c>
    </row>
    <row r="3" spans="2:3" x14ac:dyDescent="0.25">
      <c r="B3" t="s">
        <v>1035</v>
      </c>
      <c r="C3" t="s">
        <v>1036</v>
      </c>
    </row>
    <row r="4" spans="2:3" x14ac:dyDescent="0.25">
      <c r="B4" t="s">
        <v>1037</v>
      </c>
      <c r="C4" t="s">
        <v>1052</v>
      </c>
    </row>
    <row r="5" spans="2:3" x14ac:dyDescent="0.25">
      <c r="B5" t="s">
        <v>242</v>
      </c>
      <c r="C5" t="s">
        <v>1053</v>
      </c>
    </row>
    <row r="6" spans="2:3" x14ac:dyDescent="0.25">
      <c r="B6" t="s">
        <v>999</v>
      </c>
      <c r="C6" t="s">
        <v>1054</v>
      </c>
    </row>
    <row r="7" spans="2:3" x14ac:dyDescent="0.25">
      <c r="B7" t="s">
        <v>1038</v>
      </c>
      <c r="C7" t="s">
        <v>1055</v>
      </c>
    </row>
    <row r="8" spans="2:3" x14ac:dyDescent="0.25">
      <c r="B8" t="s">
        <v>1039</v>
      </c>
      <c r="C8" t="s">
        <v>1056</v>
      </c>
    </row>
    <row r="9" spans="2:3" x14ac:dyDescent="0.25">
      <c r="B9" t="s">
        <v>1040</v>
      </c>
      <c r="C9" t="s">
        <v>1057</v>
      </c>
    </row>
    <row r="10" spans="2:3" x14ac:dyDescent="0.25">
      <c r="B10" t="s">
        <v>1041</v>
      </c>
      <c r="C10" t="s">
        <v>1058</v>
      </c>
    </row>
    <row r="11" spans="2:3" x14ac:dyDescent="0.25">
      <c r="B11" t="s">
        <v>1042</v>
      </c>
      <c r="C11" t="s">
        <v>1059</v>
      </c>
    </row>
    <row r="12" spans="2:3" x14ac:dyDescent="0.25">
      <c r="B12" t="s">
        <v>1043</v>
      </c>
      <c r="C12" t="s">
        <v>1060</v>
      </c>
    </row>
    <row r="13" spans="2:3" x14ac:dyDescent="0.25">
      <c r="B13" t="s">
        <v>593</v>
      </c>
      <c r="C13" t="s">
        <v>1061</v>
      </c>
    </row>
    <row r="14" spans="2:3" x14ac:dyDescent="0.25">
      <c r="B14" t="s">
        <v>980</v>
      </c>
      <c r="C14" t="s">
        <v>1064</v>
      </c>
    </row>
    <row r="15" spans="2:3" x14ac:dyDescent="0.25">
      <c r="B15" t="s">
        <v>992</v>
      </c>
      <c r="C15" t="s">
        <v>1063</v>
      </c>
    </row>
    <row r="16" spans="2:3" x14ac:dyDescent="0.25">
      <c r="B16" t="s">
        <v>993</v>
      </c>
      <c r="C16" t="s">
        <v>1062</v>
      </c>
    </row>
    <row r="17" spans="2:3" x14ac:dyDescent="0.25">
      <c r="B17" t="s">
        <v>1044</v>
      </c>
      <c r="C17" t="s">
        <v>1065</v>
      </c>
    </row>
    <row r="18" spans="2:3" x14ac:dyDescent="0.25">
      <c r="B18" t="s">
        <v>979</v>
      </c>
      <c r="C18" t="s">
        <v>1066</v>
      </c>
    </row>
    <row r="19" spans="2:3" x14ac:dyDescent="0.25">
      <c r="B19" t="s">
        <v>1045</v>
      </c>
      <c r="C19" t="s">
        <v>1067</v>
      </c>
    </row>
    <row r="20" spans="2:3" x14ac:dyDescent="0.25">
      <c r="B20" t="s">
        <v>1046</v>
      </c>
      <c r="C20" t="s">
        <v>1068</v>
      </c>
    </row>
    <row r="21" spans="2:3" x14ac:dyDescent="0.25">
      <c r="B21" t="s">
        <v>1047</v>
      </c>
      <c r="C21" t="s">
        <v>1069</v>
      </c>
    </row>
    <row r="22" spans="2:3" x14ac:dyDescent="0.25">
      <c r="B22" t="s">
        <v>1048</v>
      </c>
      <c r="C22" t="s">
        <v>1073</v>
      </c>
    </row>
    <row r="23" spans="2:3" x14ac:dyDescent="0.25">
      <c r="B23" t="s">
        <v>1050</v>
      </c>
      <c r="C23" t="s">
        <v>1070</v>
      </c>
    </row>
    <row r="24" spans="2:3" x14ac:dyDescent="0.25">
      <c r="B24" t="s">
        <v>1049</v>
      </c>
      <c r="C24" t="s">
        <v>1071</v>
      </c>
    </row>
    <row r="25" spans="2:3" x14ac:dyDescent="0.25">
      <c r="B25" t="s">
        <v>1051</v>
      </c>
      <c r="C25" t="s">
        <v>1072</v>
      </c>
    </row>
    <row r="26" spans="2:3" x14ac:dyDescent="0.25">
      <c r="B26" t="s">
        <v>959</v>
      </c>
      <c r="C26" t="s">
        <v>959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C82AD-286D-4FC4-8B59-C8103BE9A477}">
  <sheetPr codeName="Sheet4"/>
  <dimension ref="B2:W77"/>
  <sheetViews>
    <sheetView zoomScale="80" zoomScaleNormal="80" workbookViewId="0">
      <selection activeCell="J45" sqref="J45"/>
    </sheetView>
  </sheetViews>
  <sheetFormatPr defaultRowHeight="15" x14ac:dyDescent="0.25"/>
  <cols>
    <col min="1" max="1" width="9.140625" style="89"/>
    <col min="2" max="2" width="13" style="89" bestFit="1" customWidth="1"/>
    <col min="3" max="3" width="30.140625" style="89" bestFit="1" customWidth="1"/>
    <col min="4" max="4" width="32.140625" style="89" bestFit="1" customWidth="1"/>
    <col min="5" max="5" width="18.140625" style="89" customWidth="1"/>
    <col min="6" max="6" width="16.5703125" style="89" bestFit="1" customWidth="1"/>
    <col min="7" max="7" width="21.7109375" style="89" bestFit="1" customWidth="1"/>
    <col min="8" max="8" width="7.7109375" style="89" bestFit="1" customWidth="1"/>
    <col min="9" max="9" width="17.85546875" style="89" bestFit="1" customWidth="1"/>
    <col min="10" max="10" width="33.7109375" style="89" bestFit="1" customWidth="1"/>
    <col min="11" max="11" width="14.85546875" style="89" bestFit="1" customWidth="1"/>
    <col min="12" max="12" width="28.7109375" style="89" bestFit="1" customWidth="1"/>
    <col min="13" max="13" width="29.28515625" style="89" bestFit="1" customWidth="1"/>
    <col min="14" max="14" width="20.28515625" style="89" bestFit="1" customWidth="1"/>
    <col min="15" max="15" width="18.140625" style="89" customWidth="1"/>
    <col min="16" max="16" width="11.28515625" style="89" bestFit="1" customWidth="1"/>
    <col min="17" max="16384" width="9.140625" style="89"/>
  </cols>
  <sheetData>
    <row r="2" spans="2:14" ht="60" x14ac:dyDescent="0.25">
      <c r="B2" s="101" t="s">
        <v>891</v>
      </c>
      <c r="C2" s="1" t="s">
        <v>962</v>
      </c>
      <c r="D2" s="2" t="s">
        <v>3</v>
      </c>
      <c r="E2" s="2" t="s">
        <v>6</v>
      </c>
      <c r="F2" s="99" t="s">
        <v>7</v>
      </c>
      <c r="G2" s="99" t="s">
        <v>3</v>
      </c>
      <c r="H2" s="99" t="s">
        <v>6</v>
      </c>
      <c r="I2" s="99" t="s">
        <v>8</v>
      </c>
      <c r="J2" s="99" t="s">
        <v>3</v>
      </c>
      <c r="K2" s="2" t="str">
        <f>H2</f>
        <v>Source</v>
      </c>
      <c r="L2" s="1" t="s">
        <v>9</v>
      </c>
      <c r="M2" s="99" t="s">
        <v>3</v>
      </c>
      <c r="N2" s="100" t="str">
        <f>K2</f>
        <v>Source</v>
      </c>
    </row>
    <row r="3" spans="2:14" x14ac:dyDescent="0.25">
      <c r="B3" s="78" t="s">
        <v>107</v>
      </c>
      <c r="C3" s="85">
        <f>SA!B7</f>
        <v>12.019178082191781</v>
      </c>
      <c r="D3" s="82" t="s">
        <v>93</v>
      </c>
      <c r="E3" s="98" t="s">
        <v>960</v>
      </c>
      <c r="F3" s="86">
        <f>G72</f>
        <v>217.282534</v>
      </c>
      <c r="G3" s="82" t="s">
        <v>70</v>
      </c>
      <c r="H3" s="82" t="s">
        <v>966</v>
      </c>
      <c r="I3" s="85">
        <f>SA!B5</f>
        <v>49.247605300652801</v>
      </c>
      <c r="J3" s="83" t="str">
        <f>J4</f>
        <v>MJ per capita per day</v>
      </c>
      <c r="K3" s="85" t="s">
        <v>969</v>
      </c>
      <c r="L3" s="85">
        <f>SUM(K19:K32)</f>
        <v>584.72</v>
      </c>
      <c r="M3" s="82" t="str">
        <f>G3</f>
        <v>kg per capita per day</v>
      </c>
      <c r="N3" s="80" t="s">
        <v>971</v>
      </c>
    </row>
    <row r="4" spans="2:14" ht="15" customHeight="1" x14ac:dyDescent="0.25">
      <c r="B4" s="88" t="s">
        <v>5</v>
      </c>
      <c r="C4" s="77">
        <f>SA!B8</f>
        <v>18.100000000000001</v>
      </c>
      <c r="D4" s="84" t="s">
        <v>93</v>
      </c>
      <c r="E4" s="84" t="s">
        <v>964</v>
      </c>
      <c r="F4" s="77">
        <v>300</v>
      </c>
      <c r="G4" s="77" t="s">
        <v>103</v>
      </c>
      <c r="H4" s="77" t="s">
        <v>967</v>
      </c>
      <c r="I4" s="77">
        <f>SA!B6</f>
        <v>18.36</v>
      </c>
      <c r="J4" s="84" t="s">
        <v>102</v>
      </c>
      <c r="K4" s="84" t="str">
        <f>E4</f>
        <v>[2]</v>
      </c>
      <c r="L4" s="97">
        <f>L3</f>
        <v>584.72</v>
      </c>
      <c r="M4" s="77" t="str">
        <f>M3</f>
        <v>kg per capita per day</v>
      </c>
      <c r="N4" s="81" t="s">
        <v>971</v>
      </c>
    </row>
    <row r="6" spans="2:14" x14ac:dyDescent="0.25">
      <c r="C6" s="236" t="s">
        <v>94</v>
      </c>
      <c r="D6" s="237"/>
      <c r="E6" s="237"/>
      <c r="F6" s="238"/>
    </row>
    <row r="7" spans="2:14" x14ac:dyDescent="0.25">
      <c r="C7" s="101" t="s">
        <v>95</v>
      </c>
      <c r="D7" s="2" t="s">
        <v>96</v>
      </c>
      <c r="E7" s="111" t="s">
        <v>906</v>
      </c>
      <c r="F7" s="100" t="s">
        <v>905</v>
      </c>
    </row>
    <row r="8" spans="2:14" x14ac:dyDescent="0.25">
      <c r="C8" s="78" t="s">
        <v>97</v>
      </c>
      <c r="D8" s="82">
        <f>AVERAGE(11.1,5.1)</f>
        <v>8.1</v>
      </c>
      <c r="E8" s="82">
        <f>11.1</f>
        <v>11.1</v>
      </c>
      <c r="F8" s="80">
        <v>5.0999999999999996</v>
      </c>
    </row>
    <row r="9" spans="2:14" x14ac:dyDescent="0.25">
      <c r="C9" s="78" t="s">
        <v>98</v>
      </c>
      <c r="D9" s="82">
        <f>AVERAGE(4.1,6.1)</f>
        <v>5.0999999999999996</v>
      </c>
      <c r="E9" s="82">
        <v>4.0999999999999996</v>
      </c>
      <c r="F9" s="80">
        <v>6.1</v>
      </c>
    </row>
    <row r="10" spans="2:14" x14ac:dyDescent="0.25">
      <c r="C10" s="78" t="s">
        <v>99</v>
      </c>
      <c r="D10" s="82">
        <f>AVERAGE(2.3,1.7)</f>
        <v>2</v>
      </c>
      <c r="E10" s="82">
        <v>2.2999999999999998</v>
      </c>
      <c r="F10" s="80">
        <v>1.7</v>
      </c>
    </row>
    <row r="11" spans="2:14" x14ac:dyDescent="0.25">
      <c r="C11" s="78" t="s">
        <v>101</v>
      </c>
      <c r="D11" s="82">
        <v>5</v>
      </c>
      <c r="E11" s="82">
        <v>5</v>
      </c>
      <c r="F11" s="80">
        <v>5</v>
      </c>
    </row>
    <row r="12" spans="2:14" x14ac:dyDescent="0.25">
      <c r="C12" s="78" t="s">
        <v>100</v>
      </c>
      <c r="D12" s="82">
        <v>3</v>
      </c>
      <c r="E12" s="82">
        <v>3</v>
      </c>
      <c r="F12" s="80">
        <v>3</v>
      </c>
    </row>
    <row r="13" spans="2:14" x14ac:dyDescent="0.25">
      <c r="C13" s="78" t="s">
        <v>83</v>
      </c>
      <c r="D13" s="82">
        <f>SUM(D8:D12)</f>
        <v>23.2</v>
      </c>
      <c r="E13" s="82">
        <f>SUM(E8:E12)</f>
        <v>25.5</v>
      </c>
      <c r="F13" s="80">
        <f>SUM(F8:F12)</f>
        <v>20.9</v>
      </c>
    </row>
    <row r="14" spans="2:14" x14ac:dyDescent="0.25">
      <c r="C14" s="112" t="s">
        <v>236</v>
      </c>
      <c r="D14" s="77">
        <f>D13-D9</f>
        <v>18.100000000000001</v>
      </c>
      <c r="E14" s="77">
        <f>E13-E9</f>
        <v>21.4</v>
      </c>
      <c r="F14" s="81">
        <f>F13-F9</f>
        <v>14.799999999999999</v>
      </c>
    </row>
    <row r="15" spans="2:14" x14ac:dyDescent="0.25">
      <c r="C15" s="89" t="s">
        <v>4</v>
      </c>
      <c r="D15" s="107" t="s">
        <v>964</v>
      </c>
    </row>
    <row r="17" spans="3:22" x14ac:dyDescent="0.25">
      <c r="C17" s="239" t="s">
        <v>69</v>
      </c>
      <c r="D17" s="240"/>
      <c r="E17" s="240"/>
      <c r="F17" s="240"/>
      <c r="G17" s="241"/>
      <c r="J17" s="239" t="s">
        <v>87</v>
      </c>
      <c r="K17" s="240"/>
      <c r="L17" s="240"/>
      <c r="M17" s="240"/>
      <c r="N17" s="240"/>
      <c r="O17" s="240"/>
      <c r="P17" s="241"/>
    </row>
    <row r="18" spans="3:22" ht="60" x14ac:dyDescent="0.25">
      <c r="C18" s="78" t="s">
        <v>64</v>
      </c>
      <c r="D18" s="83" t="s">
        <v>65</v>
      </c>
      <c r="E18" s="83" t="s">
        <v>66</v>
      </c>
      <c r="F18" s="83" t="s">
        <v>67</v>
      </c>
      <c r="G18" s="11" t="s">
        <v>68</v>
      </c>
      <c r="J18" s="78" t="s">
        <v>84</v>
      </c>
      <c r="K18" s="83" t="s">
        <v>86</v>
      </c>
      <c r="L18" s="83" t="s">
        <v>88</v>
      </c>
      <c r="M18" s="83" t="s">
        <v>89</v>
      </c>
      <c r="N18" s="83" t="s">
        <v>90</v>
      </c>
      <c r="O18" s="83" t="s">
        <v>91</v>
      </c>
      <c r="P18" s="11" t="s">
        <v>92</v>
      </c>
      <c r="Q18" s="113"/>
      <c r="T18" s="113"/>
      <c r="U18" s="113"/>
    </row>
    <row r="19" spans="3:22" x14ac:dyDescent="0.25">
      <c r="C19" s="78" t="s">
        <v>10</v>
      </c>
      <c r="D19" s="82">
        <v>73</v>
      </c>
      <c r="E19" s="82">
        <f>D19*70%</f>
        <v>51.099999999999994</v>
      </c>
      <c r="F19" s="86">
        <f>E19*3.78541</f>
        <v>193.434451</v>
      </c>
      <c r="G19" s="102">
        <f>F19</f>
        <v>193.434451</v>
      </c>
      <c r="J19" s="78" t="s">
        <v>71</v>
      </c>
      <c r="K19" s="114">
        <v>67.39</v>
      </c>
      <c r="L19" s="114">
        <v>45.97</v>
      </c>
      <c r="M19" s="114" t="s">
        <v>2</v>
      </c>
      <c r="N19" s="114" t="s">
        <v>2</v>
      </c>
      <c r="O19" s="114">
        <v>4.2</v>
      </c>
      <c r="P19" s="115">
        <v>17.22</v>
      </c>
      <c r="R19" s="113" t="s">
        <v>195</v>
      </c>
      <c r="T19" s="113"/>
      <c r="U19" s="113"/>
    </row>
    <row r="20" spans="3:22" x14ac:dyDescent="0.25">
      <c r="C20" s="78" t="s">
        <v>11</v>
      </c>
      <c r="D20" s="82">
        <v>99</v>
      </c>
      <c r="E20" s="82">
        <f t="shared" ref="E20:E72" si="0">D20*70%</f>
        <v>69.3</v>
      </c>
      <c r="F20" s="86">
        <f t="shared" ref="F20:F72" si="1">E20*3.78541</f>
        <v>262.328913</v>
      </c>
      <c r="G20" s="102">
        <f t="shared" ref="G20:G72" si="2">F20</f>
        <v>262.328913</v>
      </c>
      <c r="J20" s="78" t="s">
        <v>72</v>
      </c>
      <c r="K20" s="114">
        <v>12.25</v>
      </c>
      <c r="L20" s="114">
        <v>3.06</v>
      </c>
      <c r="M20" s="114" t="s">
        <v>2</v>
      </c>
      <c r="N20" s="114" t="s">
        <v>2</v>
      </c>
      <c r="O20" s="114">
        <v>1.64</v>
      </c>
      <c r="P20" s="115">
        <v>7.55</v>
      </c>
      <c r="R20" s="113" t="s">
        <v>194</v>
      </c>
      <c r="T20" s="113"/>
      <c r="U20" s="113"/>
    </row>
    <row r="21" spans="3:22" x14ac:dyDescent="0.25">
      <c r="C21" s="78" t="s">
        <v>27</v>
      </c>
      <c r="D21" s="82">
        <v>145</v>
      </c>
      <c r="E21" s="82">
        <f t="shared" si="0"/>
        <v>101.5</v>
      </c>
      <c r="F21" s="86">
        <f t="shared" si="1"/>
        <v>384.21911500000004</v>
      </c>
      <c r="G21" s="102">
        <f t="shared" si="2"/>
        <v>384.21911500000004</v>
      </c>
      <c r="J21" s="78" t="s">
        <v>73</v>
      </c>
      <c r="K21" s="114">
        <v>19.2</v>
      </c>
      <c r="L21" s="114">
        <v>6.36</v>
      </c>
      <c r="M21" s="114" t="s">
        <v>2</v>
      </c>
      <c r="N21" s="114" t="s">
        <v>2</v>
      </c>
      <c r="O21" s="114">
        <v>2.31</v>
      </c>
      <c r="P21" s="115">
        <v>10.53</v>
      </c>
      <c r="R21" s="113" t="s">
        <v>196</v>
      </c>
      <c r="T21" s="113"/>
      <c r="U21" s="113"/>
    </row>
    <row r="22" spans="3:22" x14ac:dyDescent="0.25">
      <c r="C22" s="78" t="s">
        <v>28</v>
      </c>
      <c r="D22" s="82">
        <v>89</v>
      </c>
      <c r="E22" s="82">
        <f t="shared" si="0"/>
        <v>62.3</v>
      </c>
      <c r="F22" s="86">
        <f t="shared" si="1"/>
        <v>235.83104299999999</v>
      </c>
      <c r="G22" s="102">
        <f t="shared" si="2"/>
        <v>235.83104299999999</v>
      </c>
      <c r="J22" s="78" t="s">
        <v>74</v>
      </c>
      <c r="K22" s="114">
        <v>3.89</v>
      </c>
      <c r="L22" s="114">
        <v>0.67</v>
      </c>
      <c r="M22" s="114" t="s">
        <v>2</v>
      </c>
      <c r="N22" s="114" t="s">
        <v>2</v>
      </c>
      <c r="O22" s="114">
        <v>0.56000000000000005</v>
      </c>
      <c r="P22" s="115">
        <v>2.66</v>
      </c>
      <c r="R22" s="113" t="s">
        <v>197</v>
      </c>
      <c r="T22" s="113"/>
      <c r="U22" s="113"/>
    </row>
    <row r="23" spans="3:22" ht="30" x14ac:dyDescent="0.25">
      <c r="C23" s="78" t="s">
        <v>12</v>
      </c>
      <c r="D23" s="82">
        <v>86</v>
      </c>
      <c r="E23" s="82">
        <f t="shared" si="0"/>
        <v>60.199999999999996</v>
      </c>
      <c r="F23" s="86">
        <f t="shared" si="1"/>
        <v>227.88168199999998</v>
      </c>
      <c r="G23" s="102">
        <f t="shared" si="2"/>
        <v>227.88168199999998</v>
      </c>
      <c r="J23" s="79" t="s">
        <v>210</v>
      </c>
      <c r="K23" s="114">
        <v>2.5099999999999998</v>
      </c>
      <c r="L23" s="114">
        <v>1.69</v>
      </c>
      <c r="M23" s="114" t="s">
        <v>2</v>
      </c>
      <c r="N23" s="114" t="s">
        <v>2</v>
      </c>
      <c r="O23" s="114">
        <v>0.08</v>
      </c>
      <c r="P23" s="115">
        <v>0.74</v>
      </c>
      <c r="Q23" s="113"/>
      <c r="T23" s="113"/>
      <c r="U23" s="113"/>
    </row>
    <row r="24" spans="3:22" x14ac:dyDescent="0.25">
      <c r="C24" s="78" t="s">
        <v>29</v>
      </c>
      <c r="D24" s="82">
        <v>123</v>
      </c>
      <c r="E24" s="82">
        <f t="shared" si="0"/>
        <v>86.1</v>
      </c>
      <c r="F24" s="86">
        <f t="shared" si="1"/>
        <v>325.92380099999997</v>
      </c>
      <c r="G24" s="102">
        <f t="shared" si="2"/>
        <v>325.92380099999997</v>
      </c>
      <c r="J24" s="78" t="s">
        <v>75</v>
      </c>
      <c r="K24" s="114">
        <v>35.68</v>
      </c>
      <c r="L24" s="114">
        <v>3.02</v>
      </c>
      <c r="M24" s="114" t="s">
        <v>2</v>
      </c>
      <c r="N24" s="114" t="s">
        <v>2</v>
      </c>
      <c r="O24" s="114">
        <v>5.63</v>
      </c>
      <c r="P24" s="115">
        <v>27.03</v>
      </c>
      <c r="Q24" s="113"/>
      <c r="T24" s="113"/>
      <c r="U24" s="113"/>
    </row>
    <row r="25" spans="3:22" x14ac:dyDescent="0.25">
      <c r="C25" s="78" t="s">
        <v>13</v>
      </c>
      <c r="D25" s="82">
        <v>35</v>
      </c>
      <c r="E25" s="82">
        <f t="shared" si="0"/>
        <v>24.5</v>
      </c>
      <c r="F25" s="86">
        <f t="shared" si="1"/>
        <v>92.742545000000007</v>
      </c>
      <c r="G25" s="102">
        <f t="shared" si="2"/>
        <v>92.742545000000007</v>
      </c>
      <c r="J25" s="78" t="s">
        <v>76</v>
      </c>
      <c r="K25" s="114">
        <v>9.16</v>
      </c>
      <c r="L25" s="114">
        <v>1.67</v>
      </c>
      <c r="M25" s="114" t="s">
        <v>2</v>
      </c>
      <c r="N25" s="114" t="s">
        <v>2</v>
      </c>
      <c r="O25" s="114">
        <v>2.5</v>
      </c>
      <c r="P25" s="115">
        <v>4.99</v>
      </c>
      <c r="Q25" s="113"/>
      <c r="T25" s="113"/>
      <c r="U25" s="113"/>
    </row>
    <row r="26" spans="3:22" x14ac:dyDescent="0.25">
      <c r="C26" s="78" t="s">
        <v>14</v>
      </c>
      <c r="D26" s="82">
        <v>80</v>
      </c>
      <c r="E26" s="82">
        <f t="shared" si="0"/>
        <v>56</v>
      </c>
      <c r="F26" s="86">
        <f t="shared" si="1"/>
        <v>211.98296000000002</v>
      </c>
      <c r="G26" s="102">
        <f t="shared" si="2"/>
        <v>211.98296000000002</v>
      </c>
      <c r="J26" s="78" t="s">
        <v>77</v>
      </c>
      <c r="K26" s="82">
        <v>17.03</v>
      </c>
      <c r="L26" s="82">
        <v>2.5099999999999998</v>
      </c>
      <c r="M26" s="82" t="s">
        <v>2</v>
      </c>
      <c r="N26" s="82" t="s">
        <v>2</v>
      </c>
      <c r="O26" s="82">
        <v>3.22</v>
      </c>
      <c r="P26" s="80">
        <v>11.3</v>
      </c>
      <c r="Q26" s="113"/>
      <c r="T26" s="113"/>
      <c r="U26" s="113"/>
    </row>
    <row r="27" spans="3:22" x14ac:dyDescent="0.25">
      <c r="C27" s="78" t="s">
        <v>52</v>
      </c>
      <c r="D27" s="82">
        <v>67</v>
      </c>
      <c r="E27" s="82">
        <f t="shared" si="0"/>
        <v>46.9</v>
      </c>
      <c r="F27" s="86">
        <f t="shared" si="1"/>
        <v>177.535729</v>
      </c>
      <c r="G27" s="102">
        <f t="shared" si="2"/>
        <v>177.535729</v>
      </c>
      <c r="J27" s="78" t="s">
        <v>78</v>
      </c>
      <c r="K27" s="82">
        <v>18.09</v>
      </c>
      <c r="L27" s="82">
        <v>3.1</v>
      </c>
      <c r="M27" s="82" t="s">
        <v>2</v>
      </c>
      <c r="N27" s="82" t="s">
        <v>2</v>
      </c>
      <c r="O27" s="82">
        <v>2.84</v>
      </c>
      <c r="P27" s="80">
        <v>12.15</v>
      </c>
      <c r="Q27" s="113"/>
      <c r="T27" s="113"/>
      <c r="U27" s="113"/>
    </row>
    <row r="28" spans="3:22" x14ac:dyDescent="0.25">
      <c r="C28" s="78" t="s">
        <v>30</v>
      </c>
      <c r="D28" s="82">
        <v>83</v>
      </c>
      <c r="E28" s="82">
        <f t="shared" si="0"/>
        <v>58.099999999999994</v>
      </c>
      <c r="F28" s="86">
        <f t="shared" si="1"/>
        <v>219.932321</v>
      </c>
      <c r="G28" s="102">
        <f t="shared" si="2"/>
        <v>219.932321</v>
      </c>
      <c r="J28" s="78" t="s">
        <v>79</v>
      </c>
      <c r="K28" s="82">
        <v>4.5599999999999996</v>
      </c>
      <c r="L28" s="82">
        <v>0.97</v>
      </c>
      <c r="M28" s="82" t="s">
        <v>2</v>
      </c>
      <c r="N28" s="82" t="s">
        <v>2</v>
      </c>
      <c r="O28" s="82">
        <v>0.66</v>
      </c>
      <c r="P28" s="80">
        <v>2.93</v>
      </c>
      <c r="R28" s="113"/>
      <c r="S28" s="113"/>
      <c r="T28" s="113"/>
    </row>
    <row r="29" spans="3:22" x14ac:dyDescent="0.25">
      <c r="C29" s="78" t="s">
        <v>31</v>
      </c>
      <c r="D29" s="82">
        <v>75</v>
      </c>
      <c r="E29" s="82">
        <f t="shared" si="0"/>
        <v>52.5</v>
      </c>
      <c r="F29" s="86">
        <f t="shared" si="1"/>
        <v>198.734025</v>
      </c>
      <c r="G29" s="102">
        <f t="shared" si="2"/>
        <v>198.734025</v>
      </c>
      <c r="J29" s="78" t="s">
        <v>80</v>
      </c>
      <c r="K29" s="82">
        <v>63.13</v>
      </c>
      <c r="L29" s="82" t="s">
        <v>2</v>
      </c>
      <c r="M29" s="82">
        <v>2.59</v>
      </c>
      <c r="N29" s="82">
        <v>17.71</v>
      </c>
      <c r="O29" s="82">
        <v>7.55</v>
      </c>
      <c r="P29" s="80">
        <v>35.28</v>
      </c>
      <c r="R29" s="113"/>
      <c r="T29" s="113"/>
    </row>
    <row r="30" spans="3:22" x14ac:dyDescent="0.25">
      <c r="C30" s="78" t="s">
        <v>32</v>
      </c>
      <c r="D30" s="82">
        <v>144</v>
      </c>
      <c r="E30" s="82">
        <f t="shared" si="0"/>
        <v>100.8</v>
      </c>
      <c r="F30" s="86">
        <f t="shared" si="1"/>
        <v>381.56932799999998</v>
      </c>
      <c r="G30" s="102">
        <f t="shared" si="2"/>
        <v>381.56932799999998</v>
      </c>
      <c r="J30" s="78" t="s">
        <v>81</v>
      </c>
      <c r="K30" s="82">
        <v>35.4</v>
      </c>
      <c r="L30" s="82" t="s">
        <v>2</v>
      </c>
      <c r="M30" s="82">
        <v>22.3</v>
      </c>
      <c r="N30" s="82" t="s">
        <v>2</v>
      </c>
      <c r="O30" s="82">
        <v>2.57</v>
      </c>
      <c r="P30" s="80">
        <v>10.53</v>
      </c>
      <c r="T30" s="113"/>
      <c r="U30" s="113"/>
      <c r="V30" s="113"/>
    </row>
    <row r="31" spans="3:22" x14ac:dyDescent="0.25">
      <c r="C31" s="78" t="s">
        <v>15</v>
      </c>
      <c r="D31" s="82">
        <v>184</v>
      </c>
      <c r="E31" s="82">
        <f t="shared" si="0"/>
        <v>128.79999999999998</v>
      </c>
      <c r="F31" s="86">
        <f t="shared" si="1"/>
        <v>487.56080799999995</v>
      </c>
      <c r="G31" s="102">
        <f t="shared" si="2"/>
        <v>487.56080799999995</v>
      </c>
      <c r="J31" s="78" t="s">
        <v>82</v>
      </c>
      <c r="K31" s="82">
        <v>4.07</v>
      </c>
      <c r="L31" s="82" t="s">
        <v>2</v>
      </c>
      <c r="M31" s="82" t="s">
        <v>2</v>
      </c>
      <c r="N31" s="82" t="s">
        <v>2</v>
      </c>
      <c r="O31" s="82">
        <v>0.8</v>
      </c>
      <c r="P31" s="80">
        <v>3.27</v>
      </c>
      <c r="Q31" s="113"/>
      <c r="R31" s="113"/>
      <c r="S31" s="113"/>
    </row>
    <row r="32" spans="3:22" x14ac:dyDescent="0.25">
      <c r="C32" s="78" t="s">
        <v>33</v>
      </c>
      <c r="D32" s="82">
        <v>80</v>
      </c>
      <c r="E32" s="82">
        <f t="shared" si="0"/>
        <v>56</v>
      </c>
      <c r="F32" s="86">
        <f t="shared" si="1"/>
        <v>211.98296000000002</v>
      </c>
      <c r="G32" s="102">
        <f t="shared" si="2"/>
        <v>211.98296000000002</v>
      </c>
      <c r="J32" s="88" t="s">
        <v>83</v>
      </c>
      <c r="K32" s="77">
        <v>292.36</v>
      </c>
      <c r="L32" s="77">
        <v>69.02</v>
      </c>
      <c r="M32" s="77">
        <v>24.89</v>
      </c>
      <c r="N32" s="77">
        <v>17.71</v>
      </c>
      <c r="O32" s="77">
        <v>34.56</v>
      </c>
      <c r="P32" s="81">
        <v>146.18</v>
      </c>
      <c r="V32" s="113"/>
    </row>
    <row r="33" spans="3:23" x14ac:dyDescent="0.25">
      <c r="C33" s="78" t="s">
        <v>34</v>
      </c>
      <c r="D33" s="82">
        <v>76</v>
      </c>
      <c r="E33" s="82">
        <f t="shared" si="0"/>
        <v>53.199999999999996</v>
      </c>
      <c r="F33" s="86">
        <f t="shared" si="1"/>
        <v>201.38381200000001</v>
      </c>
      <c r="G33" s="102">
        <f t="shared" si="2"/>
        <v>201.38381200000001</v>
      </c>
      <c r="J33" s="89" t="s">
        <v>4</v>
      </c>
      <c r="K33" s="104" t="s">
        <v>971</v>
      </c>
      <c r="V33" s="113"/>
    </row>
    <row r="34" spans="3:23" x14ac:dyDescent="0.25">
      <c r="C34" s="78" t="s">
        <v>35</v>
      </c>
      <c r="D34" s="82">
        <v>65</v>
      </c>
      <c r="E34" s="82">
        <f t="shared" si="0"/>
        <v>45.5</v>
      </c>
      <c r="F34" s="86">
        <f t="shared" si="1"/>
        <v>172.236155</v>
      </c>
      <c r="G34" s="102">
        <f t="shared" si="2"/>
        <v>172.236155</v>
      </c>
      <c r="W34" s="113"/>
    </row>
    <row r="35" spans="3:23" x14ac:dyDescent="0.25">
      <c r="C35" s="78" t="s">
        <v>36</v>
      </c>
      <c r="D35" s="82">
        <v>66</v>
      </c>
      <c r="E35" s="82">
        <f t="shared" si="0"/>
        <v>46.199999999999996</v>
      </c>
      <c r="F35" s="86">
        <f t="shared" si="1"/>
        <v>174.885942</v>
      </c>
      <c r="G35" s="102">
        <f t="shared" si="2"/>
        <v>174.885942</v>
      </c>
      <c r="W35" s="113"/>
    </row>
    <row r="36" spans="3:23" x14ac:dyDescent="0.25">
      <c r="C36" s="78" t="s">
        <v>37</v>
      </c>
      <c r="D36" s="82">
        <v>68</v>
      </c>
      <c r="E36" s="82">
        <f t="shared" si="0"/>
        <v>47.599999999999994</v>
      </c>
      <c r="F36" s="86">
        <f t="shared" si="1"/>
        <v>180.18551599999998</v>
      </c>
      <c r="G36" s="102">
        <f t="shared" si="2"/>
        <v>180.18551599999998</v>
      </c>
    </row>
    <row r="37" spans="3:23" x14ac:dyDescent="0.25">
      <c r="C37" s="78" t="s">
        <v>38</v>
      </c>
      <c r="D37" s="82">
        <v>115</v>
      </c>
      <c r="E37" s="82">
        <f t="shared" si="0"/>
        <v>80.5</v>
      </c>
      <c r="F37" s="86">
        <f t="shared" si="1"/>
        <v>304.725505</v>
      </c>
      <c r="G37" s="102">
        <f t="shared" si="2"/>
        <v>304.725505</v>
      </c>
    </row>
    <row r="38" spans="3:23" x14ac:dyDescent="0.25">
      <c r="C38" s="78" t="s">
        <v>16</v>
      </c>
      <c r="D38" s="82">
        <v>51</v>
      </c>
      <c r="E38" s="82">
        <f t="shared" si="0"/>
        <v>35.699999999999996</v>
      </c>
      <c r="F38" s="86">
        <f t="shared" si="1"/>
        <v>135.13913699999998</v>
      </c>
      <c r="G38" s="102">
        <f t="shared" si="2"/>
        <v>135.13913699999998</v>
      </c>
    </row>
    <row r="39" spans="3:23" x14ac:dyDescent="0.25">
      <c r="C39" s="78" t="s">
        <v>39</v>
      </c>
      <c r="D39" s="82">
        <v>72</v>
      </c>
      <c r="E39" s="82">
        <f t="shared" si="0"/>
        <v>50.4</v>
      </c>
      <c r="F39" s="86">
        <f t="shared" si="1"/>
        <v>190.78466399999999</v>
      </c>
      <c r="G39" s="102">
        <f t="shared" si="2"/>
        <v>190.78466399999999</v>
      </c>
    </row>
    <row r="40" spans="3:23" x14ac:dyDescent="0.25">
      <c r="C40" s="78" t="s">
        <v>17</v>
      </c>
      <c r="D40" s="82">
        <v>56</v>
      </c>
      <c r="E40" s="82">
        <f t="shared" si="0"/>
        <v>39.199999999999996</v>
      </c>
      <c r="F40" s="86">
        <f t="shared" si="1"/>
        <v>148.38807199999999</v>
      </c>
      <c r="G40" s="102">
        <f t="shared" si="2"/>
        <v>148.38807199999999</v>
      </c>
    </row>
    <row r="41" spans="3:23" x14ac:dyDescent="0.25">
      <c r="C41" s="78" t="s">
        <v>18</v>
      </c>
      <c r="D41" s="82">
        <v>67</v>
      </c>
      <c r="E41" s="82">
        <f t="shared" si="0"/>
        <v>46.9</v>
      </c>
      <c r="F41" s="86">
        <f t="shared" si="1"/>
        <v>177.535729</v>
      </c>
      <c r="G41" s="102">
        <f t="shared" si="2"/>
        <v>177.535729</v>
      </c>
    </row>
    <row r="42" spans="3:23" x14ac:dyDescent="0.25">
      <c r="C42" s="78" t="s">
        <v>40</v>
      </c>
      <c r="D42" s="82">
        <v>58</v>
      </c>
      <c r="E42" s="82">
        <f t="shared" si="0"/>
        <v>40.599999999999994</v>
      </c>
      <c r="F42" s="86">
        <f t="shared" si="1"/>
        <v>153.68764599999997</v>
      </c>
      <c r="G42" s="102">
        <f t="shared" si="2"/>
        <v>153.68764599999997</v>
      </c>
    </row>
    <row r="43" spans="3:23" x14ac:dyDescent="0.25">
      <c r="C43" s="78" t="s">
        <v>19</v>
      </c>
      <c r="D43" s="82">
        <v>100</v>
      </c>
      <c r="E43" s="82">
        <f t="shared" si="0"/>
        <v>70</v>
      </c>
      <c r="F43" s="86">
        <f t="shared" si="1"/>
        <v>264.9787</v>
      </c>
      <c r="G43" s="102">
        <f t="shared" si="2"/>
        <v>264.9787</v>
      </c>
    </row>
    <row r="44" spans="3:23" x14ac:dyDescent="0.25">
      <c r="C44" s="78" t="s">
        <v>20</v>
      </c>
      <c r="D44" s="82">
        <v>89</v>
      </c>
      <c r="E44" s="82">
        <f t="shared" si="0"/>
        <v>62.3</v>
      </c>
      <c r="F44" s="86">
        <f t="shared" si="1"/>
        <v>235.83104299999999</v>
      </c>
      <c r="G44" s="102">
        <f t="shared" si="2"/>
        <v>235.83104299999999</v>
      </c>
    </row>
    <row r="45" spans="3:23" x14ac:dyDescent="0.25">
      <c r="C45" s="78" t="s">
        <v>21</v>
      </c>
      <c r="D45" s="82">
        <v>106</v>
      </c>
      <c r="E45" s="82">
        <f t="shared" si="0"/>
        <v>74.199999999999989</v>
      </c>
      <c r="F45" s="86">
        <f t="shared" si="1"/>
        <v>280.87742199999997</v>
      </c>
      <c r="G45" s="102">
        <f t="shared" si="2"/>
        <v>280.87742199999997</v>
      </c>
    </row>
    <row r="46" spans="3:23" x14ac:dyDescent="0.25">
      <c r="C46" s="78" t="s">
        <v>22</v>
      </c>
      <c r="D46" s="82">
        <v>78</v>
      </c>
      <c r="E46" s="82">
        <f t="shared" si="0"/>
        <v>54.599999999999994</v>
      </c>
      <c r="F46" s="86">
        <f t="shared" si="1"/>
        <v>206.68338599999998</v>
      </c>
      <c r="G46" s="102">
        <f t="shared" si="2"/>
        <v>206.68338599999998</v>
      </c>
    </row>
    <row r="47" spans="3:23" x14ac:dyDescent="0.25">
      <c r="C47" s="78" t="s">
        <v>23</v>
      </c>
      <c r="D47" s="82">
        <v>126</v>
      </c>
      <c r="E47" s="82">
        <f t="shared" si="0"/>
        <v>88.199999999999989</v>
      </c>
      <c r="F47" s="86">
        <f t="shared" si="1"/>
        <v>333.87316199999998</v>
      </c>
      <c r="G47" s="102">
        <f t="shared" si="2"/>
        <v>333.87316199999998</v>
      </c>
    </row>
    <row r="48" spans="3:23" x14ac:dyDescent="0.25">
      <c r="C48" s="78" t="s">
        <v>53</v>
      </c>
      <c r="D48" s="82">
        <v>60</v>
      </c>
      <c r="E48" s="82">
        <f t="shared" si="0"/>
        <v>42</v>
      </c>
      <c r="F48" s="86">
        <f t="shared" si="1"/>
        <v>158.98722000000001</v>
      </c>
      <c r="G48" s="102">
        <f t="shared" si="2"/>
        <v>158.98722000000001</v>
      </c>
    </row>
    <row r="49" spans="3:7" x14ac:dyDescent="0.25">
      <c r="C49" s="78" t="s">
        <v>54</v>
      </c>
      <c r="D49" s="82">
        <v>80</v>
      </c>
      <c r="E49" s="82">
        <f t="shared" si="0"/>
        <v>56</v>
      </c>
      <c r="F49" s="86">
        <f t="shared" si="1"/>
        <v>211.98296000000002</v>
      </c>
      <c r="G49" s="102">
        <f t="shared" si="2"/>
        <v>211.98296000000002</v>
      </c>
    </row>
    <row r="50" spans="3:7" x14ac:dyDescent="0.25">
      <c r="C50" s="78" t="s">
        <v>55</v>
      </c>
      <c r="D50" s="82">
        <v>81</v>
      </c>
      <c r="E50" s="82">
        <f t="shared" si="0"/>
        <v>56.699999999999996</v>
      </c>
      <c r="F50" s="86">
        <f t="shared" si="1"/>
        <v>214.63274699999999</v>
      </c>
      <c r="G50" s="102">
        <f t="shared" si="2"/>
        <v>214.63274699999999</v>
      </c>
    </row>
    <row r="51" spans="3:7" x14ac:dyDescent="0.25">
      <c r="C51" s="78" t="s">
        <v>56</v>
      </c>
      <c r="D51" s="82">
        <v>71</v>
      </c>
      <c r="E51" s="82">
        <f t="shared" si="0"/>
        <v>49.699999999999996</v>
      </c>
      <c r="F51" s="86">
        <f t="shared" si="1"/>
        <v>188.13487699999999</v>
      </c>
      <c r="G51" s="102">
        <f t="shared" si="2"/>
        <v>188.13487699999999</v>
      </c>
    </row>
    <row r="52" spans="3:7" x14ac:dyDescent="0.25">
      <c r="C52" s="78" t="s">
        <v>57</v>
      </c>
      <c r="D52" s="82">
        <v>70</v>
      </c>
      <c r="E52" s="82">
        <f t="shared" si="0"/>
        <v>49</v>
      </c>
      <c r="F52" s="86">
        <f t="shared" si="1"/>
        <v>185.48509000000001</v>
      </c>
      <c r="G52" s="102">
        <f t="shared" si="2"/>
        <v>185.48509000000001</v>
      </c>
    </row>
    <row r="53" spans="3:7" x14ac:dyDescent="0.25">
      <c r="C53" s="78" t="s">
        <v>58</v>
      </c>
      <c r="D53" s="82">
        <v>80</v>
      </c>
      <c r="E53" s="82">
        <f t="shared" si="0"/>
        <v>56</v>
      </c>
      <c r="F53" s="86">
        <f t="shared" si="1"/>
        <v>211.98296000000002</v>
      </c>
      <c r="G53" s="102">
        <f t="shared" si="2"/>
        <v>211.98296000000002</v>
      </c>
    </row>
    <row r="54" spans="3:7" x14ac:dyDescent="0.25">
      <c r="C54" s="78" t="s">
        <v>41</v>
      </c>
      <c r="D54" s="82">
        <v>63</v>
      </c>
      <c r="E54" s="82">
        <f t="shared" si="0"/>
        <v>44.099999999999994</v>
      </c>
      <c r="F54" s="86">
        <f t="shared" si="1"/>
        <v>166.93658099999999</v>
      </c>
      <c r="G54" s="102">
        <f t="shared" si="2"/>
        <v>166.93658099999999</v>
      </c>
    </row>
    <row r="55" spans="3:7" x14ac:dyDescent="0.25">
      <c r="C55" s="78" t="s">
        <v>42</v>
      </c>
      <c r="D55" s="82">
        <v>71</v>
      </c>
      <c r="E55" s="82">
        <f t="shared" si="0"/>
        <v>49.699999999999996</v>
      </c>
      <c r="F55" s="86">
        <f t="shared" si="1"/>
        <v>188.13487699999999</v>
      </c>
      <c r="G55" s="102">
        <f t="shared" si="2"/>
        <v>188.13487699999999</v>
      </c>
    </row>
    <row r="56" spans="3:7" x14ac:dyDescent="0.25">
      <c r="C56" s="78" t="s">
        <v>43</v>
      </c>
      <c r="D56" s="82">
        <v>107</v>
      </c>
      <c r="E56" s="82">
        <f t="shared" si="0"/>
        <v>74.899999999999991</v>
      </c>
      <c r="F56" s="86">
        <f t="shared" si="1"/>
        <v>283.52720899999997</v>
      </c>
      <c r="G56" s="102">
        <f t="shared" si="2"/>
        <v>283.52720899999997</v>
      </c>
    </row>
    <row r="57" spans="3:7" x14ac:dyDescent="0.25">
      <c r="C57" s="78" t="s">
        <v>24</v>
      </c>
      <c r="D57" s="82">
        <v>57</v>
      </c>
      <c r="E57" s="82">
        <f t="shared" si="0"/>
        <v>39.9</v>
      </c>
      <c r="F57" s="86">
        <f t="shared" si="1"/>
        <v>151.037859</v>
      </c>
      <c r="G57" s="102">
        <f t="shared" si="2"/>
        <v>151.037859</v>
      </c>
    </row>
    <row r="58" spans="3:7" x14ac:dyDescent="0.25">
      <c r="C58" s="78" t="s">
        <v>59</v>
      </c>
      <c r="D58" s="82">
        <v>59</v>
      </c>
      <c r="E58" s="82">
        <f t="shared" si="0"/>
        <v>41.3</v>
      </c>
      <c r="F58" s="86">
        <f t="shared" si="1"/>
        <v>156.337433</v>
      </c>
      <c r="G58" s="102">
        <f t="shared" si="2"/>
        <v>156.337433</v>
      </c>
    </row>
    <row r="59" spans="3:7" x14ac:dyDescent="0.25">
      <c r="C59" s="78" t="s">
        <v>60</v>
      </c>
      <c r="D59" s="82">
        <v>100</v>
      </c>
      <c r="E59" s="82">
        <f t="shared" si="0"/>
        <v>70</v>
      </c>
      <c r="F59" s="86">
        <f t="shared" si="1"/>
        <v>264.9787</v>
      </c>
      <c r="G59" s="102">
        <f t="shared" si="2"/>
        <v>264.9787</v>
      </c>
    </row>
    <row r="60" spans="3:7" x14ac:dyDescent="0.25">
      <c r="C60" s="78" t="s">
        <v>61</v>
      </c>
      <c r="D60" s="82">
        <v>56</v>
      </c>
      <c r="E60" s="82">
        <f t="shared" si="0"/>
        <v>39.199999999999996</v>
      </c>
      <c r="F60" s="86">
        <f t="shared" si="1"/>
        <v>148.38807199999999</v>
      </c>
      <c r="G60" s="102">
        <f t="shared" si="2"/>
        <v>148.38807199999999</v>
      </c>
    </row>
    <row r="61" spans="3:7" x14ac:dyDescent="0.25">
      <c r="C61" s="78" t="s">
        <v>25</v>
      </c>
      <c r="D61" s="82">
        <v>80</v>
      </c>
      <c r="E61" s="82">
        <f t="shared" si="0"/>
        <v>56</v>
      </c>
      <c r="F61" s="86">
        <f t="shared" si="1"/>
        <v>211.98296000000002</v>
      </c>
      <c r="G61" s="102">
        <f t="shared" si="2"/>
        <v>211.98296000000002</v>
      </c>
    </row>
    <row r="62" spans="3:7" x14ac:dyDescent="0.25">
      <c r="C62" s="78" t="s">
        <v>44</v>
      </c>
      <c r="D62" s="82">
        <v>82</v>
      </c>
      <c r="E62" s="82">
        <f t="shared" si="0"/>
        <v>57.4</v>
      </c>
      <c r="F62" s="86">
        <f t="shared" si="1"/>
        <v>217.282534</v>
      </c>
      <c r="G62" s="102">
        <f t="shared" si="2"/>
        <v>217.282534</v>
      </c>
    </row>
    <row r="63" spans="3:7" x14ac:dyDescent="0.25">
      <c r="C63" s="78" t="s">
        <v>45</v>
      </c>
      <c r="D63" s="82">
        <v>169</v>
      </c>
      <c r="E63" s="82">
        <f t="shared" si="0"/>
        <v>118.3</v>
      </c>
      <c r="F63" s="86">
        <f t="shared" si="1"/>
        <v>447.81400300000001</v>
      </c>
      <c r="G63" s="102">
        <f t="shared" si="2"/>
        <v>447.81400300000001</v>
      </c>
    </row>
    <row r="64" spans="3:7" x14ac:dyDescent="0.25">
      <c r="C64" s="78" t="s">
        <v>46</v>
      </c>
      <c r="D64" s="82">
        <v>44</v>
      </c>
      <c r="E64" s="82">
        <f t="shared" si="0"/>
        <v>30.799999999999997</v>
      </c>
      <c r="F64" s="86">
        <f t="shared" si="1"/>
        <v>116.590628</v>
      </c>
      <c r="G64" s="102">
        <f t="shared" si="2"/>
        <v>116.590628</v>
      </c>
    </row>
    <row r="65" spans="3:7" x14ac:dyDescent="0.25">
      <c r="C65" s="78" t="s">
        <v>47</v>
      </c>
      <c r="D65" s="82">
        <v>80</v>
      </c>
      <c r="E65" s="82">
        <f t="shared" si="0"/>
        <v>56</v>
      </c>
      <c r="F65" s="86">
        <f t="shared" si="1"/>
        <v>211.98296000000002</v>
      </c>
      <c r="G65" s="102">
        <f t="shared" si="2"/>
        <v>211.98296000000002</v>
      </c>
    </row>
    <row r="66" spans="3:7" x14ac:dyDescent="0.25">
      <c r="C66" s="78" t="s">
        <v>48</v>
      </c>
      <c r="D66" s="82">
        <v>103</v>
      </c>
      <c r="E66" s="82">
        <f t="shared" si="0"/>
        <v>72.099999999999994</v>
      </c>
      <c r="F66" s="86">
        <f t="shared" si="1"/>
        <v>272.92806100000001</v>
      </c>
      <c r="G66" s="102">
        <f t="shared" si="2"/>
        <v>272.92806100000001</v>
      </c>
    </row>
    <row r="67" spans="3:7" x14ac:dyDescent="0.25">
      <c r="C67" s="78" t="s">
        <v>62</v>
      </c>
      <c r="D67" s="82">
        <v>80</v>
      </c>
      <c r="E67" s="82">
        <f t="shared" si="0"/>
        <v>56</v>
      </c>
      <c r="F67" s="86">
        <f t="shared" si="1"/>
        <v>211.98296000000002</v>
      </c>
      <c r="G67" s="102">
        <f t="shared" si="2"/>
        <v>211.98296000000002</v>
      </c>
    </row>
    <row r="68" spans="3:7" x14ac:dyDescent="0.25">
      <c r="C68" s="78" t="s">
        <v>49</v>
      </c>
      <c r="D68" s="82">
        <v>55</v>
      </c>
      <c r="E68" s="82">
        <f t="shared" si="0"/>
        <v>38.5</v>
      </c>
      <c r="F68" s="86">
        <f t="shared" si="1"/>
        <v>145.73828500000002</v>
      </c>
      <c r="G68" s="102">
        <f t="shared" si="2"/>
        <v>145.73828500000002</v>
      </c>
    </row>
    <row r="69" spans="3:7" x14ac:dyDescent="0.25">
      <c r="C69" s="78" t="s">
        <v>50</v>
      </c>
      <c r="D69" s="82">
        <v>156</v>
      </c>
      <c r="E69" s="82">
        <f t="shared" si="0"/>
        <v>109.19999999999999</v>
      </c>
      <c r="F69" s="86">
        <f t="shared" si="1"/>
        <v>413.36677199999997</v>
      </c>
      <c r="G69" s="102">
        <f t="shared" si="2"/>
        <v>413.36677199999997</v>
      </c>
    </row>
    <row r="70" spans="3:7" x14ac:dyDescent="0.25">
      <c r="C70" s="78" t="s">
        <v>51</v>
      </c>
      <c r="D70" s="82">
        <v>98</v>
      </c>
      <c r="E70" s="82">
        <f t="shared" si="0"/>
        <v>68.599999999999994</v>
      </c>
      <c r="F70" s="86">
        <f t="shared" si="1"/>
        <v>259.679126</v>
      </c>
      <c r="G70" s="102">
        <f t="shared" si="2"/>
        <v>259.679126</v>
      </c>
    </row>
    <row r="71" spans="3:7" x14ac:dyDescent="0.25">
      <c r="C71" s="78" t="s">
        <v>63</v>
      </c>
      <c r="D71" s="82">
        <v>63</v>
      </c>
      <c r="E71" s="82">
        <f t="shared" si="0"/>
        <v>44.099999999999994</v>
      </c>
      <c r="F71" s="86">
        <f t="shared" si="1"/>
        <v>166.93658099999999</v>
      </c>
      <c r="G71" s="102">
        <f t="shared" si="2"/>
        <v>166.93658099999999</v>
      </c>
    </row>
    <row r="72" spans="3:7" x14ac:dyDescent="0.25">
      <c r="C72" s="88" t="s">
        <v>26</v>
      </c>
      <c r="D72" s="77">
        <v>82</v>
      </c>
      <c r="E72" s="77">
        <f t="shared" si="0"/>
        <v>57.4</v>
      </c>
      <c r="F72" s="87">
        <f t="shared" si="1"/>
        <v>217.282534</v>
      </c>
      <c r="G72" s="103">
        <f t="shared" si="2"/>
        <v>217.282534</v>
      </c>
    </row>
    <row r="73" spans="3:7" x14ac:dyDescent="0.25">
      <c r="C73" s="89" t="s">
        <v>4</v>
      </c>
      <c r="D73" s="104" t="s">
        <v>966</v>
      </c>
      <c r="G73" s="105"/>
    </row>
    <row r="74" spans="3:7" x14ac:dyDescent="0.25">
      <c r="G74" s="105"/>
    </row>
    <row r="75" spans="3:7" x14ac:dyDescent="0.25">
      <c r="G75" s="105"/>
    </row>
    <row r="76" spans="3:7" x14ac:dyDescent="0.25">
      <c r="G76" s="105"/>
    </row>
    <row r="77" spans="3:7" x14ac:dyDescent="0.25">
      <c r="G77" s="105"/>
    </row>
  </sheetData>
  <mergeCells count="3">
    <mergeCell ref="C6:F6"/>
    <mergeCell ref="J17:P17"/>
    <mergeCell ref="C17:G1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5993-957B-4AC5-BA10-6FB13BF6AC8E}">
  <sheetPr codeName="Sheet8"/>
  <dimension ref="B3:L46"/>
  <sheetViews>
    <sheetView zoomScale="80" zoomScaleNormal="80" workbookViewId="0">
      <selection activeCell="B3" sqref="B3:F3"/>
    </sheetView>
  </sheetViews>
  <sheetFormatPr defaultRowHeight="15" x14ac:dyDescent="0.25"/>
  <cols>
    <col min="1" max="1" width="9.140625" style="93"/>
    <col min="2" max="2" width="30.28515625" style="93" customWidth="1"/>
    <col min="3" max="3" width="65.7109375" style="93" customWidth="1"/>
    <col min="4" max="4" width="17.42578125" style="93" bestFit="1" customWidth="1"/>
    <col min="5" max="5" width="5.28515625" style="93" bestFit="1" customWidth="1"/>
    <col min="6" max="7" width="26.5703125" style="93" customWidth="1"/>
    <col min="8" max="8" width="22.7109375" style="93" bestFit="1" customWidth="1"/>
    <col min="9" max="9" width="69.7109375" style="93" customWidth="1"/>
    <col min="10" max="10" width="9.140625" style="93"/>
    <col min="11" max="11" width="42.85546875" style="93" bestFit="1" customWidth="1"/>
    <col min="12" max="12" width="43.42578125" style="93" bestFit="1" customWidth="1"/>
    <col min="13" max="13" width="67.140625" style="93" bestFit="1" customWidth="1"/>
    <col min="14" max="16384" width="9.140625" style="93"/>
  </cols>
  <sheetData>
    <row r="3" spans="2:12" x14ac:dyDescent="0.25">
      <c r="B3" s="239" t="s">
        <v>122</v>
      </c>
      <c r="C3" s="240"/>
      <c r="D3" s="240"/>
      <c r="E3" s="240"/>
      <c r="F3" s="241"/>
      <c r="H3" s="239" t="s">
        <v>123</v>
      </c>
      <c r="I3" s="240"/>
      <c r="J3" s="240"/>
      <c r="K3" s="240"/>
      <c r="L3" s="241"/>
    </row>
    <row r="4" spans="2:12" x14ac:dyDescent="0.25">
      <c r="B4" s="118" t="s">
        <v>111</v>
      </c>
      <c r="C4" s="82" t="s">
        <v>126</v>
      </c>
      <c r="D4" s="82" t="s">
        <v>104</v>
      </c>
      <c r="E4" s="82" t="s">
        <v>3</v>
      </c>
      <c r="F4" s="80" t="s">
        <v>6</v>
      </c>
      <c r="G4" s="82"/>
      <c r="H4" s="118" t="str">
        <f>B4</f>
        <v>Process</v>
      </c>
      <c r="I4" s="82" t="str">
        <f t="shared" ref="I4:K4" si="0">C4</f>
        <v>Item</v>
      </c>
      <c r="J4" s="82" t="str">
        <f t="shared" si="0"/>
        <v>Value</v>
      </c>
      <c r="K4" s="82" t="str">
        <f t="shared" si="0"/>
        <v>Unit</v>
      </c>
      <c r="L4" s="80" t="s">
        <v>6</v>
      </c>
    </row>
    <row r="5" spans="2:12" ht="15" customHeight="1" x14ac:dyDescent="0.25">
      <c r="B5" s="242" t="s">
        <v>114</v>
      </c>
      <c r="C5" s="82" t="s">
        <v>243</v>
      </c>
      <c r="D5" s="82">
        <f>160/800*'1_hub_LCIA'!C20</f>
        <v>76.600000000000009</v>
      </c>
      <c r="E5" s="82" t="s">
        <v>108</v>
      </c>
      <c r="F5" s="243" t="s">
        <v>976</v>
      </c>
      <c r="H5" s="242" t="str">
        <f>B5</f>
        <v>Computer usage</v>
      </c>
      <c r="I5" s="82" t="str">
        <f>C5</f>
        <v>operation, computer, laptop, 68% active work</v>
      </c>
      <c r="J5" s="85">
        <f>112/800*'1_hub_LCIA'!C20</f>
        <v>53.620000000000005</v>
      </c>
      <c r="K5" s="82" t="s">
        <v>108</v>
      </c>
      <c r="L5" s="243" t="s">
        <v>976</v>
      </c>
    </row>
    <row r="6" spans="2:12" x14ac:dyDescent="0.25">
      <c r="B6" s="242"/>
      <c r="C6" s="82" t="s">
        <v>244</v>
      </c>
      <c r="D6" s="82">
        <f>160/800*'1_hub_LCIA'!C20</f>
        <v>76.600000000000009</v>
      </c>
      <c r="E6" s="82" t="s">
        <v>108</v>
      </c>
      <c r="F6" s="243"/>
      <c r="H6" s="242"/>
      <c r="I6" s="82" t="str">
        <f>C6</f>
        <v>operation, computer, laptop, 23% active work</v>
      </c>
      <c r="J6" s="85">
        <f>112/800*'1_hub_LCIA'!C20</f>
        <v>53.620000000000005</v>
      </c>
      <c r="K6" s="82" t="s">
        <v>108</v>
      </c>
      <c r="L6" s="243"/>
    </row>
    <row r="7" spans="2:12" x14ac:dyDescent="0.25">
      <c r="B7" s="242"/>
      <c r="C7" s="82" t="s">
        <v>129</v>
      </c>
      <c r="D7" s="82">
        <f>160/800*'1_hub_LCIA'!C20</f>
        <v>76.600000000000009</v>
      </c>
      <c r="E7" s="82" t="s">
        <v>108</v>
      </c>
      <c r="F7" s="243"/>
      <c r="H7" s="242"/>
      <c r="I7" s="82" t="str">
        <f>C7</f>
        <v>operation, computer, laptop, standby/sleep mode</v>
      </c>
      <c r="J7" s="85">
        <f>112/800*'1_hub_LCIA'!C20</f>
        <v>53.620000000000005</v>
      </c>
      <c r="K7" s="82" t="s">
        <v>108</v>
      </c>
      <c r="L7" s="243"/>
    </row>
    <row r="8" spans="2:12" x14ac:dyDescent="0.25">
      <c r="B8" s="247" t="s">
        <v>116</v>
      </c>
      <c r="C8" s="83" t="s">
        <v>117</v>
      </c>
      <c r="D8" s="85">
        <f>5.63/800*'1_hub_LCIA'!C20</f>
        <v>2.6953624999999999</v>
      </c>
      <c r="E8" s="82" t="s">
        <v>106</v>
      </c>
      <c r="F8" s="243"/>
      <c r="H8" s="242" t="s">
        <v>115</v>
      </c>
      <c r="I8" s="82" t="str">
        <f>C8</f>
        <v>Graphic paper, 100% recycled</v>
      </c>
      <c r="J8" s="85">
        <f>1.05/800*'1_hub_LCIA'!C20</f>
        <v>0.50268750000000006</v>
      </c>
      <c r="K8" s="82" t="s">
        <v>106</v>
      </c>
      <c r="L8" s="243"/>
    </row>
    <row r="9" spans="2:12" x14ac:dyDescent="0.25">
      <c r="B9" s="247"/>
      <c r="C9" s="83" t="s">
        <v>118</v>
      </c>
      <c r="D9" s="85">
        <f>5.63/800*'1_hub_LCIA'!C20</f>
        <v>2.6953624999999999</v>
      </c>
      <c r="E9" s="82" t="s">
        <v>106</v>
      </c>
      <c r="F9" s="243"/>
      <c r="H9" s="242"/>
      <c r="I9" s="83" t="str">
        <f>C9</f>
        <v>Operation of printer, laser, black and white, per kg printed matter</v>
      </c>
      <c r="J9" s="85">
        <f>1.05/800*'1_hub_LCIA'!C20</f>
        <v>0.50268750000000006</v>
      </c>
      <c r="K9" s="82" t="s">
        <v>106</v>
      </c>
      <c r="L9" s="243"/>
    </row>
    <row r="10" spans="2:12" x14ac:dyDescent="0.25">
      <c r="B10" s="247" t="s">
        <v>119</v>
      </c>
      <c r="C10" s="82" t="s">
        <v>117</v>
      </c>
      <c r="D10" s="85">
        <f>2.4/800*'1_hub_LCIA'!C20</f>
        <v>1.149</v>
      </c>
      <c r="E10" s="82" t="s">
        <v>106</v>
      </c>
      <c r="F10" s="243"/>
      <c r="H10" s="119" t="s">
        <v>120</v>
      </c>
      <c r="I10" s="77" t="str">
        <f>C12</f>
        <v>Waste paper</v>
      </c>
      <c r="J10" s="97">
        <f>1.05/800*'1_hub_LCIA'!C20</f>
        <v>0.50268750000000006</v>
      </c>
      <c r="K10" s="77" t="s">
        <v>106</v>
      </c>
      <c r="L10" s="244"/>
    </row>
    <row r="11" spans="2:12" x14ac:dyDescent="0.25">
      <c r="B11" s="247"/>
      <c r="C11" s="83" t="s">
        <v>118</v>
      </c>
      <c r="D11" s="85">
        <f>2.4/800*'1_hub_LCIA'!C20</f>
        <v>1.149</v>
      </c>
      <c r="E11" s="82" t="s">
        <v>106</v>
      </c>
      <c r="F11" s="243"/>
    </row>
    <row r="12" spans="2:12" x14ac:dyDescent="0.25">
      <c r="B12" s="119" t="s">
        <v>120</v>
      </c>
      <c r="C12" s="77" t="s">
        <v>121</v>
      </c>
      <c r="D12" s="97">
        <f>8.03/800*'1_hub_LCIA'!C20</f>
        <v>3.8443624999999999</v>
      </c>
      <c r="E12" s="77" t="s">
        <v>106</v>
      </c>
      <c r="F12" s="244"/>
    </row>
    <row r="15" spans="2:12" x14ac:dyDescent="0.25">
      <c r="B15" s="239" t="s">
        <v>124</v>
      </c>
      <c r="C15" s="240"/>
      <c r="D15" s="240"/>
      <c r="E15" s="240"/>
      <c r="F15" s="241"/>
      <c r="G15" s="82"/>
    </row>
    <row r="16" spans="2:12" x14ac:dyDescent="0.25">
      <c r="B16" s="90" t="s">
        <v>111</v>
      </c>
      <c r="C16" s="82" t="s">
        <v>126</v>
      </c>
      <c r="D16" s="82" t="s">
        <v>104</v>
      </c>
      <c r="E16" s="82" t="s">
        <v>3</v>
      </c>
      <c r="F16" s="80" t="s">
        <v>127</v>
      </c>
      <c r="G16" s="82"/>
    </row>
    <row r="17" spans="2:7" ht="30" x14ac:dyDescent="0.25">
      <c r="B17" s="90" t="s">
        <v>125</v>
      </c>
      <c r="C17" s="83" t="s">
        <v>128</v>
      </c>
      <c r="D17" s="121">
        <f>81/30%*1</f>
        <v>270</v>
      </c>
      <c r="E17" s="82" t="s">
        <v>108</v>
      </c>
      <c r="F17" s="11" t="s">
        <v>131</v>
      </c>
      <c r="G17" s="83"/>
    </row>
    <row r="18" spans="2:7" x14ac:dyDescent="0.25">
      <c r="B18" s="248" t="s">
        <v>112</v>
      </c>
      <c r="C18" s="82" t="s">
        <v>85</v>
      </c>
      <c r="D18" s="121">
        <f>40*0.557*80/1000</f>
        <v>1.7824</v>
      </c>
      <c r="E18" s="82" t="s">
        <v>106</v>
      </c>
      <c r="F18" s="249" t="s">
        <v>537</v>
      </c>
      <c r="G18" s="122"/>
    </row>
    <row r="19" spans="2:7" x14ac:dyDescent="0.25">
      <c r="B19" s="248"/>
      <c r="C19" s="82" t="s">
        <v>130</v>
      </c>
      <c r="D19" s="121">
        <f>D18</f>
        <v>1.7824</v>
      </c>
      <c r="E19" s="82" t="s">
        <v>106</v>
      </c>
      <c r="F19" s="249"/>
      <c r="G19" s="122"/>
    </row>
    <row r="20" spans="2:7" ht="30" x14ac:dyDescent="0.25">
      <c r="B20" s="92" t="s">
        <v>113</v>
      </c>
      <c r="C20" s="77" t="str">
        <f>C17</f>
        <v xml:space="preserve">	operation, computer, laptop, active mode</v>
      </c>
      <c r="D20" s="123">
        <f>5*41</f>
        <v>205</v>
      </c>
      <c r="E20" s="77" t="s">
        <v>108</v>
      </c>
      <c r="F20" s="124" t="s">
        <v>536</v>
      </c>
      <c r="G20" s="83"/>
    </row>
    <row r="23" spans="2:7" x14ac:dyDescent="0.25">
      <c r="B23" s="239" t="s">
        <v>132</v>
      </c>
      <c r="C23" s="240"/>
      <c r="D23" s="240"/>
      <c r="E23" s="240"/>
      <c r="F23" s="241"/>
      <c r="G23" s="82"/>
    </row>
    <row r="24" spans="2:7" x14ac:dyDescent="0.25">
      <c r="B24" s="90" t="str">
        <f>B16</f>
        <v>Process</v>
      </c>
      <c r="C24" s="82" t="str">
        <f t="shared" ref="C24:E24" si="1">C16</f>
        <v>Item</v>
      </c>
      <c r="D24" s="82" t="str">
        <f t="shared" si="1"/>
        <v>Value</v>
      </c>
      <c r="E24" s="82" t="str">
        <f t="shared" si="1"/>
        <v>Unit</v>
      </c>
      <c r="F24" s="80" t="s">
        <v>6</v>
      </c>
      <c r="G24" s="82"/>
    </row>
    <row r="25" spans="2:7" x14ac:dyDescent="0.25">
      <c r="B25" s="90" t="s">
        <v>110</v>
      </c>
      <c r="C25" s="82" t="str">
        <f>C17</f>
        <v xml:space="preserve">	operation, computer, laptop, active mode</v>
      </c>
      <c r="D25" s="85">
        <f>832/308*'1_hub_LCIA'!C20</f>
        <v>1034.5974025974026</v>
      </c>
      <c r="E25" s="82" t="s">
        <v>108</v>
      </c>
      <c r="F25" s="80" t="s">
        <v>977</v>
      </c>
      <c r="G25" s="82"/>
    </row>
    <row r="26" spans="2:7" x14ac:dyDescent="0.25">
      <c r="B26" s="90" t="s">
        <v>109</v>
      </c>
      <c r="C26" s="82" t="str">
        <f>C17</f>
        <v xml:space="preserve">	operation, computer, laptop, active mode</v>
      </c>
      <c r="D26" s="85">
        <f>500/308*'1_hub_LCIA'!C20</f>
        <v>621.7532467532468</v>
      </c>
      <c r="E26" s="82" t="s">
        <v>108</v>
      </c>
      <c r="F26" s="80" t="s">
        <v>977</v>
      </c>
      <c r="G26" s="82"/>
    </row>
    <row r="27" spans="2:7" x14ac:dyDescent="0.25">
      <c r="B27" s="242" t="s">
        <v>133</v>
      </c>
      <c r="C27" s="82" t="s">
        <v>134</v>
      </c>
      <c r="D27" s="85">
        <f>309.11/800*'1_hub_LCIA'!C20</f>
        <v>147.9864125</v>
      </c>
      <c r="E27" s="82" t="s">
        <v>106</v>
      </c>
      <c r="F27" s="80" t="s">
        <v>976</v>
      </c>
      <c r="G27" s="82"/>
    </row>
    <row r="28" spans="2:7" x14ac:dyDescent="0.25">
      <c r="B28" s="242"/>
      <c r="C28" s="82" t="str">
        <f>C19</f>
        <v>operation, printer, laser, colour, per kg printed paper</v>
      </c>
      <c r="D28" s="85">
        <f>309.11/800*'1_hub_LCIA'!C20</f>
        <v>147.9864125</v>
      </c>
      <c r="E28" s="82" t="s">
        <v>106</v>
      </c>
      <c r="F28" s="80" t="s">
        <v>976</v>
      </c>
      <c r="G28" s="82"/>
    </row>
    <row r="29" spans="2:7" x14ac:dyDescent="0.25">
      <c r="B29" s="242" t="s">
        <v>135</v>
      </c>
      <c r="C29" s="82" t="str">
        <f>C27</f>
        <v>Paper, wood containing, supercalendered</v>
      </c>
      <c r="D29" s="85">
        <f>2725.83/800*'1_hub_LCIA'!C20</f>
        <v>1304.9911124999999</v>
      </c>
      <c r="E29" s="82" t="s">
        <v>106</v>
      </c>
      <c r="F29" s="80" t="s">
        <v>976</v>
      </c>
      <c r="G29" s="82"/>
    </row>
    <row r="30" spans="2:7" x14ac:dyDescent="0.25">
      <c r="B30" s="242"/>
      <c r="C30" s="82" t="str">
        <f>C28</f>
        <v>operation, printer, laser, colour, per kg printed paper</v>
      </c>
      <c r="D30" s="85">
        <f>2725.83/800*'1_hub_LCIA'!C20</f>
        <v>1304.9911124999999</v>
      </c>
      <c r="E30" s="82" t="s">
        <v>106</v>
      </c>
      <c r="F30" s="80" t="s">
        <v>976</v>
      </c>
      <c r="G30" s="82"/>
    </row>
    <row r="31" spans="2:7" x14ac:dyDescent="0.25">
      <c r="B31" s="242" t="s">
        <v>136</v>
      </c>
      <c r="C31" s="82" t="s">
        <v>137</v>
      </c>
      <c r="D31" s="85">
        <f>63.75/800*'1_hub_LCIA'!C20</f>
        <v>30.520312499999999</v>
      </c>
      <c r="E31" s="82" t="s">
        <v>106</v>
      </c>
      <c r="F31" s="80" t="s">
        <v>976</v>
      </c>
      <c r="G31" s="82"/>
    </row>
    <row r="32" spans="2:7" x14ac:dyDescent="0.25">
      <c r="B32" s="242"/>
      <c r="C32" s="82" t="s">
        <v>138</v>
      </c>
      <c r="D32" s="85">
        <f>471.94/800*'1_hub_LCIA'!C20</f>
        <v>225.94127500000002</v>
      </c>
      <c r="E32" s="82" t="s">
        <v>140</v>
      </c>
      <c r="F32" s="80" t="s">
        <v>976</v>
      </c>
      <c r="G32" s="82"/>
    </row>
    <row r="33" spans="2:7" x14ac:dyDescent="0.25">
      <c r="B33" s="250"/>
      <c r="C33" s="77" t="s">
        <v>139</v>
      </c>
      <c r="D33" s="97">
        <f>19.13/800*'1_hub_LCIA'!C20</f>
        <v>9.1584874999999997</v>
      </c>
      <c r="E33" s="77" t="s">
        <v>140</v>
      </c>
      <c r="F33" s="81" t="s">
        <v>976</v>
      </c>
      <c r="G33" s="82"/>
    </row>
    <row r="36" spans="2:7" x14ac:dyDescent="0.25">
      <c r="B36" s="239" t="s">
        <v>141</v>
      </c>
      <c r="C36" s="240"/>
      <c r="D36" s="240"/>
      <c r="E36" s="240"/>
      <c r="F36" s="241"/>
      <c r="G36" s="82"/>
    </row>
    <row r="37" spans="2:7" x14ac:dyDescent="0.25">
      <c r="B37" s="108" t="str">
        <f>B24</f>
        <v>Process</v>
      </c>
      <c r="C37" s="109" t="str">
        <f t="shared" ref="C37:F37" si="2">C24</f>
        <v>Item</v>
      </c>
      <c r="D37" s="109" t="str">
        <f t="shared" si="2"/>
        <v>Value</v>
      </c>
      <c r="E37" s="109" t="str">
        <f t="shared" si="2"/>
        <v>Unit</v>
      </c>
      <c r="F37" s="110" t="str">
        <f t="shared" si="2"/>
        <v>Source</v>
      </c>
      <c r="G37" s="82"/>
    </row>
    <row r="38" spans="2:7" x14ac:dyDescent="0.25">
      <c r="B38" s="90" t="s">
        <v>143</v>
      </c>
      <c r="C38" s="82" t="s">
        <v>142</v>
      </c>
      <c r="D38" s="82">
        <v>28.44</v>
      </c>
      <c r="E38" s="82" t="s">
        <v>105</v>
      </c>
      <c r="F38" s="245" t="s">
        <v>978</v>
      </c>
      <c r="G38" s="117"/>
    </row>
    <row r="39" spans="2:7" x14ac:dyDescent="0.25">
      <c r="B39" s="90" t="s">
        <v>144</v>
      </c>
      <c r="C39" s="82" t="s">
        <v>142</v>
      </c>
      <c r="D39" s="82">
        <v>5.12</v>
      </c>
      <c r="E39" s="82" t="s">
        <v>105</v>
      </c>
      <c r="F39" s="245"/>
      <c r="G39" s="117"/>
    </row>
    <row r="40" spans="2:7" x14ac:dyDescent="0.25">
      <c r="B40" s="90" t="s">
        <v>145</v>
      </c>
      <c r="C40" s="82" t="s">
        <v>142</v>
      </c>
      <c r="D40" s="82">
        <v>101.12</v>
      </c>
      <c r="E40" s="82" t="s">
        <v>105</v>
      </c>
      <c r="F40" s="245"/>
      <c r="G40" s="117"/>
    </row>
    <row r="41" spans="2:7" x14ac:dyDescent="0.25">
      <c r="B41" s="91" t="s">
        <v>257</v>
      </c>
      <c r="C41" s="107" t="s">
        <v>184</v>
      </c>
      <c r="D41" s="107">
        <v>86.76</v>
      </c>
      <c r="E41" s="107" t="s">
        <v>260</v>
      </c>
      <c r="F41" s="245"/>
      <c r="G41" s="117"/>
    </row>
    <row r="42" spans="2:7" x14ac:dyDescent="0.25">
      <c r="B42" s="91" t="s">
        <v>258</v>
      </c>
      <c r="C42" s="107" t="s">
        <v>184</v>
      </c>
      <c r="D42" s="107">
        <v>1.78</v>
      </c>
      <c r="E42" s="107" t="s">
        <v>260</v>
      </c>
      <c r="F42" s="245"/>
      <c r="G42" s="117"/>
    </row>
    <row r="43" spans="2:7" x14ac:dyDescent="0.25">
      <c r="B43" s="91" t="s">
        <v>259</v>
      </c>
      <c r="C43" s="107" t="s">
        <v>184</v>
      </c>
      <c r="D43" s="107">
        <v>341.21</v>
      </c>
      <c r="E43" s="107" t="s">
        <v>260</v>
      </c>
      <c r="F43" s="245"/>
      <c r="G43" s="117"/>
    </row>
    <row r="44" spans="2:7" x14ac:dyDescent="0.25">
      <c r="B44" s="91" t="s">
        <v>261</v>
      </c>
      <c r="C44" s="107" t="s">
        <v>235</v>
      </c>
      <c r="D44" s="107">
        <v>1.22</v>
      </c>
      <c r="E44" s="107" t="s">
        <v>106</v>
      </c>
      <c r="F44" s="245"/>
      <c r="G44" s="117"/>
    </row>
    <row r="45" spans="2:7" x14ac:dyDescent="0.25">
      <c r="B45" s="91" t="s">
        <v>262</v>
      </c>
      <c r="C45" s="107" t="s">
        <v>235</v>
      </c>
      <c r="D45" s="107">
        <v>0.22</v>
      </c>
      <c r="E45" s="107" t="s">
        <v>106</v>
      </c>
      <c r="F45" s="245"/>
      <c r="G45" s="117"/>
    </row>
    <row r="46" spans="2:7" x14ac:dyDescent="0.25">
      <c r="B46" s="112" t="s">
        <v>263</v>
      </c>
      <c r="C46" s="125" t="s">
        <v>235</v>
      </c>
      <c r="D46" s="125">
        <v>4.41</v>
      </c>
      <c r="E46" s="125" t="s">
        <v>106</v>
      </c>
      <c r="F46" s="246"/>
      <c r="G46" s="117"/>
    </row>
  </sheetData>
  <mergeCells count="18">
    <mergeCell ref="F38:F46"/>
    <mergeCell ref="B8:B9"/>
    <mergeCell ref="B10:B11"/>
    <mergeCell ref="B18:B19"/>
    <mergeCell ref="F18:F19"/>
    <mergeCell ref="B15:F15"/>
    <mergeCell ref="B27:B28"/>
    <mergeCell ref="B29:B30"/>
    <mergeCell ref="B31:B33"/>
    <mergeCell ref="B23:F23"/>
    <mergeCell ref="B36:F36"/>
    <mergeCell ref="H8:H9"/>
    <mergeCell ref="H5:H7"/>
    <mergeCell ref="B3:F3"/>
    <mergeCell ref="F5:F12"/>
    <mergeCell ref="H3:L3"/>
    <mergeCell ref="L5:L10"/>
    <mergeCell ref="B5:B7"/>
  </mergeCells>
  <hyperlinks>
    <hyperlink ref="F38" r:id="rId1" display="https://greenview.sg/wp-content/uploads/2017/08/green-venue-report-2017.pdf" xr:uid="{510FC6E2-B487-4632-8EA3-5C8B9107083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4C54C-2CA8-42D6-A72C-CF328FA609AB}">
  <sheetPr codeName="Sheet11"/>
  <dimension ref="C2:BU538"/>
  <sheetViews>
    <sheetView zoomScale="60" zoomScaleNormal="60" workbookViewId="0">
      <selection activeCell="J3" sqref="J3"/>
    </sheetView>
  </sheetViews>
  <sheetFormatPr defaultRowHeight="15" x14ac:dyDescent="0.25"/>
  <cols>
    <col min="1" max="2" width="9.140625" style="57"/>
    <col min="3" max="3" width="9.140625" style="57" customWidth="1"/>
    <col min="4" max="4" width="10.85546875" style="57" bestFit="1" customWidth="1"/>
    <col min="5" max="5" width="12.7109375" style="55" bestFit="1" customWidth="1"/>
    <col min="6" max="6" width="13.7109375" style="55" bestFit="1" customWidth="1"/>
    <col min="7" max="7" width="13.7109375" style="57" customWidth="1"/>
    <col min="8" max="8" width="14.7109375" style="57" bestFit="1" customWidth="1"/>
    <col min="9" max="9" width="61.7109375" style="57" bestFit="1" customWidth="1"/>
    <col min="10" max="11" width="9.140625" style="57"/>
    <col min="12" max="72" width="10.7109375" style="57" customWidth="1"/>
    <col min="73" max="16384" width="9.140625" style="57"/>
  </cols>
  <sheetData>
    <row r="2" spans="3:73" x14ac:dyDescent="0.25">
      <c r="C2" s="133" t="s">
        <v>359</v>
      </c>
      <c r="D2" s="134" t="s">
        <v>408</v>
      </c>
      <c r="E2" s="151" t="s">
        <v>288</v>
      </c>
      <c r="F2" s="152" t="s">
        <v>289</v>
      </c>
      <c r="G2" s="136"/>
      <c r="H2" s="76"/>
      <c r="I2" s="76" t="s">
        <v>984</v>
      </c>
      <c r="J2" s="76">
        <f>MAX(C3:C385)</f>
        <v>383</v>
      </c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</row>
    <row r="3" spans="3:73" x14ac:dyDescent="0.25">
      <c r="C3" s="135">
        <v>1</v>
      </c>
      <c r="D3" s="136" t="s">
        <v>464</v>
      </c>
      <c r="E3" s="153">
        <v>51.219447500000001</v>
      </c>
      <c r="F3" s="154">
        <v>4.4024643000000001</v>
      </c>
      <c r="G3" s="136"/>
      <c r="H3" s="76"/>
      <c r="I3" s="76" t="s">
        <v>985</v>
      </c>
      <c r="J3" s="76">
        <v>536</v>
      </c>
      <c r="K3" s="7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 t="s">
        <v>358</v>
      </c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37"/>
      <c r="AX3" s="137"/>
      <c r="AY3" s="137"/>
      <c r="AZ3" s="137"/>
      <c r="BA3" s="137"/>
      <c r="BB3" s="137"/>
      <c r="BC3" s="137"/>
      <c r="BD3" s="137"/>
      <c r="BE3" s="137"/>
      <c r="BF3" s="137"/>
      <c r="BG3" s="137"/>
      <c r="BH3" s="137"/>
      <c r="BI3" s="137"/>
      <c r="BJ3" s="137"/>
      <c r="BK3" s="137"/>
      <c r="BL3" s="137"/>
      <c r="BM3" s="137"/>
      <c r="BN3" s="137"/>
      <c r="BO3" s="137"/>
      <c r="BP3" s="137"/>
      <c r="BQ3" s="137"/>
      <c r="BR3" s="137"/>
      <c r="BS3" s="137"/>
      <c r="BT3" s="137"/>
    </row>
    <row r="4" spans="3:73" x14ac:dyDescent="0.25">
      <c r="C4" s="135">
        <v>2</v>
      </c>
      <c r="D4" s="136" t="s">
        <v>464</v>
      </c>
      <c r="E4" s="153">
        <v>50.850346299999998</v>
      </c>
      <c r="F4" s="154">
        <v>4.3517210999999998</v>
      </c>
      <c r="G4" s="136"/>
      <c r="H4" s="76"/>
      <c r="I4" s="76" t="s">
        <v>986</v>
      </c>
      <c r="J4" s="76">
        <v>583</v>
      </c>
      <c r="K4" s="76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 t="s">
        <v>358</v>
      </c>
      <c r="AC4" s="137"/>
      <c r="AD4" s="137"/>
      <c r="AE4" s="137"/>
      <c r="AF4" s="137"/>
      <c r="AG4" s="137"/>
      <c r="AH4" s="137"/>
      <c r="AI4" s="137"/>
      <c r="AJ4" s="137"/>
      <c r="AK4" s="137"/>
      <c r="AL4" s="137"/>
      <c r="AM4" s="137"/>
      <c r="AN4" s="137"/>
      <c r="AO4" s="137"/>
      <c r="AP4" s="137"/>
      <c r="AQ4" s="137"/>
      <c r="AR4" s="137"/>
      <c r="AS4" s="137"/>
      <c r="AT4" s="137"/>
      <c r="AU4" s="137"/>
      <c r="AV4" s="137"/>
      <c r="AW4" s="137"/>
      <c r="AX4" s="137"/>
      <c r="AY4" s="137"/>
      <c r="AZ4" s="137"/>
      <c r="BA4" s="137"/>
      <c r="BB4" s="137"/>
      <c r="BC4" s="137"/>
      <c r="BD4" s="137"/>
      <c r="BE4" s="137"/>
      <c r="BF4" s="137"/>
      <c r="BG4" s="137"/>
      <c r="BH4" s="137"/>
      <c r="BI4" s="137"/>
      <c r="BJ4" s="137"/>
      <c r="BK4" s="137"/>
      <c r="BL4" s="137"/>
      <c r="BM4" s="137"/>
      <c r="BN4" s="137"/>
      <c r="BO4" s="137"/>
      <c r="BP4" s="137"/>
      <c r="BQ4" s="137"/>
      <c r="BR4" s="137"/>
      <c r="BS4" s="137"/>
      <c r="BT4" s="137"/>
    </row>
    <row r="5" spans="3:73" x14ac:dyDescent="0.25">
      <c r="C5" s="135">
        <v>3</v>
      </c>
      <c r="D5" s="136" t="s">
        <v>465</v>
      </c>
      <c r="E5" s="153">
        <v>-23.586715399999999</v>
      </c>
      <c r="F5" s="154">
        <v>-46.681920099999999</v>
      </c>
      <c r="G5" s="136"/>
      <c r="H5" s="76"/>
      <c r="I5" s="76" t="s">
        <v>987</v>
      </c>
      <c r="J5" s="76">
        <v>126</v>
      </c>
      <c r="K5" s="76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 t="s">
        <v>358</v>
      </c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7"/>
      <c r="BF5" s="137"/>
      <c r="BG5" s="137"/>
      <c r="BH5" s="137"/>
      <c r="BI5" s="137"/>
      <c r="BJ5" s="137"/>
      <c r="BK5" s="137"/>
      <c r="BL5" s="137"/>
      <c r="BM5" s="137"/>
      <c r="BN5" s="137"/>
      <c r="BO5" s="137"/>
      <c r="BP5" s="137"/>
      <c r="BQ5" s="137"/>
      <c r="BR5" s="137"/>
      <c r="BS5" s="137"/>
      <c r="BT5" s="137"/>
    </row>
    <row r="6" spans="3:73" x14ac:dyDescent="0.25">
      <c r="C6" s="135">
        <v>4</v>
      </c>
      <c r="D6" s="136" t="s">
        <v>465</v>
      </c>
      <c r="E6" s="153">
        <v>-23.563487200000001</v>
      </c>
      <c r="F6" s="154">
        <v>-46.721009500000001</v>
      </c>
      <c r="G6" s="136"/>
      <c r="H6" s="76"/>
      <c r="I6" s="76" t="s">
        <v>988</v>
      </c>
      <c r="J6" s="76">
        <v>410</v>
      </c>
      <c r="K6" s="76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 t="s">
        <v>358</v>
      </c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</row>
    <row r="7" spans="3:73" x14ac:dyDescent="0.25">
      <c r="C7" s="135">
        <v>5</v>
      </c>
      <c r="D7" s="136" t="s">
        <v>465</v>
      </c>
      <c r="E7" s="153">
        <v>-22.912495799999999</v>
      </c>
      <c r="F7" s="154">
        <v>-43.224753800000002</v>
      </c>
      <c r="G7" s="136"/>
      <c r="H7" s="76"/>
      <c r="I7" s="76"/>
      <c r="J7" s="76"/>
      <c r="K7" s="76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 t="s">
        <v>358</v>
      </c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137"/>
      <c r="BH7" s="137"/>
      <c r="BI7" s="137"/>
      <c r="BJ7" s="137"/>
      <c r="BK7" s="137"/>
      <c r="BL7" s="137"/>
      <c r="BM7" s="137"/>
      <c r="BN7" s="137"/>
      <c r="BO7" s="137"/>
      <c r="BP7" s="137"/>
      <c r="BQ7" s="137"/>
      <c r="BR7" s="137"/>
      <c r="BS7" s="137"/>
      <c r="BT7" s="137"/>
    </row>
    <row r="8" spans="3:73" x14ac:dyDescent="0.25">
      <c r="C8" s="135">
        <v>6</v>
      </c>
      <c r="D8" s="136" t="s">
        <v>465</v>
      </c>
      <c r="E8" s="153">
        <v>-23.550519900000001</v>
      </c>
      <c r="F8" s="154">
        <v>-46.633309400000002</v>
      </c>
      <c r="G8" s="136"/>
      <c r="H8" s="76"/>
      <c r="I8" s="76"/>
      <c r="J8" s="76"/>
      <c r="K8" s="76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 t="s">
        <v>358</v>
      </c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37"/>
      <c r="BE8" s="137"/>
      <c r="BF8" s="137"/>
      <c r="BG8" s="137"/>
      <c r="BH8" s="137"/>
      <c r="BI8" s="137"/>
      <c r="BJ8" s="137"/>
      <c r="BK8" s="137"/>
      <c r="BL8" s="137"/>
      <c r="BM8" s="137"/>
      <c r="BN8" s="137"/>
      <c r="BO8" s="137"/>
      <c r="BP8" s="137"/>
      <c r="BQ8" s="137"/>
      <c r="BR8" s="137"/>
      <c r="BS8" s="137"/>
      <c r="BT8" s="137"/>
    </row>
    <row r="9" spans="3:73" x14ac:dyDescent="0.25">
      <c r="C9" s="135">
        <v>7</v>
      </c>
      <c r="D9" s="136" t="s">
        <v>462</v>
      </c>
      <c r="E9" s="153">
        <v>53.523218900000003</v>
      </c>
      <c r="F9" s="154">
        <v>-113.5263186</v>
      </c>
      <c r="G9" s="136"/>
      <c r="H9" s="76"/>
      <c r="I9" s="76"/>
      <c r="J9" s="76"/>
      <c r="K9" s="76"/>
      <c r="L9" s="137"/>
      <c r="M9" s="137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37"/>
      <c r="Y9" s="137"/>
      <c r="Z9" s="137"/>
      <c r="AA9" s="137"/>
      <c r="AB9" s="137" t="s">
        <v>358</v>
      </c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7"/>
      <c r="BE9" s="137"/>
      <c r="BF9" s="137"/>
      <c r="BG9" s="137"/>
      <c r="BH9" s="137"/>
      <c r="BI9" s="137"/>
      <c r="BJ9" s="137"/>
      <c r="BK9" s="137"/>
      <c r="BL9" s="137"/>
      <c r="BM9" s="137"/>
      <c r="BN9" s="137"/>
      <c r="BO9" s="137"/>
      <c r="BP9" s="137"/>
      <c r="BQ9" s="137"/>
      <c r="BR9" s="137"/>
      <c r="BS9" s="137"/>
      <c r="BT9" s="137"/>
    </row>
    <row r="10" spans="3:73" x14ac:dyDescent="0.25">
      <c r="C10" s="135">
        <v>8</v>
      </c>
      <c r="D10" s="136" t="s">
        <v>462</v>
      </c>
      <c r="E10" s="153">
        <v>53.523218900000003</v>
      </c>
      <c r="F10" s="154">
        <v>-113.5263186</v>
      </c>
      <c r="G10" s="136"/>
      <c r="H10" s="76"/>
      <c r="I10" s="76"/>
      <c r="J10" s="76"/>
      <c r="K10" s="76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 t="s">
        <v>358</v>
      </c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  <c r="BS10" s="137"/>
      <c r="BT10" s="137"/>
    </row>
    <row r="11" spans="3:73" x14ac:dyDescent="0.25">
      <c r="C11" s="135">
        <v>9</v>
      </c>
      <c r="D11" s="136" t="s">
        <v>462</v>
      </c>
      <c r="E11" s="153">
        <v>51.075545499999997</v>
      </c>
      <c r="F11" s="154">
        <v>-114.1297544</v>
      </c>
      <c r="G11" s="136"/>
      <c r="H11" s="76"/>
      <c r="I11" s="76"/>
      <c r="J11" s="76"/>
      <c r="K11" s="76"/>
      <c r="L11" s="137" t="str">
        <f>'1_hub_LCIA'!D2</f>
        <v>Process</v>
      </c>
      <c r="M11" s="137" t="str">
        <f>'1_hub_LCIA'!E2</f>
        <v>Value</v>
      </c>
      <c r="N11" s="137" t="str">
        <f>'1_hub_LCIA'!F2</f>
        <v>Unit</v>
      </c>
      <c r="O11" s="137" t="str">
        <f>'1_hub_LCIA'!G2</f>
        <v>Source</v>
      </c>
      <c r="P11" s="137" t="str">
        <f>'1_hub_LCIA'!H2</f>
        <v>GWP</v>
      </c>
      <c r="Q11" s="137" t="str">
        <f>'1_hub_LCIA'!I2</f>
        <v>biomass</v>
      </c>
      <c r="R11" s="137" t="str">
        <f>'1_hub_LCIA'!J2</f>
        <v>fossil</v>
      </c>
      <c r="S11" s="137" t="str">
        <f>'1_hub_LCIA'!K2</f>
        <v>geothermal</v>
      </c>
      <c r="T11" s="137" t="str">
        <f>'1_hub_LCIA'!L2</f>
        <v>nuclear</v>
      </c>
      <c r="U11" s="137" t="str">
        <f>'1_hub_LCIA'!M2</f>
        <v>primary forest</v>
      </c>
      <c r="V11" s="137" t="str">
        <f>'1_hub_LCIA'!N2</f>
        <v>solar</v>
      </c>
      <c r="W11" s="137" t="str">
        <f>'1_hub_LCIA'!O2</f>
        <v>water</v>
      </c>
      <c r="X11" s="137" t="str">
        <f>'1_hub_LCIA'!P2</f>
        <v>wind</v>
      </c>
      <c r="Y11" s="137" t="str">
        <f>'1_hub_LCIA'!Q2</f>
        <v>CED</v>
      </c>
      <c r="Z11" s="137" t="str">
        <f>'1_hub_LCIA'!R2</f>
        <v>ALOP</v>
      </c>
      <c r="AA11" s="137" t="str">
        <f>'1_hub_LCIA'!S2</f>
        <v>GWP100</v>
      </c>
      <c r="AB11" s="137" t="str">
        <f>'1_hub_LCIA'!T2</f>
        <v>FDP</v>
      </c>
      <c r="AC11" s="137" t="str">
        <f>'1_hub_LCIA'!U2</f>
        <v>FETPinf</v>
      </c>
      <c r="AD11" s="137" t="str">
        <f>'1_hub_LCIA'!V2</f>
        <v>FEP</v>
      </c>
      <c r="AE11" s="137" t="str">
        <f>'1_hub_LCIA'!W2</f>
        <v>HTPinf</v>
      </c>
      <c r="AF11" s="137" t="str">
        <f>'1_hub_LCIA'!X2</f>
        <v>IRP_HE</v>
      </c>
      <c r="AG11" s="137" t="str">
        <f>'1_hub_LCIA'!Y2</f>
        <v>METPinf</v>
      </c>
      <c r="AH11" s="137" t="str">
        <f>'1_hub_LCIA'!Z2</f>
        <v>MEP</v>
      </c>
      <c r="AI11" s="137" t="str">
        <f>'1_hub_LCIA'!AA2</f>
        <v>MDP</v>
      </c>
      <c r="AJ11" s="137" t="str">
        <f>'1_hub_LCIA'!AB2</f>
        <v>NLTP</v>
      </c>
      <c r="AK11" s="137" t="str">
        <f>'1_hub_LCIA'!AC2</f>
        <v>ODPinf</v>
      </c>
      <c r="AL11" s="137" t="str">
        <f>'1_hub_LCIA'!AD2</f>
        <v>PMFP</v>
      </c>
      <c r="AM11" s="137" t="str">
        <f>'1_hub_LCIA'!AE2</f>
        <v>POFP</v>
      </c>
      <c r="AN11" s="137" t="str">
        <f>'1_hub_LCIA'!AF2</f>
        <v>TAP100</v>
      </c>
      <c r="AO11" s="137" t="str">
        <f>'1_hub_LCIA'!AG2</f>
        <v>TETPinf</v>
      </c>
      <c r="AP11" s="137" t="str">
        <f>'1_hub_LCIA'!AH2</f>
        <v>ULOP</v>
      </c>
      <c r="AQ11" s="137" t="str">
        <f>'1_hub_LCIA'!AI2</f>
        <v>WDP</v>
      </c>
      <c r="AR11" s="137"/>
      <c r="AS11" s="137" t="str">
        <f>P11</f>
        <v>GWP</v>
      </c>
      <c r="AT11" s="137" t="str">
        <f t="shared" ref="AT11:BM11" si="0">Q11</f>
        <v>biomass</v>
      </c>
      <c r="AU11" s="137" t="str">
        <f t="shared" si="0"/>
        <v>fossil</v>
      </c>
      <c r="AV11" s="137" t="str">
        <f t="shared" si="0"/>
        <v>geothermal</v>
      </c>
      <c r="AW11" s="137" t="str">
        <f t="shared" si="0"/>
        <v>nuclear</v>
      </c>
      <c r="AX11" s="137" t="str">
        <f t="shared" si="0"/>
        <v>primary forest</v>
      </c>
      <c r="AY11" s="137" t="str">
        <f t="shared" si="0"/>
        <v>solar</v>
      </c>
      <c r="AZ11" s="137" t="str">
        <f t="shared" si="0"/>
        <v>water</v>
      </c>
      <c r="BA11" s="137" t="str">
        <f t="shared" si="0"/>
        <v>wind</v>
      </c>
      <c r="BB11" s="137" t="str">
        <f t="shared" si="0"/>
        <v>CED</v>
      </c>
      <c r="BC11" s="137" t="str">
        <f t="shared" si="0"/>
        <v>ALOP</v>
      </c>
      <c r="BD11" s="137" t="str">
        <f t="shared" si="0"/>
        <v>GWP100</v>
      </c>
      <c r="BE11" s="137" t="str">
        <f t="shared" si="0"/>
        <v>FDP</v>
      </c>
      <c r="BF11" s="137" t="str">
        <f t="shared" si="0"/>
        <v>FETPinf</v>
      </c>
      <c r="BG11" s="137" t="str">
        <f t="shared" si="0"/>
        <v>FEP</v>
      </c>
      <c r="BH11" s="137" t="str">
        <f t="shared" si="0"/>
        <v>HTPinf</v>
      </c>
      <c r="BI11" s="137" t="str">
        <f t="shared" si="0"/>
        <v>IRP_HE</v>
      </c>
      <c r="BJ11" s="137" t="str">
        <f t="shared" si="0"/>
        <v>METPinf</v>
      </c>
      <c r="BK11" s="137" t="str">
        <f t="shared" si="0"/>
        <v>MEP</v>
      </c>
      <c r="BL11" s="137" t="str">
        <f t="shared" si="0"/>
        <v>MDP</v>
      </c>
      <c r="BM11" s="137" t="str">
        <f t="shared" si="0"/>
        <v>NLTP</v>
      </c>
      <c r="BN11" s="137" t="str">
        <f>AK11</f>
        <v>ODPinf</v>
      </c>
      <c r="BO11" s="137" t="str">
        <f t="shared" ref="BO11" si="1">AL11</f>
        <v>PMFP</v>
      </c>
      <c r="BP11" s="137" t="str">
        <f t="shared" ref="BP11" si="2">AM11</f>
        <v>POFP</v>
      </c>
      <c r="BQ11" s="137" t="str">
        <f t="shared" ref="BQ11" si="3">AN11</f>
        <v>TAP100</v>
      </c>
      <c r="BR11" s="137" t="str">
        <f>AO11</f>
        <v>TETPinf</v>
      </c>
      <c r="BS11" s="137" t="str">
        <f t="shared" ref="BS11" si="4">AP11</f>
        <v>ULOP</v>
      </c>
      <c r="BT11" s="137" t="str">
        <f t="shared" ref="BT11" si="5">AQ11</f>
        <v>WDP</v>
      </c>
      <c r="BU11" s="55"/>
    </row>
    <row r="12" spans="3:73" x14ac:dyDescent="0.25">
      <c r="C12" s="135">
        <v>10</v>
      </c>
      <c r="D12" s="136" t="s">
        <v>462</v>
      </c>
      <c r="E12" s="153">
        <v>51.075545499999997</v>
      </c>
      <c r="F12" s="154">
        <v>-114.1297544</v>
      </c>
      <c r="G12" s="136"/>
      <c r="H12" s="133" t="s">
        <v>146</v>
      </c>
      <c r="I12" s="134" t="s">
        <v>471</v>
      </c>
      <c r="J12" s="145">
        <f>13+2+12+5+7</f>
        <v>39</v>
      </c>
      <c r="K12" s="76"/>
      <c r="L12" s="137" t="str">
        <f>'[1]NY elec. mix'!$E$36</f>
        <v>market for electricity, low voltage, US-SERC</v>
      </c>
      <c r="M12" s="137">
        <f>J12/$J$44</f>
        <v>0.10182767624020887</v>
      </c>
      <c r="N12" s="137" t="s">
        <v>105</v>
      </c>
      <c r="O12" s="137" t="s">
        <v>183</v>
      </c>
      <c r="P12" s="137">
        <v>0.6169</v>
      </c>
      <c r="Q12" s="137">
        <v>0.40769</v>
      </c>
      <c r="R12" s="137">
        <v>7.625</v>
      </c>
      <c r="S12" s="137">
        <v>4.4949999999999998E-4</v>
      </c>
      <c r="T12" s="137">
        <v>3.7017000000000002</v>
      </c>
      <c r="U12" s="137">
        <v>2.8177000000000001E-5</v>
      </c>
      <c r="V12" s="137">
        <v>5.8786999999999999E-2</v>
      </c>
      <c r="W12" s="137">
        <v>0.17446</v>
      </c>
      <c r="X12" s="137">
        <v>2.0888E-2</v>
      </c>
      <c r="Y12" s="137">
        <f t="shared" ref="Y12:Y21" si="6">SUM(Q12:X12)</f>
        <v>11.989002677000002</v>
      </c>
      <c r="Z12" s="137">
        <v>5.7922000000000001E-2</v>
      </c>
      <c r="AA12" s="137">
        <v>0.61051</v>
      </c>
      <c r="AB12" s="137">
        <v>0.19485</v>
      </c>
      <c r="AC12" s="137">
        <v>2.9537999999999998E-2</v>
      </c>
      <c r="AD12" s="137">
        <v>4.3969000000000001E-4</v>
      </c>
      <c r="AE12" s="137">
        <v>0.29670999999999997</v>
      </c>
      <c r="AF12" s="137">
        <v>0.24057999999999999</v>
      </c>
      <c r="AG12" s="137">
        <v>2.5099E-2</v>
      </c>
      <c r="AH12" s="137">
        <v>1.3415000000000001E-4</v>
      </c>
      <c r="AI12" s="137">
        <v>1.1514E-2</v>
      </c>
      <c r="AJ12" s="137">
        <v>-2.1906E-5</v>
      </c>
      <c r="AK12" s="137">
        <v>2.5019999999999998E-8</v>
      </c>
      <c r="AL12" s="137">
        <v>1.4063999999999999E-3</v>
      </c>
      <c r="AM12" s="137">
        <v>8.8113000000000004E-4</v>
      </c>
      <c r="AN12" s="137">
        <v>1.4815E-3</v>
      </c>
      <c r="AO12" s="137">
        <v>3.5629000000000001E-5</v>
      </c>
      <c r="AP12" s="137">
        <v>2.5611000000000002E-3</v>
      </c>
      <c r="AQ12" s="137">
        <v>2.3032E-3</v>
      </c>
      <c r="AR12" s="137" t="str">
        <f>I12</f>
        <v>US-SERC</v>
      </c>
      <c r="AS12" s="137">
        <f>$M12*P12</f>
        <v>6.2817493472584848E-2</v>
      </c>
      <c r="AT12" s="137">
        <f t="shared" ref="AT12:BT21" si="7">$M12*Q12</f>
        <v>4.1514125326370756E-2</v>
      </c>
      <c r="AU12" s="137">
        <f t="shared" si="7"/>
        <v>0.77643603133159267</v>
      </c>
      <c r="AV12" s="137">
        <f t="shared" si="7"/>
        <v>4.5771540469973883E-5</v>
      </c>
      <c r="AW12" s="137">
        <f t="shared" si="7"/>
        <v>0.3769355091383812</v>
      </c>
      <c r="AX12" s="137">
        <f t="shared" si="7"/>
        <v>2.8691984334203656E-6</v>
      </c>
      <c r="AY12" s="137">
        <f t="shared" si="7"/>
        <v>5.9861436031331591E-3</v>
      </c>
      <c r="AZ12" s="137">
        <f t="shared" si="7"/>
        <v>1.776485639686684E-2</v>
      </c>
      <c r="BA12" s="137">
        <f t="shared" si="7"/>
        <v>2.1269765013054828E-3</v>
      </c>
      <c r="BB12" s="137">
        <f t="shared" si="7"/>
        <v>1.2208122830365538</v>
      </c>
      <c r="BC12" s="137">
        <f t="shared" si="7"/>
        <v>5.8980626631853781E-3</v>
      </c>
      <c r="BD12" s="137">
        <f t="shared" si="7"/>
        <v>6.2166814621409917E-2</v>
      </c>
      <c r="BE12" s="137">
        <f t="shared" si="7"/>
        <v>1.98411227154047E-2</v>
      </c>
      <c r="BF12" s="137">
        <f t="shared" si="7"/>
        <v>3.0077859007832893E-3</v>
      </c>
      <c r="BG12" s="137">
        <f t="shared" si="7"/>
        <v>4.4772610966057441E-5</v>
      </c>
      <c r="BH12" s="137">
        <f t="shared" si="7"/>
        <v>3.0213289817232373E-2</v>
      </c>
      <c r="BI12" s="137">
        <f t="shared" si="7"/>
        <v>2.4497702349869449E-2</v>
      </c>
      <c r="BJ12" s="137">
        <f t="shared" si="7"/>
        <v>2.5557728459530025E-3</v>
      </c>
      <c r="BK12" s="137">
        <f t="shared" si="7"/>
        <v>1.3660182767624021E-5</v>
      </c>
      <c r="BL12" s="137">
        <f t="shared" si="7"/>
        <v>1.172443864229765E-3</v>
      </c>
      <c r="BM12" s="137">
        <f t="shared" si="7"/>
        <v>-2.2306370757180156E-6</v>
      </c>
      <c r="BN12" s="137">
        <f t="shared" si="7"/>
        <v>2.5477284595300258E-9</v>
      </c>
      <c r="BO12" s="137">
        <f t="shared" si="7"/>
        <v>1.4321044386422975E-4</v>
      </c>
      <c r="BP12" s="137">
        <f t="shared" si="7"/>
        <v>8.9723420365535249E-5</v>
      </c>
      <c r="BQ12" s="137">
        <f t="shared" si="7"/>
        <v>1.5085770234986944E-4</v>
      </c>
      <c r="BR12" s="137">
        <f t="shared" si="7"/>
        <v>3.6280182767624021E-6</v>
      </c>
      <c r="BS12" s="137">
        <f t="shared" si="7"/>
        <v>2.6079086161879899E-4</v>
      </c>
      <c r="BT12" s="137">
        <f>$M12*AQ12</f>
        <v>2.3452950391644907E-4</v>
      </c>
    </row>
    <row r="13" spans="3:73" x14ac:dyDescent="0.25">
      <c r="C13" s="135">
        <v>11</v>
      </c>
      <c r="D13" s="136" t="s">
        <v>462</v>
      </c>
      <c r="E13" s="153">
        <v>51.075545499999997</v>
      </c>
      <c r="F13" s="154">
        <v>-114.1297544</v>
      </c>
      <c r="G13" s="136"/>
      <c r="H13" s="135" t="s">
        <v>146</v>
      </c>
      <c r="I13" s="136" t="s">
        <v>472</v>
      </c>
      <c r="J13" s="146">
        <f>26+10</f>
        <v>36</v>
      </c>
      <c r="K13" s="76"/>
      <c r="L13" s="137" t="str">
        <f>'[1]NY elec. mix'!$E$33</f>
        <v>market for electricity, low voltage, US-NPCC</v>
      </c>
      <c r="M13" s="137">
        <f t="shared" ref="M13:M43" si="8">J13/$J$44</f>
        <v>9.3994778067885115E-2</v>
      </c>
      <c r="N13" s="137" t="s">
        <v>105</v>
      </c>
      <c r="O13" s="137" t="s">
        <v>183</v>
      </c>
      <c r="P13" s="137">
        <v>0.23533000000000001</v>
      </c>
      <c r="Q13" s="137">
        <v>0.38241999999999998</v>
      </c>
      <c r="R13" s="137">
        <v>3.6572</v>
      </c>
      <c r="S13" s="137">
        <v>2.4538000000000001E-4</v>
      </c>
      <c r="T13" s="137">
        <v>5.1097000000000001</v>
      </c>
      <c r="U13" s="137">
        <v>2.1157000000000001E-5</v>
      </c>
      <c r="V13" s="137">
        <v>3.569E-2</v>
      </c>
      <c r="W13" s="137">
        <v>0.71721000000000001</v>
      </c>
      <c r="X13" s="137">
        <v>0.15673000000000001</v>
      </c>
      <c r="Y13" s="137">
        <f t="shared" si="6"/>
        <v>10.059216537000001</v>
      </c>
      <c r="Z13" s="137">
        <v>5.5215E-2</v>
      </c>
      <c r="AA13" s="137">
        <v>0.23105000000000001</v>
      </c>
      <c r="AB13" s="137">
        <v>0.10405</v>
      </c>
      <c r="AC13" s="137">
        <v>2.3101E-2</v>
      </c>
      <c r="AD13" s="137">
        <v>2.8262000000000001E-5</v>
      </c>
      <c r="AE13" s="137">
        <v>4.1973999999999997E-2</v>
      </c>
      <c r="AF13" s="137">
        <v>0.35864000000000001</v>
      </c>
      <c r="AG13" s="137">
        <v>1.9E-2</v>
      </c>
      <c r="AH13" s="137">
        <v>3.4690000000000002E-5</v>
      </c>
      <c r="AI13" s="137">
        <v>1.1261E-2</v>
      </c>
      <c r="AJ13" s="137">
        <v>-1.2738000000000001E-5</v>
      </c>
      <c r="AK13" s="137">
        <v>2.4257E-8</v>
      </c>
      <c r="AL13" s="137">
        <v>1.8336000000000001E-4</v>
      </c>
      <c r="AM13" s="137">
        <v>3.7532E-4</v>
      </c>
      <c r="AN13" s="137">
        <v>4.2691000000000002E-4</v>
      </c>
      <c r="AO13" s="137">
        <v>3.0107000000000002E-5</v>
      </c>
      <c r="AP13" s="137">
        <v>9.7532999999999995E-4</v>
      </c>
      <c r="AQ13" s="137">
        <v>5.7761000000000002E-3</v>
      </c>
      <c r="AR13" s="137" t="str">
        <f t="shared" ref="AR13:AR43" si="9">I13</f>
        <v>US-NPCC</v>
      </c>
      <c r="AS13" s="137">
        <f t="shared" ref="AS13:AS43" si="10">$M13*P13</f>
        <v>2.2119791122715404E-2</v>
      </c>
      <c r="AT13" s="137">
        <f t="shared" si="7"/>
        <v>3.5945483028720623E-2</v>
      </c>
      <c r="AU13" s="137">
        <f t="shared" si="7"/>
        <v>0.34375770234986947</v>
      </c>
      <c r="AV13" s="137">
        <f t="shared" si="7"/>
        <v>2.306443864229765E-5</v>
      </c>
      <c r="AW13" s="137">
        <f t="shared" si="7"/>
        <v>0.48028511749347258</v>
      </c>
      <c r="AX13" s="137">
        <f t="shared" si="7"/>
        <v>1.9886475195822454E-6</v>
      </c>
      <c r="AY13" s="137">
        <f t="shared" si="7"/>
        <v>3.3546736292428196E-3</v>
      </c>
      <c r="AZ13" s="137">
        <f t="shared" si="7"/>
        <v>6.7413994778067879E-2</v>
      </c>
      <c r="BA13" s="137">
        <f t="shared" si="7"/>
        <v>1.4731801566579635E-2</v>
      </c>
      <c r="BB13" s="137">
        <f t="shared" si="7"/>
        <v>0.94551382593211497</v>
      </c>
      <c r="BC13" s="137">
        <f t="shared" si="7"/>
        <v>5.1899216710182767E-3</v>
      </c>
      <c r="BD13" s="137">
        <f t="shared" si="7"/>
        <v>2.1717493472584858E-2</v>
      </c>
      <c r="BE13" s="137">
        <f t="shared" si="7"/>
        <v>9.7801566579634458E-3</v>
      </c>
      <c r="BF13" s="137">
        <f t="shared" si="7"/>
        <v>2.1713733681462139E-3</v>
      </c>
      <c r="BG13" s="137">
        <f t="shared" si="7"/>
        <v>2.6564804177545695E-6</v>
      </c>
      <c r="BH13" s="137">
        <f t="shared" si="7"/>
        <v>3.9453368146214092E-3</v>
      </c>
      <c r="BI13" s="137">
        <f t="shared" si="7"/>
        <v>3.3710287206266322E-2</v>
      </c>
      <c r="BJ13" s="137">
        <f t="shared" si="7"/>
        <v>1.7859007832898171E-3</v>
      </c>
      <c r="BK13" s="137">
        <f t="shared" si="7"/>
        <v>3.2606788511749348E-6</v>
      </c>
      <c r="BL13" s="137">
        <f t="shared" si="7"/>
        <v>1.0584751958224543E-3</v>
      </c>
      <c r="BM13" s="137">
        <f t="shared" si="7"/>
        <v>-1.1973054830287206E-6</v>
      </c>
      <c r="BN13" s="137">
        <f t="shared" si="7"/>
        <v>2.2800313315926891E-9</v>
      </c>
      <c r="BO13" s="137">
        <f t="shared" si="7"/>
        <v>1.7234882506527414E-5</v>
      </c>
      <c r="BP13" s="137">
        <f t="shared" si="7"/>
        <v>3.5278120104438639E-5</v>
      </c>
      <c r="BQ13" s="137">
        <f t="shared" si="7"/>
        <v>4.0127310704960835E-5</v>
      </c>
      <c r="BR13" s="137">
        <f t="shared" si="7"/>
        <v>2.8299007832898172E-6</v>
      </c>
      <c r="BS13" s="137">
        <f t="shared" si="7"/>
        <v>9.1675926892950378E-5</v>
      </c>
      <c r="BT13" s="137">
        <f t="shared" si="7"/>
        <v>5.4292323759791124E-4</v>
      </c>
    </row>
    <row r="14" spans="3:73" x14ac:dyDescent="0.25">
      <c r="C14" s="135">
        <v>12</v>
      </c>
      <c r="D14" s="136" t="s">
        <v>462</v>
      </c>
      <c r="E14" s="153">
        <v>51.075545499999997</v>
      </c>
      <c r="F14" s="154">
        <v>-114.1297544</v>
      </c>
      <c r="G14" s="136"/>
      <c r="H14" s="135" t="s">
        <v>146</v>
      </c>
      <c r="I14" s="136" t="s">
        <v>473</v>
      </c>
      <c r="J14" s="146">
        <f>1</f>
        <v>1</v>
      </c>
      <c r="K14" s="76"/>
      <c r="L14" s="137" t="str">
        <f>'[1]NY elec. mix'!$E$40</f>
        <v>market for electricity, low voltage, US-FRCC</v>
      </c>
      <c r="M14" s="137">
        <f t="shared" si="8"/>
        <v>2.6109660574412533E-3</v>
      </c>
      <c r="N14" s="137" t="s">
        <v>105</v>
      </c>
      <c r="O14" s="137" t="s">
        <v>183</v>
      </c>
      <c r="P14" s="137">
        <v>0.51763999999999999</v>
      </c>
      <c r="Q14" s="137">
        <v>0.25473000000000001</v>
      </c>
      <c r="R14" s="137">
        <v>7.2790999999999997</v>
      </c>
      <c r="S14" s="137">
        <v>3.4055000000000001E-4</v>
      </c>
      <c r="T14" s="137">
        <v>1.8533999999999999</v>
      </c>
      <c r="U14" s="137">
        <v>1.9096000000000001E-5</v>
      </c>
      <c r="V14" s="137">
        <v>5.8111000000000003E-2</v>
      </c>
      <c r="W14" s="137">
        <v>1.7877000000000001E-2</v>
      </c>
      <c r="X14" s="137">
        <v>3.0666000000000001E-3</v>
      </c>
      <c r="Y14" s="137">
        <f t="shared" si="6"/>
        <v>9.4666442460000013</v>
      </c>
      <c r="Z14" s="137">
        <v>3.6006000000000003E-2</v>
      </c>
      <c r="AA14" s="137">
        <v>0.5101</v>
      </c>
      <c r="AB14" s="137">
        <v>0.19916</v>
      </c>
      <c r="AC14" s="137">
        <v>2.4936E-2</v>
      </c>
      <c r="AD14" s="137">
        <v>9.2861000000000004E-5</v>
      </c>
      <c r="AE14" s="137">
        <v>8.0889000000000003E-2</v>
      </c>
      <c r="AF14" s="137">
        <v>0.12156</v>
      </c>
      <c r="AG14" s="137">
        <v>2.0077000000000001E-2</v>
      </c>
      <c r="AH14" s="137">
        <v>5.1683E-5</v>
      </c>
      <c r="AI14" s="137">
        <v>1.0734E-2</v>
      </c>
      <c r="AJ14" s="137">
        <v>-1.1644999999999999E-5</v>
      </c>
      <c r="AK14" s="137">
        <v>3.9995000000000002E-8</v>
      </c>
      <c r="AL14" s="137">
        <v>2.9425000000000002E-4</v>
      </c>
      <c r="AM14" s="137">
        <v>7.4505999999999997E-4</v>
      </c>
      <c r="AN14" s="137">
        <v>9.0757999999999995E-4</v>
      </c>
      <c r="AO14" s="137">
        <v>4.7722999999999997E-5</v>
      </c>
      <c r="AP14" s="137">
        <v>1.7071E-3</v>
      </c>
      <c r="AQ14" s="137">
        <v>1.4515999999999999E-3</v>
      </c>
      <c r="AR14" s="137" t="str">
        <f t="shared" si="9"/>
        <v>US-FRCC</v>
      </c>
      <c r="AS14" s="137">
        <f t="shared" si="10"/>
        <v>1.3515404699738903E-3</v>
      </c>
      <c r="AT14" s="137">
        <f t="shared" si="7"/>
        <v>6.6509138381201053E-4</v>
      </c>
      <c r="AU14" s="137">
        <f t="shared" si="7"/>
        <v>1.9005483028720627E-2</v>
      </c>
      <c r="AV14" s="137">
        <f t="shared" si="7"/>
        <v>8.8916449086161879E-7</v>
      </c>
      <c r="AW14" s="137">
        <f t="shared" si="7"/>
        <v>4.8391644908616187E-3</v>
      </c>
      <c r="AX14" s="137">
        <f t="shared" si="7"/>
        <v>4.985900783289818E-8</v>
      </c>
      <c r="AY14" s="137">
        <f t="shared" si="7"/>
        <v>1.5172584856396867E-4</v>
      </c>
      <c r="AZ14" s="137">
        <f t="shared" si="7"/>
        <v>4.667624020887729E-5</v>
      </c>
      <c r="BA14" s="137">
        <f t="shared" si="7"/>
        <v>8.0067885117493477E-6</v>
      </c>
      <c r="BB14" s="137">
        <f t="shared" si="7"/>
        <v>2.471708680417755E-2</v>
      </c>
      <c r="BC14" s="137">
        <f t="shared" si="7"/>
        <v>9.4010443864229771E-5</v>
      </c>
      <c r="BD14" s="137">
        <f t="shared" si="7"/>
        <v>1.3318537859007833E-3</v>
      </c>
      <c r="BE14" s="137">
        <f t="shared" si="7"/>
        <v>5.2000000000000006E-4</v>
      </c>
      <c r="BF14" s="137">
        <f t="shared" si="7"/>
        <v>6.5107049608355088E-5</v>
      </c>
      <c r="BG14" s="137">
        <f t="shared" si="7"/>
        <v>2.4245691906005221E-7</v>
      </c>
      <c r="BH14" s="137">
        <f t="shared" si="7"/>
        <v>2.1119843342036555E-4</v>
      </c>
      <c r="BI14" s="137">
        <f t="shared" si="7"/>
        <v>3.1738903394255873E-4</v>
      </c>
      <c r="BJ14" s="137">
        <f t="shared" si="7"/>
        <v>5.2420365535248042E-5</v>
      </c>
      <c r="BK14" s="137">
        <f t="shared" si="7"/>
        <v>1.3494255874673628E-7</v>
      </c>
      <c r="BL14" s="137">
        <f t="shared" si="7"/>
        <v>2.8026109660574413E-5</v>
      </c>
      <c r="BM14" s="137">
        <f t="shared" si="7"/>
        <v>-3.0404699738903395E-8</v>
      </c>
      <c r="BN14" s="137">
        <f t="shared" si="7"/>
        <v>1.0442558746736293E-10</v>
      </c>
      <c r="BO14" s="137">
        <f t="shared" si="7"/>
        <v>7.6827676240208887E-7</v>
      </c>
      <c r="BP14" s="137">
        <f t="shared" si="7"/>
        <v>1.9453263707571801E-6</v>
      </c>
      <c r="BQ14" s="137">
        <f t="shared" si="7"/>
        <v>2.3696605744125324E-6</v>
      </c>
      <c r="BR14" s="137">
        <f t="shared" si="7"/>
        <v>1.2460313315926893E-7</v>
      </c>
      <c r="BS14" s="137">
        <f t="shared" si="7"/>
        <v>4.4571801566579632E-6</v>
      </c>
      <c r="BT14" s="137">
        <f t="shared" si="7"/>
        <v>3.7900783289817231E-6</v>
      </c>
    </row>
    <row r="15" spans="3:73" x14ac:dyDescent="0.25">
      <c r="C15" s="135">
        <v>13</v>
      </c>
      <c r="D15" s="136" t="s">
        <v>462</v>
      </c>
      <c r="E15" s="153">
        <v>51.075545499999997</v>
      </c>
      <c r="F15" s="154">
        <v>-114.1297544</v>
      </c>
      <c r="G15" s="136"/>
      <c r="H15" s="135" t="s">
        <v>146</v>
      </c>
      <c r="I15" s="136" t="s">
        <v>474</v>
      </c>
      <c r="J15" s="146">
        <f>22+21+6+25</f>
        <v>74</v>
      </c>
      <c r="K15" s="76"/>
      <c r="L15" s="137" t="str">
        <f>'[1]NY elec. mix'!$E$34</f>
        <v>market for electricity, low voltage, US-WECC</v>
      </c>
      <c r="M15" s="137">
        <f t="shared" si="8"/>
        <v>0.19321148825065274</v>
      </c>
      <c r="N15" s="137" t="s">
        <v>105</v>
      </c>
      <c r="O15" s="137" t="s">
        <v>183</v>
      </c>
      <c r="P15" s="137">
        <v>0.41233999999999998</v>
      </c>
      <c r="Q15" s="137">
        <v>0.16356000000000001</v>
      </c>
      <c r="R15" s="137">
        <v>5.2107000000000001</v>
      </c>
      <c r="S15" s="137">
        <v>0.15804000000000001</v>
      </c>
      <c r="T15" s="137">
        <v>1.1274</v>
      </c>
      <c r="U15" s="137">
        <v>1.7768999999999999E-5</v>
      </c>
      <c r="V15" s="137">
        <v>0.32883000000000001</v>
      </c>
      <c r="W15" s="137">
        <v>1.0143</v>
      </c>
      <c r="X15" s="137">
        <v>0.29749999999999999</v>
      </c>
      <c r="Y15" s="137">
        <f t="shared" si="6"/>
        <v>8.300347769</v>
      </c>
      <c r="Z15" s="137">
        <v>2.4857000000000001E-2</v>
      </c>
      <c r="AA15" s="137">
        <v>0.40821000000000002</v>
      </c>
      <c r="AB15" s="137">
        <v>0.13331000000000001</v>
      </c>
      <c r="AC15" s="137">
        <v>2.9420000000000002E-2</v>
      </c>
      <c r="AD15" s="137">
        <v>4.3196E-4</v>
      </c>
      <c r="AE15" s="137">
        <v>0.27927000000000002</v>
      </c>
      <c r="AF15" s="137">
        <v>7.3639999999999997E-2</v>
      </c>
      <c r="AG15" s="137">
        <v>2.5277999999999998E-2</v>
      </c>
      <c r="AH15" s="137">
        <v>1.1887000000000001E-4</v>
      </c>
      <c r="AI15" s="137">
        <v>1.1467E-2</v>
      </c>
      <c r="AJ15" s="137">
        <v>-1.4652E-5</v>
      </c>
      <c r="AK15" s="137">
        <v>1.7493E-8</v>
      </c>
      <c r="AL15" s="137">
        <v>1.5398E-3</v>
      </c>
      <c r="AM15" s="137">
        <v>6.7785999999999996E-4</v>
      </c>
      <c r="AN15" s="137">
        <v>7.8450000000000004E-4</v>
      </c>
      <c r="AO15" s="137">
        <v>3.1801999999999998E-5</v>
      </c>
      <c r="AP15" s="137">
        <v>2.3995000000000002E-3</v>
      </c>
      <c r="AQ15" s="137">
        <v>3.0509000000000001E-3</v>
      </c>
      <c r="AR15" s="137" t="str">
        <f t="shared" si="9"/>
        <v>US-WECC</v>
      </c>
      <c r="AS15" s="137">
        <f t="shared" si="10"/>
        <v>7.9668825065274146E-2</v>
      </c>
      <c r="AT15" s="137">
        <f t="shared" si="7"/>
        <v>3.1601671018276767E-2</v>
      </c>
      <c r="AU15" s="137">
        <f t="shared" si="7"/>
        <v>1.0067671018276763</v>
      </c>
      <c r="AV15" s="137">
        <f t="shared" si="7"/>
        <v>3.0535143603133162E-2</v>
      </c>
      <c r="AW15" s="137">
        <f t="shared" si="7"/>
        <v>0.2178266318537859</v>
      </c>
      <c r="AX15" s="137">
        <f t="shared" si="7"/>
        <v>3.4331749347258483E-6</v>
      </c>
      <c r="AY15" s="137">
        <f t="shared" si="7"/>
        <v>6.3533733681462146E-2</v>
      </c>
      <c r="AZ15" s="137">
        <f t="shared" si="7"/>
        <v>0.19597441253263706</v>
      </c>
      <c r="BA15" s="137">
        <f t="shared" si="7"/>
        <v>5.7480417754569184E-2</v>
      </c>
      <c r="BB15" s="137">
        <f t="shared" si="7"/>
        <v>1.6037225454464752</v>
      </c>
      <c r="BC15" s="137">
        <f t="shared" si="7"/>
        <v>4.8026579634464755E-3</v>
      </c>
      <c r="BD15" s="137">
        <f t="shared" si="7"/>
        <v>7.8870861618798957E-2</v>
      </c>
      <c r="BE15" s="137">
        <f t="shared" si="7"/>
        <v>2.575702349869452E-2</v>
      </c>
      <c r="BF15" s="137">
        <f t="shared" si="7"/>
        <v>5.6842819843342038E-3</v>
      </c>
      <c r="BG15" s="137">
        <f t="shared" si="7"/>
        <v>8.3459634464751951E-5</v>
      </c>
      <c r="BH15" s="137">
        <f t="shared" si="7"/>
        <v>5.3958172323759795E-2</v>
      </c>
      <c r="BI15" s="137">
        <f t="shared" si="7"/>
        <v>1.4228093994778066E-2</v>
      </c>
      <c r="BJ15" s="137">
        <f t="shared" si="7"/>
        <v>4.8839999999999995E-3</v>
      </c>
      <c r="BK15" s="137">
        <f t="shared" si="7"/>
        <v>2.2967049608355091E-5</v>
      </c>
      <c r="BL15" s="137">
        <f t="shared" si="7"/>
        <v>2.2155561357702349E-3</v>
      </c>
      <c r="BM15" s="137">
        <f t="shared" si="7"/>
        <v>-2.8309347258485639E-6</v>
      </c>
      <c r="BN15" s="137">
        <f t="shared" si="7"/>
        <v>3.3798485639686681E-9</v>
      </c>
      <c r="BO15" s="137">
        <f t="shared" si="7"/>
        <v>2.975070496083551E-4</v>
      </c>
      <c r="BP15" s="137">
        <f t="shared" si="7"/>
        <v>1.3097033942558746E-4</v>
      </c>
      <c r="BQ15" s="137">
        <f t="shared" si="7"/>
        <v>1.5157441253263709E-4</v>
      </c>
      <c r="BR15" s="137">
        <f t="shared" si="7"/>
        <v>6.1445117493472576E-6</v>
      </c>
      <c r="BS15" s="137">
        <f t="shared" si="7"/>
        <v>4.6361096605744128E-4</v>
      </c>
      <c r="BT15" s="137">
        <f t="shared" si="7"/>
        <v>5.8946892950391644E-4</v>
      </c>
    </row>
    <row r="16" spans="3:73" x14ac:dyDescent="0.25">
      <c r="C16" s="135">
        <v>14</v>
      </c>
      <c r="D16" s="136" t="s">
        <v>462</v>
      </c>
      <c r="E16" s="153">
        <v>51.075545499999997</v>
      </c>
      <c r="F16" s="154">
        <v>-114.1297544</v>
      </c>
      <c r="G16" s="136"/>
      <c r="H16" s="135" t="s">
        <v>146</v>
      </c>
      <c r="I16" s="136" t="s">
        <v>475</v>
      </c>
      <c r="J16" s="146">
        <v>5</v>
      </c>
      <c r="K16" s="76"/>
      <c r="L16" s="137" t="str">
        <f>'[1]NY elec. mix'!$E$35</f>
        <v>market for electricity, low voltage, US-TRE</v>
      </c>
      <c r="M16" s="137">
        <f t="shared" si="8"/>
        <v>1.3054830287206266E-2</v>
      </c>
      <c r="N16" s="137" t="s">
        <v>105</v>
      </c>
      <c r="O16" s="137" t="s">
        <v>183</v>
      </c>
      <c r="P16" s="137">
        <v>0.55630999999999997</v>
      </c>
      <c r="Q16" s="137">
        <v>3.4384999999999999E-2</v>
      </c>
      <c r="R16" s="137">
        <v>7.0705999999999998</v>
      </c>
      <c r="S16" s="137">
        <v>9.3513999999999999E-4</v>
      </c>
      <c r="T16" s="137">
        <v>1.4870000000000001</v>
      </c>
      <c r="U16" s="137">
        <v>1.2383E-5</v>
      </c>
      <c r="V16" s="137">
        <v>5.0241000000000001E-2</v>
      </c>
      <c r="W16" s="137">
        <v>2.8124E-2</v>
      </c>
      <c r="X16" s="137">
        <v>0.71762000000000004</v>
      </c>
      <c r="Y16" s="137">
        <f t="shared" si="6"/>
        <v>9.3889175229999999</v>
      </c>
      <c r="Z16" s="137">
        <v>5.7191000000000004E-3</v>
      </c>
      <c r="AA16" s="137">
        <v>0.55113000000000001</v>
      </c>
      <c r="AB16" s="137">
        <v>0.18562999999999999</v>
      </c>
      <c r="AC16" s="137">
        <v>3.3786999999999998E-2</v>
      </c>
      <c r="AD16" s="137">
        <v>7.0085000000000004E-4</v>
      </c>
      <c r="AE16" s="137">
        <v>0.43487999999999999</v>
      </c>
      <c r="AF16" s="137">
        <v>9.6655000000000005E-2</v>
      </c>
      <c r="AG16" s="137">
        <v>2.8923999999999998E-2</v>
      </c>
      <c r="AH16" s="137">
        <v>1.6893E-4</v>
      </c>
      <c r="AI16" s="137">
        <v>1.1021E-2</v>
      </c>
      <c r="AJ16" s="137">
        <v>-1.0531E-5</v>
      </c>
      <c r="AK16" s="137">
        <v>2.7590000000000001E-8</v>
      </c>
      <c r="AL16" s="137">
        <v>2.7604000000000001E-3</v>
      </c>
      <c r="AM16" s="137">
        <v>5.9469000000000004E-4</v>
      </c>
      <c r="AN16" s="137">
        <v>1.2328E-3</v>
      </c>
      <c r="AO16" s="137">
        <v>3.5519000000000003E-5</v>
      </c>
      <c r="AP16" s="137">
        <v>9.2433000000000001E-4</v>
      </c>
      <c r="AQ16" s="137">
        <v>1.5288000000000001E-3</v>
      </c>
      <c r="AR16" s="137" t="str">
        <f t="shared" si="9"/>
        <v>US-TRE</v>
      </c>
      <c r="AS16" s="137">
        <f t="shared" si="10"/>
        <v>7.2625326370757172E-3</v>
      </c>
      <c r="AT16" s="137">
        <f t="shared" si="7"/>
        <v>4.4889033942558743E-4</v>
      </c>
      <c r="AU16" s="137">
        <f t="shared" si="7"/>
        <v>9.2305483028720617E-2</v>
      </c>
      <c r="AV16" s="137">
        <f t="shared" si="7"/>
        <v>1.2208093994778067E-5</v>
      </c>
      <c r="AW16" s="137">
        <f t="shared" si="7"/>
        <v>1.9412532637075718E-2</v>
      </c>
      <c r="AX16" s="137">
        <f t="shared" si="7"/>
        <v>1.616579634464752E-7</v>
      </c>
      <c r="AY16" s="137">
        <f t="shared" si="7"/>
        <v>6.5588772845952997E-4</v>
      </c>
      <c r="AZ16" s="137">
        <f t="shared" si="7"/>
        <v>3.6715404699738901E-4</v>
      </c>
      <c r="BA16" s="137">
        <f t="shared" si="7"/>
        <v>9.3684073107049605E-3</v>
      </c>
      <c r="BB16" s="137">
        <f t="shared" si="7"/>
        <v>0.12257072484334203</v>
      </c>
      <c r="BC16" s="137">
        <f t="shared" si="7"/>
        <v>7.4661879895561355E-5</v>
      </c>
      <c r="BD16" s="137">
        <f t="shared" si="7"/>
        <v>7.1949086161879894E-3</v>
      </c>
      <c r="BE16" s="137">
        <f t="shared" si="7"/>
        <v>2.423368146214099E-3</v>
      </c>
      <c r="BF16" s="137">
        <f t="shared" si="7"/>
        <v>4.4108355091383809E-4</v>
      </c>
      <c r="BG16" s="137">
        <f t="shared" si="7"/>
        <v>9.149477806788511E-6</v>
      </c>
      <c r="BH16" s="137">
        <f t="shared" si="7"/>
        <v>5.6772845953002608E-3</v>
      </c>
      <c r="BI16" s="137">
        <f t="shared" si="7"/>
        <v>1.2618146214099218E-3</v>
      </c>
      <c r="BJ16" s="137">
        <f t="shared" si="7"/>
        <v>3.7759791122715403E-4</v>
      </c>
      <c r="BK16" s="137">
        <f t="shared" si="7"/>
        <v>2.2053524804177546E-6</v>
      </c>
      <c r="BL16" s="137">
        <f t="shared" si="7"/>
        <v>1.4387728459530025E-4</v>
      </c>
      <c r="BM16" s="137">
        <f t="shared" si="7"/>
        <v>-1.3748041775456918E-7</v>
      </c>
      <c r="BN16" s="137">
        <f t="shared" si="7"/>
        <v>3.6018276762402086E-10</v>
      </c>
      <c r="BO16" s="137">
        <f t="shared" si="7"/>
        <v>3.6036553524804177E-5</v>
      </c>
      <c r="BP16" s="137">
        <f t="shared" si="7"/>
        <v>7.7635770234986947E-6</v>
      </c>
      <c r="BQ16" s="137">
        <f t="shared" si="7"/>
        <v>1.6093994778067886E-5</v>
      </c>
      <c r="BR16" s="137">
        <f t="shared" si="7"/>
        <v>4.6369451697127941E-7</v>
      </c>
      <c r="BS16" s="137">
        <f t="shared" si="7"/>
        <v>1.2066971279373367E-5</v>
      </c>
      <c r="BT16" s="137">
        <f t="shared" si="7"/>
        <v>1.9958224543080941E-5</v>
      </c>
    </row>
    <row r="17" spans="3:72" x14ac:dyDescent="0.25">
      <c r="C17" s="135">
        <v>15</v>
      </c>
      <c r="D17" s="136" t="s">
        <v>462</v>
      </c>
      <c r="E17" s="153">
        <v>51.075545499999997</v>
      </c>
      <c r="F17" s="154">
        <v>-114.1297544</v>
      </c>
      <c r="G17" s="136"/>
      <c r="H17" s="135" t="s">
        <v>146</v>
      </c>
      <c r="I17" s="136" t="s">
        <v>476</v>
      </c>
      <c r="J17" s="146">
        <v>37</v>
      </c>
      <c r="K17" s="76"/>
      <c r="L17" s="137" t="str">
        <f>'[1]NY elec. mix'!$E$38</f>
        <v>market for electricity, low voltage, US-MRO</v>
      </c>
      <c r="M17" s="137">
        <f t="shared" si="8"/>
        <v>9.6605744125326368E-2</v>
      </c>
      <c r="N17" s="137" t="s">
        <v>105</v>
      </c>
      <c r="O17" s="137" t="s">
        <v>183</v>
      </c>
      <c r="P17" s="137">
        <v>0.69093000000000004</v>
      </c>
      <c r="Q17" s="137">
        <v>0.17559</v>
      </c>
      <c r="R17" s="137">
        <v>7.5717999999999996</v>
      </c>
      <c r="S17" s="137">
        <v>5.3706999999999995E-4</v>
      </c>
      <c r="T17" s="137">
        <v>1.0905</v>
      </c>
      <c r="U17" s="137">
        <v>2.0750999999999998E-5</v>
      </c>
      <c r="V17" s="137">
        <v>2.2755999999999998E-2</v>
      </c>
      <c r="W17" s="137">
        <v>0.32379999999999998</v>
      </c>
      <c r="X17" s="137">
        <v>0.96031</v>
      </c>
      <c r="Y17" s="137">
        <f t="shared" si="6"/>
        <v>10.145313820999998</v>
      </c>
      <c r="Z17" s="137">
        <v>2.8001000000000002E-2</v>
      </c>
      <c r="AA17" s="137">
        <v>0.68620000000000003</v>
      </c>
      <c r="AB17" s="137">
        <v>0.18293000000000001</v>
      </c>
      <c r="AC17" s="137">
        <v>3.8896E-2</v>
      </c>
      <c r="AD17" s="137">
        <v>1.057E-3</v>
      </c>
      <c r="AE17" s="137">
        <v>0.67064999999999997</v>
      </c>
      <c r="AF17" s="137">
        <v>7.1312E-2</v>
      </c>
      <c r="AG17" s="137">
        <v>3.4514999999999997E-2</v>
      </c>
      <c r="AH17" s="137">
        <v>2.6254000000000002E-4</v>
      </c>
      <c r="AI17" s="137">
        <v>1.1461000000000001E-2</v>
      </c>
      <c r="AJ17" s="137">
        <v>-3.1788000000000001E-5</v>
      </c>
      <c r="AK17" s="137">
        <v>1.3234E-8</v>
      </c>
      <c r="AL17" s="137">
        <v>4.0939000000000001E-3</v>
      </c>
      <c r="AM17" s="137">
        <v>1.1398999999999999E-3</v>
      </c>
      <c r="AN17" s="137">
        <v>2.3062E-3</v>
      </c>
      <c r="AO17" s="137">
        <v>2.3187999999999999E-5</v>
      </c>
      <c r="AP17" s="137">
        <v>2.2109E-3</v>
      </c>
      <c r="AQ17" s="137">
        <v>3.6174000000000002E-3</v>
      </c>
      <c r="AR17" s="137" t="str">
        <f t="shared" si="9"/>
        <v>US-MRO</v>
      </c>
      <c r="AS17" s="137">
        <f t="shared" si="10"/>
        <v>6.6747806788511749E-2</v>
      </c>
      <c r="AT17" s="137">
        <f t="shared" si="7"/>
        <v>1.6963002610966057E-2</v>
      </c>
      <c r="AU17" s="137">
        <f t="shared" si="7"/>
        <v>0.73147937336814617</v>
      </c>
      <c r="AV17" s="137">
        <f t="shared" si="7"/>
        <v>5.1884046997389026E-5</v>
      </c>
      <c r="AW17" s="137">
        <f t="shared" si="7"/>
        <v>0.1053485639686684</v>
      </c>
      <c r="AX17" s="137">
        <f t="shared" si="7"/>
        <v>2.0046657963446472E-6</v>
      </c>
      <c r="AY17" s="137">
        <f t="shared" si="7"/>
        <v>2.1983603133159265E-3</v>
      </c>
      <c r="AZ17" s="137">
        <f t="shared" si="7"/>
        <v>3.1280939947780674E-2</v>
      </c>
      <c r="BA17" s="137">
        <f t="shared" si="7"/>
        <v>9.2771462140992161E-2</v>
      </c>
      <c r="BB17" s="137">
        <f t="shared" si="7"/>
        <v>0.98009559106266297</v>
      </c>
      <c r="BC17" s="137">
        <f t="shared" si="7"/>
        <v>2.7050574412532638E-3</v>
      </c>
      <c r="BD17" s="137">
        <f t="shared" si="7"/>
        <v>6.6290861618798963E-2</v>
      </c>
      <c r="BE17" s="137">
        <f t="shared" si="7"/>
        <v>1.7672088772845953E-2</v>
      </c>
      <c r="BF17" s="137">
        <f t="shared" si="7"/>
        <v>3.7575770234986945E-3</v>
      </c>
      <c r="BG17" s="137">
        <f t="shared" si="7"/>
        <v>1.0211227154046997E-4</v>
      </c>
      <c r="BH17" s="137">
        <f t="shared" si="7"/>
        <v>6.478864229765012E-2</v>
      </c>
      <c r="BI17" s="137">
        <f t="shared" si="7"/>
        <v>6.8891488250652742E-3</v>
      </c>
      <c r="BJ17" s="137">
        <f t="shared" si="7"/>
        <v>3.3343472584856392E-3</v>
      </c>
      <c r="BK17" s="137">
        <f t="shared" si="7"/>
        <v>2.5362872062663187E-5</v>
      </c>
      <c r="BL17" s="137">
        <f t="shared" si="7"/>
        <v>1.1071984334203656E-3</v>
      </c>
      <c r="BM17" s="137">
        <f t="shared" si="7"/>
        <v>-3.0709033942558746E-6</v>
      </c>
      <c r="BN17" s="137">
        <f t="shared" si="7"/>
        <v>1.2784804177545691E-9</v>
      </c>
      <c r="BO17" s="137">
        <f t="shared" si="7"/>
        <v>3.9549425587467364E-4</v>
      </c>
      <c r="BP17" s="137">
        <f t="shared" si="7"/>
        <v>1.1012088772845952E-4</v>
      </c>
      <c r="BQ17" s="137">
        <f t="shared" si="7"/>
        <v>2.2279216710182766E-4</v>
      </c>
      <c r="BR17" s="137">
        <f t="shared" si="7"/>
        <v>2.2400939947780675E-6</v>
      </c>
      <c r="BS17" s="137">
        <f t="shared" si="7"/>
        <v>2.1358563968668407E-4</v>
      </c>
      <c r="BT17" s="137">
        <f t="shared" si="7"/>
        <v>3.4946161879895562E-4</v>
      </c>
    </row>
    <row r="18" spans="3:72" x14ac:dyDescent="0.25">
      <c r="C18" s="135">
        <v>16</v>
      </c>
      <c r="D18" s="136" t="s">
        <v>462</v>
      </c>
      <c r="E18" s="153">
        <v>51.075545499999997</v>
      </c>
      <c r="F18" s="154">
        <v>-114.1297544</v>
      </c>
      <c r="G18" s="136"/>
      <c r="H18" s="135" t="s">
        <v>146</v>
      </c>
      <c r="I18" s="136" t="s">
        <v>455</v>
      </c>
      <c r="J18" s="146">
        <v>98</v>
      </c>
      <c r="K18" s="76"/>
      <c r="L18" s="137" t="str">
        <f>'[1]NY elec. mix'!$E$37</f>
        <v>market for electricity, low voltage, US-RFC</v>
      </c>
      <c r="M18" s="137">
        <f t="shared" si="8"/>
        <v>0.25587467362924282</v>
      </c>
      <c r="N18" s="137" t="s">
        <v>105</v>
      </c>
      <c r="O18" s="137" t="s">
        <v>183</v>
      </c>
      <c r="P18" s="137">
        <v>0.61436999999999997</v>
      </c>
      <c r="Q18" s="137">
        <v>8.2399E-2</v>
      </c>
      <c r="R18" s="137">
        <v>6.7473999999999998</v>
      </c>
      <c r="S18" s="137">
        <v>4.0428000000000003E-4</v>
      </c>
      <c r="T18" s="137">
        <v>4.3425000000000002</v>
      </c>
      <c r="U18" s="137">
        <v>1.3322000000000001E-5</v>
      </c>
      <c r="V18" s="137">
        <v>1.5082999999999999E-2</v>
      </c>
      <c r="W18" s="137">
        <v>6.8917000000000006E-2</v>
      </c>
      <c r="X18" s="137">
        <v>0.1275</v>
      </c>
      <c r="Y18" s="137">
        <f t="shared" si="6"/>
        <v>11.384216602</v>
      </c>
      <c r="Z18" s="137">
        <v>1.3875999999999999E-2</v>
      </c>
      <c r="AA18" s="137">
        <v>0.60836999999999997</v>
      </c>
      <c r="AB18" s="137">
        <v>0.16855999999999999</v>
      </c>
      <c r="AC18" s="137">
        <v>2.7827999999999999E-2</v>
      </c>
      <c r="AD18" s="137">
        <v>3.4965000000000002E-4</v>
      </c>
      <c r="AE18" s="137">
        <v>0.24507000000000001</v>
      </c>
      <c r="AF18" s="137">
        <v>0.28216999999999998</v>
      </c>
      <c r="AG18" s="137">
        <v>2.3791E-2</v>
      </c>
      <c r="AH18" s="137">
        <v>1.1882E-4</v>
      </c>
      <c r="AI18" s="137">
        <v>1.1622E-2</v>
      </c>
      <c r="AJ18" s="137">
        <v>-2.4247999999999999E-5</v>
      </c>
      <c r="AK18" s="137">
        <v>1.8053E-8</v>
      </c>
      <c r="AL18" s="137">
        <v>1.1259E-3</v>
      </c>
      <c r="AM18" s="137">
        <v>9.8528999999999999E-4</v>
      </c>
      <c r="AN18" s="137">
        <v>1.8718000000000001E-3</v>
      </c>
      <c r="AO18" s="137">
        <v>2.6829999999999999E-5</v>
      </c>
      <c r="AP18" s="137">
        <v>2.5512999999999998E-3</v>
      </c>
      <c r="AQ18" s="137">
        <v>2.2418E-3</v>
      </c>
      <c r="AR18" s="137" t="str">
        <f t="shared" si="9"/>
        <v>US-RFC</v>
      </c>
      <c r="AS18" s="137">
        <f t="shared" si="10"/>
        <v>0.1572017232375979</v>
      </c>
      <c r="AT18" s="137">
        <f t="shared" si="7"/>
        <v>2.1083817232375981E-2</v>
      </c>
      <c r="AU18" s="137">
        <f t="shared" si="7"/>
        <v>1.726488772845953</v>
      </c>
      <c r="AV18" s="137">
        <f t="shared" si="7"/>
        <v>1.034450130548303E-4</v>
      </c>
      <c r="AW18" s="137">
        <f t="shared" si="7"/>
        <v>1.1111357702349871</v>
      </c>
      <c r="AX18" s="137">
        <f t="shared" si="7"/>
        <v>3.4087624020887729E-6</v>
      </c>
      <c r="AY18" s="137">
        <f t="shared" si="7"/>
        <v>3.8593577023498691E-3</v>
      </c>
      <c r="AZ18" s="137">
        <f t="shared" si="7"/>
        <v>1.7634114882506529E-2</v>
      </c>
      <c r="BA18" s="137">
        <f t="shared" si="7"/>
        <v>3.2624020887728464E-2</v>
      </c>
      <c r="BB18" s="137">
        <f t="shared" si="7"/>
        <v>2.912932707561358</v>
      </c>
      <c r="BC18" s="137">
        <f t="shared" si="7"/>
        <v>3.5505169712793734E-3</v>
      </c>
      <c r="BD18" s="137">
        <f t="shared" si="7"/>
        <v>0.15566647519582244</v>
      </c>
      <c r="BE18" s="137">
        <f t="shared" si="7"/>
        <v>4.3130234986945168E-2</v>
      </c>
      <c r="BF18" s="137">
        <f t="shared" si="7"/>
        <v>7.120480417754569E-3</v>
      </c>
      <c r="BG18" s="137">
        <f t="shared" si="7"/>
        <v>8.9466579634464761E-5</v>
      </c>
      <c r="BH18" s="137">
        <f t="shared" si="7"/>
        <v>6.2707206266318538E-2</v>
      </c>
      <c r="BI18" s="137">
        <f t="shared" si="7"/>
        <v>7.2200156657963435E-2</v>
      </c>
      <c r="BJ18" s="137">
        <f t="shared" si="7"/>
        <v>6.0875143603133161E-3</v>
      </c>
      <c r="BK18" s="137">
        <f t="shared" si="7"/>
        <v>3.0403028720626633E-5</v>
      </c>
      <c r="BL18" s="137">
        <f t="shared" si="7"/>
        <v>2.97377545691906E-3</v>
      </c>
      <c r="BM18" s="137">
        <f t="shared" si="7"/>
        <v>-6.2044490861618797E-6</v>
      </c>
      <c r="BN18" s="137">
        <f t="shared" si="7"/>
        <v>4.619305483028721E-9</v>
      </c>
      <c r="BO18" s="137">
        <f t="shared" si="7"/>
        <v>2.8808929503916449E-4</v>
      </c>
      <c r="BP18" s="137">
        <f t="shared" si="7"/>
        <v>2.5211075718015668E-4</v>
      </c>
      <c r="BQ18" s="137">
        <f t="shared" si="7"/>
        <v>4.7894621409921671E-4</v>
      </c>
      <c r="BR18" s="137">
        <f t="shared" si="7"/>
        <v>6.8651174934725846E-6</v>
      </c>
      <c r="BS18" s="137">
        <f t="shared" si="7"/>
        <v>6.5281305483028715E-4</v>
      </c>
      <c r="BT18" s="137">
        <f t="shared" si="7"/>
        <v>5.7361984334203654E-4</v>
      </c>
    </row>
    <row r="19" spans="3:72" x14ac:dyDescent="0.25">
      <c r="C19" s="135">
        <v>17</v>
      </c>
      <c r="D19" s="136" t="s">
        <v>462</v>
      </c>
      <c r="E19" s="153">
        <v>51.075545499999997</v>
      </c>
      <c r="F19" s="154">
        <v>-114.1297544</v>
      </c>
      <c r="G19" s="136"/>
      <c r="H19" s="135" t="s">
        <v>146</v>
      </c>
      <c r="I19" s="136" t="s">
        <v>477</v>
      </c>
      <c r="J19" s="146">
        <v>4</v>
      </c>
      <c r="K19" s="76"/>
      <c r="L19" s="137" t="s">
        <v>188</v>
      </c>
      <c r="M19" s="137">
        <f t="shared" si="8"/>
        <v>1.0443864229765013E-2</v>
      </c>
      <c r="N19" s="137" t="s">
        <v>105</v>
      </c>
      <c r="O19" s="137" t="str">
        <f>L19</f>
        <v>Calculation</v>
      </c>
      <c r="P19" s="137">
        <f>86.3%*P17+10.6%*P12+2.8%*P16+0.3%*P15</f>
        <v>0.67847769000000002</v>
      </c>
      <c r="Q19" s="137">
        <f t="shared" ref="Q19:AQ19" si="11">86.3%*Q17+10.6%*Q12+2.8%*Q16+0.3%*Q15</f>
        <v>0.19620277</v>
      </c>
      <c r="R19" s="137">
        <f t="shared" si="11"/>
        <v>7.5563223000000006</v>
      </c>
      <c r="S19" s="137">
        <f t="shared" si="11"/>
        <v>1.01144233E-3</v>
      </c>
      <c r="T19" s="137">
        <f t="shared" si="11"/>
        <v>1.3784999</v>
      </c>
      <c r="U19" s="137">
        <f t="shared" si="11"/>
        <v>2.1294905999999998E-5</v>
      </c>
      <c r="V19" s="137">
        <f t="shared" si="11"/>
        <v>2.8263087999999999E-2</v>
      </c>
      <c r="W19" s="137">
        <f t="shared" si="11"/>
        <v>0.30176253199999997</v>
      </c>
      <c r="X19" s="137">
        <f t="shared" si="11"/>
        <v>0.8519475179999999</v>
      </c>
      <c r="Y19" s="137">
        <f t="shared" si="11"/>
        <v>10.314030845235999</v>
      </c>
      <c r="Z19" s="137">
        <f t="shared" si="11"/>
        <v>3.0539300800000002E-2</v>
      </c>
      <c r="AA19" s="137">
        <f t="shared" si="11"/>
        <v>0.67356092999999995</v>
      </c>
      <c r="AB19" s="137">
        <f t="shared" si="11"/>
        <v>0.18412026000000001</v>
      </c>
      <c r="AC19" s="137">
        <f t="shared" si="11"/>
        <v>3.7732571999999999E-2</v>
      </c>
      <c r="AD19" s="137">
        <f t="shared" si="11"/>
        <v>9.7971782000000015E-4</v>
      </c>
      <c r="AE19" s="137">
        <f t="shared" si="11"/>
        <v>0.62323666</v>
      </c>
      <c r="AF19" s="137">
        <f t="shared" si="11"/>
        <v>8.9970995999999998E-2</v>
      </c>
      <c r="AG19" s="137">
        <f t="shared" si="11"/>
        <v>3.3332645000000001E-2</v>
      </c>
      <c r="AH19" s="137">
        <f t="shared" si="11"/>
        <v>2.4587857000000005E-4</v>
      </c>
      <c r="AI19" s="137">
        <f t="shared" si="11"/>
        <v>1.1454316000000001E-2</v>
      </c>
      <c r="AJ19" s="137">
        <f t="shared" si="11"/>
        <v>-3.0093904000000001E-5</v>
      </c>
      <c r="AK19" s="137">
        <f t="shared" si="11"/>
        <v>1.4898061E-8</v>
      </c>
      <c r="AL19" s="137">
        <f t="shared" si="11"/>
        <v>3.7640247000000002E-3</v>
      </c>
      <c r="AM19" s="137">
        <f t="shared" si="11"/>
        <v>1.0958183799999999E-3</v>
      </c>
      <c r="AN19" s="137">
        <f t="shared" si="11"/>
        <v>2.1841614999999997E-3</v>
      </c>
      <c r="AO19" s="137">
        <f t="shared" si="11"/>
        <v>2.4877855999999997E-5</v>
      </c>
      <c r="AP19" s="137">
        <f t="shared" si="11"/>
        <v>2.2125630400000001E-3</v>
      </c>
      <c r="AQ19" s="137">
        <f t="shared" si="11"/>
        <v>3.4179144999999999E-3</v>
      </c>
      <c r="AR19" s="137" t="str">
        <f t="shared" si="9"/>
        <v>US-SPP</v>
      </c>
      <c r="AS19" s="137">
        <f t="shared" si="10"/>
        <v>7.0859288772845957E-3</v>
      </c>
      <c r="AT19" s="137">
        <f t="shared" si="7"/>
        <v>2.0491150913838122E-3</v>
      </c>
      <c r="AU19" s="137">
        <f t="shared" si="7"/>
        <v>7.8917204177545705E-2</v>
      </c>
      <c r="AV19" s="137">
        <f t="shared" si="7"/>
        <v>1.056336637075718E-5</v>
      </c>
      <c r="AW19" s="137">
        <f t="shared" si="7"/>
        <v>1.4396865796344648E-2</v>
      </c>
      <c r="AX19" s="137">
        <f t="shared" si="7"/>
        <v>2.2240110704960834E-7</v>
      </c>
      <c r="AY19" s="137">
        <f t="shared" si="7"/>
        <v>2.9517585378590076E-4</v>
      </c>
      <c r="AZ19" s="137">
        <f t="shared" si="7"/>
        <v>3.1515669138381199E-3</v>
      </c>
      <c r="BA19" s="137">
        <f t="shared" si="7"/>
        <v>8.8976242088772833E-3</v>
      </c>
      <c r="BB19" s="137">
        <f t="shared" si="7"/>
        <v>0.10771833780925326</v>
      </c>
      <c r="BC19" s="137">
        <f t="shared" si="7"/>
        <v>3.1894831122715407E-4</v>
      </c>
      <c r="BD19" s="137">
        <f t="shared" si="7"/>
        <v>7.0345789033942558E-3</v>
      </c>
      <c r="BE19" s="137">
        <f t="shared" si="7"/>
        <v>1.9229269973890341E-3</v>
      </c>
      <c r="BF19" s="137">
        <f t="shared" si="7"/>
        <v>3.940738590078329E-4</v>
      </c>
      <c r="BG19" s="137">
        <f t="shared" si="7"/>
        <v>1.023203989556136E-5</v>
      </c>
      <c r="BH19" s="137">
        <f t="shared" si="7"/>
        <v>6.508999060052219E-3</v>
      </c>
      <c r="BI19" s="137">
        <f t="shared" si="7"/>
        <v>9.3964486684073104E-4</v>
      </c>
      <c r="BJ19" s="137">
        <f t="shared" si="7"/>
        <v>3.4812161879895561E-4</v>
      </c>
      <c r="BK19" s="137">
        <f t="shared" si="7"/>
        <v>2.5679224020887735E-6</v>
      </c>
      <c r="BL19" s="137">
        <f t="shared" si="7"/>
        <v>1.1962732114882507E-4</v>
      </c>
      <c r="BM19" s="137">
        <f t="shared" si="7"/>
        <v>-3.1429664751958225E-7</v>
      </c>
      <c r="BN19" s="137">
        <f t="shared" si="7"/>
        <v>1.5559332637075718E-10</v>
      </c>
      <c r="BO19" s="137">
        <f t="shared" si="7"/>
        <v>3.9310962924281986E-5</v>
      </c>
      <c r="BP19" s="137">
        <f t="shared" si="7"/>
        <v>1.1444578381201044E-5</v>
      </c>
      <c r="BQ19" s="137">
        <f t="shared" si="7"/>
        <v>2.2811086161879893E-5</v>
      </c>
      <c r="BR19" s="137">
        <f t="shared" si="7"/>
        <v>2.5982095039164486E-7</v>
      </c>
      <c r="BS19" s="137">
        <f t="shared" si="7"/>
        <v>2.3107707989556139E-5</v>
      </c>
      <c r="BT19" s="137">
        <f t="shared" si="7"/>
        <v>3.569623498694517E-5</v>
      </c>
    </row>
    <row r="20" spans="3:72" x14ac:dyDescent="0.25">
      <c r="C20" s="135">
        <v>18</v>
      </c>
      <c r="D20" s="136" t="s">
        <v>462</v>
      </c>
      <c r="E20" s="153">
        <v>51.075545499999997</v>
      </c>
      <c r="F20" s="154">
        <v>-114.1297544</v>
      </c>
      <c r="G20" s="136"/>
      <c r="H20" s="135" t="s">
        <v>840</v>
      </c>
      <c r="I20" s="136" t="s">
        <v>464</v>
      </c>
      <c r="J20" s="146">
        <f t="shared" ref="J20:J43" si="12">COUNTIF(D3:D385, I20)</f>
        <v>2</v>
      </c>
      <c r="K20" s="76"/>
      <c r="L20" s="137" t="s">
        <v>478</v>
      </c>
      <c r="M20" s="137">
        <f t="shared" si="8"/>
        <v>5.2219321148825066E-3</v>
      </c>
      <c r="N20" s="137" t="s">
        <v>105</v>
      </c>
      <c r="O20" s="137" t="s">
        <v>183</v>
      </c>
      <c r="P20" s="137">
        <v>0.23685999999999999</v>
      </c>
      <c r="Q20" s="137">
        <v>0.32949000000000001</v>
      </c>
      <c r="R20" s="137">
        <v>2.8658000000000001</v>
      </c>
      <c r="S20" s="137">
        <v>4.6886999999999997E-4</v>
      </c>
      <c r="T20" s="137">
        <v>6.7365000000000004</v>
      </c>
      <c r="U20" s="137">
        <v>3.6625999999999998E-5</v>
      </c>
      <c r="V20" s="137">
        <v>0.24278</v>
      </c>
      <c r="W20" s="137">
        <v>8.0057000000000003E-2</v>
      </c>
      <c r="X20" s="137">
        <v>0.35951</v>
      </c>
      <c r="Y20" s="137">
        <f t="shared" si="6"/>
        <v>10.614642496</v>
      </c>
      <c r="Z20" s="137">
        <v>4.3750999999999998E-2</v>
      </c>
      <c r="AA20" s="137">
        <v>0.23449</v>
      </c>
      <c r="AB20" s="137">
        <v>7.8960000000000002E-2</v>
      </c>
      <c r="AC20" s="137">
        <v>2.3636000000000001E-2</v>
      </c>
      <c r="AD20" s="137">
        <v>5.2370000000000002E-5</v>
      </c>
      <c r="AE20" s="137">
        <v>6.1379000000000003E-2</v>
      </c>
      <c r="AF20" s="137">
        <v>0.36813000000000001</v>
      </c>
      <c r="AG20" s="137">
        <v>2.0480999999999999E-2</v>
      </c>
      <c r="AH20" s="137">
        <v>4.5967000000000002E-5</v>
      </c>
      <c r="AI20" s="137">
        <v>1.3114000000000001E-2</v>
      </c>
      <c r="AJ20" s="137">
        <v>-7.8979999999999996E-6</v>
      </c>
      <c r="AK20" s="137">
        <v>1.8938000000000001E-8</v>
      </c>
      <c r="AL20" s="137">
        <v>1.5464999999999999E-4</v>
      </c>
      <c r="AM20" s="137">
        <v>3.7347999999999998E-4</v>
      </c>
      <c r="AN20" s="137">
        <v>3.5846000000000001E-4</v>
      </c>
      <c r="AO20" s="137">
        <v>1.8624E-5</v>
      </c>
      <c r="AP20" s="137">
        <v>1.7676E-3</v>
      </c>
      <c r="AQ20" s="137">
        <v>2.3102999999999999E-3</v>
      </c>
      <c r="AR20" s="137" t="str">
        <f t="shared" si="9"/>
        <v>BE</v>
      </c>
      <c r="AS20" s="137">
        <f t="shared" si="10"/>
        <v>1.2368668407310704E-3</v>
      </c>
      <c r="AT20" s="137">
        <f t="shared" si="7"/>
        <v>1.7205744125326371E-3</v>
      </c>
      <c r="AU20" s="137">
        <f t="shared" si="7"/>
        <v>1.4965013054830289E-2</v>
      </c>
      <c r="AV20" s="137">
        <f t="shared" si="7"/>
        <v>2.4484073107049607E-6</v>
      </c>
      <c r="AW20" s="137">
        <f t="shared" si="7"/>
        <v>3.5177545691906009E-2</v>
      </c>
      <c r="AX20" s="137">
        <f t="shared" si="7"/>
        <v>1.9125848563968668E-7</v>
      </c>
      <c r="AY20" s="137">
        <f t="shared" si="7"/>
        <v>1.267780678851175E-3</v>
      </c>
      <c r="AZ20" s="137">
        <f t="shared" si="7"/>
        <v>4.1805221932114884E-4</v>
      </c>
      <c r="BA20" s="137">
        <f t="shared" si="7"/>
        <v>1.8773368146214099E-3</v>
      </c>
      <c r="BB20" s="137">
        <f t="shared" si="7"/>
        <v>5.5428942537859009E-2</v>
      </c>
      <c r="BC20" s="137">
        <f t="shared" si="7"/>
        <v>2.2846475195822453E-4</v>
      </c>
      <c r="BD20" s="137">
        <f t="shared" si="7"/>
        <v>1.224490861618799E-3</v>
      </c>
      <c r="BE20" s="137">
        <f t="shared" si="7"/>
        <v>4.1232375979112273E-4</v>
      </c>
      <c r="BF20" s="137">
        <f t="shared" si="7"/>
        <v>1.2342558746736293E-4</v>
      </c>
      <c r="BG20" s="137">
        <f t="shared" si="7"/>
        <v>2.7347258485639687E-7</v>
      </c>
      <c r="BH20" s="137">
        <f t="shared" si="7"/>
        <v>3.2051697127937341E-4</v>
      </c>
      <c r="BI20" s="137">
        <f t="shared" si="7"/>
        <v>1.9223498694516971E-3</v>
      </c>
      <c r="BJ20" s="137">
        <f t="shared" si="7"/>
        <v>1.0695039164490861E-4</v>
      </c>
      <c r="BK20" s="137">
        <f t="shared" si="7"/>
        <v>2.4003655352480421E-7</v>
      </c>
      <c r="BL20" s="137">
        <f t="shared" si="7"/>
        <v>6.84804177545692E-5</v>
      </c>
      <c r="BM20" s="137">
        <f t="shared" si="7"/>
        <v>-4.1242819843342034E-8</v>
      </c>
      <c r="BN20" s="137">
        <f t="shared" si="7"/>
        <v>9.8892950391644911E-11</v>
      </c>
      <c r="BO20" s="137">
        <f t="shared" si="7"/>
        <v>8.0757180156657959E-7</v>
      </c>
      <c r="BP20" s="137">
        <f t="shared" si="7"/>
        <v>1.9502872062663183E-6</v>
      </c>
      <c r="BQ20" s="137">
        <f t="shared" si="7"/>
        <v>1.8718537859007833E-6</v>
      </c>
      <c r="BR20" s="137">
        <f t="shared" si="7"/>
        <v>9.7253263707571797E-8</v>
      </c>
      <c r="BS20" s="137">
        <f t="shared" si="7"/>
        <v>9.2302872062663189E-6</v>
      </c>
      <c r="BT20" s="137">
        <f t="shared" si="7"/>
        <v>1.2064229765013054E-5</v>
      </c>
    </row>
    <row r="21" spans="3:72" x14ac:dyDescent="0.25">
      <c r="C21" s="135">
        <v>19</v>
      </c>
      <c r="D21" s="136" t="s">
        <v>459</v>
      </c>
      <c r="E21" s="153">
        <v>49.261045000000003</v>
      </c>
      <c r="F21" s="154">
        <v>-123.2487939</v>
      </c>
      <c r="G21" s="136"/>
      <c r="H21" s="135" t="s">
        <v>841</v>
      </c>
      <c r="I21" s="136" t="s">
        <v>465</v>
      </c>
      <c r="J21" s="146">
        <f t="shared" si="12"/>
        <v>4</v>
      </c>
      <c r="K21" s="76"/>
      <c r="L21" s="137" t="s">
        <v>501</v>
      </c>
      <c r="M21" s="137">
        <f t="shared" si="8"/>
        <v>1.0443864229765013E-2</v>
      </c>
      <c r="N21" s="137" t="s">
        <v>105</v>
      </c>
      <c r="O21" s="137" t="s">
        <v>183</v>
      </c>
      <c r="P21" s="137">
        <v>0.23268</v>
      </c>
      <c r="Q21" s="137">
        <v>0.39996999999999999</v>
      </c>
      <c r="R21" s="137">
        <v>2.5903</v>
      </c>
      <c r="S21" s="137">
        <v>1.8145999999999999E-4</v>
      </c>
      <c r="T21" s="137">
        <v>0.80095000000000005</v>
      </c>
      <c r="U21" s="137">
        <v>6.6119999999999998E-3</v>
      </c>
      <c r="V21" s="137">
        <v>1.9967E-5</v>
      </c>
      <c r="W21" s="137">
        <v>2.8281000000000001</v>
      </c>
      <c r="X21" s="137">
        <v>9.6883999999999998E-2</v>
      </c>
      <c r="Y21" s="137">
        <f t="shared" si="6"/>
        <v>6.7230174270000012</v>
      </c>
      <c r="Z21" s="137">
        <v>5.9201999999999998E-2</v>
      </c>
      <c r="AA21" s="137">
        <v>0.22664000000000001</v>
      </c>
      <c r="AB21" s="137">
        <v>6.9841E-2</v>
      </c>
      <c r="AC21" s="137">
        <v>2.2003000000000002E-2</v>
      </c>
      <c r="AD21" s="137">
        <v>2.8163000000000001E-5</v>
      </c>
      <c r="AE21" s="137">
        <v>4.5560999999999997E-2</v>
      </c>
      <c r="AF21" s="137">
        <v>4.6717000000000002E-2</v>
      </c>
      <c r="AG21" s="137">
        <v>1.8790000000000001E-2</v>
      </c>
      <c r="AH21" s="137">
        <v>8.6252E-5</v>
      </c>
      <c r="AI21" s="137">
        <v>9.9591000000000002E-3</v>
      </c>
      <c r="AJ21" s="137">
        <v>-6.1684000000000001E-6</v>
      </c>
      <c r="AK21" s="137">
        <v>1.3923999999999999E-8</v>
      </c>
      <c r="AL21" s="137">
        <v>3.6685E-4</v>
      </c>
      <c r="AM21" s="137">
        <v>5.2099999999999998E-4</v>
      </c>
      <c r="AN21" s="137">
        <v>8.7036999999999998E-4</v>
      </c>
      <c r="AO21" s="137">
        <v>2.0956000000000001E-5</v>
      </c>
      <c r="AP21" s="137">
        <v>6.3533000000000003E-4</v>
      </c>
      <c r="AQ21" s="137">
        <v>2.1093000000000001E-2</v>
      </c>
      <c r="AR21" s="137" t="str">
        <f t="shared" si="9"/>
        <v>BR</v>
      </c>
      <c r="AS21" s="137">
        <f t="shared" si="10"/>
        <v>2.4300783289817234E-3</v>
      </c>
      <c r="AT21" s="137">
        <f t="shared" si="7"/>
        <v>4.1772323759791119E-3</v>
      </c>
      <c r="AU21" s="137">
        <f t="shared" si="7"/>
        <v>2.7052741514360313E-2</v>
      </c>
      <c r="AV21" s="137">
        <f t="shared" si="7"/>
        <v>1.8951436031331593E-6</v>
      </c>
      <c r="AW21" s="137">
        <f t="shared" si="7"/>
        <v>8.3650130548302871E-3</v>
      </c>
      <c r="AX21" s="137">
        <f t="shared" si="7"/>
        <v>6.9054830287206264E-5</v>
      </c>
      <c r="AY21" s="137">
        <f t="shared" si="7"/>
        <v>2.0853263707571803E-7</v>
      </c>
      <c r="AZ21" s="137">
        <f t="shared" si="7"/>
        <v>2.9536292428198434E-2</v>
      </c>
      <c r="BA21" s="137">
        <f t="shared" si="7"/>
        <v>1.0118433420365535E-3</v>
      </c>
      <c r="BB21" s="137">
        <f t="shared" si="7"/>
        <v>7.0214281221932129E-2</v>
      </c>
      <c r="BC21" s="137">
        <f t="shared" si="7"/>
        <v>6.1829765013054832E-4</v>
      </c>
      <c r="BD21" s="137">
        <f t="shared" si="7"/>
        <v>2.3669973890339427E-3</v>
      </c>
      <c r="BE21" s="137">
        <f t="shared" si="7"/>
        <v>7.2940992167101824E-4</v>
      </c>
      <c r="BF21" s="137">
        <f t="shared" ref="BF21:BF43" si="13">$M21*AC21</f>
        <v>2.2979634464751961E-4</v>
      </c>
      <c r="BG21" s="137">
        <f t="shared" ref="BG21:BG43" si="14">$M21*AD21</f>
        <v>2.9413054830287207E-7</v>
      </c>
      <c r="BH21" s="137">
        <f t="shared" ref="BH21:BH43" si="15">$M21*AE21</f>
        <v>4.7583289817232371E-4</v>
      </c>
      <c r="BI21" s="137">
        <f t="shared" ref="BI21:BI43" si="16">$M21*AF21</f>
        <v>4.8790600522193213E-4</v>
      </c>
      <c r="BJ21" s="137">
        <f t="shared" ref="BJ21:BJ43" si="17">$M21*AG21</f>
        <v>1.9624020887728461E-4</v>
      </c>
      <c r="BK21" s="137">
        <f t="shared" ref="BK21:BK43" si="18">$M21*AH21</f>
        <v>9.008041775456919E-7</v>
      </c>
      <c r="BL21" s="137">
        <f t="shared" ref="BL21:BL43" si="19">$M21*AI21</f>
        <v>1.0401148825065275E-4</v>
      </c>
      <c r="BM21" s="137">
        <f t="shared" ref="BM21:BM43" si="20">$M21*AJ21</f>
        <v>-6.4421932114882507E-8</v>
      </c>
      <c r="BN21" s="137">
        <f t="shared" ref="BN21:BN43" si="21">$M21*AK21</f>
        <v>1.4542036553524805E-10</v>
      </c>
      <c r="BO21" s="137">
        <f t="shared" ref="BO21:BO43" si="22">$M21*AL21</f>
        <v>3.8313315926892954E-6</v>
      </c>
      <c r="BP21" s="137">
        <f t="shared" ref="BP21:BP43" si="23">$M21*AM21</f>
        <v>5.4412532637075718E-6</v>
      </c>
      <c r="BQ21" s="137">
        <f t="shared" ref="BQ21:BQ43" si="24">$M21*AN21</f>
        <v>9.0900261096605738E-6</v>
      </c>
      <c r="BR21" s="137">
        <f t="shared" ref="BR21:BR43" si="25">$M21*AO21</f>
        <v>2.1886161879895563E-7</v>
      </c>
      <c r="BS21" s="137">
        <f t="shared" ref="BS21:BS43" si="26">$M21*AP21</f>
        <v>6.6353002610966065E-6</v>
      </c>
      <c r="BT21" s="137">
        <f t="shared" ref="BT21:BT43" si="27">$M21*AQ21</f>
        <v>2.2029242819843344E-4</v>
      </c>
    </row>
    <row r="22" spans="3:72" x14ac:dyDescent="0.25">
      <c r="C22" s="135">
        <v>20</v>
      </c>
      <c r="D22" s="136" t="s">
        <v>459</v>
      </c>
      <c r="E22" s="153">
        <v>49.261045000000003</v>
      </c>
      <c r="F22" s="154">
        <v>-123.2487939</v>
      </c>
      <c r="G22" s="136"/>
      <c r="H22" s="135" t="s">
        <v>150</v>
      </c>
      <c r="I22" s="136" t="s">
        <v>462</v>
      </c>
      <c r="J22" s="146">
        <f t="shared" si="12"/>
        <v>12</v>
      </c>
      <c r="K22" s="76"/>
      <c r="L22" s="137" t="s">
        <v>479</v>
      </c>
      <c r="M22" s="137">
        <f t="shared" si="8"/>
        <v>3.1331592689295036E-2</v>
      </c>
      <c r="N22" s="137" t="s">
        <v>105</v>
      </c>
      <c r="O22" s="137" t="s">
        <v>183</v>
      </c>
      <c r="P22" s="137">
        <v>0.90586</v>
      </c>
      <c r="Q22" s="137">
        <v>0.11360000000000001</v>
      </c>
      <c r="R22" s="137">
        <v>10.987</v>
      </c>
      <c r="S22" s="137">
        <v>6.6547999999999998E-3</v>
      </c>
      <c r="T22" s="137">
        <v>7.5578999999999993E-2</v>
      </c>
      <c r="U22" s="137">
        <v>2.1916000000000002E-5</v>
      </c>
      <c r="V22" s="137">
        <v>2.8720999999999998E-3</v>
      </c>
      <c r="W22" s="137">
        <v>0.33582000000000001</v>
      </c>
      <c r="X22" s="137">
        <v>0.32369999999999999</v>
      </c>
      <c r="Y22" s="137">
        <f t="shared" ref="Y22:Y43" si="28">SUM(Q22:X22)</f>
        <v>11.845247815999999</v>
      </c>
      <c r="Z22" s="137">
        <v>1.7236999999999999E-2</v>
      </c>
      <c r="AA22" s="137">
        <v>0.90225999999999995</v>
      </c>
      <c r="AB22" s="137">
        <v>0.27978999999999998</v>
      </c>
      <c r="AC22" s="137">
        <v>4.3066E-2</v>
      </c>
      <c r="AD22" s="137">
        <v>1.3973E-3</v>
      </c>
      <c r="AE22" s="137">
        <v>0.84814000000000001</v>
      </c>
      <c r="AF22" s="137">
        <v>5.5382000000000001E-3</v>
      </c>
      <c r="AG22" s="137">
        <v>3.8963999999999999E-2</v>
      </c>
      <c r="AH22" s="137">
        <v>3.4408000000000003E-4</v>
      </c>
      <c r="AI22" s="137">
        <v>1.1514999999999999E-2</v>
      </c>
      <c r="AJ22" s="137">
        <v>-2.1653000000000001E-5</v>
      </c>
      <c r="AK22" s="137">
        <v>3.3242000000000001E-8</v>
      </c>
      <c r="AL22" s="137">
        <v>8.6784999999999998E-4</v>
      </c>
      <c r="AM22" s="137">
        <v>1.6351E-3</v>
      </c>
      <c r="AN22" s="137">
        <v>2.9437E-3</v>
      </c>
      <c r="AO22" s="137">
        <v>1.1583000000000001E-5</v>
      </c>
      <c r="AP22" s="137">
        <v>9.7871000000000004E-4</v>
      </c>
      <c r="AQ22" s="137">
        <v>3.5864E-3</v>
      </c>
      <c r="AR22" s="137" t="str">
        <f t="shared" si="9"/>
        <v>CA-AB</v>
      </c>
      <c r="AS22" s="137">
        <f t="shared" si="10"/>
        <v>2.8382036553524802E-2</v>
      </c>
      <c r="AT22" s="137">
        <f t="shared" ref="AT22:AT43" si="29">$M22*Q22</f>
        <v>3.5592689295039161E-3</v>
      </c>
      <c r="AU22" s="137">
        <f t="shared" ref="AU22:AU43" si="30">$M22*R22</f>
        <v>0.34424020887728457</v>
      </c>
      <c r="AV22" s="137">
        <f t="shared" ref="AV22:AV43" si="31">$M22*S22</f>
        <v>2.0850548302872059E-4</v>
      </c>
      <c r="AW22" s="137">
        <f t="shared" ref="AW22:AW43" si="32">$M22*T22</f>
        <v>2.3680104438642295E-3</v>
      </c>
      <c r="AX22" s="137">
        <f t="shared" ref="AX22:AX43" si="33">$M22*U22</f>
        <v>6.8666318537859005E-7</v>
      </c>
      <c r="AY22" s="137">
        <f t="shared" ref="AY22:AY43" si="34">$M22*V22</f>
        <v>8.9987467362924272E-5</v>
      </c>
      <c r="AZ22" s="137">
        <f t="shared" ref="AZ22:AZ43" si="35">$M22*W22</f>
        <v>1.0521775456919059E-2</v>
      </c>
      <c r="BA22" s="137">
        <f t="shared" ref="BA22:BA43" si="36">$M22*X22</f>
        <v>1.0142036553524802E-2</v>
      </c>
      <c r="BB22" s="137">
        <f t="shared" ref="BB22:BB43" si="37">$M22*Y22</f>
        <v>0.37113047987467357</v>
      </c>
      <c r="BC22" s="137">
        <f t="shared" ref="BC22:BC43" si="38">$M22*Z22</f>
        <v>5.4006266318537847E-4</v>
      </c>
      <c r="BD22" s="137">
        <f t="shared" ref="BD22:BD43" si="39">$M22*AA22</f>
        <v>2.8269242819843339E-2</v>
      </c>
      <c r="BE22" s="137">
        <f t="shared" ref="BE22:BE43" si="40">$M22*AB22</f>
        <v>8.7662663185378575E-3</v>
      </c>
      <c r="BF22" s="137">
        <f t="shared" si="13"/>
        <v>1.34932637075718E-3</v>
      </c>
      <c r="BG22" s="137">
        <f t="shared" si="14"/>
        <v>4.3779634464751952E-5</v>
      </c>
      <c r="BH22" s="137">
        <f t="shared" si="15"/>
        <v>2.6573577023498694E-2</v>
      </c>
      <c r="BI22" s="137">
        <f t="shared" si="16"/>
        <v>1.7352062663185378E-4</v>
      </c>
      <c r="BJ22" s="137">
        <f t="shared" si="17"/>
        <v>1.2208041775456917E-3</v>
      </c>
      <c r="BK22" s="137">
        <f t="shared" si="18"/>
        <v>1.0780574412532637E-5</v>
      </c>
      <c r="BL22" s="137">
        <f t="shared" si="19"/>
        <v>3.6078328981723232E-4</v>
      </c>
      <c r="BM22" s="137">
        <f t="shared" si="20"/>
        <v>-6.784229765013055E-7</v>
      </c>
      <c r="BN22" s="137">
        <f t="shared" si="21"/>
        <v>1.0415248041775456E-9</v>
      </c>
      <c r="BO22" s="137">
        <f t="shared" si="22"/>
        <v>2.7191122715404696E-5</v>
      </c>
      <c r="BP22" s="137">
        <f t="shared" si="23"/>
        <v>5.1230287206266313E-5</v>
      </c>
      <c r="BQ22" s="137">
        <f t="shared" si="24"/>
        <v>9.2230809399477796E-5</v>
      </c>
      <c r="BR22" s="137">
        <f t="shared" si="25"/>
        <v>3.6291383812010441E-7</v>
      </c>
      <c r="BS22" s="137">
        <f t="shared" si="26"/>
        <v>3.0664543080939943E-5</v>
      </c>
      <c r="BT22" s="137">
        <f t="shared" si="27"/>
        <v>1.1236762402088771E-4</v>
      </c>
    </row>
    <row r="23" spans="3:72" x14ac:dyDescent="0.25">
      <c r="C23" s="135">
        <v>21</v>
      </c>
      <c r="D23" s="136" t="s">
        <v>460</v>
      </c>
      <c r="E23" s="153">
        <v>45.948258099999997</v>
      </c>
      <c r="F23" s="154">
        <v>-66.641317900000004</v>
      </c>
      <c r="G23" s="136"/>
      <c r="H23" s="135" t="s">
        <v>150</v>
      </c>
      <c r="I23" s="136" t="s">
        <v>459</v>
      </c>
      <c r="J23" s="146">
        <f t="shared" si="12"/>
        <v>2</v>
      </c>
      <c r="K23" s="76"/>
      <c r="L23" s="137" t="s">
        <v>480</v>
      </c>
      <c r="M23" s="137">
        <f t="shared" si="8"/>
        <v>5.2219321148825066E-3</v>
      </c>
      <c r="N23" s="137" t="s">
        <v>105</v>
      </c>
      <c r="O23" s="137" t="s">
        <v>183</v>
      </c>
      <c r="P23" s="137">
        <v>0.10946</v>
      </c>
      <c r="Q23" s="137">
        <v>0.12706000000000001</v>
      </c>
      <c r="R23" s="137">
        <v>1.3531</v>
      </c>
      <c r="S23" s="137">
        <v>2.8795000000000001E-2</v>
      </c>
      <c r="T23" s="137">
        <v>0.21126</v>
      </c>
      <c r="U23" s="137">
        <v>8.7071E-6</v>
      </c>
      <c r="V23" s="137">
        <v>2.0965E-4</v>
      </c>
      <c r="W23" s="137">
        <v>3.6871</v>
      </c>
      <c r="X23" s="137">
        <v>0.17069000000000001</v>
      </c>
      <c r="Y23" s="137">
        <f t="shared" si="28"/>
        <v>5.5782233571000006</v>
      </c>
      <c r="Z23" s="137">
        <v>2.1402000000000001E-2</v>
      </c>
      <c r="AA23" s="137">
        <v>0.10835</v>
      </c>
      <c r="AB23" s="137">
        <v>3.5213000000000001E-2</v>
      </c>
      <c r="AC23" s="137">
        <v>2.3174E-2</v>
      </c>
      <c r="AD23" s="137">
        <v>9.8233000000000006E-5</v>
      </c>
      <c r="AE23" s="137">
        <v>7.2675000000000003E-2</v>
      </c>
      <c r="AF23" s="137">
        <v>1.3995E-2</v>
      </c>
      <c r="AG23" s="137">
        <v>1.9911000000000002E-2</v>
      </c>
      <c r="AH23" s="137">
        <v>2.7951000000000001E-5</v>
      </c>
      <c r="AI23" s="137">
        <v>9.8767000000000004E-3</v>
      </c>
      <c r="AJ23" s="137">
        <v>-1.7543000000000001E-5</v>
      </c>
      <c r="AK23" s="137">
        <v>5.8137999999999999E-9</v>
      </c>
      <c r="AL23" s="137">
        <v>3.3369999999999998E-4</v>
      </c>
      <c r="AM23" s="137">
        <v>2.1519E-4</v>
      </c>
      <c r="AN23" s="137">
        <v>2.5333000000000002E-4</v>
      </c>
      <c r="AO23" s="137">
        <v>7.6078000000000002E-6</v>
      </c>
      <c r="AP23" s="137">
        <v>6.3239999999999998E-4</v>
      </c>
      <c r="AQ23" s="137">
        <v>2.6249999999999999E-2</v>
      </c>
      <c r="AR23" s="137" t="str">
        <f t="shared" si="9"/>
        <v>CA-BC</v>
      </c>
      <c r="AS23" s="137">
        <f t="shared" si="10"/>
        <v>5.7159268929503923E-4</v>
      </c>
      <c r="AT23" s="137">
        <f t="shared" si="29"/>
        <v>6.6349869451697127E-4</v>
      </c>
      <c r="AU23" s="137">
        <f t="shared" si="30"/>
        <v>7.0657963446475198E-3</v>
      </c>
      <c r="AV23" s="137">
        <f t="shared" si="31"/>
        <v>1.5036553524804179E-4</v>
      </c>
      <c r="AW23" s="137">
        <f t="shared" si="32"/>
        <v>1.1031853785900784E-3</v>
      </c>
      <c r="AX23" s="137">
        <f t="shared" si="33"/>
        <v>4.5467885117493476E-8</v>
      </c>
      <c r="AY23" s="137">
        <f t="shared" si="34"/>
        <v>1.0947780678851175E-6</v>
      </c>
      <c r="AZ23" s="137">
        <f t="shared" si="35"/>
        <v>1.9253785900783291E-2</v>
      </c>
      <c r="BA23" s="137">
        <f t="shared" si="36"/>
        <v>8.9133159268929508E-4</v>
      </c>
      <c r="BB23" s="137">
        <f t="shared" si="37"/>
        <v>2.9129103692428202E-2</v>
      </c>
      <c r="BC23" s="137">
        <f t="shared" si="38"/>
        <v>1.117597911227154E-4</v>
      </c>
      <c r="BD23" s="137">
        <f t="shared" si="39"/>
        <v>5.6579634464751965E-4</v>
      </c>
      <c r="BE23" s="137">
        <f t="shared" si="40"/>
        <v>1.838798955613577E-4</v>
      </c>
      <c r="BF23" s="137">
        <f t="shared" si="13"/>
        <v>1.210130548302872E-4</v>
      </c>
      <c r="BG23" s="137">
        <f t="shared" si="14"/>
        <v>5.1296605744125335E-7</v>
      </c>
      <c r="BH23" s="137">
        <f t="shared" si="15"/>
        <v>3.7950391644908616E-4</v>
      </c>
      <c r="BI23" s="137">
        <f t="shared" si="16"/>
        <v>7.3080939947780686E-5</v>
      </c>
      <c r="BJ23" s="137">
        <f t="shared" si="17"/>
        <v>1.039738903394256E-4</v>
      </c>
      <c r="BK23" s="137">
        <f t="shared" si="18"/>
        <v>1.4595822454308095E-7</v>
      </c>
      <c r="BL23" s="137">
        <f t="shared" si="19"/>
        <v>5.1575456919060056E-5</v>
      </c>
      <c r="BM23" s="137">
        <f t="shared" si="20"/>
        <v>-9.1608355091383817E-8</v>
      </c>
      <c r="BN23" s="137">
        <f t="shared" si="21"/>
        <v>3.0359268929503917E-11</v>
      </c>
      <c r="BO23" s="137">
        <f t="shared" si="22"/>
        <v>1.7425587467362924E-6</v>
      </c>
      <c r="BP23" s="137">
        <f t="shared" si="23"/>
        <v>1.1237075718015665E-6</v>
      </c>
      <c r="BQ23" s="137">
        <f t="shared" si="24"/>
        <v>1.3228720626631855E-6</v>
      </c>
      <c r="BR23" s="137">
        <f t="shared" si="25"/>
        <v>3.9727415143603133E-8</v>
      </c>
      <c r="BS23" s="137">
        <f t="shared" si="26"/>
        <v>3.3023498694516969E-6</v>
      </c>
      <c r="BT23" s="137">
        <f t="shared" si="27"/>
        <v>1.3707571801566579E-4</v>
      </c>
    </row>
    <row r="24" spans="3:72" x14ac:dyDescent="0.25">
      <c r="C24" s="135">
        <v>22</v>
      </c>
      <c r="D24" s="136" t="s">
        <v>456</v>
      </c>
      <c r="E24" s="153">
        <v>45.421379100000003</v>
      </c>
      <c r="F24" s="154">
        <v>-75.696756800000003</v>
      </c>
      <c r="G24" s="136"/>
      <c r="H24" s="135" t="s">
        <v>150</v>
      </c>
      <c r="I24" s="136" t="s">
        <v>460</v>
      </c>
      <c r="J24" s="146">
        <f t="shared" si="12"/>
        <v>1</v>
      </c>
      <c r="K24" s="76"/>
      <c r="L24" s="137" t="s">
        <v>481</v>
      </c>
      <c r="M24" s="137">
        <f t="shared" si="8"/>
        <v>2.6109660574412533E-3</v>
      </c>
      <c r="N24" s="137" t="s">
        <v>105</v>
      </c>
      <c r="O24" s="137" t="s">
        <v>183</v>
      </c>
      <c r="P24" s="137">
        <v>0.43964999999999999</v>
      </c>
      <c r="Q24" s="137">
        <v>2.5468999999999999E-2</v>
      </c>
      <c r="R24" s="137">
        <v>4.8422000000000001</v>
      </c>
      <c r="S24" s="137">
        <v>4.2667999999999997E-4</v>
      </c>
      <c r="T24" s="137">
        <v>5.7473000000000001</v>
      </c>
      <c r="U24" s="137">
        <v>1.1929999999999999E-5</v>
      </c>
      <c r="V24" s="137">
        <v>2.6653E-5</v>
      </c>
      <c r="W24" s="137">
        <v>1.4049</v>
      </c>
      <c r="X24" s="137">
        <v>0.32689000000000001</v>
      </c>
      <c r="Y24" s="137">
        <f t="shared" si="28"/>
        <v>12.347224263000001</v>
      </c>
      <c r="Z24" s="137">
        <v>3.6560000000000002E-2</v>
      </c>
      <c r="AA24" s="137">
        <v>0.43747000000000003</v>
      </c>
      <c r="AB24" s="137">
        <v>0.11616</v>
      </c>
      <c r="AC24" s="137">
        <v>3.2379999999999999E-2</v>
      </c>
      <c r="AD24" s="137">
        <v>5.7030999999999998E-4</v>
      </c>
      <c r="AE24" s="137">
        <v>0.40155999999999997</v>
      </c>
      <c r="AF24" s="137">
        <v>0.51600000000000001</v>
      </c>
      <c r="AG24" s="137">
        <v>2.8757999999999999E-2</v>
      </c>
      <c r="AH24" s="137">
        <v>1.7484999999999999E-4</v>
      </c>
      <c r="AI24" s="137">
        <v>1.3053E-2</v>
      </c>
      <c r="AJ24" s="137">
        <v>-1.6199000000000001E-4</v>
      </c>
      <c r="AK24" s="137">
        <v>1.3497E-8</v>
      </c>
      <c r="AL24" s="137">
        <v>2.3264000000000002E-3</v>
      </c>
      <c r="AM24" s="137">
        <v>1.0748000000000001E-3</v>
      </c>
      <c r="AN24" s="137">
        <v>2.3796999999999998E-3</v>
      </c>
      <c r="AO24" s="137">
        <v>1.4363E-5</v>
      </c>
      <c r="AP24" s="137">
        <v>1.7072999999999999E-3</v>
      </c>
      <c r="AQ24" s="137">
        <v>2.2807000000000001E-2</v>
      </c>
      <c r="AR24" s="137" t="str">
        <f t="shared" si="9"/>
        <v>CA-NB</v>
      </c>
      <c r="AS24" s="137">
        <f t="shared" si="10"/>
        <v>1.147911227154047E-3</v>
      </c>
      <c r="AT24" s="137">
        <f t="shared" si="29"/>
        <v>6.6498694516971277E-5</v>
      </c>
      <c r="AU24" s="137">
        <f t="shared" si="30"/>
        <v>1.2642819843342036E-2</v>
      </c>
      <c r="AV24" s="137">
        <f t="shared" si="31"/>
        <v>1.1140469973890339E-6</v>
      </c>
      <c r="AW24" s="137">
        <f t="shared" si="32"/>
        <v>1.5006005221932116E-2</v>
      </c>
      <c r="AX24" s="137">
        <f t="shared" si="33"/>
        <v>3.1148825065274149E-8</v>
      </c>
      <c r="AY24" s="137">
        <f t="shared" si="34"/>
        <v>6.9590078328981729E-8</v>
      </c>
      <c r="AZ24" s="137">
        <f t="shared" si="35"/>
        <v>3.6681462140992168E-3</v>
      </c>
      <c r="BA24" s="137">
        <f t="shared" si="36"/>
        <v>8.5349869451697134E-4</v>
      </c>
      <c r="BB24" s="137">
        <f t="shared" si="37"/>
        <v>3.2238183454308095E-2</v>
      </c>
      <c r="BC24" s="137">
        <f t="shared" si="38"/>
        <v>9.5456919060052226E-5</v>
      </c>
      <c r="BD24" s="137">
        <f t="shared" si="39"/>
        <v>1.1422193211488251E-3</v>
      </c>
      <c r="BE24" s="137">
        <f t="shared" si="40"/>
        <v>3.03289817232376E-4</v>
      </c>
      <c r="BF24" s="137">
        <f t="shared" si="13"/>
        <v>8.4543080939947785E-5</v>
      </c>
      <c r="BG24" s="137">
        <f t="shared" si="14"/>
        <v>1.4890600522193212E-6</v>
      </c>
      <c r="BH24" s="137">
        <f t="shared" si="15"/>
        <v>1.0484595300261097E-3</v>
      </c>
      <c r="BI24" s="137">
        <f t="shared" si="16"/>
        <v>1.3472584856396867E-3</v>
      </c>
      <c r="BJ24" s="137">
        <f t="shared" si="17"/>
        <v>7.5086161879895562E-5</v>
      </c>
      <c r="BK24" s="137">
        <f t="shared" si="18"/>
        <v>4.5652741514360313E-7</v>
      </c>
      <c r="BL24" s="137">
        <f t="shared" si="19"/>
        <v>3.408093994778068E-5</v>
      </c>
      <c r="BM24" s="137">
        <f t="shared" si="20"/>
        <v>-4.2295039164490865E-7</v>
      </c>
      <c r="BN24" s="137">
        <f t="shared" si="21"/>
        <v>3.5240208877284593E-11</v>
      </c>
      <c r="BO24" s="137">
        <f t="shared" si="22"/>
        <v>6.0741514360313324E-6</v>
      </c>
      <c r="BP24" s="137">
        <f t="shared" si="23"/>
        <v>2.8062663185378593E-6</v>
      </c>
      <c r="BQ24" s="137">
        <f t="shared" si="24"/>
        <v>6.2133159268929496E-6</v>
      </c>
      <c r="BR24" s="137">
        <f t="shared" si="25"/>
        <v>3.7501305483028718E-8</v>
      </c>
      <c r="BS24" s="137">
        <f t="shared" si="26"/>
        <v>4.4577023498694518E-6</v>
      </c>
      <c r="BT24" s="137">
        <f t="shared" si="27"/>
        <v>5.9548302872062668E-5</v>
      </c>
    </row>
    <row r="25" spans="3:72" x14ac:dyDescent="0.25">
      <c r="C25" s="135">
        <v>23</v>
      </c>
      <c r="D25" s="136" t="s">
        <v>456</v>
      </c>
      <c r="E25" s="153">
        <v>43.472979100000003</v>
      </c>
      <c r="F25" s="154">
        <v>-80.540102700000006</v>
      </c>
      <c r="G25" s="136"/>
      <c r="H25" s="135" t="s">
        <v>150</v>
      </c>
      <c r="I25" s="136" t="s">
        <v>456</v>
      </c>
      <c r="J25" s="146">
        <f t="shared" si="12"/>
        <v>10</v>
      </c>
      <c r="K25" s="76"/>
      <c r="L25" s="137" t="s">
        <v>482</v>
      </c>
      <c r="M25" s="137">
        <f t="shared" si="8"/>
        <v>2.6109660574412531E-2</v>
      </c>
      <c r="N25" s="137" t="s">
        <v>105</v>
      </c>
      <c r="O25" s="137" t="s">
        <v>183</v>
      </c>
      <c r="P25" s="137">
        <v>8.548E-2</v>
      </c>
      <c r="Q25" s="137">
        <v>5.9951999999999998E-2</v>
      </c>
      <c r="R25" s="137">
        <v>1.0671999999999999</v>
      </c>
      <c r="S25" s="137">
        <v>2.8515000000000002E-4</v>
      </c>
      <c r="T25" s="137">
        <v>10.146000000000001</v>
      </c>
      <c r="U25" s="137">
        <v>8.0616999999999994E-6</v>
      </c>
      <c r="V25" s="137">
        <v>0.10563</v>
      </c>
      <c r="W25" s="137">
        <v>1.2551000000000001</v>
      </c>
      <c r="X25" s="137">
        <v>0.34033999999999998</v>
      </c>
      <c r="Y25" s="137">
        <f t="shared" si="28"/>
        <v>12.9745152117</v>
      </c>
      <c r="Z25" s="137">
        <v>2.5250000000000002E-2</v>
      </c>
      <c r="AA25" s="137">
        <v>8.4353999999999998E-2</v>
      </c>
      <c r="AB25" s="137">
        <v>2.9763000000000001E-2</v>
      </c>
      <c r="AC25" s="137">
        <v>2.3484999999999999E-2</v>
      </c>
      <c r="AD25" s="137">
        <v>1.9185E-5</v>
      </c>
      <c r="AE25" s="137">
        <v>4.3796000000000002E-2</v>
      </c>
      <c r="AF25" s="137">
        <v>0.90996999999999995</v>
      </c>
      <c r="AG25" s="137">
        <v>2.0254000000000001E-2</v>
      </c>
      <c r="AH25" s="137">
        <v>4.2438000000000003E-5</v>
      </c>
      <c r="AI25" s="137">
        <v>1.4562E-2</v>
      </c>
      <c r="AJ25" s="137">
        <v>-7.2305000000000007E-5</v>
      </c>
      <c r="AK25" s="137">
        <v>7.6071000000000003E-9</v>
      </c>
      <c r="AL25" s="137">
        <v>1.2063E-4</v>
      </c>
      <c r="AM25" s="137">
        <v>1.9804999999999999E-4</v>
      </c>
      <c r="AN25" s="137">
        <v>2.3325E-4</v>
      </c>
      <c r="AO25" s="137">
        <v>1.0144E-5</v>
      </c>
      <c r="AP25" s="137">
        <v>1.6318999999999999E-3</v>
      </c>
      <c r="AQ25" s="137">
        <v>3.2216000000000002E-2</v>
      </c>
      <c r="AR25" s="137" t="str">
        <f t="shared" si="9"/>
        <v>CA-ON</v>
      </c>
      <c r="AS25" s="137">
        <f t="shared" si="10"/>
        <v>2.231853785900783E-3</v>
      </c>
      <c r="AT25" s="137">
        <f t="shared" si="29"/>
        <v>1.5653263707571801E-3</v>
      </c>
      <c r="AU25" s="137">
        <f t="shared" si="30"/>
        <v>2.786422976501305E-2</v>
      </c>
      <c r="AV25" s="137">
        <f t="shared" si="31"/>
        <v>7.445169712793734E-6</v>
      </c>
      <c r="AW25" s="137">
        <f t="shared" si="32"/>
        <v>0.26490861618798955</v>
      </c>
      <c r="AX25" s="137">
        <f t="shared" si="33"/>
        <v>2.1048825065274149E-7</v>
      </c>
      <c r="AY25" s="137">
        <f t="shared" si="34"/>
        <v>2.7579634464751958E-3</v>
      </c>
      <c r="AZ25" s="137">
        <f t="shared" si="35"/>
        <v>3.2770234986945174E-2</v>
      </c>
      <c r="BA25" s="137">
        <f t="shared" si="36"/>
        <v>8.886161879895561E-3</v>
      </c>
      <c r="BB25" s="137">
        <f t="shared" si="37"/>
        <v>0.33876018829503912</v>
      </c>
      <c r="BC25" s="137">
        <f t="shared" si="38"/>
        <v>6.5926892950391651E-4</v>
      </c>
      <c r="BD25" s="137">
        <f t="shared" si="39"/>
        <v>2.2024543080939947E-3</v>
      </c>
      <c r="BE25" s="137">
        <f t="shared" si="40"/>
        <v>7.7710182767624025E-4</v>
      </c>
      <c r="BF25" s="137">
        <f t="shared" si="13"/>
        <v>6.1318537859007826E-4</v>
      </c>
      <c r="BG25" s="137">
        <f t="shared" si="14"/>
        <v>5.0091383812010446E-7</v>
      </c>
      <c r="BH25" s="137">
        <f t="shared" si="15"/>
        <v>1.1434986945169712E-3</v>
      </c>
      <c r="BI25" s="137">
        <f t="shared" si="16"/>
        <v>2.3759007832898169E-2</v>
      </c>
      <c r="BJ25" s="137">
        <f t="shared" si="17"/>
        <v>5.2882506527415145E-4</v>
      </c>
      <c r="BK25" s="137">
        <f t="shared" si="18"/>
        <v>1.1080417754569191E-6</v>
      </c>
      <c r="BL25" s="137">
        <f t="shared" si="19"/>
        <v>3.8020887728459527E-4</v>
      </c>
      <c r="BM25" s="137">
        <f t="shared" si="20"/>
        <v>-1.8878590078328983E-6</v>
      </c>
      <c r="BN25" s="137">
        <f t="shared" si="21"/>
        <v>1.9861879895561358E-10</v>
      </c>
      <c r="BO25" s="137">
        <f t="shared" si="22"/>
        <v>3.1496083550913836E-6</v>
      </c>
      <c r="BP25" s="137">
        <f t="shared" si="23"/>
        <v>5.1710182767624016E-6</v>
      </c>
      <c r="BQ25" s="137">
        <f t="shared" si="24"/>
        <v>6.0900783289817227E-6</v>
      </c>
      <c r="BR25" s="137">
        <f t="shared" si="25"/>
        <v>2.6485639686684071E-7</v>
      </c>
      <c r="BS25" s="137">
        <f t="shared" si="26"/>
        <v>4.260835509138381E-5</v>
      </c>
      <c r="BT25" s="137">
        <f t="shared" si="27"/>
        <v>8.4114882506527414E-4</v>
      </c>
    </row>
    <row r="26" spans="3:72" x14ac:dyDescent="0.25">
      <c r="C26" s="135">
        <v>24</v>
      </c>
      <c r="D26" s="136" t="s">
        <v>456</v>
      </c>
      <c r="E26" s="153">
        <v>43.638886499999998</v>
      </c>
      <c r="F26" s="154">
        <v>-79.380352000000002</v>
      </c>
      <c r="G26" s="136"/>
      <c r="H26" s="135" t="s">
        <v>150</v>
      </c>
      <c r="I26" s="136" t="s">
        <v>461</v>
      </c>
      <c r="J26" s="146">
        <f t="shared" si="12"/>
        <v>2</v>
      </c>
      <c r="K26" s="76"/>
      <c r="L26" s="137" t="s">
        <v>483</v>
      </c>
      <c r="M26" s="137">
        <f t="shared" si="8"/>
        <v>5.2219321148825066E-3</v>
      </c>
      <c r="N26" s="137" t="s">
        <v>105</v>
      </c>
      <c r="O26" s="137" t="s">
        <v>183</v>
      </c>
      <c r="P26" s="137">
        <v>0.30836999999999998</v>
      </c>
      <c r="Q26" s="137">
        <v>1.9800999999999999E-2</v>
      </c>
      <c r="R26" s="137">
        <v>3.3826000000000001</v>
      </c>
      <c r="S26" s="137">
        <v>3.9162000000000002E-4</v>
      </c>
      <c r="T26" s="137">
        <v>3.8696000000000002</v>
      </c>
      <c r="U26" s="137">
        <v>9.8081000000000002E-6</v>
      </c>
      <c r="V26" s="137">
        <v>2.4477000000000001E-3</v>
      </c>
      <c r="W26" s="137">
        <v>0.95</v>
      </c>
      <c r="X26" s="137">
        <v>1.8423</v>
      </c>
      <c r="Y26" s="137">
        <f t="shared" si="28"/>
        <v>10.0671501281</v>
      </c>
      <c r="Z26" s="137">
        <v>2.5205999999999999E-2</v>
      </c>
      <c r="AA26" s="137">
        <v>0.30681999999999998</v>
      </c>
      <c r="AB26" s="137">
        <v>8.1132999999999997E-2</v>
      </c>
      <c r="AC26" s="137">
        <v>3.0986E-2</v>
      </c>
      <c r="AD26" s="137">
        <v>3.8996000000000001E-4</v>
      </c>
      <c r="AE26" s="137">
        <v>0.27972999999999998</v>
      </c>
      <c r="AF26" s="137">
        <v>0.34736</v>
      </c>
      <c r="AG26" s="137">
        <v>2.7262999999999999E-2</v>
      </c>
      <c r="AH26" s="137">
        <v>1.2126E-4</v>
      </c>
      <c r="AI26" s="137">
        <v>1.4295E-2</v>
      </c>
      <c r="AJ26" s="137">
        <v>-1.1064E-4</v>
      </c>
      <c r="AK26" s="137">
        <v>9.9186999999999997E-9</v>
      </c>
      <c r="AL26" s="137">
        <v>1.5946000000000001E-3</v>
      </c>
      <c r="AM26" s="137">
        <v>7.7083000000000002E-4</v>
      </c>
      <c r="AN26" s="137">
        <v>1.655E-3</v>
      </c>
      <c r="AO26" s="137">
        <v>1.1736000000000001E-5</v>
      </c>
      <c r="AP26" s="137">
        <v>1.8688999999999999E-3</v>
      </c>
      <c r="AQ26" s="137">
        <v>1.5413E-2</v>
      </c>
      <c r="AR26" s="137" t="str">
        <f t="shared" si="9"/>
        <v>CA-PE</v>
      </c>
      <c r="AS26" s="137">
        <f t="shared" si="10"/>
        <v>1.6102872062663184E-3</v>
      </c>
      <c r="AT26" s="137">
        <f t="shared" si="29"/>
        <v>1.0339947780678851E-4</v>
      </c>
      <c r="AU26" s="137">
        <f t="shared" si="30"/>
        <v>1.7663707571801569E-2</v>
      </c>
      <c r="AV26" s="137">
        <f t="shared" si="31"/>
        <v>2.0450130548302871E-6</v>
      </c>
      <c r="AW26" s="137">
        <f t="shared" si="32"/>
        <v>2.0206788511749348E-2</v>
      </c>
      <c r="AX26" s="137">
        <f t="shared" si="33"/>
        <v>5.1217232375979114E-8</v>
      </c>
      <c r="AY26" s="137">
        <f t="shared" si="34"/>
        <v>1.2781723237597912E-5</v>
      </c>
      <c r="AZ26" s="137">
        <f t="shared" si="35"/>
        <v>4.960835509138381E-3</v>
      </c>
      <c r="BA26" s="137">
        <f t="shared" si="36"/>
        <v>9.6203655352480426E-3</v>
      </c>
      <c r="BB26" s="137">
        <f t="shared" si="37"/>
        <v>5.2569974559268928E-2</v>
      </c>
      <c r="BC26" s="137">
        <f t="shared" si="38"/>
        <v>1.3162402088772845E-4</v>
      </c>
      <c r="BD26" s="137">
        <f t="shared" si="39"/>
        <v>1.6021932114882505E-3</v>
      </c>
      <c r="BE26" s="137">
        <f t="shared" si="40"/>
        <v>4.236710182767624E-4</v>
      </c>
      <c r="BF26" s="137">
        <f t="shared" si="13"/>
        <v>1.6180678851174935E-4</v>
      </c>
      <c r="BG26" s="137">
        <f t="shared" si="14"/>
        <v>2.0363446475195825E-6</v>
      </c>
      <c r="BH26" s="137">
        <f t="shared" si="15"/>
        <v>1.4607310704960834E-3</v>
      </c>
      <c r="BI26" s="137">
        <f t="shared" si="16"/>
        <v>1.8138903394255875E-3</v>
      </c>
      <c r="BJ26" s="137">
        <f t="shared" si="17"/>
        <v>1.4236553524804178E-4</v>
      </c>
      <c r="BK26" s="137">
        <f t="shared" si="18"/>
        <v>6.3321148825065271E-7</v>
      </c>
      <c r="BL26" s="137">
        <f t="shared" si="19"/>
        <v>7.4647519582245439E-5</v>
      </c>
      <c r="BM26" s="137">
        <f t="shared" si="20"/>
        <v>-5.7775456919060057E-7</v>
      </c>
      <c r="BN26" s="137">
        <f t="shared" si="21"/>
        <v>5.1794778067885118E-11</v>
      </c>
      <c r="BO26" s="137">
        <f t="shared" si="22"/>
        <v>8.3268929503916459E-6</v>
      </c>
      <c r="BP26" s="137">
        <f t="shared" si="23"/>
        <v>4.0252219321148826E-6</v>
      </c>
      <c r="BQ26" s="137">
        <f t="shared" si="24"/>
        <v>8.6422976501305489E-6</v>
      </c>
      <c r="BR26" s="137">
        <f t="shared" si="25"/>
        <v>6.1284595300261105E-8</v>
      </c>
      <c r="BS26" s="137">
        <f t="shared" si="26"/>
        <v>9.7592689295039161E-6</v>
      </c>
      <c r="BT26" s="137">
        <f t="shared" si="27"/>
        <v>8.0485639686684075E-5</v>
      </c>
    </row>
    <row r="27" spans="3:72" x14ac:dyDescent="0.25">
      <c r="C27" s="135">
        <v>25</v>
      </c>
      <c r="D27" s="136" t="s">
        <v>456</v>
      </c>
      <c r="E27" s="153">
        <v>43.660848999999999</v>
      </c>
      <c r="F27" s="154">
        <v>-79.395494299999996</v>
      </c>
      <c r="G27" s="136"/>
      <c r="H27" s="135" t="s">
        <v>150</v>
      </c>
      <c r="I27" s="136" t="s">
        <v>458</v>
      </c>
      <c r="J27" s="146">
        <f t="shared" si="12"/>
        <v>16</v>
      </c>
      <c r="K27" s="76"/>
      <c r="L27" s="137" t="s">
        <v>484</v>
      </c>
      <c r="M27" s="137">
        <f t="shared" si="8"/>
        <v>4.1775456919060053E-2</v>
      </c>
      <c r="N27" s="137" t="s">
        <v>105</v>
      </c>
      <c r="O27" s="137" t="s">
        <v>183</v>
      </c>
      <c r="P27" s="137">
        <v>2.8185999999999999E-2</v>
      </c>
      <c r="Q27" s="137">
        <v>3.2566999999999999E-2</v>
      </c>
      <c r="R27" s="137">
        <v>0.13200000000000001</v>
      </c>
      <c r="S27" s="137">
        <v>5.7797000000000002E-5</v>
      </c>
      <c r="T27" s="137">
        <v>0.20954</v>
      </c>
      <c r="U27" s="137">
        <v>5.6477000000000002E-6</v>
      </c>
      <c r="V27" s="137">
        <v>6.6699000000000006E-5</v>
      </c>
      <c r="W27" s="137">
        <v>4.0952999999999999</v>
      </c>
      <c r="X27" s="137">
        <v>0.21013999999999999</v>
      </c>
      <c r="Y27" s="137">
        <f t="shared" si="28"/>
        <v>4.6796771437000002</v>
      </c>
      <c r="Z27" s="137">
        <v>0.16053000000000001</v>
      </c>
      <c r="AA27" s="137">
        <v>2.7890000000000002E-2</v>
      </c>
      <c r="AB27" s="137">
        <v>3.2020999999999998E-3</v>
      </c>
      <c r="AC27" s="137">
        <v>3.8202000000000002E-3</v>
      </c>
      <c r="AD27" s="137">
        <v>3.7459999999999998E-6</v>
      </c>
      <c r="AE27" s="137">
        <v>5.7517999999999996E-3</v>
      </c>
      <c r="AF27" s="137">
        <v>1.8866999999999998E-2</v>
      </c>
      <c r="AG27" s="137">
        <v>3.2953000000000001E-3</v>
      </c>
      <c r="AH27" s="137">
        <v>3.7455E-6</v>
      </c>
      <c r="AI27" s="137">
        <v>2.5293E-3</v>
      </c>
      <c r="AJ27" s="137">
        <v>-7.6970999999999995E-4</v>
      </c>
      <c r="AK27" s="137">
        <v>1.0998000000000001E-9</v>
      </c>
      <c r="AL27" s="137">
        <v>2.9618E-5</v>
      </c>
      <c r="AM27" s="137">
        <v>5.9051000000000001E-5</v>
      </c>
      <c r="AN27" s="137">
        <v>6.6569000000000006E-5</v>
      </c>
      <c r="AO27" s="137">
        <v>1.5144000000000001E-6</v>
      </c>
      <c r="AP27" s="137">
        <v>9.2599000000000002E-4</v>
      </c>
      <c r="AQ27" s="137">
        <v>2.2096999999999999E-2</v>
      </c>
      <c r="AR27" s="137" t="str">
        <f t="shared" si="9"/>
        <v>CA-QC</v>
      </c>
      <c r="AS27" s="137">
        <f t="shared" si="10"/>
        <v>1.1774830287206266E-3</v>
      </c>
      <c r="AT27" s="137">
        <f t="shared" si="29"/>
        <v>1.3605013054830287E-3</v>
      </c>
      <c r="AU27" s="137">
        <f t="shared" si="30"/>
        <v>5.5143603133159273E-3</v>
      </c>
      <c r="AV27" s="137">
        <f t="shared" si="31"/>
        <v>2.4144960835509138E-6</v>
      </c>
      <c r="AW27" s="137">
        <f t="shared" si="32"/>
        <v>8.753629242819843E-3</v>
      </c>
      <c r="AX27" s="137">
        <f t="shared" si="33"/>
        <v>2.3593524804177545E-7</v>
      </c>
      <c r="AY27" s="137">
        <f t="shared" si="34"/>
        <v>2.7863812010443867E-6</v>
      </c>
      <c r="AZ27" s="137">
        <f t="shared" si="35"/>
        <v>0.17108302872062664</v>
      </c>
      <c r="BA27" s="137">
        <f t="shared" si="36"/>
        <v>8.7786945169712784E-3</v>
      </c>
      <c r="BB27" s="137">
        <f t="shared" si="37"/>
        <v>0.19549565091174936</v>
      </c>
      <c r="BC27" s="137">
        <f t="shared" si="38"/>
        <v>6.7062140992167106E-3</v>
      </c>
      <c r="BD27" s="137">
        <f t="shared" si="39"/>
        <v>1.1651174934725849E-3</v>
      </c>
      <c r="BE27" s="137">
        <f t="shared" si="40"/>
        <v>1.3376919060052218E-4</v>
      </c>
      <c r="BF27" s="137">
        <f t="shared" si="13"/>
        <v>1.5959060052219323E-4</v>
      </c>
      <c r="BG27" s="137">
        <f t="shared" si="14"/>
        <v>1.5649086161879896E-7</v>
      </c>
      <c r="BH27" s="137">
        <f t="shared" si="15"/>
        <v>2.4028407310704961E-4</v>
      </c>
      <c r="BI27" s="137">
        <f t="shared" si="16"/>
        <v>7.8817754569190598E-4</v>
      </c>
      <c r="BJ27" s="137">
        <f t="shared" si="17"/>
        <v>1.3766266318537859E-4</v>
      </c>
      <c r="BK27" s="137">
        <f t="shared" si="18"/>
        <v>1.5646997389033942E-7</v>
      </c>
      <c r="BL27" s="137">
        <f t="shared" si="19"/>
        <v>1.0566266318537859E-4</v>
      </c>
      <c r="BM27" s="137">
        <f t="shared" si="20"/>
        <v>-3.2154986945169712E-5</v>
      </c>
      <c r="BN27" s="137">
        <f t="shared" si="21"/>
        <v>4.594464751958225E-11</v>
      </c>
      <c r="BO27" s="137">
        <f t="shared" si="22"/>
        <v>1.2373054830287206E-6</v>
      </c>
      <c r="BP27" s="137">
        <f t="shared" si="23"/>
        <v>2.4668825065274151E-6</v>
      </c>
      <c r="BQ27" s="137">
        <f t="shared" si="24"/>
        <v>2.7809503916449087E-6</v>
      </c>
      <c r="BR27" s="137">
        <f t="shared" si="25"/>
        <v>6.3264751958224552E-8</v>
      </c>
      <c r="BS27" s="137">
        <f t="shared" si="26"/>
        <v>3.8683655352480422E-5</v>
      </c>
      <c r="BT27" s="137">
        <f t="shared" si="27"/>
        <v>9.2311227154046993E-4</v>
      </c>
    </row>
    <row r="28" spans="3:72" x14ac:dyDescent="0.25">
      <c r="C28" s="135">
        <v>26</v>
      </c>
      <c r="D28" s="136" t="s">
        <v>456</v>
      </c>
      <c r="E28" s="153">
        <v>43.660848999999999</v>
      </c>
      <c r="F28" s="154">
        <v>-79.395494299999996</v>
      </c>
      <c r="G28" s="136"/>
      <c r="H28" s="135" t="s">
        <v>150</v>
      </c>
      <c r="I28" s="136" t="s">
        <v>457</v>
      </c>
      <c r="J28" s="146">
        <f t="shared" si="12"/>
        <v>1</v>
      </c>
      <c r="K28" s="76"/>
      <c r="L28" s="137" t="s">
        <v>485</v>
      </c>
      <c r="M28" s="137">
        <f t="shared" si="8"/>
        <v>2.6109660574412533E-3</v>
      </c>
      <c r="N28" s="137" t="s">
        <v>105</v>
      </c>
      <c r="O28" s="137" t="s">
        <v>183</v>
      </c>
      <c r="P28" s="137">
        <v>0.84511000000000003</v>
      </c>
      <c r="Q28" s="137">
        <v>1.0496E-2</v>
      </c>
      <c r="R28" s="137">
        <v>10.295999999999999</v>
      </c>
      <c r="S28" s="137">
        <v>5.9292999999999998E-4</v>
      </c>
      <c r="T28" s="137">
        <v>3.6282000000000002E-2</v>
      </c>
      <c r="U28" s="137">
        <v>1.6388999999999998E-5</v>
      </c>
      <c r="V28" s="137">
        <v>1.1141999999999999E-5</v>
      </c>
      <c r="W28" s="137">
        <v>0.72026999999999997</v>
      </c>
      <c r="X28" s="137">
        <v>0.14241999999999999</v>
      </c>
      <c r="Y28" s="137">
        <f t="shared" si="28"/>
        <v>11.206088460999998</v>
      </c>
      <c r="Z28" s="137">
        <v>8.9189999999999998E-3</v>
      </c>
      <c r="AA28" s="137">
        <v>0.84136</v>
      </c>
      <c r="AB28" s="137">
        <v>0.26429999999999998</v>
      </c>
      <c r="AC28" s="137">
        <v>4.0586999999999998E-2</v>
      </c>
      <c r="AD28" s="137">
        <v>1.2528000000000001E-3</v>
      </c>
      <c r="AE28" s="137">
        <v>0.76065000000000005</v>
      </c>
      <c r="AF28" s="137">
        <v>2.9269000000000001E-3</v>
      </c>
      <c r="AG28" s="137">
        <v>3.6635000000000001E-2</v>
      </c>
      <c r="AH28" s="137">
        <v>3.0874E-4</v>
      </c>
      <c r="AI28" s="137">
        <v>1.1108E-2</v>
      </c>
      <c r="AJ28" s="137">
        <v>-4.3112000000000003E-5</v>
      </c>
      <c r="AK28" s="137">
        <v>3.6260000000000002E-8</v>
      </c>
      <c r="AL28" s="137">
        <v>7.6325000000000004E-4</v>
      </c>
      <c r="AM28" s="137">
        <v>1.4973E-3</v>
      </c>
      <c r="AN28" s="137">
        <v>2.6665E-3</v>
      </c>
      <c r="AO28" s="137">
        <v>9.9343000000000008E-6</v>
      </c>
      <c r="AP28" s="137">
        <v>7.3174000000000004E-4</v>
      </c>
      <c r="AQ28" s="137">
        <v>6.8953E-3</v>
      </c>
      <c r="AR28" s="137" t="str">
        <f t="shared" si="9"/>
        <v>CA-SK</v>
      </c>
      <c r="AS28" s="137">
        <f t="shared" si="10"/>
        <v>2.2065535248041775E-3</v>
      </c>
      <c r="AT28" s="137">
        <f t="shared" si="29"/>
        <v>2.7404699738903394E-5</v>
      </c>
      <c r="AU28" s="137">
        <f t="shared" si="30"/>
        <v>2.6882506527415143E-2</v>
      </c>
      <c r="AV28" s="137">
        <f t="shared" si="31"/>
        <v>1.5481201044386423E-6</v>
      </c>
      <c r="AW28" s="137">
        <f t="shared" si="32"/>
        <v>9.4731070496083551E-5</v>
      </c>
      <c r="AX28" s="137">
        <f t="shared" si="33"/>
        <v>4.2791122715404697E-8</v>
      </c>
      <c r="AY28" s="137">
        <f t="shared" si="34"/>
        <v>2.9091383812010443E-8</v>
      </c>
      <c r="AZ28" s="137">
        <f t="shared" si="35"/>
        <v>1.8806005221932115E-3</v>
      </c>
      <c r="BA28" s="137">
        <f t="shared" si="36"/>
        <v>3.7185378590078326E-4</v>
      </c>
      <c r="BB28" s="137">
        <f t="shared" si="37"/>
        <v>2.9258716608355089E-2</v>
      </c>
      <c r="BC28" s="137">
        <f t="shared" si="38"/>
        <v>2.3287206266318539E-5</v>
      </c>
      <c r="BD28" s="137">
        <f t="shared" si="39"/>
        <v>2.196762402088773E-3</v>
      </c>
      <c r="BE28" s="137">
        <f t="shared" si="40"/>
        <v>6.9007832898172316E-4</v>
      </c>
      <c r="BF28" s="137">
        <f t="shared" si="13"/>
        <v>1.0597127937336814E-4</v>
      </c>
      <c r="BG28" s="137">
        <f t="shared" si="14"/>
        <v>3.2710182767624024E-6</v>
      </c>
      <c r="BH28" s="137">
        <f t="shared" si="15"/>
        <v>1.9860313315926896E-3</v>
      </c>
      <c r="BI28" s="137">
        <f t="shared" si="16"/>
        <v>7.6420365535248053E-6</v>
      </c>
      <c r="BJ28" s="137">
        <f t="shared" si="17"/>
        <v>9.5652741514360315E-5</v>
      </c>
      <c r="BK28" s="137">
        <f t="shared" si="18"/>
        <v>8.0610966057441253E-7</v>
      </c>
      <c r="BL28" s="137">
        <f t="shared" si="19"/>
        <v>2.9002610966057441E-5</v>
      </c>
      <c r="BM28" s="137">
        <f t="shared" si="20"/>
        <v>-1.1256396866840732E-7</v>
      </c>
      <c r="BN28" s="137">
        <f t="shared" si="21"/>
        <v>9.4673629242819853E-11</v>
      </c>
      <c r="BO28" s="137">
        <f t="shared" si="22"/>
        <v>1.9928198433420369E-6</v>
      </c>
      <c r="BP28" s="137">
        <f t="shared" si="23"/>
        <v>3.9093994778067886E-6</v>
      </c>
      <c r="BQ28" s="137">
        <f t="shared" si="24"/>
        <v>6.9621409921671021E-6</v>
      </c>
      <c r="BR28" s="137">
        <f t="shared" si="25"/>
        <v>2.5938120104438645E-8</v>
      </c>
      <c r="BS28" s="137">
        <f t="shared" si="26"/>
        <v>1.9105483028720626E-6</v>
      </c>
      <c r="BT28" s="137">
        <f t="shared" si="27"/>
        <v>1.8003394255874675E-5</v>
      </c>
    </row>
    <row r="29" spans="3:72" x14ac:dyDescent="0.25">
      <c r="C29" s="135">
        <v>27</v>
      </c>
      <c r="D29" s="136" t="s">
        <v>456</v>
      </c>
      <c r="E29" s="153">
        <v>43.660848999999999</v>
      </c>
      <c r="F29" s="154">
        <v>-79.395494299999996</v>
      </c>
      <c r="G29" s="136"/>
      <c r="H29" s="135" t="s">
        <v>148</v>
      </c>
      <c r="I29" s="136" t="s">
        <v>271</v>
      </c>
      <c r="J29" s="146">
        <f t="shared" si="12"/>
        <v>5</v>
      </c>
      <c r="K29" s="76"/>
      <c r="L29" s="137" t="s">
        <v>486</v>
      </c>
      <c r="M29" s="137">
        <f t="shared" si="8"/>
        <v>1.3054830287206266E-2</v>
      </c>
      <c r="N29" s="137" t="s">
        <v>105</v>
      </c>
      <c r="O29" s="137" t="s">
        <v>183</v>
      </c>
      <c r="P29" s="137">
        <v>0.10376000000000001</v>
      </c>
      <c r="Q29" s="137">
        <v>0.33182</v>
      </c>
      <c r="R29" s="137">
        <v>1.2367999999999999</v>
      </c>
      <c r="S29" s="137">
        <v>6.1066000000000002E-3</v>
      </c>
      <c r="T29" s="137">
        <v>3.6154999999999999</v>
      </c>
      <c r="U29" s="137">
        <v>3.9566E-5</v>
      </c>
      <c r="V29" s="137">
        <v>6.4838000000000007E-2</v>
      </c>
      <c r="W29" s="137">
        <v>2.4839000000000002</v>
      </c>
      <c r="X29" s="137">
        <v>0.13650000000000001</v>
      </c>
      <c r="Y29" s="137">
        <f t="shared" si="28"/>
        <v>7.8755041659999998</v>
      </c>
      <c r="Z29" s="137">
        <v>3.6327999999999999E-2</v>
      </c>
      <c r="AA29" s="137">
        <v>0.10259</v>
      </c>
      <c r="AB29" s="137">
        <v>3.0915000000000002E-2</v>
      </c>
      <c r="AC29" s="137">
        <v>7.3470000000000002E-3</v>
      </c>
      <c r="AD29" s="137">
        <v>1.043E-4</v>
      </c>
      <c r="AE29" s="137">
        <v>8.4006999999999998E-2</v>
      </c>
      <c r="AF29" s="137">
        <v>0.23549999999999999</v>
      </c>
      <c r="AG29" s="137">
        <v>6.5338000000000002E-3</v>
      </c>
      <c r="AH29" s="137">
        <v>4.2456999999999997E-5</v>
      </c>
      <c r="AI29" s="137">
        <v>1.0982E-2</v>
      </c>
      <c r="AJ29" s="137">
        <v>-9.5920000000000007E-6</v>
      </c>
      <c r="AK29" s="137">
        <v>5.2223999999999997E-9</v>
      </c>
      <c r="AL29" s="137">
        <v>1.8409000000000001E-4</v>
      </c>
      <c r="AM29" s="137">
        <v>2.7399E-4</v>
      </c>
      <c r="AN29" s="137">
        <v>4.3576999999999998E-4</v>
      </c>
      <c r="AO29" s="137">
        <v>9.2793999999999996E-6</v>
      </c>
      <c r="AP29" s="137">
        <v>1.1012000000000001E-3</v>
      </c>
      <c r="AQ29" s="137">
        <v>9.5698999999999992E-3</v>
      </c>
      <c r="AR29" s="137" t="str">
        <f t="shared" si="9"/>
        <v>CH</v>
      </c>
      <c r="AS29" s="137">
        <f t="shared" si="10"/>
        <v>1.3545691906005223E-3</v>
      </c>
      <c r="AT29" s="137">
        <f t="shared" si="29"/>
        <v>4.3318537859007829E-3</v>
      </c>
      <c r="AU29" s="137">
        <f t="shared" si="30"/>
        <v>1.6146214099216707E-2</v>
      </c>
      <c r="AV29" s="137">
        <f t="shared" si="31"/>
        <v>7.972062663185379E-5</v>
      </c>
      <c r="AW29" s="137">
        <f t="shared" si="32"/>
        <v>4.7199738903394253E-2</v>
      </c>
      <c r="AX29" s="137">
        <f t="shared" si="33"/>
        <v>5.1652741514360308E-7</v>
      </c>
      <c r="AY29" s="137">
        <f t="shared" si="34"/>
        <v>8.4644908616187992E-4</v>
      </c>
      <c r="AZ29" s="137">
        <f t="shared" si="35"/>
        <v>3.2426892950391646E-2</v>
      </c>
      <c r="BA29" s="137">
        <f t="shared" si="36"/>
        <v>1.7819843342036553E-3</v>
      </c>
      <c r="BB29" s="137">
        <f t="shared" si="37"/>
        <v>0.10281337031331592</v>
      </c>
      <c r="BC29" s="137">
        <f t="shared" si="38"/>
        <v>4.7425587467362918E-4</v>
      </c>
      <c r="BD29" s="137">
        <f t="shared" si="39"/>
        <v>1.3392950391644908E-3</v>
      </c>
      <c r="BE29" s="137">
        <f t="shared" si="40"/>
        <v>4.035900783289817E-4</v>
      </c>
      <c r="BF29" s="137">
        <f t="shared" si="13"/>
        <v>9.5913838120104434E-5</v>
      </c>
      <c r="BG29" s="137">
        <f t="shared" si="14"/>
        <v>1.3616187989556135E-6</v>
      </c>
      <c r="BH29" s="137">
        <f t="shared" si="15"/>
        <v>1.0966971279373367E-3</v>
      </c>
      <c r="BI29" s="137">
        <f t="shared" si="16"/>
        <v>3.0744125326370754E-3</v>
      </c>
      <c r="BJ29" s="137">
        <f t="shared" si="17"/>
        <v>8.5297650130548307E-5</v>
      </c>
      <c r="BK29" s="137">
        <f t="shared" si="18"/>
        <v>5.542689295039164E-7</v>
      </c>
      <c r="BL29" s="137">
        <f t="shared" si="19"/>
        <v>1.4336814621409921E-4</v>
      </c>
      <c r="BM29" s="137">
        <f t="shared" si="20"/>
        <v>-1.252219321148825E-7</v>
      </c>
      <c r="BN29" s="137">
        <f t="shared" si="21"/>
        <v>6.8177545691905992E-11</v>
      </c>
      <c r="BO29" s="137">
        <f t="shared" si="22"/>
        <v>2.4032637075718015E-6</v>
      </c>
      <c r="BP29" s="137">
        <f t="shared" si="23"/>
        <v>3.5768929503916448E-6</v>
      </c>
      <c r="BQ29" s="137">
        <f t="shared" si="24"/>
        <v>5.6889033942558744E-6</v>
      </c>
      <c r="BR29" s="137">
        <f t="shared" si="25"/>
        <v>1.2114099216710182E-7</v>
      </c>
      <c r="BS29" s="137">
        <f t="shared" si="26"/>
        <v>1.4375979112271541E-5</v>
      </c>
      <c r="BT29" s="137">
        <f t="shared" si="27"/>
        <v>1.2493342036553522E-4</v>
      </c>
    </row>
    <row r="30" spans="3:72" x14ac:dyDescent="0.25">
      <c r="C30" s="135">
        <v>28</v>
      </c>
      <c r="D30" s="136" t="s">
        <v>456</v>
      </c>
      <c r="E30" s="153">
        <v>42.404802799999999</v>
      </c>
      <c r="F30" s="154">
        <v>-82.191037800000004</v>
      </c>
      <c r="G30" s="136"/>
      <c r="H30" s="135" t="s">
        <v>691</v>
      </c>
      <c r="I30" s="136" t="s">
        <v>467</v>
      </c>
      <c r="J30" s="146">
        <f t="shared" si="12"/>
        <v>1</v>
      </c>
      <c r="K30" s="76"/>
      <c r="L30" s="137" t="s">
        <v>487</v>
      </c>
      <c r="M30" s="137">
        <f t="shared" si="8"/>
        <v>2.6109660574412533E-3</v>
      </c>
      <c r="N30" s="137" t="s">
        <v>105</v>
      </c>
      <c r="O30" s="137" t="s">
        <v>183</v>
      </c>
      <c r="P30" s="137">
        <v>3.4991000000000001E-2</v>
      </c>
      <c r="Q30" s="137">
        <v>5.9119000000000003E-3</v>
      </c>
      <c r="R30" s="137">
        <v>0.35066999999999998</v>
      </c>
      <c r="S30" s="137">
        <v>0.73207999999999995</v>
      </c>
      <c r="T30" s="137">
        <v>8.8962999999999993E-3</v>
      </c>
      <c r="U30" s="137">
        <v>2.6008999999999999E-6</v>
      </c>
      <c r="V30" s="137">
        <v>2.6465999999999998E-3</v>
      </c>
      <c r="W30" s="137">
        <v>3.4399000000000002</v>
      </c>
      <c r="X30" s="137">
        <v>0.50843000000000005</v>
      </c>
      <c r="Y30" s="137">
        <f t="shared" si="28"/>
        <v>5.0485374008999999</v>
      </c>
      <c r="Z30" s="137">
        <v>5.3930999999999996E-3</v>
      </c>
      <c r="AA30" s="137">
        <v>3.4723999999999998E-2</v>
      </c>
      <c r="AB30" s="137">
        <v>8.1616999999999992E-3</v>
      </c>
      <c r="AC30" s="137">
        <v>2.1822999999999999E-2</v>
      </c>
      <c r="AD30" s="137">
        <v>1.3746E-5</v>
      </c>
      <c r="AE30" s="137">
        <v>2.1777000000000001E-2</v>
      </c>
      <c r="AF30" s="137">
        <v>1.6228E-3</v>
      </c>
      <c r="AG30" s="137">
        <v>1.8761E-2</v>
      </c>
      <c r="AH30" s="137">
        <v>8.0105000000000006E-6</v>
      </c>
      <c r="AI30" s="137">
        <v>1.0441000000000001E-2</v>
      </c>
      <c r="AJ30" s="137">
        <v>-3.9465000000000002E-6</v>
      </c>
      <c r="AK30" s="137">
        <v>3.3574E-9</v>
      </c>
      <c r="AL30" s="137">
        <v>8.8399000000000005E-5</v>
      </c>
      <c r="AM30" s="137">
        <v>1.3402999999999999E-4</v>
      </c>
      <c r="AN30" s="137">
        <v>1.9697000000000001E-4</v>
      </c>
      <c r="AO30" s="137">
        <v>7.7572999999999994E-6</v>
      </c>
      <c r="AP30" s="137">
        <v>5.0971999999999996E-4</v>
      </c>
      <c r="AQ30" s="137">
        <v>1.2678E-4</v>
      </c>
      <c r="AR30" s="137" t="str">
        <f t="shared" si="9"/>
        <v>CR</v>
      </c>
      <c r="AS30" s="137">
        <f t="shared" si="10"/>
        <v>9.1360313315926893E-5</v>
      </c>
      <c r="AT30" s="137">
        <f t="shared" si="29"/>
        <v>1.5435770234986947E-5</v>
      </c>
      <c r="AU30" s="137">
        <f t="shared" si="30"/>
        <v>9.1558746736292423E-4</v>
      </c>
      <c r="AV30" s="137">
        <f t="shared" si="31"/>
        <v>1.9114360313315926E-3</v>
      </c>
      <c r="AW30" s="137">
        <f t="shared" si="32"/>
        <v>2.3227937336814621E-5</v>
      </c>
      <c r="AX30" s="137">
        <f t="shared" si="33"/>
        <v>6.7908616187989557E-9</v>
      </c>
      <c r="AY30" s="137">
        <f t="shared" si="34"/>
        <v>6.9101827676240204E-6</v>
      </c>
      <c r="AZ30" s="137">
        <f t="shared" si="35"/>
        <v>8.9814621409921684E-3</v>
      </c>
      <c r="BA30" s="137">
        <f t="shared" si="36"/>
        <v>1.3274934725848566E-3</v>
      </c>
      <c r="BB30" s="137">
        <f t="shared" si="37"/>
        <v>1.3181559793472585E-2</v>
      </c>
      <c r="BC30" s="137">
        <f t="shared" si="38"/>
        <v>1.4081201044386421E-5</v>
      </c>
      <c r="BD30" s="137">
        <f t="shared" si="39"/>
        <v>9.0663185378590078E-5</v>
      </c>
      <c r="BE30" s="137">
        <f t="shared" si="40"/>
        <v>2.1309921671018276E-5</v>
      </c>
      <c r="BF30" s="137">
        <f t="shared" si="13"/>
        <v>5.6979112271540464E-5</v>
      </c>
      <c r="BG30" s="137">
        <f t="shared" si="14"/>
        <v>3.5890339425587467E-8</v>
      </c>
      <c r="BH30" s="137">
        <f t="shared" si="15"/>
        <v>5.6859007832898174E-5</v>
      </c>
      <c r="BI30" s="137">
        <f t="shared" si="16"/>
        <v>4.2370757180156657E-6</v>
      </c>
      <c r="BJ30" s="137">
        <f t="shared" si="17"/>
        <v>4.8984334203655355E-5</v>
      </c>
      <c r="BK30" s="137">
        <f t="shared" si="18"/>
        <v>2.091514360313316E-8</v>
      </c>
      <c r="BL30" s="137">
        <f t="shared" si="19"/>
        <v>2.7261096605744128E-5</v>
      </c>
      <c r="BM30" s="137">
        <f t="shared" si="20"/>
        <v>-1.0304177545691906E-8</v>
      </c>
      <c r="BN30" s="137">
        <f t="shared" si="21"/>
        <v>8.7660574412532642E-12</v>
      </c>
      <c r="BO30" s="137">
        <f t="shared" si="22"/>
        <v>2.3080678851174936E-7</v>
      </c>
      <c r="BP30" s="137">
        <f t="shared" si="23"/>
        <v>3.4994778067885114E-7</v>
      </c>
      <c r="BQ30" s="137">
        <f t="shared" si="24"/>
        <v>5.142819843342037E-7</v>
      </c>
      <c r="BR30" s="137">
        <f t="shared" si="25"/>
        <v>2.0254046997389033E-8</v>
      </c>
      <c r="BS30" s="137">
        <f t="shared" si="26"/>
        <v>1.3308616187989555E-6</v>
      </c>
      <c r="BT30" s="137">
        <f t="shared" si="27"/>
        <v>3.3101827676240208E-7</v>
      </c>
    </row>
    <row r="31" spans="3:72" x14ac:dyDescent="0.25">
      <c r="C31" s="135">
        <v>29</v>
      </c>
      <c r="D31" s="136" t="s">
        <v>456</v>
      </c>
      <c r="E31" s="153">
        <v>45.4215296</v>
      </c>
      <c r="F31" s="154">
        <v>-75.697193100000007</v>
      </c>
      <c r="G31" s="136"/>
      <c r="H31" s="135" t="s">
        <v>151</v>
      </c>
      <c r="I31" s="136" t="s">
        <v>281</v>
      </c>
      <c r="J31" s="146">
        <f t="shared" si="12"/>
        <v>5</v>
      </c>
      <c r="K31" s="76"/>
      <c r="L31" s="137" t="s">
        <v>488</v>
      </c>
      <c r="M31" s="137">
        <f t="shared" si="8"/>
        <v>1.3054830287206266E-2</v>
      </c>
      <c r="N31" s="137" t="s">
        <v>105</v>
      </c>
      <c r="O31" s="137" t="s">
        <v>183</v>
      </c>
      <c r="P31" s="137">
        <v>0.54196</v>
      </c>
      <c r="Q31" s="137">
        <v>0.14645</v>
      </c>
      <c r="R31" s="137">
        <v>6.0651000000000002</v>
      </c>
      <c r="S31" s="137">
        <v>2.5809000000000001E-3</v>
      </c>
      <c r="T31" s="137">
        <v>1.7815000000000001</v>
      </c>
      <c r="U31" s="137">
        <v>3.0886999999999998E-5</v>
      </c>
      <c r="V31" s="137">
        <v>0.46137</v>
      </c>
      <c r="W31" s="137">
        <v>0.20688000000000001</v>
      </c>
      <c r="X31" s="137">
        <v>0.72643999999999997</v>
      </c>
      <c r="Y31" s="137">
        <f t="shared" si="28"/>
        <v>9.3903517870000002</v>
      </c>
      <c r="Z31" s="137">
        <v>2.2039E-2</v>
      </c>
      <c r="AA31" s="137">
        <v>0.53620000000000001</v>
      </c>
      <c r="AB31" s="137">
        <v>0.14494000000000001</v>
      </c>
      <c r="AC31" s="137">
        <v>3.6583999999999998E-2</v>
      </c>
      <c r="AD31" s="137">
        <v>7.9215000000000004E-4</v>
      </c>
      <c r="AE31" s="137">
        <v>0.49026999999999998</v>
      </c>
      <c r="AF31" s="137">
        <v>9.1795000000000002E-2</v>
      </c>
      <c r="AG31" s="137">
        <v>3.2615999999999999E-2</v>
      </c>
      <c r="AH31" s="137">
        <v>2.0006000000000001E-4</v>
      </c>
      <c r="AI31" s="137">
        <v>1.4718E-2</v>
      </c>
      <c r="AJ31" s="137">
        <v>-2.1696E-5</v>
      </c>
      <c r="AK31" s="137">
        <v>1.267E-8</v>
      </c>
      <c r="AL31" s="137">
        <v>3.369E-4</v>
      </c>
      <c r="AM31" s="137">
        <v>7.2397E-4</v>
      </c>
      <c r="AN31" s="137">
        <v>9.6077000000000001E-4</v>
      </c>
      <c r="AO31" s="137">
        <v>2.8184999999999999E-5</v>
      </c>
      <c r="AP31" s="137">
        <v>3.2648999999999998E-3</v>
      </c>
      <c r="AQ31" s="137">
        <v>2.3346999999999999E-3</v>
      </c>
      <c r="AR31" s="137" t="str">
        <f t="shared" si="9"/>
        <v>DE</v>
      </c>
      <c r="AS31" s="137">
        <f t="shared" si="10"/>
        <v>7.0751958224543081E-3</v>
      </c>
      <c r="AT31" s="137">
        <f t="shared" si="29"/>
        <v>1.9118798955613575E-3</v>
      </c>
      <c r="AU31" s="137">
        <f t="shared" si="30"/>
        <v>7.9178851174934728E-2</v>
      </c>
      <c r="AV31" s="137">
        <f t="shared" si="31"/>
        <v>3.3693211488250649E-5</v>
      </c>
      <c r="AW31" s="137">
        <f t="shared" si="32"/>
        <v>2.3257180156657963E-2</v>
      </c>
      <c r="AX31" s="137">
        <f t="shared" si="33"/>
        <v>4.0322454308093987E-7</v>
      </c>
      <c r="AY31" s="137">
        <f t="shared" si="34"/>
        <v>6.0231070496083545E-3</v>
      </c>
      <c r="AZ31" s="137">
        <f t="shared" si="35"/>
        <v>2.7007832898172323E-3</v>
      </c>
      <c r="BA31" s="137">
        <f t="shared" si="36"/>
        <v>9.4835509138381201E-3</v>
      </c>
      <c r="BB31" s="137">
        <f t="shared" si="37"/>
        <v>0.12258944891644909</v>
      </c>
      <c r="BC31" s="137">
        <f t="shared" si="38"/>
        <v>2.8771540469973891E-4</v>
      </c>
      <c r="BD31" s="137">
        <f t="shared" si="39"/>
        <v>7.0000000000000001E-3</v>
      </c>
      <c r="BE31" s="137">
        <f t="shared" si="40"/>
        <v>1.8921671018276762E-3</v>
      </c>
      <c r="BF31" s="137">
        <f t="shared" si="13"/>
        <v>4.7759791122715402E-4</v>
      </c>
      <c r="BG31" s="137">
        <f t="shared" si="14"/>
        <v>1.0341383812010443E-5</v>
      </c>
      <c r="BH31" s="137">
        <f t="shared" si="15"/>
        <v>6.4003916449086153E-3</v>
      </c>
      <c r="BI31" s="137">
        <f t="shared" si="16"/>
        <v>1.1983681462140992E-3</v>
      </c>
      <c r="BJ31" s="137">
        <f t="shared" si="17"/>
        <v>4.2579634464751955E-4</v>
      </c>
      <c r="BK31" s="137">
        <f t="shared" si="18"/>
        <v>2.6117493472584855E-6</v>
      </c>
      <c r="BL31" s="137">
        <f t="shared" si="19"/>
        <v>1.9214099216710183E-4</v>
      </c>
      <c r="BM31" s="137">
        <f t="shared" si="20"/>
        <v>-2.8323759791122714E-7</v>
      </c>
      <c r="BN31" s="137">
        <f t="shared" si="21"/>
        <v>1.6540469973890338E-10</v>
      </c>
      <c r="BO31" s="137">
        <f t="shared" si="22"/>
        <v>4.3981723237597913E-6</v>
      </c>
      <c r="BP31" s="137">
        <f t="shared" si="23"/>
        <v>9.4513054830287196E-6</v>
      </c>
      <c r="BQ31" s="137">
        <f t="shared" si="24"/>
        <v>1.2542689295039164E-5</v>
      </c>
      <c r="BR31" s="137">
        <f t="shared" si="25"/>
        <v>3.679503916449086E-7</v>
      </c>
      <c r="BS31" s="137">
        <f t="shared" si="26"/>
        <v>4.2622715404699734E-5</v>
      </c>
      <c r="BT31" s="137">
        <f t="shared" si="27"/>
        <v>3.0479112271540467E-5</v>
      </c>
    </row>
    <row r="32" spans="3:72" x14ac:dyDescent="0.25">
      <c r="C32" s="135">
        <v>30</v>
      </c>
      <c r="D32" s="136" t="s">
        <v>456</v>
      </c>
      <c r="E32" s="153">
        <v>45.4215296</v>
      </c>
      <c r="F32" s="154">
        <v>-75.697193100000007</v>
      </c>
      <c r="G32" s="136"/>
      <c r="H32" s="135" t="s">
        <v>730</v>
      </c>
      <c r="I32" s="136" t="s">
        <v>470</v>
      </c>
      <c r="J32" s="146">
        <f t="shared" si="12"/>
        <v>1</v>
      </c>
      <c r="K32" s="76"/>
      <c r="L32" s="137" t="s">
        <v>489</v>
      </c>
      <c r="M32" s="137">
        <f t="shared" si="8"/>
        <v>2.6109660574412533E-3</v>
      </c>
      <c r="N32" s="137" t="s">
        <v>105</v>
      </c>
      <c r="O32" s="137" t="s">
        <v>183</v>
      </c>
      <c r="P32" s="137">
        <v>0.15506</v>
      </c>
      <c r="Q32" s="137">
        <v>6.5294000000000003E-3</v>
      </c>
      <c r="R32" s="137">
        <v>2.2551999999999999</v>
      </c>
      <c r="S32" s="137">
        <v>1.4627999999999999E-4</v>
      </c>
      <c r="T32" s="137">
        <v>1.1145E-2</v>
      </c>
      <c r="U32" s="137">
        <v>4.1845000000000003E-6</v>
      </c>
      <c r="V32" s="137">
        <v>1.1015E-2</v>
      </c>
      <c r="W32" s="137">
        <v>3.7757999999999998</v>
      </c>
      <c r="X32" s="137">
        <v>1.5941E-2</v>
      </c>
      <c r="Y32" s="137">
        <f t="shared" si="28"/>
        <v>6.0757808644999987</v>
      </c>
      <c r="Z32" s="137">
        <v>6.7215E-3</v>
      </c>
      <c r="AA32" s="137">
        <v>0.15429999999999999</v>
      </c>
      <c r="AB32" s="137">
        <v>5.7825000000000001E-2</v>
      </c>
      <c r="AC32" s="137">
        <v>2.1704000000000001E-2</v>
      </c>
      <c r="AD32" s="137">
        <v>1.3171E-5</v>
      </c>
      <c r="AE32" s="137">
        <v>2.5836000000000001E-2</v>
      </c>
      <c r="AF32" s="137">
        <v>5.5963999999999996E-3</v>
      </c>
      <c r="AG32" s="137">
        <v>1.8737E-2</v>
      </c>
      <c r="AH32" s="137">
        <v>2.5299999999999998E-5</v>
      </c>
      <c r="AI32" s="137">
        <v>9.8828000000000006E-3</v>
      </c>
      <c r="AJ32" s="137">
        <v>-3.6445E-6</v>
      </c>
      <c r="AK32" s="137">
        <v>1.7176999999999999E-8</v>
      </c>
      <c r="AL32" s="137">
        <v>2.4109000000000001E-4</v>
      </c>
      <c r="AM32" s="137">
        <v>4.6933000000000001E-4</v>
      </c>
      <c r="AN32" s="137">
        <v>7.4206999999999995E-4</v>
      </c>
      <c r="AO32" s="137">
        <v>1.504E-5</v>
      </c>
      <c r="AP32" s="137">
        <v>4.6516999999999999E-4</v>
      </c>
      <c r="AQ32" s="137">
        <v>3.0179000000000002E-4</v>
      </c>
      <c r="AR32" s="137" t="str">
        <f t="shared" si="9"/>
        <v>EC</v>
      </c>
      <c r="AS32" s="137">
        <f t="shared" si="10"/>
        <v>4.0485639686684076E-4</v>
      </c>
      <c r="AT32" s="137">
        <f t="shared" si="29"/>
        <v>1.7048041775456921E-5</v>
      </c>
      <c r="AU32" s="137">
        <f t="shared" si="30"/>
        <v>5.8882506527415139E-3</v>
      </c>
      <c r="AV32" s="137">
        <f t="shared" si="31"/>
        <v>3.819321148825065E-7</v>
      </c>
      <c r="AW32" s="137">
        <f t="shared" si="32"/>
        <v>2.9099216710182768E-5</v>
      </c>
      <c r="AX32" s="137">
        <f t="shared" si="33"/>
        <v>1.0925587467362926E-8</v>
      </c>
      <c r="AY32" s="137">
        <f t="shared" si="34"/>
        <v>2.8759791122715407E-5</v>
      </c>
      <c r="AZ32" s="137">
        <f t="shared" si="35"/>
        <v>9.858485639686684E-3</v>
      </c>
      <c r="BA32" s="137">
        <f t="shared" si="36"/>
        <v>4.1621409921671023E-5</v>
      </c>
      <c r="BB32" s="137">
        <f t="shared" si="37"/>
        <v>1.5863657609660572E-2</v>
      </c>
      <c r="BC32" s="137">
        <f t="shared" si="38"/>
        <v>1.7549608355091384E-5</v>
      </c>
      <c r="BD32" s="137">
        <f t="shared" si="39"/>
        <v>4.0287206266318538E-4</v>
      </c>
      <c r="BE32" s="137">
        <f t="shared" si="40"/>
        <v>1.5097911227154049E-4</v>
      </c>
      <c r="BF32" s="137">
        <f t="shared" si="13"/>
        <v>5.6668407310704967E-5</v>
      </c>
      <c r="BG32" s="137">
        <f t="shared" si="14"/>
        <v>3.4389033942558747E-8</v>
      </c>
      <c r="BH32" s="137">
        <f t="shared" si="15"/>
        <v>6.7456919060052223E-5</v>
      </c>
      <c r="BI32" s="137">
        <f t="shared" si="16"/>
        <v>1.4612010443864228E-5</v>
      </c>
      <c r="BJ32" s="137">
        <f t="shared" si="17"/>
        <v>4.8921671018276766E-5</v>
      </c>
      <c r="BK32" s="137">
        <f t="shared" si="18"/>
        <v>6.6057441253263704E-8</v>
      </c>
      <c r="BL32" s="137">
        <f t="shared" si="19"/>
        <v>2.580365535248042E-5</v>
      </c>
      <c r="BM32" s="137">
        <f t="shared" si="20"/>
        <v>-9.5156657963446475E-9</v>
      </c>
      <c r="BN32" s="137">
        <f t="shared" si="21"/>
        <v>4.4848563968668405E-11</v>
      </c>
      <c r="BO32" s="137">
        <f t="shared" si="22"/>
        <v>6.2947780678851179E-7</v>
      </c>
      <c r="BP32" s="137">
        <f t="shared" si="23"/>
        <v>1.2254046997389034E-6</v>
      </c>
      <c r="BQ32" s="137">
        <f t="shared" si="24"/>
        <v>1.9375195822454305E-6</v>
      </c>
      <c r="BR32" s="137">
        <f t="shared" si="25"/>
        <v>3.926892950391645E-8</v>
      </c>
      <c r="BS32" s="137">
        <f t="shared" si="26"/>
        <v>1.2145430809399478E-6</v>
      </c>
      <c r="BT32" s="137">
        <f t="shared" si="27"/>
        <v>7.8796344647519594E-7</v>
      </c>
    </row>
    <row r="33" spans="3:72" x14ac:dyDescent="0.25">
      <c r="C33" s="135">
        <v>31</v>
      </c>
      <c r="D33" s="136" t="s">
        <v>456</v>
      </c>
      <c r="E33" s="153">
        <v>43.653225999999997</v>
      </c>
      <c r="F33" s="154">
        <v>-79.383184299999996</v>
      </c>
      <c r="G33" s="136"/>
      <c r="H33" s="135" t="s">
        <v>270</v>
      </c>
      <c r="I33" s="136" t="s">
        <v>269</v>
      </c>
      <c r="J33" s="146">
        <f t="shared" si="12"/>
        <v>1</v>
      </c>
      <c r="K33" s="76"/>
      <c r="L33" s="137" t="s">
        <v>490</v>
      </c>
      <c r="M33" s="137">
        <f t="shared" si="8"/>
        <v>2.6109660574412533E-3</v>
      </c>
      <c r="N33" s="137" t="s">
        <v>105</v>
      </c>
      <c r="O33" s="137" t="s">
        <v>183</v>
      </c>
      <c r="P33" s="137">
        <v>0.64507000000000003</v>
      </c>
      <c r="Q33" s="137">
        <v>7.6324000000000001E-3</v>
      </c>
      <c r="R33" s="137">
        <v>11.553000000000001</v>
      </c>
      <c r="S33" s="137">
        <v>2.8582E-4</v>
      </c>
      <c r="T33" s="137">
        <v>2.3085999999999999E-2</v>
      </c>
      <c r="U33" s="137">
        <v>8.9711999999999998E-6</v>
      </c>
      <c r="V33" s="137">
        <v>7.8081000000000001E-3</v>
      </c>
      <c r="W33" s="137">
        <v>0.35192000000000001</v>
      </c>
      <c r="X33" s="137">
        <v>6.8104999999999999E-2</v>
      </c>
      <c r="Y33" s="137">
        <f t="shared" si="28"/>
        <v>12.011846291199999</v>
      </c>
      <c r="Z33" s="137">
        <v>2.0646000000000002E-3</v>
      </c>
      <c r="AA33" s="137">
        <v>0.64095000000000002</v>
      </c>
      <c r="AB33" s="137">
        <v>0.32282</v>
      </c>
      <c r="AC33" s="137">
        <v>2.2418E-2</v>
      </c>
      <c r="AD33" s="137">
        <v>1.7527E-5</v>
      </c>
      <c r="AE33" s="137">
        <v>3.3790000000000001E-2</v>
      </c>
      <c r="AF33" s="137">
        <v>9.2110000000000004E-3</v>
      </c>
      <c r="AG33" s="137">
        <v>1.942E-2</v>
      </c>
      <c r="AH33" s="137">
        <v>5.1807000000000001E-5</v>
      </c>
      <c r="AI33" s="137">
        <v>1.1426E-2</v>
      </c>
      <c r="AJ33" s="137">
        <v>-7.6172999999999999E-6</v>
      </c>
      <c r="AK33" s="137">
        <v>4.6503000000000003E-8</v>
      </c>
      <c r="AL33" s="137">
        <v>4.2967E-4</v>
      </c>
      <c r="AM33" s="137">
        <v>1.0889999999999999E-3</v>
      </c>
      <c r="AN33" s="137">
        <v>1.3378000000000001E-3</v>
      </c>
      <c r="AO33" s="137">
        <v>2.3305000000000001E-5</v>
      </c>
      <c r="AP33" s="137">
        <v>8.8635999999999999E-4</v>
      </c>
      <c r="AQ33" s="137">
        <v>1.1622E-3</v>
      </c>
      <c r="AR33" s="137" t="str">
        <f t="shared" si="9"/>
        <v>EG</v>
      </c>
      <c r="AS33" s="137">
        <f t="shared" si="10"/>
        <v>1.6842558746736293E-3</v>
      </c>
      <c r="AT33" s="137">
        <f t="shared" si="29"/>
        <v>1.9927937336814622E-5</v>
      </c>
      <c r="AU33" s="137">
        <f t="shared" si="30"/>
        <v>3.0164490861618803E-2</v>
      </c>
      <c r="AV33" s="137">
        <f t="shared" si="31"/>
        <v>7.46266318537859E-7</v>
      </c>
      <c r="AW33" s="137">
        <f t="shared" si="32"/>
        <v>6.0276762402088771E-5</v>
      </c>
      <c r="AX33" s="137">
        <f t="shared" si="33"/>
        <v>2.342349869451697E-8</v>
      </c>
      <c r="AY33" s="137">
        <f t="shared" si="34"/>
        <v>2.038668407310705E-5</v>
      </c>
      <c r="AZ33" s="137">
        <f t="shared" si="35"/>
        <v>9.1885117493472593E-4</v>
      </c>
      <c r="BA33" s="137">
        <f t="shared" si="36"/>
        <v>1.7781984334203654E-4</v>
      </c>
      <c r="BB33" s="137">
        <f t="shared" si="37"/>
        <v>3.1362522953524805E-2</v>
      </c>
      <c r="BC33" s="137">
        <f t="shared" si="38"/>
        <v>5.3906005221932121E-6</v>
      </c>
      <c r="BD33" s="137">
        <f t="shared" si="39"/>
        <v>1.6734986945169713E-3</v>
      </c>
      <c r="BE33" s="137">
        <f t="shared" si="40"/>
        <v>8.4287206266318534E-4</v>
      </c>
      <c r="BF33" s="137">
        <f t="shared" si="13"/>
        <v>5.8532637075718021E-5</v>
      </c>
      <c r="BG33" s="137">
        <f t="shared" si="14"/>
        <v>4.5762402088772844E-8</v>
      </c>
      <c r="BH33" s="137">
        <f t="shared" si="15"/>
        <v>8.8224543080939947E-5</v>
      </c>
      <c r="BI33" s="137">
        <f t="shared" si="16"/>
        <v>2.4049608355091386E-5</v>
      </c>
      <c r="BJ33" s="137">
        <f t="shared" si="17"/>
        <v>5.0704960835509139E-5</v>
      </c>
      <c r="BK33" s="137">
        <f t="shared" si="18"/>
        <v>1.3526631853785902E-7</v>
      </c>
      <c r="BL33" s="137">
        <f t="shared" si="19"/>
        <v>2.9832898172323762E-5</v>
      </c>
      <c r="BM33" s="137">
        <f t="shared" si="20"/>
        <v>-1.9888511749347258E-8</v>
      </c>
      <c r="BN33" s="137">
        <f t="shared" si="21"/>
        <v>1.2141775456919062E-10</v>
      </c>
      <c r="BO33" s="137">
        <f t="shared" si="22"/>
        <v>1.1218537859007833E-6</v>
      </c>
      <c r="BP33" s="137">
        <f t="shared" si="23"/>
        <v>2.8433420365535246E-6</v>
      </c>
      <c r="BQ33" s="137">
        <f t="shared" si="24"/>
        <v>3.4929503916449089E-6</v>
      </c>
      <c r="BR33" s="137">
        <f t="shared" si="25"/>
        <v>6.0848563968668408E-8</v>
      </c>
      <c r="BS33" s="137">
        <f t="shared" si="26"/>
        <v>2.314255874673629E-6</v>
      </c>
      <c r="BT33" s="137">
        <f t="shared" si="27"/>
        <v>3.0344647519582243E-6</v>
      </c>
    </row>
    <row r="34" spans="3:72" x14ac:dyDescent="0.25">
      <c r="C34" s="135">
        <v>32</v>
      </c>
      <c r="D34" s="136" t="s">
        <v>461</v>
      </c>
      <c r="E34" s="153">
        <v>46.256035599999997</v>
      </c>
      <c r="F34" s="154">
        <v>-63.137495199999996</v>
      </c>
      <c r="G34" s="136"/>
      <c r="H34" s="135" t="s">
        <v>154</v>
      </c>
      <c r="I34" s="136" t="s">
        <v>466</v>
      </c>
      <c r="J34" s="146">
        <f t="shared" si="12"/>
        <v>3</v>
      </c>
      <c r="K34" s="76"/>
      <c r="L34" s="137" t="s">
        <v>491</v>
      </c>
      <c r="M34" s="137">
        <f t="shared" si="8"/>
        <v>7.832898172323759E-3</v>
      </c>
      <c r="N34" s="137" t="s">
        <v>105</v>
      </c>
      <c r="O34" s="137" t="s">
        <v>183</v>
      </c>
      <c r="P34" s="137">
        <v>0.38697999999999999</v>
      </c>
      <c r="Q34" s="137">
        <v>0.15082000000000001</v>
      </c>
      <c r="R34" s="137">
        <v>4.8251999999999997</v>
      </c>
      <c r="S34" s="137">
        <v>1.6221E-3</v>
      </c>
      <c r="T34" s="137">
        <v>4.0045999999999999</v>
      </c>
      <c r="U34" s="137">
        <v>3.1133000000000002E-5</v>
      </c>
      <c r="V34" s="137">
        <v>0.22528000000000001</v>
      </c>
      <c r="W34" s="137">
        <v>0.37628</v>
      </c>
      <c r="X34" s="137">
        <v>0.89100000000000001</v>
      </c>
      <c r="Y34" s="137">
        <f t="shared" si="28"/>
        <v>10.474833233</v>
      </c>
      <c r="Z34" s="137">
        <v>2.2794999999999999E-2</v>
      </c>
      <c r="AA34" s="137">
        <v>0.38317000000000001</v>
      </c>
      <c r="AB34" s="137">
        <v>0.12015000000000001</v>
      </c>
      <c r="AC34" s="137">
        <v>2.5669000000000001E-2</v>
      </c>
      <c r="AD34" s="137">
        <v>1.5846E-4</v>
      </c>
      <c r="AE34" s="137">
        <v>0.13633999999999999</v>
      </c>
      <c r="AF34" s="137">
        <v>0.2392</v>
      </c>
      <c r="AG34" s="137">
        <v>2.239E-2</v>
      </c>
      <c r="AH34" s="137">
        <v>9.9865999999999996E-5</v>
      </c>
      <c r="AI34" s="137">
        <v>1.3058999999999999E-2</v>
      </c>
      <c r="AJ34" s="137">
        <v>-2.0452E-5</v>
      </c>
      <c r="AK34" s="137">
        <v>1.9746E-8</v>
      </c>
      <c r="AL34" s="137">
        <v>9.1723E-4</v>
      </c>
      <c r="AM34" s="137">
        <v>1.4659E-3</v>
      </c>
      <c r="AN34" s="137">
        <v>2.5376000000000001E-3</v>
      </c>
      <c r="AO34" s="137">
        <v>1.8923000000000002E-5</v>
      </c>
      <c r="AP34" s="137">
        <v>2.8909999999999999E-3</v>
      </c>
      <c r="AQ34" s="137">
        <v>2.5928000000000001E-3</v>
      </c>
      <c r="AR34" s="137" t="str">
        <f t="shared" si="9"/>
        <v>ES</v>
      </c>
      <c r="AS34" s="137">
        <f t="shared" si="10"/>
        <v>3.0311749347258481E-3</v>
      </c>
      <c r="AT34" s="137">
        <f t="shared" si="29"/>
        <v>1.1813577023498695E-3</v>
      </c>
      <c r="AU34" s="137">
        <f t="shared" si="30"/>
        <v>3.77953002610966E-2</v>
      </c>
      <c r="AV34" s="137">
        <f t="shared" si="31"/>
        <v>1.2705744125326369E-5</v>
      </c>
      <c r="AW34" s="137">
        <f t="shared" si="32"/>
        <v>3.1367624020887726E-2</v>
      </c>
      <c r="AX34" s="137">
        <f t="shared" si="33"/>
        <v>2.4386161879895558E-7</v>
      </c>
      <c r="AY34" s="137">
        <f t="shared" si="34"/>
        <v>1.7645953002610965E-3</v>
      </c>
      <c r="AZ34" s="137">
        <f t="shared" si="35"/>
        <v>2.9473629242819841E-3</v>
      </c>
      <c r="BA34" s="137">
        <f t="shared" si="36"/>
        <v>6.9791122715404698E-3</v>
      </c>
      <c r="BB34" s="137">
        <f t="shared" si="37"/>
        <v>8.2048302086161873E-2</v>
      </c>
      <c r="BC34" s="137">
        <f t="shared" si="38"/>
        <v>1.7855091383812009E-4</v>
      </c>
      <c r="BD34" s="137">
        <f t="shared" si="39"/>
        <v>3.0013315926892947E-3</v>
      </c>
      <c r="BE34" s="137">
        <f t="shared" si="40"/>
        <v>9.4112271540469975E-4</v>
      </c>
      <c r="BF34" s="137">
        <f t="shared" si="13"/>
        <v>2.0106266318537858E-4</v>
      </c>
      <c r="BG34" s="137">
        <f t="shared" si="14"/>
        <v>1.2412010443864228E-6</v>
      </c>
      <c r="BH34" s="137">
        <f t="shared" si="15"/>
        <v>1.0679373368146213E-3</v>
      </c>
      <c r="BI34" s="137">
        <f t="shared" si="16"/>
        <v>1.8736292428198431E-3</v>
      </c>
      <c r="BJ34" s="137">
        <f t="shared" si="17"/>
        <v>1.7537859007832896E-4</v>
      </c>
      <c r="BK34" s="137">
        <f t="shared" si="18"/>
        <v>7.8224020887728447E-7</v>
      </c>
      <c r="BL34" s="137">
        <f t="shared" si="19"/>
        <v>1.0228981723237596E-4</v>
      </c>
      <c r="BM34" s="137">
        <f t="shared" si="20"/>
        <v>-1.6019843342036551E-7</v>
      </c>
      <c r="BN34" s="137">
        <f t="shared" si="21"/>
        <v>1.5466840731070495E-10</v>
      </c>
      <c r="BO34" s="137">
        <f t="shared" si="22"/>
        <v>7.1845691906005218E-6</v>
      </c>
      <c r="BP34" s="137">
        <f t="shared" si="23"/>
        <v>1.1482245430809398E-5</v>
      </c>
      <c r="BQ34" s="137">
        <f t="shared" si="24"/>
        <v>1.9876762402088771E-5</v>
      </c>
      <c r="BR34" s="137">
        <f t="shared" si="25"/>
        <v>1.482219321148825E-7</v>
      </c>
      <c r="BS34" s="137">
        <f t="shared" si="26"/>
        <v>2.2644908616187988E-5</v>
      </c>
      <c r="BT34" s="137">
        <f t="shared" si="27"/>
        <v>2.0309138381201044E-5</v>
      </c>
    </row>
    <row r="35" spans="3:72" x14ac:dyDescent="0.25">
      <c r="C35" s="135">
        <v>33</v>
      </c>
      <c r="D35" s="136" t="s">
        <v>461</v>
      </c>
      <c r="E35" s="153">
        <v>46.256035599999997</v>
      </c>
      <c r="F35" s="154">
        <v>-63.137495199999996</v>
      </c>
      <c r="G35" s="136"/>
      <c r="H35" s="135" t="s">
        <v>147</v>
      </c>
      <c r="I35" s="136" t="s">
        <v>463</v>
      </c>
      <c r="J35" s="146">
        <f t="shared" si="12"/>
        <v>9</v>
      </c>
      <c r="K35" s="76"/>
      <c r="L35" s="137" t="s">
        <v>492</v>
      </c>
      <c r="M35" s="137">
        <f t="shared" si="8"/>
        <v>2.3498694516971279E-2</v>
      </c>
      <c r="N35" s="137" t="s">
        <v>105</v>
      </c>
      <c r="O35" s="137" t="s">
        <v>183</v>
      </c>
      <c r="P35" s="137">
        <v>0.34189999999999998</v>
      </c>
      <c r="Q35" s="137">
        <v>0.59848000000000001</v>
      </c>
      <c r="R35" s="137">
        <v>5.4097</v>
      </c>
      <c r="S35" s="137">
        <v>4.1463999999999997E-4</v>
      </c>
      <c r="T35" s="137">
        <v>3.8357000000000001</v>
      </c>
      <c r="U35" s="137">
        <v>6.2281999999999998E-5</v>
      </c>
      <c r="V35" s="137">
        <v>0.24073</v>
      </c>
      <c r="W35" s="137">
        <v>0.10517</v>
      </c>
      <c r="X35" s="137">
        <v>0.60631000000000002</v>
      </c>
      <c r="Y35" s="137">
        <f t="shared" si="28"/>
        <v>10.796566922</v>
      </c>
      <c r="Z35" s="137">
        <v>7.8466999999999995E-2</v>
      </c>
      <c r="AA35" s="137">
        <v>0.33939999999999998</v>
      </c>
      <c r="AB35" s="137">
        <v>0.14854999999999999</v>
      </c>
      <c r="AC35" s="137">
        <v>2.3748999999999999E-2</v>
      </c>
      <c r="AD35" s="137">
        <v>7.3054999999999998E-5</v>
      </c>
      <c r="AE35" s="137">
        <v>7.6856999999999995E-2</v>
      </c>
      <c r="AF35" s="137">
        <v>0.30257000000000001</v>
      </c>
      <c r="AG35" s="137">
        <v>2.0723999999999999E-2</v>
      </c>
      <c r="AH35" s="137">
        <v>5.4033999999999998E-5</v>
      </c>
      <c r="AI35" s="137">
        <v>1.2272E-2</v>
      </c>
      <c r="AJ35" s="137">
        <v>-9.9321999999999995E-6</v>
      </c>
      <c r="AK35" s="137">
        <v>1.9069E-8</v>
      </c>
      <c r="AL35" s="137">
        <v>3.0650000000000002E-4</v>
      </c>
      <c r="AM35" s="137">
        <v>7.0107999999999998E-4</v>
      </c>
      <c r="AN35" s="137">
        <v>8.7219000000000001E-4</v>
      </c>
      <c r="AO35" s="137">
        <v>1.9445000000000001E-5</v>
      </c>
      <c r="AP35" s="137">
        <v>3.4037E-3</v>
      </c>
      <c r="AQ35" s="137">
        <v>1.7122000000000001E-3</v>
      </c>
      <c r="AR35" s="137" t="str">
        <f t="shared" si="9"/>
        <v>GB</v>
      </c>
      <c r="AS35" s="137">
        <f t="shared" si="10"/>
        <v>8.0342036553524791E-3</v>
      </c>
      <c r="AT35" s="137">
        <f t="shared" si="29"/>
        <v>1.4063498694516971E-2</v>
      </c>
      <c r="AU35" s="137">
        <f t="shared" si="30"/>
        <v>0.12712088772845953</v>
      </c>
      <c r="AV35" s="137">
        <f t="shared" si="31"/>
        <v>9.743498694516971E-6</v>
      </c>
      <c r="AW35" s="137">
        <f t="shared" si="32"/>
        <v>9.0133942558746738E-2</v>
      </c>
      <c r="AX35" s="137">
        <f t="shared" si="33"/>
        <v>1.4635456919060052E-6</v>
      </c>
      <c r="AY35" s="137">
        <f t="shared" si="34"/>
        <v>5.6568407310704956E-3</v>
      </c>
      <c r="AZ35" s="137">
        <f t="shared" si="35"/>
        <v>2.4713577023498692E-3</v>
      </c>
      <c r="BA35" s="137">
        <f t="shared" si="36"/>
        <v>1.4247493472584857E-2</v>
      </c>
      <c r="BB35" s="137">
        <f t="shared" si="37"/>
        <v>0.25370522793211486</v>
      </c>
      <c r="BC35" s="137">
        <f t="shared" si="38"/>
        <v>1.8438720626631853E-3</v>
      </c>
      <c r="BD35" s="137">
        <f t="shared" si="39"/>
        <v>7.9754569190600508E-3</v>
      </c>
      <c r="BE35" s="137">
        <f t="shared" si="40"/>
        <v>3.4907310704960833E-3</v>
      </c>
      <c r="BF35" s="137">
        <f t="shared" si="13"/>
        <v>5.5807049608355089E-4</v>
      </c>
      <c r="BG35" s="137">
        <f t="shared" si="14"/>
        <v>1.7166971279373367E-6</v>
      </c>
      <c r="BH35" s="137">
        <f t="shared" si="15"/>
        <v>1.8060391644908614E-3</v>
      </c>
      <c r="BI35" s="137">
        <f t="shared" si="16"/>
        <v>7.11E-3</v>
      </c>
      <c r="BJ35" s="137">
        <f t="shared" si="17"/>
        <v>4.8698694516971275E-4</v>
      </c>
      <c r="BK35" s="137">
        <f t="shared" si="18"/>
        <v>1.2697284595300261E-6</v>
      </c>
      <c r="BL35" s="137">
        <f t="shared" si="19"/>
        <v>2.8837597911227151E-4</v>
      </c>
      <c r="BM35" s="137">
        <f t="shared" si="20"/>
        <v>-2.3339373368146214E-7</v>
      </c>
      <c r="BN35" s="137">
        <f t="shared" si="21"/>
        <v>4.4809660574412533E-10</v>
      </c>
      <c r="BO35" s="137">
        <f t="shared" si="22"/>
        <v>7.2023498694516973E-6</v>
      </c>
      <c r="BP35" s="137">
        <f t="shared" si="23"/>
        <v>1.6474464751958223E-5</v>
      </c>
      <c r="BQ35" s="137">
        <f t="shared" si="24"/>
        <v>2.0495326370757181E-5</v>
      </c>
      <c r="BR35" s="137">
        <f t="shared" si="25"/>
        <v>4.5693211488250652E-7</v>
      </c>
      <c r="BS35" s="137">
        <f t="shared" si="26"/>
        <v>7.9982506527415139E-5</v>
      </c>
      <c r="BT35" s="137">
        <f t="shared" si="27"/>
        <v>4.0234464751958226E-5</v>
      </c>
    </row>
    <row r="36" spans="3:72" x14ac:dyDescent="0.25">
      <c r="C36" s="135">
        <v>34</v>
      </c>
      <c r="D36" s="136" t="s">
        <v>458</v>
      </c>
      <c r="E36" s="153">
        <v>45.504741199999998</v>
      </c>
      <c r="F36" s="154">
        <v>-73.614750599999994</v>
      </c>
      <c r="G36" s="136"/>
      <c r="H36" s="135" t="s">
        <v>153</v>
      </c>
      <c r="I36" s="136" t="s">
        <v>268</v>
      </c>
      <c r="J36" s="146">
        <f t="shared" si="12"/>
        <v>2</v>
      </c>
      <c r="K36" s="76"/>
      <c r="L36" s="137" t="s">
        <v>500</v>
      </c>
      <c r="M36" s="137">
        <f t="shared" si="8"/>
        <v>5.2219321148825066E-3</v>
      </c>
      <c r="N36" s="137" t="s">
        <v>105</v>
      </c>
      <c r="O36" s="137" t="s">
        <v>183</v>
      </c>
      <c r="P36" s="137">
        <v>1.6435</v>
      </c>
      <c r="Q36" s="137">
        <v>0.18215999999999999</v>
      </c>
      <c r="R36" s="137">
        <v>20.422999999999998</v>
      </c>
      <c r="S36" s="137">
        <v>6.1943000000000002E-4</v>
      </c>
      <c r="T36" s="137">
        <v>0.45726</v>
      </c>
      <c r="U36" s="137">
        <v>4.0729999999999998E-5</v>
      </c>
      <c r="V36" s="137">
        <v>6.5971000000000002E-2</v>
      </c>
      <c r="W36" s="137">
        <v>0.19789000000000001</v>
      </c>
      <c r="X36" s="137">
        <v>0.22211</v>
      </c>
      <c r="Y36" s="137">
        <f t="shared" si="28"/>
        <v>21.549051160000001</v>
      </c>
      <c r="Z36" s="137">
        <v>3.8896E-2</v>
      </c>
      <c r="AA36" s="137">
        <v>1.6308</v>
      </c>
      <c r="AB36" s="137">
        <v>0.46898000000000001</v>
      </c>
      <c r="AC36" s="137">
        <v>3.7145999999999998E-2</v>
      </c>
      <c r="AD36" s="137">
        <v>8.3390999999999999E-4</v>
      </c>
      <c r="AE36" s="137">
        <v>0.62526999999999999</v>
      </c>
      <c r="AF36" s="137">
        <v>4.0183999999999997E-2</v>
      </c>
      <c r="AG36" s="137">
        <v>3.3363999999999998E-2</v>
      </c>
      <c r="AH36" s="137">
        <v>3.2787000000000002E-4</v>
      </c>
      <c r="AI36" s="137">
        <v>1.2904000000000001E-2</v>
      </c>
      <c r="AJ36" s="137">
        <v>-1.2002000000000001E-4</v>
      </c>
      <c r="AK36" s="137">
        <v>8.8021999999999992E-9</v>
      </c>
      <c r="AL36" s="137">
        <v>4.6169000000000002E-3</v>
      </c>
      <c r="AM36" s="137">
        <v>4.3779999999999999E-3</v>
      </c>
      <c r="AN36" s="137">
        <v>6.1840000000000003E-3</v>
      </c>
      <c r="AO36" s="137">
        <v>3.8260999999999998E-5</v>
      </c>
      <c r="AP36" s="137">
        <v>8.8310000000000003E-3</v>
      </c>
      <c r="AQ36" s="137">
        <v>3.9559E-3</v>
      </c>
      <c r="AR36" s="137" t="str">
        <f t="shared" si="9"/>
        <v>IN</v>
      </c>
      <c r="AS36" s="137">
        <f t="shared" si="10"/>
        <v>8.5822454308093991E-3</v>
      </c>
      <c r="AT36" s="137">
        <f t="shared" si="29"/>
        <v>9.5122715404699729E-4</v>
      </c>
      <c r="AU36" s="137">
        <f t="shared" si="30"/>
        <v>0.10664751958224543</v>
      </c>
      <c r="AV36" s="137">
        <f t="shared" si="31"/>
        <v>3.2346214099216713E-6</v>
      </c>
      <c r="AW36" s="137">
        <f t="shared" si="32"/>
        <v>2.3877806788511749E-3</v>
      </c>
      <c r="AX36" s="137">
        <f t="shared" si="33"/>
        <v>2.1268929503916449E-7</v>
      </c>
      <c r="AY36" s="137">
        <f t="shared" si="34"/>
        <v>3.4449608355091387E-4</v>
      </c>
      <c r="AZ36" s="137">
        <f t="shared" si="35"/>
        <v>1.0333681462140992E-3</v>
      </c>
      <c r="BA36" s="137">
        <f t="shared" si="36"/>
        <v>1.1598433420365536E-3</v>
      </c>
      <c r="BB36" s="137">
        <f t="shared" si="37"/>
        <v>0.11252768229765014</v>
      </c>
      <c r="BC36" s="137">
        <f t="shared" si="38"/>
        <v>2.0311227154046999E-4</v>
      </c>
      <c r="BD36" s="137">
        <f t="shared" si="39"/>
        <v>8.5159268929503925E-3</v>
      </c>
      <c r="BE36" s="137">
        <f t="shared" si="40"/>
        <v>2.4489817232375981E-3</v>
      </c>
      <c r="BF36" s="137">
        <f t="shared" si="13"/>
        <v>1.9397389033942559E-4</v>
      </c>
      <c r="BG36" s="137">
        <f t="shared" si="14"/>
        <v>4.3546214099216708E-6</v>
      </c>
      <c r="BH36" s="137">
        <f t="shared" si="15"/>
        <v>3.2651174934725849E-3</v>
      </c>
      <c r="BI36" s="137">
        <f t="shared" si="16"/>
        <v>2.0983812010443863E-4</v>
      </c>
      <c r="BJ36" s="137">
        <f t="shared" si="17"/>
        <v>1.7422454308093995E-4</v>
      </c>
      <c r="BK36" s="137">
        <f t="shared" si="18"/>
        <v>1.7121148825065275E-6</v>
      </c>
      <c r="BL36" s="137">
        <f t="shared" si="19"/>
        <v>6.7383812010443872E-5</v>
      </c>
      <c r="BM36" s="137">
        <f t="shared" si="20"/>
        <v>-6.2673629242819846E-7</v>
      </c>
      <c r="BN36" s="137">
        <f t="shared" si="21"/>
        <v>4.5964490861618794E-11</v>
      </c>
      <c r="BO36" s="137">
        <f t="shared" si="22"/>
        <v>2.4109138381201045E-5</v>
      </c>
      <c r="BP36" s="137">
        <f t="shared" si="23"/>
        <v>2.2861618798955612E-5</v>
      </c>
      <c r="BQ36" s="137">
        <f t="shared" si="24"/>
        <v>3.2292428198433425E-5</v>
      </c>
      <c r="BR36" s="137">
        <f t="shared" si="25"/>
        <v>1.9979634464751958E-7</v>
      </c>
      <c r="BS36" s="137">
        <f t="shared" si="26"/>
        <v>4.6114882506527415E-5</v>
      </c>
      <c r="BT36" s="137">
        <f t="shared" si="27"/>
        <v>2.0657441253263707E-5</v>
      </c>
    </row>
    <row r="37" spans="3:72" x14ac:dyDescent="0.25">
      <c r="C37" s="135">
        <v>35</v>
      </c>
      <c r="D37" s="136" t="s">
        <v>458</v>
      </c>
      <c r="E37" s="153">
        <v>45.504741199999998</v>
      </c>
      <c r="F37" s="154">
        <v>-73.614750599999994</v>
      </c>
      <c r="G37" s="136"/>
      <c r="H37" s="135" t="s">
        <v>279</v>
      </c>
      <c r="I37" s="136" t="s">
        <v>278</v>
      </c>
      <c r="J37" s="146">
        <f t="shared" si="12"/>
        <v>1</v>
      </c>
      <c r="K37" s="76"/>
      <c r="L37" s="137" t="s">
        <v>496</v>
      </c>
      <c r="M37" s="137">
        <f t="shared" si="8"/>
        <v>2.6109660574412533E-3</v>
      </c>
      <c r="N37" s="137" t="s">
        <v>105</v>
      </c>
      <c r="O37" s="137" t="s">
        <v>183</v>
      </c>
      <c r="P37" s="137">
        <v>0.72541999999999995</v>
      </c>
      <c r="Q37" s="137">
        <v>8.0759000000000004E-3</v>
      </c>
      <c r="R37" s="137">
        <v>11.779</v>
      </c>
      <c r="S37" s="137">
        <v>2.9023E-3</v>
      </c>
      <c r="T37" s="137">
        <v>0.41319</v>
      </c>
      <c r="U37" s="137">
        <v>9.4452000000000006E-6</v>
      </c>
      <c r="V37" s="137">
        <v>2.0241999999999999E-3</v>
      </c>
      <c r="W37" s="137">
        <v>0.26599</v>
      </c>
      <c r="X37" s="137">
        <v>1.1989E-2</v>
      </c>
      <c r="Y37" s="137">
        <f t="shared" si="28"/>
        <v>12.4831808452</v>
      </c>
      <c r="Z37" s="137">
        <v>2.1132999999999998E-3</v>
      </c>
      <c r="AA37" s="137">
        <v>0.71911999999999998</v>
      </c>
      <c r="AB37" s="137">
        <v>0.32996999999999999</v>
      </c>
      <c r="AC37" s="137">
        <v>2.4573000000000001E-2</v>
      </c>
      <c r="AD37" s="137">
        <v>2.7229E-5</v>
      </c>
      <c r="AE37" s="137">
        <v>6.7335000000000006E-2</v>
      </c>
      <c r="AF37" s="137">
        <v>3.0088E-2</v>
      </c>
      <c r="AG37" s="137">
        <v>2.0133000000000002E-2</v>
      </c>
      <c r="AH37" s="137">
        <v>5.7027000000000001E-5</v>
      </c>
      <c r="AI37" s="137">
        <v>1.1382E-2</v>
      </c>
      <c r="AJ37" s="137">
        <v>-8.6627999999999995E-6</v>
      </c>
      <c r="AK37" s="137">
        <v>6.0068000000000006E-8</v>
      </c>
      <c r="AL37" s="137">
        <v>5.3282999999999998E-4</v>
      </c>
      <c r="AM37" s="137">
        <v>1.2795E-3</v>
      </c>
      <c r="AN37" s="137">
        <v>1.5107E-3</v>
      </c>
      <c r="AO37" s="137">
        <v>5.0049999999999997E-5</v>
      </c>
      <c r="AP37" s="137">
        <v>9.0012999999999996E-4</v>
      </c>
      <c r="AQ37" s="137">
        <v>1.2633E-3</v>
      </c>
      <c r="AR37" s="137" t="str">
        <f t="shared" si="9"/>
        <v>IR</v>
      </c>
      <c r="AS37" s="137">
        <f t="shared" si="10"/>
        <v>1.8940469973890339E-3</v>
      </c>
      <c r="AT37" s="137">
        <f t="shared" si="29"/>
        <v>2.1085900783289819E-5</v>
      </c>
      <c r="AU37" s="137">
        <f t="shared" si="30"/>
        <v>3.0754569190600524E-2</v>
      </c>
      <c r="AV37" s="137">
        <f t="shared" si="31"/>
        <v>7.5778067885117495E-6</v>
      </c>
      <c r="AW37" s="137">
        <f t="shared" si="32"/>
        <v>1.0788250652741514E-3</v>
      </c>
      <c r="AX37" s="137">
        <f t="shared" si="33"/>
        <v>2.4661096605744127E-8</v>
      </c>
      <c r="AY37" s="137">
        <f t="shared" si="34"/>
        <v>5.2851174934725845E-6</v>
      </c>
      <c r="AZ37" s="137">
        <f t="shared" si="35"/>
        <v>6.9449086161879896E-4</v>
      </c>
      <c r="BA37" s="137">
        <f t="shared" si="36"/>
        <v>3.1302872062663184E-5</v>
      </c>
      <c r="BB37" s="137">
        <f t="shared" si="37"/>
        <v>3.2593161475718016E-2</v>
      </c>
      <c r="BC37" s="137">
        <f t="shared" si="38"/>
        <v>5.5177545691906E-6</v>
      </c>
      <c r="BD37" s="137">
        <f t="shared" si="39"/>
        <v>1.877597911227154E-3</v>
      </c>
      <c r="BE37" s="137">
        <f t="shared" si="40"/>
        <v>8.6154046997389037E-4</v>
      </c>
      <c r="BF37" s="137">
        <f t="shared" si="13"/>
        <v>6.4159268929503917E-5</v>
      </c>
      <c r="BG37" s="137">
        <f t="shared" si="14"/>
        <v>7.1093994778067888E-8</v>
      </c>
      <c r="BH37" s="137">
        <f t="shared" si="15"/>
        <v>1.7580939947780681E-4</v>
      </c>
      <c r="BI37" s="137">
        <f t="shared" si="16"/>
        <v>7.8558746736292432E-5</v>
      </c>
      <c r="BJ37" s="137">
        <f t="shared" si="17"/>
        <v>5.2566579634464759E-5</v>
      </c>
      <c r="BK37" s="137">
        <f t="shared" si="18"/>
        <v>1.4889556135770237E-7</v>
      </c>
      <c r="BL37" s="137">
        <f t="shared" si="19"/>
        <v>2.9718015665796343E-5</v>
      </c>
      <c r="BM37" s="137">
        <f t="shared" si="20"/>
        <v>-2.2618276762402087E-8</v>
      </c>
      <c r="BN37" s="137">
        <f t="shared" si="21"/>
        <v>1.5683550913838123E-10</v>
      </c>
      <c r="BO37" s="137">
        <f t="shared" si="22"/>
        <v>1.3912010443864229E-6</v>
      </c>
      <c r="BP37" s="137">
        <f t="shared" si="23"/>
        <v>3.3407310704960838E-6</v>
      </c>
      <c r="BQ37" s="137">
        <f t="shared" si="24"/>
        <v>3.944386422976501E-6</v>
      </c>
      <c r="BR37" s="137">
        <f t="shared" si="25"/>
        <v>1.3067885117493471E-7</v>
      </c>
      <c r="BS37" s="137">
        <f t="shared" si="26"/>
        <v>2.3502088772845953E-6</v>
      </c>
      <c r="BT37" s="137">
        <f t="shared" si="27"/>
        <v>3.2984334203655351E-6</v>
      </c>
    </row>
    <row r="38" spans="3:72" x14ac:dyDescent="0.25">
      <c r="C38" s="135">
        <v>36</v>
      </c>
      <c r="D38" s="136" t="s">
        <v>458</v>
      </c>
      <c r="E38" s="153">
        <v>45.504741199999998</v>
      </c>
      <c r="F38" s="154">
        <v>-73.614750599999994</v>
      </c>
      <c r="G38" s="136"/>
      <c r="H38" s="135" t="s">
        <v>842</v>
      </c>
      <c r="I38" s="136" t="s">
        <v>421</v>
      </c>
      <c r="J38" s="146">
        <f t="shared" si="12"/>
        <v>4</v>
      </c>
      <c r="K38" s="76"/>
      <c r="L38" s="137" t="s">
        <v>497</v>
      </c>
      <c r="M38" s="137">
        <f t="shared" si="8"/>
        <v>1.0443864229765013E-2</v>
      </c>
      <c r="N38" s="137" t="s">
        <v>105</v>
      </c>
      <c r="O38" s="137" t="s">
        <v>183</v>
      </c>
      <c r="P38" s="137">
        <v>0.41761999999999999</v>
      </c>
      <c r="Q38" s="137">
        <v>0.18090999999999999</v>
      </c>
      <c r="R38" s="137">
        <v>5.9120999999999997</v>
      </c>
      <c r="S38" s="137">
        <v>0.13691999999999999</v>
      </c>
      <c r="T38" s="137">
        <v>0.86094999999999999</v>
      </c>
      <c r="U38" s="137">
        <v>3.4412999999999997E-5</v>
      </c>
      <c r="V38" s="137">
        <v>0.48776999999999998</v>
      </c>
      <c r="W38" s="137">
        <v>0.70587</v>
      </c>
      <c r="X38" s="137">
        <v>0.25794</v>
      </c>
      <c r="Y38" s="137">
        <f t="shared" si="28"/>
        <v>8.5424944129999982</v>
      </c>
      <c r="Z38" s="137">
        <v>2.4993000000000001E-2</v>
      </c>
      <c r="AA38" s="137">
        <v>0.41055000000000003</v>
      </c>
      <c r="AB38" s="137">
        <v>0.15881000000000001</v>
      </c>
      <c r="AC38" s="137">
        <v>2.4494999999999999E-2</v>
      </c>
      <c r="AD38" s="137">
        <v>1.042E-4</v>
      </c>
      <c r="AE38" s="137">
        <v>8.9723999999999998E-2</v>
      </c>
      <c r="AF38" s="137">
        <v>4.9938999999999997E-2</v>
      </c>
      <c r="AG38" s="137">
        <v>2.1291000000000001E-2</v>
      </c>
      <c r="AH38" s="137">
        <v>5.9209999999999997E-5</v>
      </c>
      <c r="AI38" s="137">
        <v>1.2682000000000001E-2</v>
      </c>
      <c r="AJ38" s="137">
        <v>-1.2503999999999999E-5</v>
      </c>
      <c r="AK38" s="137">
        <v>4.8791999999999998E-8</v>
      </c>
      <c r="AL38" s="137">
        <v>4.6069999999999998E-4</v>
      </c>
      <c r="AM38" s="137">
        <v>9.3282E-4</v>
      </c>
      <c r="AN38" s="137">
        <v>1.4433E-3</v>
      </c>
      <c r="AO38" s="137">
        <v>2.7976000000000001E-5</v>
      </c>
      <c r="AP38" s="137">
        <v>4.2556E-3</v>
      </c>
      <c r="AQ38" s="137">
        <v>4.1063000000000002E-3</v>
      </c>
      <c r="AR38" s="137" t="str">
        <f t="shared" si="9"/>
        <v>IT</v>
      </c>
      <c r="AS38" s="137">
        <f t="shared" si="10"/>
        <v>4.3615665796344644E-3</v>
      </c>
      <c r="AT38" s="137">
        <f t="shared" si="29"/>
        <v>1.8893994778067884E-3</v>
      </c>
      <c r="AU38" s="137">
        <f t="shared" si="30"/>
        <v>6.1745169712793729E-2</v>
      </c>
      <c r="AV38" s="137">
        <f t="shared" si="31"/>
        <v>1.4299738903394254E-3</v>
      </c>
      <c r="AW38" s="137">
        <f t="shared" si="32"/>
        <v>8.9916449086161875E-3</v>
      </c>
      <c r="AX38" s="137">
        <f t="shared" si="33"/>
        <v>3.5940469973890337E-7</v>
      </c>
      <c r="AY38" s="137">
        <f t="shared" si="34"/>
        <v>5.09420365535248E-3</v>
      </c>
      <c r="AZ38" s="137">
        <f t="shared" si="35"/>
        <v>7.3720104438642301E-3</v>
      </c>
      <c r="BA38" s="137">
        <f t="shared" si="36"/>
        <v>2.6938903394255875E-3</v>
      </c>
      <c r="BB38" s="137">
        <f t="shared" si="37"/>
        <v>8.9216651832898161E-2</v>
      </c>
      <c r="BC38" s="137">
        <f t="shared" si="38"/>
        <v>2.6102349869451698E-4</v>
      </c>
      <c r="BD38" s="137">
        <f t="shared" si="39"/>
        <v>4.2877284595300262E-3</v>
      </c>
      <c r="BE38" s="137">
        <f t="shared" si="40"/>
        <v>1.6585900783289819E-3</v>
      </c>
      <c r="BF38" s="137">
        <f t="shared" si="13"/>
        <v>2.5582245430809397E-4</v>
      </c>
      <c r="BG38" s="137">
        <f t="shared" si="14"/>
        <v>1.0882506527415144E-6</v>
      </c>
      <c r="BH38" s="137">
        <f t="shared" si="15"/>
        <v>9.3706527415143598E-4</v>
      </c>
      <c r="BI38" s="137">
        <f t="shared" si="16"/>
        <v>5.2155613577023496E-4</v>
      </c>
      <c r="BJ38" s="137">
        <f t="shared" si="17"/>
        <v>2.2236031331592689E-4</v>
      </c>
      <c r="BK38" s="137">
        <f t="shared" si="18"/>
        <v>6.183812010443864E-7</v>
      </c>
      <c r="BL38" s="137">
        <f t="shared" si="19"/>
        <v>1.3244908616187991E-4</v>
      </c>
      <c r="BM38" s="137">
        <f t="shared" si="20"/>
        <v>-1.3059007832898172E-7</v>
      </c>
      <c r="BN38" s="137">
        <f t="shared" si="21"/>
        <v>5.0957702349869448E-10</v>
      </c>
      <c r="BO38" s="137">
        <f t="shared" si="22"/>
        <v>4.8114882506527413E-6</v>
      </c>
      <c r="BP38" s="137">
        <f t="shared" si="23"/>
        <v>9.7422454308093996E-6</v>
      </c>
      <c r="BQ38" s="137">
        <f t="shared" si="24"/>
        <v>1.5073629242819843E-5</v>
      </c>
      <c r="BR38" s="137">
        <f t="shared" si="25"/>
        <v>2.9217754569190601E-7</v>
      </c>
      <c r="BS38" s="137">
        <f t="shared" si="26"/>
        <v>4.4444908616187989E-5</v>
      </c>
      <c r="BT38" s="137">
        <f t="shared" si="27"/>
        <v>4.2885639686684076E-5</v>
      </c>
    </row>
    <row r="39" spans="3:72" x14ac:dyDescent="0.25">
      <c r="C39" s="135">
        <v>37</v>
      </c>
      <c r="D39" s="136" t="s">
        <v>458</v>
      </c>
      <c r="E39" s="153">
        <v>45.504741199999998</v>
      </c>
      <c r="F39" s="154">
        <v>-73.614750599999994</v>
      </c>
      <c r="G39" s="136"/>
      <c r="H39" s="135" t="s">
        <v>149</v>
      </c>
      <c r="I39" s="136" t="s">
        <v>272</v>
      </c>
      <c r="J39" s="146">
        <f t="shared" si="12"/>
        <v>2</v>
      </c>
      <c r="K39" s="76"/>
      <c r="L39" s="137" t="s">
        <v>498</v>
      </c>
      <c r="M39" s="137">
        <f t="shared" si="8"/>
        <v>5.2219321148825066E-3</v>
      </c>
      <c r="N39" s="137" t="s">
        <v>105</v>
      </c>
      <c r="O39" s="137" t="s">
        <v>183</v>
      </c>
      <c r="P39" s="137">
        <v>0.67239000000000004</v>
      </c>
      <c r="Q39" s="137">
        <v>0.20596</v>
      </c>
      <c r="R39" s="137">
        <v>8.1877999999999993</v>
      </c>
      <c r="S39" s="137">
        <v>1.7586999999999998E-2</v>
      </c>
      <c r="T39" s="137">
        <v>0.51180000000000003</v>
      </c>
      <c r="U39" s="137">
        <v>4.9892999999999998E-5</v>
      </c>
      <c r="V39" s="137">
        <v>0.35063</v>
      </c>
      <c r="W39" s="137">
        <v>0.36723</v>
      </c>
      <c r="X39" s="137">
        <v>2.9495E-2</v>
      </c>
      <c r="Y39" s="137">
        <f t="shared" si="28"/>
        <v>9.6705518930000007</v>
      </c>
      <c r="Z39" s="137">
        <v>3.1220000000000001E-2</v>
      </c>
      <c r="AA39" s="137">
        <v>0.66318999999999995</v>
      </c>
      <c r="AB39" s="137">
        <v>0.21160999999999999</v>
      </c>
      <c r="AC39" s="137">
        <v>2.6648999999999999E-2</v>
      </c>
      <c r="AD39" s="137">
        <v>1.4579E-4</v>
      </c>
      <c r="AE39" s="137">
        <v>0.13113</v>
      </c>
      <c r="AF39" s="137">
        <v>3.9879999999999999E-2</v>
      </c>
      <c r="AG39" s="137">
        <v>2.248E-2</v>
      </c>
      <c r="AH39" s="137">
        <v>9.0847000000000006E-5</v>
      </c>
      <c r="AI39" s="137">
        <v>1.4334E-2</v>
      </c>
      <c r="AJ39" s="137">
        <v>-2.4502E-5</v>
      </c>
      <c r="AK39" s="137">
        <v>1.3189999999999999E-8</v>
      </c>
      <c r="AL39" s="137">
        <v>8.2021000000000004E-4</v>
      </c>
      <c r="AM39" s="137">
        <v>1.652E-3</v>
      </c>
      <c r="AN39" s="137">
        <v>2.5953E-3</v>
      </c>
      <c r="AO39" s="137">
        <v>4.8655000000000001E-5</v>
      </c>
      <c r="AP39" s="137">
        <v>2.9984999999999999E-3</v>
      </c>
      <c r="AQ39" s="137">
        <v>1.9434999999999999E-3</v>
      </c>
      <c r="AR39" s="137" t="str">
        <f t="shared" si="9"/>
        <v>JP</v>
      </c>
      <c r="AS39" s="137">
        <f t="shared" si="10"/>
        <v>3.511174934725849E-3</v>
      </c>
      <c r="AT39" s="137">
        <f t="shared" si="29"/>
        <v>1.0755091383812011E-3</v>
      </c>
      <c r="AU39" s="137">
        <f t="shared" si="30"/>
        <v>4.2756135770234981E-2</v>
      </c>
      <c r="AV39" s="137">
        <f t="shared" si="31"/>
        <v>9.1838120104438639E-5</v>
      </c>
      <c r="AW39" s="137">
        <f t="shared" si="32"/>
        <v>2.672584856396867E-3</v>
      </c>
      <c r="AX39" s="137">
        <f t="shared" si="33"/>
        <v>2.6053785900783288E-7</v>
      </c>
      <c r="AY39" s="137">
        <f t="shared" si="34"/>
        <v>1.8309660574412532E-3</v>
      </c>
      <c r="AZ39" s="137">
        <f t="shared" si="35"/>
        <v>1.917650130548303E-3</v>
      </c>
      <c r="BA39" s="137">
        <f t="shared" si="36"/>
        <v>1.5402088772845953E-4</v>
      </c>
      <c r="BB39" s="137">
        <f t="shared" si="37"/>
        <v>5.0498965498694523E-2</v>
      </c>
      <c r="BC39" s="137">
        <f t="shared" si="38"/>
        <v>1.6302872062663187E-4</v>
      </c>
      <c r="BD39" s="137">
        <f t="shared" si="39"/>
        <v>3.4631331592689294E-3</v>
      </c>
      <c r="BE39" s="137">
        <f t="shared" si="40"/>
        <v>1.1050130548302872E-3</v>
      </c>
      <c r="BF39" s="137">
        <f t="shared" si="13"/>
        <v>1.3915926892950391E-4</v>
      </c>
      <c r="BG39" s="137">
        <f t="shared" si="14"/>
        <v>7.6130548302872067E-7</v>
      </c>
      <c r="BH39" s="137">
        <f t="shared" si="15"/>
        <v>6.8475195822454305E-4</v>
      </c>
      <c r="BI39" s="137">
        <f t="shared" si="16"/>
        <v>2.0825065274151434E-4</v>
      </c>
      <c r="BJ39" s="137">
        <f t="shared" si="17"/>
        <v>1.1738903394255875E-4</v>
      </c>
      <c r="BK39" s="137">
        <f t="shared" si="18"/>
        <v>4.743968668407311E-7</v>
      </c>
      <c r="BL39" s="137">
        <f t="shared" si="19"/>
        <v>7.485117493472585E-5</v>
      </c>
      <c r="BM39" s="137">
        <f t="shared" si="20"/>
        <v>-1.2794778067885117E-7</v>
      </c>
      <c r="BN39" s="137">
        <f t="shared" si="21"/>
        <v>6.8877284595300259E-11</v>
      </c>
      <c r="BO39" s="137">
        <f t="shared" si="22"/>
        <v>4.2830809399477809E-6</v>
      </c>
      <c r="BP39" s="137">
        <f t="shared" si="23"/>
        <v>8.6266318537859017E-6</v>
      </c>
      <c r="BQ39" s="137">
        <f t="shared" si="24"/>
        <v>1.3552480417754569E-5</v>
      </c>
      <c r="BR39" s="137">
        <f t="shared" si="25"/>
        <v>2.5407310704960838E-7</v>
      </c>
      <c r="BS39" s="137">
        <f t="shared" si="26"/>
        <v>1.5657963446475197E-5</v>
      </c>
      <c r="BT39" s="137">
        <f t="shared" si="27"/>
        <v>1.0148825065274151E-5</v>
      </c>
    </row>
    <row r="40" spans="3:72" x14ac:dyDescent="0.25">
      <c r="C40" s="135">
        <v>38</v>
      </c>
      <c r="D40" s="136" t="s">
        <v>458</v>
      </c>
      <c r="E40" s="153">
        <v>45.504741199999998</v>
      </c>
      <c r="F40" s="154">
        <v>-73.614750599999994</v>
      </c>
      <c r="G40" s="136"/>
      <c r="H40" s="135" t="s">
        <v>283</v>
      </c>
      <c r="I40" s="136" t="s">
        <v>282</v>
      </c>
      <c r="J40" s="146">
        <f t="shared" si="12"/>
        <v>1</v>
      </c>
      <c r="K40" s="76"/>
      <c r="L40" s="137" t="s">
        <v>499</v>
      </c>
      <c r="M40" s="137">
        <f t="shared" si="8"/>
        <v>2.6109660574412533E-3</v>
      </c>
      <c r="N40" s="137" t="s">
        <v>105</v>
      </c>
      <c r="O40" s="137" t="s">
        <v>183</v>
      </c>
      <c r="P40" s="137">
        <v>0.93355999999999995</v>
      </c>
      <c r="Q40" s="137">
        <v>1.2274999999999999E-2</v>
      </c>
      <c r="R40" s="137">
        <v>13.541</v>
      </c>
      <c r="S40" s="137">
        <v>4.0722000000000002E-4</v>
      </c>
      <c r="T40" s="137">
        <v>4.5411E-2</v>
      </c>
      <c r="U40" s="137">
        <v>1.8726E-5</v>
      </c>
      <c r="V40" s="137">
        <v>5.1079999999999995E-4</v>
      </c>
      <c r="W40" s="137">
        <v>3.1073E-2</v>
      </c>
      <c r="X40" s="137">
        <v>3.5485E-3</v>
      </c>
      <c r="Y40" s="137">
        <f t="shared" si="28"/>
        <v>13.634244246000002</v>
      </c>
      <c r="Z40" s="137">
        <v>2.49E-3</v>
      </c>
      <c r="AA40" s="137">
        <v>0.93072999999999995</v>
      </c>
      <c r="AB40" s="137">
        <v>0.33633000000000002</v>
      </c>
      <c r="AC40" s="137">
        <v>2.2526000000000001E-2</v>
      </c>
      <c r="AD40" s="137">
        <v>1.9904000000000001E-5</v>
      </c>
      <c r="AE40" s="137">
        <v>7.3129E-2</v>
      </c>
      <c r="AF40" s="137">
        <v>4.0453000000000003E-2</v>
      </c>
      <c r="AG40" s="137">
        <v>2.0167000000000001E-2</v>
      </c>
      <c r="AH40" s="137">
        <v>1.7071E-4</v>
      </c>
      <c r="AI40" s="137">
        <v>1.1376000000000001E-2</v>
      </c>
      <c r="AJ40" s="137">
        <v>-7.7380999999999997E-6</v>
      </c>
      <c r="AK40" s="137">
        <v>1.2209999999999999E-7</v>
      </c>
      <c r="AL40" s="137">
        <v>1.5248E-3</v>
      </c>
      <c r="AM40" s="137">
        <v>3.1481999999999999E-3</v>
      </c>
      <c r="AN40" s="137">
        <v>5.3502999999999997E-3</v>
      </c>
      <c r="AO40" s="137">
        <v>9.4296999999999995E-5</v>
      </c>
      <c r="AP40" s="137">
        <v>1.3077E-3</v>
      </c>
      <c r="AQ40" s="137">
        <v>1.4959000000000001E-3</v>
      </c>
      <c r="AR40" s="137" t="str">
        <f t="shared" si="9"/>
        <v>KW</v>
      </c>
      <c r="AS40" s="137">
        <f t="shared" si="10"/>
        <v>2.4374934725848564E-3</v>
      </c>
      <c r="AT40" s="137">
        <f t="shared" si="29"/>
        <v>3.2049608355091384E-5</v>
      </c>
      <c r="AU40" s="137">
        <f t="shared" si="30"/>
        <v>3.5355091383812015E-2</v>
      </c>
      <c r="AV40" s="137">
        <f t="shared" si="31"/>
        <v>1.0632375979112272E-6</v>
      </c>
      <c r="AW40" s="137">
        <f t="shared" si="32"/>
        <v>1.1856657963446475E-4</v>
      </c>
      <c r="AX40" s="137">
        <f t="shared" si="33"/>
        <v>4.8892950391644911E-8</v>
      </c>
      <c r="AY40" s="137">
        <f t="shared" si="34"/>
        <v>1.3336814621409922E-6</v>
      </c>
      <c r="AZ40" s="137">
        <f t="shared" si="35"/>
        <v>8.1130548302872063E-5</v>
      </c>
      <c r="BA40" s="137">
        <f t="shared" si="36"/>
        <v>9.2650130548302866E-6</v>
      </c>
      <c r="BB40" s="137">
        <f t="shared" si="37"/>
        <v>3.5598548945169714E-2</v>
      </c>
      <c r="BC40" s="137">
        <f t="shared" si="38"/>
        <v>6.5013054830287208E-6</v>
      </c>
      <c r="BD40" s="137">
        <f t="shared" si="39"/>
        <v>2.4301044386422976E-3</v>
      </c>
      <c r="BE40" s="137">
        <f t="shared" si="40"/>
        <v>8.7814621409921677E-4</v>
      </c>
      <c r="BF40" s="137">
        <f t="shared" si="13"/>
        <v>5.8814621409921671E-5</v>
      </c>
      <c r="BG40" s="137">
        <f t="shared" si="14"/>
        <v>5.1968668407310709E-8</v>
      </c>
      <c r="BH40" s="137">
        <f t="shared" si="15"/>
        <v>1.9093733681462141E-4</v>
      </c>
      <c r="BI40" s="137">
        <f t="shared" si="16"/>
        <v>1.0562140992167103E-4</v>
      </c>
      <c r="BJ40" s="137">
        <f t="shared" si="17"/>
        <v>5.2655352480417754E-5</v>
      </c>
      <c r="BK40" s="137">
        <f t="shared" si="18"/>
        <v>4.4571801566579632E-7</v>
      </c>
      <c r="BL40" s="137">
        <f t="shared" si="19"/>
        <v>2.97023498694517E-5</v>
      </c>
      <c r="BM40" s="137">
        <f t="shared" si="20"/>
        <v>-2.0203916449086161E-8</v>
      </c>
      <c r="BN40" s="137">
        <f t="shared" si="21"/>
        <v>3.1879895561357701E-10</v>
      </c>
      <c r="BO40" s="137">
        <f t="shared" si="22"/>
        <v>3.9812010443864233E-6</v>
      </c>
      <c r="BP40" s="137">
        <f t="shared" si="23"/>
        <v>8.2198433420365541E-6</v>
      </c>
      <c r="BQ40" s="137">
        <f t="shared" si="24"/>
        <v>1.3969451697127936E-5</v>
      </c>
      <c r="BR40" s="137">
        <f t="shared" si="25"/>
        <v>2.4620626631853784E-7</v>
      </c>
      <c r="BS40" s="137">
        <f t="shared" si="26"/>
        <v>3.414360313315927E-6</v>
      </c>
      <c r="BT40" s="137">
        <f t="shared" si="27"/>
        <v>3.9057441253263707E-6</v>
      </c>
    </row>
    <row r="41" spans="3:72" x14ac:dyDescent="0.25">
      <c r="C41" s="135">
        <v>39</v>
      </c>
      <c r="D41" s="136" t="s">
        <v>458</v>
      </c>
      <c r="E41" s="153">
        <v>45.514125800000002</v>
      </c>
      <c r="F41" s="154">
        <v>-73.560550599999999</v>
      </c>
      <c r="G41" s="136"/>
      <c r="H41" s="135" t="s">
        <v>152</v>
      </c>
      <c r="I41" s="136" t="s">
        <v>285</v>
      </c>
      <c r="J41" s="146">
        <f t="shared" si="12"/>
        <v>2</v>
      </c>
      <c r="K41" s="76"/>
      <c r="L41" s="137" t="s">
        <v>495</v>
      </c>
      <c r="M41" s="137">
        <f t="shared" si="8"/>
        <v>5.2219321148825066E-3</v>
      </c>
      <c r="N41" s="137" t="s">
        <v>105</v>
      </c>
      <c r="O41" s="137" t="s">
        <v>183</v>
      </c>
      <c r="P41" s="137">
        <v>0.59436999999999995</v>
      </c>
      <c r="Q41" s="137">
        <v>0.15714</v>
      </c>
      <c r="R41" s="137">
        <v>7.6772999999999998</v>
      </c>
      <c r="S41" s="137">
        <v>7.7791999999999998E-4</v>
      </c>
      <c r="T41" s="137">
        <v>0.85474000000000006</v>
      </c>
      <c r="U41" s="137">
        <v>3.6239000000000003E-5</v>
      </c>
      <c r="V41" s="137">
        <v>0.13941000000000001</v>
      </c>
      <c r="W41" s="137">
        <v>0.22836000000000001</v>
      </c>
      <c r="X41" s="137">
        <v>0.46617999999999998</v>
      </c>
      <c r="Y41" s="137">
        <f t="shared" si="28"/>
        <v>9.5239441589999991</v>
      </c>
      <c r="Z41" s="137">
        <v>2.2696000000000001E-2</v>
      </c>
      <c r="AA41" s="137">
        <v>0.58864000000000005</v>
      </c>
      <c r="AB41" s="137">
        <v>0.19763</v>
      </c>
      <c r="AC41" s="137">
        <v>2.7050000000000001E-2</v>
      </c>
      <c r="AD41" s="137">
        <v>2.7848E-4</v>
      </c>
      <c r="AE41" s="137">
        <v>0.19555</v>
      </c>
      <c r="AF41" s="137">
        <v>4.8072999999999998E-2</v>
      </c>
      <c r="AG41" s="137">
        <v>2.3734999999999999E-2</v>
      </c>
      <c r="AH41" s="137">
        <v>9.5016E-5</v>
      </c>
      <c r="AI41" s="137">
        <v>1.2246E-2</v>
      </c>
      <c r="AJ41" s="137">
        <v>-2.0424E-5</v>
      </c>
      <c r="AK41" s="137">
        <v>2.3490000000000001E-8</v>
      </c>
      <c r="AL41" s="137">
        <v>3.345E-4</v>
      </c>
      <c r="AM41" s="137">
        <v>8.8851999999999996E-4</v>
      </c>
      <c r="AN41" s="137">
        <v>9.4026000000000005E-4</v>
      </c>
      <c r="AO41" s="137">
        <v>1.4044E-5</v>
      </c>
      <c r="AP41" s="137">
        <v>2.3268E-3</v>
      </c>
      <c r="AQ41" s="137">
        <v>2.6708999999999999E-3</v>
      </c>
      <c r="AR41" s="137" t="str">
        <f t="shared" si="9"/>
        <v>NL</v>
      </c>
      <c r="AS41" s="137">
        <f t="shared" si="10"/>
        <v>3.1037597911227153E-3</v>
      </c>
      <c r="AT41" s="137">
        <f t="shared" si="29"/>
        <v>8.2057441253263709E-4</v>
      </c>
      <c r="AU41" s="137">
        <f t="shared" si="30"/>
        <v>4.0090339425587464E-2</v>
      </c>
      <c r="AV41" s="137">
        <f t="shared" si="31"/>
        <v>4.0622454308093998E-6</v>
      </c>
      <c r="AW41" s="137">
        <f t="shared" si="32"/>
        <v>4.4633942558746737E-3</v>
      </c>
      <c r="AX41" s="137">
        <f t="shared" si="33"/>
        <v>1.8923759791122718E-7</v>
      </c>
      <c r="AY41" s="137">
        <f t="shared" si="34"/>
        <v>7.2798955613577031E-4</v>
      </c>
      <c r="AZ41" s="137">
        <f t="shared" si="35"/>
        <v>1.1924804177545693E-3</v>
      </c>
      <c r="BA41" s="137">
        <f t="shared" si="36"/>
        <v>2.434360313315927E-3</v>
      </c>
      <c r="BB41" s="137">
        <f t="shared" si="37"/>
        <v>4.973338986422976E-2</v>
      </c>
      <c r="BC41" s="137">
        <f t="shared" si="38"/>
        <v>1.1851697127937338E-4</v>
      </c>
      <c r="BD41" s="137">
        <f t="shared" si="39"/>
        <v>3.0738381201044392E-3</v>
      </c>
      <c r="BE41" s="137">
        <f t="shared" si="40"/>
        <v>1.0320104438642297E-3</v>
      </c>
      <c r="BF41" s="137">
        <f t="shared" si="13"/>
        <v>1.4125326370757182E-4</v>
      </c>
      <c r="BG41" s="137">
        <f t="shared" si="14"/>
        <v>1.4542036553524805E-6</v>
      </c>
      <c r="BH41" s="137">
        <f t="shared" si="15"/>
        <v>1.0211488250652741E-3</v>
      </c>
      <c r="BI41" s="137">
        <f t="shared" si="16"/>
        <v>2.5103394255874672E-4</v>
      </c>
      <c r="BJ41" s="137">
        <f t="shared" si="17"/>
        <v>1.2394255874673628E-4</v>
      </c>
      <c r="BK41" s="137">
        <f t="shared" si="18"/>
        <v>4.9616710182767623E-7</v>
      </c>
      <c r="BL41" s="137">
        <f t="shared" si="19"/>
        <v>6.3947780678851171E-5</v>
      </c>
      <c r="BM41" s="137">
        <f t="shared" si="20"/>
        <v>-1.0665274151436032E-7</v>
      </c>
      <c r="BN41" s="137">
        <f t="shared" si="21"/>
        <v>1.2266318537859009E-10</v>
      </c>
      <c r="BO41" s="137">
        <f t="shared" si="22"/>
        <v>1.7467362924281985E-6</v>
      </c>
      <c r="BP41" s="137">
        <f t="shared" si="23"/>
        <v>4.6397911227154047E-6</v>
      </c>
      <c r="BQ41" s="137">
        <f t="shared" si="24"/>
        <v>4.9099738903394259E-6</v>
      </c>
      <c r="BR41" s="137">
        <f t="shared" si="25"/>
        <v>7.3336814621409923E-8</v>
      </c>
      <c r="BS41" s="137">
        <f t="shared" si="26"/>
        <v>1.2150391644908616E-5</v>
      </c>
      <c r="BT41" s="137">
        <f t="shared" si="27"/>
        <v>1.3947258485639687E-5</v>
      </c>
    </row>
    <row r="42" spans="3:72" x14ac:dyDescent="0.25">
      <c r="C42" s="135">
        <v>40</v>
      </c>
      <c r="D42" s="136" t="s">
        <v>458</v>
      </c>
      <c r="E42" s="153">
        <v>45.376868199999997</v>
      </c>
      <c r="F42" s="154">
        <v>-71.930584100000004</v>
      </c>
      <c r="G42" s="136"/>
      <c r="H42" s="135" t="s">
        <v>843</v>
      </c>
      <c r="I42" s="136" t="s">
        <v>468</v>
      </c>
      <c r="J42" s="146">
        <f t="shared" si="12"/>
        <v>1</v>
      </c>
      <c r="K42" s="76"/>
      <c r="L42" s="137" t="s">
        <v>493</v>
      </c>
      <c r="M42" s="137">
        <f t="shared" si="8"/>
        <v>2.6109660574412533E-3</v>
      </c>
      <c r="N42" s="137" t="s">
        <v>105</v>
      </c>
      <c r="O42" s="137" t="s">
        <v>183</v>
      </c>
      <c r="P42" s="137">
        <v>0.11409999999999999</v>
      </c>
      <c r="Q42" s="137">
        <v>6.7235000000000003E-2</v>
      </c>
      <c r="R42" s="137">
        <v>1.4802999999999999</v>
      </c>
      <c r="S42" s="137">
        <v>2.3048000000000001E-3</v>
      </c>
      <c r="T42" s="137">
        <v>10.872999999999999</v>
      </c>
      <c r="U42" s="137">
        <v>1.1216999999999999E-5</v>
      </c>
      <c r="V42" s="137">
        <v>0.12425</v>
      </c>
      <c r="W42" s="137">
        <v>0.43758000000000002</v>
      </c>
      <c r="X42" s="137">
        <v>0.20362</v>
      </c>
      <c r="Y42" s="137">
        <f t="shared" si="28"/>
        <v>13.188301017000001</v>
      </c>
      <c r="Z42" s="137">
        <v>9.8340000000000007E-3</v>
      </c>
      <c r="AA42" s="137">
        <v>0.11298</v>
      </c>
      <c r="AB42" s="137">
        <v>3.8931E-2</v>
      </c>
      <c r="AC42" s="137">
        <v>2.2540000000000001E-2</v>
      </c>
      <c r="AD42" s="137">
        <v>3.7406000000000001E-5</v>
      </c>
      <c r="AE42" s="137">
        <v>5.6141999999999997E-2</v>
      </c>
      <c r="AF42" s="137">
        <v>0.54378000000000004</v>
      </c>
      <c r="AG42" s="137">
        <v>1.9507E-2</v>
      </c>
      <c r="AH42" s="137">
        <v>5.3452000000000003E-5</v>
      </c>
      <c r="AI42" s="137">
        <v>1.2806E-2</v>
      </c>
      <c r="AJ42" s="137">
        <v>-5.0058999999999998E-6</v>
      </c>
      <c r="AK42" s="137">
        <v>1.0107000000000001E-8</v>
      </c>
      <c r="AL42" s="137">
        <v>1.7354E-4</v>
      </c>
      <c r="AM42" s="137">
        <v>3.0646999999999998E-4</v>
      </c>
      <c r="AN42" s="137">
        <v>4.2274000000000001E-4</v>
      </c>
      <c r="AO42" s="137">
        <v>1.2502E-5</v>
      </c>
      <c r="AP42" s="137">
        <v>1.0429E-3</v>
      </c>
      <c r="AQ42" s="137">
        <v>3.2921999999999999E-3</v>
      </c>
      <c r="AR42" s="137" t="str">
        <f t="shared" si="9"/>
        <v>RER / FR</v>
      </c>
      <c r="AS42" s="137">
        <f t="shared" si="10"/>
        <v>2.9791122715404697E-4</v>
      </c>
      <c r="AT42" s="137">
        <f t="shared" si="29"/>
        <v>1.7554830287206267E-4</v>
      </c>
      <c r="AU42" s="137">
        <f t="shared" si="30"/>
        <v>3.8650130548302871E-3</v>
      </c>
      <c r="AV42" s="137">
        <f t="shared" si="31"/>
        <v>6.0177545691906011E-6</v>
      </c>
      <c r="AW42" s="137">
        <f t="shared" si="32"/>
        <v>2.8389033942558744E-2</v>
      </c>
      <c r="AX42" s="137">
        <f t="shared" si="33"/>
        <v>2.9287206266318536E-8</v>
      </c>
      <c r="AY42" s="137">
        <f t="shared" si="34"/>
        <v>3.2441253263707572E-4</v>
      </c>
      <c r="AZ42" s="137">
        <f t="shared" si="35"/>
        <v>1.1425065274151436E-3</v>
      </c>
      <c r="BA42" s="137">
        <f t="shared" si="36"/>
        <v>5.3164490861618799E-4</v>
      </c>
      <c r="BB42" s="137">
        <f t="shared" si="37"/>
        <v>3.4434206310704964E-2</v>
      </c>
      <c r="BC42" s="137">
        <f t="shared" si="38"/>
        <v>2.5676240208877287E-5</v>
      </c>
      <c r="BD42" s="137">
        <f t="shared" si="39"/>
        <v>2.949869451697128E-4</v>
      </c>
      <c r="BE42" s="137">
        <f t="shared" si="40"/>
        <v>1.0164751958224543E-4</v>
      </c>
      <c r="BF42" s="137">
        <f t="shared" si="13"/>
        <v>5.8851174934725854E-5</v>
      </c>
      <c r="BG42" s="137">
        <f t="shared" si="14"/>
        <v>9.7665796344647526E-8</v>
      </c>
      <c r="BH42" s="137">
        <f t="shared" si="15"/>
        <v>1.4658485639686684E-4</v>
      </c>
      <c r="BI42" s="137">
        <f t="shared" si="16"/>
        <v>1.4197911227154048E-3</v>
      </c>
      <c r="BJ42" s="137">
        <f t="shared" si="17"/>
        <v>5.0932114882506529E-5</v>
      </c>
      <c r="BK42" s="137">
        <f t="shared" si="18"/>
        <v>1.3956135770234989E-7</v>
      </c>
      <c r="BL42" s="137">
        <f t="shared" si="19"/>
        <v>3.3436031331592692E-5</v>
      </c>
      <c r="BM42" s="137">
        <f t="shared" si="20"/>
        <v>-1.3070234986945169E-8</v>
      </c>
      <c r="BN42" s="137">
        <f t="shared" si="21"/>
        <v>2.638903394255875E-11</v>
      </c>
      <c r="BO42" s="137">
        <f t="shared" si="22"/>
        <v>4.531070496083551E-7</v>
      </c>
      <c r="BP42" s="137">
        <f t="shared" si="23"/>
        <v>8.0018276762402086E-7</v>
      </c>
      <c r="BQ42" s="137">
        <f t="shared" si="24"/>
        <v>1.1037597911227154E-6</v>
      </c>
      <c r="BR42" s="137">
        <f t="shared" si="25"/>
        <v>3.2642297650130551E-8</v>
      </c>
      <c r="BS42" s="137">
        <f t="shared" si="26"/>
        <v>2.7229765013054831E-6</v>
      </c>
      <c r="BT42" s="137">
        <f t="shared" si="27"/>
        <v>8.5958224543080933E-6</v>
      </c>
    </row>
    <row r="43" spans="3:72" x14ac:dyDescent="0.25">
      <c r="C43" s="135">
        <v>41</v>
      </c>
      <c r="D43" s="136" t="s">
        <v>458</v>
      </c>
      <c r="E43" s="153">
        <v>45.501688899999998</v>
      </c>
      <c r="F43" s="154">
        <v>-73.567256</v>
      </c>
      <c r="G43" s="136"/>
      <c r="H43" s="135" t="s">
        <v>726</v>
      </c>
      <c r="I43" s="136" t="s">
        <v>469</v>
      </c>
      <c r="J43" s="146">
        <f t="shared" si="12"/>
        <v>1</v>
      </c>
      <c r="K43" s="76"/>
      <c r="L43" s="137" t="s">
        <v>494</v>
      </c>
      <c r="M43" s="137">
        <f t="shared" si="8"/>
        <v>2.6109660574412533E-3</v>
      </c>
      <c r="N43" s="137" t="s">
        <v>105</v>
      </c>
      <c r="O43" s="137" t="s">
        <v>183</v>
      </c>
      <c r="P43" s="137">
        <v>4.1861000000000002E-2</v>
      </c>
      <c r="Q43" s="137">
        <v>0.31561</v>
      </c>
      <c r="R43" s="137">
        <v>0.29953000000000002</v>
      </c>
      <c r="S43" s="137">
        <v>1.7964000000000001E-4</v>
      </c>
      <c r="T43" s="137">
        <v>5.5651999999999999</v>
      </c>
      <c r="U43" s="137">
        <v>2.8702999999999999E-5</v>
      </c>
      <c r="V43" s="137">
        <v>1.0305999999999999E-2</v>
      </c>
      <c r="W43" s="137">
        <v>1.8593</v>
      </c>
      <c r="X43" s="137">
        <v>0.47985</v>
      </c>
      <c r="Y43" s="137">
        <f t="shared" si="28"/>
        <v>8.5300043429999999</v>
      </c>
      <c r="Z43" s="137">
        <v>4.5784999999999999E-2</v>
      </c>
      <c r="AA43" s="137">
        <v>4.1301999999999998E-2</v>
      </c>
      <c r="AB43" s="137">
        <v>6.8925000000000002E-3</v>
      </c>
      <c r="AC43" s="137">
        <v>2.1770999999999999E-2</v>
      </c>
      <c r="AD43" s="137">
        <v>2.2807E-5</v>
      </c>
      <c r="AE43" s="137">
        <v>3.7617999999999999E-2</v>
      </c>
      <c r="AF43" s="137">
        <v>0.42282999999999998</v>
      </c>
      <c r="AG43" s="137">
        <v>1.8752999999999999E-2</v>
      </c>
      <c r="AH43" s="137">
        <v>2.7228000000000001E-5</v>
      </c>
      <c r="AI43" s="137">
        <v>1.1124E-2</v>
      </c>
      <c r="AJ43" s="137">
        <v>-1.5988E-5</v>
      </c>
      <c r="AK43" s="137">
        <v>1.6303E-9</v>
      </c>
      <c r="AL43" s="137">
        <v>8.3955000000000005E-5</v>
      </c>
      <c r="AM43" s="137">
        <v>1.405E-4</v>
      </c>
      <c r="AN43" s="137">
        <v>1.5317999999999999E-4</v>
      </c>
      <c r="AO43" s="137">
        <v>6.9812000000000002E-6</v>
      </c>
      <c r="AP43" s="137">
        <v>9.8566999999999991E-4</v>
      </c>
      <c r="AQ43" s="137">
        <v>5.7711000000000004E-3</v>
      </c>
      <c r="AR43" s="137" t="str">
        <f t="shared" si="9"/>
        <v>SE</v>
      </c>
      <c r="AS43" s="137">
        <f t="shared" si="10"/>
        <v>1.0929765013054831E-4</v>
      </c>
      <c r="AT43" s="137">
        <f t="shared" si="29"/>
        <v>8.2404699738903393E-4</v>
      </c>
      <c r="AU43" s="137">
        <f t="shared" si="30"/>
        <v>7.8206266318537861E-4</v>
      </c>
      <c r="AV43" s="137">
        <f t="shared" si="31"/>
        <v>4.6903394255874678E-7</v>
      </c>
      <c r="AW43" s="137">
        <f t="shared" si="32"/>
        <v>1.4530548302872063E-2</v>
      </c>
      <c r="AX43" s="137">
        <f t="shared" si="33"/>
        <v>7.4942558746736288E-8</v>
      </c>
      <c r="AY43" s="137">
        <f t="shared" si="34"/>
        <v>2.6908616187989553E-5</v>
      </c>
      <c r="AZ43" s="137">
        <f t="shared" si="35"/>
        <v>4.8545691906005219E-3</v>
      </c>
      <c r="BA43" s="137">
        <f t="shared" si="36"/>
        <v>1.2528720626631853E-3</v>
      </c>
      <c r="BB43" s="137">
        <f t="shared" si="37"/>
        <v>2.2271551809399479E-2</v>
      </c>
      <c r="BC43" s="137">
        <f t="shared" si="38"/>
        <v>1.1954308093994778E-4</v>
      </c>
      <c r="BD43" s="137">
        <f t="shared" si="39"/>
        <v>1.0783812010443864E-4</v>
      </c>
      <c r="BE43" s="137">
        <f t="shared" si="40"/>
        <v>1.7996083550913839E-5</v>
      </c>
      <c r="BF43" s="137">
        <f t="shared" si="13"/>
        <v>5.6843342036553524E-5</v>
      </c>
      <c r="BG43" s="137">
        <f t="shared" si="14"/>
        <v>5.9548302872062667E-8</v>
      </c>
      <c r="BH43" s="137">
        <f t="shared" si="15"/>
        <v>9.8219321148825065E-5</v>
      </c>
      <c r="BI43" s="137">
        <f t="shared" si="16"/>
        <v>1.1039947780678851E-3</v>
      </c>
      <c r="BJ43" s="137">
        <f t="shared" si="17"/>
        <v>4.8963446475195823E-5</v>
      </c>
      <c r="BK43" s="137">
        <f t="shared" si="18"/>
        <v>7.1091383812010448E-8</v>
      </c>
      <c r="BL43" s="137">
        <f t="shared" si="19"/>
        <v>2.9044386422976501E-5</v>
      </c>
      <c r="BM43" s="137">
        <f t="shared" si="20"/>
        <v>-4.1744125326370758E-8</v>
      </c>
      <c r="BN43" s="137">
        <f t="shared" si="21"/>
        <v>4.2566579634464758E-12</v>
      </c>
      <c r="BO43" s="137">
        <f t="shared" si="22"/>
        <v>2.1920365535248043E-7</v>
      </c>
      <c r="BP43" s="137">
        <f t="shared" si="23"/>
        <v>3.6684073107049609E-7</v>
      </c>
      <c r="BQ43" s="137">
        <f t="shared" si="24"/>
        <v>3.9994778067885114E-7</v>
      </c>
      <c r="BR43" s="137">
        <f t="shared" si="25"/>
        <v>1.8227676240208878E-8</v>
      </c>
      <c r="BS43" s="137">
        <f t="shared" si="26"/>
        <v>2.57355091383812E-6</v>
      </c>
      <c r="BT43" s="137">
        <f t="shared" si="27"/>
        <v>1.5068146214099217E-5</v>
      </c>
    </row>
    <row r="44" spans="3:72" x14ac:dyDescent="0.25">
      <c r="C44" s="135">
        <v>42</v>
      </c>
      <c r="D44" s="136" t="s">
        <v>458</v>
      </c>
      <c r="E44" s="153">
        <v>45.501688899999998</v>
      </c>
      <c r="F44" s="154">
        <v>-73.567256</v>
      </c>
      <c r="G44" s="136"/>
      <c r="H44" s="143" t="s">
        <v>83</v>
      </c>
      <c r="I44" s="33"/>
      <c r="J44" s="148">
        <f>SUM(J12:J43)</f>
        <v>383</v>
      </c>
      <c r="K44" s="76"/>
      <c r="L44" s="137" t="s">
        <v>502</v>
      </c>
      <c r="M44" s="137">
        <f>SUM(M12:M43)</f>
        <v>1.0000000000000004</v>
      </c>
      <c r="N44" s="137" t="s">
        <v>105</v>
      </c>
      <c r="O44" s="137" t="s">
        <v>188</v>
      </c>
      <c r="P44" s="137">
        <f>SUMPRODUCT($M$12:$M$43,P12:P43)</f>
        <v>0.49122341712793732</v>
      </c>
      <c r="Q44" s="137">
        <f t="shared" ref="Q44:AQ44" si="41">SUMPRODUCT($M$12:$M$43,Q12:Q43)</f>
        <v>0.19084534381201052</v>
      </c>
      <c r="R44" s="137">
        <f t="shared" si="41"/>
        <v>5.8782540187989563</v>
      </c>
      <c r="S44" s="137">
        <f t="shared" si="41"/>
        <v>3.4753414703185381E-2</v>
      </c>
      <c r="T44" s="137">
        <f t="shared" si="41"/>
        <v>2.9408671485639681</v>
      </c>
      <c r="U44" s="137">
        <f t="shared" si="41"/>
        <v>8.8556120167101812E-5</v>
      </c>
      <c r="V44" s="137">
        <f t="shared" si="41"/>
        <v>0.10687040417493472</v>
      </c>
      <c r="W44" s="137">
        <f t="shared" si="41"/>
        <v>0.68631986978590098</v>
      </c>
      <c r="X44" s="137">
        <f t="shared" si="41"/>
        <v>0.30274811533159268</v>
      </c>
      <c r="Y44" s="137">
        <f t="shared" si="41"/>
        <v>10.140746871290716</v>
      </c>
      <c r="Z44" s="137">
        <f t="shared" si="41"/>
        <v>3.5472608885639696E-2</v>
      </c>
      <c r="AA44" s="137">
        <f t="shared" si="41"/>
        <v>0.48654339352480419</v>
      </c>
      <c r="AB44" s="137">
        <f t="shared" si="41"/>
        <v>0.14931340950391639</v>
      </c>
      <c r="AC44" s="137">
        <f t="shared" si="41"/>
        <v>2.8064123989556128E-2</v>
      </c>
      <c r="AD44" s="137">
        <f>SUMPRODUCT($M$12:$M$43,AD12:AD43)</f>
        <v>4.1712118349869449E-4</v>
      </c>
      <c r="AE44" s="137">
        <f>SUMPRODUCT($M$12:$M$43,AE12:AE43)</f>
        <v>0.27874180532637083</v>
      </c>
      <c r="AF44" s="137">
        <f t="shared" si="41"/>
        <v>0.20161502476240206</v>
      </c>
      <c r="AG44" s="137">
        <f t="shared" si="41"/>
        <v>2.4198340417754569E-2</v>
      </c>
      <c r="AH44" s="137">
        <f t="shared" si="41"/>
        <v>1.2533631535248038E-4</v>
      </c>
      <c r="AI44" s="137">
        <f t="shared" si="41"/>
        <v>1.1297038287206268E-2</v>
      </c>
      <c r="AJ44" s="137">
        <f t="shared" si="41"/>
        <v>-5.3979545994778055E-5</v>
      </c>
      <c r="AK44" s="137">
        <f t="shared" si="41"/>
        <v>1.8732807164490865E-8</v>
      </c>
      <c r="AL44" s="137">
        <f t="shared" si="41"/>
        <v>1.3361707331592688E-3</v>
      </c>
      <c r="AM44" s="137">
        <f t="shared" si="41"/>
        <v>8.2148281859007822E-4</v>
      </c>
      <c r="AN44" s="137">
        <f t="shared" si="41"/>
        <v>1.3705713838120107E-3</v>
      </c>
      <c r="AO44" s="137">
        <f t="shared" si="41"/>
        <v>2.6189118078328981E-5</v>
      </c>
      <c r="AP44" s="137">
        <f t="shared" si="41"/>
        <v>2.163275332010444E-3</v>
      </c>
      <c r="AQ44" s="137">
        <f t="shared" si="41"/>
        <v>5.0921629973890324E-3</v>
      </c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</row>
    <row r="45" spans="3:72" x14ac:dyDescent="0.25">
      <c r="C45" s="135">
        <v>43</v>
      </c>
      <c r="D45" s="136" t="s">
        <v>458</v>
      </c>
      <c r="E45" s="153">
        <v>45.501688899999998</v>
      </c>
      <c r="F45" s="154">
        <v>-73.567256</v>
      </c>
      <c r="G45" s="136"/>
      <c r="H45" s="76"/>
      <c r="I45" s="76"/>
      <c r="J45" s="76"/>
      <c r="K45" s="76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>
        <f>P44</f>
        <v>0.49122341712793732</v>
      </c>
      <c r="AT45" s="137">
        <f t="shared" ref="AT45:BT45" si="42">Q44</f>
        <v>0.19084534381201052</v>
      </c>
      <c r="AU45" s="137">
        <f t="shared" si="42"/>
        <v>5.8782540187989563</v>
      </c>
      <c r="AV45" s="137">
        <f t="shared" si="42"/>
        <v>3.4753414703185381E-2</v>
      </c>
      <c r="AW45" s="137">
        <f t="shared" si="42"/>
        <v>2.9408671485639681</v>
      </c>
      <c r="AX45" s="137">
        <f t="shared" si="42"/>
        <v>8.8556120167101812E-5</v>
      </c>
      <c r="AY45" s="137">
        <f t="shared" si="42"/>
        <v>0.10687040417493472</v>
      </c>
      <c r="AZ45" s="137">
        <f t="shared" si="42"/>
        <v>0.68631986978590098</v>
      </c>
      <c r="BA45" s="137">
        <f t="shared" si="42"/>
        <v>0.30274811533159268</v>
      </c>
      <c r="BB45" s="137">
        <f t="shared" si="42"/>
        <v>10.140746871290716</v>
      </c>
      <c r="BC45" s="137">
        <f t="shared" si="42"/>
        <v>3.5472608885639696E-2</v>
      </c>
      <c r="BD45" s="137">
        <f t="shared" si="42"/>
        <v>0.48654339352480419</v>
      </c>
      <c r="BE45" s="137">
        <f t="shared" si="42"/>
        <v>0.14931340950391639</v>
      </c>
      <c r="BF45" s="137">
        <f t="shared" si="42"/>
        <v>2.8064123989556128E-2</v>
      </c>
      <c r="BG45" s="137">
        <f t="shared" si="42"/>
        <v>4.1712118349869449E-4</v>
      </c>
      <c r="BH45" s="137">
        <f t="shared" si="42"/>
        <v>0.27874180532637083</v>
      </c>
      <c r="BI45" s="137">
        <f t="shared" si="42"/>
        <v>0.20161502476240206</v>
      </c>
      <c r="BJ45" s="137">
        <f t="shared" si="42"/>
        <v>2.4198340417754569E-2</v>
      </c>
      <c r="BK45" s="137">
        <f t="shared" si="42"/>
        <v>1.2533631535248038E-4</v>
      </c>
      <c r="BL45" s="137">
        <f t="shared" si="42"/>
        <v>1.1297038287206268E-2</v>
      </c>
      <c r="BM45" s="137">
        <f t="shared" si="42"/>
        <v>-5.3979545994778055E-5</v>
      </c>
      <c r="BN45" s="137">
        <f t="shared" si="42"/>
        <v>1.8732807164490865E-8</v>
      </c>
      <c r="BO45" s="137">
        <f t="shared" si="42"/>
        <v>1.3361707331592688E-3</v>
      </c>
      <c r="BP45" s="137">
        <f t="shared" si="42"/>
        <v>8.2148281859007822E-4</v>
      </c>
      <c r="BQ45" s="137">
        <f t="shared" si="42"/>
        <v>1.3705713838120107E-3</v>
      </c>
      <c r="BR45" s="137">
        <f t="shared" si="42"/>
        <v>2.6189118078328981E-5</v>
      </c>
      <c r="BS45" s="137">
        <f t="shared" si="42"/>
        <v>2.163275332010444E-3</v>
      </c>
      <c r="BT45" s="137">
        <f t="shared" si="42"/>
        <v>5.0921629973890324E-3</v>
      </c>
    </row>
    <row r="46" spans="3:72" x14ac:dyDescent="0.25">
      <c r="C46" s="135">
        <v>44</v>
      </c>
      <c r="D46" s="136" t="s">
        <v>458</v>
      </c>
      <c r="E46" s="153">
        <v>45.501688899999998</v>
      </c>
      <c r="F46" s="154">
        <v>-73.567256</v>
      </c>
      <c r="G46" s="136"/>
      <c r="H46" s="76"/>
      <c r="I46" s="76"/>
      <c r="J46" s="138"/>
      <c r="K46" s="138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50">
        <f>SUM(BH12,BH15,BH17:BH18,BH22)/BH45</f>
        <v>0.85470095685686631</v>
      </c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</row>
    <row r="47" spans="3:72" x14ac:dyDescent="0.25">
      <c r="C47" s="135">
        <v>45</v>
      </c>
      <c r="D47" s="136" t="s">
        <v>458</v>
      </c>
      <c r="E47" s="153">
        <v>45.501688899999998</v>
      </c>
      <c r="F47" s="154">
        <v>-73.567256</v>
      </c>
      <c r="G47" s="136"/>
      <c r="H47" s="76"/>
      <c r="I47" s="76"/>
      <c r="J47" s="138"/>
      <c r="K47" s="138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  <c r="BF47" s="76"/>
      <c r="BG47" s="76"/>
      <c r="BH47" s="76"/>
      <c r="BI47" s="76"/>
      <c r="BJ47" s="76"/>
      <c r="BK47" s="76"/>
      <c r="BL47" s="76"/>
      <c r="BM47" s="76"/>
      <c r="BN47" s="76"/>
      <c r="BO47" s="76"/>
      <c r="BP47" s="76"/>
      <c r="BQ47" s="76"/>
      <c r="BR47" s="76"/>
      <c r="BS47" s="76"/>
      <c r="BT47" s="76"/>
    </row>
    <row r="48" spans="3:72" x14ac:dyDescent="0.25">
      <c r="C48" s="135">
        <v>46</v>
      </c>
      <c r="D48" s="136" t="s">
        <v>458</v>
      </c>
      <c r="E48" s="153">
        <v>45.501688899999998</v>
      </c>
      <c r="F48" s="154">
        <v>-73.567256</v>
      </c>
      <c r="G48" s="136"/>
      <c r="H48" s="76"/>
      <c r="I48" s="76"/>
      <c r="J48" s="138"/>
      <c r="K48" s="138"/>
      <c r="L48" s="76"/>
      <c r="M48" s="76"/>
      <c r="N48" s="137"/>
      <c r="O48" s="76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  <c r="BF48" s="76"/>
      <c r="BG48" s="76"/>
      <c r="BH48" s="76"/>
      <c r="BI48" s="76"/>
      <c r="BJ48" s="76"/>
      <c r="BK48" s="76"/>
      <c r="BL48" s="76"/>
      <c r="BM48" s="76"/>
      <c r="BN48" s="76"/>
      <c r="BO48" s="76"/>
      <c r="BP48" s="76"/>
      <c r="BQ48" s="76"/>
      <c r="BR48" s="76"/>
      <c r="BS48" s="76"/>
      <c r="BT48" s="76"/>
    </row>
    <row r="49" spans="3:72" x14ac:dyDescent="0.25">
      <c r="C49" s="135">
        <v>47</v>
      </c>
      <c r="D49" s="136" t="s">
        <v>458</v>
      </c>
      <c r="E49" s="153">
        <v>45.501688899999998</v>
      </c>
      <c r="F49" s="154">
        <v>-73.567256</v>
      </c>
      <c r="G49" s="136"/>
      <c r="H49" s="76"/>
      <c r="I49" s="76"/>
      <c r="J49" s="138"/>
      <c r="K49" s="138"/>
      <c r="L49" s="76"/>
      <c r="M49" s="76"/>
      <c r="N49" s="76"/>
      <c r="O49" s="76"/>
      <c r="P49" s="76"/>
      <c r="Q49" s="137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  <c r="BF49" s="76"/>
      <c r="BG49" s="76"/>
      <c r="BH49" s="76"/>
      <c r="BI49" s="76"/>
      <c r="BJ49" s="76"/>
      <c r="BK49" s="76"/>
      <c r="BL49" s="76"/>
      <c r="BM49" s="76"/>
      <c r="BN49" s="76"/>
      <c r="BO49" s="76"/>
      <c r="BP49" s="76"/>
      <c r="BQ49" s="76"/>
      <c r="BR49" s="76"/>
      <c r="BS49" s="76"/>
      <c r="BT49" s="76"/>
    </row>
    <row r="50" spans="3:72" x14ac:dyDescent="0.25">
      <c r="C50" s="135">
        <v>48</v>
      </c>
      <c r="D50" s="136" t="s">
        <v>458</v>
      </c>
      <c r="E50" s="153">
        <v>45.501688899999998</v>
      </c>
      <c r="F50" s="154">
        <v>-73.567256</v>
      </c>
      <c r="G50" s="136"/>
      <c r="H50" s="76"/>
      <c r="I50" s="76"/>
      <c r="J50" s="138"/>
      <c r="K50" s="138"/>
      <c r="L50" s="76"/>
      <c r="M50" s="76"/>
      <c r="N50" s="76"/>
      <c r="O50" s="76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  <c r="AJ50" s="139"/>
      <c r="AK50" s="139"/>
      <c r="AL50" s="139"/>
      <c r="AM50" s="139"/>
      <c r="AN50" s="139"/>
      <c r="AO50" s="139"/>
      <c r="AP50" s="139"/>
      <c r="AQ50" s="139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  <c r="BF50" s="76"/>
      <c r="BG50" s="76"/>
      <c r="BH50" s="76"/>
      <c r="BI50" s="76"/>
      <c r="BJ50" s="76"/>
      <c r="BK50" s="76"/>
      <c r="BL50" s="76"/>
      <c r="BM50" s="76"/>
      <c r="BN50" s="76"/>
      <c r="BO50" s="76"/>
      <c r="BP50" s="76"/>
      <c r="BQ50" s="76"/>
      <c r="BR50" s="76"/>
      <c r="BS50" s="76"/>
      <c r="BT50" s="76"/>
    </row>
    <row r="51" spans="3:72" x14ac:dyDescent="0.25">
      <c r="C51" s="135">
        <v>49</v>
      </c>
      <c r="D51" s="136" t="s">
        <v>458</v>
      </c>
      <c r="E51" s="153">
        <v>45.4041718</v>
      </c>
      <c r="F51" s="154">
        <v>-71.892910700000002</v>
      </c>
      <c r="G51" s="136"/>
      <c r="H51" s="76"/>
      <c r="I51" s="76"/>
      <c r="J51" s="138"/>
      <c r="K51" s="138"/>
      <c r="L51" s="76"/>
      <c r="M51" s="76"/>
      <c r="N51" s="137"/>
      <c r="O51" s="76"/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  <c r="AJ51" s="139"/>
      <c r="AK51" s="139"/>
      <c r="AL51" s="139"/>
      <c r="AM51" s="139"/>
      <c r="AN51" s="139"/>
      <c r="AO51" s="139"/>
      <c r="AP51" s="139"/>
      <c r="AQ51" s="139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  <c r="BF51" s="76"/>
      <c r="BG51" s="76"/>
      <c r="BH51" s="76"/>
      <c r="BI51" s="76"/>
      <c r="BJ51" s="76"/>
      <c r="BK51" s="76"/>
      <c r="BL51" s="76"/>
      <c r="BM51" s="76"/>
      <c r="BN51" s="76"/>
      <c r="BO51" s="76"/>
      <c r="BP51" s="76"/>
      <c r="BQ51" s="76"/>
      <c r="BR51" s="76"/>
      <c r="BS51" s="76"/>
      <c r="BT51" s="76"/>
    </row>
    <row r="52" spans="3:72" x14ac:dyDescent="0.25">
      <c r="C52" s="135">
        <v>50</v>
      </c>
      <c r="D52" s="136" t="s">
        <v>457</v>
      </c>
      <c r="E52" s="153">
        <v>50.445211200000003</v>
      </c>
      <c r="F52" s="154">
        <v>-104.61889429999999</v>
      </c>
      <c r="G52" s="136"/>
      <c r="H52" s="76"/>
      <c r="I52" s="76"/>
      <c r="J52" s="138"/>
      <c r="K52" s="138"/>
      <c r="L52" s="76"/>
      <c r="M52" s="76"/>
      <c r="N52" s="76"/>
      <c r="O52" s="76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  <c r="AJ52" s="139"/>
      <c r="AK52" s="139"/>
      <c r="AL52" s="139"/>
      <c r="AM52" s="139"/>
      <c r="AN52" s="139"/>
      <c r="AO52" s="139"/>
      <c r="AP52" s="139"/>
      <c r="AQ52" s="139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  <c r="BF52" s="76"/>
      <c r="BG52" s="76"/>
      <c r="BH52" s="76"/>
      <c r="BI52" s="76"/>
      <c r="BJ52" s="76"/>
      <c r="BK52" s="76"/>
      <c r="BL52" s="76"/>
      <c r="BM52" s="76"/>
      <c r="BN52" s="76"/>
      <c r="BO52" s="76"/>
      <c r="BP52" s="76"/>
      <c r="BQ52" s="76"/>
      <c r="BR52" s="76"/>
      <c r="BS52" s="76"/>
      <c r="BT52" s="76"/>
    </row>
    <row r="53" spans="3:72" x14ac:dyDescent="0.25">
      <c r="C53" s="135">
        <v>51</v>
      </c>
      <c r="D53" s="136" t="s">
        <v>271</v>
      </c>
      <c r="E53" s="153">
        <v>46.204390699999998</v>
      </c>
      <c r="F53" s="154">
        <v>6.1431576999999997</v>
      </c>
      <c r="G53" s="136"/>
      <c r="H53" s="76"/>
      <c r="I53" s="76"/>
      <c r="J53" s="138"/>
      <c r="K53" s="138"/>
      <c r="L53" s="76"/>
      <c r="M53" s="76"/>
      <c r="N53" s="76"/>
      <c r="O53" s="76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  <c r="AJ53" s="139"/>
      <c r="AK53" s="139"/>
      <c r="AL53" s="139"/>
      <c r="AM53" s="139"/>
      <c r="AN53" s="139"/>
      <c r="AO53" s="139"/>
      <c r="AP53" s="139"/>
      <c r="AQ53" s="139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76"/>
      <c r="BJ53" s="76"/>
      <c r="BK53" s="76"/>
      <c r="BL53" s="76"/>
      <c r="BM53" s="76"/>
      <c r="BN53" s="76"/>
      <c r="BO53" s="76"/>
      <c r="BP53" s="76"/>
      <c r="BQ53" s="76"/>
      <c r="BR53" s="76"/>
      <c r="BS53" s="76"/>
      <c r="BT53" s="76"/>
    </row>
    <row r="54" spans="3:72" x14ac:dyDescent="0.25">
      <c r="C54" s="135">
        <v>52</v>
      </c>
      <c r="D54" s="136" t="s">
        <v>271</v>
      </c>
      <c r="E54" s="153">
        <v>46.519653499999997</v>
      </c>
      <c r="F54" s="154">
        <v>6.6322733999999999</v>
      </c>
      <c r="G54" s="136"/>
      <c r="H54" s="76"/>
      <c r="I54" s="76"/>
      <c r="J54" s="138"/>
      <c r="K54" s="138"/>
      <c r="L54" s="76"/>
      <c r="M54" s="76"/>
      <c r="N54" s="76"/>
      <c r="O54" s="76"/>
      <c r="P54" s="139"/>
      <c r="Q54" s="139"/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  <c r="AJ54" s="139"/>
      <c r="AK54" s="139"/>
      <c r="AL54" s="139"/>
      <c r="AM54" s="139"/>
      <c r="AN54" s="139"/>
      <c r="AO54" s="139"/>
      <c r="AP54" s="139"/>
      <c r="AQ54" s="139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  <c r="BF54" s="76"/>
      <c r="BG54" s="76"/>
      <c r="BH54" s="76"/>
      <c r="BI54" s="76"/>
      <c r="BJ54" s="76"/>
      <c r="BK54" s="76"/>
      <c r="BL54" s="76"/>
      <c r="BM54" s="76"/>
      <c r="BN54" s="76"/>
      <c r="BO54" s="76"/>
      <c r="BP54" s="76"/>
      <c r="BQ54" s="76"/>
      <c r="BR54" s="76"/>
      <c r="BS54" s="76"/>
      <c r="BT54" s="76"/>
    </row>
    <row r="55" spans="3:72" x14ac:dyDescent="0.25">
      <c r="C55" s="135">
        <v>53</v>
      </c>
      <c r="D55" s="136" t="s">
        <v>271</v>
      </c>
      <c r="E55" s="153">
        <v>46.519653499999997</v>
      </c>
      <c r="F55" s="154">
        <v>6.6322733999999999</v>
      </c>
      <c r="G55" s="136"/>
      <c r="H55" s="76"/>
      <c r="I55" s="76"/>
      <c r="J55" s="138"/>
      <c r="K55" s="138"/>
      <c r="L55" s="76"/>
      <c r="M55" s="76"/>
      <c r="N55" s="137"/>
      <c r="O55" s="76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  <c r="AO55" s="139"/>
      <c r="AP55" s="139"/>
      <c r="AQ55" s="139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  <c r="BF55" s="76"/>
      <c r="BG55" s="76"/>
      <c r="BH55" s="76"/>
      <c r="BI55" s="76"/>
      <c r="BJ55" s="76"/>
      <c r="BK55" s="76"/>
      <c r="BL55" s="76"/>
      <c r="BM55" s="76"/>
      <c r="BN55" s="76"/>
      <c r="BO55" s="76"/>
      <c r="BP55" s="76"/>
      <c r="BQ55" s="76"/>
      <c r="BR55" s="76"/>
      <c r="BS55" s="76"/>
      <c r="BT55" s="76"/>
    </row>
    <row r="56" spans="3:72" x14ac:dyDescent="0.25">
      <c r="C56" s="135">
        <v>54</v>
      </c>
      <c r="D56" s="136" t="s">
        <v>271</v>
      </c>
      <c r="E56" s="153">
        <v>46.519653499999997</v>
      </c>
      <c r="F56" s="154">
        <v>6.6322733999999999</v>
      </c>
      <c r="G56" s="136"/>
      <c r="H56" s="76"/>
      <c r="I56" s="76"/>
      <c r="J56" s="138"/>
      <c r="K56" s="138"/>
      <c r="L56" s="76"/>
      <c r="M56" s="76"/>
      <c r="N56" s="76"/>
      <c r="O56" s="76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  <c r="AJ56" s="139"/>
      <c r="AK56" s="139"/>
      <c r="AL56" s="139"/>
      <c r="AM56" s="139"/>
      <c r="AN56" s="139"/>
      <c r="AO56" s="139"/>
      <c r="AP56" s="139"/>
      <c r="AQ56" s="139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  <c r="BE56" s="76"/>
      <c r="BF56" s="76"/>
      <c r="BG56" s="76"/>
      <c r="BH56" s="76"/>
      <c r="BI56" s="76"/>
      <c r="BJ56" s="76"/>
      <c r="BK56" s="76"/>
      <c r="BL56" s="76"/>
      <c r="BM56" s="76"/>
      <c r="BN56" s="76"/>
      <c r="BO56" s="76"/>
      <c r="BP56" s="76"/>
      <c r="BQ56" s="76"/>
      <c r="BR56" s="76"/>
      <c r="BS56" s="76"/>
      <c r="BT56" s="76"/>
    </row>
    <row r="57" spans="3:72" x14ac:dyDescent="0.25">
      <c r="C57" s="135">
        <v>55</v>
      </c>
      <c r="D57" s="136" t="s">
        <v>271</v>
      </c>
      <c r="E57" s="153">
        <v>47.376886599999999</v>
      </c>
      <c r="F57" s="154">
        <v>8.5416939999999997</v>
      </c>
      <c r="G57" s="136"/>
      <c r="H57" s="76"/>
      <c r="I57" s="76"/>
      <c r="J57" s="138"/>
      <c r="K57" s="138"/>
      <c r="L57" s="76"/>
      <c r="M57" s="76"/>
      <c r="N57" s="137"/>
      <c r="O57" s="76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  <c r="AJ57" s="139"/>
      <c r="AK57" s="139"/>
      <c r="AL57" s="139"/>
      <c r="AM57" s="139"/>
      <c r="AN57" s="139"/>
      <c r="AO57" s="139"/>
      <c r="AP57" s="139"/>
      <c r="AQ57" s="139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  <c r="BF57" s="76"/>
      <c r="BG57" s="76"/>
      <c r="BH57" s="76"/>
      <c r="BI57" s="76"/>
      <c r="BJ57" s="76"/>
      <c r="BK57" s="76"/>
      <c r="BL57" s="76"/>
      <c r="BM57" s="76"/>
      <c r="BN57" s="76"/>
      <c r="BO57" s="76"/>
      <c r="BP57" s="76"/>
      <c r="BQ57" s="76"/>
      <c r="BR57" s="76"/>
      <c r="BS57" s="76"/>
      <c r="BT57" s="76"/>
    </row>
    <row r="58" spans="3:72" x14ac:dyDescent="0.25">
      <c r="C58" s="135">
        <v>56</v>
      </c>
      <c r="D58" s="136" t="s">
        <v>467</v>
      </c>
      <c r="E58" s="153">
        <v>9.8572469999999992</v>
      </c>
      <c r="F58" s="154">
        <v>-83.912312999999997</v>
      </c>
      <c r="G58" s="136"/>
      <c r="H58" s="76"/>
      <c r="I58" s="76"/>
      <c r="J58" s="138"/>
      <c r="K58" s="138"/>
      <c r="L58" s="76"/>
      <c r="M58" s="76"/>
      <c r="N58" s="137"/>
      <c r="O58" s="76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  <c r="AJ58" s="139"/>
      <c r="AK58" s="139"/>
      <c r="AL58" s="139"/>
      <c r="AM58" s="139"/>
      <c r="AN58" s="139"/>
      <c r="AO58" s="139"/>
      <c r="AP58" s="139"/>
      <c r="AQ58" s="139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</row>
    <row r="59" spans="3:72" x14ac:dyDescent="0.25">
      <c r="C59" s="135">
        <v>57</v>
      </c>
      <c r="D59" s="136" t="s">
        <v>281</v>
      </c>
      <c r="E59" s="153">
        <v>51.048797499999999</v>
      </c>
      <c r="F59" s="154">
        <v>13.7211289</v>
      </c>
      <c r="G59" s="136"/>
      <c r="H59" s="76"/>
      <c r="I59" s="76"/>
      <c r="J59" s="138"/>
      <c r="K59" s="138"/>
      <c r="L59" s="76"/>
      <c r="M59" s="76"/>
      <c r="N59" s="76"/>
      <c r="O59" s="76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  <c r="AJ59" s="139"/>
      <c r="AK59" s="139"/>
      <c r="AL59" s="139"/>
      <c r="AM59" s="139"/>
      <c r="AN59" s="139"/>
      <c r="AO59" s="139"/>
      <c r="AP59" s="139"/>
      <c r="AQ59" s="139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  <c r="BF59" s="76"/>
      <c r="BG59" s="76"/>
      <c r="BH59" s="76"/>
      <c r="BI59" s="76"/>
      <c r="BJ59" s="76"/>
      <c r="BK59" s="76"/>
      <c r="BL59" s="76"/>
      <c r="BM59" s="76"/>
      <c r="BN59" s="76"/>
      <c r="BO59" s="76"/>
      <c r="BP59" s="76"/>
      <c r="BQ59" s="76"/>
      <c r="BR59" s="76"/>
      <c r="BS59" s="76"/>
      <c r="BT59" s="76"/>
    </row>
    <row r="60" spans="3:72" x14ac:dyDescent="0.25">
      <c r="C60" s="135">
        <v>58</v>
      </c>
      <c r="D60" s="136" t="s">
        <v>281</v>
      </c>
      <c r="E60" s="153">
        <v>48.790447200000003</v>
      </c>
      <c r="F60" s="154">
        <v>11.497889499999999</v>
      </c>
      <c r="G60" s="136"/>
      <c r="H60" s="76"/>
      <c r="I60" s="76"/>
      <c r="J60" s="138"/>
      <c r="K60" s="138"/>
      <c r="L60" s="76"/>
      <c r="M60" s="76"/>
      <c r="N60" s="76"/>
      <c r="O60" s="76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  <c r="AJ60" s="139"/>
      <c r="AK60" s="139"/>
      <c r="AL60" s="139"/>
      <c r="AM60" s="139"/>
      <c r="AN60" s="139"/>
      <c r="AO60" s="139"/>
      <c r="AP60" s="139"/>
      <c r="AQ60" s="139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  <c r="BF60" s="76"/>
      <c r="BG60" s="76"/>
      <c r="BH60" s="76"/>
      <c r="BI60" s="76"/>
      <c r="BJ60" s="76"/>
      <c r="BK60" s="76"/>
      <c r="BL60" s="76"/>
      <c r="BM60" s="76"/>
      <c r="BN60" s="76"/>
      <c r="BO60" s="76"/>
      <c r="BP60" s="76"/>
      <c r="BQ60" s="76"/>
      <c r="BR60" s="76"/>
      <c r="BS60" s="76"/>
      <c r="BT60" s="76"/>
    </row>
    <row r="61" spans="3:72" x14ac:dyDescent="0.25">
      <c r="C61" s="135">
        <v>59</v>
      </c>
      <c r="D61" s="136" t="s">
        <v>281</v>
      </c>
      <c r="E61" s="153">
        <v>48.790447200000003</v>
      </c>
      <c r="F61" s="154">
        <v>11.497889499999999</v>
      </c>
      <c r="G61" s="136"/>
      <c r="H61" s="76"/>
      <c r="I61" s="76"/>
      <c r="J61" s="138"/>
      <c r="K61" s="138"/>
      <c r="L61" s="76"/>
      <c r="M61" s="76"/>
      <c r="N61" s="76"/>
      <c r="O61" s="76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  <c r="AJ61" s="139"/>
      <c r="AK61" s="139"/>
      <c r="AL61" s="139"/>
      <c r="AM61" s="139"/>
      <c r="AN61" s="139"/>
      <c r="AO61" s="139"/>
      <c r="AP61" s="139"/>
      <c r="AQ61" s="139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  <c r="BF61" s="76"/>
      <c r="BG61" s="76"/>
      <c r="BH61" s="76"/>
      <c r="BI61" s="76"/>
      <c r="BJ61" s="76"/>
      <c r="BK61" s="76"/>
      <c r="BL61" s="76"/>
      <c r="BM61" s="76"/>
      <c r="BN61" s="76"/>
      <c r="BO61" s="76"/>
      <c r="BP61" s="76"/>
      <c r="BQ61" s="76"/>
      <c r="BR61" s="76"/>
      <c r="BS61" s="76"/>
      <c r="BT61" s="76"/>
    </row>
    <row r="62" spans="3:72" x14ac:dyDescent="0.25">
      <c r="C62" s="135">
        <v>60</v>
      </c>
      <c r="D62" s="136" t="s">
        <v>281</v>
      </c>
      <c r="E62" s="153">
        <v>52.541155600000003</v>
      </c>
      <c r="F62" s="154">
        <v>13.3909126</v>
      </c>
      <c r="G62" s="136"/>
      <c r="H62" s="76"/>
      <c r="I62" s="76"/>
      <c r="J62" s="138"/>
      <c r="K62" s="138"/>
      <c r="L62" s="76"/>
      <c r="M62" s="76"/>
      <c r="N62" s="137"/>
      <c r="O62" s="76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  <c r="AO62" s="139"/>
      <c r="AP62" s="139"/>
      <c r="AQ62" s="139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</row>
    <row r="63" spans="3:72" x14ac:dyDescent="0.25">
      <c r="C63" s="135">
        <v>61</v>
      </c>
      <c r="D63" s="136" t="s">
        <v>281</v>
      </c>
      <c r="E63" s="153">
        <v>52.541155600000003</v>
      </c>
      <c r="F63" s="154">
        <v>13.3909126</v>
      </c>
      <c r="G63" s="136"/>
      <c r="H63" s="76"/>
      <c r="I63" s="76"/>
      <c r="J63" s="138"/>
      <c r="K63" s="138"/>
      <c r="L63" s="76"/>
      <c r="M63" s="76"/>
      <c r="N63" s="76"/>
      <c r="O63" s="76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39"/>
      <c r="AA63" s="139"/>
      <c r="AB63" s="139"/>
      <c r="AC63" s="139"/>
      <c r="AD63" s="139"/>
      <c r="AE63" s="139"/>
      <c r="AF63" s="139"/>
      <c r="AG63" s="139"/>
      <c r="AH63" s="139"/>
      <c r="AI63" s="139"/>
      <c r="AJ63" s="139"/>
      <c r="AK63" s="139"/>
      <c r="AL63" s="139"/>
      <c r="AM63" s="139"/>
      <c r="AN63" s="139"/>
      <c r="AO63" s="139"/>
      <c r="AP63" s="139"/>
      <c r="AQ63" s="139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</row>
    <row r="64" spans="3:72" x14ac:dyDescent="0.25">
      <c r="C64" s="135">
        <v>62</v>
      </c>
      <c r="D64" s="136" t="s">
        <v>470</v>
      </c>
      <c r="E64" s="153">
        <v>-2.1458895</v>
      </c>
      <c r="F64" s="154">
        <v>-79.945835700000003</v>
      </c>
      <c r="G64" s="136"/>
      <c r="H64" s="76"/>
      <c r="I64" s="76"/>
      <c r="J64" s="138"/>
      <c r="K64" s="138"/>
      <c r="L64" s="76"/>
      <c r="M64" s="76"/>
      <c r="N64" s="76"/>
      <c r="O64" s="76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</row>
    <row r="65" spans="3:72" x14ac:dyDescent="0.25">
      <c r="C65" s="135">
        <v>63</v>
      </c>
      <c r="D65" s="136" t="s">
        <v>269</v>
      </c>
      <c r="E65" s="153">
        <v>30.022764599999999</v>
      </c>
      <c r="F65" s="154">
        <v>31.2073201</v>
      </c>
      <c r="G65" s="136"/>
      <c r="H65" s="76"/>
      <c r="I65" s="76"/>
      <c r="J65" s="76"/>
      <c r="K65" s="76"/>
      <c r="L65" s="76"/>
      <c r="M65" s="76"/>
      <c r="N65" s="76"/>
      <c r="O65" s="76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  <c r="AJ65" s="139"/>
      <c r="AK65" s="139"/>
      <c r="AL65" s="139"/>
      <c r="AM65" s="139"/>
      <c r="AN65" s="139"/>
      <c r="AO65" s="139"/>
      <c r="AP65" s="139"/>
      <c r="AQ65" s="139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</row>
    <row r="66" spans="3:72" x14ac:dyDescent="0.25">
      <c r="C66" s="135">
        <v>64</v>
      </c>
      <c r="D66" s="136" t="s">
        <v>466</v>
      </c>
      <c r="E66" s="153">
        <v>41.385063899999999</v>
      </c>
      <c r="F66" s="154">
        <v>2.1734035</v>
      </c>
      <c r="G66" s="136"/>
      <c r="H66" s="76"/>
      <c r="I66" s="76"/>
      <c r="J66" s="140"/>
      <c r="K66" s="140"/>
      <c r="L66" s="76"/>
      <c r="M66" s="76"/>
      <c r="N66" s="76"/>
      <c r="O66" s="76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39"/>
      <c r="AA66" s="139"/>
      <c r="AB66" s="139"/>
      <c r="AC66" s="139"/>
      <c r="AD66" s="139"/>
      <c r="AE66" s="139"/>
      <c r="AF66" s="139"/>
      <c r="AG66" s="139"/>
      <c r="AH66" s="139"/>
      <c r="AI66" s="139"/>
      <c r="AJ66" s="139"/>
      <c r="AK66" s="139"/>
      <c r="AL66" s="139"/>
      <c r="AM66" s="139"/>
      <c r="AN66" s="139"/>
      <c r="AO66" s="139"/>
      <c r="AP66" s="139"/>
      <c r="AQ66" s="139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6"/>
      <c r="BQ66" s="76"/>
      <c r="BR66" s="76"/>
      <c r="BS66" s="76"/>
      <c r="BT66" s="76"/>
    </row>
    <row r="67" spans="3:72" x14ac:dyDescent="0.25">
      <c r="C67" s="135">
        <v>65</v>
      </c>
      <c r="D67" s="136" t="s">
        <v>466</v>
      </c>
      <c r="E67" s="153">
        <v>41.598079599999998</v>
      </c>
      <c r="F67" s="154">
        <v>2.0106456000000001</v>
      </c>
      <c r="G67" s="136"/>
      <c r="H67" s="76"/>
      <c r="I67" s="76"/>
      <c r="J67" s="140"/>
      <c r="K67" s="140"/>
      <c r="L67" s="76"/>
      <c r="M67" s="76"/>
      <c r="N67" s="76"/>
      <c r="O67" s="76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39"/>
      <c r="AA67" s="139"/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139"/>
      <c r="AO67" s="139"/>
      <c r="AP67" s="139"/>
      <c r="AQ67" s="139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6"/>
      <c r="BQ67" s="76"/>
      <c r="BR67" s="76"/>
      <c r="BS67" s="76"/>
      <c r="BT67" s="76"/>
    </row>
    <row r="68" spans="3:72" x14ac:dyDescent="0.25">
      <c r="C68" s="135">
        <v>66</v>
      </c>
      <c r="D68" s="136" t="s">
        <v>466</v>
      </c>
      <c r="E68" s="153">
        <v>40.463667000000001</v>
      </c>
      <c r="F68" s="154">
        <v>-3.7492200000000002</v>
      </c>
      <c r="G68" s="136"/>
      <c r="H68" s="76"/>
      <c r="I68" s="76"/>
      <c r="J68" s="76"/>
      <c r="K68" s="76"/>
      <c r="L68" s="76"/>
      <c r="M68" s="76"/>
      <c r="N68" s="76"/>
      <c r="O68" s="76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139"/>
      <c r="AC68" s="139"/>
      <c r="AD68" s="139"/>
      <c r="AE68" s="139"/>
      <c r="AF68" s="139"/>
      <c r="AG68" s="139"/>
      <c r="AH68" s="139"/>
      <c r="AI68" s="139"/>
      <c r="AJ68" s="139"/>
      <c r="AK68" s="139"/>
      <c r="AL68" s="139"/>
      <c r="AM68" s="139"/>
      <c r="AN68" s="139"/>
      <c r="AO68" s="139"/>
      <c r="AP68" s="139"/>
      <c r="AQ68" s="139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  <c r="BS68" s="76"/>
      <c r="BT68" s="76"/>
    </row>
    <row r="69" spans="3:72" x14ac:dyDescent="0.25">
      <c r="C69" s="135">
        <v>67</v>
      </c>
      <c r="D69" s="136" t="s">
        <v>463</v>
      </c>
      <c r="E69" s="153">
        <v>51.378222800000003</v>
      </c>
      <c r="F69" s="154">
        <v>-2.3263986999999999</v>
      </c>
      <c r="G69" s="136"/>
      <c r="H69" s="76"/>
      <c r="I69" s="76"/>
      <c r="J69" s="76"/>
      <c r="K69" s="76"/>
      <c r="L69" s="76"/>
      <c r="M69" s="76"/>
      <c r="N69" s="76"/>
      <c r="O69" s="76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39"/>
      <c r="AA69" s="139"/>
      <c r="AB69" s="139"/>
      <c r="AC69" s="139"/>
      <c r="AD69" s="139"/>
      <c r="AE69" s="139"/>
      <c r="AF69" s="139"/>
      <c r="AG69" s="139"/>
      <c r="AH69" s="139"/>
      <c r="AI69" s="139"/>
      <c r="AJ69" s="139"/>
      <c r="AK69" s="139"/>
      <c r="AL69" s="139"/>
      <c r="AM69" s="139"/>
      <c r="AN69" s="139"/>
      <c r="AO69" s="139"/>
      <c r="AP69" s="139"/>
      <c r="AQ69" s="139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M69" s="76"/>
      <c r="BN69" s="76"/>
      <c r="BO69" s="76"/>
      <c r="BP69" s="76"/>
      <c r="BQ69" s="76"/>
      <c r="BR69" s="76"/>
      <c r="BS69" s="76"/>
      <c r="BT69" s="76"/>
    </row>
    <row r="70" spans="3:72" x14ac:dyDescent="0.25">
      <c r="C70" s="135">
        <v>68</v>
      </c>
      <c r="D70" s="136" t="s">
        <v>463</v>
      </c>
      <c r="E70" s="153">
        <v>51.379921899999999</v>
      </c>
      <c r="F70" s="154">
        <v>-2.3322964000000002</v>
      </c>
      <c r="G70" s="136"/>
      <c r="H70" s="76"/>
      <c r="I70" s="76"/>
      <c r="J70" s="76"/>
      <c r="K70" s="76"/>
      <c r="L70" s="76"/>
      <c r="M70" s="76"/>
      <c r="N70" s="76"/>
      <c r="O70" s="76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39"/>
      <c r="AA70" s="139"/>
      <c r="AB70" s="139"/>
      <c r="AC70" s="139"/>
      <c r="AD70" s="139"/>
      <c r="AE70" s="139"/>
      <c r="AF70" s="139"/>
      <c r="AG70" s="139"/>
      <c r="AH70" s="139"/>
      <c r="AI70" s="139"/>
      <c r="AJ70" s="139"/>
      <c r="AK70" s="139"/>
      <c r="AL70" s="139"/>
      <c r="AM70" s="139"/>
      <c r="AN70" s="139"/>
      <c r="AO70" s="139"/>
      <c r="AP70" s="139"/>
      <c r="AQ70" s="139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/>
    </row>
    <row r="71" spans="3:72" x14ac:dyDescent="0.25">
      <c r="C71" s="135">
        <v>69</v>
      </c>
      <c r="D71" s="136" t="s">
        <v>463</v>
      </c>
      <c r="E71" s="153">
        <v>51.379921899999999</v>
      </c>
      <c r="F71" s="154">
        <v>-2.3322964000000002</v>
      </c>
      <c r="G71" s="136"/>
      <c r="H71" s="76"/>
      <c r="I71" s="76"/>
      <c r="J71" s="76"/>
      <c r="K71" s="76"/>
      <c r="L71" s="76"/>
      <c r="M71" s="76"/>
      <c r="N71" s="76"/>
      <c r="O71" s="76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39"/>
      <c r="AA71" s="139"/>
      <c r="AB71" s="139"/>
      <c r="AC71" s="139"/>
      <c r="AD71" s="139"/>
      <c r="AE71" s="139"/>
      <c r="AF71" s="139"/>
      <c r="AG71" s="139"/>
      <c r="AH71" s="139"/>
      <c r="AI71" s="139"/>
      <c r="AJ71" s="139"/>
      <c r="AK71" s="139"/>
      <c r="AL71" s="139"/>
      <c r="AM71" s="139"/>
      <c r="AN71" s="139"/>
      <c r="AO71" s="139"/>
      <c r="AP71" s="139"/>
      <c r="AQ71" s="139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6"/>
      <c r="BQ71" s="76"/>
      <c r="BR71" s="76"/>
      <c r="BS71" s="76"/>
      <c r="BT71" s="76"/>
    </row>
    <row r="72" spans="3:72" x14ac:dyDescent="0.25">
      <c r="C72" s="135">
        <v>70</v>
      </c>
      <c r="D72" s="136" t="s">
        <v>463</v>
      </c>
      <c r="E72" s="153">
        <v>50.908387900000001</v>
      </c>
      <c r="F72" s="154">
        <v>-1.4015601</v>
      </c>
      <c r="G72" s="136"/>
      <c r="H72" s="76"/>
      <c r="I72" s="76"/>
      <c r="J72" s="76"/>
      <c r="K72" s="76"/>
      <c r="L72" s="76"/>
      <c r="M72" s="76"/>
      <c r="N72" s="76"/>
      <c r="O72" s="76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39"/>
      <c r="AA72" s="139"/>
      <c r="AB72" s="139"/>
      <c r="AC72" s="139"/>
      <c r="AD72" s="139"/>
      <c r="AE72" s="139"/>
      <c r="AF72" s="139"/>
      <c r="AG72" s="139"/>
      <c r="AH72" s="139"/>
      <c r="AI72" s="139"/>
      <c r="AJ72" s="139"/>
      <c r="AK72" s="139"/>
      <c r="AL72" s="139"/>
      <c r="AM72" s="139"/>
      <c r="AN72" s="139"/>
      <c r="AO72" s="139"/>
      <c r="AP72" s="139"/>
      <c r="AQ72" s="139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6"/>
      <c r="BQ72" s="76"/>
      <c r="BR72" s="76"/>
      <c r="BS72" s="76"/>
      <c r="BT72" s="76"/>
    </row>
    <row r="73" spans="3:72" x14ac:dyDescent="0.25">
      <c r="C73" s="135">
        <v>71</v>
      </c>
      <c r="D73" s="136" t="s">
        <v>463</v>
      </c>
      <c r="E73" s="153">
        <v>50.908387900000001</v>
      </c>
      <c r="F73" s="154">
        <v>-1.4015601</v>
      </c>
      <c r="G73" s="136"/>
      <c r="H73" s="76"/>
      <c r="I73" s="76"/>
      <c r="J73" s="76"/>
      <c r="K73" s="76"/>
      <c r="L73" s="76"/>
      <c r="M73" s="76"/>
      <c r="N73" s="76"/>
      <c r="O73" s="76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39"/>
      <c r="AA73" s="139"/>
      <c r="AB73" s="139"/>
      <c r="AC73" s="139"/>
      <c r="AD73" s="139"/>
      <c r="AE73" s="139"/>
      <c r="AF73" s="139"/>
      <c r="AG73" s="139"/>
      <c r="AH73" s="139"/>
      <c r="AI73" s="139"/>
      <c r="AJ73" s="139"/>
      <c r="AK73" s="139"/>
      <c r="AL73" s="139"/>
      <c r="AM73" s="139"/>
      <c r="AN73" s="139"/>
      <c r="AO73" s="139"/>
      <c r="AP73" s="139"/>
      <c r="AQ73" s="139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M73" s="76"/>
      <c r="BN73" s="76"/>
      <c r="BO73" s="76"/>
      <c r="BP73" s="76"/>
      <c r="BQ73" s="76"/>
      <c r="BR73" s="76"/>
      <c r="BS73" s="76"/>
      <c r="BT73" s="76"/>
    </row>
    <row r="74" spans="3:72" x14ac:dyDescent="0.25">
      <c r="C74" s="135">
        <v>72</v>
      </c>
      <c r="D74" s="136" t="s">
        <v>463</v>
      </c>
      <c r="E74" s="153">
        <v>55.864237000000003</v>
      </c>
      <c r="F74" s="154">
        <v>-4.2518060000000002</v>
      </c>
      <c r="G74" s="136"/>
      <c r="H74" s="76"/>
      <c r="I74" s="76"/>
      <c r="J74" s="76"/>
      <c r="K74" s="76"/>
      <c r="L74" s="76"/>
      <c r="M74" s="76"/>
      <c r="N74" s="76"/>
      <c r="O74" s="76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  <c r="AO74" s="139"/>
      <c r="AP74" s="139"/>
      <c r="AQ74" s="139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M74" s="76"/>
      <c r="BN74" s="76"/>
      <c r="BO74" s="76"/>
      <c r="BP74" s="76"/>
      <c r="BQ74" s="76"/>
      <c r="BR74" s="76"/>
      <c r="BS74" s="76"/>
      <c r="BT74" s="76"/>
    </row>
    <row r="75" spans="3:72" x14ac:dyDescent="0.25">
      <c r="C75" s="135">
        <v>73</v>
      </c>
      <c r="D75" s="136" t="s">
        <v>463</v>
      </c>
      <c r="E75" s="153">
        <v>51.507350899999999</v>
      </c>
      <c r="F75" s="154">
        <v>-0.12775829999999999</v>
      </c>
      <c r="G75" s="136"/>
      <c r="H75" s="76"/>
      <c r="I75" s="76"/>
      <c r="J75" s="76"/>
      <c r="K75" s="76"/>
      <c r="L75" s="76"/>
      <c r="M75" s="76"/>
      <c r="N75" s="76"/>
      <c r="O75" s="76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39"/>
      <c r="AA75" s="139"/>
      <c r="AB75" s="139"/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M75" s="76"/>
      <c r="BN75" s="76"/>
      <c r="BO75" s="76"/>
      <c r="BP75" s="76"/>
      <c r="BQ75" s="76"/>
      <c r="BR75" s="76"/>
      <c r="BS75" s="76"/>
      <c r="BT75" s="76"/>
    </row>
    <row r="76" spans="3:72" x14ac:dyDescent="0.25">
      <c r="C76" s="135">
        <v>74</v>
      </c>
      <c r="D76" s="136" t="s">
        <v>463</v>
      </c>
      <c r="E76" s="153">
        <v>53.466730400000003</v>
      </c>
      <c r="F76" s="154">
        <v>-2.2341758</v>
      </c>
      <c r="G76" s="136"/>
      <c r="H76" s="76"/>
      <c r="I76" s="76"/>
      <c r="J76" s="76"/>
      <c r="K76" s="76"/>
      <c r="L76" s="76"/>
      <c r="M76" s="76"/>
      <c r="N76" s="76"/>
      <c r="O76" s="76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39"/>
      <c r="AA76" s="139"/>
      <c r="AB76" s="139"/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M76" s="76"/>
      <c r="BN76" s="76"/>
      <c r="BO76" s="76"/>
      <c r="BP76" s="76"/>
      <c r="BQ76" s="76"/>
      <c r="BR76" s="76"/>
      <c r="BS76" s="76"/>
      <c r="BT76" s="76"/>
    </row>
    <row r="77" spans="3:72" x14ac:dyDescent="0.25">
      <c r="C77" s="135">
        <v>75</v>
      </c>
      <c r="D77" s="136" t="s">
        <v>463</v>
      </c>
      <c r="E77" s="153">
        <v>53.750992699999998</v>
      </c>
      <c r="F77" s="154">
        <v>-2.3672637999999999</v>
      </c>
      <c r="G77" s="136"/>
      <c r="H77" s="76"/>
      <c r="I77" s="76"/>
      <c r="J77" s="76"/>
      <c r="K77" s="76"/>
      <c r="L77" s="76"/>
      <c r="M77" s="76"/>
      <c r="N77" s="76"/>
      <c r="O77" s="76"/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39"/>
      <c r="AA77" s="139"/>
      <c r="AB77" s="139"/>
      <c r="AC77" s="13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  <c r="AO77" s="139"/>
      <c r="AP77" s="139"/>
      <c r="AQ77" s="139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  <c r="BF77" s="76"/>
      <c r="BG77" s="76"/>
      <c r="BH77" s="76"/>
      <c r="BI77" s="76"/>
      <c r="BJ77" s="76"/>
      <c r="BK77" s="76"/>
      <c r="BL77" s="76"/>
      <c r="BM77" s="76"/>
      <c r="BN77" s="76"/>
      <c r="BO77" s="76"/>
      <c r="BP77" s="76"/>
      <c r="BQ77" s="76"/>
      <c r="BR77" s="76"/>
      <c r="BS77" s="76"/>
      <c r="BT77" s="76"/>
    </row>
    <row r="78" spans="3:72" x14ac:dyDescent="0.25">
      <c r="C78" s="135">
        <v>76</v>
      </c>
      <c r="D78" s="136" t="s">
        <v>268</v>
      </c>
      <c r="E78" s="153">
        <v>20.593684</v>
      </c>
      <c r="F78" s="154">
        <v>78.962879999999998</v>
      </c>
      <c r="G78" s="136"/>
      <c r="H78" s="76"/>
      <c r="I78" s="76"/>
      <c r="J78" s="76"/>
      <c r="K78" s="76"/>
      <c r="L78" s="76"/>
      <c r="M78" s="76"/>
      <c r="N78" s="76"/>
      <c r="O78" s="76"/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39"/>
      <c r="AA78" s="139"/>
      <c r="AB78" s="139"/>
      <c r="AC78" s="139"/>
      <c r="AD78" s="139"/>
      <c r="AE78" s="139"/>
      <c r="AF78" s="139"/>
      <c r="AG78" s="139"/>
      <c r="AH78" s="139"/>
      <c r="AI78" s="139"/>
      <c r="AJ78" s="139"/>
      <c r="AK78" s="139"/>
      <c r="AL78" s="139"/>
      <c r="AM78" s="139"/>
      <c r="AN78" s="139"/>
      <c r="AO78" s="139"/>
      <c r="AP78" s="139"/>
      <c r="AQ78" s="139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  <c r="BF78" s="76"/>
      <c r="BG78" s="76"/>
      <c r="BH78" s="76"/>
      <c r="BI78" s="76"/>
      <c r="BJ78" s="76"/>
      <c r="BK78" s="76"/>
      <c r="BL78" s="76"/>
      <c r="BM78" s="76"/>
      <c r="BN78" s="76"/>
      <c r="BO78" s="76"/>
      <c r="BP78" s="76"/>
      <c r="BQ78" s="76"/>
      <c r="BR78" s="76"/>
      <c r="BS78" s="76"/>
      <c r="BT78" s="76"/>
    </row>
    <row r="79" spans="3:72" x14ac:dyDescent="0.25">
      <c r="C79" s="135">
        <v>77</v>
      </c>
      <c r="D79" s="136" t="s">
        <v>268</v>
      </c>
      <c r="E79" s="153">
        <v>18.520430300000001</v>
      </c>
      <c r="F79" s="154">
        <v>73.856743699999996</v>
      </c>
      <c r="G79" s="136"/>
      <c r="H79" s="76"/>
      <c r="I79" s="76"/>
      <c r="J79" s="76"/>
      <c r="K79" s="76"/>
      <c r="L79" s="76"/>
      <c r="M79" s="76"/>
      <c r="N79" s="76"/>
      <c r="O79" s="76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39"/>
      <c r="AA79" s="139"/>
      <c r="AB79" s="139"/>
      <c r="AC79" s="139"/>
      <c r="AD79" s="139"/>
      <c r="AE79" s="139"/>
      <c r="AF79" s="139"/>
      <c r="AG79" s="139"/>
      <c r="AH79" s="139"/>
      <c r="AI79" s="139"/>
      <c r="AJ79" s="139"/>
      <c r="AK79" s="139"/>
      <c r="AL79" s="139"/>
      <c r="AM79" s="139"/>
      <c r="AN79" s="139"/>
      <c r="AO79" s="139"/>
      <c r="AP79" s="139"/>
      <c r="AQ79" s="139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  <c r="BF79" s="76"/>
      <c r="BG79" s="76"/>
      <c r="BH79" s="76"/>
      <c r="BI79" s="76"/>
      <c r="BJ79" s="76"/>
      <c r="BK79" s="76"/>
      <c r="BL79" s="76"/>
      <c r="BM79" s="76"/>
      <c r="BN79" s="76"/>
      <c r="BO79" s="76"/>
      <c r="BP79" s="76"/>
      <c r="BQ79" s="76"/>
      <c r="BR79" s="76"/>
      <c r="BS79" s="76"/>
      <c r="BT79" s="76"/>
    </row>
    <row r="80" spans="3:72" x14ac:dyDescent="0.25">
      <c r="C80" s="135">
        <v>78</v>
      </c>
      <c r="D80" s="136" t="s">
        <v>278</v>
      </c>
      <c r="E80" s="153">
        <v>35.7911176</v>
      </c>
      <c r="F80" s="154">
        <v>51.316221400000003</v>
      </c>
      <c r="G80" s="136"/>
      <c r="H80" s="76"/>
      <c r="I80" s="76"/>
      <c r="J80" s="76"/>
      <c r="K80" s="76"/>
      <c r="L80" s="76"/>
      <c r="M80" s="76"/>
      <c r="N80" s="76"/>
      <c r="O80" s="76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39"/>
      <c r="AA80" s="139"/>
      <c r="AB80" s="139"/>
      <c r="AC80" s="139"/>
      <c r="AD80" s="139"/>
      <c r="AE80" s="139"/>
      <c r="AF80" s="139"/>
      <c r="AG80" s="139"/>
      <c r="AH80" s="139"/>
      <c r="AI80" s="139"/>
      <c r="AJ80" s="139"/>
      <c r="AK80" s="139"/>
      <c r="AL80" s="139"/>
      <c r="AM80" s="139"/>
      <c r="AN80" s="139"/>
      <c r="AO80" s="139"/>
      <c r="AP80" s="139"/>
      <c r="AQ80" s="139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  <c r="BF80" s="76"/>
      <c r="BG80" s="76"/>
      <c r="BH80" s="76"/>
      <c r="BI80" s="76"/>
      <c r="BJ80" s="76"/>
      <c r="BK80" s="76"/>
      <c r="BL80" s="76"/>
      <c r="BM80" s="76"/>
      <c r="BN80" s="76"/>
      <c r="BO80" s="76"/>
      <c r="BP80" s="76"/>
      <c r="BQ80" s="76"/>
      <c r="BR80" s="76"/>
      <c r="BS80" s="76"/>
      <c r="BT80" s="76"/>
    </row>
    <row r="81" spans="3:72" x14ac:dyDescent="0.25">
      <c r="C81" s="135">
        <v>79</v>
      </c>
      <c r="D81" s="136" t="s">
        <v>421</v>
      </c>
      <c r="E81" s="153">
        <v>45.434493099999997</v>
      </c>
      <c r="F81" s="154">
        <v>12.326169399999999</v>
      </c>
      <c r="G81" s="136"/>
      <c r="H81" s="76"/>
      <c r="I81" s="76"/>
      <c r="J81" s="76"/>
      <c r="K81" s="76"/>
      <c r="L81" s="76"/>
      <c r="M81" s="76"/>
      <c r="N81" s="76"/>
      <c r="O81" s="76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39"/>
      <c r="AA81" s="139"/>
      <c r="AB81" s="139"/>
      <c r="AC81" s="139"/>
      <c r="AD81" s="139"/>
      <c r="AE81" s="139"/>
      <c r="AF81" s="139"/>
      <c r="AG81" s="139"/>
      <c r="AH81" s="139"/>
      <c r="AI81" s="139"/>
      <c r="AJ81" s="139"/>
      <c r="AK81" s="139"/>
      <c r="AL81" s="139"/>
      <c r="AM81" s="139"/>
      <c r="AN81" s="139"/>
      <c r="AO81" s="139"/>
      <c r="AP81" s="139"/>
      <c r="AQ81" s="139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  <c r="BC81" s="76"/>
      <c r="BD81" s="76"/>
      <c r="BE81" s="76"/>
      <c r="BF81" s="76"/>
      <c r="BG81" s="76"/>
      <c r="BH81" s="76"/>
      <c r="BI81" s="76"/>
      <c r="BJ81" s="76"/>
      <c r="BK81" s="76"/>
      <c r="BL81" s="76"/>
      <c r="BM81" s="76"/>
      <c r="BN81" s="76"/>
      <c r="BO81" s="76"/>
      <c r="BP81" s="76"/>
      <c r="BQ81" s="76"/>
      <c r="BR81" s="76"/>
      <c r="BS81" s="76"/>
      <c r="BT81" s="76"/>
    </row>
    <row r="82" spans="3:72" x14ac:dyDescent="0.25">
      <c r="C82" s="135">
        <v>80</v>
      </c>
      <c r="D82" s="136" t="s">
        <v>421</v>
      </c>
      <c r="E82" s="153">
        <v>43.719818500000002</v>
      </c>
      <c r="F82" s="154">
        <v>10.402930599999999</v>
      </c>
      <c r="G82" s="136"/>
      <c r="H82" s="76"/>
      <c r="I82" s="76"/>
      <c r="J82" s="76"/>
      <c r="K82" s="76"/>
      <c r="L82" s="76"/>
      <c r="M82" s="76"/>
      <c r="N82" s="76"/>
      <c r="O82" s="76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  <c r="BF82" s="76"/>
      <c r="BG82" s="76"/>
      <c r="BH82" s="76"/>
      <c r="BI82" s="76"/>
      <c r="BJ82" s="76"/>
      <c r="BK82" s="76"/>
      <c r="BL82" s="76"/>
      <c r="BM82" s="76"/>
      <c r="BN82" s="76"/>
      <c r="BO82" s="76"/>
      <c r="BP82" s="76"/>
      <c r="BQ82" s="76"/>
      <c r="BR82" s="76"/>
      <c r="BS82" s="76"/>
      <c r="BT82" s="76"/>
    </row>
    <row r="83" spans="3:72" x14ac:dyDescent="0.25">
      <c r="C83" s="135">
        <v>81</v>
      </c>
      <c r="D83" s="136" t="s">
        <v>421</v>
      </c>
      <c r="E83" s="153">
        <v>44.698993199999997</v>
      </c>
      <c r="F83" s="154">
        <v>10.6296859</v>
      </c>
      <c r="G83" s="136"/>
      <c r="H83" s="76"/>
      <c r="I83" s="76"/>
      <c r="J83" s="76"/>
      <c r="K83" s="76"/>
      <c r="L83" s="76"/>
      <c r="M83" s="76"/>
      <c r="N83" s="76"/>
      <c r="O83" s="76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  <c r="BC83" s="76"/>
      <c r="BD83" s="76"/>
      <c r="BE83" s="76"/>
      <c r="BF83" s="76"/>
      <c r="BG83" s="76"/>
      <c r="BH83" s="76"/>
      <c r="BI83" s="76"/>
      <c r="BJ83" s="76"/>
      <c r="BK83" s="76"/>
      <c r="BL83" s="76"/>
      <c r="BM83" s="76"/>
      <c r="BN83" s="76"/>
      <c r="BO83" s="76"/>
      <c r="BP83" s="76"/>
      <c r="BQ83" s="76"/>
      <c r="BR83" s="76"/>
      <c r="BS83" s="76"/>
      <c r="BT83" s="76"/>
    </row>
    <row r="84" spans="3:72" x14ac:dyDescent="0.25">
      <c r="C84" s="135">
        <v>82</v>
      </c>
      <c r="D84" s="136" t="s">
        <v>421</v>
      </c>
      <c r="E84" s="153">
        <v>44.496877699999999</v>
      </c>
      <c r="F84" s="154">
        <v>11.3524089</v>
      </c>
      <c r="G84" s="13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  <c r="BC84" s="76"/>
      <c r="BD84" s="76"/>
      <c r="BE84" s="76"/>
      <c r="BF84" s="76"/>
      <c r="BG84" s="76"/>
      <c r="BH84" s="76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76"/>
      <c r="BT84" s="76"/>
    </row>
    <row r="85" spans="3:72" x14ac:dyDescent="0.25">
      <c r="C85" s="135">
        <v>83</v>
      </c>
      <c r="D85" s="136" t="s">
        <v>272</v>
      </c>
      <c r="E85" s="153">
        <v>35.597612900000001</v>
      </c>
      <c r="F85" s="154">
        <v>139.65053979999999</v>
      </c>
      <c r="G85" s="13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  <c r="BF85" s="76"/>
      <c r="BG85" s="76"/>
      <c r="BH85" s="76"/>
      <c r="BI85" s="76"/>
      <c r="BJ85" s="76"/>
      <c r="BK85" s="76"/>
      <c r="BL85" s="76"/>
      <c r="BM85" s="76"/>
      <c r="BN85" s="76"/>
      <c r="BO85" s="76"/>
      <c r="BP85" s="76"/>
      <c r="BQ85" s="76"/>
      <c r="BR85" s="76"/>
      <c r="BS85" s="76"/>
      <c r="BT85" s="76"/>
    </row>
    <row r="86" spans="3:72" x14ac:dyDescent="0.25">
      <c r="C86" s="135">
        <v>84</v>
      </c>
      <c r="D86" s="136" t="s">
        <v>272</v>
      </c>
      <c r="E86" s="153">
        <v>35.6794704</v>
      </c>
      <c r="F86" s="154">
        <v>139.77990539999999</v>
      </c>
      <c r="G86" s="13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  <c r="BF86" s="76"/>
      <c r="BG86" s="76"/>
      <c r="BH86" s="76"/>
      <c r="BI86" s="76"/>
      <c r="BJ86" s="76"/>
      <c r="BK86" s="76"/>
      <c r="BL86" s="76"/>
      <c r="BM86" s="76"/>
      <c r="BN86" s="76"/>
      <c r="BO86" s="76"/>
      <c r="BP86" s="76"/>
      <c r="BQ86" s="76"/>
      <c r="BR86" s="76"/>
      <c r="BS86" s="76"/>
      <c r="BT86" s="76"/>
    </row>
    <row r="87" spans="3:72" x14ac:dyDescent="0.25">
      <c r="C87" s="135">
        <v>85</v>
      </c>
      <c r="D87" s="136" t="s">
        <v>282</v>
      </c>
      <c r="E87" s="153">
        <v>29.3510089</v>
      </c>
      <c r="F87" s="154">
        <v>47.944331300000002</v>
      </c>
      <c r="G87" s="13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 t="s">
        <v>358</v>
      </c>
      <c r="AC87" s="76"/>
      <c r="AD87" s="76"/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  <c r="BC87" s="76"/>
      <c r="BD87" s="76"/>
      <c r="BE87" s="76"/>
      <c r="BF87" s="76"/>
      <c r="BG87" s="76"/>
      <c r="BH87" s="76"/>
      <c r="BI87" s="76"/>
      <c r="BJ87" s="76"/>
      <c r="BK87" s="76"/>
      <c r="BL87" s="76"/>
      <c r="BM87" s="76"/>
      <c r="BN87" s="76"/>
      <c r="BO87" s="76"/>
      <c r="BP87" s="76"/>
      <c r="BQ87" s="76"/>
      <c r="BR87" s="76"/>
      <c r="BS87" s="76"/>
      <c r="BT87" s="76"/>
    </row>
    <row r="88" spans="3:72" ht="16.5" x14ac:dyDescent="0.3">
      <c r="C88" s="135">
        <v>86</v>
      </c>
      <c r="D88" s="147" t="s">
        <v>285</v>
      </c>
      <c r="E88" s="153">
        <v>52.1566622</v>
      </c>
      <c r="F88" s="154">
        <v>4.4867594000000004</v>
      </c>
      <c r="G88" s="13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 t="s">
        <v>358</v>
      </c>
      <c r="AC88" s="76"/>
      <c r="AD88" s="76"/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  <c r="BC88" s="76"/>
      <c r="BD88" s="76"/>
      <c r="BE88" s="76"/>
      <c r="BF88" s="76"/>
      <c r="BG88" s="76"/>
      <c r="BH88" s="76"/>
      <c r="BI88" s="76"/>
      <c r="BJ88" s="76"/>
      <c r="BK88" s="76"/>
      <c r="BL88" s="76"/>
      <c r="BM88" s="76"/>
      <c r="BN88" s="76"/>
      <c r="BO88" s="76"/>
      <c r="BP88" s="76"/>
      <c r="BQ88" s="76"/>
      <c r="BR88" s="76"/>
      <c r="BS88" s="76"/>
      <c r="BT88" s="76"/>
    </row>
    <row r="89" spans="3:72" x14ac:dyDescent="0.25">
      <c r="C89" s="135">
        <v>87</v>
      </c>
      <c r="D89" s="136" t="s">
        <v>285</v>
      </c>
      <c r="E89" s="153">
        <v>52.090737400000002</v>
      </c>
      <c r="F89" s="154">
        <v>5.1214200999999999</v>
      </c>
      <c r="G89" s="13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 t="s">
        <v>358</v>
      </c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  <c r="BF89" s="76"/>
      <c r="BG89" s="76"/>
      <c r="BH89" s="76"/>
      <c r="BI89" s="76"/>
      <c r="BJ89" s="76"/>
      <c r="BK89" s="76"/>
      <c r="BL89" s="76"/>
      <c r="BM89" s="76"/>
      <c r="BN89" s="76"/>
      <c r="BO89" s="76"/>
      <c r="BP89" s="76"/>
      <c r="BQ89" s="76"/>
      <c r="BR89" s="76"/>
      <c r="BS89" s="76"/>
      <c r="BT89" s="76"/>
    </row>
    <row r="90" spans="3:72" x14ac:dyDescent="0.25">
      <c r="C90" s="135">
        <v>88</v>
      </c>
      <c r="D90" s="136" t="s">
        <v>468</v>
      </c>
      <c r="E90" s="153">
        <v>48.849919800000002</v>
      </c>
      <c r="F90" s="154">
        <v>2.6370410999999998</v>
      </c>
      <c r="G90" s="13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 t="s">
        <v>358</v>
      </c>
      <c r="AC90" s="76"/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6"/>
      <c r="BE90" s="76"/>
      <c r="BF90" s="76"/>
      <c r="BG90" s="76"/>
      <c r="BH90" s="76"/>
      <c r="BI90" s="76"/>
      <c r="BJ90" s="76"/>
      <c r="BK90" s="76"/>
      <c r="BL90" s="76"/>
      <c r="BM90" s="76"/>
      <c r="BN90" s="76"/>
      <c r="BO90" s="76"/>
      <c r="BP90" s="76"/>
      <c r="BQ90" s="76"/>
      <c r="BR90" s="76"/>
      <c r="BS90" s="76"/>
      <c r="BT90" s="76"/>
    </row>
    <row r="91" spans="3:72" x14ac:dyDescent="0.25">
      <c r="C91" s="135">
        <v>89</v>
      </c>
      <c r="D91" s="136" t="s">
        <v>469</v>
      </c>
      <c r="E91" s="153">
        <v>60.128160999999999</v>
      </c>
      <c r="F91" s="154">
        <v>18.643501000000001</v>
      </c>
      <c r="G91" s="13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 t="s">
        <v>358</v>
      </c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6"/>
      <c r="BE91" s="76"/>
      <c r="BF91" s="76"/>
      <c r="BG91" s="76"/>
      <c r="BH91" s="76"/>
      <c r="BI91" s="76"/>
      <c r="BJ91" s="76"/>
      <c r="BK91" s="76"/>
      <c r="BL91" s="76"/>
      <c r="BM91" s="76"/>
      <c r="BN91" s="76"/>
      <c r="BO91" s="76"/>
      <c r="BP91" s="76"/>
      <c r="BQ91" s="76"/>
      <c r="BR91" s="76"/>
      <c r="BS91" s="76"/>
      <c r="BT91" s="76"/>
    </row>
    <row r="92" spans="3:72" x14ac:dyDescent="0.25">
      <c r="C92" s="135">
        <v>90</v>
      </c>
      <c r="D92" s="136"/>
      <c r="E92" s="153">
        <v>42.724305000000001</v>
      </c>
      <c r="F92" s="154">
        <v>-84.479604699999996</v>
      </c>
      <c r="G92" s="13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 t="s">
        <v>358</v>
      </c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  <c r="BF92" s="76"/>
      <c r="BG92" s="76"/>
      <c r="BH92" s="76"/>
      <c r="BI92" s="76"/>
      <c r="BJ92" s="76"/>
      <c r="BK92" s="76"/>
      <c r="BL92" s="76"/>
      <c r="BM92" s="76"/>
      <c r="BN92" s="76"/>
      <c r="BO92" s="76"/>
      <c r="BP92" s="76"/>
      <c r="BQ92" s="76"/>
      <c r="BR92" s="76"/>
      <c r="BS92" s="76"/>
      <c r="BT92" s="76"/>
    </row>
    <row r="93" spans="3:72" x14ac:dyDescent="0.25">
      <c r="C93" s="135">
        <v>91</v>
      </c>
      <c r="D93" s="136"/>
      <c r="E93" s="153">
        <v>35.966993799999997</v>
      </c>
      <c r="F93" s="154">
        <v>-84.250536299999993</v>
      </c>
      <c r="G93" s="13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 t="s">
        <v>358</v>
      </c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  <c r="BF93" s="76"/>
      <c r="BG93" s="76"/>
      <c r="BH93" s="76"/>
      <c r="BI93" s="76"/>
      <c r="BJ93" s="76"/>
      <c r="BK93" s="76"/>
      <c r="BL93" s="76"/>
      <c r="BM93" s="76"/>
      <c r="BN93" s="76"/>
      <c r="BO93" s="76"/>
      <c r="BP93" s="76"/>
      <c r="BQ93" s="76"/>
      <c r="BR93" s="76"/>
      <c r="BS93" s="76"/>
      <c r="BT93" s="76"/>
    </row>
    <row r="94" spans="3:72" x14ac:dyDescent="0.25">
      <c r="C94" s="135">
        <v>92</v>
      </c>
      <c r="D94" s="136"/>
      <c r="E94" s="153">
        <v>35.966993799999997</v>
      </c>
      <c r="F94" s="154">
        <v>-84.250536299999993</v>
      </c>
      <c r="G94" s="13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 t="s">
        <v>358</v>
      </c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  <c r="BF94" s="76"/>
      <c r="BG94" s="76"/>
      <c r="BH94" s="76"/>
      <c r="BI94" s="76"/>
      <c r="BJ94" s="76"/>
      <c r="BK94" s="76"/>
      <c r="BL94" s="76"/>
      <c r="BM94" s="76"/>
      <c r="BN94" s="76"/>
      <c r="BO94" s="76"/>
      <c r="BP94" s="76"/>
      <c r="BQ94" s="76"/>
      <c r="BR94" s="76"/>
      <c r="BS94" s="76"/>
      <c r="BT94" s="76"/>
    </row>
    <row r="95" spans="3:72" x14ac:dyDescent="0.25">
      <c r="C95" s="135">
        <v>93</v>
      </c>
      <c r="D95" s="136"/>
      <c r="E95" s="153">
        <v>37.875984500000001</v>
      </c>
      <c r="F95" s="154">
        <v>-122.2500142</v>
      </c>
      <c r="G95" s="13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 t="s">
        <v>358</v>
      </c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  <c r="BF95" s="76"/>
      <c r="BG95" s="76"/>
      <c r="BH95" s="76"/>
      <c r="BI95" s="76"/>
      <c r="BJ95" s="76"/>
      <c r="BK95" s="76"/>
      <c r="BL95" s="76"/>
      <c r="BM95" s="76"/>
      <c r="BN95" s="76"/>
      <c r="BO95" s="76"/>
      <c r="BP95" s="76"/>
      <c r="BQ95" s="76"/>
      <c r="BR95" s="76"/>
      <c r="BS95" s="76"/>
      <c r="BT95" s="76"/>
    </row>
    <row r="96" spans="3:72" x14ac:dyDescent="0.25">
      <c r="C96" s="135">
        <v>94</v>
      </c>
      <c r="D96" s="136"/>
      <c r="E96" s="153">
        <v>37.875984500000001</v>
      </c>
      <c r="F96" s="154">
        <v>-122.2500142</v>
      </c>
      <c r="G96" s="13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 t="s">
        <v>358</v>
      </c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  <c r="BF96" s="76"/>
      <c r="BG96" s="76"/>
      <c r="BH96" s="76"/>
      <c r="BI96" s="76"/>
      <c r="BJ96" s="76"/>
      <c r="BK96" s="76"/>
      <c r="BL96" s="76"/>
      <c r="BM96" s="76"/>
      <c r="BN96" s="76"/>
      <c r="BO96" s="76"/>
      <c r="BP96" s="76"/>
      <c r="BQ96" s="76"/>
      <c r="BR96" s="76"/>
      <c r="BS96" s="76"/>
      <c r="BT96" s="76"/>
    </row>
    <row r="97" spans="3:72" x14ac:dyDescent="0.25">
      <c r="C97" s="135">
        <v>95</v>
      </c>
      <c r="D97" s="136"/>
      <c r="E97" s="153">
        <v>37.875984500000001</v>
      </c>
      <c r="F97" s="154">
        <v>-122.2500142</v>
      </c>
      <c r="G97" s="13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 t="s">
        <v>358</v>
      </c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  <c r="BC97" s="76"/>
      <c r="BD97" s="76"/>
      <c r="BE97" s="76"/>
      <c r="BF97" s="76"/>
      <c r="BG97" s="76"/>
      <c r="BH97" s="76"/>
      <c r="BI97" s="76"/>
      <c r="BJ97" s="76"/>
      <c r="BK97" s="76"/>
      <c r="BL97" s="76"/>
      <c r="BM97" s="76"/>
      <c r="BN97" s="76"/>
      <c r="BO97" s="76"/>
      <c r="BP97" s="76"/>
      <c r="BQ97" s="76"/>
      <c r="BR97" s="76"/>
      <c r="BS97" s="76"/>
      <c r="BT97" s="76"/>
    </row>
    <row r="98" spans="3:72" x14ac:dyDescent="0.25">
      <c r="C98" s="135">
        <v>96</v>
      </c>
      <c r="D98" s="136"/>
      <c r="E98" s="153">
        <v>37.875984500000001</v>
      </c>
      <c r="F98" s="154">
        <v>-122.2500142</v>
      </c>
      <c r="G98" s="13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 t="s">
        <v>358</v>
      </c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  <c r="BF98" s="76"/>
      <c r="BG98" s="76"/>
      <c r="BH98" s="76"/>
      <c r="BI98" s="76"/>
      <c r="BJ98" s="76"/>
      <c r="BK98" s="76"/>
      <c r="BL98" s="76"/>
      <c r="BM98" s="76"/>
      <c r="BN98" s="76"/>
      <c r="BO98" s="76"/>
      <c r="BP98" s="76"/>
      <c r="BQ98" s="76"/>
      <c r="BR98" s="76"/>
      <c r="BS98" s="76"/>
      <c r="BT98" s="76"/>
    </row>
    <row r="99" spans="3:72" x14ac:dyDescent="0.25">
      <c r="C99" s="135">
        <v>97</v>
      </c>
      <c r="D99" s="136"/>
      <c r="E99" s="153">
        <v>37.875984500000001</v>
      </c>
      <c r="F99" s="154">
        <v>-122.2500142</v>
      </c>
      <c r="G99" s="13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 t="s">
        <v>358</v>
      </c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  <c r="BF99" s="76"/>
      <c r="BG99" s="76"/>
      <c r="BH99" s="76"/>
      <c r="BI99" s="76"/>
      <c r="BJ99" s="76"/>
      <c r="BK99" s="76"/>
      <c r="BL99" s="76"/>
      <c r="BM99" s="76"/>
      <c r="BN99" s="76"/>
      <c r="BO99" s="76"/>
      <c r="BP99" s="76"/>
      <c r="BQ99" s="76"/>
      <c r="BR99" s="76"/>
      <c r="BS99" s="76"/>
      <c r="BT99" s="76"/>
    </row>
    <row r="100" spans="3:72" x14ac:dyDescent="0.25">
      <c r="C100" s="135">
        <v>98</v>
      </c>
      <c r="D100" s="136"/>
      <c r="E100" s="153">
        <v>37.875984500000001</v>
      </c>
      <c r="F100" s="154">
        <v>-122.2500142</v>
      </c>
      <c r="G100" s="13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 t="s">
        <v>358</v>
      </c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  <c r="BF100" s="76"/>
      <c r="BG100" s="76"/>
      <c r="BH100" s="76"/>
      <c r="BI100" s="76"/>
      <c r="BJ100" s="76"/>
      <c r="BK100" s="76"/>
      <c r="BL100" s="76"/>
      <c r="BM100" s="76"/>
      <c r="BN100" s="76"/>
      <c r="BO100" s="76"/>
      <c r="BP100" s="76"/>
      <c r="BQ100" s="76"/>
      <c r="BR100" s="76"/>
      <c r="BS100" s="76"/>
      <c r="BT100" s="76"/>
    </row>
    <row r="101" spans="3:72" x14ac:dyDescent="0.25">
      <c r="C101" s="135">
        <v>99</v>
      </c>
      <c r="D101" s="136"/>
      <c r="E101" s="153">
        <v>43.083924699999997</v>
      </c>
      <c r="F101" s="154">
        <v>-77.674613899999997</v>
      </c>
      <c r="G101" s="13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 t="s">
        <v>358</v>
      </c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  <c r="BF101" s="76"/>
      <c r="BG101" s="76"/>
      <c r="BH101" s="76"/>
      <c r="BI101" s="76"/>
      <c r="BJ101" s="76"/>
      <c r="BK101" s="76"/>
      <c r="BL101" s="76"/>
      <c r="BM101" s="76"/>
      <c r="BN101" s="76"/>
      <c r="BO101" s="76"/>
      <c r="BP101" s="76"/>
      <c r="BQ101" s="76"/>
      <c r="BR101" s="76"/>
      <c r="BS101" s="76"/>
      <c r="BT101" s="76"/>
    </row>
    <row r="102" spans="3:72" x14ac:dyDescent="0.25">
      <c r="C102" s="135">
        <v>100</v>
      </c>
      <c r="D102" s="136"/>
      <c r="E102" s="153">
        <v>43.083924699999997</v>
      </c>
      <c r="F102" s="154">
        <v>-77.674613899999997</v>
      </c>
      <c r="G102" s="13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 t="s">
        <v>358</v>
      </c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  <c r="BF102" s="76"/>
      <c r="BG102" s="76"/>
      <c r="BH102" s="76"/>
      <c r="BI102" s="76"/>
      <c r="BJ102" s="76"/>
      <c r="BK102" s="76"/>
      <c r="BL102" s="76"/>
      <c r="BM102" s="76"/>
      <c r="BN102" s="76"/>
      <c r="BO102" s="76"/>
      <c r="BP102" s="76"/>
      <c r="BQ102" s="76"/>
      <c r="BR102" s="76"/>
      <c r="BS102" s="76"/>
      <c r="BT102" s="76"/>
    </row>
    <row r="103" spans="3:72" x14ac:dyDescent="0.25">
      <c r="C103" s="135">
        <v>101</v>
      </c>
      <c r="D103" s="136"/>
      <c r="E103" s="153">
        <v>38.538728300000002</v>
      </c>
      <c r="F103" s="154">
        <v>-121.75308200000001</v>
      </c>
      <c r="G103" s="13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 t="s">
        <v>358</v>
      </c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  <c r="BF103" s="76"/>
      <c r="BG103" s="76"/>
      <c r="BH103" s="76"/>
      <c r="BI103" s="76"/>
      <c r="BJ103" s="76"/>
      <c r="BK103" s="76"/>
      <c r="BL103" s="76"/>
      <c r="BM103" s="76"/>
      <c r="BN103" s="76"/>
      <c r="BO103" s="76"/>
      <c r="BP103" s="76"/>
      <c r="BQ103" s="76"/>
      <c r="BR103" s="76"/>
      <c r="BS103" s="76"/>
      <c r="BT103" s="76"/>
    </row>
    <row r="104" spans="3:72" x14ac:dyDescent="0.25">
      <c r="C104" s="135">
        <v>102</v>
      </c>
      <c r="D104" s="136"/>
      <c r="E104" s="153">
        <v>39.1444598</v>
      </c>
      <c r="F104" s="154">
        <v>-77.216468500000005</v>
      </c>
      <c r="G104" s="13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 t="s">
        <v>358</v>
      </c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  <c r="BC104" s="76"/>
      <c r="BD104" s="76"/>
      <c r="BE104" s="76"/>
      <c r="BF104" s="76"/>
      <c r="BG104" s="76"/>
      <c r="BH104" s="76"/>
      <c r="BI104" s="76"/>
      <c r="BJ104" s="76"/>
      <c r="BK104" s="76"/>
      <c r="BL104" s="76"/>
      <c r="BM104" s="76"/>
      <c r="BN104" s="76"/>
      <c r="BO104" s="76"/>
      <c r="BP104" s="76"/>
      <c r="BQ104" s="76"/>
      <c r="BR104" s="76"/>
      <c r="BS104" s="76"/>
      <c r="BT104" s="76"/>
    </row>
    <row r="105" spans="3:72" x14ac:dyDescent="0.25">
      <c r="C105" s="135">
        <v>103</v>
      </c>
      <c r="D105" s="136"/>
      <c r="E105" s="153">
        <v>40.676457900000003</v>
      </c>
      <c r="F105" s="154">
        <v>-74.228479100000001</v>
      </c>
      <c r="G105" s="13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 t="s">
        <v>358</v>
      </c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/>
      <c r="BA105" s="76"/>
      <c r="BB105" s="76"/>
      <c r="BC105" s="76"/>
      <c r="BD105" s="76"/>
      <c r="BE105" s="76"/>
      <c r="BF105" s="76"/>
      <c r="BG105" s="76"/>
      <c r="BH105" s="76"/>
      <c r="BI105" s="76"/>
      <c r="BJ105" s="76"/>
      <c r="BK105" s="76"/>
      <c r="BL105" s="76"/>
      <c r="BM105" s="76"/>
      <c r="BN105" s="76"/>
      <c r="BO105" s="76"/>
      <c r="BP105" s="76"/>
      <c r="BQ105" s="76"/>
      <c r="BR105" s="76"/>
      <c r="BS105" s="76"/>
      <c r="BT105" s="76"/>
    </row>
    <row r="106" spans="3:72" x14ac:dyDescent="0.25">
      <c r="C106" s="135">
        <v>104</v>
      </c>
      <c r="D106" s="136"/>
      <c r="E106" s="153">
        <v>40.676457900000003</v>
      </c>
      <c r="F106" s="154">
        <v>-74.228479100000001</v>
      </c>
      <c r="G106" s="13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 t="s">
        <v>358</v>
      </c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6"/>
      <c r="BD106" s="76"/>
      <c r="BE106" s="76"/>
      <c r="BF106" s="76"/>
      <c r="BG106" s="76"/>
      <c r="BH106" s="76"/>
      <c r="BI106" s="76"/>
      <c r="BJ106" s="76"/>
      <c r="BK106" s="76"/>
      <c r="BL106" s="76"/>
      <c r="BM106" s="76"/>
      <c r="BN106" s="76"/>
      <c r="BO106" s="76"/>
      <c r="BP106" s="76"/>
      <c r="BQ106" s="76"/>
      <c r="BR106" s="76"/>
      <c r="BS106" s="76"/>
      <c r="BT106" s="76"/>
    </row>
    <row r="107" spans="3:72" x14ac:dyDescent="0.25">
      <c r="C107" s="135">
        <v>105</v>
      </c>
      <c r="D107" s="136"/>
      <c r="E107" s="153">
        <v>40.676457900000003</v>
      </c>
      <c r="F107" s="154">
        <v>-74.228479100000001</v>
      </c>
      <c r="G107" s="13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 t="s">
        <v>358</v>
      </c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  <c r="AW107" s="76"/>
      <c r="AX107" s="76"/>
      <c r="AY107" s="76"/>
      <c r="AZ107" s="76"/>
      <c r="BA107" s="76"/>
      <c r="BB107" s="76"/>
      <c r="BC107" s="76"/>
      <c r="BD107" s="76"/>
      <c r="BE107" s="76"/>
      <c r="BF107" s="76"/>
      <c r="BG107" s="76"/>
      <c r="BH107" s="76"/>
      <c r="BI107" s="76"/>
      <c r="BJ107" s="76"/>
      <c r="BK107" s="76"/>
      <c r="BL107" s="76"/>
      <c r="BM107" s="76"/>
      <c r="BN107" s="76"/>
      <c r="BO107" s="76"/>
      <c r="BP107" s="76"/>
      <c r="BQ107" s="76"/>
      <c r="BR107" s="76"/>
      <c r="BS107" s="76"/>
      <c r="BT107" s="76"/>
    </row>
    <row r="108" spans="3:72" x14ac:dyDescent="0.25">
      <c r="C108" s="135">
        <v>106</v>
      </c>
      <c r="D108" s="136"/>
      <c r="E108" s="153">
        <v>34.679338999999999</v>
      </c>
      <c r="F108" s="154">
        <v>-82.835136000000006</v>
      </c>
      <c r="G108" s="13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 t="s">
        <v>358</v>
      </c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  <c r="BF108" s="76"/>
      <c r="BG108" s="76"/>
      <c r="BH108" s="76"/>
      <c r="BI108" s="76"/>
      <c r="BJ108" s="76"/>
      <c r="BK108" s="76"/>
      <c r="BL108" s="76"/>
      <c r="BM108" s="76"/>
      <c r="BN108" s="76"/>
      <c r="BO108" s="76"/>
      <c r="BP108" s="76"/>
      <c r="BQ108" s="76"/>
      <c r="BR108" s="76"/>
      <c r="BS108" s="76"/>
      <c r="BT108" s="76"/>
    </row>
    <row r="109" spans="3:72" x14ac:dyDescent="0.25">
      <c r="C109" s="135">
        <v>107</v>
      </c>
      <c r="D109" s="136"/>
      <c r="E109" s="153">
        <v>43.183446099999998</v>
      </c>
      <c r="F109" s="154">
        <v>-70.608591200000006</v>
      </c>
      <c r="G109" s="13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 t="s">
        <v>358</v>
      </c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/>
      <c r="AY109" s="76"/>
      <c r="AZ109" s="76"/>
      <c r="BA109" s="76"/>
      <c r="BB109" s="76"/>
      <c r="BC109" s="76"/>
      <c r="BD109" s="76"/>
      <c r="BE109" s="76"/>
      <c r="BF109" s="76"/>
      <c r="BG109" s="76"/>
      <c r="BH109" s="76"/>
      <c r="BI109" s="76"/>
      <c r="BJ109" s="76"/>
      <c r="BK109" s="76"/>
      <c r="BL109" s="76"/>
      <c r="BM109" s="76"/>
      <c r="BN109" s="76"/>
      <c r="BO109" s="76"/>
      <c r="BP109" s="76"/>
      <c r="BQ109" s="76"/>
      <c r="BR109" s="76"/>
      <c r="BS109" s="76"/>
      <c r="BT109" s="76"/>
    </row>
    <row r="110" spans="3:72" x14ac:dyDescent="0.25">
      <c r="C110" s="135">
        <v>108</v>
      </c>
      <c r="D110" s="136"/>
      <c r="E110" s="153">
        <v>43.038965900000001</v>
      </c>
      <c r="F110" s="154">
        <v>-87.928041500000006</v>
      </c>
      <c r="G110" s="13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 t="s">
        <v>358</v>
      </c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  <c r="BC110" s="76"/>
      <c r="BD110" s="76"/>
      <c r="BE110" s="76"/>
      <c r="BF110" s="76"/>
      <c r="BG110" s="76"/>
      <c r="BH110" s="76"/>
      <c r="BI110" s="76"/>
      <c r="BJ110" s="76"/>
      <c r="BK110" s="76"/>
      <c r="BL110" s="76"/>
      <c r="BM110" s="76"/>
      <c r="BN110" s="76"/>
      <c r="BO110" s="76"/>
      <c r="BP110" s="76"/>
      <c r="BQ110" s="76"/>
      <c r="BR110" s="76"/>
      <c r="BS110" s="76"/>
      <c r="BT110" s="76"/>
    </row>
    <row r="111" spans="3:72" x14ac:dyDescent="0.25">
      <c r="C111" s="135">
        <v>109</v>
      </c>
      <c r="D111" s="136"/>
      <c r="E111" s="153">
        <v>46.891579299999997</v>
      </c>
      <c r="F111" s="154">
        <v>-96.800126700000007</v>
      </c>
      <c r="G111" s="13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 t="s">
        <v>358</v>
      </c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  <c r="AW111" s="76"/>
      <c r="AX111" s="76"/>
      <c r="AY111" s="76"/>
      <c r="AZ111" s="76"/>
      <c r="BA111" s="76"/>
      <c r="BB111" s="76"/>
      <c r="BC111" s="76"/>
      <c r="BD111" s="76"/>
      <c r="BE111" s="76"/>
      <c r="BF111" s="76"/>
      <c r="BG111" s="76"/>
      <c r="BH111" s="76"/>
      <c r="BI111" s="76"/>
      <c r="BJ111" s="76"/>
      <c r="BK111" s="76"/>
      <c r="BL111" s="76"/>
      <c r="BM111" s="76"/>
      <c r="BN111" s="76"/>
      <c r="BO111" s="76"/>
      <c r="BP111" s="76"/>
      <c r="BQ111" s="76"/>
      <c r="BR111" s="76"/>
      <c r="BS111" s="76"/>
      <c r="BT111" s="76"/>
    </row>
    <row r="112" spans="3:72" x14ac:dyDescent="0.25">
      <c r="C112" s="135">
        <v>110</v>
      </c>
      <c r="D112" s="136"/>
      <c r="E112" s="153">
        <v>46.891579299999997</v>
      </c>
      <c r="F112" s="154">
        <v>-96.800126700000007</v>
      </c>
      <c r="G112" s="13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 t="s">
        <v>358</v>
      </c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  <c r="BC112" s="76"/>
      <c r="BD112" s="76"/>
      <c r="BE112" s="76"/>
      <c r="BF112" s="76"/>
      <c r="BG112" s="76"/>
      <c r="BH112" s="76"/>
      <c r="BI112" s="76"/>
      <c r="BJ112" s="76"/>
      <c r="BK112" s="76"/>
      <c r="BL112" s="76"/>
      <c r="BM112" s="76"/>
      <c r="BN112" s="76"/>
      <c r="BO112" s="76"/>
      <c r="BP112" s="76"/>
      <c r="BQ112" s="76"/>
      <c r="BR112" s="76"/>
      <c r="BS112" s="76"/>
      <c r="BT112" s="76"/>
    </row>
    <row r="113" spans="3:72" x14ac:dyDescent="0.25">
      <c r="C113" s="135">
        <v>111</v>
      </c>
      <c r="D113" s="136"/>
      <c r="E113" s="153">
        <v>46.891579299999997</v>
      </c>
      <c r="F113" s="154">
        <v>-96.800126700000007</v>
      </c>
      <c r="G113" s="13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 t="s">
        <v>358</v>
      </c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  <c r="BF113" s="76"/>
      <c r="BG113" s="76"/>
      <c r="BH113" s="76"/>
      <c r="BI113" s="76"/>
      <c r="BJ113" s="76"/>
      <c r="BK113" s="76"/>
      <c r="BL113" s="76"/>
      <c r="BM113" s="76"/>
      <c r="BN113" s="76"/>
      <c r="BO113" s="76"/>
      <c r="BP113" s="76"/>
      <c r="BQ113" s="76"/>
      <c r="BR113" s="76"/>
      <c r="BS113" s="76"/>
      <c r="BT113" s="76"/>
    </row>
    <row r="114" spans="3:72" x14ac:dyDescent="0.25">
      <c r="C114" s="135">
        <v>112</v>
      </c>
      <c r="D114" s="136"/>
      <c r="E114" s="153">
        <v>40.817663000000003</v>
      </c>
      <c r="F114" s="154">
        <v>-96.700037100000003</v>
      </c>
      <c r="G114" s="13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 t="s">
        <v>358</v>
      </c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  <c r="BF114" s="76"/>
      <c r="BG114" s="76"/>
      <c r="BH114" s="76"/>
      <c r="BI114" s="76"/>
      <c r="BJ114" s="76"/>
      <c r="BK114" s="76"/>
      <c r="BL114" s="76"/>
      <c r="BM114" s="76"/>
      <c r="BN114" s="76"/>
      <c r="BO114" s="76"/>
      <c r="BP114" s="76"/>
      <c r="BQ114" s="76"/>
      <c r="BR114" s="76"/>
      <c r="BS114" s="76"/>
      <c r="BT114" s="76"/>
    </row>
    <row r="115" spans="3:72" x14ac:dyDescent="0.25">
      <c r="C115" s="135">
        <v>113</v>
      </c>
      <c r="D115" s="136"/>
      <c r="E115" s="153">
        <v>40.817663000000003</v>
      </c>
      <c r="F115" s="154">
        <v>-96.700037100000003</v>
      </c>
      <c r="G115" s="13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 t="s">
        <v>358</v>
      </c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  <c r="BF115" s="76"/>
      <c r="BG115" s="76"/>
      <c r="BH115" s="76"/>
      <c r="BI115" s="76"/>
      <c r="BJ115" s="76"/>
      <c r="BK115" s="76"/>
      <c r="BL115" s="76"/>
      <c r="BM115" s="76"/>
      <c r="BN115" s="76"/>
      <c r="BO115" s="76"/>
      <c r="BP115" s="76"/>
      <c r="BQ115" s="76"/>
      <c r="BR115" s="76"/>
      <c r="BS115" s="76"/>
      <c r="BT115" s="76"/>
    </row>
    <row r="116" spans="3:72" x14ac:dyDescent="0.25">
      <c r="C116" s="135">
        <v>114</v>
      </c>
      <c r="D116" s="136"/>
      <c r="E116" s="153">
        <v>40.817663000000003</v>
      </c>
      <c r="F116" s="154">
        <v>-96.700037100000003</v>
      </c>
      <c r="G116" s="13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 t="s">
        <v>358</v>
      </c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  <c r="BF116" s="76"/>
      <c r="BG116" s="76"/>
      <c r="BH116" s="76"/>
      <c r="BI116" s="76"/>
      <c r="BJ116" s="76"/>
      <c r="BK116" s="76"/>
      <c r="BL116" s="76"/>
      <c r="BM116" s="76"/>
      <c r="BN116" s="76"/>
      <c r="BO116" s="76"/>
      <c r="BP116" s="76"/>
      <c r="BQ116" s="76"/>
      <c r="BR116" s="76"/>
      <c r="BS116" s="76"/>
      <c r="BT116" s="76"/>
    </row>
    <row r="117" spans="3:72" x14ac:dyDescent="0.25">
      <c r="C117" s="135">
        <v>115</v>
      </c>
      <c r="D117" s="136"/>
      <c r="E117" s="153">
        <v>40.817663000000003</v>
      </c>
      <c r="F117" s="154">
        <v>-96.700037100000003</v>
      </c>
      <c r="G117" s="13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 t="s">
        <v>358</v>
      </c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  <c r="BF117" s="76"/>
      <c r="BG117" s="76"/>
      <c r="BH117" s="76"/>
      <c r="BI117" s="76"/>
      <c r="BJ117" s="76"/>
      <c r="BK117" s="76"/>
      <c r="BL117" s="76"/>
      <c r="BM117" s="76"/>
      <c r="BN117" s="76"/>
      <c r="BO117" s="76"/>
      <c r="BP117" s="76"/>
      <c r="BQ117" s="76"/>
      <c r="BR117" s="76"/>
      <c r="BS117" s="76"/>
      <c r="BT117" s="76"/>
    </row>
    <row r="118" spans="3:72" x14ac:dyDescent="0.25">
      <c r="C118" s="135">
        <v>116</v>
      </c>
      <c r="D118" s="136"/>
      <c r="E118" s="153">
        <v>40.817663000000003</v>
      </c>
      <c r="F118" s="154">
        <v>-96.700037100000003</v>
      </c>
      <c r="G118" s="13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 t="s">
        <v>358</v>
      </c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  <c r="BF118" s="76"/>
      <c r="BG118" s="76"/>
      <c r="BH118" s="76"/>
      <c r="BI118" s="76"/>
      <c r="BJ118" s="76"/>
      <c r="BK118" s="76"/>
      <c r="BL118" s="76"/>
      <c r="BM118" s="76"/>
      <c r="BN118" s="76"/>
      <c r="BO118" s="76"/>
      <c r="BP118" s="76"/>
      <c r="BQ118" s="76"/>
      <c r="BR118" s="76"/>
      <c r="BS118" s="76"/>
      <c r="BT118" s="76"/>
    </row>
    <row r="119" spans="3:72" x14ac:dyDescent="0.25">
      <c r="C119" s="135">
        <v>117</v>
      </c>
      <c r="D119" s="136"/>
      <c r="E119" s="153">
        <v>40.817663000000003</v>
      </c>
      <c r="F119" s="154">
        <v>-96.700037100000003</v>
      </c>
      <c r="G119" s="13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 t="s">
        <v>358</v>
      </c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  <c r="BF119" s="76"/>
      <c r="BG119" s="76"/>
      <c r="BH119" s="76"/>
      <c r="BI119" s="76"/>
      <c r="BJ119" s="76"/>
      <c r="BK119" s="76"/>
      <c r="BL119" s="76"/>
      <c r="BM119" s="76"/>
      <c r="BN119" s="76"/>
      <c r="BO119" s="76"/>
      <c r="BP119" s="76"/>
      <c r="BQ119" s="76"/>
      <c r="BR119" s="76"/>
      <c r="BS119" s="76"/>
      <c r="BT119" s="76"/>
    </row>
    <row r="120" spans="3:72" x14ac:dyDescent="0.25">
      <c r="C120" s="135">
        <v>118</v>
      </c>
      <c r="D120" s="136"/>
      <c r="E120" s="153">
        <v>47.115026</v>
      </c>
      <c r="F120" s="154">
        <v>-88.545200399999999</v>
      </c>
      <c r="G120" s="13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 t="s">
        <v>358</v>
      </c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  <c r="BF120" s="76"/>
      <c r="BG120" s="76"/>
      <c r="BH120" s="76"/>
      <c r="BI120" s="76"/>
      <c r="BJ120" s="76"/>
      <c r="BK120" s="76"/>
      <c r="BL120" s="76"/>
      <c r="BM120" s="76"/>
      <c r="BN120" s="76"/>
      <c r="BO120" s="76"/>
      <c r="BP120" s="76"/>
      <c r="BQ120" s="76"/>
      <c r="BR120" s="76"/>
      <c r="BS120" s="76"/>
      <c r="BT120" s="76"/>
    </row>
    <row r="121" spans="3:72" x14ac:dyDescent="0.25">
      <c r="C121" s="135">
        <v>119</v>
      </c>
      <c r="D121" s="136"/>
      <c r="E121" s="153">
        <v>47.115026</v>
      </c>
      <c r="F121" s="154">
        <v>-88.545200399999999</v>
      </c>
      <c r="G121" s="13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 t="s">
        <v>358</v>
      </c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  <c r="BF121" s="76"/>
      <c r="BG121" s="76"/>
      <c r="BH121" s="76"/>
      <c r="BI121" s="76"/>
      <c r="BJ121" s="76"/>
      <c r="BK121" s="76"/>
      <c r="BL121" s="76"/>
      <c r="BM121" s="76"/>
      <c r="BN121" s="76"/>
      <c r="BO121" s="76"/>
      <c r="BP121" s="76"/>
      <c r="BQ121" s="76"/>
      <c r="BR121" s="76"/>
      <c r="BS121" s="76"/>
      <c r="BT121" s="76"/>
    </row>
    <row r="122" spans="3:72" x14ac:dyDescent="0.25">
      <c r="C122" s="135">
        <v>120</v>
      </c>
      <c r="D122" s="136"/>
      <c r="E122" s="153">
        <v>38.805311000000003</v>
      </c>
      <c r="F122" s="154">
        <v>-77.0559966</v>
      </c>
      <c r="G122" s="13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 t="s">
        <v>358</v>
      </c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6"/>
      <c r="BE122" s="76"/>
      <c r="BF122" s="76"/>
      <c r="BG122" s="76"/>
      <c r="BH122" s="76"/>
      <c r="BI122" s="76"/>
      <c r="BJ122" s="76"/>
      <c r="BK122" s="76"/>
      <c r="BL122" s="76"/>
      <c r="BM122" s="76"/>
      <c r="BN122" s="76"/>
      <c r="BO122" s="76"/>
      <c r="BP122" s="76"/>
      <c r="BQ122" s="76"/>
      <c r="BR122" s="76"/>
      <c r="BS122" s="76"/>
      <c r="BT122" s="76"/>
    </row>
    <row r="123" spans="3:72" x14ac:dyDescent="0.25">
      <c r="C123" s="135">
        <v>121</v>
      </c>
      <c r="D123" s="136"/>
      <c r="E123" s="153">
        <v>39.7508585</v>
      </c>
      <c r="F123" s="154">
        <v>-105.2238689</v>
      </c>
      <c r="G123" s="13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 t="s">
        <v>358</v>
      </c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  <c r="BF123" s="76"/>
      <c r="BG123" s="76"/>
      <c r="BH123" s="76"/>
      <c r="BI123" s="76"/>
      <c r="BJ123" s="76"/>
      <c r="BK123" s="76"/>
      <c r="BL123" s="76"/>
      <c r="BM123" s="76"/>
      <c r="BN123" s="76"/>
      <c r="BO123" s="76"/>
      <c r="BP123" s="76"/>
      <c r="BQ123" s="76"/>
      <c r="BR123" s="76"/>
      <c r="BS123" s="76"/>
      <c r="BT123" s="76"/>
    </row>
    <row r="124" spans="3:72" x14ac:dyDescent="0.25">
      <c r="C124" s="135">
        <v>122</v>
      </c>
      <c r="D124" s="136"/>
      <c r="E124" s="153">
        <v>39.7508585</v>
      </c>
      <c r="F124" s="154">
        <v>-105.2238689</v>
      </c>
      <c r="G124" s="13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 t="s">
        <v>358</v>
      </c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/>
      <c r="BE124" s="76"/>
      <c r="BF124" s="76"/>
      <c r="BG124" s="76"/>
      <c r="BH124" s="76"/>
      <c r="BI124" s="76"/>
      <c r="BJ124" s="76"/>
      <c r="BK124" s="76"/>
      <c r="BL124" s="76"/>
      <c r="BM124" s="76"/>
      <c r="BN124" s="76"/>
      <c r="BO124" s="76"/>
      <c r="BP124" s="76"/>
      <c r="BQ124" s="76"/>
      <c r="BR124" s="76"/>
      <c r="BS124" s="76"/>
      <c r="BT124" s="76"/>
    </row>
    <row r="125" spans="3:72" x14ac:dyDescent="0.25">
      <c r="C125" s="135">
        <v>123</v>
      </c>
      <c r="D125" s="136"/>
      <c r="E125" s="153">
        <v>39.7508585</v>
      </c>
      <c r="F125" s="154">
        <v>-105.2238689</v>
      </c>
      <c r="G125" s="13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 t="s">
        <v>358</v>
      </c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  <c r="BF125" s="76"/>
      <c r="BG125" s="76"/>
      <c r="BH125" s="76"/>
      <c r="BI125" s="76"/>
      <c r="BJ125" s="76"/>
      <c r="BK125" s="76"/>
      <c r="BL125" s="76"/>
      <c r="BM125" s="76"/>
      <c r="BN125" s="76"/>
      <c r="BO125" s="76"/>
      <c r="BP125" s="76"/>
      <c r="BQ125" s="76"/>
      <c r="BR125" s="76"/>
      <c r="BS125" s="76"/>
      <c r="BT125" s="76"/>
    </row>
    <row r="126" spans="3:72" x14ac:dyDescent="0.25">
      <c r="C126" s="135">
        <v>124</v>
      </c>
      <c r="D126" s="136"/>
      <c r="E126" s="153">
        <v>39.7407258</v>
      </c>
      <c r="F126" s="154">
        <v>-105.16861470000001</v>
      </c>
      <c r="G126" s="13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 t="s">
        <v>358</v>
      </c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  <c r="BF126" s="76"/>
      <c r="BG126" s="76"/>
      <c r="BH126" s="76"/>
      <c r="BI126" s="76"/>
      <c r="BJ126" s="76"/>
      <c r="BK126" s="76"/>
      <c r="BL126" s="76"/>
      <c r="BM126" s="76"/>
      <c r="BN126" s="76"/>
      <c r="BO126" s="76"/>
      <c r="BP126" s="76"/>
      <c r="BQ126" s="76"/>
      <c r="BR126" s="76"/>
      <c r="BS126" s="76"/>
      <c r="BT126" s="76"/>
    </row>
    <row r="127" spans="3:72" x14ac:dyDescent="0.25">
      <c r="C127" s="135">
        <v>125</v>
      </c>
      <c r="D127" s="136"/>
      <c r="E127" s="153">
        <v>39.7407258</v>
      </c>
      <c r="F127" s="154">
        <v>-105.16861470000001</v>
      </c>
      <c r="G127" s="13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 t="s">
        <v>358</v>
      </c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  <c r="BF127" s="76"/>
      <c r="BG127" s="76"/>
      <c r="BH127" s="76"/>
      <c r="BI127" s="76"/>
      <c r="BJ127" s="76"/>
      <c r="BK127" s="76"/>
      <c r="BL127" s="76"/>
      <c r="BM127" s="76"/>
      <c r="BN127" s="76"/>
      <c r="BO127" s="76"/>
      <c r="BP127" s="76"/>
      <c r="BQ127" s="76"/>
      <c r="BR127" s="76"/>
      <c r="BS127" s="76"/>
      <c r="BT127" s="76"/>
    </row>
    <row r="128" spans="3:72" x14ac:dyDescent="0.25">
      <c r="C128" s="135">
        <v>126</v>
      </c>
      <c r="D128" s="136"/>
      <c r="E128" s="153">
        <v>35.0995323</v>
      </c>
      <c r="F128" s="154">
        <v>-92.440677300000004</v>
      </c>
      <c r="G128" s="13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 t="s">
        <v>358</v>
      </c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  <c r="BF128" s="76"/>
      <c r="BG128" s="76"/>
      <c r="BH128" s="76"/>
      <c r="BI128" s="76"/>
      <c r="BJ128" s="76"/>
      <c r="BK128" s="76"/>
      <c r="BL128" s="76"/>
      <c r="BM128" s="76"/>
      <c r="BN128" s="76"/>
      <c r="BO128" s="76"/>
      <c r="BP128" s="76"/>
      <c r="BQ128" s="76"/>
      <c r="BR128" s="76"/>
      <c r="BS128" s="76"/>
      <c r="BT128" s="76"/>
    </row>
    <row r="129" spans="3:72" x14ac:dyDescent="0.25">
      <c r="C129" s="135">
        <v>127</v>
      </c>
      <c r="D129" s="136"/>
      <c r="E129" s="153">
        <v>35.0995323</v>
      </c>
      <c r="F129" s="154">
        <v>-92.440677300000004</v>
      </c>
      <c r="G129" s="13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 t="s">
        <v>358</v>
      </c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  <c r="BF129" s="76"/>
      <c r="BG129" s="76"/>
      <c r="BH129" s="76"/>
      <c r="BI129" s="76"/>
      <c r="BJ129" s="76"/>
      <c r="BK129" s="76"/>
      <c r="BL129" s="76"/>
      <c r="BM129" s="76"/>
      <c r="BN129" s="76"/>
      <c r="BO129" s="76"/>
      <c r="BP129" s="76"/>
      <c r="BQ129" s="76"/>
      <c r="BR129" s="76"/>
      <c r="BS129" s="76"/>
      <c r="BT129" s="76"/>
    </row>
    <row r="130" spans="3:72" x14ac:dyDescent="0.25">
      <c r="C130" s="135">
        <v>128</v>
      </c>
      <c r="D130" s="136"/>
      <c r="E130" s="153">
        <v>38.8777136</v>
      </c>
      <c r="F130" s="154">
        <v>-94.774397199999996</v>
      </c>
      <c r="G130" s="13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 t="s">
        <v>358</v>
      </c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/>
      <c r="BC130" s="76"/>
      <c r="BD130" s="76"/>
      <c r="BE130" s="76"/>
      <c r="BF130" s="76"/>
      <c r="BG130" s="76"/>
      <c r="BH130" s="76"/>
      <c r="BI130" s="76"/>
      <c r="BJ130" s="76"/>
      <c r="BK130" s="76"/>
      <c r="BL130" s="76"/>
      <c r="BM130" s="76"/>
      <c r="BN130" s="76"/>
      <c r="BO130" s="76"/>
      <c r="BP130" s="76"/>
      <c r="BQ130" s="76"/>
      <c r="BR130" s="76"/>
      <c r="BS130" s="76"/>
      <c r="BT130" s="76"/>
    </row>
    <row r="131" spans="3:72" x14ac:dyDescent="0.25">
      <c r="C131" s="135">
        <v>129</v>
      </c>
      <c r="D131" s="136"/>
      <c r="E131" s="153">
        <v>44.895567399999997</v>
      </c>
      <c r="F131" s="154">
        <v>-68.673553400000003</v>
      </c>
      <c r="G131" s="13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 t="s">
        <v>358</v>
      </c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  <c r="BF131" s="76"/>
      <c r="BG131" s="76"/>
      <c r="BH131" s="76"/>
      <c r="BI131" s="76"/>
      <c r="BJ131" s="76"/>
      <c r="BK131" s="76"/>
      <c r="BL131" s="76"/>
      <c r="BM131" s="76"/>
      <c r="BN131" s="76"/>
      <c r="BO131" s="76"/>
      <c r="BP131" s="76"/>
      <c r="BQ131" s="76"/>
      <c r="BR131" s="76"/>
      <c r="BS131" s="76"/>
      <c r="BT131" s="76"/>
    </row>
    <row r="132" spans="3:72" x14ac:dyDescent="0.25">
      <c r="C132" s="135">
        <v>130</v>
      </c>
      <c r="D132" s="136"/>
      <c r="E132" s="153">
        <v>40.698721499999998</v>
      </c>
      <c r="F132" s="154">
        <v>-75.211763000000005</v>
      </c>
      <c r="G132" s="13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 t="s">
        <v>358</v>
      </c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  <c r="AX132" s="76"/>
      <c r="AY132" s="76"/>
      <c r="AZ132" s="76"/>
      <c r="BA132" s="76"/>
      <c r="BB132" s="76"/>
      <c r="BC132" s="76"/>
      <c r="BD132" s="76"/>
      <c r="BE132" s="76"/>
      <c r="BF132" s="76"/>
      <c r="BG132" s="76"/>
      <c r="BH132" s="76"/>
      <c r="BI132" s="76"/>
      <c r="BJ132" s="76"/>
      <c r="BK132" s="76"/>
      <c r="BL132" s="76"/>
      <c r="BM132" s="76"/>
      <c r="BN132" s="76"/>
      <c r="BO132" s="76"/>
      <c r="BP132" s="76"/>
      <c r="BQ132" s="76"/>
      <c r="BR132" s="76"/>
      <c r="BS132" s="76"/>
      <c r="BT132" s="76"/>
    </row>
    <row r="133" spans="3:72" x14ac:dyDescent="0.25">
      <c r="C133" s="135">
        <v>131</v>
      </c>
      <c r="D133" s="136"/>
      <c r="E133" s="153">
        <v>38.90813</v>
      </c>
      <c r="F133" s="154">
        <v>-77.040278999999998</v>
      </c>
      <c r="G133" s="13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 t="s">
        <v>358</v>
      </c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  <c r="AX133" s="76"/>
      <c r="AY133" s="76"/>
      <c r="AZ133" s="76"/>
      <c r="BA133" s="76"/>
      <c r="BB133" s="76"/>
      <c r="BC133" s="76"/>
      <c r="BD133" s="76"/>
      <c r="BE133" s="76"/>
      <c r="BF133" s="76"/>
      <c r="BG133" s="76"/>
      <c r="BH133" s="76"/>
      <c r="BI133" s="76"/>
      <c r="BJ133" s="76"/>
      <c r="BK133" s="76"/>
      <c r="BL133" s="76"/>
      <c r="BM133" s="76"/>
      <c r="BN133" s="76"/>
      <c r="BO133" s="76"/>
      <c r="BP133" s="76"/>
      <c r="BQ133" s="76"/>
      <c r="BR133" s="76"/>
      <c r="BS133" s="76"/>
      <c r="BT133" s="76"/>
    </row>
    <row r="134" spans="3:72" x14ac:dyDescent="0.25">
      <c r="C134" s="135">
        <v>132</v>
      </c>
      <c r="D134" s="136"/>
      <c r="E134" s="155">
        <v>44.983166500000003</v>
      </c>
      <c r="F134" s="156">
        <v>-93.225847599999994</v>
      </c>
      <c r="G134" s="142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 t="s">
        <v>358</v>
      </c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  <c r="BF134" s="76"/>
      <c r="BG134" s="76"/>
      <c r="BH134" s="76"/>
      <c r="BI134" s="76"/>
      <c r="BJ134" s="76"/>
      <c r="BK134" s="76"/>
      <c r="BL134" s="76"/>
      <c r="BM134" s="76"/>
      <c r="BN134" s="76"/>
      <c r="BO134" s="76"/>
      <c r="BP134" s="76"/>
      <c r="BQ134" s="76"/>
      <c r="BR134" s="76"/>
      <c r="BS134" s="76"/>
      <c r="BT134" s="76"/>
    </row>
    <row r="135" spans="3:72" x14ac:dyDescent="0.25">
      <c r="C135" s="135">
        <v>133</v>
      </c>
      <c r="D135" s="136"/>
      <c r="E135" s="153">
        <v>35.612105300000003</v>
      </c>
      <c r="F135" s="154">
        <v>-82.563284899999999</v>
      </c>
      <c r="G135" s="13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 t="s">
        <v>358</v>
      </c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  <c r="BF135" s="76"/>
      <c r="BG135" s="76"/>
      <c r="BH135" s="76"/>
      <c r="BI135" s="76"/>
      <c r="BJ135" s="76"/>
      <c r="BK135" s="76"/>
      <c r="BL135" s="76"/>
      <c r="BM135" s="76"/>
      <c r="BN135" s="76"/>
      <c r="BO135" s="76"/>
      <c r="BP135" s="76"/>
      <c r="BQ135" s="76"/>
      <c r="BR135" s="76"/>
      <c r="BS135" s="76"/>
      <c r="BT135" s="76"/>
    </row>
    <row r="136" spans="3:72" x14ac:dyDescent="0.25">
      <c r="C136" s="135">
        <v>134</v>
      </c>
      <c r="D136" s="136"/>
      <c r="E136" s="153">
        <v>38.892378700000002</v>
      </c>
      <c r="F136" s="154">
        <v>-77.048395900000003</v>
      </c>
      <c r="G136" s="13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 t="s">
        <v>358</v>
      </c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  <c r="BF136" s="76"/>
      <c r="BG136" s="76"/>
      <c r="BH136" s="76"/>
      <c r="BI136" s="76"/>
      <c r="BJ136" s="76"/>
      <c r="BK136" s="76"/>
      <c r="BL136" s="76"/>
      <c r="BM136" s="76"/>
      <c r="BN136" s="76"/>
      <c r="BO136" s="76"/>
      <c r="BP136" s="76"/>
      <c r="BQ136" s="76"/>
      <c r="BR136" s="76"/>
      <c r="BS136" s="76"/>
      <c r="BT136" s="76"/>
    </row>
    <row r="137" spans="3:72" x14ac:dyDescent="0.25">
      <c r="C137" s="135">
        <v>135</v>
      </c>
      <c r="D137" s="136"/>
      <c r="E137" s="153">
        <v>39.109959400000001</v>
      </c>
      <c r="F137" s="154">
        <v>-77.556523499999997</v>
      </c>
      <c r="G137" s="13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 t="s">
        <v>358</v>
      </c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  <c r="BF137" s="76"/>
      <c r="BG137" s="76"/>
      <c r="BH137" s="76"/>
      <c r="BI137" s="76"/>
      <c r="BJ137" s="76"/>
      <c r="BK137" s="76"/>
      <c r="BL137" s="76"/>
      <c r="BM137" s="76"/>
      <c r="BN137" s="76"/>
      <c r="BO137" s="76"/>
      <c r="BP137" s="76"/>
      <c r="BQ137" s="76"/>
      <c r="BR137" s="76"/>
      <c r="BS137" s="76"/>
      <c r="BT137" s="76"/>
    </row>
    <row r="138" spans="3:72" x14ac:dyDescent="0.25">
      <c r="C138" s="135">
        <v>136</v>
      </c>
      <c r="D138" s="136"/>
      <c r="E138" s="153">
        <v>35.227164799999997</v>
      </c>
      <c r="F138" s="154">
        <v>-80.846341699999996</v>
      </c>
      <c r="G138" s="13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 t="s">
        <v>358</v>
      </c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  <c r="BF138" s="76"/>
      <c r="BG138" s="76"/>
      <c r="BH138" s="76"/>
      <c r="BI138" s="76"/>
      <c r="BJ138" s="76"/>
      <c r="BK138" s="76"/>
      <c r="BL138" s="76"/>
      <c r="BM138" s="76"/>
      <c r="BN138" s="76"/>
      <c r="BO138" s="76"/>
      <c r="BP138" s="76"/>
      <c r="BQ138" s="76"/>
      <c r="BR138" s="76"/>
      <c r="BS138" s="76"/>
      <c r="BT138" s="76"/>
    </row>
    <row r="139" spans="3:72" x14ac:dyDescent="0.25">
      <c r="C139" s="135">
        <v>137</v>
      </c>
      <c r="D139" s="136"/>
      <c r="E139" s="153">
        <v>42.698954100000002</v>
      </c>
      <c r="F139" s="154">
        <v>-83.249513399999998</v>
      </c>
      <c r="G139" s="13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 t="s">
        <v>358</v>
      </c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  <c r="BF139" s="76"/>
      <c r="BG139" s="76"/>
      <c r="BH139" s="76"/>
      <c r="BI139" s="76"/>
      <c r="BJ139" s="76"/>
      <c r="BK139" s="76"/>
      <c r="BL139" s="76"/>
      <c r="BM139" s="76"/>
      <c r="BN139" s="76"/>
      <c r="BO139" s="76"/>
      <c r="BP139" s="76"/>
      <c r="BQ139" s="76"/>
      <c r="BR139" s="76"/>
      <c r="BS139" s="76"/>
      <c r="BT139" s="76"/>
    </row>
    <row r="140" spans="3:72" x14ac:dyDescent="0.25">
      <c r="C140" s="135">
        <v>138</v>
      </c>
      <c r="D140" s="136"/>
      <c r="E140" s="153">
        <v>38.892918999999999</v>
      </c>
      <c r="F140" s="154">
        <v>-77.050562999999997</v>
      </c>
      <c r="G140" s="13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 t="s">
        <v>358</v>
      </c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  <c r="BF140" s="76"/>
      <c r="BG140" s="76"/>
      <c r="BH140" s="76"/>
      <c r="BI140" s="76"/>
      <c r="BJ140" s="76"/>
      <c r="BK140" s="76"/>
      <c r="BL140" s="76"/>
      <c r="BM140" s="76"/>
      <c r="BN140" s="76"/>
      <c r="BO140" s="76"/>
      <c r="BP140" s="76"/>
      <c r="BQ140" s="76"/>
      <c r="BR140" s="76"/>
      <c r="BS140" s="76"/>
      <c r="BT140" s="76"/>
    </row>
    <row r="141" spans="3:72" x14ac:dyDescent="0.25">
      <c r="C141" s="135">
        <v>139</v>
      </c>
      <c r="D141" s="136"/>
      <c r="E141" s="153">
        <v>38.892918999999999</v>
      </c>
      <c r="F141" s="154">
        <v>-77.050562999999997</v>
      </c>
      <c r="G141" s="13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 t="s">
        <v>358</v>
      </c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6"/>
      <c r="BE141" s="76"/>
      <c r="BF141" s="76"/>
      <c r="BG141" s="76"/>
      <c r="BH141" s="76"/>
      <c r="BI141" s="76"/>
      <c r="BJ141" s="76"/>
      <c r="BK141" s="76"/>
      <c r="BL141" s="76"/>
      <c r="BM141" s="76"/>
      <c r="BN141" s="76"/>
      <c r="BO141" s="76"/>
      <c r="BP141" s="76"/>
      <c r="BQ141" s="76"/>
      <c r="BR141" s="76"/>
      <c r="BS141" s="76"/>
      <c r="BT141" s="76"/>
    </row>
    <row r="142" spans="3:72" x14ac:dyDescent="0.25">
      <c r="C142" s="135">
        <v>140</v>
      </c>
      <c r="D142" s="136"/>
      <c r="E142" s="153">
        <v>38.898505</v>
      </c>
      <c r="F142" s="154">
        <v>-77.010474900000006</v>
      </c>
      <c r="G142" s="13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 t="s">
        <v>358</v>
      </c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  <c r="BF142" s="76"/>
      <c r="BG142" s="76"/>
      <c r="BH142" s="76"/>
      <c r="BI142" s="76"/>
      <c r="BJ142" s="76"/>
      <c r="BK142" s="76"/>
      <c r="BL142" s="76"/>
      <c r="BM142" s="76"/>
      <c r="BN142" s="76"/>
      <c r="BO142" s="76"/>
      <c r="BP142" s="76"/>
      <c r="BQ142" s="76"/>
      <c r="BR142" s="76"/>
      <c r="BS142" s="76"/>
      <c r="BT142" s="76"/>
    </row>
    <row r="143" spans="3:72" x14ac:dyDescent="0.25">
      <c r="C143" s="135">
        <v>141</v>
      </c>
      <c r="D143" s="136"/>
      <c r="E143" s="153">
        <v>40.606834800000001</v>
      </c>
      <c r="F143" s="154">
        <v>-75.380169300000006</v>
      </c>
      <c r="G143" s="13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 t="s">
        <v>358</v>
      </c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  <c r="BF143" s="76"/>
      <c r="BG143" s="76"/>
      <c r="BH143" s="76"/>
      <c r="BI143" s="76"/>
      <c r="BJ143" s="76"/>
      <c r="BK143" s="76"/>
      <c r="BL143" s="76"/>
      <c r="BM143" s="76"/>
      <c r="BN143" s="76"/>
      <c r="BO143" s="76"/>
      <c r="BP143" s="76"/>
      <c r="BQ143" s="76"/>
      <c r="BR143" s="76"/>
      <c r="BS143" s="76"/>
      <c r="BT143" s="76"/>
    </row>
    <row r="144" spans="3:72" x14ac:dyDescent="0.25">
      <c r="C144" s="135">
        <v>142</v>
      </c>
      <c r="D144" s="136"/>
      <c r="E144" s="153">
        <v>40.006103000000003</v>
      </c>
      <c r="F144" s="154">
        <v>-83.016536000000002</v>
      </c>
      <c r="G144" s="13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 t="s">
        <v>358</v>
      </c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  <c r="BF144" s="76"/>
      <c r="BG144" s="76"/>
      <c r="BH144" s="76"/>
      <c r="BI144" s="76"/>
      <c r="BJ144" s="76"/>
      <c r="BK144" s="76"/>
      <c r="BL144" s="76"/>
      <c r="BM144" s="76"/>
      <c r="BN144" s="76"/>
      <c r="BO144" s="76"/>
      <c r="BP144" s="76"/>
      <c r="BQ144" s="76"/>
      <c r="BR144" s="76"/>
      <c r="BS144" s="76"/>
      <c r="BT144" s="76"/>
    </row>
    <row r="145" spans="3:72" x14ac:dyDescent="0.25">
      <c r="C145" s="135">
        <v>143</v>
      </c>
      <c r="D145" s="136"/>
      <c r="E145" s="153">
        <v>40.006103000000003</v>
      </c>
      <c r="F145" s="154">
        <v>-83.016536000000002</v>
      </c>
      <c r="G145" s="13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 t="s">
        <v>358</v>
      </c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  <c r="BF145" s="76"/>
      <c r="BG145" s="76"/>
      <c r="BH145" s="76"/>
      <c r="BI145" s="76"/>
      <c r="BJ145" s="76"/>
      <c r="BK145" s="76"/>
      <c r="BL145" s="76"/>
      <c r="BM145" s="76"/>
      <c r="BN145" s="76"/>
      <c r="BO145" s="76"/>
      <c r="BP145" s="76"/>
      <c r="BQ145" s="76"/>
      <c r="BR145" s="76"/>
      <c r="BS145" s="76"/>
      <c r="BT145" s="76"/>
    </row>
    <row r="146" spans="3:72" x14ac:dyDescent="0.25">
      <c r="C146" s="135">
        <v>144</v>
      </c>
      <c r="D146" s="136"/>
      <c r="E146" s="153">
        <v>41.6150284</v>
      </c>
      <c r="F146" s="154">
        <v>-81.473633699999993</v>
      </c>
      <c r="G146" s="13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 t="s">
        <v>358</v>
      </c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  <c r="BF146" s="76"/>
      <c r="BG146" s="76"/>
      <c r="BH146" s="76"/>
      <c r="BI146" s="76"/>
      <c r="BJ146" s="76"/>
      <c r="BK146" s="76"/>
      <c r="BL146" s="76"/>
      <c r="BM146" s="76"/>
      <c r="BN146" s="76"/>
      <c r="BO146" s="76"/>
      <c r="BP146" s="76"/>
      <c r="BQ146" s="76"/>
      <c r="BR146" s="76"/>
      <c r="BS146" s="76"/>
      <c r="BT146" s="76"/>
    </row>
    <row r="147" spans="3:72" x14ac:dyDescent="0.25">
      <c r="C147" s="135">
        <v>145</v>
      </c>
      <c r="D147" s="136"/>
      <c r="E147" s="153">
        <v>42.339462900000001</v>
      </c>
      <c r="F147" s="154">
        <v>-71.088528600000004</v>
      </c>
      <c r="G147" s="13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 t="s">
        <v>358</v>
      </c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  <c r="BF147" s="76"/>
      <c r="BG147" s="76"/>
      <c r="BH147" s="76"/>
      <c r="BI147" s="76"/>
      <c r="BJ147" s="76"/>
      <c r="BK147" s="76"/>
      <c r="BL147" s="76"/>
      <c r="BM147" s="76"/>
      <c r="BN147" s="76"/>
      <c r="BO147" s="76"/>
      <c r="BP147" s="76"/>
      <c r="BQ147" s="76"/>
      <c r="BR147" s="76"/>
      <c r="BS147" s="76"/>
      <c r="BT147" s="76"/>
    </row>
    <row r="148" spans="3:72" x14ac:dyDescent="0.25">
      <c r="C148" s="135">
        <v>146</v>
      </c>
      <c r="D148" s="136"/>
      <c r="E148" s="153">
        <v>42.339462900000001</v>
      </c>
      <c r="F148" s="154">
        <v>-71.088528600000004</v>
      </c>
      <c r="G148" s="13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 t="s">
        <v>358</v>
      </c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  <c r="BF148" s="76"/>
      <c r="BG148" s="76"/>
      <c r="BH148" s="76"/>
      <c r="BI148" s="76"/>
      <c r="BJ148" s="76"/>
      <c r="BK148" s="76"/>
      <c r="BL148" s="76"/>
      <c r="BM148" s="76"/>
      <c r="BN148" s="76"/>
      <c r="BO148" s="76"/>
      <c r="BP148" s="76"/>
      <c r="BQ148" s="76"/>
      <c r="BR148" s="76"/>
      <c r="BS148" s="76"/>
      <c r="BT148" s="76"/>
    </row>
    <row r="149" spans="3:72" x14ac:dyDescent="0.25">
      <c r="C149" s="135">
        <v>147</v>
      </c>
      <c r="D149" s="136"/>
      <c r="E149" s="153">
        <v>43.1108014</v>
      </c>
      <c r="F149" s="154">
        <v>-70.750540299999997</v>
      </c>
      <c r="G149" s="13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 t="s">
        <v>358</v>
      </c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  <c r="AX149" s="76"/>
      <c r="AY149" s="76"/>
      <c r="AZ149" s="76"/>
      <c r="BA149" s="76"/>
      <c r="BB149" s="76"/>
      <c r="BC149" s="76"/>
      <c r="BD149" s="76"/>
      <c r="BE149" s="76"/>
      <c r="BF149" s="76"/>
      <c r="BG149" s="76"/>
      <c r="BH149" s="76"/>
      <c r="BI149" s="76"/>
      <c r="BJ149" s="76"/>
      <c r="BK149" s="76"/>
      <c r="BL149" s="76"/>
      <c r="BM149" s="76"/>
      <c r="BN149" s="76"/>
      <c r="BO149" s="76"/>
      <c r="BP149" s="76"/>
      <c r="BQ149" s="76"/>
      <c r="BR149" s="76"/>
      <c r="BS149" s="76"/>
      <c r="BT149" s="76"/>
    </row>
    <row r="150" spans="3:72" x14ac:dyDescent="0.25">
      <c r="C150" s="135">
        <v>148</v>
      </c>
      <c r="D150" s="136"/>
      <c r="E150" s="153">
        <v>43.1108014</v>
      </c>
      <c r="F150" s="154">
        <v>-70.750540299999997</v>
      </c>
      <c r="G150" s="13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 t="s">
        <v>358</v>
      </c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  <c r="BF150" s="76"/>
      <c r="BG150" s="76"/>
      <c r="BH150" s="76"/>
      <c r="BI150" s="76"/>
      <c r="BJ150" s="76"/>
      <c r="BK150" s="76"/>
      <c r="BL150" s="76"/>
      <c r="BM150" s="76"/>
      <c r="BN150" s="76"/>
      <c r="BO150" s="76"/>
      <c r="BP150" s="76"/>
      <c r="BQ150" s="76"/>
      <c r="BR150" s="76"/>
      <c r="BS150" s="76"/>
      <c r="BT150" s="76"/>
    </row>
    <row r="151" spans="3:72" x14ac:dyDescent="0.25">
      <c r="C151" s="135">
        <v>149</v>
      </c>
      <c r="D151" s="136"/>
      <c r="E151" s="153">
        <v>43.1108014</v>
      </c>
      <c r="F151" s="154">
        <v>-70.750540299999997</v>
      </c>
      <c r="G151" s="13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 t="s">
        <v>358</v>
      </c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  <c r="BC151" s="76"/>
      <c r="BD151" s="76"/>
      <c r="BE151" s="76"/>
      <c r="BF151" s="76"/>
      <c r="BG151" s="76"/>
      <c r="BH151" s="76"/>
      <c r="BI151" s="76"/>
      <c r="BJ151" s="76"/>
      <c r="BK151" s="76"/>
      <c r="BL151" s="76"/>
      <c r="BM151" s="76"/>
      <c r="BN151" s="76"/>
      <c r="BO151" s="76"/>
      <c r="BP151" s="76"/>
      <c r="BQ151" s="76"/>
      <c r="BR151" s="76"/>
      <c r="BS151" s="76"/>
      <c r="BT151" s="76"/>
    </row>
    <row r="152" spans="3:72" x14ac:dyDescent="0.25">
      <c r="C152" s="135">
        <v>150</v>
      </c>
      <c r="D152" s="136"/>
      <c r="E152" s="153">
        <v>43.1108014</v>
      </c>
      <c r="F152" s="154">
        <v>-70.750540299999997</v>
      </c>
      <c r="G152" s="13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 t="s">
        <v>358</v>
      </c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6"/>
      <c r="AW152" s="76"/>
      <c r="AX152" s="76"/>
      <c r="AY152" s="76"/>
      <c r="AZ152" s="76"/>
      <c r="BA152" s="76"/>
      <c r="BB152" s="76"/>
      <c r="BC152" s="76"/>
      <c r="BD152" s="76"/>
      <c r="BE152" s="76"/>
      <c r="BF152" s="76"/>
      <c r="BG152" s="76"/>
      <c r="BH152" s="76"/>
      <c r="BI152" s="76"/>
      <c r="BJ152" s="76"/>
      <c r="BK152" s="76"/>
      <c r="BL152" s="76"/>
      <c r="BM152" s="76"/>
      <c r="BN152" s="76"/>
      <c r="BO152" s="76"/>
      <c r="BP152" s="76"/>
      <c r="BQ152" s="76"/>
      <c r="BR152" s="76"/>
      <c r="BS152" s="76"/>
      <c r="BT152" s="76"/>
    </row>
    <row r="153" spans="3:72" x14ac:dyDescent="0.25">
      <c r="C153" s="135">
        <v>151</v>
      </c>
      <c r="D153" s="136"/>
      <c r="E153" s="153">
        <v>43.1108014</v>
      </c>
      <c r="F153" s="154">
        <v>-70.750540299999997</v>
      </c>
      <c r="G153" s="13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 t="s">
        <v>358</v>
      </c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  <c r="BF153" s="76"/>
      <c r="BG153" s="76"/>
      <c r="BH153" s="76"/>
      <c r="BI153" s="76"/>
      <c r="BJ153" s="76"/>
      <c r="BK153" s="76"/>
      <c r="BL153" s="76"/>
      <c r="BM153" s="76"/>
      <c r="BN153" s="76"/>
      <c r="BO153" s="76"/>
      <c r="BP153" s="76"/>
      <c r="BQ153" s="76"/>
      <c r="BR153" s="76"/>
      <c r="BS153" s="76"/>
      <c r="BT153" s="76"/>
    </row>
    <row r="154" spans="3:72" x14ac:dyDescent="0.25">
      <c r="C154" s="135">
        <v>152</v>
      </c>
      <c r="D154" s="136"/>
      <c r="E154" s="153">
        <v>43.1108014</v>
      </c>
      <c r="F154" s="154">
        <v>-70.750540299999997</v>
      </c>
      <c r="G154" s="13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 t="s">
        <v>358</v>
      </c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  <c r="AX154" s="76"/>
      <c r="AY154" s="76"/>
      <c r="AZ154" s="76"/>
      <c r="BA154" s="76"/>
      <c r="BB154" s="76"/>
      <c r="BC154" s="76"/>
      <c r="BD154" s="76"/>
      <c r="BE154" s="76"/>
      <c r="BF154" s="76"/>
      <c r="BG154" s="76"/>
      <c r="BH154" s="76"/>
      <c r="BI154" s="76"/>
      <c r="BJ154" s="76"/>
      <c r="BK154" s="76"/>
      <c r="BL154" s="76"/>
      <c r="BM154" s="76"/>
      <c r="BN154" s="76"/>
      <c r="BO154" s="76"/>
      <c r="BP154" s="76"/>
      <c r="BQ154" s="76"/>
      <c r="BR154" s="76"/>
      <c r="BS154" s="76"/>
      <c r="BT154" s="76"/>
    </row>
    <row r="155" spans="3:72" x14ac:dyDescent="0.25">
      <c r="C155" s="135">
        <v>153</v>
      </c>
      <c r="D155" s="136"/>
      <c r="E155" s="153">
        <v>35.244401799999999</v>
      </c>
      <c r="F155" s="154">
        <v>-120.672275</v>
      </c>
      <c r="G155" s="13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 t="s">
        <v>358</v>
      </c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6"/>
      <c r="BE155" s="76"/>
      <c r="BF155" s="76"/>
      <c r="BG155" s="76"/>
      <c r="BH155" s="76"/>
      <c r="BI155" s="76"/>
      <c r="BJ155" s="76"/>
      <c r="BK155" s="76"/>
      <c r="BL155" s="76"/>
      <c r="BM155" s="76"/>
      <c r="BN155" s="76"/>
      <c r="BO155" s="76"/>
      <c r="BP155" s="76"/>
      <c r="BQ155" s="76"/>
      <c r="BR155" s="76"/>
      <c r="BS155" s="76"/>
      <c r="BT155" s="76"/>
    </row>
    <row r="156" spans="3:72" x14ac:dyDescent="0.25">
      <c r="C156" s="135">
        <v>154</v>
      </c>
      <c r="D156" s="136"/>
      <c r="E156" s="153">
        <v>39.563648200000003</v>
      </c>
      <c r="F156" s="154">
        <v>-84.231724299999996</v>
      </c>
      <c r="G156" s="13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 t="s">
        <v>358</v>
      </c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  <c r="BF156" s="76"/>
      <c r="BG156" s="76"/>
      <c r="BH156" s="76"/>
      <c r="BI156" s="76"/>
      <c r="BJ156" s="76"/>
      <c r="BK156" s="76"/>
      <c r="BL156" s="76"/>
      <c r="BM156" s="76"/>
      <c r="BN156" s="76"/>
      <c r="BO156" s="76"/>
      <c r="BP156" s="76"/>
      <c r="BQ156" s="76"/>
      <c r="BR156" s="76"/>
      <c r="BS156" s="76"/>
      <c r="BT156" s="76"/>
    </row>
    <row r="157" spans="3:72" x14ac:dyDescent="0.25">
      <c r="C157" s="135">
        <v>155</v>
      </c>
      <c r="D157" s="136"/>
      <c r="E157" s="153">
        <v>30.618675400000001</v>
      </c>
      <c r="F157" s="154">
        <v>-96.336455099999995</v>
      </c>
      <c r="G157" s="13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 t="s">
        <v>358</v>
      </c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6"/>
      <c r="BE157" s="76"/>
      <c r="BF157" s="76"/>
      <c r="BG157" s="76"/>
      <c r="BH157" s="76"/>
      <c r="BI157" s="76"/>
      <c r="BJ157" s="76"/>
      <c r="BK157" s="76"/>
      <c r="BL157" s="76"/>
      <c r="BM157" s="76"/>
      <c r="BN157" s="76"/>
      <c r="BO157" s="76"/>
      <c r="BP157" s="76"/>
      <c r="BQ157" s="76"/>
      <c r="BR157" s="76"/>
      <c r="BS157" s="76"/>
      <c r="BT157" s="76"/>
    </row>
    <row r="158" spans="3:72" x14ac:dyDescent="0.25">
      <c r="C158" s="135">
        <v>156</v>
      </c>
      <c r="D158" s="136"/>
      <c r="E158" s="153">
        <v>33.452956999999998</v>
      </c>
      <c r="F158" s="154">
        <v>-112.07345119999999</v>
      </c>
      <c r="G158" s="13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 t="s">
        <v>358</v>
      </c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  <c r="BF158" s="76"/>
      <c r="BG158" s="76"/>
      <c r="BH158" s="76"/>
      <c r="BI158" s="76"/>
      <c r="BJ158" s="76"/>
      <c r="BK158" s="76"/>
      <c r="BL158" s="76"/>
      <c r="BM158" s="76"/>
      <c r="BN158" s="76"/>
      <c r="BO158" s="76"/>
      <c r="BP158" s="76"/>
      <c r="BQ158" s="76"/>
      <c r="BR158" s="76"/>
      <c r="BS158" s="76"/>
      <c r="BT158" s="76"/>
    </row>
    <row r="159" spans="3:72" x14ac:dyDescent="0.25">
      <c r="C159" s="135">
        <v>157</v>
      </c>
      <c r="D159" s="136"/>
      <c r="E159" s="153">
        <v>33.452956999999998</v>
      </c>
      <c r="F159" s="154">
        <v>-112.07345119999999</v>
      </c>
      <c r="G159" s="13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 t="s">
        <v>358</v>
      </c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  <c r="BF159" s="76"/>
      <c r="BG159" s="76"/>
      <c r="BH159" s="76"/>
      <c r="BI159" s="76"/>
      <c r="BJ159" s="76"/>
      <c r="BK159" s="76"/>
      <c r="BL159" s="76"/>
      <c r="BM159" s="76"/>
      <c r="BN159" s="76"/>
      <c r="BO159" s="76"/>
      <c r="BP159" s="76"/>
      <c r="BQ159" s="76"/>
      <c r="BR159" s="76"/>
      <c r="BS159" s="76"/>
      <c r="BT159" s="76"/>
    </row>
    <row r="160" spans="3:72" x14ac:dyDescent="0.25">
      <c r="C160" s="135">
        <v>158</v>
      </c>
      <c r="D160" s="136"/>
      <c r="E160" s="153">
        <v>40.444389999999999</v>
      </c>
      <c r="F160" s="154">
        <v>-79.953413299999994</v>
      </c>
      <c r="G160" s="13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 t="s">
        <v>358</v>
      </c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  <c r="BF160" s="76"/>
      <c r="BG160" s="76"/>
      <c r="BH160" s="76"/>
      <c r="BI160" s="76"/>
      <c r="BJ160" s="76"/>
      <c r="BK160" s="76"/>
      <c r="BL160" s="76"/>
      <c r="BM160" s="76"/>
      <c r="BN160" s="76"/>
      <c r="BO160" s="76"/>
      <c r="BP160" s="76"/>
      <c r="BQ160" s="76"/>
      <c r="BR160" s="76"/>
      <c r="BS160" s="76"/>
      <c r="BT160" s="76"/>
    </row>
    <row r="161" spans="3:72" x14ac:dyDescent="0.25">
      <c r="C161" s="135">
        <v>159</v>
      </c>
      <c r="D161" s="136"/>
      <c r="E161" s="153">
        <v>40.444389999999999</v>
      </c>
      <c r="F161" s="154">
        <v>-79.953413299999994</v>
      </c>
      <c r="G161" s="13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 t="s">
        <v>358</v>
      </c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  <c r="BF161" s="76"/>
      <c r="BG161" s="76"/>
      <c r="BH161" s="76"/>
      <c r="BI161" s="76"/>
      <c r="BJ161" s="76"/>
      <c r="BK161" s="76"/>
      <c r="BL161" s="76"/>
      <c r="BM161" s="76"/>
      <c r="BN161" s="76"/>
      <c r="BO161" s="76"/>
      <c r="BP161" s="76"/>
      <c r="BQ161" s="76"/>
      <c r="BR161" s="76"/>
      <c r="BS161" s="76"/>
      <c r="BT161" s="76"/>
    </row>
    <row r="162" spans="3:72" x14ac:dyDescent="0.25">
      <c r="C162" s="135">
        <v>160</v>
      </c>
      <c r="D162" s="136"/>
      <c r="E162" s="153">
        <v>34.814367099999998</v>
      </c>
      <c r="F162" s="154">
        <v>-82.327130499999996</v>
      </c>
      <c r="G162" s="13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 t="s">
        <v>358</v>
      </c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6"/>
      <c r="BE162" s="76"/>
      <c r="BF162" s="76"/>
      <c r="BG162" s="76"/>
      <c r="BH162" s="76"/>
      <c r="BI162" s="76"/>
      <c r="BJ162" s="76"/>
      <c r="BK162" s="76"/>
      <c r="BL162" s="76"/>
      <c r="BM162" s="76"/>
      <c r="BN162" s="76"/>
      <c r="BO162" s="76"/>
      <c r="BP162" s="76"/>
      <c r="BQ162" s="76"/>
      <c r="BR162" s="76"/>
      <c r="BS162" s="76"/>
      <c r="BT162" s="76"/>
    </row>
    <row r="163" spans="3:72" x14ac:dyDescent="0.25">
      <c r="C163" s="135">
        <v>161</v>
      </c>
      <c r="D163" s="136"/>
      <c r="E163" s="153">
        <v>42.276253699999998</v>
      </c>
      <c r="F163" s="154">
        <v>-83.741244100000003</v>
      </c>
      <c r="G163" s="13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 t="s">
        <v>358</v>
      </c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  <c r="BF163" s="76"/>
      <c r="BG163" s="76"/>
      <c r="BH163" s="76"/>
      <c r="BI163" s="76"/>
      <c r="BJ163" s="76"/>
      <c r="BK163" s="76"/>
      <c r="BL163" s="76"/>
      <c r="BM163" s="76"/>
      <c r="BN163" s="76"/>
      <c r="BO163" s="76"/>
      <c r="BP163" s="76"/>
      <c r="BQ163" s="76"/>
      <c r="BR163" s="76"/>
      <c r="BS163" s="76"/>
      <c r="BT163" s="76"/>
    </row>
    <row r="164" spans="3:72" x14ac:dyDescent="0.25">
      <c r="C164" s="135">
        <v>162</v>
      </c>
      <c r="D164" s="136"/>
      <c r="E164" s="153">
        <v>40.444164700000002</v>
      </c>
      <c r="F164" s="154">
        <v>-79.943372499999995</v>
      </c>
      <c r="G164" s="13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 t="s">
        <v>358</v>
      </c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/>
      <c r="BC164" s="76"/>
      <c r="BD164" s="76"/>
      <c r="BE164" s="76"/>
      <c r="BF164" s="76"/>
      <c r="BG164" s="76"/>
      <c r="BH164" s="76"/>
      <c r="BI164" s="76"/>
      <c r="BJ164" s="76"/>
      <c r="BK164" s="76"/>
      <c r="BL164" s="76"/>
      <c r="BM164" s="76"/>
      <c r="BN164" s="76"/>
      <c r="BO164" s="76"/>
      <c r="BP164" s="76"/>
      <c r="BQ164" s="76"/>
      <c r="BR164" s="76"/>
      <c r="BS164" s="76"/>
      <c r="BT164" s="76"/>
    </row>
    <row r="165" spans="3:72" x14ac:dyDescent="0.25">
      <c r="C165" s="135">
        <v>163</v>
      </c>
      <c r="D165" s="136"/>
      <c r="E165" s="153">
        <v>42.362706000000003</v>
      </c>
      <c r="F165" s="154">
        <v>-71.068657999999999</v>
      </c>
      <c r="G165" s="13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 t="s">
        <v>358</v>
      </c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/>
      <c r="BC165" s="76"/>
      <c r="BD165" s="76"/>
      <c r="BE165" s="76"/>
      <c r="BF165" s="76"/>
      <c r="BG165" s="76"/>
      <c r="BH165" s="76"/>
      <c r="BI165" s="76"/>
      <c r="BJ165" s="76"/>
      <c r="BK165" s="76"/>
      <c r="BL165" s="76"/>
      <c r="BM165" s="76"/>
      <c r="BN165" s="76"/>
      <c r="BO165" s="76"/>
      <c r="BP165" s="76"/>
      <c r="BQ165" s="76"/>
      <c r="BR165" s="76"/>
      <c r="BS165" s="76"/>
      <c r="BT165" s="76"/>
    </row>
    <row r="166" spans="3:72" x14ac:dyDescent="0.25">
      <c r="C166" s="135">
        <v>164</v>
      </c>
      <c r="D166" s="136"/>
      <c r="E166" s="153">
        <v>32.890005700000003</v>
      </c>
      <c r="F166" s="154">
        <v>-96.949908600000001</v>
      </c>
      <c r="G166" s="13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 t="s">
        <v>358</v>
      </c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/>
      <c r="BE166" s="76"/>
      <c r="BF166" s="76"/>
      <c r="BG166" s="76"/>
      <c r="BH166" s="76"/>
      <c r="BI166" s="76"/>
      <c r="BJ166" s="76"/>
      <c r="BK166" s="76"/>
      <c r="BL166" s="76"/>
      <c r="BM166" s="76"/>
      <c r="BN166" s="76"/>
      <c r="BO166" s="76"/>
      <c r="BP166" s="76"/>
      <c r="BQ166" s="76"/>
      <c r="BR166" s="76"/>
      <c r="BS166" s="76"/>
      <c r="BT166" s="76"/>
    </row>
    <row r="167" spans="3:72" x14ac:dyDescent="0.25">
      <c r="C167" s="135">
        <v>165</v>
      </c>
      <c r="D167" s="136"/>
      <c r="E167" s="153">
        <v>40.428246000000001</v>
      </c>
      <c r="F167" s="154">
        <v>-86.914391100000003</v>
      </c>
      <c r="G167" s="13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 t="s">
        <v>358</v>
      </c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  <c r="BF167" s="76"/>
      <c r="BG167" s="76"/>
      <c r="BH167" s="76"/>
      <c r="BI167" s="76"/>
      <c r="BJ167" s="76"/>
      <c r="BK167" s="76"/>
      <c r="BL167" s="76"/>
      <c r="BM167" s="76"/>
      <c r="BN167" s="76"/>
      <c r="BO167" s="76"/>
      <c r="BP167" s="76"/>
      <c r="BQ167" s="76"/>
      <c r="BR167" s="76"/>
      <c r="BS167" s="76"/>
      <c r="BT167" s="76"/>
    </row>
    <row r="168" spans="3:72" x14ac:dyDescent="0.25">
      <c r="C168" s="135">
        <v>166</v>
      </c>
      <c r="D168" s="136"/>
      <c r="E168" s="153">
        <v>40.299480799999998</v>
      </c>
      <c r="F168" s="154">
        <v>-79.976794299999995</v>
      </c>
      <c r="G168" s="13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 t="s">
        <v>358</v>
      </c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  <c r="BF168" s="76"/>
      <c r="BG168" s="76"/>
      <c r="BH168" s="76"/>
      <c r="BI168" s="76"/>
      <c r="BJ168" s="76"/>
      <c r="BK168" s="76"/>
      <c r="BL168" s="76"/>
      <c r="BM168" s="76"/>
      <c r="BN168" s="76"/>
      <c r="BO168" s="76"/>
      <c r="BP168" s="76"/>
      <c r="BQ168" s="76"/>
      <c r="BR168" s="76"/>
      <c r="BS168" s="76"/>
      <c r="BT168" s="76"/>
    </row>
    <row r="169" spans="3:72" x14ac:dyDescent="0.25">
      <c r="C169" s="135">
        <v>167</v>
      </c>
      <c r="D169" s="136"/>
      <c r="E169" s="153">
        <v>40.299480799999998</v>
      </c>
      <c r="F169" s="154">
        <v>-79.976794299999995</v>
      </c>
      <c r="G169" s="13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 t="s">
        <v>358</v>
      </c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  <c r="BF169" s="76"/>
      <c r="BG169" s="76"/>
      <c r="BH169" s="76"/>
      <c r="BI169" s="76"/>
      <c r="BJ169" s="76"/>
      <c r="BK169" s="76"/>
      <c r="BL169" s="76"/>
      <c r="BM169" s="76"/>
      <c r="BN169" s="76"/>
      <c r="BO169" s="76"/>
      <c r="BP169" s="76"/>
      <c r="BQ169" s="76"/>
      <c r="BR169" s="76"/>
      <c r="BS169" s="76"/>
      <c r="BT169" s="76"/>
    </row>
    <row r="170" spans="3:72" x14ac:dyDescent="0.25">
      <c r="C170" s="135">
        <v>168</v>
      </c>
      <c r="D170" s="136"/>
      <c r="E170" s="153">
        <v>40.299480799999998</v>
      </c>
      <c r="F170" s="154">
        <v>-79.976794299999995</v>
      </c>
      <c r="G170" s="13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 t="s">
        <v>358</v>
      </c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/>
      <c r="BC170" s="76"/>
      <c r="BD170" s="76"/>
      <c r="BE170" s="76"/>
      <c r="BF170" s="76"/>
      <c r="BG170" s="76"/>
      <c r="BH170" s="76"/>
      <c r="BI170" s="76"/>
      <c r="BJ170" s="76"/>
      <c r="BK170" s="76"/>
      <c r="BL170" s="76"/>
      <c r="BM170" s="76"/>
      <c r="BN170" s="76"/>
      <c r="BO170" s="76"/>
      <c r="BP170" s="76"/>
      <c r="BQ170" s="76"/>
      <c r="BR170" s="76"/>
      <c r="BS170" s="76"/>
      <c r="BT170" s="76"/>
    </row>
    <row r="171" spans="3:72" x14ac:dyDescent="0.25">
      <c r="C171" s="135">
        <v>169</v>
      </c>
      <c r="D171" s="136"/>
      <c r="E171" s="153">
        <v>42.0506265</v>
      </c>
      <c r="F171" s="154">
        <v>-87.679727099999994</v>
      </c>
      <c r="G171" s="13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 t="s">
        <v>358</v>
      </c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/>
      <c r="AW171" s="76"/>
      <c r="AX171" s="76"/>
      <c r="AY171" s="76"/>
      <c r="AZ171" s="76"/>
      <c r="BA171" s="76"/>
      <c r="BB171" s="76"/>
      <c r="BC171" s="76"/>
      <c r="BD171" s="76"/>
      <c r="BE171" s="76"/>
      <c r="BF171" s="76"/>
      <c r="BG171" s="76"/>
      <c r="BH171" s="76"/>
      <c r="BI171" s="76"/>
      <c r="BJ171" s="76"/>
      <c r="BK171" s="76"/>
      <c r="BL171" s="76"/>
      <c r="BM171" s="76"/>
      <c r="BN171" s="76"/>
      <c r="BO171" s="76"/>
      <c r="BP171" s="76"/>
      <c r="BQ171" s="76"/>
      <c r="BR171" s="76"/>
      <c r="BS171" s="76"/>
      <c r="BT171" s="76"/>
    </row>
    <row r="172" spans="3:72" x14ac:dyDescent="0.25">
      <c r="C172" s="135">
        <v>170</v>
      </c>
      <c r="D172" s="136"/>
      <c r="E172" s="153">
        <v>42.0506265</v>
      </c>
      <c r="F172" s="154">
        <v>-87.679727099999994</v>
      </c>
      <c r="G172" s="13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 t="s">
        <v>358</v>
      </c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  <c r="BF172" s="76"/>
      <c r="BG172" s="76"/>
      <c r="BH172" s="76"/>
      <c r="BI172" s="76"/>
      <c r="BJ172" s="76"/>
      <c r="BK172" s="76"/>
      <c r="BL172" s="76"/>
      <c r="BM172" s="76"/>
      <c r="BN172" s="76"/>
      <c r="BO172" s="76"/>
      <c r="BP172" s="76"/>
      <c r="BQ172" s="76"/>
      <c r="BR172" s="76"/>
      <c r="BS172" s="76"/>
      <c r="BT172" s="76"/>
    </row>
    <row r="173" spans="3:72" x14ac:dyDescent="0.25">
      <c r="C173" s="135">
        <v>171</v>
      </c>
      <c r="D173" s="136"/>
      <c r="E173" s="153">
        <v>42.0506265</v>
      </c>
      <c r="F173" s="154">
        <v>-87.679727099999994</v>
      </c>
      <c r="G173" s="13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 t="s">
        <v>358</v>
      </c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6"/>
      <c r="BE173" s="76"/>
      <c r="BF173" s="76"/>
      <c r="BG173" s="76"/>
      <c r="BH173" s="76"/>
      <c r="BI173" s="76"/>
      <c r="BJ173" s="76"/>
      <c r="BK173" s="76"/>
      <c r="BL173" s="76"/>
      <c r="BM173" s="76"/>
      <c r="BN173" s="76"/>
      <c r="BO173" s="76"/>
      <c r="BP173" s="76"/>
      <c r="BQ173" s="76"/>
      <c r="BR173" s="76"/>
      <c r="BS173" s="76"/>
      <c r="BT173" s="76"/>
    </row>
    <row r="174" spans="3:72" x14ac:dyDescent="0.25">
      <c r="C174" s="135">
        <v>172</v>
      </c>
      <c r="D174" s="136"/>
      <c r="E174" s="153">
        <v>39.008926500000001</v>
      </c>
      <c r="F174" s="154">
        <v>-76.895245099999997</v>
      </c>
      <c r="G174" s="13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 t="s">
        <v>358</v>
      </c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6"/>
      <c r="BE174" s="76"/>
      <c r="BF174" s="76"/>
      <c r="BG174" s="76"/>
      <c r="BH174" s="76"/>
      <c r="BI174" s="76"/>
      <c r="BJ174" s="76"/>
      <c r="BK174" s="76"/>
      <c r="BL174" s="76"/>
      <c r="BM174" s="76"/>
      <c r="BN174" s="76"/>
      <c r="BO174" s="76"/>
      <c r="BP174" s="76"/>
      <c r="BQ174" s="76"/>
      <c r="BR174" s="76"/>
      <c r="BS174" s="76"/>
      <c r="BT174" s="76"/>
    </row>
    <row r="175" spans="3:72" x14ac:dyDescent="0.25">
      <c r="C175" s="135">
        <v>173</v>
      </c>
      <c r="D175" s="136"/>
      <c r="E175" s="153">
        <v>38.899540199999997</v>
      </c>
      <c r="F175" s="154">
        <v>-77.003996099999995</v>
      </c>
      <c r="G175" s="13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 t="s">
        <v>358</v>
      </c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6"/>
      <c r="BE175" s="76"/>
      <c r="BF175" s="76"/>
      <c r="BG175" s="76"/>
      <c r="BH175" s="76"/>
      <c r="BI175" s="76"/>
      <c r="BJ175" s="76"/>
      <c r="BK175" s="76"/>
      <c r="BL175" s="76"/>
      <c r="BM175" s="76"/>
      <c r="BN175" s="76"/>
      <c r="BO175" s="76"/>
      <c r="BP175" s="76"/>
      <c r="BQ175" s="76"/>
      <c r="BR175" s="76"/>
      <c r="BS175" s="76"/>
      <c r="BT175" s="76"/>
    </row>
    <row r="176" spans="3:72" x14ac:dyDescent="0.25">
      <c r="C176" s="135">
        <v>174</v>
      </c>
      <c r="D176" s="136"/>
      <c r="E176" s="153">
        <v>38.899540199999997</v>
      </c>
      <c r="F176" s="154">
        <v>-77.003996099999995</v>
      </c>
      <c r="G176" s="13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 t="s">
        <v>358</v>
      </c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6"/>
      <c r="BE176" s="76"/>
      <c r="BF176" s="76"/>
      <c r="BG176" s="76"/>
      <c r="BH176" s="76"/>
      <c r="BI176" s="76"/>
      <c r="BJ176" s="76"/>
      <c r="BK176" s="76"/>
      <c r="BL176" s="76"/>
      <c r="BM176" s="76"/>
      <c r="BN176" s="76"/>
      <c r="BO176" s="76"/>
      <c r="BP176" s="76"/>
      <c r="BQ176" s="76"/>
      <c r="BR176" s="76"/>
      <c r="BS176" s="76"/>
      <c r="BT176" s="76"/>
    </row>
    <row r="177" spans="3:72" x14ac:dyDescent="0.25">
      <c r="C177" s="135">
        <v>175</v>
      </c>
      <c r="D177" s="136"/>
      <c r="E177" s="153">
        <v>42.359244400000001</v>
      </c>
      <c r="F177" s="154">
        <v>-71.0931389</v>
      </c>
      <c r="G177" s="13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 t="s">
        <v>358</v>
      </c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  <c r="BF177" s="76"/>
      <c r="BG177" s="76"/>
      <c r="BH177" s="76"/>
      <c r="BI177" s="76"/>
      <c r="BJ177" s="76"/>
      <c r="BK177" s="76"/>
      <c r="BL177" s="76"/>
      <c r="BM177" s="76"/>
      <c r="BN177" s="76"/>
      <c r="BO177" s="76"/>
      <c r="BP177" s="76"/>
      <c r="BQ177" s="76"/>
      <c r="BR177" s="76"/>
      <c r="BS177" s="76"/>
      <c r="BT177" s="76"/>
    </row>
    <row r="178" spans="3:72" x14ac:dyDescent="0.25">
      <c r="C178" s="135">
        <v>176</v>
      </c>
      <c r="D178" s="136"/>
      <c r="E178" s="153">
        <v>42.359244400000001</v>
      </c>
      <c r="F178" s="154">
        <v>-71.0931389</v>
      </c>
      <c r="G178" s="13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 t="s">
        <v>358</v>
      </c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6"/>
      <c r="BE178" s="76"/>
      <c r="BF178" s="76"/>
      <c r="BG178" s="76"/>
      <c r="BH178" s="76"/>
      <c r="BI178" s="76"/>
      <c r="BJ178" s="76"/>
      <c r="BK178" s="76"/>
      <c r="BL178" s="76"/>
      <c r="BM178" s="76"/>
      <c r="BN178" s="76"/>
      <c r="BO178" s="76"/>
      <c r="BP178" s="76"/>
      <c r="BQ178" s="76"/>
      <c r="BR178" s="76"/>
      <c r="BS178" s="76"/>
      <c r="BT178" s="76"/>
    </row>
    <row r="179" spans="3:72" x14ac:dyDescent="0.25">
      <c r="C179" s="135">
        <v>177</v>
      </c>
      <c r="D179" s="136"/>
      <c r="E179" s="153">
        <v>42.359244400000001</v>
      </c>
      <c r="F179" s="154">
        <v>-71.0931389</v>
      </c>
      <c r="G179" s="13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 t="s">
        <v>358</v>
      </c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6"/>
      <c r="BE179" s="76"/>
      <c r="BF179" s="76"/>
      <c r="BG179" s="76"/>
      <c r="BH179" s="76"/>
      <c r="BI179" s="76"/>
      <c r="BJ179" s="76"/>
      <c r="BK179" s="76"/>
      <c r="BL179" s="76"/>
      <c r="BM179" s="76"/>
      <c r="BN179" s="76"/>
      <c r="BO179" s="76"/>
      <c r="BP179" s="76"/>
      <c r="BQ179" s="76"/>
      <c r="BR179" s="76"/>
      <c r="BS179" s="76"/>
      <c r="BT179" s="76"/>
    </row>
    <row r="180" spans="3:72" x14ac:dyDescent="0.25">
      <c r="C180" s="135">
        <v>178</v>
      </c>
      <c r="D180" s="136"/>
      <c r="E180" s="153">
        <v>41.7209164</v>
      </c>
      <c r="F180" s="154">
        <v>-93.629379700000001</v>
      </c>
      <c r="G180" s="13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 t="s">
        <v>358</v>
      </c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6"/>
      <c r="BE180" s="76"/>
      <c r="BF180" s="76"/>
      <c r="BG180" s="76"/>
      <c r="BH180" s="76"/>
      <c r="BI180" s="76"/>
      <c r="BJ180" s="76"/>
      <c r="BK180" s="76"/>
      <c r="BL180" s="76"/>
      <c r="BM180" s="76"/>
      <c r="BN180" s="76"/>
      <c r="BO180" s="76"/>
      <c r="BP180" s="76"/>
      <c r="BQ180" s="76"/>
      <c r="BR180" s="76"/>
      <c r="BS180" s="76"/>
      <c r="BT180" s="76"/>
    </row>
    <row r="181" spans="3:72" x14ac:dyDescent="0.25">
      <c r="C181" s="135">
        <v>179</v>
      </c>
      <c r="D181" s="136"/>
      <c r="E181" s="153">
        <v>41.7209164</v>
      </c>
      <c r="F181" s="154">
        <v>-93.629379700000001</v>
      </c>
      <c r="G181" s="13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 t="s">
        <v>358</v>
      </c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6"/>
      <c r="BE181" s="76"/>
      <c r="BF181" s="76"/>
      <c r="BG181" s="76"/>
      <c r="BH181" s="76"/>
      <c r="BI181" s="76"/>
      <c r="BJ181" s="76"/>
      <c r="BK181" s="76"/>
      <c r="BL181" s="76"/>
      <c r="BM181" s="76"/>
      <c r="BN181" s="76"/>
      <c r="BO181" s="76"/>
      <c r="BP181" s="76"/>
      <c r="BQ181" s="76"/>
      <c r="BR181" s="76"/>
      <c r="BS181" s="76"/>
      <c r="BT181" s="76"/>
    </row>
    <row r="182" spans="3:72" x14ac:dyDescent="0.25">
      <c r="C182" s="135">
        <v>180</v>
      </c>
      <c r="D182" s="136"/>
      <c r="E182" s="153">
        <v>38.883255200000001</v>
      </c>
      <c r="F182" s="154">
        <v>-77.025095899999997</v>
      </c>
      <c r="G182" s="13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 t="s">
        <v>358</v>
      </c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  <c r="BF182" s="76"/>
      <c r="BG182" s="76"/>
      <c r="BH182" s="76"/>
      <c r="BI182" s="76"/>
      <c r="BJ182" s="76"/>
      <c r="BK182" s="76"/>
      <c r="BL182" s="76"/>
      <c r="BM182" s="76"/>
      <c r="BN182" s="76"/>
      <c r="BO182" s="76"/>
      <c r="BP182" s="76"/>
      <c r="BQ182" s="76"/>
      <c r="BR182" s="76"/>
      <c r="BS182" s="76"/>
      <c r="BT182" s="76"/>
    </row>
    <row r="183" spans="3:72" x14ac:dyDescent="0.25">
      <c r="C183" s="135">
        <v>181</v>
      </c>
      <c r="D183" s="136"/>
      <c r="E183" s="153">
        <v>38.883255200000001</v>
      </c>
      <c r="F183" s="154">
        <v>-77.025095899999997</v>
      </c>
      <c r="G183" s="13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 t="s">
        <v>358</v>
      </c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  <c r="BC183" s="76"/>
      <c r="BD183" s="76"/>
      <c r="BE183" s="76"/>
      <c r="BF183" s="76"/>
      <c r="BG183" s="76"/>
      <c r="BH183" s="76"/>
      <c r="BI183" s="76"/>
      <c r="BJ183" s="76"/>
      <c r="BK183" s="76"/>
      <c r="BL183" s="76"/>
      <c r="BM183" s="76"/>
      <c r="BN183" s="76"/>
      <c r="BO183" s="76"/>
      <c r="BP183" s="76"/>
      <c r="BQ183" s="76"/>
      <c r="BR183" s="76"/>
      <c r="BS183" s="76"/>
      <c r="BT183" s="76"/>
    </row>
    <row r="184" spans="3:72" x14ac:dyDescent="0.25">
      <c r="C184" s="135">
        <v>182</v>
      </c>
      <c r="D184" s="136"/>
      <c r="E184" s="153">
        <v>41.712980299999998</v>
      </c>
      <c r="F184" s="154">
        <v>-87.9607812</v>
      </c>
      <c r="G184" s="13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 t="s">
        <v>358</v>
      </c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/>
      <c r="BE184" s="76"/>
      <c r="BF184" s="76"/>
      <c r="BG184" s="76"/>
      <c r="BH184" s="76"/>
      <c r="BI184" s="76"/>
      <c r="BJ184" s="76"/>
      <c r="BK184" s="76"/>
      <c r="BL184" s="76"/>
      <c r="BM184" s="76"/>
      <c r="BN184" s="76"/>
      <c r="BO184" s="76"/>
      <c r="BP184" s="76"/>
      <c r="BQ184" s="76"/>
      <c r="BR184" s="76"/>
      <c r="BS184" s="76"/>
      <c r="BT184" s="76"/>
    </row>
    <row r="185" spans="3:72" x14ac:dyDescent="0.25">
      <c r="C185" s="135">
        <v>183</v>
      </c>
      <c r="D185" s="136"/>
      <c r="E185" s="153">
        <v>41.712980299999998</v>
      </c>
      <c r="F185" s="154">
        <v>-87.9607812</v>
      </c>
      <c r="G185" s="13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 t="s">
        <v>358</v>
      </c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/>
      <c r="BE185" s="76"/>
      <c r="BF185" s="76"/>
      <c r="BG185" s="76"/>
      <c r="BH185" s="76"/>
      <c r="BI185" s="76"/>
      <c r="BJ185" s="76"/>
      <c r="BK185" s="76"/>
      <c r="BL185" s="76"/>
      <c r="BM185" s="76"/>
      <c r="BN185" s="76"/>
      <c r="BO185" s="76"/>
      <c r="BP185" s="76"/>
      <c r="BQ185" s="76"/>
      <c r="BR185" s="76"/>
      <c r="BS185" s="76"/>
      <c r="BT185" s="76"/>
    </row>
    <row r="186" spans="3:72" x14ac:dyDescent="0.25">
      <c r="C186" s="135">
        <v>184</v>
      </c>
      <c r="D186" s="136"/>
      <c r="E186" s="153">
        <v>41.712980299999998</v>
      </c>
      <c r="F186" s="154">
        <v>-87.9607812</v>
      </c>
      <c r="G186" s="13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 t="s">
        <v>358</v>
      </c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  <c r="BC186" s="76"/>
      <c r="BD186" s="76"/>
      <c r="BE186" s="76"/>
      <c r="BF186" s="76"/>
      <c r="BG186" s="76"/>
      <c r="BH186" s="76"/>
      <c r="BI186" s="76"/>
      <c r="BJ186" s="76"/>
      <c r="BK186" s="76"/>
      <c r="BL186" s="76"/>
      <c r="BM186" s="76"/>
      <c r="BN186" s="76"/>
      <c r="BO186" s="76"/>
      <c r="BP186" s="76"/>
      <c r="BQ186" s="76"/>
      <c r="BR186" s="76"/>
      <c r="BS186" s="76"/>
      <c r="BT186" s="76"/>
    </row>
    <row r="187" spans="3:72" x14ac:dyDescent="0.25">
      <c r="C187" s="135">
        <v>185</v>
      </c>
      <c r="D187" s="136"/>
      <c r="E187" s="153">
        <v>41.712980299999998</v>
      </c>
      <c r="F187" s="154">
        <v>-87.9607812</v>
      </c>
      <c r="G187" s="13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 t="s">
        <v>358</v>
      </c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  <c r="BC187" s="76"/>
      <c r="BD187" s="76"/>
      <c r="BE187" s="76"/>
      <c r="BF187" s="76"/>
      <c r="BG187" s="76"/>
      <c r="BH187" s="76"/>
      <c r="BI187" s="76"/>
      <c r="BJ187" s="76"/>
      <c r="BK187" s="76"/>
      <c r="BL187" s="76"/>
      <c r="BM187" s="76"/>
      <c r="BN187" s="76"/>
      <c r="BO187" s="76"/>
      <c r="BP187" s="76"/>
      <c r="BQ187" s="76"/>
      <c r="BR187" s="76"/>
      <c r="BS187" s="76"/>
      <c r="BT187" s="76"/>
    </row>
    <row r="188" spans="3:72" x14ac:dyDescent="0.25">
      <c r="C188" s="135">
        <v>186</v>
      </c>
      <c r="D188" s="136"/>
      <c r="E188" s="153">
        <v>41.712980299999998</v>
      </c>
      <c r="F188" s="154">
        <v>-87.9607812</v>
      </c>
      <c r="G188" s="13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 t="s">
        <v>358</v>
      </c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  <c r="BF188" s="76"/>
      <c r="BG188" s="76"/>
      <c r="BH188" s="76"/>
      <c r="BI188" s="76"/>
      <c r="BJ188" s="76"/>
      <c r="BK188" s="76"/>
      <c r="BL188" s="76"/>
      <c r="BM188" s="76"/>
      <c r="BN188" s="76"/>
      <c r="BO188" s="76"/>
      <c r="BP188" s="76"/>
      <c r="BQ188" s="76"/>
      <c r="BR188" s="76"/>
      <c r="BS188" s="76"/>
      <c r="BT188" s="76"/>
    </row>
    <row r="189" spans="3:72" x14ac:dyDescent="0.25">
      <c r="C189" s="135">
        <v>187</v>
      </c>
      <c r="D189" s="136"/>
      <c r="E189" s="153">
        <v>41.712980299999998</v>
      </c>
      <c r="F189" s="154">
        <v>-87.9607812</v>
      </c>
      <c r="G189" s="13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 t="s">
        <v>358</v>
      </c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  <c r="BC189" s="76"/>
      <c r="BD189" s="76"/>
      <c r="BE189" s="76"/>
      <c r="BF189" s="76"/>
      <c r="BG189" s="76"/>
      <c r="BH189" s="76"/>
      <c r="BI189" s="76"/>
      <c r="BJ189" s="76"/>
      <c r="BK189" s="76"/>
      <c r="BL189" s="76"/>
      <c r="BM189" s="76"/>
      <c r="BN189" s="76"/>
      <c r="BO189" s="76"/>
      <c r="BP189" s="76"/>
      <c r="BQ189" s="76"/>
      <c r="BR189" s="76"/>
      <c r="BS189" s="76"/>
      <c r="BT189" s="76"/>
    </row>
    <row r="190" spans="3:72" x14ac:dyDescent="0.25">
      <c r="C190" s="135">
        <v>188</v>
      </c>
      <c r="D190" s="136"/>
      <c r="E190" s="153">
        <v>35.084385900000001</v>
      </c>
      <c r="F190" s="154">
        <v>-106.65042200000001</v>
      </c>
      <c r="G190" s="13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 t="s">
        <v>358</v>
      </c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/>
      <c r="BA190" s="76"/>
      <c r="BB190" s="76"/>
      <c r="BC190" s="76"/>
      <c r="BD190" s="76"/>
      <c r="BE190" s="76"/>
      <c r="BF190" s="76"/>
      <c r="BG190" s="76"/>
      <c r="BH190" s="76"/>
      <c r="BI190" s="76"/>
      <c r="BJ190" s="76"/>
      <c r="BK190" s="76"/>
      <c r="BL190" s="76"/>
      <c r="BM190" s="76"/>
      <c r="BN190" s="76"/>
      <c r="BO190" s="76"/>
      <c r="BP190" s="76"/>
      <c r="BQ190" s="76"/>
      <c r="BR190" s="76"/>
      <c r="BS190" s="76"/>
      <c r="BT190" s="76"/>
    </row>
    <row r="191" spans="3:72" x14ac:dyDescent="0.25">
      <c r="C191" s="135">
        <v>189</v>
      </c>
      <c r="D191" s="136"/>
      <c r="E191" s="153">
        <v>35.686975199999999</v>
      </c>
      <c r="F191" s="154">
        <v>-105.937799</v>
      </c>
      <c r="G191" s="13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 t="s">
        <v>358</v>
      </c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  <c r="BF191" s="76"/>
      <c r="BG191" s="76"/>
      <c r="BH191" s="76"/>
      <c r="BI191" s="76"/>
      <c r="BJ191" s="76"/>
      <c r="BK191" s="76"/>
      <c r="BL191" s="76"/>
      <c r="BM191" s="76"/>
      <c r="BN191" s="76"/>
      <c r="BO191" s="76"/>
      <c r="BP191" s="76"/>
      <c r="BQ191" s="76"/>
      <c r="BR191" s="76"/>
      <c r="BS191" s="76"/>
      <c r="BT191" s="76"/>
    </row>
    <row r="192" spans="3:72" x14ac:dyDescent="0.25">
      <c r="C192" s="135">
        <v>190</v>
      </c>
      <c r="D192" s="136"/>
      <c r="E192" s="153">
        <v>42.028866299999997</v>
      </c>
      <c r="F192" s="154">
        <v>-93.648030700000007</v>
      </c>
      <c r="G192" s="13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 t="s">
        <v>358</v>
      </c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6"/>
      <c r="AW192" s="76"/>
      <c r="AX192" s="76"/>
      <c r="AY192" s="76"/>
      <c r="AZ192" s="76"/>
      <c r="BA192" s="76"/>
      <c r="BB192" s="76"/>
      <c r="BC192" s="76"/>
      <c r="BD192" s="76"/>
      <c r="BE192" s="76"/>
      <c r="BF192" s="76"/>
      <c r="BG192" s="76"/>
      <c r="BH192" s="76"/>
      <c r="BI192" s="76"/>
      <c r="BJ192" s="76"/>
      <c r="BK192" s="76"/>
      <c r="BL192" s="76"/>
      <c r="BM192" s="76"/>
      <c r="BN192" s="76"/>
      <c r="BO192" s="76"/>
      <c r="BP192" s="76"/>
      <c r="BQ192" s="76"/>
      <c r="BR192" s="76"/>
      <c r="BS192" s="76"/>
      <c r="BT192" s="76"/>
    </row>
    <row r="193" spans="3:72" x14ac:dyDescent="0.25">
      <c r="C193" s="135">
        <v>191</v>
      </c>
      <c r="D193" s="136"/>
      <c r="E193" s="153">
        <v>42.2808256</v>
      </c>
      <c r="F193" s="154">
        <v>-83.743037799999996</v>
      </c>
      <c r="G193" s="13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 t="s">
        <v>358</v>
      </c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  <c r="BC193" s="76"/>
      <c r="BD193" s="76"/>
      <c r="BE193" s="76"/>
      <c r="BF193" s="76"/>
      <c r="BG193" s="76"/>
      <c r="BH193" s="76"/>
      <c r="BI193" s="76"/>
      <c r="BJ193" s="76"/>
      <c r="BK193" s="76"/>
      <c r="BL193" s="76"/>
      <c r="BM193" s="76"/>
      <c r="BN193" s="76"/>
      <c r="BO193" s="76"/>
      <c r="BP193" s="76"/>
      <c r="BQ193" s="76"/>
      <c r="BR193" s="76"/>
      <c r="BS193" s="76"/>
      <c r="BT193" s="76"/>
    </row>
    <row r="194" spans="3:72" x14ac:dyDescent="0.25">
      <c r="C194" s="135">
        <v>192</v>
      </c>
      <c r="D194" s="136"/>
      <c r="E194" s="153">
        <v>40.640934700000003</v>
      </c>
      <c r="F194" s="154">
        <v>-74.881277999999995</v>
      </c>
      <c r="G194" s="13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 t="s">
        <v>358</v>
      </c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6"/>
      <c r="AW194" s="76"/>
      <c r="AX194" s="76"/>
      <c r="AY194" s="76"/>
      <c r="AZ194" s="76"/>
      <c r="BA194" s="76"/>
      <c r="BB194" s="76"/>
      <c r="BC194" s="76"/>
      <c r="BD194" s="76"/>
      <c r="BE194" s="76"/>
      <c r="BF194" s="76"/>
      <c r="BG194" s="76"/>
      <c r="BH194" s="76"/>
      <c r="BI194" s="76"/>
      <c r="BJ194" s="76"/>
      <c r="BK194" s="76"/>
      <c r="BL194" s="76"/>
      <c r="BM194" s="76"/>
      <c r="BN194" s="76"/>
      <c r="BO194" s="76"/>
      <c r="BP194" s="76"/>
      <c r="BQ194" s="76"/>
      <c r="BR194" s="76"/>
      <c r="BS194" s="76"/>
      <c r="BT194" s="76"/>
    </row>
    <row r="195" spans="3:72" x14ac:dyDescent="0.25">
      <c r="C195" s="135">
        <v>193</v>
      </c>
      <c r="D195" s="136"/>
      <c r="E195" s="153">
        <v>38.8816208</v>
      </c>
      <c r="F195" s="154">
        <v>-77.090980900000005</v>
      </c>
      <c r="G195" s="13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 t="s">
        <v>358</v>
      </c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6"/>
      <c r="AW195" s="76"/>
      <c r="AX195" s="76"/>
      <c r="AY195" s="76"/>
      <c r="AZ195" s="76"/>
      <c r="BA195" s="76"/>
      <c r="BB195" s="76"/>
      <c r="BC195" s="76"/>
      <c r="BD195" s="76"/>
      <c r="BE195" s="76"/>
      <c r="BF195" s="76"/>
      <c r="BG195" s="76"/>
      <c r="BH195" s="76"/>
      <c r="BI195" s="76"/>
      <c r="BJ195" s="76"/>
      <c r="BK195" s="76"/>
      <c r="BL195" s="76"/>
      <c r="BM195" s="76"/>
      <c r="BN195" s="76"/>
      <c r="BO195" s="76"/>
      <c r="BP195" s="76"/>
      <c r="BQ195" s="76"/>
      <c r="BR195" s="76"/>
      <c r="BS195" s="76"/>
      <c r="BT195" s="76"/>
    </row>
    <row r="196" spans="3:72" x14ac:dyDescent="0.25">
      <c r="C196" s="135">
        <v>194</v>
      </c>
      <c r="D196" s="136"/>
      <c r="E196" s="153">
        <v>33.954258000000003</v>
      </c>
      <c r="F196" s="154">
        <v>-83.374932200000003</v>
      </c>
      <c r="G196" s="13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 t="s">
        <v>358</v>
      </c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6"/>
      <c r="AW196" s="76"/>
      <c r="AX196" s="76"/>
      <c r="AY196" s="76"/>
      <c r="AZ196" s="76"/>
      <c r="BA196" s="76"/>
      <c r="BB196" s="76"/>
      <c r="BC196" s="76"/>
      <c r="BD196" s="76"/>
      <c r="BE196" s="76"/>
      <c r="BF196" s="76"/>
      <c r="BG196" s="76"/>
      <c r="BH196" s="76"/>
      <c r="BI196" s="76"/>
      <c r="BJ196" s="76"/>
      <c r="BK196" s="76"/>
      <c r="BL196" s="76"/>
      <c r="BM196" s="76"/>
      <c r="BN196" s="76"/>
      <c r="BO196" s="76"/>
      <c r="BP196" s="76"/>
      <c r="BQ196" s="76"/>
      <c r="BR196" s="76"/>
      <c r="BS196" s="76"/>
      <c r="BT196" s="76"/>
    </row>
    <row r="197" spans="3:72" x14ac:dyDescent="0.25">
      <c r="C197" s="135">
        <v>195</v>
      </c>
      <c r="D197" s="136"/>
      <c r="E197" s="153">
        <v>33.954258000000003</v>
      </c>
      <c r="F197" s="154">
        <v>-83.374932200000003</v>
      </c>
      <c r="G197" s="13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 t="s">
        <v>358</v>
      </c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6"/>
      <c r="AW197" s="76"/>
      <c r="AX197" s="76"/>
      <c r="AY197" s="76"/>
      <c r="AZ197" s="76"/>
      <c r="BA197" s="76"/>
      <c r="BB197" s="76"/>
      <c r="BC197" s="76"/>
      <c r="BD197" s="76"/>
      <c r="BE197" s="76"/>
      <c r="BF197" s="76"/>
      <c r="BG197" s="76"/>
      <c r="BH197" s="76"/>
      <c r="BI197" s="76"/>
      <c r="BJ197" s="76"/>
      <c r="BK197" s="76"/>
      <c r="BL197" s="76"/>
      <c r="BM197" s="76"/>
      <c r="BN197" s="76"/>
      <c r="BO197" s="76"/>
      <c r="BP197" s="76"/>
      <c r="BQ197" s="76"/>
      <c r="BR197" s="76"/>
      <c r="BS197" s="76"/>
      <c r="BT197" s="76"/>
    </row>
    <row r="198" spans="3:72" x14ac:dyDescent="0.25">
      <c r="C198" s="135">
        <v>196</v>
      </c>
      <c r="D198" s="136"/>
      <c r="E198" s="153">
        <v>33.748995399999998</v>
      </c>
      <c r="F198" s="154">
        <v>-84.387982399999999</v>
      </c>
      <c r="G198" s="13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 t="s">
        <v>358</v>
      </c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6"/>
      <c r="AW198" s="76"/>
      <c r="AX198" s="76"/>
      <c r="AY198" s="76"/>
      <c r="AZ198" s="76"/>
      <c r="BA198" s="76"/>
      <c r="BB198" s="76"/>
      <c r="BC198" s="76"/>
      <c r="BD198" s="76"/>
      <c r="BE198" s="76"/>
      <c r="BF198" s="76"/>
      <c r="BG198" s="76"/>
      <c r="BH198" s="76"/>
      <c r="BI198" s="76"/>
      <c r="BJ198" s="76"/>
      <c r="BK198" s="76"/>
      <c r="BL198" s="76"/>
      <c r="BM198" s="76"/>
      <c r="BN198" s="76"/>
      <c r="BO198" s="76"/>
      <c r="BP198" s="76"/>
      <c r="BQ198" s="76"/>
      <c r="BR198" s="76"/>
      <c r="BS198" s="76"/>
      <c r="BT198" s="76"/>
    </row>
    <row r="199" spans="3:72" x14ac:dyDescent="0.25">
      <c r="C199" s="135">
        <v>197</v>
      </c>
      <c r="D199" s="136"/>
      <c r="E199" s="153">
        <v>33.748995399999998</v>
      </c>
      <c r="F199" s="154">
        <v>-84.387982399999999</v>
      </c>
      <c r="G199" s="13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 t="s">
        <v>358</v>
      </c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6"/>
      <c r="AW199" s="76"/>
      <c r="AX199" s="76"/>
      <c r="AY199" s="76"/>
      <c r="AZ199" s="76"/>
      <c r="BA199" s="76"/>
      <c r="BB199" s="76"/>
      <c r="BC199" s="76"/>
      <c r="BD199" s="76"/>
      <c r="BE199" s="76"/>
      <c r="BF199" s="76"/>
      <c r="BG199" s="76"/>
      <c r="BH199" s="76"/>
      <c r="BI199" s="76"/>
      <c r="BJ199" s="76"/>
      <c r="BK199" s="76"/>
      <c r="BL199" s="76"/>
      <c r="BM199" s="76"/>
      <c r="BN199" s="76"/>
      <c r="BO199" s="76"/>
      <c r="BP199" s="76"/>
      <c r="BQ199" s="76"/>
      <c r="BR199" s="76"/>
      <c r="BS199" s="76"/>
      <c r="BT199" s="76"/>
    </row>
    <row r="200" spans="3:72" x14ac:dyDescent="0.25">
      <c r="C200" s="135">
        <v>198</v>
      </c>
      <c r="D200" s="136"/>
      <c r="E200" s="153">
        <v>33.748995399999998</v>
      </c>
      <c r="F200" s="154">
        <v>-84.387982399999999</v>
      </c>
      <c r="G200" s="13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 t="s">
        <v>358</v>
      </c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6"/>
      <c r="AW200" s="76"/>
      <c r="AX200" s="76"/>
      <c r="AY200" s="76"/>
      <c r="AZ200" s="76"/>
      <c r="BA200" s="76"/>
      <c r="BB200" s="76"/>
      <c r="BC200" s="76"/>
      <c r="BD200" s="76"/>
      <c r="BE200" s="76"/>
      <c r="BF200" s="76"/>
      <c r="BG200" s="76"/>
      <c r="BH200" s="76"/>
      <c r="BI200" s="76"/>
      <c r="BJ200" s="76"/>
      <c r="BK200" s="76"/>
      <c r="BL200" s="76"/>
      <c r="BM200" s="76"/>
      <c r="BN200" s="76"/>
      <c r="BO200" s="76"/>
      <c r="BP200" s="76"/>
      <c r="BQ200" s="76"/>
      <c r="BR200" s="76"/>
      <c r="BS200" s="76"/>
      <c r="BT200" s="76"/>
    </row>
    <row r="201" spans="3:72" x14ac:dyDescent="0.25">
      <c r="C201" s="135">
        <v>199</v>
      </c>
      <c r="D201" s="136"/>
      <c r="E201" s="153">
        <v>32.590956200000001</v>
      </c>
      <c r="F201" s="154">
        <v>-85.492978500000007</v>
      </c>
      <c r="G201" s="13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 t="s">
        <v>358</v>
      </c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6"/>
      <c r="AW201" s="76"/>
      <c r="AX201" s="76"/>
      <c r="AY201" s="76"/>
      <c r="AZ201" s="76"/>
      <c r="BA201" s="76"/>
      <c r="BB201" s="76"/>
      <c r="BC201" s="76"/>
      <c r="BD201" s="76"/>
      <c r="BE201" s="76"/>
      <c r="BF201" s="76"/>
      <c r="BG201" s="76"/>
      <c r="BH201" s="76"/>
      <c r="BI201" s="76"/>
      <c r="BJ201" s="76"/>
      <c r="BK201" s="76"/>
      <c r="BL201" s="76"/>
      <c r="BM201" s="76"/>
      <c r="BN201" s="76"/>
      <c r="BO201" s="76"/>
      <c r="BP201" s="76"/>
      <c r="BQ201" s="76"/>
      <c r="BR201" s="76"/>
      <c r="BS201" s="76"/>
      <c r="BT201" s="76"/>
    </row>
    <row r="202" spans="3:72" x14ac:dyDescent="0.25">
      <c r="C202" s="135">
        <v>200</v>
      </c>
      <c r="D202" s="136"/>
      <c r="E202" s="153">
        <v>32.590956200000001</v>
      </c>
      <c r="F202" s="154">
        <v>-85.492978500000007</v>
      </c>
      <c r="G202" s="13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 t="s">
        <v>358</v>
      </c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6"/>
      <c r="AW202" s="76"/>
      <c r="AX202" s="76"/>
      <c r="AY202" s="76"/>
      <c r="AZ202" s="76"/>
      <c r="BA202" s="76"/>
      <c r="BB202" s="76"/>
      <c r="BC202" s="76"/>
      <c r="BD202" s="76"/>
      <c r="BE202" s="76"/>
      <c r="BF202" s="76"/>
      <c r="BG202" s="76"/>
      <c r="BH202" s="76"/>
      <c r="BI202" s="76"/>
      <c r="BJ202" s="76"/>
      <c r="BK202" s="76"/>
      <c r="BL202" s="76"/>
      <c r="BM202" s="76"/>
      <c r="BN202" s="76"/>
      <c r="BO202" s="76"/>
      <c r="BP202" s="76"/>
      <c r="BQ202" s="76"/>
      <c r="BR202" s="76"/>
      <c r="BS202" s="76"/>
      <c r="BT202" s="76"/>
    </row>
    <row r="203" spans="3:72" x14ac:dyDescent="0.25">
      <c r="C203" s="135">
        <v>201</v>
      </c>
      <c r="D203" s="136"/>
      <c r="E203" s="153">
        <v>30.122962699999999</v>
      </c>
      <c r="F203" s="154">
        <v>-97.611421699999994</v>
      </c>
      <c r="G203" s="13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 t="s">
        <v>358</v>
      </c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6"/>
      <c r="AW203" s="76"/>
      <c r="AX203" s="76"/>
      <c r="AY203" s="76"/>
      <c r="AZ203" s="76"/>
      <c r="BA203" s="76"/>
      <c r="BB203" s="76"/>
      <c r="BC203" s="76"/>
      <c r="BD203" s="76"/>
      <c r="BE203" s="76"/>
      <c r="BF203" s="76"/>
      <c r="BG203" s="76"/>
      <c r="BH203" s="76"/>
      <c r="BI203" s="76"/>
      <c r="BJ203" s="76"/>
      <c r="BK203" s="76"/>
      <c r="BL203" s="76"/>
      <c r="BM203" s="76"/>
      <c r="BN203" s="76"/>
      <c r="BO203" s="76"/>
      <c r="BP203" s="76"/>
      <c r="BQ203" s="76"/>
      <c r="BR203" s="76"/>
      <c r="BS203" s="76"/>
      <c r="BT203" s="76"/>
    </row>
    <row r="204" spans="3:72" x14ac:dyDescent="0.25">
      <c r="C204" s="135">
        <v>202</v>
      </c>
      <c r="D204" s="136"/>
      <c r="E204" s="153">
        <v>39.332212699999999</v>
      </c>
      <c r="F204" s="154">
        <v>-76.600833399999999</v>
      </c>
      <c r="G204" s="13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 t="s">
        <v>358</v>
      </c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6"/>
      <c r="AW204" s="76"/>
      <c r="AX204" s="76"/>
      <c r="AY204" s="76"/>
      <c r="AZ204" s="76"/>
      <c r="BA204" s="76"/>
      <c r="BB204" s="76"/>
      <c r="BC204" s="76"/>
      <c r="BD204" s="76"/>
      <c r="BE204" s="76"/>
      <c r="BF204" s="76"/>
      <c r="BG204" s="76"/>
      <c r="BH204" s="76"/>
      <c r="BI204" s="76"/>
      <c r="BJ204" s="76"/>
      <c r="BK204" s="76"/>
      <c r="BL204" s="76"/>
      <c r="BM204" s="76"/>
      <c r="BN204" s="76"/>
      <c r="BO204" s="76"/>
      <c r="BP204" s="76"/>
      <c r="BQ204" s="76"/>
      <c r="BR204" s="76"/>
      <c r="BS204" s="76"/>
      <c r="BT204" s="76"/>
    </row>
    <row r="205" spans="3:72" x14ac:dyDescent="0.25">
      <c r="C205" s="135">
        <v>203</v>
      </c>
      <c r="D205" s="136"/>
      <c r="E205" s="153">
        <v>39.332212699999999</v>
      </c>
      <c r="F205" s="154">
        <v>-76.600833399999999</v>
      </c>
      <c r="G205" s="13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 t="s">
        <v>358</v>
      </c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6"/>
      <c r="AW205" s="76"/>
      <c r="AX205" s="76"/>
      <c r="AY205" s="76"/>
      <c r="AZ205" s="76"/>
      <c r="BA205" s="76"/>
      <c r="BB205" s="76"/>
      <c r="BC205" s="76"/>
      <c r="BD205" s="76"/>
      <c r="BE205" s="76"/>
      <c r="BF205" s="76"/>
      <c r="BG205" s="76"/>
      <c r="BH205" s="76"/>
      <c r="BI205" s="76"/>
      <c r="BJ205" s="76"/>
      <c r="BK205" s="76"/>
      <c r="BL205" s="76"/>
      <c r="BM205" s="76"/>
      <c r="BN205" s="76"/>
      <c r="BO205" s="76"/>
      <c r="BP205" s="76"/>
      <c r="BQ205" s="76"/>
      <c r="BR205" s="76"/>
      <c r="BS205" s="76"/>
      <c r="BT205" s="76"/>
    </row>
    <row r="206" spans="3:72" x14ac:dyDescent="0.25">
      <c r="C206" s="135">
        <v>204</v>
      </c>
      <c r="D206" s="136"/>
      <c r="E206" s="153">
        <v>39.332212699999999</v>
      </c>
      <c r="F206" s="154">
        <v>-76.600833399999999</v>
      </c>
      <c r="G206" s="13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 t="s">
        <v>358</v>
      </c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6"/>
      <c r="AW206" s="76"/>
      <c r="AX206" s="76"/>
      <c r="AY206" s="76"/>
      <c r="AZ206" s="76"/>
      <c r="BA206" s="76"/>
      <c r="BB206" s="76"/>
      <c r="BC206" s="76"/>
      <c r="BD206" s="76"/>
      <c r="BE206" s="76"/>
      <c r="BF206" s="76"/>
      <c r="BG206" s="76"/>
      <c r="BH206" s="76"/>
      <c r="BI206" s="76"/>
      <c r="BJ206" s="76"/>
      <c r="BK206" s="76"/>
      <c r="BL206" s="76"/>
      <c r="BM206" s="76"/>
      <c r="BN206" s="76"/>
      <c r="BO206" s="76"/>
      <c r="BP206" s="76"/>
      <c r="BQ206" s="76"/>
      <c r="BR206" s="76"/>
      <c r="BS206" s="76"/>
      <c r="BT206" s="76"/>
    </row>
    <row r="207" spans="3:72" x14ac:dyDescent="0.25">
      <c r="C207" s="135">
        <v>205</v>
      </c>
      <c r="D207" s="136"/>
      <c r="E207" s="153">
        <v>39.332212699999999</v>
      </c>
      <c r="F207" s="154">
        <v>-76.600833399999999</v>
      </c>
      <c r="G207" s="13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 t="s">
        <v>358</v>
      </c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6"/>
      <c r="AW207" s="76"/>
      <c r="AX207" s="76"/>
      <c r="AY207" s="76"/>
      <c r="AZ207" s="76"/>
      <c r="BA207" s="76"/>
      <c r="BB207" s="76"/>
      <c r="BC207" s="76"/>
      <c r="BD207" s="76"/>
      <c r="BE207" s="76"/>
      <c r="BF207" s="76"/>
      <c r="BG207" s="76"/>
      <c r="BH207" s="76"/>
      <c r="BI207" s="76"/>
      <c r="BJ207" s="76"/>
      <c r="BK207" s="76"/>
      <c r="BL207" s="76"/>
      <c r="BM207" s="76"/>
      <c r="BN207" s="76"/>
      <c r="BO207" s="76"/>
      <c r="BP207" s="76"/>
      <c r="BQ207" s="76"/>
      <c r="BR207" s="76"/>
      <c r="BS207" s="76"/>
      <c r="BT207" s="76"/>
    </row>
    <row r="208" spans="3:72" x14ac:dyDescent="0.25">
      <c r="C208" s="135">
        <v>206</v>
      </c>
      <c r="D208" s="136"/>
      <c r="E208" s="153">
        <v>39.332212699999999</v>
      </c>
      <c r="F208" s="154">
        <v>-76.600833399999999</v>
      </c>
      <c r="G208" s="13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 t="s">
        <v>358</v>
      </c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6"/>
      <c r="AW208" s="76"/>
      <c r="AX208" s="76"/>
      <c r="AY208" s="76"/>
      <c r="AZ208" s="76"/>
      <c r="BA208" s="76"/>
      <c r="BB208" s="76"/>
      <c r="BC208" s="76"/>
      <c r="BD208" s="76"/>
      <c r="BE208" s="76"/>
      <c r="BF208" s="76"/>
      <c r="BG208" s="76"/>
      <c r="BH208" s="76"/>
      <c r="BI208" s="76"/>
      <c r="BJ208" s="76"/>
      <c r="BK208" s="76"/>
      <c r="BL208" s="76"/>
      <c r="BM208" s="76"/>
      <c r="BN208" s="76"/>
      <c r="BO208" s="76"/>
      <c r="BP208" s="76"/>
      <c r="BQ208" s="76"/>
      <c r="BR208" s="76"/>
      <c r="BS208" s="76"/>
      <c r="BT208" s="76"/>
    </row>
    <row r="209" spans="3:72" x14ac:dyDescent="0.25">
      <c r="C209" s="135">
        <v>207</v>
      </c>
      <c r="D209" s="136"/>
      <c r="E209" s="153">
        <v>39.332212699999999</v>
      </c>
      <c r="F209" s="154">
        <v>-76.600833399999999</v>
      </c>
      <c r="G209" s="13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 t="s">
        <v>358</v>
      </c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6"/>
      <c r="AW209" s="76"/>
      <c r="AX209" s="76"/>
      <c r="AY209" s="76"/>
      <c r="AZ209" s="76"/>
      <c r="BA209" s="76"/>
      <c r="BB209" s="76"/>
      <c r="BC209" s="76"/>
      <c r="BD209" s="76"/>
      <c r="BE209" s="76"/>
      <c r="BF209" s="76"/>
      <c r="BG209" s="76"/>
      <c r="BH209" s="76"/>
      <c r="BI209" s="76"/>
      <c r="BJ209" s="76"/>
      <c r="BK209" s="76"/>
      <c r="BL209" s="76"/>
      <c r="BM209" s="76"/>
      <c r="BN209" s="76"/>
      <c r="BO209" s="76"/>
      <c r="BP209" s="76"/>
      <c r="BQ209" s="76"/>
      <c r="BR209" s="76"/>
      <c r="BS209" s="76"/>
      <c r="BT209" s="76"/>
    </row>
    <row r="210" spans="3:72" x14ac:dyDescent="0.25">
      <c r="C210" s="135">
        <v>208</v>
      </c>
      <c r="D210" s="136"/>
      <c r="E210" s="153">
        <v>39.332212699999999</v>
      </c>
      <c r="F210" s="154">
        <v>-76.600833399999999</v>
      </c>
      <c r="G210" s="13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 t="s">
        <v>358</v>
      </c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6"/>
      <c r="AW210" s="76"/>
      <c r="AX210" s="76"/>
      <c r="AY210" s="76"/>
      <c r="AZ210" s="76"/>
      <c r="BA210" s="76"/>
      <c r="BB210" s="76"/>
      <c r="BC210" s="76"/>
      <c r="BD210" s="76"/>
      <c r="BE210" s="76"/>
      <c r="BF210" s="76"/>
      <c r="BG210" s="76"/>
      <c r="BH210" s="76"/>
      <c r="BI210" s="76"/>
      <c r="BJ210" s="76"/>
      <c r="BK210" s="76"/>
      <c r="BL210" s="76"/>
      <c r="BM210" s="76"/>
      <c r="BN210" s="76"/>
      <c r="BO210" s="76"/>
      <c r="BP210" s="76"/>
      <c r="BQ210" s="76"/>
      <c r="BR210" s="76"/>
      <c r="BS210" s="76"/>
      <c r="BT210" s="76"/>
    </row>
    <row r="211" spans="3:72" x14ac:dyDescent="0.25">
      <c r="C211" s="135">
        <v>209</v>
      </c>
      <c r="D211" s="136"/>
      <c r="E211" s="153">
        <v>39.332212699999999</v>
      </c>
      <c r="F211" s="154">
        <v>-76.600833399999999</v>
      </c>
      <c r="G211" s="13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 t="s">
        <v>358</v>
      </c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6"/>
      <c r="AW211" s="76"/>
      <c r="AX211" s="76"/>
      <c r="AY211" s="76"/>
      <c r="AZ211" s="76"/>
      <c r="BA211" s="76"/>
      <c r="BB211" s="76"/>
      <c r="BC211" s="76"/>
      <c r="BD211" s="76"/>
      <c r="BE211" s="76"/>
      <c r="BF211" s="76"/>
      <c r="BG211" s="76"/>
      <c r="BH211" s="76"/>
      <c r="BI211" s="76"/>
      <c r="BJ211" s="76"/>
      <c r="BK211" s="76"/>
      <c r="BL211" s="76"/>
      <c r="BM211" s="76"/>
      <c r="BN211" s="76"/>
      <c r="BO211" s="76"/>
      <c r="BP211" s="76"/>
      <c r="BQ211" s="76"/>
      <c r="BR211" s="76"/>
      <c r="BS211" s="76"/>
      <c r="BT211" s="76"/>
    </row>
    <row r="212" spans="3:72" x14ac:dyDescent="0.25">
      <c r="C212" s="135">
        <v>210</v>
      </c>
      <c r="D212" s="136"/>
      <c r="E212" s="153">
        <v>30.080174</v>
      </c>
      <c r="F212" s="154">
        <v>-94.126556199999996</v>
      </c>
      <c r="G212" s="13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 t="s">
        <v>358</v>
      </c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6"/>
      <c r="AW212" s="76"/>
      <c r="AX212" s="76"/>
      <c r="AY212" s="76"/>
      <c r="AZ212" s="76"/>
      <c r="BA212" s="76"/>
      <c r="BB212" s="76"/>
      <c r="BC212" s="76"/>
      <c r="BD212" s="76"/>
      <c r="BE212" s="76"/>
      <c r="BF212" s="76"/>
      <c r="BG212" s="76"/>
      <c r="BH212" s="76"/>
      <c r="BI212" s="76"/>
      <c r="BJ212" s="76"/>
      <c r="BK212" s="76"/>
      <c r="BL212" s="76"/>
      <c r="BM212" s="76"/>
      <c r="BN212" s="76"/>
      <c r="BO212" s="76"/>
      <c r="BP212" s="76"/>
      <c r="BQ212" s="76"/>
      <c r="BR212" s="76"/>
      <c r="BS212" s="76"/>
      <c r="BT212" s="76"/>
    </row>
    <row r="213" spans="3:72" x14ac:dyDescent="0.25">
      <c r="C213" s="135">
        <v>211</v>
      </c>
      <c r="D213" s="136"/>
      <c r="E213" s="153">
        <v>30.080174</v>
      </c>
      <c r="F213" s="154">
        <v>-94.126556199999996</v>
      </c>
      <c r="G213" s="13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 t="s">
        <v>358</v>
      </c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6"/>
      <c r="AW213" s="76"/>
      <c r="AX213" s="76"/>
      <c r="AY213" s="76"/>
      <c r="AZ213" s="76"/>
      <c r="BA213" s="76"/>
      <c r="BB213" s="76"/>
      <c r="BC213" s="76"/>
      <c r="BD213" s="76"/>
      <c r="BE213" s="76"/>
      <c r="BF213" s="76"/>
      <c r="BG213" s="76"/>
      <c r="BH213" s="76"/>
      <c r="BI213" s="76"/>
      <c r="BJ213" s="76"/>
      <c r="BK213" s="76"/>
      <c r="BL213" s="76"/>
      <c r="BM213" s="76"/>
      <c r="BN213" s="76"/>
      <c r="BO213" s="76"/>
      <c r="BP213" s="76"/>
      <c r="BQ213" s="76"/>
      <c r="BR213" s="76"/>
      <c r="BS213" s="76"/>
      <c r="BT213" s="76"/>
    </row>
    <row r="214" spans="3:72" x14ac:dyDescent="0.25">
      <c r="C214" s="135">
        <v>212</v>
      </c>
      <c r="D214" s="136"/>
      <c r="E214" s="153">
        <v>39.034831699999998</v>
      </c>
      <c r="F214" s="154">
        <v>-76.907473899999999</v>
      </c>
      <c r="G214" s="13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 t="s">
        <v>358</v>
      </c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6"/>
      <c r="AW214" s="76"/>
      <c r="AX214" s="76"/>
      <c r="AY214" s="76"/>
      <c r="AZ214" s="76"/>
      <c r="BA214" s="76"/>
      <c r="BB214" s="76"/>
      <c r="BC214" s="76"/>
      <c r="BD214" s="76"/>
      <c r="BE214" s="76"/>
      <c r="BF214" s="76"/>
      <c r="BG214" s="76"/>
      <c r="BH214" s="76"/>
      <c r="BI214" s="76"/>
      <c r="BJ214" s="76"/>
      <c r="BK214" s="76"/>
      <c r="BL214" s="76"/>
      <c r="BM214" s="76"/>
      <c r="BN214" s="76"/>
      <c r="BO214" s="76"/>
      <c r="BP214" s="76"/>
      <c r="BQ214" s="76"/>
      <c r="BR214" s="76"/>
      <c r="BS214" s="76"/>
      <c r="BT214" s="76"/>
    </row>
    <row r="215" spans="3:72" x14ac:dyDescent="0.25">
      <c r="C215" s="135">
        <v>213</v>
      </c>
      <c r="D215" s="136"/>
      <c r="E215" s="153">
        <v>37.871522599999999</v>
      </c>
      <c r="F215" s="154">
        <v>-122.273042</v>
      </c>
      <c r="G215" s="13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 t="s">
        <v>358</v>
      </c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6"/>
      <c r="AW215" s="76"/>
      <c r="AX215" s="76"/>
      <c r="AY215" s="76"/>
      <c r="AZ215" s="76"/>
      <c r="BA215" s="76"/>
      <c r="BB215" s="76"/>
      <c r="BC215" s="76"/>
      <c r="BD215" s="76"/>
      <c r="BE215" s="76"/>
      <c r="BF215" s="76"/>
      <c r="BG215" s="76"/>
      <c r="BH215" s="76"/>
      <c r="BI215" s="76"/>
      <c r="BJ215" s="76"/>
      <c r="BK215" s="76"/>
      <c r="BL215" s="76"/>
      <c r="BM215" s="76"/>
      <c r="BN215" s="76"/>
      <c r="BO215" s="76"/>
      <c r="BP215" s="76"/>
      <c r="BQ215" s="76"/>
      <c r="BR215" s="76"/>
      <c r="BS215" s="76"/>
      <c r="BT215" s="76"/>
    </row>
    <row r="216" spans="3:72" x14ac:dyDescent="0.25">
      <c r="C216" s="135">
        <v>214</v>
      </c>
      <c r="D216" s="136"/>
      <c r="E216" s="153">
        <v>37.871522599999999</v>
      </c>
      <c r="F216" s="154">
        <v>-122.273042</v>
      </c>
      <c r="G216" s="13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 t="s">
        <v>358</v>
      </c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6"/>
      <c r="AW216" s="76"/>
      <c r="AX216" s="76"/>
      <c r="AY216" s="76"/>
      <c r="AZ216" s="76"/>
      <c r="BA216" s="76"/>
      <c r="BB216" s="76"/>
      <c r="BC216" s="76"/>
      <c r="BD216" s="76"/>
      <c r="BE216" s="76"/>
      <c r="BF216" s="76"/>
      <c r="BG216" s="76"/>
      <c r="BH216" s="76"/>
      <c r="BI216" s="76"/>
      <c r="BJ216" s="76"/>
      <c r="BK216" s="76"/>
      <c r="BL216" s="76"/>
      <c r="BM216" s="76"/>
      <c r="BN216" s="76"/>
      <c r="BO216" s="76"/>
      <c r="BP216" s="76"/>
      <c r="BQ216" s="76"/>
      <c r="BR216" s="76"/>
      <c r="BS216" s="76"/>
      <c r="BT216" s="76"/>
    </row>
    <row r="217" spans="3:72" x14ac:dyDescent="0.25">
      <c r="C217" s="135">
        <v>215</v>
      </c>
      <c r="D217" s="136"/>
      <c r="E217" s="153">
        <v>42.360082499999997</v>
      </c>
      <c r="F217" s="154">
        <v>-71.058880099999996</v>
      </c>
      <c r="G217" s="13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 t="s">
        <v>358</v>
      </c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6"/>
      <c r="AW217" s="76"/>
      <c r="AX217" s="76"/>
      <c r="AY217" s="76"/>
      <c r="AZ217" s="76"/>
      <c r="BA217" s="76"/>
      <c r="BB217" s="76"/>
      <c r="BC217" s="76"/>
      <c r="BD217" s="76"/>
      <c r="BE217" s="76"/>
      <c r="BF217" s="76"/>
      <c r="BG217" s="76"/>
      <c r="BH217" s="76"/>
      <c r="BI217" s="76"/>
      <c r="BJ217" s="76"/>
      <c r="BK217" s="76"/>
      <c r="BL217" s="76"/>
      <c r="BM217" s="76"/>
      <c r="BN217" s="76"/>
      <c r="BO217" s="76"/>
      <c r="BP217" s="76"/>
      <c r="BQ217" s="76"/>
      <c r="BR217" s="76"/>
      <c r="BS217" s="76"/>
      <c r="BT217" s="76"/>
    </row>
    <row r="218" spans="3:72" x14ac:dyDescent="0.25">
      <c r="C218" s="135">
        <v>216</v>
      </c>
      <c r="D218" s="136"/>
      <c r="E218" s="153">
        <v>42.360082499999997</v>
      </c>
      <c r="F218" s="154">
        <v>-71.058880099999996</v>
      </c>
      <c r="G218" s="13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 t="s">
        <v>358</v>
      </c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6"/>
      <c r="AW218" s="76"/>
      <c r="AX218" s="76"/>
      <c r="AY218" s="76"/>
      <c r="AZ218" s="76"/>
      <c r="BA218" s="76"/>
      <c r="BB218" s="76"/>
      <c r="BC218" s="76"/>
      <c r="BD218" s="76"/>
      <c r="BE218" s="76"/>
      <c r="BF218" s="76"/>
      <c r="BG218" s="76"/>
      <c r="BH218" s="76"/>
      <c r="BI218" s="76"/>
      <c r="BJ218" s="76"/>
      <c r="BK218" s="76"/>
      <c r="BL218" s="76"/>
      <c r="BM218" s="76"/>
      <c r="BN218" s="76"/>
      <c r="BO218" s="76"/>
      <c r="BP218" s="76"/>
      <c r="BQ218" s="76"/>
      <c r="BR218" s="76"/>
      <c r="BS218" s="76"/>
      <c r="BT218" s="76"/>
    </row>
    <row r="219" spans="3:72" x14ac:dyDescent="0.25">
      <c r="C219" s="135">
        <v>217</v>
      </c>
      <c r="D219" s="136"/>
      <c r="E219" s="153">
        <v>42.360082499999997</v>
      </c>
      <c r="F219" s="154">
        <v>-71.058880099999996</v>
      </c>
      <c r="G219" s="13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 t="s">
        <v>358</v>
      </c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6"/>
      <c r="AW219" s="76"/>
      <c r="AX219" s="76"/>
      <c r="AY219" s="76"/>
      <c r="AZ219" s="76"/>
      <c r="BA219" s="76"/>
      <c r="BB219" s="76"/>
      <c r="BC219" s="76"/>
      <c r="BD219" s="76"/>
      <c r="BE219" s="76"/>
      <c r="BF219" s="76"/>
      <c r="BG219" s="76"/>
      <c r="BH219" s="76"/>
      <c r="BI219" s="76"/>
      <c r="BJ219" s="76"/>
      <c r="BK219" s="76"/>
      <c r="BL219" s="76"/>
      <c r="BM219" s="76"/>
      <c r="BN219" s="76"/>
      <c r="BO219" s="76"/>
      <c r="BP219" s="76"/>
      <c r="BQ219" s="76"/>
      <c r="BR219" s="76"/>
      <c r="BS219" s="76"/>
      <c r="BT219" s="76"/>
    </row>
    <row r="220" spans="3:72" x14ac:dyDescent="0.25">
      <c r="C220" s="135">
        <v>218</v>
      </c>
      <c r="D220" s="136"/>
      <c r="E220" s="153">
        <v>42.360082499999997</v>
      </c>
      <c r="F220" s="154">
        <v>-71.058880099999996</v>
      </c>
      <c r="G220" s="13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 t="s">
        <v>358</v>
      </c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6"/>
      <c r="AW220" s="76"/>
      <c r="AX220" s="76"/>
      <c r="AY220" s="76"/>
      <c r="AZ220" s="76"/>
      <c r="BA220" s="76"/>
      <c r="BB220" s="76"/>
      <c r="BC220" s="76"/>
      <c r="BD220" s="76"/>
      <c r="BE220" s="76"/>
      <c r="BF220" s="76"/>
      <c r="BG220" s="76"/>
      <c r="BH220" s="76"/>
      <c r="BI220" s="76"/>
      <c r="BJ220" s="76"/>
      <c r="BK220" s="76"/>
      <c r="BL220" s="76"/>
      <c r="BM220" s="76"/>
      <c r="BN220" s="76"/>
      <c r="BO220" s="76"/>
      <c r="BP220" s="76"/>
      <c r="BQ220" s="76"/>
      <c r="BR220" s="76"/>
      <c r="BS220" s="76"/>
      <c r="BT220" s="76"/>
    </row>
    <row r="221" spans="3:72" x14ac:dyDescent="0.25">
      <c r="C221" s="135">
        <v>219</v>
      </c>
      <c r="D221" s="136"/>
      <c r="E221" s="153">
        <v>42.360082499999997</v>
      </c>
      <c r="F221" s="154">
        <v>-71.058880099999996</v>
      </c>
      <c r="G221" s="13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 t="s">
        <v>358</v>
      </c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6"/>
      <c r="AW221" s="76"/>
      <c r="AX221" s="76"/>
      <c r="AY221" s="76"/>
      <c r="AZ221" s="76"/>
      <c r="BA221" s="76"/>
      <c r="BB221" s="76"/>
      <c r="BC221" s="76"/>
      <c r="BD221" s="76"/>
      <c r="BE221" s="76"/>
      <c r="BF221" s="76"/>
      <c r="BG221" s="76"/>
      <c r="BH221" s="76"/>
      <c r="BI221" s="76"/>
      <c r="BJ221" s="76"/>
      <c r="BK221" s="76"/>
      <c r="BL221" s="76"/>
      <c r="BM221" s="76"/>
      <c r="BN221" s="76"/>
      <c r="BO221" s="76"/>
      <c r="BP221" s="76"/>
      <c r="BQ221" s="76"/>
      <c r="BR221" s="76"/>
      <c r="BS221" s="76"/>
      <c r="BT221" s="76"/>
    </row>
    <row r="222" spans="3:72" x14ac:dyDescent="0.25">
      <c r="C222" s="135">
        <v>220</v>
      </c>
      <c r="D222" s="136"/>
      <c r="E222" s="153">
        <v>42.360082499999997</v>
      </c>
      <c r="F222" s="154">
        <v>-71.058880099999996</v>
      </c>
      <c r="G222" s="13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 t="s">
        <v>358</v>
      </c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6"/>
      <c r="AW222" s="76"/>
      <c r="AX222" s="76"/>
      <c r="AY222" s="76"/>
      <c r="AZ222" s="76"/>
      <c r="BA222" s="76"/>
      <c r="BB222" s="76"/>
      <c r="BC222" s="76"/>
      <c r="BD222" s="76"/>
      <c r="BE222" s="76"/>
      <c r="BF222" s="76"/>
      <c r="BG222" s="76"/>
      <c r="BH222" s="76"/>
      <c r="BI222" s="76"/>
      <c r="BJ222" s="76"/>
      <c r="BK222" s="76"/>
      <c r="BL222" s="76"/>
      <c r="BM222" s="76"/>
      <c r="BN222" s="76"/>
      <c r="BO222" s="76"/>
      <c r="BP222" s="76"/>
      <c r="BQ222" s="76"/>
      <c r="BR222" s="76"/>
      <c r="BS222" s="76"/>
      <c r="BT222" s="76"/>
    </row>
    <row r="223" spans="3:72" x14ac:dyDescent="0.25">
      <c r="C223" s="135">
        <v>221</v>
      </c>
      <c r="D223" s="136"/>
      <c r="E223" s="153">
        <v>40.014985600000003</v>
      </c>
      <c r="F223" s="154">
        <v>-105.27054560000001</v>
      </c>
      <c r="G223" s="13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 t="s">
        <v>358</v>
      </c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6"/>
      <c r="AW223" s="76"/>
      <c r="AX223" s="76"/>
      <c r="AY223" s="76"/>
      <c r="AZ223" s="76"/>
      <c r="BA223" s="76"/>
      <c r="BB223" s="76"/>
      <c r="BC223" s="76"/>
      <c r="BD223" s="76"/>
      <c r="BE223" s="76"/>
      <c r="BF223" s="76"/>
      <c r="BG223" s="76"/>
      <c r="BH223" s="76"/>
      <c r="BI223" s="76"/>
      <c r="BJ223" s="76"/>
      <c r="BK223" s="76"/>
      <c r="BL223" s="76"/>
      <c r="BM223" s="76"/>
      <c r="BN223" s="76"/>
      <c r="BO223" s="76"/>
      <c r="BP223" s="76"/>
      <c r="BQ223" s="76"/>
      <c r="BR223" s="76"/>
      <c r="BS223" s="76"/>
      <c r="BT223" s="76"/>
    </row>
    <row r="224" spans="3:72" x14ac:dyDescent="0.25">
      <c r="C224" s="135">
        <v>222</v>
      </c>
      <c r="D224" s="136"/>
      <c r="E224" s="153">
        <v>40.014985600000003</v>
      </c>
      <c r="F224" s="154">
        <v>-105.27054560000001</v>
      </c>
      <c r="G224" s="13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 t="s">
        <v>358</v>
      </c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6"/>
      <c r="AW224" s="76"/>
      <c r="AX224" s="76"/>
      <c r="AY224" s="76"/>
      <c r="AZ224" s="76"/>
      <c r="BA224" s="76"/>
      <c r="BB224" s="76"/>
      <c r="BC224" s="76"/>
      <c r="BD224" s="76"/>
      <c r="BE224" s="76"/>
      <c r="BF224" s="76"/>
      <c r="BG224" s="76"/>
      <c r="BH224" s="76"/>
      <c r="BI224" s="76"/>
      <c r="BJ224" s="76"/>
      <c r="BK224" s="76"/>
      <c r="BL224" s="76"/>
      <c r="BM224" s="76"/>
      <c r="BN224" s="76"/>
      <c r="BO224" s="76"/>
      <c r="BP224" s="76"/>
      <c r="BQ224" s="76"/>
      <c r="BR224" s="76"/>
      <c r="BS224" s="76"/>
      <c r="BT224" s="76"/>
    </row>
    <row r="225" spans="3:72" x14ac:dyDescent="0.25">
      <c r="C225" s="135">
        <v>223</v>
      </c>
      <c r="D225" s="136"/>
      <c r="E225" s="153">
        <v>40.014985600000003</v>
      </c>
      <c r="F225" s="154">
        <v>-105.27054560000001</v>
      </c>
      <c r="G225" s="13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 t="s">
        <v>358</v>
      </c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6"/>
      <c r="AW225" s="76"/>
      <c r="AX225" s="76"/>
      <c r="AY225" s="76"/>
      <c r="AZ225" s="76"/>
      <c r="BA225" s="76"/>
      <c r="BB225" s="76"/>
      <c r="BC225" s="76"/>
      <c r="BD225" s="76"/>
      <c r="BE225" s="76"/>
      <c r="BF225" s="76"/>
      <c r="BG225" s="76"/>
      <c r="BH225" s="76"/>
      <c r="BI225" s="76"/>
      <c r="BJ225" s="76"/>
      <c r="BK225" s="76"/>
      <c r="BL225" s="76"/>
      <c r="BM225" s="76"/>
      <c r="BN225" s="76"/>
      <c r="BO225" s="76"/>
      <c r="BP225" s="76"/>
      <c r="BQ225" s="76"/>
      <c r="BR225" s="76"/>
      <c r="BS225" s="76"/>
      <c r="BT225" s="76"/>
    </row>
    <row r="226" spans="3:72" x14ac:dyDescent="0.25">
      <c r="C226" s="135">
        <v>224</v>
      </c>
      <c r="D226" s="136"/>
      <c r="E226" s="153">
        <v>40.014985600000003</v>
      </c>
      <c r="F226" s="154">
        <v>-105.27054560000001</v>
      </c>
      <c r="G226" s="13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 t="s">
        <v>358</v>
      </c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6"/>
      <c r="AW226" s="76"/>
      <c r="AX226" s="76"/>
      <c r="AY226" s="76"/>
      <c r="AZ226" s="76"/>
      <c r="BA226" s="76"/>
      <c r="BB226" s="76"/>
      <c r="BC226" s="76"/>
      <c r="BD226" s="76"/>
      <c r="BE226" s="76"/>
      <c r="BF226" s="76"/>
      <c r="BG226" s="76"/>
      <c r="BH226" s="76"/>
      <c r="BI226" s="76"/>
      <c r="BJ226" s="76"/>
      <c r="BK226" s="76"/>
      <c r="BL226" s="76"/>
      <c r="BM226" s="76"/>
      <c r="BN226" s="76"/>
      <c r="BO226" s="76"/>
      <c r="BP226" s="76"/>
      <c r="BQ226" s="76"/>
      <c r="BR226" s="76"/>
      <c r="BS226" s="76"/>
      <c r="BT226" s="76"/>
    </row>
    <row r="227" spans="3:72" x14ac:dyDescent="0.25">
      <c r="C227" s="135">
        <v>225</v>
      </c>
      <c r="D227" s="136"/>
      <c r="E227" s="153">
        <v>40.014985600000003</v>
      </c>
      <c r="F227" s="154">
        <v>-105.27054560000001</v>
      </c>
      <c r="G227" s="13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 t="s">
        <v>358</v>
      </c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6"/>
      <c r="AW227" s="76"/>
      <c r="AX227" s="76"/>
      <c r="AY227" s="76"/>
      <c r="AZ227" s="76"/>
      <c r="BA227" s="76"/>
      <c r="BB227" s="76"/>
      <c r="BC227" s="76"/>
      <c r="BD227" s="76"/>
      <c r="BE227" s="76"/>
      <c r="BF227" s="76"/>
      <c r="BG227" s="76"/>
      <c r="BH227" s="76"/>
      <c r="BI227" s="76"/>
      <c r="BJ227" s="76"/>
      <c r="BK227" s="76"/>
      <c r="BL227" s="76"/>
      <c r="BM227" s="76"/>
      <c r="BN227" s="76"/>
      <c r="BO227" s="76"/>
      <c r="BP227" s="76"/>
      <c r="BQ227" s="76"/>
      <c r="BR227" s="76"/>
      <c r="BS227" s="76"/>
      <c r="BT227" s="76"/>
    </row>
    <row r="228" spans="3:72" x14ac:dyDescent="0.25">
      <c r="C228" s="135">
        <v>226</v>
      </c>
      <c r="D228" s="136"/>
      <c r="E228" s="153">
        <v>40.014985600000003</v>
      </c>
      <c r="F228" s="154">
        <v>-105.27054560000001</v>
      </c>
      <c r="G228" s="13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 t="s">
        <v>358</v>
      </c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6"/>
      <c r="AW228" s="76"/>
      <c r="AX228" s="76"/>
      <c r="AY228" s="76"/>
      <c r="AZ228" s="76"/>
      <c r="BA228" s="76"/>
      <c r="BB228" s="76"/>
      <c r="BC228" s="76"/>
      <c r="BD228" s="76"/>
      <c r="BE228" s="76"/>
      <c r="BF228" s="76"/>
      <c r="BG228" s="76"/>
      <c r="BH228" s="76"/>
      <c r="BI228" s="76"/>
      <c r="BJ228" s="76"/>
      <c r="BK228" s="76"/>
      <c r="BL228" s="76"/>
      <c r="BM228" s="76"/>
      <c r="BN228" s="76"/>
      <c r="BO228" s="76"/>
      <c r="BP228" s="76"/>
      <c r="BQ228" s="76"/>
      <c r="BR228" s="76"/>
      <c r="BS228" s="76"/>
      <c r="BT228" s="76"/>
    </row>
    <row r="229" spans="3:72" x14ac:dyDescent="0.25">
      <c r="C229" s="135">
        <v>227</v>
      </c>
      <c r="D229" s="136"/>
      <c r="E229" s="153">
        <v>40.014985600000003</v>
      </c>
      <c r="F229" s="154">
        <v>-105.27054560000001</v>
      </c>
      <c r="G229" s="13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 t="s">
        <v>358</v>
      </c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6"/>
      <c r="AW229" s="76"/>
      <c r="AX229" s="76"/>
      <c r="AY229" s="76"/>
      <c r="AZ229" s="76"/>
      <c r="BA229" s="76"/>
      <c r="BB229" s="76"/>
      <c r="BC229" s="76"/>
      <c r="BD229" s="76"/>
      <c r="BE229" s="76"/>
      <c r="BF229" s="76"/>
      <c r="BG229" s="76"/>
      <c r="BH229" s="76"/>
      <c r="BI229" s="76"/>
      <c r="BJ229" s="76"/>
      <c r="BK229" s="76"/>
      <c r="BL229" s="76"/>
      <c r="BM229" s="76"/>
      <c r="BN229" s="76"/>
      <c r="BO229" s="76"/>
      <c r="BP229" s="76"/>
      <c r="BQ229" s="76"/>
      <c r="BR229" s="76"/>
      <c r="BS229" s="76"/>
      <c r="BT229" s="76"/>
    </row>
    <row r="230" spans="3:72" x14ac:dyDescent="0.25">
      <c r="C230" s="135">
        <v>228</v>
      </c>
      <c r="D230" s="136"/>
      <c r="E230" s="153">
        <v>39.481653700000003</v>
      </c>
      <c r="F230" s="154">
        <v>-106.0383518</v>
      </c>
      <c r="G230" s="13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 t="s">
        <v>358</v>
      </c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6"/>
      <c r="AW230" s="76"/>
      <c r="AX230" s="76"/>
      <c r="AY230" s="76"/>
      <c r="AZ230" s="76"/>
      <c r="BA230" s="76"/>
      <c r="BB230" s="76"/>
      <c r="BC230" s="76"/>
      <c r="BD230" s="76"/>
      <c r="BE230" s="76"/>
      <c r="BF230" s="76"/>
      <c r="BG230" s="76"/>
      <c r="BH230" s="76"/>
      <c r="BI230" s="76"/>
      <c r="BJ230" s="76"/>
      <c r="BK230" s="76"/>
      <c r="BL230" s="76"/>
      <c r="BM230" s="76"/>
      <c r="BN230" s="76"/>
      <c r="BO230" s="76"/>
      <c r="BP230" s="76"/>
      <c r="BQ230" s="76"/>
      <c r="BR230" s="76"/>
      <c r="BS230" s="76"/>
      <c r="BT230" s="76"/>
    </row>
    <row r="231" spans="3:72" x14ac:dyDescent="0.25">
      <c r="C231" s="135">
        <v>229</v>
      </c>
      <c r="D231" s="136"/>
      <c r="E231" s="153">
        <v>39.481653700000003</v>
      </c>
      <c r="F231" s="154">
        <v>-106.0383518</v>
      </c>
      <c r="G231" s="13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 t="s">
        <v>358</v>
      </c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6"/>
      <c r="AW231" s="76"/>
      <c r="AX231" s="76"/>
      <c r="AY231" s="76"/>
      <c r="AZ231" s="76"/>
      <c r="BA231" s="76"/>
      <c r="BB231" s="76"/>
      <c r="BC231" s="76"/>
      <c r="BD231" s="76"/>
      <c r="BE231" s="76"/>
      <c r="BF231" s="76"/>
      <c r="BG231" s="76"/>
      <c r="BH231" s="76"/>
      <c r="BI231" s="76"/>
      <c r="BJ231" s="76"/>
      <c r="BK231" s="76"/>
      <c r="BL231" s="76"/>
      <c r="BM231" s="76"/>
      <c r="BN231" s="76"/>
      <c r="BO231" s="76"/>
      <c r="BP231" s="76"/>
      <c r="BQ231" s="76"/>
      <c r="BR231" s="76"/>
      <c r="BS231" s="76"/>
      <c r="BT231" s="76"/>
    </row>
    <row r="232" spans="3:72" x14ac:dyDescent="0.25">
      <c r="C232" s="135">
        <v>230</v>
      </c>
      <c r="D232" s="136"/>
      <c r="E232" s="153">
        <v>40.6781784</v>
      </c>
      <c r="F232" s="154">
        <v>-73.944157899999993</v>
      </c>
      <c r="G232" s="13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 t="s">
        <v>358</v>
      </c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6"/>
      <c r="AW232" s="76"/>
      <c r="AX232" s="76"/>
      <c r="AY232" s="76"/>
      <c r="AZ232" s="76"/>
      <c r="BA232" s="76"/>
      <c r="BB232" s="76"/>
      <c r="BC232" s="76"/>
      <c r="BD232" s="76"/>
      <c r="BE232" s="76"/>
      <c r="BF232" s="76"/>
      <c r="BG232" s="76"/>
      <c r="BH232" s="76"/>
      <c r="BI232" s="76"/>
      <c r="BJ232" s="76"/>
      <c r="BK232" s="76"/>
      <c r="BL232" s="76"/>
      <c r="BM232" s="76"/>
      <c r="BN232" s="76"/>
      <c r="BO232" s="76"/>
      <c r="BP232" s="76"/>
      <c r="BQ232" s="76"/>
      <c r="BR232" s="76"/>
      <c r="BS232" s="76"/>
      <c r="BT232" s="76"/>
    </row>
    <row r="233" spans="3:72" x14ac:dyDescent="0.25">
      <c r="C233" s="135">
        <v>231</v>
      </c>
      <c r="D233" s="136"/>
      <c r="E233" s="153">
        <v>42.871099999999998</v>
      </c>
      <c r="F233" s="154">
        <v>-78.859319900000003</v>
      </c>
      <c r="G233" s="13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 t="s">
        <v>358</v>
      </c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6"/>
      <c r="AW233" s="76"/>
      <c r="AX233" s="76"/>
      <c r="AY233" s="76"/>
      <c r="AZ233" s="76"/>
      <c r="BA233" s="76"/>
      <c r="BB233" s="76"/>
      <c r="BC233" s="76"/>
      <c r="BD233" s="76"/>
      <c r="BE233" s="76"/>
      <c r="BF233" s="76"/>
      <c r="BG233" s="76"/>
      <c r="BH233" s="76"/>
      <c r="BI233" s="76"/>
      <c r="BJ233" s="76"/>
      <c r="BK233" s="76"/>
      <c r="BL233" s="76"/>
      <c r="BM233" s="76"/>
      <c r="BN233" s="76"/>
      <c r="BO233" s="76"/>
      <c r="BP233" s="76"/>
      <c r="BQ233" s="76"/>
      <c r="BR233" s="76"/>
      <c r="BS233" s="76"/>
      <c r="BT233" s="76"/>
    </row>
    <row r="234" spans="3:72" x14ac:dyDescent="0.25">
      <c r="C234" s="135">
        <v>232</v>
      </c>
      <c r="D234" s="136"/>
      <c r="E234" s="153">
        <v>42.871099999999998</v>
      </c>
      <c r="F234" s="154">
        <v>-78.859319900000003</v>
      </c>
      <c r="G234" s="13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 t="s">
        <v>358</v>
      </c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6"/>
      <c r="AW234" s="76"/>
      <c r="AX234" s="76"/>
      <c r="AY234" s="76"/>
      <c r="AZ234" s="76"/>
      <c r="BA234" s="76"/>
      <c r="BB234" s="76"/>
      <c r="BC234" s="76"/>
      <c r="BD234" s="76"/>
      <c r="BE234" s="76"/>
      <c r="BF234" s="76"/>
      <c r="BG234" s="76"/>
      <c r="BH234" s="76"/>
      <c r="BI234" s="76"/>
      <c r="BJ234" s="76"/>
      <c r="BK234" s="76"/>
      <c r="BL234" s="76"/>
      <c r="BM234" s="76"/>
      <c r="BN234" s="76"/>
      <c r="BO234" s="76"/>
      <c r="BP234" s="76"/>
      <c r="BQ234" s="76"/>
      <c r="BR234" s="76"/>
      <c r="BS234" s="76"/>
      <c r="BT234" s="76"/>
    </row>
    <row r="235" spans="3:72" x14ac:dyDescent="0.25">
      <c r="C235" s="135">
        <v>233</v>
      </c>
      <c r="D235" s="136"/>
      <c r="E235" s="153">
        <v>42.871099999999998</v>
      </c>
      <c r="F235" s="154">
        <v>-78.859319900000003</v>
      </c>
      <c r="G235" s="13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 t="s">
        <v>358</v>
      </c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6"/>
      <c r="AW235" s="76"/>
      <c r="AX235" s="76"/>
      <c r="AY235" s="76"/>
      <c r="AZ235" s="76"/>
      <c r="BA235" s="76"/>
      <c r="BB235" s="76"/>
      <c r="BC235" s="76"/>
      <c r="BD235" s="76"/>
      <c r="BE235" s="76"/>
      <c r="BF235" s="76"/>
      <c r="BG235" s="76"/>
      <c r="BH235" s="76"/>
      <c r="BI235" s="76"/>
      <c r="BJ235" s="76"/>
      <c r="BK235" s="76"/>
      <c r="BL235" s="76"/>
      <c r="BM235" s="76"/>
      <c r="BN235" s="76"/>
      <c r="BO235" s="76"/>
      <c r="BP235" s="76"/>
      <c r="BQ235" s="76"/>
      <c r="BR235" s="76"/>
      <c r="BS235" s="76"/>
      <c r="BT235" s="76"/>
    </row>
    <row r="236" spans="3:72" x14ac:dyDescent="0.25">
      <c r="C236" s="135">
        <v>234</v>
      </c>
      <c r="D236" s="136"/>
      <c r="E236" s="153">
        <v>42.373615800000003</v>
      </c>
      <c r="F236" s="154">
        <v>-71.109733500000004</v>
      </c>
      <c r="G236" s="13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 t="s">
        <v>358</v>
      </c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6"/>
      <c r="AW236" s="76"/>
      <c r="AX236" s="76"/>
      <c r="AY236" s="76"/>
      <c r="AZ236" s="76"/>
      <c r="BA236" s="76"/>
      <c r="BB236" s="76"/>
      <c r="BC236" s="76"/>
      <c r="BD236" s="76"/>
      <c r="BE236" s="76"/>
      <c r="BF236" s="76"/>
      <c r="BG236" s="76"/>
      <c r="BH236" s="76"/>
      <c r="BI236" s="76"/>
      <c r="BJ236" s="76"/>
      <c r="BK236" s="76"/>
      <c r="BL236" s="76"/>
      <c r="BM236" s="76"/>
      <c r="BN236" s="76"/>
      <c r="BO236" s="76"/>
      <c r="BP236" s="76"/>
      <c r="BQ236" s="76"/>
      <c r="BR236" s="76"/>
      <c r="BS236" s="76"/>
      <c r="BT236" s="76"/>
    </row>
    <row r="237" spans="3:72" x14ac:dyDescent="0.25">
      <c r="C237" s="135">
        <v>235</v>
      </c>
      <c r="D237" s="136"/>
      <c r="E237" s="153">
        <v>38.8942786</v>
      </c>
      <c r="F237" s="154">
        <v>-77.431099200000006</v>
      </c>
      <c r="G237" s="13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 t="s">
        <v>358</v>
      </c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6"/>
      <c r="AW237" s="76"/>
      <c r="AX237" s="76"/>
      <c r="AY237" s="76"/>
      <c r="AZ237" s="76"/>
      <c r="BA237" s="76"/>
      <c r="BB237" s="76"/>
      <c r="BC237" s="76"/>
      <c r="BD237" s="76"/>
      <c r="BE237" s="76"/>
      <c r="BF237" s="76"/>
      <c r="BG237" s="76"/>
      <c r="BH237" s="76"/>
      <c r="BI237" s="76"/>
      <c r="BJ237" s="76"/>
      <c r="BK237" s="76"/>
      <c r="BL237" s="76"/>
      <c r="BM237" s="76"/>
      <c r="BN237" s="76"/>
      <c r="BO237" s="76"/>
      <c r="BP237" s="76"/>
      <c r="BQ237" s="76"/>
      <c r="BR237" s="76"/>
      <c r="BS237" s="76"/>
      <c r="BT237" s="76"/>
    </row>
    <row r="238" spans="3:72" x14ac:dyDescent="0.25">
      <c r="C238" s="135">
        <v>236</v>
      </c>
      <c r="D238" s="136"/>
      <c r="E238" s="153">
        <v>35.227086900000003</v>
      </c>
      <c r="F238" s="154">
        <v>-80.843126699999999</v>
      </c>
      <c r="G238" s="13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 t="s">
        <v>358</v>
      </c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6"/>
      <c r="AW238" s="76"/>
      <c r="AX238" s="76"/>
      <c r="AY238" s="76"/>
      <c r="AZ238" s="76"/>
      <c r="BA238" s="76"/>
      <c r="BB238" s="76"/>
      <c r="BC238" s="76"/>
      <c r="BD238" s="76"/>
      <c r="BE238" s="76"/>
      <c r="BF238" s="76"/>
      <c r="BG238" s="76"/>
      <c r="BH238" s="76"/>
      <c r="BI238" s="76"/>
      <c r="BJ238" s="76"/>
      <c r="BK238" s="76"/>
      <c r="BL238" s="76"/>
      <c r="BM238" s="76"/>
      <c r="BN238" s="76"/>
      <c r="BO238" s="76"/>
      <c r="BP238" s="76"/>
      <c r="BQ238" s="76"/>
      <c r="BR238" s="76"/>
      <c r="BS238" s="76"/>
      <c r="BT238" s="76"/>
    </row>
    <row r="239" spans="3:72" x14ac:dyDescent="0.25">
      <c r="C239" s="135">
        <v>237</v>
      </c>
      <c r="D239" s="136"/>
      <c r="E239" s="153">
        <v>35.045629699999999</v>
      </c>
      <c r="F239" s="154">
        <v>-85.309680099999994</v>
      </c>
      <c r="G239" s="13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 t="s">
        <v>358</v>
      </c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6"/>
      <c r="AW239" s="76"/>
      <c r="AX239" s="76"/>
      <c r="AY239" s="76"/>
      <c r="AZ239" s="76"/>
      <c r="BA239" s="76"/>
      <c r="BB239" s="76"/>
      <c r="BC239" s="76"/>
      <c r="BD239" s="76"/>
      <c r="BE239" s="76"/>
      <c r="BF239" s="76"/>
      <c r="BG239" s="76"/>
      <c r="BH239" s="76"/>
      <c r="BI239" s="76"/>
      <c r="BJ239" s="76"/>
      <c r="BK239" s="76"/>
      <c r="BL239" s="76"/>
      <c r="BM239" s="76"/>
      <c r="BN239" s="76"/>
      <c r="BO239" s="76"/>
      <c r="BP239" s="76"/>
      <c r="BQ239" s="76"/>
      <c r="BR239" s="76"/>
      <c r="BS239" s="76"/>
      <c r="BT239" s="76"/>
    </row>
    <row r="240" spans="3:72" x14ac:dyDescent="0.25">
      <c r="C240" s="135">
        <v>238</v>
      </c>
      <c r="D240" s="136"/>
      <c r="E240" s="153">
        <v>35.045629699999999</v>
      </c>
      <c r="F240" s="154">
        <v>-85.309680099999994</v>
      </c>
      <c r="G240" s="13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 t="s">
        <v>358</v>
      </c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6"/>
      <c r="AW240" s="76"/>
      <c r="AX240" s="76"/>
      <c r="AY240" s="76"/>
      <c r="AZ240" s="76"/>
      <c r="BA240" s="76"/>
      <c r="BB240" s="76"/>
      <c r="BC240" s="76"/>
      <c r="BD240" s="76"/>
      <c r="BE240" s="76"/>
      <c r="BF240" s="76"/>
      <c r="BG240" s="76"/>
      <c r="BH240" s="76"/>
      <c r="BI240" s="76"/>
      <c r="BJ240" s="76"/>
      <c r="BK240" s="76"/>
      <c r="BL240" s="76"/>
      <c r="BM240" s="76"/>
      <c r="BN240" s="76"/>
      <c r="BO240" s="76"/>
      <c r="BP240" s="76"/>
      <c r="BQ240" s="76"/>
      <c r="BR240" s="76"/>
      <c r="BS240" s="76"/>
      <c r="BT240" s="76"/>
    </row>
    <row r="241" spans="3:72" x14ac:dyDescent="0.25">
      <c r="C241" s="135">
        <v>239</v>
      </c>
      <c r="D241" s="136"/>
      <c r="E241" s="153">
        <v>41.095449500000001</v>
      </c>
      <c r="F241" s="154">
        <v>-81.588757700000002</v>
      </c>
      <c r="G241" s="13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 t="s">
        <v>358</v>
      </c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6"/>
      <c r="AW241" s="76"/>
      <c r="AX241" s="76"/>
      <c r="AY241" s="76"/>
      <c r="AZ241" s="76"/>
      <c r="BA241" s="76"/>
      <c r="BB241" s="76"/>
      <c r="BC241" s="76"/>
      <c r="BD241" s="76"/>
      <c r="BE241" s="76"/>
      <c r="BF241" s="76"/>
      <c r="BG241" s="76"/>
      <c r="BH241" s="76"/>
      <c r="BI241" s="76"/>
      <c r="BJ241" s="76"/>
      <c r="BK241" s="76"/>
      <c r="BL241" s="76"/>
      <c r="BM241" s="76"/>
      <c r="BN241" s="76"/>
      <c r="BO241" s="76"/>
      <c r="BP241" s="76"/>
      <c r="BQ241" s="76"/>
      <c r="BR241" s="76"/>
      <c r="BS241" s="76"/>
      <c r="BT241" s="76"/>
    </row>
    <row r="242" spans="3:72" x14ac:dyDescent="0.25">
      <c r="C242" s="135">
        <v>240</v>
      </c>
      <c r="D242" s="136"/>
      <c r="E242" s="153">
        <v>38.990848700000001</v>
      </c>
      <c r="F242" s="154">
        <v>-76.944141000000002</v>
      </c>
      <c r="G242" s="13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 t="s">
        <v>358</v>
      </c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6"/>
      <c r="AW242" s="76"/>
      <c r="AX242" s="76"/>
      <c r="AY242" s="76"/>
      <c r="AZ242" s="76"/>
      <c r="BA242" s="76"/>
      <c r="BB242" s="76"/>
      <c r="BC242" s="76"/>
      <c r="BD242" s="76"/>
      <c r="BE242" s="76"/>
      <c r="BF242" s="76"/>
      <c r="BG242" s="76"/>
      <c r="BH242" s="76"/>
      <c r="BI242" s="76"/>
      <c r="BJ242" s="76"/>
      <c r="BK242" s="76"/>
      <c r="BL242" s="76"/>
      <c r="BM242" s="76"/>
      <c r="BN242" s="76"/>
      <c r="BO242" s="76"/>
      <c r="BP242" s="76"/>
      <c r="BQ242" s="76"/>
      <c r="BR242" s="76"/>
      <c r="BS242" s="76"/>
      <c r="BT242" s="76"/>
    </row>
    <row r="243" spans="3:72" x14ac:dyDescent="0.25">
      <c r="C243" s="135">
        <v>241</v>
      </c>
      <c r="D243" s="136"/>
      <c r="E243" s="153">
        <v>38.990848700000001</v>
      </c>
      <c r="F243" s="154">
        <v>-76.944141000000002</v>
      </c>
      <c r="G243" s="13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 t="s">
        <v>358</v>
      </c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6"/>
      <c r="AW243" s="76"/>
      <c r="AX243" s="76"/>
      <c r="AY243" s="76"/>
      <c r="AZ243" s="76"/>
      <c r="BA243" s="76"/>
      <c r="BB243" s="76"/>
      <c r="BC243" s="76"/>
      <c r="BD243" s="76"/>
      <c r="BE243" s="76"/>
      <c r="BF243" s="76"/>
      <c r="BG243" s="76"/>
      <c r="BH243" s="76"/>
      <c r="BI243" s="76"/>
      <c r="BJ243" s="76"/>
      <c r="BK243" s="76"/>
      <c r="BL243" s="76"/>
      <c r="BM243" s="76"/>
      <c r="BN243" s="76"/>
      <c r="BO243" s="76"/>
      <c r="BP243" s="76"/>
      <c r="BQ243" s="76"/>
      <c r="BR243" s="76"/>
      <c r="BS243" s="76"/>
      <c r="BT243" s="76"/>
    </row>
    <row r="244" spans="3:72" x14ac:dyDescent="0.25">
      <c r="C244" s="135">
        <v>242</v>
      </c>
      <c r="D244" s="136"/>
      <c r="E244" s="153">
        <v>38.933139099999998</v>
      </c>
      <c r="F244" s="154">
        <v>-92.373803699999996</v>
      </c>
      <c r="G244" s="13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 t="s">
        <v>358</v>
      </c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6"/>
      <c r="AW244" s="76"/>
      <c r="AX244" s="76"/>
      <c r="AY244" s="76"/>
      <c r="AZ244" s="76"/>
      <c r="BA244" s="76"/>
      <c r="BB244" s="76"/>
      <c r="BC244" s="76"/>
      <c r="BD244" s="76"/>
      <c r="BE244" s="76"/>
      <c r="BF244" s="76"/>
      <c r="BG244" s="76"/>
      <c r="BH244" s="76"/>
      <c r="BI244" s="76"/>
      <c r="BJ244" s="76"/>
      <c r="BK244" s="76"/>
      <c r="BL244" s="76"/>
      <c r="BM244" s="76"/>
      <c r="BN244" s="76"/>
      <c r="BO244" s="76"/>
      <c r="BP244" s="76"/>
      <c r="BQ244" s="76"/>
      <c r="BR244" s="76"/>
      <c r="BS244" s="76"/>
      <c r="BT244" s="76"/>
    </row>
    <row r="245" spans="3:72" x14ac:dyDescent="0.25">
      <c r="C245" s="135">
        <v>243</v>
      </c>
      <c r="D245" s="136"/>
      <c r="E245" s="153">
        <v>38.933139099999998</v>
      </c>
      <c r="F245" s="154">
        <v>-92.373803699999996</v>
      </c>
      <c r="G245" s="13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 t="s">
        <v>358</v>
      </c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6"/>
      <c r="AW245" s="76"/>
      <c r="AX245" s="76"/>
      <c r="AY245" s="76"/>
      <c r="AZ245" s="76"/>
      <c r="BA245" s="76"/>
      <c r="BB245" s="76"/>
      <c r="BC245" s="76"/>
      <c r="BD245" s="76"/>
      <c r="BE245" s="76"/>
      <c r="BF245" s="76"/>
      <c r="BG245" s="76"/>
      <c r="BH245" s="76"/>
      <c r="BI245" s="76"/>
      <c r="BJ245" s="76"/>
      <c r="BK245" s="76"/>
      <c r="BL245" s="76"/>
      <c r="BM245" s="76"/>
      <c r="BN245" s="76"/>
      <c r="BO245" s="76"/>
      <c r="BP245" s="76"/>
      <c r="BQ245" s="76"/>
      <c r="BR245" s="76"/>
      <c r="BS245" s="76"/>
      <c r="BT245" s="76"/>
    </row>
    <row r="246" spans="3:72" x14ac:dyDescent="0.25">
      <c r="C246" s="135">
        <v>244</v>
      </c>
      <c r="D246" s="136"/>
      <c r="E246" s="153">
        <v>33.875293499999998</v>
      </c>
      <c r="F246" s="154">
        <v>-117.5664384</v>
      </c>
      <c r="G246" s="13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 t="s">
        <v>358</v>
      </c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6"/>
      <c r="AW246" s="76"/>
      <c r="AX246" s="76"/>
      <c r="AY246" s="76"/>
      <c r="AZ246" s="76"/>
      <c r="BA246" s="76"/>
      <c r="BB246" s="76"/>
      <c r="BC246" s="76"/>
      <c r="BD246" s="76"/>
      <c r="BE246" s="76"/>
      <c r="BF246" s="76"/>
      <c r="BG246" s="76"/>
      <c r="BH246" s="76"/>
      <c r="BI246" s="76"/>
      <c r="BJ246" s="76"/>
      <c r="BK246" s="76"/>
      <c r="BL246" s="76"/>
      <c r="BM246" s="76"/>
      <c r="BN246" s="76"/>
      <c r="BO246" s="76"/>
      <c r="BP246" s="76"/>
      <c r="BQ246" s="76"/>
      <c r="BR246" s="76"/>
      <c r="BS246" s="76"/>
      <c r="BT246" s="76"/>
    </row>
    <row r="247" spans="3:72" x14ac:dyDescent="0.25">
      <c r="C247" s="135">
        <v>245</v>
      </c>
      <c r="D247" s="136"/>
      <c r="E247" s="153">
        <v>44.564272199999998</v>
      </c>
      <c r="F247" s="154">
        <v>-123.2785942</v>
      </c>
      <c r="G247" s="13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 t="s">
        <v>358</v>
      </c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6"/>
      <c r="AW247" s="76"/>
      <c r="AX247" s="76"/>
      <c r="AY247" s="76"/>
      <c r="AZ247" s="76"/>
      <c r="BA247" s="76"/>
      <c r="BB247" s="76"/>
      <c r="BC247" s="76"/>
      <c r="BD247" s="76"/>
      <c r="BE247" s="76"/>
      <c r="BF247" s="76"/>
      <c r="BG247" s="76"/>
      <c r="BH247" s="76"/>
      <c r="BI247" s="76"/>
      <c r="BJ247" s="76"/>
      <c r="BK247" s="76"/>
      <c r="BL247" s="76"/>
      <c r="BM247" s="76"/>
      <c r="BN247" s="76"/>
      <c r="BO247" s="76"/>
      <c r="BP247" s="76"/>
      <c r="BQ247" s="76"/>
      <c r="BR247" s="76"/>
      <c r="BS247" s="76"/>
      <c r="BT247" s="76"/>
    </row>
    <row r="248" spans="3:72" x14ac:dyDescent="0.25">
      <c r="C248" s="135">
        <v>246</v>
      </c>
      <c r="D248" s="136"/>
      <c r="E248" s="153">
        <v>44.564272199999998</v>
      </c>
      <c r="F248" s="154">
        <v>-123.2785942</v>
      </c>
      <c r="G248" s="13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 t="s">
        <v>358</v>
      </c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6"/>
      <c r="AW248" s="76"/>
      <c r="AX248" s="76"/>
      <c r="AY248" s="76"/>
      <c r="AZ248" s="76"/>
      <c r="BA248" s="76"/>
      <c r="BB248" s="76"/>
      <c r="BC248" s="76"/>
      <c r="BD248" s="76"/>
      <c r="BE248" s="76"/>
      <c r="BF248" s="76"/>
      <c r="BG248" s="76"/>
      <c r="BH248" s="76"/>
      <c r="BI248" s="76"/>
      <c r="BJ248" s="76"/>
      <c r="BK248" s="76"/>
      <c r="BL248" s="76"/>
      <c r="BM248" s="76"/>
      <c r="BN248" s="76"/>
      <c r="BO248" s="76"/>
      <c r="BP248" s="76"/>
      <c r="BQ248" s="76"/>
      <c r="BR248" s="76"/>
      <c r="BS248" s="76"/>
      <c r="BT248" s="76"/>
    </row>
    <row r="249" spans="3:72" x14ac:dyDescent="0.25">
      <c r="C249" s="135">
        <v>247</v>
      </c>
      <c r="D249" s="136"/>
      <c r="E249" s="153">
        <v>44.564565899999998</v>
      </c>
      <c r="F249" s="154">
        <v>-123.2620435</v>
      </c>
      <c r="G249" s="13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 t="s">
        <v>358</v>
      </c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  <c r="AT249" s="76"/>
      <c r="AU249" s="76"/>
      <c r="AV249" s="76"/>
      <c r="AW249" s="76"/>
      <c r="AX249" s="76"/>
      <c r="AY249" s="76"/>
      <c r="AZ249" s="76"/>
      <c r="BA249" s="76"/>
      <c r="BB249" s="76"/>
      <c r="BC249" s="76"/>
      <c r="BD249" s="76"/>
      <c r="BE249" s="76"/>
      <c r="BF249" s="76"/>
      <c r="BG249" s="76"/>
      <c r="BH249" s="76"/>
      <c r="BI249" s="76"/>
      <c r="BJ249" s="76"/>
      <c r="BK249" s="76"/>
      <c r="BL249" s="76"/>
      <c r="BM249" s="76"/>
      <c r="BN249" s="76"/>
      <c r="BO249" s="76"/>
      <c r="BP249" s="76"/>
      <c r="BQ249" s="76"/>
      <c r="BR249" s="76"/>
      <c r="BS249" s="76"/>
      <c r="BT249" s="76"/>
    </row>
    <row r="250" spans="3:72" x14ac:dyDescent="0.25">
      <c r="C250" s="135">
        <v>248</v>
      </c>
      <c r="D250" s="136"/>
      <c r="E250" s="153">
        <v>44.564565899999998</v>
      </c>
      <c r="F250" s="154">
        <v>-123.2620435</v>
      </c>
      <c r="G250" s="13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 t="s">
        <v>358</v>
      </c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6"/>
      <c r="AW250" s="76"/>
      <c r="AX250" s="76"/>
      <c r="AY250" s="76"/>
      <c r="AZ250" s="76"/>
      <c r="BA250" s="76"/>
      <c r="BB250" s="76"/>
      <c r="BC250" s="76"/>
      <c r="BD250" s="76"/>
      <c r="BE250" s="76"/>
      <c r="BF250" s="76"/>
      <c r="BG250" s="76"/>
      <c r="BH250" s="76"/>
      <c r="BI250" s="76"/>
      <c r="BJ250" s="76"/>
      <c r="BK250" s="76"/>
      <c r="BL250" s="76"/>
      <c r="BM250" s="76"/>
      <c r="BN250" s="76"/>
      <c r="BO250" s="76"/>
      <c r="BP250" s="76"/>
      <c r="BQ250" s="76"/>
      <c r="BR250" s="76"/>
      <c r="BS250" s="76"/>
      <c r="BT250" s="76"/>
    </row>
    <row r="251" spans="3:72" x14ac:dyDescent="0.25">
      <c r="C251" s="135">
        <v>249</v>
      </c>
      <c r="D251" s="136"/>
      <c r="E251" s="153">
        <v>38.544906500000003</v>
      </c>
      <c r="F251" s="154">
        <v>-121.7405167</v>
      </c>
      <c r="G251" s="13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 t="s">
        <v>358</v>
      </c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6"/>
      <c r="AW251" s="76"/>
      <c r="AX251" s="76"/>
      <c r="AY251" s="76"/>
      <c r="AZ251" s="76"/>
      <c r="BA251" s="76"/>
      <c r="BB251" s="76"/>
      <c r="BC251" s="76"/>
      <c r="BD251" s="76"/>
      <c r="BE251" s="76"/>
      <c r="BF251" s="76"/>
      <c r="BG251" s="76"/>
      <c r="BH251" s="76"/>
      <c r="BI251" s="76"/>
      <c r="BJ251" s="76"/>
      <c r="BK251" s="76"/>
      <c r="BL251" s="76"/>
      <c r="BM251" s="76"/>
      <c r="BN251" s="76"/>
      <c r="BO251" s="76"/>
      <c r="BP251" s="76"/>
      <c r="BQ251" s="76"/>
      <c r="BR251" s="76"/>
      <c r="BS251" s="76"/>
      <c r="BT251" s="76"/>
    </row>
    <row r="252" spans="3:72" x14ac:dyDescent="0.25">
      <c r="C252" s="135">
        <v>250</v>
      </c>
      <c r="D252" s="136"/>
      <c r="E252" s="153">
        <v>42.322259899999999</v>
      </c>
      <c r="F252" s="154">
        <v>-83.176314500000004</v>
      </c>
      <c r="G252" s="13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 t="s">
        <v>358</v>
      </c>
      <c r="AC252" s="76"/>
      <c r="AD252" s="76"/>
      <c r="AE252" s="76"/>
      <c r="AF252" s="76"/>
      <c r="AG252" s="76"/>
      <c r="AH252" s="76"/>
      <c r="AI252" s="76"/>
      <c r="AJ252" s="76"/>
      <c r="AK252" s="76"/>
      <c r="AL252" s="76"/>
      <c r="AM252" s="76"/>
      <c r="AN252" s="76"/>
      <c r="AO252" s="76"/>
      <c r="AP252" s="76"/>
      <c r="AQ252" s="76"/>
      <c r="AR252" s="76"/>
      <c r="AS252" s="76"/>
      <c r="AT252" s="76"/>
      <c r="AU252" s="76"/>
      <c r="AV252" s="76"/>
      <c r="AW252" s="76"/>
      <c r="AX252" s="76"/>
      <c r="AY252" s="76"/>
      <c r="AZ252" s="76"/>
      <c r="BA252" s="76"/>
      <c r="BB252" s="76"/>
      <c r="BC252" s="76"/>
      <c r="BD252" s="76"/>
      <c r="BE252" s="76"/>
      <c r="BF252" s="76"/>
      <c r="BG252" s="76"/>
      <c r="BH252" s="76"/>
      <c r="BI252" s="76"/>
      <c r="BJ252" s="76"/>
      <c r="BK252" s="76"/>
      <c r="BL252" s="76"/>
      <c r="BM252" s="76"/>
      <c r="BN252" s="76"/>
      <c r="BO252" s="76"/>
      <c r="BP252" s="76"/>
      <c r="BQ252" s="76"/>
      <c r="BR252" s="76"/>
      <c r="BS252" s="76"/>
      <c r="BT252" s="76"/>
    </row>
    <row r="253" spans="3:72" x14ac:dyDescent="0.25">
      <c r="C253" s="135">
        <v>251</v>
      </c>
      <c r="D253" s="136"/>
      <c r="E253" s="153">
        <v>33.774827500000001</v>
      </c>
      <c r="F253" s="154">
        <v>-84.296312299999997</v>
      </c>
      <c r="G253" s="13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 t="s">
        <v>358</v>
      </c>
      <c r="AC253" s="76"/>
      <c r="AD253" s="76"/>
      <c r="AE253" s="76"/>
      <c r="AF253" s="76"/>
      <c r="AG253" s="76"/>
      <c r="AH253" s="76"/>
      <c r="AI253" s="76"/>
      <c r="AJ253" s="76"/>
      <c r="AK253" s="76"/>
      <c r="AL253" s="76"/>
      <c r="AM253" s="76"/>
      <c r="AN253" s="76"/>
      <c r="AO253" s="76"/>
      <c r="AP253" s="76"/>
      <c r="AQ253" s="76"/>
      <c r="AR253" s="76"/>
      <c r="AS253" s="76"/>
      <c r="AT253" s="76"/>
      <c r="AU253" s="76"/>
      <c r="AV253" s="76"/>
      <c r="AW253" s="76"/>
      <c r="AX253" s="76"/>
      <c r="AY253" s="76"/>
      <c r="AZ253" s="76"/>
      <c r="BA253" s="76"/>
      <c r="BB253" s="76"/>
      <c r="BC253" s="76"/>
      <c r="BD253" s="76"/>
      <c r="BE253" s="76"/>
      <c r="BF253" s="76"/>
      <c r="BG253" s="76"/>
      <c r="BH253" s="76"/>
      <c r="BI253" s="76"/>
      <c r="BJ253" s="76"/>
      <c r="BK253" s="76"/>
      <c r="BL253" s="76"/>
      <c r="BM253" s="76"/>
      <c r="BN253" s="76"/>
      <c r="BO253" s="76"/>
      <c r="BP253" s="76"/>
      <c r="BQ253" s="76"/>
      <c r="BR253" s="76"/>
      <c r="BS253" s="76"/>
      <c r="BT253" s="76"/>
    </row>
    <row r="254" spans="3:72" x14ac:dyDescent="0.25">
      <c r="C254" s="135">
        <v>252</v>
      </c>
      <c r="D254" s="136"/>
      <c r="E254" s="153">
        <v>39.514284799999999</v>
      </c>
      <c r="F254" s="154">
        <v>-104.8454619</v>
      </c>
      <c r="G254" s="13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 t="s">
        <v>358</v>
      </c>
      <c r="AC254" s="76"/>
      <c r="AD254" s="76"/>
      <c r="AE254" s="76"/>
      <c r="AF254" s="76"/>
      <c r="AG254" s="76"/>
      <c r="AH254" s="76"/>
      <c r="AI254" s="76"/>
      <c r="AJ254" s="76"/>
      <c r="AK254" s="76"/>
      <c r="AL254" s="76"/>
      <c r="AM254" s="76"/>
      <c r="AN254" s="76"/>
      <c r="AO254" s="76"/>
      <c r="AP254" s="76"/>
      <c r="AQ254" s="76"/>
      <c r="AR254" s="76"/>
      <c r="AS254" s="76"/>
      <c r="AT254" s="76"/>
      <c r="AU254" s="76"/>
      <c r="AV254" s="76"/>
      <c r="AW254" s="76"/>
      <c r="AX254" s="76"/>
      <c r="AY254" s="76"/>
      <c r="AZ254" s="76"/>
      <c r="BA254" s="76"/>
      <c r="BB254" s="76"/>
      <c r="BC254" s="76"/>
      <c r="BD254" s="76"/>
      <c r="BE254" s="76"/>
      <c r="BF254" s="76"/>
      <c r="BG254" s="76"/>
      <c r="BH254" s="76"/>
      <c r="BI254" s="76"/>
      <c r="BJ254" s="76"/>
      <c r="BK254" s="76"/>
      <c r="BL254" s="76"/>
      <c r="BM254" s="76"/>
      <c r="BN254" s="76"/>
      <c r="BO254" s="76"/>
      <c r="BP254" s="76"/>
      <c r="BQ254" s="76"/>
      <c r="BR254" s="76"/>
      <c r="BS254" s="76"/>
      <c r="BT254" s="76"/>
    </row>
    <row r="255" spans="3:72" x14ac:dyDescent="0.25">
      <c r="C255" s="135">
        <v>253</v>
      </c>
      <c r="D255" s="136"/>
      <c r="E255" s="153">
        <v>39.739235800000003</v>
      </c>
      <c r="F255" s="154">
        <v>-104.990251</v>
      </c>
      <c r="G255" s="13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 t="s">
        <v>358</v>
      </c>
      <c r="AC255" s="76"/>
      <c r="AD255" s="76"/>
      <c r="AE255" s="76"/>
      <c r="AF255" s="76"/>
      <c r="AG255" s="76"/>
      <c r="AH255" s="76"/>
      <c r="AI255" s="76"/>
      <c r="AJ255" s="76"/>
      <c r="AK255" s="76"/>
      <c r="AL255" s="76"/>
      <c r="AM255" s="76"/>
      <c r="AN255" s="76"/>
      <c r="AO255" s="76"/>
      <c r="AP255" s="76"/>
      <c r="AQ255" s="76"/>
      <c r="AR255" s="76"/>
      <c r="AS255" s="76"/>
      <c r="AT255" s="76"/>
      <c r="AU255" s="76"/>
      <c r="AV255" s="76"/>
      <c r="AW255" s="76"/>
      <c r="AX255" s="76"/>
      <c r="AY255" s="76"/>
      <c r="AZ255" s="76"/>
      <c r="BA255" s="76"/>
      <c r="BB255" s="76"/>
      <c r="BC255" s="76"/>
      <c r="BD255" s="76"/>
      <c r="BE255" s="76"/>
      <c r="BF255" s="76"/>
      <c r="BG255" s="76"/>
      <c r="BH255" s="76"/>
      <c r="BI255" s="76"/>
      <c r="BJ255" s="76"/>
      <c r="BK255" s="76"/>
      <c r="BL255" s="76"/>
      <c r="BM255" s="76"/>
      <c r="BN255" s="76"/>
      <c r="BO255" s="76"/>
      <c r="BP255" s="76"/>
      <c r="BQ255" s="76"/>
      <c r="BR255" s="76"/>
      <c r="BS255" s="76"/>
      <c r="BT255" s="76"/>
    </row>
    <row r="256" spans="3:72" x14ac:dyDescent="0.25">
      <c r="C256" s="135">
        <v>254</v>
      </c>
      <c r="D256" s="136"/>
      <c r="E256" s="153">
        <v>39.739235800000003</v>
      </c>
      <c r="F256" s="154">
        <v>-104.990251</v>
      </c>
      <c r="G256" s="13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 t="s">
        <v>358</v>
      </c>
      <c r="AC256" s="76"/>
      <c r="AD256" s="76"/>
      <c r="AE256" s="76"/>
      <c r="AF256" s="76"/>
      <c r="AG256" s="76"/>
      <c r="AH256" s="76"/>
      <c r="AI256" s="76"/>
      <c r="AJ256" s="76"/>
      <c r="AK256" s="76"/>
      <c r="AL256" s="76"/>
      <c r="AM256" s="76"/>
      <c r="AN256" s="76"/>
      <c r="AO256" s="76"/>
      <c r="AP256" s="76"/>
      <c r="AQ256" s="76"/>
      <c r="AR256" s="76"/>
      <c r="AS256" s="76"/>
      <c r="AT256" s="76"/>
      <c r="AU256" s="76"/>
      <c r="AV256" s="76"/>
      <c r="AW256" s="76"/>
      <c r="AX256" s="76"/>
      <c r="AY256" s="76"/>
      <c r="AZ256" s="76"/>
      <c r="BA256" s="76"/>
      <c r="BB256" s="76"/>
      <c r="BC256" s="76"/>
      <c r="BD256" s="76"/>
      <c r="BE256" s="76"/>
      <c r="BF256" s="76"/>
      <c r="BG256" s="76"/>
      <c r="BH256" s="76"/>
      <c r="BI256" s="76"/>
      <c r="BJ256" s="76"/>
      <c r="BK256" s="76"/>
      <c r="BL256" s="76"/>
      <c r="BM256" s="76"/>
      <c r="BN256" s="76"/>
      <c r="BO256" s="76"/>
      <c r="BP256" s="76"/>
      <c r="BQ256" s="76"/>
      <c r="BR256" s="76"/>
      <c r="BS256" s="76"/>
      <c r="BT256" s="76"/>
    </row>
    <row r="257" spans="3:72" x14ac:dyDescent="0.25">
      <c r="C257" s="135">
        <v>255</v>
      </c>
      <c r="D257" s="136"/>
      <c r="E257" s="153">
        <v>42.810535600000001</v>
      </c>
      <c r="F257" s="154">
        <v>-83.079086500000003</v>
      </c>
      <c r="G257" s="13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 t="s">
        <v>358</v>
      </c>
      <c r="AC257" s="76"/>
      <c r="AD257" s="76"/>
      <c r="AE257" s="76"/>
      <c r="AF257" s="76"/>
      <c r="AG257" s="76"/>
      <c r="AH257" s="76"/>
      <c r="AI257" s="76"/>
      <c r="AJ257" s="76"/>
      <c r="AK257" s="76"/>
      <c r="AL257" s="76"/>
      <c r="AM257" s="76"/>
      <c r="AN257" s="76"/>
      <c r="AO257" s="76"/>
      <c r="AP257" s="76"/>
      <c r="AQ257" s="76"/>
      <c r="AR257" s="76"/>
      <c r="AS257" s="76"/>
      <c r="AT257" s="76"/>
      <c r="AU257" s="76"/>
      <c r="AV257" s="76"/>
      <c r="AW257" s="76"/>
      <c r="AX257" s="76"/>
      <c r="AY257" s="76"/>
      <c r="AZ257" s="76"/>
      <c r="BA257" s="76"/>
      <c r="BB257" s="76"/>
      <c r="BC257" s="76"/>
      <c r="BD257" s="76"/>
      <c r="BE257" s="76"/>
      <c r="BF257" s="76"/>
      <c r="BG257" s="76"/>
      <c r="BH257" s="76"/>
      <c r="BI257" s="76"/>
      <c r="BJ257" s="76"/>
      <c r="BK257" s="76"/>
      <c r="BL257" s="76"/>
      <c r="BM257" s="76"/>
      <c r="BN257" s="76"/>
      <c r="BO257" s="76"/>
      <c r="BP257" s="76"/>
      <c r="BQ257" s="76"/>
      <c r="BR257" s="76"/>
      <c r="BS257" s="76"/>
      <c r="BT257" s="76"/>
    </row>
    <row r="258" spans="3:72" x14ac:dyDescent="0.25">
      <c r="C258" s="135">
        <v>256</v>
      </c>
      <c r="D258" s="136"/>
      <c r="E258" s="153">
        <v>43.197862399999998</v>
      </c>
      <c r="F258" s="154">
        <v>-70.873669800000002</v>
      </c>
      <c r="G258" s="13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 t="s">
        <v>358</v>
      </c>
      <c r="AC258" s="76"/>
      <c r="AD258" s="76"/>
      <c r="AE258" s="76"/>
      <c r="AF258" s="76"/>
      <c r="AG258" s="76"/>
      <c r="AH258" s="76"/>
      <c r="AI258" s="76"/>
      <c r="AJ258" s="76"/>
      <c r="AK258" s="76"/>
      <c r="AL258" s="76"/>
      <c r="AM258" s="76"/>
      <c r="AN258" s="76"/>
      <c r="AO258" s="76"/>
      <c r="AP258" s="76"/>
      <c r="AQ258" s="76"/>
      <c r="AR258" s="76"/>
      <c r="AS258" s="76"/>
      <c r="AT258" s="76"/>
      <c r="AU258" s="76"/>
      <c r="AV258" s="76"/>
      <c r="AW258" s="76"/>
      <c r="AX258" s="76"/>
      <c r="AY258" s="76"/>
      <c r="AZ258" s="76"/>
      <c r="BA258" s="76"/>
      <c r="BB258" s="76"/>
      <c r="BC258" s="76"/>
      <c r="BD258" s="76"/>
      <c r="BE258" s="76"/>
      <c r="BF258" s="76"/>
      <c r="BG258" s="76"/>
      <c r="BH258" s="76"/>
      <c r="BI258" s="76"/>
      <c r="BJ258" s="76"/>
      <c r="BK258" s="76"/>
      <c r="BL258" s="76"/>
      <c r="BM258" s="76"/>
      <c r="BN258" s="76"/>
      <c r="BO258" s="76"/>
      <c r="BP258" s="76"/>
      <c r="BQ258" s="76"/>
      <c r="BR258" s="76"/>
      <c r="BS258" s="76"/>
      <c r="BT258" s="76"/>
    </row>
    <row r="259" spans="3:72" x14ac:dyDescent="0.25">
      <c r="C259" s="135">
        <v>257</v>
      </c>
      <c r="D259" s="136"/>
      <c r="E259" s="153">
        <v>35.998092900000003</v>
      </c>
      <c r="F259" s="154">
        <v>-94.089991100000006</v>
      </c>
      <c r="G259" s="13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 t="s">
        <v>358</v>
      </c>
      <c r="AC259" s="76"/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/>
      <c r="AO259" s="76"/>
      <c r="AP259" s="76"/>
      <c r="AQ259" s="76"/>
      <c r="AR259" s="76"/>
      <c r="AS259" s="76"/>
      <c r="AT259" s="76"/>
      <c r="AU259" s="76"/>
      <c r="AV259" s="76"/>
      <c r="AW259" s="76"/>
      <c r="AX259" s="76"/>
      <c r="AY259" s="76"/>
      <c r="AZ259" s="76"/>
      <c r="BA259" s="76"/>
      <c r="BB259" s="76"/>
      <c r="BC259" s="76"/>
      <c r="BD259" s="76"/>
      <c r="BE259" s="76"/>
      <c r="BF259" s="76"/>
      <c r="BG259" s="76"/>
      <c r="BH259" s="76"/>
      <c r="BI259" s="76"/>
      <c r="BJ259" s="76"/>
      <c r="BK259" s="76"/>
      <c r="BL259" s="76"/>
      <c r="BM259" s="76"/>
      <c r="BN259" s="76"/>
      <c r="BO259" s="76"/>
      <c r="BP259" s="76"/>
      <c r="BQ259" s="76"/>
      <c r="BR259" s="76"/>
      <c r="BS259" s="76"/>
      <c r="BT259" s="76"/>
    </row>
    <row r="260" spans="3:72" x14ac:dyDescent="0.25">
      <c r="C260" s="135">
        <v>258</v>
      </c>
      <c r="D260" s="136"/>
      <c r="E260" s="153">
        <v>35.998092900000003</v>
      </c>
      <c r="F260" s="154">
        <v>-94.089991100000006</v>
      </c>
      <c r="G260" s="13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 t="s">
        <v>358</v>
      </c>
      <c r="AC260" s="76"/>
      <c r="AD260" s="76"/>
      <c r="AE260" s="76"/>
      <c r="AF260" s="76"/>
      <c r="AG260" s="76"/>
      <c r="AH260" s="76"/>
      <c r="AI260" s="76"/>
      <c r="AJ260" s="76"/>
      <c r="AK260" s="76"/>
      <c r="AL260" s="76"/>
      <c r="AM260" s="76"/>
      <c r="AN260" s="76"/>
      <c r="AO260" s="76"/>
      <c r="AP260" s="76"/>
      <c r="AQ260" s="76"/>
      <c r="AR260" s="76"/>
      <c r="AS260" s="76"/>
      <c r="AT260" s="76"/>
      <c r="AU260" s="76"/>
      <c r="AV260" s="76"/>
      <c r="AW260" s="76"/>
      <c r="AX260" s="76"/>
      <c r="AY260" s="76"/>
      <c r="AZ260" s="76"/>
      <c r="BA260" s="76"/>
      <c r="BB260" s="76"/>
      <c r="BC260" s="76"/>
      <c r="BD260" s="76"/>
      <c r="BE260" s="76"/>
      <c r="BF260" s="76"/>
      <c r="BG260" s="76"/>
      <c r="BH260" s="76"/>
      <c r="BI260" s="76"/>
      <c r="BJ260" s="76"/>
      <c r="BK260" s="76"/>
      <c r="BL260" s="76"/>
      <c r="BM260" s="76"/>
      <c r="BN260" s="76"/>
      <c r="BO260" s="76"/>
      <c r="BP260" s="76"/>
      <c r="BQ260" s="76"/>
      <c r="BR260" s="76"/>
      <c r="BS260" s="76"/>
      <c r="BT260" s="76"/>
    </row>
    <row r="261" spans="3:72" x14ac:dyDescent="0.25">
      <c r="C261" s="135">
        <v>259</v>
      </c>
      <c r="D261" s="136"/>
      <c r="E261" s="153">
        <v>35.998092900000003</v>
      </c>
      <c r="F261" s="154">
        <v>-94.089991100000006</v>
      </c>
      <c r="G261" s="13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 t="s">
        <v>358</v>
      </c>
      <c r="AC261" s="76"/>
      <c r="AD261" s="76"/>
      <c r="AE261" s="76"/>
      <c r="AF261" s="76"/>
      <c r="AG261" s="76"/>
      <c r="AH261" s="76"/>
      <c r="AI261" s="76"/>
      <c r="AJ261" s="76"/>
      <c r="AK261" s="76"/>
      <c r="AL261" s="76"/>
      <c r="AM261" s="76"/>
      <c r="AN261" s="76"/>
      <c r="AO261" s="76"/>
      <c r="AP261" s="76"/>
      <c r="AQ261" s="76"/>
      <c r="AR261" s="76"/>
      <c r="AS261" s="76"/>
      <c r="AT261" s="76"/>
      <c r="AU261" s="76"/>
      <c r="AV261" s="76"/>
      <c r="AW261" s="76"/>
      <c r="AX261" s="76"/>
      <c r="AY261" s="76"/>
      <c r="AZ261" s="76"/>
      <c r="BA261" s="76"/>
      <c r="BB261" s="76"/>
      <c r="BC261" s="76"/>
      <c r="BD261" s="76"/>
      <c r="BE261" s="76"/>
      <c r="BF261" s="76"/>
      <c r="BG261" s="76"/>
      <c r="BH261" s="76"/>
      <c r="BI261" s="76"/>
      <c r="BJ261" s="76"/>
      <c r="BK261" s="76"/>
      <c r="BL261" s="76"/>
      <c r="BM261" s="76"/>
      <c r="BN261" s="76"/>
      <c r="BO261" s="76"/>
      <c r="BP261" s="76"/>
      <c r="BQ261" s="76"/>
      <c r="BR261" s="76"/>
      <c r="BS261" s="76"/>
      <c r="BT261" s="76"/>
    </row>
    <row r="262" spans="3:72" x14ac:dyDescent="0.25">
      <c r="C262" s="135">
        <v>260</v>
      </c>
      <c r="D262" s="136"/>
      <c r="E262" s="153">
        <v>42.460591700000002</v>
      </c>
      <c r="F262" s="154">
        <v>-83.134647799999996</v>
      </c>
      <c r="G262" s="13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 t="s">
        <v>358</v>
      </c>
      <c r="AC262" s="76"/>
      <c r="AD262" s="76"/>
      <c r="AE262" s="76"/>
      <c r="AF262" s="76"/>
      <c r="AG262" s="76"/>
      <c r="AH262" s="76"/>
      <c r="AI262" s="76"/>
      <c r="AJ262" s="76"/>
      <c r="AK262" s="76"/>
      <c r="AL262" s="76"/>
      <c r="AM262" s="76"/>
      <c r="AN262" s="76"/>
      <c r="AO262" s="76"/>
      <c r="AP262" s="76"/>
      <c r="AQ262" s="76"/>
      <c r="AR262" s="76"/>
      <c r="AS262" s="76"/>
      <c r="AT262" s="76"/>
      <c r="AU262" s="76"/>
      <c r="AV262" s="76"/>
      <c r="AW262" s="76"/>
      <c r="AX262" s="76"/>
      <c r="AY262" s="76"/>
      <c r="AZ262" s="76"/>
      <c r="BA262" s="76"/>
      <c r="BB262" s="76"/>
      <c r="BC262" s="76"/>
      <c r="BD262" s="76"/>
      <c r="BE262" s="76"/>
      <c r="BF262" s="76"/>
      <c r="BG262" s="76"/>
      <c r="BH262" s="76"/>
      <c r="BI262" s="76"/>
      <c r="BJ262" s="76"/>
      <c r="BK262" s="76"/>
      <c r="BL262" s="76"/>
      <c r="BM262" s="76"/>
      <c r="BN262" s="76"/>
      <c r="BO262" s="76"/>
      <c r="BP262" s="76"/>
      <c r="BQ262" s="76"/>
      <c r="BR262" s="76"/>
      <c r="BS262" s="76"/>
      <c r="BT262" s="76"/>
    </row>
    <row r="263" spans="3:72" x14ac:dyDescent="0.25">
      <c r="C263" s="135">
        <v>261</v>
      </c>
      <c r="D263" s="136"/>
      <c r="E263" s="153">
        <v>40.570263099999998</v>
      </c>
      <c r="F263" s="154">
        <v>-105.09034560000001</v>
      </c>
      <c r="G263" s="13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 t="s">
        <v>358</v>
      </c>
      <c r="AC263" s="76"/>
      <c r="AD263" s="76"/>
      <c r="AE263" s="76"/>
      <c r="AF263" s="76"/>
      <c r="AG263" s="76"/>
      <c r="AH263" s="76"/>
      <c r="AI263" s="76"/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  <c r="AT263" s="76"/>
      <c r="AU263" s="76"/>
      <c r="AV263" s="76"/>
      <c r="AW263" s="76"/>
      <c r="AX263" s="76"/>
      <c r="AY263" s="76"/>
      <c r="AZ263" s="76"/>
      <c r="BA263" s="76"/>
      <c r="BB263" s="76"/>
      <c r="BC263" s="76"/>
      <c r="BD263" s="76"/>
      <c r="BE263" s="76"/>
      <c r="BF263" s="76"/>
      <c r="BG263" s="76"/>
      <c r="BH263" s="76"/>
      <c r="BI263" s="76"/>
      <c r="BJ263" s="76"/>
      <c r="BK263" s="76"/>
      <c r="BL263" s="76"/>
      <c r="BM263" s="76"/>
      <c r="BN263" s="76"/>
      <c r="BO263" s="76"/>
      <c r="BP263" s="76"/>
      <c r="BQ263" s="76"/>
      <c r="BR263" s="76"/>
      <c r="BS263" s="76"/>
      <c r="BT263" s="76"/>
    </row>
    <row r="264" spans="3:72" x14ac:dyDescent="0.25">
      <c r="C264" s="135">
        <v>262</v>
      </c>
      <c r="D264" s="136"/>
      <c r="E264" s="153">
        <v>40.570263099999998</v>
      </c>
      <c r="F264" s="154">
        <v>-105.09034560000001</v>
      </c>
      <c r="G264" s="13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 t="s">
        <v>358</v>
      </c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  <c r="AT264" s="76"/>
      <c r="AU264" s="76"/>
      <c r="AV264" s="76"/>
      <c r="AW264" s="76"/>
      <c r="AX264" s="76"/>
      <c r="AY264" s="76"/>
      <c r="AZ264" s="76"/>
      <c r="BA264" s="76"/>
      <c r="BB264" s="76"/>
      <c r="BC264" s="76"/>
      <c r="BD264" s="76"/>
      <c r="BE264" s="76"/>
      <c r="BF264" s="76"/>
      <c r="BG264" s="76"/>
      <c r="BH264" s="76"/>
      <c r="BI264" s="76"/>
      <c r="BJ264" s="76"/>
      <c r="BK264" s="76"/>
      <c r="BL264" s="76"/>
      <c r="BM264" s="76"/>
      <c r="BN264" s="76"/>
      <c r="BO264" s="76"/>
      <c r="BP264" s="76"/>
      <c r="BQ264" s="76"/>
      <c r="BR264" s="76"/>
      <c r="BS264" s="76"/>
      <c r="BT264" s="76"/>
    </row>
    <row r="265" spans="3:72" x14ac:dyDescent="0.25">
      <c r="C265" s="135">
        <v>263</v>
      </c>
      <c r="D265" s="136"/>
      <c r="E265" s="153">
        <v>40.570263099999998</v>
      </c>
      <c r="F265" s="154">
        <v>-105.09034560000001</v>
      </c>
      <c r="G265" s="13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 t="s">
        <v>358</v>
      </c>
      <c r="AC265" s="76"/>
      <c r="AD265" s="76"/>
      <c r="AE265" s="76"/>
      <c r="AF265" s="76"/>
      <c r="AG265" s="76"/>
      <c r="AH265" s="76"/>
      <c r="AI265" s="76"/>
      <c r="AJ265" s="76"/>
      <c r="AK265" s="76"/>
      <c r="AL265" s="76"/>
      <c r="AM265" s="76"/>
      <c r="AN265" s="76"/>
      <c r="AO265" s="76"/>
      <c r="AP265" s="76"/>
      <c r="AQ265" s="76"/>
      <c r="AR265" s="76"/>
      <c r="AS265" s="76"/>
      <c r="AT265" s="76"/>
      <c r="AU265" s="76"/>
      <c r="AV265" s="76"/>
      <c r="AW265" s="76"/>
      <c r="AX265" s="76"/>
      <c r="AY265" s="76"/>
      <c r="AZ265" s="76"/>
      <c r="BA265" s="76"/>
      <c r="BB265" s="76"/>
      <c r="BC265" s="76"/>
      <c r="BD265" s="76"/>
      <c r="BE265" s="76"/>
      <c r="BF265" s="76"/>
      <c r="BG265" s="76"/>
      <c r="BH265" s="76"/>
      <c r="BI265" s="76"/>
      <c r="BJ265" s="76"/>
      <c r="BK265" s="76"/>
      <c r="BL265" s="76"/>
      <c r="BM265" s="76"/>
      <c r="BN265" s="76"/>
      <c r="BO265" s="76"/>
      <c r="BP265" s="76"/>
      <c r="BQ265" s="76"/>
      <c r="BR265" s="76"/>
      <c r="BS265" s="76"/>
      <c r="BT265" s="76"/>
    </row>
    <row r="266" spans="3:72" x14ac:dyDescent="0.25">
      <c r="C266" s="135">
        <v>264</v>
      </c>
      <c r="D266" s="136"/>
      <c r="E266" s="153">
        <v>40.5852602</v>
      </c>
      <c r="F266" s="154">
        <v>-105.084423</v>
      </c>
      <c r="G266" s="13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 t="s">
        <v>358</v>
      </c>
      <c r="AC266" s="76"/>
      <c r="AD266" s="76"/>
      <c r="AE266" s="76"/>
      <c r="AF266" s="76"/>
      <c r="AG266" s="76"/>
      <c r="AH266" s="76"/>
      <c r="AI266" s="76"/>
      <c r="AJ266" s="76"/>
      <c r="AK266" s="76"/>
      <c r="AL266" s="76"/>
      <c r="AM266" s="76"/>
      <c r="AN266" s="76"/>
      <c r="AO266" s="76"/>
      <c r="AP266" s="76"/>
      <c r="AQ266" s="76"/>
      <c r="AR266" s="76"/>
      <c r="AS266" s="76"/>
      <c r="AT266" s="76"/>
      <c r="AU266" s="76"/>
      <c r="AV266" s="76"/>
      <c r="AW266" s="76"/>
      <c r="AX266" s="76"/>
      <c r="AY266" s="76"/>
      <c r="AZ266" s="76"/>
      <c r="BA266" s="76"/>
      <c r="BB266" s="76"/>
      <c r="BC266" s="76"/>
      <c r="BD266" s="76"/>
      <c r="BE266" s="76"/>
      <c r="BF266" s="76"/>
      <c r="BG266" s="76"/>
      <c r="BH266" s="76"/>
      <c r="BI266" s="76"/>
      <c r="BJ266" s="76"/>
      <c r="BK266" s="76"/>
      <c r="BL266" s="76"/>
      <c r="BM266" s="76"/>
      <c r="BN266" s="76"/>
      <c r="BO266" s="76"/>
      <c r="BP266" s="76"/>
      <c r="BQ266" s="76"/>
      <c r="BR266" s="76"/>
      <c r="BS266" s="76"/>
      <c r="BT266" s="76"/>
    </row>
    <row r="267" spans="3:72" x14ac:dyDescent="0.25">
      <c r="C267" s="135">
        <v>265</v>
      </c>
      <c r="D267" s="136"/>
      <c r="E267" s="153">
        <v>34.023433699999998</v>
      </c>
      <c r="F267" s="154">
        <v>-84.615489699999998</v>
      </c>
      <c r="G267" s="13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6" t="s">
        <v>358</v>
      </c>
      <c r="AC267" s="76"/>
      <c r="AD267" s="76"/>
      <c r="AE267" s="76"/>
      <c r="AF267" s="76"/>
      <c r="AG267" s="76"/>
      <c r="AH267" s="76"/>
      <c r="AI267" s="76"/>
      <c r="AJ267" s="76"/>
      <c r="AK267" s="76"/>
      <c r="AL267" s="76"/>
      <c r="AM267" s="76"/>
      <c r="AN267" s="76"/>
      <c r="AO267" s="76"/>
      <c r="AP267" s="76"/>
      <c r="AQ267" s="76"/>
      <c r="AR267" s="76"/>
      <c r="AS267" s="76"/>
      <c r="AT267" s="76"/>
      <c r="AU267" s="76"/>
      <c r="AV267" s="76"/>
      <c r="AW267" s="76"/>
      <c r="AX267" s="76"/>
      <c r="AY267" s="76"/>
      <c r="AZ267" s="76"/>
      <c r="BA267" s="76"/>
      <c r="BB267" s="76"/>
      <c r="BC267" s="76"/>
      <c r="BD267" s="76"/>
      <c r="BE267" s="76"/>
      <c r="BF267" s="76"/>
      <c r="BG267" s="76"/>
      <c r="BH267" s="76"/>
      <c r="BI267" s="76"/>
      <c r="BJ267" s="76"/>
      <c r="BK267" s="76"/>
      <c r="BL267" s="76"/>
      <c r="BM267" s="76"/>
      <c r="BN267" s="76"/>
      <c r="BO267" s="76"/>
      <c r="BP267" s="76"/>
      <c r="BQ267" s="76"/>
      <c r="BR267" s="76"/>
      <c r="BS267" s="76"/>
      <c r="BT267" s="76"/>
    </row>
    <row r="268" spans="3:72" x14ac:dyDescent="0.25">
      <c r="C268" s="135">
        <v>266</v>
      </c>
      <c r="D268" s="136"/>
      <c r="E268" s="153">
        <v>39.755543000000003</v>
      </c>
      <c r="F268" s="154">
        <v>-105.2210997</v>
      </c>
      <c r="G268" s="13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6" t="s">
        <v>358</v>
      </c>
      <c r="AC268" s="76"/>
      <c r="AD268" s="76"/>
      <c r="AE268" s="76"/>
      <c r="AF268" s="76"/>
      <c r="AG268" s="76"/>
      <c r="AH268" s="76"/>
      <c r="AI268" s="76"/>
      <c r="AJ268" s="76"/>
      <c r="AK268" s="76"/>
      <c r="AL268" s="76"/>
      <c r="AM268" s="76"/>
      <c r="AN268" s="76"/>
      <c r="AO268" s="76"/>
      <c r="AP268" s="76"/>
      <c r="AQ268" s="76"/>
      <c r="AR268" s="76"/>
      <c r="AS268" s="76"/>
      <c r="AT268" s="76"/>
      <c r="AU268" s="76"/>
      <c r="AV268" s="76"/>
      <c r="AW268" s="76"/>
      <c r="AX268" s="76"/>
      <c r="AY268" s="76"/>
      <c r="AZ268" s="76"/>
      <c r="BA268" s="76"/>
      <c r="BB268" s="76"/>
      <c r="BC268" s="76"/>
      <c r="BD268" s="76"/>
      <c r="BE268" s="76"/>
      <c r="BF268" s="76"/>
      <c r="BG268" s="76"/>
      <c r="BH268" s="76"/>
      <c r="BI268" s="76"/>
      <c r="BJ268" s="76"/>
      <c r="BK268" s="76"/>
      <c r="BL268" s="76"/>
      <c r="BM268" s="76"/>
      <c r="BN268" s="76"/>
      <c r="BO268" s="76"/>
      <c r="BP268" s="76"/>
      <c r="BQ268" s="76"/>
      <c r="BR268" s="76"/>
      <c r="BS268" s="76"/>
      <c r="BT268" s="76"/>
    </row>
    <row r="269" spans="3:72" x14ac:dyDescent="0.25">
      <c r="C269" s="135">
        <v>267</v>
      </c>
      <c r="D269" s="136"/>
      <c r="E269" s="153">
        <v>42.360070899999997</v>
      </c>
      <c r="F269" s="154">
        <v>-71.058830499999999</v>
      </c>
      <c r="G269" s="13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 t="s">
        <v>358</v>
      </c>
      <c r="AC269" s="76"/>
      <c r="AD269" s="76"/>
      <c r="AE269" s="76"/>
      <c r="AF269" s="76"/>
      <c r="AG269" s="76"/>
      <c r="AH269" s="76"/>
      <c r="AI269" s="76"/>
      <c r="AJ269" s="76"/>
      <c r="AK269" s="76"/>
      <c r="AL269" s="76"/>
      <c r="AM269" s="76"/>
      <c r="AN269" s="76"/>
      <c r="AO269" s="76"/>
      <c r="AP269" s="76"/>
      <c r="AQ269" s="76"/>
      <c r="AR269" s="76"/>
      <c r="AS269" s="76"/>
      <c r="AT269" s="76"/>
      <c r="AU269" s="76"/>
      <c r="AV269" s="76"/>
      <c r="AW269" s="76"/>
      <c r="AX269" s="76"/>
      <c r="AY269" s="76"/>
      <c r="AZ269" s="76"/>
      <c r="BA269" s="76"/>
      <c r="BB269" s="76"/>
      <c r="BC269" s="76"/>
      <c r="BD269" s="76"/>
      <c r="BE269" s="76"/>
      <c r="BF269" s="76"/>
      <c r="BG269" s="76"/>
      <c r="BH269" s="76"/>
      <c r="BI269" s="76"/>
      <c r="BJ269" s="76"/>
      <c r="BK269" s="76"/>
      <c r="BL269" s="76"/>
      <c r="BM269" s="76"/>
      <c r="BN269" s="76"/>
      <c r="BO269" s="76"/>
      <c r="BP269" s="76"/>
      <c r="BQ269" s="76"/>
      <c r="BR269" s="76"/>
      <c r="BS269" s="76"/>
      <c r="BT269" s="76"/>
    </row>
    <row r="270" spans="3:72" x14ac:dyDescent="0.25">
      <c r="C270" s="135">
        <v>268</v>
      </c>
      <c r="D270" s="136"/>
      <c r="E270" s="153">
        <v>41.743507299999997</v>
      </c>
      <c r="F270" s="154">
        <v>-88.011847299999999</v>
      </c>
      <c r="G270" s="13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6" t="s">
        <v>358</v>
      </c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/>
      <c r="AP270" s="76"/>
      <c r="AQ270" s="76"/>
      <c r="AR270" s="76"/>
      <c r="AS270" s="76"/>
      <c r="AT270" s="76"/>
      <c r="AU270" s="76"/>
      <c r="AV270" s="76"/>
      <c r="AW270" s="76"/>
      <c r="AX270" s="76"/>
      <c r="AY270" s="76"/>
      <c r="AZ270" s="76"/>
      <c r="BA270" s="76"/>
      <c r="BB270" s="76"/>
      <c r="BC270" s="76"/>
      <c r="BD270" s="76"/>
      <c r="BE270" s="76"/>
      <c r="BF270" s="76"/>
      <c r="BG270" s="76"/>
      <c r="BH270" s="76"/>
      <c r="BI270" s="76"/>
      <c r="BJ270" s="76"/>
      <c r="BK270" s="76"/>
      <c r="BL270" s="76"/>
      <c r="BM270" s="76"/>
      <c r="BN270" s="76"/>
      <c r="BO270" s="76"/>
      <c r="BP270" s="76"/>
      <c r="BQ270" s="76"/>
      <c r="BR270" s="76"/>
      <c r="BS270" s="76"/>
      <c r="BT270" s="76"/>
    </row>
    <row r="271" spans="3:72" x14ac:dyDescent="0.25">
      <c r="C271" s="135">
        <v>269</v>
      </c>
      <c r="D271" s="136"/>
      <c r="E271" s="153">
        <v>41.743507299999997</v>
      </c>
      <c r="F271" s="154">
        <v>-88.011847299999999</v>
      </c>
      <c r="G271" s="13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6" t="s">
        <v>358</v>
      </c>
      <c r="AC271" s="76"/>
      <c r="AD271" s="76"/>
      <c r="AE271" s="76"/>
      <c r="AF271" s="76"/>
      <c r="AG271" s="76"/>
      <c r="AH271" s="76"/>
      <c r="AI271" s="76"/>
      <c r="AJ271" s="76"/>
      <c r="AK271" s="76"/>
      <c r="AL271" s="76"/>
      <c r="AM271" s="76"/>
      <c r="AN271" s="76"/>
      <c r="AO271" s="76"/>
      <c r="AP271" s="76"/>
      <c r="AQ271" s="76"/>
      <c r="AR271" s="76"/>
      <c r="AS271" s="76"/>
      <c r="AT271" s="76"/>
      <c r="AU271" s="76"/>
      <c r="AV271" s="76"/>
      <c r="AW271" s="76"/>
      <c r="AX271" s="76"/>
      <c r="AY271" s="76"/>
      <c r="AZ271" s="76"/>
      <c r="BA271" s="76"/>
      <c r="BB271" s="76"/>
      <c r="BC271" s="76"/>
      <c r="BD271" s="76"/>
      <c r="BE271" s="76"/>
      <c r="BF271" s="76"/>
      <c r="BG271" s="76"/>
      <c r="BH271" s="76"/>
      <c r="BI271" s="76"/>
      <c r="BJ271" s="76"/>
      <c r="BK271" s="76"/>
      <c r="BL271" s="76"/>
      <c r="BM271" s="76"/>
      <c r="BN271" s="76"/>
      <c r="BO271" s="76"/>
      <c r="BP271" s="76"/>
      <c r="BQ271" s="76"/>
      <c r="BR271" s="76"/>
      <c r="BS271" s="76"/>
      <c r="BT271" s="76"/>
    </row>
    <row r="272" spans="3:72" x14ac:dyDescent="0.25">
      <c r="C272" s="135">
        <v>270</v>
      </c>
      <c r="D272" s="136"/>
      <c r="E272" s="153">
        <v>44.974069800000002</v>
      </c>
      <c r="F272" s="154">
        <v>-93.024049199999993</v>
      </c>
      <c r="G272" s="13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6" t="s">
        <v>358</v>
      </c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76"/>
      <c r="AP272" s="76"/>
      <c r="AQ272" s="76"/>
      <c r="AR272" s="76"/>
      <c r="AS272" s="76"/>
      <c r="AT272" s="76"/>
      <c r="AU272" s="76"/>
      <c r="AV272" s="76"/>
      <c r="AW272" s="76"/>
      <c r="AX272" s="76"/>
      <c r="AY272" s="76"/>
      <c r="AZ272" s="76"/>
      <c r="BA272" s="76"/>
      <c r="BB272" s="76"/>
      <c r="BC272" s="76"/>
      <c r="BD272" s="76"/>
      <c r="BE272" s="76"/>
      <c r="BF272" s="76"/>
      <c r="BG272" s="76"/>
      <c r="BH272" s="76"/>
      <c r="BI272" s="76"/>
      <c r="BJ272" s="76"/>
      <c r="BK272" s="76"/>
      <c r="BL272" s="76"/>
      <c r="BM272" s="76"/>
      <c r="BN272" s="76"/>
      <c r="BO272" s="76"/>
      <c r="BP272" s="76"/>
      <c r="BQ272" s="76"/>
      <c r="BR272" s="76"/>
      <c r="BS272" s="76"/>
      <c r="BT272" s="76"/>
    </row>
    <row r="273" spans="3:72" x14ac:dyDescent="0.25">
      <c r="C273" s="135">
        <v>271</v>
      </c>
      <c r="D273" s="136"/>
      <c r="E273" s="153">
        <v>40.356509299999999</v>
      </c>
      <c r="F273" s="154">
        <v>-79.9192702</v>
      </c>
      <c r="G273" s="13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76" t="s">
        <v>358</v>
      </c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/>
      <c r="AP273" s="76"/>
      <c r="AQ273" s="76"/>
      <c r="AR273" s="76"/>
      <c r="AS273" s="76"/>
      <c r="AT273" s="76"/>
      <c r="AU273" s="76"/>
      <c r="AV273" s="76"/>
      <c r="AW273" s="76"/>
      <c r="AX273" s="76"/>
      <c r="AY273" s="76"/>
      <c r="AZ273" s="76"/>
      <c r="BA273" s="76"/>
      <c r="BB273" s="76"/>
      <c r="BC273" s="76"/>
      <c r="BD273" s="76"/>
      <c r="BE273" s="76"/>
      <c r="BF273" s="76"/>
      <c r="BG273" s="76"/>
      <c r="BH273" s="76"/>
      <c r="BI273" s="76"/>
      <c r="BJ273" s="76"/>
      <c r="BK273" s="76"/>
      <c r="BL273" s="76"/>
      <c r="BM273" s="76"/>
      <c r="BN273" s="76"/>
      <c r="BO273" s="76"/>
      <c r="BP273" s="76"/>
      <c r="BQ273" s="76"/>
      <c r="BR273" s="76"/>
      <c r="BS273" s="76"/>
      <c r="BT273" s="76"/>
    </row>
    <row r="274" spans="3:72" x14ac:dyDescent="0.25">
      <c r="C274" s="135">
        <v>272</v>
      </c>
      <c r="D274" s="136"/>
      <c r="E274" s="153">
        <v>29.7604267</v>
      </c>
      <c r="F274" s="154">
        <v>-95.369802800000002</v>
      </c>
      <c r="G274" s="13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6" t="s">
        <v>358</v>
      </c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/>
      <c r="AP274" s="76"/>
      <c r="AQ274" s="76"/>
      <c r="AR274" s="76"/>
      <c r="AS274" s="76"/>
      <c r="AT274" s="76"/>
      <c r="AU274" s="76"/>
      <c r="AV274" s="76"/>
      <c r="AW274" s="76"/>
      <c r="AX274" s="76"/>
      <c r="AY274" s="76"/>
      <c r="AZ274" s="76"/>
      <c r="BA274" s="76"/>
      <c r="BB274" s="76"/>
      <c r="BC274" s="76"/>
      <c r="BD274" s="76"/>
      <c r="BE274" s="76"/>
      <c r="BF274" s="76"/>
      <c r="BG274" s="76"/>
      <c r="BH274" s="76"/>
      <c r="BI274" s="76"/>
      <c r="BJ274" s="76"/>
      <c r="BK274" s="76"/>
      <c r="BL274" s="76"/>
      <c r="BM274" s="76"/>
      <c r="BN274" s="76"/>
      <c r="BO274" s="76"/>
      <c r="BP274" s="76"/>
      <c r="BQ274" s="76"/>
      <c r="BR274" s="76"/>
      <c r="BS274" s="76"/>
      <c r="BT274" s="76"/>
    </row>
    <row r="275" spans="3:72" x14ac:dyDescent="0.25">
      <c r="C275" s="135">
        <v>273</v>
      </c>
      <c r="D275" s="136"/>
      <c r="E275" s="153">
        <v>40.324513799999998</v>
      </c>
      <c r="F275" s="154">
        <v>-79.701154900000006</v>
      </c>
      <c r="G275" s="13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  <c r="Z275" s="76"/>
      <c r="AA275" s="76"/>
      <c r="AB275" s="76" t="s">
        <v>358</v>
      </c>
      <c r="AC275" s="76"/>
      <c r="AD275" s="76"/>
      <c r="AE275" s="76"/>
      <c r="AF275" s="76"/>
      <c r="AG275" s="76"/>
      <c r="AH275" s="76"/>
      <c r="AI275" s="76"/>
      <c r="AJ275" s="76"/>
      <c r="AK275" s="76"/>
      <c r="AL275" s="76"/>
      <c r="AM275" s="76"/>
      <c r="AN275" s="76"/>
      <c r="AO275" s="76"/>
      <c r="AP275" s="76"/>
      <c r="AQ275" s="76"/>
      <c r="AR275" s="76"/>
      <c r="AS275" s="76"/>
      <c r="AT275" s="76"/>
      <c r="AU275" s="76"/>
      <c r="AV275" s="76"/>
      <c r="AW275" s="76"/>
      <c r="AX275" s="76"/>
      <c r="AY275" s="76"/>
      <c r="AZ275" s="76"/>
      <c r="BA275" s="76"/>
      <c r="BB275" s="76"/>
      <c r="BC275" s="76"/>
      <c r="BD275" s="76"/>
      <c r="BE275" s="76"/>
      <c r="BF275" s="76"/>
      <c r="BG275" s="76"/>
      <c r="BH275" s="76"/>
      <c r="BI275" s="76"/>
      <c r="BJ275" s="76"/>
      <c r="BK275" s="76"/>
      <c r="BL275" s="76"/>
      <c r="BM275" s="76"/>
      <c r="BN275" s="76"/>
      <c r="BO275" s="76"/>
      <c r="BP275" s="76"/>
      <c r="BQ275" s="76"/>
      <c r="BR275" s="76"/>
      <c r="BS275" s="76"/>
      <c r="BT275" s="76"/>
    </row>
    <row r="276" spans="3:72" x14ac:dyDescent="0.25">
      <c r="C276" s="135">
        <v>274</v>
      </c>
      <c r="D276" s="136"/>
      <c r="E276" s="153">
        <v>36.313439700000004</v>
      </c>
      <c r="F276" s="154">
        <v>-82.353472699999998</v>
      </c>
      <c r="G276" s="13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  <c r="Z276" s="76"/>
      <c r="AA276" s="76"/>
      <c r="AB276" s="76" t="s">
        <v>358</v>
      </c>
      <c r="AC276" s="76"/>
      <c r="AD276" s="76"/>
      <c r="AE276" s="76"/>
      <c r="AF276" s="76"/>
      <c r="AG276" s="76"/>
      <c r="AH276" s="76"/>
      <c r="AI276" s="76"/>
      <c r="AJ276" s="76"/>
      <c r="AK276" s="76"/>
      <c r="AL276" s="76"/>
      <c r="AM276" s="76"/>
      <c r="AN276" s="76"/>
      <c r="AO276" s="76"/>
      <c r="AP276" s="76"/>
      <c r="AQ276" s="76"/>
      <c r="AR276" s="76"/>
      <c r="AS276" s="76"/>
      <c r="AT276" s="76"/>
      <c r="AU276" s="76"/>
      <c r="AV276" s="76"/>
      <c r="AW276" s="76"/>
      <c r="AX276" s="76"/>
      <c r="AY276" s="76"/>
      <c r="AZ276" s="76"/>
      <c r="BA276" s="76"/>
      <c r="BB276" s="76"/>
      <c r="BC276" s="76"/>
      <c r="BD276" s="76"/>
      <c r="BE276" s="76"/>
      <c r="BF276" s="76"/>
      <c r="BG276" s="76"/>
      <c r="BH276" s="76"/>
      <c r="BI276" s="76"/>
      <c r="BJ276" s="76"/>
      <c r="BK276" s="76"/>
      <c r="BL276" s="76"/>
      <c r="BM276" s="76"/>
      <c r="BN276" s="76"/>
      <c r="BO276" s="76"/>
      <c r="BP276" s="76"/>
      <c r="BQ276" s="76"/>
      <c r="BR276" s="76"/>
      <c r="BS276" s="76"/>
      <c r="BT276" s="76"/>
    </row>
    <row r="277" spans="3:72" x14ac:dyDescent="0.25">
      <c r="C277" s="135">
        <v>275</v>
      </c>
      <c r="D277" s="136"/>
      <c r="E277" s="153">
        <v>36.313439700000004</v>
      </c>
      <c r="F277" s="154">
        <v>-82.353472699999998</v>
      </c>
      <c r="G277" s="13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  <c r="Z277" s="76"/>
      <c r="AA277" s="76"/>
      <c r="AB277" s="76" t="s">
        <v>358</v>
      </c>
      <c r="AC277" s="76"/>
      <c r="AD277" s="76"/>
      <c r="AE277" s="76"/>
      <c r="AF277" s="76"/>
      <c r="AG277" s="76"/>
      <c r="AH277" s="76"/>
      <c r="AI277" s="76"/>
      <c r="AJ277" s="76"/>
      <c r="AK277" s="76"/>
      <c r="AL277" s="76"/>
      <c r="AM277" s="76"/>
      <c r="AN277" s="76"/>
      <c r="AO277" s="76"/>
      <c r="AP277" s="76"/>
      <c r="AQ277" s="76"/>
      <c r="AR277" s="76"/>
      <c r="AS277" s="76"/>
      <c r="AT277" s="76"/>
      <c r="AU277" s="76"/>
      <c r="AV277" s="76"/>
      <c r="AW277" s="76"/>
      <c r="AX277" s="76"/>
      <c r="AY277" s="76"/>
      <c r="AZ277" s="76"/>
      <c r="BA277" s="76"/>
      <c r="BB277" s="76"/>
      <c r="BC277" s="76"/>
      <c r="BD277" s="76"/>
      <c r="BE277" s="76"/>
      <c r="BF277" s="76"/>
      <c r="BG277" s="76"/>
      <c r="BH277" s="76"/>
      <c r="BI277" s="76"/>
      <c r="BJ277" s="76"/>
      <c r="BK277" s="76"/>
      <c r="BL277" s="76"/>
      <c r="BM277" s="76"/>
      <c r="BN277" s="76"/>
      <c r="BO277" s="76"/>
      <c r="BP277" s="76"/>
      <c r="BQ277" s="76"/>
      <c r="BR277" s="76"/>
      <c r="BS277" s="76"/>
      <c r="BT277" s="76"/>
    </row>
    <row r="278" spans="3:72" x14ac:dyDescent="0.25">
      <c r="C278" s="135">
        <v>276</v>
      </c>
      <c r="D278" s="136"/>
      <c r="E278" s="153">
        <v>29.785776500000001</v>
      </c>
      <c r="F278" s="154">
        <v>-95.824509300000003</v>
      </c>
      <c r="G278" s="13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6" t="s">
        <v>358</v>
      </c>
      <c r="AC278" s="76"/>
      <c r="AD278" s="76"/>
      <c r="AE278" s="76"/>
      <c r="AF278" s="76"/>
      <c r="AG278" s="76"/>
      <c r="AH278" s="76"/>
      <c r="AI278" s="76"/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  <c r="AT278" s="76"/>
      <c r="AU278" s="76"/>
      <c r="AV278" s="76"/>
      <c r="AW278" s="76"/>
      <c r="AX278" s="76"/>
      <c r="AY278" s="76"/>
      <c r="AZ278" s="76"/>
      <c r="BA278" s="76"/>
      <c r="BB278" s="76"/>
      <c r="BC278" s="76"/>
      <c r="BD278" s="76"/>
      <c r="BE278" s="76"/>
      <c r="BF278" s="76"/>
      <c r="BG278" s="76"/>
      <c r="BH278" s="76"/>
      <c r="BI278" s="76"/>
      <c r="BJ278" s="76"/>
      <c r="BK278" s="76"/>
      <c r="BL278" s="76"/>
      <c r="BM278" s="76"/>
      <c r="BN278" s="76"/>
      <c r="BO278" s="76"/>
      <c r="BP278" s="76"/>
      <c r="BQ278" s="76"/>
      <c r="BR278" s="76"/>
      <c r="BS278" s="76"/>
      <c r="BT278" s="76"/>
    </row>
    <row r="279" spans="3:72" x14ac:dyDescent="0.25">
      <c r="C279" s="135">
        <v>277</v>
      </c>
      <c r="D279" s="136"/>
      <c r="E279" s="153">
        <v>43.739161600000003</v>
      </c>
      <c r="F279" s="154">
        <v>-87.781754100000001</v>
      </c>
      <c r="G279" s="13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6" t="s">
        <v>358</v>
      </c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  <c r="AT279" s="76"/>
      <c r="AU279" s="76"/>
      <c r="AV279" s="76"/>
      <c r="AW279" s="76"/>
      <c r="AX279" s="76"/>
      <c r="AY279" s="76"/>
      <c r="AZ279" s="76"/>
      <c r="BA279" s="76"/>
      <c r="BB279" s="76"/>
      <c r="BC279" s="76"/>
      <c r="BD279" s="76"/>
      <c r="BE279" s="76"/>
      <c r="BF279" s="76"/>
      <c r="BG279" s="76"/>
      <c r="BH279" s="76"/>
      <c r="BI279" s="76"/>
      <c r="BJ279" s="76"/>
      <c r="BK279" s="76"/>
      <c r="BL279" s="76"/>
      <c r="BM279" s="76"/>
      <c r="BN279" s="76"/>
      <c r="BO279" s="76"/>
      <c r="BP279" s="76"/>
      <c r="BQ279" s="76"/>
      <c r="BR279" s="76"/>
      <c r="BS279" s="76"/>
      <c r="BT279" s="76"/>
    </row>
    <row r="280" spans="3:72" x14ac:dyDescent="0.25">
      <c r="C280" s="135">
        <v>278</v>
      </c>
      <c r="D280" s="136"/>
      <c r="E280" s="153">
        <v>43.739161600000003</v>
      </c>
      <c r="F280" s="154">
        <v>-87.781754100000001</v>
      </c>
      <c r="G280" s="13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  <c r="AA280" s="76"/>
      <c r="AB280" s="76" t="s">
        <v>358</v>
      </c>
      <c r="AC280" s="76"/>
      <c r="AD280" s="76"/>
      <c r="AE280" s="76"/>
      <c r="AF280" s="76"/>
      <c r="AG280" s="76"/>
      <c r="AH280" s="76"/>
      <c r="AI280" s="76"/>
      <c r="AJ280" s="76"/>
      <c r="AK280" s="76"/>
      <c r="AL280" s="76"/>
      <c r="AM280" s="76"/>
      <c r="AN280" s="76"/>
      <c r="AO280" s="76"/>
      <c r="AP280" s="76"/>
      <c r="AQ280" s="76"/>
      <c r="AR280" s="76"/>
      <c r="AS280" s="76"/>
      <c r="AT280" s="76"/>
      <c r="AU280" s="76"/>
      <c r="AV280" s="76"/>
      <c r="AW280" s="76"/>
      <c r="AX280" s="76"/>
      <c r="AY280" s="76"/>
      <c r="AZ280" s="76"/>
      <c r="BA280" s="76"/>
      <c r="BB280" s="76"/>
      <c r="BC280" s="76"/>
      <c r="BD280" s="76"/>
      <c r="BE280" s="76"/>
      <c r="BF280" s="76"/>
      <c r="BG280" s="76"/>
      <c r="BH280" s="76"/>
      <c r="BI280" s="76"/>
      <c r="BJ280" s="76"/>
      <c r="BK280" s="76"/>
      <c r="BL280" s="76"/>
      <c r="BM280" s="76"/>
      <c r="BN280" s="76"/>
      <c r="BO280" s="76"/>
      <c r="BP280" s="76"/>
      <c r="BQ280" s="76"/>
      <c r="BR280" s="76"/>
      <c r="BS280" s="76"/>
      <c r="BT280" s="76"/>
    </row>
    <row r="281" spans="3:72" x14ac:dyDescent="0.25">
      <c r="C281" s="135">
        <v>279</v>
      </c>
      <c r="D281" s="136"/>
      <c r="E281" s="153">
        <v>43.739161600000003</v>
      </c>
      <c r="F281" s="154">
        <v>-87.781754100000001</v>
      </c>
      <c r="G281" s="13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  <c r="Z281" s="76"/>
      <c r="AA281" s="76"/>
      <c r="AB281" s="76" t="s">
        <v>358</v>
      </c>
      <c r="AC281" s="76"/>
      <c r="AD281" s="76"/>
      <c r="AE281" s="76"/>
      <c r="AF281" s="76"/>
      <c r="AG281" s="76"/>
      <c r="AH281" s="76"/>
      <c r="AI281" s="76"/>
      <c r="AJ281" s="76"/>
      <c r="AK281" s="76"/>
      <c r="AL281" s="76"/>
      <c r="AM281" s="76"/>
      <c r="AN281" s="76"/>
      <c r="AO281" s="76"/>
      <c r="AP281" s="76"/>
      <c r="AQ281" s="76"/>
      <c r="AR281" s="76"/>
      <c r="AS281" s="76"/>
      <c r="AT281" s="76"/>
      <c r="AU281" s="76"/>
      <c r="AV281" s="76"/>
      <c r="AW281" s="76"/>
      <c r="AX281" s="76"/>
      <c r="AY281" s="76"/>
      <c r="AZ281" s="76"/>
      <c r="BA281" s="76"/>
      <c r="BB281" s="76"/>
      <c r="BC281" s="76"/>
      <c r="BD281" s="76"/>
      <c r="BE281" s="76"/>
      <c r="BF281" s="76"/>
      <c r="BG281" s="76"/>
      <c r="BH281" s="76"/>
      <c r="BI281" s="76"/>
      <c r="BJ281" s="76"/>
      <c r="BK281" s="76"/>
      <c r="BL281" s="76"/>
      <c r="BM281" s="76"/>
      <c r="BN281" s="76"/>
      <c r="BO281" s="76"/>
      <c r="BP281" s="76"/>
      <c r="BQ281" s="76"/>
      <c r="BR281" s="76"/>
      <c r="BS281" s="76"/>
      <c r="BT281" s="76"/>
    </row>
    <row r="282" spans="3:72" x14ac:dyDescent="0.25">
      <c r="C282" s="135">
        <v>280</v>
      </c>
      <c r="D282" s="136"/>
      <c r="E282" s="153">
        <v>43.739161600000003</v>
      </c>
      <c r="F282" s="154">
        <v>-87.781754100000001</v>
      </c>
      <c r="G282" s="13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  <c r="Z282" s="76"/>
      <c r="AA282" s="76"/>
      <c r="AB282" s="76" t="s">
        <v>358</v>
      </c>
      <c r="AC282" s="76"/>
      <c r="AD282" s="76"/>
      <c r="AE282" s="76"/>
      <c r="AF282" s="76"/>
      <c r="AG282" s="76"/>
      <c r="AH282" s="76"/>
      <c r="AI282" s="76"/>
      <c r="AJ282" s="76"/>
      <c r="AK282" s="76"/>
      <c r="AL282" s="76"/>
      <c r="AM282" s="76"/>
      <c r="AN282" s="76"/>
      <c r="AO282" s="76"/>
      <c r="AP282" s="76"/>
      <c r="AQ282" s="76"/>
      <c r="AR282" s="76"/>
      <c r="AS282" s="76"/>
      <c r="AT282" s="76"/>
      <c r="AU282" s="76"/>
      <c r="AV282" s="76"/>
      <c r="AW282" s="76"/>
      <c r="AX282" s="76"/>
      <c r="AY282" s="76"/>
      <c r="AZ282" s="76"/>
      <c r="BA282" s="76"/>
      <c r="BB282" s="76"/>
      <c r="BC282" s="76"/>
      <c r="BD282" s="76"/>
      <c r="BE282" s="76"/>
      <c r="BF282" s="76"/>
      <c r="BG282" s="76"/>
      <c r="BH282" s="76"/>
      <c r="BI282" s="76"/>
      <c r="BJ282" s="76"/>
      <c r="BK282" s="76"/>
      <c r="BL282" s="76"/>
      <c r="BM282" s="76"/>
      <c r="BN282" s="76"/>
      <c r="BO282" s="76"/>
      <c r="BP282" s="76"/>
      <c r="BQ282" s="76"/>
      <c r="BR282" s="76"/>
      <c r="BS282" s="76"/>
      <c r="BT282" s="76"/>
    </row>
    <row r="283" spans="3:72" x14ac:dyDescent="0.25">
      <c r="C283" s="135">
        <v>281</v>
      </c>
      <c r="D283" s="136"/>
      <c r="E283" s="153">
        <v>43.739161600000003</v>
      </c>
      <c r="F283" s="154">
        <v>-87.781754100000001</v>
      </c>
      <c r="G283" s="13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6" t="s">
        <v>358</v>
      </c>
      <c r="AC283" s="76"/>
      <c r="AD283" s="76"/>
      <c r="AE283" s="76"/>
      <c r="AF283" s="76"/>
      <c r="AG283" s="76"/>
      <c r="AH283" s="76"/>
      <c r="AI283" s="76"/>
      <c r="AJ283" s="76"/>
      <c r="AK283" s="76"/>
      <c r="AL283" s="76"/>
      <c r="AM283" s="76"/>
      <c r="AN283" s="76"/>
      <c r="AO283" s="76"/>
      <c r="AP283" s="76"/>
      <c r="AQ283" s="76"/>
      <c r="AR283" s="76"/>
      <c r="AS283" s="76"/>
      <c r="AT283" s="76"/>
      <c r="AU283" s="76"/>
      <c r="AV283" s="76"/>
      <c r="AW283" s="76"/>
      <c r="AX283" s="76"/>
      <c r="AY283" s="76"/>
      <c r="AZ283" s="76"/>
      <c r="BA283" s="76"/>
      <c r="BB283" s="76"/>
      <c r="BC283" s="76"/>
      <c r="BD283" s="76"/>
      <c r="BE283" s="76"/>
      <c r="BF283" s="76"/>
      <c r="BG283" s="76"/>
      <c r="BH283" s="76"/>
      <c r="BI283" s="76"/>
      <c r="BJ283" s="76"/>
      <c r="BK283" s="76"/>
      <c r="BL283" s="76"/>
      <c r="BM283" s="76"/>
      <c r="BN283" s="76"/>
      <c r="BO283" s="76"/>
      <c r="BP283" s="76"/>
      <c r="BQ283" s="76"/>
      <c r="BR283" s="76"/>
      <c r="BS283" s="76"/>
      <c r="BT283" s="76"/>
    </row>
    <row r="284" spans="3:72" x14ac:dyDescent="0.25">
      <c r="C284" s="135">
        <v>282</v>
      </c>
      <c r="D284" s="136"/>
      <c r="E284" s="153">
        <v>40.883676999999999</v>
      </c>
      <c r="F284" s="154">
        <v>-74.657272000000006</v>
      </c>
      <c r="G284" s="13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  <c r="AA284" s="76"/>
      <c r="AB284" s="76" t="s">
        <v>358</v>
      </c>
      <c r="AC284" s="76"/>
      <c r="AD284" s="76"/>
      <c r="AE284" s="76"/>
      <c r="AF284" s="76"/>
      <c r="AG284" s="76"/>
      <c r="AH284" s="76"/>
      <c r="AI284" s="76"/>
      <c r="AJ284" s="76"/>
      <c r="AK284" s="76"/>
      <c r="AL284" s="76"/>
      <c r="AM284" s="76"/>
      <c r="AN284" s="76"/>
      <c r="AO284" s="76"/>
      <c r="AP284" s="76"/>
      <c r="AQ284" s="76"/>
      <c r="AR284" s="76"/>
      <c r="AS284" s="76"/>
      <c r="AT284" s="76"/>
      <c r="AU284" s="76"/>
      <c r="AV284" s="76"/>
      <c r="AW284" s="76"/>
      <c r="AX284" s="76"/>
      <c r="AY284" s="76"/>
      <c r="AZ284" s="76"/>
      <c r="BA284" s="76"/>
      <c r="BB284" s="76"/>
      <c r="BC284" s="76"/>
      <c r="BD284" s="76"/>
      <c r="BE284" s="76"/>
      <c r="BF284" s="76"/>
      <c r="BG284" s="76"/>
      <c r="BH284" s="76"/>
      <c r="BI284" s="76"/>
      <c r="BJ284" s="76"/>
      <c r="BK284" s="76"/>
      <c r="BL284" s="76"/>
      <c r="BM284" s="76"/>
      <c r="BN284" s="76"/>
      <c r="BO284" s="76"/>
      <c r="BP284" s="76"/>
      <c r="BQ284" s="76"/>
      <c r="BR284" s="76"/>
      <c r="BS284" s="76"/>
      <c r="BT284" s="76"/>
    </row>
    <row r="285" spans="3:72" x14ac:dyDescent="0.25">
      <c r="C285" s="135">
        <v>283</v>
      </c>
      <c r="D285" s="136"/>
      <c r="E285" s="153">
        <v>38.019613800000002</v>
      </c>
      <c r="F285" s="154">
        <v>-84.499448799999996</v>
      </c>
      <c r="G285" s="13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  <c r="AA285" s="76"/>
      <c r="AB285" s="76" t="s">
        <v>358</v>
      </c>
      <c r="AC285" s="76"/>
      <c r="AD285" s="76"/>
      <c r="AE285" s="76"/>
      <c r="AF285" s="76"/>
      <c r="AG285" s="76"/>
      <c r="AH285" s="76"/>
      <c r="AI285" s="76"/>
      <c r="AJ285" s="76"/>
      <c r="AK285" s="76"/>
      <c r="AL285" s="76"/>
      <c r="AM285" s="76"/>
      <c r="AN285" s="76"/>
      <c r="AO285" s="76"/>
      <c r="AP285" s="76"/>
      <c r="AQ285" s="76"/>
      <c r="AR285" s="76"/>
      <c r="AS285" s="76"/>
      <c r="AT285" s="76"/>
      <c r="AU285" s="76"/>
      <c r="AV285" s="76"/>
      <c r="AW285" s="76"/>
      <c r="AX285" s="76"/>
      <c r="AY285" s="76"/>
      <c r="AZ285" s="76"/>
      <c r="BA285" s="76"/>
      <c r="BB285" s="76"/>
      <c r="BC285" s="76"/>
      <c r="BD285" s="76"/>
      <c r="BE285" s="76"/>
      <c r="BF285" s="76"/>
      <c r="BG285" s="76"/>
      <c r="BH285" s="76"/>
      <c r="BI285" s="76"/>
      <c r="BJ285" s="76"/>
      <c r="BK285" s="76"/>
      <c r="BL285" s="76"/>
      <c r="BM285" s="76"/>
      <c r="BN285" s="76"/>
      <c r="BO285" s="76"/>
      <c r="BP285" s="76"/>
      <c r="BQ285" s="76"/>
      <c r="BR285" s="76"/>
      <c r="BS285" s="76"/>
      <c r="BT285" s="76"/>
    </row>
    <row r="286" spans="3:72" x14ac:dyDescent="0.25">
      <c r="C286" s="135">
        <v>284</v>
      </c>
      <c r="D286" s="136"/>
      <c r="E286" s="153">
        <v>42.283078600000003</v>
      </c>
      <c r="F286" s="154">
        <v>-87.953130299999998</v>
      </c>
      <c r="G286" s="13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  <c r="AA286" s="76"/>
      <c r="AB286" s="76" t="s">
        <v>358</v>
      </c>
      <c r="AC286" s="76"/>
      <c r="AD286" s="76"/>
      <c r="AE286" s="76"/>
      <c r="AF286" s="76"/>
      <c r="AG286" s="76"/>
      <c r="AH286" s="76"/>
      <c r="AI286" s="76"/>
      <c r="AJ286" s="76"/>
      <c r="AK286" s="76"/>
      <c r="AL286" s="76"/>
      <c r="AM286" s="76"/>
      <c r="AN286" s="76"/>
      <c r="AO286" s="76"/>
      <c r="AP286" s="76"/>
      <c r="AQ286" s="76"/>
      <c r="AR286" s="76"/>
      <c r="AS286" s="76"/>
      <c r="AT286" s="76"/>
      <c r="AU286" s="76"/>
      <c r="AV286" s="76"/>
      <c r="AW286" s="76"/>
      <c r="AX286" s="76"/>
      <c r="AY286" s="76"/>
      <c r="AZ286" s="76"/>
      <c r="BA286" s="76"/>
      <c r="BB286" s="76"/>
      <c r="BC286" s="76"/>
      <c r="BD286" s="76"/>
      <c r="BE286" s="76"/>
      <c r="BF286" s="76"/>
      <c r="BG286" s="76"/>
      <c r="BH286" s="76"/>
      <c r="BI286" s="76"/>
      <c r="BJ286" s="76"/>
      <c r="BK286" s="76"/>
      <c r="BL286" s="76"/>
      <c r="BM286" s="76"/>
      <c r="BN286" s="76"/>
      <c r="BO286" s="76"/>
      <c r="BP286" s="76"/>
      <c r="BQ286" s="76"/>
      <c r="BR286" s="76"/>
      <c r="BS286" s="76"/>
      <c r="BT286" s="76"/>
    </row>
    <row r="287" spans="3:72" x14ac:dyDescent="0.25">
      <c r="C287" s="135">
        <v>285</v>
      </c>
      <c r="D287" s="136"/>
      <c r="E287" s="153">
        <v>34.048347399999997</v>
      </c>
      <c r="F287" s="154">
        <v>-117.2611527</v>
      </c>
      <c r="G287" s="13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/>
      <c r="AA287" s="76"/>
      <c r="AB287" s="76" t="s">
        <v>358</v>
      </c>
      <c r="AC287" s="76"/>
      <c r="AD287" s="76"/>
      <c r="AE287" s="76"/>
      <c r="AF287" s="76"/>
      <c r="AG287" s="76"/>
      <c r="AH287" s="76"/>
      <c r="AI287" s="76"/>
      <c r="AJ287" s="76"/>
      <c r="AK287" s="76"/>
      <c r="AL287" s="76"/>
      <c r="AM287" s="76"/>
      <c r="AN287" s="76"/>
      <c r="AO287" s="76"/>
      <c r="AP287" s="76"/>
      <c r="AQ287" s="76"/>
      <c r="AR287" s="76"/>
      <c r="AS287" s="76"/>
      <c r="AT287" s="76"/>
      <c r="AU287" s="76"/>
      <c r="AV287" s="76"/>
      <c r="AW287" s="76"/>
      <c r="AX287" s="76"/>
      <c r="AY287" s="76"/>
      <c r="AZ287" s="76"/>
      <c r="BA287" s="76"/>
      <c r="BB287" s="76"/>
      <c r="BC287" s="76"/>
      <c r="BD287" s="76"/>
      <c r="BE287" s="76"/>
      <c r="BF287" s="76"/>
      <c r="BG287" s="76"/>
      <c r="BH287" s="76"/>
      <c r="BI287" s="76"/>
      <c r="BJ287" s="76"/>
      <c r="BK287" s="76"/>
      <c r="BL287" s="76"/>
      <c r="BM287" s="76"/>
      <c r="BN287" s="76"/>
      <c r="BO287" s="76"/>
      <c r="BP287" s="76"/>
      <c r="BQ287" s="76"/>
      <c r="BR287" s="76"/>
      <c r="BS287" s="76"/>
      <c r="BT287" s="76"/>
    </row>
    <row r="288" spans="3:72" x14ac:dyDescent="0.25">
      <c r="C288" s="135">
        <v>286</v>
      </c>
      <c r="D288" s="136"/>
      <c r="E288" s="153">
        <v>34.029511399999997</v>
      </c>
      <c r="F288" s="154">
        <v>-118.2848199</v>
      </c>
      <c r="G288" s="13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  <c r="Z288" s="76"/>
      <c r="AA288" s="76"/>
      <c r="AB288" s="76" t="s">
        <v>358</v>
      </c>
      <c r="AC288" s="76"/>
      <c r="AD288" s="76"/>
      <c r="AE288" s="76"/>
      <c r="AF288" s="76"/>
      <c r="AG288" s="76"/>
      <c r="AH288" s="76"/>
      <c r="AI288" s="76"/>
      <c r="AJ288" s="76"/>
      <c r="AK288" s="76"/>
      <c r="AL288" s="76"/>
      <c r="AM288" s="76"/>
      <c r="AN288" s="76"/>
      <c r="AO288" s="76"/>
      <c r="AP288" s="76"/>
      <c r="AQ288" s="76"/>
      <c r="AR288" s="76"/>
      <c r="AS288" s="76"/>
      <c r="AT288" s="76"/>
      <c r="AU288" s="76"/>
      <c r="AV288" s="76"/>
      <c r="AW288" s="76"/>
      <c r="AX288" s="76"/>
      <c r="AY288" s="76"/>
      <c r="AZ288" s="76"/>
      <c r="BA288" s="76"/>
      <c r="BB288" s="76"/>
      <c r="BC288" s="76"/>
      <c r="BD288" s="76"/>
      <c r="BE288" s="76"/>
      <c r="BF288" s="76"/>
      <c r="BG288" s="76"/>
      <c r="BH288" s="76"/>
      <c r="BI288" s="76"/>
      <c r="BJ288" s="76"/>
      <c r="BK288" s="76"/>
      <c r="BL288" s="76"/>
      <c r="BM288" s="76"/>
      <c r="BN288" s="76"/>
      <c r="BO288" s="76"/>
      <c r="BP288" s="76"/>
      <c r="BQ288" s="76"/>
      <c r="BR288" s="76"/>
      <c r="BS288" s="76"/>
      <c r="BT288" s="76"/>
    </row>
    <row r="289" spans="3:72" x14ac:dyDescent="0.25">
      <c r="C289" s="135">
        <v>287</v>
      </c>
      <c r="D289" s="136"/>
      <c r="E289" s="153">
        <v>43.073051700000001</v>
      </c>
      <c r="F289" s="154">
        <v>-89.401230200000001</v>
      </c>
      <c r="G289" s="13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  <c r="AA289" s="76"/>
      <c r="AB289" s="76" t="s">
        <v>358</v>
      </c>
      <c r="AC289" s="76"/>
      <c r="AD289" s="76"/>
      <c r="AE289" s="76"/>
      <c r="AF289" s="76"/>
      <c r="AG289" s="76"/>
      <c r="AH289" s="76"/>
      <c r="AI289" s="76"/>
      <c r="AJ289" s="76"/>
      <c r="AK289" s="76"/>
      <c r="AL289" s="76"/>
      <c r="AM289" s="76"/>
      <c r="AN289" s="76"/>
      <c r="AO289" s="76"/>
      <c r="AP289" s="76"/>
      <c r="AQ289" s="76"/>
      <c r="AR289" s="76"/>
      <c r="AS289" s="76"/>
      <c r="AT289" s="76"/>
      <c r="AU289" s="76"/>
      <c r="AV289" s="76"/>
      <c r="AW289" s="76"/>
      <c r="AX289" s="76"/>
      <c r="AY289" s="76"/>
      <c r="AZ289" s="76"/>
      <c r="BA289" s="76"/>
      <c r="BB289" s="76"/>
      <c r="BC289" s="76"/>
      <c r="BD289" s="76"/>
      <c r="BE289" s="76"/>
      <c r="BF289" s="76"/>
      <c r="BG289" s="76"/>
      <c r="BH289" s="76"/>
      <c r="BI289" s="76"/>
      <c r="BJ289" s="76"/>
      <c r="BK289" s="76"/>
      <c r="BL289" s="76"/>
      <c r="BM289" s="76"/>
      <c r="BN289" s="76"/>
      <c r="BO289" s="76"/>
      <c r="BP289" s="76"/>
      <c r="BQ289" s="76"/>
      <c r="BR289" s="76"/>
      <c r="BS289" s="76"/>
      <c r="BT289" s="76"/>
    </row>
    <row r="290" spans="3:72" x14ac:dyDescent="0.25">
      <c r="C290" s="135">
        <v>288</v>
      </c>
      <c r="D290" s="136"/>
      <c r="E290" s="153">
        <v>43.073051700000001</v>
      </c>
      <c r="F290" s="154">
        <v>-89.401230200000001</v>
      </c>
      <c r="G290" s="13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6" t="s">
        <v>358</v>
      </c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76"/>
      <c r="AP290" s="76"/>
      <c r="AQ290" s="76"/>
      <c r="AR290" s="76"/>
      <c r="AS290" s="76"/>
      <c r="AT290" s="76"/>
      <c r="AU290" s="76"/>
      <c r="AV290" s="76"/>
      <c r="AW290" s="76"/>
      <c r="AX290" s="76"/>
      <c r="AY290" s="76"/>
      <c r="AZ290" s="76"/>
      <c r="BA290" s="76"/>
      <c r="BB290" s="76"/>
      <c r="BC290" s="76"/>
      <c r="BD290" s="76"/>
      <c r="BE290" s="76"/>
      <c r="BF290" s="76"/>
      <c r="BG290" s="76"/>
      <c r="BH290" s="76"/>
      <c r="BI290" s="76"/>
      <c r="BJ290" s="76"/>
      <c r="BK290" s="76"/>
      <c r="BL290" s="76"/>
      <c r="BM290" s="76"/>
      <c r="BN290" s="76"/>
      <c r="BO290" s="76"/>
      <c r="BP290" s="76"/>
      <c r="BQ290" s="76"/>
      <c r="BR290" s="76"/>
      <c r="BS290" s="76"/>
      <c r="BT290" s="76"/>
    </row>
    <row r="291" spans="3:72" x14ac:dyDescent="0.25">
      <c r="C291" s="135">
        <v>289</v>
      </c>
      <c r="D291" s="136"/>
      <c r="E291" s="153">
        <v>43.073051700000001</v>
      </c>
      <c r="F291" s="154">
        <v>-89.401230200000001</v>
      </c>
      <c r="G291" s="13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6" t="s">
        <v>358</v>
      </c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76"/>
      <c r="AP291" s="76"/>
      <c r="AQ291" s="76"/>
      <c r="AR291" s="76"/>
      <c r="AS291" s="76"/>
      <c r="AT291" s="76"/>
      <c r="AU291" s="76"/>
      <c r="AV291" s="76"/>
      <c r="AW291" s="76"/>
      <c r="AX291" s="76"/>
      <c r="AY291" s="76"/>
      <c r="AZ291" s="76"/>
      <c r="BA291" s="76"/>
      <c r="BB291" s="76"/>
      <c r="BC291" s="76"/>
      <c r="BD291" s="76"/>
      <c r="BE291" s="76"/>
      <c r="BF291" s="76"/>
      <c r="BG291" s="76"/>
      <c r="BH291" s="76"/>
      <c r="BI291" s="76"/>
      <c r="BJ291" s="76"/>
      <c r="BK291" s="76"/>
      <c r="BL291" s="76"/>
      <c r="BM291" s="76"/>
      <c r="BN291" s="76"/>
      <c r="BO291" s="76"/>
      <c r="BP291" s="76"/>
      <c r="BQ291" s="76"/>
      <c r="BR291" s="76"/>
      <c r="BS291" s="76"/>
      <c r="BT291" s="76"/>
    </row>
    <row r="292" spans="3:72" x14ac:dyDescent="0.25">
      <c r="C292" s="135">
        <v>290</v>
      </c>
      <c r="D292" s="136"/>
      <c r="E292" s="153">
        <v>43.073051700000001</v>
      </c>
      <c r="F292" s="154">
        <v>-89.401230200000001</v>
      </c>
      <c r="G292" s="13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  <c r="AA292" s="76"/>
      <c r="AB292" s="76" t="s">
        <v>358</v>
      </c>
      <c r="AC292" s="76"/>
      <c r="AD292" s="76"/>
      <c r="AE292" s="76"/>
      <c r="AF292" s="76"/>
      <c r="AG292" s="76"/>
      <c r="AH292" s="76"/>
      <c r="AI292" s="76"/>
      <c r="AJ292" s="76"/>
      <c r="AK292" s="76"/>
      <c r="AL292" s="76"/>
      <c r="AM292" s="76"/>
      <c r="AN292" s="76"/>
      <c r="AO292" s="76"/>
      <c r="AP292" s="76"/>
      <c r="AQ292" s="76"/>
      <c r="AR292" s="76"/>
      <c r="AS292" s="76"/>
      <c r="AT292" s="76"/>
      <c r="AU292" s="76"/>
      <c r="AV292" s="76"/>
      <c r="AW292" s="76"/>
      <c r="AX292" s="76"/>
      <c r="AY292" s="76"/>
      <c r="AZ292" s="76"/>
      <c r="BA292" s="76"/>
      <c r="BB292" s="76"/>
      <c r="BC292" s="76"/>
      <c r="BD292" s="76"/>
      <c r="BE292" s="76"/>
      <c r="BF292" s="76"/>
      <c r="BG292" s="76"/>
      <c r="BH292" s="76"/>
      <c r="BI292" s="76"/>
      <c r="BJ292" s="76"/>
      <c r="BK292" s="76"/>
      <c r="BL292" s="76"/>
      <c r="BM292" s="76"/>
      <c r="BN292" s="76"/>
      <c r="BO292" s="76"/>
      <c r="BP292" s="76"/>
      <c r="BQ292" s="76"/>
      <c r="BR292" s="76"/>
      <c r="BS292" s="76"/>
      <c r="BT292" s="76"/>
    </row>
    <row r="293" spans="3:72" x14ac:dyDescent="0.25">
      <c r="C293" s="135">
        <v>291</v>
      </c>
      <c r="D293" s="136"/>
      <c r="E293" s="153">
        <v>43.073051700000001</v>
      </c>
      <c r="F293" s="154">
        <v>-89.401230200000001</v>
      </c>
      <c r="G293" s="13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6" t="s">
        <v>358</v>
      </c>
      <c r="AC293" s="76"/>
      <c r="AD293" s="76"/>
      <c r="AE293" s="76"/>
      <c r="AF293" s="76"/>
      <c r="AG293" s="76"/>
      <c r="AH293" s="76"/>
      <c r="AI293" s="76"/>
      <c r="AJ293" s="76"/>
      <c r="AK293" s="76"/>
      <c r="AL293" s="76"/>
      <c r="AM293" s="76"/>
      <c r="AN293" s="76"/>
      <c r="AO293" s="76"/>
      <c r="AP293" s="76"/>
      <c r="AQ293" s="76"/>
      <c r="AR293" s="76"/>
      <c r="AS293" s="76"/>
      <c r="AT293" s="76"/>
      <c r="AU293" s="76"/>
      <c r="AV293" s="76"/>
      <c r="AW293" s="76"/>
      <c r="AX293" s="76"/>
      <c r="AY293" s="76"/>
      <c r="AZ293" s="76"/>
      <c r="BA293" s="76"/>
      <c r="BB293" s="76"/>
      <c r="BC293" s="76"/>
      <c r="BD293" s="76"/>
      <c r="BE293" s="76"/>
      <c r="BF293" s="76"/>
      <c r="BG293" s="76"/>
      <c r="BH293" s="76"/>
      <c r="BI293" s="76"/>
      <c r="BJ293" s="76"/>
      <c r="BK293" s="76"/>
      <c r="BL293" s="76"/>
      <c r="BM293" s="76"/>
      <c r="BN293" s="76"/>
      <c r="BO293" s="76"/>
      <c r="BP293" s="76"/>
      <c r="BQ293" s="76"/>
      <c r="BR293" s="76"/>
      <c r="BS293" s="76"/>
      <c r="BT293" s="76"/>
    </row>
    <row r="294" spans="3:72" x14ac:dyDescent="0.25">
      <c r="C294" s="135">
        <v>292</v>
      </c>
      <c r="D294" s="136"/>
      <c r="E294" s="153">
        <v>43.073051700000001</v>
      </c>
      <c r="F294" s="154">
        <v>-89.401230200000001</v>
      </c>
      <c r="G294" s="13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6" t="s">
        <v>358</v>
      </c>
      <c r="AC294" s="76"/>
      <c r="AD294" s="76"/>
      <c r="AE294" s="76"/>
      <c r="AF294" s="76"/>
      <c r="AG294" s="76"/>
      <c r="AH294" s="76"/>
      <c r="AI294" s="76"/>
      <c r="AJ294" s="76"/>
      <c r="AK294" s="76"/>
      <c r="AL294" s="76"/>
      <c r="AM294" s="76"/>
      <c r="AN294" s="76"/>
      <c r="AO294" s="76"/>
      <c r="AP294" s="76"/>
      <c r="AQ294" s="76"/>
      <c r="AR294" s="76"/>
      <c r="AS294" s="76"/>
      <c r="AT294" s="76"/>
      <c r="AU294" s="76"/>
      <c r="AV294" s="76"/>
      <c r="AW294" s="76"/>
      <c r="AX294" s="76"/>
      <c r="AY294" s="76"/>
      <c r="AZ294" s="76"/>
      <c r="BA294" s="76"/>
      <c r="BB294" s="76"/>
      <c r="BC294" s="76"/>
      <c r="BD294" s="76"/>
      <c r="BE294" s="76"/>
      <c r="BF294" s="76"/>
      <c r="BG294" s="76"/>
      <c r="BH294" s="76"/>
      <c r="BI294" s="76"/>
      <c r="BJ294" s="76"/>
      <c r="BK294" s="76"/>
      <c r="BL294" s="76"/>
      <c r="BM294" s="76"/>
      <c r="BN294" s="76"/>
      <c r="BO294" s="76"/>
      <c r="BP294" s="76"/>
      <c r="BQ294" s="76"/>
      <c r="BR294" s="76"/>
      <c r="BS294" s="76"/>
      <c r="BT294" s="76"/>
    </row>
    <row r="295" spans="3:72" x14ac:dyDescent="0.25">
      <c r="C295" s="135">
        <v>293</v>
      </c>
      <c r="D295" s="136"/>
      <c r="E295" s="153">
        <v>43.073051700000001</v>
      </c>
      <c r="F295" s="154">
        <v>-89.401230200000001</v>
      </c>
      <c r="G295" s="13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6" t="s">
        <v>358</v>
      </c>
      <c r="AC295" s="76"/>
      <c r="AD295" s="76"/>
      <c r="AE295" s="76"/>
      <c r="AF295" s="76"/>
      <c r="AG295" s="76"/>
      <c r="AH295" s="76"/>
      <c r="AI295" s="76"/>
      <c r="AJ295" s="76"/>
      <c r="AK295" s="76"/>
      <c r="AL295" s="76"/>
      <c r="AM295" s="76"/>
      <c r="AN295" s="76"/>
      <c r="AO295" s="76"/>
      <c r="AP295" s="76"/>
      <c r="AQ295" s="76"/>
      <c r="AR295" s="76"/>
      <c r="AS295" s="76"/>
      <c r="AT295" s="76"/>
      <c r="AU295" s="76"/>
      <c r="AV295" s="76"/>
      <c r="AW295" s="76"/>
      <c r="AX295" s="76"/>
      <c r="AY295" s="76"/>
      <c r="AZ295" s="76"/>
      <c r="BA295" s="76"/>
      <c r="BB295" s="76"/>
      <c r="BC295" s="76"/>
      <c r="BD295" s="76"/>
      <c r="BE295" s="76"/>
      <c r="BF295" s="76"/>
      <c r="BG295" s="76"/>
      <c r="BH295" s="76"/>
      <c r="BI295" s="76"/>
      <c r="BJ295" s="76"/>
      <c r="BK295" s="76"/>
      <c r="BL295" s="76"/>
      <c r="BM295" s="76"/>
      <c r="BN295" s="76"/>
      <c r="BO295" s="76"/>
      <c r="BP295" s="76"/>
      <c r="BQ295" s="76"/>
      <c r="BR295" s="76"/>
      <c r="BS295" s="76"/>
      <c r="BT295" s="76"/>
    </row>
    <row r="296" spans="3:72" x14ac:dyDescent="0.25">
      <c r="C296" s="135">
        <v>294</v>
      </c>
      <c r="D296" s="136"/>
      <c r="E296" s="153">
        <v>43.073051700000001</v>
      </c>
      <c r="F296" s="154">
        <v>-89.401230200000001</v>
      </c>
      <c r="G296" s="13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  <c r="AA296" s="76"/>
      <c r="AB296" s="76" t="s">
        <v>358</v>
      </c>
      <c r="AC296" s="76"/>
      <c r="AD296" s="76"/>
      <c r="AE296" s="76"/>
      <c r="AF296" s="76"/>
      <c r="AG296" s="76"/>
      <c r="AH296" s="76"/>
      <c r="AI296" s="76"/>
      <c r="AJ296" s="76"/>
      <c r="AK296" s="76"/>
      <c r="AL296" s="76"/>
      <c r="AM296" s="76"/>
      <c r="AN296" s="76"/>
      <c r="AO296" s="76"/>
      <c r="AP296" s="76"/>
      <c r="AQ296" s="76"/>
      <c r="AR296" s="76"/>
      <c r="AS296" s="76"/>
      <c r="AT296" s="76"/>
      <c r="AU296" s="76"/>
      <c r="AV296" s="76"/>
      <c r="AW296" s="76"/>
      <c r="AX296" s="76"/>
      <c r="AY296" s="76"/>
      <c r="AZ296" s="76"/>
      <c r="BA296" s="76"/>
      <c r="BB296" s="76"/>
      <c r="BC296" s="76"/>
      <c r="BD296" s="76"/>
      <c r="BE296" s="76"/>
      <c r="BF296" s="76"/>
      <c r="BG296" s="76"/>
      <c r="BH296" s="76"/>
      <c r="BI296" s="76"/>
      <c r="BJ296" s="76"/>
      <c r="BK296" s="76"/>
      <c r="BL296" s="76"/>
      <c r="BM296" s="76"/>
      <c r="BN296" s="76"/>
      <c r="BO296" s="76"/>
      <c r="BP296" s="76"/>
      <c r="BQ296" s="76"/>
      <c r="BR296" s="76"/>
      <c r="BS296" s="76"/>
      <c r="BT296" s="76"/>
    </row>
    <row r="297" spans="3:72" x14ac:dyDescent="0.25">
      <c r="C297" s="135">
        <v>295</v>
      </c>
      <c r="D297" s="136"/>
      <c r="E297" s="153">
        <v>43.073051700000001</v>
      </c>
      <c r="F297" s="154">
        <v>-89.401230200000001</v>
      </c>
      <c r="G297" s="13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  <c r="AA297" s="76"/>
      <c r="AB297" s="76" t="s">
        <v>358</v>
      </c>
      <c r="AC297" s="76"/>
      <c r="AD297" s="76"/>
      <c r="AE297" s="76"/>
      <c r="AF297" s="76"/>
      <c r="AG297" s="76"/>
      <c r="AH297" s="76"/>
      <c r="AI297" s="76"/>
      <c r="AJ297" s="76"/>
      <c r="AK297" s="76"/>
      <c r="AL297" s="76"/>
      <c r="AM297" s="76"/>
      <c r="AN297" s="76"/>
      <c r="AO297" s="76"/>
      <c r="AP297" s="76"/>
      <c r="AQ297" s="76"/>
      <c r="AR297" s="76"/>
      <c r="AS297" s="76"/>
      <c r="AT297" s="76"/>
      <c r="AU297" s="76"/>
      <c r="AV297" s="76"/>
      <c r="AW297" s="76"/>
      <c r="AX297" s="76"/>
      <c r="AY297" s="76"/>
      <c r="AZ297" s="76"/>
      <c r="BA297" s="76"/>
      <c r="BB297" s="76"/>
      <c r="BC297" s="76"/>
      <c r="BD297" s="76"/>
      <c r="BE297" s="76"/>
      <c r="BF297" s="76"/>
      <c r="BG297" s="76"/>
      <c r="BH297" s="76"/>
      <c r="BI297" s="76"/>
      <c r="BJ297" s="76"/>
      <c r="BK297" s="76"/>
      <c r="BL297" s="76"/>
      <c r="BM297" s="76"/>
      <c r="BN297" s="76"/>
      <c r="BO297" s="76"/>
      <c r="BP297" s="76"/>
      <c r="BQ297" s="76"/>
      <c r="BR297" s="76"/>
      <c r="BS297" s="76"/>
      <c r="BT297" s="76"/>
    </row>
    <row r="298" spans="3:72" x14ac:dyDescent="0.25">
      <c r="C298" s="135">
        <v>296</v>
      </c>
      <c r="D298" s="136"/>
      <c r="E298" s="153">
        <v>43.069034299999998</v>
      </c>
      <c r="F298" s="154">
        <v>-89.424562699999996</v>
      </c>
      <c r="G298" s="13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  <c r="AA298" s="76"/>
      <c r="AB298" s="76" t="s">
        <v>358</v>
      </c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/>
      <c r="AP298" s="76"/>
      <c r="AQ298" s="76"/>
      <c r="AR298" s="76"/>
      <c r="AS298" s="76"/>
      <c r="AT298" s="76"/>
      <c r="AU298" s="76"/>
      <c r="AV298" s="76"/>
      <c r="AW298" s="76"/>
      <c r="AX298" s="76"/>
      <c r="AY298" s="76"/>
      <c r="AZ298" s="76"/>
      <c r="BA298" s="76"/>
      <c r="BB298" s="76"/>
      <c r="BC298" s="76"/>
      <c r="BD298" s="76"/>
      <c r="BE298" s="76"/>
      <c r="BF298" s="76"/>
      <c r="BG298" s="76"/>
      <c r="BH298" s="76"/>
      <c r="BI298" s="76"/>
      <c r="BJ298" s="76"/>
      <c r="BK298" s="76"/>
      <c r="BL298" s="76"/>
      <c r="BM298" s="76"/>
      <c r="BN298" s="76"/>
      <c r="BO298" s="76"/>
      <c r="BP298" s="76"/>
      <c r="BQ298" s="76"/>
      <c r="BR298" s="76"/>
      <c r="BS298" s="76"/>
      <c r="BT298" s="76"/>
    </row>
    <row r="299" spans="3:72" x14ac:dyDescent="0.25">
      <c r="C299" s="135">
        <v>297</v>
      </c>
      <c r="D299" s="136"/>
      <c r="E299" s="153">
        <v>43.069034299999998</v>
      </c>
      <c r="F299" s="154">
        <v>-89.424562699999996</v>
      </c>
      <c r="G299" s="13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  <c r="AA299" s="76"/>
      <c r="AB299" s="76" t="s">
        <v>358</v>
      </c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/>
      <c r="AS299" s="76"/>
      <c r="AT299" s="76"/>
      <c r="AU299" s="76"/>
      <c r="AV299" s="76"/>
      <c r="AW299" s="76"/>
      <c r="AX299" s="76"/>
      <c r="AY299" s="76"/>
      <c r="AZ299" s="76"/>
      <c r="BA299" s="76"/>
      <c r="BB299" s="76"/>
      <c r="BC299" s="76"/>
      <c r="BD299" s="76"/>
      <c r="BE299" s="76"/>
      <c r="BF299" s="76"/>
      <c r="BG299" s="76"/>
      <c r="BH299" s="76"/>
      <c r="BI299" s="76"/>
      <c r="BJ299" s="76"/>
      <c r="BK299" s="76"/>
      <c r="BL299" s="76"/>
      <c r="BM299" s="76"/>
      <c r="BN299" s="76"/>
      <c r="BO299" s="76"/>
      <c r="BP299" s="76"/>
      <c r="BQ299" s="76"/>
      <c r="BR299" s="76"/>
      <c r="BS299" s="76"/>
      <c r="BT299" s="76"/>
    </row>
    <row r="300" spans="3:72" x14ac:dyDescent="0.25">
      <c r="C300" s="135">
        <v>298</v>
      </c>
      <c r="D300" s="136"/>
      <c r="E300" s="153">
        <v>43.069034299999998</v>
      </c>
      <c r="F300" s="154">
        <v>-89.424562699999996</v>
      </c>
      <c r="G300" s="13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/>
      <c r="AA300" s="76"/>
      <c r="AB300" s="76" t="s">
        <v>358</v>
      </c>
      <c r="AC300" s="76"/>
      <c r="AD300" s="76"/>
      <c r="AE300" s="76"/>
      <c r="AF300" s="76"/>
      <c r="AG300" s="76"/>
      <c r="AH300" s="76"/>
      <c r="AI300" s="76"/>
      <c r="AJ300" s="76"/>
      <c r="AK300" s="76"/>
      <c r="AL300" s="76"/>
      <c r="AM300" s="76"/>
      <c r="AN300" s="76"/>
      <c r="AO300" s="76"/>
      <c r="AP300" s="76"/>
      <c r="AQ300" s="76"/>
      <c r="AR300" s="76"/>
      <c r="AS300" s="76"/>
      <c r="AT300" s="76"/>
      <c r="AU300" s="76"/>
      <c r="AV300" s="76"/>
      <c r="AW300" s="76"/>
      <c r="AX300" s="76"/>
      <c r="AY300" s="76"/>
      <c r="AZ300" s="76"/>
      <c r="BA300" s="76"/>
      <c r="BB300" s="76"/>
      <c r="BC300" s="76"/>
      <c r="BD300" s="76"/>
      <c r="BE300" s="76"/>
      <c r="BF300" s="76"/>
      <c r="BG300" s="76"/>
      <c r="BH300" s="76"/>
      <c r="BI300" s="76"/>
      <c r="BJ300" s="76"/>
      <c r="BK300" s="76"/>
      <c r="BL300" s="76"/>
      <c r="BM300" s="76"/>
      <c r="BN300" s="76"/>
      <c r="BO300" s="76"/>
      <c r="BP300" s="76"/>
      <c r="BQ300" s="76"/>
      <c r="BR300" s="76"/>
      <c r="BS300" s="76"/>
      <c r="BT300" s="76"/>
    </row>
    <row r="301" spans="3:72" x14ac:dyDescent="0.25">
      <c r="C301" s="135">
        <v>299</v>
      </c>
      <c r="D301" s="136"/>
      <c r="E301" s="153">
        <v>43.069034299999998</v>
      </c>
      <c r="F301" s="154">
        <v>-89.424562699999996</v>
      </c>
      <c r="G301" s="13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  <c r="AA301" s="76"/>
      <c r="AB301" s="76" t="s">
        <v>358</v>
      </c>
      <c r="AC301" s="76"/>
      <c r="AD301" s="76"/>
      <c r="AE301" s="76"/>
      <c r="AF301" s="76"/>
      <c r="AG301" s="76"/>
      <c r="AH301" s="76"/>
      <c r="AI301" s="76"/>
      <c r="AJ301" s="76"/>
      <c r="AK301" s="76"/>
      <c r="AL301" s="76"/>
      <c r="AM301" s="76"/>
      <c r="AN301" s="76"/>
      <c r="AO301" s="76"/>
      <c r="AP301" s="76"/>
      <c r="AQ301" s="76"/>
      <c r="AR301" s="76"/>
      <c r="AS301" s="76"/>
      <c r="AT301" s="76"/>
      <c r="AU301" s="76"/>
      <c r="AV301" s="76"/>
      <c r="AW301" s="76"/>
      <c r="AX301" s="76"/>
      <c r="AY301" s="76"/>
      <c r="AZ301" s="76"/>
      <c r="BA301" s="76"/>
      <c r="BB301" s="76"/>
      <c r="BC301" s="76"/>
      <c r="BD301" s="76"/>
      <c r="BE301" s="76"/>
      <c r="BF301" s="76"/>
      <c r="BG301" s="76"/>
      <c r="BH301" s="76"/>
      <c r="BI301" s="76"/>
      <c r="BJ301" s="76"/>
      <c r="BK301" s="76"/>
      <c r="BL301" s="76"/>
      <c r="BM301" s="76"/>
      <c r="BN301" s="76"/>
      <c r="BO301" s="76"/>
      <c r="BP301" s="76"/>
      <c r="BQ301" s="76"/>
      <c r="BR301" s="76"/>
      <c r="BS301" s="76"/>
      <c r="BT301" s="76"/>
    </row>
    <row r="302" spans="3:72" x14ac:dyDescent="0.25">
      <c r="C302" s="135">
        <v>300</v>
      </c>
      <c r="D302" s="136"/>
      <c r="E302" s="153">
        <v>43.069034299999998</v>
      </c>
      <c r="F302" s="154">
        <v>-89.424562699999996</v>
      </c>
      <c r="G302" s="13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  <c r="Z302" s="76"/>
      <c r="AA302" s="76"/>
      <c r="AB302" s="76" t="s">
        <v>358</v>
      </c>
      <c r="AC302" s="76"/>
      <c r="AD302" s="76"/>
      <c r="AE302" s="76"/>
      <c r="AF302" s="76"/>
      <c r="AG302" s="76"/>
      <c r="AH302" s="76"/>
      <c r="AI302" s="76"/>
      <c r="AJ302" s="76"/>
      <c r="AK302" s="76"/>
      <c r="AL302" s="76"/>
      <c r="AM302" s="76"/>
      <c r="AN302" s="76"/>
      <c r="AO302" s="76"/>
      <c r="AP302" s="76"/>
      <c r="AQ302" s="76"/>
      <c r="AR302" s="76"/>
      <c r="AS302" s="76"/>
      <c r="AT302" s="76"/>
      <c r="AU302" s="76"/>
      <c r="AV302" s="76"/>
      <c r="AW302" s="76"/>
      <c r="AX302" s="76"/>
      <c r="AY302" s="76"/>
      <c r="AZ302" s="76"/>
      <c r="BA302" s="76"/>
      <c r="BB302" s="76"/>
      <c r="BC302" s="76"/>
      <c r="BD302" s="76"/>
      <c r="BE302" s="76"/>
      <c r="BF302" s="76"/>
      <c r="BG302" s="76"/>
      <c r="BH302" s="76"/>
      <c r="BI302" s="76"/>
      <c r="BJ302" s="76"/>
      <c r="BK302" s="76"/>
      <c r="BL302" s="76"/>
      <c r="BM302" s="76"/>
      <c r="BN302" s="76"/>
      <c r="BO302" s="76"/>
      <c r="BP302" s="76"/>
      <c r="BQ302" s="76"/>
      <c r="BR302" s="76"/>
      <c r="BS302" s="76"/>
      <c r="BT302" s="76"/>
    </row>
    <row r="303" spans="3:72" x14ac:dyDescent="0.25">
      <c r="C303" s="135">
        <v>301</v>
      </c>
      <c r="D303" s="136"/>
      <c r="E303" s="153">
        <v>26.3013917</v>
      </c>
      <c r="F303" s="154">
        <v>-80.632691600000001</v>
      </c>
      <c r="G303" s="13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 t="s">
        <v>358</v>
      </c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  <c r="AT303" s="76"/>
      <c r="AU303" s="76"/>
      <c r="AV303" s="76"/>
      <c r="AW303" s="76"/>
      <c r="AX303" s="76"/>
      <c r="AY303" s="76"/>
      <c r="AZ303" s="76"/>
      <c r="BA303" s="76"/>
      <c r="BB303" s="76"/>
      <c r="BC303" s="76"/>
      <c r="BD303" s="76"/>
      <c r="BE303" s="76"/>
      <c r="BF303" s="76"/>
      <c r="BG303" s="76"/>
      <c r="BH303" s="76"/>
      <c r="BI303" s="76"/>
      <c r="BJ303" s="76"/>
      <c r="BK303" s="76"/>
      <c r="BL303" s="76"/>
      <c r="BM303" s="76"/>
      <c r="BN303" s="76"/>
      <c r="BO303" s="76"/>
      <c r="BP303" s="76"/>
      <c r="BQ303" s="76"/>
      <c r="BR303" s="76"/>
      <c r="BS303" s="76"/>
      <c r="BT303" s="76"/>
    </row>
    <row r="304" spans="3:72" x14ac:dyDescent="0.25">
      <c r="C304" s="135">
        <v>302</v>
      </c>
      <c r="D304" s="136"/>
      <c r="E304" s="153">
        <v>43.615582500000002</v>
      </c>
      <c r="F304" s="154">
        <v>-84.2472116</v>
      </c>
      <c r="G304" s="13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 t="s">
        <v>358</v>
      </c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  <c r="AX304" s="76"/>
      <c r="AY304" s="76"/>
      <c r="AZ304" s="76"/>
      <c r="BA304" s="76"/>
      <c r="BB304" s="76"/>
      <c r="BC304" s="76"/>
      <c r="BD304" s="76"/>
      <c r="BE304" s="76"/>
      <c r="BF304" s="76"/>
      <c r="BG304" s="76"/>
      <c r="BH304" s="76"/>
      <c r="BI304" s="76"/>
      <c r="BJ304" s="76"/>
      <c r="BK304" s="76"/>
      <c r="BL304" s="76"/>
      <c r="BM304" s="76"/>
      <c r="BN304" s="76"/>
      <c r="BO304" s="76"/>
      <c r="BP304" s="76"/>
      <c r="BQ304" s="76"/>
      <c r="BR304" s="76"/>
      <c r="BS304" s="76"/>
      <c r="BT304" s="76"/>
    </row>
    <row r="305" spans="3:72" x14ac:dyDescent="0.25">
      <c r="C305" s="135">
        <v>303</v>
      </c>
      <c r="D305" s="136"/>
      <c r="E305" s="153">
        <v>43.615582500000002</v>
      </c>
      <c r="F305" s="154">
        <v>-84.2472116</v>
      </c>
      <c r="G305" s="13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6" t="s">
        <v>358</v>
      </c>
      <c r="AC305" s="76"/>
      <c r="AD305" s="76"/>
      <c r="AE305" s="76"/>
      <c r="AF305" s="76"/>
      <c r="AG305" s="76"/>
      <c r="AH305" s="76"/>
      <c r="AI305" s="76"/>
      <c r="AJ305" s="76"/>
      <c r="AK305" s="76"/>
      <c r="AL305" s="76"/>
      <c r="AM305" s="76"/>
      <c r="AN305" s="76"/>
      <c r="AO305" s="76"/>
      <c r="AP305" s="76"/>
      <c r="AQ305" s="76"/>
      <c r="AR305" s="76"/>
      <c r="AS305" s="76"/>
      <c r="AT305" s="76"/>
      <c r="AU305" s="76"/>
      <c r="AV305" s="76"/>
      <c r="AW305" s="76"/>
      <c r="AX305" s="76"/>
      <c r="AY305" s="76"/>
      <c r="AZ305" s="76"/>
      <c r="BA305" s="76"/>
      <c r="BB305" s="76"/>
      <c r="BC305" s="76"/>
      <c r="BD305" s="76"/>
      <c r="BE305" s="76"/>
      <c r="BF305" s="76"/>
      <c r="BG305" s="76"/>
      <c r="BH305" s="76"/>
      <c r="BI305" s="76"/>
      <c r="BJ305" s="76"/>
      <c r="BK305" s="76"/>
      <c r="BL305" s="76"/>
      <c r="BM305" s="76"/>
      <c r="BN305" s="76"/>
      <c r="BO305" s="76"/>
      <c r="BP305" s="76"/>
      <c r="BQ305" s="76"/>
      <c r="BR305" s="76"/>
      <c r="BS305" s="76"/>
      <c r="BT305" s="76"/>
    </row>
    <row r="306" spans="3:72" x14ac:dyDescent="0.25">
      <c r="C306" s="135">
        <v>304</v>
      </c>
      <c r="D306" s="136"/>
      <c r="E306" s="153">
        <v>43.615582500000002</v>
      </c>
      <c r="F306" s="154">
        <v>-84.2472116</v>
      </c>
      <c r="G306" s="13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  <c r="Z306" s="76"/>
      <c r="AA306" s="76"/>
      <c r="AB306" s="76" t="s">
        <v>358</v>
      </c>
      <c r="AC306" s="76"/>
      <c r="AD306" s="76"/>
      <c r="AE306" s="76"/>
      <c r="AF306" s="76"/>
      <c r="AG306" s="76"/>
      <c r="AH306" s="76"/>
      <c r="AI306" s="76"/>
      <c r="AJ306" s="76"/>
      <c r="AK306" s="76"/>
      <c r="AL306" s="76"/>
      <c r="AM306" s="76"/>
      <c r="AN306" s="76"/>
      <c r="AO306" s="76"/>
      <c r="AP306" s="76"/>
      <c r="AQ306" s="76"/>
      <c r="AR306" s="76"/>
      <c r="AS306" s="76"/>
      <c r="AT306" s="76"/>
      <c r="AU306" s="76"/>
      <c r="AV306" s="76"/>
      <c r="AW306" s="76"/>
      <c r="AX306" s="76"/>
      <c r="AY306" s="76"/>
      <c r="AZ306" s="76"/>
      <c r="BA306" s="76"/>
      <c r="BB306" s="76"/>
      <c r="BC306" s="76"/>
      <c r="BD306" s="76"/>
      <c r="BE306" s="76"/>
      <c r="BF306" s="76"/>
      <c r="BG306" s="76"/>
      <c r="BH306" s="76"/>
      <c r="BI306" s="76"/>
      <c r="BJ306" s="76"/>
      <c r="BK306" s="76"/>
      <c r="BL306" s="76"/>
      <c r="BM306" s="76"/>
      <c r="BN306" s="76"/>
      <c r="BO306" s="76"/>
      <c r="BP306" s="76"/>
      <c r="BQ306" s="76"/>
      <c r="BR306" s="76"/>
      <c r="BS306" s="76"/>
      <c r="BT306" s="76"/>
    </row>
    <row r="307" spans="3:72" x14ac:dyDescent="0.25">
      <c r="C307" s="135">
        <v>305</v>
      </c>
      <c r="D307" s="136"/>
      <c r="E307" s="153">
        <v>43.615582500000002</v>
      </c>
      <c r="F307" s="154">
        <v>-84.2472116</v>
      </c>
      <c r="G307" s="13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  <c r="AA307" s="76"/>
      <c r="AB307" s="76" t="s">
        <v>358</v>
      </c>
      <c r="AC307" s="76"/>
      <c r="AD307" s="76"/>
      <c r="AE307" s="76"/>
      <c r="AF307" s="76"/>
      <c r="AG307" s="76"/>
      <c r="AH307" s="76"/>
      <c r="AI307" s="76"/>
      <c r="AJ307" s="76"/>
      <c r="AK307" s="76"/>
      <c r="AL307" s="76"/>
      <c r="AM307" s="76"/>
      <c r="AN307" s="76"/>
      <c r="AO307" s="76"/>
      <c r="AP307" s="76"/>
      <c r="AQ307" s="76"/>
      <c r="AR307" s="76"/>
      <c r="AS307" s="76"/>
      <c r="AT307" s="76"/>
      <c r="AU307" s="76"/>
      <c r="AV307" s="76"/>
      <c r="AW307" s="76"/>
      <c r="AX307" s="76"/>
      <c r="AY307" s="76"/>
      <c r="AZ307" s="76"/>
      <c r="BA307" s="76"/>
      <c r="BB307" s="76"/>
      <c r="BC307" s="76"/>
      <c r="BD307" s="76"/>
      <c r="BE307" s="76"/>
      <c r="BF307" s="76"/>
      <c r="BG307" s="76"/>
      <c r="BH307" s="76"/>
      <c r="BI307" s="76"/>
      <c r="BJ307" s="76"/>
      <c r="BK307" s="76"/>
      <c r="BL307" s="76"/>
      <c r="BM307" s="76"/>
      <c r="BN307" s="76"/>
      <c r="BO307" s="76"/>
      <c r="BP307" s="76"/>
      <c r="BQ307" s="76"/>
      <c r="BR307" s="76"/>
      <c r="BS307" s="76"/>
      <c r="BT307" s="76"/>
    </row>
    <row r="308" spans="3:72" x14ac:dyDescent="0.25">
      <c r="C308" s="135">
        <v>306</v>
      </c>
      <c r="D308" s="136"/>
      <c r="E308" s="153">
        <v>44.974156100000002</v>
      </c>
      <c r="F308" s="154">
        <v>-93.234200000000001</v>
      </c>
      <c r="G308" s="13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 t="s">
        <v>358</v>
      </c>
      <c r="AC308" s="76"/>
      <c r="AD308" s="76"/>
      <c r="AE308" s="76"/>
      <c r="AF308" s="76"/>
      <c r="AG308" s="76"/>
      <c r="AH308" s="76"/>
      <c r="AI308" s="76"/>
      <c r="AJ308" s="76"/>
      <c r="AK308" s="76"/>
      <c r="AL308" s="76"/>
      <c r="AM308" s="76"/>
      <c r="AN308" s="76"/>
      <c r="AO308" s="76"/>
      <c r="AP308" s="76"/>
      <c r="AQ308" s="76"/>
      <c r="AR308" s="76"/>
      <c r="AS308" s="76"/>
      <c r="AT308" s="76"/>
      <c r="AU308" s="76"/>
      <c r="AV308" s="76"/>
      <c r="AW308" s="76"/>
      <c r="AX308" s="76"/>
      <c r="AY308" s="76"/>
      <c r="AZ308" s="76"/>
      <c r="BA308" s="76"/>
      <c r="BB308" s="76"/>
      <c r="BC308" s="76"/>
      <c r="BD308" s="76"/>
      <c r="BE308" s="76"/>
      <c r="BF308" s="76"/>
      <c r="BG308" s="76"/>
      <c r="BH308" s="76"/>
      <c r="BI308" s="76"/>
      <c r="BJ308" s="76"/>
      <c r="BK308" s="76"/>
      <c r="BL308" s="76"/>
      <c r="BM308" s="76"/>
      <c r="BN308" s="76"/>
      <c r="BO308" s="76"/>
      <c r="BP308" s="76"/>
      <c r="BQ308" s="76"/>
      <c r="BR308" s="76"/>
      <c r="BS308" s="76"/>
      <c r="BT308" s="76"/>
    </row>
    <row r="309" spans="3:72" x14ac:dyDescent="0.25">
      <c r="C309" s="135">
        <v>307</v>
      </c>
      <c r="D309" s="136"/>
      <c r="E309" s="153">
        <v>39.654181000000001</v>
      </c>
      <c r="F309" s="154">
        <v>-79.9594886</v>
      </c>
      <c r="G309" s="13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  <c r="Z309" s="76"/>
      <c r="AA309" s="76"/>
      <c r="AB309" s="76" t="s">
        <v>358</v>
      </c>
      <c r="AC309" s="76"/>
      <c r="AD309" s="76"/>
      <c r="AE309" s="76"/>
      <c r="AF309" s="76"/>
      <c r="AG309" s="76"/>
      <c r="AH309" s="76"/>
      <c r="AI309" s="76"/>
      <c r="AJ309" s="76"/>
      <c r="AK309" s="76"/>
      <c r="AL309" s="76"/>
      <c r="AM309" s="76"/>
      <c r="AN309" s="76"/>
      <c r="AO309" s="76"/>
      <c r="AP309" s="76"/>
      <c r="AQ309" s="76"/>
      <c r="AR309" s="76"/>
      <c r="AS309" s="76"/>
      <c r="AT309" s="76"/>
      <c r="AU309" s="76"/>
      <c r="AV309" s="76"/>
      <c r="AW309" s="76"/>
      <c r="AX309" s="76"/>
      <c r="AY309" s="76"/>
      <c r="AZ309" s="76"/>
      <c r="BA309" s="76"/>
      <c r="BB309" s="76"/>
      <c r="BC309" s="76"/>
      <c r="BD309" s="76"/>
      <c r="BE309" s="76"/>
      <c r="BF309" s="76"/>
      <c r="BG309" s="76"/>
      <c r="BH309" s="76"/>
      <c r="BI309" s="76"/>
      <c r="BJ309" s="76"/>
      <c r="BK309" s="76"/>
      <c r="BL309" s="76"/>
      <c r="BM309" s="76"/>
      <c r="BN309" s="76"/>
      <c r="BO309" s="76"/>
      <c r="BP309" s="76"/>
      <c r="BQ309" s="76"/>
      <c r="BR309" s="76"/>
      <c r="BS309" s="76"/>
      <c r="BT309" s="76"/>
    </row>
    <row r="310" spans="3:72" x14ac:dyDescent="0.25">
      <c r="C310" s="135">
        <v>308</v>
      </c>
      <c r="D310" s="136"/>
      <c r="E310" s="153">
        <v>42.905847999999999</v>
      </c>
      <c r="F310" s="154">
        <v>-88.1389779</v>
      </c>
      <c r="G310" s="13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  <c r="Z310" s="76"/>
      <c r="AA310" s="76"/>
      <c r="AB310" s="76" t="s">
        <v>358</v>
      </c>
      <c r="AC310" s="76"/>
      <c r="AD310" s="76"/>
      <c r="AE310" s="76"/>
      <c r="AF310" s="76"/>
      <c r="AG310" s="76"/>
      <c r="AH310" s="76"/>
      <c r="AI310" s="76"/>
      <c r="AJ310" s="76"/>
      <c r="AK310" s="76"/>
      <c r="AL310" s="76"/>
      <c r="AM310" s="76"/>
      <c r="AN310" s="76"/>
      <c r="AO310" s="76"/>
      <c r="AP310" s="76"/>
      <c r="AQ310" s="76"/>
      <c r="AR310" s="76"/>
      <c r="AS310" s="76"/>
      <c r="AT310" s="76"/>
      <c r="AU310" s="76"/>
      <c r="AV310" s="76"/>
      <c r="AW310" s="76"/>
      <c r="AX310" s="76"/>
      <c r="AY310" s="76"/>
      <c r="AZ310" s="76"/>
      <c r="BA310" s="76"/>
      <c r="BB310" s="76"/>
      <c r="BC310" s="76"/>
      <c r="BD310" s="76"/>
      <c r="BE310" s="76"/>
      <c r="BF310" s="76"/>
      <c r="BG310" s="76"/>
      <c r="BH310" s="76"/>
      <c r="BI310" s="76"/>
      <c r="BJ310" s="76"/>
      <c r="BK310" s="76"/>
      <c r="BL310" s="76"/>
      <c r="BM310" s="76"/>
      <c r="BN310" s="76"/>
      <c r="BO310" s="76"/>
      <c r="BP310" s="76"/>
      <c r="BQ310" s="76"/>
      <c r="BR310" s="76"/>
      <c r="BS310" s="76"/>
      <c r="BT310" s="76"/>
    </row>
    <row r="311" spans="3:72" x14ac:dyDescent="0.25">
      <c r="C311" s="135">
        <v>309</v>
      </c>
      <c r="D311" s="136"/>
      <c r="E311" s="153">
        <v>40.712776099999999</v>
      </c>
      <c r="F311" s="154">
        <v>-74.005954399999993</v>
      </c>
      <c r="G311" s="13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6" t="s">
        <v>358</v>
      </c>
      <c r="AC311" s="76"/>
      <c r="AD311" s="76"/>
      <c r="AE311" s="76"/>
      <c r="AF311" s="76"/>
      <c r="AG311" s="76"/>
      <c r="AH311" s="76"/>
      <c r="AI311" s="76"/>
      <c r="AJ311" s="76"/>
      <c r="AK311" s="76"/>
      <c r="AL311" s="76"/>
      <c r="AM311" s="76"/>
      <c r="AN311" s="76"/>
      <c r="AO311" s="76"/>
      <c r="AP311" s="76"/>
      <c r="AQ311" s="76"/>
      <c r="AR311" s="76"/>
      <c r="AS311" s="76"/>
      <c r="AT311" s="76"/>
      <c r="AU311" s="76"/>
      <c r="AV311" s="76"/>
      <c r="AW311" s="76"/>
      <c r="AX311" s="76"/>
      <c r="AY311" s="76"/>
      <c r="AZ311" s="76"/>
      <c r="BA311" s="76"/>
      <c r="BB311" s="76"/>
      <c r="BC311" s="76"/>
      <c r="BD311" s="76"/>
      <c r="BE311" s="76"/>
      <c r="BF311" s="76"/>
      <c r="BG311" s="76"/>
      <c r="BH311" s="76"/>
      <c r="BI311" s="76"/>
      <c r="BJ311" s="76"/>
      <c r="BK311" s="76"/>
      <c r="BL311" s="76"/>
      <c r="BM311" s="76"/>
      <c r="BN311" s="76"/>
      <c r="BO311" s="76"/>
      <c r="BP311" s="76"/>
      <c r="BQ311" s="76"/>
      <c r="BR311" s="76"/>
      <c r="BS311" s="76"/>
      <c r="BT311" s="76"/>
    </row>
    <row r="312" spans="3:72" x14ac:dyDescent="0.25">
      <c r="C312" s="135">
        <v>310</v>
      </c>
      <c r="D312" s="136"/>
      <c r="E312" s="153">
        <v>40.712776099999999</v>
      </c>
      <c r="F312" s="154">
        <v>-74.005954399999993</v>
      </c>
      <c r="G312" s="13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  <c r="AA312" s="76"/>
      <c r="AB312" s="76" t="s">
        <v>358</v>
      </c>
      <c r="AC312" s="76"/>
      <c r="AD312" s="76"/>
      <c r="AE312" s="76"/>
      <c r="AF312" s="76"/>
      <c r="AG312" s="76"/>
      <c r="AH312" s="76"/>
      <c r="AI312" s="76"/>
      <c r="AJ312" s="76"/>
      <c r="AK312" s="76"/>
      <c r="AL312" s="76"/>
      <c r="AM312" s="76"/>
      <c r="AN312" s="76"/>
      <c r="AO312" s="76"/>
      <c r="AP312" s="76"/>
      <c r="AQ312" s="76"/>
      <c r="AR312" s="76"/>
      <c r="AS312" s="76"/>
      <c r="AT312" s="76"/>
      <c r="AU312" s="76"/>
      <c r="AV312" s="76"/>
      <c r="AW312" s="76"/>
      <c r="AX312" s="76"/>
      <c r="AY312" s="76"/>
      <c r="AZ312" s="76"/>
      <c r="BA312" s="76"/>
      <c r="BB312" s="76"/>
      <c r="BC312" s="76"/>
      <c r="BD312" s="76"/>
      <c r="BE312" s="76"/>
      <c r="BF312" s="76"/>
      <c r="BG312" s="76"/>
      <c r="BH312" s="76"/>
      <c r="BI312" s="76"/>
      <c r="BJ312" s="76"/>
      <c r="BK312" s="76"/>
      <c r="BL312" s="76"/>
      <c r="BM312" s="76"/>
      <c r="BN312" s="76"/>
      <c r="BO312" s="76"/>
      <c r="BP312" s="76"/>
      <c r="BQ312" s="76"/>
      <c r="BR312" s="76"/>
      <c r="BS312" s="76"/>
      <c r="BT312" s="76"/>
    </row>
    <row r="313" spans="3:72" x14ac:dyDescent="0.25">
      <c r="C313" s="135">
        <v>311</v>
      </c>
      <c r="D313" s="136"/>
      <c r="E313" s="153">
        <v>40.712775299999997</v>
      </c>
      <c r="F313" s="154">
        <v>-74.005972799999995</v>
      </c>
      <c r="G313" s="13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  <c r="Z313" s="76"/>
      <c r="AA313" s="76"/>
      <c r="AB313" s="76" t="s">
        <v>358</v>
      </c>
      <c r="AC313" s="76"/>
      <c r="AD313" s="76"/>
      <c r="AE313" s="76"/>
      <c r="AF313" s="76"/>
      <c r="AG313" s="76"/>
      <c r="AH313" s="76"/>
      <c r="AI313" s="76"/>
      <c r="AJ313" s="76"/>
      <c r="AK313" s="76"/>
      <c r="AL313" s="76"/>
      <c r="AM313" s="76"/>
      <c r="AN313" s="76"/>
      <c r="AO313" s="76"/>
      <c r="AP313" s="76"/>
      <c r="AQ313" s="76"/>
      <c r="AR313" s="76"/>
      <c r="AS313" s="76"/>
      <c r="AT313" s="76"/>
      <c r="AU313" s="76"/>
      <c r="AV313" s="76"/>
      <c r="AW313" s="76"/>
      <c r="AX313" s="76"/>
      <c r="AY313" s="76"/>
      <c r="AZ313" s="76"/>
      <c r="BA313" s="76"/>
      <c r="BB313" s="76"/>
      <c r="BC313" s="76"/>
      <c r="BD313" s="76"/>
      <c r="BE313" s="76"/>
      <c r="BF313" s="76"/>
      <c r="BG313" s="76"/>
      <c r="BH313" s="76"/>
      <c r="BI313" s="76"/>
      <c r="BJ313" s="76"/>
      <c r="BK313" s="76"/>
      <c r="BL313" s="76"/>
      <c r="BM313" s="76"/>
      <c r="BN313" s="76"/>
      <c r="BO313" s="76"/>
      <c r="BP313" s="76"/>
      <c r="BQ313" s="76"/>
      <c r="BR313" s="76"/>
      <c r="BS313" s="76"/>
      <c r="BT313" s="76"/>
    </row>
    <row r="314" spans="3:72" x14ac:dyDescent="0.25">
      <c r="C314" s="135">
        <v>312</v>
      </c>
      <c r="D314" s="136"/>
      <c r="E314" s="153">
        <v>33.7712705</v>
      </c>
      <c r="F314" s="154">
        <v>-84.389756300000002</v>
      </c>
      <c r="G314" s="13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6" t="s">
        <v>358</v>
      </c>
      <c r="AC314" s="76"/>
      <c r="AD314" s="76"/>
      <c r="AE314" s="76"/>
      <c r="AF314" s="76"/>
      <c r="AG314" s="76"/>
      <c r="AH314" s="76"/>
      <c r="AI314" s="76"/>
      <c r="AJ314" s="76"/>
      <c r="AK314" s="76"/>
      <c r="AL314" s="76"/>
      <c r="AM314" s="76"/>
      <c r="AN314" s="76"/>
      <c r="AO314" s="76"/>
      <c r="AP314" s="76"/>
      <c r="AQ314" s="76"/>
      <c r="AR314" s="76"/>
      <c r="AS314" s="76"/>
      <c r="AT314" s="76"/>
      <c r="AU314" s="76"/>
      <c r="AV314" s="76"/>
      <c r="AW314" s="76"/>
      <c r="AX314" s="76"/>
      <c r="AY314" s="76"/>
      <c r="AZ314" s="76"/>
      <c r="BA314" s="76"/>
      <c r="BB314" s="76"/>
      <c r="BC314" s="76"/>
      <c r="BD314" s="76"/>
      <c r="BE314" s="76"/>
      <c r="BF314" s="76"/>
      <c r="BG314" s="76"/>
      <c r="BH314" s="76"/>
      <c r="BI314" s="76"/>
      <c r="BJ314" s="76"/>
      <c r="BK314" s="76"/>
      <c r="BL314" s="76"/>
      <c r="BM314" s="76"/>
      <c r="BN314" s="76"/>
      <c r="BO314" s="76"/>
      <c r="BP314" s="76"/>
      <c r="BQ314" s="76"/>
      <c r="BR314" s="76"/>
      <c r="BS314" s="76"/>
      <c r="BT314" s="76"/>
    </row>
    <row r="315" spans="3:72" x14ac:dyDescent="0.25">
      <c r="C315" s="135">
        <v>313</v>
      </c>
      <c r="D315" s="136"/>
      <c r="E315" s="153">
        <v>30.421309000000001</v>
      </c>
      <c r="F315" s="154">
        <v>-87.216914900000006</v>
      </c>
      <c r="G315" s="13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  <c r="Z315" s="76"/>
      <c r="AA315" s="76"/>
      <c r="AB315" s="76" t="s">
        <v>358</v>
      </c>
      <c r="AC315" s="76"/>
      <c r="AD315" s="76"/>
      <c r="AE315" s="76"/>
      <c r="AF315" s="76"/>
      <c r="AG315" s="76"/>
      <c r="AH315" s="76"/>
      <c r="AI315" s="76"/>
      <c r="AJ315" s="76"/>
      <c r="AK315" s="76"/>
      <c r="AL315" s="76"/>
      <c r="AM315" s="76"/>
      <c r="AN315" s="76"/>
      <c r="AO315" s="76"/>
      <c r="AP315" s="76"/>
      <c r="AQ315" s="76"/>
      <c r="AR315" s="76"/>
      <c r="AS315" s="76"/>
      <c r="AT315" s="76"/>
      <c r="AU315" s="76"/>
      <c r="AV315" s="76"/>
      <c r="AW315" s="76"/>
      <c r="AX315" s="76"/>
      <c r="AY315" s="76"/>
      <c r="AZ315" s="76"/>
      <c r="BA315" s="76"/>
      <c r="BB315" s="76"/>
      <c r="BC315" s="76"/>
      <c r="BD315" s="76"/>
      <c r="BE315" s="76"/>
      <c r="BF315" s="76"/>
      <c r="BG315" s="76"/>
      <c r="BH315" s="76"/>
      <c r="BI315" s="76"/>
      <c r="BJ315" s="76"/>
      <c r="BK315" s="76"/>
      <c r="BL315" s="76"/>
      <c r="BM315" s="76"/>
      <c r="BN315" s="76"/>
      <c r="BO315" s="76"/>
      <c r="BP315" s="76"/>
      <c r="BQ315" s="76"/>
      <c r="BR315" s="76"/>
      <c r="BS315" s="76"/>
      <c r="BT315" s="76"/>
    </row>
    <row r="316" spans="3:72" x14ac:dyDescent="0.25">
      <c r="C316" s="135">
        <v>314</v>
      </c>
      <c r="D316" s="136"/>
      <c r="E316" s="153">
        <v>39.958358699999998</v>
      </c>
      <c r="F316" s="154">
        <v>-75.1953934</v>
      </c>
      <c r="G316" s="13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  <c r="Z316" s="76"/>
      <c r="AA316" s="76"/>
      <c r="AB316" s="76" t="s">
        <v>358</v>
      </c>
      <c r="AC316" s="76"/>
      <c r="AD316" s="76"/>
      <c r="AE316" s="76"/>
      <c r="AF316" s="76"/>
      <c r="AG316" s="76"/>
      <c r="AH316" s="76"/>
      <c r="AI316" s="76"/>
      <c r="AJ316" s="76"/>
      <c r="AK316" s="76"/>
      <c r="AL316" s="76"/>
      <c r="AM316" s="76"/>
      <c r="AN316" s="76"/>
      <c r="AO316" s="76"/>
      <c r="AP316" s="76"/>
      <c r="AQ316" s="76"/>
      <c r="AR316" s="76"/>
      <c r="AS316" s="76"/>
      <c r="AT316" s="76"/>
      <c r="AU316" s="76"/>
      <c r="AV316" s="76"/>
      <c r="AW316" s="76"/>
      <c r="AX316" s="76"/>
      <c r="AY316" s="76"/>
      <c r="AZ316" s="76"/>
      <c r="BA316" s="76"/>
      <c r="BB316" s="76"/>
      <c r="BC316" s="76"/>
      <c r="BD316" s="76"/>
      <c r="BE316" s="76"/>
      <c r="BF316" s="76"/>
      <c r="BG316" s="76"/>
      <c r="BH316" s="76"/>
      <c r="BI316" s="76"/>
      <c r="BJ316" s="76"/>
      <c r="BK316" s="76"/>
      <c r="BL316" s="76"/>
      <c r="BM316" s="76"/>
      <c r="BN316" s="76"/>
      <c r="BO316" s="76"/>
      <c r="BP316" s="76"/>
      <c r="BQ316" s="76"/>
      <c r="BR316" s="76"/>
      <c r="BS316" s="76"/>
      <c r="BT316" s="76"/>
    </row>
    <row r="317" spans="3:72" x14ac:dyDescent="0.25">
      <c r="C317" s="135">
        <v>315</v>
      </c>
      <c r="D317" s="136"/>
      <c r="E317" s="153">
        <v>40.440624800000002</v>
      </c>
      <c r="F317" s="154">
        <v>-79.995886400000003</v>
      </c>
      <c r="G317" s="13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6" t="s">
        <v>358</v>
      </c>
      <c r="AC317" s="76"/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  <c r="AT317" s="76"/>
      <c r="AU317" s="76"/>
      <c r="AV317" s="76"/>
      <c r="AW317" s="76"/>
      <c r="AX317" s="76"/>
      <c r="AY317" s="76"/>
      <c r="AZ317" s="76"/>
      <c r="BA317" s="76"/>
      <c r="BB317" s="76"/>
      <c r="BC317" s="76"/>
      <c r="BD317" s="76"/>
      <c r="BE317" s="76"/>
      <c r="BF317" s="76"/>
      <c r="BG317" s="76"/>
      <c r="BH317" s="76"/>
      <c r="BI317" s="76"/>
      <c r="BJ317" s="76"/>
      <c r="BK317" s="76"/>
      <c r="BL317" s="76"/>
      <c r="BM317" s="76"/>
      <c r="BN317" s="76"/>
      <c r="BO317" s="76"/>
      <c r="BP317" s="76"/>
      <c r="BQ317" s="76"/>
      <c r="BR317" s="76"/>
      <c r="BS317" s="76"/>
      <c r="BT317" s="76"/>
    </row>
    <row r="318" spans="3:72" x14ac:dyDescent="0.25">
      <c r="C318" s="135">
        <v>316</v>
      </c>
      <c r="D318" s="136"/>
      <c r="E318" s="153">
        <v>40.440624800000002</v>
      </c>
      <c r="F318" s="154">
        <v>-79.995886400000003</v>
      </c>
      <c r="G318" s="13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  <c r="Z318" s="76"/>
      <c r="AA318" s="76"/>
      <c r="AB318" s="76" t="s">
        <v>358</v>
      </c>
      <c r="AC318" s="76"/>
      <c r="AD318" s="76"/>
      <c r="AE318" s="76"/>
      <c r="AF318" s="76"/>
      <c r="AG318" s="76"/>
      <c r="AH318" s="76"/>
      <c r="AI318" s="76"/>
      <c r="AJ318" s="76"/>
      <c r="AK318" s="76"/>
      <c r="AL318" s="76"/>
      <c r="AM318" s="76"/>
      <c r="AN318" s="76"/>
      <c r="AO318" s="76"/>
      <c r="AP318" s="76"/>
      <c r="AQ318" s="76"/>
      <c r="AR318" s="76"/>
      <c r="AS318" s="76"/>
      <c r="AT318" s="76"/>
      <c r="AU318" s="76"/>
      <c r="AV318" s="76"/>
      <c r="AW318" s="76"/>
      <c r="AX318" s="76"/>
      <c r="AY318" s="76"/>
      <c r="AZ318" s="76"/>
      <c r="BA318" s="76"/>
      <c r="BB318" s="76"/>
      <c r="BC318" s="76"/>
      <c r="BD318" s="76"/>
      <c r="BE318" s="76"/>
      <c r="BF318" s="76"/>
      <c r="BG318" s="76"/>
      <c r="BH318" s="76"/>
      <c r="BI318" s="76"/>
      <c r="BJ318" s="76"/>
      <c r="BK318" s="76"/>
      <c r="BL318" s="76"/>
      <c r="BM318" s="76"/>
      <c r="BN318" s="76"/>
      <c r="BO318" s="76"/>
      <c r="BP318" s="76"/>
      <c r="BQ318" s="76"/>
      <c r="BR318" s="76"/>
      <c r="BS318" s="76"/>
      <c r="BT318" s="76"/>
    </row>
    <row r="319" spans="3:72" x14ac:dyDescent="0.25">
      <c r="C319" s="135">
        <v>317</v>
      </c>
      <c r="D319" s="136"/>
      <c r="E319" s="153">
        <v>40.440624800000002</v>
      </c>
      <c r="F319" s="154">
        <v>-79.995886400000003</v>
      </c>
      <c r="G319" s="13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  <c r="AA319" s="76"/>
      <c r="AB319" s="76" t="s">
        <v>358</v>
      </c>
      <c r="AC319" s="76"/>
      <c r="AD319" s="76"/>
      <c r="AE319" s="76"/>
      <c r="AF319" s="76"/>
      <c r="AG319" s="76"/>
      <c r="AH319" s="76"/>
      <c r="AI319" s="76"/>
      <c r="AJ319" s="76"/>
      <c r="AK319" s="76"/>
      <c r="AL319" s="76"/>
      <c r="AM319" s="76"/>
      <c r="AN319" s="76"/>
      <c r="AO319" s="76"/>
      <c r="AP319" s="76"/>
      <c r="AQ319" s="76"/>
      <c r="AR319" s="76"/>
      <c r="AS319" s="76"/>
      <c r="AT319" s="76"/>
      <c r="AU319" s="76"/>
      <c r="AV319" s="76"/>
      <c r="AW319" s="76"/>
      <c r="AX319" s="76"/>
      <c r="AY319" s="76"/>
      <c r="AZ319" s="76"/>
      <c r="BA319" s="76"/>
      <c r="BB319" s="76"/>
      <c r="BC319" s="76"/>
      <c r="BD319" s="76"/>
      <c r="BE319" s="76"/>
      <c r="BF319" s="76"/>
      <c r="BG319" s="76"/>
      <c r="BH319" s="76"/>
      <c r="BI319" s="76"/>
      <c r="BJ319" s="76"/>
      <c r="BK319" s="76"/>
      <c r="BL319" s="76"/>
      <c r="BM319" s="76"/>
      <c r="BN319" s="76"/>
      <c r="BO319" s="76"/>
      <c r="BP319" s="76"/>
      <c r="BQ319" s="76"/>
      <c r="BR319" s="76"/>
      <c r="BS319" s="76"/>
      <c r="BT319" s="76"/>
    </row>
    <row r="320" spans="3:72" x14ac:dyDescent="0.25">
      <c r="C320" s="135">
        <v>318</v>
      </c>
      <c r="D320" s="136"/>
      <c r="E320" s="153">
        <v>40.440624800000002</v>
      </c>
      <c r="F320" s="154">
        <v>-79.995886400000003</v>
      </c>
      <c r="G320" s="13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6" t="s">
        <v>358</v>
      </c>
      <c r="AC320" s="76"/>
      <c r="AD320" s="76"/>
      <c r="AE320" s="76"/>
      <c r="AF320" s="76"/>
      <c r="AG320" s="76"/>
      <c r="AH320" s="76"/>
      <c r="AI320" s="76"/>
      <c r="AJ320" s="76"/>
      <c r="AK320" s="76"/>
      <c r="AL320" s="76"/>
      <c r="AM320" s="76"/>
      <c r="AN320" s="76"/>
      <c r="AO320" s="76"/>
      <c r="AP320" s="76"/>
      <c r="AQ320" s="76"/>
      <c r="AR320" s="76"/>
      <c r="AS320" s="76"/>
      <c r="AT320" s="76"/>
      <c r="AU320" s="76"/>
      <c r="AV320" s="76"/>
      <c r="AW320" s="76"/>
      <c r="AX320" s="76"/>
      <c r="AY320" s="76"/>
      <c r="AZ320" s="76"/>
      <c r="BA320" s="76"/>
      <c r="BB320" s="76"/>
      <c r="BC320" s="76"/>
      <c r="BD320" s="76"/>
      <c r="BE320" s="76"/>
      <c r="BF320" s="76"/>
      <c r="BG320" s="76"/>
      <c r="BH320" s="76"/>
      <c r="BI320" s="76"/>
      <c r="BJ320" s="76"/>
      <c r="BK320" s="76"/>
      <c r="BL320" s="76"/>
      <c r="BM320" s="76"/>
      <c r="BN320" s="76"/>
      <c r="BO320" s="76"/>
      <c r="BP320" s="76"/>
      <c r="BQ320" s="76"/>
      <c r="BR320" s="76"/>
      <c r="BS320" s="76"/>
      <c r="BT320" s="76"/>
    </row>
    <row r="321" spans="3:72" x14ac:dyDescent="0.25">
      <c r="C321" s="135">
        <v>319</v>
      </c>
      <c r="D321" s="136"/>
      <c r="E321" s="153">
        <v>40.440624800000002</v>
      </c>
      <c r="F321" s="154">
        <v>-79.995886400000003</v>
      </c>
      <c r="G321" s="13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 t="s">
        <v>358</v>
      </c>
      <c r="AC321" s="76"/>
      <c r="AD321" s="76"/>
      <c r="AE321" s="76"/>
      <c r="AF321" s="76"/>
      <c r="AG321" s="76"/>
      <c r="AH321" s="76"/>
      <c r="AI321" s="76"/>
      <c r="AJ321" s="76"/>
      <c r="AK321" s="76"/>
      <c r="AL321" s="76"/>
      <c r="AM321" s="76"/>
      <c r="AN321" s="76"/>
      <c r="AO321" s="76"/>
      <c r="AP321" s="76"/>
      <c r="AQ321" s="76"/>
      <c r="AR321" s="76"/>
      <c r="AS321" s="76"/>
      <c r="AT321" s="76"/>
      <c r="AU321" s="76"/>
      <c r="AV321" s="76"/>
      <c r="AW321" s="76"/>
      <c r="AX321" s="76"/>
      <c r="AY321" s="76"/>
      <c r="AZ321" s="76"/>
      <c r="BA321" s="76"/>
      <c r="BB321" s="76"/>
      <c r="BC321" s="76"/>
      <c r="BD321" s="76"/>
      <c r="BE321" s="76"/>
      <c r="BF321" s="76"/>
      <c r="BG321" s="76"/>
      <c r="BH321" s="76"/>
      <c r="BI321" s="76"/>
      <c r="BJ321" s="76"/>
      <c r="BK321" s="76"/>
      <c r="BL321" s="76"/>
      <c r="BM321" s="76"/>
      <c r="BN321" s="76"/>
      <c r="BO321" s="76"/>
      <c r="BP321" s="76"/>
      <c r="BQ321" s="76"/>
      <c r="BR321" s="76"/>
      <c r="BS321" s="76"/>
      <c r="BT321" s="76"/>
    </row>
    <row r="322" spans="3:72" x14ac:dyDescent="0.25">
      <c r="C322" s="135">
        <v>320</v>
      </c>
      <c r="D322" s="136"/>
      <c r="E322" s="153">
        <v>40.440624800000002</v>
      </c>
      <c r="F322" s="154">
        <v>-79.995886400000003</v>
      </c>
      <c r="G322" s="13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  <c r="Z322" s="76"/>
      <c r="AA322" s="76"/>
      <c r="AB322" s="76" t="s">
        <v>358</v>
      </c>
      <c r="AC322" s="76"/>
      <c r="AD322" s="76"/>
      <c r="AE322" s="76"/>
      <c r="AF322" s="76"/>
      <c r="AG322" s="76"/>
      <c r="AH322" s="76"/>
      <c r="AI322" s="76"/>
      <c r="AJ322" s="76"/>
      <c r="AK322" s="76"/>
      <c r="AL322" s="76"/>
      <c r="AM322" s="76"/>
      <c r="AN322" s="76"/>
      <c r="AO322" s="76"/>
      <c r="AP322" s="76"/>
      <c r="AQ322" s="76"/>
      <c r="AR322" s="76"/>
      <c r="AS322" s="76"/>
      <c r="AT322" s="76"/>
      <c r="AU322" s="76"/>
      <c r="AV322" s="76"/>
      <c r="AW322" s="76"/>
      <c r="AX322" s="76"/>
      <c r="AY322" s="76"/>
      <c r="AZ322" s="76"/>
      <c r="BA322" s="76"/>
      <c r="BB322" s="76"/>
      <c r="BC322" s="76"/>
      <c r="BD322" s="76"/>
      <c r="BE322" s="76"/>
      <c r="BF322" s="76"/>
      <c r="BG322" s="76"/>
      <c r="BH322" s="76"/>
      <c r="BI322" s="76"/>
      <c r="BJ322" s="76"/>
      <c r="BK322" s="76"/>
      <c r="BL322" s="76"/>
      <c r="BM322" s="76"/>
      <c r="BN322" s="76"/>
      <c r="BO322" s="76"/>
      <c r="BP322" s="76"/>
      <c r="BQ322" s="76"/>
      <c r="BR322" s="76"/>
      <c r="BS322" s="76"/>
      <c r="BT322" s="76"/>
    </row>
    <row r="323" spans="3:72" x14ac:dyDescent="0.25">
      <c r="C323" s="135">
        <v>321</v>
      </c>
      <c r="D323" s="136"/>
      <c r="E323" s="153">
        <v>40.440624800000002</v>
      </c>
      <c r="F323" s="154">
        <v>-79.995886400000003</v>
      </c>
      <c r="G323" s="13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  <c r="Z323" s="76"/>
      <c r="AA323" s="76"/>
      <c r="AB323" s="76" t="s">
        <v>358</v>
      </c>
      <c r="AC323" s="76"/>
      <c r="AD323" s="76"/>
      <c r="AE323" s="76"/>
      <c r="AF323" s="76"/>
      <c r="AG323" s="76"/>
      <c r="AH323" s="76"/>
      <c r="AI323" s="76"/>
      <c r="AJ323" s="76"/>
      <c r="AK323" s="76"/>
      <c r="AL323" s="76"/>
      <c r="AM323" s="76"/>
      <c r="AN323" s="76"/>
      <c r="AO323" s="76"/>
      <c r="AP323" s="76"/>
      <c r="AQ323" s="76"/>
      <c r="AR323" s="76"/>
      <c r="AS323" s="76"/>
      <c r="AT323" s="76"/>
      <c r="AU323" s="76"/>
      <c r="AV323" s="76"/>
      <c r="AW323" s="76"/>
      <c r="AX323" s="76"/>
      <c r="AY323" s="76"/>
      <c r="AZ323" s="76"/>
      <c r="BA323" s="76"/>
      <c r="BB323" s="76"/>
      <c r="BC323" s="76"/>
      <c r="BD323" s="76"/>
      <c r="BE323" s="76"/>
      <c r="BF323" s="76"/>
      <c r="BG323" s="76"/>
      <c r="BH323" s="76"/>
      <c r="BI323" s="76"/>
      <c r="BJ323" s="76"/>
      <c r="BK323" s="76"/>
      <c r="BL323" s="76"/>
      <c r="BM323" s="76"/>
      <c r="BN323" s="76"/>
      <c r="BO323" s="76"/>
      <c r="BP323" s="76"/>
      <c r="BQ323" s="76"/>
      <c r="BR323" s="76"/>
      <c r="BS323" s="76"/>
      <c r="BT323" s="76"/>
    </row>
    <row r="324" spans="3:72" x14ac:dyDescent="0.25">
      <c r="C324" s="135">
        <v>322</v>
      </c>
      <c r="D324" s="136"/>
      <c r="E324" s="153">
        <v>40.440624800000002</v>
      </c>
      <c r="F324" s="154">
        <v>-79.995886400000003</v>
      </c>
      <c r="G324" s="13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  <c r="AA324" s="76"/>
      <c r="AB324" s="76" t="s">
        <v>358</v>
      </c>
      <c r="AC324" s="76"/>
      <c r="AD324" s="76"/>
      <c r="AE324" s="76"/>
      <c r="AF324" s="76"/>
      <c r="AG324" s="76"/>
      <c r="AH324" s="76"/>
      <c r="AI324" s="76"/>
      <c r="AJ324" s="76"/>
      <c r="AK324" s="76"/>
      <c r="AL324" s="76"/>
      <c r="AM324" s="76"/>
      <c r="AN324" s="76"/>
      <c r="AO324" s="76"/>
      <c r="AP324" s="76"/>
      <c r="AQ324" s="76"/>
      <c r="AR324" s="76"/>
      <c r="AS324" s="76"/>
      <c r="AT324" s="76"/>
      <c r="AU324" s="76"/>
      <c r="AV324" s="76"/>
      <c r="AW324" s="76"/>
      <c r="AX324" s="76"/>
      <c r="AY324" s="76"/>
      <c r="AZ324" s="76"/>
      <c r="BA324" s="76"/>
      <c r="BB324" s="76"/>
      <c r="BC324" s="76"/>
      <c r="BD324" s="76"/>
      <c r="BE324" s="76"/>
      <c r="BF324" s="76"/>
      <c r="BG324" s="76"/>
      <c r="BH324" s="76"/>
      <c r="BI324" s="76"/>
      <c r="BJ324" s="76"/>
      <c r="BK324" s="76"/>
      <c r="BL324" s="76"/>
      <c r="BM324" s="76"/>
      <c r="BN324" s="76"/>
      <c r="BO324" s="76"/>
      <c r="BP324" s="76"/>
      <c r="BQ324" s="76"/>
      <c r="BR324" s="76"/>
      <c r="BS324" s="76"/>
      <c r="BT324" s="76"/>
    </row>
    <row r="325" spans="3:72" x14ac:dyDescent="0.25">
      <c r="C325" s="135">
        <v>323</v>
      </c>
      <c r="D325" s="136"/>
      <c r="E325" s="153">
        <v>40.440624800000002</v>
      </c>
      <c r="F325" s="154">
        <v>-79.995886400000003</v>
      </c>
      <c r="G325" s="13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  <c r="Z325" s="76"/>
      <c r="AA325" s="76"/>
      <c r="AB325" s="76" t="s">
        <v>358</v>
      </c>
      <c r="AC325" s="76"/>
      <c r="AD325" s="76"/>
      <c r="AE325" s="76"/>
      <c r="AF325" s="76"/>
      <c r="AG325" s="76"/>
      <c r="AH325" s="76"/>
      <c r="AI325" s="76"/>
      <c r="AJ325" s="76"/>
      <c r="AK325" s="76"/>
      <c r="AL325" s="76"/>
      <c r="AM325" s="76"/>
      <c r="AN325" s="76"/>
      <c r="AO325" s="76"/>
      <c r="AP325" s="76"/>
      <c r="AQ325" s="76"/>
      <c r="AR325" s="76"/>
      <c r="AS325" s="76"/>
      <c r="AT325" s="76"/>
      <c r="AU325" s="76"/>
      <c r="AV325" s="76"/>
      <c r="AW325" s="76"/>
      <c r="AX325" s="76"/>
      <c r="AY325" s="76"/>
      <c r="AZ325" s="76"/>
      <c r="BA325" s="76"/>
      <c r="BB325" s="76"/>
      <c r="BC325" s="76"/>
      <c r="BD325" s="76"/>
      <c r="BE325" s="76"/>
      <c r="BF325" s="76"/>
      <c r="BG325" s="76"/>
      <c r="BH325" s="76"/>
      <c r="BI325" s="76"/>
      <c r="BJ325" s="76"/>
      <c r="BK325" s="76"/>
      <c r="BL325" s="76"/>
      <c r="BM325" s="76"/>
      <c r="BN325" s="76"/>
      <c r="BO325" s="76"/>
      <c r="BP325" s="76"/>
      <c r="BQ325" s="76"/>
      <c r="BR325" s="76"/>
      <c r="BS325" s="76"/>
      <c r="BT325" s="76"/>
    </row>
    <row r="326" spans="3:72" x14ac:dyDescent="0.25">
      <c r="C326" s="135">
        <v>324</v>
      </c>
      <c r="D326" s="136"/>
      <c r="E326" s="153">
        <v>40.440624800000002</v>
      </c>
      <c r="F326" s="154">
        <v>-79.995886400000003</v>
      </c>
      <c r="G326" s="13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  <c r="Z326" s="76"/>
      <c r="AA326" s="76"/>
      <c r="AB326" s="76" t="s">
        <v>358</v>
      </c>
      <c r="AC326" s="76"/>
      <c r="AD326" s="76"/>
      <c r="AE326" s="76"/>
      <c r="AF326" s="76"/>
      <c r="AG326" s="76"/>
      <c r="AH326" s="76"/>
      <c r="AI326" s="76"/>
      <c r="AJ326" s="76"/>
      <c r="AK326" s="76"/>
      <c r="AL326" s="76"/>
      <c r="AM326" s="76"/>
      <c r="AN326" s="76"/>
      <c r="AO326" s="76"/>
      <c r="AP326" s="76"/>
      <c r="AQ326" s="76"/>
      <c r="AR326" s="76"/>
      <c r="AS326" s="76"/>
      <c r="AT326" s="76"/>
      <c r="AU326" s="76"/>
      <c r="AV326" s="76"/>
      <c r="AW326" s="76"/>
      <c r="AX326" s="76"/>
      <c r="AY326" s="76"/>
      <c r="AZ326" s="76"/>
      <c r="BA326" s="76"/>
      <c r="BB326" s="76"/>
      <c r="BC326" s="76"/>
      <c r="BD326" s="76"/>
      <c r="BE326" s="76"/>
      <c r="BF326" s="76"/>
      <c r="BG326" s="76"/>
      <c r="BH326" s="76"/>
      <c r="BI326" s="76"/>
      <c r="BJ326" s="76"/>
      <c r="BK326" s="76"/>
      <c r="BL326" s="76"/>
      <c r="BM326" s="76"/>
      <c r="BN326" s="76"/>
      <c r="BO326" s="76"/>
      <c r="BP326" s="76"/>
      <c r="BQ326" s="76"/>
      <c r="BR326" s="76"/>
      <c r="BS326" s="76"/>
      <c r="BT326" s="76"/>
    </row>
    <row r="327" spans="3:72" x14ac:dyDescent="0.25">
      <c r="C327" s="135">
        <v>325</v>
      </c>
      <c r="D327" s="136"/>
      <c r="E327" s="153">
        <v>45.505106400000003</v>
      </c>
      <c r="F327" s="154">
        <v>-122.6750261</v>
      </c>
      <c r="G327" s="13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  <c r="Z327" s="76"/>
      <c r="AA327" s="76"/>
      <c r="AB327" s="76" t="s">
        <v>358</v>
      </c>
      <c r="AC327" s="76"/>
      <c r="AD327" s="76"/>
      <c r="AE327" s="76"/>
      <c r="AF327" s="76"/>
      <c r="AG327" s="76"/>
      <c r="AH327" s="76"/>
      <c r="AI327" s="76"/>
      <c r="AJ327" s="76"/>
      <c r="AK327" s="76"/>
      <c r="AL327" s="76"/>
      <c r="AM327" s="76"/>
      <c r="AN327" s="76"/>
      <c r="AO327" s="76"/>
      <c r="AP327" s="76"/>
      <c r="AQ327" s="76"/>
      <c r="AR327" s="76"/>
      <c r="AS327" s="76"/>
      <c r="AT327" s="76"/>
      <c r="AU327" s="76"/>
      <c r="AV327" s="76"/>
      <c r="AW327" s="76"/>
      <c r="AX327" s="76"/>
      <c r="AY327" s="76"/>
      <c r="AZ327" s="76"/>
      <c r="BA327" s="76"/>
      <c r="BB327" s="76"/>
      <c r="BC327" s="76"/>
      <c r="BD327" s="76"/>
      <c r="BE327" s="76"/>
      <c r="BF327" s="76"/>
      <c r="BG327" s="76"/>
      <c r="BH327" s="76"/>
      <c r="BI327" s="76"/>
      <c r="BJ327" s="76"/>
      <c r="BK327" s="76"/>
      <c r="BL327" s="76"/>
      <c r="BM327" s="76"/>
      <c r="BN327" s="76"/>
      <c r="BO327" s="76"/>
      <c r="BP327" s="76"/>
      <c r="BQ327" s="76"/>
      <c r="BR327" s="76"/>
      <c r="BS327" s="76"/>
      <c r="BT327" s="76"/>
    </row>
    <row r="328" spans="3:72" x14ac:dyDescent="0.25">
      <c r="C328" s="135">
        <v>326</v>
      </c>
      <c r="D328" s="136"/>
      <c r="E328" s="153">
        <v>45.505106400000003</v>
      </c>
      <c r="F328" s="154">
        <v>-122.6750261</v>
      </c>
      <c r="G328" s="13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6" t="s">
        <v>358</v>
      </c>
      <c r="AC328" s="76"/>
      <c r="AD328" s="76"/>
      <c r="AE328" s="76"/>
      <c r="AF328" s="76"/>
      <c r="AG328" s="76"/>
      <c r="AH328" s="76"/>
      <c r="AI328" s="76"/>
      <c r="AJ328" s="76"/>
      <c r="AK328" s="76"/>
      <c r="AL328" s="76"/>
      <c r="AM328" s="76"/>
      <c r="AN328" s="76"/>
      <c r="AO328" s="76"/>
      <c r="AP328" s="76"/>
      <c r="AQ328" s="76"/>
      <c r="AR328" s="76"/>
      <c r="AS328" s="76"/>
      <c r="AT328" s="76"/>
      <c r="AU328" s="76"/>
      <c r="AV328" s="76"/>
      <c r="AW328" s="76"/>
      <c r="AX328" s="76"/>
      <c r="AY328" s="76"/>
      <c r="AZ328" s="76"/>
      <c r="BA328" s="76"/>
      <c r="BB328" s="76"/>
      <c r="BC328" s="76"/>
      <c r="BD328" s="76"/>
      <c r="BE328" s="76"/>
      <c r="BF328" s="76"/>
      <c r="BG328" s="76"/>
      <c r="BH328" s="76"/>
      <c r="BI328" s="76"/>
      <c r="BJ328" s="76"/>
      <c r="BK328" s="76"/>
      <c r="BL328" s="76"/>
      <c r="BM328" s="76"/>
      <c r="BN328" s="76"/>
      <c r="BO328" s="76"/>
      <c r="BP328" s="76"/>
      <c r="BQ328" s="76"/>
      <c r="BR328" s="76"/>
      <c r="BS328" s="76"/>
      <c r="BT328" s="76"/>
    </row>
    <row r="329" spans="3:72" x14ac:dyDescent="0.25">
      <c r="C329" s="135">
        <v>327</v>
      </c>
      <c r="D329" s="136"/>
      <c r="E329" s="153">
        <v>45.505106400000003</v>
      </c>
      <c r="F329" s="154">
        <v>-122.6750261</v>
      </c>
      <c r="G329" s="13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  <c r="Z329" s="76"/>
      <c r="AA329" s="76"/>
      <c r="AB329" s="76" t="s">
        <v>358</v>
      </c>
      <c r="AC329" s="76"/>
      <c r="AD329" s="76"/>
      <c r="AE329" s="76"/>
      <c r="AF329" s="76"/>
      <c r="AG329" s="76"/>
      <c r="AH329" s="76"/>
      <c r="AI329" s="76"/>
      <c r="AJ329" s="76"/>
      <c r="AK329" s="76"/>
      <c r="AL329" s="76"/>
      <c r="AM329" s="76"/>
      <c r="AN329" s="76"/>
      <c r="AO329" s="76"/>
      <c r="AP329" s="76"/>
      <c r="AQ329" s="76"/>
      <c r="AR329" s="76"/>
      <c r="AS329" s="76"/>
      <c r="AT329" s="76"/>
      <c r="AU329" s="76"/>
      <c r="AV329" s="76"/>
      <c r="AW329" s="76"/>
      <c r="AX329" s="76"/>
      <c r="AY329" s="76"/>
      <c r="AZ329" s="76"/>
      <c r="BA329" s="76"/>
      <c r="BB329" s="76"/>
      <c r="BC329" s="76"/>
      <c r="BD329" s="76"/>
      <c r="BE329" s="76"/>
      <c r="BF329" s="76"/>
      <c r="BG329" s="76"/>
      <c r="BH329" s="76"/>
      <c r="BI329" s="76"/>
      <c r="BJ329" s="76"/>
      <c r="BK329" s="76"/>
      <c r="BL329" s="76"/>
      <c r="BM329" s="76"/>
      <c r="BN329" s="76"/>
      <c r="BO329" s="76"/>
      <c r="BP329" s="76"/>
      <c r="BQ329" s="76"/>
      <c r="BR329" s="76"/>
      <c r="BS329" s="76"/>
      <c r="BT329" s="76"/>
    </row>
    <row r="330" spans="3:72" x14ac:dyDescent="0.25">
      <c r="C330" s="135">
        <v>328</v>
      </c>
      <c r="D330" s="136"/>
      <c r="E330" s="153">
        <v>45.505106400000003</v>
      </c>
      <c r="F330" s="154">
        <v>-122.6750261</v>
      </c>
      <c r="G330" s="13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  <c r="Z330" s="76"/>
      <c r="AA330" s="76"/>
      <c r="AB330" s="76" t="s">
        <v>358</v>
      </c>
      <c r="AC330" s="76"/>
      <c r="AD330" s="76"/>
      <c r="AE330" s="76"/>
      <c r="AF330" s="76"/>
      <c r="AG330" s="76"/>
      <c r="AH330" s="76"/>
      <c r="AI330" s="76"/>
      <c r="AJ330" s="76"/>
      <c r="AK330" s="76"/>
      <c r="AL330" s="76"/>
      <c r="AM330" s="76"/>
      <c r="AN330" s="76"/>
      <c r="AO330" s="76"/>
      <c r="AP330" s="76"/>
      <c r="AQ330" s="76"/>
      <c r="AR330" s="76"/>
      <c r="AS330" s="76"/>
      <c r="AT330" s="76"/>
      <c r="AU330" s="76"/>
      <c r="AV330" s="76"/>
      <c r="AW330" s="76"/>
      <c r="AX330" s="76"/>
      <c r="AY330" s="76"/>
      <c r="AZ330" s="76"/>
      <c r="BA330" s="76"/>
      <c r="BB330" s="76"/>
      <c r="BC330" s="76"/>
      <c r="BD330" s="76"/>
      <c r="BE330" s="76"/>
      <c r="BF330" s="76"/>
      <c r="BG330" s="76"/>
      <c r="BH330" s="76"/>
      <c r="BI330" s="76"/>
      <c r="BJ330" s="76"/>
      <c r="BK330" s="76"/>
      <c r="BL330" s="76"/>
      <c r="BM330" s="76"/>
      <c r="BN330" s="76"/>
      <c r="BO330" s="76"/>
      <c r="BP330" s="76"/>
      <c r="BQ330" s="76"/>
      <c r="BR330" s="76"/>
      <c r="BS330" s="76"/>
      <c r="BT330" s="76"/>
    </row>
    <row r="331" spans="3:72" x14ac:dyDescent="0.25">
      <c r="C331" s="135">
        <v>329</v>
      </c>
      <c r="D331" s="136"/>
      <c r="E331" s="153">
        <v>41.888158199999999</v>
      </c>
      <c r="F331" s="154">
        <v>-71.477429099999995</v>
      </c>
      <c r="G331" s="13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  <c r="Z331" s="76"/>
      <c r="AA331" s="76"/>
      <c r="AB331" s="76" t="s">
        <v>358</v>
      </c>
      <c r="AC331" s="76"/>
      <c r="AD331" s="76"/>
      <c r="AE331" s="76"/>
      <c r="AF331" s="76"/>
      <c r="AG331" s="76"/>
      <c r="AH331" s="76"/>
      <c r="AI331" s="76"/>
      <c r="AJ331" s="76"/>
      <c r="AK331" s="76"/>
      <c r="AL331" s="76"/>
      <c r="AM331" s="76"/>
      <c r="AN331" s="76"/>
      <c r="AO331" s="76"/>
      <c r="AP331" s="76"/>
      <c r="AQ331" s="76"/>
      <c r="AR331" s="76"/>
      <c r="AS331" s="76"/>
      <c r="AT331" s="76"/>
      <c r="AU331" s="76"/>
      <c r="AV331" s="76"/>
      <c r="AW331" s="76"/>
      <c r="AX331" s="76"/>
      <c r="AY331" s="76"/>
      <c r="AZ331" s="76"/>
      <c r="BA331" s="76"/>
      <c r="BB331" s="76"/>
      <c r="BC331" s="76"/>
      <c r="BD331" s="76"/>
      <c r="BE331" s="76"/>
      <c r="BF331" s="76"/>
      <c r="BG331" s="76"/>
      <c r="BH331" s="76"/>
      <c r="BI331" s="76"/>
      <c r="BJ331" s="76"/>
      <c r="BK331" s="76"/>
      <c r="BL331" s="76"/>
      <c r="BM331" s="76"/>
      <c r="BN331" s="76"/>
      <c r="BO331" s="76"/>
      <c r="BP331" s="76"/>
      <c r="BQ331" s="76"/>
      <c r="BR331" s="76"/>
      <c r="BS331" s="76"/>
      <c r="BT331" s="76"/>
    </row>
    <row r="332" spans="3:72" x14ac:dyDescent="0.25">
      <c r="C332" s="135">
        <v>330</v>
      </c>
      <c r="D332" s="136"/>
      <c r="E332" s="153">
        <v>35.785054500000001</v>
      </c>
      <c r="F332" s="154">
        <v>-78.681944900000005</v>
      </c>
      <c r="G332" s="13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  <c r="Z332" s="76"/>
      <c r="AA332" s="76"/>
      <c r="AB332" s="76" t="s">
        <v>358</v>
      </c>
      <c r="AC332" s="76"/>
      <c r="AD332" s="76"/>
      <c r="AE332" s="76"/>
      <c r="AF332" s="76"/>
      <c r="AG332" s="76"/>
      <c r="AH332" s="76"/>
      <c r="AI332" s="76"/>
      <c r="AJ332" s="76"/>
      <c r="AK332" s="76"/>
      <c r="AL332" s="76"/>
      <c r="AM332" s="76"/>
      <c r="AN332" s="76"/>
      <c r="AO332" s="76"/>
      <c r="AP332" s="76"/>
      <c r="AQ332" s="76"/>
      <c r="AR332" s="76"/>
      <c r="AS332" s="76"/>
      <c r="AT332" s="76"/>
      <c r="AU332" s="76"/>
      <c r="AV332" s="76"/>
      <c r="AW332" s="76"/>
      <c r="AX332" s="76"/>
      <c r="AY332" s="76"/>
      <c r="AZ332" s="76"/>
      <c r="BA332" s="76"/>
      <c r="BB332" s="76"/>
      <c r="BC332" s="76"/>
      <c r="BD332" s="76"/>
      <c r="BE332" s="76"/>
      <c r="BF332" s="76"/>
      <c r="BG332" s="76"/>
      <c r="BH332" s="76"/>
      <c r="BI332" s="76"/>
      <c r="BJ332" s="76"/>
      <c r="BK332" s="76"/>
      <c r="BL332" s="76"/>
      <c r="BM332" s="76"/>
      <c r="BN332" s="76"/>
      <c r="BO332" s="76"/>
      <c r="BP332" s="76"/>
      <c r="BQ332" s="76"/>
      <c r="BR332" s="76"/>
      <c r="BS332" s="76"/>
      <c r="BT332" s="76"/>
    </row>
    <row r="333" spans="3:72" x14ac:dyDescent="0.25">
      <c r="C333" s="135">
        <v>331</v>
      </c>
      <c r="D333" s="136"/>
      <c r="E333" s="153">
        <v>35.785054500000001</v>
      </c>
      <c r="F333" s="154">
        <v>-78.681944900000005</v>
      </c>
      <c r="G333" s="13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  <c r="Z333" s="76"/>
      <c r="AA333" s="76"/>
      <c r="AB333" s="76" t="s">
        <v>358</v>
      </c>
      <c r="AC333" s="76"/>
      <c r="AD333" s="76"/>
      <c r="AE333" s="76"/>
      <c r="AF333" s="76"/>
      <c r="AG333" s="76"/>
      <c r="AH333" s="76"/>
      <c r="AI333" s="76"/>
      <c r="AJ333" s="76"/>
      <c r="AK333" s="76"/>
      <c r="AL333" s="76"/>
      <c r="AM333" s="76"/>
      <c r="AN333" s="76"/>
      <c r="AO333" s="76"/>
      <c r="AP333" s="76"/>
      <c r="AQ333" s="76"/>
      <c r="AR333" s="76"/>
      <c r="AS333" s="76"/>
      <c r="AT333" s="76"/>
      <c r="AU333" s="76"/>
      <c r="AV333" s="76"/>
      <c r="AW333" s="76"/>
      <c r="AX333" s="76"/>
      <c r="AY333" s="76"/>
      <c r="AZ333" s="76"/>
      <c r="BA333" s="76"/>
      <c r="BB333" s="76"/>
      <c r="BC333" s="76"/>
      <c r="BD333" s="76"/>
      <c r="BE333" s="76"/>
      <c r="BF333" s="76"/>
      <c r="BG333" s="76"/>
      <c r="BH333" s="76"/>
      <c r="BI333" s="76"/>
      <c r="BJ333" s="76"/>
      <c r="BK333" s="76"/>
      <c r="BL333" s="76"/>
      <c r="BM333" s="76"/>
      <c r="BN333" s="76"/>
      <c r="BO333" s="76"/>
      <c r="BP333" s="76"/>
      <c r="BQ333" s="76"/>
      <c r="BR333" s="76"/>
      <c r="BS333" s="76"/>
      <c r="BT333" s="76"/>
    </row>
    <row r="334" spans="3:72" x14ac:dyDescent="0.25">
      <c r="C334" s="135">
        <v>332</v>
      </c>
      <c r="D334" s="136"/>
      <c r="E334" s="153">
        <v>35.779589700000002</v>
      </c>
      <c r="F334" s="154">
        <v>-78.638178699999997</v>
      </c>
      <c r="G334" s="13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  <c r="Z334" s="76"/>
      <c r="AA334" s="76"/>
      <c r="AB334" s="76" t="s">
        <v>358</v>
      </c>
      <c r="AC334" s="76"/>
      <c r="AD334" s="76"/>
      <c r="AE334" s="76"/>
      <c r="AF334" s="76"/>
      <c r="AG334" s="76"/>
      <c r="AH334" s="76"/>
      <c r="AI334" s="76"/>
      <c r="AJ334" s="76"/>
      <c r="AK334" s="76"/>
      <c r="AL334" s="76"/>
      <c r="AM334" s="76"/>
      <c r="AN334" s="76"/>
      <c r="AO334" s="76"/>
      <c r="AP334" s="76"/>
      <c r="AQ334" s="76"/>
      <c r="AR334" s="76"/>
      <c r="AS334" s="76"/>
      <c r="AT334" s="76"/>
      <c r="AU334" s="76"/>
      <c r="AV334" s="76"/>
      <c r="AW334" s="76"/>
      <c r="AX334" s="76"/>
      <c r="AY334" s="76"/>
      <c r="AZ334" s="76"/>
      <c r="BA334" s="76"/>
      <c r="BB334" s="76"/>
      <c r="BC334" s="76"/>
      <c r="BD334" s="76"/>
      <c r="BE334" s="76"/>
      <c r="BF334" s="76"/>
      <c r="BG334" s="76"/>
      <c r="BH334" s="76"/>
      <c r="BI334" s="76"/>
      <c r="BJ334" s="76"/>
      <c r="BK334" s="76"/>
      <c r="BL334" s="76"/>
      <c r="BM334" s="76"/>
      <c r="BN334" s="76"/>
      <c r="BO334" s="76"/>
      <c r="BP334" s="76"/>
      <c r="BQ334" s="76"/>
      <c r="BR334" s="76"/>
      <c r="BS334" s="76"/>
      <c r="BT334" s="76"/>
    </row>
    <row r="335" spans="3:72" x14ac:dyDescent="0.25">
      <c r="C335" s="135">
        <v>333</v>
      </c>
      <c r="D335" s="136"/>
      <c r="E335" s="153">
        <v>35.779589700000002</v>
      </c>
      <c r="F335" s="154">
        <v>-78.638178699999997</v>
      </c>
      <c r="G335" s="13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  <c r="Z335" s="76"/>
      <c r="AA335" s="76"/>
      <c r="AB335" s="76" t="s">
        <v>358</v>
      </c>
      <c r="AC335" s="76"/>
      <c r="AD335" s="76"/>
      <c r="AE335" s="76"/>
      <c r="AF335" s="76"/>
      <c r="AG335" s="76"/>
      <c r="AH335" s="76"/>
      <c r="AI335" s="76"/>
      <c r="AJ335" s="76"/>
      <c r="AK335" s="76"/>
      <c r="AL335" s="76"/>
      <c r="AM335" s="76"/>
      <c r="AN335" s="76"/>
      <c r="AO335" s="76"/>
      <c r="AP335" s="76"/>
      <c r="AQ335" s="76"/>
      <c r="AR335" s="76"/>
      <c r="AS335" s="76"/>
      <c r="AT335" s="76"/>
      <c r="AU335" s="76"/>
      <c r="AV335" s="76"/>
      <c r="AW335" s="76"/>
      <c r="AX335" s="76"/>
      <c r="AY335" s="76"/>
      <c r="AZ335" s="76"/>
      <c r="BA335" s="76"/>
      <c r="BB335" s="76"/>
      <c r="BC335" s="76"/>
      <c r="BD335" s="76"/>
      <c r="BE335" s="76"/>
      <c r="BF335" s="76"/>
      <c r="BG335" s="76"/>
      <c r="BH335" s="76"/>
      <c r="BI335" s="76"/>
      <c r="BJ335" s="76"/>
      <c r="BK335" s="76"/>
      <c r="BL335" s="76"/>
      <c r="BM335" s="76"/>
      <c r="BN335" s="76"/>
      <c r="BO335" s="76"/>
      <c r="BP335" s="76"/>
      <c r="BQ335" s="76"/>
      <c r="BR335" s="76"/>
      <c r="BS335" s="76"/>
      <c r="BT335" s="76"/>
    </row>
    <row r="336" spans="3:72" x14ac:dyDescent="0.25">
      <c r="C336" s="135">
        <v>334</v>
      </c>
      <c r="D336" s="136"/>
      <c r="E336" s="153">
        <v>35.779589700000002</v>
      </c>
      <c r="F336" s="154">
        <v>-78.638178699999997</v>
      </c>
      <c r="G336" s="13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  <c r="Z336" s="76"/>
      <c r="AA336" s="76"/>
      <c r="AB336" s="76" t="s">
        <v>358</v>
      </c>
      <c r="AC336" s="76"/>
      <c r="AD336" s="76"/>
      <c r="AE336" s="76"/>
      <c r="AF336" s="76"/>
      <c r="AG336" s="76"/>
      <c r="AH336" s="76"/>
      <c r="AI336" s="76"/>
      <c r="AJ336" s="76"/>
      <c r="AK336" s="76"/>
      <c r="AL336" s="76"/>
      <c r="AM336" s="76"/>
      <c r="AN336" s="76"/>
      <c r="AO336" s="76"/>
      <c r="AP336" s="76"/>
      <c r="AQ336" s="76"/>
      <c r="AR336" s="76"/>
      <c r="AS336" s="76"/>
      <c r="AT336" s="76"/>
      <c r="AU336" s="76"/>
      <c r="AV336" s="76"/>
      <c r="AW336" s="76"/>
      <c r="AX336" s="76"/>
      <c r="AY336" s="76"/>
      <c r="AZ336" s="76"/>
      <c r="BA336" s="76"/>
      <c r="BB336" s="76"/>
      <c r="BC336" s="76"/>
      <c r="BD336" s="76"/>
      <c r="BE336" s="76"/>
      <c r="BF336" s="76"/>
      <c r="BG336" s="76"/>
      <c r="BH336" s="76"/>
      <c r="BI336" s="76"/>
      <c r="BJ336" s="76"/>
      <c r="BK336" s="76"/>
      <c r="BL336" s="76"/>
      <c r="BM336" s="76"/>
      <c r="BN336" s="76"/>
      <c r="BO336" s="76"/>
      <c r="BP336" s="76"/>
      <c r="BQ336" s="76"/>
      <c r="BR336" s="76"/>
      <c r="BS336" s="76"/>
      <c r="BT336" s="76"/>
    </row>
    <row r="337" spans="3:72" x14ac:dyDescent="0.25">
      <c r="C337" s="135">
        <v>335</v>
      </c>
      <c r="D337" s="136"/>
      <c r="E337" s="153">
        <v>47.673988100000003</v>
      </c>
      <c r="F337" s="154">
        <v>-122.121512</v>
      </c>
      <c r="G337" s="13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6" t="s">
        <v>358</v>
      </c>
      <c r="AC337" s="76"/>
      <c r="AD337" s="76"/>
      <c r="AE337" s="76"/>
      <c r="AF337" s="76"/>
      <c r="AG337" s="76"/>
      <c r="AH337" s="76"/>
      <c r="AI337" s="76"/>
      <c r="AJ337" s="76"/>
      <c r="AK337" s="76"/>
      <c r="AL337" s="76"/>
      <c r="AM337" s="76"/>
      <c r="AN337" s="76"/>
      <c r="AO337" s="76"/>
      <c r="AP337" s="76"/>
      <c r="AQ337" s="76"/>
      <c r="AR337" s="76"/>
      <c r="AS337" s="76"/>
      <c r="AT337" s="76"/>
      <c r="AU337" s="76"/>
      <c r="AV337" s="76"/>
      <c r="AW337" s="76"/>
      <c r="AX337" s="76"/>
      <c r="AY337" s="76"/>
      <c r="AZ337" s="76"/>
      <c r="BA337" s="76"/>
      <c r="BB337" s="76"/>
      <c r="BC337" s="76"/>
      <c r="BD337" s="76"/>
      <c r="BE337" s="76"/>
      <c r="BF337" s="76"/>
      <c r="BG337" s="76"/>
      <c r="BH337" s="76"/>
      <c r="BI337" s="76"/>
      <c r="BJ337" s="76"/>
      <c r="BK337" s="76"/>
      <c r="BL337" s="76"/>
      <c r="BM337" s="76"/>
      <c r="BN337" s="76"/>
      <c r="BO337" s="76"/>
      <c r="BP337" s="76"/>
      <c r="BQ337" s="76"/>
      <c r="BR337" s="76"/>
      <c r="BS337" s="76"/>
      <c r="BT337" s="76"/>
    </row>
    <row r="338" spans="3:72" x14ac:dyDescent="0.25">
      <c r="C338" s="135">
        <v>336</v>
      </c>
      <c r="D338" s="136"/>
      <c r="E338" s="153">
        <v>47.673988100000003</v>
      </c>
      <c r="F338" s="154">
        <v>-122.121512</v>
      </c>
      <c r="G338" s="13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6" t="s">
        <v>358</v>
      </c>
      <c r="AC338" s="76"/>
      <c r="AD338" s="76"/>
      <c r="AE338" s="76"/>
      <c r="AF338" s="76"/>
      <c r="AG338" s="76"/>
      <c r="AH338" s="76"/>
      <c r="AI338" s="76"/>
      <c r="AJ338" s="76"/>
      <c r="AK338" s="76"/>
      <c r="AL338" s="76"/>
      <c r="AM338" s="76"/>
      <c r="AN338" s="76"/>
      <c r="AO338" s="76"/>
      <c r="AP338" s="76"/>
      <c r="AQ338" s="76"/>
      <c r="AR338" s="76"/>
      <c r="AS338" s="76"/>
      <c r="AT338" s="76"/>
      <c r="AU338" s="76"/>
      <c r="AV338" s="76"/>
      <c r="AW338" s="76"/>
      <c r="AX338" s="76"/>
      <c r="AY338" s="76"/>
      <c r="AZ338" s="76"/>
      <c r="BA338" s="76"/>
      <c r="BB338" s="76"/>
      <c r="BC338" s="76"/>
      <c r="BD338" s="76"/>
      <c r="BE338" s="76"/>
      <c r="BF338" s="76"/>
      <c r="BG338" s="76"/>
      <c r="BH338" s="76"/>
      <c r="BI338" s="76"/>
      <c r="BJ338" s="76"/>
      <c r="BK338" s="76"/>
      <c r="BL338" s="76"/>
      <c r="BM338" s="76"/>
      <c r="BN338" s="76"/>
      <c r="BO338" s="76"/>
      <c r="BP338" s="76"/>
      <c r="BQ338" s="76"/>
      <c r="BR338" s="76"/>
      <c r="BS338" s="76"/>
      <c r="BT338" s="76"/>
    </row>
    <row r="339" spans="3:72" x14ac:dyDescent="0.25">
      <c r="C339" s="135">
        <v>337</v>
      </c>
      <c r="D339" s="136"/>
      <c r="E339" s="153">
        <v>47.673988100000003</v>
      </c>
      <c r="F339" s="154">
        <v>-122.121512</v>
      </c>
      <c r="G339" s="13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  <c r="Z339" s="76"/>
      <c r="AA339" s="76"/>
      <c r="AB339" s="76" t="s">
        <v>358</v>
      </c>
      <c r="AC339" s="76"/>
      <c r="AD339" s="76"/>
      <c r="AE339" s="76"/>
      <c r="AF339" s="76"/>
      <c r="AG339" s="76"/>
      <c r="AH339" s="76"/>
      <c r="AI339" s="76"/>
      <c r="AJ339" s="76"/>
      <c r="AK339" s="76"/>
      <c r="AL339" s="76"/>
      <c r="AM339" s="76"/>
      <c r="AN339" s="76"/>
      <c r="AO339" s="76"/>
      <c r="AP339" s="76"/>
      <c r="AQ339" s="76"/>
      <c r="AR339" s="76"/>
      <c r="AS339" s="76"/>
      <c r="AT339" s="76"/>
      <c r="AU339" s="76"/>
      <c r="AV339" s="76"/>
      <c r="AW339" s="76"/>
      <c r="AX339" s="76"/>
      <c r="AY339" s="76"/>
      <c r="AZ339" s="76"/>
      <c r="BA339" s="76"/>
      <c r="BB339" s="76"/>
      <c r="BC339" s="76"/>
      <c r="BD339" s="76"/>
      <c r="BE339" s="76"/>
      <c r="BF339" s="76"/>
      <c r="BG339" s="76"/>
      <c r="BH339" s="76"/>
      <c r="BI339" s="76"/>
      <c r="BJ339" s="76"/>
      <c r="BK339" s="76"/>
      <c r="BL339" s="76"/>
      <c r="BM339" s="76"/>
      <c r="BN339" s="76"/>
      <c r="BO339" s="76"/>
      <c r="BP339" s="76"/>
      <c r="BQ339" s="76"/>
      <c r="BR339" s="76"/>
      <c r="BS339" s="76"/>
      <c r="BT339" s="76"/>
    </row>
    <row r="340" spans="3:72" x14ac:dyDescent="0.25">
      <c r="C340" s="135">
        <v>338</v>
      </c>
      <c r="D340" s="136"/>
      <c r="E340" s="153">
        <v>47.479692700000001</v>
      </c>
      <c r="F340" s="154">
        <v>-122.20792179999999</v>
      </c>
      <c r="G340" s="13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  <c r="Z340" s="76"/>
      <c r="AA340" s="76"/>
      <c r="AB340" s="76" t="s">
        <v>358</v>
      </c>
      <c r="AC340" s="76"/>
      <c r="AD340" s="76"/>
      <c r="AE340" s="76"/>
      <c r="AF340" s="76"/>
      <c r="AG340" s="76"/>
      <c r="AH340" s="76"/>
      <c r="AI340" s="76"/>
      <c r="AJ340" s="76"/>
      <c r="AK340" s="76"/>
      <c r="AL340" s="76"/>
      <c r="AM340" s="76"/>
      <c r="AN340" s="76"/>
      <c r="AO340" s="76"/>
      <c r="AP340" s="76"/>
      <c r="AQ340" s="76"/>
      <c r="AR340" s="76"/>
      <c r="AS340" s="76"/>
      <c r="AT340" s="76"/>
      <c r="AU340" s="76"/>
      <c r="AV340" s="76"/>
      <c r="AW340" s="76"/>
      <c r="AX340" s="76"/>
      <c r="AY340" s="76"/>
      <c r="AZ340" s="76"/>
      <c r="BA340" s="76"/>
      <c r="BB340" s="76"/>
      <c r="BC340" s="76"/>
      <c r="BD340" s="76"/>
      <c r="BE340" s="76"/>
      <c r="BF340" s="76"/>
      <c r="BG340" s="76"/>
      <c r="BH340" s="76"/>
      <c r="BI340" s="76"/>
      <c r="BJ340" s="76"/>
      <c r="BK340" s="76"/>
      <c r="BL340" s="76"/>
      <c r="BM340" s="76"/>
      <c r="BN340" s="76"/>
      <c r="BO340" s="76"/>
      <c r="BP340" s="76"/>
      <c r="BQ340" s="76"/>
      <c r="BR340" s="76"/>
      <c r="BS340" s="76"/>
      <c r="BT340" s="76"/>
    </row>
    <row r="341" spans="3:72" x14ac:dyDescent="0.25">
      <c r="C341" s="135">
        <v>339</v>
      </c>
      <c r="D341" s="136"/>
      <c r="E341" s="153">
        <v>46.280419999999999</v>
      </c>
      <c r="F341" s="154">
        <v>-119.27519959999999</v>
      </c>
      <c r="G341" s="13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  <c r="Z341" s="76"/>
      <c r="AA341" s="76"/>
      <c r="AB341" s="76" t="s">
        <v>358</v>
      </c>
      <c r="AC341" s="76"/>
      <c r="AD341" s="76"/>
      <c r="AE341" s="76"/>
      <c r="AF341" s="76"/>
      <c r="AG341" s="76"/>
      <c r="AH341" s="76"/>
      <c r="AI341" s="76"/>
      <c r="AJ341" s="76"/>
      <c r="AK341" s="76"/>
      <c r="AL341" s="76"/>
      <c r="AM341" s="76"/>
      <c r="AN341" s="76"/>
      <c r="AO341" s="76"/>
      <c r="AP341" s="76"/>
      <c r="AQ341" s="76"/>
      <c r="AR341" s="76"/>
      <c r="AS341" s="76"/>
      <c r="AT341" s="76"/>
      <c r="AU341" s="76"/>
      <c r="AV341" s="76"/>
      <c r="AW341" s="76"/>
      <c r="AX341" s="76"/>
      <c r="AY341" s="76"/>
      <c r="AZ341" s="76"/>
      <c r="BA341" s="76"/>
      <c r="BB341" s="76"/>
      <c r="BC341" s="76"/>
      <c r="BD341" s="76"/>
      <c r="BE341" s="76"/>
      <c r="BF341" s="76"/>
      <c r="BG341" s="76"/>
      <c r="BH341" s="76"/>
      <c r="BI341" s="76"/>
      <c r="BJ341" s="76"/>
      <c r="BK341" s="76"/>
      <c r="BL341" s="76"/>
      <c r="BM341" s="76"/>
      <c r="BN341" s="76"/>
      <c r="BO341" s="76"/>
      <c r="BP341" s="76"/>
      <c r="BQ341" s="76"/>
      <c r="BR341" s="76"/>
      <c r="BS341" s="76"/>
      <c r="BT341" s="76"/>
    </row>
    <row r="342" spans="3:72" x14ac:dyDescent="0.25">
      <c r="C342" s="135">
        <v>340</v>
      </c>
      <c r="D342" s="136"/>
      <c r="E342" s="153">
        <v>43.142994000000002</v>
      </c>
      <c r="F342" s="154">
        <v>-77.544745399999996</v>
      </c>
      <c r="G342" s="13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  <c r="Z342" s="76"/>
      <c r="AA342" s="76"/>
      <c r="AB342" s="76" t="s">
        <v>358</v>
      </c>
      <c r="AC342" s="76"/>
      <c r="AD342" s="76"/>
      <c r="AE342" s="76"/>
      <c r="AF342" s="76"/>
      <c r="AG342" s="76"/>
      <c r="AH342" s="76"/>
      <c r="AI342" s="76"/>
      <c r="AJ342" s="76"/>
      <c r="AK342" s="76"/>
      <c r="AL342" s="76"/>
      <c r="AM342" s="76"/>
      <c r="AN342" s="76"/>
      <c r="AO342" s="76"/>
      <c r="AP342" s="76"/>
      <c r="AQ342" s="76"/>
      <c r="AR342" s="76"/>
      <c r="AS342" s="76"/>
      <c r="AT342" s="76"/>
      <c r="AU342" s="76"/>
      <c r="AV342" s="76"/>
      <c r="AW342" s="76"/>
      <c r="AX342" s="76"/>
      <c r="AY342" s="76"/>
      <c r="AZ342" s="76"/>
      <c r="BA342" s="76"/>
      <c r="BB342" s="76"/>
      <c r="BC342" s="76"/>
      <c r="BD342" s="76"/>
      <c r="BE342" s="76"/>
      <c r="BF342" s="76"/>
      <c r="BG342" s="76"/>
      <c r="BH342" s="76"/>
      <c r="BI342" s="76"/>
      <c r="BJ342" s="76"/>
      <c r="BK342" s="76"/>
      <c r="BL342" s="76"/>
      <c r="BM342" s="76"/>
      <c r="BN342" s="76"/>
      <c r="BO342" s="76"/>
      <c r="BP342" s="76"/>
      <c r="BQ342" s="76"/>
      <c r="BR342" s="76"/>
      <c r="BS342" s="76"/>
      <c r="BT342" s="76"/>
    </row>
    <row r="343" spans="3:72" x14ac:dyDescent="0.25">
      <c r="C343" s="135">
        <v>341</v>
      </c>
      <c r="D343" s="136"/>
      <c r="E343" s="153">
        <v>38.5815719</v>
      </c>
      <c r="F343" s="154">
        <v>-121.49439959999999</v>
      </c>
      <c r="G343" s="13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  <c r="Z343" s="76"/>
      <c r="AA343" s="76"/>
      <c r="AB343" s="76" t="s">
        <v>358</v>
      </c>
      <c r="AC343" s="76"/>
      <c r="AD343" s="76"/>
      <c r="AE343" s="76"/>
      <c r="AF343" s="76"/>
      <c r="AG343" s="76"/>
      <c r="AH343" s="76"/>
      <c r="AI343" s="76"/>
      <c r="AJ343" s="76"/>
      <c r="AK343" s="76"/>
      <c r="AL343" s="76"/>
      <c r="AM343" s="76"/>
      <c r="AN343" s="76"/>
      <c r="AO343" s="76"/>
      <c r="AP343" s="76"/>
      <c r="AQ343" s="76"/>
      <c r="AR343" s="76"/>
      <c r="AS343" s="76"/>
      <c r="AT343" s="76"/>
      <c r="AU343" s="76"/>
      <c r="AV343" s="76"/>
      <c r="AW343" s="76"/>
      <c r="AX343" s="76"/>
      <c r="AY343" s="76"/>
      <c r="AZ343" s="76"/>
      <c r="BA343" s="76"/>
      <c r="BB343" s="76"/>
      <c r="BC343" s="76"/>
      <c r="BD343" s="76"/>
      <c r="BE343" s="76"/>
      <c r="BF343" s="76"/>
      <c r="BG343" s="76"/>
      <c r="BH343" s="76"/>
      <c r="BI343" s="76"/>
      <c r="BJ343" s="76"/>
      <c r="BK343" s="76"/>
      <c r="BL343" s="76"/>
      <c r="BM343" s="76"/>
      <c r="BN343" s="76"/>
      <c r="BO343" s="76"/>
      <c r="BP343" s="76"/>
      <c r="BQ343" s="76"/>
      <c r="BR343" s="76"/>
      <c r="BS343" s="76"/>
      <c r="BT343" s="76"/>
    </row>
    <row r="344" spans="3:72" x14ac:dyDescent="0.25">
      <c r="C344" s="135">
        <v>342</v>
      </c>
      <c r="D344" s="136"/>
      <c r="E344" s="153">
        <v>37.827178400000001</v>
      </c>
      <c r="F344" s="154">
        <v>-122.2913078</v>
      </c>
      <c r="G344" s="13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  <c r="Z344" s="76"/>
      <c r="AA344" s="76"/>
      <c r="AB344" s="76" t="s">
        <v>358</v>
      </c>
      <c r="AC344" s="76"/>
      <c r="AD344" s="76"/>
      <c r="AE344" s="76"/>
      <c r="AF344" s="76"/>
      <c r="AG344" s="76"/>
      <c r="AH344" s="76"/>
      <c r="AI344" s="76"/>
      <c r="AJ344" s="76"/>
      <c r="AK344" s="76"/>
      <c r="AL344" s="76"/>
      <c r="AM344" s="76"/>
      <c r="AN344" s="76"/>
      <c r="AO344" s="76"/>
      <c r="AP344" s="76"/>
      <c r="AQ344" s="76"/>
      <c r="AR344" s="76"/>
      <c r="AS344" s="76"/>
      <c r="AT344" s="76"/>
      <c r="AU344" s="76"/>
      <c r="AV344" s="76"/>
      <c r="AW344" s="76"/>
      <c r="AX344" s="76"/>
      <c r="AY344" s="76"/>
      <c r="AZ344" s="76"/>
      <c r="BA344" s="76"/>
      <c r="BB344" s="76"/>
      <c r="BC344" s="76"/>
      <c r="BD344" s="76"/>
      <c r="BE344" s="76"/>
      <c r="BF344" s="76"/>
      <c r="BG344" s="76"/>
      <c r="BH344" s="76"/>
      <c r="BI344" s="76"/>
      <c r="BJ344" s="76"/>
      <c r="BK344" s="76"/>
      <c r="BL344" s="76"/>
      <c r="BM344" s="76"/>
      <c r="BN344" s="76"/>
      <c r="BO344" s="76"/>
      <c r="BP344" s="76"/>
      <c r="BQ344" s="76"/>
      <c r="BR344" s="76"/>
      <c r="BS344" s="76"/>
      <c r="BT344" s="76"/>
    </row>
    <row r="345" spans="3:72" x14ac:dyDescent="0.25">
      <c r="C345" s="135">
        <v>343</v>
      </c>
      <c r="D345" s="136"/>
      <c r="E345" s="153">
        <v>37.827178400000001</v>
      </c>
      <c r="F345" s="154">
        <v>-122.2913078</v>
      </c>
      <c r="G345" s="13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  <c r="Z345" s="76"/>
      <c r="AA345" s="76"/>
      <c r="AB345" s="76" t="s">
        <v>358</v>
      </c>
      <c r="AC345" s="76"/>
      <c r="AD345" s="76"/>
      <c r="AE345" s="76"/>
      <c r="AF345" s="76"/>
      <c r="AG345" s="76"/>
      <c r="AH345" s="76"/>
      <c r="AI345" s="76"/>
      <c r="AJ345" s="76"/>
      <c r="AK345" s="76"/>
      <c r="AL345" s="76"/>
      <c r="AM345" s="76"/>
      <c r="AN345" s="76"/>
      <c r="AO345" s="76"/>
      <c r="AP345" s="76"/>
      <c r="AQ345" s="76"/>
      <c r="AR345" s="76"/>
      <c r="AS345" s="76"/>
      <c r="AT345" s="76"/>
      <c r="AU345" s="76"/>
      <c r="AV345" s="76"/>
      <c r="AW345" s="76"/>
      <c r="AX345" s="76"/>
      <c r="AY345" s="76"/>
      <c r="AZ345" s="76"/>
      <c r="BA345" s="76"/>
      <c r="BB345" s="76"/>
      <c r="BC345" s="76"/>
      <c r="BD345" s="76"/>
      <c r="BE345" s="76"/>
      <c r="BF345" s="76"/>
      <c r="BG345" s="76"/>
      <c r="BH345" s="76"/>
      <c r="BI345" s="76"/>
      <c r="BJ345" s="76"/>
      <c r="BK345" s="76"/>
      <c r="BL345" s="76"/>
      <c r="BM345" s="76"/>
      <c r="BN345" s="76"/>
      <c r="BO345" s="76"/>
      <c r="BP345" s="76"/>
      <c r="BQ345" s="76"/>
      <c r="BR345" s="76"/>
      <c r="BS345" s="76"/>
      <c r="BT345" s="76"/>
    </row>
    <row r="346" spans="3:72" x14ac:dyDescent="0.25">
      <c r="C346" s="135">
        <v>344</v>
      </c>
      <c r="D346" s="136"/>
      <c r="E346" s="153">
        <v>37.774929499999999</v>
      </c>
      <c r="F346" s="154">
        <v>-122.4194155</v>
      </c>
      <c r="G346" s="13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  <c r="Z346" s="76"/>
      <c r="AA346" s="76"/>
      <c r="AB346" s="76" t="s">
        <v>358</v>
      </c>
      <c r="AC346" s="76"/>
      <c r="AD346" s="76"/>
      <c r="AE346" s="76"/>
      <c r="AF346" s="76"/>
      <c r="AG346" s="76"/>
      <c r="AH346" s="76"/>
      <c r="AI346" s="76"/>
      <c r="AJ346" s="76"/>
      <c r="AK346" s="76"/>
      <c r="AL346" s="76"/>
      <c r="AM346" s="76"/>
      <c r="AN346" s="76"/>
      <c r="AO346" s="76"/>
      <c r="AP346" s="76"/>
      <c r="AQ346" s="76"/>
      <c r="AR346" s="76"/>
      <c r="AS346" s="76"/>
      <c r="AT346" s="76"/>
      <c r="AU346" s="76"/>
      <c r="AV346" s="76"/>
      <c r="AW346" s="76"/>
      <c r="AX346" s="76"/>
      <c r="AY346" s="76"/>
      <c r="AZ346" s="76"/>
      <c r="BA346" s="76"/>
      <c r="BB346" s="76"/>
      <c r="BC346" s="76"/>
      <c r="BD346" s="76"/>
      <c r="BE346" s="76"/>
      <c r="BF346" s="76"/>
      <c r="BG346" s="76"/>
      <c r="BH346" s="76"/>
      <c r="BI346" s="76"/>
      <c r="BJ346" s="76"/>
      <c r="BK346" s="76"/>
      <c r="BL346" s="76"/>
      <c r="BM346" s="76"/>
      <c r="BN346" s="76"/>
      <c r="BO346" s="76"/>
      <c r="BP346" s="76"/>
      <c r="BQ346" s="76"/>
      <c r="BR346" s="76"/>
      <c r="BS346" s="76"/>
      <c r="BT346" s="76"/>
    </row>
    <row r="347" spans="3:72" x14ac:dyDescent="0.25">
      <c r="C347" s="135">
        <v>345</v>
      </c>
      <c r="D347" s="136"/>
      <c r="E347" s="153">
        <v>34.413586799999997</v>
      </c>
      <c r="F347" s="154">
        <v>-119.8496976</v>
      </c>
      <c r="G347" s="13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  <c r="Z347" s="76"/>
      <c r="AA347" s="76"/>
      <c r="AB347" s="76" t="s">
        <v>358</v>
      </c>
      <c r="AC347" s="76"/>
      <c r="AD347" s="76"/>
      <c r="AE347" s="76"/>
      <c r="AF347" s="76"/>
      <c r="AG347" s="76"/>
      <c r="AH347" s="76"/>
      <c r="AI347" s="76"/>
      <c r="AJ347" s="76"/>
      <c r="AK347" s="76"/>
      <c r="AL347" s="76"/>
      <c r="AM347" s="76"/>
      <c r="AN347" s="76"/>
      <c r="AO347" s="76"/>
      <c r="AP347" s="76"/>
      <c r="AQ347" s="76"/>
      <c r="AR347" s="76"/>
      <c r="AS347" s="76"/>
      <c r="AT347" s="76"/>
      <c r="AU347" s="76"/>
      <c r="AV347" s="76"/>
      <c r="AW347" s="76"/>
      <c r="AX347" s="76"/>
      <c r="AY347" s="76"/>
      <c r="AZ347" s="76"/>
      <c r="BA347" s="76"/>
      <c r="BB347" s="76"/>
      <c r="BC347" s="76"/>
      <c r="BD347" s="76"/>
      <c r="BE347" s="76"/>
      <c r="BF347" s="76"/>
      <c r="BG347" s="76"/>
      <c r="BH347" s="76"/>
      <c r="BI347" s="76"/>
      <c r="BJ347" s="76"/>
      <c r="BK347" s="76"/>
      <c r="BL347" s="76"/>
      <c r="BM347" s="76"/>
      <c r="BN347" s="76"/>
      <c r="BO347" s="76"/>
      <c r="BP347" s="76"/>
      <c r="BQ347" s="76"/>
      <c r="BR347" s="76"/>
      <c r="BS347" s="76"/>
      <c r="BT347" s="76"/>
    </row>
    <row r="348" spans="3:72" x14ac:dyDescent="0.25">
      <c r="C348" s="135">
        <v>346</v>
      </c>
      <c r="D348" s="136"/>
      <c r="E348" s="153">
        <v>34.413586799999997</v>
      </c>
      <c r="F348" s="154">
        <v>-119.8496976</v>
      </c>
      <c r="G348" s="13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  <c r="Z348" s="76"/>
      <c r="AA348" s="76"/>
      <c r="AB348" s="76" t="s">
        <v>358</v>
      </c>
      <c r="AC348" s="76"/>
      <c r="AD348" s="76"/>
      <c r="AE348" s="76"/>
      <c r="AF348" s="76"/>
      <c r="AG348" s="76"/>
      <c r="AH348" s="76"/>
      <c r="AI348" s="76"/>
      <c r="AJ348" s="76"/>
      <c r="AK348" s="76"/>
      <c r="AL348" s="76"/>
      <c r="AM348" s="76"/>
      <c r="AN348" s="76"/>
      <c r="AO348" s="76"/>
      <c r="AP348" s="76"/>
      <c r="AQ348" s="76"/>
      <c r="AR348" s="76"/>
      <c r="AS348" s="76"/>
      <c r="AT348" s="76"/>
      <c r="AU348" s="76"/>
      <c r="AV348" s="76"/>
      <c r="AW348" s="76"/>
      <c r="AX348" s="76"/>
      <c r="AY348" s="76"/>
      <c r="AZ348" s="76"/>
      <c r="BA348" s="76"/>
      <c r="BB348" s="76"/>
      <c r="BC348" s="76"/>
      <c r="BD348" s="76"/>
      <c r="BE348" s="76"/>
      <c r="BF348" s="76"/>
      <c r="BG348" s="76"/>
      <c r="BH348" s="76"/>
      <c r="BI348" s="76"/>
      <c r="BJ348" s="76"/>
      <c r="BK348" s="76"/>
      <c r="BL348" s="76"/>
      <c r="BM348" s="76"/>
      <c r="BN348" s="76"/>
      <c r="BO348" s="76"/>
      <c r="BP348" s="76"/>
      <c r="BQ348" s="76"/>
      <c r="BR348" s="76"/>
      <c r="BS348" s="76"/>
      <c r="BT348" s="76"/>
    </row>
    <row r="349" spans="3:72" x14ac:dyDescent="0.25">
      <c r="C349" s="135">
        <v>347</v>
      </c>
      <c r="D349" s="136"/>
      <c r="E349" s="153">
        <v>34.413586799999997</v>
      </c>
      <c r="F349" s="154">
        <v>-119.8496976</v>
      </c>
      <c r="G349" s="13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  <c r="Z349" s="76"/>
      <c r="AA349" s="76"/>
      <c r="AB349" s="76" t="s">
        <v>358</v>
      </c>
      <c r="AC349" s="76"/>
      <c r="AD349" s="76"/>
      <c r="AE349" s="76"/>
      <c r="AF349" s="76"/>
      <c r="AG349" s="76"/>
      <c r="AH349" s="76"/>
      <c r="AI349" s="76"/>
      <c r="AJ349" s="76"/>
      <c r="AK349" s="76"/>
      <c r="AL349" s="76"/>
      <c r="AM349" s="76"/>
      <c r="AN349" s="76"/>
      <c r="AO349" s="76"/>
      <c r="AP349" s="76"/>
      <c r="AQ349" s="76"/>
      <c r="AR349" s="76"/>
      <c r="AS349" s="76"/>
      <c r="AT349" s="76"/>
      <c r="AU349" s="76"/>
      <c r="AV349" s="76"/>
      <c r="AW349" s="76"/>
      <c r="AX349" s="76"/>
      <c r="AY349" s="76"/>
      <c r="AZ349" s="76"/>
      <c r="BA349" s="76"/>
      <c r="BB349" s="76"/>
      <c r="BC349" s="76"/>
      <c r="BD349" s="76"/>
      <c r="BE349" s="76"/>
      <c r="BF349" s="76"/>
      <c r="BG349" s="76"/>
      <c r="BH349" s="76"/>
      <c r="BI349" s="76"/>
      <c r="BJ349" s="76"/>
      <c r="BK349" s="76"/>
      <c r="BL349" s="76"/>
      <c r="BM349" s="76"/>
      <c r="BN349" s="76"/>
      <c r="BO349" s="76"/>
      <c r="BP349" s="76"/>
      <c r="BQ349" s="76"/>
      <c r="BR349" s="76"/>
      <c r="BS349" s="76"/>
      <c r="BT349" s="76"/>
    </row>
    <row r="350" spans="3:72" x14ac:dyDescent="0.25">
      <c r="C350" s="135">
        <v>348</v>
      </c>
      <c r="D350" s="136"/>
      <c r="E350" s="153">
        <v>34.413586799999997</v>
      </c>
      <c r="F350" s="154">
        <v>-119.8496976</v>
      </c>
      <c r="G350" s="13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6" t="s">
        <v>358</v>
      </c>
      <c r="AC350" s="76"/>
      <c r="AD350" s="76"/>
      <c r="AE350" s="76"/>
      <c r="AF350" s="76"/>
      <c r="AG350" s="76"/>
      <c r="AH350" s="76"/>
      <c r="AI350" s="76"/>
      <c r="AJ350" s="76"/>
      <c r="AK350" s="76"/>
      <c r="AL350" s="76"/>
      <c r="AM350" s="76"/>
      <c r="AN350" s="76"/>
      <c r="AO350" s="76"/>
      <c r="AP350" s="76"/>
      <c r="AQ350" s="76"/>
      <c r="AR350" s="76"/>
      <c r="AS350" s="76"/>
      <c r="AT350" s="76"/>
      <c r="AU350" s="76"/>
      <c r="AV350" s="76"/>
      <c r="AW350" s="76"/>
      <c r="AX350" s="76"/>
      <c r="AY350" s="76"/>
      <c r="AZ350" s="76"/>
      <c r="BA350" s="76"/>
      <c r="BB350" s="76"/>
      <c r="BC350" s="76"/>
      <c r="BD350" s="76"/>
      <c r="BE350" s="76"/>
      <c r="BF350" s="76"/>
      <c r="BG350" s="76"/>
      <c r="BH350" s="76"/>
      <c r="BI350" s="76"/>
      <c r="BJ350" s="76"/>
      <c r="BK350" s="76"/>
      <c r="BL350" s="76"/>
      <c r="BM350" s="76"/>
      <c r="BN350" s="76"/>
      <c r="BO350" s="76"/>
      <c r="BP350" s="76"/>
      <c r="BQ350" s="76"/>
      <c r="BR350" s="76"/>
      <c r="BS350" s="76"/>
      <c r="BT350" s="76"/>
    </row>
    <row r="351" spans="3:72" x14ac:dyDescent="0.25">
      <c r="C351" s="135">
        <v>349</v>
      </c>
      <c r="D351" s="136"/>
      <c r="E351" s="153">
        <v>34.420830500000001</v>
      </c>
      <c r="F351" s="154">
        <v>-119.69819010000001</v>
      </c>
      <c r="G351" s="13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  <c r="Z351" s="76"/>
      <c r="AA351" s="76"/>
      <c r="AB351" s="76" t="s">
        <v>358</v>
      </c>
      <c r="AC351" s="76"/>
      <c r="AD351" s="76"/>
      <c r="AE351" s="76"/>
      <c r="AF351" s="76"/>
      <c r="AG351" s="76"/>
      <c r="AH351" s="76"/>
      <c r="AI351" s="76"/>
      <c r="AJ351" s="76"/>
      <c r="AK351" s="76"/>
      <c r="AL351" s="76"/>
      <c r="AM351" s="76"/>
      <c r="AN351" s="76"/>
      <c r="AO351" s="76"/>
      <c r="AP351" s="76"/>
      <c r="AQ351" s="76"/>
      <c r="AR351" s="76"/>
      <c r="AS351" s="76"/>
      <c r="AT351" s="76"/>
      <c r="AU351" s="76"/>
      <c r="AV351" s="76"/>
      <c r="AW351" s="76"/>
      <c r="AX351" s="76"/>
      <c r="AY351" s="76"/>
      <c r="AZ351" s="76"/>
      <c r="BA351" s="76"/>
      <c r="BB351" s="76"/>
      <c r="BC351" s="76"/>
      <c r="BD351" s="76"/>
      <c r="BE351" s="76"/>
      <c r="BF351" s="76"/>
      <c r="BG351" s="76"/>
      <c r="BH351" s="76"/>
      <c r="BI351" s="76"/>
      <c r="BJ351" s="76"/>
      <c r="BK351" s="76"/>
      <c r="BL351" s="76"/>
      <c r="BM351" s="76"/>
      <c r="BN351" s="76"/>
      <c r="BO351" s="76"/>
      <c r="BP351" s="76"/>
      <c r="BQ351" s="76"/>
      <c r="BR351" s="76"/>
      <c r="BS351" s="76"/>
      <c r="BT351" s="76"/>
    </row>
    <row r="352" spans="3:72" x14ac:dyDescent="0.25">
      <c r="C352" s="135">
        <v>350</v>
      </c>
      <c r="D352" s="136"/>
      <c r="E352" s="153">
        <v>36.974117100000001</v>
      </c>
      <c r="F352" s="154">
        <v>-122.03079630000001</v>
      </c>
      <c r="G352" s="13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  <c r="Z352" s="76"/>
      <c r="AA352" s="76"/>
      <c r="AB352" s="76" t="s">
        <v>358</v>
      </c>
      <c r="AC352" s="76"/>
      <c r="AD352" s="76"/>
      <c r="AE352" s="76"/>
      <c r="AF352" s="76"/>
      <c r="AG352" s="76"/>
      <c r="AH352" s="76"/>
      <c r="AI352" s="76"/>
      <c r="AJ352" s="76"/>
      <c r="AK352" s="76"/>
      <c r="AL352" s="76"/>
      <c r="AM352" s="76"/>
      <c r="AN352" s="76"/>
      <c r="AO352" s="76"/>
      <c r="AP352" s="76"/>
      <c r="AQ352" s="76"/>
      <c r="AR352" s="76"/>
      <c r="AS352" s="76"/>
      <c r="AT352" s="76"/>
      <c r="AU352" s="76"/>
      <c r="AV352" s="76"/>
      <c r="AW352" s="76"/>
      <c r="AX352" s="76"/>
      <c r="AY352" s="76"/>
      <c r="AZ352" s="76"/>
      <c r="BA352" s="76"/>
      <c r="BB352" s="76"/>
      <c r="BC352" s="76"/>
      <c r="BD352" s="76"/>
      <c r="BE352" s="76"/>
      <c r="BF352" s="76"/>
      <c r="BG352" s="76"/>
      <c r="BH352" s="76"/>
      <c r="BI352" s="76"/>
      <c r="BJ352" s="76"/>
      <c r="BK352" s="76"/>
      <c r="BL352" s="76"/>
      <c r="BM352" s="76"/>
      <c r="BN352" s="76"/>
      <c r="BO352" s="76"/>
      <c r="BP352" s="76"/>
      <c r="BQ352" s="76"/>
      <c r="BR352" s="76"/>
      <c r="BS352" s="76"/>
      <c r="BT352" s="76"/>
    </row>
    <row r="353" spans="3:72" x14ac:dyDescent="0.25">
      <c r="C353" s="135">
        <v>351</v>
      </c>
      <c r="D353" s="136"/>
      <c r="E353" s="153">
        <v>47.606209499999999</v>
      </c>
      <c r="F353" s="154">
        <v>-122.3320708</v>
      </c>
      <c r="G353" s="13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  <c r="Z353" s="76"/>
      <c r="AA353" s="76"/>
      <c r="AB353" s="76" t="s">
        <v>358</v>
      </c>
      <c r="AC353" s="76"/>
      <c r="AD353" s="76"/>
      <c r="AE353" s="76"/>
      <c r="AF353" s="76"/>
      <c r="AG353" s="76"/>
      <c r="AH353" s="76"/>
      <c r="AI353" s="76"/>
      <c r="AJ353" s="76"/>
      <c r="AK353" s="76"/>
      <c r="AL353" s="76"/>
      <c r="AM353" s="76"/>
      <c r="AN353" s="76"/>
      <c r="AO353" s="76"/>
      <c r="AP353" s="76"/>
      <c r="AQ353" s="76"/>
      <c r="AR353" s="76"/>
      <c r="AS353" s="76"/>
      <c r="AT353" s="76"/>
      <c r="AU353" s="76"/>
      <c r="AV353" s="76"/>
      <c r="AW353" s="76"/>
      <c r="AX353" s="76"/>
      <c r="AY353" s="76"/>
      <c r="AZ353" s="76"/>
      <c r="BA353" s="76"/>
      <c r="BB353" s="76"/>
      <c r="BC353" s="76"/>
      <c r="BD353" s="76"/>
      <c r="BE353" s="76"/>
      <c r="BF353" s="76"/>
      <c r="BG353" s="76"/>
      <c r="BH353" s="76"/>
      <c r="BI353" s="76"/>
      <c r="BJ353" s="76"/>
      <c r="BK353" s="76"/>
      <c r="BL353" s="76"/>
      <c r="BM353" s="76"/>
      <c r="BN353" s="76"/>
      <c r="BO353" s="76"/>
      <c r="BP353" s="76"/>
      <c r="BQ353" s="76"/>
      <c r="BR353" s="76"/>
      <c r="BS353" s="76"/>
      <c r="BT353" s="76"/>
    </row>
    <row r="354" spans="3:72" x14ac:dyDescent="0.25">
      <c r="C354" s="135">
        <v>352</v>
      </c>
      <c r="D354" s="136"/>
      <c r="E354" s="153">
        <v>47.650888199999997</v>
      </c>
      <c r="F354" s="154">
        <v>-122.3084023</v>
      </c>
      <c r="G354" s="13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  <c r="Z354" s="76"/>
      <c r="AA354" s="76"/>
      <c r="AB354" s="76" t="s">
        <v>358</v>
      </c>
      <c r="AC354" s="76"/>
      <c r="AD354" s="76"/>
      <c r="AE354" s="76"/>
      <c r="AF354" s="76"/>
      <c r="AG354" s="76"/>
      <c r="AH354" s="76"/>
      <c r="AI354" s="76"/>
      <c r="AJ354" s="76"/>
      <c r="AK354" s="76"/>
      <c r="AL354" s="76"/>
      <c r="AM354" s="76"/>
      <c r="AN354" s="76"/>
      <c r="AO354" s="76"/>
      <c r="AP354" s="76"/>
      <c r="AQ354" s="76"/>
      <c r="AR354" s="76"/>
      <c r="AS354" s="76"/>
      <c r="AT354" s="76"/>
      <c r="AU354" s="76"/>
      <c r="AV354" s="76"/>
      <c r="AW354" s="76"/>
      <c r="AX354" s="76"/>
      <c r="AY354" s="76"/>
      <c r="AZ354" s="76"/>
      <c r="BA354" s="76"/>
      <c r="BB354" s="76"/>
      <c r="BC354" s="76"/>
      <c r="BD354" s="76"/>
      <c r="BE354" s="76"/>
      <c r="BF354" s="76"/>
      <c r="BG354" s="76"/>
      <c r="BH354" s="76"/>
      <c r="BI354" s="76"/>
      <c r="BJ354" s="76"/>
      <c r="BK354" s="76"/>
      <c r="BL354" s="76"/>
      <c r="BM354" s="76"/>
      <c r="BN354" s="76"/>
      <c r="BO354" s="76"/>
      <c r="BP354" s="76"/>
      <c r="BQ354" s="76"/>
      <c r="BR354" s="76"/>
      <c r="BS354" s="76"/>
      <c r="BT354" s="76"/>
    </row>
    <row r="355" spans="3:72" x14ac:dyDescent="0.25">
      <c r="C355" s="135">
        <v>353</v>
      </c>
      <c r="D355" s="136"/>
      <c r="E355" s="153">
        <v>47.650888199999997</v>
      </c>
      <c r="F355" s="154">
        <v>-122.3084023</v>
      </c>
      <c r="G355" s="13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  <c r="Z355" s="76"/>
      <c r="AA355" s="76"/>
      <c r="AB355" s="76" t="s">
        <v>358</v>
      </c>
      <c r="AC355" s="76"/>
      <c r="AD355" s="76"/>
      <c r="AE355" s="76"/>
      <c r="AF355" s="76"/>
      <c r="AG355" s="76"/>
      <c r="AH355" s="76"/>
      <c r="AI355" s="76"/>
      <c r="AJ355" s="76"/>
      <c r="AK355" s="76"/>
      <c r="AL355" s="76"/>
      <c r="AM355" s="76"/>
      <c r="AN355" s="76"/>
      <c r="AO355" s="76"/>
      <c r="AP355" s="76"/>
      <c r="AQ355" s="76"/>
      <c r="AR355" s="76"/>
      <c r="AS355" s="76"/>
      <c r="AT355" s="76"/>
      <c r="AU355" s="76"/>
      <c r="AV355" s="76"/>
      <c r="AW355" s="76"/>
      <c r="AX355" s="76"/>
      <c r="AY355" s="76"/>
      <c r="AZ355" s="76"/>
      <c r="BA355" s="76"/>
      <c r="BB355" s="76"/>
      <c r="BC355" s="76"/>
      <c r="BD355" s="76"/>
      <c r="BE355" s="76"/>
      <c r="BF355" s="76"/>
      <c r="BG355" s="76"/>
      <c r="BH355" s="76"/>
      <c r="BI355" s="76"/>
      <c r="BJ355" s="76"/>
      <c r="BK355" s="76"/>
      <c r="BL355" s="76"/>
      <c r="BM355" s="76"/>
      <c r="BN355" s="76"/>
      <c r="BO355" s="76"/>
      <c r="BP355" s="76"/>
      <c r="BQ355" s="76"/>
      <c r="BR355" s="76"/>
      <c r="BS355" s="76"/>
      <c r="BT355" s="76"/>
    </row>
    <row r="356" spans="3:72" x14ac:dyDescent="0.25">
      <c r="C356" s="135">
        <v>354</v>
      </c>
      <c r="D356" s="136"/>
      <c r="E356" s="153">
        <v>47.650888199999997</v>
      </c>
      <c r="F356" s="154">
        <v>-122.3084023</v>
      </c>
      <c r="G356" s="13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  <c r="AA356" s="76"/>
      <c r="AB356" s="76" t="s">
        <v>358</v>
      </c>
      <c r="AC356" s="76"/>
      <c r="AD356" s="76"/>
      <c r="AE356" s="76"/>
      <c r="AF356" s="76"/>
      <c r="AG356" s="76"/>
      <c r="AH356" s="76"/>
      <c r="AI356" s="76"/>
      <c r="AJ356" s="76"/>
      <c r="AK356" s="76"/>
      <c r="AL356" s="76"/>
      <c r="AM356" s="76"/>
      <c r="AN356" s="76"/>
      <c r="AO356" s="76"/>
      <c r="AP356" s="76"/>
      <c r="AQ356" s="76"/>
      <c r="AR356" s="76"/>
      <c r="AS356" s="76"/>
      <c r="AT356" s="76"/>
      <c r="AU356" s="76"/>
      <c r="AV356" s="76"/>
      <c r="AW356" s="76"/>
      <c r="AX356" s="76"/>
      <c r="AY356" s="76"/>
      <c r="AZ356" s="76"/>
      <c r="BA356" s="76"/>
      <c r="BB356" s="76"/>
      <c r="BC356" s="76"/>
      <c r="BD356" s="76"/>
      <c r="BE356" s="76"/>
      <c r="BF356" s="76"/>
      <c r="BG356" s="76"/>
      <c r="BH356" s="76"/>
      <c r="BI356" s="76"/>
      <c r="BJ356" s="76"/>
      <c r="BK356" s="76"/>
      <c r="BL356" s="76"/>
      <c r="BM356" s="76"/>
      <c r="BN356" s="76"/>
      <c r="BO356" s="76"/>
      <c r="BP356" s="76"/>
      <c r="BQ356" s="76"/>
      <c r="BR356" s="76"/>
      <c r="BS356" s="76"/>
      <c r="BT356" s="76"/>
    </row>
    <row r="357" spans="3:72" x14ac:dyDescent="0.25">
      <c r="C357" s="135">
        <v>355</v>
      </c>
      <c r="D357" s="136"/>
      <c r="E357" s="153">
        <v>47.606209499999999</v>
      </c>
      <c r="F357" s="154">
        <v>-122.3320708</v>
      </c>
      <c r="G357" s="13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  <c r="Z357" s="76"/>
      <c r="AA357" s="76"/>
      <c r="AB357" s="76" t="s">
        <v>358</v>
      </c>
      <c r="AC357" s="76"/>
      <c r="AD357" s="76"/>
      <c r="AE357" s="76"/>
      <c r="AF357" s="76"/>
      <c r="AG357" s="76"/>
      <c r="AH357" s="76"/>
      <c r="AI357" s="76"/>
      <c r="AJ357" s="76"/>
      <c r="AK357" s="76"/>
      <c r="AL357" s="76"/>
      <c r="AM357" s="76"/>
      <c r="AN357" s="76"/>
      <c r="AO357" s="76"/>
      <c r="AP357" s="76"/>
      <c r="AQ357" s="76"/>
      <c r="AR357" s="76"/>
      <c r="AS357" s="76"/>
      <c r="AT357" s="76"/>
      <c r="AU357" s="76"/>
      <c r="AV357" s="76"/>
      <c r="AW357" s="76"/>
      <c r="AX357" s="76"/>
      <c r="AY357" s="76"/>
      <c r="AZ357" s="76"/>
      <c r="BA357" s="76"/>
      <c r="BB357" s="76"/>
      <c r="BC357" s="76"/>
      <c r="BD357" s="76"/>
      <c r="BE357" s="76"/>
      <c r="BF357" s="76"/>
      <c r="BG357" s="76"/>
      <c r="BH357" s="76"/>
      <c r="BI357" s="76"/>
      <c r="BJ357" s="76"/>
      <c r="BK357" s="76"/>
      <c r="BL357" s="76"/>
      <c r="BM357" s="76"/>
      <c r="BN357" s="76"/>
      <c r="BO357" s="76"/>
      <c r="BP357" s="76"/>
      <c r="BQ357" s="76"/>
      <c r="BR357" s="76"/>
      <c r="BS357" s="76"/>
      <c r="BT357" s="76"/>
    </row>
    <row r="358" spans="3:72" x14ac:dyDescent="0.25">
      <c r="C358" s="135">
        <v>356</v>
      </c>
      <c r="D358" s="136"/>
      <c r="E358" s="153">
        <v>47.606209499999999</v>
      </c>
      <c r="F358" s="154">
        <v>-122.3320708</v>
      </c>
      <c r="G358" s="13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  <c r="Z358" s="76"/>
      <c r="AA358" s="76"/>
      <c r="AB358" s="76" t="s">
        <v>358</v>
      </c>
      <c r="AC358" s="76"/>
      <c r="AD358" s="76"/>
      <c r="AE358" s="76"/>
      <c r="AF358" s="76"/>
      <c r="AG358" s="76"/>
      <c r="AH358" s="76"/>
      <c r="AI358" s="76"/>
      <c r="AJ358" s="76"/>
      <c r="AK358" s="76"/>
      <c r="AL358" s="76"/>
      <c r="AM358" s="76"/>
      <c r="AN358" s="76"/>
      <c r="AO358" s="76"/>
      <c r="AP358" s="76"/>
      <c r="AQ358" s="76"/>
      <c r="AR358" s="76"/>
      <c r="AS358" s="76"/>
      <c r="AT358" s="76"/>
      <c r="AU358" s="76"/>
      <c r="AV358" s="76"/>
      <c r="AW358" s="76"/>
      <c r="AX358" s="76"/>
      <c r="AY358" s="76"/>
      <c r="AZ358" s="76"/>
      <c r="BA358" s="76"/>
      <c r="BB358" s="76"/>
      <c r="BC358" s="76"/>
      <c r="BD358" s="76"/>
      <c r="BE358" s="76"/>
      <c r="BF358" s="76"/>
      <c r="BG358" s="76"/>
      <c r="BH358" s="76"/>
      <c r="BI358" s="76"/>
      <c r="BJ358" s="76"/>
      <c r="BK358" s="76"/>
      <c r="BL358" s="76"/>
      <c r="BM358" s="76"/>
      <c r="BN358" s="76"/>
      <c r="BO358" s="76"/>
      <c r="BP358" s="76"/>
      <c r="BQ358" s="76"/>
      <c r="BR358" s="76"/>
      <c r="BS358" s="76"/>
      <c r="BT358" s="76"/>
    </row>
    <row r="359" spans="3:72" x14ac:dyDescent="0.25">
      <c r="C359" s="135">
        <v>357</v>
      </c>
      <c r="D359" s="136"/>
      <c r="E359" s="153">
        <v>47.606209499999999</v>
      </c>
      <c r="F359" s="154">
        <v>-122.3320708</v>
      </c>
      <c r="G359" s="13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76" t="s">
        <v>358</v>
      </c>
      <c r="AC359" s="76"/>
      <c r="AD359" s="76"/>
      <c r="AE359" s="76"/>
      <c r="AF359" s="76"/>
      <c r="AG359" s="76"/>
      <c r="AH359" s="76"/>
      <c r="AI359" s="76"/>
      <c r="AJ359" s="76"/>
      <c r="AK359" s="76"/>
      <c r="AL359" s="76"/>
      <c r="AM359" s="76"/>
      <c r="AN359" s="76"/>
      <c r="AO359" s="76"/>
      <c r="AP359" s="76"/>
      <c r="AQ359" s="76"/>
      <c r="AR359" s="76"/>
      <c r="AS359" s="76"/>
      <c r="AT359" s="76"/>
      <c r="AU359" s="76"/>
      <c r="AV359" s="76"/>
      <c r="AW359" s="76"/>
      <c r="AX359" s="76"/>
      <c r="AY359" s="76"/>
      <c r="AZ359" s="76"/>
      <c r="BA359" s="76"/>
      <c r="BB359" s="76"/>
      <c r="BC359" s="76"/>
      <c r="BD359" s="76"/>
      <c r="BE359" s="76"/>
      <c r="BF359" s="76"/>
      <c r="BG359" s="76"/>
      <c r="BH359" s="76"/>
      <c r="BI359" s="76"/>
      <c r="BJ359" s="76"/>
      <c r="BK359" s="76"/>
      <c r="BL359" s="76"/>
      <c r="BM359" s="76"/>
      <c r="BN359" s="76"/>
      <c r="BO359" s="76"/>
      <c r="BP359" s="76"/>
      <c r="BQ359" s="76"/>
      <c r="BR359" s="76"/>
      <c r="BS359" s="76"/>
      <c r="BT359" s="76"/>
    </row>
    <row r="360" spans="3:72" x14ac:dyDescent="0.25">
      <c r="C360" s="135">
        <v>358</v>
      </c>
      <c r="D360" s="136"/>
      <c r="E360" s="153">
        <v>47.606209499999999</v>
      </c>
      <c r="F360" s="154">
        <v>-122.3320708</v>
      </c>
      <c r="G360" s="13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  <c r="AA360" s="76"/>
      <c r="AB360" s="76" t="s">
        <v>358</v>
      </c>
      <c r="AC360" s="76"/>
      <c r="AD360" s="76"/>
      <c r="AE360" s="76"/>
      <c r="AF360" s="76"/>
      <c r="AG360" s="76"/>
      <c r="AH360" s="76"/>
      <c r="AI360" s="76"/>
      <c r="AJ360" s="76"/>
      <c r="AK360" s="76"/>
      <c r="AL360" s="76"/>
      <c r="AM360" s="76"/>
      <c r="AN360" s="76"/>
      <c r="AO360" s="76"/>
      <c r="AP360" s="76"/>
      <c r="AQ360" s="76"/>
      <c r="AR360" s="76"/>
      <c r="AS360" s="76"/>
      <c r="AT360" s="76"/>
      <c r="AU360" s="76"/>
      <c r="AV360" s="76"/>
      <c r="AW360" s="76"/>
      <c r="AX360" s="76"/>
      <c r="AY360" s="76"/>
      <c r="AZ360" s="76"/>
      <c r="BA360" s="76"/>
      <c r="BB360" s="76"/>
      <c r="BC360" s="76"/>
      <c r="BD360" s="76"/>
      <c r="BE360" s="76"/>
      <c r="BF360" s="76"/>
      <c r="BG360" s="76"/>
      <c r="BH360" s="76"/>
      <c r="BI360" s="76"/>
      <c r="BJ360" s="76"/>
      <c r="BK360" s="76"/>
      <c r="BL360" s="76"/>
      <c r="BM360" s="76"/>
      <c r="BN360" s="76"/>
      <c r="BO360" s="76"/>
      <c r="BP360" s="76"/>
      <c r="BQ360" s="76"/>
      <c r="BR360" s="76"/>
      <c r="BS360" s="76"/>
      <c r="BT360" s="76"/>
    </row>
    <row r="361" spans="3:72" x14ac:dyDescent="0.25">
      <c r="C361" s="135">
        <v>359</v>
      </c>
      <c r="D361" s="136"/>
      <c r="E361" s="153">
        <v>38.990665700000001</v>
      </c>
      <c r="F361" s="154">
        <v>-77.026088000000001</v>
      </c>
      <c r="G361" s="13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  <c r="Z361" s="76"/>
      <c r="AA361" s="76"/>
      <c r="AB361" s="76" t="s">
        <v>358</v>
      </c>
      <c r="AC361" s="76"/>
      <c r="AD361" s="76"/>
      <c r="AE361" s="76"/>
      <c r="AF361" s="76"/>
      <c r="AG361" s="76"/>
      <c r="AH361" s="76"/>
      <c r="AI361" s="76"/>
      <c r="AJ361" s="76"/>
      <c r="AK361" s="76"/>
      <c r="AL361" s="76"/>
      <c r="AM361" s="76"/>
      <c r="AN361" s="76"/>
      <c r="AO361" s="76"/>
      <c r="AP361" s="76"/>
      <c r="AQ361" s="76"/>
      <c r="AR361" s="76"/>
      <c r="AS361" s="76"/>
      <c r="AT361" s="76"/>
      <c r="AU361" s="76"/>
      <c r="AV361" s="76"/>
      <c r="AW361" s="76"/>
      <c r="AX361" s="76"/>
      <c r="AY361" s="76"/>
      <c r="AZ361" s="76"/>
      <c r="BA361" s="76"/>
      <c r="BB361" s="76"/>
      <c r="BC361" s="76"/>
      <c r="BD361" s="76"/>
      <c r="BE361" s="76"/>
      <c r="BF361" s="76"/>
      <c r="BG361" s="76"/>
      <c r="BH361" s="76"/>
      <c r="BI361" s="76"/>
      <c r="BJ361" s="76"/>
      <c r="BK361" s="76"/>
      <c r="BL361" s="76"/>
      <c r="BM361" s="76"/>
      <c r="BN361" s="76"/>
      <c r="BO361" s="76"/>
      <c r="BP361" s="76"/>
      <c r="BQ361" s="76"/>
      <c r="BR361" s="76"/>
      <c r="BS361" s="76"/>
      <c r="BT361" s="76"/>
    </row>
    <row r="362" spans="3:72" x14ac:dyDescent="0.25">
      <c r="C362" s="135">
        <v>360</v>
      </c>
      <c r="D362" s="136"/>
      <c r="E362" s="153">
        <v>42.387596799999997</v>
      </c>
      <c r="F362" s="154">
        <v>-71.099496799999997</v>
      </c>
      <c r="G362" s="13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  <c r="AA362" s="76"/>
      <c r="AB362" s="76" t="s">
        <v>358</v>
      </c>
      <c r="AC362" s="76"/>
      <c r="AD362" s="76"/>
      <c r="AE362" s="76"/>
      <c r="AF362" s="76"/>
      <c r="AG362" s="76"/>
      <c r="AH362" s="76"/>
      <c r="AI362" s="76"/>
      <c r="AJ362" s="76"/>
      <c r="AK362" s="76"/>
      <c r="AL362" s="76"/>
      <c r="AM362" s="76"/>
      <c r="AN362" s="76"/>
      <c r="AO362" s="76"/>
      <c r="AP362" s="76"/>
      <c r="AQ362" s="76"/>
      <c r="AR362" s="76"/>
      <c r="AS362" s="76"/>
      <c r="AT362" s="76"/>
      <c r="AU362" s="76"/>
      <c r="AV362" s="76"/>
      <c r="AW362" s="76"/>
      <c r="AX362" s="76"/>
      <c r="AY362" s="76"/>
      <c r="AZ362" s="76"/>
      <c r="BA362" s="76"/>
      <c r="BB362" s="76"/>
      <c r="BC362" s="76"/>
      <c r="BD362" s="76"/>
      <c r="BE362" s="76"/>
      <c r="BF362" s="76"/>
      <c r="BG362" s="76"/>
      <c r="BH362" s="76"/>
      <c r="BI362" s="76"/>
      <c r="BJ362" s="76"/>
      <c r="BK362" s="76"/>
      <c r="BL362" s="76"/>
      <c r="BM362" s="76"/>
      <c r="BN362" s="76"/>
      <c r="BO362" s="76"/>
      <c r="BP362" s="76"/>
      <c r="BQ362" s="76"/>
      <c r="BR362" s="76"/>
      <c r="BS362" s="76"/>
      <c r="BT362" s="76"/>
    </row>
    <row r="363" spans="3:72" x14ac:dyDescent="0.25">
      <c r="C363" s="135">
        <v>361</v>
      </c>
      <c r="D363" s="136"/>
      <c r="E363" s="153">
        <v>30.079940499999999</v>
      </c>
      <c r="F363" s="154">
        <v>-95.417160100000004</v>
      </c>
      <c r="G363" s="13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6" t="s">
        <v>358</v>
      </c>
      <c r="AC363" s="76"/>
      <c r="AD363" s="76"/>
      <c r="AE363" s="76"/>
      <c r="AF363" s="76"/>
      <c r="AG363" s="76"/>
      <c r="AH363" s="76"/>
      <c r="AI363" s="76"/>
      <c r="AJ363" s="76"/>
      <c r="AK363" s="76"/>
      <c r="AL363" s="76"/>
      <c r="AM363" s="76"/>
      <c r="AN363" s="76"/>
      <c r="AO363" s="76"/>
      <c r="AP363" s="76"/>
      <c r="AQ363" s="76"/>
      <c r="AR363" s="76"/>
      <c r="AS363" s="76"/>
      <c r="AT363" s="76"/>
      <c r="AU363" s="76"/>
      <c r="AV363" s="76"/>
      <c r="AW363" s="76"/>
      <c r="AX363" s="76"/>
      <c r="AY363" s="76"/>
      <c r="AZ363" s="76"/>
      <c r="BA363" s="76"/>
      <c r="BB363" s="76"/>
      <c r="BC363" s="76"/>
      <c r="BD363" s="76"/>
      <c r="BE363" s="76"/>
      <c r="BF363" s="76"/>
      <c r="BG363" s="76"/>
      <c r="BH363" s="76"/>
      <c r="BI363" s="76"/>
      <c r="BJ363" s="76"/>
      <c r="BK363" s="76"/>
      <c r="BL363" s="76"/>
      <c r="BM363" s="76"/>
      <c r="BN363" s="76"/>
      <c r="BO363" s="76"/>
      <c r="BP363" s="76"/>
      <c r="BQ363" s="76"/>
      <c r="BR363" s="76"/>
      <c r="BS363" s="76"/>
      <c r="BT363" s="76"/>
    </row>
    <row r="364" spans="3:72" x14ac:dyDescent="0.25">
      <c r="C364" s="135">
        <v>362</v>
      </c>
      <c r="D364" s="136"/>
      <c r="E364" s="153">
        <v>39.552281499999999</v>
      </c>
      <c r="F364" s="154">
        <v>-84.233271799999997</v>
      </c>
      <c r="G364" s="13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6" t="s">
        <v>358</v>
      </c>
      <c r="AC364" s="76"/>
      <c r="AD364" s="76"/>
      <c r="AE364" s="76"/>
      <c r="AF364" s="76"/>
      <c r="AG364" s="76"/>
      <c r="AH364" s="76"/>
      <c r="AI364" s="76"/>
      <c r="AJ364" s="76"/>
      <c r="AK364" s="76"/>
      <c r="AL364" s="76"/>
      <c r="AM364" s="76"/>
      <c r="AN364" s="76"/>
      <c r="AO364" s="76"/>
      <c r="AP364" s="76"/>
      <c r="AQ364" s="76"/>
      <c r="AR364" s="76"/>
      <c r="AS364" s="76"/>
      <c r="AT364" s="76"/>
      <c r="AU364" s="76"/>
      <c r="AV364" s="76"/>
      <c r="AW364" s="76"/>
      <c r="AX364" s="76"/>
      <c r="AY364" s="76"/>
      <c r="AZ364" s="76"/>
      <c r="BA364" s="76"/>
      <c r="BB364" s="76"/>
      <c r="BC364" s="76"/>
      <c r="BD364" s="76"/>
      <c r="BE364" s="76"/>
      <c r="BF364" s="76"/>
      <c r="BG364" s="76"/>
      <c r="BH364" s="76"/>
      <c r="BI364" s="76"/>
      <c r="BJ364" s="76"/>
      <c r="BK364" s="76"/>
      <c r="BL364" s="76"/>
      <c r="BM364" s="76"/>
      <c r="BN364" s="76"/>
      <c r="BO364" s="76"/>
      <c r="BP364" s="76"/>
      <c r="BQ364" s="76"/>
      <c r="BR364" s="76"/>
      <c r="BS364" s="76"/>
      <c r="BT364" s="76"/>
    </row>
    <row r="365" spans="3:72" x14ac:dyDescent="0.25">
      <c r="C365" s="135">
        <v>363</v>
      </c>
      <c r="D365" s="136"/>
      <c r="E365" s="153">
        <v>45.176615200000001</v>
      </c>
      <c r="F365" s="154">
        <v>-92.577832999999998</v>
      </c>
      <c r="G365" s="13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  <c r="Z365" s="76"/>
      <c r="AA365" s="76"/>
      <c r="AB365" s="76" t="s">
        <v>358</v>
      </c>
      <c r="AC365" s="76"/>
      <c r="AD365" s="76"/>
      <c r="AE365" s="76"/>
      <c r="AF365" s="76"/>
      <c r="AG365" s="76"/>
      <c r="AH365" s="76"/>
      <c r="AI365" s="76"/>
      <c r="AJ365" s="76"/>
      <c r="AK365" s="76"/>
      <c r="AL365" s="76"/>
      <c r="AM365" s="76"/>
      <c r="AN365" s="76"/>
      <c r="AO365" s="76"/>
      <c r="AP365" s="76"/>
      <c r="AQ365" s="76"/>
      <c r="AR365" s="76"/>
      <c r="AS365" s="76"/>
      <c r="AT365" s="76"/>
      <c r="AU365" s="76"/>
      <c r="AV365" s="76"/>
      <c r="AW365" s="76"/>
      <c r="AX365" s="76"/>
      <c r="AY365" s="76"/>
      <c r="AZ365" s="76"/>
      <c r="BA365" s="76"/>
      <c r="BB365" s="76"/>
      <c r="BC365" s="76"/>
      <c r="BD365" s="76"/>
      <c r="BE365" s="76"/>
      <c r="BF365" s="76"/>
      <c r="BG365" s="76"/>
      <c r="BH365" s="76"/>
      <c r="BI365" s="76"/>
      <c r="BJ365" s="76"/>
      <c r="BK365" s="76"/>
      <c r="BL365" s="76"/>
      <c r="BM365" s="76"/>
      <c r="BN365" s="76"/>
      <c r="BO365" s="76"/>
      <c r="BP365" s="76"/>
      <c r="BQ365" s="76"/>
      <c r="BR365" s="76"/>
      <c r="BS365" s="76"/>
      <c r="BT365" s="76"/>
    </row>
    <row r="366" spans="3:72" x14ac:dyDescent="0.25">
      <c r="C366" s="135">
        <v>364</v>
      </c>
      <c r="D366" s="136"/>
      <c r="E366" s="153">
        <v>40.793394900000003</v>
      </c>
      <c r="F366" s="154">
        <v>-77.860001199999999</v>
      </c>
      <c r="G366" s="13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  <c r="Z366" s="76"/>
      <c r="AA366" s="76"/>
      <c r="AB366" s="76" t="s">
        <v>358</v>
      </c>
      <c r="AC366" s="76"/>
      <c r="AD366" s="76"/>
      <c r="AE366" s="76"/>
      <c r="AF366" s="76"/>
      <c r="AG366" s="76"/>
      <c r="AH366" s="76"/>
      <c r="AI366" s="76"/>
      <c r="AJ366" s="76"/>
      <c r="AK366" s="76"/>
      <c r="AL366" s="76"/>
      <c r="AM366" s="76"/>
      <c r="AN366" s="76"/>
      <c r="AO366" s="76"/>
      <c r="AP366" s="76"/>
      <c r="AQ366" s="76"/>
      <c r="AR366" s="76"/>
      <c r="AS366" s="76"/>
      <c r="AT366" s="76"/>
      <c r="AU366" s="76"/>
      <c r="AV366" s="76"/>
      <c r="AW366" s="76"/>
      <c r="AX366" s="76"/>
      <c r="AY366" s="76"/>
      <c r="AZ366" s="76"/>
      <c r="BA366" s="76"/>
      <c r="BB366" s="76"/>
      <c r="BC366" s="76"/>
      <c r="BD366" s="76"/>
      <c r="BE366" s="76"/>
      <c r="BF366" s="76"/>
      <c r="BG366" s="76"/>
      <c r="BH366" s="76"/>
      <c r="BI366" s="76"/>
      <c r="BJ366" s="76"/>
      <c r="BK366" s="76"/>
      <c r="BL366" s="76"/>
      <c r="BM366" s="76"/>
      <c r="BN366" s="76"/>
      <c r="BO366" s="76"/>
      <c r="BP366" s="76"/>
      <c r="BQ366" s="76"/>
      <c r="BR366" s="76"/>
      <c r="BS366" s="76"/>
      <c r="BT366" s="76"/>
    </row>
    <row r="367" spans="3:72" x14ac:dyDescent="0.25">
      <c r="C367" s="135">
        <v>365</v>
      </c>
      <c r="D367" s="136"/>
      <c r="E367" s="153">
        <v>40.793394900000003</v>
      </c>
      <c r="F367" s="154">
        <v>-77.860001199999999</v>
      </c>
      <c r="G367" s="13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  <c r="Z367" s="76"/>
      <c r="AA367" s="76"/>
      <c r="AB367" s="76" t="s">
        <v>358</v>
      </c>
      <c r="AC367" s="76"/>
      <c r="AD367" s="76"/>
      <c r="AE367" s="76"/>
      <c r="AF367" s="76"/>
      <c r="AG367" s="76"/>
      <c r="AH367" s="76"/>
      <c r="AI367" s="76"/>
      <c r="AJ367" s="76"/>
      <c r="AK367" s="76"/>
      <c r="AL367" s="76"/>
      <c r="AM367" s="76"/>
      <c r="AN367" s="76"/>
      <c r="AO367" s="76"/>
      <c r="AP367" s="76"/>
      <c r="AQ367" s="76"/>
      <c r="AR367" s="76"/>
      <c r="AS367" s="76"/>
      <c r="AT367" s="76"/>
      <c r="AU367" s="76"/>
      <c r="AV367" s="76"/>
      <c r="AW367" s="76"/>
      <c r="AX367" s="76"/>
      <c r="AY367" s="76"/>
      <c r="AZ367" s="76"/>
      <c r="BA367" s="76"/>
      <c r="BB367" s="76"/>
      <c r="BC367" s="76"/>
      <c r="BD367" s="76"/>
      <c r="BE367" s="76"/>
      <c r="BF367" s="76"/>
      <c r="BG367" s="76"/>
      <c r="BH367" s="76"/>
      <c r="BI367" s="76"/>
      <c r="BJ367" s="76"/>
      <c r="BK367" s="76"/>
      <c r="BL367" s="76"/>
      <c r="BM367" s="76"/>
      <c r="BN367" s="76"/>
      <c r="BO367" s="76"/>
      <c r="BP367" s="76"/>
      <c r="BQ367" s="76"/>
      <c r="BR367" s="76"/>
      <c r="BS367" s="76"/>
      <c r="BT367" s="76"/>
    </row>
    <row r="368" spans="3:72" x14ac:dyDescent="0.25">
      <c r="C368" s="135">
        <v>366</v>
      </c>
      <c r="D368" s="136"/>
      <c r="E368" s="153">
        <v>40.793394900000003</v>
      </c>
      <c r="F368" s="154">
        <v>-77.860001199999999</v>
      </c>
      <c r="G368" s="13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  <c r="Z368" s="76"/>
      <c r="AA368" s="76"/>
      <c r="AB368" s="76" t="s">
        <v>358</v>
      </c>
      <c r="AC368" s="76"/>
      <c r="AD368" s="76"/>
      <c r="AE368" s="76"/>
      <c r="AF368" s="76"/>
      <c r="AG368" s="76"/>
      <c r="AH368" s="76"/>
      <c r="AI368" s="76"/>
      <c r="AJ368" s="76"/>
      <c r="AK368" s="76"/>
      <c r="AL368" s="76"/>
      <c r="AM368" s="76"/>
      <c r="AN368" s="76"/>
      <c r="AO368" s="76"/>
      <c r="AP368" s="76"/>
      <c r="AQ368" s="76"/>
      <c r="AR368" s="76"/>
      <c r="AS368" s="76"/>
      <c r="AT368" s="76"/>
      <c r="AU368" s="76"/>
      <c r="AV368" s="76"/>
      <c r="AW368" s="76"/>
      <c r="AX368" s="76"/>
      <c r="AY368" s="76"/>
      <c r="AZ368" s="76"/>
      <c r="BA368" s="76"/>
      <c r="BB368" s="76"/>
      <c r="BC368" s="76"/>
      <c r="BD368" s="76"/>
      <c r="BE368" s="76"/>
      <c r="BF368" s="76"/>
      <c r="BG368" s="76"/>
      <c r="BH368" s="76"/>
      <c r="BI368" s="76"/>
      <c r="BJ368" s="76"/>
      <c r="BK368" s="76"/>
      <c r="BL368" s="76"/>
      <c r="BM368" s="76"/>
      <c r="BN368" s="76"/>
      <c r="BO368" s="76"/>
      <c r="BP368" s="76"/>
      <c r="BQ368" s="76"/>
      <c r="BR368" s="76"/>
      <c r="BS368" s="76"/>
      <c r="BT368" s="76"/>
    </row>
    <row r="369" spans="3:72" x14ac:dyDescent="0.25">
      <c r="C369" s="135">
        <v>367</v>
      </c>
      <c r="D369" s="136"/>
      <c r="E369" s="153">
        <v>42.470943699999999</v>
      </c>
      <c r="F369" s="154">
        <v>-70.917556200000007</v>
      </c>
      <c r="G369" s="13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  <c r="Z369" s="76"/>
      <c r="AA369" s="76"/>
      <c r="AB369" s="76" t="s">
        <v>358</v>
      </c>
      <c r="AC369" s="76"/>
      <c r="AD369" s="76"/>
      <c r="AE369" s="76"/>
      <c r="AF369" s="76"/>
      <c r="AG369" s="76"/>
      <c r="AH369" s="76"/>
      <c r="AI369" s="76"/>
      <c r="AJ369" s="76"/>
      <c r="AK369" s="76"/>
      <c r="AL369" s="76"/>
      <c r="AM369" s="76"/>
      <c r="AN369" s="76"/>
      <c r="AO369" s="76"/>
      <c r="AP369" s="76"/>
      <c r="AQ369" s="76"/>
      <c r="AR369" s="76"/>
      <c r="AS369" s="76"/>
      <c r="AT369" s="76"/>
      <c r="AU369" s="76"/>
      <c r="AV369" s="76"/>
      <c r="AW369" s="76"/>
      <c r="AX369" s="76"/>
      <c r="AY369" s="76"/>
      <c r="AZ369" s="76"/>
      <c r="BA369" s="76"/>
      <c r="BB369" s="76"/>
      <c r="BC369" s="76"/>
      <c r="BD369" s="76"/>
      <c r="BE369" s="76"/>
      <c r="BF369" s="76"/>
      <c r="BG369" s="76"/>
      <c r="BH369" s="76"/>
      <c r="BI369" s="76"/>
      <c r="BJ369" s="76"/>
      <c r="BK369" s="76"/>
      <c r="BL369" s="76"/>
      <c r="BM369" s="76"/>
      <c r="BN369" s="76"/>
      <c r="BO369" s="76"/>
      <c r="BP369" s="76"/>
      <c r="BQ369" s="76"/>
      <c r="BR369" s="76"/>
      <c r="BS369" s="76"/>
      <c r="BT369" s="76"/>
    </row>
    <row r="370" spans="3:72" x14ac:dyDescent="0.25">
      <c r="C370" s="135">
        <v>368</v>
      </c>
      <c r="D370" s="136"/>
      <c r="E370" s="153">
        <v>33.436665499999997</v>
      </c>
      <c r="F370" s="154">
        <v>-111.94032540000001</v>
      </c>
      <c r="G370" s="13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76" t="s">
        <v>358</v>
      </c>
      <c r="AC370" s="76"/>
      <c r="AD370" s="76"/>
      <c r="AE370" s="76"/>
      <c r="AF370" s="76"/>
      <c r="AG370" s="76"/>
      <c r="AH370" s="76"/>
      <c r="AI370" s="76"/>
      <c r="AJ370" s="76"/>
      <c r="AK370" s="76"/>
      <c r="AL370" s="76"/>
      <c r="AM370" s="76"/>
      <c r="AN370" s="76"/>
      <c r="AO370" s="76"/>
      <c r="AP370" s="76"/>
      <c r="AQ370" s="76"/>
      <c r="AR370" s="76"/>
      <c r="AS370" s="76"/>
      <c r="AT370" s="76"/>
      <c r="AU370" s="76"/>
      <c r="AV370" s="76"/>
      <c r="AW370" s="76"/>
      <c r="AX370" s="76"/>
      <c r="AY370" s="76"/>
      <c r="AZ370" s="76"/>
      <c r="BA370" s="76"/>
      <c r="BB370" s="76"/>
      <c r="BC370" s="76"/>
      <c r="BD370" s="76"/>
      <c r="BE370" s="76"/>
      <c r="BF370" s="76"/>
      <c r="BG370" s="76"/>
      <c r="BH370" s="76"/>
      <c r="BI370" s="76"/>
      <c r="BJ370" s="76"/>
      <c r="BK370" s="76"/>
      <c r="BL370" s="76"/>
      <c r="BM370" s="76"/>
      <c r="BN370" s="76"/>
      <c r="BO370" s="76"/>
      <c r="BP370" s="76"/>
      <c r="BQ370" s="76"/>
      <c r="BR370" s="76"/>
      <c r="BS370" s="76"/>
      <c r="BT370" s="76"/>
    </row>
    <row r="371" spans="3:72" x14ac:dyDescent="0.25">
      <c r="C371" s="135">
        <v>369</v>
      </c>
      <c r="D371" s="136"/>
      <c r="E371" s="153">
        <v>33.812429399999999</v>
      </c>
      <c r="F371" s="154">
        <v>-84.420959499999995</v>
      </c>
      <c r="G371" s="13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  <c r="Z371" s="76"/>
      <c r="AA371" s="76"/>
      <c r="AB371" s="76" t="s">
        <v>358</v>
      </c>
      <c r="AC371" s="76"/>
      <c r="AD371" s="76"/>
      <c r="AE371" s="76"/>
      <c r="AF371" s="76"/>
      <c r="AG371" s="76"/>
      <c r="AH371" s="76"/>
      <c r="AI371" s="76"/>
      <c r="AJ371" s="76"/>
      <c r="AK371" s="76"/>
      <c r="AL371" s="76"/>
      <c r="AM371" s="76"/>
      <c r="AN371" s="76"/>
      <c r="AO371" s="76"/>
      <c r="AP371" s="76"/>
      <c r="AQ371" s="76"/>
      <c r="AR371" s="76"/>
      <c r="AS371" s="76"/>
      <c r="AT371" s="76"/>
      <c r="AU371" s="76"/>
      <c r="AV371" s="76"/>
      <c r="AW371" s="76"/>
      <c r="AX371" s="76"/>
      <c r="AY371" s="76"/>
      <c r="AZ371" s="76"/>
      <c r="BA371" s="76"/>
      <c r="BB371" s="76"/>
      <c r="BC371" s="76"/>
      <c r="BD371" s="76"/>
      <c r="BE371" s="76"/>
      <c r="BF371" s="76"/>
      <c r="BG371" s="76"/>
      <c r="BH371" s="76"/>
      <c r="BI371" s="76"/>
      <c r="BJ371" s="76"/>
      <c r="BK371" s="76"/>
      <c r="BL371" s="76"/>
      <c r="BM371" s="76"/>
      <c r="BN371" s="76"/>
      <c r="BO371" s="76"/>
      <c r="BP371" s="76"/>
      <c r="BQ371" s="76"/>
      <c r="BR371" s="76"/>
      <c r="BS371" s="76"/>
      <c r="BT371" s="76"/>
    </row>
    <row r="372" spans="3:72" x14ac:dyDescent="0.25">
      <c r="C372" s="135">
        <v>370</v>
      </c>
      <c r="D372" s="136"/>
      <c r="E372" s="153">
        <v>33.812429399999999</v>
      </c>
      <c r="F372" s="154">
        <v>-84.420959499999995</v>
      </c>
      <c r="G372" s="13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  <c r="Z372" s="76"/>
      <c r="AA372" s="76"/>
      <c r="AB372" s="76" t="s">
        <v>358</v>
      </c>
      <c r="AC372" s="76"/>
      <c r="AD372" s="76"/>
      <c r="AE372" s="76"/>
      <c r="AF372" s="76"/>
      <c r="AG372" s="76"/>
      <c r="AH372" s="76"/>
      <c r="AI372" s="76"/>
      <c r="AJ372" s="76"/>
      <c r="AK372" s="76"/>
      <c r="AL372" s="76"/>
      <c r="AM372" s="76"/>
      <c r="AN372" s="76"/>
      <c r="AO372" s="76"/>
      <c r="AP372" s="76"/>
      <c r="AQ372" s="76"/>
      <c r="AR372" s="76"/>
      <c r="AS372" s="76"/>
      <c r="AT372" s="76"/>
      <c r="AU372" s="76"/>
      <c r="AV372" s="76"/>
      <c r="AW372" s="76"/>
      <c r="AX372" s="76"/>
      <c r="AY372" s="76"/>
      <c r="AZ372" s="76"/>
      <c r="BA372" s="76"/>
      <c r="BB372" s="76"/>
      <c r="BC372" s="76"/>
      <c r="BD372" s="76"/>
      <c r="BE372" s="76"/>
      <c r="BF372" s="76"/>
      <c r="BG372" s="76"/>
      <c r="BH372" s="76"/>
      <c r="BI372" s="76"/>
      <c r="BJ372" s="76"/>
      <c r="BK372" s="76"/>
      <c r="BL372" s="76"/>
      <c r="BM372" s="76"/>
      <c r="BN372" s="76"/>
      <c r="BO372" s="76"/>
      <c r="BP372" s="76"/>
      <c r="BQ372" s="76"/>
      <c r="BR372" s="76"/>
      <c r="BS372" s="76"/>
      <c r="BT372" s="76"/>
    </row>
    <row r="373" spans="3:72" x14ac:dyDescent="0.25">
      <c r="C373" s="135">
        <v>371</v>
      </c>
      <c r="D373" s="136"/>
      <c r="E373" s="153">
        <v>37.926329500000001</v>
      </c>
      <c r="F373" s="154">
        <v>-122.3848897</v>
      </c>
      <c r="G373" s="13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76" t="s">
        <v>358</v>
      </c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W373" s="76"/>
      <c r="AX373" s="76"/>
      <c r="AY373" s="76"/>
      <c r="AZ373" s="76"/>
      <c r="BA373" s="76"/>
      <c r="BB373" s="76"/>
      <c r="BC373" s="76"/>
      <c r="BD373" s="76"/>
      <c r="BE373" s="76"/>
      <c r="BF373" s="76"/>
      <c r="BG373" s="76"/>
      <c r="BH373" s="76"/>
      <c r="BI373" s="76"/>
      <c r="BJ373" s="76"/>
      <c r="BK373" s="76"/>
      <c r="BL373" s="76"/>
      <c r="BM373" s="76"/>
      <c r="BN373" s="76"/>
      <c r="BO373" s="76"/>
      <c r="BP373" s="76"/>
      <c r="BQ373" s="76"/>
      <c r="BR373" s="76"/>
      <c r="BS373" s="76"/>
      <c r="BT373" s="76"/>
    </row>
    <row r="374" spans="3:72" x14ac:dyDescent="0.25">
      <c r="C374" s="135">
        <v>372</v>
      </c>
      <c r="D374" s="136"/>
      <c r="E374" s="153">
        <v>41.652805200000003</v>
      </c>
      <c r="F374" s="154">
        <v>-83.537867399999996</v>
      </c>
      <c r="G374" s="13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  <c r="Z374" s="76"/>
      <c r="AA374" s="76"/>
      <c r="AB374" s="76" t="s">
        <v>358</v>
      </c>
      <c r="AC374" s="76"/>
      <c r="AD374" s="76"/>
      <c r="AE374" s="76"/>
      <c r="AF374" s="76"/>
      <c r="AG374" s="76"/>
      <c r="AH374" s="76"/>
      <c r="AI374" s="76"/>
      <c r="AJ374" s="76"/>
      <c r="AK374" s="76"/>
      <c r="AL374" s="76"/>
      <c r="AM374" s="76"/>
      <c r="AN374" s="76"/>
      <c r="AO374" s="76"/>
      <c r="AP374" s="76"/>
      <c r="AQ374" s="76"/>
      <c r="AR374" s="76"/>
      <c r="AS374" s="76"/>
      <c r="AT374" s="76"/>
      <c r="AU374" s="76"/>
      <c r="AV374" s="76"/>
      <c r="AW374" s="76"/>
      <c r="AX374" s="76"/>
      <c r="AY374" s="76"/>
      <c r="AZ374" s="76"/>
      <c r="BA374" s="76"/>
      <c r="BB374" s="76"/>
      <c r="BC374" s="76"/>
      <c r="BD374" s="76"/>
      <c r="BE374" s="76"/>
      <c r="BF374" s="76"/>
      <c r="BG374" s="76"/>
      <c r="BH374" s="76"/>
      <c r="BI374" s="76"/>
      <c r="BJ374" s="76"/>
      <c r="BK374" s="76"/>
      <c r="BL374" s="76"/>
      <c r="BM374" s="76"/>
      <c r="BN374" s="76"/>
      <c r="BO374" s="76"/>
      <c r="BP374" s="76"/>
      <c r="BQ374" s="76"/>
      <c r="BR374" s="76"/>
      <c r="BS374" s="76"/>
      <c r="BT374" s="76"/>
    </row>
    <row r="375" spans="3:72" x14ac:dyDescent="0.25">
      <c r="C375" s="135">
        <v>373</v>
      </c>
      <c r="D375" s="136"/>
      <c r="E375" s="153">
        <v>41.652805200000003</v>
      </c>
      <c r="F375" s="154">
        <v>-83.537867399999996</v>
      </c>
      <c r="G375" s="13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76" t="s">
        <v>358</v>
      </c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W375" s="76"/>
      <c r="AX375" s="76"/>
      <c r="AY375" s="76"/>
      <c r="AZ375" s="76"/>
      <c r="BA375" s="76"/>
      <c r="BB375" s="76"/>
      <c r="BC375" s="76"/>
      <c r="BD375" s="76"/>
      <c r="BE375" s="76"/>
      <c r="BF375" s="76"/>
      <c r="BG375" s="76"/>
      <c r="BH375" s="76"/>
      <c r="BI375" s="76"/>
      <c r="BJ375" s="76"/>
      <c r="BK375" s="76"/>
      <c r="BL375" s="76"/>
      <c r="BM375" s="76"/>
      <c r="BN375" s="76"/>
      <c r="BO375" s="76"/>
      <c r="BP375" s="76"/>
      <c r="BQ375" s="76"/>
      <c r="BR375" s="76"/>
      <c r="BS375" s="76"/>
      <c r="BT375" s="76"/>
    </row>
    <row r="376" spans="3:72" x14ac:dyDescent="0.25">
      <c r="C376" s="135">
        <v>374</v>
      </c>
      <c r="D376" s="136"/>
      <c r="E376" s="153">
        <v>32.233284099999999</v>
      </c>
      <c r="F376" s="154">
        <v>-110.9488008</v>
      </c>
      <c r="G376" s="13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76" t="s">
        <v>358</v>
      </c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/>
      <c r="AW376" s="76"/>
      <c r="AX376" s="76"/>
      <c r="AY376" s="76"/>
      <c r="AZ376" s="76"/>
      <c r="BA376" s="76"/>
      <c r="BB376" s="76"/>
      <c r="BC376" s="76"/>
      <c r="BD376" s="76"/>
      <c r="BE376" s="76"/>
      <c r="BF376" s="76"/>
      <c r="BG376" s="76"/>
      <c r="BH376" s="76"/>
      <c r="BI376" s="76"/>
      <c r="BJ376" s="76"/>
      <c r="BK376" s="76"/>
      <c r="BL376" s="76"/>
      <c r="BM376" s="76"/>
      <c r="BN376" s="76"/>
      <c r="BO376" s="76"/>
      <c r="BP376" s="76"/>
      <c r="BQ376" s="76"/>
      <c r="BR376" s="76"/>
      <c r="BS376" s="76"/>
      <c r="BT376" s="76"/>
    </row>
    <row r="377" spans="3:72" x14ac:dyDescent="0.25">
      <c r="C377" s="135">
        <v>375</v>
      </c>
      <c r="D377" s="136"/>
      <c r="E377" s="153">
        <v>38.907192299999998</v>
      </c>
      <c r="F377" s="154">
        <v>-77.036870699999994</v>
      </c>
      <c r="G377" s="13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76" t="s">
        <v>358</v>
      </c>
      <c r="AC377" s="76"/>
      <c r="AD377" s="76"/>
      <c r="AE377" s="76"/>
      <c r="AF377" s="76"/>
      <c r="AG377" s="76"/>
      <c r="AH377" s="76"/>
      <c r="AI377" s="76"/>
      <c r="AJ377" s="76"/>
      <c r="AK377" s="76"/>
      <c r="AL377" s="76"/>
      <c r="AM377" s="76"/>
      <c r="AN377" s="76"/>
      <c r="AO377" s="76"/>
      <c r="AP377" s="76"/>
      <c r="AQ377" s="76"/>
      <c r="AR377" s="76"/>
      <c r="AS377" s="76"/>
      <c r="AT377" s="76"/>
      <c r="AU377" s="76"/>
      <c r="AV377" s="76"/>
      <c r="AW377" s="76"/>
      <c r="AX377" s="76"/>
      <c r="AY377" s="76"/>
      <c r="AZ377" s="76"/>
      <c r="BA377" s="76"/>
      <c r="BB377" s="76"/>
      <c r="BC377" s="76"/>
      <c r="BD377" s="76"/>
      <c r="BE377" s="76"/>
      <c r="BF377" s="76"/>
      <c r="BG377" s="76"/>
      <c r="BH377" s="76"/>
      <c r="BI377" s="76"/>
      <c r="BJ377" s="76"/>
      <c r="BK377" s="76"/>
      <c r="BL377" s="76"/>
      <c r="BM377" s="76"/>
      <c r="BN377" s="76"/>
      <c r="BO377" s="76"/>
      <c r="BP377" s="76"/>
      <c r="BQ377" s="76"/>
      <c r="BR377" s="76"/>
      <c r="BS377" s="76"/>
      <c r="BT377" s="76"/>
    </row>
    <row r="378" spans="3:72" x14ac:dyDescent="0.25">
      <c r="C378" s="135">
        <v>376</v>
      </c>
      <c r="D378" s="136"/>
      <c r="E378" s="153">
        <v>38.907192299999998</v>
      </c>
      <c r="F378" s="154">
        <v>-77.036870699999994</v>
      </c>
      <c r="G378" s="13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76" t="s">
        <v>358</v>
      </c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  <c r="BS378" s="76"/>
      <c r="BT378" s="76"/>
    </row>
    <row r="379" spans="3:72" x14ac:dyDescent="0.25">
      <c r="C379" s="135">
        <v>377</v>
      </c>
      <c r="D379" s="136"/>
      <c r="E379" s="153">
        <v>38.907192299999998</v>
      </c>
      <c r="F379" s="154">
        <v>-77.036870699999994</v>
      </c>
      <c r="G379" s="13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  <c r="AA379" s="76"/>
      <c r="AB379" s="76" t="s">
        <v>358</v>
      </c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  <c r="BS379" s="76"/>
      <c r="BT379" s="76"/>
    </row>
    <row r="380" spans="3:72" x14ac:dyDescent="0.25">
      <c r="C380" s="135">
        <v>378</v>
      </c>
      <c r="D380" s="136"/>
      <c r="E380" s="153">
        <v>38.907192299999998</v>
      </c>
      <c r="F380" s="154">
        <v>-77.036870699999994</v>
      </c>
      <c r="G380" s="13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6" t="s">
        <v>358</v>
      </c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  <c r="BS380" s="76"/>
      <c r="BT380" s="76"/>
    </row>
    <row r="381" spans="3:72" x14ac:dyDescent="0.25">
      <c r="C381" s="135">
        <v>379</v>
      </c>
      <c r="D381" s="136"/>
      <c r="E381" s="153">
        <v>38.907192299999998</v>
      </c>
      <c r="F381" s="154">
        <v>-77.036870699999994</v>
      </c>
      <c r="G381" s="13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  <c r="AA381" s="76"/>
      <c r="AB381" s="76" t="s">
        <v>358</v>
      </c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  <c r="BS381" s="76"/>
      <c r="BT381" s="76"/>
    </row>
    <row r="382" spans="3:72" x14ac:dyDescent="0.25">
      <c r="C382" s="135">
        <v>380</v>
      </c>
      <c r="D382" s="136"/>
      <c r="E382" s="153">
        <v>38.907192299999998</v>
      </c>
      <c r="F382" s="154">
        <v>-77.036870699999994</v>
      </c>
      <c r="G382" s="13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  <c r="Z382" s="76"/>
      <c r="AA382" s="76"/>
      <c r="AB382" s="76" t="s">
        <v>358</v>
      </c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  <c r="BS382" s="76"/>
      <c r="BT382" s="76"/>
    </row>
    <row r="383" spans="3:72" x14ac:dyDescent="0.25">
      <c r="C383" s="135">
        <v>381</v>
      </c>
      <c r="D383" s="136"/>
      <c r="E383" s="153">
        <v>40.741001500000003</v>
      </c>
      <c r="F383" s="154">
        <v>-74.177421499999994</v>
      </c>
      <c r="G383" s="13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76" t="s">
        <v>358</v>
      </c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  <c r="BS383" s="76"/>
      <c r="BT383" s="76"/>
    </row>
    <row r="384" spans="3:72" x14ac:dyDescent="0.25">
      <c r="C384" s="135">
        <v>382</v>
      </c>
      <c r="D384" s="136"/>
      <c r="E384" s="153">
        <v>39.744655000000002</v>
      </c>
      <c r="F384" s="154">
        <v>-75.548390900000001</v>
      </c>
      <c r="G384" s="13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  <c r="Z384" s="76"/>
      <c r="AA384" s="76"/>
      <c r="AB384" s="76" t="s">
        <v>358</v>
      </c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  <c r="BS384" s="76"/>
      <c r="BT384" s="76"/>
    </row>
    <row r="385" spans="3:72" x14ac:dyDescent="0.25">
      <c r="C385" s="143">
        <v>383</v>
      </c>
      <c r="D385" s="144"/>
      <c r="E385" s="157">
        <v>42.214206400000002</v>
      </c>
      <c r="F385" s="158">
        <v>-83.149923900000005</v>
      </c>
      <c r="G385" s="13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  <c r="Z385" s="76"/>
      <c r="AA385" s="76"/>
      <c r="AB385" s="76" t="s">
        <v>358</v>
      </c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  <c r="BS385" s="76"/>
      <c r="BT385" s="76"/>
    </row>
    <row r="386" spans="3:72" x14ac:dyDescent="0.25">
      <c r="C386" s="135"/>
      <c r="D386" s="136"/>
      <c r="E386" s="153"/>
      <c r="F386" s="153"/>
      <c r="G386" s="13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  <c r="Z386" s="76"/>
      <c r="AA386" s="76"/>
      <c r="AB386" s="76" t="s">
        <v>358</v>
      </c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  <c r="BS386" s="76"/>
      <c r="BT386" s="76"/>
    </row>
    <row r="387" spans="3:72" x14ac:dyDescent="0.25">
      <c r="C387" s="135"/>
      <c r="D387" s="136"/>
      <c r="E387" s="153"/>
      <c r="F387" s="153"/>
      <c r="G387" s="13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76" t="s">
        <v>358</v>
      </c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  <c r="BS387" s="76"/>
      <c r="BT387" s="76"/>
    </row>
    <row r="388" spans="3:72" x14ac:dyDescent="0.25">
      <c r="C388" s="135"/>
      <c r="D388" s="136"/>
      <c r="E388" s="153"/>
      <c r="F388" s="153"/>
      <c r="G388" s="13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76" t="s">
        <v>358</v>
      </c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  <c r="BS388" s="76"/>
      <c r="BT388" s="76"/>
    </row>
    <row r="389" spans="3:72" x14ac:dyDescent="0.25">
      <c r="C389" s="135"/>
      <c r="D389" s="136"/>
      <c r="E389" s="153"/>
      <c r="F389" s="153"/>
      <c r="G389" s="13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76" t="s">
        <v>358</v>
      </c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  <c r="BS389" s="76"/>
      <c r="BT389" s="76"/>
    </row>
    <row r="390" spans="3:72" x14ac:dyDescent="0.25">
      <c r="C390" s="135"/>
      <c r="D390" s="136"/>
      <c r="E390" s="153"/>
      <c r="F390" s="153"/>
      <c r="G390" s="13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  <c r="Z390" s="76"/>
      <c r="AA390" s="76"/>
      <c r="AB390" s="76" t="s">
        <v>358</v>
      </c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  <c r="BS390" s="76"/>
      <c r="BT390" s="76"/>
    </row>
    <row r="391" spans="3:72" x14ac:dyDescent="0.25">
      <c r="C391" s="135"/>
      <c r="D391" s="136"/>
      <c r="E391" s="153"/>
      <c r="F391" s="153"/>
      <c r="G391" s="13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76" t="s">
        <v>358</v>
      </c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  <c r="BS391" s="76"/>
      <c r="BT391" s="76"/>
    </row>
    <row r="392" spans="3:72" x14ac:dyDescent="0.25">
      <c r="C392" s="135"/>
      <c r="D392" s="136"/>
      <c r="E392" s="153"/>
      <c r="F392" s="153"/>
      <c r="G392" s="13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76" t="s">
        <v>358</v>
      </c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  <c r="BS392" s="76"/>
      <c r="BT392" s="76"/>
    </row>
    <row r="393" spans="3:72" x14ac:dyDescent="0.25">
      <c r="C393" s="135"/>
      <c r="D393" s="136"/>
      <c r="E393" s="153"/>
      <c r="F393" s="153"/>
      <c r="G393" s="13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76" t="s">
        <v>358</v>
      </c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  <c r="BS393" s="76"/>
      <c r="BT393" s="76"/>
    </row>
    <row r="394" spans="3:72" x14ac:dyDescent="0.25">
      <c r="C394" s="135"/>
      <c r="D394" s="136"/>
      <c r="E394" s="153"/>
      <c r="F394" s="153"/>
      <c r="G394" s="13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76" t="s">
        <v>358</v>
      </c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  <c r="BS394" s="76"/>
      <c r="BT394" s="76"/>
    </row>
    <row r="395" spans="3:72" x14ac:dyDescent="0.25">
      <c r="C395" s="135"/>
      <c r="D395" s="136"/>
      <c r="E395" s="153"/>
      <c r="F395" s="153"/>
      <c r="G395" s="13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76" t="s">
        <v>358</v>
      </c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  <c r="BS395" s="76"/>
      <c r="BT395" s="76"/>
    </row>
    <row r="396" spans="3:72" x14ac:dyDescent="0.25">
      <c r="C396" s="135"/>
      <c r="D396" s="136"/>
      <c r="E396" s="153"/>
      <c r="F396" s="153"/>
      <c r="G396" s="13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76" t="s">
        <v>358</v>
      </c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  <c r="BS396" s="76"/>
      <c r="BT396" s="76"/>
    </row>
    <row r="397" spans="3:72" x14ac:dyDescent="0.25">
      <c r="C397" s="135"/>
      <c r="D397" s="136"/>
      <c r="E397" s="153"/>
      <c r="F397" s="153"/>
      <c r="G397" s="13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6" t="s">
        <v>358</v>
      </c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  <c r="BS397" s="76"/>
      <c r="BT397" s="76"/>
    </row>
    <row r="398" spans="3:72" x14ac:dyDescent="0.25">
      <c r="C398" s="135"/>
      <c r="D398" s="136"/>
      <c r="E398" s="153"/>
      <c r="F398" s="153"/>
      <c r="G398" s="13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  <c r="Z398" s="76"/>
      <c r="AA398" s="76"/>
      <c r="AB398" s="76" t="s">
        <v>358</v>
      </c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  <c r="BS398" s="76"/>
      <c r="BT398" s="76"/>
    </row>
    <row r="399" spans="3:72" x14ac:dyDescent="0.25">
      <c r="C399" s="135"/>
      <c r="D399" s="136"/>
      <c r="E399" s="153"/>
      <c r="F399" s="153"/>
      <c r="G399" s="13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  <c r="Z399" s="76"/>
      <c r="AA399" s="76"/>
      <c r="AB399" s="76" t="s">
        <v>358</v>
      </c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  <c r="BS399" s="76"/>
      <c r="BT399" s="76"/>
    </row>
    <row r="400" spans="3:72" x14ac:dyDescent="0.25">
      <c r="C400" s="135"/>
      <c r="D400" s="136"/>
      <c r="E400" s="153"/>
      <c r="F400" s="153"/>
      <c r="G400" s="13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  <c r="Z400" s="76"/>
      <c r="AA400" s="76"/>
      <c r="AB400" s="76" t="s">
        <v>358</v>
      </c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  <c r="BS400" s="76"/>
      <c r="BT400" s="76"/>
    </row>
    <row r="401" spans="3:72" x14ac:dyDescent="0.25">
      <c r="C401" s="135"/>
      <c r="D401" s="136"/>
      <c r="E401" s="153"/>
      <c r="F401" s="153"/>
      <c r="G401" s="13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6" t="s">
        <v>358</v>
      </c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  <c r="BS401" s="76"/>
      <c r="BT401" s="76"/>
    </row>
    <row r="402" spans="3:72" x14ac:dyDescent="0.25">
      <c r="C402" s="135"/>
      <c r="D402" s="136"/>
      <c r="E402" s="153"/>
      <c r="F402" s="153"/>
      <c r="G402" s="13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76" t="s">
        <v>358</v>
      </c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  <c r="BS402" s="76"/>
      <c r="BT402" s="76"/>
    </row>
    <row r="403" spans="3:72" x14ac:dyDescent="0.25">
      <c r="C403" s="135"/>
      <c r="D403" s="136"/>
      <c r="E403" s="153"/>
      <c r="F403" s="153"/>
      <c r="G403" s="13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76" t="s">
        <v>358</v>
      </c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  <c r="BS403" s="76"/>
      <c r="BT403" s="76"/>
    </row>
    <row r="404" spans="3:72" x14ac:dyDescent="0.25">
      <c r="C404" s="135"/>
      <c r="D404" s="136"/>
      <c r="E404" s="153"/>
      <c r="F404" s="153"/>
      <c r="G404" s="13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  <c r="AA404" s="76"/>
      <c r="AB404" s="76" t="s">
        <v>358</v>
      </c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  <c r="BS404" s="76"/>
      <c r="BT404" s="76"/>
    </row>
    <row r="405" spans="3:72" x14ac:dyDescent="0.25">
      <c r="C405" s="135"/>
      <c r="D405" s="136"/>
      <c r="E405" s="153"/>
      <c r="F405" s="153"/>
      <c r="G405" s="13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  <c r="Z405" s="76"/>
      <c r="AA405" s="76"/>
      <c r="AB405" s="76" t="s">
        <v>358</v>
      </c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  <c r="BS405" s="76"/>
      <c r="BT405" s="76"/>
    </row>
    <row r="406" spans="3:72" x14ac:dyDescent="0.25">
      <c r="C406" s="135"/>
      <c r="D406" s="136"/>
      <c r="E406" s="153"/>
      <c r="F406" s="153"/>
      <c r="G406" s="13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  <c r="AA406" s="76"/>
      <c r="AB406" s="76" t="s">
        <v>358</v>
      </c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  <c r="BS406" s="76"/>
      <c r="BT406" s="76"/>
    </row>
    <row r="407" spans="3:72" x14ac:dyDescent="0.25">
      <c r="C407" s="135"/>
      <c r="D407" s="136"/>
      <c r="E407" s="153"/>
      <c r="F407" s="153"/>
      <c r="G407" s="13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/>
      <c r="AA407" s="76"/>
      <c r="AB407" s="76" t="s">
        <v>358</v>
      </c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  <c r="BS407" s="76"/>
      <c r="BT407" s="76"/>
    </row>
    <row r="408" spans="3:72" x14ac:dyDescent="0.25">
      <c r="C408" s="135"/>
      <c r="D408" s="136"/>
      <c r="E408" s="153"/>
      <c r="F408" s="153"/>
      <c r="G408" s="13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 t="s">
        <v>358</v>
      </c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  <c r="BS408" s="76"/>
      <c r="BT408" s="76"/>
    </row>
    <row r="409" spans="3:72" x14ac:dyDescent="0.25">
      <c r="C409" s="135"/>
      <c r="D409" s="136"/>
      <c r="E409" s="153"/>
      <c r="F409" s="153"/>
      <c r="G409" s="13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6" t="s">
        <v>358</v>
      </c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  <c r="BS409" s="76"/>
      <c r="BT409" s="76"/>
    </row>
    <row r="410" spans="3:72" x14ac:dyDescent="0.25">
      <c r="C410" s="135"/>
      <c r="D410" s="136"/>
      <c r="E410" s="153"/>
      <c r="F410" s="153"/>
      <c r="G410" s="13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  <c r="AA410" s="76"/>
      <c r="AB410" s="76" t="s">
        <v>358</v>
      </c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  <c r="BS410" s="76"/>
      <c r="BT410" s="76"/>
    </row>
    <row r="411" spans="3:72" x14ac:dyDescent="0.25">
      <c r="C411" s="135"/>
      <c r="D411" s="136"/>
      <c r="E411" s="153"/>
      <c r="F411" s="153"/>
      <c r="G411" s="13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  <c r="AA411" s="76"/>
      <c r="AB411" s="76" t="s">
        <v>358</v>
      </c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  <c r="BS411" s="76"/>
      <c r="BT411" s="76"/>
    </row>
    <row r="412" spans="3:72" x14ac:dyDescent="0.25">
      <c r="C412" s="135"/>
      <c r="D412" s="136"/>
      <c r="E412" s="153"/>
      <c r="F412" s="153"/>
      <c r="G412" s="13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6" t="s">
        <v>358</v>
      </c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  <c r="BS412" s="76"/>
      <c r="BT412" s="76"/>
    </row>
    <row r="413" spans="3:72" x14ac:dyDescent="0.25">
      <c r="C413" s="135"/>
      <c r="D413" s="136"/>
      <c r="E413" s="153"/>
      <c r="F413" s="153"/>
      <c r="G413" s="13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6" t="s">
        <v>358</v>
      </c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  <c r="BS413" s="76"/>
      <c r="BT413" s="76"/>
    </row>
    <row r="414" spans="3:72" x14ac:dyDescent="0.25">
      <c r="C414" s="135"/>
      <c r="D414" s="136"/>
      <c r="E414" s="153"/>
      <c r="F414" s="153"/>
      <c r="G414" s="13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6" t="s">
        <v>358</v>
      </c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  <c r="BS414" s="76"/>
      <c r="BT414" s="76"/>
    </row>
    <row r="415" spans="3:72" x14ac:dyDescent="0.25">
      <c r="C415" s="135"/>
      <c r="D415" s="136"/>
      <c r="E415" s="153"/>
      <c r="F415" s="153"/>
      <c r="G415" s="13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76" t="s">
        <v>358</v>
      </c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  <c r="BS415" s="76"/>
      <c r="BT415" s="76"/>
    </row>
    <row r="416" spans="3:72" x14ac:dyDescent="0.25">
      <c r="C416" s="135"/>
      <c r="D416" s="136"/>
      <c r="E416" s="153"/>
      <c r="F416" s="153"/>
      <c r="G416" s="13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  <c r="AA416" s="76"/>
      <c r="AB416" s="76" t="s">
        <v>358</v>
      </c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  <c r="BS416" s="76"/>
      <c r="BT416" s="76"/>
    </row>
    <row r="417" spans="3:72" x14ac:dyDescent="0.25">
      <c r="C417" s="135"/>
      <c r="D417" s="136"/>
      <c r="E417" s="153"/>
      <c r="F417" s="153"/>
      <c r="G417" s="13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76" t="s">
        <v>358</v>
      </c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  <c r="BS417" s="76"/>
      <c r="BT417" s="76"/>
    </row>
    <row r="418" spans="3:72" x14ac:dyDescent="0.25">
      <c r="C418" s="135"/>
      <c r="D418" s="136"/>
      <c r="E418" s="153"/>
      <c r="F418" s="153"/>
      <c r="G418" s="13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76" t="s">
        <v>358</v>
      </c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  <c r="BS418" s="76"/>
      <c r="BT418" s="76"/>
    </row>
    <row r="419" spans="3:72" x14ac:dyDescent="0.25">
      <c r="C419" s="135"/>
      <c r="D419" s="136"/>
      <c r="E419" s="153"/>
      <c r="F419" s="153"/>
      <c r="G419" s="13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6" t="s">
        <v>358</v>
      </c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  <c r="BS419" s="76"/>
      <c r="BT419" s="76"/>
    </row>
    <row r="420" spans="3:72" x14ac:dyDescent="0.25">
      <c r="C420" s="135"/>
      <c r="D420" s="136"/>
      <c r="E420" s="153"/>
      <c r="F420" s="153"/>
      <c r="G420" s="13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76" t="s">
        <v>358</v>
      </c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  <c r="BS420" s="76"/>
      <c r="BT420" s="76"/>
    </row>
    <row r="421" spans="3:72" x14ac:dyDescent="0.25">
      <c r="C421" s="135"/>
      <c r="D421" s="136"/>
      <c r="E421" s="153"/>
      <c r="F421" s="153"/>
      <c r="G421" s="13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6" t="s">
        <v>358</v>
      </c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  <c r="BS421" s="76"/>
      <c r="BT421" s="76"/>
    </row>
    <row r="422" spans="3:72" x14ac:dyDescent="0.25">
      <c r="C422" s="135"/>
      <c r="D422" s="136"/>
      <c r="E422" s="153"/>
      <c r="F422" s="153"/>
      <c r="G422" s="13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 t="s">
        <v>358</v>
      </c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  <c r="BS422" s="76"/>
      <c r="BT422" s="76"/>
    </row>
    <row r="423" spans="3:72" x14ac:dyDescent="0.25">
      <c r="C423" s="135"/>
      <c r="D423" s="136"/>
      <c r="E423" s="153"/>
      <c r="F423" s="153"/>
      <c r="G423" s="13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6" t="s">
        <v>358</v>
      </c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  <c r="BS423" s="76"/>
      <c r="BT423" s="76"/>
    </row>
    <row r="424" spans="3:72" x14ac:dyDescent="0.25">
      <c r="C424" s="135"/>
      <c r="D424" s="136"/>
      <c r="E424" s="153"/>
      <c r="F424" s="153"/>
      <c r="G424" s="13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6" t="s">
        <v>358</v>
      </c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  <c r="BS424" s="76"/>
      <c r="BT424" s="76"/>
    </row>
    <row r="425" spans="3:72" x14ac:dyDescent="0.25">
      <c r="C425" s="135"/>
      <c r="D425" s="136"/>
      <c r="E425" s="153"/>
      <c r="F425" s="153"/>
      <c r="G425" s="13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 t="s">
        <v>358</v>
      </c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  <c r="BS425" s="76"/>
      <c r="BT425" s="76"/>
    </row>
    <row r="426" spans="3:72" x14ac:dyDescent="0.25">
      <c r="C426" s="135"/>
      <c r="D426" s="136"/>
      <c r="E426" s="153"/>
      <c r="F426" s="153"/>
      <c r="G426" s="13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 t="s">
        <v>358</v>
      </c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  <c r="BS426" s="76"/>
      <c r="BT426" s="76"/>
    </row>
    <row r="427" spans="3:72" x14ac:dyDescent="0.25">
      <c r="C427" s="135"/>
      <c r="D427" s="136"/>
      <c r="E427" s="153"/>
      <c r="F427" s="153"/>
      <c r="G427" s="13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6" t="s">
        <v>358</v>
      </c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  <c r="BS427" s="76"/>
      <c r="BT427" s="76"/>
    </row>
    <row r="428" spans="3:72" x14ac:dyDescent="0.25">
      <c r="C428" s="135"/>
      <c r="D428" s="136"/>
      <c r="E428" s="153"/>
      <c r="F428" s="153"/>
      <c r="G428" s="13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  <c r="AA428" s="76"/>
      <c r="AB428" s="76" t="s">
        <v>358</v>
      </c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  <c r="BS428" s="76"/>
      <c r="BT428" s="76"/>
    </row>
    <row r="429" spans="3:72" x14ac:dyDescent="0.25">
      <c r="C429" s="135"/>
      <c r="D429" s="136"/>
      <c r="E429" s="153"/>
      <c r="F429" s="153"/>
      <c r="G429" s="13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 t="s">
        <v>358</v>
      </c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  <c r="BS429" s="76"/>
      <c r="BT429" s="76"/>
    </row>
    <row r="430" spans="3:72" x14ac:dyDescent="0.25">
      <c r="C430" s="135"/>
      <c r="D430" s="136"/>
      <c r="E430" s="153"/>
      <c r="F430" s="153"/>
      <c r="G430" s="13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6" t="s">
        <v>358</v>
      </c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  <c r="BS430" s="76"/>
      <c r="BT430" s="76"/>
    </row>
    <row r="431" spans="3:72" x14ac:dyDescent="0.25">
      <c r="C431" s="135"/>
      <c r="D431" s="136"/>
      <c r="E431" s="153"/>
      <c r="F431" s="153"/>
      <c r="G431" s="13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6" t="s">
        <v>358</v>
      </c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  <c r="BS431" s="76"/>
      <c r="BT431" s="76"/>
    </row>
    <row r="432" spans="3:72" x14ac:dyDescent="0.25">
      <c r="C432" s="135"/>
      <c r="D432" s="136"/>
      <c r="E432" s="153"/>
      <c r="F432" s="153"/>
      <c r="G432" s="13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 t="s">
        <v>358</v>
      </c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  <c r="BS432" s="76"/>
      <c r="BT432" s="76"/>
    </row>
    <row r="433" spans="3:72" x14ac:dyDescent="0.25">
      <c r="C433" s="135"/>
      <c r="D433" s="136"/>
      <c r="E433" s="153"/>
      <c r="F433" s="153"/>
      <c r="G433" s="13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6" t="s">
        <v>358</v>
      </c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  <c r="BS433" s="76"/>
      <c r="BT433" s="76"/>
    </row>
    <row r="434" spans="3:72" x14ac:dyDescent="0.25">
      <c r="C434" s="135"/>
      <c r="D434" s="136"/>
      <c r="E434" s="153"/>
      <c r="F434" s="153"/>
      <c r="G434" s="13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  <c r="AA434" s="76"/>
      <c r="AB434" s="76" t="s">
        <v>358</v>
      </c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  <c r="BS434" s="76"/>
      <c r="BT434" s="76"/>
    </row>
    <row r="435" spans="3:72" x14ac:dyDescent="0.25">
      <c r="C435" s="135"/>
      <c r="D435" s="136"/>
      <c r="E435" s="153"/>
      <c r="F435" s="153"/>
      <c r="G435" s="13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6" t="s">
        <v>358</v>
      </c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  <c r="BS435" s="76"/>
      <c r="BT435" s="76"/>
    </row>
    <row r="436" spans="3:72" x14ac:dyDescent="0.25">
      <c r="C436" s="135"/>
      <c r="D436" s="136"/>
      <c r="E436" s="153"/>
      <c r="F436" s="153"/>
      <c r="G436" s="13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  <c r="AA436" s="76"/>
      <c r="AB436" s="76" t="s">
        <v>358</v>
      </c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  <c r="BS436" s="76"/>
      <c r="BT436" s="76"/>
    </row>
    <row r="437" spans="3:72" x14ac:dyDescent="0.25">
      <c r="C437" s="135"/>
      <c r="D437" s="136"/>
      <c r="E437" s="153"/>
      <c r="F437" s="153"/>
      <c r="G437" s="13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6" t="s">
        <v>358</v>
      </c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</row>
    <row r="438" spans="3:72" x14ac:dyDescent="0.25">
      <c r="C438" s="135"/>
      <c r="D438" s="136"/>
      <c r="E438" s="153"/>
      <c r="F438" s="153"/>
      <c r="G438" s="13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  <c r="AA438" s="76"/>
      <c r="AB438" s="76" t="s">
        <v>358</v>
      </c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</row>
    <row r="439" spans="3:72" x14ac:dyDescent="0.25">
      <c r="C439" s="135"/>
      <c r="D439" s="136"/>
      <c r="E439" s="153"/>
      <c r="F439" s="153"/>
      <c r="G439" s="13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 t="s">
        <v>358</v>
      </c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</row>
    <row r="440" spans="3:72" x14ac:dyDescent="0.25">
      <c r="C440" s="135"/>
      <c r="D440" s="136"/>
      <c r="E440" s="153"/>
      <c r="F440" s="153"/>
      <c r="G440" s="13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6" t="s">
        <v>358</v>
      </c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</row>
    <row r="441" spans="3:72" x14ac:dyDescent="0.25">
      <c r="C441" s="135"/>
      <c r="D441" s="136"/>
      <c r="E441" s="153"/>
      <c r="F441" s="153"/>
      <c r="G441" s="13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6" t="s">
        <v>358</v>
      </c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</row>
    <row r="442" spans="3:72" x14ac:dyDescent="0.25">
      <c r="C442" s="135"/>
      <c r="D442" s="136"/>
      <c r="E442" s="153"/>
      <c r="F442" s="153"/>
      <c r="G442" s="13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6" t="s">
        <v>358</v>
      </c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</row>
    <row r="443" spans="3:72" x14ac:dyDescent="0.25">
      <c r="C443" s="135"/>
      <c r="D443" s="136"/>
      <c r="E443" s="153"/>
      <c r="F443" s="153"/>
      <c r="G443" s="13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6" t="s">
        <v>358</v>
      </c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</row>
    <row r="444" spans="3:72" x14ac:dyDescent="0.25">
      <c r="C444" s="135"/>
      <c r="D444" s="136"/>
      <c r="E444" s="153"/>
      <c r="F444" s="153"/>
      <c r="G444" s="13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  <c r="AA444" s="76"/>
      <c r="AB444" s="76" t="s">
        <v>358</v>
      </c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</row>
    <row r="445" spans="3:72" x14ac:dyDescent="0.25">
      <c r="C445" s="135"/>
      <c r="D445" s="136"/>
      <c r="E445" s="153"/>
      <c r="F445" s="153"/>
      <c r="G445" s="13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6" t="s">
        <v>358</v>
      </c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</row>
    <row r="446" spans="3:72" x14ac:dyDescent="0.25">
      <c r="C446" s="135"/>
      <c r="D446" s="136"/>
      <c r="E446" s="153"/>
      <c r="F446" s="153"/>
      <c r="G446" s="13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6" t="s">
        <v>358</v>
      </c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</row>
    <row r="447" spans="3:72" x14ac:dyDescent="0.25">
      <c r="C447" s="135"/>
      <c r="D447" s="136"/>
      <c r="E447" s="153"/>
      <c r="F447" s="153"/>
      <c r="G447" s="13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6" t="s">
        <v>358</v>
      </c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</row>
    <row r="448" spans="3:72" x14ac:dyDescent="0.25">
      <c r="C448" s="135"/>
      <c r="D448" s="136"/>
      <c r="E448" s="153"/>
      <c r="F448" s="153"/>
      <c r="G448" s="13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  <c r="Z448" s="76"/>
      <c r="AA448" s="76"/>
      <c r="AB448" s="76" t="s">
        <v>358</v>
      </c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</row>
    <row r="449" spans="3:72" x14ac:dyDescent="0.25">
      <c r="C449" s="135"/>
      <c r="D449" s="136"/>
      <c r="E449" s="153"/>
      <c r="F449" s="153"/>
      <c r="G449" s="13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  <c r="AA449" s="76"/>
      <c r="AB449" s="76" t="s">
        <v>358</v>
      </c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</row>
    <row r="450" spans="3:72" x14ac:dyDescent="0.25">
      <c r="C450" s="135"/>
      <c r="D450" s="136"/>
      <c r="E450" s="153"/>
      <c r="F450" s="153"/>
      <c r="G450" s="13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76" t="s">
        <v>358</v>
      </c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</row>
    <row r="451" spans="3:72" x14ac:dyDescent="0.25">
      <c r="C451" s="135"/>
      <c r="D451" s="136"/>
      <c r="E451" s="153"/>
      <c r="F451" s="153"/>
      <c r="G451" s="13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  <c r="AA451" s="76"/>
      <c r="AB451" s="76" t="s">
        <v>358</v>
      </c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</row>
    <row r="452" spans="3:72" x14ac:dyDescent="0.25">
      <c r="C452" s="135"/>
      <c r="D452" s="136"/>
      <c r="E452" s="153"/>
      <c r="F452" s="153"/>
      <c r="G452" s="13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  <c r="AA452" s="76"/>
      <c r="AB452" s="76" t="s">
        <v>358</v>
      </c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</row>
    <row r="453" spans="3:72" x14ac:dyDescent="0.25">
      <c r="C453" s="135"/>
      <c r="D453" s="136"/>
      <c r="E453" s="153"/>
      <c r="F453" s="153"/>
      <c r="G453" s="13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  <c r="Z453" s="76"/>
      <c r="AA453" s="76"/>
      <c r="AB453" s="76" t="s">
        <v>358</v>
      </c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</row>
    <row r="454" spans="3:72" x14ac:dyDescent="0.25">
      <c r="C454" s="135"/>
      <c r="D454" s="136"/>
      <c r="E454" s="153"/>
      <c r="F454" s="153"/>
      <c r="G454" s="13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  <c r="AA454" s="76"/>
      <c r="AB454" s="76" t="s">
        <v>358</v>
      </c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</row>
    <row r="455" spans="3:72" x14ac:dyDescent="0.25">
      <c r="C455" s="135"/>
      <c r="D455" s="136"/>
      <c r="E455" s="153"/>
      <c r="F455" s="153"/>
      <c r="G455" s="13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  <c r="AA455" s="76"/>
      <c r="AB455" s="76" t="s">
        <v>358</v>
      </c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</row>
    <row r="456" spans="3:72" x14ac:dyDescent="0.25">
      <c r="C456" s="135"/>
      <c r="D456" s="136"/>
      <c r="E456" s="153"/>
      <c r="F456" s="153"/>
      <c r="G456" s="13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  <c r="AA456" s="76"/>
      <c r="AB456" s="76" t="s">
        <v>358</v>
      </c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</row>
    <row r="457" spans="3:72" x14ac:dyDescent="0.25">
      <c r="C457" s="135"/>
      <c r="D457" s="136"/>
      <c r="E457" s="153"/>
      <c r="F457" s="153"/>
      <c r="G457" s="13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  <c r="AA457" s="76"/>
      <c r="AB457" s="76" t="s">
        <v>358</v>
      </c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</row>
    <row r="458" spans="3:72" x14ac:dyDescent="0.25">
      <c r="C458" s="135"/>
      <c r="D458" s="136"/>
      <c r="E458" s="153"/>
      <c r="F458" s="153"/>
      <c r="G458" s="13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  <c r="Z458" s="76"/>
      <c r="AA458" s="76"/>
      <c r="AB458" s="76" t="s">
        <v>358</v>
      </c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</row>
    <row r="459" spans="3:72" x14ac:dyDescent="0.25">
      <c r="C459" s="135"/>
      <c r="D459" s="136"/>
      <c r="E459" s="153"/>
      <c r="F459" s="153"/>
      <c r="G459" s="13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  <c r="AA459" s="76"/>
      <c r="AB459" s="76" t="s">
        <v>358</v>
      </c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</row>
    <row r="460" spans="3:72" x14ac:dyDescent="0.25">
      <c r="C460" s="135"/>
      <c r="D460" s="136"/>
      <c r="E460" s="153"/>
      <c r="F460" s="153"/>
      <c r="G460" s="13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  <c r="Z460" s="76"/>
      <c r="AA460" s="76"/>
      <c r="AB460" s="76" t="s">
        <v>358</v>
      </c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</row>
    <row r="461" spans="3:72" x14ac:dyDescent="0.25">
      <c r="C461" s="135"/>
      <c r="D461" s="136"/>
      <c r="E461" s="153"/>
      <c r="F461" s="153"/>
      <c r="G461" s="13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  <c r="AA461" s="76"/>
      <c r="AB461" s="76" t="s">
        <v>358</v>
      </c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</row>
    <row r="462" spans="3:72" x14ac:dyDescent="0.25">
      <c r="C462" s="135"/>
      <c r="D462" s="136"/>
      <c r="E462" s="153"/>
      <c r="F462" s="153"/>
      <c r="G462" s="13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6" t="s">
        <v>358</v>
      </c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</row>
    <row r="463" spans="3:72" x14ac:dyDescent="0.25">
      <c r="C463" s="135"/>
      <c r="D463" s="136"/>
      <c r="E463" s="153"/>
      <c r="F463" s="153"/>
      <c r="G463" s="13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  <c r="AA463" s="76"/>
      <c r="AB463" s="76" t="s">
        <v>358</v>
      </c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</row>
    <row r="464" spans="3:72" x14ac:dyDescent="0.25">
      <c r="C464" s="135"/>
      <c r="D464" s="136"/>
      <c r="E464" s="153"/>
      <c r="F464" s="153"/>
      <c r="G464" s="13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6" t="s">
        <v>358</v>
      </c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</row>
    <row r="465" spans="3:72" x14ac:dyDescent="0.25">
      <c r="C465" s="135"/>
      <c r="D465" s="136"/>
      <c r="E465" s="153"/>
      <c r="F465" s="153"/>
      <c r="G465" s="13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6" t="s">
        <v>358</v>
      </c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</row>
    <row r="466" spans="3:72" x14ac:dyDescent="0.25">
      <c r="C466" s="135"/>
      <c r="D466" s="136"/>
      <c r="E466" s="153"/>
      <c r="F466" s="153"/>
      <c r="G466" s="13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  <c r="AA466" s="76"/>
      <c r="AB466" s="76" t="s">
        <v>358</v>
      </c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</row>
    <row r="467" spans="3:72" x14ac:dyDescent="0.25">
      <c r="C467" s="135"/>
      <c r="D467" s="136"/>
      <c r="E467" s="153"/>
      <c r="F467" s="153"/>
      <c r="G467" s="13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6" t="s">
        <v>358</v>
      </c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</row>
    <row r="468" spans="3:72" x14ac:dyDescent="0.25">
      <c r="C468" s="135"/>
      <c r="D468" s="136"/>
      <c r="E468" s="153"/>
      <c r="F468" s="153"/>
      <c r="G468" s="13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  <c r="AA468" s="76"/>
      <c r="AB468" s="76" t="s">
        <v>358</v>
      </c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</row>
    <row r="469" spans="3:72" x14ac:dyDescent="0.25">
      <c r="C469" s="135"/>
      <c r="D469" s="136"/>
      <c r="E469" s="153"/>
      <c r="F469" s="153"/>
      <c r="G469" s="13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  <c r="Z469" s="76"/>
      <c r="AA469" s="76"/>
      <c r="AB469" s="76" t="s">
        <v>358</v>
      </c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</row>
    <row r="470" spans="3:72" x14ac:dyDescent="0.25">
      <c r="C470" s="135"/>
      <c r="D470" s="136"/>
      <c r="E470" s="153"/>
      <c r="F470" s="153"/>
      <c r="G470" s="13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  <c r="AA470" s="76"/>
      <c r="AB470" s="76" t="s">
        <v>358</v>
      </c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</row>
    <row r="471" spans="3:72" x14ac:dyDescent="0.25">
      <c r="C471" s="135"/>
      <c r="D471" s="136"/>
      <c r="E471" s="153"/>
      <c r="F471" s="153"/>
      <c r="G471" s="13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  <c r="AA471" s="76"/>
      <c r="AB471" s="76" t="s">
        <v>358</v>
      </c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</row>
    <row r="472" spans="3:72" x14ac:dyDescent="0.25">
      <c r="C472" s="135"/>
      <c r="D472" s="136"/>
      <c r="E472" s="153"/>
      <c r="F472" s="153"/>
      <c r="G472" s="13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  <c r="Z472" s="76"/>
      <c r="AA472" s="76"/>
      <c r="AB472" s="76" t="s">
        <v>358</v>
      </c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</row>
    <row r="473" spans="3:72" x14ac:dyDescent="0.25">
      <c r="C473" s="135"/>
      <c r="D473" s="136"/>
      <c r="E473" s="153"/>
      <c r="F473" s="153"/>
      <c r="G473" s="13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  <c r="Z473" s="76"/>
      <c r="AA473" s="76"/>
      <c r="AB473" s="76" t="s">
        <v>358</v>
      </c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</row>
    <row r="474" spans="3:72" x14ac:dyDescent="0.25">
      <c r="C474" s="135"/>
      <c r="D474" s="136"/>
      <c r="E474" s="153"/>
      <c r="F474" s="153"/>
      <c r="G474" s="13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  <c r="Z474" s="76"/>
      <c r="AA474" s="76"/>
      <c r="AB474" s="76" t="s">
        <v>358</v>
      </c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</row>
    <row r="475" spans="3:72" x14ac:dyDescent="0.25">
      <c r="C475" s="135"/>
      <c r="D475" s="136"/>
      <c r="E475" s="153"/>
      <c r="F475" s="153"/>
      <c r="G475" s="13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/>
      <c r="AA475" s="76"/>
      <c r="AB475" s="76" t="s">
        <v>358</v>
      </c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</row>
    <row r="476" spans="3:72" x14ac:dyDescent="0.25">
      <c r="C476" s="135"/>
      <c r="D476" s="136"/>
      <c r="E476" s="153"/>
      <c r="F476" s="153"/>
      <c r="G476" s="13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  <c r="Z476" s="76"/>
      <c r="AA476" s="76"/>
      <c r="AB476" s="76" t="s">
        <v>358</v>
      </c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</row>
    <row r="477" spans="3:72" x14ac:dyDescent="0.25">
      <c r="C477" s="135"/>
      <c r="D477" s="136"/>
      <c r="E477" s="153"/>
      <c r="F477" s="153"/>
      <c r="G477" s="13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  <c r="Z477" s="76"/>
      <c r="AA477" s="76"/>
      <c r="AB477" s="76" t="s">
        <v>358</v>
      </c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</row>
    <row r="478" spans="3:72" x14ac:dyDescent="0.25">
      <c r="C478" s="135"/>
      <c r="D478" s="136"/>
      <c r="E478" s="153"/>
      <c r="F478" s="153"/>
      <c r="G478" s="13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  <c r="Z478" s="76"/>
      <c r="AA478" s="76"/>
      <c r="AB478" s="76" t="s">
        <v>358</v>
      </c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</row>
    <row r="479" spans="3:72" x14ac:dyDescent="0.25">
      <c r="C479" s="135"/>
      <c r="D479" s="136"/>
      <c r="E479" s="153"/>
      <c r="F479" s="153"/>
      <c r="G479" s="13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  <c r="AA479" s="76"/>
      <c r="AB479" s="76" t="s">
        <v>358</v>
      </c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</row>
    <row r="480" spans="3:72" x14ac:dyDescent="0.25">
      <c r="C480" s="135"/>
      <c r="D480" s="136"/>
      <c r="E480" s="153"/>
      <c r="F480" s="153"/>
      <c r="G480" s="13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  <c r="AA480" s="76"/>
      <c r="AB480" s="76" t="s">
        <v>358</v>
      </c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</row>
    <row r="481" spans="3:72" x14ac:dyDescent="0.25">
      <c r="C481" s="135"/>
      <c r="D481" s="136"/>
      <c r="E481" s="153"/>
      <c r="F481" s="153"/>
      <c r="G481" s="13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  <c r="Z481" s="76"/>
      <c r="AA481" s="76"/>
      <c r="AB481" s="76" t="s">
        <v>358</v>
      </c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</row>
    <row r="482" spans="3:72" x14ac:dyDescent="0.25">
      <c r="C482" s="135"/>
      <c r="D482" s="136"/>
      <c r="E482" s="153"/>
      <c r="F482" s="153"/>
      <c r="G482" s="13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  <c r="Z482" s="76"/>
      <c r="AA482" s="76"/>
      <c r="AB482" s="76" t="s">
        <v>358</v>
      </c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</row>
    <row r="483" spans="3:72" x14ac:dyDescent="0.25">
      <c r="C483" s="135"/>
      <c r="D483" s="136"/>
      <c r="E483" s="153"/>
      <c r="F483" s="153"/>
      <c r="G483" s="13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  <c r="AA483" s="76"/>
      <c r="AB483" s="76" t="s">
        <v>358</v>
      </c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</row>
    <row r="484" spans="3:72" x14ac:dyDescent="0.25">
      <c r="C484" s="135"/>
      <c r="D484" s="136"/>
      <c r="E484" s="153"/>
      <c r="F484" s="153"/>
      <c r="G484" s="13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  <c r="Z484" s="76"/>
      <c r="AA484" s="76"/>
      <c r="AB484" s="76" t="s">
        <v>358</v>
      </c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</row>
    <row r="485" spans="3:72" x14ac:dyDescent="0.25">
      <c r="C485" s="135"/>
      <c r="D485" s="136"/>
      <c r="E485" s="153"/>
      <c r="F485" s="153"/>
      <c r="G485" s="13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  <c r="AA485" s="76"/>
      <c r="AB485" s="76" t="s">
        <v>358</v>
      </c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</row>
    <row r="486" spans="3:72" x14ac:dyDescent="0.25">
      <c r="C486" s="135"/>
      <c r="D486" s="136"/>
      <c r="E486" s="153"/>
      <c r="F486" s="153"/>
      <c r="G486" s="13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/>
      <c r="AA486" s="76"/>
      <c r="AB486" s="76" t="s">
        <v>358</v>
      </c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</row>
    <row r="487" spans="3:72" x14ac:dyDescent="0.25">
      <c r="C487" s="135"/>
      <c r="D487" s="136"/>
      <c r="E487" s="153"/>
      <c r="F487" s="153"/>
      <c r="G487" s="13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  <c r="Z487" s="76"/>
      <c r="AA487" s="76"/>
      <c r="AB487" s="76" t="s">
        <v>358</v>
      </c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</row>
    <row r="488" spans="3:72" x14ac:dyDescent="0.25">
      <c r="C488" s="135"/>
      <c r="D488" s="136"/>
      <c r="E488" s="153"/>
      <c r="F488" s="153"/>
      <c r="G488" s="13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  <c r="Z488" s="76"/>
      <c r="AA488" s="76"/>
      <c r="AB488" s="76" t="s">
        <v>358</v>
      </c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</row>
    <row r="489" spans="3:72" x14ac:dyDescent="0.25">
      <c r="C489" s="135"/>
      <c r="D489" s="136"/>
      <c r="E489" s="153"/>
      <c r="F489" s="153"/>
      <c r="G489" s="13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  <c r="AA489" s="76"/>
      <c r="AB489" s="76" t="s">
        <v>358</v>
      </c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</row>
    <row r="490" spans="3:72" x14ac:dyDescent="0.25">
      <c r="C490" s="135"/>
      <c r="D490" s="136"/>
      <c r="E490" s="153"/>
      <c r="F490" s="153"/>
      <c r="G490" s="13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  <c r="AA490" s="76"/>
      <c r="AB490" s="76" t="s">
        <v>358</v>
      </c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</row>
    <row r="491" spans="3:72" x14ac:dyDescent="0.25">
      <c r="C491" s="135"/>
      <c r="D491" s="136"/>
      <c r="E491" s="153"/>
      <c r="F491" s="153"/>
      <c r="G491" s="13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  <c r="Z491" s="76"/>
      <c r="AA491" s="76"/>
      <c r="AB491" s="76" t="s">
        <v>358</v>
      </c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</row>
    <row r="492" spans="3:72" x14ac:dyDescent="0.25">
      <c r="C492" s="135"/>
      <c r="D492" s="136"/>
      <c r="E492" s="153"/>
      <c r="F492" s="153"/>
      <c r="G492" s="13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6" t="s">
        <v>358</v>
      </c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</row>
    <row r="493" spans="3:72" x14ac:dyDescent="0.25">
      <c r="C493" s="135"/>
      <c r="D493" s="136"/>
      <c r="E493" s="153"/>
      <c r="F493" s="153"/>
      <c r="G493" s="13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6" t="s">
        <v>358</v>
      </c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</row>
    <row r="494" spans="3:72" x14ac:dyDescent="0.25">
      <c r="C494" s="135"/>
      <c r="D494" s="136"/>
      <c r="E494" s="153"/>
      <c r="F494" s="153"/>
      <c r="G494" s="13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6" t="s">
        <v>358</v>
      </c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</row>
    <row r="495" spans="3:72" x14ac:dyDescent="0.25">
      <c r="C495" s="135"/>
      <c r="D495" s="136"/>
      <c r="E495" s="153"/>
      <c r="F495" s="153"/>
      <c r="G495" s="13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6" t="s">
        <v>358</v>
      </c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</row>
    <row r="496" spans="3:72" x14ac:dyDescent="0.25">
      <c r="C496" s="135"/>
      <c r="D496" s="136"/>
      <c r="E496" s="153"/>
      <c r="F496" s="153"/>
      <c r="G496" s="13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6" t="s">
        <v>358</v>
      </c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</row>
    <row r="497" spans="3:72" x14ac:dyDescent="0.25">
      <c r="C497" s="135"/>
      <c r="D497" s="136"/>
      <c r="E497" s="153"/>
      <c r="F497" s="153"/>
      <c r="G497" s="13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6" t="s">
        <v>358</v>
      </c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</row>
    <row r="498" spans="3:72" x14ac:dyDescent="0.25">
      <c r="C498" s="135"/>
      <c r="D498" s="136"/>
      <c r="E498" s="153"/>
      <c r="F498" s="153"/>
      <c r="G498" s="13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  <c r="AA498" s="76"/>
      <c r="AB498" s="76" t="s">
        <v>358</v>
      </c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</row>
    <row r="499" spans="3:72" x14ac:dyDescent="0.25">
      <c r="C499" s="135"/>
      <c r="D499" s="136"/>
      <c r="E499" s="153"/>
      <c r="F499" s="153"/>
      <c r="G499" s="13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6" t="s">
        <v>358</v>
      </c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</row>
    <row r="500" spans="3:72" x14ac:dyDescent="0.25">
      <c r="C500" s="135"/>
      <c r="D500" s="136"/>
      <c r="E500" s="153"/>
      <c r="F500" s="153"/>
      <c r="G500" s="13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  <c r="AA500" s="76"/>
      <c r="AB500" s="76" t="s">
        <v>358</v>
      </c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</row>
    <row r="501" spans="3:72" x14ac:dyDescent="0.25">
      <c r="C501" s="135"/>
      <c r="D501" s="136"/>
      <c r="E501" s="153"/>
      <c r="F501" s="153"/>
      <c r="G501" s="13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6" t="s">
        <v>358</v>
      </c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</row>
    <row r="502" spans="3:72" x14ac:dyDescent="0.25">
      <c r="C502" s="135"/>
      <c r="D502" s="136"/>
      <c r="E502" s="153"/>
      <c r="F502" s="153"/>
      <c r="G502" s="13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6" t="s">
        <v>358</v>
      </c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</row>
    <row r="503" spans="3:72" x14ac:dyDescent="0.25">
      <c r="C503" s="135"/>
      <c r="D503" s="136"/>
      <c r="E503" s="153"/>
      <c r="F503" s="153"/>
      <c r="G503" s="13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  <c r="AA503" s="76"/>
      <c r="AB503" s="76" t="s">
        <v>358</v>
      </c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</row>
    <row r="504" spans="3:72" x14ac:dyDescent="0.25">
      <c r="C504" s="135"/>
      <c r="D504" s="136"/>
      <c r="E504" s="153"/>
      <c r="F504" s="153"/>
      <c r="G504" s="13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  <c r="AA504" s="76"/>
      <c r="AB504" s="76" t="s">
        <v>358</v>
      </c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</row>
    <row r="505" spans="3:72" x14ac:dyDescent="0.25">
      <c r="C505" s="135"/>
      <c r="D505" s="136"/>
      <c r="E505" s="153"/>
      <c r="F505" s="153"/>
      <c r="G505" s="13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  <c r="AA505" s="76"/>
      <c r="AB505" s="76" t="s">
        <v>358</v>
      </c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</row>
    <row r="506" spans="3:72" x14ac:dyDescent="0.25">
      <c r="C506" s="135"/>
      <c r="D506" s="136"/>
      <c r="E506" s="153"/>
      <c r="F506" s="153"/>
      <c r="G506" s="13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  <c r="AA506" s="76"/>
      <c r="AB506" s="76" t="s">
        <v>358</v>
      </c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</row>
    <row r="507" spans="3:72" x14ac:dyDescent="0.25">
      <c r="C507" s="135"/>
      <c r="D507" s="136"/>
      <c r="E507" s="153"/>
      <c r="F507" s="153"/>
      <c r="G507" s="13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6" t="s">
        <v>358</v>
      </c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</row>
    <row r="508" spans="3:72" x14ac:dyDescent="0.25">
      <c r="C508" s="135"/>
      <c r="D508" s="136"/>
      <c r="E508" s="153"/>
      <c r="F508" s="153"/>
      <c r="G508" s="13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6" t="s">
        <v>358</v>
      </c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</row>
    <row r="509" spans="3:72" x14ac:dyDescent="0.25">
      <c r="C509" s="135"/>
      <c r="D509" s="136"/>
      <c r="E509" s="153"/>
      <c r="F509" s="153"/>
      <c r="G509" s="13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6" t="s">
        <v>358</v>
      </c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</row>
    <row r="510" spans="3:72" x14ac:dyDescent="0.25">
      <c r="C510" s="135"/>
      <c r="D510" s="136"/>
      <c r="E510" s="153"/>
      <c r="F510" s="153"/>
      <c r="G510" s="13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  <c r="AA510" s="76"/>
      <c r="AB510" s="76" t="s">
        <v>358</v>
      </c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</row>
    <row r="511" spans="3:72" x14ac:dyDescent="0.25">
      <c r="C511" s="135"/>
      <c r="D511" s="136"/>
      <c r="E511" s="153"/>
      <c r="F511" s="153"/>
      <c r="G511" s="13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  <c r="AA511" s="76"/>
      <c r="AB511" s="76" t="s">
        <v>358</v>
      </c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</row>
    <row r="512" spans="3:72" x14ac:dyDescent="0.25">
      <c r="C512" s="135"/>
      <c r="D512" s="136"/>
      <c r="E512" s="153"/>
      <c r="F512" s="153"/>
      <c r="G512" s="13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6" t="s">
        <v>358</v>
      </c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</row>
    <row r="513" spans="3:72" x14ac:dyDescent="0.25">
      <c r="C513" s="135"/>
      <c r="D513" s="136"/>
      <c r="E513" s="153"/>
      <c r="F513" s="153"/>
      <c r="G513" s="13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  <c r="AA513" s="76"/>
      <c r="AB513" s="76" t="s">
        <v>358</v>
      </c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</row>
    <row r="514" spans="3:72" x14ac:dyDescent="0.25">
      <c r="C514" s="135"/>
      <c r="D514" s="136"/>
      <c r="E514" s="153"/>
      <c r="F514" s="153"/>
      <c r="G514" s="13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  <c r="AA514" s="76"/>
      <c r="AB514" s="76" t="s">
        <v>358</v>
      </c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</row>
    <row r="515" spans="3:72" x14ac:dyDescent="0.25">
      <c r="C515" s="135"/>
      <c r="D515" s="136"/>
      <c r="E515" s="153"/>
      <c r="F515" s="153"/>
      <c r="G515" s="13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6" t="s">
        <v>358</v>
      </c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</row>
    <row r="516" spans="3:72" x14ac:dyDescent="0.25">
      <c r="C516" s="135"/>
      <c r="D516" s="136"/>
      <c r="E516" s="153"/>
      <c r="F516" s="153"/>
      <c r="G516" s="13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6" t="s">
        <v>358</v>
      </c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</row>
    <row r="517" spans="3:72" x14ac:dyDescent="0.25">
      <c r="C517" s="135"/>
      <c r="D517" s="136"/>
      <c r="E517" s="153"/>
      <c r="F517" s="153"/>
      <c r="G517" s="13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  <c r="AA517" s="76"/>
      <c r="AB517" s="76" t="s">
        <v>358</v>
      </c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</row>
    <row r="518" spans="3:72" x14ac:dyDescent="0.25">
      <c r="C518" s="135"/>
      <c r="D518" s="136"/>
      <c r="E518" s="153"/>
      <c r="F518" s="153"/>
      <c r="G518" s="13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  <c r="AA518" s="76"/>
      <c r="AB518" s="76" t="s">
        <v>358</v>
      </c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</row>
    <row r="519" spans="3:72" x14ac:dyDescent="0.25">
      <c r="C519" s="135"/>
      <c r="D519" s="136"/>
      <c r="E519" s="153"/>
      <c r="F519" s="153"/>
      <c r="G519" s="13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 t="s">
        <v>358</v>
      </c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</row>
    <row r="520" spans="3:72" x14ac:dyDescent="0.25">
      <c r="C520" s="135"/>
      <c r="D520" s="136"/>
      <c r="E520" s="153"/>
      <c r="F520" s="153"/>
      <c r="G520" s="13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  <c r="AA520" s="76"/>
      <c r="AB520" s="76" t="s">
        <v>358</v>
      </c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</row>
    <row r="521" spans="3:72" x14ac:dyDescent="0.25">
      <c r="C521" s="135"/>
      <c r="D521" s="136"/>
      <c r="E521" s="153"/>
      <c r="F521" s="153"/>
      <c r="G521" s="13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 t="s">
        <v>358</v>
      </c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</row>
    <row r="522" spans="3:72" x14ac:dyDescent="0.25">
      <c r="C522" s="135"/>
      <c r="D522" s="136"/>
      <c r="E522" s="153"/>
      <c r="F522" s="153"/>
      <c r="G522" s="13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 t="s">
        <v>358</v>
      </c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</row>
    <row r="523" spans="3:72" x14ac:dyDescent="0.25">
      <c r="C523" s="135"/>
      <c r="D523" s="136"/>
      <c r="E523" s="153"/>
      <c r="F523" s="153"/>
      <c r="G523" s="13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 t="s">
        <v>358</v>
      </c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</row>
    <row r="524" spans="3:72" x14ac:dyDescent="0.25">
      <c r="C524" s="135"/>
      <c r="D524" s="136"/>
      <c r="E524" s="153"/>
      <c r="F524" s="153"/>
      <c r="G524" s="13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 t="s">
        <v>358</v>
      </c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</row>
    <row r="525" spans="3:72" x14ac:dyDescent="0.25">
      <c r="C525" s="135"/>
      <c r="D525" s="136"/>
      <c r="E525" s="153"/>
      <c r="F525" s="153"/>
      <c r="G525" s="13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 t="s">
        <v>358</v>
      </c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</row>
    <row r="526" spans="3:72" x14ac:dyDescent="0.25">
      <c r="C526" s="135"/>
      <c r="D526" s="136"/>
      <c r="E526" s="153"/>
      <c r="F526" s="153"/>
      <c r="G526" s="13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 t="s">
        <v>358</v>
      </c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</row>
    <row r="527" spans="3:72" x14ac:dyDescent="0.25">
      <c r="C527" s="135"/>
      <c r="D527" s="136"/>
      <c r="E527" s="153"/>
      <c r="F527" s="153"/>
      <c r="G527" s="13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 t="s">
        <v>358</v>
      </c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</row>
    <row r="528" spans="3:72" x14ac:dyDescent="0.25">
      <c r="C528" s="135"/>
      <c r="D528" s="136"/>
      <c r="E528" s="153"/>
      <c r="F528" s="153"/>
      <c r="G528" s="13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 t="s">
        <v>358</v>
      </c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</row>
    <row r="529" spans="3:72" x14ac:dyDescent="0.25">
      <c r="C529" s="135"/>
      <c r="D529" s="136"/>
      <c r="E529" s="153"/>
      <c r="F529" s="153"/>
      <c r="G529" s="13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 t="s">
        <v>358</v>
      </c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</row>
    <row r="530" spans="3:72" x14ac:dyDescent="0.25">
      <c r="C530" s="135"/>
      <c r="D530" s="136"/>
      <c r="E530" s="153"/>
      <c r="F530" s="153"/>
      <c r="G530" s="13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 t="s">
        <v>358</v>
      </c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</row>
    <row r="531" spans="3:72" x14ac:dyDescent="0.25">
      <c r="C531" s="135"/>
      <c r="D531" s="136"/>
      <c r="E531" s="153"/>
      <c r="F531" s="153"/>
      <c r="G531" s="13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 t="s">
        <v>358</v>
      </c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</row>
    <row r="532" spans="3:72" x14ac:dyDescent="0.25">
      <c r="C532" s="135"/>
      <c r="D532" s="136"/>
      <c r="E532" s="153"/>
      <c r="F532" s="153"/>
      <c r="G532" s="13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 t="s">
        <v>358</v>
      </c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</row>
    <row r="533" spans="3:72" x14ac:dyDescent="0.25">
      <c r="C533" s="135"/>
      <c r="D533" s="136"/>
      <c r="E533" s="153"/>
      <c r="F533" s="153"/>
      <c r="G533" s="13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 t="s">
        <v>358</v>
      </c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</row>
    <row r="534" spans="3:72" x14ac:dyDescent="0.25">
      <c r="C534" s="135"/>
      <c r="D534" s="136"/>
      <c r="E534" s="153"/>
      <c r="F534" s="153"/>
      <c r="G534" s="13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 t="s">
        <v>358</v>
      </c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</row>
    <row r="535" spans="3:72" x14ac:dyDescent="0.25">
      <c r="C535" s="135"/>
      <c r="D535" s="136"/>
      <c r="E535" s="153"/>
      <c r="F535" s="153"/>
      <c r="G535" s="13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 t="s">
        <v>358</v>
      </c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</row>
    <row r="536" spans="3:72" x14ac:dyDescent="0.25">
      <c r="C536" s="135"/>
      <c r="D536" s="136"/>
      <c r="E536" s="153"/>
      <c r="F536" s="153"/>
      <c r="G536" s="13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 t="s">
        <v>358</v>
      </c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</row>
    <row r="537" spans="3:72" x14ac:dyDescent="0.25">
      <c r="C537" s="135"/>
      <c r="D537" s="136"/>
      <c r="E537" s="153"/>
      <c r="F537" s="153"/>
      <c r="G537" s="13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 t="s">
        <v>358</v>
      </c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</row>
    <row r="538" spans="3:72" x14ac:dyDescent="0.25">
      <c r="C538" s="143"/>
      <c r="D538" s="144"/>
      <c r="E538" s="157"/>
      <c r="F538" s="157"/>
      <c r="G538" s="136"/>
      <c r="H538" s="76"/>
      <c r="I538" s="76"/>
      <c r="J538" s="76"/>
      <c r="K538" s="76"/>
      <c r="L538" s="76"/>
      <c r="M538" s="76"/>
      <c r="N538" s="76"/>
      <c r="O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</row>
  </sheetData>
  <sortState xmlns:xlrd2="http://schemas.microsoft.com/office/spreadsheetml/2017/richdata2" ref="C3:F538">
    <sortCondition ref="D1:D538"/>
  </sortState>
  <phoneticPr fontId="4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A41D2-CEEC-450B-B893-C7941E43DF4E}">
  <sheetPr codeName="Sheet26"/>
  <dimension ref="A1:BN414"/>
  <sheetViews>
    <sheetView topLeftCell="I1" zoomScale="60" zoomScaleNormal="60" workbookViewId="0">
      <selection activeCell="AR39" sqref="AR39"/>
    </sheetView>
  </sheetViews>
  <sheetFormatPr defaultRowHeight="15" x14ac:dyDescent="0.25"/>
  <cols>
    <col min="1" max="2" width="9.140625" style="69"/>
    <col min="6" max="6" width="9.140625" style="69"/>
    <col min="14" max="14" width="9.140625" style="69"/>
    <col min="15" max="15" width="9.140625" style="159"/>
    <col min="19" max="19" width="10" bestFit="1" customWidth="1"/>
    <col min="23" max="23" width="13" bestFit="1" customWidth="1"/>
    <col min="24" max="24" width="13" customWidth="1"/>
    <col min="25" max="44" width="10.7109375" customWidth="1"/>
    <col min="46" max="66" width="10.7109375" customWidth="1"/>
  </cols>
  <sheetData>
    <row r="1" spans="1:66" x14ac:dyDescent="0.25">
      <c r="A1" s="159" t="s">
        <v>562</v>
      </c>
      <c r="B1" s="159" t="s">
        <v>601</v>
      </c>
      <c r="C1" s="45" t="s">
        <v>602</v>
      </c>
      <c r="D1" s="45" t="s">
        <v>603</v>
      </c>
      <c r="E1" s="45" t="s">
        <v>604</v>
      </c>
      <c r="F1" s="159" t="s">
        <v>605</v>
      </c>
      <c r="G1" s="45" t="s">
        <v>606</v>
      </c>
      <c r="H1" s="45" t="s">
        <v>607</v>
      </c>
      <c r="I1" s="45" t="s">
        <v>608</v>
      </c>
      <c r="J1" s="45" t="s">
        <v>609</v>
      </c>
      <c r="K1" s="45" t="s">
        <v>563</v>
      </c>
      <c r="L1" s="45" t="s">
        <v>610</v>
      </c>
      <c r="M1" s="45" t="s">
        <v>568</v>
      </c>
      <c r="N1" s="159" t="s">
        <v>611</v>
      </c>
      <c r="O1" s="159" t="s">
        <v>560</v>
      </c>
      <c r="P1" s="45" t="s">
        <v>612</v>
      </c>
      <c r="Q1" s="45" t="s">
        <v>317</v>
      </c>
      <c r="R1" s="45" t="s">
        <v>288</v>
      </c>
      <c r="S1" s="45" t="s">
        <v>289</v>
      </c>
      <c r="T1" s="45" t="s">
        <v>613</v>
      </c>
      <c r="U1" s="45" t="s">
        <v>614</v>
      </c>
      <c r="V1" s="45" t="s">
        <v>732</v>
      </c>
      <c r="W1" s="45" t="s">
        <v>733</v>
      </c>
      <c r="Y1" s="16" t="s">
        <v>0</v>
      </c>
      <c r="Z1" s="16" t="s">
        <v>156</v>
      </c>
      <c r="AA1" s="16" t="s">
        <v>164</v>
      </c>
      <c r="AB1" s="16" t="s">
        <v>165</v>
      </c>
      <c r="AC1" s="16" t="s">
        <v>166</v>
      </c>
      <c r="AD1" s="16" t="s">
        <v>167</v>
      </c>
      <c r="AE1" s="16" t="s">
        <v>168</v>
      </c>
      <c r="AF1" s="16" t="s">
        <v>169</v>
      </c>
      <c r="AG1" s="16" t="s">
        <v>170</v>
      </c>
      <c r="AH1" s="16" t="s">
        <v>171</v>
      </c>
      <c r="AI1" s="16" t="s">
        <v>172</v>
      </c>
      <c r="AJ1" s="16" t="s">
        <v>173</v>
      </c>
      <c r="AK1" s="16" t="s">
        <v>174</v>
      </c>
      <c r="AL1" s="16" t="s">
        <v>175</v>
      </c>
      <c r="AM1" s="16" t="s">
        <v>176</v>
      </c>
      <c r="AN1" s="16" t="s">
        <v>177</v>
      </c>
      <c r="AO1" s="16" t="s">
        <v>178</v>
      </c>
      <c r="AP1" s="16" t="s">
        <v>179</v>
      </c>
      <c r="AQ1" s="16" t="s">
        <v>180</v>
      </c>
      <c r="AR1" s="16" t="s">
        <v>181</v>
      </c>
      <c r="AT1" s="16" t="str">
        <f>Y1</f>
        <v>GWP</v>
      </c>
      <c r="AU1" s="16" t="str">
        <f t="shared" ref="AU1:BL1" si="0">Z1</f>
        <v>CED</v>
      </c>
      <c r="AV1" s="16" t="str">
        <f t="shared" si="0"/>
        <v>ALOP</v>
      </c>
      <c r="AW1" s="16" t="str">
        <f t="shared" si="0"/>
        <v>GWP100</v>
      </c>
      <c r="AX1" s="16" t="str">
        <f t="shared" si="0"/>
        <v>FDP</v>
      </c>
      <c r="AY1" s="16" t="str">
        <f t="shared" si="0"/>
        <v>FETPinf</v>
      </c>
      <c r="AZ1" s="16" t="str">
        <f t="shared" si="0"/>
        <v>FEP</v>
      </c>
      <c r="BA1" s="16" t="str">
        <f t="shared" si="0"/>
        <v>HTPinf</v>
      </c>
      <c r="BB1" s="16" t="str">
        <f t="shared" si="0"/>
        <v>IRP_HE</v>
      </c>
      <c r="BC1" s="16" t="str">
        <f t="shared" si="0"/>
        <v>METPinf</v>
      </c>
      <c r="BD1" s="16" t="str">
        <f t="shared" si="0"/>
        <v>MEP</v>
      </c>
      <c r="BE1" s="16" t="str">
        <f t="shared" si="0"/>
        <v>MDP</v>
      </c>
      <c r="BF1" s="16" t="str">
        <f t="shared" si="0"/>
        <v>NLTP</v>
      </c>
      <c r="BG1" s="16" t="str">
        <f t="shared" si="0"/>
        <v>ODPinf</v>
      </c>
      <c r="BH1" s="16" t="str">
        <f t="shared" si="0"/>
        <v>PMFP</v>
      </c>
      <c r="BI1" s="16" t="str">
        <f t="shared" si="0"/>
        <v>POFP</v>
      </c>
      <c r="BJ1" s="16" t="str">
        <f t="shared" si="0"/>
        <v>TAP100</v>
      </c>
      <c r="BK1" s="16" t="str">
        <f t="shared" si="0"/>
        <v>TETPinf</v>
      </c>
      <c r="BL1" s="16" t="str">
        <f t="shared" si="0"/>
        <v>ULOP</v>
      </c>
      <c r="BM1" s="16" t="str">
        <f>AR1</f>
        <v>WDP</v>
      </c>
      <c r="BN1" s="16"/>
    </row>
    <row r="2" spans="1:66" x14ac:dyDescent="0.25">
      <c r="A2" s="159">
        <v>108</v>
      </c>
      <c r="B2" s="159">
        <v>6</v>
      </c>
      <c r="C2" s="45">
        <v>42.050626999999999</v>
      </c>
      <c r="D2" s="45">
        <v>-87.679727</v>
      </c>
      <c r="E2" s="45" t="s">
        <v>265</v>
      </c>
      <c r="F2" s="159">
        <v>6</v>
      </c>
      <c r="G2" s="45" t="s">
        <v>565</v>
      </c>
      <c r="H2" s="45" t="s">
        <v>673</v>
      </c>
      <c r="I2" s="45">
        <v>41.98028</v>
      </c>
      <c r="J2" s="45">
        <v>-87.908997999999997</v>
      </c>
      <c r="K2" s="45">
        <v>22.71590222</v>
      </c>
      <c r="L2" s="45">
        <v>27.763999999999999</v>
      </c>
      <c r="M2" s="45" t="s">
        <v>617</v>
      </c>
      <c r="N2" s="159">
        <v>5</v>
      </c>
      <c r="O2" s="159">
        <v>6</v>
      </c>
      <c r="P2" s="45" t="s">
        <v>565</v>
      </c>
      <c r="Q2" s="45" t="s">
        <v>564</v>
      </c>
      <c r="R2" s="45">
        <v>41.98028</v>
      </c>
      <c r="S2" s="45">
        <v>-87.908997900000003</v>
      </c>
      <c r="T2" s="45">
        <v>27.763999999999999</v>
      </c>
      <c r="U2" s="45" t="s">
        <v>617</v>
      </c>
      <c r="V2" s="45" t="s">
        <v>617</v>
      </c>
      <c r="W2" s="45"/>
      <c r="X2" s="22"/>
      <c r="Y2" s="16">
        <f>Summary_LCIA!H$32</f>
        <v>0.33979999999999999</v>
      </c>
      <c r="Z2" s="16">
        <f>Summary_LCIA!Q$32</f>
        <v>4.9560504329999997</v>
      </c>
      <c r="AA2" s="16">
        <f>Summary_LCIA!R$32</f>
        <v>5.2655999999999996E-3</v>
      </c>
      <c r="AB2" s="16">
        <f>Summary_LCIA!S$32</f>
        <v>0.33538000000000001</v>
      </c>
      <c r="AC2" s="16">
        <f>Summary_LCIA!T$32</f>
        <v>0.1099</v>
      </c>
      <c r="AD2" s="16">
        <f>Summary_LCIA!U$32</f>
        <v>1.7913999999999999E-2</v>
      </c>
      <c r="AE2" s="16">
        <f>Summary_LCIA!V$32</f>
        <v>4.7760999999999999E-5</v>
      </c>
      <c r="AF2" s="16">
        <f>Summary_LCIA!W$32</f>
        <v>7.6970999999999998E-2</v>
      </c>
      <c r="AG2" s="16">
        <f>Summary_LCIA!X$32</f>
        <v>2.2780000000000002E-2</v>
      </c>
      <c r="AH2" s="16">
        <f>Summary_LCIA!Y$32</f>
        <v>1.5582E-2</v>
      </c>
      <c r="AI2" s="16">
        <f>Summary_LCIA!Z$32</f>
        <v>4.1009E-5</v>
      </c>
      <c r="AJ2" s="16">
        <f>Summary_LCIA!AA$32</f>
        <v>2.3355999999999998E-2</v>
      </c>
      <c r="AK2" s="16">
        <f>Summary_LCIA!AB$32</f>
        <v>-2.1823000000000001E-5</v>
      </c>
      <c r="AL2" s="16">
        <f>Summary_LCIA!AC$32</f>
        <v>4.8884000000000003E-8</v>
      </c>
      <c r="AM2" s="16">
        <f>Summary_LCIA!AD$32</f>
        <v>4.1103999999999999E-4</v>
      </c>
      <c r="AN2" s="16">
        <f>Summary_LCIA!AE$32</f>
        <v>8.8612999999999995E-4</v>
      </c>
      <c r="AO2" s="16">
        <f>Summary_LCIA!AF$32</f>
        <v>8.4542000000000005E-4</v>
      </c>
      <c r="AP2" s="16">
        <f>Summary_LCIA!AG$32</f>
        <v>5.1165000000000002E-5</v>
      </c>
      <c r="AQ2" s="16">
        <f>Summary_LCIA!AH$32</f>
        <v>8.7036000000000006E-3</v>
      </c>
      <c r="AR2" s="16">
        <f>Summary_LCIA!AI$32</f>
        <v>9.3154999999999996E-4</v>
      </c>
      <c r="AT2" s="16">
        <f>$T2*Y2</f>
        <v>9.4342071999999995</v>
      </c>
      <c r="AU2" s="16">
        <f t="shared" ref="AU2:BM15" si="1">$T2*Z2</f>
        <v>137.599784221812</v>
      </c>
      <c r="AV2" s="16">
        <f t="shared" si="1"/>
        <v>0.14619411839999999</v>
      </c>
      <c r="AW2" s="16">
        <f t="shared" si="1"/>
        <v>9.3114903200000008</v>
      </c>
      <c r="AX2" s="16">
        <f t="shared" si="1"/>
        <v>3.0512636</v>
      </c>
      <c r="AY2" s="16">
        <f t="shared" si="1"/>
        <v>0.49736429599999998</v>
      </c>
      <c r="AZ2" s="16">
        <f>$T2*AE2</f>
        <v>1.326036404E-3</v>
      </c>
      <c r="BA2" s="16">
        <f t="shared" si="1"/>
        <v>2.1370228440000001</v>
      </c>
      <c r="BB2" s="16">
        <f t="shared" si="1"/>
        <v>0.63246392000000007</v>
      </c>
      <c r="BC2" s="16">
        <f t="shared" si="1"/>
        <v>0.43261864799999999</v>
      </c>
      <c r="BD2" s="16">
        <f t="shared" si="1"/>
        <v>1.1385738759999999E-3</v>
      </c>
      <c r="BE2" s="16">
        <f t="shared" si="1"/>
        <v>0.64845598399999993</v>
      </c>
      <c r="BF2" s="16">
        <f t="shared" si="1"/>
        <v>-6.0589377199999999E-4</v>
      </c>
      <c r="BG2" s="16">
        <f t="shared" si="1"/>
        <v>1.357215376E-6</v>
      </c>
      <c r="BH2" s="16">
        <f t="shared" si="1"/>
        <v>1.1412114559999999E-2</v>
      </c>
      <c r="BI2" s="16">
        <f t="shared" si="1"/>
        <v>2.4602513319999998E-2</v>
      </c>
      <c r="BJ2" s="16">
        <f t="shared" si="1"/>
        <v>2.3472240880000002E-2</v>
      </c>
      <c r="BK2" s="16">
        <f t="shared" si="1"/>
        <v>1.42054506E-3</v>
      </c>
      <c r="BL2" s="16">
        <f t="shared" si="1"/>
        <v>0.2416467504</v>
      </c>
      <c r="BM2" s="16">
        <f t="shared" si="1"/>
        <v>2.58635542E-2</v>
      </c>
      <c r="BN2" s="16"/>
    </row>
    <row r="3" spans="1:66" x14ac:dyDescent="0.25">
      <c r="A3" s="159">
        <v>109</v>
      </c>
      <c r="B3" s="159">
        <v>6</v>
      </c>
      <c r="C3" s="45">
        <v>42.050626999999999</v>
      </c>
      <c r="D3" s="45">
        <v>-87.679727</v>
      </c>
      <c r="E3" s="45" t="s">
        <v>265</v>
      </c>
      <c r="F3" s="159">
        <v>6</v>
      </c>
      <c r="G3" s="45" t="s">
        <v>565</v>
      </c>
      <c r="H3" s="45" t="s">
        <v>673</v>
      </c>
      <c r="I3" s="45">
        <v>41.98028</v>
      </c>
      <c r="J3" s="45">
        <v>-87.908997999999997</v>
      </c>
      <c r="K3" s="45">
        <v>22.71590222</v>
      </c>
      <c r="L3" s="45">
        <v>27.763999999999999</v>
      </c>
      <c r="M3" s="45" t="s">
        <v>617</v>
      </c>
      <c r="N3" s="159">
        <v>5</v>
      </c>
      <c r="O3" s="159">
        <v>6</v>
      </c>
      <c r="P3" s="45" t="s">
        <v>565</v>
      </c>
      <c r="Q3" s="45" t="s">
        <v>564</v>
      </c>
      <c r="R3" s="45">
        <v>41.98028</v>
      </c>
      <c r="S3" s="45">
        <v>-87.908997900000003</v>
      </c>
      <c r="T3" s="45">
        <v>27.763999999999999</v>
      </c>
      <c r="U3" s="45" t="s">
        <v>617</v>
      </c>
      <c r="V3" s="45" t="s">
        <v>617</v>
      </c>
      <c r="W3" s="45"/>
      <c r="X3" s="22"/>
      <c r="Y3" s="16">
        <f>Summary_LCIA!H$32</f>
        <v>0.33979999999999999</v>
      </c>
      <c r="Z3" s="16">
        <f>Summary_LCIA!Q$32</f>
        <v>4.9560504329999997</v>
      </c>
      <c r="AA3" s="16">
        <f>Summary_LCIA!R$32</f>
        <v>5.2655999999999996E-3</v>
      </c>
      <c r="AB3" s="16">
        <f>Summary_LCIA!S$32</f>
        <v>0.33538000000000001</v>
      </c>
      <c r="AC3" s="16">
        <f>Summary_LCIA!T$32</f>
        <v>0.1099</v>
      </c>
      <c r="AD3" s="16">
        <f>Summary_LCIA!U$32</f>
        <v>1.7913999999999999E-2</v>
      </c>
      <c r="AE3" s="16">
        <f>Summary_LCIA!V$32</f>
        <v>4.7760999999999999E-5</v>
      </c>
      <c r="AF3" s="16">
        <f>Summary_LCIA!W$32</f>
        <v>7.6970999999999998E-2</v>
      </c>
      <c r="AG3" s="16">
        <f>Summary_LCIA!X$32</f>
        <v>2.2780000000000002E-2</v>
      </c>
      <c r="AH3" s="16">
        <f>Summary_LCIA!Y$32</f>
        <v>1.5582E-2</v>
      </c>
      <c r="AI3" s="16">
        <f>Summary_LCIA!Z$32</f>
        <v>4.1009E-5</v>
      </c>
      <c r="AJ3" s="16">
        <f>Summary_LCIA!AA$32</f>
        <v>2.3355999999999998E-2</v>
      </c>
      <c r="AK3" s="16">
        <f>Summary_LCIA!AB$32</f>
        <v>-2.1823000000000001E-5</v>
      </c>
      <c r="AL3" s="16">
        <f>Summary_LCIA!AC$32</f>
        <v>4.8884000000000003E-8</v>
      </c>
      <c r="AM3" s="16">
        <f>Summary_LCIA!AD$32</f>
        <v>4.1103999999999999E-4</v>
      </c>
      <c r="AN3" s="16">
        <f>Summary_LCIA!AE$32</f>
        <v>8.8612999999999995E-4</v>
      </c>
      <c r="AO3" s="16">
        <f>Summary_LCIA!AF$32</f>
        <v>8.4542000000000005E-4</v>
      </c>
      <c r="AP3" s="16">
        <f>Summary_LCIA!AG$32</f>
        <v>5.1165000000000002E-5</v>
      </c>
      <c r="AQ3" s="16">
        <f>Summary_LCIA!AH$32</f>
        <v>8.7036000000000006E-3</v>
      </c>
      <c r="AR3" s="16">
        <f>Summary_LCIA!AI$32</f>
        <v>9.3154999999999996E-4</v>
      </c>
      <c r="AT3" s="16">
        <f t="shared" ref="AT3:AT47" si="2">$T3*Y3</f>
        <v>9.4342071999999995</v>
      </c>
      <c r="AU3" s="16">
        <f t="shared" si="1"/>
        <v>137.599784221812</v>
      </c>
      <c r="AV3" s="16">
        <f t="shared" si="1"/>
        <v>0.14619411839999999</v>
      </c>
      <c r="AW3" s="16">
        <f t="shared" si="1"/>
        <v>9.3114903200000008</v>
      </c>
      <c r="AX3" s="16">
        <f t="shared" si="1"/>
        <v>3.0512636</v>
      </c>
      <c r="AY3" s="16">
        <f t="shared" si="1"/>
        <v>0.49736429599999998</v>
      </c>
      <c r="AZ3" s="16">
        <f t="shared" si="1"/>
        <v>1.326036404E-3</v>
      </c>
      <c r="BA3" s="16">
        <f t="shared" si="1"/>
        <v>2.1370228440000001</v>
      </c>
      <c r="BB3" s="16">
        <f t="shared" si="1"/>
        <v>0.63246392000000007</v>
      </c>
      <c r="BC3" s="16">
        <f t="shared" si="1"/>
        <v>0.43261864799999999</v>
      </c>
      <c r="BD3" s="16">
        <f t="shared" si="1"/>
        <v>1.1385738759999999E-3</v>
      </c>
      <c r="BE3" s="16">
        <f t="shared" si="1"/>
        <v>0.64845598399999993</v>
      </c>
      <c r="BF3" s="16">
        <f t="shared" si="1"/>
        <v>-6.0589377199999999E-4</v>
      </c>
      <c r="BG3" s="16">
        <f t="shared" si="1"/>
        <v>1.357215376E-6</v>
      </c>
      <c r="BH3" s="16">
        <f t="shared" si="1"/>
        <v>1.1412114559999999E-2</v>
      </c>
      <c r="BI3" s="16">
        <f t="shared" si="1"/>
        <v>2.4602513319999998E-2</v>
      </c>
      <c r="BJ3" s="16">
        <f t="shared" si="1"/>
        <v>2.3472240880000002E-2</v>
      </c>
      <c r="BK3" s="16">
        <f t="shared" si="1"/>
        <v>1.42054506E-3</v>
      </c>
      <c r="BL3" s="16">
        <f t="shared" si="1"/>
        <v>0.2416467504</v>
      </c>
      <c r="BM3" s="16">
        <f t="shared" si="1"/>
        <v>2.58635542E-2</v>
      </c>
      <c r="BN3" s="16"/>
    </row>
    <row r="4" spans="1:66" x14ac:dyDescent="0.25">
      <c r="A4" s="159">
        <v>110</v>
      </c>
      <c r="B4" s="159">
        <v>6</v>
      </c>
      <c r="C4" s="45">
        <v>42.050626999999999</v>
      </c>
      <c r="D4" s="45">
        <v>-87.679727</v>
      </c>
      <c r="E4" s="45" t="s">
        <v>265</v>
      </c>
      <c r="F4" s="159">
        <v>6</v>
      </c>
      <c r="G4" s="45" t="s">
        <v>565</v>
      </c>
      <c r="H4" s="45" t="s">
        <v>673</v>
      </c>
      <c r="I4" s="45">
        <v>41.98028</v>
      </c>
      <c r="J4" s="45">
        <v>-87.908997999999997</v>
      </c>
      <c r="K4" s="45">
        <v>22.71590222</v>
      </c>
      <c r="L4" s="45">
        <v>27.763999999999999</v>
      </c>
      <c r="M4" s="45" t="s">
        <v>617</v>
      </c>
      <c r="N4" s="159">
        <v>5</v>
      </c>
      <c r="O4" s="159">
        <v>6</v>
      </c>
      <c r="P4" s="45" t="s">
        <v>565</v>
      </c>
      <c r="Q4" s="45" t="s">
        <v>564</v>
      </c>
      <c r="R4" s="45">
        <v>41.98028</v>
      </c>
      <c r="S4" s="45">
        <v>-87.908997900000003</v>
      </c>
      <c r="T4" s="45">
        <v>27.763999999999999</v>
      </c>
      <c r="U4" s="45" t="s">
        <v>617</v>
      </c>
      <c r="V4" s="45" t="s">
        <v>617</v>
      </c>
      <c r="W4" s="45"/>
      <c r="X4" s="22"/>
      <c r="Y4" s="16">
        <f>Summary_LCIA!H$32</f>
        <v>0.33979999999999999</v>
      </c>
      <c r="Z4" s="16">
        <f>Summary_LCIA!Q$32</f>
        <v>4.9560504329999997</v>
      </c>
      <c r="AA4" s="16">
        <f>Summary_LCIA!R$32</f>
        <v>5.2655999999999996E-3</v>
      </c>
      <c r="AB4" s="16">
        <f>Summary_LCIA!S$32</f>
        <v>0.33538000000000001</v>
      </c>
      <c r="AC4" s="16">
        <f>Summary_LCIA!T$32</f>
        <v>0.1099</v>
      </c>
      <c r="AD4" s="16">
        <f>Summary_LCIA!U$32</f>
        <v>1.7913999999999999E-2</v>
      </c>
      <c r="AE4" s="16">
        <f>Summary_LCIA!V$32</f>
        <v>4.7760999999999999E-5</v>
      </c>
      <c r="AF4" s="16">
        <f>Summary_LCIA!W$32</f>
        <v>7.6970999999999998E-2</v>
      </c>
      <c r="AG4" s="16">
        <f>Summary_LCIA!X$32</f>
        <v>2.2780000000000002E-2</v>
      </c>
      <c r="AH4" s="16">
        <f>Summary_LCIA!Y$32</f>
        <v>1.5582E-2</v>
      </c>
      <c r="AI4" s="16">
        <f>Summary_LCIA!Z$32</f>
        <v>4.1009E-5</v>
      </c>
      <c r="AJ4" s="16">
        <f>Summary_LCIA!AA$32</f>
        <v>2.3355999999999998E-2</v>
      </c>
      <c r="AK4" s="16">
        <f>Summary_LCIA!AB$32</f>
        <v>-2.1823000000000001E-5</v>
      </c>
      <c r="AL4" s="16">
        <f>Summary_LCIA!AC$32</f>
        <v>4.8884000000000003E-8</v>
      </c>
      <c r="AM4" s="16">
        <f>Summary_LCIA!AD$32</f>
        <v>4.1103999999999999E-4</v>
      </c>
      <c r="AN4" s="16">
        <f>Summary_LCIA!AE$32</f>
        <v>8.8612999999999995E-4</v>
      </c>
      <c r="AO4" s="16">
        <f>Summary_LCIA!AF$32</f>
        <v>8.4542000000000005E-4</v>
      </c>
      <c r="AP4" s="16">
        <f>Summary_LCIA!AG$32</f>
        <v>5.1165000000000002E-5</v>
      </c>
      <c r="AQ4" s="16">
        <f>Summary_LCIA!AH$32</f>
        <v>8.7036000000000006E-3</v>
      </c>
      <c r="AR4" s="16">
        <f>Summary_LCIA!AI$32</f>
        <v>9.3154999999999996E-4</v>
      </c>
      <c r="AT4" s="16">
        <f t="shared" si="2"/>
        <v>9.4342071999999995</v>
      </c>
      <c r="AU4" s="16">
        <f t="shared" si="1"/>
        <v>137.599784221812</v>
      </c>
      <c r="AV4" s="16">
        <f t="shared" si="1"/>
        <v>0.14619411839999999</v>
      </c>
      <c r="AW4" s="16">
        <f t="shared" si="1"/>
        <v>9.3114903200000008</v>
      </c>
      <c r="AX4" s="16">
        <f t="shared" si="1"/>
        <v>3.0512636</v>
      </c>
      <c r="AY4" s="16">
        <f t="shared" si="1"/>
        <v>0.49736429599999998</v>
      </c>
      <c r="AZ4" s="16">
        <f t="shared" si="1"/>
        <v>1.326036404E-3</v>
      </c>
      <c r="BA4" s="16">
        <f t="shared" si="1"/>
        <v>2.1370228440000001</v>
      </c>
      <c r="BB4" s="16">
        <f t="shared" si="1"/>
        <v>0.63246392000000007</v>
      </c>
      <c r="BC4" s="16">
        <f t="shared" si="1"/>
        <v>0.43261864799999999</v>
      </c>
      <c r="BD4" s="16">
        <f t="shared" si="1"/>
        <v>1.1385738759999999E-3</v>
      </c>
      <c r="BE4" s="16">
        <f t="shared" si="1"/>
        <v>0.64845598399999993</v>
      </c>
      <c r="BF4" s="16">
        <f t="shared" si="1"/>
        <v>-6.0589377199999999E-4</v>
      </c>
      <c r="BG4" s="16">
        <f t="shared" si="1"/>
        <v>1.357215376E-6</v>
      </c>
      <c r="BH4" s="16">
        <f t="shared" si="1"/>
        <v>1.1412114559999999E-2</v>
      </c>
      <c r="BI4" s="16">
        <f t="shared" si="1"/>
        <v>2.4602513319999998E-2</v>
      </c>
      <c r="BJ4" s="16">
        <f t="shared" si="1"/>
        <v>2.3472240880000002E-2</v>
      </c>
      <c r="BK4" s="16">
        <f t="shared" si="1"/>
        <v>1.42054506E-3</v>
      </c>
      <c r="BL4" s="16">
        <f t="shared" si="1"/>
        <v>0.2416467504</v>
      </c>
      <c r="BM4" s="16">
        <f t="shared" si="1"/>
        <v>2.58635542E-2</v>
      </c>
      <c r="BN4" s="16"/>
    </row>
    <row r="5" spans="1:66" x14ac:dyDescent="0.25">
      <c r="A5" s="159">
        <v>249</v>
      </c>
      <c r="B5" s="159">
        <v>6</v>
      </c>
      <c r="C5" s="45">
        <v>42.283079000000001</v>
      </c>
      <c r="D5" s="45">
        <v>-87.953130000000002</v>
      </c>
      <c r="E5" s="45" t="s">
        <v>265</v>
      </c>
      <c r="F5" s="159">
        <v>6</v>
      </c>
      <c r="G5" s="45" t="s">
        <v>565</v>
      </c>
      <c r="H5" s="45" t="s">
        <v>673</v>
      </c>
      <c r="I5" s="45">
        <v>41.98028</v>
      </c>
      <c r="J5" s="45">
        <v>-87.908997999999997</v>
      </c>
      <c r="K5" s="45">
        <v>52.053779710000001</v>
      </c>
      <c r="L5" s="45">
        <v>42.158000000000001</v>
      </c>
      <c r="M5" s="45" t="s">
        <v>617</v>
      </c>
      <c r="N5" s="159">
        <v>5</v>
      </c>
      <c r="O5" s="159">
        <v>6</v>
      </c>
      <c r="P5" s="45" t="s">
        <v>565</v>
      </c>
      <c r="Q5" s="45" t="s">
        <v>564</v>
      </c>
      <c r="R5" s="45">
        <v>41.98028</v>
      </c>
      <c r="S5" s="45">
        <v>-87.908997900000003</v>
      </c>
      <c r="T5" s="45">
        <v>42.158000000000001</v>
      </c>
      <c r="U5" s="45" t="s">
        <v>617</v>
      </c>
      <c r="V5" s="45" t="s">
        <v>617</v>
      </c>
      <c r="W5" s="45"/>
      <c r="X5" s="22"/>
      <c r="Y5" s="16">
        <f>Summary_LCIA!H$32</f>
        <v>0.33979999999999999</v>
      </c>
      <c r="Z5" s="16">
        <f>Summary_LCIA!Q$32</f>
        <v>4.9560504329999997</v>
      </c>
      <c r="AA5" s="16">
        <f>Summary_LCIA!R$32</f>
        <v>5.2655999999999996E-3</v>
      </c>
      <c r="AB5" s="16">
        <f>Summary_LCIA!S$32</f>
        <v>0.33538000000000001</v>
      </c>
      <c r="AC5" s="16">
        <f>Summary_LCIA!T$32</f>
        <v>0.1099</v>
      </c>
      <c r="AD5" s="16">
        <f>Summary_LCIA!U$32</f>
        <v>1.7913999999999999E-2</v>
      </c>
      <c r="AE5" s="16">
        <f>Summary_LCIA!V$32</f>
        <v>4.7760999999999999E-5</v>
      </c>
      <c r="AF5" s="16">
        <f>Summary_LCIA!W$32</f>
        <v>7.6970999999999998E-2</v>
      </c>
      <c r="AG5" s="16">
        <f>Summary_LCIA!X$32</f>
        <v>2.2780000000000002E-2</v>
      </c>
      <c r="AH5" s="16">
        <f>Summary_LCIA!Y$32</f>
        <v>1.5582E-2</v>
      </c>
      <c r="AI5" s="16">
        <f>Summary_LCIA!Z$32</f>
        <v>4.1009E-5</v>
      </c>
      <c r="AJ5" s="16">
        <f>Summary_LCIA!AA$32</f>
        <v>2.3355999999999998E-2</v>
      </c>
      <c r="AK5" s="16">
        <f>Summary_LCIA!AB$32</f>
        <v>-2.1823000000000001E-5</v>
      </c>
      <c r="AL5" s="16">
        <f>Summary_LCIA!AC$32</f>
        <v>4.8884000000000003E-8</v>
      </c>
      <c r="AM5" s="16">
        <f>Summary_LCIA!AD$32</f>
        <v>4.1103999999999999E-4</v>
      </c>
      <c r="AN5" s="16">
        <f>Summary_LCIA!AE$32</f>
        <v>8.8612999999999995E-4</v>
      </c>
      <c r="AO5" s="16">
        <f>Summary_LCIA!AF$32</f>
        <v>8.4542000000000005E-4</v>
      </c>
      <c r="AP5" s="16">
        <f>Summary_LCIA!AG$32</f>
        <v>5.1165000000000002E-5</v>
      </c>
      <c r="AQ5" s="16">
        <f>Summary_LCIA!AH$32</f>
        <v>8.7036000000000006E-3</v>
      </c>
      <c r="AR5" s="16">
        <f>Summary_LCIA!AI$32</f>
        <v>9.3154999999999996E-4</v>
      </c>
      <c r="AT5" s="16">
        <f t="shared" si="2"/>
        <v>14.3252884</v>
      </c>
      <c r="AU5" s="16">
        <f t="shared" si="1"/>
        <v>208.93717415441398</v>
      </c>
      <c r="AV5" s="16">
        <f t="shared" si="1"/>
        <v>0.2219871648</v>
      </c>
      <c r="AW5" s="16">
        <f t="shared" si="1"/>
        <v>14.138950040000001</v>
      </c>
      <c r="AX5" s="16">
        <f t="shared" si="1"/>
        <v>4.6331642000000004</v>
      </c>
      <c r="AY5" s="16">
        <f t="shared" si="1"/>
        <v>0.75521841199999995</v>
      </c>
      <c r="AZ5" s="16">
        <f t="shared" si="1"/>
        <v>2.0135082380000001E-3</v>
      </c>
      <c r="BA5" s="16">
        <f t="shared" si="1"/>
        <v>3.2449434180000001</v>
      </c>
      <c r="BB5" s="16">
        <f t="shared" si="1"/>
        <v>0.96035924000000006</v>
      </c>
      <c r="BC5" s="16">
        <f t="shared" si="1"/>
        <v>0.65690595600000001</v>
      </c>
      <c r="BD5" s="16">
        <f t="shared" si="1"/>
        <v>1.7288574220000001E-3</v>
      </c>
      <c r="BE5" s="16">
        <f t="shared" si="1"/>
        <v>0.984642248</v>
      </c>
      <c r="BF5" s="16">
        <f t="shared" si="1"/>
        <v>-9.2001403400000011E-4</v>
      </c>
      <c r="BG5" s="16">
        <f t="shared" si="1"/>
        <v>2.0608516720000001E-6</v>
      </c>
      <c r="BH5" s="16">
        <f t="shared" si="1"/>
        <v>1.732862432E-2</v>
      </c>
      <c r="BI5" s="16">
        <f t="shared" si="1"/>
        <v>3.7357468540000001E-2</v>
      </c>
      <c r="BJ5" s="16">
        <f t="shared" si="1"/>
        <v>3.5641216360000005E-2</v>
      </c>
      <c r="BK5" s="16">
        <f t="shared" si="1"/>
        <v>2.1570140700000002E-3</v>
      </c>
      <c r="BL5" s="16">
        <f t="shared" si="1"/>
        <v>0.36692636880000001</v>
      </c>
      <c r="BM5" s="16">
        <f t="shared" si="1"/>
        <v>3.9272284900000003E-2</v>
      </c>
      <c r="BN5" s="16"/>
    </row>
    <row r="6" spans="1:66" x14ac:dyDescent="0.25">
      <c r="A6" s="159">
        <v>121</v>
      </c>
      <c r="B6" s="159">
        <v>6</v>
      </c>
      <c r="C6" s="45">
        <v>41.712980000000002</v>
      </c>
      <c r="D6" s="45">
        <v>-87.960780999999997</v>
      </c>
      <c r="E6" s="45" t="s">
        <v>265</v>
      </c>
      <c r="F6" s="159">
        <v>88</v>
      </c>
      <c r="G6" s="45" t="s">
        <v>674</v>
      </c>
      <c r="H6" s="45" t="s">
        <v>675</v>
      </c>
      <c r="I6" s="45">
        <v>41.786776000000003</v>
      </c>
      <c r="J6" s="45">
        <v>-87.752188000000004</v>
      </c>
      <c r="K6" s="45">
        <v>21.68769485</v>
      </c>
      <c r="L6" s="45">
        <v>26.821000000000002</v>
      </c>
      <c r="M6" s="45" t="s">
        <v>617</v>
      </c>
      <c r="N6" s="159">
        <v>5</v>
      </c>
      <c r="O6" s="159">
        <v>6</v>
      </c>
      <c r="P6" s="45" t="s">
        <v>565</v>
      </c>
      <c r="Q6" s="45" t="s">
        <v>564</v>
      </c>
      <c r="R6" s="45">
        <v>41.98028</v>
      </c>
      <c r="S6" s="45">
        <v>-87.908997900000003</v>
      </c>
      <c r="T6" s="45">
        <v>42.777999999999999</v>
      </c>
      <c r="U6" s="45" t="s">
        <v>617</v>
      </c>
      <c r="V6" s="45" t="s">
        <v>617</v>
      </c>
      <c r="W6" s="45"/>
      <c r="X6" s="22"/>
      <c r="Y6" s="16">
        <f>Summary_LCIA!H$32</f>
        <v>0.33979999999999999</v>
      </c>
      <c r="Z6" s="16">
        <f>Summary_LCIA!Q$32</f>
        <v>4.9560504329999997</v>
      </c>
      <c r="AA6" s="16">
        <f>Summary_LCIA!R$32</f>
        <v>5.2655999999999996E-3</v>
      </c>
      <c r="AB6" s="16">
        <f>Summary_LCIA!S$32</f>
        <v>0.33538000000000001</v>
      </c>
      <c r="AC6" s="16">
        <f>Summary_LCIA!T$32</f>
        <v>0.1099</v>
      </c>
      <c r="AD6" s="16">
        <f>Summary_LCIA!U$32</f>
        <v>1.7913999999999999E-2</v>
      </c>
      <c r="AE6" s="16">
        <f>Summary_LCIA!V$32</f>
        <v>4.7760999999999999E-5</v>
      </c>
      <c r="AF6" s="16">
        <f>Summary_LCIA!W$32</f>
        <v>7.6970999999999998E-2</v>
      </c>
      <c r="AG6" s="16">
        <f>Summary_LCIA!X$32</f>
        <v>2.2780000000000002E-2</v>
      </c>
      <c r="AH6" s="16">
        <f>Summary_LCIA!Y$32</f>
        <v>1.5582E-2</v>
      </c>
      <c r="AI6" s="16">
        <f>Summary_LCIA!Z$32</f>
        <v>4.1009E-5</v>
      </c>
      <c r="AJ6" s="16">
        <f>Summary_LCIA!AA$32</f>
        <v>2.3355999999999998E-2</v>
      </c>
      <c r="AK6" s="16">
        <f>Summary_LCIA!AB$32</f>
        <v>-2.1823000000000001E-5</v>
      </c>
      <c r="AL6" s="16">
        <f>Summary_LCIA!AC$32</f>
        <v>4.8884000000000003E-8</v>
      </c>
      <c r="AM6" s="16">
        <f>Summary_LCIA!AD$32</f>
        <v>4.1103999999999999E-4</v>
      </c>
      <c r="AN6" s="16">
        <f>Summary_LCIA!AE$32</f>
        <v>8.8612999999999995E-4</v>
      </c>
      <c r="AO6" s="16">
        <f>Summary_LCIA!AF$32</f>
        <v>8.4542000000000005E-4</v>
      </c>
      <c r="AP6" s="16">
        <f>Summary_LCIA!AG$32</f>
        <v>5.1165000000000002E-5</v>
      </c>
      <c r="AQ6" s="16">
        <f>Summary_LCIA!AH$32</f>
        <v>8.7036000000000006E-3</v>
      </c>
      <c r="AR6" s="16">
        <f>Summary_LCIA!AI$32</f>
        <v>9.3154999999999996E-4</v>
      </c>
      <c r="AT6" s="16">
        <f t="shared" si="2"/>
        <v>14.535964399999999</v>
      </c>
      <c r="AU6" s="16">
        <f t="shared" si="1"/>
        <v>212.00992542287398</v>
      </c>
      <c r="AV6" s="16">
        <f t="shared" si="1"/>
        <v>0.22525183679999997</v>
      </c>
      <c r="AW6" s="16">
        <f t="shared" si="1"/>
        <v>14.34688564</v>
      </c>
      <c r="AX6" s="16">
        <f t="shared" si="1"/>
        <v>4.7013021999999998</v>
      </c>
      <c r="AY6" s="16">
        <f t="shared" si="1"/>
        <v>0.76632509199999999</v>
      </c>
      <c r="AZ6" s="16">
        <f t="shared" si="1"/>
        <v>2.043120058E-3</v>
      </c>
      <c r="BA6" s="16">
        <f t="shared" si="1"/>
        <v>3.2926654379999998</v>
      </c>
      <c r="BB6" s="16">
        <f t="shared" si="1"/>
        <v>0.97448284000000007</v>
      </c>
      <c r="BC6" s="16">
        <f t="shared" si="1"/>
        <v>0.66656679600000002</v>
      </c>
      <c r="BD6" s="16">
        <f t="shared" si="1"/>
        <v>1.7542830019999999E-3</v>
      </c>
      <c r="BE6" s="16">
        <f t="shared" si="1"/>
        <v>0.99912296799999989</v>
      </c>
      <c r="BF6" s="16">
        <f t="shared" si="1"/>
        <v>-9.3354429400000004E-4</v>
      </c>
      <c r="BG6" s="16">
        <f t="shared" si="1"/>
        <v>2.0911597520000001E-6</v>
      </c>
      <c r="BH6" s="16">
        <f t="shared" si="1"/>
        <v>1.758346912E-2</v>
      </c>
      <c r="BI6" s="16">
        <f t="shared" si="1"/>
        <v>3.7906869139999994E-2</v>
      </c>
      <c r="BJ6" s="16">
        <f t="shared" si="1"/>
        <v>3.616537676E-2</v>
      </c>
      <c r="BK6" s="16">
        <f t="shared" si="1"/>
        <v>2.18873637E-3</v>
      </c>
      <c r="BL6" s="16">
        <f t="shared" si="1"/>
        <v>0.37232260080000001</v>
      </c>
      <c r="BM6" s="16">
        <f t="shared" si="1"/>
        <v>3.98498459E-2</v>
      </c>
      <c r="BN6" s="16"/>
    </row>
    <row r="7" spans="1:66" x14ac:dyDescent="0.25">
      <c r="A7" s="159">
        <v>122</v>
      </c>
      <c r="B7" s="159">
        <v>6</v>
      </c>
      <c r="C7" s="45">
        <v>41.712980000000002</v>
      </c>
      <c r="D7" s="45">
        <v>-87.960780999999997</v>
      </c>
      <c r="E7" s="45" t="s">
        <v>265</v>
      </c>
      <c r="F7" s="159">
        <v>88</v>
      </c>
      <c r="G7" s="45" t="s">
        <v>674</v>
      </c>
      <c r="H7" s="45" t="s">
        <v>675</v>
      </c>
      <c r="I7" s="45">
        <v>41.786776000000003</v>
      </c>
      <c r="J7" s="45">
        <v>-87.752188000000004</v>
      </c>
      <c r="K7" s="45">
        <v>21.68769485</v>
      </c>
      <c r="L7" s="45">
        <v>26.821000000000002</v>
      </c>
      <c r="M7" s="45" t="s">
        <v>617</v>
      </c>
      <c r="N7" s="159">
        <v>5</v>
      </c>
      <c r="O7" s="159">
        <v>6</v>
      </c>
      <c r="P7" s="45" t="s">
        <v>565</v>
      </c>
      <c r="Q7" s="45" t="s">
        <v>564</v>
      </c>
      <c r="R7" s="45">
        <v>41.98028</v>
      </c>
      <c r="S7" s="45">
        <v>-87.908997900000003</v>
      </c>
      <c r="T7" s="45">
        <v>42.777999999999999</v>
      </c>
      <c r="U7" s="45" t="s">
        <v>617</v>
      </c>
      <c r="V7" s="45" t="s">
        <v>617</v>
      </c>
      <c r="W7" s="45"/>
      <c r="X7" s="22"/>
      <c r="Y7" s="16">
        <f>Summary_LCIA!H$32</f>
        <v>0.33979999999999999</v>
      </c>
      <c r="Z7" s="16">
        <f>Summary_LCIA!Q$32</f>
        <v>4.9560504329999997</v>
      </c>
      <c r="AA7" s="16">
        <f>Summary_LCIA!R$32</f>
        <v>5.2655999999999996E-3</v>
      </c>
      <c r="AB7" s="16">
        <f>Summary_LCIA!S$32</f>
        <v>0.33538000000000001</v>
      </c>
      <c r="AC7" s="16">
        <f>Summary_LCIA!T$32</f>
        <v>0.1099</v>
      </c>
      <c r="AD7" s="16">
        <f>Summary_LCIA!U$32</f>
        <v>1.7913999999999999E-2</v>
      </c>
      <c r="AE7" s="16">
        <f>Summary_LCIA!V$32</f>
        <v>4.7760999999999999E-5</v>
      </c>
      <c r="AF7" s="16">
        <f>Summary_LCIA!W$32</f>
        <v>7.6970999999999998E-2</v>
      </c>
      <c r="AG7" s="16">
        <f>Summary_LCIA!X$32</f>
        <v>2.2780000000000002E-2</v>
      </c>
      <c r="AH7" s="16">
        <f>Summary_LCIA!Y$32</f>
        <v>1.5582E-2</v>
      </c>
      <c r="AI7" s="16">
        <f>Summary_LCIA!Z$32</f>
        <v>4.1009E-5</v>
      </c>
      <c r="AJ7" s="16">
        <f>Summary_LCIA!AA$32</f>
        <v>2.3355999999999998E-2</v>
      </c>
      <c r="AK7" s="16">
        <f>Summary_LCIA!AB$32</f>
        <v>-2.1823000000000001E-5</v>
      </c>
      <c r="AL7" s="16">
        <f>Summary_LCIA!AC$32</f>
        <v>4.8884000000000003E-8</v>
      </c>
      <c r="AM7" s="16">
        <f>Summary_LCIA!AD$32</f>
        <v>4.1103999999999999E-4</v>
      </c>
      <c r="AN7" s="16">
        <f>Summary_LCIA!AE$32</f>
        <v>8.8612999999999995E-4</v>
      </c>
      <c r="AO7" s="16">
        <f>Summary_LCIA!AF$32</f>
        <v>8.4542000000000005E-4</v>
      </c>
      <c r="AP7" s="16">
        <f>Summary_LCIA!AG$32</f>
        <v>5.1165000000000002E-5</v>
      </c>
      <c r="AQ7" s="16">
        <f>Summary_LCIA!AH$32</f>
        <v>8.7036000000000006E-3</v>
      </c>
      <c r="AR7" s="16">
        <f>Summary_LCIA!AI$32</f>
        <v>9.3154999999999996E-4</v>
      </c>
      <c r="AT7" s="16">
        <f t="shared" si="2"/>
        <v>14.535964399999999</v>
      </c>
      <c r="AU7" s="16">
        <f t="shared" si="1"/>
        <v>212.00992542287398</v>
      </c>
      <c r="AV7" s="16">
        <f t="shared" si="1"/>
        <v>0.22525183679999997</v>
      </c>
      <c r="AW7" s="16">
        <f t="shared" si="1"/>
        <v>14.34688564</v>
      </c>
      <c r="AX7" s="16">
        <f t="shared" si="1"/>
        <v>4.7013021999999998</v>
      </c>
      <c r="AY7" s="16">
        <f t="shared" si="1"/>
        <v>0.76632509199999999</v>
      </c>
      <c r="AZ7" s="16">
        <f t="shared" si="1"/>
        <v>2.043120058E-3</v>
      </c>
      <c r="BA7" s="16">
        <f t="shared" si="1"/>
        <v>3.2926654379999998</v>
      </c>
      <c r="BB7" s="16">
        <f t="shared" si="1"/>
        <v>0.97448284000000007</v>
      </c>
      <c r="BC7" s="16">
        <f t="shared" si="1"/>
        <v>0.66656679600000002</v>
      </c>
      <c r="BD7" s="16">
        <f t="shared" si="1"/>
        <v>1.7542830019999999E-3</v>
      </c>
      <c r="BE7" s="16">
        <f t="shared" si="1"/>
        <v>0.99912296799999989</v>
      </c>
      <c r="BF7" s="16">
        <f t="shared" si="1"/>
        <v>-9.3354429400000004E-4</v>
      </c>
      <c r="BG7" s="16">
        <f t="shared" si="1"/>
        <v>2.0911597520000001E-6</v>
      </c>
      <c r="BH7" s="16">
        <f t="shared" si="1"/>
        <v>1.758346912E-2</v>
      </c>
      <c r="BI7" s="16">
        <f t="shared" si="1"/>
        <v>3.7906869139999994E-2</v>
      </c>
      <c r="BJ7" s="16">
        <f t="shared" si="1"/>
        <v>3.616537676E-2</v>
      </c>
      <c r="BK7" s="16">
        <f t="shared" si="1"/>
        <v>2.18873637E-3</v>
      </c>
      <c r="BL7" s="16">
        <f t="shared" si="1"/>
        <v>0.37232260080000001</v>
      </c>
      <c r="BM7" s="16">
        <f t="shared" si="1"/>
        <v>3.98498459E-2</v>
      </c>
      <c r="BN7" s="16"/>
    </row>
    <row r="8" spans="1:66" x14ac:dyDescent="0.25">
      <c r="A8" s="159">
        <v>123</v>
      </c>
      <c r="B8" s="159">
        <v>6</v>
      </c>
      <c r="C8" s="45">
        <v>41.712980000000002</v>
      </c>
      <c r="D8" s="45">
        <v>-87.960780999999997</v>
      </c>
      <c r="E8" s="45" t="s">
        <v>265</v>
      </c>
      <c r="F8" s="159">
        <v>88</v>
      </c>
      <c r="G8" s="45" t="s">
        <v>674</v>
      </c>
      <c r="H8" s="45" t="s">
        <v>675</v>
      </c>
      <c r="I8" s="45">
        <v>41.786776000000003</v>
      </c>
      <c r="J8" s="45">
        <v>-87.752188000000004</v>
      </c>
      <c r="K8" s="45">
        <v>21.68769485</v>
      </c>
      <c r="L8" s="45">
        <v>26.821000000000002</v>
      </c>
      <c r="M8" s="45" t="s">
        <v>617</v>
      </c>
      <c r="N8" s="159">
        <v>5</v>
      </c>
      <c r="O8" s="159">
        <v>6</v>
      </c>
      <c r="P8" s="45" t="s">
        <v>565</v>
      </c>
      <c r="Q8" s="45" t="s">
        <v>564</v>
      </c>
      <c r="R8" s="45">
        <v>41.98028</v>
      </c>
      <c r="S8" s="45">
        <v>-87.908997900000003</v>
      </c>
      <c r="T8" s="45">
        <v>42.777999999999999</v>
      </c>
      <c r="U8" s="45" t="s">
        <v>617</v>
      </c>
      <c r="V8" s="45" t="s">
        <v>617</v>
      </c>
      <c r="W8" s="45"/>
      <c r="X8" s="22"/>
      <c r="Y8" s="16">
        <f>Summary_LCIA!H$32</f>
        <v>0.33979999999999999</v>
      </c>
      <c r="Z8" s="16">
        <f>Summary_LCIA!Q$32</f>
        <v>4.9560504329999997</v>
      </c>
      <c r="AA8" s="16">
        <f>Summary_LCIA!R$32</f>
        <v>5.2655999999999996E-3</v>
      </c>
      <c r="AB8" s="16">
        <f>Summary_LCIA!S$32</f>
        <v>0.33538000000000001</v>
      </c>
      <c r="AC8" s="16">
        <f>Summary_LCIA!T$32</f>
        <v>0.1099</v>
      </c>
      <c r="AD8" s="16">
        <f>Summary_LCIA!U$32</f>
        <v>1.7913999999999999E-2</v>
      </c>
      <c r="AE8" s="16">
        <f>Summary_LCIA!V$32</f>
        <v>4.7760999999999999E-5</v>
      </c>
      <c r="AF8" s="16">
        <f>Summary_LCIA!W$32</f>
        <v>7.6970999999999998E-2</v>
      </c>
      <c r="AG8" s="16">
        <f>Summary_LCIA!X$32</f>
        <v>2.2780000000000002E-2</v>
      </c>
      <c r="AH8" s="16">
        <f>Summary_LCIA!Y$32</f>
        <v>1.5582E-2</v>
      </c>
      <c r="AI8" s="16">
        <f>Summary_LCIA!Z$32</f>
        <v>4.1009E-5</v>
      </c>
      <c r="AJ8" s="16">
        <f>Summary_LCIA!AA$32</f>
        <v>2.3355999999999998E-2</v>
      </c>
      <c r="AK8" s="16">
        <f>Summary_LCIA!AB$32</f>
        <v>-2.1823000000000001E-5</v>
      </c>
      <c r="AL8" s="16">
        <f>Summary_LCIA!AC$32</f>
        <v>4.8884000000000003E-8</v>
      </c>
      <c r="AM8" s="16">
        <f>Summary_LCIA!AD$32</f>
        <v>4.1103999999999999E-4</v>
      </c>
      <c r="AN8" s="16">
        <f>Summary_LCIA!AE$32</f>
        <v>8.8612999999999995E-4</v>
      </c>
      <c r="AO8" s="16">
        <f>Summary_LCIA!AF$32</f>
        <v>8.4542000000000005E-4</v>
      </c>
      <c r="AP8" s="16">
        <f>Summary_LCIA!AG$32</f>
        <v>5.1165000000000002E-5</v>
      </c>
      <c r="AQ8" s="16">
        <f>Summary_LCIA!AH$32</f>
        <v>8.7036000000000006E-3</v>
      </c>
      <c r="AR8" s="16">
        <f>Summary_LCIA!AI$32</f>
        <v>9.3154999999999996E-4</v>
      </c>
      <c r="AT8" s="16">
        <f t="shared" si="2"/>
        <v>14.535964399999999</v>
      </c>
      <c r="AU8" s="16">
        <f t="shared" si="1"/>
        <v>212.00992542287398</v>
      </c>
      <c r="AV8" s="16">
        <f t="shared" si="1"/>
        <v>0.22525183679999997</v>
      </c>
      <c r="AW8" s="16">
        <f t="shared" si="1"/>
        <v>14.34688564</v>
      </c>
      <c r="AX8" s="16">
        <f t="shared" si="1"/>
        <v>4.7013021999999998</v>
      </c>
      <c r="AY8" s="16">
        <f t="shared" si="1"/>
        <v>0.76632509199999999</v>
      </c>
      <c r="AZ8" s="16">
        <f t="shared" si="1"/>
        <v>2.043120058E-3</v>
      </c>
      <c r="BA8" s="16">
        <f t="shared" si="1"/>
        <v>3.2926654379999998</v>
      </c>
      <c r="BB8" s="16">
        <f t="shared" si="1"/>
        <v>0.97448284000000007</v>
      </c>
      <c r="BC8" s="16">
        <f t="shared" si="1"/>
        <v>0.66656679600000002</v>
      </c>
      <c r="BD8" s="16">
        <f t="shared" si="1"/>
        <v>1.7542830019999999E-3</v>
      </c>
      <c r="BE8" s="16">
        <f t="shared" si="1"/>
        <v>0.99912296799999989</v>
      </c>
      <c r="BF8" s="16">
        <f t="shared" si="1"/>
        <v>-9.3354429400000004E-4</v>
      </c>
      <c r="BG8" s="16">
        <f t="shared" si="1"/>
        <v>2.0911597520000001E-6</v>
      </c>
      <c r="BH8" s="16">
        <f t="shared" si="1"/>
        <v>1.758346912E-2</v>
      </c>
      <c r="BI8" s="16">
        <f t="shared" si="1"/>
        <v>3.7906869139999994E-2</v>
      </c>
      <c r="BJ8" s="16">
        <f t="shared" si="1"/>
        <v>3.616537676E-2</v>
      </c>
      <c r="BK8" s="16">
        <f t="shared" si="1"/>
        <v>2.18873637E-3</v>
      </c>
      <c r="BL8" s="16">
        <f t="shared" si="1"/>
        <v>0.37232260080000001</v>
      </c>
      <c r="BM8" s="16">
        <f t="shared" si="1"/>
        <v>3.98498459E-2</v>
      </c>
      <c r="BN8" s="16"/>
    </row>
    <row r="9" spans="1:66" x14ac:dyDescent="0.25">
      <c r="A9" s="159">
        <v>124</v>
      </c>
      <c r="B9" s="159">
        <v>6</v>
      </c>
      <c r="C9" s="45">
        <v>41.712980000000002</v>
      </c>
      <c r="D9" s="45">
        <v>-87.960780999999997</v>
      </c>
      <c r="E9" s="45" t="s">
        <v>265</v>
      </c>
      <c r="F9" s="159">
        <v>88</v>
      </c>
      <c r="G9" s="45" t="s">
        <v>674</v>
      </c>
      <c r="H9" s="45" t="s">
        <v>675</v>
      </c>
      <c r="I9" s="45">
        <v>41.786776000000003</v>
      </c>
      <c r="J9" s="45">
        <v>-87.752188000000004</v>
      </c>
      <c r="K9" s="45">
        <v>21.68769485</v>
      </c>
      <c r="L9" s="45">
        <v>26.821000000000002</v>
      </c>
      <c r="M9" s="45" t="s">
        <v>617</v>
      </c>
      <c r="N9" s="159">
        <v>5</v>
      </c>
      <c r="O9" s="159">
        <v>6</v>
      </c>
      <c r="P9" s="45" t="s">
        <v>565</v>
      </c>
      <c r="Q9" s="45" t="s">
        <v>564</v>
      </c>
      <c r="R9" s="45">
        <v>41.98028</v>
      </c>
      <c r="S9" s="45">
        <v>-87.908997900000003</v>
      </c>
      <c r="T9" s="45">
        <v>42.777999999999999</v>
      </c>
      <c r="U9" s="45" t="s">
        <v>617</v>
      </c>
      <c r="V9" s="45" t="s">
        <v>617</v>
      </c>
      <c r="W9" s="45"/>
      <c r="X9" s="22"/>
      <c r="Y9" s="16">
        <f>Summary_LCIA!H$32</f>
        <v>0.33979999999999999</v>
      </c>
      <c r="Z9" s="16">
        <f>Summary_LCIA!Q$32</f>
        <v>4.9560504329999997</v>
      </c>
      <c r="AA9" s="16">
        <f>Summary_LCIA!R$32</f>
        <v>5.2655999999999996E-3</v>
      </c>
      <c r="AB9" s="16">
        <f>Summary_LCIA!S$32</f>
        <v>0.33538000000000001</v>
      </c>
      <c r="AC9" s="16">
        <f>Summary_LCIA!T$32</f>
        <v>0.1099</v>
      </c>
      <c r="AD9" s="16">
        <f>Summary_LCIA!U$32</f>
        <v>1.7913999999999999E-2</v>
      </c>
      <c r="AE9" s="16">
        <f>Summary_LCIA!V$32</f>
        <v>4.7760999999999999E-5</v>
      </c>
      <c r="AF9" s="16">
        <f>Summary_LCIA!W$32</f>
        <v>7.6970999999999998E-2</v>
      </c>
      <c r="AG9" s="16">
        <f>Summary_LCIA!X$32</f>
        <v>2.2780000000000002E-2</v>
      </c>
      <c r="AH9" s="16">
        <f>Summary_LCIA!Y$32</f>
        <v>1.5582E-2</v>
      </c>
      <c r="AI9" s="16">
        <f>Summary_LCIA!Z$32</f>
        <v>4.1009E-5</v>
      </c>
      <c r="AJ9" s="16">
        <f>Summary_LCIA!AA$32</f>
        <v>2.3355999999999998E-2</v>
      </c>
      <c r="AK9" s="16">
        <f>Summary_LCIA!AB$32</f>
        <v>-2.1823000000000001E-5</v>
      </c>
      <c r="AL9" s="16">
        <f>Summary_LCIA!AC$32</f>
        <v>4.8884000000000003E-8</v>
      </c>
      <c r="AM9" s="16">
        <f>Summary_LCIA!AD$32</f>
        <v>4.1103999999999999E-4</v>
      </c>
      <c r="AN9" s="16">
        <f>Summary_LCIA!AE$32</f>
        <v>8.8612999999999995E-4</v>
      </c>
      <c r="AO9" s="16">
        <f>Summary_LCIA!AF$32</f>
        <v>8.4542000000000005E-4</v>
      </c>
      <c r="AP9" s="16">
        <f>Summary_LCIA!AG$32</f>
        <v>5.1165000000000002E-5</v>
      </c>
      <c r="AQ9" s="16">
        <f>Summary_LCIA!AH$32</f>
        <v>8.7036000000000006E-3</v>
      </c>
      <c r="AR9" s="16">
        <f>Summary_LCIA!AI$32</f>
        <v>9.3154999999999996E-4</v>
      </c>
      <c r="AT9" s="16">
        <f t="shared" si="2"/>
        <v>14.535964399999999</v>
      </c>
      <c r="AU9" s="16">
        <f t="shared" si="1"/>
        <v>212.00992542287398</v>
      </c>
      <c r="AV9" s="16">
        <f t="shared" si="1"/>
        <v>0.22525183679999997</v>
      </c>
      <c r="AW9" s="16">
        <f t="shared" si="1"/>
        <v>14.34688564</v>
      </c>
      <c r="AX9" s="16">
        <f t="shared" si="1"/>
        <v>4.7013021999999998</v>
      </c>
      <c r="AY9" s="16">
        <f t="shared" si="1"/>
        <v>0.76632509199999999</v>
      </c>
      <c r="AZ9" s="16">
        <f t="shared" si="1"/>
        <v>2.043120058E-3</v>
      </c>
      <c r="BA9" s="16">
        <f t="shared" si="1"/>
        <v>3.2926654379999998</v>
      </c>
      <c r="BB9" s="16">
        <f t="shared" si="1"/>
        <v>0.97448284000000007</v>
      </c>
      <c r="BC9" s="16">
        <f t="shared" si="1"/>
        <v>0.66656679600000002</v>
      </c>
      <c r="BD9" s="16">
        <f t="shared" si="1"/>
        <v>1.7542830019999999E-3</v>
      </c>
      <c r="BE9" s="16">
        <f t="shared" si="1"/>
        <v>0.99912296799999989</v>
      </c>
      <c r="BF9" s="16">
        <f t="shared" si="1"/>
        <v>-9.3354429400000004E-4</v>
      </c>
      <c r="BG9" s="16">
        <f t="shared" si="1"/>
        <v>2.0911597520000001E-6</v>
      </c>
      <c r="BH9" s="16">
        <f t="shared" si="1"/>
        <v>1.758346912E-2</v>
      </c>
      <c r="BI9" s="16">
        <f t="shared" si="1"/>
        <v>3.7906869139999994E-2</v>
      </c>
      <c r="BJ9" s="16">
        <f t="shared" si="1"/>
        <v>3.616537676E-2</v>
      </c>
      <c r="BK9" s="16">
        <f t="shared" si="1"/>
        <v>2.18873637E-3</v>
      </c>
      <c r="BL9" s="16">
        <f t="shared" si="1"/>
        <v>0.37232260080000001</v>
      </c>
      <c r="BM9" s="16">
        <f t="shared" si="1"/>
        <v>3.98498459E-2</v>
      </c>
      <c r="BN9" s="16"/>
    </row>
    <row r="10" spans="1:66" x14ac:dyDescent="0.25">
      <c r="A10" s="159">
        <v>125</v>
      </c>
      <c r="B10" s="159">
        <v>6</v>
      </c>
      <c r="C10" s="45">
        <v>41.712980000000002</v>
      </c>
      <c r="D10" s="45">
        <v>-87.960780999999997</v>
      </c>
      <c r="E10" s="45" t="s">
        <v>265</v>
      </c>
      <c r="F10" s="159">
        <v>88</v>
      </c>
      <c r="G10" s="45" t="s">
        <v>674</v>
      </c>
      <c r="H10" s="45" t="s">
        <v>675</v>
      </c>
      <c r="I10" s="45">
        <v>41.786776000000003</v>
      </c>
      <c r="J10" s="45">
        <v>-87.752188000000004</v>
      </c>
      <c r="K10" s="45">
        <v>21.68769485</v>
      </c>
      <c r="L10" s="45">
        <v>26.821000000000002</v>
      </c>
      <c r="M10" s="45" t="s">
        <v>617</v>
      </c>
      <c r="N10" s="159">
        <v>5</v>
      </c>
      <c r="O10" s="159">
        <v>6</v>
      </c>
      <c r="P10" s="45" t="s">
        <v>565</v>
      </c>
      <c r="Q10" s="45" t="s">
        <v>564</v>
      </c>
      <c r="R10" s="45">
        <v>41.98028</v>
      </c>
      <c r="S10" s="45">
        <v>-87.908997900000003</v>
      </c>
      <c r="T10" s="45">
        <v>42.777999999999999</v>
      </c>
      <c r="U10" s="45" t="s">
        <v>617</v>
      </c>
      <c r="V10" s="45" t="s">
        <v>617</v>
      </c>
      <c r="W10" s="45"/>
      <c r="X10" s="22"/>
      <c r="Y10" s="16">
        <f>Summary_LCIA!H$32</f>
        <v>0.33979999999999999</v>
      </c>
      <c r="Z10" s="16">
        <f>Summary_LCIA!Q$32</f>
        <v>4.9560504329999997</v>
      </c>
      <c r="AA10" s="16">
        <f>Summary_LCIA!R$32</f>
        <v>5.2655999999999996E-3</v>
      </c>
      <c r="AB10" s="16">
        <f>Summary_LCIA!S$32</f>
        <v>0.33538000000000001</v>
      </c>
      <c r="AC10" s="16">
        <f>Summary_LCIA!T$32</f>
        <v>0.1099</v>
      </c>
      <c r="AD10" s="16">
        <f>Summary_LCIA!U$32</f>
        <v>1.7913999999999999E-2</v>
      </c>
      <c r="AE10" s="16">
        <f>Summary_LCIA!V$32</f>
        <v>4.7760999999999999E-5</v>
      </c>
      <c r="AF10" s="16">
        <f>Summary_LCIA!W$32</f>
        <v>7.6970999999999998E-2</v>
      </c>
      <c r="AG10" s="16">
        <f>Summary_LCIA!X$32</f>
        <v>2.2780000000000002E-2</v>
      </c>
      <c r="AH10" s="16">
        <f>Summary_LCIA!Y$32</f>
        <v>1.5582E-2</v>
      </c>
      <c r="AI10" s="16">
        <f>Summary_LCIA!Z$32</f>
        <v>4.1009E-5</v>
      </c>
      <c r="AJ10" s="16">
        <f>Summary_LCIA!AA$32</f>
        <v>2.3355999999999998E-2</v>
      </c>
      <c r="AK10" s="16">
        <f>Summary_LCIA!AB$32</f>
        <v>-2.1823000000000001E-5</v>
      </c>
      <c r="AL10" s="16">
        <f>Summary_LCIA!AC$32</f>
        <v>4.8884000000000003E-8</v>
      </c>
      <c r="AM10" s="16">
        <f>Summary_LCIA!AD$32</f>
        <v>4.1103999999999999E-4</v>
      </c>
      <c r="AN10" s="16">
        <f>Summary_LCIA!AE$32</f>
        <v>8.8612999999999995E-4</v>
      </c>
      <c r="AO10" s="16">
        <f>Summary_LCIA!AF$32</f>
        <v>8.4542000000000005E-4</v>
      </c>
      <c r="AP10" s="16">
        <f>Summary_LCIA!AG$32</f>
        <v>5.1165000000000002E-5</v>
      </c>
      <c r="AQ10" s="16">
        <f>Summary_LCIA!AH$32</f>
        <v>8.7036000000000006E-3</v>
      </c>
      <c r="AR10" s="16">
        <f>Summary_LCIA!AI$32</f>
        <v>9.3154999999999996E-4</v>
      </c>
      <c r="AT10" s="16">
        <f t="shared" si="2"/>
        <v>14.535964399999999</v>
      </c>
      <c r="AU10" s="16">
        <f t="shared" si="1"/>
        <v>212.00992542287398</v>
      </c>
      <c r="AV10" s="16">
        <f t="shared" si="1"/>
        <v>0.22525183679999997</v>
      </c>
      <c r="AW10" s="16">
        <f t="shared" si="1"/>
        <v>14.34688564</v>
      </c>
      <c r="AX10" s="16">
        <f t="shared" si="1"/>
        <v>4.7013021999999998</v>
      </c>
      <c r="AY10" s="16">
        <f t="shared" si="1"/>
        <v>0.76632509199999999</v>
      </c>
      <c r="AZ10" s="16">
        <f t="shared" si="1"/>
        <v>2.043120058E-3</v>
      </c>
      <c r="BA10" s="16">
        <f t="shared" si="1"/>
        <v>3.2926654379999998</v>
      </c>
      <c r="BB10" s="16">
        <f t="shared" si="1"/>
        <v>0.97448284000000007</v>
      </c>
      <c r="BC10" s="16">
        <f t="shared" si="1"/>
        <v>0.66656679600000002</v>
      </c>
      <c r="BD10" s="16">
        <f t="shared" si="1"/>
        <v>1.7542830019999999E-3</v>
      </c>
      <c r="BE10" s="16">
        <f t="shared" si="1"/>
        <v>0.99912296799999989</v>
      </c>
      <c r="BF10" s="16">
        <f t="shared" si="1"/>
        <v>-9.3354429400000004E-4</v>
      </c>
      <c r="BG10" s="16">
        <f t="shared" si="1"/>
        <v>2.0911597520000001E-6</v>
      </c>
      <c r="BH10" s="16">
        <f t="shared" si="1"/>
        <v>1.758346912E-2</v>
      </c>
      <c r="BI10" s="16">
        <f t="shared" si="1"/>
        <v>3.7906869139999994E-2</v>
      </c>
      <c r="BJ10" s="16">
        <f t="shared" si="1"/>
        <v>3.616537676E-2</v>
      </c>
      <c r="BK10" s="16">
        <f t="shared" si="1"/>
        <v>2.18873637E-3</v>
      </c>
      <c r="BL10" s="16">
        <f t="shared" si="1"/>
        <v>0.37232260080000001</v>
      </c>
      <c r="BM10" s="16">
        <f t="shared" si="1"/>
        <v>3.98498459E-2</v>
      </c>
      <c r="BN10" s="16"/>
    </row>
    <row r="11" spans="1:66" x14ac:dyDescent="0.25">
      <c r="A11" s="159">
        <v>126</v>
      </c>
      <c r="B11" s="159">
        <v>6</v>
      </c>
      <c r="C11" s="45">
        <v>41.712980000000002</v>
      </c>
      <c r="D11" s="45">
        <v>-87.960780999999997</v>
      </c>
      <c r="E11" s="45" t="s">
        <v>265</v>
      </c>
      <c r="F11" s="159">
        <v>88</v>
      </c>
      <c r="G11" s="45" t="s">
        <v>674</v>
      </c>
      <c r="H11" s="45" t="s">
        <v>675</v>
      </c>
      <c r="I11" s="45">
        <v>41.786776000000003</v>
      </c>
      <c r="J11" s="45">
        <v>-87.752188000000004</v>
      </c>
      <c r="K11" s="45">
        <v>21.68769485</v>
      </c>
      <c r="L11" s="45">
        <v>26.821000000000002</v>
      </c>
      <c r="M11" s="45" t="s">
        <v>617</v>
      </c>
      <c r="N11" s="159">
        <v>5</v>
      </c>
      <c r="O11" s="159">
        <v>6</v>
      </c>
      <c r="P11" s="45" t="s">
        <v>565</v>
      </c>
      <c r="Q11" s="45" t="s">
        <v>564</v>
      </c>
      <c r="R11" s="45">
        <v>41.98028</v>
      </c>
      <c r="S11" s="45">
        <v>-87.908997900000003</v>
      </c>
      <c r="T11" s="45">
        <v>42.777999999999999</v>
      </c>
      <c r="U11" s="45" t="s">
        <v>617</v>
      </c>
      <c r="V11" s="45" t="s">
        <v>617</v>
      </c>
      <c r="W11" s="45"/>
      <c r="X11" s="22"/>
      <c r="Y11" s="16">
        <f>Summary_LCIA!H$32</f>
        <v>0.33979999999999999</v>
      </c>
      <c r="Z11" s="16">
        <f>Summary_LCIA!Q$32</f>
        <v>4.9560504329999997</v>
      </c>
      <c r="AA11" s="16">
        <f>Summary_LCIA!R$32</f>
        <v>5.2655999999999996E-3</v>
      </c>
      <c r="AB11" s="16">
        <f>Summary_LCIA!S$32</f>
        <v>0.33538000000000001</v>
      </c>
      <c r="AC11" s="16">
        <f>Summary_LCIA!T$32</f>
        <v>0.1099</v>
      </c>
      <c r="AD11" s="16">
        <f>Summary_LCIA!U$32</f>
        <v>1.7913999999999999E-2</v>
      </c>
      <c r="AE11" s="16">
        <f>Summary_LCIA!V$32</f>
        <v>4.7760999999999999E-5</v>
      </c>
      <c r="AF11" s="16">
        <f>Summary_LCIA!W$32</f>
        <v>7.6970999999999998E-2</v>
      </c>
      <c r="AG11" s="16">
        <f>Summary_LCIA!X$32</f>
        <v>2.2780000000000002E-2</v>
      </c>
      <c r="AH11" s="16">
        <f>Summary_LCIA!Y$32</f>
        <v>1.5582E-2</v>
      </c>
      <c r="AI11" s="16">
        <f>Summary_LCIA!Z$32</f>
        <v>4.1009E-5</v>
      </c>
      <c r="AJ11" s="16">
        <f>Summary_LCIA!AA$32</f>
        <v>2.3355999999999998E-2</v>
      </c>
      <c r="AK11" s="16">
        <f>Summary_LCIA!AB$32</f>
        <v>-2.1823000000000001E-5</v>
      </c>
      <c r="AL11" s="16">
        <f>Summary_LCIA!AC$32</f>
        <v>4.8884000000000003E-8</v>
      </c>
      <c r="AM11" s="16">
        <f>Summary_LCIA!AD$32</f>
        <v>4.1103999999999999E-4</v>
      </c>
      <c r="AN11" s="16">
        <f>Summary_LCIA!AE$32</f>
        <v>8.8612999999999995E-4</v>
      </c>
      <c r="AO11" s="16">
        <f>Summary_LCIA!AF$32</f>
        <v>8.4542000000000005E-4</v>
      </c>
      <c r="AP11" s="16">
        <f>Summary_LCIA!AG$32</f>
        <v>5.1165000000000002E-5</v>
      </c>
      <c r="AQ11" s="16">
        <f>Summary_LCIA!AH$32</f>
        <v>8.7036000000000006E-3</v>
      </c>
      <c r="AR11" s="16">
        <f>Summary_LCIA!AI$32</f>
        <v>9.3154999999999996E-4</v>
      </c>
      <c r="AT11" s="16">
        <f t="shared" si="2"/>
        <v>14.535964399999999</v>
      </c>
      <c r="AU11" s="16">
        <f t="shared" si="1"/>
        <v>212.00992542287398</v>
      </c>
      <c r="AV11" s="16">
        <f t="shared" si="1"/>
        <v>0.22525183679999997</v>
      </c>
      <c r="AW11" s="16">
        <f t="shared" si="1"/>
        <v>14.34688564</v>
      </c>
      <c r="AX11" s="16">
        <f t="shared" si="1"/>
        <v>4.7013021999999998</v>
      </c>
      <c r="AY11" s="16">
        <f t="shared" si="1"/>
        <v>0.76632509199999999</v>
      </c>
      <c r="AZ11" s="16">
        <f t="shared" si="1"/>
        <v>2.043120058E-3</v>
      </c>
      <c r="BA11" s="16">
        <f t="shared" si="1"/>
        <v>3.2926654379999998</v>
      </c>
      <c r="BB11" s="16">
        <f t="shared" si="1"/>
        <v>0.97448284000000007</v>
      </c>
      <c r="BC11" s="16">
        <f t="shared" si="1"/>
        <v>0.66656679600000002</v>
      </c>
      <c r="BD11" s="16">
        <f t="shared" si="1"/>
        <v>1.7542830019999999E-3</v>
      </c>
      <c r="BE11" s="16">
        <f t="shared" si="1"/>
        <v>0.99912296799999989</v>
      </c>
      <c r="BF11" s="16">
        <f t="shared" si="1"/>
        <v>-9.3354429400000004E-4</v>
      </c>
      <c r="BG11" s="16">
        <f t="shared" si="1"/>
        <v>2.0911597520000001E-6</v>
      </c>
      <c r="BH11" s="16">
        <f t="shared" si="1"/>
        <v>1.758346912E-2</v>
      </c>
      <c r="BI11" s="16">
        <f t="shared" si="1"/>
        <v>3.7906869139999994E-2</v>
      </c>
      <c r="BJ11" s="16">
        <f t="shared" si="1"/>
        <v>3.616537676E-2</v>
      </c>
      <c r="BK11" s="16">
        <f t="shared" si="1"/>
        <v>2.18873637E-3</v>
      </c>
      <c r="BL11" s="16">
        <f t="shared" si="1"/>
        <v>0.37232260080000001</v>
      </c>
      <c r="BM11" s="16">
        <f t="shared" si="1"/>
        <v>3.98498459E-2</v>
      </c>
      <c r="BN11" s="16"/>
    </row>
    <row r="12" spans="1:66" x14ac:dyDescent="0.25">
      <c r="A12" s="159">
        <v>228</v>
      </c>
      <c r="B12" s="159">
        <v>6</v>
      </c>
      <c r="C12" s="45">
        <v>41.743507000000001</v>
      </c>
      <c r="D12" s="45">
        <v>-88.011847000000003</v>
      </c>
      <c r="E12" s="45" t="s">
        <v>265</v>
      </c>
      <c r="F12" s="159">
        <v>88</v>
      </c>
      <c r="G12" s="45" t="s">
        <v>674</v>
      </c>
      <c r="H12" s="45" t="s">
        <v>675</v>
      </c>
      <c r="I12" s="45">
        <v>41.786776000000003</v>
      </c>
      <c r="J12" s="45">
        <v>-87.752188000000004</v>
      </c>
      <c r="K12" s="45">
        <v>22.97844104</v>
      </c>
      <c r="L12" s="45">
        <v>30.356000000000002</v>
      </c>
      <c r="M12" s="45" t="s">
        <v>617</v>
      </c>
      <c r="N12" s="159">
        <v>5</v>
      </c>
      <c r="O12" s="159">
        <v>6</v>
      </c>
      <c r="P12" s="45" t="s">
        <v>565</v>
      </c>
      <c r="Q12" s="45" t="s">
        <v>564</v>
      </c>
      <c r="R12" s="45">
        <v>41.98028</v>
      </c>
      <c r="S12" s="45">
        <v>-87.908997900000003</v>
      </c>
      <c r="T12" s="45">
        <v>44.277999999999999</v>
      </c>
      <c r="U12" s="45" t="s">
        <v>617</v>
      </c>
      <c r="V12" s="45" t="s">
        <v>617</v>
      </c>
      <c r="W12" s="45"/>
      <c r="X12" s="22"/>
      <c r="Y12" s="16">
        <f>Summary_LCIA!H$32</f>
        <v>0.33979999999999999</v>
      </c>
      <c r="Z12" s="16">
        <f>Summary_LCIA!Q$32</f>
        <v>4.9560504329999997</v>
      </c>
      <c r="AA12" s="16">
        <f>Summary_LCIA!R$32</f>
        <v>5.2655999999999996E-3</v>
      </c>
      <c r="AB12" s="16">
        <f>Summary_LCIA!S$32</f>
        <v>0.33538000000000001</v>
      </c>
      <c r="AC12" s="16">
        <f>Summary_LCIA!T$32</f>
        <v>0.1099</v>
      </c>
      <c r="AD12" s="16">
        <f>Summary_LCIA!U$32</f>
        <v>1.7913999999999999E-2</v>
      </c>
      <c r="AE12" s="16">
        <f>Summary_LCIA!V$32</f>
        <v>4.7760999999999999E-5</v>
      </c>
      <c r="AF12" s="16">
        <f>Summary_LCIA!W$32</f>
        <v>7.6970999999999998E-2</v>
      </c>
      <c r="AG12" s="16">
        <f>Summary_LCIA!X$32</f>
        <v>2.2780000000000002E-2</v>
      </c>
      <c r="AH12" s="16">
        <f>Summary_LCIA!Y$32</f>
        <v>1.5582E-2</v>
      </c>
      <c r="AI12" s="16">
        <f>Summary_LCIA!Z$32</f>
        <v>4.1009E-5</v>
      </c>
      <c r="AJ12" s="16">
        <f>Summary_LCIA!AA$32</f>
        <v>2.3355999999999998E-2</v>
      </c>
      <c r="AK12" s="16">
        <f>Summary_LCIA!AB$32</f>
        <v>-2.1823000000000001E-5</v>
      </c>
      <c r="AL12" s="16">
        <f>Summary_LCIA!AC$32</f>
        <v>4.8884000000000003E-8</v>
      </c>
      <c r="AM12" s="16">
        <f>Summary_LCIA!AD$32</f>
        <v>4.1103999999999999E-4</v>
      </c>
      <c r="AN12" s="16">
        <f>Summary_LCIA!AE$32</f>
        <v>8.8612999999999995E-4</v>
      </c>
      <c r="AO12" s="16">
        <f>Summary_LCIA!AF$32</f>
        <v>8.4542000000000005E-4</v>
      </c>
      <c r="AP12" s="16">
        <f>Summary_LCIA!AG$32</f>
        <v>5.1165000000000002E-5</v>
      </c>
      <c r="AQ12" s="16">
        <f>Summary_LCIA!AH$32</f>
        <v>8.7036000000000006E-3</v>
      </c>
      <c r="AR12" s="16">
        <f>Summary_LCIA!AI$32</f>
        <v>9.3154999999999996E-4</v>
      </c>
      <c r="AT12" s="16">
        <f t="shared" si="2"/>
        <v>15.0456644</v>
      </c>
      <c r="AU12" s="16">
        <f t="shared" si="1"/>
        <v>219.44400107237399</v>
      </c>
      <c r="AV12" s="16">
        <f t="shared" si="1"/>
        <v>0.23315023679999997</v>
      </c>
      <c r="AW12" s="16">
        <f t="shared" si="1"/>
        <v>14.849955639999999</v>
      </c>
      <c r="AX12" s="16">
        <f t="shared" si="1"/>
        <v>4.8661522000000001</v>
      </c>
      <c r="AY12" s="16">
        <f t="shared" si="1"/>
        <v>0.79319609199999996</v>
      </c>
      <c r="AZ12" s="16">
        <f t="shared" si="1"/>
        <v>2.1147615580000001E-3</v>
      </c>
      <c r="BA12" s="16">
        <f t="shared" si="1"/>
        <v>3.4081219379999999</v>
      </c>
      <c r="BB12" s="16">
        <f t="shared" si="1"/>
        <v>1.0086528400000001</v>
      </c>
      <c r="BC12" s="16">
        <f t="shared" si="1"/>
        <v>0.68993979599999999</v>
      </c>
      <c r="BD12" s="16">
        <f t="shared" si="1"/>
        <v>1.8157965019999999E-3</v>
      </c>
      <c r="BE12" s="16">
        <f t="shared" si="1"/>
        <v>1.0341569679999998</v>
      </c>
      <c r="BF12" s="16">
        <f t="shared" si="1"/>
        <v>-9.6627879399999997E-4</v>
      </c>
      <c r="BG12" s="16">
        <f t="shared" si="1"/>
        <v>2.1644857520000002E-6</v>
      </c>
      <c r="BH12" s="16">
        <f t="shared" si="1"/>
        <v>1.8200029119999999E-2</v>
      </c>
      <c r="BI12" s="16">
        <f t="shared" si="1"/>
        <v>3.9236064139999999E-2</v>
      </c>
      <c r="BJ12" s="16">
        <f t="shared" si="1"/>
        <v>3.7433506759999999E-2</v>
      </c>
      <c r="BK12" s="16">
        <f t="shared" si="1"/>
        <v>2.26548387E-3</v>
      </c>
      <c r="BL12" s="16">
        <f t="shared" si="1"/>
        <v>0.38537800080000001</v>
      </c>
      <c r="BM12" s="16">
        <f t="shared" si="1"/>
        <v>4.1247170899999998E-2</v>
      </c>
      <c r="BN12" s="16"/>
    </row>
    <row r="13" spans="1:66" x14ac:dyDescent="0.25">
      <c r="A13" s="159">
        <v>229</v>
      </c>
      <c r="B13" s="159">
        <v>6</v>
      </c>
      <c r="C13" s="45">
        <v>41.743507000000001</v>
      </c>
      <c r="D13" s="45">
        <v>-88.011847000000003</v>
      </c>
      <c r="E13" s="45" t="s">
        <v>265</v>
      </c>
      <c r="F13" s="159">
        <v>88</v>
      </c>
      <c r="G13" s="45" t="s">
        <v>674</v>
      </c>
      <c r="H13" s="45" t="s">
        <v>675</v>
      </c>
      <c r="I13" s="45">
        <v>41.786776000000003</v>
      </c>
      <c r="J13" s="45">
        <v>-87.752188000000004</v>
      </c>
      <c r="K13" s="45">
        <v>22.97844104</v>
      </c>
      <c r="L13" s="45">
        <v>30.356000000000002</v>
      </c>
      <c r="M13" s="45" t="s">
        <v>617</v>
      </c>
      <c r="N13" s="159">
        <v>5</v>
      </c>
      <c r="O13" s="159">
        <v>6</v>
      </c>
      <c r="P13" s="45" t="s">
        <v>565</v>
      </c>
      <c r="Q13" s="45" t="s">
        <v>564</v>
      </c>
      <c r="R13" s="45">
        <v>41.98028</v>
      </c>
      <c r="S13" s="45">
        <v>-87.908997900000003</v>
      </c>
      <c r="T13" s="45">
        <v>44.277999999999999</v>
      </c>
      <c r="U13" s="45" t="s">
        <v>617</v>
      </c>
      <c r="V13" s="45" t="s">
        <v>617</v>
      </c>
      <c r="W13" s="45"/>
      <c r="X13" s="22"/>
      <c r="Y13" s="16">
        <f>Summary_LCIA!H$32</f>
        <v>0.33979999999999999</v>
      </c>
      <c r="Z13" s="16">
        <f>Summary_LCIA!Q$32</f>
        <v>4.9560504329999997</v>
      </c>
      <c r="AA13" s="16">
        <f>Summary_LCIA!R$32</f>
        <v>5.2655999999999996E-3</v>
      </c>
      <c r="AB13" s="16">
        <f>Summary_LCIA!S$32</f>
        <v>0.33538000000000001</v>
      </c>
      <c r="AC13" s="16">
        <f>Summary_LCIA!T$32</f>
        <v>0.1099</v>
      </c>
      <c r="AD13" s="16">
        <f>Summary_LCIA!U$32</f>
        <v>1.7913999999999999E-2</v>
      </c>
      <c r="AE13" s="16">
        <f>Summary_LCIA!V$32</f>
        <v>4.7760999999999999E-5</v>
      </c>
      <c r="AF13" s="16">
        <f>Summary_LCIA!W$32</f>
        <v>7.6970999999999998E-2</v>
      </c>
      <c r="AG13" s="16">
        <f>Summary_LCIA!X$32</f>
        <v>2.2780000000000002E-2</v>
      </c>
      <c r="AH13" s="16">
        <f>Summary_LCIA!Y$32</f>
        <v>1.5582E-2</v>
      </c>
      <c r="AI13" s="16">
        <f>Summary_LCIA!Z$32</f>
        <v>4.1009E-5</v>
      </c>
      <c r="AJ13" s="16">
        <f>Summary_LCIA!AA$32</f>
        <v>2.3355999999999998E-2</v>
      </c>
      <c r="AK13" s="16">
        <f>Summary_LCIA!AB$32</f>
        <v>-2.1823000000000001E-5</v>
      </c>
      <c r="AL13" s="16">
        <f>Summary_LCIA!AC$32</f>
        <v>4.8884000000000003E-8</v>
      </c>
      <c r="AM13" s="16">
        <f>Summary_LCIA!AD$32</f>
        <v>4.1103999999999999E-4</v>
      </c>
      <c r="AN13" s="16">
        <f>Summary_LCIA!AE$32</f>
        <v>8.8612999999999995E-4</v>
      </c>
      <c r="AO13" s="16">
        <f>Summary_LCIA!AF$32</f>
        <v>8.4542000000000005E-4</v>
      </c>
      <c r="AP13" s="16">
        <f>Summary_LCIA!AG$32</f>
        <v>5.1165000000000002E-5</v>
      </c>
      <c r="AQ13" s="16">
        <f>Summary_LCIA!AH$32</f>
        <v>8.7036000000000006E-3</v>
      </c>
      <c r="AR13" s="16">
        <f>Summary_LCIA!AI$32</f>
        <v>9.3154999999999996E-4</v>
      </c>
      <c r="AT13" s="16">
        <f t="shared" si="2"/>
        <v>15.0456644</v>
      </c>
      <c r="AU13" s="16">
        <f t="shared" si="1"/>
        <v>219.44400107237399</v>
      </c>
      <c r="AV13" s="16">
        <f t="shared" si="1"/>
        <v>0.23315023679999997</v>
      </c>
      <c r="AW13" s="16">
        <f t="shared" si="1"/>
        <v>14.849955639999999</v>
      </c>
      <c r="AX13" s="16">
        <f t="shared" si="1"/>
        <v>4.8661522000000001</v>
      </c>
      <c r="AY13" s="16">
        <f t="shared" si="1"/>
        <v>0.79319609199999996</v>
      </c>
      <c r="AZ13" s="16">
        <f t="shared" si="1"/>
        <v>2.1147615580000001E-3</v>
      </c>
      <c r="BA13" s="16">
        <f t="shared" si="1"/>
        <v>3.4081219379999999</v>
      </c>
      <c r="BB13" s="16">
        <f t="shared" si="1"/>
        <v>1.0086528400000001</v>
      </c>
      <c r="BC13" s="16">
        <f t="shared" si="1"/>
        <v>0.68993979599999999</v>
      </c>
      <c r="BD13" s="16">
        <f t="shared" si="1"/>
        <v>1.8157965019999999E-3</v>
      </c>
      <c r="BE13" s="16">
        <f t="shared" si="1"/>
        <v>1.0341569679999998</v>
      </c>
      <c r="BF13" s="16">
        <f t="shared" si="1"/>
        <v>-9.6627879399999997E-4</v>
      </c>
      <c r="BG13" s="16">
        <f t="shared" si="1"/>
        <v>2.1644857520000002E-6</v>
      </c>
      <c r="BH13" s="16">
        <f t="shared" si="1"/>
        <v>1.8200029119999999E-2</v>
      </c>
      <c r="BI13" s="16">
        <f t="shared" si="1"/>
        <v>3.9236064139999999E-2</v>
      </c>
      <c r="BJ13" s="16">
        <f t="shared" si="1"/>
        <v>3.7433506759999999E-2</v>
      </c>
      <c r="BK13" s="16">
        <f t="shared" si="1"/>
        <v>2.26548387E-3</v>
      </c>
      <c r="BL13" s="16">
        <f t="shared" si="1"/>
        <v>0.38537800080000001</v>
      </c>
      <c r="BM13" s="16">
        <f t="shared" si="1"/>
        <v>4.1247170899999998E-2</v>
      </c>
      <c r="BN13" s="16"/>
    </row>
    <row r="14" spans="1:66" x14ac:dyDescent="0.25">
      <c r="A14" s="159">
        <v>282</v>
      </c>
      <c r="B14" s="159">
        <v>6</v>
      </c>
      <c r="C14" s="45">
        <v>42.905847999999999</v>
      </c>
      <c r="D14" s="45">
        <v>-88.138977999999994</v>
      </c>
      <c r="E14" s="45" t="s">
        <v>265</v>
      </c>
      <c r="F14" s="159">
        <v>114</v>
      </c>
      <c r="G14" s="45" t="s">
        <v>639</v>
      </c>
      <c r="H14" s="45" t="s">
        <v>640</v>
      </c>
      <c r="I14" s="45">
        <v>42.947552999999999</v>
      </c>
      <c r="J14" s="45">
        <v>-87.896646000000004</v>
      </c>
      <c r="K14" s="45">
        <v>21.17463892</v>
      </c>
      <c r="L14" s="45">
        <v>30.303000000000001</v>
      </c>
      <c r="M14" s="45" t="s">
        <v>617</v>
      </c>
      <c r="N14" s="159">
        <v>5</v>
      </c>
      <c r="O14" s="159">
        <v>6</v>
      </c>
      <c r="P14" s="45" t="s">
        <v>565</v>
      </c>
      <c r="Q14" s="45" t="s">
        <v>564</v>
      </c>
      <c r="R14" s="45">
        <v>41.98028</v>
      </c>
      <c r="S14" s="45">
        <v>-87.908997900000003</v>
      </c>
      <c r="T14" s="45">
        <v>125.387</v>
      </c>
      <c r="U14" s="45" t="s">
        <v>617</v>
      </c>
      <c r="V14" s="45" t="s">
        <v>617</v>
      </c>
      <c r="W14" s="45"/>
      <c r="X14" s="22"/>
      <c r="Y14" s="16">
        <f>Summary_LCIA!H$32</f>
        <v>0.33979999999999999</v>
      </c>
      <c r="Z14" s="16">
        <f>Summary_LCIA!Q$32</f>
        <v>4.9560504329999997</v>
      </c>
      <c r="AA14" s="16">
        <f>Summary_LCIA!R$32</f>
        <v>5.2655999999999996E-3</v>
      </c>
      <c r="AB14" s="16">
        <f>Summary_LCIA!S$32</f>
        <v>0.33538000000000001</v>
      </c>
      <c r="AC14" s="16">
        <f>Summary_LCIA!T$32</f>
        <v>0.1099</v>
      </c>
      <c r="AD14" s="16">
        <f>Summary_LCIA!U$32</f>
        <v>1.7913999999999999E-2</v>
      </c>
      <c r="AE14" s="16">
        <f>Summary_LCIA!V$32</f>
        <v>4.7760999999999999E-5</v>
      </c>
      <c r="AF14" s="16">
        <f>Summary_LCIA!W$32</f>
        <v>7.6970999999999998E-2</v>
      </c>
      <c r="AG14" s="16">
        <f>Summary_LCIA!X$32</f>
        <v>2.2780000000000002E-2</v>
      </c>
      <c r="AH14" s="16">
        <f>Summary_LCIA!Y$32</f>
        <v>1.5582E-2</v>
      </c>
      <c r="AI14" s="16">
        <f>Summary_LCIA!Z$32</f>
        <v>4.1009E-5</v>
      </c>
      <c r="AJ14" s="16">
        <f>Summary_LCIA!AA$32</f>
        <v>2.3355999999999998E-2</v>
      </c>
      <c r="AK14" s="16">
        <f>Summary_LCIA!AB$32</f>
        <v>-2.1823000000000001E-5</v>
      </c>
      <c r="AL14" s="16">
        <f>Summary_LCIA!AC$32</f>
        <v>4.8884000000000003E-8</v>
      </c>
      <c r="AM14" s="16">
        <f>Summary_LCIA!AD$32</f>
        <v>4.1103999999999999E-4</v>
      </c>
      <c r="AN14" s="16">
        <f>Summary_LCIA!AE$32</f>
        <v>8.8612999999999995E-4</v>
      </c>
      <c r="AO14" s="16">
        <f>Summary_LCIA!AF$32</f>
        <v>8.4542000000000005E-4</v>
      </c>
      <c r="AP14" s="16">
        <f>Summary_LCIA!AG$32</f>
        <v>5.1165000000000002E-5</v>
      </c>
      <c r="AQ14" s="16">
        <f>Summary_LCIA!AH$32</f>
        <v>8.7036000000000006E-3</v>
      </c>
      <c r="AR14" s="16">
        <f>Summary_LCIA!AI$32</f>
        <v>9.3154999999999996E-4</v>
      </c>
      <c r="AT14" s="16">
        <f t="shared" si="2"/>
        <v>42.606502599999999</v>
      </c>
      <c r="AU14" s="16">
        <f t="shared" si="1"/>
        <v>621.424295642571</v>
      </c>
      <c r="AV14" s="16">
        <f t="shared" si="1"/>
        <v>0.66023778719999993</v>
      </c>
      <c r="AW14" s="16">
        <f t="shared" si="1"/>
        <v>42.052292059999999</v>
      </c>
      <c r="AX14" s="16">
        <f t="shared" si="1"/>
        <v>13.780031299999999</v>
      </c>
      <c r="AY14" s="16">
        <f t="shared" si="1"/>
        <v>2.246182718</v>
      </c>
      <c r="AZ14" s="16">
        <f t="shared" si="1"/>
        <v>5.9886085069999996E-3</v>
      </c>
      <c r="BA14" s="16">
        <f t="shared" si="1"/>
        <v>9.6511627769999997</v>
      </c>
      <c r="BB14" s="16">
        <f t="shared" si="1"/>
        <v>2.85631586</v>
      </c>
      <c r="BC14" s="16">
        <f t="shared" si="1"/>
        <v>1.9537802340000001</v>
      </c>
      <c r="BD14" s="16">
        <f t="shared" si="1"/>
        <v>5.1419954830000001E-3</v>
      </c>
      <c r="BE14" s="16">
        <f t="shared" si="1"/>
        <v>2.928538772</v>
      </c>
      <c r="BF14" s="16">
        <f t="shared" si="1"/>
        <v>-2.7363205010000002E-3</v>
      </c>
      <c r="BG14" s="16">
        <f t="shared" si="1"/>
        <v>6.1294181080000002E-6</v>
      </c>
      <c r="BH14" s="16">
        <f t="shared" si="1"/>
        <v>5.1539072479999996E-2</v>
      </c>
      <c r="BI14" s="16">
        <f t="shared" si="1"/>
        <v>0.11110918231</v>
      </c>
      <c r="BJ14" s="16">
        <f t="shared" si="1"/>
        <v>0.10600467754000001</v>
      </c>
      <c r="BK14" s="16">
        <f t="shared" si="1"/>
        <v>6.4154258550000003E-3</v>
      </c>
      <c r="BL14" s="16">
        <f t="shared" si="1"/>
        <v>1.0913182932000001</v>
      </c>
      <c r="BM14" s="16">
        <f t="shared" si="1"/>
        <v>0.11680425984999999</v>
      </c>
      <c r="BN14" s="16"/>
    </row>
    <row r="15" spans="1:66" x14ac:dyDescent="0.25">
      <c r="A15" s="159">
        <v>23</v>
      </c>
      <c r="B15" s="159">
        <v>6</v>
      </c>
      <c r="C15" s="45">
        <v>43.038966000000002</v>
      </c>
      <c r="D15" s="45">
        <v>-87.928042000000005</v>
      </c>
      <c r="E15" s="45" t="s">
        <v>265</v>
      </c>
      <c r="F15" s="159">
        <v>114</v>
      </c>
      <c r="G15" s="45" t="s">
        <v>639</v>
      </c>
      <c r="H15" s="45" t="s">
        <v>640</v>
      </c>
      <c r="I15" s="45">
        <v>42.947552999999999</v>
      </c>
      <c r="J15" s="45">
        <v>-87.896646000000004</v>
      </c>
      <c r="K15" s="45">
        <v>15.85670011</v>
      </c>
      <c r="L15" s="45">
        <v>12.099</v>
      </c>
      <c r="M15" s="45" t="s">
        <v>617</v>
      </c>
      <c r="N15" s="159">
        <v>5</v>
      </c>
      <c r="O15" s="159">
        <v>6</v>
      </c>
      <c r="P15" s="45" t="s">
        <v>565</v>
      </c>
      <c r="Q15" s="45" t="s">
        <v>564</v>
      </c>
      <c r="R15" s="45">
        <v>41.98028</v>
      </c>
      <c r="S15" s="45">
        <v>-87.908997900000003</v>
      </c>
      <c r="T15" s="45">
        <v>126.72499999999999</v>
      </c>
      <c r="U15" s="45" t="s">
        <v>617</v>
      </c>
      <c r="V15" s="45" t="s">
        <v>617</v>
      </c>
      <c r="W15" s="45"/>
      <c r="X15" s="22"/>
      <c r="Y15" s="16">
        <f>Summary_LCIA!H$32</f>
        <v>0.33979999999999999</v>
      </c>
      <c r="Z15" s="16">
        <f>Summary_LCIA!Q$32</f>
        <v>4.9560504329999997</v>
      </c>
      <c r="AA15" s="16">
        <f>Summary_LCIA!R$32</f>
        <v>5.2655999999999996E-3</v>
      </c>
      <c r="AB15" s="16">
        <f>Summary_LCIA!S$32</f>
        <v>0.33538000000000001</v>
      </c>
      <c r="AC15" s="16">
        <f>Summary_LCIA!T$32</f>
        <v>0.1099</v>
      </c>
      <c r="AD15" s="16">
        <f>Summary_LCIA!U$32</f>
        <v>1.7913999999999999E-2</v>
      </c>
      <c r="AE15" s="16">
        <f>Summary_LCIA!V$32</f>
        <v>4.7760999999999999E-5</v>
      </c>
      <c r="AF15" s="16">
        <f>Summary_LCIA!W$32</f>
        <v>7.6970999999999998E-2</v>
      </c>
      <c r="AG15" s="16">
        <f>Summary_LCIA!X$32</f>
        <v>2.2780000000000002E-2</v>
      </c>
      <c r="AH15" s="16">
        <f>Summary_LCIA!Y$32</f>
        <v>1.5582E-2</v>
      </c>
      <c r="AI15" s="16">
        <f>Summary_LCIA!Z$32</f>
        <v>4.1009E-5</v>
      </c>
      <c r="AJ15" s="16">
        <f>Summary_LCIA!AA$32</f>
        <v>2.3355999999999998E-2</v>
      </c>
      <c r="AK15" s="16">
        <f>Summary_LCIA!AB$32</f>
        <v>-2.1823000000000001E-5</v>
      </c>
      <c r="AL15" s="16">
        <f>Summary_LCIA!AC$32</f>
        <v>4.8884000000000003E-8</v>
      </c>
      <c r="AM15" s="16">
        <f>Summary_LCIA!AD$32</f>
        <v>4.1103999999999999E-4</v>
      </c>
      <c r="AN15" s="16">
        <f>Summary_LCIA!AE$32</f>
        <v>8.8612999999999995E-4</v>
      </c>
      <c r="AO15" s="16">
        <f>Summary_LCIA!AF$32</f>
        <v>8.4542000000000005E-4</v>
      </c>
      <c r="AP15" s="16">
        <f>Summary_LCIA!AG$32</f>
        <v>5.1165000000000002E-5</v>
      </c>
      <c r="AQ15" s="16">
        <f>Summary_LCIA!AH$32</f>
        <v>8.7036000000000006E-3</v>
      </c>
      <c r="AR15" s="16">
        <f>Summary_LCIA!AI$32</f>
        <v>9.3154999999999996E-4</v>
      </c>
      <c r="AT15" s="16">
        <f t="shared" si="2"/>
        <v>43.061154999999999</v>
      </c>
      <c r="AU15" s="16">
        <f t="shared" si="1"/>
        <v>628.05549112192489</v>
      </c>
      <c r="AV15" s="16">
        <f t="shared" si="1"/>
        <v>0.66728315999999988</v>
      </c>
      <c r="AW15" s="16">
        <f t="shared" si="1"/>
        <v>42.501030499999999</v>
      </c>
      <c r="AX15" s="16">
        <f t="shared" si="1"/>
        <v>13.927077499999999</v>
      </c>
      <c r="AY15" s="16">
        <f t="shared" si="1"/>
        <v>2.2701516499999999</v>
      </c>
      <c r="AZ15" s="16">
        <f t="shared" si="1"/>
        <v>6.0525127249999996E-3</v>
      </c>
      <c r="BA15" s="16">
        <f t="shared" si="1"/>
        <v>9.7541499749999989</v>
      </c>
      <c r="BB15" s="16">
        <f t="shared" si="1"/>
        <v>2.8867955000000003</v>
      </c>
      <c r="BC15" s="16">
        <f t="shared" ref="BC15:BC48" si="3">$T15*AH15</f>
        <v>1.97462895</v>
      </c>
      <c r="BD15" s="16">
        <f t="shared" ref="BD15:BD48" si="4">$T15*AI15</f>
        <v>5.1968655249999994E-3</v>
      </c>
      <c r="BE15" s="16">
        <f t="shared" ref="BE15:BE48" si="5">$T15*AJ15</f>
        <v>2.9597890999999996</v>
      </c>
      <c r="BF15" s="16">
        <f t="shared" ref="BF15:BF48" si="6">$T15*AK15</f>
        <v>-2.765519675E-3</v>
      </c>
      <c r="BG15" s="16">
        <f t="shared" ref="BG15:BG48" si="7">$T15*AL15</f>
        <v>6.1948249000000005E-6</v>
      </c>
      <c r="BH15" s="16">
        <f t="shared" ref="BH15:BH48" si="8">$T15*AM15</f>
        <v>5.2089043999999994E-2</v>
      </c>
      <c r="BI15" s="16">
        <f t="shared" ref="BI15:BI48" si="9">$T15*AN15</f>
        <v>0.11229482424999999</v>
      </c>
      <c r="BJ15" s="16">
        <f t="shared" ref="BJ15:BJ48" si="10">$T15*AO15</f>
        <v>0.1071358495</v>
      </c>
      <c r="BK15" s="16">
        <f t="shared" ref="BK15:BK48" si="11">$T15*AP15</f>
        <v>6.4838846250000002E-3</v>
      </c>
      <c r="BL15" s="16">
        <f t="shared" ref="BL15:BL48" si="12">$T15*AQ15</f>
        <v>1.10296371</v>
      </c>
      <c r="BM15" s="16">
        <f t="shared" ref="BM15:BM48" si="13">$T15*AR15</f>
        <v>0.11805067374999999</v>
      </c>
      <c r="BN15" s="16"/>
    </row>
    <row r="16" spans="1:66" x14ac:dyDescent="0.25">
      <c r="A16" s="159">
        <v>239</v>
      </c>
      <c r="B16" s="159">
        <v>6</v>
      </c>
      <c r="C16" s="45">
        <v>43.739162</v>
      </c>
      <c r="D16" s="45">
        <v>-87.781754000000006</v>
      </c>
      <c r="E16" s="45" t="s">
        <v>265</v>
      </c>
      <c r="F16" s="159">
        <v>114</v>
      </c>
      <c r="G16" s="45" t="s">
        <v>639</v>
      </c>
      <c r="H16" s="45" t="s">
        <v>640</v>
      </c>
      <c r="I16" s="45">
        <v>42.947552999999999</v>
      </c>
      <c r="J16" s="45">
        <v>-87.896646000000004</v>
      </c>
      <c r="K16" s="45">
        <v>136.40500399999999</v>
      </c>
      <c r="L16" s="45">
        <v>98.278000000000006</v>
      </c>
      <c r="M16" s="45" t="s">
        <v>617</v>
      </c>
      <c r="N16" s="159">
        <v>5</v>
      </c>
      <c r="O16" s="159">
        <v>6</v>
      </c>
      <c r="P16" s="45" t="s">
        <v>565</v>
      </c>
      <c r="Q16" s="45" t="s">
        <v>564</v>
      </c>
      <c r="R16" s="45">
        <v>41.98028</v>
      </c>
      <c r="S16" s="45">
        <v>-87.908997900000003</v>
      </c>
      <c r="T16" s="45">
        <v>212.905</v>
      </c>
      <c r="U16" s="45" t="s">
        <v>617</v>
      </c>
      <c r="V16" s="45" t="s">
        <v>617</v>
      </c>
      <c r="W16" s="45"/>
      <c r="X16" s="22"/>
      <c r="Y16" s="16">
        <f>Summary_LCIA!H$32</f>
        <v>0.33979999999999999</v>
      </c>
      <c r="Z16" s="16">
        <f>Summary_LCIA!Q$32</f>
        <v>4.9560504329999997</v>
      </c>
      <c r="AA16" s="16">
        <f>Summary_LCIA!R$32</f>
        <v>5.2655999999999996E-3</v>
      </c>
      <c r="AB16" s="16">
        <f>Summary_LCIA!S$32</f>
        <v>0.33538000000000001</v>
      </c>
      <c r="AC16" s="16">
        <f>Summary_LCIA!T$32</f>
        <v>0.1099</v>
      </c>
      <c r="AD16" s="16">
        <f>Summary_LCIA!U$32</f>
        <v>1.7913999999999999E-2</v>
      </c>
      <c r="AE16" s="16">
        <f>Summary_LCIA!V$32</f>
        <v>4.7760999999999999E-5</v>
      </c>
      <c r="AF16" s="16">
        <f>Summary_LCIA!W$32</f>
        <v>7.6970999999999998E-2</v>
      </c>
      <c r="AG16" s="16">
        <f>Summary_LCIA!X$32</f>
        <v>2.2780000000000002E-2</v>
      </c>
      <c r="AH16" s="16">
        <f>Summary_LCIA!Y$32</f>
        <v>1.5582E-2</v>
      </c>
      <c r="AI16" s="16">
        <f>Summary_LCIA!Z$32</f>
        <v>4.1009E-5</v>
      </c>
      <c r="AJ16" s="16">
        <f>Summary_LCIA!AA$32</f>
        <v>2.3355999999999998E-2</v>
      </c>
      <c r="AK16" s="16">
        <f>Summary_LCIA!AB$32</f>
        <v>-2.1823000000000001E-5</v>
      </c>
      <c r="AL16" s="16">
        <f>Summary_LCIA!AC$32</f>
        <v>4.8884000000000003E-8</v>
      </c>
      <c r="AM16" s="16">
        <f>Summary_LCIA!AD$32</f>
        <v>4.1103999999999999E-4</v>
      </c>
      <c r="AN16" s="16">
        <f>Summary_LCIA!AE$32</f>
        <v>8.8612999999999995E-4</v>
      </c>
      <c r="AO16" s="16">
        <f>Summary_LCIA!AF$32</f>
        <v>8.4542000000000005E-4</v>
      </c>
      <c r="AP16" s="16">
        <f>Summary_LCIA!AG$32</f>
        <v>5.1165000000000002E-5</v>
      </c>
      <c r="AQ16" s="16">
        <f>Summary_LCIA!AH$32</f>
        <v>8.7036000000000006E-3</v>
      </c>
      <c r="AR16" s="16">
        <f>Summary_LCIA!AI$32</f>
        <v>9.3154999999999996E-4</v>
      </c>
      <c r="AT16" s="16">
        <f t="shared" si="2"/>
        <v>72.345118999999997</v>
      </c>
      <c r="AU16" s="16">
        <f t="shared" ref="AU16:AU48" si="14">$T16*Z16</f>
        <v>1055.1679174378648</v>
      </c>
      <c r="AV16" s="16">
        <f t="shared" ref="AV16:AV48" si="15">$T16*AA16</f>
        <v>1.121072568</v>
      </c>
      <c r="AW16" s="16">
        <f t="shared" ref="AW16:AW48" si="16">$T16*AB16</f>
        <v>71.404078900000002</v>
      </c>
      <c r="AX16" s="16">
        <f t="shared" ref="AX16:AX48" si="17">$T16*AC16</f>
        <v>23.398259499999998</v>
      </c>
      <c r="AY16" s="16">
        <f t="shared" ref="AY16:AY48" si="18">$T16*AD16</f>
        <v>3.8139801699999998</v>
      </c>
      <c r="AZ16" s="16">
        <f t="shared" ref="AZ16:AZ48" si="19">$T16*AE16</f>
        <v>1.0168555705E-2</v>
      </c>
      <c r="BA16" s="16">
        <f t="shared" ref="BA16:BA48" si="20">$T16*AF16</f>
        <v>16.387510755000001</v>
      </c>
      <c r="BB16" s="16">
        <f t="shared" ref="BB16:BB48" si="21">$T16*AG16</f>
        <v>4.8499759000000005</v>
      </c>
      <c r="BC16" s="16">
        <f t="shared" si="3"/>
        <v>3.3174857100000001</v>
      </c>
      <c r="BD16" s="16">
        <f t="shared" si="4"/>
        <v>8.7310211450000001E-3</v>
      </c>
      <c r="BE16" s="16">
        <f t="shared" si="5"/>
        <v>4.9726091800000001</v>
      </c>
      <c r="BF16" s="16">
        <f t="shared" si="6"/>
        <v>-4.6462258150000001E-3</v>
      </c>
      <c r="BG16" s="16">
        <f t="shared" si="7"/>
        <v>1.0407648020000001E-5</v>
      </c>
      <c r="BH16" s="16">
        <f t="shared" si="8"/>
        <v>8.7512471199999997E-2</v>
      </c>
      <c r="BI16" s="16">
        <f t="shared" si="9"/>
        <v>0.18866150764999998</v>
      </c>
      <c r="BJ16" s="16">
        <f t="shared" si="10"/>
        <v>0.1799941451</v>
      </c>
      <c r="BK16" s="16">
        <f t="shared" si="11"/>
        <v>1.0893284325E-2</v>
      </c>
      <c r="BL16" s="16">
        <f t="shared" si="12"/>
        <v>1.8530399580000001</v>
      </c>
      <c r="BM16" s="16">
        <f t="shared" si="13"/>
        <v>0.19833165275</v>
      </c>
      <c r="BN16" s="16"/>
    </row>
    <row r="17" spans="1:66" x14ac:dyDescent="0.25">
      <c r="A17" s="159">
        <v>240</v>
      </c>
      <c r="B17" s="159">
        <v>6</v>
      </c>
      <c r="C17" s="45">
        <v>43.739162</v>
      </c>
      <c r="D17" s="45">
        <v>-87.781754000000006</v>
      </c>
      <c r="E17" s="45" t="s">
        <v>265</v>
      </c>
      <c r="F17" s="159">
        <v>114</v>
      </c>
      <c r="G17" s="45" t="s">
        <v>639</v>
      </c>
      <c r="H17" s="45" t="s">
        <v>640</v>
      </c>
      <c r="I17" s="45">
        <v>42.947552999999999</v>
      </c>
      <c r="J17" s="45">
        <v>-87.896646000000004</v>
      </c>
      <c r="K17" s="45">
        <v>136.40500399999999</v>
      </c>
      <c r="L17" s="45">
        <v>98.278000000000006</v>
      </c>
      <c r="M17" s="45" t="s">
        <v>617</v>
      </c>
      <c r="N17" s="159">
        <v>5</v>
      </c>
      <c r="O17" s="159">
        <v>6</v>
      </c>
      <c r="P17" s="45" t="s">
        <v>565</v>
      </c>
      <c r="Q17" s="45" t="s">
        <v>564</v>
      </c>
      <c r="R17" s="45">
        <v>41.98028</v>
      </c>
      <c r="S17" s="45">
        <v>-87.908997900000003</v>
      </c>
      <c r="T17" s="45">
        <v>212.905</v>
      </c>
      <c r="U17" s="45" t="s">
        <v>617</v>
      </c>
      <c r="V17" s="45" t="s">
        <v>617</v>
      </c>
      <c r="W17" s="45"/>
      <c r="X17" s="22"/>
      <c r="Y17" s="16">
        <f>Summary_LCIA!H$32</f>
        <v>0.33979999999999999</v>
      </c>
      <c r="Z17" s="16">
        <f>Summary_LCIA!Q$32</f>
        <v>4.9560504329999997</v>
      </c>
      <c r="AA17" s="16">
        <f>Summary_LCIA!R$32</f>
        <v>5.2655999999999996E-3</v>
      </c>
      <c r="AB17" s="16">
        <f>Summary_LCIA!S$32</f>
        <v>0.33538000000000001</v>
      </c>
      <c r="AC17" s="16">
        <f>Summary_LCIA!T$32</f>
        <v>0.1099</v>
      </c>
      <c r="AD17" s="16">
        <f>Summary_LCIA!U$32</f>
        <v>1.7913999999999999E-2</v>
      </c>
      <c r="AE17" s="16">
        <f>Summary_LCIA!V$32</f>
        <v>4.7760999999999999E-5</v>
      </c>
      <c r="AF17" s="16">
        <f>Summary_LCIA!W$32</f>
        <v>7.6970999999999998E-2</v>
      </c>
      <c r="AG17" s="16">
        <f>Summary_LCIA!X$32</f>
        <v>2.2780000000000002E-2</v>
      </c>
      <c r="AH17" s="16">
        <f>Summary_LCIA!Y$32</f>
        <v>1.5582E-2</v>
      </c>
      <c r="AI17" s="16">
        <f>Summary_LCIA!Z$32</f>
        <v>4.1009E-5</v>
      </c>
      <c r="AJ17" s="16">
        <f>Summary_LCIA!AA$32</f>
        <v>2.3355999999999998E-2</v>
      </c>
      <c r="AK17" s="16">
        <f>Summary_LCIA!AB$32</f>
        <v>-2.1823000000000001E-5</v>
      </c>
      <c r="AL17" s="16">
        <f>Summary_LCIA!AC$32</f>
        <v>4.8884000000000003E-8</v>
      </c>
      <c r="AM17" s="16">
        <f>Summary_LCIA!AD$32</f>
        <v>4.1103999999999999E-4</v>
      </c>
      <c r="AN17" s="16">
        <f>Summary_LCIA!AE$32</f>
        <v>8.8612999999999995E-4</v>
      </c>
      <c r="AO17" s="16">
        <f>Summary_LCIA!AF$32</f>
        <v>8.4542000000000005E-4</v>
      </c>
      <c r="AP17" s="16">
        <f>Summary_LCIA!AG$32</f>
        <v>5.1165000000000002E-5</v>
      </c>
      <c r="AQ17" s="16">
        <f>Summary_LCIA!AH$32</f>
        <v>8.7036000000000006E-3</v>
      </c>
      <c r="AR17" s="16">
        <f>Summary_LCIA!AI$32</f>
        <v>9.3154999999999996E-4</v>
      </c>
      <c r="AT17" s="16">
        <f t="shared" si="2"/>
        <v>72.345118999999997</v>
      </c>
      <c r="AU17" s="16">
        <f t="shared" si="14"/>
        <v>1055.1679174378648</v>
      </c>
      <c r="AV17" s="16">
        <f t="shared" si="15"/>
        <v>1.121072568</v>
      </c>
      <c r="AW17" s="16">
        <f t="shared" si="16"/>
        <v>71.404078900000002</v>
      </c>
      <c r="AX17" s="16">
        <f t="shared" si="17"/>
        <v>23.398259499999998</v>
      </c>
      <c r="AY17" s="16">
        <f t="shared" si="18"/>
        <v>3.8139801699999998</v>
      </c>
      <c r="AZ17" s="16">
        <f t="shared" si="19"/>
        <v>1.0168555705E-2</v>
      </c>
      <c r="BA17" s="16">
        <f t="shared" si="20"/>
        <v>16.387510755000001</v>
      </c>
      <c r="BB17" s="16">
        <f t="shared" si="21"/>
        <v>4.8499759000000005</v>
      </c>
      <c r="BC17" s="16">
        <f t="shared" si="3"/>
        <v>3.3174857100000001</v>
      </c>
      <c r="BD17" s="16">
        <f t="shared" si="4"/>
        <v>8.7310211450000001E-3</v>
      </c>
      <c r="BE17" s="16">
        <f t="shared" si="5"/>
        <v>4.9726091800000001</v>
      </c>
      <c r="BF17" s="16">
        <f t="shared" si="6"/>
        <v>-4.6462258150000001E-3</v>
      </c>
      <c r="BG17" s="16">
        <f t="shared" si="7"/>
        <v>1.0407648020000001E-5</v>
      </c>
      <c r="BH17" s="16">
        <f t="shared" si="8"/>
        <v>8.7512471199999997E-2</v>
      </c>
      <c r="BI17" s="16">
        <f t="shared" si="9"/>
        <v>0.18866150764999998</v>
      </c>
      <c r="BJ17" s="16">
        <f t="shared" si="10"/>
        <v>0.1799941451</v>
      </c>
      <c r="BK17" s="16">
        <f t="shared" si="11"/>
        <v>1.0893284325E-2</v>
      </c>
      <c r="BL17" s="16">
        <f t="shared" si="12"/>
        <v>1.8530399580000001</v>
      </c>
      <c r="BM17" s="16">
        <f t="shared" si="13"/>
        <v>0.19833165275</v>
      </c>
      <c r="BN17" s="16"/>
    </row>
    <row r="18" spans="1:66" x14ac:dyDescent="0.25">
      <c r="A18" s="159">
        <v>241</v>
      </c>
      <c r="B18" s="159">
        <v>6</v>
      </c>
      <c r="C18" s="45">
        <v>43.739162</v>
      </c>
      <c r="D18" s="45">
        <v>-87.781754000000006</v>
      </c>
      <c r="E18" s="45" t="s">
        <v>265</v>
      </c>
      <c r="F18" s="159">
        <v>114</v>
      </c>
      <c r="G18" s="45" t="s">
        <v>639</v>
      </c>
      <c r="H18" s="45" t="s">
        <v>640</v>
      </c>
      <c r="I18" s="45">
        <v>42.947552999999999</v>
      </c>
      <c r="J18" s="45">
        <v>-87.896646000000004</v>
      </c>
      <c r="K18" s="45">
        <v>136.40500399999999</v>
      </c>
      <c r="L18" s="45">
        <v>98.278000000000006</v>
      </c>
      <c r="M18" s="45" t="s">
        <v>617</v>
      </c>
      <c r="N18" s="159">
        <v>5</v>
      </c>
      <c r="O18" s="159">
        <v>6</v>
      </c>
      <c r="P18" s="45" t="s">
        <v>565</v>
      </c>
      <c r="Q18" s="45" t="s">
        <v>564</v>
      </c>
      <c r="R18" s="45">
        <v>41.98028</v>
      </c>
      <c r="S18" s="45">
        <v>-87.908997900000003</v>
      </c>
      <c r="T18" s="45">
        <v>212.905</v>
      </c>
      <c r="U18" s="45" t="s">
        <v>617</v>
      </c>
      <c r="V18" s="45" t="s">
        <v>617</v>
      </c>
      <c r="W18" s="45"/>
      <c r="X18" s="22"/>
      <c r="Y18" s="16">
        <f>Summary_LCIA!H$32</f>
        <v>0.33979999999999999</v>
      </c>
      <c r="Z18" s="16">
        <f>Summary_LCIA!Q$32</f>
        <v>4.9560504329999997</v>
      </c>
      <c r="AA18" s="16">
        <f>Summary_LCIA!R$32</f>
        <v>5.2655999999999996E-3</v>
      </c>
      <c r="AB18" s="16">
        <f>Summary_LCIA!S$32</f>
        <v>0.33538000000000001</v>
      </c>
      <c r="AC18" s="16">
        <f>Summary_LCIA!T$32</f>
        <v>0.1099</v>
      </c>
      <c r="AD18" s="16">
        <f>Summary_LCIA!U$32</f>
        <v>1.7913999999999999E-2</v>
      </c>
      <c r="AE18" s="16">
        <f>Summary_LCIA!V$32</f>
        <v>4.7760999999999999E-5</v>
      </c>
      <c r="AF18" s="16">
        <f>Summary_LCIA!W$32</f>
        <v>7.6970999999999998E-2</v>
      </c>
      <c r="AG18" s="16">
        <f>Summary_LCIA!X$32</f>
        <v>2.2780000000000002E-2</v>
      </c>
      <c r="AH18" s="16">
        <f>Summary_LCIA!Y$32</f>
        <v>1.5582E-2</v>
      </c>
      <c r="AI18" s="16">
        <f>Summary_LCIA!Z$32</f>
        <v>4.1009E-5</v>
      </c>
      <c r="AJ18" s="16">
        <f>Summary_LCIA!AA$32</f>
        <v>2.3355999999999998E-2</v>
      </c>
      <c r="AK18" s="16">
        <f>Summary_LCIA!AB$32</f>
        <v>-2.1823000000000001E-5</v>
      </c>
      <c r="AL18" s="16">
        <f>Summary_LCIA!AC$32</f>
        <v>4.8884000000000003E-8</v>
      </c>
      <c r="AM18" s="16">
        <f>Summary_LCIA!AD$32</f>
        <v>4.1103999999999999E-4</v>
      </c>
      <c r="AN18" s="16">
        <f>Summary_LCIA!AE$32</f>
        <v>8.8612999999999995E-4</v>
      </c>
      <c r="AO18" s="16">
        <f>Summary_LCIA!AF$32</f>
        <v>8.4542000000000005E-4</v>
      </c>
      <c r="AP18" s="16">
        <f>Summary_LCIA!AG$32</f>
        <v>5.1165000000000002E-5</v>
      </c>
      <c r="AQ18" s="16">
        <f>Summary_LCIA!AH$32</f>
        <v>8.7036000000000006E-3</v>
      </c>
      <c r="AR18" s="16">
        <f>Summary_LCIA!AI$32</f>
        <v>9.3154999999999996E-4</v>
      </c>
      <c r="AT18" s="16">
        <f t="shared" si="2"/>
        <v>72.345118999999997</v>
      </c>
      <c r="AU18" s="16">
        <f t="shared" si="14"/>
        <v>1055.1679174378648</v>
      </c>
      <c r="AV18" s="16">
        <f t="shared" si="15"/>
        <v>1.121072568</v>
      </c>
      <c r="AW18" s="16">
        <f t="shared" si="16"/>
        <v>71.404078900000002</v>
      </c>
      <c r="AX18" s="16">
        <f t="shared" si="17"/>
        <v>23.398259499999998</v>
      </c>
      <c r="AY18" s="16">
        <f t="shared" si="18"/>
        <v>3.8139801699999998</v>
      </c>
      <c r="AZ18" s="16">
        <f t="shared" si="19"/>
        <v>1.0168555705E-2</v>
      </c>
      <c r="BA18" s="16">
        <f t="shared" si="20"/>
        <v>16.387510755000001</v>
      </c>
      <c r="BB18" s="16">
        <f t="shared" si="21"/>
        <v>4.8499759000000005</v>
      </c>
      <c r="BC18" s="16">
        <f t="shared" si="3"/>
        <v>3.3174857100000001</v>
      </c>
      <c r="BD18" s="16">
        <f t="shared" si="4"/>
        <v>8.7310211450000001E-3</v>
      </c>
      <c r="BE18" s="16">
        <f t="shared" si="5"/>
        <v>4.9726091800000001</v>
      </c>
      <c r="BF18" s="16">
        <f t="shared" si="6"/>
        <v>-4.6462258150000001E-3</v>
      </c>
      <c r="BG18" s="16">
        <f t="shared" si="7"/>
        <v>1.0407648020000001E-5</v>
      </c>
      <c r="BH18" s="16">
        <f t="shared" si="8"/>
        <v>8.7512471199999997E-2</v>
      </c>
      <c r="BI18" s="16">
        <f t="shared" si="9"/>
        <v>0.18866150764999998</v>
      </c>
      <c r="BJ18" s="16">
        <f t="shared" si="10"/>
        <v>0.1799941451</v>
      </c>
      <c r="BK18" s="16">
        <f t="shared" si="11"/>
        <v>1.0893284325E-2</v>
      </c>
      <c r="BL18" s="16">
        <f t="shared" si="12"/>
        <v>1.8530399580000001</v>
      </c>
      <c r="BM18" s="16">
        <f t="shared" si="13"/>
        <v>0.19833165275</v>
      </c>
      <c r="BN18" s="16"/>
    </row>
    <row r="19" spans="1:66" x14ac:dyDescent="0.25">
      <c r="A19" s="159">
        <v>242</v>
      </c>
      <c r="B19" s="159">
        <v>6</v>
      </c>
      <c r="C19" s="45">
        <v>43.739162</v>
      </c>
      <c r="D19" s="45">
        <v>-87.781754000000006</v>
      </c>
      <c r="E19" s="45" t="s">
        <v>265</v>
      </c>
      <c r="F19" s="159">
        <v>114</v>
      </c>
      <c r="G19" s="45" t="s">
        <v>639</v>
      </c>
      <c r="H19" s="45" t="s">
        <v>640</v>
      </c>
      <c r="I19" s="45">
        <v>42.947552999999999</v>
      </c>
      <c r="J19" s="45">
        <v>-87.896646000000004</v>
      </c>
      <c r="K19" s="45">
        <v>136.40500399999999</v>
      </c>
      <c r="L19" s="45">
        <v>98.278000000000006</v>
      </c>
      <c r="M19" s="45" t="s">
        <v>617</v>
      </c>
      <c r="N19" s="159">
        <v>5</v>
      </c>
      <c r="O19" s="159">
        <v>6</v>
      </c>
      <c r="P19" s="45" t="s">
        <v>565</v>
      </c>
      <c r="Q19" s="45" t="s">
        <v>564</v>
      </c>
      <c r="R19" s="45">
        <v>41.98028</v>
      </c>
      <c r="S19" s="45">
        <v>-87.908997900000003</v>
      </c>
      <c r="T19" s="45">
        <v>212.905</v>
      </c>
      <c r="U19" s="45" t="s">
        <v>617</v>
      </c>
      <c r="V19" s="45" t="s">
        <v>617</v>
      </c>
      <c r="W19" s="45"/>
      <c r="X19" s="22"/>
      <c r="Y19" s="16">
        <f>Summary_LCIA!H$32</f>
        <v>0.33979999999999999</v>
      </c>
      <c r="Z19" s="16">
        <f>Summary_LCIA!Q$32</f>
        <v>4.9560504329999997</v>
      </c>
      <c r="AA19" s="16">
        <f>Summary_LCIA!R$32</f>
        <v>5.2655999999999996E-3</v>
      </c>
      <c r="AB19" s="16">
        <f>Summary_LCIA!S$32</f>
        <v>0.33538000000000001</v>
      </c>
      <c r="AC19" s="16">
        <f>Summary_LCIA!T$32</f>
        <v>0.1099</v>
      </c>
      <c r="AD19" s="16">
        <f>Summary_LCIA!U$32</f>
        <v>1.7913999999999999E-2</v>
      </c>
      <c r="AE19" s="16">
        <f>Summary_LCIA!V$32</f>
        <v>4.7760999999999999E-5</v>
      </c>
      <c r="AF19" s="16">
        <f>Summary_LCIA!W$32</f>
        <v>7.6970999999999998E-2</v>
      </c>
      <c r="AG19" s="16">
        <f>Summary_LCIA!X$32</f>
        <v>2.2780000000000002E-2</v>
      </c>
      <c r="AH19" s="16">
        <f>Summary_LCIA!Y$32</f>
        <v>1.5582E-2</v>
      </c>
      <c r="AI19" s="16">
        <f>Summary_LCIA!Z$32</f>
        <v>4.1009E-5</v>
      </c>
      <c r="AJ19" s="16">
        <f>Summary_LCIA!AA$32</f>
        <v>2.3355999999999998E-2</v>
      </c>
      <c r="AK19" s="16">
        <f>Summary_LCIA!AB$32</f>
        <v>-2.1823000000000001E-5</v>
      </c>
      <c r="AL19" s="16">
        <f>Summary_LCIA!AC$32</f>
        <v>4.8884000000000003E-8</v>
      </c>
      <c r="AM19" s="16">
        <f>Summary_LCIA!AD$32</f>
        <v>4.1103999999999999E-4</v>
      </c>
      <c r="AN19" s="16">
        <f>Summary_LCIA!AE$32</f>
        <v>8.8612999999999995E-4</v>
      </c>
      <c r="AO19" s="16">
        <f>Summary_LCIA!AF$32</f>
        <v>8.4542000000000005E-4</v>
      </c>
      <c r="AP19" s="16">
        <f>Summary_LCIA!AG$32</f>
        <v>5.1165000000000002E-5</v>
      </c>
      <c r="AQ19" s="16">
        <f>Summary_LCIA!AH$32</f>
        <v>8.7036000000000006E-3</v>
      </c>
      <c r="AR19" s="16">
        <f>Summary_LCIA!AI$32</f>
        <v>9.3154999999999996E-4</v>
      </c>
      <c r="AT19" s="16">
        <f t="shared" si="2"/>
        <v>72.345118999999997</v>
      </c>
      <c r="AU19" s="16">
        <f t="shared" si="14"/>
        <v>1055.1679174378648</v>
      </c>
      <c r="AV19" s="16">
        <f t="shared" si="15"/>
        <v>1.121072568</v>
      </c>
      <c r="AW19" s="16">
        <f t="shared" si="16"/>
        <v>71.404078900000002</v>
      </c>
      <c r="AX19" s="16">
        <f t="shared" si="17"/>
        <v>23.398259499999998</v>
      </c>
      <c r="AY19" s="16">
        <f t="shared" si="18"/>
        <v>3.8139801699999998</v>
      </c>
      <c r="AZ19" s="16">
        <f t="shared" si="19"/>
        <v>1.0168555705E-2</v>
      </c>
      <c r="BA19" s="16">
        <f t="shared" si="20"/>
        <v>16.387510755000001</v>
      </c>
      <c r="BB19" s="16">
        <f t="shared" si="21"/>
        <v>4.8499759000000005</v>
      </c>
      <c r="BC19" s="16">
        <f t="shared" si="3"/>
        <v>3.3174857100000001</v>
      </c>
      <c r="BD19" s="16">
        <f t="shared" si="4"/>
        <v>8.7310211450000001E-3</v>
      </c>
      <c r="BE19" s="16">
        <f t="shared" si="5"/>
        <v>4.9726091800000001</v>
      </c>
      <c r="BF19" s="16">
        <f t="shared" si="6"/>
        <v>-4.6462258150000001E-3</v>
      </c>
      <c r="BG19" s="16">
        <f t="shared" si="7"/>
        <v>1.0407648020000001E-5</v>
      </c>
      <c r="BH19" s="16">
        <f t="shared" si="8"/>
        <v>8.7512471199999997E-2</v>
      </c>
      <c r="BI19" s="16">
        <f t="shared" si="9"/>
        <v>0.18866150764999998</v>
      </c>
      <c r="BJ19" s="16">
        <f t="shared" si="10"/>
        <v>0.1799941451</v>
      </c>
      <c r="BK19" s="16">
        <f t="shared" si="11"/>
        <v>1.0893284325E-2</v>
      </c>
      <c r="BL19" s="16">
        <f t="shared" si="12"/>
        <v>1.8530399580000001</v>
      </c>
      <c r="BM19" s="16">
        <f t="shared" si="13"/>
        <v>0.19833165275</v>
      </c>
      <c r="BN19" s="16"/>
    </row>
    <row r="20" spans="1:66" x14ac:dyDescent="0.25">
      <c r="A20" s="159">
        <v>243</v>
      </c>
      <c r="B20" s="159">
        <v>6</v>
      </c>
      <c r="C20" s="45">
        <v>43.739162</v>
      </c>
      <c r="D20" s="45">
        <v>-87.781754000000006</v>
      </c>
      <c r="E20" s="45" t="s">
        <v>265</v>
      </c>
      <c r="F20" s="159">
        <v>114</v>
      </c>
      <c r="G20" s="45" t="s">
        <v>639</v>
      </c>
      <c r="H20" s="45" t="s">
        <v>640</v>
      </c>
      <c r="I20" s="45">
        <v>42.947552999999999</v>
      </c>
      <c r="J20" s="45">
        <v>-87.896646000000004</v>
      </c>
      <c r="K20" s="45">
        <v>136.40500399999999</v>
      </c>
      <c r="L20" s="45">
        <v>98.278000000000006</v>
      </c>
      <c r="M20" s="45" t="s">
        <v>617</v>
      </c>
      <c r="N20" s="159">
        <v>5</v>
      </c>
      <c r="O20" s="159">
        <v>6</v>
      </c>
      <c r="P20" s="45" t="s">
        <v>565</v>
      </c>
      <c r="Q20" s="45" t="s">
        <v>564</v>
      </c>
      <c r="R20" s="45">
        <v>41.98028</v>
      </c>
      <c r="S20" s="45">
        <v>-87.908997900000003</v>
      </c>
      <c r="T20" s="45">
        <v>212.905</v>
      </c>
      <c r="U20" s="45" t="s">
        <v>617</v>
      </c>
      <c r="V20" s="45" t="s">
        <v>617</v>
      </c>
      <c r="W20" s="45"/>
      <c r="X20" s="22"/>
      <c r="Y20" s="16">
        <f>Summary_LCIA!H$32</f>
        <v>0.33979999999999999</v>
      </c>
      <c r="Z20" s="16">
        <f>Summary_LCIA!Q$32</f>
        <v>4.9560504329999997</v>
      </c>
      <c r="AA20" s="16">
        <f>Summary_LCIA!R$32</f>
        <v>5.2655999999999996E-3</v>
      </c>
      <c r="AB20" s="16">
        <f>Summary_LCIA!S$32</f>
        <v>0.33538000000000001</v>
      </c>
      <c r="AC20" s="16">
        <f>Summary_LCIA!T$32</f>
        <v>0.1099</v>
      </c>
      <c r="AD20" s="16">
        <f>Summary_LCIA!U$32</f>
        <v>1.7913999999999999E-2</v>
      </c>
      <c r="AE20" s="16">
        <f>Summary_LCIA!V$32</f>
        <v>4.7760999999999999E-5</v>
      </c>
      <c r="AF20" s="16">
        <f>Summary_LCIA!W$32</f>
        <v>7.6970999999999998E-2</v>
      </c>
      <c r="AG20" s="16">
        <f>Summary_LCIA!X$32</f>
        <v>2.2780000000000002E-2</v>
      </c>
      <c r="AH20" s="16">
        <f>Summary_LCIA!Y$32</f>
        <v>1.5582E-2</v>
      </c>
      <c r="AI20" s="16">
        <f>Summary_LCIA!Z$32</f>
        <v>4.1009E-5</v>
      </c>
      <c r="AJ20" s="16">
        <f>Summary_LCIA!AA$32</f>
        <v>2.3355999999999998E-2</v>
      </c>
      <c r="AK20" s="16">
        <f>Summary_LCIA!AB$32</f>
        <v>-2.1823000000000001E-5</v>
      </c>
      <c r="AL20" s="16">
        <f>Summary_LCIA!AC$32</f>
        <v>4.8884000000000003E-8</v>
      </c>
      <c r="AM20" s="16">
        <f>Summary_LCIA!AD$32</f>
        <v>4.1103999999999999E-4</v>
      </c>
      <c r="AN20" s="16">
        <f>Summary_LCIA!AE$32</f>
        <v>8.8612999999999995E-4</v>
      </c>
      <c r="AO20" s="16">
        <f>Summary_LCIA!AF$32</f>
        <v>8.4542000000000005E-4</v>
      </c>
      <c r="AP20" s="16">
        <f>Summary_LCIA!AG$32</f>
        <v>5.1165000000000002E-5</v>
      </c>
      <c r="AQ20" s="16">
        <f>Summary_LCIA!AH$32</f>
        <v>8.7036000000000006E-3</v>
      </c>
      <c r="AR20" s="16">
        <f>Summary_LCIA!AI$32</f>
        <v>9.3154999999999996E-4</v>
      </c>
      <c r="AT20" s="16">
        <f t="shared" si="2"/>
        <v>72.345118999999997</v>
      </c>
      <c r="AU20" s="16">
        <f t="shared" si="14"/>
        <v>1055.1679174378648</v>
      </c>
      <c r="AV20" s="16">
        <f t="shared" si="15"/>
        <v>1.121072568</v>
      </c>
      <c r="AW20" s="16">
        <f t="shared" si="16"/>
        <v>71.404078900000002</v>
      </c>
      <c r="AX20" s="16">
        <f t="shared" si="17"/>
        <v>23.398259499999998</v>
      </c>
      <c r="AY20" s="16">
        <f t="shared" si="18"/>
        <v>3.8139801699999998</v>
      </c>
      <c r="AZ20" s="16">
        <f t="shared" si="19"/>
        <v>1.0168555705E-2</v>
      </c>
      <c r="BA20" s="16">
        <f t="shared" si="20"/>
        <v>16.387510755000001</v>
      </c>
      <c r="BB20" s="16">
        <f t="shared" si="21"/>
        <v>4.8499759000000005</v>
      </c>
      <c r="BC20" s="16">
        <f t="shared" si="3"/>
        <v>3.3174857100000001</v>
      </c>
      <c r="BD20" s="16">
        <f t="shared" si="4"/>
        <v>8.7310211450000001E-3</v>
      </c>
      <c r="BE20" s="16">
        <f t="shared" si="5"/>
        <v>4.9726091800000001</v>
      </c>
      <c r="BF20" s="16">
        <f t="shared" si="6"/>
        <v>-4.6462258150000001E-3</v>
      </c>
      <c r="BG20" s="16">
        <f t="shared" si="7"/>
        <v>1.0407648020000001E-5</v>
      </c>
      <c r="BH20" s="16">
        <f t="shared" si="8"/>
        <v>8.7512471199999997E-2</v>
      </c>
      <c r="BI20" s="16">
        <f t="shared" si="9"/>
        <v>0.18866150764999998</v>
      </c>
      <c r="BJ20" s="16">
        <f t="shared" si="10"/>
        <v>0.1799941451</v>
      </c>
      <c r="BK20" s="16">
        <f t="shared" si="11"/>
        <v>1.0893284325E-2</v>
      </c>
      <c r="BL20" s="16">
        <f t="shared" si="12"/>
        <v>1.8530399580000001</v>
      </c>
      <c r="BM20" s="16">
        <f t="shared" si="13"/>
        <v>0.19833165275</v>
      </c>
      <c r="BN20" s="16"/>
    </row>
    <row r="21" spans="1:66" x14ac:dyDescent="0.25">
      <c r="A21" s="159">
        <v>253</v>
      </c>
      <c r="B21" s="159">
        <v>6</v>
      </c>
      <c r="C21" s="45">
        <v>43.073051999999997</v>
      </c>
      <c r="D21" s="45">
        <v>-89.401229999999998</v>
      </c>
      <c r="E21" s="45" t="s">
        <v>265</v>
      </c>
      <c r="F21" s="159">
        <v>114</v>
      </c>
      <c r="G21" s="45" t="s">
        <v>639</v>
      </c>
      <c r="H21" s="45" t="s">
        <v>640</v>
      </c>
      <c r="I21" s="45">
        <v>42.947552999999999</v>
      </c>
      <c r="J21" s="45">
        <v>-87.896646000000004</v>
      </c>
      <c r="K21" s="45">
        <v>124.3178211</v>
      </c>
      <c r="L21" s="45">
        <v>138.58099999999999</v>
      </c>
      <c r="M21" s="45" t="s">
        <v>617</v>
      </c>
      <c r="N21" s="159">
        <v>5</v>
      </c>
      <c r="O21" s="159">
        <v>6</v>
      </c>
      <c r="P21" s="45" t="s">
        <v>565</v>
      </c>
      <c r="Q21" s="45" t="s">
        <v>564</v>
      </c>
      <c r="R21" s="45">
        <v>41.98028</v>
      </c>
      <c r="S21" s="45">
        <v>-87.908997900000003</v>
      </c>
      <c r="T21" s="45">
        <v>215.036</v>
      </c>
      <c r="U21" s="45" t="s">
        <v>617</v>
      </c>
      <c r="V21" s="45" t="s">
        <v>617</v>
      </c>
      <c r="W21" s="45"/>
      <c r="X21" s="22"/>
      <c r="Y21" s="16">
        <f>Summary_LCIA!H$32</f>
        <v>0.33979999999999999</v>
      </c>
      <c r="Z21" s="16">
        <f>Summary_LCIA!Q$32</f>
        <v>4.9560504329999997</v>
      </c>
      <c r="AA21" s="16">
        <f>Summary_LCIA!R$32</f>
        <v>5.2655999999999996E-3</v>
      </c>
      <c r="AB21" s="16">
        <f>Summary_LCIA!S$32</f>
        <v>0.33538000000000001</v>
      </c>
      <c r="AC21" s="16">
        <f>Summary_LCIA!T$32</f>
        <v>0.1099</v>
      </c>
      <c r="AD21" s="16">
        <f>Summary_LCIA!U$32</f>
        <v>1.7913999999999999E-2</v>
      </c>
      <c r="AE21" s="16">
        <f>Summary_LCIA!V$32</f>
        <v>4.7760999999999999E-5</v>
      </c>
      <c r="AF21" s="16">
        <f>Summary_LCIA!W$32</f>
        <v>7.6970999999999998E-2</v>
      </c>
      <c r="AG21" s="16">
        <f>Summary_LCIA!X$32</f>
        <v>2.2780000000000002E-2</v>
      </c>
      <c r="AH21" s="16">
        <f>Summary_LCIA!Y$32</f>
        <v>1.5582E-2</v>
      </c>
      <c r="AI21" s="16">
        <f>Summary_LCIA!Z$32</f>
        <v>4.1009E-5</v>
      </c>
      <c r="AJ21" s="16">
        <f>Summary_LCIA!AA$32</f>
        <v>2.3355999999999998E-2</v>
      </c>
      <c r="AK21" s="16">
        <f>Summary_LCIA!AB$32</f>
        <v>-2.1823000000000001E-5</v>
      </c>
      <c r="AL21" s="16">
        <f>Summary_LCIA!AC$32</f>
        <v>4.8884000000000003E-8</v>
      </c>
      <c r="AM21" s="16">
        <f>Summary_LCIA!AD$32</f>
        <v>4.1103999999999999E-4</v>
      </c>
      <c r="AN21" s="16">
        <f>Summary_LCIA!AE$32</f>
        <v>8.8612999999999995E-4</v>
      </c>
      <c r="AO21" s="16">
        <f>Summary_LCIA!AF$32</f>
        <v>8.4542000000000005E-4</v>
      </c>
      <c r="AP21" s="16">
        <f>Summary_LCIA!AG$32</f>
        <v>5.1165000000000002E-5</v>
      </c>
      <c r="AQ21" s="16">
        <f>Summary_LCIA!AH$32</f>
        <v>8.7036000000000006E-3</v>
      </c>
      <c r="AR21" s="16">
        <f>Summary_LCIA!AI$32</f>
        <v>9.3154999999999996E-4</v>
      </c>
      <c r="AT21" s="16">
        <f t="shared" si="2"/>
        <v>73.069232799999995</v>
      </c>
      <c r="AU21" s="16">
        <f t="shared" si="14"/>
        <v>1065.729260910588</v>
      </c>
      <c r="AV21" s="16">
        <f t="shared" si="15"/>
        <v>1.1322935615999998</v>
      </c>
      <c r="AW21" s="16">
        <f t="shared" si="16"/>
        <v>72.118773680000004</v>
      </c>
      <c r="AX21" s="16">
        <f t="shared" si="17"/>
        <v>23.632456399999999</v>
      </c>
      <c r="AY21" s="16">
        <f t="shared" si="18"/>
        <v>3.8521549039999998</v>
      </c>
      <c r="AZ21" s="16">
        <f t="shared" si="19"/>
        <v>1.0270334395999999E-2</v>
      </c>
      <c r="BA21" s="16">
        <f t="shared" si="20"/>
        <v>16.551535955999999</v>
      </c>
      <c r="BB21" s="16">
        <f t="shared" si="21"/>
        <v>4.8985200799999999</v>
      </c>
      <c r="BC21" s="16">
        <f t="shared" si="3"/>
        <v>3.3506909519999999</v>
      </c>
      <c r="BD21" s="16">
        <f t="shared" si="4"/>
        <v>8.8184113240000004E-3</v>
      </c>
      <c r="BE21" s="16">
        <f t="shared" si="5"/>
        <v>5.0223808160000001</v>
      </c>
      <c r="BF21" s="16">
        <f t="shared" si="6"/>
        <v>-4.6927306280000001E-3</v>
      </c>
      <c r="BG21" s="16">
        <f t="shared" si="7"/>
        <v>1.0511819824000001E-5</v>
      </c>
      <c r="BH21" s="16">
        <f t="shared" si="8"/>
        <v>8.8388397440000002E-2</v>
      </c>
      <c r="BI21" s="16">
        <f t="shared" si="9"/>
        <v>0.19054985067999999</v>
      </c>
      <c r="BJ21" s="16">
        <f t="shared" si="10"/>
        <v>0.18179573512000002</v>
      </c>
      <c r="BK21" s="16">
        <f t="shared" si="11"/>
        <v>1.1002316940000001E-2</v>
      </c>
      <c r="BL21" s="16">
        <f t="shared" si="12"/>
        <v>1.8715873296000001</v>
      </c>
      <c r="BM21" s="16">
        <f t="shared" si="13"/>
        <v>0.20031678579999998</v>
      </c>
      <c r="BN21" s="16"/>
    </row>
    <row r="22" spans="1:66" x14ac:dyDescent="0.25">
      <c r="A22" s="159">
        <v>254</v>
      </c>
      <c r="B22" s="159">
        <v>6</v>
      </c>
      <c r="C22" s="45">
        <v>43.073051999999997</v>
      </c>
      <c r="D22" s="45">
        <v>-89.401229999999998</v>
      </c>
      <c r="E22" s="45" t="s">
        <v>265</v>
      </c>
      <c r="F22" s="159">
        <v>114</v>
      </c>
      <c r="G22" s="45" t="s">
        <v>639</v>
      </c>
      <c r="H22" s="45" t="s">
        <v>640</v>
      </c>
      <c r="I22" s="45">
        <v>42.947552999999999</v>
      </c>
      <c r="J22" s="45">
        <v>-87.896646000000004</v>
      </c>
      <c r="K22" s="45">
        <v>124.3178211</v>
      </c>
      <c r="L22" s="45">
        <v>138.58099999999999</v>
      </c>
      <c r="M22" s="45" t="s">
        <v>617</v>
      </c>
      <c r="N22" s="159">
        <v>5</v>
      </c>
      <c r="O22" s="159">
        <v>6</v>
      </c>
      <c r="P22" s="45" t="s">
        <v>565</v>
      </c>
      <c r="Q22" s="45" t="s">
        <v>564</v>
      </c>
      <c r="R22" s="45">
        <v>41.98028</v>
      </c>
      <c r="S22" s="45">
        <v>-87.908997900000003</v>
      </c>
      <c r="T22" s="45">
        <v>215.036</v>
      </c>
      <c r="U22" s="45" t="s">
        <v>617</v>
      </c>
      <c r="V22" s="45" t="s">
        <v>617</v>
      </c>
      <c r="W22" s="45"/>
      <c r="X22" s="22"/>
      <c r="Y22" s="16">
        <f>Summary_LCIA!H$32</f>
        <v>0.33979999999999999</v>
      </c>
      <c r="Z22" s="16">
        <f>Summary_LCIA!Q$32</f>
        <v>4.9560504329999997</v>
      </c>
      <c r="AA22" s="16">
        <f>Summary_LCIA!R$32</f>
        <v>5.2655999999999996E-3</v>
      </c>
      <c r="AB22" s="16">
        <f>Summary_LCIA!S$32</f>
        <v>0.33538000000000001</v>
      </c>
      <c r="AC22" s="16">
        <f>Summary_LCIA!T$32</f>
        <v>0.1099</v>
      </c>
      <c r="AD22" s="16">
        <f>Summary_LCIA!U$32</f>
        <v>1.7913999999999999E-2</v>
      </c>
      <c r="AE22" s="16">
        <f>Summary_LCIA!V$32</f>
        <v>4.7760999999999999E-5</v>
      </c>
      <c r="AF22" s="16">
        <f>Summary_LCIA!W$32</f>
        <v>7.6970999999999998E-2</v>
      </c>
      <c r="AG22" s="16">
        <f>Summary_LCIA!X$32</f>
        <v>2.2780000000000002E-2</v>
      </c>
      <c r="AH22" s="16">
        <f>Summary_LCIA!Y$32</f>
        <v>1.5582E-2</v>
      </c>
      <c r="AI22" s="16">
        <f>Summary_LCIA!Z$32</f>
        <v>4.1009E-5</v>
      </c>
      <c r="AJ22" s="16">
        <f>Summary_LCIA!AA$32</f>
        <v>2.3355999999999998E-2</v>
      </c>
      <c r="AK22" s="16">
        <f>Summary_LCIA!AB$32</f>
        <v>-2.1823000000000001E-5</v>
      </c>
      <c r="AL22" s="16">
        <f>Summary_LCIA!AC$32</f>
        <v>4.8884000000000003E-8</v>
      </c>
      <c r="AM22" s="16">
        <f>Summary_LCIA!AD$32</f>
        <v>4.1103999999999999E-4</v>
      </c>
      <c r="AN22" s="16">
        <f>Summary_LCIA!AE$32</f>
        <v>8.8612999999999995E-4</v>
      </c>
      <c r="AO22" s="16">
        <f>Summary_LCIA!AF$32</f>
        <v>8.4542000000000005E-4</v>
      </c>
      <c r="AP22" s="16">
        <f>Summary_LCIA!AG$32</f>
        <v>5.1165000000000002E-5</v>
      </c>
      <c r="AQ22" s="16">
        <f>Summary_LCIA!AH$32</f>
        <v>8.7036000000000006E-3</v>
      </c>
      <c r="AR22" s="16">
        <f>Summary_LCIA!AI$32</f>
        <v>9.3154999999999996E-4</v>
      </c>
      <c r="AT22" s="16">
        <f t="shared" si="2"/>
        <v>73.069232799999995</v>
      </c>
      <c r="AU22" s="16">
        <f t="shared" si="14"/>
        <v>1065.729260910588</v>
      </c>
      <c r="AV22" s="16">
        <f t="shared" si="15"/>
        <v>1.1322935615999998</v>
      </c>
      <c r="AW22" s="16">
        <f t="shared" si="16"/>
        <v>72.118773680000004</v>
      </c>
      <c r="AX22" s="16">
        <f t="shared" si="17"/>
        <v>23.632456399999999</v>
      </c>
      <c r="AY22" s="16">
        <f t="shared" si="18"/>
        <v>3.8521549039999998</v>
      </c>
      <c r="AZ22" s="16">
        <f t="shared" si="19"/>
        <v>1.0270334395999999E-2</v>
      </c>
      <c r="BA22" s="16">
        <f t="shared" si="20"/>
        <v>16.551535955999999</v>
      </c>
      <c r="BB22" s="16">
        <f t="shared" si="21"/>
        <v>4.8985200799999999</v>
      </c>
      <c r="BC22" s="16">
        <f t="shared" si="3"/>
        <v>3.3506909519999999</v>
      </c>
      <c r="BD22" s="16">
        <f t="shared" si="4"/>
        <v>8.8184113240000004E-3</v>
      </c>
      <c r="BE22" s="16">
        <f t="shared" si="5"/>
        <v>5.0223808160000001</v>
      </c>
      <c r="BF22" s="16">
        <f t="shared" si="6"/>
        <v>-4.6927306280000001E-3</v>
      </c>
      <c r="BG22" s="16">
        <f t="shared" si="7"/>
        <v>1.0511819824000001E-5</v>
      </c>
      <c r="BH22" s="16">
        <f t="shared" si="8"/>
        <v>8.8388397440000002E-2</v>
      </c>
      <c r="BI22" s="16">
        <f t="shared" si="9"/>
        <v>0.19054985067999999</v>
      </c>
      <c r="BJ22" s="16">
        <f t="shared" si="10"/>
        <v>0.18179573512000002</v>
      </c>
      <c r="BK22" s="16">
        <f t="shared" si="11"/>
        <v>1.1002316940000001E-2</v>
      </c>
      <c r="BL22" s="16">
        <f t="shared" si="12"/>
        <v>1.8715873296000001</v>
      </c>
      <c r="BM22" s="16">
        <f t="shared" si="13"/>
        <v>0.20031678579999998</v>
      </c>
      <c r="BN22" s="16"/>
    </row>
    <row r="23" spans="1:66" x14ac:dyDescent="0.25">
      <c r="A23" s="159">
        <v>255</v>
      </c>
      <c r="B23" s="159">
        <v>6</v>
      </c>
      <c r="C23" s="45">
        <v>43.073051999999997</v>
      </c>
      <c r="D23" s="45">
        <v>-89.401229999999998</v>
      </c>
      <c r="E23" s="45" t="s">
        <v>265</v>
      </c>
      <c r="F23" s="159">
        <v>114</v>
      </c>
      <c r="G23" s="45" t="s">
        <v>639</v>
      </c>
      <c r="H23" s="45" t="s">
        <v>640</v>
      </c>
      <c r="I23" s="45">
        <v>42.947552999999999</v>
      </c>
      <c r="J23" s="45">
        <v>-87.896646000000004</v>
      </c>
      <c r="K23" s="45">
        <v>124.3178211</v>
      </c>
      <c r="L23" s="45">
        <v>138.58099999999999</v>
      </c>
      <c r="M23" s="45" t="s">
        <v>617</v>
      </c>
      <c r="N23" s="159">
        <v>5</v>
      </c>
      <c r="O23" s="159">
        <v>6</v>
      </c>
      <c r="P23" s="45" t="s">
        <v>565</v>
      </c>
      <c r="Q23" s="45" t="s">
        <v>564</v>
      </c>
      <c r="R23" s="45">
        <v>41.98028</v>
      </c>
      <c r="S23" s="45">
        <v>-87.908997900000003</v>
      </c>
      <c r="T23" s="45">
        <v>215.036</v>
      </c>
      <c r="U23" s="45" t="s">
        <v>617</v>
      </c>
      <c r="V23" s="45" t="s">
        <v>617</v>
      </c>
      <c r="W23" s="45"/>
      <c r="X23" s="22"/>
      <c r="Y23" s="16">
        <f>Summary_LCIA!H$32</f>
        <v>0.33979999999999999</v>
      </c>
      <c r="Z23" s="16">
        <f>Summary_LCIA!Q$32</f>
        <v>4.9560504329999997</v>
      </c>
      <c r="AA23" s="16">
        <f>Summary_LCIA!R$32</f>
        <v>5.2655999999999996E-3</v>
      </c>
      <c r="AB23" s="16">
        <f>Summary_LCIA!S$32</f>
        <v>0.33538000000000001</v>
      </c>
      <c r="AC23" s="16">
        <f>Summary_LCIA!T$32</f>
        <v>0.1099</v>
      </c>
      <c r="AD23" s="16">
        <f>Summary_LCIA!U$32</f>
        <v>1.7913999999999999E-2</v>
      </c>
      <c r="AE23" s="16">
        <f>Summary_LCIA!V$32</f>
        <v>4.7760999999999999E-5</v>
      </c>
      <c r="AF23" s="16">
        <f>Summary_LCIA!W$32</f>
        <v>7.6970999999999998E-2</v>
      </c>
      <c r="AG23" s="16">
        <f>Summary_LCIA!X$32</f>
        <v>2.2780000000000002E-2</v>
      </c>
      <c r="AH23" s="16">
        <f>Summary_LCIA!Y$32</f>
        <v>1.5582E-2</v>
      </c>
      <c r="AI23" s="16">
        <f>Summary_LCIA!Z$32</f>
        <v>4.1009E-5</v>
      </c>
      <c r="AJ23" s="16">
        <f>Summary_LCIA!AA$32</f>
        <v>2.3355999999999998E-2</v>
      </c>
      <c r="AK23" s="16">
        <f>Summary_LCIA!AB$32</f>
        <v>-2.1823000000000001E-5</v>
      </c>
      <c r="AL23" s="16">
        <f>Summary_LCIA!AC$32</f>
        <v>4.8884000000000003E-8</v>
      </c>
      <c r="AM23" s="16">
        <f>Summary_LCIA!AD$32</f>
        <v>4.1103999999999999E-4</v>
      </c>
      <c r="AN23" s="16">
        <f>Summary_LCIA!AE$32</f>
        <v>8.8612999999999995E-4</v>
      </c>
      <c r="AO23" s="16">
        <f>Summary_LCIA!AF$32</f>
        <v>8.4542000000000005E-4</v>
      </c>
      <c r="AP23" s="16">
        <f>Summary_LCIA!AG$32</f>
        <v>5.1165000000000002E-5</v>
      </c>
      <c r="AQ23" s="16">
        <f>Summary_LCIA!AH$32</f>
        <v>8.7036000000000006E-3</v>
      </c>
      <c r="AR23" s="16">
        <f>Summary_LCIA!AI$32</f>
        <v>9.3154999999999996E-4</v>
      </c>
      <c r="AT23" s="16">
        <f t="shared" si="2"/>
        <v>73.069232799999995</v>
      </c>
      <c r="AU23" s="16">
        <f t="shared" si="14"/>
        <v>1065.729260910588</v>
      </c>
      <c r="AV23" s="16">
        <f t="shared" si="15"/>
        <v>1.1322935615999998</v>
      </c>
      <c r="AW23" s="16">
        <f t="shared" si="16"/>
        <v>72.118773680000004</v>
      </c>
      <c r="AX23" s="16">
        <f t="shared" si="17"/>
        <v>23.632456399999999</v>
      </c>
      <c r="AY23" s="16">
        <f t="shared" si="18"/>
        <v>3.8521549039999998</v>
      </c>
      <c r="AZ23" s="16">
        <f t="shared" si="19"/>
        <v>1.0270334395999999E-2</v>
      </c>
      <c r="BA23" s="16">
        <f t="shared" si="20"/>
        <v>16.551535955999999</v>
      </c>
      <c r="BB23" s="16">
        <f t="shared" si="21"/>
        <v>4.8985200799999999</v>
      </c>
      <c r="BC23" s="16">
        <f t="shared" si="3"/>
        <v>3.3506909519999999</v>
      </c>
      <c r="BD23" s="16">
        <f t="shared" si="4"/>
        <v>8.8184113240000004E-3</v>
      </c>
      <c r="BE23" s="16">
        <f t="shared" si="5"/>
        <v>5.0223808160000001</v>
      </c>
      <c r="BF23" s="16">
        <f t="shared" si="6"/>
        <v>-4.6927306280000001E-3</v>
      </c>
      <c r="BG23" s="16">
        <f t="shared" si="7"/>
        <v>1.0511819824000001E-5</v>
      </c>
      <c r="BH23" s="16">
        <f t="shared" si="8"/>
        <v>8.8388397440000002E-2</v>
      </c>
      <c r="BI23" s="16">
        <f t="shared" si="9"/>
        <v>0.19054985067999999</v>
      </c>
      <c r="BJ23" s="16">
        <f t="shared" si="10"/>
        <v>0.18179573512000002</v>
      </c>
      <c r="BK23" s="16">
        <f t="shared" si="11"/>
        <v>1.1002316940000001E-2</v>
      </c>
      <c r="BL23" s="16">
        <f t="shared" si="12"/>
        <v>1.8715873296000001</v>
      </c>
      <c r="BM23" s="16">
        <f t="shared" si="13"/>
        <v>0.20031678579999998</v>
      </c>
      <c r="BN23" s="16"/>
    </row>
    <row r="24" spans="1:66" x14ac:dyDescent="0.25">
      <c r="A24" s="159">
        <v>256</v>
      </c>
      <c r="B24" s="159">
        <v>6</v>
      </c>
      <c r="C24" s="45">
        <v>43.073051999999997</v>
      </c>
      <c r="D24" s="45">
        <v>-89.401229999999998</v>
      </c>
      <c r="E24" s="45" t="s">
        <v>265</v>
      </c>
      <c r="F24" s="159">
        <v>114</v>
      </c>
      <c r="G24" s="45" t="s">
        <v>639</v>
      </c>
      <c r="H24" s="45" t="s">
        <v>640</v>
      </c>
      <c r="I24" s="45">
        <v>42.947552999999999</v>
      </c>
      <c r="J24" s="45">
        <v>-87.896646000000004</v>
      </c>
      <c r="K24" s="45">
        <v>124.3178211</v>
      </c>
      <c r="L24" s="45">
        <v>138.58099999999999</v>
      </c>
      <c r="M24" s="45" t="s">
        <v>617</v>
      </c>
      <c r="N24" s="159">
        <v>5</v>
      </c>
      <c r="O24" s="159">
        <v>6</v>
      </c>
      <c r="P24" s="45" t="s">
        <v>565</v>
      </c>
      <c r="Q24" s="45" t="s">
        <v>564</v>
      </c>
      <c r="R24" s="45">
        <v>41.98028</v>
      </c>
      <c r="S24" s="45">
        <v>-87.908997900000003</v>
      </c>
      <c r="T24" s="45">
        <v>215.036</v>
      </c>
      <c r="U24" s="45" t="s">
        <v>617</v>
      </c>
      <c r="V24" s="45" t="s">
        <v>617</v>
      </c>
      <c r="W24" s="45"/>
      <c r="X24" s="22"/>
      <c r="Y24" s="16">
        <f>Summary_LCIA!H$32</f>
        <v>0.33979999999999999</v>
      </c>
      <c r="Z24" s="16">
        <f>Summary_LCIA!Q$32</f>
        <v>4.9560504329999997</v>
      </c>
      <c r="AA24" s="16">
        <f>Summary_LCIA!R$32</f>
        <v>5.2655999999999996E-3</v>
      </c>
      <c r="AB24" s="16">
        <f>Summary_LCIA!S$32</f>
        <v>0.33538000000000001</v>
      </c>
      <c r="AC24" s="16">
        <f>Summary_LCIA!T$32</f>
        <v>0.1099</v>
      </c>
      <c r="AD24" s="16">
        <f>Summary_LCIA!U$32</f>
        <v>1.7913999999999999E-2</v>
      </c>
      <c r="AE24" s="16">
        <f>Summary_LCIA!V$32</f>
        <v>4.7760999999999999E-5</v>
      </c>
      <c r="AF24" s="16">
        <f>Summary_LCIA!W$32</f>
        <v>7.6970999999999998E-2</v>
      </c>
      <c r="AG24" s="16">
        <f>Summary_LCIA!X$32</f>
        <v>2.2780000000000002E-2</v>
      </c>
      <c r="AH24" s="16">
        <f>Summary_LCIA!Y$32</f>
        <v>1.5582E-2</v>
      </c>
      <c r="AI24" s="16">
        <f>Summary_LCIA!Z$32</f>
        <v>4.1009E-5</v>
      </c>
      <c r="AJ24" s="16">
        <f>Summary_LCIA!AA$32</f>
        <v>2.3355999999999998E-2</v>
      </c>
      <c r="AK24" s="16">
        <f>Summary_LCIA!AB$32</f>
        <v>-2.1823000000000001E-5</v>
      </c>
      <c r="AL24" s="16">
        <f>Summary_LCIA!AC$32</f>
        <v>4.8884000000000003E-8</v>
      </c>
      <c r="AM24" s="16">
        <f>Summary_LCIA!AD$32</f>
        <v>4.1103999999999999E-4</v>
      </c>
      <c r="AN24" s="16">
        <f>Summary_LCIA!AE$32</f>
        <v>8.8612999999999995E-4</v>
      </c>
      <c r="AO24" s="16">
        <f>Summary_LCIA!AF$32</f>
        <v>8.4542000000000005E-4</v>
      </c>
      <c r="AP24" s="16">
        <f>Summary_LCIA!AG$32</f>
        <v>5.1165000000000002E-5</v>
      </c>
      <c r="AQ24" s="16">
        <f>Summary_LCIA!AH$32</f>
        <v>8.7036000000000006E-3</v>
      </c>
      <c r="AR24" s="16">
        <f>Summary_LCIA!AI$32</f>
        <v>9.3154999999999996E-4</v>
      </c>
      <c r="AT24" s="16">
        <f t="shared" si="2"/>
        <v>73.069232799999995</v>
      </c>
      <c r="AU24" s="16">
        <f t="shared" si="14"/>
        <v>1065.729260910588</v>
      </c>
      <c r="AV24" s="16">
        <f t="shared" si="15"/>
        <v>1.1322935615999998</v>
      </c>
      <c r="AW24" s="16">
        <f t="shared" si="16"/>
        <v>72.118773680000004</v>
      </c>
      <c r="AX24" s="16">
        <f t="shared" si="17"/>
        <v>23.632456399999999</v>
      </c>
      <c r="AY24" s="16">
        <f t="shared" si="18"/>
        <v>3.8521549039999998</v>
      </c>
      <c r="AZ24" s="16">
        <f t="shared" si="19"/>
        <v>1.0270334395999999E-2</v>
      </c>
      <c r="BA24" s="16">
        <f t="shared" si="20"/>
        <v>16.551535955999999</v>
      </c>
      <c r="BB24" s="16">
        <f t="shared" si="21"/>
        <v>4.8985200799999999</v>
      </c>
      <c r="BC24" s="16">
        <f t="shared" si="3"/>
        <v>3.3506909519999999</v>
      </c>
      <c r="BD24" s="16">
        <f t="shared" si="4"/>
        <v>8.8184113240000004E-3</v>
      </c>
      <c r="BE24" s="16">
        <f t="shared" si="5"/>
        <v>5.0223808160000001</v>
      </c>
      <c r="BF24" s="16">
        <f t="shared" si="6"/>
        <v>-4.6927306280000001E-3</v>
      </c>
      <c r="BG24" s="16">
        <f t="shared" si="7"/>
        <v>1.0511819824000001E-5</v>
      </c>
      <c r="BH24" s="16">
        <f t="shared" si="8"/>
        <v>8.8388397440000002E-2</v>
      </c>
      <c r="BI24" s="16">
        <f t="shared" si="9"/>
        <v>0.19054985067999999</v>
      </c>
      <c r="BJ24" s="16">
        <f t="shared" si="10"/>
        <v>0.18179573512000002</v>
      </c>
      <c r="BK24" s="16">
        <f t="shared" si="11"/>
        <v>1.1002316940000001E-2</v>
      </c>
      <c r="BL24" s="16">
        <f t="shared" si="12"/>
        <v>1.8715873296000001</v>
      </c>
      <c r="BM24" s="16">
        <f t="shared" si="13"/>
        <v>0.20031678579999998</v>
      </c>
      <c r="BN24" s="16"/>
    </row>
    <row r="25" spans="1:66" x14ac:dyDescent="0.25">
      <c r="A25" s="159">
        <v>257</v>
      </c>
      <c r="B25" s="159">
        <v>6</v>
      </c>
      <c r="C25" s="45">
        <v>43.073051999999997</v>
      </c>
      <c r="D25" s="45">
        <v>-89.401229999999998</v>
      </c>
      <c r="E25" s="45" t="s">
        <v>265</v>
      </c>
      <c r="F25" s="159">
        <v>114</v>
      </c>
      <c r="G25" s="45" t="s">
        <v>639</v>
      </c>
      <c r="H25" s="45" t="s">
        <v>640</v>
      </c>
      <c r="I25" s="45">
        <v>42.947552999999999</v>
      </c>
      <c r="J25" s="45">
        <v>-87.896646000000004</v>
      </c>
      <c r="K25" s="45">
        <v>124.3178211</v>
      </c>
      <c r="L25" s="45">
        <v>138.58099999999999</v>
      </c>
      <c r="M25" s="45" t="s">
        <v>617</v>
      </c>
      <c r="N25" s="159">
        <v>5</v>
      </c>
      <c r="O25" s="159">
        <v>6</v>
      </c>
      <c r="P25" s="45" t="s">
        <v>565</v>
      </c>
      <c r="Q25" s="45" t="s">
        <v>564</v>
      </c>
      <c r="R25" s="45">
        <v>41.98028</v>
      </c>
      <c r="S25" s="45">
        <v>-87.908997900000003</v>
      </c>
      <c r="T25" s="45">
        <v>215.036</v>
      </c>
      <c r="U25" s="45" t="s">
        <v>617</v>
      </c>
      <c r="V25" s="45" t="s">
        <v>617</v>
      </c>
      <c r="W25" s="45"/>
      <c r="X25" s="22"/>
      <c r="Y25" s="16">
        <f>Summary_LCIA!H$32</f>
        <v>0.33979999999999999</v>
      </c>
      <c r="Z25" s="16">
        <f>Summary_LCIA!Q$32</f>
        <v>4.9560504329999997</v>
      </c>
      <c r="AA25" s="16">
        <f>Summary_LCIA!R$32</f>
        <v>5.2655999999999996E-3</v>
      </c>
      <c r="AB25" s="16">
        <f>Summary_LCIA!S$32</f>
        <v>0.33538000000000001</v>
      </c>
      <c r="AC25" s="16">
        <f>Summary_LCIA!T$32</f>
        <v>0.1099</v>
      </c>
      <c r="AD25" s="16">
        <f>Summary_LCIA!U$32</f>
        <v>1.7913999999999999E-2</v>
      </c>
      <c r="AE25" s="16">
        <f>Summary_LCIA!V$32</f>
        <v>4.7760999999999999E-5</v>
      </c>
      <c r="AF25" s="16">
        <f>Summary_LCIA!W$32</f>
        <v>7.6970999999999998E-2</v>
      </c>
      <c r="AG25" s="16">
        <f>Summary_LCIA!X$32</f>
        <v>2.2780000000000002E-2</v>
      </c>
      <c r="AH25" s="16">
        <f>Summary_LCIA!Y$32</f>
        <v>1.5582E-2</v>
      </c>
      <c r="AI25" s="16">
        <f>Summary_LCIA!Z$32</f>
        <v>4.1009E-5</v>
      </c>
      <c r="AJ25" s="16">
        <f>Summary_LCIA!AA$32</f>
        <v>2.3355999999999998E-2</v>
      </c>
      <c r="AK25" s="16">
        <f>Summary_LCIA!AB$32</f>
        <v>-2.1823000000000001E-5</v>
      </c>
      <c r="AL25" s="16">
        <f>Summary_LCIA!AC$32</f>
        <v>4.8884000000000003E-8</v>
      </c>
      <c r="AM25" s="16">
        <f>Summary_LCIA!AD$32</f>
        <v>4.1103999999999999E-4</v>
      </c>
      <c r="AN25" s="16">
        <f>Summary_LCIA!AE$32</f>
        <v>8.8612999999999995E-4</v>
      </c>
      <c r="AO25" s="16">
        <f>Summary_LCIA!AF$32</f>
        <v>8.4542000000000005E-4</v>
      </c>
      <c r="AP25" s="16">
        <f>Summary_LCIA!AG$32</f>
        <v>5.1165000000000002E-5</v>
      </c>
      <c r="AQ25" s="16">
        <f>Summary_LCIA!AH$32</f>
        <v>8.7036000000000006E-3</v>
      </c>
      <c r="AR25" s="16">
        <f>Summary_LCIA!AI$32</f>
        <v>9.3154999999999996E-4</v>
      </c>
      <c r="AT25" s="16">
        <f t="shared" si="2"/>
        <v>73.069232799999995</v>
      </c>
      <c r="AU25" s="16">
        <f t="shared" si="14"/>
        <v>1065.729260910588</v>
      </c>
      <c r="AV25" s="16">
        <f t="shared" si="15"/>
        <v>1.1322935615999998</v>
      </c>
      <c r="AW25" s="16">
        <f t="shared" si="16"/>
        <v>72.118773680000004</v>
      </c>
      <c r="AX25" s="16">
        <f t="shared" si="17"/>
        <v>23.632456399999999</v>
      </c>
      <c r="AY25" s="16">
        <f t="shared" si="18"/>
        <v>3.8521549039999998</v>
      </c>
      <c r="AZ25" s="16">
        <f t="shared" si="19"/>
        <v>1.0270334395999999E-2</v>
      </c>
      <c r="BA25" s="16">
        <f t="shared" si="20"/>
        <v>16.551535955999999</v>
      </c>
      <c r="BB25" s="16">
        <f t="shared" si="21"/>
        <v>4.8985200799999999</v>
      </c>
      <c r="BC25" s="16">
        <f t="shared" si="3"/>
        <v>3.3506909519999999</v>
      </c>
      <c r="BD25" s="16">
        <f t="shared" si="4"/>
        <v>8.8184113240000004E-3</v>
      </c>
      <c r="BE25" s="16">
        <f t="shared" si="5"/>
        <v>5.0223808160000001</v>
      </c>
      <c r="BF25" s="16">
        <f t="shared" si="6"/>
        <v>-4.6927306280000001E-3</v>
      </c>
      <c r="BG25" s="16">
        <f t="shared" si="7"/>
        <v>1.0511819824000001E-5</v>
      </c>
      <c r="BH25" s="16">
        <f t="shared" si="8"/>
        <v>8.8388397440000002E-2</v>
      </c>
      <c r="BI25" s="16">
        <f t="shared" si="9"/>
        <v>0.19054985067999999</v>
      </c>
      <c r="BJ25" s="16">
        <f t="shared" si="10"/>
        <v>0.18179573512000002</v>
      </c>
      <c r="BK25" s="16">
        <f t="shared" si="11"/>
        <v>1.1002316940000001E-2</v>
      </c>
      <c r="BL25" s="16">
        <f t="shared" si="12"/>
        <v>1.8715873296000001</v>
      </c>
      <c r="BM25" s="16">
        <f t="shared" si="13"/>
        <v>0.20031678579999998</v>
      </c>
      <c r="BN25" s="16"/>
    </row>
    <row r="26" spans="1:66" x14ac:dyDescent="0.25">
      <c r="A26" s="159">
        <v>258</v>
      </c>
      <c r="B26" s="159">
        <v>6</v>
      </c>
      <c r="C26" s="45">
        <v>43.073051999999997</v>
      </c>
      <c r="D26" s="45">
        <v>-89.401229999999998</v>
      </c>
      <c r="E26" s="45" t="s">
        <v>265</v>
      </c>
      <c r="F26" s="159">
        <v>114</v>
      </c>
      <c r="G26" s="45" t="s">
        <v>639</v>
      </c>
      <c r="H26" s="45" t="s">
        <v>640</v>
      </c>
      <c r="I26" s="45">
        <v>42.947552999999999</v>
      </c>
      <c r="J26" s="45">
        <v>-87.896646000000004</v>
      </c>
      <c r="K26" s="45">
        <v>124.3178211</v>
      </c>
      <c r="L26" s="45">
        <v>138.58099999999999</v>
      </c>
      <c r="M26" s="45" t="s">
        <v>617</v>
      </c>
      <c r="N26" s="159">
        <v>5</v>
      </c>
      <c r="O26" s="159">
        <v>6</v>
      </c>
      <c r="P26" s="45" t="s">
        <v>565</v>
      </c>
      <c r="Q26" s="45" t="s">
        <v>564</v>
      </c>
      <c r="R26" s="45">
        <v>41.98028</v>
      </c>
      <c r="S26" s="45">
        <v>-87.908997900000003</v>
      </c>
      <c r="T26" s="45">
        <v>215.036</v>
      </c>
      <c r="U26" s="45" t="s">
        <v>617</v>
      </c>
      <c r="V26" s="45" t="s">
        <v>617</v>
      </c>
      <c r="W26" s="45"/>
      <c r="X26" s="22"/>
      <c r="Y26" s="16">
        <f>Summary_LCIA!H$32</f>
        <v>0.33979999999999999</v>
      </c>
      <c r="Z26" s="16">
        <f>Summary_LCIA!Q$32</f>
        <v>4.9560504329999997</v>
      </c>
      <c r="AA26" s="16">
        <f>Summary_LCIA!R$32</f>
        <v>5.2655999999999996E-3</v>
      </c>
      <c r="AB26" s="16">
        <f>Summary_LCIA!S$32</f>
        <v>0.33538000000000001</v>
      </c>
      <c r="AC26" s="16">
        <f>Summary_LCIA!T$32</f>
        <v>0.1099</v>
      </c>
      <c r="AD26" s="16">
        <f>Summary_LCIA!U$32</f>
        <v>1.7913999999999999E-2</v>
      </c>
      <c r="AE26" s="16">
        <f>Summary_LCIA!V$32</f>
        <v>4.7760999999999999E-5</v>
      </c>
      <c r="AF26" s="16">
        <f>Summary_LCIA!W$32</f>
        <v>7.6970999999999998E-2</v>
      </c>
      <c r="AG26" s="16">
        <f>Summary_LCIA!X$32</f>
        <v>2.2780000000000002E-2</v>
      </c>
      <c r="AH26" s="16">
        <f>Summary_LCIA!Y$32</f>
        <v>1.5582E-2</v>
      </c>
      <c r="AI26" s="16">
        <f>Summary_LCIA!Z$32</f>
        <v>4.1009E-5</v>
      </c>
      <c r="AJ26" s="16">
        <f>Summary_LCIA!AA$32</f>
        <v>2.3355999999999998E-2</v>
      </c>
      <c r="AK26" s="16">
        <f>Summary_LCIA!AB$32</f>
        <v>-2.1823000000000001E-5</v>
      </c>
      <c r="AL26" s="16">
        <f>Summary_LCIA!AC$32</f>
        <v>4.8884000000000003E-8</v>
      </c>
      <c r="AM26" s="16">
        <f>Summary_LCIA!AD$32</f>
        <v>4.1103999999999999E-4</v>
      </c>
      <c r="AN26" s="16">
        <f>Summary_LCIA!AE$32</f>
        <v>8.8612999999999995E-4</v>
      </c>
      <c r="AO26" s="16">
        <f>Summary_LCIA!AF$32</f>
        <v>8.4542000000000005E-4</v>
      </c>
      <c r="AP26" s="16">
        <f>Summary_LCIA!AG$32</f>
        <v>5.1165000000000002E-5</v>
      </c>
      <c r="AQ26" s="16">
        <f>Summary_LCIA!AH$32</f>
        <v>8.7036000000000006E-3</v>
      </c>
      <c r="AR26" s="16">
        <f>Summary_LCIA!AI$32</f>
        <v>9.3154999999999996E-4</v>
      </c>
      <c r="AT26" s="16">
        <f t="shared" si="2"/>
        <v>73.069232799999995</v>
      </c>
      <c r="AU26" s="16">
        <f t="shared" si="14"/>
        <v>1065.729260910588</v>
      </c>
      <c r="AV26" s="16">
        <f t="shared" si="15"/>
        <v>1.1322935615999998</v>
      </c>
      <c r="AW26" s="16">
        <f t="shared" si="16"/>
        <v>72.118773680000004</v>
      </c>
      <c r="AX26" s="16">
        <f t="shared" si="17"/>
        <v>23.632456399999999</v>
      </c>
      <c r="AY26" s="16">
        <f t="shared" si="18"/>
        <v>3.8521549039999998</v>
      </c>
      <c r="AZ26" s="16">
        <f t="shared" si="19"/>
        <v>1.0270334395999999E-2</v>
      </c>
      <c r="BA26" s="16">
        <f t="shared" si="20"/>
        <v>16.551535955999999</v>
      </c>
      <c r="BB26" s="16">
        <f t="shared" si="21"/>
        <v>4.8985200799999999</v>
      </c>
      <c r="BC26" s="16">
        <f t="shared" si="3"/>
        <v>3.3506909519999999</v>
      </c>
      <c r="BD26" s="16">
        <f t="shared" si="4"/>
        <v>8.8184113240000004E-3</v>
      </c>
      <c r="BE26" s="16">
        <f t="shared" si="5"/>
        <v>5.0223808160000001</v>
      </c>
      <c r="BF26" s="16">
        <f t="shared" si="6"/>
        <v>-4.6927306280000001E-3</v>
      </c>
      <c r="BG26" s="16">
        <f t="shared" si="7"/>
        <v>1.0511819824000001E-5</v>
      </c>
      <c r="BH26" s="16">
        <f t="shared" si="8"/>
        <v>8.8388397440000002E-2</v>
      </c>
      <c r="BI26" s="16">
        <f t="shared" si="9"/>
        <v>0.19054985067999999</v>
      </c>
      <c r="BJ26" s="16">
        <f t="shared" si="10"/>
        <v>0.18179573512000002</v>
      </c>
      <c r="BK26" s="16">
        <f t="shared" si="11"/>
        <v>1.1002316940000001E-2</v>
      </c>
      <c r="BL26" s="16">
        <f t="shared" si="12"/>
        <v>1.8715873296000001</v>
      </c>
      <c r="BM26" s="16">
        <f t="shared" si="13"/>
        <v>0.20031678579999998</v>
      </c>
      <c r="BN26" s="16"/>
    </row>
    <row r="27" spans="1:66" x14ac:dyDescent="0.25">
      <c r="A27" s="159">
        <v>259</v>
      </c>
      <c r="B27" s="159">
        <v>6</v>
      </c>
      <c r="C27" s="45">
        <v>43.073051999999997</v>
      </c>
      <c r="D27" s="45">
        <v>-89.401229999999998</v>
      </c>
      <c r="E27" s="45" t="s">
        <v>265</v>
      </c>
      <c r="F27" s="159">
        <v>114</v>
      </c>
      <c r="G27" s="45" t="s">
        <v>639</v>
      </c>
      <c r="H27" s="45" t="s">
        <v>640</v>
      </c>
      <c r="I27" s="45">
        <v>42.947552999999999</v>
      </c>
      <c r="J27" s="45">
        <v>-87.896646000000004</v>
      </c>
      <c r="K27" s="45">
        <v>124.3178211</v>
      </c>
      <c r="L27" s="45">
        <v>138.58099999999999</v>
      </c>
      <c r="M27" s="45" t="s">
        <v>617</v>
      </c>
      <c r="N27" s="159">
        <v>5</v>
      </c>
      <c r="O27" s="159">
        <v>6</v>
      </c>
      <c r="P27" s="45" t="s">
        <v>565</v>
      </c>
      <c r="Q27" s="45" t="s">
        <v>564</v>
      </c>
      <c r="R27" s="45">
        <v>41.98028</v>
      </c>
      <c r="S27" s="45">
        <v>-87.908997900000003</v>
      </c>
      <c r="T27" s="45">
        <v>215.036</v>
      </c>
      <c r="U27" s="45" t="s">
        <v>617</v>
      </c>
      <c r="V27" s="45" t="s">
        <v>617</v>
      </c>
      <c r="W27" s="45"/>
      <c r="X27" s="22"/>
      <c r="Y27" s="16">
        <f>Summary_LCIA!H$32</f>
        <v>0.33979999999999999</v>
      </c>
      <c r="Z27" s="16">
        <f>Summary_LCIA!Q$32</f>
        <v>4.9560504329999997</v>
      </c>
      <c r="AA27" s="16">
        <f>Summary_LCIA!R$32</f>
        <v>5.2655999999999996E-3</v>
      </c>
      <c r="AB27" s="16">
        <f>Summary_LCIA!S$32</f>
        <v>0.33538000000000001</v>
      </c>
      <c r="AC27" s="16">
        <f>Summary_LCIA!T$32</f>
        <v>0.1099</v>
      </c>
      <c r="AD27" s="16">
        <f>Summary_LCIA!U$32</f>
        <v>1.7913999999999999E-2</v>
      </c>
      <c r="AE27" s="16">
        <f>Summary_LCIA!V$32</f>
        <v>4.7760999999999999E-5</v>
      </c>
      <c r="AF27" s="16">
        <f>Summary_LCIA!W$32</f>
        <v>7.6970999999999998E-2</v>
      </c>
      <c r="AG27" s="16">
        <f>Summary_LCIA!X$32</f>
        <v>2.2780000000000002E-2</v>
      </c>
      <c r="AH27" s="16">
        <f>Summary_LCIA!Y$32</f>
        <v>1.5582E-2</v>
      </c>
      <c r="AI27" s="16">
        <f>Summary_LCIA!Z$32</f>
        <v>4.1009E-5</v>
      </c>
      <c r="AJ27" s="16">
        <f>Summary_LCIA!AA$32</f>
        <v>2.3355999999999998E-2</v>
      </c>
      <c r="AK27" s="16">
        <f>Summary_LCIA!AB$32</f>
        <v>-2.1823000000000001E-5</v>
      </c>
      <c r="AL27" s="16">
        <f>Summary_LCIA!AC$32</f>
        <v>4.8884000000000003E-8</v>
      </c>
      <c r="AM27" s="16">
        <f>Summary_LCIA!AD$32</f>
        <v>4.1103999999999999E-4</v>
      </c>
      <c r="AN27" s="16">
        <f>Summary_LCIA!AE$32</f>
        <v>8.8612999999999995E-4</v>
      </c>
      <c r="AO27" s="16">
        <f>Summary_LCIA!AF$32</f>
        <v>8.4542000000000005E-4</v>
      </c>
      <c r="AP27" s="16">
        <f>Summary_LCIA!AG$32</f>
        <v>5.1165000000000002E-5</v>
      </c>
      <c r="AQ27" s="16">
        <f>Summary_LCIA!AH$32</f>
        <v>8.7036000000000006E-3</v>
      </c>
      <c r="AR27" s="16">
        <f>Summary_LCIA!AI$32</f>
        <v>9.3154999999999996E-4</v>
      </c>
      <c r="AT27" s="16">
        <f t="shared" si="2"/>
        <v>73.069232799999995</v>
      </c>
      <c r="AU27" s="16">
        <f t="shared" si="14"/>
        <v>1065.729260910588</v>
      </c>
      <c r="AV27" s="16">
        <f t="shared" si="15"/>
        <v>1.1322935615999998</v>
      </c>
      <c r="AW27" s="16">
        <f t="shared" si="16"/>
        <v>72.118773680000004</v>
      </c>
      <c r="AX27" s="16">
        <f t="shared" si="17"/>
        <v>23.632456399999999</v>
      </c>
      <c r="AY27" s="16">
        <f t="shared" si="18"/>
        <v>3.8521549039999998</v>
      </c>
      <c r="AZ27" s="16">
        <f t="shared" si="19"/>
        <v>1.0270334395999999E-2</v>
      </c>
      <c r="BA27" s="16">
        <f t="shared" si="20"/>
        <v>16.551535955999999</v>
      </c>
      <c r="BB27" s="16">
        <f t="shared" si="21"/>
        <v>4.8985200799999999</v>
      </c>
      <c r="BC27" s="16">
        <f t="shared" si="3"/>
        <v>3.3506909519999999</v>
      </c>
      <c r="BD27" s="16">
        <f t="shared" si="4"/>
        <v>8.8184113240000004E-3</v>
      </c>
      <c r="BE27" s="16">
        <f t="shared" si="5"/>
        <v>5.0223808160000001</v>
      </c>
      <c r="BF27" s="16">
        <f t="shared" si="6"/>
        <v>-4.6927306280000001E-3</v>
      </c>
      <c r="BG27" s="16">
        <f t="shared" si="7"/>
        <v>1.0511819824000001E-5</v>
      </c>
      <c r="BH27" s="16">
        <f t="shared" si="8"/>
        <v>8.8388397440000002E-2</v>
      </c>
      <c r="BI27" s="16">
        <f t="shared" si="9"/>
        <v>0.19054985067999999</v>
      </c>
      <c r="BJ27" s="16">
        <f t="shared" si="10"/>
        <v>0.18179573512000002</v>
      </c>
      <c r="BK27" s="16">
        <f t="shared" si="11"/>
        <v>1.1002316940000001E-2</v>
      </c>
      <c r="BL27" s="16">
        <f t="shared" si="12"/>
        <v>1.8715873296000001</v>
      </c>
      <c r="BM27" s="16">
        <f t="shared" si="13"/>
        <v>0.20031678579999998</v>
      </c>
      <c r="BN27" s="16"/>
    </row>
    <row r="28" spans="1:66" x14ac:dyDescent="0.25">
      <c r="A28" s="159">
        <v>260</v>
      </c>
      <c r="B28" s="159">
        <v>6</v>
      </c>
      <c r="C28" s="45">
        <v>43.073051999999997</v>
      </c>
      <c r="D28" s="45">
        <v>-89.401229999999998</v>
      </c>
      <c r="E28" s="45" t="s">
        <v>265</v>
      </c>
      <c r="F28" s="159">
        <v>114</v>
      </c>
      <c r="G28" s="45" t="s">
        <v>639</v>
      </c>
      <c r="H28" s="45" t="s">
        <v>640</v>
      </c>
      <c r="I28" s="45">
        <v>42.947552999999999</v>
      </c>
      <c r="J28" s="45">
        <v>-87.896646000000004</v>
      </c>
      <c r="K28" s="45">
        <v>124.3178211</v>
      </c>
      <c r="L28" s="45">
        <v>138.58099999999999</v>
      </c>
      <c r="M28" s="45" t="s">
        <v>617</v>
      </c>
      <c r="N28" s="159">
        <v>5</v>
      </c>
      <c r="O28" s="159">
        <v>6</v>
      </c>
      <c r="P28" s="45" t="s">
        <v>565</v>
      </c>
      <c r="Q28" s="45" t="s">
        <v>564</v>
      </c>
      <c r="R28" s="45">
        <v>41.98028</v>
      </c>
      <c r="S28" s="45">
        <v>-87.908997900000003</v>
      </c>
      <c r="T28" s="45">
        <v>215.036</v>
      </c>
      <c r="U28" s="45" t="s">
        <v>617</v>
      </c>
      <c r="V28" s="45" t="s">
        <v>617</v>
      </c>
      <c r="W28" s="45"/>
      <c r="X28" s="22"/>
      <c r="Y28" s="16">
        <f>Summary_LCIA!H$32</f>
        <v>0.33979999999999999</v>
      </c>
      <c r="Z28" s="16">
        <f>Summary_LCIA!Q$32</f>
        <v>4.9560504329999997</v>
      </c>
      <c r="AA28" s="16">
        <f>Summary_LCIA!R$32</f>
        <v>5.2655999999999996E-3</v>
      </c>
      <c r="AB28" s="16">
        <f>Summary_LCIA!S$32</f>
        <v>0.33538000000000001</v>
      </c>
      <c r="AC28" s="16">
        <f>Summary_LCIA!T$32</f>
        <v>0.1099</v>
      </c>
      <c r="AD28" s="16">
        <f>Summary_LCIA!U$32</f>
        <v>1.7913999999999999E-2</v>
      </c>
      <c r="AE28" s="16">
        <f>Summary_LCIA!V$32</f>
        <v>4.7760999999999999E-5</v>
      </c>
      <c r="AF28" s="16">
        <f>Summary_LCIA!W$32</f>
        <v>7.6970999999999998E-2</v>
      </c>
      <c r="AG28" s="16">
        <f>Summary_LCIA!X$32</f>
        <v>2.2780000000000002E-2</v>
      </c>
      <c r="AH28" s="16">
        <f>Summary_LCIA!Y$32</f>
        <v>1.5582E-2</v>
      </c>
      <c r="AI28" s="16">
        <f>Summary_LCIA!Z$32</f>
        <v>4.1009E-5</v>
      </c>
      <c r="AJ28" s="16">
        <f>Summary_LCIA!AA$32</f>
        <v>2.3355999999999998E-2</v>
      </c>
      <c r="AK28" s="16">
        <f>Summary_LCIA!AB$32</f>
        <v>-2.1823000000000001E-5</v>
      </c>
      <c r="AL28" s="16">
        <f>Summary_LCIA!AC$32</f>
        <v>4.8884000000000003E-8</v>
      </c>
      <c r="AM28" s="16">
        <f>Summary_LCIA!AD$32</f>
        <v>4.1103999999999999E-4</v>
      </c>
      <c r="AN28" s="16">
        <f>Summary_LCIA!AE$32</f>
        <v>8.8612999999999995E-4</v>
      </c>
      <c r="AO28" s="16">
        <f>Summary_LCIA!AF$32</f>
        <v>8.4542000000000005E-4</v>
      </c>
      <c r="AP28" s="16">
        <f>Summary_LCIA!AG$32</f>
        <v>5.1165000000000002E-5</v>
      </c>
      <c r="AQ28" s="16">
        <f>Summary_LCIA!AH$32</f>
        <v>8.7036000000000006E-3</v>
      </c>
      <c r="AR28" s="16">
        <f>Summary_LCIA!AI$32</f>
        <v>9.3154999999999996E-4</v>
      </c>
      <c r="AT28" s="16">
        <f t="shared" si="2"/>
        <v>73.069232799999995</v>
      </c>
      <c r="AU28" s="16">
        <f t="shared" si="14"/>
        <v>1065.729260910588</v>
      </c>
      <c r="AV28" s="16">
        <f t="shared" si="15"/>
        <v>1.1322935615999998</v>
      </c>
      <c r="AW28" s="16">
        <f t="shared" si="16"/>
        <v>72.118773680000004</v>
      </c>
      <c r="AX28" s="16">
        <f t="shared" si="17"/>
        <v>23.632456399999999</v>
      </c>
      <c r="AY28" s="16">
        <f t="shared" si="18"/>
        <v>3.8521549039999998</v>
      </c>
      <c r="AZ28" s="16">
        <f t="shared" si="19"/>
        <v>1.0270334395999999E-2</v>
      </c>
      <c r="BA28" s="16">
        <f t="shared" si="20"/>
        <v>16.551535955999999</v>
      </c>
      <c r="BB28" s="16">
        <f t="shared" si="21"/>
        <v>4.8985200799999999</v>
      </c>
      <c r="BC28" s="16">
        <f t="shared" si="3"/>
        <v>3.3506909519999999</v>
      </c>
      <c r="BD28" s="16">
        <f t="shared" si="4"/>
        <v>8.8184113240000004E-3</v>
      </c>
      <c r="BE28" s="16">
        <f t="shared" si="5"/>
        <v>5.0223808160000001</v>
      </c>
      <c r="BF28" s="16">
        <f t="shared" si="6"/>
        <v>-4.6927306280000001E-3</v>
      </c>
      <c r="BG28" s="16">
        <f t="shared" si="7"/>
        <v>1.0511819824000001E-5</v>
      </c>
      <c r="BH28" s="16">
        <f t="shared" si="8"/>
        <v>8.8388397440000002E-2</v>
      </c>
      <c r="BI28" s="16">
        <f t="shared" si="9"/>
        <v>0.19054985067999999</v>
      </c>
      <c r="BJ28" s="16">
        <f t="shared" si="10"/>
        <v>0.18179573512000002</v>
      </c>
      <c r="BK28" s="16">
        <f t="shared" si="11"/>
        <v>1.1002316940000001E-2</v>
      </c>
      <c r="BL28" s="16">
        <f t="shared" si="12"/>
        <v>1.8715873296000001</v>
      </c>
      <c r="BM28" s="16">
        <f t="shared" si="13"/>
        <v>0.20031678579999998</v>
      </c>
      <c r="BN28" s="16"/>
    </row>
    <row r="29" spans="1:66" x14ac:dyDescent="0.25">
      <c r="A29" s="159">
        <v>261</v>
      </c>
      <c r="B29" s="159">
        <v>6</v>
      </c>
      <c r="C29" s="45">
        <v>43.073051999999997</v>
      </c>
      <c r="D29" s="45">
        <v>-89.401229999999998</v>
      </c>
      <c r="E29" s="45" t="s">
        <v>265</v>
      </c>
      <c r="F29" s="159">
        <v>114</v>
      </c>
      <c r="G29" s="45" t="s">
        <v>639</v>
      </c>
      <c r="H29" s="45" t="s">
        <v>640</v>
      </c>
      <c r="I29" s="45">
        <v>42.947552999999999</v>
      </c>
      <c r="J29" s="45">
        <v>-87.896646000000004</v>
      </c>
      <c r="K29" s="45">
        <v>124.3178211</v>
      </c>
      <c r="L29" s="45">
        <v>138.58099999999999</v>
      </c>
      <c r="M29" s="45" t="s">
        <v>617</v>
      </c>
      <c r="N29" s="159">
        <v>5</v>
      </c>
      <c r="O29" s="159">
        <v>6</v>
      </c>
      <c r="P29" s="45" t="s">
        <v>565</v>
      </c>
      <c r="Q29" s="45" t="s">
        <v>564</v>
      </c>
      <c r="R29" s="45">
        <v>41.98028</v>
      </c>
      <c r="S29" s="45">
        <v>-87.908997900000003</v>
      </c>
      <c r="T29" s="45">
        <v>215.036</v>
      </c>
      <c r="U29" s="45" t="s">
        <v>617</v>
      </c>
      <c r="V29" s="45" t="s">
        <v>617</v>
      </c>
      <c r="W29" s="45"/>
      <c r="X29" s="22"/>
      <c r="Y29" s="16">
        <f>Summary_LCIA!H$32</f>
        <v>0.33979999999999999</v>
      </c>
      <c r="Z29" s="16">
        <f>Summary_LCIA!Q$32</f>
        <v>4.9560504329999997</v>
      </c>
      <c r="AA29" s="16">
        <f>Summary_LCIA!R$32</f>
        <v>5.2655999999999996E-3</v>
      </c>
      <c r="AB29" s="16">
        <f>Summary_LCIA!S$32</f>
        <v>0.33538000000000001</v>
      </c>
      <c r="AC29" s="16">
        <f>Summary_LCIA!T$32</f>
        <v>0.1099</v>
      </c>
      <c r="AD29" s="16">
        <f>Summary_LCIA!U$32</f>
        <v>1.7913999999999999E-2</v>
      </c>
      <c r="AE29" s="16">
        <f>Summary_LCIA!V$32</f>
        <v>4.7760999999999999E-5</v>
      </c>
      <c r="AF29" s="16">
        <f>Summary_LCIA!W$32</f>
        <v>7.6970999999999998E-2</v>
      </c>
      <c r="AG29" s="16">
        <f>Summary_LCIA!X$32</f>
        <v>2.2780000000000002E-2</v>
      </c>
      <c r="AH29" s="16">
        <f>Summary_LCIA!Y$32</f>
        <v>1.5582E-2</v>
      </c>
      <c r="AI29" s="16">
        <f>Summary_LCIA!Z$32</f>
        <v>4.1009E-5</v>
      </c>
      <c r="AJ29" s="16">
        <f>Summary_LCIA!AA$32</f>
        <v>2.3355999999999998E-2</v>
      </c>
      <c r="AK29" s="16">
        <f>Summary_LCIA!AB$32</f>
        <v>-2.1823000000000001E-5</v>
      </c>
      <c r="AL29" s="16">
        <f>Summary_LCIA!AC$32</f>
        <v>4.8884000000000003E-8</v>
      </c>
      <c r="AM29" s="16">
        <f>Summary_LCIA!AD$32</f>
        <v>4.1103999999999999E-4</v>
      </c>
      <c r="AN29" s="16">
        <f>Summary_LCIA!AE$32</f>
        <v>8.8612999999999995E-4</v>
      </c>
      <c r="AO29" s="16">
        <f>Summary_LCIA!AF$32</f>
        <v>8.4542000000000005E-4</v>
      </c>
      <c r="AP29" s="16">
        <f>Summary_LCIA!AG$32</f>
        <v>5.1165000000000002E-5</v>
      </c>
      <c r="AQ29" s="16">
        <f>Summary_LCIA!AH$32</f>
        <v>8.7036000000000006E-3</v>
      </c>
      <c r="AR29" s="16">
        <f>Summary_LCIA!AI$32</f>
        <v>9.3154999999999996E-4</v>
      </c>
      <c r="AT29" s="16">
        <f t="shared" si="2"/>
        <v>73.069232799999995</v>
      </c>
      <c r="AU29" s="16">
        <f t="shared" si="14"/>
        <v>1065.729260910588</v>
      </c>
      <c r="AV29" s="16">
        <f t="shared" si="15"/>
        <v>1.1322935615999998</v>
      </c>
      <c r="AW29" s="16">
        <f t="shared" si="16"/>
        <v>72.118773680000004</v>
      </c>
      <c r="AX29" s="16">
        <f t="shared" si="17"/>
        <v>23.632456399999999</v>
      </c>
      <c r="AY29" s="16">
        <f t="shared" si="18"/>
        <v>3.8521549039999998</v>
      </c>
      <c r="AZ29" s="16">
        <f t="shared" si="19"/>
        <v>1.0270334395999999E-2</v>
      </c>
      <c r="BA29" s="16">
        <f t="shared" si="20"/>
        <v>16.551535955999999</v>
      </c>
      <c r="BB29" s="16">
        <f t="shared" si="21"/>
        <v>4.8985200799999999</v>
      </c>
      <c r="BC29" s="16">
        <f t="shared" si="3"/>
        <v>3.3506909519999999</v>
      </c>
      <c r="BD29" s="16">
        <f t="shared" si="4"/>
        <v>8.8184113240000004E-3</v>
      </c>
      <c r="BE29" s="16">
        <f t="shared" si="5"/>
        <v>5.0223808160000001</v>
      </c>
      <c r="BF29" s="16">
        <f t="shared" si="6"/>
        <v>-4.6927306280000001E-3</v>
      </c>
      <c r="BG29" s="16">
        <f t="shared" si="7"/>
        <v>1.0511819824000001E-5</v>
      </c>
      <c r="BH29" s="16">
        <f t="shared" si="8"/>
        <v>8.8388397440000002E-2</v>
      </c>
      <c r="BI29" s="16">
        <f t="shared" si="9"/>
        <v>0.19054985067999999</v>
      </c>
      <c r="BJ29" s="16">
        <f t="shared" si="10"/>
        <v>0.18179573512000002</v>
      </c>
      <c r="BK29" s="16">
        <f t="shared" si="11"/>
        <v>1.1002316940000001E-2</v>
      </c>
      <c r="BL29" s="16">
        <f t="shared" si="12"/>
        <v>1.8715873296000001</v>
      </c>
      <c r="BM29" s="16">
        <f t="shared" si="13"/>
        <v>0.20031678579999998</v>
      </c>
      <c r="BN29" s="16"/>
    </row>
    <row r="30" spans="1:66" x14ac:dyDescent="0.25">
      <c r="A30" s="159">
        <v>262</v>
      </c>
      <c r="B30" s="159">
        <v>6</v>
      </c>
      <c r="C30" s="45">
        <v>43.069034000000002</v>
      </c>
      <c r="D30" s="45">
        <v>-89.424563000000006</v>
      </c>
      <c r="E30" s="45" t="s">
        <v>265</v>
      </c>
      <c r="F30" s="159">
        <v>114</v>
      </c>
      <c r="G30" s="45" t="s">
        <v>639</v>
      </c>
      <c r="H30" s="45" t="s">
        <v>640</v>
      </c>
      <c r="I30" s="45">
        <v>42.947552999999999</v>
      </c>
      <c r="J30" s="45">
        <v>-87.896646000000004</v>
      </c>
      <c r="K30" s="45">
        <v>126.0890892</v>
      </c>
      <c r="L30" s="45">
        <v>140.03299999999999</v>
      </c>
      <c r="M30" s="45" t="s">
        <v>617</v>
      </c>
      <c r="N30" s="159">
        <v>5</v>
      </c>
      <c r="O30" s="159">
        <v>6</v>
      </c>
      <c r="P30" s="45" t="s">
        <v>565</v>
      </c>
      <c r="Q30" s="45" t="s">
        <v>564</v>
      </c>
      <c r="R30" s="45">
        <v>41.98028</v>
      </c>
      <c r="S30" s="45">
        <v>-87.908997900000003</v>
      </c>
      <c r="T30" s="45">
        <v>216.43100000000001</v>
      </c>
      <c r="U30" s="45" t="s">
        <v>617</v>
      </c>
      <c r="V30" s="45" t="s">
        <v>617</v>
      </c>
      <c r="W30" s="45"/>
      <c r="X30" s="22"/>
      <c r="Y30" s="16">
        <f>Summary_LCIA!H$32</f>
        <v>0.33979999999999999</v>
      </c>
      <c r="Z30" s="16">
        <f>Summary_LCIA!Q$32</f>
        <v>4.9560504329999997</v>
      </c>
      <c r="AA30" s="16">
        <f>Summary_LCIA!R$32</f>
        <v>5.2655999999999996E-3</v>
      </c>
      <c r="AB30" s="16">
        <f>Summary_LCIA!S$32</f>
        <v>0.33538000000000001</v>
      </c>
      <c r="AC30" s="16">
        <f>Summary_LCIA!T$32</f>
        <v>0.1099</v>
      </c>
      <c r="AD30" s="16">
        <f>Summary_LCIA!U$32</f>
        <v>1.7913999999999999E-2</v>
      </c>
      <c r="AE30" s="16">
        <f>Summary_LCIA!V$32</f>
        <v>4.7760999999999999E-5</v>
      </c>
      <c r="AF30" s="16">
        <f>Summary_LCIA!W$32</f>
        <v>7.6970999999999998E-2</v>
      </c>
      <c r="AG30" s="16">
        <f>Summary_LCIA!X$32</f>
        <v>2.2780000000000002E-2</v>
      </c>
      <c r="AH30" s="16">
        <f>Summary_LCIA!Y$32</f>
        <v>1.5582E-2</v>
      </c>
      <c r="AI30" s="16">
        <f>Summary_LCIA!Z$32</f>
        <v>4.1009E-5</v>
      </c>
      <c r="AJ30" s="16">
        <f>Summary_LCIA!AA$32</f>
        <v>2.3355999999999998E-2</v>
      </c>
      <c r="AK30" s="16">
        <f>Summary_LCIA!AB$32</f>
        <v>-2.1823000000000001E-5</v>
      </c>
      <c r="AL30" s="16">
        <f>Summary_LCIA!AC$32</f>
        <v>4.8884000000000003E-8</v>
      </c>
      <c r="AM30" s="16">
        <f>Summary_LCIA!AD$32</f>
        <v>4.1103999999999999E-4</v>
      </c>
      <c r="AN30" s="16">
        <f>Summary_LCIA!AE$32</f>
        <v>8.8612999999999995E-4</v>
      </c>
      <c r="AO30" s="16">
        <f>Summary_LCIA!AF$32</f>
        <v>8.4542000000000005E-4</v>
      </c>
      <c r="AP30" s="16">
        <f>Summary_LCIA!AG$32</f>
        <v>5.1165000000000002E-5</v>
      </c>
      <c r="AQ30" s="16">
        <f>Summary_LCIA!AH$32</f>
        <v>8.7036000000000006E-3</v>
      </c>
      <c r="AR30" s="16">
        <f>Summary_LCIA!AI$32</f>
        <v>9.3154999999999996E-4</v>
      </c>
      <c r="AT30" s="16">
        <f t="shared" si="2"/>
        <v>73.543253800000002</v>
      </c>
      <c r="AU30" s="16">
        <f t="shared" si="14"/>
        <v>1072.642951264623</v>
      </c>
      <c r="AV30" s="16">
        <f t="shared" si="15"/>
        <v>1.1396390735999999</v>
      </c>
      <c r="AW30" s="16">
        <f t="shared" si="16"/>
        <v>72.586628780000012</v>
      </c>
      <c r="AX30" s="16">
        <f t="shared" si="17"/>
        <v>23.785766900000002</v>
      </c>
      <c r="AY30" s="16">
        <f t="shared" si="18"/>
        <v>3.8771449339999999</v>
      </c>
      <c r="AZ30" s="16">
        <f t="shared" si="19"/>
        <v>1.0336960991E-2</v>
      </c>
      <c r="BA30" s="16">
        <f t="shared" si="20"/>
        <v>16.658910501000001</v>
      </c>
      <c r="BB30" s="16">
        <f t="shared" si="21"/>
        <v>4.9302981800000003</v>
      </c>
      <c r="BC30" s="16">
        <f t="shared" si="3"/>
        <v>3.3724278420000005</v>
      </c>
      <c r="BD30" s="16">
        <f t="shared" si="4"/>
        <v>8.8756188790000013E-3</v>
      </c>
      <c r="BE30" s="16">
        <f t="shared" si="5"/>
        <v>5.0549624360000003</v>
      </c>
      <c r="BF30" s="16">
        <f t="shared" si="6"/>
        <v>-4.7231737130000008E-3</v>
      </c>
      <c r="BG30" s="16">
        <f t="shared" si="7"/>
        <v>1.0580013004000001E-5</v>
      </c>
      <c r="BH30" s="16">
        <f t="shared" si="8"/>
        <v>8.8961798240000001E-2</v>
      </c>
      <c r="BI30" s="16">
        <f t="shared" si="9"/>
        <v>0.19178600202999999</v>
      </c>
      <c r="BJ30" s="16">
        <f t="shared" si="10"/>
        <v>0.18297509602000003</v>
      </c>
      <c r="BK30" s="16">
        <f t="shared" si="11"/>
        <v>1.1073692115E-2</v>
      </c>
      <c r="BL30" s="16">
        <f t="shared" si="12"/>
        <v>1.8837288516000001</v>
      </c>
      <c r="BM30" s="16">
        <f t="shared" si="13"/>
        <v>0.20161629805</v>
      </c>
      <c r="BN30" s="16"/>
    </row>
    <row r="31" spans="1:66" x14ac:dyDescent="0.25">
      <c r="A31" s="159">
        <v>263</v>
      </c>
      <c r="B31" s="159">
        <v>6</v>
      </c>
      <c r="C31" s="45">
        <v>43.069034000000002</v>
      </c>
      <c r="D31" s="45">
        <v>-89.424563000000006</v>
      </c>
      <c r="E31" s="45" t="s">
        <v>265</v>
      </c>
      <c r="F31" s="159">
        <v>114</v>
      </c>
      <c r="G31" s="45" t="s">
        <v>639</v>
      </c>
      <c r="H31" s="45" t="s">
        <v>640</v>
      </c>
      <c r="I31" s="45">
        <v>42.947552999999999</v>
      </c>
      <c r="J31" s="45">
        <v>-87.896646000000004</v>
      </c>
      <c r="K31" s="45">
        <v>126.0890892</v>
      </c>
      <c r="L31" s="45">
        <v>140.03299999999999</v>
      </c>
      <c r="M31" s="45" t="s">
        <v>617</v>
      </c>
      <c r="N31" s="159">
        <v>5</v>
      </c>
      <c r="O31" s="159">
        <v>6</v>
      </c>
      <c r="P31" s="45" t="s">
        <v>565</v>
      </c>
      <c r="Q31" s="45" t="s">
        <v>564</v>
      </c>
      <c r="R31" s="45">
        <v>41.98028</v>
      </c>
      <c r="S31" s="45">
        <v>-87.908997900000003</v>
      </c>
      <c r="T31" s="45">
        <v>216.43100000000001</v>
      </c>
      <c r="U31" s="45" t="s">
        <v>617</v>
      </c>
      <c r="V31" s="45" t="s">
        <v>617</v>
      </c>
      <c r="W31" s="45"/>
      <c r="X31" s="22"/>
      <c r="Y31" s="16">
        <f>Summary_LCIA!H$32</f>
        <v>0.33979999999999999</v>
      </c>
      <c r="Z31" s="16">
        <f>Summary_LCIA!Q$32</f>
        <v>4.9560504329999997</v>
      </c>
      <c r="AA31" s="16">
        <f>Summary_LCIA!R$32</f>
        <v>5.2655999999999996E-3</v>
      </c>
      <c r="AB31" s="16">
        <f>Summary_LCIA!S$32</f>
        <v>0.33538000000000001</v>
      </c>
      <c r="AC31" s="16">
        <f>Summary_LCIA!T$32</f>
        <v>0.1099</v>
      </c>
      <c r="AD31" s="16">
        <f>Summary_LCIA!U$32</f>
        <v>1.7913999999999999E-2</v>
      </c>
      <c r="AE31" s="16">
        <f>Summary_LCIA!V$32</f>
        <v>4.7760999999999999E-5</v>
      </c>
      <c r="AF31" s="16">
        <f>Summary_LCIA!W$32</f>
        <v>7.6970999999999998E-2</v>
      </c>
      <c r="AG31" s="16">
        <f>Summary_LCIA!X$32</f>
        <v>2.2780000000000002E-2</v>
      </c>
      <c r="AH31" s="16">
        <f>Summary_LCIA!Y$32</f>
        <v>1.5582E-2</v>
      </c>
      <c r="AI31" s="16">
        <f>Summary_LCIA!Z$32</f>
        <v>4.1009E-5</v>
      </c>
      <c r="AJ31" s="16">
        <f>Summary_LCIA!AA$32</f>
        <v>2.3355999999999998E-2</v>
      </c>
      <c r="AK31" s="16">
        <f>Summary_LCIA!AB$32</f>
        <v>-2.1823000000000001E-5</v>
      </c>
      <c r="AL31" s="16">
        <f>Summary_LCIA!AC$32</f>
        <v>4.8884000000000003E-8</v>
      </c>
      <c r="AM31" s="16">
        <f>Summary_LCIA!AD$32</f>
        <v>4.1103999999999999E-4</v>
      </c>
      <c r="AN31" s="16">
        <f>Summary_LCIA!AE$32</f>
        <v>8.8612999999999995E-4</v>
      </c>
      <c r="AO31" s="16">
        <f>Summary_LCIA!AF$32</f>
        <v>8.4542000000000005E-4</v>
      </c>
      <c r="AP31" s="16">
        <f>Summary_LCIA!AG$32</f>
        <v>5.1165000000000002E-5</v>
      </c>
      <c r="AQ31" s="16">
        <f>Summary_LCIA!AH$32</f>
        <v>8.7036000000000006E-3</v>
      </c>
      <c r="AR31" s="16">
        <f>Summary_LCIA!AI$32</f>
        <v>9.3154999999999996E-4</v>
      </c>
      <c r="AT31" s="16">
        <f t="shared" si="2"/>
        <v>73.543253800000002</v>
      </c>
      <c r="AU31" s="16">
        <f t="shared" si="14"/>
        <v>1072.642951264623</v>
      </c>
      <c r="AV31" s="16">
        <f t="shared" si="15"/>
        <v>1.1396390735999999</v>
      </c>
      <c r="AW31" s="16">
        <f t="shared" si="16"/>
        <v>72.586628780000012</v>
      </c>
      <c r="AX31" s="16">
        <f t="shared" si="17"/>
        <v>23.785766900000002</v>
      </c>
      <c r="AY31" s="16">
        <f t="shared" si="18"/>
        <v>3.8771449339999999</v>
      </c>
      <c r="AZ31" s="16">
        <f t="shared" si="19"/>
        <v>1.0336960991E-2</v>
      </c>
      <c r="BA31" s="16">
        <f t="shared" si="20"/>
        <v>16.658910501000001</v>
      </c>
      <c r="BB31" s="16">
        <f t="shared" si="21"/>
        <v>4.9302981800000003</v>
      </c>
      <c r="BC31" s="16">
        <f t="shared" si="3"/>
        <v>3.3724278420000005</v>
      </c>
      <c r="BD31" s="16">
        <f t="shared" si="4"/>
        <v>8.8756188790000013E-3</v>
      </c>
      <c r="BE31" s="16">
        <f t="shared" si="5"/>
        <v>5.0549624360000003</v>
      </c>
      <c r="BF31" s="16">
        <f t="shared" si="6"/>
        <v>-4.7231737130000008E-3</v>
      </c>
      <c r="BG31" s="16">
        <f t="shared" si="7"/>
        <v>1.0580013004000001E-5</v>
      </c>
      <c r="BH31" s="16">
        <f t="shared" si="8"/>
        <v>8.8961798240000001E-2</v>
      </c>
      <c r="BI31" s="16">
        <f t="shared" si="9"/>
        <v>0.19178600202999999</v>
      </c>
      <c r="BJ31" s="16">
        <f t="shared" si="10"/>
        <v>0.18297509602000003</v>
      </c>
      <c r="BK31" s="16">
        <f t="shared" si="11"/>
        <v>1.1073692115E-2</v>
      </c>
      <c r="BL31" s="16">
        <f t="shared" si="12"/>
        <v>1.8837288516000001</v>
      </c>
      <c r="BM31" s="16">
        <f t="shared" si="13"/>
        <v>0.20161629805</v>
      </c>
      <c r="BN31" s="16"/>
    </row>
    <row r="32" spans="1:66" x14ac:dyDescent="0.25">
      <c r="A32" s="159">
        <v>264</v>
      </c>
      <c r="B32" s="159">
        <v>6</v>
      </c>
      <c r="C32" s="45">
        <v>43.069034000000002</v>
      </c>
      <c r="D32" s="45">
        <v>-89.424563000000006</v>
      </c>
      <c r="E32" s="45" t="s">
        <v>265</v>
      </c>
      <c r="F32" s="159">
        <v>114</v>
      </c>
      <c r="G32" s="45" t="s">
        <v>639</v>
      </c>
      <c r="H32" s="45" t="s">
        <v>640</v>
      </c>
      <c r="I32" s="45">
        <v>42.947552999999999</v>
      </c>
      <c r="J32" s="45">
        <v>-87.896646000000004</v>
      </c>
      <c r="K32" s="45">
        <v>126.0890892</v>
      </c>
      <c r="L32" s="45">
        <v>140.03299999999999</v>
      </c>
      <c r="M32" s="45" t="s">
        <v>617</v>
      </c>
      <c r="N32" s="159">
        <v>5</v>
      </c>
      <c r="O32" s="159">
        <v>6</v>
      </c>
      <c r="P32" s="45" t="s">
        <v>565</v>
      </c>
      <c r="Q32" s="45" t="s">
        <v>564</v>
      </c>
      <c r="R32" s="45">
        <v>41.98028</v>
      </c>
      <c r="S32" s="45">
        <v>-87.908997900000003</v>
      </c>
      <c r="T32" s="45">
        <v>216.43100000000001</v>
      </c>
      <c r="U32" s="45" t="s">
        <v>617</v>
      </c>
      <c r="V32" s="45" t="s">
        <v>617</v>
      </c>
      <c r="W32" s="45"/>
      <c r="X32" s="22"/>
      <c r="Y32" s="16">
        <f>Summary_LCIA!H$32</f>
        <v>0.33979999999999999</v>
      </c>
      <c r="Z32" s="16">
        <f>Summary_LCIA!Q$32</f>
        <v>4.9560504329999997</v>
      </c>
      <c r="AA32" s="16">
        <f>Summary_LCIA!R$32</f>
        <v>5.2655999999999996E-3</v>
      </c>
      <c r="AB32" s="16">
        <f>Summary_LCIA!S$32</f>
        <v>0.33538000000000001</v>
      </c>
      <c r="AC32" s="16">
        <f>Summary_LCIA!T$32</f>
        <v>0.1099</v>
      </c>
      <c r="AD32" s="16">
        <f>Summary_LCIA!U$32</f>
        <v>1.7913999999999999E-2</v>
      </c>
      <c r="AE32" s="16">
        <f>Summary_LCIA!V$32</f>
        <v>4.7760999999999999E-5</v>
      </c>
      <c r="AF32" s="16">
        <f>Summary_LCIA!W$32</f>
        <v>7.6970999999999998E-2</v>
      </c>
      <c r="AG32" s="16">
        <f>Summary_LCIA!X$32</f>
        <v>2.2780000000000002E-2</v>
      </c>
      <c r="AH32" s="16">
        <f>Summary_LCIA!Y$32</f>
        <v>1.5582E-2</v>
      </c>
      <c r="AI32" s="16">
        <f>Summary_LCIA!Z$32</f>
        <v>4.1009E-5</v>
      </c>
      <c r="AJ32" s="16">
        <f>Summary_LCIA!AA$32</f>
        <v>2.3355999999999998E-2</v>
      </c>
      <c r="AK32" s="16">
        <f>Summary_LCIA!AB$32</f>
        <v>-2.1823000000000001E-5</v>
      </c>
      <c r="AL32" s="16">
        <f>Summary_LCIA!AC$32</f>
        <v>4.8884000000000003E-8</v>
      </c>
      <c r="AM32" s="16">
        <f>Summary_LCIA!AD$32</f>
        <v>4.1103999999999999E-4</v>
      </c>
      <c r="AN32" s="16">
        <f>Summary_LCIA!AE$32</f>
        <v>8.8612999999999995E-4</v>
      </c>
      <c r="AO32" s="16">
        <f>Summary_LCIA!AF$32</f>
        <v>8.4542000000000005E-4</v>
      </c>
      <c r="AP32" s="16">
        <f>Summary_LCIA!AG$32</f>
        <v>5.1165000000000002E-5</v>
      </c>
      <c r="AQ32" s="16">
        <f>Summary_LCIA!AH$32</f>
        <v>8.7036000000000006E-3</v>
      </c>
      <c r="AR32" s="16">
        <f>Summary_LCIA!AI$32</f>
        <v>9.3154999999999996E-4</v>
      </c>
      <c r="AT32" s="16">
        <f t="shared" si="2"/>
        <v>73.543253800000002</v>
      </c>
      <c r="AU32" s="16">
        <f t="shared" si="14"/>
        <v>1072.642951264623</v>
      </c>
      <c r="AV32" s="16">
        <f t="shared" si="15"/>
        <v>1.1396390735999999</v>
      </c>
      <c r="AW32" s="16">
        <f t="shared" si="16"/>
        <v>72.586628780000012</v>
      </c>
      <c r="AX32" s="16">
        <f t="shared" si="17"/>
        <v>23.785766900000002</v>
      </c>
      <c r="AY32" s="16">
        <f t="shared" si="18"/>
        <v>3.8771449339999999</v>
      </c>
      <c r="AZ32" s="16">
        <f t="shared" si="19"/>
        <v>1.0336960991E-2</v>
      </c>
      <c r="BA32" s="16">
        <f t="shared" si="20"/>
        <v>16.658910501000001</v>
      </c>
      <c r="BB32" s="16">
        <f t="shared" si="21"/>
        <v>4.9302981800000003</v>
      </c>
      <c r="BC32" s="16">
        <f t="shared" si="3"/>
        <v>3.3724278420000005</v>
      </c>
      <c r="BD32" s="16">
        <f t="shared" si="4"/>
        <v>8.8756188790000013E-3</v>
      </c>
      <c r="BE32" s="16">
        <f t="shared" si="5"/>
        <v>5.0549624360000003</v>
      </c>
      <c r="BF32" s="16">
        <f t="shared" si="6"/>
        <v>-4.7231737130000008E-3</v>
      </c>
      <c r="BG32" s="16">
        <f t="shared" si="7"/>
        <v>1.0580013004000001E-5</v>
      </c>
      <c r="BH32" s="16">
        <f t="shared" si="8"/>
        <v>8.8961798240000001E-2</v>
      </c>
      <c r="BI32" s="16">
        <f t="shared" si="9"/>
        <v>0.19178600202999999</v>
      </c>
      <c r="BJ32" s="16">
        <f t="shared" si="10"/>
        <v>0.18297509602000003</v>
      </c>
      <c r="BK32" s="16">
        <f t="shared" si="11"/>
        <v>1.1073692115E-2</v>
      </c>
      <c r="BL32" s="16">
        <f t="shared" si="12"/>
        <v>1.8837288516000001</v>
      </c>
      <c r="BM32" s="16">
        <f t="shared" si="13"/>
        <v>0.20161629805</v>
      </c>
      <c r="BN32" s="16"/>
    </row>
    <row r="33" spans="1:66" x14ac:dyDescent="0.25">
      <c r="A33" s="159">
        <v>265</v>
      </c>
      <c r="B33" s="159">
        <v>6</v>
      </c>
      <c r="C33" s="45">
        <v>43.069034000000002</v>
      </c>
      <c r="D33" s="45">
        <v>-89.424563000000006</v>
      </c>
      <c r="E33" s="45" t="s">
        <v>265</v>
      </c>
      <c r="F33" s="159">
        <v>114</v>
      </c>
      <c r="G33" s="45" t="s">
        <v>639</v>
      </c>
      <c r="H33" s="45" t="s">
        <v>640</v>
      </c>
      <c r="I33" s="45">
        <v>42.947552999999999</v>
      </c>
      <c r="J33" s="45">
        <v>-87.896646000000004</v>
      </c>
      <c r="K33" s="45">
        <v>126.0890892</v>
      </c>
      <c r="L33" s="45">
        <v>140.03299999999999</v>
      </c>
      <c r="M33" s="45" t="s">
        <v>617</v>
      </c>
      <c r="N33" s="159">
        <v>5</v>
      </c>
      <c r="O33" s="159">
        <v>6</v>
      </c>
      <c r="P33" s="45" t="s">
        <v>565</v>
      </c>
      <c r="Q33" s="45" t="s">
        <v>564</v>
      </c>
      <c r="R33" s="45">
        <v>41.98028</v>
      </c>
      <c r="S33" s="45">
        <v>-87.908997900000003</v>
      </c>
      <c r="T33" s="45">
        <v>216.43100000000001</v>
      </c>
      <c r="U33" s="45" t="s">
        <v>617</v>
      </c>
      <c r="V33" s="45" t="s">
        <v>617</v>
      </c>
      <c r="W33" s="45"/>
      <c r="X33" s="22"/>
      <c r="Y33" s="16">
        <f>Summary_LCIA!H$32</f>
        <v>0.33979999999999999</v>
      </c>
      <c r="Z33" s="16">
        <f>Summary_LCIA!Q$32</f>
        <v>4.9560504329999997</v>
      </c>
      <c r="AA33" s="16">
        <f>Summary_LCIA!R$32</f>
        <v>5.2655999999999996E-3</v>
      </c>
      <c r="AB33" s="16">
        <f>Summary_LCIA!S$32</f>
        <v>0.33538000000000001</v>
      </c>
      <c r="AC33" s="16">
        <f>Summary_LCIA!T$32</f>
        <v>0.1099</v>
      </c>
      <c r="AD33" s="16">
        <f>Summary_LCIA!U$32</f>
        <v>1.7913999999999999E-2</v>
      </c>
      <c r="AE33" s="16">
        <f>Summary_LCIA!V$32</f>
        <v>4.7760999999999999E-5</v>
      </c>
      <c r="AF33" s="16">
        <f>Summary_LCIA!W$32</f>
        <v>7.6970999999999998E-2</v>
      </c>
      <c r="AG33" s="16">
        <f>Summary_LCIA!X$32</f>
        <v>2.2780000000000002E-2</v>
      </c>
      <c r="AH33" s="16">
        <f>Summary_LCIA!Y$32</f>
        <v>1.5582E-2</v>
      </c>
      <c r="AI33" s="16">
        <f>Summary_LCIA!Z$32</f>
        <v>4.1009E-5</v>
      </c>
      <c r="AJ33" s="16">
        <f>Summary_LCIA!AA$32</f>
        <v>2.3355999999999998E-2</v>
      </c>
      <c r="AK33" s="16">
        <f>Summary_LCIA!AB$32</f>
        <v>-2.1823000000000001E-5</v>
      </c>
      <c r="AL33" s="16">
        <f>Summary_LCIA!AC$32</f>
        <v>4.8884000000000003E-8</v>
      </c>
      <c r="AM33" s="16">
        <f>Summary_LCIA!AD$32</f>
        <v>4.1103999999999999E-4</v>
      </c>
      <c r="AN33" s="16">
        <f>Summary_LCIA!AE$32</f>
        <v>8.8612999999999995E-4</v>
      </c>
      <c r="AO33" s="16">
        <f>Summary_LCIA!AF$32</f>
        <v>8.4542000000000005E-4</v>
      </c>
      <c r="AP33" s="16">
        <f>Summary_LCIA!AG$32</f>
        <v>5.1165000000000002E-5</v>
      </c>
      <c r="AQ33" s="16">
        <f>Summary_LCIA!AH$32</f>
        <v>8.7036000000000006E-3</v>
      </c>
      <c r="AR33" s="16">
        <f>Summary_LCIA!AI$32</f>
        <v>9.3154999999999996E-4</v>
      </c>
      <c r="AT33" s="16">
        <f t="shared" si="2"/>
        <v>73.543253800000002</v>
      </c>
      <c r="AU33" s="16">
        <f t="shared" si="14"/>
        <v>1072.642951264623</v>
      </c>
      <c r="AV33" s="16">
        <f t="shared" si="15"/>
        <v>1.1396390735999999</v>
      </c>
      <c r="AW33" s="16">
        <f t="shared" si="16"/>
        <v>72.586628780000012</v>
      </c>
      <c r="AX33" s="16">
        <f t="shared" si="17"/>
        <v>23.785766900000002</v>
      </c>
      <c r="AY33" s="16">
        <f t="shared" si="18"/>
        <v>3.8771449339999999</v>
      </c>
      <c r="AZ33" s="16">
        <f t="shared" si="19"/>
        <v>1.0336960991E-2</v>
      </c>
      <c r="BA33" s="16">
        <f t="shared" si="20"/>
        <v>16.658910501000001</v>
      </c>
      <c r="BB33" s="16">
        <f t="shared" si="21"/>
        <v>4.9302981800000003</v>
      </c>
      <c r="BC33" s="16">
        <f t="shared" si="3"/>
        <v>3.3724278420000005</v>
      </c>
      <c r="BD33" s="16">
        <f t="shared" si="4"/>
        <v>8.8756188790000013E-3</v>
      </c>
      <c r="BE33" s="16">
        <f t="shared" si="5"/>
        <v>5.0549624360000003</v>
      </c>
      <c r="BF33" s="16">
        <f t="shared" si="6"/>
        <v>-4.7231737130000008E-3</v>
      </c>
      <c r="BG33" s="16">
        <f t="shared" si="7"/>
        <v>1.0580013004000001E-5</v>
      </c>
      <c r="BH33" s="16">
        <f t="shared" si="8"/>
        <v>8.8961798240000001E-2</v>
      </c>
      <c r="BI33" s="16">
        <f t="shared" si="9"/>
        <v>0.19178600202999999</v>
      </c>
      <c r="BJ33" s="16">
        <f t="shared" si="10"/>
        <v>0.18297509602000003</v>
      </c>
      <c r="BK33" s="16">
        <f t="shared" si="11"/>
        <v>1.1073692115E-2</v>
      </c>
      <c r="BL33" s="16">
        <f t="shared" si="12"/>
        <v>1.8837288516000001</v>
      </c>
      <c r="BM33" s="16">
        <f t="shared" si="13"/>
        <v>0.20161629805</v>
      </c>
      <c r="BN33" s="16"/>
    </row>
    <row r="34" spans="1:66" x14ac:dyDescent="0.25">
      <c r="A34" s="159">
        <v>266</v>
      </c>
      <c r="B34" s="159">
        <v>6</v>
      </c>
      <c r="C34" s="45">
        <v>43.069034000000002</v>
      </c>
      <c r="D34" s="45">
        <v>-89.424563000000006</v>
      </c>
      <c r="E34" s="45" t="s">
        <v>265</v>
      </c>
      <c r="F34" s="159">
        <v>114</v>
      </c>
      <c r="G34" s="45" t="s">
        <v>639</v>
      </c>
      <c r="H34" s="45" t="s">
        <v>640</v>
      </c>
      <c r="I34" s="45">
        <v>42.947552999999999</v>
      </c>
      <c r="J34" s="45">
        <v>-87.896646000000004</v>
      </c>
      <c r="K34" s="45">
        <v>126.0890892</v>
      </c>
      <c r="L34" s="45">
        <v>140.03299999999999</v>
      </c>
      <c r="M34" s="45" t="s">
        <v>617</v>
      </c>
      <c r="N34" s="159">
        <v>5</v>
      </c>
      <c r="O34" s="159">
        <v>6</v>
      </c>
      <c r="P34" s="45" t="s">
        <v>565</v>
      </c>
      <c r="Q34" s="45" t="s">
        <v>564</v>
      </c>
      <c r="R34" s="45">
        <v>41.98028</v>
      </c>
      <c r="S34" s="45">
        <v>-87.908997900000003</v>
      </c>
      <c r="T34" s="45">
        <v>216.43100000000001</v>
      </c>
      <c r="U34" s="45" t="s">
        <v>617</v>
      </c>
      <c r="V34" s="45" t="s">
        <v>617</v>
      </c>
      <c r="W34" s="45"/>
      <c r="X34" s="46"/>
      <c r="Y34" s="16">
        <f>Summary_LCIA!H$32</f>
        <v>0.33979999999999999</v>
      </c>
      <c r="Z34" s="16">
        <f>Summary_LCIA!Q$32</f>
        <v>4.9560504329999997</v>
      </c>
      <c r="AA34" s="16">
        <f>Summary_LCIA!R$32</f>
        <v>5.2655999999999996E-3</v>
      </c>
      <c r="AB34" s="16">
        <f>Summary_LCIA!S$32</f>
        <v>0.33538000000000001</v>
      </c>
      <c r="AC34" s="16">
        <f>Summary_LCIA!T$32</f>
        <v>0.1099</v>
      </c>
      <c r="AD34" s="16">
        <f>Summary_LCIA!U$32</f>
        <v>1.7913999999999999E-2</v>
      </c>
      <c r="AE34" s="16">
        <f>Summary_LCIA!V$32</f>
        <v>4.7760999999999999E-5</v>
      </c>
      <c r="AF34" s="16">
        <f>Summary_LCIA!W$32</f>
        <v>7.6970999999999998E-2</v>
      </c>
      <c r="AG34" s="16">
        <f>Summary_LCIA!X$32</f>
        <v>2.2780000000000002E-2</v>
      </c>
      <c r="AH34" s="16">
        <f>Summary_LCIA!Y$32</f>
        <v>1.5582E-2</v>
      </c>
      <c r="AI34" s="16">
        <f>Summary_LCIA!Z$32</f>
        <v>4.1009E-5</v>
      </c>
      <c r="AJ34" s="16">
        <f>Summary_LCIA!AA$32</f>
        <v>2.3355999999999998E-2</v>
      </c>
      <c r="AK34" s="16">
        <f>Summary_LCIA!AB$32</f>
        <v>-2.1823000000000001E-5</v>
      </c>
      <c r="AL34" s="16">
        <f>Summary_LCIA!AC$32</f>
        <v>4.8884000000000003E-8</v>
      </c>
      <c r="AM34" s="16">
        <f>Summary_LCIA!AD$32</f>
        <v>4.1103999999999999E-4</v>
      </c>
      <c r="AN34" s="16">
        <f>Summary_LCIA!AE$32</f>
        <v>8.8612999999999995E-4</v>
      </c>
      <c r="AO34" s="16">
        <f>Summary_LCIA!AF$32</f>
        <v>8.4542000000000005E-4</v>
      </c>
      <c r="AP34" s="16">
        <f>Summary_LCIA!AG$32</f>
        <v>5.1165000000000002E-5</v>
      </c>
      <c r="AQ34" s="16">
        <f>Summary_LCIA!AH$32</f>
        <v>8.7036000000000006E-3</v>
      </c>
      <c r="AR34" s="16">
        <f>Summary_LCIA!AI$32</f>
        <v>9.3154999999999996E-4</v>
      </c>
      <c r="AT34" s="16">
        <f t="shared" si="2"/>
        <v>73.543253800000002</v>
      </c>
      <c r="AU34" s="16">
        <f t="shared" si="14"/>
        <v>1072.642951264623</v>
      </c>
      <c r="AV34" s="16">
        <f t="shared" si="15"/>
        <v>1.1396390735999999</v>
      </c>
      <c r="AW34" s="16">
        <f t="shared" si="16"/>
        <v>72.586628780000012</v>
      </c>
      <c r="AX34" s="16">
        <f t="shared" si="17"/>
        <v>23.785766900000002</v>
      </c>
      <c r="AY34" s="16">
        <f t="shared" si="18"/>
        <v>3.8771449339999999</v>
      </c>
      <c r="AZ34" s="16">
        <f t="shared" si="19"/>
        <v>1.0336960991E-2</v>
      </c>
      <c r="BA34" s="16">
        <f t="shared" si="20"/>
        <v>16.658910501000001</v>
      </c>
      <c r="BB34" s="16">
        <f t="shared" si="21"/>
        <v>4.9302981800000003</v>
      </c>
      <c r="BC34" s="16">
        <f t="shared" si="3"/>
        <v>3.3724278420000005</v>
      </c>
      <c r="BD34" s="16">
        <f t="shared" si="4"/>
        <v>8.8756188790000013E-3</v>
      </c>
      <c r="BE34" s="16">
        <f t="shared" si="5"/>
        <v>5.0549624360000003</v>
      </c>
      <c r="BF34" s="16">
        <f t="shared" si="6"/>
        <v>-4.7231737130000008E-3</v>
      </c>
      <c r="BG34" s="16">
        <f t="shared" si="7"/>
        <v>1.0580013004000001E-5</v>
      </c>
      <c r="BH34" s="16">
        <f t="shared" si="8"/>
        <v>8.8961798240000001E-2</v>
      </c>
      <c r="BI34" s="16">
        <f t="shared" si="9"/>
        <v>0.19178600202999999</v>
      </c>
      <c r="BJ34" s="16">
        <f t="shared" si="10"/>
        <v>0.18297509602000003</v>
      </c>
      <c r="BK34" s="16">
        <f t="shared" si="11"/>
        <v>1.1073692115E-2</v>
      </c>
      <c r="BL34" s="16">
        <f t="shared" si="12"/>
        <v>1.8837288516000001</v>
      </c>
      <c r="BM34" s="16">
        <f t="shared" si="13"/>
        <v>0.20161629805</v>
      </c>
      <c r="BN34" s="16"/>
    </row>
    <row r="35" spans="1:66" x14ac:dyDescent="0.25">
      <c r="A35" s="159">
        <v>104</v>
      </c>
      <c r="B35" s="159">
        <v>6</v>
      </c>
      <c r="C35" s="45">
        <v>40.428246000000001</v>
      </c>
      <c r="D35" s="45">
        <v>-86.914390999999995</v>
      </c>
      <c r="E35" s="45" t="s">
        <v>265</v>
      </c>
      <c r="F35" s="159">
        <v>107</v>
      </c>
      <c r="G35" s="45" t="s">
        <v>671</v>
      </c>
      <c r="H35" s="45" t="s">
        <v>672</v>
      </c>
      <c r="I35" s="45">
        <v>39.716858999999999</v>
      </c>
      <c r="J35" s="45">
        <v>-86.295595000000006</v>
      </c>
      <c r="K35" s="45">
        <v>130.25631390000001</v>
      </c>
      <c r="L35" s="45">
        <v>113.89400000000001</v>
      </c>
      <c r="M35" s="45" t="s">
        <v>617</v>
      </c>
      <c r="N35" s="159">
        <v>5</v>
      </c>
      <c r="O35" s="159">
        <v>6</v>
      </c>
      <c r="P35" s="45" t="s">
        <v>565</v>
      </c>
      <c r="Q35" s="45" t="s">
        <v>564</v>
      </c>
      <c r="R35" s="45">
        <v>41.98028</v>
      </c>
      <c r="S35" s="45">
        <v>-87.908997900000003</v>
      </c>
      <c r="T35" s="45">
        <v>234.452</v>
      </c>
      <c r="U35" s="45" t="s">
        <v>617</v>
      </c>
      <c r="V35" s="45" t="s">
        <v>617</v>
      </c>
      <c r="W35" s="45"/>
      <c r="X35" s="22"/>
      <c r="Y35" s="16">
        <f>Summary_LCIA!H$32</f>
        <v>0.33979999999999999</v>
      </c>
      <c r="Z35" s="16">
        <f>Summary_LCIA!Q$32</f>
        <v>4.9560504329999997</v>
      </c>
      <c r="AA35" s="16">
        <f>Summary_LCIA!R$32</f>
        <v>5.2655999999999996E-3</v>
      </c>
      <c r="AB35" s="16">
        <f>Summary_LCIA!S$32</f>
        <v>0.33538000000000001</v>
      </c>
      <c r="AC35" s="16">
        <f>Summary_LCIA!T$32</f>
        <v>0.1099</v>
      </c>
      <c r="AD35" s="16">
        <f>Summary_LCIA!U$32</f>
        <v>1.7913999999999999E-2</v>
      </c>
      <c r="AE35" s="16">
        <f>Summary_LCIA!V$32</f>
        <v>4.7760999999999999E-5</v>
      </c>
      <c r="AF35" s="16">
        <f>Summary_LCIA!W$32</f>
        <v>7.6970999999999998E-2</v>
      </c>
      <c r="AG35" s="16">
        <f>Summary_LCIA!X$32</f>
        <v>2.2780000000000002E-2</v>
      </c>
      <c r="AH35" s="16">
        <f>Summary_LCIA!Y$32</f>
        <v>1.5582E-2</v>
      </c>
      <c r="AI35" s="16">
        <f>Summary_LCIA!Z$32</f>
        <v>4.1009E-5</v>
      </c>
      <c r="AJ35" s="16">
        <f>Summary_LCIA!AA$32</f>
        <v>2.3355999999999998E-2</v>
      </c>
      <c r="AK35" s="16">
        <f>Summary_LCIA!AB$32</f>
        <v>-2.1823000000000001E-5</v>
      </c>
      <c r="AL35" s="16">
        <f>Summary_LCIA!AC$32</f>
        <v>4.8884000000000003E-8</v>
      </c>
      <c r="AM35" s="16">
        <f>Summary_LCIA!AD$32</f>
        <v>4.1103999999999999E-4</v>
      </c>
      <c r="AN35" s="16">
        <f>Summary_LCIA!AE$32</f>
        <v>8.8612999999999995E-4</v>
      </c>
      <c r="AO35" s="16">
        <f>Summary_LCIA!AF$32</f>
        <v>8.4542000000000005E-4</v>
      </c>
      <c r="AP35" s="16">
        <f>Summary_LCIA!AG$32</f>
        <v>5.1165000000000002E-5</v>
      </c>
      <c r="AQ35" s="16">
        <f>Summary_LCIA!AH$32</f>
        <v>8.7036000000000006E-3</v>
      </c>
      <c r="AR35" s="16">
        <f>Summary_LCIA!AI$32</f>
        <v>9.3154999999999996E-4</v>
      </c>
      <c r="AT35" s="16">
        <f t="shared" si="2"/>
        <v>79.666789600000001</v>
      </c>
      <c r="AU35" s="16">
        <f t="shared" si="14"/>
        <v>1161.955936117716</v>
      </c>
      <c r="AV35" s="16">
        <f t="shared" si="15"/>
        <v>1.2345304511999999</v>
      </c>
      <c r="AW35" s="16">
        <f t="shared" si="16"/>
        <v>78.630511760000005</v>
      </c>
      <c r="AX35" s="16">
        <f t="shared" si="17"/>
        <v>25.766274799999998</v>
      </c>
      <c r="AY35" s="16">
        <f t="shared" si="18"/>
        <v>4.1999731279999999</v>
      </c>
      <c r="AZ35" s="16">
        <f t="shared" si="19"/>
        <v>1.1197661971999999E-2</v>
      </c>
      <c r="BA35" s="16">
        <f t="shared" si="20"/>
        <v>18.046004891999999</v>
      </c>
      <c r="BB35" s="16">
        <f t="shared" si="21"/>
        <v>5.3408165600000004</v>
      </c>
      <c r="BC35" s="16">
        <f t="shared" si="3"/>
        <v>3.6532310639999999</v>
      </c>
      <c r="BD35" s="16">
        <f t="shared" si="4"/>
        <v>9.6146420679999994E-3</v>
      </c>
      <c r="BE35" s="16">
        <f t="shared" si="5"/>
        <v>5.4758609119999999</v>
      </c>
      <c r="BF35" s="16">
        <f t="shared" si="6"/>
        <v>-5.1164459960000002E-3</v>
      </c>
      <c r="BG35" s="16">
        <f t="shared" si="7"/>
        <v>1.1460951568000001E-5</v>
      </c>
      <c r="BH35" s="16">
        <f t="shared" si="8"/>
        <v>9.6369150079999993E-2</v>
      </c>
      <c r="BI35" s="16">
        <f t="shared" si="9"/>
        <v>0.20775495075999997</v>
      </c>
      <c r="BJ35" s="16">
        <f t="shared" si="10"/>
        <v>0.19821040984000002</v>
      </c>
      <c r="BK35" s="16">
        <f t="shared" si="11"/>
        <v>1.1995736580000001E-2</v>
      </c>
      <c r="BL35" s="16">
        <f t="shared" si="12"/>
        <v>2.0405764272</v>
      </c>
      <c r="BM35" s="16">
        <f t="shared" si="13"/>
        <v>0.2184037606</v>
      </c>
      <c r="BN35" s="16"/>
    </row>
    <row r="36" spans="1:66" x14ac:dyDescent="0.25">
      <c r="A36" s="159">
        <v>0</v>
      </c>
      <c r="B36" s="159">
        <v>6</v>
      </c>
      <c r="C36" s="45">
        <v>42.724305000000001</v>
      </c>
      <c r="D36" s="45">
        <v>-84.479605000000006</v>
      </c>
      <c r="E36" s="45" t="s">
        <v>265</v>
      </c>
      <c r="F36" s="159">
        <v>78</v>
      </c>
      <c r="G36" s="45" t="s">
        <v>615</v>
      </c>
      <c r="H36" s="45" t="s">
        <v>616</v>
      </c>
      <c r="I36" s="45">
        <v>42.216248999999998</v>
      </c>
      <c r="J36" s="45">
        <v>-83.355363999999994</v>
      </c>
      <c r="K36" s="45">
        <v>121.7981765</v>
      </c>
      <c r="L36" s="45">
        <v>141.471</v>
      </c>
      <c r="M36" s="45" t="s">
        <v>617</v>
      </c>
      <c r="N36" s="159">
        <v>5</v>
      </c>
      <c r="O36" s="159">
        <v>6</v>
      </c>
      <c r="P36" s="45" t="s">
        <v>565</v>
      </c>
      <c r="Q36" s="45" t="s">
        <v>564</v>
      </c>
      <c r="R36" s="45">
        <v>41.98028</v>
      </c>
      <c r="S36" s="45">
        <v>-87.908997900000003</v>
      </c>
      <c r="T36" s="45">
        <v>383.76</v>
      </c>
      <c r="U36" s="45" t="s">
        <v>617</v>
      </c>
      <c r="V36" s="45" t="s">
        <v>617</v>
      </c>
      <c r="W36" s="45"/>
      <c r="X36" s="22"/>
      <c r="Y36" s="16">
        <f>Summary_LCIA!H$32</f>
        <v>0.33979999999999999</v>
      </c>
      <c r="Z36" s="16">
        <f>Summary_LCIA!Q$32</f>
        <v>4.9560504329999997</v>
      </c>
      <c r="AA36" s="16">
        <f>Summary_LCIA!R$32</f>
        <v>5.2655999999999996E-3</v>
      </c>
      <c r="AB36" s="16">
        <f>Summary_LCIA!S$32</f>
        <v>0.33538000000000001</v>
      </c>
      <c r="AC36" s="16">
        <f>Summary_LCIA!T$32</f>
        <v>0.1099</v>
      </c>
      <c r="AD36" s="16">
        <f>Summary_LCIA!U$32</f>
        <v>1.7913999999999999E-2</v>
      </c>
      <c r="AE36" s="16">
        <f>Summary_LCIA!V$32</f>
        <v>4.7760999999999999E-5</v>
      </c>
      <c r="AF36" s="16">
        <f>Summary_LCIA!W$32</f>
        <v>7.6970999999999998E-2</v>
      </c>
      <c r="AG36" s="16">
        <f>Summary_LCIA!X$32</f>
        <v>2.2780000000000002E-2</v>
      </c>
      <c r="AH36" s="16">
        <f>Summary_LCIA!Y$32</f>
        <v>1.5582E-2</v>
      </c>
      <c r="AI36" s="16">
        <f>Summary_LCIA!Z$32</f>
        <v>4.1009E-5</v>
      </c>
      <c r="AJ36" s="16">
        <f>Summary_LCIA!AA$32</f>
        <v>2.3355999999999998E-2</v>
      </c>
      <c r="AK36" s="16">
        <f>Summary_LCIA!AB$32</f>
        <v>-2.1823000000000001E-5</v>
      </c>
      <c r="AL36" s="16">
        <f>Summary_LCIA!AC$32</f>
        <v>4.8884000000000003E-8</v>
      </c>
      <c r="AM36" s="16">
        <f>Summary_LCIA!AD$32</f>
        <v>4.1103999999999999E-4</v>
      </c>
      <c r="AN36" s="16">
        <f>Summary_LCIA!AE$32</f>
        <v>8.8612999999999995E-4</v>
      </c>
      <c r="AO36" s="16">
        <f>Summary_LCIA!AF$32</f>
        <v>8.4542000000000005E-4</v>
      </c>
      <c r="AP36" s="16">
        <f>Summary_LCIA!AG$32</f>
        <v>5.1165000000000002E-5</v>
      </c>
      <c r="AQ36" s="16">
        <f>Summary_LCIA!AH$32</f>
        <v>8.7036000000000006E-3</v>
      </c>
      <c r="AR36" s="16">
        <f>Summary_LCIA!AI$32</f>
        <v>9.3154999999999996E-4</v>
      </c>
      <c r="AT36" s="16">
        <f t="shared" si="2"/>
        <v>130.40164799999999</v>
      </c>
      <c r="AU36" s="16">
        <f t="shared" si="14"/>
        <v>1901.9339141680798</v>
      </c>
      <c r="AV36" s="16">
        <f t="shared" si="15"/>
        <v>2.0207266559999999</v>
      </c>
      <c r="AW36" s="16">
        <f t="shared" si="16"/>
        <v>128.70542879999999</v>
      </c>
      <c r="AX36" s="16">
        <f t="shared" si="17"/>
        <v>42.175224</v>
      </c>
      <c r="AY36" s="16">
        <f t="shared" si="18"/>
        <v>6.8746766399999997</v>
      </c>
      <c r="AZ36" s="16">
        <f t="shared" si="19"/>
        <v>1.8328761359999998E-2</v>
      </c>
      <c r="BA36" s="16">
        <f t="shared" si="20"/>
        <v>29.538390959999997</v>
      </c>
      <c r="BB36" s="16">
        <f t="shared" si="21"/>
        <v>8.7420527999999997</v>
      </c>
      <c r="BC36" s="16">
        <f t="shared" si="3"/>
        <v>5.9797483199999997</v>
      </c>
      <c r="BD36" s="16">
        <f t="shared" si="4"/>
        <v>1.5737613840000001E-2</v>
      </c>
      <c r="BE36" s="16">
        <f t="shared" si="5"/>
        <v>8.9630985599999988</v>
      </c>
      <c r="BF36" s="16">
        <f t="shared" si="6"/>
        <v>-8.3747944799999995E-3</v>
      </c>
      <c r="BG36" s="16">
        <f t="shared" si="7"/>
        <v>1.8759723840000001E-5</v>
      </c>
      <c r="BH36" s="16">
        <f t="shared" si="8"/>
        <v>0.15774071039999998</v>
      </c>
      <c r="BI36" s="16">
        <f t="shared" si="9"/>
        <v>0.34006124879999999</v>
      </c>
      <c r="BJ36" s="16">
        <f t="shared" si="10"/>
        <v>0.32443837920000002</v>
      </c>
      <c r="BK36" s="16">
        <f t="shared" si="11"/>
        <v>1.9635080400000001E-2</v>
      </c>
      <c r="BL36" s="16">
        <f t="shared" si="12"/>
        <v>3.3400935359999999</v>
      </c>
      <c r="BM36" s="16">
        <f t="shared" si="13"/>
        <v>0.35749162799999995</v>
      </c>
      <c r="BN36" s="16"/>
    </row>
    <row r="37" spans="1:66" x14ac:dyDescent="0.25">
      <c r="A37" s="159">
        <v>131</v>
      </c>
      <c r="B37" s="159">
        <v>6</v>
      </c>
      <c r="C37" s="45">
        <v>42.280825999999998</v>
      </c>
      <c r="D37" s="45">
        <v>-83.743037999999999</v>
      </c>
      <c r="E37" s="45" t="s">
        <v>265</v>
      </c>
      <c r="F37" s="159">
        <v>78</v>
      </c>
      <c r="G37" s="45" t="s">
        <v>615</v>
      </c>
      <c r="H37" s="45" t="s">
        <v>616</v>
      </c>
      <c r="I37" s="45">
        <v>42.216248999999998</v>
      </c>
      <c r="J37" s="45">
        <v>-83.355363999999994</v>
      </c>
      <c r="K37" s="45">
        <v>33.220362780000002</v>
      </c>
      <c r="L37" s="45">
        <v>42.878</v>
      </c>
      <c r="M37" s="45" t="s">
        <v>617</v>
      </c>
      <c r="N37" s="159">
        <v>5</v>
      </c>
      <c r="O37" s="159">
        <v>6</v>
      </c>
      <c r="P37" s="45" t="s">
        <v>565</v>
      </c>
      <c r="Q37" s="45" t="s">
        <v>564</v>
      </c>
      <c r="R37" s="45">
        <v>41.98028</v>
      </c>
      <c r="S37" s="45">
        <v>-87.908997900000003</v>
      </c>
      <c r="T37" s="45">
        <v>414.488</v>
      </c>
      <c r="U37" s="45" t="s">
        <v>617</v>
      </c>
      <c r="V37" s="45" t="s">
        <v>617</v>
      </c>
      <c r="W37" s="45"/>
      <c r="X37" s="22"/>
      <c r="Y37" s="16">
        <f>Summary_LCIA!H$32</f>
        <v>0.33979999999999999</v>
      </c>
      <c r="Z37" s="16">
        <f>Summary_LCIA!Q$32</f>
        <v>4.9560504329999997</v>
      </c>
      <c r="AA37" s="16">
        <f>Summary_LCIA!R$32</f>
        <v>5.2655999999999996E-3</v>
      </c>
      <c r="AB37" s="16">
        <f>Summary_LCIA!S$32</f>
        <v>0.33538000000000001</v>
      </c>
      <c r="AC37" s="16">
        <f>Summary_LCIA!T$32</f>
        <v>0.1099</v>
      </c>
      <c r="AD37" s="16">
        <f>Summary_LCIA!U$32</f>
        <v>1.7913999999999999E-2</v>
      </c>
      <c r="AE37" s="16">
        <f>Summary_LCIA!V$32</f>
        <v>4.7760999999999999E-5</v>
      </c>
      <c r="AF37" s="16">
        <f>Summary_LCIA!W$32</f>
        <v>7.6970999999999998E-2</v>
      </c>
      <c r="AG37" s="16">
        <f>Summary_LCIA!X$32</f>
        <v>2.2780000000000002E-2</v>
      </c>
      <c r="AH37" s="16">
        <f>Summary_LCIA!Y$32</f>
        <v>1.5582E-2</v>
      </c>
      <c r="AI37" s="16">
        <f>Summary_LCIA!Z$32</f>
        <v>4.1009E-5</v>
      </c>
      <c r="AJ37" s="16">
        <f>Summary_LCIA!AA$32</f>
        <v>2.3355999999999998E-2</v>
      </c>
      <c r="AK37" s="16">
        <f>Summary_LCIA!AB$32</f>
        <v>-2.1823000000000001E-5</v>
      </c>
      <c r="AL37" s="16">
        <f>Summary_LCIA!AC$32</f>
        <v>4.8884000000000003E-8</v>
      </c>
      <c r="AM37" s="16">
        <f>Summary_LCIA!AD$32</f>
        <v>4.1103999999999999E-4</v>
      </c>
      <c r="AN37" s="16">
        <f>Summary_LCIA!AE$32</f>
        <v>8.8612999999999995E-4</v>
      </c>
      <c r="AO37" s="16">
        <f>Summary_LCIA!AF$32</f>
        <v>8.4542000000000005E-4</v>
      </c>
      <c r="AP37" s="16">
        <f>Summary_LCIA!AG$32</f>
        <v>5.1165000000000002E-5</v>
      </c>
      <c r="AQ37" s="16">
        <f>Summary_LCIA!AH$32</f>
        <v>8.7036000000000006E-3</v>
      </c>
      <c r="AR37" s="16">
        <f>Summary_LCIA!AI$32</f>
        <v>9.3154999999999996E-4</v>
      </c>
      <c r="AT37" s="16">
        <f t="shared" si="2"/>
        <v>140.8430224</v>
      </c>
      <c r="AU37" s="16">
        <f t="shared" si="14"/>
        <v>2054.223431873304</v>
      </c>
      <c r="AV37" s="16">
        <f t="shared" si="15"/>
        <v>2.1825280127999998</v>
      </c>
      <c r="AW37" s="16">
        <f t="shared" si="16"/>
        <v>139.01098544000001</v>
      </c>
      <c r="AX37" s="16">
        <f t="shared" si="17"/>
        <v>45.552231200000001</v>
      </c>
      <c r="AY37" s="16">
        <f t="shared" si="18"/>
        <v>7.4251380319999996</v>
      </c>
      <c r="AZ37" s="16">
        <f t="shared" si="19"/>
        <v>1.9796361368E-2</v>
      </c>
      <c r="BA37" s="16">
        <f t="shared" si="20"/>
        <v>31.903555848</v>
      </c>
      <c r="BB37" s="16">
        <f t="shared" si="21"/>
        <v>9.4420366400000013</v>
      </c>
      <c r="BC37" s="16">
        <f t="shared" si="3"/>
        <v>6.4585520160000005</v>
      </c>
      <c r="BD37" s="16">
        <f t="shared" si="4"/>
        <v>1.6997738392E-2</v>
      </c>
      <c r="BE37" s="16">
        <f t="shared" si="5"/>
        <v>9.6807817279999995</v>
      </c>
      <c r="BF37" s="16">
        <f t="shared" si="6"/>
        <v>-9.0453716240000009E-3</v>
      </c>
      <c r="BG37" s="16">
        <f t="shared" si="7"/>
        <v>2.0261831392000002E-5</v>
      </c>
      <c r="BH37" s="16">
        <f t="shared" si="8"/>
        <v>0.17037114751999999</v>
      </c>
      <c r="BI37" s="16">
        <f t="shared" si="9"/>
        <v>0.36729025143999999</v>
      </c>
      <c r="BJ37" s="16">
        <f t="shared" si="10"/>
        <v>0.35041644496000002</v>
      </c>
      <c r="BK37" s="16">
        <f t="shared" si="11"/>
        <v>2.1207278520000001E-2</v>
      </c>
      <c r="BL37" s="16">
        <f t="shared" si="12"/>
        <v>3.6075377568000002</v>
      </c>
      <c r="BM37" s="16">
        <f t="shared" si="13"/>
        <v>0.3861162964</v>
      </c>
      <c r="BN37" s="16"/>
    </row>
    <row r="38" spans="1:66" x14ac:dyDescent="0.25">
      <c r="A38" s="159">
        <v>98</v>
      </c>
      <c r="B38" s="159">
        <v>6</v>
      </c>
      <c r="C38" s="45">
        <v>42.276254000000002</v>
      </c>
      <c r="D38" s="45">
        <v>-83.741243999999995</v>
      </c>
      <c r="E38" s="45" t="s">
        <v>265</v>
      </c>
      <c r="F38" s="159">
        <v>78</v>
      </c>
      <c r="G38" s="45" t="s">
        <v>615</v>
      </c>
      <c r="H38" s="45" t="s">
        <v>616</v>
      </c>
      <c r="I38" s="45">
        <v>42.216248999999998</v>
      </c>
      <c r="J38" s="45">
        <v>-83.355363999999994</v>
      </c>
      <c r="K38" s="45">
        <v>32.887807850000002</v>
      </c>
      <c r="L38" s="45">
        <v>42.174999999999997</v>
      </c>
      <c r="M38" s="45" t="s">
        <v>617</v>
      </c>
      <c r="N38" s="159">
        <v>5</v>
      </c>
      <c r="O38" s="159">
        <v>6</v>
      </c>
      <c r="P38" s="45" t="s">
        <v>565</v>
      </c>
      <c r="Q38" s="45" t="s">
        <v>564</v>
      </c>
      <c r="R38" s="45">
        <v>41.98028</v>
      </c>
      <c r="S38" s="45">
        <v>-87.908997900000003</v>
      </c>
      <c r="T38" s="45">
        <v>415.20499999999998</v>
      </c>
      <c r="U38" s="45" t="s">
        <v>617</v>
      </c>
      <c r="V38" s="45" t="s">
        <v>617</v>
      </c>
      <c r="W38" s="45"/>
      <c r="X38" s="22"/>
      <c r="Y38" s="16">
        <f>Summary_LCIA!H$32</f>
        <v>0.33979999999999999</v>
      </c>
      <c r="Z38" s="16">
        <f>Summary_LCIA!Q$32</f>
        <v>4.9560504329999997</v>
      </c>
      <c r="AA38" s="16">
        <f>Summary_LCIA!R$32</f>
        <v>5.2655999999999996E-3</v>
      </c>
      <c r="AB38" s="16">
        <f>Summary_LCIA!S$32</f>
        <v>0.33538000000000001</v>
      </c>
      <c r="AC38" s="16">
        <f>Summary_LCIA!T$32</f>
        <v>0.1099</v>
      </c>
      <c r="AD38" s="16">
        <f>Summary_LCIA!U$32</f>
        <v>1.7913999999999999E-2</v>
      </c>
      <c r="AE38" s="16">
        <f>Summary_LCIA!V$32</f>
        <v>4.7760999999999999E-5</v>
      </c>
      <c r="AF38" s="16">
        <f>Summary_LCIA!W$32</f>
        <v>7.6970999999999998E-2</v>
      </c>
      <c r="AG38" s="16">
        <f>Summary_LCIA!X$32</f>
        <v>2.2780000000000002E-2</v>
      </c>
      <c r="AH38" s="16">
        <f>Summary_LCIA!Y$32</f>
        <v>1.5582E-2</v>
      </c>
      <c r="AI38" s="16">
        <f>Summary_LCIA!Z$32</f>
        <v>4.1009E-5</v>
      </c>
      <c r="AJ38" s="16">
        <f>Summary_LCIA!AA$32</f>
        <v>2.3355999999999998E-2</v>
      </c>
      <c r="AK38" s="16">
        <f>Summary_LCIA!AB$32</f>
        <v>-2.1823000000000001E-5</v>
      </c>
      <c r="AL38" s="16">
        <f>Summary_LCIA!AC$32</f>
        <v>4.8884000000000003E-8</v>
      </c>
      <c r="AM38" s="16">
        <f>Summary_LCIA!AD$32</f>
        <v>4.1103999999999999E-4</v>
      </c>
      <c r="AN38" s="16">
        <f>Summary_LCIA!AE$32</f>
        <v>8.8612999999999995E-4</v>
      </c>
      <c r="AO38" s="16">
        <f>Summary_LCIA!AF$32</f>
        <v>8.4542000000000005E-4</v>
      </c>
      <c r="AP38" s="16">
        <f>Summary_LCIA!AG$32</f>
        <v>5.1165000000000002E-5</v>
      </c>
      <c r="AQ38" s="16">
        <f>Summary_LCIA!AH$32</f>
        <v>8.7036000000000006E-3</v>
      </c>
      <c r="AR38" s="16">
        <f>Summary_LCIA!AI$32</f>
        <v>9.3154999999999996E-4</v>
      </c>
      <c r="AT38" s="16">
        <f t="shared" si="2"/>
        <v>141.086659</v>
      </c>
      <c r="AU38" s="16">
        <f t="shared" si="14"/>
        <v>2057.7769200337648</v>
      </c>
      <c r="AV38" s="16">
        <f t="shared" si="15"/>
        <v>2.1863034479999999</v>
      </c>
      <c r="AW38" s="16">
        <f t="shared" si="16"/>
        <v>139.2514529</v>
      </c>
      <c r="AX38" s="16">
        <f t="shared" si="17"/>
        <v>45.631029499999997</v>
      </c>
      <c r="AY38" s="16">
        <f t="shared" si="18"/>
        <v>7.4379823699999994</v>
      </c>
      <c r="AZ38" s="16">
        <f t="shared" si="19"/>
        <v>1.9830606004999998E-2</v>
      </c>
      <c r="BA38" s="16">
        <f t="shared" si="20"/>
        <v>31.958744054999997</v>
      </c>
      <c r="BB38" s="16">
        <f t="shared" si="21"/>
        <v>9.458369900000001</v>
      </c>
      <c r="BC38" s="16">
        <f t="shared" si="3"/>
        <v>6.4697243100000001</v>
      </c>
      <c r="BD38" s="16">
        <f t="shared" si="4"/>
        <v>1.7027141845E-2</v>
      </c>
      <c r="BE38" s="16">
        <f t="shared" si="5"/>
        <v>9.6975279799999985</v>
      </c>
      <c r="BF38" s="16">
        <f t="shared" si="6"/>
        <v>-9.0610187150000007E-3</v>
      </c>
      <c r="BG38" s="16">
        <f t="shared" si="7"/>
        <v>2.029688122E-5</v>
      </c>
      <c r="BH38" s="16">
        <f t="shared" si="8"/>
        <v>0.17066586319999999</v>
      </c>
      <c r="BI38" s="16">
        <f t="shared" si="9"/>
        <v>0.36792560664999996</v>
      </c>
      <c r="BJ38" s="16">
        <f t="shared" si="10"/>
        <v>0.35102261109999999</v>
      </c>
      <c r="BK38" s="16">
        <f t="shared" si="11"/>
        <v>2.1243963825E-2</v>
      </c>
      <c r="BL38" s="16">
        <f t="shared" si="12"/>
        <v>3.6137782380000001</v>
      </c>
      <c r="BM38" s="16">
        <f t="shared" si="13"/>
        <v>0.38678421774999999</v>
      </c>
      <c r="BN38" s="16"/>
    </row>
    <row r="39" spans="1:66" x14ac:dyDescent="0.25">
      <c r="A39" s="159">
        <v>361</v>
      </c>
      <c r="B39" s="159">
        <v>6</v>
      </c>
      <c r="C39" s="45">
        <v>41.652805000000001</v>
      </c>
      <c r="D39" s="45">
        <v>-83.537867000000006</v>
      </c>
      <c r="E39" s="45" t="s">
        <v>265</v>
      </c>
      <c r="F39" s="159">
        <v>78</v>
      </c>
      <c r="G39" s="45" t="s">
        <v>615</v>
      </c>
      <c r="H39" s="45" t="s">
        <v>616</v>
      </c>
      <c r="I39" s="45">
        <v>42.216248999999998</v>
      </c>
      <c r="J39" s="45">
        <v>-83.355363999999994</v>
      </c>
      <c r="K39" s="45">
        <v>95.399904230000004</v>
      </c>
      <c r="L39" s="45">
        <v>80.596000000000004</v>
      </c>
      <c r="M39" s="45" t="s">
        <v>617</v>
      </c>
      <c r="N39" s="159">
        <v>5</v>
      </c>
      <c r="O39" s="159">
        <v>6</v>
      </c>
      <c r="P39" s="45" t="s">
        <v>565</v>
      </c>
      <c r="Q39" s="45" t="s">
        <v>564</v>
      </c>
      <c r="R39" s="45">
        <v>41.98028</v>
      </c>
      <c r="S39" s="45">
        <v>-87.908997900000003</v>
      </c>
      <c r="T39" s="45">
        <v>419.88799999999998</v>
      </c>
      <c r="U39" s="45" t="s">
        <v>617</v>
      </c>
      <c r="V39" s="45" t="s">
        <v>617</v>
      </c>
      <c r="W39" s="45"/>
      <c r="X39" s="22"/>
      <c r="Y39" s="16">
        <f>Summary_LCIA!H$32</f>
        <v>0.33979999999999999</v>
      </c>
      <c r="Z39" s="16">
        <f>Summary_LCIA!Q$32</f>
        <v>4.9560504329999997</v>
      </c>
      <c r="AA39" s="16">
        <f>Summary_LCIA!R$32</f>
        <v>5.2655999999999996E-3</v>
      </c>
      <c r="AB39" s="16">
        <f>Summary_LCIA!S$32</f>
        <v>0.33538000000000001</v>
      </c>
      <c r="AC39" s="16">
        <f>Summary_LCIA!T$32</f>
        <v>0.1099</v>
      </c>
      <c r="AD39" s="16">
        <f>Summary_LCIA!U$32</f>
        <v>1.7913999999999999E-2</v>
      </c>
      <c r="AE39" s="16">
        <f>Summary_LCIA!V$32</f>
        <v>4.7760999999999999E-5</v>
      </c>
      <c r="AF39" s="16">
        <f>Summary_LCIA!W$32</f>
        <v>7.6970999999999998E-2</v>
      </c>
      <c r="AG39" s="16">
        <f>Summary_LCIA!X$32</f>
        <v>2.2780000000000002E-2</v>
      </c>
      <c r="AH39" s="16">
        <f>Summary_LCIA!Y$32</f>
        <v>1.5582E-2</v>
      </c>
      <c r="AI39" s="16">
        <f>Summary_LCIA!Z$32</f>
        <v>4.1009E-5</v>
      </c>
      <c r="AJ39" s="16">
        <f>Summary_LCIA!AA$32</f>
        <v>2.3355999999999998E-2</v>
      </c>
      <c r="AK39" s="16">
        <f>Summary_LCIA!AB$32</f>
        <v>-2.1823000000000001E-5</v>
      </c>
      <c r="AL39" s="16">
        <f>Summary_LCIA!AC$32</f>
        <v>4.8884000000000003E-8</v>
      </c>
      <c r="AM39" s="16">
        <f>Summary_LCIA!AD$32</f>
        <v>4.1103999999999999E-4</v>
      </c>
      <c r="AN39" s="16">
        <f>Summary_LCIA!AE$32</f>
        <v>8.8612999999999995E-4</v>
      </c>
      <c r="AO39" s="16">
        <f>Summary_LCIA!AF$32</f>
        <v>8.4542000000000005E-4</v>
      </c>
      <c r="AP39" s="16">
        <f>Summary_LCIA!AG$32</f>
        <v>5.1165000000000002E-5</v>
      </c>
      <c r="AQ39" s="16">
        <f>Summary_LCIA!AH$32</f>
        <v>8.7036000000000006E-3</v>
      </c>
      <c r="AR39" s="16">
        <f>Summary_LCIA!AI$32</f>
        <v>9.3154999999999996E-4</v>
      </c>
      <c r="AT39" s="16">
        <f t="shared" si="2"/>
        <v>142.67794239999998</v>
      </c>
      <c r="AU39" s="16">
        <f t="shared" si="14"/>
        <v>2080.986104211504</v>
      </c>
      <c r="AV39" s="16">
        <f t="shared" si="15"/>
        <v>2.2109622527999999</v>
      </c>
      <c r="AW39" s="16">
        <f t="shared" si="16"/>
        <v>140.82203744</v>
      </c>
      <c r="AX39" s="16">
        <f t="shared" si="17"/>
        <v>46.145691199999995</v>
      </c>
      <c r="AY39" s="16">
        <f t="shared" si="18"/>
        <v>7.5218736319999993</v>
      </c>
      <c r="AZ39" s="16">
        <f t="shared" si="19"/>
        <v>2.0054270767999999E-2</v>
      </c>
      <c r="BA39" s="16">
        <f t="shared" si="20"/>
        <v>32.319199247999997</v>
      </c>
      <c r="BB39" s="16">
        <f t="shared" si="21"/>
        <v>9.5650486400000005</v>
      </c>
      <c r="BC39" s="16">
        <f t="shared" si="3"/>
        <v>6.542694816</v>
      </c>
      <c r="BD39" s="16">
        <f t="shared" si="4"/>
        <v>1.7219186992E-2</v>
      </c>
      <c r="BE39" s="16">
        <f t="shared" si="5"/>
        <v>9.8069041279999993</v>
      </c>
      <c r="BF39" s="16">
        <f t="shared" si="6"/>
        <v>-9.163215823999999E-3</v>
      </c>
      <c r="BG39" s="16">
        <f t="shared" si="7"/>
        <v>2.0525804992E-5</v>
      </c>
      <c r="BH39" s="16">
        <f t="shared" si="8"/>
        <v>0.17259076352</v>
      </c>
      <c r="BI39" s="16">
        <f t="shared" si="9"/>
        <v>0.37207535343999998</v>
      </c>
      <c r="BJ39" s="16">
        <f t="shared" si="10"/>
        <v>0.35498171295999997</v>
      </c>
      <c r="BK39" s="16">
        <f t="shared" si="11"/>
        <v>2.1483569519999999E-2</v>
      </c>
      <c r="BL39" s="16">
        <f t="shared" si="12"/>
        <v>3.6545371968000002</v>
      </c>
      <c r="BM39" s="16">
        <f t="shared" si="13"/>
        <v>0.39114666639999995</v>
      </c>
      <c r="BN39" s="16"/>
    </row>
    <row r="40" spans="1:66" x14ac:dyDescent="0.25">
      <c r="A40" s="159">
        <v>362</v>
      </c>
      <c r="B40" s="159">
        <v>6</v>
      </c>
      <c r="C40" s="45">
        <v>41.652805000000001</v>
      </c>
      <c r="D40" s="45">
        <v>-83.537867000000006</v>
      </c>
      <c r="E40" s="45" t="s">
        <v>265</v>
      </c>
      <c r="F40" s="159">
        <v>78</v>
      </c>
      <c r="G40" s="45" t="s">
        <v>615</v>
      </c>
      <c r="H40" s="45" t="s">
        <v>616</v>
      </c>
      <c r="I40" s="45">
        <v>42.216248999999998</v>
      </c>
      <c r="J40" s="45">
        <v>-83.355363999999994</v>
      </c>
      <c r="K40" s="45">
        <v>95.399904230000004</v>
      </c>
      <c r="L40" s="45">
        <v>80.596000000000004</v>
      </c>
      <c r="M40" s="45" t="s">
        <v>617</v>
      </c>
      <c r="N40" s="159">
        <v>5</v>
      </c>
      <c r="O40" s="159">
        <v>6</v>
      </c>
      <c r="P40" s="45" t="s">
        <v>565</v>
      </c>
      <c r="Q40" s="45" t="s">
        <v>564</v>
      </c>
      <c r="R40" s="45">
        <v>41.98028</v>
      </c>
      <c r="S40" s="45">
        <v>-87.908997900000003</v>
      </c>
      <c r="T40" s="45">
        <v>419.88799999999998</v>
      </c>
      <c r="U40" s="45" t="s">
        <v>617</v>
      </c>
      <c r="V40" s="45" t="s">
        <v>617</v>
      </c>
      <c r="W40" s="45"/>
      <c r="X40" s="22"/>
      <c r="Y40" s="16">
        <f>Summary_LCIA!H$32</f>
        <v>0.33979999999999999</v>
      </c>
      <c r="Z40" s="16">
        <f>Summary_LCIA!Q$32</f>
        <v>4.9560504329999997</v>
      </c>
      <c r="AA40" s="16">
        <f>Summary_LCIA!R$32</f>
        <v>5.2655999999999996E-3</v>
      </c>
      <c r="AB40" s="16">
        <f>Summary_LCIA!S$32</f>
        <v>0.33538000000000001</v>
      </c>
      <c r="AC40" s="16">
        <f>Summary_LCIA!T$32</f>
        <v>0.1099</v>
      </c>
      <c r="AD40" s="16">
        <f>Summary_LCIA!U$32</f>
        <v>1.7913999999999999E-2</v>
      </c>
      <c r="AE40" s="16">
        <f>Summary_LCIA!V$32</f>
        <v>4.7760999999999999E-5</v>
      </c>
      <c r="AF40" s="16">
        <f>Summary_LCIA!W$32</f>
        <v>7.6970999999999998E-2</v>
      </c>
      <c r="AG40" s="16">
        <f>Summary_LCIA!X$32</f>
        <v>2.2780000000000002E-2</v>
      </c>
      <c r="AH40" s="16">
        <f>Summary_LCIA!Y$32</f>
        <v>1.5582E-2</v>
      </c>
      <c r="AI40" s="16">
        <f>Summary_LCIA!Z$32</f>
        <v>4.1009E-5</v>
      </c>
      <c r="AJ40" s="16">
        <f>Summary_LCIA!AA$32</f>
        <v>2.3355999999999998E-2</v>
      </c>
      <c r="AK40" s="16">
        <f>Summary_LCIA!AB$32</f>
        <v>-2.1823000000000001E-5</v>
      </c>
      <c r="AL40" s="16">
        <f>Summary_LCIA!AC$32</f>
        <v>4.8884000000000003E-8</v>
      </c>
      <c r="AM40" s="16">
        <f>Summary_LCIA!AD$32</f>
        <v>4.1103999999999999E-4</v>
      </c>
      <c r="AN40" s="16">
        <f>Summary_LCIA!AE$32</f>
        <v>8.8612999999999995E-4</v>
      </c>
      <c r="AO40" s="16">
        <f>Summary_LCIA!AF$32</f>
        <v>8.4542000000000005E-4</v>
      </c>
      <c r="AP40" s="16">
        <f>Summary_LCIA!AG$32</f>
        <v>5.1165000000000002E-5</v>
      </c>
      <c r="AQ40" s="16">
        <f>Summary_LCIA!AH$32</f>
        <v>8.7036000000000006E-3</v>
      </c>
      <c r="AR40" s="16">
        <f>Summary_LCIA!AI$32</f>
        <v>9.3154999999999996E-4</v>
      </c>
      <c r="AT40" s="16">
        <f t="shared" si="2"/>
        <v>142.67794239999998</v>
      </c>
      <c r="AU40" s="16">
        <f t="shared" si="14"/>
        <v>2080.986104211504</v>
      </c>
      <c r="AV40" s="16">
        <f t="shared" si="15"/>
        <v>2.2109622527999999</v>
      </c>
      <c r="AW40" s="16">
        <f t="shared" si="16"/>
        <v>140.82203744</v>
      </c>
      <c r="AX40" s="16">
        <f t="shared" si="17"/>
        <v>46.145691199999995</v>
      </c>
      <c r="AY40" s="16">
        <f t="shared" si="18"/>
        <v>7.5218736319999993</v>
      </c>
      <c r="AZ40" s="16">
        <f t="shared" si="19"/>
        <v>2.0054270767999999E-2</v>
      </c>
      <c r="BA40" s="16">
        <f t="shared" si="20"/>
        <v>32.319199247999997</v>
      </c>
      <c r="BB40" s="16">
        <f t="shared" si="21"/>
        <v>9.5650486400000005</v>
      </c>
      <c r="BC40" s="16">
        <f t="shared" si="3"/>
        <v>6.542694816</v>
      </c>
      <c r="BD40" s="16">
        <f t="shared" si="4"/>
        <v>1.7219186992E-2</v>
      </c>
      <c r="BE40" s="16">
        <f t="shared" si="5"/>
        <v>9.8069041279999993</v>
      </c>
      <c r="BF40" s="16">
        <f t="shared" si="6"/>
        <v>-9.163215823999999E-3</v>
      </c>
      <c r="BG40" s="16">
        <f t="shared" si="7"/>
        <v>2.0525804992E-5</v>
      </c>
      <c r="BH40" s="16">
        <f t="shared" si="8"/>
        <v>0.17259076352</v>
      </c>
      <c r="BI40" s="16">
        <f t="shared" si="9"/>
        <v>0.37207535343999998</v>
      </c>
      <c r="BJ40" s="16">
        <f t="shared" si="10"/>
        <v>0.35498171295999997</v>
      </c>
      <c r="BK40" s="16">
        <f t="shared" si="11"/>
        <v>2.1483569519999999E-2</v>
      </c>
      <c r="BL40" s="16">
        <f t="shared" si="12"/>
        <v>3.6545371968000002</v>
      </c>
      <c r="BM40" s="16">
        <f t="shared" si="13"/>
        <v>0.39114666639999995</v>
      </c>
      <c r="BN40" s="16"/>
    </row>
    <row r="41" spans="1:66" x14ac:dyDescent="0.25">
      <c r="A41" s="159">
        <v>204</v>
      </c>
      <c r="B41" s="159">
        <v>6</v>
      </c>
      <c r="C41" s="45">
        <v>42.32226</v>
      </c>
      <c r="D41" s="45">
        <v>-83.176315000000002</v>
      </c>
      <c r="E41" s="45" t="s">
        <v>265</v>
      </c>
      <c r="F41" s="159">
        <v>78</v>
      </c>
      <c r="G41" s="45" t="s">
        <v>615</v>
      </c>
      <c r="H41" s="45" t="s">
        <v>616</v>
      </c>
      <c r="I41" s="45">
        <v>42.216248999999998</v>
      </c>
      <c r="J41" s="45">
        <v>-83.355363999999994</v>
      </c>
      <c r="K41" s="45">
        <v>23.652639489999999</v>
      </c>
      <c r="L41" s="45">
        <v>22.933</v>
      </c>
      <c r="M41" s="45" t="s">
        <v>617</v>
      </c>
      <c r="N41" s="159">
        <v>5</v>
      </c>
      <c r="O41" s="159">
        <v>6</v>
      </c>
      <c r="P41" s="45" t="s">
        <v>565</v>
      </c>
      <c r="Q41" s="45" t="s">
        <v>564</v>
      </c>
      <c r="R41" s="45">
        <v>41.98028</v>
      </c>
      <c r="S41" s="45">
        <v>-87.908997900000003</v>
      </c>
      <c r="T41" s="45">
        <v>471.61799999999999</v>
      </c>
      <c r="U41" s="45" t="s">
        <v>617</v>
      </c>
      <c r="V41" s="45" t="s">
        <v>617</v>
      </c>
      <c r="W41" s="45"/>
      <c r="X41" s="22"/>
      <c r="Y41" s="16">
        <f>Summary_LCIA!H$32</f>
        <v>0.33979999999999999</v>
      </c>
      <c r="Z41" s="16">
        <f>Summary_LCIA!Q$32</f>
        <v>4.9560504329999997</v>
      </c>
      <c r="AA41" s="16">
        <f>Summary_LCIA!R$32</f>
        <v>5.2655999999999996E-3</v>
      </c>
      <c r="AB41" s="16">
        <f>Summary_LCIA!S$32</f>
        <v>0.33538000000000001</v>
      </c>
      <c r="AC41" s="16">
        <f>Summary_LCIA!T$32</f>
        <v>0.1099</v>
      </c>
      <c r="AD41" s="16">
        <f>Summary_LCIA!U$32</f>
        <v>1.7913999999999999E-2</v>
      </c>
      <c r="AE41" s="16">
        <f>Summary_LCIA!V$32</f>
        <v>4.7760999999999999E-5</v>
      </c>
      <c r="AF41" s="16">
        <f>Summary_LCIA!W$32</f>
        <v>7.6970999999999998E-2</v>
      </c>
      <c r="AG41" s="16">
        <f>Summary_LCIA!X$32</f>
        <v>2.2780000000000002E-2</v>
      </c>
      <c r="AH41" s="16">
        <f>Summary_LCIA!Y$32</f>
        <v>1.5582E-2</v>
      </c>
      <c r="AI41" s="16">
        <f>Summary_LCIA!Z$32</f>
        <v>4.1009E-5</v>
      </c>
      <c r="AJ41" s="16">
        <f>Summary_LCIA!AA$32</f>
        <v>2.3355999999999998E-2</v>
      </c>
      <c r="AK41" s="16">
        <f>Summary_LCIA!AB$32</f>
        <v>-2.1823000000000001E-5</v>
      </c>
      <c r="AL41" s="16">
        <f>Summary_LCIA!AC$32</f>
        <v>4.8884000000000003E-8</v>
      </c>
      <c r="AM41" s="16">
        <f>Summary_LCIA!AD$32</f>
        <v>4.1103999999999999E-4</v>
      </c>
      <c r="AN41" s="16">
        <f>Summary_LCIA!AE$32</f>
        <v>8.8612999999999995E-4</v>
      </c>
      <c r="AO41" s="16">
        <f>Summary_LCIA!AF$32</f>
        <v>8.4542000000000005E-4</v>
      </c>
      <c r="AP41" s="16">
        <f>Summary_LCIA!AG$32</f>
        <v>5.1165000000000002E-5</v>
      </c>
      <c r="AQ41" s="16">
        <f>Summary_LCIA!AH$32</f>
        <v>8.7036000000000006E-3</v>
      </c>
      <c r="AR41" s="16">
        <f>Summary_LCIA!AI$32</f>
        <v>9.3154999999999996E-4</v>
      </c>
      <c r="AT41" s="16">
        <f t="shared" si="2"/>
        <v>160.25579639999998</v>
      </c>
      <c r="AU41" s="16">
        <f t="shared" si="14"/>
        <v>2337.3625931105939</v>
      </c>
      <c r="AV41" s="16">
        <f t="shared" si="15"/>
        <v>2.4833517407999999</v>
      </c>
      <c r="AW41" s="16">
        <f t="shared" si="16"/>
        <v>158.17124484000001</v>
      </c>
      <c r="AX41" s="16">
        <f t="shared" si="17"/>
        <v>51.830818199999996</v>
      </c>
      <c r="AY41" s="16">
        <f t="shared" si="18"/>
        <v>8.4485648519999987</v>
      </c>
      <c r="AZ41" s="16">
        <f t="shared" si="19"/>
        <v>2.2524947298E-2</v>
      </c>
      <c r="BA41" s="16">
        <f t="shared" si="20"/>
        <v>36.300909077999997</v>
      </c>
      <c r="BB41" s="16">
        <f t="shared" si="21"/>
        <v>10.74345804</v>
      </c>
      <c r="BC41" s="16">
        <f t="shared" si="3"/>
        <v>7.348751676</v>
      </c>
      <c r="BD41" s="16">
        <f t="shared" si="4"/>
        <v>1.9340582562000001E-2</v>
      </c>
      <c r="BE41" s="16">
        <f t="shared" si="5"/>
        <v>11.015110007999999</v>
      </c>
      <c r="BF41" s="16">
        <f t="shared" si="6"/>
        <v>-1.0292119614000001E-2</v>
      </c>
      <c r="BG41" s="16">
        <f t="shared" si="7"/>
        <v>2.3054574312000002E-5</v>
      </c>
      <c r="BH41" s="16">
        <f t="shared" si="8"/>
        <v>0.19385386271999999</v>
      </c>
      <c r="BI41" s="16">
        <f t="shared" si="9"/>
        <v>0.41791485833999997</v>
      </c>
      <c r="BJ41" s="16">
        <f t="shared" si="10"/>
        <v>0.39871528956000002</v>
      </c>
      <c r="BK41" s="16">
        <f t="shared" si="11"/>
        <v>2.413033497E-2</v>
      </c>
      <c r="BL41" s="16">
        <f t="shared" si="12"/>
        <v>4.1047744248000004</v>
      </c>
      <c r="BM41" s="16">
        <f t="shared" si="13"/>
        <v>0.43933574789999996</v>
      </c>
      <c r="BN41" s="16"/>
    </row>
    <row r="42" spans="1:66" x14ac:dyDescent="0.25">
      <c r="A42" s="159">
        <v>380</v>
      </c>
      <c r="B42" s="159">
        <v>6</v>
      </c>
      <c r="C42" s="45">
        <v>42.214205999999997</v>
      </c>
      <c r="D42" s="45">
        <v>-83.149923999999999</v>
      </c>
      <c r="E42" s="45" t="s">
        <v>265</v>
      </c>
      <c r="F42" s="159">
        <v>78</v>
      </c>
      <c r="G42" s="45" t="s">
        <v>615</v>
      </c>
      <c r="H42" s="45" t="s">
        <v>616</v>
      </c>
      <c r="I42" s="45">
        <v>42.216248999999998</v>
      </c>
      <c r="J42" s="45">
        <v>-83.355363999999994</v>
      </c>
      <c r="K42" s="45">
        <v>17.006377449999999</v>
      </c>
      <c r="L42" s="45">
        <v>24.92</v>
      </c>
      <c r="M42" s="45" t="s">
        <v>617</v>
      </c>
      <c r="N42" s="159">
        <v>5</v>
      </c>
      <c r="O42" s="159">
        <v>6</v>
      </c>
      <c r="P42" s="45" t="s">
        <v>565</v>
      </c>
      <c r="Q42" s="45" t="s">
        <v>564</v>
      </c>
      <c r="R42" s="45">
        <v>41.98028</v>
      </c>
      <c r="S42" s="45">
        <v>-87.908997900000003</v>
      </c>
      <c r="T42" s="45">
        <v>473.60599999999999</v>
      </c>
      <c r="U42" s="45" t="s">
        <v>617</v>
      </c>
      <c r="V42" s="45" t="s">
        <v>617</v>
      </c>
      <c r="W42" s="45"/>
      <c r="X42" s="22"/>
      <c r="Y42" s="16">
        <f>Summary_LCIA!H$32</f>
        <v>0.33979999999999999</v>
      </c>
      <c r="Z42" s="16">
        <f>Summary_LCIA!Q$32</f>
        <v>4.9560504329999997</v>
      </c>
      <c r="AA42" s="16">
        <f>Summary_LCIA!R$32</f>
        <v>5.2655999999999996E-3</v>
      </c>
      <c r="AB42" s="16">
        <f>Summary_LCIA!S$32</f>
        <v>0.33538000000000001</v>
      </c>
      <c r="AC42" s="16">
        <f>Summary_LCIA!T$32</f>
        <v>0.1099</v>
      </c>
      <c r="AD42" s="16">
        <f>Summary_LCIA!U$32</f>
        <v>1.7913999999999999E-2</v>
      </c>
      <c r="AE42" s="16">
        <f>Summary_LCIA!V$32</f>
        <v>4.7760999999999999E-5</v>
      </c>
      <c r="AF42" s="16">
        <f>Summary_LCIA!W$32</f>
        <v>7.6970999999999998E-2</v>
      </c>
      <c r="AG42" s="16">
        <f>Summary_LCIA!X$32</f>
        <v>2.2780000000000002E-2</v>
      </c>
      <c r="AH42" s="16">
        <f>Summary_LCIA!Y$32</f>
        <v>1.5582E-2</v>
      </c>
      <c r="AI42" s="16">
        <f>Summary_LCIA!Z$32</f>
        <v>4.1009E-5</v>
      </c>
      <c r="AJ42" s="16">
        <f>Summary_LCIA!AA$32</f>
        <v>2.3355999999999998E-2</v>
      </c>
      <c r="AK42" s="16">
        <f>Summary_LCIA!AB$32</f>
        <v>-2.1823000000000001E-5</v>
      </c>
      <c r="AL42" s="16">
        <f>Summary_LCIA!AC$32</f>
        <v>4.8884000000000003E-8</v>
      </c>
      <c r="AM42" s="16">
        <f>Summary_LCIA!AD$32</f>
        <v>4.1103999999999999E-4</v>
      </c>
      <c r="AN42" s="16">
        <f>Summary_LCIA!AE$32</f>
        <v>8.8612999999999995E-4</v>
      </c>
      <c r="AO42" s="16">
        <f>Summary_LCIA!AF$32</f>
        <v>8.4542000000000005E-4</v>
      </c>
      <c r="AP42" s="16">
        <f>Summary_LCIA!AG$32</f>
        <v>5.1165000000000002E-5</v>
      </c>
      <c r="AQ42" s="16">
        <f>Summary_LCIA!AH$32</f>
        <v>8.7036000000000006E-3</v>
      </c>
      <c r="AR42" s="16">
        <f>Summary_LCIA!AI$32</f>
        <v>9.3154999999999996E-4</v>
      </c>
      <c r="AT42" s="16">
        <f t="shared" si="2"/>
        <v>160.93131879999999</v>
      </c>
      <c r="AU42" s="16">
        <f t="shared" si="14"/>
        <v>2347.215221371398</v>
      </c>
      <c r="AV42" s="16">
        <f t="shared" si="15"/>
        <v>2.4938197536</v>
      </c>
      <c r="AW42" s="16">
        <f t="shared" si="16"/>
        <v>158.83798028000001</v>
      </c>
      <c r="AX42" s="16">
        <f t="shared" si="17"/>
        <v>52.049299399999995</v>
      </c>
      <c r="AY42" s="16">
        <f t="shared" si="18"/>
        <v>8.4841778839999993</v>
      </c>
      <c r="AZ42" s="16">
        <f t="shared" si="19"/>
        <v>2.2619896165999999E-2</v>
      </c>
      <c r="BA42" s="16">
        <f t="shared" si="20"/>
        <v>36.453927426</v>
      </c>
      <c r="BB42" s="16">
        <f t="shared" si="21"/>
        <v>10.788744680000001</v>
      </c>
      <c r="BC42" s="16">
        <f t="shared" si="3"/>
        <v>7.3797286920000005</v>
      </c>
      <c r="BD42" s="16">
        <f t="shared" si="4"/>
        <v>1.9422108454000001E-2</v>
      </c>
      <c r="BE42" s="16">
        <f t="shared" si="5"/>
        <v>11.061541735999999</v>
      </c>
      <c r="BF42" s="16">
        <f t="shared" si="6"/>
        <v>-1.0335503738000001E-2</v>
      </c>
      <c r="BG42" s="16">
        <f t="shared" si="7"/>
        <v>2.3151755704E-5</v>
      </c>
      <c r="BH42" s="16">
        <f t="shared" si="8"/>
        <v>0.19467101024</v>
      </c>
      <c r="BI42" s="16">
        <f t="shared" si="9"/>
        <v>0.41967648477999997</v>
      </c>
      <c r="BJ42" s="16">
        <f t="shared" si="10"/>
        <v>0.40039598452000003</v>
      </c>
      <c r="BK42" s="16">
        <f t="shared" si="11"/>
        <v>2.423205099E-2</v>
      </c>
      <c r="BL42" s="16">
        <f t="shared" si="12"/>
        <v>4.1220771815999999</v>
      </c>
      <c r="BM42" s="16">
        <f t="shared" si="13"/>
        <v>0.44118766929999997</v>
      </c>
      <c r="BN42" s="16"/>
    </row>
    <row r="43" spans="1:66" x14ac:dyDescent="0.25">
      <c r="A43" s="159">
        <v>218</v>
      </c>
      <c r="B43" s="159">
        <v>6</v>
      </c>
      <c r="C43" s="45">
        <v>42.460591999999998</v>
      </c>
      <c r="D43" s="45">
        <v>-83.134647999999999</v>
      </c>
      <c r="E43" s="45" t="s">
        <v>265</v>
      </c>
      <c r="F43" s="159">
        <v>78</v>
      </c>
      <c r="G43" s="45" t="s">
        <v>615</v>
      </c>
      <c r="H43" s="45" t="s">
        <v>616</v>
      </c>
      <c r="I43" s="45">
        <v>42.216248999999998</v>
      </c>
      <c r="J43" s="45">
        <v>-83.355363999999994</v>
      </c>
      <c r="K43" s="45">
        <v>45.359604679999997</v>
      </c>
      <c r="L43" s="45">
        <v>42.874000000000002</v>
      </c>
      <c r="M43" s="45" t="s">
        <v>617</v>
      </c>
      <c r="N43" s="159">
        <v>5</v>
      </c>
      <c r="O43" s="159">
        <v>6</v>
      </c>
      <c r="P43" s="45" t="s">
        <v>565</v>
      </c>
      <c r="Q43" s="45" t="s">
        <v>564</v>
      </c>
      <c r="R43" s="45">
        <v>41.98028</v>
      </c>
      <c r="S43" s="45">
        <v>-87.908997900000003</v>
      </c>
      <c r="T43" s="45">
        <v>482.85399999999998</v>
      </c>
      <c r="U43" s="45" t="s">
        <v>617</v>
      </c>
      <c r="V43" s="45" t="s">
        <v>617</v>
      </c>
      <c r="W43" s="45"/>
      <c r="X43" s="22"/>
      <c r="Y43" s="16">
        <f>Summary_LCIA!H$32</f>
        <v>0.33979999999999999</v>
      </c>
      <c r="Z43" s="16">
        <f>Summary_LCIA!Q$32</f>
        <v>4.9560504329999997</v>
      </c>
      <c r="AA43" s="16">
        <f>Summary_LCIA!R$32</f>
        <v>5.2655999999999996E-3</v>
      </c>
      <c r="AB43" s="16">
        <f>Summary_LCIA!S$32</f>
        <v>0.33538000000000001</v>
      </c>
      <c r="AC43" s="16">
        <f>Summary_LCIA!T$32</f>
        <v>0.1099</v>
      </c>
      <c r="AD43" s="16">
        <f>Summary_LCIA!U$32</f>
        <v>1.7913999999999999E-2</v>
      </c>
      <c r="AE43" s="16">
        <f>Summary_LCIA!V$32</f>
        <v>4.7760999999999999E-5</v>
      </c>
      <c r="AF43" s="16">
        <f>Summary_LCIA!W$32</f>
        <v>7.6970999999999998E-2</v>
      </c>
      <c r="AG43" s="16">
        <f>Summary_LCIA!X$32</f>
        <v>2.2780000000000002E-2</v>
      </c>
      <c r="AH43" s="16">
        <f>Summary_LCIA!Y$32</f>
        <v>1.5582E-2</v>
      </c>
      <c r="AI43" s="16">
        <f>Summary_LCIA!Z$32</f>
        <v>4.1009E-5</v>
      </c>
      <c r="AJ43" s="16">
        <f>Summary_LCIA!AA$32</f>
        <v>2.3355999999999998E-2</v>
      </c>
      <c r="AK43" s="16">
        <f>Summary_LCIA!AB$32</f>
        <v>-2.1823000000000001E-5</v>
      </c>
      <c r="AL43" s="16">
        <f>Summary_LCIA!AC$32</f>
        <v>4.8884000000000003E-8</v>
      </c>
      <c r="AM43" s="16">
        <f>Summary_LCIA!AD$32</f>
        <v>4.1103999999999999E-4</v>
      </c>
      <c r="AN43" s="16">
        <f>Summary_LCIA!AE$32</f>
        <v>8.8612999999999995E-4</v>
      </c>
      <c r="AO43" s="16">
        <f>Summary_LCIA!AF$32</f>
        <v>8.4542000000000005E-4</v>
      </c>
      <c r="AP43" s="16">
        <f>Summary_LCIA!AG$32</f>
        <v>5.1165000000000002E-5</v>
      </c>
      <c r="AQ43" s="16">
        <f>Summary_LCIA!AH$32</f>
        <v>8.7036000000000006E-3</v>
      </c>
      <c r="AR43" s="16">
        <f>Summary_LCIA!AI$32</f>
        <v>9.3154999999999996E-4</v>
      </c>
      <c r="AT43" s="16">
        <f t="shared" si="2"/>
        <v>164.07378919999999</v>
      </c>
      <c r="AU43" s="16">
        <f t="shared" si="14"/>
        <v>2393.0487757757819</v>
      </c>
      <c r="AV43" s="16">
        <f t="shared" si="15"/>
        <v>2.5425160223999996</v>
      </c>
      <c r="AW43" s="16">
        <f t="shared" si="16"/>
        <v>161.93957452000001</v>
      </c>
      <c r="AX43" s="16">
        <f t="shared" si="17"/>
        <v>53.065654599999995</v>
      </c>
      <c r="AY43" s="16">
        <f t="shared" si="18"/>
        <v>8.649846556</v>
      </c>
      <c r="AZ43" s="16">
        <f t="shared" si="19"/>
        <v>2.3061589893999999E-2</v>
      </c>
      <c r="BA43" s="16">
        <f t="shared" si="20"/>
        <v>37.165755233999995</v>
      </c>
      <c r="BB43" s="16">
        <f t="shared" si="21"/>
        <v>10.999414120000001</v>
      </c>
      <c r="BC43" s="16">
        <f t="shared" si="3"/>
        <v>7.523831028</v>
      </c>
      <c r="BD43" s="16">
        <f t="shared" si="4"/>
        <v>1.9801359686000001E-2</v>
      </c>
      <c r="BE43" s="16">
        <f t="shared" si="5"/>
        <v>11.277538023999998</v>
      </c>
      <c r="BF43" s="16">
        <f t="shared" si="6"/>
        <v>-1.0537322842000001E-2</v>
      </c>
      <c r="BG43" s="16">
        <f t="shared" si="7"/>
        <v>2.3603834936000001E-5</v>
      </c>
      <c r="BH43" s="16">
        <f t="shared" si="8"/>
        <v>0.19847230816</v>
      </c>
      <c r="BI43" s="16">
        <f t="shared" si="9"/>
        <v>0.42787141501999998</v>
      </c>
      <c r="BJ43" s="16">
        <f t="shared" si="10"/>
        <v>0.40821442868000002</v>
      </c>
      <c r="BK43" s="16">
        <f t="shared" si="11"/>
        <v>2.470522491E-2</v>
      </c>
      <c r="BL43" s="16">
        <f t="shared" si="12"/>
        <v>4.2025680744000002</v>
      </c>
      <c r="BM43" s="16">
        <f t="shared" si="13"/>
        <v>0.44980264369999995</v>
      </c>
      <c r="BN43" s="16"/>
    </row>
    <row r="44" spans="1:66" x14ac:dyDescent="0.25">
      <c r="A44" s="159">
        <v>268</v>
      </c>
      <c r="B44" s="159">
        <v>6</v>
      </c>
      <c r="C44" s="45">
        <v>43.615583000000001</v>
      </c>
      <c r="D44" s="45">
        <v>-84.247212000000005</v>
      </c>
      <c r="E44" s="45" t="s">
        <v>265</v>
      </c>
      <c r="F44" s="159">
        <v>78</v>
      </c>
      <c r="G44" s="45" t="s">
        <v>615</v>
      </c>
      <c r="H44" s="45" t="s">
        <v>616</v>
      </c>
      <c r="I44" s="45">
        <v>42.216248999999998</v>
      </c>
      <c r="J44" s="45">
        <v>-83.355363999999994</v>
      </c>
      <c r="K44" s="45">
        <v>239.54536110000001</v>
      </c>
      <c r="L44" s="45">
        <v>218.8</v>
      </c>
      <c r="M44" s="45" t="s">
        <v>617</v>
      </c>
      <c r="N44" s="159">
        <v>5</v>
      </c>
      <c r="O44" s="159">
        <v>6</v>
      </c>
      <c r="P44" s="45" t="s">
        <v>565</v>
      </c>
      <c r="Q44" s="45" t="s">
        <v>564</v>
      </c>
      <c r="R44" s="45">
        <v>41.98028</v>
      </c>
      <c r="S44" s="45">
        <v>-87.908997900000003</v>
      </c>
      <c r="T44" s="45">
        <v>493.8</v>
      </c>
      <c r="U44" s="45" t="s">
        <v>617</v>
      </c>
      <c r="V44" s="45" t="s">
        <v>617</v>
      </c>
      <c r="W44" s="45"/>
      <c r="X44" s="22"/>
      <c r="Y44" s="16">
        <f>Summary_LCIA!H$32</f>
        <v>0.33979999999999999</v>
      </c>
      <c r="Z44" s="16">
        <f>Summary_LCIA!Q$32</f>
        <v>4.9560504329999997</v>
      </c>
      <c r="AA44" s="16">
        <f>Summary_LCIA!R$32</f>
        <v>5.2655999999999996E-3</v>
      </c>
      <c r="AB44" s="16">
        <f>Summary_LCIA!S$32</f>
        <v>0.33538000000000001</v>
      </c>
      <c r="AC44" s="16">
        <f>Summary_LCIA!T$32</f>
        <v>0.1099</v>
      </c>
      <c r="AD44" s="16">
        <f>Summary_LCIA!U$32</f>
        <v>1.7913999999999999E-2</v>
      </c>
      <c r="AE44" s="16">
        <f>Summary_LCIA!V$32</f>
        <v>4.7760999999999999E-5</v>
      </c>
      <c r="AF44" s="16">
        <f>Summary_LCIA!W$32</f>
        <v>7.6970999999999998E-2</v>
      </c>
      <c r="AG44" s="16">
        <f>Summary_LCIA!X$32</f>
        <v>2.2780000000000002E-2</v>
      </c>
      <c r="AH44" s="16">
        <f>Summary_LCIA!Y$32</f>
        <v>1.5582E-2</v>
      </c>
      <c r="AI44" s="16">
        <f>Summary_LCIA!Z$32</f>
        <v>4.1009E-5</v>
      </c>
      <c r="AJ44" s="16">
        <f>Summary_LCIA!AA$32</f>
        <v>2.3355999999999998E-2</v>
      </c>
      <c r="AK44" s="16">
        <f>Summary_LCIA!AB$32</f>
        <v>-2.1823000000000001E-5</v>
      </c>
      <c r="AL44" s="16">
        <f>Summary_LCIA!AC$32</f>
        <v>4.8884000000000003E-8</v>
      </c>
      <c r="AM44" s="16">
        <f>Summary_LCIA!AD$32</f>
        <v>4.1103999999999999E-4</v>
      </c>
      <c r="AN44" s="16">
        <f>Summary_LCIA!AE$32</f>
        <v>8.8612999999999995E-4</v>
      </c>
      <c r="AO44" s="16">
        <f>Summary_LCIA!AF$32</f>
        <v>8.4542000000000005E-4</v>
      </c>
      <c r="AP44" s="16">
        <f>Summary_LCIA!AG$32</f>
        <v>5.1165000000000002E-5</v>
      </c>
      <c r="AQ44" s="16">
        <f>Summary_LCIA!AH$32</f>
        <v>8.7036000000000006E-3</v>
      </c>
      <c r="AR44" s="16">
        <f>Summary_LCIA!AI$32</f>
        <v>9.3154999999999996E-4</v>
      </c>
      <c r="AT44" s="16">
        <f t="shared" si="2"/>
        <v>167.79324</v>
      </c>
      <c r="AU44" s="16">
        <f t="shared" si="14"/>
        <v>2447.2977038153999</v>
      </c>
      <c r="AV44" s="16">
        <f t="shared" si="15"/>
        <v>2.6001532799999998</v>
      </c>
      <c r="AW44" s="16">
        <f t="shared" si="16"/>
        <v>165.61064400000001</v>
      </c>
      <c r="AX44" s="16">
        <f t="shared" si="17"/>
        <v>54.268619999999999</v>
      </c>
      <c r="AY44" s="16">
        <f t="shared" si="18"/>
        <v>8.8459331999999993</v>
      </c>
      <c r="AZ44" s="16">
        <f t="shared" si="19"/>
        <v>2.3584381799999998E-2</v>
      </c>
      <c r="BA44" s="16">
        <f t="shared" si="20"/>
        <v>38.008279799999997</v>
      </c>
      <c r="BB44" s="16">
        <f t="shared" si="21"/>
        <v>11.248764000000001</v>
      </c>
      <c r="BC44" s="16">
        <f t="shared" si="3"/>
        <v>7.6943916000000003</v>
      </c>
      <c r="BD44" s="16">
        <f t="shared" si="4"/>
        <v>2.02502442E-2</v>
      </c>
      <c r="BE44" s="16">
        <f t="shared" si="5"/>
        <v>11.5331928</v>
      </c>
      <c r="BF44" s="16">
        <f t="shared" si="6"/>
        <v>-1.0776197400000001E-2</v>
      </c>
      <c r="BG44" s="16">
        <f t="shared" si="7"/>
        <v>2.4138919200000002E-5</v>
      </c>
      <c r="BH44" s="16">
        <f t="shared" si="8"/>
        <v>0.202971552</v>
      </c>
      <c r="BI44" s="16">
        <f t="shared" si="9"/>
        <v>0.43757099399999999</v>
      </c>
      <c r="BJ44" s="16">
        <f t="shared" si="10"/>
        <v>0.41746839600000002</v>
      </c>
      <c r="BK44" s="16">
        <f t="shared" si="11"/>
        <v>2.5265277000000003E-2</v>
      </c>
      <c r="BL44" s="16">
        <f t="shared" si="12"/>
        <v>4.2978376800000007</v>
      </c>
      <c r="BM44" s="16">
        <f t="shared" si="13"/>
        <v>0.45999939000000001</v>
      </c>
      <c r="BN44" s="16"/>
    </row>
    <row r="45" spans="1:66" x14ac:dyDescent="0.25">
      <c r="A45" s="159">
        <v>269</v>
      </c>
      <c r="B45" s="159">
        <v>6</v>
      </c>
      <c r="C45" s="45">
        <v>43.615583000000001</v>
      </c>
      <c r="D45" s="45">
        <v>-84.247212000000005</v>
      </c>
      <c r="E45" s="45" t="s">
        <v>265</v>
      </c>
      <c r="F45" s="159">
        <v>78</v>
      </c>
      <c r="G45" s="45" t="s">
        <v>615</v>
      </c>
      <c r="H45" s="45" t="s">
        <v>616</v>
      </c>
      <c r="I45" s="45">
        <v>42.216248999999998</v>
      </c>
      <c r="J45" s="45">
        <v>-83.355363999999994</v>
      </c>
      <c r="K45" s="45">
        <v>239.54536110000001</v>
      </c>
      <c r="L45" s="45">
        <v>218.8</v>
      </c>
      <c r="M45" s="45" t="s">
        <v>617</v>
      </c>
      <c r="N45" s="159">
        <v>5</v>
      </c>
      <c r="O45" s="159">
        <v>6</v>
      </c>
      <c r="P45" s="45" t="s">
        <v>565</v>
      </c>
      <c r="Q45" s="45" t="s">
        <v>564</v>
      </c>
      <c r="R45" s="45">
        <v>41.98028</v>
      </c>
      <c r="S45" s="45">
        <v>-87.908997900000003</v>
      </c>
      <c r="T45" s="45">
        <v>493.8</v>
      </c>
      <c r="U45" s="45" t="s">
        <v>617</v>
      </c>
      <c r="V45" s="45" t="s">
        <v>617</v>
      </c>
      <c r="W45" s="45"/>
      <c r="X45" s="22"/>
      <c r="Y45" s="16">
        <f>Summary_LCIA!H$32</f>
        <v>0.33979999999999999</v>
      </c>
      <c r="Z45" s="16">
        <f>Summary_LCIA!Q$32</f>
        <v>4.9560504329999997</v>
      </c>
      <c r="AA45" s="16">
        <f>Summary_LCIA!R$32</f>
        <v>5.2655999999999996E-3</v>
      </c>
      <c r="AB45" s="16">
        <f>Summary_LCIA!S$32</f>
        <v>0.33538000000000001</v>
      </c>
      <c r="AC45" s="16">
        <f>Summary_LCIA!T$32</f>
        <v>0.1099</v>
      </c>
      <c r="AD45" s="16">
        <f>Summary_LCIA!U$32</f>
        <v>1.7913999999999999E-2</v>
      </c>
      <c r="AE45" s="16">
        <f>Summary_LCIA!V$32</f>
        <v>4.7760999999999999E-5</v>
      </c>
      <c r="AF45" s="16">
        <f>Summary_LCIA!W$32</f>
        <v>7.6970999999999998E-2</v>
      </c>
      <c r="AG45" s="16">
        <f>Summary_LCIA!X$32</f>
        <v>2.2780000000000002E-2</v>
      </c>
      <c r="AH45" s="16">
        <f>Summary_LCIA!Y$32</f>
        <v>1.5582E-2</v>
      </c>
      <c r="AI45" s="16">
        <f>Summary_LCIA!Z$32</f>
        <v>4.1009E-5</v>
      </c>
      <c r="AJ45" s="16">
        <f>Summary_LCIA!AA$32</f>
        <v>2.3355999999999998E-2</v>
      </c>
      <c r="AK45" s="16">
        <f>Summary_LCIA!AB$32</f>
        <v>-2.1823000000000001E-5</v>
      </c>
      <c r="AL45" s="16">
        <f>Summary_LCIA!AC$32</f>
        <v>4.8884000000000003E-8</v>
      </c>
      <c r="AM45" s="16">
        <f>Summary_LCIA!AD$32</f>
        <v>4.1103999999999999E-4</v>
      </c>
      <c r="AN45" s="16">
        <f>Summary_LCIA!AE$32</f>
        <v>8.8612999999999995E-4</v>
      </c>
      <c r="AO45" s="16">
        <f>Summary_LCIA!AF$32</f>
        <v>8.4542000000000005E-4</v>
      </c>
      <c r="AP45" s="16">
        <f>Summary_LCIA!AG$32</f>
        <v>5.1165000000000002E-5</v>
      </c>
      <c r="AQ45" s="16">
        <f>Summary_LCIA!AH$32</f>
        <v>8.7036000000000006E-3</v>
      </c>
      <c r="AR45" s="16">
        <f>Summary_LCIA!AI$32</f>
        <v>9.3154999999999996E-4</v>
      </c>
      <c r="AT45" s="16">
        <f t="shared" si="2"/>
        <v>167.79324</v>
      </c>
      <c r="AU45" s="16">
        <f t="shared" si="14"/>
        <v>2447.2977038153999</v>
      </c>
      <c r="AV45" s="16">
        <f t="shared" si="15"/>
        <v>2.6001532799999998</v>
      </c>
      <c r="AW45" s="16">
        <f t="shared" si="16"/>
        <v>165.61064400000001</v>
      </c>
      <c r="AX45" s="16">
        <f t="shared" si="17"/>
        <v>54.268619999999999</v>
      </c>
      <c r="AY45" s="16">
        <f t="shared" si="18"/>
        <v>8.8459331999999993</v>
      </c>
      <c r="AZ45" s="16">
        <f t="shared" si="19"/>
        <v>2.3584381799999998E-2</v>
      </c>
      <c r="BA45" s="16">
        <f t="shared" si="20"/>
        <v>38.008279799999997</v>
      </c>
      <c r="BB45" s="16">
        <f t="shared" si="21"/>
        <v>11.248764000000001</v>
      </c>
      <c r="BC45" s="16">
        <f t="shared" si="3"/>
        <v>7.6943916000000003</v>
      </c>
      <c r="BD45" s="16">
        <f t="shared" si="4"/>
        <v>2.02502442E-2</v>
      </c>
      <c r="BE45" s="16">
        <f t="shared" si="5"/>
        <v>11.5331928</v>
      </c>
      <c r="BF45" s="16">
        <f t="shared" si="6"/>
        <v>-1.0776197400000001E-2</v>
      </c>
      <c r="BG45" s="16">
        <f t="shared" si="7"/>
        <v>2.4138919200000002E-5</v>
      </c>
      <c r="BH45" s="16">
        <f t="shared" si="8"/>
        <v>0.202971552</v>
      </c>
      <c r="BI45" s="16">
        <f t="shared" si="9"/>
        <v>0.43757099399999999</v>
      </c>
      <c r="BJ45" s="16">
        <f t="shared" si="10"/>
        <v>0.41746839600000002</v>
      </c>
      <c r="BK45" s="16">
        <f t="shared" si="11"/>
        <v>2.5265277000000003E-2</v>
      </c>
      <c r="BL45" s="16">
        <f t="shared" si="12"/>
        <v>4.2978376800000007</v>
      </c>
      <c r="BM45" s="16">
        <f t="shared" si="13"/>
        <v>0.45999939000000001</v>
      </c>
      <c r="BN45" s="16"/>
    </row>
    <row r="46" spans="1:66" x14ac:dyDescent="0.25">
      <c r="A46" s="159">
        <v>270</v>
      </c>
      <c r="B46" s="159">
        <v>6</v>
      </c>
      <c r="C46" s="45">
        <v>43.615583000000001</v>
      </c>
      <c r="D46" s="45">
        <v>-84.247212000000005</v>
      </c>
      <c r="E46" s="45" t="s">
        <v>265</v>
      </c>
      <c r="F46" s="159">
        <v>78</v>
      </c>
      <c r="G46" s="45" t="s">
        <v>615</v>
      </c>
      <c r="H46" s="45" t="s">
        <v>616</v>
      </c>
      <c r="I46" s="45">
        <v>42.216248999999998</v>
      </c>
      <c r="J46" s="45">
        <v>-83.355363999999994</v>
      </c>
      <c r="K46" s="45">
        <v>239.54536110000001</v>
      </c>
      <c r="L46" s="45">
        <v>218.8</v>
      </c>
      <c r="M46" s="45" t="s">
        <v>617</v>
      </c>
      <c r="N46" s="159">
        <v>5</v>
      </c>
      <c r="O46" s="159">
        <v>6</v>
      </c>
      <c r="P46" s="45" t="s">
        <v>565</v>
      </c>
      <c r="Q46" s="45" t="s">
        <v>564</v>
      </c>
      <c r="R46" s="45">
        <v>41.98028</v>
      </c>
      <c r="S46" s="45">
        <v>-87.908997900000003</v>
      </c>
      <c r="T46" s="45">
        <v>493.8</v>
      </c>
      <c r="U46" s="45" t="s">
        <v>617</v>
      </c>
      <c r="V46" s="45" t="s">
        <v>617</v>
      </c>
      <c r="W46" s="45"/>
      <c r="X46" s="22"/>
      <c r="Y46" s="16">
        <f>Summary_LCIA!H$32</f>
        <v>0.33979999999999999</v>
      </c>
      <c r="Z46" s="16">
        <f>Summary_LCIA!Q$32</f>
        <v>4.9560504329999997</v>
      </c>
      <c r="AA46" s="16">
        <f>Summary_LCIA!R$32</f>
        <v>5.2655999999999996E-3</v>
      </c>
      <c r="AB46" s="16">
        <f>Summary_LCIA!S$32</f>
        <v>0.33538000000000001</v>
      </c>
      <c r="AC46" s="16">
        <f>Summary_LCIA!T$32</f>
        <v>0.1099</v>
      </c>
      <c r="AD46" s="16">
        <f>Summary_LCIA!U$32</f>
        <v>1.7913999999999999E-2</v>
      </c>
      <c r="AE46" s="16">
        <f>Summary_LCIA!V$32</f>
        <v>4.7760999999999999E-5</v>
      </c>
      <c r="AF46" s="16">
        <f>Summary_LCIA!W$32</f>
        <v>7.6970999999999998E-2</v>
      </c>
      <c r="AG46" s="16">
        <f>Summary_LCIA!X$32</f>
        <v>2.2780000000000002E-2</v>
      </c>
      <c r="AH46" s="16">
        <f>Summary_LCIA!Y$32</f>
        <v>1.5582E-2</v>
      </c>
      <c r="AI46" s="16">
        <f>Summary_LCIA!Z$32</f>
        <v>4.1009E-5</v>
      </c>
      <c r="AJ46" s="16">
        <f>Summary_LCIA!AA$32</f>
        <v>2.3355999999999998E-2</v>
      </c>
      <c r="AK46" s="16">
        <f>Summary_LCIA!AB$32</f>
        <v>-2.1823000000000001E-5</v>
      </c>
      <c r="AL46" s="16">
        <f>Summary_LCIA!AC$32</f>
        <v>4.8884000000000003E-8</v>
      </c>
      <c r="AM46" s="16">
        <f>Summary_LCIA!AD$32</f>
        <v>4.1103999999999999E-4</v>
      </c>
      <c r="AN46" s="16">
        <f>Summary_LCIA!AE$32</f>
        <v>8.8612999999999995E-4</v>
      </c>
      <c r="AO46" s="16">
        <f>Summary_LCIA!AF$32</f>
        <v>8.4542000000000005E-4</v>
      </c>
      <c r="AP46" s="16">
        <f>Summary_LCIA!AG$32</f>
        <v>5.1165000000000002E-5</v>
      </c>
      <c r="AQ46" s="16">
        <f>Summary_LCIA!AH$32</f>
        <v>8.7036000000000006E-3</v>
      </c>
      <c r="AR46" s="16">
        <f>Summary_LCIA!AI$32</f>
        <v>9.3154999999999996E-4</v>
      </c>
      <c r="AT46" s="16">
        <f t="shared" si="2"/>
        <v>167.79324</v>
      </c>
      <c r="AU46" s="16">
        <f t="shared" si="14"/>
        <v>2447.2977038153999</v>
      </c>
      <c r="AV46" s="16">
        <f t="shared" si="15"/>
        <v>2.6001532799999998</v>
      </c>
      <c r="AW46" s="16">
        <f t="shared" si="16"/>
        <v>165.61064400000001</v>
      </c>
      <c r="AX46" s="16">
        <f t="shared" si="17"/>
        <v>54.268619999999999</v>
      </c>
      <c r="AY46" s="16">
        <f t="shared" si="18"/>
        <v>8.8459331999999993</v>
      </c>
      <c r="AZ46" s="16">
        <f t="shared" si="19"/>
        <v>2.3584381799999998E-2</v>
      </c>
      <c r="BA46" s="16">
        <f t="shared" si="20"/>
        <v>38.008279799999997</v>
      </c>
      <c r="BB46" s="16">
        <f t="shared" si="21"/>
        <v>11.248764000000001</v>
      </c>
      <c r="BC46" s="16">
        <f t="shared" si="3"/>
        <v>7.6943916000000003</v>
      </c>
      <c r="BD46" s="16">
        <f t="shared" si="4"/>
        <v>2.02502442E-2</v>
      </c>
      <c r="BE46" s="16">
        <f t="shared" si="5"/>
        <v>11.5331928</v>
      </c>
      <c r="BF46" s="16">
        <f t="shared" si="6"/>
        <v>-1.0776197400000001E-2</v>
      </c>
      <c r="BG46" s="16">
        <f t="shared" si="7"/>
        <v>2.4138919200000002E-5</v>
      </c>
      <c r="BH46" s="16">
        <f t="shared" si="8"/>
        <v>0.202971552</v>
      </c>
      <c r="BI46" s="16">
        <f t="shared" si="9"/>
        <v>0.43757099399999999</v>
      </c>
      <c r="BJ46" s="16">
        <f t="shared" si="10"/>
        <v>0.41746839600000002</v>
      </c>
      <c r="BK46" s="16">
        <f t="shared" si="11"/>
        <v>2.5265277000000003E-2</v>
      </c>
      <c r="BL46" s="16">
        <f t="shared" si="12"/>
        <v>4.2978376800000007</v>
      </c>
      <c r="BM46" s="16">
        <f t="shared" si="13"/>
        <v>0.45999939000000001</v>
      </c>
      <c r="BN46" s="16"/>
    </row>
    <row r="47" spans="1:66" x14ac:dyDescent="0.25">
      <c r="A47" s="159">
        <v>271</v>
      </c>
      <c r="B47" s="159">
        <v>6</v>
      </c>
      <c r="C47" s="45">
        <v>43.615583000000001</v>
      </c>
      <c r="D47" s="45">
        <v>-84.247212000000005</v>
      </c>
      <c r="E47" s="45" t="s">
        <v>265</v>
      </c>
      <c r="F47" s="159">
        <v>78</v>
      </c>
      <c r="G47" s="45" t="s">
        <v>615</v>
      </c>
      <c r="H47" s="45" t="s">
        <v>616</v>
      </c>
      <c r="I47" s="45">
        <v>42.216248999999998</v>
      </c>
      <c r="J47" s="45">
        <v>-83.355363999999994</v>
      </c>
      <c r="K47" s="45">
        <v>239.54536110000001</v>
      </c>
      <c r="L47" s="45">
        <v>218.8</v>
      </c>
      <c r="M47" s="45" t="s">
        <v>617</v>
      </c>
      <c r="N47" s="159">
        <v>5</v>
      </c>
      <c r="O47" s="159">
        <v>6</v>
      </c>
      <c r="P47" s="45" t="s">
        <v>565</v>
      </c>
      <c r="Q47" s="45" t="s">
        <v>564</v>
      </c>
      <c r="R47" s="45">
        <v>41.98028</v>
      </c>
      <c r="S47" s="45">
        <v>-87.908997900000003</v>
      </c>
      <c r="T47" s="45">
        <v>493.8</v>
      </c>
      <c r="U47" s="45" t="s">
        <v>617</v>
      </c>
      <c r="V47" s="45" t="s">
        <v>617</v>
      </c>
      <c r="W47" s="45"/>
      <c r="X47" s="22"/>
      <c r="Y47" s="16">
        <f>Summary_LCIA!H$32</f>
        <v>0.33979999999999999</v>
      </c>
      <c r="Z47" s="16">
        <f>Summary_LCIA!Q$32</f>
        <v>4.9560504329999997</v>
      </c>
      <c r="AA47" s="16">
        <f>Summary_LCIA!R$32</f>
        <v>5.2655999999999996E-3</v>
      </c>
      <c r="AB47" s="16">
        <f>Summary_LCIA!S$32</f>
        <v>0.33538000000000001</v>
      </c>
      <c r="AC47" s="16">
        <f>Summary_LCIA!T$32</f>
        <v>0.1099</v>
      </c>
      <c r="AD47" s="16">
        <f>Summary_LCIA!U$32</f>
        <v>1.7913999999999999E-2</v>
      </c>
      <c r="AE47" s="16">
        <f>Summary_LCIA!V$32</f>
        <v>4.7760999999999999E-5</v>
      </c>
      <c r="AF47" s="16">
        <f>Summary_LCIA!W$32</f>
        <v>7.6970999999999998E-2</v>
      </c>
      <c r="AG47" s="16">
        <f>Summary_LCIA!X$32</f>
        <v>2.2780000000000002E-2</v>
      </c>
      <c r="AH47" s="16">
        <f>Summary_LCIA!Y$32</f>
        <v>1.5582E-2</v>
      </c>
      <c r="AI47" s="16">
        <f>Summary_LCIA!Z$32</f>
        <v>4.1009E-5</v>
      </c>
      <c r="AJ47" s="16">
        <f>Summary_LCIA!AA$32</f>
        <v>2.3355999999999998E-2</v>
      </c>
      <c r="AK47" s="16">
        <f>Summary_LCIA!AB$32</f>
        <v>-2.1823000000000001E-5</v>
      </c>
      <c r="AL47" s="16">
        <f>Summary_LCIA!AC$32</f>
        <v>4.8884000000000003E-8</v>
      </c>
      <c r="AM47" s="16">
        <f>Summary_LCIA!AD$32</f>
        <v>4.1103999999999999E-4</v>
      </c>
      <c r="AN47" s="16">
        <f>Summary_LCIA!AE$32</f>
        <v>8.8612999999999995E-4</v>
      </c>
      <c r="AO47" s="16">
        <f>Summary_LCIA!AF$32</f>
        <v>8.4542000000000005E-4</v>
      </c>
      <c r="AP47" s="16">
        <f>Summary_LCIA!AG$32</f>
        <v>5.1165000000000002E-5</v>
      </c>
      <c r="AQ47" s="16">
        <f>Summary_LCIA!AH$32</f>
        <v>8.7036000000000006E-3</v>
      </c>
      <c r="AR47" s="16">
        <f>Summary_LCIA!AI$32</f>
        <v>9.3154999999999996E-4</v>
      </c>
      <c r="AT47" s="16">
        <f t="shared" si="2"/>
        <v>167.79324</v>
      </c>
      <c r="AU47" s="16">
        <f t="shared" si="14"/>
        <v>2447.2977038153999</v>
      </c>
      <c r="AV47" s="16">
        <f t="shared" si="15"/>
        <v>2.6001532799999998</v>
      </c>
      <c r="AW47" s="16">
        <f t="shared" si="16"/>
        <v>165.61064400000001</v>
      </c>
      <c r="AX47" s="16">
        <f t="shared" si="17"/>
        <v>54.268619999999999</v>
      </c>
      <c r="AY47" s="16">
        <f t="shared" si="18"/>
        <v>8.8459331999999993</v>
      </c>
      <c r="AZ47" s="16">
        <f t="shared" si="19"/>
        <v>2.3584381799999998E-2</v>
      </c>
      <c r="BA47" s="16">
        <f t="shared" si="20"/>
        <v>38.008279799999997</v>
      </c>
      <c r="BB47" s="16">
        <f t="shared" si="21"/>
        <v>11.248764000000001</v>
      </c>
      <c r="BC47" s="16">
        <f t="shared" si="3"/>
        <v>7.6943916000000003</v>
      </c>
      <c r="BD47" s="16">
        <f t="shared" si="4"/>
        <v>2.02502442E-2</v>
      </c>
      <c r="BE47" s="16">
        <f t="shared" si="5"/>
        <v>11.5331928</v>
      </c>
      <c r="BF47" s="16">
        <f t="shared" si="6"/>
        <v>-1.0776197400000001E-2</v>
      </c>
      <c r="BG47" s="16">
        <f t="shared" si="7"/>
        <v>2.4138919200000002E-5</v>
      </c>
      <c r="BH47" s="16">
        <f t="shared" si="8"/>
        <v>0.202971552</v>
      </c>
      <c r="BI47" s="16">
        <f t="shared" si="9"/>
        <v>0.43757099399999999</v>
      </c>
      <c r="BJ47" s="16">
        <f t="shared" si="10"/>
        <v>0.41746839600000002</v>
      </c>
      <c r="BK47" s="16">
        <f t="shared" si="11"/>
        <v>2.5265277000000003E-2</v>
      </c>
      <c r="BL47" s="16">
        <f t="shared" si="12"/>
        <v>4.2978376800000007</v>
      </c>
      <c r="BM47" s="16">
        <f t="shared" si="13"/>
        <v>0.45999939000000001</v>
      </c>
      <c r="BN47" s="16"/>
    </row>
    <row r="48" spans="1:66" x14ac:dyDescent="0.25">
      <c r="A48" s="159">
        <v>54</v>
      </c>
      <c r="B48" s="159">
        <v>6</v>
      </c>
      <c r="C48" s="45">
        <v>42.698954000000001</v>
      </c>
      <c r="D48" s="45">
        <v>-83.249512999999993</v>
      </c>
      <c r="E48" s="45" t="s">
        <v>265</v>
      </c>
      <c r="F48" s="159">
        <v>78</v>
      </c>
      <c r="G48" s="45" t="s">
        <v>615</v>
      </c>
      <c r="H48" s="45" t="s">
        <v>616</v>
      </c>
      <c r="I48" s="45">
        <v>42.216248999999998</v>
      </c>
      <c r="J48" s="45">
        <v>-83.355363999999994</v>
      </c>
      <c r="K48" s="45">
        <v>80.862537599999996</v>
      </c>
      <c r="L48" s="45">
        <v>80.61</v>
      </c>
      <c r="M48" s="45" t="s">
        <v>617</v>
      </c>
      <c r="N48" s="159">
        <v>5</v>
      </c>
      <c r="O48" s="159">
        <v>6</v>
      </c>
      <c r="P48" s="45" t="s">
        <v>565</v>
      </c>
      <c r="Q48" s="45" t="s">
        <v>564</v>
      </c>
      <c r="R48" s="45">
        <v>41.98028</v>
      </c>
      <c r="S48" s="45">
        <v>-87.908997900000003</v>
      </c>
      <c r="T48" s="45">
        <v>497.61799999999999</v>
      </c>
      <c r="U48" s="45" t="s">
        <v>617</v>
      </c>
      <c r="V48" s="45" t="s">
        <v>617</v>
      </c>
      <c r="W48" s="45"/>
      <c r="X48" s="22"/>
      <c r="Y48" s="16">
        <f>Summary_LCIA!H$32</f>
        <v>0.33979999999999999</v>
      </c>
      <c r="Z48" s="16">
        <f>Summary_LCIA!Q$32</f>
        <v>4.9560504329999997</v>
      </c>
      <c r="AA48" s="16">
        <f>Summary_LCIA!R$32</f>
        <v>5.2655999999999996E-3</v>
      </c>
      <c r="AB48" s="16">
        <f>Summary_LCIA!S$32</f>
        <v>0.33538000000000001</v>
      </c>
      <c r="AC48" s="16">
        <f>Summary_LCIA!T$32</f>
        <v>0.1099</v>
      </c>
      <c r="AD48" s="16">
        <f>Summary_LCIA!U$32</f>
        <v>1.7913999999999999E-2</v>
      </c>
      <c r="AE48" s="16">
        <f>Summary_LCIA!V$32</f>
        <v>4.7760999999999999E-5</v>
      </c>
      <c r="AF48" s="16">
        <f>Summary_LCIA!W$32</f>
        <v>7.6970999999999998E-2</v>
      </c>
      <c r="AG48" s="16">
        <f>Summary_LCIA!X$32</f>
        <v>2.2780000000000002E-2</v>
      </c>
      <c r="AH48" s="16">
        <f>Summary_LCIA!Y$32</f>
        <v>1.5582E-2</v>
      </c>
      <c r="AI48" s="16">
        <f>Summary_LCIA!Z$32</f>
        <v>4.1009E-5</v>
      </c>
      <c r="AJ48" s="16">
        <f>Summary_LCIA!AA$32</f>
        <v>2.3355999999999998E-2</v>
      </c>
      <c r="AK48" s="16">
        <f>Summary_LCIA!AB$32</f>
        <v>-2.1823000000000001E-5</v>
      </c>
      <c r="AL48" s="16">
        <f>Summary_LCIA!AC$32</f>
        <v>4.8884000000000003E-8</v>
      </c>
      <c r="AM48" s="16">
        <f>Summary_LCIA!AD$32</f>
        <v>4.1103999999999999E-4</v>
      </c>
      <c r="AN48" s="16">
        <f>Summary_LCIA!AE$32</f>
        <v>8.8612999999999995E-4</v>
      </c>
      <c r="AO48" s="16">
        <f>Summary_LCIA!AF$32</f>
        <v>8.4542000000000005E-4</v>
      </c>
      <c r="AP48" s="16">
        <f>Summary_LCIA!AG$32</f>
        <v>5.1165000000000002E-5</v>
      </c>
      <c r="AQ48" s="16">
        <f>Summary_LCIA!AH$32</f>
        <v>8.7036000000000006E-3</v>
      </c>
      <c r="AR48" s="16">
        <f>Summary_LCIA!AI$32</f>
        <v>9.3154999999999996E-4</v>
      </c>
      <c r="AT48" s="16">
        <f>$T48*Y48</f>
        <v>169.09059639999998</v>
      </c>
      <c r="AU48" s="16">
        <f t="shared" si="14"/>
        <v>2466.2199043685937</v>
      </c>
      <c r="AV48" s="16">
        <f t="shared" si="15"/>
        <v>2.6202573407999998</v>
      </c>
      <c r="AW48" s="16">
        <f t="shared" si="16"/>
        <v>166.89112484</v>
      </c>
      <c r="AX48" s="16">
        <f t="shared" si="17"/>
        <v>54.688218200000001</v>
      </c>
      <c r="AY48" s="16">
        <f t="shared" si="18"/>
        <v>8.9143288519999988</v>
      </c>
      <c r="AZ48" s="16">
        <f t="shared" si="19"/>
        <v>2.3766733297999998E-2</v>
      </c>
      <c r="BA48" s="16">
        <f t="shared" si="20"/>
        <v>38.302155077999998</v>
      </c>
      <c r="BB48" s="16">
        <f t="shared" si="21"/>
        <v>11.335738040000001</v>
      </c>
      <c r="BC48" s="16">
        <f t="shared" si="3"/>
        <v>7.7538836760000001</v>
      </c>
      <c r="BD48" s="16">
        <f t="shared" si="4"/>
        <v>2.0406816562E-2</v>
      </c>
      <c r="BE48" s="16">
        <f t="shared" si="5"/>
        <v>11.622366007999998</v>
      </c>
      <c r="BF48" s="16">
        <f t="shared" si="6"/>
        <v>-1.0859517614000001E-2</v>
      </c>
      <c r="BG48" s="16">
        <f t="shared" si="7"/>
        <v>2.4325558312E-5</v>
      </c>
      <c r="BH48" s="16">
        <f t="shared" si="8"/>
        <v>0.20454090272</v>
      </c>
      <c r="BI48" s="16">
        <f t="shared" si="9"/>
        <v>0.44095423833999997</v>
      </c>
      <c r="BJ48" s="16">
        <f t="shared" si="10"/>
        <v>0.42069620956000003</v>
      </c>
      <c r="BK48" s="16">
        <f t="shared" si="11"/>
        <v>2.5460624970000002E-2</v>
      </c>
      <c r="BL48" s="16">
        <f t="shared" si="12"/>
        <v>4.3310680248000004</v>
      </c>
      <c r="BM48" s="16">
        <f t="shared" si="13"/>
        <v>0.46355604789999999</v>
      </c>
      <c r="BN48" s="16"/>
    </row>
    <row r="49" spans="1:66" x14ac:dyDescent="0.25">
      <c r="A49" s="159">
        <v>209</v>
      </c>
      <c r="B49" s="159">
        <v>6</v>
      </c>
      <c r="C49" s="45">
        <v>42.810535999999999</v>
      </c>
      <c r="D49" s="45">
        <v>-83.079087000000001</v>
      </c>
      <c r="E49" s="45" t="s">
        <v>265</v>
      </c>
      <c r="F49" s="159">
        <v>78</v>
      </c>
      <c r="G49" s="45" t="s">
        <v>615</v>
      </c>
      <c r="H49" s="45" t="s">
        <v>616</v>
      </c>
      <c r="I49" s="45">
        <v>42.216248999999998</v>
      </c>
      <c r="J49" s="45">
        <v>-83.355363999999994</v>
      </c>
      <c r="K49" s="45">
        <v>102.2416606</v>
      </c>
      <c r="L49" s="45">
        <v>88.736999999999995</v>
      </c>
      <c r="M49" s="45" t="s">
        <v>617</v>
      </c>
      <c r="N49" s="159">
        <v>5</v>
      </c>
      <c r="O49" s="159">
        <v>6</v>
      </c>
      <c r="P49" s="45" t="s">
        <v>565</v>
      </c>
      <c r="Q49" s="45" t="s">
        <v>564</v>
      </c>
      <c r="R49" s="45">
        <v>41.98028</v>
      </c>
      <c r="S49" s="45">
        <v>-87.908997900000003</v>
      </c>
      <c r="T49" s="45">
        <v>532.41999999999996</v>
      </c>
      <c r="U49" s="45" t="s">
        <v>617</v>
      </c>
      <c r="V49" s="45" t="s">
        <v>569</v>
      </c>
      <c r="W49" s="45" cm="1">
        <f t="array" ref="W49">getDistance(R49,S49,I49,J49)*SA!$B$12</f>
        <v>377.55996592631055</v>
      </c>
      <c r="X49" s="22"/>
      <c r="Y49" s="16">
        <f>Transportation_LCIA!C$61*($W49^Transportation_LCIA!C$60)+Transportation_LCIA!C$62</f>
        <v>0.39177321151276934</v>
      </c>
      <c r="Z49" s="16">
        <f>Transportation_LCIA!D$61*($W49^Transportation_LCIA!D$60)+Transportation_LCIA!D$62</f>
        <v>4.2885469298554302</v>
      </c>
      <c r="AA49" s="16">
        <f>Transportation_LCIA!E$61*($W49^Transportation_LCIA!E$60)+Transportation_LCIA!E$62</f>
        <v>2.3774892800205579E-3</v>
      </c>
      <c r="AB49" s="16">
        <f>Transportation_LCIA!F$61*($W49^Transportation_LCIA!F$60)+Transportation_LCIA!F$62</f>
        <v>0.39177321151276934</v>
      </c>
      <c r="AC49" s="16">
        <f>Transportation_LCIA!G$61*($W49^Transportation_LCIA!G$60)+Transportation_LCIA!G$62</f>
        <v>9.9730740674667376E-2</v>
      </c>
      <c r="AD49" s="16">
        <f>Transportation_LCIA!H$61*($W49^Transportation_LCIA!H$60)+Transportation_LCIA!H$62</f>
        <v>5.5159056743946447E-4</v>
      </c>
      <c r="AE49" s="16">
        <f>Transportation_LCIA!I$61*($W49^Transportation_LCIA!I$60)+Transportation_LCIA!I$62</f>
        <v>1.2988810045312625E-5</v>
      </c>
      <c r="AF49" s="16">
        <f>Transportation_LCIA!J$61*($W49^Transportation_LCIA!J$60)+Transportation_LCIA!J$62</f>
        <v>1.9439626149728245E-2</v>
      </c>
      <c r="AG49" s="16">
        <f>Transportation_LCIA!K$61*($W49^Transportation_LCIA!K$60)+Transportation_LCIA!K$62</f>
        <v>2.2227364305679936E-2</v>
      </c>
      <c r="AH49" s="16">
        <f>Transportation_LCIA!L$61*($W49^Transportation_LCIA!L$60)+Transportation_LCIA!L$62</f>
        <v>4.9406726591070139E-4</v>
      </c>
      <c r="AI49" s="16">
        <f>Transportation_LCIA!M$61*($W49^Transportation_LCIA!M$60)+Transportation_LCIA!M$62</f>
        <v>3.9537528709454031E-4</v>
      </c>
      <c r="AJ49" s="16">
        <f>Transportation_LCIA!N$61*($W49^Transportation_LCIA!N$60)+Transportation_LCIA!N$62</f>
        <v>1.9121741222974152E-3</v>
      </c>
      <c r="AK49" s="16">
        <f>Transportation_LCIA!O$61*($W49^Transportation_LCIA!O$60)+Transportation_LCIA!O$62</f>
        <v>1.0567090816044529E-4</v>
      </c>
      <c r="AL49" s="16">
        <f>Transportation_LCIA!P$61*($W49^Transportation_LCIA!P$60)+Transportation_LCIA!P$62</f>
        <v>5.0935129732250114E-8</v>
      </c>
      <c r="AM49" s="16">
        <f>Transportation_LCIA!Q$61*($W49^Transportation_LCIA!Q$60)+Transportation_LCIA!Q$62</f>
        <v>1.9467109253194182E-4</v>
      </c>
      <c r="AN49" s="16">
        <f>Transportation_LCIA!R$61*($W49^Transportation_LCIA!R$60)+Transportation_LCIA!R$62</f>
        <v>6.2387261985424414E-4</v>
      </c>
      <c r="AO49" s="16">
        <f>Transportation_LCIA!S$61*($W49^Transportation_LCIA!S$60)+Transportation_LCIA!S$62</f>
        <v>9.1068518980920511E-6</v>
      </c>
      <c r="AP49" s="16">
        <f>Transportation_LCIA!T$61*($W49^Transportation_LCIA!T$60)+Transportation_LCIA!T$62</f>
        <v>9.1068518980920511E-6</v>
      </c>
      <c r="AQ49" s="16">
        <f>Transportation_LCIA!U$61*($W49^Transportation_LCIA!U$60)+Transportation_LCIA!U$62</f>
        <v>1.3579254338977325E-3</v>
      </c>
      <c r="AR49" s="16">
        <f>Transportation_LCIA!V$61*($W49^Transportation_LCIA!V$60)+Transportation_LCIA!V$62</f>
        <v>5.0746659917131709E-4</v>
      </c>
      <c r="AT49" s="16">
        <f>$W49*Y49+($L49)*Summary_LCIA!H$32</f>
        <v>178.07071298960244</v>
      </c>
      <c r="AU49" s="16">
        <f>$W49*Z49+($L49)*Summary_LCIA!Q$32</f>
        <v>2058.9686799827209</v>
      </c>
      <c r="AV49" s="16">
        <f>$W49*AA49+($L49)*Summary_LCIA!R$32</f>
        <v>1.3648983187547303</v>
      </c>
      <c r="AW49" s="16">
        <f>$W49*AB49+($L49)*Summary_LCIA!S$32</f>
        <v>177.67849544960245</v>
      </c>
      <c r="AX49" s="16">
        <f>$W49*AC49+($L49)*Summary_LCIA!T$32</f>
        <v>47.406531350933129</v>
      </c>
      <c r="AY49" s="16">
        <f>$W49*AD49+($L49)*Summary_LCIA!U$32</f>
        <v>1.7978931338477184</v>
      </c>
      <c r="AZ49" s="16">
        <f>$W49*AE49+($L49)*Summary_LCIA!V$32</f>
        <v>9.1422225351315556E-3</v>
      </c>
      <c r="BA49" s="16">
        <f>$W49*AF49+($L49)*Summary_LCIA!W$32</f>
        <v>14.169800213711611</v>
      </c>
      <c r="BB49" s="16">
        <f>$W49*AG49+($L49)*Summary_LCIA!X$32</f>
        <v>10.413591769884208</v>
      </c>
      <c r="BC49" s="16">
        <f>$W49*AH49+($L49)*Summary_LCIA!Y$32</f>
        <v>1.5692399540825497</v>
      </c>
      <c r="BD49" s="16">
        <f>$W49*AI49+($L49)*Summary_LCIA!Z$32</f>
        <v>0.15291689555651991</v>
      </c>
      <c r="BE49" s="16">
        <f>$W49*AJ49+($L49)*Summary_LCIA!AA$32</f>
        <v>2.794501768459785</v>
      </c>
      <c r="BF49" s="16">
        <f>$W49*AK49+($L49)*Summary_LCIA!AB$32</f>
        <v>3.7960596933460017E-2</v>
      </c>
      <c r="BG49" s="16">
        <f>$W49*AL49+($L49)*Summary_LCIA!AC$32</f>
        <v>2.3568885354160562E-5</v>
      </c>
      <c r="BH49" s="16">
        <f>$W49*AM49+($L49)*Summary_LCIA!AD$32</f>
        <v>0.1099744675431976</v>
      </c>
      <c r="BI49" s="16">
        <f>$W49*AN49+($L49)*Summary_LCIA!AE$32</f>
        <v>0.3141818429045265</v>
      </c>
      <c r="BJ49" s="16">
        <f>$W49*AO49+($L49)*Summary_LCIA!AF$32</f>
        <v>7.8458417232339595E-2</v>
      </c>
      <c r="BK49" s="16">
        <f>$W49*AP49+($L49)*Summary_LCIA!AG$32</f>
        <v>7.9786112973395905E-3</v>
      </c>
      <c r="BL49" s="16">
        <f>$W49*AQ49+($L49)*Summary_LCIA!AH$32</f>
        <v>1.2850296337528984</v>
      </c>
      <c r="BM49" s="16">
        <f>$W49*AR49+($L49)*Summary_LCIA!AI$32</f>
        <v>0.27426202424186319</v>
      </c>
      <c r="BN49" s="16"/>
    </row>
    <row r="50" spans="1:66" x14ac:dyDescent="0.25">
      <c r="A50" s="159">
        <v>117</v>
      </c>
      <c r="B50" s="159">
        <v>6</v>
      </c>
      <c r="C50" s="45">
        <v>41.720916000000003</v>
      </c>
      <c r="D50" s="45">
        <v>-93.629379999999998</v>
      </c>
      <c r="E50" s="45" t="s">
        <v>265</v>
      </c>
      <c r="F50" s="159">
        <v>121</v>
      </c>
      <c r="G50" s="45" t="s">
        <v>287</v>
      </c>
      <c r="H50" s="45" t="s">
        <v>290</v>
      </c>
      <c r="I50" s="45">
        <v>41.301873000000001</v>
      </c>
      <c r="J50" s="45">
        <v>-95.893741000000006</v>
      </c>
      <c r="K50" s="45">
        <v>200.06094519999999</v>
      </c>
      <c r="L50" s="45">
        <v>235.221</v>
      </c>
      <c r="M50" s="45" t="s">
        <v>617</v>
      </c>
      <c r="N50" s="159">
        <v>5</v>
      </c>
      <c r="O50" s="159">
        <v>6</v>
      </c>
      <c r="P50" s="45" t="s">
        <v>565</v>
      </c>
      <c r="Q50" s="45" t="s">
        <v>564</v>
      </c>
      <c r="R50" s="45">
        <v>41.98028</v>
      </c>
      <c r="S50" s="45">
        <v>-87.908997900000003</v>
      </c>
      <c r="T50" s="45">
        <v>535.13599999999997</v>
      </c>
      <c r="U50" s="45" t="s">
        <v>617</v>
      </c>
      <c r="V50" s="45" t="s">
        <v>569</v>
      </c>
      <c r="W50" s="45" cm="1">
        <f t="array" ref="W50">getDistance(R50,S50,I50,J50)*SA!$B$12</f>
        <v>669.26749072627524</v>
      </c>
      <c r="X50" s="22"/>
      <c r="Y50" s="16">
        <f>Transportation_LCIA!C$61*($W50^Transportation_LCIA!C$60)+Transportation_LCIA!C$62</f>
        <v>0.28504039049137575</v>
      </c>
      <c r="Z50" s="16">
        <f>Transportation_LCIA!D$61*($W50^Transportation_LCIA!D$60)+Transportation_LCIA!D$62</f>
        <v>3.0041649469674656</v>
      </c>
      <c r="AA50" s="16">
        <f>Transportation_LCIA!E$61*($W50^Transportation_LCIA!E$60)+Transportation_LCIA!E$62</f>
        <v>1.525706097435096E-3</v>
      </c>
      <c r="AB50" s="16">
        <f>Transportation_LCIA!F$61*($W50^Transportation_LCIA!F$60)+Transportation_LCIA!F$62</f>
        <v>0.28504039049137575</v>
      </c>
      <c r="AC50" s="16">
        <f>Transportation_LCIA!G$61*($W50^Transportation_LCIA!G$60)+Transportation_LCIA!G$62</f>
        <v>7.0068758885027033E-2</v>
      </c>
      <c r="AD50" s="16">
        <f>Transportation_LCIA!H$61*($W50^Transportation_LCIA!H$60)+Transportation_LCIA!H$62</f>
        <v>3.6107816379944279E-4</v>
      </c>
      <c r="AE50" s="16">
        <f>Transportation_LCIA!I$61*($W50^Transportation_LCIA!I$60)+Transportation_LCIA!I$62</f>
        <v>8.0591675714929097E-6</v>
      </c>
      <c r="AF50" s="16">
        <f>Transportation_LCIA!J$61*($W50^Transportation_LCIA!J$60)+Transportation_LCIA!J$62</f>
        <v>1.1964774828826928E-2</v>
      </c>
      <c r="AG50" s="16">
        <f>Transportation_LCIA!K$61*($W50^Transportation_LCIA!K$60)+Transportation_LCIA!K$62</f>
        <v>1.5195002827775642E-2</v>
      </c>
      <c r="AH50" s="16">
        <f>Transportation_LCIA!L$61*($W50^Transportation_LCIA!L$60)+Transportation_LCIA!L$62</f>
        <v>3.1754527567534542E-4</v>
      </c>
      <c r="AI50" s="16">
        <f>Transportation_LCIA!M$61*($W50^Transportation_LCIA!M$60)+Transportation_LCIA!M$62</f>
        <v>2.9013540374786794E-4</v>
      </c>
      <c r="AJ50" s="16">
        <f>Transportation_LCIA!N$61*($W50^Transportation_LCIA!N$60)+Transportation_LCIA!N$62</f>
        <v>1.2730376617698762E-3</v>
      </c>
      <c r="AK50" s="16">
        <f>Transportation_LCIA!O$61*($W50^Transportation_LCIA!O$60)+Transportation_LCIA!O$62</f>
        <v>7.4124631538667591E-5</v>
      </c>
      <c r="AL50" s="16">
        <f>Transportation_LCIA!P$61*($W50^Transportation_LCIA!P$60)+Transportation_LCIA!P$62</f>
        <v>3.5802611393451831E-8</v>
      </c>
      <c r="AM50" s="16">
        <f>Transportation_LCIA!Q$61*($W50^Transportation_LCIA!Q$60)+Transportation_LCIA!Q$62</f>
        <v>1.2535917081520263E-4</v>
      </c>
      <c r="AN50" s="16">
        <f>Transportation_LCIA!R$61*($W50^Transportation_LCIA!R$60)+Transportation_LCIA!R$62</f>
        <v>3.8732436662072014E-4</v>
      </c>
      <c r="AO50" s="16">
        <f>Transportation_LCIA!S$61*($W50^Transportation_LCIA!S$60)+Transportation_LCIA!S$62</f>
        <v>5.7538657024500324E-6</v>
      </c>
      <c r="AP50" s="16">
        <f>Transportation_LCIA!T$61*($W50^Transportation_LCIA!T$60)+Transportation_LCIA!T$62</f>
        <v>5.7538657024500324E-6</v>
      </c>
      <c r="AQ50" s="16">
        <f>Transportation_LCIA!U$61*($W50^Transportation_LCIA!U$60)+Transportation_LCIA!U$62</f>
        <v>8.3645465454341723E-4</v>
      </c>
      <c r="AR50" s="16">
        <f>Transportation_LCIA!V$61*($W50^Transportation_LCIA!V$60)+Transportation_LCIA!V$62</f>
        <v>3.2616855470196486E-4</v>
      </c>
      <c r="AT50" s="16">
        <f>$W50*Y50+($L50)*Summary_LCIA!H$32</f>
        <v>270.69636269980072</v>
      </c>
      <c r="AU50" s="16">
        <f>$W50*Z50+($L50)*Summary_LCIA!Q$32</f>
        <v>3176.3570746854425</v>
      </c>
      <c r="AV50" s="16">
        <f>$W50*AA50+($L50)*Summary_LCIA!R$32</f>
        <v>2.2596851890161647</v>
      </c>
      <c r="AW50" s="16">
        <f>$W50*AB50+($L50)*Summary_LCIA!S$32</f>
        <v>269.6566858798007</v>
      </c>
      <c r="AX50" s="16">
        <f>$W50*AC50+($L50)*Summary_LCIA!T$32</f>
        <v>72.745530337286453</v>
      </c>
      <c r="AY50" s="16">
        <f>$W50*AD50+($L50)*Summary_LCIA!U$32</f>
        <v>4.4554068706421042</v>
      </c>
      <c r="AZ50" s="16">
        <f>$W50*AE50+($L50)*Summary_LCIA!V$32</f>
        <v>1.662812903891563E-2</v>
      </c>
      <c r="BA50" s="16">
        <f>$W50*AF50+($L50)*Summary_LCIA!W$32</f>
        <v>26.112830417793898</v>
      </c>
      <c r="BB50" s="16">
        <f>$W50*AG50+($L50)*Summary_LCIA!X$32</f>
        <v>15.527855794124061</v>
      </c>
      <c r="BC50" s="16">
        <f>$W50*AH50+($L50)*Summary_LCIA!Y$32</f>
        <v>3.8777363518432217</v>
      </c>
      <c r="BD50" s="16">
        <f>$W50*AI50+($L50)*Summary_LCIA!Z$32</f>
        <v>0.20382437162619033</v>
      </c>
      <c r="BE50" s="16">
        <f>$W50*AJ50+($L50)*Summary_LCIA!AA$32</f>
        <v>6.3458243974927697</v>
      </c>
      <c r="BF50" s="16">
        <f>$W50*AK50+($L50)*Summary_LCIA!AB$32</f>
        <v>4.4475978267893776E-2</v>
      </c>
      <c r="BG50" s="16">
        <f>$W50*AL50+($L50)*Summary_LCIA!AC$32</f>
        <v>3.5460067252743457E-5</v>
      </c>
      <c r="BH50" s="16">
        <f>$W50*AM50+($L50)*Summary_LCIA!AD$32</f>
        <v>0.18058405753101719</v>
      </c>
      <c r="BI50" s="16">
        <f>$W50*AN50+($L50)*Summary_LCIA!AE$32</f>
        <v>0.46765999167539324</v>
      </c>
      <c r="BJ50" s="16">
        <f>$W50*AO50+($L50)*Summary_LCIA!AF$32</f>
        <v>0.20271141308065474</v>
      </c>
      <c r="BK50" s="16">
        <f>$W50*AP50+($L50)*Summary_LCIA!AG$32</f>
        <v>1.5885957725654713E-2</v>
      </c>
      <c r="BL50" s="16">
        <f>$W50*AQ50+($L50)*Summary_LCIA!AH$32</f>
        <v>2.6070814033525864</v>
      </c>
      <c r="BM50" s="16">
        <f>$W50*AR50+($L50)*Summary_LCIA!AI$32</f>
        <v>0.43741413270919982</v>
      </c>
      <c r="BN50" s="16"/>
    </row>
    <row r="51" spans="1:66" x14ac:dyDescent="0.25">
      <c r="A51" s="159">
        <v>118</v>
      </c>
      <c r="B51" s="159">
        <v>6</v>
      </c>
      <c r="C51" s="45">
        <v>41.720916000000003</v>
      </c>
      <c r="D51" s="45">
        <v>-93.629379999999998</v>
      </c>
      <c r="E51" s="45" t="s">
        <v>265</v>
      </c>
      <c r="F51" s="159">
        <v>121</v>
      </c>
      <c r="G51" s="45" t="s">
        <v>287</v>
      </c>
      <c r="H51" s="45" t="s">
        <v>290</v>
      </c>
      <c r="I51" s="45">
        <v>41.301873000000001</v>
      </c>
      <c r="J51" s="45">
        <v>-95.893741000000006</v>
      </c>
      <c r="K51" s="45">
        <v>200.06094519999999</v>
      </c>
      <c r="L51" s="45">
        <v>235.221</v>
      </c>
      <c r="M51" s="45" t="s">
        <v>617</v>
      </c>
      <c r="N51" s="159">
        <v>5</v>
      </c>
      <c r="O51" s="159">
        <v>6</v>
      </c>
      <c r="P51" s="45" t="s">
        <v>565</v>
      </c>
      <c r="Q51" s="45" t="s">
        <v>564</v>
      </c>
      <c r="R51" s="45">
        <v>41.98028</v>
      </c>
      <c r="S51" s="45">
        <v>-87.908997900000003</v>
      </c>
      <c r="T51" s="45">
        <v>535.13599999999997</v>
      </c>
      <c r="U51" s="45" t="s">
        <v>617</v>
      </c>
      <c r="V51" s="45" t="s">
        <v>569</v>
      </c>
      <c r="W51" s="45" cm="1">
        <f t="array" ref="W51">getDistance(R51,S51,I51,J51)*SA!$B$12</f>
        <v>669.26749072627524</v>
      </c>
      <c r="X51" s="22"/>
      <c r="Y51" s="16">
        <f>Transportation_LCIA!C$61*($W51^Transportation_LCIA!C$60)+Transportation_LCIA!C$62</f>
        <v>0.28504039049137575</v>
      </c>
      <c r="Z51" s="16">
        <f>Transportation_LCIA!D$61*($W51^Transportation_LCIA!D$60)+Transportation_LCIA!D$62</f>
        <v>3.0041649469674656</v>
      </c>
      <c r="AA51" s="16">
        <f>Transportation_LCIA!E$61*($W51^Transportation_LCIA!E$60)+Transportation_LCIA!E$62</f>
        <v>1.525706097435096E-3</v>
      </c>
      <c r="AB51" s="16">
        <f>Transportation_LCIA!F$61*($W51^Transportation_LCIA!F$60)+Transportation_LCIA!F$62</f>
        <v>0.28504039049137575</v>
      </c>
      <c r="AC51" s="16">
        <f>Transportation_LCIA!G$61*($W51^Transportation_LCIA!G$60)+Transportation_LCIA!G$62</f>
        <v>7.0068758885027033E-2</v>
      </c>
      <c r="AD51" s="16">
        <f>Transportation_LCIA!H$61*($W51^Transportation_LCIA!H$60)+Transportation_LCIA!H$62</f>
        <v>3.6107816379944279E-4</v>
      </c>
      <c r="AE51" s="16">
        <f>Transportation_LCIA!I$61*($W51^Transportation_LCIA!I$60)+Transportation_LCIA!I$62</f>
        <v>8.0591675714929097E-6</v>
      </c>
      <c r="AF51" s="16">
        <f>Transportation_LCIA!J$61*($W51^Transportation_LCIA!J$60)+Transportation_LCIA!J$62</f>
        <v>1.1964774828826928E-2</v>
      </c>
      <c r="AG51" s="16">
        <f>Transportation_LCIA!K$61*($W51^Transportation_LCIA!K$60)+Transportation_LCIA!K$62</f>
        <v>1.5195002827775642E-2</v>
      </c>
      <c r="AH51" s="16">
        <f>Transportation_LCIA!L$61*($W51^Transportation_LCIA!L$60)+Transportation_LCIA!L$62</f>
        <v>3.1754527567534542E-4</v>
      </c>
      <c r="AI51" s="16">
        <f>Transportation_LCIA!M$61*($W51^Transportation_LCIA!M$60)+Transportation_LCIA!M$62</f>
        <v>2.9013540374786794E-4</v>
      </c>
      <c r="AJ51" s="16">
        <f>Transportation_LCIA!N$61*($W51^Transportation_LCIA!N$60)+Transportation_LCIA!N$62</f>
        <v>1.2730376617698762E-3</v>
      </c>
      <c r="AK51" s="16">
        <f>Transportation_LCIA!O$61*($W51^Transportation_LCIA!O$60)+Transportation_LCIA!O$62</f>
        <v>7.4124631538667591E-5</v>
      </c>
      <c r="AL51" s="16">
        <f>Transportation_LCIA!P$61*($W51^Transportation_LCIA!P$60)+Transportation_LCIA!P$62</f>
        <v>3.5802611393451831E-8</v>
      </c>
      <c r="AM51" s="16">
        <f>Transportation_LCIA!Q$61*($W51^Transportation_LCIA!Q$60)+Transportation_LCIA!Q$62</f>
        <v>1.2535917081520263E-4</v>
      </c>
      <c r="AN51" s="16">
        <f>Transportation_LCIA!R$61*($W51^Transportation_LCIA!R$60)+Transportation_LCIA!R$62</f>
        <v>3.8732436662072014E-4</v>
      </c>
      <c r="AO51" s="16">
        <f>Transportation_LCIA!S$61*($W51^Transportation_LCIA!S$60)+Transportation_LCIA!S$62</f>
        <v>5.7538657024500324E-6</v>
      </c>
      <c r="AP51" s="16">
        <f>Transportation_LCIA!T$61*($W51^Transportation_LCIA!T$60)+Transportation_LCIA!T$62</f>
        <v>5.7538657024500324E-6</v>
      </c>
      <c r="AQ51" s="16">
        <f>Transportation_LCIA!U$61*($W51^Transportation_LCIA!U$60)+Transportation_LCIA!U$62</f>
        <v>8.3645465454341723E-4</v>
      </c>
      <c r="AR51" s="16">
        <f>Transportation_LCIA!V$61*($W51^Transportation_LCIA!V$60)+Transportation_LCIA!V$62</f>
        <v>3.2616855470196486E-4</v>
      </c>
      <c r="AT51" s="16">
        <f>$W51*Y51+($L51)*Summary_LCIA!H$32</f>
        <v>270.69636269980072</v>
      </c>
      <c r="AU51" s="16">
        <f>$W51*Z51+($L51)*Summary_LCIA!Q$32</f>
        <v>3176.3570746854425</v>
      </c>
      <c r="AV51" s="16">
        <f>$W51*AA51+($L51)*Summary_LCIA!R$32</f>
        <v>2.2596851890161647</v>
      </c>
      <c r="AW51" s="16">
        <f>$W51*AB51+($L51)*Summary_LCIA!S$32</f>
        <v>269.6566858798007</v>
      </c>
      <c r="AX51" s="16">
        <f>$W51*AC51+($L51)*Summary_LCIA!T$32</f>
        <v>72.745530337286453</v>
      </c>
      <c r="AY51" s="16">
        <f>$W51*AD51+($L51)*Summary_LCIA!U$32</f>
        <v>4.4554068706421042</v>
      </c>
      <c r="AZ51" s="16">
        <f>$W51*AE51+($L51)*Summary_LCIA!V$32</f>
        <v>1.662812903891563E-2</v>
      </c>
      <c r="BA51" s="16">
        <f>$W51*AF51+($L51)*Summary_LCIA!W$32</f>
        <v>26.112830417793898</v>
      </c>
      <c r="BB51" s="16">
        <f>$W51*AG51+($L51)*Summary_LCIA!X$32</f>
        <v>15.527855794124061</v>
      </c>
      <c r="BC51" s="16">
        <f>$W51*AH51+($L51)*Summary_LCIA!Y$32</f>
        <v>3.8777363518432217</v>
      </c>
      <c r="BD51" s="16">
        <f>$W51*AI51+($L51)*Summary_LCIA!Z$32</f>
        <v>0.20382437162619033</v>
      </c>
      <c r="BE51" s="16">
        <f>$W51*AJ51+($L51)*Summary_LCIA!AA$32</f>
        <v>6.3458243974927697</v>
      </c>
      <c r="BF51" s="16">
        <f>$W51*AK51+($L51)*Summary_LCIA!AB$32</f>
        <v>4.4475978267893776E-2</v>
      </c>
      <c r="BG51" s="16">
        <f>$W51*AL51+($L51)*Summary_LCIA!AC$32</f>
        <v>3.5460067252743457E-5</v>
      </c>
      <c r="BH51" s="16">
        <f>$W51*AM51+($L51)*Summary_LCIA!AD$32</f>
        <v>0.18058405753101719</v>
      </c>
      <c r="BI51" s="16">
        <f>$W51*AN51+($L51)*Summary_LCIA!AE$32</f>
        <v>0.46765999167539324</v>
      </c>
      <c r="BJ51" s="16">
        <f>$W51*AO51+($L51)*Summary_LCIA!AF$32</f>
        <v>0.20271141308065474</v>
      </c>
      <c r="BK51" s="16">
        <f>$W51*AP51+($L51)*Summary_LCIA!AG$32</f>
        <v>1.5885957725654713E-2</v>
      </c>
      <c r="BL51" s="16">
        <f>$W51*AQ51+($L51)*Summary_LCIA!AH$32</f>
        <v>2.6070814033525864</v>
      </c>
      <c r="BM51" s="16">
        <f>$W51*AR51+($L51)*Summary_LCIA!AI$32</f>
        <v>0.43741413270919982</v>
      </c>
      <c r="BN51" s="16"/>
    </row>
    <row r="52" spans="1:66" x14ac:dyDescent="0.25">
      <c r="A52" s="159">
        <v>90</v>
      </c>
      <c r="B52" s="159">
        <v>6</v>
      </c>
      <c r="C52" s="45">
        <v>39.563648000000001</v>
      </c>
      <c r="D52" s="45">
        <v>-84.231724</v>
      </c>
      <c r="E52" s="45" t="s">
        <v>265</v>
      </c>
      <c r="F52" s="159">
        <v>109</v>
      </c>
      <c r="G52" s="45" t="s">
        <v>273</v>
      </c>
      <c r="H52" s="45" t="s">
        <v>665</v>
      </c>
      <c r="I52" s="45">
        <v>39.053274999999999</v>
      </c>
      <c r="J52" s="45">
        <v>-84.663016999999996</v>
      </c>
      <c r="K52" s="45">
        <v>94.489521969999998</v>
      </c>
      <c r="L52" s="45">
        <v>86.263999999999996</v>
      </c>
      <c r="M52" s="45" t="s">
        <v>617</v>
      </c>
      <c r="N52" s="159">
        <v>5</v>
      </c>
      <c r="O52" s="159">
        <v>6</v>
      </c>
      <c r="P52" s="45" t="s">
        <v>565</v>
      </c>
      <c r="Q52" s="45" t="s">
        <v>564</v>
      </c>
      <c r="R52" s="45">
        <v>41.98028</v>
      </c>
      <c r="S52" s="45">
        <v>-87.908997900000003</v>
      </c>
      <c r="T52" s="45">
        <v>538.053</v>
      </c>
      <c r="U52" s="45" t="s">
        <v>617</v>
      </c>
      <c r="V52" s="45" t="s">
        <v>569</v>
      </c>
      <c r="W52" s="45" cm="1">
        <f t="array" ref="W52">getDistance(R52,S52,I52,J52)*SA!$B$12</f>
        <v>426.22298474711437</v>
      </c>
      <c r="X52" s="22"/>
      <c r="Y52" s="16">
        <f>Transportation_LCIA!C$61*($W52^Transportation_LCIA!C$60)+Transportation_LCIA!C$62</f>
        <v>0.36470937059724018</v>
      </c>
      <c r="Z52" s="16">
        <f>Transportation_LCIA!D$61*($W52^Transportation_LCIA!D$60)+Transportation_LCIA!D$62</f>
        <v>3.9599843643856643</v>
      </c>
      <c r="AA52" s="16">
        <f>Transportation_LCIA!E$61*($W52^Transportation_LCIA!E$60)+Transportation_LCIA!E$62</f>
        <v>2.1590522921276657E-3</v>
      </c>
      <c r="AB52" s="16">
        <f>Transportation_LCIA!F$61*($W52^Transportation_LCIA!F$60)+Transportation_LCIA!F$62</f>
        <v>0.36470937059724018</v>
      </c>
      <c r="AC52" s="16">
        <f>Transportation_LCIA!G$61*($W52^Transportation_LCIA!G$60)+Transportation_LCIA!G$62</f>
        <v>9.2146692060025251E-2</v>
      </c>
      <c r="AD52" s="16">
        <f>Transportation_LCIA!H$61*($W52^Transportation_LCIA!H$60)+Transportation_LCIA!H$62</f>
        <v>5.0249575772855042E-4</v>
      </c>
      <c r="AE52" s="16">
        <f>Transportation_LCIA!I$61*($W52^Transportation_LCIA!I$60)+Transportation_LCIA!I$62</f>
        <v>1.1708483079934808E-5</v>
      </c>
      <c r="AF52" s="16">
        <f>Transportation_LCIA!J$61*($W52^Transportation_LCIA!J$60)+Transportation_LCIA!J$62</f>
        <v>1.7488363461505577E-2</v>
      </c>
      <c r="AG52" s="16">
        <f>Transportation_LCIA!K$61*($W52^Transportation_LCIA!K$60)+Transportation_LCIA!K$62</f>
        <v>2.0421310133522361E-2</v>
      </c>
      <c r="AH52" s="16">
        <f>Transportation_LCIA!L$61*($W52^Transportation_LCIA!L$60)+Transportation_LCIA!L$62</f>
        <v>4.4847627034344826E-4</v>
      </c>
      <c r="AI52" s="16">
        <f>Transportation_LCIA!M$61*($W52^Transportation_LCIA!M$60)+Transportation_LCIA!M$62</f>
        <v>3.6824791490361742E-4</v>
      </c>
      <c r="AJ52" s="16">
        <f>Transportation_LCIA!N$61*($W52^Transportation_LCIA!N$60)+Transportation_LCIA!N$62</f>
        <v>1.7475719590774809E-3</v>
      </c>
      <c r="AK52" s="16">
        <f>Transportation_LCIA!O$61*($W52^Transportation_LCIA!O$60)+Transportation_LCIA!O$62</f>
        <v>9.7603127192632193E-5</v>
      </c>
      <c r="AL52" s="16">
        <f>Transportation_LCIA!P$61*($W52^Transportation_LCIA!P$60)+Transportation_LCIA!P$62</f>
        <v>4.7067607312152108E-8</v>
      </c>
      <c r="AM52" s="16">
        <f>Transportation_LCIA!Q$61*($W52^Transportation_LCIA!Q$60)+Transportation_LCIA!Q$62</f>
        <v>1.7674817037411348E-4</v>
      </c>
      <c r="AN52" s="16">
        <f>Transportation_LCIA!R$61*($W52^Transportation_LCIA!R$60)+Transportation_LCIA!R$62</f>
        <v>5.6242472670821938E-4</v>
      </c>
      <c r="AO52" s="16">
        <f>Transportation_LCIA!S$61*($W52^Transportation_LCIA!S$60)+Transportation_LCIA!S$62</f>
        <v>8.2361540379476893E-6</v>
      </c>
      <c r="AP52" s="16">
        <f>Transportation_LCIA!T$61*($W52^Transportation_LCIA!T$60)+Transportation_LCIA!T$62</f>
        <v>8.2361540379476893E-6</v>
      </c>
      <c r="AQ52" s="16">
        <f>Transportation_LCIA!U$61*($W52^Transportation_LCIA!U$60)+Transportation_LCIA!U$62</f>
        <v>1.2222632354241475E-3</v>
      </c>
      <c r="AR52" s="16">
        <f>Transportation_LCIA!V$61*($W52^Transportation_LCIA!V$60)+Transportation_LCIA!V$62</f>
        <v>4.6051342935052081E-4</v>
      </c>
      <c r="AT52" s="16">
        <f>$W52*Y52+($L52)*Summary_LCIA!H$32</f>
        <v>184.76002370119718</v>
      </c>
      <c r="AU52" s="16">
        <f>$W52*Z52+($L52)*Summary_LCIA!Q$32</f>
        <v>2115.3650898926744</v>
      </c>
      <c r="AV52" s="16">
        <f>$W52*AA52+($L52)*Summary_LCIA!R$32</f>
        <v>1.3744694305757523</v>
      </c>
      <c r="AW52" s="16">
        <f>$W52*AB52+($L52)*Summary_LCIA!S$32</f>
        <v>184.37873682119718</v>
      </c>
      <c r="AX52" s="16">
        <f>$W52*AC52+($L52)*Summary_LCIA!T$32</f>
        <v>48.755451724397183</v>
      </c>
      <c r="AY52" s="16">
        <f>$W52*AD52+($L52)*Summary_LCIA!U$32</f>
        <v>1.7595085376818256</v>
      </c>
      <c r="AZ52" s="16">
        <f>$W52*AE52+($L52)*Summary_LCIA!V$32</f>
        <v>9.110479509190899E-3</v>
      </c>
      <c r="BA52" s="16">
        <f>$W52*AF52+($L52)*Summary_LCIA!W$32</f>
        <v>14.093768816905282</v>
      </c>
      <c r="BB52" s="16">
        <f>$W52*AG52+($L52)*Summary_LCIA!X$32</f>
        <v>10.669125677556393</v>
      </c>
      <c r="BC52" s="16">
        <f>$W52*AH52+($L52)*Summary_LCIA!Y$32</f>
        <v>1.5353165425340383</v>
      </c>
      <c r="BD52" s="16">
        <f>$W52*AI52+($L52)*Summary_LCIA!Z$32</f>
        <v>0.1604933257931212</v>
      </c>
      <c r="BE52" s="16">
        <f>$W52*AJ52+($L52)*Summary_LCIA!AA$32</f>
        <v>2.7596373204583657</v>
      </c>
      <c r="BF52" s="16">
        <f>$W52*AK52+($L52)*Summary_LCIA!AB$32</f>
        <v>3.9718156920695934E-2</v>
      </c>
      <c r="BG52" s="16">
        <f>$W52*AL52+($L52)*Summary_LCIA!AC$32</f>
        <v>2.4278225449490579E-5</v>
      </c>
      <c r="BH52" s="16">
        <f>$W52*AM52+($L52)*Summary_LCIA!AD$32</f>
        <v>0.11079208728544615</v>
      </c>
      <c r="BI52" s="16">
        <f>$W52*AN52+($L52)*Summary_LCIA!AE$32</f>
        <v>0.31615946403315737</v>
      </c>
      <c r="BJ52" s="16">
        <f>$W52*AO52+($L52)*Summary_LCIA!AF$32</f>
        <v>7.6439749036891061E-2</v>
      </c>
      <c r="BK52" s="16">
        <f>$W52*AP52+($L52)*Summary_LCIA!AG$32</f>
        <v>7.9241357168910627E-3</v>
      </c>
      <c r="BL52" s="16">
        <f>$W52*AQ52+($L52)*Summary_LCIA!AH$32</f>
        <v>1.271764034749145</v>
      </c>
      <c r="BM52" s="16">
        <f>$W52*AR52+($L52)*Summary_LCIA!AI$32</f>
        <v>0.27664063757390833</v>
      </c>
      <c r="BN52" s="16"/>
    </row>
    <row r="53" spans="1:66" x14ac:dyDescent="0.25">
      <c r="A53" s="159">
        <v>349</v>
      </c>
      <c r="B53" s="159">
        <v>6</v>
      </c>
      <c r="C53" s="45">
        <v>39.552281000000001</v>
      </c>
      <c r="D53" s="45">
        <v>-84.233271999999999</v>
      </c>
      <c r="E53" s="45" t="s">
        <v>265</v>
      </c>
      <c r="F53" s="159">
        <v>109</v>
      </c>
      <c r="G53" s="45" t="s">
        <v>273</v>
      </c>
      <c r="H53" s="45" t="s">
        <v>665</v>
      </c>
      <c r="I53" s="45">
        <v>39.053274999999999</v>
      </c>
      <c r="J53" s="45">
        <v>-84.663016999999996</v>
      </c>
      <c r="K53" s="45">
        <v>92.693861600000005</v>
      </c>
      <c r="L53" s="45">
        <v>85.906000000000006</v>
      </c>
      <c r="M53" s="45" t="s">
        <v>617</v>
      </c>
      <c r="N53" s="159">
        <v>5</v>
      </c>
      <c r="O53" s="159">
        <v>6</v>
      </c>
      <c r="P53" s="45" t="s">
        <v>565</v>
      </c>
      <c r="Q53" s="45" t="s">
        <v>564</v>
      </c>
      <c r="R53" s="45">
        <v>41.98028</v>
      </c>
      <c r="S53" s="45">
        <v>-87.908997900000003</v>
      </c>
      <c r="T53" s="45">
        <v>539.17899999999997</v>
      </c>
      <c r="U53" s="45" t="s">
        <v>617</v>
      </c>
      <c r="V53" s="45" t="s">
        <v>569</v>
      </c>
      <c r="W53" s="45" cm="1">
        <f t="array" ref="W53">getDistance(R53,S53,I53,J53)*SA!$B$12</f>
        <v>426.22298474711437</v>
      </c>
      <c r="X53" s="22"/>
      <c r="Y53" s="16">
        <f>Transportation_LCIA!C$61*($W53^Transportation_LCIA!C$60)+Transportation_LCIA!C$62</f>
        <v>0.36470937059724018</v>
      </c>
      <c r="Z53" s="16">
        <f>Transportation_LCIA!D$61*($W53^Transportation_LCIA!D$60)+Transportation_LCIA!D$62</f>
        <v>3.9599843643856643</v>
      </c>
      <c r="AA53" s="16">
        <f>Transportation_LCIA!E$61*($W53^Transportation_LCIA!E$60)+Transportation_LCIA!E$62</f>
        <v>2.1590522921276657E-3</v>
      </c>
      <c r="AB53" s="16">
        <f>Transportation_LCIA!F$61*($W53^Transportation_LCIA!F$60)+Transportation_LCIA!F$62</f>
        <v>0.36470937059724018</v>
      </c>
      <c r="AC53" s="16">
        <f>Transportation_LCIA!G$61*($W53^Transportation_LCIA!G$60)+Transportation_LCIA!G$62</f>
        <v>9.2146692060025251E-2</v>
      </c>
      <c r="AD53" s="16">
        <f>Transportation_LCIA!H$61*($W53^Transportation_LCIA!H$60)+Transportation_LCIA!H$62</f>
        <v>5.0249575772855042E-4</v>
      </c>
      <c r="AE53" s="16">
        <f>Transportation_LCIA!I$61*($W53^Transportation_LCIA!I$60)+Transportation_LCIA!I$62</f>
        <v>1.1708483079934808E-5</v>
      </c>
      <c r="AF53" s="16">
        <f>Transportation_LCIA!J$61*($W53^Transportation_LCIA!J$60)+Transportation_LCIA!J$62</f>
        <v>1.7488363461505577E-2</v>
      </c>
      <c r="AG53" s="16">
        <f>Transportation_LCIA!K$61*($W53^Transportation_LCIA!K$60)+Transportation_LCIA!K$62</f>
        <v>2.0421310133522361E-2</v>
      </c>
      <c r="AH53" s="16">
        <f>Transportation_LCIA!L$61*($W53^Transportation_LCIA!L$60)+Transportation_LCIA!L$62</f>
        <v>4.4847627034344826E-4</v>
      </c>
      <c r="AI53" s="16">
        <f>Transportation_LCIA!M$61*($W53^Transportation_LCIA!M$60)+Transportation_LCIA!M$62</f>
        <v>3.6824791490361742E-4</v>
      </c>
      <c r="AJ53" s="16">
        <f>Transportation_LCIA!N$61*($W53^Transportation_LCIA!N$60)+Transportation_LCIA!N$62</f>
        <v>1.7475719590774809E-3</v>
      </c>
      <c r="AK53" s="16">
        <f>Transportation_LCIA!O$61*($W53^Transportation_LCIA!O$60)+Transportation_LCIA!O$62</f>
        <v>9.7603127192632193E-5</v>
      </c>
      <c r="AL53" s="16">
        <f>Transportation_LCIA!P$61*($W53^Transportation_LCIA!P$60)+Transportation_LCIA!P$62</f>
        <v>4.7067607312152108E-8</v>
      </c>
      <c r="AM53" s="16">
        <f>Transportation_LCIA!Q$61*($W53^Transportation_LCIA!Q$60)+Transportation_LCIA!Q$62</f>
        <v>1.7674817037411348E-4</v>
      </c>
      <c r="AN53" s="16">
        <f>Transportation_LCIA!R$61*($W53^Transportation_LCIA!R$60)+Transportation_LCIA!R$62</f>
        <v>5.6242472670821938E-4</v>
      </c>
      <c r="AO53" s="16">
        <f>Transportation_LCIA!S$61*($W53^Transportation_LCIA!S$60)+Transportation_LCIA!S$62</f>
        <v>8.2361540379476893E-6</v>
      </c>
      <c r="AP53" s="16">
        <f>Transportation_LCIA!T$61*($W53^Transportation_LCIA!T$60)+Transportation_LCIA!T$62</f>
        <v>8.2361540379476893E-6</v>
      </c>
      <c r="AQ53" s="16">
        <f>Transportation_LCIA!U$61*($W53^Transportation_LCIA!U$60)+Transportation_LCIA!U$62</f>
        <v>1.2222632354241475E-3</v>
      </c>
      <c r="AR53" s="16">
        <f>Transportation_LCIA!V$61*($W53^Transportation_LCIA!V$60)+Transportation_LCIA!V$62</f>
        <v>4.6051342935052081E-4</v>
      </c>
      <c r="AT53" s="16">
        <f>$W53*Y53+($L53)*Summary_LCIA!H$32</f>
        <v>184.63837530119719</v>
      </c>
      <c r="AU53" s="16">
        <f>$W53*Z53+($L53)*Summary_LCIA!Q$32</f>
        <v>2113.5908238376605</v>
      </c>
      <c r="AV53" s="16">
        <f>$W53*AA53+($L53)*Summary_LCIA!R$32</f>
        <v>1.3725843457757523</v>
      </c>
      <c r="AW53" s="16">
        <f>$W53*AB53+($L53)*Summary_LCIA!S$32</f>
        <v>184.2586707811972</v>
      </c>
      <c r="AX53" s="16">
        <f>$W53*AC53+($L53)*Summary_LCIA!T$32</f>
        <v>48.716107524397188</v>
      </c>
      <c r="AY53" s="16">
        <f>$W53*AD53+($L53)*Summary_LCIA!U$32</f>
        <v>1.7530953256818258</v>
      </c>
      <c r="AZ53" s="16">
        <f>$W53*AE53+($L53)*Summary_LCIA!V$32</f>
        <v>9.0933810711909015E-3</v>
      </c>
      <c r="BA53" s="16">
        <f>$W53*AF53+($L53)*Summary_LCIA!W$32</f>
        <v>14.066213198905285</v>
      </c>
      <c r="BB53" s="16">
        <f>$W53*AG53+($L53)*Summary_LCIA!X$32</f>
        <v>10.660970437556394</v>
      </c>
      <c r="BC53" s="16">
        <f>$W53*AH53+($L53)*Summary_LCIA!Y$32</f>
        <v>1.5297381865340385</v>
      </c>
      <c r="BD53" s="16">
        <f>$W53*AI53+($L53)*Summary_LCIA!Z$32</f>
        <v>0.16047864457112118</v>
      </c>
      <c r="BE53" s="16">
        <f>$W53*AJ53+($L53)*Summary_LCIA!AA$32</f>
        <v>2.7512758724583657</v>
      </c>
      <c r="BF53" s="16">
        <f>$W53*AK53+($L53)*Summary_LCIA!AB$32</f>
        <v>3.9725969554695935E-2</v>
      </c>
      <c r="BG53" s="16">
        <f>$W53*AL53+($L53)*Summary_LCIA!AC$32</f>
        <v>2.4260724977490579E-5</v>
      </c>
      <c r="BH53" s="16">
        <f>$W53*AM53+($L53)*Summary_LCIA!AD$32</f>
        <v>0.11064493496544614</v>
      </c>
      <c r="BI53" s="16">
        <f>$W53*AN53+($L53)*Summary_LCIA!AE$32</f>
        <v>0.31584222949315738</v>
      </c>
      <c r="BJ53" s="16">
        <f>$W53*AO53+($L53)*Summary_LCIA!AF$32</f>
        <v>7.6137088676891063E-2</v>
      </c>
      <c r="BK53" s="16">
        <f>$W53*AP53+($L53)*Summary_LCIA!AG$32</f>
        <v>7.9058186468910635E-3</v>
      </c>
      <c r="BL53" s="16">
        <f>$W53*AQ53+($L53)*Summary_LCIA!AH$32</f>
        <v>1.2686481459491452</v>
      </c>
      <c r="BM53" s="16">
        <f>$W53*AR53+($L53)*Summary_LCIA!AI$32</f>
        <v>0.27630714267390838</v>
      </c>
      <c r="BN53" s="16"/>
    </row>
    <row r="54" spans="1:66" x14ac:dyDescent="0.25">
      <c r="A54" s="159">
        <v>129</v>
      </c>
      <c r="B54" s="159">
        <v>6</v>
      </c>
      <c r="C54" s="45">
        <v>42.028866000000001</v>
      </c>
      <c r="D54" s="45">
        <v>-93.648031000000003</v>
      </c>
      <c r="E54" s="45" t="s">
        <v>265</v>
      </c>
      <c r="F54" s="159">
        <v>121</v>
      </c>
      <c r="G54" s="45" t="s">
        <v>287</v>
      </c>
      <c r="H54" s="45" t="s">
        <v>290</v>
      </c>
      <c r="I54" s="45">
        <v>41.301873000000001</v>
      </c>
      <c r="J54" s="45">
        <v>-95.893741000000006</v>
      </c>
      <c r="K54" s="45">
        <v>222.912556</v>
      </c>
      <c r="L54" s="45">
        <v>279.464</v>
      </c>
      <c r="M54" s="45" t="s">
        <v>617</v>
      </c>
      <c r="N54" s="159">
        <v>5</v>
      </c>
      <c r="O54" s="159">
        <v>6</v>
      </c>
      <c r="P54" s="45" t="s">
        <v>565</v>
      </c>
      <c r="Q54" s="45" t="s">
        <v>564</v>
      </c>
      <c r="R54" s="45">
        <v>41.98028</v>
      </c>
      <c r="S54" s="45">
        <v>-87.908997900000003</v>
      </c>
      <c r="T54" s="45">
        <v>556.37900000000002</v>
      </c>
      <c r="U54" s="45" t="s">
        <v>617</v>
      </c>
      <c r="V54" s="45" t="s">
        <v>569</v>
      </c>
      <c r="W54" s="45" cm="1">
        <f t="array" ref="W54">getDistance(R54,S54,I54,J54)*SA!$B$12</f>
        <v>669.26749072627524</v>
      </c>
      <c r="X54" s="22"/>
      <c r="Y54" s="16">
        <f>Transportation_LCIA!C$61*($W54^Transportation_LCIA!C$60)+Transportation_LCIA!C$62</f>
        <v>0.28504039049137575</v>
      </c>
      <c r="Z54" s="16">
        <f>Transportation_LCIA!D$61*($W54^Transportation_LCIA!D$60)+Transportation_LCIA!D$62</f>
        <v>3.0041649469674656</v>
      </c>
      <c r="AA54" s="16">
        <f>Transportation_LCIA!E$61*($W54^Transportation_LCIA!E$60)+Transportation_LCIA!E$62</f>
        <v>1.525706097435096E-3</v>
      </c>
      <c r="AB54" s="16">
        <f>Transportation_LCIA!F$61*($W54^Transportation_LCIA!F$60)+Transportation_LCIA!F$62</f>
        <v>0.28504039049137575</v>
      </c>
      <c r="AC54" s="16">
        <f>Transportation_LCIA!G$61*($W54^Transportation_LCIA!G$60)+Transportation_LCIA!G$62</f>
        <v>7.0068758885027033E-2</v>
      </c>
      <c r="AD54" s="16">
        <f>Transportation_LCIA!H$61*($W54^Transportation_LCIA!H$60)+Transportation_LCIA!H$62</f>
        <v>3.6107816379944279E-4</v>
      </c>
      <c r="AE54" s="16">
        <f>Transportation_LCIA!I$61*($W54^Transportation_LCIA!I$60)+Transportation_LCIA!I$62</f>
        <v>8.0591675714929097E-6</v>
      </c>
      <c r="AF54" s="16">
        <f>Transportation_LCIA!J$61*($W54^Transportation_LCIA!J$60)+Transportation_LCIA!J$62</f>
        <v>1.1964774828826928E-2</v>
      </c>
      <c r="AG54" s="16">
        <f>Transportation_LCIA!K$61*($W54^Transportation_LCIA!K$60)+Transportation_LCIA!K$62</f>
        <v>1.5195002827775642E-2</v>
      </c>
      <c r="AH54" s="16">
        <f>Transportation_LCIA!L$61*($W54^Transportation_LCIA!L$60)+Transportation_LCIA!L$62</f>
        <v>3.1754527567534542E-4</v>
      </c>
      <c r="AI54" s="16">
        <f>Transportation_LCIA!M$61*($W54^Transportation_LCIA!M$60)+Transportation_LCIA!M$62</f>
        <v>2.9013540374786794E-4</v>
      </c>
      <c r="AJ54" s="16">
        <f>Transportation_LCIA!N$61*($W54^Transportation_LCIA!N$60)+Transportation_LCIA!N$62</f>
        <v>1.2730376617698762E-3</v>
      </c>
      <c r="AK54" s="16">
        <f>Transportation_LCIA!O$61*($W54^Transportation_LCIA!O$60)+Transportation_LCIA!O$62</f>
        <v>7.4124631538667591E-5</v>
      </c>
      <c r="AL54" s="16">
        <f>Transportation_LCIA!P$61*($W54^Transportation_LCIA!P$60)+Transportation_LCIA!P$62</f>
        <v>3.5802611393451831E-8</v>
      </c>
      <c r="AM54" s="16">
        <f>Transportation_LCIA!Q$61*($W54^Transportation_LCIA!Q$60)+Transportation_LCIA!Q$62</f>
        <v>1.2535917081520263E-4</v>
      </c>
      <c r="AN54" s="16">
        <f>Transportation_LCIA!R$61*($W54^Transportation_LCIA!R$60)+Transportation_LCIA!R$62</f>
        <v>3.8732436662072014E-4</v>
      </c>
      <c r="AO54" s="16">
        <f>Transportation_LCIA!S$61*($W54^Transportation_LCIA!S$60)+Transportation_LCIA!S$62</f>
        <v>5.7538657024500324E-6</v>
      </c>
      <c r="AP54" s="16">
        <f>Transportation_LCIA!T$61*($W54^Transportation_LCIA!T$60)+Transportation_LCIA!T$62</f>
        <v>5.7538657024500324E-6</v>
      </c>
      <c r="AQ54" s="16">
        <f>Transportation_LCIA!U$61*($W54^Transportation_LCIA!U$60)+Transportation_LCIA!U$62</f>
        <v>8.3645465454341723E-4</v>
      </c>
      <c r="AR54" s="16">
        <f>Transportation_LCIA!V$61*($W54^Transportation_LCIA!V$60)+Transportation_LCIA!V$62</f>
        <v>3.2616855470196486E-4</v>
      </c>
      <c r="AT54" s="16">
        <f>$W54*Y54+($L54)*Summary_LCIA!H$32</f>
        <v>285.73013409980069</v>
      </c>
      <c r="AU54" s="16">
        <f>$W54*Z54+($L54)*Summary_LCIA!Q$32</f>
        <v>3395.6276139926613</v>
      </c>
      <c r="AV54" s="16">
        <f>$W54*AA54+($L54)*Summary_LCIA!R$32</f>
        <v>2.4926511298161644</v>
      </c>
      <c r="AW54" s="16">
        <f>$W54*AB54+($L54)*Summary_LCIA!S$32</f>
        <v>284.49490321980068</v>
      </c>
      <c r="AX54" s="16">
        <f>$W54*AC54+($L54)*Summary_LCIA!T$32</f>
        <v>77.607836037286447</v>
      </c>
      <c r="AY54" s="16">
        <f>$W54*AD54+($L54)*Summary_LCIA!U$32</f>
        <v>5.247975972642104</v>
      </c>
      <c r="AZ54" s="16">
        <f>$W54*AE54+($L54)*Summary_LCIA!V$32</f>
        <v>1.8741218961915627E-2</v>
      </c>
      <c r="BA54" s="16">
        <f>$W54*AF54+($L54)*Summary_LCIA!W$32</f>
        <v>29.518258370793895</v>
      </c>
      <c r="BB54" s="16">
        <f>$W54*AG54+($L54)*Summary_LCIA!X$32</f>
        <v>16.535711334124059</v>
      </c>
      <c r="BC54" s="16">
        <f>$W54*AH54+($L54)*Summary_LCIA!Y$32</f>
        <v>4.5671307778432224</v>
      </c>
      <c r="BD54" s="16">
        <f>$W54*AI54+($L54)*Summary_LCIA!Z$32</f>
        <v>0.20563873281319034</v>
      </c>
      <c r="BE54" s="16">
        <f>$W54*AJ54+($L54)*Summary_LCIA!AA$32</f>
        <v>7.3791639054927689</v>
      </c>
      <c r="BF54" s="16">
        <f>$W54*AK54+($L54)*Summary_LCIA!AB$32</f>
        <v>4.3510463278893782E-2</v>
      </c>
      <c r="BG54" s="16">
        <f>$W54*AL54+($L54)*Summary_LCIA!AC$32</f>
        <v>3.7622842064743461E-5</v>
      </c>
      <c r="BH54" s="16">
        <f>$W54*AM54+($L54)*Summary_LCIA!AD$32</f>
        <v>0.19876970025101717</v>
      </c>
      <c r="BI54" s="16">
        <f>$W54*AN54+($L54)*Summary_LCIA!AE$32</f>
        <v>0.50686504126539322</v>
      </c>
      <c r="BJ54" s="16">
        <f>$W54*AO54+($L54)*Summary_LCIA!AF$32</f>
        <v>0.24011533014065473</v>
      </c>
      <c r="BK54" s="16">
        <f>$W54*AP54+($L54)*Summary_LCIA!AG$32</f>
        <v>1.8149650820654711E-2</v>
      </c>
      <c r="BL54" s="16">
        <f>$W54*AQ54+($L54)*Summary_LCIA!AH$32</f>
        <v>2.9921547781525866</v>
      </c>
      <c r="BM54" s="16">
        <f>$W54*AR54+($L54)*Summary_LCIA!AI$32</f>
        <v>0.47862869935919983</v>
      </c>
      <c r="BN54" s="16"/>
    </row>
    <row r="55" spans="1:66" x14ac:dyDescent="0.25">
      <c r="A55" s="159">
        <v>188</v>
      </c>
      <c r="B55" s="159">
        <v>6</v>
      </c>
      <c r="C55" s="45">
        <v>42.404803000000001</v>
      </c>
      <c r="D55" s="45">
        <v>-82.191038000000006</v>
      </c>
      <c r="E55" s="45" t="s">
        <v>456</v>
      </c>
      <c r="F55" s="159">
        <v>78</v>
      </c>
      <c r="G55" s="45" t="s">
        <v>615</v>
      </c>
      <c r="H55" s="45" t="s">
        <v>616</v>
      </c>
      <c r="I55" s="45">
        <v>42.216248999999998</v>
      </c>
      <c r="J55" s="45">
        <v>-83.355363999999994</v>
      </c>
      <c r="K55" s="45">
        <v>103.2140149</v>
      </c>
      <c r="L55" s="45">
        <v>119.09</v>
      </c>
      <c r="M55" s="45" t="s">
        <v>617</v>
      </c>
      <c r="N55" s="159">
        <v>5</v>
      </c>
      <c r="O55" s="159">
        <v>6</v>
      </c>
      <c r="P55" s="45" t="s">
        <v>565</v>
      </c>
      <c r="Q55" s="45" t="s">
        <v>564</v>
      </c>
      <c r="R55" s="45">
        <v>41.98028</v>
      </c>
      <c r="S55" s="45">
        <v>-87.908997900000003</v>
      </c>
      <c r="T55" s="45">
        <v>564.99900000000002</v>
      </c>
      <c r="U55" s="45" t="s">
        <v>617</v>
      </c>
      <c r="V55" s="45" t="s">
        <v>569</v>
      </c>
      <c r="W55" s="45" cm="1">
        <f t="array" ref="W55">getDistance(R55,S55,I55,J55)*SA!$B$12</f>
        <v>377.55996592631055</v>
      </c>
      <c r="X55" s="22"/>
      <c r="Y55" s="16">
        <f>Transportation_LCIA!C$61*($W55^Transportation_LCIA!C$60)+Transportation_LCIA!C$62</f>
        <v>0.39177321151276934</v>
      </c>
      <c r="Z55" s="16">
        <f>Transportation_LCIA!D$61*($W55^Transportation_LCIA!D$60)+Transportation_LCIA!D$62</f>
        <v>4.2885469298554302</v>
      </c>
      <c r="AA55" s="16">
        <f>Transportation_LCIA!E$61*($W55^Transportation_LCIA!E$60)+Transportation_LCIA!E$62</f>
        <v>2.3774892800205579E-3</v>
      </c>
      <c r="AB55" s="16">
        <f>Transportation_LCIA!F$61*($W55^Transportation_LCIA!F$60)+Transportation_LCIA!F$62</f>
        <v>0.39177321151276934</v>
      </c>
      <c r="AC55" s="16">
        <f>Transportation_LCIA!G$61*($W55^Transportation_LCIA!G$60)+Transportation_LCIA!G$62</f>
        <v>9.9730740674667376E-2</v>
      </c>
      <c r="AD55" s="16">
        <f>Transportation_LCIA!H$61*($W55^Transportation_LCIA!H$60)+Transportation_LCIA!H$62</f>
        <v>5.5159056743946447E-4</v>
      </c>
      <c r="AE55" s="16">
        <f>Transportation_LCIA!I$61*($W55^Transportation_LCIA!I$60)+Transportation_LCIA!I$62</f>
        <v>1.2988810045312625E-5</v>
      </c>
      <c r="AF55" s="16">
        <f>Transportation_LCIA!J$61*($W55^Transportation_LCIA!J$60)+Transportation_LCIA!J$62</f>
        <v>1.9439626149728245E-2</v>
      </c>
      <c r="AG55" s="16">
        <f>Transportation_LCIA!K$61*($W55^Transportation_LCIA!K$60)+Transportation_LCIA!K$62</f>
        <v>2.2227364305679936E-2</v>
      </c>
      <c r="AH55" s="16">
        <f>Transportation_LCIA!L$61*($W55^Transportation_LCIA!L$60)+Transportation_LCIA!L$62</f>
        <v>4.9406726591070139E-4</v>
      </c>
      <c r="AI55" s="16">
        <f>Transportation_LCIA!M$61*($W55^Transportation_LCIA!M$60)+Transportation_LCIA!M$62</f>
        <v>3.9537528709454031E-4</v>
      </c>
      <c r="AJ55" s="16">
        <f>Transportation_LCIA!N$61*($W55^Transportation_LCIA!N$60)+Transportation_LCIA!N$62</f>
        <v>1.9121741222974152E-3</v>
      </c>
      <c r="AK55" s="16">
        <f>Transportation_LCIA!O$61*($W55^Transportation_LCIA!O$60)+Transportation_LCIA!O$62</f>
        <v>1.0567090816044529E-4</v>
      </c>
      <c r="AL55" s="16">
        <f>Transportation_LCIA!P$61*($W55^Transportation_LCIA!P$60)+Transportation_LCIA!P$62</f>
        <v>5.0935129732250114E-8</v>
      </c>
      <c r="AM55" s="16">
        <f>Transportation_LCIA!Q$61*($W55^Transportation_LCIA!Q$60)+Transportation_LCIA!Q$62</f>
        <v>1.9467109253194182E-4</v>
      </c>
      <c r="AN55" s="16">
        <f>Transportation_LCIA!R$61*($W55^Transportation_LCIA!R$60)+Transportation_LCIA!R$62</f>
        <v>6.2387261985424414E-4</v>
      </c>
      <c r="AO55" s="16">
        <f>Transportation_LCIA!S$61*($W55^Transportation_LCIA!S$60)+Transportation_LCIA!S$62</f>
        <v>9.1068518980920511E-6</v>
      </c>
      <c r="AP55" s="16">
        <f>Transportation_LCIA!T$61*($W55^Transportation_LCIA!T$60)+Transportation_LCIA!T$62</f>
        <v>9.1068518980920511E-6</v>
      </c>
      <c r="AQ55" s="16">
        <f>Transportation_LCIA!U$61*($W55^Transportation_LCIA!U$60)+Transportation_LCIA!U$62</f>
        <v>1.3579254338977325E-3</v>
      </c>
      <c r="AR55" s="16">
        <f>Transportation_LCIA!V$61*($W55^Transportation_LCIA!V$60)+Transportation_LCIA!V$62</f>
        <v>5.0746659917131709E-4</v>
      </c>
      <c r="AT55" s="16">
        <f>$W55*Y55+($L55)*Summary_LCIA!H$32</f>
        <v>188.38466238960245</v>
      </c>
      <c r="AU55" s="16">
        <f>$W55*Z55+($L55)*Summary_LCIA!Q$32</f>
        <v>2209.39967877557</v>
      </c>
      <c r="AV55" s="16">
        <f>$W55*AA55+($L55)*Summary_LCIA!R$32</f>
        <v>1.5247250755547304</v>
      </c>
      <c r="AW55" s="16">
        <f>$W55*AB55+($L55)*Summary_LCIA!S$32</f>
        <v>187.85828458960248</v>
      </c>
      <c r="AX55" s="16">
        <f>$W55*AC55+($L55)*Summary_LCIA!T$32</f>
        <v>50.74232605093313</v>
      </c>
      <c r="AY55" s="16">
        <f>$W55*AD55+($L55)*Summary_LCIA!U$32</f>
        <v>2.3416367758477188</v>
      </c>
      <c r="AZ55" s="16">
        <f>$W55*AE55+($L55)*Summary_LCIA!V$32</f>
        <v>1.0591912168131556E-2</v>
      </c>
      <c r="BA55" s="16">
        <f>$W55*AF55+($L55)*Summary_LCIA!W$32</f>
        <v>16.506100976711611</v>
      </c>
      <c r="BB55" s="16">
        <f>$W55*AG55+($L55)*Summary_LCIA!X$32</f>
        <v>11.105033109884207</v>
      </c>
      <c r="BC55" s="16">
        <f>$W55*AH55+($L55)*Summary_LCIA!Y$32</f>
        <v>2.04220040008255</v>
      </c>
      <c r="BD55" s="16">
        <f>$W55*AI55+($L55)*Summary_LCIA!Z$32</f>
        <v>0.1541616417335199</v>
      </c>
      <c r="BE55" s="16">
        <f>$W55*AJ55+($L55)*Summary_LCIA!AA$32</f>
        <v>3.5034264364597849</v>
      </c>
      <c r="BF55" s="16">
        <f>$W55*AK55+($L55)*Summary_LCIA!AB$32</f>
        <v>3.7298203414460017E-2</v>
      </c>
      <c r="BG55" s="16">
        <f>$W55*AL55+($L55)*Summary_LCIA!AC$32</f>
        <v>2.5052661406160563E-5</v>
      </c>
      <c r="BH55" s="16">
        <f>$W55*AM55+($L55)*Summary_LCIA!AD$32</f>
        <v>0.1224507646631976</v>
      </c>
      <c r="BI55" s="16">
        <f>$W55*AN55+($L55)*Summary_LCIA!AE$32</f>
        <v>0.34107854679452648</v>
      </c>
      <c r="BJ55" s="16">
        <f>$W55*AO55+($L55)*Summary_LCIA!AF$32</f>
        <v>0.1041194504923396</v>
      </c>
      <c r="BK55" s="16">
        <f>$W55*AP55+($L55)*Summary_LCIA!AG$32</f>
        <v>9.5316225423395916E-3</v>
      </c>
      <c r="BL55" s="16">
        <f>$W55*AQ55+($L55)*Summary_LCIA!AH$32</f>
        <v>1.5492100045528985</v>
      </c>
      <c r="BM55" s="16">
        <f>$W55*AR55+($L55)*Summary_LCIA!AI$32</f>
        <v>0.30253736139186316</v>
      </c>
      <c r="BN55" s="16"/>
    </row>
    <row r="56" spans="1:66" x14ac:dyDescent="0.25">
      <c r="A56" s="159">
        <v>79</v>
      </c>
      <c r="B56" s="159">
        <v>6</v>
      </c>
      <c r="C56" s="45">
        <v>41.615028000000002</v>
      </c>
      <c r="D56" s="45">
        <v>-81.473634000000004</v>
      </c>
      <c r="E56" s="45" t="s">
        <v>265</v>
      </c>
      <c r="F56" s="159">
        <v>105</v>
      </c>
      <c r="G56" s="45" t="s">
        <v>276</v>
      </c>
      <c r="H56" s="45" t="s">
        <v>660</v>
      </c>
      <c r="I56" s="45">
        <v>41.405799000000002</v>
      </c>
      <c r="J56" s="45">
        <v>-81.853866999999994</v>
      </c>
      <c r="K56" s="45">
        <v>48.412403679999997</v>
      </c>
      <c r="L56" s="45">
        <v>45.866999999999997</v>
      </c>
      <c r="M56" s="45" t="s">
        <v>617</v>
      </c>
      <c r="N56" s="159">
        <v>5</v>
      </c>
      <c r="O56" s="159">
        <v>6</v>
      </c>
      <c r="P56" s="45" t="s">
        <v>565</v>
      </c>
      <c r="Q56" s="45" t="s">
        <v>564</v>
      </c>
      <c r="R56" s="45">
        <v>41.98028</v>
      </c>
      <c r="S56" s="45">
        <v>-87.908997900000003</v>
      </c>
      <c r="T56" s="45">
        <v>603.75800000000004</v>
      </c>
      <c r="U56" s="45" t="s">
        <v>617</v>
      </c>
      <c r="V56" s="45" t="s">
        <v>569</v>
      </c>
      <c r="W56" s="45" cm="1">
        <f t="array" ref="W56">getDistance(R56,S56,I56,J56)*SA!$B$12</f>
        <v>508.0035886560301</v>
      </c>
      <c r="X56" s="22"/>
      <c r="Y56" s="16">
        <f>Transportation_LCIA!C$61*($W56^Transportation_LCIA!C$60)+Transportation_LCIA!C$62</f>
        <v>0.33009466965930534</v>
      </c>
      <c r="Z56" s="16">
        <f>Transportation_LCIA!D$61*($W56^Transportation_LCIA!D$60)+Transportation_LCIA!D$62</f>
        <v>3.5424297147150119</v>
      </c>
      <c r="AA56" s="16">
        <f>Transportation_LCIA!E$61*($W56^Transportation_LCIA!E$60)+Transportation_LCIA!E$62</f>
        <v>1.881949117619271E-3</v>
      </c>
      <c r="AB56" s="16">
        <f>Transportation_LCIA!F$61*($W56^Transportation_LCIA!F$60)+Transportation_LCIA!F$62</f>
        <v>0.33009466965930534</v>
      </c>
      <c r="AC56" s="16">
        <f>Transportation_LCIA!G$61*($W56^Transportation_LCIA!G$60)+Transportation_LCIA!G$62</f>
        <v>8.2504889928352365E-2</v>
      </c>
      <c r="AD56" s="16">
        <f>Transportation_LCIA!H$61*($W56^Transportation_LCIA!H$60)+Transportation_LCIA!H$62</f>
        <v>4.4043594058456003E-4</v>
      </c>
      <c r="AE56" s="16">
        <f>Transportation_LCIA!I$61*($W56^Transportation_LCIA!I$60)+Transportation_LCIA!I$62</f>
        <v>1.0099262763484922E-5</v>
      </c>
      <c r="AF56" s="16">
        <f>Transportation_LCIA!J$61*($W56^Transportation_LCIA!J$60)+Transportation_LCIA!J$62</f>
        <v>1.5044986830824957E-2</v>
      </c>
      <c r="AG56" s="16">
        <f>Transportation_LCIA!K$61*($W56^Transportation_LCIA!K$60)+Transportation_LCIA!K$62</f>
        <v>1.8132625491128557E-2</v>
      </c>
      <c r="AH56" s="16">
        <f>Transportation_LCIA!L$61*($W56^Transportation_LCIA!L$60)+Transportation_LCIA!L$62</f>
        <v>3.9093921727928455E-4</v>
      </c>
      <c r="AI56" s="16">
        <f>Transportation_LCIA!M$61*($W56^Transportation_LCIA!M$60)+Transportation_LCIA!M$62</f>
        <v>3.3396334311075232E-4</v>
      </c>
      <c r="AJ56" s="16">
        <f>Transportation_LCIA!N$61*($W56^Transportation_LCIA!N$60)+Transportation_LCIA!N$62</f>
        <v>1.5394070125787397E-3</v>
      </c>
      <c r="AK56" s="16">
        <f>Transportation_LCIA!O$61*($W56^Transportation_LCIA!O$60)+Transportation_LCIA!O$62</f>
        <v>8.7348144302915392E-5</v>
      </c>
      <c r="AL56" s="16">
        <f>Transportation_LCIA!P$61*($W56^Transportation_LCIA!P$60)+Transportation_LCIA!P$62</f>
        <v>4.2149249681484652E-8</v>
      </c>
      <c r="AM56" s="16">
        <f>Transportation_LCIA!Q$61*($W56^Transportation_LCIA!Q$60)+Transportation_LCIA!Q$62</f>
        <v>1.5414876345104929E-4</v>
      </c>
      <c r="AN56" s="16">
        <f>Transportation_LCIA!R$61*($W56^Transportation_LCIA!R$60)+Transportation_LCIA!R$62</f>
        <v>4.8520261212265276E-4</v>
      </c>
      <c r="AO56" s="16">
        <f>Transportation_LCIA!S$61*($W56^Transportation_LCIA!S$60)+Transportation_LCIA!S$62</f>
        <v>7.1416605098105525E-6</v>
      </c>
      <c r="AP56" s="16">
        <f>Transportation_LCIA!T$61*($W56^Transportation_LCIA!T$60)+Transportation_LCIA!T$62</f>
        <v>7.1416605098105525E-6</v>
      </c>
      <c r="AQ56" s="16">
        <f>Transportation_LCIA!U$61*($W56^Transportation_LCIA!U$60)+Transportation_LCIA!U$62</f>
        <v>1.0519598834212809E-3</v>
      </c>
      <c r="AR56" s="16">
        <f>Transportation_LCIA!V$61*($W56^Transportation_LCIA!V$60)+Transportation_LCIA!V$62</f>
        <v>4.0137597393638617E-4</v>
      </c>
      <c r="AT56" s="16">
        <f>$W56*Y56+($L56)*Summary_LCIA!H$32</f>
        <v>183.27488338315391</v>
      </c>
      <c r="AU56" s="16">
        <f>$W56*Z56+($L56)*Summary_LCIA!Q$32</f>
        <v>2026.8861728473939</v>
      </c>
      <c r="AV56" s="16">
        <f>$W56*AA56+($L56)*Summary_LCIA!R$32</f>
        <v>1.1975541806186389</v>
      </c>
      <c r="AW56" s="16">
        <f>$W56*AB56+($L56)*Summary_LCIA!S$32</f>
        <v>183.07215124315391</v>
      </c>
      <c r="AX56" s="16">
        <f>$W56*AC56+($L56)*Summary_LCIA!T$32</f>
        <v>46.95356346527376</v>
      </c>
      <c r="AY56" s="16">
        <f>$W56*AD56+($L56)*Summary_LCIA!U$32</f>
        <v>1.0454044763900505</v>
      </c>
      <c r="AZ56" s="16">
        <f>$W56*AE56+($L56)*Summary_LCIA!V$32</f>
        <v>7.3211155136305561E-3</v>
      </c>
      <c r="BA56" s="16">
        <f>$W56*AF56+($L56)*Summary_LCIA!W$32</f>
        <v>11.17333615834179</v>
      </c>
      <c r="BB56" s="16">
        <f>$W56*AG56+($L56)*Summary_LCIA!X$32</f>
        <v>10.256289081249118</v>
      </c>
      <c r="BC56" s="16">
        <f>$W56*AH56+($L56)*Summary_LCIA!Y$32</f>
        <v>0.91329811932425597</v>
      </c>
      <c r="BD56" s="16">
        <f>$W56*AI56+($L56)*Summary_LCIA!Z$32</f>
        <v>0.17153553658282725</v>
      </c>
      <c r="BE56" s="16">
        <f>$W56*AJ56+($L56)*Summary_LCIA!AA$32</f>
        <v>1.853293938792258</v>
      </c>
      <c r="BF56" s="16">
        <f>$W56*AK56+($L56)*Summary_LCIA!AB$32</f>
        <v>4.3372215227325789E-2</v>
      </c>
      <c r="BG56" s="16">
        <f>$W56*AL56+($L56)*Summary_LCIA!AC$32</f>
        <v>2.3654132525353234E-5</v>
      </c>
      <c r="BH56" s="16">
        <f>$W56*AM56+($L56)*Summary_LCIA!AD$32</f>
        <v>9.7161296700022534E-2</v>
      </c>
      <c r="BI56" s="16">
        <f>$W56*AN56+($L56)*Summary_LCIA!AE$32</f>
        <v>0.28712879289358739</v>
      </c>
      <c r="BJ56" s="16">
        <f>$W56*AO56+($L56)*Summary_LCIA!AF$32</f>
        <v>4.2404868307946812E-2</v>
      </c>
      <c r="BK56" s="16">
        <f>$W56*AP56+($L56)*Summary_LCIA!AG$32</f>
        <v>5.9747742229468142E-3</v>
      </c>
      <c r="BL56" s="16">
        <f>$W56*AQ56+($L56)*Summary_LCIA!AH$32</f>
        <v>0.9336074171001898</v>
      </c>
      <c r="BM56" s="16">
        <f>$W56*AR56+($L56)*Summary_LCIA!AI$32</f>
        <v>0.24662783900999335</v>
      </c>
      <c r="BN56" s="16"/>
    </row>
    <row r="57" spans="1:66" x14ac:dyDescent="0.25">
      <c r="A57" s="159">
        <v>351</v>
      </c>
      <c r="B57" s="159">
        <v>6</v>
      </c>
      <c r="C57" s="45">
        <v>45.176614999999998</v>
      </c>
      <c r="D57" s="45">
        <v>-92.577832999999998</v>
      </c>
      <c r="E57" s="45" t="s">
        <v>265</v>
      </c>
      <c r="F57" s="159">
        <v>57</v>
      </c>
      <c r="G57" s="45" t="s">
        <v>565</v>
      </c>
      <c r="H57" s="45" t="s">
        <v>641</v>
      </c>
      <c r="I57" s="45">
        <v>44.884754999999998</v>
      </c>
      <c r="J57" s="45">
        <v>-93.222284999999999</v>
      </c>
      <c r="K57" s="45">
        <v>71.451382140000007</v>
      </c>
      <c r="L57" s="45">
        <v>80.105999999999995</v>
      </c>
      <c r="M57" s="45" t="s">
        <v>617</v>
      </c>
      <c r="N57" s="159">
        <v>5</v>
      </c>
      <c r="O57" s="159">
        <v>6</v>
      </c>
      <c r="P57" s="45" t="s">
        <v>565</v>
      </c>
      <c r="Q57" s="45" t="s">
        <v>564</v>
      </c>
      <c r="R57" s="45">
        <v>41.98028</v>
      </c>
      <c r="S57" s="45">
        <v>-87.908997900000003</v>
      </c>
      <c r="T57" s="45">
        <v>607.66600000000005</v>
      </c>
      <c r="U57" s="45" t="s">
        <v>617</v>
      </c>
      <c r="V57" s="45" t="s">
        <v>569</v>
      </c>
      <c r="W57" s="45" cm="1">
        <f t="array" ref="W57">getDistance(R57,S57,I57,J57)*SA!$B$12</f>
        <v>537.9238360294454</v>
      </c>
      <c r="X57" s="22"/>
      <c r="Y57" s="16">
        <f>Transportation_LCIA!C$61*($W57^Transportation_LCIA!C$60)+Transportation_LCIA!C$62</f>
        <v>0.31986678213898079</v>
      </c>
      <c r="Z57" s="16">
        <f>Transportation_LCIA!D$61*($W57^Transportation_LCIA!D$60)+Transportation_LCIA!D$62</f>
        <v>3.4196837590581142</v>
      </c>
      <c r="AA57" s="16">
        <f>Transportation_LCIA!E$61*($W57^Transportation_LCIA!E$60)+Transportation_LCIA!E$62</f>
        <v>1.8006084167141755E-3</v>
      </c>
      <c r="AB57" s="16">
        <f>Transportation_LCIA!F$61*($W57^Transportation_LCIA!F$60)+Transportation_LCIA!F$62</f>
        <v>0.31986678213898079</v>
      </c>
      <c r="AC57" s="16">
        <f>Transportation_LCIA!G$61*($W57^Transportation_LCIA!G$60)+Transportation_LCIA!G$62</f>
        <v>7.9669699225259488E-2</v>
      </c>
      <c r="AD57" s="16">
        <f>Transportation_LCIA!H$61*($W57^Transportation_LCIA!H$60)+Transportation_LCIA!H$62</f>
        <v>4.2227087470452683E-4</v>
      </c>
      <c r="AE57" s="16">
        <f>Transportation_LCIA!I$61*($W57^Transportation_LCIA!I$60)+Transportation_LCIA!I$62</f>
        <v>9.6304021623867961E-6</v>
      </c>
      <c r="AF57" s="16">
        <f>Transportation_LCIA!J$61*($W57^Transportation_LCIA!J$60)+Transportation_LCIA!J$62</f>
        <v>1.4335225470337743E-2</v>
      </c>
      <c r="AG57" s="16">
        <f>Transportation_LCIA!K$61*($W57^Transportation_LCIA!K$60)+Transportation_LCIA!K$62</f>
        <v>1.7461378929992367E-2</v>
      </c>
      <c r="AH57" s="16">
        <f>Transportation_LCIA!L$61*($W57^Transportation_LCIA!L$60)+Transportation_LCIA!L$62</f>
        <v>3.741200211309115E-4</v>
      </c>
      <c r="AI57" s="16">
        <f>Transportation_LCIA!M$61*($W57^Transportation_LCIA!M$60)+Transportation_LCIA!M$62</f>
        <v>3.2392972305419126E-4</v>
      </c>
      <c r="AJ57" s="16">
        <f>Transportation_LCIA!N$61*($W57^Transportation_LCIA!N$60)+Transportation_LCIA!N$62</f>
        <v>1.4784543299395398E-3</v>
      </c>
      <c r="AK57" s="16">
        <f>Transportation_LCIA!O$61*($W57^Transportation_LCIA!O$60)+Transportation_LCIA!O$62</f>
        <v>8.4333072501823996E-5</v>
      </c>
      <c r="AL57" s="16">
        <f>Transportation_LCIA!P$61*($W57^Transportation_LCIA!P$60)+Transportation_LCIA!P$62</f>
        <v>4.0702648380323872E-8</v>
      </c>
      <c r="AM57" s="16">
        <f>Transportation_LCIA!Q$61*($W57^Transportation_LCIA!Q$60)+Transportation_LCIA!Q$62</f>
        <v>1.4754717709156823E-4</v>
      </c>
      <c r="AN57" s="16">
        <f>Transportation_LCIA!R$61*($W57^Transportation_LCIA!R$60)+Transportation_LCIA!R$62</f>
        <v>4.6270576693556009E-4</v>
      </c>
      <c r="AO57" s="16">
        <f>Transportation_LCIA!S$61*($W57^Transportation_LCIA!S$60)+Transportation_LCIA!S$62</f>
        <v>6.8227398697620497E-6</v>
      </c>
      <c r="AP57" s="16">
        <f>Transportation_LCIA!T$61*($W57^Transportation_LCIA!T$60)+Transportation_LCIA!T$62</f>
        <v>6.8227398697620497E-6</v>
      </c>
      <c r="AQ57" s="16">
        <f>Transportation_LCIA!U$61*($W57^Transportation_LCIA!U$60)+Transportation_LCIA!U$62</f>
        <v>1.002389311334221E-3</v>
      </c>
      <c r="AR57" s="16">
        <f>Transportation_LCIA!V$61*($W57^Transportation_LCIA!V$60)+Transportation_LCIA!V$62</f>
        <v>3.8411685160034487E-4</v>
      </c>
      <c r="AT57" s="16">
        <f>$W57*Y57+($L57)*Summary_LCIA!H$32</f>
        <v>199.28398526659544</v>
      </c>
      <c r="AU57" s="16">
        <f>$W57*Z57+($L57)*Summary_LCIA!Q$32</f>
        <v>2236.5387816660323</v>
      </c>
      <c r="AV57" s="16">
        <f>$W57*AA57+($L57)*Summary_LCIA!R$32</f>
        <v>1.3903963403057955</v>
      </c>
      <c r="AW57" s="16">
        <f>$W57*AB57+($L57)*Summary_LCIA!S$32</f>
        <v>198.92991674659544</v>
      </c>
      <c r="AX57" s="16">
        <f>$W57*AC57+($L57)*Summary_LCIA!T$32</f>
        <v>51.659879622563714</v>
      </c>
      <c r="AY57" s="16">
        <f>$W57*AD57+($L57)*Summary_LCIA!U$32</f>
        <v>1.6621684527645681</v>
      </c>
      <c r="AZ57" s="16">
        <f>$W57*AE57+($L57)*Summary_LCIA!V$32</f>
        <v>9.0063655396973707E-3</v>
      </c>
      <c r="BA57" s="16">
        <f>$W57*AF57+($L57)*Summary_LCIA!W$32</f>
        <v>13.877098401351088</v>
      </c>
      <c r="BB57" s="16">
        <f>$W57*AG57+($L57)*Summary_LCIA!X$32</f>
        <v>11.217706616385227</v>
      </c>
      <c r="BC57" s="16">
        <f>$W57*AH57+($L57)*Summary_LCIA!Y$32</f>
        <v>1.4494597689021571</v>
      </c>
      <c r="BD57" s="16">
        <f>$W57*AI57+($L57)*Summary_LCIA!Z$32</f>
        <v>0.17753458618326642</v>
      </c>
      <c r="BE57" s="16">
        <f>$W57*AJ57+($L57)*Summary_LCIA!AA$32</f>
        <v>2.6662515605554202</v>
      </c>
      <c r="BF57" s="16">
        <f>$W57*AK57+($L57)*Summary_LCIA!AB$32</f>
        <v>4.3616616626330505E-2</v>
      </c>
      <c r="BG57" s="16">
        <f>$W57*AL57+($L57)*Summary_LCIA!AC$32</f>
        <v>2.5810826457301509E-5</v>
      </c>
      <c r="BH57" s="16">
        <f>$W57*AM57+($L57)*Summary_LCIA!AD$32</f>
        <v>0.11229591373641229</v>
      </c>
      <c r="BI57" s="16">
        <f>$W57*AN57+($L57)*Summary_LCIA!AE$32</f>
        <v>0.31988479088292299</v>
      </c>
      <c r="BJ57" s="16">
        <f>$W57*AO57+($L57)*Summary_LCIA!AF$32</f>
        <v>7.139332892297344E-2</v>
      </c>
      <c r="BK57" s="16">
        <f>$W57*AP57+($L57)*Summary_LCIA!AG$32</f>
        <v>7.7687378929734404E-3</v>
      </c>
      <c r="BL57" s="16">
        <f>$W57*AQ57+($L57)*Summary_LCIA!AH$32</f>
        <v>1.2364196851478182</v>
      </c>
      <c r="BM57" s="16">
        <f>$W57*AR57+($L57)*Summary_LCIA!AI$32</f>
        <v>0.28124835459641073</v>
      </c>
      <c r="BN57" s="16"/>
    </row>
    <row r="58" spans="1:66" x14ac:dyDescent="0.25">
      <c r="A58" s="159">
        <v>193</v>
      </c>
      <c r="B58" s="159">
        <v>6</v>
      </c>
      <c r="C58" s="45">
        <v>41.09545</v>
      </c>
      <c r="D58" s="45">
        <v>-81.588757999999999</v>
      </c>
      <c r="E58" s="45" t="s">
        <v>265</v>
      </c>
      <c r="F58" s="159">
        <v>105</v>
      </c>
      <c r="G58" s="45" t="s">
        <v>276</v>
      </c>
      <c r="H58" s="45" t="s">
        <v>660</v>
      </c>
      <c r="I58" s="45">
        <v>41.405799000000002</v>
      </c>
      <c r="J58" s="45">
        <v>-81.853866999999994</v>
      </c>
      <c r="K58" s="45">
        <v>53.820187070000003</v>
      </c>
      <c r="L58" s="45">
        <v>60.753</v>
      </c>
      <c r="M58" s="45" t="s">
        <v>617</v>
      </c>
      <c r="N58" s="159">
        <v>5</v>
      </c>
      <c r="O58" s="159">
        <v>6</v>
      </c>
      <c r="P58" s="45" t="s">
        <v>565</v>
      </c>
      <c r="Q58" s="45" t="s">
        <v>564</v>
      </c>
      <c r="R58" s="45">
        <v>41.98028</v>
      </c>
      <c r="S58" s="45">
        <v>-87.908997900000003</v>
      </c>
      <c r="T58" s="45">
        <v>608.34799999999996</v>
      </c>
      <c r="U58" s="45" t="s">
        <v>617</v>
      </c>
      <c r="V58" s="45" t="s">
        <v>569</v>
      </c>
      <c r="W58" s="45" cm="1">
        <f t="array" ref="W58">getDistance(R58,S58,I58,J58)*SA!$B$12</f>
        <v>508.0035886560301</v>
      </c>
      <c r="X58" s="22"/>
      <c r="Y58" s="16">
        <f>Transportation_LCIA!C$61*($W58^Transportation_LCIA!C$60)+Transportation_LCIA!C$62</f>
        <v>0.33009466965930534</v>
      </c>
      <c r="Z58" s="16">
        <f>Transportation_LCIA!D$61*($W58^Transportation_LCIA!D$60)+Transportation_LCIA!D$62</f>
        <v>3.5424297147150119</v>
      </c>
      <c r="AA58" s="16">
        <f>Transportation_LCIA!E$61*($W58^Transportation_LCIA!E$60)+Transportation_LCIA!E$62</f>
        <v>1.881949117619271E-3</v>
      </c>
      <c r="AB58" s="16">
        <f>Transportation_LCIA!F$61*($W58^Transportation_LCIA!F$60)+Transportation_LCIA!F$62</f>
        <v>0.33009466965930534</v>
      </c>
      <c r="AC58" s="16">
        <f>Transportation_LCIA!G$61*($W58^Transportation_LCIA!G$60)+Transportation_LCIA!G$62</f>
        <v>8.2504889928352365E-2</v>
      </c>
      <c r="AD58" s="16">
        <f>Transportation_LCIA!H$61*($W58^Transportation_LCIA!H$60)+Transportation_LCIA!H$62</f>
        <v>4.4043594058456003E-4</v>
      </c>
      <c r="AE58" s="16">
        <f>Transportation_LCIA!I$61*($W58^Transportation_LCIA!I$60)+Transportation_LCIA!I$62</f>
        <v>1.0099262763484922E-5</v>
      </c>
      <c r="AF58" s="16">
        <f>Transportation_LCIA!J$61*($W58^Transportation_LCIA!J$60)+Transportation_LCIA!J$62</f>
        <v>1.5044986830824957E-2</v>
      </c>
      <c r="AG58" s="16">
        <f>Transportation_LCIA!K$61*($W58^Transportation_LCIA!K$60)+Transportation_LCIA!K$62</f>
        <v>1.8132625491128557E-2</v>
      </c>
      <c r="AH58" s="16">
        <f>Transportation_LCIA!L$61*($W58^Transportation_LCIA!L$60)+Transportation_LCIA!L$62</f>
        <v>3.9093921727928455E-4</v>
      </c>
      <c r="AI58" s="16">
        <f>Transportation_LCIA!M$61*($W58^Transportation_LCIA!M$60)+Transportation_LCIA!M$62</f>
        <v>3.3396334311075232E-4</v>
      </c>
      <c r="AJ58" s="16">
        <f>Transportation_LCIA!N$61*($W58^Transportation_LCIA!N$60)+Transportation_LCIA!N$62</f>
        <v>1.5394070125787397E-3</v>
      </c>
      <c r="AK58" s="16">
        <f>Transportation_LCIA!O$61*($W58^Transportation_LCIA!O$60)+Transportation_LCIA!O$62</f>
        <v>8.7348144302915392E-5</v>
      </c>
      <c r="AL58" s="16">
        <f>Transportation_LCIA!P$61*($W58^Transportation_LCIA!P$60)+Transportation_LCIA!P$62</f>
        <v>4.2149249681484652E-8</v>
      </c>
      <c r="AM58" s="16">
        <f>Transportation_LCIA!Q$61*($W58^Transportation_LCIA!Q$60)+Transportation_LCIA!Q$62</f>
        <v>1.5414876345104929E-4</v>
      </c>
      <c r="AN58" s="16">
        <f>Transportation_LCIA!R$61*($W58^Transportation_LCIA!R$60)+Transportation_LCIA!R$62</f>
        <v>4.8520261212265276E-4</v>
      </c>
      <c r="AO58" s="16">
        <f>Transportation_LCIA!S$61*($W58^Transportation_LCIA!S$60)+Transportation_LCIA!S$62</f>
        <v>7.1416605098105525E-6</v>
      </c>
      <c r="AP58" s="16">
        <f>Transportation_LCIA!T$61*($W58^Transportation_LCIA!T$60)+Transportation_LCIA!T$62</f>
        <v>7.1416605098105525E-6</v>
      </c>
      <c r="AQ58" s="16">
        <f>Transportation_LCIA!U$61*($W58^Transportation_LCIA!U$60)+Transportation_LCIA!U$62</f>
        <v>1.0519598834212809E-3</v>
      </c>
      <c r="AR58" s="16">
        <f>Transportation_LCIA!V$61*($W58^Transportation_LCIA!V$60)+Transportation_LCIA!V$62</f>
        <v>4.0137597393638617E-4</v>
      </c>
      <c r="AT58" s="16">
        <f>$W58*Y58+($L58)*Summary_LCIA!H$32</f>
        <v>188.3331461831539</v>
      </c>
      <c r="AU58" s="16">
        <f>$W58*Z58+($L58)*Summary_LCIA!Q$32</f>
        <v>2100.661939593032</v>
      </c>
      <c r="AV58" s="16">
        <f>$W58*AA58+($L58)*Summary_LCIA!R$32</f>
        <v>1.275937902218639</v>
      </c>
      <c r="AW58" s="16">
        <f>$W58*AB58+($L58)*Summary_LCIA!S$32</f>
        <v>188.06461792315389</v>
      </c>
      <c r="AX58" s="16">
        <f>$W58*AC58+($L58)*Summary_LCIA!T$32</f>
        <v>48.589534865273762</v>
      </c>
      <c r="AY58" s="16">
        <f>$W58*AD58+($L58)*Summary_LCIA!U$32</f>
        <v>1.3120722803900504</v>
      </c>
      <c r="AZ58" s="16">
        <f>$W58*AE58+($L58)*Summary_LCIA!V$32</f>
        <v>8.0320857596305559E-3</v>
      </c>
      <c r="BA58" s="16">
        <f>$W58*AF58+($L58)*Summary_LCIA!W$32</f>
        <v>12.319126464341792</v>
      </c>
      <c r="BB58" s="16">
        <f>$W58*AG58+($L58)*Summary_LCIA!X$32</f>
        <v>10.595392161249118</v>
      </c>
      <c r="BC58" s="16">
        <f>$W58*AH58+($L58)*Summary_LCIA!Y$32</f>
        <v>1.145251771324256</v>
      </c>
      <c r="BD58" s="16">
        <f>$W58*AI58+($L58)*Summary_LCIA!Z$32</f>
        <v>0.17214599655682725</v>
      </c>
      <c r="BE58" s="16">
        <f>$W58*AJ58+($L58)*Summary_LCIA!AA$32</f>
        <v>2.2009713547922578</v>
      </c>
      <c r="BF58" s="16">
        <f>$W58*AK58+($L58)*Summary_LCIA!AB$32</f>
        <v>4.3047358049325787E-2</v>
      </c>
      <c r="BG58" s="16">
        <f>$W58*AL58+($L58)*Summary_LCIA!AC$32</f>
        <v>2.4381819749353236E-5</v>
      </c>
      <c r="BH58" s="16">
        <f>$W58*AM58+($L58)*Summary_LCIA!AD$32</f>
        <v>0.10328003814002254</v>
      </c>
      <c r="BI58" s="16">
        <f>$W58*AN58+($L58)*Summary_LCIA!AE$32</f>
        <v>0.30031972407358742</v>
      </c>
      <c r="BJ58" s="16">
        <f>$W58*AO58+($L58)*Summary_LCIA!AF$32</f>
        <v>5.4989790427946821E-2</v>
      </c>
      <c r="BK58" s="16">
        <f>$W58*AP58+($L58)*Summary_LCIA!AG$32</f>
        <v>6.7364164129468142E-3</v>
      </c>
      <c r="BL58" s="16">
        <f>$W58*AQ58+($L58)*Summary_LCIA!AH$32</f>
        <v>1.0631692067001899</v>
      </c>
      <c r="BM58" s="16">
        <f>$W58*AR58+($L58)*Summary_LCIA!AI$32</f>
        <v>0.26049489230999334</v>
      </c>
      <c r="BN58" s="16"/>
    </row>
    <row r="59" spans="1:66" x14ac:dyDescent="0.25">
      <c r="A59" s="159">
        <v>77</v>
      </c>
      <c r="B59" s="159">
        <v>6</v>
      </c>
      <c r="C59" s="45">
        <v>40.006103000000003</v>
      </c>
      <c r="D59" s="45">
        <v>-83.016536000000002</v>
      </c>
      <c r="E59" s="45" t="s">
        <v>265</v>
      </c>
      <c r="F59" s="159">
        <v>110</v>
      </c>
      <c r="G59" s="45" t="s">
        <v>658</v>
      </c>
      <c r="H59" s="45" t="s">
        <v>659</v>
      </c>
      <c r="I59" s="45">
        <v>39.999940000000002</v>
      </c>
      <c r="J59" s="45">
        <v>-82.887176999999994</v>
      </c>
      <c r="K59" s="45">
        <v>11.068644279999999</v>
      </c>
      <c r="L59" s="45">
        <v>18.408000000000001</v>
      </c>
      <c r="M59" s="45" t="s">
        <v>617</v>
      </c>
      <c r="N59" s="159">
        <v>5</v>
      </c>
      <c r="O59" s="159">
        <v>6</v>
      </c>
      <c r="P59" s="45" t="s">
        <v>565</v>
      </c>
      <c r="Q59" s="45" t="s">
        <v>564</v>
      </c>
      <c r="R59" s="45">
        <v>41.98028</v>
      </c>
      <c r="S59" s="45">
        <v>-87.908997900000003</v>
      </c>
      <c r="T59" s="45">
        <v>610.89200000000005</v>
      </c>
      <c r="U59" s="45" t="s">
        <v>617</v>
      </c>
      <c r="V59" s="45" t="s">
        <v>569</v>
      </c>
      <c r="W59" s="45" cm="1">
        <f t="array" ref="W59">getDistance(R59,S59,I59,J59)*SA!$B$12</f>
        <v>476.46082211216719</v>
      </c>
      <c r="X59" s="22"/>
      <c r="Y59" s="16">
        <f>Transportation_LCIA!C$61*($W59^Transportation_LCIA!C$60)+Transportation_LCIA!C$62</f>
        <v>0.3421495485374596</v>
      </c>
      <c r="Z59" s="16">
        <f>Transportation_LCIA!D$61*($W59^Transportation_LCIA!D$60)+Transportation_LCIA!D$62</f>
        <v>3.6874835022314647</v>
      </c>
      <c r="AA59" s="16">
        <f>Transportation_LCIA!E$61*($W59^Transportation_LCIA!E$60)+Transportation_LCIA!E$62</f>
        <v>1.9781439132864741E-3</v>
      </c>
      <c r="AB59" s="16">
        <f>Transportation_LCIA!F$61*($W59^Transportation_LCIA!F$60)+Transportation_LCIA!F$62</f>
        <v>0.3421495485374596</v>
      </c>
      <c r="AC59" s="16">
        <f>Transportation_LCIA!G$61*($W59^Transportation_LCIA!G$60)+Transportation_LCIA!G$62</f>
        <v>8.585483264216312E-2</v>
      </c>
      <c r="AD59" s="16">
        <f>Transportation_LCIA!H$61*($W59^Transportation_LCIA!H$60)+Transportation_LCIA!H$62</f>
        <v>4.6194970027992912E-4</v>
      </c>
      <c r="AE59" s="16">
        <f>Transportation_LCIA!I$61*($W59^Transportation_LCIA!I$60)+Transportation_LCIA!I$62</f>
        <v>1.0655867543092664E-5</v>
      </c>
      <c r="AF59" s="16">
        <f>Transportation_LCIA!J$61*($W59^Transportation_LCIA!J$60)+Transportation_LCIA!J$62</f>
        <v>1.5888874162923741E-2</v>
      </c>
      <c r="AG59" s="16">
        <f>Transportation_LCIA!K$61*($W59^Transportation_LCIA!K$60)+Transportation_LCIA!K$62</f>
        <v>1.8926799382803748E-2</v>
      </c>
      <c r="AH59" s="16">
        <f>Transportation_LCIA!L$61*($W59^Transportation_LCIA!L$60)+Transportation_LCIA!L$62</f>
        <v>4.1087237564962301E-4</v>
      </c>
      <c r="AI59" s="16">
        <f>Transportation_LCIA!M$61*($W59^Transportation_LCIA!M$60)+Transportation_LCIA!M$62</f>
        <v>3.4584758868402539E-4</v>
      </c>
      <c r="AJ59" s="16">
        <f>Transportation_LCIA!N$61*($W59^Transportation_LCIA!N$60)+Transportation_LCIA!N$62</f>
        <v>1.6115826777894741E-3</v>
      </c>
      <c r="AK59" s="16">
        <f>Transportation_LCIA!O$61*($W59^Transportation_LCIA!O$60)+Transportation_LCIA!O$62</f>
        <v>9.0910885097424208E-5</v>
      </c>
      <c r="AL59" s="16">
        <f>Transportation_LCIA!P$61*($W59^Transportation_LCIA!P$60)+Transportation_LCIA!P$62</f>
        <v>4.3858281937434929E-8</v>
      </c>
      <c r="AM59" s="16">
        <f>Transportation_LCIA!Q$61*($W59^Transportation_LCIA!Q$60)+Transportation_LCIA!Q$62</f>
        <v>1.6197541816227853E-4</v>
      </c>
      <c r="AN59" s="16">
        <f>Transportation_LCIA!R$61*($W59^Transportation_LCIA!R$60)+Transportation_LCIA!R$62</f>
        <v>5.1191111541630801E-4</v>
      </c>
      <c r="AO59" s="16">
        <f>Transportation_LCIA!S$61*($W59^Transportation_LCIA!S$60)+Transportation_LCIA!S$62</f>
        <v>7.5202466562288372E-6</v>
      </c>
      <c r="AP59" s="16">
        <f>Transportation_LCIA!T$61*($W59^Transportation_LCIA!T$60)+Transportation_LCIA!T$62</f>
        <v>7.5202466562288372E-6</v>
      </c>
      <c r="AQ59" s="16">
        <f>Transportation_LCIA!U$61*($W59^Transportation_LCIA!U$60)+Transportation_LCIA!U$62</f>
        <v>1.1108369369812168E-3</v>
      </c>
      <c r="AR59" s="16">
        <f>Transportation_LCIA!V$61*($W59^Transportation_LCIA!V$60)+Transportation_LCIA!V$62</f>
        <v>4.2184744513366603E-4</v>
      </c>
      <c r="AT59" s="16">
        <f>$W59*Y59+($L59)*Summary_LCIA!H$32</f>
        <v>169.27589358146486</v>
      </c>
      <c r="AU59" s="16">
        <f>$W59*Z59+($L59)*Summary_LCIA!Q$32</f>
        <v>1848.1723973689211</v>
      </c>
      <c r="AV59" s="16">
        <f>$W59*AA59+($L59)*Summary_LCIA!R$32</f>
        <v>1.0394372399806531</v>
      </c>
      <c r="AW59" s="16">
        <f>$W59*AB59+($L59)*Summary_LCIA!S$32</f>
        <v>169.19453022146487</v>
      </c>
      <c r="AX59" s="16">
        <f>$W59*AC59+($L59)*Summary_LCIA!T$32</f>
        <v>42.929503342987566</v>
      </c>
      <c r="AY59" s="16">
        <f>$W59*AD59+($L59)*Summary_LCIA!U$32</f>
        <v>0.54986184596984433</v>
      </c>
      <c r="AZ59" s="16">
        <f>$W59*AE59+($L59)*Summary_LCIA!V$32</f>
        <v>5.9562878979002899E-3</v>
      </c>
      <c r="BA59" s="16">
        <f>$W59*AF59+($L59)*Summary_LCIA!W$32</f>
        <v>8.9873082141034182</v>
      </c>
      <c r="BB59" s="16">
        <f>$W59*AG59+($L59)*Summary_LCIA!X$32</f>
        <v>9.4372126338827318</v>
      </c>
      <c r="BC59" s="16">
        <f>$W59*AH59+($L59)*Summary_LCIA!Y$32</f>
        <v>0.48259804588519861</v>
      </c>
      <c r="BD59" s="16">
        <f>$W59*AI59+($L59)*Summary_LCIA!Z$32</f>
        <v>0.16553772010190138</v>
      </c>
      <c r="BE59" s="16">
        <f>$W59*AJ59+($L59)*Summary_LCIA!AA$32</f>
        <v>1.1977932555613007</v>
      </c>
      <c r="BF59" s="16">
        <f>$W59*AK59+($L59)*Summary_LCIA!AB$32</f>
        <v>4.2913757268463505E-2</v>
      </c>
      <c r="BG59" s="16">
        <f>$W59*AL59+($L59)*Summary_LCIA!AC$32</f>
        <v>2.179660974033746E-5</v>
      </c>
      <c r="BH59" s="16">
        <f>$W59*AM59+($L59)*Summary_LCIA!AD$32</f>
        <v>8.4741365219561285E-2</v>
      </c>
      <c r="BI59" s="16">
        <f>$W59*AN59+($L59)*Summary_LCIA!AE$32</f>
        <v>0.26021747193961059</v>
      </c>
      <c r="BJ59" s="16">
        <f>$W59*AO59+($L59)*Summary_LCIA!AF$32</f>
        <v>1.914559426431307E-2</v>
      </c>
      <c r="BK59" s="16">
        <f>$W59*AP59+($L59)*Summary_LCIA!AG$32</f>
        <v>4.5249482243130681E-3</v>
      </c>
      <c r="BL59" s="16">
        <f>$W59*AQ59+($L59)*Summary_LCIA!AH$32</f>
        <v>0.6894861490266323</v>
      </c>
      <c r="BM59" s="16">
        <f>$W59*AR59+($L59)*Summary_LCIA!AI$32</f>
        <v>0.21814175291430385</v>
      </c>
      <c r="BN59" s="16"/>
    </row>
    <row r="60" spans="1:66" x14ac:dyDescent="0.25">
      <c r="A60" s="159">
        <v>78</v>
      </c>
      <c r="B60" s="159">
        <v>6</v>
      </c>
      <c r="C60" s="45">
        <v>40.006103000000003</v>
      </c>
      <c r="D60" s="45">
        <v>-83.016536000000002</v>
      </c>
      <c r="E60" s="45" t="s">
        <v>265</v>
      </c>
      <c r="F60" s="159">
        <v>110</v>
      </c>
      <c r="G60" s="45" t="s">
        <v>658</v>
      </c>
      <c r="H60" s="45" t="s">
        <v>659</v>
      </c>
      <c r="I60" s="45">
        <v>39.999940000000002</v>
      </c>
      <c r="J60" s="45">
        <v>-82.887176999999994</v>
      </c>
      <c r="K60" s="45">
        <v>11.068644279999999</v>
      </c>
      <c r="L60" s="45">
        <v>18.408000000000001</v>
      </c>
      <c r="M60" s="45" t="s">
        <v>617</v>
      </c>
      <c r="N60" s="159">
        <v>5</v>
      </c>
      <c r="O60" s="159">
        <v>6</v>
      </c>
      <c r="P60" s="45" t="s">
        <v>565</v>
      </c>
      <c r="Q60" s="45" t="s">
        <v>564</v>
      </c>
      <c r="R60" s="45">
        <v>41.98028</v>
      </c>
      <c r="S60" s="45">
        <v>-87.908997900000003</v>
      </c>
      <c r="T60" s="45">
        <v>610.89200000000005</v>
      </c>
      <c r="U60" s="45" t="s">
        <v>617</v>
      </c>
      <c r="V60" s="45" t="s">
        <v>569</v>
      </c>
      <c r="W60" s="45" cm="1">
        <f t="array" ref="W60">getDistance(R60,S60,I60,J60)*SA!$B$12</f>
        <v>476.46082211216719</v>
      </c>
      <c r="X60" s="22"/>
      <c r="Y60" s="16">
        <f>Transportation_LCIA!C$61*($W60^Transportation_LCIA!C$60)+Transportation_LCIA!C$62</f>
        <v>0.3421495485374596</v>
      </c>
      <c r="Z60" s="16">
        <f>Transportation_LCIA!D$61*($W60^Transportation_LCIA!D$60)+Transportation_LCIA!D$62</f>
        <v>3.6874835022314647</v>
      </c>
      <c r="AA60" s="16">
        <f>Transportation_LCIA!E$61*($W60^Transportation_LCIA!E$60)+Transportation_LCIA!E$62</f>
        <v>1.9781439132864741E-3</v>
      </c>
      <c r="AB60" s="16">
        <f>Transportation_LCIA!F$61*($W60^Transportation_LCIA!F$60)+Transportation_LCIA!F$62</f>
        <v>0.3421495485374596</v>
      </c>
      <c r="AC60" s="16">
        <f>Transportation_LCIA!G$61*($W60^Transportation_LCIA!G$60)+Transportation_LCIA!G$62</f>
        <v>8.585483264216312E-2</v>
      </c>
      <c r="AD60" s="16">
        <f>Transportation_LCIA!H$61*($W60^Transportation_LCIA!H$60)+Transportation_LCIA!H$62</f>
        <v>4.6194970027992912E-4</v>
      </c>
      <c r="AE60" s="16">
        <f>Transportation_LCIA!I$61*($W60^Transportation_LCIA!I$60)+Transportation_LCIA!I$62</f>
        <v>1.0655867543092664E-5</v>
      </c>
      <c r="AF60" s="16">
        <f>Transportation_LCIA!J$61*($W60^Transportation_LCIA!J$60)+Transportation_LCIA!J$62</f>
        <v>1.5888874162923741E-2</v>
      </c>
      <c r="AG60" s="16">
        <f>Transportation_LCIA!K$61*($W60^Transportation_LCIA!K$60)+Transportation_LCIA!K$62</f>
        <v>1.8926799382803748E-2</v>
      </c>
      <c r="AH60" s="16">
        <f>Transportation_LCIA!L$61*($W60^Transportation_LCIA!L$60)+Transportation_LCIA!L$62</f>
        <v>4.1087237564962301E-4</v>
      </c>
      <c r="AI60" s="16">
        <f>Transportation_LCIA!M$61*($W60^Transportation_LCIA!M$60)+Transportation_LCIA!M$62</f>
        <v>3.4584758868402539E-4</v>
      </c>
      <c r="AJ60" s="16">
        <f>Transportation_LCIA!N$61*($W60^Transportation_LCIA!N$60)+Transportation_LCIA!N$62</f>
        <v>1.6115826777894741E-3</v>
      </c>
      <c r="AK60" s="16">
        <f>Transportation_LCIA!O$61*($W60^Transportation_LCIA!O$60)+Transportation_LCIA!O$62</f>
        <v>9.0910885097424208E-5</v>
      </c>
      <c r="AL60" s="16">
        <f>Transportation_LCIA!P$61*($W60^Transportation_LCIA!P$60)+Transportation_LCIA!P$62</f>
        <v>4.3858281937434929E-8</v>
      </c>
      <c r="AM60" s="16">
        <f>Transportation_LCIA!Q$61*($W60^Transportation_LCIA!Q$60)+Transportation_LCIA!Q$62</f>
        <v>1.6197541816227853E-4</v>
      </c>
      <c r="AN60" s="16">
        <f>Transportation_LCIA!R$61*($W60^Transportation_LCIA!R$60)+Transportation_LCIA!R$62</f>
        <v>5.1191111541630801E-4</v>
      </c>
      <c r="AO60" s="16">
        <f>Transportation_LCIA!S$61*($W60^Transportation_LCIA!S$60)+Transportation_LCIA!S$62</f>
        <v>7.5202466562288372E-6</v>
      </c>
      <c r="AP60" s="16">
        <f>Transportation_LCIA!T$61*($W60^Transportation_LCIA!T$60)+Transportation_LCIA!T$62</f>
        <v>7.5202466562288372E-6</v>
      </c>
      <c r="AQ60" s="16">
        <f>Transportation_LCIA!U$61*($W60^Transportation_LCIA!U$60)+Transportation_LCIA!U$62</f>
        <v>1.1108369369812168E-3</v>
      </c>
      <c r="AR60" s="16">
        <f>Transportation_LCIA!V$61*($W60^Transportation_LCIA!V$60)+Transportation_LCIA!V$62</f>
        <v>4.2184744513366603E-4</v>
      </c>
      <c r="AT60" s="16">
        <f>$W60*Y60+($L60)*Summary_LCIA!H$32</f>
        <v>169.27589358146486</v>
      </c>
      <c r="AU60" s="16">
        <f>$W60*Z60+($L60)*Summary_LCIA!Q$32</f>
        <v>1848.1723973689211</v>
      </c>
      <c r="AV60" s="16">
        <f>$W60*AA60+($L60)*Summary_LCIA!R$32</f>
        <v>1.0394372399806531</v>
      </c>
      <c r="AW60" s="16">
        <f>$W60*AB60+($L60)*Summary_LCIA!S$32</f>
        <v>169.19453022146487</v>
      </c>
      <c r="AX60" s="16">
        <f>$W60*AC60+($L60)*Summary_LCIA!T$32</f>
        <v>42.929503342987566</v>
      </c>
      <c r="AY60" s="16">
        <f>$W60*AD60+($L60)*Summary_LCIA!U$32</f>
        <v>0.54986184596984433</v>
      </c>
      <c r="AZ60" s="16">
        <f>$W60*AE60+($L60)*Summary_LCIA!V$32</f>
        <v>5.9562878979002899E-3</v>
      </c>
      <c r="BA60" s="16">
        <f>$W60*AF60+($L60)*Summary_LCIA!W$32</f>
        <v>8.9873082141034182</v>
      </c>
      <c r="BB60" s="16">
        <f>$W60*AG60+($L60)*Summary_LCIA!X$32</f>
        <v>9.4372126338827318</v>
      </c>
      <c r="BC60" s="16">
        <f>$W60*AH60+($L60)*Summary_LCIA!Y$32</f>
        <v>0.48259804588519861</v>
      </c>
      <c r="BD60" s="16">
        <f>$W60*AI60+($L60)*Summary_LCIA!Z$32</f>
        <v>0.16553772010190138</v>
      </c>
      <c r="BE60" s="16">
        <f>$W60*AJ60+($L60)*Summary_LCIA!AA$32</f>
        <v>1.1977932555613007</v>
      </c>
      <c r="BF60" s="16">
        <f>$W60*AK60+($L60)*Summary_LCIA!AB$32</f>
        <v>4.2913757268463505E-2</v>
      </c>
      <c r="BG60" s="16">
        <f>$W60*AL60+($L60)*Summary_LCIA!AC$32</f>
        <v>2.179660974033746E-5</v>
      </c>
      <c r="BH60" s="16">
        <f>$W60*AM60+($L60)*Summary_LCIA!AD$32</f>
        <v>8.4741365219561285E-2</v>
      </c>
      <c r="BI60" s="16">
        <f>$W60*AN60+($L60)*Summary_LCIA!AE$32</f>
        <v>0.26021747193961059</v>
      </c>
      <c r="BJ60" s="16">
        <f>$W60*AO60+($L60)*Summary_LCIA!AF$32</f>
        <v>1.914559426431307E-2</v>
      </c>
      <c r="BK60" s="16">
        <f>$W60*AP60+($L60)*Summary_LCIA!AG$32</f>
        <v>4.5249482243130681E-3</v>
      </c>
      <c r="BL60" s="16">
        <f>$W60*AQ60+($L60)*Summary_LCIA!AH$32</f>
        <v>0.6894861490266323</v>
      </c>
      <c r="BM60" s="16">
        <f>$W60*AR60+($L60)*Summary_LCIA!AI$32</f>
        <v>0.21814175291430385</v>
      </c>
      <c r="BN60" s="16"/>
    </row>
    <row r="61" spans="1:66" x14ac:dyDescent="0.25">
      <c r="A61" s="159">
        <v>230</v>
      </c>
      <c r="B61" s="159">
        <v>6</v>
      </c>
      <c r="C61" s="45">
        <v>44.974069999999998</v>
      </c>
      <c r="D61" s="45">
        <v>-93.024049000000005</v>
      </c>
      <c r="E61" s="45" t="s">
        <v>265</v>
      </c>
      <c r="F61" s="159">
        <v>57</v>
      </c>
      <c r="G61" s="45" t="s">
        <v>565</v>
      </c>
      <c r="H61" s="45" t="s">
        <v>641</v>
      </c>
      <c r="I61" s="45">
        <v>44.884754999999998</v>
      </c>
      <c r="J61" s="45">
        <v>-93.222284999999999</v>
      </c>
      <c r="K61" s="45">
        <v>21.929348569999998</v>
      </c>
      <c r="L61" s="45">
        <v>28.896000000000001</v>
      </c>
      <c r="M61" s="45" t="s">
        <v>617</v>
      </c>
      <c r="N61" s="159">
        <v>5</v>
      </c>
      <c r="O61" s="159">
        <v>6</v>
      </c>
      <c r="P61" s="45" t="s">
        <v>565</v>
      </c>
      <c r="Q61" s="45" t="s">
        <v>564</v>
      </c>
      <c r="R61" s="45">
        <v>41.98028</v>
      </c>
      <c r="S61" s="45">
        <v>-87.908997900000003</v>
      </c>
      <c r="T61" s="45">
        <v>617.125</v>
      </c>
      <c r="U61" s="45" t="s">
        <v>617</v>
      </c>
      <c r="V61" s="45" t="s">
        <v>569</v>
      </c>
      <c r="W61" s="45" cm="1">
        <f t="array" ref="W61">getDistance(R61,S61,I61,J61)*SA!$B$12</f>
        <v>537.9238360294454</v>
      </c>
      <c r="X61" s="22"/>
      <c r="Y61" s="16">
        <f>Transportation_LCIA!C$61*($W61^Transportation_LCIA!C$60)+Transportation_LCIA!C$62</f>
        <v>0.31986678213898079</v>
      </c>
      <c r="Z61" s="16">
        <f>Transportation_LCIA!D$61*($W61^Transportation_LCIA!D$60)+Transportation_LCIA!D$62</f>
        <v>3.4196837590581142</v>
      </c>
      <c r="AA61" s="16">
        <f>Transportation_LCIA!E$61*($W61^Transportation_LCIA!E$60)+Transportation_LCIA!E$62</f>
        <v>1.8006084167141755E-3</v>
      </c>
      <c r="AB61" s="16">
        <f>Transportation_LCIA!F$61*($W61^Transportation_LCIA!F$60)+Transportation_LCIA!F$62</f>
        <v>0.31986678213898079</v>
      </c>
      <c r="AC61" s="16">
        <f>Transportation_LCIA!G$61*($W61^Transportation_LCIA!G$60)+Transportation_LCIA!G$62</f>
        <v>7.9669699225259488E-2</v>
      </c>
      <c r="AD61" s="16">
        <f>Transportation_LCIA!H$61*($W61^Transportation_LCIA!H$60)+Transportation_LCIA!H$62</f>
        <v>4.2227087470452683E-4</v>
      </c>
      <c r="AE61" s="16">
        <f>Transportation_LCIA!I$61*($W61^Transportation_LCIA!I$60)+Transportation_LCIA!I$62</f>
        <v>9.6304021623867961E-6</v>
      </c>
      <c r="AF61" s="16">
        <f>Transportation_LCIA!J$61*($W61^Transportation_LCIA!J$60)+Transportation_LCIA!J$62</f>
        <v>1.4335225470337743E-2</v>
      </c>
      <c r="AG61" s="16">
        <f>Transportation_LCIA!K$61*($W61^Transportation_LCIA!K$60)+Transportation_LCIA!K$62</f>
        <v>1.7461378929992367E-2</v>
      </c>
      <c r="AH61" s="16">
        <f>Transportation_LCIA!L$61*($W61^Transportation_LCIA!L$60)+Transportation_LCIA!L$62</f>
        <v>3.741200211309115E-4</v>
      </c>
      <c r="AI61" s="16">
        <f>Transportation_LCIA!M$61*($W61^Transportation_LCIA!M$60)+Transportation_LCIA!M$62</f>
        <v>3.2392972305419126E-4</v>
      </c>
      <c r="AJ61" s="16">
        <f>Transportation_LCIA!N$61*($W61^Transportation_LCIA!N$60)+Transportation_LCIA!N$62</f>
        <v>1.4784543299395398E-3</v>
      </c>
      <c r="AK61" s="16">
        <f>Transportation_LCIA!O$61*($W61^Transportation_LCIA!O$60)+Transportation_LCIA!O$62</f>
        <v>8.4333072501823996E-5</v>
      </c>
      <c r="AL61" s="16">
        <f>Transportation_LCIA!P$61*($W61^Transportation_LCIA!P$60)+Transportation_LCIA!P$62</f>
        <v>4.0702648380323872E-8</v>
      </c>
      <c r="AM61" s="16">
        <f>Transportation_LCIA!Q$61*($W61^Transportation_LCIA!Q$60)+Transportation_LCIA!Q$62</f>
        <v>1.4754717709156823E-4</v>
      </c>
      <c r="AN61" s="16">
        <f>Transportation_LCIA!R$61*($W61^Transportation_LCIA!R$60)+Transportation_LCIA!R$62</f>
        <v>4.6270576693556009E-4</v>
      </c>
      <c r="AO61" s="16">
        <f>Transportation_LCIA!S$61*($W61^Transportation_LCIA!S$60)+Transportation_LCIA!S$62</f>
        <v>6.8227398697620497E-6</v>
      </c>
      <c r="AP61" s="16">
        <f>Transportation_LCIA!T$61*($W61^Transportation_LCIA!T$60)+Transportation_LCIA!T$62</f>
        <v>6.8227398697620497E-6</v>
      </c>
      <c r="AQ61" s="16">
        <f>Transportation_LCIA!U$61*($W61^Transportation_LCIA!U$60)+Transportation_LCIA!U$62</f>
        <v>1.002389311334221E-3</v>
      </c>
      <c r="AR61" s="16">
        <f>Transportation_LCIA!V$61*($W61^Transportation_LCIA!V$60)+Transportation_LCIA!V$62</f>
        <v>3.8411685160034487E-4</v>
      </c>
      <c r="AT61" s="16">
        <f>$W61*Y61+($L61)*Summary_LCIA!H$32</f>
        <v>181.88282726659546</v>
      </c>
      <c r="AU61" s="16">
        <f>$W61*Z61+($L61)*Summary_LCIA!Q$32</f>
        <v>1982.7394389921024</v>
      </c>
      <c r="AV61" s="16">
        <f>$W61*AA61+($L61)*Summary_LCIA!R$32</f>
        <v>1.1207449643057954</v>
      </c>
      <c r="AW61" s="16">
        <f>$W61*AB61+($L61)*Summary_LCIA!S$32</f>
        <v>181.75510694659545</v>
      </c>
      <c r="AX61" s="16">
        <f>$W61*AC61+($L61)*Summary_LCIA!T$32</f>
        <v>46.031900622563718</v>
      </c>
      <c r="AY61" s="16">
        <f>$W61*AD61+($L61)*Summary_LCIA!U$32</f>
        <v>0.74479251276456837</v>
      </c>
      <c r="AZ61" s="16">
        <f>$W61*AE61+($L61)*Summary_LCIA!V$32</f>
        <v>6.560524729697371E-3</v>
      </c>
      <c r="BA61" s="16">
        <f>$W61*AF61+($L61)*Summary_LCIA!W$32</f>
        <v>9.9354134913510883</v>
      </c>
      <c r="BB61" s="16">
        <f>$W61*AG61+($L61)*Summary_LCIA!X$32</f>
        <v>10.051142816385228</v>
      </c>
      <c r="BC61" s="16">
        <f>$W61*AH61+($L61)*Summary_LCIA!Y$32</f>
        <v>0.65150554890215717</v>
      </c>
      <c r="BD61" s="16">
        <f>$W61*AI61+($L61)*Summary_LCIA!Z$32</f>
        <v>0.17543451529326642</v>
      </c>
      <c r="BE61" s="16">
        <f>$W61*AJ61+($L61)*Summary_LCIA!AA$32</f>
        <v>1.4701908005554205</v>
      </c>
      <c r="BF61" s="16">
        <f>$W61*AK61+($L61)*Summary_LCIA!AB$32</f>
        <v>4.4734172456330504E-2</v>
      </c>
      <c r="BG61" s="16">
        <f>$W61*AL61+($L61)*Summary_LCIA!AC$32</f>
        <v>2.3307476817301509E-5</v>
      </c>
      <c r="BH61" s="16">
        <f>$W61*AM61+($L61)*Summary_LCIA!AD$32</f>
        <v>9.1246555336412294E-2</v>
      </c>
      <c r="BI61" s="16">
        <f>$W61*AN61+($L61)*Summary_LCIA!AE$32</f>
        <v>0.274506073582923</v>
      </c>
      <c r="BJ61" s="16">
        <f>$W61*AO61+($L61)*Summary_LCIA!AF$32</f>
        <v>2.8099370722973444E-2</v>
      </c>
      <c r="BK61" s="16">
        <f>$W61*AP61+($L61)*Summary_LCIA!AG$32</f>
        <v>5.1485782429734409E-3</v>
      </c>
      <c r="BL61" s="16">
        <f>$W61*AQ61+($L61)*Summary_LCIA!AH$32</f>
        <v>0.79070832914781819</v>
      </c>
      <c r="BM61" s="16">
        <f>$W61*AR61+($L61)*Summary_LCIA!AI$32</f>
        <v>0.23354367909641072</v>
      </c>
      <c r="BN61" s="16"/>
    </row>
    <row r="62" spans="1:66" x14ac:dyDescent="0.25">
      <c r="A62" s="159">
        <v>272</v>
      </c>
      <c r="B62" s="159">
        <v>6</v>
      </c>
      <c r="C62" s="45">
        <v>44.974156000000001</v>
      </c>
      <c r="D62" s="45">
        <v>-93.234200000000001</v>
      </c>
      <c r="E62" s="45" t="s">
        <v>265</v>
      </c>
      <c r="F62" s="159">
        <v>57</v>
      </c>
      <c r="G62" s="45" t="s">
        <v>565</v>
      </c>
      <c r="H62" s="45" t="s">
        <v>641</v>
      </c>
      <c r="I62" s="45">
        <v>44.884754999999998</v>
      </c>
      <c r="J62" s="45">
        <v>-93.222284999999999</v>
      </c>
      <c r="K62" s="45">
        <v>16.087904340000001</v>
      </c>
      <c r="L62" s="45">
        <v>18.332000000000001</v>
      </c>
      <c r="M62" s="45" t="s">
        <v>617</v>
      </c>
      <c r="N62" s="159">
        <v>5</v>
      </c>
      <c r="O62" s="159">
        <v>6</v>
      </c>
      <c r="P62" s="45" t="s">
        <v>565</v>
      </c>
      <c r="Q62" s="45" t="s">
        <v>564</v>
      </c>
      <c r="R62" s="45">
        <v>41.98028</v>
      </c>
      <c r="S62" s="45">
        <v>-87.908997900000003</v>
      </c>
      <c r="T62" s="45">
        <v>632.90800000000002</v>
      </c>
      <c r="U62" s="45" t="s">
        <v>617</v>
      </c>
      <c r="V62" s="45" t="s">
        <v>569</v>
      </c>
      <c r="W62" s="45" cm="1">
        <f t="array" ref="W62">getDistance(R62,S62,I62,J62)*SA!$B$12</f>
        <v>537.9238360294454</v>
      </c>
      <c r="X62" s="22"/>
      <c r="Y62" s="16">
        <f>Transportation_LCIA!C$61*($W62^Transportation_LCIA!C$60)+Transportation_LCIA!C$62</f>
        <v>0.31986678213898079</v>
      </c>
      <c r="Z62" s="16">
        <f>Transportation_LCIA!D$61*($W62^Transportation_LCIA!D$60)+Transportation_LCIA!D$62</f>
        <v>3.4196837590581142</v>
      </c>
      <c r="AA62" s="16">
        <f>Transportation_LCIA!E$61*($W62^Transportation_LCIA!E$60)+Transportation_LCIA!E$62</f>
        <v>1.8006084167141755E-3</v>
      </c>
      <c r="AB62" s="16">
        <f>Transportation_LCIA!F$61*($W62^Transportation_LCIA!F$60)+Transportation_LCIA!F$62</f>
        <v>0.31986678213898079</v>
      </c>
      <c r="AC62" s="16">
        <f>Transportation_LCIA!G$61*($W62^Transportation_LCIA!G$60)+Transportation_LCIA!G$62</f>
        <v>7.9669699225259488E-2</v>
      </c>
      <c r="AD62" s="16">
        <f>Transportation_LCIA!H$61*($W62^Transportation_LCIA!H$60)+Transportation_LCIA!H$62</f>
        <v>4.2227087470452683E-4</v>
      </c>
      <c r="AE62" s="16">
        <f>Transportation_LCIA!I$61*($W62^Transportation_LCIA!I$60)+Transportation_LCIA!I$62</f>
        <v>9.6304021623867961E-6</v>
      </c>
      <c r="AF62" s="16">
        <f>Transportation_LCIA!J$61*($W62^Transportation_LCIA!J$60)+Transportation_LCIA!J$62</f>
        <v>1.4335225470337743E-2</v>
      </c>
      <c r="AG62" s="16">
        <f>Transportation_LCIA!K$61*($W62^Transportation_LCIA!K$60)+Transportation_LCIA!K$62</f>
        <v>1.7461378929992367E-2</v>
      </c>
      <c r="AH62" s="16">
        <f>Transportation_LCIA!L$61*($W62^Transportation_LCIA!L$60)+Transportation_LCIA!L$62</f>
        <v>3.741200211309115E-4</v>
      </c>
      <c r="AI62" s="16">
        <f>Transportation_LCIA!M$61*($W62^Transportation_LCIA!M$60)+Transportation_LCIA!M$62</f>
        <v>3.2392972305419126E-4</v>
      </c>
      <c r="AJ62" s="16">
        <f>Transportation_LCIA!N$61*($W62^Transportation_LCIA!N$60)+Transportation_LCIA!N$62</f>
        <v>1.4784543299395398E-3</v>
      </c>
      <c r="AK62" s="16">
        <f>Transportation_LCIA!O$61*($W62^Transportation_LCIA!O$60)+Transportation_LCIA!O$62</f>
        <v>8.4333072501823996E-5</v>
      </c>
      <c r="AL62" s="16">
        <f>Transportation_LCIA!P$61*($W62^Transportation_LCIA!P$60)+Transportation_LCIA!P$62</f>
        <v>4.0702648380323872E-8</v>
      </c>
      <c r="AM62" s="16">
        <f>Transportation_LCIA!Q$61*($W62^Transportation_LCIA!Q$60)+Transportation_LCIA!Q$62</f>
        <v>1.4754717709156823E-4</v>
      </c>
      <c r="AN62" s="16">
        <f>Transportation_LCIA!R$61*($W62^Transportation_LCIA!R$60)+Transportation_LCIA!R$62</f>
        <v>4.6270576693556009E-4</v>
      </c>
      <c r="AO62" s="16">
        <f>Transportation_LCIA!S$61*($W62^Transportation_LCIA!S$60)+Transportation_LCIA!S$62</f>
        <v>6.8227398697620497E-6</v>
      </c>
      <c r="AP62" s="16">
        <f>Transportation_LCIA!T$61*($W62^Transportation_LCIA!T$60)+Transportation_LCIA!T$62</f>
        <v>6.8227398697620497E-6</v>
      </c>
      <c r="AQ62" s="16">
        <f>Transportation_LCIA!U$61*($W62^Transportation_LCIA!U$60)+Transportation_LCIA!U$62</f>
        <v>1.002389311334221E-3</v>
      </c>
      <c r="AR62" s="16">
        <f>Transportation_LCIA!V$61*($W62^Transportation_LCIA!V$60)+Transportation_LCIA!V$62</f>
        <v>3.8411685160034487E-4</v>
      </c>
      <c r="AT62" s="16">
        <f>$W62*Y62+($L62)*Summary_LCIA!H$32</f>
        <v>178.29318006659545</v>
      </c>
      <c r="AU62" s="16">
        <f>$W62*Z62+($L62)*Summary_LCIA!Q$32</f>
        <v>1930.3837222178904</v>
      </c>
      <c r="AV62" s="16">
        <f>$W62*AA62+($L62)*Summary_LCIA!R$32</f>
        <v>1.0651191659057955</v>
      </c>
      <c r="AW62" s="16">
        <f>$W62*AB62+($L62)*Summary_LCIA!S$32</f>
        <v>178.21215262659544</v>
      </c>
      <c r="AX62" s="16">
        <f>$W62*AC62+($L62)*Summary_LCIA!T$32</f>
        <v>44.870917022563717</v>
      </c>
      <c r="AY62" s="16">
        <f>$W62*AD62+($L62)*Summary_LCIA!U$32</f>
        <v>0.55554901676456836</v>
      </c>
      <c r="AZ62" s="16">
        <f>$W62*AE62+($L62)*Summary_LCIA!V$32</f>
        <v>6.0559775256973708E-3</v>
      </c>
      <c r="BA62" s="16">
        <f>$W62*AF62+($L62)*Summary_LCIA!W$32</f>
        <v>9.1222918473510894</v>
      </c>
      <c r="BB62" s="16">
        <f>$W62*AG62+($L62)*Summary_LCIA!X$32</f>
        <v>9.8104948963852276</v>
      </c>
      <c r="BC62" s="16">
        <f>$W62*AH62+($L62)*Summary_LCIA!Y$32</f>
        <v>0.4868973009021571</v>
      </c>
      <c r="BD62" s="16">
        <f>$W62*AI62+($L62)*Summary_LCIA!Z$32</f>
        <v>0.17500129621726643</v>
      </c>
      <c r="BE62" s="16">
        <f>$W62*AJ62+($L62)*Summary_LCIA!AA$32</f>
        <v>1.2234580165554205</v>
      </c>
      <c r="BF62" s="16">
        <f>$W62*AK62+($L62)*Summary_LCIA!AB$32</f>
        <v>4.4964710628330504E-2</v>
      </c>
      <c r="BG62" s="16">
        <f>$W62*AL62+($L62)*Summary_LCIA!AC$32</f>
        <v>2.2791066241301509E-5</v>
      </c>
      <c r="BH62" s="16">
        <f>$W62*AM62+($L62)*Summary_LCIA!AD$32</f>
        <v>8.6904328776412285E-2</v>
      </c>
      <c r="BI62" s="16">
        <f>$W62*AN62+($L62)*Summary_LCIA!AE$32</f>
        <v>0.26514499626292298</v>
      </c>
      <c r="BJ62" s="16">
        <f>$W62*AO62+($L62)*Summary_LCIA!AF$32</f>
        <v>1.9168353842973444E-2</v>
      </c>
      <c r="BK62" s="16">
        <f>$W62*AP62+($L62)*Summary_LCIA!AG$32</f>
        <v>4.6080711829734403E-3</v>
      </c>
      <c r="BL62" s="16">
        <f>$W62*AQ62+($L62)*Summary_LCIA!AH$32</f>
        <v>0.69876349874781818</v>
      </c>
      <c r="BM62" s="16">
        <f>$W62*AR62+($L62)*Summary_LCIA!AI$32</f>
        <v>0.22370278489641071</v>
      </c>
      <c r="BN62" s="16"/>
    </row>
    <row r="63" spans="1:66" x14ac:dyDescent="0.25">
      <c r="A63" s="159">
        <v>47</v>
      </c>
      <c r="B63" s="159">
        <v>6</v>
      </c>
      <c r="C63" s="45">
        <v>44.983167000000002</v>
      </c>
      <c r="D63" s="45">
        <v>-93.225847999999999</v>
      </c>
      <c r="E63" s="45" t="s">
        <v>265</v>
      </c>
      <c r="F63" s="159">
        <v>57</v>
      </c>
      <c r="G63" s="45" t="s">
        <v>565</v>
      </c>
      <c r="H63" s="45" t="s">
        <v>641</v>
      </c>
      <c r="I63" s="45">
        <v>44.884754999999998</v>
      </c>
      <c r="J63" s="45">
        <v>-93.222284999999999</v>
      </c>
      <c r="K63" s="45">
        <v>17.648848319999999</v>
      </c>
      <c r="L63" s="45">
        <v>19.448</v>
      </c>
      <c r="M63" s="45" t="s">
        <v>617</v>
      </c>
      <c r="N63" s="159">
        <v>5</v>
      </c>
      <c r="O63" s="159">
        <v>6</v>
      </c>
      <c r="P63" s="45" t="s">
        <v>565</v>
      </c>
      <c r="Q63" s="45" t="s">
        <v>564</v>
      </c>
      <c r="R63" s="45">
        <v>41.98028</v>
      </c>
      <c r="S63" s="45">
        <v>-87.908997900000003</v>
      </c>
      <c r="T63" s="45">
        <v>632.95899999999995</v>
      </c>
      <c r="U63" s="45" t="s">
        <v>617</v>
      </c>
      <c r="V63" s="45" t="s">
        <v>569</v>
      </c>
      <c r="W63" s="45" cm="1">
        <f t="array" ref="W63">getDistance(R63,S63,I63,J63)*SA!$B$12</f>
        <v>537.9238360294454</v>
      </c>
      <c r="X63" s="22"/>
      <c r="Y63" s="16">
        <f>Transportation_LCIA!C$61*($W63^Transportation_LCIA!C$60)+Transportation_LCIA!C$62</f>
        <v>0.31986678213898079</v>
      </c>
      <c r="Z63" s="16">
        <f>Transportation_LCIA!D$61*($W63^Transportation_LCIA!D$60)+Transportation_LCIA!D$62</f>
        <v>3.4196837590581142</v>
      </c>
      <c r="AA63" s="16">
        <f>Transportation_LCIA!E$61*($W63^Transportation_LCIA!E$60)+Transportation_LCIA!E$62</f>
        <v>1.8006084167141755E-3</v>
      </c>
      <c r="AB63" s="16">
        <f>Transportation_LCIA!F$61*($W63^Transportation_LCIA!F$60)+Transportation_LCIA!F$62</f>
        <v>0.31986678213898079</v>
      </c>
      <c r="AC63" s="16">
        <f>Transportation_LCIA!G$61*($W63^Transportation_LCIA!G$60)+Transportation_LCIA!G$62</f>
        <v>7.9669699225259488E-2</v>
      </c>
      <c r="AD63" s="16">
        <f>Transportation_LCIA!H$61*($W63^Transportation_LCIA!H$60)+Transportation_LCIA!H$62</f>
        <v>4.2227087470452683E-4</v>
      </c>
      <c r="AE63" s="16">
        <f>Transportation_LCIA!I$61*($W63^Transportation_LCIA!I$60)+Transportation_LCIA!I$62</f>
        <v>9.6304021623867961E-6</v>
      </c>
      <c r="AF63" s="16">
        <f>Transportation_LCIA!J$61*($W63^Transportation_LCIA!J$60)+Transportation_LCIA!J$62</f>
        <v>1.4335225470337743E-2</v>
      </c>
      <c r="AG63" s="16">
        <f>Transportation_LCIA!K$61*($W63^Transportation_LCIA!K$60)+Transportation_LCIA!K$62</f>
        <v>1.7461378929992367E-2</v>
      </c>
      <c r="AH63" s="16">
        <f>Transportation_LCIA!L$61*($W63^Transportation_LCIA!L$60)+Transportation_LCIA!L$62</f>
        <v>3.741200211309115E-4</v>
      </c>
      <c r="AI63" s="16">
        <f>Transportation_LCIA!M$61*($W63^Transportation_LCIA!M$60)+Transportation_LCIA!M$62</f>
        <v>3.2392972305419126E-4</v>
      </c>
      <c r="AJ63" s="16">
        <f>Transportation_LCIA!N$61*($W63^Transportation_LCIA!N$60)+Transportation_LCIA!N$62</f>
        <v>1.4784543299395398E-3</v>
      </c>
      <c r="AK63" s="16">
        <f>Transportation_LCIA!O$61*($W63^Transportation_LCIA!O$60)+Transportation_LCIA!O$62</f>
        <v>8.4333072501823996E-5</v>
      </c>
      <c r="AL63" s="16">
        <f>Transportation_LCIA!P$61*($W63^Transportation_LCIA!P$60)+Transportation_LCIA!P$62</f>
        <v>4.0702648380323872E-8</v>
      </c>
      <c r="AM63" s="16">
        <f>Transportation_LCIA!Q$61*($W63^Transportation_LCIA!Q$60)+Transportation_LCIA!Q$62</f>
        <v>1.4754717709156823E-4</v>
      </c>
      <c r="AN63" s="16">
        <f>Transportation_LCIA!R$61*($W63^Transportation_LCIA!R$60)+Transportation_LCIA!R$62</f>
        <v>4.6270576693556009E-4</v>
      </c>
      <c r="AO63" s="16">
        <f>Transportation_LCIA!S$61*($W63^Transportation_LCIA!S$60)+Transportation_LCIA!S$62</f>
        <v>6.8227398697620497E-6</v>
      </c>
      <c r="AP63" s="16">
        <f>Transportation_LCIA!T$61*($W63^Transportation_LCIA!T$60)+Transportation_LCIA!T$62</f>
        <v>6.8227398697620497E-6</v>
      </c>
      <c r="AQ63" s="16">
        <f>Transportation_LCIA!U$61*($W63^Transportation_LCIA!U$60)+Transportation_LCIA!U$62</f>
        <v>1.002389311334221E-3</v>
      </c>
      <c r="AR63" s="16">
        <f>Transportation_LCIA!V$61*($W63^Transportation_LCIA!V$60)+Transportation_LCIA!V$62</f>
        <v>3.8411685160034487E-4</v>
      </c>
      <c r="AT63" s="16">
        <f>$W63*Y63+($L63)*Summary_LCIA!H$32</f>
        <v>178.67239686659545</v>
      </c>
      <c r="AU63" s="16">
        <f>$W63*Z63+($L63)*Summary_LCIA!Q$32</f>
        <v>1935.9146745011185</v>
      </c>
      <c r="AV63" s="16">
        <f>$W63*AA63+($L63)*Summary_LCIA!R$32</f>
        <v>1.0709955755057954</v>
      </c>
      <c r="AW63" s="16">
        <f>$W63*AB63+($L63)*Summary_LCIA!S$32</f>
        <v>178.58643670659544</v>
      </c>
      <c r="AX63" s="16">
        <f>$W63*AC63+($L63)*Summary_LCIA!T$32</f>
        <v>44.993565422563719</v>
      </c>
      <c r="AY63" s="16">
        <f>$W63*AD63+($L63)*Summary_LCIA!U$32</f>
        <v>0.57554104076456836</v>
      </c>
      <c r="AZ63" s="16">
        <f>$W63*AE63+($L63)*Summary_LCIA!V$32</f>
        <v>6.1092788016973709E-3</v>
      </c>
      <c r="BA63" s="16">
        <f>$W63*AF63+($L63)*Summary_LCIA!W$32</f>
        <v>9.2081914833510901</v>
      </c>
      <c r="BB63" s="16">
        <f>$W63*AG63+($L63)*Summary_LCIA!X$32</f>
        <v>9.8359173763852272</v>
      </c>
      <c r="BC63" s="16">
        <f>$W63*AH63+($L63)*Summary_LCIA!Y$32</f>
        <v>0.50428681290215716</v>
      </c>
      <c r="BD63" s="16">
        <f>$W63*AI63+($L63)*Summary_LCIA!Z$32</f>
        <v>0.17504706226126643</v>
      </c>
      <c r="BE63" s="16">
        <f>$W63*AJ63+($L63)*Summary_LCIA!AA$32</f>
        <v>1.2495233125554206</v>
      </c>
      <c r="BF63" s="16">
        <f>$W63*AK63+($L63)*Summary_LCIA!AB$32</f>
        <v>4.49403561603305E-2</v>
      </c>
      <c r="BG63" s="16">
        <f>$W63*AL63+($L63)*Summary_LCIA!AC$32</f>
        <v>2.284562078530151E-5</v>
      </c>
      <c r="BH63" s="16">
        <f>$W63*AM63+($L63)*Summary_LCIA!AD$32</f>
        <v>8.7363049416412292E-2</v>
      </c>
      <c r="BI63" s="16">
        <f>$W63*AN63+($L63)*Summary_LCIA!AE$32</f>
        <v>0.26613391734292302</v>
      </c>
      <c r="BJ63" s="16">
        <f>$W63*AO63+($L63)*Summary_LCIA!AF$32</f>
        <v>2.0111842562973443E-2</v>
      </c>
      <c r="BK63" s="16">
        <f>$W63*AP63+($L63)*Summary_LCIA!AG$32</f>
        <v>4.6651713229734406E-3</v>
      </c>
      <c r="BL63" s="16">
        <f>$W63*AQ63+($L63)*Summary_LCIA!AH$32</f>
        <v>0.70847671634781817</v>
      </c>
      <c r="BM63" s="16">
        <f>$W63*AR63+($L63)*Summary_LCIA!AI$32</f>
        <v>0.22474239469641072</v>
      </c>
      <c r="BN63" s="16"/>
    </row>
    <row r="64" spans="1:66" x14ac:dyDescent="0.25">
      <c r="A64" s="159">
        <v>248</v>
      </c>
      <c r="B64" s="159">
        <v>6</v>
      </c>
      <c r="C64" s="45">
        <v>38.019613999999997</v>
      </c>
      <c r="D64" s="45">
        <v>-84.499448999999998</v>
      </c>
      <c r="E64" s="45" t="s">
        <v>265</v>
      </c>
      <c r="F64" s="159">
        <v>109</v>
      </c>
      <c r="G64" s="45" t="s">
        <v>273</v>
      </c>
      <c r="H64" s="45" t="s">
        <v>665</v>
      </c>
      <c r="I64" s="45">
        <v>39.053274999999999</v>
      </c>
      <c r="J64" s="45">
        <v>-84.663016999999996</v>
      </c>
      <c r="K64" s="45">
        <v>172.19998559999999</v>
      </c>
      <c r="L64" s="45">
        <v>132.86199999999999</v>
      </c>
      <c r="M64" s="45" t="s">
        <v>617</v>
      </c>
      <c r="N64" s="159">
        <v>5</v>
      </c>
      <c r="O64" s="159">
        <v>6</v>
      </c>
      <c r="P64" s="45" t="s">
        <v>565</v>
      </c>
      <c r="Q64" s="45" t="s">
        <v>564</v>
      </c>
      <c r="R64" s="45">
        <v>41.98028</v>
      </c>
      <c r="S64" s="45">
        <v>-87.908997900000003</v>
      </c>
      <c r="T64" s="45">
        <v>637.399</v>
      </c>
      <c r="U64" s="45" t="s">
        <v>617</v>
      </c>
      <c r="V64" s="45" t="s">
        <v>569</v>
      </c>
      <c r="W64" s="45" cm="1">
        <f t="array" ref="W64">getDistance(R64,S64,I64,J64)*SA!$B$12</f>
        <v>426.22298474711437</v>
      </c>
      <c r="X64" s="22"/>
      <c r="Y64" s="16">
        <f>Transportation_LCIA!C$61*($W64^Transportation_LCIA!C$60)+Transportation_LCIA!C$62</f>
        <v>0.36470937059724018</v>
      </c>
      <c r="Z64" s="16">
        <f>Transportation_LCIA!D$61*($W64^Transportation_LCIA!D$60)+Transportation_LCIA!D$62</f>
        <v>3.9599843643856643</v>
      </c>
      <c r="AA64" s="16">
        <f>Transportation_LCIA!E$61*($W64^Transportation_LCIA!E$60)+Transportation_LCIA!E$62</f>
        <v>2.1590522921276657E-3</v>
      </c>
      <c r="AB64" s="16">
        <f>Transportation_LCIA!F$61*($W64^Transportation_LCIA!F$60)+Transportation_LCIA!F$62</f>
        <v>0.36470937059724018</v>
      </c>
      <c r="AC64" s="16">
        <f>Transportation_LCIA!G$61*($W64^Transportation_LCIA!G$60)+Transportation_LCIA!G$62</f>
        <v>9.2146692060025251E-2</v>
      </c>
      <c r="AD64" s="16">
        <f>Transportation_LCIA!H$61*($W64^Transportation_LCIA!H$60)+Transportation_LCIA!H$62</f>
        <v>5.0249575772855042E-4</v>
      </c>
      <c r="AE64" s="16">
        <f>Transportation_LCIA!I$61*($W64^Transportation_LCIA!I$60)+Transportation_LCIA!I$62</f>
        <v>1.1708483079934808E-5</v>
      </c>
      <c r="AF64" s="16">
        <f>Transportation_LCIA!J$61*($W64^Transportation_LCIA!J$60)+Transportation_LCIA!J$62</f>
        <v>1.7488363461505577E-2</v>
      </c>
      <c r="AG64" s="16">
        <f>Transportation_LCIA!K$61*($W64^Transportation_LCIA!K$60)+Transportation_LCIA!K$62</f>
        <v>2.0421310133522361E-2</v>
      </c>
      <c r="AH64" s="16">
        <f>Transportation_LCIA!L$61*($W64^Transportation_LCIA!L$60)+Transportation_LCIA!L$62</f>
        <v>4.4847627034344826E-4</v>
      </c>
      <c r="AI64" s="16">
        <f>Transportation_LCIA!M$61*($W64^Transportation_LCIA!M$60)+Transportation_LCIA!M$62</f>
        <v>3.6824791490361742E-4</v>
      </c>
      <c r="AJ64" s="16">
        <f>Transportation_LCIA!N$61*($W64^Transportation_LCIA!N$60)+Transportation_LCIA!N$62</f>
        <v>1.7475719590774809E-3</v>
      </c>
      <c r="AK64" s="16">
        <f>Transportation_LCIA!O$61*($W64^Transportation_LCIA!O$60)+Transportation_LCIA!O$62</f>
        <v>9.7603127192632193E-5</v>
      </c>
      <c r="AL64" s="16">
        <f>Transportation_LCIA!P$61*($W64^Transportation_LCIA!P$60)+Transportation_LCIA!P$62</f>
        <v>4.7067607312152108E-8</v>
      </c>
      <c r="AM64" s="16">
        <f>Transportation_LCIA!Q$61*($W64^Transportation_LCIA!Q$60)+Transportation_LCIA!Q$62</f>
        <v>1.7674817037411348E-4</v>
      </c>
      <c r="AN64" s="16">
        <f>Transportation_LCIA!R$61*($W64^Transportation_LCIA!R$60)+Transportation_LCIA!R$62</f>
        <v>5.6242472670821938E-4</v>
      </c>
      <c r="AO64" s="16">
        <f>Transportation_LCIA!S$61*($W64^Transportation_LCIA!S$60)+Transportation_LCIA!S$62</f>
        <v>8.2361540379476893E-6</v>
      </c>
      <c r="AP64" s="16">
        <f>Transportation_LCIA!T$61*($W64^Transportation_LCIA!T$60)+Transportation_LCIA!T$62</f>
        <v>8.2361540379476893E-6</v>
      </c>
      <c r="AQ64" s="16">
        <f>Transportation_LCIA!U$61*($W64^Transportation_LCIA!U$60)+Transportation_LCIA!U$62</f>
        <v>1.2222632354241475E-3</v>
      </c>
      <c r="AR64" s="16">
        <f>Transportation_LCIA!V$61*($W64^Transportation_LCIA!V$60)+Transportation_LCIA!V$62</f>
        <v>4.6051342935052081E-4</v>
      </c>
      <c r="AT64" s="16">
        <f>$W64*Y64+($L64)*Summary_LCIA!H$32</f>
        <v>200.59402410119719</v>
      </c>
      <c r="AU64" s="16">
        <f>$W64*Z64+($L64)*Summary_LCIA!Q$32</f>
        <v>2346.3071279696082</v>
      </c>
      <c r="AV64" s="16">
        <f>$W64*AA64+($L64)*Summary_LCIA!R$32</f>
        <v>1.6198358593757523</v>
      </c>
      <c r="AW64" s="16">
        <f>$W64*AB64+($L64)*Summary_LCIA!S$32</f>
        <v>200.00677406119718</v>
      </c>
      <c r="AX64" s="16">
        <f>$W64*AC64+($L64)*Summary_LCIA!T$32</f>
        <v>53.876571924397183</v>
      </c>
      <c r="AY64" s="16">
        <f>$W64*AD64+($L64)*Summary_LCIA!U$32</f>
        <v>2.5942651096818254</v>
      </c>
      <c r="AZ64" s="16">
        <f>$W64*AE64+($L64)*Summary_LCIA!V$32</f>
        <v>1.1336046587190899E-2</v>
      </c>
      <c r="BA64" s="16">
        <f>$W64*AF64+($L64)*Summary_LCIA!W$32</f>
        <v>17.680463474905284</v>
      </c>
      <c r="BB64" s="16">
        <f>$W64*AG64+($L64)*Summary_LCIA!X$32</f>
        <v>11.730628117556392</v>
      </c>
      <c r="BC64" s="16">
        <f>$W64*AH64+($L64)*Summary_LCIA!Y$32</f>
        <v>2.2614065785340385</v>
      </c>
      <c r="BD64" s="16">
        <f>$W64*AI64+($L64)*Summary_LCIA!Z$32</f>
        <v>0.16240426317512119</v>
      </c>
      <c r="BE64" s="16">
        <f>$W64*AJ64+($L64)*Summary_LCIA!AA$32</f>
        <v>3.8479802084583654</v>
      </c>
      <c r="BF64" s="16">
        <f>$W64*AK64+($L64)*Summary_LCIA!AB$32</f>
        <v>3.8701248766695936E-2</v>
      </c>
      <c r="BG64" s="16">
        <f>$W64*AL64+($L64)*Summary_LCIA!AC$32</f>
        <v>2.6556122081490578E-5</v>
      </c>
      <c r="BH64" s="16">
        <f>$W64*AM64+($L64)*Summary_LCIA!AD$32</f>
        <v>0.12994572920544614</v>
      </c>
      <c r="BI64" s="16">
        <f>$W64*AN64+($L64)*Summary_LCIA!AE$32</f>
        <v>0.35745134977315735</v>
      </c>
      <c r="BJ64" s="16">
        <f>$W64*AO64+($L64)*Summary_LCIA!AF$32</f>
        <v>0.11583463019689107</v>
      </c>
      <c r="BK64" s="16">
        <f>$W64*AP64+($L64)*Summary_LCIA!AG$32</f>
        <v>1.0308322386891063E-2</v>
      </c>
      <c r="BL64" s="16">
        <f>$W64*AQ64+($L64)*Summary_LCIA!AH$32</f>
        <v>1.6773343875491451</v>
      </c>
      <c r="BM64" s="16">
        <f>$W64*AR64+($L64)*Summary_LCIA!AI$32</f>
        <v>0.32004900447390838</v>
      </c>
      <c r="BN64" s="16"/>
    </row>
    <row r="65" spans="1:66" x14ac:dyDescent="0.25">
      <c r="A65" s="159">
        <v>196</v>
      </c>
      <c r="B65" s="159">
        <v>6</v>
      </c>
      <c r="C65" s="45">
        <v>38.933138999999997</v>
      </c>
      <c r="D65" s="45">
        <v>-92.373804000000007</v>
      </c>
      <c r="E65" s="45" t="s">
        <v>265</v>
      </c>
      <c r="F65" s="159">
        <v>94</v>
      </c>
      <c r="G65" s="45" t="s">
        <v>693</v>
      </c>
      <c r="H65" s="45" t="s">
        <v>694</v>
      </c>
      <c r="I65" s="45">
        <v>38.749940000000002</v>
      </c>
      <c r="J65" s="45">
        <v>-90.374819000000002</v>
      </c>
      <c r="K65" s="45">
        <v>177.120712</v>
      </c>
      <c r="L65" s="45">
        <v>188.05</v>
      </c>
      <c r="M65" s="45" t="s">
        <v>617</v>
      </c>
      <c r="N65" s="159">
        <v>5</v>
      </c>
      <c r="O65" s="159">
        <v>6</v>
      </c>
      <c r="P65" s="45" t="s">
        <v>565</v>
      </c>
      <c r="Q65" s="45" t="s">
        <v>564</v>
      </c>
      <c r="R65" s="45">
        <v>41.98028</v>
      </c>
      <c r="S65" s="45">
        <v>-87.908997900000003</v>
      </c>
      <c r="T65" s="45">
        <v>642.53499999999997</v>
      </c>
      <c r="U65" s="45" t="s">
        <v>617</v>
      </c>
      <c r="V65" s="45" t="s">
        <v>569</v>
      </c>
      <c r="W65" s="45" cm="1">
        <f t="array" ref="W65">getDistance(R65,S65,I65,J65)*SA!$B$12</f>
        <v>415.92837633975137</v>
      </c>
      <c r="X65" s="22"/>
      <c r="Y65" s="16">
        <f>Transportation_LCIA!C$61*($W65^Transportation_LCIA!C$60)+Transportation_LCIA!C$62</f>
        <v>0.36994815840498518</v>
      </c>
      <c r="Z65" s="16">
        <f>Transportation_LCIA!D$61*($W65^Transportation_LCIA!D$60)+Transportation_LCIA!D$62</f>
        <v>4.0234484421955647</v>
      </c>
      <c r="AA65" s="16">
        <f>Transportation_LCIA!E$61*($W65^Transportation_LCIA!E$60)+Transportation_LCIA!E$62</f>
        <v>2.2012194298649938E-3</v>
      </c>
      <c r="AB65" s="16">
        <f>Transportation_LCIA!F$61*($W65^Transportation_LCIA!F$60)+Transportation_LCIA!F$62</f>
        <v>0.36994815840498518</v>
      </c>
      <c r="AC65" s="16">
        <f>Transportation_LCIA!G$61*($W65^Transportation_LCIA!G$60)+Transportation_LCIA!G$62</f>
        <v>9.3611785596409508E-2</v>
      </c>
      <c r="AD65" s="16">
        <f>Transportation_LCIA!H$61*($W65^Transportation_LCIA!H$60)+Transportation_LCIA!H$62</f>
        <v>5.1196174340509932E-4</v>
      </c>
      <c r="AE65" s="16">
        <f>Transportation_LCIA!I$61*($W65^Transportation_LCIA!I$60)+Transportation_LCIA!I$62</f>
        <v>1.1954869488468754E-5</v>
      </c>
      <c r="AF65" s="16">
        <f>Transportation_LCIA!J$61*($W65^Transportation_LCIA!J$60)+Transportation_LCIA!J$62</f>
        <v>1.7863393495932058E-2</v>
      </c>
      <c r="AG65" s="16">
        <f>Transportation_LCIA!K$61*($W65^Transportation_LCIA!K$60)+Transportation_LCIA!K$62</f>
        <v>2.0769827257385139E-2</v>
      </c>
      <c r="AH65" s="16">
        <f>Transportation_LCIA!L$61*($W65^Transportation_LCIA!L$60)+Transportation_LCIA!L$62</f>
        <v>4.5726187815364603E-4</v>
      </c>
      <c r="AI65" s="16">
        <f>Transportation_LCIA!M$61*($W65^Transportation_LCIA!M$60)+Transportation_LCIA!M$62</f>
        <v>3.7347801231547796E-4</v>
      </c>
      <c r="AJ65" s="16">
        <f>Transportation_LCIA!N$61*($W65^Transportation_LCIA!N$60)+Transportation_LCIA!N$62</f>
        <v>1.7793137976698883E-3</v>
      </c>
      <c r="AK65" s="16">
        <f>Transportation_LCIA!O$61*($W65^Transportation_LCIA!O$60)+Transportation_LCIA!O$62</f>
        <v>9.9161576696146439E-5</v>
      </c>
      <c r="AL65" s="16">
        <f>Transportation_LCIA!P$61*($W65^Transportation_LCIA!P$60)+Transportation_LCIA!P$62</f>
        <v>4.7814814061373349E-8</v>
      </c>
      <c r="AM65" s="16">
        <f>Transportation_LCIA!Q$61*($W65^Transportation_LCIA!Q$60)+Transportation_LCIA!Q$62</f>
        <v>1.8020098795436986E-4</v>
      </c>
      <c r="AN65" s="16">
        <f>Transportation_LCIA!R$61*($W65^Transportation_LCIA!R$60)+Transportation_LCIA!R$62</f>
        <v>5.7424922383034498E-4</v>
      </c>
      <c r="AO65" s="16">
        <f>Transportation_LCIA!S$61*($W65^Transportation_LCIA!S$60)+Transportation_LCIA!S$62</f>
        <v>8.4037179670860392E-6</v>
      </c>
      <c r="AP65" s="16">
        <f>Transportation_LCIA!T$61*($W65^Transportation_LCIA!T$60)+Transportation_LCIA!T$62</f>
        <v>8.4037179670860392E-6</v>
      </c>
      <c r="AQ65" s="16">
        <f>Transportation_LCIA!U$61*($W65^Transportation_LCIA!U$60)+Transportation_LCIA!U$62</f>
        <v>1.2483593696332224E-3</v>
      </c>
      <c r="AR65" s="16">
        <f>Transportation_LCIA!V$61*($W65^Transportation_LCIA!V$60)+Transportation_LCIA!V$62</f>
        <v>4.6955543369307253E-4</v>
      </c>
      <c r="AT65" s="16">
        <f>$W65*Y65+($L65)*Summary_LCIA!H$32</f>
        <v>217.77132685526664</v>
      </c>
      <c r="AU65" s="16">
        <f>$W65*Z65+($L65)*Summary_LCIA!Q$32</f>
        <v>2605.4516617747531</v>
      </c>
      <c r="AV65" s="16">
        <f>$W65*AA65+($L65)*Summary_LCIA!R$32</f>
        <v>1.9057457034312602</v>
      </c>
      <c r="AW65" s="16">
        <f>$W65*AB65+($L65)*Summary_LCIA!S$32</f>
        <v>216.94014585526662</v>
      </c>
      <c r="AX65" s="16">
        <f>$W65*AC65+($L65)*Summary_LCIA!T$32</f>
        <v>59.602492989379527</v>
      </c>
      <c r="AY65" s="16">
        <f>$W65*AD65+($L65)*Summary_LCIA!U$32</f>
        <v>3.5816671166825516</v>
      </c>
      <c r="AZ65" s="16">
        <f>$W65*AE65+($L65)*Summary_LCIA!V$32</f>
        <v>1.3953825505692444E-2</v>
      </c>
      <c r="BA65" s="16">
        <f>$W65*AF65+($L65)*Summary_LCIA!W$32</f>
        <v>21.904288802681094</v>
      </c>
      <c r="BB65" s="16">
        <f>$W65*AG65+($L65)*Summary_LCIA!X$32</f>
        <v>12.922539528021312</v>
      </c>
      <c r="BC65" s="16">
        <f>$W65*AH65+($L65)*Summary_LCIA!Y$32</f>
        <v>3.1203832905425113</v>
      </c>
      <c r="BD65" s="16">
        <f>$W65*AI65+($L65)*Summary_LCIA!Z$32</f>
        <v>0.16305184571097442</v>
      </c>
      <c r="BE65" s="16">
        <f>$W65*AJ65+($L65)*Summary_LCIA!AA$32</f>
        <v>5.1321628988637533</v>
      </c>
      <c r="BF65" s="16">
        <f>$W65*AK65+($L65)*Summary_LCIA!AB$32</f>
        <v>3.7140298440517916E-2</v>
      </c>
      <c r="BG65" s="16">
        <f>$W65*AL65+($L65)*Summary_LCIA!AC$32</f>
        <v>2.908017417753413E-5</v>
      </c>
      <c r="BH65" s="16">
        <f>$W65*AM65+($L65)*Summary_LCIA!AD$32</f>
        <v>0.15224677633468015</v>
      </c>
      <c r="BI65" s="16">
        <f>$W65*AN65+($L65)*Summary_LCIA!AE$32</f>
        <v>0.40548329378211784</v>
      </c>
      <c r="BJ65" s="16">
        <f>$W65*AO65+($L65)*Summary_LCIA!AF$32</f>
        <v>0.16247657576926733</v>
      </c>
      <c r="BK65" s="16">
        <f>$W65*AP65+($L65)*Summary_LCIA!AG$32</f>
        <v>1.3116923019267292E-2</v>
      </c>
      <c r="BL65" s="16">
        <f>$W65*AQ65+($L65)*Summary_LCIA!AH$32</f>
        <v>2.155940065700062</v>
      </c>
      <c r="BM65" s="16">
        <f>$W65*AR65+($L65)*Summary_LCIA!AI$32</f>
        <v>0.37047940663746748</v>
      </c>
      <c r="BN65" s="16"/>
    </row>
    <row r="66" spans="1:66" x14ac:dyDescent="0.25">
      <c r="A66" s="159">
        <v>197</v>
      </c>
      <c r="B66" s="159">
        <v>6</v>
      </c>
      <c r="C66" s="45">
        <v>38.933138999999997</v>
      </c>
      <c r="D66" s="45">
        <v>-92.373804000000007</v>
      </c>
      <c r="E66" s="45" t="s">
        <v>265</v>
      </c>
      <c r="F66" s="159">
        <v>94</v>
      </c>
      <c r="G66" s="45" t="s">
        <v>693</v>
      </c>
      <c r="H66" s="45" t="s">
        <v>694</v>
      </c>
      <c r="I66" s="45">
        <v>38.749940000000002</v>
      </c>
      <c r="J66" s="45">
        <v>-90.374819000000002</v>
      </c>
      <c r="K66" s="45">
        <v>177.120712</v>
      </c>
      <c r="L66" s="45">
        <v>188.05</v>
      </c>
      <c r="M66" s="45" t="s">
        <v>617</v>
      </c>
      <c r="N66" s="159">
        <v>5</v>
      </c>
      <c r="O66" s="159">
        <v>6</v>
      </c>
      <c r="P66" s="45" t="s">
        <v>565</v>
      </c>
      <c r="Q66" s="45" t="s">
        <v>564</v>
      </c>
      <c r="R66" s="45">
        <v>41.98028</v>
      </c>
      <c r="S66" s="45">
        <v>-87.908997900000003</v>
      </c>
      <c r="T66" s="45">
        <v>642.53499999999997</v>
      </c>
      <c r="U66" s="45" t="s">
        <v>617</v>
      </c>
      <c r="V66" s="45" t="s">
        <v>569</v>
      </c>
      <c r="W66" s="45" cm="1">
        <f t="array" ref="W66">getDistance(R66,S66,I66,J66)*SA!$B$12</f>
        <v>415.92837633975137</v>
      </c>
      <c r="X66" s="22"/>
      <c r="Y66" s="16">
        <f>Transportation_LCIA!C$61*($W66^Transportation_LCIA!C$60)+Transportation_LCIA!C$62</f>
        <v>0.36994815840498518</v>
      </c>
      <c r="Z66" s="16">
        <f>Transportation_LCIA!D$61*($W66^Transportation_LCIA!D$60)+Transportation_LCIA!D$62</f>
        <v>4.0234484421955647</v>
      </c>
      <c r="AA66" s="16">
        <f>Transportation_LCIA!E$61*($W66^Transportation_LCIA!E$60)+Transportation_LCIA!E$62</f>
        <v>2.2012194298649938E-3</v>
      </c>
      <c r="AB66" s="16">
        <f>Transportation_LCIA!F$61*($W66^Transportation_LCIA!F$60)+Transportation_LCIA!F$62</f>
        <v>0.36994815840498518</v>
      </c>
      <c r="AC66" s="16">
        <f>Transportation_LCIA!G$61*($W66^Transportation_LCIA!G$60)+Transportation_LCIA!G$62</f>
        <v>9.3611785596409508E-2</v>
      </c>
      <c r="AD66" s="16">
        <f>Transportation_LCIA!H$61*($W66^Transportation_LCIA!H$60)+Transportation_LCIA!H$62</f>
        <v>5.1196174340509932E-4</v>
      </c>
      <c r="AE66" s="16">
        <f>Transportation_LCIA!I$61*($W66^Transportation_LCIA!I$60)+Transportation_LCIA!I$62</f>
        <v>1.1954869488468754E-5</v>
      </c>
      <c r="AF66" s="16">
        <f>Transportation_LCIA!J$61*($W66^Transportation_LCIA!J$60)+Transportation_LCIA!J$62</f>
        <v>1.7863393495932058E-2</v>
      </c>
      <c r="AG66" s="16">
        <f>Transportation_LCIA!K$61*($W66^Transportation_LCIA!K$60)+Transportation_LCIA!K$62</f>
        <v>2.0769827257385139E-2</v>
      </c>
      <c r="AH66" s="16">
        <f>Transportation_LCIA!L$61*($W66^Transportation_LCIA!L$60)+Transportation_LCIA!L$62</f>
        <v>4.5726187815364603E-4</v>
      </c>
      <c r="AI66" s="16">
        <f>Transportation_LCIA!M$61*($W66^Transportation_LCIA!M$60)+Transportation_LCIA!M$62</f>
        <v>3.7347801231547796E-4</v>
      </c>
      <c r="AJ66" s="16">
        <f>Transportation_LCIA!N$61*($W66^Transportation_LCIA!N$60)+Transportation_LCIA!N$62</f>
        <v>1.7793137976698883E-3</v>
      </c>
      <c r="AK66" s="16">
        <f>Transportation_LCIA!O$61*($W66^Transportation_LCIA!O$60)+Transportation_LCIA!O$62</f>
        <v>9.9161576696146439E-5</v>
      </c>
      <c r="AL66" s="16">
        <f>Transportation_LCIA!P$61*($W66^Transportation_LCIA!P$60)+Transportation_LCIA!P$62</f>
        <v>4.7814814061373349E-8</v>
      </c>
      <c r="AM66" s="16">
        <f>Transportation_LCIA!Q$61*($W66^Transportation_LCIA!Q$60)+Transportation_LCIA!Q$62</f>
        <v>1.8020098795436986E-4</v>
      </c>
      <c r="AN66" s="16">
        <f>Transportation_LCIA!R$61*($W66^Transportation_LCIA!R$60)+Transportation_LCIA!R$62</f>
        <v>5.7424922383034498E-4</v>
      </c>
      <c r="AO66" s="16">
        <f>Transportation_LCIA!S$61*($W66^Transportation_LCIA!S$60)+Transportation_LCIA!S$62</f>
        <v>8.4037179670860392E-6</v>
      </c>
      <c r="AP66" s="16">
        <f>Transportation_LCIA!T$61*($W66^Transportation_LCIA!T$60)+Transportation_LCIA!T$62</f>
        <v>8.4037179670860392E-6</v>
      </c>
      <c r="AQ66" s="16">
        <f>Transportation_LCIA!U$61*($W66^Transportation_LCIA!U$60)+Transportation_LCIA!U$62</f>
        <v>1.2483593696332224E-3</v>
      </c>
      <c r="AR66" s="16">
        <f>Transportation_LCIA!V$61*($W66^Transportation_LCIA!V$60)+Transportation_LCIA!V$62</f>
        <v>4.6955543369307253E-4</v>
      </c>
      <c r="AT66" s="16">
        <f>$W66*Y66+($L66)*Summary_LCIA!H$32</f>
        <v>217.77132685526664</v>
      </c>
      <c r="AU66" s="16">
        <f>$W66*Z66+($L66)*Summary_LCIA!Q$32</f>
        <v>2605.4516617747531</v>
      </c>
      <c r="AV66" s="16">
        <f>$W66*AA66+($L66)*Summary_LCIA!R$32</f>
        <v>1.9057457034312602</v>
      </c>
      <c r="AW66" s="16">
        <f>$W66*AB66+($L66)*Summary_LCIA!S$32</f>
        <v>216.94014585526662</v>
      </c>
      <c r="AX66" s="16">
        <f>$W66*AC66+($L66)*Summary_LCIA!T$32</f>
        <v>59.602492989379527</v>
      </c>
      <c r="AY66" s="16">
        <f>$W66*AD66+($L66)*Summary_LCIA!U$32</f>
        <v>3.5816671166825516</v>
      </c>
      <c r="AZ66" s="16">
        <f>$W66*AE66+($L66)*Summary_LCIA!V$32</f>
        <v>1.3953825505692444E-2</v>
      </c>
      <c r="BA66" s="16">
        <f>$W66*AF66+($L66)*Summary_LCIA!W$32</f>
        <v>21.904288802681094</v>
      </c>
      <c r="BB66" s="16">
        <f>$W66*AG66+($L66)*Summary_LCIA!X$32</f>
        <v>12.922539528021312</v>
      </c>
      <c r="BC66" s="16">
        <f>$W66*AH66+($L66)*Summary_LCIA!Y$32</f>
        <v>3.1203832905425113</v>
      </c>
      <c r="BD66" s="16">
        <f>$W66*AI66+($L66)*Summary_LCIA!Z$32</f>
        <v>0.16305184571097442</v>
      </c>
      <c r="BE66" s="16">
        <f>$W66*AJ66+($L66)*Summary_LCIA!AA$32</f>
        <v>5.1321628988637533</v>
      </c>
      <c r="BF66" s="16">
        <f>$W66*AK66+($L66)*Summary_LCIA!AB$32</f>
        <v>3.7140298440517916E-2</v>
      </c>
      <c r="BG66" s="16">
        <f>$W66*AL66+($L66)*Summary_LCIA!AC$32</f>
        <v>2.908017417753413E-5</v>
      </c>
      <c r="BH66" s="16">
        <f>$W66*AM66+($L66)*Summary_LCIA!AD$32</f>
        <v>0.15224677633468015</v>
      </c>
      <c r="BI66" s="16">
        <f>$W66*AN66+($L66)*Summary_LCIA!AE$32</f>
        <v>0.40548329378211784</v>
      </c>
      <c r="BJ66" s="16">
        <f>$W66*AO66+($L66)*Summary_LCIA!AF$32</f>
        <v>0.16247657576926733</v>
      </c>
      <c r="BK66" s="16">
        <f>$W66*AP66+($L66)*Summary_LCIA!AG$32</f>
        <v>1.3116923019267292E-2</v>
      </c>
      <c r="BL66" s="16">
        <f>$W66*AQ66+($L66)*Summary_LCIA!AH$32</f>
        <v>2.155940065700062</v>
      </c>
      <c r="BM66" s="16">
        <f>$W66*AR66+($L66)*Summary_LCIA!AI$32</f>
        <v>0.37047940663746748</v>
      </c>
      <c r="BN66" s="16"/>
    </row>
    <row r="67" spans="1:66" x14ac:dyDescent="0.25">
      <c r="A67" s="159">
        <v>33</v>
      </c>
      <c r="B67" s="159">
        <v>6</v>
      </c>
      <c r="C67" s="45">
        <v>47.115026</v>
      </c>
      <c r="D67" s="45">
        <v>-88.545199999999994</v>
      </c>
      <c r="E67" s="45" t="s">
        <v>265</v>
      </c>
      <c r="F67" s="159">
        <v>137</v>
      </c>
      <c r="G67" s="45" t="s">
        <v>642</v>
      </c>
      <c r="H67" s="45" t="s">
        <v>643</v>
      </c>
      <c r="I67" s="45">
        <v>47.168708000000002</v>
      </c>
      <c r="J67" s="45">
        <v>-88.496306000000004</v>
      </c>
      <c r="K67" s="45">
        <v>225.30955169999999</v>
      </c>
      <c r="L67" s="45">
        <v>13.54</v>
      </c>
      <c r="M67" s="45" t="s">
        <v>617</v>
      </c>
      <c r="N67" s="159">
        <v>5</v>
      </c>
      <c r="O67" s="159">
        <v>6</v>
      </c>
      <c r="P67" s="45" t="s">
        <v>565</v>
      </c>
      <c r="Q67" s="45" t="s">
        <v>564</v>
      </c>
      <c r="R67" s="45">
        <v>41.98028</v>
      </c>
      <c r="S67" s="45">
        <v>-87.908997900000003</v>
      </c>
      <c r="T67" s="45">
        <v>646.82100000000003</v>
      </c>
      <c r="U67" s="45" t="s">
        <v>617</v>
      </c>
      <c r="V67" s="45" t="s">
        <v>569</v>
      </c>
      <c r="W67" s="45" cm="1">
        <f t="array" ref="W67">getDistance(R67,S67,I67,J67)*SA!$B$12</f>
        <v>579.41700792204915</v>
      </c>
      <c r="X67" s="22"/>
      <c r="Y67" s="16">
        <f>Transportation_LCIA!C$61*($W67^Transportation_LCIA!C$60)+Transportation_LCIA!C$62</f>
        <v>0.30729882152489507</v>
      </c>
      <c r="Z67" s="16">
        <f>Transportation_LCIA!D$61*($W67^Transportation_LCIA!D$60)+Transportation_LCIA!D$62</f>
        <v>3.2692833329177207</v>
      </c>
      <c r="AA67" s="16">
        <f>Transportation_LCIA!E$61*($W67^Transportation_LCIA!E$60)+Transportation_LCIA!E$62</f>
        <v>1.7010215246835009E-3</v>
      </c>
      <c r="AB67" s="16">
        <f>Transportation_LCIA!F$61*($W67^Transportation_LCIA!F$60)+Transportation_LCIA!F$62</f>
        <v>0.30729882152489507</v>
      </c>
      <c r="AC67" s="16">
        <f>Transportation_LCIA!G$61*($W67^Transportation_LCIA!G$60)+Transportation_LCIA!G$62</f>
        <v>7.6195167434880529E-2</v>
      </c>
      <c r="AD67" s="16">
        <f>Transportation_LCIA!H$61*($W67^Transportation_LCIA!H$60)+Transportation_LCIA!H$62</f>
        <v>4.0006618979584763E-4</v>
      </c>
      <c r="AE67" s="16">
        <f>Transportation_LCIA!I$61*($W67^Transportation_LCIA!I$60)+Transportation_LCIA!I$62</f>
        <v>9.0587319283235716E-6</v>
      </c>
      <c r="AF67" s="16">
        <f>Transportation_LCIA!J$61*($W67^Transportation_LCIA!J$60)+Transportation_LCIA!J$62</f>
        <v>1.3471269072017985E-2</v>
      </c>
      <c r="AG67" s="16">
        <f>Transportation_LCIA!K$61*($W67^Transportation_LCIA!K$60)+Transportation_LCIA!K$62</f>
        <v>1.6639947628133055E-2</v>
      </c>
      <c r="AH67" s="16">
        <f>Transportation_LCIA!L$61*($W67^Transportation_LCIA!L$60)+Transportation_LCIA!L$62</f>
        <v>3.5357540758904505E-4</v>
      </c>
      <c r="AI67" s="16">
        <f>Transportation_LCIA!M$61*($W67^Transportation_LCIA!M$60)+Transportation_LCIA!M$62</f>
        <v>3.1166584326352707E-4</v>
      </c>
      <c r="AJ67" s="16">
        <f>Transportation_LCIA!N$61*($W67^Transportation_LCIA!N$60)+Transportation_LCIA!N$62</f>
        <v>1.4039316702187713E-3</v>
      </c>
      <c r="AK67" s="16">
        <f>Transportation_LCIA!O$61*($W67^Transportation_LCIA!O$60)+Transportation_LCIA!O$62</f>
        <v>8.0638385241804721E-5</v>
      </c>
      <c r="AL67" s="16">
        <f>Transportation_LCIA!P$61*($W67^Transportation_LCIA!P$60)+Transportation_LCIA!P$62</f>
        <v>3.8929598832181193E-8</v>
      </c>
      <c r="AM67" s="16">
        <f>Transportation_LCIA!Q$61*($W67^Transportation_LCIA!Q$60)+Transportation_LCIA!Q$62</f>
        <v>1.394865004676305E-4</v>
      </c>
      <c r="AN67" s="16">
        <f>Transportation_LCIA!R$61*($W67^Transportation_LCIA!R$60)+Transportation_LCIA!R$62</f>
        <v>4.3527760270768294E-4</v>
      </c>
      <c r="AO67" s="16">
        <f>Transportation_LCIA!S$61*($W67^Transportation_LCIA!S$60)+Transportation_LCIA!S$62</f>
        <v>6.4338673498341644E-6</v>
      </c>
      <c r="AP67" s="16">
        <f>Transportation_LCIA!T$61*($W67^Transportation_LCIA!T$60)+Transportation_LCIA!T$62</f>
        <v>6.4338673498341644E-6</v>
      </c>
      <c r="AQ67" s="16">
        <f>Transportation_LCIA!U$61*($W67^Transportation_LCIA!U$60)+Transportation_LCIA!U$62</f>
        <v>9.4198202526368834E-4</v>
      </c>
      <c r="AR67" s="16">
        <f>Transportation_LCIA!V$61*($W67^Transportation_LCIA!V$60)+Transportation_LCIA!V$62</f>
        <v>3.6305370692808487E-4</v>
      </c>
      <c r="AT67" s="16">
        <f>$W67*Y67+($L67)*Summary_LCIA!H$32</f>
        <v>182.65505570592649</v>
      </c>
      <c r="AU67" s="16">
        <f>$W67*Z67+($L67)*Summary_LCIA!Q$32</f>
        <v>1961.3832896714302</v>
      </c>
      <c r="AV67" s="16">
        <f>$W67*AA67+($L67)*Summary_LCIA!R$32</f>
        <v>1.0568970262431161</v>
      </c>
      <c r="AW67" s="16">
        <f>$W67*AB67+($L67)*Summary_LCIA!S$32</f>
        <v>182.59520890592651</v>
      </c>
      <c r="AX67" s="16">
        <f>$W67*AC67+($L67)*Summary_LCIA!T$32</f>
        <v>45.636821933238032</v>
      </c>
      <c r="AY67" s="16">
        <f>$W67*AD67+($L67)*Summary_LCIA!U$32</f>
        <v>0.47436071466228463</v>
      </c>
      <c r="AZ67" s="16">
        <f>$W67*AE67+($L67)*Summary_LCIA!V$32</f>
        <v>5.8954672894771789E-3</v>
      </c>
      <c r="BA67" s="16">
        <f>$W67*AF67+($L67)*Summary_LCIA!W$32</f>
        <v>8.8476697586214996</v>
      </c>
      <c r="BB67" s="16">
        <f>$W67*AG67+($L67)*Summary_LCIA!X$32</f>
        <v>9.9499098666724546</v>
      </c>
      <c r="BC67" s="16">
        <f>$W67*AH67+($L67)*Summary_LCIA!Y$32</f>
        <v>0.41584788474006346</v>
      </c>
      <c r="BD67" s="16">
        <f>$W67*AI67+($L67)*Summary_LCIA!Z$32</f>
        <v>0.18113975223525519</v>
      </c>
      <c r="BE67" s="16">
        <f>$W67*AJ67+($L67)*Summary_LCIA!AA$32</f>
        <v>1.1297021276851655</v>
      </c>
      <c r="BF67" s="16">
        <f>$W67*AK67+($L67)*Summary_LCIA!AB$32</f>
        <v>4.6427768480472018E-2</v>
      </c>
      <c r="BG67" s="16">
        <f>$W67*AL67+($L67)*Summary_LCIA!AC$32</f>
        <v>2.3218361034948127E-5</v>
      </c>
      <c r="BH67" s="16">
        <f>$W67*AM67+($L67)*Summary_LCIA!AD$32</f>
        <v>8.6386332346471972E-2</v>
      </c>
      <c r="BI67" s="16">
        <f>$W67*AN67+($L67)*Summary_LCIA!AE$32</f>
        <v>0.26420544637636806</v>
      </c>
      <c r="BJ67" s="16">
        <f>$W67*AO67+($L67)*Summary_LCIA!AF$32</f>
        <v>1.5174878969208275E-2</v>
      </c>
      <c r="BK67" s="16">
        <f>$W67*AP67+($L67)*Summary_LCIA!AG$32</f>
        <v>4.4206662692082756E-3</v>
      </c>
      <c r="BL67" s="16">
        <f>$W67*AQ67+($L67)*Summary_LCIA!AH$32</f>
        <v>0.66364715059463841</v>
      </c>
      <c r="BM67" s="16">
        <f>$W67*AR67+($L67)*Summary_LCIA!AI$32</f>
        <v>0.22297267958327946</v>
      </c>
      <c r="BN67" s="16"/>
    </row>
    <row r="68" spans="1:66" x14ac:dyDescent="0.25">
      <c r="A68" s="159">
        <v>34</v>
      </c>
      <c r="B68" s="159">
        <v>6</v>
      </c>
      <c r="C68" s="45">
        <v>47.115026</v>
      </c>
      <c r="D68" s="45">
        <v>-88.545199999999994</v>
      </c>
      <c r="E68" s="45" t="s">
        <v>265</v>
      </c>
      <c r="F68" s="159">
        <v>137</v>
      </c>
      <c r="G68" s="45" t="s">
        <v>642</v>
      </c>
      <c r="H68" s="45" t="s">
        <v>643</v>
      </c>
      <c r="I68" s="45">
        <v>47.168708000000002</v>
      </c>
      <c r="J68" s="45">
        <v>-88.496306000000004</v>
      </c>
      <c r="K68" s="45">
        <v>225.30955169999999</v>
      </c>
      <c r="L68" s="45">
        <v>13.54</v>
      </c>
      <c r="M68" s="45" t="s">
        <v>617</v>
      </c>
      <c r="N68" s="159">
        <v>5</v>
      </c>
      <c r="O68" s="159">
        <v>6</v>
      </c>
      <c r="P68" s="45" t="s">
        <v>565</v>
      </c>
      <c r="Q68" s="45" t="s">
        <v>564</v>
      </c>
      <c r="R68" s="45">
        <v>41.98028</v>
      </c>
      <c r="S68" s="45">
        <v>-87.908997900000003</v>
      </c>
      <c r="T68" s="45">
        <v>646.82100000000003</v>
      </c>
      <c r="U68" s="45" t="s">
        <v>617</v>
      </c>
      <c r="V68" s="45" t="s">
        <v>569</v>
      </c>
      <c r="W68" s="45" cm="1">
        <f t="array" ref="W68">getDistance(R68,S68,I68,J68)*SA!$B$12</f>
        <v>579.41700792204915</v>
      </c>
      <c r="X68" s="22"/>
      <c r="Y68" s="16">
        <f>Transportation_LCIA!C$61*($W68^Transportation_LCIA!C$60)+Transportation_LCIA!C$62</f>
        <v>0.30729882152489507</v>
      </c>
      <c r="Z68" s="16">
        <f>Transportation_LCIA!D$61*($W68^Transportation_LCIA!D$60)+Transportation_LCIA!D$62</f>
        <v>3.2692833329177207</v>
      </c>
      <c r="AA68" s="16">
        <f>Transportation_LCIA!E$61*($W68^Transportation_LCIA!E$60)+Transportation_LCIA!E$62</f>
        <v>1.7010215246835009E-3</v>
      </c>
      <c r="AB68" s="16">
        <f>Transportation_LCIA!F$61*($W68^Transportation_LCIA!F$60)+Transportation_LCIA!F$62</f>
        <v>0.30729882152489507</v>
      </c>
      <c r="AC68" s="16">
        <f>Transportation_LCIA!G$61*($W68^Transportation_LCIA!G$60)+Transportation_LCIA!G$62</f>
        <v>7.6195167434880529E-2</v>
      </c>
      <c r="AD68" s="16">
        <f>Transportation_LCIA!H$61*($W68^Transportation_LCIA!H$60)+Transportation_LCIA!H$62</f>
        <v>4.0006618979584763E-4</v>
      </c>
      <c r="AE68" s="16">
        <f>Transportation_LCIA!I$61*($W68^Transportation_LCIA!I$60)+Transportation_LCIA!I$62</f>
        <v>9.0587319283235716E-6</v>
      </c>
      <c r="AF68" s="16">
        <f>Transportation_LCIA!J$61*($W68^Transportation_LCIA!J$60)+Transportation_LCIA!J$62</f>
        <v>1.3471269072017985E-2</v>
      </c>
      <c r="AG68" s="16">
        <f>Transportation_LCIA!K$61*($W68^Transportation_LCIA!K$60)+Transportation_LCIA!K$62</f>
        <v>1.6639947628133055E-2</v>
      </c>
      <c r="AH68" s="16">
        <f>Transportation_LCIA!L$61*($W68^Transportation_LCIA!L$60)+Transportation_LCIA!L$62</f>
        <v>3.5357540758904505E-4</v>
      </c>
      <c r="AI68" s="16">
        <f>Transportation_LCIA!M$61*($W68^Transportation_LCIA!M$60)+Transportation_LCIA!M$62</f>
        <v>3.1166584326352707E-4</v>
      </c>
      <c r="AJ68" s="16">
        <f>Transportation_LCIA!N$61*($W68^Transportation_LCIA!N$60)+Transportation_LCIA!N$62</f>
        <v>1.4039316702187713E-3</v>
      </c>
      <c r="AK68" s="16">
        <f>Transportation_LCIA!O$61*($W68^Transportation_LCIA!O$60)+Transportation_LCIA!O$62</f>
        <v>8.0638385241804721E-5</v>
      </c>
      <c r="AL68" s="16">
        <f>Transportation_LCIA!P$61*($W68^Transportation_LCIA!P$60)+Transportation_LCIA!P$62</f>
        <v>3.8929598832181193E-8</v>
      </c>
      <c r="AM68" s="16">
        <f>Transportation_LCIA!Q$61*($W68^Transportation_LCIA!Q$60)+Transportation_LCIA!Q$62</f>
        <v>1.394865004676305E-4</v>
      </c>
      <c r="AN68" s="16">
        <f>Transportation_LCIA!R$61*($W68^Transportation_LCIA!R$60)+Transportation_LCIA!R$62</f>
        <v>4.3527760270768294E-4</v>
      </c>
      <c r="AO68" s="16">
        <f>Transportation_LCIA!S$61*($W68^Transportation_LCIA!S$60)+Transportation_LCIA!S$62</f>
        <v>6.4338673498341644E-6</v>
      </c>
      <c r="AP68" s="16">
        <f>Transportation_LCIA!T$61*($W68^Transportation_LCIA!T$60)+Transportation_LCIA!T$62</f>
        <v>6.4338673498341644E-6</v>
      </c>
      <c r="AQ68" s="16">
        <f>Transportation_LCIA!U$61*($W68^Transportation_LCIA!U$60)+Transportation_LCIA!U$62</f>
        <v>9.4198202526368834E-4</v>
      </c>
      <c r="AR68" s="16">
        <f>Transportation_LCIA!V$61*($W68^Transportation_LCIA!V$60)+Transportation_LCIA!V$62</f>
        <v>3.6305370692808487E-4</v>
      </c>
      <c r="AT68" s="16">
        <f>$W68*Y68+($L68)*Summary_LCIA!H$32</f>
        <v>182.65505570592649</v>
      </c>
      <c r="AU68" s="16">
        <f>$W68*Z68+($L68)*Summary_LCIA!Q$32</f>
        <v>1961.3832896714302</v>
      </c>
      <c r="AV68" s="16">
        <f>$W68*AA68+($L68)*Summary_LCIA!R$32</f>
        <v>1.0568970262431161</v>
      </c>
      <c r="AW68" s="16">
        <f>$W68*AB68+($L68)*Summary_LCIA!S$32</f>
        <v>182.59520890592651</v>
      </c>
      <c r="AX68" s="16">
        <f>$W68*AC68+($L68)*Summary_LCIA!T$32</f>
        <v>45.636821933238032</v>
      </c>
      <c r="AY68" s="16">
        <f>$W68*AD68+($L68)*Summary_LCIA!U$32</f>
        <v>0.47436071466228463</v>
      </c>
      <c r="AZ68" s="16">
        <f>$W68*AE68+($L68)*Summary_LCIA!V$32</f>
        <v>5.8954672894771789E-3</v>
      </c>
      <c r="BA68" s="16">
        <f>$W68*AF68+($L68)*Summary_LCIA!W$32</f>
        <v>8.8476697586214996</v>
      </c>
      <c r="BB68" s="16">
        <f>$W68*AG68+($L68)*Summary_LCIA!X$32</f>
        <v>9.9499098666724546</v>
      </c>
      <c r="BC68" s="16">
        <f>$W68*AH68+($L68)*Summary_LCIA!Y$32</f>
        <v>0.41584788474006346</v>
      </c>
      <c r="BD68" s="16">
        <f>$W68*AI68+($L68)*Summary_LCIA!Z$32</f>
        <v>0.18113975223525519</v>
      </c>
      <c r="BE68" s="16">
        <f>$W68*AJ68+($L68)*Summary_LCIA!AA$32</f>
        <v>1.1297021276851655</v>
      </c>
      <c r="BF68" s="16">
        <f>$W68*AK68+($L68)*Summary_LCIA!AB$32</f>
        <v>4.6427768480472018E-2</v>
      </c>
      <c r="BG68" s="16">
        <f>$W68*AL68+($L68)*Summary_LCIA!AC$32</f>
        <v>2.3218361034948127E-5</v>
      </c>
      <c r="BH68" s="16">
        <f>$W68*AM68+($L68)*Summary_LCIA!AD$32</f>
        <v>8.6386332346471972E-2</v>
      </c>
      <c r="BI68" s="16">
        <f>$W68*AN68+($L68)*Summary_LCIA!AE$32</f>
        <v>0.26420544637636806</v>
      </c>
      <c r="BJ68" s="16">
        <f>$W68*AO68+($L68)*Summary_LCIA!AF$32</f>
        <v>1.5174878969208275E-2</v>
      </c>
      <c r="BK68" s="16">
        <f>$W68*AP68+($L68)*Summary_LCIA!AG$32</f>
        <v>4.4206662692082756E-3</v>
      </c>
      <c r="BL68" s="16">
        <f>$W68*AQ68+($L68)*Summary_LCIA!AH$32</f>
        <v>0.66364715059463841</v>
      </c>
      <c r="BM68" s="16">
        <f>$W68*AR68+($L68)*Summary_LCIA!AI$32</f>
        <v>0.22297267958327946</v>
      </c>
      <c r="BN68" s="16"/>
    </row>
    <row r="69" spans="1:66" x14ac:dyDescent="0.25">
      <c r="A69" s="159">
        <v>293</v>
      </c>
      <c r="B69" s="159">
        <v>6</v>
      </c>
      <c r="C69" s="45">
        <v>40.440624999999997</v>
      </c>
      <c r="D69" s="45">
        <v>-79.995885999999999</v>
      </c>
      <c r="E69" s="45" t="s">
        <v>265</v>
      </c>
      <c r="F69" s="159">
        <v>106</v>
      </c>
      <c r="G69" s="45" t="s">
        <v>266</v>
      </c>
      <c r="H69" s="45" t="s">
        <v>669</v>
      </c>
      <c r="I69" s="45">
        <v>40.491920999999998</v>
      </c>
      <c r="J69" s="45">
        <v>-80.235223000000005</v>
      </c>
      <c r="K69" s="45">
        <v>21.391265860000001</v>
      </c>
      <c r="L69" s="45">
        <v>27.920999999999999</v>
      </c>
      <c r="M69" s="45" t="s">
        <v>617</v>
      </c>
      <c r="N69" s="159">
        <v>5</v>
      </c>
      <c r="O69" s="159">
        <v>6</v>
      </c>
      <c r="P69" s="45" t="s">
        <v>565</v>
      </c>
      <c r="Q69" s="45" t="s">
        <v>564</v>
      </c>
      <c r="R69" s="45">
        <v>41.98028</v>
      </c>
      <c r="S69" s="45">
        <v>-87.908997900000003</v>
      </c>
      <c r="T69" s="45">
        <v>768.80700000000002</v>
      </c>
      <c r="U69" s="45" t="s">
        <v>617</v>
      </c>
      <c r="V69" s="45" t="s">
        <v>569</v>
      </c>
      <c r="W69" s="45" cm="1">
        <f t="array" ref="W69">getDistance(R69,S69,I69,J69)*SA!$B$12</f>
        <v>664.03976858093529</v>
      </c>
      <c r="X69" s="22"/>
      <c r="Y69" s="16">
        <f>Transportation_LCIA!C$61*($W69^Transportation_LCIA!C$60)+Transportation_LCIA!C$62</f>
        <v>0.28618318016419964</v>
      </c>
      <c r="Z69" s="16">
        <f>Transportation_LCIA!D$61*($W69^Transportation_LCIA!D$60)+Transportation_LCIA!D$62</f>
        <v>3.0177355282535454</v>
      </c>
      <c r="AA69" s="16">
        <f>Transportation_LCIA!E$61*($W69^Transportation_LCIA!E$60)+Transportation_LCIA!E$62</f>
        <v>1.5346723185627621E-3</v>
      </c>
      <c r="AB69" s="16">
        <f>Transportation_LCIA!F$61*($W69^Transportation_LCIA!F$60)+Transportation_LCIA!F$62</f>
        <v>0.28618318016419964</v>
      </c>
      <c r="AC69" s="16">
        <f>Transportation_LCIA!G$61*($W69^Transportation_LCIA!G$60)+Transportation_LCIA!G$62</f>
        <v>7.0382405916778926E-2</v>
      </c>
      <c r="AD69" s="16">
        <f>Transportation_LCIA!H$61*($W69^Transportation_LCIA!H$60)+Transportation_LCIA!H$62</f>
        <v>3.6306879462450609E-4</v>
      </c>
      <c r="AE69" s="16">
        <f>Transportation_LCIA!I$61*($W69^Transportation_LCIA!I$60)+Transportation_LCIA!I$62</f>
        <v>8.1100647661309928E-6</v>
      </c>
      <c r="AF69" s="16">
        <f>Transportation_LCIA!J$61*($W69^Transportation_LCIA!J$60)+Transportation_LCIA!J$62</f>
        <v>1.2041348839796951E-2</v>
      </c>
      <c r="AG69" s="16">
        <f>Transportation_LCIA!K$61*($W69^Transportation_LCIA!K$60)+Transportation_LCIA!K$62</f>
        <v>1.5268865092569082E-2</v>
      </c>
      <c r="AH69" s="16">
        <f>Transportation_LCIA!L$61*($W69^Transportation_LCIA!L$60)+Transportation_LCIA!L$62</f>
        <v>3.193834659249564E-4</v>
      </c>
      <c r="AI69" s="16">
        <f>Transportation_LCIA!M$61*($W69^Transportation_LCIA!M$60)+Transportation_LCIA!M$62</f>
        <v>2.9123459332568592E-4</v>
      </c>
      <c r="AJ69" s="16">
        <f>Transportation_LCIA!N$61*($W69^Transportation_LCIA!N$60)+Transportation_LCIA!N$62</f>
        <v>1.2797222196284355E-3</v>
      </c>
      <c r="AK69" s="16">
        <f>Transportation_LCIA!O$61*($W69^Transportation_LCIA!O$60)+Transportation_LCIA!O$62</f>
        <v>7.4458081336171384E-5</v>
      </c>
      <c r="AL69" s="16">
        <f>Transportation_LCIA!P$61*($W69^Transportation_LCIA!P$60)+Transportation_LCIA!P$62</f>
        <v>3.5962723058234319E-8</v>
      </c>
      <c r="AM69" s="16">
        <f>Transportation_LCIA!Q$61*($W69^Transportation_LCIA!Q$60)+Transportation_LCIA!Q$62</f>
        <v>1.2607962162909455E-4</v>
      </c>
      <c r="AN69" s="16">
        <f>Transportation_LCIA!R$61*($W69^Transportation_LCIA!R$60)+Transportation_LCIA!R$62</f>
        <v>3.8976595565047854E-4</v>
      </c>
      <c r="AO69" s="16">
        <f>Transportation_LCIA!S$61*($W69^Transportation_LCIA!S$60)+Transportation_LCIA!S$62</f>
        <v>5.7884928967616082E-6</v>
      </c>
      <c r="AP69" s="16">
        <f>Transportation_LCIA!T$61*($W69^Transportation_LCIA!T$60)+Transportation_LCIA!T$62</f>
        <v>5.7884928967616082E-6</v>
      </c>
      <c r="AQ69" s="16">
        <f>Transportation_LCIA!U$61*($W69^Transportation_LCIA!U$60)+Transportation_LCIA!U$62</f>
        <v>8.418249291876381E-4</v>
      </c>
      <c r="AR69" s="16">
        <f>Transportation_LCIA!V$61*($W69^Transportation_LCIA!V$60)+Transportation_LCIA!V$62</f>
        <v>3.2804857778078551E-4</v>
      </c>
      <c r="AT69" s="16">
        <f>$W69*Y69+($L69)*Summary_LCIA!H$32</f>
        <v>199.52456852799122</v>
      </c>
      <c r="AU69" s="16">
        <f>$W69*Z69+($L69)*Summary_LCIA!Q$32</f>
        <v>2142.2742859597438</v>
      </c>
      <c r="AV69" s="16">
        <f>$W69*AA69+($L69)*Summary_LCIA!R$32</f>
        <v>1.166104268865984</v>
      </c>
      <c r="AW69" s="16">
        <f>$W69*AB69+($L69)*Summary_LCIA!S$32</f>
        <v>199.40115770799122</v>
      </c>
      <c r="AX69" s="16">
        <f>$W69*AC69+($L69)*Summary_LCIA!T$32</f>
        <v>49.805234437147334</v>
      </c>
      <c r="AY69" s="16">
        <f>$W69*AD69+($L69)*Summary_LCIA!U$32</f>
        <v>0.74126891236141601</v>
      </c>
      <c r="AZ69" s="16">
        <f>$W69*AE69+($L69)*Summary_LCIA!V$32</f>
        <v>6.7189404114780214E-3</v>
      </c>
      <c r="BA69" s="16">
        <f>$W69*AF69+($L69)*Summary_LCIA!W$32</f>
        <v>10.145041787981082</v>
      </c>
      <c r="BB69" s="16">
        <f>$W69*AG69+($L69)*Summary_LCIA!X$32</f>
        <v>10.775174022563094</v>
      </c>
      <c r="BC69" s="16">
        <f>$W69*AH69+($L69)*Summary_LCIA!Y$32</f>
        <v>0.64714834480138506</v>
      </c>
      <c r="BD69" s="16">
        <f>$W69*AI69+($L69)*Summary_LCIA!Z$32</f>
        <v>0.19453636424375126</v>
      </c>
      <c r="BE69" s="16">
        <f>$W69*AJ69+($L69)*Summary_LCIA!AA$32</f>
        <v>1.5019093225699471</v>
      </c>
      <c r="BF69" s="16">
        <f>$W69*AK69+($L69)*Summary_LCIA!AB$32</f>
        <v>4.8833807116451702E-2</v>
      </c>
      <c r="BG69" s="16">
        <f>$W69*AL69+($L69)*Summary_LCIA!AC$32</f>
        <v>2.5245568461130181E-5</v>
      </c>
      <c r="BH69" s="16">
        <f>$W69*AM69+($L69)*Summary_LCIA!AD$32</f>
        <v>9.5198530609355819E-2</v>
      </c>
      <c r="BI69" s="16">
        <f>$W69*AN69+($L69)*Summary_LCIA!AE$32</f>
        <v>0.28356173072087087</v>
      </c>
      <c r="BJ69" s="16">
        <f>$W69*AO69+($L69)*Summary_LCIA!AF$32</f>
        <v>2.7448761303597968E-2</v>
      </c>
      <c r="BK69" s="16">
        <f>$W69*AP69+($L69)*Summary_LCIA!AG$32</f>
        <v>5.2723674485979661E-3</v>
      </c>
      <c r="BL69" s="16">
        <f>$W69*AQ69+($L69)*Summary_LCIA!AH$32</f>
        <v>0.80201844676342149</v>
      </c>
      <c r="BM69" s="16">
        <f>$W69*AR69+($L69)*Summary_LCIA!AI$32</f>
        <v>0.24384710922285774</v>
      </c>
      <c r="BN69" s="16"/>
    </row>
    <row r="70" spans="1:66" x14ac:dyDescent="0.25">
      <c r="A70" s="159">
        <v>294</v>
      </c>
      <c r="B70" s="159">
        <v>6</v>
      </c>
      <c r="C70" s="45">
        <v>40.440624999999997</v>
      </c>
      <c r="D70" s="45">
        <v>-79.995885999999999</v>
      </c>
      <c r="E70" s="45" t="s">
        <v>265</v>
      </c>
      <c r="F70" s="159">
        <v>106</v>
      </c>
      <c r="G70" s="45" t="s">
        <v>266</v>
      </c>
      <c r="H70" s="45" t="s">
        <v>669</v>
      </c>
      <c r="I70" s="45">
        <v>40.491920999999998</v>
      </c>
      <c r="J70" s="45">
        <v>-80.235223000000005</v>
      </c>
      <c r="K70" s="45">
        <v>21.391265860000001</v>
      </c>
      <c r="L70" s="45">
        <v>27.920999999999999</v>
      </c>
      <c r="M70" s="45" t="s">
        <v>617</v>
      </c>
      <c r="N70" s="159">
        <v>5</v>
      </c>
      <c r="O70" s="159">
        <v>6</v>
      </c>
      <c r="P70" s="45" t="s">
        <v>565</v>
      </c>
      <c r="Q70" s="45" t="s">
        <v>564</v>
      </c>
      <c r="R70" s="45">
        <v>41.98028</v>
      </c>
      <c r="S70" s="45">
        <v>-87.908997900000003</v>
      </c>
      <c r="T70" s="45">
        <v>768.80700000000002</v>
      </c>
      <c r="U70" s="45" t="s">
        <v>617</v>
      </c>
      <c r="V70" s="45" t="s">
        <v>569</v>
      </c>
      <c r="W70" s="45" cm="1">
        <f t="array" ref="W70">getDistance(R70,S70,I70,J70)*SA!$B$12</f>
        <v>664.03976858093529</v>
      </c>
      <c r="X70" s="22"/>
      <c r="Y70" s="16">
        <f>Transportation_LCIA!C$61*($W70^Transportation_LCIA!C$60)+Transportation_LCIA!C$62</f>
        <v>0.28618318016419964</v>
      </c>
      <c r="Z70" s="16">
        <f>Transportation_LCIA!D$61*($W70^Transportation_LCIA!D$60)+Transportation_LCIA!D$62</f>
        <v>3.0177355282535454</v>
      </c>
      <c r="AA70" s="16">
        <f>Transportation_LCIA!E$61*($W70^Transportation_LCIA!E$60)+Transportation_LCIA!E$62</f>
        <v>1.5346723185627621E-3</v>
      </c>
      <c r="AB70" s="16">
        <f>Transportation_LCIA!F$61*($W70^Transportation_LCIA!F$60)+Transportation_LCIA!F$62</f>
        <v>0.28618318016419964</v>
      </c>
      <c r="AC70" s="16">
        <f>Transportation_LCIA!G$61*($W70^Transportation_LCIA!G$60)+Transportation_LCIA!G$62</f>
        <v>7.0382405916778926E-2</v>
      </c>
      <c r="AD70" s="16">
        <f>Transportation_LCIA!H$61*($W70^Transportation_LCIA!H$60)+Transportation_LCIA!H$62</f>
        <v>3.6306879462450609E-4</v>
      </c>
      <c r="AE70" s="16">
        <f>Transportation_LCIA!I$61*($W70^Transportation_LCIA!I$60)+Transportation_LCIA!I$62</f>
        <v>8.1100647661309928E-6</v>
      </c>
      <c r="AF70" s="16">
        <f>Transportation_LCIA!J$61*($W70^Transportation_LCIA!J$60)+Transportation_LCIA!J$62</f>
        <v>1.2041348839796951E-2</v>
      </c>
      <c r="AG70" s="16">
        <f>Transportation_LCIA!K$61*($W70^Transportation_LCIA!K$60)+Transportation_LCIA!K$62</f>
        <v>1.5268865092569082E-2</v>
      </c>
      <c r="AH70" s="16">
        <f>Transportation_LCIA!L$61*($W70^Transportation_LCIA!L$60)+Transportation_LCIA!L$62</f>
        <v>3.193834659249564E-4</v>
      </c>
      <c r="AI70" s="16">
        <f>Transportation_LCIA!M$61*($W70^Transportation_LCIA!M$60)+Transportation_LCIA!M$62</f>
        <v>2.9123459332568592E-4</v>
      </c>
      <c r="AJ70" s="16">
        <f>Transportation_LCIA!N$61*($W70^Transportation_LCIA!N$60)+Transportation_LCIA!N$62</f>
        <v>1.2797222196284355E-3</v>
      </c>
      <c r="AK70" s="16">
        <f>Transportation_LCIA!O$61*($W70^Transportation_LCIA!O$60)+Transportation_LCIA!O$62</f>
        <v>7.4458081336171384E-5</v>
      </c>
      <c r="AL70" s="16">
        <f>Transportation_LCIA!P$61*($W70^Transportation_LCIA!P$60)+Transportation_LCIA!P$62</f>
        <v>3.5962723058234319E-8</v>
      </c>
      <c r="AM70" s="16">
        <f>Transportation_LCIA!Q$61*($W70^Transportation_LCIA!Q$60)+Transportation_LCIA!Q$62</f>
        <v>1.2607962162909455E-4</v>
      </c>
      <c r="AN70" s="16">
        <f>Transportation_LCIA!R$61*($W70^Transportation_LCIA!R$60)+Transportation_LCIA!R$62</f>
        <v>3.8976595565047854E-4</v>
      </c>
      <c r="AO70" s="16">
        <f>Transportation_LCIA!S$61*($W70^Transportation_LCIA!S$60)+Transportation_LCIA!S$62</f>
        <v>5.7884928967616082E-6</v>
      </c>
      <c r="AP70" s="16">
        <f>Transportation_LCIA!T$61*($W70^Transportation_LCIA!T$60)+Transportation_LCIA!T$62</f>
        <v>5.7884928967616082E-6</v>
      </c>
      <c r="AQ70" s="16">
        <f>Transportation_LCIA!U$61*($W70^Transportation_LCIA!U$60)+Transportation_LCIA!U$62</f>
        <v>8.418249291876381E-4</v>
      </c>
      <c r="AR70" s="16">
        <f>Transportation_LCIA!V$61*($W70^Transportation_LCIA!V$60)+Transportation_LCIA!V$62</f>
        <v>3.2804857778078551E-4</v>
      </c>
      <c r="AT70" s="16">
        <f>$W70*Y70+($L70)*Summary_LCIA!H$32</f>
        <v>199.52456852799122</v>
      </c>
      <c r="AU70" s="16">
        <f>$W70*Z70+($L70)*Summary_LCIA!Q$32</f>
        <v>2142.2742859597438</v>
      </c>
      <c r="AV70" s="16">
        <f>$W70*AA70+($L70)*Summary_LCIA!R$32</f>
        <v>1.166104268865984</v>
      </c>
      <c r="AW70" s="16">
        <f>$W70*AB70+($L70)*Summary_LCIA!S$32</f>
        <v>199.40115770799122</v>
      </c>
      <c r="AX70" s="16">
        <f>$W70*AC70+($L70)*Summary_LCIA!T$32</f>
        <v>49.805234437147334</v>
      </c>
      <c r="AY70" s="16">
        <f>$W70*AD70+($L70)*Summary_LCIA!U$32</f>
        <v>0.74126891236141601</v>
      </c>
      <c r="AZ70" s="16">
        <f>$W70*AE70+($L70)*Summary_LCIA!V$32</f>
        <v>6.7189404114780214E-3</v>
      </c>
      <c r="BA70" s="16">
        <f>$W70*AF70+($L70)*Summary_LCIA!W$32</f>
        <v>10.145041787981082</v>
      </c>
      <c r="BB70" s="16">
        <f>$W70*AG70+($L70)*Summary_LCIA!X$32</f>
        <v>10.775174022563094</v>
      </c>
      <c r="BC70" s="16">
        <f>$W70*AH70+($L70)*Summary_LCIA!Y$32</f>
        <v>0.64714834480138506</v>
      </c>
      <c r="BD70" s="16">
        <f>$W70*AI70+($L70)*Summary_LCIA!Z$32</f>
        <v>0.19453636424375126</v>
      </c>
      <c r="BE70" s="16">
        <f>$W70*AJ70+($L70)*Summary_LCIA!AA$32</f>
        <v>1.5019093225699471</v>
      </c>
      <c r="BF70" s="16">
        <f>$W70*AK70+($L70)*Summary_LCIA!AB$32</f>
        <v>4.8833807116451702E-2</v>
      </c>
      <c r="BG70" s="16">
        <f>$W70*AL70+($L70)*Summary_LCIA!AC$32</f>
        <v>2.5245568461130181E-5</v>
      </c>
      <c r="BH70" s="16">
        <f>$W70*AM70+($L70)*Summary_LCIA!AD$32</f>
        <v>9.5198530609355819E-2</v>
      </c>
      <c r="BI70" s="16">
        <f>$W70*AN70+($L70)*Summary_LCIA!AE$32</f>
        <v>0.28356173072087087</v>
      </c>
      <c r="BJ70" s="16">
        <f>$W70*AO70+($L70)*Summary_LCIA!AF$32</f>
        <v>2.7448761303597968E-2</v>
      </c>
      <c r="BK70" s="16">
        <f>$W70*AP70+($L70)*Summary_LCIA!AG$32</f>
        <v>5.2723674485979661E-3</v>
      </c>
      <c r="BL70" s="16">
        <f>$W70*AQ70+($L70)*Summary_LCIA!AH$32</f>
        <v>0.80201844676342149</v>
      </c>
      <c r="BM70" s="16">
        <f>$W70*AR70+($L70)*Summary_LCIA!AI$32</f>
        <v>0.24384710922285774</v>
      </c>
      <c r="BN70" s="16"/>
    </row>
    <row r="71" spans="1:66" x14ac:dyDescent="0.25">
      <c r="A71" s="159">
        <v>295</v>
      </c>
      <c r="B71" s="159">
        <v>6</v>
      </c>
      <c r="C71" s="45">
        <v>40.440624999999997</v>
      </c>
      <c r="D71" s="45">
        <v>-79.995885999999999</v>
      </c>
      <c r="E71" s="45" t="s">
        <v>265</v>
      </c>
      <c r="F71" s="159">
        <v>106</v>
      </c>
      <c r="G71" s="45" t="s">
        <v>266</v>
      </c>
      <c r="H71" s="45" t="s">
        <v>669</v>
      </c>
      <c r="I71" s="45">
        <v>40.491920999999998</v>
      </c>
      <c r="J71" s="45">
        <v>-80.235223000000005</v>
      </c>
      <c r="K71" s="45">
        <v>21.391265860000001</v>
      </c>
      <c r="L71" s="45">
        <v>27.920999999999999</v>
      </c>
      <c r="M71" s="45" t="s">
        <v>617</v>
      </c>
      <c r="N71" s="159">
        <v>5</v>
      </c>
      <c r="O71" s="159">
        <v>6</v>
      </c>
      <c r="P71" s="45" t="s">
        <v>565</v>
      </c>
      <c r="Q71" s="45" t="s">
        <v>564</v>
      </c>
      <c r="R71" s="45">
        <v>41.98028</v>
      </c>
      <c r="S71" s="45">
        <v>-87.908997900000003</v>
      </c>
      <c r="T71" s="45">
        <v>768.80700000000002</v>
      </c>
      <c r="U71" s="45" t="s">
        <v>617</v>
      </c>
      <c r="V71" s="45" t="s">
        <v>569</v>
      </c>
      <c r="W71" s="45" cm="1">
        <f t="array" ref="W71">getDistance(R71,S71,I71,J71)*SA!$B$12</f>
        <v>664.03976858093529</v>
      </c>
      <c r="X71" s="22"/>
      <c r="Y71" s="16">
        <f>Transportation_LCIA!C$61*($W71^Transportation_LCIA!C$60)+Transportation_LCIA!C$62</f>
        <v>0.28618318016419964</v>
      </c>
      <c r="Z71" s="16">
        <f>Transportation_LCIA!D$61*($W71^Transportation_LCIA!D$60)+Transportation_LCIA!D$62</f>
        <v>3.0177355282535454</v>
      </c>
      <c r="AA71" s="16">
        <f>Transportation_LCIA!E$61*($W71^Transportation_LCIA!E$60)+Transportation_LCIA!E$62</f>
        <v>1.5346723185627621E-3</v>
      </c>
      <c r="AB71" s="16">
        <f>Transportation_LCIA!F$61*($W71^Transportation_LCIA!F$60)+Transportation_LCIA!F$62</f>
        <v>0.28618318016419964</v>
      </c>
      <c r="AC71" s="16">
        <f>Transportation_LCIA!G$61*($W71^Transportation_LCIA!G$60)+Transportation_LCIA!G$62</f>
        <v>7.0382405916778926E-2</v>
      </c>
      <c r="AD71" s="16">
        <f>Transportation_LCIA!H$61*($W71^Transportation_LCIA!H$60)+Transportation_LCIA!H$62</f>
        <v>3.6306879462450609E-4</v>
      </c>
      <c r="AE71" s="16">
        <f>Transportation_LCIA!I$61*($W71^Transportation_LCIA!I$60)+Transportation_LCIA!I$62</f>
        <v>8.1100647661309928E-6</v>
      </c>
      <c r="AF71" s="16">
        <f>Transportation_LCIA!J$61*($W71^Transportation_LCIA!J$60)+Transportation_LCIA!J$62</f>
        <v>1.2041348839796951E-2</v>
      </c>
      <c r="AG71" s="16">
        <f>Transportation_LCIA!K$61*($W71^Transportation_LCIA!K$60)+Transportation_LCIA!K$62</f>
        <v>1.5268865092569082E-2</v>
      </c>
      <c r="AH71" s="16">
        <f>Transportation_LCIA!L$61*($W71^Transportation_LCIA!L$60)+Transportation_LCIA!L$62</f>
        <v>3.193834659249564E-4</v>
      </c>
      <c r="AI71" s="16">
        <f>Transportation_LCIA!M$61*($W71^Transportation_LCIA!M$60)+Transportation_LCIA!M$62</f>
        <v>2.9123459332568592E-4</v>
      </c>
      <c r="AJ71" s="16">
        <f>Transportation_LCIA!N$61*($W71^Transportation_LCIA!N$60)+Transportation_LCIA!N$62</f>
        <v>1.2797222196284355E-3</v>
      </c>
      <c r="AK71" s="16">
        <f>Transportation_LCIA!O$61*($W71^Transportation_LCIA!O$60)+Transportation_LCIA!O$62</f>
        <v>7.4458081336171384E-5</v>
      </c>
      <c r="AL71" s="16">
        <f>Transportation_LCIA!P$61*($W71^Transportation_LCIA!P$60)+Transportation_LCIA!P$62</f>
        <v>3.5962723058234319E-8</v>
      </c>
      <c r="AM71" s="16">
        <f>Transportation_LCIA!Q$61*($W71^Transportation_LCIA!Q$60)+Transportation_LCIA!Q$62</f>
        <v>1.2607962162909455E-4</v>
      </c>
      <c r="AN71" s="16">
        <f>Transportation_LCIA!R$61*($W71^Transportation_LCIA!R$60)+Transportation_LCIA!R$62</f>
        <v>3.8976595565047854E-4</v>
      </c>
      <c r="AO71" s="16">
        <f>Transportation_LCIA!S$61*($W71^Transportation_LCIA!S$60)+Transportation_LCIA!S$62</f>
        <v>5.7884928967616082E-6</v>
      </c>
      <c r="AP71" s="16">
        <f>Transportation_LCIA!T$61*($W71^Transportation_LCIA!T$60)+Transportation_LCIA!T$62</f>
        <v>5.7884928967616082E-6</v>
      </c>
      <c r="AQ71" s="16">
        <f>Transportation_LCIA!U$61*($W71^Transportation_LCIA!U$60)+Transportation_LCIA!U$62</f>
        <v>8.418249291876381E-4</v>
      </c>
      <c r="AR71" s="16">
        <f>Transportation_LCIA!V$61*($W71^Transportation_LCIA!V$60)+Transportation_LCIA!V$62</f>
        <v>3.2804857778078551E-4</v>
      </c>
      <c r="AT71" s="16">
        <f>$W71*Y71+($L71)*Summary_LCIA!H$32</f>
        <v>199.52456852799122</v>
      </c>
      <c r="AU71" s="16">
        <f>$W71*Z71+($L71)*Summary_LCIA!Q$32</f>
        <v>2142.2742859597438</v>
      </c>
      <c r="AV71" s="16">
        <f>$W71*AA71+($L71)*Summary_LCIA!R$32</f>
        <v>1.166104268865984</v>
      </c>
      <c r="AW71" s="16">
        <f>$W71*AB71+($L71)*Summary_LCIA!S$32</f>
        <v>199.40115770799122</v>
      </c>
      <c r="AX71" s="16">
        <f>$W71*AC71+($L71)*Summary_LCIA!T$32</f>
        <v>49.805234437147334</v>
      </c>
      <c r="AY71" s="16">
        <f>$W71*AD71+($L71)*Summary_LCIA!U$32</f>
        <v>0.74126891236141601</v>
      </c>
      <c r="AZ71" s="16">
        <f>$W71*AE71+($L71)*Summary_LCIA!V$32</f>
        <v>6.7189404114780214E-3</v>
      </c>
      <c r="BA71" s="16">
        <f>$W71*AF71+($L71)*Summary_LCIA!W$32</f>
        <v>10.145041787981082</v>
      </c>
      <c r="BB71" s="16">
        <f>$W71*AG71+($L71)*Summary_LCIA!X$32</f>
        <v>10.775174022563094</v>
      </c>
      <c r="BC71" s="16">
        <f>$W71*AH71+($L71)*Summary_LCIA!Y$32</f>
        <v>0.64714834480138506</v>
      </c>
      <c r="BD71" s="16">
        <f>$W71*AI71+($L71)*Summary_LCIA!Z$32</f>
        <v>0.19453636424375126</v>
      </c>
      <c r="BE71" s="16">
        <f>$W71*AJ71+($L71)*Summary_LCIA!AA$32</f>
        <v>1.5019093225699471</v>
      </c>
      <c r="BF71" s="16">
        <f>$W71*AK71+($L71)*Summary_LCIA!AB$32</f>
        <v>4.8833807116451702E-2</v>
      </c>
      <c r="BG71" s="16">
        <f>$W71*AL71+($L71)*Summary_LCIA!AC$32</f>
        <v>2.5245568461130181E-5</v>
      </c>
      <c r="BH71" s="16">
        <f>$W71*AM71+($L71)*Summary_LCIA!AD$32</f>
        <v>9.5198530609355819E-2</v>
      </c>
      <c r="BI71" s="16">
        <f>$W71*AN71+($L71)*Summary_LCIA!AE$32</f>
        <v>0.28356173072087087</v>
      </c>
      <c r="BJ71" s="16">
        <f>$W71*AO71+($L71)*Summary_LCIA!AF$32</f>
        <v>2.7448761303597968E-2</v>
      </c>
      <c r="BK71" s="16">
        <f>$W71*AP71+($L71)*Summary_LCIA!AG$32</f>
        <v>5.2723674485979661E-3</v>
      </c>
      <c r="BL71" s="16">
        <f>$W71*AQ71+($L71)*Summary_LCIA!AH$32</f>
        <v>0.80201844676342149</v>
      </c>
      <c r="BM71" s="16">
        <f>$W71*AR71+($L71)*Summary_LCIA!AI$32</f>
        <v>0.24384710922285774</v>
      </c>
      <c r="BN71" s="16"/>
    </row>
    <row r="72" spans="1:66" x14ac:dyDescent="0.25">
      <c r="A72" s="159">
        <v>296</v>
      </c>
      <c r="B72" s="159">
        <v>6</v>
      </c>
      <c r="C72" s="45">
        <v>40.440624999999997</v>
      </c>
      <c r="D72" s="45">
        <v>-79.995885999999999</v>
      </c>
      <c r="E72" s="45" t="s">
        <v>265</v>
      </c>
      <c r="F72" s="159">
        <v>106</v>
      </c>
      <c r="G72" s="45" t="s">
        <v>266</v>
      </c>
      <c r="H72" s="45" t="s">
        <v>669</v>
      </c>
      <c r="I72" s="45">
        <v>40.491920999999998</v>
      </c>
      <c r="J72" s="45">
        <v>-80.235223000000005</v>
      </c>
      <c r="K72" s="45">
        <v>21.391265860000001</v>
      </c>
      <c r="L72" s="45">
        <v>27.920999999999999</v>
      </c>
      <c r="M72" s="45" t="s">
        <v>617</v>
      </c>
      <c r="N72" s="159">
        <v>5</v>
      </c>
      <c r="O72" s="159">
        <v>6</v>
      </c>
      <c r="P72" s="45" t="s">
        <v>565</v>
      </c>
      <c r="Q72" s="45" t="s">
        <v>564</v>
      </c>
      <c r="R72" s="45">
        <v>41.98028</v>
      </c>
      <c r="S72" s="45">
        <v>-87.908997900000003</v>
      </c>
      <c r="T72" s="45">
        <v>768.80700000000002</v>
      </c>
      <c r="U72" s="45" t="s">
        <v>617</v>
      </c>
      <c r="V72" s="45" t="s">
        <v>569</v>
      </c>
      <c r="W72" s="45" cm="1">
        <f t="array" ref="W72">getDistance(R72,S72,I72,J72)*SA!$B$12</f>
        <v>664.03976858093529</v>
      </c>
      <c r="X72" s="22"/>
      <c r="Y72" s="16">
        <f>Transportation_LCIA!C$61*($W72^Transportation_LCIA!C$60)+Transportation_LCIA!C$62</f>
        <v>0.28618318016419964</v>
      </c>
      <c r="Z72" s="16">
        <f>Transportation_LCIA!D$61*($W72^Transportation_LCIA!D$60)+Transportation_LCIA!D$62</f>
        <v>3.0177355282535454</v>
      </c>
      <c r="AA72" s="16">
        <f>Transportation_LCIA!E$61*($W72^Transportation_LCIA!E$60)+Transportation_LCIA!E$62</f>
        <v>1.5346723185627621E-3</v>
      </c>
      <c r="AB72" s="16">
        <f>Transportation_LCIA!F$61*($W72^Transportation_LCIA!F$60)+Transportation_LCIA!F$62</f>
        <v>0.28618318016419964</v>
      </c>
      <c r="AC72" s="16">
        <f>Transportation_LCIA!G$61*($W72^Transportation_LCIA!G$60)+Transportation_LCIA!G$62</f>
        <v>7.0382405916778926E-2</v>
      </c>
      <c r="AD72" s="16">
        <f>Transportation_LCIA!H$61*($W72^Transportation_LCIA!H$60)+Transportation_LCIA!H$62</f>
        <v>3.6306879462450609E-4</v>
      </c>
      <c r="AE72" s="16">
        <f>Transportation_LCIA!I$61*($W72^Transportation_LCIA!I$60)+Transportation_LCIA!I$62</f>
        <v>8.1100647661309928E-6</v>
      </c>
      <c r="AF72" s="16">
        <f>Transportation_LCIA!J$61*($W72^Transportation_LCIA!J$60)+Transportation_LCIA!J$62</f>
        <v>1.2041348839796951E-2</v>
      </c>
      <c r="AG72" s="16">
        <f>Transportation_LCIA!K$61*($W72^Transportation_LCIA!K$60)+Transportation_LCIA!K$62</f>
        <v>1.5268865092569082E-2</v>
      </c>
      <c r="AH72" s="16">
        <f>Transportation_LCIA!L$61*($W72^Transportation_LCIA!L$60)+Transportation_LCIA!L$62</f>
        <v>3.193834659249564E-4</v>
      </c>
      <c r="AI72" s="16">
        <f>Transportation_LCIA!M$61*($W72^Transportation_LCIA!M$60)+Transportation_LCIA!M$62</f>
        <v>2.9123459332568592E-4</v>
      </c>
      <c r="AJ72" s="16">
        <f>Transportation_LCIA!N$61*($W72^Transportation_LCIA!N$60)+Transportation_LCIA!N$62</f>
        <v>1.2797222196284355E-3</v>
      </c>
      <c r="AK72" s="16">
        <f>Transportation_LCIA!O$61*($W72^Transportation_LCIA!O$60)+Transportation_LCIA!O$62</f>
        <v>7.4458081336171384E-5</v>
      </c>
      <c r="AL72" s="16">
        <f>Transportation_LCIA!P$61*($W72^Transportation_LCIA!P$60)+Transportation_LCIA!P$62</f>
        <v>3.5962723058234319E-8</v>
      </c>
      <c r="AM72" s="16">
        <f>Transportation_LCIA!Q$61*($W72^Transportation_LCIA!Q$60)+Transportation_LCIA!Q$62</f>
        <v>1.2607962162909455E-4</v>
      </c>
      <c r="AN72" s="16">
        <f>Transportation_LCIA!R$61*($W72^Transportation_LCIA!R$60)+Transportation_LCIA!R$62</f>
        <v>3.8976595565047854E-4</v>
      </c>
      <c r="AO72" s="16">
        <f>Transportation_LCIA!S$61*($W72^Transportation_LCIA!S$60)+Transportation_LCIA!S$62</f>
        <v>5.7884928967616082E-6</v>
      </c>
      <c r="AP72" s="16">
        <f>Transportation_LCIA!T$61*($W72^Transportation_LCIA!T$60)+Transportation_LCIA!T$62</f>
        <v>5.7884928967616082E-6</v>
      </c>
      <c r="AQ72" s="16">
        <f>Transportation_LCIA!U$61*($W72^Transportation_LCIA!U$60)+Transportation_LCIA!U$62</f>
        <v>8.418249291876381E-4</v>
      </c>
      <c r="AR72" s="16">
        <f>Transportation_LCIA!V$61*($W72^Transportation_LCIA!V$60)+Transportation_LCIA!V$62</f>
        <v>3.2804857778078551E-4</v>
      </c>
      <c r="AT72" s="16">
        <f>$W72*Y72+($L72)*Summary_LCIA!H$32</f>
        <v>199.52456852799122</v>
      </c>
      <c r="AU72" s="16">
        <f>$W72*Z72+($L72)*Summary_LCIA!Q$32</f>
        <v>2142.2742859597438</v>
      </c>
      <c r="AV72" s="16">
        <f>$W72*AA72+($L72)*Summary_LCIA!R$32</f>
        <v>1.166104268865984</v>
      </c>
      <c r="AW72" s="16">
        <f>$W72*AB72+($L72)*Summary_LCIA!S$32</f>
        <v>199.40115770799122</v>
      </c>
      <c r="AX72" s="16">
        <f>$W72*AC72+($L72)*Summary_LCIA!T$32</f>
        <v>49.805234437147334</v>
      </c>
      <c r="AY72" s="16">
        <f>$W72*AD72+($L72)*Summary_LCIA!U$32</f>
        <v>0.74126891236141601</v>
      </c>
      <c r="AZ72" s="16">
        <f>$W72*AE72+($L72)*Summary_LCIA!V$32</f>
        <v>6.7189404114780214E-3</v>
      </c>
      <c r="BA72" s="16">
        <f>$W72*AF72+($L72)*Summary_LCIA!W$32</f>
        <v>10.145041787981082</v>
      </c>
      <c r="BB72" s="16">
        <f>$W72*AG72+($L72)*Summary_LCIA!X$32</f>
        <v>10.775174022563094</v>
      </c>
      <c r="BC72" s="16">
        <f>$W72*AH72+($L72)*Summary_LCIA!Y$32</f>
        <v>0.64714834480138506</v>
      </c>
      <c r="BD72" s="16">
        <f>$W72*AI72+($L72)*Summary_LCIA!Z$32</f>
        <v>0.19453636424375126</v>
      </c>
      <c r="BE72" s="16">
        <f>$W72*AJ72+($L72)*Summary_LCIA!AA$32</f>
        <v>1.5019093225699471</v>
      </c>
      <c r="BF72" s="16">
        <f>$W72*AK72+($L72)*Summary_LCIA!AB$32</f>
        <v>4.8833807116451702E-2</v>
      </c>
      <c r="BG72" s="16">
        <f>$W72*AL72+($L72)*Summary_LCIA!AC$32</f>
        <v>2.5245568461130181E-5</v>
      </c>
      <c r="BH72" s="16">
        <f>$W72*AM72+($L72)*Summary_LCIA!AD$32</f>
        <v>9.5198530609355819E-2</v>
      </c>
      <c r="BI72" s="16">
        <f>$W72*AN72+($L72)*Summary_LCIA!AE$32</f>
        <v>0.28356173072087087</v>
      </c>
      <c r="BJ72" s="16">
        <f>$W72*AO72+($L72)*Summary_LCIA!AF$32</f>
        <v>2.7448761303597968E-2</v>
      </c>
      <c r="BK72" s="16">
        <f>$W72*AP72+($L72)*Summary_LCIA!AG$32</f>
        <v>5.2723674485979661E-3</v>
      </c>
      <c r="BL72" s="16">
        <f>$W72*AQ72+($L72)*Summary_LCIA!AH$32</f>
        <v>0.80201844676342149</v>
      </c>
      <c r="BM72" s="16">
        <f>$W72*AR72+($L72)*Summary_LCIA!AI$32</f>
        <v>0.24384710922285774</v>
      </c>
      <c r="BN72" s="16"/>
    </row>
    <row r="73" spans="1:66" x14ac:dyDescent="0.25">
      <c r="A73" s="159">
        <v>297</v>
      </c>
      <c r="B73" s="159">
        <v>6</v>
      </c>
      <c r="C73" s="45">
        <v>40.440624999999997</v>
      </c>
      <c r="D73" s="45">
        <v>-79.995885999999999</v>
      </c>
      <c r="E73" s="45" t="s">
        <v>265</v>
      </c>
      <c r="F73" s="159">
        <v>106</v>
      </c>
      <c r="G73" s="45" t="s">
        <v>266</v>
      </c>
      <c r="H73" s="45" t="s">
        <v>669</v>
      </c>
      <c r="I73" s="45">
        <v>40.491920999999998</v>
      </c>
      <c r="J73" s="45">
        <v>-80.235223000000005</v>
      </c>
      <c r="K73" s="45">
        <v>21.391265860000001</v>
      </c>
      <c r="L73" s="45">
        <v>27.920999999999999</v>
      </c>
      <c r="M73" s="45" t="s">
        <v>617</v>
      </c>
      <c r="N73" s="159">
        <v>5</v>
      </c>
      <c r="O73" s="159">
        <v>6</v>
      </c>
      <c r="P73" s="45" t="s">
        <v>565</v>
      </c>
      <c r="Q73" s="45" t="s">
        <v>564</v>
      </c>
      <c r="R73" s="45">
        <v>41.98028</v>
      </c>
      <c r="S73" s="45">
        <v>-87.908997900000003</v>
      </c>
      <c r="T73" s="45">
        <v>768.80700000000002</v>
      </c>
      <c r="U73" s="45" t="s">
        <v>617</v>
      </c>
      <c r="V73" s="45" t="s">
        <v>569</v>
      </c>
      <c r="W73" s="45" cm="1">
        <f t="array" ref="W73">getDistance(R73,S73,I73,J73)*SA!$B$12</f>
        <v>664.03976858093529</v>
      </c>
      <c r="X73" s="22"/>
      <c r="Y73" s="16">
        <f>Transportation_LCIA!C$61*($W73^Transportation_LCIA!C$60)+Transportation_LCIA!C$62</f>
        <v>0.28618318016419964</v>
      </c>
      <c r="Z73" s="16">
        <f>Transportation_LCIA!D$61*($W73^Transportation_LCIA!D$60)+Transportation_LCIA!D$62</f>
        <v>3.0177355282535454</v>
      </c>
      <c r="AA73" s="16">
        <f>Transportation_LCIA!E$61*($W73^Transportation_LCIA!E$60)+Transportation_LCIA!E$62</f>
        <v>1.5346723185627621E-3</v>
      </c>
      <c r="AB73" s="16">
        <f>Transportation_LCIA!F$61*($W73^Transportation_LCIA!F$60)+Transportation_LCIA!F$62</f>
        <v>0.28618318016419964</v>
      </c>
      <c r="AC73" s="16">
        <f>Transportation_LCIA!G$61*($W73^Transportation_LCIA!G$60)+Transportation_LCIA!G$62</f>
        <v>7.0382405916778926E-2</v>
      </c>
      <c r="AD73" s="16">
        <f>Transportation_LCIA!H$61*($W73^Transportation_LCIA!H$60)+Transportation_LCIA!H$62</f>
        <v>3.6306879462450609E-4</v>
      </c>
      <c r="AE73" s="16">
        <f>Transportation_LCIA!I$61*($W73^Transportation_LCIA!I$60)+Transportation_LCIA!I$62</f>
        <v>8.1100647661309928E-6</v>
      </c>
      <c r="AF73" s="16">
        <f>Transportation_LCIA!J$61*($W73^Transportation_LCIA!J$60)+Transportation_LCIA!J$62</f>
        <v>1.2041348839796951E-2</v>
      </c>
      <c r="AG73" s="16">
        <f>Transportation_LCIA!K$61*($W73^Transportation_LCIA!K$60)+Transportation_LCIA!K$62</f>
        <v>1.5268865092569082E-2</v>
      </c>
      <c r="AH73" s="16">
        <f>Transportation_LCIA!L$61*($W73^Transportation_LCIA!L$60)+Transportation_LCIA!L$62</f>
        <v>3.193834659249564E-4</v>
      </c>
      <c r="AI73" s="16">
        <f>Transportation_LCIA!M$61*($W73^Transportation_LCIA!M$60)+Transportation_LCIA!M$62</f>
        <v>2.9123459332568592E-4</v>
      </c>
      <c r="AJ73" s="16">
        <f>Transportation_LCIA!N$61*($W73^Transportation_LCIA!N$60)+Transportation_LCIA!N$62</f>
        <v>1.2797222196284355E-3</v>
      </c>
      <c r="AK73" s="16">
        <f>Transportation_LCIA!O$61*($W73^Transportation_LCIA!O$60)+Transportation_LCIA!O$62</f>
        <v>7.4458081336171384E-5</v>
      </c>
      <c r="AL73" s="16">
        <f>Transportation_LCIA!P$61*($W73^Transportation_LCIA!P$60)+Transportation_LCIA!P$62</f>
        <v>3.5962723058234319E-8</v>
      </c>
      <c r="AM73" s="16">
        <f>Transportation_LCIA!Q$61*($W73^Transportation_LCIA!Q$60)+Transportation_LCIA!Q$62</f>
        <v>1.2607962162909455E-4</v>
      </c>
      <c r="AN73" s="16">
        <f>Transportation_LCIA!R$61*($W73^Transportation_LCIA!R$60)+Transportation_LCIA!R$62</f>
        <v>3.8976595565047854E-4</v>
      </c>
      <c r="AO73" s="16">
        <f>Transportation_LCIA!S$61*($W73^Transportation_LCIA!S$60)+Transportation_LCIA!S$62</f>
        <v>5.7884928967616082E-6</v>
      </c>
      <c r="AP73" s="16">
        <f>Transportation_LCIA!T$61*($W73^Transportation_LCIA!T$60)+Transportation_LCIA!T$62</f>
        <v>5.7884928967616082E-6</v>
      </c>
      <c r="AQ73" s="16">
        <f>Transportation_LCIA!U$61*($W73^Transportation_LCIA!U$60)+Transportation_LCIA!U$62</f>
        <v>8.418249291876381E-4</v>
      </c>
      <c r="AR73" s="16">
        <f>Transportation_LCIA!V$61*($W73^Transportation_LCIA!V$60)+Transportation_LCIA!V$62</f>
        <v>3.2804857778078551E-4</v>
      </c>
      <c r="AT73" s="16">
        <f>$W73*Y73+($L73)*Summary_LCIA!H$32</f>
        <v>199.52456852799122</v>
      </c>
      <c r="AU73" s="16">
        <f>$W73*Z73+($L73)*Summary_LCIA!Q$32</f>
        <v>2142.2742859597438</v>
      </c>
      <c r="AV73" s="16">
        <f>$W73*AA73+($L73)*Summary_LCIA!R$32</f>
        <v>1.166104268865984</v>
      </c>
      <c r="AW73" s="16">
        <f>$W73*AB73+($L73)*Summary_LCIA!S$32</f>
        <v>199.40115770799122</v>
      </c>
      <c r="AX73" s="16">
        <f>$W73*AC73+($L73)*Summary_LCIA!T$32</f>
        <v>49.805234437147334</v>
      </c>
      <c r="AY73" s="16">
        <f>$W73*AD73+($L73)*Summary_LCIA!U$32</f>
        <v>0.74126891236141601</v>
      </c>
      <c r="AZ73" s="16">
        <f>$W73*AE73+($L73)*Summary_LCIA!V$32</f>
        <v>6.7189404114780214E-3</v>
      </c>
      <c r="BA73" s="16">
        <f>$W73*AF73+($L73)*Summary_LCIA!W$32</f>
        <v>10.145041787981082</v>
      </c>
      <c r="BB73" s="16">
        <f>$W73*AG73+($L73)*Summary_LCIA!X$32</f>
        <v>10.775174022563094</v>
      </c>
      <c r="BC73" s="16">
        <f>$W73*AH73+($L73)*Summary_LCIA!Y$32</f>
        <v>0.64714834480138506</v>
      </c>
      <c r="BD73" s="16">
        <f>$W73*AI73+($L73)*Summary_LCIA!Z$32</f>
        <v>0.19453636424375126</v>
      </c>
      <c r="BE73" s="16">
        <f>$W73*AJ73+($L73)*Summary_LCIA!AA$32</f>
        <v>1.5019093225699471</v>
      </c>
      <c r="BF73" s="16">
        <f>$W73*AK73+($L73)*Summary_LCIA!AB$32</f>
        <v>4.8833807116451702E-2</v>
      </c>
      <c r="BG73" s="16">
        <f>$W73*AL73+($L73)*Summary_LCIA!AC$32</f>
        <v>2.5245568461130181E-5</v>
      </c>
      <c r="BH73" s="16">
        <f>$W73*AM73+($L73)*Summary_LCIA!AD$32</f>
        <v>9.5198530609355819E-2</v>
      </c>
      <c r="BI73" s="16">
        <f>$W73*AN73+($L73)*Summary_LCIA!AE$32</f>
        <v>0.28356173072087087</v>
      </c>
      <c r="BJ73" s="16">
        <f>$W73*AO73+($L73)*Summary_LCIA!AF$32</f>
        <v>2.7448761303597968E-2</v>
      </c>
      <c r="BK73" s="16">
        <f>$W73*AP73+($L73)*Summary_LCIA!AG$32</f>
        <v>5.2723674485979661E-3</v>
      </c>
      <c r="BL73" s="16">
        <f>$W73*AQ73+($L73)*Summary_LCIA!AH$32</f>
        <v>0.80201844676342149</v>
      </c>
      <c r="BM73" s="16">
        <f>$W73*AR73+($L73)*Summary_LCIA!AI$32</f>
        <v>0.24384710922285774</v>
      </c>
      <c r="BN73" s="16"/>
    </row>
    <row r="74" spans="1:66" x14ac:dyDescent="0.25">
      <c r="A74" s="159">
        <v>298</v>
      </c>
      <c r="B74" s="159">
        <v>6</v>
      </c>
      <c r="C74" s="45">
        <v>40.440624999999997</v>
      </c>
      <c r="D74" s="45">
        <v>-79.995885999999999</v>
      </c>
      <c r="E74" s="45" t="s">
        <v>265</v>
      </c>
      <c r="F74" s="159">
        <v>106</v>
      </c>
      <c r="G74" s="45" t="s">
        <v>266</v>
      </c>
      <c r="H74" s="45" t="s">
        <v>669</v>
      </c>
      <c r="I74" s="45">
        <v>40.491920999999998</v>
      </c>
      <c r="J74" s="45">
        <v>-80.235223000000005</v>
      </c>
      <c r="K74" s="45">
        <v>21.391265860000001</v>
      </c>
      <c r="L74" s="45">
        <v>27.920999999999999</v>
      </c>
      <c r="M74" s="45" t="s">
        <v>617</v>
      </c>
      <c r="N74" s="159">
        <v>5</v>
      </c>
      <c r="O74" s="159">
        <v>6</v>
      </c>
      <c r="P74" s="45" t="s">
        <v>565</v>
      </c>
      <c r="Q74" s="45" t="s">
        <v>564</v>
      </c>
      <c r="R74" s="45">
        <v>41.98028</v>
      </c>
      <c r="S74" s="45">
        <v>-87.908997900000003</v>
      </c>
      <c r="T74" s="45">
        <v>768.80700000000002</v>
      </c>
      <c r="U74" s="45" t="s">
        <v>617</v>
      </c>
      <c r="V74" s="45" t="s">
        <v>569</v>
      </c>
      <c r="W74" s="45" cm="1">
        <f t="array" ref="W74">getDistance(R74,S74,I74,J74)*SA!$B$12</f>
        <v>664.03976858093529</v>
      </c>
      <c r="X74" s="22"/>
      <c r="Y74" s="16">
        <f>Transportation_LCIA!C$61*($W74^Transportation_LCIA!C$60)+Transportation_LCIA!C$62</f>
        <v>0.28618318016419964</v>
      </c>
      <c r="Z74" s="16">
        <f>Transportation_LCIA!D$61*($W74^Transportation_LCIA!D$60)+Transportation_LCIA!D$62</f>
        <v>3.0177355282535454</v>
      </c>
      <c r="AA74" s="16">
        <f>Transportation_LCIA!E$61*($W74^Transportation_LCIA!E$60)+Transportation_LCIA!E$62</f>
        <v>1.5346723185627621E-3</v>
      </c>
      <c r="AB74" s="16">
        <f>Transportation_LCIA!F$61*($W74^Transportation_LCIA!F$60)+Transportation_LCIA!F$62</f>
        <v>0.28618318016419964</v>
      </c>
      <c r="AC74" s="16">
        <f>Transportation_LCIA!G$61*($W74^Transportation_LCIA!G$60)+Transportation_LCIA!G$62</f>
        <v>7.0382405916778926E-2</v>
      </c>
      <c r="AD74" s="16">
        <f>Transportation_LCIA!H$61*($W74^Transportation_LCIA!H$60)+Transportation_LCIA!H$62</f>
        <v>3.6306879462450609E-4</v>
      </c>
      <c r="AE74" s="16">
        <f>Transportation_LCIA!I$61*($W74^Transportation_LCIA!I$60)+Transportation_LCIA!I$62</f>
        <v>8.1100647661309928E-6</v>
      </c>
      <c r="AF74" s="16">
        <f>Transportation_LCIA!J$61*($W74^Transportation_LCIA!J$60)+Transportation_LCIA!J$62</f>
        <v>1.2041348839796951E-2</v>
      </c>
      <c r="AG74" s="16">
        <f>Transportation_LCIA!K$61*($W74^Transportation_LCIA!K$60)+Transportation_LCIA!K$62</f>
        <v>1.5268865092569082E-2</v>
      </c>
      <c r="AH74" s="16">
        <f>Transportation_LCIA!L$61*($W74^Transportation_LCIA!L$60)+Transportation_LCIA!L$62</f>
        <v>3.193834659249564E-4</v>
      </c>
      <c r="AI74" s="16">
        <f>Transportation_LCIA!M$61*($W74^Transportation_LCIA!M$60)+Transportation_LCIA!M$62</f>
        <v>2.9123459332568592E-4</v>
      </c>
      <c r="AJ74" s="16">
        <f>Transportation_LCIA!N$61*($W74^Transportation_LCIA!N$60)+Transportation_LCIA!N$62</f>
        <v>1.2797222196284355E-3</v>
      </c>
      <c r="AK74" s="16">
        <f>Transportation_LCIA!O$61*($W74^Transportation_LCIA!O$60)+Transportation_LCIA!O$62</f>
        <v>7.4458081336171384E-5</v>
      </c>
      <c r="AL74" s="16">
        <f>Transportation_LCIA!P$61*($W74^Transportation_LCIA!P$60)+Transportation_LCIA!P$62</f>
        <v>3.5962723058234319E-8</v>
      </c>
      <c r="AM74" s="16">
        <f>Transportation_LCIA!Q$61*($W74^Transportation_LCIA!Q$60)+Transportation_LCIA!Q$62</f>
        <v>1.2607962162909455E-4</v>
      </c>
      <c r="AN74" s="16">
        <f>Transportation_LCIA!R$61*($W74^Transportation_LCIA!R$60)+Transportation_LCIA!R$62</f>
        <v>3.8976595565047854E-4</v>
      </c>
      <c r="AO74" s="16">
        <f>Transportation_LCIA!S$61*($W74^Transportation_LCIA!S$60)+Transportation_LCIA!S$62</f>
        <v>5.7884928967616082E-6</v>
      </c>
      <c r="AP74" s="16">
        <f>Transportation_LCIA!T$61*($W74^Transportation_LCIA!T$60)+Transportation_LCIA!T$62</f>
        <v>5.7884928967616082E-6</v>
      </c>
      <c r="AQ74" s="16">
        <f>Transportation_LCIA!U$61*($W74^Transportation_LCIA!U$60)+Transportation_LCIA!U$62</f>
        <v>8.418249291876381E-4</v>
      </c>
      <c r="AR74" s="16">
        <f>Transportation_LCIA!V$61*($W74^Transportation_LCIA!V$60)+Transportation_LCIA!V$62</f>
        <v>3.2804857778078551E-4</v>
      </c>
      <c r="AT74" s="16">
        <f>$W74*Y74+($L74)*Summary_LCIA!H$32</f>
        <v>199.52456852799122</v>
      </c>
      <c r="AU74" s="16">
        <f>$W74*Z74+($L74)*Summary_LCIA!Q$32</f>
        <v>2142.2742859597438</v>
      </c>
      <c r="AV74" s="16">
        <f>$W74*AA74+($L74)*Summary_LCIA!R$32</f>
        <v>1.166104268865984</v>
      </c>
      <c r="AW74" s="16">
        <f>$W74*AB74+($L74)*Summary_LCIA!S$32</f>
        <v>199.40115770799122</v>
      </c>
      <c r="AX74" s="16">
        <f>$W74*AC74+($L74)*Summary_LCIA!T$32</f>
        <v>49.805234437147334</v>
      </c>
      <c r="AY74" s="16">
        <f>$W74*AD74+($L74)*Summary_LCIA!U$32</f>
        <v>0.74126891236141601</v>
      </c>
      <c r="AZ74" s="16">
        <f>$W74*AE74+($L74)*Summary_LCIA!V$32</f>
        <v>6.7189404114780214E-3</v>
      </c>
      <c r="BA74" s="16">
        <f>$W74*AF74+($L74)*Summary_LCIA!W$32</f>
        <v>10.145041787981082</v>
      </c>
      <c r="BB74" s="16">
        <f>$W74*AG74+($L74)*Summary_LCIA!X$32</f>
        <v>10.775174022563094</v>
      </c>
      <c r="BC74" s="16">
        <f>$W74*AH74+($L74)*Summary_LCIA!Y$32</f>
        <v>0.64714834480138506</v>
      </c>
      <c r="BD74" s="16">
        <f>$W74*AI74+($L74)*Summary_LCIA!Z$32</f>
        <v>0.19453636424375126</v>
      </c>
      <c r="BE74" s="16">
        <f>$W74*AJ74+($L74)*Summary_LCIA!AA$32</f>
        <v>1.5019093225699471</v>
      </c>
      <c r="BF74" s="16">
        <f>$W74*AK74+($L74)*Summary_LCIA!AB$32</f>
        <v>4.8833807116451702E-2</v>
      </c>
      <c r="BG74" s="16">
        <f>$W74*AL74+($L74)*Summary_LCIA!AC$32</f>
        <v>2.5245568461130181E-5</v>
      </c>
      <c r="BH74" s="16">
        <f>$W74*AM74+($L74)*Summary_LCIA!AD$32</f>
        <v>9.5198530609355819E-2</v>
      </c>
      <c r="BI74" s="16">
        <f>$W74*AN74+($L74)*Summary_LCIA!AE$32</f>
        <v>0.28356173072087087</v>
      </c>
      <c r="BJ74" s="16">
        <f>$W74*AO74+($L74)*Summary_LCIA!AF$32</f>
        <v>2.7448761303597968E-2</v>
      </c>
      <c r="BK74" s="16">
        <f>$W74*AP74+($L74)*Summary_LCIA!AG$32</f>
        <v>5.2723674485979661E-3</v>
      </c>
      <c r="BL74" s="16">
        <f>$W74*AQ74+($L74)*Summary_LCIA!AH$32</f>
        <v>0.80201844676342149</v>
      </c>
      <c r="BM74" s="16">
        <f>$W74*AR74+($L74)*Summary_LCIA!AI$32</f>
        <v>0.24384710922285774</v>
      </c>
      <c r="BN74" s="16"/>
    </row>
    <row r="75" spans="1:66" x14ac:dyDescent="0.25">
      <c r="A75" s="159">
        <v>299</v>
      </c>
      <c r="B75" s="159">
        <v>6</v>
      </c>
      <c r="C75" s="45">
        <v>40.440624999999997</v>
      </c>
      <c r="D75" s="45">
        <v>-79.995885999999999</v>
      </c>
      <c r="E75" s="45" t="s">
        <v>265</v>
      </c>
      <c r="F75" s="159">
        <v>106</v>
      </c>
      <c r="G75" s="45" t="s">
        <v>266</v>
      </c>
      <c r="H75" s="45" t="s">
        <v>669</v>
      </c>
      <c r="I75" s="45">
        <v>40.491920999999998</v>
      </c>
      <c r="J75" s="45">
        <v>-80.235223000000005</v>
      </c>
      <c r="K75" s="45">
        <v>21.391265860000001</v>
      </c>
      <c r="L75" s="45">
        <v>27.920999999999999</v>
      </c>
      <c r="M75" s="45" t="s">
        <v>617</v>
      </c>
      <c r="N75" s="159">
        <v>5</v>
      </c>
      <c r="O75" s="159">
        <v>6</v>
      </c>
      <c r="P75" s="45" t="s">
        <v>565</v>
      </c>
      <c r="Q75" s="45" t="s">
        <v>564</v>
      </c>
      <c r="R75" s="45">
        <v>41.98028</v>
      </c>
      <c r="S75" s="45">
        <v>-87.908997900000003</v>
      </c>
      <c r="T75" s="45">
        <v>768.80700000000002</v>
      </c>
      <c r="U75" s="45" t="s">
        <v>617</v>
      </c>
      <c r="V75" s="45" t="s">
        <v>569</v>
      </c>
      <c r="W75" s="45" cm="1">
        <f t="array" ref="W75">getDistance(R75,S75,I75,J75)*SA!$B$12</f>
        <v>664.03976858093529</v>
      </c>
      <c r="X75" s="22"/>
      <c r="Y75" s="16">
        <f>Transportation_LCIA!C$61*($W75^Transportation_LCIA!C$60)+Transportation_LCIA!C$62</f>
        <v>0.28618318016419964</v>
      </c>
      <c r="Z75" s="16">
        <f>Transportation_LCIA!D$61*($W75^Transportation_LCIA!D$60)+Transportation_LCIA!D$62</f>
        <v>3.0177355282535454</v>
      </c>
      <c r="AA75" s="16">
        <f>Transportation_LCIA!E$61*($W75^Transportation_LCIA!E$60)+Transportation_LCIA!E$62</f>
        <v>1.5346723185627621E-3</v>
      </c>
      <c r="AB75" s="16">
        <f>Transportation_LCIA!F$61*($W75^Transportation_LCIA!F$60)+Transportation_LCIA!F$62</f>
        <v>0.28618318016419964</v>
      </c>
      <c r="AC75" s="16">
        <f>Transportation_LCIA!G$61*($W75^Transportation_LCIA!G$60)+Transportation_LCIA!G$62</f>
        <v>7.0382405916778926E-2</v>
      </c>
      <c r="AD75" s="16">
        <f>Transportation_LCIA!H$61*($W75^Transportation_LCIA!H$60)+Transportation_LCIA!H$62</f>
        <v>3.6306879462450609E-4</v>
      </c>
      <c r="AE75" s="16">
        <f>Transportation_LCIA!I$61*($W75^Transportation_LCIA!I$60)+Transportation_LCIA!I$62</f>
        <v>8.1100647661309928E-6</v>
      </c>
      <c r="AF75" s="16">
        <f>Transportation_LCIA!J$61*($W75^Transportation_LCIA!J$60)+Transportation_LCIA!J$62</f>
        <v>1.2041348839796951E-2</v>
      </c>
      <c r="AG75" s="16">
        <f>Transportation_LCIA!K$61*($W75^Transportation_LCIA!K$60)+Transportation_LCIA!K$62</f>
        <v>1.5268865092569082E-2</v>
      </c>
      <c r="AH75" s="16">
        <f>Transportation_LCIA!L$61*($W75^Transportation_LCIA!L$60)+Transportation_LCIA!L$62</f>
        <v>3.193834659249564E-4</v>
      </c>
      <c r="AI75" s="16">
        <f>Transportation_LCIA!M$61*($W75^Transportation_LCIA!M$60)+Transportation_LCIA!M$62</f>
        <v>2.9123459332568592E-4</v>
      </c>
      <c r="AJ75" s="16">
        <f>Transportation_LCIA!N$61*($W75^Transportation_LCIA!N$60)+Transportation_LCIA!N$62</f>
        <v>1.2797222196284355E-3</v>
      </c>
      <c r="AK75" s="16">
        <f>Transportation_LCIA!O$61*($W75^Transportation_LCIA!O$60)+Transportation_LCIA!O$62</f>
        <v>7.4458081336171384E-5</v>
      </c>
      <c r="AL75" s="16">
        <f>Transportation_LCIA!P$61*($W75^Transportation_LCIA!P$60)+Transportation_LCIA!P$62</f>
        <v>3.5962723058234319E-8</v>
      </c>
      <c r="AM75" s="16">
        <f>Transportation_LCIA!Q$61*($W75^Transportation_LCIA!Q$60)+Transportation_LCIA!Q$62</f>
        <v>1.2607962162909455E-4</v>
      </c>
      <c r="AN75" s="16">
        <f>Transportation_LCIA!R$61*($W75^Transportation_LCIA!R$60)+Transportation_LCIA!R$62</f>
        <v>3.8976595565047854E-4</v>
      </c>
      <c r="AO75" s="16">
        <f>Transportation_LCIA!S$61*($W75^Transportation_LCIA!S$60)+Transportation_LCIA!S$62</f>
        <v>5.7884928967616082E-6</v>
      </c>
      <c r="AP75" s="16">
        <f>Transportation_LCIA!T$61*($W75^Transportation_LCIA!T$60)+Transportation_LCIA!T$62</f>
        <v>5.7884928967616082E-6</v>
      </c>
      <c r="AQ75" s="16">
        <f>Transportation_LCIA!U$61*($W75^Transportation_LCIA!U$60)+Transportation_LCIA!U$62</f>
        <v>8.418249291876381E-4</v>
      </c>
      <c r="AR75" s="16">
        <f>Transportation_LCIA!V$61*($W75^Transportation_LCIA!V$60)+Transportation_LCIA!V$62</f>
        <v>3.2804857778078551E-4</v>
      </c>
      <c r="AT75" s="16">
        <f>$W75*Y75+($L75)*Summary_LCIA!H$32</f>
        <v>199.52456852799122</v>
      </c>
      <c r="AU75" s="16">
        <f>$W75*Z75+($L75)*Summary_LCIA!Q$32</f>
        <v>2142.2742859597438</v>
      </c>
      <c r="AV75" s="16">
        <f>$W75*AA75+($L75)*Summary_LCIA!R$32</f>
        <v>1.166104268865984</v>
      </c>
      <c r="AW75" s="16">
        <f>$W75*AB75+($L75)*Summary_LCIA!S$32</f>
        <v>199.40115770799122</v>
      </c>
      <c r="AX75" s="16">
        <f>$W75*AC75+($L75)*Summary_LCIA!T$32</f>
        <v>49.805234437147334</v>
      </c>
      <c r="AY75" s="16">
        <f>$W75*AD75+($L75)*Summary_LCIA!U$32</f>
        <v>0.74126891236141601</v>
      </c>
      <c r="AZ75" s="16">
        <f>$W75*AE75+($L75)*Summary_LCIA!V$32</f>
        <v>6.7189404114780214E-3</v>
      </c>
      <c r="BA75" s="16">
        <f>$W75*AF75+($L75)*Summary_LCIA!W$32</f>
        <v>10.145041787981082</v>
      </c>
      <c r="BB75" s="16">
        <f>$W75*AG75+($L75)*Summary_LCIA!X$32</f>
        <v>10.775174022563094</v>
      </c>
      <c r="BC75" s="16">
        <f>$W75*AH75+($L75)*Summary_LCIA!Y$32</f>
        <v>0.64714834480138506</v>
      </c>
      <c r="BD75" s="16">
        <f>$W75*AI75+($L75)*Summary_LCIA!Z$32</f>
        <v>0.19453636424375126</v>
      </c>
      <c r="BE75" s="16">
        <f>$W75*AJ75+($L75)*Summary_LCIA!AA$32</f>
        <v>1.5019093225699471</v>
      </c>
      <c r="BF75" s="16">
        <f>$W75*AK75+($L75)*Summary_LCIA!AB$32</f>
        <v>4.8833807116451702E-2</v>
      </c>
      <c r="BG75" s="16">
        <f>$W75*AL75+($L75)*Summary_LCIA!AC$32</f>
        <v>2.5245568461130181E-5</v>
      </c>
      <c r="BH75" s="16">
        <f>$W75*AM75+($L75)*Summary_LCIA!AD$32</f>
        <v>9.5198530609355819E-2</v>
      </c>
      <c r="BI75" s="16">
        <f>$W75*AN75+($L75)*Summary_LCIA!AE$32</f>
        <v>0.28356173072087087</v>
      </c>
      <c r="BJ75" s="16">
        <f>$W75*AO75+($L75)*Summary_LCIA!AF$32</f>
        <v>2.7448761303597968E-2</v>
      </c>
      <c r="BK75" s="16">
        <f>$W75*AP75+($L75)*Summary_LCIA!AG$32</f>
        <v>5.2723674485979661E-3</v>
      </c>
      <c r="BL75" s="16">
        <f>$W75*AQ75+($L75)*Summary_LCIA!AH$32</f>
        <v>0.80201844676342149</v>
      </c>
      <c r="BM75" s="16">
        <f>$W75*AR75+($L75)*Summary_LCIA!AI$32</f>
        <v>0.24384710922285774</v>
      </c>
      <c r="BN75" s="16"/>
    </row>
    <row r="76" spans="1:66" x14ac:dyDescent="0.25">
      <c r="A76" s="159">
        <v>300</v>
      </c>
      <c r="B76" s="159">
        <v>6</v>
      </c>
      <c r="C76" s="45">
        <v>40.440624999999997</v>
      </c>
      <c r="D76" s="45">
        <v>-79.995885999999999</v>
      </c>
      <c r="E76" s="45" t="s">
        <v>265</v>
      </c>
      <c r="F76" s="159">
        <v>106</v>
      </c>
      <c r="G76" s="45" t="s">
        <v>266</v>
      </c>
      <c r="H76" s="45" t="s">
        <v>669</v>
      </c>
      <c r="I76" s="45">
        <v>40.491920999999998</v>
      </c>
      <c r="J76" s="45">
        <v>-80.235223000000005</v>
      </c>
      <c r="K76" s="45">
        <v>21.391265860000001</v>
      </c>
      <c r="L76" s="45">
        <v>27.920999999999999</v>
      </c>
      <c r="M76" s="45" t="s">
        <v>617</v>
      </c>
      <c r="N76" s="159">
        <v>5</v>
      </c>
      <c r="O76" s="159">
        <v>6</v>
      </c>
      <c r="P76" s="45" t="s">
        <v>565</v>
      </c>
      <c r="Q76" s="45" t="s">
        <v>564</v>
      </c>
      <c r="R76" s="45">
        <v>41.98028</v>
      </c>
      <c r="S76" s="45">
        <v>-87.908997900000003</v>
      </c>
      <c r="T76" s="45">
        <v>768.80700000000002</v>
      </c>
      <c r="U76" s="45" t="s">
        <v>617</v>
      </c>
      <c r="V76" s="45" t="s">
        <v>569</v>
      </c>
      <c r="W76" s="45" cm="1">
        <f t="array" ref="W76">getDistance(R76,S76,I76,J76)*SA!$B$12</f>
        <v>664.03976858093529</v>
      </c>
      <c r="X76" s="22"/>
      <c r="Y76" s="16">
        <f>Transportation_LCIA!C$61*($W76^Transportation_LCIA!C$60)+Transportation_LCIA!C$62</f>
        <v>0.28618318016419964</v>
      </c>
      <c r="Z76" s="16">
        <f>Transportation_LCIA!D$61*($W76^Transportation_LCIA!D$60)+Transportation_LCIA!D$62</f>
        <v>3.0177355282535454</v>
      </c>
      <c r="AA76" s="16">
        <f>Transportation_LCIA!E$61*($W76^Transportation_LCIA!E$60)+Transportation_LCIA!E$62</f>
        <v>1.5346723185627621E-3</v>
      </c>
      <c r="AB76" s="16">
        <f>Transportation_LCIA!F$61*($W76^Transportation_LCIA!F$60)+Transportation_LCIA!F$62</f>
        <v>0.28618318016419964</v>
      </c>
      <c r="AC76" s="16">
        <f>Transportation_LCIA!G$61*($W76^Transportation_LCIA!G$60)+Transportation_LCIA!G$62</f>
        <v>7.0382405916778926E-2</v>
      </c>
      <c r="AD76" s="16">
        <f>Transportation_LCIA!H$61*($W76^Transportation_LCIA!H$60)+Transportation_LCIA!H$62</f>
        <v>3.6306879462450609E-4</v>
      </c>
      <c r="AE76" s="16">
        <f>Transportation_LCIA!I$61*($W76^Transportation_LCIA!I$60)+Transportation_LCIA!I$62</f>
        <v>8.1100647661309928E-6</v>
      </c>
      <c r="AF76" s="16">
        <f>Transportation_LCIA!J$61*($W76^Transportation_LCIA!J$60)+Transportation_LCIA!J$62</f>
        <v>1.2041348839796951E-2</v>
      </c>
      <c r="AG76" s="16">
        <f>Transportation_LCIA!K$61*($W76^Transportation_LCIA!K$60)+Transportation_LCIA!K$62</f>
        <v>1.5268865092569082E-2</v>
      </c>
      <c r="AH76" s="16">
        <f>Transportation_LCIA!L$61*($W76^Transportation_LCIA!L$60)+Transportation_LCIA!L$62</f>
        <v>3.193834659249564E-4</v>
      </c>
      <c r="AI76" s="16">
        <f>Transportation_LCIA!M$61*($W76^Transportation_LCIA!M$60)+Transportation_LCIA!M$62</f>
        <v>2.9123459332568592E-4</v>
      </c>
      <c r="AJ76" s="16">
        <f>Transportation_LCIA!N$61*($W76^Transportation_LCIA!N$60)+Transportation_LCIA!N$62</f>
        <v>1.2797222196284355E-3</v>
      </c>
      <c r="AK76" s="16">
        <f>Transportation_LCIA!O$61*($W76^Transportation_LCIA!O$60)+Transportation_LCIA!O$62</f>
        <v>7.4458081336171384E-5</v>
      </c>
      <c r="AL76" s="16">
        <f>Transportation_LCIA!P$61*($W76^Transportation_LCIA!P$60)+Transportation_LCIA!P$62</f>
        <v>3.5962723058234319E-8</v>
      </c>
      <c r="AM76" s="16">
        <f>Transportation_LCIA!Q$61*($W76^Transportation_LCIA!Q$60)+Transportation_LCIA!Q$62</f>
        <v>1.2607962162909455E-4</v>
      </c>
      <c r="AN76" s="16">
        <f>Transportation_LCIA!R$61*($W76^Transportation_LCIA!R$60)+Transportation_LCIA!R$62</f>
        <v>3.8976595565047854E-4</v>
      </c>
      <c r="AO76" s="16">
        <f>Transportation_LCIA!S$61*($W76^Transportation_LCIA!S$60)+Transportation_LCIA!S$62</f>
        <v>5.7884928967616082E-6</v>
      </c>
      <c r="AP76" s="16">
        <f>Transportation_LCIA!T$61*($W76^Transportation_LCIA!T$60)+Transportation_LCIA!T$62</f>
        <v>5.7884928967616082E-6</v>
      </c>
      <c r="AQ76" s="16">
        <f>Transportation_LCIA!U$61*($W76^Transportation_LCIA!U$60)+Transportation_LCIA!U$62</f>
        <v>8.418249291876381E-4</v>
      </c>
      <c r="AR76" s="16">
        <f>Transportation_LCIA!V$61*($W76^Transportation_LCIA!V$60)+Transportation_LCIA!V$62</f>
        <v>3.2804857778078551E-4</v>
      </c>
      <c r="AT76" s="16">
        <f>$W76*Y76+($L76)*Summary_LCIA!H$32</f>
        <v>199.52456852799122</v>
      </c>
      <c r="AU76" s="16">
        <f>$W76*Z76+($L76)*Summary_LCIA!Q$32</f>
        <v>2142.2742859597438</v>
      </c>
      <c r="AV76" s="16">
        <f>$W76*AA76+($L76)*Summary_LCIA!R$32</f>
        <v>1.166104268865984</v>
      </c>
      <c r="AW76" s="16">
        <f>$W76*AB76+($L76)*Summary_LCIA!S$32</f>
        <v>199.40115770799122</v>
      </c>
      <c r="AX76" s="16">
        <f>$W76*AC76+($L76)*Summary_LCIA!T$32</f>
        <v>49.805234437147334</v>
      </c>
      <c r="AY76" s="16">
        <f>$W76*AD76+($L76)*Summary_LCIA!U$32</f>
        <v>0.74126891236141601</v>
      </c>
      <c r="AZ76" s="16">
        <f>$W76*AE76+($L76)*Summary_LCIA!V$32</f>
        <v>6.7189404114780214E-3</v>
      </c>
      <c r="BA76" s="16">
        <f>$W76*AF76+($L76)*Summary_LCIA!W$32</f>
        <v>10.145041787981082</v>
      </c>
      <c r="BB76" s="16">
        <f>$W76*AG76+($L76)*Summary_LCIA!X$32</f>
        <v>10.775174022563094</v>
      </c>
      <c r="BC76" s="16">
        <f>$W76*AH76+($L76)*Summary_LCIA!Y$32</f>
        <v>0.64714834480138506</v>
      </c>
      <c r="BD76" s="16">
        <f>$W76*AI76+($L76)*Summary_LCIA!Z$32</f>
        <v>0.19453636424375126</v>
      </c>
      <c r="BE76" s="16">
        <f>$W76*AJ76+($L76)*Summary_LCIA!AA$32</f>
        <v>1.5019093225699471</v>
      </c>
      <c r="BF76" s="16">
        <f>$W76*AK76+($L76)*Summary_LCIA!AB$32</f>
        <v>4.8833807116451702E-2</v>
      </c>
      <c r="BG76" s="16">
        <f>$W76*AL76+($L76)*Summary_LCIA!AC$32</f>
        <v>2.5245568461130181E-5</v>
      </c>
      <c r="BH76" s="16">
        <f>$W76*AM76+($L76)*Summary_LCIA!AD$32</f>
        <v>9.5198530609355819E-2</v>
      </c>
      <c r="BI76" s="16">
        <f>$W76*AN76+($L76)*Summary_LCIA!AE$32</f>
        <v>0.28356173072087087</v>
      </c>
      <c r="BJ76" s="16">
        <f>$W76*AO76+($L76)*Summary_LCIA!AF$32</f>
        <v>2.7448761303597968E-2</v>
      </c>
      <c r="BK76" s="16">
        <f>$W76*AP76+($L76)*Summary_LCIA!AG$32</f>
        <v>5.2723674485979661E-3</v>
      </c>
      <c r="BL76" s="16">
        <f>$W76*AQ76+($L76)*Summary_LCIA!AH$32</f>
        <v>0.80201844676342149</v>
      </c>
      <c r="BM76" s="16">
        <f>$W76*AR76+($L76)*Summary_LCIA!AI$32</f>
        <v>0.24384710922285774</v>
      </c>
      <c r="BN76" s="16"/>
    </row>
    <row r="77" spans="1:66" x14ac:dyDescent="0.25">
      <c r="A77" s="159">
        <v>301</v>
      </c>
      <c r="B77" s="159">
        <v>6</v>
      </c>
      <c r="C77" s="45">
        <v>40.440624999999997</v>
      </c>
      <c r="D77" s="45">
        <v>-79.995885999999999</v>
      </c>
      <c r="E77" s="45" t="s">
        <v>265</v>
      </c>
      <c r="F77" s="159">
        <v>106</v>
      </c>
      <c r="G77" s="45" t="s">
        <v>266</v>
      </c>
      <c r="H77" s="45" t="s">
        <v>669</v>
      </c>
      <c r="I77" s="45">
        <v>40.491920999999998</v>
      </c>
      <c r="J77" s="45">
        <v>-80.235223000000005</v>
      </c>
      <c r="K77" s="45">
        <v>21.391265860000001</v>
      </c>
      <c r="L77" s="45">
        <v>27.920999999999999</v>
      </c>
      <c r="M77" s="45" t="s">
        <v>617</v>
      </c>
      <c r="N77" s="159">
        <v>5</v>
      </c>
      <c r="O77" s="159">
        <v>6</v>
      </c>
      <c r="P77" s="45" t="s">
        <v>565</v>
      </c>
      <c r="Q77" s="45" t="s">
        <v>564</v>
      </c>
      <c r="R77" s="45">
        <v>41.98028</v>
      </c>
      <c r="S77" s="45">
        <v>-87.908997900000003</v>
      </c>
      <c r="T77" s="45">
        <v>768.80700000000002</v>
      </c>
      <c r="U77" s="45" t="s">
        <v>617</v>
      </c>
      <c r="V77" s="45" t="s">
        <v>569</v>
      </c>
      <c r="W77" s="45" cm="1">
        <f t="array" ref="W77">getDistance(R77,S77,I77,J77)*SA!$B$12</f>
        <v>664.03976858093529</v>
      </c>
      <c r="X77" s="22"/>
      <c r="Y77" s="16">
        <f>Transportation_LCIA!C$61*($W77^Transportation_LCIA!C$60)+Transportation_LCIA!C$62</f>
        <v>0.28618318016419964</v>
      </c>
      <c r="Z77" s="16">
        <f>Transportation_LCIA!D$61*($W77^Transportation_LCIA!D$60)+Transportation_LCIA!D$62</f>
        <v>3.0177355282535454</v>
      </c>
      <c r="AA77" s="16">
        <f>Transportation_LCIA!E$61*($W77^Transportation_LCIA!E$60)+Transportation_LCIA!E$62</f>
        <v>1.5346723185627621E-3</v>
      </c>
      <c r="AB77" s="16">
        <f>Transportation_LCIA!F$61*($W77^Transportation_LCIA!F$60)+Transportation_LCIA!F$62</f>
        <v>0.28618318016419964</v>
      </c>
      <c r="AC77" s="16">
        <f>Transportation_LCIA!G$61*($W77^Transportation_LCIA!G$60)+Transportation_LCIA!G$62</f>
        <v>7.0382405916778926E-2</v>
      </c>
      <c r="AD77" s="16">
        <f>Transportation_LCIA!H$61*($W77^Transportation_LCIA!H$60)+Transportation_LCIA!H$62</f>
        <v>3.6306879462450609E-4</v>
      </c>
      <c r="AE77" s="16">
        <f>Transportation_LCIA!I$61*($W77^Transportation_LCIA!I$60)+Transportation_LCIA!I$62</f>
        <v>8.1100647661309928E-6</v>
      </c>
      <c r="AF77" s="16">
        <f>Transportation_LCIA!J$61*($W77^Transportation_LCIA!J$60)+Transportation_LCIA!J$62</f>
        <v>1.2041348839796951E-2</v>
      </c>
      <c r="AG77" s="16">
        <f>Transportation_LCIA!K$61*($W77^Transportation_LCIA!K$60)+Transportation_LCIA!K$62</f>
        <v>1.5268865092569082E-2</v>
      </c>
      <c r="AH77" s="16">
        <f>Transportation_LCIA!L$61*($W77^Transportation_LCIA!L$60)+Transportation_LCIA!L$62</f>
        <v>3.193834659249564E-4</v>
      </c>
      <c r="AI77" s="16">
        <f>Transportation_LCIA!M$61*($W77^Transportation_LCIA!M$60)+Transportation_LCIA!M$62</f>
        <v>2.9123459332568592E-4</v>
      </c>
      <c r="AJ77" s="16">
        <f>Transportation_LCIA!N$61*($W77^Transportation_LCIA!N$60)+Transportation_LCIA!N$62</f>
        <v>1.2797222196284355E-3</v>
      </c>
      <c r="AK77" s="16">
        <f>Transportation_LCIA!O$61*($W77^Transportation_LCIA!O$60)+Transportation_LCIA!O$62</f>
        <v>7.4458081336171384E-5</v>
      </c>
      <c r="AL77" s="16">
        <f>Transportation_LCIA!P$61*($W77^Transportation_LCIA!P$60)+Transportation_LCIA!P$62</f>
        <v>3.5962723058234319E-8</v>
      </c>
      <c r="AM77" s="16">
        <f>Transportation_LCIA!Q$61*($W77^Transportation_LCIA!Q$60)+Transportation_LCIA!Q$62</f>
        <v>1.2607962162909455E-4</v>
      </c>
      <c r="AN77" s="16">
        <f>Transportation_LCIA!R$61*($W77^Transportation_LCIA!R$60)+Transportation_LCIA!R$62</f>
        <v>3.8976595565047854E-4</v>
      </c>
      <c r="AO77" s="16">
        <f>Transportation_LCIA!S$61*($W77^Transportation_LCIA!S$60)+Transportation_LCIA!S$62</f>
        <v>5.7884928967616082E-6</v>
      </c>
      <c r="AP77" s="16">
        <f>Transportation_LCIA!T$61*($W77^Transportation_LCIA!T$60)+Transportation_LCIA!T$62</f>
        <v>5.7884928967616082E-6</v>
      </c>
      <c r="AQ77" s="16">
        <f>Transportation_LCIA!U$61*($W77^Transportation_LCIA!U$60)+Transportation_LCIA!U$62</f>
        <v>8.418249291876381E-4</v>
      </c>
      <c r="AR77" s="16">
        <f>Transportation_LCIA!V$61*($W77^Transportation_LCIA!V$60)+Transportation_LCIA!V$62</f>
        <v>3.2804857778078551E-4</v>
      </c>
      <c r="AT77" s="16">
        <f>$W77*Y77+($L77)*Summary_LCIA!H$32</f>
        <v>199.52456852799122</v>
      </c>
      <c r="AU77" s="16">
        <f>$W77*Z77+($L77)*Summary_LCIA!Q$32</f>
        <v>2142.2742859597438</v>
      </c>
      <c r="AV77" s="16">
        <f>$W77*AA77+($L77)*Summary_LCIA!R$32</f>
        <v>1.166104268865984</v>
      </c>
      <c r="AW77" s="16">
        <f>$W77*AB77+($L77)*Summary_LCIA!S$32</f>
        <v>199.40115770799122</v>
      </c>
      <c r="AX77" s="16">
        <f>$W77*AC77+($L77)*Summary_LCIA!T$32</f>
        <v>49.805234437147334</v>
      </c>
      <c r="AY77" s="16">
        <f>$W77*AD77+($L77)*Summary_LCIA!U$32</f>
        <v>0.74126891236141601</v>
      </c>
      <c r="AZ77" s="16">
        <f>$W77*AE77+($L77)*Summary_LCIA!V$32</f>
        <v>6.7189404114780214E-3</v>
      </c>
      <c r="BA77" s="16">
        <f>$W77*AF77+($L77)*Summary_LCIA!W$32</f>
        <v>10.145041787981082</v>
      </c>
      <c r="BB77" s="16">
        <f>$W77*AG77+($L77)*Summary_LCIA!X$32</f>
        <v>10.775174022563094</v>
      </c>
      <c r="BC77" s="16">
        <f>$W77*AH77+($L77)*Summary_LCIA!Y$32</f>
        <v>0.64714834480138506</v>
      </c>
      <c r="BD77" s="16">
        <f>$W77*AI77+($L77)*Summary_LCIA!Z$32</f>
        <v>0.19453636424375126</v>
      </c>
      <c r="BE77" s="16">
        <f>$W77*AJ77+($L77)*Summary_LCIA!AA$32</f>
        <v>1.5019093225699471</v>
      </c>
      <c r="BF77" s="16">
        <f>$W77*AK77+($L77)*Summary_LCIA!AB$32</f>
        <v>4.8833807116451702E-2</v>
      </c>
      <c r="BG77" s="16">
        <f>$W77*AL77+($L77)*Summary_LCIA!AC$32</f>
        <v>2.5245568461130181E-5</v>
      </c>
      <c r="BH77" s="16">
        <f>$W77*AM77+($L77)*Summary_LCIA!AD$32</f>
        <v>9.5198530609355819E-2</v>
      </c>
      <c r="BI77" s="16">
        <f>$W77*AN77+($L77)*Summary_LCIA!AE$32</f>
        <v>0.28356173072087087</v>
      </c>
      <c r="BJ77" s="16">
        <f>$W77*AO77+($L77)*Summary_LCIA!AF$32</f>
        <v>2.7448761303597968E-2</v>
      </c>
      <c r="BK77" s="16">
        <f>$W77*AP77+($L77)*Summary_LCIA!AG$32</f>
        <v>5.2723674485979661E-3</v>
      </c>
      <c r="BL77" s="16">
        <f>$W77*AQ77+($L77)*Summary_LCIA!AH$32</f>
        <v>0.80201844676342149</v>
      </c>
      <c r="BM77" s="16">
        <f>$W77*AR77+($L77)*Summary_LCIA!AI$32</f>
        <v>0.24384710922285774</v>
      </c>
      <c r="BN77" s="16"/>
    </row>
    <row r="78" spans="1:66" x14ac:dyDescent="0.25">
      <c r="A78" s="159">
        <v>302</v>
      </c>
      <c r="B78" s="159">
        <v>6</v>
      </c>
      <c r="C78" s="45">
        <v>40.440624999999997</v>
      </c>
      <c r="D78" s="45">
        <v>-79.995885999999999</v>
      </c>
      <c r="E78" s="45" t="s">
        <v>265</v>
      </c>
      <c r="F78" s="159">
        <v>106</v>
      </c>
      <c r="G78" s="45" t="s">
        <v>266</v>
      </c>
      <c r="H78" s="45" t="s">
        <v>669</v>
      </c>
      <c r="I78" s="45">
        <v>40.491920999999998</v>
      </c>
      <c r="J78" s="45">
        <v>-80.235223000000005</v>
      </c>
      <c r="K78" s="45">
        <v>21.391265860000001</v>
      </c>
      <c r="L78" s="45">
        <v>27.920999999999999</v>
      </c>
      <c r="M78" s="45" t="s">
        <v>617</v>
      </c>
      <c r="N78" s="159">
        <v>5</v>
      </c>
      <c r="O78" s="159">
        <v>6</v>
      </c>
      <c r="P78" s="45" t="s">
        <v>565</v>
      </c>
      <c r="Q78" s="45" t="s">
        <v>564</v>
      </c>
      <c r="R78" s="45">
        <v>41.98028</v>
      </c>
      <c r="S78" s="45">
        <v>-87.908997900000003</v>
      </c>
      <c r="T78" s="45">
        <v>768.80700000000002</v>
      </c>
      <c r="U78" s="45" t="s">
        <v>617</v>
      </c>
      <c r="V78" s="45" t="s">
        <v>569</v>
      </c>
      <c r="W78" s="45" cm="1">
        <f t="array" ref="W78">getDistance(R78,S78,I78,J78)*SA!$B$12</f>
        <v>664.03976858093529</v>
      </c>
      <c r="X78" s="22"/>
      <c r="Y78" s="16">
        <f>Transportation_LCIA!C$61*($W78^Transportation_LCIA!C$60)+Transportation_LCIA!C$62</f>
        <v>0.28618318016419964</v>
      </c>
      <c r="Z78" s="16">
        <f>Transportation_LCIA!D$61*($W78^Transportation_LCIA!D$60)+Transportation_LCIA!D$62</f>
        <v>3.0177355282535454</v>
      </c>
      <c r="AA78" s="16">
        <f>Transportation_LCIA!E$61*($W78^Transportation_LCIA!E$60)+Transportation_LCIA!E$62</f>
        <v>1.5346723185627621E-3</v>
      </c>
      <c r="AB78" s="16">
        <f>Transportation_LCIA!F$61*($W78^Transportation_LCIA!F$60)+Transportation_LCIA!F$62</f>
        <v>0.28618318016419964</v>
      </c>
      <c r="AC78" s="16">
        <f>Transportation_LCIA!G$61*($W78^Transportation_LCIA!G$60)+Transportation_LCIA!G$62</f>
        <v>7.0382405916778926E-2</v>
      </c>
      <c r="AD78" s="16">
        <f>Transportation_LCIA!H$61*($W78^Transportation_LCIA!H$60)+Transportation_LCIA!H$62</f>
        <v>3.6306879462450609E-4</v>
      </c>
      <c r="AE78" s="16">
        <f>Transportation_LCIA!I$61*($W78^Transportation_LCIA!I$60)+Transportation_LCIA!I$62</f>
        <v>8.1100647661309928E-6</v>
      </c>
      <c r="AF78" s="16">
        <f>Transportation_LCIA!J$61*($W78^Transportation_LCIA!J$60)+Transportation_LCIA!J$62</f>
        <v>1.2041348839796951E-2</v>
      </c>
      <c r="AG78" s="16">
        <f>Transportation_LCIA!K$61*($W78^Transportation_LCIA!K$60)+Transportation_LCIA!K$62</f>
        <v>1.5268865092569082E-2</v>
      </c>
      <c r="AH78" s="16">
        <f>Transportation_LCIA!L$61*($W78^Transportation_LCIA!L$60)+Transportation_LCIA!L$62</f>
        <v>3.193834659249564E-4</v>
      </c>
      <c r="AI78" s="16">
        <f>Transportation_LCIA!M$61*($W78^Transportation_LCIA!M$60)+Transportation_LCIA!M$62</f>
        <v>2.9123459332568592E-4</v>
      </c>
      <c r="AJ78" s="16">
        <f>Transportation_LCIA!N$61*($W78^Transportation_LCIA!N$60)+Transportation_LCIA!N$62</f>
        <v>1.2797222196284355E-3</v>
      </c>
      <c r="AK78" s="16">
        <f>Transportation_LCIA!O$61*($W78^Transportation_LCIA!O$60)+Transportation_LCIA!O$62</f>
        <v>7.4458081336171384E-5</v>
      </c>
      <c r="AL78" s="16">
        <f>Transportation_LCIA!P$61*($W78^Transportation_LCIA!P$60)+Transportation_LCIA!P$62</f>
        <v>3.5962723058234319E-8</v>
      </c>
      <c r="AM78" s="16">
        <f>Transportation_LCIA!Q$61*($W78^Transportation_LCIA!Q$60)+Transportation_LCIA!Q$62</f>
        <v>1.2607962162909455E-4</v>
      </c>
      <c r="AN78" s="16">
        <f>Transportation_LCIA!R$61*($W78^Transportation_LCIA!R$60)+Transportation_LCIA!R$62</f>
        <v>3.8976595565047854E-4</v>
      </c>
      <c r="AO78" s="16">
        <f>Transportation_LCIA!S$61*($W78^Transportation_LCIA!S$60)+Transportation_LCIA!S$62</f>
        <v>5.7884928967616082E-6</v>
      </c>
      <c r="AP78" s="16">
        <f>Transportation_LCIA!T$61*($W78^Transportation_LCIA!T$60)+Transportation_LCIA!T$62</f>
        <v>5.7884928967616082E-6</v>
      </c>
      <c r="AQ78" s="16">
        <f>Transportation_LCIA!U$61*($W78^Transportation_LCIA!U$60)+Transportation_LCIA!U$62</f>
        <v>8.418249291876381E-4</v>
      </c>
      <c r="AR78" s="16">
        <f>Transportation_LCIA!V$61*($W78^Transportation_LCIA!V$60)+Transportation_LCIA!V$62</f>
        <v>3.2804857778078551E-4</v>
      </c>
      <c r="AT78" s="16">
        <f>$W78*Y78+($L78)*Summary_LCIA!H$32</f>
        <v>199.52456852799122</v>
      </c>
      <c r="AU78" s="16">
        <f>$W78*Z78+($L78)*Summary_LCIA!Q$32</f>
        <v>2142.2742859597438</v>
      </c>
      <c r="AV78" s="16">
        <f>$W78*AA78+($L78)*Summary_LCIA!R$32</f>
        <v>1.166104268865984</v>
      </c>
      <c r="AW78" s="16">
        <f>$W78*AB78+($L78)*Summary_LCIA!S$32</f>
        <v>199.40115770799122</v>
      </c>
      <c r="AX78" s="16">
        <f>$W78*AC78+($L78)*Summary_LCIA!T$32</f>
        <v>49.805234437147334</v>
      </c>
      <c r="AY78" s="16">
        <f>$W78*AD78+($L78)*Summary_LCIA!U$32</f>
        <v>0.74126891236141601</v>
      </c>
      <c r="AZ78" s="16">
        <f>$W78*AE78+($L78)*Summary_LCIA!V$32</f>
        <v>6.7189404114780214E-3</v>
      </c>
      <c r="BA78" s="16">
        <f>$W78*AF78+($L78)*Summary_LCIA!W$32</f>
        <v>10.145041787981082</v>
      </c>
      <c r="BB78" s="16">
        <f>$W78*AG78+($L78)*Summary_LCIA!X$32</f>
        <v>10.775174022563094</v>
      </c>
      <c r="BC78" s="16">
        <f>$W78*AH78+($L78)*Summary_LCIA!Y$32</f>
        <v>0.64714834480138506</v>
      </c>
      <c r="BD78" s="16">
        <f>$W78*AI78+($L78)*Summary_LCIA!Z$32</f>
        <v>0.19453636424375126</v>
      </c>
      <c r="BE78" s="16">
        <f>$W78*AJ78+($L78)*Summary_LCIA!AA$32</f>
        <v>1.5019093225699471</v>
      </c>
      <c r="BF78" s="16">
        <f>$W78*AK78+($L78)*Summary_LCIA!AB$32</f>
        <v>4.8833807116451702E-2</v>
      </c>
      <c r="BG78" s="16">
        <f>$W78*AL78+($L78)*Summary_LCIA!AC$32</f>
        <v>2.5245568461130181E-5</v>
      </c>
      <c r="BH78" s="16">
        <f>$W78*AM78+($L78)*Summary_LCIA!AD$32</f>
        <v>9.5198530609355819E-2</v>
      </c>
      <c r="BI78" s="16">
        <f>$W78*AN78+($L78)*Summary_LCIA!AE$32</f>
        <v>0.28356173072087087</v>
      </c>
      <c r="BJ78" s="16">
        <f>$W78*AO78+($L78)*Summary_LCIA!AF$32</f>
        <v>2.7448761303597968E-2</v>
      </c>
      <c r="BK78" s="16">
        <f>$W78*AP78+($L78)*Summary_LCIA!AG$32</f>
        <v>5.2723674485979661E-3</v>
      </c>
      <c r="BL78" s="16">
        <f>$W78*AQ78+($L78)*Summary_LCIA!AH$32</f>
        <v>0.80201844676342149</v>
      </c>
      <c r="BM78" s="16">
        <f>$W78*AR78+($L78)*Summary_LCIA!AI$32</f>
        <v>0.24384710922285774</v>
      </c>
      <c r="BN78" s="16"/>
    </row>
    <row r="79" spans="1:66" x14ac:dyDescent="0.25">
      <c r="A79" s="159">
        <v>95</v>
      </c>
      <c r="B79" s="159">
        <v>6</v>
      </c>
      <c r="C79" s="45">
        <v>40.444389999999999</v>
      </c>
      <c r="D79" s="45">
        <v>-79.953412999999998</v>
      </c>
      <c r="E79" s="45" t="s">
        <v>265</v>
      </c>
      <c r="F79" s="159">
        <v>106</v>
      </c>
      <c r="G79" s="45" t="s">
        <v>266</v>
      </c>
      <c r="H79" s="45" t="s">
        <v>669</v>
      </c>
      <c r="I79" s="45">
        <v>40.491920999999998</v>
      </c>
      <c r="J79" s="45">
        <v>-80.235223000000005</v>
      </c>
      <c r="K79" s="45">
        <v>24.630663819999999</v>
      </c>
      <c r="L79" s="45">
        <v>31.443999999999999</v>
      </c>
      <c r="M79" s="45" t="s">
        <v>617</v>
      </c>
      <c r="N79" s="159">
        <v>5</v>
      </c>
      <c r="O79" s="159">
        <v>6</v>
      </c>
      <c r="P79" s="45" t="s">
        <v>565</v>
      </c>
      <c r="Q79" s="45" t="s">
        <v>564</v>
      </c>
      <c r="R79" s="45">
        <v>41.98028</v>
      </c>
      <c r="S79" s="45">
        <v>-87.908997900000003</v>
      </c>
      <c r="T79" s="45">
        <v>772.90800000000002</v>
      </c>
      <c r="U79" s="45" t="s">
        <v>617</v>
      </c>
      <c r="V79" s="45" t="s">
        <v>569</v>
      </c>
      <c r="W79" s="45" cm="1">
        <f t="array" ref="W79">getDistance(R79,S79,I79,J79)*SA!$B$12</f>
        <v>664.03976858093529</v>
      </c>
      <c r="X79" s="22"/>
      <c r="Y79" s="16">
        <f>Transportation_LCIA!C$61*($W79^Transportation_LCIA!C$60)+Transportation_LCIA!C$62</f>
        <v>0.28618318016419964</v>
      </c>
      <c r="Z79" s="16">
        <f>Transportation_LCIA!D$61*($W79^Transportation_LCIA!D$60)+Transportation_LCIA!D$62</f>
        <v>3.0177355282535454</v>
      </c>
      <c r="AA79" s="16">
        <f>Transportation_LCIA!E$61*($W79^Transportation_LCIA!E$60)+Transportation_LCIA!E$62</f>
        <v>1.5346723185627621E-3</v>
      </c>
      <c r="AB79" s="16">
        <f>Transportation_LCIA!F$61*($W79^Transportation_LCIA!F$60)+Transportation_LCIA!F$62</f>
        <v>0.28618318016419964</v>
      </c>
      <c r="AC79" s="16">
        <f>Transportation_LCIA!G$61*($W79^Transportation_LCIA!G$60)+Transportation_LCIA!G$62</f>
        <v>7.0382405916778926E-2</v>
      </c>
      <c r="AD79" s="16">
        <f>Transportation_LCIA!H$61*($W79^Transportation_LCIA!H$60)+Transportation_LCIA!H$62</f>
        <v>3.6306879462450609E-4</v>
      </c>
      <c r="AE79" s="16">
        <f>Transportation_LCIA!I$61*($W79^Transportation_LCIA!I$60)+Transportation_LCIA!I$62</f>
        <v>8.1100647661309928E-6</v>
      </c>
      <c r="AF79" s="16">
        <f>Transportation_LCIA!J$61*($W79^Transportation_LCIA!J$60)+Transportation_LCIA!J$62</f>
        <v>1.2041348839796951E-2</v>
      </c>
      <c r="AG79" s="16">
        <f>Transportation_LCIA!K$61*($W79^Transportation_LCIA!K$60)+Transportation_LCIA!K$62</f>
        <v>1.5268865092569082E-2</v>
      </c>
      <c r="AH79" s="16">
        <f>Transportation_LCIA!L$61*($W79^Transportation_LCIA!L$60)+Transportation_LCIA!L$62</f>
        <v>3.193834659249564E-4</v>
      </c>
      <c r="AI79" s="16">
        <f>Transportation_LCIA!M$61*($W79^Transportation_LCIA!M$60)+Transportation_LCIA!M$62</f>
        <v>2.9123459332568592E-4</v>
      </c>
      <c r="AJ79" s="16">
        <f>Transportation_LCIA!N$61*($W79^Transportation_LCIA!N$60)+Transportation_LCIA!N$62</f>
        <v>1.2797222196284355E-3</v>
      </c>
      <c r="AK79" s="16">
        <f>Transportation_LCIA!O$61*($W79^Transportation_LCIA!O$60)+Transportation_LCIA!O$62</f>
        <v>7.4458081336171384E-5</v>
      </c>
      <c r="AL79" s="16">
        <f>Transportation_LCIA!P$61*($W79^Transportation_LCIA!P$60)+Transportation_LCIA!P$62</f>
        <v>3.5962723058234319E-8</v>
      </c>
      <c r="AM79" s="16">
        <f>Transportation_LCIA!Q$61*($W79^Transportation_LCIA!Q$60)+Transportation_LCIA!Q$62</f>
        <v>1.2607962162909455E-4</v>
      </c>
      <c r="AN79" s="16">
        <f>Transportation_LCIA!R$61*($W79^Transportation_LCIA!R$60)+Transportation_LCIA!R$62</f>
        <v>3.8976595565047854E-4</v>
      </c>
      <c r="AO79" s="16">
        <f>Transportation_LCIA!S$61*($W79^Transportation_LCIA!S$60)+Transportation_LCIA!S$62</f>
        <v>5.7884928967616082E-6</v>
      </c>
      <c r="AP79" s="16">
        <f>Transportation_LCIA!T$61*($W79^Transportation_LCIA!T$60)+Transportation_LCIA!T$62</f>
        <v>5.7884928967616082E-6</v>
      </c>
      <c r="AQ79" s="16">
        <f>Transportation_LCIA!U$61*($W79^Transportation_LCIA!U$60)+Transportation_LCIA!U$62</f>
        <v>8.418249291876381E-4</v>
      </c>
      <c r="AR79" s="16">
        <f>Transportation_LCIA!V$61*($W79^Transportation_LCIA!V$60)+Transportation_LCIA!V$62</f>
        <v>3.2804857778078551E-4</v>
      </c>
      <c r="AT79" s="16">
        <f>$W79*Y79+($L79)*Summary_LCIA!H$32</f>
        <v>200.72168392799122</v>
      </c>
      <c r="AU79" s="16">
        <f>$W79*Z79+($L79)*Summary_LCIA!Q$32</f>
        <v>2159.7344516352027</v>
      </c>
      <c r="AV79" s="16">
        <f>$W79*AA79+($L79)*Summary_LCIA!R$32</f>
        <v>1.1846549776659838</v>
      </c>
      <c r="AW79" s="16">
        <f>$W79*AB79+($L79)*Summary_LCIA!S$32</f>
        <v>200.58270144799121</v>
      </c>
      <c r="AX79" s="16">
        <f>$W79*AC79+($L79)*Summary_LCIA!T$32</f>
        <v>50.192412137147329</v>
      </c>
      <c r="AY79" s="16">
        <f>$W79*AD79+($L79)*Summary_LCIA!U$32</f>
        <v>0.80437993436141619</v>
      </c>
      <c r="AZ79" s="16">
        <f>$W79*AE79+($L79)*Summary_LCIA!V$32</f>
        <v>6.8872024144780207E-3</v>
      </c>
      <c r="BA79" s="16">
        <f>$W79*AF79+($L79)*Summary_LCIA!W$32</f>
        <v>10.416210620981081</v>
      </c>
      <c r="BB79" s="16">
        <f>$W79*AG79+($L79)*Summary_LCIA!X$32</f>
        <v>10.855427962563093</v>
      </c>
      <c r="BC79" s="16">
        <f>$W79*AH79+($L79)*Summary_LCIA!Y$32</f>
        <v>0.70204373080138516</v>
      </c>
      <c r="BD79" s="16">
        <f>$W79*AI79+($L79)*Summary_LCIA!Z$32</f>
        <v>0.19468083895075128</v>
      </c>
      <c r="BE79" s="16">
        <f>$W79*AJ79+($L79)*Summary_LCIA!AA$32</f>
        <v>1.584192510569947</v>
      </c>
      <c r="BF79" s="16">
        <f>$W79*AK79+($L79)*Summary_LCIA!AB$32</f>
        <v>4.87569246874517E-2</v>
      </c>
      <c r="BG79" s="16">
        <f>$W79*AL79+($L79)*Summary_LCIA!AC$32</f>
        <v>2.5417786793130184E-5</v>
      </c>
      <c r="BH79" s="16">
        <f>$W79*AM79+($L79)*Summary_LCIA!AD$32</f>
        <v>9.6646624529355823E-2</v>
      </c>
      <c r="BI79" s="16">
        <f>$W79*AN79+($L79)*Summary_LCIA!AE$32</f>
        <v>0.28668356671087086</v>
      </c>
      <c r="BJ79" s="16">
        <f>$W79*AO79+($L79)*Summary_LCIA!AF$32</f>
        <v>3.042717596359797E-2</v>
      </c>
      <c r="BK79" s="16">
        <f>$W79*AP79+($L79)*Summary_LCIA!AG$32</f>
        <v>5.4526217435979657E-3</v>
      </c>
      <c r="BL79" s="16">
        <f>$W79*AQ79+($L79)*Summary_LCIA!AH$32</f>
        <v>0.8326812295634215</v>
      </c>
      <c r="BM79" s="16">
        <f>$W79*AR79+($L79)*Summary_LCIA!AI$32</f>
        <v>0.24712895987285774</v>
      </c>
      <c r="BN79" s="16"/>
    </row>
    <row r="80" spans="1:66" x14ac:dyDescent="0.25">
      <c r="A80" s="159">
        <v>96</v>
      </c>
      <c r="B80" s="159">
        <v>6</v>
      </c>
      <c r="C80" s="45">
        <v>40.444389999999999</v>
      </c>
      <c r="D80" s="45">
        <v>-79.953412999999998</v>
      </c>
      <c r="E80" s="45" t="s">
        <v>265</v>
      </c>
      <c r="F80" s="159">
        <v>106</v>
      </c>
      <c r="G80" s="45" t="s">
        <v>266</v>
      </c>
      <c r="H80" s="45" t="s">
        <v>669</v>
      </c>
      <c r="I80" s="45">
        <v>40.491920999999998</v>
      </c>
      <c r="J80" s="45">
        <v>-80.235223000000005</v>
      </c>
      <c r="K80" s="45">
        <v>24.630663819999999</v>
      </c>
      <c r="L80" s="45">
        <v>31.443999999999999</v>
      </c>
      <c r="M80" s="45" t="s">
        <v>617</v>
      </c>
      <c r="N80" s="159">
        <v>5</v>
      </c>
      <c r="O80" s="159">
        <v>6</v>
      </c>
      <c r="P80" s="45" t="s">
        <v>565</v>
      </c>
      <c r="Q80" s="45" t="s">
        <v>564</v>
      </c>
      <c r="R80" s="45">
        <v>41.98028</v>
      </c>
      <c r="S80" s="45">
        <v>-87.908997900000003</v>
      </c>
      <c r="T80" s="45">
        <v>772.90800000000002</v>
      </c>
      <c r="U80" s="45" t="s">
        <v>617</v>
      </c>
      <c r="V80" s="45" t="s">
        <v>569</v>
      </c>
      <c r="W80" s="45" cm="1">
        <f t="array" ref="W80">getDistance(R80,S80,I80,J80)*SA!$B$12</f>
        <v>664.03976858093529</v>
      </c>
      <c r="X80" s="22"/>
      <c r="Y80" s="16">
        <f>Transportation_LCIA!C$61*($W80^Transportation_LCIA!C$60)+Transportation_LCIA!C$62</f>
        <v>0.28618318016419964</v>
      </c>
      <c r="Z80" s="16">
        <f>Transportation_LCIA!D$61*($W80^Transportation_LCIA!D$60)+Transportation_LCIA!D$62</f>
        <v>3.0177355282535454</v>
      </c>
      <c r="AA80" s="16">
        <f>Transportation_LCIA!E$61*($W80^Transportation_LCIA!E$60)+Transportation_LCIA!E$62</f>
        <v>1.5346723185627621E-3</v>
      </c>
      <c r="AB80" s="16">
        <f>Transportation_LCIA!F$61*($W80^Transportation_LCIA!F$60)+Transportation_LCIA!F$62</f>
        <v>0.28618318016419964</v>
      </c>
      <c r="AC80" s="16">
        <f>Transportation_LCIA!G$61*($W80^Transportation_LCIA!G$60)+Transportation_LCIA!G$62</f>
        <v>7.0382405916778926E-2</v>
      </c>
      <c r="AD80" s="16">
        <f>Transportation_LCIA!H$61*($W80^Transportation_LCIA!H$60)+Transportation_LCIA!H$62</f>
        <v>3.6306879462450609E-4</v>
      </c>
      <c r="AE80" s="16">
        <f>Transportation_LCIA!I$61*($W80^Transportation_LCIA!I$60)+Transportation_LCIA!I$62</f>
        <v>8.1100647661309928E-6</v>
      </c>
      <c r="AF80" s="16">
        <f>Transportation_LCIA!J$61*($W80^Transportation_LCIA!J$60)+Transportation_LCIA!J$62</f>
        <v>1.2041348839796951E-2</v>
      </c>
      <c r="AG80" s="16">
        <f>Transportation_LCIA!K$61*($W80^Transportation_LCIA!K$60)+Transportation_LCIA!K$62</f>
        <v>1.5268865092569082E-2</v>
      </c>
      <c r="AH80" s="16">
        <f>Transportation_LCIA!L$61*($W80^Transportation_LCIA!L$60)+Transportation_LCIA!L$62</f>
        <v>3.193834659249564E-4</v>
      </c>
      <c r="AI80" s="16">
        <f>Transportation_LCIA!M$61*($W80^Transportation_LCIA!M$60)+Transportation_LCIA!M$62</f>
        <v>2.9123459332568592E-4</v>
      </c>
      <c r="AJ80" s="16">
        <f>Transportation_LCIA!N$61*($W80^Transportation_LCIA!N$60)+Transportation_LCIA!N$62</f>
        <v>1.2797222196284355E-3</v>
      </c>
      <c r="AK80" s="16">
        <f>Transportation_LCIA!O$61*($W80^Transportation_LCIA!O$60)+Transportation_LCIA!O$62</f>
        <v>7.4458081336171384E-5</v>
      </c>
      <c r="AL80" s="16">
        <f>Transportation_LCIA!P$61*($W80^Transportation_LCIA!P$60)+Transportation_LCIA!P$62</f>
        <v>3.5962723058234319E-8</v>
      </c>
      <c r="AM80" s="16">
        <f>Transportation_LCIA!Q$61*($W80^Transportation_LCIA!Q$60)+Transportation_LCIA!Q$62</f>
        <v>1.2607962162909455E-4</v>
      </c>
      <c r="AN80" s="16">
        <f>Transportation_LCIA!R$61*($W80^Transportation_LCIA!R$60)+Transportation_LCIA!R$62</f>
        <v>3.8976595565047854E-4</v>
      </c>
      <c r="AO80" s="16">
        <f>Transportation_LCIA!S$61*($W80^Transportation_LCIA!S$60)+Transportation_LCIA!S$62</f>
        <v>5.7884928967616082E-6</v>
      </c>
      <c r="AP80" s="16">
        <f>Transportation_LCIA!T$61*($W80^Transportation_LCIA!T$60)+Transportation_LCIA!T$62</f>
        <v>5.7884928967616082E-6</v>
      </c>
      <c r="AQ80" s="16">
        <f>Transportation_LCIA!U$61*($W80^Transportation_LCIA!U$60)+Transportation_LCIA!U$62</f>
        <v>8.418249291876381E-4</v>
      </c>
      <c r="AR80" s="16">
        <f>Transportation_LCIA!V$61*($W80^Transportation_LCIA!V$60)+Transportation_LCIA!V$62</f>
        <v>3.2804857778078551E-4</v>
      </c>
      <c r="AT80" s="16">
        <f>$W80*Y80+($L80)*Summary_LCIA!H$32</f>
        <v>200.72168392799122</v>
      </c>
      <c r="AU80" s="16">
        <f>$W80*Z80+($L80)*Summary_LCIA!Q$32</f>
        <v>2159.7344516352027</v>
      </c>
      <c r="AV80" s="16">
        <f>$W80*AA80+($L80)*Summary_LCIA!R$32</f>
        <v>1.1846549776659838</v>
      </c>
      <c r="AW80" s="16">
        <f>$W80*AB80+($L80)*Summary_LCIA!S$32</f>
        <v>200.58270144799121</v>
      </c>
      <c r="AX80" s="16">
        <f>$W80*AC80+($L80)*Summary_LCIA!T$32</f>
        <v>50.192412137147329</v>
      </c>
      <c r="AY80" s="16">
        <f>$W80*AD80+($L80)*Summary_LCIA!U$32</f>
        <v>0.80437993436141619</v>
      </c>
      <c r="AZ80" s="16">
        <f>$W80*AE80+($L80)*Summary_LCIA!V$32</f>
        <v>6.8872024144780207E-3</v>
      </c>
      <c r="BA80" s="16">
        <f>$W80*AF80+($L80)*Summary_LCIA!W$32</f>
        <v>10.416210620981081</v>
      </c>
      <c r="BB80" s="16">
        <f>$W80*AG80+($L80)*Summary_LCIA!X$32</f>
        <v>10.855427962563093</v>
      </c>
      <c r="BC80" s="16">
        <f>$W80*AH80+($L80)*Summary_LCIA!Y$32</f>
        <v>0.70204373080138516</v>
      </c>
      <c r="BD80" s="16">
        <f>$W80*AI80+($L80)*Summary_LCIA!Z$32</f>
        <v>0.19468083895075128</v>
      </c>
      <c r="BE80" s="16">
        <f>$W80*AJ80+($L80)*Summary_LCIA!AA$32</f>
        <v>1.584192510569947</v>
      </c>
      <c r="BF80" s="16">
        <f>$W80*AK80+($L80)*Summary_LCIA!AB$32</f>
        <v>4.87569246874517E-2</v>
      </c>
      <c r="BG80" s="16">
        <f>$W80*AL80+($L80)*Summary_LCIA!AC$32</f>
        <v>2.5417786793130184E-5</v>
      </c>
      <c r="BH80" s="16">
        <f>$W80*AM80+($L80)*Summary_LCIA!AD$32</f>
        <v>9.6646624529355823E-2</v>
      </c>
      <c r="BI80" s="16">
        <f>$W80*AN80+($L80)*Summary_LCIA!AE$32</f>
        <v>0.28668356671087086</v>
      </c>
      <c r="BJ80" s="16">
        <f>$W80*AO80+($L80)*Summary_LCIA!AF$32</f>
        <v>3.042717596359797E-2</v>
      </c>
      <c r="BK80" s="16">
        <f>$W80*AP80+($L80)*Summary_LCIA!AG$32</f>
        <v>5.4526217435979657E-3</v>
      </c>
      <c r="BL80" s="16">
        <f>$W80*AQ80+($L80)*Summary_LCIA!AH$32</f>
        <v>0.8326812295634215</v>
      </c>
      <c r="BM80" s="16">
        <f>$W80*AR80+($L80)*Summary_LCIA!AI$32</f>
        <v>0.24712895987285774</v>
      </c>
      <c r="BN80" s="16"/>
    </row>
    <row r="81" spans="1:66" x14ac:dyDescent="0.25">
      <c r="A81" s="159">
        <v>99</v>
      </c>
      <c r="B81" s="159">
        <v>6</v>
      </c>
      <c r="C81" s="45">
        <v>40.444164999999998</v>
      </c>
      <c r="D81" s="45">
        <v>-79.943371999999997</v>
      </c>
      <c r="E81" s="45" t="s">
        <v>265</v>
      </c>
      <c r="F81" s="159">
        <v>106</v>
      </c>
      <c r="G81" s="45" t="s">
        <v>266</v>
      </c>
      <c r="H81" s="45" t="s">
        <v>669</v>
      </c>
      <c r="I81" s="45">
        <v>40.491920999999998</v>
      </c>
      <c r="J81" s="45">
        <v>-80.235223000000005</v>
      </c>
      <c r="K81" s="45">
        <v>25.455054860000001</v>
      </c>
      <c r="L81" s="45">
        <v>32.761000000000003</v>
      </c>
      <c r="M81" s="45" t="s">
        <v>617</v>
      </c>
      <c r="N81" s="159">
        <v>5</v>
      </c>
      <c r="O81" s="159">
        <v>6</v>
      </c>
      <c r="P81" s="45" t="s">
        <v>565</v>
      </c>
      <c r="Q81" s="45" t="s">
        <v>564</v>
      </c>
      <c r="R81" s="45">
        <v>41.98028</v>
      </c>
      <c r="S81" s="45">
        <v>-87.908997900000003</v>
      </c>
      <c r="T81" s="45">
        <v>774.22500000000002</v>
      </c>
      <c r="U81" s="45" t="s">
        <v>617</v>
      </c>
      <c r="V81" s="45" t="s">
        <v>569</v>
      </c>
      <c r="W81" s="45" cm="1">
        <f t="array" ref="W81">getDistance(R81,S81,I81,J81)*SA!$B$12</f>
        <v>664.03976858093529</v>
      </c>
      <c r="X81" s="22"/>
      <c r="Y81" s="16">
        <f>Transportation_LCIA!C$61*($W81^Transportation_LCIA!C$60)+Transportation_LCIA!C$62</f>
        <v>0.28618318016419964</v>
      </c>
      <c r="Z81" s="16">
        <f>Transportation_LCIA!D$61*($W81^Transportation_LCIA!D$60)+Transportation_LCIA!D$62</f>
        <v>3.0177355282535454</v>
      </c>
      <c r="AA81" s="16">
        <f>Transportation_LCIA!E$61*($W81^Transportation_LCIA!E$60)+Transportation_LCIA!E$62</f>
        <v>1.5346723185627621E-3</v>
      </c>
      <c r="AB81" s="16">
        <f>Transportation_LCIA!F$61*($W81^Transportation_LCIA!F$60)+Transportation_LCIA!F$62</f>
        <v>0.28618318016419964</v>
      </c>
      <c r="AC81" s="16">
        <f>Transportation_LCIA!G$61*($W81^Transportation_LCIA!G$60)+Transportation_LCIA!G$62</f>
        <v>7.0382405916778926E-2</v>
      </c>
      <c r="AD81" s="16">
        <f>Transportation_LCIA!H$61*($W81^Transportation_LCIA!H$60)+Transportation_LCIA!H$62</f>
        <v>3.6306879462450609E-4</v>
      </c>
      <c r="AE81" s="16">
        <f>Transportation_LCIA!I$61*($W81^Transportation_LCIA!I$60)+Transportation_LCIA!I$62</f>
        <v>8.1100647661309928E-6</v>
      </c>
      <c r="AF81" s="16">
        <f>Transportation_LCIA!J$61*($W81^Transportation_LCIA!J$60)+Transportation_LCIA!J$62</f>
        <v>1.2041348839796951E-2</v>
      </c>
      <c r="AG81" s="16">
        <f>Transportation_LCIA!K$61*($W81^Transportation_LCIA!K$60)+Transportation_LCIA!K$62</f>
        <v>1.5268865092569082E-2</v>
      </c>
      <c r="AH81" s="16">
        <f>Transportation_LCIA!L$61*($W81^Transportation_LCIA!L$60)+Transportation_LCIA!L$62</f>
        <v>3.193834659249564E-4</v>
      </c>
      <c r="AI81" s="16">
        <f>Transportation_LCIA!M$61*($W81^Transportation_LCIA!M$60)+Transportation_LCIA!M$62</f>
        <v>2.9123459332568592E-4</v>
      </c>
      <c r="AJ81" s="16">
        <f>Transportation_LCIA!N$61*($W81^Transportation_LCIA!N$60)+Transportation_LCIA!N$62</f>
        <v>1.2797222196284355E-3</v>
      </c>
      <c r="AK81" s="16">
        <f>Transportation_LCIA!O$61*($W81^Transportation_LCIA!O$60)+Transportation_LCIA!O$62</f>
        <v>7.4458081336171384E-5</v>
      </c>
      <c r="AL81" s="16">
        <f>Transportation_LCIA!P$61*($W81^Transportation_LCIA!P$60)+Transportation_LCIA!P$62</f>
        <v>3.5962723058234319E-8</v>
      </c>
      <c r="AM81" s="16">
        <f>Transportation_LCIA!Q$61*($W81^Transportation_LCIA!Q$60)+Transportation_LCIA!Q$62</f>
        <v>1.2607962162909455E-4</v>
      </c>
      <c r="AN81" s="16">
        <f>Transportation_LCIA!R$61*($W81^Transportation_LCIA!R$60)+Transportation_LCIA!R$62</f>
        <v>3.8976595565047854E-4</v>
      </c>
      <c r="AO81" s="16">
        <f>Transportation_LCIA!S$61*($W81^Transportation_LCIA!S$60)+Transportation_LCIA!S$62</f>
        <v>5.7884928967616082E-6</v>
      </c>
      <c r="AP81" s="16">
        <f>Transportation_LCIA!T$61*($W81^Transportation_LCIA!T$60)+Transportation_LCIA!T$62</f>
        <v>5.7884928967616082E-6</v>
      </c>
      <c r="AQ81" s="16">
        <f>Transportation_LCIA!U$61*($W81^Transportation_LCIA!U$60)+Transportation_LCIA!U$62</f>
        <v>8.418249291876381E-4</v>
      </c>
      <c r="AR81" s="16">
        <f>Transportation_LCIA!V$61*($W81^Transportation_LCIA!V$60)+Transportation_LCIA!V$62</f>
        <v>3.2804857778078551E-4</v>
      </c>
      <c r="AT81" s="16">
        <f>$W81*Y81+($L81)*Summary_LCIA!H$32</f>
        <v>201.16920052799122</v>
      </c>
      <c r="AU81" s="16">
        <f>$W81*Z81+($L81)*Summary_LCIA!Q$32</f>
        <v>2166.2615700554638</v>
      </c>
      <c r="AV81" s="16">
        <f>$W81*AA81+($L81)*Summary_LCIA!R$32</f>
        <v>1.1915897728659839</v>
      </c>
      <c r="AW81" s="16">
        <f>$W81*AB81+($L81)*Summary_LCIA!S$32</f>
        <v>201.02439690799122</v>
      </c>
      <c r="AX81" s="16">
        <f>$W81*AC81+($L81)*Summary_LCIA!T$32</f>
        <v>50.337150437147329</v>
      </c>
      <c r="AY81" s="16">
        <f>$W81*AD81+($L81)*Summary_LCIA!U$32</f>
        <v>0.82797267236141625</v>
      </c>
      <c r="AZ81" s="16">
        <f>$W81*AE81+($L81)*Summary_LCIA!V$32</f>
        <v>6.9501036514780217E-3</v>
      </c>
      <c r="BA81" s="16">
        <f>$W81*AF81+($L81)*Summary_LCIA!W$32</f>
        <v>10.517581427981082</v>
      </c>
      <c r="BB81" s="16">
        <f>$W81*AG81+($L81)*Summary_LCIA!X$32</f>
        <v>10.885429222563094</v>
      </c>
      <c r="BC81" s="16">
        <f>$W81*AH81+($L81)*Summary_LCIA!Y$32</f>
        <v>0.72256522480138519</v>
      </c>
      <c r="BD81" s="16">
        <f>$W81*AI81+($L81)*Summary_LCIA!Z$32</f>
        <v>0.19473484780375128</v>
      </c>
      <c r="BE81" s="16">
        <f>$W81*AJ81+($L81)*Summary_LCIA!AA$32</f>
        <v>1.6149523625699471</v>
      </c>
      <c r="BF81" s="16">
        <f>$W81*AK81+($L81)*Summary_LCIA!AB$32</f>
        <v>4.8728183796451698E-2</v>
      </c>
      <c r="BG81" s="16">
        <f>$W81*AL81+($L81)*Summary_LCIA!AC$32</f>
        <v>2.5482167021130183E-5</v>
      </c>
      <c r="BH81" s="16">
        <f>$W81*AM81+($L81)*Summary_LCIA!AD$32</f>
        <v>9.7187964209355826E-2</v>
      </c>
      <c r="BI81" s="16">
        <f>$W81*AN81+($L81)*Summary_LCIA!AE$32</f>
        <v>0.28785059992087086</v>
      </c>
      <c r="BJ81" s="16">
        <f>$W81*AO81+($L81)*Summary_LCIA!AF$32</f>
        <v>3.1540594103597969E-2</v>
      </c>
      <c r="BK81" s="16">
        <f>$W81*AP81+($L81)*Summary_LCIA!AG$32</f>
        <v>5.5200060485979668E-3</v>
      </c>
      <c r="BL81" s="16">
        <f>$W81*AQ81+($L81)*Summary_LCIA!AH$32</f>
        <v>0.84414387076342146</v>
      </c>
      <c r="BM81" s="16">
        <f>$W81*AR81+($L81)*Summary_LCIA!AI$32</f>
        <v>0.24835581122285774</v>
      </c>
      <c r="BN81" s="16"/>
    </row>
    <row r="82" spans="1:66" x14ac:dyDescent="0.25">
      <c r="A82" s="159">
        <v>48</v>
      </c>
      <c r="B82" s="159">
        <v>6</v>
      </c>
      <c r="C82" s="45">
        <v>43.472979000000002</v>
      </c>
      <c r="D82" s="45">
        <v>-80.540103000000002</v>
      </c>
      <c r="E82" s="45" t="s">
        <v>456</v>
      </c>
      <c r="F82" s="159">
        <v>139</v>
      </c>
      <c r="G82" s="45" t="s">
        <v>651</v>
      </c>
      <c r="H82" s="45" t="s">
        <v>652</v>
      </c>
      <c r="I82" s="45">
        <v>43.163226000000002</v>
      </c>
      <c r="J82" s="45">
        <v>-79.926573000000005</v>
      </c>
      <c r="K82" s="45">
        <v>67.656494089999995</v>
      </c>
      <c r="L82" s="45">
        <v>75.798000000000002</v>
      </c>
      <c r="M82" s="45" t="s">
        <v>617</v>
      </c>
      <c r="N82" s="159">
        <v>5</v>
      </c>
      <c r="O82" s="159">
        <v>6</v>
      </c>
      <c r="P82" s="45" t="s">
        <v>565</v>
      </c>
      <c r="Q82" s="45" t="s">
        <v>564</v>
      </c>
      <c r="R82" s="45">
        <v>41.98028</v>
      </c>
      <c r="S82" s="45">
        <v>-87.908997900000003</v>
      </c>
      <c r="T82" s="45">
        <v>781.83900000000006</v>
      </c>
      <c r="U82" s="45" t="s">
        <v>617</v>
      </c>
      <c r="V82" s="45" t="s">
        <v>569</v>
      </c>
      <c r="W82" s="45" cm="1">
        <f t="array" ref="W82">getDistance(R82,S82,I82,J82)*SA!$B$12</f>
        <v>668.21013040358901</v>
      </c>
      <c r="X82" s="22"/>
      <c r="Y82" s="16">
        <f>Transportation_LCIA!C$61*($W82^Transportation_LCIA!C$60)+Transportation_LCIA!C$62</f>
        <v>0.28527020492648869</v>
      </c>
      <c r="Z82" s="16">
        <f>Transportation_LCIA!D$61*($W82^Transportation_LCIA!D$60)+Transportation_LCIA!D$62</f>
        <v>3.0068936127575476</v>
      </c>
      <c r="AA82" s="16">
        <f>Transportation_LCIA!E$61*($W82^Transportation_LCIA!E$60)+Transportation_LCIA!E$62</f>
        <v>1.5275088857335788E-3</v>
      </c>
      <c r="AB82" s="16">
        <f>Transportation_LCIA!F$61*($W82^Transportation_LCIA!F$60)+Transportation_LCIA!F$62</f>
        <v>0.28527020492648869</v>
      </c>
      <c r="AC82" s="16">
        <f>Transportation_LCIA!G$61*($W82^Transportation_LCIA!G$60)+Transportation_LCIA!G$62</f>
        <v>7.0131825064760164E-2</v>
      </c>
      <c r="AD82" s="16">
        <f>Transportation_LCIA!H$61*($W82^Transportation_LCIA!H$60)+Transportation_LCIA!H$62</f>
        <v>3.6147837864756912E-4</v>
      </c>
      <c r="AE82" s="16">
        <f>Transportation_LCIA!I$61*($W82^Transportation_LCIA!I$60)+Transportation_LCIA!I$62</f>
        <v>8.0693991694418073E-6</v>
      </c>
      <c r="AF82" s="16">
        <f>Transportation_LCIA!J$61*($W82^Transportation_LCIA!J$60)+Transportation_LCIA!J$62</f>
        <v>1.1980166879572759E-2</v>
      </c>
      <c r="AG82" s="16">
        <f>Transportation_LCIA!K$61*($W82^Transportation_LCIA!K$60)+Transportation_LCIA!K$62</f>
        <v>1.520985356810769E-2</v>
      </c>
      <c r="AH82" s="16">
        <f>Transportation_LCIA!L$61*($W82^Transportation_LCIA!L$60)+Transportation_LCIA!L$62</f>
        <v>3.1791482965274319E-4</v>
      </c>
      <c r="AI82" s="16">
        <f>Transportation_LCIA!M$61*($W82^Transportation_LCIA!M$60)+Transportation_LCIA!M$62</f>
        <v>2.9035639408606296E-4</v>
      </c>
      <c r="AJ82" s="16">
        <f>Transportation_LCIA!N$61*($W82^Transportation_LCIA!N$60)+Transportation_LCIA!N$62</f>
        <v>1.2743816001571056E-3</v>
      </c>
      <c r="AK82" s="16">
        <f>Transportation_LCIA!O$61*($W82^Transportation_LCIA!O$60)+Transportation_LCIA!O$62</f>
        <v>7.4191679283712797E-5</v>
      </c>
      <c r="AL82" s="16">
        <f>Transportation_LCIA!P$61*($W82^Transportation_LCIA!P$60)+Transportation_LCIA!P$62</f>
        <v>3.5834805849164741E-8</v>
      </c>
      <c r="AM82" s="16">
        <f>Transportation_LCIA!Q$61*($W82^Transportation_LCIA!Q$60)+Transportation_LCIA!Q$62</f>
        <v>1.2550400919416065E-4</v>
      </c>
      <c r="AN82" s="16">
        <f>Transportation_LCIA!R$61*($W82^Transportation_LCIA!R$60)+Transportation_LCIA!R$62</f>
        <v>3.8781518510344718E-4</v>
      </c>
      <c r="AO82" s="16">
        <f>Transportation_LCIA!S$61*($W82^Transportation_LCIA!S$60)+Transportation_LCIA!S$62</f>
        <v>5.7608266444309505E-6</v>
      </c>
      <c r="AP82" s="16">
        <f>Transportation_LCIA!T$61*($W82^Transportation_LCIA!T$60)+Transportation_LCIA!T$62</f>
        <v>5.7608266444309505E-6</v>
      </c>
      <c r="AQ82" s="16">
        <f>Transportation_LCIA!U$61*($W82^Transportation_LCIA!U$60)+Transportation_LCIA!U$62</f>
        <v>8.3753418479087002E-4</v>
      </c>
      <c r="AR82" s="16">
        <f>Transportation_LCIA!V$61*($W82^Transportation_LCIA!V$60)+Transportation_LCIA!V$62</f>
        <v>3.265465026986184E-4</v>
      </c>
      <c r="AT82" s="16">
        <f>$W82*Y82+($L82)*Summary_LCIA!H$32</f>
        <v>216.37660123418758</v>
      </c>
      <c r="AU82" s="16">
        <f>$W82*Z82+($L82)*Summary_LCIA!Q$32</f>
        <v>2384.8954838109739</v>
      </c>
      <c r="AV82" s="16">
        <f>$W82*AA82+($L82)*Summary_LCIA!R$32</f>
        <v>1.4198188605286757</v>
      </c>
      <c r="AW82" s="16">
        <f>$W82*AB82+($L82)*Summary_LCIA!S$32</f>
        <v>216.04157407418757</v>
      </c>
      <c r="AX82" s="16">
        <f>$W82*AC82+($L82)*Summary_LCIA!T$32</f>
        <v>55.192996171965085</v>
      </c>
      <c r="AY82" s="16">
        <f>$W82*AD82+($L82)*Summary_LCIA!U$32</f>
        <v>1.5993888865341699</v>
      </c>
      <c r="AZ82" s="16">
        <f>$W82*AE82+($L82)*Summary_LCIA!V$32</f>
        <v>9.0122425492913227E-3</v>
      </c>
      <c r="BA82" s="16">
        <f>$W82*AF82+($L82)*Summary_LCIA!W$32</f>
        <v>13.839516730856072</v>
      </c>
      <c r="BB82" s="16">
        <f>$W82*AG82+($L82)*Summary_LCIA!X$32</f>
        <v>11.890056676164734</v>
      </c>
      <c r="BC82" s="16">
        <f>$W82*AH82+($L82)*Summary_LCIA!Y$32</f>
        <v>1.3935183457794944</v>
      </c>
      <c r="BD82" s="16">
        <f>$W82*AI82+($L82)*Summary_LCIA!Z$32</f>
        <v>0.19712748413776401</v>
      </c>
      <c r="BE82" s="16">
        <f>$W82*AJ82+($L82)*Summary_LCIA!AA$32</f>
        <v>2.6218927832249141</v>
      </c>
      <c r="BF82" s="16">
        <f>$W82*AK82+($L82)*Summary_LCIA!AB$32</f>
        <v>4.792149193503098E-2</v>
      </c>
      <c r="BG82" s="16">
        <f>$W82*AL82+($L82)*Summary_LCIA!AC$32</f>
        <v>2.7650489721457666E-5</v>
      </c>
      <c r="BH82" s="16">
        <f>$W82*AM82+($L82)*Summary_LCIA!AD$32</f>
        <v>0.11501906026980332</v>
      </c>
      <c r="BI82" s="16">
        <f>$W82*AN82+($L82)*Summary_LCIA!AE$32</f>
        <v>0.32630891715046645</v>
      </c>
      <c r="BJ82" s="16">
        <f>$W82*AO82+($L82)*Summary_LCIA!AF$32</f>
        <v>6.7930587883307678E-2</v>
      </c>
      <c r="BK82" s="16">
        <f>$W82*AP82+($L82)*Summary_LCIA!AG$32</f>
        <v>7.7276473933076762E-3</v>
      </c>
      <c r="BL82" s="16">
        <f>$W82*AQ82+($L82)*Summary_LCIA!AH$32</f>
        <v>1.219364299636571</v>
      </c>
      <c r="BM82" s="16">
        <f>$W82*AR82+($L82)*Summary_LCIA!AI$32</f>
        <v>0.28881130805107974</v>
      </c>
      <c r="BN82" s="16"/>
    </row>
    <row r="83" spans="1:66" x14ac:dyDescent="0.25">
      <c r="A83" s="159">
        <v>231</v>
      </c>
      <c r="B83" s="159">
        <v>6</v>
      </c>
      <c r="C83" s="45">
        <v>40.356509000000003</v>
      </c>
      <c r="D83" s="45">
        <v>-79.919269999999997</v>
      </c>
      <c r="E83" s="45" t="s">
        <v>265</v>
      </c>
      <c r="F83" s="159">
        <v>106</v>
      </c>
      <c r="G83" s="45" t="s">
        <v>266</v>
      </c>
      <c r="H83" s="45" t="s">
        <v>669</v>
      </c>
      <c r="I83" s="45">
        <v>40.491920999999998</v>
      </c>
      <c r="J83" s="45">
        <v>-80.235223000000005</v>
      </c>
      <c r="K83" s="45">
        <v>33.240134609999998</v>
      </c>
      <c r="L83" s="45">
        <v>45.319000000000003</v>
      </c>
      <c r="M83" s="45" t="s">
        <v>617</v>
      </c>
      <c r="N83" s="159">
        <v>5</v>
      </c>
      <c r="O83" s="159">
        <v>6</v>
      </c>
      <c r="P83" s="45" t="s">
        <v>565</v>
      </c>
      <c r="Q83" s="45" t="s">
        <v>564</v>
      </c>
      <c r="R83" s="45">
        <v>41.98028</v>
      </c>
      <c r="S83" s="45">
        <v>-87.908997900000003</v>
      </c>
      <c r="T83" s="45">
        <v>784.15899999999999</v>
      </c>
      <c r="U83" s="45" t="s">
        <v>617</v>
      </c>
      <c r="V83" s="45" t="s">
        <v>569</v>
      </c>
      <c r="W83" s="45" cm="1">
        <f t="array" ref="W83">getDistance(R83,S83,I83,J83)*SA!$B$12</f>
        <v>664.03976858093529</v>
      </c>
      <c r="X83" s="22"/>
      <c r="Y83" s="16">
        <f>Transportation_LCIA!C$61*($W83^Transportation_LCIA!C$60)+Transportation_LCIA!C$62</f>
        <v>0.28618318016419964</v>
      </c>
      <c r="Z83" s="16">
        <f>Transportation_LCIA!D$61*($W83^Transportation_LCIA!D$60)+Transportation_LCIA!D$62</f>
        <v>3.0177355282535454</v>
      </c>
      <c r="AA83" s="16">
        <f>Transportation_LCIA!E$61*($W83^Transportation_LCIA!E$60)+Transportation_LCIA!E$62</f>
        <v>1.5346723185627621E-3</v>
      </c>
      <c r="AB83" s="16">
        <f>Transportation_LCIA!F$61*($W83^Transportation_LCIA!F$60)+Transportation_LCIA!F$62</f>
        <v>0.28618318016419964</v>
      </c>
      <c r="AC83" s="16">
        <f>Transportation_LCIA!G$61*($W83^Transportation_LCIA!G$60)+Transportation_LCIA!G$62</f>
        <v>7.0382405916778926E-2</v>
      </c>
      <c r="AD83" s="16">
        <f>Transportation_LCIA!H$61*($W83^Transportation_LCIA!H$60)+Transportation_LCIA!H$62</f>
        <v>3.6306879462450609E-4</v>
      </c>
      <c r="AE83" s="16">
        <f>Transportation_LCIA!I$61*($W83^Transportation_LCIA!I$60)+Transportation_LCIA!I$62</f>
        <v>8.1100647661309928E-6</v>
      </c>
      <c r="AF83" s="16">
        <f>Transportation_LCIA!J$61*($W83^Transportation_LCIA!J$60)+Transportation_LCIA!J$62</f>
        <v>1.2041348839796951E-2</v>
      </c>
      <c r="AG83" s="16">
        <f>Transportation_LCIA!K$61*($W83^Transportation_LCIA!K$60)+Transportation_LCIA!K$62</f>
        <v>1.5268865092569082E-2</v>
      </c>
      <c r="AH83" s="16">
        <f>Transportation_LCIA!L$61*($W83^Transportation_LCIA!L$60)+Transportation_LCIA!L$62</f>
        <v>3.193834659249564E-4</v>
      </c>
      <c r="AI83" s="16">
        <f>Transportation_LCIA!M$61*($W83^Transportation_LCIA!M$60)+Transportation_LCIA!M$62</f>
        <v>2.9123459332568592E-4</v>
      </c>
      <c r="AJ83" s="16">
        <f>Transportation_LCIA!N$61*($W83^Transportation_LCIA!N$60)+Transportation_LCIA!N$62</f>
        <v>1.2797222196284355E-3</v>
      </c>
      <c r="AK83" s="16">
        <f>Transportation_LCIA!O$61*($W83^Transportation_LCIA!O$60)+Transportation_LCIA!O$62</f>
        <v>7.4458081336171384E-5</v>
      </c>
      <c r="AL83" s="16">
        <f>Transportation_LCIA!P$61*($W83^Transportation_LCIA!P$60)+Transportation_LCIA!P$62</f>
        <v>3.5962723058234319E-8</v>
      </c>
      <c r="AM83" s="16">
        <f>Transportation_LCIA!Q$61*($W83^Transportation_LCIA!Q$60)+Transportation_LCIA!Q$62</f>
        <v>1.2607962162909455E-4</v>
      </c>
      <c r="AN83" s="16">
        <f>Transportation_LCIA!R$61*($W83^Transportation_LCIA!R$60)+Transportation_LCIA!R$62</f>
        <v>3.8976595565047854E-4</v>
      </c>
      <c r="AO83" s="16">
        <f>Transportation_LCIA!S$61*($W83^Transportation_LCIA!S$60)+Transportation_LCIA!S$62</f>
        <v>5.7884928967616082E-6</v>
      </c>
      <c r="AP83" s="16">
        <f>Transportation_LCIA!T$61*($W83^Transportation_LCIA!T$60)+Transportation_LCIA!T$62</f>
        <v>5.7884928967616082E-6</v>
      </c>
      <c r="AQ83" s="16">
        <f>Transportation_LCIA!U$61*($W83^Transportation_LCIA!U$60)+Transportation_LCIA!U$62</f>
        <v>8.418249291876381E-4</v>
      </c>
      <c r="AR83" s="16">
        <f>Transportation_LCIA!V$61*($W83^Transportation_LCIA!V$60)+Transportation_LCIA!V$62</f>
        <v>3.2804857778078551E-4</v>
      </c>
      <c r="AT83" s="16">
        <f>$W83*Y83+($L83)*Summary_LCIA!H$32</f>
        <v>205.43640892799124</v>
      </c>
      <c r="AU83" s="16">
        <f>$W83*Z83+($L83)*Summary_LCIA!Q$32</f>
        <v>2228.4996513930778</v>
      </c>
      <c r="AV83" s="16">
        <f>$W83*AA83+($L83)*Summary_LCIA!R$32</f>
        <v>1.2577151776659838</v>
      </c>
      <c r="AW83" s="16">
        <f>$W83*AB83+($L83)*Summary_LCIA!S$32</f>
        <v>205.23609894799122</v>
      </c>
      <c r="AX83" s="16">
        <f>$W83*AC83+($L83)*Summary_LCIA!T$32</f>
        <v>51.717274637147334</v>
      </c>
      <c r="AY83" s="16">
        <f>$W83*AD83+($L83)*Summary_LCIA!U$32</f>
        <v>1.0529366843614161</v>
      </c>
      <c r="AZ83" s="16">
        <f>$W83*AE83+($L83)*Summary_LCIA!V$32</f>
        <v>7.549886289478021E-3</v>
      </c>
      <c r="BA83" s="16">
        <f>$W83*AF83+($L83)*Summary_LCIA!W$32</f>
        <v>11.484183245981082</v>
      </c>
      <c r="BB83" s="16">
        <f>$W83*AG83+($L83)*Summary_LCIA!X$32</f>
        <v>11.171500462563094</v>
      </c>
      <c r="BC83" s="16">
        <f>$W83*AH83+($L83)*Summary_LCIA!Y$32</f>
        <v>0.91824398080138514</v>
      </c>
      <c r="BD83" s="16">
        <f>$W83*AI83+($L83)*Summary_LCIA!Z$32</f>
        <v>0.19524983882575125</v>
      </c>
      <c r="BE83" s="16">
        <f>$W83*AJ83+($L83)*Summary_LCIA!AA$32</f>
        <v>1.9082570105699472</v>
      </c>
      <c r="BF83" s="16">
        <f>$W83*AK83+($L83)*Summary_LCIA!AB$32</f>
        <v>4.8454130562451701E-2</v>
      </c>
      <c r="BG83" s="16">
        <f>$W83*AL83+($L83)*Summary_LCIA!AC$32</f>
        <v>2.6096052293130183E-5</v>
      </c>
      <c r="BH83" s="16">
        <f>$W83*AM83+($L83)*Summary_LCIA!AD$32</f>
        <v>0.10234980452935583</v>
      </c>
      <c r="BI83" s="16">
        <f>$W83*AN83+($L83)*Summary_LCIA!AE$32</f>
        <v>0.29897862046087087</v>
      </c>
      <c r="BJ83" s="16">
        <f>$W83*AO83+($L83)*Summary_LCIA!AF$32</f>
        <v>4.2157378463597975E-2</v>
      </c>
      <c r="BK83" s="16">
        <f>$W83*AP83+($L83)*Summary_LCIA!AG$32</f>
        <v>6.1625361185979662E-3</v>
      </c>
      <c r="BL83" s="16">
        <f>$W83*AQ83+($L83)*Summary_LCIA!AH$32</f>
        <v>0.95344367956342158</v>
      </c>
      <c r="BM83" s="16">
        <f>$W83*AR83+($L83)*Summary_LCIA!AI$32</f>
        <v>0.26005421612285773</v>
      </c>
      <c r="BN83" s="16"/>
    </row>
    <row r="84" spans="1:66" x14ac:dyDescent="0.25">
      <c r="A84" s="159">
        <v>105</v>
      </c>
      <c r="B84" s="159">
        <v>6</v>
      </c>
      <c r="C84" s="45">
        <v>40.299481</v>
      </c>
      <c r="D84" s="45">
        <v>-79.976793999999998</v>
      </c>
      <c r="E84" s="45" t="s">
        <v>265</v>
      </c>
      <c r="F84" s="159">
        <v>106</v>
      </c>
      <c r="G84" s="45" t="s">
        <v>266</v>
      </c>
      <c r="H84" s="45" t="s">
        <v>669</v>
      </c>
      <c r="I84" s="45">
        <v>40.491920999999998</v>
      </c>
      <c r="J84" s="45">
        <v>-80.235223000000005</v>
      </c>
      <c r="K84" s="45">
        <v>36.504344930000002</v>
      </c>
      <c r="L84" s="45">
        <v>41.466000000000001</v>
      </c>
      <c r="M84" s="45" t="s">
        <v>617</v>
      </c>
      <c r="N84" s="159">
        <v>5</v>
      </c>
      <c r="O84" s="159">
        <v>6</v>
      </c>
      <c r="P84" s="45" t="s">
        <v>565</v>
      </c>
      <c r="Q84" s="45" t="s">
        <v>564</v>
      </c>
      <c r="R84" s="45">
        <v>41.98028</v>
      </c>
      <c r="S84" s="45">
        <v>-87.908997900000003</v>
      </c>
      <c r="T84" s="45">
        <v>786.18200000000002</v>
      </c>
      <c r="U84" s="45" t="s">
        <v>617</v>
      </c>
      <c r="V84" s="45" t="s">
        <v>569</v>
      </c>
      <c r="W84" s="45" cm="1">
        <f t="array" ref="W84">getDistance(R84,S84,I84,J84)*SA!$B$12</f>
        <v>664.03976858093529</v>
      </c>
      <c r="X84" s="22"/>
      <c r="Y84" s="16">
        <f>Transportation_LCIA!C$61*($W84^Transportation_LCIA!C$60)+Transportation_LCIA!C$62</f>
        <v>0.28618318016419964</v>
      </c>
      <c r="Z84" s="16">
        <f>Transportation_LCIA!D$61*($W84^Transportation_LCIA!D$60)+Transportation_LCIA!D$62</f>
        <v>3.0177355282535454</v>
      </c>
      <c r="AA84" s="16">
        <f>Transportation_LCIA!E$61*($W84^Transportation_LCIA!E$60)+Transportation_LCIA!E$62</f>
        <v>1.5346723185627621E-3</v>
      </c>
      <c r="AB84" s="16">
        <f>Transportation_LCIA!F$61*($W84^Transportation_LCIA!F$60)+Transportation_LCIA!F$62</f>
        <v>0.28618318016419964</v>
      </c>
      <c r="AC84" s="16">
        <f>Transportation_LCIA!G$61*($W84^Transportation_LCIA!G$60)+Transportation_LCIA!G$62</f>
        <v>7.0382405916778926E-2</v>
      </c>
      <c r="AD84" s="16">
        <f>Transportation_LCIA!H$61*($W84^Transportation_LCIA!H$60)+Transportation_LCIA!H$62</f>
        <v>3.6306879462450609E-4</v>
      </c>
      <c r="AE84" s="16">
        <f>Transportation_LCIA!I$61*($W84^Transportation_LCIA!I$60)+Transportation_LCIA!I$62</f>
        <v>8.1100647661309928E-6</v>
      </c>
      <c r="AF84" s="16">
        <f>Transportation_LCIA!J$61*($W84^Transportation_LCIA!J$60)+Transportation_LCIA!J$62</f>
        <v>1.2041348839796951E-2</v>
      </c>
      <c r="AG84" s="16">
        <f>Transportation_LCIA!K$61*($W84^Transportation_LCIA!K$60)+Transportation_LCIA!K$62</f>
        <v>1.5268865092569082E-2</v>
      </c>
      <c r="AH84" s="16">
        <f>Transportation_LCIA!L$61*($W84^Transportation_LCIA!L$60)+Transportation_LCIA!L$62</f>
        <v>3.193834659249564E-4</v>
      </c>
      <c r="AI84" s="16">
        <f>Transportation_LCIA!M$61*($W84^Transportation_LCIA!M$60)+Transportation_LCIA!M$62</f>
        <v>2.9123459332568592E-4</v>
      </c>
      <c r="AJ84" s="16">
        <f>Transportation_LCIA!N$61*($W84^Transportation_LCIA!N$60)+Transportation_LCIA!N$62</f>
        <v>1.2797222196284355E-3</v>
      </c>
      <c r="AK84" s="16">
        <f>Transportation_LCIA!O$61*($W84^Transportation_LCIA!O$60)+Transportation_LCIA!O$62</f>
        <v>7.4458081336171384E-5</v>
      </c>
      <c r="AL84" s="16">
        <f>Transportation_LCIA!P$61*($W84^Transportation_LCIA!P$60)+Transportation_LCIA!P$62</f>
        <v>3.5962723058234319E-8</v>
      </c>
      <c r="AM84" s="16">
        <f>Transportation_LCIA!Q$61*($W84^Transportation_LCIA!Q$60)+Transportation_LCIA!Q$62</f>
        <v>1.2607962162909455E-4</v>
      </c>
      <c r="AN84" s="16">
        <f>Transportation_LCIA!R$61*($W84^Transportation_LCIA!R$60)+Transportation_LCIA!R$62</f>
        <v>3.8976595565047854E-4</v>
      </c>
      <c r="AO84" s="16">
        <f>Transportation_LCIA!S$61*($W84^Transportation_LCIA!S$60)+Transportation_LCIA!S$62</f>
        <v>5.7884928967616082E-6</v>
      </c>
      <c r="AP84" s="16">
        <f>Transportation_LCIA!T$61*($W84^Transportation_LCIA!T$60)+Transportation_LCIA!T$62</f>
        <v>5.7884928967616082E-6</v>
      </c>
      <c r="AQ84" s="16">
        <f>Transportation_LCIA!U$61*($W84^Transportation_LCIA!U$60)+Transportation_LCIA!U$62</f>
        <v>8.418249291876381E-4</v>
      </c>
      <c r="AR84" s="16">
        <f>Transportation_LCIA!V$61*($W84^Transportation_LCIA!V$60)+Transportation_LCIA!V$62</f>
        <v>3.2804857778078551E-4</v>
      </c>
      <c r="AT84" s="16">
        <f>$W84*Y84+($L84)*Summary_LCIA!H$32</f>
        <v>204.12715952799124</v>
      </c>
      <c r="AU84" s="16">
        <f>$W84*Z84+($L84)*Summary_LCIA!Q$32</f>
        <v>2209.403989074729</v>
      </c>
      <c r="AV84" s="16">
        <f>$W84*AA84+($L84)*Summary_LCIA!R$32</f>
        <v>1.2374268208659838</v>
      </c>
      <c r="AW84" s="16">
        <f>$W84*AB84+($L84)*Summary_LCIA!S$32</f>
        <v>203.94387980799124</v>
      </c>
      <c r="AX84" s="16">
        <f>$W84*AC84+($L84)*Summary_LCIA!T$32</f>
        <v>51.293829937147329</v>
      </c>
      <c r="AY84" s="16">
        <f>$W84*AD84+($L84)*Summary_LCIA!U$32</f>
        <v>0.98391404236141611</v>
      </c>
      <c r="AZ84" s="16">
        <f>$W84*AE84+($L84)*Summary_LCIA!V$32</f>
        <v>7.3658631564780209E-3</v>
      </c>
      <c r="BA84" s="16">
        <f>$W84*AF84+($L84)*Summary_LCIA!W$32</f>
        <v>11.18761398298108</v>
      </c>
      <c r="BB84" s="16">
        <f>$W84*AG84+($L84)*Summary_LCIA!X$32</f>
        <v>11.083729122563094</v>
      </c>
      <c r="BC84" s="16">
        <f>$W84*AH84+($L84)*Summary_LCIA!Y$32</f>
        <v>0.85820653480138509</v>
      </c>
      <c r="BD84" s="16">
        <f>$W84*AI84+($L84)*Summary_LCIA!Z$32</f>
        <v>0.19509183114875125</v>
      </c>
      <c r="BE84" s="16">
        <f>$W84*AJ84+($L84)*Summary_LCIA!AA$32</f>
        <v>1.818266342569947</v>
      </c>
      <c r="BF84" s="16">
        <f>$W84*AK84+($L84)*Summary_LCIA!AB$32</f>
        <v>4.8538214581451702E-2</v>
      </c>
      <c r="BG84" s="16">
        <f>$W84*AL84+($L84)*Summary_LCIA!AC$32</f>
        <v>2.5907702241130183E-5</v>
      </c>
      <c r="BH84" s="16">
        <f>$W84*AM84+($L84)*Summary_LCIA!AD$32</f>
        <v>0.10076606740935583</v>
      </c>
      <c r="BI84" s="16">
        <f>$W84*AN84+($L84)*Summary_LCIA!AE$32</f>
        <v>0.2955643615708709</v>
      </c>
      <c r="BJ84" s="16">
        <f>$W84*AO84+($L84)*Summary_LCIA!AF$32</f>
        <v>3.8899975203597968E-2</v>
      </c>
      <c r="BK84" s="16">
        <f>$W84*AP84+($L84)*Summary_LCIA!AG$32</f>
        <v>5.9653973735979658E-3</v>
      </c>
      <c r="BL84" s="16">
        <f>$W84*AQ84+($L84)*Summary_LCIA!AH$32</f>
        <v>0.91990870876342146</v>
      </c>
      <c r="BM84" s="16">
        <f>$W84*AR84+($L84)*Summary_LCIA!AI$32</f>
        <v>0.25646495397285773</v>
      </c>
      <c r="BN84" s="16"/>
    </row>
    <row r="85" spans="1:66" x14ac:dyDescent="0.25">
      <c r="A85" s="159">
        <v>106</v>
      </c>
      <c r="B85" s="159">
        <v>6</v>
      </c>
      <c r="C85" s="45">
        <v>40.299481</v>
      </c>
      <c r="D85" s="45">
        <v>-79.976793999999998</v>
      </c>
      <c r="E85" s="45" t="s">
        <v>265</v>
      </c>
      <c r="F85" s="159">
        <v>106</v>
      </c>
      <c r="G85" s="45" t="s">
        <v>266</v>
      </c>
      <c r="H85" s="45" t="s">
        <v>669</v>
      </c>
      <c r="I85" s="45">
        <v>40.491920999999998</v>
      </c>
      <c r="J85" s="45">
        <v>-80.235223000000005</v>
      </c>
      <c r="K85" s="45">
        <v>36.504344930000002</v>
      </c>
      <c r="L85" s="45">
        <v>41.466000000000001</v>
      </c>
      <c r="M85" s="45" t="s">
        <v>617</v>
      </c>
      <c r="N85" s="159">
        <v>5</v>
      </c>
      <c r="O85" s="159">
        <v>6</v>
      </c>
      <c r="P85" s="45" t="s">
        <v>565</v>
      </c>
      <c r="Q85" s="45" t="s">
        <v>564</v>
      </c>
      <c r="R85" s="45">
        <v>41.98028</v>
      </c>
      <c r="S85" s="45">
        <v>-87.908997900000003</v>
      </c>
      <c r="T85" s="45">
        <v>786.18200000000002</v>
      </c>
      <c r="U85" s="45" t="s">
        <v>617</v>
      </c>
      <c r="V85" s="45" t="s">
        <v>569</v>
      </c>
      <c r="W85" s="45" cm="1">
        <f t="array" ref="W85">getDistance(R85,S85,I85,J85)*SA!$B$12</f>
        <v>664.03976858093529</v>
      </c>
      <c r="X85" s="22"/>
      <c r="Y85" s="16">
        <f>Transportation_LCIA!C$61*($W85^Transportation_LCIA!C$60)+Transportation_LCIA!C$62</f>
        <v>0.28618318016419964</v>
      </c>
      <c r="Z85" s="16">
        <f>Transportation_LCIA!D$61*($W85^Transportation_LCIA!D$60)+Transportation_LCIA!D$62</f>
        <v>3.0177355282535454</v>
      </c>
      <c r="AA85" s="16">
        <f>Transportation_LCIA!E$61*($W85^Transportation_LCIA!E$60)+Transportation_LCIA!E$62</f>
        <v>1.5346723185627621E-3</v>
      </c>
      <c r="AB85" s="16">
        <f>Transportation_LCIA!F$61*($W85^Transportation_LCIA!F$60)+Transportation_LCIA!F$62</f>
        <v>0.28618318016419964</v>
      </c>
      <c r="AC85" s="16">
        <f>Transportation_LCIA!G$61*($W85^Transportation_LCIA!G$60)+Transportation_LCIA!G$62</f>
        <v>7.0382405916778926E-2</v>
      </c>
      <c r="AD85" s="16">
        <f>Transportation_LCIA!H$61*($W85^Transportation_LCIA!H$60)+Transportation_LCIA!H$62</f>
        <v>3.6306879462450609E-4</v>
      </c>
      <c r="AE85" s="16">
        <f>Transportation_LCIA!I$61*($W85^Transportation_LCIA!I$60)+Transportation_LCIA!I$62</f>
        <v>8.1100647661309928E-6</v>
      </c>
      <c r="AF85" s="16">
        <f>Transportation_LCIA!J$61*($W85^Transportation_LCIA!J$60)+Transportation_LCIA!J$62</f>
        <v>1.2041348839796951E-2</v>
      </c>
      <c r="AG85" s="16">
        <f>Transportation_LCIA!K$61*($W85^Transportation_LCIA!K$60)+Transportation_LCIA!K$62</f>
        <v>1.5268865092569082E-2</v>
      </c>
      <c r="AH85" s="16">
        <f>Transportation_LCIA!L$61*($W85^Transportation_LCIA!L$60)+Transportation_LCIA!L$62</f>
        <v>3.193834659249564E-4</v>
      </c>
      <c r="AI85" s="16">
        <f>Transportation_LCIA!M$61*($W85^Transportation_LCIA!M$60)+Transportation_LCIA!M$62</f>
        <v>2.9123459332568592E-4</v>
      </c>
      <c r="AJ85" s="16">
        <f>Transportation_LCIA!N$61*($W85^Transportation_LCIA!N$60)+Transportation_LCIA!N$62</f>
        <v>1.2797222196284355E-3</v>
      </c>
      <c r="AK85" s="16">
        <f>Transportation_LCIA!O$61*($W85^Transportation_LCIA!O$60)+Transportation_LCIA!O$62</f>
        <v>7.4458081336171384E-5</v>
      </c>
      <c r="AL85" s="16">
        <f>Transportation_LCIA!P$61*($W85^Transportation_LCIA!P$60)+Transportation_LCIA!P$62</f>
        <v>3.5962723058234319E-8</v>
      </c>
      <c r="AM85" s="16">
        <f>Transportation_LCIA!Q$61*($W85^Transportation_LCIA!Q$60)+Transportation_LCIA!Q$62</f>
        <v>1.2607962162909455E-4</v>
      </c>
      <c r="AN85" s="16">
        <f>Transportation_LCIA!R$61*($W85^Transportation_LCIA!R$60)+Transportation_LCIA!R$62</f>
        <v>3.8976595565047854E-4</v>
      </c>
      <c r="AO85" s="16">
        <f>Transportation_LCIA!S$61*($W85^Transportation_LCIA!S$60)+Transportation_LCIA!S$62</f>
        <v>5.7884928967616082E-6</v>
      </c>
      <c r="AP85" s="16">
        <f>Transportation_LCIA!T$61*($W85^Transportation_LCIA!T$60)+Transportation_LCIA!T$62</f>
        <v>5.7884928967616082E-6</v>
      </c>
      <c r="AQ85" s="16">
        <f>Transportation_LCIA!U$61*($W85^Transportation_LCIA!U$60)+Transportation_LCIA!U$62</f>
        <v>8.418249291876381E-4</v>
      </c>
      <c r="AR85" s="16">
        <f>Transportation_LCIA!V$61*($W85^Transportation_LCIA!V$60)+Transportation_LCIA!V$62</f>
        <v>3.2804857778078551E-4</v>
      </c>
      <c r="AT85" s="16">
        <f>$W85*Y85+($L85)*Summary_LCIA!H$32</f>
        <v>204.12715952799124</v>
      </c>
      <c r="AU85" s="16">
        <f>$W85*Z85+($L85)*Summary_LCIA!Q$32</f>
        <v>2209.403989074729</v>
      </c>
      <c r="AV85" s="16">
        <f>$W85*AA85+($L85)*Summary_LCIA!R$32</f>
        <v>1.2374268208659838</v>
      </c>
      <c r="AW85" s="16">
        <f>$W85*AB85+($L85)*Summary_LCIA!S$32</f>
        <v>203.94387980799124</v>
      </c>
      <c r="AX85" s="16">
        <f>$W85*AC85+($L85)*Summary_LCIA!T$32</f>
        <v>51.293829937147329</v>
      </c>
      <c r="AY85" s="16">
        <f>$W85*AD85+($L85)*Summary_LCIA!U$32</f>
        <v>0.98391404236141611</v>
      </c>
      <c r="AZ85" s="16">
        <f>$W85*AE85+($L85)*Summary_LCIA!V$32</f>
        <v>7.3658631564780209E-3</v>
      </c>
      <c r="BA85" s="16">
        <f>$W85*AF85+($L85)*Summary_LCIA!W$32</f>
        <v>11.18761398298108</v>
      </c>
      <c r="BB85" s="16">
        <f>$W85*AG85+($L85)*Summary_LCIA!X$32</f>
        <v>11.083729122563094</v>
      </c>
      <c r="BC85" s="16">
        <f>$W85*AH85+($L85)*Summary_LCIA!Y$32</f>
        <v>0.85820653480138509</v>
      </c>
      <c r="BD85" s="16">
        <f>$W85*AI85+($L85)*Summary_LCIA!Z$32</f>
        <v>0.19509183114875125</v>
      </c>
      <c r="BE85" s="16">
        <f>$W85*AJ85+($L85)*Summary_LCIA!AA$32</f>
        <v>1.818266342569947</v>
      </c>
      <c r="BF85" s="16">
        <f>$W85*AK85+($L85)*Summary_LCIA!AB$32</f>
        <v>4.8538214581451702E-2</v>
      </c>
      <c r="BG85" s="16">
        <f>$W85*AL85+($L85)*Summary_LCIA!AC$32</f>
        <v>2.5907702241130183E-5</v>
      </c>
      <c r="BH85" s="16">
        <f>$W85*AM85+($L85)*Summary_LCIA!AD$32</f>
        <v>0.10076606740935583</v>
      </c>
      <c r="BI85" s="16">
        <f>$W85*AN85+($L85)*Summary_LCIA!AE$32</f>
        <v>0.2955643615708709</v>
      </c>
      <c r="BJ85" s="16">
        <f>$W85*AO85+($L85)*Summary_LCIA!AF$32</f>
        <v>3.8899975203597968E-2</v>
      </c>
      <c r="BK85" s="16">
        <f>$W85*AP85+($L85)*Summary_LCIA!AG$32</f>
        <v>5.9653973735979658E-3</v>
      </c>
      <c r="BL85" s="16">
        <f>$W85*AQ85+($L85)*Summary_LCIA!AH$32</f>
        <v>0.91990870876342146</v>
      </c>
      <c r="BM85" s="16">
        <f>$W85*AR85+($L85)*Summary_LCIA!AI$32</f>
        <v>0.25646495397285773</v>
      </c>
      <c r="BN85" s="16"/>
    </row>
    <row r="86" spans="1:66" x14ac:dyDescent="0.25">
      <c r="A86" s="159">
        <v>107</v>
      </c>
      <c r="B86" s="159">
        <v>6</v>
      </c>
      <c r="C86" s="45">
        <v>40.299481</v>
      </c>
      <c r="D86" s="45">
        <v>-79.976793999999998</v>
      </c>
      <c r="E86" s="45" t="s">
        <v>265</v>
      </c>
      <c r="F86" s="159">
        <v>106</v>
      </c>
      <c r="G86" s="45" t="s">
        <v>266</v>
      </c>
      <c r="H86" s="45" t="s">
        <v>669</v>
      </c>
      <c r="I86" s="45">
        <v>40.491920999999998</v>
      </c>
      <c r="J86" s="45">
        <v>-80.235223000000005</v>
      </c>
      <c r="K86" s="45">
        <v>36.504344930000002</v>
      </c>
      <c r="L86" s="45">
        <v>41.466000000000001</v>
      </c>
      <c r="M86" s="45" t="s">
        <v>617</v>
      </c>
      <c r="N86" s="159">
        <v>5</v>
      </c>
      <c r="O86" s="159">
        <v>6</v>
      </c>
      <c r="P86" s="45" t="s">
        <v>565</v>
      </c>
      <c r="Q86" s="45" t="s">
        <v>564</v>
      </c>
      <c r="R86" s="45">
        <v>41.98028</v>
      </c>
      <c r="S86" s="45">
        <v>-87.908997900000003</v>
      </c>
      <c r="T86" s="45">
        <v>786.18200000000002</v>
      </c>
      <c r="U86" s="45" t="s">
        <v>617</v>
      </c>
      <c r="V86" s="45" t="s">
        <v>569</v>
      </c>
      <c r="W86" s="45" cm="1">
        <f t="array" ref="W86">getDistance(R86,S86,I86,J86)*SA!$B$12</f>
        <v>664.03976858093529</v>
      </c>
      <c r="X86" s="22"/>
      <c r="Y86" s="16">
        <f>Transportation_LCIA!C$61*($W86^Transportation_LCIA!C$60)+Transportation_LCIA!C$62</f>
        <v>0.28618318016419964</v>
      </c>
      <c r="Z86" s="16">
        <f>Transportation_LCIA!D$61*($W86^Transportation_LCIA!D$60)+Transportation_LCIA!D$62</f>
        <v>3.0177355282535454</v>
      </c>
      <c r="AA86" s="16">
        <f>Transportation_LCIA!E$61*($W86^Transportation_LCIA!E$60)+Transportation_LCIA!E$62</f>
        <v>1.5346723185627621E-3</v>
      </c>
      <c r="AB86" s="16">
        <f>Transportation_LCIA!F$61*($W86^Transportation_LCIA!F$60)+Transportation_LCIA!F$62</f>
        <v>0.28618318016419964</v>
      </c>
      <c r="AC86" s="16">
        <f>Transportation_LCIA!G$61*($W86^Transportation_LCIA!G$60)+Transportation_LCIA!G$62</f>
        <v>7.0382405916778926E-2</v>
      </c>
      <c r="AD86" s="16">
        <f>Transportation_LCIA!H$61*($W86^Transportation_LCIA!H$60)+Transportation_LCIA!H$62</f>
        <v>3.6306879462450609E-4</v>
      </c>
      <c r="AE86" s="16">
        <f>Transportation_LCIA!I$61*($W86^Transportation_LCIA!I$60)+Transportation_LCIA!I$62</f>
        <v>8.1100647661309928E-6</v>
      </c>
      <c r="AF86" s="16">
        <f>Transportation_LCIA!J$61*($W86^Transportation_LCIA!J$60)+Transportation_LCIA!J$62</f>
        <v>1.2041348839796951E-2</v>
      </c>
      <c r="AG86" s="16">
        <f>Transportation_LCIA!K$61*($W86^Transportation_LCIA!K$60)+Transportation_LCIA!K$62</f>
        <v>1.5268865092569082E-2</v>
      </c>
      <c r="AH86" s="16">
        <f>Transportation_LCIA!L$61*($W86^Transportation_LCIA!L$60)+Transportation_LCIA!L$62</f>
        <v>3.193834659249564E-4</v>
      </c>
      <c r="AI86" s="16">
        <f>Transportation_LCIA!M$61*($W86^Transportation_LCIA!M$60)+Transportation_LCIA!M$62</f>
        <v>2.9123459332568592E-4</v>
      </c>
      <c r="AJ86" s="16">
        <f>Transportation_LCIA!N$61*($W86^Transportation_LCIA!N$60)+Transportation_LCIA!N$62</f>
        <v>1.2797222196284355E-3</v>
      </c>
      <c r="AK86" s="16">
        <f>Transportation_LCIA!O$61*($W86^Transportation_LCIA!O$60)+Transportation_LCIA!O$62</f>
        <v>7.4458081336171384E-5</v>
      </c>
      <c r="AL86" s="16">
        <f>Transportation_LCIA!P$61*($W86^Transportation_LCIA!P$60)+Transportation_LCIA!P$62</f>
        <v>3.5962723058234319E-8</v>
      </c>
      <c r="AM86" s="16">
        <f>Transportation_LCIA!Q$61*($W86^Transportation_LCIA!Q$60)+Transportation_LCIA!Q$62</f>
        <v>1.2607962162909455E-4</v>
      </c>
      <c r="AN86" s="16">
        <f>Transportation_LCIA!R$61*($W86^Transportation_LCIA!R$60)+Transportation_LCIA!R$62</f>
        <v>3.8976595565047854E-4</v>
      </c>
      <c r="AO86" s="16">
        <f>Transportation_LCIA!S$61*($W86^Transportation_LCIA!S$60)+Transportation_LCIA!S$62</f>
        <v>5.7884928967616082E-6</v>
      </c>
      <c r="AP86" s="16">
        <f>Transportation_LCIA!T$61*($W86^Transportation_LCIA!T$60)+Transportation_LCIA!T$62</f>
        <v>5.7884928967616082E-6</v>
      </c>
      <c r="AQ86" s="16">
        <f>Transportation_LCIA!U$61*($W86^Transportation_LCIA!U$60)+Transportation_LCIA!U$62</f>
        <v>8.418249291876381E-4</v>
      </c>
      <c r="AR86" s="16">
        <f>Transportation_LCIA!V$61*($W86^Transportation_LCIA!V$60)+Transportation_LCIA!V$62</f>
        <v>3.2804857778078551E-4</v>
      </c>
      <c r="AT86" s="16">
        <f>$W86*Y86+($L86)*Summary_LCIA!H$32</f>
        <v>204.12715952799124</v>
      </c>
      <c r="AU86" s="16">
        <f>$W86*Z86+($L86)*Summary_LCIA!Q$32</f>
        <v>2209.403989074729</v>
      </c>
      <c r="AV86" s="16">
        <f>$W86*AA86+($L86)*Summary_LCIA!R$32</f>
        <v>1.2374268208659838</v>
      </c>
      <c r="AW86" s="16">
        <f>$W86*AB86+($L86)*Summary_LCIA!S$32</f>
        <v>203.94387980799124</v>
      </c>
      <c r="AX86" s="16">
        <f>$W86*AC86+($L86)*Summary_LCIA!T$32</f>
        <v>51.293829937147329</v>
      </c>
      <c r="AY86" s="16">
        <f>$W86*AD86+($L86)*Summary_LCIA!U$32</f>
        <v>0.98391404236141611</v>
      </c>
      <c r="AZ86" s="16">
        <f>$W86*AE86+($L86)*Summary_LCIA!V$32</f>
        <v>7.3658631564780209E-3</v>
      </c>
      <c r="BA86" s="16">
        <f>$W86*AF86+($L86)*Summary_LCIA!W$32</f>
        <v>11.18761398298108</v>
      </c>
      <c r="BB86" s="16">
        <f>$W86*AG86+($L86)*Summary_LCIA!X$32</f>
        <v>11.083729122563094</v>
      </c>
      <c r="BC86" s="16">
        <f>$W86*AH86+($L86)*Summary_LCIA!Y$32</f>
        <v>0.85820653480138509</v>
      </c>
      <c r="BD86" s="16">
        <f>$W86*AI86+($L86)*Summary_LCIA!Z$32</f>
        <v>0.19509183114875125</v>
      </c>
      <c r="BE86" s="16">
        <f>$W86*AJ86+($L86)*Summary_LCIA!AA$32</f>
        <v>1.818266342569947</v>
      </c>
      <c r="BF86" s="16">
        <f>$W86*AK86+($L86)*Summary_LCIA!AB$32</f>
        <v>4.8538214581451702E-2</v>
      </c>
      <c r="BG86" s="16">
        <f>$W86*AL86+($L86)*Summary_LCIA!AC$32</f>
        <v>2.5907702241130183E-5</v>
      </c>
      <c r="BH86" s="16">
        <f>$W86*AM86+($L86)*Summary_LCIA!AD$32</f>
        <v>0.10076606740935583</v>
      </c>
      <c r="BI86" s="16">
        <f>$W86*AN86+($L86)*Summary_LCIA!AE$32</f>
        <v>0.2955643615708709</v>
      </c>
      <c r="BJ86" s="16">
        <f>$W86*AO86+($L86)*Summary_LCIA!AF$32</f>
        <v>3.8899975203597968E-2</v>
      </c>
      <c r="BK86" s="16">
        <f>$W86*AP86+($L86)*Summary_LCIA!AG$32</f>
        <v>5.9653973735979658E-3</v>
      </c>
      <c r="BL86" s="16">
        <f>$W86*AQ86+($L86)*Summary_LCIA!AH$32</f>
        <v>0.91990870876342146</v>
      </c>
      <c r="BM86" s="16">
        <f>$W86*AR86+($L86)*Summary_LCIA!AI$32</f>
        <v>0.25646495397285773</v>
      </c>
      <c r="BN86" s="16"/>
    </row>
    <row r="87" spans="1:66" x14ac:dyDescent="0.25">
      <c r="A87" s="159">
        <v>234</v>
      </c>
      <c r="B87" s="159">
        <v>6</v>
      </c>
      <c r="C87" s="45">
        <v>40.324514000000001</v>
      </c>
      <c r="D87" s="45">
        <v>-79.701155</v>
      </c>
      <c r="E87" s="45" t="s">
        <v>265</v>
      </c>
      <c r="F87" s="159">
        <v>106</v>
      </c>
      <c r="G87" s="45" t="s">
        <v>266</v>
      </c>
      <c r="H87" s="45" t="s">
        <v>669</v>
      </c>
      <c r="I87" s="45">
        <v>40.491920999999998</v>
      </c>
      <c r="J87" s="45">
        <v>-80.235223000000005</v>
      </c>
      <c r="K87" s="45">
        <v>50.994779719999997</v>
      </c>
      <c r="L87" s="45">
        <v>71.013000000000005</v>
      </c>
      <c r="M87" s="45" t="s">
        <v>617</v>
      </c>
      <c r="N87" s="159">
        <v>5</v>
      </c>
      <c r="O87" s="159">
        <v>6</v>
      </c>
      <c r="P87" s="61" t="s">
        <v>565</v>
      </c>
      <c r="Q87" s="45" t="s">
        <v>564</v>
      </c>
      <c r="R87" s="45">
        <v>41.98028</v>
      </c>
      <c r="S87" s="45">
        <v>-87.908997900000003</v>
      </c>
      <c r="T87" s="45">
        <v>802.66899999999998</v>
      </c>
      <c r="U87" s="45" t="s">
        <v>617</v>
      </c>
      <c r="V87" s="45" t="s">
        <v>569</v>
      </c>
      <c r="W87" s="45" cm="1">
        <f t="array" ref="W87">getDistance(R87,S87,I87,J87)*SA!$B$12</f>
        <v>664.03976858093529</v>
      </c>
      <c r="X87" s="22"/>
      <c r="Y87" s="16">
        <f>Transportation_LCIA!C$61*($W87^Transportation_LCIA!C$60)+Transportation_LCIA!C$62</f>
        <v>0.28618318016419964</v>
      </c>
      <c r="Z87" s="16">
        <f>Transportation_LCIA!D$61*($W87^Transportation_LCIA!D$60)+Transportation_LCIA!D$62</f>
        <v>3.0177355282535454</v>
      </c>
      <c r="AA87" s="16">
        <f>Transportation_LCIA!E$61*($W87^Transportation_LCIA!E$60)+Transportation_LCIA!E$62</f>
        <v>1.5346723185627621E-3</v>
      </c>
      <c r="AB87" s="16">
        <f>Transportation_LCIA!F$61*($W87^Transportation_LCIA!F$60)+Transportation_LCIA!F$62</f>
        <v>0.28618318016419964</v>
      </c>
      <c r="AC87" s="16">
        <f>Transportation_LCIA!G$61*($W87^Transportation_LCIA!G$60)+Transportation_LCIA!G$62</f>
        <v>7.0382405916778926E-2</v>
      </c>
      <c r="AD87" s="16">
        <f>Transportation_LCIA!H$61*($W87^Transportation_LCIA!H$60)+Transportation_LCIA!H$62</f>
        <v>3.6306879462450609E-4</v>
      </c>
      <c r="AE87" s="16">
        <f>Transportation_LCIA!I$61*($W87^Transportation_LCIA!I$60)+Transportation_LCIA!I$62</f>
        <v>8.1100647661309928E-6</v>
      </c>
      <c r="AF87" s="16">
        <f>Transportation_LCIA!J$61*($W87^Transportation_LCIA!J$60)+Transportation_LCIA!J$62</f>
        <v>1.2041348839796951E-2</v>
      </c>
      <c r="AG87" s="16">
        <f>Transportation_LCIA!K$61*($W87^Transportation_LCIA!K$60)+Transportation_LCIA!K$62</f>
        <v>1.5268865092569082E-2</v>
      </c>
      <c r="AH87" s="16">
        <f>Transportation_LCIA!L$61*($W87^Transportation_LCIA!L$60)+Transportation_LCIA!L$62</f>
        <v>3.193834659249564E-4</v>
      </c>
      <c r="AI87" s="16">
        <f>Transportation_LCIA!M$61*($W87^Transportation_LCIA!M$60)+Transportation_LCIA!M$62</f>
        <v>2.9123459332568592E-4</v>
      </c>
      <c r="AJ87" s="16">
        <f>Transportation_LCIA!N$61*($W87^Transportation_LCIA!N$60)+Transportation_LCIA!N$62</f>
        <v>1.2797222196284355E-3</v>
      </c>
      <c r="AK87" s="16">
        <f>Transportation_LCIA!O$61*($W87^Transportation_LCIA!O$60)+Transportation_LCIA!O$62</f>
        <v>7.4458081336171384E-5</v>
      </c>
      <c r="AL87" s="16">
        <f>Transportation_LCIA!P$61*($W87^Transportation_LCIA!P$60)+Transportation_LCIA!P$62</f>
        <v>3.5962723058234319E-8</v>
      </c>
      <c r="AM87" s="16">
        <f>Transportation_LCIA!Q$61*($W87^Transportation_LCIA!Q$60)+Transportation_LCIA!Q$62</f>
        <v>1.2607962162909455E-4</v>
      </c>
      <c r="AN87" s="16">
        <f>Transportation_LCIA!R$61*($W87^Transportation_LCIA!R$60)+Transportation_LCIA!R$62</f>
        <v>3.8976595565047854E-4</v>
      </c>
      <c r="AO87" s="16">
        <f>Transportation_LCIA!S$61*($W87^Transportation_LCIA!S$60)+Transportation_LCIA!S$62</f>
        <v>5.7884928967616082E-6</v>
      </c>
      <c r="AP87" s="16">
        <f>Transportation_LCIA!T$61*($W87^Transportation_LCIA!T$60)+Transportation_LCIA!T$62</f>
        <v>5.7884928967616082E-6</v>
      </c>
      <c r="AQ87" s="16">
        <f>Transportation_LCIA!U$61*($W87^Transportation_LCIA!U$60)+Transportation_LCIA!U$62</f>
        <v>8.418249291876381E-4</v>
      </c>
      <c r="AR87" s="16">
        <f>Transportation_LCIA!V$61*($W87^Transportation_LCIA!V$60)+Transportation_LCIA!V$62</f>
        <v>3.2804857778078551E-4</v>
      </c>
      <c r="AT87" s="16">
        <f>$W87*Y87+($L87)*Summary_LCIA!H$32</f>
        <v>214.16723012799122</v>
      </c>
      <c r="AU87" s="16">
        <f>$W87*Z87+($L87)*Summary_LCIA!Q$32</f>
        <v>2355.8404112185799</v>
      </c>
      <c r="AV87" s="16">
        <f>$W87*AA87+($L87)*Summary_LCIA!R$32</f>
        <v>1.3930095040659838</v>
      </c>
      <c r="AW87" s="16">
        <f>$W87*AB87+($L87)*Summary_LCIA!S$32</f>
        <v>213.85335266799123</v>
      </c>
      <c r="AX87" s="16">
        <f>$W87*AC87+($L87)*Summary_LCIA!T$32</f>
        <v>54.54104523714733</v>
      </c>
      <c r="AY87" s="16">
        <f>$W87*AD87+($L87)*Summary_LCIA!U$32</f>
        <v>1.5132190003614161</v>
      </c>
      <c r="AZ87" s="16">
        <f>$W87*AE87+($L87)*Summary_LCIA!V$32</f>
        <v>8.7770574234780213E-3</v>
      </c>
      <c r="BA87" s="16">
        <f>$W87*AF87+($L87)*Summary_LCIA!W$32</f>
        <v>13.461876119981081</v>
      </c>
      <c r="BB87" s="16">
        <f>$W87*AG87+($L87)*Summary_LCIA!X$32</f>
        <v>11.756809782563094</v>
      </c>
      <c r="BC87" s="16">
        <f>$W87*AH87+($L87)*Summary_LCIA!Y$32</f>
        <v>1.318607888801385</v>
      </c>
      <c r="BD87" s="16">
        <f>$W87*AI87+($L87)*Summary_LCIA!Z$32</f>
        <v>0.19630352407175128</v>
      </c>
      <c r="BE87" s="16">
        <f>$W87*AJ87+($L87)*Summary_LCIA!AA$32</f>
        <v>2.5083660745699472</v>
      </c>
      <c r="BF87" s="16">
        <f>$W87*AK87+($L87)*Summary_LCIA!AB$32</f>
        <v>4.7893410400451697E-2</v>
      </c>
      <c r="BG87" s="16">
        <f>$W87*AL87+($L87)*Summary_LCIA!AC$32</f>
        <v>2.7352077789130184E-5</v>
      </c>
      <c r="BH87" s="16">
        <f>$W87*AM87+($L87)*Summary_LCIA!AD$32</f>
        <v>0.11291106628935582</v>
      </c>
      <c r="BI87" s="16">
        <f>$W87*AN87+($L87)*Summary_LCIA!AE$32</f>
        <v>0.32174684468087089</v>
      </c>
      <c r="BJ87" s="16">
        <f>$W87*AO87+($L87)*Summary_LCIA!AF$32</f>
        <v>6.3879599943597973E-2</v>
      </c>
      <c r="BK87" s="16">
        <f>$W87*AP87+($L87)*Summary_LCIA!AG$32</f>
        <v>7.4771696285979667E-3</v>
      </c>
      <c r="BL87" s="16">
        <f>$W87*AQ87+($L87)*Summary_LCIA!AH$32</f>
        <v>1.1770739779634216</v>
      </c>
      <c r="BM87" s="16">
        <f>$W87*AR87+($L87)*Summary_LCIA!AI$32</f>
        <v>0.28398946182285778</v>
      </c>
      <c r="BN87" s="16"/>
    </row>
    <row r="88" spans="1:66" x14ac:dyDescent="0.25">
      <c r="A88" s="159">
        <v>27</v>
      </c>
      <c r="B88" s="159">
        <v>6</v>
      </c>
      <c r="C88" s="45">
        <v>40.817663000000003</v>
      </c>
      <c r="D88" s="45">
        <v>-96.700036999999995</v>
      </c>
      <c r="E88" s="45" t="s">
        <v>265</v>
      </c>
      <c r="F88" s="159">
        <v>121</v>
      </c>
      <c r="G88" s="45" t="s">
        <v>287</v>
      </c>
      <c r="H88" s="45" t="s">
        <v>290</v>
      </c>
      <c r="I88" s="45">
        <v>41.301873000000001</v>
      </c>
      <c r="J88" s="45">
        <v>-95.893741000000006</v>
      </c>
      <c r="K88" s="45">
        <v>107.8641052</v>
      </c>
      <c r="L88" s="45">
        <v>100.626</v>
      </c>
      <c r="M88" s="45" t="s">
        <v>617</v>
      </c>
      <c r="N88" s="159">
        <v>5</v>
      </c>
      <c r="O88" s="159">
        <v>6</v>
      </c>
      <c r="P88" s="61" t="s">
        <v>565</v>
      </c>
      <c r="Q88" s="45" t="s">
        <v>564</v>
      </c>
      <c r="R88" s="45">
        <v>41.98028</v>
      </c>
      <c r="S88" s="45">
        <v>-87.908997900000003</v>
      </c>
      <c r="T88" s="45">
        <v>836.68899999999996</v>
      </c>
      <c r="U88" s="45" t="s">
        <v>617</v>
      </c>
      <c r="V88" s="45" t="s">
        <v>569</v>
      </c>
      <c r="W88" s="45" cm="1">
        <f t="array" ref="W88">getDistance(R88,S88,I88,J88)*SA!$B$12</f>
        <v>669.26749072627524</v>
      </c>
      <c r="X88" s="22"/>
      <c r="Y88" s="16">
        <f>Transportation_LCIA!C$61*($W88^Transportation_LCIA!C$60)+Transportation_LCIA!C$62</f>
        <v>0.28504039049137575</v>
      </c>
      <c r="Z88" s="16">
        <f>Transportation_LCIA!D$61*($W88^Transportation_LCIA!D$60)+Transportation_LCIA!D$62</f>
        <v>3.0041649469674656</v>
      </c>
      <c r="AA88" s="16">
        <f>Transportation_LCIA!E$61*($W88^Transportation_LCIA!E$60)+Transportation_LCIA!E$62</f>
        <v>1.525706097435096E-3</v>
      </c>
      <c r="AB88" s="16">
        <f>Transportation_LCIA!F$61*($W88^Transportation_LCIA!F$60)+Transportation_LCIA!F$62</f>
        <v>0.28504039049137575</v>
      </c>
      <c r="AC88" s="16">
        <f>Transportation_LCIA!G$61*($W88^Transportation_LCIA!G$60)+Transportation_LCIA!G$62</f>
        <v>7.0068758885027033E-2</v>
      </c>
      <c r="AD88" s="16">
        <f>Transportation_LCIA!H$61*($W88^Transportation_LCIA!H$60)+Transportation_LCIA!H$62</f>
        <v>3.6107816379944279E-4</v>
      </c>
      <c r="AE88" s="16">
        <f>Transportation_LCIA!I$61*($W88^Transportation_LCIA!I$60)+Transportation_LCIA!I$62</f>
        <v>8.0591675714929097E-6</v>
      </c>
      <c r="AF88" s="16">
        <f>Transportation_LCIA!J$61*($W88^Transportation_LCIA!J$60)+Transportation_LCIA!J$62</f>
        <v>1.1964774828826928E-2</v>
      </c>
      <c r="AG88" s="16">
        <f>Transportation_LCIA!K$61*($W88^Transportation_LCIA!K$60)+Transportation_LCIA!K$62</f>
        <v>1.5195002827775642E-2</v>
      </c>
      <c r="AH88" s="16">
        <f>Transportation_LCIA!L$61*($W88^Transportation_LCIA!L$60)+Transportation_LCIA!L$62</f>
        <v>3.1754527567534542E-4</v>
      </c>
      <c r="AI88" s="16">
        <f>Transportation_LCIA!M$61*($W88^Transportation_LCIA!M$60)+Transportation_LCIA!M$62</f>
        <v>2.9013540374786794E-4</v>
      </c>
      <c r="AJ88" s="16">
        <f>Transportation_LCIA!N$61*($W88^Transportation_LCIA!N$60)+Transportation_LCIA!N$62</f>
        <v>1.2730376617698762E-3</v>
      </c>
      <c r="AK88" s="16">
        <f>Transportation_LCIA!O$61*($W88^Transportation_LCIA!O$60)+Transportation_LCIA!O$62</f>
        <v>7.4124631538667591E-5</v>
      </c>
      <c r="AL88" s="16">
        <f>Transportation_LCIA!P$61*($W88^Transportation_LCIA!P$60)+Transportation_LCIA!P$62</f>
        <v>3.5802611393451831E-8</v>
      </c>
      <c r="AM88" s="16">
        <f>Transportation_LCIA!Q$61*($W88^Transportation_LCIA!Q$60)+Transportation_LCIA!Q$62</f>
        <v>1.2535917081520263E-4</v>
      </c>
      <c r="AN88" s="16">
        <f>Transportation_LCIA!R$61*($W88^Transportation_LCIA!R$60)+Transportation_LCIA!R$62</f>
        <v>3.8732436662072014E-4</v>
      </c>
      <c r="AO88" s="16">
        <f>Transportation_LCIA!S$61*($W88^Transportation_LCIA!S$60)+Transportation_LCIA!S$62</f>
        <v>5.7538657024500324E-6</v>
      </c>
      <c r="AP88" s="16">
        <f>Transportation_LCIA!T$61*($W88^Transportation_LCIA!T$60)+Transportation_LCIA!T$62</f>
        <v>5.7538657024500324E-6</v>
      </c>
      <c r="AQ88" s="16">
        <f>Transportation_LCIA!U$61*($W88^Transportation_LCIA!U$60)+Transportation_LCIA!U$62</f>
        <v>8.3645465454341723E-4</v>
      </c>
      <c r="AR88" s="16">
        <f>Transportation_LCIA!V$61*($W88^Transportation_LCIA!V$60)+Transportation_LCIA!V$62</f>
        <v>3.2616855470196486E-4</v>
      </c>
      <c r="AT88" s="16">
        <f>$W88*Y88+($L88)*Summary_LCIA!H$32</f>
        <v>224.9609816998007</v>
      </c>
      <c r="AU88" s="16">
        <f>$W88*Z88+($L88)*Summary_LCIA!Q$32</f>
        <v>2509.2974666558075</v>
      </c>
      <c r="AV88" s="16">
        <f>$W88*AA88+($L88)*Summary_LCIA!R$32</f>
        <v>1.5509617570161645</v>
      </c>
      <c r="AW88" s="16">
        <f>$W88*AB88+($L88)*Summary_LCIA!S$32</f>
        <v>224.51621477980069</v>
      </c>
      <c r="AX88" s="16">
        <f>$W88*AC88+($L88)*Summary_LCIA!T$32</f>
        <v>57.953539837286442</v>
      </c>
      <c r="AY88" s="16">
        <f>$W88*AD88+($L88)*Summary_LCIA!U$32</f>
        <v>2.0442720406421042</v>
      </c>
      <c r="AZ88" s="16">
        <f>$W88*AE88+($L88)*Summary_LCIA!V$32</f>
        <v>1.0199737243915629E-2</v>
      </c>
      <c r="BA88" s="16">
        <f>$W88*AF88+($L88)*Summary_LCIA!W$32</f>
        <v>15.752918672793896</v>
      </c>
      <c r="BB88" s="16">
        <f>$W88*AG88+($L88)*Summary_LCIA!X$32</f>
        <v>12.461781694124062</v>
      </c>
      <c r="BC88" s="16">
        <f>$W88*AH88+($L88)*Summary_LCIA!Y$32</f>
        <v>1.7804770618432217</v>
      </c>
      <c r="BD88" s="16">
        <f>$W88*AI88+($L88)*Summary_LCIA!Z$32</f>
        <v>0.19830476527119031</v>
      </c>
      <c r="BE88" s="16">
        <f>$W88*AJ88+($L88)*Summary_LCIA!AA$32</f>
        <v>3.2022235774927696</v>
      </c>
      <c r="BF88" s="16">
        <f>$W88*AK88+($L88)*Summary_LCIA!AB$32</f>
        <v>4.7413244952893778E-2</v>
      </c>
      <c r="BG88" s="16">
        <f>$W88*AL88+($L88)*Summary_LCIA!AC$32</f>
        <v>2.8880525272743461E-5</v>
      </c>
      <c r="BH88" s="16">
        <f>$W88*AM88+($L88)*Summary_LCIA!AD$32</f>
        <v>0.12526012873101716</v>
      </c>
      <c r="BI88" s="16">
        <f>$W88*AN88+($L88)*Summary_LCIA!AE$32</f>
        <v>0.34839132432539327</v>
      </c>
      <c r="BJ88" s="16">
        <f>$W88*AO88+($L88)*Summary_LCIA!AF$32</f>
        <v>8.8922108180654713E-2</v>
      </c>
      <c r="BK88" s="16">
        <f>$W88*AP88+($L88)*Summary_LCIA!AG$32</f>
        <v>8.9994045506547101E-3</v>
      </c>
      <c r="BL88" s="16">
        <f>$W88*AQ88+($L88)*Summary_LCIA!AH$32</f>
        <v>1.4356203613525864</v>
      </c>
      <c r="BM88" s="16">
        <f>$W88*AR88+($L88)*Summary_LCIA!AI$32</f>
        <v>0.31203216045919985</v>
      </c>
      <c r="BN88" s="16"/>
    </row>
    <row r="89" spans="1:66" x14ac:dyDescent="0.25">
      <c r="A89" s="159">
        <v>28</v>
      </c>
      <c r="B89" s="159">
        <v>6</v>
      </c>
      <c r="C89" s="45">
        <v>40.817663000000003</v>
      </c>
      <c r="D89" s="45">
        <v>-96.700036999999995</v>
      </c>
      <c r="E89" s="45" t="s">
        <v>265</v>
      </c>
      <c r="F89" s="159">
        <v>121</v>
      </c>
      <c r="G89" s="45" t="s">
        <v>287</v>
      </c>
      <c r="H89" s="45" t="s">
        <v>290</v>
      </c>
      <c r="I89" s="45">
        <v>41.301873000000001</v>
      </c>
      <c r="J89" s="45">
        <v>-95.893741000000006</v>
      </c>
      <c r="K89" s="45">
        <v>107.8641052</v>
      </c>
      <c r="L89" s="45">
        <v>100.626</v>
      </c>
      <c r="M89" s="45" t="s">
        <v>617</v>
      </c>
      <c r="N89" s="159">
        <v>5</v>
      </c>
      <c r="O89" s="159">
        <v>6</v>
      </c>
      <c r="P89" s="61" t="s">
        <v>565</v>
      </c>
      <c r="Q89" s="45" t="s">
        <v>564</v>
      </c>
      <c r="R89" s="45">
        <v>41.98028</v>
      </c>
      <c r="S89" s="45">
        <v>-87.908997900000003</v>
      </c>
      <c r="T89" s="45">
        <v>836.68899999999996</v>
      </c>
      <c r="U89" s="45" t="s">
        <v>617</v>
      </c>
      <c r="V89" s="45" t="s">
        <v>569</v>
      </c>
      <c r="W89" s="45" cm="1">
        <f t="array" ref="W89">getDistance(R89,S89,I89,J89)*SA!$B$12</f>
        <v>669.26749072627524</v>
      </c>
      <c r="X89" s="22"/>
      <c r="Y89" s="16">
        <f>Transportation_LCIA!C$61*($W89^Transportation_LCIA!C$60)+Transportation_LCIA!C$62</f>
        <v>0.28504039049137575</v>
      </c>
      <c r="Z89" s="16">
        <f>Transportation_LCIA!D$61*($W89^Transportation_LCIA!D$60)+Transportation_LCIA!D$62</f>
        <v>3.0041649469674656</v>
      </c>
      <c r="AA89" s="16">
        <f>Transportation_LCIA!E$61*($W89^Transportation_LCIA!E$60)+Transportation_LCIA!E$62</f>
        <v>1.525706097435096E-3</v>
      </c>
      <c r="AB89" s="16">
        <f>Transportation_LCIA!F$61*($W89^Transportation_LCIA!F$60)+Transportation_LCIA!F$62</f>
        <v>0.28504039049137575</v>
      </c>
      <c r="AC89" s="16">
        <f>Transportation_LCIA!G$61*($W89^Transportation_LCIA!G$60)+Transportation_LCIA!G$62</f>
        <v>7.0068758885027033E-2</v>
      </c>
      <c r="AD89" s="16">
        <f>Transportation_LCIA!H$61*($W89^Transportation_LCIA!H$60)+Transportation_LCIA!H$62</f>
        <v>3.6107816379944279E-4</v>
      </c>
      <c r="AE89" s="16">
        <f>Transportation_LCIA!I$61*($W89^Transportation_LCIA!I$60)+Transportation_LCIA!I$62</f>
        <v>8.0591675714929097E-6</v>
      </c>
      <c r="AF89" s="16">
        <f>Transportation_LCIA!J$61*($W89^Transportation_LCIA!J$60)+Transportation_LCIA!J$62</f>
        <v>1.1964774828826928E-2</v>
      </c>
      <c r="AG89" s="16">
        <f>Transportation_LCIA!K$61*($W89^Transportation_LCIA!K$60)+Transportation_LCIA!K$62</f>
        <v>1.5195002827775642E-2</v>
      </c>
      <c r="AH89" s="16">
        <f>Transportation_LCIA!L$61*($W89^Transportation_LCIA!L$60)+Transportation_LCIA!L$62</f>
        <v>3.1754527567534542E-4</v>
      </c>
      <c r="AI89" s="16">
        <f>Transportation_LCIA!M$61*($W89^Transportation_LCIA!M$60)+Transportation_LCIA!M$62</f>
        <v>2.9013540374786794E-4</v>
      </c>
      <c r="AJ89" s="16">
        <f>Transportation_LCIA!N$61*($W89^Transportation_LCIA!N$60)+Transportation_LCIA!N$62</f>
        <v>1.2730376617698762E-3</v>
      </c>
      <c r="AK89" s="16">
        <f>Transportation_LCIA!O$61*($W89^Transportation_LCIA!O$60)+Transportation_LCIA!O$62</f>
        <v>7.4124631538667591E-5</v>
      </c>
      <c r="AL89" s="16">
        <f>Transportation_LCIA!P$61*($W89^Transportation_LCIA!P$60)+Transportation_LCIA!P$62</f>
        <v>3.5802611393451831E-8</v>
      </c>
      <c r="AM89" s="16">
        <f>Transportation_LCIA!Q$61*($W89^Transportation_LCIA!Q$60)+Transportation_LCIA!Q$62</f>
        <v>1.2535917081520263E-4</v>
      </c>
      <c r="AN89" s="16">
        <f>Transportation_LCIA!R$61*($W89^Transportation_LCIA!R$60)+Transportation_LCIA!R$62</f>
        <v>3.8732436662072014E-4</v>
      </c>
      <c r="AO89" s="16">
        <f>Transportation_LCIA!S$61*($W89^Transportation_LCIA!S$60)+Transportation_LCIA!S$62</f>
        <v>5.7538657024500324E-6</v>
      </c>
      <c r="AP89" s="16">
        <f>Transportation_LCIA!T$61*($W89^Transportation_LCIA!T$60)+Transportation_LCIA!T$62</f>
        <v>5.7538657024500324E-6</v>
      </c>
      <c r="AQ89" s="16">
        <f>Transportation_LCIA!U$61*($W89^Transportation_LCIA!U$60)+Transportation_LCIA!U$62</f>
        <v>8.3645465454341723E-4</v>
      </c>
      <c r="AR89" s="16">
        <f>Transportation_LCIA!V$61*($W89^Transportation_LCIA!V$60)+Transportation_LCIA!V$62</f>
        <v>3.2616855470196486E-4</v>
      </c>
      <c r="AT89" s="16">
        <f>$W89*Y89+($L89)*Summary_LCIA!H$32</f>
        <v>224.9609816998007</v>
      </c>
      <c r="AU89" s="16">
        <f>$W89*Z89+($L89)*Summary_LCIA!Q$32</f>
        <v>2509.2974666558075</v>
      </c>
      <c r="AV89" s="16">
        <f>$W89*AA89+($L89)*Summary_LCIA!R$32</f>
        <v>1.5509617570161645</v>
      </c>
      <c r="AW89" s="16">
        <f>$W89*AB89+($L89)*Summary_LCIA!S$32</f>
        <v>224.51621477980069</v>
      </c>
      <c r="AX89" s="16">
        <f>$W89*AC89+($L89)*Summary_LCIA!T$32</f>
        <v>57.953539837286442</v>
      </c>
      <c r="AY89" s="16">
        <f>$W89*AD89+($L89)*Summary_LCIA!U$32</f>
        <v>2.0442720406421042</v>
      </c>
      <c r="AZ89" s="16">
        <f>$W89*AE89+($L89)*Summary_LCIA!V$32</f>
        <v>1.0199737243915629E-2</v>
      </c>
      <c r="BA89" s="16">
        <f>$W89*AF89+($L89)*Summary_LCIA!W$32</f>
        <v>15.752918672793896</v>
      </c>
      <c r="BB89" s="16">
        <f>$W89*AG89+($L89)*Summary_LCIA!X$32</f>
        <v>12.461781694124062</v>
      </c>
      <c r="BC89" s="16">
        <f>$W89*AH89+($L89)*Summary_LCIA!Y$32</f>
        <v>1.7804770618432217</v>
      </c>
      <c r="BD89" s="16">
        <f>$W89*AI89+($L89)*Summary_LCIA!Z$32</f>
        <v>0.19830476527119031</v>
      </c>
      <c r="BE89" s="16">
        <f>$W89*AJ89+($L89)*Summary_LCIA!AA$32</f>
        <v>3.2022235774927696</v>
      </c>
      <c r="BF89" s="16">
        <f>$W89*AK89+($L89)*Summary_LCIA!AB$32</f>
        <v>4.7413244952893778E-2</v>
      </c>
      <c r="BG89" s="16">
        <f>$W89*AL89+($L89)*Summary_LCIA!AC$32</f>
        <v>2.8880525272743461E-5</v>
      </c>
      <c r="BH89" s="16">
        <f>$W89*AM89+($L89)*Summary_LCIA!AD$32</f>
        <v>0.12526012873101716</v>
      </c>
      <c r="BI89" s="16">
        <f>$W89*AN89+($L89)*Summary_LCIA!AE$32</f>
        <v>0.34839132432539327</v>
      </c>
      <c r="BJ89" s="16">
        <f>$W89*AO89+($L89)*Summary_LCIA!AF$32</f>
        <v>8.8922108180654713E-2</v>
      </c>
      <c r="BK89" s="16">
        <f>$W89*AP89+($L89)*Summary_LCIA!AG$32</f>
        <v>8.9994045506547101E-3</v>
      </c>
      <c r="BL89" s="16">
        <f>$W89*AQ89+($L89)*Summary_LCIA!AH$32</f>
        <v>1.4356203613525864</v>
      </c>
      <c r="BM89" s="16">
        <f>$W89*AR89+($L89)*Summary_LCIA!AI$32</f>
        <v>0.31203216045919985</v>
      </c>
      <c r="BN89" s="16"/>
    </row>
    <row r="90" spans="1:66" x14ac:dyDescent="0.25">
      <c r="A90" s="159">
        <v>29</v>
      </c>
      <c r="B90" s="159">
        <v>6</v>
      </c>
      <c r="C90" s="45">
        <v>40.817663000000003</v>
      </c>
      <c r="D90" s="45">
        <v>-96.700036999999995</v>
      </c>
      <c r="E90" s="45" t="s">
        <v>265</v>
      </c>
      <c r="F90" s="159">
        <v>121</v>
      </c>
      <c r="G90" s="45" t="s">
        <v>287</v>
      </c>
      <c r="H90" s="45" t="s">
        <v>290</v>
      </c>
      <c r="I90" s="45">
        <v>41.301873000000001</v>
      </c>
      <c r="J90" s="45">
        <v>-95.893741000000006</v>
      </c>
      <c r="K90" s="45">
        <v>107.8641052</v>
      </c>
      <c r="L90" s="45">
        <v>100.626</v>
      </c>
      <c r="M90" s="45" t="s">
        <v>617</v>
      </c>
      <c r="N90" s="159">
        <v>5</v>
      </c>
      <c r="O90" s="159">
        <v>6</v>
      </c>
      <c r="P90" s="61" t="s">
        <v>565</v>
      </c>
      <c r="Q90" s="45" t="s">
        <v>564</v>
      </c>
      <c r="R90" s="45">
        <v>41.98028</v>
      </c>
      <c r="S90" s="45">
        <v>-87.908997900000003</v>
      </c>
      <c r="T90" s="45">
        <v>836.68899999999996</v>
      </c>
      <c r="U90" s="45" t="s">
        <v>617</v>
      </c>
      <c r="V90" s="45" t="s">
        <v>569</v>
      </c>
      <c r="W90" s="45" cm="1">
        <f t="array" ref="W90">getDistance(R90,S90,I90,J90)*SA!$B$12</f>
        <v>669.26749072627524</v>
      </c>
      <c r="X90" s="22"/>
      <c r="Y90" s="16">
        <f>Transportation_LCIA!C$61*($W90^Transportation_LCIA!C$60)+Transportation_LCIA!C$62</f>
        <v>0.28504039049137575</v>
      </c>
      <c r="Z90" s="16">
        <f>Transportation_LCIA!D$61*($W90^Transportation_LCIA!D$60)+Transportation_LCIA!D$62</f>
        <v>3.0041649469674656</v>
      </c>
      <c r="AA90" s="16">
        <f>Transportation_LCIA!E$61*($W90^Transportation_LCIA!E$60)+Transportation_LCIA!E$62</f>
        <v>1.525706097435096E-3</v>
      </c>
      <c r="AB90" s="16">
        <f>Transportation_LCIA!F$61*($W90^Transportation_LCIA!F$60)+Transportation_LCIA!F$62</f>
        <v>0.28504039049137575</v>
      </c>
      <c r="AC90" s="16">
        <f>Transportation_LCIA!G$61*($W90^Transportation_LCIA!G$60)+Transportation_LCIA!G$62</f>
        <v>7.0068758885027033E-2</v>
      </c>
      <c r="AD90" s="16">
        <f>Transportation_LCIA!H$61*($W90^Transportation_LCIA!H$60)+Transportation_LCIA!H$62</f>
        <v>3.6107816379944279E-4</v>
      </c>
      <c r="AE90" s="16">
        <f>Transportation_LCIA!I$61*($W90^Transportation_LCIA!I$60)+Transportation_LCIA!I$62</f>
        <v>8.0591675714929097E-6</v>
      </c>
      <c r="AF90" s="16">
        <f>Transportation_LCIA!J$61*($W90^Transportation_LCIA!J$60)+Transportation_LCIA!J$62</f>
        <v>1.1964774828826928E-2</v>
      </c>
      <c r="AG90" s="16">
        <f>Transportation_LCIA!K$61*($W90^Transportation_LCIA!K$60)+Transportation_LCIA!K$62</f>
        <v>1.5195002827775642E-2</v>
      </c>
      <c r="AH90" s="16">
        <f>Transportation_LCIA!L$61*($W90^Transportation_LCIA!L$60)+Transportation_LCIA!L$62</f>
        <v>3.1754527567534542E-4</v>
      </c>
      <c r="AI90" s="16">
        <f>Transportation_LCIA!M$61*($W90^Transportation_LCIA!M$60)+Transportation_LCIA!M$62</f>
        <v>2.9013540374786794E-4</v>
      </c>
      <c r="AJ90" s="16">
        <f>Transportation_LCIA!N$61*($W90^Transportation_LCIA!N$60)+Transportation_LCIA!N$62</f>
        <v>1.2730376617698762E-3</v>
      </c>
      <c r="AK90" s="16">
        <f>Transportation_LCIA!O$61*($W90^Transportation_LCIA!O$60)+Transportation_LCIA!O$62</f>
        <v>7.4124631538667591E-5</v>
      </c>
      <c r="AL90" s="16">
        <f>Transportation_LCIA!P$61*($W90^Transportation_LCIA!P$60)+Transportation_LCIA!P$62</f>
        <v>3.5802611393451831E-8</v>
      </c>
      <c r="AM90" s="16">
        <f>Transportation_LCIA!Q$61*($W90^Transportation_LCIA!Q$60)+Transportation_LCIA!Q$62</f>
        <v>1.2535917081520263E-4</v>
      </c>
      <c r="AN90" s="16">
        <f>Transportation_LCIA!R$61*($W90^Transportation_LCIA!R$60)+Transportation_LCIA!R$62</f>
        <v>3.8732436662072014E-4</v>
      </c>
      <c r="AO90" s="16">
        <f>Transportation_LCIA!S$61*($W90^Transportation_LCIA!S$60)+Transportation_LCIA!S$62</f>
        <v>5.7538657024500324E-6</v>
      </c>
      <c r="AP90" s="16">
        <f>Transportation_LCIA!T$61*($W90^Transportation_LCIA!T$60)+Transportation_LCIA!T$62</f>
        <v>5.7538657024500324E-6</v>
      </c>
      <c r="AQ90" s="16">
        <f>Transportation_LCIA!U$61*($W90^Transportation_LCIA!U$60)+Transportation_LCIA!U$62</f>
        <v>8.3645465454341723E-4</v>
      </c>
      <c r="AR90" s="16">
        <f>Transportation_LCIA!V$61*($W90^Transportation_LCIA!V$60)+Transportation_LCIA!V$62</f>
        <v>3.2616855470196486E-4</v>
      </c>
      <c r="AT90" s="16">
        <f>$W90*Y90+($L90)*Summary_LCIA!H$32</f>
        <v>224.9609816998007</v>
      </c>
      <c r="AU90" s="16">
        <f>$W90*Z90+($L90)*Summary_LCIA!Q$32</f>
        <v>2509.2974666558075</v>
      </c>
      <c r="AV90" s="16">
        <f>$W90*AA90+($L90)*Summary_LCIA!R$32</f>
        <v>1.5509617570161645</v>
      </c>
      <c r="AW90" s="16">
        <f>$W90*AB90+($L90)*Summary_LCIA!S$32</f>
        <v>224.51621477980069</v>
      </c>
      <c r="AX90" s="16">
        <f>$W90*AC90+($L90)*Summary_LCIA!T$32</f>
        <v>57.953539837286442</v>
      </c>
      <c r="AY90" s="16">
        <f>$W90*AD90+($L90)*Summary_LCIA!U$32</f>
        <v>2.0442720406421042</v>
      </c>
      <c r="AZ90" s="16">
        <f>$W90*AE90+($L90)*Summary_LCIA!V$32</f>
        <v>1.0199737243915629E-2</v>
      </c>
      <c r="BA90" s="16">
        <f>$W90*AF90+($L90)*Summary_LCIA!W$32</f>
        <v>15.752918672793896</v>
      </c>
      <c r="BB90" s="16">
        <f>$W90*AG90+($L90)*Summary_LCIA!X$32</f>
        <v>12.461781694124062</v>
      </c>
      <c r="BC90" s="16">
        <f>$W90*AH90+($L90)*Summary_LCIA!Y$32</f>
        <v>1.7804770618432217</v>
      </c>
      <c r="BD90" s="16">
        <f>$W90*AI90+($L90)*Summary_LCIA!Z$32</f>
        <v>0.19830476527119031</v>
      </c>
      <c r="BE90" s="16">
        <f>$W90*AJ90+($L90)*Summary_LCIA!AA$32</f>
        <v>3.2022235774927696</v>
      </c>
      <c r="BF90" s="16">
        <f>$W90*AK90+($L90)*Summary_LCIA!AB$32</f>
        <v>4.7413244952893778E-2</v>
      </c>
      <c r="BG90" s="16">
        <f>$W90*AL90+($L90)*Summary_LCIA!AC$32</f>
        <v>2.8880525272743461E-5</v>
      </c>
      <c r="BH90" s="16">
        <f>$W90*AM90+($L90)*Summary_LCIA!AD$32</f>
        <v>0.12526012873101716</v>
      </c>
      <c r="BI90" s="16">
        <f>$W90*AN90+($L90)*Summary_LCIA!AE$32</f>
        <v>0.34839132432539327</v>
      </c>
      <c r="BJ90" s="16">
        <f>$W90*AO90+($L90)*Summary_LCIA!AF$32</f>
        <v>8.8922108180654713E-2</v>
      </c>
      <c r="BK90" s="16">
        <f>$W90*AP90+($L90)*Summary_LCIA!AG$32</f>
        <v>8.9994045506547101E-3</v>
      </c>
      <c r="BL90" s="16">
        <f>$W90*AQ90+($L90)*Summary_LCIA!AH$32</f>
        <v>1.4356203613525864</v>
      </c>
      <c r="BM90" s="16">
        <f>$W90*AR90+($L90)*Summary_LCIA!AI$32</f>
        <v>0.31203216045919985</v>
      </c>
      <c r="BN90" s="16"/>
    </row>
    <row r="91" spans="1:66" x14ac:dyDescent="0.25">
      <c r="A91" s="159">
        <v>30</v>
      </c>
      <c r="B91" s="159">
        <v>6</v>
      </c>
      <c r="C91" s="45">
        <v>40.817663000000003</v>
      </c>
      <c r="D91" s="45">
        <v>-96.700036999999995</v>
      </c>
      <c r="E91" s="45" t="s">
        <v>265</v>
      </c>
      <c r="F91" s="159">
        <v>121</v>
      </c>
      <c r="G91" s="45" t="s">
        <v>287</v>
      </c>
      <c r="H91" s="45" t="s">
        <v>290</v>
      </c>
      <c r="I91" s="45">
        <v>41.301873000000001</v>
      </c>
      <c r="J91" s="45">
        <v>-95.893741000000006</v>
      </c>
      <c r="K91" s="45">
        <v>107.8641052</v>
      </c>
      <c r="L91" s="45">
        <v>100.626</v>
      </c>
      <c r="M91" s="45" t="s">
        <v>617</v>
      </c>
      <c r="N91" s="159">
        <v>5</v>
      </c>
      <c r="O91" s="159">
        <v>6</v>
      </c>
      <c r="P91" s="61" t="s">
        <v>565</v>
      </c>
      <c r="Q91" s="45" t="s">
        <v>564</v>
      </c>
      <c r="R91" s="45">
        <v>41.98028</v>
      </c>
      <c r="S91" s="45">
        <v>-87.908997900000003</v>
      </c>
      <c r="T91" s="45">
        <v>836.68899999999996</v>
      </c>
      <c r="U91" s="45" t="s">
        <v>617</v>
      </c>
      <c r="V91" s="45" t="s">
        <v>569</v>
      </c>
      <c r="W91" s="45" cm="1">
        <f t="array" ref="W91">getDistance(R91,S91,I91,J91)*SA!$B$12</f>
        <v>669.26749072627524</v>
      </c>
      <c r="X91" s="22"/>
      <c r="Y91" s="16">
        <f>Transportation_LCIA!C$61*($W91^Transportation_LCIA!C$60)+Transportation_LCIA!C$62</f>
        <v>0.28504039049137575</v>
      </c>
      <c r="Z91" s="16">
        <f>Transportation_LCIA!D$61*($W91^Transportation_LCIA!D$60)+Transportation_LCIA!D$62</f>
        <v>3.0041649469674656</v>
      </c>
      <c r="AA91" s="16">
        <f>Transportation_LCIA!E$61*($W91^Transportation_LCIA!E$60)+Transportation_LCIA!E$62</f>
        <v>1.525706097435096E-3</v>
      </c>
      <c r="AB91" s="16">
        <f>Transportation_LCIA!F$61*($W91^Transportation_LCIA!F$60)+Transportation_LCIA!F$62</f>
        <v>0.28504039049137575</v>
      </c>
      <c r="AC91" s="16">
        <f>Transportation_LCIA!G$61*($W91^Transportation_LCIA!G$60)+Transportation_LCIA!G$62</f>
        <v>7.0068758885027033E-2</v>
      </c>
      <c r="AD91" s="16">
        <f>Transportation_LCIA!H$61*($W91^Transportation_LCIA!H$60)+Transportation_LCIA!H$62</f>
        <v>3.6107816379944279E-4</v>
      </c>
      <c r="AE91" s="16">
        <f>Transportation_LCIA!I$61*($W91^Transportation_LCIA!I$60)+Transportation_LCIA!I$62</f>
        <v>8.0591675714929097E-6</v>
      </c>
      <c r="AF91" s="16">
        <f>Transportation_LCIA!J$61*($W91^Transportation_LCIA!J$60)+Transportation_LCIA!J$62</f>
        <v>1.1964774828826928E-2</v>
      </c>
      <c r="AG91" s="16">
        <f>Transportation_LCIA!K$61*($W91^Transportation_LCIA!K$60)+Transportation_LCIA!K$62</f>
        <v>1.5195002827775642E-2</v>
      </c>
      <c r="AH91" s="16">
        <f>Transportation_LCIA!L$61*($W91^Transportation_LCIA!L$60)+Transportation_LCIA!L$62</f>
        <v>3.1754527567534542E-4</v>
      </c>
      <c r="AI91" s="16">
        <f>Transportation_LCIA!M$61*($W91^Transportation_LCIA!M$60)+Transportation_LCIA!M$62</f>
        <v>2.9013540374786794E-4</v>
      </c>
      <c r="AJ91" s="16">
        <f>Transportation_LCIA!N$61*($W91^Transportation_LCIA!N$60)+Transportation_LCIA!N$62</f>
        <v>1.2730376617698762E-3</v>
      </c>
      <c r="AK91" s="16">
        <f>Transportation_LCIA!O$61*($W91^Transportation_LCIA!O$60)+Transportation_LCIA!O$62</f>
        <v>7.4124631538667591E-5</v>
      </c>
      <c r="AL91" s="16">
        <f>Transportation_LCIA!P$61*($W91^Transportation_LCIA!P$60)+Transportation_LCIA!P$62</f>
        <v>3.5802611393451831E-8</v>
      </c>
      <c r="AM91" s="16">
        <f>Transportation_LCIA!Q$61*($W91^Transportation_LCIA!Q$60)+Transportation_LCIA!Q$62</f>
        <v>1.2535917081520263E-4</v>
      </c>
      <c r="AN91" s="16">
        <f>Transportation_LCIA!R$61*($W91^Transportation_LCIA!R$60)+Transportation_LCIA!R$62</f>
        <v>3.8732436662072014E-4</v>
      </c>
      <c r="AO91" s="16">
        <f>Transportation_LCIA!S$61*($W91^Transportation_LCIA!S$60)+Transportation_LCIA!S$62</f>
        <v>5.7538657024500324E-6</v>
      </c>
      <c r="AP91" s="16">
        <f>Transportation_LCIA!T$61*($W91^Transportation_LCIA!T$60)+Transportation_LCIA!T$62</f>
        <v>5.7538657024500324E-6</v>
      </c>
      <c r="AQ91" s="16">
        <f>Transportation_LCIA!U$61*($W91^Transportation_LCIA!U$60)+Transportation_LCIA!U$62</f>
        <v>8.3645465454341723E-4</v>
      </c>
      <c r="AR91" s="16">
        <f>Transportation_LCIA!V$61*($W91^Transportation_LCIA!V$60)+Transportation_LCIA!V$62</f>
        <v>3.2616855470196486E-4</v>
      </c>
      <c r="AT91" s="16">
        <f>$W91*Y91+($L91)*Summary_LCIA!H$32</f>
        <v>224.9609816998007</v>
      </c>
      <c r="AU91" s="16">
        <f>$W91*Z91+($L91)*Summary_LCIA!Q$32</f>
        <v>2509.2974666558075</v>
      </c>
      <c r="AV91" s="16">
        <f>$W91*AA91+($L91)*Summary_LCIA!R$32</f>
        <v>1.5509617570161645</v>
      </c>
      <c r="AW91" s="16">
        <f>$W91*AB91+($L91)*Summary_LCIA!S$32</f>
        <v>224.51621477980069</v>
      </c>
      <c r="AX91" s="16">
        <f>$W91*AC91+($L91)*Summary_LCIA!T$32</f>
        <v>57.953539837286442</v>
      </c>
      <c r="AY91" s="16">
        <f>$W91*AD91+($L91)*Summary_LCIA!U$32</f>
        <v>2.0442720406421042</v>
      </c>
      <c r="AZ91" s="16">
        <f>$W91*AE91+($L91)*Summary_LCIA!V$32</f>
        <v>1.0199737243915629E-2</v>
      </c>
      <c r="BA91" s="16">
        <f>$W91*AF91+($L91)*Summary_LCIA!W$32</f>
        <v>15.752918672793896</v>
      </c>
      <c r="BB91" s="16">
        <f>$W91*AG91+($L91)*Summary_LCIA!X$32</f>
        <v>12.461781694124062</v>
      </c>
      <c r="BC91" s="16">
        <f>$W91*AH91+($L91)*Summary_LCIA!Y$32</f>
        <v>1.7804770618432217</v>
      </c>
      <c r="BD91" s="16">
        <f>$W91*AI91+($L91)*Summary_LCIA!Z$32</f>
        <v>0.19830476527119031</v>
      </c>
      <c r="BE91" s="16">
        <f>$W91*AJ91+($L91)*Summary_LCIA!AA$32</f>
        <v>3.2022235774927696</v>
      </c>
      <c r="BF91" s="16">
        <f>$W91*AK91+($L91)*Summary_LCIA!AB$32</f>
        <v>4.7413244952893778E-2</v>
      </c>
      <c r="BG91" s="16">
        <f>$W91*AL91+($L91)*Summary_LCIA!AC$32</f>
        <v>2.8880525272743461E-5</v>
      </c>
      <c r="BH91" s="16">
        <f>$W91*AM91+($L91)*Summary_LCIA!AD$32</f>
        <v>0.12526012873101716</v>
      </c>
      <c r="BI91" s="16">
        <f>$W91*AN91+($L91)*Summary_LCIA!AE$32</f>
        <v>0.34839132432539327</v>
      </c>
      <c r="BJ91" s="16">
        <f>$W91*AO91+($L91)*Summary_LCIA!AF$32</f>
        <v>8.8922108180654713E-2</v>
      </c>
      <c r="BK91" s="16">
        <f>$W91*AP91+($L91)*Summary_LCIA!AG$32</f>
        <v>8.9994045506547101E-3</v>
      </c>
      <c r="BL91" s="16">
        <f>$W91*AQ91+($L91)*Summary_LCIA!AH$32</f>
        <v>1.4356203613525864</v>
      </c>
      <c r="BM91" s="16">
        <f>$W91*AR91+($L91)*Summary_LCIA!AI$32</f>
        <v>0.31203216045919985</v>
      </c>
      <c r="BN91" s="16"/>
    </row>
    <row r="92" spans="1:66" x14ac:dyDescent="0.25">
      <c r="A92" s="159">
        <v>31</v>
      </c>
      <c r="B92" s="159">
        <v>6</v>
      </c>
      <c r="C92" s="45">
        <v>40.817663000000003</v>
      </c>
      <c r="D92" s="45">
        <v>-96.700036999999995</v>
      </c>
      <c r="E92" s="45" t="s">
        <v>265</v>
      </c>
      <c r="F92" s="159">
        <v>121</v>
      </c>
      <c r="G92" s="45" t="s">
        <v>287</v>
      </c>
      <c r="H92" s="45" t="s">
        <v>290</v>
      </c>
      <c r="I92" s="45">
        <v>41.301873000000001</v>
      </c>
      <c r="J92" s="45">
        <v>-95.893741000000006</v>
      </c>
      <c r="K92" s="45">
        <v>107.8641052</v>
      </c>
      <c r="L92" s="45">
        <v>100.626</v>
      </c>
      <c r="M92" s="45" t="s">
        <v>617</v>
      </c>
      <c r="N92" s="159">
        <v>5</v>
      </c>
      <c r="O92" s="159">
        <v>6</v>
      </c>
      <c r="P92" s="61" t="s">
        <v>565</v>
      </c>
      <c r="Q92" s="45" t="s">
        <v>564</v>
      </c>
      <c r="R92" s="45">
        <v>41.98028</v>
      </c>
      <c r="S92" s="45">
        <v>-87.908997900000003</v>
      </c>
      <c r="T92" s="45">
        <v>836.68899999999996</v>
      </c>
      <c r="U92" s="45" t="s">
        <v>617</v>
      </c>
      <c r="V92" s="45" t="s">
        <v>569</v>
      </c>
      <c r="W92" s="45" cm="1">
        <f t="array" ref="W92">getDistance(R92,S92,I92,J92)*SA!$B$12</f>
        <v>669.26749072627524</v>
      </c>
      <c r="X92" s="22"/>
      <c r="Y92" s="16">
        <f>Transportation_LCIA!C$61*($W92^Transportation_LCIA!C$60)+Transportation_LCIA!C$62</f>
        <v>0.28504039049137575</v>
      </c>
      <c r="Z92" s="16">
        <f>Transportation_LCIA!D$61*($W92^Transportation_LCIA!D$60)+Transportation_LCIA!D$62</f>
        <v>3.0041649469674656</v>
      </c>
      <c r="AA92" s="16">
        <f>Transportation_LCIA!E$61*($W92^Transportation_LCIA!E$60)+Transportation_LCIA!E$62</f>
        <v>1.525706097435096E-3</v>
      </c>
      <c r="AB92" s="16">
        <f>Transportation_LCIA!F$61*($W92^Transportation_LCIA!F$60)+Transportation_LCIA!F$62</f>
        <v>0.28504039049137575</v>
      </c>
      <c r="AC92" s="16">
        <f>Transportation_LCIA!G$61*($W92^Transportation_LCIA!G$60)+Transportation_LCIA!G$62</f>
        <v>7.0068758885027033E-2</v>
      </c>
      <c r="AD92" s="16">
        <f>Transportation_LCIA!H$61*($W92^Transportation_LCIA!H$60)+Transportation_LCIA!H$62</f>
        <v>3.6107816379944279E-4</v>
      </c>
      <c r="AE92" s="16">
        <f>Transportation_LCIA!I$61*($W92^Transportation_LCIA!I$60)+Transportation_LCIA!I$62</f>
        <v>8.0591675714929097E-6</v>
      </c>
      <c r="AF92" s="16">
        <f>Transportation_LCIA!J$61*($W92^Transportation_LCIA!J$60)+Transportation_LCIA!J$62</f>
        <v>1.1964774828826928E-2</v>
      </c>
      <c r="AG92" s="16">
        <f>Transportation_LCIA!K$61*($W92^Transportation_LCIA!K$60)+Transportation_LCIA!K$62</f>
        <v>1.5195002827775642E-2</v>
      </c>
      <c r="AH92" s="16">
        <f>Transportation_LCIA!L$61*($W92^Transportation_LCIA!L$60)+Transportation_LCIA!L$62</f>
        <v>3.1754527567534542E-4</v>
      </c>
      <c r="AI92" s="16">
        <f>Transportation_LCIA!M$61*($W92^Transportation_LCIA!M$60)+Transportation_LCIA!M$62</f>
        <v>2.9013540374786794E-4</v>
      </c>
      <c r="AJ92" s="16">
        <f>Transportation_LCIA!N$61*($W92^Transportation_LCIA!N$60)+Transportation_LCIA!N$62</f>
        <v>1.2730376617698762E-3</v>
      </c>
      <c r="AK92" s="16">
        <f>Transportation_LCIA!O$61*($W92^Transportation_LCIA!O$60)+Transportation_LCIA!O$62</f>
        <v>7.4124631538667591E-5</v>
      </c>
      <c r="AL92" s="16">
        <f>Transportation_LCIA!P$61*($W92^Transportation_LCIA!P$60)+Transportation_LCIA!P$62</f>
        <v>3.5802611393451831E-8</v>
      </c>
      <c r="AM92" s="16">
        <f>Transportation_LCIA!Q$61*($W92^Transportation_LCIA!Q$60)+Transportation_LCIA!Q$62</f>
        <v>1.2535917081520263E-4</v>
      </c>
      <c r="AN92" s="16">
        <f>Transportation_LCIA!R$61*($W92^Transportation_LCIA!R$60)+Transportation_LCIA!R$62</f>
        <v>3.8732436662072014E-4</v>
      </c>
      <c r="AO92" s="16">
        <f>Transportation_LCIA!S$61*($W92^Transportation_LCIA!S$60)+Transportation_LCIA!S$62</f>
        <v>5.7538657024500324E-6</v>
      </c>
      <c r="AP92" s="16">
        <f>Transportation_LCIA!T$61*($W92^Transportation_LCIA!T$60)+Transportation_LCIA!T$62</f>
        <v>5.7538657024500324E-6</v>
      </c>
      <c r="AQ92" s="16">
        <f>Transportation_LCIA!U$61*($W92^Transportation_LCIA!U$60)+Transportation_LCIA!U$62</f>
        <v>8.3645465454341723E-4</v>
      </c>
      <c r="AR92" s="16">
        <f>Transportation_LCIA!V$61*($W92^Transportation_LCIA!V$60)+Transportation_LCIA!V$62</f>
        <v>3.2616855470196486E-4</v>
      </c>
      <c r="AT92" s="16">
        <f>$W92*Y92+($L92)*Summary_LCIA!H$32</f>
        <v>224.9609816998007</v>
      </c>
      <c r="AU92" s="16">
        <f>$W92*Z92+($L92)*Summary_LCIA!Q$32</f>
        <v>2509.2974666558075</v>
      </c>
      <c r="AV92" s="16">
        <f>$W92*AA92+($L92)*Summary_LCIA!R$32</f>
        <v>1.5509617570161645</v>
      </c>
      <c r="AW92" s="16">
        <f>$W92*AB92+($L92)*Summary_LCIA!S$32</f>
        <v>224.51621477980069</v>
      </c>
      <c r="AX92" s="16">
        <f>$W92*AC92+($L92)*Summary_LCIA!T$32</f>
        <v>57.953539837286442</v>
      </c>
      <c r="AY92" s="16">
        <f>$W92*AD92+($L92)*Summary_LCIA!U$32</f>
        <v>2.0442720406421042</v>
      </c>
      <c r="AZ92" s="16">
        <f>$W92*AE92+($L92)*Summary_LCIA!V$32</f>
        <v>1.0199737243915629E-2</v>
      </c>
      <c r="BA92" s="16">
        <f>$W92*AF92+($L92)*Summary_LCIA!W$32</f>
        <v>15.752918672793896</v>
      </c>
      <c r="BB92" s="16">
        <f>$W92*AG92+($L92)*Summary_LCIA!X$32</f>
        <v>12.461781694124062</v>
      </c>
      <c r="BC92" s="16">
        <f>$W92*AH92+($L92)*Summary_LCIA!Y$32</f>
        <v>1.7804770618432217</v>
      </c>
      <c r="BD92" s="16">
        <f>$W92*AI92+($L92)*Summary_LCIA!Z$32</f>
        <v>0.19830476527119031</v>
      </c>
      <c r="BE92" s="16">
        <f>$W92*AJ92+($L92)*Summary_LCIA!AA$32</f>
        <v>3.2022235774927696</v>
      </c>
      <c r="BF92" s="16">
        <f>$W92*AK92+($L92)*Summary_LCIA!AB$32</f>
        <v>4.7413244952893778E-2</v>
      </c>
      <c r="BG92" s="16">
        <f>$W92*AL92+($L92)*Summary_LCIA!AC$32</f>
        <v>2.8880525272743461E-5</v>
      </c>
      <c r="BH92" s="16">
        <f>$W92*AM92+($L92)*Summary_LCIA!AD$32</f>
        <v>0.12526012873101716</v>
      </c>
      <c r="BI92" s="16">
        <f>$W92*AN92+($L92)*Summary_LCIA!AE$32</f>
        <v>0.34839132432539327</v>
      </c>
      <c r="BJ92" s="16">
        <f>$W92*AO92+($L92)*Summary_LCIA!AF$32</f>
        <v>8.8922108180654713E-2</v>
      </c>
      <c r="BK92" s="16">
        <f>$W92*AP92+($L92)*Summary_LCIA!AG$32</f>
        <v>8.9994045506547101E-3</v>
      </c>
      <c r="BL92" s="16">
        <f>$W92*AQ92+($L92)*Summary_LCIA!AH$32</f>
        <v>1.4356203613525864</v>
      </c>
      <c r="BM92" s="16">
        <f>$W92*AR92+($L92)*Summary_LCIA!AI$32</f>
        <v>0.31203216045919985</v>
      </c>
      <c r="BN92" s="16"/>
    </row>
    <row r="93" spans="1:66" x14ac:dyDescent="0.25">
      <c r="A93" s="159">
        <v>32</v>
      </c>
      <c r="B93" s="159">
        <v>6</v>
      </c>
      <c r="C93" s="45">
        <v>40.817663000000003</v>
      </c>
      <c r="D93" s="45">
        <v>-96.700036999999995</v>
      </c>
      <c r="E93" s="45" t="s">
        <v>265</v>
      </c>
      <c r="F93" s="159">
        <v>121</v>
      </c>
      <c r="G93" s="45" t="s">
        <v>287</v>
      </c>
      <c r="H93" s="45" t="s">
        <v>290</v>
      </c>
      <c r="I93" s="45">
        <v>41.301873000000001</v>
      </c>
      <c r="J93" s="45">
        <v>-95.893741000000006</v>
      </c>
      <c r="K93" s="45">
        <v>107.8641052</v>
      </c>
      <c r="L93" s="45">
        <v>100.626</v>
      </c>
      <c r="M93" s="45" t="s">
        <v>617</v>
      </c>
      <c r="N93" s="159">
        <v>5</v>
      </c>
      <c r="O93" s="159">
        <v>6</v>
      </c>
      <c r="P93" s="61" t="s">
        <v>565</v>
      </c>
      <c r="Q93" s="45" t="s">
        <v>564</v>
      </c>
      <c r="R93" s="45">
        <v>41.98028</v>
      </c>
      <c r="S93" s="45">
        <v>-87.908997900000003</v>
      </c>
      <c r="T93" s="45">
        <v>836.68899999999996</v>
      </c>
      <c r="U93" s="45" t="s">
        <v>617</v>
      </c>
      <c r="V93" s="45" t="s">
        <v>569</v>
      </c>
      <c r="W93" s="45" cm="1">
        <f t="array" ref="W93">getDistance(R93,S93,I93,J93)*SA!$B$12</f>
        <v>669.26749072627524</v>
      </c>
      <c r="X93" s="22"/>
      <c r="Y93" s="16">
        <f>Transportation_LCIA!C$61*($W93^Transportation_LCIA!C$60)+Transportation_LCIA!C$62</f>
        <v>0.28504039049137575</v>
      </c>
      <c r="Z93" s="16">
        <f>Transportation_LCIA!D$61*($W93^Transportation_LCIA!D$60)+Transportation_LCIA!D$62</f>
        <v>3.0041649469674656</v>
      </c>
      <c r="AA93" s="16">
        <f>Transportation_LCIA!E$61*($W93^Transportation_LCIA!E$60)+Transportation_LCIA!E$62</f>
        <v>1.525706097435096E-3</v>
      </c>
      <c r="AB93" s="16">
        <f>Transportation_LCIA!F$61*($W93^Transportation_LCIA!F$60)+Transportation_LCIA!F$62</f>
        <v>0.28504039049137575</v>
      </c>
      <c r="AC93" s="16">
        <f>Transportation_LCIA!G$61*($W93^Transportation_LCIA!G$60)+Transportation_LCIA!G$62</f>
        <v>7.0068758885027033E-2</v>
      </c>
      <c r="AD93" s="16">
        <f>Transportation_LCIA!H$61*($W93^Transportation_LCIA!H$60)+Transportation_LCIA!H$62</f>
        <v>3.6107816379944279E-4</v>
      </c>
      <c r="AE93" s="16">
        <f>Transportation_LCIA!I$61*($W93^Transportation_LCIA!I$60)+Transportation_LCIA!I$62</f>
        <v>8.0591675714929097E-6</v>
      </c>
      <c r="AF93" s="16">
        <f>Transportation_LCIA!J$61*($W93^Transportation_LCIA!J$60)+Transportation_LCIA!J$62</f>
        <v>1.1964774828826928E-2</v>
      </c>
      <c r="AG93" s="16">
        <f>Transportation_LCIA!K$61*($W93^Transportation_LCIA!K$60)+Transportation_LCIA!K$62</f>
        <v>1.5195002827775642E-2</v>
      </c>
      <c r="AH93" s="16">
        <f>Transportation_LCIA!L$61*($W93^Transportation_LCIA!L$60)+Transportation_LCIA!L$62</f>
        <v>3.1754527567534542E-4</v>
      </c>
      <c r="AI93" s="16">
        <f>Transportation_LCIA!M$61*($W93^Transportation_LCIA!M$60)+Transportation_LCIA!M$62</f>
        <v>2.9013540374786794E-4</v>
      </c>
      <c r="AJ93" s="16">
        <f>Transportation_LCIA!N$61*($W93^Transportation_LCIA!N$60)+Transportation_LCIA!N$62</f>
        <v>1.2730376617698762E-3</v>
      </c>
      <c r="AK93" s="16">
        <f>Transportation_LCIA!O$61*($W93^Transportation_LCIA!O$60)+Transportation_LCIA!O$62</f>
        <v>7.4124631538667591E-5</v>
      </c>
      <c r="AL93" s="16">
        <f>Transportation_LCIA!P$61*($W93^Transportation_LCIA!P$60)+Transportation_LCIA!P$62</f>
        <v>3.5802611393451831E-8</v>
      </c>
      <c r="AM93" s="16">
        <f>Transportation_LCIA!Q$61*($W93^Transportation_LCIA!Q$60)+Transportation_LCIA!Q$62</f>
        <v>1.2535917081520263E-4</v>
      </c>
      <c r="AN93" s="16">
        <f>Transportation_LCIA!R$61*($W93^Transportation_LCIA!R$60)+Transportation_LCIA!R$62</f>
        <v>3.8732436662072014E-4</v>
      </c>
      <c r="AO93" s="16">
        <f>Transportation_LCIA!S$61*($W93^Transportation_LCIA!S$60)+Transportation_LCIA!S$62</f>
        <v>5.7538657024500324E-6</v>
      </c>
      <c r="AP93" s="16">
        <f>Transportation_LCIA!T$61*($W93^Transportation_LCIA!T$60)+Transportation_LCIA!T$62</f>
        <v>5.7538657024500324E-6</v>
      </c>
      <c r="AQ93" s="16">
        <f>Transportation_LCIA!U$61*($W93^Transportation_LCIA!U$60)+Transportation_LCIA!U$62</f>
        <v>8.3645465454341723E-4</v>
      </c>
      <c r="AR93" s="16">
        <f>Transportation_LCIA!V$61*($W93^Transportation_LCIA!V$60)+Transportation_LCIA!V$62</f>
        <v>3.2616855470196486E-4</v>
      </c>
      <c r="AT93" s="16">
        <f>$W93*Y93+($L93)*Summary_LCIA!H$32</f>
        <v>224.9609816998007</v>
      </c>
      <c r="AU93" s="16">
        <f>$W93*Z93+($L93)*Summary_LCIA!Q$32</f>
        <v>2509.2974666558075</v>
      </c>
      <c r="AV93" s="16">
        <f>$W93*AA93+($L93)*Summary_LCIA!R$32</f>
        <v>1.5509617570161645</v>
      </c>
      <c r="AW93" s="16">
        <f>$W93*AB93+($L93)*Summary_LCIA!S$32</f>
        <v>224.51621477980069</v>
      </c>
      <c r="AX93" s="16">
        <f>$W93*AC93+($L93)*Summary_LCIA!T$32</f>
        <v>57.953539837286442</v>
      </c>
      <c r="AY93" s="16">
        <f>$W93*AD93+($L93)*Summary_LCIA!U$32</f>
        <v>2.0442720406421042</v>
      </c>
      <c r="AZ93" s="16">
        <f>$W93*AE93+($L93)*Summary_LCIA!V$32</f>
        <v>1.0199737243915629E-2</v>
      </c>
      <c r="BA93" s="16">
        <f>$W93*AF93+($L93)*Summary_LCIA!W$32</f>
        <v>15.752918672793896</v>
      </c>
      <c r="BB93" s="16">
        <f>$W93*AG93+($L93)*Summary_LCIA!X$32</f>
        <v>12.461781694124062</v>
      </c>
      <c r="BC93" s="16">
        <f>$W93*AH93+($L93)*Summary_LCIA!Y$32</f>
        <v>1.7804770618432217</v>
      </c>
      <c r="BD93" s="16">
        <f>$W93*AI93+($L93)*Summary_LCIA!Z$32</f>
        <v>0.19830476527119031</v>
      </c>
      <c r="BE93" s="16">
        <f>$W93*AJ93+($L93)*Summary_LCIA!AA$32</f>
        <v>3.2022235774927696</v>
      </c>
      <c r="BF93" s="16">
        <f>$W93*AK93+($L93)*Summary_LCIA!AB$32</f>
        <v>4.7413244952893778E-2</v>
      </c>
      <c r="BG93" s="16">
        <f>$W93*AL93+($L93)*Summary_LCIA!AC$32</f>
        <v>2.8880525272743461E-5</v>
      </c>
      <c r="BH93" s="16">
        <f>$W93*AM93+($L93)*Summary_LCIA!AD$32</f>
        <v>0.12526012873101716</v>
      </c>
      <c r="BI93" s="16">
        <f>$W93*AN93+($L93)*Summary_LCIA!AE$32</f>
        <v>0.34839132432539327</v>
      </c>
      <c r="BJ93" s="16">
        <f>$W93*AO93+($L93)*Summary_LCIA!AF$32</f>
        <v>8.8922108180654713E-2</v>
      </c>
      <c r="BK93" s="16">
        <f>$W93*AP93+($L93)*Summary_LCIA!AG$32</f>
        <v>8.9994045506547101E-3</v>
      </c>
      <c r="BL93" s="16">
        <f>$W93*AQ93+($L93)*Summary_LCIA!AH$32</f>
        <v>1.4356203613525864</v>
      </c>
      <c r="BM93" s="16">
        <f>$W93*AR93+($L93)*Summary_LCIA!AI$32</f>
        <v>0.31203216045919985</v>
      </c>
      <c r="BN93" s="16"/>
    </row>
    <row r="94" spans="1:66" x14ac:dyDescent="0.25">
      <c r="A94" s="159">
        <v>43</v>
      </c>
      <c r="B94" s="159">
        <v>6</v>
      </c>
      <c r="C94" s="45">
        <v>38.877713999999997</v>
      </c>
      <c r="D94" s="45">
        <v>-94.774396999999993</v>
      </c>
      <c r="E94" s="45" t="s">
        <v>265</v>
      </c>
      <c r="F94" s="159">
        <v>101</v>
      </c>
      <c r="G94" s="45" t="s">
        <v>647</v>
      </c>
      <c r="H94" s="45" t="s">
        <v>648</v>
      </c>
      <c r="I94" s="45">
        <v>39.303586000000003</v>
      </c>
      <c r="J94" s="45">
        <v>-94.70926</v>
      </c>
      <c r="K94" s="45">
        <v>77.391958450000004</v>
      </c>
      <c r="L94" s="45">
        <v>62.118000000000002</v>
      </c>
      <c r="M94" s="45" t="s">
        <v>617</v>
      </c>
      <c r="N94" s="159">
        <v>5</v>
      </c>
      <c r="O94" s="159">
        <v>6</v>
      </c>
      <c r="P94" s="61" t="s">
        <v>565</v>
      </c>
      <c r="Q94" s="45" t="s">
        <v>564</v>
      </c>
      <c r="R94" s="45">
        <v>41.98028</v>
      </c>
      <c r="S94" s="45">
        <v>-87.908997900000003</v>
      </c>
      <c r="T94" s="45">
        <v>858.19299999999998</v>
      </c>
      <c r="U94" s="45" t="s">
        <v>617</v>
      </c>
      <c r="V94" s="45" t="s">
        <v>569</v>
      </c>
      <c r="W94" s="45" cm="1">
        <f t="array" ref="W94">getDistance(R94,S94,I94,J94)*SA!$B$12</f>
        <v>647.4733630144575</v>
      </c>
      <c r="X94" s="22"/>
      <c r="Y94" s="16">
        <f>Transportation_LCIA!C$61*($W94^Transportation_LCIA!C$60)+Transportation_LCIA!C$62</f>
        <v>0.28991652457155515</v>
      </c>
      <c r="Z94" s="16">
        <f>Transportation_LCIA!D$61*($W94^Transportation_LCIA!D$60)+Transportation_LCIA!D$62</f>
        <v>3.0621007939018225</v>
      </c>
      <c r="AA94" s="16">
        <f>Transportation_LCIA!E$61*($W94^Transportation_LCIA!E$60)+Transportation_LCIA!E$62</f>
        <v>1.5639908369269233E-3</v>
      </c>
      <c r="AB94" s="16">
        <f>Transportation_LCIA!F$61*($W94^Transportation_LCIA!F$60)+Transportation_LCIA!F$62</f>
        <v>0.28991652457155515</v>
      </c>
      <c r="AC94" s="16">
        <f>Transportation_LCIA!G$61*($W94^Transportation_LCIA!G$60)+Transportation_LCIA!G$62</f>
        <v>7.1407745133871256E-2</v>
      </c>
      <c r="AD94" s="16">
        <f>Transportation_LCIA!H$61*($W94^Transportation_LCIA!H$60)+Transportation_LCIA!H$62</f>
        <v>3.6958053417538898E-4</v>
      </c>
      <c r="AE94" s="16">
        <f>Transportation_LCIA!I$61*($W94^Transportation_LCIA!I$60)+Transportation_LCIA!I$62</f>
        <v>8.2766666733597734E-6</v>
      </c>
      <c r="AF94" s="16">
        <f>Transportation_LCIA!J$61*($W94^Transportation_LCIA!J$60)+Transportation_LCIA!J$62</f>
        <v>1.2292104272569999E-2</v>
      </c>
      <c r="AG94" s="16">
        <f>Transportation_LCIA!K$61*($W94^Transportation_LCIA!K$60)+Transportation_LCIA!K$62</f>
        <v>1.5510415114736775E-2</v>
      </c>
      <c r="AH94" s="16">
        <f>Transportation_LCIA!L$61*($W94^Transportation_LCIA!L$60)+Transportation_LCIA!L$62</f>
        <v>3.2539764609745288E-4</v>
      </c>
      <c r="AI94" s="16">
        <f>Transportation_LCIA!M$61*($W94^Transportation_LCIA!M$60)+Transportation_LCIA!M$62</f>
        <v>2.9483033400248848E-4</v>
      </c>
      <c r="AJ94" s="16">
        <f>Transportation_LCIA!N$61*($W94^Transportation_LCIA!N$60)+Transportation_LCIA!N$62</f>
        <v>1.3015875854014613E-3</v>
      </c>
      <c r="AK94" s="16">
        <f>Transportation_LCIA!O$61*($W94^Transportation_LCIA!O$60)+Transportation_LCIA!O$62</f>
        <v>7.5548179085519799E-5</v>
      </c>
      <c r="AL94" s="16">
        <f>Transportation_LCIA!P$61*($W94^Transportation_LCIA!P$60)+Transportation_LCIA!P$62</f>
        <v>3.6486124224340038E-8</v>
      </c>
      <c r="AM94" s="16">
        <f>Transportation_LCIA!Q$61*($W94^Transportation_LCIA!Q$60)+Transportation_LCIA!Q$62</f>
        <v>1.2843702129143657E-4</v>
      </c>
      <c r="AN94" s="16">
        <f>Transportation_LCIA!R$61*($W94^Transportation_LCIA!R$60)+Transportation_LCIA!R$62</f>
        <v>3.977581392161846E-4</v>
      </c>
      <c r="AO94" s="16">
        <f>Transportation_LCIA!S$61*($W94^Transportation_LCIA!S$60)+Transportation_LCIA!S$62</f>
        <v>5.9018366684239294E-6</v>
      </c>
      <c r="AP94" s="16">
        <f>Transportation_LCIA!T$61*($W94^Transportation_LCIA!T$60)+Transportation_LCIA!T$62</f>
        <v>5.9018366684239294E-6</v>
      </c>
      <c r="AQ94" s="16">
        <f>Transportation_LCIA!U$61*($W94^Transportation_LCIA!U$60)+Transportation_LCIA!U$62</f>
        <v>8.594058841703753E-4</v>
      </c>
      <c r="AR94" s="16">
        <f>Transportation_LCIA!V$61*($W94^Transportation_LCIA!V$60)+Transportation_LCIA!V$62</f>
        <v>3.3420101797980824E-4</v>
      </c>
      <c r="AT94" s="16">
        <f>$W94*Y94+($L94)*Summary_LCIA!H$32</f>
        <v>208.82092355780841</v>
      </c>
      <c r="AU94" s="16">
        <f>$W94*Z94+($L94)*Summary_LCIA!Q$32</f>
        <v>2290.4886397139471</v>
      </c>
      <c r="AV94" s="16">
        <f>$W94*AA94+($L94)*Summary_LCIA!R$32</f>
        <v>1.339730947708871</v>
      </c>
      <c r="AW94" s="16">
        <f>$W94*AB94+($L94)*Summary_LCIA!S$32</f>
        <v>208.54636199780842</v>
      </c>
      <c r="AX94" s="16">
        <f>$W94*AC94+($L94)*Summary_LCIA!T$32</f>
        <v>53.061381087106881</v>
      </c>
      <c r="AY94" s="16">
        <f>$W94*AD94+($L94)*Summary_LCIA!U$32</f>
        <v>1.3520754033672187</v>
      </c>
      <c r="AZ94" s="16">
        <f>$W94*AE94+($L94)*Summary_LCIA!V$32</f>
        <v>8.3257390035499351E-3</v>
      </c>
      <c r="BA94" s="16">
        <f>$W94*AF94+($L94)*Summary_LCIA!W$32</f>
        <v>12.740094669885281</v>
      </c>
      <c r="BB94" s="16">
        <f>$W94*AG94+($L94)*Summary_LCIA!X$32</f>
        <v>11.457628676088893</v>
      </c>
      <c r="BC94" s="16">
        <f>$W94*AH94+($L94)*Summary_LCIA!Y$32</f>
        <v>1.1786089842357061</v>
      </c>
      <c r="BD94" s="16">
        <f>$W94*AI94+($L94)*Summary_LCIA!Z$32</f>
        <v>0.19344218493726698</v>
      </c>
      <c r="BE94" s="16">
        <f>$W94*AJ94+($L94)*Summary_LCIA!AA$32</f>
        <v>2.2935712991777515</v>
      </c>
      <c r="BF94" s="16">
        <f>$W94*AK94+($L94)*Summary_LCIA!AB$32</f>
        <v>4.7559832468120004E-2</v>
      </c>
      <c r="BG94" s="16">
        <f>$W94*AL94+($L94)*Summary_LCIA!AC$32</f>
        <v>2.6660369866896708E-5</v>
      </c>
      <c r="BH94" s="16">
        <f>$W94*AM94+($L94)*Summary_LCIA!AD$32</f>
        <v>0.10869253283112591</v>
      </c>
      <c r="BI94" s="16">
        <f>$W94*AN94+($L94)*Summary_LCIA!AE$32</f>
        <v>0.31258242340467579</v>
      </c>
      <c r="BJ94" s="16">
        <f>$W94*AO94+($L94)*Summary_LCIA!AF$32</f>
        <v>5.6337081595666492E-2</v>
      </c>
      <c r="BK94" s="16">
        <f>$W94*AP94+($L94)*Summary_LCIA!AG$32</f>
        <v>6.9995495056664834E-3</v>
      </c>
      <c r="BL94" s="16">
        <f>$W94*AQ94+($L94)*Summary_LCIA!AH$32</f>
        <v>1.0970926428182062</v>
      </c>
      <c r="BM94" s="16">
        <f>$W94*AR94+($L94)*Summary_LCIA!AI$32</f>
        <v>0.27425227993424162</v>
      </c>
      <c r="BN94" s="16"/>
    </row>
    <row r="95" spans="1:66" x14ac:dyDescent="0.25">
      <c r="A95" s="159">
        <v>50</v>
      </c>
      <c r="B95" s="159">
        <v>6</v>
      </c>
      <c r="C95" s="45">
        <v>43.638885999999999</v>
      </c>
      <c r="D95" s="45">
        <v>-79.380352000000002</v>
      </c>
      <c r="E95" s="45" t="s">
        <v>456</v>
      </c>
      <c r="F95" s="159">
        <v>130</v>
      </c>
      <c r="G95" s="45" t="s">
        <v>275</v>
      </c>
      <c r="H95" s="45" t="s">
        <v>653</v>
      </c>
      <c r="I95" s="45">
        <v>43.628481999999998</v>
      </c>
      <c r="J95" s="45">
        <v>-79.395957999999993</v>
      </c>
      <c r="K95" s="45">
        <v>2.1920799710000001</v>
      </c>
      <c r="L95" s="45">
        <v>2.4620000000000002</v>
      </c>
      <c r="M95" s="45" t="s">
        <v>617</v>
      </c>
      <c r="N95" s="159">
        <v>5</v>
      </c>
      <c r="O95" s="159">
        <v>6</v>
      </c>
      <c r="P95" s="61" t="s">
        <v>565</v>
      </c>
      <c r="Q95" s="45" t="s">
        <v>564</v>
      </c>
      <c r="R95" s="45">
        <v>41.98028</v>
      </c>
      <c r="S95" s="45">
        <v>-87.908997900000003</v>
      </c>
      <c r="T95" s="45">
        <v>862.76300000000003</v>
      </c>
      <c r="U95" s="45" t="s">
        <v>617</v>
      </c>
      <c r="V95" s="45" t="s">
        <v>569</v>
      </c>
      <c r="W95" s="45" cm="1">
        <f t="array" ref="W95">getDistance(R95,S95,I95,J95)*SA!$B$12</f>
        <v>719.74478003412571</v>
      </c>
      <c r="X95" s="22"/>
      <c r="Y95" s="16">
        <f>Transportation_LCIA!C$61*($W95^Transportation_LCIA!C$60)+Transportation_LCIA!C$62</f>
        <v>0.27479432969989154</v>
      </c>
      <c r="Z95" s="16">
        <f>Transportation_LCIA!D$61*($W95^Transportation_LCIA!D$60)+Transportation_LCIA!D$62</f>
        <v>2.8827039861185852</v>
      </c>
      <c r="AA95" s="16">
        <f>Transportation_LCIA!E$61*($W95^Transportation_LCIA!E$60)+Transportation_LCIA!E$62</f>
        <v>1.4454946535506226E-3</v>
      </c>
      <c r="AB95" s="16">
        <f>Transportation_LCIA!F$61*($W95^Transportation_LCIA!F$60)+Transportation_LCIA!F$62</f>
        <v>0.27479432969989154</v>
      </c>
      <c r="AC95" s="16">
        <f>Transportation_LCIA!G$61*($W95^Transportation_LCIA!G$60)+Transportation_LCIA!G$62</f>
        <v>6.7261235954918716E-2</v>
      </c>
      <c r="AD95" s="16">
        <f>Transportation_LCIA!H$61*($W95^Transportation_LCIA!H$60)+Transportation_LCIA!H$62</f>
        <v>3.432871724762876E-4</v>
      </c>
      <c r="AE95" s="16">
        <f>Transportation_LCIA!I$61*($W95^Transportation_LCIA!I$60)+Transportation_LCIA!I$62</f>
        <v>7.6049843112141125E-6</v>
      </c>
      <c r="AF95" s="16">
        <f>Transportation_LCIA!J$61*($W95^Transportation_LCIA!J$60)+Transportation_LCIA!J$62</f>
        <v>1.1282153732006601E-2</v>
      </c>
      <c r="AG95" s="16">
        <f>Transportation_LCIA!K$61*($W95^Transportation_LCIA!K$60)+Transportation_LCIA!K$62</f>
        <v>1.4534423764389365E-2</v>
      </c>
      <c r="AH95" s="16">
        <f>Transportation_LCIA!L$61*($W95^Transportation_LCIA!L$60)+Transportation_LCIA!L$62</f>
        <v>3.0112394094387748E-4</v>
      </c>
      <c r="AI95" s="16">
        <f>Transportation_LCIA!M$61*($W95^Transportation_LCIA!M$60)+Transportation_LCIA!M$62</f>
        <v>2.8031206126034625E-4</v>
      </c>
      <c r="AJ95" s="16">
        <f>Transportation_LCIA!N$61*($W95^Transportation_LCIA!N$60)+Transportation_LCIA!N$62</f>
        <v>1.2132879880247076E-3</v>
      </c>
      <c r="AK95" s="16">
        <f>Transportation_LCIA!O$61*($W95^Transportation_LCIA!O$60)+Transportation_LCIA!O$62</f>
        <v>7.1139991789930142E-5</v>
      </c>
      <c r="AL95" s="16">
        <f>Transportation_LCIA!P$61*($W95^Transportation_LCIA!P$60)+Transportation_LCIA!P$62</f>
        <v>3.436930057415968E-8</v>
      </c>
      <c r="AM95" s="16">
        <f>Transportation_LCIA!Q$61*($W95^Transportation_LCIA!Q$60)+Transportation_LCIA!Q$62</f>
        <v>1.1892460469441366E-4</v>
      </c>
      <c r="AN95" s="16">
        <f>Transportation_LCIA!R$61*($W95^Transportation_LCIA!R$60)+Transportation_LCIA!R$62</f>
        <v>3.6553755866774139E-4</v>
      </c>
      <c r="AO95" s="16">
        <f>Transportation_LCIA!S$61*($W95^Transportation_LCIA!S$60)+Transportation_LCIA!S$62</f>
        <v>5.4448586218047667E-6</v>
      </c>
      <c r="AP95" s="16">
        <f>Transportation_LCIA!T$61*($W95^Transportation_LCIA!T$60)+Transportation_LCIA!T$62</f>
        <v>5.4448586218047667E-6</v>
      </c>
      <c r="AQ95" s="16">
        <f>Transportation_LCIA!U$61*($W95^Transportation_LCIA!U$60)+Transportation_LCIA!U$62</f>
        <v>7.8854863567086818E-4</v>
      </c>
      <c r="AR95" s="16">
        <f>Transportation_LCIA!V$61*($W95^Transportation_LCIA!V$60)+Transportation_LCIA!V$62</f>
        <v>3.0938263318178909E-4</v>
      </c>
      <c r="AT95" s="16">
        <f>$W95*Y95+($L95)*Summary_LCIA!H$32</f>
        <v>198.61837198447344</v>
      </c>
      <c r="AU95" s="16">
        <f>$W95*Z95+($L95)*Summary_LCIA!Q$32</f>
        <v>2087.0129425584641</v>
      </c>
      <c r="AV95" s="16">
        <f>$W95*AA95+($L95)*Summary_LCIA!R$32</f>
        <v>1.0533511386602976</v>
      </c>
      <c r="AW95" s="16">
        <f>$W95*AB95+($L95)*Summary_LCIA!S$32</f>
        <v>198.60748994447343</v>
      </c>
      <c r="AX95" s="16">
        <f>$W95*AC95+($L95)*Summary_LCIA!T$32</f>
        <v>48.681497277196399</v>
      </c>
      <c r="AY95" s="16">
        <f>$W95*AD95+($L95)*Summary_LCIA!U$32</f>
        <v>0.29118341844248263</v>
      </c>
      <c r="AZ95" s="16">
        <f>$W95*AE95+($L95)*Summary_LCIA!V$32</f>
        <v>5.5912353422377789E-3</v>
      </c>
      <c r="BA95" s="16">
        <f>$W95*AF95+($L95)*Summary_LCIA!W$32</f>
        <v>8.3097738581542799</v>
      </c>
      <c r="BB95" s="16">
        <f>$W95*AG95+($L95)*Summary_LCIA!X$32</f>
        <v>10.517159995223192</v>
      </c>
      <c r="BC95" s="16">
        <f>$W95*AH95+($L95)*Summary_LCIA!Y$32</f>
        <v>0.25509526863766019</v>
      </c>
      <c r="BD95" s="16">
        <f>$W95*AI95+($L95)*Summary_LCIA!Z$32</f>
        <v>0.2018541070307403</v>
      </c>
      <c r="BE95" s="16">
        <f>$W95*AJ95+($L95)*Summary_LCIA!AA$32</f>
        <v>0.93076016805889017</v>
      </c>
      <c r="BF95" s="16">
        <f>$W95*AK95+($L95)*Summary_LCIA!AB$32</f>
        <v>5.1148909516472781E-2</v>
      </c>
      <c r="BG95" s="16">
        <f>$W95*AL95+($L95)*Summary_LCIA!AC$32</f>
        <v>2.4857477089675311E-5</v>
      </c>
      <c r="BH95" s="16">
        <f>$W95*AM95+($L95)*Summary_LCIA!AD$32</f>
        <v>8.6607343926426106E-2</v>
      </c>
      <c r="BI95" s="16">
        <f>$W95*AN95+($L95)*Summary_LCIA!AE$32</f>
        <v>0.26527540181752485</v>
      </c>
      <c r="BJ95" s="16">
        <f>$W95*AO95+($L95)*Summary_LCIA!AF$32</f>
        <v>6.0003326110677855E-3</v>
      </c>
      <c r="BK95" s="16">
        <f>$W95*AP95+($L95)*Summary_LCIA!AG$32</f>
        <v>4.0448768010677844E-3</v>
      </c>
      <c r="BL95" s="16">
        <f>$W95*AQ95+($L95)*Summary_LCIA!AH$32</f>
        <v>0.58898202752713902</v>
      </c>
      <c r="BM95" s="16">
        <f>$W95*AR95+($L95)*Summary_LCIA!AI$32</f>
        <v>0.22497001136580538</v>
      </c>
      <c r="BN95" s="16"/>
    </row>
    <row r="96" spans="1:66" x14ac:dyDescent="0.25">
      <c r="A96" s="159">
        <v>363</v>
      </c>
      <c r="B96" s="159">
        <v>6</v>
      </c>
      <c r="C96" s="45">
        <v>43.653225999999997</v>
      </c>
      <c r="D96" s="45">
        <v>-79.383184</v>
      </c>
      <c r="E96" s="45" t="s">
        <v>456</v>
      </c>
      <c r="F96" s="159">
        <v>130</v>
      </c>
      <c r="G96" s="45" t="s">
        <v>275</v>
      </c>
      <c r="H96" s="45" t="s">
        <v>653</v>
      </c>
      <c r="I96" s="45">
        <v>43.628481999999998</v>
      </c>
      <c r="J96" s="45">
        <v>-79.395957999999993</v>
      </c>
      <c r="K96" s="45">
        <v>4.2005598900000001</v>
      </c>
      <c r="L96" s="45">
        <v>4.1710000000000003</v>
      </c>
      <c r="M96" s="45" t="s">
        <v>617</v>
      </c>
      <c r="N96" s="159">
        <v>5</v>
      </c>
      <c r="O96" s="159">
        <v>6</v>
      </c>
      <c r="P96" s="61" t="s">
        <v>565</v>
      </c>
      <c r="Q96" s="45" t="s">
        <v>564</v>
      </c>
      <c r="R96" s="45">
        <v>41.98028</v>
      </c>
      <c r="S96" s="45">
        <v>-87.908997900000003</v>
      </c>
      <c r="T96" s="45">
        <v>863.19399999999996</v>
      </c>
      <c r="U96" s="45" t="s">
        <v>617</v>
      </c>
      <c r="V96" s="45" t="s">
        <v>569</v>
      </c>
      <c r="W96" s="45" cm="1">
        <f t="array" ref="W96">getDistance(R96,S96,I96,J96)*SA!$B$12</f>
        <v>719.74478003412571</v>
      </c>
      <c r="X96" s="22"/>
      <c r="Y96" s="16">
        <f>Transportation_LCIA!C$61*($W96^Transportation_LCIA!C$60)+Transportation_LCIA!C$62</f>
        <v>0.27479432969989154</v>
      </c>
      <c r="Z96" s="16">
        <f>Transportation_LCIA!D$61*($W96^Transportation_LCIA!D$60)+Transportation_LCIA!D$62</f>
        <v>2.8827039861185852</v>
      </c>
      <c r="AA96" s="16">
        <f>Transportation_LCIA!E$61*($W96^Transportation_LCIA!E$60)+Transportation_LCIA!E$62</f>
        <v>1.4454946535506226E-3</v>
      </c>
      <c r="AB96" s="16">
        <f>Transportation_LCIA!F$61*($W96^Transportation_LCIA!F$60)+Transportation_LCIA!F$62</f>
        <v>0.27479432969989154</v>
      </c>
      <c r="AC96" s="16">
        <f>Transportation_LCIA!G$61*($W96^Transportation_LCIA!G$60)+Transportation_LCIA!G$62</f>
        <v>6.7261235954918716E-2</v>
      </c>
      <c r="AD96" s="16">
        <f>Transportation_LCIA!H$61*($W96^Transportation_LCIA!H$60)+Transportation_LCIA!H$62</f>
        <v>3.432871724762876E-4</v>
      </c>
      <c r="AE96" s="16">
        <f>Transportation_LCIA!I$61*($W96^Transportation_LCIA!I$60)+Transportation_LCIA!I$62</f>
        <v>7.6049843112141125E-6</v>
      </c>
      <c r="AF96" s="16">
        <f>Transportation_LCIA!J$61*($W96^Transportation_LCIA!J$60)+Transportation_LCIA!J$62</f>
        <v>1.1282153732006601E-2</v>
      </c>
      <c r="AG96" s="16">
        <f>Transportation_LCIA!K$61*($W96^Transportation_LCIA!K$60)+Transportation_LCIA!K$62</f>
        <v>1.4534423764389365E-2</v>
      </c>
      <c r="AH96" s="16">
        <f>Transportation_LCIA!L$61*($W96^Transportation_LCIA!L$60)+Transportation_LCIA!L$62</f>
        <v>3.0112394094387748E-4</v>
      </c>
      <c r="AI96" s="16">
        <f>Transportation_LCIA!M$61*($W96^Transportation_LCIA!M$60)+Transportation_LCIA!M$62</f>
        <v>2.8031206126034625E-4</v>
      </c>
      <c r="AJ96" s="16">
        <f>Transportation_LCIA!N$61*($W96^Transportation_LCIA!N$60)+Transportation_LCIA!N$62</f>
        <v>1.2132879880247076E-3</v>
      </c>
      <c r="AK96" s="16">
        <f>Transportation_LCIA!O$61*($W96^Transportation_LCIA!O$60)+Transportation_LCIA!O$62</f>
        <v>7.1139991789930142E-5</v>
      </c>
      <c r="AL96" s="16">
        <f>Transportation_LCIA!P$61*($W96^Transportation_LCIA!P$60)+Transportation_LCIA!P$62</f>
        <v>3.436930057415968E-8</v>
      </c>
      <c r="AM96" s="16">
        <f>Transportation_LCIA!Q$61*($W96^Transportation_LCIA!Q$60)+Transportation_LCIA!Q$62</f>
        <v>1.1892460469441366E-4</v>
      </c>
      <c r="AN96" s="16">
        <f>Transportation_LCIA!R$61*($W96^Transportation_LCIA!R$60)+Transportation_LCIA!R$62</f>
        <v>3.6553755866774139E-4</v>
      </c>
      <c r="AO96" s="16">
        <f>Transportation_LCIA!S$61*($W96^Transportation_LCIA!S$60)+Transportation_LCIA!S$62</f>
        <v>5.4448586218047667E-6</v>
      </c>
      <c r="AP96" s="16">
        <f>Transportation_LCIA!T$61*($W96^Transportation_LCIA!T$60)+Transportation_LCIA!T$62</f>
        <v>5.4448586218047667E-6</v>
      </c>
      <c r="AQ96" s="16">
        <f>Transportation_LCIA!U$61*($W96^Transportation_LCIA!U$60)+Transportation_LCIA!U$62</f>
        <v>7.8854863567086818E-4</v>
      </c>
      <c r="AR96" s="16">
        <f>Transportation_LCIA!V$61*($W96^Transportation_LCIA!V$60)+Transportation_LCIA!V$62</f>
        <v>3.0938263318178909E-4</v>
      </c>
      <c r="AT96" s="16">
        <f>$W96*Y96+($L96)*Summary_LCIA!H$32</f>
        <v>199.19909018447345</v>
      </c>
      <c r="AU96" s="16">
        <f>$W96*Z96+($L96)*Summary_LCIA!Q$32</f>
        <v>2095.4828327484615</v>
      </c>
      <c r="AV96" s="16">
        <f>$W96*AA96+($L96)*Summary_LCIA!R$32</f>
        <v>1.0623500490602975</v>
      </c>
      <c r="AW96" s="16">
        <f>$W96*AB96+($L96)*Summary_LCIA!S$32</f>
        <v>199.18065436447344</v>
      </c>
      <c r="AX96" s="16">
        <f>$W96*AC96+($L96)*Summary_LCIA!T$32</f>
        <v>48.869316377196398</v>
      </c>
      <c r="AY96" s="16">
        <f>$W96*AD96+($L96)*Summary_LCIA!U$32</f>
        <v>0.32179844444248262</v>
      </c>
      <c r="AZ96" s="16">
        <f>$W96*AE96+($L96)*Summary_LCIA!V$32</f>
        <v>5.6728588912377791E-3</v>
      </c>
      <c r="BA96" s="16">
        <f>$W96*AF96+($L96)*Summary_LCIA!W$32</f>
        <v>8.4413172971542814</v>
      </c>
      <c r="BB96" s="16">
        <f>$W96*AG96+($L96)*Summary_LCIA!X$32</f>
        <v>10.556091015223192</v>
      </c>
      <c r="BC96" s="16">
        <f>$W96*AH96+($L96)*Summary_LCIA!Y$32</f>
        <v>0.2817249066376602</v>
      </c>
      <c r="BD96" s="16">
        <f>$W96*AI96+($L96)*Summary_LCIA!Z$32</f>
        <v>0.20192419141174028</v>
      </c>
      <c r="BE96" s="16">
        <f>$W96*AJ96+($L96)*Summary_LCIA!AA$32</f>
        <v>0.9706755720588901</v>
      </c>
      <c r="BF96" s="16">
        <f>$W96*AK96+($L96)*Summary_LCIA!AB$32</f>
        <v>5.1111614009472783E-2</v>
      </c>
      <c r="BG96" s="16">
        <f>$W96*AL96+($L96)*Summary_LCIA!AC$32</f>
        <v>2.4941019845675312E-5</v>
      </c>
      <c r="BH96" s="16">
        <f>$W96*AM96+($L96)*Summary_LCIA!AD$32</f>
        <v>8.7309811286426106E-2</v>
      </c>
      <c r="BI96" s="16">
        <f>$W96*AN96+($L96)*Summary_LCIA!AE$32</f>
        <v>0.26678979798752489</v>
      </c>
      <c r="BJ96" s="16">
        <f>$W96*AO96+($L96)*Summary_LCIA!AF$32</f>
        <v>7.4451553910677851E-3</v>
      </c>
      <c r="BK96" s="16">
        <f>$W96*AP96+($L96)*Summary_LCIA!AG$32</f>
        <v>4.1323177860677846E-3</v>
      </c>
      <c r="BL96" s="16">
        <f>$W96*AQ96+($L96)*Summary_LCIA!AH$32</f>
        <v>0.60385647992713898</v>
      </c>
      <c r="BM96" s="16">
        <f>$W96*AR96+($L96)*Summary_LCIA!AI$32</f>
        <v>0.22656203031580538</v>
      </c>
      <c r="BN96" s="16"/>
    </row>
    <row r="97" spans="1:66" x14ac:dyDescent="0.25">
      <c r="A97" s="159">
        <v>73</v>
      </c>
      <c r="B97" s="159">
        <v>6</v>
      </c>
      <c r="C97" s="45">
        <v>43.660848999999999</v>
      </c>
      <c r="D97" s="45">
        <v>-79.395493999999999</v>
      </c>
      <c r="E97" s="45" t="s">
        <v>456</v>
      </c>
      <c r="F97" s="159">
        <v>130</v>
      </c>
      <c r="G97" s="45" t="s">
        <v>275</v>
      </c>
      <c r="H97" s="45" t="s">
        <v>653</v>
      </c>
      <c r="I97" s="45">
        <v>43.628481999999998</v>
      </c>
      <c r="J97" s="45">
        <v>-79.395957999999993</v>
      </c>
      <c r="K97" s="45">
        <v>5.2007018199999999</v>
      </c>
      <c r="L97" s="45">
        <v>5.4240000000000004</v>
      </c>
      <c r="M97" s="45" t="s">
        <v>617</v>
      </c>
      <c r="N97" s="159">
        <v>5</v>
      </c>
      <c r="O97" s="159">
        <v>6</v>
      </c>
      <c r="P97" s="61" t="s">
        <v>565</v>
      </c>
      <c r="Q97" s="45" t="s">
        <v>564</v>
      </c>
      <c r="R97" s="45">
        <v>41.98028</v>
      </c>
      <c r="S97" s="45">
        <v>-87.908997900000003</v>
      </c>
      <c r="T97" s="45">
        <v>864.44</v>
      </c>
      <c r="U97" s="45" t="s">
        <v>617</v>
      </c>
      <c r="V97" s="45" t="s">
        <v>569</v>
      </c>
      <c r="W97" s="45" cm="1">
        <f t="array" ref="W97">getDistance(R97,S97,I97,J97)*SA!$B$12</f>
        <v>719.74478003412571</v>
      </c>
      <c r="X97" s="22"/>
      <c r="Y97" s="16">
        <f>Transportation_LCIA!C$61*($W97^Transportation_LCIA!C$60)+Transportation_LCIA!C$62</f>
        <v>0.27479432969989154</v>
      </c>
      <c r="Z97" s="16">
        <f>Transportation_LCIA!D$61*($W97^Transportation_LCIA!D$60)+Transportation_LCIA!D$62</f>
        <v>2.8827039861185852</v>
      </c>
      <c r="AA97" s="16">
        <f>Transportation_LCIA!E$61*($W97^Transportation_LCIA!E$60)+Transportation_LCIA!E$62</f>
        <v>1.4454946535506226E-3</v>
      </c>
      <c r="AB97" s="16">
        <f>Transportation_LCIA!F$61*($W97^Transportation_LCIA!F$60)+Transportation_LCIA!F$62</f>
        <v>0.27479432969989154</v>
      </c>
      <c r="AC97" s="16">
        <f>Transportation_LCIA!G$61*($W97^Transportation_LCIA!G$60)+Transportation_LCIA!G$62</f>
        <v>6.7261235954918716E-2</v>
      </c>
      <c r="AD97" s="16">
        <f>Transportation_LCIA!H$61*($W97^Transportation_LCIA!H$60)+Transportation_LCIA!H$62</f>
        <v>3.432871724762876E-4</v>
      </c>
      <c r="AE97" s="16">
        <f>Transportation_LCIA!I$61*($W97^Transportation_LCIA!I$60)+Transportation_LCIA!I$62</f>
        <v>7.6049843112141125E-6</v>
      </c>
      <c r="AF97" s="16">
        <f>Transportation_LCIA!J$61*($W97^Transportation_LCIA!J$60)+Transportation_LCIA!J$62</f>
        <v>1.1282153732006601E-2</v>
      </c>
      <c r="AG97" s="16">
        <f>Transportation_LCIA!K$61*($W97^Transportation_LCIA!K$60)+Transportation_LCIA!K$62</f>
        <v>1.4534423764389365E-2</v>
      </c>
      <c r="AH97" s="16">
        <f>Transportation_LCIA!L$61*($W97^Transportation_LCIA!L$60)+Transportation_LCIA!L$62</f>
        <v>3.0112394094387748E-4</v>
      </c>
      <c r="AI97" s="16">
        <f>Transportation_LCIA!M$61*($W97^Transportation_LCIA!M$60)+Transportation_LCIA!M$62</f>
        <v>2.8031206126034625E-4</v>
      </c>
      <c r="AJ97" s="16">
        <f>Transportation_LCIA!N$61*($W97^Transportation_LCIA!N$60)+Transportation_LCIA!N$62</f>
        <v>1.2132879880247076E-3</v>
      </c>
      <c r="AK97" s="16">
        <f>Transportation_LCIA!O$61*($W97^Transportation_LCIA!O$60)+Transportation_LCIA!O$62</f>
        <v>7.1139991789930142E-5</v>
      </c>
      <c r="AL97" s="16">
        <f>Transportation_LCIA!P$61*($W97^Transportation_LCIA!P$60)+Transportation_LCIA!P$62</f>
        <v>3.436930057415968E-8</v>
      </c>
      <c r="AM97" s="16">
        <f>Transportation_LCIA!Q$61*($W97^Transportation_LCIA!Q$60)+Transportation_LCIA!Q$62</f>
        <v>1.1892460469441366E-4</v>
      </c>
      <c r="AN97" s="16">
        <f>Transportation_LCIA!R$61*($W97^Transportation_LCIA!R$60)+Transportation_LCIA!R$62</f>
        <v>3.6553755866774139E-4</v>
      </c>
      <c r="AO97" s="16">
        <f>Transportation_LCIA!S$61*($W97^Transportation_LCIA!S$60)+Transportation_LCIA!S$62</f>
        <v>5.4448586218047667E-6</v>
      </c>
      <c r="AP97" s="16">
        <f>Transportation_LCIA!T$61*($W97^Transportation_LCIA!T$60)+Transportation_LCIA!T$62</f>
        <v>5.4448586218047667E-6</v>
      </c>
      <c r="AQ97" s="16">
        <f>Transportation_LCIA!U$61*($W97^Transportation_LCIA!U$60)+Transportation_LCIA!U$62</f>
        <v>7.8854863567086818E-4</v>
      </c>
      <c r="AR97" s="16">
        <f>Transportation_LCIA!V$61*($W97^Transportation_LCIA!V$60)+Transportation_LCIA!V$62</f>
        <v>3.0938263318178909E-4</v>
      </c>
      <c r="AT97" s="16">
        <f>$W97*Y97+($L97)*Summary_LCIA!H$32</f>
        <v>199.62485958447343</v>
      </c>
      <c r="AU97" s="16">
        <f>$W97*Z97+($L97)*Summary_LCIA!Q$32</f>
        <v>2101.6927639410105</v>
      </c>
      <c r="AV97" s="16">
        <f>$W97*AA97+($L97)*Summary_LCIA!R$32</f>
        <v>1.0689478458602975</v>
      </c>
      <c r="AW97" s="16">
        <f>$W97*AB97+($L97)*Summary_LCIA!S$32</f>
        <v>199.60088550447344</v>
      </c>
      <c r="AX97" s="16">
        <f>$W97*AC97+($L97)*Summary_LCIA!T$32</f>
        <v>49.007021077196399</v>
      </c>
      <c r="AY97" s="16">
        <f>$W97*AD97+($L97)*Summary_LCIA!U$32</f>
        <v>0.34424468644248263</v>
      </c>
      <c r="AZ97" s="16">
        <f>$W97*AE97+($L97)*Summary_LCIA!V$32</f>
        <v>5.732703424237779E-3</v>
      </c>
      <c r="BA97" s="16">
        <f>$W97*AF97+($L97)*Summary_LCIA!W$32</f>
        <v>8.5377619601542811</v>
      </c>
      <c r="BB97" s="16">
        <f>$W97*AG97+($L97)*Summary_LCIA!X$32</f>
        <v>10.584634355223193</v>
      </c>
      <c r="BC97" s="16">
        <f>$W97*AH97+($L97)*Summary_LCIA!Y$32</f>
        <v>0.30124915263766017</v>
      </c>
      <c r="BD97" s="16">
        <f>$W97*AI97+($L97)*Summary_LCIA!Z$32</f>
        <v>0.20197557568874031</v>
      </c>
      <c r="BE97" s="16">
        <f>$W97*AJ97+($L97)*Summary_LCIA!AA$32</f>
        <v>0.99994064005889016</v>
      </c>
      <c r="BF97" s="16">
        <f>$W97*AK97+($L97)*Summary_LCIA!AB$32</f>
        <v>5.1084269790472779E-2</v>
      </c>
      <c r="BG97" s="16">
        <f>$W97*AL97+($L97)*Summary_LCIA!AC$32</f>
        <v>2.5002271497675309E-5</v>
      </c>
      <c r="BH97" s="16">
        <f>$W97*AM97+($L97)*Summary_LCIA!AD$32</f>
        <v>8.7824844406426114E-2</v>
      </c>
      <c r="BI97" s="16">
        <f>$W97*AN97+($L97)*Summary_LCIA!AE$32</f>
        <v>0.26790011887752485</v>
      </c>
      <c r="BJ97" s="16">
        <f>$W97*AO97+($L97)*Summary_LCIA!AF$32</f>
        <v>8.5044666510677852E-3</v>
      </c>
      <c r="BK97" s="16">
        <f>$W97*AP97+($L97)*Summary_LCIA!AG$32</f>
        <v>4.1964275310677843E-3</v>
      </c>
      <c r="BL97" s="16">
        <f>$W97*AQ97+($L97)*Summary_LCIA!AH$32</f>
        <v>0.61476209072713905</v>
      </c>
      <c r="BM97" s="16">
        <f>$W97*AR97+($L97)*Summary_LCIA!AI$32</f>
        <v>0.22772926246580538</v>
      </c>
      <c r="BN97" s="16"/>
    </row>
    <row r="98" spans="1:66" x14ac:dyDescent="0.25">
      <c r="A98" s="159">
        <v>74</v>
      </c>
      <c r="B98" s="159">
        <v>6</v>
      </c>
      <c r="C98" s="45">
        <v>43.660848999999999</v>
      </c>
      <c r="D98" s="45">
        <v>-79.395493999999999</v>
      </c>
      <c r="E98" s="45" t="s">
        <v>456</v>
      </c>
      <c r="F98" s="159">
        <v>130</v>
      </c>
      <c r="G98" s="45" t="s">
        <v>275</v>
      </c>
      <c r="H98" s="45" t="s">
        <v>653</v>
      </c>
      <c r="I98" s="45">
        <v>43.628481999999998</v>
      </c>
      <c r="J98" s="45">
        <v>-79.395957999999993</v>
      </c>
      <c r="K98" s="45">
        <v>5.2007018199999999</v>
      </c>
      <c r="L98" s="45">
        <v>5.4240000000000004</v>
      </c>
      <c r="M98" s="45" t="s">
        <v>617</v>
      </c>
      <c r="N98" s="159">
        <v>5</v>
      </c>
      <c r="O98" s="159">
        <v>6</v>
      </c>
      <c r="P98" s="61" t="s">
        <v>565</v>
      </c>
      <c r="Q98" s="45" t="s">
        <v>564</v>
      </c>
      <c r="R98" s="45">
        <v>41.98028</v>
      </c>
      <c r="S98" s="45">
        <v>-87.908997900000003</v>
      </c>
      <c r="T98" s="45">
        <v>864.44</v>
      </c>
      <c r="U98" s="45" t="s">
        <v>617</v>
      </c>
      <c r="V98" s="45" t="s">
        <v>569</v>
      </c>
      <c r="W98" s="45" cm="1">
        <f t="array" ref="W98">getDistance(R98,S98,I98,J98)*SA!$B$12</f>
        <v>719.74478003412571</v>
      </c>
      <c r="X98" s="22"/>
      <c r="Y98" s="16">
        <f>Transportation_LCIA!C$61*($W98^Transportation_LCIA!C$60)+Transportation_LCIA!C$62</f>
        <v>0.27479432969989154</v>
      </c>
      <c r="Z98" s="16">
        <f>Transportation_LCIA!D$61*($W98^Transportation_LCIA!D$60)+Transportation_LCIA!D$62</f>
        <v>2.8827039861185852</v>
      </c>
      <c r="AA98" s="16">
        <f>Transportation_LCIA!E$61*($W98^Transportation_LCIA!E$60)+Transportation_LCIA!E$62</f>
        <v>1.4454946535506226E-3</v>
      </c>
      <c r="AB98" s="16">
        <f>Transportation_LCIA!F$61*($W98^Transportation_LCIA!F$60)+Transportation_LCIA!F$62</f>
        <v>0.27479432969989154</v>
      </c>
      <c r="AC98" s="16">
        <f>Transportation_LCIA!G$61*($W98^Transportation_LCIA!G$60)+Transportation_LCIA!G$62</f>
        <v>6.7261235954918716E-2</v>
      </c>
      <c r="AD98" s="16">
        <f>Transportation_LCIA!H$61*($W98^Transportation_LCIA!H$60)+Transportation_LCIA!H$62</f>
        <v>3.432871724762876E-4</v>
      </c>
      <c r="AE98" s="16">
        <f>Transportation_LCIA!I$61*($W98^Transportation_LCIA!I$60)+Transportation_LCIA!I$62</f>
        <v>7.6049843112141125E-6</v>
      </c>
      <c r="AF98" s="16">
        <f>Transportation_LCIA!J$61*($W98^Transportation_LCIA!J$60)+Transportation_LCIA!J$62</f>
        <v>1.1282153732006601E-2</v>
      </c>
      <c r="AG98" s="16">
        <f>Transportation_LCIA!K$61*($W98^Transportation_LCIA!K$60)+Transportation_LCIA!K$62</f>
        <v>1.4534423764389365E-2</v>
      </c>
      <c r="AH98" s="16">
        <f>Transportation_LCIA!L$61*($W98^Transportation_LCIA!L$60)+Transportation_LCIA!L$62</f>
        <v>3.0112394094387748E-4</v>
      </c>
      <c r="AI98" s="16">
        <f>Transportation_LCIA!M$61*($W98^Transportation_LCIA!M$60)+Transportation_LCIA!M$62</f>
        <v>2.8031206126034625E-4</v>
      </c>
      <c r="AJ98" s="16">
        <f>Transportation_LCIA!N$61*($W98^Transportation_LCIA!N$60)+Transportation_LCIA!N$62</f>
        <v>1.2132879880247076E-3</v>
      </c>
      <c r="AK98" s="16">
        <f>Transportation_LCIA!O$61*($W98^Transportation_LCIA!O$60)+Transportation_LCIA!O$62</f>
        <v>7.1139991789930142E-5</v>
      </c>
      <c r="AL98" s="16">
        <f>Transportation_LCIA!P$61*($W98^Transportation_LCIA!P$60)+Transportation_LCIA!P$62</f>
        <v>3.436930057415968E-8</v>
      </c>
      <c r="AM98" s="16">
        <f>Transportation_LCIA!Q$61*($W98^Transportation_LCIA!Q$60)+Transportation_LCIA!Q$62</f>
        <v>1.1892460469441366E-4</v>
      </c>
      <c r="AN98" s="16">
        <f>Transportation_LCIA!R$61*($W98^Transportation_LCIA!R$60)+Transportation_LCIA!R$62</f>
        <v>3.6553755866774139E-4</v>
      </c>
      <c r="AO98" s="16">
        <f>Transportation_LCIA!S$61*($W98^Transportation_LCIA!S$60)+Transportation_LCIA!S$62</f>
        <v>5.4448586218047667E-6</v>
      </c>
      <c r="AP98" s="16">
        <f>Transportation_LCIA!T$61*($W98^Transportation_LCIA!T$60)+Transportation_LCIA!T$62</f>
        <v>5.4448586218047667E-6</v>
      </c>
      <c r="AQ98" s="16">
        <f>Transportation_LCIA!U$61*($W98^Transportation_LCIA!U$60)+Transportation_LCIA!U$62</f>
        <v>7.8854863567086818E-4</v>
      </c>
      <c r="AR98" s="16">
        <f>Transportation_LCIA!V$61*($W98^Transportation_LCIA!V$60)+Transportation_LCIA!V$62</f>
        <v>3.0938263318178909E-4</v>
      </c>
      <c r="AT98" s="16">
        <f>$W98*Y98+($L98)*Summary_LCIA!H$32</f>
        <v>199.62485958447343</v>
      </c>
      <c r="AU98" s="16">
        <f>$W98*Z98+($L98)*Summary_LCIA!Q$32</f>
        <v>2101.6927639410105</v>
      </c>
      <c r="AV98" s="16">
        <f>$W98*AA98+($L98)*Summary_LCIA!R$32</f>
        <v>1.0689478458602975</v>
      </c>
      <c r="AW98" s="16">
        <f>$W98*AB98+($L98)*Summary_LCIA!S$32</f>
        <v>199.60088550447344</v>
      </c>
      <c r="AX98" s="16">
        <f>$W98*AC98+($L98)*Summary_LCIA!T$32</f>
        <v>49.007021077196399</v>
      </c>
      <c r="AY98" s="16">
        <f>$W98*AD98+($L98)*Summary_LCIA!U$32</f>
        <v>0.34424468644248263</v>
      </c>
      <c r="AZ98" s="16">
        <f>$W98*AE98+($L98)*Summary_LCIA!V$32</f>
        <v>5.732703424237779E-3</v>
      </c>
      <c r="BA98" s="16">
        <f>$W98*AF98+($L98)*Summary_LCIA!W$32</f>
        <v>8.5377619601542811</v>
      </c>
      <c r="BB98" s="16">
        <f>$W98*AG98+($L98)*Summary_LCIA!X$32</f>
        <v>10.584634355223193</v>
      </c>
      <c r="BC98" s="16">
        <f>$W98*AH98+($L98)*Summary_LCIA!Y$32</f>
        <v>0.30124915263766017</v>
      </c>
      <c r="BD98" s="16">
        <f>$W98*AI98+($L98)*Summary_LCIA!Z$32</f>
        <v>0.20197557568874031</v>
      </c>
      <c r="BE98" s="16">
        <f>$W98*AJ98+($L98)*Summary_LCIA!AA$32</f>
        <v>0.99994064005889016</v>
      </c>
      <c r="BF98" s="16">
        <f>$W98*AK98+($L98)*Summary_LCIA!AB$32</f>
        <v>5.1084269790472779E-2</v>
      </c>
      <c r="BG98" s="16">
        <f>$W98*AL98+($L98)*Summary_LCIA!AC$32</f>
        <v>2.5002271497675309E-5</v>
      </c>
      <c r="BH98" s="16">
        <f>$W98*AM98+($L98)*Summary_LCIA!AD$32</f>
        <v>8.7824844406426114E-2</v>
      </c>
      <c r="BI98" s="16">
        <f>$W98*AN98+($L98)*Summary_LCIA!AE$32</f>
        <v>0.26790011887752485</v>
      </c>
      <c r="BJ98" s="16">
        <f>$W98*AO98+($L98)*Summary_LCIA!AF$32</f>
        <v>8.5044666510677852E-3</v>
      </c>
      <c r="BK98" s="16">
        <f>$W98*AP98+($L98)*Summary_LCIA!AG$32</f>
        <v>4.1964275310677843E-3</v>
      </c>
      <c r="BL98" s="16">
        <f>$W98*AQ98+($L98)*Summary_LCIA!AH$32</f>
        <v>0.61476209072713905</v>
      </c>
      <c r="BM98" s="16">
        <f>$W98*AR98+($L98)*Summary_LCIA!AI$32</f>
        <v>0.22772926246580538</v>
      </c>
      <c r="BN98" s="16"/>
    </row>
    <row r="99" spans="1:66" x14ac:dyDescent="0.25">
      <c r="A99" s="159">
        <v>75</v>
      </c>
      <c r="B99" s="159">
        <v>6</v>
      </c>
      <c r="C99" s="45">
        <v>43.660848999999999</v>
      </c>
      <c r="D99" s="45">
        <v>-79.395493999999999</v>
      </c>
      <c r="E99" s="45" t="s">
        <v>456</v>
      </c>
      <c r="F99" s="159">
        <v>130</v>
      </c>
      <c r="G99" s="45" t="s">
        <v>275</v>
      </c>
      <c r="H99" s="45" t="s">
        <v>653</v>
      </c>
      <c r="I99" s="45">
        <v>43.628481999999998</v>
      </c>
      <c r="J99" s="45">
        <v>-79.395957999999993</v>
      </c>
      <c r="K99" s="45">
        <v>5.2007018199999999</v>
      </c>
      <c r="L99" s="45">
        <v>5.4240000000000004</v>
      </c>
      <c r="M99" s="45" t="s">
        <v>617</v>
      </c>
      <c r="N99" s="159">
        <v>5</v>
      </c>
      <c r="O99" s="159">
        <v>6</v>
      </c>
      <c r="P99" s="61" t="s">
        <v>565</v>
      </c>
      <c r="Q99" s="45" t="s">
        <v>564</v>
      </c>
      <c r="R99" s="45">
        <v>41.98028</v>
      </c>
      <c r="S99" s="45">
        <v>-87.908997900000003</v>
      </c>
      <c r="T99" s="45">
        <v>864.44</v>
      </c>
      <c r="U99" s="45" t="s">
        <v>617</v>
      </c>
      <c r="V99" s="45" t="s">
        <v>569</v>
      </c>
      <c r="W99" s="45" cm="1">
        <f t="array" ref="W99">getDistance(R99,S99,I99,J99)*SA!$B$12</f>
        <v>719.74478003412571</v>
      </c>
      <c r="X99" s="22"/>
      <c r="Y99" s="16">
        <f>Transportation_LCIA!C$61*($W99^Transportation_LCIA!C$60)+Transportation_LCIA!C$62</f>
        <v>0.27479432969989154</v>
      </c>
      <c r="Z99" s="16">
        <f>Transportation_LCIA!D$61*($W99^Transportation_LCIA!D$60)+Transportation_LCIA!D$62</f>
        <v>2.8827039861185852</v>
      </c>
      <c r="AA99" s="16">
        <f>Transportation_LCIA!E$61*($W99^Transportation_LCIA!E$60)+Transportation_LCIA!E$62</f>
        <v>1.4454946535506226E-3</v>
      </c>
      <c r="AB99" s="16">
        <f>Transportation_LCIA!F$61*($W99^Transportation_LCIA!F$60)+Transportation_LCIA!F$62</f>
        <v>0.27479432969989154</v>
      </c>
      <c r="AC99" s="16">
        <f>Transportation_LCIA!G$61*($W99^Transportation_LCIA!G$60)+Transportation_LCIA!G$62</f>
        <v>6.7261235954918716E-2</v>
      </c>
      <c r="AD99" s="16">
        <f>Transportation_LCIA!H$61*($W99^Transportation_LCIA!H$60)+Transportation_LCIA!H$62</f>
        <v>3.432871724762876E-4</v>
      </c>
      <c r="AE99" s="16">
        <f>Transportation_LCIA!I$61*($W99^Transportation_LCIA!I$60)+Transportation_LCIA!I$62</f>
        <v>7.6049843112141125E-6</v>
      </c>
      <c r="AF99" s="16">
        <f>Transportation_LCIA!J$61*($W99^Transportation_LCIA!J$60)+Transportation_LCIA!J$62</f>
        <v>1.1282153732006601E-2</v>
      </c>
      <c r="AG99" s="16">
        <f>Transportation_LCIA!K$61*($W99^Transportation_LCIA!K$60)+Transportation_LCIA!K$62</f>
        <v>1.4534423764389365E-2</v>
      </c>
      <c r="AH99" s="16">
        <f>Transportation_LCIA!L$61*($W99^Transportation_LCIA!L$60)+Transportation_LCIA!L$62</f>
        <v>3.0112394094387748E-4</v>
      </c>
      <c r="AI99" s="16">
        <f>Transportation_LCIA!M$61*($W99^Transportation_LCIA!M$60)+Transportation_LCIA!M$62</f>
        <v>2.8031206126034625E-4</v>
      </c>
      <c r="AJ99" s="16">
        <f>Transportation_LCIA!N$61*($W99^Transportation_LCIA!N$60)+Transportation_LCIA!N$62</f>
        <v>1.2132879880247076E-3</v>
      </c>
      <c r="AK99" s="16">
        <f>Transportation_LCIA!O$61*($W99^Transportation_LCIA!O$60)+Transportation_LCIA!O$62</f>
        <v>7.1139991789930142E-5</v>
      </c>
      <c r="AL99" s="16">
        <f>Transportation_LCIA!P$61*($W99^Transportation_LCIA!P$60)+Transportation_LCIA!P$62</f>
        <v>3.436930057415968E-8</v>
      </c>
      <c r="AM99" s="16">
        <f>Transportation_LCIA!Q$61*($W99^Transportation_LCIA!Q$60)+Transportation_LCIA!Q$62</f>
        <v>1.1892460469441366E-4</v>
      </c>
      <c r="AN99" s="16">
        <f>Transportation_LCIA!R$61*($W99^Transportation_LCIA!R$60)+Transportation_LCIA!R$62</f>
        <v>3.6553755866774139E-4</v>
      </c>
      <c r="AO99" s="16">
        <f>Transportation_LCIA!S$61*($W99^Transportation_LCIA!S$60)+Transportation_LCIA!S$62</f>
        <v>5.4448586218047667E-6</v>
      </c>
      <c r="AP99" s="16">
        <f>Transportation_LCIA!T$61*($W99^Transportation_LCIA!T$60)+Transportation_LCIA!T$62</f>
        <v>5.4448586218047667E-6</v>
      </c>
      <c r="AQ99" s="16">
        <f>Transportation_LCIA!U$61*($W99^Transportation_LCIA!U$60)+Transportation_LCIA!U$62</f>
        <v>7.8854863567086818E-4</v>
      </c>
      <c r="AR99" s="16">
        <f>Transportation_LCIA!V$61*($W99^Transportation_LCIA!V$60)+Transportation_LCIA!V$62</f>
        <v>3.0938263318178909E-4</v>
      </c>
      <c r="AT99" s="16">
        <f>$W99*Y99+($L99)*Summary_LCIA!H$32</f>
        <v>199.62485958447343</v>
      </c>
      <c r="AU99" s="16">
        <f>$W99*Z99+($L99)*Summary_LCIA!Q$32</f>
        <v>2101.6927639410105</v>
      </c>
      <c r="AV99" s="16">
        <f>$W99*AA99+($L99)*Summary_LCIA!R$32</f>
        <v>1.0689478458602975</v>
      </c>
      <c r="AW99" s="16">
        <f>$W99*AB99+($L99)*Summary_LCIA!S$32</f>
        <v>199.60088550447344</v>
      </c>
      <c r="AX99" s="16">
        <f>$W99*AC99+($L99)*Summary_LCIA!T$32</f>
        <v>49.007021077196399</v>
      </c>
      <c r="AY99" s="16">
        <f>$W99*AD99+($L99)*Summary_LCIA!U$32</f>
        <v>0.34424468644248263</v>
      </c>
      <c r="AZ99" s="16">
        <f>$W99*AE99+($L99)*Summary_LCIA!V$32</f>
        <v>5.732703424237779E-3</v>
      </c>
      <c r="BA99" s="16">
        <f>$W99*AF99+($L99)*Summary_LCIA!W$32</f>
        <v>8.5377619601542811</v>
      </c>
      <c r="BB99" s="16">
        <f>$W99*AG99+($L99)*Summary_LCIA!X$32</f>
        <v>10.584634355223193</v>
      </c>
      <c r="BC99" s="16">
        <f>$W99*AH99+($L99)*Summary_LCIA!Y$32</f>
        <v>0.30124915263766017</v>
      </c>
      <c r="BD99" s="16">
        <f>$W99*AI99+($L99)*Summary_LCIA!Z$32</f>
        <v>0.20197557568874031</v>
      </c>
      <c r="BE99" s="16">
        <f>$W99*AJ99+($L99)*Summary_LCIA!AA$32</f>
        <v>0.99994064005889016</v>
      </c>
      <c r="BF99" s="16">
        <f>$W99*AK99+($L99)*Summary_LCIA!AB$32</f>
        <v>5.1084269790472779E-2</v>
      </c>
      <c r="BG99" s="16">
        <f>$W99*AL99+($L99)*Summary_LCIA!AC$32</f>
        <v>2.5002271497675309E-5</v>
      </c>
      <c r="BH99" s="16">
        <f>$W99*AM99+($L99)*Summary_LCIA!AD$32</f>
        <v>8.7824844406426114E-2</v>
      </c>
      <c r="BI99" s="16">
        <f>$W99*AN99+($L99)*Summary_LCIA!AE$32</f>
        <v>0.26790011887752485</v>
      </c>
      <c r="BJ99" s="16">
        <f>$W99*AO99+($L99)*Summary_LCIA!AF$32</f>
        <v>8.5044666510677852E-3</v>
      </c>
      <c r="BK99" s="16">
        <f>$W99*AP99+($L99)*Summary_LCIA!AG$32</f>
        <v>4.1964275310677843E-3</v>
      </c>
      <c r="BL99" s="16">
        <f>$W99*AQ99+($L99)*Summary_LCIA!AH$32</f>
        <v>0.61476209072713905</v>
      </c>
      <c r="BM99" s="16">
        <f>$W99*AR99+($L99)*Summary_LCIA!AI$32</f>
        <v>0.22772926246580538</v>
      </c>
      <c r="BN99" s="16"/>
    </row>
    <row r="100" spans="1:66" x14ac:dyDescent="0.25">
      <c r="A100" s="159">
        <v>281</v>
      </c>
      <c r="B100" s="159">
        <v>6</v>
      </c>
      <c r="C100" s="45">
        <v>39.654181000000001</v>
      </c>
      <c r="D100" s="45">
        <v>-79.959489000000005</v>
      </c>
      <c r="E100" s="45" t="s">
        <v>265</v>
      </c>
      <c r="F100" s="159">
        <v>106</v>
      </c>
      <c r="G100" s="45" t="s">
        <v>266</v>
      </c>
      <c r="H100" s="45" t="s">
        <v>669</v>
      </c>
      <c r="I100" s="45">
        <v>40.491920999999998</v>
      </c>
      <c r="J100" s="45">
        <v>-80.235223000000005</v>
      </c>
      <c r="K100" s="45">
        <v>134.8417848</v>
      </c>
      <c r="L100" s="45">
        <v>124.12</v>
      </c>
      <c r="M100" s="45" t="s">
        <v>617</v>
      </c>
      <c r="N100" s="159">
        <v>5</v>
      </c>
      <c r="O100" s="159">
        <v>6</v>
      </c>
      <c r="P100" s="61" t="s">
        <v>565</v>
      </c>
      <c r="Q100" s="45" t="s">
        <v>564</v>
      </c>
      <c r="R100" s="45">
        <v>41.98028</v>
      </c>
      <c r="S100" s="45">
        <v>-87.908997900000003</v>
      </c>
      <c r="T100" s="45">
        <v>876.70399999999995</v>
      </c>
      <c r="U100" s="45" t="s">
        <v>617</v>
      </c>
      <c r="V100" s="45" t="s">
        <v>569</v>
      </c>
      <c r="W100" s="45" cm="1">
        <f t="array" ref="W100">getDistance(R100,S100,I100,J100)*SA!$B$12</f>
        <v>664.03976858093529</v>
      </c>
      <c r="X100" s="22"/>
      <c r="Y100" s="16">
        <f>Transportation_LCIA!C$61*($W100^Transportation_LCIA!C$60)+Transportation_LCIA!C$62</f>
        <v>0.28618318016419964</v>
      </c>
      <c r="Z100" s="16">
        <f>Transportation_LCIA!D$61*($W100^Transportation_LCIA!D$60)+Transportation_LCIA!D$62</f>
        <v>3.0177355282535454</v>
      </c>
      <c r="AA100" s="16">
        <f>Transportation_LCIA!E$61*($W100^Transportation_LCIA!E$60)+Transportation_LCIA!E$62</f>
        <v>1.5346723185627621E-3</v>
      </c>
      <c r="AB100" s="16">
        <f>Transportation_LCIA!F$61*($W100^Transportation_LCIA!F$60)+Transportation_LCIA!F$62</f>
        <v>0.28618318016419964</v>
      </c>
      <c r="AC100" s="16">
        <f>Transportation_LCIA!G$61*($W100^Transportation_LCIA!G$60)+Transportation_LCIA!G$62</f>
        <v>7.0382405916778926E-2</v>
      </c>
      <c r="AD100" s="16">
        <f>Transportation_LCIA!H$61*($W100^Transportation_LCIA!H$60)+Transportation_LCIA!H$62</f>
        <v>3.6306879462450609E-4</v>
      </c>
      <c r="AE100" s="16">
        <f>Transportation_LCIA!I$61*($W100^Transportation_LCIA!I$60)+Transportation_LCIA!I$62</f>
        <v>8.1100647661309928E-6</v>
      </c>
      <c r="AF100" s="16">
        <f>Transportation_LCIA!J$61*($W100^Transportation_LCIA!J$60)+Transportation_LCIA!J$62</f>
        <v>1.2041348839796951E-2</v>
      </c>
      <c r="AG100" s="16">
        <f>Transportation_LCIA!K$61*($W100^Transportation_LCIA!K$60)+Transportation_LCIA!K$62</f>
        <v>1.5268865092569082E-2</v>
      </c>
      <c r="AH100" s="16">
        <f>Transportation_LCIA!L$61*($W100^Transportation_LCIA!L$60)+Transportation_LCIA!L$62</f>
        <v>3.193834659249564E-4</v>
      </c>
      <c r="AI100" s="16">
        <f>Transportation_LCIA!M$61*($W100^Transportation_LCIA!M$60)+Transportation_LCIA!M$62</f>
        <v>2.9123459332568592E-4</v>
      </c>
      <c r="AJ100" s="16">
        <f>Transportation_LCIA!N$61*($W100^Transportation_LCIA!N$60)+Transportation_LCIA!N$62</f>
        <v>1.2797222196284355E-3</v>
      </c>
      <c r="AK100" s="16">
        <f>Transportation_LCIA!O$61*($W100^Transportation_LCIA!O$60)+Transportation_LCIA!O$62</f>
        <v>7.4458081336171384E-5</v>
      </c>
      <c r="AL100" s="16">
        <f>Transportation_LCIA!P$61*($W100^Transportation_LCIA!P$60)+Transportation_LCIA!P$62</f>
        <v>3.5962723058234319E-8</v>
      </c>
      <c r="AM100" s="16">
        <f>Transportation_LCIA!Q$61*($W100^Transportation_LCIA!Q$60)+Transportation_LCIA!Q$62</f>
        <v>1.2607962162909455E-4</v>
      </c>
      <c r="AN100" s="16">
        <f>Transportation_LCIA!R$61*($W100^Transportation_LCIA!R$60)+Transportation_LCIA!R$62</f>
        <v>3.8976595565047854E-4</v>
      </c>
      <c r="AO100" s="16">
        <f>Transportation_LCIA!S$61*($W100^Transportation_LCIA!S$60)+Transportation_LCIA!S$62</f>
        <v>5.7884928967616082E-6</v>
      </c>
      <c r="AP100" s="16">
        <f>Transportation_LCIA!T$61*($W100^Transportation_LCIA!T$60)+Transportation_LCIA!T$62</f>
        <v>5.7884928967616082E-6</v>
      </c>
      <c r="AQ100" s="16">
        <f>Transportation_LCIA!U$61*($W100^Transportation_LCIA!U$60)+Transportation_LCIA!U$62</f>
        <v>8.418249291876381E-4</v>
      </c>
      <c r="AR100" s="16">
        <f>Transportation_LCIA!V$61*($W100^Transportation_LCIA!V$60)+Transportation_LCIA!V$62</f>
        <v>3.2804857778078551E-4</v>
      </c>
      <c r="AT100" s="16">
        <f>$W100*Y100+($L100)*Summary_LCIA!H$32</f>
        <v>232.21298872799122</v>
      </c>
      <c r="AU100" s="16">
        <f>$W100*Z100+($L100)*Summary_LCIA!Q$32</f>
        <v>2619.0413815639108</v>
      </c>
      <c r="AV100" s="16">
        <f>$W100*AA100+($L100)*Summary_LCIA!R$32</f>
        <v>1.6726497232659838</v>
      </c>
      <c r="AW100" s="16">
        <f>$W100*AB100+($L100)*Summary_LCIA!S$32</f>
        <v>231.66437832799124</v>
      </c>
      <c r="AX100" s="16">
        <f>$W100*AC100+($L100)*Summary_LCIA!T$32</f>
        <v>60.377504537147331</v>
      </c>
      <c r="AY100" s="16">
        <f>$W100*AD100+($L100)*Summary_LCIA!U$32</f>
        <v>2.4645777983614163</v>
      </c>
      <c r="AZ100" s="16">
        <f>$W100*AE100+($L100)*Summary_LCIA!V$32</f>
        <v>1.1313500850478022E-2</v>
      </c>
      <c r="BA100" s="16">
        <f>$W100*AF100+($L100)*Summary_LCIA!W$32</f>
        <v>17.54957501698108</v>
      </c>
      <c r="BB100" s="16">
        <f>$W100*AG100+($L100)*Summary_LCIA!X$32</f>
        <v>12.966587242563094</v>
      </c>
      <c r="BC100" s="16">
        <f>$W100*AH100+($L100)*Summary_LCIA!Y$32</f>
        <v>2.1461211628013852</v>
      </c>
      <c r="BD100" s="16">
        <f>$W100*AI100+($L100)*Summary_LCIA!Z$32</f>
        <v>0.19848138903475127</v>
      </c>
      <c r="BE100" s="16">
        <f>$W100*AJ100+($L100)*Summary_LCIA!AA$32</f>
        <v>3.7487331665699473</v>
      </c>
      <c r="BF100" s="16">
        <f>$W100*AK100+($L100)*Summary_LCIA!AB$32</f>
        <v>4.6734456339451697E-2</v>
      </c>
      <c r="BG100" s="16">
        <f>$W100*AL100+($L100)*Summary_LCIA!AC$32</f>
        <v>2.9948160377130184E-5</v>
      </c>
      <c r="BH100" s="16">
        <f>$W100*AM100+($L100)*Summary_LCIA!AD$32</f>
        <v>0.13474016756935583</v>
      </c>
      <c r="BI100" s="16">
        <f>$W100*AN100+($L100)*Summary_LCIA!AE$32</f>
        <v>0.36880655059087086</v>
      </c>
      <c r="BJ100" s="16">
        <f>$W100*AO100+($L100)*Summary_LCIA!AF$32</f>
        <v>0.10877731988359798</v>
      </c>
      <c r="BK100" s="16">
        <f>$W100*AP100+($L100)*Summary_LCIA!AG$32</f>
        <v>1.0194389283597966E-2</v>
      </c>
      <c r="BL100" s="16">
        <f>$W100*AQ100+($L100)*Summary_LCIA!AH$32</f>
        <v>1.6392960631634217</v>
      </c>
      <c r="BM100" s="16">
        <f>$W100*AR100+($L100)*Summary_LCIA!AI$32</f>
        <v>0.33346128767285776</v>
      </c>
      <c r="BN100" s="16"/>
    </row>
    <row r="101" spans="1:66" x14ac:dyDescent="0.25">
      <c r="A101" s="159">
        <v>177</v>
      </c>
      <c r="B101" s="159">
        <v>6</v>
      </c>
      <c r="C101" s="45">
        <v>42.871099999999998</v>
      </c>
      <c r="D101" s="45">
        <v>-78.859319999999997</v>
      </c>
      <c r="E101" s="45" t="s">
        <v>265</v>
      </c>
      <c r="F101" s="159">
        <v>120</v>
      </c>
      <c r="G101" s="45" t="s">
        <v>625</v>
      </c>
      <c r="H101" s="45" t="s">
        <v>626</v>
      </c>
      <c r="I101" s="45">
        <v>42.939706000000001</v>
      </c>
      <c r="J101" s="45">
        <v>-78.729506999999998</v>
      </c>
      <c r="K101" s="45">
        <v>16.03849787</v>
      </c>
      <c r="L101" s="45">
        <v>20.835000000000001</v>
      </c>
      <c r="M101" s="45" t="s">
        <v>617</v>
      </c>
      <c r="N101" s="159">
        <v>5</v>
      </c>
      <c r="O101" s="159">
        <v>6</v>
      </c>
      <c r="P101" s="61" t="s">
        <v>565</v>
      </c>
      <c r="Q101" s="45" t="s">
        <v>564</v>
      </c>
      <c r="R101" s="45">
        <v>41.98028</v>
      </c>
      <c r="S101" s="45">
        <v>-87.908997900000003</v>
      </c>
      <c r="T101" s="45">
        <v>888.98400000000004</v>
      </c>
      <c r="U101" s="45" t="s">
        <v>617</v>
      </c>
      <c r="V101" s="45" t="s">
        <v>569</v>
      </c>
      <c r="W101" s="45" cm="1">
        <f t="array" ref="W101">getDistance(R101,S101,I101,J101)*SA!$B$12</f>
        <v>762.14373098463625</v>
      </c>
      <c r="X101" s="22"/>
      <c r="Y101" s="16">
        <f>Transportation_LCIA!C$61*($W101^Transportation_LCIA!C$60)+Transportation_LCIA!C$62</f>
        <v>0.26715705922877148</v>
      </c>
      <c r="Z101" s="16">
        <f>Transportation_LCIA!D$61*($W101^Transportation_LCIA!D$60)+Transportation_LCIA!D$62</f>
        <v>2.7924242819575884</v>
      </c>
      <c r="AA101" s="16">
        <f>Transportation_LCIA!E$61*($W101^Transportation_LCIA!E$60)+Transportation_LCIA!E$62</f>
        <v>1.3859223127365909E-3</v>
      </c>
      <c r="AB101" s="16">
        <f>Transportation_LCIA!F$61*($W101^Transportation_LCIA!F$60)+Transportation_LCIA!F$62</f>
        <v>0.26715705922877148</v>
      </c>
      <c r="AC101" s="16">
        <f>Transportation_LCIA!G$61*($W101^Transportation_LCIA!G$60)+Transportation_LCIA!G$62</f>
        <v>6.5174111539131718E-2</v>
      </c>
      <c r="AD101" s="16">
        <f>Transportation_LCIA!H$61*($W101^Transportation_LCIA!H$60)+Transportation_LCIA!H$62</f>
        <v>3.3009468273267277E-4</v>
      </c>
      <c r="AE101" s="16">
        <f>Transportation_LCIA!I$61*($W101^Transportation_LCIA!I$60)+Transportation_LCIA!I$62</f>
        <v>7.2690458918611156E-6</v>
      </c>
      <c r="AF101" s="16">
        <f>Transportation_LCIA!J$61*($W101^Transportation_LCIA!J$60)+Transportation_LCIA!J$62</f>
        <v>1.0778083772794846E-2</v>
      </c>
      <c r="AG101" s="16">
        <f>Transportation_LCIA!K$61*($W101^Transportation_LCIA!K$60)+Transportation_LCIA!K$62</f>
        <v>1.404404741045014E-2</v>
      </c>
      <c r="AH101" s="16">
        <f>Transportation_LCIA!L$61*($W101^Transportation_LCIA!L$60)+Transportation_LCIA!L$62</f>
        <v>2.8895585132343143E-4</v>
      </c>
      <c r="AI101" s="16">
        <f>Transportation_LCIA!M$61*($W101^Transportation_LCIA!M$60)+Transportation_LCIA!M$62</f>
        <v>2.730284163617511E-4</v>
      </c>
      <c r="AJ101" s="16">
        <f>Transportation_LCIA!N$61*($W101^Transportation_LCIA!N$60)+Transportation_LCIA!N$62</f>
        <v>1.168973124544055E-3</v>
      </c>
      <c r="AK101" s="16">
        <f>Transportation_LCIA!O$61*($W101^Transportation_LCIA!O$60)+Transportation_LCIA!O$62</f>
        <v>6.8921370358073866E-5</v>
      </c>
      <c r="AL101" s="16">
        <f>Transportation_LCIA!P$61*($W101^Transportation_LCIA!P$60)+Transportation_LCIA!P$62</f>
        <v>3.3303629963256696E-8</v>
      </c>
      <c r="AM101" s="16">
        <f>Transportation_LCIA!Q$61*($W101^Transportation_LCIA!Q$60)+Transportation_LCIA!Q$62</f>
        <v>1.1415848600762142E-4</v>
      </c>
      <c r="AN101" s="16">
        <f>Transportation_LCIA!R$61*($W101^Transportation_LCIA!R$60)+Transportation_LCIA!R$62</f>
        <v>3.4942384575839313E-4</v>
      </c>
      <c r="AO101" s="16">
        <f>Transportation_LCIA!S$61*($W101^Transportation_LCIA!S$60)+Transportation_LCIA!S$62</f>
        <v>5.2162884195573146E-6</v>
      </c>
      <c r="AP101" s="16">
        <f>Transportation_LCIA!T$61*($W101^Transportation_LCIA!T$60)+Transportation_LCIA!T$62</f>
        <v>5.2162884195573146E-6</v>
      </c>
      <c r="AQ101" s="16">
        <f>Transportation_LCIA!U$61*($W101^Transportation_LCIA!U$60)+Transportation_LCIA!U$62</f>
        <v>7.53133915953268E-4</v>
      </c>
      <c r="AR101" s="16">
        <f>Transportation_LCIA!V$61*($W101^Transportation_LCIA!V$60)+Transportation_LCIA!V$62</f>
        <v>2.9695542383182229E-4</v>
      </c>
      <c r="AT101" s="16">
        <f>$W101*Y101+($L101)*Summary_LCIA!H$32</f>
        <v>210.69181087949934</v>
      </c>
      <c r="AU101" s="16">
        <f>$W101*Z101+($L101)*Summary_LCIA!Q$32</f>
        <v>2231.4879715148054</v>
      </c>
      <c r="AV101" s="16">
        <f>$W101*AA101+($L101)*Summary_LCIA!R$32</f>
        <v>1.1659807782839211</v>
      </c>
      <c r="AW101" s="16">
        <f>$W101*AB101+($L101)*Summary_LCIA!S$32</f>
        <v>210.59972017949934</v>
      </c>
      <c r="AX101" s="16">
        <f>$W101*AC101+($L101)*Summary_LCIA!T$32</f>
        <v>51.961807032042678</v>
      </c>
      <c r="AY101" s="16">
        <f>$W101*AD101+($L101)*Summary_LCIA!U$32</f>
        <v>0.62481778307606906</v>
      </c>
      <c r="AZ101" s="16">
        <f>$W101*AE101+($L101)*Summary_LCIA!V$32</f>
        <v>6.5351581917215736E-3</v>
      </c>
      <c r="BA101" s="16">
        <f>$W101*AF101+($L101)*Summary_LCIA!W$32</f>
        <v>9.8181397644628277</v>
      </c>
      <c r="BB101" s="16">
        <f>$W101*AG101+($L101)*Summary_LCIA!X$32</f>
        <v>11.178203991525589</v>
      </c>
      <c r="BC101" s="16">
        <f>$W101*AH101+($L101)*Summary_LCIA!Y$32</f>
        <v>0.54487686061748186</v>
      </c>
      <c r="BD101" s="16">
        <f>$W101*AI101+($L101)*Summary_LCIA!Z$32</f>
        <v>0.20894131842577168</v>
      </c>
      <c r="BE101" s="16">
        <f>$W101*AJ101+($L101)*Summary_LCIA!AA$32</f>
        <v>1.3775477985607738</v>
      </c>
      <c r="BF101" s="16">
        <f>$W101*AK101+($L101)*Summary_LCIA!AB$32</f>
        <v>5.2073308144276333E-2</v>
      </c>
      <c r="BG101" s="16">
        <f>$W101*AL101+($L101)*Summary_LCIA!AC$32</f>
        <v>2.6400650935528181E-5</v>
      </c>
      <c r="BH101" s="16">
        <f>$W101*AM101+($L101)*Summary_LCIA!AD$32</f>
        <v>9.5569192849405987E-2</v>
      </c>
      <c r="BI101" s="16">
        <f>$W101*AN101+($L101)*Summary_LCIA!AE$32</f>
        <v>0.28477371205130186</v>
      </c>
      <c r="BJ101" s="16">
        <f>$W101*AO101+($L101)*Summary_LCIA!AF$32</f>
        <v>2.1589887217973367E-2</v>
      </c>
      <c r="BK101" s="16">
        <f>$W101*AP101+($L101)*Summary_LCIA!AG$32</f>
        <v>5.0415842929733643E-3</v>
      </c>
      <c r="BL101" s="16">
        <f>$W101*AQ101+($L101)*Summary_LCIA!AH$32</f>
        <v>0.75533579863569322</v>
      </c>
      <c r="BM101" s="16">
        <f>$W101*AR101+($L101)*Summary_LCIA!AI$32</f>
        <v>0.24573155890530901</v>
      </c>
      <c r="BN101" s="16"/>
    </row>
    <row r="102" spans="1:66" x14ac:dyDescent="0.25">
      <c r="A102" s="159">
        <v>178</v>
      </c>
      <c r="B102" s="159">
        <v>6</v>
      </c>
      <c r="C102" s="45">
        <v>42.871099999999998</v>
      </c>
      <c r="D102" s="45">
        <v>-78.859319999999997</v>
      </c>
      <c r="E102" s="45" t="s">
        <v>265</v>
      </c>
      <c r="F102" s="159">
        <v>120</v>
      </c>
      <c r="G102" s="45" t="s">
        <v>625</v>
      </c>
      <c r="H102" s="45" t="s">
        <v>626</v>
      </c>
      <c r="I102" s="45">
        <v>42.939706000000001</v>
      </c>
      <c r="J102" s="45">
        <v>-78.729506999999998</v>
      </c>
      <c r="K102" s="45">
        <v>16.03849787</v>
      </c>
      <c r="L102" s="45">
        <v>20.835000000000001</v>
      </c>
      <c r="M102" s="45" t="s">
        <v>617</v>
      </c>
      <c r="N102" s="159">
        <v>5</v>
      </c>
      <c r="O102" s="159">
        <v>6</v>
      </c>
      <c r="P102" s="61" t="s">
        <v>565</v>
      </c>
      <c r="Q102" s="45" t="s">
        <v>564</v>
      </c>
      <c r="R102" s="45">
        <v>41.98028</v>
      </c>
      <c r="S102" s="45">
        <v>-87.908997900000003</v>
      </c>
      <c r="T102" s="45">
        <v>888.98400000000004</v>
      </c>
      <c r="U102" s="45" t="s">
        <v>617</v>
      </c>
      <c r="V102" s="45" t="s">
        <v>569</v>
      </c>
      <c r="W102" s="45" cm="1">
        <f t="array" ref="W102">getDistance(R102,S102,I102,J102)*SA!$B$12</f>
        <v>762.14373098463625</v>
      </c>
      <c r="X102" s="22"/>
      <c r="Y102" s="16">
        <f>Transportation_LCIA!C$61*($W102^Transportation_LCIA!C$60)+Transportation_LCIA!C$62</f>
        <v>0.26715705922877148</v>
      </c>
      <c r="Z102" s="16">
        <f>Transportation_LCIA!D$61*($W102^Transportation_LCIA!D$60)+Transportation_LCIA!D$62</f>
        <v>2.7924242819575884</v>
      </c>
      <c r="AA102" s="16">
        <f>Transportation_LCIA!E$61*($W102^Transportation_LCIA!E$60)+Transportation_LCIA!E$62</f>
        <v>1.3859223127365909E-3</v>
      </c>
      <c r="AB102" s="16">
        <f>Transportation_LCIA!F$61*($W102^Transportation_LCIA!F$60)+Transportation_LCIA!F$62</f>
        <v>0.26715705922877148</v>
      </c>
      <c r="AC102" s="16">
        <f>Transportation_LCIA!G$61*($W102^Transportation_LCIA!G$60)+Transportation_LCIA!G$62</f>
        <v>6.5174111539131718E-2</v>
      </c>
      <c r="AD102" s="16">
        <f>Transportation_LCIA!H$61*($W102^Transportation_LCIA!H$60)+Transportation_LCIA!H$62</f>
        <v>3.3009468273267277E-4</v>
      </c>
      <c r="AE102" s="16">
        <f>Transportation_LCIA!I$61*($W102^Transportation_LCIA!I$60)+Transportation_LCIA!I$62</f>
        <v>7.2690458918611156E-6</v>
      </c>
      <c r="AF102" s="16">
        <f>Transportation_LCIA!J$61*($W102^Transportation_LCIA!J$60)+Transportation_LCIA!J$62</f>
        <v>1.0778083772794846E-2</v>
      </c>
      <c r="AG102" s="16">
        <f>Transportation_LCIA!K$61*($W102^Transportation_LCIA!K$60)+Transportation_LCIA!K$62</f>
        <v>1.404404741045014E-2</v>
      </c>
      <c r="AH102" s="16">
        <f>Transportation_LCIA!L$61*($W102^Transportation_LCIA!L$60)+Transportation_LCIA!L$62</f>
        <v>2.8895585132343143E-4</v>
      </c>
      <c r="AI102" s="16">
        <f>Transportation_LCIA!M$61*($W102^Transportation_LCIA!M$60)+Transportation_LCIA!M$62</f>
        <v>2.730284163617511E-4</v>
      </c>
      <c r="AJ102" s="16">
        <f>Transportation_LCIA!N$61*($W102^Transportation_LCIA!N$60)+Transportation_LCIA!N$62</f>
        <v>1.168973124544055E-3</v>
      </c>
      <c r="AK102" s="16">
        <f>Transportation_LCIA!O$61*($W102^Transportation_LCIA!O$60)+Transportation_LCIA!O$62</f>
        <v>6.8921370358073866E-5</v>
      </c>
      <c r="AL102" s="16">
        <f>Transportation_LCIA!P$61*($W102^Transportation_LCIA!P$60)+Transportation_LCIA!P$62</f>
        <v>3.3303629963256696E-8</v>
      </c>
      <c r="AM102" s="16">
        <f>Transportation_LCIA!Q$61*($W102^Transportation_LCIA!Q$60)+Transportation_LCIA!Q$62</f>
        <v>1.1415848600762142E-4</v>
      </c>
      <c r="AN102" s="16">
        <f>Transportation_LCIA!R$61*($W102^Transportation_LCIA!R$60)+Transportation_LCIA!R$62</f>
        <v>3.4942384575839313E-4</v>
      </c>
      <c r="AO102" s="16">
        <f>Transportation_LCIA!S$61*($W102^Transportation_LCIA!S$60)+Transportation_LCIA!S$62</f>
        <v>5.2162884195573146E-6</v>
      </c>
      <c r="AP102" s="16">
        <f>Transportation_LCIA!T$61*($W102^Transportation_LCIA!T$60)+Transportation_LCIA!T$62</f>
        <v>5.2162884195573146E-6</v>
      </c>
      <c r="AQ102" s="16">
        <f>Transportation_LCIA!U$61*($W102^Transportation_LCIA!U$60)+Transportation_LCIA!U$62</f>
        <v>7.53133915953268E-4</v>
      </c>
      <c r="AR102" s="16">
        <f>Transportation_LCIA!V$61*($W102^Transportation_LCIA!V$60)+Transportation_LCIA!V$62</f>
        <v>2.9695542383182229E-4</v>
      </c>
      <c r="AT102" s="16">
        <f>$W102*Y102+($L102)*Summary_LCIA!H$32</f>
        <v>210.69181087949934</v>
      </c>
      <c r="AU102" s="16">
        <f>$W102*Z102+($L102)*Summary_LCIA!Q$32</f>
        <v>2231.4879715148054</v>
      </c>
      <c r="AV102" s="16">
        <f>$W102*AA102+($L102)*Summary_LCIA!R$32</f>
        <v>1.1659807782839211</v>
      </c>
      <c r="AW102" s="16">
        <f>$W102*AB102+($L102)*Summary_LCIA!S$32</f>
        <v>210.59972017949934</v>
      </c>
      <c r="AX102" s="16">
        <f>$W102*AC102+($L102)*Summary_LCIA!T$32</f>
        <v>51.961807032042678</v>
      </c>
      <c r="AY102" s="16">
        <f>$W102*AD102+($L102)*Summary_LCIA!U$32</f>
        <v>0.62481778307606906</v>
      </c>
      <c r="AZ102" s="16">
        <f>$W102*AE102+($L102)*Summary_LCIA!V$32</f>
        <v>6.5351581917215736E-3</v>
      </c>
      <c r="BA102" s="16">
        <f>$W102*AF102+($L102)*Summary_LCIA!W$32</f>
        <v>9.8181397644628277</v>
      </c>
      <c r="BB102" s="16">
        <f>$W102*AG102+($L102)*Summary_LCIA!X$32</f>
        <v>11.178203991525589</v>
      </c>
      <c r="BC102" s="16">
        <f>$W102*AH102+($L102)*Summary_LCIA!Y$32</f>
        <v>0.54487686061748186</v>
      </c>
      <c r="BD102" s="16">
        <f>$W102*AI102+($L102)*Summary_LCIA!Z$32</f>
        <v>0.20894131842577168</v>
      </c>
      <c r="BE102" s="16">
        <f>$W102*AJ102+($L102)*Summary_LCIA!AA$32</f>
        <v>1.3775477985607738</v>
      </c>
      <c r="BF102" s="16">
        <f>$W102*AK102+($L102)*Summary_LCIA!AB$32</f>
        <v>5.2073308144276333E-2</v>
      </c>
      <c r="BG102" s="16">
        <f>$W102*AL102+($L102)*Summary_LCIA!AC$32</f>
        <v>2.6400650935528181E-5</v>
      </c>
      <c r="BH102" s="16">
        <f>$W102*AM102+($L102)*Summary_LCIA!AD$32</f>
        <v>9.5569192849405987E-2</v>
      </c>
      <c r="BI102" s="16">
        <f>$W102*AN102+($L102)*Summary_LCIA!AE$32</f>
        <v>0.28477371205130186</v>
      </c>
      <c r="BJ102" s="16">
        <f>$W102*AO102+($L102)*Summary_LCIA!AF$32</f>
        <v>2.1589887217973367E-2</v>
      </c>
      <c r="BK102" s="16">
        <f>$W102*AP102+($L102)*Summary_LCIA!AG$32</f>
        <v>5.0415842929733643E-3</v>
      </c>
      <c r="BL102" s="16">
        <f>$W102*AQ102+($L102)*Summary_LCIA!AH$32</f>
        <v>0.75533579863569322</v>
      </c>
      <c r="BM102" s="16">
        <f>$W102*AR102+($L102)*Summary_LCIA!AI$32</f>
        <v>0.24573155890530901</v>
      </c>
      <c r="BN102" s="16"/>
    </row>
    <row r="103" spans="1:66" x14ac:dyDescent="0.25">
      <c r="A103" s="159">
        <v>179</v>
      </c>
      <c r="B103" s="159">
        <v>6</v>
      </c>
      <c r="C103" s="45">
        <v>42.871099999999998</v>
      </c>
      <c r="D103" s="45">
        <v>-78.859319999999997</v>
      </c>
      <c r="E103" s="45" t="s">
        <v>265</v>
      </c>
      <c r="F103" s="159">
        <v>120</v>
      </c>
      <c r="G103" s="45" t="s">
        <v>625</v>
      </c>
      <c r="H103" s="45" t="s">
        <v>626</v>
      </c>
      <c r="I103" s="45">
        <v>42.939706000000001</v>
      </c>
      <c r="J103" s="45">
        <v>-78.729506999999998</v>
      </c>
      <c r="K103" s="45">
        <v>16.03849787</v>
      </c>
      <c r="L103" s="45">
        <v>20.835000000000001</v>
      </c>
      <c r="M103" s="45" t="s">
        <v>617</v>
      </c>
      <c r="N103" s="159">
        <v>5</v>
      </c>
      <c r="O103" s="159">
        <v>6</v>
      </c>
      <c r="P103" s="61" t="s">
        <v>565</v>
      </c>
      <c r="Q103" s="45" t="s">
        <v>564</v>
      </c>
      <c r="R103" s="45">
        <v>41.98028</v>
      </c>
      <c r="S103" s="45">
        <v>-87.908997900000003</v>
      </c>
      <c r="T103" s="45">
        <v>888.98400000000004</v>
      </c>
      <c r="U103" s="45" t="s">
        <v>617</v>
      </c>
      <c r="V103" s="45" t="s">
        <v>569</v>
      </c>
      <c r="W103" s="45" cm="1">
        <f t="array" ref="W103">getDistance(R103,S103,I103,J103)*SA!$B$12</f>
        <v>762.14373098463625</v>
      </c>
      <c r="X103" s="22"/>
      <c r="Y103" s="16">
        <f>Transportation_LCIA!C$61*($W103^Transportation_LCIA!C$60)+Transportation_LCIA!C$62</f>
        <v>0.26715705922877148</v>
      </c>
      <c r="Z103" s="16">
        <f>Transportation_LCIA!D$61*($W103^Transportation_LCIA!D$60)+Transportation_LCIA!D$62</f>
        <v>2.7924242819575884</v>
      </c>
      <c r="AA103" s="16">
        <f>Transportation_LCIA!E$61*($W103^Transportation_LCIA!E$60)+Transportation_LCIA!E$62</f>
        <v>1.3859223127365909E-3</v>
      </c>
      <c r="AB103" s="16">
        <f>Transportation_LCIA!F$61*($W103^Transportation_LCIA!F$60)+Transportation_LCIA!F$62</f>
        <v>0.26715705922877148</v>
      </c>
      <c r="AC103" s="16">
        <f>Transportation_LCIA!G$61*($W103^Transportation_LCIA!G$60)+Transportation_LCIA!G$62</f>
        <v>6.5174111539131718E-2</v>
      </c>
      <c r="AD103" s="16">
        <f>Transportation_LCIA!H$61*($W103^Transportation_LCIA!H$60)+Transportation_LCIA!H$62</f>
        <v>3.3009468273267277E-4</v>
      </c>
      <c r="AE103" s="16">
        <f>Transportation_LCIA!I$61*($W103^Transportation_LCIA!I$60)+Transportation_LCIA!I$62</f>
        <v>7.2690458918611156E-6</v>
      </c>
      <c r="AF103" s="16">
        <f>Transportation_LCIA!J$61*($W103^Transportation_LCIA!J$60)+Transportation_LCIA!J$62</f>
        <v>1.0778083772794846E-2</v>
      </c>
      <c r="AG103" s="16">
        <f>Transportation_LCIA!K$61*($W103^Transportation_LCIA!K$60)+Transportation_LCIA!K$62</f>
        <v>1.404404741045014E-2</v>
      </c>
      <c r="AH103" s="16">
        <f>Transportation_LCIA!L$61*($W103^Transportation_LCIA!L$60)+Transportation_LCIA!L$62</f>
        <v>2.8895585132343143E-4</v>
      </c>
      <c r="AI103" s="16">
        <f>Transportation_LCIA!M$61*($W103^Transportation_LCIA!M$60)+Transportation_LCIA!M$62</f>
        <v>2.730284163617511E-4</v>
      </c>
      <c r="AJ103" s="16">
        <f>Transportation_LCIA!N$61*($W103^Transportation_LCIA!N$60)+Transportation_LCIA!N$62</f>
        <v>1.168973124544055E-3</v>
      </c>
      <c r="AK103" s="16">
        <f>Transportation_LCIA!O$61*($W103^Transportation_LCIA!O$60)+Transportation_LCIA!O$62</f>
        <v>6.8921370358073866E-5</v>
      </c>
      <c r="AL103" s="16">
        <f>Transportation_LCIA!P$61*($W103^Transportation_LCIA!P$60)+Transportation_LCIA!P$62</f>
        <v>3.3303629963256696E-8</v>
      </c>
      <c r="AM103" s="16">
        <f>Transportation_LCIA!Q$61*($W103^Transportation_LCIA!Q$60)+Transportation_LCIA!Q$62</f>
        <v>1.1415848600762142E-4</v>
      </c>
      <c r="AN103" s="16">
        <f>Transportation_LCIA!R$61*($W103^Transportation_LCIA!R$60)+Transportation_LCIA!R$62</f>
        <v>3.4942384575839313E-4</v>
      </c>
      <c r="AO103" s="16">
        <f>Transportation_LCIA!S$61*($W103^Transportation_LCIA!S$60)+Transportation_LCIA!S$62</f>
        <v>5.2162884195573146E-6</v>
      </c>
      <c r="AP103" s="16">
        <f>Transportation_LCIA!T$61*($W103^Transportation_LCIA!T$60)+Transportation_LCIA!T$62</f>
        <v>5.2162884195573146E-6</v>
      </c>
      <c r="AQ103" s="16">
        <f>Transportation_LCIA!U$61*($W103^Transportation_LCIA!U$60)+Transportation_LCIA!U$62</f>
        <v>7.53133915953268E-4</v>
      </c>
      <c r="AR103" s="16">
        <f>Transportation_LCIA!V$61*($W103^Transportation_LCIA!V$60)+Transportation_LCIA!V$62</f>
        <v>2.9695542383182229E-4</v>
      </c>
      <c r="AT103" s="16">
        <f>$W103*Y103+($L103)*Summary_LCIA!H$32</f>
        <v>210.69181087949934</v>
      </c>
      <c r="AU103" s="16">
        <f>$W103*Z103+($L103)*Summary_LCIA!Q$32</f>
        <v>2231.4879715148054</v>
      </c>
      <c r="AV103" s="16">
        <f>$W103*AA103+($L103)*Summary_LCIA!R$32</f>
        <v>1.1659807782839211</v>
      </c>
      <c r="AW103" s="16">
        <f>$W103*AB103+($L103)*Summary_LCIA!S$32</f>
        <v>210.59972017949934</v>
      </c>
      <c r="AX103" s="16">
        <f>$W103*AC103+($L103)*Summary_LCIA!T$32</f>
        <v>51.961807032042678</v>
      </c>
      <c r="AY103" s="16">
        <f>$W103*AD103+($L103)*Summary_LCIA!U$32</f>
        <v>0.62481778307606906</v>
      </c>
      <c r="AZ103" s="16">
        <f>$W103*AE103+($L103)*Summary_LCIA!V$32</f>
        <v>6.5351581917215736E-3</v>
      </c>
      <c r="BA103" s="16">
        <f>$W103*AF103+($L103)*Summary_LCIA!W$32</f>
        <v>9.8181397644628277</v>
      </c>
      <c r="BB103" s="16">
        <f>$W103*AG103+($L103)*Summary_LCIA!X$32</f>
        <v>11.178203991525589</v>
      </c>
      <c r="BC103" s="16">
        <f>$W103*AH103+($L103)*Summary_LCIA!Y$32</f>
        <v>0.54487686061748186</v>
      </c>
      <c r="BD103" s="16">
        <f>$W103*AI103+($L103)*Summary_LCIA!Z$32</f>
        <v>0.20894131842577168</v>
      </c>
      <c r="BE103" s="16">
        <f>$W103*AJ103+($L103)*Summary_LCIA!AA$32</f>
        <v>1.3775477985607738</v>
      </c>
      <c r="BF103" s="16">
        <f>$W103*AK103+($L103)*Summary_LCIA!AB$32</f>
        <v>5.2073308144276333E-2</v>
      </c>
      <c r="BG103" s="16">
        <f>$W103*AL103+($L103)*Summary_LCIA!AC$32</f>
        <v>2.6400650935528181E-5</v>
      </c>
      <c r="BH103" s="16">
        <f>$W103*AM103+($L103)*Summary_LCIA!AD$32</f>
        <v>9.5569192849405987E-2</v>
      </c>
      <c r="BI103" s="16">
        <f>$W103*AN103+($L103)*Summary_LCIA!AE$32</f>
        <v>0.28477371205130186</v>
      </c>
      <c r="BJ103" s="16">
        <f>$W103*AO103+($L103)*Summary_LCIA!AF$32</f>
        <v>2.1589887217973367E-2</v>
      </c>
      <c r="BK103" s="16">
        <f>$W103*AP103+($L103)*Summary_LCIA!AG$32</f>
        <v>5.0415842929733643E-3</v>
      </c>
      <c r="BL103" s="16">
        <f>$W103*AQ103+($L103)*Summary_LCIA!AH$32</f>
        <v>0.75533579863569322</v>
      </c>
      <c r="BM103" s="16">
        <f>$W103*AR103+($L103)*Summary_LCIA!AI$32</f>
        <v>0.24573155890530901</v>
      </c>
      <c r="BN103" s="16"/>
    </row>
    <row r="104" spans="1:66" x14ac:dyDescent="0.25">
      <c r="A104" s="159">
        <v>1</v>
      </c>
      <c r="B104" s="159">
        <v>6</v>
      </c>
      <c r="C104" s="45">
        <v>35.966994</v>
      </c>
      <c r="D104" s="45">
        <v>-84.250535999999997</v>
      </c>
      <c r="E104" s="45" t="s">
        <v>265</v>
      </c>
      <c r="F104" s="159">
        <v>91</v>
      </c>
      <c r="G104" s="45" t="s">
        <v>618</v>
      </c>
      <c r="H104" s="45" t="s">
        <v>619</v>
      </c>
      <c r="I104" s="45">
        <v>36.126317</v>
      </c>
      <c r="J104" s="45">
        <v>-86.677370999999994</v>
      </c>
      <c r="K104" s="45">
        <v>219.57908760000001</v>
      </c>
      <c r="L104" s="45">
        <v>260.76</v>
      </c>
      <c r="M104" s="45" t="s">
        <v>617</v>
      </c>
      <c r="N104" s="159">
        <v>5</v>
      </c>
      <c r="O104" s="159">
        <v>6</v>
      </c>
      <c r="P104" s="61" t="s">
        <v>565</v>
      </c>
      <c r="Q104" s="45" t="s">
        <v>564</v>
      </c>
      <c r="R104" s="45">
        <v>41.98028</v>
      </c>
      <c r="S104" s="45">
        <v>-87.908997900000003</v>
      </c>
      <c r="T104" s="45">
        <v>909.70600000000002</v>
      </c>
      <c r="U104" s="45" t="s">
        <v>617</v>
      </c>
      <c r="V104" s="45" t="s">
        <v>569</v>
      </c>
      <c r="W104" s="45" cm="1">
        <f t="array" ref="W104">getDistance(R104,S104,I104,J104)*SA!$B$12</f>
        <v>659.85331554628851</v>
      </c>
      <c r="X104" s="22"/>
      <c r="Y104" s="16">
        <f>Transportation_LCIA!C$61*($W104^Transportation_LCIA!C$60)+Transportation_LCIA!C$62</f>
        <v>0.28711034431731675</v>
      </c>
      <c r="Z104" s="16">
        <f>Transportation_LCIA!D$61*($W104^Transportation_LCIA!D$60)+Transportation_LCIA!D$62</f>
        <v>3.0287489507114906</v>
      </c>
      <c r="AA104" s="16">
        <f>Transportation_LCIA!E$61*($W104^Transportation_LCIA!E$60)+Transportation_LCIA!E$62</f>
        <v>1.541949627580878E-3</v>
      </c>
      <c r="AB104" s="16">
        <f>Transportation_LCIA!F$61*($W104^Transportation_LCIA!F$60)+Transportation_LCIA!F$62</f>
        <v>0.28711034431731675</v>
      </c>
      <c r="AC104" s="16">
        <f>Transportation_LCIA!G$61*($W104^Transportation_LCIA!G$60)+Transportation_LCIA!G$62</f>
        <v>7.0636946621656566E-2</v>
      </c>
      <c r="AD104" s="16">
        <f>Transportation_LCIA!H$61*($W104^Transportation_LCIA!H$60)+Transportation_LCIA!H$62</f>
        <v>3.6468473830708392E-4</v>
      </c>
      <c r="AE104" s="16">
        <f>Transportation_LCIA!I$61*($W104^Transportation_LCIA!I$60)+Transportation_LCIA!I$62</f>
        <v>8.1513931789510452E-6</v>
      </c>
      <c r="AF104" s="16">
        <f>Transportation_LCIA!J$61*($W104^Transportation_LCIA!J$60)+Transportation_LCIA!J$62</f>
        <v>1.2103537939984348E-2</v>
      </c>
      <c r="AG104" s="16">
        <f>Transportation_LCIA!K$61*($W104^Transportation_LCIA!K$60)+Transportation_LCIA!K$62</f>
        <v>1.5328817431613843E-2</v>
      </c>
      <c r="AH104" s="16">
        <f>Transportation_LCIA!L$61*($W104^Transportation_LCIA!L$60)+Transportation_LCIA!L$62</f>
        <v>3.2087577902119551E-4</v>
      </c>
      <c r="AI104" s="16">
        <f>Transportation_LCIA!M$61*($W104^Transportation_LCIA!M$60)+Transportation_LCIA!M$62</f>
        <v>2.9212689587987547E-4</v>
      </c>
      <c r="AJ104" s="16">
        <f>Transportation_LCIA!N$61*($W104^Transportation_LCIA!N$60)+Transportation_LCIA!N$62</f>
        <v>1.2851484558381739E-3</v>
      </c>
      <c r="AK104" s="16">
        <f>Transportation_LCIA!O$61*($W104^Transportation_LCIA!O$60)+Transportation_LCIA!O$62</f>
        <v>7.4728695290617527E-5</v>
      </c>
      <c r="AL104" s="16">
        <f>Transportation_LCIA!P$61*($W104^Transportation_LCIA!P$60)+Transportation_LCIA!P$62</f>
        <v>3.6092660039250887E-8</v>
      </c>
      <c r="AM104" s="16">
        <f>Transportation_LCIA!Q$61*($W104^Transportation_LCIA!Q$60)+Transportation_LCIA!Q$62</f>
        <v>1.266645357867947E-4</v>
      </c>
      <c r="AN104" s="16">
        <f>Transportation_LCIA!R$61*($W104^Transportation_LCIA!R$60)+Transportation_LCIA!R$62</f>
        <v>3.9174853387192332E-4</v>
      </c>
      <c r="AO104" s="16">
        <f>Transportation_LCIA!S$61*($W104^Transportation_LCIA!S$60)+Transportation_LCIA!S$62</f>
        <v>5.816609944944966E-6</v>
      </c>
      <c r="AP104" s="16">
        <f>Transportation_LCIA!T$61*($W104^Transportation_LCIA!T$60)+Transportation_LCIA!T$62</f>
        <v>5.816609944944966E-6</v>
      </c>
      <c r="AQ104" s="16">
        <f>Transportation_LCIA!U$61*($W104^Transportation_LCIA!U$60)+Transportation_LCIA!U$62</f>
        <v>8.4618583701267559E-4</v>
      </c>
      <c r="AR104" s="16">
        <f>Transportation_LCIA!V$61*($W104^Transportation_LCIA!V$60)+Transportation_LCIA!V$62</f>
        <v>3.2957499967912188E-4</v>
      </c>
      <c r="AT104" s="16">
        <f>$W104*Y104+($L104)*Summary_LCIA!H$32</f>
        <v>278.05696062541796</v>
      </c>
      <c r="AU104" s="16">
        <f>$W104*Z104+($L104)*Summary_LCIA!Q$32</f>
        <v>3290.8697479933994</v>
      </c>
      <c r="AV104" s="16">
        <f>$W104*AA104+($L104)*Summary_LCIA!R$32</f>
        <v>2.3905184301646072</v>
      </c>
      <c r="AW104" s="16">
        <f>$W104*AB104+($L104)*Summary_LCIA!S$32</f>
        <v>276.90440142541797</v>
      </c>
      <c r="AX104" s="16">
        <f>$W104*AC104+($L104)*Summary_LCIA!T$32</f>
        <v>75.267547428366285</v>
      </c>
      <c r="AY104" s="16">
        <f>$W104*AD104+($L104)*Summary_LCIA!U$32</f>
        <v>4.9118930737010595</v>
      </c>
      <c r="AZ104" s="16">
        <f>$W104*AE104+($L104)*Summary_LCIA!V$32</f>
        <v>1.7832882175452244E-2</v>
      </c>
      <c r="BA104" s="16">
        <f>$W104*AF104+($L104)*Summary_LCIA!W$32</f>
        <v>28.057517599538965</v>
      </c>
      <c r="BB104" s="16">
        <f>$W104*AG104+($L104)*Summary_LCIA!X$32</f>
        <v>16.054883805654139</v>
      </c>
      <c r="BC104" s="16">
        <f>$W104*AH104+($L104)*Summary_LCIA!Y$32</f>
        <v>4.2748932666656341</v>
      </c>
      <c r="BD104" s="16">
        <f>$W104*AI104+($L104)*Summary_LCIA!Z$32</f>
        <v>0.20345440764658124</v>
      </c>
      <c r="BE104" s="16">
        <f>$W104*AJ104+($L104)*Summary_LCIA!AA$32</f>
        <v>6.9383200295540108</v>
      </c>
      <c r="BF104" s="16">
        <f>$W104*AK104+($L104)*Summary_LCIA!AB$32</f>
        <v>4.3619411873962295E-2</v>
      </c>
      <c r="BG104" s="16">
        <f>$W104*AL104+($L104)*Summary_LCIA!AC$32</f>
        <v>3.6562853233784732E-5</v>
      </c>
      <c r="BH104" s="16">
        <f>$W104*AM104+($L104)*Summary_LCIA!AD$32</f>
        <v>0.19076280430104797</v>
      </c>
      <c r="BI104" s="16">
        <f>$W104*AN104+($L104)*Summary_LCIA!AE$32</f>
        <v>0.48956382773578611</v>
      </c>
      <c r="BJ104" s="16">
        <f>$W104*AO104+($L104)*Summary_LCIA!AF$32</f>
        <v>0.22428982855741145</v>
      </c>
      <c r="BK104" s="16">
        <f>$W104*AP104+($L104)*Summary_LCIA!AG$32</f>
        <v>1.7179894757411451E-2</v>
      </c>
      <c r="BL104" s="16">
        <f>$W104*AQ104+($L104)*Summary_LCIA!AH$32</f>
        <v>2.8279092661211256</v>
      </c>
      <c r="BM104" s="16">
        <f>$W104*AR104+($L104)*Summary_LCIA!AI$32</f>
        <v>0.46038213425943553</v>
      </c>
      <c r="BN104" s="16"/>
    </row>
    <row r="105" spans="1:66" x14ac:dyDescent="0.25">
      <c r="A105" s="159">
        <v>2</v>
      </c>
      <c r="B105" s="159">
        <v>6</v>
      </c>
      <c r="C105" s="45">
        <v>35.966994</v>
      </c>
      <c r="D105" s="45">
        <v>-84.250535999999997</v>
      </c>
      <c r="E105" s="45" t="s">
        <v>265</v>
      </c>
      <c r="F105" s="159">
        <v>91</v>
      </c>
      <c r="G105" s="45" t="s">
        <v>618</v>
      </c>
      <c r="H105" s="45" t="s">
        <v>619</v>
      </c>
      <c r="I105" s="45">
        <v>36.126317</v>
      </c>
      <c r="J105" s="45">
        <v>-86.677370999999994</v>
      </c>
      <c r="K105" s="45">
        <v>219.57908760000001</v>
      </c>
      <c r="L105" s="45">
        <v>260.76</v>
      </c>
      <c r="M105" s="45" t="s">
        <v>617</v>
      </c>
      <c r="N105" s="159">
        <v>5</v>
      </c>
      <c r="O105" s="159">
        <v>6</v>
      </c>
      <c r="P105" s="61" t="s">
        <v>565</v>
      </c>
      <c r="Q105" s="45" t="s">
        <v>564</v>
      </c>
      <c r="R105" s="45">
        <v>41.98028</v>
      </c>
      <c r="S105" s="45">
        <v>-87.908997900000003</v>
      </c>
      <c r="T105" s="45">
        <v>909.70600000000002</v>
      </c>
      <c r="U105" s="45" t="s">
        <v>617</v>
      </c>
      <c r="V105" s="45" t="s">
        <v>569</v>
      </c>
      <c r="W105" s="45" cm="1">
        <f t="array" ref="W105">getDistance(R105,S105,I105,J105)*SA!$B$12</f>
        <v>659.85331554628851</v>
      </c>
      <c r="X105" s="22"/>
      <c r="Y105" s="16">
        <f>Transportation_LCIA!C$61*($W105^Transportation_LCIA!C$60)+Transportation_LCIA!C$62</f>
        <v>0.28711034431731675</v>
      </c>
      <c r="Z105" s="16">
        <f>Transportation_LCIA!D$61*($W105^Transportation_LCIA!D$60)+Transportation_LCIA!D$62</f>
        <v>3.0287489507114906</v>
      </c>
      <c r="AA105" s="16">
        <f>Transportation_LCIA!E$61*($W105^Transportation_LCIA!E$60)+Transportation_LCIA!E$62</f>
        <v>1.541949627580878E-3</v>
      </c>
      <c r="AB105" s="16">
        <f>Transportation_LCIA!F$61*($W105^Transportation_LCIA!F$60)+Transportation_LCIA!F$62</f>
        <v>0.28711034431731675</v>
      </c>
      <c r="AC105" s="16">
        <f>Transportation_LCIA!G$61*($W105^Transportation_LCIA!G$60)+Transportation_LCIA!G$62</f>
        <v>7.0636946621656566E-2</v>
      </c>
      <c r="AD105" s="16">
        <f>Transportation_LCIA!H$61*($W105^Transportation_LCIA!H$60)+Transportation_LCIA!H$62</f>
        <v>3.6468473830708392E-4</v>
      </c>
      <c r="AE105" s="16">
        <f>Transportation_LCIA!I$61*($W105^Transportation_LCIA!I$60)+Transportation_LCIA!I$62</f>
        <v>8.1513931789510452E-6</v>
      </c>
      <c r="AF105" s="16">
        <f>Transportation_LCIA!J$61*($W105^Transportation_LCIA!J$60)+Transportation_LCIA!J$62</f>
        <v>1.2103537939984348E-2</v>
      </c>
      <c r="AG105" s="16">
        <f>Transportation_LCIA!K$61*($W105^Transportation_LCIA!K$60)+Transportation_LCIA!K$62</f>
        <v>1.5328817431613843E-2</v>
      </c>
      <c r="AH105" s="16">
        <f>Transportation_LCIA!L$61*($W105^Transportation_LCIA!L$60)+Transportation_LCIA!L$62</f>
        <v>3.2087577902119551E-4</v>
      </c>
      <c r="AI105" s="16">
        <f>Transportation_LCIA!M$61*($W105^Transportation_LCIA!M$60)+Transportation_LCIA!M$62</f>
        <v>2.9212689587987547E-4</v>
      </c>
      <c r="AJ105" s="16">
        <f>Transportation_LCIA!N$61*($W105^Transportation_LCIA!N$60)+Transportation_LCIA!N$62</f>
        <v>1.2851484558381739E-3</v>
      </c>
      <c r="AK105" s="16">
        <f>Transportation_LCIA!O$61*($W105^Transportation_LCIA!O$60)+Transportation_LCIA!O$62</f>
        <v>7.4728695290617527E-5</v>
      </c>
      <c r="AL105" s="16">
        <f>Transportation_LCIA!P$61*($W105^Transportation_LCIA!P$60)+Transportation_LCIA!P$62</f>
        <v>3.6092660039250887E-8</v>
      </c>
      <c r="AM105" s="16">
        <f>Transportation_LCIA!Q$61*($W105^Transportation_LCIA!Q$60)+Transportation_LCIA!Q$62</f>
        <v>1.266645357867947E-4</v>
      </c>
      <c r="AN105" s="16">
        <f>Transportation_LCIA!R$61*($W105^Transportation_LCIA!R$60)+Transportation_LCIA!R$62</f>
        <v>3.9174853387192332E-4</v>
      </c>
      <c r="AO105" s="16">
        <f>Transportation_LCIA!S$61*($W105^Transportation_LCIA!S$60)+Transportation_LCIA!S$62</f>
        <v>5.816609944944966E-6</v>
      </c>
      <c r="AP105" s="16">
        <f>Transportation_LCIA!T$61*($W105^Transportation_LCIA!T$60)+Transportation_LCIA!T$62</f>
        <v>5.816609944944966E-6</v>
      </c>
      <c r="AQ105" s="16">
        <f>Transportation_LCIA!U$61*($W105^Transportation_LCIA!U$60)+Transportation_LCIA!U$62</f>
        <v>8.4618583701267559E-4</v>
      </c>
      <c r="AR105" s="16">
        <f>Transportation_LCIA!V$61*($W105^Transportation_LCIA!V$60)+Transportation_LCIA!V$62</f>
        <v>3.2957499967912188E-4</v>
      </c>
      <c r="AT105" s="16">
        <f>$W105*Y105+($L105)*Summary_LCIA!H$32</f>
        <v>278.05696062541796</v>
      </c>
      <c r="AU105" s="16">
        <f>$W105*Z105+($L105)*Summary_LCIA!Q$32</f>
        <v>3290.8697479933994</v>
      </c>
      <c r="AV105" s="16">
        <f>$W105*AA105+($L105)*Summary_LCIA!R$32</f>
        <v>2.3905184301646072</v>
      </c>
      <c r="AW105" s="16">
        <f>$W105*AB105+($L105)*Summary_LCIA!S$32</f>
        <v>276.90440142541797</v>
      </c>
      <c r="AX105" s="16">
        <f>$W105*AC105+($L105)*Summary_LCIA!T$32</f>
        <v>75.267547428366285</v>
      </c>
      <c r="AY105" s="16">
        <f>$W105*AD105+($L105)*Summary_LCIA!U$32</f>
        <v>4.9118930737010595</v>
      </c>
      <c r="AZ105" s="16">
        <f>$W105*AE105+($L105)*Summary_LCIA!V$32</f>
        <v>1.7832882175452244E-2</v>
      </c>
      <c r="BA105" s="16">
        <f>$W105*AF105+($L105)*Summary_LCIA!W$32</f>
        <v>28.057517599538965</v>
      </c>
      <c r="BB105" s="16">
        <f>$W105*AG105+($L105)*Summary_LCIA!X$32</f>
        <v>16.054883805654139</v>
      </c>
      <c r="BC105" s="16">
        <f>$W105*AH105+($L105)*Summary_LCIA!Y$32</f>
        <v>4.2748932666656341</v>
      </c>
      <c r="BD105" s="16">
        <f>$W105*AI105+($L105)*Summary_LCIA!Z$32</f>
        <v>0.20345440764658124</v>
      </c>
      <c r="BE105" s="16">
        <f>$W105*AJ105+($L105)*Summary_LCIA!AA$32</f>
        <v>6.9383200295540108</v>
      </c>
      <c r="BF105" s="16">
        <f>$W105*AK105+($L105)*Summary_LCIA!AB$32</f>
        <v>4.3619411873962295E-2</v>
      </c>
      <c r="BG105" s="16">
        <f>$W105*AL105+($L105)*Summary_LCIA!AC$32</f>
        <v>3.6562853233784732E-5</v>
      </c>
      <c r="BH105" s="16">
        <f>$W105*AM105+($L105)*Summary_LCIA!AD$32</f>
        <v>0.19076280430104797</v>
      </c>
      <c r="BI105" s="16">
        <f>$W105*AN105+($L105)*Summary_LCIA!AE$32</f>
        <v>0.48956382773578611</v>
      </c>
      <c r="BJ105" s="16">
        <f>$W105*AO105+($L105)*Summary_LCIA!AF$32</f>
        <v>0.22428982855741145</v>
      </c>
      <c r="BK105" s="16">
        <f>$W105*AP105+($L105)*Summary_LCIA!AG$32</f>
        <v>1.7179894757411451E-2</v>
      </c>
      <c r="BL105" s="16">
        <f>$W105*AQ105+($L105)*Summary_LCIA!AH$32</f>
        <v>2.8279092661211256</v>
      </c>
      <c r="BM105" s="16">
        <f>$W105*AR105+($L105)*Summary_LCIA!AI$32</f>
        <v>0.46038213425943553</v>
      </c>
      <c r="BN105" s="16"/>
    </row>
    <row r="106" spans="1:66" x14ac:dyDescent="0.25">
      <c r="A106" s="159">
        <v>352</v>
      </c>
      <c r="B106" s="159">
        <v>6</v>
      </c>
      <c r="C106" s="45">
        <v>40.793394999999997</v>
      </c>
      <c r="D106" s="45">
        <v>-77.860000999999997</v>
      </c>
      <c r="E106" s="45" t="s">
        <v>265</v>
      </c>
      <c r="F106" s="159">
        <v>106</v>
      </c>
      <c r="G106" s="45" t="s">
        <v>266</v>
      </c>
      <c r="H106" s="45" t="s">
        <v>669</v>
      </c>
      <c r="I106" s="45">
        <v>40.491920999999998</v>
      </c>
      <c r="J106" s="45">
        <v>-80.235223000000005</v>
      </c>
      <c r="K106" s="45">
        <v>212.3657571</v>
      </c>
      <c r="L106" s="45">
        <v>245.108</v>
      </c>
      <c r="M106" s="45" t="s">
        <v>617</v>
      </c>
      <c r="N106" s="159">
        <v>5</v>
      </c>
      <c r="O106" s="159">
        <v>6</v>
      </c>
      <c r="P106" s="61" t="s">
        <v>565</v>
      </c>
      <c r="Q106" s="45" t="s">
        <v>564</v>
      </c>
      <c r="R106" s="45">
        <v>41.98028</v>
      </c>
      <c r="S106" s="45">
        <v>-87.908997900000003</v>
      </c>
      <c r="T106" s="45">
        <v>938.73</v>
      </c>
      <c r="U106" s="45" t="s">
        <v>617</v>
      </c>
      <c r="V106" s="45" t="s">
        <v>569</v>
      </c>
      <c r="W106" s="45" cm="1">
        <f t="array" ref="W106">getDistance(R106,S106,I106,J106)*SA!$B$12</f>
        <v>664.03976858093529</v>
      </c>
      <c r="X106" s="22"/>
      <c r="Y106" s="16">
        <f>Transportation_LCIA!C$61*($W106^Transportation_LCIA!C$60)+Transportation_LCIA!C$62</f>
        <v>0.28618318016419964</v>
      </c>
      <c r="Z106" s="16">
        <f>Transportation_LCIA!D$61*($W106^Transportation_LCIA!D$60)+Transportation_LCIA!D$62</f>
        <v>3.0177355282535454</v>
      </c>
      <c r="AA106" s="16">
        <f>Transportation_LCIA!E$61*($W106^Transportation_LCIA!E$60)+Transportation_LCIA!E$62</f>
        <v>1.5346723185627621E-3</v>
      </c>
      <c r="AB106" s="16">
        <f>Transportation_LCIA!F$61*($W106^Transportation_LCIA!F$60)+Transportation_LCIA!F$62</f>
        <v>0.28618318016419964</v>
      </c>
      <c r="AC106" s="16">
        <f>Transportation_LCIA!G$61*($W106^Transportation_LCIA!G$60)+Transportation_LCIA!G$62</f>
        <v>7.0382405916778926E-2</v>
      </c>
      <c r="AD106" s="16">
        <f>Transportation_LCIA!H$61*($W106^Transportation_LCIA!H$60)+Transportation_LCIA!H$62</f>
        <v>3.6306879462450609E-4</v>
      </c>
      <c r="AE106" s="16">
        <f>Transportation_LCIA!I$61*($W106^Transportation_LCIA!I$60)+Transportation_LCIA!I$62</f>
        <v>8.1100647661309928E-6</v>
      </c>
      <c r="AF106" s="16">
        <f>Transportation_LCIA!J$61*($W106^Transportation_LCIA!J$60)+Transportation_LCIA!J$62</f>
        <v>1.2041348839796951E-2</v>
      </c>
      <c r="AG106" s="16">
        <f>Transportation_LCIA!K$61*($W106^Transportation_LCIA!K$60)+Transportation_LCIA!K$62</f>
        <v>1.5268865092569082E-2</v>
      </c>
      <c r="AH106" s="16">
        <f>Transportation_LCIA!L$61*($W106^Transportation_LCIA!L$60)+Transportation_LCIA!L$62</f>
        <v>3.193834659249564E-4</v>
      </c>
      <c r="AI106" s="16">
        <f>Transportation_LCIA!M$61*($W106^Transportation_LCIA!M$60)+Transportation_LCIA!M$62</f>
        <v>2.9123459332568592E-4</v>
      </c>
      <c r="AJ106" s="16">
        <f>Transportation_LCIA!N$61*($W106^Transportation_LCIA!N$60)+Transportation_LCIA!N$62</f>
        <v>1.2797222196284355E-3</v>
      </c>
      <c r="AK106" s="16">
        <f>Transportation_LCIA!O$61*($W106^Transportation_LCIA!O$60)+Transportation_LCIA!O$62</f>
        <v>7.4458081336171384E-5</v>
      </c>
      <c r="AL106" s="16">
        <f>Transportation_LCIA!P$61*($W106^Transportation_LCIA!P$60)+Transportation_LCIA!P$62</f>
        <v>3.5962723058234319E-8</v>
      </c>
      <c r="AM106" s="16">
        <f>Transportation_LCIA!Q$61*($W106^Transportation_LCIA!Q$60)+Transportation_LCIA!Q$62</f>
        <v>1.2607962162909455E-4</v>
      </c>
      <c r="AN106" s="16">
        <f>Transportation_LCIA!R$61*($W106^Transportation_LCIA!R$60)+Transportation_LCIA!R$62</f>
        <v>3.8976595565047854E-4</v>
      </c>
      <c r="AO106" s="16">
        <f>Transportation_LCIA!S$61*($W106^Transportation_LCIA!S$60)+Transportation_LCIA!S$62</f>
        <v>5.7884928967616082E-6</v>
      </c>
      <c r="AP106" s="16">
        <f>Transportation_LCIA!T$61*($W106^Transportation_LCIA!T$60)+Transportation_LCIA!T$62</f>
        <v>5.7884928967616082E-6</v>
      </c>
      <c r="AQ106" s="16">
        <f>Transportation_LCIA!U$61*($W106^Transportation_LCIA!U$60)+Transportation_LCIA!U$62</f>
        <v>8.418249291876381E-4</v>
      </c>
      <c r="AR106" s="16">
        <f>Transportation_LCIA!V$61*($W106^Transportation_LCIA!V$60)+Transportation_LCIA!V$62</f>
        <v>3.2804857778078551E-4</v>
      </c>
      <c r="AT106" s="16">
        <f>$W106*Y106+($L106)*Summary_LCIA!H$32</f>
        <v>273.32471112799124</v>
      </c>
      <c r="AU106" s="16">
        <f>$W106*Z106+($L106)*Summary_LCIA!Q$32</f>
        <v>3218.6640113517151</v>
      </c>
      <c r="AV106" s="16">
        <f>$W106*AA106+($L106)*Summary_LCIA!R$32</f>
        <v>2.3097241360659835</v>
      </c>
      <c r="AW106" s="16">
        <f>$W106*AB106+($L106)*Summary_LCIA!S$32</f>
        <v>272.24133376799125</v>
      </c>
      <c r="AX106" s="16">
        <f>$W106*AC106+($L106)*Summary_LCIA!T$32</f>
        <v>73.674085737147323</v>
      </c>
      <c r="AY106" s="16">
        <f>$W106*AD106+($L106)*Summary_LCIA!U$32</f>
        <v>4.6319568303614158</v>
      </c>
      <c r="AZ106" s="16">
        <f>$W106*AE106+($L106)*Summary_LCIA!V$32</f>
        <v>1.7092008718478022E-2</v>
      </c>
      <c r="BA106" s="16">
        <f>$W106*AF106+($L106)*Summary_LCIA!W$32</f>
        <v>26.862142364981082</v>
      </c>
      <c r="BB106" s="16">
        <f>$W106*AG106+($L106)*Summary_LCIA!X$32</f>
        <v>15.722693882563094</v>
      </c>
      <c r="BC106" s="16">
        <f>$W106*AH106+($L106)*Summary_LCIA!Y$32</f>
        <v>4.031356178801385</v>
      </c>
      <c r="BD106" s="16">
        <f>$W106*AI106+($L106)*Summary_LCIA!Z$32</f>
        <v>0.20344298592675128</v>
      </c>
      <c r="BE106" s="16">
        <f>$W106*AJ106+($L106)*Summary_LCIA!AA$32</f>
        <v>6.5745288945699469</v>
      </c>
      <c r="BF106" s="16">
        <f>$W106*AK106+($L106)*Summary_LCIA!AB$32</f>
        <v>4.4094135215451698E-2</v>
      </c>
      <c r="BG106" s="16">
        <f>$W106*AL106+($L106)*Summary_LCIA!AC$32</f>
        <v>3.5862537769130187E-5</v>
      </c>
      <c r="BH106" s="16">
        <f>$W106*AM106+($L106)*Summary_LCIA!AD$32</f>
        <v>0.18447107508935584</v>
      </c>
      <c r="BI106" s="16">
        <f>$W106*AN106+($L106)*Summary_LCIA!AE$32</f>
        <v>0.47601764703087091</v>
      </c>
      <c r="BJ106" s="16">
        <f>$W106*AO106+($L106)*Summary_LCIA!AF$32</f>
        <v>0.21106299484359797</v>
      </c>
      <c r="BK106" s="16">
        <f>$W106*AP106+($L106)*Summary_LCIA!AG$32</f>
        <v>1.6384740303597968E-2</v>
      </c>
      <c r="BL106" s="16">
        <f>$W106*AQ106+($L106)*Summary_LCIA!AH$32</f>
        <v>2.6923272199634214</v>
      </c>
      <c r="BM106" s="16">
        <f>$W106*AR106+($L106)*Summary_LCIA!AI$32</f>
        <v>0.44616765907285771</v>
      </c>
      <c r="BN106" s="16"/>
    </row>
    <row r="107" spans="1:66" x14ac:dyDescent="0.25">
      <c r="A107" s="159">
        <v>353</v>
      </c>
      <c r="B107" s="159">
        <v>6</v>
      </c>
      <c r="C107" s="45">
        <v>40.793394999999997</v>
      </c>
      <c r="D107" s="45">
        <v>-77.860000999999997</v>
      </c>
      <c r="E107" s="45" t="s">
        <v>265</v>
      </c>
      <c r="F107" s="159">
        <v>106</v>
      </c>
      <c r="G107" s="45" t="s">
        <v>266</v>
      </c>
      <c r="H107" s="45" t="s">
        <v>669</v>
      </c>
      <c r="I107" s="45">
        <v>40.491920999999998</v>
      </c>
      <c r="J107" s="45">
        <v>-80.235223000000005</v>
      </c>
      <c r="K107" s="45">
        <v>212.3657571</v>
      </c>
      <c r="L107" s="45">
        <v>245.108</v>
      </c>
      <c r="M107" s="45" t="s">
        <v>617</v>
      </c>
      <c r="N107" s="159">
        <v>5</v>
      </c>
      <c r="O107" s="159">
        <v>6</v>
      </c>
      <c r="P107" s="61" t="s">
        <v>565</v>
      </c>
      <c r="Q107" s="45" t="s">
        <v>564</v>
      </c>
      <c r="R107" s="45">
        <v>41.98028</v>
      </c>
      <c r="S107" s="45">
        <v>-87.908997900000003</v>
      </c>
      <c r="T107" s="45">
        <v>938.73</v>
      </c>
      <c r="U107" s="45" t="s">
        <v>617</v>
      </c>
      <c r="V107" s="45" t="s">
        <v>569</v>
      </c>
      <c r="W107" s="45" cm="1">
        <f t="array" ref="W107">getDistance(R107,S107,I107,J107)*SA!$B$12</f>
        <v>664.03976858093529</v>
      </c>
      <c r="X107" s="22"/>
      <c r="Y107" s="16">
        <f>Transportation_LCIA!C$61*($W107^Transportation_LCIA!C$60)+Transportation_LCIA!C$62</f>
        <v>0.28618318016419964</v>
      </c>
      <c r="Z107" s="16">
        <f>Transportation_LCIA!D$61*($W107^Transportation_LCIA!D$60)+Transportation_LCIA!D$62</f>
        <v>3.0177355282535454</v>
      </c>
      <c r="AA107" s="16">
        <f>Transportation_LCIA!E$61*($W107^Transportation_LCIA!E$60)+Transportation_LCIA!E$62</f>
        <v>1.5346723185627621E-3</v>
      </c>
      <c r="AB107" s="16">
        <f>Transportation_LCIA!F$61*($W107^Transportation_LCIA!F$60)+Transportation_LCIA!F$62</f>
        <v>0.28618318016419964</v>
      </c>
      <c r="AC107" s="16">
        <f>Transportation_LCIA!G$61*($W107^Transportation_LCIA!G$60)+Transportation_LCIA!G$62</f>
        <v>7.0382405916778926E-2</v>
      </c>
      <c r="AD107" s="16">
        <f>Transportation_LCIA!H$61*($W107^Transportation_LCIA!H$60)+Transportation_LCIA!H$62</f>
        <v>3.6306879462450609E-4</v>
      </c>
      <c r="AE107" s="16">
        <f>Transportation_LCIA!I$61*($W107^Transportation_LCIA!I$60)+Transportation_LCIA!I$62</f>
        <v>8.1100647661309928E-6</v>
      </c>
      <c r="AF107" s="16">
        <f>Transportation_LCIA!J$61*($W107^Transportation_LCIA!J$60)+Transportation_LCIA!J$62</f>
        <v>1.2041348839796951E-2</v>
      </c>
      <c r="AG107" s="16">
        <f>Transportation_LCIA!K$61*($W107^Transportation_LCIA!K$60)+Transportation_LCIA!K$62</f>
        <v>1.5268865092569082E-2</v>
      </c>
      <c r="AH107" s="16">
        <f>Transportation_LCIA!L$61*($W107^Transportation_LCIA!L$60)+Transportation_LCIA!L$62</f>
        <v>3.193834659249564E-4</v>
      </c>
      <c r="AI107" s="16">
        <f>Transportation_LCIA!M$61*($W107^Transportation_LCIA!M$60)+Transportation_LCIA!M$62</f>
        <v>2.9123459332568592E-4</v>
      </c>
      <c r="AJ107" s="16">
        <f>Transportation_LCIA!N$61*($W107^Transportation_LCIA!N$60)+Transportation_LCIA!N$62</f>
        <v>1.2797222196284355E-3</v>
      </c>
      <c r="AK107" s="16">
        <f>Transportation_LCIA!O$61*($W107^Transportation_LCIA!O$60)+Transportation_LCIA!O$62</f>
        <v>7.4458081336171384E-5</v>
      </c>
      <c r="AL107" s="16">
        <f>Transportation_LCIA!P$61*($W107^Transportation_LCIA!P$60)+Transportation_LCIA!P$62</f>
        <v>3.5962723058234319E-8</v>
      </c>
      <c r="AM107" s="16">
        <f>Transportation_LCIA!Q$61*($W107^Transportation_LCIA!Q$60)+Transportation_LCIA!Q$62</f>
        <v>1.2607962162909455E-4</v>
      </c>
      <c r="AN107" s="16">
        <f>Transportation_LCIA!R$61*($W107^Transportation_LCIA!R$60)+Transportation_LCIA!R$62</f>
        <v>3.8976595565047854E-4</v>
      </c>
      <c r="AO107" s="16">
        <f>Transportation_LCIA!S$61*($W107^Transportation_LCIA!S$60)+Transportation_LCIA!S$62</f>
        <v>5.7884928967616082E-6</v>
      </c>
      <c r="AP107" s="16">
        <f>Transportation_LCIA!T$61*($W107^Transportation_LCIA!T$60)+Transportation_LCIA!T$62</f>
        <v>5.7884928967616082E-6</v>
      </c>
      <c r="AQ107" s="16">
        <f>Transportation_LCIA!U$61*($W107^Transportation_LCIA!U$60)+Transportation_LCIA!U$62</f>
        <v>8.418249291876381E-4</v>
      </c>
      <c r="AR107" s="16">
        <f>Transportation_LCIA!V$61*($W107^Transportation_LCIA!V$60)+Transportation_LCIA!V$62</f>
        <v>3.2804857778078551E-4</v>
      </c>
      <c r="AT107" s="16">
        <f>$W107*Y107+($L107)*Summary_LCIA!H$32</f>
        <v>273.32471112799124</v>
      </c>
      <c r="AU107" s="16">
        <f>$W107*Z107+($L107)*Summary_LCIA!Q$32</f>
        <v>3218.6640113517151</v>
      </c>
      <c r="AV107" s="16">
        <f>$W107*AA107+($L107)*Summary_LCIA!R$32</f>
        <v>2.3097241360659835</v>
      </c>
      <c r="AW107" s="16">
        <f>$W107*AB107+($L107)*Summary_LCIA!S$32</f>
        <v>272.24133376799125</v>
      </c>
      <c r="AX107" s="16">
        <f>$W107*AC107+($L107)*Summary_LCIA!T$32</f>
        <v>73.674085737147323</v>
      </c>
      <c r="AY107" s="16">
        <f>$W107*AD107+($L107)*Summary_LCIA!U$32</f>
        <v>4.6319568303614158</v>
      </c>
      <c r="AZ107" s="16">
        <f>$W107*AE107+($L107)*Summary_LCIA!V$32</f>
        <v>1.7092008718478022E-2</v>
      </c>
      <c r="BA107" s="16">
        <f>$W107*AF107+($L107)*Summary_LCIA!W$32</f>
        <v>26.862142364981082</v>
      </c>
      <c r="BB107" s="16">
        <f>$W107*AG107+($L107)*Summary_LCIA!X$32</f>
        <v>15.722693882563094</v>
      </c>
      <c r="BC107" s="16">
        <f>$W107*AH107+($L107)*Summary_LCIA!Y$32</f>
        <v>4.031356178801385</v>
      </c>
      <c r="BD107" s="16">
        <f>$W107*AI107+($L107)*Summary_LCIA!Z$32</f>
        <v>0.20344298592675128</v>
      </c>
      <c r="BE107" s="16">
        <f>$W107*AJ107+($L107)*Summary_LCIA!AA$32</f>
        <v>6.5745288945699469</v>
      </c>
      <c r="BF107" s="16">
        <f>$W107*AK107+($L107)*Summary_LCIA!AB$32</f>
        <v>4.4094135215451698E-2</v>
      </c>
      <c r="BG107" s="16">
        <f>$W107*AL107+($L107)*Summary_LCIA!AC$32</f>
        <v>3.5862537769130187E-5</v>
      </c>
      <c r="BH107" s="16">
        <f>$W107*AM107+($L107)*Summary_LCIA!AD$32</f>
        <v>0.18447107508935584</v>
      </c>
      <c r="BI107" s="16">
        <f>$W107*AN107+($L107)*Summary_LCIA!AE$32</f>
        <v>0.47601764703087091</v>
      </c>
      <c r="BJ107" s="16">
        <f>$W107*AO107+($L107)*Summary_LCIA!AF$32</f>
        <v>0.21106299484359797</v>
      </c>
      <c r="BK107" s="16">
        <f>$W107*AP107+($L107)*Summary_LCIA!AG$32</f>
        <v>1.6384740303597968E-2</v>
      </c>
      <c r="BL107" s="16">
        <f>$W107*AQ107+($L107)*Summary_LCIA!AH$32</f>
        <v>2.6923272199634214</v>
      </c>
      <c r="BM107" s="16">
        <f>$W107*AR107+($L107)*Summary_LCIA!AI$32</f>
        <v>0.44616765907285771</v>
      </c>
      <c r="BN107" s="16"/>
    </row>
    <row r="108" spans="1:66" x14ac:dyDescent="0.25">
      <c r="A108" s="159">
        <v>354</v>
      </c>
      <c r="B108" s="159">
        <v>6</v>
      </c>
      <c r="C108" s="45">
        <v>40.793394999999997</v>
      </c>
      <c r="D108" s="45">
        <v>-77.860000999999997</v>
      </c>
      <c r="E108" s="45" t="s">
        <v>265</v>
      </c>
      <c r="F108" s="159">
        <v>106</v>
      </c>
      <c r="G108" s="45" t="s">
        <v>266</v>
      </c>
      <c r="H108" s="45" t="s">
        <v>669</v>
      </c>
      <c r="I108" s="45">
        <v>40.491920999999998</v>
      </c>
      <c r="J108" s="45">
        <v>-80.235223000000005</v>
      </c>
      <c r="K108" s="45">
        <v>212.3657571</v>
      </c>
      <c r="L108" s="45">
        <v>245.108</v>
      </c>
      <c r="M108" s="45" t="s">
        <v>617</v>
      </c>
      <c r="N108" s="159">
        <v>5</v>
      </c>
      <c r="O108" s="159">
        <v>6</v>
      </c>
      <c r="P108" s="45" t="s">
        <v>565</v>
      </c>
      <c r="Q108" s="45" t="s">
        <v>564</v>
      </c>
      <c r="R108" s="45">
        <v>41.98028</v>
      </c>
      <c r="S108" s="45">
        <v>-87.908997900000003</v>
      </c>
      <c r="T108" s="45">
        <v>938.73</v>
      </c>
      <c r="U108" s="45" t="s">
        <v>617</v>
      </c>
      <c r="V108" s="45" t="s">
        <v>569</v>
      </c>
      <c r="W108" s="45" cm="1">
        <f t="array" ref="W108">getDistance(R108,S108,I108,J108)*SA!$B$12</f>
        <v>664.03976858093529</v>
      </c>
      <c r="X108" s="22"/>
      <c r="Y108" s="16">
        <f>Transportation_LCIA!C$61*($W108^Transportation_LCIA!C$60)+Transportation_LCIA!C$62</f>
        <v>0.28618318016419964</v>
      </c>
      <c r="Z108" s="16">
        <f>Transportation_LCIA!D$61*($W108^Transportation_LCIA!D$60)+Transportation_LCIA!D$62</f>
        <v>3.0177355282535454</v>
      </c>
      <c r="AA108" s="16">
        <f>Transportation_LCIA!E$61*($W108^Transportation_LCIA!E$60)+Transportation_LCIA!E$62</f>
        <v>1.5346723185627621E-3</v>
      </c>
      <c r="AB108" s="16">
        <f>Transportation_LCIA!F$61*($W108^Transportation_LCIA!F$60)+Transportation_LCIA!F$62</f>
        <v>0.28618318016419964</v>
      </c>
      <c r="AC108" s="16">
        <f>Transportation_LCIA!G$61*($W108^Transportation_LCIA!G$60)+Transportation_LCIA!G$62</f>
        <v>7.0382405916778926E-2</v>
      </c>
      <c r="AD108" s="16">
        <f>Transportation_LCIA!H$61*($W108^Transportation_LCIA!H$60)+Transportation_LCIA!H$62</f>
        <v>3.6306879462450609E-4</v>
      </c>
      <c r="AE108" s="16">
        <f>Transportation_LCIA!I$61*($W108^Transportation_LCIA!I$60)+Transportation_LCIA!I$62</f>
        <v>8.1100647661309928E-6</v>
      </c>
      <c r="AF108" s="16">
        <f>Transportation_LCIA!J$61*($W108^Transportation_LCIA!J$60)+Transportation_LCIA!J$62</f>
        <v>1.2041348839796951E-2</v>
      </c>
      <c r="AG108" s="16">
        <f>Transportation_LCIA!K$61*($W108^Transportation_LCIA!K$60)+Transportation_LCIA!K$62</f>
        <v>1.5268865092569082E-2</v>
      </c>
      <c r="AH108" s="16">
        <f>Transportation_LCIA!L$61*($W108^Transportation_LCIA!L$60)+Transportation_LCIA!L$62</f>
        <v>3.193834659249564E-4</v>
      </c>
      <c r="AI108" s="16">
        <f>Transportation_LCIA!M$61*($W108^Transportation_LCIA!M$60)+Transportation_LCIA!M$62</f>
        <v>2.9123459332568592E-4</v>
      </c>
      <c r="AJ108" s="16">
        <f>Transportation_LCIA!N$61*($W108^Transportation_LCIA!N$60)+Transportation_LCIA!N$62</f>
        <v>1.2797222196284355E-3</v>
      </c>
      <c r="AK108" s="16">
        <f>Transportation_LCIA!O$61*($W108^Transportation_LCIA!O$60)+Transportation_LCIA!O$62</f>
        <v>7.4458081336171384E-5</v>
      </c>
      <c r="AL108" s="16">
        <f>Transportation_LCIA!P$61*($W108^Transportation_LCIA!P$60)+Transportation_LCIA!P$62</f>
        <v>3.5962723058234319E-8</v>
      </c>
      <c r="AM108" s="16">
        <f>Transportation_LCIA!Q$61*($W108^Transportation_LCIA!Q$60)+Transportation_LCIA!Q$62</f>
        <v>1.2607962162909455E-4</v>
      </c>
      <c r="AN108" s="16">
        <f>Transportation_LCIA!R$61*($W108^Transportation_LCIA!R$60)+Transportation_LCIA!R$62</f>
        <v>3.8976595565047854E-4</v>
      </c>
      <c r="AO108" s="16">
        <f>Transportation_LCIA!S$61*($W108^Transportation_LCIA!S$60)+Transportation_LCIA!S$62</f>
        <v>5.7884928967616082E-6</v>
      </c>
      <c r="AP108" s="16">
        <f>Transportation_LCIA!T$61*($W108^Transportation_LCIA!T$60)+Transportation_LCIA!T$62</f>
        <v>5.7884928967616082E-6</v>
      </c>
      <c r="AQ108" s="16">
        <f>Transportation_LCIA!U$61*($W108^Transportation_LCIA!U$60)+Transportation_LCIA!U$62</f>
        <v>8.418249291876381E-4</v>
      </c>
      <c r="AR108" s="16">
        <f>Transportation_LCIA!V$61*($W108^Transportation_LCIA!V$60)+Transportation_LCIA!V$62</f>
        <v>3.2804857778078551E-4</v>
      </c>
      <c r="AT108" s="16">
        <f>$W108*Y108+($L108)*Summary_LCIA!H$32</f>
        <v>273.32471112799124</v>
      </c>
      <c r="AU108" s="16">
        <f>$W108*Z108+($L108)*Summary_LCIA!Q$32</f>
        <v>3218.6640113517151</v>
      </c>
      <c r="AV108" s="16">
        <f>$W108*AA108+($L108)*Summary_LCIA!R$32</f>
        <v>2.3097241360659835</v>
      </c>
      <c r="AW108" s="16">
        <f>$W108*AB108+($L108)*Summary_LCIA!S$32</f>
        <v>272.24133376799125</v>
      </c>
      <c r="AX108" s="16">
        <f>$W108*AC108+($L108)*Summary_LCIA!T$32</f>
        <v>73.674085737147323</v>
      </c>
      <c r="AY108" s="16">
        <f>$W108*AD108+($L108)*Summary_LCIA!U$32</f>
        <v>4.6319568303614158</v>
      </c>
      <c r="AZ108" s="16">
        <f>$W108*AE108+($L108)*Summary_LCIA!V$32</f>
        <v>1.7092008718478022E-2</v>
      </c>
      <c r="BA108" s="16">
        <f>$W108*AF108+($L108)*Summary_LCIA!W$32</f>
        <v>26.862142364981082</v>
      </c>
      <c r="BB108" s="16">
        <f>$W108*AG108+($L108)*Summary_LCIA!X$32</f>
        <v>15.722693882563094</v>
      </c>
      <c r="BC108" s="16">
        <f>$W108*AH108+($L108)*Summary_LCIA!Y$32</f>
        <v>4.031356178801385</v>
      </c>
      <c r="BD108" s="16">
        <f>$W108*AI108+($L108)*Summary_LCIA!Z$32</f>
        <v>0.20344298592675128</v>
      </c>
      <c r="BE108" s="16">
        <f>$W108*AJ108+($L108)*Summary_LCIA!AA$32</f>
        <v>6.5745288945699469</v>
      </c>
      <c r="BF108" s="16">
        <f>$W108*AK108+($L108)*Summary_LCIA!AB$32</f>
        <v>4.4094135215451698E-2</v>
      </c>
      <c r="BG108" s="16">
        <f>$W108*AL108+($L108)*Summary_LCIA!AC$32</f>
        <v>3.5862537769130187E-5</v>
      </c>
      <c r="BH108" s="16">
        <f>$W108*AM108+($L108)*Summary_LCIA!AD$32</f>
        <v>0.18447107508935584</v>
      </c>
      <c r="BI108" s="16">
        <f>$W108*AN108+($L108)*Summary_LCIA!AE$32</f>
        <v>0.47601764703087091</v>
      </c>
      <c r="BJ108" s="16">
        <f>$W108*AO108+($L108)*Summary_LCIA!AF$32</f>
        <v>0.21106299484359797</v>
      </c>
      <c r="BK108" s="16">
        <f>$W108*AP108+($L108)*Summary_LCIA!AG$32</f>
        <v>1.6384740303597968E-2</v>
      </c>
      <c r="BL108" s="16">
        <f>$W108*AQ108+($L108)*Summary_LCIA!AH$32</f>
        <v>2.6923272199634214</v>
      </c>
      <c r="BM108" s="16">
        <f>$W108*AR108+($L108)*Summary_LCIA!AI$32</f>
        <v>0.44616765907285771</v>
      </c>
      <c r="BN108" s="16"/>
    </row>
    <row r="109" spans="1:66" x14ac:dyDescent="0.25">
      <c r="A109" s="159">
        <v>10</v>
      </c>
      <c r="B109" s="159">
        <v>6</v>
      </c>
      <c r="C109" s="45">
        <v>43.083925000000001</v>
      </c>
      <c r="D109" s="45">
        <v>-77.674614000000005</v>
      </c>
      <c r="E109" s="45" t="s">
        <v>265</v>
      </c>
      <c r="F109" s="159">
        <v>120</v>
      </c>
      <c r="G109" s="45" t="s">
        <v>625</v>
      </c>
      <c r="H109" s="45" t="s">
        <v>626</v>
      </c>
      <c r="I109" s="45">
        <v>42.939706000000001</v>
      </c>
      <c r="J109" s="45">
        <v>-78.729506999999998</v>
      </c>
      <c r="K109" s="45">
        <v>92.065719849999994</v>
      </c>
      <c r="L109" s="45">
        <v>101.642</v>
      </c>
      <c r="M109" s="45" t="s">
        <v>617</v>
      </c>
      <c r="N109" s="159">
        <v>5</v>
      </c>
      <c r="O109" s="159">
        <v>6</v>
      </c>
      <c r="P109" s="45" t="s">
        <v>565</v>
      </c>
      <c r="Q109" s="45" t="s">
        <v>564</v>
      </c>
      <c r="R109" s="45">
        <v>41.98028</v>
      </c>
      <c r="S109" s="45">
        <v>-87.908997900000003</v>
      </c>
      <c r="T109" s="45">
        <v>993.029</v>
      </c>
      <c r="U109" s="45" t="s">
        <v>617</v>
      </c>
      <c r="V109" s="45" t="s">
        <v>569</v>
      </c>
      <c r="W109" s="45" cm="1">
        <f t="array" ref="W109">getDistance(R109,S109,I109,J109)*SA!$B$12</f>
        <v>762.14373098463625</v>
      </c>
      <c r="X109" s="22"/>
      <c r="Y109" s="16">
        <f>Transportation_LCIA!C$61*($W109^Transportation_LCIA!C$60)+Transportation_LCIA!C$62</f>
        <v>0.26715705922877148</v>
      </c>
      <c r="Z109" s="16">
        <f>Transportation_LCIA!D$61*($W109^Transportation_LCIA!D$60)+Transportation_LCIA!D$62</f>
        <v>2.7924242819575884</v>
      </c>
      <c r="AA109" s="16">
        <f>Transportation_LCIA!E$61*($W109^Transportation_LCIA!E$60)+Transportation_LCIA!E$62</f>
        <v>1.3859223127365909E-3</v>
      </c>
      <c r="AB109" s="16">
        <f>Transportation_LCIA!F$61*($W109^Transportation_LCIA!F$60)+Transportation_LCIA!F$62</f>
        <v>0.26715705922877148</v>
      </c>
      <c r="AC109" s="16">
        <f>Transportation_LCIA!G$61*($W109^Transportation_LCIA!G$60)+Transportation_LCIA!G$62</f>
        <v>6.5174111539131718E-2</v>
      </c>
      <c r="AD109" s="16">
        <f>Transportation_LCIA!H$61*($W109^Transportation_LCIA!H$60)+Transportation_LCIA!H$62</f>
        <v>3.3009468273267277E-4</v>
      </c>
      <c r="AE109" s="16">
        <f>Transportation_LCIA!I$61*($W109^Transportation_LCIA!I$60)+Transportation_LCIA!I$62</f>
        <v>7.2690458918611156E-6</v>
      </c>
      <c r="AF109" s="16">
        <f>Transportation_LCIA!J$61*($W109^Transportation_LCIA!J$60)+Transportation_LCIA!J$62</f>
        <v>1.0778083772794846E-2</v>
      </c>
      <c r="AG109" s="16">
        <f>Transportation_LCIA!K$61*($W109^Transportation_LCIA!K$60)+Transportation_LCIA!K$62</f>
        <v>1.404404741045014E-2</v>
      </c>
      <c r="AH109" s="16">
        <f>Transportation_LCIA!L$61*($W109^Transportation_LCIA!L$60)+Transportation_LCIA!L$62</f>
        <v>2.8895585132343143E-4</v>
      </c>
      <c r="AI109" s="16">
        <f>Transportation_LCIA!M$61*($W109^Transportation_LCIA!M$60)+Transportation_LCIA!M$62</f>
        <v>2.730284163617511E-4</v>
      </c>
      <c r="AJ109" s="16">
        <f>Transportation_LCIA!N$61*($W109^Transportation_LCIA!N$60)+Transportation_LCIA!N$62</f>
        <v>1.168973124544055E-3</v>
      </c>
      <c r="AK109" s="16">
        <f>Transportation_LCIA!O$61*($W109^Transportation_LCIA!O$60)+Transportation_LCIA!O$62</f>
        <v>6.8921370358073866E-5</v>
      </c>
      <c r="AL109" s="16">
        <f>Transportation_LCIA!P$61*($W109^Transportation_LCIA!P$60)+Transportation_LCIA!P$62</f>
        <v>3.3303629963256696E-8</v>
      </c>
      <c r="AM109" s="16">
        <f>Transportation_LCIA!Q$61*($W109^Transportation_LCIA!Q$60)+Transportation_LCIA!Q$62</f>
        <v>1.1415848600762142E-4</v>
      </c>
      <c r="AN109" s="16">
        <f>Transportation_LCIA!R$61*($W109^Transportation_LCIA!R$60)+Transportation_LCIA!R$62</f>
        <v>3.4942384575839313E-4</v>
      </c>
      <c r="AO109" s="16">
        <f>Transportation_LCIA!S$61*($W109^Transportation_LCIA!S$60)+Transportation_LCIA!S$62</f>
        <v>5.2162884195573146E-6</v>
      </c>
      <c r="AP109" s="16">
        <f>Transportation_LCIA!T$61*($W109^Transportation_LCIA!T$60)+Transportation_LCIA!T$62</f>
        <v>5.2162884195573146E-6</v>
      </c>
      <c r="AQ109" s="16">
        <f>Transportation_LCIA!U$61*($W109^Transportation_LCIA!U$60)+Transportation_LCIA!U$62</f>
        <v>7.53133915953268E-4</v>
      </c>
      <c r="AR109" s="16">
        <f>Transportation_LCIA!V$61*($W109^Transportation_LCIA!V$60)+Transportation_LCIA!V$62</f>
        <v>2.9695542383182229E-4</v>
      </c>
      <c r="AT109" s="16">
        <f>$W109*Y109+($L109)*Summary_LCIA!H$32</f>
        <v>238.15002947949932</v>
      </c>
      <c r="AU109" s="16">
        <f>$W109*Z109+($L109)*Summary_LCIA!Q$32</f>
        <v>2631.9715388542363</v>
      </c>
      <c r="AV109" s="16">
        <f>$W109*AA109+($L109)*Summary_LCIA!R$32</f>
        <v>1.5914781174839212</v>
      </c>
      <c r="AW109" s="16">
        <f>$W109*AB109+($L109)*Summary_LCIA!S$32</f>
        <v>237.70077183949934</v>
      </c>
      <c r="AX109" s="16">
        <f>$W109*AC109+($L109)*Summary_LCIA!T$32</f>
        <v>60.842496332042678</v>
      </c>
      <c r="AY109" s="16">
        <f>$W109*AD109+($L109)*Summary_LCIA!U$32</f>
        <v>2.072394381076069</v>
      </c>
      <c r="AZ109" s="16">
        <f>$W109*AE109+($L109)*Summary_LCIA!V$32</f>
        <v>1.0394581318721573E-2</v>
      </c>
      <c r="BA109" s="16">
        <f>$W109*AF109+($L109)*Summary_LCIA!W$32</f>
        <v>16.037935361462829</v>
      </c>
      <c r="BB109" s="16">
        <f>$W109*AG109+($L109)*Summary_LCIA!X$32</f>
        <v>13.018987451525588</v>
      </c>
      <c r="BC109" s="16">
        <f>$W109*AH109+($L109)*Summary_LCIA!Y$32</f>
        <v>1.8040115346174819</v>
      </c>
      <c r="BD109" s="16">
        <f>$W109*AI109+($L109)*Summary_LCIA!Z$32</f>
        <v>0.21225513268877166</v>
      </c>
      <c r="BE109" s="16">
        <f>$W109*AJ109+($L109)*Summary_LCIA!AA$32</f>
        <v>3.2648760905607737</v>
      </c>
      <c r="BF109" s="16">
        <f>$W109*AK109+($L109)*Summary_LCIA!AB$32</f>
        <v>5.0309856983276335E-2</v>
      </c>
      <c r="BG109" s="16">
        <f>$W109*AL109+($L109)*Summary_LCIA!AC$32</f>
        <v>3.035082032352818E-5</v>
      </c>
      <c r="BH109" s="16">
        <f>$W109*AM109+($L109)*Summary_LCIA!AD$32</f>
        <v>0.128784102129406</v>
      </c>
      <c r="BI109" s="16">
        <f>$W109*AN109+($L109)*Summary_LCIA!AE$32</f>
        <v>0.35637921896130181</v>
      </c>
      <c r="BJ109" s="16">
        <f>$W109*AO109+($L109)*Summary_LCIA!AF$32</f>
        <v>8.9905741157973368E-2</v>
      </c>
      <c r="BK109" s="16">
        <f>$W109*AP109+($L109)*Summary_LCIA!AG$32</f>
        <v>9.1760744479733626E-3</v>
      </c>
      <c r="BL109" s="16">
        <f>$W109*AQ109+($L109)*Summary_LCIA!AH$32</f>
        <v>1.4586476038356933</v>
      </c>
      <c r="BM109" s="16">
        <f>$W109*AR109+($L109)*Summary_LCIA!AI$32</f>
        <v>0.321007319755309</v>
      </c>
      <c r="BN109" s="16"/>
    </row>
    <row r="110" spans="1:66" x14ac:dyDescent="0.25">
      <c r="A110" s="159">
        <v>11</v>
      </c>
      <c r="B110" s="159">
        <v>6</v>
      </c>
      <c r="C110" s="45">
        <v>43.083925000000001</v>
      </c>
      <c r="D110" s="45">
        <v>-77.674614000000005</v>
      </c>
      <c r="E110" s="45" t="s">
        <v>265</v>
      </c>
      <c r="F110" s="159">
        <v>120</v>
      </c>
      <c r="G110" s="45" t="s">
        <v>625</v>
      </c>
      <c r="H110" s="45" t="s">
        <v>626</v>
      </c>
      <c r="I110" s="45">
        <v>42.939706000000001</v>
      </c>
      <c r="J110" s="45">
        <v>-78.729506999999998</v>
      </c>
      <c r="K110" s="45">
        <v>92.065719849999994</v>
      </c>
      <c r="L110" s="45">
        <v>101.642</v>
      </c>
      <c r="M110" s="45" t="s">
        <v>617</v>
      </c>
      <c r="N110" s="159">
        <v>5</v>
      </c>
      <c r="O110" s="159">
        <v>6</v>
      </c>
      <c r="P110" s="45" t="s">
        <v>565</v>
      </c>
      <c r="Q110" s="45" t="s">
        <v>564</v>
      </c>
      <c r="R110" s="45">
        <v>41.98028</v>
      </c>
      <c r="S110" s="45">
        <v>-87.908997900000003</v>
      </c>
      <c r="T110" s="45">
        <v>993.029</v>
      </c>
      <c r="U110" s="45" t="s">
        <v>617</v>
      </c>
      <c r="V110" s="45" t="s">
        <v>569</v>
      </c>
      <c r="W110" s="45" cm="1">
        <f t="array" ref="W110">getDistance(R110,S110,I110,J110)*SA!$B$12</f>
        <v>762.14373098463625</v>
      </c>
      <c r="X110" s="22"/>
      <c r="Y110" s="16">
        <f>Transportation_LCIA!C$61*($W110^Transportation_LCIA!C$60)+Transportation_LCIA!C$62</f>
        <v>0.26715705922877148</v>
      </c>
      <c r="Z110" s="16">
        <f>Transportation_LCIA!D$61*($W110^Transportation_LCIA!D$60)+Transportation_LCIA!D$62</f>
        <v>2.7924242819575884</v>
      </c>
      <c r="AA110" s="16">
        <f>Transportation_LCIA!E$61*($W110^Transportation_LCIA!E$60)+Transportation_LCIA!E$62</f>
        <v>1.3859223127365909E-3</v>
      </c>
      <c r="AB110" s="16">
        <f>Transportation_LCIA!F$61*($W110^Transportation_LCIA!F$60)+Transportation_LCIA!F$62</f>
        <v>0.26715705922877148</v>
      </c>
      <c r="AC110" s="16">
        <f>Transportation_LCIA!G$61*($W110^Transportation_LCIA!G$60)+Transportation_LCIA!G$62</f>
        <v>6.5174111539131718E-2</v>
      </c>
      <c r="AD110" s="16">
        <f>Transportation_LCIA!H$61*($W110^Transportation_LCIA!H$60)+Transportation_LCIA!H$62</f>
        <v>3.3009468273267277E-4</v>
      </c>
      <c r="AE110" s="16">
        <f>Transportation_LCIA!I$61*($W110^Transportation_LCIA!I$60)+Transportation_LCIA!I$62</f>
        <v>7.2690458918611156E-6</v>
      </c>
      <c r="AF110" s="16">
        <f>Transportation_LCIA!J$61*($W110^Transportation_LCIA!J$60)+Transportation_LCIA!J$62</f>
        <v>1.0778083772794846E-2</v>
      </c>
      <c r="AG110" s="16">
        <f>Transportation_LCIA!K$61*($W110^Transportation_LCIA!K$60)+Transportation_LCIA!K$62</f>
        <v>1.404404741045014E-2</v>
      </c>
      <c r="AH110" s="16">
        <f>Transportation_LCIA!L$61*($W110^Transportation_LCIA!L$60)+Transportation_LCIA!L$62</f>
        <v>2.8895585132343143E-4</v>
      </c>
      <c r="AI110" s="16">
        <f>Transportation_LCIA!M$61*($W110^Transportation_LCIA!M$60)+Transportation_LCIA!M$62</f>
        <v>2.730284163617511E-4</v>
      </c>
      <c r="AJ110" s="16">
        <f>Transportation_LCIA!N$61*($W110^Transportation_LCIA!N$60)+Transportation_LCIA!N$62</f>
        <v>1.168973124544055E-3</v>
      </c>
      <c r="AK110" s="16">
        <f>Transportation_LCIA!O$61*($W110^Transportation_LCIA!O$60)+Transportation_LCIA!O$62</f>
        <v>6.8921370358073866E-5</v>
      </c>
      <c r="AL110" s="16">
        <f>Transportation_LCIA!P$61*($W110^Transportation_LCIA!P$60)+Transportation_LCIA!P$62</f>
        <v>3.3303629963256696E-8</v>
      </c>
      <c r="AM110" s="16">
        <f>Transportation_LCIA!Q$61*($W110^Transportation_LCIA!Q$60)+Transportation_LCIA!Q$62</f>
        <v>1.1415848600762142E-4</v>
      </c>
      <c r="AN110" s="16">
        <f>Transportation_LCIA!R$61*($W110^Transportation_LCIA!R$60)+Transportation_LCIA!R$62</f>
        <v>3.4942384575839313E-4</v>
      </c>
      <c r="AO110" s="16">
        <f>Transportation_LCIA!S$61*($W110^Transportation_LCIA!S$60)+Transportation_LCIA!S$62</f>
        <v>5.2162884195573146E-6</v>
      </c>
      <c r="AP110" s="16">
        <f>Transportation_LCIA!T$61*($W110^Transportation_LCIA!T$60)+Transportation_LCIA!T$62</f>
        <v>5.2162884195573146E-6</v>
      </c>
      <c r="AQ110" s="16">
        <f>Transportation_LCIA!U$61*($W110^Transportation_LCIA!U$60)+Transportation_LCIA!U$62</f>
        <v>7.53133915953268E-4</v>
      </c>
      <c r="AR110" s="16">
        <f>Transportation_LCIA!V$61*($W110^Transportation_LCIA!V$60)+Transportation_LCIA!V$62</f>
        <v>2.9695542383182229E-4</v>
      </c>
      <c r="AT110" s="16">
        <f>$W110*Y110+($L110)*Summary_LCIA!H$32</f>
        <v>238.15002947949932</v>
      </c>
      <c r="AU110" s="16">
        <f>$W110*Z110+($L110)*Summary_LCIA!Q$32</f>
        <v>2631.9715388542363</v>
      </c>
      <c r="AV110" s="16">
        <f>$W110*AA110+($L110)*Summary_LCIA!R$32</f>
        <v>1.5914781174839212</v>
      </c>
      <c r="AW110" s="16">
        <f>$W110*AB110+($L110)*Summary_LCIA!S$32</f>
        <v>237.70077183949934</v>
      </c>
      <c r="AX110" s="16">
        <f>$W110*AC110+($L110)*Summary_LCIA!T$32</f>
        <v>60.842496332042678</v>
      </c>
      <c r="AY110" s="16">
        <f>$W110*AD110+($L110)*Summary_LCIA!U$32</f>
        <v>2.072394381076069</v>
      </c>
      <c r="AZ110" s="16">
        <f>$W110*AE110+($L110)*Summary_LCIA!V$32</f>
        <v>1.0394581318721573E-2</v>
      </c>
      <c r="BA110" s="16">
        <f>$W110*AF110+($L110)*Summary_LCIA!W$32</f>
        <v>16.037935361462829</v>
      </c>
      <c r="BB110" s="16">
        <f>$W110*AG110+($L110)*Summary_LCIA!X$32</f>
        <v>13.018987451525588</v>
      </c>
      <c r="BC110" s="16">
        <f>$W110*AH110+($L110)*Summary_LCIA!Y$32</f>
        <v>1.8040115346174819</v>
      </c>
      <c r="BD110" s="16">
        <f>$W110*AI110+($L110)*Summary_LCIA!Z$32</f>
        <v>0.21225513268877166</v>
      </c>
      <c r="BE110" s="16">
        <f>$W110*AJ110+($L110)*Summary_LCIA!AA$32</f>
        <v>3.2648760905607737</v>
      </c>
      <c r="BF110" s="16">
        <f>$W110*AK110+($L110)*Summary_LCIA!AB$32</f>
        <v>5.0309856983276335E-2</v>
      </c>
      <c r="BG110" s="16">
        <f>$W110*AL110+($L110)*Summary_LCIA!AC$32</f>
        <v>3.035082032352818E-5</v>
      </c>
      <c r="BH110" s="16">
        <f>$W110*AM110+($L110)*Summary_LCIA!AD$32</f>
        <v>0.128784102129406</v>
      </c>
      <c r="BI110" s="16">
        <f>$W110*AN110+($L110)*Summary_LCIA!AE$32</f>
        <v>0.35637921896130181</v>
      </c>
      <c r="BJ110" s="16">
        <f>$W110*AO110+($L110)*Summary_LCIA!AF$32</f>
        <v>8.9905741157973368E-2</v>
      </c>
      <c r="BK110" s="16">
        <f>$W110*AP110+($L110)*Summary_LCIA!AG$32</f>
        <v>9.1760744479733626E-3</v>
      </c>
      <c r="BL110" s="16">
        <f>$W110*AQ110+($L110)*Summary_LCIA!AH$32</f>
        <v>1.4586476038356933</v>
      </c>
      <c r="BM110" s="16">
        <f>$W110*AR110+($L110)*Summary_LCIA!AI$32</f>
        <v>0.321007319755309</v>
      </c>
      <c r="BN110" s="16"/>
    </row>
    <row r="111" spans="1:66" x14ac:dyDescent="0.25">
      <c r="A111" s="159">
        <v>324</v>
      </c>
      <c r="B111" s="159">
        <v>6</v>
      </c>
      <c r="C111" s="45">
        <v>43.142994000000002</v>
      </c>
      <c r="D111" s="45">
        <v>-77.544745000000006</v>
      </c>
      <c r="E111" s="45" t="s">
        <v>265</v>
      </c>
      <c r="F111" s="159">
        <v>120</v>
      </c>
      <c r="G111" s="45" t="s">
        <v>625</v>
      </c>
      <c r="H111" s="45" t="s">
        <v>626</v>
      </c>
      <c r="I111" s="45">
        <v>42.939706000000001</v>
      </c>
      <c r="J111" s="45">
        <v>-78.729506999999998</v>
      </c>
      <c r="K111" s="45">
        <v>105.8161415</v>
      </c>
      <c r="L111" s="45">
        <v>109.876</v>
      </c>
      <c r="M111" s="45" t="s">
        <v>617</v>
      </c>
      <c r="N111" s="159">
        <v>5</v>
      </c>
      <c r="O111" s="159">
        <v>6</v>
      </c>
      <c r="P111" s="45" t="s">
        <v>565</v>
      </c>
      <c r="Q111" s="45" t="s">
        <v>564</v>
      </c>
      <c r="R111" s="45">
        <v>41.98028</v>
      </c>
      <c r="S111" s="45">
        <v>-87.908997900000003</v>
      </c>
      <c r="T111" s="45">
        <v>1001.263</v>
      </c>
      <c r="U111" s="45" t="s">
        <v>617</v>
      </c>
      <c r="V111" s="45" t="s">
        <v>569</v>
      </c>
      <c r="W111" s="45" cm="1">
        <f t="array" ref="W111">getDistance(R111,S111,I111,J111)*SA!$B$12</f>
        <v>762.14373098463625</v>
      </c>
      <c r="X111" s="22"/>
      <c r="Y111" s="16">
        <f>Transportation_LCIA!C$61*($W111^Transportation_LCIA!C$60)+Transportation_LCIA!C$62</f>
        <v>0.26715705922877148</v>
      </c>
      <c r="Z111" s="16">
        <f>Transportation_LCIA!D$61*($W111^Transportation_LCIA!D$60)+Transportation_LCIA!D$62</f>
        <v>2.7924242819575884</v>
      </c>
      <c r="AA111" s="16">
        <f>Transportation_LCIA!E$61*($W111^Transportation_LCIA!E$60)+Transportation_LCIA!E$62</f>
        <v>1.3859223127365909E-3</v>
      </c>
      <c r="AB111" s="16">
        <f>Transportation_LCIA!F$61*($W111^Transportation_LCIA!F$60)+Transportation_LCIA!F$62</f>
        <v>0.26715705922877148</v>
      </c>
      <c r="AC111" s="16">
        <f>Transportation_LCIA!G$61*($W111^Transportation_LCIA!G$60)+Transportation_LCIA!G$62</f>
        <v>6.5174111539131718E-2</v>
      </c>
      <c r="AD111" s="16">
        <f>Transportation_LCIA!H$61*($W111^Transportation_LCIA!H$60)+Transportation_LCIA!H$62</f>
        <v>3.3009468273267277E-4</v>
      </c>
      <c r="AE111" s="16">
        <f>Transportation_LCIA!I$61*($W111^Transportation_LCIA!I$60)+Transportation_LCIA!I$62</f>
        <v>7.2690458918611156E-6</v>
      </c>
      <c r="AF111" s="16">
        <f>Transportation_LCIA!J$61*($W111^Transportation_LCIA!J$60)+Transportation_LCIA!J$62</f>
        <v>1.0778083772794846E-2</v>
      </c>
      <c r="AG111" s="16">
        <f>Transportation_LCIA!K$61*($W111^Transportation_LCIA!K$60)+Transportation_LCIA!K$62</f>
        <v>1.404404741045014E-2</v>
      </c>
      <c r="AH111" s="16">
        <f>Transportation_LCIA!L$61*($W111^Transportation_LCIA!L$60)+Transportation_LCIA!L$62</f>
        <v>2.8895585132343143E-4</v>
      </c>
      <c r="AI111" s="16">
        <f>Transportation_LCIA!M$61*($W111^Transportation_LCIA!M$60)+Transportation_LCIA!M$62</f>
        <v>2.730284163617511E-4</v>
      </c>
      <c r="AJ111" s="16">
        <f>Transportation_LCIA!N$61*($W111^Transportation_LCIA!N$60)+Transportation_LCIA!N$62</f>
        <v>1.168973124544055E-3</v>
      </c>
      <c r="AK111" s="16">
        <f>Transportation_LCIA!O$61*($W111^Transportation_LCIA!O$60)+Transportation_LCIA!O$62</f>
        <v>6.8921370358073866E-5</v>
      </c>
      <c r="AL111" s="16">
        <f>Transportation_LCIA!P$61*($W111^Transportation_LCIA!P$60)+Transportation_LCIA!P$62</f>
        <v>3.3303629963256696E-8</v>
      </c>
      <c r="AM111" s="16">
        <f>Transportation_LCIA!Q$61*($W111^Transportation_LCIA!Q$60)+Transportation_LCIA!Q$62</f>
        <v>1.1415848600762142E-4</v>
      </c>
      <c r="AN111" s="16">
        <f>Transportation_LCIA!R$61*($W111^Transportation_LCIA!R$60)+Transportation_LCIA!R$62</f>
        <v>3.4942384575839313E-4</v>
      </c>
      <c r="AO111" s="16">
        <f>Transportation_LCIA!S$61*($W111^Transportation_LCIA!S$60)+Transportation_LCIA!S$62</f>
        <v>5.2162884195573146E-6</v>
      </c>
      <c r="AP111" s="16">
        <f>Transportation_LCIA!T$61*($W111^Transportation_LCIA!T$60)+Transportation_LCIA!T$62</f>
        <v>5.2162884195573146E-6</v>
      </c>
      <c r="AQ111" s="16">
        <f>Transportation_LCIA!U$61*($W111^Transportation_LCIA!U$60)+Transportation_LCIA!U$62</f>
        <v>7.53133915953268E-4</v>
      </c>
      <c r="AR111" s="16">
        <f>Transportation_LCIA!V$61*($W111^Transportation_LCIA!V$60)+Transportation_LCIA!V$62</f>
        <v>2.9695542383182229E-4</v>
      </c>
      <c r="AT111" s="16">
        <f>$W111*Y111+($L111)*Summary_LCIA!H$32</f>
        <v>240.94794267949933</v>
      </c>
      <c r="AU111" s="16">
        <f>$W111*Z111+($L111)*Summary_LCIA!Q$32</f>
        <v>2672.779658119558</v>
      </c>
      <c r="AV111" s="16">
        <f>$W111*AA111+($L111)*Summary_LCIA!R$32</f>
        <v>1.6348350678839212</v>
      </c>
      <c r="AW111" s="16">
        <f>$W111*AB111+($L111)*Summary_LCIA!S$32</f>
        <v>240.46229075949935</v>
      </c>
      <c r="AX111" s="16">
        <f>$W111*AC111+($L111)*Summary_LCIA!T$32</f>
        <v>61.747412932042678</v>
      </c>
      <c r="AY111" s="16">
        <f>$W111*AD111+($L111)*Summary_LCIA!U$32</f>
        <v>2.219898257076069</v>
      </c>
      <c r="AZ111" s="16">
        <f>$W111*AE111+($L111)*Summary_LCIA!V$32</f>
        <v>1.0787845392721575E-2</v>
      </c>
      <c r="BA111" s="16">
        <f>$W111*AF111+($L111)*Summary_LCIA!W$32</f>
        <v>16.671714575462829</v>
      </c>
      <c r="BB111" s="16">
        <f>$W111*AG111+($L111)*Summary_LCIA!X$32</f>
        <v>13.206557971525587</v>
      </c>
      <c r="BC111" s="16">
        <f>$W111*AH111+($L111)*Summary_LCIA!Y$32</f>
        <v>1.932313722617482</v>
      </c>
      <c r="BD111" s="16">
        <f>$W111*AI111+($L111)*Summary_LCIA!Z$32</f>
        <v>0.21259280079477166</v>
      </c>
      <c r="BE111" s="16">
        <f>$W111*AJ111+($L111)*Summary_LCIA!AA$32</f>
        <v>3.4571893945607739</v>
      </c>
      <c r="BF111" s="16">
        <f>$W111*AK111+($L111)*Summary_LCIA!AB$32</f>
        <v>5.0130166401276335E-2</v>
      </c>
      <c r="BG111" s="16">
        <f>$W111*AL111+($L111)*Summary_LCIA!AC$32</f>
        <v>3.075333117952818E-5</v>
      </c>
      <c r="BH111" s="16">
        <f>$W111*AM111+($L111)*Summary_LCIA!AD$32</f>
        <v>0.13216860548940598</v>
      </c>
      <c r="BI111" s="16">
        <f>$W111*AN111+($L111)*Summary_LCIA!AE$32</f>
        <v>0.36367561338130183</v>
      </c>
      <c r="BJ111" s="16">
        <f>$W111*AO111+($L111)*Summary_LCIA!AF$32</f>
        <v>9.686692943797337E-2</v>
      </c>
      <c r="BK111" s="16">
        <f>$W111*AP111+($L111)*Summary_LCIA!AG$32</f>
        <v>9.5973670579733647E-3</v>
      </c>
      <c r="BL111" s="16">
        <f>$W111*AQ111+($L111)*Summary_LCIA!AH$32</f>
        <v>1.5303130462356933</v>
      </c>
      <c r="BM111" s="16">
        <f>$W111*AR111+($L111)*Summary_LCIA!AI$32</f>
        <v>0.32867770245530903</v>
      </c>
      <c r="BN111" s="16"/>
    </row>
    <row r="112" spans="1:66" x14ac:dyDescent="0.25">
      <c r="A112" s="159">
        <v>189</v>
      </c>
      <c r="B112" s="159">
        <v>6</v>
      </c>
      <c r="C112" s="45">
        <v>35.045630000000003</v>
      </c>
      <c r="D112" s="45">
        <v>-85.30968</v>
      </c>
      <c r="E112" s="45" t="s">
        <v>265</v>
      </c>
      <c r="F112" s="159">
        <v>91</v>
      </c>
      <c r="G112" s="45" t="s">
        <v>618</v>
      </c>
      <c r="H112" s="45" t="s">
        <v>619</v>
      </c>
      <c r="I112" s="45">
        <v>36.126317</v>
      </c>
      <c r="J112" s="45">
        <v>-86.677370999999994</v>
      </c>
      <c r="K112" s="45">
        <v>216.8818096</v>
      </c>
      <c r="L112" s="45">
        <v>207.744</v>
      </c>
      <c r="M112" s="45" t="s">
        <v>617</v>
      </c>
      <c r="N112" s="159">
        <v>5</v>
      </c>
      <c r="O112" s="159">
        <v>6</v>
      </c>
      <c r="P112" s="45" t="s">
        <v>565</v>
      </c>
      <c r="Q112" s="45" t="s">
        <v>564</v>
      </c>
      <c r="R112" s="45">
        <v>41.98028</v>
      </c>
      <c r="S112" s="45">
        <v>-87.908997900000003</v>
      </c>
      <c r="T112" s="45">
        <v>1004.8819999999999</v>
      </c>
      <c r="U112" s="45" t="s">
        <v>617</v>
      </c>
      <c r="V112" s="45" t="s">
        <v>569</v>
      </c>
      <c r="W112" s="45" cm="1">
        <f t="array" ref="W112">getDistance(R112,S112,I112,J112)*SA!$B$12</f>
        <v>659.85331554628851</v>
      </c>
      <c r="X112" s="22"/>
      <c r="Y112" s="16">
        <f>Transportation_LCIA!C$61*($W112^Transportation_LCIA!C$60)+Transportation_LCIA!C$62</f>
        <v>0.28711034431731675</v>
      </c>
      <c r="Z112" s="16">
        <f>Transportation_LCIA!D$61*($W112^Transportation_LCIA!D$60)+Transportation_LCIA!D$62</f>
        <v>3.0287489507114906</v>
      </c>
      <c r="AA112" s="16">
        <f>Transportation_LCIA!E$61*($W112^Transportation_LCIA!E$60)+Transportation_LCIA!E$62</f>
        <v>1.541949627580878E-3</v>
      </c>
      <c r="AB112" s="16">
        <f>Transportation_LCIA!F$61*($W112^Transportation_LCIA!F$60)+Transportation_LCIA!F$62</f>
        <v>0.28711034431731675</v>
      </c>
      <c r="AC112" s="16">
        <f>Transportation_LCIA!G$61*($W112^Transportation_LCIA!G$60)+Transportation_LCIA!G$62</f>
        <v>7.0636946621656566E-2</v>
      </c>
      <c r="AD112" s="16">
        <f>Transportation_LCIA!H$61*($W112^Transportation_LCIA!H$60)+Transportation_LCIA!H$62</f>
        <v>3.6468473830708392E-4</v>
      </c>
      <c r="AE112" s="16">
        <f>Transportation_LCIA!I$61*($W112^Transportation_LCIA!I$60)+Transportation_LCIA!I$62</f>
        <v>8.1513931789510452E-6</v>
      </c>
      <c r="AF112" s="16">
        <f>Transportation_LCIA!J$61*($W112^Transportation_LCIA!J$60)+Transportation_LCIA!J$62</f>
        <v>1.2103537939984348E-2</v>
      </c>
      <c r="AG112" s="16">
        <f>Transportation_LCIA!K$61*($W112^Transportation_LCIA!K$60)+Transportation_LCIA!K$62</f>
        <v>1.5328817431613843E-2</v>
      </c>
      <c r="AH112" s="16">
        <f>Transportation_LCIA!L$61*($W112^Transportation_LCIA!L$60)+Transportation_LCIA!L$62</f>
        <v>3.2087577902119551E-4</v>
      </c>
      <c r="AI112" s="16">
        <f>Transportation_LCIA!M$61*($W112^Transportation_LCIA!M$60)+Transportation_LCIA!M$62</f>
        <v>2.9212689587987547E-4</v>
      </c>
      <c r="AJ112" s="16">
        <f>Transportation_LCIA!N$61*($W112^Transportation_LCIA!N$60)+Transportation_LCIA!N$62</f>
        <v>1.2851484558381739E-3</v>
      </c>
      <c r="AK112" s="16">
        <f>Transportation_LCIA!O$61*($W112^Transportation_LCIA!O$60)+Transportation_LCIA!O$62</f>
        <v>7.4728695290617527E-5</v>
      </c>
      <c r="AL112" s="16">
        <f>Transportation_LCIA!P$61*($W112^Transportation_LCIA!P$60)+Transportation_LCIA!P$62</f>
        <v>3.6092660039250887E-8</v>
      </c>
      <c r="AM112" s="16">
        <f>Transportation_LCIA!Q$61*($W112^Transportation_LCIA!Q$60)+Transportation_LCIA!Q$62</f>
        <v>1.266645357867947E-4</v>
      </c>
      <c r="AN112" s="16">
        <f>Transportation_LCIA!R$61*($W112^Transportation_LCIA!R$60)+Transportation_LCIA!R$62</f>
        <v>3.9174853387192332E-4</v>
      </c>
      <c r="AO112" s="16">
        <f>Transportation_LCIA!S$61*($W112^Transportation_LCIA!S$60)+Transportation_LCIA!S$62</f>
        <v>5.816609944944966E-6</v>
      </c>
      <c r="AP112" s="16">
        <f>Transportation_LCIA!T$61*($W112^Transportation_LCIA!T$60)+Transportation_LCIA!T$62</f>
        <v>5.816609944944966E-6</v>
      </c>
      <c r="AQ112" s="16">
        <f>Transportation_LCIA!U$61*($W112^Transportation_LCIA!U$60)+Transportation_LCIA!U$62</f>
        <v>8.4618583701267559E-4</v>
      </c>
      <c r="AR112" s="16">
        <f>Transportation_LCIA!V$61*($W112^Transportation_LCIA!V$60)+Transportation_LCIA!V$62</f>
        <v>3.2957499967912188E-4</v>
      </c>
      <c r="AT112" s="16">
        <f>$W112*Y112+($L112)*Summary_LCIA!H$32</f>
        <v>260.04212382541795</v>
      </c>
      <c r="AU112" s="16">
        <f>$W112*Z112+($L112)*Summary_LCIA!Q$32</f>
        <v>3028.1197782374711</v>
      </c>
      <c r="AV112" s="16">
        <f>$W112*AA112+($L112)*Summary_LCIA!R$32</f>
        <v>2.1113573805646073</v>
      </c>
      <c r="AW112" s="16">
        <f>$W112*AB112+($L112)*Summary_LCIA!S$32</f>
        <v>259.12389534541796</v>
      </c>
      <c r="AX112" s="16">
        <f>$W112*AC112+($L112)*Summary_LCIA!T$32</f>
        <v>69.441089028366292</v>
      </c>
      <c r="AY112" s="16">
        <f>$W112*AD112+($L112)*Summary_LCIA!U$32</f>
        <v>3.96216444970106</v>
      </c>
      <c r="AZ112" s="16">
        <f>$W112*AE112+($L112)*Summary_LCIA!V$32</f>
        <v>1.5300784999452248E-2</v>
      </c>
      <c r="BA112" s="16">
        <f>$W112*AF112+($L112)*Summary_LCIA!W$32</f>
        <v>23.976823063538966</v>
      </c>
      <c r="BB112" s="16">
        <f>$W112*AG112+($L112)*Summary_LCIA!X$32</f>
        <v>14.847179325654139</v>
      </c>
      <c r="BC112" s="16">
        <f>$W112*AH112+($L112)*Summary_LCIA!Y$32</f>
        <v>3.448797954665634</v>
      </c>
      <c r="BD112" s="16">
        <f>$W112*AI112+($L112)*Summary_LCIA!Z$32</f>
        <v>0.20128027450258124</v>
      </c>
      <c r="BE112" s="16">
        <f>$W112*AJ112+($L112)*Summary_LCIA!AA$32</f>
        <v>5.7000783335540115</v>
      </c>
      <c r="BF112" s="16">
        <f>$W112*AK112+($L112)*Summary_LCIA!AB$32</f>
        <v>4.4776380041962292E-2</v>
      </c>
      <c r="BG112" s="16">
        <f>$W112*AL112+($L112)*Summary_LCIA!AC$32</f>
        <v>3.397121908978473E-5</v>
      </c>
      <c r="BH112" s="16">
        <f>$W112*AM112+($L112)*Summary_LCIA!AD$32</f>
        <v>0.168971107661048</v>
      </c>
      <c r="BI112" s="16">
        <f>$W112*AN112+($L112)*Summary_LCIA!AE$32</f>
        <v>0.44258475965578609</v>
      </c>
      <c r="BJ112" s="16">
        <f>$W112*AO112+($L112)*Summary_LCIA!AF$32</f>
        <v>0.17946904183741144</v>
      </c>
      <c r="BK112" s="16">
        <f>$W112*AP112+($L112)*Summary_LCIA!AG$32</f>
        <v>1.446733111741145E-2</v>
      </c>
      <c r="BL112" s="16">
        <f>$W112*AQ112+($L112)*Summary_LCIA!AH$32</f>
        <v>2.3664792085211253</v>
      </c>
      <c r="BM112" s="16">
        <f>$W112*AR112+($L112)*Summary_LCIA!AI$32</f>
        <v>0.41099507945943559</v>
      </c>
      <c r="BN112" s="16"/>
    </row>
    <row r="113" spans="1:66" x14ac:dyDescent="0.25">
      <c r="A113" s="159">
        <v>190</v>
      </c>
      <c r="B113" s="159">
        <v>6</v>
      </c>
      <c r="C113" s="45">
        <v>35.045630000000003</v>
      </c>
      <c r="D113" s="45">
        <v>-85.30968</v>
      </c>
      <c r="E113" s="45" t="s">
        <v>265</v>
      </c>
      <c r="F113" s="159">
        <v>91</v>
      </c>
      <c r="G113" s="45" t="s">
        <v>618</v>
      </c>
      <c r="H113" s="45" t="s">
        <v>619</v>
      </c>
      <c r="I113" s="45">
        <v>36.126317</v>
      </c>
      <c r="J113" s="45">
        <v>-86.677370999999994</v>
      </c>
      <c r="K113" s="45">
        <v>216.8818096</v>
      </c>
      <c r="L113" s="45">
        <v>207.744</v>
      </c>
      <c r="M113" s="45" t="s">
        <v>617</v>
      </c>
      <c r="N113" s="159">
        <v>5</v>
      </c>
      <c r="O113" s="159">
        <v>6</v>
      </c>
      <c r="P113" s="45" t="s">
        <v>565</v>
      </c>
      <c r="Q113" s="45" t="s">
        <v>564</v>
      </c>
      <c r="R113" s="45">
        <v>41.98028</v>
      </c>
      <c r="S113" s="45">
        <v>-87.908997900000003</v>
      </c>
      <c r="T113" s="45">
        <v>1004.8819999999999</v>
      </c>
      <c r="U113" s="45" t="s">
        <v>617</v>
      </c>
      <c r="V113" s="45" t="s">
        <v>569</v>
      </c>
      <c r="W113" s="45" cm="1">
        <f t="array" ref="W113">getDistance(R113,S113,I113,J113)*SA!$B$12</f>
        <v>659.85331554628851</v>
      </c>
      <c r="X113" s="22"/>
      <c r="Y113" s="16">
        <f>Transportation_LCIA!C$61*($W113^Transportation_LCIA!C$60)+Transportation_LCIA!C$62</f>
        <v>0.28711034431731675</v>
      </c>
      <c r="Z113" s="16">
        <f>Transportation_LCIA!D$61*($W113^Transportation_LCIA!D$60)+Transportation_LCIA!D$62</f>
        <v>3.0287489507114906</v>
      </c>
      <c r="AA113" s="16">
        <f>Transportation_LCIA!E$61*($W113^Transportation_LCIA!E$60)+Transportation_LCIA!E$62</f>
        <v>1.541949627580878E-3</v>
      </c>
      <c r="AB113" s="16">
        <f>Transportation_LCIA!F$61*($W113^Transportation_LCIA!F$60)+Transportation_LCIA!F$62</f>
        <v>0.28711034431731675</v>
      </c>
      <c r="AC113" s="16">
        <f>Transportation_LCIA!G$61*($W113^Transportation_LCIA!G$60)+Transportation_LCIA!G$62</f>
        <v>7.0636946621656566E-2</v>
      </c>
      <c r="AD113" s="16">
        <f>Transportation_LCIA!H$61*($W113^Transportation_LCIA!H$60)+Transportation_LCIA!H$62</f>
        <v>3.6468473830708392E-4</v>
      </c>
      <c r="AE113" s="16">
        <f>Transportation_LCIA!I$61*($W113^Transportation_LCIA!I$60)+Transportation_LCIA!I$62</f>
        <v>8.1513931789510452E-6</v>
      </c>
      <c r="AF113" s="16">
        <f>Transportation_LCIA!J$61*($W113^Transportation_LCIA!J$60)+Transportation_LCIA!J$62</f>
        <v>1.2103537939984348E-2</v>
      </c>
      <c r="AG113" s="16">
        <f>Transportation_LCIA!K$61*($W113^Transportation_LCIA!K$60)+Transportation_LCIA!K$62</f>
        <v>1.5328817431613843E-2</v>
      </c>
      <c r="AH113" s="16">
        <f>Transportation_LCIA!L$61*($W113^Transportation_LCIA!L$60)+Transportation_LCIA!L$62</f>
        <v>3.2087577902119551E-4</v>
      </c>
      <c r="AI113" s="16">
        <f>Transportation_LCIA!M$61*($W113^Transportation_LCIA!M$60)+Transportation_LCIA!M$62</f>
        <v>2.9212689587987547E-4</v>
      </c>
      <c r="AJ113" s="16">
        <f>Transportation_LCIA!N$61*($W113^Transportation_LCIA!N$60)+Transportation_LCIA!N$62</f>
        <v>1.2851484558381739E-3</v>
      </c>
      <c r="AK113" s="16">
        <f>Transportation_LCIA!O$61*($W113^Transportation_LCIA!O$60)+Transportation_LCIA!O$62</f>
        <v>7.4728695290617527E-5</v>
      </c>
      <c r="AL113" s="16">
        <f>Transportation_LCIA!P$61*($W113^Transportation_LCIA!P$60)+Transportation_LCIA!P$62</f>
        <v>3.6092660039250887E-8</v>
      </c>
      <c r="AM113" s="16">
        <f>Transportation_LCIA!Q$61*($W113^Transportation_LCIA!Q$60)+Transportation_LCIA!Q$62</f>
        <v>1.266645357867947E-4</v>
      </c>
      <c r="AN113" s="16">
        <f>Transportation_LCIA!R$61*($W113^Transportation_LCIA!R$60)+Transportation_LCIA!R$62</f>
        <v>3.9174853387192332E-4</v>
      </c>
      <c r="AO113" s="16">
        <f>Transportation_LCIA!S$61*($W113^Transportation_LCIA!S$60)+Transportation_LCIA!S$62</f>
        <v>5.816609944944966E-6</v>
      </c>
      <c r="AP113" s="16">
        <f>Transportation_LCIA!T$61*($W113^Transportation_LCIA!T$60)+Transportation_LCIA!T$62</f>
        <v>5.816609944944966E-6</v>
      </c>
      <c r="AQ113" s="16">
        <f>Transportation_LCIA!U$61*($W113^Transportation_LCIA!U$60)+Transportation_LCIA!U$62</f>
        <v>8.4618583701267559E-4</v>
      </c>
      <c r="AR113" s="16">
        <f>Transportation_LCIA!V$61*($W113^Transportation_LCIA!V$60)+Transportation_LCIA!V$62</f>
        <v>3.2957499967912188E-4</v>
      </c>
      <c r="AT113" s="16">
        <f>$W113*Y113+($L113)*Summary_LCIA!H$32</f>
        <v>260.04212382541795</v>
      </c>
      <c r="AU113" s="16">
        <f>$W113*Z113+($L113)*Summary_LCIA!Q$32</f>
        <v>3028.1197782374711</v>
      </c>
      <c r="AV113" s="16">
        <f>$W113*AA113+($L113)*Summary_LCIA!R$32</f>
        <v>2.1113573805646073</v>
      </c>
      <c r="AW113" s="16">
        <f>$W113*AB113+($L113)*Summary_LCIA!S$32</f>
        <v>259.12389534541796</v>
      </c>
      <c r="AX113" s="16">
        <f>$W113*AC113+($L113)*Summary_LCIA!T$32</f>
        <v>69.441089028366292</v>
      </c>
      <c r="AY113" s="16">
        <f>$W113*AD113+($L113)*Summary_LCIA!U$32</f>
        <v>3.96216444970106</v>
      </c>
      <c r="AZ113" s="16">
        <f>$W113*AE113+($L113)*Summary_LCIA!V$32</f>
        <v>1.5300784999452248E-2</v>
      </c>
      <c r="BA113" s="16">
        <f>$W113*AF113+($L113)*Summary_LCIA!W$32</f>
        <v>23.976823063538966</v>
      </c>
      <c r="BB113" s="16">
        <f>$W113*AG113+($L113)*Summary_LCIA!X$32</f>
        <v>14.847179325654139</v>
      </c>
      <c r="BC113" s="16">
        <f>$W113*AH113+($L113)*Summary_LCIA!Y$32</f>
        <v>3.448797954665634</v>
      </c>
      <c r="BD113" s="16">
        <f>$W113*AI113+($L113)*Summary_LCIA!Z$32</f>
        <v>0.20128027450258124</v>
      </c>
      <c r="BE113" s="16">
        <f>$W113*AJ113+($L113)*Summary_LCIA!AA$32</f>
        <v>5.7000783335540115</v>
      </c>
      <c r="BF113" s="16">
        <f>$W113*AK113+($L113)*Summary_LCIA!AB$32</f>
        <v>4.4776380041962292E-2</v>
      </c>
      <c r="BG113" s="16">
        <f>$W113*AL113+($L113)*Summary_LCIA!AC$32</f>
        <v>3.397121908978473E-5</v>
      </c>
      <c r="BH113" s="16">
        <f>$W113*AM113+($L113)*Summary_LCIA!AD$32</f>
        <v>0.168971107661048</v>
      </c>
      <c r="BI113" s="16">
        <f>$W113*AN113+($L113)*Summary_LCIA!AE$32</f>
        <v>0.44258475965578609</v>
      </c>
      <c r="BJ113" s="16">
        <f>$W113*AO113+($L113)*Summary_LCIA!AF$32</f>
        <v>0.17946904183741144</v>
      </c>
      <c r="BK113" s="16">
        <f>$W113*AP113+($L113)*Summary_LCIA!AG$32</f>
        <v>1.446733111741145E-2</v>
      </c>
      <c r="BL113" s="16">
        <f>$W113*AQ113+($L113)*Summary_LCIA!AH$32</f>
        <v>2.3664792085211253</v>
      </c>
      <c r="BM113" s="16">
        <f>$W113*AR113+($L113)*Summary_LCIA!AI$32</f>
        <v>0.41099507945943559</v>
      </c>
      <c r="BN113" s="16"/>
    </row>
    <row r="114" spans="1:66" x14ac:dyDescent="0.25">
      <c r="A114" s="159">
        <v>24</v>
      </c>
      <c r="B114" s="159">
        <v>6</v>
      </c>
      <c r="C114" s="45">
        <v>46.891579</v>
      </c>
      <c r="D114" s="45">
        <v>-96.800127000000003</v>
      </c>
      <c r="E114" s="45" t="s">
        <v>265</v>
      </c>
      <c r="F114" s="159">
        <v>57</v>
      </c>
      <c r="G114" s="45" t="s">
        <v>565</v>
      </c>
      <c r="H114" s="45" t="s">
        <v>641</v>
      </c>
      <c r="I114" s="45">
        <v>44.884754999999998</v>
      </c>
      <c r="J114" s="45">
        <v>-93.222284999999999</v>
      </c>
      <c r="K114" s="45">
        <v>473.17089249999998</v>
      </c>
      <c r="L114" s="45">
        <v>397.00400000000002</v>
      </c>
      <c r="M114" s="45" t="s">
        <v>617</v>
      </c>
      <c r="N114" s="159">
        <v>5</v>
      </c>
      <c r="O114" s="159">
        <v>6</v>
      </c>
      <c r="P114" s="45" t="s">
        <v>565</v>
      </c>
      <c r="Q114" s="45" t="s">
        <v>564</v>
      </c>
      <c r="R114" s="45">
        <v>41.98028</v>
      </c>
      <c r="S114" s="45">
        <v>-87.908997900000003</v>
      </c>
      <c r="T114" s="45">
        <v>1014.239</v>
      </c>
      <c r="U114" s="45" t="s">
        <v>617</v>
      </c>
      <c r="V114" s="45" t="s">
        <v>569</v>
      </c>
      <c r="W114" s="45" cm="1">
        <f t="array" ref="W114">getDistance(R114,S114,I114,J114)*SA!$B$12</f>
        <v>537.9238360294454</v>
      </c>
      <c r="X114" s="22"/>
      <c r="Y114" s="16">
        <f>Transportation_LCIA!C$61*($W114^Transportation_LCIA!C$60)+Transportation_LCIA!C$62</f>
        <v>0.31986678213898079</v>
      </c>
      <c r="Z114" s="16">
        <f>Transportation_LCIA!D$61*($W114^Transportation_LCIA!D$60)+Transportation_LCIA!D$62</f>
        <v>3.4196837590581142</v>
      </c>
      <c r="AA114" s="16">
        <f>Transportation_LCIA!E$61*($W114^Transportation_LCIA!E$60)+Transportation_LCIA!E$62</f>
        <v>1.8006084167141755E-3</v>
      </c>
      <c r="AB114" s="16">
        <f>Transportation_LCIA!F$61*($W114^Transportation_LCIA!F$60)+Transportation_LCIA!F$62</f>
        <v>0.31986678213898079</v>
      </c>
      <c r="AC114" s="16">
        <f>Transportation_LCIA!G$61*($W114^Transportation_LCIA!G$60)+Transportation_LCIA!G$62</f>
        <v>7.9669699225259488E-2</v>
      </c>
      <c r="AD114" s="16">
        <f>Transportation_LCIA!H$61*($W114^Transportation_LCIA!H$60)+Transportation_LCIA!H$62</f>
        <v>4.2227087470452683E-4</v>
      </c>
      <c r="AE114" s="16">
        <f>Transportation_LCIA!I$61*($W114^Transportation_LCIA!I$60)+Transportation_LCIA!I$62</f>
        <v>9.6304021623867961E-6</v>
      </c>
      <c r="AF114" s="16">
        <f>Transportation_LCIA!J$61*($W114^Transportation_LCIA!J$60)+Transportation_LCIA!J$62</f>
        <v>1.4335225470337743E-2</v>
      </c>
      <c r="AG114" s="16">
        <f>Transportation_LCIA!K$61*($W114^Transportation_LCIA!K$60)+Transportation_LCIA!K$62</f>
        <v>1.7461378929992367E-2</v>
      </c>
      <c r="AH114" s="16">
        <f>Transportation_LCIA!L$61*($W114^Transportation_LCIA!L$60)+Transportation_LCIA!L$62</f>
        <v>3.741200211309115E-4</v>
      </c>
      <c r="AI114" s="16">
        <f>Transportation_LCIA!M$61*($W114^Transportation_LCIA!M$60)+Transportation_LCIA!M$62</f>
        <v>3.2392972305419126E-4</v>
      </c>
      <c r="AJ114" s="16">
        <f>Transportation_LCIA!N$61*($W114^Transportation_LCIA!N$60)+Transportation_LCIA!N$62</f>
        <v>1.4784543299395398E-3</v>
      </c>
      <c r="AK114" s="16">
        <f>Transportation_LCIA!O$61*($W114^Transportation_LCIA!O$60)+Transportation_LCIA!O$62</f>
        <v>8.4333072501823996E-5</v>
      </c>
      <c r="AL114" s="16">
        <f>Transportation_LCIA!P$61*($W114^Transportation_LCIA!P$60)+Transportation_LCIA!P$62</f>
        <v>4.0702648380323872E-8</v>
      </c>
      <c r="AM114" s="16">
        <f>Transportation_LCIA!Q$61*($W114^Transportation_LCIA!Q$60)+Transportation_LCIA!Q$62</f>
        <v>1.4754717709156823E-4</v>
      </c>
      <c r="AN114" s="16">
        <f>Transportation_LCIA!R$61*($W114^Transportation_LCIA!R$60)+Transportation_LCIA!R$62</f>
        <v>4.6270576693556009E-4</v>
      </c>
      <c r="AO114" s="16">
        <f>Transportation_LCIA!S$61*($W114^Transportation_LCIA!S$60)+Transportation_LCIA!S$62</f>
        <v>6.8227398697620497E-6</v>
      </c>
      <c r="AP114" s="16">
        <f>Transportation_LCIA!T$61*($W114^Transportation_LCIA!T$60)+Transportation_LCIA!T$62</f>
        <v>6.8227398697620497E-6</v>
      </c>
      <c r="AQ114" s="16">
        <f>Transportation_LCIA!U$61*($W114^Transportation_LCIA!U$60)+Transportation_LCIA!U$62</f>
        <v>1.002389311334221E-3</v>
      </c>
      <c r="AR114" s="16">
        <f>Transportation_LCIA!V$61*($W114^Transportation_LCIA!V$60)+Transportation_LCIA!V$62</f>
        <v>3.8411685160034487E-4</v>
      </c>
      <c r="AT114" s="16">
        <f>$W114*Y114+($L114)*Summary_LCIA!H$32</f>
        <v>306.96592566659547</v>
      </c>
      <c r="AU114" s="16">
        <f>$W114*Z114+($L114)*Summary_LCIA!Q$32</f>
        <v>3807.1012517828667</v>
      </c>
      <c r="AV114" s="16">
        <f>$W114*AA114+($L114)*Summary_LCIA!R$32</f>
        <v>3.0590544491057954</v>
      </c>
      <c r="AW114" s="16">
        <f>$W114*AB114+($L114)*Summary_LCIA!S$32</f>
        <v>305.21116798659546</v>
      </c>
      <c r="AX114" s="16">
        <f>$W114*AC114+($L114)*Summary_LCIA!T$32</f>
        <v>86.486969822563708</v>
      </c>
      <c r="AY114" s="16">
        <f>$W114*AD114+($L114)*Summary_LCIA!U$32</f>
        <v>7.3390792247645686</v>
      </c>
      <c r="AZ114" s="16">
        <f>$W114*AE114+($L114)*Summary_LCIA!V$32</f>
        <v>2.4141730917697373E-2</v>
      </c>
      <c r="BA114" s="16">
        <f>$W114*AF114+($L114)*Summary_LCIA!W$32</f>
        <v>38.269054359351088</v>
      </c>
      <c r="BB114" s="16">
        <f>$W114*AG114+($L114)*Summary_LCIA!X$32</f>
        <v>18.436643056385229</v>
      </c>
      <c r="BC114" s="16">
        <f>$W114*AH114+($L114)*Summary_LCIA!Y$32</f>
        <v>6.3873644049021578</v>
      </c>
      <c r="BD114" s="16">
        <f>$W114*AI114+($L114)*Summary_LCIA!Z$32</f>
        <v>0.19053025626526643</v>
      </c>
      <c r="BE114" s="16">
        <f>$W114*AJ114+($L114)*Summary_LCIA!AA$32</f>
        <v>10.06772124855542</v>
      </c>
      <c r="BF114" s="16">
        <f>$W114*AK114+($L114)*Summary_LCIA!AB$32</f>
        <v>3.6700951572330498E-2</v>
      </c>
      <c r="BG114" s="16">
        <f>$W114*AL114+($L114)*Summary_LCIA!AC$32</f>
        <v>4.1302068289301513E-5</v>
      </c>
      <c r="BH114" s="16">
        <f>$W114*AM114+($L114)*Summary_LCIA!AD$32</f>
        <v>0.24255366765641229</v>
      </c>
      <c r="BI114" s="16">
        <f>$W114*AN114+($L114)*Summary_LCIA!AE$32</f>
        <v>0.60069761562292301</v>
      </c>
      <c r="BJ114" s="16">
        <f>$W114*AO114+($L114)*Summary_LCIA!AF$32</f>
        <v>0.33930523608297347</v>
      </c>
      <c r="BK114" s="16">
        <f>$W114*AP114+($L114)*Summary_LCIA!AG$32</f>
        <v>2.3982824062973442E-2</v>
      </c>
      <c r="BL114" s="16">
        <f>$W114*AQ114+($L114)*Summary_LCIA!AH$32</f>
        <v>3.9945731179478186</v>
      </c>
      <c r="BM114" s="16">
        <f>$W114*AR114+($L114)*Summary_LCIA!AI$32</f>
        <v>0.57645468649641074</v>
      </c>
      <c r="BN114" s="16"/>
    </row>
    <row r="115" spans="1:66" x14ac:dyDescent="0.25">
      <c r="A115" s="159">
        <v>25</v>
      </c>
      <c r="B115" s="159">
        <v>6</v>
      </c>
      <c r="C115" s="45">
        <v>46.891579</v>
      </c>
      <c r="D115" s="45">
        <v>-96.800127000000003</v>
      </c>
      <c r="E115" s="45" t="s">
        <v>265</v>
      </c>
      <c r="F115" s="159">
        <v>57</v>
      </c>
      <c r="G115" s="45" t="s">
        <v>565</v>
      </c>
      <c r="H115" s="45" t="s">
        <v>641</v>
      </c>
      <c r="I115" s="45">
        <v>44.884754999999998</v>
      </c>
      <c r="J115" s="45">
        <v>-93.222284999999999</v>
      </c>
      <c r="K115" s="45">
        <v>473.17089249999998</v>
      </c>
      <c r="L115" s="45">
        <v>397.00400000000002</v>
      </c>
      <c r="M115" s="45" t="s">
        <v>617</v>
      </c>
      <c r="N115" s="159">
        <v>5</v>
      </c>
      <c r="O115" s="159">
        <v>6</v>
      </c>
      <c r="P115" s="45" t="s">
        <v>565</v>
      </c>
      <c r="Q115" s="45" t="s">
        <v>564</v>
      </c>
      <c r="R115" s="45">
        <v>41.98028</v>
      </c>
      <c r="S115" s="45">
        <v>-87.908997900000003</v>
      </c>
      <c r="T115" s="45">
        <v>1014.239</v>
      </c>
      <c r="U115" s="45" t="s">
        <v>617</v>
      </c>
      <c r="V115" s="45" t="s">
        <v>569</v>
      </c>
      <c r="W115" s="45" cm="1">
        <f t="array" ref="W115">getDistance(R115,S115,I115,J115)*SA!$B$12</f>
        <v>537.9238360294454</v>
      </c>
      <c r="X115" s="22"/>
      <c r="Y115" s="16">
        <f>Transportation_LCIA!C$61*($W115^Transportation_LCIA!C$60)+Transportation_LCIA!C$62</f>
        <v>0.31986678213898079</v>
      </c>
      <c r="Z115" s="16">
        <f>Transportation_LCIA!D$61*($W115^Transportation_LCIA!D$60)+Transportation_LCIA!D$62</f>
        <v>3.4196837590581142</v>
      </c>
      <c r="AA115" s="16">
        <f>Transportation_LCIA!E$61*($W115^Transportation_LCIA!E$60)+Transportation_LCIA!E$62</f>
        <v>1.8006084167141755E-3</v>
      </c>
      <c r="AB115" s="16">
        <f>Transportation_LCIA!F$61*($W115^Transportation_LCIA!F$60)+Transportation_LCIA!F$62</f>
        <v>0.31986678213898079</v>
      </c>
      <c r="AC115" s="16">
        <f>Transportation_LCIA!G$61*($W115^Transportation_LCIA!G$60)+Transportation_LCIA!G$62</f>
        <v>7.9669699225259488E-2</v>
      </c>
      <c r="AD115" s="16">
        <f>Transportation_LCIA!H$61*($W115^Transportation_LCIA!H$60)+Transportation_LCIA!H$62</f>
        <v>4.2227087470452683E-4</v>
      </c>
      <c r="AE115" s="16">
        <f>Transportation_LCIA!I$61*($W115^Transportation_LCIA!I$60)+Transportation_LCIA!I$62</f>
        <v>9.6304021623867961E-6</v>
      </c>
      <c r="AF115" s="16">
        <f>Transportation_LCIA!J$61*($W115^Transportation_LCIA!J$60)+Transportation_LCIA!J$62</f>
        <v>1.4335225470337743E-2</v>
      </c>
      <c r="AG115" s="16">
        <f>Transportation_LCIA!K$61*($W115^Transportation_LCIA!K$60)+Transportation_LCIA!K$62</f>
        <v>1.7461378929992367E-2</v>
      </c>
      <c r="AH115" s="16">
        <f>Transportation_LCIA!L$61*($W115^Transportation_LCIA!L$60)+Transportation_LCIA!L$62</f>
        <v>3.741200211309115E-4</v>
      </c>
      <c r="AI115" s="16">
        <f>Transportation_LCIA!M$61*($W115^Transportation_LCIA!M$60)+Transportation_LCIA!M$62</f>
        <v>3.2392972305419126E-4</v>
      </c>
      <c r="AJ115" s="16">
        <f>Transportation_LCIA!N$61*($W115^Transportation_LCIA!N$60)+Transportation_LCIA!N$62</f>
        <v>1.4784543299395398E-3</v>
      </c>
      <c r="AK115" s="16">
        <f>Transportation_LCIA!O$61*($W115^Transportation_LCIA!O$60)+Transportation_LCIA!O$62</f>
        <v>8.4333072501823996E-5</v>
      </c>
      <c r="AL115" s="16">
        <f>Transportation_LCIA!P$61*($W115^Transportation_LCIA!P$60)+Transportation_LCIA!P$62</f>
        <v>4.0702648380323872E-8</v>
      </c>
      <c r="AM115" s="16">
        <f>Transportation_LCIA!Q$61*($W115^Transportation_LCIA!Q$60)+Transportation_LCIA!Q$62</f>
        <v>1.4754717709156823E-4</v>
      </c>
      <c r="AN115" s="16">
        <f>Transportation_LCIA!R$61*($W115^Transportation_LCIA!R$60)+Transportation_LCIA!R$62</f>
        <v>4.6270576693556009E-4</v>
      </c>
      <c r="AO115" s="16">
        <f>Transportation_LCIA!S$61*($W115^Transportation_LCIA!S$60)+Transportation_LCIA!S$62</f>
        <v>6.8227398697620497E-6</v>
      </c>
      <c r="AP115" s="16">
        <f>Transportation_LCIA!T$61*($W115^Transportation_LCIA!T$60)+Transportation_LCIA!T$62</f>
        <v>6.8227398697620497E-6</v>
      </c>
      <c r="AQ115" s="16">
        <f>Transportation_LCIA!U$61*($W115^Transportation_LCIA!U$60)+Transportation_LCIA!U$62</f>
        <v>1.002389311334221E-3</v>
      </c>
      <c r="AR115" s="16">
        <f>Transportation_LCIA!V$61*($W115^Transportation_LCIA!V$60)+Transportation_LCIA!V$62</f>
        <v>3.8411685160034487E-4</v>
      </c>
      <c r="AT115" s="16">
        <f>$W115*Y115+($L115)*Summary_LCIA!H$32</f>
        <v>306.96592566659547</v>
      </c>
      <c r="AU115" s="16">
        <f>$W115*Z115+($L115)*Summary_LCIA!Q$32</f>
        <v>3807.1012517828667</v>
      </c>
      <c r="AV115" s="16">
        <f>$W115*AA115+($L115)*Summary_LCIA!R$32</f>
        <v>3.0590544491057954</v>
      </c>
      <c r="AW115" s="16">
        <f>$W115*AB115+($L115)*Summary_LCIA!S$32</f>
        <v>305.21116798659546</v>
      </c>
      <c r="AX115" s="16">
        <f>$W115*AC115+($L115)*Summary_LCIA!T$32</f>
        <v>86.486969822563708</v>
      </c>
      <c r="AY115" s="16">
        <f>$W115*AD115+($L115)*Summary_LCIA!U$32</f>
        <v>7.3390792247645686</v>
      </c>
      <c r="AZ115" s="16">
        <f>$W115*AE115+($L115)*Summary_LCIA!V$32</f>
        <v>2.4141730917697373E-2</v>
      </c>
      <c r="BA115" s="16">
        <f>$W115*AF115+($L115)*Summary_LCIA!W$32</f>
        <v>38.269054359351088</v>
      </c>
      <c r="BB115" s="16">
        <f>$W115*AG115+($L115)*Summary_LCIA!X$32</f>
        <v>18.436643056385229</v>
      </c>
      <c r="BC115" s="16">
        <f>$W115*AH115+($L115)*Summary_LCIA!Y$32</f>
        <v>6.3873644049021578</v>
      </c>
      <c r="BD115" s="16">
        <f>$W115*AI115+($L115)*Summary_LCIA!Z$32</f>
        <v>0.19053025626526643</v>
      </c>
      <c r="BE115" s="16">
        <f>$W115*AJ115+($L115)*Summary_LCIA!AA$32</f>
        <v>10.06772124855542</v>
      </c>
      <c r="BF115" s="16">
        <f>$W115*AK115+($L115)*Summary_LCIA!AB$32</f>
        <v>3.6700951572330498E-2</v>
      </c>
      <c r="BG115" s="16">
        <f>$W115*AL115+($L115)*Summary_LCIA!AC$32</f>
        <v>4.1302068289301513E-5</v>
      </c>
      <c r="BH115" s="16">
        <f>$W115*AM115+($L115)*Summary_LCIA!AD$32</f>
        <v>0.24255366765641229</v>
      </c>
      <c r="BI115" s="16">
        <f>$W115*AN115+($L115)*Summary_LCIA!AE$32</f>
        <v>0.60069761562292301</v>
      </c>
      <c r="BJ115" s="16">
        <f>$W115*AO115+($L115)*Summary_LCIA!AF$32</f>
        <v>0.33930523608297347</v>
      </c>
      <c r="BK115" s="16">
        <f>$W115*AP115+($L115)*Summary_LCIA!AG$32</f>
        <v>2.3982824062973442E-2</v>
      </c>
      <c r="BL115" s="16">
        <f>$W115*AQ115+($L115)*Summary_LCIA!AH$32</f>
        <v>3.9945731179478186</v>
      </c>
      <c r="BM115" s="16">
        <f>$W115*AR115+($L115)*Summary_LCIA!AI$32</f>
        <v>0.57645468649641074</v>
      </c>
      <c r="BN115" s="16"/>
    </row>
    <row r="116" spans="1:66" x14ac:dyDescent="0.25">
      <c r="A116" s="159">
        <v>26</v>
      </c>
      <c r="B116" s="159">
        <v>6</v>
      </c>
      <c r="C116" s="45">
        <v>46.891579</v>
      </c>
      <c r="D116" s="45">
        <v>-96.800127000000003</v>
      </c>
      <c r="E116" s="45" t="s">
        <v>265</v>
      </c>
      <c r="F116" s="159">
        <v>57</v>
      </c>
      <c r="G116" s="45" t="s">
        <v>565</v>
      </c>
      <c r="H116" s="45" t="s">
        <v>641</v>
      </c>
      <c r="I116" s="45">
        <v>44.884754999999998</v>
      </c>
      <c r="J116" s="45">
        <v>-93.222284999999999</v>
      </c>
      <c r="K116" s="45">
        <v>473.17089249999998</v>
      </c>
      <c r="L116" s="45">
        <v>397.00400000000002</v>
      </c>
      <c r="M116" s="45" t="s">
        <v>617</v>
      </c>
      <c r="N116" s="159">
        <v>5</v>
      </c>
      <c r="O116" s="159">
        <v>6</v>
      </c>
      <c r="P116" s="45" t="s">
        <v>565</v>
      </c>
      <c r="Q116" s="45" t="s">
        <v>564</v>
      </c>
      <c r="R116" s="45">
        <v>41.98028</v>
      </c>
      <c r="S116" s="45">
        <v>-87.908997900000003</v>
      </c>
      <c r="T116" s="45">
        <v>1014.239</v>
      </c>
      <c r="U116" s="45" t="s">
        <v>617</v>
      </c>
      <c r="V116" s="45" t="s">
        <v>569</v>
      </c>
      <c r="W116" s="45" cm="1">
        <f t="array" ref="W116">getDistance(R116,S116,I116,J116)*SA!$B$12</f>
        <v>537.9238360294454</v>
      </c>
      <c r="X116" s="22"/>
      <c r="Y116" s="16">
        <f>Transportation_LCIA!C$61*($W116^Transportation_LCIA!C$60)+Transportation_LCIA!C$62</f>
        <v>0.31986678213898079</v>
      </c>
      <c r="Z116" s="16">
        <f>Transportation_LCIA!D$61*($W116^Transportation_LCIA!D$60)+Transportation_LCIA!D$62</f>
        <v>3.4196837590581142</v>
      </c>
      <c r="AA116" s="16">
        <f>Transportation_LCIA!E$61*($W116^Transportation_LCIA!E$60)+Transportation_LCIA!E$62</f>
        <v>1.8006084167141755E-3</v>
      </c>
      <c r="AB116" s="16">
        <f>Transportation_LCIA!F$61*($W116^Transportation_LCIA!F$60)+Transportation_LCIA!F$62</f>
        <v>0.31986678213898079</v>
      </c>
      <c r="AC116" s="16">
        <f>Transportation_LCIA!G$61*($W116^Transportation_LCIA!G$60)+Transportation_LCIA!G$62</f>
        <v>7.9669699225259488E-2</v>
      </c>
      <c r="AD116" s="16">
        <f>Transportation_LCIA!H$61*($W116^Transportation_LCIA!H$60)+Transportation_LCIA!H$62</f>
        <v>4.2227087470452683E-4</v>
      </c>
      <c r="AE116" s="16">
        <f>Transportation_LCIA!I$61*($W116^Transportation_LCIA!I$60)+Transportation_LCIA!I$62</f>
        <v>9.6304021623867961E-6</v>
      </c>
      <c r="AF116" s="16">
        <f>Transportation_LCIA!J$61*($W116^Transportation_LCIA!J$60)+Transportation_LCIA!J$62</f>
        <v>1.4335225470337743E-2</v>
      </c>
      <c r="AG116" s="16">
        <f>Transportation_LCIA!K$61*($W116^Transportation_LCIA!K$60)+Transportation_LCIA!K$62</f>
        <v>1.7461378929992367E-2</v>
      </c>
      <c r="AH116" s="16">
        <f>Transportation_LCIA!L$61*($W116^Transportation_LCIA!L$60)+Transportation_LCIA!L$62</f>
        <v>3.741200211309115E-4</v>
      </c>
      <c r="AI116" s="16">
        <f>Transportation_LCIA!M$61*($W116^Transportation_LCIA!M$60)+Transportation_LCIA!M$62</f>
        <v>3.2392972305419126E-4</v>
      </c>
      <c r="AJ116" s="16">
        <f>Transportation_LCIA!N$61*($W116^Transportation_LCIA!N$60)+Transportation_LCIA!N$62</f>
        <v>1.4784543299395398E-3</v>
      </c>
      <c r="AK116" s="16">
        <f>Transportation_LCIA!O$61*($W116^Transportation_LCIA!O$60)+Transportation_LCIA!O$62</f>
        <v>8.4333072501823996E-5</v>
      </c>
      <c r="AL116" s="16">
        <f>Transportation_LCIA!P$61*($W116^Transportation_LCIA!P$60)+Transportation_LCIA!P$62</f>
        <v>4.0702648380323872E-8</v>
      </c>
      <c r="AM116" s="16">
        <f>Transportation_LCIA!Q$61*($W116^Transportation_LCIA!Q$60)+Transportation_LCIA!Q$62</f>
        <v>1.4754717709156823E-4</v>
      </c>
      <c r="AN116" s="16">
        <f>Transportation_LCIA!R$61*($W116^Transportation_LCIA!R$60)+Transportation_LCIA!R$62</f>
        <v>4.6270576693556009E-4</v>
      </c>
      <c r="AO116" s="16">
        <f>Transportation_LCIA!S$61*($W116^Transportation_LCIA!S$60)+Transportation_LCIA!S$62</f>
        <v>6.8227398697620497E-6</v>
      </c>
      <c r="AP116" s="16">
        <f>Transportation_LCIA!T$61*($W116^Transportation_LCIA!T$60)+Transportation_LCIA!T$62</f>
        <v>6.8227398697620497E-6</v>
      </c>
      <c r="AQ116" s="16">
        <f>Transportation_LCIA!U$61*($W116^Transportation_LCIA!U$60)+Transportation_LCIA!U$62</f>
        <v>1.002389311334221E-3</v>
      </c>
      <c r="AR116" s="16">
        <f>Transportation_LCIA!V$61*($W116^Transportation_LCIA!V$60)+Transportation_LCIA!V$62</f>
        <v>3.8411685160034487E-4</v>
      </c>
      <c r="AT116" s="16">
        <f>$W116*Y116+($L116)*Summary_LCIA!H$32</f>
        <v>306.96592566659547</v>
      </c>
      <c r="AU116" s="16">
        <f>$W116*Z116+($L116)*Summary_LCIA!Q$32</f>
        <v>3807.1012517828667</v>
      </c>
      <c r="AV116" s="16">
        <f>$W116*AA116+($L116)*Summary_LCIA!R$32</f>
        <v>3.0590544491057954</v>
      </c>
      <c r="AW116" s="16">
        <f>$W116*AB116+($L116)*Summary_LCIA!S$32</f>
        <v>305.21116798659546</v>
      </c>
      <c r="AX116" s="16">
        <f>$W116*AC116+($L116)*Summary_LCIA!T$32</f>
        <v>86.486969822563708</v>
      </c>
      <c r="AY116" s="16">
        <f>$W116*AD116+($L116)*Summary_LCIA!U$32</f>
        <v>7.3390792247645686</v>
      </c>
      <c r="AZ116" s="16">
        <f>$W116*AE116+($L116)*Summary_LCIA!V$32</f>
        <v>2.4141730917697373E-2</v>
      </c>
      <c r="BA116" s="16">
        <f>$W116*AF116+($L116)*Summary_LCIA!W$32</f>
        <v>38.269054359351088</v>
      </c>
      <c r="BB116" s="16">
        <f>$W116*AG116+($L116)*Summary_LCIA!X$32</f>
        <v>18.436643056385229</v>
      </c>
      <c r="BC116" s="16">
        <f>$W116*AH116+($L116)*Summary_LCIA!Y$32</f>
        <v>6.3873644049021578</v>
      </c>
      <c r="BD116" s="16">
        <f>$W116*AI116+($L116)*Summary_LCIA!Z$32</f>
        <v>0.19053025626526643</v>
      </c>
      <c r="BE116" s="16">
        <f>$W116*AJ116+($L116)*Summary_LCIA!AA$32</f>
        <v>10.06772124855542</v>
      </c>
      <c r="BF116" s="16">
        <f>$W116*AK116+($L116)*Summary_LCIA!AB$32</f>
        <v>3.6700951572330498E-2</v>
      </c>
      <c r="BG116" s="16">
        <f>$W116*AL116+($L116)*Summary_LCIA!AC$32</f>
        <v>4.1302068289301513E-5</v>
      </c>
      <c r="BH116" s="16">
        <f>$W116*AM116+($L116)*Summary_LCIA!AD$32</f>
        <v>0.24255366765641229</v>
      </c>
      <c r="BI116" s="16">
        <f>$W116*AN116+($L116)*Summary_LCIA!AE$32</f>
        <v>0.60069761562292301</v>
      </c>
      <c r="BJ116" s="16">
        <f>$W116*AO116+($L116)*Summary_LCIA!AF$32</f>
        <v>0.33930523608297347</v>
      </c>
      <c r="BK116" s="16">
        <f>$W116*AP116+($L116)*Summary_LCIA!AG$32</f>
        <v>2.3982824062973442E-2</v>
      </c>
      <c r="BL116" s="16">
        <f>$W116*AQ116+($L116)*Summary_LCIA!AH$32</f>
        <v>3.9945731179478186</v>
      </c>
      <c r="BM116" s="16">
        <f>$W116*AR116+($L116)*Summary_LCIA!AI$32</f>
        <v>0.57645468649641074</v>
      </c>
      <c r="BN116" s="16"/>
    </row>
    <row r="117" spans="1:66" x14ac:dyDescent="0.25">
      <c r="A117" s="159">
        <v>236</v>
      </c>
      <c r="B117" s="159">
        <v>6</v>
      </c>
      <c r="C117" s="45">
        <v>36.31344</v>
      </c>
      <c r="D117" s="45">
        <v>-82.353472999999994</v>
      </c>
      <c r="E117" s="45" t="s">
        <v>265</v>
      </c>
      <c r="F117" s="159">
        <v>34</v>
      </c>
      <c r="G117" s="45" t="s">
        <v>565</v>
      </c>
      <c r="H117" s="45" t="s">
        <v>633</v>
      </c>
      <c r="I117" s="45">
        <v>35.214402999999997</v>
      </c>
      <c r="J117" s="45">
        <v>-80.947315000000003</v>
      </c>
      <c r="K117" s="45">
        <v>212.4742573</v>
      </c>
      <c r="L117" s="45">
        <v>236.197</v>
      </c>
      <c r="M117" s="45" t="s">
        <v>617</v>
      </c>
      <c r="N117" s="159">
        <v>5</v>
      </c>
      <c r="O117" s="159">
        <v>6</v>
      </c>
      <c r="P117" s="45" t="s">
        <v>565</v>
      </c>
      <c r="Q117" s="45" t="s">
        <v>564</v>
      </c>
      <c r="R117" s="45">
        <v>41.98028</v>
      </c>
      <c r="S117" s="45">
        <v>-87.908997900000003</v>
      </c>
      <c r="T117" s="45">
        <v>1017.447</v>
      </c>
      <c r="U117" s="45" t="s">
        <v>617</v>
      </c>
      <c r="V117" s="45" t="s">
        <v>569</v>
      </c>
      <c r="W117" s="45" cm="1">
        <f t="array" ref="W117">getDistance(R117,S117,I117,J117)*SA!$B$12</f>
        <v>965.81934331629839</v>
      </c>
      <c r="X117" s="22"/>
      <c r="Y117" s="16">
        <f>Transportation_LCIA!C$61*($W117^Transportation_LCIA!C$60)+Transportation_LCIA!C$62</f>
        <v>0.23917916746170043</v>
      </c>
      <c r="Z117" s="16">
        <f>Transportation_LCIA!D$61*($W117^Transportation_LCIA!D$60)+Transportation_LCIA!D$62</f>
        <v>2.4637498822292629</v>
      </c>
      <c r="AA117" s="16">
        <f>Transportation_LCIA!E$61*($W117^Transportation_LCIA!E$60)+Transportation_LCIA!E$62</f>
        <v>1.1694202797749105E-3</v>
      </c>
      <c r="AB117" s="16">
        <f>Transportation_LCIA!F$61*($W117^Transportation_LCIA!F$60)+Transportation_LCIA!F$62</f>
        <v>0.23917916746170043</v>
      </c>
      <c r="AC117" s="16">
        <f>Transportation_LCIA!G$61*($W117^Transportation_LCIA!G$60)+Transportation_LCIA!G$62</f>
        <v>5.7572922745648923E-2</v>
      </c>
      <c r="AD117" s="16">
        <f>Transportation_LCIA!H$61*($W117^Transportation_LCIA!H$60)+Transportation_LCIA!H$62</f>
        <v>2.8231462329926001E-4</v>
      </c>
      <c r="AE117" s="16">
        <f>Transportation_LCIA!I$61*($W117^Transportation_LCIA!I$60)+Transportation_LCIA!I$62</f>
        <v>6.0590881500882351E-6</v>
      </c>
      <c r="AF117" s="16">
        <f>Transportation_LCIA!J$61*($W117^Transportation_LCIA!J$60)+Transportation_LCIA!J$62</f>
        <v>8.9691244315593405E-3</v>
      </c>
      <c r="AG117" s="16">
        <f>Transportation_LCIA!K$61*($W117^Transportation_LCIA!K$60)+Transportation_LCIA!K$62</f>
        <v>1.2263721703450336E-2</v>
      </c>
      <c r="AH117" s="16">
        <f>Transportation_LCIA!L$61*($W117^Transportation_LCIA!L$60)+Transportation_LCIA!L$62</f>
        <v>2.449555211742904E-4</v>
      </c>
      <c r="AI117" s="16">
        <f>Transportation_LCIA!M$61*($W117^Transportation_LCIA!M$60)+Transportation_LCIA!M$62</f>
        <v>2.4665373974360274E-4</v>
      </c>
      <c r="AJ117" s="16">
        <f>Transportation_LCIA!N$61*($W117^Transportation_LCIA!N$60)+Transportation_LCIA!N$62</f>
        <v>1.0084044075747351E-3</v>
      </c>
      <c r="AK117" s="16">
        <f>Transportation_LCIA!O$61*($W117^Transportation_LCIA!O$60)+Transportation_LCIA!O$62</f>
        <v>6.0842656849062702E-5</v>
      </c>
      <c r="AL117" s="16">
        <f>Transportation_LCIA!P$61*($W117^Transportation_LCIA!P$60)+Transportation_LCIA!P$62</f>
        <v>2.9421386486163209E-8</v>
      </c>
      <c r="AM117" s="16">
        <f>Transportation_LCIA!Q$61*($W117^Transportation_LCIA!Q$60)+Transportation_LCIA!Q$62</f>
        <v>9.693865430446136E-5</v>
      </c>
      <c r="AN117" s="16">
        <f>Transportation_LCIA!R$61*($W117^Transportation_LCIA!R$60)+Transportation_LCIA!R$62</f>
        <v>2.9139446096429532E-4</v>
      </c>
      <c r="AO117" s="16">
        <f>Transportation_LCIA!S$61*($W117^Transportation_LCIA!S$60)+Transportation_LCIA!S$62</f>
        <v>4.3929473757171984E-6</v>
      </c>
      <c r="AP117" s="16">
        <f>Transportation_LCIA!T$61*($W117^Transportation_LCIA!T$60)+Transportation_LCIA!T$62</f>
        <v>4.3929473757171984E-6</v>
      </c>
      <c r="AQ117" s="16">
        <f>Transportation_LCIA!U$61*($W117^Transportation_LCIA!U$60)+Transportation_LCIA!U$62</f>
        <v>6.2573096450825355E-4</v>
      </c>
      <c r="AR117" s="16">
        <f>Transportation_LCIA!V$61*($W117^Transportation_LCIA!V$60)+Transportation_LCIA!V$62</f>
        <v>2.5210555325466699E-4</v>
      </c>
      <c r="AT117" s="16">
        <f>$W117*Y117+($L117)*Summary_LCIA!H$32</f>
        <v>311.26360705279848</v>
      </c>
      <c r="AU117" s="16">
        <f>$W117*Z117+($L117)*Summary_LCIA!Q$32</f>
        <v>3550.1415374735752</v>
      </c>
      <c r="AV117" s="16">
        <f>$W117*AA117+($L117)*Summary_LCIA!R$32</f>
        <v>2.3731676498729657</v>
      </c>
      <c r="AW117" s="16">
        <f>$W117*AB117+($L117)*Summary_LCIA!S$32</f>
        <v>310.21961631279845</v>
      </c>
      <c r="AX117" s="16">
        <f>$W117*AC117+($L117)*Summary_LCIA!T$32</f>
        <v>81.563092739002627</v>
      </c>
      <c r="AY117" s="16">
        <f>$W117*AD117+($L117)*Summary_LCIA!U$32</f>
        <v>4.5038979820834797</v>
      </c>
      <c r="AZ117" s="16">
        <f>$W117*AE117+($L117)*Summary_LCIA!V$32</f>
        <v>1.7132989455213785E-2</v>
      </c>
      <c r="BA117" s="16">
        <f>$W117*AF117+($L117)*Summary_LCIA!W$32</f>
        <v>26.84287315561081</v>
      </c>
      <c r="BB117" s="16">
        <f>$W117*AG117+($L117)*Summary_LCIA!X$32</f>
        <v>17.225107302240239</v>
      </c>
      <c r="BC117" s="16">
        <f>$W117*AH117+($L117)*Summary_LCIA!Y$32</f>
        <v>3.917004434602255</v>
      </c>
      <c r="BD117" s="16">
        <f>$W117*AI117+($L117)*Summary_LCIA!Z$32</f>
        <v>0.24790915571867558</v>
      </c>
      <c r="BE117" s="16">
        <f>$W117*AJ117+($L117)*Summary_LCIA!AA$32</f>
        <v>6.4905536147210912</v>
      </c>
      <c r="BF117" s="16">
        <f>$W117*AK117+($L117)*Summary_LCIA!AB$32</f>
        <v>5.3608487752580619E-2</v>
      </c>
      <c r="BG117" s="16">
        <f>$W117*AL117+($L117)*Summary_LCIA!AC$32</f>
        <v>3.9961998323521167E-5</v>
      </c>
      <c r="BH117" s="16">
        <f>$W117*AM117+($L117)*Summary_LCIA!AD$32</f>
        <v>0.19071164232230053</v>
      </c>
      <c r="BI117" s="16">
        <f>$W117*AN117+($L117)*Summary_LCIA!AE$32</f>
        <v>0.49073565454454249</v>
      </c>
      <c r="BJ117" s="16">
        <f>$W117*AO117+($L117)*Summary_LCIA!AF$32</f>
        <v>0.20392846128963826</v>
      </c>
      <c r="BK117" s="16">
        <f>$W117*AP117+($L117)*Summary_LCIA!AG$32</f>
        <v>1.6327813054638242E-2</v>
      </c>
      <c r="BL117" s="16">
        <f>$W117*AQ117+($L117)*Summary_LCIA!AH$32</f>
        <v>2.6601072784340358</v>
      </c>
      <c r="BM117" s="16">
        <f>$W117*AR117+($L117)*Summary_LCIA!AI$32</f>
        <v>0.46351773524081458</v>
      </c>
      <c r="BN117" s="16"/>
    </row>
    <row r="118" spans="1:66" x14ac:dyDescent="0.25">
      <c r="A118" s="159">
        <v>237</v>
      </c>
      <c r="B118" s="159">
        <v>6</v>
      </c>
      <c r="C118" s="45">
        <v>36.31344</v>
      </c>
      <c r="D118" s="45">
        <v>-82.353472999999994</v>
      </c>
      <c r="E118" s="45" t="s">
        <v>265</v>
      </c>
      <c r="F118" s="159">
        <v>34</v>
      </c>
      <c r="G118" s="45" t="s">
        <v>565</v>
      </c>
      <c r="H118" s="45" t="s">
        <v>633</v>
      </c>
      <c r="I118" s="45">
        <v>35.214402999999997</v>
      </c>
      <c r="J118" s="45">
        <v>-80.947315000000003</v>
      </c>
      <c r="K118" s="45">
        <v>212.4742573</v>
      </c>
      <c r="L118" s="45">
        <v>236.197</v>
      </c>
      <c r="M118" s="45" t="s">
        <v>617</v>
      </c>
      <c r="N118" s="159">
        <v>5</v>
      </c>
      <c r="O118" s="159">
        <v>6</v>
      </c>
      <c r="P118" s="45" t="s">
        <v>565</v>
      </c>
      <c r="Q118" s="45" t="s">
        <v>564</v>
      </c>
      <c r="R118" s="45">
        <v>41.98028</v>
      </c>
      <c r="S118" s="45">
        <v>-87.908997900000003</v>
      </c>
      <c r="T118" s="45">
        <v>1017.447</v>
      </c>
      <c r="U118" s="45" t="s">
        <v>617</v>
      </c>
      <c r="V118" s="45" t="s">
        <v>569</v>
      </c>
      <c r="W118" s="45" cm="1">
        <f t="array" ref="W118">getDistance(R118,S118,I118,J118)*SA!$B$12</f>
        <v>965.81934331629839</v>
      </c>
      <c r="X118" s="22"/>
      <c r="Y118" s="16">
        <f>Transportation_LCIA!C$61*($W118^Transportation_LCIA!C$60)+Transportation_LCIA!C$62</f>
        <v>0.23917916746170043</v>
      </c>
      <c r="Z118" s="16">
        <f>Transportation_LCIA!D$61*($W118^Transportation_LCIA!D$60)+Transportation_LCIA!D$62</f>
        <v>2.4637498822292629</v>
      </c>
      <c r="AA118" s="16">
        <f>Transportation_LCIA!E$61*($W118^Transportation_LCIA!E$60)+Transportation_LCIA!E$62</f>
        <v>1.1694202797749105E-3</v>
      </c>
      <c r="AB118" s="16">
        <f>Transportation_LCIA!F$61*($W118^Transportation_LCIA!F$60)+Transportation_LCIA!F$62</f>
        <v>0.23917916746170043</v>
      </c>
      <c r="AC118" s="16">
        <f>Transportation_LCIA!G$61*($W118^Transportation_LCIA!G$60)+Transportation_LCIA!G$62</f>
        <v>5.7572922745648923E-2</v>
      </c>
      <c r="AD118" s="16">
        <f>Transportation_LCIA!H$61*($W118^Transportation_LCIA!H$60)+Transportation_LCIA!H$62</f>
        <v>2.8231462329926001E-4</v>
      </c>
      <c r="AE118" s="16">
        <f>Transportation_LCIA!I$61*($W118^Transportation_LCIA!I$60)+Transportation_LCIA!I$62</f>
        <v>6.0590881500882351E-6</v>
      </c>
      <c r="AF118" s="16">
        <f>Transportation_LCIA!J$61*($W118^Transportation_LCIA!J$60)+Transportation_LCIA!J$62</f>
        <v>8.9691244315593405E-3</v>
      </c>
      <c r="AG118" s="16">
        <f>Transportation_LCIA!K$61*($W118^Transportation_LCIA!K$60)+Transportation_LCIA!K$62</f>
        <v>1.2263721703450336E-2</v>
      </c>
      <c r="AH118" s="16">
        <f>Transportation_LCIA!L$61*($W118^Transportation_LCIA!L$60)+Transportation_LCIA!L$62</f>
        <v>2.449555211742904E-4</v>
      </c>
      <c r="AI118" s="16">
        <f>Transportation_LCIA!M$61*($W118^Transportation_LCIA!M$60)+Transportation_LCIA!M$62</f>
        <v>2.4665373974360274E-4</v>
      </c>
      <c r="AJ118" s="16">
        <f>Transportation_LCIA!N$61*($W118^Transportation_LCIA!N$60)+Transportation_LCIA!N$62</f>
        <v>1.0084044075747351E-3</v>
      </c>
      <c r="AK118" s="16">
        <f>Transportation_LCIA!O$61*($W118^Transportation_LCIA!O$60)+Transportation_LCIA!O$62</f>
        <v>6.0842656849062702E-5</v>
      </c>
      <c r="AL118" s="16">
        <f>Transportation_LCIA!P$61*($W118^Transportation_LCIA!P$60)+Transportation_LCIA!P$62</f>
        <v>2.9421386486163209E-8</v>
      </c>
      <c r="AM118" s="16">
        <f>Transportation_LCIA!Q$61*($W118^Transportation_LCIA!Q$60)+Transportation_LCIA!Q$62</f>
        <v>9.693865430446136E-5</v>
      </c>
      <c r="AN118" s="16">
        <f>Transportation_LCIA!R$61*($W118^Transportation_LCIA!R$60)+Transportation_LCIA!R$62</f>
        <v>2.9139446096429532E-4</v>
      </c>
      <c r="AO118" s="16">
        <f>Transportation_LCIA!S$61*($W118^Transportation_LCIA!S$60)+Transportation_LCIA!S$62</f>
        <v>4.3929473757171984E-6</v>
      </c>
      <c r="AP118" s="16">
        <f>Transportation_LCIA!T$61*($W118^Transportation_LCIA!T$60)+Transportation_LCIA!T$62</f>
        <v>4.3929473757171984E-6</v>
      </c>
      <c r="AQ118" s="16">
        <f>Transportation_LCIA!U$61*($W118^Transportation_LCIA!U$60)+Transportation_LCIA!U$62</f>
        <v>6.2573096450825355E-4</v>
      </c>
      <c r="AR118" s="16">
        <f>Transportation_LCIA!V$61*($W118^Transportation_LCIA!V$60)+Transportation_LCIA!V$62</f>
        <v>2.5210555325466699E-4</v>
      </c>
      <c r="AT118" s="16">
        <f>$W118*Y118+($L118)*Summary_LCIA!H$32</f>
        <v>311.26360705279848</v>
      </c>
      <c r="AU118" s="16">
        <f>$W118*Z118+($L118)*Summary_LCIA!Q$32</f>
        <v>3550.1415374735752</v>
      </c>
      <c r="AV118" s="16">
        <f>$W118*AA118+($L118)*Summary_LCIA!R$32</f>
        <v>2.3731676498729657</v>
      </c>
      <c r="AW118" s="16">
        <f>$W118*AB118+($L118)*Summary_LCIA!S$32</f>
        <v>310.21961631279845</v>
      </c>
      <c r="AX118" s="16">
        <f>$W118*AC118+($L118)*Summary_LCIA!T$32</f>
        <v>81.563092739002627</v>
      </c>
      <c r="AY118" s="16">
        <f>$W118*AD118+($L118)*Summary_LCIA!U$32</f>
        <v>4.5038979820834797</v>
      </c>
      <c r="AZ118" s="16">
        <f>$W118*AE118+($L118)*Summary_LCIA!V$32</f>
        <v>1.7132989455213785E-2</v>
      </c>
      <c r="BA118" s="16">
        <f>$W118*AF118+($L118)*Summary_LCIA!W$32</f>
        <v>26.84287315561081</v>
      </c>
      <c r="BB118" s="16">
        <f>$W118*AG118+($L118)*Summary_LCIA!X$32</f>
        <v>17.225107302240239</v>
      </c>
      <c r="BC118" s="16">
        <f>$W118*AH118+($L118)*Summary_LCIA!Y$32</f>
        <v>3.917004434602255</v>
      </c>
      <c r="BD118" s="16">
        <f>$W118*AI118+($L118)*Summary_LCIA!Z$32</f>
        <v>0.24790915571867558</v>
      </c>
      <c r="BE118" s="16">
        <f>$W118*AJ118+($L118)*Summary_LCIA!AA$32</f>
        <v>6.4905536147210912</v>
      </c>
      <c r="BF118" s="16">
        <f>$W118*AK118+($L118)*Summary_LCIA!AB$32</f>
        <v>5.3608487752580619E-2</v>
      </c>
      <c r="BG118" s="16">
        <f>$W118*AL118+($L118)*Summary_LCIA!AC$32</f>
        <v>3.9961998323521167E-5</v>
      </c>
      <c r="BH118" s="16">
        <f>$W118*AM118+($L118)*Summary_LCIA!AD$32</f>
        <v>0.19071164232230053</v>
      </c>
      <c r="BI118" s="16">
        <f>$W118*AN118+($L118)*Summary_LCIA!AE$32</f>
        <v>0.49073565454454249</v>
      </c>
      <c r="BJ118" s="16">
        <f>$W118*AO118+($L118)*Summary_LCIA!AF$32</f>
        <v>0.20392846128963826</v>
      </c>
      <c r="BK118" s="16">
        <f>$W118*AP118+($L118)*Summary_LCIA!AG$32</f>
        <v>1.6327813054638242E-2</v>
      </c>
      <c r="BL118" s="16">
        <f>$W118*AQ118+($L118)*Summary_LCIA!AH$32</f>
        <v>2.6601072784340358</v>
      </c>
      <c r="BM118" s="16">
        <f>$W118*AR118+($L118)*Summary_LCIA!AI$32</f>
        <v>0.46351773524081458</v>
      </c>
      <c r="BN118" s="16"/>
    </row>
    <row r="119" spans="1:66" x14ac:dyDescent="0.25">
      <c r="A119" s="159">
        <v>214</v>
      </c>
      <c r="B119" s="159">
        <v>6</v>
      </c>
      <c r="C119" s="45">
        <v>35.998092999999997</v>
      </c>
      <c r="D119" s="45">
        <v>-94.089990999999998</v>
      </c>
      <c r="E119" s="45" t="s">
        <v>265</v>
      </c>
      <c r="F119" s="159">
        <v>94</v>
      </c>
      <c r="G119" s="45" t="s">
        <v>565</v>
      </c>
      <c r="H119" s="45" t="s">
        <v>700</v>
      </c>
      <c r="I119" s="45">
        <v>36.278663000000002</v>
      </c>
      <c r="J119" s="45">
        <v>-94.306483</v>
      </c>
      <c r="K119" s="45">
        <v>583.37919480000005</v>
      </c>
      <c r="L119" s="45">
        <v>58.906999999999996</v>
      </c>
      <c r="M119" s="45" t="s">
        <v>617</v>
      </c>
      <c r="N119" s="159">
        <v>5</v>
      </c>
      <c r="O119" s="159">
        <v>6</v>
      </c>
      <c r="P119" s="45" t="s">
        <v>565</v>
      </c>
      <c r="Q119" s="45" t="s">
        <v>564</v>
      </c>
      <c r="R119" s="45">
        <v>41.98028</v>
      </c>
      <c r="S119" s="45">
        <v>-87.908997900000003</v>
      </c>
      <c r="T119" s="45">
        <v>1033.424</v>
      </c>
      <c r="U119" s="45" t="s">
        <v>617</v>
      </c>
      <c r="V119" s="45" t="s">
        <v>569</v>
      </c>
      <c r="W119" s="45" cm="1">
        <f t="array" ref="W119">getDistance(R119,S119,I119,J119)*SA!$B$12</f>
        <v>841.08228791697036</v>
      </c>
      <c r="X119" s="22"/>
      <c r="Y119" s="16">
        <f>Transportation_LCIA!C$61*($W119^Transportation_LCIA!C$60)+Transportation_LCIA!C$62</f>
        <v>0.25483648971312539</v>
      </c>
      <c r="Z119" s="16">
        <f>Transportation_LCIA!D$61*($W119^Transportation_LCIA!D$60)+Transportation_LCIA!D$62</f>
        <v>2.6472723861775869</v>
      </c>
      <c r="AA119" s="16">
        <f>Transportation_LCIA!E$61*($W119^Transportation_LCIA!E$60)+Transportation_LCIA!E$62</f>
        <v>1.2902322112089038E-3</v>
      </c>
      <c r="AB119" s="16">
        <f>Transportation_LCIA!F$61*($W119^Transportation_LCIA!F$60)+Transportation_LCIA!F$62</f>
        <v>0.25483648971312539</v>
      </c>
      <c r="AC119" s="16">
        <f>Transportation_LCIA!G$61*($W119^Transportation_LCIA!G$60)+Transportation_LCIA!G$62</f>
        <v>6.1817770666351725E-2</v>
      </c>
      <c r="AD119" s="16">
        <f>Transportation_LCIA!H$61*($W119^Transportation_LCIA!H$60)+Transportation_LCIA!H$62</f>
        <v>3.0894329660543525E-4</v>
      </c>
      <c r="AE119" s="16">
        <f>Transportation_LCIA!I$61*($W119^Transportation_LCIA!I$60)+Transportation_LCIA!I$62</f>
        <v>6.7320549290728598E-6</v>
      </c>
      <c r="AF119" s="16">
        <f>Transportation_LCIA!J$61*($W119^Transportation_LCIA!J$60)+Transportation_LCIA!J$62</f>
        <v>9.973917442371992E-3</v>
      </c>
      <c r="AG119" s="16">
        <f>Transportation_LCIA!K$61*($W119^Transportation_LCIA!K$60)+Transportation_LCIA!K$62</f>
        <v>1.3256802550257076E-2</v>
      </c>
      <c r="AH119" s="16">
        <f>Transportation_LCIA!L$61*($W119^Transportation_LCIA!L$60)+Transportation_LCIA!L$62</f>
        <v>2.6946356013672829E-4</v>
      </c>
      <c r="AI119" s="16">
        <f>Transportation_LCIA!M$61*($W119^Transportation_LCIA!M$60)+Transportation_LCIA!M$62</f>
        <v>2.6135180851105747E-4</v>
      </c>
      <c r="AJ119" s="16">
        <f>Transportation_LCIA!N$61*($W119^Transportation_LCIA!N$60)+Transportation_LCIA!N$62</f>
        <v>1.0979065814177152E-3</v>
      </c>
      <c r="AK119" s="16">
        <f>Transportation_LCIA!O$61*($W119^Transportation_LCIA!O$60)+Transportation_LCIA!O$62</f>
        <v>6.5353896392131321E-5</v>
      </c>
      <c r="AL119" s="16">
        <f>Transportation_LCIA!P$61*($W119^Transportation_LCIA!P$60)+Transportation_LCIA!P$62</f>
        <v>3.1589636452966191E-8</v>
      </c>
      <c r="AM119" s="16">
        <f>Transportation_LCIA!Q$61*($W119^Transportation_LCIA!Q$60)+Transportation_LCIA!Q$62</f>
        <v>1.0652706733180661E-4</v>
      </c>
      <c r="AN119" s="16">
        <f>Transportation_LCIA!R$61*($W119^Transportation_LCIA!R$60)+Transportation_LCIA!R$62</f>
        <v>3.2366826181379828E-4</v>
      </c>
      <c r="AO119" s="16">
        <f>Transportation_LCIA!S$61*($W119^Transportation_LCIA!S$60)+Transportation_LCIA!S$62</f>
        <v>4.850900823039175E-6</v>
      </c>
      <c r="AP119" s="16">
        <f>Transportation_LCIA!T$61*($W119^Transportation_LCIA!T$60)+Transportation_LCIA!T$62</f>
        <v>4.850900823039175E-6</v>
      </c>
      <c r="AQ119" s="16">
        <f>Transportation_LCIA!U$61*($W119^Transportation_LCIA!U$60)+Transportation_LCIA!U$62</f>
        <v>6.965605332122526E-4</v>
      </c>
      <c r="AR119" s="16">
        <f>Transportation_LCIA!V$61*($W119^Transportation_LCIA!V$60)+Transportation_LCIA!V$62</f>
        <v>2.7706903123845639E-4</v>
      </c>
      <c r="AT119" s="16">
        <f>$W119*Y119+($L119)*Summary_LCIA!H$32</f>
        <v>234.35505641264498</v>
      </c>
      <c r="AU119" s="16">
        <f>$W119*Z119+($L119)*Summary_LCIA!Q$32</f>
        <v>2518.5199781623933</v>
      </c>
      <c r="AV119" s="16">
        <f>$W119*AA119+($L119)*Summary_LCIA!R$32</f>
        <v>1.3953721593477566</v>
      </c>
      <c r="AW119" s="16">
        <f>$W119*AB119+($L119)*Summary_LCIA!S$32</f>
        <v>234.09468747264498</v>
      </c>
      <c r="AX119" s="16">
        <f>$W119*AC119+($L119)*Summary_LCIA!T$32</f>
        <v>58.467711285981686</v>
      </c>
      <c r="AY119" s="16">
        <f>$W119*AD119+($L119)*Summary_LCIA!U$32</f>
        <v>1.3151067327455106</v>
      </c>
      <c r="AZ119" s="16">
        <f>$W119*AE119+($L119)*Summary_LCIA!V$32</f>
        <v>8.4756693891273188E-3</v>
      </c>
      <c r="BA119" s="16">
        <f>$W119*AF119+($L119)*Summary_LCIA!W$32</f>
        <v>12.923015998925212</v>
      </c>
      <c r="BB119" s="16">
        <f>$W119*AG119+($L119)*Summary_LCIA!X$32</f>
        <v>12.491963279433749</v>
      </c>
      <c r="BC119" s="16">
        <f>$W119*AH119+($L119)*Summary_LCIA!Y$32</f>
        <v>1.1445299016700514</v>
      </c>
      <c r="BD119" s="16">
        <f>$W119*AI119+($L119)*Summary_LCIA!Z$32</f>
        <v>0.22223409421671814</v>
      </c>
      <c r="BE119" s="16">
        <f>$W119*AJ119+($L119)*Summary_LCIA!AA$32</f>
        <v>2.299261671417911</v>
      </c>
      <c r="BF119" s="16">
        <f>$W119*AK119+($L119)*Summary_LCIA!AB$32</f>
        <v>5.3682477240782449E-2</v>
      </c>
      <c r="BG119" s="16">
        <f>$W119*AL119+($L119)*Summary_LCIA!AC$32</f>
        <v>2.9449093490326133E-5</v>
      </c>
      <c r="BH119" s="16">
        <f>$W119*AM119+($L119)*Summary_LCIA!AD$32</f>
        <v>0.11381116279652105</v>
      </c>
      <c r="BI119" s="16">
        <f>$W119*AN119+($L119)*Summary_LCIA!AE$32</f>
        <v>0.32443090208245845</v>
      </c>
      <c r="BJ119" s="16">
        <f>$W119*AO119+($L119)*Summary_LCIA!AF$32</f>
        <v>5.3881162702700103E-2</v>
      </c>
      <c r="BK119" s="16">
        <f>$W119*AP119+($L119)*Summary_LCIA!AG$32</f>
        <v>7.0939834177001036E-3</v>
      </c>
      <c r="BL119" s="16">
        <f>$W119*AQ119+($L119)*Summary_LCIA!AH$32</f>
        <v>1.0985676921468261</v>
      </c>
      <c r="BM119" s="16">
        <f>$W119*AR119+($L119)*Summary_LCIA!AI$32</f>
        <v>0.28791267055497943</v>
      </c>
      <c r="BN119" s="16"/>
    </row>
    <row r="120" spans="1:66" x14ac:dyDescent="0.25">
      <c r="A120" s="159">
        <v>215</v>
      </c>
      <c r="B120" s="159">
        <v>6</v>
      </c>
      <c r="C120" s="45">
        <v>35.998092999999997</v>
      </c>
      <c r="D120" s="45">
        <v>-94.089990999999998</v>
      </c>
      <c r="E120" s="45" t="s">
        <v>265</v>
      </c>
      <c r="F120" s="159">
        <v>94</v>
      </c>
      <c r="G120" s="45" t="s">
        <v>565</v>
      </c>
      <c r="H120" s="45" t="s">
        <v>700</v>
      </c>
      <c r="I120" s="45">
        <v>36.278663000000002</v>
      </c>
      <c r="J120" s="45">
        <v>-94.306483</v>
      </c>
      <c r="K120" s="45">
        <v>583.37919480000005</v>
      </c>
      <c r="L120" s="45">
        <v>58.906999999999996</v>
      </c>
      <c r="M120" s="45" t="s">
        <v>617</v>
      </c>
      <c r="N120" s="159">
        <v>5</v>
      </c>
      <c r="O120" s="159">
        <v>6</v>
      </c>
      <c r="P120" s="45" t="s">
        <v>565</v>
      </c>
      <c r="Q120" s="45" t="s">
        <v>564</v>
      </c>
      <c r="R120" s="45">
        <v>41.98028</v>
      </c>
      <c r="S120" s="45">
        <v>-87.908997900000003</v>
      </c>
      <c r="T120" s="45">
        <v>1033.424</v>
      </c>
      <c r="U120" s="45" t="s">
        <v>617</v>
      </c>
      <c r="V120" s="45" t="s">
        <v>569</v>
      </c>
      <c r="W120" s="45" cm="1">
        <f t="array" ref="W120">getDistance(R120,S120,I120,J120)*SA!$B$12</f>
        <v>841.08228791697036</v>
      </c>
      <c r="X120" s="22"/>
      <c r="Y120" s="16">
        <f>Transportation_LCIA!C$61*($W120^Transportation_LCIA!C$60)+Transportation_LCIA!C$62</f>
        <v>0.25483648971312539</v>
      </c>
      <c r="Z120" s="16">
        <f>Transportation_LCIA!D$61*($W120^Transportation_LCIA!D$60)+Transportation_LCIA!D$62</f>
        <v>2.6472723861775869</v>
      </c>
      <c r="AA120" s="16">
        <f>Transportation_LCIA!E$61*($W120^Transportation_LCIA!E$60)+Transportation_LCIA!E$62</f>
        <v>1.2902322112089038E-3</v>
      </c>
      <c r="AB120" s="16">
        <f>Transportation_LCIA!F$61*($W120^Transportation_LCIA!F$60)+Transportation_LCIA!F$62</f>
        <v>0.25483648971312539</v>
      </c>
      <c r="AC120" s="16">
        <f>Transportation_LCIA!G$61*($W120^Transportation_LCIA!G$60)+Transportation_LCIA!G$62</f>
        <v>6.1817770666351725E-2</v>
      </c>
      <c r="AD120" s="16">
        <f>Transportation_LCIA!H$61*($W120^Transportation_LCIA!H$60)+Transportation_LCIA!H$62</f>
        <v>3.0894329660543525E-4</v>
      </c>
      <c r="AE120" s="16">
        <f>Transportation_LCIA!I$61*($W120^Transportation_LCIA!I$60)+Transportation_LCIA!I$62</f>
        <v>6.7320549290728598E-6</v>
      </c>
      <c r="AF120" s="16">
        <f>Transportation_LCIA!J$61*($W120^Transportation_LCIA!J$60)+Transportation_LCIA!J$62</f>
        <v>9.973917442371992E-3</v>
      </c>
      <c r="AG120" s="16">
        <f>Transportation_LCIA!K$61*($W120^Transportation_LCIA!K$60)+Transportation_LCIA!K$62</f>
        <v>1.3256802550257076E-2</v>
      </c>
      <c r="AH120" s="16">
        <f>Transportation_LCIA!L$61*($W120^Transportation_LCIA!L$60)+Transportation_LCIA!L$62</f>
        <v>2.6946356013672829E-4</v>
      </c>
      <c r="AI120" s="16">
        <f>Transportation_LCIA!M$61*($W120^Transportation_LCIA!M$60)+Transportation_LCIA!M$62</f>
        <v>2.6135180851105747E-4</v>
      </c>
      <c r="AJ120" s="16">
        <f>Transportation_LCIA!N$61*($W120^Transportation_LCIA!N$60)+Transportation_LCIA!N$62</f>
        <v>1.0979065814177152E-3</v>
      </c>
      <c r="AK120" s="16">
        <f>Transportation_LCIA!O$61*($W120^Transportation_LCIA!O$60)+Transportation_LCIA!O$62</f>
        <v>6.5353896392131321E-5</v>
      </c>
      <c r="AL120" s="16">
        <f>Transportation_LCIA!P$61*($W120^Transportation_LCIA!P$60)+Transportation_LCIA!P$62</f>
        <v>3.1589636452966191E-8</v>
      </c>
      <c r="AM120" s="16">
        <f>Transportation_LCIA!Q$61*($W120^Transportation_LCIA!Q$60)+Transportation_LCIA!Q$62</f>
        <v>1.0652706733180661E-4</v>
      </c>
      <c r="AN120" s="16">
        <f>Transportation_LCIA!R$61*($W120^Transportation_LCIA!R$60)+Transportation_LCIA!R$62</f>
        <v>3.2366826181379828E-4</v>
      </c>
      <c r="AO120" s="16">
        <f>Transportation_LCIA!S$61*($W120^Transportation_LCIA!S$60)+Transportation_LCIA!S$62</f>
        <v>4.850900823039175E-6</v>
      </c>
      <c r="AP120" s="16">
        <f>Transportation_LCIA!T$61*($W120^Transportation_LCIA!T$60)+Transportation_LCIA!T$62</f>
        <v>4.850900823039175E-6</v>
      </c>
      <c r="AQ120" s="16">
        <f>Transportation_LCIA!U$61*($W120^Transportation_LCIA!U$60)+Transportation_LCIA!U$62</f>
        <v>6.965605332122526E-4</v>
      </c>
      <c r="AR120" s="16">
        <f>Transportation_LCIA!V$61*($W120^Transportation_LCIA!V$60)+Transportation_LCIA!V$62</f>
        <v>2.7706903123845639E-4</v>
      </c>
      <c r="AT120" s="16">
        <f>$W120*Y120+($L120)*Summary_LCIA!H$32</f>
        <v>234.35505641264498</v>
      </c>
      <c r="AU120" s="16">
        <f>$W120*Z120+($L120)*Summary_LCIA!Q$32</f>
        <v>2518.5199781623933</v>
      </c>
      <c r="AV120" s="16">
        <f>$W120*AA120+($L120)*Summary_LCIA!R$32</f>
        <v>1.3953721593477566</v>
      </c>
      <c r="AW120" s="16">
        <f>$W120*AB120+($L120)*Summary_LCIA!S$32</f>
        <v>234.09468747264498</v>
      </c>
      <c r="AX120" s="16">
        <f>$W120*AC120+($L120)*Summary_LCIA!T$32</f>
        <v>58.467711285981686</v>
      </c>
      <c r="AY120" s="16">
        <f>$W120*AD120+($L120)*Summary_LCIA!U$32</f>
        <v>1.3151067327455106</v>
      </c>
      <c r="AZ120" s="16">
        <f>$W120*AE120+($L120)*Summary_LCIA!V$32</f>
        <v>8.4756693891273188E-3</v>
      </c>
      <c r="BA120" s="16">
        <f>$W120*AF120+($L120)*Summary_LCIA!W$32</f>
        <v>12.923015998925212</v>
      </c>
      <c r="BB120" s="16">
        <f>$W120*AG120+($L120)*Summary_LCIA!X$32</f>
        <v>12.491963279433749</v>
      </c>
      <c r="BC120" s="16">
        <f>$W120*AH120+($L120)*Summary_LCIA!Y$32</f>
        <v>1.1445299016700514</v>
      </c>
      <c r="BD120" s="16">
        <f>$W120*AI120+($L120)*Summary_LCIA!Z$32</f>
        <v>0.22223409421671814</v>
      </c>
      <c r="BE120" s="16">
        <f>$W120*AJ120+($L120)*Summary_LCIA!AA$32</f>
        <v>2.299261671417911</v>
      </c>
      <c r="BF120" s="16">
        <f>$W120*AK120+($L120)*Summary_LCIA!AB$32</f>
        <v>5.3682477240782449E-2</v>
      </c>
      <c r="BG120" s="16">
        <f>$W120*AL120+($L120)*Summary_LCIA!AC$32</f>
        <v>2.9449093490326133E-5</v>
      </c>
      <c r="BH120" s="16">
        <f>$W120*AM120+($L120)*Summary_LCIA!AD$32</f>
        <v>0.11381116279652105</v>
      </c>
      <c r="BI120" s="16">
        <f>$W120*AN120+($L120)*Summary_LCIA!AE$32</f>
        <v>0.32443090208245845</v>
      </c>
      <c r="BJ120" s="16">
        <f>$W120*AO120+($L120)*Summary_LCIA!AF$32</f>
        <v>5.3881162702700103E-2</v>
      </c>
      <c r="BK120" s="16">
        <f>$W120*AP120+($L120)*Summary_LCIA!AG$32</f>
        <v>7.0939834177001036E-3</v>
      </c>
      <c r="BL120" s="16">
        <f>$W120*AQ120+($L120)*Summary_LCIA!AH$32</f>
        <v>1.0985676921468261</v>
      </c>
      <c r="BM120" s="16">
        <f>$W120*AR120+($L120)*Summary_LCIA!AI$32</f>
        <v>0.28791267055497943</v>
      </c>
      <c r="BN120" s="16"/>
    </row>
    <row r="121" spans="1:66" x14ac:dyDescent="0.25">
      <c r="A121" s="159">
        <v>216</v>
      </c>
      <c r="B121" s="159">
        <v>6</v>
      </c>
      <c r="C121" s="45">
        <v>35.998092999999997</v>
      </c>
      <c r="D121" s="45">
        <v>-94.089990999999998</v>
      </c>
      <c r="E121" s="45" t="s">
        <v>265</v>
      </c>
      <c r="F121" s="159">
        <v>94</v>
      </c>
      <c r="G121" s="45" t="s">
        <v>565</v>
      </c>
      <c r="H121" s="45" t="s">
        <v>700</v>
      </c>
      <c r="I121" s="45">
        <v>36.278663000000002</v>
      </c>
      <c r="J121" s="45">
        <v>-94.306483</v>
      </c>
      <c r="K121" s="45">
        <v>583.37919480000005</v>
      </c>
      <c r="L121" s="45">
        <v>58.906999999999996</v>
      </c>
      <c r="M121" s="45" t="s">
        <v>617</v>
      </c>
      <c r="N121" s="159">
        <v>5</v>
      </c>
      <c r="O121" s="159">
        <v>6</v>
      </c>
      <c r="P121" s="45" t="s">
        <v>565</v>
      </c>
      <c r="Q121" s="45" t="s">
        <v>564</v>
      </c>
      <c r="R121" s="45">
        <v>41.98028</v>
      </c>
      <c r="S121" s="45">
        <v>-87.908997900000003</v>
      </c>
      <c r="T121" s="45">
        <v>1033.424</v>
      </c>
      <c r="U121" s="45" t="s">
        <v>617</v>
      </c>
      <c r="V121" s="45" t="s">
        <v>569</v>
      </c>
      <c r="W121" s="45" cm="1">
        <f t="array" ref="W121">getDistance(R121,S121,I121,J121)*SA!$B$12</f>
        <v>841.08228791697036</v>
      </c>
      <c r="X121" s="22"/>
      <c r="Y121" s="16">
        <f>Transportation_LCIA!C$61*($W121^Transportation_LCIA!C$60)+Transportation_LCIA!C$62</f>
        <v>0.25483648971312539</v>
      </c>
      <c r="Z121" s="16">
        <f>Transportation_LCIA!D$61*($W121^Transportation_LCIA!D$60)+Transportation_LCIA!D$62</f>
        <v>2.6472723861775869</v>
      </c>
      <c r="AA121" s="16">
        <f>Transportation_LCIA!E$61*($W121^Transportation_LCIA!E$60)+Transportation_LCIA!E$62</f>
        <v>1.2902322112089038E-3</v>
      </c>
      <c r="AB121" s="16">
        <f>Transportation_LCIA!F$61*($W121^Transportation_LCIA!F$60)+Transportation_LCIA!F$62</f>
        <v>0.25483648971312539</v>
      </c>
      <c r="AC121" s="16">
        <f>Transportation_LCIA!G$61*($W121^Transportation_LCIA!G$60)+Transportation_LCIA!G$62</f>
        <v>6.1817770666351725E-2</v>
      </c>
      <c r="AD121" s="16">
        <f>Transportation_LCIA!H$61*($W121^Transportation_LCIA!H$60)+Transportation_LCIA!H$62</f>
        <v>3.0894329660543525E-4</v>
      </c>
      <c r="AE121" s="16">
        <f>Transportation_LCIA!I$61*($W121^Transportation_LCIA!I$60)+Transportation_LCIA!I$62</f>
        <v>6.7320549290728598E-6</v>
      </c>
      <c r="AF121" s="16">
        <f>Transportation_LCIA!J$61*($W121^Transportation_LCIA!J$60)+Transportation_LCIA!J$62</f>
        <v>9.973917442371992E-3</v>
      </c>
      <c r="AG121" s="16">
        <f>Transportation_LCIA!K$61*($W121^Transportation_LCIA!K$60)+Transportation_LCIA!K$62</f>
        <v>1.3256802550257076E-2</v>
      </c>
      <c r="AH121" s="16">
        <f>Transportation_LCIA!L$61*($W121^Transportation_LCIA!L$60)+Transportation_LCIA!L$62</f>
        <v>2.6946356013672829E-4</v>
      </c>
      <c r="AI121" s="16">
        <f>Transportation_LCIA!M$61*($W121^Transportation_LCIA!M$60)+Transportation_LCIA!M$62</f>
        <v>2.6135180851105747E-4</v>
      </c>
      <c r="AJ121" s="16">
        <f>Transportation_LCIA!N$61*($W121^Transportation_LCIA!N$60)+Transportation_LCIA!N$62</f>
        <v>1.0979065814177152E-3</v>
      </c>
      <c r="AK121" s="16">
        <f>Transportation_LCIA!O$61*($W121^Transportation_LCIA!O$60)+Transportation_LCIA!O$62</f>
        <v>6.5353896392131321E-5</v>
      </c>
      <c r="AL121" s="16">
        <f>Transportation_LCIA!P$61*($W121^Transportation_LCIA!P$60)+Transportation_LCIA!P$62</f>
        <v>3.1589636452966191E-8</v>
      </c>
      <c r="AM121" s="16">
        <f>Transportation_LCIA!Q$61*($W121^Transportation_LCIA!Q$60)+Transportation_LCIA!Q$62</f>
        <v>1.0652706733180661E-4</v>
      </c>
      <c r="AN121" s="16">
        <f>Transportation_LCIA!R$61*($W121^Transportation_LCIA!R$60)+Transportation_LCIA!R$62</f>
        <v>3.2366826181379828E-4</v>
      </c>
      <c r="AO121" s="16">
        <f>Transportation_LCIA!S$61*($W121^Transportation_LCIA!S$60)+Transportation_LCIA!S$62</f>
        <v>4.850900823039175E-6</v>
      </c>
      <c r="AP121" s="16">
        <f>Transportation_LCIA!T$61*($W121^Transportation_LCIA!T$60)+Transportation_LCIA!T$62</f>
        <v>4.850900823039175E-6</v>
      </c>
      <c r="AQ121" s="16">
        <f>Transportation_LCIA!U$61*($W121^Transportation_LCIA!U$60)+Transportation_LCIA!U$62</f>
        <v>6.965605332122526E-4</v>
      </c>
      <c r="AR121" s="16">
        <f>Transportation_LCIA!V$61*($W121^Transportation_LCIA!V$60)+Transportation_LCIA!V$62</f>
        <v>2.7706903123845639E-4</v>
      </c>
      <c r="AT121" s="16">
        <f>$W121*Y121+($L121)*Summary_LCIA!H$32</f>
        <v>234.35505641264498</v>
      </c>
      <c r="AU121" s="16">
        <f>$W121*Z121+($L121)*Summary_LCIA!Q$32</f>
        <v>2518.5199781623933</v>
      </c>
      <c r="AV121" s="16">
        <f>$W121*AA121+($L121)*Summary_LCIA!R$32</f>
        <v>1.3953721593477566</v>
      </c>
      <c r="AW121" s="16">
        <f>$W121*AB121+($L121)*Summary_LCIA!S$32</f>
        <v>234.09468747264498</v>
      </c>
      <c r="AX121" s="16">
        <f>$W121*AC121+($L121)*Summary_LCIA!T$32</f>
        <v>58.467711285981686</v>
      </c>
      <c r="AY121" s="16">
        <f>$W121*AD121+($L121)*Summary_LCIA!U$32</f>
        <v>1.3151067327455106</v>
      </c>
      <c r="AZ121" s="16">
        <f>$W121*AE121+($L121)*Summary_LCIA!V$32</f>
        <v>8.4756693891273188E-3</v>
      </c>
      <c r="BA121" s="16">
        <f>$W121*AF121+($L121)*Summary_LCIA!W$32</f>
        <v>12.923015998925212</v>
      </c>
      <c r="BB121" s="16">
        <f>$W121*AG121+($L121)*Summary_LCIA!X$32</f>
        <v>12.491963279433749</v>
      </c>
      <c r="BC121" s="16">
        <f>$W121*AH121+($L121)*Summary_LCIA!Y$32</f>
        <v>1.1445299016700514</v>
      </c>
      <c r="BD121" s="16">
        <f>$W121*AI121+($L121)*Summary_LCIA!Z$32</f>
        <v>0.22223409421671814</v>
      </c>
      <c r="BE121" s="16">
        <f>$W121*AJ121+($L121)*Summary_LCIA!AA$32</f>
        <v>2.299261671417911</v>
      </c>
      <c r="BF121" s="16">
        <f>$W121*AK121+($L121)*Summary_LCIA!AB$32</f>
        <v>5.3682477240782449E-2</v>
      </c>
      <c r="BG121" s="16">
        <f>$W121*AL121+($L121)*Summary_LCIA!AC$32</f>
        <v>2.9449093490326133E-5</v>
      </c>
      <c r="BH121" s="16">
        <f>$W121*AM121+($L121)*Summary_LCIA!AD$32</f>
        <v>0.11381116279652105</v>
      </c>
      <c r="BI121" s="16">
        <f>$W121*AN121+($L121)*Summary_LCIA!AE$32</f>
        <v>0.32443090208245845</v>
      </c>
      <c r="BJ121" s="16">
        <f>$W121*AO121+($L121)*Summary_LCIA!AF$32</f>
        <v>5.3881162702700103E-2</v>
      </c>
      <c r="BK121" s="16">
        <f>$W121*AP121+($L121)*Summary_LCIA!AG$32</f>
        <v>7.0939834177001036E-3</v>
      </c>
      <c r="BL121" s="16">
        <f>$W121*AQ121+($L121)*Summary_LCIA!AH$32</f>
        <v>1.0985676921468261</v>
      </c>
      <c r="BM121" s="16">
        <f>$W121*AR121+($L121)*Summary_LCIA!AI$32</f>
        <v>0.28791267055497943</v>
      </c>
      <c r="BN121" s="16"/>
    </row>
    <row r="122" spans="1:66" x14ac:dyDescent="0.25">
      <c r="A122" s="159">
        <v>41</v>
      </c>
      <c r="B122" s="159">
        <v>6</v>
      </c>
      <c r="C122" s="45">
        <v>35.099532000000004</v>
      </c>
      <c r="D122" s="45">
        <v>-92.440676999999994</v>
      </c>
      <c r="E122" s="45" t="s">
        <v>265</v>
      </c>
      <c r="F122" s="159">
        <v>91</v>
      </c>
      <c r="G122" s="45" t="s">
        <v>565</v>
      </c>
      <c r="H122" s="45" t="s">
        <v>646</v>
      </c>
      <c r="I122" s="45">
        <v>34.904254999999999</v>
      </c>
      <c r="J122" s="45">
        <v>-92.470821999999998</v>
      </c>
      <c r="K122" s="45">
        <v>552.08197859999996</v>
      </c>
      <c r="L122" s="45">
        <v>69.558000000000007</v>
      </c>
      <c r="M122" s="45" t="s">
        <v>617</v>
      </c>
      <c r="N122" s="159">
        <v>5</v>
      </c>
      <c r="O122" s="159">
        <v>6</v>
      </c>
      <c r="P122" s="45" t="s">
        <v>565</v>
      </c>
      <c r="Q122" s="45" t="s">
        <v>564</v>
      </c>
      <c r="R122" s="45">
        <v>41.98028</v>
      </c>
      <c r="S122" s="45">
        <v>-87.908997900000003</v>
      </c>
      <c r="T122" s="45">
        <v>1039.807</v>
      </c>
      <c r="U122" s="45" t="s">
        <v>617</v>
      </c>
      <c r="V122" s="45" t="s">
        <v>569</v>
      </c>
      <c r="W122" s="45" cm="1">
        <f t="array" ref="W122">getDistance(R122,S122,I122,J122)*SA!$B$12</f>
        <v>881.76844828334811</v>
      </c>
      <c r="X122" s="22"/>
      <c r="Y122" s="16">
        <f>Transportation_LCIA!C$61*($W122^Transportation_LCIA!C$60)+Transportation_LCIA!C$62</f>
        <v>0.24928238824697607</v>
      </c>
      <c r="Z122" s="16">
        <f>Transportation_LCIA!D$61*($W122^Transportation_LCIA!D$60)+Transportation_LCIA!D$62</f>
        <v>2.5820463246023846</v>
      </c>
      <c r="AA122" s="16">
        <f>Transportation_LCIA!E$61*($W122^Transportation_LCIA!E$60)+Transportation_LCIA!E$62</f>
        <v>1.2472710258653861E-3</v>
      </c>
      <c r="AB122" s="16">
        <f>Transportation_LCIA!F$61*($W122^Transportation_LCIA!F$60)+Transportation_LCIA!F$62</f>
        <v>0.24928238824697607</v>
      </c>
      <c r="AC122" s="16">
        <f>Transportation_LCIA!G$61*($W122^Transportation_LCIA!G$60)+Transportation_LCIA!G$62</f>
        <v>6.0309270822787774E-2</v>
      </c>
      <c r="AD122" s="16">
        <f>Transportation_LCIA!H$61*($W122^Transportation_LCIA!H$60)+Transportation_LCIA!H$62</f>
        <v>2.9946393440219324E-4</v>
      </c>
      <c r="AE122" s="16">
        <f>Transportation_LCIA!I$61*($W122^Transportation_LCIA!I$60)+Transportation_LCIA!I$62</f>
        <v>6.4920785808823515E-6</v>
      </c>
      <c r="AF122" s="16">
        <f>Transportation_LCIA!J$61*($W122^Transportation_LCIA!J$60)+Transportation_LCIA!J$62</f>
        <v>9.6152121456146433E-3</v>
      </c>
      <c r="AG122" s="16">
        <f>Transportation_LCIA!K$61*($W122^Transportation_LCIA!K$60)+Transportation_LCIA!K$62</f>
        <v>1.2903546660169671E-2</v>
      </c>
      <c r="AH122" s="16">
        <f>Transportation_LCIA!L$61*($W122^Transportation_LCIA!L$60)+Transportation_LCIA!L$62</f>
        <v>2.6073484233971722E-4</v>
      </c>
      <c r="AI122" s="16">
        <f>Transportation_LCIA!M$61*($W122^Transportation_LCIA!M$60)+Transportation_LCIA!M$62</f>
        <v>2.5611923805786527E-4</v>
      </c>
      <c r="AJ122" s="16">
        <f>Transportation_LCIA!N$61*($W122^Transportation_LCIA!N$60)+Transportation_LCIA!N$62</f>
        <v>1.0660496523671992E-3</v>
      </c>
      <c r="AK122" s="16">
        <f>Transportation_LCIA!O$61*($W122^Transportation_LCIA!O$60)+Transportation_LCIA!O$62</f>
        <v>6.3750643740196109E-5</v>
      </c>
      <c r="AL122" s="16">
        <f>Transportation_LCIA!P$61*($W122^Transportation_LCIA!P$60)+Transportation_LCIA!P$62</f>
        <v>3.0819170729281392E-8</v>
      </c>
      <c r="AM122" s="16">
        <f>Transportation_LCIA!Q$61*($W122^Transportation_LCIA!Q$60)+Transportation_LCIA!Q$62</f>
        <v>1.0311118496175203E-4</v>
      </c>
      <c r="AN122" s="16">
        <f>Transportation_LCIA!R$61*($W122^Transportation_LCIA!R$60)+Transportation_LCIA!R$62</f>
        <v>3.1215912043344745E-4</v>
      </c>
      <c r="AO122" s="16">
        <f>Transportation_LCIA!S$61*($W122^Transportation_LCIA!S$60)+Transportation_LCIA!S$62</f>
        <v>4.6876028483773633E-6</v>
      </c>
      <c r="AP122" s="16">
        <f>Transportation_LCIA!T$61*($W122^Transportation_LCIA!T$60)+Transportation_LCIA!T$62</f>
        <v>4.6876028483773633E-6</v>
      </c>
      <c r="AQ122" s="16">
        <f>Transportation_LCIA!U$61*($W122^Transportation_LCIA!U$60)+Transportation_LCIA!U$62</f>
        <v>6.7129382585122725E-4</v>
      </c>
      <c r="AR122" s="16">
        <f>Transportation_LCIA!V$61*($W122^Transportation_LCIA!V$60)+Transportation_LCIA!V$62</f>
        <v>2.6817274724964102E-4</v>
      </c>
      <c r="AT122" s="16">
        <f>$W122*Y122+($L122)*Summary_LCIA!H$32</f>
        <v>243.44515306890324</v>
      </c>
      <c r="AU122" s="16">
        <f>$W122*Z122+($L122)*Summary_LCIA!Q$32</f>
        <v>2621.4999370589808</v>
      </c>
      <c r="AV122" s="16">
        <f>$W122*AA122+($L122)*Summary_LCIA!R$32</f>
        <v>1.4660688418661012</v>
      </c>
      <c r="AW122" s="16">
        <f>$W122*AB122+($L122)*Summary_LCIA!S$32</f>
        <v>243.13770670890324</v>
      </c>
      <c r="AX122" s="16">
        <f>$W122*AC122+($L122)*Summary_LCIA!T$32</f>
        <v>60.823236350509781</v>
      </c>
      <c r="AY122" s="16">
        <f>$W122*AD122+($L122)*Summary_LCIA!U$32</f>
        <v>1.5101198607546484</v>
      </c>
      <c r="AZ122" s="16">
        <f>$W122*AE122+($L122)*Summary_LCIA!V$32</f>
        <v>9.046669694398192E-3</v>
      </c>
      <c r="BA122" s="16">
        <f>$W122*AF122+($L122)*Summary_LCIA!W$32</f>
        <v>13.832339511553826</v>
      </c>
      <c r="BB122" s="16">
        <f>$W122*AG122+($L122)*Summary_LCIA!X$32</f>
        <v>12.962471555889589</v>
      </c>
      <c r="BC122" s="16">
        <f>$W122*AH122+($L122)*Summary_LCIA!Y$32</f>
        <v>1.3137605133432961</v>
      </c>
      <c r="BD122" s="16">
        <f>$W122*AI122+($L122)*Summary_LCIA!Z$32</f>
        <v>0.22869036713979729</v>
      </c>
      <c r="BE122" s="16">
        <f>$W122*AJ122+($L122)*Summary_LCIA!AA$32</f>
        <v>2.564605595760828</v>
      </c>
      <c r="BF122" s="16">
        <f>$W122*AK122+($L122)*Summary_LCIA!AB$32</f>
        <v>5.469534197385726E-2</v>
      </c>
      <c r="BG122" s="16">
        <f>$W122*AL122+($L122)*Summary_LCIA!AC$32</f>
        <v>3.0575645623338033E-5</v>
      </c>
      <c r="BH122" s="16">
        <f>$W122*AM122+($L122)*Summary_LCIA!AD$32</f>
        <v>0.11951130988438138</v>
      </c>
      <c r="BI122" s="16">
        <f>$W122*AN122+($L122)*Summary_LCIA!AE$32</f>
        <v>0.33688949378209571</v>
      </c>
      <c r="BJ122" s="16">
        <f>$W122*AO122+($L122)*Summary_LCIA!AF$32</f>
        <v>6.2939104649782321E-2</v>
      </c>
      <c r="BK122" s="16">
        <f>$W122*AP122+($L122)*Summary_LCIA!AG$32</f>
        <v>7.6923153597823106E-3</v>
      </c>
      <c r="BL122" s="16">
        <f>$W122*AQ122+($L122)*Summary_LCIA!AH$32</f>
        <v>1.1973307239630289</v>
      </c>
      <c r="BM122" s="16">
        <f>$W122*AR122+($L122)*Summary_LCIA!AI$32</f>
        <v>0.30126302211419848</v>
      </c>
      <c r="BN122" s="16"/>
    </row>
    <row r="123" spans="1:66" x14ac:dyDescent="0.25">
      <c r="A123" s="159">
        <v>42</v>
      </c>
      <c r="B123" s="159">
        <v>6</v>
      </c>
      <c r="C123" s="45">
        <v>35.099532000000004</v>
      </c>
      <c r="D123" s="45">
        <v>-92.440676999999994</v>
      </c>
      <c r="E123" s="45" t="s">
        <v>265</v>
      </c>
      <c r="F123" s="159">
        <v>91</v>
      </c>
      <c r="G123" s="45" t="s">
        <v>565</v>
      </c>
      <c r="H123" s="45" t="s">
        <v>646</v>
      </c>
      <c r="I123" s="45">
        <v>34.904254999999999</v>
      </c>
      <c r="J123" s="45">
        <v>-92.470821999999998</v>
      </c>
      <c r="K123" s="45">
        <v>552.08197859999996</v>
      </c>
      <c r="L123" s="45">
        <v>69.558000000000007</v>
      </c>
      <c r="M123" s="45" t="s">
        <v>617</v>
      </c>
      <c r="N123" s="159">
        <v>5</v>
      </c>
      <c r="O123" s="159">
        <v>6</v>
      </c>
      <c r="P123" s="45" t="s">
        <v>565</v>
      </c>
      <c r="Q123" s="45" t="s">
        <v>564</v>
      </c>
      <c r="R123" s="45">
        <v>41.98028</v>
      </c>
      <c r="S123" s="45">
        <v>-87.908997900000003</v>
      </c>
      <c r="T123" s="45">
        <v>1039.807</v>
      </c>
      <c r="U123" s="45" t="s">
        <v>617</v>
      </c>
      <c r="V123" s="45" t="s">
        <v>569</v>
      </c>
      <c r="W123" s="45" cm="1">
        <f t="array" ref="W123">getDistance(R123,S123,I123,J123)*SA!$B$12</f>
        <v>881.76844828334811</v>
      </c>
      <c r="X123" s="22"/>
      <c r="Y123" s="16">
        <f>Transportation_LCIA!C$61*($W123^Transportation_LCIA!C$60)+Transportation_LCIA!C$62</f>
        <v>0.24928238824697607</v>
      </c>
      <c r="Z123" s="16">
        <f>Transportation_LCIA!D$61*($W123^Transportation_LCIA!D$60)+Transportation_LCIA!D$62</f>
        <v>2.5820463246023846</v>
      </c>
      <c r="AA123" s="16">
        <f>Transportation_LCIA!E$61*($W123^Transportation_LCIA!E$60)+Transportation_LCIA!E$62</f>
        <v>1.2472710258653861E-3</v>
      </c>
      <c r="AB123" s="16">
        <f>Transportation_LCIA!F$61*($W123^Transportation_LCIA!F$60)+Transportation_LCIA!F$62</f>
        <v>0.24928238824697607</v>
      </c>
      <c r="AC123" s="16">
        <f>Transportation_LCIA!G$61*($W123^Transportation_LCIA!G$60)+Transportation_LCIA!G$62</f>
        <v>6.0309270822787774E-2</v>
      </c>
      <c r="AD123" s="16">
        <f>Transportation_LCIA!H$61*($W123^Transportation_LCIA!H$60)+Transportation_LCIA!H$62</f>
        <v>2.9946393440219324E-4</v>
      </c>
      <c r="AE123" s="16">
        <f>Transportation_LCIA!I$61*($W123^Transportation_LCIA!I$60)+Transportation_LCIA!I$62</f>
        <v>6.4920785808823515E-6</v>
      </c>
      <c r="AF123" s="16">
        <f>Transportation_LCIA!J$61*($W123^Transportation_LCIA!J$60)+Transportation_LCIA!J$62</f>
        <v>9.6152121456146433E-3</v>
      </c>
      <c r="AG123" s="16">
        <f>Transportation_LCIA!K$61*($W123^Transportation_LCIA!K$60)+Transportation_LCIA!K$62</f>
        <v>1.2903546660169671E-2</v>
      </c>
      <c r="AH123" s="16">
        <f>Transportation_LCIA!L$61*($W123^Transportation_LCIA!L$60)+Transportation_LCIA!L$62</f>
        <v>2.6073484233971722E-4</v>
      </c>
      <c r="AI123" s="16">
        <f>Transportation_LCIA!M$61*($W123^Transportation_LCIA!M$60)+Transportation_LCIA!M$62</f>
        <v>2.5611923805786527E-4</v>
      </c>
      <c r="AJ123" s="16">
        <f>Transportation_LCIA!N$61*($W123^Transportation_LCIA!N$60)+Transportation_LCIA!N$62</f>
        <v>1.0660496523671992E-3</v>
      </c>
      <c r="AK123" s="16">
        <f>Transportation_LCIA!O$61*($W123^Transportation_LCIA!O$60)+Transportation_LCIA!O$62</f>
        <v>6.3750643740196109E-5</v>
      </c>
      <c r="AL123" s="16">
        <f>Transportation_LCIA!P$61*($W123^Transportation_LCIA!P$60)+Transportation_LCIA!P$62</f>
        <v>3.0819170729281392E-8</v>
      </c>
      <c r="AM123" s="16">
        <f>Transportation_LCIA!Q$61*($W123^Transportation_LCIA!Q$60)+Transportation_LCIA!Q$62</f>
        <v>1.0311118496175203E-4</v>
      </c>
      <c r="AN123" s="16">
        <f>Transportation_LCIA!R$61*($W123^Transportation_LCIA!R$60)+Transportation_LCIA!R$62</f>
        <v>3.1215912043344745E-4</v>
      </c>
      <c r="AO123" s="16">
        <f>Transportation_LCIA!S$61*($W123^Transportation_LCIA!S$60)+Transportation_LCIA!S$62</f>
        <v>4.6876028483773633E-6</v>
      </c>
      <c r="AP123" s="16">
        <f>Transportation_LCIA!T$61*($W123^Transportation_LCIA!T$60)+Transportation_LCIA!T$62</f>
        <v>4.6876028483773633E-6</v>
      </c>
      <c r="AQ123" s="16">
        <f>Transportation_LCIA!U$61*($W123^Transportation_LCIA!U$60)+Transportation_LCIA!U$62</f>
        <v>6.7129382585122725E-4</v>
      </c>
      <c r="AR123" s="16">
        <f>Transportation_LCIA!V$61*($W123^Transportation_LCIA!V$60)+Transportation_LCIA!V$62</f>
        <v>2.6817274724964102E-4</v>
      </c>
      <c r="AT123" s="16">
        <f>$W123*Y123+($L123)*Summary_LCIA!H$32</f>
        <v>243.44515306890324</v>
      </c>
      <c r="AU123" s="16">
        <f>$W123*Z123+($L123)*Summary_LCIA!Q$32</f>
        <v>2621.4999370589808</v>
      </c>
      <c r="AV123" s="16">
        <f>$W123*AA123+($L123)*Summary_LCIA!R$32</f>
        <v>1.4660688418661012</v>
      </c>
      <c r="AW123" s="16">
        <f>$W123*AB123+($L123)*Summary_LCIA!S$32</f>
        <v>243.13770670890324</v>
      </c>
      <c r="AX123" s="16">
        <f>$W123*AC123+($L123)*Summary_LCIA!T$32</f>
        <v>60.823236350509781</v>
      </c>
      <c r="AY123" s="16">
        <f>$W123*AD123+($L123)*Summary_LCIA!U$32</f>
        <v>1.5101198607546484</v>
      </c>
      <c r="AZ123" s="16">
        <f>$W123*AE123+($L123)*Summary_LCIA!V$32</f>
        <v>9.046669694398192E-3</v>
      </c>
      <c r="BA123" s="16">
        <f>$W123*AF123+($L123)*Summary_LCIA!W$32</f>
        <v>13.832339511553826</v>
      </c>
      <c r="BB123" s="16">
        <f>$W123*AG123+($L123)*Summary_LCIA!X$32</f>
        <v>12.962471555889589</v>
      </c>
      <c r="BC123" s="16">
        <f>$W123*AH123+($L123)*Summary_LCIA!Y$32</f>
        <v>1.3137605133432961</v>
      </c>
      <c r="BD123" s="16">
        <f>$W123*AI123+($L123)*Summary_LCIA!Z$32</f>
        <v>0.22869036713979729</v>
      </c>
      <c r="BE123" s="16">
        <f>$W123*AJ123+($L123)*Summary_LCIA!AA$32</f>
        <v>2.564605595760828</v>
      </c>
      <c r="BF123" s="16">
        <f>$W123*AK123+($L123)*Summary_LCIA!AB$32</f>
        <v>5.469534197385726E-2</v>
      </c>
      <c r="BG123" s="16">
        <f>$W123*AL123+($L123)*Summary_LCIA!AC$32</f>
        <v>3.0575645623338033E-5</v>
      </c>
      <c r="BH123" s="16">
        <f>$W123*AM123+($L123)*Summary_LCIA!AD$32</f>
        <v>0.11951130988438138</v>
      </c>
      <c r="BI123" s="16">
        <f>$W123*AN123+($L123)*Summary_LCIA!AE$32</f>
        <v>0.33688949378209571</v>
      </c>
      <c r="BJ123" s="16">
        <f>$W123*AO123+($L123)*Summary_LCIA!AF$32</f>
        <v>6.2939104649782321E-2</v>
      </c>
      <c r="BK123" s="16">
        <f>$W123*AP123+($L123)*Summary_LCIA!AG$32</f>
        <v>7.6923153597823106E-3</v>
      </c>
      <c r="BL123" s="16">
        <f>$W123*AQ123+($L123)*Summary_LCIA!AH$32</f>
        <v>1.1973307239630289</v>
      </c>
      <c r="BM123" s="16">
        <f>$W123*AR123+($L123)*Summary_LCIA!AI$32</f>
        <v>0.30126302211419848</v>
      </c>
      <c r="BN123" s="16"/>
    </row>
    <row r="124" spans="1:66" x14ac:dyDescent="0.25">
      <c r="A124" s="159">
        <v>49</v>
      </c>
      <c r="B124" s="159">
        <v>6</v>
      </c>
      <c r="C124" s="45">
        <v>35.612105</v>
      </c>
      <c r="D124" s="45">
        <v>-82.563284999999993</v>
      </c>
      <c r="E124" s="45" t="s">
        <v>265</v>
      </c>
      <c r="F124" s="159">
        <v>34</v>
      </c>
      <c r="G124" s="45" t="s">
        <v>565</v>
      </c>
      <c r="H124" s="45" t="s">
        <v>633</v>
      </c>
      <c r="I124" s="45">
        <v>35.214402999999997</v>
      </c>
      <c r="J124" s="45">
        <v>-80.947315000000003</v>
      </c>
      <c r="K124" s="45">
        <v>157.0640918</v>
      </c>
      <c r="L124" s="45">
        <v>199.89699999999999</v>
      </c>
      <c r="M124" s="45" t="s">
        <v>617</v>
      </c>
      <c r="N124" s="159">
        <v>5</v>
      </c>
      <c r="O124" s="159">
        <v>6</v>
      </c>
      <c r="P124" s="45" t="s">
        <v>565</v>
      </c>
      <c r="Q124" s="45" t="s">
        <v>564</v>
      </c>
      <c r="R124" s="45">
        <v>41.98028</v>
      </c>
      <c r="S124" s="45">
        <v>-87.908997900000003</v>
      </c>
      <c r="T124" s="45">
        <v>1087.8230000000001</v>
      </c>
      <c r="U124" s="45" t="s">
        <v>617</v>
      </c>
      <c r="V124" s="45" t="s">
        <v>569</v>
      </c>
      <c r="W124" s="45" cm="1">
        <f t="array" ref="W124">getDistance(R124,S124,I124,J124)*SA!$B$12</f>
        <v>965.81934331629839</v>
      </c>
      <c r="X124" s="22"/>
      <c r="Y124" s="16">
        <f>Transportation_LCIA!C$61*($W124^Transportation_LCIA!C$60)+Transportation_LCIA!C$62</f>
        <v>0.23917916746170043</v>
      </c>
      <c r="Z124" s="16">
        <f>Transportation_LCIA!D$61*($W124^Transportation_LCIA!D$60)+Transportation_LCIA!D$62</f>
        <v>2.4637498822292629</v>
      </c>
      <c r="AA124" s="16">
        <f>Transportation_LCIA!E$61*($W124^Transportation_LCIA!E$60)+Transportation_LCIA!E$62</f>
        <v>1.1694202797749105E-3</v>
      </c>
      <c r="AB124" s="16">
        <f>Transportation_LCIA!F$61*($W124^Transportation_LCIA!F$60)+Transportation_LCIA!F$62</f>
        <v>0.23917916746170043</v>
      </c>
      <c r="AC124" s="16">
        <f>Transportation_LCIA!G$61*($W124^Transportation_LCIA!G$60)+Transportation_LCIA!G$62</f>
        <v>5.7572922745648923E-2</v>
      </c>
      <c r="AD124" s="16">
        <f>Transportation_LCIA!H$61*($W124^Transportation_LCIA!H$60)+Transportation_LCIA!H$62</f>
        <v>2.8231462329926001E-4</v>
      </c>
      <c r="AE124" s="16">
        <f>Transportation_LCIA!I$61*($W124^Transportation_LCIA!I$60)+Transportation_LCIA!I$62</f>
        <v>6.0590881500882351E-6</v>
      </c>
      <c r="AF124" s="16">
        <f>Transportation_LCIA!J$61*($W124^Transportation_LCIA!J$60)+Transportation_LCIA!J$62</f>
        <v>8.9691244315593405E-3</v>
      </c>
      <c r="AG124" s="16">
        <f>Transportation_LCIA!K$61*($W124^Transportation_LCIA!K$60)+Transportation_LCIA!K$62</f>
        <v>1.2263721703450336E-2</v>
      </c>
      <c r="AH124" s="16">
        <f>Transportation_LCIA!L$61*($W124^Transportation_LCIA!L$60)+Transportation_LCIA!L$62</f>
        <v>2.449555211742904E-4</v>
      </c>
      <c r="AI124" s="16">
        <f>Transportation_LCIA!M$61*($W124^Transportation_LCIA!M$60)+Transportation_LCIA!M$62</f>
        <v>2.4665373974360274E-4</v>
      </c>
      <c r="AJ124" s="16">
        <f>Transportation_LCIA!N$61*($W124^Transportation_LCIA!N$60)+Transportation_LCIA!N$62</f>
        <v>1.0084044075747351E-3</v>
      </c>
      <c r="AK124" s="16">
        <f>Transportation_LCIA!O$61*($W124^Transportation_LCIA!O$60)+Transportation_LCIA!O$62</f>
        <v>6.0842656849062702E-5</v>
      </c>
      <c r="AL124" s="16">
        <f>Transportation_LCIA!P$61*($W124^Transportation_LCIA!P$60)+Transportation_LCIA!P$62</f>
        <v>2.9421386486163209E-8</v>
      </c>
      <c r="AM124" s="16">
        <f>Transportation_LCIA!Q$61*($W124^Transportation_LCIA!Q$60)+Transportation_LCIA!Q$62</f>
        <v>9.693865430446136E-5</v>
      </c>
      <c r="AN124" s="16">
        <f>Transportation_LCIA!R$61*($W124^Transportation_LCIA!R$60)+Transportation_LCIA!R$62</f>
        <v>2.9139446096429532E-4</v>
      </c>
      <c r="AO124" s="16">
        <f>Transportation_LCIA!S$61*($W124^Transportation_LCIA!S$60)+Transportation_LCIA!S$62</f>
        <v>4.3929473757171984E-6</v>
      </c>
      <c r="AP124" s="16">
        <f>Transportation_LCIA!T$61*($W124^Transportation_LCIA!T$60)+Transportation_LCIA!T$62</f>
        <v>4.3929473757171984E-6</v>
      </c>
      <c r="AQ124" s="16">
        <f>Transportation_LCIA!U$61*($W124^Transportation_LCIA!U$60)+Transportation_LCIA!U$62</f>
        <v>6.2573096450825355E-4</v>
      </c>
      <c r="AR124" s="16">
        <f>Transportation_LCIA!V$61*($W124^Transportation_LCIA!V$60)+Transportation_LCIA!V$62</f>
        <v>2.5210555325466699E-4</v>
      </c>
      <c r="AT124" s="16">
        <f>$W124*Y124+($L124)*Summary_LCIA!H$32</f>
        <v>298.92886705279847</v>
      </c>
      <c r="AU124" s="16">
        <f>$W124*Z124+($L124)*Summary_LCIA!Q$32</f>
        <v>3370.2369067556747</v>
      </c>
      <c r="AV124" s="16">
        <f>$W124*AA124+($L124)*Summary_LCIA!R$32</f>
        <v>2.1820263698729656</v>
      </c>
      <c r="AW124" s="16">
        <f>$W124*AB124+($L124)*Summary_LCIA!S$32</f>
        <v>298.04532231279848</v>
      </c>
      <c r="AX124" s="16">
        <f>$W124*AC124+($L124)*Summary_LCIA!T$32</f>
        <v>77.573722739002619</v>
      </c>
      <c r="AY124" s="16">
        <f>$W124*AD124+($L124)*Summary_LCIA!U$32</f>
        <v>3.853619782083479</v>
      </c>
      <c r="AZ124" s="16">
        <f>$W124*AE124+($L124)*Summary_LCIA!V$32</f>
        <v>1.5399265155213785E-2</v>
      </c>
      <c r="BA124" s="16">
        <f>$W124*AF124+($L124)*Summary_LCIA!W$32</f>
        <v>24.048825855610808</v>
      </c>
      <c r="BB124" s="16">
        <f>$W124*AG124+($L124)*Summary_LCIA!X$32</f>
        <v>16.398193302240241</v>
      </c>
      <c r="BC124" s="16">
        <f>$W124*AH124+($L124)*Summary_LCIA!Y$32</f>
        <v>3.3513778346022547</v>
      </c>
      <c r="BD124" s="16">
        <f>$W124*AI124+($L124)*Summary_LCIA!Z$32</f>
        <v>0.24642052901867559</v>
      </c>
      <c r="BE124" s="16">
        <f>$W124*AJ124+($L124)*Summary_LCIA!AA$32</f>
        <v>5.6427308147210908</v>
      </c>
      <c r="BF124" s="16">
        <f>$W124*AK124+($L124)*Summary_LCIA!AB$32</f>
        <v>5.4400662652580617E-2</v>
      </c>
      <c r="BG124" s="16">
        <f>$W124*AL124+($L124)*Summary_LCIA!AC$32</f>
        <v>3.8187509123521166E-5</v>
      </c>
      <c r="BH124" s="16">
        <f>$W124*AM124+($L124)*Summary_LCIA!AD$32</f>
        <v>0.17579089032230052</v>
      </c>
      <c r="BI124" s="16">
        <f>$W124*AN124+($L124)*Summary_LCIA!AE$32</f>
        <v>0.45856913554454248</v>
      </c>
      <c r="BJ124" s="16">
        <f>$W124*AO124+($L124)*Summary_LCIA!AF$32</f>
        <v>0.17323971528963825</v>
      </c>
      <c r="BK124" s="16">
        <f>$W124*AP124+($L124)*Summary_LCIA!AG$32</f>
        <v>1.4470523554638241E-2</v>
      </c>
      <c r="BL124" s="16">
        <f>$W124*AQ124+($L124)*Summary_LCIA!AH$32</f>
        <v>2.3441665984340352</v>
      </c>
      <c r="BM124" s="16">
        <f>$W124*AR124+($L124)*Summary_LCIA!AI$32</f>
        <v>0.42970247024081454</v>
      </c>
      <c r="BN124" s="16"/>
    </row>
    <row r="125" spans="1:66" x14ac:dyDescent="0.25">
      <c r="A125" s="159">
        <v>14</v>
      </c>
      <c r="B125" s="159">
        <v>6</v>
      </c>
      <c r="C125" s="45">
        <v>39.144460000000002</v>
      </c>
      <c r="D125" s="45">
        <v>-77.216469000000004</v>
      </c>
      <c r="E125" s="45" t="s">
        <v>265</v>
      </c>
      <c r="F125" s="159">
        <v>85</v>
      </c>
      <c r="G125" s="45" t="s">
        <v>630</v>
      </c>
      <c r="H125" s="45" t="s">
        <v>631</v>
      </c>
      <c r="I125" s="45">
        <v>38.953116000000001</v>
      </c>
      <c r="J125" s="45">
        <v>-77.456539000000006</v>
      </c>
      <c r="K125" s="45">
        <v>38.295953089999998</v>
      </c>
      <c r="L125" s="45">
        <v>52.948</v>
      </c>
      <c r="M125" s="45" t="s">
        <v>617</v>
      </c>
      <c r="N125" s="159">
        <v>5</v>
      </c>
      <c r="O125" s="159">
        <v>6</v>
      </c>
      <c r="P125" s="45" t="s">
        <v>565</v>
      </c>
      <c r="Q125" s="45" t="s">
        <v>564</v>
      </c>
      <c r="R125" s="45">
        <v>41.98028</v>
      </c>
      <c r="S125" s="45">
        <v>-87.908997900000003</v>
      </c>
      <c r="T125" s="45">
        <v>1111.7940000000001</v>
      </c>
      <c r="U125" s="45" t="s">
        <v>617</v>
      </c>
      <c r="V125" s="45" t="s">
        <v>569</v>
      </c>
      <c r="W125" s="45" cm="1">
        <f t="array" ref="W125">getDistance(R125,S125,I125,J125)*SA!$B$12</f>
        <v>947.50539515115577</v>
      </c>
      <c r="X125" s="22"/>
      <c r="Y125" s="16">
        <f>Transportation_LCIA!C$61*($W125^Transportation_LCIA!C$60)+Transportation_LCIA!C$62</f>
        <v>0.24123994717611602</v>
      </c>
      <c r="Z125" s="16">
        <f>Transportation_LCIA!D$61*($W125^Transportation_LCIA!D$60)+Transportation_LCIA!D$62</f>
        <v>2.4878408827076006</v>
      </c>
      <c r="AA125" s="16">
        <f>Transportation_LCIA!E$61*($W125^Transportation_LCIA!E$60)+Transportation_LCIA!E$62</f>
        <v>1.1852674718811078E-3</v>
      </c>
      <c r="AB125" s="16">
        <f>Transportation_LCIA!F$61*($W125^Transportation_LCIA!F$60)+Transportation_LCIA!F$62</f>
        <v>0.24123994717611602</v>
      </c>
      <c r="AC125" s="16">
        <f>Transportation_LCIA!G$61*($W125^Transportation_LCIA!G$60)+Transportation_LCIA!G$62</f>
        <v>5.8130229961751413E-2</v>
      </c>
      <c r="AD125" s="16">
        <f>Transportation_LCIA!H$61*($W125^Transportation_LCIA!H$60)+Transportation_LCIA!H$62</f>
        <v>2.8580243989814041E-4</v>
      </c>
      <c r="AE125" s="16">
        <f>Transportation_LCIA!I$61*($W125^Transportation_LCIA!I$60)+Transportation_LCIA!I$62</f>
        <v>6.1470245572439961E-6</v>
      </c>
      <c r="AF125" s="16">
        <f>Transportation_LCIA!J$61*($W125^Transportation_LCIA!J$60)+Transportation_LCIA!J$62</f>
        <v>9.1002172415569245E-3</v>
      </c>
      <c r="AG125" s="16">
        <f>Transportation_LCIA!K$61*($W125^Transportation_LCIA!K$60)+Transportation_LCIA!K$62</f>
        <v>1.2393929342404509E-2</v>
      </c>
      <c r="AH125" s="16">
        <f>Transportation_LCIA!L$61*($W125^Transportation_LCIA!L$60)+Transportation_LCIA!L$62</f>
        <v>2.4816341330375431E-4</v>
      </c>
      <c r="AI125" s="16">
        <f>Transportation_LCIA!M$61*($W125^Transportation_LCIA!M$60)+Transportation_LCIA!M$62</f>
        <v>2.4857873470520738E-4</v>
      </c>
      <c r="AJ125" s="16">
        <f>Transportation_LCIA!N$61*($W125^Transportation_LCIA!N$60)+Transportation_LCIA!N$62</f>
        <v>1.0201295851308028E-3</v>
      </c>
      <c r="AK125" s="16">
        <f>Transportation_LCIA!O$61*($W125^Transportation_LCIA!O$60)+Transportation_LCIA!O$62</f>
        <v>6.1434895629106112E-5</v>
      </c>
      <c r="AL125" s="16">
        <f>Transportation_LCIA!P$61*($W125^Transportation_LCIA!P$60)+Transportation_LCIA!P$62</f>
        <v>2.9706091927833148E-8</v>
      </c>
      <c r="AM125" s="16">
        <f>Transportation_LCIA!Q$61*($W125^Transportation_LCIA!Q$60)+Transportation_LCIA!Q$62</f>
        <v>9.8193239540815934E-5</v>
      </c>
      <c r="AN125" s="16">
        <f>Transportation_LCIA!R$61*($W125^Transportation_LCIA!R$60)+Transportation_LCIA!R$62</f>
        <v>2.9561142919577987E-4</v>
      </c>
      <c r="AO125" s="16">
        <f>Transportation_LCIA!S$61*($W125^Transportation_LCIA!S$60)+Transportation_LCIA!S$62</f>
        <v>4.4527909660357503E-6</v>
      </c>
      <c r="AP125" s="16">
        <f>Transportation_LCIA!T$61*($W125^Transportation_LCIA!T$60)+Transportation_LCIA!T$62</f>
        <v>4.4527909660357503E-6</v>
      </c>
      <c r="AQ125" s="16">
        <f>Transportation_LCIA!U$61*($W125^Transportation_LCIA!U$60)+Transportation_LCIA!U$62</f>
        <v>6.3498155620491487E-4</v>
      </c>
      <c r="AR125" s="16">
        <f>Transportation_LCIA!V$61*($W125^Transportation_LCIA!V$60)+Transportation_LCIA!V$62</f>
        <v>2.5537034152400519E-4</v>
      </c>
      <c r="AT125" s="16">
        <f>$W125*Y125+($L125)*Summary_LCIA!H$32</f>
        <v>246.56788187534974</v>
      </c>
      <c r="AU125" s="16">
        <f>$W125*Z125+($L125)*Summary_LCIA!Q$32</f>
        <v>2619.6556169695491</v>
      </c>
      <c r="AV125" s="16">
        <f>$W125*AA125+($L125)*Summary_LCIA!R$32</f>
        <v>1.4018503131045206</v>
      </c>
      <c r="AW125" s="16">
        <f>$W125*AB125+($L125)*Summary_LCIA!S$32</f>
        <v>246.33385171534974</v>
      </c>
      <c r="AX125" s="16">
        <f>$W125*AC125+($L125)*Summary_LCIA!T$32</f>
        <v>60.897691710136826</v>
      </c>
      <c r="AY125" s="16">
        <f>$W125*AD125+($L125)*Summary_LCIA!U$32</f>
        <v>1.2193098257508519</v>
      </c>
      <c r="AZ125" s="16">
        <f>$W125*AE125+($L125)*Summary_LCIA!V$32</f>
        <v>8.3531883601153309E-3</v>
      </c>
      <c r="BA125" s="16">
        <f>$W125*AF125+($L125)*Summary_LCIA!W$32</f>
        <v>12.697965441422756</v>
      </c>
      <c r="BB125" s="16">
        <f>$W125*AG125+($L125)*Summary_LCIA!X$32</f>
        <v>12.949470359050489</v>
      </c>
      <c r="BC125" s="16">
        <f>$W125*AH125+($L125)*Summary_LCIA!Y$32</f>
        <v>1.0601719089844333</v>
      </c>
      <c r="BD125" s="16">
        <f>$W125*AI125+($L125)*Summary_LCIA!Z$32</f>
        <v>0.23770103678503182</v>
      </c>
      <c r="BE125" s="16">
        <f>$W125*AJ125+($L125)*Summary_LCIA!AA$32</f>
        <v>2.2032317736647458</v>
      </c>
      <c r="BF125" s="16">
        <f>$W125*AK125+($L125)*Summary_LCIA!AB$32</f>
        <v>5.7054410855126199E-2</v>
      </c>
      <c r="BG125" s="16">
        <f>$W125*AL125+($L125)*Summary_LCIA!AC$32</f>
        <v>3.0734992402478108E-5</v>
      </c>
      <c r="BH125" s="16">
        <f>$W125*AM125+($L125)*Summary_LCIA!AD$32</f>
        <v>0.11480237015229289</v>
      </c>
      <c r="BI125" s="16">
        <f>$W125*AN125+($L125)*Summary_LCIA!AE$32</f>
        <v>0.32701223527134526</v>
      </c>
      <c r="BJ125" s="16">
        <f>$W125*AO125+($L125)*Summary_LCIA!AF$32</f>
        <v>4.8982341623799205E-2</v>
      </c>
      <c r="BK125" s="16">
        <f>$W125*AP125+($L125)*Summary_LCIA!AG$32</f>
        <v>6.9281278837991997E-3</v>
      </c>
      <c r="BL125" s="16">
        <f>$W125*AQ125+($L125)*Summary_LCIA!AH$32</f>
        <v>1.0624866631256338</v>
      </c>
      <c r="BM125" s="16">
        <f>$W125*AR125+($L125)*Summary_LCIA!AI$32</f>
        <v>0.29128848575558813</v>
      </c>
      <c r="BN125" s="16"/>
    </row>
    <row r="126" spans="1:66" x14ac:dyDescent="0.25">
      <c r="A126" s="159">
        <v>52</v>
      </c>
      <c r="B126" s="159">
        <v>6</v>
      </c>
      <c r="C126" s="45">
        <v>39.109959000000003</v>
      </c>
      <c r="D126" s="45">
        <v>-77.556522999999999</v>
      </c>
      <c r="E126" s="45" t="s">
        <v>265</v>
      </c>
      <c r="F126" s="159">
        <v>85</v>
      </c>
      <c r="G126" s="45" t="s">
        <v>630</v>
      </c>
      <c r="H126" s="45" t="s">
        <v>631</v>
      </c>
      <c r="I126" s="45">
        <v>38.953116000000001</v>
      </c>
      <c r="J126" s="45">
        <v>-77.456539000000006</v>
      </c>
      <c r="K126" s="45">
        <v>25.36634257</v>
      </c>
      <c r="L126" s="45">
        <v>25.824000000000002</v>
      </c>
      <c r="M126" s="45" t="s">
        <v>617</v>
      </c>
      <c r="N126" s="159">
        <v>5</v>
      </c>
      <c r="O126" s="159">
        <v>6</v>
      </c>
      <c r="P126" s="45" t="s">
        <v>565</v>
      </c>
      <c r="Q126" s="45" t="s">
        <v>564</v>
      </c>
      <c r="R126" s="45">
        <v>41.98028</v>
      </c>
      <c r="S126" s="45">
        <v>-87.908997900000003</v>
      </c>
      <c r="T126" s="45">
        <v>1116.2929999999999</v>
      </c>
      <c r="U126" s="45" t="s">
        <v>617</v>
      </c>
      <c r="V126" s="45" t="s">
        <v>569</v>
      </c>
      <c r="W126" s="45" cm="1">
        <f t="array" ref="W126">getDistance(R126,S126,I126,J126)*SA!$B$12</f>
        <v>947.50539515115577</v>
      </c>
      <c r="X126" s="22"/>
      <c r="Y126" s="16">
        <f>Transportation_LCIA!C$61*($W126^Transportation_LCIA!C$60)+Transportation_LCIA!C$62</f>
        <v>0.24123994717611602</v>
      </c>
      <c r="Z126" s="16">
        <f>Transportation_LCIA!D$61*($W126^Transportation_LCIA!D$60)+Transportation_LCIA!D$62</f>
        <v>2.4878408827076006</v>
      </c>
      <c r="AA126" s="16">
        <f>Transportation_LCIA!E$61*($W126^Transportation_LCIA!E$60)+Transportation_LCIA!E$62</f>
        <v>1.1852674718811078E-3</v>
      </c>
      <c r="AB126" s="16">
        <f>Transportation_LCIA!F$61*($W126^Transportation_LCIA!F$60)+Transportation_LCIA!F$62</f>
        <v>0.24123994717611602</v>
      </c>
      <c r="AC126" s="16">
        <f>Transportation_LCIA!G$61*($W126^Transportation_LCIA!G$60)+Transportation_LCIA!G$62</f>
        <v>5.8130229961751413E-2</v>
      </c>
      <c r="AD126" s="16">
        <f>Transportation_LCIA!H$61*($W126^Transportation_LCIA!H$60)+Transportation_LCIA!H$62</f>
        <v>2.8580243989814041E-4</v>
      </c>
      <c r="AE126" s="16">
        <f>Transportation_LCIA!I$61*($W126^Transportation_LCIA!I$60)+Transportation_LCIA!I$62</f>
        <v>6.1470245572439961E-6</v>
      </c>
      <c r="AF126" s="16">
        <f>Transportation_LCIA!J$61*($W126^Transportation_LCIA!J$60)+Transportation_LCIA!J$62</f>
        <v>9.1002172415569245E-3</v>
      </c>
      <c r="AG126" s="16">
        <f>Transportation_LCIA!K$61*($W126^Transportation_LCIA!K$60)+Transportation_LCIA!K$62</f>
        <v>1.2393929342404509E-2</v>
      </c>
      <c r="AH126" s="16">
        <f>Transportation_LCIA!L$61*($W126^Transportation_LCIA!L$60)+Transportation_LCIA!L$62</f>
        <v>2.4816341330375431E-4</v>
      </c>
      <c r="AI126" s="16">
        <f>Transportation_LCIA!M$61*($W126^Transportation_LCIA!M$60)+Transportation_LCIA!M$62</f>
        <v>2.4857873470520738E-4</v>
      </c>
      <c r="AJ126" s="16">
        <f>Transportation_LCIA!N$61*($W126^Transportation_LCIA!N$60)+Transportation_LCIA!N$62</f>
        <v>1.0201295851308028E-3</v>
      </c>
      <c r="AK126" s="16">
        <f>Transportation_LCIA!O$61*($W126^Transportation_LCIA!O$60)+Transportation_LCIA!O$62</f>
        <v>6.1434895629106112E-5</v>
      </c>
      <c r="AL126" s="16">
        <f>Transportation_LCIA!P$61*($W126^Transportation_LCIA!P$60)+Transportation_LCIA!P$62</f>
        <v>2.9706091927833148E-8</v>
      </c>
      <c r="AM126" s="16">
        <f>Transportation_LCIA!Q$61*($W126^Transportation_LCIA!Q$60)+Transportation_LCIA!Q$62</f>
        <v>9.8193239540815934E-5</v>
      </c>
      <c r="AN126" s="16">
        <f>Transportation_LCIA!R$61*($W126^Transportation_LCIA!R$60)+Transportation_LCIA!R$62</f>
        <v>2.9561142919577987E-4</v>
      </c>
      <c r="AO126" s="16">
        <f>Transportation_LCIA!S$61*($W126^Transportation_LCIA!S$60)+Transportation_LCIA!S$62</f>
        <v>4.4527909660357503E-6</v>
      </c>
      <c r="AP126" s="16">
        <f>Transportation_LCIA!T$61*($W126^Transportation_LCIA!T$60)+Transportation_LCIA!T$62</f>
        <v>4.4527909660357503E-6</v>
      </c>
      <c r="AQ126" s="16">
        <f>Transportation_LCIA!U$61*($W126^Transportation_LCIA!U$60)+Transportation_LCIA!U$62</f>
        <v>6.3498155620491487E-4</v>
      </c>
      <c r="AR126" s="16">
        <f>Transportation_LCIA!V$61*($W126^Transportation_LCIA!V$60)+Transportation_LCIA!V$62</f>
        <v>2.5537034152400519E-4</v>
      </c>
      <c r="AT126" s="16">
        <f>$W126*Y126+($L126)*Summary_LCIA!H$32</f>
        <v>237.35114667534975</v>
      </c>
      <c r="AU126" s="16">
        <f>$W126*Z126+($L126)*Summary_LCIA!Q$32</f>
        <v>2485.2277050248572</v>
      </c>
      <c r="AV126" s="16">
        <f>$W126*AA126+($L126)*Summary_LCIA!R$32</f>
        <v>1.2590261787045205</v>
      </c>
      <c r="AW126" s="16">
        <f>$W126*AB126+($L126)*Summary_LCIA!S$32</f>
        <v>237.23700459534976</v>
      </c>
      <c r="AX126" s="16">
        <f>$W126*AC126+($L126)*Summary_LCIA!T$32</f>
        <v>57.916764110136825</v>
      </c>
      <c r="AY126" s="16">
        <f>$W126*AD126+($L126)*Summary_LCIA!U$32</f>
        <v>0.73341048975085199</v>
      </c>
      <c r="AZ126" s="16">
        <f>$W126*AE126+($L126)*Summary_LCIA!V$32</f>
        <v>7.057718996115331E-3</v>
      </c>
      <c r="BA126" s="16">
        <f>$W126*AF126+($L126)*Summary_LCIA!W$32</f>
        <v>10.610204037422756</v>
      </c>
      <c r="BB126" s="16">
        <f>$W126*AG126+($L126)*Summary_LCIA!X$32</f>
        <v>12.331585639050489</v>
      </c>
      <c r="BC126" s="16">
        <f>$W126*AH126+($L126)*Summary_LCIA!Y$32</f>
        <v>0.63752574098443338</v>
      </c>
      <c r="BD126" s="16">
        <f>$W126*AI126+($L126)*Summary_LCIA!Z$32</f>
        <v>0.23658870866903184</v>
      </c>
      <c r="BE126" s="16">
        <f>$W126*AJ126+($L126)*Summary_LCIA!AA$32</f>
        <v>1.5697236296647459</v>
      </c>
      <c r="BF126" s="16">
        <f>$W126*AK126+($L126)*Summary_LCIA!AB$32</f>
        <v>5.7646337907126199E-2</v>
      </c>
      <c r="BG126" s="16">
        <f>$W126*AL126+($L126)*Summary_LCIA!AC$32</f>
        <v>2.9409062786478107E-5</v>
      </c>
      <c r="BH126" s="16">
        <f>$W126*AM126+($L126)*Summary_LCIA!AD$32</f>
        <v>0.1036533211922929</v>
      </c>
      <c r="BI126" s="16">
        <f>$W126*AN126+($L126)*Summary_LCIA!AE$32</f>
        <v>0.30297684515134532</v>
      </c>
      <c r="BJ126" s="16">
        <f>$W126*AO126+($L126)*Summary_LCIA!AF$32</f>
        <v>2.6051169543799203E-2</v>
      </c>
      <c r="BK126" s="16">
        <f>$W126*AP126+($L126)*Summary_LCIA!AG$32</f>
        <v>5.5403284237992003E-3</v>
      </c>
      <c r="BL126" s="16">
        <f>$W126*AQ126+($L126)*Summary_LCIA!AH$32</f>
        <v>0.82641021672563375</v>
      </c>
      <c r="BM126" s="16">
        <f>$W126*AR126+($L126)*Summary_LCIA!AI$32</f>
        <v>0.26602112355558816</v>
      </c>
      <c r="BN126" s="16"/>
    </row>
    <row r="127" spans="1:66" x14ac:dyDescent="0.25">
      <c r="A127" s="159">
        <v>345</v>
      </c>
      <c r="B127" s="159">
        <v>6</v>
      </c>
      <c r="C127" s="45">
        <v>38.990665999999997</v>
      </c>
      <c r="D127" s="45">
        <v>-77.026088000000001</v>
      </c>
      <c r="E127" s="45" t="s">
        <v>265</v>
      </c>
      <c r="F127" s="159">
        <v>86</v>
      </c>
      <c r="G127" s="45" t="s">
        <v>630</v>
      </c>
      <c r="H127" s="45" t="s">
        <v>644</v>
      </c>
      <c r="I127" s="45">
        <v>38.851241999999999</v>
      </c>
      <c r="J127" s="45">
        <v>-77.040232000000003</v>
      </c>
      <c r="K127" s="45">
        <v>22.001929870000001</v>
      </c>
      <c r="L127" s="45">
        <v>20.452000000000002</v>
      </c>
      <c r="M127" s="45" t="s">
        <v>617</v>
      </c>
      <c r="N127" s="159">
        <v>5</v>
      </c>
      <c r="O127" s="159">
        <v>6</v>
      </c>
      <c r="P127" s="45" t="s">
        <v>565</v>
      </c>
      <c r="Q127" s="45" t="s">
        <v>564</v>
      </c>
      <c r="R127" s="45">
        <v>41.98028</v>
      </c>
      <c r="S127" s="45">
        <v>-87.908997900000003</v>
      </c>
      <c r="T127" s="45">
        <v>1138.5550000000001</v>
      </c>
      <c r="U127" s="45" t="s">
        <v>617</v>
      </c>
      <c r="V127" s="45" t="s">
        <v>569</v>
      </c>
      <c r="W127" s="45" cm="1">
        <f t="array" ref="W127">getDistance(R127,S127,I127,J127)*SA!$B$12</f>
        <v>985.09467660045368</v>
      </c>
      <c r="X127" s="22"/>
      <c r="Y127" s="16">
        <f>Transportation_LCIA!C$61*($W127^Transportation_LCIA!C$60)+Transportation_LCIA!C$62</f>
        <v>0.2370864199991472</v>
      </c>
      <c r="Z127" s="16">
        <f>Transportation_LCIA!D$61*($W127^Transportation_LCIA!D$60)+Transportation_LCIA!D$62</f>
        <v>2.4393058219490786</v>
      </c>
      <c r="AA127" s="16">
        <f>Transportation_LCIA!E$61*($W127^Transportation_LCIA!E$60)+Transportation_LCIA!E$62</f>
        <v>1.1533446585003482E-3</v>
      </c>
      <c r="AB127" s="16">
        <f>Transportation_LCIA!F$61*($W127^Transportation_LCIA!F$60)+Transportation_LCIA!F$62</f>
        <v>0.2370864199991472</v>
      </c>
      <c r="AC127" s="16">
        <f>Transportation_LCIA!G$61*($W127^Transportation_LCIA!G$60)+Transportation_LCIA!G$62</f>
        <v>5.7007420199112084E-2</v>
      </c>
      <c r="AD127" s="16">
        <f>Transportation_LCIA!H$61*($W127^Transportation_LCIA!H$60)+Transportation_LCIA!H$62</f>
        <v>2.7877818988371404E-4</v>
      </c>
      <c r="AE127" s="16">
        <f>Transportation_LCIA!I$61*($W127^Transportation_LCIA!I$60)+Transportation_LCIA!I$62</f>
        <v>5.969993290824604E-6</v>
      </c>
      <c r="AF127" s="16">
        <f>Transportation_LCIA!J$61*($W127^Transportation_LCIA!J$60)+Transportation_LCIA!J$62</f>
        <v>8.8363701400098228E-3</v>
      </c>
      <c r="AG127" s="16">
        <f>Transportation_LCIA!K$61*($W127^Transportation_LCIA!K$60)+Transportation_LCIA!K$62</f>
        <v>1.2131655681962131E-2</v>
      </c>
      <c r="AH127" s="16">
        <f>Transportation_LCIA!L$61*($W127^Transportation_LCIA!L$60)+Transportation_LCIA!L$62</f>
        <v>2.4170361336866051E-4</v>
      </c>
      <c r="AI127" s="16">
        <f>Transportation_LCIA!M$61*($W127^Transportation_LCIA!M$60)+Transportation_LCIA!M$62</f>
        <v>2.4470196204605344E-4</v>
      </c>
      <c r="AJ127" s="16">
        <f>Transportation_LCIA!N$61*($W127^Transportation_LCIA!N$60)+Transportation_LCIA!N$62</f>
        <v>9.9651507889072025E-4</v>
      </c>
      <c r="AK127" s="16">
        <f>Transportation_LCIA!O$61*($W127^Transportation_LCIA!O$60)+Transportation_LCIA!O$62</f>
        <v>6.0241723006640731E-5</v>
      </c>
      <c r="AL127" s="16">
        <f>Transportation_LCIA!P$61*($W127^Transportation_LCIA!P$60)+Transportation_LCIA!P$62</f>
        <v>2.9132482944789785E-8</v>
      </c>
      <c r="AM127" s="16">
        <f>Transportation_LCIA!Q$61*($W127^Transportation_LCIA!Q$60)+Transportation_LCIA!Q$62</f>
        <v>9.5667002058853797E-5</v>
      </c>
      <c r="AN127" s="16">
        <f>Transportation_LCIA!R$61*($W127^Transportation_LCIA!R$60)+Transportation_LCIA!R$62</f>
        <v>2.8712201740427817E-4</v>
      </c>
      <c r="AO127" s="16">
        <f>Transportation_LCIA!S$61*($W127^Transportation_LCIA!S$60)+Transportation_LCIA!S$62</f>
        <v>4.332314477521164E-6</v>
      </c>
      <c r="AP127" s="16">
        <f>Transportation_LCIA!T$61*($W127^Transportation_LCIA!T$60)+Transportation_LCIA!T$62</f>
        <v>4.332314477521164E-6</v>
      </c>
      <c r="AQ127" s="16">
        <f>Transportation_LCIA!U$61*($W127^Transportation_LCIA!U$60)+Transportation_LCIA!U$62</f>
        <v>6.1636002099593767E-4</v>
      </c>
      <c r="AR127" s="16">
        <f>Transportation_LCIA!V$61*($W127^Transportation_LCIA!V$60)+Transportation_LCIA!V$62</f>
        <v>2.4879684586680414E-4</v>
      </c>
      <c r="AT127" s="16">
        <f>$W127*Y127+($L127)*Summary_LCIA!H$32</f>
        <v>240.50215983541923</v>
      </c>
      <c r="AU127" s="16">
        <f>$W127*Z127+($L127)*Summary_LCIA!Q$32</f>
        <v>2504.3083232582476</v>
      </c>
      <c r="AV127" s="16">
        <f>$W127*AA127+($L127)*Summary_LCIA!R$32</f>
        <v>1.2438457345742611</v>
      </c>
      <c r="AW127" s="16">
        <f>$W127*AB127+($L127)*Summary_LCIA!S$32</f>
        <v>240.41176199541923</v>
      </c>
      <c r="AX127" s="16">
        <f>$W127*AC127+($L127)*Summary_LCIA!T$32</f>
        <v>58.405380964870488</v>
      </c>
      <c r="AY127" s="16">
        <f>$W127*AD127+($L127)*Summary_LCIA!U$32</f>
        <v>0.64100003880675716</v>
      </c>
      <c r="AZ127" s="16">
        <f>$W127*AE127+($L127)*Summary_LCIA!V$32</f>
        <v>6.8578165821317413E-3</v>
      </c>
      <c r="BA127" s="16">
        <f>$W127*AF127+($L127)*Summary_LCIA!W$32</f>
        <v>10.278872077394881</v>
      </c>
      <c r="BB127" s="16">
        <f>$W127*AG127+($L127)*Summary_LCIA!X$32</f>
        <v>12.416725990650542</v>
      </c>
      <c r="BC127" s="16">
        <f>$W127*AH127+($L127)*Summary_LCIA!Y$32</f>
        <v>0.55678400684456175</v>
      </c>
      <c r="BD127" s="16">
        <f>$W127*AI127+($L127)*Summary_LCIA!Z$32</f>
        <v>0.24189331623325352</v>
      </c>
      <c r="BE127" s="16">
        <f>$W127*AJ127+($L127)*Summary_LCIA!AA$32</f>
        <v>1.4593386113673297</v>
      </c>
      <c r="BF127" s="16">
        <f>$W127*AK127+($L127)*Summary_LCIA!AB$32</f>
        <v>5.8897476647080858E-2</v>
      </c>
      <c r="BG127" s="16">
        <f>$W127*AL127+($L127)*Summary_LCIA!AC$32</f>
        <v>2.9698029433065925E-5</v>
      </c>
      <c r="BH127" s="16">
        <f>$W127*AM127+($L127)*Summary_LCIA!AD$32</f>
        <v>0.10264764453450152</v>
      </c>
      <c r="BI127" s="16">
        <f>$W127*AN127+($L127)*Summary_LCIA!AE$32</f>
        <v>0.30096550163973723</v>
      </c>
      <c r="BJ127" s="16">
        <f>$W127*AO127+($L127)*Summary_LCIA!AF$32</f>
        <v>2.1558269769165177E-2</v>
      </c>
      <c r="BK127" s="16">
        <f>$W127*AP127+($L127)*Summary_LCIA!AG$32</f>
        <v>5.3141665091651748E-3</v>
      </c>
      <c r="BL127" s="16">
        <f>$W127*AQ127+($L127)*Summary_LCIA!AH$32</f>
        <v>0.78517900275244212</v>
      </c>
      <c r="BM127" s="16">
        <f>$W127*AR127+($L127)*Summary_LCIA!AI$32</f>
        <v>0.26414050901837233</v>
      </c>
      <c r="BN127" s="16"/>
    </row>
    <row r="128" spans="1:66" x14ac:dyDescent="0.25">
      <c r="A128" s="159">
        <v>186</v>
      </c>
      <c r="B128" s="159">
        <v>6</v>
      </c>
      <c r="C128" s="45">
        <v>38.894278999999997</v>
      </c>
      <c r="D128" s="45">
        <v>-77.431099000000003</v>
      </c>
      <c r="E128" s="45" t="s">
        <v>265</v>
      </c>
      <c r="F128" s="159">
        <v>85</v>
      </c>
      <c r="G128" s="45" t="s">
        <v>630</v>
      </c>
      <c r="H128" s="45" t="s">
        <v>631</v>
      </c>
      <c r="I128" s="45">
        <v>38.953116000000001</v>
      </c>
      <c r="J128" s="45">
        <v>-77.456539000000006</v>
      </c>
      <c r="K128" s="45">
        <v>9.3021399710000008</v>
      </c>
      <c r="L128" s="45">
        <v>12.042999999999999</v>
      </c>
      <c r="M128" s="45" t="s">
        <v>617</v>
      </c>
      <c r="N128" s="159">
        <v>5</v>
      </c>
      <c r="O128" s="159">
        <v>6</v>
      </c>
      <c r="P128" s="45" t="s">
        <v>565</v>
      </c>
      <c r="Q128" s="45" t="s">
        <v>564</v>
      </c>
      <c r="R128" s="45">
        <v>41.98028</v>
      </c>
      <c r="S128" s="45">
        <v>-87.908997900000003</v>
      </c>
      <c r="T128" s="45">
        <v>1145.223</v>
      </c>
      <c r="U128" s="45" t="s">
        <v>617</v>
      </c>
      <c r="V128" s="45" t="s">
        <v>569</v>
      </c>
      <c r="W128" s="45" cm="1">
        <f t="array" ref="W128">getDistance(R128,S128,I128,J128)*SA!$B$12</f>
        <v>947.50539515115577</v>
      </c>
      <c r="X128" s="22"/>
      <c r="Y128" s="16">
        <f>Transportation_LCIA!C$61*($W128^Transportation_LCIA!C$60)+Transportation_LCIA!C$62</f>
        <v>0.24123994717611602</v>
      </c>
      <c r="Z128" s="16">
        <f>Transportation_LCIA!D$61*($W128^Transportation_LCIA!D$60)+Transportation_LCIA!D$62</f>
        <v>2.4878408827076006</v>
      </c>
      <c r="AA128" s="16">
        <f>Transportation_LCIA!E$61*($W128^Transportation_LCIA!E$60)+Transportation_LCIA!E$62</f>
        <v>1.1852674718811078E-3</v>
      </c>
      <c r="AB128" s="16">
        <f>Transportation_LCIA!F$61*($W128^Transportation_LCIA!F$60)+Transportation_LCIA!F$62</f>
        <v>0.24123994717611602</v>
      </c>
      <c r="AC128" s="16">
        <f>Transportation_LCIA!G$61*($W128^Transportation_LCIA!G$60)+Transportation_LCIA!G$62</f>
        <v>5.8130229961751413E-2</v>
      </c>
      <c r="AD128" s="16">
        <f>Transportation_LCIA!H$61*($W128^Transportation_LCIA!H$60)+Transportation_LCIA!H$62</f>
        <v>2.8580243989814041E-4</v>
      </c>
      <c r="AE128" s="16">
        <f>Transportation_LCIA!I$61*($W128^Transportation_LCIA!I$60)+Transportation_LCIA!I$62</f>
        <v>6.1470245572439961E-6</v>
      </c>
      <c r="AF128" s="16">
        <f>Transportation_LCIA!J$61*($W128^Transportation_LCIA!J$60)+Transportation_LCIA!J$62</f>
        <v>9.1002172415569245E-3</v>
      </c>
      <c r="AG128" s="16">
        <f>Transportation_LCIA!K$61*($W128^Transportation_LCIA!K$60)+Transportation_LCIA!K$62</f>
        <v>1.2393929342404509E-2</v>
      </c>
      <c r="AH128" s="16">
        <f>Transportation_LCIA!L$61*($W128^Transportation_LCIA!L$60)+Transportation_LCIA!L$62</f>
        <v>2.4816341330375431E-4</v>
      </c>
      <c r="AI128" s="16">
        <f>Transportation_LCIA!M$61*($W128^Transportation_LCIA!M$60)+Transportation_LCIA!M$62</f>
        <v>2.4857873470520738E-4</v>
      </c>
      <c r="AJ128" s="16">
        <f>Transportation_LCIA!N$61*($W128^Transportation_LCIA!N$60)+Transportation_LCIA!N$62</f>
        <v>1.0201295851308028E-3</v>
      </c>
      <c r="AK128" s="16">
        <f>Transportation_LCIA!O$61*($W128^Transportation_LCIA!O$60)+Transportation_LCIA!O$62</f>
        <v>6.1434895629106112E-5</v>
      </c>
      <c r="AL128" s="16">
        <f>Transportation_LCIA!P$61*($W128^Transportation_LCIA!P$60)+Transportation_LCIA!P$62</f>
        <v>2.9706091927833148E-8</v>
      </c>
      <c r="AM128" s="16">
        <f>Transportation_LCIA!Q$61*($W128^Transportation_LCIA!Q$60)+Transportation_LCIA!Q$62</f>
        <v>9.8193239540815934E-5</v>
      </c>
      <c r="AN128" s="16">
        <f>Transportation_LCIA!R$61*($W128^Transportation_LCIA!R$60)+Transportation_LCIA!R$62</f>
        <v>2.9561142919577987E-4</v>
      </c>
      <c r="AO128" s="16">
        <f>Transportation_LCIA!S$61*($W128^Transportation_LCIA!S$60)+Transportation_LCIA!S$62</f>
        <v>4.4527909660357503E-6</v>
      </c>
      <c r="AP128" s="16">
        <f>Transportation_LCIA!T$61*($W128^Transportation_LCIA!T$60)+Transportation_LCIA!T$62</f>
        <v>4.4527909660357503E-6</v>
      </c>
      <c r="AQ128" s="16">
        <f>Transportation_LCIA!U$61*($W128^Transportation_LCIA!U$60)+Transportation_LCIA!U$62</f>
        <v>6.3498155620491487E-4</v>
      </c>
      <c r="AR128" s="16">
        <f>Transportation_LCIA!V$61*($W128^Transportation_LCIA!V$60)+Transportation_LCIA!V$62</f>
        <v>2.5537034152400519E-4</v>
      </c>
      <c r="AT128" s="16">
        <f>$W128*Y128+($L128)*Summary_LCIA!H$32</f>
        <v>232.66836287534974</v>
      </c>
      <c r="AU128" s="16">
        <f>$W128*Z128+($L128)*Summary_LCIA!Q$32</f>
        <v>2416.9283740076839</v>
      </c>
      <c r="AV128" s="16">
        <f>$W128*AA128+($L128)*Summary_LCIA!R$32</f>
        <v>1.1864609451045205</v>
      </c>
      <c r="AW128" s="16">
        <f>$W128*AB128+($L128)*Summary_LCIA!S$32</f>
        <v>232.61513281534974</v>
      </c>
      <c r="AX128" s="16">
        <f>$W128*AC128+($L128)*Summary_LCIA!T$32</f>
        <v>56.402232210136823</v>
      </c>
      <c r="AY128" s="16">
        <f>$W128*AD128+($L128)*Summary_LCIA!U$32</f>
        <v>0.48653765575085195</v>
      </c>
      <c r="AZ128" s="16">
        <f>$W128*AE128+($L128)*Summary_LCIA!V$32</f>
        <v>6.3995246551153311E-3</v>
      </c>
      <c r="BA128" s="16">
        <f>$W128*AF128+($L128)*Summary_LCIA!W$32</f>
        <v>9.5494666864227558</v>
      </c>
      <c r="BB128" s="16">
        <f>$W128*AG128+($L128)*Summary_LCIA!X$32</f>
        <v>12.017654459050489</v>
      </c>
      <c r="BC128" s="16">
        <f>$W128*AH128+($L128)*Summary_LCIA!Y$32</f>
        <v>0.42279019898443332</v>
      </c>
      <c r="BD128" s="16">
        <f>$W128*AI128+($L128)*Summary_LCIA!Z$32</f>
        <v>0.23602356364003182</v>
      </c>
      <c r="BE128" s="16">
        <f>$W128*AJ128+($L128)*Summary_LCIA!AA$32</f>
        <v>1.2478545936647458</v>
      </c>
      <c r="BF128" s="16">
        <f>$W128*AK128+($L128)*Summary_LCIA!AB$32</f>
        <v>5.7947080670126203E-2</v>
      </c>
      <c r="BG128" s="16">
        <f>$W128*AL128+($L128)*Summary_LCIA!AC$32</f>
        <v>2.8735392382478108E-5</v>
      </c>
      <c r="BH128" s="16">
        <f>$W128*AM128+($L128)*Summary_LCIA!AD$32</f>
        <v>9.7988778952292896E-2</v>
      </c>
      <c r="BI128" s="16">
        <f>$W128*AN128+($L128)*Summary_LCIA!AE$32</f>
        <v>0.29076508762134529</v>
      </c>
      <c r="BJ128" s="16">
        <f>$W128*AO128+($L128)*Summary_LCIA!AF$32</f>
        <v>1.4400436523799201E-2</v>
      </c>
      <c r="BK128" s="16">
        <f>$W128*AP128+($L128)*Summary_LCIA!AG$32</f>
        <v>4.8352235587992001E-3</v>
      </c>
      <c r="BL128" s="16">
        <f>$W128*AQ128+($L128)*Summary_LCIA!AH$32</f>
        <v>0.70646590512563379</v>
      </c>
      <c r="BM128" s="16">
        <f>$W128*AR128+($L128)*Summary_LCIA!AI$32</f>
        <v>0.25318343300558815</v>
      </c>
      <c r="BN128" s="16"/>
    </row>
    <row r="129" spans="1:66" x14ac:dyDescent="0.25">
      <c r="A129" s="159">
        <v>194</v>
      </c>
      <c r="B129" s="159">
        <v>6</v>
      </c>
      <c r="C129" s="45">
        <v>38.990848999999997</v>
      </c>
      <c r="D129" s="45">
        <v>-76.944141000000002</v>
      </c>
      <c r="E129" s="45" t="s">
        <v>265</v>
      </c>
      <c r="F129" s="159">
        <v>86</v>
      </c>
      <c r="G129" s="45" t="s">
        <v>630</v>
      </c>
      <c r="H129" s="45" t="s">
        <v>644</v>
      </c>
      <c r="I129" s="45">
        <v>38.851241999999999</v>
      </c>
      <c r="J129" s="45">
        <v>-77.040232000000003</v>
      </c>
      <c r="K129" s="45">
        <v>24.195713640000001</v>
      </c>
      <c r="L129" s="45">
        <v>33.975999999999999</v>
      </c>
      <c r="M129" s="45" t="s">
        <v>617</v>
      </c>
      <c r="N129" s="159">
        <v>5</v>
      </c>
      <c r="O129" s="159">
        <v>6</v>
      </c>
      <c r="P129" s="45" t="s">
        <v>565</v>
      </c>
      <c r="Q129" s="45" t="s">
        <v>564</v>
      </c>
      <c r="R129" s="45">
        <v>41.98028</v>
      </c>
      <c r="S129" s="45">
        <v>-87.908997900000003</v>
      </c>
      <c r="T129" s="45">
        <v>1147.633</v>
      </c>
      <c r="U129" s="45" t="s">
        <v>617</v>
      </c>
      <c r="V129" s="45" t="s">
        <v>569</v>
      </c>
      <c r="W129" s="45" cm="1">
        <f t="array" ref="W129">getDistance(R129,S129,I129,J129)*SA!$B$12</f>
        <v>985.09467660045368</v>
      </c>
      <c r="X129" s="22"/>
      <c r="Y129" s="16">
        <f>Transportation_LCIA!C$61*($W129^Transportation_LCIA!C$60)+Transportation_LCIA!C$62</f>
        <v>0.2370864199991472</v>
      </c>
      <c r="Z129" s="16">
        <f>Transportation_LCIA!D$61*($W129^Transportation_LCIA!D$60)+Transportation_LCIA!D$62</f>
        <v>2.4393058219490786</v>
      </c>
      <c r="AA129" s="16">
        <f>Transportation_LCIA!E$61*($W129^Transportation_LCIA!E$60)+Transportation_LCIA!E$62</f>
        <v>1.1533446585003482E-3</v>
      </c>
      <c r="AB129" s="16">
        <f>Transportation_LCIA!F$61*($W129^Transportation_LCIA!F$60)+Transportation_LCIA!F$62</f>
        <v>0.2370864199991472</v>
      </c>
      <c r="AC129" s="16">
        <f>Transportation_LCIA!G$61*($W129^Transportation_LCIA!G$60)+Transportation_LCIA!G$62</f>
        <v>5.7007420199112084E-2</v>
      </c>
      <c r="AD129" s="16">
        <f>Transportation_LCIA!H$61*($W129^Transportation_LCIA!H$60)+Transportation_LCIA!H$62</f>
        <v>2.7877818988371404E-4</v>
      </c>
      <c r="AE129" s="16">
        <f>Transportation_LCIA!I$61*($W129^Transportation_LCIA!I$60)+Transportation_LCIA!I$62</f>
        <v>5.969993290824604E-6</v>
      </c>
      <c r="AF129" s="16">
        <f>Transportation_LCIA!J$61*($W129^Transportation_LCIA!J$60)+Transportation_LCIA!J$62</f>
        <v>8.8363701400098228E-3</v>
      </c>
      <c r="AG129" s="16">
        <f>Transportation_LCIA!K$61*($W129^Transportation_LCIA!K$60)+Transportation_LCIA!K$62</f>
        <v>1.2131655681962131E-2</v>
      </c>
      <c r="AH129" s="16">
        <f>Transportation_LCIA!L$61*($W129^Transportation_LCIA!L$60)+Transportation_LCIA!L$62</f>
        <v>2.4170361336866051E-4</v>
      </c>
      <c r="AI129" s="16">
        <f>Transportation_LCIA!M$61*($W129^Transportation_LCIA!M$60)+Transportation_LCIA!M$62</f>
        <v>2.4470196204605344E-4</v>
      </c>
      <c r="AJ129" s="16">
        <f>Transportation_LCIA!N$61*($W129^Transportation_LCIA!N$60)+Transportation_LCIA!N$62</f>
        <v>9.9651507889072025E-4</v>
      </c>
      <c r="AK129" s="16">
        <f>Transportation_LCIA!O$61*($W129^Transportation_LCIA!O$60)+Transportation_LCIA!O$62</f>
        <v>6.0241723006640731E-5</v>
      </c>
      <c r="AL129" s="16">
        <f>Transportation_LCIA!P$61*($W129^Transportation_LCIA!P$60)+Transportation_LCIA!P$62</f>
        <v>2.9132482944789785E-8</v>
      </c>
      <c r="AM129" s="16">
        <f>Transportation_LCIA!Q$61*($W129^Transportation_LCIA!Q$60)+Transportation_LCIA!Q$62</f>
        <v>9.5667002058853797E-5</v>
      </c>
      <c r="AN129" s="16">
        <f>Transportation_LCIA!R$61*($W129^Transportation_LCIA!R$60)+Transportation_LCIA!R$62</f>
        <v>2.8712201740427817E-4</v>
      </c>
      <c r="AO129" s="16">
        <f>Transportation_LCIA!S$61*($W129^Transportation_LCIA!S$60)+Transportation_LCIA!S$62</f>
        <v>4.332314477521164E-6</v>
      </c>
      <c r="AP129" s="16">
        <f>Transportation_LCIA!T$61*($W129^Transportation_LCIA!T$60)+Transportation_LCIA!T$62</f>
        <v>4.332314477521164E-6</v>
      </c>
      <c r="AQ129" s="16">
        <f>Transportation_LCIA!U$61*($W129^Transportation_LCIA!U$60)+Transportation_LCIA!U$62</f>
        <v>6.1636002099593767E-4</v>
      </c>
      <c r="AR129" s="16">
        <f>Transportation_LCIA!V$61*($W129^Transportation_LCIA!V$60)+Transportation_LCIA!V$62</f>
        <v>2.4879684586680414E-4</v>
      </c>
      <c r="AT129" s="16">
        <f>$W129*Y129+($L129)*Summary_LCIA!H$32</f>
        <v>245.09761503541924</v>
      </c>
      <c r="AU129" s="16">
        <f>$W129*Z129+($L129)*Summary_LCIA!Q$32</f>
        <v>2571.3339493141393</v>
      </c>
      <c r="AV129" s="16">
        <f>$W129*AA129+($L129)*Summary_LCIA!R$32</f>
        <v>1.3150577089742612</v>
      </c>
      <c r="AW129" s="16">
        <f>$W129*AB129+($L129)*Summary_LCIA!S$32</f>
        <v>244.94744111541925</v>
      </c>
      <c r="AX129" s="16">
        <f>$W129*AC129+($L129)*Summary_LCIA!T$32</f>
        <v>59.891668564870493</v>
      </c>
      <c r="AY129" s="16">
        <f>$W129*AD129+($L129)*Summary_LCIA!U$32</f>
        <v>0.88326897480675715</v>
      </c>
      <c r="AZ129" s="16">
        <f>$W129*AE129+($L129)*Summary_LCIA!V$32</f>
        <v>7.5037363461317409E-3</v>
      </c>
      <c r="BA129" s="16">
        <f>$W129*AF129+($L129)*Summary_LCIA!W$32</f>
        <v>11.319827881394881</v>
      </c>
      <c r="BB129" s="16">
        <f>$W129*AG129+($L129)*Summary_LCIA!X$32</f>
        <v>12.724802710650541</v>
      </c>
      <c r="BC129" s="16">
        <f>$W129*AH129+($L129)*Summary_LCIA!Y$32</f>
        <v>0.76751497484456177</v>
      </c>
      <c r="BD129" s="16">
        <f>$W129*AI129+($L129)*Summary_LCIA!Z$32</f>
        <v>0.24244792194925352</v>
      </c>
      <c r="BE129" s="16">
        <f>$W129*AJ129+($L129)*Summary_LCIA!AA$32</f>
        <v>1.7752051553673294</v>
      </c>
      <c r="BF129" s="16">
        <f>$W129*AK129+($L129)*Summary_LCIA!AB$32</f>
        <v>5.8602342395080859E-2</v>
      </c>
      <c r="BG129" s="16">
        <f>$W129*AL129+($L129)*Summary_LCIA!AC$32</f>
        <v>3.0359136649065925E-5</v>
      </c>
      <c r="BH129" s="16">
        <f>$W129*AM129+($L129)*Summary_LCIA!AD$32</f>
        <v>0.10820654949450152</v>
      </c>
      <c r="BI129" s="16">
        <f>$W129*AN129+($L129)*Summary_LCIA!AE$32</f>
        <v>0.31294952375973722</v>
      </c>
      <c r="BJ129" s="16">
        <f>$W129*AO129+($L129)*Summary_LCIA!AF$32</f>
        <v>3.299172984916518E-2</v>
      </c>
      <c r="BK129" s="16">
        <f>$W129*AP129+($L129)*Summary_LCIA!AG$32</f>
        <v>6.0061219691651749E-3</v>
      </c>
      <c r="BL129" s="16">
        <f>$W129*AQ129+($L129)*Summary_LCIA!AH$32</f>
        <v>0.90288648915244218</v>
      </c>
      <c r="BM129" s="16">
        <f>$W129*AR129+($L129)*Summary_LCIA!AI$32</f>
        <v>0.27673879121837236</v>
      </c>
      <c r="BN129" s="16"/>
    </row>
    <row r="130" spans="1:66" x14ac:dyDescent="0.25">
      <c r="A130" s="159">
        <v>195</v>
      </c>
      <c r="B130" s="159">
        <v>6</v>
      </c>
      <c r="C130" s="45">
        <v>38.990848999999997</v>
      </c>
      <c r="D130" s="45">
        <v>-76.944141000000002</v>
      </c>
      <c r="E130" s="45" t="s">
        <v>265</v>
      </c>
      <c r="F130" s="159">
        <v>86</v>
      </c>
      <c r="G130" s="45" t="s">
        <v>630</v>
      </c>
      <c r="H130" s="45" t="s">
        <v>644</v>
      </c>
      <c r="I130" s="45">
        <v>38.851241999999999</v>
      </c>
      <c r="J130" s="45">
        <v>-77.040232000000003</v>
      </c>
      <c r="K130" s="45">
        <v>24.195713640000001</v>
      </c>
      <c r="L130" s="45">
        <v>33.975999999999999</v>
      </c>
      <c r="M130" s="45" t="s">
        <v>617</v>
      </c>
      <c r="N130" s="159">
        <v>5</v>
      </c>
      <c r="O130" s="159">
        <v>6</v>
      </c>
      <c r="P130" s="45" t="s">
        <v>565</v>
      </c>
      <c r="Q130" s="45" t="s">
        <v>564</v>
      </c>
      <c r="R130" s="45">
        <v>41.98028</v>
      </c>
      <c r="S130" s="45">
        <v>-87.908997900000003</v>
      </c>
      <c r="T130" s="45">
        <v>1147.633</v>
      </c>
      <c r="U130" s="45" t="s">
        <v>617</v>
      </c>
      <c r="V130" s="45" t="s">
        <v>569</v>
      </c>
      <c r="W130" s="45" cm="1">
        <f t="array" ref="W130">getDistance(R130,S130,I130,J130)*SA!$B$12</f>
        <v>985.09467660045368</v>
      </c>
      <c r="X130" s="22"/>
      <c r="Y130" s="16">
        <f>Transportation_LCIA!C$61*($W130^Transportation_LCIA!C$60)+Transportation_LCIA!C$62</f>
        <v>0.2370864199991472</v>
      </c>
      <c r="Z130" s="16">
        <f>Transportation_LCIA!D$61*($W130^Transportation_LCIA!D$60)+Transportation_LCIA!D$62</f>
        <v>2.4393058219490786</v>
      </c>
      <c r="AA130" s="16">
        <f>Transportation_LCIA!E$61*($W130^Transportation_LCIA!E$60)+Transportation_LCIA!E$62</f>
        <v>1.1533446585003482E-3</v>
      </c>
      <c r="AB130" s="16">
        <f>Transportation_LCIA!F$61*($W130^Transportation_LCIA!F$60)+Transportation_LCIA!F$62</f>
        <v>0.2370864199991472</v>
      </c>
      <c r="AC130" s="16">
        <f>Transportation_LCIA!G$61*($W130^Transportation_LCIA!G$60)+Transportation_LCIA!G$62</f>
        <v>5.7007420199112084E-2</v>
      </c>
      <c r="AD130" s="16">
        <f>Transportation_LCIA!H$61*($W130^Transportation_LCIA!H$60)+Transportation_LCIA!H$62</f>
        <v>2.7877818988371404E-4</v>
      </c>
      <c r="AE130" s="16">
        <f>Transportation_LCIA!I$61*($W130^Transportation_LCIA!I$60)+Transportation_LCIA!I$62</f>
        <v>5.969993290824604E-6</v>
      </c>
      <c r="AF130" s="16">
        <f>Transportation_LCIA!J$61*($W130^Transportation_LCIA!J$60)+Transportation_LCIA!J$62</f>
        <v>8.8363701400098228E-3</v>
      </c>
      <c r="AG130" s="16">
        <f>Transportation_LCIA!K$61*($W130^Transportation_LCIA!K$60)+Transportation_LCIA!K$62</f>
        <v>1.2131655681962131E-2</v>
      </c>
      <c r="AH130" s="16">
        <f>Transportation_LCIA!L$61*($W130^Transportation_LCIA!L$60)+Transportation_LCIA!L$62</f>
        <v>2.4170361336866051E-4</v>
      </c>
      <c r="AI130" s="16">
        <f>Transportation_LCIA!M$61*($W130^Transportation_LCIA!M$60)+Transportation_LCIA!M$62</f>
        <v>2.4470196204605344E-4</v>
      </c>
      <c r="AJ130" s="16">
        <f>Transportation_LCIA!N$61*($W130^Transportation_LCIA!N$60)+Transportation_LCIA!N$62</f>
        <v>9.9651507889072025E-4</v>
      </c>
      <c r="AK130" s="16">
        <f>Transportation_LCIA!O$61*($W130^Transportation_LCIA!O$60)+Transportation_LCIA!O$62</f>
        <v>6.0241723006640731E-5</v>
      </c>
      <c r="AL130" s="16">
        <f>Transportation_LCIA!P$61*($W130^Transportation_LCIA!P$60)+Transportation_LCIA!P$62</f>
        <v>2.9132482944789785E-8</v>
      </c>
      <c r="AM130" s="16">
        <f>Transportation_LCIA!Q$61*($W130^Transportation_LCIA!Q$60)+Transportation_LCIA!Q$62</f>
        <v>9.5667002058853797E-5</v>
      </c>
      <c r="AN130" s="16">
        <f>Transportation_LCIA!R$61*($W130^Transportation_LCIA!R$60)+Transportation_LCIA!R$62</f>
        <v>2.8712201740427817E-4</v>
      </c>
      <c r="AO130" s="16">
        <f>Transportation_LCIA!S$61*($W130^Transportation_LCIA!S$60)+Transportation_LCIA!S$62</f>
        <v>4.332314477521164E-6</v>
      </c>
      <c r="AP130" s="16">
        <f>Transportation_LCIA!T$61*($W130^Transportation_LCIA!T$60)+Transportation_LCIA!T$62</f>
        <v>4.332314477521164E-6</v>
      </c>
      <c r="AQ130" s="16">
        <f>Transportation_LCIA!U$61*($W130^Transportation_LCIA!U$60)+Transportation_LCIA!U$62</f>
        <v>6.1636002099593767E-4</v>
      </c>
      <c r="AR130" s="16">
        <f>Transportation_LCIA!V$61*($W130^Transportation_LCIA!V$60)+Transportation_LCIA!V$62</f>
        <v>2.4879684586680414E-4</v>
      </c>
      <c r="AT130" s="16">
        <f>$W130*Y130+($L130)*Summary_LCIA!H$32</f>
        <v>245.09761503541924</v>
      </c>
      <c r="AU130" s="16">
        <f>$W130*Z130+($L130)*Summary_LCIA!Q$32</f>
        <v>2571.3339493141393</v>
      </c>
      <c r="AV130" s="16">
        <f>$W130*AA130+($L130)*Summary_LCIA!R$32</f>
        <v>1.3150577089742612</v>
      </c>
      <c r="AW130" s="16">
        <f>$W130*AB130+($L130)*Summary_LCIA!S$32</f>
        <v>244.94744111541925</v>
      </c>
      <c r="AX130" s="16">
        <f>$W130*AC130+($L130)*Summary_LCIA!T$32</f>
        <v>59.891668564870493</v>
      </c>
      <c r="AY130" s="16">
        <f>$W130*AD130+($L130)*Summary_LCIA!U$32</f>
        <v>0.88326897480675715</v>
      </c>
      <c r="AZ130" s="16">
        <f>$W130*AE130+($L130)*Summary_LCIA!V$32</f>
        <v>7.5037363461317409E-3</v>
      </c>
      <c r="BA130" s="16">
        <f>$W130*AF130+($L130)*Summary_LCIA!W$32</f>
        <v>11.319827881394881</v>
      </c>
      <c r="BB130" s="16">
        <f>$W130*AG130+($L130)*Summary_LCIA!X$32</f>
        <v>12.724802710650541</v>
      </c>
      <c r="BC130" s="16">
        <f>$W130*AH130+($L130)*Summary_LCIA!Y$32</f>
        <v>0.76751497484456177</v>
      </c>
      <c r="BD130" s="16">
        <f>$W130*AI130+($L130)*Summary_LCIA!Z$32</f>
        <v>0.24244792194925352</v>
      </c>
      <c r="BE130" s="16">
        <f>$W130*AJ130+($L130)*Summary_LCIA!AA$32</f>
        <v>1.7752051553673294</v>
      </c>
      <c r="BF130" s="16">
        <f>$W130*AK130+($L130)*Summary_LCIA!AB$32</f>
        <v>5.8602342395080859E-2</v>
      </c>
      <c r="BG130" s="16">
        <f>$W130*AL130+($L130)*Summary_LCIA!AC$32</f>
        <v>3.0359136649065925E-5</v>
      </c>
      <c r="BH130" s="16">
        <f>$W130*AM130+($L130)*Summary_LCIA!AD$32</f>
        <v>0.10820654949450152</v>
      </c>
      <c r="BI130" s="16">
        <f>$W130*AN130+($L130)*Summary_LCIA!AE$32</f>
        <v>0.31294952375973722</v>
      </c>
      <c r="BJ130" s="16">
        <f>$W130*AO130+($L130)*Summary_LCIA!AF$32</f>
        <v>3.299172984916518E-2</v>
      </c>
      <c r="BK130" s="16">
        <f>$W130*AP130+($L130)*Summary_LCIA!AG$32</f>
        <v>6.0061219691651749E-3</v>
      </c>
      <c r="BL130" s="16">
        <f>$W130*AQ130+($L130)*Summary_LCIA!AH$32</f>
        <v>0.90288648915244218</v>
      </c>
      <c r="BM130" s="16">
        <f>$W130*AR130+($L130)*Summary_LCIA!AI$32</f>
        <v>0.27673879121837236</v>
      </c>
      <c r="BN130" s="16"/>
    </row>
    <row r="131" spans="1:66" x14ac:dyDescent="0.25">
      <c r="A131" s="159">
        <v>157</v>
      </c>
      <c r="B131" s="159">
        <v>6</v>
      </c>
      <c r="C131" s="45">
        <v>39.034832000000002</v>
      </c>
      <c r="D131" s="45">
        <v>-76.907473999999993</v>
      </c>
      <c r="E131" s="45" t="s">
        <v>265</v>
      </c>
      <c r="F131" s="159">
        <v>82</v>
      </c>
      <c r="G131" s="45" t="s">
        <v>684</v>
      </c>
      <c r="H131" s="45" t="s">
        <v>685</v>
      </c>
      <c r="I131" s="45">
        <v>39.177404000000003</v>
      </c>
      <c r="J131" s="45">
        <v>-76.668391999999997</v>
      </c>
      <c r="K131" s="45">
        <v>32.055941840000003</v>
      </c>
      <c r="L131" s="45">
        <v>31.834</v>
      </c>
      <c r="M131" s="45" t="s">
        <v>617</v>
      </c>
      <c r="N131" s="159">
        <v>5</v>
      </c>
      <c r="O131" s="159">
        <v>6</v>
      </c>
      <c r="P131" s="45" t="s">
        <v>565</v>
      </c>
      <c r="Q131" s="45" t="s">
        <v>564</v>
      </c>
      <c r="R131" s="45">
        <v>41.98028</v>
      </c>
      <c r="S131" s="45">
        <v>-87.908997900000003</v>
      </c>
      <c r="T131" s="45">
        <v>1148.172</v>
      </c>
      <c r="U131" s="45" t="s">
        <v>617</v>
      </c>
      <c r="V131" s="45" t="s">
        <v>569</v>
      </c>
      <c r="W131" s="45" cm="1">
        <f t="array" ref="W131">getDistance(R131,S131,I131,J131)*SA!$B$12</f>
        <v>1000.6132088037757</v>
      </c>
      <c r="X131" s="22"/>
      <c r="Y131" s="16">
        <f>Transportation_LCIA!C$61*($W131^Transportation_LCIA!C$60)+Transportation_LCIA!C$62</f>
        <v>0.23545549201117222</v>
      </c>
      <c r="Z131" s="16">
        <f>Transportation_LCIA!D$61*($W131^Transportation_LCIA!D$60)+Transportation_LCIA!D$62</f>
        <v>2.4202706213242857</v>
      </c>
      <c r="AA131" s="16">
        <f>Transportation_LCIA!E$61*($W131^Transportation_LCIA!E$60)+Transportation_LCIA!E$62</f>
        <v>1.1408288746412865E-3</v>
      </c>
      <c r="AB131" s="16">
        <f>Transportation_LCIA!F$61*($W131^Transportation_LCIA!F$60)+Transportation_LCIA!F$62</f>
        <v>0.23545549201117222</v>
      </c>
      <c r="AC131" s="16">
        <f>Transportation_LCIA!G$61*($W131^Transportation_LCIA!G$60)+Transportation_LCIA!G$62</f>
        <v>5.6567029490067894E-2</v>
      </c>
      <c r="AD131" s="16">
        <f>Transportation_LCIA!H$61*($W131^Transportation_LCIA!H$60)+Transportation_LCIA!H$62</f>
        <v>2.7602605046665079E-4</v>
      </c>
      <c r="AE131" s="16">
        <f>Transportation_LCIA!I$61*($W131^Transportation_LCIA!I$60)+Transportation_LCIA!I$62</f>
        <v>5.9007051245170717E-6</v>
      </c>
      <c r="AF131" s="16">
        <f>Transportation_LCIA!J$61*($W131^Transportation_LCIA!J$60)+Transportation_LCIA!J$62</f>
        <v>8.7331748305765275E-3</v>
      </c>
      <c r="AG131" s="16">
        <f>Transportation_LCIA!K$61*($W131^Transportation_LCIA!K$60)+Transportation_LCIA!K$62</f>
        <v>1.202884789194781E-2</v>
      </c>
      <c r="AH131" s="16">
        <f>Transportation_LCIA!L$61*($W131^Transportation_LCIA!L$60)+Transportation_LCIA!L$62</f>
        <v>2.3917339407197619E-4</v>
      </c>
      <c r="AI131" s="16">
        <f>Transportation_LCIA!M$61*($W131^Transportation_LCIA!M$60)+Transportation_LCIA!M$62</f>
        <v>2.4318307597628473E-4</v>
      </c>
      <c r="AJ131" s="16">
        <f>Transportation_LCIA!N$61*($W131^Transportation_LCIA!N$60)+Transportation_LCIA!N$62</f>
        <v>9.8726200560057169E-4</v>
      </c>
      <c r="AK131" s="16">
        <f>Transportation_LCIA!O$61*($W131^Transportation_LCIA!O$60)+Transportation_LCIA!O$62</f>
        <v>5.9773749710491345E-5</v>
      </c>
      <c r="AL131" s="16">
        <f>Transportation_LCIA!P$61*($W131^Transportation_LCIA!P$60)+Transportation_LCIA!P$62</f>
        <v>2.8907488339561379E-8</v>
      </c>
      <c r="AM131" s="16">
        <f>Transportation_LCIA!Q$61*($W131^Transportation_LCIA!Q$60)+Transportation_LCIA!Q$62</f>
        <v>9.467766898012229E-5</v>
      </c>
      <c r="AN131" s="16">
        <f>Transportation_LCIA!R$61*($W131^Transportation_LCIA!R$60)+Transportation_LCIA!R$62</f>
        <v>2.8379943666853271E-4</v>
      </c>
      <c r="AO131" s="16">
        <f>Transportation_LCIA!S$61*($W131^Transportation_LCIA!S$60)+Transportation_LCIA!S$62</f>
        <v>4.2851602210115667E-6</v>
      </c>
      <c r="AP131" s="16">
        <f>Transportation_LCIA!T$61*($W131^Transportation_LCIA!T$60)+Transportation_LCIA!T$62</f>
        <v>4.2851602210115667E-6</v>
      </c>
      <c r="AQ131" s="16">
        <f>Transportation_LCIA!U$61*($W131^Transportation_LCIA!U$60)+Transportation_LCIA!U$62</f>
        <v>6.0907340462762602E-4</v>
      </c>
      <c r="AR131" s="16">
        <f>Transportation_LCIA!V$61*($W131^Transportation_LCIA!V$60)+Transportation_LCIA!V$62</f>
        <v>2.4622305360046668E-4</v>
      </c>
      <c r="AT131" s="16">
        <f>$W131*Y131+($L131)*Summary_LCIA!H$32</f>
        <v>246.4170685917708</v>
      </c>
      <c r="AU131" s="16">
        <f>$W131*Z131+($L131)*Summary_LCIA!Q$32</f>
        <v>2579.5256620609234</v>
      </c>
      <c r="AV131" s="16">
        <f>$W131*AA131+($L131)*Summary_LCIA!R$32</f>
        <v>1.3091535513508179</v>
      </c>
      <c r="AW131" s="16">
        <f>$W131*AB131+($L131)*Summary_LCIA!S$32</f>
        <v>246.27636231177081</v>
      </c>
      <c r="AX131" s="16">
        <f>$W131*AC131+($L131)*Summary_LCIA!T$32</f>
        <v>60.100273490554642</v>
      </c>
      <c r="AY131" s="16">
        <f>$W131*AD131+($L131)*Summary_LCIA!U$32</f>
        <v>0.84646958807086836</v>
      </c>
      <c r="AZ131" s="16">
        <f>$W131*AE131+($L131)*Summary_LCIA!V$32</f>
        <v>7.4247471628479103E-3</v>
      </c>
      <c r="BA131" s="16">
        <f>$W131*AF131+($L131)*Summary_LCIA!W$32</f>
        <v>11.188824904267548</v>
      </c>
      <c r="BB131" s="16">
        <f>$W131*AG131+($L131)*Summary_LCIA!X$32</f>
        <v>12.76140260737443</v>
      </c>
      <c r="BC131" s="16">
        <f>$W131*AH131+($L131)*Summary_LCIA!Y$32</f>
        <v>0.73535744530285008</v>
      </c>
      <c r="BD131" s="16">
        <f>$W131*AI131+($L131)*Summary_LCIA!Z$32</f>
        <v>0.24463767848540263</v>
      </c>
      <c r="BE131" s="16">
        <f>$W131*AJ131+($L131)*Summary_LCIA!AA$32</f>
        <v>1.7313823073540391</v>
      </c>
      <c r="BF131" s="16">
        <f>$W131*AK131+($L131)*Summary_LCIA!AB$32</f>
        <v>5.91156901180485E-2</v>
      </c>
      <c r="BG131" s="16">
        <f>$W131*AL131+($L131)*Summary_LCIA!AC$32</f>
        <v>3.0481387921906242E-5</v>
      </c>
      <c r="BH131" s="16">
        <f>$W131*AM131+($L131)*Summary_LCIA!AD$32</f>
        <v>0.10782077352026187</v>
      </c>
      <c r="BI131" s="16">
        <f>$W131*AN131+($L131)*Summary_LCIA!AE$32</f>
        <v>0.3121825274016044</v>
      </c>
      <c r="BJ131" s="16">
        <f>$W131*AO131+($L131)*Summary_LCIA!AF$32</f>
        <v>3.1200888198984682E-2</v>
      </c>
      <c r="BK131" s="16">
        <f>$W131*AP131+($L131)*Summary_LCIA!AG$32</f>
        <v>5.9165745289846807E-3</v>
      </c>
      <c r="BL131" s="16">
        <f>$W131*AQ131+($L131)*Summary_LCIA!AH$32</f>
        <v>0.88651729620148934</v>
      </c>
      <c r="BM131" s="16">
        <f>$W131*AR131+($L131)*Summary_LCIA!AI$32</f>
        <v>0.27602900244462703</v>
      </c>
      <c r="BN131" s="16"/>
    </row>
    <row r="132" spans="1:66" x14ac:dyDescent="0.25">
      <c r="A132" s="159">
        <v>111</v>
      </c>
      <c r="B132" s="159">
        <v>6</v>
      </c>
      <c r="C132" s="45">
        <v>39.008927</v>
      </c>
      <c r="D132" s="45">
        <v>-76.895245000000003</v>
      </c>
      <c r="E132" s="45" t="s">
        <v>265</v>
      </c>
      <c r="F132" s="159">
        <v>86</v>
      </c>
      <c r="G132" s="45" t="s">
        <v>630</v>
      </c>
      <c r="H132" s="45" t="s">
        <v>644</v>
      </c>
      <c r="I132" s="45">
        <v>38.851241999999999</v>
      </c>
      <c r="J132" s="45">
        <v>-77.040232000000003</v>
      </c>
      <c r="K132" s="45">
        <v>28.86541089</v>
      </c>
      <c r="L132" s="45">
        <v>30.018999999999998</v>
      </c>
      <c r="M132" s="45" t="s">
        <v>617</v>
      </c>
      <c r="N132" s="159">
        <v>5</v>
      </c>
      <c r="O132" s="159">
        <v>6</v>
      </c>
      <c r="P132" s="45" t="s">
        <v>565</v>
      </c>
      <c r="Q132" s="45" t="s">
        <v>564</v>
      </c>
      <c r="R132" s="45">
        <v>41.98028</v>
      </c>
      <c r="S132" s="45">
        <v>-87.908997900000003</v>
      </c>
      <c r="T132" s="45">
        <v>1150.0989999999999</v>
      </c>
      <c r="U132" s="45" t="s">
        <v>617</v>
      </c>
      <c r="V132" s="45" t="s">
        <v>569</v>
      </c>
      <c r="W132" s="45" cm="1">
        <f t="array" ref="W132">getDistance(R132,S132,I132,J132)*SA!$B$12</f>
        <v>985.09467660045368</v>
      </c>
      <c r="X132" s="22"/>
      <c r="Y132" s="16">
        <f>Transportation_LCIA!C$61*($W132^Transportation_LCIA!C$60)+Transportation_LCIA!C$62</f>
        <v>0.2370864199991472</v>
      </c>
      <c r="Z132" s="16">
        <f>Transportation_LCIA!D$61*($W132^Transportation_LCIA!D$60)+Transportation_LCIA!D$62</f>
        <v>2.4393058219490786</v>
      </c>
      <c r="AA132" s="16">
        <f>Transportation_LCIA!E$61*($W132^Transportation_LCIA!E$60)+Transportation_LCIA!E$62</f>
        <v>1.1533446585003482E-3</v>
      </c>
      <c r="AB132" s="16">
        <f>Transportation_LCIA!F$61*($W132^Transportation_LCIA!F$60)+Transportation_LCIA!F$62</f>
        <v>0.2370864199991472</v>
      </c>
      <c r="AC132" s="16">
        <f>Transportation_LCIA!G$61*($W132^Transportation_LCIA!G$60)+Transportation_LCIA!G$62</f>
        <v>5.7007420199112084E-2</v>
      </c>
      <c r="AD132" s="16">
        <f>Transportation_LCIA!H$61*($W132^Transportation_LCIA!H$60)+Transportation_LCIA!H$62</f>
        <v>2.7877818988371404E-4</v>
      </c>
      <c r="AE132" s="16">
        <f>Transportation_LCIA!I$61*($W132^Transportation_LCIA!I$60)+Transportation_LCIA!I$62</f>
        <v>5.969993290824604E-6</v>
      </c>
      <c r="AF132" s="16">
        <f>Transportation_LCIA!J$61*($W132^Transportation_LCIA!J$60)+Transportation_LCIA!J$62</f>
        <v>8.8363701400098228E-3</v>
      </c>
      <c r="AG132" s="16">
        <f>Transportation_LCIA!K$61*($W132^Transportation_LCIA!K$60)+Transportation_LCIA!K$62</f>
        <v>1.2131655681962131E-2</v>
      </c>
      <c r="AH132" s="16">
        <f>Transportation_LCIA!L$61*($W132^Transportation_LCIA!L$60)+Transportation_LCIA!L$62</f>
        <v>2.4170361336866051E-4</v>
      </c>
      <c r="AI132" s="16">
        <f>Transportation_LCIA!M$61*($W132^Transportation_LCIA!M$60)+Transportation_LCIA!M$62</f>
        <v>2.4470196204605344E-4</v>
      </c>
      <c r="AJ132" s="16">
        <f>Transportation_LCIA!N$61*($W132^Transportation_LCIA!N$60)+Transportation_LCIA!N$62</f>
        <v>9.9651507889072025E-4</v>
      </c>
      <c r="AK132" s="16">
        <f>Transportation_LCIA!O$61*($W132^Transportation_LCIA!O$60)+Transportation_LCIA!O$62</f>
        <v>6.0241723006640731E-5</v>
      </c>
      <c r="AL132" s="16">
        <f>Transportation_LCIA!P$61*($W132^Transportation_LCIA!P$60)+Transportation_LCIA!P$62</f>
        <v>2.9132482944789785E-8</v>
      </c>
      <c r="AM132" s="16">
        <f>Transportation_LCIA!Q$61*($W132^Transportation_LCIA!Q$60)+Transportation_LCIA!Q$62</f>
        <v>9.5667002058853797E-5</v>
      </c>
      <c r="AN132" s="16">
        <f>Transportation_LCIA!R$61*($W132^Transportation_LCIA!R$60)+Transportation_LCIA!R$62</f>
        <v>2.8712201740427817E-4</v>
      </c>
      <c r="AO132" s="16">
        <f>Transportation_LCIA!S$61*($W132^Transportation_LCIA!S$60)+Transportation_LCIA!S$62</f>
        <v>4.332314477521164E-6</v>
      </c>
      <c r="AP132" s="16">
        <f>Transportation_LCIA!T$61*($W132^Transportation_LCIA!T$60)+Transportation_LCIA!T$62</f>
        <v>4.332314477521164E-6</v>
      </c>
      <c r="AQ132" s="16">
        <f>Transportation_LCIA!U$61*($W132^Transportation_LCIA!U$60)+Transportation_LCIA!U$62</f>
        <v>6.1636002099593767E-4</v>
      </c>
      <c r="AR132" s="16">
        <f>Transportation_LCIA!V$61*($W132^Transportation_LCIA!V$60)+Transportation_LCIA!V$62</f>
        <v>2.4879684586680414E-4</v>
      </c>
      <c r="AT132" s="16">
        <f>$W132*Y132+($L132)*Summary_LCIA!H$32</f>
        <v>243.75302643541923</v>
      </c>
      <c r="AU132" s="16">
        <f>$W132*Z132+($L132)*Summary_LCIA!Q$32</f>
        <v>2551.7228577507585</v>
      </c>
      <c r="AV132" s="16">
        <f>$W132*AA132+($L132)*Summary_LCIA!R$32</f>
        <v>1.2942217297742611</v>
      </c>
      <c r="AW132" s="16">
        <f>$W132*AB132+($L132)*Summary_LCIA!S$32</f>
        <v>243.62034245541923</v>
      </c>
      <c r="AX132" s="16">
        <f>$W132*AC132+($L132)*Summary_LCIA!T$32</f>
        <v>59.456794264870489</v>
      </c>
      <c r="AY132" s="16">
        <f>$W132*AD132+($L132)*Summary_LCIA!U$32</f>
        <v>0.81238327680675715</v>
      </c>
      <c r="AZ132" s="16">
        <f>$W132*AE132+($L132)*Summary_LCIA!V$32</f>
        <v>7.3147460691317407E-3</v>
      </c>
      <c r="BA132" s="16">
        <f>$W132*AF132+($L132)*Summary_LCIA!W$32</f>
        <v>11.015253634394881</v>
      </c>
      <c r="BB132" s="16">
        <f>$W132*AG132+($L132)*Summary_LCIA!X$32</f>
        <v>12.634662250650541</v>
      </c>
      <c r="BC132" s="16">
        <f>$W132*AH132+($L132)*Summary_LCIA!Y$32</f>
        <v>0.70585700084456171</v>
      </c>
      <c r="BD132" s="16">
        <f>$W132*AI132+($L132)*Summary_LCIA!Z$32</f>
        <v>0.24228564933625352</v>
      </c>
      <c r="BE132" s="16">
        <f>$W132*AJ132+($L132)*Summary_LCIA!AA$32</f>
        <v>1.6827854633673294</v>
      </c>
      <c r="BF132" s="16">
        <f>$W132*AK132+($L132)*Summary_LCIA!AB$32</f>
        <v>5.8688696006080864E-2</v>
      </c>
      <c r="BG132" s="16">
        <f>$W132*AL132+($L132)*Summary_LCIA!AC$32</f>
        <v>3.0165702661065922E-5</v>
      </c>
      <c r="BH132" s="16">
        <f>$W132*AM132+($L132)*Summary_LCIA!AD$32</f>
        <v>0.10658006421450153</v>
      </c>
      <c r="BI132" s="16">
        <f>$W132*AN132+($L132)*Summary_LCIA!AE$32</f>
        <v>0.30944310734973723</v>
      </c>
      <c r="BJ132" s="16">
        <f>$W132*AO132+($L132)*Summary_LCIA!AF$32</f>
        <v>2.9646402909165176E-2</v>
      </c>
      <c r="BK132" s="16">
        <f>$W132*AP132+($L132)*Summary_LCIA!AG$32</f>
        <v>5.8036620641651751E-3</v>
      </c>
      <c r="BL132" s="16">
        <f>$W132*AQ132+($L132)*Summary_LCIA!AH$32</f>
        <v>0.86844634395244213</v>
      </c>
      <c r="BM132" s="16">
        <f>$W132*AR132+($L132)*Summary_LCIA!AI$32</f>
        <v>0.27305264786837236</v>
      </c>
      <c r="BN132" s="16"/>
    </row>
    <row r="133" spans="1:66" x14ac:dyDescent="0.25">
      <c r="A133" s="159">
        <v>55</v>
      </c>
      <c r="B133" s="159">
        <v>6</v>
      </c>
      <c r="C133" s="45">
        <v>38.892918999999999</v>
      </c>
      <c r="D133" s="45">
        <v>-77.050562999999997</v>
      </c>
      <c r="E133" s="45" t="s">
        <v>265</v>
      </c>
      <c r="F133" s="159">
        <v>86</v>
      </c>
      <c r="G133" s="45" t="s">
        <v>630</v>
      </c>
      <c r="H133" s="45" t="s">
        <v>644</v>
      </c>
      <c r="I133" s="45">
        <v>38.851241999999999</v>
      </c>
      <c r="J133" s="45">
        <v>-77.040232000000003</v>
      </c>
      <c r="K133" s="45">
        <v>6.5036477030000004</v>
      </c>
      <c r="L133" s="45">
        <v>7.6310000000000002</v>
      </c>
      <c r="M133" s="45" t="s">
        <v>617</v>
      </c>
      <c r="N133" s="159">
        <v>5</v>
      </c>
      <c r="O133" s="159">
        <v>6</v>
      </c>
      <c r="P133" s="45" t="s">
        <v>565</v>
      </c>
      <c r="Q133" s="45" t="s">
        <v>564</v>
      </c>
      <c r="R133" s="45">
        <v>41.98028</v>
      </c>
      <c r="S133" s="45">
        <v>-87.908997900000003</v>
      </c>
      <c r="T133" s="45">
        <v>1150.3789999999999</v>
      </c>
      <c r="U133" s="45" t="s">
        <v>617</v>
      </c>
      <c r="V133" s="45" t="s">
        <v>569</v>
      </c>
      <c r="W133" s="45" cm="1">
        <f t="array" ref="W133">getDistance(R133,S133,I133,J133)*SA!$B$12</f>
        <v>985.09467660045368</v>
      </c>
      <c r="X133" s="22"/>
      <c r="Y133" s="16">
        <f>Transportation_LCIA!C$61*($W133^Transportation_LCIA!C$60)+Transportation_LCIA!C$62</f>
        <v>0.2370864199991472</v>
      </c>
      <c r="Z133" s="16">
        <f>Transportation_LCIA!D$61*($W133^Transportation_LCIA!D$60)+Transportation_LCIA!D$62</f>
        <v>2.4393058219490786</v>
      </c>
      <c r="AA133" s="16">
        <f>Transportation_LCIA!E$61*($W133^Transportation_LCIA!E$60)+Transportation_LCIA!E$62</f>
        <v>1.1533446585003482E-3</v>
      </c>
      <c r="AB133" s="16">
        <f>Transportation_LCIA!F$61*($W133^Transportation_LCIA!F$60)+Transportation_LCIA!F$62</f>
        <v>0.2370864199991472</v>
      </c>
      <c r="AC133" s="16">
        <f>Transportation_LCIA!G$61*($W133^Transportation_LCIA!G$60)+Transportation_LCIA!G$62</f>
        <v>5.7007420199112084E-2</v>
      </c>
      <c r="AD133" s="16">
        <f>Transportation_LCIA!H$61*($W133^Transportation_LCIA!H$60)+Transportation_LCIA!H$62</f>
        <v>2.7877818988371404E-4</v>
      </c>
      <c r="AE133" s="16">
        <f>Transportation_LCIA!I$61*($W133^Transportation_LCIA!I$60)+Transportation_LCIA!I$62</f>
        <v>5.969993290824604E-6</v>
      </c>
      <c r="AF133" s="16">
        <f>Transportation_LCIA!J$61*($W133^Transportation_LCIA!J$60)+Transportation_LCIA!J$62</f>
        <v>8.8363701400098228E-3</v>
      </c>
      <c r="AG133" s="16">
        <f>Transportation_LCIA!K$61*($W133^Transportation_LCIA!K$60)+Transportation_LCIA!K$62</f>
        <v>1.2131655681962131E-2</v>
      </c>
      <c r="AH133" s="16">
        <f>Transportation_LCIA!L$61*($W133^Transportation_LCIA!L$60)+Transportation_LCIA!L$62</f>
        <v>2.4170361336866051E-4</v>
      </c>
      <c r="AI133" s="16">
        <f>Transportation_LCIA!M$61*($W133^Transportation_LCIA!M$60)+Transportation_LCIA!M$62</f>
        <v>2.4470196204605344E-4</v>
      </c>
      <c r="AJ133" s="16">
        <f>Transportation_LCIA!N$61*($W133^Transportation_LCIA!N$60)+Transportation_LCIA!N$62</f>
        <v>9.9651507889072025E-4</v>
      </c>
      <c r="AK133" s="16">
        <f>Transportation_LCIA!O$61*($W133^Transportation_LCIA!O$60)+Transportation_LCIA!O$62</f>
        <v>6.0241723006640731E-5</v>
      </c>
      <c r="AL133" s="16">
        <f>Transportation_LCIA!P$61*($W133^Transportation_LCIA!P$60)+Transportation_LCIA!P$62</f>
        <v>2.9132482944789785E-8</v>
      </c>
      <c r="AM133" s="16">
        <f>Transportation_LCIA!Q$61*($W133^Transportation_LCIA!Q$60)+Transportation_LCIA!Q$62</f>
        <v>9.5667002058853797E-5</v>
      </c>
      <c r="AN133" s="16">
        <f>Transportation_LCIA!R$61*($W133^Transportation_LCIA!R$60)+Transportation_LCIA!R$62</f>
        <v>2.8712201740427817E-4</v>
      </c>
      <c r="AO133" s="16">
        <f>Transportation_LCIA!S$61*($W133^Transportation_LCIA!S$60)+Transportation_LCIA!S$62</f>
        <v>4.332314477521164E-6</v>
      </c>
      <c r="AP133" s="16">
        <f>Transportation_LCIA!T$61*($W133^Transportation_LCIA!T$60)+Transportation_LCIA!T$62</f>
        <v>4.332314477521164E-6</v>
      </c>
      <c r="AQ133" s="16">
        <f>Transportation_LCIA!U$61*($W133^Transportation_LCIA!U$60)+Transportation_LCIA!U$62</f>
        <v>6.1636002099593767E-4</v>
      </c>
      <c r="AR133" s="16">
        <f>Transportation_LCIA!V$61*($W133^Transportation_LCIA!V$60)+Transportation_LCIA!V$62</f>
        <v>2.4879684586680414E-4</v>
      </c>
      <c r="AT133" s="16">
        <f>$W133*Y133+($L133)*Summary_LCIA!H$32</f>
        <v>236.14558403541923</v>
      </c>
      <c r="AU133" s="16">
        <f>$W133*Z133+($L133)*Summary_LCIA!Q$32</f>
        <v>2440.7668006567546</v>
      </c>
      <c r="AV133" s="16">
        <f>$W133*AA133+($L133)*Summary_LCIA!R$32</f>
        <v>1.1763354769742611</v>
      </c>
      <c r="AW133" s="16">
        <f>$W133*AB133+($L133)*Summary_LCIA!S$32</f>
        <v>236.11185501541925</v>
      </c>
      <c r="AX133" s="16">
        <f>$W133*AC133+($L133)*Summary_LCIA!T$32</f>
        <v>56.99635306487049</v>
      </c>
      <c r="AY133" s="16">
        <f>$W133*AD133+($L133)*Summary_LCIA!U$32</f>
        <v>0.41132464480675712</v>
      </c>
      <c r="AZ133" s="16">
        <f>$W133*AE133+($L133)*Summary_LCIA!V$32</f>
        <v>6.245472801131741E-3</v>
      </c>
      <c r="BA133" s="16">
        <f>$W133*AF133+($L133)*Summary_LCIA!W$32</f>
        <v>9.2920268863948809</v>
      </c>
      <c r="BB133" s="16">
        <f>$W133*AG133+($L133)*Summary_LCIA!X$32</f>
        <v>12.124663610650542</v>
      </c>
      <c r="BC133" s="16">
        <f>$W133*AH133+($L133)*Summary_LCIA!Y$32</f>
        <v>0.35700718484456173</v>
      </c>
      <c r="BD133" s="16">
        <f>$W133*AI133+($L133)*Summary_LCIA!Z$32</f>
        <v>0.24136753984425352</v>
      </c>
      <c r="BE133" s="16">
        <f>$W133*AJ133+($L133)*Summary_LCIA!AA$32</f>
        <v>1.1598913353673297</v>
      </c>
      <c r="BF133" s="16">
        <f>$W133*AK133+($L133)*Summary_LCIA!AB$32</f>
        <v>5.9177269330080863E-2</v>
      </c>
      <c r="BG133" s="16">
        <f>$W133*AL133+($L133)*Summary_LCIA!AC$32</f>
        <v>2.9071287669065923E-5</v>
      </c>
      <c r="BH133" s="16">
        <f>$W133*AM133+($L133)*Summary_LCIA!AD$32</f>
        <v>9.7377700694501523E-2</v>
      </c>
      <c r="BI133" s="16">
        <f>$W133*AN133+($L133)*Summary_LCIA!AE$32</f>
        <v>0.28960442890973725</v>
      </c>
      <c r="BJ133" s="16">
        <f>$W133*AO133+($L133)*Summary_LCIA!AF$32</f>
        <v>1.0719139949165176E-2</v>
      </c>
      <c r="BK133" s="16">
        <f>$W133*AP133+($L133)*Summary_LCIA!AG$32</f>
        <v>4.6581800441651746E-3</v>
      </c>
      <c r="BL133" s="16">
        <f>$W133*AQ133+($L133)*Summary_LCIA!AH$32</f>
        <v>0.67359014715244214</v>
      </c>
      <c r="BM133" s="16">
        <f>$W133*AR133+($L133)*Summary_LCIA!AI$32</f>
        <v>0.25219710646837235</v>
      </c>
      <c r="BN133" s="16"/>
    </row>
    <row r="134" spans="1:66" x14ac:dyDescent="0.25">
      <c r="A134" s="159">
        <v>56</v>
      </c>
      <c r="B134" s="159">
        <v>6</v>
      </c>
      <c r="C134" s="45">
        <v>38.892918999999999</v>
      </c>
      <c r="D134" s="45">
        <v>-77.050562999999997</v>
      </c>
      <c r="E134" s="45" t="s">
        <v>265</v>
      </c>
      <c r="F134" s="159">
        <v>86</v>
      </c>
      <c r="G134" s="45" t="s">
        <v>630</v>
      </c>
      <c r="H134" s="45" t="s">
        <v>644</v>
      </c>
      <c r="I134" s="45">
        <v>38.851241999999999</v>
      </c>
      <c r="J134" s="45">
        <v>-77.040232000000003</v>
      </c>
      <c r="K134" s="45">
        <v>6.5036477030000004</v>
      </c>
      <c r="L134" s="45">
        <v>7.6310000000000002</v>
      </c>
      <c r="M134" s="45" t="s">
        <v>617</v>
      </c>
      <c r="N134" s="159">
        <v>5</v>
      </c>
      <c r="O134" s="159">
        <v>6</v>
      </c>
      <c r="P134" s="45" t="s">
        <v>565</v>
      </c>
      <c r="Q134" s="45" t="s">
        <v>564</v>
      </c>
      <c r="R134" s="45">
        <v>41.98028</v>
      </c>
      <c r="S134" s="45">
        <v>-87.908997900000003</v>
      </c>
      <c r="T134" s="45">
        <v>1150.3789999999999</v>
      </c>
      <c r="U134" s="45" t="s">
        <v>617</v>
      </c>
      <c r="V134" s="45" t="s">
        <v>569</v>
      </c>
      <c r="W134" s="45" cm="1">
        <f t="array" ref="W134">getDistance(R134,S134,I134,J134)*SA!$B$12</f>
        <v>985.09467660045368</v>
      </c>
      <c r="X134" s="22"/>
      <c r="Y134" s="16">
        <f>Transportation_LCIA!C$61*($W134^Transportation_LCIA!C$60)+Transportation_LCIA!C$62</f>
        <v>0.2370864199991472</v>
      </c>
      <c r="Z134" s="16">
        <f>Transportation_LCIA!D$61*($W134^Transportation_LCIA!D$60)+Transportation_LCIA!D$62</f>
        <v>2.4393058219490786</v>
      </c>
      <c r="AA134" s="16">
        <f>Transportation_LCIA!E$61*($W134^Transportation_LCIA!E$60)+Transportation_LCIA!E$62</f>
        <v>1.1533446585003482E-3</v>
      </c>
      <c r="AB134" s="16">
        <f>Transportation_LCIA!F$61*($W134^Transportation_LCIA!F$60)+Transportation_LCIA!F$62</f>
        <v>0.2370864199991472</v>
      </c>
      <c r="AC134" s="16">
        <f>Transportation_LCIA!G$61*($W134^Transportation_LCIA!G$60)+Transportation_LCIA!G$62</f>
        <v>5.7007420199112084E-2</v>
      </c>
      <c r="AD134" s="16">
        <f>Transportation_LCIA!H$61*($W134^Transportation_LCIA!H$60)+Transportation_LCIA!H$62</f>
        <v>2.7877818988371404E-4</v>
      </c>
      <c r="AE134" s="16">
        <f>Transportation_LCIA!I$61*($W134^Transportation_LCIA!I$60)+Transportation_LCIA!I$62</f>
        <v>5.969993290824604E-6</v>
      </c>
      <c r="AF134" s="16">
        <f>Transportation_LCIA!J$61*($W134^Transportation_LCIA!J$60)+Transportation_LCIA!J$62</f>
        <v>8.8363701400098228E-3</v>
      </c>
      <c r="AG134" s="16">
        <f>Transportation_LCIA!K$61*($W134^Transportation_LCIA!K$60)+Transportation_LCIA!K$62</f>
        <v>1.2131655681962131E-2</v>
      </c>
      <c r="AH134" s="16">
        <f>Transportation_LCIA!L$61*($W134^Transportation_LCIA!L$60)+Transportation_LCIA!L$62</f>
        <v>2.4170361336866051E-4</v>
      </c>
      <c r="AI134" s="16">
        <f>Transportation_LCIA!M$61*($W134^Transportation_LCIA!M$60)+Transportation_LCIA!M$62</f>
        <v>2.4470196204605344E-4</v>
      </c>
      <c r="AJ134" s="16">
        <f>Transportation_LCIA!N$61*($W134^Transportation_LCIA!N$60)+Transportation_LCIA!N$62</f>
        <v>9.9651507889072025E-4</v>
      </c>
      <c r="AK134" s="16">
        <f>Transportation_LCIA!O$61*($W134^Transportation_LCIA!O$60)+Transportation_LCIA!O$62</f>
        <v>6.0241723006640731E-5</v>
      </c>
      <c r="AL134" s="16">
        <f>Transportation_LCIA!P$61*($W134^Transportation_LCIA!P$60)+Transportation_LCIA!P$62</f>
        <v>2.9132482944789785E-8</v>
      </c>
      <c r="AM134" s="16">
        <f>Transportation_LCIA!Q$61*($W134^Transportation_LCIA!Q$60)+Transportation_LCIA!Q$62</f>
        <v>9.5667002058853797E-5</v>
      </c>
      <c r="AN134" s="16">
        <f>Transportation_LCIA!R$61*($W134^Transportation_LCIA!R$60)+Transportation_LCIA!R$62</f>
        <v>2.8712201740427817E-4</v>
      </c>
      <c r="AO134" s="16">
        <f>Transportation_LCIA!S$61*($W134^Transportation_LCIA!S$60)+Transportation_LCIA!S$62</f>
        <v>4.332314477521164E-6</v>
      </c>
      <c r="AP134" s="16">
        <f>Transportation_LCIA!T$61*($W134^Transportation_LCIA!T$60)+Transportation_LCIA!T$62</f>
        <v>4.332314477521164E-6</v>
      </c>
      <c r="AQ134" s="16">
        <f>Transportation_LCIA!U$61*($W134^Transportation_LCIA!U$60)+Transportation_LCIA!U$62</f>
        <v>6.1636002099593767E-4</v>
      </c>
      <c r="AR134" s="16">
        <f>Transportation_LCIA!V$61*($W134^Transportation_LCIA!V$60)+Transportation_LCIA!V$62</f>
        <v>2.4879684586680414E-4</v>
      </c>
      <c r="AT134" s="16">
        <f>$W134*Y134+($L134)*Summary_LCIA!H$32</f>
        <v>236.14558403541923</v>
      </c>
      <c r="AU134" s="16">
        <f>$W134*Z134+($L134)*Summary_LCIA!Q$32</f>
        <v>2440.7668006567546</v>
      </c>
      <c r="AV134" s="16">
        <f>$W134*AA134+($L134)*Summary_LCIA!R$32</f>
        <v>1.1763354769742611</v>
      </c>
      <c r="AW134" s="16">
        <f>$W134*AB134+($L134)*Summary_LCIA!S$32</f>
        <v>236.11185501541925</v>
      </c>
      <c r="AX134" s="16">
        <f>$W134*AC134+($L134)*Summary_LCIA!T$32</f>
        <v>56.99635306487049</v>
      </c>
      <c r="AY134" s="16">
        <f>$W134*AD134+($L134)*Summary_LCIA!U$32</f>
        <v>0.41132464480675712</v>
      </c>
      <c r="AZ134" s="16">
        <f>$W134*AE134+($L134)*Summary_LCIA!V$32</f>
        <v>6.245472801131741E-3</v>
      </c>
      <c r="BA134" s="16">
        <f>$W134*AF134+($L134)*Summary_LCIA!W$32</f>
        <v>9.2920268863948809</v>
      </c>
      <c r="BB134" s="16">
        <f>$W134*AG134+($L134)*Summary_LCIA!X$32</f>
        <v>12.124663610650542</v>
      </c>
      <c r="BC134" s="16">
        <f>$W134*AH134+($L134)*Summary_LCIA!Y$32</f>
        <v>0.35700718484456173</v>
      </c>
      <c r="BD134" s="16">
        <f>$W134*AI134+($L134)*Summary_LCIA!Z$32</f>
        <v>0.24136753984425352</v>
      </c>
      <c r="BE134" s="16">
        <f>$W134*AJ134+($L134)*Summary_LCIA!AA$32</f>
        <v>1.1598913353673297</v>
      </c>
      <c r="BF134" s="16">
        <f>$W134*AK134+($L134)*Summary_LCIA!AB$32</f>
        <v>5.9177269330080863E-2</v>
      </c>
      <c r="BG134" s="16">
        <f>$W134*AL134+($L134)*Summary_LCIA!AC$32</f>
        <v>2.9071287669065923E-5</v>
      </c>
      <c r="BH134" s="16">
        <f>$W134*AM134+($L134)*Summary_LCIA!AD$32</f>
        <v>9.7377700694501523E-2</v>
      </c>
      <c r="BI134" s="16">
        <f>$W134*AN134+($L134)*Summary_LCIA!AE$32</f>
        <v>0.28960442890973725</v>
      </c>
      <c r="BJ134" s="16">
        <f>$W134*AO134+($L134)*Summary_LCIA!AF$32</f>
        <v>1.0719139949165176E-2</v>
      </c>
      <c r="BK134" s="16">
        <f>$W134*AP134+($L134)*Summary_LCIA!AG$32</f>
        <v>4.6581800441651746E-3</v>
      </c>
      <c r="BL134" s="16">
        <f>$W134*AQ134+($L134)*Summary_LCIA!AH$32</f>
        <v>0.67359014715244214</v>
      </c>
      <c r="BM134" s="16">
        <f>$W134*AR134+($L134)*Summary_LCIA!AI$32</f>
        <v>0.25219710646837235</v>
      </c>
      <c r="BN134" s="16"/>
    </row>
    <row r="135" spans="1:66" x14ac:dyDescent="0.25">
      <c r="A135" s="159">
        <v>51</v>
      </c>
      <c r="B135" s="159">
        <v>6</v>
      </c>
      <c r="C135" s="45">
        <v>38.892378999999998</v>
      </c>
      <c r="D135" s="45">
        <v>-77.048395999999997</v>
      </c>
      <c r="E135" s="45" t="s">
        <v>265</v>
      </c>
      <c r="F135" s="159">
        <v>86</v>
      </c>
      <c r="G135" s="45" t="s">
        <v>630</v>
      </c>
      <c r="H135" s="45" t="s">
        <v>644</v>
      </c>
      <c r="I135" s="45">
        <v>38.851241999999999</v>
      </c>
      <c r="J135" s="45">
        <v>-77.040232000000003</v>
      </c>
      <c r="K135" s="45">
        <v>6.4145804120000003</v>
      </c>
      <c r="L135" s="45">
        <v>7.7</v>
      </c>
      <c r="M135" s="45" t="s">
        <v>617</v>
      </c>
      <c r="N135" s="159">
        <v>5</v>
      </c>
      <c r="O135" s="159">
        <v>6</v>
      </c>
      <c r="P135" s="45" t="s">
        <v>565</v>
      </c>
      <c r="Q135" s="45" t="s">
        <v>564</v>
      </c>
      <c r="R135" s="45">
        <v>41.98028</v>
      </c>
      <c r="S135" s="45">
        <v>-87.908997900000003</v>
      </c>
      <c r="T135" s="45">
        <v>1150.471</v>
      </c>
      <c r="U135" s="45" t="s">
        <v>617</v>
      </c>
      <c r="V135" s="45" t="s">
        <v>569</v>
      </c>
      <c r="W135" s="45" cm="1">
        <f t="array" ref="W135">getDistance(R135,S135,I135,J135)*SA!$B$12</f>
        <v>985.09467660045368</v>
      </c>
      <c r="X135" s="22"/>
      <c r="Y135" s="16">
        <f>Transportation_LCIA!C$61*($W135^Transportation_LCIA!C$60)+Transportation_LCIA!C$62</f>
        <v>0.2370864199991472</v>
      </c>
      <c r="Z135" s="16">
        <f>Transportation_LCIA!D$61*($W135^Transportation_LCIA!D$60)+Transportation_LCIA!D$62</f>
        <v>2.4393058219490786</v>
      </c>
      <c r="AA135" s="16">
        <f>Transportation_LCIA!E$61*($W135^Transportation_LCIA!E$60)+Transportation_LCIA!E$62</f>
        <v>1.1533446585003482E-3</v>
      </c>
      <c r="AB135" s="16">
        <f>Transportation_LCIA!F$61*($W135^Transportation_LCIA!F$60)+Transportation_LCIA!F$62</f>
        <v>0.2370864199991472</v>
      </c>
      <c r="AC135" s="16">
        <f>Transportation_LCIA!G$61*($W135^Transportation_LCIA!G$60)+Transportation_LCIA!G$62</f>
        <v>5.7007420199112084E-2</v>
      </c>
      <c r="AD135" s="16">
        <f>Transportation_LCIA!H$61*($W135^Transportation_LCIA!H$60)+Transportation_LCIA!H$62</f>
        <v>2.7877818988371404E-4</v>
      </c>
      <c r="AE135" s="16">
        <f>Transportation_LCIA!I$61*($W135^Transportation_LCIA!I$60)+Transportation_LCIA!I$62</f>
        <v>5.969993290824604E-6</v>
      </c>
      <c r="AF135" s="16">
        <f>Transportation_LCIA!J$61*($W135^Transportation_LCIA!J$60)+Transportation_LCIA!J$62</f>
        <v>8.8363701400098228E-3</v>
      </c>
      <c r="AG135" s="16">
        <f>Transportation_LCIA!K$61*($W135^Transportation_LCIA!K$60)+Transportation_LCIA!K$62</f>
        <v>1.2131655681962131E-2</v>
      </c>
      <c r="AH135" s="16">
        <f>Transportation_LCIA!L$61*($W135^Transportation_LCIA!L$60)+Transportation_LCIA!L$62</f>
        <v>2.4170361336866051E-4</v>
      </c>
      <c r="AI135" s="16">
        <f>Transportation_LCIA!M$61*($W135^Transportation_LCIA!M$60)+Transportation_LCIA!M$62</f>
        <v>2.4470196204605344E-4</v>
      </c>
      <c r="AJ135" s="16">
        <f>Transportation_LCIA!N$61*($W135^Transportation_LCIA!N$60)+Transportation_LCIA!N$62</f>
        <v>9.9651507889072025E-4</v>
      </c>
      <c r="AK135" s="16">
        <f>Transportation_LCIA!O$61*($W135^Transportation_LCIA!O$60)+Transportation_LCIA!O$62</f>
        <v>6.0241723006640731E-5</v>
      </c>
      <c r="AL135" s="16">
        <f>Transportation_LCIA!P$61*($W135^Transportation_LCIA!P$60)+Transportation_LCIA!P$62</f>
        <v>2.9132482944789785E-8</v>
      </c>
      <c r="AM135" s="16">
        <f>Transportation_LCIA!Q$61*($W135^Transportation_LCIA!Q$60)+Transportation_LCIA!Q$62</f>
        <v>9.5667002058853797E-5</v>
      </c>
      <c r="AN135" s="16">
        <f>Transportation_LCIA!R$61*($W135^Transportation_LCIA!R$60)+Transportation_LCIA!R$62</f>
        <v>2.8712201740427817E-4</v>
      </c>
      <c r="AO135" s="16">
        <f>Transportation_LCIA!S$61*($W135^Transportation_LCIA!S$60)+Transportation_LCIA!S$62</f>
        <v>4.332314477521164E-6</v>
      </c>
      <c r="AP135" s="16">
        <f>Transportation_LCIA!T$61*($W135^Transportation_LCIA!T$60)+Transportation_LCIA!T$62</f>
        <v>4.332314477521164E-6</v>
      </c>
      <c r="AQ135" s="16">
        <f>Transportation_LCIA!U$61*($W135^Transportation_LCIA!U$60)+Transportation_LCIA!U$62</f>
        <v>6.1636002099593767E-4</v>
      </c>
      <c r="AR135" s="16">
        <f>Transportation_LCIA!V$61*($W135^Transportation_LCIA!V$60)+Transportation_LCIA!V$62</f>
        <v>2.4879684586680414E-4</v>
      </c>
      <c r="AT135" s="16">
        <f>$W135*Y135+($L135)*Summary_LCIA!H$32</f>
        <v>236.16903023541923</v>
      </c>
      <c r="AU135" s="16">
        <f>$W135*Z135+($L135)*Summary_LCIA!Q$32</f>
        <v>2441.1087681366316</v>
      </c>
      <c r="AV135" s="16">
        <f>$W135*AA135+($L135)*Summary_LCIA!R$32</f>
        <v>1.1766988033742611</v>
      </c>
      <c r="AW135" s="16">
        <f>$W135*AB135+($L135)*Summary_LCIA!S$32</f>
        <v>236.13499623541924</v>
      </c>
      <c r="AX135" s="16">
        <f>$W135*AC135+($L135)*Summary_LCIA!T$32</f>
        <v>57.003936164870488</v>
      </c>
      <c r="AY135" s="16">
        <f>$W135*AD135+($L135)*Summary_LCIA!U$32</f>
        <v>0.41256071080675716</v>
      </c>
      <c r="AZ135" s="16">
        <f>$W135*AE135+($L135)*Summary_LCIA!V$32</f>
        <v>6.2487683101317415E-3</v>
      </c>
      <c r="BA135" s="16">
        <f>$W135*AF135+($L135)*Summary_LCIA!W$32</f>
        <v>9.2973378853948816</v>
      </c>
      <c r="BB135" s="16">
        <f>$W135*AG135+($L135)*Summary_LCIA!X$32</f>
        <v>12.126235430650542</v>
      </c>
      <c r="BC135" s="16">
        <f>$W135*AH135+($L135)*Summary_LCIA!Y$32</f>
        <v>0.3580823428445617</v>
      </c>
      <c r="BD135" s="16">
        <f>$W135*AI135+($L135)*Summary_LCIA!Z$32</f>
        <v>0.2413703694652535</v>
      </c>
      <c r="BE135" s="16">
        <f>$W135*AJ135+($L135)*Summary_LCIA!AA$32</f>
        <v>1.1615028993673295</v>
      </c>
      <c r="BF135" s="16">
        <f>$W135*AK135+($L135)*Summary_LCIA!AB$32</f>
        <v>5.9175763543080864E-2</v>
      </c>
      <c r="BG135" s="16">
        <f>$W135*AL135+($L135)*Summary_LCIA!AC$32</f>
        <v>2.9074660665065925E-5</v>
      </c>
      <c r="BH135" s="16">
        <f>$W135*AM135+($L135)*Summary_LCIA!AD$32</f>
        <v>9.7406062454501521E-2</v>
      </c>
      <c r="BI135" s="16">
        <f>$W135*AN135+($L135)*Summary_LCIA!AE$32</f>
        <v>0.28966557187973724</v>
      </c>
      <c r="BJ135" s="16">
        <f>$W135*AO135+($L135)*Summary_LCIA!AF$32</f>
        <v>1.0777473929165175E-2</v>
      </c>
      <c r="BK135" s="16">
        <f>$W135*AP135+($L135)*Summary_LCIA!AG$32</f>
        <v>4.6617104291651751E-3</v>
      </c>
      <c r="BL135" s="16">
        <f>$W135*AQ135+($L135)*Summary_LCIA!AH$32</f>
        <v>0.67419069555244215</v>
      </c>
      <c r="BM135" s="16">
        <f>$W135*AR135+($L135)*Summary_LCIA!AI$32</f>
        <v>0.25226138341837234</v>
      </c>
      <c r="BN135" s="16"/>
    </row>
    <row r="136" spans="1:66" x14ac:dyDescent="0.25">
      <c r="A136" s="159">
        <v>370</v>
      </c>
      <c r="B136" s="159">
        <v>6</v>
      </c>
      <c r="C136" s="45">
        <v>38.907192000000002</v>
      </c>
      <c r="D136" s="45">
        <v>-77.036871000000005</v>
      </c>
      <c r="E136" s="45" t="s">
        <v>265</v>
      </c>
      <c r="F136" s="159">
        <v>86</v>
      </c>
      <c r="G136" s="45" t="s">
        <v>630</v>
      </c>
      <c r="H136" s="45" t="s">
        <v>644</v>
      </c>
      <c r="I136" s="45">
        <v>38.851241999999999</v>
      </c>
      <c r="J136" s="45">
        <v>-77.040232000000003</v>
      </c>
      <c r="K136" s="45">
        <v>8.800194329</v>
      </c>
      <c r="L136" s="45">
        <v>8.4060000000000006</v>
      </c>
      <c r="M136" s="45" t="s">
        <v>617</v>
      </c>
      <c r="N136" s="159">
        <v>5</v>
      </c>
      <c r="O136" s="159">
        <v>6</v>
      </c>
      <c r="P136" s="45" t="s">
        <v>565</v>
      </c>
      <c r="Q136" s="45" t="s">
        <v>564</v>
      </c>
      <c r="R136" s="45">
        <v>41.98028</v>
      </c>
      <c r="S136" s="45">
        <v>-87.908997900000003</v>
      </c>
      <c r="T136" s="45">
        <v>1152.183</v>
      </c>
      <c r="U136" s="45" t="s">
        <v>617</v>
      </c>
      <c r="V136" s="45" t="s">
        <v>569</v>
      </c>
      <c r="W136" s="45" cm="1">
        <f t="array" ref="W136">getDistance(R136,S136,I136,J136)*SA!$B$12</f>
        <v>985.09467660045368</v>
      </c>
      <c r="X136" s="22"/>
      <c r="Y136" s="16">
        <f>Transportation_LCIA!C$61*($W136^Transportation_LCIA!C$60)+Transportation_LCIA!C$62</f>
        <v>0.2370864199991472</v>
      </c>
      <c r="Z136" s="16">
        <f>Transportation_LCIA!D$61*($W136^Transportation_LCIA!D$60)+Transportation_LCIA!D$62</f>
        <v>2.4393058219490786</v>
      </c>
      <c r="AA136" s="16">
        <f>Transportation_LCIA!E$61*($W136^Transportation_LCIA!E$60)+Transportation_LCIA!E$62</f>
        <v>1.1533446585003482E-3</v>
      </c>
      <c r="AB136" s="16">
        <f>Transportation_LCIA!F$61*($W136^Transportation_LCIA!F$60)+Transportation_LCIA!F$62</f>
        <v>0.2370864199991472</v>
      </c>
      <c r="AC136" s="16">
        <f>Transportation_LCIA!G$61*($W136^Transportation_LCIA!G$60)+Transportation_LCIA!G$62</f>
        <v>5.7007420199112084E-2</v>
      </c>
      <c r="AD136" s="16">
        <f>Transportation_LCIA!H$61*($W136^Transportation_LCIA!H$60)+Transportation_LCIA!H$62</f>
        <v>2.7877818988371404E-4</v>
      </c>
      <c r="AE136" s="16">
        <f>Transportation_LCIA!I$61*($W136^Transportation_LCIA!I$60)+Transportation_LCIA!I$62</f>
        <v>5.969993290824604E-6</v>
      </c>
      <c r="AF136" s="16">
        <f>Transportation_LCIA!J$61*($W136^Transportation_LCIA!J$60)+Transportation_LCIA!J$62</f>
        <v>8.8363701400098228E-3</v>
      </c>
      <c r="AG136" s="16">
        <f>Transportation_LCIA!K$61*($W136^Transportation_LCIA!K$60)+Transportation_LCIA!K$62</f>
        <v>1.2131655681962131E-2</v>
      </c>
      <c r="AH136" s="16">
        <f>Transportation_LCIA!L$61*($W136^Transportation_LCIA!L$60)+Transportation_LCIA!L$62</f>
        <v>2.4170361336866051E-4</v>
      </c>
      <c r="AI136" s="16">
        <f>Transportation_LCIA!M$61*($W136^Transportation_LCIA!M$60)+Transportation_LCIA!M$62</f>
        <v>2.4470196204605344E-4</v>
      </c>
      <c r="AJ136" s="16">
        <f>Transportation_LCIA!N$61*($W136^Transportation_LCIA!N$60)+Transportation_LCIA!N$62</f>
        <v>9.9651507889072025E-4</v>
      </c>
      <c r="AK136" s="16">
        <f>Transportation_LCIA!O$61*($W136^Transportation_LCIA!O$60)+Transportation_LCIA!O$62</f>
        <v>6.0241723006640731E-5</v>
      </c>
      <c r="AL136" s="16">
        <f>Transportation_LCIA!P$61*($W136^Transportation_LCIA!P$60)+Transportation_LCIA!P$62</f>
        <v>2.9132482944789785E-8</v>
      </c>
      <c r="AM136" s="16">
        <f>Transportation_LCIA!Q$61*($W136^Transportation_LCIA!Q$60)+Transportation_LCIA!Q$62</f>
        <v>9.5667002058853797E-5</v>
      </c>
      <c r="AN136" s="16">
        <f>Transportation_LCIA!R$61*($W136^Transportation_LCIA!R$60)+Transportation_LCIA!R$62</f>
        <v>2.8712201740427817E-4</v>
      </c>
      <c r="AO136" s="16">
        <f>Transportation_LCIA!S$61*($W136^Transportation_LCIA!S$60)+Transportation_LCIA!S$62</f>
        <v>4.332314477521164E-6</v>
      </c>
      <c r="AP136" s="16">
        <f>Transportation_LCIA!T$61*($W136^Transportation_LCIA!T$60)+Transportation_LCIA!T$62</f>
        <v>4.332314477521164E-6</v>
      </c>
      <c r="AQ136" s="16">
        <f>Transportation_LCIA!U$61*($W136^Transportation_LCIA!U$60)+Transportation_LCIA!U$62</f>
        <v>6.1636002099593767E-4</v>
      </c>
      <c r="AR136" s="16">
        <f>Transportation_LCIA!V$61*($W136^Transportation_LCIA!V$60)+Transportation_LCIA!V$62</f>
        <v>2.4879684586680414E-4</v>
      </c>
      <c r="AT136" s="16">
        <f>$W136*Y136+($L136)*Summary_LCIA!H$32</f>
        <v>236.40892903541925</v>
      </c>
      <c r="AU136" s="16">
        <f>$W136*Z136+($L136)*Summary_LCIA!Q$32</f>
        <v>2444.6077397423296</v>
      </c>
      <c r="AV136" s="16">
        <f>$W136*AA136+($L136)*Summary_LCIA!R$32</f>
        <v>1.1804163169742612</v>
      </c>
      <c r="AW136" s="16">
        <f>$W136*AB136+($L136)*Summary_LCIA!S$32</f>
        <v>236.37177451541925</v>
      </c>
      <c r="AX136" s="16">
        <f>$W136*AC136+($L136)*Summary_LCIA!T$32</f>
        <v>57.081525564870489</v>
      </c>
      <c r="AY136" s="16">
        <f>$W136*AD136+($L136)*Summary_LCIA!U$32</f>
        <v>0.42520799480675719</v>
      </c>
      <c r="AZ136" s="16">
        <f>$W136*AE136+($L136)*Summary_LCIA!V$32</f>
        <v>6.2824875761317411E-3</v>
      </c>
      <c r="BA136" s="16">
        <f>$W136*AF136+($L136)*Summary_LCIA!W$32</f>
        <v>9.3516794113948816</v>
      </c>
      <c r="BB136" s="16">
        <f>$W136*AG136+($L136)*Summary_LCIA!X$32</f>
        <v>12.142318110650542</v>
      </c>
      <c r="BC136" s="16">
        <f>$W136*AH136+($L136)*Summary_LCIA!Y$32</f>
        <v>0.36908323484456174</v>
      </c>
      <c r="BD136" s="16">
        <f>$W136*AI136+($L136)*Summary_LCIA!Z$32</f>
        <v>0.24139932181925353</v>
      </c>
      <c r="BE136" s="16">
        <f>$W136*AJ136+($L136)*Summary_LCIA!AA$32</f>
        <v>1.1779922353673296</v>
      </c>
      <c r="BF136" s="16">
        <f>$W136*AK136+($L136)*Summary_LCIA!AB$32</f>
        <v>5.9160356505080863E-2</v>
      </c>
      <c r="BG136" s="16">
        <f>$W136*AL136+($L136)*Summary_LCIA!AC$32</f>
        <v>2.9109172769065925E-5</v>
      </c>
      <c r="BH136" s="16">
        <f>$W136*AM136+($L136)*Summary_LCIA!AD$32</f>
        <v>9.7696256694501521E-2</v>
      </c>
      <c r="BI136" s="16">
        <f>$W136*AN136+($L136)*Summary_LCIA!AE$32</f>
        <v>0.29029117965973722</v>
      </c>
      <c r="BJ136" s="16">
        <f>$W136*AO136+($L136)*Summary_LCIA!AF$32</f>
        <v>1.1374340449165176E-2</v>
      </c>
      <c r="BK136" s="16">
        <f>$W136*AP136+($L136)*Summary_LCIA!AG$32</f>
        <v>4.6978329191651753E-3</v>
      </c>
      <c r="BL136" s="16">
        <f>$W136*AQ136+($L136)*Summary_LCIA!AH$32</f>
        <v>0.68033543715244216</v>
      </c>
      <c r="BM136" s="16">
        <f>$W136*AR136+($L136)*Summary_LCIA!AI$32</f>
        <v>0.25291905771837236</v>
      </c>
      <c r="BN136" s="16"/>
    </row>
    <row r="137" spans="1:66" x14ac:dyDescent="0.25">
      <c r="A137" s="159">
        <v>371</v>
      </c>
      <c r="B137" s="159">
        <v>6</v>
      </c>
      <c r="C137" s="45">
        <v>38.907192000000002</v>
      </c>
      <c r="D137" s="45">
        <v>-77.036871000000005</v>
      </c>
      <c r="E137" s="45" t="s">
        <v>265</v>
      </c>
      <c r="F137" s="159">
        <v>86</v>
      </c>
      <c r="G137" s="45" t="s">
        <v>630</v>
      </c>
      <c r="H137" s="45" t="s">
        <v>644</v>
      </c>
      <c r="I137" s="45">
        <v>38.851241999999999</v>
      </c>
      <c r="J137" s="45">
        <v>-77.040232000000003</v>
      </c>
      <c r="K137" s="45">
        <v>8.800194329</v>
      </c>
      <c r="L137" s="45">
        <v>8.4060000000000006</v>
      </c>
      <c r="M137" s="45" t="s">
        <v>617</v>
      </c>
      <c r="N137" s="159">
        <v>5</v>
      </c>
      <c r="O137" s="159">
        <v>6</v>
      </c>
      <c r="P137" s="45" t="s">
        <v>565</v>
      </c>
      <c r="Q137" s="45" t="s">
        <v>564</v>
      </c>
      <c r="R137" s="45">
        <v>41.98028</v>
      </c>
      <c r="S137" s="45">
        <v>-87.908997900000003</v>
      </c>
      <c r="T137" s="45">
        <v>1152.183</v>
      </c>
      <c r="U137" s="45" t="s">
        <v>617</v>
      </c>
      <c r="V137" s="45" t="s">
        <v>569</v>
      </c>
      <c r="W137" s="45" cm="1">
        <f t="array" ref="W137">getDistance(R137,S137,I137,J137)*SA!$B$12</f>
        <v>985.09467660045368</v>
      </c>
      <c r="X137" s="22"/>
      <c r="Y137" s="16">
        <f>Transportation_LCIA!C$61*($W137^Transportation_LCIA!C$60)+Transportation_LCIA!C$62</f>
        <v>0.2370864199991472</v>
      </c>
      <c r="Z137" s="16">
        <f>Transportation_LCIA!D$61*($W137^Transportation_LCIA!D$60)+Transportation_LCIA!D$62</f>
        <v>2.4393058219490786</v>
      </c>
      <c r="AA137" s="16">
        <f>Transportation_LCIA!E$61*($W137^Transportation_LCIA!E$60)+Transportation_LCIA!E$62</f>
        <v>1.1533446585003482E-3</v>
      </c>
      <c r="AB137" s="16">
        <f>Transportation_LCIA!F$61*($W137^Transportation_LCIA!F$60)+Transportation_LCIA!F$62</f>
        <v>0.2370864199991472</v>
      </c>
      <c r="AC137" s="16">
        <f>Transportation_LCIA!G$61*($W137^Transportation_LCIA!G$60)+Transportation_LCIA!G$62</f>
        <v>5.7007420199112084E-2</v>
      </c>
      <c r="AD137" s="16">
        <f>Transportation_LCIA!H$61*($W137^Transportation_LCIA!H$60)+Transportation_LCIA!H$62</f>
        <v>2.7877818988371404E-4</v>
      </c>
      <c r="AE137" s="16">
        <f>Transportation_LCIA!I$61*($W137^Transportation_LCIA!I$60)+Transportation_LCIA!I$62</f>
        <v>5.969993290824604E-6</v>
      </c>
      <c r="AF137" s="16">
        <f>Transportation_LCIA!J$61*($W137^Transportation_LCIA!J$60)+Transportation_LCIA!J$62</f>
        <v>8.8363701400098228E-3</v>
      </c>
      <c r="AG137" s="16">
        <f>Transportation_LCIA!K$61*($W137^Transportation_LCIA!K$60)+Transportation_LCIA!K$62</f>
        <v>1.2131655681962131E-2</v>
      </c>
      <c r="AH137" s="16">
        <f>Transportation_LCIA!L$61*($W137^Transportation_LCIA!L$60)+Transportation_LCIA!L$62</f>
        <v>2.4170361336866051E-4</v>
      </c>
      <c r="AI137" s="16">
        <f>Transportation_LCIA!M$61*($W137^Transportation_LCIA!M$60)+Transportation_LCIA!M$62</f>
        <v>2.4470196204605344E-4</v>
      </c>
      <c r="AJ137" s="16">
        <f>Transportation_LCIA!N$61*($W137^Transportation_LCIA!N$60)+Transportation_LCIA!N$62</f>
        <v>9.9651507889072025E-4</v>
      </c>
      <c r="AK137" s="16">
        <f>Transportation_LCIA!O$61*($W137^Transportation_LCIA!O$60)+Transportation_LCIA!O$62</f>
        <v>6.0241723006640731E-5</v>
      </c>
      <c r="AL137" s="16">
        <f>Transportation_LCIA!P$61*($W137^Transportation_LCIA!P$60)+Transportation_LCIA!P$62</f>
        <v>2.9132482944789785E-8</v>
      </c>
      <c r="AM137" s="16">
        <f>Transportation_LCIA!Q$61*($W137^Transportation_LCIA!Q$60)+Transportation_LCIA!Q$62</f>
        <v>9.5667002058853797E-5</v>
      </c>
      <c r="AN137" s="16">
        <f>Transportation_LCIA!R$61*($W137^Transportation_LCIA!R$60)+Transportation_LCIA!R$62</f>
        <v>2.8712201740427817E-4</v>
      </c>
      <c r="AO137" s="16">
        <f>Transportation_LCIA!S$61*($W137^Transportation_LCIA!S$60)+Transportation_LCIA!S$62</f>
        <v>4.332314477521164E-6</v>
      </c>
      <c r="AP137" s="16">
        <f>Transportation_LCIA!T$61*($W137^Transportation_LCIA!T$60)+Transportation_LCIA!T$62</f>
        <v>4.332314477521164E-6</v>
      </c>
      <c r="AQ137" s="16">
        <f>Transportation_LCIA!U$61*($W137^Transportation_LCIA!U$60)+Transportation_LCIA!U$62</f>
        <v>6.1636002099593767E-4</v>
      </c>
      <c r="AR137" s="16">
        <f>Transportation_LCIA!V$61*($W137^Transportation_LCIA!V$60)+Transportation_LCIA!V$62</f>
        <v>2.4879684586680414E-4</v>
      </c>
      <c r="AT137" s="16">
        <f>$W137*Y137+($L137)*Summary_LCIA!H$32</f>
        <v>236.40892903541925</v>
      </c>
      <c r="AU137" s="16">
        <f>$W137*Z137+($L137)*Summary_LCIA!Q$32</f>
        <v>2444.6077397423296</v>
      </c>
      <c r="AV137" s="16">
        <f>$W137*AA137+($L137)*Summary_LCIA!R$32</f>
        <v>1.1804163169742612</v>
      </c>
      <c r="AW137" s="16">
        <f>$W137*AB137+($L137)*Summary_LCIA!S$32</f>
        <v>236.37177451541925</v>
      </c>
      <c r="AX137" s="16">
        <f>$W137*AC137+($L137)*Summary_LCIA!T$32</f>
        <v>57.081525564870489</v>
      </c>
      <c r="AY137" s="16">
        <f>$W137*AD137+($L137)*Summary_LCIA!U$32</f>
        <v>0.42520799480675719</v>
      </c>
      <c r="AZ137" s="16">
        <f>$W137*AE137+($L137)*Summary_LCIA!V$32</f>
        <v>6.2824875761317411E-3</v>
      </c>
      <c r="BA137" s="16">
        <f>$W137*AF137+($L137)*Summary_LCIA!W$32</f>
        <v>9.3516794113948816</v>
      </c>
      <c r="BB137" s="16">
        <f>$W137*AG137+($L137)*Summary_LCIA!X$32</f>
        <v>12.142318110650542</v>
      </c>
      <c r="BC137" s="16">
        <f>$W137*AH137+($L137)*Summary_LCIA!Y$32</f>
        <v>0.36908323484456174</v>
      </c>
      <c r="BD137" s="16">
        <f>$W137*AI137+($L137)*Summary_LCIA!Z$32</f>
        <v>0.24139932181925353</v>
      </c>
      <c r="BE137" s="16">
        <f>$W137*AJ137+($L137)*Summary_LCIA!AA$32</f>
        <v>1.1779922353673296</v>
      </c>
      <c r="BF137" s="16">
        <f>$W137*AK137+($L137)*Summary_LCIA!AB$32</f>
        <v>5.9160356505080863E-2</v>
      </c>
      <c r="BG137" s="16">
        <f>$W137*AL137+($L137)*Summary_LCIA!AC$32</f>
        <v>2.9109172769065925E-5</v>
      </c>
      <c r="BH137" s="16">
        <f>$W137*AM137+($L137)*Summary_LCIA!AD$32</f>
        <v>9.7696256694501521E-2</v>
      </c>
      <c r="BI137" s="16">
        <f>$W137*AN137+($L137)*Summary_LCIA!AE$32</f>
        <v>0.29029117965973722</v>
      </c>
      <c r="BJ137" s="16">
        <f>$W137*AO137+($L137)*Summary_LCIA!AF$32</f>
        <v>1.1374340449165176E-2</v>
      </c>
      <c r="BK137" s="16">
        <f>$W137*AP137+($L137)*Summary_LCIA!AG$32</f>
        <v>4.6978329191651753E-3</v>
      </c>
      <c r="BL137" s="16">
        <f>$W137*AQ137+($L137)*Summary_LCIA!AH$32</f>
        <v>0.68033543715244216</v>
      </c>
      <c r="BM137" s="16">
        <f>$W137*AR137+($L137)*Summary_LCIA!AI$32</f>
        <v>0.25291905771837236</v>
      </c>
      <c r="BN137" s="16"/>
    </row>
    <row r="138" spans="1:66" x14ac:dyDescent="0.25">
      <c r="A138" s="159">
        <v>372</v>
      </c>
      <c r="B138" s="159">
        <v>6</v>
      </c>
      <c r="C138" s="45">
        <v>38.907192000000002</v>
      </c>
      <c r="D138" s="45">
        <v>-77.036871000000005</v>
      </c>
      <c r="E138" s="45" t="s">
        <v>265</v>
      </c>
      <c r="F138" s="159">
        <v>86</v>
      </c>
      <c r="G138" s="45" t="s">
        <v>630</v>
      </c>
      <c r="H138" s="45" t="s">
        <v>644</v>
      </c>
      <c r="I138" s="45">
        <v>38.851241999999999</v>
      </c>
      <c r="J138" s="45">
        <v>-77.040232000000003</v>
      </c>
      <c r="K138" s="45">
        <v>8.800194329</v>
      </c>
      <c r="L138" s="45">
        <v>8.4060000000000006</v>
      </c>
      <c r="M138" s="45" t="s">
        <v>617</v>
      </c>
      <c r="N138" s="159">
        <v>5</v>
      </c>
      <c r="O138" s="159">
        <v>6</v>
      </c>
      <c r="P138" s="45" t="s">
        <v>565</v>
      </c>
      <c r="Q138" s="45" t="s">
        <v>564</v>
      </c>
      <c r="R138" s="45">
        <v>41.98028</v>
      </c>
      <c r="S138" s="45">
        <v>-87.908997900000003</v>
      </c>
      <c r="T138" s="45">
        <v>1152.183</v>
      </c>
      <c r="U138" s="45" t="s">
        <v>617</v>
      </c>
      <c r="V138" s="45" t="s">
        <v>569</v>
      </c>
      <c r="W138" s="45" cm="1">
        <f t="array" ref="W138">getDistance(R138,S138,I138,J138)*SA!$B$12</f>
        <v>985.09467660045368</v>
      </c>
      <c r="X138" s="22"/>
      <c r="Y138" s="16">
        <f>Transportation_LCIA!C$61*($W138^Transportation_LCIA!C$60)+Transportation_LCIA!C$62</f>
        <v>0.2370864199991472</v>
      </c>
      <c r="Z138" s="16">
        <f>Transportation_LCIA!D$61*($W138^Transportation_LCIA!D$60)+Transportation_LCIA!D$62</f>
        <v>2.4393058219490786</v>
      </c>
      <c r="AA138" s="16">
        <f>Transportation_LCIA!E$61*($W138^Transportation_LCIA!E$60)+Transportation_LCIA!E$62</f>
        <v>1.1533446585003482E-3</v>
      </c>
      <c r="AB138" s="16">
        <f>Transportation_LCIA!F$61*($W138^Transportation_LCIA!F$60)+Transportation_LCIA!F$62</f>
        <v>0.2370864199991472</v>
      </c>
      <c r="AC138" s="16">
        <f>Transportation_LCIA!G$61*($W138^Transportation_LCIA!G$60)+Transportation_LCIA!G$62</f>
        <v>5.7007420199112084E-2</v>
      </c>
      <c r="AD138" s="16">
        <f>Transportation_LCIA!H$61*($W138^Transportation_LCIA!H$60)+Transportation_LCIA!H$62</f>
        <v>2.7877818988371404E-4</v>
      </c>
      <c r="AE138" s="16">
        <f>Transportation_LCIA!I$61*($W138^Transportation_LCIA!I$60)+Transportation_LCIA!I$62</f>
        <v>5.969993290824604E-6</v>
      </c>
      <c r="AF138" s="16">
        <f>Transportation_LCIA!J$61*($W138^Transportation_LCIA!J$60)+Transportation_LCIA!J$62</f>
        <v>8.8363701400098228E-3</v>
      </c>
      <c r="AG138" s="16">
        <f>Transportation_LCIA!K$61*($W138^Transportation_LCIA!K$60)+Transportation_LCIA!K$62</f>
        <v>1.2131655681962131E-2</v>
      </c>
      <c r="AH138" s="16">
        <f>Transportation_LCIA!L$61*($W138^Transportation_LCIA!L$60)+Transportation_LCIA!L$62</f>
        <v>2.4170361336866051E-4</v>
      </c>
      <c r="AI138" s="16">
        <f>Transportation_LCIA!M$61*($W138^Transportation_LCIA!M$60)+Transportation_LCIA!M$62</f>
        <v>2.4470196204605344E-4</v>
      </c>
      <c r="AJ138" s="16">
        <f>Transportation_LCIA!N$61*($W138^Transportation_LCIA!N$60)+Transportation_LCIA!N$62</f>
        <v>9.9651507889072025E-4</v>
      </c>
      <c r="AK138" s="16">
        <f>Transportation_LCIA!O$61*($W138^Transportation_LCIA!O$60)+Transportation_LCIA!O$62</f>
        <v>6.0241723006640731E-5</v>
      </c>
      <c r="AL138" s="16">
        <f>Transportation_LCIA!P$61*($W138^Transportation_LCIA!P$60)+Transportation_LCIA!P$62</f>
        <v>2.9132482944789785E-8</v>
      </c>
      <c r="AM138" s="16">
        <f>Transportation_LCIA!Q$61*($W138^Transportation_LCIA!Q$60)+Transportation_LCIA!Q$62</f>
        <v>9.5667002058853797E-5</v>
      </c>
      <c r="AN138" s="16">
        <f>Transportation_LCIA!R$61*($W138^Transportation_LCIA!R$60)+Transportation_LCIA!R$62</f>
        <v>2.8712201740427817E-4</v>
      </c>
      <c r="AO138" s="16">
        <f>Transportation_LCIA!S$61*($W138^Transportation_LCIA!S$60)+Transportation_LCIA!S$62</f>
        <v>4.332314477521164E-6</v>
      </c>
      <c r="AP138" s="16">
        <f>Transportation_LCIA!T$61*($W138^Transportation_LCIA!T$60)+Transportation_LCIA!T$62</f>
        <v>4.332314477521164E-6</v>
      </c>
      <c r="AQ138" s="16">
        <f>Transportation_LCIA!U$61*($W138^Transportation_LCIA!U$60)+Transportation_LCIA!U$62</f>
        <v>6.1636002099593767E-4</v>
      </c>
      <c r="AR138" s="16">
        <f>Transportation_LCIA!V$61*($W138^Transportation_LCIA!V$60)+Transportation_LCIA!V$62</f>
        <v>2.4879684586680414E-4</v>
      </c>
      <c r="AT138" s="16">
        <f>$W138*Y138+($L138)*Summary_LCIA!H$32</f>
        <v>236.40892903541925</v>
      </c>
      <c r="AU138" s="16">
        <f>$W138*Z138+($L138)*Summary_LCIA!Q$32</f>
        <v>2444.6077397423296</v>
      </c>
      <c r="AV138" s="16">
        <f>$W138*AA138+($L138)*Summary_LCIA!R$32</f>
        <v>1.1804163169742612</v>
      </c>
      <c r="AW138" s="16">
        <f>$W138*AB138+($L138)*Summary_LCIA!S$32</f>
        <v>236.37177451541925</v>
      </c>
      <c r="AX138" s="16">
        <f>$W138*AC138+($L138)*Summary_LCIA!T$32</f>
        <v>57.081525564870489</v>
      </c>
      <c r="AY138" s="16">
        <f>$W138*AD138+($L138)*Summary_LCIA!U$32</f>
        <v>0.42520799480675719</v>
      </c>
      <c r="AZ138" s="16">
        <f>$W138*AE138+($L138)*Summary_LCIA!V$32</f>
        <v>6.2824875761317411E-3</v>
      </c>
      <c r="BA138" s="16">
        <f>$W138*AF138+($L138)*Summary_LCIA!W$32</f>
        <v>9.3516794113948816</v>
      </c>
      <c r="BB138" s="16">
        <f>$W138*AG138+($L138)*Summary_LCIA!X$32</f>
        <v>12.142318110650542</v>
      </c>
      <c r="BC138" s="16">
        <f>$W138*AH138+($L138)*Summary_LCIA!Y$32</f>
        <v>0.36908323484456174</v>
      </c>
      <c r="BD138" s="16">
        <f>$W138*AI138+($L138)*Summary_LCIA!Z$32</f>
        <v>0.24139932181925353</v>
      </c>
      <c r="BE138" s="16">
        <f>$W138*AJ138+($L138)*Summary_LCIA!AA$32</f>
        <v>1.1779922353673296</v>
      </c>
      <c r="BF138" s="16">
        <f>$W138*AK138+($L138)*Summary_LCIA!AB$32</f>
        <v>5.9160356505080863E-2</v>
      </c>
      <c r="BG138" s="16">
        <f>$W138*AL138+($L138)*Summary_LCIA!AC$32</f>
        <v>2.9109172769065925E-5</v>
      </c>
      <c r="BH138" s="16">
        <f>$W138*AM138+($L138)*Summary_LCIA!AD$32</f>
        <v>9.7696256694501521E-2</v>
      </c>
      <c r="BI138" s="16">
        <f>$W138*AN138+($L138)*Summary_LCIA!AE$32</f>
        <v>0.29029117965973722</v>
      </c>
      <c r="BJ138" s="16">
        <f>$W138*AO138+($L138)*Summary_LCIA!AF$32</f>
        <v>1.1374340449165176E-2</v>
      </c>
      <c r="BK138" s="16">
        <f>$W138*AP138+($L138)*Summary_LCIA!AG$32</f>
        <v>4.6978329191651753E-3</v>
      </c>
      <c r="BL138" s="16">
        <f>$W138*AQ138+($L138)*Summary_LCIA!AH$32</f>
        <v>0.68033543715244216</v>
      </c>
      <c r="BM138" s="16">
        <f>$W138*AR138+($L138)*Summary_LCIA!AI$32</f>
        <v>0.25291905771837236</v>
      </c>
      <c r="BN138" s="16"/>
    </row>
    <row r="139" spans="1:66" x14ac:dyDescent="0.25">
      <c r="A139" s="159">
        <v>373</v>
      </c>
      <c r="B139" s="159">
        <v>6</v>
      </c>
      <c r="C139" s="45">
        <v>38.907192000000002</v>
      </c>
      <c r="D139" s="45">
        <v>-77.036871000000005</v>
      </c>
      <c r="E139" s="45" t="s">
        <v>265</v>
      </c>
      <c r="F139" s="159">
        <v>86</v>
      </c>
      <c r="G139" s="45" t="s">
        <v>630</v>
      </c>
      <c r="H139" s="45" t="s">
        <v>644</v>
      </c>
      <c r="I139" s="45">
        <v>38.851241999999999</v>
      </c>
      <c r="J139" s="45">
        <v>-77.040232000000003</v>
      </c>
      <c r="K139" s="45">
        <v>8.800194329</v>
      </c>
      <c r="L139" s="45">
        <v>8.4060000000000006</v>
      </c>
      <c r="M139" s="45" t="s">
        <v>617</v>
      </c>
      <c r="N139" s="159">
        <v>5</v>
      </c>
      <c r="O139" s="159">
        <v>6</v>
      </c>
      <c r="P139" s="45" t="s">
        <v>565</v>
      </c>
      <c r="Q139" s="45" t="s">
        <v>564</v>
      </c>
      <c r="R139" s="45">
        <v>41.98028</v>
      </c>
      <c r="S139" s="45">
        <v>-87.908997900000003</v>
      </c>
      <c r="T139" s="45">
        <v>1152.183</v>
      </c>
      <c r="U139" s="45" t="s">
        <v>617</v>
      </c>
      <c r="V139" s="45" t="s">
        <v>569</v>
      </c>
      <c r="W139" s="45" cm="1">
        <f t="array" ref="W139">getDistance(R139,S139,I139,J139)*SA!$B$12</f>
        <v>985.09467660045368</v>
      </c>
      <c r="X139" s="22"/>
      <c r="Y139" s="16">
        <f>Transportation_LCIA!C$61*($W139^Transportation_LCIA!C$60)+Transportation_LCIA!C$62</f>
        <v>0.2370864199991472</v>
      </c>
      <c r="Z139" s="16">
        <f>Transportation_LCIA!D$61*($W139^Transportation_LCIA!D$60)+Transportation_LCIA!D$62</f>
        <v>2.4393058219490786</v>
      </c>
      <c r="AA139" s="16">
        <f>Transportation_LCIA!E$61*($W139^Transportation_LCIA!E$60)+Transportation_LCIA!E$62</f>
        <v>1.1533446585003482E-3</v>
      </c>
      <c r="AB139" s="16">
        <f>Transportation_LCIA!F$61*($W139^Transportation_LCIA!F$60)+Transportation_LCIA!F$62</f>
        <v>0.2370864199991472</v>
      </c>
      <c r="AC139" s="16">
        <f>Transportation_LCIA!G$61*($W139^Transportation_LCIA!G$60)+Transportation_LCIA!G$62</f>
        <v>5.7007420199112084E-2</v>
      </c>
      <c r="AD139" s="16">
        <f>Transportation_LCIA!H$61*($W139^Transportation_LCIA!H$60)+Transportation_LCIA!H$62</f>
        <v>2.7877818988371404E-4</v>
      </c>
      <c r="AE139" s="16">
        <f>Transportation_LCIA!I$61*($W139^Transportation_LCIA!I$60)+Transportation_LCIA!I$62</f>
        <v>5.969993290824604E-6</v>
      </c>
      <c r="AF139" s="16">
        <f>Transportation_LCIA!J$61*($W139^Transportation_LCIA!J$60)+Transportation_LCIA!J$62</f>
        <v>8.8363701400098228E-3</v>
      </c>
      <c r="AG139" s="16">
        <f>Transportation_LCIA!K$61*($W139^Transportation_LCIA!K$60)+Transportation_LCIA!K$62</f>
        <v>1.2131655681962131E-2</v>
      </c>
      <c r="AH139" s="16">
        <f>Transportation_LCIA!L$61*($W139^Transportation_LCIA!L$60)+Transportation_LCIA!L$62</f>
        <v>2.4170361336866051E-4</v>
      </c>
      <c r="AI139" s="16">
        <f>Transportation_LCIA!M$61*($W139^Transportation_LCIA!M$60)+Transportation_LCIA!M$62</f>
        <v>2.4470196204605344E-4</v>
      </c>
      <c r="AJ139" s="16">
        <f>Transportation_LCIA!N$61*($W139^Transportation_LCIA!N$60)+Transportation_LCIA!N$62</f>
        <v>9.9651507889072025E-4</v>
      </c>
      <c r="AK139" s="16">
        <f>Transportation_LCIA!O$61*($W139^Transportation_LCIA!O$60)+Transportation_LCIA!O$62</f>
        <v>6.0241723006640731E-5</v>
      </c>
      <c r="AL139" s="16">
        <f>Transportation_LCIA!P$61*($W139^Transportation_LCIA!P$60)+Transportation_LCIA!P$62</f>
        <v>2.9132482944789785E-8</v>
      </c>
      <c r="AM139" s="16">
        <f>Transportation_LCIA!Q$61*($W139^Transportation_LCIA!Q$60)+Transportation_LCIA!Q$62</f>
        <v>9.5667002058853797E-5</v>
      </c>
      <c r="AN139" s="16">
        <f>Transportation_LCIA!R$61*($W139^Transportation_LCIA!R$60)+Transportation_LCIA!R$62</f>
        <v>2.8712201740427817E-4</v>
      </c>
      <c r="AO139" s="16">
        <f>Transportation_LCIA!S$61*($W139^Transportation_LCIA!S$60)+Transportation_LCIA!S$62</f>
        <v>4.332314477521164E-6</v>
      </c>
      <c r="AP139" s="16">
        <f>Transportation_LCIA!T$61*($W139^Transportation_LCIA!T$60)+Transportation_LCIA!T$62</f>
        <v>4.332314477521164E-6</v>
      </c>
      <c r="AQ139" s="16">
        <f>Transportation_LCIA!U$61*($W139^Transportation_LCIA!U$60)+Transportation_LCIA!U$62</f>
        <v>6.1636002099593767E-4</v>
      </c>
      <c r="AR139" s="16">
        <f>Transportation_LCIA!V$61*($W139^Transportation_LCIA!V$60)+Transportation_LCIA!V$62</f>
        <v>2.4879684586680414E-4</v>
      </c>
      <c r="AT139" s="16">
        <f>$W139*Y139+($L139)*Summary_LCIA!H$32</f>
        <v>236.40892903541925</v>
      </c>
      <c r="AU139" s="16">
        <f>$W139*Z139+($L139)*Summary_LCIA!Q$32</f>
        <v>2444.6077397423296</v>
      </c>
      <c r="AV139" s="16">
        <f>$W139*AA139+($L139)*Summary_LCIA!R$32</f>
        <v>1.1804163169742612</v>
      </c>
      <c r="AW139" s="16">
        <f>$W139*AB139+($L139)*Summary_LCIA!S$32</f>
        <v>236.37177451541925</v>
      </c>
      <c r="AX139" s="16">
        <f>$W139*AC139+($L139)*Summary_LCIA!T$32</f>
        <v>57.081525564870489</v>
      </c>
      <c r="AY139" s="16">
        <f>$W139*AD139+($L139)*Summary_LCIA!U$32</f>
        <v>0.42520799480675719</v>
      </c>
      <c r="AZ139" s="16">
        <f>$W139*AE139+($L139)*Summary_LCIA!V$32</f>
        <v>6.2824875761317411E-3</v>
      </c>
      <c r="BA139" s="16">
        <f>$W139*AF139+($L139)*Summary_LCIA!W$32</f>
        <v>9.3516794113948816</v>
      </c>
      <c r="BB139" s="16">
        <f>$W139*AG139+($L139)*Summary_LCIA!X$32</f>
        <v>12.142318110650542</v>
      </c>
      <c r="BC139" s="16">
        <f>$W139*AH139+($L139)*Summary_LCIA!Y$32</f>
        <v>0.36908323484456174</v>
      </c>
      <c r="BD139" s="16">
        <f>$W139*AI139+($L139)*Summary_LCIA!Z$32</f>
        <v>0.24139932181925353</v>
      </c>
      <c r="BE139" s="16">
        <f>$W139*AJ139+($L139)*Summary_LCIA!AA$32</f>
        <v>1.1779922353673296</v>
      </c>
      <c r="BF139" s="16">
        <f>$W139*AK139+($L139)*Summary_LCIA!AB$32</f>
        <v>5.9160356505080863E-2</v>
      </c>
      <c r="BG139" s="16">
        <f>$W139*AL139+($L139)*Summary_LCIA!AC$32</f>
        <v>2.9109172769065925E-5</v>
      </c>
      <c r="BH139" s="16">
        <f>$W139*AM139+($L139)*Summary_LCIA!AD$32</f>
        <v>9.7696256694501521E-2</v>
      </c>
      <c r="BI139" s="16">
        <f>$W139*AN139+($L139)*Summary_LCIA!AE$32</f>
        <v>0.29029117965973722</v>
      </c>
      <c r="BJ139" s="16">
        <f>$W139*AO139+($L139)*Summary_LCIA!AF$32</f>
        <v>1.1374340449165176E-2</v>
      </c>
      <c r="BK139" s="16">
        <f>$W139*AP139+($L139)*Summary_LCIA!AG$32</f>
        <v>4.6978329191651753E-3</v>
      </c>
      <c r="BL139" s="16">
        <f>$W139*AQ139+($L139)*Summary_LCIA!AH$32</f>
        <v>0.68033543715244216</v>
      </c>
      <c r="BM139" s="16">
        <f>$W139*AR139+($L139)*Summary_LCIA!AI$32</f>
        <v>0.25291905771837236</v>
      </c>
      <c r="BN139" s="16"/>
    </row>
    <row r="140" spans="1:66" x14ac:dyDescent="0.25">
      <c r="A140" s="159">
        <v>374</v>
      </c>
      <c r="B140" s="159">
        <v>6</v>
      </c>
      <c r="C140" s="45">
        <v>38.907192000000002</v>
      </c>
      <c r="D140" s="45">
        <v>-77.036871000000005</v>
      </c>
      <c r="E140" s="45" t="s">
        <v>265</v>
      </c>
      <c r="F140" s="159">
        <v>86</v>
      </c>
      <c r="G140" s="45" t="s">
        <v>630</v>
      </c>
      <c r="H140" s="45" t="s">
        <v>644</v>
      </c>
      <c r="I140" s="45">
        <v>38.851241999999999</v>
      </c>
      <c r="J140" s="45">
        <v>-77.040232000000003</v>
      </c>
      <c r="K140" s="45">
        <v>8.800194329</v>
      </c>
      <c r="L140" s="45">
        <v>8.4060000000000006</v>
      </c>
      <c r="M140" s="45" t="s">
        <v>617</v>
      </c>
      <c r="N140" s="159">
        <v>5</v>
      </c>
      <c r="O140" s="159">
        <v>6</v>
      </c>
      <c r="P140" s="45" t="s">
        <v>565</v>
      </c>
      <c r="Q140" s="45" t="s">
        <v>564</v>
      </c>
      <c r="R140" s="45">
        <v>41.98028</v>
      </c>
      <c r="S140" s="45">
        <v>-87.908997900000003</v>
      </c>
      <c r="T140" s="45">
        <v>1152.183</v>
      </c>
      <c r="U140" s="45" t="s">
        <v>617</v>
      </c>
      <c r="V140" s="45" t="s">
        <v>569</v>
      </c>
      <c r="W140" s="45" cm="1">
        <f t="array" ref="W140">getDistance(R140,S140,I140,J140)*SA!$B$12</f>
        <v>985.09467660045368</v>
      </c>
      <c r="X140" s="22"/>
      <c r="Y140" s="16">
        <f>Transportation_LCIA!C$61*($W140^Transportation_LCIA!C$60)+Transportation_LCIA!C$62</f>
        <v>0.2370864199991472</v>
      </c>
      <c r="Z140" s="16">
        <f>Transportation_LCIA!D$61*($W140^Transportation_LCIA!D$60)+Transportation_LCIA!D$62</f>
        <v>2.4393058219490786</v>
      </c>
      <c r="AA140" s="16">
        <f>Transportation_LCIA!E$61*($W140^Transportation_LCIA!E$60)+Transportation_LCIA!E$62</f>
        <v>1.1533446585003482E-3</v>
      </c>
      <c r="AB140" s="16">
        <f>Transportation_LCIA!F$61*($W140^Transportation_LCIA!F$60)+Transportation_LCIA!F$62</f>
        <v>0.2370864199991472</v>
      </c>
      <c r="AC140" s="16">
        <f>Transportation_LCIA!G$61*($W140^Transportation_LCIA!G$60)+Transportation_LCIA!G$62</f>
        <v>5.7007420199112084E-2</v>
      </c>
      <c r="AD140" s="16">
        <f>Transportation_LCIA!H$61*($W140^Transportation_LCIA!H$60)+Transportation_LCIA!H$62</f>
        <v>2.7877818988371404E-4</v>
      </c>
      <c r="AE140" s="16">
        <f>Transportation_LCIA!I$61*($W140^Transportation_LCIA!I$60)+Transportation_LCIA!I$62</f>
        <v>5.969993290824604E-6</v>
      </c>
      <c r="AF140" s="16">
        <f>Transportation_LCIA!J$61*($W140^Transportation_LCIA!J$60)+Transportation_LCIA!J$62</f>
        <v>8.8363701400098228E-3</v>
      </c>
      <c r="AG140" s="16">
        <f>Transportation_LCIA!K$61*($W140^Transportation_LCIA!K$60)+Transportation_LCIA!K$62</f>
        <v>1.2131655681962131E-2</v>
      </c>
      <c r="AH140" s="16">
        <f>Transportation_LCIA!L$61*($W140^Transportation_LCIA!L$60)+Transportation_LCIA!L$62</f>
        <v>2.4170361336866051E-4</v>
      </c>
      <c r="AI140" s="16">
        <f>Transportation_LCIA!M$61*($W140^Transportation_LCIA!M$60)+Transportation_LCIA!M$62</f>
        <v>2.4470196204605344E-4</v>
      </c>
      <c r="AJ140" s="16">
        <f>Transportation_LCIA!N$61*($W140^Transportation_LCIA!N$60)+Transportation_LCIA!N$62</f>
        <v>9.9651507889072025E-4</v>
      </c>
      <c r="AK140" s="16">
        <f>Transportation_LCIA!O$61*($W140^Transportation_LCIA!O$60)+Transportation_LCIA!O$62</f>
        <v>6.0241723006640731E-5</v>
      </c>
      <c r="AL140" s="16">
        <f>Transportation_LCIA!P$61*($W140^Transportation_LCIA!P$60)+Transportation_LCIA!P$62</f>
        <v>2.9132482944789785E-8</v>
      </c>
      <c r="AM140" s="16">
        <f>Transportation_LCIA!Q$61*($W140^Transportation_LCIA!Q$60)+Transportation_LCIA!Q$62</f>
        <v>9.5667002058853797E-5</v>
      </c>
      <c r="AN140" s="16">
        <f>Transportation_LCIA!R$61*($W140^Transportation_LCIA!R$60)+Transportation_LCIA!R$62</f>
        <v>2.8712201740427817E-4</v>
      </c>
      <c r="AO140" s="16">
        <f>Transportation_LCIA!S$61*($W140^Transportation_LCIA!S$60)+Transportation_LCIA!S$62</f>
        <v>4.332314477521164E-6</v>
      </c>
      <c r="AP140" s="16">
        <f>Transportation_LCIA!T$61*($W140^Transportation_LCIA!T$60)+Transportation_LCIA!T$62</f>
        <v>4.332314477521164E-6</v>
      </c>
      <c r="AQ140" s="16">
        <f>Transportation_LCIA!U$61*($W140^Transportation_LCIA!U$60)+Transportation_LCIA!U$62</f>
        <v>6.1636002099593767E-4</v>
      </c>
      <c r="AR140" s="16">
        <f>Transportation_LCIA!V$61*($W140^Transportation_LCIA!V$60)+Transportation_LCIA!V$62</f>
        <v>2.4879684586680414E-4</v>
      </c>
      <c r="AT140" s="16">
        <f>$W140*Y140+($L140)*Summary_LCIA!H$32</f>
        <v>236.40892903541925</v>
      </c>
      <c r="AU140" s="16">
        <f>$W140*Z140+($L140)*Summary_LCIA!Q$32</f>
        <v>2444.6077397423296</v>
      </c>
      <c r="AV140" s="16">
        <f>$W140*AA140+($L140)*Summary_LCIA!R$32</f>
        <v>1.1804163169742612</v>
      </c>
      <c r="AW140" s="16">
        <f>$W140*AB140+($L140)*Summary_LCIA!S$32</f>
        <v>236.37177451541925</v>
      </c>
      <c r="AX140" s="16">
        <f>$W140*AC140+($L140)*Summary_LCIA!T$32</f>
        <v>57.081525564870489</v>
      </c>
      <c r="AY140" s="16">
        <f>$W140*AD140+($L140)*Summary_LCIA!U$32</f>
        <v>0.42520799480675719</v>
      </c>
      <c r="AZ140" s="16">
        <f>$W140*AE140+($L140)*Summary_LCIA!V$32</f>
        <v>6.2824875761317411E-3</v>
      </c>
      <c r="BA140" s="16">
        <f>$W140*AF140+($L140)*Summary_LCIA!W$32</f>
        <v>9.3516794113948816</v>
      </c>
      <c r="BB140" s="16">
        <f>$W140*AG140+($L140)*Summary_LCIA!X$32</f>
        <v>12.142318110650542</v>
      </c>
      <c r="BC140" s="16">
        <f>$W140*AH140+($L140)*Summary_LCIA!Y$32</f>
        <v>0.36908323484456174</v>
      </c>
      <c r="BD140" s="16">
        <f>$W140*AI140+($L140)*Summary_LCIA!Z$32</f>
        <v>0.24139932181925353</v>
      </c>
      <c r="BE140" s="16">
        <f>$W140*AJ140+($L140)*Summary_LCIA!AA$32</f>
        <v>1.1779922353673296</v>
      </c>
      <c r="BF140" s="16">
        <f>$W140*AK140+($L140)*Summary_LCIA!AB$32</f>
        <v>5.9160356505080863E-2</v>
      </c>
      <c r="BG140" s="16">
        <f>$W140*AL140+($L140)*Summary_LCIA!AC$32</f>
        <v>2.9109172769065925E-5</v>
      </c>
      <c r="BH140" s="16">
        <f>$W140*AM140+($L140)*Summary_LCIA!AD$32</f>
        <v>9.7696256694501521E-2</v>
      </c>
      <c r="BI140" s="16">
        <f>$W140*AN140+($L140)*Summary_LCIA!AE$32</f>
        <v>0.29029117965973722</v>
      </c>
      <c r="BJ140" s="16">
        <f>$W140*AO140+($L140)*Summary_LCIA!AF$32</f>
        <v>1.1374340449165176E-2</v>
      </c>
      <c r="BK140" s="16">
        <f>$W140*AP140+($L140)*Summary_LCIA!AG$32</f>
        <v>4.6978329191651753E-3</v>
      </c>
      <c r="BL140" s="16">
        <f>$W140*AQ140+($L140)*Summary_LCIA!AH$32</f>
        <v>0.68033543715244216</v>
      </c>
      <c r="BM140" s="16">
        <f>$W140*AR140+($L140)*Summary_LCIA!AI$32</f>
        <v>0.25291905771837236</v>
      </c>
      <c r="BN140" s="16"/>
    </row>
    <row r="141" spans="1:66" x14ac:dyDescent="0.25">
      <c r="A141" s="159">
        <v>375</v>
      </c>
      <c r="B141" s="159">
        <v>6</v>
      </c>
      <c r="C141" s="45">
        <v>38.907192000000002</v>
      </c>
      <c r="D141" s="45">
        <v>-77.036871000000005</v>
      </c>
      <c r="E141" s="45" t="s">
        <v>265</v>
      </c>
      <c r="F141" s="159">
        <v>86</v>
      </c>
      <c r="G141" s="45" t="s">
        <v>630</v>
      </c>
      <c r="H141" s="45" t="s">
        <v>644</v>
      </c>
      <c r="I141" s="45">
        <v>38.851241999999999</v>
      </c>
      <c r="J141" s="45">
        <v>-77.040232000000003</v>
      </c>
      <c r="K141" s="45">
        <v>8.800194329</v>
      </c>
      <c r="L141" s="45">
        <v>8.4060000000000006</v>
      </c>
      <c r="M141" s="45" t="s">
        <v>617</v>
      </c>
      <c r="N141" s="159">
        <v>5</v>
      </c>
      <c r="O141" s="159">
        <v>6</v>
      </c>
      <c r="P141" s="45" t="s">
        <v>565</v>
      </c>
      <c r="Q141" s="45" t="s">
        <v>564</v>
      </c>
      <c r="R141" s="45">
        <v>41.98028</v>
      </c>
      <c r="S141" s="45">
        <v>-87.908997900000003</v>
      </c>
      <c r="T141" s="45">
        <v>1152.183</v>
      </c>
      <c r="U141" s="45" t="s">
        <v>617</v>
      </c>
      <c r="V141" s="45" t="s">
        <v>569</v>
      </c>
      <c r="W141" s="45" cm="1">
        <f t="array" ref="W141">getDistance(R141,S141,I141,J141)*SA!$B$12</f>
        <v>985.09467660045368</v>
      </c>
      <c r="X141" s="22"/>
      <c r="Y141" s="16">
        <f>Transportation_LCIA!C$61*($W141^Transportation_LCIA!C$60)+Transportation_LCIA!C$62</f>
        <v>0.2370864199991472</v>
      </c>
      <c r="Z141" s="16">
        <f>Transportation_LCIA!D$61*($W141^Transportation_LCIA!D$60)+Transportation_LCIA!D$62</f>
        <v>2.4393058219490786</v>
      </c>
      <c r="AA141" s="16">
        <f>Transportation_LCIA!E$61*($W141^Transportation_LCIA!E$60)+Transportation_LCIA!E$62</f>
        <v>1.1533446585003482E-3</v>
      </c>
      <c r="AB141" s="16">
        <f>Transportation_LCIA!F$61*($W141^Transportation_LCIA!F$60)+Transportation_LCIA!F$62</f>
        <v>0.2370864199991472</v>
      </c>
      <c r="AC141" s="16">
        <f>Transportation_LCIA!G$61*($W141^Transportation_LCIA!G$60)+Transportation_LCIA!G$62</f>
        <v>5.7007420199112084E-2</v>
      </c>
      <c r="AD141" s="16">
        <f>Transportation_LCIA!H$61*($W141^Transportation_LCIA!H$60)+Transportation_LCIA!H$62</f>
        <v>2.7877818988371404E-4</v>
      </c>
      <c r="AE141" s="16">
        <f>Transportation_LCIA!I$61*($W141^Transportation_LCIA!I$60)+Transportation_LCIA!I$62</f>
        <v>5.969993290824604E-6</v>
      </c>
      <c r="AF141" s="16">
        <f>Transportation_LCIA!J$61*($W141^Transportation_LCIA!J$60)+Transportation_LCIA!J$62</f>
        <v>8.8363701400098228E-3</v>
      </c>
      <c r="AG141" s="16">
        <f>Transportation_LCIA!K$61*($W141^Transportation_LCIA!K$60)+Transportation_LCIA!K$62</f>
        <v>1.2131655681962131E-2</v>
      </c>
      <c r="AH141" s="16">
        <f>Transportation_LCIA!L$61*($W141^Transportation_LCIA!L$60)+Transportation_LCIA!L$62</f>
        <v>2.4170361336866051E-4</v>
      </c>
      <c r="AI141" s="16">
        <f>Transportation_LCIA!M$61*($W141^Transportation_LCIA!M$60)+Transportation_LCIA!M$62</f>
        <v>2.4470196204605344E-4</v>
      </c>
      <c r="AJ141" s="16">
        <f>Transportation_LCIA!N$61*($W141^Transportation_LCIA!N$60)+Transportation_LCIA!N$62</f>
        <v>9.9651507889072025E-4</v>
      </c>
      <c r="AK141" s="16">
        <f>Transportation_LCIA!O$61*($W141^Transportation_LCIA!O$60)+Transportation_LCIA!O$62</f>
        <v>6.0241723006640731E-5</v>
      </c>
      <c r="AL141" s="16">
        <f>Transportation_LCIA!P$61*($W141^Transportation_LCIA!P$60)+Transportation_LCIA!P$62</f>
        <v>2.9132482944789785E-8</v>
      </c>
      <c r="AM141" s="16">
        <f>Transportation_LCIA!Q$61*($W141^Transportation_LCIA!Q$60)+Transportation_LCIA!Q$62</f>
        <v>9.5667002058853797E-5</v>
      </c>
      <c r="AN141" s="16">
        <f>Transportation_LCIA!R$61*($W141^Transportation_LCIA!R$60)+Transportation_LCIA!R$62</f>
        <v>2.8712201740427817E-4</v>
      </c>
      <c r="AO141" s="16">
        <f>Transportation_LCIA!S$61*($W141^Transportation_LCIA!S$60)+Transportation_LCIA!S$62</f>
        <v>4.332314477521164E-6</v>
      </c>
      <c r="AP141" s="16">
        <f>Transportation_LCIA!T$61*($W141^Transportation_LCIA!T$60)+Transportation_LCIA!T$62</f>
        <v>4.332314477521164E-6</v>
      </c>
      <c r="AQ141" s="16">
        <f>Transportation_LCIA!U$61*($W141^Transportation_LCIA!U$60)+Transportation_LCIA!U$62</f>
        <v>6.1636002099593767E-4</v>
      </c>
      <c r="AR141" s="16">
        <f>Transportation_LCIA!V$61*($W141^Transportation_LCIA!V$60)+Transportation_LCIA!V$62</f>
        <v>2.4879684586680414E-4</v>
      </c>
      <c r="AT141" s="16">
        <f>$W141*Y141+($L141)*Summary_LCIA!H$32</f>
        <v>236.40892903541925</v>
      </c>
      <c r="AU141" s="16">
        <f>$W141*Z141+($L141)*Summary_LCIA!Q$32</f>
        <v>2444.6077397423296</v>
      </c>
      <c r="AV141" s="16">
        <f>$W141*AA141+($L141)*Summary_LCIA!R$32</f>
        <v>1.1804163169742612</v>
      </c>
      <c r="AW141" s="16">
        <f>$W141*AB141+($L141)*Summary_LCIA!S$32</f>
        <v>236.37177451541925</v>
      </c>
      <c r="AX141" s="16">
        <f>$W141*AC141+($L141)*Summary_LCIA!T$32</f>
        <v>57.081525564870489</v>
      </c>
      <c r="AY141" s="16">
        <f>$W141*AD141+($L141)*Summary_LCIA!U$32</f>
        <v>0.42520799480675719</v>
      </c>
      <c r="AZ141" s="16">
        <f>$W141*AE141+($L141)*Summary_LCIA!V$32</f>
        <v>6.2824875761317411E-3</v>
      </c>
      <c r="BA141" s="16">
        <f>$W141*AF141+($L141)*Summary_LCIA!W$32</f>
        <v>9.3516794113948816</v>
      </c>
      <c r="BB141" s="16">
        <f>$W141*AG141+($L141)*Summary_LCIA!X$32</f>
        <v>12.142318110650542</v>
      </c>
      <c r="BC141" s="16">
        <f>$W141*AH141+($L141)*Summary_LCIA!Y$32</f>
        <v>0.36908323484456174</v>
      </c>
      <c r="BD141" s="16">
        <f>$W141*AI141+($L141)*Summary_LCIA!Z$32</f>
        <v>0.24139932181925353</v>
      </c>
      <c r="BE141" s="16">
        <f>$W141*AJ141+($L141)*Summary_LCIA!AA$32</f>
        <v>1.1779922353673296</v>
      </c>
      <c r="BF141" s="16">
        <f>$W141*AK141+($L141)*Summary_LCIA!AB$32</f>
        <v>5.9160356505080863E-2</v>
      </c>
      <c r="BG141" s="16">
        <f>$W141*AL141+($L141)*Summary_LCIA!AC$32</f>
        <v>2.9109172769065925E-5</v>
      </c>
      <c r="BH141" s="16">
        <f>$W141*AM141+($L141)*Summary_LCIA!AD$32</f>
        <v>9.7696256694501521E-2</v>
      </c>
      <c r="BI141" s="16">
        <f>$W141*AN141+($L141)*Summary_LCIA!AE$32</f>
        <v>0.29029117965973722</v>
      </c>
      <c r="BJ141" s="16">
        <f>$W141*AO141+($L141)*Summary_LCIA!AF$32</f>
        <v>1.1374340449165176E-2</v>
      </c>
      <c r="BK141" s="16">
        <f>$W141*AP141+($L141)*Summary_LCIA!AG$32</f>
        <v>4.6978329191651753E-3</v>
      </c>
      <c r="BL141" s="16">
        <f>$W141*AQ141+($L141)*Summary_LCIA!AH$32</f>
        <v>0.68033543715244216</v>
      </c>
      <c r="BM141" s="16">
        <f>$W141*AR141+($L141)*Summary_LCIA!AI$32</f>
        <v>0.25291905771837236</v>
      </c>
      <c r="BN141" s="16"/>
    </row>
    <row r="142" spans="1:66" x14ac:dyDescent="0.25">
      <c r="A142" s="159">
        <v>224</v>
      </c>
      <c r="B142" s="159">
        <v>6</v>
      </c>
      <c r="C142" s="45">
        <v>34.023434000000002</v>
      </c>
      <c r="D142" s="45">
        <v>-84.615489999999994</v>
      </c>
      <c r="E142" s="45" t="s">
        <v>265</v>
      </c>
      <c r="F142" s="159">
        <v>1</v>
      </c>
      <c r="G142" s="45" t="s">
        <v>565</v>
      </c>
      <c r="H142" s="45" t="s">
        <v>681</v>
      </c>
      <c r="I142" s="45">
        <v>33.640728000000003</v>
      </c>
      <c r="J142" s="45">
        <v>-84.427700000000002</v>
      </c>
      <c r="K142" s="45">
        <v>65.192234650000003</v>
      </c>
      <c r="L142" s="45">
        <v>57.293999999999997</v>
      </c>
      <c r="M142" s="45" t="s">
        <v>617</v>
      </c>
      <c r="N142" s="159">
        <v>5</v>
      </c>
      <c r="O142" s="159">
        <v>6</v>
      </c>
      <c r="P142" s="45" t="s">
        <v>565</v>
      </c>
      <c r="Q142" s="45" t="s">
        <v>564</v>
      </c>
      <c r="R142" s="45">
        <v>41.98028</v>
      </c>
      <c r="S142" s="45">
        <v>-87.908997900000003</v>
      </c>
      <c r="T142" s="45">
        <v>1152.3409999999999</v>
      </c>
      <c r="U142" s="45" t="s">
        <v>617</v>
      </c>
      <c r="V142" s="45" t="s">
        <v>569</v>
      </c>
      <c r="W142" s="45" cm="1">
        <f t="array" ref="W142">getDistance(R142,S142,I142,J142)*SA!$B$12</f>
        <v>976.67906347990493</v>
      </c>
      <c r="X142" s="22"/>
      <c r="Y142" s="16">
        <f>Transportation_LCIA!C$61*($W142^Transportation_LCIA!C$60)+Transportation_LCIA!C$62</f>
        <v>0.23799077256655485</v>
      </c>
      <c r="Z142" s="16">
        <f>Transportation_LCIA!D$61*($W142^Transportation_LCIA!D$60)+Transportation_LCIA!D$62</f>
        <v>2.4498664186649894</v>
      </c>
      <c r="AA142" s="16">
        <f>Transportation_LCIA!E$61*($W142^Transportation_LCIA!E$60)+Transportation_LCIA!E$62</f>
        <v>1.1602893527513285E-3</v>
      </c>
      <c r="AB142" s="16">
        <f>Transportation_LCIA!F$61*($W142^Transportation_LCIA!F$60)+Transportation_LCIA!F$62</f>
        <v>0.23799077256655485</v>
      </c>
      <c r="AC142" s="16">
        <f>Transportation_LCIA!G$61*($W142^Transportation_LCIA!G$60)+Transportation_LCIA!G$62</f>
        <v>5.7251738416183251E-2</v>
      </c>
      <c r="AD142" s="16">
        <f>Transportation_LCIA!H$61*($W142^Transportation_LCIA!H$60)+Transportation_LCIA!H$62</f>
        <v>2.8030572808339046E-4</v>
      </c>
      <c r="AE142" s="16">
        <f>Transportation_LCIA!I$61*($W142^Transportation_LCIA!I$60)+Transportation_LCIA!I$62</f>
        <v>6.0084688172437592E-6</v>
      </c>
      <c r="AF142" s="16">
        <f>Transportation_LCIA!J$61*($W142^Transportation_LCIA!J$60)+Transportation_LCIA!J$62</f>
        <v>8.8936917837252362E-3</v>
      </c>
      <c r="AG142" s="16">
        <f>Transportation_LCIA!K$61*($W142^Transportation_LCIA!K$60)+Transportation_LCIA!K$62</f>
        <v>1.2188706109794917E-2</v>
      </c>
      <c r="AH142" s="16">
        <f>Transportation_LCIA!L$61*($W142^Transportation_LCIA!L$60)+Transportation_LCIA!L$62</f>
        <v>2.4310816549771977E-4</v>
      </c>
      <c r="AI142" s="16">
        <f>Transportation_LCIA!M$61*($W142^Transportation_LCIA!M$60)+Transportation_LCIA!M$62</f>
        <v>2.455450128432447E-4</v>
      </c>
      <c r="AJ142" s="16">
        <f>Transportation_LCIA!N$61*($W142^Transportation_LCIA!N$60)+Transportation_LCIA!N$62</f>
        <v>1.0016506819662974E-3</v>
      </c>
      <c r="AK142" s="16">
        <f>Transportation_LCIA!O$61*($W142^Transportation_LCIA!O$60)+Transportation_LCIA!O$62</f>
        <v>6.050134712780058E-5</v>
      </c>
      <c r="AL142" s="16">
        <f>Transportation_LCIA!P$61*($W142^Transportation_LCIA!P$60)+Transportation_LCIA!P$62</f>
        <v>2.9257301489528483E-8</v>
      </c>
      <c r="AM142" s="16">
        <f>Transportation_LCIA!Q$61*($W142^Transportation_LCIA!Q$60)+Transportation_LCIA!Q$62</f>
        <v>9.6216231090364335E-5</v>
      </c>
      <c r="AN142" s="16">
        <f>Transportation_LCIA!R$61*($W142^Transportation_LCIA!R$60)+Transportation_LCIA!R$62</f>
        <v>2.8896705818992006E-4</v>
      </c>
      <c r="AO142" s="16">
        <f>Transportation_LCIA!S$61*($W142^Transportation_LCIA!S$60)+Transportation_LCIA!S$62</f>
        <v>4.3584988519816731E-6</v>
      </c>
      <c r="AP142" s="16">
        <f>Transportation_LCIA!T$61*($W142^Transportation_LCIA!T$60)+Transportation_LCIA!T$62</f>
        <v>4.3584988519816731E-6</v>
      </c>
      <c r="AQ142" s="16">
        <f>Transportation_LCIA!U$61*($W142^Transportation_LCIA!U$60)+Transportation_LCIA!U$62</f>
        <v>6.204066649837317E-4</v>
      </c>
      <c r="AR142" s="16">
        <f>Transportation_LCIA!V$61*($W142^Transportation_LCIA!V$60)+Transportation_LCIA!V$62</f>
        <v>2.502258212971912E-4</v>
      </c>
      <c r="AT142" s="16">
        <f>$W142*Y142+($L142)*Summary_LCIA!H$32</f>
        <v>251.90910606716184</v>
      </c>
      <c r="AU142" s="16">
        <f>$W142*Z142+($L142)*Summary_LCIA!Q$32</f>
        <v>2676.6851929408922</v>
      </c>
      <c r="AV142" s="16">
        <f>$W142*AA142+($L142)*Summary_LCIA!R$32</f>
        <v>1.4349176048108725</v>
      </c>
      <c r="AW142" s="16">
        <f>$W142*AB142+($L142)*Summary_LCIA!S$32</f>
        <v>251.65586658716185</v>
      </c>
      <c r="AX142" s="16">
        <f>$W142*AC142+($L142)*Summary_LCIA!T$32</f>
        <v>62.213184858914353</v>
      </c>
      <c r="AY142" s="16">
        <f>$W142*AD142+($L142)*Summary_LCIA!U$32</f>
        <v>1.3001334519925387</v>
      </c>
      <c r="AZ142" s="16">
        <f>$W142*AE142+($L142)*Summary_LCIA!V$32</f>
        <v>8.6047644313738472E-3</v>
      </c>
      <c r="BA142" s="16">
        <f>$W142*AF142+($L142)*Summary_LCIA!W$32</f>
        <v>13.096259036207687</v>
      </c>
      <c r="BB142" s="16">
        <f>$W142*AG142+($L142)*Summary_LCIA!X$32</f>
        <v>13.209611388346294</v>
      </c>
      <c r="BC142" s="16">
        <f>$W142*AH142+($L142)*Summary_LCIA!Y$32</f>
        <v>1.1301937634026307</v>
      </c>
      <c r="BD142" s="16">
        <f>$W142*AI142+($L142)*Summary_LCIA!Z$32</f>
        <v>0.24216824283190147</v>
      </c>
      <c r="BE142" s="16">
        <f>$W142*AJ142+($L142)*Summary_LCIA!AA$32</f>
        <v>2.3164499139968511</v>
      </c>
      <c r="BF142" s="16">
        <f>$W142*AK142+($L142)*Summary_LCIA!AB$32</f>
        <v>5.7840072090052902E-2</v>
      </c>
      <c r="BG142" s="16">
        <f>$W142*AL142+($L142)*Summary_LCIA!AC$32</f>
        <v>3.1375753714741908E-5</v>
      </c>
      <c r="BH142" s="16">
        <f>$W142*AM142+($L142)*Summary_LCIA!AD$32</f>
        <v>0.11752250423290315</v>
      </c>
      <c r="BI142" s="16">
        <f>$W142*AN142+($L142)*Summary_LCIA!AE$32</f>
        <v>0.33299800798947432</v>
      </c>
      <c r="BJ142" s="16">
        <f>$W142*AO142+($L142)*Summary_LCIA!AF$32</f>
        <v>5.2694348056931704E-2</v>
      </c>
      <c r="BK142" s="16">
        <f>$W142*AP142+($L142)*Summary_LCIA!AG$32</f>
        <v>7.1883020869317011E-3</v>
      </c>
      <c r="BL142" s="16">
        <f>$W142*AQ142+($L142)*Summary_LCIA!AH$32</f>
        <v>1.1046022589330022</v>
      </c>
      <c r="BM142" s="16">
        <f>$W142*AR142+($L142)*Summary_LCIA!AI$32</f>
        <v>0.29776254650303075</v>
      </c>
      <c r="BN142" s="16"/>
    </row>
    <row r="143" spans="1:66" x14ac:dyDescent="0.25">
      <c r="A143" s="159">
        <v>46</v>
      </c>
      <c r="B143" s="159">
        <v>6</v>
      </c>
      <c r="C143" s="45">
        <v>38.90813</v>
      </c>
      <c r="D143" s="45">
        <v>-77.040278999999998</v>
      </c>
      <c r="E143" s="45" t="s">
        <v>265</v>
      </c>
      <c r="F143" s="159">
        <v>86</v>
      </c>
      <c r="G143" s="45" t="s">
        <v>630</v>
      </c>
      <c r="H143" s="45" t="s">
        <v>644</v>
      </c>
      <c r="I143" s="45">
        <v>38.851241999999999</v>
      </c>
      <c r="J143" s="45">
        <v>-77.040232000000003</v>
      </c>
      <c r="K143" s="45">
        <v>8.9128861770000007</v>
      </c>
      <c r="L143" s="45">
        <v>8.7949999999999999</v>
      </c>
      <c r="M143" s="45" t="s">
        <v>617</v>
      </c>
      <c r="N143" s="159">
        <v>5</v>
      </c>
      <c r="O143" s="159">
        <v>6</v>
      </c>
      <c r="P143" s="45" t="s">
        <v>565</v>
      </c>
      <c r="Q143" s="45" t="s">
        <v>564</v>
      </c>
      <c r="R143" s="45">
        <v>41.98028</v>
      </c>
      <c r="S143" s="45">
        <v>-87.908997900000003</v>
      </c>
      <c r="T143" s="45">
        <v>1152.8209999999999</v>
      </c>
      <c r="U143" s="45" t="s">
        <v>617</v>
      </c>
      <c r="V143" s="45" t="s">
        <v>569</v>
      </c>
      <c r="W143" s="45" cm="1">
        <f t="array" ref="W143">getDistance(R143,S143,I143,J143)*SA!$B$12</f>
        <v>985.09467660045368</v>
      </c>
      <c r="X143" s="22"/>
      <c r="Y143" s="16">
        <f>Transportation_LCIA!C$61*($W143^Transportation_LCIA!C$60)+Transportation_LCIA!C$62</f>
        <v>0.2370864199991472</v>
      </c>
      <c r="Z143" s="16">
        <f>Transportation_LCIA!D$61*($W143^Transportation_LCIA!D$60)+Transportation_LCIA!D$62</f>
        <v>2.4393058219490786</v>
      </c>
      <c r="AA143" s="16">
        <f>Transportation_LCIA!E$61*($W143^Transportation_LCIA!E$60)+Transportation_LCIA!E$62</f>
        <v>1.1533446585003482E-3</v>
      </c>
      <c r="AB143" s="16">
        <f>Transportation_LCIA!F$61*($W143^Transportation_LCIA!F$60)+Transportation_LCIA!F$62</f>
        <v>0.2370864199991472</v>
      </c>
      <c r="AC143" s="16">
        <f>Transportation_LCIA!G$61*($W143^Transportation_LCIA!G$60)+Transportation_LCIA!G$62</f>
        <v>5.7007420199112084E-2</v>
      </c>
      <c r="AD143" s="16">
        <f>Transportation_LCIA!H$61*($W143^Transportation_LCIA!H$60)+Transportation_LCIA!H$62</f>
        <v>2.7877818988371404E-4</v>
      </c>
      <c r="AE143" s="16">
        <f>Transportation_LCIA!I$61*($W143^Transportation_LCIA!I$60)+Transportation_LCIA!I$62</f>
        <v>5.969993290824604E-6</v>
      </c>
      <c r="AF143" s="16">
        <f>Transportation_LCIA!J$61*($W143^Transportation_LCIA!J$60)+Transportation_LCIA!J$62</f>
        <v>8.8363701400098228E-3</v>
      </c>
      <c r="AG143" s="16">
        <f>Transportation_LCIA!K$61*($W143^Transportation_LCIA!K$60)+Transportation_LCIA!K$62</f>
        <v>1.2131655681962131E-2</v>
      </c>
      <c r="AH143" s="16">
        <f>Transportation_LCIA!L$61*($W143^Transportation_LCIA!L$60)+Transportation_LCIA!L$62</f>
        <v>2.4170361336866051E-4</v>
      </c>
      <c r="AI143" s="16">
        <f>Transportation_LCIA!M$61*($W143^Transportation_LCIA!M$60)+Transportation_LCIA!M$62</f>
        <v>2.4470196204605344E-4</v>
      </c>
      <c r="AJ143" s="16">
        <f>Transportation_LCIA!N$61*($W143^Transportation_LCIA!N$60)+Transportation_LCIA!N$62</f>
        <v>9.9651507889072025E-4</v>
      </c>
      <c r="AK143" s="16">
        <f>Transportation_LCIA!O$61*($W143^Transportation_LCIA!O$60)+Transportation_LCIA!O$62</f>
        <v>6.0241723006640731E-5</v>
      </c>
      <c r="AL143" s="16">
        <f>Transportation_LCIA!P$61*($W143^Transportation_LCIA!P$60)+Transportation_LCIA!P$62</f>
        <v>2.9132482944789785E-8</v>
      </c>
      <c r="AM143" s="16">
        <f>Transportation_LCIA!Q$61*($W143^Transportation_LCIA!Q$60)+Transportation_LCIA!Q$62</f>
        <v>9.5667002058853797E-5</v>
      </c>
      <c r="AN143" s="16">
        <f>Transportation_LCIA!R$61*($W143^Transportation_LCIA!R$60)+Transportation_LCIA!R$62</f>
        <v>2.8712201740427817E-4</v>
      </c>
      <c r="AO143" s="16">
        <f>Transportation_LCIA!S$61*($W143^Transportation_LCIA!S$60)+Transportation_LCIA!S$62</f>
        <v>4.332314477521164E-6</v>
      </c>
      <c r="AP143" s="16">
        <f>Transportation_LCIA!T$61*($W143^Transportation_LCIA!T$60)+Transportation_LCIA!T$62</f>
        <v>4.332314477521164E-6</v>
      </c>
      <c r="AQ143" s="16">
        <f>Transportation_LCIA!U$61*($W143^Transportation_LCIA!U$60)+Transportation_LCIA!U$62</f>
        <v>6.1636002099593767E-4</v>
      </c>
      <c r="AR143" s="16">
        <f>Transportation_LCIA!V$61*($W143^Transportation_LCIA!V$60)+Transportation_LCIA!V$62</f>
        <v>2.4879684586680414E-4</v>
      </c>
      <c r="AT143" s="16">
        <f>$W143*Y143+($L143)*Summary_LCIA!H$32</f>
        <v>236.54111123541924</v>
      </c>
      <c r="AU143" s="16">
        <f>$W143*Z143+($L143)*Summary_LCIA!Q$32</f>
        <v>2446.5356433607667</v>
      </c>
      <c r="AV143" s="16">
        <f>$W143*AA143+($L143)*Summary_LCIA!R$32</f>
        <v>1.1824646353742612</v>
      </c>
      <c r="AW143" s="16">
        <f>$W143*AB143+($L143)*Summary_LCIA!S$32</f>
        <v>236.50223733541924</v>
      </c>
      <c r="AX143" s="16">
        <f>$W143*AC143+($L143)*Summary_LCIA!T$32</f>
        <v>57.124276664870493</v>
      </c>
      <c r="AY143" s="16">
        <f>$W143*AD143+($L143)*Summary_LCIA!U$32</f>
        <v>0.43217654080675716</v>
      </c>
      <c r="AZ143" s="16">
        <f>$W143*AE143+($L143)*Summary_LCIA!V$32</f>
        <v>6.3010666051317409E-3</v>
      </c>
      <c r="BA143" s="16">
        <f>$W143*AF143+($L143)*Summary_LCIA!W$32</f>
        <v>9.3816211303948815</v>
      </c>
      <c r="BB143" s="16">
        <f>$W143*AG143+($L143)*Summary_LCIA!X$32</f>
        <v>12.151179530650541</v>
      </c>
      <c r="BC143" s="16">
        <f>$W143*AH143+($L143)*Summary_LCIA!Y$32</f>
        <v>0.37514463284456168</v>
      </c>
      <c r="BD143" s="16">
        <f>$W143*AI143+($L143)*Summary_LCIA!Z$32</f>
        <v>0.2414152743202535</v>
      </c>
      <c r="BE143" s="16">
        <f>$W143*AJ143+($L143)*Summary_LCIA!AA$32</f>
        <v>1.1870777193673296</v>
      </c>
      <c r="BF143" s="16">
        <f>$W143*AK143+($L143)*Summary_LCIA!AB$32</f>
        <v>5.915186735808086E-2</v>
      </c>
      <c r="BG143" s="16">
        <f>$W143*AL143+($L143)*Summary_LCIA!AC$32</f>
        <v>2.9128188645065924E-5</v>
      </c>
      <c r="BH143" s="16">
        <f>$W143*AM143+($L143)*Summary_LCIA!AD$32</f>
        <v>9.7856151254501519E-2</v>
      </c>
      <c r="BI143" s="16">
        <f>$W143*AN143+($L143)*Summary_LCIA!AE$32</f>
        <v>0.29063588422973724</v>
      </c>
      <c r="BJ143" s="16">
        <f>$W143*AO143+($L143)*Summary_LCIA!AF$32</f>
        <v>1.1703208829165175E-2</v>
      </c>
      <c r="BK143" s="16">
        <f>$W143*AP143+($L143)*Summary_LCIA!AG$32</f>
        <v>4.7177361041651749E-3</v>
      </c>
      <c r="BL143" s="16">
        <f>$W143*AQ143+($L143)*Summary_LCIA!AH$32</f>
        <v>0.68372113755244213</v>
      </c>
      <c r="BM143" s="16">
        <f>$W143*AR143+($L143)*Summary_LCIA!AI$32</f>
        <v>0.25328143066837233</v>
      </c>
      <c r="BN143" s="16"/>
    </row>
    <row r="144" spans="1:66" x14ac:dyDescent="0.25">
      <c r="A144" s="159">
        <v>119</v>
      </c>
      <c r="B144" s="159">
        <v>6</v>
      </c>
      <c r="C144" s="45">
        <v>38.883254999999998</v>
      </c>
      <c r="D144" s="45">
        <v>-77.025096000000005</v>
      </c>
      <c r="E144" s="45" t="s">
        <v>265</v>
      </c>
      <c r="F144" s="159">
        <v>86</v>
      </c>
      <c r="G144" s="45" t="s">
        <v>630</v>
      </c>
      <c r="H144" s="45" t="s">
        <v>644</v>
      </c>
      <c r="I144" s="45">
        <v>38.851241999999999</v>
      </c>
      <c r="J144" s="45">
        <v>-77.040232000000003</v>
      </c>
      <c r="K144" s="45">
        <v>5.3130254810000004</v>
      </c>
      <c r="L144" s="45">
        <v>7.0659999999999998</v>
      </c>
      <c r="M144" s="45" t="s">
        <v>617</v>
      </c>
      <c r="N144" s="159">
        <v>5</v>
      </c>
      <c r="O144" s="159">
        <v>6</v>
      </c>
      <c r="P144" s="45" t="s">
        <v>565</v>
      </c>
      <c r="Q144" s="45" t="s">
        <v>564</v>
      </c>
      <c r="R144" s="45">
        <v>41.98028</v>
      </c>
      <c r="S144" s="45">
        <v>-87.908997900000003</v>
      </c>
      <c r="T144" s="45">
        <v>1154.8230000000001</v>
      </c>
      <c r="U144" s="45" t="s">
        <v>617</v>
      </c>
      <c r="V144" s="45" t="s">
        <v>569</v>
      </c>
      <c r="W144" s="45" cm="1">
        <f t="array" ref="W144">getDistance(R144,S144,I144,J144)*SA!$B$12</f>
        <v>985.09467660045368</v>
      </c>
      <c r="X144" s="22"/>
      <c r="Y144" s="16">
        <f>Transportation_LCIA!C$61*($W144^Transportation_LCIA!C$60)+Transportation_LCIA!C$62</f>
        <v>0.2370864199991472</v>
      </c>
      <c r="Z144" s="16">
        <f>Transportation_LCIA!D$61*($W144^Transportation_LCIA!D$60)+Transportation_LCIA!D$62</f>
        <v>2.4393058219490786</v>
      </c>
      <c r="AA144" s="16">
        <f>Transportation_LCIA!E$61*($W144^Transportation_LCIA!E$60)+Transportation_LCIA!E$62</f>
        <v>1.1533446585003482E-3</v>
      </c>
      <c r="AB144" s="16">
        <f>Transportation_LCIA!F$61*($W144^Transportation_LCIA!F$60)+Transportation_LCIA!F$62</f>
        <v>0.2370864199991472</v>
      </c>
      <c r="AC144" s="16">
        <f>Transportation_LCIA!G$61*($W144^Transportation_LCIA!G$60)+Transportation_LCIA!G$62</f>
        <v>5.7007420199112084E-2</v>
      </c>
      <c r="AD144" s="16">
        <f>Transportation_LCIA!H$61*($W144^Transportation_LCIA!H$60)+Transportation_LCIA!H$62</f>
        <v>2.7877818988371404E-4</v>
      </c>
      <c r="AE144" s="16">
        <f>Transportation_LCIA!I$61*($W144^Transportation_LCIA!I$60)+Transportation_LCIA!I$62</f>
        <v>5.969993290824604E-6</v>
      </c>
      <c r="AF144" s="16">
        <f>Transportation_LCIA!J$61*($W144^Transportation_LCIA!J$60)+Transportation_LCIA!J$62</f>
        <v>8.8363701400098228E-3</v>
      </c>
      <c r="AG144" s="16">
        <f>Transportation_LCIA!K$61*($W144^Transportation_LCIA!K$60)+Transportation_LCIA!K$62</f>
        <v>1.2131655681962131E-2</v>
      </c>
      <c r="AH144" s="16">
        <f>Transportation_LCIA!L$61*($W144^Transportation_LCIA!L$60)+Transportation_LCIA!L$62</f>
        <v>2.4170361336866051E-4</v>
      </c>
      <c r="AI144" s="16">
        <f>Transportation_LCIA!M$61*($W144^Transportation_LCIA!M$60)+Transportation_LCIA!M$62</f>
        <v>2.4470196204605344E-4</v>
      </c>
      <c r="AJ144" s="16">
        <f>Transportation_LCIA!N$61*($W144^Transportation_LCIA!N$60)+Transportation_LCIA!N$62</f>
        <v>9.9651507889072025E-4</v>
      </c>
      <c r="AK144" s="16">
        <f>Transportation_LCIA!O$61*($W144^Transportation_LCIA!O$60)+Transportation_LCIA!O$62</f>
        <v>6.0241723006640731E-5</v>
      </c>
      <c r="AL144" s="16">
        <f>Transportation_LCIA!P$61*($W144^Transportation_LCIA!P$60)+Transportation_LCIA!P$62</f>
        <v>2.9132482944789785E-8</v>
      </c>
      <c r="AM144" s="16">
        <f>Transportation_LCIA!Q$61*($W144^Transportation_LCIA!Q$60)+Transportation_LCIA!Q$62</f>
        <v>9.5667002058853797E-5</v>
      </c>
      <c r="AN144" s="16">
        <f>Transportation_LCIA!R$61*($W144^Transportation_LCIA!R$60)+Transportation_LCIA!R$62</f>
        <v>2.8712201740427817E-4</v>
      </c>
      <c r="AO144" s="16">
        <f>Transportation_LCIA!S$61*($W144^Transportation_LCIA!S$60)+Transportation_LCIA!S$62</f>
        <v>4.332314477521164E-6</v>
      </c>
      <c r="AP144" s="16">
        <f>Transportation_LCIA!T$61*($W144^Transportation_LCIA!T$60)+Transportation_LCIA!T$62</f>
        <v>4.332314477521164E-6</v>
      </c>
      <c r="AQ144" s="16">
        <f>Transportation_LCIA!U$61*($W144^Transportation_LCIA!U$60)+Transportation_LCIA!U$62</f>
        <v>6.1636002099593767E-4</v>
      </c>
      <c r="AR144" s="16">
        <f>Transportation_LCIA!V$61*($W144^Transportation_LCIA!V$60)+Transportation_LCIA!V$62</f>
        <v>2.4879684586680414E-4</v>
      </c>
      <c r="AT144" s="16">
        <f>$W144*Y144+($L144)*Summary_LCIA!H$32</f>
        <v>235.95359703541925</v>
      </c>
      <c r="AU144" s="16">
        <f>$W144*Z144+($L144)*Summary_LCIA!Q$32</f>
        <v>2437.9666321621094</v>
      </c>
      <c r="AV144" s="16">
        <f>$W144*AA144+($L144)*Summary_LCIA!R$32</f>
        <v>1.1733604129742612</v>
      </c>
      <c r="AW144" s="16">
        <f>$W144*AB144+($L144)*Summary_LCIA!S$32</f>
        <v>235.92236531541923</v>
      </c>
      <c r="AX144" s="16">
        <f>$W144*AC144+($L144)*Summary_LCIA!T$32</f>
        <v>56.934259564870487</v>
      </c>
      <c r="AY144" s="16">
        <f>$W144*AD144+($L144)*Summary_LCIA!U$32</f>
        <v>0.40120323480675713</v>
      </c>
      <c r="AZ144" s="16">
        <f>$W144*AE144+($L144)*Summary_LCIA!V$32</f>
        <v>6.2184878361317411E-3</v>
      </c>
      <c r="BA144" s="16">
        <f>$W144*AF144+($L144)*Summary_LCIA!W$32</f>
        <v>9.2485382713948816</v>
      </c>
      <c r="BB144" s="16">
        <f>$W144*AG144+($L144)*Summary_LCIA!X$32</f>
        <v>12.111792910650541</v>
      </c>
      <c r="BC144" s="16">
        <f>$W144*AH144+($L144)*Summary_LCIA!Y$32</f>
        <v>0.34820335484456172</v>
      </c>
      <c r="BD144" s="16">
        <f>$W144*AI144+($L144)*Summary_LCIA!Z$32</f>
        <v>0.24134436975925352</v>
      </c>
      <c r="BE144" s="16">
        <f>$W144*AJ144+($L144)*Summary_LCIA!AA$32</f>
        <v>1.1466951953673297</v>
      </c>
      <c r="BF144" s="16">
        <f>$W144*AK144+($L144)*Summary_LCIA!AB$32</f>
        <v>5.9189599325080861E-2</v>
      </c>
      <c r="BG144" s="16">
        <f>$W144*AL144+($L144)*Summary_LCIA!AC$32</f>
        <v>2.9043668209065923E-5</v>
      </c>
      <c r="BH144" s="16">
        <f>$W144*AM144+($L144)*Summary_LCIA!AD$32</f>
        <v>9.7145463094501519E-2</v>
      </c>
      <c r="BI144" s="16">
        <f>$W144*AN144+($L144)*Summary_LCIA!AE$32</f>
        <v>0.28910376545973726</v>
      </c>
      <c r="BJ144" s="16">
        <f>$W144*AO144+($L144)*Summary_LCIA!AF$32</f>
        <v>1.0241477649165175E-2</v>
      </c>
      <c r="BK144" s="16">
        <f>$W144*AP144+($L144)*Summary_LCIA!AG$32</f>
        <v>4.6292718191651748E-3</v>
      </c>
      <c r="BL144" s="16">
        <f>$W144*AQ144+($L144)*Summary_LCIA!AH$32</f>
        <v>0.66867261315244209</v>
      </c>
      <c r="BM144" s="16">
        <f>$W144*AR144+($L144)*Summary_LCIA!AI$32</f>
        <v>0.25167078071837234</v>
      </c>
      <c r="BN144" s="16"/>
    </row>
    <row r="145" spans="1:66" x14ac:dyDescent="0.25">
      <c r="A145" s="159">
        <v>120</v>
      </c>
      <c r="B145" s="159">
        <v>6</v>
      </c>
      <c r="C145" s="45">
        <v>38.883254999999998</v>
      </c>
      <c r="D145" s="45">
        <v>-77.025096000000005</v>
      </c>
      <c r="E145" s="45" t="s">
        <v>265</v>
      </c>
      <c r="F145" s="159">
        <v>86</v>
      </c>
      <c r="G145" s="45" t="s">
        <v>630</v>
      </c>
      <c r="H145" s="45" t="s">
        <v>644</v>
      </c>
      <c r="I145" s="45">
        <v>38.851241999999999</v>
      </c>
      <c r="J145" s="45">
        <v>-77.040232000000003</v>
      </c>
      <c r="K145" s="45">
        <v>5.3130254810000004</v>
      </c>
      <c r="L145" s="45">
        <v>7.0659999999999998</v>
      </c>
      <c r="M145" s="45" t="s">
        <v>617</v>
      </c>
      <c r="N145" s="159">
        <v>5</v>
      </c>
      <c r="O145" s="159">
        <v>6</v>
      </c>
      <c r="P145" s="45" t="s">
        <v>565</v>
      </c>
      <c r="Q145" s="45" t="s">
        <v>564</v>
      </c>
      <c r="R145" s="45">
        <v>41.98028</v>
      </c>
      <c r="S145" s="45">
        <v>-87.908997900000003</v>
      </c>
      <c r="T145" s="45">
        <v>1154.8230000000001</v>
      </c>
      <c r="U145" s="45" t="s">
        <v>617</v>
      </c>
      <c r="V145" s="45" t="s">
        <v>569</v>
      </c>
      <c r="W145" s="45" cm="1">
        <f t="array" ref="W145">getDistance(R145,S145,I145,J145)*SA!$B$12</f>
        <v>985.09467660045368</v>
      </c>
      <c r="X145" s="22"/>
      <c r="Y145" s="16">
        <f>Transportation_LCIA!C$61*($W145^Transportation_LCIA!C$60)+Transportation_LCIA!C$62</f>
        <v>0.2370864199991472</v>
      </c>
      <c r="Z145" s="16">
        <f>Transportation_LCIA!D$61*($W145^Transportation_LCIA!D$60)+Transportation_LCIA!D$62</f>
        <v>2.4393058219490786</v>
      </c>
      <c r="AA145" s="16">
        <f>Transportation_LCIA!E$61*($W145^Transportation_LCIA!E$60)+Transportation_LCIA!E$62</f>
        <v>1.1533446585003482E-3</v>
      </c>
      <c r="AB145" s="16">
        <f>Transportation_LCIA!F$61*($W145^Transportation_LCIA!F$60)+Transportation_LCIA!F$62</f>
        <v>0.2370864199991472</v>
      </c>
      <c r="AC145" s="16">
        <f>Transportation_LCIA!G$61*($W145^Transportation_LCIA!G$60)+Transportation_LCIA!G$62</f>
        <v>5.7007420199112084E-2</v>
      </c>
      <c r="AD145" s="16">
        <f>Transportation_LCIA!H$61*($W145^Transportation_LCIA!H$60)+Transportation_LCIA!H$62</f>
        <v>2.7877818988371404E-4</v>
      </c>
      <c r="AE145" s="16">
        <f>Transportation_LCIA!I$61*($W145^Transportation_LCIA!I$60)+Transportation_LCIA!I$62</f>
        <v>5.969993290824604E-6</v>
      </c>
      <c r="AF145" s="16">
        <f>Transportation_LCIA!J$61*($W145^Transportation_LCIA!J$60)+Transportation_LCIA!J$62</f>
        <v>8.8363701400098228E-3</v>
      </c>
      <c r="AG145" s="16">
        <f>Transportation_LCIA!K$61*($W145^Transportation_LCIA!K$60)+Transportation_LCIA!K$62</f>
        <v>1.2131655681962131E-2</v>
      </c>
      <c r="AH145" s="16">
        <f>Transportation_LCIA!L$61*($W145^Transportation_LCIA!L$60)+Transportation_LCIA!L$62</f>
        <v>2.4170361336866051E-4</v>
      </c>
      <c r="AI145" s="16">
        <f>Transportation_LCIA!M$61*($W145^Transportation_LCIA!M$60)+Transportation_LCIA!M$62</f>
        <v>2.4470196204605344E-4</v>
      </c>
      <c r="AJ145" s="16">
        <f>Transportation_LCIA!N$61*($W145^Transportation_LCIA!N$60)+Transportation_LCIA!N$62</f>
        <v>9.9651507889072025E-4</v>
      </c>
      <c r="AK145" s="16">
        <f>Transportation_LCIA!O$61*($W145^Transportation_LCIA!O$60)+Transportation_LCIA!O$62</f>
        <v>6.0241723006640731E-5</v>
      </c>
      <c r="AL145" s="16">
        <f>Transportation_LCIA!P$61*($W145^Transportation_LCIA!P$60)+Transportation_LCIA!P$62</f>
        <v>2.9132482944789785E-8</v>
      </c>
      <c r="AM145" s="16">
        <f>Transportation_LCIA!Q$61*($W145^Transportation_LCIA!Q$60)+Transportation_LCIA!Q$62</f>
        <v>9.5667002058853797E-5</v>
      </c>
      <c r="AN145" s="16">
        <f>Transportation_LCIA!R$61*($W145^Transportation_LCIA!R$60)+Transportation_LCIA!R$62</f>
        <v>2.8712201740427817E-4</v>
      </c>
      <c r="AO145" s="16">
        <f>Transportation_LCIA!S$61*($W145^Transportation_LCIA!S$60)+Transportation_LCIA!S$62</f>
        <v>4.332314477521164E-6</v>
      </c>
      <c r="AP145" s="16">
        <f>Transportation_LCIA!T$61*($W145^Transportation_LCIA!T$60)+Transportation_LCIA!T$62</f>
        <v>4.332314477521164E-6</v>
      </c>
      <c r="AQ145" s="16">
        <f>Transportation_LCIA!U$61*($W145^Transportation_LCIA!U$60)+Transportation_LCIA!U$62</f>
        <v>6.1636002099593767E-4</v>
      </c>
      <c r="AR145" s="16">
        <f>Transportation_LCIA!V$61*($W145^Transportation_LCIA!V$60)+Transportation_LCIA!V$62</f>
        <v>2.4879684586680414E-4</v>
      </c>
      <c r="AT145" s="16">
        <f>$W145*Y145+($L145)*Summary_LCIA!H$32</f>
        <v>235.95359703541925</v>
      </c>
      <c r="AU145" s="16">
        <f>$W145*Z145+($L145)*Summary_LCIA!Q$32</f>
        <v>2437.9666321621094</v>
      </c>
      <c r="AV145" s="16">
        <f>$W145*AA145+($L145)*Summary_LCIA!R$32</f>
        <v>1.1733604129742612</v>
      </c>
      <c r="AW145" s="16">
        <f>$W145*AB145+($L145)*Summary_LCIA!S$32</f>
        <v>235.92236531541923</v>
      </c>
      <c r="AX145" s="16">
        <f>$W145*AC145+($L145)*Summary_LCIA!T$32</f>
        <v>56.934259564870487</v>
      </c>
      <c r="AY145" s="16">
        <f>$W145*AD145+($L145)*Summary_LCIA!U$32</f>
        <v>0.40120323480675713</v>
      </c>
      <c r="AZ145" s="16">
        <f>$W145*AE145+($L145)*Summary_LCIA!V$32</f>
        <v>6.2184878361317411E-3</v>
      </c>
      <c r="BA145" s="16">
        <f>$W145*AF145+($L145)*Summary_LCIA!W$32</f>
        <v>9.2485382713948816</v>
      </c>
      <c r="BB145" s="16">
        <f>$W145*AG145+($L145)*Summary_LCIA!X$32</f>
        <v>12.111792910650541</v>
      </c>
      <c r="BC145" s="16">
        <f>$W145*AH145+($L145)*Summary_LCIA!Y$32</f>
        <v>0.34820335484456172</v>
      </c>
      <c r="BD145" s="16">
        <f>$W145*AI145+($L145)*Summary_LCIA!Z$32</f>
        <v>0.24134436975925352</v>
      </c>
      <c r="BE145" s="16">
        <f>$W145*AJ145+($L145)*Summary_LCIA!AA$32</f>
        <v>1.1466951953673297</v>
      </c>
      <c r="BF145" s="16">
        <f>$W145*AK145+($L145)*Summary_LCIA!AB$32</f>
        <v>5.9189599325080861E-2</v>
      </c>
      <c r="BG145" s="16">
        <f>$W145*AL145+($L145)*Summary_LCIA!AC$32</f>
        <v>2.9043668209065923E-5</v>
      </c>
      <c r="BH145" s="16">
        <f>$W145*AM145+($L145)*Summary_LCIA!AD$32</f>
        <v>9.7145463094501519E-2</v>
      </c>
      <c r="BI145" s="16">
        <f>$W145*AN145+($L145)*Summary_LCIA!AE$32</f>
        <v>0.28910376545973726</v>
      </c>
      <c r="BJ145" s="16">
        <f>$W145*AO145+($L145)*Summary_LCIA!AF$32</f>
        <v>1.0241477649165175E-2</v>
      </c>
      <c r="BK145" s="16">
        <f>$W145*AP145+($L145)*Summary_LCIA!AG$32</f>
        <v>4.6292718191651748E-3</v>
      </c>
      <c r="BL145" s="16">
        <f>$W145*AQ145+($L145)*Summary_LCIA!AH$32</f>
        <v>0.66867261315244209</v>
      </c>
      <c r="BM145" s="16">
        <f>$W145*AR145+($L145)*Summary_LCIA!AI$32</f>
        <v>0.25167078071837234</v>
      </c>
      <c r="BN145" s="16"/>
    </row>
    <row r="146" spans="1:66" x14ac:dyDescent="0.25">
      <c r="A146" s="159">
        <v>134</v>
      </c>
      <c r="B146" s="159">
        <v>6</v>
      </c>
      <c r="C146" s="45">
        <v>38.881621000000003</v>
      </c>
      <c r="D146" s="45">
        <v>-77.090980999999999</v>
      </c>
      <c r="E146" s="45" t="s">
        <v>265</v>
      </c>
      <c r="F146" s="159">
        <v>86</v>
      </c>
      <c r="G146" s="45" t="s">
        <v>630</v>
      </c>
      <c r="H146" s="45" t="s">
        <v>644</v>
      </c>
      <c r="I146" s="45">
        <v>38.851241999999999</v>
      </c>
      <c r="J146" s="45">
        <v>-77.040232000000003</v>
      </c>
      <c r="K146" s="45">
        <v>6.1868912390000004</v>
      </c>
      <c r="L146" s="45">
        <v>8.6340000000000003</v>
      </c>
      <c r="M146" s="45" t="s">
        <v>617</v>
      </c>
      <c r="N146" s="159">
        <v>5</v>
      </c>
      <c r="O146" s="159">
        <v>6</v>
      </c>
      <c r="P146" s="45" t="s">
        <v>565</v>
      </c>
      <c r="Q146" s="45" t="s">
        <v>564</v>
      </c>
      <c r="R146" s="45">
        <v>41.98028</v>
      </c>
      <c r="S146" s="45">
        <v>-87.908997900000003</v>
      </c>
      <c r="T146" s="45">
        <v>1155.415</v>
      </c>
      <c r="U146" s="45" t="s">
        <v>617</v>
      </c>
      <c r="V146" s="45" t="s">
        <v>569</v>
      </c>
      <c r="W146" s="45" cm="1">
        <f t="array" ref="W146">getDistance(R146,S146,I146,J146)*SA!$B$12</f>
        <v>985.09467660045368</v>
      </c>
      <c r="X146" s="22"/>
      <c r="Y146" s="16">
        <f>Transportation_LCIA!C$61*($W146^Transportation_LCIA!C$60)+Transportation_LCIA!C$62</f>
        <v>0.2370864199991472</v>
      </c>
      <c r="Z146" s="16">
        <f>Transportation_LCIA!D$61*($W146^Transportation_LCIA!D$60)+Transportation_LCIA!D$62</f>
        <v>2.4393058219490786</v>
      </c>
      <c r="AA146" s="16">
        <f>Transportation_LCIA!E$61*($W146^Transportation_LCIA!E$60)+Transportation_LCIA!E$62</f>
        <v>1.1533446585003482E-3</v>
      </c>
      <c r="AB146" s="16">
        <f>Transportation_LCIA!F$61*($W146^Transportation_LCIA!F$60)+Transportation_LCIA!F$62</f>
        <v>0.2370864199991472</v>
      </c>
      <c r="AC146" s="16">
        <f>Transportation_LCIA!G$61*($W146^Transportation_LCIA!G$60)+Transportation_LCIA!G$62</f>
        <v>5.7007420199112084E-2</v>
      </c>
      <c r="AD146" s="16">
        <f>Transportation_LCIA!H$61*($W146^Transportation_LCIA!H$60)+Transportation_LCIA!H$62</f>
        <v>2.7877818988371404E-4</v>
      </c>
      <c r="AE146" s="16">
        <f>Transportation_LCIA!I$61*($W146^Transportation_LCIA!I$60)+Transportation_LCIA!I$62</f>
        <v>5.969993290824604E-6</v>
      </c>
      <c r="AF146" s="16">
        <f>Transportation_LCIA!J$61*($W146^Transportation_LCIA!J$60)+Transportation_LCIA!J$62</f>
        <v>8.8363701400098228E-3</v>
      </c>
      <c r="AG146" s="16">
        <f>Transportation_LCIA!K$61*($W146^Transportation_LCIA!K$60)+Transportation_LCIA!K$62</f>
        <v>1.2131655681962131E-2</v>
      </c>
      <c r="AH146" s="16">
        <f>Transportation_LCIA!L$61*($W146^Transportation_LCIA!L$60)+Transportation_LCIA!L$62</f>
        <v>2.4170361336866051E-4</v>
      </c>
      <c r="AI146" s="16">
        <f>Transportation_LCIA!M$61*($W146^Transportation_LCIA!M$60)+Transportation_LCIA!M$62</f>
        <v>2.4470196204605344E-4</v>
      </c>
      <c r="AJ146" s="16">
        <f>Transportation_LCIA!N$61*($W146^Transportation_LCIA!N$60)+Transportation_LCIA!N$62</f>
        <v>9.9651507889072025E-4</v>
      </c>
      <c r="AK146" s="16">
        <f>Transportation_LCIA!O$61*($W146^Transportation_LCIA!O$60)+Transportation_LCIA!O$62</f>
        <v>6.0241723006640731E-5</v>
      </c>
      <c r="AL146" s="16">
        <f>Transportation_LCIA!P$61*($W146^Transportation_LCIA!P$60)+Transportation_LCIA!P$62</f>
        <v>2.9132482944789785E-8</v>
      </c>
      <c r="AM146" s="16">
        <f>Transportation_LCIA!Q$61*($W146^Transportation_LCIA!Q$60)+Transportation_LCIA!Q$62</f>
        <v>9.5667002058853797E-5</v>
      </c>
      <c r="AN146" s="16">
        <f>Transportation_LCIA!R$61*($W146^Transportation_LCIA!R$60)+Transportation_LCIA!R$62</f>
        <v>2.8712201740427817E-4</v>
      </c>
      <c r="AO146" s="16">
        <f>Transportation_LCIA!S$61*($W146^Transportation_LCIA!S$60)+Transportation_LCIA!S$62</f>
        <v>4.332314477521164E-6</v>
      </c>
      <c r="AP146" s="16">
        <f>Transportation_LCIA!T$61*($W146^Transportation_LCIA!T$60)+Transportation_LCIA!T$62</f>
        <v>4.332314477521164E-6</v>
      </c>
      <c r="AQ146" s="16">
        <f>Transportation_LCIA!U$61*($W146^Transportation_LCIA!U$60)+Transportation_LCIA!U$62</f>
        <v>6.1636002099593767E-4</v>
      </c>
      <c r="AR146" s="16">
        <f>Transportation_LCIA!V$61*($W146^Transportation_LCIA!V$60)+Transportation_LCIA!V$62</f>
        <v>2.4879684586680414E-4</v>
      </c>
      <c r="AT146" s="16">
        <f>$W146*Y146+($L146)*Summary_LCIA!H$32</f>
        <v>236.48640343541925</v>
      </c>
      <c r="AU146" s="16">
        <f>$W146*Z146+($L146)*Summary_LCIA!Q$32</f>
        <v>2445.7377192410536</v>
      </c>
      <c r="AV146" s="16">
        <f>$W146*AA146+($L146)*Summary_LCIA!R$32</f>
        <v>1.1816168737742612</v>
      </c>
      <c r="AW146" s="16">
        <f>$W146*AB146+($L146)*Summary_LCIA!S$32</f>
        <v>236.44824115541923</v>
      </c>
      <c r="AX146" s="16">
        <f>$W146*AC146+($L146)*Summary_LCIA!T$32</f>
        <v>57.106582764870488</v>
      </c>
      <c r="AY146" s="16">
        <f>$W146*AD146+($L146)*Summary_LCIA!U$32</f>
        <v>0.42929238680675719</v>
      </c>
      <c r="AZ146" s="16">
        <f>$W146*AE146+($L146)*Summary_LCIA!V$32</f>
        <v>6.2933770841317408E-3</v>
      </c>
      <c r="BA146" s="16">
        <f>$W146*AF146+($L146)*Summary_LCIA!W$32</f>
        <v>9.3692287993948806</v>
      </c>
      <c r="BB146" s="16">
        <f>$W146*AG146+($L146)*Summary_LCIA!X$32</f>
        <v>12.147511950650541</v>
      </c>
      <c r="BC146" s="16">
        <f>$W146*AH146+($L146)*Summary_LCIA!Y$32</f>
        <v>0.3726359308445617</v>
      </c>
      <c r="BD146" s="16">
        <f>$W146*AI146+($L146)*Summary_LCIA!Z$32</f>
        <v>0.24140867187125351</v>
      </c>
      <c r="BE146" s="16">
        <f>$W146*AJ146+($L146)*Summary_LCIA!AA$32</f>
        <v>1.1833174033673295</v>
      </c>
      <c r="BF146" s="16">
        <f>$W146*AK146+($L146)*Summary_LCIA!AB$32</f>
        <v>5.915538086108086E-2</v>
      </c>
      <c r="BG146" s="16">
        <f>$W146*AL146+($L146)*Summary_LCIA!AC$32</f>
        <v>2.9120318321065923E-5</v>
      </c>
      <c r="BH146" s="16">
        <f>$W146*AM146+($L146)*Summary_LCIA!AD$32</f>
        <v>9.7789973814501524E-2</v>
      </c>
      <c r="BI146" s="16">
        <f>$W146*AN146+($L146)*Summary_LCIA!AE$32</f>
        <v>0.29049321729973726</v>
      </c>
      <c r="BJ146" s="16">
        <f>$W146*AO146+($L146)*Summary_LCIA!AF$32</f>
        <v>1.1567096209165175E-2</v>
      </c>
      <c r="BK146" s="16">
        <f>$W146*AP146+($L146)*Summary_LCIA!AG$32</f>
        <v>4.7094985391651746E-3</v>
      </c>
      <c r="BL146" s="16">
        <f>$W146*AQ146+($L146)*Summary_LCIA!AH$32</f>
        <v>0.6823198579524421</v>
      </c>
      <c r="BM146" s="16">
        <f>$W146*AR146+($L146)*Summary_LCIA!AI$32</f>
        <v>0.25313145111837237</v>
      </c>
      <c r="BN146" s="16"/>
    </row>
    <row r="147" spans="1:66" x14ac:dyDescent="0.25">
      <c r="A147" s="159">
        <v>57</v>
      </c>
      <c r="B147" s="159">
        <v>6</v>
      </c>
      <c r="C147" s="45">
        <v>38.898505</v>
      </c>
      <c r="D147" s="45">
        <v>-77.010475</v>
      </c>
      <c r="E147" s="45" t="s">
        <v>265</v>
      </c>
      <c r="F147" s="159">
        <v>86</v>
      </c>
      <c r="G147" s="45" t="s">
        <v>630</v>
      </c>
      <c r="H147" s="45" t="s">
        <v>644</v>
      </c>
      <c r="I147" s="45">
        <v>38.851241999999999</v>
      </c>
      <c r="J147" s="45">
        <v>-77.040232000000003</v>
      </c>
      <c r="K147" s="45">
        <v>8.0893784039999996</v>
      </c>
      <c r="L147" s="45">
        <v>9.125</v>
      </c>
      <c r="M147" s="45" t="s">
        <v>617</v>
      </c>
      <c r="N147" s="159">
        <v>5</v>
      </c>
      <c r="O147" s="159">
        <v>6</v>
      </c>
      <c r="P147" s="45" t="s">
        <v>565</v>
      </c>
      <c r="Q147" s="45" t="s">
        <v>564</v>
      </c>
      <c r="R147" s="45">
        <v>41.98028</v>
      </c>
      <c r="S147" s="45">
        <v>-87.908997900000003</v>
      </c>
      <c r="T147" s="45">
        <v>1156.8820000000001</v>
      </c>
      <c r="U147" s="45" t="s">
        <v>617</v>
      </c>
      <c r="V147" s="45" t="s">
        <v>569</v>
      </c>
      <c r="W147" s="45" cm="1">
        <f t="array" ref="W147">getDistance(R147,S147,I147,J147)*SA!$B$12</f>
        <v>985.09467660045368</v>
      </c>
      <c r="X147" s="22"/>
      <c r="Y147" s="16">
        <f>Transportation_LCIA!C$61*($W147^Transportation_LCIA!C$60)+Transportation_LCIA!C$62</f>
        <v>0.2370864199991472</v>
      </c>
      <c r="Z147" s="16">
        <f>Transportation_LCIA!D$61*($W147^Transportation_LCIA!D$60)+Transportation_LCIA!D$62</f>
        <v>2.4393058219490786</v>
      </c>
      <c r="AA147" s="16">
        <f>Transportation_LCIA!E$61*($W147^Transportation_LCIA!E$60)+Transportation_LCIA!E$62</f>
        <v>1.1533446585003482E-3</v>
      </c>
      <c r="AB147" s="16">
        <f>Transportation_LCIA!F$61*($W147^Transportation_LCIA!F$60)+Transportation_LCIA!F$62</f>
        <v>0.2370864199991472</v>
      </c>
      <c r="AC147" s="16">
        <f>Transportation_LCIA!G$61*($W147^Transportation_LCIA!G$60)+Transportation_LCIA!G$62</f>
        <v>5.7007420199112084E-2</v>
      </c>
      <c r="AD147" s="16">
        <f>Transportation_LCIA!H$61*($W147^Transportation_LCIA!H$60)+Transportation_LCIA!H$62</f>
        <v>2.7877818988371404E-4</v>
      </c>
      <c r="AE147" s="16">
        <f>Transportation_LCIA!I$61*($W147^Transportation_LCIA!I$60)+Transportation_LCIA!I$62</f>
        <v>5.969993290824604E-6</v>
      </c>
      <c r="AF147" s="16">
        <f>Transportation_LCIA!J$61*($W147^Transportation_LCIA!J$60)+Transportation_LCIA!J$62</f>
        <v>8.8363701400098228E-3</v>
      </c>
      <c r="AG147" s="16">
        <f>Transportation_LCIA!K$61*($W147^Transportation_LCIA!K$60)+Transportation_LCIA!K$62</f>
        <v>1.2131655681962131E-2</v>
      </c>
      <c r="AH147" s="16">
        <f>Transportation_LCIA!L$61*($W147^Transportation_LCIA!L$60)+Transportation_LCIA!L$62</f>
        <v>2.4170361336866051E-4</v>
      </c>
      <c r="AI147" s="16">
        <f>Transportation_LCIA!M$61*($W147^Transportation_LCIA!M$60)+Transportation_LCIA!M$62</f>
        <v>2.4470196204605344E-4</v>
      </c>
      <c r="AJ147" s="16">
        <f>Transportation_LCIA!N$61*($W147^Transportation_LCIA!N$60)+Transportation_LCIA!N$62</f>
        <v>9.9651507889072025E-4</v>
      </c>
      <c r="AK147" s="16">
        <f>Transportation_LCIA!O$61*($W147^Transportation_LCIA!O$60)+Transportation_LCIA!O$62</f>
        <v>6.0241723006640731E-5</v>
      </c>
      <c r="AL147" s="16">
        <f>Transportation_LCIA!P$61*($W147^Transportation_LCIA!P$60)+Transportation_LCIA!P$62</f>
        <v>2.9132482944789785E-8</v>
      </c>
      <c r="AM147" s="16">
        <f>Transportation_LCIA!Q$61*($W147^Transportation_LCIA!Q$60)+Transportation_LCIA!Q$62</f>
        <v>9.5667002058853797E-5</v>
      </c>
      <c r="AN147" s="16">
        <f>Transportation_LCIA!R$61*($W147^Transportation_LCIA!R$60)+Transportation_LCIA!R$62</f>
        <v>2.8712201740427817E-4</v>
      </c>
      <c r="AO147" s="16">
        <f>Transportation_LCIA!S$61*($W147^Transportation_LCIA!S$60)+Transportation_LCIA!S$62</f>
        <v>4.332314477521164E-6</v>
      </c>
      <c r="AP147" s="16">
        <f>Transportation_LCIA!T$61*($W147^Transportation_LCIA!T$60)+Transportation_LCIA!T$62</f>
        <v>4.332314477521164E-6</v>
      </c>
      <c r="AQ147" s="16">
        <f>Transportation_LCIA!U$61*($W147^Transportation_LCIA!U$60)+Transportation_LCIA!U$62</f>
        <v>6.1636002099593767E-4</v>
      </c>
      <c r="AR147" s="16">
        <f>Transportation_LCIA!V$61*($W147^Transportation_LCIA!V$60)+Transportation_LCIA!V$62</f>
        <v>2.4879684586680414E-4</v>
      </c>
      <c r="AT147" s="16">
        <f>$W147*Y147+($L147)*Summary_LCIA!H$32</f>
        <v>236.65324523541923</v>
      </c>
      <c r="AU147" s="16">
        <f>$W147*Z147+($L147)*Summary_LCIA!Q$32</f>
        <v>2448.1711400036565</v>
      </c>
      <c r="AV147" s="16">
        <f>$W147*AA147+($L147)*Summary_LCIA!R$32</f>
        <v>1.1842022833742611</v>
      </c>
      <c r="AW147" s="16">
        <f>$W147*AB147+($L147)*Summary_LCIA!S$32</f>
        <v>236.61291273541923</v>
      </c>
      <c r="AX147" s="16">
        <f>$W147*AC147+($L147)*Summary_LCIA!T$32</f>
        <v>57.160543664870488</v>
      </c>
      <c r="AY147" s="16">
        <f>$W147*AD147+($L147)*Summary_LCIA!U$32</f>
        <v>0.43808816080675717</v>
      </c>
      <c r="AZ147" s="16">
        <f>$W147*AE147+($L147)*Summary_LCIA!V$32</f>
        <v>6.3168277351317408E-3</v>
      </c>
      <c r="BA147" s="16">
        <f>$W147*AF147+($L147)*Summary_LCIA!W$32</f>
        <v>9.407021560394881</v>
      </c>
      <c r="BB147" s="16">
        <f>$W147*AG147+($L147)*Summary_LCIA!X$32</f>
        <v>12.158696930650542</v>
      </c>
      <c r="BC147" s="16">
        <f>$W147*AH147+($L147)*Summary_LCIA!Y$32</f>
        <v>0.38028669284456174</v>
      </c>
      <c r="BD147" s="16">
        <f>$W147*AI147+($L147)*Summary_LCIA!Z$32</f>
        <v>0.24142880729025351</v>
      </c>
      <c r="BE147" s="16">
        <f>$W147*AJ147+($L147)*Summary_LCIA!AA$32</f>
        <v>1.1947851993673295</v>
      </c>
      <c r="BF147" s="16">
        <f>$W147*AK147+($L147)*Summary_LCIA!AB$32</f>
        <v>5.9144665768080862E-2</v>
      </c>
      <c r="BG147" s="16">
        <f>$W147*AL147+($L147)*Summary_LCIA!AC$32</f>
        <v>2.9144320365065924E-5</v>
      </c>
      <c r="BH147" s="16">
        <f>$W147*AM147+($L147)*Summary_LCIA!AD$32</f>
        <v>9.7991794454501527E-2</v>
      </c>
      <c r="BI147" s="16">
        <f>$W147*AN147+($L147)*Summary_LCIA!AE$32</f>
        <v>0.29092830712973722</v>
      </c>
      <c r="BJ147" s="16">
        <f>$W147*AO147+($L147)*Summary_LCIA!AF$32</f>
        <v>1.1982197429165176E-2</v>
      </c>
      <c r="BK147" s="16">
        <f>$W147*AP147+($L147)*Summary_LCIA!AG$32</f>
        <v>4.7346205541651748E-3</v>
      </c>
      <c r="BL147" s="16">
        <f>$W147*AQ147+($L147)*Summary_LCIA!AH$32</f>
        <v>0.68659332555244212</v>
      </c>
      <c r="BM147" s="16">
        <f>$W147*AR147+($L147)*Summary_LCIA!AI$32</f>
        <v>0.25358884216837235</v>
      </c>
      <c r="BN147" s="16"/>
    </row>
    <row r="148" spans="1:66" x14ac:dyDescent="0.25">
      <c r="A148" s="159">
        <v>112</v>
      </c>
      <c r="B148" s="159">
        <v>6</v>
      </c>
      <c r="C148" s="45">
        <v>38.899540000000002</v>
      </c>
      <c r="D148" s="45">
        <v>-77.003996000000001</v>
      </c>
      <c r="E148" s="45" t="s">
        <v>265</v>
      </c>
      <c r="F148" s="159">
        <v>86</v>
      </c>
      <c r="G148" s="45" t="s">
        <v>630</v>
      </c>
      <c r="H148" s="45" t="s">
        <v>644</v>
      </c>
      <c r="I148" s="45">
        <v>38.851241999999999</v>
      </c>
      <c r="J148" s="45">
        <v>-77.040232000000003</v>
      </c>
      <c r="K148" s="45">
        <v>8.4899752769999992</v>
      </c>
      <c r="L148" s="45">
        <v>10.651</v>
      </c>
      <c r="M148" s="45" t="s">
        <v>617</v>
      </c>
      <c r="N148" s="159">
        <v>5</v>
      </c>
      <c r="O148" s="159">
        <v>6</v>
      </c>
      <c r="P148" s="45" t="s">
        <v>565</v>
      </c>
      <c r="Q148" s="45" t="s">
        <v>564</v>
      </c>
      <c r="R148" s="45">
        <v>41.98028</v>
      </c>
      <c r="S148" s="45">
        <v>-87.908997900000003</v>
      </c>
      <c r="T148" s="45">
        <v>1158.319</v>
      </c>
      <c r="U148" s="45" t="s">
        <v>617</v>
      </c>
      <c r="V148" s="45" t="s">
        <v>569</v>
      </c>
      <c r="W148" s="45" cm="1">
        <f t="array" ref="W148">getDistance(R148,S148,I148,J148)*SA!$B$12</f>
        <v>985.09467660045368</v>
      </c>
      <c r="X148" s="22"/>
      <c r="Y148" s="16">
        <f>Transportation_LCIA!C$61*($W148^Transportation_LCIA!C$60)+Transportation_LCIA!C$62</f>
        <v>0.2370864199991472</v>
      </c>
      <c r="Z148" s="16">
        <f>Transportation_LCIA!D$61*($W148^Transportation_LCIA!D$60)+Transportation_LCIA!D$62</f>
        <v>2.4393058219490786</v>
      </c>
      <c r="AA148" s="16">
        <f>Transportation_LCIA!E$61*($W148^Transportation_LCIA!E$60)+Transportation_LCIA!E$62</f>
        <v>1.1533446585003482E-3</v>
      </c>
      <c r="AB148" s="16">
        <f>Transportation_LCIA!F$61*($W148^Transportation_LCIA!F$60)+Transportation_LCIA!F$62</f>
        <v>0.2370864199991472</v>
      </c>
      <c r="AC148" s="16">
        <f>Transportation_LCIA!G$61*($W148^Transportation_LCIA!G$60)+Transportation_LCIA!G$62</f>
        <v>5.7007420199112084E-2</v>
      </c>
      <c r="AD148" s="16">
        <f>Transportation_LCIA!H$61*($W148^Transportation_LCIA!H$60)+Transportation_LCIA!H$62</f>
        <v>2.7877818988371404E-4</v>
      </c>
      <c r="AE148" s="16">
        <f>Transportation_LCIA!I$61*($W148^Transportation_LCIA!I$60)+Transportation_LCIA!I$62</f>
        <v>5.969993290824604E-6</v>
      </c>
      <c r="AF148" s="16">
        <f>Transportation_LCIA!J$61*($W148^Transportation_LCIA!J$60)+Transportation_LCIA!J$62</f>
        <v>8.8363701400098228E-3</v>
      </c>
      <c r="AG148" s="16">
        <f>Transportation_LCIA!K$61*($W148^Transportation_LCIA!K$60)+Transportation_LCIA!K$62</f>
        <v>1.2131655681962131E-2</v>
      </c>
      <c r="AH148" s="16">
        <f>Transportation_LCIA!L$61*($W148^Transportation_LCIA!L$60)+Transportation_LCIA!L$62</f>
        <v>2.4170361336866051E-4</v>
      </c>
      <c r="AI148" s="16">
        <f>Transportation_LCIA!M$61*($W148^Transportation_LCIA!M$60)+Transportation_LCIA!M$62</f>
        <v>2.4470196204605344E-4</v>
      </c>
      <c r="AJ148" s="16">
        <f>Transportation_LCIA!N$61*($W148^Transportation_LCIA!N$60)+Transportation_LCIA!N$62</f>
        <v>9.9651507889072025E-4</v>
      </c>
      <c r="AK148" s="16">
        <f>Transportation_LCIA!O$61*($W148^Transportation_LCIA!O$60)+Transportation_LCIA!O$62</f>
        <v>6.0241723006640731E-5</v>
      </c>
      <c r="AL148" s="16">
        <f>Transportation_LCIA!P$61*($W148^Transportation_LCIA!P$60)+Transportation_LCIA!P$62</f>
        <v>2.9132482944789785E-8</v>
      </c>
      <c r="AM148" s="16">
        <f>Transportation_LCIA!Q$61*($W148^Transportation_LCIA!Q$60)+Transportation_LCIA!Q$62</f>
        <v>9.5667002058853797E-5</v>
      </c>
      <c r="AN148" s="16">
        <f>Transportation_LCIA!R$61*($W148^Transportation_LCIA!R$60)+Transportation_LCIA!R$62</f>
        <v>2.8712201740427817E-4</v>
      </c>
      <c r="AO148" s="16">
        <f>Transportation_LCIA!S$61*($W148^Transportation_LCIA!S$60)+Transportation_LCIA!S$62</f>
        <v>4.332314477521164E-6</v>
      </c>
      <c r="AP148" s="16">
        <f>Transportation_LCIA!T$61*($W148^Transportation_LCIA!T$60)+Transportation_LCIA!T$62</f>
        <v>4.332314477521164E-6</v>
      </c>
      <c r="AQ148" s="16">
        <f>Transportation_LCIA!U$61*($W148^Transportation_LCIA!U$60)+Transportation_LCIA!U$62</f>
        <v>6.1636002099593767E-4</v>
      </c>
      <c r="AR148" s="16">
        <f>Transportation_LCIA!V$61*($W148^Transportation_LCIA!V$60)+Transportation_LCIA!V$62</f>
        <v>2.4879684586680414E-4</v>
      </c>
      <c r="AT148" s="16">
        <f>$W148*Y148+($L148)*Summary_LCIA!H$32</f>
        <v>237.17178003541923</v>
      </c>
      <c r="AU148" s="16">
        <f>$W148*Z148+($L148)*Summary_LCIA!Q$32</f>
        <v>2455.7340729644147</v>
      </c>
      <c r="AV148" s="16">
        <f>$W148*AA148+($L148)*Summary_LCIA!R$32</f>
        <v>1.1922375889742611</v>
      </c>
      <c r="AW148" s="16">
        <f>$W148*AB148+($L148)*Summary_LCIA!S$32</f>
        <v>237.12470261541924</v>
      </c>
      <c r="AX148" s="16">
        <f>$W148*AC148+($L148)*Summary_LCIA!T$32</f>
        <v>57.328251064870493</v>
      </c>
      <c r="AY148" s="16">
        <f>$W148*AD148+($L148)*Summary_LCIA!U$32</f>
        <v>0.46542492480675712</v>
      </c>
      <c r="AZ148" s="16">
        <f>$W148*AE148+($L148)*Summary_LCIA!V$32</f>
        <v>6.3897110211317415E-3</v>
      </c>
      <c r="BA148" s="16">
        <f>$W148*AF148+($L148)*Summary_LCIA!W$32</f>
        <v>9.5244793063948805</v>
      </c>
      <c r="BB148" s="16">
        <f>$W148*AG148+($L148)*Summary_LCIA!X$32</f>
        <v>12.193459210650541</v>
      </c>
      <c r="BC148" s="16">
        <f>$W148*AH148+($L148)*Summary_LCIA!Y$32</f>
        <v>0.40406482484456174</v>
      </c>
      <c r="BD148" s="16">
        <f>$W148*AI148+($L148)*Summary_LCIA!Z$32</f>
        <v>0.24149138702425352</v>
      </c>
      <c r="BE148" s="16">
        <f>$W148*AJ148+($L148)*Summary_LCIA!AA$32</f>
        <v>1.2304264553673296</v>
      </c>
      <c r="BF148" s="16">
        <f>$W148*AK148+($L148)*Summary_LCIA!AB$32</f>
        <v>5.9111363870080862E-2</v>
      </c>
      <c r="BG148" s="16">
        <f>$W148*AL148+($L148)*Summary_LCIA!AC$32</f>
        <v>2.9218917349065922E-5</v>
      </c>
      <c r="BH148" s="16">
        <f>$W148*AM148+($L148)*Summary_LCIA!AD$32</f>
        <v>9.8619041494501528E-2</v>
      </c>
      <c r="BI148" s="16">
        <f>$W148*AN148+($L148)*Summary_LCIA!AE$32</f>
        <v>0.29228054150973726</v>
      </c>
      <c r="BJ148" s="16">
        <f>$W148*AO148+($L148)*Summary_LCIA!AF$32</f>
        <v>1.3272308349165176E-2</v>
      </c>
      <c r="BK148" s="16">
        <f>$W148*AP148+($L148)*Summary_LCIA!AG$32</f>
        <v>4.8126983441651745E-3</v>
      </c>
      <c r="BL148" s="16">
        <f>$W148*AQ148+($L148)*Summary_LCIA!AH$32</f>
        <v>0.6998750191524421</v>
      </c>
      <c r="BM148" s="16">
        <f>$W148*AR148+($L148)*Summary_LCIA!AI$32</f>
        <v>0.25501038746837235</v>
      </c>
      <c r="BN148" s="16"/>
    </row>
    <row r="149" spans="1:66" x14ac:dyDescent="0.25">
      <c r="A149" s="159">
        <v>113</v>
      </c>
      <c r="B149" s="159">
        <v>6</v>
      </c>
      <c r="C149" s="45">
        <v>38.899540000000002</v>
      </c>
      <c r="D149" s="45">
        <v>-77.003996000000001</v>
      </c>
      <c r="E149" s="45" t="s">
        <v>265</v>
      </c>
      <c r="F149" s="159">
        <v>86</v>
      </c>
      <c r="G149" s="45" t="s">
        <v>630</v>
      </c>
      <c r="H149" s="45" t="s">
        <v>644</v>
      </c>
      <c r="I149" s="45">
        <v>38.851241999999999</v>
      </c>
      <c r="J149" s="45">
        <v>-77.040232000000003</v>
      </c>
      <c r="K149" s="45">
        <v>8.4899752769999992</v>
      </c>
      <c r="L149" s="45">
        <v>10.651</v>
      </c>
      <c r="M149" s="45" t="s">
        <v>617</v>
      </c>
      <c r="N149" s="159">
        <v>5</v>
      </c>
      <c r="O149" s="159">
        <v>6</v>
      </c>
      <c r="P149" s="45" t="s">
        <v>565</v>
      </c>
      <c r="Q149" s="45" t="s">
        <v>564</v>
      </c>
      <c r="R149" s="45">
        <v>41.98028</v>
      </c>
      <c r="S149" s="45">
        <v>-87.908997900000003</v>
      </c>
      <c r="T149" s="45">
        <v>1158.319</v>
      </c>
      <c r="U149" s="45" t="s">
        <v>617</v>
      </c>
      <c r="V149" s="45" t="s">
        <v>569</v>
      </c>
      <c r="W149" s="45" cm="1">
        <f t="array" ref="W149">getDistance(R149,S149,I149,J149)*SA!$B$12</f>
        <v>985.09467660045368</v>
      </c>
      <c r="X149" s="22"/>
      <c r="Y149" s="16">
        <f>Transportation_LCIA!C$61*($W149^Transportation_LCIA!C$60)+Transportation_LCIA!C$62</f>
        <v>0.2370864199991472</v>
      </c>
      <c r="Z149" s="16">
        <f>Transportation_LCIA!D$61*($W149^Transportation_LCIA!D$60)+Transportation_LCIA!D$62</f>
        <v>2.4393058219490786</v>
      </c>
      <c r="AA149" s="16">
        <f>Transportation_LCIA!E$61*($W149^Transportation_LCIA!E$60)+Transportation_LCIA!E$62</f>
        <v>1.1533446585003482E-3</v>
      </c>
      <c r="AB149" s="16">
        <f>Transportation_LCIA!F$61*($W149^Transportation_LCIA!F$60)+Transportation_LCIA!F$62</f>
        <v>0.2370864199991472</v>
      </c>
      <c r="AC149" s="16">
        <f>Transportation_LCIA!G$61*($W149^Transportation_LCIA!G$60)+Transportation_LCIA!G$62</f>
        <v>5.7007420199112084E-2</v>
      </c>
      <c r="AD149" s="16">
        <f>Transportation_LCIA!H$61*($W149^Transportation_LCIA!H$60)+Transportation_LCIA!H$62</f>
        <v>2.7877818988371404E-4</v>
      </c>
      <c r="AE149" s="16">
        <f>Transportation_LCIA!I$61*($W149^Transportation_LCIA!I$60)+Transportation_LCIA!I$62</f>
        <v>5.969993290824604E-6</v>
      </c>
      <c r="AF149" s="16">
        <f>Transportation_LCIA!J$61*($W149^Transportation_LCIA!J$60)+Transportation_LCIA!J$62</f>
        <v>8.8363701400098228E-3</v>
      </c>
      <c r="AG149" s="16">
        <f>Transportation_LCIA!K$61*($W149^Transportation_LCIA!K$60)+Transportation_LCIA!K$62</f>
        <v>1.2131655681962131E-2</v>
      </c>
      <c r="AH149" s="16">
        <f>Transportation_LCIA!L$61*($W149^Transportation_LCIA!L$60)+Transportation_LCIA!L$62</f>
        <v>2.4170361336866051E-4</v>
      </c>
      <c r="AI149" s="16">
        <f>Transportation_LCIA!M$61*($W149^Transportation_LCIA!M$60)+Transportation_LCIA!M$62</f>
        <v>2.4470196204605344E-4</v>
      </c>
      <c r="AJ149" s="16">
        <f>Transportation_LCIA!N$61*($W149^Transportation_LCIA!N$60)+Transportation_LCIA!N$62</f>
        <v>9.9651507889072025E-4</v>
      </c>
      <c r="AK149" s="16">
        <f>Transportation_LCIA!O$61*($W149^Transportation_LCIA!O$60)+Transportation_LCIA!O$62</f>
        <v>6.0241723006640731E-5</v>
      </c>
      <c r="AL149" s="16">
        <f>Transportation_LCIA!P$61*($W149^Transportation_LCIA!P$60)+Transportation_LCIA!P$62</f>
        <v>2.9132482944789785E-8</v>
      </c>
      <c r="AM149" s="16">
        <f>Transportation_LCIA!Q$61*($W149^Transportation_LCIA!Q$60)+Transportation_LCIA!Q$62</f>
        <v>9.5667002058853797E-5</v>
      </c>
      <c r="AN149" s="16">
        <f>Transportation_LCIA!R$61*($W149^Transportation_LCIA!R$60)+Transportation_LCIA!R$62</f>
        <v>2.8712201740427817E-4</v>
      </c>
      <c r="AO149" s="16">
        <f>Transportation_LCIA!S$61*($W149^Transportation_LCIA!S$60)+Transportation_LCIA!S$62</f>
        <v>4.332314477521164E-6</v>
      </c>
      <c r="AP149" s="16">
        <f>Transportation_LCIA!T$61*($W149^Transportation_LCIA!T$60)+Transportation_LCIA!T$62</f>
        <v>4.332314477521164E-6</v>
      </c>
      <c r="AQ149" s="16">
        <f>Transportation_LCIA!U$61*($W149^Transportation_LCIA!U$60)+Transportation_LCIA!U$62</f>
        <v>6.1636002099593767E-4</v>
      </c>
      <c r="AR149" s="16">
        <f>Transportation_LCIA!V$61*($W149^Transportation_LCIA!V$60)+Transportation_LCIA!V$62</f>
        <v>2.4879684586680414E-4</v>
      </c>
      <c r="AT149" s="16">
        <f>$W149*Y149+($L149)*Summary_LCIA!H$32</f>
        <v>237.17178003541923</v>
      </c>
      <c r="AU149" s="16">
        <f>$W149*Z149+($L149)*Summary_LCIA!Q$32</f>
        <v>2455.7340729644147</v>
      </c>
      <c r="AV149" s="16">
        <f>$W149*AA149+($L149)*Summary_LCIA!R$32</f>
        <v>1.1922375889742611</v>
      </c>
      <c r="AW149" s="16">
        <f>$W149*AB149+($L149)*Summary_LCIA!S$32</f>
        <v>237.12470261541924</v>
      </c>
      <c r="AX149" s="16">
        <f>$W149*AC149+($L149)*Summary_LCIA!T$32</f>
        <v>57.328251064870493</v>
      </c>
      <c r="AY149" s="16">
        <f>$W149*AD149+($L149)*Summary_LCIA!U$32</f>
        <v>0.46542492480675712</v>
      </c>
      <c r="AZ149" s="16">
        <f>$W149*AE149+($L149)*Summary_LCIA!V$32</f>
        <v>6.3897110211317415E-3</v>
      </c>
      <c r="BA149" s="16">
        <f>$W149*AF149+($L149)*Summary_LCIA!W$32</f>
        <v>9.5244793063948805</v>
      </c>
      <c r="BB149" s="16">
        <f>$W149*AG149+($L149)*Summary_LCIA!X$32</f>
        <v>12.193459210650541</v>
      </c>
      <c r="BC149" s="16">
        <f>$W149*AH149+($L149)*Summary_LCIA!Y$32</f>
        <v>0.40406482484456174</v>
      </c>
      <c r="BD149" s="16">
        <f>$W149*AI149+($L149)*Summary_LCIA!Z$32</f>
        <v>0.24149138702425352</v>
      </c>
      <c r="BE149" s="16">
        <f>$W149*AJ149+($L149)*Summary_LCIA!AA$32</f>
        <v>1.2304264553673296</v>
      </c>
      <c r="BF149" s="16">
        <f>$W149*AK149+($L149)*Summary_LCIA!AB$32</f>
        <v>5.9111363870080862E-2</v>
      </c>
      <c r="BG149" s="16">
        <f>$W149*AL149+($L149)*Summary_LCIA!AC$32</f>
        <v>2.9218917349065922E-5</v>
      </c>
      <c r="BH149" s="16">
        <f>$W149*AM149+($L149)*Summary_LCIA!AD$32</f>
        <v>9.8619041494501528E-2</v>
      </c>
      <c r="BI149" s="16">
        <f>$W149*AN149+($L149)*Summary_LCIA!AE$32</f>
        <v>0.29228054150973726</v>
      </c>
      <c r="BJ149" s="16">
        <f>$W149*AO149+($L149)*Summary_LCIA!AF$32</f>
        <v>1.3272308349165176E-2</v>
      </c>
      <c r="BK149" s="16">
        <f>$W149*AP149+($L149)*Summary_LCIA!AG$32</f>
        <v>4.8126983441651745E-3</v>
      </c>
      <c r="BL149" s="16">
        <f>$W149*AQ149+($L149)*Summary_LCIA!AH$32</f>
        <v>0.6998750191524421</v>
      </c>
      <c r="BM149" s="16">
        <f>$W149*AR149+($L149)*Summary_LCIA!AI$32</f>
        <v>0.25501038746837235</v>
      </c>
      <c r="BN149" s="16"/>
    </row>
    <row r="150" spans="1:66" x14ac:dyDescent="0.25">
      <c r="A150" s="159">
        <v>144</v>
      </c>
      <c r="B150" s="159">
        <v>6</v>
      </c>
      <c r="C150" s="45">
        <v>39.332213000000003</v>
      </c>
      <c r="D150" s="45">
        <v>-76.600832999999994</v>
      </c>
      <c r="E150" s="45" t="s">
        <v>265</v>
      </c>
      <c r="F150" s="159">
        <v>82</v>
      </c>
      <c r="G150" s="45" t="s">
        <v>684</v>
      </c>
      <c r="H150" s="45" t="s">
        <v>685</v>
      </c>
      <c r="I150" s="45">
        <v>39.177404000000003</v>
      </c>
      <c r="J150" s="45">
        <v>-76.668391999999997</v>
      </c>
      <c r="K150" s="45">
        <v>25.47228264</v>
      </c>
      <c r="L150" s="45">
        <v>22.373000000000001</v>
      </c>
      <c r="M150" s="45" t="s">
        <v>617</v>
      </c>
      <c r="N150" s="159">
        <v>5</v>
      </c>
      <c r="O150" s="159">
        <v>6</v>
      </c>
      <c r="P150" s="45" t="s">
        <v>565</v>
      </c>
      <c r="Q150" s="45" t="s">
        <v>564</v>
      </c>
      <c r="R150" s="45">
        <v>41.98028</v>
      </c>
      <c r="S150" s="45">
        <v>-87.908997900000003</v>
      </c>
      <c r="T150" s="45">
        <v>1168.028</v>
      </c>
      <c r="U150" s="45" t="s">
        <v>617</v>
      </c>
      <c r="V150" s="45" t="s">
        <v>569</v>
      </c>
      <c r="W150" s="45" cm="1">
        <f t="array" ref="W150">getDistance(R150,S150,I150,J150)*SA!$B$12</f>
        <v>1000.6132088037757</v>
      </c>
      <c r="X150" s="22"/>
      <c r="Y150" s="16">
        <f>Transportation_LCIA!C$61*($W150^Transportation_LCIA!C$60)+Transportation_LCIA!C$62</f>
        <v>0.23545549201117222</v>
      </c>
      <c r="Z150" s="16">
        <f>Transportation_LCIA!D$61*($W150^Transportation_LCIA!D$60)+Transportation_LCIA!D$62</f>
        <v>2.4202706213242857</v>
      </c>
      <c r="AA150" s="16">
        <f>Transportation_LCIA!E$61*($W150^Transportation_LCIA!E$60)+Transportation_LCIA!E$62</f>
        <v>1.1408288746412865E-3</v>
      </c>
      <c r="AB150" s="16">
        <f>Transportation_LCIA!F$61*($W150^Transportation_LCIA!F$60)+Transportation_LCIA!F$62</f>
        <v>0.23545549201117222</v>
      </c>
      <c r="AC150" s="16">
        <f>Transportation_LCIA!G$61*($W150^Transportation_LCIA!G$60)+Transportation_LCIA!G$62</f>
        <v>5.6567029490067894E-2</v>
      </c>
      <c r="AD150" s="16">
        <f>Transportation_LCIA!H$61*($W150^Transportation_LCIA!H$60)+Transportation_LCIA!H$62</f>
        <v>2.7602605046665079E-4</v>
      </c>
      <c r="AE150" s="16">
        <f>Transportation_LCIA!I$61*($W150^Transportation_LCIA!I$60)+Transportation_LCIA!I$62</f>
        <v>5.9007051245170717E-6</v>
      </c>
      <c r="AF150" s="16">
        <f>Transportation_LCIA!J$61*($W150^Transportation_LCIA!J$60)+Transportation_LCIA!J$62</f>
        <v>8.7331748305765275E-3</v>
      </c>
      <c r="AG150" s="16">
        <f>Transportation_LCIA!K$61*($W150^Transportation_LCIA!K$60)+Transportation_LCIA!K$62</f>
        <v>1.202884789194781E-2</v>
      </c>
      <c r="AH150" s="16">
        <f>Transportation_LCIA!L$61*($W150^Transportation_LCIA!L$60)+Transportation_LCIA!L$62</f>
        <v>2.3917339407197619E-4</v>
      </c>
      <c r="AI150" s="16">
        <f>Transportation_LCIA!M$61*($W150^Transportation_LCIA!M$60)+Transportation_LCIA!M$62</f>
        <v>2.4318307597628473E-4</v>
      </c>
      <c r="AJ150" s="16">
        <f>Transportation_LCIA!N$61*($W150^Transportation_LCIA!N$60)+Transportation_LCIA!N$62</f>
        <v>9.8726200560057169E-4</v>
      </c>
      <c r="AK150" s="16">
        <f>Transportation_LCIA!O$61*($W150^Transportation_LCIA!O$60)+Transportation_LCIA!O$62</f>
        <v>5.9773749710491345E-5</v>
      </c>
      <c r="AL150" s="16">
        <f>Transportation_LCIA!P$61*($W150^Transportation_LCIA!P$60)+Transportation_LCIA!P$62</f>
        <v>2.8907488339561379E-8</v>
      </c>
      <c r="AM150" s="16">
        <f>Transportation_LCIA!Q$61*($W150^Transportation_LCIA!Q$60)+Transportation_LCIA!Q$62</f>
        <v>9.467766898012229E-5</v>
      </c>
      <c r="AN150" s="16">
        <f>Transportation_LCIA!R$61*($W150^Transportation_LCIA!R$60)+Transportation_LCIA!R$62</f>
        <v>2.8379943666853271E-4</v>
      </c>
      <c r="AO150" s="16">
        <f>Transportation_LCIA!S$61*($W150^Transportation_LCIA!S$60)+Transportation_LCIA!S$62</f>
        <v>4.2851602210115667E-6</v>
      </c>
      <c r="AP150" s="16">
        <f>Transportation_LCIA!T$61*($W150^Transportation_LCIA!T$60)+Transportation_LCIA!T$62</f>
        <v>4.2851602210115667E-6</v>
      </c>
      <c r="AQ150" s="16">
        <f>Transportation_LCIA!U$61*($W150^Transportation_LCIA!U$60)+Transportation_LCIA!U$62</f>
        <v>6.0907340462762602E-4</v>
      </c>
      <c r="AR150" s="16">
        <f>Transportation_LCIA!V$61*($W150^Transportation_LCIA!V$60)+Transportation_LCIA!V$62</f>
        <v>2.4622305360046668E-4</v>
      </c>
      <c r="AT150" s="16">
        <f>$W150*Y150+($L150)*Summary_LCIA!H$32</f>
        <v>243.2022207917708</v>
      </c>
      <c r="AU150" s="16">
        <f>$W150*Z150+($L150)*Summary_LCIA!Q$32</f>
        <v>2532.6364689143102</v>
      </c>
      <c r="AV150" s="16">
        <f>$W150*AA150+($L150)*Summary_LCIA!R$32</f>
        <v>1.259335709750818</v>
      </c>
      <c r="AW150" s="16">
        <f>$W150*AB150+($L150)*Summary_LCIA!S$32</f>
        <v>243.1033321317708</v>
      </c>
      <c r="AX150" s="16">
        <f>$W150*AC150+($L150)*Summary_LCIA!T$32</f>
        <v>59.060509590554645</v>
      </c>
      <c r="AY150" s="16">
        <f>$W150*AD150+($L150)*Summary_LCIA!U$32</f>
        <v>0.67698523407086841</v>
      </c>
      <c r="AZ150" s="16">
        <f>$W150*AE150+($L150)*Summary_LCIA!V$32</f>
        <v>6.9728803418479101E-3</v>
      </c>
      <c r="BA150" s="16">
        <f>$W150*AF150+($L150)*Summary_LCIA!W$32</f>
        <v>10.460602273267549</v>
      </c>
      <c r="BB150" s="16">
        <f>$W150*AG150+($L150)*Summary_LCIA!X$32</f>
        <v>12.545881027374429</v>
      </c>
      <c r="BC150" s="16">
        <f>$W150*AH150+($L150)*Summary_LCIA!Y$32</f>
        <v>0.58793614330285004</v>
      </c>
      <c r="BD150" s="16">
        <f>$W150*AI150+($L150)*Summary_LCIA!Z$32</f>
        <v>0.24424969233640265</v>
      </c>
      <c r="BE150" s="16">
        <f>$W150*AJ150+($L150)*Summary_LCIA!AA$32</f>
        <v>1.5104111913540392</v>
      </c>
      <c r="BF150" s="16">
        <f>$W150*AK150+($L150)*Summary_LCIA!AB$32</f>
        <v>5.9322157521048503E-2</v>
      </c>
      <c r="BG150" s="16">
        <f>$W150*AL150+($L150)*Summary_LCIA!AC$32</f>
        <v>3.001889639790624E-5</v>
      </c>
      <c r="BH150" s="16">
        <f>$W150*AM150+($L150)*Summary_LCIA!AD$32</f>
        <v>0.10393192408026186</v>
      </c>
      <c r="BI150" s="16">
        <f>$W150*AN150+($L150)*Summary_LCIA!AE$32</f>
        <v>0.3037988514716044</v>
      </c>
      <c r="BJ150" s="16">
        <f>$W150*AO150+($L150)*Summary_LCIA!AF$32</f>
        <v>2.3202369578984684E-2</v>
      </c>
      <c r="BK150" s="16">
        <f>$W150*AP150+($L150)*Summary_LCIA!AG$32</f>
        <v>5.4325024639846802E-3</v>
      </c>
      <c r="BL150" s="16">
        <f>$W150*AQ150+($L150)*Summary_LCIA!AH$32</f>
        <v>0.80417253660148935</v>
      </c>
      <c r="BM150" s="16">
        <f>$W150*AR150+($L150)*Summary_LCIA!AI$32</f>
        <v>0.26721560789462701</v>
      </c>
      <c r="BN150" s="16"/>
    </row>
    <row r="151" spans="1:66" x14ac:dyDescent="0.25">
      <c r="A151" s="159">
        <v>145</v>
      </c>
      <c r="B151" s="159">
        <v>6</v>
      </c>
      <c r="C151" s="45">
        <v>39.332213000000003</v>
      </c>
      <c r="D151" s="45">
        <v>-76.600832999999994</v>
      </c>
      <c r="E151" s="45" t="s">
        <v>265</v>
      </c>
      <c r="F151" s="159">
        <v>82</v>
      </c>
      <c r="G151" s="45" t="s">
        <v>684</v>
      </c>
      <c r="H151" s="45" t="s">
        <v>685</v>
      </c>
      <c r="I151" s="45">
        <v>39.177404000000003</v>
      </c>
      <c r="J151" s="45">
        <v>-76.668391999999997</v>
      </c>
      <c r="K151" s="45">
        <v>25.47228264</v>
      </c>
      <c r="L151" s="45">
        <v>22.373000000000001</v>
      </c>
      <c r="M151" s="45" t="s">
        <v>617</v>
      </c>
      <c r="N151" s="159">
        <v>5</v>
      </c>
      <c r="O151" s="159">
        <v>6</v>
      </c>
      <c r="P151" s="45" t="s">
        <v>565</v>
      </c>
      <c r="Q151" s="45" t="s">
        <v>564</v>
      </c>
      <c r="R151" s="45">
        <v>41.98028</v>
      </c>
      <c r="S151" s="45">
        <v>-87.908997900000003</v>
      </c>
      <c r="T151" s="45">
        <v>1168.028</v>
      </c>
      <c r="U151" s="45" t="s">
        <v>617</v>
      </c>
      <c r="V151" s="45" t="s">
        <v>569</v>
      </c>
      <c r="W151" s="45" cm="1">
        <f t="array" ref="W151">getDistance(R151,S151,I151,J151)*SA!$B$12</f>
        <v>1000.6132088037757</v>
      </c>
      <c r="X151" s="22"/>
      <c r="Y151" s="16">
        <f>Transportation_LCIA!C$61*($W151^Transportation_LCIA!C$60)+Transportation_LCIA!C$62</f>
        <v>0.23545549201117222</v>
      </c>
      <c r="Z151" s="16">
        <f>Transportation_LCIA!D$61*($W151^Transportation_LCIA!D$60)+Transportation_LCIA!D$62</f>
        <v>2.4202706213242857</v>
      </c>
      <c r="AA151" s="16">
        <f>Transportation_LCIA!E$61*($W151^Transportation_LCIA!E$60)+Transportation_LCIA!E$62</f>
        <v>1.1408288746412865E-3</v>
      </c>
      <c r="AB151" s="16">
        <f>Transportation_LCIA!F$61*($W151^Transportation_LCIA!F$60)+Transportation_LCIA!F$62</f>
        <v>0.23545549201117222</v>
      </c>
      <c r="AC151" s="16">
        <f>Transportation_LCIA!G$61*($W151^Transportation_LCIA!G$60)+Transportation_LCIA!G$62</f>
        <v>5.6567029490067894E-2</v>
      </c>
      <c r="AD151" s="16">
        <f>Transportation_LCIA!H$61*($W151^Transportation_LCIA!H$60)+Transportation_LCIA!H$62</f>
        <v>2.7602605046665079E-4</v>
      </c>
      <c r="AE151" s="16">
        <f>Transportation_LCIA!I$61*($W151^Transportation_LCIA!I$60)+Transportation_LCIA!I$62</f>
        <v>5.9007051245170717E-6</v>
      </c>
      <c r="AF151" s="16">
        <f>Transportation_LCIA!J$61*($W151^Transportation_LCIA!J$60)+Transportation_LCIA!J$62</f>
        <v>8.7331748305765275E-3</v>
      </c>
      <c r="AG151" s="16">
        <f>Transportation_LCIA!K$61*($W151^Transportation_LCIA!K$60)+Transportation_LCIA!K$62</f>
        <v>1.202884789194781E-2</v>
      </c>
      <c r="AH151" s="16">
        <f>Transportation_LCIA!L$61*($W151^Transportation_LCIA!L$60)+Transportation_LCIA!L$62</f>
        <v>2.3917339407197619E-4</v>
      </c>
      <c r="AI151" s="16">
        <f>Transportation_LCIA!M$61*($W151^Transportation_LCIA!M$60)+Transportation_LCIA!M$62</f>
        <v>2.4318307597628473E-4</v>
      </c>
      <c r="AJ151" s="16">
        <f>Transportation_LCIA!N$61*($W151^Transportation_LCIA!N$60)+Transportation_LCIA!N$62</f>
        <v>9.8726200560057169E-4</v>
      </c>
      <c r="AK151" s="16">
        <f>Transportation_LCIA!O$61*($W151^Transportation_LCIA!O$60)+Transportation_LCIA!O$62</f>
        <v>5.9773749710491345E-5</v>
      </c>
      <c r="AL151" s="16">
        <f>Transportation_LCIA!P$61*($W151^Transportation_LCIA!P$60)+Transportation_LCIA!P$62</f>
        <v>2.8907488339561379E-8</v>
      </c>
      <c r="AM151" s="16">
        <f>Transportation_LCIA!Q$61*($W151^Transportation_LCIA!Q$60)+Transportation_LCIA!Q$62</f>
        <v>9.467766898012229E-5</v>
      </c>
      <c r="AN151" s="16">
        <f>Transportation_LCIA!R$61*($W151^Transportation_LCIA!R$60)+Transportation_LCIA!R$62</f>
        <v>2.8379943666853271E-4</v>
      </c>
      <c r="AO151" s="16">
        <f>Transportation_LCIA!S$61*($W151^Transportation_LCIA!S$60)+Transportation_LCIA!S$62</f>
        <v>4.2851602210115667E-6</v>
      </c>
      <c r="AP151" s="16">
        <f>Transportation_LCIA!T$61*($W151^Transportation_LCIA!T$60)+Transportation_LCIA!T$62</f>
        <v>4.2851602210115667E-6</v>
      </c>
      <c r="AQ151" s="16">
        <f>Transportation_LCIA!U$61*($W151^Transportation_LCIA!U$60)+Transportation_LCIA!U$62</f>
        <v>6.0907340462762602E-4</v>
      </c>
      <c r="AR151" s="16">
        <f>Transportation_LCIA!V$61*($W151^Transportation_LCIA!V$60)+Transportation_LCIA!V$62</f>
        <v>2.4622305360046668E-4</v>
      </c>
      <c r="AT151" s="16">
        <f>$W151*Y151+($L151)*Summary_LCIA!H$32</f>
        <v>243.2022207917708</v>
      </c>
      <c r="AU151" s="16">
        <f>$W151*Z151+($L151)*Summary_LCIA!Q$32</f>
        <v>2532.6364689143102</v>
      </c>
      <c r="AV151" s="16">
        <f>$W151*AA151+($L151)*Summary_LCIA!R$32</f>
        <v>1.259335709750818</v>
      </c>
      <c r="AW151" s="16">
        <f>$W151*AB151+($L151)*Summary_LCIA!S$32</f>
        <v>243.1033321317708</v>
      </c>
      <c r="AX151" s="16">
        <f>$W151*AC151+($L151)*Summary_LCIA!T$32</f>
        <v>59.060509590554645</v>
      </c>
      <c r="AY151" s="16">
        <f>$W151*AD151+($L151)*Summary_LCIA!U$32</f>
        <v>0.67698523407086841</v>
      </c>
      <c r="AZ151" s="16">
        <f>$W151*AE151+($L151)*Summary_LCIA!V$32</f>
        <v>6.9728803418479101E-3</v>
      </c>
      <c r="BA151" s="16">
        <f>$W151*AF151+($L151)*Summary_LCIA!W$32</f>
        <v>10.460602273267549</v>
      </c>
      <c r="BB151" s="16">
        <f>$W151*AG151+($L151)*Summary_LCIA!X$32</f>
        <v>12.545881027374429</v>
      </c>
      <c r="BC151" s="16">
        <f>$W151*AH151+($L151)*Summary_LCIA!Y$32</f>
        <v>0.58793614330285004</v>
      </c>
      <c r="BD151" s="16">
        <f>$W151*AI151+($L151)*Summary_LCIA!Z$32</f>
        <v>0.24424969233640265</v>
      </c>
      <c r="BE151" s="16">
        <f>$W151*AJ151+($L151)*Summary_LCIA!AA$32</f>
        <v>1.5104111913540392</v>
      </c>
      <c r="BF151" s="16">
        <f>$W151*AK151+($L151)*Summary_LCIA!AB$32</f>
        <v>5.9322157521048503E-2</v>
      </c>
      <c r="BG151" s="16">
        <f>$W151*AL151+($L151)*Summary_LCIA!AC$32</f>
        <v>3.001889639790624E-5</v>
      </c>
      <c r="BH151" s="16">
        <f>$W151*AM151+($L151)*Summary_LCIA!AD$32</f>
        <v>0.10393192408026186</v>
      </c>
      <c r="BI151" s="16">
        <f>$W151*AN151+($L151)*Summary_LCIA!AE$32</f>
        <v>0.3037988514716044</v>
      </c>
      <c r="BJ151" s="16">
        <f>$W151*AO151+($L151)*Summary_LCIA!AF$32</f>
        <v>2.3202369578984684E-2</v>
      </c>
      <c r="BK151" s="16">
        <f>$W151*AP151+($L151)*Summary_LCIA!AG$32</f>
        <v>5.4325024639846802E-3</v>
      </c>
      <c r="BL151" s="16">
        <f>$W151*AQ151+($L151)*Summary_LCIA!AH$32</f>
        <v>0.80417253660148935</v>
      </c>
      <c r="BM151" s="16">
        <f>$W151*AR151+($L151)*Summary_LCIA!AI$32</f>
        <v>0.26721560789462701</v>
      </c>
      <c r="BN151" s="16"/>
    </row>
    <row r="152" spans="1:66" x14ac:dyDescent="0.25">
      <c r="A152" s="159">
        <v>146</v>
      </c>
      <c r="B152" s="159">
        <v>6</v>
      </c>
      <c r="C152" s="45">
        <v>39.332213000000003</v>
      </c>
      <c r="D152" s="45">
        <v>-76.600832999999994</v>
      </c>
      <c r="E152" s="45" t="s">
        <v>265</v>
      </c>
      <c r="F152" s="159">
        <v>82</v>
      </c>
      <c r="G152" s="45" t="s">
        <v>684</v>
      </c>
      <c r="H152" s="45" t="s">
        <v>685</v>
      </c>
      <c r="I152" s="45">
        <v>39.177404000000003</v>
      </c>
      <c r="J152" s="45">
        <v>-76.668391999999997</v>
      </c>
      <c r="K152" s="45">
        <v>25.47228264</v>
      </c>
      <c r="L152" s="45">
        <v>22.373000000000001</v>
      </c>
      <c r="M152" s="45" t="s">
        <v>617</v>
      </c>
      <c r="N152" s="159">
        <v>5</v>
      </c>
      <c r="O152" s="159">
        <v>6</v>
      </c>
      <c r="P152" s="45" t="s">
        <v>565</v>
      </c>
      <c r="Q152" s="45" t="s">
        <v>564</v>
      </c>
      <c r="R152" s="45">
        <v>41.98028</v>
      </c>
      <c r="S152" s="45">
        <v>-87.908997900000003</v>
      </c>
      <c r="T152" s="45">
        <v>1168.028</v>
      </c>
      <c r="U152" s="45" t="s">
        <v>617</v>
      </c>
      <c r="V152" s="45" t="s">
        <v>569</v>
      </c>
      <c r="W152" s="45" cm="1">
        <f t="array" ref="W152">getDistance(R152,S152,I152,J152)*SA!$B$12</f>
        <v>1000.6132088037757</v>
      </c>
      <c r="X152" s="22"/>
      <c r="Y152" s="16">
        <f>Transportation_LCIA!C$61*($W152^Transportation_LCIA!C$60)+Transportation_LCIA!C$62</f>
        <v>0.23545549201117222</v>
      </c>
      <c r="Z152" s="16">
        <f>Transportation_LCIA!D$61*($W152^Transportation_LCIA!D$60)+Transportation_LCIA!D$62</f>
        <v>2.4202706213242857</v>
      </c>
      <c r="AA152" s="16">
        <f>Transportation_LCIA!E$61*($W152^Transportation_LCIA!E$60)+Transportation_LCIA!E$62</f>
        <v>1.1408288746412865E-3</v>
      </c>
      <c r="AB152" s="16">
        <f>Transportation_LCIA!F$61*($W152^Transportation_LCIA!F$60)+Transportation_LCIA!F$62</f>
        <v>0.23545549201117222</v>
      </c>
      <c r="AC152" s="16">
        <f>Transportation_LCIA!G$61*($W152^Transportation_LCIA!G$60)+Transportation_LCIA!G$62</f>
        <v>5.6567029490067894E-2</v>
      </c>
      <c r="AD152" s="16">
        <f>Transportation_LCIA!H$61*($W152^Transportation_LCIA!H$60)+Transportation_LCIA!H$62</f>
        <v>2.7602605046665079E-4</v>
      </c>
      <c r="AE152" s="16">
        <f>Transportation_LCIA!I$61*($W152^Transportation_LCIA!I$60)+Transportation_LCIA!I$62</f>
        <v>5.9007051245170717E-6</v>
      </c>
      <c r="AF152" s="16">
        <f>Transportation_LCIA!J$61*($W152^Transportation_LCIA!J$60)+Transportation_LCIA!J$62</f>
        <v>8.7331748305765275E-3</v>
      </c>
      <c r="AG152" s="16">
        <f>Transportation_LCIA!K$61*($W152^Transportation_LCIA!K$60)+Transportation_LCIA!K$62</f>
        <v>1.202884789194781E-2</v>
      </c>
      <c r="AH152" s="16">
        <f>Transportation_LCIA!L$61*($W152^Transportation_LCIA!L$60)+Transportation_LCIA!L$62</f>
        <v>2.3917339407197619E-4</v>
      </c>
      <c r="AI152" s="16">
        <f>Transportation_LCIA!M$61*($W152^Transportation_LCIA!M$60)+Transportation_LCIA!M$62</f>
        <v>2.4318307597628473E-4</v>
      </c>
      <c r="AJ152" s="16">
        <f>Transportation_LCIA!N$61*($W152^Transportation_LCIA!N$60)+Transportation_LCIA!N$62</f>
        <v>9.8726200560057169E-4</v>
      </c>
      <c r="AK152" s="16">
        <f>Transportation_LCIA!O$61*($W152^Transportation_LCIA!O$60)+Transportation_LCIA!O$62</f>
        <v>5.9773749710491345E-5</v>
      </c>
      <c r="AL152" s="16">
        <f>Transportation_LCIA!P$61*($W152^Transportation_LCIA!P$60)+Transportation_LCIA!P$62</f>
        <v>2.8907488339561379E-8</v>
      </c>
      <c r="AM152" s="16">
        <f>Transportation_LCIA!Q$61*($W152^Transportation_LCIA!Q$60)+Transportation_LCIA!Q$62</f>
        <v>9.467766898012229E-5</v>
      </c>
      <c r="AN152" s="16">
        <f>Transportation_LCIA!R$61*($W152^Transportation_LCIA!R$60)+Transportation_LCIA!R$62</f>
        <v>2.8379943666853271E-4</v>
      </c>
      <c r="AO152" s="16">
        <f>Transportation_LCIA!S$61*($W152^Transportation_LCIA!S$60)+Transportation_LCIA!S$62</f>
        <v>4.2851602210115667E-6</v>
      </c>
      <c r="AP152" s="16">
        <f>Transportation_LCIA!T$61*($W152^Transportation_LCIA!T$60)+Transportation_LCIA!T$62</f>
        <v>4.2851602210115667E-6</v>
      </c>
      <c r="AQ152" s="16">
        <f>Transportation_LCIA!U$61*($W152^Transportation_LCIA!U$60)+Transportation_LCIA!U$62</f>
        <v>6.0907340462762602E-4</v>
      </c>
      <c r="AR152" s="16">
        <f>Transportation_LCIA!V$61*($W152^Transportation_LCIA!V$60)+Transportation_LCIA!V$62</f>
        <v>2.4622305360046668E-4</v>
      </c>
      <c r="AT152" s="16">
        <f>$W152*Y152+($L152)*Summary_LCIA!H$32</f>
        <v>243.2022207917708</v>
      </c>
      <c r="AU152" s="16">
        <f>$W152*Z152+($L152)*Summary_LCIA!Q$32</f>
        <v>2532.6364689143102</v>
      </c>
      <c r="AV152" s="16">
        <f>$W152*AA152+($L152)*Summary_LCIA!R$32</f>
        <v>1.259335709750818</v>
      </c>
      <c r="AW152" s="16">
        <f>$W152*AB152+($L152)*Summary_LCIA!S$32</f>
        <v>243.1033321317708</v>
      </c>
      <c r="AX152" s="16">
        <f>$W152*AC152+($L152)*Summary_LCIA!T$32</f>
        <v>59.060509590554645</v>
      </c>
      <c r="AY152" s="16">
        <f>$W152*AD152+($L152)*Summary_LCIA!U$32</f>
        <v>0.67698523407086841</v>
      </c>
      <c r="AZ152" s="16">
        <f>$W152*AE152+($L152)*Summary_LCIA!V$32</f>
        <v>6.9728803418479101E-3</v>
      </c>
      <c r="BA152" s="16">
        <f>$W152*AF152+($L152)*Summary_LCIA!W$32</f>
        <v>10.460602273267549</v>
      </c>
      <c r="BB152" s="16">
        <f>$W152*AG152+($L152)*Summary_LCIA!X$32</f>
        <v>12.545881027374429</v>
      </c>
      <c r="BC152" s="16">
        <f>$W152*AH152+($L152)*Summary_LCIA!Y$32</f>
        <v>0.58793614330285004</v>
      </c>
      <c r="BD152" s="16">
        <f>$W152*AI152+($L152)*Summary_LCIA!Z$32</f>
        <v>0.24424969233640265</v>
      </c>
      <c r="BE152" s="16">
        <f>$W152*AJ152+($L152)*Summary_LCIA!AA$32</f>
        <v>1.5104111913540392</v>
      </c>
      <c r="BF152" s="16">
        <f>$W152*AK152+($L152)*Summary_LCIA!AB$32</f>
        <v>5.9322157521048503E-2</v>
      </c>
      <c r="BG152" s="16">
        <f>$W152*AL152+($L152)*Summary_LCIA!AC$32</f>
        <v>3.001889639790624E-5</v>
      </c>
      <c r="BH152" s="16">
        <f>$W152*AM152+($L152)*Summary_LCIA!AD$32</f>
        <v>0.10393192408026186</v>
      </c>
      <c r="BI152" s="16">
        <f>$W152*AN152+($L152)*Summary_LCIA!AE$32</f>
        <v>0.3037988514716044</v>
      </c>
      <c r="BJ152" s="16">
        <f>$W152*AO152+($L152)*Summary_LCIA!AF$32</f>
        <v>2.3202369578984684E-2</v>
      </c>
      <c r="BK152" s="16">
        <f>$W152*AP152+($L152)*Summary_LCIA!AG$32</f>
        <v>5.4325024639846802E-3</v>
      </c>
      <c r="BL152" s="16">
        <f>$W152*AQ152+($L152)*Summary_LCIA!AH$32</f>
        <v>0.80417253660148935</v>
      </c>
      <c r="BM152" s="16">
        <f>$W152*AR152+($L152)*Summary_LCIA!AI$32</f>
        <v>0.26721560789462701</v>
      </c>
      <c r="BN152" s="16"/>
    </row>
    <row r="153" spans="1:66" x14ac:dyDescent="0.25">
      <c r="A153" s="159">
        <v>147</v>
      </c>
      <c r="B153" s="159">
        <v>6</v>
      </c>
      <c r="C153" s="45">
        <v>39.332213000000003</v>
      </c>
      <c r="D153" s="45">
        <v>-76.600832999999994</v>
      </c>
      <c r="E153" s="45" t="s">
        <v>265</v>
      </c>
      <c r="F153" s="159">
        <v>82</v>
      </c>
      <c r="G153" s="45" t="s">
        <v>684</v>
      </c>
      <c r="H153" s="45" t="s">
        <v>685</v>
      </c>
      <c r="I153" s="45">
        <v>39.177404000000003</v>
      </c>
      <c r="J153" s="45">
        <v>-76.668391999999997</v>
      </c>
      <c r="K153" s="45">
        <v>25.47228264</v>
      </c>
      <c r="L153" s="45">
        <v>22.373000000000001</v>
      </c>
      <c r="M153" s="45" t="s">
        <v>617</v>
      </c>
      <c r="N153" s="159">
        <v>5</v>
      </c>
      <c r="O153" s="159">
        <v>6</v>
      </c>
      <c r="P153" s="45" t="s">
        <v>565</v>
      </c>
      <c r="Q153" s="45" t="s">
        <v>564</v>
      </c>
      <c r="R153" s="45">
        <v>41.98028</v>
      </c>
      <c r="S153" s="45">
        <v>-87.908997900000003</v>
      </c>
      <c r="T153" s="45">
        <v>1168.028</v>
      </c>
      <c r="U153" s="45" t="s">
        <v>617</v>
      </c>
      <c r="V153" s="45" t="s">
        <v>569</v>
      </c>
      <c r="W153" s="45" cm="1">
        <f t="array" ref="W153">getDistance(R153,S153,I153,J153)*SA!$B$12</f>
        <v>1000.6132088037757</v>
      </c>
      <c r="X153" s="22"/>
      <c r="Y153" s="16">
        <f>Transportation_LCIA!C$61*($W153^Transportation_LCIA!C$60)+Transportation_LCIA!C$62</f>
        <v>0.23545549201117222</v>
      </c>
      <c r="Z153" s="16">
        <f>Transportation_LCIA!D$61*($W153^Transportation_LCIA!D$60)+Transportation_LCIA!D$62</f>
        <v>2.4202706213242857</v>
      </c>
      <c r="AA153" s="16">
        <f>Transportation_LCIA!E$61*($W153^Transportation_LCIA!E$60)+Transportation_LCIA!E$62</f>
        <v>1.1408288746412865E-3</v>
      </c>
      <c r="AB153" s="16">
        <f>Transportation_LCIA!F$61*($W153^Transportation_LCIA!F$60)+Transportation_LCIA!F$62</f>
        <v>0.23545549201117222</v>
      </c>
      <c r="AC153" s="16">
        <f>Transportation_LCIA!G$61*($W153^Transportation_LCIA!G$60)+Transportation_LCIA!G$62</f>
        <v>5.6567029490067894E-2</v>
      </c>
      <c r="AD153" s="16">
        <f>Transportation_LCIA!H$61*($W153^Transportation_LCIA!H$60)+Transportation_LCIA!H$62</f>
        <v>2.7602605046665079E-4</v>
      </c>
      <c r="AE153" s="16">
        <f>Transportation_LCIA!I$61*($W153^Transportation_LCIA!I$60)+Transportation_LCIA!I$62</f>
        <v>5.9007051245170717E-6</v>
      </c>
      <c r="AF153" s="16">
        <f>Transportation_LCIA!J$61*($W153^Transportation_LCIA!J$60)+Transportation_LCIA!J$62</f>
        <v>8.7331748305765275E-3</v>
      </c>
      <c r="AG153" s="16">
        <f>Transportation_LCIA!K$61*($W153^Transportation_LCIA!K$60)+Transportation_LCIA!K$62</f>
        <v>1.202884789194781E-2</v>
      </c>
      <c r="AH153" s="16">
        <f>Transportation_LCIA!L$61*($W153^Transportation_LCIA!L$60)+Transportation_LCIA!L$62</f>
        <v>2.3917339407197619E-4</v>
      </c>
      <c r="AI153" s="16">
        <f>Transportation_LCIA!M$61*($W153^Transportation_LCIA!M$60)+Transportation_LCIA!M$62</f>
        <v>2.4318307597628473E-4</v>
      </c>
      <c r="AJ153" s="16">
        <f>Transportation_LCIA!N$61*($W153^Transportation_LCIA!N$60)+Transportation_LCIA!N$62</f>
        <v>9.8726200560057169E-4</v>
      </c>
      <c r="AK153" s="16">
        <f>Transportation_LCIA!O$61*($W153^Transportation_LCIA!O$60)+Transportation_LCIA!O$62</f>
        <v>5.9773749710491345E-5</v>
      </c>
      <c r="AL153" s="16">
        <f>Transportation_LCIA!P$61*($W153^Transportation_LCIA!P$60)+Transportation_LCIA!P$62</f>
        <v>2.8907488339561379E-8</v>
      </c>
      <c r="AM153" s="16">
        <f>Transportation_LCIA!Q$61*($W153^Transportation_LCIA!Q$60)+Transportation_LCIA!Q$62</f>
        <v>9.467766898012229E-5</v>
      </c>
      <c r="AN153" s="16">
        <f>Transportation_LCIA!R$61*($W153^Transportation_LCIA!R$60)+Transportation_LCIA!R$62</f>
        <v>2.8379943666853271E-4</v>
      </c>
      <c r="AO153" s="16">
        <f>Transportation_LCIA!S$61*($W153^Transportation_LCIA!S$60)+Transportation_LCIA!S$62</f>
        <v>4.2851602210115667E-6</v>
      </c>
      <c r="AP153" s="16">
        <f>Transportation_LCIA!T$61*($W153^Transportation_LCIA!T$60)+Transportation_LCIA!T$62</f>
        <v>4.2851602210115667E-6</v>
      </c>
      <c r="AQ153" s="16">
        <f>Transportation_LCIA!U$61*($W153^Transportation_LCIA!U$60)+Transportation_LCIA!U$62</f>
        <v>6.0907340462762602E-4</v>
      </c>
      <c r="AR153" s="16">
        <f>Transportation_LCIA!V$61*($W153^Transportation_LCIA!V$60)+Transportation_LCIA!V$62</f>
        <v>2.4622305360046668E-4</v>
      </c>
      <c r="AT153" s="16">
        <f>$W153*Y153+($L153)*Summary_LCIA!H$32</f>
        <v>243.2022207917708</v>
      </c>
      <c r="AU153" s="16">
        <f>$W153*Z153+($L153)*Summary_LCIA!Q$32</f>
        <v>2532.6364689143102</v>
      </c>
      <c r="AV153" s="16">
        <f>$W153*AA153+($L153)*Summary_LCIA!R$32</f>
        <v>1.259335709750818</v>
      </c>
      <c r="AW153" s="16">
        <f>$W153*AB153+($L153)*Summary_LCIA!S$32</f>
        <v>243.1033321317708</v>
      </c>
      <c r="AX153" s="16">
        <f>$W153*AC153+($L153)*Summary_LCIA!T$32</f>
        <v>59.060509590554645</v>
      </c>
      <c r="AY153" s="16">
        <f>$W153*AD153+($L153)*Summary_LCIA!U$32</f>
        <v>0.67698523407086841</v>
      </c>
      <c r="AZ153" s="16">
        <f>$W153*AE153+($L153)*Summary_LCIA!V$32</f>
        <v>6.9728803418479101E-3</v>
      </c>
      <c r="BA153" s="16">
        <f>$W153*AF153+($L153)*Summary_LCIA!W$32</f>
        <v>10.460602273267549</v>
      </c>
      <c r="BB153" s="16">
        <f>$W153*AG153+($L153)*Summary_LCIA!X$32</f>
        <v>12.545881027374429</v>
      </c>
      <c r="BC153" s="16">
        <f>$W153*AH153+($L153)*Summary_LCIA!Y$32</f>
        <v>0.58793614330285004</v>
      </c>
      <c r="BD153" s="16">
        <f>$W153*AI153+($L153)*Summary_LCIA!Z$32</f>
        <v>0.24424969233640265</v>
      </c>
      <c r="BE153" s="16">
        <f>$W153*AJ153+($L153)*Summary_LCIA!AA$32</f>
        <v>1.5104111913540392</v>
      </c>
      <c r="BF153" s="16">
        <f>$W153*AK153+($L153)*Summary_LCIA!AB$32</f>
        <v>5.9322157521048503E-2</v>
      </c>
      <c r="BG153" s="16">
        <f>$W153*AL153+($L153)*Summary_LCIA!AC$32</f>
        <v>3.001889639790624E-5</v>
      </c>
      <c r="BH153" s="16">
        <f>$W153*AM153+($L153)*Summary_LCIA!AD$32</f>
        <v>0.10393192408026186</v>
      </c>
      <c r="BI153" s="16">
        <f>$W153*AN153+($L153)*Summary_LCIA!AE$32</f>
        <v>0.3037988514716044</v>
      </c>
      <c r="BJ153" s="16">
        <f>$W153*AO153+($L153)*Summary_LCIA!AF$32</f>
        <v>2.3202369578984684E-2</v>
      </c>
      <c r="BK153" s="16">
        <f>$W153*AP153+($L153)*Summary_LCIA!AG$32</f>
        <v>5.4325024639846802E-3</v>
      </c>
      <c r="BL153" s="16">
        <f>$W153*AQ153+($L153)*Summary_LCIA!AH$32</f>
        <v>0.80417253660148935</v>
      </c>
      <c r="BM153" s="16">
        <f>$W153*AR153+($L153)*Summary_LCIA!AI$32</f>
        <v>0.26721560789462701</v>
      </c>
      <c r="BN153" s="16"/>
    </row>
    <row r="154" spans="1:66" x14ac:dyDescent="0.25">
      <c r="A154" s="159">
        <v>148</v>
      </c>
      <c r="B154" s="159">
        <v>6</v>
      </c>
      <c r="C154" s="45">
        <v>39.332213000000003</v>
      </c>
      <c r="D154" s="45">
        <v>-76.600832999999994</v>
      </c>
      <c r="E154" s="45" t="s">
        <v>265</v>
      </c>
      <c r="F154" s="159">
        <v>82</v>
      </c>
      <c r="G154" s="45" t="s">
        <v>684</v>
      </c>
      <c r="H154" s="45" t="s">
        <v>685</v>
      </c>
      <c r="I154" s="45">
        <v>39.177404000000003</v>
      </c>
      <c r="J154" s="45">
        <v>-76.668391999999997</v>
      </c>
      <c r="K154" s="45">
        <v>25.47228264</v>
      </c>
      <c r="L154" s="45">
        <v>22.373000000000001</v>
      </c>
      <c r="M154" s="45" t="s">
        <v>617</v>
      </c>
      <c r="N154" s="159">
        <v>5</v>
      </c>
      <c r="O154" s="159">
        <v>6</v>
      </c>
      <c r="P154" s="45" t="s">
        <v>565</v>
      </c>
      <c r="Q154" s="45" t="s">
        <v>564</v>
      </c>
      <c r="R154" s="45">
        <v>41.98028</v>
      </c>
      <c r="S154" s="45">
        <v>-87.908997900000003</v>
      </c>
      <c r="T154" s="45">
        <v>1168.028</v>
      </c>
      <c r="U154" s="45" t="s">
        <v>617</v>
      </c>
      <c r="V154" s="45" t="s">
        <v>569</v>
      </c>
      <c r="W154" s="45" cm="1">
        <f t="array" ref="W154">getDistance(R154,S154,I154,J154)*SA!$B$12</f>
        <v>1000.6132088037757</v>
      </c>
      <c r="X154" s="22"/>
      <c r="Y154" s="16">
        <f>Transportation_LCIA!C$61*($W154^Transportation_LCIA!C$60)+Transportation_LCIA!C$62</f>
        <v>0.23545549201117222</v>
      </c>
      <c r="Z154" s="16">
        <f>Transportation_LCIA!D$61*($W154^Transportation_LCIA!D$60)+Transportation_LCIA!D$62</f>
        <v>2.4202706213242857</v>
      </c>
      <c r="AA154" s="16">
        <f>Transportation_LCIA!E$61*($W154^Transportation_LCIA!E$60)+Transportation_LCIA!E$62</f>
        <v>1.1408288746412865E-3</v>
      </c>
      <c r="AB154" s="16">
        <f>Transportation_LCIA!F$61*($W154^Transportation_LCIA!F$60)+Transportation_LCIA!F$62</f>
        <v>0.23545549201117222</v>
      </c>
      <c r="AC154" s="16">
        <f>Transportation_LCIA!G$61*($W154^Transportation_LCIA!G$60)+Transportation_LCIA!G$62</f>
        <v>5.6567029490067894E-2</v>
      </c>
      <c r="AD154" s="16">
        <f>Transportation_LCIA!H$61*($W154^Transportation_LCIA!H$60)+Transportation_LCIA!H$62</f>
        <v>2.7602605046665079E-4</v>
      </c>
      <c r="AE154" s="16">
        <f>Transportation_LCIA!I$61*($W154^Transportation_LCIA!I$60)+Transportation_LCIA!I$62</f>
        <v>5.9007051245170717E-6</v>
      </c>
      <c r="AF154" s="16">
        <f>Transportation_LCIA!J$61*($W154^Transportation_LCIA!J$60)+Transportation_LCIA!J$62</f>
        <v>8.7331748305765275E-3</v>
      </c>
      <c r="AG154" s="16">
        <f>Transportation_LCIA!K$61*($W154^Transportation_LCIA!K$60)+Transportation_LCIA!K$62</f>
        <v>1.202884789194781E-2</v>
      </c>
      <c r="AH154" s="16">
        <f>Transportation_LCIA!L$61*($W154^Transportation_LCIA!L$60)+Transportation_LCIA!L$62</f>
        <v>2.3917339407197619E-4</v>
      </c>
      <c r="AI154" s="16">
        <f>Transportation_LCIA!M$61*($W154^Transportation_LCIA!M$60)+Transportation_LCIA!M$62</f>
        <v>2.4318307597628473E-4</v>
      </c>
      <c r="AJ154" s="16">
        <f>Transportation_LCIA!N$61*($W154^Transportation_LCIA!N$60)+Transportation_LCIA!N$62</f>
        <v>9.8726200560057169E-4</v>
      </c>
      <c r="AK154" s="16">
        <f>Transportation_LCIA!O$61*($W154^Transportation_LCIA!O$60)+Transportation_LCIA!O$62</f>
        <v>5.9773749710491345E-5</v>
      </c>
      <c r="AL154" s="16">
        <f>Transportation_LCIA!P$61*($W154^Transportation_LCIA!P$60)+Transportation_LCIA!P$62</f>
        <v>2.8907488339561379E-8</v>
      </c>
      <c r="AM154" s="16">
        <f>Transportation_LCIA!Q$61*($W154^Transportation_LCIA!Q$60)+Transportation_LCIA!Q$62</f>
        <v>9.467766898012229E-5</v>
      </c>
      <c r="AN154" s="16">
        <f>Transportation_LCIA!R$61*($W154^Transportation_LCIA!R$60)+Transportation_LCIA!R$62</f>
        <v>2.8379943666853271E-4</v>
      </c>
      <c r="AO154" s="16">
        <f>Transportation_LCIA!S$61*($W154^Transportation_LCIA!S$60)+Transportation_LCIA!S$62</f>
        <v>4.2851602210115667E-6</v>
      </c>
      <c r="AP154" s="16">
        <f>Transportation_LCIA!T$61*($W154^Transportation_LCIA!T$60)+Transportation_LCIA!T$62</f>
        <v>4.2851602210115667E-6</v>
      </c>
      <c r="AQ154" s="16">
        <f>Transportation_LCIA!U$61*($W154^Transportation_LCIA!U$60)+Transportation_LCIA!U$62</f>
        <v>6.0907340462762602E-4</v>
      </c>
      <c r="AR154" s="16">
        <f>Transportation_LCIA!V$61*($W154^Transportation_LCIA!V$60)+Transportation_LCIA!V$62</f>
        <v>2.4622305360046668E-4</v>
      </c>
      <c r="AT154" s="16">
        <f>$W154*Y154+($L154)*Summary_LCIA!H$32</f>
        <v>243.2022207917708</v>
      </c>
      <c r="AU154" s="16">
        <f>$W154*Z154+($L154)*Summary_LCIA!Q$32</f>
        <v>2532.6364689143102</v>
      </c>
      <c r="AV154" s="16">
        <f>$W154*AA154+($L154)*Summary_LCIA!R$32</f>
        <v>1.259335709750818</v>
      </c>
      <c r="AW154" s="16">
        <f>$W154*AB154+($L154)*Summary_LCIA!S$32</f>
        <v>243.1033321317708</v>
      </c>
      <c r="AX154" s="16">
        <f>$W154*AC154+($L154)*Summary_LCIA!T$32</f>
        <v>59.060509590554645</v>
      </c>
      <c r="AY154" s="16">
        <f>$W154*AD154+($L154)*Summary_LCIA!U$32</f>
        <v>0.67698523407086841</v>
      </c>
      <c r="AZ154" s="16">
        <f>$W154*AE154+($L154)*Summary_LCIA!V$32</f>
        <v>6.9728803418479101E-3</v>
      </c>
      <c r="BA154" s="16">
        <f>$W154*AF154+($L154)*Summary_LCIA!W$32</f>
        <v>10.460602273267549</v>
      </c>
      <c r="BB154" s="16">
        <f>$W154*AG154+($L154)*Summary_LCIA!X$32</f>
        <v>12.545881027374429</v>
      </c>
      <c r="BC154" s="16">
        <f>$W154*AH154+($L154)*Summary_LCIA!Y$32</f>
        <v>0.58793614330285004</v>
      </c>
      <c r="BD154" s="16">
        <f>$W154*AI154+($L154)*Summary_LCIA!Z$32</f>
        <v>0.24424969233640265</v>
      </c>
      <c r="BE154" s="16">
        <f>$W154*AJ154+($L154)*Summary_LCIA!AA$32</f>
        <v>1.5104111913540392</v>
      </c>
      <c r="BF154" s="16">
        <f>$W154*AK154+($L154)*Summary_LCIA!AB$32</f>
        <v>5.9322157521048503E-2</v>
      </c>
      <c r="BG154" s="16">
        <f>$W154*AL154+($L154)*Summary_LCIA!AC$32</f>
        <v>3.001889639790624E-5</v>
      </c>
      <c r="BH154" s="16">
        <f>$W154*AM154+($L154)*Summary_LCIA!AD$32</f>
        <v>0.10393192408026186</v>
      </c>
      <c r="BI154" s="16">
        <f>$W154*AN154+($L154)*Summary_LCIA!AE$32</f>
        <v>0.3037988514716044</v>
      </c>
      <c r="BJ154" s="16">
        <f>$W154*AO154+($L154)*Summary_LCIA!AF$32</f>
        <v>2.3202369578984684E-2</v>
      </c>
      <c r="BK154" s="16">
        <f>$W154*AP154+($L154)*Summary_LCIA!AG$32</f>
        <v>5.4325024639846802E-3</v>
      </c>
      <c r="BL154" s="16">
        <f>$W154*AQ154+($L154)*Summary_LCIA!AH$32</f>
        <v>0.80417253660148935</v>
      </c>
      <c r="BM154" s="16">
        <f>$W154*AR154+($L154)*Summary_LCIA!AI$32</f>
        <v>0.26721560789462701</v>
      </c>
      <c r="BN154" s="16"/>
    </row>
    <row r="155" spans="1:66" x14ac:dyDescent="0.25">
      <c r="A155" s="159">
        <v>149</v>
      </c>
      <c r="B155" s="159">
        <v>6</v>
      </c>
      <c r="C155" s="45">
        <v>39.332213000000003</v>
      </c>
      <c r="D155" s="45">
        <v>-76.600832999999994</v>
      </c>
      <c r="E155" s="45" t="s">
        <v>265</v>
      </c>
      <c r="F155" s="159">
        <v>82</v>
      </c>
      <c r="G155" s="45" t="s">
        <v>684</v>
      </c>
      <c r="H155" s="45" t="s">
        <v>685</v>
      </c>
      <c r="I155" s="45">
        <v>39.177404000000003</v>
      </c>
      <c r="J155" s="45">
        <v>-76.668391999999997</v>
      </c>
      <c r="K155" s="45">
        <v>25.47228264</v>
      </c>
      <c r="L155" s="45">
        <v>22.373000000000001</v>
      </c>
      <c r="M155" s="45" t="s">
        <v>617</v>
      </c>
      <c r="N155" s="159">
        <v>5</v>
      </c>
      <c r="O155" s="159">
        <v>6</v>
      </c>
      <c r="P155" s="45" t="s">
        <v>565</v>
      </c>
      <c r="Q155" s="45" t="s">
        <v>564</v>
      </c>
      <c r="R155" s="45">
        <v>41.98028</v>
      </c>
      <c r="S155" s="45">
        <v>-87.908997900000003</v>
      </c>
      <c r="T155" s="45">
        <v>1168.028</v>
      </c>
      <c r="U155" s="45" t="s">
        <v>617</v>
      </c>
      <c r="V155" s="45" t="s">
        <v>569</v>
      </c>
      <c r="W155" s="45" cm="1">
        <f t="array" ref="W155">getDistance(R155,S155,I155,J155)*SA!$B$12</f>
        <v>1000.6132088037757</v>
      </c>
      <c r="X155" s="22"/>
      <c r="Y155" s="16">
        <f>Transportation_LCIA!C$61*($W155^Transportation_LCIA!C$60)+Transportation_LCIA!C$62</f>
        <v>0.23545549201117222</v>
      </c>
      <c r="Z155" s="16">
        <f>Transportation_LCIA!D$61*($W155^Transportation_LCIA!D$60)+Transportation_LCIA!D$62</f>
        <v>2.4202706213242857</v>
      </c>
      <c r="AA155" s="16">
        <f>Transportation_LCIA!E$61*($W155^Transportation_LCIA!E$60)+Transportation_LCIA!E$62</f>
        <v>1.1408288746412865E-3</v>
      </c>
      <c r="AB155" s="16">
        <f>Transportation_LCIA!F$61*($W155^Transportation_LCIA!F$60)+Transportation_LCIA!F$62</f>
        <v>0.23545549201117222</v>
      </c>
      <c r="AC155" s="16">
        <f>Transportation_LCIA!G$61*($W155^Transportation_LCIA!G$60)+Transportation_LCIA!G$62</f>
        <v>5.6567029490067894E-2</v>
      </c>
      <c r="AD155" s="16">
        <f>Transportation_LCIA!H$61*($W155^Transportation_LCIA!H$60)+Transportation_LCIA!H$62</f>
        <v>2.7602605046665079E-4</v>
      </c>
      <c r="AE155" s="16">
        <f>Transportation_LCIA!I$61*($W155^Transportation_LCIA!I$60)+Transportation_LCIA!I$62</f>
        <v>5.9007051245170717E-6</v>
      </c>
      <c r="AF155" s="16">
        <f>Transportation_LCIA!J$61*($W155^Transportation_LCIA!J$60)+Transportation_LCIA!J$62</f>
        <v>8.7331748305765275E-3</v>
      </c>
      <c r="AG155" s="16">
        <f>Transportation_LCIA!K$61*($W155^Transportation_LCIA!K$60)+Transportation_LCIA!K$62</f>
        <v>1.202884789194781E-2</v>
      </c>
      <c r="AH155" s="16">
        <f>Transportation_LCIA!L$61*($W155^Transportation_LCIA!L$60)+Transportation_LCIA!L$62</f>
        <v>2.3917339407197619E-4</v>
      </c>
      <c r="AI155" s="16">
        <f>Transportation_LCIA!M$61*($W155^Transportation_LCIA!M$60)+Transportation_LCIA!M$62</f>
        <v>2.4318307597628473E-4</v>
      </c>
      <c r="AJ155" s="16">
        <f>Transportation_LCIA!N$61*($W155^Transportation_LCIA!N$60)+Transportation_LCIA!N$62</f>
        <v>9.8726200560057169E-4</v>
      </c>
      <c r="AK155" s="16">
        <f>Transportation_LCIA!O$61*($W155^Transportation_LCIA!O$60)+Transportation_LCIA!O$62</f>
        <v>5.9773749710491345E-5</v>
      </c>
      <c r="AL155" s="16">
        <f>Transportation_LCIA!P$61*($W155^Transportation_LCIA!P$60)+Transportation_LCIA!P$62</f>
        <v>2.8907488339561379E-8</v>
      </c>
      <c r="AM155" s="16">
        <f>Transportation_LCIA!Q$61*($W155^Transportation_LCIA!Q$60)+Transportation_LCIA!Q$62</f>
        <v>9.467766898012229E-5</v>
      </c>
      <c r="AN155" s="16">
        <f>Transportation_LCIA!R$61*($W155^Transportation_LCIA!R$60)+Transportation_LCIA!R$62</f>
        <v>2.8379943666853271E-4</v>
      </c>
      <c r="AO155" s="16">
        <f>Transportation_LCIA!S$61*($W155^Transportation_LCIA!S$60)+Transportation_LCIA!S$62</f>
        <v>4.2851602210115667E-6</v>
      </c>
      <c r="AP155" s="16">
        <f>Transportation_LCIA!T$61*($W155^Transportation_LCIA!T$60)+Transportation_LCIA!T$62</f>
        <v>4.2851602210115667E-6</v>
      </c>
      <c r="AQ155" s="16">
        <f>Transportation_LCIA!U$61*($W155^Transportation_LCIA!U$60)+Transportation_LCIA!U$62</f>
        <v>6.0907340462762602E-4</v>
      </c>
      <c r="AR155" s="16">
        <f>Transportation_LCIA!V$61*($W155^Transportation_LCIA!V$60)+Transportation_LCIA!V$62</f>
        <v>2.4622305360046668E-4</v>
      </c>
      <c r="AT155" s="16">
        <f>$W155*Y155+($L155)*Summary_LCIA!H$32</f>
        <v>243.2022207917708</v>
      </c>
      <c r="AU155" s="16">
        <f>$W155*Z155+($L155)*Summary_LCIA!Q$32</f>
        <v>2532.6364689143102</v>
      </c>
      <c r="AV155" s="16">
        <f>$W155*AA155+($L155)*Summary_LCIA!R$32</f>
        <v>1.259335709750818</v>
      </c>
      <c r="AW155" s="16">
        <f>$W155*AB155+($L155)*Summary_LCIA!S$32</f>
        <v>243.1033321317708</v>
      </c>
      <c r="AX155" s="16">
        <f>$W155*AC155+($L155)*Summary_LCIA!T$32</f>
        <v>59.060509590554645</v>
      </c>
      <c r="AY155" s="16">
        <f>$W155*AD155+($L155)*Summary_LCIA!U$32</f>
        <v>0.67698523407086841</v>
      </c>
      <c r="AZ155" s="16">
        <f>$W155*AE155+($L155)*Summary_LCIA!V$32</f>
        <v>6.9728803418479101E-3</v>
      </c>
      <c r="BA155" s="16">
        <f>$W155*AF155+($L155)*Summary_LCIA!W$32</f>
        <v>10.460602273267549</v>
      </c>
      <c r="BB155" s="16">
        <f>$W155*AG155+($L155)*Summary_LCIA!X$32</f>
        <v>12.545881027374429</v>
      </c>
      <c r="BC155" s="16">
        <f>$W155*AH155+($L155)*Summary_LCIA!Y$32</f>
        <v>0.58793614330285004</v>
      </c>
      <c r="BD155" s="16">
        <f>$W155*AI155+($L155)*Summary_LCIA!Z$32</f>
        <v>0.24424969233640265</v>
      </c>
      <c r="BE155" s="16">
        <f>$W155*AJ155+($L155)*Summary_LCIA!AA$32</f>
        <v>1.5104111913540392</v>
      </c>
      <c r="BF155" s="16">
        <f>$W155*AK155+($L155)*Summary_LCIA!AB$32</f>
        <v>5.9322157521048503E-2</v>
      </c>
      <c r="BG155" s="16">
        <f>$W155*AL155+($L155)*Summary_LCIA!AC$32</f>
        <v>3.001889639790624E-5</v>
      </c>
      <c r="BH155" s="16">
        <f>$W155*AM155+($L155)*Summary_LCIA!AD$32</f>
        <v>0.10393192408026186</v>
      </c>
      <c r="BI155" s="16">
        <f>$W155*AN155+($L155)*Summary_LCIA!AE$32</f>
        <v>0.3037988514716044</v>
      </c>
      <c r="BJ155" s="16">
        <f>$W155*AO155+($L155)*Summary_LCIA!AF$32</f>
        <v>2.3202369578984684E-2</v>
      </c>
      <c r="BK155" s="16">
        <f>$W155*AP155+($L155)*Summary_LCIA!AG$32</f>
        <v>5.4325024639846802E-3</v>
      </c>
      <c r="BL155" s="16">
        <f>$W155*AQ155+($L155)*Summary_LCIA!AH$32</f>
        <v>0.80417253660148935</v>
      </c>
      <c r="BM155" s="16">
        <f>$W155*AR155+($L155)*Summary_LCIA!AI$32</f>
        <v>0.26721560789462701</v>
      </c>
      <c r="BN155" s="16"/>
    </row>
    <row r="156" spans="1:66" x14ac:dyDescent="0.25">
      <c r="A156" s="159">
        <v>150</v>
      </c>
      <c r="B156" s="159">
        <v>6</v>
      </c>
      <c r="C156" s="45">
        <v>39.332213000000003</v>
      </c>
      <c r="D156" s="45">
        <v>-76.600832999999994</v>
      </c>
      <c r="E156" s="45" t="s">
        <v>265</v>
      </c>
      <c r="F156" s="159">
        <v>82</v>
      </c>
      <c r="G156" s="45" t="s">
        <v>684</v>
      </c>
      <c r="H156" s="45" t="s">
        <v>685</v>
      </c>
      <c r="I156" s="45">
        <v>39.177404000000003</v>
      </c>
      <c r="J156" s="45">
        <v>-76.668391999999997</v>
      </c>
      <c r="K156" s="45">
        <v>25.47228264</v>
      </c>
      <c r="L156" s="45">
        <v>22.373000000000001</v>
      </c>
      <c r="M156" s="45" t="s">
        <v>617</v>
      </c>
      <c r="N156" s="159">
        <v>5</v>
      </c>
      <c r="O156" s="159">
        <v>6</v>
      </c>
      <c r="P156" s="45" t="s">
        <v>565</v>
      </c>
      <c r="Q156" s="45" t="s">
        <v>564</v>
      </c>
      <c r="R156" s="45">
        <v>41.98028</v>
      </c>
      <c r="S156" s="45">
        <v>-87.908997900000003</v>
      </c>
      <c r="T156" s="45">
        <v>1168.028</v>
      </c>
      <c r="U156" s="45" t="s">
        <v>617</v>
      </c>
      <c r="V156" s="45" t="s">
        <v>569</v>
      </c>
      <c r="W156" s="45" cm="1">
        <f t="array" ref="W156">getDistance(R156,S156,I156,J156)*SA!$B$12</f>
        <v>1000.6132088037757</v>
      </c>
      <c r="X156" s="22"/>
      <c r="Y156" s="16">
        <f>Transportation_LCIA!C$61*($W156^Transportation_LCIA!C$60)+Transportation_LCIA!C$62</f>
        <v>0.23545549201117222</v>
      </c>
      <c r="Z156" s="16">
        <f>Transportation_LCIA!D$61*($W156^Transportation_LCIA!D$60)+Transportation_LCIA!D$62</f>
        <v>2.4202706213242857</v>
      </c>
      <c r="AA156" s="16">
        <f>Transportation_LCIA!E$61*($W156^Transportation_LCIA!E$60)+Transportation_LCIA!E$62</f>
        <v>1.1408288746412865E-3</v>
      </c>
      <c r="AB156" s="16">
        <f>Transportation_LCIA!F$61*($W156^Transportation_LCIA!F$60)+Transportation_LCIA!F$62</f>
        <v>0.23545549201117222</v>
      </c>
      <c r="AC156" s="16">
        <f>Transportation_LCIA!G$61*($W156^Transportation_LCIA!G$60)+Transportation_LCIA!G$62</f>
        <v>5.6567029490067894E-2</v>
      </c>
      <c r="AD156" s="16">
        <f>Transportation_LCIA!H$61*($W156^Transportation_LCIA!H$60)+Transportation_LCIA!H$62</f>
        <v>2.7602605046665079E-4</v>
      </c>
      <c r="AE156" s="16">
        <f>Transportation_LCIA!I$61*($W156^Transportation_LCIA!I$60)+Transportation_LCIA!I$62</f>
        <v>5.9007051245170717E-6</v>
      </c>
      <c r="AF156" s="16">
        <f>Transportation_LCIA!J$61*($W156^Transportation_LCIA!J$60)+Transportation_LCIA!J$62</f>
        <v>8.7331748305765275E-3</v>
      </c>
      <c r="AG156" s="16">
        <f>Transportation_LCIA!K$61*($W156^Transportation_LCIA!K$60)+Transportation_LCIA!K$62</f>
        <v>1.202884789194781E-2</v>
      </c>
      <c r="AH156" s="16">
        <f>Transportation_LCIA!L$61*($W156^Transportation_LCIA!L$60)+Transportation_LCIA!L$62</f>
        <v>2.3917339407197619E-4</v>
      </c>
      <c r="AI156" s="16">
        <f>Transportation_LCIA!M$61*($W156^Transportation_LCIA!M$60)+Transportation_LCIA!M$62</f>
        <v>2.4318307597628473E-4</v>
      </c>
      <c r="AJ156" s="16">
        <f>Transportation_LCIA!N$61*($W156^Transportation_LCIA!N$60)+Transportation_LCIA!N$62</f>
        <v>9.8726200560057169E-4</v>
      </c>
      <c r="AK156" s="16">
        <f>Transportation_LCIA!O$61*($W156^Transportation_LCIA!O$60)+Transportation_LCIA!O$62</f>
        <v>5.9773749710491345E-5</v>
      </c>
      <c r="AL156" s="16">
        <f>Transportation_LCIA!P$61*($W156^Transportation_LCIA!P$60)+Transportation_LCIA!P$62</f>
        <v>2.8907488339561379E-8</v>
      </c>
      <c r="AM156" s="16">
        <f>Transportation_LCIA!Q$61*($W156^Transportation_LCIA!Q$60)+Transportation_LCIA!Q$62</f>
        <v>9.467766898012229E-5</v>
      </c>
      <c r="AN156" s="16">
        <f>Transportation_LCIA!R$61*($W156^Transportation_LCIA!R$60)+Transportation_LCIA!R$62</f>
        <v>2.8379943666853271E-4</v>
      </c>
      <c r="AO156" s="16">
        <f>Transportation_LCIA!S$61*($W156^Transportation_LCIA!S$60)+Transportation_LCIA!S$62</f>
        <v>4.2851602210115667E-6</v>
      </c>
      <c r="AP156" s="16">
        <f>Transportation_LCIA!T$61*($W156^Transportation_LCIA!T$60)+Transportation_LCIA!T$62</f>
        <v>4.2851602210115667E-6</v>
      </c>
      <c r="AQ156" s="16">
        <f>Transportation_LCIA!U$61*($W156^Transportation_LCIA!U$60)+Transportation_LCIA!U$62</f>
        <v>6.0907340462762602E-4</v>
      </c>
      <c r="AR156" s="16">
        <f>Transportation_LCIA!V$61*($W156^Transportation_LCIA!V$60)+Transportation_LCIA!V$62</f>
        <v>2.4622305360046668E-4</v>
      </c>
      <c r="AT156" s="16">
        <f>$W156*Y156+($L156)*Summary_LCIA!H$32</f>
        <v>243.2022207917708</v>
      </c>
      <c r="AU156" s="16">
        <f>$W156*Z156+($L156)*Summary_LCIA!Q$32</f>
        <v>2532.6364689143102</v>
      </c>
      <c r="AV156" s="16">
        <f>$W156*AA156+($L156)*Summary_LCIA!R$32</f>
        <v>1.259335709750818</v>
      </c>
      <c r="AW156" s="16">
        <f>$W156*AB156+($L156)*Summary_LCIA!S$32</f>
        <v>243.1033321317708</v>
      </c>
      <c r="AX156" s="16">
        <f>$W156*AC156+($L156)*Summary_LCIA!T$32</f>
        <v>59.060509590554645</v>
      </c>
      <c r="AY156" s="16">
        <f>$W156*AD156+($L156)*Summary_LCIA!U$32</f>
        <v>0.67698523407086841</v>
      </c>
      <c r="AZ156" s="16">
        <f>$W156*AE156+($L156)*Summary_LCIA!V$32</f>
        <v>6.9728803418479101E-3</v>
      </c>
      <c r="BA156" s="16">
        <f>$W156*AF156+($L156)*Summary_LCIA!W$32</f>
        <v>10.460602273267549</v>
      </c>
      <c r="BB156" s="16">
        <f>$W156*AG156+($L156)*Summary_LCIA!X$32</f>
        <v>12.545881027374429</v>
      </c>
      <c r="BC156" s="16">
        <f>$W156*AH156+($L156)*Summary_LCIA!Y$32</f>
        <v>0.58793614330285004</v>
      </c>
      <c r="BD156" s="16">
        <f>$W156*AI156+($L156)*Summary_LCIA!Z$32</f>
        <v>0.24424969233640265</v>
      </c>
      <c r="BE156" s="16">
        <f>$W156*AJ156+($L156)*Summary_LCIA!AA$32</f>
        <v>1.5104111913540392</v>
      </c>
      <c r="BF156" s="16">
        <f>$W156*AK156+($L156)*Summary_LCIA!AB$32</f>
        <v>5.9322157521048503E-2</v>
      </c>
      <c r="BG156" s="16">
        <f>$W156*AL156+($L156)*Summary_LCIA!AC$32</f>
        <v>3.001889639790624E-5</v>
      </c>
      <c r="BH156" s="16">
        <f>$W156*AM156+($L156)*Summary_LCIA!AD$32</f>
        <v>0.10393192408026186</v>
      </c>
      <c r="BI156" s="16">
        <f>$W156*AN156+($L156)*Summary_LCIA!AE$32</f>
        <v>0.3037988514716044</v>
      </c>
      <c r="BJ156" s="16">
        <f>$W156*AO156+($L156)*Summary_LCIA!AF$32</f>
        <v>2.3202369578984684E-2</v>
      </c>
      <c r="BK156" s="16">
        <f>$W156*AP156+($L156)*Summary_LCIA!AG$32</f>
        <v>5.4325024639846802E-3</v>
      </c>
      <c r="BL156" s="16">
        <f>$W156*AQ156+($L156)*Summary_LCIA!AH$32</f>
        <v>0.80417253660148935</v>
      </c>
      <c r="BM156" s="16">
        <f>$W156*AR156+($L156)*Summary_LCIA!AI$32</f>
        <v>0.26721560789462701</v>
      </c>
      <c r="BN156" s="16"/>
    </row>
    <row r="157" spans="1:66" x14ac:dyDescent="0.25">
      <c r="A157" s="159">
        <v>151</v>
      </c>
      <c r="B157" s="159">
        <v>6</v>
      </c>
      <c r="C157" s="45">
        <v>39.332213000000003</v>
      </c>
      <c r="D157" s="45">
        <v>-76.600832999999994</v>
      </c>
      <c r="E157" s="45" t="s">
        <v>265</v>
      </c>
      <c r="F157" s="159">
        <v>82</v>
      </c>
      <c r="G157" s="45" t="s">
        <v>684</v>
      </c>
      <c r="H157" s="45" t="s">
        <v>685</v>
      </c>
      <c r="I157" s="45">
        <v>39.177404000000003</v>
      </c>
      <c r="J157" s="45">
        <v>-76.668391999999997</v>
      </c>
      <c r="K157" s="45">
        <v>25.47228264</v>
      </c>
      <c r="L157" s="45">
        <v>22.373000000000001</v>
      </c>
      <c r="M157" s="45" t="s">
        <v>617</v>
      </c>
      <c r="N157" s="159">
        <v>5</v>
      </c>
      <c r="O157" s="159">
        <v>6</v>
      </c>
      <c r="P157" s="45" t="s">
        <v>565</v>
      </c>
      <c r="Q157" s="45" t="s">
        <v>564</v>
      </c>
      <c r="R157" s="45">
        <v>41.98028</v>
      </c>
      <c r="S157" s="45">
        <v>-87.908997900000003</v>
      </c>
      <c r="T157" s="45">
        <v>1168.028</v>
      </c>
      <c r="U157" s="45" t="s">
        <v>617</v>
      </c>
      <c r="V157" s="45" t="s">
        <v>569</v>
      </c>
      <c r="W157" s="45" cm="1">
        <f t="array" ref="W157">getDistance(R157,S157,I157,J157)*SA!$B$12</f>
        <v>1000.6132088037757</v>
      </c>
      <c r="X157" s="22"/>
      <c r="Y157" s="16">
        <f>Transportation_LCIA!C$61*($W157^Transportation_LCIA!C$60)+Transportation_LCIA!C$62</f>
        <v>0.23545549201117222</v>
      </c>
      <c r="Z157" s="16">
        <f>Transportation_LCIA!D$61*($W157^Transportation_LCIA!D$60)+Transportation_LCIA!D$62</f>
        <v>2.4202706213242857</v>
      </c>
      <c r="AA157" s="16">
        <f>Transportation_LCIA!E$61*($W157^Transportation_LCIA!E$60)+Transportation_LCIA!E$62</f>
        <v>1.1408288746412865E-3</v>
      </c>
      <c r="AB157" s="16">
        <f>Transportation_LCIA!F$61*($W157^Transportation_LCIA!F$60)+Transportation_LCIA!F$62</f>
        <v>0.23545549201117222</v>
      </c>
      <c r="AC157" s="16">
        <f>Transportation_LCIA!G$61*($W157^Transportation_LCIA!G$60)+Transportation_LCIA!G$62</f>
        <v>5.6567029490067894E-2</v>
      </c>
      <c r="AD157" s="16">
        <f>Transportation_LCIA!H$61*($W157^Transportation_LCIA!H$60)+Transportation_LCIA!H$62</f>
        <v>2.7602605046665079E-4</v>
      </c>
      <c r="AE157" s="16">
        <f>Transportation_LCIA!I$61*($W157^Transportation_LCIA!I$60)+Transportation_LCIA!I$62</f>
        <v>5.9007051245170717E-6</v>
      </c>
      <c r="AF157" s="16">
        <f>Transportation_LCIA!J$61*($W157^Transportation_LCIA!J$60)+Transportation_LCIA!J$62</f>
        <v>8.7331748305765275E-3</v>
      </c>
      <c r="AG157" s="16">
        <f>Transportation_LCIA!K$61*($W157^Transportation_LCIA!K$60)+Transportation_LCIA!K$62</f>
        <v>1.202884789194781E-2</v>
      </c>
      <c r="AH157" s="16">
        <f>Transportation_LCIA!L$61*($W157^Transportation_LCIA!L$60)+Transportation_LCIA!L$62</f>
        <v>2.3917339407197619E-4</v>
      </c>
      <c r="AI157" s="16">
        <f>Transportation_LCIA!M$61*($W157^Transportation_LCIA!M$60)+Transportation_LCIA!M$62</f>
        <v>2.4318307597628473E-4</v>
      </c>
      <c r="AJ157" s="16">
        <f>Transportation_LCIA!N$61*($W157^Transportation_LCIA!N$60)+Transportation_LCIA!N$62</f>
        <v>9.8726200560057169E-4</v>
      </c>
      <c r="AK157" s="16">
        <f>Transportation_LCIA!O$61*($W157^Transportation_LCIA!O$60)+Transportation_LCIA!O$62</f>
        <v>5.9773749710491345E-5</v>
      </c>
      <c r="AL157" s="16">
        <f>Transportation_LCIA!P$61*($W157^Transportation_LCIA!P$60)+Transportation_LCIA!P$62</f>
        <v>2.8907488339561379E-8</v>
      </c>
      <c r="AM157" s="16">
        <f>Transportation_LCIA!Q$61*($W157^Transportation_LCIA!Q$60)+Transportation_LCIA!Q$62</f>
        <v>9.467766898012229E-5</v>
      </c>
      <c r="AN157" s="16">
        <f>Transportation_LCIA!R$61*($W157^Transportation_LCIA!R$60)+Transportation_LCIA!R$62</f>
        <v>2.8379943666853271E-4</v>
      </c>
      <c r="AO157" s="16">
        <f>Transportation_LCIA!S$61*($W157^Transportation_LCIA!S$60)+Transportation_LCIA!S$62</f>
        <v>4.2851602210115667E-6</v>
      </c>
      <c r="AP157" s="16">
        <f>Transportation_LCIA!T$61*($W157^Transportation_LCIA!T$60)+Transportation_LCIA!T$62</f>
        <v>4.2851602210115667E-6</v>
      </c>
      <c r="AQ157" s="16">
        <f>Transportation_LCIA!U$61*($W157^Transportation_LCIA!U$60)+Transportation_LCIA!U$62</f>
        <v>6.0907340462762602E-4</v>
      </c>
      <c r="AR157" s="16">
        <f>Transportation_LCIA!V$61*($W157^Transportation_LCIA!V$60)+Transportation_LCIA!V$62</f>
        <v>2.4622305360046668E-4</v>
      </c>
      <c r="AT157" s="16">
        <f>$W157*Y157+($L157)*Summary_LCIA!H$32</f>
        <v>243.2022207917708</v>
      </c>
      <c r="AU157" s="16">
        <f>$W157*Z157+($L157)*Summary_LCIA!Q$32</f>
        <v>2532.6364689143102</v>
      </c>
      <c r="AV157" s="16">
        <f>$W157*AA157+($L157)*Summary_LCIA!R$32</f>
        <v>1.259335709750818</v>
      </c>
      <c r="AW157" s="16">
        <f>$W157*AB157+($L157)*Summary_LCIA!S$32</f>
        <v>243.1033321317708</v>
      </c>
      <c r="AX157" s="16">
        <f>$W157*AC157+($L157)*Summary_LCIA!T$32</f>
        <v>59.060509590554645</v>
      </c>
      <c r="AY157" s="16">
        <f>$W157*AD157+($L157)*Summary_LCIA!U$32</f>
        <v>0.67698523407086841</v>
      </c>
      <c r="AZ157" s="16">
        <f>$W157*AE157+($L157)*Summary_LCIA!V$32</f>
        <v>6.9728803418479101E-3</v>
      </c>
      <c r="BA157" s="16">
        <f>$W157*AF157+($L157)*Summary_LCIA!W$32</f>
        <v>10.460602273267549</v>
      </c>
      <c r="BB157" s="16">
        <f>$W157*AG157+($L157)*Summary_LCIA!X$32</f>
        <v>12.545881027374429</v>
      </c>
      <c r="BC157" s="16">
        <f>$W157*AH157+($L157)*Summary_LCIA!Y$32</f>
        <v>0.58793614330285004</v>
      </c>
      <c r="BD157" s="16">
        <f>$W157*AI157+($L157)*Summary_LCIA!Z$32</f>
        <v>0.24424969233640265</v>
      </c>
      <c r="BE157" s="16">
        <f>$W157*AJ157+($L157)*Summary_LCIA!AA$32</f>
        <v>1.5104111913540392</v>
      </c>
      <c r="BF157" s="16">
        <f>$W157*AK157+($L157)*Summary_LCIA!AB$32</f>
        <v>5.9322157521048503E-2</v>
      </c>
      <c r="BG157" s="16">
        <f>$W157*AL157+($L157)*Summary_LCIA!AC$32</f>
        <v>3.001889639790624E-5</v>
      </c>
      <c r="BH157" s="16">
        <f>$W157*AM157+($L157)*Summary_LCIA!AD$32</f>
        <v>0.10393192408026186</v>
      </c>
      <c r="BI157" s="16">
        <f>$W157*AN157+($L157)*Summary_LCIA!AE$32</f>
        <v>0.3037988514716044</v>
      </c>
      <c r="BJ157" s="16">
        <f>$W157*AO157+($L157)*Summary_LCIA!AF$32</f>
        <v>2.3202369578984684E-2</v>
      </c>
      <c r="BK157" s="16">
        <f>$W157*AP157+($L157)*Summary_LCIA!AG$32</f>
        <v>5.4325024639846802E-3</v>
      </c>
      <c r="BL157" s="16">
        <f>$W157*AQ157+($L157)*Summary_LCIA!AH$32</f>
        <v>0.80417253660148935</v>
      </c>
      <c r="BM157" s="16">
        <f>$W157*AR157+($L157)*Summary_LCIA!AI$32</f>
        <v>0.26721560789462701</v>
      </c>
      <c r="BN157" s="16"/>
    </row>
    <row r="158" spans="1:66" x14ac:dyDescent="0.25">
      <c r="A158" s="159">
        <v>35</v>
      </c>
      <c r="B158" s="159">
        <v>6</v>
      </c>
      <c r="C158" s="45">
        <v>38.805311000000003</v>
      </c>
      <c r="D158" s="45">
        <v>-77.055997000000005</v>
      </c>
      <c r="E158" s="45" t="s">
        <v>265</v>
      </c>
      <c r="F158" s="159">
        <v>86</v>
      </c>
      <c r="G158" s="45" t="s">
        <v>630</v>
      </c>
      <c r="H158" s="45" t="s">
        <v>644</v>
      </c>
      <c r="I158" s="45">
        <v>38.851241999999999</v>
      </c>
      <c r="J158" s="45">
        <v>-77.040232000000003</v>
      </c>
      <c r="K158" s="45">
        <v>7.4606559270000004</v>
      </c>
      <c r="L158" s="45">
        <v>8.0039999999999996</v>
      </c>
      <c r="M158" s="45" t="s">
        <v>617</v>
      </c>
      <c r="N158" s="159">
        <v>5</v>
      </c>
      <c r="O158" s="159">
        <v>6</v>
      </c>
      <c r="P158" s="45" t="s">
        <v>565</v>
      </c>
      <c r="Q158" s="45" t="s">
        <v>564</v>
      </c>
      <c r="R158" s="45">
        <v>41.98028</v>
      </c>
      <c r="S158" s="45">
        <v>-87.908997900000003</v>
      </c>
      <c r="T158" s="45">
        <v>1169.56</v>
      </c>
      <c r="U158" s="45" t="s">
        <v>617</v>
      </c>
      <c r="V158" s="45" t="s">
        <v>569</v>
      </c>
      <c r="W158" s="45" cm="1">
        <f t="array" ref="W158">getDistance(R158,S158,I158,J158)*SA!$B$12</f>
        <v>985.09467660045368</v>
      </c>
      <c r="X158" s="22"/>
      <c r="Y158" s="16">
        <f>Transportation_LCIA!C$61*($W158^Transportation_LCIA!C$60)+Transportation_LCIA!C$62</f>
        <v>0.2370864199991472</v>
      </c>
      <c r="Z158" s="16">
        <f>Transportation_LCIA!D$61*($W158^Transportation_LCIA!D$60)+Transportation_LCIA!D$62</f>
        <v>2.4393058219490786</v>
      </c>
      <c r="AA158" s="16">
        <f>Transportation_LCIA!E$61*($W158^Transportation_LCIA!E$60)+Transportation_LCIA!E$62</f>
        <v>1.1533446585003482E-3</v>
      </c>
      <c r="AB158" s="16">
        <f>Transportation_LCIA!F$61*($W158^Transportation_LCIA!F$60)+Transportation_LCIA!F$62</f>
        <v>0.2370864199991472</v>
      </c>
      <c r="AC158" s="16">
        <f>Transportation_LCIA!G$61*($W158^Transportation_LCIA!G$60)+Transportation_LCIA!G$62</f>
        <v>5.7007420199112084E-2</v>
      </c>
      <c r="AD158" s="16">
        <f>Transportation_LCIA!H$61*($W158^Transportation_LCIA!H$60)+Transportation_LCIA!H$62</f>
        <v>2.7877818988371404E-4</v>
      </c>
      <c r="AE158" s="16">
        <f>Transportation_LCIA!I$61*($W158^Transportation_LCIA!I$60)+Transportation_LCIA!I$62</f>
        <v>5.969993290824604E-6</v>
      </c>
      <c r="AF158" s="16">
        <f>Transportation_LCIA!J$61*($W158^Transportation_LCIA!J$60)+Transportation_LCIA!J$62</f>
        <v>8.8363701400098228E-3</v>
      </c>
      <c r="AG158" s="16">
        <f>Transportation_LCIA!K$61*($W158^Transportation_LCIA!K$60)+Transportation_LCIA!K$62</f>
        <v>1.2131655681962131E-2</v>
      </c>
      <c r="AH158" s="16">
        <f>Transportation_LCIA!L$61*($W158^Transportation_LCIA!L$60)+Transportation_LCIA!L$62</f>
        <v>2.4170361336866051E-4</v>
      </c>
      <c r="AI158" s="16">
        <f>Transportation_LCIA!M$61*($W158^Transportation_LCIA!M$60)+Transportation_LCIA!M$62</f>
        <v>2.4470196204605344E-4</v>
      </c>
      <c r="AJ158" s="16">
        <f>Transportation_LCIA!N$61*($W158^Transportation_LCIA!N$60)+Transportation_LCIA!N$62</f>
        <v>9.9651507889072025E-4</v>
      </c>
      <c r="AK158" s="16">
        <f>Transportation_LCIA!O$61*($W158^Transportation_LCIA!O$60)+Transportation_LCIA!O$62</f>
        <v>6.0241723006640731E-5</v>
      </c>
      <c r="AL158" s="16">
        <f>Transportation_LCIA!P$61*($W158^Transportation_LCIA!P$60)+Transportation_LCIA!P$62</f>
        <v>2.9132482944789785E-8</v>
      </c>
      <c r="AM158" s="16">
        <f>Transportation_LCIA!Q$61*($W158^Transportation_LCIA!Q$60)+Transportation_LCIA!Q$62</f>
        <v>9.5667002058853797E-5</v>
      </c>
      <c r="AN158" s="16">
        <f>Transportation_LCIA!R$61*($W158^Transportation_LCIA!R$60)+Transportation_LCIA!R$62</f>
        <v>2.8712201740427817E-4</v>
      </c>
      <c r="AO158" s="16">
        <f>Transportation_LCIA!S$61*($W158^Transportation_LCIA!S$60)+Transportation_LCIA!S$62</f>
        <v>4.332314477521164E-6</v>
      </c>
      <c r="AP158" s="16">
        <f>Transportation_LCIA!T$61*($W158^Transportation_LCIA!T$60)+Transportation_LCIA!T$62</f>
        <v>4.332314477521164E-6</v>
      </c>
      <c r="AQ158" s="16">
        <f>Transportation_LCIA!U$61*($W158^Transportation_LCIA!U$60)+Transportation_LCIA!U$62</f>
        <v>6.1636002099593767E-4</v>
      </c>
      <c r="AR158" s="16">
        <f>Transportation_LCIA!V$61*($W158^Transportation_LCIA!V$60)+Transportation_LCIA!V$62</f>
        <v>2.4879684586680414E-4</v>
      </c>
      <c r="AT158" s="16">
        <f>$W158*Y158+($L158)*Summary_LCIA!H$32</f>
        <v>236.27232943541924</v>
      </c>
      <c r="AU158" s="16">
        <f>$W158*Z158+($L158)*Summary_LCIA!Q$32</f>
        <v>2442.6154074682636</v>
      </c>
      <c r="AV158" s="16">
        <f>$W158*AA158+($L158)*Summary_LCIA!R$32</f>
        <v>1.1782995457742611</v>
      </c>
      <c r="AW158" s="16">
        <f>$W158*AB158+($L158)*Summary_LCIA!S$32</f>
        <v>236.23695175541923</v>
      </c>
      <c r="AX158" s="16">
        <f>$W158*AC158+($L158)*Summary_LCIA!T$32</f>
        <v>57.037345764870487</v>
      </c>
      <c r="AY158" s="16">
        <f>$W158*AD158+($L158)*Summary_LCIA!U$32</f>
        <v>0.41800656680675718</v>
      </c>
      <c r="AZ158" s="16">
        <f>$W158*AE158+($L158)*Summary_LCIA!V$32</f>
        <v>6.2632876541317412E-3</v>
      </c>
      <c r="BA158" s="16">
        <f>$W158*AF158+($L158)*Summary_LCIA!W$32</f>
        <v>9.3207370693948821</v>
      </c>
      <c r="BB158" s="16">
        <f>$W158*AG158+($L158)*Summary_LCIA!X$32</f>
        <v>12.133160550650542</v>
      </c>
      <c r="BC158" s="16">
        <f>$W158*AH158+($L158)*Summary_LCIA!Y$32</f>
        <v>0.36281927084456167</v>
      </c>
      <c r="BD158" s="16">
        <f>$W158*AI158+($L158)*Summary_LCIA!Z$32</f>
        <v>0.2413828362012535</v>
      </c>
      <c r="BE158" s="16">
        <f>$W158*AJ158+($L158)*Summary_LCIA!AA$32</f>
        <v>1.1686031233673295</v>
      </c>
      <c r="BF158" s="16">
        <f>$W158*AK158+($L158)*Summary_LCIA!AB$32</f>
        <v>5.916912935108086E-2</v>
      </c>
      <c r="BG158" s="16">
        <f>$W158*AL158+($L158)*Summary_LCIA!AC$32</f>
        <v>2.9089521401065924E-5</v>
      </c>
      <c r="BH158" s="16">
        <f>$W158*AM158+($L158)*Summary_LCIA!AD$32</f>
        <v>9.753101861450153E-2</v>
      </c>
      <c r="BI158" s="16">
        <f>$W158*AN158+($L158)*Summary_LCIA!AE$32</f>
        <v>0.28993495539973724</v>
      </c>
      <c r="BJ158" s="16">
        <f>$W158*AO158+($L158)*Summary_LCIA!AF$32</f>
        <v>1.1034481609165175E-2</v>
      </c>
      <c r="BK158" s="16">
        <f>$W158*AP158+($L158)*Summary_LCIA!AG$32</f>
        <v>4.6772645891651745E-3</v>
      </c>
      <c r="BL158" s="16">
        <f>$W158*AQ158+($L158)*Summary_LCIA!AH$32</f>
        <v>0.67683658995244211</v>
      </c>
      <c r="BM158" s="16">
        <f>$W158*AR158+($L158)*Summary_LCIA!AI$32</f>
        <v>0.25254457461837237</v>
      </c>
      <c r="BN158" s="16"/>
    </row>
    <row r="159" spans="1:66" x14ac:dyDescent="0.25">
      <c r="A159" s="159">
        <v>97</v>
      </c>
      <c r="B159" s="159">
        <v>6</v>
      </c>
      <c r="C159" s="45">
        <v>34.814366999999997</v>
      </c>
      <c r="D159" s="45">
        <v>-82.327129999999997</v>
      </c>
      <c r="E159" s="45" t="s">
        <v>265</v>
      </c>
      <c r="F159" s="159">
        <v>34</v>
      </c>
      <c r="G159" s="45" t="s">
        <v>565</v>
      </c>
      <c r="H159" s="45" t="s">
        <v>633</v>
      </c>
      <c r="I159" s="45">
        <v>35.214402999999997</v>
      </c>
      <c r="J159" s="45">
        <v>-80.947315000000003</v>
      </c>
      <c r="K159" s="45">
        <v>145.6865875</v>
      </c>
      <c r="L159" s="45">
        <v>156.35</v>
      </c>
      <c r="M159" s="45" t="s">
        <v>617</v>
      </c>
      <c r="N159" s="159">
        <v>5</v>
      </c>
      <c r="O159" s="159">
        <v>6</v>
      </c>
      <c r="P159" s="45" t="s">
        <v>565</v>
      </c>
      <c r="Q159" s="45" t="s">
        <v>564</v>
      </c>
      <c r="R159" s="45">
        <v>41.98028</v>
      </c>
      <c r="S159" s="45">
        <v>-87.908997900000003</v>
      </c>
      <c r="T159" s="45">
        <v>1179.1959999999999</v>
      </c>
      <c r="U159" s="45" t="s">
        <v>617</v>
      </c>
      <c r="V159" s="45" t="s">
        <v>569</v>
      </c>
      <c r="W159" s="45" cm="1">
        <f t="array" ref="W159">getDistance(R159,S159,I159,J159)*SA!$B$12</f>
        <v>965.81934331629839</v>
      </c>
      <c r="X159" s="22"/>
      <c r="Y159" s="16">
        <f>Transportation_LCIA!C$61*($W159^Transportation_LCIA!C$60)+Transportation_LCIA!C$62</f>
        <v>0.23917916746170043</v>
      </c>
      <c r="Z159" s="16">
        <f>Transportation_LCIA!D$61*($W159^Transportation_LCIA!D$60)+Transportation_LCIA!D$62</f>
        <v>2.4637498822292629</v>
      </c>
      <c r="AA159" s="16">
        <f>Transportation_LCIA!E$61*($W159^Transportation_LCIA!E$60)+Transportation_LCIA!E$62</f>
        <v>1.1694202797749105E-3</v>
      </c>
      <c r="AB159" s="16">
        <f>Transportation_LCIA!F$61*($W159^Transportation_LCIA!F$60)+Transportation_LCIA!F$62</f>
        <v>0.23917916746170043</v>
      </c>
      <c r="AC159" s="16">
        <f>Transportation_LCIA!G$61*($W159^Transportation_LCIA!G$60)+Transportation_LCIA!G$62</f>
        <v>5.7572922745648923E-2</v>
      </c>
      <c r="AD159" s="16">
        <f>Transportation_LCIA!H$61*($W159^Transportation_LCIA!H$60)+Transportation_LCIA!H$62</f>
        <v>2.8231462329926001E-4</v>
      </c>
      <c r="AE159" s="16">
        <f>Transportation_LCIA!I$61*($W159^Transportation_LCIA!I$60)+Transportation_LCIA!I$62</f>
        <v>6.0590881500882351E-6</v>
      </c>
      <c r="AF159" s="16">
        <f>Transportation_LCIA!J$61*($W159^Transportation_LCIA!J$60)+Transportation_LCIA!J$62</f>
        <v>8.9691244315593405E-3</v>
      </c>
      <c r="AG159" s="16">
        <f>Transportation_LCIA!K$61*($W159^Transportation_LCIA!K$60)+Transportation_LCIA!K$62</f>
        <v>1.2263721703450336E-2</v>
      </c>
      <c r="AH159" s="16">
        <f>Transportation_LCIA!L$61*($W159^Transportation_LCIA!L$60)+Transportation_LCIA!L$62</f>
        <v>2.449555211742904E-4</v>
      </c>
      <c r="AI159" s="16">
        <f>Transportation_LCIA!M$61*($W159^Transportation_LCIA!M$60)+Transportation_LCIA!M$62</f>
        <v>2.4665373974360274E-4</v>
      </c>
      <c r="AJ159" s="16">
        <f>Transportation_LCIA!N$61*($W159^Transportation_LCIA!N$60)+Transportation_LCIA!N$62</f>
        <v>1.0084044075747351E-3</v>
      </c>
      <c r="AK159" s="16">
        <f>Transportation_LCIA!O$61*($W159^Transportation_LCIA!O$60)+Transportation_LCIA!O$62</f>
        <v>6.0842656849062702E-5</v>
      </c>
      <c r="AL159" s="16">
        <f>Transportation_LCIA!P$61*($W159^Transportation_LCIA!P$60)+Transportation_LCIA!P$62</f>
        <v>2.9421386486163209E-8</v>
      </c>
      <c r="AM159" s="16">
        <f>Transportation_LCIA!Q$61*($W159^Transportation_LCIA!Q$60)+Transportation_LCIA!Q$62</f>
        <v>9.693865430446136E-5</v>
      </c>
      <c r="AN159" s="16">
        <f>Transportation_LCIA!R$61*($W159^Transportation_LCIA!R$60)+Transportation_LCIA!R$62</f>
        <v>2.9139446096429532E-4</v>
      </c>
      <c r="AO159" s="16">
        <f>Transportation_LCIA!S$61*($W159^Transportation_LCIA!S$60)+Transportation_LCIA!S$62</f>
        <v>4.3929473757171984E-6</v>
      </c>
      <c r="AP159" s="16">
        <f>Transportation_LCIA!T$61*($W159^Transportation_LCIA!T$60)+Transportation_LCIA!T$62</f>
        <v>4.3929473757171984E-6</v>
      </c>
      <c r="AQ159" s="16">
        <f>Transportation_LCIA!U$61*($W159^Transportation_LCIA!U$60)+Transportation_LCIA!U$62</f>
        <v>6.2573096450825355E-4</v>
      </c>
      <c r="AR159" s="16">
        <f>Transportation_LCIA!V$61*($W159^Transportation_LCIA!V$60)+Transportation_LCIA!V$62</f>
        <v>2.5210555325466699E-4</v>
      </c>
      <c r="AT159" s="16">
        <f>$W159*Y159+($L159)*Summary_LCIA!H$32</f>
        <v>284.13159645279848</v>
      </c>
      <c r="AU159" s="16">
        <f>$W159*Z159+($L159)*Summary_LCIA!Q$32</f>
        <v>3154.4157785498237</v>
      </c>
      <c r="AV159" s="16">
        <f>$W159*AA159+($L159)*Summary_LCIA!R$32</f>
        <v>1.9527252866729659</v>
      </c>
      <c r="AW159" s="16">
        <f>$W159*AB159+($L159)*Summary_LCIA!S$32</f>
        <v>283.44052945279844</v>
      </c>
      <c r="AX159" s="16">
        <f>$W159*AC159+($L159)*Summary_LCIA!T$32</f>
        <v>72.787907439002623</v>
      </c>
      <c r="AY159" s="16">
        <f>$W159*AD159+($L159)*Summary_LCIA!U$32</f>
        <v>3.0735188240834792</v>
      </c>
      <c r="AZ159" s="16">
        <f>$W159*AE159+($L159)*Summary_LCIA!V$32</f>
        <v>1.3319416888213784E-2</v>
      </c>
      <c r="BA159" s="16">
        <f>$W159*AF159+($L159)*Summary_LCIA!W$32</f>
        <v>20.696969718610809</v>
      </c>
      <c r="BB159" s="16">
        <f>$W159*AG159+($L159)*Summary_LCIA!X$32</f>
        <v>15.40619264224024</v>
      </c>
      <c r="BC159" s="16">
        <f>$W159*AH159+($L159)*Summary_LCIA!Y$32</f>
        <v>2.6728284806022549</v>
      </c>
      <c r="BD159" s="16">
        <f>$W159*AI159+($L159)*Summary_LCIA!Z$32</f>
        <v>0.24463471009567558</v>
      </c>
      <c r="BE159" s="16">
        <f>$W159*AJ159+($L159)*Summary_LCIA!AA$32</f>
        <v>4.6256470827210912</v>
      </c>
      <c r="BF159" s="16">
        <f>$W159*AK159+($L159)*Summary_LCIA!AB$32</f>
        <v>5.5350988833580618E-2</v>
      </c>
      <c r="BG159" s="16">
        <f>$W159*AL159+($L159)*Summary_LCIA!AC$32</f>
        <v>3.6058757575521168E-5</v>
      </c>
      <c r="BH159" s="16">
        <f>$W159*AM159+($L159)*Summary_LCIA!AD$32</f>
        <v>0.15789133144230053</v>
      </c>
      <c r="BI159" s="16">
        <f>$W159*AN159+($L159)*Summary_LCIA!AE$32</f>
        <v>0.41998083243454243</v>
      </c>
      <c r="BJ159" s="16">
        <f>$W159*AO159+($L159)*Summary_LCIA!AF$32</f>
        <v>0.13642421054963824</v>
      </c>
      <c r="BK159" s="16">
        <f>$W159*AP159+($L159)*Summary_LCIA!AG$32</f>
        <v>1.2242441299638241E-2</v>
      </c>
      <c r="BL159" s="16">
        <f>$W159*AQ159+($L159)*Summary_LCIA!AH$32</f>
        <v>1.9651509292340354</v>
      </c>
      <c r="BM159" s="16">
        <f>$W159*AR159+($L159)*Summary_LCIA!AI$32</f>
        <v>0.38913626239081456</v>
      </c>
      <c r="BN159" s="16"/>
    </row>
    <row r="160" spans="1:66" x14ac:dyDescent="0.25">
      <c r="A160" s="159">
        <v>358</v>
      </c>
      <c r="B160" s="159">
        <v>6</v>
      </c>
      <c r="C160" s="45">
        <v>33.812429000000002</v>
      </c>
      <c r="D160" s="45">
        <v>-84.420958999999996</v>
      </c>
      <c r="E160" s="45" t="s">
        <v>265</v>
      </c>
      <c r="F160" s="159">
        <v>1</v>
      </c>
      <c r="G160" s="45" t="s">
        <v>565</v>
      </c>
      <c r="H160" s="45" t="s">
        <v>681</v>
      </c>
      <c r="I160" s="45">
        <v>33.640728000000003</v>
      </c>
      <c r="J160" s="45">
        <v>-84.427700000000002</v>
      </c>
      <c r="K160" s="45">
        <v>28.524966559999999</v>
      </c>
      <c r="L160" s="45">
        <v>24.202000000000002</v>
      </c>
      <c r="M160" s="45" t="s">
        <v>617</v>
      </c>
      <c r="N160" s="159">
        <v>5</v>
      </c>
      <c r="O160" s="159">
        <v>6</v>
      </c>
      <c r="P160" s="45" t="s">
        <v>565</v>
      </c>
      <c r="Q160" s="45" t="s">
        <v>564</v>
      </c>
      <c r="R160" s="45">
        <v>41.98028</v>
      </c>
      <c r="S160" s="45">
        <v>-87.908997900000003</v>
      </c>
      <c r="T160" s="45">
        <v>1182.864</v>
      </c>
      <c r="U160" s="45" t="s">
        <v>617</v>
      </c>
      <c r="V160" s="45" t="s">
        <v>569</v>
      </c>
      <c r="W160" s="45" cm="1">
        <f t="array" ref="W160">getDistance(R160,S160,I160,J160)*SA!$B$12</f>
        <v>976.67906347990493</v>
      </c>
      <c r="X160" s="22"/>
      <c r="Y160" s="16">
        <f>Transportation_LCIA!C$61*($W160^Transportation_LCIA!C$60)+Transportation_LCIA!C$62</f>
        <v>0.23799077256655485</v>
      </c>
      <c r="Z160" s="16">
        <f>Transportation_LCIA!D$61*($W160^Transportation_LCIA!D$60)+Transportation_LCIA!D$62</f>
        <v>2.4498664186649894</v>
      </c>
      <c r="AA160" s="16">
        <f>Transportation_LCIA!E$61*($W160^Transportation_LCIA!E$60)+Transportation_LCIA!E$62</f>
        <v>1.1602893527513285E-3</v>
      </c>
      <c r="AB160" s="16">
        <f>Transportation_LCIA!F$61*($W160^Transportation_LCIA!F$60)+Transportation_LCIA!F$62</f>
        <v>0.23799077256655485</v>
      </c>
      <c r="AC160" s="16">
        <f>Transportation_LCIA!G$61*($W160^Transportation_LCIA!G$60)+Transportation_LCIA!G$62</f>
        <v>5.7251738416183251E-2</v>
      </c>
      <c r="AD160" s="16">
        <f>Transportation_LCIA!H$61*($W160^Transportation_LCIA!H$60)+Transportation_LCIA!H$62</f>
        <v>2.8030572808339046E-4</v>
      </c>
      <c r="AE160" s="16">
        <f>Transportation_LCIA!I$61*($W160^Transportation_LCIA!I$60)+Transportation_LCIA!I$62</f>
        <v>6.0084688172437592E-6</v>
      </c>
      <c r="AF160" s="16">
        <f>Transportation_LCIA!J$61*($W160^Transportation_LCIA!J$60)+Transportation_LCIA!J$62</f>
        <v>8.8936917837252362E-3</v>
      </c>
      <c r="AG160" s="16">
        <f>Transportation_LCIA!K$61*($W160^Transportation_LCIA!K$60)+Transportation_LCIA!K$62</f>
        <v>1.2188706109794917E-2</v>
      </c>
      <c r="AH160" s="16">
        <f>Transportation_LCIA!L$61*($W160^Transportation_LCIA!L$60)+Transportation_LCIA!L$62</f>
        <v>2.4310816549771977E-4</v>
      </c>
      <c r="AI160" s="16">
        <f>Transportation_LCIA!M$61*($W160^Transportation_LCIA!M$60)+Transportation_LCIA!M$62</f>
        <v>2.455450128432447E-4</v>
      </c>
      <c r="AJ160" s="16">
        <f>Transportation_LCIA!N$61*($W160^Transportation_LCIA!N$60)+Transportation_LCIA!N$62</f>
        <v>1.0016506819662974E-3</v>
      </c>
      <c r="AK160" s="16">
        <f>Transportation_LCIA!O$61*($W160^Transportation_LCIA!O$60)+Transportation_LCIA!O$62</f>
        <v>6.050134712780058E-5</v>
      </c>
      <c r="AL160" s="16">
        <f>Transportation_LCIA!P$61*($W160^Transportation_LCIA!P$60)+Transportation_LCIA!P$62</f>
        <v>2.9257301489528483E-8</v>
      </c>
      <c r="AM160" s="16">
        <f>Transportation_LCIA!Q$61*($W160^Transportation_LCIA!Q$60)+Transportation_LCIA!Q$62</f>
        <v>9.6216231090364335E-5</v>
      </c>
      <c r="AN160" s="16">
        <f>Transportation_LCIA!R$61*($W160^Transportation_LCIA!R$60)+Transportation_LCIA!R$62</f>
        <v>2.8896705818992006E-4</v>
      </c>
      <c r="AO160" s="16">
        <f>Transportation_LCIA!S$61*($W160^Transportation_LCIA!S$60)+Transportation_LCIA!S$62</f>
        <v>4.3584988519816731E-6</v>
      </c>
      <c r="AP160" s="16">
        <f>Transportation_LCIA!T$61*($W160^Transportation_LCIA!T$60)+Transportation_LCIA!T$62</f>
        <v>4.3584988519816731E-6</v>
      </c>
      <c r="AQ160" s="16">
        <f>Transportation_LCIA!U$61*($W160^Transportation_LCIA!U$60)+Transportation_LCIA!U$62</f>
        <v>6.204066649837317E-4</v>
      </c>
      <c r="AR160" s="16">
        <f>Transportation_LCIA!V$61*($W160^Transportation_LCIA!V$60)+Transportation_LCIA!V$62</f>
        <v>2.502258212971912E-4</v>
      </c>
      <c r="AT160" s="16">
        <f>$W160*Y160+($L160)*Summary_LCIA!H$32</f>
        <v>240.66444446716184</v>
      </c>
      <c r="AU160" s="16">
        <f>$W160*Z160+($L160)*Summary_LCIA!Q$32</f>
        <v>2512.6795720120563</v>
      </c>
      <c r="AV160" s="16">
        <f>$W160*AA160+($L160)*Summary_LCIA!R$32</f>
        <v>1.2606683696108725</v>
      </c>
      <c r="AW160" s="16">
        <f>$W160*AB160+($L160)*Summary_LCIA!S$32</f>
        <v>240.55747162716185</v>
      </c>
      <c r="AX160" s="16">
        <f>$W160*AC160+($L160)*Summary_LCIA!T$32</f>
        <v>58.576374058914354</v>
      </c>
      <c r="AY160" s="16">
        <f>$W160*AD160+($L160)*Summary_LCIA!U$32</f>
        <v>0.7073233639925387</v>
      </c>
      <c r="AZ160" s="16">
        <f>$W160*AE160+($L160)*Summary_LCIA!V$32</f>
        <v>7.0242574193738472E-3</v>
      </c>
      <c r="BA160" s="16">
        <f>$W160*AF160+($L160)*Summary_LCIA!W$32</f>
        <v>10.549134704207688</v>
      </c>
      <c r="BB160" s="16">
        <f>$W160*AG160+($L160)*Summary_LCIA!X$32</f>
        <v>12.455775628346295</v>
      </c>
      <c r="BC160" s="16">
        <f>$W160*AH160+($L160)*Summary_LCIA!Y$32</f>
        <v>0.61455421940263066</v>
      </c>
      <c r="BD160" s="16">
        <f>$W160*AI160+($L160)*Summary_LCIA!Z$32</f>
        <v>0.24081117300390148</v>
      </c>
      <c r="BE160" s="16">
        <f>$W160*AJ160+($L160)*Summary_LCIA!AA$32</f>
        <v>1.5435531619968514</v>
      </c>
      <c r="BF160" s="16">
        <f>$W160*AK160+($L160)*Summary_LCIA!AB$32</f>
        <v>5.8562238806052908E-2</v>
      </c>
      <c r="BG160" s="16">
        <f>$W160*AL160+($L160)*Summary_LCIA!AC$32</f>
        <v>2.9758084386741906E-5</v>
      </c>
      <c r="BH160" s="16">
        <f>$W160*AM160+($L160)*Summary_LCIA!AD$32</f>
        <v>0.10392036855290315</v>
      </c>
      <c r="BI160" s="16">
        <f>$W160*AN160+($L160)*Summary_LCIA!AE$32</f>
        <v>0.30367419402947432</v>
      </c>
      <c r="BJ160" s="16">
        <f>$W160*AO160+($L160)*Summary_LCIA!AF$32</f>
        <v>2.4717709416931705E-2</v>
      </c>
      <c r="BK160" s="16">
        <f>$W160*AP160+($L160)*Summary_LCIA!AG$32</f>
        <v>5.4951499069317011E-3</v>
      </c>
      <c r="BL160" s="16">
        <f>$W160*AQ160+($L160)*Summary_LCIA!AH$32</f>
        <v>0.81658272773300222</v>
      </c>
      <c r="BM160" s="16">
        <f>$W160*AR160+($L160)*Summary_LCIA!AI$32</f>
        <v>0.26693569390303074</v>
      </c>
      <c r="BN160" s="16"/>
    </row>
    <row r="161" spans="1:66" x14ac:dyDescent="0.25">
      <c r="A161" s="159">
        <v>359</v>
      </c>
      <c r="B161" s="159">
        <v>6</v>
      </c>
      <c r="C161" s="45">
        <v>33.812429000000002</v>
      </c>
      <c r="D161" s="45">
        <v>-84.420958999999996</v>
      </c>
      <c r="E161" s="45" t="s">
        <v>265</v>
      </c>
      <c r="F161" s="159">
        <v>1</v>
      </c>
      <c r="G161" s="45" t="s">
        <v>565</v>
      </c>
      <c r="H161" s="45" t="s">
        <v>681</v>
      </c>
      <c r="I161" s="45">
        <v>33.640728000000003</v>
      </c>
      <c r="J161" s="45">
        <v>-84.427700000000002</v>
      </c>
      <c r="K161" s="45">
        <v>28.524966559999999</v>
      </c>
      <c r="L161" s="45">
        <v>24.202000000000002</v>
      </c>
      <c r="M161" s="45" t="s">
        <v>617</v>
      </c>
      <c r="N161" s="159">
        <v>5</v>
      </c>
      <c r="O161" s="159">
        <v>6</v>
      </c>
      <c r="P161" s="45" t="s">
        <v>565</v>
      </c>
      <c r="Q161" s="45" t="s">
        <v>564</v>
      </c>
      <c r="R161" s="45">
        <v>41.98028</v>
      </c>
      <c r="S161" s="45">
        <v>-87.908997900000003</v>
      </c>
      <c r="T161" s="45">
        <v>1182.864</v>
      </c>
      <c r="U161" s="45" t="s">
        <v>617</v>
      </c>
      <c r="V161" s="45" t="s">
        <v>569</v>
      </c>
      <c r="W161" s="45" cm="1">
        <f t="array" ref="W161">getDistance(R161,S161,I161,J161)*SA!$B$12</f>
        <v>976.67906347990493</v>
      </c>
      <c r="X161" s="22"/>
      <c r="Y161" s="16">
        <f>Transportation_LCIA!C$61*($W161^Transportation_LCIA!C$60)+Transportation_LCIA!C$62</f>
        <v>0.23799077256655485</v>
      </c>
      <c r="Z161" s="16">
        <f>Transportation_LCIA!D$61*($W161^Transportation_LCIA!D$60)+Transportation_LCIA!D$62</f>
        <v>2.4498664186649894</v>
      </c>
      <c r="AA161" s="16">
        <f>Transportation_LCIA!E$61*($W161^Transportation_LCIA!E$60)+Transportation_LCIA!E$62</f>
        <v>1.1602893527513285E-3</v>
      </c>
      <c r="AB161" s="16">
        <f>Transportation_LCIA!F$61*($W161^Transportation_LCIA!F$60)+Transportation_LCIA!F$62</f>
        <v>0.23799077256655485</v>
      </c>
      <c r="AC161" s="16">
        <f>Transportation_LCIA!G$61*($W161^Transportation_LCIA!G$60)+Transportation_LCIA!G$62</f>
        <v>5.7251738416183251E-2</v>
      </c>
      <c r="AD161" s="16">
        <f>Transportation_LCIA!H$61*($W161^Transportation_LCIA!H$60)+Transportation_LCIA!H$62</f>
        <v>2.8030572808339046E-4</v>
      </c>
      <c r="AE161" s="16">
        <f>Transportation_LCIA!I$61*($W161^Transportation_LCIA!I$60)+Transportation_LCIA!I$62</f>
        <v>6.0084688172437592E-6</v>
      </c>
      <c r="AF161" s="16">
        <f>Transportation_LCIA!J$61*($W161^Transportation_LCIA!J$60)+Transportation_LCIA!J$62</f>
        <v>8.8936917837252362E-3</v>
      </c>
      <c r="AG161" s="16">
        <f>Transportation_LCIA!K$61*($W161^Transportation_LCIA!K$60)+Transportation_LCIA!K$62</f>
        <v>1.2188706109794917E-2</v>
      </c>
      <c r="AH161" s="16">
        <f>Transportation_LCIA!L$61*($W161^Transportation_LCIA!L$60)+Transportation_LCIA!L$62</f>
        <v>2.4310816549771977E-4</v>
      </c>
      <c r="AI161" s="16">
        <f>Transportation_LCIA!M$61*($W161^Transportation_LCIA!M$60)+Transportation_LCIA!M$62</f>
        <v>2.455450128432447E-4</v>
      </c>
      <c r="AJ161" s="16">
        <f>Transportation_LCIA!N$61*($W161^Transportation_LCIA!N$60)+Transportation_LCIA!N$62</f>
        <v>1.0016506819662974E-3</v>
      </c>
      <c r="AK161" s="16">
        <f>Transportation_LCIA!O$61*($W161^Transportation_LCIA!O$60)+Transportation_LCIA!O$62</f>
        <v>6.050134712780058E-5</v>
      </c>
      <c r="AL161" s="16">
        <f>Transportation_LCIA!P$61*($W161^Transportation_LCIA!P$60)+Transportation_LCIA!P$62</f>
        <v>2.9257301489528483E-8</v>
      </c>
      <c r="AM161" s="16">
        <f>Transportation_LCIA!Q$61*($W161^Transportation_LCIA!Q$60)+Transportation_LCIA!Q$62</f>
        <v>9.6216231090364335E-5</v>
      </c>
      <c r="AN161" s="16">
        <f>Transportation_LCIA!R$61*($W161^Transportation_LCIA!R$60)+Transportation_LCIA!R$62</f>
        <v>2.8896705818992006E-4</v>
      </c>
      <c r="AO161" s="16">
        <f>Transportation_LCIA!S$61*($W161^Transportation_LCIA!S$60)+Transportation_LCIA!S$62</f>
        <v>4.3584988519816731E-6</v>
      </c>
      <c r="AP161" s="16">
        <f>Transportation_LCIA!T$61*($W161^Transportation_LCIA!T$60)+Transportation_LCIA!T$62</f>
        <v>4.3584988519816731E-6</v>
      </c>
      <c r="AQ161" s="16">
        <f>Transportation_LCIA!U$61*($W161^Transportation_LCIA!U$60)+Transportation_LCIA!U$62</f>
        <v>6.204066649837317E-4</v>
      </c>
      <c r="AR161" s="16">
        <f>Transportation_LCIA!V$61*($W161^Transportation_LCIA!V$60)+Transportation_LCIA!V$62</f>
        <v>2.502258212971912E-4</v>
      </c>
      <c r="AT161" s="16">
        <f>$W161*Y161+($L161)*Summary_LCIA!H$32</f>
        <v>240.66444446716184</v>
      </c>
      <c r="AU161" s="16">
        <f>$W161*Z161+($L161)*Summary_LCIA!Q$32</f>
        <v>2512.6795720120563</v>
      </c>
      <c r="AV161" s="16">
        <f>$W161*AA161+($L161)*Summary_LCIA!R$32</f>
        <v>1.2606683696108725</v>
      </c>
      <c r="AW161" s="16">
        <f>$W161*AB161+($L161)*Summary_LCIA!S$32</f>
        <v>240.55747162716185</v>
      </c>
      <c r="AX161" s="16">
        <f>$W161*AC161+($L161)*Summary_LCIA!T$32</f>
        <v>58.576374058914354</v>
      </c>
      <c r="AY161" s="16">
        <f>$W161*AD161+($L161)*Summary_LCIA!U$32</f>
        <v>0.7073233639925387</v>
      </c>
      <c r="AZ161" s="16">
        <f>$W161*AE161+($L161)*Summary_LCIA!V$32</f>
        <v>7.0242574193738472E-3</v>
      </c>
      <c r="BA161" s="16">
        <f>$W161*AF161+($L161)*Summary_LCIA!W$32</f>
        <v>10.549134704207688</v>
      </c>
      <c r="BB161" s="16">
        <f>$W161*AG161+($L161)*Summary_LCIA!X$32</f>
        <v>12.455775628346295</v>
      </c>
      <c r="BC161" s="16">
        <f>$W161*AH161+($L161)*Summary_LCIA!Y$32</f>
        <v>0.61455421940263066</v>
      </c>
      <c r="BD161" s="16">
        <f>$W161*AI161+($L161)*Summary_LCIA!Z$32</f>
        <v>0.24081117300390148</v>
      </c>
      <c r="BE161" s="16">
        <f>$W161*AJ161+($L161)*Summary_LCIA!AA$32</f>
        <v>1.5435531619968514</v>
      </c>
      <c r="BF161" s="16">
        <f>$W161*AK161+($L161)*Summary_LCIA!AB$32</f>
        <v>5.8562238806052908E-2</v>
      </c>
      <c r="BG161" s="16">
        <f>$W161*AL161+($L161)*Summary_LCIA!AC$32</f>
        <v>2.9758084386741906E-5</v>
      </c>
      <c r="BH161" s="16">
        <f>$W161*AM161+($L161)*Summary_LCIA!AD$32</f>
        <v>0.10392036855290315</v>
      </c>
      <c r="BI161" s="16">
        <f>$W161*AN161+($L161)*Summary_LCIA!AE$32</f>
        <v>0.30367419402947432</v>
      </c>
      <c r="BJ161" s="16">
        <f>$W161*AO161+($L161)*Summary_LCIA!AF$32</f>
        <v>2.4717709416931705E-2</v>
      </c>
      <c r="BK161" s="16">
        <f>$W161*AP161+($L161)*Summary_LCIA!AG$32</f>
        <v>5.4951499069317011E-3</v>
      </c>
      <c r="BL161" s="16">
        <f>$W161*AQ161+($L161)*Summary_LCIA!AH$32</f>
        <v>0.81658272773300222</v>
      </c>
      <c r="BM161" s="16">
        <f>$W161*AR161+($L161)*Summary_LCIA!AI$32</f>
        <v>0.26693569390303074</v>
      </c>
      <c r="BN161" s="16"/>
    </row>
    <row r="162" spans="1:66" x14ac:dyDescent="0.25">
      <c r="A162" s="159">
        <v>286</v>
      </c>
      <c r="B162" s="159">
        <v>6</v>
      </c>
      <c r="C162" s="45">
        <v>33.771270999999999</v>
      </c>
      <c r="D162" s="45">
        <v>-84.389756000000006</v>
      </c>
      <c r="E162" s="45" t="s">
        <v>265</v>
      </c>
      <c r="F162" s="159">
        <v>1</v>
      </c>
      <c r="G162" s="45" t="s">
        <v>565</v>
      </c>
      <c r="H162" s="45" t="s">
        <v>681</v>
      </c>
      <c r="I162" s="45">
        <v>33.640728000000003</v>
      </c>
      <c r="J162" s="45">
        <v>-84.427700000000002</v>
      </c>
      <c r="K162" s="45">
        <v>22.091562750000001</v>
      </c>
      <c r="L162" s="45">
        <v>18.202999999999999</v>
      </c>
      <c r="M162" s="45" t="s">
        <v>617</v>
      </c>
      <c r="N162" s="159">
        <v>5</v>
      </c>
      <c r="O162" s="159">
        <v>6</v>
      </c>
      <c r="P162" s="45" t="s">
        <v>565</v>
      </c>
      <c r="Q162" s="45" t="s">
        <v>564</v>
      </c>
      <c r="R162" s="45">
        <v>41.98028</v>
      </c>
      <c r="S162" s="45">
        <v>-87.908997900000003</v>
      </c>
      <c r="T162" s="45">
        <v>1186.9870000000001</v>
      </c>
      <c r="U162" s="45" t="s">
        <v>617</v>
      </c>
      <c r="V162" s="45" t="s">
        <v>569</v>
      </c>
      <c r="W162" s="45" cm="1">
        <f t="array" ref="W162">getDistance(R162,S162,I162,J162)*SA!$B$12</f>
        <v>976.67906347990493</v>
      </c>
      <c r="X162" s="22"/>
      <c r="Y162" s="16">
        <f>Transportation_LCIA!C$61*($W162^Transportation_LCIA!C$60)+Transportation_LCIA!C$62</f>
        <v>0.23799077256655485</v>
      </c>
      <c r="Z162" s="16">
        <f>Transportation_LCIA!D$61*($W162^Transportation_LCIA!D$60)+Transportation_LCIA!D$62</f>
        <v>2.4498664186649894</v>
      </c>
      <c r="AA162" s="16">
        <f>Transportation_LCIA!E$61*($W162^Transportation_LCIA!E$60)+Transportation_LCIA!E$62</f>
        <v>1.1602893527513285E-3</v>
      </c>
      <c r="AB162" s="16">
        <f>Transportation_LCIA!F$61*($W162^Transportation_LCIA!F$60)+Transportation_LCIA!F$62</f>
        <v>0.23799077256655485</v>
      </c>
      <c r="AC162" s="16">
        <f>Transportation_LCIA!G$61*($W162^Transportation_LCIA!G$60)+Transportation_LCIA!G$62</f>
        <v>5.7251738416183251E-2</v>
      </c>
      <c r="AD162" s="16">
        <f>Transportation_LCIA!H$61*($W162^Transportation_LCIA!H$60)+Transportation_LCIA!H$62</f>
        <v>2.8030572808339046E-4</v>
      </c>
      <c r="AE162" s="16">
        <f>Transportation_LCIA!I$61*($W162^Transportation_LCIA!I$60)+Transportation_LCIA!I$62</f>
        <v>6.0084688172437592E-6</v>
      </c>
      <c r="AF162" s="16">
        <f>Transportation_LCIA!J$61*($W162^Transportation_LCIA!J$60)+Transportation_LCIA!J$62</f>
        <v>8.8936917837252362E-3</v>
      </c>
      <c r="AG162" s="16">
        <f>Transportation_LCIA!K$61*($W162^Transportation_LCIA!K$60)+Transportation_LCIA!K$62</f>
        <v>1.2188706109794917E-2</v>
      </c>
      <c r="AH162" s="16">
        <f>Transportation_LCIA!L$61*($W162^Transportation_LCIA!L$60)+Transportation_LCIA!L$62</f>
        <v>2.4310816549771977E-4</v>
      </c>
      <c r="AI162" s="16">
        <f>Transportation_LCIA!M$61*($W162^Transportation_LCIA!M$60)+Transportation_LCIA!M$62</f>
        <v>2.455450128432447E-4</v>
      </c>
      <c r="AJ162" s="16">
        <f>Transportation_LCIA!N$61*($W162^Transportation_LCIA!N$60)+Transportation_LCIA!N$62</f>
        <v>1.0016506819662974E-3</v>
      </c>
      <c r="AK162" s="16">
        <f>Transportation_LCIA!O$61*($W162^Transportation_LCIA!O$60)+Transportation_LCIA!O$62</f>
        <v>6.050134712780058E-5</v>
      </c>
      <c r="AL162" s="16">
        <f>Transportation_LCIA!P$61*($W162^Transportation_LCIA!P$60)+Transportation_LCIA!P$62</f>
        <v>2.9257301489528483E-8</v>
      </c>
      <c r="AM162" s="16">
        <f>Transportation_LCIA!Q$61*($W162^Transportation_LCIA!Q$60)+Transportation_LCIA!Q$62</f>
        <v>9.6216231090364335E-5</v>
      </c>
      <c r="AN162" s="16">
        <f>Transportation_LCIA!R$61*($W162^Transportation_LCIA!R$60)+Transportation_LCIA!R$62</f>
        <v>2.8896705818992006E-4</v>
      </c>
      <c r="AO162" s="16">
        <f>Transportation_LCIA!S$61*($W162^Transportation_LCIA!S$60)+Transportation_LCIA!S$62</f>
        <v>4.3584988519816731E-6</v>
      </c>
      <c r="AP162" s="16">
        <f>Transportation_LCIA!T$61*($W162^Transportation_LCIA!T$60)+Transportation_LCIA!T$62</f>
        <v>4.3584988519816731E-6</v>
      </c>
      <c r="AQ162" s="16">
        <f>Transportation_LCIA!U$61*($W162^Transportation_LCIA!U$60)+Transportation_LCIA!U$62</f>
        <v>6.204066649837317E-4</v>
      </c>
      <c r="AR162" s="16">
        <f>Transportation_LCIA!V$61*($W162^Transportation_LCIA!V$60)+Transportation_LCIA!V$62</f>
        <v>2.502258212971912E-4</v>
      </c>
      <c r="AT162" s="16">
        <f>$W162*Y162+($L162)*Summary_LCIA!H$32</f>
        <v>238.62598426716184</v>
      </c>
      <c r="AU162" s="16">
        <f>$W162*Z162+($L162)*Summary_LCIA!Q$32</f>
        <v>2482.9482254644895</v>
      </c>
      <c r="AV162" s="16">
        <f>$W162*AA162+($L162)*Summary_LCIA!R$32</f>
        <v>1.2290800352108726</v>
      </c>
      <c r="AW162" s="16">
        <f>$W162*AB162+($L162)*Summary_LCIA!S$32</f>
        <v>238.54552700716187</v>
      </c>
      <c r="AX162" s="16">
        <f>$W162*AC162+($L162)*Summary_LCIA!T$32</f>
        <v>57.917083958914354</v>
      </c>
      <c r="AY162" s="16">
        <f>$W162*AD162+($L162)*Summary_LCIA!U$32</f>
        <v>0.59985727799253863</v>
      </c>
      <c r="AZ162" s="16">
        <f>$W162*AE162+($L162)*Summary_LCIA!V$32</f>
        <v>6.7377391803738465E-3</v>
      </c>
      <c r="BA162" s="16">
        <f>$W162*AF162+($L162)*Summary_LCIA!W$32</f>
        <v>10.087385675207688</v>
      </c>
      <c r="BB162" s="16">
        <f>$W162*AG162+($L162)*Summary_LCIA!X$32</f>
        <v>12.319118408346295</v>
      </c>
      <c r="BC162" s="16">
        <f>$W162*AH162+($L162)*Summary_LCIA!Y$32</f>
        <v>0.52107780140263071</v>
      </c>
      <c r="BD162" s="16">
        <f>$W162*AI162+($L162)*Summary_LCIA!Z$32</f>
        <v>0.24056516001290146</v>
      </c>
      <c r="BE162" s="16">
        <f>$W162*AJ162+($L162)*Summary_LCIA!AA$32</f>
        <v>1.4034405179968514</v>
      </c>
      <c r="BF162" s="16">
        <f>$W162*AK162+($L162)*Summary_LCIA!AB$32</f>
        <v>5.8693154983052907E-2</v>
      </c>
      <c r="BG162" s="16">
        <f>$W162*AL162+($L162)*Summary_LCIA!AC$32</f>
        <v>2.9464829270741907E-5</v>
      </c>
      <c r="BH162" s="16">
        <f>$W162*AM162+($L162)*Summary_LCIA!AD$32</f>
        <v>0.10145453959290315</v>
      </c>
      <c r="BI162" s="16">
        <f>$W162*AN162+($L162)*Summary_LCIA!AE$32</f>
        <v>0.29835830015947434</v>
      </c>
      <c r="BJ162" s="16">
        <f>$W162*AO162+($L162)*Summary_LCIA!AF$32</f>
        <v>1.9646034836931701E-2</v>
      </c>
      <c r="BK162" s="16">
        <f>$W162*AP162+($L162)*Summary_LCIA!AG$32</f>
        <v>5.1882110719317009E-3</v>
      </c>
      <c r="BL162" s="16">
        <f>$W162*AQ162+($L162)*Summary_LCIA!AH$32</f>
        <v>0.76436983133300218</v>
      </c>
      <c r="BM162" s="16">
        <f>$W162*AR162+($L162)*Summary_LCIA!AI$32</f>
        <v>0.26134732545303074</v>
      </c>
      <c r="BN162" s="16"/>
    </row>
    <row r="163" spans="1:66" x14ac:dyDescent="0.25">
      <c r="A163" s="159">
        <v>137</v>
      </c>
      <c r="B163" s="159">
        <v>6</v>
      </c>
      <c r="C163" s="45">
        <v>33.748995000000001</v>
      </c>
      <c r="D163" s="45">
        <v>-84.387981999999994</v>
      </c>
      <c r="E163" s="45" t="s">
        <v>265</v>
      </c>
      <c r="F163" s="159">
        <v>1</v>
      </c>
      <c r="G163" s="45" t="s">
        <v>565</v>
      </c>
      <c r="H163" s="45" t="s">
        <v>681</v>
      </c>
      <c r="I163" s="45">
        <v>33.640728000000003</v>
      </c>
      <c r="J163" s="45">
        <v>-84.427700000000002</v>
      </c>
      <c r="K163" s="45">
        <v>18.49134737</v>
      </c>
      <c r="L163" s="45">
        <v>14.686999999999999</v>
      </c>
      <c r="M163" s="45" t="s">
        <v>617</v>
      </c>
      <c r="N163" s="159">
        <v>5</v>
      </c>
      <c r="O163" s="159">
        <v>6</v>
      </c>
      <c r="P163" s="45" t="s">
        <v>565</v>
      </c>
      <c r="Q163" s="45" t="s">
        <v>564</v>
      </c>
      <c r="R163" s="45">
        <v>41.98028</v>
      </c>
      <c r="S163" s="45">
        <v>-87.908997900000003</v>
      </c>
      <c r="T163" s="45">
        <v>1190.0709999999999</v>
      </c>
      <c r="U163" s="45" t="s">
        <v>617</v>
      </c>
      <c r="V163" s="45" t="s">
        <v>569</v>
      </c>
      <c r="W163" s="45" cm="1">
        <f t="array" ref="W163">getDistance(R163,S163,I163,J163)*SA!$B$12</f>
        <v>976.67906347990493</v>
      </c>
      <c r="X163" s="22"/>
      <c r="Y163" s="16">
        <f>Transportation_LCIA!C$61*($W163^Transportation_LCIA!C$60)+Transportation_LCIA!C$62</f>
        <v>0.23799077256655485</v>
      </c>
      <c r="Z163" s="16">
        <f>Transportation_LCIA!D$61*($W163^Transportation_LCIA!D$60)+Transportation_LCIA!D$62</f>
        <v>2.4498664186649894</v>
      </c>
      <c r="AA163" s="16">
        <f>Transportation_LCIA!E$61*($W163^Transportation_LCIA!E$60)+Transportation_LCIA!E$62</f>
        <v>1.1602893527513285E-3</v>
      </c>
      <c r="AB163" s="16">
        <f>Transportation_LCIA!F$61*($W163^Transportation_LCIA!F$60)+Transportation_LCIA!F$62</f>
        <v>0.23799077256655485</v>
      </c>
      <c r="AC163" s="16">
        <f>Transportation_LCIA!G$61*($W163^Transportation_LCIA!G$60)+Transportation_LCIA!G$62</f>
        <v>5.7251738416183251E-2</v>
      </c>
      <c r="AD163" s="16">
        <f>Transportation_LCIA!H$61*($W163^Transportation_LCIA!H$60)+Transportation_LCIA!H$62</f>
        <v>2.8030572808339046E-4</v>
      </c>
      <c r="AE163" s="16">
        <f>Transportation_LCIA!I$61*($W163^Transportation_LCIA!I$60)+Transportation_LCIA!I$62</f>
        <v>6.0084688172437592E-6</v>
      </c>
      <c r="AF163" s="16">
        <f>Transportation_LCIA!J$61*($W163^Transportation_LCIA!J$60)+Transportation_LCIA!J$62</f>
        <v>8.8936917837252362E-3</v>
      </c>
      <c r="AG163" s="16">
        <f>Transportation_LCIA!K$61*($W163^Transportation_LCIA!K$60)+Transportation_LCIA!K$62</f>
        <v>1.2188706109794917E-2</v>
      </c>
      <c r="AH163" s="16">
        <f>Transportation_LCIA!L$61*($W163^Transportation_LCIA!L$60)+Transportation_LCIA!L$62</f>
        <v>2.4310816549771977E-4</v>
      </c>
      <c r="AI163" s="16">
        <f>Transportation_LCIA!M$61*($W163^Transportation_LCIA!M$60)+Transportation_LCIA!M$62</f>
        <v>2.455450128432447E-4</v>
      </c>
      <c r="AJ163" s="16">
        <f>Transportation_LCIA!N$61*($W163^Transportation_LCIA!N$60)+Transportation_LCIA!N$62</f>
        <v>1.0016506819662974E-3</v>
      </c>
      <c r="AK163" s="16">
        <f>Transportation_LCIA!O$61*($W163^Transportation_LCIA!O$60)+Transportation_LCIA!O$62</f>
        <v>6.050134712780058E-5</v>
      </c>
      <c r="AL163" s="16">
        <f>Transportation_LCIA!P$61*($W163^Transportation_LCIA!P$60)+Transportation_LCIA!P$62</f>
        <v>2.9257301489528483E-8</v>
      </c>
      <c r="AM163" s="16">
        <f>Transportation_LCIA!Q$61*($W163^Transportation_LCIA!Q$60)+Transportation_LCIA!Q$62</f>
        <v>9.6216231090364335E-5</v>
      </c>
      <c r="AN163" s="16">
        <f>Transportation_LCIA!R$61*($W163^Transportation_LCIA!R$60)+Transportation_LCIA!R$62</f>
        <v>2.8896705818992006E-4</v>
      </c>
      <c r="AO163" s="16">
        <f>Transportation_LCIA!S$61*($W163^Transportation_LCIA!S$60)+Transportation_LCIA!S$62</f>
        <v>4.3584988519816731E-6</v>
      </c>
      <c r="AP163" s="16">
        <f>Transportation_LCIA!T$61*($W163^Transportation_LCIA!T$60)+Transportation_LCIA!T$62</f>
        <v>4.3584988519816731E-6</v>
      </c>
      <c r="AQ163" s="16">
        <f>Transportation_LCIA!U$61*($W163^Transportation_LCIA!U$60)+Transportation_LCIA!U$62</f>
        <v>6.204066649837317E-4</v>
      </c>
      <c r="AR163" s="16">
        <f>Transportation_LCIA!V$61*($W163^Transportation_LCIA!V$60)+Transportation_LCIA!V$62</f>
        <v>2.502258212971912E-4</v>
      </c>
      <c r="AT163" s="16">
        <f>$W163*Y163+($L163)*Summary_LCIA!H$32</f>
        <v>237.43124746716185</v>
      </c>
      <c r="AU163" s="16">
        <f>$W163*Z163+($L163)*Summary_LCIA!Q$32</f>
        <v>2465.5227521420616</v>
      </c>
      <c r="AV163" s="16">
        <f>$W163*AA163+($L163)*Summary_LCIA!R$32</f>
        <v>1.2105661856108725</v>
      </c>
      <c r="AW163" s="16">
        <f>$W163*AB163+($L163)*Summary_LCIA!S$32</f>
        <v>237.36633092716184</v>
      </c>
      <c r="AX163" s="16">
        <f>$W163*AC163+($L163)*Summary_LCIA!T$32</f>
        <v>57.530675558914353</v>
      </c>
      <c r="AY163" s="16">
        <f>$W163*AD163+($L163)*Summary_LCIA!U$32</f>
        <v>0.53687165399253867</v>
      </c>
      <c r="AZ163" s="16">
        <f>$W163*AE163+($L163)*Summary_LCIA!V$32</f>
        <v>6.5698115043738466E-3</v>
      </c>
      <c r="BA163" s="16">
        <f>$W163*AF163+($L163)*Summary_LCIA!W$32</f>
        <v>9.8167556392076882</v>
      </c>
      <c r="BB163" s="16">
        <f>$W163*AG163+($L163)*Summary_LCIA!X$32</f>
        <v>12.239023928346295</v>
      </c>
      <c r="BC163" s="16">
        <f>$W163*AH163+($L163)*Summary_LCIA!Y$32</f>
        <v>0.46629148940263065</v>
      </c>
      <c r="BD163" s="16">
        <f>$W163*AI163+($L163)*Summary_LCIA!Z$32</f>
        <v>0.24042097236890148</v>
      </c>
      <c r="BE163" s="16">
        <f>$W163*AJ163+($L163)*Summary_LCIA!AA$32</f>
        <v>1.3213208219968515</v>
      </c>
      <c r="BF163" s="16">
        <f>$W163*AK163+($L163)*Summary_LCIA!AB$32</f>
        <v>5.8769884651052907E-2</v>
      </c>
      <c r="BG163" s="16">
        <f>$W163*AL163+($L163)*Summary_LCIA!AC$32</f>
        <v>2.9292953126741906E-5</v>
      </c>
      <c r="BH163" s="16">
        <f>$W163*AM163+($L163)*Summary_LCIA!AD$32</f>
        <v>0.10000932295290316</v>
      </c>
      <c r="BI163" s="16">
        <f>$W163*AN163+($L163)*Summary_LCIA!AE$32</f>
        <v>0.29524266707947433</v>
      </c>
      <c r="BJ163" s="16">
        <f>$W163*AO163+($L163)*Summary_LCIA!AF$32</f>
        <v>1.6673538116931702E-2</v>
      </c>
      <c r="BK163" s="16">
        <f>$W163*AP163+($L163)*Summary_LCIA!AG$32</f>
        <v>5.0083149319317009E-3</v>
      </c>
      <c r="BL163" s="16">
        <f>$W163*AQ163+($L163)*Summary_LCIA!AH$32</f>
        <v>0.73376797373300218</v>
      </c>
      <c r="BM163" s="16">
        <f>$W163*AR163+($L163)*Summary_LCIA!AI$32</f>
        <v>0.25807199565303074</v>
      </c>
      <c r="BN163" s="16"/>
    </row>
    <row r="164" spans="1:66" x14ac:dyDescent="0.25">
      <c r="A164" s="159">
        <v>138</v>
      </c>
      <c r="B164" s="159">
        <v>6</v>
      </c>
      <c r="C164" s="45">
        <v>33.748995000000001</v>
      </c>
      <c r="D164" s="45">
        <v>-84.387981999999994</v>
      </c>
      <c r="E164" s="45" t="s">
        <v>265</v>
      </c>
      <c r="F164" s="159">
        <v>1</v>
      </c>
      <c r="G164" s="45" t="s">
        <v>565</v>
      </c>
      <c r="H164" s="45" t="s">
        <v>681</v>
      </c>
      <c r="I164" s="45">
        <v>33.640728000000003</v>
      </c>
      <c r="J164" s="45">
        <v>-84.427700000000002</v>
      </c>
      <c r="K164" s="45">
        <v>18.49134737</v>
      </c>
      <c r="L164" s="45">
        <v>14.686999999999999</v>
      </c>
      <c r="M164" s="45" t="s">
        <v>617</v>
      </c>
      <c r="N164" s="159">
        <v>5</v>
      </c>
      <c r="O164" s="159">
        <v>6</v>
      </c>
      <c r="P164" s="45" t="s">
        <v>565</v>
      </c>
      <c r="Q164" s="45" t="s">
        <v>564</v>
      </c>
      <c r="R164" s="45">
        <v>41.98028</v>
      </c>
      <c r="S164" s="45">
        <v>-87.908997900000003</v>
      </c>
      <c r="T164" s="45">
        <v>1190.0709999999999</v>
      </c>
      <c r="U164" s="45" t="s">
        <v>617</v>
      </c>
      <c r="V164" s="45" t="s">
        <v>569</v>
      </c>
      <c r="W164" s="45" cm="1">
        <f t="array" ref="W164">getDistance(R164,S164,I164,J164)*SA!$B$12</f>
        <v>976.67906347990493</v>
      </c>
      <c r="X164" s="22"/>
      <c r="Y164" s="16">
        <f>Transportation_LCIA!C$61*($W164^Transportation_LCIA!C$60)+Transportation_LCIA!C$62</f>
        <v>0.23799077256655485</v>
      </c>
      <c r="Z164" s="16">
        <f>Transportation_LCIA!D$61*($W164^Transportation_LCIA!D$60)+Transportation_LCIA!D$62</f>
        <v>2.4498664186649894</v>
      </c>
      <c r="AA164" s="16">
        <f>Transportation_LCIA!E$61*($W164^Transportation_LCIA!E$60)+Transportation_LCIA!E$62</f>
        <v>1.1602893527513285E-3</v>
      </c>
      <c r="AB164" s="16">
        <f>Transportation_LCIA!F$61*($W164^Transportation_LCIA!F$60)+Transportation_LCIA!F$62</f>
        <v>0.23799077256655485</v>
      </c>
      <c r="AC164" s="16">
        <f>Transportation_LCIA!G$61*($W164^Transportation_LCIA!G$60)+Transportation_LCIA!G$62</f>
        <v>5.7251738416183251E-2</v>
      </c>
      <c r="AD164" s="16">
        <f>Transportation_LCIA!H$61*($W164^Transportation_LCIA!H$60)+Transportation_LCIA!H$62</f>
        <v>2.8030572808339046E-4</v>
      </c>
      <c r="AE164" s="16">
        <f>Transportation_LCIA!I$61*($W164^Transportation_LCIA!I$60)+Transportation_LCIA!I$62</f>
        <v>6.0084688172437592E-6</v>
      </c>
      <c r="AF164" s="16">
        <f>Transportation_LCIA!J$61*($W164^Transportation_LCIA!J$60)+Transportation_LCIA!J$62</f>
        <v>8.8936917837252362E-3</v>
      </c>
      <c r="AG164" s="16">
        <f>Transportation_LCIA!K$61*($W164^Transportation_LCIA!K$60)+Transportation_LCIA!K$62</f>
        <v>1.2188706109794917E-2</v>
      </c>
      <c r="AH164" s="16">
        <f>Transportation_LCIA!L$61*($W164^Transportation_LCIA!L$60)+Transportation_LCIA!L$62</f>
        <v>2.4310816549771977E-4</v>
      </c>
      <c r="AI164" s="16">
        <f>Transportation_LCIA!M$61*($W164^Transportation_LCIA!M$60)+Transportation_LCIA!M$62</f>
        <v>2.455450128432447E-4</v>
      </c>
      <c r="AJ164" s="16">
        <f>Transportation_LCIA!N$61*($W164^Transportation_LCIA!N$60)+Transportation_LCIA!N$62</f>
        <v>1.0016506819662974E-3</v>
      </c>
      <c r="AK164" s="16">
        <f>Transportation_LCIA!O$61*($W164^Transportation_LCIA!O$60)+Transportation_LCIA!O$62</f>
        <v>6.050134712780058E-5</v>
      </c>
      <c r="AL164" s="16">
        <f>Transportation_LCIA!P$61*($W164^Transportation_LCIA!P$60)+Transportation_LCIA!P$62</f>
        <v>2.9257301489528483E-8</v>
      </c>
      <c r="AM164" s="16">
        <f>Transportation_LCIA!Q$61*($W164^Transportation_LCIA!Q$60)+Transportation_LCIA!Q$62</f>
        <v>9.6216231090364335E-5</v>
      </c>
      <c r="AN164" s="16">
        <f>Transportation_LCIA!R$61*($W164^Transportation_LCIA!R$60)+Transportation_LCIA!R$62</f>
        <v>2.8896705818992006E-4</v>
      </c>
      <c r="AO164" s="16">
        <f>Transportation_LCIA!S$61*($W164^Transportation_LCIA!S$60)+Transportation_LCIA!S$62</f>
        <v>4.3584988519816731E-6</v>
      </c>
      <c r="AP164" s="16">
        <f>Transportation_LCIA!T$61*($W164^Transportation_LCIA!T$60)+Transportation_LCIA!T$62</f>
        <v>4.3584988519816731E-6</v>
      </c>
      <c r="AQ164" s="16">
        <f>Transportation_LCIA!U$61*($W164^Transportation_LCIA!U$60)+Transportation_LCIA!U$62</f>
        <v>6.204066649837317E-4</v>
      </c>
      <c r="AR164" s="16">
        <f>Transportation_LCIA!V$61*($W164^Transportation_LCIA!V$60)+Transportation_LCIA!V$62</f>
        <v>2.502258212971912E-4</v>
      </c>
      <c r="AT164" s="16">
        <f>$W164*Y164+($L164)*Summary_LCIA!H$32</f>
        <v>237.43124746716185</v>
      </c>
      <c r="AU164" s="16">
        <f>$W164*Z164+($L164)*Summary_LCIA!Q$32</f>
        <v>2465.5227521420616</v>
      </c>
      <c r="AV164" s="16">
        <f>$W164*AA164+($L164)*Summary_LCIA!R$32</f>
        <v>1.2105661856108725</v>
      </c>
      <c r="AW164" s="16">
        <f>$W164*AB164+($L164)*Summary_LCIA!S$32</f>
        <v>237.36633092716184</v>
      </c>
      <c r="AX164" s="16">
        <f>$W164*AC164+($L164)*Summary_LCIA!T$32</f>
        <v>57.530675558914353</v>
      </c>
      <c r="AY164" s="16">
        <f>$W164*AD164+($L164)*Summary_LCIA!U$32</f>
        <v>0.53687165399253867</v>
      </c>
      <c r="AZ164" s="16">
        <f>$W164*AE164+($L164)*Summary_LCIA!V$32</f>
        <v>6.5698115043738466E-3</v>
      </c>
      <c r="BA164" s="16">
        <f>$W164*AF164+($L164)*Summary_LCIA!W$32</f>
        <v>9.8167556392076882</v>
      </c>
      <c r="BB164" s="16">
        <f>$W164*AG164+($L164)*Summary_LCIA!X$32</f>
        <v>12.239023928346295</v>
      </c>
      <c r="BC164" s="16">
        <f>$W164*AH164+($L164)*Summary_LCIA!Y$32</f>
        <v>0.46629148940263065</v>
      </c>
      <c r="BD164" s="16">
        <f>$W164*AI164+($L164)*Summary_LCIA!Z$32</f>
        <v>0.24042097236890148</v>
      </c>
      <c r="BE164" s="16">
        <f>$W164*AJ164+($L164)*Summary_LCIA!AA$32</f>
        <v>1.3213208219968515</v>
      </c>
      <c r="BF164" s="16">
        <f>$W164*AK164+($L164)*Summary_LCIA!AB$32</f>
        <v>5.8769884651052907E-2</v>
      </c>
      <c r="BG164" s="16">
        <f>$W164*AL164+($L164)*Summary_LCIA!AC$32</f>
        <v>2.9292953126741906E-5</v>
      </c>
      <c r="BH164" s="16">
        <f>$W164*AM164+($L164)*Summary_LCIA!AD$32</f>
        <v>0.10000932295290316</v>
      </c>
      <c r="BI164" s="16">
        <f>$W164*AN164+($L164)*Summary_LCIA!AE$32</f>
        <v>0.29524266707947433</v>
      </c>
      <c r="BJ164" s="16">
        <f>$W164*AO164+($L164)*Summary_LCIA!AF$32</f>
        <v>1.6673538116931702E-2</v>
      </c>
      <c r="BK164" s="16">
        <f>$W164*AP164+($L164)*Summary_LCIA!AG$32</f>
        <v>5.0083149319317009E-3</v>
      </c>
      <c r="BL164" s="16">
        <f>$W164*AQ164+($L164)*Summary_LCIA!AH$32</f>
        <v>0.73376797373300218</v>
      </c>
      <c r="BM164" s="16">
        <f>$W164*AR164+($L164)*Summary_LCIA!AI$32</f>
        <v>0.25807199565303074</v>
      </c>
      <c r="BN164" s="16"/>
    </row>
    <row r="165" spans="1:66" x14ac:dyDescent="0.25">
      <c r="A165" s="159">
        <v>139</v>
      </c>
      <c r="B165" s="159">
        <v>6</v>
      </c>
      <c r="C165" s="45">
        <v>33.748995000000001</v>
      </c>
      <c r="D165" s="45">
        <v>-84.387981999999994</v>
      </c>
      <c r="E165" s="45" t="s">
        <v>265</v>
      </c>
      <c r="F165" s="159">
        <v>1</v>
      </c>
      <c r="G165" s="45" t="s">
        <v>565</v>
      </c>
      <c r="H165" s="45" t="s">
        <v>681</v>
      </c>
      <c r="I165" s="45">
        <v>33.640728000000003</v>
      </c>
      <c r="J165" s="45">
        <v>-84.427700000000002</v>
      </c>
      <c r="K165" s="45">
        <v>18.49134737</v>
      </c>
      <c r="L165" s="45">
        <v>14.686999999999999</v>
      </c>
      <c r="M165" s="45" t="s">
        <v>617</v>
      </c>
      <c r="N165" s="159">
        <v>5</v>
      </c>
      <c r="O165" s="159">
        <v>6</v>
      </c>
      <c r="P165" s="45" t="s">
        <v>565</v>
      </c>
      <c r="Q165" s="45" t="s">
        <v>564</v>
      </c>
      <c r="R165" s="45">
        <v>41.98028</v>
      </c>
      <c r="S165" s="45">
        <v>-87.908997900000003</v>
      </c>
      <c r="T165" s="45">
        <v>1190.0709999999999</v>
      </c>
      <c r="U165" s="45" t="s">
        <v>617</v>
      </c>
      <c r="V165" s="45" t="s">
        <v>569</v>
      </c>
      <c r="W165" s="45" cm="1">
        <f t="array" ref="W165">getDistance(R165,S165,I165,J165)*SA!$B$12</f>
        <v>976.67906347990493</v>
      </c>
      <c r="X165" s="22"/>
      <c r="Y165" s="16">
        <f>Transportation_LCIA!C$61*($W165^Transportation_LCIA!C$60)+Transportation_LCIA!C$62</f>
        <v>0.23799077256655485</v>
      </c>
      <c r="Z165" s="16">
        <f>Transportation_LCIA!D$61*($W165^Transportation_LCIA!D$60)+Transportation_LCIA!D$62</f>
        <v>2.4498664186649894</v>
      </c>
      <c r="AA165" s="16">
        <f>Transportation_LCIA!E$61*($W165^Transportation_LCIA!E$60)+Transportation_LCIA!E$62</f>
        <v>1.1602893527513285E-3</v>
      </c>
      <c r="AB165" s="16">
        <f>Transportation_LCIA!F$61*($W165^Transportation_LCIA!F$60)+Transportation_LCIA!F$62</f>
        <v>0.23799077256655485</v>
      </c>
      <c r="AC165" s="16">
        <f>Transportation_LCIA!G$61*($W165^Transportation_LCIA!G$60)+Transportation_LCIA!G$62</f>
        <v>5.7251738416183251E-2</v>
      </c>
      <c r="AD165" s="16">
        <f>Transportation_LCIA!H$61*($W165^Transportation_LCIA!H$60)+Transportation_LCIA!H$62</f>
        <v>2.8030572808339046E-4</v>
      </c>
      <c r="AE165" s="16">
        <f>Transportation_LCIA!I$61*($W165^Transportation_LCIA!I$60)+Transportation_LCIA!I$62</f>
        <v>6.0084688172437592E-6</v>
      </c>
      <c r="AF165" s="16">
        <f>Transportation_LCIA!J$61*($W165^Transportation_LCIA!J$60)+Transportation_LCIA!J$62</f>
        <v>8.8936917837252362E-3</v>
      </c>
      <c r="AG165" s="16">
        <f>Transportation_LCIA!K$61*($W165^Transportation_LCIA!K$60)+Transportation_LCIA!K$62</f>
        <v>1.2188706109794917E-2</v>
      </c>
      <c r="AH165" s="16">
        <f>Transportation_LCIA!L$61*($W165^Transportation_LCIA!L$60)+Transportation_LCIA!L$62</f>
        <v>2.4310816549771977E-4</v>
      </c>
      <c r="AI165" s="16">
        <f>Transportation_LCIA!M$61*($W165^Transportation_LCIA!M$60)+Transportation_LCIA!M$62</f>
        <v>2.455450128432447E-4</v>
      </c>
      <c r="AJ165" s="16">
        <f>Transportation_LCIA!N$61*($W165^Transportation_LCIA!N$60)+Transportation_LCIA!N$62</f>
        <v>1.0016506819662974E-3</v>
      </c>
      <c r="AK165" s="16">
        <f>Transportation_LCIA!O$61*($W165^Transportation_LCIA!O$60)+Transportation_LCIA!O$62</f>
        <v>6.050134712780058E-5</v>
      </c>
      <c r="AL165" s="16">
        <f>Transportation_LCIA!P$61*($W165^Transportation_LCIA!P$60)+Transportation_LCIA!P$62</f>
        <v>2.9257301489528483E-8</v>
      </c>
      <c r="AM165" s="16">
        <f>Transportation_LCIA!Q$61*($W165^Transportation_LCIA!Q$60)+Transportation_LCIA!Q$62</f>
        <v>9.6216231090364335E-5</v>
      </c>
      <c r="AN165" s="16">
        <f>Transportation_LCIA!R$61*($W165^Transportation_LCIA!R$60)+Transportation_LCIA!R$62</f>
        <v>2.8896705818992006E-4</v>
      </c>
      <c r="AO165" s="16">
        <f>Transportation_LCIA!S$61*($W165^Transportation_LCIA!S$60)+Transportation_LCIA!S$62</f>
        <v>4.3584988519816731E-6</v>
      </c>
      <c r="AP165" s="16">
        <f>Transportation_LCIA!T$61*($W165^Transportation_LCIA!T$60)+Transportation_LCIA!T$62</f>
        <v>4.3584988519816731E-6</v>
      </c>
      <c r="AQ165" s="16">
        <f>Transportation_LCIA!U$61*($W165^Transportation_LCIA!U$60)+Transportation_LCIA!U$62</f>
        <v>6.204066649837317E-4</v>
      </c>
      <c r="AR165" s="16">
        <f>Transportation_LCIA!V$61*($W165^Transportation_LCIA!V$60)+Transportation_LCIA!V$62</f>
        <v>2.502258212971912E-4</v>
      </c>
      <c r="AT165" s="16">
        <f>$W165*Y165+($L165)*Summary_LCIA!H$32</f>
        <v>237.43124746716185</v>
      </c>
      <c r="AU165" s="16">
        <f>$W165*Z165+($L165)*Summary_LCIA!Q$32</f>
        <v>2465.5227521420616</v>
      </c>
      <c r="AV165" s="16">
        <f>$W165*AA165+($L165)*Summary_LCIA!R$32</f>
        <v>1.2105661856108725</v>
      </c>
      <c r="AW165" s="16">
        <f>$W165*AB165+($L165)*Summary_LCIA!S$32</f>
        <v>237.36633092716184</v>
      </c>
      <c r="AX165" s="16">
        <f>$W165*AC165+($L165)*Summary_LCIA!T$32</f>
        <v>57.530675558914353</v>
      </c>
      <c r="AY165" s="16">
        <f>$W165*AD165+($L165)*Summary_LCIA!U$32</f>
        <v>0.53687165399253867</v>
      </c>
      <c r="AZ165" s="16">
        <f>$W165*AE165+($L165)*Summary_LCIA!V$32</f>
        <v>6.5698115043738466E-3</v>
      </c>
      <c r="BA165" s="16">
        <f>$W165*AF165+($L165)*Summary_LCIA!W$32</f>
        <v>9.8167556392076882</v>
      </c>
      <c r="BB165" s="16">
        <f>$W165*AG165+($L165)*Summary_LCIA!X$32</f>
        <v>12.239023928346295</v>
      </c>
      <c r="BC165" s="16">
        <f>$W165*AH165+($L165)*Summary_LCIA!Y$32</f>
        <v>0.46629148940263065</v>
      </c>
      <c r="BD165" s="16">
        <f>$W165*AI165+($L165)*Summary_LCIA!Z$32</f>
        <v>0.24042097236890148</v>
      </c>
      <c r="BE165" s="16">
        <f>$W165*AJ165+($L165)*Summary_LCIA!AA$32</f>
        <v>1.3213208219968515</v>
      </c>
      <c r="BF165" s="16">
        <f>$W165*AK165+($L165)*Summary_LCIA!AB$32</f>
        <v>5.8769884651052907E-2</v>
      </c>
      <c r="BG165" s="16">
        <f>$W165*AL165+($L165)*Summary_LCIA!AC$32</f>
        <v>2.9292953126741906E-5</v>
      </c>
      <c r="BH165" s="16">
        <f>$W165*AM165+($L165)*Summary_LCIA!AD$32</f>
        <v>0.10000932295290316</v>
      </c>
      <c r="BI165" s="16">
        <f>$W165*AN165+($L165)*Summary_LCIA!AE$32</f>
        <v>0.29524266707947433</v>
      </c>
      <c r="BJ165" s="16">
        <f>$W165*AO165+($L165)*Summary_LCIA!AF$32</f>
        <v>1.6673538116931702E-2</v>
      </c>
      <c r="BK165" s="16">
        <f>$W165*AP165+($L165)*Summary_LCIA!AG$32</f>
        <v>5.0083149319317009E-3</v>
      </c>
      <c r="BL165" s="16">
        <f>$W165*AQ165+($L165)*Summary_LCIA!AH$32</f>
        <v>0.73376797373300218</v>
      </c>
      <c r="BM165" s="16">
        <f>$W165*AR165+($L165)*Summary_LCIA!AI$32</f>
        <v>0.25807199565303074</v>
      </c>
      <c r="BN165" s="16"/>
    </row>
    <row r="166" spans="1:66" x14ac:dyDescent="0.25">
      <c r="A166" s="159">
        <v>205</v>
      </c>
      <c r="B166" s="159">
        <v>6</v>
      </c>
      <c r="C166" s="45">
        <v>33.774827999999999</v>
      </c>
      <c r="D166" s="45">
        <v>-84.296312</v>
      </c>
      <c r="E166" s="45" t="s">
        <v>265</v>
      </c>
      <c r="F166" s="159">
        <v>1</v>
      </c>
      <c r="G166" s="45" t="s">
        <v>565</v>
      </c>
      <c r="H166" s="45" t="s">
        <v>681</v>
      </c>
      <c r="I166" s="45">
        <v>33.640728000000003</v>
      </c>
      <c r="J166" s="45">
        <v>-84.427700000000002</v>
      </c>
      <c r="K166" s="45">
        <v>25.823667189999998</v>
      </c>
      <c r="L166" s="45">
        <v>26.882999999999999</v>
      </c>
      <c r="M166" s="45" t="s">
        <v>617</v>
      </c>
      <c r="N166" s="159">
        <v>5</v>
      </c>
      <c r="O166" s="159">
        <v>6</v>
      </c>
      <c r="P166" s="45" t="s">
        <v>565</v>
      </c>
      <c r="Q166" s="45" t="s">
        <v>564</v>
      </c>
      <c r="R166" s="45">
        <v>41.98028</v>
      </c>
      <c r="S166" s="45">
        <v>-87.908997900000003</v>
      </c>
      <c r="T166" s="45">
        <v>1197.6880000000001</v>
      </c>
      <c r="U166" s="45" t="s">
        <v>617</v>
      </c>
      <c r="V166" s="45" t="s">
        <v>569</v>
      </c>
      <c r="W166" s="45" cm="1">
        <f t="array" ref="W166">getDistance(R166,S166,I166,J166)*SA!$B$12</f>
        <v>976.67906347990493</v>
      </c>
      <c r="X166" s="22"/>
      <c r="Y166" s="16">
        <f>Transportation_LCIA!C$61*($W166^Transportation_LCIA!C$60)+Transportation_LCIA!C$62</f>
        <v>0.23799077256655485</v>
      </c>
      <c r="Z166" s="16">
        <f>Transportation_LCIA!D$61*($W166^Transportation_LCIA!D$60)+Transportation_LCIA!D$62</f>
        <v>2.4498664186649894</v>
      </c>
      <c r="AA166" s="16">
        <f>Transportation_LCIA!E$61*($W166^Transportation_LCIA!E$60)+Transportation_LCIA!E$62</f>
        <v>1.1602893527513285E-3</v>
      </c>
      <c r="AB166" s="16">
        <f>Transportation_LCIA!F$61*($W166^Transportation_LCIA!F$60)+Transportation_LCIA!F$62</f>
        <v>0.23799077256655485</v>
      </c>
      <c r="AC166" s="16">
        <f>Transportation_LCIA!G$61*($W166^Transportation_LCIA!G$60)+Transportation_LCIA!G$62</f>
        <v>5.7251738416183251E-2</v>
      </c>
      <c r="AD166" s="16">
        <f>Transportation_LCIA!H$61*($W166^Transportation_LCIA!H$60)+Transportation_LCIA!H$62</f>
        <v>2.8030572808339046E-4</v>
      </c>
      <c r="AE166" s="16">
        <f>Transportation_LCIA!I$61*($W166^Transportation_LCIA!I$60)+Transportation_LCIA!I$62</f>
        <v>6.0084688172437592E-6</v>
      </c>
      <c r="AF166" s="16">
        <f>Transportation_LCIA!J$61*($W166^Transportation_LCIA!J$60)+Transportation_LCIA!J$62</f>
        <v>8.8936917837252362E-3</v>
      </c>
      <c r="AG166" s="16">
        <f>Transportation_LCIA!K$61*($W166^Transportation_LCIA!K$60)+Transportation_LCIA!K$62</f>
        <v>1.2188706109794917E-2</v>
      </c>
      <c r="AH166" s="16">
        <f>Transportation_LCIA!L$61*($W166^Transportation_LCIA!L$60)+Transportation_LCIA!L$62</f>
        <v>2.4310816549771977E-4</v>
      </c>
      <c r="AI166" s="16">
        <f>Transportation_LCIA!M$61*($W166^Transportation_LCIA!M$60)+Transportation_LCIA!M$62</f>
        <v>2.455450128432447E-4</v>
      </c>
      <c r="AJ166" s="16">
        <f>Transportation_LCIA!N$61*($W166^Transportation_LCIA!N$60)+Transportation_LCIA!N$62</f>
        <v>1.0016506819662974E-3</v>
      </c>
      <c r="AK166" s="16">
        <f>Transportation_LCIA!O$61*($W166^Transportation_LCIA!O$60)+Transportation_LCIA!O$62</f>
        <v>6.050134712780058E-5</v>
      </c>
      <c r="AL166" s="16">
        <f>Transportation_LCIA!P$61*($W166^Transportation_LCIA!P$60)+Transportation_LCIA!P$62</f>
        <v>2.9257301489528483E-8</v>
      </c>
      <c r="AM166" s="16">
        <f>Transportation_LCIA!Q$61*($W166^Transportation_LCIA!Q$60)+Transportation_LCIA!Q$62</f>
        <v>9.6216231090364335E-5</v>
      </c>
      <c r="AN166" s="16">
        <f>Transportation_LCIA!R$61*($W166^Transportation_LCIA!R$60)+Transportation_LCIA!R$62</f>
        <v>2.8896705818992006E-4</v>
      </c>
      <c r="AO166" s="16">
        <f>Transportation_LCIA!S$61*($W166^Transportation_LCIA!S$60)+Transportation_LCIA!S$62</f>
        <v>4.3584988519816731E-6</v>
      </c>
      <c r="AP166" s="16">
        <f>Transportation_LCIA!T$61*($W166^Transportation_LCIA!T$60)+Transportation_LCIA!T$62</f>
        <v>4.3584988519816731E-6</v>
      </c>
      <c r="AQ166" s="16">
        <f>Transportation_LCIA!U$61*($W166^Transportation_LCIA!U$60)+Transportation_LCIA!U$62</f>
        <v>6.204066649837317E-4</v>
      </c>
      <c r="AR166" s="16">
        <f>Transportation_LCIA!V$61*($W166^Transportation_LCIA!V$60)+Transportation_LCIA!V$62</f>
        <v>2.502258212971912E-4</v>
      </c>
      <c r="AT166" s="16">
        <f>$W166*Y166+($L166)*Summary_LCIA!H$32</f>
        <v>241.57544826716185</v>
      </c>
      <c r="AU166" s="16">
        <f>$W166*Z166+($L166)*Summary_LCIA!Q$32</f>
        <v>2525.9667432229294</v>
      </c>
      <c r="AV166" s="16">
        <f>$W166*AA166+($L166)*Summary_LCIA!R$32</f>
        <v>1.2747854432108725</v>
      </c>
      <c r="AW166" s="16">
        <f>$W166*AB166+($L166)*Summary_LCIA!S$32</f>
        <v>241.45662540716185</v>
      </c>
      <c r="AX166" s="16">
        <f>$W166*AC166+($L166)*Summary_LCIA!T$32</f>
        <v>58.871015958914349</v>
      </c>
      <c r="AY166" s="16">
        <f>$W166*AD166+($L166)*Summary_LCIA!U$32</f>
        <v>0.75535079799253868</v>
      </c>
      <c r="AZ166" s="16">
        <f>$W166*AE166+($L166)*Summary_LCIA!V$32</f>
        <v>7.1523046603738467E-3</v>
      </c>
      <c r="BA166" s="16">
        <f>$W166*AF166+($L166)*Summary_LCIA!W$32</f>
        <v>10.755493955207688</v>
      </c>
      <c r="BB166" s="16">
        <f>$W166*AG166+($L166)*Summary_LCIA!X$32</f>
        <v>12.516848808346296</v>
      </c>
      <c r="BC166" s="16">
        <f>$W166*AH166+($L166)*Summary_LCIA!Y$32</f>
        <v>0.65632956140263066</v>
      </c>
      <c r="BD166" s="16">
        <f>$W166*AI166+($L166)*Summary_LCIA!Z$32</f>
        <v>0.24092111813290146</v>
      </c>
      <c r="BE166" s="16">
        <f>$W166*AJ166+($L166)*Summary_LCIA!AA$32</f>
        <v>1.6061705979968512</v>
      </c>
      <c r="BF166" s="16">
        <f>$W166*AK166+($L166)*Summary_LCIA!AB$32</f>
        <v>5.8503731343052909E-2</v>
      </c>
      <c r="BG166" s="16">
        <f>$W166*AL166+($L166)*Summary_LCIA!AC$32</f>
        <v>2.9889142390741906E-5</v>
      </c>
      <c r="BH166" s="16">
        <f>$W166*AM166+($L166)*Summary_LCIA!AD$32</f>
        <v>0.10502236679290315</v>
      </c>
      <c r="BI166" s="16">
        <f>$W166*AN166+($L166)*Summary_LCIA!AE$32</f>
        <v>0.30604990855947434</v>
      </c>
      <c r="BJ166" s="16">
        <f>$W166*AO166+($L166)*Summary_LCIA!AF$32</f>
        <v>2.6984280436931702E-2</v>
      </c>
      <c r="BK166" s="16">
        <f>$W166*AP166+($L166)*Summary_LCIA!AG$32</f>
        <v>5.632323271931701E-3</v>
      </c>
      <c r="BL166" s="16">
        <f>$W166*AQ166+($L166)*Summary_LCIA!AH$32</f>
        <v>0.83991707933300219</v>
      </c>
      <c r="BM166" s="16">
        <f>$W166*AR166+($L166)*Summary_LCIA!AI$32</f>
        <v>0.26943317945303075</v>
      </c>
      <c r="BN166" s="16"/>
    </row>
    <row r="167" spans="1:66" x14ac:dyDescent="0.25">
      <c r="A167" s="159">
        <v>45</v>
      </c>
      <c r="B167" s="159">
        <v>6</v>
      </c>
      <c r="C167" s="45">
        <v>40.698720999999999</v>
      </c>
      <c r="D167" s="45">
        <v>-75.211763000000005</v>
      </c>
      <c r="E167" s="45" t="s">
        <v>265</v>
      </c>
      <c r="F167" s="159">
        <v>43</v>
      </c>
      <c r="G167" s="45" t="s">
        <v>565</v>
      </c>
      <c r="H167" s="45" t="s">
        <v>632</v>
      </c>
      <c r="I167" s="45">
        <v>40.689531000000002</v>
      </c>
      <c r="J167" s="45">
        <v>-74.174462000000005</v>
      </c>
      <c r="K167" s="45">
        <v>88.768893129999995</v>
      </c>
      <c r="L167" s="45">
        <v>99.001999999999995</v>
      </c>
      <c r="M167" s="45" t="s">
        <v>617</v>
      </c>
      <c r="N167" s="159">
        <v>5</v>
      </c>
      <c r="O167" s="159">
        <v>6</v>
      </c>
      <c r="P167" s="45" t="s">
        <v>565</v>
      </c>
      <c r="Q167" s="45" t="s">
        <v>564</v>
      </c>
      <c r="R167" s="45">
        <v>41.98028</v>
      </c>
      <c r="S167" s="45">
        <v>-87.908997900000003</v>
      </c>
      <c r="T167" s="45">
        <v>1209.4449999999999</v>
      </c>
      <c r="U167" s="45" t="s">
        <v>617</v>
      </c>
      <c r="V167" s="45" t="s">
        <v>569</v>
      </c>
      <c r="W167" s="45" cm="1">
        <f t="array" ref="W167">getDistance(R167,S167,I167,J167)*SA!$B$12</f>
        <v>1157.3544072648172</v>
      </c>
      <c r="X167" s="22"/>
      <c r="Y167" s="16">
        <f>Transportation_LCIA!C$61*($W167^Transportation_LCIA!C$60)+Transportation_LCIA!C$62</f>
        <v>0.22125487054982909</v>
      </c>
      <c r="Z167" s="16">
        <f>Transportation_LCIA!D$61*($W167^Transportation_LCIA!D$60)+Transportation_LCIA!D$62</f>
        <v>2.2550976254597064</v>
      </c>
      <c r="AA167" s="16">
        <f>Transportation_LCIA!E$61*($W167^Transportation_LCIA!E$60)+Transportation_LCIA!E$62</f>
        <v>1.0323310860369151E-3</v>
      </c>
      <c r="AB167" s="16">
        <f>Transportation_LCIA!F$61*($W167^Transportation_LCIA!F$60)+Transportation_LCIA!F$62</f>
        <v>0.22125487054982909</v>
      </c>
      <c r="AC167" s="16">
        <f>Transportation_LCIA!G$61*($W167^Transportation_LCIA!G$60)+Transportation_LCIA!G$62</f>
        <v>5.2744888954963348E-2</v>
      </c>
      <c r="AD167" s="16">
        <f>Transportation_LCIA!H$61*($W167^Transportation_LCIA!H$60)+Transportation_LCIA!H$62</f>
        <v>2.5221347446689263E-4</v>
      </c>
      <c r="AE167" s="16">
        <f>Transportation_LCIA!I$61*($W167^Transportation_LCIA!I$60)+Transportation_LCIA!I$62</f>
        <v>5.3030314161226812E-6</v>
      </c>
      <c r="AF167" s="16">
        <f>Transportation_LCIA!J$61*($W167^Transportation_LCIA!J$60)+Transportation_LCIA!J$62</f>
        <v>7.8448001251838345E-3</v>
      </c>
      <c r="AG167" s="16">
        <f>Transportation_LCIA!K$61*($W167^Transportation_LCIA!K$60)+Transportation_LCIA!K$62</f>
        <v>1.1138126610856905E-2</v>
      </c>
      <c r="AH167" s="16">
        <f>Transportation_LCIA!L$61*($W167^Transportation_LCIA!L$60)+Transportation_LCIA!L$62</f>
        <v>2.173000581713352E-4</v>
      </c>
      <c r="AI167" s="16">
        <f>Transportation_LCIA!M$61*($W167^Transportation_LCIA!M$60)+Transportation_LCIA!M$62</f>
        <v>2.3004244817644541E-4</v>
      </c>
      <c r="AJ167" s="16">
        <f>Transportation_LCIA!N$61*($W167^Transportation_LCIA!N$60)+Transportation_LCIA!N$62</f>
        <v>9.0718132319716257E-4</v>
      </c>
      <c r="AK167" s="16">
        <f>Transportation_LCIA!O$61*($W167^Transportation_LCIA!O$60)+Transportation_LCIA!O$62</f>
        <v>5.5712603527285817E-5</v>
      </c>
      <c r="AL167" s="16">
        <f>Transportation_LCIA!P$61*($W167^Transportation_LCIA!P$60)+Transportation_LCIA!P$62</f>
        <v>2.6954451201708154E-8</v>
      </c>
      <c r="AM167" s="16">
        <f>Transportation_LCIA!Q$61*($W167^Transportation_LCIA!Q$60)+Transportation_LCIA!Q$62</f>
        <v>8.6129062862737627E-5</v>
      </c>
      <c r="AN167" s="16">
        <f>Transportation_LCIA!R$61*($W167^Transportation_LCIA!R$60)+Transportation_LCIA!R$62</f>
        <v>2.5514126484247728E-4</v>
      </c>
      <c r="AO167" s="16">
        <f>Transportation_LCIA!S$61*($W167^Transportation_LCIA!S$60)+Transportation_LCIA!S$62</f>
        <v>3.8783860198243708E-6</v>
      </c>
      <c r="AP167" s="16">
        <f>Transportation_LCIA!T$61*($W167^Transportation_LCIA!T$60)+Transportation_LCIA!T$62</f>
        <v>3.8783860198243708E-6</v>
      </c>
      <c r="AQ167" s="16">
        <f>Transportation_LCIA!U$61*($W167^Transportation_LCIA!U$60)+Transportation_LCIA!U$62</f>
        <v>5.4626083703188067E-4</v>
      </c>
      <c r="AR167" s="16">
        <f>Transportation_LCIA!V$61*($W167^Transportation_LCIA!V$60)+Transportation_LCIA!V$62</f>
        <v>2.2399696302769612E-4</v>
      </c>
      <c r="AT167" s="16">
        <f>$W167*Y167+($L167)*Summary_LCIA!H$32</f>
        <v>289.71117915965129</v>
      </c>
      <c r="AU167" s="16">
        <f>$W167*Z167+($L167)*Summary_LCIA!Q$32</f>
        <v>3100.6060806060809</v>
      </c>
      <c r="AV167" s="16">
        <f>$W167*AA167+($L167)*Summary_LCIA!R$32</f>
        <v>1.7160778633812988</v>
      </c>
      <c r="AW167" s="16">
        <f>$W167*AB167+($L167)*Summary_LCIA!S$32</f>
        <v>289.2735903196513</v>
      </c>
      <c r="AX167" s="16">
        <f>$W167*AC167+($L167)*Summary_LCIA!T$32</f>
        <v>71.924849492720199</v>
      </c>
      <c r="AY167" s="16">
        <f>$W167*AD167+($L167)*Summary_LCIA!U$32</f>
        <v>2.0654222042458303</v>
      </c>
      <c r="AZ167" s="16">
        <f>$W167*AE167+($L167)*Summary_LCIA!V$32</f>
        <v>1.086592130331337E-2</v>
      </c>
      <c r="BA167" s="16">
        <f>$W167*AF167+($L167)*Summary_LCIA!W$32</f>
        <v>16.6994969409931</v>
      </c>
      <c r="BB167" s="16">
        <f>$W167*AG167+($L167)*Summary_LCIA!X$32</f>
        <v>15.146025481748779</v>
      </c>
      <c r="BC167" s="16">
        <f>$W167*AH167+($L167)*Summary_LCIA!Y$32</f>
        <v>1.7941423440234958</v>
      </c>
      <c r="BD167" s="16">
        <f>$W167*AI167+($L167)*Summary_LCIA!Z$32</f>
        <v>0.2703006142729974</v>
      </c>
      <c r="BE167" s="16">
        <f>$W167*AJ167+($L167)*Summary_LCIA!AA$32</f>
        <v>3.3622210145905642</v>
      </c>
      <c r="BF167" s="16">
        <f>$W167*AK167+($L167)*Summary_LCIA!AB$32</f>
        <v>6.231870658650164E-2</v>
      </c>
      <c r="BG167" s="16">
        <f>$W167*AL167+($L167)*Summary_LCIA!AC$32</f>
        <v>3.6035466661701377E-5</v>
      </c>
      <c r="BH167" s="16">
        <f>$W167*AM167+($L167)*Summary_LCIA!AD$32</f>
        <v>0.14037563257777788</v>
      </c>
      <c r="BI167" s="16">
        <f>$W167*AN167+($L167)*Summary_LCIA!AE$32</f>
        <v>0.38301750960056102</v>
      </c>
      <c r="BJ167" s="16">
        <f>$W167*AO167+($L167)*Summary_LCIA!AF$32</f>
        <v>8.8186937993117998E-2</v>
      </c>
      <c r="BK167" s="16">
        <f>$W167*AP167+($L167)*Summary_LCIA!AG$32</f>
        <v>9.5541044831179874E-3</v>
      </c>
      <c r="BL167" s="16">
        <f>$W167*AQ167+($L167)*Summary_LCIA!AH$32</f>
        <v>1.4938911944550151</v>
      </c>
      <c r="BM167" s="16">
        <f>$W167*AR167+($L167)*Summary_LCIA!AI$32</f>
        <v>0.35146918547403838</v>
      </c>
      <c r="BN167" s="16"/>
    </row>
    <row r="168" spans="1:66" x14ac:dyDescent="0.25">
      <c r="A168" s="159">
        <v>18</v>
      </c>
      <c r="B168" s="159">
        <v>6</v>
      </c>
      <c r="C168" s="45">
        <v>34.679338999999999</v>
      </c>
      <c r="D168" s="45">
        <v>-82.835136000000006</v>
      </c>
      <c r="E168" s="45" t="s">
        <v>265</v>
      </c>
      <c r="F168" s="159">
        <v>34</v>
      </c>
      <c r="G168" s="45" t="s">
        <v>565</v>
      </c>
      <c r="H168" s="45" t="s">
        <v>633</v>
      </c>
      <c r="I168" s="45">
        <v>35.214402999999997</v>
      </c>
      <c r="J168" s="45">
        <v>-80.947315000000003</v>
      </c>
      <c r="K168" s="45">
        <v>198.3898093</v>
      </c>
      <c r="L168" s="45">
        <v>211.65</v>
      </c>
      <c r="M168" s="45" t="s">
        <v>617</v>
      </c>
      <c r="N168" s="159">
        <v>5</v>
      </c>
      <c r="O168" s="159">
        <v>6</v>
      </c>
      <c r="P168" s="45" t="s">
        <v>565</v>
      </c>
      <c r="Q168" s="45" t="s">
        <v>564</v>
      </c>
      <c r="R168" s="45">
        <v>41.98028</v>
      </c>
      <c r="S168" s="45">
        <v>-87.908997900000003</v>
      </c>
      <c r="T168" s="45">
        <v>1212.29</v>
      </c>
      <c r="U168" s="45" t="s">
        <v>617</v>
      </c>
      <c r="V168" s="45" t="s">
        <v>569</v>
      </c>
      <c r="W168" s="45" cm="1">
        <f t="array" ref="W168">getDistance(R168,S168,I168,J168)*SA!$B$12</f>
        <v>965.81934331629839</v>
      </c>
      <c r="X168" s="22"/>
      <c r="Y168" s="16">
        <f>Transportation_LCIA!C$61*($W168^Transportation_LCIA!C$60)+Transportation_LCIA!C$62</f>
        <v>0.23917916746170043</v>
      </c>
      <c r="Z168" s="16">
        <f>Transportation_LCIA!D$61*($W168^Transportation_LCIA!D$60)+Transportation_LCIA!D$62</f>
        <v>2.4637498822292629</v>
      </c>
      <c r="AA168" s="16">
        <f>Transportation_LCIA!E$61*($W168^Transportation_LCIA!E$60)+Transportation_LCIA!E$62</f>
        <v>1.1694202797749105E-3</v>
      </c>
      <c r="AB168" s="16">
        <f>Transportation_LCIA!F$61*($W168^Transportation_LCIA!F$60)+Transportation_LCIA!F$62</f>
        <v>0.23917916746170043</v>
      </c>
      <c r="AC168" s="16">
        <f>Transportation_LCIA!G$61*($W168^Transportation_LCIA!G$60)+Transportation_LCIA!G$62</f>
        <v>5.7572922745648923E-2</v>
      </c>
      <c r="AD168" s="16">
        <f>Transportation_LCIA!H$61*($W168^Transportation_LCIA!H$60)+Transportation_LCIA!H$62</f>
        <v>2.8231462329926001E-4</v>
      </c>
      <c r="AE168" s="16">
        <f>Transportation_LCIA!I$61*($W168^Transportation_LCIA!I$60)+Transportation_LCIA!I$62</f>
        <v>6.0590881500882351E-6</v>
      </c>
      <c r="AF168" s="16">
        <f>Transportation_LCIA!J$61*($W168^Transportation_LCIA!J$60)+Transportation_LCIA!J$62</f>
        <v>8.9691244315593405E-3</v>
      </c>
      <c r="AG168" s="16">
        <f>Transportation_LCIA!K$61*($W168^Transportation_LCIA!K$60)+Transportation_LCIA!K$62</f>
        <v>1.2263721703450336E-2</v>
      </c>
      <c r="AH168" s="16">
        <f>Transportation_LCIA!L$61*($W168^Transportation_LCIA!L$60)+Transportation_LCIA!L$62</f>
        <v>2.449555211742904E-4</v>
      </c>
      <c r="AI168" s="16">
        <f>Transportation_LCIA!M$61*($W168^Transportation_LCIA!M$60)+Transportation_LCIA!M$62</f>
        <v>2.4665373974360274E-4</v>
      </c>
      <c r="AJ168" s="16">
        <f>Transportation_LCIA!N$61*($W168^Transportation_LCIA!N$60)+Transportation_LCIA!N$62</f>
        <v>1.0084044075747351E-3</v>
      </c>
      <c r="AK168" s="16">
        <f>Transportation_LCIA!O$61*($W168^Transportation_LCIA!O$60)+Transportation_LCIA!O$62</f>
        <v>6.0842656849062702E-5</v>
      </c>
      <c r="AL168" s="16">
        <f>Transportation_LCIA!P$61*($W168^Transportation_LCIA!P$60)+Transportation_LCIA!P$62</f>
        <v>2.9421386486163209E-8</v>
      </c>
      <c r="AM168" s="16">
        <f>Transportation_LCIA!Q$61*($W168^Transportation_LCIA!Q$60)+Transportation_LCIA!Q$62</f>
        <v>9.693865430446136E-5</v>
      </c>
      <c r="AN168" s="16">
        <f>Transportation_LCIA!R$61*($W168^Transportation_LCIA!R$60)+Transportation_LCIA!R$62</f>
        <v>2.9139446096429532E-4</v>
      </c>
      <c r="AO168" s="16">
        <f>Transportation_LCIA!S$61*($W168^Transportation_LCIA!S$60)+Transportation_LCIA!S$62</f>
        <v>4.3929473757171984E-6</v>
      </c>
      <c r="AP168" s="16">
        <f>Transportation_LCIA!T$61*($W168^Transportation_LCIA!T$60)+Transportation_LCIA!T$62</f>
        <v>4.3929473757171984E-6</v>
      </c>
      <c r="AQ168" s="16">
        <f>Transportation_LCIA!U$61*($W168^Transportation_LCIA!U$60)+Transportation_LCIA!U$62</f>
        <v>6.2573096450825355E-4</v>
      </c>
      <c r="AR168" s="16">
        <f>Transportation_LCIA!V$61*($W168^Transportation_LCIA!V$60)+Transportation_LCIA!V$62</f>
        <v>2.5210555325466699E-4</v>
      </c>
      <c r="AT168" s="16">
        <f>$W168*Y168+($L168)*Summary_LCIA!H$32</f>
        <v>302.92253645279845</v>
      </c>
      <c r="AU168" s="16">
        <f>$W168*Z168+($L168)*Summary_LCIA!Q$32</f>
        <v>3428.485367494724</v>
      </c>
      <c r="AV168" s="16">
        <f>$W168*AA168+($L168)*Summary_LCIA!R$32</f>
        <v>2.243912966672966</v>
      </c>
      <c r="AW168" s="16">
        <f>$W168*AB168+($L168)*Summary_LCIA!S$32</f>
        <v>301.98704345279845</v>
      </c>
      <c r="AX168" s="16">
        <f>$W168*AC168+($L168)*Summary_LCIA!T$32</f>
        <v>78.865377439002629</v>
      </c>
      <c r="AY168" s="16">
        <f>$W168*AD168+($L168)*Summary_LCIA!U$32</f>
        <v>4.0641630240834798</v>
      </c>
      <c r="AZ168" s="16">
        <f>$W168*AE168+($L168)*Summary_LCIA!V$32</f>
        <v>1.5960600188213783E-2</v>
      </c>
      <c r="BA168" s="16">
        <f>$W168*AF168+($L168)*Summary_LCIA!W$32</f>
        <v>24.953466018610811</v>
      </c>
      <c r="BB168" s="16">
        <f>$W168*AG168+($L168)*Summary_LCIA!X$32</f>
        <v>16.66592664224024</v>
      </c>
      <c r="BC168" s="16">
        <f>$W168*AH168+($L168)*Summary_LCIA!Y$32</f>
        <v>3.5345130806022547</v>
      </c>
      <c r="BD168" s="16">
        <f>$W168*AI168+($L168)*Summary_LCIA!Z$32</f>
        <v>0.24690250779567557</v>
      </c>
      <c r="BE168" s="16">
        <f>$W168*AJ168+($L168)*Summary_LCIA!AA$32</f>
        <v>5.9172338827210913</v>
      </c>
      <c r="BF168" s="16">
        <f>$W168*AK168+($L168)*Summary_LCIA!AB$32</f>
        <v>5.4144176933580618E-2</v>
      </c>
      <c r="BG168" s="16">
        <f>$W168*AL168+($L168)*Summary_LCIA!AC$32</f>
        <v>3.8762042775521168E-5</v>
      </c>
      <c r="BH168" s="16">
        <f>$W168*AM168+($L168)*Summary_LCIA!AD$32</f>
        <v>0.18062184344230053</v>
      </c>
      <c r="BI168" s="16">
        <f>$W168*AN168+($L168)*Summary_LCIA!AE$32</f>
        <v>0.46898382143454242</v>
      </c>
      <c r="BJ168" s="16">
        <f>$W168*AO168+($L168)*Summary_LCIA!AF$32</f>
        <v>0.18317593654963826</v>
      </c>
      <c r="BK168" s="16">
        <f>$W168*AP168+($L168)*Summary_LCIA!AG$32</f>
        <v>1.5071865799638241E-2</v>
      </c>
      <c r="BL168" s="16">
        <f>$W168*AQ168+($L168)*Summary_LCIA!AH$32</f>
        <v>2.4464600092340358</v>
      </c>
      <c r="BM168" s="16">
        <f>$W168*AR168+($L168)*Summary_LCIA!AI$32</f>
        <v>0.4406509773908146</v>
      </c>
      <c r="BN168" s="16"/>
    </row>
    <row r="169" spans="1:66" x14ac:dyDescent="0.25">
      <c r="A169" s="159">
        <v>76</v>
      </c>
      <c r="B169" s="159">
        <v>6</v>
      </c>
      <c r="C169" s="45">
        <v>40.606834999999997</v>
      </c>
      <c r="D169" s="45">
        <v>-75.380168999999995</v>
      </c>
      <c r="E169" s="45" t="s">
        <v>265</v>
      </c>
      <c r="F169" s="159">
        <v>43</v>
      </c>
      <c r="G169" s="45" t="s">
        <v>565</v>
      </c>
      <c r="H169" s="45" t="s">
        <v>632</v>
      </c>
      <c r="I169" s="45">
        <v>40.689531000000002</v>
      </c>
      <c r="J169" s="45">
        <v>-74.174462000000005</v>
      </c>
      <c r="K169" s="45">
        <v>105.6453843</v>
      </c>
      <c r="L169" s="45">
        <v>119.545</v>
      </c>
      <c r="M169" s="45" t="s">
        <v>617</v>
      </c>
      <c r="N169" s="159">
        <v>5</v>
      </c>
      <c r="O169" s="159">
        <v>6</v>
      </c>
      <c r="P169" s="45" t="s">
        <v>565</v>
      </c>
      <c r="Q169" s="45" t="s">
        <v>564</v>
      </c>
      <c r="R169" s="45">
        <v>41.98028</v>
      </c>
      <c r="S169" s="45">
        <v>-87.908997900000003</v>
      </c>
      <c r="T169" s="45">
        <v>1212.3969999999999</v>
      </c>
      <c r="U169" s="45" t="s">
        <v>617</v>
      </c>
      <c r="V169" s="45" t="s">
        <v>569</v>
      </c>
      <c r="W169" s="45" cm="1">
        <f t="array" ref="W169">getDistance(R169,S169,I169,J169)*SA!$B$12</f>
        <v>1157.3544072648172</v>
      </c>
      <c r="X169" s="22"/>
      <c r="Y169" s="16">
        <f>Transportation_LCIA!C$61*($W169^Transportation_LCIA!C$60)+Transportation_LCIA!C$62</f>
        <v>0.22125487054982909</v>
      </c>
      <c r="Z169" s="16">
        <f>Transportation_LCIA!D$61*($W169^Transportation_LCIA!D$60)+Transportation_LCIA!D$62</f>
        <v>2.2550976254597064</v>
      </c>
      <c r="AA169" s="16">
        <f>Transportation_LCIA!E$61*($W169^Transportation_LCIA!E$60)+Transportation_LCIA!E$62</f>
        <v>1.0323310860369151E-3</v>
      </c>
      <c r="AB169" s="16">
        <f>Transportation_LCIA!F$61*($W169^Transportation_LCIA!F$60)+Transportation_LCIA!F$62</f>
        <v>0.22125487054982909</v>
      </c>
      <c r="AC169" s="16">
        <f>Transportation_LCIA!G$61*($W169^Transportation_LCIA!G$60)+Transportation_LCIA!G$62</f>
        <v>5.2744888954963348E-2</v>
      </c>
      <c r="AD169" s="16">
        <f>Transportation_LCIA!H$61*($W169^Transportation_LCIA!H$60)+Transportation_LCIA!H$62</f>
        <v>2.5221347446689263E-4</v>
      </c>
      <c r="AE169" s="16">
        <f>Transportation_LCIA!I$61*($W169^Transportation_LCIA!I$60)+Transportation_LCIA!I$62</f>
        <v>5.3030314161226812E-6</v>
      </c>
      <c r="AF169" s="16">
        <f>Transportation_LCIA!J$61*($W169^Transportation_LCIA!J$60)+Transportation_LCIA!J$62</f>
        <v>7.8448001251838345E-3</v>
      </c>
      <c r="AG169" s="16">
        <f>Transportation_LCIA!K$61*($W169^Transportation_LCIA!K$60)+Transportation_LCIA!K$62</f>
        <v>1.1138126610856905E-2</v>
      </c>
      <c r="AH169" s="16">
        <f>Transportation_LCIA!L$61*($W169^Transportation_LCIA!L$60)+Transportation_LCIA!L$62</f>
        <v>2.173000581713352E-4</v>
      </c>
      <c r="AI169" s="16">
        <f>Transportation_LCIA!M$61*($W169^Transportation_LCIA!M$60)+Transportation_LCIA!M$62</f>
        <v>2.3004244817644541E-4</v>
      </c>
      <c r="AJ169" s="16">
        <f>Transportation_LCIA!N$61*($W169^Transportation_LCIA!N$60)+Transportation_LCIA!N$62</f>
        <v>9.0718132319716257E-4</v>
      </c>
      <c r="AK169" s="16">
        <f>Transportation_LCIA!O$61*($W169^Transportation_LCIA!O$60)+Transportation_LCIA!O$62</f>
        <v>5.5712603527285817E-5</v>
      </c>
      <c r="AL169" s="16">
        <f>Transportation_LCIA!P$61*($W169^Transportation_LCIA!P$60)+Transportation_LCIA!P$62</f>
        <v>2.6954451201708154E-8</v>
      </c>
      <c r="AM169" s="16">
        <f>Transportation_LCIA!Q$61*($W169^Transportation_LCIA!Q$60)+Transportation_LCIA!Q$62</f>
        <v>8.6129062862737627E-5</v>
      </c>
      <c r="AN169" s="16">
        <f>Transportation_LCIA!R$61*($W169^Transportation_LCIA!R$60)+Transportation_LCIA!R$62</f>
        <v>2.5514126484247728E-4</v>
      </c>
      <c r="AO169" s="16">
        <f>Transportation_LCIA!S$61*($W169^Transportation_LCIA!S$60)+Transportation_LCIA!S$62</f>
        <v>3.8783860198243708E-6</v>
      </c>
      <c r="AP169" s="16">
        <f>Transportation_LCIA!T$61*($W169^Transportation_LCIA!T$60)+Transportation_LCIA!T$62</f>
        <v>3.8783860198243708E-6</v>
      </c>
      <c r="AQ169" s="16">
        <f>Transportation_LCIA!U$61*($W169^Transportation_LCIA!U$60)+Transportation_LCIA!U$62</f>
        <v>5.4626083703188067E-4</v>
      </c>
      <c r="AR169" s="16">
        <f>Transportation_LCIA!V$61*($W169^Transportation_LCIA!V$60)+Transportation_LCIA!V$62</f>
        <v>2.2399696302769612E-4</v>
      </c>
      <c r="AT169" s="16">
        <f>$W169*Y169+($L169)*Summary_LCIA!H$32</f>
        <v>296.69169055965131</v>
      </c>
      <c r="AU169" s="16">
        <f>$W169*Z169+($L169)*Summary_LCIA!Q$32</f>
        <v>3202.4182246512</v>
      </c>
      <c r="AV169" s="16">
        <f>$W169*AA169+($L169)*Summary_LCIA!R$32</f>
        <v>1.8242490841812988</v>
      </c>
      <c r="AW169" s="16">
        <f>$W169*AB169+($L169)*Summary_LCIA!S$32</f>
        <v>296.16330165965127</v>
      </c>
      <c r="AX169" s="16">
        <f>$W169*AC169+($L169)*Summary_LCIA!T$32</f>
        <v>74.182525192720206</v>
      </c>
      <c r="AY169" s="16">
        <f>$W169*AD169+($L169)*Summary_LCIA!U$32</f>
        <v>2.4334295062458304</v>
      </c>
      <c r="AZ169" s="16">
        <f>$W169*AE169+($L169)*Summary_LCIA!V$32</f>
        <v>1.184707552631337E-2</v>
      </c>
      <c r="BA169" s="16">
        <f>$W169*AF169+($L169)*Summary_LCIA!W$32</f>
        <v>18.2807121939931</v>
      </c>
      <c r="BB169" s="16">
        <f>$W169*AG169+($L169)*Summary_LCIA!X$32</f>
        <v>15.61399502174878</v>
      </c>
      <c r="BC169" s="16">
        <f>$W169*AH169+($L169)*Summary_LCIA!Y$32</f>
        <v>2.1142433700234959</v>
      </c>
      <c r="BD169" s="16">
        <f>$W169*AI169+($L169)*Summary_LCIA!Z$32</f>
        <v>0.27114306215999739</v>
      </c>
      <c r="BE169" s="16">
        <f>$W169*AJ169+($L169)*Summary_LCIA!AA$32</f>
        <v>3.8420233225905642</v>
      </c>
      <c r="BF169" s="16">
        <f>$W169*AK169+($L169)*Summary_LCIA!AB$32</f>
        <v>6.1870396697501641E-2</v>
      </c>
      <c r="BG169" s="16">
        <f>$W169*AL169+($L169)*Summary_LCIA!AC$32</f>
        <v>3.703969067370138E-5</v>
      </c>
      <c r="BH169" s="16">
        <f>$W169*AM169+($L169)*Summary_LCIA!AD$32</f>
        <v>0.14881962729777787</v>
      </c>
      <c r="BI169" s="16">
        <f>$W169*AN169+($L169)*Summary_LCIA!AE$32</f>
        <v>0.40122127819056103</v>
      </c>
      <c r="BJ169" s="16">
        <f>$W169*AO169+($L169)*Summary_LCIA!AF$32</f>
        <v>0.105554401053118</v>
      </c>
      <c r="BK169" s="16">
        <f>$W169*AP169+($L169)*Summary_LCIA!AG$32</f>
        <v>1.0605187078117988E-2</v>
      </c>
      <c r="BL169" s="16">
        <f>$W169*AQ169+($L169)*Summary_LCIA!AH$32</f>
        <v>1.6726892492550154</v>
      </c>
      <c r="BM169" s="16">
        <f>$W169*AR169+($L169)*Summary_LCIA!AI$32</f>
        <v>0.3706060171240384</v>
      </c>
      <c r="BN169" s="16"/>
    </row>
    <row r="170" spans="1:66" x14ac:dyDescent="0.25">
      <c r="A170" s="159">
        <v>247</v>
      </c>
      <c r="B170" s="159">
        <v>6</v>
      </c>
      <c r="C170" s="45">
        <v>40.883676999999999</v>
      </c>
      <c r="D170" s="45">
        <v>-74.657272000000006</v>
      </c>
      <c r="E170" s="45" t="s">
        <v>265</v>
      </c>
      <c r="F170" s="159">
        <v>43</v>
      </c>
      <c r="G170" s="45" t="s">
        <v>565</v>
      </c>
      <c r="H170" s="45" t="s">
        <v>632</v>
      </c>
      <c r="I170" s="45">
        <v>40.689531000000002</v>
      </c>
      <c r="J170" s="45">
        <v>-74.174462000000005</v>
      </c>
      <c r="K170" s="45">
        <v>48.085556680000003</v>
      </c>
      <c r="L170" s="45">
        <v>63.673000000000002</v>
      </c>
      <c r="M170" s="45" t="s">
        <v>617</v>
      </c>
      <c r="N170" s="159">
        <v>5</v>
      </c>
      <c r="O170" s="159">
        <v>6</v>
      </c>
      <c r="P170" s="45" t="s">
        <v>565</v>
      </c>
      <c r="Q170" s="45" t="s">
        <v>564</v>
      </c>
      <c r="R170" s="45">
        <v>41.98028</v>
      </c>
      <c r="S170" s="45">
        <v>-87.908997900000003</v>
      </c>
      <c r="T170" s="45">
        <v>1233.18</v>
      </c>
      <c r="U170" s="45" t="s">
        <v>617</v>
      </c>
      <c r="V170" s="45" t="s">
        <v>569</v>
      </c>
      <c r="W170" s="45" cm="1">
        <f t="array" ref="W170">getDistance(R170,S170,I170,J170)*SA!$B$12</f>
        <v>1157.3544072648172</v>
      </c>
      <c r="X170" s="22"/>
      <c r="Y170" s="16">
        <f>Transportation_LCIA!C$61*($W170^Transportation_LCIA!C$60)+Transportation_LCIA!C$62</f>
        <v>0.22125487054982909</v>
      </c>
      <c r="Z170" s="16">
        <f>Transportation_LCIA!D$61*($W170^Transportation_LCIA!D$60)+Transportation_LCIA!D$62</f>
        <v>2.2550976254597064</v>
      </c>
      <c r="AA170" s="16">
        <f>Transportation_LCIA!E$61*($W170^Transportation_LCIA!E$60)+Transportation_LCIA!E$62</f>
        <v>1.0323310860369151E-3</v>
      </c>
      <c r="AB170" s="16">
        <f>Transportation_LCIA!F$61*($W170^Transportation_LCIA!F$60)+Transportation_LCIA!F$62</f>
        <v>0.22125487054982909</v>
      </c>
      <c r="AC170" s="16">
        <f>Transportation_LCIA!G$61*($W170^Transportation_LCIA!G$60)+Transportation_LCIA!G$62</f>
        <v>5.2744888954963348E-2</v>
      </c>
      <c r="AD170" s="16">
        <f>Transportation_LCIA!H$61*($W170^Transportation_LCIA!H$60)+Transportation_LCIA!H$62</f>
        <v>2.5221347446689263E-4</v>
      </c>
      <c r="AE170" s="16">
        <f>Transportation_LCIA!I$61*($W170^Transportation_LCIA!I$60)+Transportation_LCIA!I$62</f>
        <v>5.3030314161226812E-6</v>
      </c>
      <c r="AF170" s="16">
        <f>Transportation_LCIA!J$61*($W170^Transportation_LCIA!J$60)+Transportation_LCIA!J$62</f>
        <v>7.8448001251838345E-3</v>
      </c>
      <c r="AG170" s="16">
        <f>Transportation_LCIA!K$61*($W170^Transportation_LCIA!K$60)+Transportation_LCIA!K$62</f>
        <v>1.1138126610856905E-2</v>
      </c>
      <c r="AH170" s="16">
        <f>Transportation_LCIA!L$61*($W170^Transportation_LCIA!L$60)+Transportation_LCIA!L$62</f>
        <v>2.173000581713352E-4</v>
      </c>
      <c r="AI170" s="16">
        <f>Transportation_LCIA!M$61*($W170^Transportation_LCIA!M$60)+Transportation_LCIA!M$62</f>
        <v>2.3004244817644541E-4</v>
      </c>
      <c r="AJ170" s="16">
        <f>Transportation_LCIA!N$61*($W170^Transportation_LCIA!N$60)+Transportation_LCIA!N$62</f>
        <v>9.0718132319716257E-4</v>
      </c>
      <c r="AK170" s="16">
        <f>Transportation_LCIA!O$61*($W170^Transportation_LCIA!O$60)+Transportation_LCIA!O$62</f>
        <v>5.5712603527285817E-5</v>
      </c>
      <c r="AL170" s="16">
        <f>Transportation_LCIA!P$61*($W170^Transportation_LCIA!P$60)+Transportation_LCIA!P$62</f>
        <v>2.6954451201708154E-8</v>
      </c>
      <c r="AM170" s="16">
        <f>Transportation_LCIA!Q$61*($W170^Transportation_LCIA!Q$60)+Transportation_LCIA!Q$62</f>
        <v>8.6129062862737627E-5</v>
      </c>
      <c r="AN170" s="16">
        <f>Transportation_LCIA!R$61*($W170^Transportation_LCIA!R$60)+Transportation_LCIA!R$62</f>
        <v>2.5514126484247728E-4</v>
      </c>
      <c r="AO170" s="16">
        <f>Transportation_LCIA!S$61*($W170^Transportation_LCIA!S$60)+Transportation_LCIA!S$62</f>
        <v>3.8783860198243708E-6</v>
      </c>
      <c r="AP170" s="16">
        <f>Transportation_LCIA!T$61*($W170^Transportation_LCIA!T$60)+Transportation_LCIA!T$62</f>
        <v>3.8783860198243708E-6</v>
      </c>
      <c r="AQ170" s="16">
        <f>Transportation_LCIA!U$61*($W170^Transportation_LCIA!U$60)+Transportation_LCIA!U$62</f>
        <v>5.4626083703188067E-4</v>
      </c>
      <c r="AR170" s="16">
        <f>Transportation_LCIA!V$61*($W170^Transportation_LCIA!V$60)+Transportation_LCIA!V$62</f>
        <v>2.2399696302769612E-4</v>
      </c>
      <c r="AT170" s="16">
        <f>$W170*Y170+($L170)*Summary_LCIA!H$32</f>
        <v>277.7063849596513</v>
      </c>
      <c r="AU170" s="16">
        <f>$W170*Z170+($L170)*Summary_LCIA!Q$32</f>
        <v>2925.5137748586239</v>
      </c>
      <c r="AV170" s="16">
        <f>$W170*AA170+($L170)*Summary_LCIA!R$32</f>
        <v>1.5300494809812988</v>
      </c>
      <c r="AW170" s="16">
        <f>$W170*AB170+($L170)*Summary_LCIA!S$32</f>
        <v>277.4249502996513</v>
      </c>
      <c r="AX170" s="16">
        <f>$W170*AC170+($L170)*Summary_LCIA!T$32</f>
        <v>68.04219239272021</v>
      </c>
      <c r="AY170" s="16">
        <f>$W170*AD170+($L170)*Summary_LCIA!U$32</f>
        <v>1.4325384982458305</v>
      </c>
      <c r="AZ170" s="16">
        <f>$W170*AE170+($L170)*Summary_LCIA!V$32</f>
        <v>9.1785729343133692E-3</v>
      </c>
      <c r="BA170" s="16">
        <f>$W170*AF170+($L170)*Summary_LCIA!W$32</f>
        <v>13.9801884819931</v>
      </c>
      <c r="BB170" s="16">
        <f>$W170*AG170+($L170)*Summary_LCIA!X$32</f>
        <v>14.34123086174878</v>
      </c>
      <c r="BC170" s="16">
        <f>$W170*AH170+($L170)*Summary_LCIA!Y$32</f>
        <v>1.2436458660234959</v>
      </c>
      <c r="BD170" s="16">
        <f>$W170*AI170+($L170)*Summary_LCIA!Z$32</f>
        <v>0.26885180731199743</v>
      </c>
      <c r="BE170" s="16">
        <f>$W170*AJ170+($L170)*Summary_LCIA!AA$32</f>
        <v>2.5370768905905647</v>
      </c>
      <c r="BF170" s="16">
        <f>$W170*AK170+($L170)*Summary_LCIA!AB$32</f>
        <v>6.3089691353501648E-2</v>
      </c>
      <c r="BG170" s="16">
        <f>$W170*AL170+($L170)*Summary_LCIA!AC$32</f>
        <v>3.4308443825701381E-5</v>
      </c>
      <c r="BH170" s="16">
        <f>$W170*AM170+($L170)*Summary_LCIA!AD$32</f>
        <v>0.12585400041777789</v>
      </c>
      <c r="BI170" s="16">
        <f>$W170*AN170+($L170)*Summary_LCIA!AE$32</f>
        <v>0.351711422830561</v>
      </c>
      <c r="BJ170" s="16">
        <f>$W170*AO170+($L170)*Summary_LCIA!AF$32</f>
        <v>5.8319094813117991E-2</v>
      </c>
      <c r="BK170" s="16">
        <f>$W170*AP170+($L170)*Summary_LCIA!AG$32</f>
        <v>7.7464961981179876E-3</v>
      </c>
      <c r="BL170" s="16">
        <f>$W170*AQ170+($L170)*Summary_LCIA!AH$32</f>
        <v>1.1864017100550153</v>
      </c>
      <c r="BM170" s="16">
        <f>$W170*AR170+($L170)*Summary_LCIA!AI$32</f>
        <v>0.31855845552403839</v>
      </c>
      <c r="BN170" s="16"/>
    </row>
    <row r="171" spans="1:66" x14ac:dyDescent="0.25">
      <c r="A171" s="159">
        <v>132</v>
      </c>
      <c r="B171" s="159">
        <v>6</v>
      </c>
      <c r="C171" s="45">
        <v>40.640934999999999</v>
      </c>
      <c r="D171" s="45">
        <v>-74.881277999999995</v>
      </c>
      <c r="E171" s="45" t="s">
        <v>265</v>
      </c>
      <c r="F171" s="159">
        <v>43</v>
      </c>
      <c r="G171" s="45" t="s">
        <v>565</v>
      </c>
      <c r="H171" s="45" t="s">
        <v>632</v>
      </c>
      <c r="I171" s="45">
        <v>40.689531000000002</v>
      </c>
      <c r="J171" s="45">
        <v>-74.174462000000005</v>
      </c>
      <c r="K171" s="45">
        <v>61.95024781</v>
      </c>
      <c r="L171" s="45">
        <v>66.501000000000005</v>
      </c>
      <c r="M171" s="45" t="s">
        <v>617</v>
      </c>
      <c r="N171" s="159">
        <v>5</v>
      </c>
      <c r="O171" s="159">
        <v>6</v>
      </c>
      <c r="P171" s="45" t="s">
        <v>565</v>
      </c>
      <c r="Q171" s="45" t="s">
        <v>564</v>
      </c>
      <c r="R171" s="45">
        <v>41.98028</v>
      </c>
      <c r="S171" s="45">
        <v>-87.908997900000003</v>
      </c>
      <c r="T171" s="45">
        <v>1235.0840000000001</v>
      </c>
      <c r="U171" s="45" t="s">
        <v>617</v>
      </c>
      <c r="V171" s="45" t="s">
        <v>569</v>
      </c>
      <c r="W171" s="45" cm="1">
        <f t="array" ref="W171">getDistance(R171,S171,I171,J171)*SA!$B$12</f>
        <v>1157.3544072648172</v>
      </c>
      <c r="X171" s="22"/>
      <c r="Y171" s="16">
        <f>Transportation_LCIA!C$61*($W171^Transportation_LCIA!C$60)+Transportation_LCIA!C$62</f>
        <v>0.22125487054982909</v>
      </c>
      <c r="Z171" s="16">
        <f>Transportation_LCIA!D$61*($W171^Transportation_LCIA!D$60)+Transportation_LCIA!D$62</f>
        <v>2.2550976254597064</v>
      </c>
      <c r="AA171" s="16">
        <f>Transportation_LCIA!E$61*($W171^Transportation_LCIA!E$60)+Transportation_LCIA!E$62</f>
        <v>1.0323310860369151E-3</v>
      </c>
      <c r="AB171" s="16">
        <f>Transportation_LCIA!F$61*($W171^Transportation_LCIA!F$60)+Transportation_LCIA!F$62</f>
        <v>0.22125487054982909</v>
      </c>
      <c r="AC171" s="16">
        <f>Transportation_LCIA!G$61*($W171^Transportation_LCIA!G$60)+Transportation_LCIA!G$62</f>
        <v>5.2744888954963348E-2</v>
      </c>
      <c r="AD171" s="16">
        <f>Transportation_LCIA!H$61*($W171^Transportation_LCIA!H$60)+Transportation_LCIA!H$62</f>
        <v>2.5221347446689263E-4</v>
      </c>
      <c r="AE171" s="16">
        <f>Transportation_LCIA!I$61*($W171^Transportation_LCIA!I$60)+Transportation_LCIA!I$62</f>
        <v>5.3030314161226812E-6</v>
      </c>
      <c r="AF171" s="16">
        <f>Transportation_LCIA!J$61*($W171^Transportation_LCIA!J$60)+Transportation_LCIA!J$62</f>
        <v>7.8448001251838345E-3</v>
      </c>
      <c r="AG171" s="16">
        <f>Transportation_LCIA!K$61*($W171^Transportation_LCIA!K$60)+Transportation_LCIA!K$62</f>
        <v>1.1138126610856905E-2</v>
      </c>
      <c r="AH171" s="16">
        <f>Transportation_LCIA!L$61*($W171^Transportation_LCIA!L$60)+Transportation_LCIA!L$62</f>
        <v>2.173000581713352E-4</v>
      </c>
      <c r="AI171" s="16">
        <f>Transportation_LCIA!M$61*($W171^Transportation_LCIA!M$60)+Transportation_LCIA!M$62</f>
        <v>2.3004244817644541E-4</v>
      </c>
      <c r="AJ171" s="16">
        <f>Transportation_LCIA!N$61*($W171^Transportation_LCIA!N$60)+Transportation_LCIA!N$62</f>
        <v>9.0718132319716257E-4</v>
      </c>
      <c r="AK171" s="16">
        <f>Transportation_LCIA!O$61*($W171^Transportation_LCIA!O$60)+Transportation_LCIA!O$62</f>
        <v>5.5712603527285817E-5</v>
      </c>
      <c r="AL171" s="16">
        <f>Transportation_LCIA!P$61*($W171^Transportation_LCIA!P$60)+Transportation_LCIA!P$62</f>
        <v>2.6954451201708154E-8</v>
      </c>
      <c r="AM171" s="16">
        <f>Transportation_LCIA!Q$61*($W171^Transportation_LCIA!Q$60)+Transportation_LCIA!Q$62</f>
        <v>8.6129062862737627E-5</v>
      </c>
      <c r="AN171" s="16">
        <f>Transportation_LCIA!R$61*($W171^Transportation_LCIA!R$60)+Transportation_LCIA!R$62</f>
        <v>2.5514126484247728E-4</v>
      </c>
      <c r="AO171" s="16">
        <f>Transportation_LCIA!S$61*($W171^Transportation_LCIA!S$60)+Transportation_LCIA!S$62</f>
        <v>3.8783860198243708E-6</v>
      </c>
      <c r="AP171" s="16">
        <f>Transportation_LCIA!T$61*($W171^Transportation_LCIA!T$60)+Transportation_LCIA!T$62</f>
        <v>3.8783860198243708E-6</v>
      </c>
      <c r="AQ171" s="16">
        <f>Transportation_LCIA!U$61*($W171^Transportation_LCIA!U$60)+Transportation_LCIA!U$62</f>
        <v>5.4626083703188067E-4</v>
      </c>
      <c r="AR171" s="16">
        <f>Transportation_LCIA!V$61*($W171^Transportation_LCIA!V$60)+Transportation_LCIA!V$62</f>
        <v>2.2399696302769612E-4</v>
      </c>
      <c r="AT171" s="16">
        <f>$W171*Y171+($L171)*Summary_LCIA!H$32</f>
        <v>278.66733935965129</v>
      </c>
      <c r="AU171" s="16">
        <f>$W171*Z171+($L171)*Summary_LCIA!Q$32</f>
        <v>2939.5294854831482</v>
      </c>
      <c r="AV171" s="16">
        <f>$W171*AA171+($L171)*Summary_LCIA!R$32</f>
        <v>1.5449405977812987</v>
      </c>
      <c r="AW171" s="16">
        <f>$W171*AB171+($L171)*Summary_LCIA!S$32</f>
        <v>278.37340493965127</v>
      </c>
      <c r="AX171" s="16">
        <f>$W171*AC171+($L171)*Summary_LCIA!T$32</f>
        <v>68.352989592720206</v>
      </c>
      <c r="AY171" s="16">
        <f>$W171*AD171+($L171)*Summary_LCIA!U$32</f>
        <v>1.4831992902458306</v>
      </c>
      <c r="AZ171" s="16">
        <f>$W171*AE171+($L171)*Summary_LCIA!V$32</f>
        <v>9.3136410423133708E-3</v>
      </c>
      <c r="BA171" s="16">
        <f>$W171*AF171+($L171)*Summary_LCIA!W$32</f>
        <v>14.197862469993101</v>
      </c>
      <c r="BB171" s="16">
        <f>$W171*AG171+($L171)*Summary_LCIA!X$32</f>
        <v>14.40565270174878</v>
      </c>
      <c r="BC171" s="16">
        <f>$W171*AH171+($L171)*Summary_LCIA!Y$32</f>
        <v>1.2877117620234961</v>
      </c>
      <c r="BD171" s="16">
        <f>$W171*AI171+($L171)*Summary_LCIA!Z$32</f>
        <v>0.26896778076399741</v>
      </c>
      <c r="BE171" s="16">
        <f>$W171*AJ171+($L171)*Summary_LCIA!AA$32</f>
        <v>2.6031276585905649</v>
      </c>
      <c r="BF171" s="16">
        <f>$W171*AK171+($L171)*Summary_LCIA!AB$32</f>
        <v>6.3027975909501641E-2</v>
      </c>
      <c r="BG171" s="16">
        <f>$W171*AL171+($L171)*Summary_LCIA!AC$32</f>
        <v>3.4446687777701377E-5</v>
      </c>
      <c r="BH171" s="16">
        <f>$W171*AM171+($L171)*Summary_LCIA!AD$32</f>
        <v>0.12701642153777787</v>
      </c>
      <c r="BI171" s="16">
        <f>$W171*AN171+($L171)*Summary_LCIA!AE$32</f>
        <v>0.35421739847056105</v>
      </c>
      <c r="BJ171" s="16">
        <f>$W171*AO171+($L171)*Summary_LCIA!AF$32</f>
        <v>6.0709942573117993E-2</v>
      </c>
      <c r="BK171" s="16">
        <f>$W171*AP171+($L171)*Summary_LCIA!AG$32</f>
        <v>7.8911908181179893E-3</v>
      </c>
      <c r="BL171" s="16">
        <f>$W171*AQ171+($L171)*Summary_LCIA!AH$32</f>
        <v>1.211015490855015</v>
      </c>
      <c r="BM171" s="16">
        <f>$W171*AR171+($L171)*Summary_LCIA!AI$32</f>
        <v>0.32119287892403842</v>
      </c>
      <c r="BN171" s="16"/>
    </row>
    <row r="172" spans="1:66" x14ac:dyDescent="0.25">
      <c r="A172" s="159">
        <v>379</v>
      </c>
      <c r="B172" s="159">
        <v>6</v>
      </c>
      <c r="C172" s="45">
        <v>39.744655000000002</v>
      </c>
      <c r="D172" s="45">
        <v>-75.548390999999995</v>
      </c>
      <c r="E172" s="45" t="s">
        <v>265</v>
      </c>
      <c r="F172" s="159">
        <v>80</v>
      </c>
      <c r="G172" s="45" t="s">
        <v>284</v>
      </c>
      <c r="H172" s="45" t="s">
        <v>715</v>
      </c>
      <c r="I172" s="45">
        <v>39.872929999999997</v>
      </c>
      <c r="J172" s="45">
        <v>-75.243667000000002</v>
      </c>
      <c r="K172" s="45">
        <v>34.755050079999997</v>
      </c>
      <c r="L172" s="45">
        <v>33.222000000000001</v>
      </c>
      <c r="M172" s="45" t="s">
        <v>617</v>
      </c>
      <c r="N172" s="159">
        <v>5</v>
      </c>
      <c r="O172" s="159">
        <v>6</v>
      </c>
      <c r="P172" s="45" t="s">
        <v>565</v>
      </c>
      <c r="Q172" s="45" t="s">
        <v>564</v>
      </c>
      <c r="R172" s="45">
        <v>41.98028</v>
      </c>
      <c r="S172" s="45">
        <v>-87.908997900000003</v>
      </c>
      <c r="T172" s="45">
        <v>1237.0260000000001</v>
      </c>
      <c r="U172" s="45" t="s">
        <v>617</v>
      </c>
      <c r="V172" s="45" t="s">
        <v>569</v>
      </c>
      <c r="W172" s="45" cm="1">
        <f t="array" ref="W172">getDistance(R172,S172,I172,J172)*SA!$B$12</f>
        <v>1091.1454299338914</v>
      </c>
      <c r="X172" s="22"/>
      <c r="Y172" s="16">
        <f>Transportation_LCIA!C$61*($W172^Transportation_LCIA!C$60)+Transportation_LCIA!C$62</f>
        <v>0.22679540007688292</v>
      </c>
      <c r="Z172" s="16">
        <f>Transportation_LCIA!D$61*($W172^Transportation_LCIA!D$60)+Transportation_LCIA!D$62</f>
        <v>2.3194170983754927</v>
      </c>
      <c r="AA172" s="16">
        <f>Transportation_LCIA!E$61*($W172^Transportation_LCIA!E$60)+Transportation_LCIA!E$62</f>
        <v>1.0745578591765215E-3</v>
      </c>
      <c r="AB172" s="16">
        <f>Transportation_LCIA!F$61*($W172^Transportation_LCIA!F$60)+Transportation_LCIA!F$62</f>
        <v>0.22679540007688292</v>
      </c>
      <c r="AC172" s="16">
        <f>Transportation_LCIA!G$61*($W172^Transportation_LCIA!G$60)+Transportation_LCIA!G$62</f>
        <v>5.4233424239251052E-2</v>
      </c>
      <c r="AD172" s="16">
        <f>Transportation_LCIA!H$61*($W172^Transportation_LCIA!H$60)+Transportation_LCIA!H$62</f>
        <v>2.6147123784092907E-4</v>
      </c>
      <c r="AE172" s="16">
        <f>Transportation_LCIA!I$61*($W172^Transportation_LCIA!I$60)+Transportation_LCIA!I$62</f>
        <v>5.5349899787117434E-6</v>
      </c>
      <c r="AF172" s="16">
        <f>Transportation_LCIA!J$61*($W172^Transportation_LCIA!J$60)+Transportation_LCIA!J$62</f>
        <v>8.1891894553502362E-3</v>
      </c>
      <c r="AG172" s="16">
        <f>Transportation_LCIA!K$61*($W172^Transportation_LCIA!K$60)+Transportation_LCIA!K$62</f>
        <v>1.1484679317651958E-2</v>
      </c>
      <c r="AH172" s="16">
        <f>Transportation_LCIA!L$61*($W172^Transportation_LCIA!L$60)+Transportation_LCIA!L$62</f>
        <v>2.2579969304881948E-4</v>
      </c>
      <c r="AI172" s="16">
        <f>Transportation_LCIA!M$61*($W172^Transportation_LCIA!M$60)+Transportation_LCIA!M$62</f>
        <v>2.3515091224536556E-4</v>
      </c>
      <c r="AJ172" s="16">
        <f>Transportation_LCIA!N$61*($W172^Transportation_LCIA!N$60)+Transportation_LCIA!N$62</f>
        <v>9.3831907824717161E-4</v>
      </c>
      <c r="AK172" s="16">
        <f>Transportation_LCIA!O$61*($W172^Transportation_LCIA!O$60)+Transportation_LCIA!O$62</f>
        <v>5.7294135563696903E-5</v>
      </c>
      <c r="AL172" s="16">
        <f>Transportation_LCIA!P$61*($W172^Transportation_LCIA!P$60)+Transportation_LCIA!P$62</f>
        <v>2.7715131947176666E-8</v>
      </c>
      <c r="AM172" s="16">
        <f>Transportation_LCIA!Q$61*($W172^Transportation_LCIA!Q$60)+Transportation_LCIA!Q$62</f>
        <v>8.9450033628902037E-5</v>
      </c>
      <c r="AN172" s="16">
        <f>Transportation_LCIA!R$61*($W172^Transportation_LCIA!R$60)+Transportation_LCIA!R$62</f>
        <v>2.6626310173854796E-4</v>
      </c>
      <c r="AO172" s="16">
        <f>Transportation_LCIA!S$61*($W172^Transportation_LCIA!S$60)+Transportation_LCIA!S$62</f>
        <v>4.0362616855959915E-6</v>
      </c>
      <c r="AP172" s="16">
        <f>Transportation_LCIA!T$61*($W172^Transportation_LCIA!T$60)+Transportation_LCIA!T$62</f>
        <v>4.0362616855959915E-6</v>
      </c>
      <c r="AQ172" s="16">
        <f>Transportation_LCIA!U$61*($W172^Transportation_LCIA!U$60)+Transportation_LCIA!U$62</f>
        <v>5.7062949228125137E-4</v>
      </c>
      <c r="AR172" s="16">
        <f>Transportation_LCIA!V$61*($W172^Transportation_LCIA!V$60)+Transportation_LCIA!V$62</f>
        <v>2.3262841413724871E-4</v>
      </c>
      <c r="AT172" s="16">
        <f>$W172*Y172+($L172)*Summary_LCIA!H$32</f>
        <v>258.75559992391931</v>
      </c>
      <c r="AU172" s="16">
        <f>$W172*Z172+($L172)*Summary_LCIA!Q$32</f>
        <v>2695.4712744880717</v>
      </c>
      <c r="AV172" s="16">
        <f>$W172*AA172+($L172)*Summary_LCIA!R$32</f>
        <v>1.3474326604400075</v>
      </c>
      <c r="AW172" s="16">
        <f>$W172*AB172+($L172)*Summary_LCIA!S$32</f>
        <v>258.60875868391929</v>
      </c>
      <c r="AX172" s="16">
        <f>$W172*AC172+($L172)*Summary_LCIA!T$32</f>
        <v>62.827650808324719</v>
      </c>
      <c r="AY172" s="16">
        <f>$W172*AD172+($L172)*Summary_LCIA!U$32</f>
        <v>0.88044205422928734</v>
      </c>
      <c r="AZ172" s="16">
        <f>$W172*AE172+($L172)*Summary_LCIA!V$32</f>
        <v>7.6261949620012055E-3</v>
      </c>
      <c r="BA172" s="16">
        <f>$W172*AF172+($L172)*Summary_LCIA!W$32</f>
        <v>11.492727211068225</v>
      </c>
      <c r="BB172" s="16">
        <f>$W172*AG172+($L172)*Summary_LCIA!X$32</f>
        <v>13.288252511712216</v>
      </c>
      <c r="BC172" s="16">
        <f>$W172*AH172+($L172)*Summary_LCIA!Y$32</f>
        <v>0.76404550715069486</v>
      </c>
      <c r="BD172" s="16">
        <f>$W172*AI172+($L172)*Summary_LCIA!Z$32</f>
        <v>0.25794624423931617</v>
      </c>
      <c r="BE172" s="16">
        <f>$W172*AJ172+($L172)*Summary_LCIA!AA$32</f>
        <v>1.7997756060491827</v>
      </c>
      <c r="BF172" s="16">
        <f>$W172*AK172+($L172)*Summary_LCIA!AB$32</f>
        <v>6.1791230476340712E-2</v>
      </c>
      <c r="BG172" s="16">
        <f>$W172*AL172+($L172)*Summary_LCIA!AC$32</f>
        <v>3.1865263812176606E-5</v>
      </c>
      <c r="BH172" s="16">
        <f>$W172*AM172+($L172)*Summary_LCIA!AD$32</f>
        <v>0.11125856628160935</v>
      </c>
      <c r="BI172" s="16">
        <f>$W172*AN172+($L172)*Summary_LCIA!AE$32</f>
        <v>0.31997077748203939</v>
      </c>
      <c r="BJ172" s="16">
        <f>$W172*AO172+($L172)*Summary_LCIA!AF$32</f>
        <v>3.2490691732255335E-2</v>
      </c>
      <c r="BK172" s="16">
        <f>$W172*AP172+($L172)*Summary_LCIA!AG$32</f>
        <v>6.1039521222553319E-3</v>
      </c>
      <c r="BL172" s="16">
        <f>$W172*AQ172+($L172)*Summary_LCIA!AH$32</f>
        <v>0.9117907618881842</v>
      </c>
      <c r="BM172" s="16">
        <f>$W172*AR172+($L172)*Summary_LCIA!AI$32</f>
        <v>0.2847793850586276</v>
      </c>
      <c r="BN172" s="16"/>
    </row>
    <row r="173" spans="1:66" x14ac:dyDescent="0.25">
      <c r="A173" s="159">
        <v>287</v>
      </c>
      <c r="B173" s="159">
        <v>6</v>
      </c>
      <c r="C173" s="45">
        <v>45.421529999999997</v>
      </c>
      <c r="D173" s="45">
        <v>-75.697192999999999</v>
      </c>
      <c r="E173" s="45" t="s">
        <v>456</v>
      </c>
      <c r="F173" s="159">
        <v>127</v>
      </c>
      <c r="G173" s="45" t="s">
        <v>635</v>
      </c>
      <c r="H173" s="45" t="s">
        <v>636</v>
      </c>
      <c r="I173" s="45">
        <v>45.319212</v>
      </c>
      <c r="J173" s="45">
        <v>-75.669165000000007</v>
      </c>
      <c r="K173" s="45">
        <v>15.884900010000001</v>
      </c>
      <c r="L173" s="45">
        <v>14.090999999999999</v>
      </c>
      <c r="M173" s="45" t="s">
        <v>617</v>
      </c>
      <c r="N173" s="159">
        <v>5</v>
      </c>
      <c r="O173" s="159">
        <v>6</v>
      </c>
      <c r="P173" s="45" t="s">
        <v>565</v>
      </c>
      <c r="Q173" s="45" t="s">
        <v>564</v>
      </c>
      <c r="R173" s="45">
        <v>41.98028</v>
      </c>
      <c r="S173" s="45">
        <v>-87.908997900000003</v>
      </c>
      <c r="T173" s="45">
        <v>1247.5260000000001</v>
      </c>
      <c r="U173" s="45" t="s">
        <v>617</v>
      </c>
      <c r="V173" s="45" t="s">
        <v>569</v>
      </c>
      <c r="W173" s="45" cm="1">
        <f t="array" ref="W173">getDistance(R173,S173,I173,J173)*SA!$B$12</f>
        <v>1053.7578160300604</v>
      </c>
      <c r="X173" s="22"/>
      <c r="Y173" s="16">
        <f>Transportation_LCIA!C$61*($W173^Transportation_LCIA!C$60)+Transportation_LCIA!C$62</f>
        <v>0.2302058960384834</v>
      </c>
      <c r="Z173" s="16">
        <f>Transportation_LCIA!D$61*($W173^Transportation_LCIA!D$60)+Transportation_LCIA!D$62</f>
        <v>2.3590896144287434</v>
      </c>
      <c r="AA173" s="16">
        <f>Transportation_LCIA!E$61*($W173^Transportation_LCIA!E$60)+Transportation_LCIA!E$62</f>
        <v>1.1006183580262686E-3</v>
      </c>
      <c r="AB173" s="16">
        <f>Transportation_LCIA!F$61*($W173^Transportation_LCIA!F$60)+Transportation_LCIA!F$62</f>
        <v>0.2302058960384834</v>
      </c>
      <c r="AC173" s="16">
        <f>Transportation_LCIA!G$61*($W173^Transportation_LCIA!G$60)+Transportation_LCIA!G$62</f>
        <v>5.5151450331228188E-2</v>
      </c>
      <c r="AD173" s="16">
        <f>Transportation_LCIA!H$61*($W173^Transportation_LCIA!H$60)+Transportation_LCIA!H$62</f>
        <v>2.6719115721149958E-4</v>
      </c>
      <c r="AE173" s="16">
        <f>Transportation_LCIA!I$61*($W173^Transportation_LCIA!I$60)+Transportation_LCIA!I$62</f>
        <v>5.6785659396340384E-6</v>
      </c>
      <c r="AF173" s="16">
        <f>Transportation_LCIA!J$61*($W173^Transportation_LCIA!J$60)+Transportation_LCIA!J$62</f>
        <v>8.4026096067839791E-3</v>
      </c>
      <c r="AG173" s="16">
        <f>Transportation_LCIA!K$61*($W173^Transportation_LCIA!K$60)+Transportation_LCIA!K$62</f>
        <v>1.1698628282294296E-2</v>
      </c>
      <c r="AH173" s="16">
        <f>Transportation_LCIA!L$61*($W173^Transportation_LCIA!L$60)+Transportation_LCIA!L$62</f>
        <v>2.3105391430987529E-4</v>
      </c>
      <c r="AI173" s="16">
        <f>Transportation_LCIA!M$61*($W173^Transportation_LCIA!M$60)+Transportation_LCIA!M$62</f>
        <v>2.3830737603603661E-4</v>
      </c>
      <c r="AJ173" s="16">
        <f>Transportation_LCIA!N$61*($W173^Transportation_LCIA!N$60)+Transportation_LCIA!N$62</f>
        <v>9.5755480239030665E-4</v>
      </c>
      <c r="AK173" s="16">
        <f>Transportation_LCIA!O$61*($W173^Transportation_LCIA!O$60)+Transportation_LCIA!O$62</f>
        <v>5.8269570018605201E-5</v>
      </c>
      <c r="AL173" s="16">
        <f>Transportation_LCIA!P$61*($W173^Transportation_LCIA!P$60)+Transportation_LCIA!P$62</f>
        <v>2.8184222840597278E-8</v>
      </c>
      <c r="AM173" s="16">
        <f>Transportation_LCIA!Q$61*($W173^Transportation_LCIA!Q$60)+Transportation_LCIA!Q$62</f>
        <v>9.1503529748422762E-5</v>
      </c>
      <c r="AN173" s="16">
        <f>Transportation_LCIA!R$61*($W173^Transportation_LCIA!R$60)+Transportation_LCIA!R$62</f>
        <v>2.7314751403325591E-4</v>
      </c>
      <c r="AO173" s="16">
        <f>Transportation_LCIA!S$61*($W173^Transportation_LCIA!S$60)+Transportation_LCIA!S$62</f>
        <v>4.1339787226651879E-6</v>
      </c>
      <c r="AP173" s="16">
        <f>Transportation_LCIA!T$61*($W173^Transportation_LCIA!T$60)+Transportation_LCIA!T$62</f>
        <v>4.1339787226651879E-6</v>
      </c>
      <c r="AQ173" s="16">
        <f>Transportation_LCIA!U$61*($W173^Transportation_LCIA!U$60)+Transportation_LCIA!U$62</f>
        <v>5.8571886780824827E-4</v>
      </c>
      <c r="AR173" s="16">
        <f>Transportation_LCIA!V$61*($W173^Transportation_LCIA!V$60)+Transportation_LCIA!V$62</f>
        <v>2.3796751819823677E-4</v>
      </c>
      <c r="AT173" s="16">
        <f>$W173*Y173+($L173)*Summary_LCIA!H$32</f>
        <v>247.36938404675541</v>
      </c>
      <c r="AU173" s="16">
        <f>$W173*Z173+($L173)*Summary_LCIA!Q$32</f>
        <v>2555.7448265710332</v>
      </c>
      <c r="AV173" s="16">
        <f>$W173*AA173+($L173)*Summary_LCIA!R$32</f>
        <v>1.2339827668363519</v>
      </c>
      <c r="AW173" s="16">
        <f>$W173*AB173+($L173)*Summary_LCIA!S$32</f>
        <v>247.30710182675543</v>
      </c>
      <c r="AX173" s="16">
        <f>$W173*AC173+($L173)*Summary_LCIA!T$32</f>
        <v>59.664872751925365</v>
      </c>
      <c r="AY173" s="16">
        <f>$W173*AD173+($L173)*Summary_LCIA!U$32</f>
        <v>0.53398094428573439</v>
      </c>
      <c r="AZ173" s="16">
        <f>$W173*AE173+($L173)*Summary_LCIA!V$32</f>
        <v>6.6568334937314524E-3</v>
      </c>
      <c r="BA173" s="16">
        <f>$W173*AF173+($L173)*Summary_LCIA!W$32</f>
        <v>9.9389139091978898</v>
      </c>
      <c r="BB173" s="16">
        <f>$W173*AG173+($L173)*Summary_LCIA!X$32</f>
        <v>12.648513969297936</v>
      </c>
      <c r="BC173" s="16">
        <f>$W173*AH173+($L173)*Summary_LCIA!Y$32</f>
        <v>0.46304083012837094</v>
      </c>
      <c r="BD173" s="16">
        <f>$W173*AI173+($L173)*Summary_LCIA!Z$32</f>
        <v>0.25169611793458829</v>
      </c>
      <c r="BE173" s="16">
        <f>$W173*AJ173+($L173)*Summary_LCIA!AA$32</f>
        <v>1.3381402532959057</v>
      </c>
      <c r="BF173" s="16">
        <f>$W173*AK173+($L173)*Summary_LCIA!AB$32</f>
        <v>6.1094506950816106E-2</v>
      </c>
      <c r="BG173" s="16">
        <f>$W173*AL173+($L173)*Summary_LCIA!AC$32</f>
        <v>3.0388169551012334E-5</v>
      </c>
      <c r="BH173" s="16">
        <f>$W173*AM173+($L173)*Summary_LCIA!AD$32</f>
        <v>0.10221452430673963</v>
      </c>
      <c r="BI173" s="16">
        <f>$W173*AN173+($L173)*Summary_LCIA!AE$32</f>
        <v>0.30031778567172407</v>
      </c>
      <c r="BJ173" s="16">
        <f>$W173*AO173+($L173)*Summary_LCIA!AF$32</f>
        <v>1.6269025610310406E-2</v>
      </c>
      <c r="BK173" s="16">
        <f>$W173*AP173+($L173)*Summary_LCIA!AG$32</f>
        <v>5.0771784053104075E-3</v>
      </c>
      <c r="BL173" s="16">
        <f>$W173*AQ173+($L173)*Summary_LCIA!AH$32</f>
        <v>0.73984826254921932</v>
      </c>
      <c r="BM173" s="16">
        <f>$W173*AR173+($L173)*Summary_LCIA!AI$32</f>
        <v>0.26388660331266761</v>
      </c>
      <c r="BN173" s="16"/>
    </row>
    <row r="174" spans="1:66" x14ac:dyDescent="0.25">
      <c r="A174" s="159">
        <v>288</v>
      </c>
      <c r="B174" s="159">
        <v>6</v>
      </c>
      <c r="C174" s="45">
        <v>45.421529999999997</v>
      </c>
      <c r="D174" s="45">
        <v>-75.697192999999999</v>
      </c>
      <c r="E174" s="45" t="s">
        <v>456</v>
      </c>
      <c r="F174" s="159">
        <v>127</v>
      </c>
      <c r="G174" s="45" t="s">
        <v>635</v>
      </c>
      <c r="H174" s="45" t="s">
        <v>636</v>
      </c>
      <c r="I174" s="45">
        <v>45.319212</v>
      </c>
      <c r="J174" s="45">
        <v>-75.669165000000007</v>
      </c>
      <c r="K174" s="45">
        <v>15.884900010000001</v>
      </c>
      <c r="L174" s="45">
        <v>14.090999999999999</v>
      </c>
      <c r="M174" s="45" t="s">
        <v>617</v>
      </c>
      <c r="N174" s="159">
        <v>5</v>
      </c>
      <c r="O174" s="159">
        <v>6</v>
      </c>
      <c r="P174" s="45" t="s">
        <v>565</v>
      </c>
      <c r="Q174" s="45" t="s">
        <v>564</v>
      </c>
      <c r="R174" s="45">
        <v>41.98028</v>
      </c>
      <c r="S174" s="45">
        <v>-87.908997900000003</v>
      </c>
      <c r="T174" s="45">
        <v>1247.5260000000001</v>
      </c>
      <c r="U174" s="45" t="s">
        <v>617</v>
      </c>
      <c r="V174" s="45" t="s">
        <v>569</v>
      </c>
      <c r="W174" s="45" cm="1">
        <f t="array" ref="W174">getDistance(R174,S174,I174,J174)*SA!$B$12</f>
        <v>1053.7578160300604</v>
      </c>
      <c r="X174" s="22"/>
      <c r="Y174" s="16">
        <f>Transportation_LCIA!C$61*($W174^Transportation_LCIA!C$60)+Transportation_LCIA!C$62</f>
        <v>0.2302058960384834</v>
      </c>
      <c r="Z174" s="16">
        <f>Transportation_LCIA!D$61*($W174^Transportation_LCIA!D$60)+Transportation_LCIA!D$62</f>
        <v>2.3590896144287434</v>
      </c>
      <c r="AA174" s="16">
        <f>Transportation_LCIA!E$61*($W174^Transportation_LCIA!E$60)+Transportation_LCIA!E$62</f>
        <v>1.1006183580262686E-3</v>
      </c>
      <c r="AB174" s="16">
        <f>Transportation_LCIA!F$61*($W174^Transportation_LCIA!F$60)+Transportation_LCIA!F$62</f>
        <v>0.2302058960384834</v>
      </c>
      <c r="AC174" s="16">
        <f>Transportation_LCIA!G$61*($W174^Transportation_LCIA!G$60)+Transportation_LCIA!G$62</f>
        <v>5.5151450331228188E-2</v>
      </c>
      <c r="AD174" s="16">
        <f>Transportation_LCIA!H$61*($W174^Transportation_LCIA!H$60)+Transportation_LCIA!H$62</f>
        <v>2.6719115721149958E-4</v>
      </c>
      <c r="AE174" s="16">
        <f>Transportation_LCIA!I$61*($W174^Transportation_LCIA!I$60)+Transportation_LCIA!I$62</f>
        <v>5.6785659396340384E-6</v>
      </c>
      <c r="AF174" s="16">
        <f>Transportation_LCIA!J$61*($W174^Transportation_LCIA!J$60)+Transportation_LCIA!J$62</f>
        <v>8.4026096067839791E-3</v>
      </c>
      <c r="AG174" s="16">
        <f>Transportation_LCIA!K$61*($W174^Transportation_LCIA!K$60)+Transportation_LCIA!K$62</f>
        <v>1.1698628282294296E-2</v>
      </c>
      <c r="AH174" s="16">
        <f>Transportation_LCIA!L$61*($W174^Transportation_LCIA!L$60)+Transportation_LCIA!L$62</f>
        <v>2.3105391430987529E-4</v>
      </c>
      <c r="AI174" s="16">
        <f>Transportation_LCIA!M$61*($W174^Transportation_LCIA!M$60)+Transportation_LCIA!M$62</f>
        <v>2.3830737603603661E-4</v>
      </c>
      <c r="AJ174" s="16">
        <f>Transportation_LCIA!N$61*($W174^Transportation_LCIA!N$60)+Transportation_LCIA!N$62</f>
        <v>9.5755480239030665E-4</v>
      </c>
      <c r="AK174" s="16">
        <f>Transportation_LCIA!O$61*($W174^Transportation_LCIA!O$60)+Transportation_LCIA!O$62</f>
        <v>5.8269570018605201E-5</v>
      </c>
      <c r="AL174" s="16">
        <f>Transportation_LCIA!P$61*($W174^Transportation_LCIA!P$60)+Transportation_LCIA!P$62</f>
        <v>2.8184222840597278E-8</v>
      </c>
      <c r="AM174" s="16">
        <f>Transportation_LCIA!Q$61*($W174^Transportation_LCIA!Q$60)+Transportation_LCIA!Q$62</f>
        <v>9.1503529748422762E-5</v>
      </c>
      <c r="AN174" s="16">
        <f>Transportation_LCIA!R$61*($W174^Transportation_LCIA!R$60)+Transportation_LCIA!R$62</f>
        <v>2.7314751403325591E-4</v>
      </c>
      <c r="AO174" s="16">
        <f>Transportation_LCIA!S$61*($W174^Transportation_LCIA!S$60)+Transportation_LCIA!S$62</f>
        <v>4.1339787226651879E-6</v>
      </c>
      <c r="AP174" s="16">
        <f>Transportation_LCIA!T$61*($W174^Transportation_LCIA!T$60)+Transportation_LCIA!T$62</f>
        <v>4.1339787226651879E-6</v>
      </c>
      <c r="AQ174" s="16">
        <f>Transportation_LCIA!U$61*($W174^Transportation_LCIA!U$60)+Transportation_LCIA!U$62</f>
        <v>5.8571886780824827E-4</v>
      </c>
      <c r="AR174" s="16">
        <f>Transportation_LCIA!V$61*($W174^Transportation_LCIA!V$60)+Transportation_LCIA!V$62</f>
        <v>2.3796751819823677E-4</v>
      </c>
      <c r="AT174" s="16">
        <f>$W174*Y174+($L174)*Summary_LCIA!H$32</f>
        <v>247.36938404675541</v>
      </c>
      <c r="AU174" s="16">
        <f>$W174*Z174+($L174)*Summary_LCIA!Q$32</f>
        <v>2555.7448265710332</v>
      </c>
      <c r="AV174" s="16">
        <f>$W174*AA174+($L174)*Summary_LCIA!R$32</f>
        <v>1.2339827668363519</v>
      </c>
      <c r="AW174" s="16">
        <f>$W174*AB174+($L174)*Summary_LCIA!S$32</f>
        <v>247.30710182675543</v>
      </c>
      <c r="AX174" s="16">
        <f>$W174*AC174+($L174)*Summary_LCIA!T$32</f>
        <v>59.664872751925365</v>
      </c>
      <c r="AY174" s="16">
        <f>$W174*AD174+($L174)*Summary_LCIA!U$32</f>
        <v>0.53398094428573439</v>
      </c>
      <c r="AZ174" s="16">
        <f>$W174*AE174+($L174)*Summary_LCIA!V$32</f>
        <v>6.6568334937314524E-3</v>
      </c>
      <c r="BA174" s="16">
        <f>$W174*AF174+($L174)*Summary_LCIA!W$32</f>
        <v>9.9389139091978898</v>
      </c>
      <c r="BB174" s="16">
        <f>$W174*AG174+($L174)*Summary_LCIA!X$32</f>
        <v>12.648513969297936</v>
      </c>
      <c r="BC174" s="16">
        <f>$W174*AH174+($L174)*Summary_LCIA!Y$32</f>
        <v>0.46304083012837094</v>
      </c>
      <c r="BD174" s="16">
        <f>$W174*AI174+($L174)*Summary_LCIA!Z$32</f>
        <v>0.25169611793458829</v>
      </c>
      <c r="BE174" s="16">
        <f>$W174*AJ174+($L174)*Summary_LCIA!AA$32</f>
        <v>1.3381402532959057</v>
      </c>
      <c r="BF174" s="16">
        <f>$W174*AK174+($L174)*Summary_LCIA!AB$32</f>
        <v>6.1094506950816106E-2</v>
      </c>
      <c r="BG174" s="16">
        <f>$W174*AL174+($L174)*Summary_LCIA!AC$32</f>
        <v>3.0388169551012334E-5</v>
      </c>
      <c r="BH174" s="16">
        <f>$W174*AM174+($L174)*Summary_LCIA!AD$32</f>
        <v>0.10221452430673963</v>
      </c>
      <c r="BI174" s="16">
        <f>$W174*AN174+($L174)*Summary_LCIA!AE$32</f>
        <v>0.30031778567172407</v>
      </c>
      <c r="BJ174" s="16">
        <f>$W174*AO174+($L174)*Summary_LCIA!AF$32</f>
        <v>1.6269025610310406E-2</v>
      </c>
      <c r="BK174" s="16">
        <f>$W174*AP174+($L174)*Summary_LCIA!AG$32</f>
        <v>5.0771784053104075E-3</v>
      </c>
      <c r="BL174" s="16">
        <f>$W174*AQ174+($L174)*Summary_LCIA!AH$32</f>
        <v>0.73984826254921932</v>
      </c>
      <c r="BM174" s="16">
        <f>$W174*AR174+($L174)*Summary_LCIA!AI$32</f>
        <v>0.26388660331266761</v>
      </c>
      <c r="BN174" s="16"/>
    </row>
    <row r="175" spans="1:66" x14ac:dyDescent="0.25">
      <c r="A175" s="159">
        <v>20</v>
      </c>
      <c r="B175" s="159">
        <v>6</v>
      </c>
      <c r="C175" s="45">
        <v>45.421379000000002</v>
      </c>
      <c r="D175" s="45">
        <v>-75.696757000000005</v>
      </c>
      <c r="E175" s="45" t="s">
        <v>456</v>
      </c>
      <c r="F175" s="159">
        <v>127</v>
      </c>
      <c r="G175" s="45" t="s">
        <v>635</v>
      </c>
      <c r="H175" s="45" t="s">
        <v>636</v>
      </c>
      <c r="I175" s="45">
        <v>45.319212</v>
      </c>
      <c r="J175" s="45">
        <v>-75.669165000000007</v>
      </c>
      <c r="K175" s="45">
        <v>15.86100968</v>
      </c>
      <c r="L175" s="45">
        <v>14.111000000000001</v>
      </c>
      <c r="M175" s="45" t="s">
        <v>617</v>
      </c>
      <c r="N175" s="159">
        <v>5</v>
      </c>
      <c r="O175" s="159">
        <v>6</v>
      </c>
      <c r="P175" s="45" t="s">
        <v>565</v>
      </c>
      <c r="Q175" s="45" t="s">
        <v>564</v>
      </c>
      <c r="R175" s="45">
        <v>41.98028</v>
      </c>
      <c r="S175" s="45">
        <v>-87.908997900000003</v>
      </c>
      <c r="T175" s="45">
        <v>1247.546</v>
      </c>
      <c r="U175" s="45" t="s">
        <v>617</v>
      </c>
      <c r="V175" s="45" t="s">
        <v>569</v>
      </c>
      <c r="W175" s="45" cm="1">
        <f t="array" ref="W175">getDistance(R175,S175,I175,J175)*SA!$B$12</f>
        <v>1053.7578160300604</v>
      </c>
      <c r="X175" s="22"/>
      <c r="Y175" s="16">
        <f>Transportation_LCIA!C$61*($W175^Transportation_LCIA!C$60)+Transportation_LCIA!C$62</f>
        <v>0.2302058960384834</v>
      </c>
      <c r="Z175" s="16">
        <f>Transportation_LCIA!D$61*($W175^Transportation_LCIA!D$60)+Transportation_LCIA!D$62</f>
        <v>2.3590896144287434</v>
      </c>
      <c r="AA175" s="16">
        <f>Transportation_LCIA!E$61*($W175^Transportation_LCIA!E$60)+Transportation_LCIA!E$62</f>
        <v>1.1006183580262686E-3</v>
      </c>
      <c r="AB175" s="16">
        <f>Transportation_LCIA!F$61*($W175^Transportation_LCIA!F$60)+Transportation_LCIA!F$62</f>
        <v>0.2302058960384834</v>
      </c>
      <c r="AC175" s="16">
        <f>Transportation_LCIA!G$61*($W175^Transportation_LCIA!G$60)+Transportation_LCIA!G$62</f>
        <v>5.5151450331228188E-2</v>
      </c>
      <c r="AD175" s="16">
        <f>Transportation_LCIA!H$61*($W175^Transportation_LCIA!H$60)+Transportation_LCIA!H$62</f>
        <v>2.6719115721149958E-4</v>
      </c>
      <c r="AE175" s="16">
        <f>Transportation_LCIA!I$61*($W175^Transportation_LCIA!I$60)+Transportation_LCIA!I$62</f>
        <v>5.6785659396340384E-6</v>
      </c>
      <c r="AF175" s="16">
        <f>Transportation_LCIA!J$61*($W175^Transportation_LCIA!J$60)+Transportation_LCIA!J$62</f>
        <v>8.4026096067839791E-3</v>
      </c>
      <c r="AG175" s="16">
        <f>Transportation_LCIA!K$61*($W175^Transportation_LCIA!K$60)+Transportation_LCIA!K$62</f>
        <v>1.1698628282294296E-2</v>
      </c>
      <c r="AH175" s="16">
        <f>Transportation_LCIA!L$61*($W175^Transportation_LCIA!L$60)+Transportation_LCIA!L$62</f>
        <v>2.3105391430987529E-4</v>
      </c>
      <c r="AI175" s="16">
        <f>Transportation_LCIA!M$61*($W175^Transportation_LCIA!M$60)+Transportation_LCIA!M$62</f>
        <v>2.3830737603603661E-4</v>
      </c>
      <c r="AJ175" s="16">
        <f>Transportation_LCIA!N$61*($W175^Transportation_LCIA!N$60)+Transportation_LCIA!N$62</f>
        <v>9.5755480239030665E-4</v>
      </c>
      <c r="AK175" s="16">
        <f>Transportation_LCIA!O$61*($W175^Transportation_LCIA!O$60)+Transportation_LCIA!O$62</f>
        <v>5.8269570018605201E-5</v>
      </c>
      <c r="AL175" s="16">
        <f>Transportation_LCIA!P$61*($W175^Transportation_LCIA!P$60)+Transportation_LCIA!P$62</f>
        <v>2.8184222840597278E-8</v>
      </c>
      <c r="AM175" s="16">
        <f>Transportation_LCIA!Q$61*($W175^Transportation_LCIA!Q$60)+Transportation_LCIA!Q$62</f>
        <v>9.1503529748422762E-5</v>
      </c>
      <c r="AN175" s="16">
        <f>Transportation_LCIA!R$61*($W175^Transportation_LCIA!R$60)+Transportation_LCIA!R$62</f>
        <v>2.7314751403325591E-4</v>
      </c>
      <c r="AO175" s="16">
        <f>Transportation_LCIA!S$61*($W175^Transportation_LCIA!S$60)+Transportation_LCIA!S$62</f>
        <v>4.1339787226651879E-6</v>
      </c>
      <c r="AP175" s="16">
        <f>Transportation_LCIA!T$61*($W175^Transportation_LCIA!T$60)+Transportation_LCIA!T$62</f>
        <v>4.1339787226651879E-6</v>
      </c>
      <c r="AQ175" s="16">
        <f>Transportation_LCIA!U$61*($W175^Transportation_LCIA!U$60)+Transportation_LCIA!U$62</f>
        <v>5.8571886780824827E-4</v>
      </c>
      <c r="AR175" s="16">
        <f>Transportation_LCIA!V$61*($W175^Transportation_LCIA!V$60)+Transportation_LCIA!V$62</f>
        <v>2.3796751819823677E-4</v>
      </c>
      <c r="AT175" s="16">
        <f>$W175*Y175+($L175)*Summary_LCIA!H$32</f>
        <v>247.37618004675542</v>
      </c>
      <c r="AU175" s="16">
        <f>$W175*Z175+($L175)*Summary_LCIA!Q$32</f>
        <v>2555.8439475796931</v>
      </c>
      <c r="AV175" s="16">
        <f>$W175*AA175+($L175)*Summary_LCIA!R$32</f>
        <v>1.234088078836352</v>
      </c>
      <c r="AW175" s="16">
        <f>$W175*AB175+($L175)*Summary_LCIA!S$32</f>
        <v>247.31380942675543</v>
      </c>
      <c r="AX175" s="16">
        <f>$W175*AC175+($L175)*Summary_LCIA!T$32</f>
        <v>59.667070751925365</v>
      </c>
      <c r="AY175" s="16">
        <f>$W175*AD175+($L175)*Summary_LCIA!U$32</f>
        <v>0.53433922428573433</v>
      </c>
      <c r="AZ175" s="16">
        <f>$W175*AE175+($L175)*Summary_LCIA!V$32</f>
        <v>6.657788713731452E-3</v>
      </c>
      <c r="BA175" s="16">
        <f>$W175*AF175+($L175)*Summary_LCIA!W$32</f>
        <v>9.94045332919789</v>
      </c>
      <c r="BB175" s="16">
        <f>$W175*AG175+($L175)*Summary_LCIA!X$32</f>
        <v>12.648969569297936</v>
      </c>
      <c r="BC175" s="16">
        <f>$W175*AH175+($L175)*Summary_LCIA!Y$32</f>
        <v>0.46335247012837089</v>
      </c>
      <c r="BD175" s="16">
        <f>$W175*AI175+($L175)*Summary_LCIA!Z$32</f>
        <v>0.25169693811458832</v>
      </c>
      <c r="BE175" s="16">
        <f>$W175*AJ175+($L175)*Summary_LCIA!AA$32</f>
        <v>1.3386073732959056</v>
      </c>
      <c r="BF175" s="16">
        <f>$W175*AK175+($L175)*Summary_LCIA!AB$32</f>
        <v>6.1094070490816103E-2</v>
      </c>
      <c r="BG175" s="16">
        <f>$W175*AL175+($L175)*Summary_LCIA!AC$32</f>
        <v>3.0389147231012335E-5</v>
      </c>
      <c r="BH175" s="16">
        <f>$W175*AM175+($L175)*Summary_LCIA!AD$32</f>
        <v>0.10222274510673963</v>
      </c>
      <c r="BI175" s="16">
        <f>$W175*AN175+($L175)*Summary_LCIA!AE$32</f>
        <v>0.30033550827172406</v>
      </c>
      <c r="BJ175" s="16">
        <f>$W175*AO175+($L175)*Summary_LCIA!AF$32</f>
        <v>1.6285934010310407E-2</v>
      </c>
      <c r="BK175" s="16">
        <f>$W175*AP175+($L175)*Summary_LCIA!AG$32</f>
        <v>5.0782017053104074E-3</v>
      </c>
      <c r="BL175" s="16">
        <f>$W175*AQ175+($L175)*Summary_LCIA!AH$32</f>
        <v>0.7400223345492194</v>
      </c>
      <c r="BM175" s="16">
        <f>$W175*AR175+($L175)*Summary_LCIA!AI$32</f>
        <v>0.26390523431266766</v>
      </c>
      <c r="BN175" s="16"/>
    </row>
    <row r="176" spans="1:66" x14ac:dyDescent="0.25">
      <c r="A176" s="159">
        <v>291</v>
      </c>
      <c r="B176" s="159">
        <v>6</v>
      </c>
      <c r="C176" s="45">
        <v>39.958359000000002</v>
      </c>
      <c r="D176" s="45">
        <v>-75.195392999999996</v>
      </c>
      <c r="E176" s="45" t="s">
        <v>265</v>
      </c>
      <c r="F176" s="159">
        <v>80</v>
      </c>
      <c r="G176" s="45" t="s">
        <v>284</v>
      </c>
      <c r="H176" s="45" t="s">
        <v>715</v>
      </c>
      <c r="I176" s="45">
        <v>39.872929999999997</v>
      </c>
      <c r="J176" s="45">
        <v>-75.243667000000002</v>
      </c>
      <c r="K176" s="45">
        <v>14.292168419999999</v>
      </c>
      <c r="L176" s="45">
        <v>15.794</v>
      </c>
      <c r="M176" s="45" t="s">
        <v>617</v>
      </c>
      <c r="N176" s="159">
        <v>5</v>
      </c>
      <c r="O176" s="159">
        <v>6</v>
      </c>
      <c r="P176" s="45" t="s">
        <v>565</v>
      </c>
      <c r="Q176" s="45" t="s">
        <v>564</v>
      </c>
      <c r="R176" s="45">
        <v>41.98028</v>
      </c>
      <c r="S176" s="45">
        <v>-87.908997900000003</v>
      </c>
      <c r="T176" s="45">
        <v>1247.5719999999999</v>
      </c>
      <c r="U176" s="45" t="s">
        <v>617</v>
      </c>
      <c r="V176" s="45" t="s">
        <v>569</v>
      </c>
      <c r="W176" s="45" cm="1">
        <f t="array" ref="W176">getDistance(R176,S176,I176,J176)*SA!$B$12</f>
        <v>1091.1454299338914</v>
      </c>
      <c r="X176" s="22"/>
      <c r="Y176" s="16">
        <f>Transportation_LCIA!C$61*($W176^Transportation_LCIA!C$60)+Transportation_LCIA!C$62</f>
        <v>0.22679540007688292</v>
      </c>
      <c r="Z176" s="16">
        <f>Transportation_LCIA!D$61*($W176^Transportation_LCIA!D$60)+Transportation_LCIA!D$62</f>
        <v>2.3194170983754927</v>
      </c>
      <c r="AA176" s="16">
        <f>Transportation_LCIA!E$61*($W176^Transportation_LCIA!E$60)+Transportation_LCIA!E$62</f>
        <v>1.0745578591765215E-3</v>
      </c>
      <c r="AB176" s="16">
        <f>Transportation_LCIA!F$61*($W176^Transportation_LCIA!F$60)+Transportation_LCIA!F$62</f>
        <v>0.22679540007688292</v>
      </c>
      <c r="AC176" s="16">
        <f>Transportation_LCIA!G$61*($W176^Transportation_LCIA!G$60)+Transportation_LCIA!G$62</f>
        <v>5.4233424239251052E-2</v>
      </c>
      <c r="AD176" s="16">
        <f>Transportation_LCIA!H$61*($W176^Transportation_LCIA!H$60)+Transportation_LCIA!H$62</f>
        <v>2.6147123784092907E-4</v>
      </c>
      <c r="AE176" s="16">
        <f>Transportation_LCIA!I$61*($W176^Transportation_LCIA!I$60)+Transportation_LCIA!I$62</f>
        <v>5.5349899787117434E-6</v>
      </c>
      <c r="AF176" s="16">
        <f>Transportation_LCIA!J$61*($W176^Transportation_LCIA!J$60)+Transportation_LCIA!J$62</f>
        <v>8.1891894553502362E-3</v>
      </c>
      <c r="AG176" s="16">
        <f>Transportation_LCIA!K$61*($W176^Transportation_LCIA!K$60)+Transportation_LCIA!K$62</f>
        <v>1.1484679317651958E-2</v>
      </c>
      <c r="AH176" s="16">
        <f>Transportation_LCIA!L$61*($W176^Transportation_LCIA!L$60)+Transportation_LCIA!L$62</f>
        <v>2.2579969304881948E-4</v>
      </c>
      <c r="AI176" s="16">
        <f>Transportation_LCIA!M$61*($W176^Transportation_LCIA!M$60)+Transportation_LCIA!M$62</f>
        <v>2.3515091224536556E-4</v>
      </c>
      <c r="AJ176" s="16">
        <f>Transportation_LCIA!N$61*($W176^Transportation_LCIA!N$60)+Transportation_LCIA!N$62</f>
        <v>9.3831907824717161E-4</v>
      </c>
      <c r="AK176" s="16">
        <f>Transportation_LCIA!O$61*($W176^Transportation_LCIA!O$60)+Transportation_LCIA!O$62</f>
        <v>5.7294135563696903E-5</v>
      </c>
      <c r="AL176" s="16">
        <f>Transportation_LCIA!P$61*($W176^Transportation_LCIA!P$60)+Transportation_LCIA!P$62</f>
        <v>2.7715131947176666E-8</v>
      </c>
      <c r="AM176" s="16">
        <f>Transportation_LCIA!Q$61*($W176^Transportation_LCIA!Q$60)+Transportation_LCIA!Q$62</f>
        <v>8.9450033628902037E-5</v>
      </c>
      <c r="AN176" s="16">
        <f>Transportation_LCIA!R$61*($W176^Transportation_LCIA!R$60)+Transportation_LCIA!R$62</f>
        <v>2.6626310173854796E-4</v>
      </c>
      <c r="AO176" s="16">
        <f>Transportation_LCIA!S$61*($W176^Transportation_LCIA!S$60)+Transportation_LCIA!S$62</f>
        <v>4.0362616855959915E-6</v>
      </c>
      <c r="AP176" s="16">
        <f>Transportation_LCIA!T$61*($W176^Transportation_LCIA!T$60)+Transportation_LCIA!T$62</f>
        <v>4.0362616855959915E-6</v>
      </c>
      <c r="AQ176" s="16">
        <f>Transportation_LCIA!U$61*($W176^Transportation_LCIA!U$60)+Transportation_LCIA!U$62</f>
        <v>5.7062949228125137E-4</v>
      </c>
      <c r="AR176" s="16">
        <f>Transportation_LCIA!V$61*($W176^Transportation_LCIA!V$60)+Transportation_LCIA!V$62</f>
        <v>2.3262841413724871E-4</v>
      </c>
      <c r="AT176" s="16">
        <f>$W176*Y176+($L176)*Summary_LCIA!H$32</f>
        <v>252.8335655239193</v>
      </c>
      <c r="AU176" s="16">
        <f>$W176*Z176+($L176)*Summary_LCIA!Q$32</f>
        <v>2609.097227541748</v>
      </c>
      <c r="AV176" s="16">
        <f>$W176*AA176+($L176)*Summary_LCIA!R$32</f>
        <v>1.2556637836400075</v>
      </c>
      <c r="AW176" s="16">
        <f>$W176*AB176+($L176)*Summary_LCIA!S$32</f>
        <v>252.7637560439193</v>
      </c>
      <c r="AX176" s="16">
        <f>$W176*AC176+($L176)*Summary_LCIA!T$32</f>
        <v>60.912313608324716</v>
      </c>
      <c r="AY176" s="16">
        <f>$W176*AD176+($L176)*Summary_LCIA!U$32</f>
        <v>0.56823686222928727</v>
      </c>
      <c r="AZ176" s="16">
        <f>$W176*AE176+($L176)*Summary_LCIA!V$32</f>
        <v>6.7938162540012049E-3</v>
      </c>
      <c r="BA176" s="16">
        <f>$W176*AF176+($L176)*Summary_LCIA!W$32</f>
        <v>10.151276623068224</v>
      </c>
      <c r="BB176" s="16">
        <f>$W176*AG176+($L176)*Summary_LCIA!X$32</f>
        <v>12.891242671712217</v>
      </c>
      <c r="BC176" s="16">
        <f>$W176*AH176+($L176)*Summary_LCIA!Y$32</f>
        <v>0.49248241115069485</v>
      </c>
      <c r="BD176" s="16">
        <f>$W176*AI176+($L176)*Summary_LCIA!Z$32</f>
        <v>0.25723153938731619</v>
      </c>
      <c r="BE176" s="16">
        <f>$W176*AJ176+($L176)*Summary_LCIA!AA$32</f>
        <v>1.3927272380491829</v>
      </c>
      <c r="BF176" s="16">
        <f>$W176*AK176+($L176)*Summary_LCIA!AB$32</f>
        <v>6.2171561720340718E-2</v>
      </c>
      <c r="BG176" s="16">
        <f>$W176*AL176+($L176)*Summary_LCIA!AC$32</f>
        <v>3.1013313460176607E-5</v>
      </c>
      <c r="BH176" s="16">
        <f>$W176*AM176+($L176)*Summary_LCIA!AD$32</f>
        <v>0.10409496116160935</v>
      </c>
      <c r="BI176" s="16">
        <f>$W176*AN176+($L176)*Summary_LCIA!AE$32</f>
        <v>0.30452730384203941</v>
      </c>
      <c r="BJ176" s="16">
        <f>$W176*AO176+($L176)*Summary_LCIA!AF$32</f>
        <v>1.7756711972255333E-2</v>
      </c>
      <c r="BK176" s="16">
        <f>$W176*AP176+($L176)*Summary_LCIA!AG$32</f>
        <v>5.2122485022553311E-3</v>
      </c>
      <c r="BL176" s="16">
        <f>$W176*AQ176+($L176)*Summary_LCIA!AH$32</f>
        <v>0.76010442108818421</v>
      </c>
      <c r="BM176" s="16">
        <f>$W176*AR176+($L176)*Summary_LCIA!AI$32</f>
        <v>0.26854433165862757</v>
      </c>
      <c r="BN176" s="16"/>
    </row>
    <row r="177" spans="1:66" x14ac:dyDescent="0.25">
      <c r="A177" s="159">
        <v>53</v>
      </c>
      <c r="B177" s="159">
        <v>6</v>
      </c>
      <c r="C177" s="45">
        <v>35.227164999999999</v>
      </c>
      <c r="D177" s="45">
        <v>-80.846342000000007</v>
      </c>
      <c r="E177" s="45" t="s">
        <v>265</v>
      </c>
      <c r="F177" s="159">
        <v>34</v>
      </c>
      <c r="G177" s="45" t="s">
        <v>565</v>
      </c>
      <c r="H177" s="45" t="s">
        <v>633</v>
      </c>
      <c r="I177" s="45">
        <v>35.214402999999997</v>
      </c>
      <c r="J177" s="45">
        <v>-80.947315000000003</v>
      </c>
      <c r="K177" s="45">
        <v>9.5962039079999997</v>
      </c>
      <c r="L177" s="45">
        <v>11.887</v>
      </c>
      <c r="M177" s="45" t="s">
        <v>617</v>
      </c>
      <c r="N177" s="159">
        <v>5</v>
      </c>
      <c r="O177" s="159">
        <v>6</v>
      </c>
      <c r="P177" s="45" t="s">
        <v>565</v>
      </c>
      <c r="Q177" s="45" t="s">
        <v>564</v>
      </c>
      <c r="R177" s="45">
        <v>41.98028</v>
      </c>
      <c r="S177" s="45">
        <v>-87.908997900000003</v>
      </c>
      <c r="T177" s="45">
        <v>1268.931</v>
      </c>
      <c r="U177" s="45" t="s">
        <v>617</v>
      </c>
      <c r="V177" s="45" t="s">
        <v>569</v>
      </c>
      <c r="W177" s="45" cm="1">
        <f t="array" ref="W177">getDistance(R177,S177,I177,J177)*SA!$B$12</f>
        <v>965.81934331629839</v>
      </c>
      <c r="X177" s="22"/>
      <c r="Y177" s="16">
        <f>Transportation_LCIA!C$61*($W177^Transportation_LCIA!C$60)+Transportation_LCIA!C$62</f>
        <v>0.23917916746170043</v>
      </c>
      <c r="Z177" s="16">
        <f>Transportation_LCIA!D$61*($W177^Transportation_LCIA!D$60)+Transportation_LCIA!D$62</f>
        <v>2.4637498822292629</v>
      </c>
      <c r="AA177" s="16">
        <f>Transportation_LCIA!E$61*($W177^Transportation_LCIA!E$60)+Transportation_LCIA!E$62</f>
        <v>1.1694202797749105E-3</v>
      </c>
      <c r="AB177" s="16">
        <f>Transportation_LCIA!F$61*($W177^Transportation_LCIA!F$60)+Transportation_LCIA!F$62</f>
        <v>0.23917916746170043</v>
      </c>
      <c r="AC177" s="16">
        <f>Transportation_LCIA!G$61*($W177^Transportation_LCIA!G$60)+Transportation_LCIA!G$62</f>
        <v>5.7572922745648923E-2</v>
      </c>
      <c r="AD177" s="16">
        <f>Transportation_LCIA!H$61*($W177^Transportation_LCIA!H$60)+Transportation_LCIA!H$62</f>
        <v>2.8231462329926001E-4</v>
      </c>
      <c r="AE177" s="16">
        <f>Transportation_LCIA!I$61*($W177^Transportation_LCIA!I$60)+Transportation_LCIA!I$62</f>
        <v>6.0590881500882351E-6</v>
      </c>
      <c r="AF177" s="16">
        <f>Transportation_LCIA!J$61*($W177^Transportation_LCIA!J$60)+Transportation_LCIA!J$62</f>
        <v>8.9691244315593405E-3</v>
      </c>
      <c r="AG177" s="16">
        <f>Transportation_LCIA!K$61*($W177^Transportation_LCIA!K$60)+Transportation_LCIA!K$62</f>
        <v>1.2263721703450336E-2</v>
      </c>
      <c r="AH177" s="16">
        <f>Transportation_LCIA!L$61*($W177^Transportation_LCIA!L$60)+Transportation_LCIA!L$62</f>
        <v>2.449555211742904E-4</v>
      </c>
      <c r="AI177" s="16">
        <f>Transportation_LCIA!M$61*($W177^Transportation_LCIA!M$60)+Transportation_LCIA!M$62</f>
        <v>2.4665373974360274E-4</v>
      </c>
      <c r="AJ177" s="16">
        <f>Transportation_LCIA!N$61*($W177^Transportation_LCIA!N$60)+Transportation_LCIA!N$62</f>
        <v>1.0084044075747351E-3</v>
      </c>
      <c r="AK177" s="16">
        <f>Transportation_LCIA!O$61*($W177^Transportation_LCIA!O$60)+Transportation_LCIA!O$62</f>
        <v>6.0842656849062702E-5</v>
      </c>
      <c r="AL177" s="16">
        <f>Transportation_LCIA!P$61*($W177^Transportation_LCIA!P$60)+Transportation_LCIA!P$62</f>
        <v>2.9421386486163209E-8</v>
      </c>
      <c r="AM177" s="16">
        <f>Transportation_LCIA!Q$61*($W177^Transportation_LCIA!Q$60)+Transportation_LCIA!Q$62</f>
        <v>9.693865430446136E-5</v>
      </c>
      <c r="AN177" s="16">
        <f>Transportation_LCIA!R$61*($W177^Transportation_LCIA!R$60)+Transportation_LCIA!R$62</f>
        <v>2.9139446096429532E-4</v>
      </c>
      <c r="AO177" s="16">
        <f>Transportation_LCIA!S$61*($W177^Transportation_LCIA!S$60)+Transportation_LCIA!S$62</f>
        <v>4.3929473757171984E-6</v>
      </c>
      <c r="AP177" s="16">
        <f>Transportation_LCIA!T$61*($W177^Transportation_LCIA!T$60)+Transportation_LCIA!T$62</f>
        <v>4.3929473757171984E-6</v>
      </c>
      <c r="AQ177" s="16">
        <f>Transportation_LCIA!U$61*($W177^Transportation_LCIA!U$60)+Transportation_LCIA!U$62</f>
        <v>6.2573096450825355E-4</v>
      </c>
      <c r="AR177" s="16">
        <f>Transportation_LCIA!V$61*($W177^Transportation_LCIA!V$60)+Transportation_LCIA!V$62</f>
        <v>2.5210555325466699E-4</v>
      </c>
      <c r="AT177" s="16">
        <f>$W177*Y177+($L177)*Summary_LCIA!H$32</f>
        <v>235.04306905279847</v>
      </c>
      <c r="AU177" s="16">
        <f>$W177*Z177+($L177)*Summary_LCIA!Q$32</f>
        <v>2438.449864847345</v>
      </c>
      <c r="AV177" s="16">
        <f>$W177*AA177+($L177)*Summary_LCIA!R$32</f>
        <v>1.192040913872966</v>
      </c>
      <c r="AW177" s="16">
        <f>$W177*AB177+($L177)*Summary_LCIA!S$32</f>
        <v>234.99052851279845</v>
      </c>
      <c r="AX177" s="16">
        <f>$W177*AC177+($L177)*Summary_LCIA!T$32</f>
        <v>56.911423739002622</v>
      </c>
      <c r="AY177" s="16">
        <f>$W177*AD177+($L177)*Summary_LCIA!U$32</f>
        <v>0.48560864208347948</v>
      </c>
      <c r="AZ177" s="16">
        <f>$W177*AE177+($L177)*Summary_LCIA!V$32</f>
        <v>6.4197195452137847E-3</v>
      </c>
      <c r="BA177" s="16">
        <f>$W177*AF177+($L177)*Summary_LCIA!W$32</f>
        <v>9.5775081456108104</v>
      </c>
      <c r="BB177" s="16">
        <f>$W177*AG177+($L177)*Summary_LCIA!X$32</f>
        <v>12.115325502240241</v>
      </c>
      <c r="BC177" s="16">
        <f>$W177*AH177+($L177)*Summary_LCIA!Y$32</f>
        <v>0.42180601460225475</v>
      </c>
      <c r="BD177" s="16">
        <f>$W177*AI177+($L177)*Summary_LCIA!Z$32</f>
        <v>0.23871042692867558</v>
      </c>
      <c r="BE177" s="16">
        <f>$W177*AJ177+($L177)*Summary_LCIA!AA$32</f>
        <v>1.2515692547210915</v>
      </c>
      <c r="BF177" s="16">
        <f>$W177*AK177+($L177)*Summary_LCIA!AB$32</f>
        <v>5.850360488258062E-2</v>
      </c>
      <c r="BG177" s="16">
        <f>$W177*AL177+($L177)*Summary_LCIA!AC$32</f>
        <v>2.8996828283521165E-5</v>
      </c>
      <c r="BH177" s="16">
        <f>$W177*AM177+($L177)*Summary_LCIA!AD$32</f>
        <v>9.8511259922300531E-2</v>
      </c>
      <c r="BI177" s="16">
        <f>$W177*AN177+($L177)*Summary_LCIA!AE$32</f>
        <v>0.29196783424454248</v>
      </c>
      <c r="BJ177" s="16">
        <f>$W177*AO177+($L177)*Summary_LCIA!AF$32</f>
        <v>1.4292301089638242E-2</v>
      </c>
      <c r="BK177" s="16">
        <f>$W177*AP177+($L177)*Summary_LCIA!AG$32</f>
        <v>4.8509919046382409E-3</v>
      </c>
      <c r="BL177" s="16">
        <f>$W177*AQ177+($L177)*Summary_LCIA!AH$32</f>
        <v>0.7078027624340355</v>
      </c>
      <c r="BM177" s="16">
        <f>$W177*AR177+($L177)*Summary_LCIA!AI$32</f>
        <v>0.25456175474081455</v>
      </c>
      <c r="BN177" s="16"/>
    </row>
    <row r="178" spans="1:66" x14ac:dyDescent="0.25">
      <c r="A178" s="159">
        <v>187</v>
      </c>
      <c r="B178" s="159">
        <v>6</v>
      </c>
      <c r="C178" s="45">
        <v>35.227086999999997</v>
      </c>
      <c r="D178" s="45">
        <v>-80.843126999999996</v>
      </c>
      <c r="E178" s="45" t="s">
        <v>265</v>
      </c>
      <c r="F178" s="159">
        <v>34</v>
      </c>
      <c r="G178" s="45" t="s">
        <v>565</v>
      </c>
      <c r="H178" s="45" t="s">
        <v>633</v>
      </c>
      <c r="I178" s="45">
        <v>35.214402999999997</v>
      </c>
      <c r="J178" s="45">
        <v>-80.947315000000003</v>
      </c>
      <c r="K178" s="45">
        <v>9.8802151649999992</v>
      </c>
      <c r="L178" s="45">
        <v>12.212999999999999</v>
      </c>
      <c r="M178" s="45" t="s">
        <v>617</v>
      </c>
      <c r="N178" s="159">
        <v>5</v>
      </c>
      <c r="O178" s="159">
        <v>6</v>
      </c>
      <c r="P178" s="45" t="s">
        <v>565</v>
      </c>
      <c r="Q178" s="45" t="s">
        <v>564</v>
      </c>
      <c r="R178" s="45">
        <v>41.98028</v>
      </c>
      <c r="S178" s="45">
        <v>-87.908997900000003</v>
      </c>
      <c r="T178" s="45">
        <v>1271.703</v>
      </c>
      <c r="U178" s="45" t="s">
        <v>617</v>
      </c>
      <c r="V178" s="45" t="s">
        <v>569</v>
      </c>
      <c r="W178" s="45" cm="1">
        <f t="array" ref="W178">getDistance(R178,S178,I178,J178)*SA!$B$12</f>
        <v>965.81934331629839</v>
      </c>
      <c r="X178" s="22"/>
      <c r="Y178" s="16">
        <f>Transportation_LCIA!C$61*($W178^Transportation_LCIA!C$60)+Transportation_LCIA!C$62</f>
        <v>0.23917916746170043</v>
      </c>
      <c r="Z178" s="16">
        <f>Transportation_LCIA!D$61*($W178^Transportation_LCIA!D$60)+Transportation_LCIA!D$62</f>
        <v>2.4637498822292629</v>
      </c>
      <c r="AA178" s="16">
        <f>Transportation_LCIA!E$61*($W178^Transportation_LCIA!E$60)+Transportation_LCIA!E$62</f>
        <v>1.1694202797749105E-3</v>
      </c>
      <c r="AB178" s="16">
        <f>Transportation_LCIA!F$61*($W178^Transportation_LCIA!F$60)+Transportation_LCIA!F$62</f>
        <v>0.23917916746170043</v>
      </c>
      <c r="AC178" s="16">
        <f>Transportation_LCIA!G$61*($W178^Transportation_LCIA!G$60)+Transportation_LCIA!G$62</f>
        <v>5.7572922745648923E-2</v>
      </c>
      <c r="AD178" s="16">
        <f>Transportation_LCIA!H$61*($W178^Transportation_LCIA!H$60)+Transportation_LCIA!H$62</f>
        <v>2.8231462329926001E-4</v>
      </c>
      <c r="AE178" s="16">
        <f>Transportation_LCIA!I$61*($W178^Transportation_LCIA!I$60)+Transportation_LCIA!I$62</f>
        <v>6.0590881500882351E-6</v>
      </c>
      <c r="AF178" s="16">
        <f>Transportation_LCIA!J$61*($W178^Transportation_LCIA!J$60)+Transportation_LCIA!J$62</f>
        <v>8.9691244315593405E-3</v>
      </c>
      <c r="AG178" s="16">
        <f>Transportation_LCIA!K$61*($W178^Transportation_LCIA!K$60)+Transportation_LCIA!K$62</f>
        <v>1.2263721703450336E-2</v>
      </c>
      <c r="AH178" s="16">
        <f>Transportation_LCIA!L$61*($W178^Transportation_LCIA!L$60)+Transportation_LCIA!L$62</f>
        <v>2.449555211742904E-4</v>
      </c>
      <c r="AI178" s="16">
        <f>Transportation_LCIA!M$61*($W178^Transportation_LCIA!M$60)+Transportation_LCIA!M$62</f>
        <v>2.4665373974360274E-4</v>
      </c>
      <c r="AJ178" s="16">
        <f>Transportation_LCIA!N$61*($W178^Transportation_LCIA!N$60)+Transportation_LCIA!N$62</f>
        <v>1.0084044075747351E-3</v>
      </c>
      <c r="AK178" s="16">
        <f>Transportation_LCIA!O$61*($W178^Transportation_LCIA!O$60)+Transportation_LCIA!O$62</f>
        <v>6.0842656849062702E-5</v>
      </c>
      <c r="AL178" s="16">
        <f>Transportation_LCIA!P$61*($W178^Transportation_LCIA!P$60)+Transportation_LCIA!P$62</f>
        <v>2.9421386486163209E-8</v>
      </c>
      <c r="AM178" s="16">
        <f>Transportation_LCIA!Q$61*($W178^Transportation_LCIA!Q$60)+Transportation_LCIA!Q$62</f>
        <v>9.693865430446136E-5</v>
      </c>
      <c r="AN178" s="16">
        <f>Transportation_LCIA!R$61*($W178^Transportation_LCIA!R$60)+Transportation_LCIA!R$62</f>
        <v>2.9139446096429532E-4</v>
      </c>
      <c r="AO178" s="16">
        <f>Transportation_LCIA!S$61*($W178^Transportation_LCIA!S$60)+Transportation_LCIA!S$62</f>
        <v>4.3929473757171984E-6</v>
      </c>
      <c r="AP178" s="16">
        <f>Transportation_LCIA!T$61*($W178^Transportation_LCIA!T$60)+Transportation_LCIA!T$62</f>
        <v>4.3929473757171984E-6</v>
      </c>
      <c r="AQ178" s="16">
        <f>Transportation_LCIA!U$61*($W178^Transportation_LCIA!U$60)+Transportation_LCIA!U$62</f>
        <v>6.2573096450825355E-4</v>
      </c>
      <c r="AR178" s="16">
        <f>Transportation_LCIA!V$61*($W178^Transportation_LCIA!V$60)+Transportation_LCIA!V$62</f>
        <v>2.5210555325466699E-4</v>
      </c>
      <c r="AT178" s="16">
        <f>$W178*Y178+($L178)*Summary_LCIA!H$32</f>
        <v>235.15384385279847</v>
      </c>
      <c r="AU178" s="16">
        <f>$W178*Z178+($L178)*Summary_LCIA!Q$32</f>
        <v>2440.065537288503</v>
      </c>
      <c r="AV178" s="16">
        <f>$W178*AA178+($L178)*Summary_LCIA!R$32</f>
        <v>1.1937574994729661</v>
      </c>
      <c r="AW178" s="16">
        <f>$W178*AB178+($L178)*Summary_LCIA!S$32</f>
        <v>235.09986239279846</v>
      </c>
      <c r="AX178" s="16">
        <f>$W178*AC178+($L178)*Summary_LCIA!T$32</f>
        <v>56.947251139002624</v>
      </c>
      <c r="AY178" s="16">
        <f>$W178*AD178+($L178)*Summary_LCIA!U$32</f>
        <v>0.49144860608347946</v>
      </c>
      <c r="AZ178" s="16">
        <f>$W178*AE178+($L178)*Summary_LCIA!V$32</f>
        <v>6.4352896312137847E-3</v>
      </c>
      <c r="BA178" s="16">
        <f>$W178*AF178+($L178)*Summary_LCIA!W$32</f>
        <v>9.6026006916108102</v>
      </c>
      <c r="BB178" s="16">
        <f>$W178*AG178+($L178)*Summary_LCIA!X$32</f>
        <v>12.122751782240242</v>
      </c>
      <c r="BC178" s="16">
        <f>$W178*AH178+($L178)*Summary_LCIA!Y$32</f>
        <v>0.42688574660225476</v>
      </c>
      <c r="BD178" s="16">
        <f>$W178*AI178+($L178)*Summary_LCIA!Z$32</f>
        <v>0.23872379586267559</v>
      </c>
      <c r="BE178" s="16">
        <f>$W178*AJ178+($L178)*Summary_LCIA!AA$32</f>
        <v>1.2591833107210915</v>
      </c>
      <c r="BF178" s="16">
        <f>$W178*AK178+($L178)*Summary_LCIA!AB$32</f>
        <v>5.8496490584580618E-2</v>
      </c>
      <c r="BG178" s="16">
        <f>$W178*AL178+($L178)*Summary_LCIA!AC$32</f>
        <v>2.9012764467521166E-5</v>
      </c>
      <c r="BH178" s="16">
        <f>$W178*AM178+($L178)*Summary_LCIA!AD$32</f>
        <v>9.864525896230053E-2</v>
      </c>
      <c r="BI178" s="16">
        <f>$W178*AN178+($L178)*Summary_LCIA!AE$32</f>
        <v>0.29225671262454245</v>
      </c>
      <c r="BJ178" s="16">
        <f>$W178*AO178+($L178)*Summary_LCIA!AF$32</f>
        <v>1.4567908009638241E-2</v>
      </c>
      <c r="BK178" s="16">
        <f>$W178*AP178+($L178)*Summary_LCIA!AG$32</f>
        <v>4.8676716946382415E-3</v>
      </c>
      <c r="BL178" s="16">
        <f>$W178*AQ178+($L178)*Summary_LCIA!AH$32</f>
        <v>0.71064013603403553</v>
      </c>
      <c r="BM178" s="16">
        <f>$W178*AR178+($L178)*Summary_LCIA!AI$32</f>
        <v>0.25486544004081457</v>
      </c>
      <c r="BN178" s="16"/>
    </row>
    <row r="179" spans="1:66" x14ac:dyDescent="0.25">
      <c r="A179" s="159">
        <v>378</v>
      </c>
      <c r="B179" s="159">
        <v>6</v>
      </c>
      <c r="C179" s="45">
        <v>40.741002000000002</v>
      </c>
      <c r="D179" s="45">
        <v>-74.177420999999995</v>
      </c>
      <c r="E179" s="45" t="s">
        <v>265</v>
      </c>
      <c r="F179" s="159">
        <v>43</v>
      </c>
      <c r="G179" s="45" t="s">
        <v>565</v>
      </c>
      <c r="H179" s="45" t="s">
        <v>632</v>
      </c>
      <c r="I179" s="45">
        <v>40.689531000000002</v>
      </c>
      <c r="J179" s="45">
        <v>-74.174462000000005</v>
      </c>
      <c r="K179" s="45">
        <v>7.8777833389999996</v>
      </c>
      <c r="L179" s="45">
        <v>7.5250000000000004</v>
      </c>
      <c r="M179" s="45" t="s">
        <v>617</v>
      </c>
      <c r="N179" s="159">
        <v>5</v>
      </c>
      <c r="O179" s="159">
        <v>6</v>
      </c>
      <c r="P179" s="45" t="s">
        <v>565</v>
      </c>
      <c r="Q179" s="45" t="s">
        <v>564</v>
      </c>
      <c r="R179" s="45">
        <v>41.98028</v>
      </c>
      <c r="S179" s="45">
        <v>-87.908997900000003</v>
      </c>
      <c r="T179" s="45">
        <v>1280.73</v>
      </c>
      <c r="U179" s="45" t="s">
        <v>617</v>
      </c>
      <c r="V179" s="45" t="s">
        <v>569</v>
      </c>
      <c r="W179" s="45" cm="1">
        <f t="array" ref="W179">getDistance(R179,S179,I179,J179)*SA!$B$12</f>
        <v>1157.3544072648172</v>
      </c>
      <c r="X179" s="22"/>
      <c r="Y179" s="16">
        <f>Transportation_LCIA!C$61*($W179^Transportation_LCIA!C$60)+Transportation_LCIA!C$62</f>
        <v>0.22125487054982909</v>
      </c>
      <c r="Z179" s="16">
        <f>Transportation_LCIA!D$61*($W179^Transportation_LCIA!D$60)+Transportation_LCIA!D$62</f>
        <v>2.2550976254597064</v>
      </c>
      <c r="AA179" s="16">
        <f>Transportation_LCIA!E$61*($W179^Transportation_LCIA!E$60)+Transportation_LCIA!E$62</f>
        <v>1.0323310860369151E-3</v>
      </c>
      <c r="AB179" s="16">
        <f>Transportation_LCIA!F$61*($W179^Transportation_LCIA!F$60)+Transportation_LCIA!F$62</f>
        <v>0.22125487054982909</v>
      </c>
      <c r="AC179" s="16">
        <f>Transportation_LCIA!G$61*($W179^Transportation_LCIA!G$60)+Transportation_LCIA!G$62</f>
        <v>5.2744888954963348E-2</v>
      </c>
      <c r="AD179" s="16">
        <f>Transportation_LCIA!H$61*($W179^Transportation_LCIA!H$60)+Transportation_LCIA!H$62</f>
        <v>2.5221347446689263E-4</v>
      </c>
      <c r="AE179" s="16">
        <f>Transportation_LCIA!I$61*($W179^Transportation_LCIA!I$60)+Transportation_LCIA!I$62</f>
        <v>5.3030314161226812E-6</v>
      </c>
      <c r="AF179" s="16">
        <f>Transportation_LCIA!J$61*($W179^Transportation_LCIA!J$60)+Transportation_LCIA!J$62</f>
        <v>7.8448001251838345E-3</v>
      </c>
      <c r="AG179" s="16">
        <f>Transportation_LCIA!K$61*($W179^Transportation_LCIA!K$60)+Transportation_LCIA!K$62</f>
        <v>1.1138126610856905E-2</v>
      </c>
      <c r="AH179" s="16">
        <f>Transportation_LCIA!L$61*($W179^Transportation_LCIA!L$60)+Transportation_LCIA!L$62</f>
        <v>2.173000581713352E-4</v>
      </c>
      <c r="AI179" s="16">
        <f>Transportation_LCIA!M$61*($W179^Transportation_LCIA!M$60)+Transportation_LCIA!M$62</f>
        <v>2.3004244817644541E-4</v>
      </c>
      <c r="AJ179" s="16">
        <f>Transportation_LCIA!N$61*($W179^Transportation_LCIA!N$60)+Transportation_LCIA!N$62</f>
        <v>9.0718132319716257E-4</v>
      </c>
      <c r="AK179" s="16">
        <f>Transportation_LCIA!O$61*($W179^Transportation_LCIA!O$60)+Transportation_LCIA!O$62</f>
        <v>5.5712603527285817E-5</v>
      </c>
      <c r="AL179" s="16">
        <f>Transportation_LCIA!P$61*($W179^Transportation_LCIA!P$60)+Transportation_LCIA!P$62</f>
        <v>2.6954451201708154E-8</v>
      </c>
      <c r="AM179" s="16">
        <f>Transportation_LCIA!Q$61*($W179^Transportation_LCIA!Q$60)+Transportation_LCIA!Q$62</f>
        <v>8.6129062862737627E-5</v>
      </c>
      <c r="AN179" s="16">
        <f>Transportation_LCIA!R$61*($W179^Transportation_LCIA!R$60)+Transportation_LCIA!R$62</f>
        <v>2.5514126484247728E-4</v>
      </c>
      <c r="AO179" s="16">
        <f>Transportation_LCIA!S$61*($W179^Transportation_LCIA!S$60)+Transportation_LCIA!S$62</f>
        <v>3.8783860198243708E-6</v>
      </c>
      <c r="AP179" s="16">
        <f>Transportation_LCIA!T$61*($W179^Transportation_LCIA!T$60)+Transportation_LCIA!T$62</f>
        <v>3.8783860198243708E-6</v>
      </c>
      <c r="AQ179" s="16">
        <f>Transportation_LCIA!U$61*($W179^Transportation_LCIA!U$60)+Transportation_LCIA!U$62</f>
        <v>5.4626083703188067E-4</v>
      </c>
      <c r="AR179" s="16">
        <f>Transportation_LCIA!V$61*($W179^Transportation_LCIA!V$60)+Transportation_LCIA!V$62</f>
        <v>2.2399696302769612E-4</v>
      </c>
      <c r="AT179" s="16">
        <f>$W179*Y179+($L179)*Summary_LCIA!H$32</f>
        <v>258.62729455965126</v>
      </c>
      <c r="AU179" s="16">
        <f>$W179*Z179+($L179)*Summary_LCIA!Q$32</f>
        <v>2647.2414551465399</v>
      </c>
      <c r="AV179" s="16">
        <f>$W179*AA179+($L179)*Summary_LCIA!R$32</f>
        <v>1.2343965721812988</v>
      </c>
      <c r="AW179" s="16">
        <f>$W179*AB179+($L179)*Summary_LCIA!S$32</f>
        <v>258.59403405965128</v>
      </c>
      <c r="AX179" s="16">
        <f>$W179*AC179+($L179)*Summary_LCIA!T$32</f>
        <v>61.871527192720201</v>
      </c>
      <c r="AY179" s="16">
        <f>$W179*AD179+($L179)*Summary_LCIA!U$32</f>
        <v>0.42670322624583057</v>
      </c>
      <c r="AZ179" s="16">
        <f>$W179*AE179+($L179)*Summary_LCIA!V$32</f>
        <v>6.4968883063133698E-3</v>
      </c>
      <c r="BA179" s="16">
        <f>$W179*AF179+($L179)*Summary_LCIA!W$32</f>
        <v>9.6584207739931003</v>
      </c>
      <c r="BB179" s="16">
        <f>$W179*AG179+($L179)*Summary_LCIA!X$32</f>
        <v>13.06217942174878</v>
      </c>
      <c r="BC179" s="16">
        <f>$W179*AH179+($L179)*Summary_LCIA!Y$32</f>
        <v>0.36874773002349598</v>
      </c>
      <c r="BD179" s="16">
        <f>$W179*AI179+($L179)*Summary_LCIA!Z$32</f>
        <v>0.26654923397999741</v>
      </c>
      <c r="BE179" s="16">
        <f>$W179*AJ179+($L179)*Summary_LCIA!AA$32</f>
        <v>1.2256842025905645</v>
      </c>
      <c r="BF179" s="16">
        <f>$W179*AK179+($L179)*Summary_LCIA!AB$32</f>
        <v>6.4315009157501643E-2</v>
      </c>
      <c r="BG179" s="16">
        <f>$W179*AL179+($L179)*Summary_LCIA!AC$32</f>
        <v>3.1563704993701379E-5</v>
      </c>
      <c r="BH179" s="16">
        <f>$W179*AM179+($L179)*Summary_LCIA!AD$32</f>
        <v>0.10277492649777788</v>
      </c>
      <c r="BI179" s="16">
        <f>$W179*AN179+($L179)*Summary_LCIA!AE$32</f>
        <v>0.30195699559056105</v>
      </c>
      <c r="BJ179" s="16">
        <f>$W179*AO179+($L179)*Summary_LCIA!AF$32</f>
        <v>1.0850452653117989E-2</v>
      </c>
      <c r="BK179" s="16">
        <f>$W179*AP179+($L179)*Summary_LCIA!AG$32</f>
        <v>4.8736837781179878E-3</v>
      </c>
      <c r="BL179" s="16">
        <f>$W179*AQ179+($L179)*Summary_LCIA!AH$32</f>
        <v>0.6977119772550151</v>
      </c>
      <c r="BM179" s="16">
        <f>$W179*AR179+($L179)*Summary_LCIA!AI$32</f>
        <v>0.26625378612403838</v>
      </c>
      <c r="BN179" s="16"/>
    </row>
    <row r="180" spans="1:66" x14ac:dyDescent="0.25">
      <c r="A180" s="159">
        <v>135</v>
      </c>
      <c r="B180" s="159">
        <v>6</v>
      </c>
      <c r="C180" s="45">
        <v>33.954258000000003</v>
      </c>
      <c r="D180" s="45">
        <v>-83.374932000000001</v>
      </c>
      <c r="E180" s="45" t="s">
        <v>265</v>
      </c>
      <c r="F180" s="159">
        <v>1</v>
      </c>
      <c r="G180" s="45" t="s">
        <v>565</v>
      </c>
      <c r="H180" s="45" t="s">
        <v>681</v>
      </c>
      <c r="I180" s="45">
        <v>33.640728000000003</v>
      </c>
      <c r="J180" s="45">
        <v>-84.427700000000002</v>
      </c>
      <c r="K180" s="45">
        <v>112.66856199999999</v>
      </c>
      <c r="L180" s="45">
        <v>131.636</v>
      </c>
      <c r="M180" s="45" t="s">
        <v>617</v>
      </c>
      <c r="N180" s="159">
        <v>5</v>
      </c>
      <c r="O180" s="159">
        <v>6</v>
      </c>
      <c r="P180" s="45" t="s">
        <v>565</v>
      </c>
      <c r="Q180" s="45" t="s">
        <v>564</v>
      </c>
      <c r="R180" s="45">
        <v>41.98028</v>
      </c>
      <c r="S180" s="45">
        <v>-87.908997900000003</v>
      </c>
      <c r="T180" s="45">
        <v>1285.548</v>
      </c>
      <c r="U180" s="45" t="s">
        <v>617</v>
      </c>
      <c r="V180" s="45" t="s">
        <v>569</v>
      </c>
      <c r="W180" s="45" cm="1">
        <f t="array" ref="W180">getDistance(R180,S180,I180,J180)*SA!$B$12</f>
        <v>976.67906347990493</v>
      </c>
      <c r="X180" s="22"/>
      <c r="Y180" s="16">
        <f>Transportation_LCIA!C$61*($W180^Transportation_LCIA!C$60)+Transportation_LCIA!C$62</f>
        <v>0.23799077256655485</v>
      </c>
      <c r="Z180" s="16">
        <f>Transportation_LCIA!D$61*($W180^Transportation_LCIA!D$60)+Transportation_LCIA!D$62</f>
        <v>2.4498664186649894</v>
      </c>
      <c r="AA180" s="16">
        <f>Transportation_LCIA!E$61*($W180^Transportation_LCIA!E$60)+Transportation_LCIA!E$62</f>
        <v>1.1602893527513285E-3</v>
      </c>
      <c r="AB180" s="16">
        <f>Transportation_LCIA!F$61*($W180^Transportation_LCIA!F$60)+Transportation_LCIA!F$62</f>
        <v>0.23799077256655485</v>
      </c>
      <c r="AC180" s="16">
        <f>Transportation_LCIA!G$61*($W180^Transportation_LCIA!G$60)+Transportation_LCIA!G$62</f>
        <v>5.7251738416183251E-2</v>
      </c>
      <c r="AD180" s="16">
        <f>Transportation_LCIA!H$61*($W180^Transportation_LCIA!H$60)+Transportation_LCIA!H$62</f>
        <v>2.8030572808339046E-4</v>
      </c>
      <c r="AE180" s="16">
        <f>Transportation_LCIA!I$61*($W180^Transportation_LCIA!I$60)+Transportation_LCIA!I$62</f>
        <v>6.0084688172437592E-6</v>
      </c>
      <c r="AF180" s="16">
        <f>Transportation_LCIA!J$61*($W180^Transportation_LCIA!J$60)+Transportation_LCIA!J$62</f>
        <v>8.8936917837252362E-3</v>
      </c>
      <c r="AG180" s="16">
        <f>Transportation_LCIA!K$61*($W180^Transportation_LCIA!K$60)+Transportation_LCIA!K$62</f>
        <v>1.2188706109794917E-2</v>
      </c>
      <c r="AH180" s="16">
        <f>Transportation_LCIA!L$61*($W180^Transportation_LCIA!L$60)+Transportation_LCIA!L$62</f>
        <v>2.4310816549771977E-4</v>
      </c>
      <c r="AI180" s="16">
        <f>Transportation_LCIA!M$61*($W180^Transportation_LCIA!M$60)+Transportation_LCIA!M$62</f>
        <v>2.455450128432447E-4</v>
      </c>
      <c r="AJ180" s="16">
        <f>Transportation_LCIA!N$61*($W180^Transportation_LCIA!N$60)+Transportation_LCIA!N$62</f>
        <v>1.0016506819662974E-3</v>
      </c>
      <c r="AK180" s="16">
        <f>Transportation_LCIA!O$61*($W180^Transportation_LCIA!O$60)+Transportation_LCIA!O$62</f>
        <v>6.050134712780058E-5</v>
      </c>
      <c r="AL180" s="16">
        <f>Transportation_LCIA!P$61*($W180^Transportation_LCIA!P$60)+Transportation_LCIA!P$62</f>
        <v>2.9257301489528483E-8</v>
      </c>
      <c r="AM180" s="16">
        <f>Transportation_LCIA!Q$61*($W180^Transportation_LCIA!Q$60)+Transportation_LCIA!Q$62</f>
        <v>9.6216231090364335E-5</v>
      </c>
      <c r="AN180" s="16">
        <f>Transportation_LCIA!R$61*($W180^Transportation_LCIA!R$60)+Transportation_LCIA!R$62</f>
        <v>2.8896705818992006E-4</v>
      </c>
      <c r="AO180" s="16">
        <f>Transportation_LCIA!S$61*($W180^Transportation_LCIA!S$60)+Transportation_LCIA!S$62</f>
        <v>4.3584988519816731E-6</v>
      </c>
      <c r="AP180" s="16">
        <f>Transportation_LCIA!T$61*($W180^Transportation_LCIA!T$60)+Transportation_LCIA!T$62</f>
        <v>4.3584988519816731E-6</v>
      </c>
      <c r="AQ180" s="16">
        <f>Transportation_LCIA!U$61*($W180^Transportation_LCIA!U$60)+Transportation_LCIA!U$62</f>
        <v>6.204066649837317E-4</v>
      </c>
      <c r="AR180" s="16">
        <f>Transportation_LCIA!V$61*($W180^Transportation_LCIA!V$60)+Transportation_LCIA!V$62</f>
        <v>2.502258212971912E-4</v>
      </c>
      <c r="AT180" s="16">
        <f>$W180*Y180+($L180)*Summary_LCIA!H$32</f>
        <v>277.17051766716185</v>
      </c>
      <c r="AU180" s="16">
        <f>$W180*Z180+($L180)*Summary_LCIA!Q$32</f>
        <v>3045.1278942309782</v>
      </c>
      <c r="AV180" s="16">
        <f>$W180*AA180+($L180)*Summary_LCIA!R$32</f>
        <v>1.8263728400108725</v>
      </c>
      <c r="AW180" s="16">
        <f>$W180*AB180+($L180)*Summary_LCIA!S$32</f>
        <v>276.58868654716184</v>
      </c>
      <c r="AX180" s="16">
        <f>$W180*AC180+($L180)*Summary_LCIA!T$32</f>
        <v>70.383370658914345</v>
      </c>
      <c r="AY180" s="16">
        <f>$W180*AD180+($L180)*Summary_LCIA!U$32</f>
        <v>2.6318960399925384</v>
      </c>
      <c r="AZ180" s="16">
        <f>$W180*AE180+($L180)*Summary_LCIA!V$32</f>
        <v>1.2155412693373845E-2</v>
      </c>
      <c r="BA180" s="16">
        <f>$W180*AF180+($L180)*Summary_LCIA!W$32</f>
        <v>18.81843711820769</v>
      </c>
      <c r="BB180" s="16">
        <f>$W180*AG180+($L180)*Summary_LCIA!X$32</f>
        <v>14.903122148346295</v>
      </c>
      <c r="BC180" s="16">
        <f>$W180*AH180+($L180)*Summary_LCIA!Y$32</f>
        <v>2.2885908074026307</v>
      </c>
      <c r="BD180" s="16">
        <f>$W180*AI180+($L180)*Summary_LCIA!Z$32</f>
        <v>0.24521693390990146</v>
      </c>
      <c r="BE180" s="16">
        <f>$W180*AJ180+($L180)*Summary_LCIA!AA$32</f>
        <v>4.052781665996851</v>
      </c>
      <c r="BF180" s="16">
        <f>$W180*AK180+($L180)*Summary_LCIA!AB$32</f>
        <v>5.6217706624052906E-2</v>
      </c>
      <c r="BG180" s="16">
        <f>$W180*AL180+($L180)*Summary_LCIA!AC$32</f>
        <v>3.5009888042741905E-5</v>
      </c>
      <c r="BH180" s="16">
        <f>$W180*AM180+($L180)*Summary_LCIA!AD$32</f>
        <v>0.14808003991290314</v>
      </c>
      <c r="BI180" s="16">
        <f>$W180*AN180+($L180)*Summary_LCIA!AE$32</f>
        <v>0.39887468444947433</v>
      </c>
      <c r="BJ180" s="16">
        <f>$W180*AO180+($L180)*Summary_LCIA!AF$32</f>
        <v>0.1155445616969317</v>
      </c>
      <c r="BK180" s="16">
        <f>$W180*AP180+($L180)*Summary_LCIA!AG$32</f>
        <v>1.0992010516931702E-2</v>
      </c>
      <c r="BL180" s="16">
        <f>$W180*AQ180+($L180)*Summary_LCIA!AH$32</f>
        <v>1.7516452901330024</v>
      </c>
      <c r="BM180" s="16">
        <f>$W180*AR180+($L180)*Summary_LCIA!AI$32</f>
        <v>0.36701583660303072</v>
      </c>
      <c r="BN180" s="16"/>
    </row>
    <row r="181" spans="1:66" x14ac:dyDescent="0.25">
      <c r="A181" s="159">
        <v>136</v>
      </c>
      <c r="B181" s="159">
        <v>6</v>
      </c>
      <c r="C181" s="45">
        <v>33.954258000000003</v>
      </c>
      <c r="D181" s="45">
        <v>-83.374932000000001</v>
      </c>
      <c r="E181" s="45" t="s">
        <v>265</v>
      </c>
      <c r="F181" s="159">
        <v>1</v>
      </c>
      <c r="G181" s="45" t="s">
        <v>565</v>
      </c>
      <c r="H181" s="45" t="s">
        <v>681</v>
      </c>
      <c r="I181" s="45">
        <v>33.640728000000003</v>
      </c>
      <c r="J181" s="45">
        <v>-84.427700000000002</v>
      </c>
      <c r="K181" s="45">
        <v>112.66856199999999</v>
      </c>
      <c r="L181" s="45">
        <v>131.636</v>
      </c>
      <c r="M181" s="45" t="s">
        <v>617</v>
      </c>
      <c r="N181" s="159">
        <v>5</v>
      </c>
      <c r="O181" s="159">
        <v>6</v>
      </c>
      <c r="P181" s="45" t="s">
        <v>565</v>
      </c>
      <c r="Q181" s="45" t="s">
        <v>564</v>
      </c>
      <c r="R181" s="45">
        <v>41.98028</v>
      </c>
      <c r="S181" s="45">
        <v>-87.908997900000003</v>
      </c>
      <c r="T181" s="45">
        <v>1285.548</v>
      </c>
      <c r="U181" s="45" t="s">
        <v>617</v>
      </c>
      <c r="V181" s="45" t="s">
        <v>569</v>
      </c>
      <c r="W181" s="45" cm="1">
        <f t="array" ref="W181">getDistance(R181,S181,I181,J181)*SA!$B$12</f>
        <v>976.67906347990493</v>
      </c>
      <c r="X181" s="22"/>
      <c r="Y181" s="16">
        <f>Transportation_LCIA!C$61*($W181^Transportation_LCIA!C$60)+Transportation_LCIA!C$62</f>
        <v>0.23799077256655485</v>
      </c>
      <c r="Z181" s="16">
        <f>Transportation_LCIA!D$61*($W181^Transportation_LCIA!D$60)+Transportation_LCIA!D$62</f>
        <v>2.4498664186649894</v>
      </c>
      <c r="AA181" s="16">
        <f>Transportation_LCIA!E$61*($W181^Transportation_LCIA!E$60)+Transportation_LCIA!E$62</f>
        <v>1.1602893527513285E-3</v>
      </c>
      <c r="AB181" s="16">
        <f>Transportation_LCIA!F$61*($W181^Transportation_LCIA!F$60)+Transportation_LCIA!F$62</f>
        <v>0.23799077256655485</v>
      </c>
      <c r="AC181" s="16">
        <f>Transportation_LCIA!G$61*($W181^Transportation_LCIA!G$60)+Transportation_LCIA!G$62</f>
        <v>5.7251738416183251E-2</v>
      </c>
      <c r="AD181" s="16">
        <f>Transportation_LCIA!H$61*($W181^Transportation_LCIA!H$60)+Transportation_LCIA!H$62</f>
        <v>2.8030572808339046E-4</v>
      </c>
      <c r="AE181" s="16">
        <f>Transportation_LCIA!I$61*($W181^Transportation_LCIA!I$60)+Transportation_LCIA!I$62</f>
        <v>6.0084688172437592E-6</v>
      </c>
      <c r="AF181" s="16">
        <f>Transportation_LCIA!J$61*($W181^Transportation_LCIA!J$60)+Transportation_LCIA!J$62</f>
        <v>8.8936917837252362E-3</v>
      </c>
      <c r="AG181" s="16">
        <f>Transportation_LCIA!K$61*($W181^Transportation_LCIA!K$60)+Transportation_LCIA!K$62</f>
        <v>1.2188706109794917E-2</v>
      </c>
      <c r="AH181" s="16">
        <f>Transportation_LCIA!L$61*($W181^Transportation_LCIA!L$60)+Transportation_LCIA!L$62</f>
        <v>2.4310816549771977E-4</v>
      </c>
      <c r="AI181" s="16">
        <f>Transportation_LCIA!M$61*($W181^Transportation_LCIA!M$60)+Transportation_LCIA!M$62</f>
        <v>2.455450128432447E-4</v>
      </c>
      <c r="AJ181" s="16">
        <f>Transportation_LCIA!N$61*($W181^Transportation_LCIA!N$60)+Transportation_LCIA!N$62</f>
        <v>1.0016506819662974E-3</v>
      </c>
      <c r="AK181" s="16">
        <f>Transportation_LCIA!O$61*($W181^Transportation_LCIA!O$60)+Transportation_LCIA!O$62</f>
        <v>6.050134712780058E-5</v>
      </c>
      <c r="AL181" s="16">
        <f>Transportation_LCIA!P$61*($W181^Transportation_LCIA!P$60)+Transportation_LCIA!P$62</f>
        <v>2.9257301489528483E-8</v>
      </c>
      <c r="AM181" s="16">
        <f>Transportation_LCIA!Q$61*($W181^Transportation_LCIA!Q$60)+Transportation_LCIA!Q$62</f>
        <v>9.6216231090364335E-5</v>
      </c>
      <c r="AN181" s="16">
        <f>Transportation_LCIA!R$61*($W181^Transportation_LCIA!R$60)+Transportation_LCIA!R$62</f>
        <v>2.8896705818992006E-4</v>
      </c>
      <c r="AO181" s="16">
        <f>Transportation_LCIA!S$61*($W181^Transportation_LCIA!S$60)+Transportation_LCIA!S$62</f>
        <v>4.3584988519816731E-6</v>
      </c>
      <c r="AP181" s="16">
        <f>Transportation_LCIA!T$61*($W181^Transportation_LCIA!T$60)+Transportation_LCIA!T$62</f>
        <v>4.3584988519816731E-6</v>
      </c>
      <c r="AQ181" s="16">
        <f>Transportation_LCIA!U$61*($W181^Transportation_LCIA!U$60)+Transportation_LCIA!U$62</f>
        <v>6.204066649837317E-4</v>
      </c>
      <c r="AR181" s="16">
        <f>Transportation_LCIA!V$61*($W181^Transportation_LCIA!V$60)+Transportation_LCIA!V$62</f>
        <v>2.502258212971912E-4</v>
      </c>
      <c r="AT181" s="16">
        <f>$W181*Y181+($L181)*Summary_LCIA!H$32</f>
        <v>277.17051766716185</v>
      </c>
      <c r="AU181" s="16">
        <f>$W181*Z181+($L181)*Summary_LCIA!Q$32</f>
        <v>3045.1278942309782</v>
      </c>
      <c r="AV181" s="16">
        <f>$W181*AA181+($L181)*Summary_LCIA!R$32</f>
        <v>1.8263728400108725</v>
      </c>
      <c r="AW181" s="16">
        <f>$W181*AB181+($L181)*Summary_LCIA!S$32</f>
        <v>276.58868654716184</v>
      </c>
      <c r="AX181" s="16">
        <f>$W181*AC181+($L181)*Summary_LCIA!T$32</f>
        <v>70.383370658914345</v>
      </c>
      <c r="AY181" s="16">
        <f>$W181*AD181+($L181)*Summary_LCIA!U$32</f>
        <v>2.6318960399925384</v>
      </c>
      <c r="AZ181" s="16">
        <f>$W181*AE181+($L181)*Summary_LCIA!V$32</f>
        <v>1.2155412693373845E-2</v>
      </c>
      <c r="BA181" s="16">
        <f>$W181*AF181+($L181)*Summary_LCIA!W$32</f>
        <v>18.81843711820769</v>
      </c>
      <c r="BB181" s="16">
        <f>$W181*AG181+($L181)*Summary_LCIA!X$32</f>
        <v>14.903122148346295</v>
      </c>
      <c r="BC181" s="16">
        <f>$W181*AH181+($L181)*Summary_LCIA!Y$32</f>
        <v>2.2885908074026307</v>
      </c>
      <c r="BD181" s="16">
        <f>$W181*AI181+($L181)*Summary_LCIA!Z$32</f>
        <v>0.24521693390990146</v>
      </c>
      <c r="BE181" s="16">
        <f>$W181*AJ181+($L181)*Summary_LCIA!AA$32</f>
        <v>4.052781665996851</v>
      </c>
      <c r="BF181" s="16">
        <f>$W181*AK181+($L181)*Summary_LCIA!AB$32</f>
        <v>5.6217706624052906E-2</v>
      </c>
      <c r="BG181" s="16">
        <f>$W181*AL181+($L181)*Summary_LCIA!AC$32</f>
        <v>3.5009888042741905E-5</v>
      </c>
      <c r="BH181" s="16">
        <f>$W181*AM181+($L181)*Summary_LCIA!AD$32</f>
        <v>0.14808003991290314</v>
      </c>
      <c r="BI181" s="16">
        <f>$W181*AN181+($L181)*Summary_LCIA!AE$32</f>
        <v>0.39887468444947433</v>
      </c>
      <c r="BJ181" s="16">
        <f>$W181*AO181+($L181)*Summary_LCIA!AF$32</f>
        <v>0.1155445616969317</v>
      </c>
      <c r="BK181" s="16">
        <f>$W181*AP181+($L181)*Summary_LCIA!AG$32</f>
        <v>1.0992010516931702E-2</v>
      </c>
      <c r="BL181" s="16">
        <f>$W181*AQ181+($L181)*Summary_LCIA!AH$32</f>
        <v>1.7516452901330024</v>
      </c>
      <c r="BM181" s="16">
        <f>$W181*AR181+($L181)*Summary_LCIA!AI$32</f>
        <v>0.36701583660303072</v>
      </c>
      <c r="BN181" s="16"/>
    </row>
    <row r="182" spans="1:66" x14ac:dyDescent="0.25">
      <c r="A182" s="159">
        <v>15</v>
      </c>
      <c r="B182" s="159">
        <v>6</v>
      </c>
      <c r="C182" s="45">
        <v>40.676457999999997</v>
      </c>
      <c r="D182" s="45">
        <v>-74.228478999999993</v>
      </c>
      <c r="E182" s="45" t="s">
        <v>265</v>
      </c>
      <c r="F182" s="159">
        <v>43</v>
      </c>
      <c r="G182" s="45" t="s">
        <v>565</v>
      </c>
      <c r="H182" s="45" t="s">
        <v>632</v>
      </c>
      <c r="I182" s="45">
        <v>40.689531000000002</v>
      </c>
      <c r="J182" s="45">
        <v>-74.174462000000005</v>
      </c>
      <c r="K182" s="45">
        <v>5.2641184650000001</v>
      </c>
      <c r="L182" s="45">
        <v>7.0670000000000002</v>
      </c>
      <c r="M182" s="45" t="s">
        <v>617</v>
      </c>
      <c r="N182" s="159">
        <v>5</v>
      </c>
      <c r="O182" s="159">
        <v>6</v>
      </c>
      <c r="P182" s="45" t="s">
        <v>565</v>
      </c>
      <c r="Q182" s="45" t="s">
        <v>564</v>
      </c>
      <c r="R182" s="45">
        <v>41.98028</v>
      </c>
      <c r="S182" s="45">
        <v>-87.908997900000003</v>
      </c>
      <c r="T182" s="45">
        <v>1289.7360000000001</v>
      </c>
      <c r="U182" s="45" t="s">
        <v>617</v>
      </c>
      <c r="V182" s="45" t="s">
        <v>569</v>
      </c>
      <c r="W182" s="45" cm="1">
        <f t="array" ref="W182">getDistance(R182,S182,I182,J182)*SA!$B$12</f>
        <v>1157.3544072648172</v>
      </c>
      <c r="X182" s="22"/>
      <c r="Y182" s="16">
        <f>Transportation_LCIA!C$61*($W182^Transportation_LCIA!C$60)+Transportation_LCIA!C$62</f>
        <v>0.22125487054982909</v>
      </c>
      <c r="Z182" s="16">
        <f>Transportation_LCIA!D$61*($W182^Transportation_LCIA!D$60)+Transportation_LCIA!D$62</f>
        <v>2.2550976254597064</v>
      </c>
      <c r="AA182" s="16">
        <f>Transportation_LCIA!E$61*($W182^Transportation_LCIA!E$60)+Transportation_LCIA!E$62</f>
        <v>1.0323310860369151E-3</v>
      </c>
      <c r="AB182" s="16">
        <f>Transportation_LCIA!F$61*($W182^Transportation_LCIA!F$60)+Transportation_LCIA!F$62</f>
        <v>0.22125487054982909</v>
      </c>
      <c r="AC182" s="16">
        <f>Transportation_LCIA!G$61*($W182^Transportation_LCIA!G$60)+Transportation_LCIA!G$62</f>
        <v>5.2744888954963348E-2</v>
      </c>
      <c r="AD182" s="16">
        <f>Transportation_LCIA!H$61*($W182^Transportation_LCIA!H$60)+Transportation_LCIA!H$62</f>
        <v>2.5221347446689263E-4</v>
      </c>
      <c r="AE182" s="16">
        <f>Transportation_LCIA!I$61*($W182^Transportation_LCIA!I$60)+Transportation_LCIA!I$62</f>
        <v>5.3030314161226812E-6</v>
      </c>
      <c r="AF182" s="16">
        <f>Transportation_LCIA!J$61*($W182^Transportation_LCIA!J$60)+Transportation_LCIA!J$62</f>
        <v>7.8448001251838345E-3</v>
      </c>
      <c r="AG182" s="16">
        <f>Transportation_LCIA!K$61*($W182^Transportation_LCIA!K$60)+Transportation_LCIA!K$62</f>
        <v>1.1138126610856905E-2</v>
      </c>
      <c r="AH182" s="16">
        <f>Transportation_LCIA!L$61*($W182^Transportation_LCIA!L$60)+Transportation_LCIA!L$62</f>
        <v>2.173000581713352E-4</v>
      </c>
      <c r="AI182" s="16">
        <f>Transportation_LCIA!M$61*($W182^Transportation_LCIA!M$60)+Transportation_LCIA!M$62</f>
        <v>2.3004244817644541E-4</v>
      </c>
      <c r="AJ182" s="16">
        <f>Transportation_LCIA!N$61*($W182^Transportation_LCIA!N$60)+Transportation_LCIA!N$62</f>
        <v>9.0718132319716257E-4</v>
      </c>
      <c r="AK182" s="16">
        <f>Transportation_LCIA!O$61*($W182^Transportation_LCIA!O$60)+Transportation_LCIA!O$62</f>
        <v>5.5712603527285817E-5</v>
      </c>
      <c r="AL182" s="16">
        <f>Transportation_LCIA!P$61*($W182^Transportation_LCIA!P$60)+Transportation_LCIA!P$62</f>
        <v>2.6954451201708154E-8</v>
      </c>
      <c r="AM182" s="16">
        <f>Transportation_LCIA!Q$61*($W182^Transportation_LCIA!Q$60)+Transportation_LCIA!Q$62</f>
        <v>8.6129062862737627E-5</v>
      </c>
      <c r="AN182" s="16">
        <f>Transportation_LCIA!R$61*($W182^Transportation_LCIA!R$60)+Transportation_LCIA!R$62</f>
        <v>2.5514126484247728E-4</v>
      </c>
      <c r="AO182" s="16">
        <f>Transportation_LCIA!S$61*($W182^Transportation_LCIA!S$60)+Transportation_LCIA!S$62</f>
        <v>3.8783860198243708E-6</v>
      </c>
      <c r="AP182" s="16">
        <f>Transportation_LCIA!T$61*($W182^Transportation_LCIA!T$60)+Transportation_LCIA!T$62</f>
        <v>3.8783860198243708E-6</v>
      </c>
      <c r="AQ182" s="16">
        <f>Transportation_LCIA!U$61*($W182^Transportation_LCIA!U$60)+Transportation_LCIA!U$62</f>
        <v>5.4626083703188067E-4</v>
      </c>
      <c r="AR182" s="16">
        <f>Transportation_LCIA!V$61*($W182^Transportation_LCIA!V$60)+Transportation_LCIA!V$62</f>
        <v>2.2399696302769612E-4</v>
      </c>
      <c r="AT182" s="16">
        <f>$W182*Y182+($L182)*Summary_LCIA!H$32</f>
        <v>258.47166615965131</v>
      </c>
      <c r="AU182" s="16">
        <f>$W182*Z182+($L182)*Summary_LCIA!Q$32</f>
        <v>2644.9715840482258</v>
      </c>
      <c r="AV182" s="16">
        <f>$W182*AA182+($L182)*Summary_LCIA!R$32</f>
        <v>1.2319849273812988</v>
      </c>
      <c r="AW182" s="16">
        <f>$W182*AB182+($L182)*Summary_LCIA!S$32</f>
        <v>258.44043001965127</v>
      </c>
      <c r="AX182" s="16">
        <f>$W182*AC182+($L182)*Summary_LCIA!T$32</f>
        <v>61.821192992720206</v>
      </c>
      <c r="AY182" s="16">
        <f>$W182*AD182+($L182)*Summary_LCIA!U$32</f>
        <v>0.41849861424583057</v>
      </c>
      <c r="AZ182" s="16">
        <f>$W182*AE182+($L182)*Summary_LCIA!V$32</f>
        <v>6.4750137683133703E-3</v>
      </c>
      <c r="BA182" s="16">
        <f>$W182*AF182+($L182)*Summary_LCIA!W$32</f>
        <v>9.6231680559931014</v>
      </c>
      <c r="BB182" s="16">
        <f>$W182*AG182+($L182)*Summary_LCIA!X$32</f>
        <v>13.051746181748779</v>
      </c>
      <c r="BC182" s="16">
        <f>$W182*AH182+($L182)*Summary_LCIA!Y$32</f>
        <v>0.36161117402349596</v>
      </c>
      <c r="BD182" s="16">
        <f>$W182*AI182+($L182)*Summary_LCIA!Z$32</f>
        <v>0.2665304518579974</v>
      </c>
      <c r="BE182" s="16">
        <f>$W182*AJ182+($L182)*Summary_LCIA!AA$32</f>
        <v>1.2149871545905646</v>
      </c>
      <c r="BF182" s="16">
        <f>$W182*AK182+($L182)*Summary_LCIA!AB$32</f>
        <v>6.4325004091501645E-2</v>
      </c>
      <c r="BG182" s="16">
        <f>$W182*AL182+($L182)*Summary_LCIA!AC$32</f>
        <v>3.1541316121701382E-5</v>
      </c>
      <c r="BH182" s="16">
        <f>$W182*AM182+($L182)*Summary_LCIA!AD$32</f>
        <v>0.10258667017777788</v>
      </c>
      <c r="BI182" s="16">
        <f>$W182*AN182+($L182)*Summary_LCIA!AE$32</f>
        <v>0.30155114805056105</v>
      </c>
      <c r="BJ182" s="16">
        <f>$W182*AO182+($L182)*Summary_LCIA!AF$32</f>
        <v>1.0463250293117989E-2</v>
      </c>
      <c r="BK182" s="16">
        <f>$W182*AP182+($L182)*Summary_LCIA!AG$32</f>
        <v>4.8502502081179876E-3</v>
      </c>
      <c r="BL182" s="16">
        <f>$W182*AQ182+($L182)*Summary_LCIA!AH$32</f>
        <v>0.69372572845501512</v>
      </c>
      <c r="BM182" s="16">
        <f>$W182*AR182+($L182)*Summary_LCIA!AI$32</f>
        <v>0.26582713622403842</v>
      </c>
      <c r="BN182" s="16"/>
    </row>
    <row r="183" spans="1:66" x14ac:dyDescent="0.25">
      <c r="A183" s="159">
        <v>16</v>
      </c>
      <c r="B183" s="159">
        <v>6</v>
      </c>
      <c r="C183" s="45">
        <v>40.676457999999997</v>
      </c>
      <c r="D183" s="45">
        <v>-74.228478999999993</v>
      </c>
      <c r="E183" s="45" t="s">
        <v>265</v>
      </c>
      <c r="F183" s="159">
        <v>43</v>
      </c>
      <c r="G183" s="45" t="s">
        <v>565</v>
      </c>
      <c r="H183" s="45" t="s">
        <v>632</v>
      </c>
      <c r="I183" s="45">
        <v>40.689531000000002</v>
      </c>
      <c r="J183" s="45">
        <v>-74.174462000000005</v>
      </c>
      <c r="K183" s="45">
        <v>5.2641184650000001</v>
      </c>
      <c r="L183" s="45">
        <v>7.0670000000000002</v>
      </c>
      <c r="M183" s="45" t="s">
        <v>617</v>
      </c>
      <c r="N183" s="159">
        <v>5</v>
      </c>
      <c r="O183" s="159">
        <v>6</v>
      </c>
      <c r="P183" s="45" t="s">
        <v>565</v>
      </c>
      <c r="Q183" s="45" t="s">
        <v>564</v>
      </c>
      <c r="R183" s="45">
        <v>41.98028</v>
      </c>
      <c r="S183" s="45">
        <v>-87.908997900000003</v>
      </c>
      <c r="T183" s="45">
        <v>1289.7360000000001</v>
      </c>
      <c r="U183" s="45" t="s">
        <v>617</v>
      </c>
      <c r="V183" s="45" t="s">
        <v>569</v>
      </c>
      <c r="W183" s="45" cm="1">
        <f t="array" ref="W183">getDistance(R183,S183,I183,J183)*SA!$B$12</f>
        <v>1157.3544072648172</v>
      </c>
      <c r="X183" s="22"/>
      <c r="Y183" s="16">
        <f>Transportation_LCIA!C$61*($W183^Transportation_LCIA!C$60)+Transportation_LCIA!C$62</f>
        <v>0.22125487054982909</v>
      </c>
      <c r="Z183" s="16">
        <f>Transportation_LCIA!D$61*($W183^Transportation_LCIA!D$60)+Transportation_LCIA!D$62</f>
        <v>2.2550976254597064</v>
      </c>
      <c r="AA183" s="16">
        <f>Transportation_LCIA!E$61*($W183^Transportation_LCIA!E$60)+Transportation_LCIA!E$62</f>
        <v>1.0323310860369151E-3</v>
      </c>
      <c r="AB183" s="16">
        <f>Transportation_LCIA!F$61*($W183^Transportation_LCIA!F$60)+Transportation_LCIA!F$62</f>
        <v>0.22125487054982909</v>
      </c>
      <c r="AC183" s="16">
        <f>Transportation_LCIA!G$61*($W183^Transportation_LCIA!G$60)+Transportation_LCIA!G$62</f>
        <v>5.2744888954963348E-2</v>
      </c>
      <c r="AD183" s="16">
        <f>Transportation_LCIA!H$61*($W183^Transportation_LCIA!H$60)+Transportation_LCIA!H$62</f>
        <v>2.5221347446689263E-4</v>
      </c>
      <c r="AE183" s="16">
        <f>Transportation_LCIA!I$61*($W183^Transportation_LCIA!I$60)+Transportation_LCIA!I$62</f>
        <v>5.3030314161226812E-6</v>
      </c>
      <c r="AF183" s="16">
        <f>Transportation_LCIA!J$61*($W183^Transportation_LCIA!J$60)+Transportation_LCIA!J$62</f>
        <v>7.8448001251838345E-3</v>
      </c>
      <c r="AG183" s="16">
        <f>Transportation_LCIA!K$61*($W183^Transportation_LCIA!K$60)+Transportation_LCIA!K$62</f>
        <v>1.1138126610856905E-2</v>
      </c>
      <c r="AH183" s="16">
        <f>Transportation_LCIA!L$61*($W183^Transportation_LCIA!L$60)+Transportation_LCIA!L$62</f>
        <v>2.173000581713352E-4</v>
      </c>
      <c r="AI183" s="16">
        <f>Transportation_LCIA!M$61*($W183^Transportation_LCIA!M$60)+Transportation_LCIA!M$62</f>
        <v>2.3004244817644541E-4</v>
      </c>
      <c r="AJ183" s="16">
        <f>Transportation_LCIA!N$61*($W183^Transportation_LCIA!N$60)+Transportation_LCIA!N$62</f>
        <v>9.0718132319716257E-4</v>
      </c>
      <c r="AK183" s="16">
        <f>Transportation_LCIA!O$61*($W183^Transportation_LCIA!O$60)+Transportation_LCIA!O$62</f>
        <v>5.5712603527285817E-5</v>
      </c>
      <c r="AL183" s="16">
        <f>Transportation_LCIA!P$61*($W183^Transportation_LCIA!P$60)+Transportation_LCIA!P$62</f>
        <v>2.6954451201708154E-8</v>
      </c>
      <c r="AM183" s="16">
        <f>Transportation_LCIA!Q$61*($W183^Transportation_LCIA!Q$60)+Transportation_LCIA!Q$62</f>
        <v>8.6129062862737627E-5</v>
      </c>
      <c r="AN183" s="16">
        <f>Transportation_LCIA!R$61*($W183^Transportation_LCIA!R$60)+Transportation_LCIA!R$62</f>
        <v>2.5514126484247728E-4</v>
      </c>
      <c r="AO183" s="16">
        <f>Transportation_LCIA!S$61*($W183^Transportation_LCIA!S$60)+Transportation_LCIA!S$62</f>
        <v>3.8783860198243708E-6</v>
      </c>
      <c r="AP183" s="16">
        <f>Transportation_LCIA!T$61*($W183^Transportation_LCIA!T$60)+Transportation_LCIA!T$62</f>
        <v>3.8783860198243708E-6</v>
      </c>
      <c r="AQ183" s="16">
        <f>Transportation_LCIA!U$61*($W183^Transportation_LCIA!U$60)+Transportation_LCIA!U$62</f>
        <v>5.4626083703188067E-4</v>
      </c>
      <c r="AR183" s="16">
        <f>Transportation_LCIA!V$61*($W183^Transportation_LCIA!V$60)+Transportation_LCIA!V$62</f>
        <v>2.2399696302769612E-4</v>
      </c>
      <c r="AT183" s="16">
        <f>$W183*Y183+($L183)*Summary_LCIA!H$32</f>
        <v>258.47166615965131</v>
      </c>
      <c r="AU183" s="16">
        <f>$W183*Z183+($L183)*Summary_LCIA!Q$32</f>
        <v>2644.9715840482258</v>
      </c>
      <c r="AV183" s="16">
        <f>$W183*AA183+($L183)*Summary_LCIA!R$32</f>
        <v>1.2319849273812988</v>
      </c>
      <c r="AW183" s="16">
        <f>$W183*AB183+($L183)*Summary_LCIA!S$32</f>
        <v>258.44043001965127</v>
      </c>
      <c r="AX183" s="16">
        <f>$W183*AC183+($L183)*Summary_LCIA!T$32</f>
        <v>61.821192992720206</v>
      </c>
      <c r="AY183" s="16">
        <f>$W183*AD183+($L183)*Summary_LCIA!U$32</f>
        <v>0.41849861424583057</v>
      </c>
      <c r="AZ183" s="16">
        <f>$W183*AE183+($L183)*Summary_LCIA!V$32</f>
        <v>6.4750137683133703E-3</v>
      </c>
      <c r="BA183" s="16">
        <f>$W183*AF183+($L183)*Summary_LCIA!W$32</f>
        <v>9.6231680559931014</v>
      </c>
      <c r="BB183" s="16">
        <f>$W183*AG183+($L183)*Summary_LCIA!X$32</f>
        <v>13.051746181748779</v>
      </c>
      <c r="BC183" s="16">
        <f>$W183*AH183+($L183)*Summary_LCIA!Y$32</f>
        <v>0.36161117402349596</v>
      </c>
      <c r="BD183" s="16">
        <f>$W183*AI183+($L183)*Summary_LCIA!Z$32</f>
        <v>0.2665304518579974</v>
      </c>
      <c r="BE183" s="16">
        <f>$W183*AJ183+($L183)*Summary_LCIA!AA$32</f>
        <v>1.2149871545905646</v>
      </c>
      <c r="BF183" s="16">
        <f>$W183*AK183+($L183)*Summary_LCIA!AB$32</f>
        <v>6.4325004091501645E-2</v>
      </c>
      <c r="BG183" s="16">
        <f>$W183*AL183+($L183)*Summary_LCIA!AC$32</f>
        <v>3.1541316121701382E-5</v>
      </c>
      <c r="BH183" s="16">
        <f>$W183*AM183+($L183)*Summary_LCIA!AD$32</f>
        <v>0.10258667017777788</v>
      </c>
      <c r="BI183" s="16">
        <f>$W183*AN183+($L183)*Summary_LCIA!AE$32</f>
        <v>0.30155114805056105</v>
      </c>
      <c r="BJ183" s="16">
        <f>$W183*AO183+($L183)*Summary_LCIA!AF$32</f>
        <v>1.0463250293117989E-2</v>
      </c>
      <c r="BK183" s="16">
        <f>$W183*AP183+($L183)*Summary_LCIA!AG$32</f>
        <v>4.8502502081179876E-3</v>
      </c>
      <c r="BL183" s="16">
        <f>$W183*AQ183+($L183)*Summary_LCIA!AH$32</f>
        <v>0.69372572845501512</v>
      </c>
      <c r="BM183" s="16">
        <f>$W183*AR183+($L183)*Summary_LCIA!AI$32</f>
        <v>0.26582713622403842</v>
      </c>
      <c r="BN183" s="16"/>
    </row>
    <row r="184" spans="1:66" x14ac:dyDescent="0.25">
      <c r="A184" s="159">
        <v>17</v>
      </c>
      <c r="B184" s="159">
        <v>6</v>
      </c>
      <c r="C184" s="45">
        <v>40.676457999999997</v>
      </c>
      <c r="D184" s="45">
        <v>-74.228478999999993</v>
      </c>
      <c r="E184" s="45" t="s">
        <v>265</v>
      </c>
      <c r="F184" s="159">
        <v>43</v>
      </c>
      <c r="G184" s="45" t="s">
        <v>565</v>
      </c>
      <c r="H184" s="45" t="s">
        <v>632</v>
      </c>
      <c r="I184" s="45">
        <v>40.689531000000002</v>
      </c>
      <c r="J184" s="45">
        <v>-74.174462000000005</v>
      </c>
      <c r="K184" s="45">
        <v>5.2641184650000001</v>
      </c>
      <c r="L184" s="45">
        <v>7.0670000000000002</v>
      </c>
      <c r="M184" s="45" t="s">
        <v>617</v>
      </c>
      <c r="N184" s="159">
        <v>5</v>
      </c>
      <c r="O184" s="159">
        <v>6</v>
      </c>
      <c r="P184" s="45" t="s">
        <v>565</v>
      </c>
      <c r="Q184" s="45" t="s">
        <v>564</v>
      </c>
      <c r="R184" s="45">
        <v>41.98028</v>
      </c>
      <c r="S184" s="45">
        <v>-87.908997900000003</v>
      </c>
      <c r="T184" s="45">
        <v>1289.7360000000001</v>
      </c>
      <c r="U184" s="45" t="s">
        <v>617</v>
      </c>
      <c r="V184" s="45" t="s">
        <v>569</v>
      </c>
      <c r="W184" s="45" cm="1">
        <f t="array" ref="W184">getDistance(R184,S184,I184,J184)*SA!$B$12</f>
        <v>1157.3544072648172</v>
      </c>
      <c r="X184" s="22"/>
      <c r="Y184" s="16">
        <f>Transportation_LCIA!C$61*($W184^Transportation_LCIA!C$60)+Transportation_LCIA!C$62</f>
        <v>0.22125487054982909</v>
      </c>
      <c r="Z184" s="16">
        <f>Transportation_LCIA!D$61*($W184^Transportation_LCIA!D$60)+Transportation_LCIA!D$62</f>
        <v>2.2550976254597064</v>
      </c>
      <c r="AA184" s="16">
        <f>Transportation_LCIA!E$61*($W184^Transportation_LCIA!E$60)+Transportation_LCIA!E$62</f>
        <v>1.0323310860369151E-3</v>
      </c>
      <c r="AB184" s="16">
        <f>Transportation_LCIA!F$61*($W184^Transportation_LCIA!F$60)+Transportation_LCIA!F$62</f>
        <v>0.22125487054982909</v>
      </c>
      <c r="AC184" s="16">
        <f>Transportation_LCIA!G$61*($W184^Transportation_LCIA!G$60)+Transportation_LCIA!G$62</f>
        <v>5.2744888954963348E-2</v>
      </c>
      <c r="AD184" s="16">
        <f>Transportation_LCIA!H$61*($W184^Transportation_LCIA!H$60)+Transportation_LCIA!H$62</f>
        <v>2.5221347446689263E-4</v>
      </c>
      <c r="AE184" s="16">
        <f>Transportation_LCIA!I$61*($W184^Transportation_LCIA!I$60)+Transportation_LCIA!I$62</f>
        <v>5.3030314161226812E-6</v>
      </c>
      <c r="AF184" s="16">
        <f>Transportation_LCIA!J$61*($W184^Transportation_LCIA!J$60)+Transportation_LCIA!J$62</f>
        <v>7.8448001251838345E-3</v>
      </c>
      <c r="AG184" s="16">
        <f>Transportation_LCIA!K$61*($W184^Transportation_LCIA!K$60)+Transportation_LCIA!K$62</f>
        <v>1.1138126610856905E-2</v>
      </c>
      <c r="AH184" s="16">
        <f>Transportation_LCIA!L$61*($W184^Transportation_LCIA!L$60)+Transportation_LCIA!L$62</f>
        <v>2.173000581713352E-4</v>
      </c>
      <c r="AI184" s="16">
        <f>Transportation_LCIA!M$61*($W184^Transportation_LCIA!M$60)+Transportation_LCIA!M$62</f>
        <v>2.3004244817644541E-4</v>
      </c>
      <c r="AJ184" s="16">
        <f>Transportation_LCIA!N$61*($W184^Transportation_LCIA!N$60)+Transportation_LCIA!N$62</f>
        <v>9.0718132319716257E-4</v>
      </c>
      <c r="AK184" s="16">
        <f>Transportation_LCIA!O$61*($W184^Transportation_LCIA!O$60)+Transportation_LCIA!O$62</f>
        <v>5.5712603527285817E-5</v>
      </c>
      <c r="AL184" s="16">
        <f>Transportation_LCIA!P$61*($W184^Transportation_LCIA!P$60)+Transportation_LCIA!P$62</f>
        <v>2.6954451201708154E-8</v>
      </c>
      <c r="AM184" s="16">
        <f>Transportation_LCIA!Q$61*($W184^Transportation_LCIA!Q$60)+Transportation_LCIA!Q$62</f>
        <v>8.6129062862737627E-5</v>
      </c>
      <c r="AN184" s="16">
        <f>Transportation_LCIA!R$61*($W184^Transportation_LCIA!R$60)+Transportation_LCIA!R$62</f>
        <v>2.5514126484247728E-4</v>
      </c>
      <c r="AO184" s="16">
        <f>Transportation_LCIA!S$61*($W184^Transportation_LCIA!S$60)+Transportation_LCIA!S$62</f>
        <v>3.8783860198243708E-6</v>
      </c>
      <c r="AP184" s="16">
        <f>Transportation_LCIA!T$61*($W184^Transportation_LCIA!T$60)+Transportation_LCIA!T$62</f>
        <v>3.8783860198243708E-6</v>
      </c>
      <c r="AQ184" s="16">
        <f>Transportation_LCIA!U$61*($W184^Transportation_LCIA!U$60)+Transportation_LCIA!U$62</f>
        <v>5.4626083703188067E-4</v>
      </c>
      <c r="AR184" s="16">
        <f>Transportation_LCIA!V$61*($W184^Transportation_LCIA!V$60)+Transportation_LCIA!V$62</f>
        <v>2.2399696302769612E-4</v>
      </c>
      <c r="AT184" s="16">
        <f>$W184*Y184+($L184)*Summary_LCIA!H$32</f>
        <v>258.47166615965131</v>
      </c>
      <c r="AU184" s="16">
        <f>$W184*Z184+($L184)*Summary_LCIA!Q$32</f>
        <v>2644.9715840482258</v>
      </c>
      <c r="AV184" s="16">
        <f>$W184*AA184+($L184)*Summary_LCIA!R$32</f>
        <v>1.2319849273812988</v>
      </c>
      <c r="AW184" s="16">
        <f>$W184*AB184+($L184)*Summary_LCIA!S$32</f>
        <v>258.44043001965127</v>
      </c>
      <c r="AX184" s="16">
        <f>$W184*AC184+($L184)*Summary_LCIA!T$32</f>
        <v>61.821192992720206</v>
      </c>
      <c r="AY184" s="16">
        <f>$W184*AD184+($L184)*Summary_LCIA!U$32</f>
        <v>0.41849861424583057</v>
      </c>
      <c r="AZ184" s="16">
        <f>$W184*AE184+($L184)*Summary_LCIA!V$32</f>
        <v>6.4750137683133703E-3</v>
      </c>
      <c r="BA184" s="16">
        <f>$W184*AF184+($L184)*Summary_LCIA!W$32</f>
        <v>9.6231680559931014</v>
      </c>
      <c r="BB184" s="16">
        <f>$W184*AG184+($L184)*Summary_LCIA!X$32</f>
        <v>13.051746181748779</v>
      </c>
      <c r="BC184" s="16">
        <f>$W184*AH184+($L184)*Summary_LCIA!Y$32</f>
        <v>0.36161117402349596</v>
      </c>
      <c r="BD184" s="16">
        <f>$W184*AI184+($L184)*Summary_LCIA!Z$32</f>
        <v>0.2665304518579974</v>
      </c>
      <c r="BE184" s="16">
        <f>$W184*AJ184+($L184)*Summary_LCIA!AA$32</f>
        <v>1.2149871545905646</v>
      </c>
      <c r="BF184" s="16">
        <f>$W184*AK184+($L184)*Summary_LCIA!AB$32</f>
        <v>6.4325004091501645E-2</v>
      </c>
      <c r="BG184" s="16">
        <f>$W184*AL184+($L184)*Summary_LCIA!AC$32</f>
        <v>3.1541316121701382E-5</v>
      </c>
      <c r="BH184" s="16">
        <f>$W184*AM184+($L184)*Summary_LCIA!AD$32</f>
        <v>0.10258667017777788</v>
      </c>
      <c r="BI184" s="16">
        <f>$W184*AN184+($L184)*Summary_LCIA!AE$32</f>
        <v>0.30155114805056105</v>
      </c>
      <c r="BJ184" s="16">
        <f>$W184*AO184+($L184)*Summary_LCIA!AF$32</f>
        <v>1.0463250293117989E-2</v>
      </c>
      <c r="BK184" s="16">
        <f>$W184*AP184+($L184)*Summary_LCIA!AG$32</f>
        <v>4.8502502081179876E-3</v>
      </c>
      <c r="BL184" s="16">
        <f>$W184*AQ184+($L184)*Summary_LCIA!AH$32</f>
        <v>0.69372572845501512</v>
      </c>
      <c r="BM184" s="16">
        <f>$W184*AR184+($L184)*Summary_LCIA!AI$32</f>
        <v>0.26582713622403842</v>
      </c>
      <c r="BN184" s="16"/>
    </row>
    <row r="185" spans="1:66" x14ac:dyDescent="0.25">
      <c r="A185" s="159">
        <v>283</v>
      </c>
      <c r="B185" s="159">
        <v>6</v>
      </c>
      <c r="C185" s="45">
        <v>40.712775999999998</v>
      </c>
      <c r="D185" s="45">
        <v>-74.005954000000003</v>
      </c>
      <c r="E185" s="45" t="s">
        <v>265</v>
      </c>
      <c r="F185" s="159">
        <v>43</v>
      </c>
      <c r="G185" s="45" t="s">
        <v>565</v>
      </c>
      <c r="H185" s="45" t="s">
        <v>632</v>
      </c>
      <c r="I185" s="45">
        <v>40.689531000000002</v>
      </c>
      <c r="J185" s="45">
        <v>-74.174462000000005</v>
      </c>
      <c r="K185" s="45">
        <v>15.29610297</v>
      </c>
      <c r="L185" s="45">
        <v>21.715</v>
      </c>
      <c r="M185" s="45" t="s">
        <v>617</v>
      </c>
      <c r="N185" s="159">
        <v>5</v>
      </c>
      <c r="O185" s="159">
        <v>6</v>
      </c>
      <c r="P185" s="45" t="s">
        <v>565</v>
      </c>
      <c r="Q185" s="45" t="s">
        <v>564</v>
      </c>
      <c r="R185" s="45">
        <v>41.98028</v>
      </c>
      <c r="S185" s="45">
        <v>-87.908997900000003</v>
      </c>
      <c r="T185" s="45">
        <v>1298.6389999999999</v>
      </c>
      <c r="U185" s="45" t="s">
        <v>617</v>
      </c>
      <c r="V185" s="45" t="s">
        <v>569</v>
      </c>
      <c r="W185" s="45" cm="1">
        <f t="array" ref="W185">getDistance(R185,S185,I185,J185)*SA!$B$12</f>
        <v>1157.3544072648172</v>
      </c>
      <c r="X185" s="22"/>
      <c r="Y185" s="16">
        <f>Transportation_LCIA!C$61*($W185^Transportation_LCIA!C$60)+Transportation_LCIA!C$62</f>
        <v>0.22125487054982909</v>
      </c>
      <c r="Z185" s="16">
        <f>Transportation_LCIA!D$61*($W185^Transportation_LCIA!D$60)+Transportation_LCIA!D$62</f>
        <v>2.2550976254597064</v>
      </c>
      <c r="AA185" s="16">
        <f>Transportation_LCIA!E$61*($W185^Transportation_LCIA!E$60)+Transportation_LCIA!E$62</f>
        <v>1.0323310860369151E-3</v>
      </c>
      <c r="AB185" s="16">
        <f>Transportation_LCIA!F$61*($W185^Transportation_LCIA!F$60)+Transportation_LCIA!F$62</f>
        <v>0.22125487054982909</v>
      </c>
      <c r="AC185" s="16">
        <f>Transportation_LCIA!G$61*($W185^Transportation_LCIA!G$60)+Transportation_LCIA!G$62</f>
        <v>5.2744888954963348E-2</v>
      </c>
      <c r="AD185" s="16">
        <f>Transportation_LCIA!H$61*($W185^Transportation_LCIA!H$60)+Transportation_LCIA!H$62</f>
        <v>2.5221347446689263E-4</v>
      </c>
      <c r="AE185" s="16">
        <f>Transportation_LCIA!I$61*($W185^Transportation_LCIA!I$60)+Transportation_LCIA!I$62</f>
        <v>5.3030314161226812E-6</v>
      </c>
      <c r="AF185" s="16">
        <f>Transportation_LCIA!J$61*($W185^Transportation_LCIA!J$60)+Transportation_LCIA!J$62</f>
        <v>7.8448001251838345E-3</v>
      </c>
      <c r="AG185" s="16">
        <f>Transportation_LCIA!K$61*($W185^Transportation_LCIA!K$60)+Transportation_LCIA!K$62</f>
        <v>1.1138126610856905E-2</v>
      </c>
      <c r="AH185" s="16">
        <f>Transportation_LCIA!L$61*($W185^Transportation_LCIA!L$60)+Transportation_LCIA!L$62</f>
        <v>2.173000581713352E-4</v>
      </c>
      <c r="AI185" s="16">
        <f>Transportation_LCIA!M$61*($W185^Transportation_LCIA!M$60)+Transportation_LCIA!M$62</f>
        <v>2.3004244817644541E-4</v>
      </c>
      <c r="AJ185" s="16">
        <f>Transportation_LCIA!N$61*($W185^Transportation_LCIA!N$60)+Transportation_LCIA!N$62</f>
        <v>9.0718132319716257E-4</v>
      </c>
      <c r="AK185" s="16">
        <f>Transportation_LCIA!O$61*($W185^Transportation_LCIA!O$60)+Transportation_LCIA!O$62</f>
        <v>5.5712603527285817E-5</v>
      </c>
      <c r="AL185" s="16">
        <f>Transportation_LCIA!P$61*($W185^Transportation_LCIA!P$60)+Transportation_LCIA!P$62</f>
        <v>2.6954451201708154E-8</v>
      </c>
      <c r="AM185" s="16">
        <f>Transportation_LCIA!Q$61*($W185^Transportation_LCIA!Q$60)+Transportation_LCIA!Q$62</f>
        <v>8.6129062862737627E-5</v>
      </c>
      <c r="AN185" s="16">
        <f>Transportation_LCIA!R$61*($W185^Transportation_LCIA!R$60)+Transportation_LCIA!R$62</f>
        <v>2.5514126484247728E-4</v>
      </c>
      <c r="AO185" s="16">
        <f>Transportation_LCIA!S$61*($W185^Transportation_LCIA!S$60)+Transportation_LCIA!S$62</f>
        <v>3.8783860198243708E-6</v>
      </c>
      <c r="AP185" s="16">
        <f>Transportation_LCIA!T$61*($W185^Transportation_LCIA!T$60)+Transportation_LCIA!T$62</f>
        <v>3.8783860198243708E-6</v>
      </c>
      <c r="AQ185" s="16">
        <f>Transportation_LCIA!U$61*($W185^Transportation_LCIA!U$60)+Transportation_LCIA!U$62</f>
        <v>5.4626083703188067E-4</v>
      </c>
      <c r="AR185" s="16">
        <f>Transportation_LCIA!V$61*($W185^Transportation_LCIA!V$60)+Transportation_LCIA!V$62</f>
        <v>2.2399696302769612E-4</v>
      </c>
      <c r="AT185" s="16">
        <f>$W185*Y185+($L185)*Summary_LCIA!H$32</f>
        <v>263.4490565596513</v>
      </c>
      <c r="AU185" s="16">
        <f>$W185*Z185+($L185)*Summary_LCIA!Q$32</f>
        <v>2717.5678107908097</v>
      </c>
      <c r="AV185" s="16">
        <f>$W185*AA185+($L185)*Summary_LCIA!R$32</f>
        <v>1.3091154361812987</v>
      </c>
      <c r="AW185" s="16">
        <f>$W185*AB185+($L185)*Summary_LCIA!S$32</f>
        <v>263.35307625965129</v>
      </c>
      <c r="AX185" s="16">
        <f>$W185*AC185+($L185)*Summary_LCIA!T$32</f>
        <v>63.431008192720206</v>
      </c>
      <c r="AY185" s="16">
        <f>$W185*AD185+($L185)*Summary_LCIA!U$32</f>
        <v>0.68090288624583062</v>
      </c>
      <c r="AZ185" s="16">
        <f>$W185*AE185+($L185)*Summary_LCIA!V$32</f>
        <v>7.1746168963133699E-3</v>
      </c>
      <c r="BA185" s="16">
        <f>$W185*AF185+($L185)*Summary_LCIA!W$32</f>
        <v>10.750639263993101</v>
      </c>
      <c r="BB185" s="16">
        <f>$W185*AG185+($L185)*Summary_LCIA!X$32</f>
        <v>13.38542762174878</v>
      </c>
      <c r="BC185" s="16">
        <f>$W185*AH185+($L185)*Summary_LCIA!Y$32</f>
        <v>0.58985631002349592</v>
      </c>
      <c r="BD185" s="16">
        <f>$W185*AI185+($L185)*Summary_LCIA!Z$32</f>
        <v>0.2671311516899974</v>
      </c>
      <c r="BE185" s="16">
        <f>$W185*AJ185+($L185)*Summary_LCIA!AA$32</f>
        <v>1.5571058425905646</v>
      </c>
      <c r="BF185" s="16">
        <f>$W185*AK185+($L185)*Summary_LCIA!AB$32</f>
        <v>6.4005340787501641E-2</v>
      </c>
      <c r="BG185" s="16">
        <f>$W185*AL185+($L185)*Summary_LCIA!AC$32</f>
        <v>3.2257368953701378E-5</v>
      </c>
      <c r="BH185" s="16">
        <f>$W185*AM185+($L185)*Summary_LCIA!AD$32</f>
        <v>0.10860758409777788</v>
      </c>
      <c r="BI185" s="16">
        <f>$W185*AN185+($L185)*Summary_LCIA!AE$32</f>
        <v>0.31453118029056104</v>
      </c>
      <c r="BJ185" s="16">
        <f>$W185*AO185+($L185)*Summary_LCIA!AF$32</f>
        <v>2.2846962453117989E-2</v>
      </c>
      <c r="BK185" s="16">
        <f>$W185*AP185+($L185)*Summary_LCIA!AG$32</f>
        <v>5.5997151281179883E-3</v>
      </c>
      <c r="BL185" s="16">
        <f>$W185*AQ185+($L185)*Summary_LCIA!AH$32</f>
        <v>0.82121606125501512</v>
      </c>
      <c r="BM185" s="16">
        <f>$W185*AR185+($L185)*Summary_LCIA!AI$32</f>
        <v>0.2794724806240384</v>
      </c>
      <c r="BN185" s="16"/>
    </row>
    <row r="186" spans="1:66" x14ac:dyDescent="0.25">
      <c r="A186" s="159">
        <v>284</v>
      </c>
      <c r="B186" s="159">
        <v>6</v>
      </c>
      <c r="C186" s="45">
        <v>40.712775999999998</v>
      </c>
      <c r="D186" s="45">
        <v>-74.005954000000003</v>
      </c>
      <c r="E186" s="45" t="s">
        <v>265</v>
      </c>
      <c r="F186" s="159">
        <v>43</v>
      </c>
      <c r="G186" s="45" t="s">
        <v>565</v>
      </c>
      <c r="H186" s="45" t="s">
        <v>632</v>
      </c>
      <c r="I186" s="45">
        <v>40.689531000000002</v>
      </c>
      <c r="J186" s="45">
        <v>-74.174462000000005</v>
      </c>
      <c r="K186" s="45">
        <v>15.29610297</v>
      </c>
      <c r="L186" s="45">
        <v>21.715</v>
      </c>
      <c r="M186" s="45" t="s">
        <v>617</v>
      </c>
      <c r="N186" s="159">
        <v>5</v>
      </c>
      <c r="O186" s="159">
        <v>6</v>
      </c>
      <c r="P186" s="45" t="s">
        <v>565</v>
      </c>
      <c r="Q186" s="45" t="s">
        <v>564</v>
      </c>
      <c r="R186" s="45">
        <v>41.98028</v>
      </c>
      <c r="S186" s="45">
        <v>-87.908997900000003</v>
      </c>
      <c r="T186" s="45">
        <v>1298.6389999999999</v>
      </c>
      <c r="U186" s="45" t="s">
        <v>617</v>
      </c>
      <c r="V186" s="45" t="s">
        <v>569</v>
      </c>
      <c r="W186" s="45" cm="1">
        <f t="array" ref="W186">getDistance(R186,S186,I186,J186)*SA!$B$12</f>
        <v>1157.3544072648172</v>
      </c>
      <c r="X186" s="22"/>
      <c r="Y186" s="16">
        <f>Transportation_LCIA!C$61*($W186^Transportation_LCIA!C$60)+Transportation_LCIA!C$62</f>
        <v>0.22125487054982909</v>
      </c>
      <c r="Z186" s="16">
        <f>Transportation_LCIA!D$61*($W186^Transportation_LCIA!D$60)+Transportation_LCIA!D$62</f>
        <v>2.2550976254597064</v>
      </c>
      <c r="AA186" s="16">
        <f>Transportation_LCIA!E$61*($W186^Transportation_LCIA!E$60)+Transportation_LCIA!E$62</f>
        <v>1.0323310860369151E-3</v>
      </c>
      <c r="AB186" s="16">
        <f>Transportation_LCIA!F$61*($W186^Transportation_LCIA!F$60)+Transportation_LCIA!F$62</f>
        <v>0.22125487054982909</v>
      </c>
      <c r="AC186" s="16">
        <f>Transportation_LCIA!G$61*($W186^Transportation_LCIA!G$60)+Transportation_LCIA!G$62</f>
        <v>5.2744888954963348E-2</v>
      </c>
      <c r="AD186" s="16">
        <f>Transportation_LCIA!H$61*($W186^Transportation_LCIA!H$60)+Transportation_LCIA!H$62</f>
        <v>2.5221347446689263E-4</v>
      </c>
      <c r="AE186" s="16">
        <f>Transportation_LCIA!I$61*($W186^Transportation_LCIA!I$60)+Transportation_LCIA!I$62</f>
        <v>5.3030314161226812E-6</v>
      </c>
      <c r="AF186" s="16">
        <f>Transportation_LCIA!J$61*($W186^Transportation_LCIA!J$60)+Transportation_LCIA!J$62</f>
        <v>7.8448001251838345E-3</v>
      </c>
      <c r="AG186" s="16">
        <f>Transportation_LCIA!K$61*($W186^Transportation_LCIA!K$60)+Transportation_LCIA!K$62</f>
        <v>1.1138126610856905E-2</v>
      </c>
      <c r="AH186" s="16">
        <f>Transportation_LCIA!L$61*($W186^Transportation_LCIA!L$60)+Transportation_LCIA!L$62</f>
        <v>2.173000581713352E-4</v>
      </c>
      <c r="AI186" s="16">
        <f>Transportation_LCIA!M$61*($W186^Transportation_LCIA!M$60)+Transportation_LCIA!M$62</f>
        <v>2.3004244817644541E-4</v>
      </c>
      <c r="AJ186" s="16">
        <f>Transportation_LCIA!N$61*($W186^Transportation_LCIA!N$60)+Transportation_LCIA!N$62</f>
        <v>9.0718132319716257E-4</v>
      </c>
      <c r="AK186" s="16">
        <f>Transportation_LCIA!O$61*($W186^Transportation_LCIA!O$60)+Transportation_LCIA!O$62</f>
        <v>5.5712603527285817E-5</v>
      </c>
      <c r="AL186" s="16">
        <f>Transportation_LCIA!P$61*($W186^Transportation_LCIA!P$60)+Transportation_LCIA!P$62</f>
        <v>2.6954451201708154E-8</v>
      </c>
      <c r="AM186" s="16">
        <f>Transportation_LCIA!Q$61*($W186^Transportation_LCIA!Q$60)+Transportation_LCIA!Q$62</f>
        <v>8.6129062862737627E-5</v>
      </c>
      <c r="AN186" s="16">
        <f>Transportation_LCIA!R$61*($W186^Transportation_LCIA!R$60)+Transportation_LCIA!R$62</f>
        <v>2.5514126484247728E-4</v>
      </c>
      <c r="AO186" s="16">
        <f>Transportation_LCIA!S$61*($W186^Transportation_LCIA!S$60)+Transportation_LCIA!S$62</f>
        <v>3.8783860198243708E-6</v>
      </c>
      <c r="AP186" s="16">
        <f>Transportation_LCIA!T$61*($W186^Transportation_LCIA!T$60)+Transportation_LCIA!T$62</f>
        <v>3.8783860198243708E-6</v>
      </c>
      <c r="AQ186" s="16">
        <f>Transportation_LCIA!U$61*($W186^Transportation_LCIA!U$60)+Transportation_LCIA!U$62</f>
        <v>5.4626083703188067E-4</v>
      </c>
      <c r="AR186" s="16">
        <f>Transportation_LCIA!V$61*($W186^Transportation_LCIA!V$60)+Transportation_LCIA!V$62</f>
        <v>2.2399696302769612E-4</v>
      </c>
      <c r="AT186" s="16">
        <f>$W186*Y186+($L186)*Summary_LCIA!H$32</f>
        <v>263.4490565596513</v>
      </c>
      <c r="AU186" s="16">
        <f>$W186*Z186+($L186)*Summary_LCIA!Q$32</f>
        <v>2717.5678107908097</v>
      </c>
      <c r="AV186" s="16">
        <f>$W186*AA186+($L186)*Summary_LCIA!R$32</f>
        <v>1.3091154361812987</v>
      </c>
      <c r="AW186" s="16">
        <f>$W186*AB186+($L186)*Summary_LCIA!S$32</f>
        <v>263.35307625965129</v>
      </c>
      <c r="AX186" s="16">
        <f>$W186*AC186+($L186)*Summary_LCIA!T$32</f>
        <v>63.431008192720206</v>
      </c>
      <c r="AY186" s="16">
        <f>$W186*AD186+($L186)*Summary_LCIA!U$32</f>
        <v>0.68090288624583062</v>
      </c>
      <c r="AZ186" s="16">
        <f>$W186*AE186+($L186)*Summary_LCIA!V$32</f>
        <v>7.1746168963133699E-3</v>
      </c>
      <c r="BA186" s="16">
        <f>$W186*AF186+($L186)*Summary_LCIA!W$32</f>
        <v>10.750639263993101</v>
      </c>
      <c r="BB186" s="16">
        <f>$W186*AG186+($L186)*Summary_LCIA!X$32</f>
        <v>13.38542762174878</v>
      </c>
      <c r="BC186" s="16">
        <f>$W186*AH186+($L186)*Summary_LCIA!Y$32</f>
        <v>0.58985631002349592</v>
      </c>
      <c r="BD186" s="16">
        <f>$W186*AI186+($L186)*Summary_LCIA!Z$32</f>
        <v>0.2671311516899974</v>
      </c>
      <c r="BE186" s="16">
        <f>$W186*AJ186+($L186)*Summary_LCIA!AA$32</f>
        <v>1.5571058425905646</v>
      </c>
      <c r="BF186" s="16">
        <f>$W186*AK186+($L186)*Summary_LCIA!AB$32</f>
        <v>6.4005340787501641E-2</v>
      </c>
      <c r="BG186" s="16">
        <f>$W186*AL186+($L186)*Summary_LCIA!AC$32</f>
        <v>3.2257368953701378E-5</v>
      </c>
      <c r="BH186" s="16">
        <f>$W186*AM186+($L186)*Summary_LCIA!AD$32</f>
        <v>0.10860758409777788</v>
      </c>
      <c r="BI186" s="16">
        <f>$W186*AN186+($L186)*Summary_LCIA!AE$32</f>
        <v>0.31453118029056104</v>
      </c>
      <c r="BJ186" s="16">
        <f>$W186*AO186+($L186)*Summary_LCIA!AF$32</f>
        <v>2.2846962453117989E-2</v>
      </c>
      <c r="BK186" s="16">
        <f>$W186*AP186+($L186)*Summary_LCIA!AG$32</f>
        <v>5.5997151281179883E-3</v>
      </c>
      <c r="BL186" s="16">
        <f>$W186*AQ186+($L186)*Summary_LCIA!AH$32</f>
        <v>0.82121606125501512</v>
      </c>
      <c r="BM186" s="16">
        <f>$W186*AR186+($L186)*Summary_LCIA!AI$32</f>
        <v>0.2794724806240384</v>
      </c>
      <c r="BN186" s="16"/>
    </row>
    <row r="187" spans="1:66" x14ac:dyDescent="0.25">
      <c r="A187" s="159">
        <v>285</v>
      </c>
      <c r="B187" s="159">
        <v>6</v>
      </c>
      <c r="C187" s="45">
        <v>40.712775000000001</v>
      </c>
      <c r="D187" s="45">
        <v>-74.005972999999997</v>
      </c>
      <c r="E187" s="45" t="s">
        <v>265</v>
      </c>
      <c r="F187" s="159">
        <v>43</v>
      </c>
      <c r="G187" s="45" t="s">
        <v>565</v>
      </c>
      <c r="H187" s="45" t="s">
        <v>632</v>
      </c>
      <c r="I187" s="45">
        <v>40.689531000000002</v>
      </c>
      <c r="J187" s="45">
        <v>-74.174462000000005</v>
      </c>
      <c r="K187" s="45">
        <v>15.294524689999999</v>
      </c>
      <c r="L187" s="45">
        <v>21.716000000000001</v>
      </c>
      <c r="M187" s="45" t="s">
        <v>617</v>
      </c>
      <c r="N187" s="159">
        <v>5</v>
      </c>
      <c r="O187" s="159">
        <v>6</v>
      </c>
      <c r="P187" s="45" t="s">
        <v>565</v>
      </c>
      <c r="Q187" s="45" t="s">
        <v>564</v>
      </c>
      <c r="R187" s="45">
        <v>41.98028</v>
      </c>
      <c r="S187" s="45">
        <v>-87.908997900000003</v>
      </c>
      <c r="T187" s="45">
        <v>1298.6410000000001</v>
      </c>
      <c r="U187" s="45" t="s">
        <v>617</v>
      </c>
      <c r="V187" s="45" t="s">
        <v>569</v>
      </c>
      <c r="W187" s="45" cm="1">
        <f t="array" ref="W187">getDistance(R187,S187,I187,J187)*SA!$B$12</f>
        <v>1157.3544072648172</v>
      </c>
      <c r="X187" s="22"/>
      <c r="Y187" s="16">
        <f>Transportation_LCIA!C$61*($W187^Transportation_LCIA!C$60)+Transportation_LCIA!C$62</f>
        <v>0.22125487054982909</v>
      </c>
      <c r="Z187" s="16">
        <f>Transportation_LCIA!D$61*($W187^Transportation_LCIA!D$60)+Transportation_LCIA!D$62</f>
        <v>2.2550976254597064</v>
      </c>
      <c r="AA187" s="16">
        <f>Transportation_LCIA!E$61*($W187^Transportation_LCIA!E$60)+Transportation_LCIA!E$62</f>
        <v>1.0323310860369151E-3</v>
      </c>
      <c r="AB187" s="16">
        <f>Transportation_LCIA!F$61*($W187^Transportation_LCIA!F$60)+Transportation_LCIA!F$62</f>
        <v>0.22125487054982909</v>
      </c>
      <c r="AC187" s="16">
        <f>Transportation_LCIA!G$61*($W187^Transportation_LCIA!G$60)+Transportation_LCIA!G$62</f>
        <v>5.2744888954963348E-2</v>
      </c>
      <c r="AD187" s="16">
        <f>Transportation_LCIA!H$61*($W187^Transportation_LCIA!H$60)+Transportation_LCIA!H$62</f>
        <v>2.5221347446689263E-4</v>
      </c>
      <c r="AE187" s="16">
        <f>Transportation_LCIA!I$61*($W187^Transportation_LCIA!I$60)+Transportation_LCIA!I$62</f>
        <v>5.3030314161226812E-6</v>
      </c>
      <c r="AF187" s="16">
        <f>Transportation_LCIA!J$61*($W187^Transportation_LCIA!J$60)+Transportation_LCIA!J$62</f>
        <v>7.8448001251838345E-3</v>
      </c>
      <c r="AG187" s="16">
        <f>Transportation_LCIA!K$61*($W187^Transportation_LCIA!K$60)+Transportation_LCIA!K$62</f>
        <v>1.1138126610856905E-2</v>
      </c>
      <c r="AH187" s="16">
        <f>Transportation_LCIA!L$61*($W187^Transportation_LCIA!L$60)+Transportation_LCIA!L$62</f>
        <v>2.173000581713352E-4</v>
      </c>
      <c r="AI187" s="16">
        <f>Transportation_LCIA!M$61*($W187^Transportation_LCIA!M$60)+Transportation_LCIA!M$62</f>
        <v>2.3004244817644541E-4</v>
      </c>
      <c r="AJ187" s="16">
        <f>Transportation_LCIA!N$61*($W187^Transportation_LCIA!N$60)+Transportation_LCIA!N$62</f>
        <v>9.0718132319716257E-4</v>
      </c>
      <c r="AK187" s="16">
        <f>Transportation_LCIA!O$61*($W187^Transportation_LCIA!O$60)+Transportation_LCIA!O$62</f>
        <v>5.5712603527285817E-5</v>
      </c>
      <c r="AL187" s="16">
        <f>Transportation_LCIA!P$61*($W187^Transportation_LCIA!P$60)+Transportation_LCIA!P$62</f>
        <v>2.6954451201708154E-8</v>
      </c>
      <c r="AM187" s="16">
        <f>Transportation_LCIA!Q$61*($W187^Transportation_LCIA!Q$60)+Transportation_LCIA!Q$62</f>
        <v>8.6129062862737627E-5</v>
      </c>
      <c r="AN187" s="16">
        <f>Transportation_LCIA!R$61*($W187^Transportation_LCIA!R$60)+Transportation_LCIA!R$62</f>
        <v>2.5514126484247728E-4</v>
      </c>
      <c r="AO187" s="16">
        <f>Transportation_LCIA!S$61*($W187^Transportation_LCIA!S$60)+Transportation_LCIA!S$62</f>
        <v>3.8783860198243708E-6</v>
      </c>
      <c r="AP187" s="16">
        <f>Transportation_LCIA!T$61*($W187^Transportation_LCIA!T$60)+Transportation_LCIA!T$62</f>
        <v>3.8783860198243708E-6</v>
      </c>
      <c r="AQ187" s="16">
        <f>Transportation_LCIA!U$61*($W187^Transportation_LCIA!U$60)+Transportation_LCIA!U$62</f>
        <v>5.4626083703188067E-4</v>
      </c>
      <c r="AR187" s="16">
        <f>Transportation_LCIA!V$61*($W187^Transportation_LCIA!V$60)+Transportation_LCIA!V$62</f>
        <v>2.2399696302769612E-4</v>
      </c>
      <c r="AT187" s="16">
        <f>$W187*Y187+($L187)*Summary_LCIA!H$32</f>
        <v>263.4493963596513</v>
      </c>
      <c r="AU187" s="16">
        <f>$W187*Z187+($L187)*Summary_LCIA!Q$32</f>
        <v>2717.5727668412428</v>
      </c>
      <c r="AV187" s="16">
        <f>$W187*AA187+($L187)*Summary_LCIA!R$32</f>
        <v>1.3091207017812987</v>
      </c>
      <c r="AW187" s="16">
        <f>$W187*AB187+($L187)*Summary_LCIA!S$32</f>
        <v>263.35341163965131</v>
      </c>
      <c r="AX187" s="16">
        <f>$W187*AC187+($L187)*Summary_LCIA!T$32</f>
        <v>63.431118092720205</v>
      </c>
      <c r="AY187" s="16">
        <f>$W187*AD187+($L187)*Summary_LCIA!U$32</f>
        <v>0.68092080024583068</v>
      </c>
      <c r="AZ187" s="16">
        <f>$W187*AE187+($L187)*Summary_LCIA!V$32</f>
        <v>7.1746646573133703E-3</v>
      </c>
      <c r="BA187" s="16">
        <f>$W187*AF187+($L187)*Summary_LCIA!W$32</f>
        <v>10.750716234993101</v>
      </c>
      <c r="BB187" s="16">
        <f>$W187*AG187+($L187)*Summary_LCIA!X$32</f>
        <v>13.385450401748781</v>
      </c>
      <c r="BC187" s="16">
        <f>$W187*AH187+($L187)*Summary_LCIA!Y$32</f>
        <v>0.58987189202349599</v>
      </c>
      <c r="BD187" s="16">
        <f>$W187*AI187+($L187)*Summary_LCIA!Z$32</f>
        <v>0.26713119269899743</v>
      </c>
      <c r="BE187" s="16">
        <f>$W187*AJ187+($L187)*Summary_LCIA!AA$32</f>
        <v>1.5571291985905646</v>
      </c>
      <c r="BF187" s="16">
        <f>$W187*AK187+($L187)*Summary_LCIA!AB$32</f>
        <v>6.4005318964501637E-2</v>
      </c>
      <c r="BG187" s="16">
        <f>$W187*AL187+($L187)*Summary_LCIA!AC$32</f>
        <v>3.2257417837701382E-5</v>
      </c>
      <c r="BH187" s="16">
        <f>$W187*AM187+($L187)*Summary_LCIA!AD$32</f>
        <v>0.10860799513777787</v>
      </c>
      <c r="BI187" s="16">
        <f>$W187*AN187+($L187)*Summary_LCIA!AE$32</f>
        <v>0.31453206642056103</v>
      </c>
      <c r="BJ187" s="16">
        <f>$W187*AO187+($L187)*Summary_LCIA!AF$32</f>
        <v>2.2847807873117992E-2</v>
      </c>
      <c r="BK187" s="16">
        <f>$W187*AP187+($L187)*Summary_LCIA!AG$32</f>
        <v>5.5997662931179882E-3</v>
      </c>
      <c r="BL187" s="16">
        <f>$W187*AQ187+($L187)*Summary_LCIA!AH$32</f>
        <v>0.82122476485501505</v>
      </c>
      <c r="BM187" s="16">
        <f>$W187*AR187+($L187)*Summary_LCIA!AI$32</f>
        <v>0.27947341217403843</v>
      </c>
      <c r="BN187" s="16"/>
    </row>
    <row r="188" spans="1:66" x14ac:dyDescent="0.25">
      <c r="A188" s="159">
        <v>175</v>
      </c>
      <c r="B188" s="159">
        <v>6</v>
      </c>
      <c r="C188" s="45">
        <v>40.678178000000003</v>
      </c>
      <c r="D188" s="45">
        <v>-73.944158000000002</v>
      </c>
      <c r="E188" s="45" t="s">
        <v>265</v>
      </c>
      <c r="F188" s="159">
        <v>20</v>
      </c>
      <c r="G188" s="45" t="s">
        <v>565</v>
      </c>
      <c r="H188" s="45" t="s">
        <v>689</v>
      </c>
      <c r="I188" s="45">
        <v>40.641311000000002</v>
      </c>
      <c r="J188" s="45">
        <v>-73.778138999999996</v>
      </c>
      <c r="K188" s="45">
        <v>14.69230808</v>
      </c>
      <c r="L188" s="45">
        <v>17.010000000000002</v>
      </c>
      <c r="M188" s="45" t="s">
        <v>617</v>
      </c>
      <c r="N188" s="159">
        <v>5</v>
      </c>
      <c r="O188" s="159">
        <v>6</v>
      </c>
      <c r="P188" s="45" t="s">
        <v>565</v>
      </c>
      <c r="Q188" s="45" t="s">
        <v>564</v>
      </c>
      <c r="R188" s="45">
        <v>41.98028</v>
      </c>
      <c r="S188" s="45">
        <v>-87.908997900000003</v>
      </c>
      <c r="T188" s="45">
        <v>1305.0530000000001</v>
      </c>
      <c r="U188" s="45" t="s">
        <v>617</v>
      </c>
      <c r="V188" s="45" t="s">
        <v>569</v>
      </c>
      <c r="W188" s="45" cm="1">
        <f t="array" ref="W188">getDistance(R188,S188,I188,J188)*SA!$B$12</f>
        <v>1191.2583270224029</v>
      </c>
      <c r="X188" s="22"/>
      <c r="Y188" s="16">
        <f>Transportation_LCIA!C$61*($W188^Transportation_LCIA!C$60)+Transportation_LCIA!C$62</f>
        <v>0.21863760575480579</v>
      </c>
      <c r="Z188" s="16">
        <f>Transportation_LCIA!D$61*($W188^Transportation_LCIA!D$60)+Transportation_LCIA!D$62</f>
        <v>2.2247721415192618</v>
      </c>
      <c r="AA188" s="16">
        <f>Transportation_LCIA!E$61*($W188^Transportation_LCIA!E$60)+Transportation_LCIA!E$62</f>
        <v>1.0124326220698424E-3</v>
      </c>
      <c r="AB188" s="16">
        <f>Transportation_LCIA!F$61*($W188^Transportation_LCIA!F$60)+Transportation_LCIA!F$62</f>
        <v>0.21863760575480579</v>
      </c>
      <c r="AC188" s="16">
        <f>Transportation_LCIA!G$61*($W188^Transportation_LCIA!G$60)+Transportation_LCIA!G$62</f>
        <v>5.2042992782856796E-2</v>
      </c>
      <c r="AD188" s="16">
        <f>Transportation_LCIA!H$61*($W188^Transportation_LCIA!H$60)+Transportation_LCIA!H$62</f>
        <v>2.4785558485157749E-4</v>
      </c>
      <c r="AE188" s="16">
        <f>Transportation_LCIA!I$61*($W188^Transportation_LCIA!I$60)+Transportation_LCIA!I$62</f>
        <v>5.1940287477130187E-6</v>
      </c>
      <c r="AF188" s="16">
        <f>Transportation_LCIA!J$61*($W188^Transportation_LCIA!J$60)+Transportation_LCIA!J$62</f>
        <v>7.6831445680515149E-3</v>
      </c>
      <c r="AG188" s="16">
        <f>Transportation_LCIA!K$61*($W188^Transportation_LCIA!K$60)+Transportation_LCIA!K$62</f>
        <v>1.0974872881316308E-2</v>
      </c>
      <c r="AH188" s="16">
        <f>Transportation_LCIA!L$61*($W188^Transportation_LCIA!L$60)+Transportation_LCIA!L$62</f>
        <v>2.1330099064870145E-4</v>
      </c>
      <c r="AI188" s="16">
        <f>Transportation_LCIA!M$61*($W188^Transportation_LCIA!M$60)+Transportation_LCIA!M$62</f>
        <v>2.2763788966620224E-4</v>
      </c>
      <c r="AJ188" s="16">
        <f>Transportation_LCIA!N$61*($W188^Transportation_LCIA!N$60)+Transportation_LCIA!N$62</f>
        <v>8.9252191215842536E-4</v>
      </c>
      <c r="AK188" s="16">
        <f>Transportation_LCIA!O$61*($W188^Transportation_LCIA!O$60)+Transportation_LCIA!O$62</f>
        <v>5.4966895371136529E-5</v>
      </c>
      <c r="AL188" s="16">
        <f>Transportation_LCIA!P$61*($W188^Transportation_LCIA!P$60)+Transportation_LCIA!P$62</f>
        <v>2.6595731570892324E-8</v>
      </c>
      <c r="AM188" s="16">
        <f>Transportation_LCIA!Q$61*($W188^Transportation_LCIA!Q$60)+Transportation_LCIA!Q$62</f>
        <v>8.4566960334942566E-5</v>
      </c>
      <c r="AN188" s="16">
        <f>Transportation_LCIA!R$61*($W188^Transportation_LCIA!R$60)+Transportation_LCIA!R$62</f>
        <v>2.4991507384998816E-4</v>
      </c>
      <c r="AO188" s="16">
        <f>Transportation_LCIA!S$61*($W188^Transportation_LCIA!S$60)+Transportation_LCIA!S$62</f>
        <v>3.8041939925423753E-6</v>
      </c>
      <c r="AP188" s="16">
        <f>Transportation_LCIA!T$61*($W188^Transportation_LCIA!T$60)+Transportation_LCIA!T$62</f>
        <v>3.8041939925423753E-6</v>
      </c>
      <c r="AQ188" s="16">
        <f>Transportation_LCIA!U$61*($W188^Transportation_LCIA!U$60)+Transportation_LCIA!U$62</f>
        <v>5.3481363645835052E-4</v>
      </c>
      <c r="AR188" s="16">
        <f>Transportation_LCIA!V$61*($W188^Transportation_LCIA!V$60)+Transportation_LCIA!V$62</f>
        <v>2.1993831609500058E-4</v>
      </c>
      <c r="AT188" s="16">
        <f>$W188*Y188+($L188)*Summary_LCIA!H$32</f>
        <v>266.23386645565358</v>
      </c>
      <c r="AU188" s="16">
        <f>$W188*Z188+($L188)*Summary_LCIA!Q$32</f>
        <v>2734.5807571776145</v>
      </c>
      <c r="AV188" s="16">
        <f>$W188*AA188+($L188)*Summary_LCIA!R$32</f>
        <v>1.2956366475898251</v>
      </c>
      <c r="AW188" s="16">
        <f>$W188*AB188+($L188)*Summary_LCIA!S$32</f>
        <v>266.15868225565362</v>
      </c>
      <c r="AX188" s="16">
        <f>$W188*AC188+($L188)*Summary_LCIA!T$32</f>
        <v>63.866047515744981</v>
      </c>
      <c r="AY188" s="16">
        <f>$W188*AD188+($L188)*Summary_LCIA!U$32</f>
        <v>0.59997716935344947</v>
      </c>
      <c r="AZ188" s="16">
        <f>$W188*AE188+($L188)*Summary_LCIA!V$32</f>
        <v>6.9998446065068776E-3</v>
      </c>
      <c r="BA188" s="16">
        <f>$W188*AF188+($L188)*Summary_LCIA!W$32</f>
        <v>10.46188665440831</v>
      </c>
      <c r="BB188" s="16">
        <f>$W188*AG188+($L188)*Summary_LCIA!X$32</f>
        <v>13.461396507880405</v>
      </c>
      <c r="BC188" s="16">
        <f>$W188*AH188+($L188)*Summary_LCIA!Y$32</f>
        <v>0.51914640127239342</v>
      </c>
      <c r="BD188" s="16">
        <f>$W188*AI188+($L188)*Summary_LCIA!Z$32</f>
        <v>0.27187309470067045</v>
      </c>
      <c r="BE188" s="16">
        <f>$W188*AJ188+($L188)*Summary_LCIA!AA$32</f>
        <v>1.4605097199086818</v>
      </c>
      <c r="BF188" s="16">
        <f>$W188*AK188+($L188)*Summary_LCIA!AB$32</f>
        <v>6.5108562591435562E-2</v>
      </c>
      <c r="BG188" s="16">
        <f>$W188*AL188+($L188)*Summary_LCIA!AC$32</f>
        <v>3.2513903537078095E-5</v>
      </c>
      <c r="BH188" s="16">
        <f>$W188*AM188+($L188)*Summary_LCIA!AD$32</f>
        <v>0.10773288608997358</v>
      </c>
      <c r="BI188" s="16">
        <f>$W188*AN188+($L188)*Summary_LCIA!AE$32</f>
        <v>0.31278648407221721</v>
      </c>
      <c r="BJ188" s="16">
        <f>$W188*AO188+($L188)*Summary_LCIA!AF$32</f>
        <v>1.8912371971224709E-2</v>
      </c>
      <c r="BK188" s="16">
        <f>$W188*AP188+($L188)*Summary_LCIA!AG$32</f>
        <v>5.4020944212247058E-3</v>
      </c>
      <c r="BL188" s="16">
        <f>$W188*AQ188+($L188)*Summary_LCIA!AH$32</f>
        <v>0.78514943383614233</v>
      </c>
      <c r="BM188" s="16">
        <f>$W188*AR188+($L188)*Summary_LCIA!AI$32</f>
        <v>0.27784901597945483</v>
      </c>
      <c r="BN188" s="16"/>
    </row>
    <row r="189" spans="1:66" x14ac:dyDescent="0.25">
      <c r="A189" s="159">
        <v>140</v>
      </c>
      <c r="B189" s="159">
        <v>6</v>
      </c>
      <c r="C189" s="45">
        <v>32.590955999999998</v>
      </c>
      <c r="D189" s="45">
        <v>-85.492979000000005</v>
      </c>
      <c r="E189" s="45" t="s">
        <v>265</v>
      </c>
      <c r="F189" s="159">
        <v>1</v>
      </c>
      <c r="G189" s="45" t="s">
        <v>565</v>
      </c>
      <c r="H189" s="45" t="s">
        <v>681</v>
      </c>
      <c r="I189" s="45">
        <v>33.640728000000003</v>
      </c>
      <c r="J189" s="45">
        <v>-84.427700000000002</v>
      </c>
      <c r="K189" s="45">
        <v>204.5911443</v>
      </c>
      <c r="L189" s="45">
        <v>172.04300000000001</v>
      </c>
      <c r="M189" s="45" t="s">
        <v>617</v>
      </c>
      <c r="N189" s="159">
        <v>5</v>
      </c>
      <c r="O189" s="159">
        <v>6</v>
      </c>
      <c r="P189" s="45" t="s">
        <v>565</v>
      </c>
      <c r="Q189" s="45" t="s">
        <v>564</v>
      </c>
      <c r="R189" s="45">
        <v>41.98028</v>
      </c>
      <c r="S189" s="45">
        <v>-87.908997900000003</v>
      </c>
      <c r="T189" s="45">
        <v>1329.867</v>
      </c>
      <c r="U189" s="45" t="s">
        <v>617</v>
      </c>
      <c r="V189" s="45" t="s">
        <v>569</v>
      </c>
      <c r="W189" s="45" cm="1">
        <f t="array" ref="W189">getDistance(R189,S189,I189,J189)*SA!$B$12</f>
        <v>976.67906347990493</v>
      </c>
      <c r="X189" s="22"/>
      <c r="Y189" s="16">
        <f>Transportation_LCIA!C$61*($W189^Transportation_LCIA!C$60)+Transportation_LCIA!C$62</f>
        <v>0.23799077256655485</v>
      </c>
      <c r="Z189" s="16">
        <f>Transportation_LCIA!D$61*($W189^Transportation_LCIA!D$60)+Transportation_LCIA!D$62</f>
        <v>2.4498664186649894</v>
      </c>
      <c r="AA189" s="16">
        <f>Transportation_LCIA!E$61*($W189^Transportation_LCIA!E$60)+Transportation_LCIA!E$62</f>
        <v>1.1602893527513285E-3</v>
      </c>
      <c r="AB189" s="16">
        <f>Transportation_LCIA!F$61*($W189^Transportation_LCIA!F$60)+Transportation_LCIA!F$62</f>
        <v>0.23799077256655485</v>
      </c>
      <c r="AC189" s="16">
        <f>Transportation_LCIA!G$61*($W189^Transportation_LCIA!G$60)+Transportation_LCIA!G$62</f>
        <v>5.7251738416183251E-2</v>
      </c>
      <c r="AD189" s="16">
        <f>Transportation_LCIA!H$61*($W189^Transportation_LCIA!H$60)+Transportation_LCIA!H$62</f>
        <v>2.8030572808339046E-4</v>
      </c>
      <c r="AE189" s="16">
        <f>Transportation_LCIA!I$61*($W189^Transportation_LCIA!I$60)+Transportation_LCIA!I$62</f>
        <v>6.0084688172437592E-6</v>
      </c>
      <c r="AF189" s="16">
        <f>Transportation_LCIA!J$61*($W189^Transportation_LCIA!J$60)+Transportation_LCIA!J$62</f>
        <v>8.8936917837252362E-3</v>
      </c>
      <c r="AG189" s="16">
        <f>Transportation_LCIA!K$61*($W189^Transportation_LCIA!K$60)+Transportation_LCIA!K$62</f>
        <v>1.2188706109794917E-2</v>
      </c>
      <c r="AH189" s="16">
        <f>Transportation_LCIA!L$61*($W189^Transportation_LCIA!L$60)+Transportation_LCIA!L$62</f>
        <v>2.4310816549771977E-4</v>
      </c>
      <c r="AI189" s="16">
        <f>Transportation_LCIA!M$61*($W189^Transportation_LCIA!M$60)+Transportation_LCIA!M$62</f>
        <v>2.455450128432447E-4</v>
      </c>
      <c r="AJ189" s="16">
        <f>Transportation_LCIA!N$61*($W189^Transportation_LCIA!N$60)+Transportation_LCIA!N$62</f>
        <v>1.0016506819662974E-3</v>
      </c>
      <c r="AK189" s="16">
        <f>Transportation_LCIA!O$61*($W189^Transportation_LCIA!O$60)+Transportation_LCIA!O$62</f>
        <v>6.050134712780058E-5</v>
      </c>
      <c r="AL189" s="16">
        <f>Transportation_LCIA!P$61*($W189^Transportation_LCIA!P$60)+Transportation_LCIA!P$62</f>
        <v>2.9257301489528483E-8</v>
      </c>
      <c r="AM189" s="16">
        <f>Transportation_LCIA!Q$61*($W189^Transportation_LCIA!Q$60)+Transportation_LCIA!Q$62</f>
        <v>9.6216231090364335E-5</v>
      </c>
      <c r="AN189" s="16">
        <f>Transportation_LCIA!R$61*($W189^Transportation_LCIA!R$60)+Transportation_LCIA!R$62</f>
        <v>2.8896705818992006E-4</v>
      </c>
      <c r="AO189" s="16">
        <f>Transportation_LCIA!S$61*($W189^Transportation_LCIA!S$60)+Transportation_LCIA!S$62</f>
        <v>4.3584988519816731E-6</v>
      </c>
      <c r="AP189" s="16">
        <f>Transportation_LCIA!T$61*($W189^Transportation_LCIA!T$60)+Transportation_LCIA!T$62</f>
        <v>4.3584988519816731E-6</v>
      </c>
      <c r="AQ189" s="16">
        <f>Transportation_LCIA!U$61*($W189^Transportation_LCIA!U$60)+Transportation_LCIA!U$62</f>
        <v>6.204066649837317E-4</v>
      </c>
      <c r="AR189" s="16">
        <f>Transportation_LCIA!V$61*($W189^Transportation_LCIA!V$60)+Transportation_LCIA!V$62</f>
        <v>2.502258212971912E-4</v>
      </c>
      <c r="AT189" s="16">
        <f>$W189*Y189+($L189)*Summary_LCIA!H$32</f>
        <v>290.90081626716187</v>
      </c>
      <c r="AU189" s="16">
        <f>$W189*Z189+($L189)*Summary_LCIA!Q$32</f>
        <v>3245.3870240772094</v>
      </c>
      <c r="AV189" s="16">
        <f>$W189*AA189+($L189)*Summary_LCIA!R$32</f>
        <v>2.0391399392108722</v>
      </c>
      <c r="AW189" s="16">
        <f>$W189*AB189+($L189)*Summary_LCIA!S$32</f>
        <v>290.14038620716184</v>
      </c>
      <c r="AX189" s="16">
        <f>$W189*AC189+($L189)*Summary_LCIA!T$32</f>
        <v>74.82409995891436</v>
      </c>
      <c r="AY189" s="16">
        <f>$W189*AD189+($L189)*Summary_LCIA!U$32</f>
        <v>3.3557470379925389</v>
      </c>
      <c r="AZ189" s="16">
        <f>$W189*AE189+($L189)*Summary_LCIA!V$32</f>
        <v>1.4085291420373847E-2</v>
      </c>
      <c r="BA189" s="16">
        <f>$W189*AF189+($L189)*Summary_LCIA!W$32</f>
        <v>21.928604315207689</v>
      </c>
      <c r="BB189" s="16">
        <f>$W189*AG189+($L189)*Summary_LCIA!X$32</f>
        <v>15.823593608346297</v>
      </c>
      <c r="BC189" s="16">
        <f>$W189*AH189+($L189)*Summary_LCIA!Y$32</f>
        <v>2.9182126814026312</v>
      </c>
      <c r="BD189" s="16">
        <f>$W189*AI189+($L189)*Summary_LCIA!Z$32</f>
        <v>0.24687398457290147</v>
      </c>
      <c r="BE189" s="16">
        <f>$W189*AJ189+($L189)*Summary_LCIA!AA$32</f>
        <v>4.9965275579968509</v>
      </c>
      <c r="BF189" s="16">
        <f>$W189*AK189+($L189)*Summary_LCIA!AB$32</f>
        <v>5.5335904663052903E-2</v>
      </c>
      <c r="BG189" s="16">
        <f>$W189*AL189+($L189)*Summary_LCIA!AC$32</f>
        <v>3.6985143830741905E-5</v>
      </c>
      <c r="BH189" s="16">
        <f>$W189*AM189+($L189)*Summary_LCIA!AD$32</f>
        <v>0.16468893319290318</v>
      </c>
      <c r="BI189" s="16">
        <f>$W189*AN189+($L189)*Summary_LCIA!AE$32</f>
        <v>0.43468053935947437</v>
      </c>
      <c r="BJ189" s="16">
        <f>$W189*AO189+($L189)*Summary_LCIA!AF$32</f>
        <v>0.14970544763693172</v>
      </c>
      <c r="BK189" s="16">
        <f>$W189*AP189+($L189)*Summary_LCIA!AG$32</f>
        <v>1.3059434671931701E-2</v>
      </c>
      <c r="BL189" s="16">
        <f>$W189*AQ189+($L189)*Summary_LCIA!AH$32</f>
        <v>2.1033316553330024</v>
      </c>
      <c r="BM189" s="16">
        <f>$W189*AR189+($L189)*Summary_LCIA!AI$32</f>
        <v>0.40465697745303075</v>
      </c>
      <c r="BN189" s="16"/>
    </row>
    <row r="190" spans="1:66" x14ac:dyDescent="0.25">
      <c r="A190" s="159">
        <v>141</v>
      </c>
      <c r="B190" s="159">
        <v>6</v>
      </c>
      <c r="C190" s="45">
        <v>32.590955999999998</v>
      </c>
      <c r="D190" s="45">
        <v>-85.492979000000005</v>
      </c>
      <c r="E190" s="45" t="s">
        <v>265</v>
      </c>
      <c r="F190" s="159">
        <v>1</v>
      </c>
      <c r="G190" s="45" t="s">
        <v>565</v>
      </c>
      <c r="H190" s="45" t="s">
        <v>681</v>
      </c>
      <c r="I190" s="45">
        <v>33.640728000000003</v>
      </c>
      <c r="J190" s="45">
        <v>-84.427700000000002</v>
      </c>
      <c r="K190" s="45">
        <v>204.5911443</v>
      </c>
      <c r="L190" s="45">
        <v>172.04300000000001</v>
      </c>
      <c r="M190" s="45" t="s">
        <v>617</v>
      </c>
      <c r="N190" s="159">
        <v>5</v>
      </c>
      <c r="O190" s="159">
        <v>6</v>
      </c>
      <c r="P190" s="45" t="s">
        <v>565</v>
      </c>
      <c r="Q190" s="45" t="s">
        <v>564</v>
      </c>
      <c r="R190" s="45">
        <v>41.98028</v>
      </c>
      <c r="S190" s="45">
        <v>-87.908997900000003</v>
      </c>
      <c r="T190" s="45">
        <v>1329.867</v>
      </c>
      <c r="U190" s="45" t="s">
        <v>617</v>
      </c>
      <c r="V190" s="45" t="s">
        <v>569</v>
      </c>
      <c r="W190" s="45" cm="1">
        <f t="array" ref="W190">getDistance(R190,S190,I190,J190)*SA!$B$12</f>
        <v>976.67906347990493</v>
      </c>
      <c r="X190" s="22"/>
      <c r="Y190" s="16">
        <f>Transportation_LCIA!C$61*($W190^Transportation_LCIA!C$60)+Transportation_LCIA!C$62</f>
        <v>0.23799077256655485</v>
      </c>
      <c r="Z190" s="16">
        <f>Transportation_LCIA!D$61*($W190^Transportation_LCIA!D$60)+Transportation_LCIA!D$62</f>
        <v>2.4498664186649894</v>
      </c>
      <c r="AA190" s="16">
        <f>Transportation_LCIA!E$61*($W190^Transportation_LCIA!E$60)+Transportation_LCIA!E$62</f>
        <v>1.1602893527513285E-3</v>
      </c>
      <c r="AB190" s="16">
        <f>Transportation_LCIA!F$61*($W190^Transportation_LCIA!F$60)+Transportation_LCIA!F$62</f>
        <v>0.23799077256655485</v>
      </c>
      <c r="AC190" s="16">
        <f>Transportation_LCIA!G$61*($W190^Transportation_LCIA!G$60)+Transportation_LCIA!G$62</f>
        <v>5.7251738416183251E-2</v>
      </c>
      <c r="AD190" s="16">
        <f>Transportation_LCIA!H$61*($W190^Transportation_LCIA!H$60)+Transportation_LCIA!H$62</f>
        <v>2.8030572808339046E-4</v>
      </c>
      <c r="AE190" s="16">
        <f>Transportation_LCIA!I$61*($W190^Transportation_LCIA!I$60)+Transportation_LCIA!I$62</f>
        <v>6.0084688172437592E-6</v>
      </c>
      <c r="AF190" s="16">
        <f>Transportation_LCIA!J$61*($W190^Transportation_LCIA!J$60)+Transportation_LCIA!J$62</f>
        <v>8.8936917837252362E-3</v>
      </c>
      <c r="AG190" s="16">
        <f>Transportation_LCIA!K$61*($W190^Transportation_LCIA!K$60)+Transportation_LCIA!K$62</f>
        <v>1.2188706109794917E-2</v>
      </c>
      <c r="AH190" s="16">
        <f>Transportation_LCIA!L$61*($W190^Transportation_LCIA!L$60)+Transportation_LCIA!L$62</f>
        <v>2.4310816549771977E-4</v>
      </c>
      <c r="AI190" s="16">
        <f>Transportation_LCIA!M$61*($W190^Transportation_LCIA!M$60)+Transportation_LCIA!M$62</f>
        <v>2.455450128432447E-4</v>
      </c>
      <c r="AJ190" s="16">
        <f>Transportation_LCIA!N$61*($W190^Transportation_LCIA!N$60)+Transportation_LCIA!N$62</f>
        <v>1.0016506819662974E-3</v>
      </c>
      <c r="AK190" s="16">
        <f>Transportation_LCIA!O$61*($W190^Transportation_LCIA!O$60)+Transportation_LCIA!O$62</f>
        <v>6.050134712780058E-5</v>
      </c>
      <c r="AL190" s="16">
        <f>Transportation_LCIA!P$61*($W190^Transportation_LCIA!P$60)+Transportation_LCIA!P$62</f>
        <v>2.9257301489528483E-8</v>
      </c>
      <c r="AM190" s="16">
        <f>Transportation_LCIA!Q$61*($W190^Transportation_LCIA!Q$60)+Transportation_LCIA!Q$62</f>
        <v>9.6216231090364335E-5</v>
      </c>
      <c r="AN190" s="16">
        <f>Transportation_LCIA!R$61*($W190^Transportation_LCIA!R$60)+Transportation_LCIA!R$62</f>
        <v>2.8896705818992006E-4</v>
      </c>
      <c r="AO190" s="16">
        <f>Transportation_LCIA!S$61*($W190^Transportation_LCIA!S$60)+Transportation_LCIA!S$62</f>
        <v>4.3584988519816731E-6</v>
      </c>
      <c r="AP190" s="16">
        <f>Transportation_LCIA!T$61*($W190^Transportation_LCIA!T$60)+Transportation_LCIA!T$62</f>
        <v>4.3584988519816731E-6</v>
      </c>
      <c r="AQ190" s="16">
        <f>Transportation_LCIA!U$61*($W190^Transportation_LCIA!U$60)+Transportation_LCIA!U$62</f>
        <v>6.204066649837317E-4</v>
      </c>
      <c r="AR190" s="16">
        <f>Transportation_LCIA!V$61*($W190^Transportation_LCIA!V$60)+Transportation_LCIA!V$62</f>
        <v>2.502258212971912E-4</v>
      </c>
      <c r="AT190" s="16">
        <f>$W190*Y190+($L190)*Summary_LCIA!H$32</f>
        <v>290.90081626716187</v>
      </c>
      <c r="AU190" s="16">
        <f>$W190*Z190+($L190)*Summary_LCIA!Q$32</f>
        <v>3245.3870240772094</v>
      </c>
      <c r="AV190" s="16">
        <f>$W190*AA190+($L190)*Summary_LCIA!R$32</f>
        <v>2.0391399392108722</v>
      </c>
      <c r="AW190" s="16">
        <f>$W190*AB190+($L190)*Summary_LCIA!S$32</f>
        <v>290.14038620716184</v>
      </c>
      <c r="AX190" s="16">
        <f>$W190*AC190+($L190)*Summary_LCIA!T$32</f>
        <v>74.82409995891436</v>
      </c>
      <c r="AY190" s="16">
        <f>$W190*AD190+($L190)*Summary_LCIA!U$32</f>
        <v>3.3557470379925389</v>
      </c>
      <c r="AZ190" s="16">
        <f>$W190*AE190+($L190)*Summary_LCIA!V$32</f>
        <v>1.4085291420373847E-2</v>
      </c>
      <c r="BA190" s="16">
        <f>$W190*AF190+($L190)*Summary_LCIA!W$32</f>
        <v>21.928604315207689</v>
      </c>
      <c r="BB190" s="16">
        <f>$W190*AG190+($L190)*Summary_LCIA!X$32</f>
        <v>15.823593608346297</v>
      </c>
      <c r="BC190" s="16">
        <f>$W190*AH190+($L190)*Summary_LCIA!Y$32</f>
        <v>2.9182126814026312</v>
      </c>
      <c r="BD190" s="16">
        <f>$W190*AI190+($L190)*Summary_LCIA!Z$32</f>
        <v>0.24687398457290147</v>
      </c>
      <c r="BE190" s="16">
        <f>$W190*AJ190+($L190)*Summary_LCIA!AA$32</f>
        <v>4.9965275579968509</v>
      </c>
      <c r="BF190" s="16">
        <f>$W190*AK190+($L190)*Summary_LCIA!AB$32</f>
        <v>5.5335904663052903E-2</v>
      </c>
      <c r="BG190" s="16">
        <f>$W190*AL190+($L190)*Summary_LCIA!AC$32</f>
        <v>3.6985143830741905E-5</v>
      </c>
      <c r="BH190" s="16">
        <f>$W190*AM190+($L190)*Summary_LCIA!AD$32</f>
        <v>0.16468893319290318</v>
      </c>
      <c r="BI190" s="16">
        <f>$W190*AN190+($L190)*Summary_LCIA!AE$32</f>
        <v>0.43468053935947437</v>
      </c>
      <c r="BJ190" s="16">
        <f>$W190*AO190+($L190)*Summary_LCIA!AF$32</f>
        <v>0.14970544763693172</v>
      </c>
      <c r="BK190" s="16">
        <f>$W190*AP190+($L190)*Summary_LCIA!AG$32</f>
        <v>1.3059434671931701E-2</v>
      </c>
      <c r="BL190" s="16">
        <f>$W190*AQ190+($L190)*Summary_LCIA!AH$32</f>
        <v>2.1033316553330024</v>
      </c>
      <c r="BM190" s="16">
        <f>$W190*AR190+($L190)*Summary_LCIA!AI$32</f>
        <v>0.40465697745303075</v>
      </c>
      <c r="BN190" s="16"/>
    </row>
    <row r="191" spans="1:66" x14ac:dyDescent="0.25">
      <c r="A191" s="159">
        <v>310</v>
      </c>
      <c r="B191" s="159">
        <v>6</v>
      </c>
      <c r="C191" s="45">
        <v>35.785055</v>
      </c>
      <c r="D191" s="45">
        <v>-78.681944999999999</v>
      </c>
      <c r="E191" s="45" t="s">
        <v>265</v>
      </c>
      <c r="F191" s="159">
        <v>97</v>
      </c>
      <c r="G191" s="45" t="s">
        <v>286</v>
      </c>
      <c r="H191" s="45" t="s">
        <v>718</v>
      </c>
      <c r="I191" s="45">
        <v>35.880079000000002</v>
      </c>
      <c r="J191" s="45">
        <v>-78.787996000000007</v>
      </c>
      <c r="K191" s="45">
        <v>17.190043989999999</v>
      </c>
      <c r="L191" s="45">
        <v>19.38</v>
      </c>
      <c r="M191" s="45" t="s">
        <v>617</v>
      </c>
      <c r="N191" s="159">
        <v>5</v>
      </c>
      <c r="O191" s="159">
        <v>6</v>
      </c>
      <c r="P191" s="45" t="s">
        <v>565</v>
      </c>
      <c r="Q191" s="45" t="s">
        <v>564</v>
      </c>
      <c r="R191" s="45">
        <v>41.98028</v>
      </c>
      <c r="S191" s="45">
        <v>-87.908997900000003</v>
      </c>
      <c r="T191" s="45">
        <v>1335.23</v>
      </c>
      <c r="U191" s="45" t="s">
        <v>617</v>
      </c>
      <c r="V191" s="45" t="s">
        <v>569</v>
      </c>
      <c r="W191" s="45" cm="1">
        <f t="array" ref="W191">getDistance(R191,S191,I191,J191)*SA!$B$12</f>
        <v>1041.0239131701483</v>
      </c>
      <c r="X191" s="22"/>
      <c r="Y191" s="16">
        <f>Transportation_LCIA!C$61*($W191^Transportation_LCIA!C$60)+Transportation_LCIA!C$62</f>
        <v>0.23141881863452615</v>
      </c>
      <c r="Z191" s="16">
        <f>Transportation_LCIA!D$61*($W191^Transportation_LCIA!D$60)+Transportation_LCIA!D$62</f>
        <v>2.3732132712709442</v>
      </c>
      <c r="AA191" s="16">
        <f>Transportation_LCIA!E$61*($W191^Transportation_LCIA!E$60)+Transportation_LCIA!E$62</f>
        <v>1.1098987068913562E-3</v>
      </c>
      <c r="AB191" s="16">
        <f>Transportation_LCIA!F$61*($W191^Transportation_LCIA!F$60)+Transportation_LCIA!F$62</f>
        <v>0.23141881863452615</v>
      </c>
      <c r="AC191" s="16">
        <f>Transportation_LCIA!G$61*($W191^Transportation_LCIA!G$60)+Transportation_LCIA!G$62</f>
        <v>5.547825380889481E-2</v>
      </c>
      <c r="AD191" s="16">
        <f>Transportation_LCIA!H$61*($W191^Transportation_LCIA!H$60)+Transportation_LCIA!H$62</f>
        <v>2.6922921617757048E-4</v>
      </c>
      <c r="AE191" s="16">
        <f>Transportation_LCIA!I$61*($W191^Transportation_LCIA!I$60)+Transportation_LCIA!I$62</f>
        <v>5.7297698987622048E-6</v>
      </c>
      <c r="AF191" s="16">
        <f>Transportation_LCIA!J$61*($W191^Transportation_LCIA!J$60)+Transportation_LCIA!J$62</f>
        <v>8.4787675565588666E-3</v>
      </c>
      <c r="AG191" s="16">
        <f>Transportation_LCIA!K$61*($W191^Transportation_LCIA!K$60)+Transportation_LCIA!K$62</f>
        <v>1.1774830046439842E-2</v>
      </c>
      <c r="AH191" s="16">
        <f>Transportation_LCIA!L$61*($W191^Transportation_LCIA!L$60)+Transportation_LCIA!L$62</f>
        <v>2.3292652575284897E-4</v>
      </c>
      <c r="AI191" s="16">
        <f>Transportation_LCIA!M$61*($W191^Transportation_LCIA!M$60)+Transportation_LCIA!M$62</f>
        <v>2.3943208721087565E-4</v>
      </c>
      <c r="AJ191" s="16">
        <f>Transportation_LCIA!N$61*($W191^Transportation_LCIA!N$60)+Transportation_LCIA!N$62</f>
        <v>9.6440816935684163E-4</v>
      </c>
      <c r="AK191" s="16">
        <f>Transportation_LCIA!O$61*($W191^Transportation_LCIA!O$60)+Transportation_LCIA!O$62</f>
        <v>5.8616819717353033E-5</v>
      </c>
      <c r="AL191" s="16">
        <f>Transportation_LCIA!P$61*($W191^Transportation_LCIA!P$60)+Transportation_LCIA!P$62</f>
        <v>2.8351204174553839E-8</v>
      </c>
      <c r="AM191" s="16">
        <f>Transportation_LCIA!Q$61*($W191^Transportation_LCIA!Q$60)+Transportation_LCIA!Q$62</f>
        <v>9.2235500559770595E-5</v>
      </c>
      <c r="AN191" s="16">
        <f>Transportation_LCIA!R$61*($W191^Transportation_LCIA!R$60)+Transportation_LCIA!R$62</f>
        <v>2.7560277819865759E-4</v>
      </c>
      <c r="AO191" s="16">
        <f>Transportation_LCIA!S$61*($W191^Transportation_LCIA!S$60)+Transportation_LCIA!S$62</f>
        <v>4.1688272124088601E-6</v>
      </c>
      <c r="AP191" s="16">
        <f>Transportation_LCIA!T$61*($W191^Transportation_LCIA!T$60)+Transportation_LCIA!T$62</f>
        <v>4.1688272124088601E-6</v>
      </c>
      <c r="AQ191" s="16">
        <f>Transportation_LCIA!U$61*($W191^Transportation_LCIA!U$60)+Transportation_LCIA!U$62</f>
        <v>5.9110128714897269E-4</v>
      </c>
      <c r="AR191" s="16">
        <f>Transportation_LCIA!V$61*($W191^Transportation_LCIA!V$60)+Transportation_LCIA!V$62</f>
        <v>2.3987098967351165E-4</v>
      </c>
      <c r="AT191" s="16">
        <f>$W191*Y191+($L191)*Summary_LCIA!H$32</f>
        <v>247.49784815612722</v>
      </c>
      <c r="AU191" s="16">
        <f>$W191*Z191+($L191)*Summary_LCIA!Q$32</f>
        <v>2566.6200238373472</v>
      </c>
      <c r="AV191" s="16">
        <f>$W191*AA191+($L191)*Summary_LCIA!R$32</f>
        <v>1.2574784230705272</v>
      </c>
      <c r="AW191" s="16">
        <f>$W191*AB191+($L191)*Summary_LCIA!S$32</f>
        <v>247.41218855612723</v>
      </c>
      <c r="AX191" s="16">
        <f>$W191*AC191+($L191)*Summary_LCIA!T$32</f>
        <v>59.884050875982361</v>
      </c>
      <c r="AY191" s="16">
        <f>$W191*AD191+($L191)*Summary_LCIA!U$32</f>
        <v>0.62744737216490609</v>
      </c>
      <c r="AZ191" s="16">
        <f>$W191*AE191+($L191)*Summary_LCIA!V$32</f>
        <v>6.8904356615739548E-3</v>
      </c>
      <c r="BA191" s="16">
        <f>$W191*AF191+($L191)*Summary_LCIA!W$32</f>
        <v>10.318297760589008</v>
      </c>
      <c r="BB191" s="16">
        <f>$W191*AG191+($L191)*Summary_LCIA!X$32</f>
        <v>12.699356051858242</v>
      </c>
      <c r="BC191" s="16">
        <f>$W191*AH191+($L191)*Summary_LCIA!Y$32</f>
        <v>0.54446124332035817</v>
      </c>
      <c r="BD191" s="16">
        <f>$W191*AI191+($L191)*Summary_LCIA!Z$32</f>
        <v>0.25004928278676197</v>
      </c>
      <c r="BE191" s="16">
        <f>$W191*AJ191+($L191)*Summary_LCIA!AA$32</f>
        <v>1.4566112463571181</v>
      </c>
      <c r="BF191" s="16">
        <f>$W191*AK191+($L191)*Summary_LCIA!AB$32</f>
        <v>6.0598581299747954E-2</v>
      </c>
      <c r="BG191" s="16">
        <f>$W191*AL191+($L191)*Summary_LCIA!AC$32</f>
        <v>3.0461653432879879E-5</v>
      </c>
      <c r="BH191" s="16">
        <f>$W191*AM191+($L191)*Summary_LCIA!AD$32</f>
        <v>0.10398531692593979</v>
      </c>
      <c r="BI191" s="16">
        <f>$W191*AN191+($L191)*Summary_LCIA!AE$32</f>
        <v>0.30408228204093096</v>
      </c>
      <c r="BJ191" s="16">
        <f>$W191*AO191+($L191)*Summary_LCIA!AF$32</f>
        <v>2.0724088417992073E-2</v>
      </c>
      <c r="BK191" s="16">
        <f>$W191*AP191+($L191)*Summary_LCIA!AG$32</f>
        <v>5.3314265179920722E-3</v>
      </c>
      <c r="BL191" s="16">
        <f>$W191*AQ191+($L191)*Summary_LCIA!AH$32</f>
        <v>0.784026343027735</v>
      </c>
      <c r="BM191" s="16">
        <f>$W191*AR191+($L191)*Summary_LCIA!AI$32</f>
        <v>0.26776487532591531</v>
      </c>
      <c r="BN191" s="16"/>
    </row>
    <row r="192" spans="1:66" x14ac:dyDescent="0.25">
      <c r="A192" s="159">
        <v>311</v>
      </c>
      <c r="B192" s="159">
        <v>6</v>
      </c>
      <c r="C192" s="45">
        <v>35.785055</v>
      </c>
      <c r="D192" s="45">
        <v>-78.681944999999999</v>
      </c>
      <c r="E192" s="45" t="s">
        <v>265</v>
      </c>
      <c r="F192" s="159">
        <v>97</v>
      </c>
      <c r="G192" s="45" t="s">
        <v>286</v>
      </c>
      <c r="H192" s="45" t="s">
        <v>718</v>
      </c>
      <c r="I192" s="45">
        <v>35.880079000000002</v>
      </c>
      <c r="J192" s="45">
        <v>-78.787996000000007</v>
      </c>
      <c r="K192" s="45">
        <v>17.190043989999999</v>
      </c>
      <c r="L192" s="45">
        <v>19.38</v>
      </c>
      <c r="M192" s="45" t="s">
        <v>617</v>
      </c>
      <c r="N192" s="159">
        <v>5</v>
      </c>
      <c r="O192" s="159">
        <v>6</v>
      </c>
      <c r="P192" s="45" t="s">
        <v>565</v>
      </c>
      <c r="Q192" s="45" t="s">
        <v>564</v>
      </c>
      <c r="R192" s="45">
        <v>41.98028</v>
      </c>
      <c r="S192" s="45">
        <v>-87.908997900000003</v>
      </c>
      <c r="T192" s="45">
        <v>1335.23</v>
      </c>
      <c r="U192" s="45" t="s">
        <v>617</v>
      </c>
      <c r="V192" s="45" t="s">
        <v>569</v>
      </c>
      <c r="W192" s="45" cm="1">
        <f t="array" ref="W192">getDistance(R192,S192,I192,J192)*SA!$B$12</f>
        <v>1041.0239131701483</v>
      </c>
      <c r="X192" s="22"/>
      <c r="Y192" s="16">
        <f>Transportation_LCIA!C$61*($W192^Transportation_LCIA!C$60)+Transportation_LCIA!C$62</f>
        <v>0.23141881863452615</v>
      </c>
      <c r="Z192" s="16">
        <f>Transportation_LCIA!D$61*($W192^Transportation_LCIA!D$60)+Transportation_LCIA!D$62</f>
        <v>2.3732132712709442</v>
      </c>
      <c r="AA192" s="16">
        <f>Transportation_LCIA!E$61*($W192^Transportation_LCIA!E$60)+Transportation_LCIA!E$62</f>
        <v>1.1098987068913562E-3</v>
      </c>
      <c r="AB192" s="16">
        <f>Transportation_LCIA!F$61*($W192^Transportation_LCIA!F$60)+Transportation_LCIA!F$62</f>
        <v>0.23141881863452615</v>
      </c>
      <c r="AC192" s="16">
        <f>Transportation_LCIA!G$61*($W192^Transportation_LCIA!G$60)+Transportation_LCIA!G$62</f>
        <v>5.547825380889481E-2</v>
      </c>
      <c r="AD192" s="16">
        <f>Transportation_LCIA!H$61*($W192^Transportation_LCIA!H$60)+Transportation_LCIA!H$62</f>
        <v>2.6922921617757048E-4</v>
      </c>
      <c r="AE192" s="16">
        <f>Transportation_LCIA!I$61*($W192^Transportation_LCIA!I$60)+Transportation_LCIA!I$62</f>
        <v>5.7297698987622048E-6</v>
      </c>
      <c r="AF192" s="16">
        <f>Transportation_LCIA!J$61*($W192^Transportation_LCIA!J$60)+Transportation_LCIA!J$62</f>
        <v>8.4787675565588666E-3</v>
      </c>
      <c r="AG192" s="16">
        <f>Transportation_LCIA!K$61*($W192^Transportation_LCIA!K$60)+Transportation_LCIA!K$62</f>
        <v>1.1774830046439842E-2</v>
      </c>
      <c r="AH192" s="16">
        <f>Transportation_LCIA!L$61*($W192^Transportation_LCIA!L$60)+Transportation_LCIA!L$62</f>
        <v>2.3292652575284897E-4</v>
      </c>
      <c r="AI192" s="16">
        <f>Transportation_LCIA!M$61*($W192^Transportation_LCIA!M$60)+Transportation_LCIA!M$62</f>
        <v>2.3943208721087565E-4</v>
      </c>
      <c r="AJ192" s="16">
        <f>Transportation_LCIA!N$61*($W192^Transportation_LCIA!N$60)+Transportation_LCIA!N$62</f>
        <v>9.6440816935684163E-4</v>
      </c>
      <c r="AK192" s="16">
        <f>Transportation_LCIA!O$61*($W192^Transportation_LCIA!O$60)+Transportation_LCIA!O$62</f>
        <v>5.8616819717353033E-5</v>
      </c>
      <c r="AL192" s="16">
        <f>Transportation_LCIA!P$61*($W192^Transportation_LCIA!P$60)+Transportation_LCIA!P$62</f>
        <v>2.8351204174553839E-8</v>
      </c>
      <c r="AM192" s="16">
        <f>Transportation_LCIA!Q$61*($W192^Transportation_LCIA!Q$60)+Transportation_LCIA!Q$62</f>
        <v>9.2235500559770595E-5</v>
      </c>
      <c r="AN192" s="16">
        <f>Transportation_LCIA!R$61*($W192^Transportation_LCIA!R$60)+Transportation_LCIA!R$62</f>
        <v>2.7560277819865759E-4</v>
      </c>
      <c r="AO192" s="16">
        <f>Transportation_LCIA!S$61*($W192^Transportation_LCIA!S$60)+Transportation_LCIA!S$62</f>
        <v>4.1688272124088601E-6</v>
      </c>
      <c r="AP192" s="16">
        <f>Transportation_LCIA!T$61*($W192^Transportation_LCIA!T$60)+Transportation_LCIA!T$62</f>
        <v>4.1688272124088601E-6</v>
      </c>
      <c r="AQ192" s="16">
        <f>Transportation_LCIA!U$61*($W192^Transportation_LCIA!U$60)+Transportation_LCIA!U$62</f>
        <v>5.9110128714897269E-4</v>
      </c>
      <c r="AR192" s="16">
        <f>Transportation_LCIA!V$61*($W192^Transportation_LCIA!V$60)+Transportation_LCIA!V$62</f>
        <v>2.3987098967351165E-4</v>
      </c>
      <c r="AT192" s="16">
        <f>$W192*Y192+($L192)*Summary_LCIA!H$32</f>
        <v>247.49784815612722</v>
      </c>
      <c r="AU192" s="16">
        <f>$W192*Z192+($L192)*Summary_LCIA!Q$32</f>
        <v>2566.6200238373472</v>
      </c>
      <c r="AV192" s="16">
        <f>$W192*AA192+($L192)*Summary_LCIA!R$32</f>
        <v>1.2574784230705272</v>
      </c>
      <c r="AW192" s="16">
        <f>$W192*AB192+($L192)*Summary_LCIA!S$32</f>
        <v>247.41218855612723</v>
      </c>
      <c r="AX192" s="16">
        <f>$W192*AC192+($L192)*Summary_LCIA!T$32</f>
        <v>59.884050875982361</v>
      </c>
      <c r="AY192" s="16">
        <f>$W192*AD192+($L192)*Summary_LCIA!U$32</f>
        <v>0.62744737216490609</v>
      </c>
      <c r="AZ192" s="16">
        <f>$W192*AE192+($L192)*Summary_LCIA!V$32</f>
        <v>6.8904356615739548E-3</v>
      </c>
      <c r="BA192" s="16">
        <f>$W192*AF192+($L192)*Summary_LCIA!W$32</f>
        <v>10.318297760589008</v>
      </c>
      <c r="BB192" s="16">
        <f>$W192*AG192+($L192)*Summary_LCIA!X$32</f>
        <v>12.699356051858242</v>
      </c>
      <c r="BC192" s="16">
        <f>$W192*AH192+($L192)*Summary_LCIA!Y$32</f>
        <v>0.54446124332035817</v>
      </c>
      <c r="BD192" s="16">
        <f>$W192*AI192+($L192)*Summary_LCIA!Z$32</f>
        <v>0.25004928278676197</v>
      </c>
      <c r="BE192" s="16">
        <f>$W192*AJ192+($L192)*Summary_LCIA!AA$32</f>
        <v>1.4566112463571181</v>
      </c>
      <c r="BF192" s="16">
        <f>$W192*AK192+($L192)*Summary_LCIA!AB$32</f>
        <v>6.0598581299747954E-2</v>
      </c>
      <c r="BG192" s="16">
        <f>$W192*AL192+($L192)*Summary_LCIA!AC$32</f>
        <v>3.0461653432879879E-5</v>
      </c>
      <c r="BH192" s="16">
        <f>$W192*AM192+($L192)*Summary_LCIA!AD$32</f>
        <v>0.10398531692593979</v>
      </c>
      <c r="BI192" s="16">
        <f>$W192*AN192+($L192)*Summary_LCIA!AE$32</f>
        <v>0.30408228204093096</v>
      </c>
      <c r="BJ192" s="16">
        <f>$W192*AO192+($L192)*Summary_LCIA!AF$32</f>
        <v>2.0724088417992073E-2</v>
      </c>
      <c r="BK192" s="16">
        <f>$W192*AP192+($L192)*Summary_LCIA!AG$32</f>
        <v>5.3314265179920722E-3</v>
      </c>
      <c r="BL192" s="16">
        <f>$W192*AQ192+($L192)*Summary_LCIA!AH$32</f>
        <v>0.784026343027735</v>
      </c>
      <c r="BM192" s="16">
        <f>$W192*AR192+($L192)*Summary_LCIA!AI$32</f>
        <v>0.26776487532591531</v>
      </c>
      <c r="BN192" s="16"/>
    </row>
    <row r="193" spans="1:66" x14ac:dyDescent="0.25">
      <c r="A193" s="159">
        <v>312</v>
      </c>
      <c r="B193" s="159">
        <v>6</v>
      </c>
      <c r="C193" s="45">
        <v>35.779589999999999</v>
      </c>
      <c r="D193" s="45">
        <v>-78.638178999999994</v>
      </c>
      <c r="E193" s="45" t="s">
        <v>265</v>
      </c>
      <c r="F193" s="159">
        <v>97</v>
      </c>
      <c r="G193" s="45" t="s">
        <v>286</v>
      </c>
      <c r="H193" s="45" t="s">
        <v>718</v>
      </c>
      <c r="I193" s="45">
        <v>35.880079000000002</v>
      </c>
      <c r="J193" s="45">
        <v>-78.787996000000007</v>
      </c>
      <c r="K193" s="45">
        <v>20.075432370000001</v>
      </c>
      <c r="L193" s="45">
        <v>23.661999999999999</v>
      </c>
      <c r="M193" s="45" t="s">
        <v>617</v>
      </c>
      <c r="N193" s="159">
        <v>5</v>
      </c>
      <c r="O193" s="159">
        <v>6</v>
      </c>
      <c r="P193" s="45" t="s">
        <v>565</v>
      </c>
      <c r="Q193" s="45" t="s">
        <v>564</v>
      </c>
      <c r="R193" s="45">
        <v>41.98028</v>
      </c>
      <c r="S193" s="45">
        <v>-87.908997900000003</v>
      </c>
      <c r="T193" s="45">
        <v>1339.511</v>
      </c>
      <c r="U193" s="45" t="s">
        <v>617</v>
      </c>
      <c r="V193" s="45" t="s">
        <v>569</v>
      </c>
      <c r="W193" s="45" cm="1">
        <f t="array" ref="W193">getDistance(R193,S193,I193,J193)*SA!$B$12</f>
        <v>1041.0239131701483</v>
      </c>
      <c r="X193" s="22"/>
      <c r="Y193" s="16">
        <f>Transportation_LCIA!C$61*($W193^Transportation_LCIA!C$60)+Transportation_LCIA!C$62</f>
        <v>0.23141881863452615</v>
      </c>
      <c r="Z193" s="16">
        <f>Transportation_LCIA!D$61*($W193^Transportation_LCIA!D$60)+Transportation_LCIA!D$62</f>
        <v>2.3732132712709442</v>
      </c>
      <c r="AA193" s="16">
        <f>Transportation_LCIA!E$61*($W193^Transportation_LCIA!E$60)+Transportation_LCIA!E$62</f>
        <v>1.1098987068913562E-3</v>
      </c>
      <c r="AB193" s="16">
        <f>Transportation_LCIA!F$61*($W193^Transportation_LCIA!F$60)+Transportation_LCIA!F$62</f>
        <v>0.23141881863452615</v>
      </c>
      <c r="AC193" s="16">
        <f>Transportation_LCIA!G$61*($W193^Transportation_LCIA!G$60)+Transportation_LCIA!G$62</f>
        <v>5.547825380889481E-2</v>
      </c>
      <c r="AD193" s="16">
        <f>Transportation_LCIA!H$61*($W193^Transportation_LCIA!H$60)+Transportation_LCIA!H$62</f>
        <v>2.6922921617757048E-4</v>
      </c>
      <c r="AE193" s="16">
        <f>Transportation_LCIA!I$61*($W193^Transportation_LCIA!I$60)+Transportation_LCIA!I$62</f>
        <v>5.7297698987622048E-6</v>
      </c>
      <c r="AF193" s="16">
        <f>Transportation_LCIA!J$61*($W193^Transportation_LCIA!J$60)+Transportation_LCIA!J$62</f>
        <v>8.4787675565588666E-3</v>
      </c>
      <c r="AG193" s="16">
        <f>Transportation_LCIA!K$61*($W193^Transportation_LCIA!K$60)+Transportation_LCIA!K$62</f>
        <v>1.1774830046439842E-2</v>
      </c>
      <c r="AH193" s="16">
        <f>Transportation_LCIA!L$61*($W193^Transportation_LCIA!L$60)+Transportation_LCIA!L$62</f>
        <v>2.3292652575284897E-4</v>
      </c>
      <c r="AI193" s="16">
        <f>Transportation_LCIA!M$61*($W193^Transportation_LCIA!M$60)+Transportation_LCIA!M$62</f>
        <v>2.3943208721087565E-4</v>
      </c>
      <c r="AJ193" s="16">
        <f>Transportation_LCIA!N$61*($W193^Transportation_LCIA!N$60)+Transportation_LCIA!N$62</f>
        <v>9.6440816935684163E-4</v>
      </c>
      <c r="AK193" s="16">
        <f>Transportation_LCIA!O$61*($W193^Transportation_LCIA!O$60)+Transportation_LCIA!O$62</f>
        <v>5.8616819717353033E-5</v>
      </c>
      <c r="AL193" s="16">
        <f>Transportation_LCIA!P$61*($W193^Transportation_LCIA!P$60)+Transportation_LCIA!P$62</f>
        <v>2.8351204174553839E-8</v>
      </c>
      <c r="AM193" s="16">
        <f>Transportation_LCIA!Q$61*($W193^Transportation_LCIA!Q$60)+Transportation_LCIA!Q$62</f>
        <v>9.2235500559770595E-5</v>
      </c>
      <c r="AN193" s="16">
        <f>Transportation_LCIA!R$61*($W193^Transportation_LCIA!R$60)+Transportation_LCIA!R$62</f>
        <v>2.7560277819865759E-4</v>
      </c>
      <c r="AO193" s="16">
        <f>Transportation_LCIA!S$61*($W193^Transportation_LCIA!S$60)+Transportation_LCIA!S$62</f>
        <v>4.1688272124088601E-6</v>
      </c>
      <c r="AP193" s="16">
        <f>Transportation_LCIA!T$61*($W193^Transportation_LCIA!T$60)+Transportation_LCIA!T$62</f>
        <v>4.1688272124088601E-6</v>
      </c>
      <c r="AQ193" s="16">
        <f>Transportation_LCIA!U$61*($W193^Transportation_LCIA!U$60)+Transportation_LCIA!U$62</f>
        <v>5.9110128714897269E-4</v>
      </c>
      <c r="AR193" s="16">
        <f>Transportation_LCIA!V$61*($W193^Transportation_LCIA!V$60)+Transportation_LCIA!V$62</f>
        <v>2.3987098967351165E-4</v>
      </c>
      <c r="AT193" s="16">
        <f>$W193*Y193+($L193)*Summary_LCIA!H$32</f>
        <v>248.95287175612722</v>
      </c>
      <c r="AU193" s="16">
        <f>$W193*Z193+($L193)*Summary_LCIA!Q$32</f>
        <v>2587.8418317914529</v>
      </c>
      <c r="AV193" s="16">
        <f>$W193*AA193+($L193)*Summary_LCIA!R$32</f>
        <v>1.2800257222705271</v>
      </c>
      <c r="AW193" s="16">
        <f>$W193*AB193+($L193)*Summary_LCIA!S$32</f>
        <v>248.84828571612724</v>
      </c>
      <c r="AX193" s="16">
        <f>$W193*AC193+($L193)*Summary_LCIA!T$32</f>
        <v>60.354642675982355</v>
      </c>
      <c r="AY193" s="16">
        <f>$W193*AD193+($L193)*Summary_LCIA!U$32</f>
        <v>0.70415512016490611</v>
      </c>
      <c r="AZ193" s="16">
        <f>$W193*AE193+($L193)*Summary_LCIA!V$32</f>
        <v>7.0949482635739546E-3</v>
      </c>
      <c r="BA193" s="16">
        <f>$W193*AF193+($L193)*Summary_LCIA!W$32</f>
        <v>10.647887582589009</v>
      </c>
      <c r="BB193" s="16">
        <f>$W193*AG193+($L193)*Summary_LCIA!X$32</f>
        <v>12.796900011858243</v>
      </c>
      <c r="BC193" s="16">
        <f>$W193*AH193+($L193)*Summary_LCIA!Y$32</f>
        <v>0.61118336732035816</v>
      </c>
      <c r="BD193" s="16">
        <f>$W193*AI193+($L193)*Summary_LCIA!Z$32</f>
        <v>0.250224883324762</v>
      </c>
      <c r="BE193" s="16">
        <f>$W193*AJ193+($L193)*Summary_LCIA!AA$32</f>
        <v>1.5566216383571181</v>
      </c>
      <c r="BF193" s="16">
        <f>$W193*AK193+($L193)*Summary_LCIA!AB$32</f>
        <v>6.0505135213747958E-2</v>
      </c>
      <c r="BG193" s="16">
        <f>$W193*AL193+($L193)*Summary_LCIA!AC$32</f>
        <v>3.0670974720879879E-5</v>
      </c>
      <c r="BH193" s="16">
        <f>$W193*AM193+($L193)*Summary_LCIA!AD$32</f>
        <v>0.10574539020593979</v>
      </c>
      <c r="BI193" s="16">
        <f>$W193*AN193+($L193)*Summary_LCIA!AE$32</f>
        <v>0.30787669070093093</v>
      </c>
      <c r="BJ193" s="16">
        <f>$W193*AO193+($L193)*Summary_LCIA!AF$32</f>
        <v>2.4344176857992075E-2</v>
      </c>
      <c r="BK193" s="16">
        <f>$W193*AP193+($L193)*Summary_LCIA!AG$32</f>
        <v>5.5505150479920719E-3</v>
      </c>
      <c r="BL193" s="16">
        <f>$W193*AQ193+($L193)*Summary_LCIA!AH$32</f>
        <v>0.82129515822773502</v>
      </c>
      <c r="BM193" s="16">
        <f>$W193*AR193+($L193)*Summary_LCIA!AI$32</f>
        <v>0.27175377242591531</v>
      </c>
      <c r="BN193" s="16"/>
    </row>
    <row r="194" spans="1:66" x14ac:dyDescent="0.25">
      <c r="A194" s="159">
        <v>313</v>
      </c>
      <c r="B194" s="159">
        <v>6</v>
      </c>
      <c r="C194" s="45">
        <v>35.779589999999999</v>
      </c>
      <c r="D194" s="45">
        <v>-78.638178999999994</v>
      </c>
      <c r="E194" s="45" t="s">
        <v>265</v>
      </c>
      <c r="F194" s="159">
        <v>97</v>
      </c>
      <c r="G194" s="45" t="s">
        <v>286</v>
      </c>
      <c r="H194" s="45" t="s">
        <v>718</v>
      </c>
      <c r="I194" s="45">
        <v>35.880079000000002</v>
      </c>
      <c r="J194" s="45">
        <v>-78.787996000000007</v>
      </c>
      <c r="K194" s="45">
        <v>20.075432370000001</v>
      </c>
      <c r="L194" s="45">
        <v>23.661999999999999</v>
      </c>
      <c r="M194" s="45" t="s">
        <v>617</v>
      </c>
      <c r="N194" s="159">
        <v>5</v>
      </c>
      <c r="O194" s="159">
        <v>6</v>
      </c>
      <c r="P194" s="45" t="s">
        <v>565</v>
      </c>
      <c r="Q194" s="45" t="s">
        <v>564</v>
      </c>
      <c r="R194" s="45">
        <v>41.98028</v>
      </c>
      <c r="S194" s="45">
        <v>-87.908997900000003</v>
      </c>
      <c r="T194" s="45">
        <v>1339.511</v>
      </c>
      <c r="U194" s="45" t="s">
        <v>617</v>
      </c>
      <c r="V194" s="45" t="s">
        <v>569</v>
      </c>
      <c r="W194" s="45" cm="1">
        <f t="array" ref="W194">getDistance(R194,S194,I194,J194)*SA!$B$12</f>
        <v>1041.0239131701483</v>
      </c>
      <c r="X194" s="22"/>
      <c r="Y194" s="16">
        <f>Transportation_LCIA!C$61*($W194^Transportation_LCIA!C$60)+Transportation_LCIA!C$62</f>
        <v>0.23141881863452615</v>
      </c>
      <c r="Z194" s="16">
        <f>Transportation_LCIA!D$61*($W194^Transportation_LCIA!D$60)+Transportation_LCIA!D$62</f>
        <v>2.3732132712709442</v>
      </c>
      <c r="AA194" s="16">
        <f>Transportation_LCIA!E$61*($W194^Transportation_LCIA!E$60)+Transportation_LCIA!E$62</f>
        <v>1.1098987068913562E-3</v>
      </c>
      <c r="AB194" s="16">
        <f>Transportation_LCIA!F$61*($W194^Transportation_LCIA!F$60)+Transportation_LCIA!F$62</f>
        <v>0.23141881863452615</v>
      </c>
      <c r="AC194" s="16">
        <f>Transportation_LCIA!G$61*($W194^Transportation_LCIA!G$60)+Transportation_LCIA!G$62</f>
        <v>5.547825380889481E-2</v>
      </c>
      <c r="AD194" s="16">
        <f>Transportation_LCIA!H$61*($W194^Transportation_LCIA!H$60)+Transportation_LCIA!H$62</f>
        <v>2.6922921617757048E-4</v>
      </c>
      <c r="AE194" s="16">
        <f>Transportation_LCIA!I$61*($W194^Transportation_LCIA!I$60)+Transportation_LCIA!I$62</f>
        <v>5.7297698987622048E-6</v>
      </c>
      <c r="AF194" s="16">
        <f>Transportation_LCIA!J$61*($W194^Transportation_LCIA!J$60)+Transportation_LCIA!J$62</f>
        <v>8.4787675565588666E-3</v>
      </c>
      <c r="AG194" s="16">
        <f>Transportation_LCIA!K$61*($W194^Transportation_LCIA!K$60)+Transportation_LCIA!K$62</f>
        <v>1.1774830046439842E-2</v>
      </c>
      <c r="AH194" s="16">
        <f>Transportation_LCIA!L$61*($W194^Transportation_LCIA!L$60)+Transportation_LCIA!L$62</f>
        <v>2.3292652575284897E-4</v>
      </c>
      <c r="AI194" s="16">
        <f>Transportation_LCIA!M$61*($W194^Transportation_LCIA!M$60)+Transportation_LCIA!M$62</f>
        <v>2.3943208721087565E-4</v>
      </c>
      <c r="AJ194" s="16">
        <f>Transportation_LCIA!N$61*($W194^Transportation_LCIA!N$60)+Transportation_LCIA!N$62</f>
        <v>9.6440816935684163E-4</v>
      </c>
      <c r="AK194" s="16">
        <f>Transportation_LCIA!O$61*($W194^Transportation_LCIA!O$60)+Transportation_LCIA!O$62</f>
        <v>5.8616819717353033E-5</v>
      </c>
      <c r="AL194" s="16">
        <f>Transportation_LCIA!P$61*($W194^Transportation_LCIA!P$60)+Transportation_LCIA!P$62</f>
        <v>2.8351204174553839E-8</v>
      </c>
      <c r="AM194" s="16">
        <f>Transportation_LCIA!Q$61*($W194^Transportation_LCIA!Q$60)+Transportation_LCIA!Q$62</f>
        <v>9.2235500559770595E-5</v>
      </c>
      <c r="AN194" s="16">
        <f>Transportation_LCIA!R$61*($W194^Transportation_LCIA!R$60)+Transportation_LCIA!R$62</f>
        <v>2.7560277819865759E-4</v>
      </c>
      <c r="AO194" s="16">
        <f>Transportation_LCIA!S$61*($W194^Transportation_LCIA!S$60)+Transportation_LCIA!S$62</f>
        <v>4.1688272124088601E-6</v>
      </c>
      <c r="AP194" s="16">
        <f>Transportation_LCIA!T$61*($W194^Transportation_LCIA!T$60)+Transportation_LCIA!T$62</f>
        <v>4.1688272124088601E-6</v>
      </c>
      <c r="AQ194" s="16">
        <f>Transportation_LCIA!U$61*($W194^Transportation_LCIA!U$60)+Transportation_LCIA!U$62</f>
        <v>5.9110128714897269E-4</v>
      </c>
      <c r="AR194" s="16">
        <f>Transportation_LCIA!V$61*($W194^Transportation_LCIA!V$60)+Transportation_LCIA!V$62</f>
        <v>2.3987098967351165E-4</v>
      </c>
      <c r="AT194" s="16">
        <f>$W194*Y194+($L194)*Summary_LCIA!H$32</f>
        <v>248.95287175612722</v>
      </c>
      <c r="AU194" s="16">
        <f>$W194*Z194+($L194)*Summary_LCIA!Q$32</f>
        <v>2587.8418317914529</v>
      </c>
      <c r="AV194" s="16">
        <f>$W194*AA194+($L194)*Summary_LCIA!R$32</f>
        <v>1.2800257222705271</v>
      </c>
      <c r="AW194" s="16">
        <f>$W194*AB194+($L194)*Summary_LCIA!S$32</f>
        <v>248.84828571612724</v>
      </c>
      <c r="AX194" s="16">
        <f>$W194*AC194+($L194)*Summary_LCIA!T$32</f>
        <v>60.354642675982355</v>
      </c>
      <c r="AY194" s="16">
        <f>$W194*AD194+($L194)*Summary_LCIA!U$32</f>
        <v>0.70415512016490611</v>
      </c>
      <c r="AZ194" s="16">
        <f>$W194*AE194+($L194)*Summary_LCIA!V$32</f>
        <v>7.0949482635739546E-3</v>
      </c>
      <c r="BA194" s="16">
        <f>$W194*AF194+($L194)*Summary_LCIA!W$32</f>
        <v>10.647887582589009</v>
      </c>
      <c r="BB194" s="16">
        <f>$W194*AG194+($L194)*Summary_LCIA!X$32</f>
        <v>12.796900011858243</v>
      </c>
      <c r="BC194" s="16">
        <f>$W194*AH194+($L194)*Summary_LCIA!Y$32</f>
        <v>0.61118336732035816</v>
      </c>
      <c r="BD194" s="16">
        <f>$W194*AI194+($L194)*Summary_LCIA!Z$32</f>
        <v>0.250224883324762</v>
      </c>
      <c r="BE194" s="16">
        <f>$W194*AJ194+($L194)*Summary_LCIA!AA$32</f>
        <v>1.5566216383571181</v>
      </c>
      <c r="BF194" s="16">
        <f>$W194*AK194+($L194)*Summary_LCIA!AB$32</f>
        <v>6.0505135213747958E-2</v>
      </c>
      <c r="BG194" s="16">
        <f>$W194*AL194+($L194)*Summary_LCIA!AC$32</f>
        <v>3.0670974720879879E-5</v>
      </c>
      <c r="BH194" s="16">
        <f>$W194*AM194+($L194)*Summary_LCIA!AD$32</f>
        <v>0.10574539020593979</v>
      </c>
      <c r="BI194" s="16">
        <f>$W194*AN194+($L194)*Summary_LCIA!AE$32</f>
        <v>0.30787669070093093</v>
      </c>
      <c r="BJ194" s="16">
        <f>$W194*AO194+($L194)*Summary_LCIA!AF$32</f>
        <v>2.4344176857992075E-2</v>
      </c>
      <c r="BK194" s="16">
        <f>$W194*AP194+($L194)*Summary_LCIA!AG$32</f>
        <v>5.5505150479920719E-3</v>
      </c>
      <c r="BL194" s="16">
        <f>$W194*AQ194+($L194)*Summary_LCIA!AH$32</f>
        <v>0.82129515822773502</v>
      </c>
      <c r="BM194" s="16">
        <f>$W194*AR194+($L194)*Summary_LCIA!AI$32</f>
        <v>0.27175377242591531</v>
      </c>
      <c r="BN194" s="16"/>
    </row>
    <row r="195" spans="1:66" x14ac:dyDescent="0.25">
      <c r="A195" s="159">
        <v>314</v>
      </c>
      <c r="B195" s="159">
        <v>6</v>
      </c>
      <c r="C195" s="45">
        <v>35.779589999999999</v>
      </c>
      <c r="D195" s="45">
        <v>-78.638178999999994</v>
      </c>
      <c r="E195" s="45" t="s">
        <v>265</v>
      </c>
      <c r="F195" s="159">
        <v>97</v>
      </c>
      <c r="G195" s="45" t="s">
        <v>286</v>
      </c>
      <c r="H195" s="45" t="s">
        <v>718</v>
      </c>
      <c r="I195" s="45">
        <v>35.880079000000002</v>
      </c>
      <c r="J195" s="45">
        <v>-78.787996000000007</v>
      </c>
      <c r="K195" s="45">
        <v>20.075432370000001</v>
      </c>
      <c r="L195" s="45">
        <v>23.661999999999999</v>
      </c>
      <c r="M195" s="45" t="s">
        <v>617</v>
      </c>
      <c r="N195" s="159">
        <v>5</v>
      </c>
      <c r="O195" s="159">
        <v>6</v>
      </c>
      <c r="P195" s="45" t="s">
        <v>565</v>
      </c>
      <c r="Q195" s="45" t="s">
        <v>564</v>
      </c>
      <c r="R195" s="45">
        <v>41.98028</v>
      </c>
      <c r="S195" s="45">
        <v>-87.908997900000003</v>
      </c>
      <c r="T195" s="45">
        <v>1339.511</v>
      </c>
      <c r="U195" s="45" t="s">
        <v>617</v>
      </c>
      <c r="V195" s="45" t="s">
        <v>569</v>
      </c>
      <c r="W195" s="45" cm="1">
        <f t="array" ref="W195">getDistance(R195,S195,I195,J195)*SA!$B$12</f>
        <v>1041.0239131701483</v>
      </c>
      <c r="X195" s="22"/>
      <c r="Y195" s="16">
        <f>Transportation_LCIA!C$61*($W195^Transportation_LCIA!C$60)+Transportation_LCIA!C$62</f>
        <v>0.23141881863452615</v>
      </c>
      <c r="Z195" s="16">
        <f>Transportation_LCIA!D$61*($W195^Transportation_LCIA!D$60)+Transportation_LCIA!D$62</f>
        <v>2.3732132712709442</v>
      </c>
      <c r="AA195" s="16">
        <f>Transportation_LCIA!E$61*($W195^Transportation_LCIA!E$60)+Transportation_LCIA!E$62</f>
        <v>1.1098987068913562E-3</v>
      </c>
      <c r="AB195" s="16">
        <f>Transportation_LCIA!F$61*($W195^Transportation_LCIA!F$60)+Transportation_LCIA!F$62</f>
        <v>0.23141881863452615</v>
      </c>
      <c r="AC195" s="16">
        <f>Transportation_LCIA!G$61*($W195^Transportation_LCIA!G$60)+Transportation_LCIA!G$62</f>
        <v>5.547825380889481E-2</v>
      </c>
      <c r="AD195" s="16">
        <f>Transportation_LCIA!H$61*($W195^Transportation_LCIA!H$60)+Transportation_LCIA!H$62</f>
        <v>2.6922921617757048E-4</v>
      </c>
      <c r="AE195" s="16">
        <f>Transportation_LCIA!I$61*($W195^Transportation_LCIA!I$60)+Transportation_LCIA!I$62</f>
        <v>5.7297698987622048E-6</v>
      </c>
      <c r="AF195" s="16">
        <f>Transportation_LCIA!J$61*($W195^Transportation_LCIA!J$60)+Transportation_LCIA!J$62</f>
        <v>8.4787675565588666E-3</v>
      </c>
      <c r="AG195" s="16">
        <f>Transportation_LCIA!K$61*($W195^Transportation_LCIA!K$60)+Transportation_LCIA!K$62</f>
        <v>1.1774830046439842E-2</v>
      </c>
      <c r="AH195" s="16">
        <f>Transportation_LCIA!L$61*($W195^Transportation_LCIA!L$60)+Transportation_LCIA!L$62</f>
        <v>2.3292652575284897E-4</v>
      </c>
      <c r="AI195" s="16">
        <f>Transportation_LCIA!M$61*($W195^Transportation_LCIA!M$60)+Transportation_LCIA!M$62</f>
        <v>2.3943208721087565E-4</v>
      </c>
      <c r="AJ195" s="16">
        <f>Transportation_LCIA!N$61*($W195^Transportation_LCIA!N$60)+Transportation_LCIA!N$62</f>
        <v>9.6440816935684163E-4</v>
      </c>
      <c r="AK195" s="16">
        <f>Transportation_LCIA!O$61*($W195^Transportation_LCIA!O$60)+Transportation_LCIA!O$62</f>
        <v>5.8616819717353033E-5</v>
      </c>
      <c r="AL195" s="16">
        <f>Transportation_LCIA!P$61*($W195^Transportation_LCIA!P$60)+Transportation_LCIA!P$62</f>
        <v>2.8351204174553839E-8</v>
      </c>
      <c r="AM195" s="16">
        <f>Transportation_LCIA!Q$61*($W195^Transportation_LCIA!Q$60)+Transportation_LCIA!Q$62</f>
        <v>9.2235500559770595E-5</v>
      </c>
      <c r="AN195" s="16">
        <f>Transportation_LCIA!R$61*($W195^Transportation_LCIA!R$60)+Transportation_LCIA!R$62</f>
        <v>2.7560277819865759E-4</v>
      </c>
      <c r="AO195" s="16">
        <f>Transportation_LCIA!S$61*($W195^Transportation_LCIA!S$60)+Transportation_LCIA!S$62</f>
        <v>4.1688272124088601E-6</v>
      </c>
      <c r="AP195" s="16">
        <f>Transportation_LCIA!T$61*($W195^Transportation_LCIA!T$60)+Transportation_LCIA!T$62</f>
        <v>4.1688272124088601E-6</v>
      </c>
      <c r="AQ195" s="16">
        <f>Transportation_LCIA!U$61*($W195^Transportation_LCIA!U$60)+Transportation_LCIA!U$62</f>
        <v>5.9110128714897269E-4</v>
      </c>
      <c r="AR195" s="16">
        <f>Transportation_LCIA!V$61*($W195^Transportation_LCIA!V$60)+Transportation_LCIA!V$62</f>
        <v>2.3987098967351165E-4</v>
      </c>
      <c r="AT195" s="16">
        <f>$W195*Y195+($L195)*Summary_LCIA!H$32</f>
        <v>248.95287175612722</v>
      </c>
      <c r="AU195" s="16">
        <f>$W195*Z195+($L195)*Summary_LCIA!Q$32</f>
        <v>2587.8418317914529</v>
      </c>
      <c r="AV195" s="16">
        <f>$W195*AA195+($L195)*Summary_LCIA!R$32</f>
        <v>1.2800257222705271</v>
      </c>
      <c r="AW195" s="16">
        <f>$W195*AB195+($L195)*Summary_LCIA!S$32</f>
        <v>248.84828571612724</v>
      </c>
      <c r="AX195" s="16">
        <f>$W195*AC195+($L195)*Summary_LCIA!T$32</f>
        <v>60.354642675982355</v>
      </c>
      <c r="AY195" s="16">
        <f>$W195*AD195+($L195)*Summary_LCIA!U$32</f>
        <v>0.70415512016490611</v>
      </c>
      <c r="AZ195" s="16">
        <f>$W195*AE195+($L195)*Summary_LCIA!V$32</f>
        <v>7.0949482635739546E-3</v>
      </c>
      <c r="BA195" s="16">
        <f>$W195*AF195+($L195)*Summary_LCIA!W$32</f>
        <v>10.647887582589009</v>
      </c>
      <c r="BB195" s="16">
        <f>$W195*AG195+($L195)*Summary_LCIA!X$32</f>
        <v>12.796900011858243</v>
      </c>
      <c r="BC195" s="16">
        <f>$W195*AH195+($L195)*Summary_LCIA!Y$32</f>
        <v>0.61118336732035816</v>
      </c>
      <c r="BD195" s="16">
        <f>$W195*AI195+($L195)*Summary_LCIA!Z$32</f>
        <v>0.250224883324762</v>
      </c>
      <c r="BE195" s="16">
        <f>$W195*AJ195+($L195)*Summary_LCIA!AA$32</f>
        <v>1.5566216383571181</v>
      </c>
      <c r="BF195" s="16">
        <f>$W195*AK195+($L195)*Summary_LCIA!AB$32</f>
        <v>6.0505135213747958E-2</v>
      </c>
      <c r="BG195" s="16">
        <f>$W195*AL195+($L195)*Summary_LCIA!AC$32</f>
        <v>3.0670974720879879E-5</v>
      </c>
      <c r="BH195" s="16">
        <f>$W195*AM195+($L195)*Summary_LCIA!AD$32</f>
        <v>0.10574539020593979</v>
      </c>
      <c r="BI195" s="16">
        <f>$W195*AN195+($L195)*Summary_LCIA!AE$32</f>
        <v>0.30787669070093093</v>
      </c>
      <c r="BJ195" s="16">
        <f>$W195*AO195+($L195)*Summary_LCIA!AF$32</f>
        <v>2.4344176857992075E-2</v>
      </c>
      <c r="BK195" s="16">
        <f>$W195*AP195+($L195)*Summary_LCIA!AG$32</f>
        <v>5.5505150479920719E-3</v>
      </c>
      <c r="BL195" s="16">
        <f>$W195*AQ195+($L195)*Summary_LCIA!AH$32</f>
        <v>0.82129515822773502</v>
      </c>
      <c r="BM195" s="16">
        <f>$W195*AR195+($L195)*Summary_LCIA!AI$32</f>
        <v>0.27175377242591531</v>
      </c>
      <c r="BN195" s="16"/>
    </row>
    <row r="196" spans="1:66" x14ac:dyDescent="0.25">
      <c r="A196" s="159">
        <v>273</v>
      </c>
      <c r="B196" s="159">
        <v>6</v>
      </c>
      <c r="C196" s="45">
        <v>45.501688999999999</v>
      </c>
      <c r="D196" s="45">
        <v>-73.567256</v>
      </c>
      <c r="E196" s="45" t="s">
        <v>458</v>
      </c>
      <c r="F196" s="159">
        <v>124</v>
      </c>
      <c r="G196" s="45" t="s">
        <v>654</v>
      </c>
      <c r="H196" s="45" t="s">
        <v>655</v>
      </c>
      <c r="I196" s="45">
        <v>45.465685000000001</v>
      </c>
      <c r="J196" s="45">
        <v>-73.745480999999998</v>
      </c>
      <c r="K196" s="45">
        <v>15.92927869</v>
      </c>
      <c r="L196" s="45">
        <v>19.553999999999998</v>
      </c>
      <c r="M196" s="45" t="s">
        <v>617</v>
      </c>
      <c r="N196" s="159">
        <v>5</v>
      </c>
      <c r="O196" s="159">
        <v>6</v>
      </c>
      <c r="P196" s="45" t="s">
        <v>565</v>
      </c>
      <c r="Q196" s="45" t="s">
        <v>564</v>
      </c>
      <c r="R196" s="45">
        <v>41.98028</v>
      </c>
      <c r="S196" s="45">
        <v>-87.908997900000003</v>
      </c>
      <c r="T196" s="45">
        <v>1391.0150000000001</v>
      </c>
      <c r="U196" s="45" t="s">
        <v>617</v>
      </c>
      <c r="V196" s="45" t="s">
        <v>569</v>
      </c>
      <c r="W196" s="45" cm="1">
        <f t="array" ref="W196">getDistance(R196,S196,I196,J196)*SA!$B$12</f>
        <v>1203.4659634467887</v>
      </c>
      <c r="X196" s="22"/>
      <c r="Y196" s="16">
        <f>Transportation_LCIA!C$61*($W196^Transportation_LCIA!C$60)+Transportation_LCIA!C$62</f>
        <v>0.21772846046617148</v>
      </c>
      <c r="Z196" s="16">
        <f>Transportation_LCIA!D$61*($W196^Transportation_LCIA!D$60)+Transportation_LCIA!D$62</f>
        <v>2.2142470940859469</v>
      </c>
      <c r="AA196" s="16">
        <f>Transportation_LCIA!E$61*($W196^Transportation_LCIA!E$60)+Transportation_LCIA!E$62</f>
        <v>1.0055281245420159E-3</v>
      </c>
      <c r="AB196" s="16">
        <f>Transportation_LCIA!F$61*($W196^Transportation_LCIA!F$60)+Transportation_LCIA!F$62</f>
        <v>0.21772846046617148</v>
      </c>
      <c r="AC196" s="16">
        <f>Transportation_LCIA!G$61*($W196^Transportation_LCIA!G$60)+Transportation_LCIA!G$62</f>
        <v>5.1799374019000491E-2</v>
      </c>
      <c r="AD196" s="16">
        <f>Transportation_LCIA!H$61*($W196^Transportation_LCIA!H$60)+Transportation_LCIA!H$62</f>
        <v>2.4634416995171114E-4</v>
      </c>
      <c r="AE196" s="16">
        <f>Transportation_LCIA!I$61*($W196^Transportation_LCIA!I$60)+Transportation_LCIA!I$62</f>
        <v>5.1562528918712568E-6</v>
      </c>
      <c r="AF196" s="16">
        <f>Transportation_LCIA!J$61*($W196^Transportation_LCIA!J$60)+Transportation_LCIA!J$62</f>
        <v>7.6271492112845521E-3</v>
      </c>
      <c r="AG196" s="16">
        <f>Transportation_LCIA!K$61*($W196^Transportation_LCIA!K$60)+Transportation_LCIA!K$62</f>
        <v>1.0918234035860491E-2</v>
      </c>
      <c r="AH196" s="16">
        <f>Transportation_LCIA!L$61*($W196^Transportation_LCIA!L$60)+Transportation_LCIA!L$62</f>
        <v>2.1191432370679968E-4</v>
      </c>
      <c r="AI196" s="16">
        <f>Transportation_LCIA!M$61*($W196^Transportation_LCIA!M$60)+Transportation_LCIA!M$62</f>
        <v>2.2680395572104655E-4</v>
      </c>
      <c r="AJ196" s="16">
        <f>Transportation_LCIA!N$61*($W196^Transportation_LCIA!N$60)+Transportation_LCIA!N$62</f>
        <v>8.8743738884339729E-4</v>
      </c>
      <c r="AK196" s="16">
        <f>Transportation_LCIA!O$61*($W196^Transportation_LCIA!O$60)+Transportation_LCIA!O$62</f>
        <v>5.4708076102495621E-5</v>
      </c>
      <c r="AL196" s="16">
        <f>Transportation_LCIA!P$61*($W196^Transportation_LCIA!P$60)+Transportation_LCIA!P$62</f>
        <v>2.647121982427294E-8</v>
      </c>
      <c r="AM196" s="16">
        <f>Transportation_LCIA!Q$61*($W196^Transportation_LCIA!Q$60)+Transportation_LCIA!Q$62</f>
        <v>8.4025368237848467E-5</v>
      </c>
      <c r="AN196" s="16">
        <f>Transportation_LCIA!R$61*($W196^Transportation_LCIA!R$60)+Transportation_LCIA!R$62</f>
        <v>2.4810392360756592E-4</v>
      </c>
      <c r="AO196" s="16">
        <f>Transportation_LCIA!S$61*($W196^Transportation_LCIA!S$60)+Transportation_LCIA!S$62</f>
        <v>3.7784816746894015E-6</v>
      </c>
      <c r="AP196" s="16">
        <f>Transportation_LCIA!T$61*($W196^Transportation_LCIA!T$60)+Transportation_LCIA!T$62</f>
        <v>3.7784816746894015E-6</v>
      </c>
      <c r="AQ196" s="16">
        <f>Transportation_LCIA!U$61*($W196^Transportation_LCIA!U$60)+Transportation_LCIA!U$62</f>
        <v>5.3084715123251445E-4</v>
      </c>
      <c r="AR196" s="16">
        <f>Transportation_LCIA!V$61*($W196^Transportation_LCIA!V$60)+Transportation_LCIA!V$62</f>
        <v>2.1853136585972262E-4</v>
      </c>
      <c r="AT196" s="16">
        <f>$W196*Y196+($L196)*Summary_LCIA!H$32</f>
        <v>268.67324064470711</v>
      </c>
      <c r="AU196" s="16">
        <f>$W196*Z196+($L196)*Summary_LCIA!Q$32</f>
        <v>2761.6816225602784</v>
      </c>
      <c r="AV196" s="16">
        <f>$W196*AA196+($L196)*Summary_LCIA!R$32</f>
        <v>1.3130824155747995</v>
      </c>
      <c r="AW196" s="16">
        <f>$W196*AB196+($L196)*Summary_LCIA!S$32</f>
        <v>268.58681196470712</v>
      </c>
      <c r="AX196" s="16">
        <f>$W196*AC196+($L196)*Summary_LCIA!T$32</f>
        <v>64.487768159716978</v>
      </c>
      <c r="AY196" s="16">
        <f>$W196*AD196+($L196)*Summary_LCIA!U$32</f>
        <v>0.64675717983043546</v>
      </c>
      <c r="AZ196" s="16">
        <f>$W196*AE196+($L196)*Summary_LCIA!V$32</f>
        <v>7.1392934482911322E-3</v>
      </c>
      <c r="BA196" s="16">
        <f>$W196*AF196+($L196)*Summary_LCIA!W$32</f>
        <v>10.684105407910979</v>
      </c>
      <c r="BB196" s="16">
        <f>$W196*AG196+($L196)*Summary_LCIA!X$32</f>
        <v>13.585163163104365</v>
      </c>
      <c r="BC196" s="16">
        <f>$W196*AH196+($L196)*Summary_LCIA!Y$32</f>
        <v>0.55972210374797826</v>
      </c>
      <c r="BD196" s="16">
        <f>$W196*AI196+($L196)*Summary_LCIA!Z$32</f>
        <v>0.2737527310713721</v>
      </c>
      <c r="BE196" s="16">
        <f>$W196*AJ196+($L196)*Summary_LCIA!AA$32</f>
        <v>1.5247039161631215</v>
      </c>
      <c r="BF196" s="16">
        <f>$W196*AK196+($L196)*Summary_LCIA!AB$32</f>
        <v>6.5412580573010137E-2</v>
      </c>
      <c r="BG196" s="16">
        <f>$W196*AL196+($L196)*Summary_LCIA!AC$32</f>
        <v>3.2813089805430364E-5</v>
      </c>
      <c r="BH196" s="16">
        <f>$W196*AM196+($L196)*Summary_LCIA!AD$32</f>
        <v>0.1091591469003335</v>
      </c>
      <c r="BI196" s="16">
        <f>$W196*AN196+($L196)*Summary_LCIA!AE$32</f>
        <v>0.31591201347930781</v>
      </c>
      <c r="BJ196" s="16">
        <f>$W196*AO196+($L196)*Summary_LCIA!AF$32</f>
        <v>2.1078616768996115E-2</v>
      </c>
      <c r="BK196" s="16">
        <f>$W196*AP196+($L196)*Summary_LCIA!AG$32</f>
        <v>5.5477544989961164E-3</v>
      </c>
      <c r="BL196" s="16">
        <f>$W196*AQ196+($L196)*Summary_LCIA!AH$32</f>
        <v>0.80904667270102104</v>
      </c>
      <c r="BM196" s="16">
        <f>$W196*AR196+($L196)*Summary_LCIA!AI$32</f>
        <v>0.28121058945771371</v>
      </c>
      <c r="BN196" s="16"/>
    </row>
    <row r="197" spans="1:66" x14ac:dyDescent="0.25">
      <c r="A197" s="159">
        <v>274</v>
      </c>
      <c r="B197" s="159">
        <v>6</v>
      </c>
      <c r="C197" s="45">
        <v>45.501688999999999</v>
      </c>
      <c r="D197" s="45">
        <v>-73.567256</v>
      </c>
      <c r="E197" s="45" t="s">
        <v>458</v>
      </c>
      <c r="F197" s="159">
        <v>124</v>
      </c>
      <c r="G197" s="45" t="s">
        <v>654</v>
      </c>
      <c r="H197" s="45" t="s">
        <v>655</v>
      </c>
      <c r="I197" s="45">
        <v>45.465685000000001</v>
      </c>
      <c r="J197" s="45">
        <v>-73.745480999999998</v>
      </c>
      <c r="K197" s="45">
        <v>15.92927869</v>
      </c>
      <c r="L197" s="45">
        <v>19.553999999999998</v>
      </c>
      <c r="M197" s="45" t="s">
        <v>617</v>
      </c>
      <c r="N197" s="159">
        <v>5</v>
      </c>
      <c r="O197" s="159">
        <v>6</v>
      </c>
      <c r="P197" s="45" t="s">
        <v>565</v>
      </c>
      <c r="Q197" s="45" t="s">
        <v>564</v>
      </c>
      <c r="R197" s="45">
        <v>41.98028</v>
      </c>
      <c r="S197" s="45">
        <v>-87.908997900000003</v>
      </c>
      <c r="T197" s="45">
        <v>1391.0150000000001</v>
      </c>
      <c r="U197" s="45" t="s">
        <v>617</v>
      </c>
      <c r="V197" s="45" t="s">
        <v>569</v>
      </c>
      <c r="W197" s="45" cm="1">
        <f t="array" ref="W197">getDistance(R197,S197,I197,J197)*SA!$B$12</f>
        <v>1203.4659634467887</v>
      </c>
      <c r="X197" s="22"/>
      <c r="Y197" s="16">
        <f>Transportation_LCIA!C$61*($W197^Transportation_LCIA!C$60)+Transportation_LCIA!C$62</f>
        <v>0.21772846046617148</v>
      </c>
      <c r="Z197" s="16">
        <f>Transportation_LCIA!D$61*($W197^Transportation_LCIA!D$60)+Transportation_LCIA!D$62</f>
        <v>2.2142470940859469</v>
      </c>
      <c r="AA197" s="16">
        <f>Transportation_LCIA!E$61*($W197^Transportation_LCIA!E$60)+Transportation_LCIA!E$62</f>
        <v>1.0055281245420159E-3</v>
      </c>
      <c r="AB197" s="16">
        <f>Transportation_LCIA!F$61*($W197^Transportation_LCIA!F$60)+Transportation_LCIA!F$62</f>
        <v>0.21772846046617148</v>
      </c>
      <c r="AC197" s="16">
        <f>Transportation_LCIA!G$61*($W197^Transportation_LCIA!G$60)+Transportation_LCIA!G$62</f>
        <v>5.1799374019000491E-2</v>
      </c>
      <c r="AD197" s="16">
        <f>Transportation_LCIA!H$61*($W197^Transportation_LCIA!H$60)+Transportation_LCIA!H$62</f>
        <v>2.4634416995171114E-4</v>
      </c>
      <c r="AE197" s="16">
        <f>Transportation_LCIA!I$61*($W197^Transportation_LCIA!I$60)+Transportation_LCIA!I$62</f>
        <v>5.1562528918712568E-6</v>
      </c>
      <c r="AF197" s="16">
        <f>Transportation_LCIA!J$61*($W197^Transportation_LCIA!J$60)+Transportation_LCIA!J$62</f>
        <v>7.6271492112845521E-3</v>
      </c>
      <c r="AG197" s="16">
        <f>Transportation_LCIA!K$61*($W197^Transportation_LCIA!K$60)+Transportation_LCIA!K$62</f>
        <v>1.0918234035860491E-2</v>
      </c>
      <c r="AH197" s="16">
        <f>Transportation_LCIA!L$61*($W197^Transportation_LCIA!L$60)+Transportation_LCIA!L$62</f>
        <v>2.1191432370679968E-4</v>
      </c>
      <c r="AI197" s="16">
        <f>Transportation_LCIA!M$61*($W197^Transportation_LCIA!M$60)+Transportation_LCIA!M$62</f>
        <v>2.2680395572104655E-4</v>
      </c>
      <c r="AJ197" s="16">
        <f>Transportation_LCIA!N$61*($W197^Transportation_LCIA!N$60)+Transportation_LCIA!N$62</f>
        <v>8.8743738884339729E-4</v>
      </c>
      <c r="AK197" s="16">
        <f>Transportation_LCIA!O$61*($W197^Transportation_LCIA!O$60)+Transportation_LCIA!O$62</f>
        <v>5.4708076102495621E-5</v>
      </c>
      <c r="AL197" s="16">
        <f>Transportation_LCIA!P$61*($W197^Transportation_LCIA!P$60)+Transportation_LCIA!P$62</f>
        <v>2.647121982427294E-8</v>
      </c>
      <c r="AM197" s="16">
        <f>Transportation_LCIA!Q$61*($W197^Transportation_LCIA!Q$60)+Transportation_LCIA!Q$62</f>
        <v>8.4025368237848467E-5</v>
      </c>
      <c r="AN197" s="16">
        <f>Transportation_LCIA!R$61*($W197^Transportation_LCIA!R$60)+Transportation_LCIA!R$62</f>
        <v>2.4810392360756592E-4</v>
      </c>
      <c r="AO197" s="16">
        <f>Transportation_LCIA!S$61*($W197^Transportation_LCIA!S$60)+Transportation_LCIA!S$62</f>
        <v>3.7784816746894015E-6</v>
      </c>
      <c r="AP197" s="16">
        <f>Transportation_LCIA!T$61*($W197^Transportation_LCIA!T$60)+Transportation_LCIA!T$62</f>
        <v>3.7784816746894015E-6</v>
      </c>
      <c r="AQ197" s="16">
        <f>Transportation_LCIA!U$61*($W197^Transportation_LCIA!U$60)+Transportation_LCIA!U$62</f>
        <v>5.3084715123251445E-4</v>
      </c>
      <c r="AR197" s="16">
        <f>Transportation_LCIA!V$61*($W197^Transportation_LCIA!V$60)+Transportation_LCIA!V$62</f>
        <v>2.1853136585972262E-4</v>
      </c>
      <c r="AT197" s="16">
        <f>$W197*Y197+($L197)*Summary_LCIA!H$32</f>
        <v>268.67324064470711</v>
      </c>
      <c r="AU197" s="16">
        <f>$W197*Z197+($L197)*Summary_LCIA!Q$32</f>
        <v>2761.6816225602784</v>
      </c>
      <c r="AV197" s="16">
        <f>$W197*AA197+($L197)*Summary_LCIA!R$32</f>
        <v>1.3130824155747995</v>
      </c>
      <c r="AW197" s="16">
        <f>$W197*AB197+($L197)*Summary_LCIA!S$32</f>
        <v>268.58681196470712</v>
      </c>
      <c r="AX197" s="16">
        <f>$W197*AC197+($L197)*Summary_LCIA!T$32</f>
        <v>64.487768159716978</v>
      </c>
      <c r="AY197" s="16">
        <f>$W197*AD197+($L197)*Summary_LCIA!U$32</f>
        <v>0.64675717983043546</v>
      </c>
      <c r="AZ197" s="16">
        <f>$W197*AE197+($L197)*Summary_LCIA!V$32</f>
        <v>7.1392934482911322E-3</v>
      </c>
      <c r="BA197" s="16">
        <f>$W197*AF197+($L197)*Summary_LCIA!W$32</f>
        <v>10.684105407910979</v>
      </c>
      <c r="BB197" s="16">
        <f>$W197*AG197+($L197)*Summary_LCIA!X$32</f>
        <v>13.585163163104365</v>
      </c>
      <c r="BC197" s="16">
        <f>$W197*AH197+($L197)*Summary_LCIA!Y$32</f>
        <v>0.55972210374797826</v>
      </c>
      <c r="BD197" s="16">
        <f>$W197*AI197+($L197)*Summary_LCIA!Z$32</f>
        <v>0.2737527310713721</v>
      </c>
      <c r="BE197" s="16">
        <f>$W197*AJ197+($L197)*Summary_LCIA!AA$32</f>
        <v>1.5247039161631215</v>
      </c>
      <c r="BF197" s="16">
        <f>$W197*AK197+($L197)*Summary_LCIA!AB$32</f>
        <v>6.5412580573010137E-2</v>
      </c>
      <c r="BG197" s="16">
        <f>$W197*AL197+($L197)*Summary_LCIA!AC$32</f>
        <v>3.2813089805430364E-5</v>
      </c>
      <c r="BH197" s="16">
        <f>$W197*AM197+($L197)*Summary_LCIA!AD$32</f>
        <v>0.1091591469003335</v>
      </c>
      <c r="BI197" s="16">
        <f>$W197*AN197+($L197)*Summary_LCIA!AE$32</f>
        <v>0.31591201347930781</v>
      </c>
      <c r="BJ197" s="16">
        <f>$W197*AO197+($L197)*Summary_LCIA!AF$32</f>
        <v>2.1078616768996115E-2</v>
      </c>
      <c r="BK197" s="16">
        <f>$W197*AP197+($L197)*Summary_LCIA!AG$32</f>
        <v>5.5477544989961164E-3</v>
      </c>
      <c r="BL197" s="16">
        <f>$W197*AQ197+($L197)*Summary_LCIA!AH$32</f>
        <v>0.80904667270102104</v>
      </c>
      <c r="BM197" s="16">
        <f>$W197*AR197+($L197)*Summary_LCIA!AI$32</f>
        <v>0.28121058945771371</v>
      </c>
      <c r="BN197" s="16"/>
    </row>
    <row r="198" spans="1:66" x14ac:dyDescent="0.25">
      <c r="A198" s="159">
        <v>275</v>
      </c>
      <c r="B198" s="159">
        <v>6</v>
      </c>
      <c r="C198" s="45">
        <v>45.501688999999999</v>
      </c>
      <c r="D198" s="45">
        <v>-73.567256</v>
      </c>
      <c r="E198" s="45" t="s">
        <v>458</v>
      </c>
      <c r="F198" s="159">
        <v>124</v>
      </c>
      <c r="G198" s="45" t="s">
        <v>654</v>
      </c>
      <c r="H198" s="45" t="s">
        <v>655</v>
      </c>
      <c r="I198" s="45">
        <v>45.465685000000001</v>
      </c>
      <c r="J198" s="45">
        <v>-73.745480999999998</v>
      </c>
      <c r="K198" s="45">
        <v>15.92927869</v>
      </c>
      <c r="L198" s="45">
        <v>19.553999999999998</v>
      </c>
      <c r="M198" s="45" t="s">
        <v>617</v>
      </c>
      <c r="N198" s="159">
        <v>5</v>
      </c>
      <c r="O198" s="159">
        <v>6</v>
      </c>
      <c r="P198" s="45" t="s">
        <v>565</v>
      </c>
      <c r="Q198" s="45" t="s">
        <v>564</v>
      </c>
      <c r="R198" s="45">
        <v>41.98028</v>
      </c>
      <c r="S198" s="45">
        <v>-87.908997900000003</v>
      </c>
      <c r="T198" s="45">
        <v>1391.0150000000001</v>
      </c>
      <c r="U198" s="45" t="s">
        <v>617</v>
      </c>
      <c r="V198" s="45" t="s">
        <v>569</v>
      </c>
      <c r="W198" s="45" cm="1">
        <f t="array" ref="W198">getDistance(R198,S198,I198,J198)*SA!$B$12</f>
        <v>1203.4659634467887</v>
      </c>
      <c r="X198" s="22"/>
      <c r="Y198" s="16">
        <f>Transportation_LCIA!C$61*($W198^Transportation_LCIA!C$60)+Transportation_LCIA!C$62</f>
        <v>0.21772846046617148</v>
      </c>
      <c r="Z198" s="16">
        <f>Transportation_LCIA!D$61*($W198^Transportation_LCIA!D$60)+Transportation_LCIA!D$62</f>
        <v>2.2142470940859469</v>
      </c>
      <c r="AA198" s="16">
        <f>Transportation_LCIA!E$61*($W198^Transportation_LCIA!E$60)+Transportation_LCIA!E$62</f>
        <v>1.0055281245420159E-3</v>
      </c>
      <c r="AB198" s="16">
        <f>Transportation_LCIA!F$61*($W198^Transportation_LCIA!F$60)+Transportation_LCIA!F$62</f>
        <v>0.21772846046617148</v>
      </c>
      <c r="AC198" s="16">
        <f>Transportation_LCIA!G$61*($W198^Transportation_LCIA!G$60)+Transportation_LCIA!G$62</f>
        <v>5.1799374019000491E-2</v>
      </c>
      <c r="AD198" s="16">
        <f>Transportation_LCIA!H$61*($W198^Transportation_LCIA!H$60)+Transportation_LCIA!H$62</f>
        <v>2.4634416995171114E-4</v>
      </c>
      <c r="AE198" s="16">
        <f>Transportation_LCIA!I$61*($W198^Transportation_LCIA!I$60)+Transportation_LCIA!I$62</f>
        <v>5.1562528918712568E-6</v>
      </c>
      <c r="AF198" s="16">
        <f>Transportation_LCIA!J$61*($W198^Transportation_LCIA!J$60)+Transportation_LCIA!J$62</f>
        <v>7.6271492112845521E-3</v>
      </c>
      <c r="AG198" s="16">
        <f>Transportation_LCIA!K$61*($W198^Transportation_LCIA!K$60)+Transportation_LCIA!K$62</f>
        <v>1.0918234035860491E-2</v>
      </c>
      <c r="AH198" s="16">
        <f>Transportation_LCIA!L$61*($W198^Transportation_LCIA!L$60)+Transportation_LCIA!L$62</f>
        <v>2.1191432370679968E-4</v>
      </c>
      <c r="AI198" s="16">
        <f>Transportation_LCIA!M$61*($W198^Transportation_LCIA!M$60)+Transportation_LCIA!M$62</f>
        <v>2.2680395572104655E-4</v>
      </c>
      <c r="AJ198" s="16">
        <f>Transportation_LCIA!N$61*($W198^Transportation_LCIA!N$60)+Transportation_LCIA!N$62</f>
        <v>8.8743738884339729E-4</v>
      </c>
      <c r="AK198" s="16">
        <f>Transportation_LCIA!O$61*($W198^Transportation_LCIA!O$60)+Transportation_LCIA!O$62</f>
        <v>5.4708076102495621E-5</v>
      </c>
      <c r="AL198" s="16">
        <f>Transportation_LCIA!P$61*($W198^Transportation_LCIA!P$60)+Transportation_LCIA!P$62</f>
        <v>2.647121982427294E-8</v>
      </c>
      <c r="AM198" s="16">
        <f>Transportation_LCIA!Q$61*($W198^Transportation_LCIA!Q$60)+Transportation_LCIA!Q$62</f>
        <v>8.4025368237848467E-5</v>
      </c>
      <c r="AN198" s="16">
        <f>Transportation_LCIA!R$61*($W198^Transportation_LCIA!R$60)+Transportation_LCIA!R$62</f>
        <v>2.4810392360756592E-4</v>
      </c>
      <c r="AO198" s="16">
        <f>Transportation_LCIA!S$61*($W198^Transportation_LCIA!S$60)+Transportation_LCIA!S$62</f>
        <v>3.7784816746894015E-6</v>
      </c>
      <c r="AP198" s="16">
        <f>Transportation_LCIA!T$61*($W198^Transportation_LCIA!T$60)+Transportation_LCIA!T$62</f>
        <v>3.7784816746894015E-6</v>
      </c>
      <c r="AQ198" s="16">
        <f>Transportation_LCIA!U$61*($W198^Transportation_LCIA!U$60)+Transportation_LCIA!U$62</f>
        <v>5.3084715123251445E-4</v>
      </c>
      <c r="AR198" s="16">
        <f>Transportation_LCIA!V$61*($W198^Transportation_LCIA!V$60)+Transportation_LCIA!V$62</f>
        <v>2.1853136585972262E-4</v>
      </c>
      <c r="AT198" s="16">
        <f>$W198*Y198+($L198)*Summary_LCIA!H$32</f>
        <v>268.67324064470711</v>
      </c>
      <c r="AU198" s="16">
        <f>$W198*Z198+($L198)*Summary_LCIA!Q$32</f>
        <v>2761.6816225602784</v>
      </c>
      <c r="AV198" s="16">
        <f>$W198*AA198+($L198)*Summary_LCIA!R$32</f>
        <v>1.3130824155747995</v>
      </c>
      <c r="AW198" s="16">
        <f>$W198*AB198+($L198)*Summary_LCIA!S$32</f>
        <v>268.58681196470712</v>
      </c>
      <c r="AX198" s="16">
        <f>$W198*AC198+($L198)*Summary_LCIA!T$32</f>
        <v>64.487768159716978</v>
      </c>
      <c r="AY198" s="16">
        <f>$W198*AD198+($L198)*Summary_LCIA!U$32</f>
        <v>0.64675717983043546</v>
      </c>
      <c r="AZ198" s="16">
        <f>$W198*AE198+($L198)*Summary_LCIA!V$32</f>
        <v>7.1392934482911322E-3</v>
      </c>
      <c r="BA198" s="16">
        <f>$W198*AF198+($L198)*Summary_LCIA!W$32</f>
        <v>10.684105407910979</v>
      </c>
      <c r="BB198" s="16">
        <f>$W198*AG198+($L198)*Summary_LCIA!X$32</f>
        <v>13.585163163104365</v>
      </c>
      <c r="BC198" s="16">
        <f>$W198*AH198+($L198)*Summary_LCIA!Y$32</f>
        <v>0.55972210374797826</v>
      </c>
      <c r="BD198" s="16">
        <f>$W198*AI198+($L198)*Summary_LCIA!Z$32</f>
        <v>0.2737527310713721</v>
      </c>
      <c r="BE198" s="16">
        <f>$W198*AJ198+($L198)*Summary_LCIA!AA$32</f>
        <v>1.5247039161631215</v>
      </c>
      <c r="BF198" s="16">
        <f>$W198*AK198+($L198)*Summary_LCIA!AB$32</f>
        <v>6.5412580573010137E-2</v>
      </c>
      <c r="BG198" s="16">
        <f>$W198*AL198+($L198)*Summary_LCIA!AC$32</f>
        <v>3.2813089805430364E-5</v>
      </c>
      <c r="BH198" s="16">
        <f>$W198*AM198+($L198)*Summary_LCIA!AD$32</f>
        <v>0.1091591469003335</v>
      </c>
      <c r="BI198" s="16">
        <f>$W198*AN198+($L198)*Summary_LCIA!AE$32</f>
        <v>0.31591201347930781</v>
      </c>
      <c r="BJ198" s="16">
        <f>$W198*AO198+($L198)*Summary_LCIA!AF$32</f>
        <v>2.1078616768996115E-2</v>
      </c>
      <c r="BK198" s="16">
        <f>$W198*AP198+($L198)*Summary_LCIA!AG$32</f>
        <v>5.5477544989961164E-3</v>
      </c>
      <c r="BL198" s="16">
        <f>$W198*AQ198+($L198)*Summary_LCIA!AH$32</f>
        <v>0.80904667270102104</v>
      </c>
      <c r="BM198" s="16">
        <f>$W198*AR198+($L198)*Summary_LCIA!AI$32</f>
        <v>0.28121058945771371</v>
      </c>
      <c r="BN198" s="16"/>
    </row>
    <row r="199" spans="1:66" x14ac:dyDescent="0.25">
      <c r="A199" s="159">
        <v>276</v>
      </c>
      <c r="B199" s="159">
        <v>6</v>
      </c>
      <c r="C199" s="45">
        <v>45.501688999999999</v>
      </c>
      <c r="D199" s="45">
        <v>-73.567256</v>
      </c>
      <c r="E199" s="45" t="s">
        <v>458</v>
      </c>
      <c r="F199" s="159">
        <v>124</v>
      </c>
      <c r="G199" s="45" t="s">
        <v>654</v>
      </c>
      <c r="H199" s="45" t="s">
        <v>655</v>
      </c>
      <c r="I199" s="45">
        <v>45.465685000000001</v>
      </c>
      <c r="J199" s="45">
        <v>-73.745480999999998</v>
      </c>
      <c r="K199" s="45">
        <v>15.92927869</v>
      </c>
      <c r="L199" s="45">
        <v>19.553999999999998</v>
      </c>
      <c r="M199" s="45" t="s">
        <v>617</v>
      </c>
      <c r="N199" s="159">
        <v>5</v>
      </c>
      <c r="O199" s="159">
        <v>6</v>
      </c>
      <c r="P199" s="45" t="s">
        <v>565</v>
      </c>
      <c r="Q199" s="45" t="s">
        <v>564</v>
      </c>
      <c r="R199" s="45">
        <v>41.98028</v>
      </c>
      <c r="S199" s="45">
        <v>-87.908997900000003</v>
      </c>
      <c r="T199" s="45">
        <v>1391.0150000000001</v>
      </c>
      <c r="U199" s="45" t="s">
        <v>617</v>
      </c>
      <c r="V199" s="45" t="s">
        <v>569</v>
      </c>
      <c r="W199" s="45" cm="1">
        <f t="array" ref="W199">getDistance(R199,S199,I199,J199)*SA!$B$12</f>
        <v>1203.4659634467887</v>
      </c>
      <c r="X199" s="22"/>
      <c r="Y199" s="16">
        <f>Transportation_LCIA!C$61*($W199^Transportation_LCIA!C$60)+Transportation_LCIA!C$62</f>
        <v>0.21772846046617148</v>
      </c>
      <c r="Z199" s="16">
        <f>Transportation_LCIA!D$61*($W199^Transportation_LCIA!D$60)+Transportation_LCIA!D$62</f>
        <v>2.2142470940859469</v>
      </c>
      <c r="AA199" s="16">
        <f>Transportation_LCIA!E$61*($W199^Transportation_LCIA!E$60)+Transportation_LCIA!E$62</f>
        <v>1.0055281245420159E-3</v>
      </c>
      <c r="AB199" s="16">
        <f>Transportation_LCIA!F$61*($W199^Transportation_LCIA!F$60)+Transportation_LCIA!F$62</f>
        <v>0.21772846046617148</v>
      </c>
      <c r="AC199" s="16">
        <f>Transportation_LCIA!G$61*($W199^Transportation_LCIA!G$60)+Transportation_LCIA!G$62</f>
        <v>5.1799374019000491E-2</v>
      </c>
      <c r="AD199" s="16">
        <f>Transportation_LCIA!H$61*($W199^Transportation_LCIA!H$60)+Transportation_LCIA!H$62</f>
        <v>2.4634416995171114E-4</v>
      </c>
      <c r="AE199" s="16">
        <f>Transportation_LCIA!I$61*($W199^Transportation_LCIA!I$60)+Transportation_LCIA!I$62</f>
        <v>5.1562528918712568E-6</v>
      </c>
      <c r="AF199" s="16">
        <f>Transportation_LCIA!J$61*($W199^Transportation_LCIA!J$60)+Transportation_LCIA!J$62</f>
        <v>7.6271492112845521E-3</v>
      </c>
      <c r="AG199" s="16">
        <f>Transportation_LCIA!K$61*($W199^Transportation_LCIA!K$60)+Transportation_LCIA!K$62</f>
        <v>1.0918234035860491E-2</v>
      </c>
      <c r="AH199" s="16">
        <f>Transportation_LCIA!L$61*($W199^Transportation_LCIA!L$60)+Transportation_LCIA!L$62</f>
        <v>2.1191432370679968E-4</v>
      </c>
      <c r="AI199" s="16">
        <f>Transportation_LCIA!M$61*($W199^Transportation_LCIA!M$60)+Transportation_LCIA!M$62</f>
        <v>2.2680395572104655E-4</v>
      </c>
      <c r="AJ199" s="16">
        <f>Transportation_LCIA!N$61*($W199^Transportation_LCIA!N$60)+Transportation_LCIA!N$62</f>
        <v>8.8743738884339729E-4</v>
      </c>
      <c r="AK199" s="16">
        <f>Transportation_LCIA!O$61*($W199^Transportation_LCIA!O$60)+Transportation_LCIA!O$62</f>
        <v>5.4708076102495621E-5</v>
      </c>
      <c r="AL199" s="16">
        <f>Transportation_LCIA!P$61*($W199^Transportation_LCIA!P$60)+Transportation_LCIA!P$62</f>
        <v>2.647121982427294E-8</v>
      </c>
      <c r="AM199" s="16">
        <f>Transportation_LCIA!Q$61*($W199^Transportation_LCIA!Q$60)+Transportation_LCIA!Q$62</f>
        <v>8.4025368237848467E-5</v>
      </c>
      <c r="AN199" s="16">
        <f>Transportation_LCIA!R$61*($W199^Transportation_LCIA!R$60)+Transportation_LCIA!R$62</f>
        <v>2.4810392360756592E-4</v>
      </c>
      <c r="AO199" s="16">
        <f>Transportation_LCIA!S$61*($W199^Transportation_LCIA!S$60)+Transportation_LCIA!S$62</f>
        <v>3.7784816746894015E-6</v>
      </c>
      <c r="AP199" s="16">
        <f>Transportation_LCIA!T$61*($W199^Transportation_LCIA!T$60)+Transportation_LCIA!T$62</f>
        <v>3.7784816746894015E-6</v>
      </c>
      <c r="AQ199" s="16">
        <f>Transportation_LCIA!U$61*($W199^Transportation_LCIA!U$60)+Transportation_LCIA!U$62</f>
        <v>5.3084715123251445E-4</v>
      </c>
      <c r="AR199" s="16">
        <f>Transportation_LCIA!V$61*($W199^Transportation_LCIA!V$60)+Transportation_LCIA!V$62</f>
        <v>2.1853136585972262E-4</v>
      </c>
      <c r="AT199" s="16">
        <f>$W199*Y199+($L199)*Summary_LCIA!H$32</f>
        <v>268.67324064470711</v>
      </c>
      <c r="AU199" s="16">
        <f>$W199*Z199+($L199)*Summary_LCIA!Q$32</f>
        <v>2761.6816225602784</v>
      </c>
      <c r="AV199" s="16">
        <f>$W199*AA199+($L199)*Summary_LCIA!R$32</f>
        <v>1.3130824155747995</v>
      </c>
      <c r="AW199" s="16">
        <f>$W199*AB199+($L199)*Summary_LCIA!S$32</f>
        <v>268.58681196470712</v>
      </c>
      <c r="AX199" s="16">
        <f>$W199*AC199+($L199)*Summary_LCIA!T$32</f>
        <v>64.487768159716978</v>
      </c>
      <c r="AY199" s="16">
        <f>$W199*AD199+($L199)*Summary_LCIA!U$32</f>
        <v>0.64675717983043546</v>
      </c>
      <c r="AZ199" s="16">
        <f>$W199*AE199+($L199)*Summary_LCIA!V$32</f>
        <v>7.1392934482911322E-3</v>
      </c>
      <c r="BA199" s="16">
        <f>$W199*AF199+($L199)*Summary_LCIA!W$32</f>
        <v>10.684105407910979</v>
      </c>
      <c r="BB199" s="16">
        <f>$W199*AG199+($L199)*Summary_LCIA!X$32</f>
        <v>13.585163163104365</v>
      </c>
      <c r="BC199" s="16">
        <f>$W199*AH199+($L199)*Summary_LCIA!Y$32</f>
        <v>0.55972210374797826</v>
      </c>
      <c r="BD199" s="16">
        <f>$W199*AI199+($L199)*Summary_LCIA!Z$32</f>
        <v>0.2737527310713721</v>
      </c>
      <c r="BE199" s="16">
        <f>$W199*AJ199+($L199)*Summary_LCIA!AA$32</f>
        <v>1.5247039161631215</v>
      </c>
      <c r="BF199" s="16">
        <f>$W199*AK199+($L199)*Summary_LCIA!AB$32</f>
        <v>6.5412580573010137E-2</v>
      </c>
      <c r="BG199" s="16">
        <f>$W199*AL199+($L199)*Summary_LCIA!AC$32</f>
        <v>3.2813089805430364E-5</v>
      </c>
      <c r="BH199" s="16">
        <f>$W199*AM199+($L199)*Summary_LCIA!AD$32</f>
        <v>0.1091591469003335</v>
      </c>
      <c r="BI199" s="16">
        <f>$W199*AN199+($L199)*Summary_LCIA!AE$32</f>
        <v>0.31591201347930781</v>
      </c>
      <c r="BJ199" s="16">
        <f>$W199*AO199+($L199)*Summary_LCIA!AF$32</f>
        <v>2.1078616768996115E-2</v>
      </c>
      <c r="BK199" s="16">
        <f>$W199*AP199+($L199)*Summary_LCIA!AG$32</f>
        <v>5.5477544989961164E-3</v>
      </c>
      <c r="BL199" s="16">
        <f>$W199*AQ199+($L199)*Summary_LCIA!AH$32</f>
        <v>0.80904667270102104</v>
      </c>
      <c r="BM199" s="16">
        <f>$W199*AR199+($L199)*Summary_LCIA!AI$32</f>
        <v>0.28121058945771371</v>
      </c>
      <c r="BN199" s="16"/>
    </row>
    <row r="200" spans="1:66" x14ac:dyDescent="0.25">
      <c r="A200" s="159">
        <v>277</v>
      </c>
      <c r="B200" s="159">
        <v>6</v>
      </c>
      <c r="C200" s="45">
        <v>45.501688999999999</v>
      </c>
      <c r="D200" s="45">
        <v>-73.567256</v>
      </c>
      <c r="E200" s="45" t="s">
        <v>458</v>
      </c>
      <c r="F200" s="159">
        <v>124</v>
      </c>
      <c r="G200" s="45" t="s">
        <v>654</v>
      </c>
      <c r="H200" s="45" t="s">
        <v>655</v>
      </c>
      <c r="I200" s="45">
        <v>45.465685000000001</v>
      </c>
      <c r="J200" s="45">
        <v>-73.745480999999998</v>
      </c>
      <c r="K200" s="45">
        <v>15.92927869</v>
      </c>
      <c r="L200" s="45">
        <v>19.553999999999998</v>
      </c>
      <c r="M200" s="45" t="s">
        <v>617</v>
      </c>
      <c r="N200" s="159">
        <v>5</v>
      </c>
      <c r="O200" s="159">
        <v>6</v>
      </c>
      <c r="P200" s="45" t="s">
        <v>565</v>
      </c>
      <c r="Q200" s="45" t="s">
        <v>564</v>
      </c>
      <c r="R200" s="45">
        <v>41.98028</v>
      </c>
      <c r="S200" s="45">
        <v>-87.908997900000003</v>
      </c>
      <c r="T200" s="45">
        <v>1391.0150000000001</v>
      </c>
      <c r="U200" s="45" t="s">
        <v>617</v>
      </c>
      <c r="V200" s="45" t="s">
        <v>569</v>
      </c>
      <c r="W200" s="45" cm="1">
        <f t="array" ref="W200">getDistance(R200,S200,I200,J200)*SA!$B$12</f>
        <v>1203.4659634467887</v>
      </c>
      <c r="X200" s="22"/>
      <c r="Y200" s="16">
        <f>Transportation_LCIA!C$61*($W200^Transportation_LCIA!C$60)+Transportation_LCIA!C$62</f>
        <v>0.21772846046617148</v>
      </c>
      <c r="Z200" s="16">
        <f>Transportation_LCIA!D$61*($W200^Transportation_LCIA!D$60)+Transportation_LCIA!D$62</f>
        <v>2.2142470940859469</v>
      </c>
      <c r="AA200" s="16">
        <f>Transportation_LCIA!E$61*($W200^Transportation_LCIA!E$60)+Transportation_LCIA!E$62</f>
        <v>1.0055281245420159E-3</v>
      </c>
      <c r="AB200" s="16">
        <f>Transportation_LCIA!F$61*($W200^Transportation_LCIA!F$60)+Transportation_LCIA!F$62</f>
        <v>0.21772846046617148</v>
      </c>
      <c r="AC200" s="16">
        <f>Transportation_LCIA!G$61*($W200^Transportation_LCIA!G$60)+Transportation_LCIA!G$62</f>
        <v>5.1799374019000491E-2</v>
      </c>
      <c r="AD200" s="16">
        <f>Transportation_LCIA!H$61*($W200^Transportation_LCIA!H$60)+Transportation_LCIA!H$62</f>
        <v>2.4634416995171114E-4</v>
      </c>
      <c r="AE200" s="16">
        <f>Transportation_LCIA!I$61*($W200^Transportation_LCIA!I$60)+Transportation_LCIA!I$62</f>
        <v>5.1562528918712568E-6</v>
      </c>
      <c r="AF200" s="16">
        <f>Transportation_LCIA!J$61*($W200^Transportation_LCIA!J$60)+Transportation_LCIA!J$62</f>
        <v>7.6271492112845521E-3</v>
      </c>
      <c r="AG200" s="16">
        <f>Transportation_LCIA!K$61*($W200^Transportation_LCIA!K$60)+Transportation_LCIA!K$62</f>
        <v>1.0918234035860491E-2</v>
      </c>
      <c r="AH200" s="16">
        <f>Transportation_LCIA!L$61*($W200^Transportation_LCIA!L$60)+Transportation_LCIA!L$62</f>
        <v>2.1191432370679968E-4</v>
      </c>
      <c r="AI200" s="16">
        <f>Transportation_LCIA!M$61*($W200^Transportation_LCIA!M$60)+Transportation_LCIA!M$62</f>
        <v>2.2680395572104655E-4</v>
      </c>
      <c r="AJ200" s="16">
        <f>Transportation_LCIA!N$61*($W200^Transportation_LCIA!N$60)+Transportation_LCIA!N$62</f>
        <v>8.8743738884339729E-4</v>
      </c>
      <c r="AK200" s="16">
        <f>Transportation_LCIA!O$61*($W200^Transportation_LCIA!O$60)+Transportation_LCIA!O$62</f>
        <v>5.4708076102495621E-5</v>
      </c>
      <c r="AL200" s="16">
        <f>Transportation_LCIA!P$61*($W200^Transportation_LCIA!P$60)+Transportation_LCIA!P$62</f>
        <v>2.647121982427294E-8</v>
      </c>
      <c r="AM200" s="16">
        <f>Transportation_LCIA!Q$61*($W200^Transportation_LCIA!Q$60)+Transportation_LCIA!Q$62</f>
        <v>8.4025368237848467E-5</v>
      </c>
      <c r="AN200" s="16">
        <f>Transportation_LCIA!R$61*($W200^Transportation_LCIA!R$60)+Transportation_LCIA!R$62</f>
        <v>2.4810392360756592E-4</v>
      </c>
      <c r="AO200" s="16">
        <f>Transportation_LCIA!S$61*($W200^Transportation_LCIA!S$60)+Transportation_LCIA!S$62</f>
        <v>3.7784816746894015E-6</v>
      </c>
      <c r="AP200" s="16">
        <f>Transportation_LCIA!T$61*($W200^Transportation_LCIA!T$60)+Transportation_LCIA!T$62</f>
        <v>3.7784816746894015E-6</v>
      </c>
      <c r="AQ200" s="16">
        <f>Transportation_LCIA!U$61*($W200^Transportation_LCIA!U$60)+Transportation_LCIA!U$62</f>
        <v>5.3084715123251445E-4</v>
      </c>
      <c r="AR200" s="16">
        <f>Transportation_LCIA!V$61*($W200^Transportation_LCIA!V$60)+Transportation_LCIA!V$62</f>
        <v>2.1853136585972262E-4</v>
      </c>
      <c r="AT200" s="16">
        <f>$W200*Y200+($L200)*Summary_LCIA!H$32</f>
        <v>268.67324064470711</v>
      </c>
      <c r="AU200" s="16">
        <f>$W200*Z200+($L200)*Summary_LCIA!Q$32</f>
        <v>2761.6816225602784</v>
      </c>
      <c r="AV200" s="16">
        <f>$W200*AA200+($L200)*Summary_LCIA!R$32</f>
        <v>1.3130824155747995</v>
      </c>
      <c r="AW200" s="16">
        <f>$W200*AB200+($L200)*Summary_LCIA!S$32</f>
        <v>268.58681196470712</v>
      </c>
      <c r="AX200" s="16">
        <f>$W200*AC200+($L200)*Summary_LCIA!T$32</f>
        <v>64.487768159716978</v>
      </c>
      <c r="AY200" s="16">
        <f>$W200*AD200+($L200)*Summary_LCIA!U$32</f>
        <v>0.64675717983043546</v>
      </c>
      <c r="AZ200" s="16">
        <f>$W200*AE200+($L200)*Summary_LCIA!V$32</f>
        <v>7.1392934482911322E-3</v>
      </c>
      <c r="BA200" s="16">
        <f>$W200*AF200+($L200)*Summary_LCIA!W$32</f>
        <v>10.684105407910979</v>
      </c>
      <c r="BB200" s="16">
        <f>$W200*AG200+($L200)*Summary_LCIA!X$32</f>
        <v>13.585163163104365</v>
      </c>
      <c r="BC200" s="16">
        <f>$W200*AH200+($L200)*Summary_LCIA!Y$32</f>
        <v>0.55972210374797826</v>
      </c>
      <c r="BD200" s="16">
        <f>$W200*AI200+($L200)*Summary_LCIA!Z$32</f>
        <v>0.2737527310713721</v>
      </c>
      <c r="BE200" s="16">
        <f>$W200*AJ200+($L200)*Summary_LCIA!AA$32</f>
        <v>1.5247039161631215</v>
      </c>
      <c r="BF200" s="16">
        <f>$W200*AK200+($L200)*Summary_LCIA!AB$32</f>
        <v>6.5412580573010137E-2</v>
      </c>
      <c r="BG200" s="16">
        <f>$W200*AL200+($L200)*Summary_LCIA!AC$32</f>
        <v>3.2813089805430364E-5</v>
      </c>
      <c r="BH200" s="16">
        <f>$W200*AM200+($L200)*Summary_LCIA!AD$32</f>
        <v>0.1091591469003335</v>
      </c>
      <c r="BI200" s="16">
        <f>$W200*AN200+($L200)*Summary_LCIA!AE$32</f>
        <v>0.31591201347930781</v>
      </c>
      <c r="BJ200" s="16">
        <f>$W200*AO200+($L200)*Summary_LCIA!AF$32</f>
        <v>2.1078616768996115E-2</v>
      </c>
      <c r="BK200" s="16">
        <f>$W200*AP200+($L200)*Summary_LCIA!AG$32</f>
        <v>5.5477544989961164E-3</v>
      </c>
      <c r="BL200" s="16">
        <f>$W200*AQ200+($L200)*Summary_LCIA!AH$32</f>
        <v>0.80904667270102104</v>
      </c>
      <c r="BM200" s="16">
        <f>$W200*AR200+($L200)*Summary_LCIA!AI$32</f>
        <v>0.28121058945771371</v>
      </c>
      <c r="BN200" s="16"/>
    </row>
    <row r="201" spans="1:66" x14ac:dyDescent="0.25">
      <c r="A201" s="159">
        <v>278</v>
      </c>
      <c r="B201" s="159">
        <v>6</v>
      </c>
      <c r="C201" s="45">
        <v>45.501688999999999</v>
      </c>
      <c r="D201" s="45">
        <v>-73.567256</v>
      </c>
      <c r="E201" s="45" t="s">
        <v>458</v>
      </c>
      <c r="F201" s="159">
        <v>124</v>
      </c>
      <c r="G201" s="45" t="s">
        <v>654</v>
      </c>
      <c r="H201" s="45" t="s">
        <v>655</v>
      </c>
      <c r="I201" s="45">
        <v>45.465685000000001</v>
      </c>
      <c r="J201" s="45">
        <v>-73.745480999999998</v>
      </c>
      <c r="K201" s="45">
        <v>15.92927869</v>
      </c>
      <c r="L201" s="45">
        <v>19.553999999999998</v>
      </c>
      <c r="M201" s="45" t="s">
        <v>617</v>
      </c>
      <c r="N201" s="159">
        <v>5</v>
      </c>
      <c r="O201" s="159">
        <v>6</v>
      </c>
      <c r="P201" s="45" t="s">
        <v>565</v>
      </c>
      <c r="Q201" s="45" t="s">
        <v>564</v>
      </c>
      <c r="R201" s="45">
        <v>41.98028</v>
      </c>
      <c r="S201" s="45">
        <v>-87.908997900000003</v>
      </c>
      <c r="T201" s="45">
        <v>1391.0150000000001</v>
      </c>
      <c r="U201" s="45" t="s">
        <v>617</v>
      </c>
      <c r="V201" s="45" t="s">
        <v>569</v>
      </c>
      <c r="W201" s="45" cm="1">
        <f t="array" ref="W201">getDistance(R201,S201,I201,J201)*SA!$B$12</f>
        <v>1203.4659634467887</v>
      </c>
      <c r="X201" s="22"/>
      <c r="Y201" s="16">
        <f>Transportation_LCIA!C$61*($W201^Transportation_LCIA!C$60)+Transportation_LCIA!C$62</f>
        <v>0.21772846046617148</v>
      </c>
      <c r="Z201" s="16">
        <f>Transportation_LCIA!D$61*($W201^Transportation_LCIA!D$60)+Transportation_LCIA!D$62</f>
        <v>2.2142470940859469</v>
      </c>
      <c r="AA201" s="16">
        <f>Transportation_LCIA!E$61*($W201^Transportation_LCIA!E$60)+Transportation_LCIA!E$62</f>
        <v>1.0055281245420159E-3</v>
      </c>
      <c r="AB201" s="16">
        <f>Transportation_LCIA!F$61*($W201^Transportation_LCIA!F$60)+Transportation_LCIA!F$62</f>
        <v>0.21772846046617148</v>
      </c>
      <c r="AC201" s="16">
        <f>Transportation_LCIA!G$61*($W201^Transportation_LCIA!G$60)+Transportation_LCIA!G$62</f>
        <v>5.1799374019000491E-2</v>
      </c>
      <c r="AD201" s="16">
        <f>Transportation_LCIA!H$61*($W201^Transportation_LCIA!H$60)+Transportation_LCIA!H$62</f>
        <v>2.4634416995171114E-4</v>
      </c>
      <c r="AE201" s="16">
        <f>Transportation_LCIA!I$61*($W201^Transportation_LCIA!I$60)+Transportation_LCIA!I$62</f>
        <v>5.1562528918712568E-6</v>
      </c>
      <c r="AF201" s="16">
        <f>Transportation_LCIA!J$61*($W201^Transportation_LCIA!J$60)+Transportation_LCIA!J$62</f>
        <v>7.6271492112845521E-3</v>
      </c>
      <c r="AG201" s="16">
        <f>Transportation_LCIA!K$61*($W201^Transportation_LCIA!K$60)+Transportation_LCIA!K$62</f>
        <v>1.0918234035860491E-2</v>
      </c>
      <c r="AH201" s="16">
        <f>Transportation_LCIA!L$61*($W201^Transportation_LCIA!L$60)+Transportation_LCIA!L$62</f>
        <v>2.1191432370679968E-4</v>
      </c>
      <c r="AI201" s="16">
        <f>Transportation_LCIA!M$61*($W201^Transportation_LCIA!M$60)+Transportation_LCIA!M$62</f>
        <v>2.2680395572104655E-4</v>
      </c>
      <c r="AJ201" s="16">
        <f>Transportation_LCIA!N$61*($W201^Transportation_LCIA!N$60)+Transportation_LCIA!N$62</f>
        <v>8.8743738884339729E-4</v>
      </c>
      <c r="AK201" s="16">
        <f>Transportation_LCIA!O$61*($W201^Transportation_LCIA!O$60)+Transportation_LCIA!O$62</f>
        <v>5.4708076102495621E-5</v>
      </c>
      <c r="AL201" s="16">
        <f>Transportation_LCIA!P$61*($W201^Transportation_LCIA!P$60)+Transportation_LCIA!P$62</f>
        <v>2.647121982427294E-8</v>
      </c>
      <c r="AM201" s="16">
        <f>Transportation_LCIA!Q$61*($W201^Transportation_LCIA!Q$60)+Transportation_LCIA!Q$62</f>
        <v>8.4025368237848467E-5</v>
      </c>
      <c r="AN201" s="16">
        <f>Transportation_LCIA!R$61*($W201^Transportation_LCIA!R$60)+Transportation_LCIA!R$62</f>
        <v>2.4810392360756592E-4</v>
      </c>
      <c r="AO201" s="16">
        <f>Transportation_LCIA!S$61*($W201^Transportation_LCIA!S$60)+Transportation_LCIA!S$62</f>
        <v>3.7784816746894015E-6</v>
      </c>
      <c r="AP201" s="16">
        <f>Transportation_LCIA!T$61*($W201^Transportation_LCIA!T$60)+Transportation_LCIA!T$62</f>
        <v>3.7784816746894015E-6</v>
      </c>
      <c r="AQ201" s="16">
        <f>Transportation_LCIA!U$61*($W201^Transportation_LCIA!U$60)+Transportation_LCIA!U$62</f>
        <v>5.3084715123251445E-4</v>
      </c>
      <c r="AR201" s="16">
        <f>Transportation_LCIA!V$61*($W201^Transportation_LCIA!V$60)+Transportation_LCIA!V$62</f>
        <v>2.1853136585972262E-4</v>
      </c>
      <c r="AT201" s="16">
        <f>$W201*Y201+($L201)*Summary_LCIA!H$32</f>
        <v>268.67324064470711</v>
      </c>
      <c r="AU201" s="16">
        <f>$W201*Z201+($L201)*Summary_LCIA!Q$32</f>
        <v>2761.6816225602784</v>
      </c>
      <c r="AV201" s="16">
        <f>$W201*AA201+($L201)*Summary_LCIA!R$32</f>
        <v>1.3130824155747995</v>
      </c>
      <c r="AW201" s="16">
        <f>$W201*AB201+($L201)*Summary_LCIA!S$32</f>
        <v>268.58681196470712</v>
      </c>
      <c r="AX201" s="16">
        <f>$W201*AC201+($L201)*Summary_LCIA!T$32</f>
        <v>64.487768159716978</v>
      </c>
      <c r="AY201" s="16">
        <f>$W201*AD201+($L201)*Summary_LCIA!U$32</f>
        <v>0.64675717983043546</v>
      </c>
      <c r="AZ201" s="16">
        <f>$W201*AE201+($L201)*Summary_LCIA!V$32</f>
        <v>7.1392934482911322E-3</v>
      </c>
      <c r="BA201" s="16">
        <f>$W201*AF201+($L201)*Summary_LCIA!W$32</f>
        <v>10.684105407910979</v>
      </c>
      <c r="BB201" s="16">
        <f>$W201*AG201+($L201)*Summary_LCIA!X$32</f>
        <v>13.585163163104365</v>
      </c>
      <c r="BC201" s="16">
        <f>$W201*AH201+($L201)*Summary_LCIA!Y$32</f>
        <v>0.55972210374797826</v>
      </c>
      <c r="BD201" s="16">
        <f>$W201*AI201+($L201)*Summary_LCIA!Z$32</f>
        <v>0.2737527310713721</v>
      </c>
      <c r="BE201" s="16">
        <f>$W201*AJ201+($L201)*Summary_LCIA!AA$32</f>
        <v>1.5247039161631215</v>
      </c>
      <c r="BF201" s="16">
        <f>$W201*AK201+($L201)*Summary_LCIA!AB$32</f>
        <v>6.5412580573010137E-2</v>
      </c>
      <c r="BG201" s="16">
        <f>$W201*AL201+($L201)*Summary_LCIA!AC$32</f>
        <v>3.2813089805430364E-5</v>
      </c>
      <c r="BH201" s="16">
        <f>$W201*AM201+($L201)*Summary_LCIA!AD$32</f>
        <v>0.1091591469003335</v>
      </c>
      <c r="BI201" s="16">
        <f>$W201*AN201+($L201)*Summary_LCIA!AE$32</f>
        <v>0.31591201347930781</v>
      </c>
      <c r="BJ201" s="16">
        <f>$W201*AO201+($L201)*Summary_LCIA!AF$32</f>
        <v>2.1078616768996115E-2</v>
      </c>
      <c r="BK201" s="16">
        <f>$W201*AP201+($L201)*Summary_LCIA!AG$32</f>
        <v>5.5477544989961164E-3</v>
      </c>
      <c r="BL201" s="16">
        <f>$W201*AQ201+($L201)*Summary_LCIA!AH$32</f>
        <v>0.80904667270102104</v>
      </c>
      <c r="BM201" s="16">
        <f>$W201*AR201+($L201)*Summary_LCIA!AI$32</f>
        <v>0.28121058945771371</v>
      </c>
      <c r="BN201" s="16"/>
    </row>
    <row r="202" spans="1:66" x14ac:dyDescent="0.25">
      <c r="A202" s="159">
        <v>279</v>
      </c>
      <c r="B202" s="159">
        <v>6</v>
      </c>
      <c r="C202" s="45">
        <v>45.501688999999999</v>
      </c>
      <c r="D202" s="45">
        <v>-73.567256</v>
      </c>
      <c r="E202" s="45" t="s">
        <v>458</v>
      </c>
      <c r="F202" s="159">
        <v>124</v>
      </c>
      <c r="G202" s="45" t="s">
        <v>654</v>
      </c>
      <c r="H202" s="45" t="s">
        <v>655</v>
      </c>
      <c r="I202" s="45">
        <v>45.465685000000001</v>
      </c>
      <c r="J202" s="45">
        <v>-73.745480999999998</v>
      </c>
      <c r="K202" s="45">
        <v>15.92927869</v>
      </c>
      <c r="L202" s="45">
        <v>19.553999999999998</v>
      </c>
      <c r="M202" s="45" t="s">
        <v>617</v>
      </c>
      <c r="N202" s="159">
        <v>5</v>
      </c>
      <c r="O202" s="159">
        <v>6</v>
      </c>
      <c r="P202" s="45" t="s">
        <v>565</v>
      </c>
      <c r="Q202" s="45" t="s">
        <v>564</v>
      </c>
      <c r="R202" s="45">
        <v>41.98028</v>
      </c>
      <c r="S202" s="45">
        <v>-87.908997900000003</v>
      </c>
      <c r="T202" s="45">
        <v>1391.0150000000001</v>
      </c>
      <c r="U202" s="45" t="s">
        <v>617</v>
      </c>
      <c r="V202" s="45" t="s">
        <v>569</v>
      </c>
      <c r="W202" s="45" cm="1">
        <f t="array" ref="W202">getDistance(R202,S202,I202,J202)*SA!$B$12</f>
        <v>1203.4659634467887</v>
      </c>
      <c r="X202" s="22"/>
      <c r="Y202" s="16">
        <f>Transportation_LCIA!C$61*($W202^Transportation_LCIA!C$60)+Transportation_LCIA!C$62</f>
        <v>0.21772846046617148</v>
      </c>
      <c r="Z202" s="16">
        <f>Transportation_LCIA!D$61*($W202^Transportation_LCIA!D$60)+Transportation_LCIA!D$62</f>
        <v>2.2142470940859469</v>
      </c>
      <c r="AA202" s="16">
        <f>Transportation_LCIA!E$61*($W202^Transportation_LCIA!E$60)+Transportation_LCIA!E$62</f>
        <v>1.0055281245420159E-3</v>
      </c>
      <c r="AB202" s="16">
        <f>Transportation_LCIA!F$61*($W202^Transportation_LCIA!F$60)+Transportation_LCIA!F$62</f>
        <v>0.21772846046617148</v>
      </c>
      <c r="AC202" s="16">
        <f>Transportation_LCIA!G$61*($W202^Transportation_LCIA!G$60)+Transportation_LCIA!G$62</f>
        <v>5.1799374019000491E-2</v>
      </c>
      <c r="AD202" s="16">
        <f>Transportation_LCIA!H$61*($W202^Transportation_LCIA!H$60)+Transportation_LCIA!H$62</f>
        <v>2.4634416995171114E-4</v>
      </c>
      <c r="AE202" s="16">
        <f>Transportation_LCIA!I$61*($W202^Transportation_LCIA!I$60)+Transportation_LCIA!I$62</f>
        <v>5.1562528918712568E-6</v>
      </c>
      <c r="AF202" s="16">
        <f>Transportation_LCIA!J$61*($W202^Transportation_LCIA!J$60)+Transportation_LCIA!J$62</f>
        <v>7.6271492112845521E-3</v>
      </c>
      <c r="AG202" s="16">
        <f>Transportation_LCIA!K$61*($W202^Transportation_LCIA!K$60)+Transportation_LCIA!K$62</f>
        <v>1.0918234035860491E-2</v>
      </c>
      <c r="AH202" s="16">
        <f>Transportation_LCIA!L$61*($W202^Transportation_LCIA!L$60)+Transportation_LCIA!L$62</f>
        <v>2.1191432370679968E-4</v>
      </c>
      <c r="AI202" s="16">
        <f>Transportation_LCIA!M$61*($W202^Transportation_LCIA!M$60)+Transportation_LCIA!M$62</f>
        <v>2.2680395572104655E-4</v>
      </c>
      <c r="AJ202" s="16">
        <f>Transportation_LCIA!N$61*($W202^Transportation_LCIA!N$60)+Transportation_LCIA!N$62</f>
        <v>8.8743738884339729E-4</v>
      </c>
      <c r="AK202" s="16">
        <f>Transportation_LCIA!O$61*($W202^Transportation_LCIA!O$60)+Transportation_LCIA!O$62</f>
        <v>5.4708076102495621E-5</v>
      </c>
      <c r="AL202" s="16">
        <f>Transportation_LCIA!P$61*($W202^Transportation_LCIA!P$60)+Transportation_LCIA!P$62</f>
        <v>2.647121982427294E-8</v>
      </c>
      <c r="AM202" s="16">
        <f>Transportation_LCIA!Q$61*($W202^Transportation_LCIA!Q$60)+Transportation_LCIA!Q$62</f>
        <v>8.4025368237848467E-5</v>
      </c>
      <c r="AN202" s="16">
        <f>Transportation_LCIA!R$61*($W202^Transportation_LCIA!R$60)+Transportation_LCIA!R$62</f>
        <v>2.4810392360756592E-4</v>
      </c>
      <c r="AO202" s="16">
        <f>Transportation_LCIA!S$61*($W202^Transportation_LCIA!S$60)+Transportation_LCIA!S$62</f>
        <v>3.7784816746894015E-6</v>
      </c>
      <c r="AP202" s="16">
        <f>Transportation_LCIA!T$61*($W202^Transportation_LCIA!T$60)+Transportation_LCIA!T$62</f>
        <v>3.7784816746894015E-6</v>
      </c>
      <c r="AQ202" s="16">
        <f>Transportation_LCIA!U$61*($W202^Transportation_LCIA!U$60)+Transportation_LCIA!U$62</f>
        <v>5.3084715123251445E-4</v>
      </c>
      <c r="AR202" s="16">
        <f>Transportation_LCIA!V$61*($W202^Transportation_LCIA!V$60)+Transportation_LCIA!V$62</f>
        <v>2.1853136585972262E-4</v>
      </c>
      <c r="AT202" s="16">
        <f>$W202*Y202+($L202)*Summary_LCIA!H$32</f>
        <v>268.67324064470711</v>
      </c>
      <c r="AU202" s="16">
        <f>$W202*Z202+($L202)*Summary_LCIA!Q$32</f>
        <v>2761.6816225602784</v>
      </c>
      <c r="AV202" s="16">
        <f>$W202*AA202+($L202)*Summary_LCIA!R$32</f>
        <v>1.3130824155747995</v>
      </c>
      <c r="AW202" s="16">
        <f>$W202*AB202+($L202)*Summary_LCIA!S$32</f>
        <v>268.58681196470712</v>
      </c>
      <c r="AX202" s="16">
        <f>$W202*AC202+($L202)*Summary_LCIA!T$32</f>
        <v>64.487768159716978</v>
      </c>
      <c r="AY202" s="16">
        <f>$W202*AD202+($L202)*Summary_LCIA!U$32</f>
        <v>0.64675717983043546</v>
      </c>
      <c r="AZ202" s="16">
        <f>$W202*AE202+($L202)*Summary_LCIA!V$32</f>
        <v>7.1392934482911322E-3</v>
      </c>
      <c r="BA202" s="16">
        <f>$W202*AF202+($L202)*Summary_LCIA!W$32</f>
        <v>10.684105407910979</v>
      </c>
      <c r="BB202" s="16">
        <f>$W202*AG202+($L202)*Summary_LCIA!X$32</f>
        <v>13.585163163104365</v>
      </c>
      <c r="BC202" s="16">
        <f>$W202*AH202+($L202)*Summary_LCIA!Y$32</f>
        <v>0.55972210374797826</v>
      </c>
      <c r="BD202" s="16">
        <f>$W202*AI202+($L202)*Summary_LCIA!Z$32</f>
        <v>0.2737527310713721</v>
      </c>
      <c r="BE202" s="16">
        <f>$W202*AJ202+($L202)*Summary_LCIA!AA$32</f>
        <v>1.5247039161631215</v>
      </c>
      <c r="BF202" s="16">
        <f>$W202*AK202+($L202)*Summary_LCIA!AB$32</f>
        <v>6.5412580573010137E-2</v>
      </c>
      <c r="BG202" s="16">
        <f>$W202*AL202+($L202)*Summary_LCIA!AC$32</f>
        <v>3.2813089805430364E-5</v>
      </c>
      <c r="BH202" s="16">
        <f>$W202*AM202+($L202)*Summary_LCIA!AD$32</f>
        <v>0.1091591469003335</v>
      </c>
      <c r="BI202" s="16">
        <f>$W202*AN202+($L202)*Summary_LCIA!AE$32</f>
        <v>0.31591201347930781</v>
      </c>
      <c r="BJ202" s="16">
        <f>$W202*AO202+($L202)*Summary_LCIA!AF$32</f>
        <v>2.1078616768996115E-2</v>
      </c>
      <c r="BK202" s="16">
        <f>$W202*AP202+($L202)*Summary_LCIA!AG$32</f>
        <v>5.5477544989961164E-3</v>
      </c>
      <c r="BL202" s="16">
        <f>$W202*AQ202+($L202)*Summary_LCIA!AH$32</f>
        <v>0.80904667270102104</v>
      </c>
      <c r="BM202" s="16">
        <f>$W202*AR202+($L202)*Summary_LCIA!AI$32</f>
        <v>0.28121058945771371</v>
      </c>
      <c r="BN202" s="16"/>
    </row>
    <row r="203" spans="1:66" x14ac:dyDescent="0.25">
      <c r="A203" s="159">
        <v>280</v>
      </c>
      <c r="B203" s="159">
        <v>6</v>
      </c>
      <c r="C203" s="45">
        <v>45.501688999999999</v>
      </c>
      <c r="D203" s="45">
        <v>-73.567256</v>
      </c>
      <c r="E203" s="45" t="s">
        <v>458</v>
      </c>
      <c r="F203" s="159">
        <v>124</v>
      </c>
      <c r="G203" s="45" t="s">
        <v>654</v>
      </c>
      <c r="H203" s="45" t="s">
        <v>655</v>
      </c>
      <c r="I203" s="45">
        <v>45.465685000000001</v>
      </c>
      <c r="J203" s="45">
        <v>-73.745480999999998</v>
      </c>
      <c r="K203" s="45">
        <v>15.92927869</v>
      </c>
      <c r="L203" s="45">
        <v>19.553999999999998</v>
      </c>
      <c r="M203" s="45" t="s">
        <v>617</v>
      </c>
      <c r="N203" s="159">
        <v>5</v>
      </c>
      <c r="O203" s="159">
        <v>6</v>
      </c>
      <c r="P203" s="45" t="s">
        <v>565</v>
      </c>
      <c r="Q203" s="45" t="s">
        <v>564</v>
      </c>
      <c r="R203" s="45">
        <v>41.98028</v>
      </c>
      <c r="S203" s="45">
        <v>-87.908997900000003</v>
      </c>
      <c r="T203" s="45">
        <v>1391.0150000000001</v>
      </c>
      <c r="U203" s="45" t="s">
        <v>617</v>
      </c>
      <c r="V203" s="45" t="s">
        <v>569</v>
      </c>
      <c r="W203" s="45" cm="1">
        <f t="array" ref="W203">getDistance(R203,S203,I203,J203)*SA!$B$12</f>
        <v>1203.4659634467887</v>
      </c>
      <c r="X203" s="22"/>
      <c r="Y203" s="16">
        <f>Transportation_LCIA!C$61*($W203^Transportation_LCIA!C$60)+Transportation_LCIA!C$62</f>
        <v>0.21772846046617148</v>
      </c>
      <c r="Z203" s="16">
        <f>Transportation_LCIA!D$61*($W203^Transportation_LCIA!D$60)+Transportation_LCIA!D$62</f>
        <v>2.2142470940859469</v>
      </c>
      <c r="AA203" s="16">
        <f>Transportation_LCIA!E$61*($W203^Transportation_LCIA!E$60)+Transportation_LCIA!E$62</f>
        <v>1.0055281245420159E-3</v>
      </c>
      <c r="AB203" s="16">
        <f>Transportation_LCIA!F$61*($W203^Transportation_LCIA!F$60)+Transportation_LCIA!F$62</f>
        <v>0.21772846046617148</v>
      </c>
      <c r="AC203" s="16">
        <f>Transportation_LCIA!G$61*($W203^Transportation_LCIA!G$60)+Transportation_LCIA!G$62</f>
        <v>5.1799374019000491E-2</v>
      </c>
      <c r="AD203" s="16">
        <f>Transportation_LCIA!H$61*($W203^Transportation_LCIA!H$60)+Transportation_LCIA!H$62</f>
        <v>2.4634416995171114E-4</v>
      </c>
      <c r="AE203" s="16">
        <f>Transportation_LCIA!I$61*($W203^Transportation_LCIA!I$60)+Transportation_LCIA!I$62</f>
        <v>5.1562528918712568E-6</v>
      </c>
      <c r="AF203" s="16">
        <f>Transportation_LCIA!J$61*($W203^Transportation_LCIA!J$60)+Transportation_LCIA!J$62</f>
        <v>7.6271492112845521E-3</v>
      </c>
      <c r="AG203" s="16">
        <f>Transportation_LCIA!K$61*($W203^Transportation_LCIA!K$60)+Transportation_LCIA!K$62</f>
        <v>1.0918234035860491E-2</v>
      </c>
      <c r="AH203" s="16">
        <f>Transportation_LCIA!L$61*($W203^Transportation_LCIA!L$60)+Transportation_LCIA!L$62</f>
        <v>2.1191432370679968E-4</v>
      </c>
      <c r="AI203" s="16">
        <f>Transportation_LCIA!M$61*($W203^Transportation_LCIA!M$60)+Transportation_LCIA!M$62</f>
        <v>2.2680395572104655E-4</v>
      </c>
      <c r="AJ203" s="16">
        <f>Transportation_LCIA!N$61*($W203^Transportation_LCIA!N$60)+Transportation_LCIA!N$62</f>
        <v>8.8743738884339729E-4</v>
      </c>
      <c r="AK203" s="16">
        <f>Transportation_LCIA!O$61*($W203^Transportation_LCIA!O$60)+Transportation_LCIA!O$62</f>
        <v>5.4708076102495621E-5</v>
      </c>
      <c r="AL203" s="16">
        <f>Transportation_LCIA!P$61*($W203^Transportation_LCIA!P$60)+Transportation_LCIA!P$62</f>
        <v>2.647121982427294E-8</v>
      </c>
      <c r="AM203" s="16">
        <f>Transportation_LCIA!Q$61*($W203^Transportation_LCIA!Q$60)+Transportation_LCIA!Q$62</f>
        <v>8.4025368237848467E-5</v>
      </c>
      <c r="AN203" s="16">
        <f>Transportation_LCIA!R$61*($W203^Transportation_LCIA!R$60)+Transportation_LCIA!R$62</f>
        <v>2.4810392360756592E-4</v>
      </c>
      <c r="AO203" s="16">
        <f>Transportation_LCIA!S$61*($W203^Transportation_LCIA!S$60)+Transportation_LCIA!S$62</f>
        <v>3.7784816746894015E-6</v>
      </c>
      <c r="AP203" s="16">
        <f>Transportation_LCIA!T$61*($W203^Transportation_LCIA!T$60)+Transportation_LCIA!T$62</f>
        <v>3.7784816746894015E-6</v>
      </c>
      <c r="AQ203" s="16">
        <f>Transportation_LCIA!U$61*($W203^Transportation_LCIA!U$60)+Transportation_LCIA!U$62</f>
        <v>5.3084715123251445E-4</v>
      </c>
      <c r="AR203" s="16">
        <f>Transportation_LCIA!V$61*($W203^Transportation_LCIA!V$60)+Transportation_LCIA!V$62</f>
        <v>2.1853136585972262E-4</v>
      </c>
      <c r="AT203" s="16">
        <f>$W203*Y203+($L203)*Summary_LCIA!H$32</f>
        <v>268.67324064470711</v>
      </c>
      <c r="AU203" s="16">
        <f>$W203*Z203+($L203)*Summary_LCIA!Q$32</f>
        <v>2761.6816225602784</v>
      </c>
      <c r="AV203" s="16">
        <f>$W203*AA203+($L203)*Summary_LCIA!R$32</f>
        <v>1.3130824155747995</v>
      </c>
      <c r="AW203" s="16">
        <f>$W203*AB203+($L203)*Summary_LCIA!S$32</f>
        <v>268.58681196470712</v>
      </c>
      <c r="AX203" s="16">
        <f>$W203*AC203+($L203)*Summary_LCIA!T$32</f>
        <v>64.487768159716978</v>
      </c>
      <c r="AY203" s="16">
        <f>$W203*AD203+($L203)*Summary_LCIA!U$32</f>
        <v>0.64675717983043546</v>
      </c>
      <c r="AZ203" s="16">
        <f>$W203*AE203+($L203)*Summary_LCIA!V$32</f>
        <v>7.1392934482911322E-3</v>
      </c>
      <c r="BA203" s="16">
        <f>$W203*AF203+($L203)*Summary_LCIA!W$32</f>
        <v>10.684105407910979</v>
      </c>
      <c r="BB203" s="16">
        <f>$W203*AG203+($L203)*Summary_LCIA!X$32</f>
        <v>13.585163163104365</v>
      </c>
      <c r="BC203" s="16">
        <f>$W203*AH203+($L203)*Summary_LCIA!Y$32</f>
        <v>0.55972210374797826</v>
      </c>
      <c r="BD203" s="16">
        <f>$W203*AI203+($L203)*Summary_LCIA!Z$32</f>
        <v>0.2737527310713721</v>
      </c>
      <c r="BE203" s="16">
        <f>$W203*AJ203+($L203)*Summary_LCIA!AA$32</f>
        <v>1.5247039161631215</v>
      </c>
      <c r="BF203" s="16">
        <f>$W203*AK203+($L203)*Summary_LCIA!AB$32</f>
        <v>6.5412580573010137E-2</v>
      </c>
      <c r="BG203" s="16">
        <f>$W203*AL203+($L203)*Summary_LCIA!AC$32</f>
        <v>3.2813089805430364E-5</v>
      </c>
      <c r="BH203" s="16">
        <f>$W203*AM203+($L203)*Summary_LCIA!AD$32</f>
        <v>0.1091591469003335</v>
      </c>
      <c r="BI203" s="16">
        <f>$W203*AN203+($L203)*Summary_LCIA!AE$32</f>
        <v>0.31591201347930781</v>
      </c>
      <c r="BJ203" s="16">
        <f>$W203*AO203+($L203)*Summary_LCIA!AF$32</f>
        <v>2.1078616768996115E-2</v>
      </c>
      <c r="BK203" s="16">
        <f>$W203*AP203+($L203)*Summary_LCIA!AG$32</f>
        <v>5.5477544989961164E-3</v>
      </c>
      <c r="BL203" s="16">
        <f>$W203*AQ203+($L203)*Summary_LCIA!AH$32</f>
        <v>0.80904667270102104</v>
      </c>
      <c r="BM203" s="16">
        <f>$W203*AR203+($L203)*Summary_LCIA!AI$32</f>
        <v>0.28121058945771371</v>
      </c>
      <c r="BN203" s="16"/>
    </row>
    <row r="204" spans="1:66" x14ac:dyDescent="0.25">
      <c r="A204" s="159">
        <v>58</v>
      </c>
      <c r="B204" s="159">
        <v>6</v>
      </c>
      <c r="C204" s="45">
        <v>45.504741000000003</v>
      </c>
      <c r="D204" s="45">
        <v>-73.614750999999998</v>
      </c>
      <c r="E204" s="45" t="s">
        <v>458</v>
      </c>
      <c r="F204" s="159">
        <v>124</v>
      </c>
      <c r="G204" s="45" t="s">
        <v>654</v>
      </c>
      <c r="H204" s="45" t="s">
        <v>655</v>
      </c>
      <c r="I204" s="45">
        <v>45.465685000000001</v>
      </c>
      <c r="J204" s="45">
        <v>-73.745480999999998</v>
      </c>
      <c r="K204" s="45">
        <v>12.713174800000001</v>
      </c>
      <c r="L204" s="45">
        <v>14.117000000000001</v>
      </c>
      <c r="M204" s="45" t="s">
        <v>617</v>
      </c>
      <c r="N204" s="159">
        <v>5</v>
      </c>
      <c r="O204" s="159">
        <v>6</v>
      </c>
      <c r="P204" s="45" t="s">
        <v>565</v>
      </c>
      <c r="Q204" s="45" t="s">
        <v>564</v>
      </c>
      <c r="R204" s="45">
        <v>41.98028</v>
      </c>
      <c r="S204" s="45">
        <v>-87.908997900000003</v>
      </c>
      <c r="T204" s="45">
        <v>1391.5350000000001</v>
      </c>
      <c r="U204" s="45" t="s">
        <v>617</v>
      </c>
      <c r="V204" s="45" t="s">
        <v>569</v>
      </c>
      <c r="W204" s="45" cm="1">
        <f t="array" ref="W204">getDistance(R204,S204,I204,J204)*SA!$B$12</f>
        <v>1203.4659634467887</v>
      </c>
      <c r="X204" s="22"/>
      <c r="Y204" s="16">
        <f>Transportation_LCIA!C$61*($W204^Transportation_LCIA!C$60)+Transportation_LCIA!C$62</f>
        <v>0.21772846046617148</v>
      </c>
      <c r="Z204" s="16">
        <f>Transportation_LCIA!D$61*($W204^Transportation_LCIA!D$60)+Transportation_LCIA!D$62</f>
        <v>2.2142470940859469</v>
      </c>
      <c r="AA204" s="16">
        <f>Transportation_LCIA!E$61*($W204^Transportation_LCIA!E$60)+Transportation_LCIA!E$62</f>
        <v>1.0055281245420159E-3</v>
      </c>
      <c r="AB204" s="16">
        <f>Transportation_LCIA!F$61*($W204^Transportation_LCIA!F$60)+Transportation_LCIA!F$62</f>
        <v>0.21772846046617148</v>
      </c>
      <c r="AC204" s="16">
        <f>Transportation_LCIA!G$61*($W204^Transportation_LCIA!G$60)+Transportation_LCIA!G$62</f>
        <v>5.1799374019000491E-2</v>
      </c>
      <c r="AD204" s="16">
        <f>Transportation_LCIA!H$61*($W204^Transportation_LCIA!H$60)+Transportation_LCIA!H$62</f>
        <v>2.4634416995171114E-4</v>
      </c>
      <c r="AE204" s="16">
        <f>Transportation_LCIA!I$61*($W204^Transportation_LCIA!I$60)+Transportation_LCIA!I$62</f>
        <v>5.1562528918712568E-6</v>
      </c>
      <c r="AF204" s="16">
        <f>Transportation_LCIA!J$61*($W204^Transportation_LCIA!J$60)+Transportation_LCIA!J$62</f>
        <v>7.6271492112845521E-3</v>
      </c>
      <c r="AG204" s="16">
        <f>Transportation_LCIA!K$61*($W204^Transportation_LCIA!K$60)+Transportation_LCIA!K$62</f>
        <v>1.0918234035860491E-2</v>
      </c>
      <c r="AH204" s="16">
        <f>Transportation_LCIA!L$61*($W204^Transportation_LCIA!L$60)+Transportation_LCIA!L$62</f>
        <v>2.1191432370679968E-4</v>
      </c>
      <c r="AI204" s="16">
        <f>Transportation_LCIA!M$61*($W204^Transportation_LCIA!M$60)+Transportation_LCIA!M$62</f>
        <v>2.2680395572104655E-4</v>
      </c>
      <c r="AJ204" s="16">
        <f>Transportation_LCIA!N$61*($W204^Transportation_LCIA!N$60)+Transportation_LCIA!N$62</f>
        <v>8.8743738884339729E-4</v>
      </c>
      <c r="AK204" s="16">
        <f>Transportation_LCIA!O$61*($W204^Transportation_LCIA!O$60)+Transportation_LCIA!O$62</f>
        <v>5.4708076102495621E-5</v>
      </c>
      <c r="AL204" s="16">
        <f>Transportation_LCIA!P$61*($W204^Transportation_LCIA!P$60)+Transportation_LCIA!P$62</f>
        <v>2.647121982427294E-8</v>
      </c>
      <c r="AM204" s="16">
        <f>Transportation_LCIA!Q$61*($W204^Transportation_LCIA!Q$60)+Transportation_LCIA!Q$62</f>
        <v>8.4025368237848467E-5</v>
      </c>
      <c r="AN204" s="16">
        <f>Transportation_LCIA!R$61*($W204^Transportation_LCIA!R$60)+Transportation_LCIA!R$62</f>
        <v>2.4810392360756592E-4</v>
      </c>
      <c r="AO204" s="16">
        <f>Transportation_LCIA!S$61*($W204^Transportation_LCIA!S$60)+Transportation_LCIA!S$62</f>
        <v>3.7784816746894015E-6</v>
      </c>
      <c r="AP204" s="16">
        <f>Transportation_LCIA!T$61*($W204^Transportation_LCIA!T$60)+Transportation_LCIA!T$62</f>
        <v>3.7784816746894015E-6</v>
      </c>
      <c r="AQ204" s="16">
        <f>Transportation_LCIA!U$61*($W204^Transportation_LCIA!U$60)+Transportation_LCIA!U$62</f>
        <v>5.3084715123251445E-4</v>
      </c>
      <c r="AR204" s="16">
        <f>Transportation_LCIA!V$61*($W204^Transportation_LCIA!V$60)+Transportation_LCIA!V$62</f>
        <v>2.1853136585972262E-4</v>
      </c>
      <c r="AT204" s="16">
        <f>$W204*Y204+($L204)*Summary_LCIA!H$32</f>
        <v>266.8257480447071</v>
      </c>
      <c r="AU204" s="16">
        <f>$W204*Z204+($L204)*Summary_LCIA!Q$32</f>
        <v>2734.7355763560572</v>
      </c>
      <c r="AV204" s="16">
        <f>$W204*AA204+($L204)*Summary_LCIA!R$32</f>
        <v>1.2844533483747995</v>
      </c>
      <c r="AW204" s="16">
        <f>$W204*AB204+($L204)*Summary_LCIA!S$32</f>
        <v>266.76335090470712</v>
      </c>
      <c r="AX204" s="16">
        <f>$W204*AC204+($L204)*Summary_LCIA!T$32</f>
        <v>63.89024185971698</v>
      </c>
      <c r="AY204" s="16">
        <f>$W204*AD204+($L204)*Summary_LCIA!U$32</f>
        <v>0.54935876183043542</v>
      </c>
      <c r="AZ204" s="16">
        <f>$W204*AE204+($L204)*Summary_LCIA!V$32</f>
        <v>6.8796168912911319E-3</v>
      </c>
      <c r="BA204" s="16">
        <f>$W204*AF204+($L204)*Summary_LCIA!W$32</f>
        <v>10.265614080910979</v>
      </c>
      <c r="BB204" s="16">
        <f>$W204*AG204+($L204)*Summary_LCIA!X$32</f>
        <v>13.461308303104365</v>
      </c>
      <c r="BC204" s="16">
        <f>$W204*AH204+($L204)*Summary_LCIA!Y$32</f>
        <v>0.47500276974797828</v>
      </c>
      <c r="BD204" s="16">
        <f>$W204*AI204+($L204)*Summary_LCIA!Z$32</f>
        <v>0.27352976513837207</v>
      </c>
      <c r="BE204" s="16">
        <f>$W204*AJ204+($L204)*Summary_LCIA!AA$32</f>
        <v>1.3977173441631217</v>
      </c>
      <c r="BF204" s="16">
        <f>$W204*AK204+($L204)*Summary_LCIA!AB$32</f>
        <v>6.5531232224010125E-2</v>
      </c>
      <c r="BG204" s="16">
        <f>$W204*AL204+($L204)*Summary_LCIA!AC$32</f>
        <v>3.2547307497430363E-5</v>
      </c>
      <c r="BH204" s="16">
        <f>$W204*AM204+($L204)*Summary_LCIA!AD$32</f>
        <v>0.10692432242033351</v>
      </c>
      <c r="BI204" s="16">
        <f>$W204*AN204+($L204)*Summary_LCIA!AE$32</f>
        <v>0.3110941246693078</v>
      </c>
      <c r="BJ204" s="16">
        <f>$W204*AO204+($L204)*Summary_LCIA!AF$32</f>
        <v>1.6482068228996116E-2</v>
      </c>
      <c r="BK204" s="16">
        <f>$W204*AP204+($L204)*Summary_LCIA!AG$32</f>
        <v>5.2695703939961164E-3</v>
      </c>
      <c r="BL204" s="16">
        <f>$W204*AQ204+($L204)*Summary_LCIA!AH$32</f>
        <v>0.76172519950102113</v>
      </c>
      <c r="BM204" s="16">
        <f>$W204*AR204+($L204)*Summary_LCIA!AI$32</f>
        <v>0.27614575210771375</v>
      </c>
      <c r="BN204" s="16"/>
    </row>
    <row r="205" spans="1:66" x14ac:dyDescent="0.25">
      <c r="A205" s="159">
        <v>59</v>
      </c>
      <c r="B205" s="159">
        <v>6</v>
      </c>
      <c r="C205" s="45">
        <v>45.504741000000003</v>
      </c>
      <c r="D205" s="45">
        <v>-73.614750999999998</v>
      </c>
      <c r="E205" s="45" t="s">
        <v>458</v>
      </c>
      <c r="F205" s="159">
        <v>124</v>
      </c>
      <c r="G205" s="45" t="s">
        <v>654</v>
      </c>
      <c r="H205" s="45" t="s">
        <v>655</v>
      </c>
      <c r="I205" s="45">
        <v>45.465685000000001</v>
      </c>
      <c r="J205" s="45">
        <v>-73.745480999999998</v>
      </c>
      <c r="K205" s="45">
        <v>12.713174800000001</v>
      </c>
      <c r="L205" s="45">
        <v>14.117000000000001</v>
      </c>
      <c r="M205" s="45" t="s">
        <v>617</v>
      </c>
      <c r="N205" s="159">
        <v>5</v>
      </c>
      <c r="O205" s="159">
        <v>6</v>
      </c>
      <c r="P205" s="45" t="s">
        <v>565</v>
      </c>
      <c r="Q205" s="45" t="s">
        <v>564</v>
      </c>
      <c r="R205" s="45">
        <v>41.98028</v>
      </c>
      <c r="S205" s="45">
        <v>-87.908997900000003</v>
      </c>
      <c r="T205" s="45">
        <v>1391.5350000000001</v>
      </c>
      <c r="U205" s="45" t="s">
        <v>617</v>
      </c>
      <c r="V205" s="45" t="s">
        <v>569</v>
      </c>
      <c r="W205" s="45" cm="1">
        <f t="array" ref="W205">getDistance(R205,S205,I205,J205)*SA!$B$12</f>
        <v>1203.4659634467887</v>
      </c>
      <c r="X205" s="22"/>
      <c r="Y205" s="16">
        <f>Transportation_LCIA!C$61*($W205^Transportation_LCIA!C$60)+Transportation_LCIA!C$62</f>
        <v>0.21772846046617148</v>
      </c>
      <c r="Z205" s="16">
        <f>Transportation_LCIA!D$61*($W205^Transportation_LCIA!D$60)+Transportation_LCIA!D$62</f>
        <v>2.2142470940859469</v>
      </c>
      <c r="AA205" s="16">
        <f>Transportation_LCIA!E$61*($W205^Transportation_LCIA!E$60)+Transportation_LCIA!E$62</f>
        <v>1.0055281245420159E-3</v>
      </c>
      <c r="AB205" s="16">
        <f>Transportation_LCIA!F$61*($W205^Transportation_LCIA!F$60)+Transportation_LCIA!F$62</f>
        <v>0.21772846046617148</v>
      </c>
      <c r="AC205" s="16">
        <f>Transportation_LCIA!G$61*($W205^Transportation_LCIA!G$60)+Transportation_LCIA!G$62</f>
        <v>5.1799374019000491E-2</v>
      </c>
      <c r="AD205" s="16">
        <f>Transportation_LCIA!H$61*($W205^Transportation_LCIA!H$60)+Transportation_LCIA!H$62</f>
        <v>2.4634416995171114E-4</v>
      </c>
      <c r="AE205" s="16">
        <f>Transportation_LCIA!I$61*($W205^Transportation_LCIA!I$60)+Transportation_LCIA!I$62</f>
        <v>5.1562528918712568E-6</v>
      </c>
      <c r="AF205" s="16">
        <f>Transportation_LCIA!J$61*($W205^Transportation_LCIA!J$60)+Transportation_LCIA!J$62</f>
        <v>7.6271492112845521E-3</v>
      </c>
      <c r="AG205" s="16">
        <f>Transportation_LCIA!K$61*($W205^Transportation_LCIA!K$60)+Transportation_LCIA!K$62</f>
        <v>1.0918234035860491E-2</v>
      </c>
      <c r="AH205" s="16">
        <f>Transportation_LCIA!L$61*($W205^Transportation_LCIA!L$60)+Transportation_LCIA!L$62</f>
        <v>2.1191432370679968E-4</v>
      </c>
      <c r="AI205" s="16">
        <f>Transportation_LCIA!M$61*($W205^Transportation_LCIA!M$60)+Transportation_LCIA!M$62</f>
        <v>2.2680395572104655E-4</v>
      </c>
      <c r="AJ205" s="16">
        <f>Transportation_LCIA!N$61*($W205^Transportation_LCIA!N$60)+Transportation_LCIA!N$62</f>
        <v>8.8743738884339729E-4</v>
      </c>
      <c r="AK205" s="16">
        <f>Transportation_LCIA!O$61*($W205^Transportation_LCIA!O$60)+Transportation_LCIA!O$62</f>
        <v>5.4708076102495621E-5</v>
      </c>
      <c r="AL205" s="16">
        <f>Transportation_LCIA!P$61*($W205^Transportation_LCIA!P$60)+Transportation_LCIA!P$62</f>
        <v>2.647121982427294E-8</v>
      </c>
      <c r="AM205" s="16">
        <f>Transportation_LCIA!Q$61*($W205^Transportation_LCIA!Q$60)+Transportation_LCIA!Q$62</f>
        <v>8.4025368237848467E-5</v>
      </c>
      <c r="AN205" s="16">
        <f>Transportation_LCIA!R$61*($W205^Transportation_LCIA!R$60)+Transportation_LCIA!R$62</f>
        <v>2.4810392360756592E-4</v>
      </c>
      <c r="AO205" s="16">
        <f>Transportation_LCIA!S$61*($W205^Transportation_LCIA!S$60)+Transportation_LCIA!S$62</f>
        <v>3.7784816746894015E-6</v>
      </c>
      <c r="AP205" s="16">
        <f>Transportation_LCIA!T$61*($W205^Transportation_LCIA!T$60)+Transportation_LCIA!T$62</f>
        <v>3.7784816746894015E-6</v>
      </c>
      <c r="AQ205" s="16">
        <f>Transportation_LCIA!U$61*($W205^Transportation_LCIA!U$60)+Transportation_LCIA!U$62</f>
        <v>5.3084715123251445E-4</v>
      </c>
      <c r="AR205" s="16">
        <f>Transportation_LCIA!V$61*($W205^Transportation_LCIA!V$60)+Transportation_LCIA!V$62</f>
        <v>2.1853136585972262E-4</v>
      </c>
      <c r="AT205" s="16">
        <f>$W205*Y205+($L205)*Summary_LCIA!H$32</f>
        <v>266.8257480447071</v>
      </c>
      <c r="AU205" s="16">
        <f>$W205*Z205+($L205)*Summary_LCIA!Q$32</f>
        <v>2734.7355763560572</v>
      </c>
      <c r="AV205" s="16">
        <f>$W205*AA205+($L205)*Summary_LCIA!R$32</f>
        <v>1.2844533483747995</v>
      </c>
      <c r="AW205" s="16">
        <f>$W205*AB205+($L205)*Summary_LCIA!S$32</f>
        <v>266.76335090470712</v>
      </c>
      <c r="AX205" s="16">
        <f>$W205*AC205+($L205)*Summary_LCIA!T$32</f>
        <v>63.89024185971698</v>
      </c>
      <c r="AY205" s="16">
        <f>$W205*AD205+($L205)*Summary_LCIA!U$32</f>
        <v>0.54935876183043542</v>
      </c>
      <c r="AZ205" s="16">
        <f>$W205*AE205+($L205)*Summary_LCIA!V$32</f>
        <v>6.8796168912911319E-3</v>
      </c>
      <c r="BA205" s="16">
        <f>$W205*AF205+($L205)*Summary_LCIA!W$32</f>
        <v>10.265614080910979</v>
      </c>
      <c r="BB205" s="16">
        <f>$W205*AG205+($L205)*Summary_LCIA!X$32</f>
        <v>13.461308303104365</v>
      </c>
      <c r="BC205" s="16">
        <f>$W205*AH205+($L205)*Summary_LCIA!Y$32</f>
        <v>0.47500276974797828</v>
      </c>
      <c r="BD205" s="16">
        <f>$W205*AI205+($L205)*Summary_LCIA!Z$32</f>
        <v>0.27352976513837207</v>
      </c>
      <c r="BE205" s="16">
        <f>$W205*AJ205+($L205)*Summary_LCIA!AA$32</f>
        <v>1.3977173441631217</v>
      </c>
      <c r="BF205" s="16">
        <f>$W205*AK205+($L205)*Summary_LCIA!AB$32</f>
        <v>6.5531232224010125E-2</v>
      </c>
      <c r="BG205" s="16">
        <f>$W205*AL205+($L205)*Summary_LCIA!AC$32</f>
        <v>3.2547307497430363E-5</v>
      </c>
      <c r="BH205" s="16">
        <f>$W205*AM205+($L205)*Summary_LCIA!AD$32</f>
        <v>0.10692432242033351</v>
      </c>
      <c r="BI205" s="16">
        <f>$W205*AN205+($L205)*Summary_LCIA!AE$32</f>
        <v>0.3110941246693078</v>
      </c>
      <c r="BJ205" s="16">
        <f>$W205*AO205+($L205)*Summary_LCIA!AF$32</f>
        <v>1.6482068228996116E-2</v>
      </c>
      <c r="BK205" s="16">
        <f>$W205*AP205+($L205)*Summary_LCIA!AG$32</f>
        <v>5.2695703939961164E-3</v>
      </c>
      <c r="BL205" s="16">
        <f>$W205*AQ205+($L205)*Summary_LCIA!AH$32</f>
        <v>0.76172519950102113</v>
      </c>
      <c r="BM205" s="16">
        <f>$W205*AR205+($L205)*Summary_LCIA!AI$32</f>
        <v>0.27614575210771375</v>
      </c>
      <c r="BN205" s="16"/>
    </row>
    <row r="206" spans="1:66" x14ac:dyDescent="0.25">
      <c r="A206" s="159">
        <v>60</v>
      </c>
      <c r="B206" s="159">
        <v>6</v>
      </c>
      <c r="C206" s="45">
        <v>45.504741000000003</v>
      </c>
      <c r="D206" s="45">
        <v>-73.614750999999998</v>
      </c>
      <c r="E206" s="45" t="s">
        <v>458</v>
      </c>
      <c r="F206" s="159">
        <v>124</v>
      </c>
      <c r="G206" s="45" t="s">
        <v>654</v>
      </c>
      <c r="H206" s="45" t="s">
        <v>655</v>
      </c>
      <c r="I206" s="45">
        <v>45.465685000000001</v>
      </c>
      <c r="J206" s="45">
        <v>-73.745480999999998</v>
      </c>
      <c r="K206" s="45">
        <v>12.713174800000001</v>
      </c>
      <c r="L206" s="45">
        <v>14.117000000000001</v>
      </c>
      <c r="M206" s="45" t="s">
        <v>617</v>
      </c>
      <c r="N206" s="159">
        <v>5</v>
      </c>
      <c r="O206" s="159">
        <v>6</v>
      </c>
      <c r="P206" s="45" t="s">
        <v>565</v>
      </c>
      <c r="Q206" s="45" t="s">
        <v>564</v>
      </c>
      <c r="R206" s="45">
        <v>41.98028</v>
      </c>
      <c r="S206" s="45">
        <v>-87.908997900000003</v>
      </c>
      <c r="T206" s="45">
        <v>1391.5350000000001</v>
      </c>
      <c r="U206" s="45" t="s">
        <v>617</v>
      </c>
      <c r="V206" s="45" t="s">
        <v>569</v>
      </c>
      <c r="W206" s="45" cm="1">
        <f t="array" ref="W206">getDistance(R206,S206,I206,J206)*SA!$B$12</f>
        <v>1203.4659634467887</v>
      </c>
      <c r="X206" s="22"/>
      <c r="Y206" s="16">
        <f>Transportation_LCIA!C$61*($W206^Transportation_LCIA!C$60)+Transportation_LCIA!C$62</f>
        <v>0.21772846046617148</v>
      </c>
      <c r="Z206" s="16">
        <f>Transportation_LCIA!D$61*($W206^Transportation_LCIA!D$60)+Transportation_LCIA!D$62</f>
        <v>2.2142470940859469</v>
      </c>
      <c r="AA206" s="16">
        <f>Transportation_LCIA!E$61*($W206^Transportation_LCIA!E$60)+Transportation_LCIA!E$62</f>
        <v>1.0055281245420159E-3</v>
      </c>
      <c r="AB206" s="16">
        <f>Transportation_LCIA!F$61*($W206^Transportation_LCIA!F$60)+Transportation_LCIA!F$62</f>
        <v>0.21772846046617148</v>
      </c>
      <c r="AC206" s="16">
        <f>Transportation_LCIA!G$61*($W206^Transportation_LCIA!G$60)+Transportation_LCIA!G$62</f>
        <v>5.1799374019000491E-2</v>
      </c>
      <c r="AD206" s="16">
        <f>Transportation_LCIA!H$61*($W206^Transportation_LCIA!H$60)+Transportation_LCIA!H$62</f>
        <v>2.4634416995171114E-4</v>
      </c>
      <c r="AE206" s="16">
        <f>Transportation_LCIA!I$61*($W206^Transportation_LCIA!I$60)+Transportation_LCIA!I$62</f>
        <v>5.1562528918712568E-6</v>
      </c>
      <c r="AF206" s="16">
        <f>Transportation_LCIA!J$61*($W206^Transportation_LCIA!J$60)+Transportation_LCIA!J$62</f>
        <v>7.6271492112845521E-3</v>
      </c>
      <c r="AG206" s="16">
        <f>Transportation_LCIA!K$61*($W206^Transportation_LCIA!K$60)+Transportation_LCIA!K$62</f>
        <v>1.0918234035860491E-2</v>
      </c>
      <c r="AH206" s="16">
        <f>Transportation_LCIA!L$61*($W206^Transportation_LCIA!L$60)+Transportation_LCIA!L$62</f>
        <v>2.1191432370679968E-4</v>
      </c>
      <c r="AI206" s="16">
        <f>Transportation_LCIA!M$61*($W206^Transportation_LCIA!M$60)+Transportation_LCIA!M$62</f>
        <v>2.2680395572104655E-4</v>
      </c>
      <c r="AJ206" s="16">
        <f>Transportation_LCIA!N$61*($W206^Transportation_LCIA!N$60)+Transportation_LCIA!N$62</f>
        <v>8.8743738884339729E-4</v>
      </c>
      <c r="AK206" s="16">
        <f>Transportation_LCIA!O$61*($W206^Transportation_LCIA!O$60)+Transportation_LCIA!O$62</f>
        <v>5.4708076102495621E-5</v>
      </c>
      <c r="AL206" s="16">
        <f>Transportation_LCIA!P$61*($W206^Transportation_LCIA!P$60)+Transportation_LCIA!P$62</f>
        <v>2.647121982427294E-8</v>
      </c>
      <c r="AM206" s="16">
        <f>Transportation_LCIA!Q$61*($W206^Transportation_LCIA!Q$60)+Transportation_LCIA!Q$62</f>
        <v>8.4025368237848467E-5</v>
      </c>
      <c r="AN206" s="16">
        <f>Transportation_LCIA!R$61*($W206^Transportation_LCIA!R$60)+Transportation_LCIA!R$62</f>
        <v>2.4810392360756592E-4</v>
      </c>
      <c r="AO206" s="16">
        <f>Transportation_LCIA!S$61*($W206^Transportation_LCIA!S$60)+Transportation_LCIA!S$62</f>
        <v>3.7784816746894015E-6</v>
      </c>
      <c r="AP206" s="16">
        <f>Transportation_LCIA!T$61*($W206^Transportation_LCIA!T$60)+Transportation_LCIA!T$62</f>
        <v>3.7784816746894015E-6</v>
      </c>
      <c r="AQ206" s="16">
        <f>Transportation_LCIA!U$61*($W206^Transportation_LCIA!U$60)+Transportation_LCIA!U$62</f>
        <v>5.3084715123251445E-4</v>
      </c>
      <c r="AR206" s="16">
        <f>Transportation_LCIA!V$61*($W206^Transportation_LCIA!V$60)+Transportation_LCIA!V$62</f>
        <v>2.1853136585972262E-4</v>
      </c>
      <c r="AT206" s="16">
        <f>$W206*Y206+($L206)*Summary_LCIA!H$32</f>
        <v>266.8257480447071</v>
      </c>
      <c r="AU206" s="16">
        <f>$W206*Z206+($L206)*Summary_LCIA!Q$32</f>
        <v>2734.7355763560572</v>
      </c>
      <c r="AV206" s="16">
        <f>$W206*AA206+($L206)*Summary_LCIA!R$32</f>
        <v>1.2844533483747995</v>
      </c>
      <c r="AW206" s="16">
        <f>$W206*AB206+($L206)*Summary_LCIA!S$32</f>
        <v>266.76335090470712</v>
      </c>
      <c r="AX206" s="16">
        <f>$W206*AC206+($L206)*Summary_LCIA!T$32</f>
        <v>63.89024185971698</v>
      </c>
      <c r="AY206" s="16">
        <f>$W206*AD206+($L206)*Summary_LCIA!U$32</f>
        <v>0.54935876183043542</v>
      </c>
      <c r="AZ206" s="16">
        <f>$W206*AE206+($L206)*Summary_LCIA!V$32</f>
        <v>6.8796168912911319E-3</v>
      </c>
      <c r="BA206" s="16">
        <f>$W206*AF206+($L206)*Summary_LCIA!W$32</f>
        <v>10.265614080910979</v>
      </c>
      <c r="BB206" s="16">
        <f>$W206*AG206+($L206)*Summary_LCIA!X$32</f>
        <v>13.461308303104365</v>
      </c>
      <c r="BC206" s="16">
        <f>$W206*AH206+($L206)*Summary_LCIA!Y$32</f>
        <v>0.47500276974797828</v>
      </c>
      <c r="BD206" s="16">
        <f>$W206*AI206+($L206)*Summary_LCIA!Z$32</f>
        <v>0.27352976513837207</v>
      </c>
      <c r="BE206" s="16">
        <f>$W206*AJ206+($L206)*Summary_LCIA!AA$32</f>
        <v>1.3977173441631217</v>
      </c>
      <c r="BF206" s="16">
        <f>$W206*AK206+($L206)*Summary_LCIA!AB$32</f>
        <v>6.5531232224010125E-2</v>
      </c>
      <c r="BG206" s="16">
        <f>$W206*AL206+($L206)*Summary_LCIA!AC$32</f>
        <v>3.2547307497430363E-5</v>
      </c>
      <c r="BH206" s="16">
        <f>$W206*AM206+($L206)*Summary_LCIA!AD$32</f>
        <v>0.10692432242033351</v>
      </c>
      <c r="BI206" s="16">
        <f>$W206*AN206+($L206)*Summary_LCIA!AE$32</f>
        <v>0.3110941246693078</v>
      </c>
      <c r="BJ206" s="16">
        <f>$W206*AO206+($L206)*Summary_LCIA!AF$32</f>
        <v>1.6482068228996116E-2</v>
      </c>
      <c r="BK206" s="16">
        <f>$W206*AP206+($L206)*Summary_LCIA!AG$32</f>
        <v>5.2695703939961164E-3</v>
      </c>
      <c r="BL206" s="16">
        <f>$W206*AQ206+($L206)*Summary_LCIA!AH$32</f>
        <v>0.76172519950102113</v>
      </c>
      <c r="BM206" s="16">
        <f>$W206*AR206+($L206)*Summary_LCIA!AI$32</f>
        <v>0.27614575210771375</v>
      </c>
      <c r="BN206" s="16"/>
    </row>
    <row r="207" spans="1:66" x14ac:dyDescent="0.25">
      <c r="A207" s="159">
        <v>61</v>
      </c>
      <c r="B207" s="159">
        <v>6</v>
      </c>
      <c r="C207" s="45">
        <v>45.504741000000003</v>
      </c>
      <c r="D207" s="45">
        <v>-73.614750999999998</v>
      </c>
      <c r="E207" s="45" t="s">
        <v>458</v>
      </c>
      <c r="F207" s="159">
        <v>124</v>
      </c>
      <c r="G207" s="45" t="s">
        <v>654</v>
      </c>
      <c r="H207" s="45" t="s">
        <v>655</v>
      </c>
      <c r="I207" s="45">
        <v>45.465685000000001</v>
      </c>
      <c r="J207" s="45">
        <v>-73.745480999999998</v>
      </c>
      <c r="K207" s="45">
        <v>12.713174800000001</v>
      </c>
      <c r="L207" s="45">
        <v>14.117000000000001</v>
      </c>
      <c r="M207" s="45" t="s">
        <v>617</v>
      </c>
      <c r="N207" s="159">
        <v>5</v>
      </c>
      <c r="O207" s="159">
        <v>6</v>
      </c>
      <c r="P207" s="45" t="s">
        <v>565</v>
      </c>
      <c r="Q207" s="45" t="s">
        <v>564</v>
      </c>
      <c r="R207" s="45">
        <v>41.98028</v>
      </c>
      <c r="S207" s="45">
        <v>-87.908997900000003</v>
      </c>
      <c r="T207" s="45">
        <v>1391.5350000000001</v>
      </c>
      <c r="U207" s="45" t="s">
        <v>617</v>
      </c>
      <c r="V207" s="45" t="s">
        <v>569</v>
      </c>
      <c r="W207" s="45" cm="1">
        <f t="array" ref="W207">getDistance(R207,S207,I207,J207)*SA!$B$12</f>
        <v>1203.4659634467887</v>
      </c>
      <c r="X207" s="22"/>
      <c r="Y207" s="16">
        <f>Transportation_LCIA!C$61*($W207^Transportation_LCIA!C$60)+Transportation_LCIA!C$62</f>
        <v>0.21772846046617148</v>
      </c>
      <c r="Z207" s="16">
        <f>Transportation_LCIA!D$61*($W207^Transportation_LCIA!D$60)+Transportation_LCIA!D$62</f>
        <v>2.2142470940859469</v>
      </c>
      <c r="AA207" s="16">
        <f>Transportation_LCIA!E$61*($W207^Transportation_LCIA!E$60)+Transportation_LCIA!E$62</f>
        <v>1.0055281245420159E-3</v>
      </c>
      <c r="AB207" s="16">
        <f>Transportation_LCIA!F$61*($W207^Transportation_LCIA!F$60)+Transportation_LCIA!F$62</f>
        <v>0.21772846046617148</v>
      </c>
      <c r="AC207" s="16">
        <f>Transportation_LCIA!G$61*($W207^Transportation_LCIA!G$60)+Transportation_LCIA!G$62</f>
        <v>5.1799374019000491E-2</v>
      </c>
      <c r="AD207" s="16">
        <f>Transportation_LCIA!H$61*($W207^Transportation_LCIA!H$60)+Transportation_LCIA!H$62</f>
        <v>2.4634416995171114E-4</v>
      </c>
      <c r="AE207" s="16">
        <f>Transportation_LCIA!I$61*($W207^Transportation_LCIA!I$60)+Transportation_LCIA!I$62</f>
        <v>5.1562528918712568E-6</v>
      </c>
      <c r="AF207" s="16">
        <f>Transportation_LCIA!J$61*($W207^Transportation_LCIA!J$60)+Transportation_LCIA!J$62</f>
        <v>7.6271492112845521E-3</v>
      </c>
      <c r="AG207" s="16">
        <f>Transportation_LCIA!K$61*($W207^Transportation_LCIA!K$60)+Transportation_LCIA!K$62</f>
        <v>1.0918234035860491E-2</v>
      </c>
      <c r="AH207" s="16">
        <f>Transportation_LCIA!L$61*($W207^Transportation_LCIA!L$60)+Transportation_LCIA!L$62</f>
        <v>2.1191432370679968E-4</v>
      </c>
      <c r="AI207" s="16">
        <f>Transportation_LCIA!M$61*($W207^Transportation_LCIA!M$60)+Transportation_LCIA!M$62</f>
        <v>2.2680395572104655E-4</v>
      </c>
      <c r="AJ207" s="16">
        <f>Transportation_LCIA!N$61*($W207^Transportation_LCIA!N$60)+Transportation_LCIA!N$62</f>
        <v>8.8743738884339729E-4</v>
      </c>
      <c r="AK207" s="16">
        <f>Transportation_LCIA!O$61*($W207^Transportation_LCIA!O$60)+Transportation_LCIA!O$62</f>
        <v>5.4708076102495621E-5</v>
      </c>
      <c r="AL207" s="16">
        <f>Transportation_LCIA!P$61*($W207^Transportation_LCIA!P$60)+Transportation_LCIA!P$62</f>
        <v>2.647121982427294E-8</v>
      </c>
      <c r="AM207" s="16">
        <f>Transportation_LCIA!Q$61*($W207^Transportation_LCIA!Q$60)+Transportation_LCIA!Q$62</f>
        <v>8.4025368237848467E-5</v>
      </c>
      <c r="AN207" s="16">
        <f>Transportation_LCIA!R$61*($W207^Transportation_LCIA!R$60)+Transportation_LCIA!R$62</f>
        <v>2.4810392360756592E-4</v>
      </c>
      <c r="AO207" s="16">
        <f>Transportation_LCIA!S$61*($W207^Transportation_LCIA!S$60)+Transportation_LCIA!S$62</f>
        <v>3.7784816746894015E-6</v>
      </c>
      <c r="AP207" s="16">
        <f>Transportation_LCIA!T$61*($W207^Transportation_LCIA!T$60)+Transportation_LCIA!T$62</f>
        <v>3.7784816746894015E-6</v>
      </c>
      <c r="AQ207" s="16">
        <f>Transportation_LCIA!U$61*($W207^Transportation_LCIA!U$60)+Transportation_LCIA!U$62</f>
        <v>5.3084715123251445E-4</v>
      </c>
      <c r="AR207" s="16">
        <f>Transportation_LCIA!V$61*($W207^Transportation_LCIA!V$60)+Transportation_LCIA!V$62</f>
        <v>2.1853136585972262E-4</v>
      </c>
      <c r="AT207" s="16">
        <f>$W207*Y207+($L207)*Summary_LCIA!H$32</f>
        <v>266.8257480447071</v>
      </c>
      <c r="AU207" s="16">
        <f>$W207*Z207+($L207)*Summary_LCIA!Q$32</f>
        <v>2734.7355763560572</v>
      </c>
      <c r="AV207" s="16">
        <f>$W207*AA207+($L207)*Summary_LCIA!R$32</f>
        <v>1.2844533483747995</v>
      </c>
      <c r="AW207" s="16">
        <f>$W207*AB207+($L207)*Summary_LCIA!S$32</f>
        <v>266.76335090470712</v>
      </c>
      <c r="AX207" s="16">
        <f>$W207*AC207+($L207)*Summary_LCIA!T$32</f>
        <v>63.89024185971698</v>
      </c>
      <c r="AY207" s="16">
        <f>$W207*AD207+($L207)*Summary_LCIA!U$32</f>
        <v>0.54935876183043542</v>
      </c>
      <c r="AZ207" s="16">
        <f>$W207*AE207+($L207)*Summary_LCIA!V$32</f>
        <v>6.8796168912911319E-3</v>
      </c>
      <c r="BA207" s="16">
        <f>$W207*AF207+($L207)*Summary_LCIA!W$32</f>
        <v>10.265614080910979</v>
      </c>
      <c r="BB207" s="16">
        <f>$W207*AG207+($L207)*Summary_LCIA!X$32</f>
        <v>13.461308303104365</v>
      </c>
      <c r="BC207" s="16">
        <f>$W207*AH207+($L207)*Summary_LCIA!Y$32</f>
        <v>0.47500276974797828</v>
      </c>
      <c r="BD207" s="16">
        <f>$W207*AI207+($L207)*Summary_LCIA!Z$32</f>
        <v>0.27352976513837207</v>
      </c>
      <c r="BE207" s="16">
        <f>$W207*AJ207+($L207)*Summary_LCIA!AA$32</f>
        <v>1.3977173441631217</v>
      </c>
      <c r="BF207" s="16">
        <f>$W207*AK207+($L207)*Summary_LCIA!AB$32</f>
        <v>6.5531232224010125E-2</v>
      </c>
      <c r="BG207" s="16">
        <f>$W207*AL207+($L207)*Summary_LCIA!AC$32</f>
        <v>3.2547307497430363E-5</v>
      </c>
      <c r="BH207" s="16">
        <f>$W207*AM207+($L207)*Summary_LCIA!AD$32</f>
        <v>0.10692432242033351</v>
      </c>
      <c r="BI207" s="16">
        <f>$W207*AN207+($L207)*Summary_LCIA!AE$32</f>
        <v>0.3110941246693078</v>
      </c>
      <c r="BJ207" s="16">
        <f>$W207*AO207+($L207)*Summary_LCIA!AF$32</f>
        <v>1.6482068228996116E-2</v>
      </c>
      <c r="BK207" s="16">
        <f>$W207*AP207+($L207)*Summary_LCIA!AG$32</f>
        <v>5.2695703939961164E-3</v>
      </c>
      <c r="BL207" s="16">
        <f>$W207*AQ207+($L207)*Summary_LCIA!AH$32</f>
        <v>0.76172519950102113</v>
      </c>
      <c r="BM207" s="16">
        <f>$W207*AR207+($L207)*Summary_LCIA!AI$32</f>
        <v>0.27614575210771375</v>
      </c>
      <c r="BN207" s="16"/>
    </row>
    <row r="208" spans="1:66" x14ac:dyDescent="0.25">
      <c r="A208" s="159">
        <v>62</v>
      </c>
      <c r="B208" s="159">
        <v>6</v>
      </c>
      <c r="C208" s="45">
        <v>45.504741000000003</v>
      </c>
      <c r="D208" s="45">
        <v>-73.614750999999998</v>
      </c>
      <c r="E208" s="45" t="s">
        <v>458</v>
      </c>
      <c r="F208" s="159">
        <v>124</v>
      </c>
      <c r="G208" s="45" t="s">
        <v>654</v>
      </c>
      <c r="H208" s="45" t="s">
        <v>655</v>
      </c>
      <c r="I208" s="45">
        <v>45.465685000000001</v>
      </c>
      <c r="J208" s="45">
        <v>-73.745480999999998</v>
      </c>
      <c r="K208" s="45">
        <v>12.713174800000001</v>
      </c>
      <c r="L208" s="45">
        <v>14.117000000000001</v>
      </c>
      <c r="M208" s="45" t="s">
        <v>617</v>
      </c>
      <c r="N208" s="159">
        <v>5</v>
      </c>
      <c r="O208" s="159">
        <v>6</v>
      </c>
      <c r="P208" s="45" t="s">
        <v>565</v>
      </c>
      <c r="Q208" s="45" t="s">
        <v>564</v>
      </c>
      <c r="R208" s="45">
        <v>41.98028</v>
      </c>
      <c r="S208" s="45">
        <v>-87.908997900000003</v>
      </c>
      <c r="T208" s="45">
        <v>1391.5350000000001</v>
      </c>
      <c r="U208" s="45" t="s">
        <v>617</v>
      </c>
      <c r="V208" s="45" t="s">
        <v>569</v>
      </c>
      <c r="W208" s="45" cm="1">
        <f t="array" ref="W208">getDistance(R208,S208,I208,J208)*SA!$B$12</f>
        <v>1203.4659634467887</v>
      </c>
      <c r="X208" s="22"/>
      <c r="Y208" s="16">
        <f>Transportation_LCIA!C$61*($W208^Transportation_LCIA!C$60)+Transportation_LCIA!C$62</f>
        <v>0.21772846046617148</v>
      </c>
      <c r="Z208" s="16">
        <f>Transportation_LCIA!D$61*($W208^Transportation_LCIA!D$60)+Transportation_LCIA!D$62</f>
        <v>2.2142470940859469</v>
      </c>
      <c r="AA208" s="16">
        <f>Transportation_LCIA!E$61*($W208^Transportation_LCIA!E$60)+Transportation_LCIA!E$62</f>
        <v>1.0055281245420159E-3</v>
      </c>
      <c r="AB208" s="16">
        <f>Transportation_LCIA!F$61*($W208^Transportation_LCIA!F$60)+Transportation_LCIA!F$62</f>
        <v>0.21772846046617148</v>
      </c>
      <c r="AC208" s="16">
        <f>Transportation_LCIA!G$61*($W208^Transportation_LCIA!G$60)+Transportation_LCIA!G$62</f>
        <v>5.1799374019000491E-2</v>
      </c>
      <c r="AD208" s="16">
        <f>Transportation_LCIA!H$61*($W208^Transportation_LCIA!H$60)+Transportation_LCIA!H$62</f>
        <v>2.4634416995171114E-4</v>
      </c>
      <c r="AE208" s="16">
        <f>Transportation_LCIA!I$61*($W208^Transportation_LCIA!I$60)+Transportation_LCIA!I$62</f>
        <v>5.1562528918712568E-6</v>
      </c>
      <c r="AF208" s="16">
        <f>Transportation_LCIA!J$61*($W208^Transportation_LCIA!J$60)+Transportation_LCIA!J$62</f>
        <v>7.6271492112845521E-3</v>
      </c>
      <c r="AG208" s="16">
        <f>Transportation_LCIA!K$61*($W208^Transportation_LCIA!K$60)+Transportation_LCIA!K$62</f>
        <v>1.0918234035860491E-2</v>
      </c>
      <c r="AH208" s="16">
        <f>Transportation_LCIA!L$61*($W208^Transportation_LCIA!L$60)+Transportation_LCIA!L$62</f>
        <v>2.1191432370679968E-4</v>
      </c>
      <c r="AI208" s="16">
        <f>Transportation_LCIA!M$61*($W208^Transportation_LCIA!M$60)+Transportation_LCIA!M$62</f>
        <v>2.2680395572104655E-4</v>
      </c>
      <c r="AJ208" s="16">
        <f>Transportation_LCIA!N$61*($W208^Transportation_LCIA!N$60)+Transportation_LCIA!N$62</f>
        <v>8.8743738884339729E-4</v>
      </c>
      <c r="AK208" s="16">
        <f>Transportation_LCIA!O$61*($W208^Transportation_LCIA!O$60)+Transportation_LCIA!O$62</f>
        <v>5.4708076102495621E-5</v>
      </c>
      <c r="AL208" s="16">
        <f>Transportation_LCIA!P$61*($W208^Transportation_LCIA!P$60)+Transportation_LCIA!P$62</f>
        <v>2.647121982427294E-8</v>
      </c>
      <c r="AM208" s="16">
        <f>Transportation_LCIA!Q$61*($W208^Transportation_LCIA!Q$60)+Transportation_LCIA!Q$62</f>
        <v>8.4025368237848467E-5</v>
      </c>
      <c r="AN208" s="16">
        <f>Transportation_LCIA!R$61*($W208^Transportation_LCIA!R$60)+Transportation_LCIA!R$62</f>
        <v>2.4810392360756592E-4</v>
      </c>
      <c r="AO208" s="16">
        <f>Transportation_LCIA!S$61*($W208^Transportation_LCIA!S$60)+Transportation_LCIA!S$62</f>
        <v>3.7784816746894015E-6</v>
      </c>
      <c r="AP208" s="16">
        <f>Transportation_LCIA!T$61*($W208^Transportation_LCIA!T$60)+Transportation_LCIA!T$62</f>
        <v>3.7784816746894015E-6</v>
      </c>
      <c r="AQ208" s="16">
        <f>Transportation_LCIA!U$61*($W208^Transportation_LCIA!U$60)+Transportation_LCIA!U$62</f>
        <v>5.3084715123251445E-4</v>
      </c>
      <c r="AR208" s="16">
        <f>Transportation_LCIA!V$61*($W208^Transportation_LCIA!V$60)+Transportation_LCIA!V$62</f>
        <v>2.1853136585972262E-4</v>
      </c>
      <c r="AT208" s="16">
        <f>$W208*Y208+($L208)*Summary_LCIA!H$32</f>
        <v>266.8257480447071</v>
      </c>
      <c r="AU208" s="16">
        <f>$W208*Z208+($L208)*Summary_LCIA!Q$32</f>
        <v>2734.7355763560572</v>
      </c>
      <c r="AV208" s="16">
        <f>$W208*AA208+($L208)*Summary_LCIA!R$32</f>
        <v>1.2844533483747995</v>
      </c>
      <c r="AW208" s="16">
        <f>$W208*AB208+($L208)*Summary_LCIA!S$32</f>
        <v>266.76335090470712</v>
      </c>
      <c r="AX208" s="16">
        <f>$W208*AC208+($L208)*Summary_LCIA!T$32</f>
        <v>63.89024185971698</v>
      </c>
      <c r="AY208" s="16">
        <f>$W208*AD208+($L208)*Summary_LCIA!U$32</f>
        <v>0.54935876183043542</v>
      </c>
      <c r="AZ208" s="16">
        <f>$W208*AE208+($L208)*Summary_LCIA!V$32</f>
        <v>6.8796168912911319E-3</v>
      </c>
      <c r="BA208" s="16">
        <f>$W208*AF208+($L208)*Summary_LCIA!W$32</f>
        <v>10.265614080910979</v>
      </c>
      <c r="BB208" s="16">
        <f>$W208*AG208+($L208)*Summary_LCIA!X$32</f>
        <v>13.461308303104365</v>
      </c>
      <c r="BC208" s="16">
        <f>$W208*AH208+($L208)*Summary_LCIA!Y$32</f>
        <v>0.47500276974797828</v>
      </c>
      <c r="BD208" s="16">
        <f>$W208*AI208+($L208)*Summary_LCIA!Z$32</f>
        <v>0.27352976513837207</v>
      </c>
      <c r="BE208" s="16">
        <f>$W208*AJ208+($L208)*Summary_LCIA!AA$32</f>
        <v>1.3977173441631217</v>
      </c>
      <c r="BF208" s="16">
        <f>$W208*AK208+($L208)*Summary_LCIA!AB$32</f>
        <v>6.5531232224010125E-2</v>
      </c>
      <c r="BG208" s="16">
        <f>$W208*AL208+($L208)*Summary_LCIA!AC$32</f>
        <v>3.2547307497430363E-5</v>
      </c>
      <c r="BH208" s="16">
        <f>$W208*AM208+($L208)*Summary_LCIA!AD$32</f>
        <v>0.10692432242033351</v>
      </c>
      <c r="BI208" s="16">
        <f>$W208*AN208+($L208)*Summary_LCIA!AE$32</f>
        <v>0.3110941246693078</v>
      </c>
      <c r="BJ208" s="16">
        <f>$W208*AO208+($L208)*Summary_LCIA!AF$32</f>
        <v>1.6482068228996116E-2</v>
      </c>
      <c r="BK208" s="16">
        <f>$W208*AP208+($L208)*Summary_LCIA!AG$32</f>
        <v>5.2695703939961164E-3</v>
      </c>
      <c r="BL208" s="16">
        <f>$W208*AQ208+($L208)*Summary_LCIA!AH$32</f>
        <v>0.76172519950102113</v>
      </c>
      <c r="BM208" s="16">
        <f>$W208*AR208+($L208)*Summary_LCIA!AI$32</f>
        <v>0.27614575210771375</v>
      </c>
      <c r="BN208" s="16"/>
    </row>
    <row r="209" spans="1:66" x14ac:dyDescent="0.25">
      <c r="A209" s="159">
        <v>92</v>
      </c>
      <c r="B209" s="159">
        <v>6</v>
      </c>
      <c r="C209" s="45">
        <v>45.514125999999997</v>
      </c>
      <c r="D209" s="45">
        <v>-73.560551000000004</v>
      </c>
      <c r="E209" s="45" t="s">
        <v>458</v>
      </c>
      <c r="F209" s="159">
        <v>124</v>
      </c>
      <c r="G209" s="45" t="s">
        <v>654</v>
      </c>
      <c r="H209" s="45" t="s">
        <v>655</v>
      </c>
      <c r="I209" s="45">
        <v>45.465685000000001</v>
      </c>
      <c r="J209" s="45">
        <v>-73.745480999999998</v>
      </c>
      <c r="K209" s="45">
        <v>17.39246069</v>
      </c>
      <c r="L209" s="45">
        <v>21.344000000000001</v>
      </c>
      <c r="M209" s="45" t="s">
        <v>617</v>
      </c>
      <c r="N209" s="159">
        <v>5</v>
      </c>
      <c r="O209" s="159">
        <v>6</v>
      </c>
      <c r="P209" s="45" t="s">
        <v>565</v>
      </c>
      <c r="Q209" s="45" t="s">
        <v>564</v>
      </c>
      <c r="R209" s="45">
        <v>41.98028</v>
      </c>
      <c r="S209" s="45">
        <v>-87.908997900000003</v>
      </c>
      <c r="T209" s="45">
        <v>1393.046</v>
      </c>
      <c r="U209" s="45" t="s">
        <v>617</v>
      </c>
      <c r="V209" s="45" t="s">
        <v>569</v>
      </c>
      <c r="W209" s="45" cm="1">
        <f t="array" ref="W209">getDistance(R209,S209,I209,J209)*SA!$B$12</f>
        <v>1203.4659634467887</v>
      </c>
      <c r="X209" s="22"/>
      <c r="Y209" s="16">
        <f>Transportation_LCIA!C$61*($W209^Transportation_LCIA!C$60)+Transportation_LCIA!C$62</f>
        <v>0.21772846046617148</v>
      </c>
      <c r="Z209" s="16">
        <f>Transportation_LCIA!D$61*($W209^Transportation_LCIA!D$60)+Transportation_LCIA!D$62</f>
        <v>2.2142470940859469</v>
      </c>
      <c r="AA209" s="16">
        <f>Transportation_LCIA!E$61*($W209^Transportation_LCIA!E$60)+Transportation_LCIA!E$62</f>
        <v>1.0055281245420159E-3</v>
      </c>
      <c r="AB209" s="16">
        <f>Transportation_LCIA!F$61*($W209^Transportation_LCIA!F$60)+Transportation_LCIA!F$62</f>
        <v>0.21772846046617148</v>
      </c>
      <c r="AC209" s="16">
        <f>Transportation_LCIA!G$61*($W209^Transportation_LCIA!G$60)+Transportation_LCIA!G$62</f>
        <v>5.1799374019000491E-2</v>
      </c>
      <c r="AD209" s="16">
        <f>Transportation_LCIA!H$61*($W209^Transportation_LCIA!H$60)+Transportation_LCIA!H$62</f>
        <v>2.4634416995171114E-4</v>
      </c>
      <c r="AE209" s="16">
        <f>Transportation_LCIA!I$61*($W209^Transportation_LCIA!I$60)+Transportation_LCIA!I$62</f>
        <v>5.1562528918712568E-6</v>
      </c>
      <c r="AF209" s="16">
        <f>Transportation_LCIA!J$61*($W209^Transportation_LCIA!J$60)+Transportation_LCIA!J$62</f>
        <v>7.6271492112845521E-3</v>
      </c>
      <c r="AG209" s="16">
        <f>Transportation_LCIA!K$61*($W209^Transportation_LCIA!K$60)+Transportation_LCIA!K$62</f>
        <v>1.0918234035860491E-2</v>
      </c>
      <c r="AH209" s="16">
        <f>Transportation_LCIA!L$61*($W209^Transportation_LCIA!L$60)+Transportation_LCIA!L$62</f>
        <v>2.1191432370679968E-4</v>
      </c>
      <c r="AI209" s="16">
        <f>Transportation_LCIA!M$61*($W209^Transportation_LCIA!M$60)+Transportation_LCIA!M$62</f>
        <v>2.2680395572104655E-4</v>
      </c>
      <c r="AJ209" s="16">
        <f>Transportation_LCIA!N$61*($W209^Transportation_LCIA!N$60)+Transportation_LCIA!N$62</f>
        <v>8.8743738884339729E-4</v>
      </c>
      <c r="AK209" s="16">
        <f>Transportation_LCIA!O$61*($W209^Transportation_LCIA!O$60)+Transportation_LCIA!O$62</f>
        <v>5.4708076102495621E-5</v>
      </c>
      <c r="AL209" s="16">
        <f>Transportation_LCIA!P$61*($W209^Transportation_LCIA!P$60)+Transportation_LCIA!P$62</f>
        <v>2.647121982427294E-8</v>
      </c>
      <c r="AM209" s="16">
        <f>Transportation_LCIA!Q$61*($W209^Transportation_LCIA!Q$60)+Transportation_LCIA!Q$62</f>
        <v>8.4025368237848467E-5</v>
      </c>
      <c r="AN209" s="16">
        <f>Transportation_LCIA!R$61*($W209^Transportation_LCIA!R$60)+Transportation_LCIA!R$62</f>
        <v>2.4810392360756592E-4</v>
      </c>
      <c r="AO209" s="16">
        <f>Transportation_LCIA!S$61*($W209^Transportation_LCIA!S$60)+Transportation_LCIA!S$62</f>
        <v>3.7784816746894015E-6</v>
      </c>
      <c r="AP209" s="16">
        <f>Transportation_LCIA!T$61*($W209^Transportation_LCIA!T$60)+Transportation_LCIA!T$62</f>
        <v>3.7784816746894015E-6</v>
      </c>
      <c r="AQ209" s="16">
        <f>Transportation_LCIA!U$61*($W209^Transportation_LCIA!U$60)+Transportation_LCIA!U$62</f>
        <v>5.3084715123251445E-4</v>
      </c>
      <c r="AR209" s="16">
        <f>Transportation_LCIA!V$61*($W209^Transportation_LCIA!V$60)+Transportation_LCIA!V$62</f>
        <v>2.1853136585972262E-4</v>
      </c>
      <c r="AT209" s="16">
        <f>$W209*Y209+($L209)*Summary_LCIA!H$32</f>
        <v>269.28148264470713</v>
      </c>
      <c r="AU209" s="16">
        <f>$W209*Z209+($L209)*Summary_LCIA!Q$32</f>
        <v>2770.5529528353482</v>
      </c>
      <c r="AV209" s="16">
        <f>$W209*AA209+($L209)*Summary_LCIA!R$32</f>
        <v>1.3225078395747996</v>
      </c>
      <c r="AW209" s="16">
        <f>$W209*AB209+($L209)*Summary_LCIA!S$32</f>
        <v>269.1871421647071</v>
      </c>
      <c r="AX209" s="16">
        <f>$W209*AC209+($L209)*Summary_LCIA!T$32</f>
        <v>64.684489159716975</v>
      </c>
      <c r="AY209" s="16">
        <f>$W209*AD209+($L209)*Summary_LCIA!U$32</f>
        <v>0.67882323983043547</v>
      </c>
      <c r="AZ209" s="16">
        <f>$W209*AE209+($L209)*Summary_LCIA!V$32</f>
        <v>7.2247856382911327E-3</v>
      </c>
      <c r="BA209" s="16">
        <f>$W209*AF209+($L209)*Summary_LCIA!W$32</f>
        <v>10.821883497910978</v>
      </c>
      <c r="BB209" s="16">
        <f>$W209*AG209+($L209)*Summary_LCIA!X$32</f>
        <v>13.625939363104365</v>
      </c>
      <c r="BC209" s="16">
        <f>$W209*AH209+($L209)*Summary_LCIA!Y$32</f>
        <v>0.58761388374797829</v>
      </c>
      <c r="BD209" s="16">
        <f>$W209*AI209+($L209)*Summary_LCIA!Z$32</f>
        <v>0.27382613718137211</v>
      </c>
      <c r="BE209" s="16">
        <f>$W209*AJ209+($L209)*Summary_LCIA!AA$32</f>
        <v>1.5665111561631215</v>
      </c>
      <c r="BF209" s="16">
        <f>$W209*AK209+($L209)*Summary_LCIA!AB$32</f>
        <v>6.5373517403010131E-2</v>
      </c>
      <c r="BG209" s="16">
        <f>$W209*AL209+($L209)*Summary_LCIA!AC$32</f>
        <v>3.2900592165430366E-5</v>
      </c>
      <c r="BH209" s="16">
        <f>$W209*AM209+($L209)*Summary_LCIA!AD$32</f>
        <v>0.1098949085003335</v>
      </c>
      <c r="BI209" s="16">
        <f>$W209*AN209+($L209)*Summary_LCIA!AE$32</f>
        <v>0.31749818617930781</v>
      </c>
      <c r="BJ209" s="16">
        <f>$W209*AO209+($L209)*Summary_LCIA!AF$32</f>
        <v>2.259191856899612E-2</v>
      </c>
      <c r="BK209" s="16">
        <f>$W209*AP209+($L209)*Summary_LCIA!AG$32</f>
        <v>5.6393398489961166E-3</v>
      </c>
      <c r="BL209" s="16">
        <f>$W209*AQ209+($L209)*Summary_LCIA!AH$32</f>
        <v>0.82462611670102115</v>
      </c>
      <c r="BM209" s="16">
        <f>$W209*AR209+($L209)*Summary_LCIA!AI$32</f>
        <v>0.28287806395771375</v>
      </c>
      <c r="BN209" s="16"/>
    </row>
    <row r="210" spans="1:66" x14ac:dyDescent="0.25">
      <c r="A210" s="159">
        <v>103</v>
      </c>
      <c r="B210" s="159">
        <v>6</v>
      </c>
      <c r="C210" s="45">
        <v>32.890006</v>
      </c>
      <c r="D210" s="45">
        <v>-96.949909000000005</v>
      </c>
      <c r="E210" s="45" t="s">
        <v>265</v>
      </c>
      <c r="F210" s="159">
        <v>10</v>
      </c>
      <c r="G210" s="45" t="s">
        <v>565</v>
      </c>
      <c r="H210" s="45" t="s">
        <v>670</v>
      </c>
      <c r="I210" s="45">
        <v>32.899808999999998</v>
      </c>
      <c r="J210" s="45">
        <v>-97.040334999999999</v>
      </c>
      <c r="K210" s="45">
        <v>8.8253574990000008</v>
      </c>
      <c r="L210" s="45">
        <v>16.529</v>
      </c>
      <c r="M210" s="45" t="s">
        <v>617</v>
      </c>
      <c r="N210" s="159">
        <v>5</v>
      </c>
      <c r="O210" s="159">
        <v>6</v>
      </c>
      <c r="P210" s="45" t="s">
        <v>565</v>
      </c>
      <c r="Q210" s="45" t="s">
        <v>564</v>
      </c>
      <c r="R210" s="45">
        <v>41.98028</v>
      </c>
      <c r="S210" s="45">
        <v>-87.908997900000003</v>
      </c>
      <c r="T210" s="45">
        <v>1496.627</v>
      </c>
      <c r="U210" s="45" t="s">
        <v>617</v>
      </c>
      <c r="V210" s="45" t="s">
        <v>569</v>
      </c>
      <c r="W210" s="45" cm="1">
        <f t="array" ref="W210">getDistance(R210,S210,I210,J210)*SA!$B$12</f>
        <v>1291.7872894344653</v>
      </c>
      <c r="X210" s="22"/>
      <c r="Y210" s="16">
        <f>Transportation_LCIA!C$61*($W210^Transportation_LCIA!C$60)+Transportation_LCIA!C$62</f>
        <v>0.21162337694705974</v>
      </c>
      <c r="Z210" s="16">
        <f>Transportation_LCIA!D$61*($W210^Transportation_LCIA!D$60)+Transportation_LCIA!D$62</f>
        <v>2.1436925093962591</v>
      </c>
      <c r="AA210" s="16">
        <f>Transportation_LCIA!E$61*($W210^Transportation_LCIA!E$60)+Transportation_LCIA!E$62</f>
        <v>9.5926653653794739E-4</v>
      </c>
      <c r="AB210" s="16">
        <f>Transportation_LCIA!F$61*($W210^Transportation_LCIA!F$60)+Transportation_LCIA!F$62</f>
        <v>0.21162337694705974</v>
      </c>
      <c r="AC210" s="16">
        <f>Transportation_LCIA!G$61*($W210^Transportation_LCIA!G$60)+Transportation_LCIA!G$62</f>
        <v>5.0166111254428214E-2</v>
      </c>
      <c r="AD210" s="16">
        <f>Transportation_LCIA!H$61*($W210^Transportation_LCIA!H$60)+Transportation_LCIA!H$62</f>
        <v>2.362271635301581E-4</v>
      </c>
      <c r="AE210" s="16">
        <f>Transportation_LCIA!I$61*($W210^Transportation_LCIA!I$60)+Transportation_LCIA!I$62</f>
        <v>4.9037849811358031E-6</v>
      </c>
      <c r="AF210" s="16">
        <f>Transportation_LCIA!J$61*($W210^Transportation_LCIA!J$60)+Transportation_LCIA!J$62</f>
        <v>7.2532951539258875E-3</v>
      </c>
      <c r="AG210" s="16">
        <f>Transportation_LCIA!K$61*($W210^Transportation_LCIA!K$60)+Transportation_LCIA!K$62</f>
        <v>1.0538851486483609E-2</v>
      </c>
      <c r="AH210" s="16">
        <f>Transportation_LCIA!L$61*($W210^Transportation_LCIA!L$60)+Transportation_LCIA!L$62</f>
        <v>2.0263646324956692E-4</v>
      </c>
      <c r="AI210" s="16">
        <f>Transportation_LCIA!M$61*($W210^Transportation_LCIA!M$60)+Transportation_LCIA!M$62</f>
        <v>2.2122211944254895E-4</v>
      </c>
      <c r="AJ210" s="16">
        <f>Transportation_LCIA!N$61*($W210^Transportation_LCIA!N$60)+Transportation_LCIA!N$62</f>
        <v>8.5339873787620762E-4</v>
      </c>
      <c r="AK210" s="16">
        <f>Transportation_LCIA!O$61*($W210^Transportation_LCIA!O$60)+Transportation_LCIA!O$62</f>
        <v>5.2972989604295252E-5</v>
      </c>
      <c r="AL210" s="16">
        <f>Transportation_LCIA!P$61*($W210^Transportation_LCIA!P$60)+Transportation_LCIA!P$62</f>
        <v>2.5636403079485934E-8</v>
      </c>
      <c r="AM210" s="16">
        <f>Transportation_LCIA!Q$61*($W210^Transportation_LCIA!Q$60)+Transportation_LCIA!Q$62</f>
        <v>8.0402568993147012E-5</v>
      </c>
      <c r="AN210" s="16">
        <f>Transportation_LCIA!R$61*($W210^Transportation_LCIA!R$60)+Transportation_LCIA!R$62</f>
        <v>2.3599989309131735E-4</v>
      </c>
      <c r="AO210" s="16">
        <f>Transportation_LCIA!S$61*($W210^Transportation_LCIA!S$60)+Transportation_LCIA!S$62</f>
        <v>3.6066326626138448E-6</v>
      </c>
      <c r="AP210" s="16">
        <f>Transportation_LCIA!T$61*($W210^Transportation_LCIA!T$60)+Transportation_LCIA!T$62</f>
        <v>3.6066326626138448E-6</v>
      </c>
      <c r="AQ210" s="16">
        <f>Transportation_LCIA!U$61*($W210^Transportation_LCIA!U$60)+Transportation_LCIA!U$62</f>
        <v>5.0434671044135519E-4</v>
      </c>
      <c r="AR210" s="16">
        <f>Transportation_LCIA!V$61*($W210^Transportation_LCIA!V$60)+Transportation_LCIA!V$62</f>
        <v>2.0912294122374305E-4</v>
      </c>
      <c r="AT210" s="16">
        <f>$W210*Y210+($L210)*Summary_LCIA!H$32</f>
        <v>278.98894268741037</v>
      </c>
      <c r="AU210" s="16">
        <f>$W210*Z210+($L210)*Summary_LCIA!Q$32</f>
        <v>2851.1132937010179</v>
      </c>
      <c r="AV210" s="16">
        <f>$W210*AA210+($L210)*Summary_LCIA!R$32</f>
        <v>1.3262034214795424</v>
      </c>
      <c r="AW210" s="16">
        <f>$W210*AB210+($L210)*Summary_LCIA!S$32</f>
        <v>278.9158845074104</v>
      </c>
      <c r="AX210" s="16">
        <f>$W210*AC210+($L210)*Summary_LCIA!T$32</f>
        <v>66.620481978825651</v>
      </c>
      <c r="AY210" s="16">
        <f>$W210*AD210+($L210)*Summary_LCIA!U$32</f>
        <v>0.60125575326741509</v>
      </c>
      <c r="AZ210" s="16">
        <f>$W210*AE210+($L210)*Summary_LCIA!V$32</f>
        <v>7.1240886777508595E-3</v>
      </c>
      <c r="BA210" s="16">
        <f>$W210*AF210+($L210)*Summary_LCIA!W$32</f>
        <v>10.641968145358065</v>
      </c>
      <c r="BB210" s="16">
        <f>$W210*AG210+($L210)*Summary_LCIA!X$32</f>
        <v>13.990485015477047</v>
      </c>
      <c r="BC210" s="16">
        <f>$W210*AH210+($L210)*Summary_LCIA!Y$32</f>
        <v>0.51931808560174475</v>
      </c>
      <c r="BD210" s="16">
        <f>$W210*AI210+($L210)*Summary_LCIA!Z$32</f>
        <v>0.28644975979863785</v>
      </c>
      <c r="BE210" s="16">
        <f>$W210*AJ210+($L210)*Summary_LCIA!AA$32</f>
        <v>1.4884609664078998</v>
      </c>
      <c r="BF210" s="16">
        <f>$W210*AK210+($L210)*Summary_LCIA!AB$32</f>
        <v>6.806912228717267E-2</v>
      </c>
      <c r="BG210" s="16">
        <f>$W210*AL210+($L210)*Summary_LCIA!AC$32</f>
        <v>3.3924783280898512E-5</v>
      </c>
      <c r="BH210" s="16">
        <f>$W210*AM210+($L210)*Summary_LCIA!AD$32</f>
        <v>0.11065709682322497</v>
      </c>
      <c r="BI210" s="16">
        <f>$W210*AN210+($L210)*Summary_LCIA!AE$32</f>
        <v>0.31950850497325645</v>
      </c>
      <c r="BJ210" s="16">
        <f>$W210*AO210+($L210)*Summary_LCIA!AF$32</f>
        <v>1.8632949411223749E-2</v>
      </c>
      <c r="BK210" s="16">
        <f>$W210*AP210+($L210)*Summary_LCIA!AG$32</f>
        <v>5.5047085162237466E-3</v>
      </c>
      <c r="BL210" s="16">
        <f>$W210*AQ210+($L210)*Summary_LCIA!AH$32</f>
        <v>0.79537047441622732</v>
      </c>
      <c r="BM210" s="16">
        <f>$W210*AR210+($L210)*Summary_LCIA!AI$32</f>
        <v>0.28553994735198207</v>
      </c>
      <c r="BN210" s="16"/>
    </row>
    <row r="211" spans="1:66" x14ac:dyDescent="0.25">
      <c r="A211" s="159">
        <v>290</v>
      </c>
      <c r="B211" s="159">
        <v>6</v>
      </c>
      <c r="C211" s="45">
        <v>30.421309000000001</v>
      </c>
      <c r="D211" s="45">
        <v>-87.216915</v>
      </c>
      <c r="E211" s="45" t="s">
        <v>265</v>
      </c>
      <c r="F211" s="159">
        <v>98</v>
      </c>
      <c r="G211" s="45" t="s">
        <v>713</v>
      </c>
      <c r="H211" s="45" t="s">
        <v>714</v>
      </c>
      <c r="I211" s="45">
        <v>29.991091000000001</v>
      </c>
      <c r="J211" s="45">
        <v>-90.259230000000002</v>
      </c>
      <c r="K211" s="45">
        <v>302.75969529999998</v>
      </c>
      <c r="L211" s="45">
        <v>342.399</v>
      </c>
      <c r="M211" s="45" t="s">
        <v>617</v>
      </c>
      <c r="N211" s="159">
        <v>5</v>
      </c>
      <c r="O211" s="159">
        <v>6</v>
      </c>
      <c r="P211" s="45" t="s">
        <v>565</v>
      </c>
      <c r="Q211" s="45" t="s">
        <v>564</v>
      </c>
      <c r="R211" s="45">
        <v>41.98028</v>
      </c>
      <c r="S211" s="45">
        <v>-87.908997900000003</v>
      </c>
      <c r="T211" s="45">
        <v>1504.8340000000001</v>
      </c>
      <c r="U211" s="45" t="s">
        <v>617</v>
      </c>
      <c r="V211" s="45" t="s">
        <v>569</v>
      </c>
      <c r="W211" s="45" cm="1">
        <f t="array" ref="W211">getDistance(R211,S211,I211,J211)*SA!$B$12</f>
        <v>1349.8306218678963</v>
      </c>
      <c r="X211" s="22"/>
      <c r="Y211" s="16">
        <f>Transportation_LCIA!C$61*($W211^Transportation_LCIA!C$60)+Transportation_LCIA!C$62</f>
        <v>0.20801288224603856</v>
      </c>
      <c r="Z211" s="16">
        <f>Transportation_LCIA!D$61*($W211^Transportation_LCIA!D$60)+Transportation_LCIA!D$62</f>
        <v>2.1020713520322163</v>
      </c>
      <c r="AA211" s="16">
        <f>Transportation_LCIA!E$61*($W211^Transportation_LCIA!E$60)+Transportation_LCIA!E$62</f>
        <v>9.3199534224582881E-4</v>
      </c>
      <c r="AB211" s="16">
        <f>Transportation_LCIA!F$61*($W211^Transportation_LCIA!F$60)+Transportation_LCIA!F$62</f>
        <v>0.20801288224603856</v>
      </c>
      <c r="AC211" s="16">
        <f>Transportation_LCIA!G$61*($W211^Transportation_LCIA!G$60)+Transportation_LCIA!G$62</f>
        <v>4.9202485658922233E-2</v>
      </c>
      <c r="AD211" s="16">
        <f>Transportation_LCIA!H$61*($W211^Transportation_LCIA!H$60)+Transportation_LCIA!H$62</f>
        <v>2.3027146754317382E-4</v>
      </c>
      <c r="AE211" s="16">
        <f>Transportation_LCIA!I$61*($W211^Transportation_LCIA!I$60)+Transportation_LCIA!I$62</f>
        <v>4.7554938620881842E-6</v>
      </c>
      <c r="AF211" s="16">
        <f>Transportation_LCIA!J$61*($W211^Transportation_LCIA!J$60)+Transportation_LCIA!J$62</f>
        <v>7.0340266547689436E-3</v>
      </c>
      <c r="AG211" s="16">
        <f>Transportation_LCIA!K$61*($W211^Transportation_LCIA!K$60)+Transportation_LCIA!K$62</f>
        <v>1.0315298317133719E-2</v>
      </c>
      <c r="AH211" s="16">
        <f>Transportation_LCIA!L$61*($W211^Transportation_LCIA!L$60)+Transportation_LCIA!L$62</f>
        <v>1.9717823496531628E-4</v>
      </c>
      <c r="AI211" s="16">
        <f>Transportation_LCIA!M$61*($W211^Transportation_LCIA!M$60)+Transportation_LCIA!M$62</f>
        <v>2.1793644347759404E-4</v>
      </c>
      <c r="AJ211" s="16">
        <f>Transportation_LCIA!N$61*($W211^Transportation_LCIA!N$60)+Transportation_LCIA!N$62</f>
        <v>8.3335724645946727E-4</v>
      </c>
      <c r="AK211" s="16">
        <f>Transportation_LCIA!O$61*($W211^Transportation_LCIA!O$60)+Transportation_LCIA!O$62</f>
        <v>5.1949358329612822E-5</v>
      </c>
      <c r="AL211" s="16">
        <f>Transportation_LCIA!P$61*($W211^Transportation_LCIA!P$60)+Transportation_LCIA!P$62</f>
        <v>2.5143803133458951E-8</v>
      </c>
      <c r="AM211" s="16">
        <f>Transportation_LCIA!Q$61*($W211^Transportation_LCIA!Q$60)+Transportation_LCIA!Q$62</f>
        <v>7.8271982505673888E-5</v>
      </c>
      <c r="AN211" s="16">
        <f>Transportation_LCIA!R$61*($W211^Transportation_LCIA!R$60)+Transportation_LCIA!R$62</f>
        <v>2.2889077892715784E-4</v>
      </c>
      <c r="AO211" s="16">
        <f>Transportation_LCIA!S$61*($W211^Transportation_LCIA!S$60)+Transportation_LCIA!S$62</f>
        <v>3.5056897062849549E-6</v>
      </c>
      <c r="AP211" s="16">
        <f>Transportation_LCIA!T$61*($W211^Transportation_LCIA!T$60)+Transportation_LCIA!T$62</f>
        <v>3.5056897062849549E-6</v>
      </c>
      <c r="AQ211" s="16">
        <f>Transportation_LCIA!U$61*($W211^Transportation_LCIA!U$60)+Transportation_LCIA!U$62</f>
        <v>4.8878869207367895E-4</v>
      </c>
      <c r="AR211" s="16">
        <f>Transportation_LCIA!V$61*($W211^Transportation_LCIA!V$60)+Transportation_LCIA!V$62</f>
        <v>2.0359224667631099E-4</v>
      </c>
      <c r="AT211" s="16">
        <f>$W211*Y211+($L211)*Summary_LCIA!H$32</f>
        <v>397.12933839870368</v>
      </c>
      <c r="AU211" s="16">
        <f>$W211*Z211+($L211)*Summary_LCIA!Q$32</f>
        <v>4534.3869925331028</v>
      </c>
      <c r="AV211" s="16">
        <f>$W211*AA211+($L211)*Summary_LCIA!R$32</f>
        <v>3.0609720268016698</v>
      </c>
      <c r="AW211" s="16">
        <f>$W211*AB211+($L211)*Summary_LCIA!S$32</f>
        <v>395.61593481870375</v>
      </c>
      <c r="AX211" s="16">
        <f>$W211*AC211+($L211)*Summary_LCIA!T$32</f>
        <v>104.04467191442924</v>
      </c>
      <c r="AY211" s="16">
        <f>$W211*AD211+($L211)*Summary_LCIA!U$32</f>
        <v>6.4445631642322354</v>
      </c>
      <c r="AZ211" s="16">
        <f>$W211*AE211+($L211)*Summary_LCIA!V$32</f>
        <v>2.2772429876151457E-2</v>
      </c>
      <c r="BA211" s="16">
        <f>$W211*AF211+($L211)*Summary_LCIA!W$32</f>
        <v>35.84953800264212</v>
      </c>
      <c r="BB211" s="16">
        <f>$W211*AG211+($L211)*Summary_LCIA!X$32</f>
        <v>21.72375476216947</v>
      </c>
      <c r="BC211" s="16">
        <f>$W211*AH211+($L211)*Summary_LCIA!Y$32</f>
        <v>5.6014184375220477</v>
      </c>
      <c r="BD211" s="16">
        <f>$W211*AI211+($L211)*Summary_LCIA!Z$32</f>
        <v>0.30821872561803837</v>
      </c>
      <c r="BE211" s="16">
        <f>$W211*AJ211+($L211)*Summary_LCIA!AA$32</f>
        <v>9.1219621742264998</v>
      </c>
      <c r="BF211" s="16">
        <f>$W211*AK211+($L211)*Summary_LCIA!AB$32</f>
        <v>6.2650661282699457E-2</v>
      </c>
      <c r="BG211" s="16">
        <f>$W211*AL211+($L211)*Summary_LCIA!AC$32</f>
        <v>5.0677708135760855E-5</v>
      </c>
      <c r="BH211" s="16">
        <f>$W211*AM211+($L211)*Summary_LCIA!AD$32</f>
        <v>0.24639360378046687</v>
      </c>
      <c r="BI211" s="16">
        <f>$W211*AN211+($L211)*Summary_LCIA!AE$32</f>
        <v>0.61237380832907262</v>
      </c>
      <c r="BJ211" s="16">
        <f>$W211*AO211+($L211)*Summary_LCIA!AF$32</f>
        <v>0.29420304989631052</v>
      </c>
      <c r="BK211" s="16">
        <f>$W211*AP211+($L211)*Summary_LCIA!AG$32</f>
        <v>2.2250932151310507E-2</v>
      </c>
      <c r="BL211" s="16">
        <f>$W211*AQ211+($L211)*Summary_LCIA!AH$32</f>
        <v>3.6398858805838099</v>
      </c>
      <c r="BM211" s="16">
        <f>$W211*AR211+($L211)*Summary_LCIA!AI$32</f>
        <v>0.59377683738856701</v>
      </c>
      <c r="BN211" s="16"/>
    </row>
    <row r="212" spans="1:66" x14ac:dyDescent="0.25">
      <c r="A212" s="159">
        <v>185</v>
      </c>
      <c r="B212" s="159">
        <v>6</v>
      </c>
      <c r="C212" s="45">
        <v>45.376868000000002</v>
      </c>
      <c r="D212" s="45">
        <v>-71.930583999999996</v>
      </c>
      <c r="E212" s="45" t="s">
        <v>458</v>
      </c>
      <c r="F212" s="159">
        <v>124</v>
      </c>
      <c r="G212" s="45" t="s">
        <v>654</v>
      </c>
      <c r="H212" s="45" t="s">
        <v>655</v>
      </c>
      <c r="I212" s="45">
        <v>45.465685000000001</v>
      </c>
      <c r="J212" s="45">
        <v>-73.745480999999998</v>
      </c>
      <c r="K212" s="45">
        <v>143.76694309999999</v>
      </c>
      <c r="L212" s="45">
        <v>167.62799999999999</v>
      </c>
      <c r="M212" s="45" t="s">
        <v>617</v>
      </c>
      <c r="N212" s="159">
        <v>5</v>
      </c>
      <c r="O212" s="159">
        <v>6</v>
      </c>
      <c r="P212" s="45" t="s">
        <v>565</v>
      </c>
      <c r="Q212" s="45" t="s">
        <v>564</v>
      </c>
      <c r="R212" s="45">
        <v>41.98028</v>
      </c>
      <c r="S212" s="45">
        <v>-87.908997900000003</v>
      </c>
      <c r="T212" s="45">
        <v>1547.0550000000001</v>
      </c>
      <c r="U212" s="45" t="s">
        <v>617</v>
      </c>
      <c r="V212" s="45" t="s">
        <v>569</v>
      </c>
      <c r="W212" s="45" cm="1">
        <f t="array" ref="W212">getDistance(R212,S212,I212,J212)*SA!$B$12</f>
        <v>1203.4659634467887</v>
      </c>
      <c r="X212" s="22"/>
      <c r="Y212" s="16">
        <f>Transportation_LCIA!C$61*($W212^Transportation_LCIA!C$60)+Transportation_LCIA!C$62</f>
        <v>0.21772846046617148</v>
      </c>
      <c r="Z212" s="16">
        <f>Transportation_LCIA!D$61*($W212^Transportation_LCIA!D$60)+Transportation_LCIA!D$62</f>
        <v>2.2142470940859469</v>
      </c>
      <c r="AA212" s="16">
        <f>Transportation_LCIA!E$61*($W212^Transportation_LCIA!E$60)+Transportation_LCIA!E$62</f>
        <v>1.0055281245420159E-3</v>
      </c>
      <c r="AB212" s="16">
        <f>Transportation_LCIA!F$61*($W212^Transportation_LCIA!F$60)+Transportation_LCIA!F$62</f>
        <v>0.21772846046617148</v>
      </c>
      <c r="AC212" s="16">
        <f>Transportation_LCIA!G$61*($W212^Transportation_LCIA!G$60)+Transportation_LCIA!G$62</f>
        <v>5.1799374019000491E-2</v>
      </c>
      <c r="AD212" s="16">
        <f>Transportation_LCIA!H$61*($W212^Transportation_LCIA!H$60)+Transportation_LCIA!H$62</f>
        <v>2.4634416995171114E-4</v>
      </c>
      <c r="AE212" s="16">
        <f>Transportation_LCIA!I$61*($W212^Transportation_LCIA!I$60)+Transportation_LCIA!I$62</f>
        <v>5.1562528918712568E-6</v>
      </c>
      <c r="AF212" s="16">
        <f>Transportation_LCIA!J$61*($W212^Transportation_LCIA!J$60)+Transportation_LCIA!J$62</f>
        <v>7.6271492112845521E-3</v>
      </c>
      <c r="AG212" s="16">
        <f>Transportation_LCIA!K$61*($W212^Transportation_LCIA!K$60)+Transportation_LCIA!K$62</f>
        <v>1.0918234035860491E-2</v>
      </c>
      <c r="AH212" s="16">
        <f>Transportation_LCIA!L$61*($W212^Transportation_LCIA!L$60)+Transportation_LCIA!L$62</f>
        <v>2.1191432370679968E-4</v>
      </c>
      <c r="AI212" s="16">
        <f>Transportation_LCIA!M$61*($W212^Transportation_LCIA!M$60)+Transportation_LCIA!M$62</f>
        <v>2.2680395572104655E-4</v>
      </c>
      <c r="AJ212" s="16">
        <f>Transportation_LCIA!N$61*($W212^Transportation_LCIA!N$60)+Transportation_LCIA!N$62</f>
        <v>8.8743738884339729E-4</v>
      </c>
      <c r="AK212" s="16">
        <f>Transportation_LCIA!O$61*($W212^Transportation_LCIA!O$60)+Transportation_LCIA!O$62</f>
        <v>5.4708076102495621E-5</v>
      </c>
      <c r="AL212" s="16">
        <f>Transportation_LCIA!P$61*($W212^Transportation_LCIA!P$60)+Transportation_LCIA!P$62</f>
        <v>2.647121982427294E-8</v>
      </c>
      <c r="AM212" s="16">
        <f>Transportation_LCIA!Q$61*($W212^Transportation_LCIA!Q$60)+Transportation_LCIA!Q$62</f>
        <v>8.4025368237848467E-5</v>
      </c>
      <c r="AN212" s="16">
        <f>Transportation_LCIA!R$61*($W212^Transportation_LCIA!R$60)+Transportation_LCIA!R$62</f>
        <v>2.4810392360756592E-4</v>
      </c>
      <c r="AO212" s="16">
        <f>Transportation_LCIA!S$61*($W212^Transportation_LCIA!S$60)+Transportation_LCIA!S$62</f>
        <v>3.7784816746894015E-6</v>
      </c>
      <c r="AP212" s="16">
        <f>Transportation_LCIA!T$61*($W212^Transportation_LCIA!T$60)+Transportation_LCIA!T$62</f>
        <v>3.7784816746894015E-6</v>
      </c>
      <c r="AQ212" s="16">
        <f>Transportation_LCIA!U$61*($W212^Transportation_LCIA!U$60)+Transportation_LCIA!U$62</f>
        <v>5.3084715123251445E-4</v>
      </c>
      <c r="AR212" s="16">
        <f>Transportation_LCIA!V$61*($W212^Transportation_LCIA!V$60)+Transportation_LCIA!V$62</f>
        <v>2.1853136585972262E-4</v>
      </c>
      <c r="AT212" s="16">
        <f>$W212*Y212+($L212)*Summary_LCIA!H$32</f>
        <v>318.98878584470708</v>
      </c>
      <c r="AU212" s="16">
        <f>$W212*Z212+($L212)*Summary_LCIA!Q$32</f>
        <v>3495.5438343763199</v>
      </c>
      <c r="AV212" s="16">
        <f>$W212*AA212+($L212)*Summary_LCIA!R$32</f>
        <v>2.0927808699747996</v>
      </c>
      <c r="AW212" s="16">
        <f>$W212*AB212+($L212)*Summary_LCIA!S$32</f>
        <v>318.24787008470713</v>
      </c>
      <c r="AX212" s="16">
        <f>$W212*AC212+($L212)*Summary_LCIA!T$32</f>
        <v>80.761100759716982</v>
      </c>
      <c r="AY212" s="16">
        <f>$W212*AD212+($L212)*Summary_LCIA!U$32</f>
        <v>3.2993548158304353</v>
      </c>
      <c r="AZ212" s="16">
        <f>$W212*AE212+($L212)*Summary_LCIA!V$32</f>
        <v>1.4211455762291131E-2</v>
      </c>
      <c r="BA212" s="16">
        <f>$W212*AF212+($L212)*Summary_LCIA!W$32</f>
        <v>22.081509261910977</v>
      </c>
      <c r="BB212" s="16">
        <f>$W212*AG212+($L212)*Summary_LCIA!X$32</f>
        <v>16.958288883104366</v>
      </c>
      <c r="BC212" s="16">
        <f>$W212*AH212+($L212)*Summary_LCIA!Y$32</f>
        <v>2.8670111717479783</v>
      </c>
      <c r="BD212" s="16">
        <f>$W212*AI212+($L212)*Summary_LCIA!Z$32</f>
        <v>0.27982509773737207</v>
      </c>
      <c r="BE212" s="16">
        <f>$W212*AJ212+($L212)*Summary_LCIA!AA$32</f>
        <v>4.9831202601631208</v>
      </c>
      <c r="BF212" s="16">
        <f>$W212*AK212+($L212)*Summary_LCIA!AB$32</f>
        <v>6.2181161671010135E-2</v>
      </c>
      <c r="BG212" s="16">
        <f>$W212*AL212+($L212)*Summary_LCIA!AC$32</f>
        <v>4.0051539221430365E-5</v>
      </c>
      <c r="BH212" s="16">
        <f>$W212*AM212+($L212)*Summary_LCIA!AD$32</f>
        <v>0.1700234838603335</v>
      </c>
      <c r="BI212" s="16">
        <f>$W212*AN212+($L212)*Summary_LCIA!AE$32</f>
        <v>0.44712482709930779</v>
      </c>
      <c r="BJ212" s="16">
        <f>$W212*AO212+($L212)*Summary_LCIA!AF$32</f>
        <v>0.14626333784899609</v>
      </c>
      <c r="BK212" s="16">
        <f>$W212*AP212+($L212)*Summary_LCIA!AG$32</f>
        <v>1.3123960708996116E-2</v>
      </c>
      <c r="BL212" s="16">
        <f>$W212*AQ212+($L212)*Summary_LCIA!AH$32</f>
        <v>2.0978235391010212</v>
      </c>
      <c r="BM212" s="16">
        <f>$W212*AR212+($L212)*Summary_LCIA!AI$32</f>
        <v>0.41914892415771371</v>
      </c>
      <c r="BN212" s="16"/>
    </row>
    <row r="213" spans="1:66" x14ac:dyDescent="0.25">
      <c r="A213" s="159">
        <v>344</v>
      </c>
      <c r="B213" s="159">
        <v>6</v>
      </c>
      <c r="C213" s="45">
        <v>45.404172000000003</v>
      </c>
      <c r="D213" s="45">
        <v>-71.892910999999998</v>
      </c>
      <c r="E213" s="45" t="s">
        <v>458</v>
      </c>
      <c r="F213" s="159">
        <v>124</v>
      </c>
      <c r="G213" s="45" t="s">
        <v>654</v>
      </c>
      <c r="H213" s="45" t="s">
        <v>655</v>
      </c>
      <c r="I213" s="45">
        <v>45.465685000000001</v>
      </c>
      <c r="J213" s="45">
        <v>-73.745480999999998</v>
      </c>
      <c r="K213" s="45">
        <v>146.99097639999999</v>
      </c>
      <c r="L213" s="45">
        <v>171.571</v>
      </c>
      <c r="M213" s="45" t="s">
        <v>617</v>
      </c>
      <c r="N213" s="159">
        <v>5</v>
      </c>
      <c r="O213" s="159">
        <v>6</v>
      </c>
      <c r="P213" s="45" t="s">
        <v>565</v>
      </c>
      <c r="Q213" s="45" t="s">
        <v>564</v>
      </c>
      <c r="R213" s="45">
        <v>41.98028</v>
      </c>
      <c r="S213" s="45">
        <v>-87.908997900000003</v>
      </c>
      <c r="T213" s="45">
        <v>1550.4570000000001</v>
      </c>
      <c r="U213" s="45" t="s">
        <v>617</v>
      </c>
      <c r="V213" s="45" t="s">
        <v>569</v>
      </c>
      <c r="W213" s="45" cm="1">
        <f t="array" ref="W213">getDistance(R213,S213,I213,J213)*SA!$B$12</f>
        <v>1203.4659634467887</v>
      </c>
      <c r="X213" s="22"/>
      <c r="Y213" s="16">
        <f>Transportation_LCIA!C$61*($W213^Transportation_LCIA!C$60)+Transportation_LCIA!C$62</f>
        <v>0.21772846046617148</v>
      </c>
      <c r="Z213" s="16">
        <f>Transportation_LCIA!D$61*($W213^Transportation_LCIA!D$60)+Transportation_LCIA!D$62</f>
        <v>2.2142470940859469</v>
      </c>
      <c r="AA213" s="16">
        <f>Transportation_LCIA!E$61*($W213^Transportation_LCIA!E$60)+Transportation_LCIA!E$62</f>
        <v>1.0055281245420159E-3</v>
      </c>
      <c r="AB213" s="16">
        <f>Transportation_LCIA!F$61*($W213^Transportation_LCIA!F$60)+Transportation_LCIA!F$62</f>
        <v>0.21772846046617148</v>
      </c>
      <c r="AC213" s="16">
        <f>Transportation_LCIA!G$61*($W213^Transportation_LCIA!G$60)+Transportation_LCIA!G$62</f>
        <v>5.1799374019000491E-2</v>
      </c>
      <c r="AD213" s="16">
        <f>Transportation_LCIA!H$61*($W213^Transportation_LCIA!H$60)+Transportation_LCIA!H$62</f>
        <v>2.4634416995171114E-4</v>
      </c>
      <c r="AE213" s="16">
        <f>Transportation_LCIA!I$61*($W213^Transportation_LCIA!I$60)+Transportation_LCIA!I$62</f>
        <v>5.1562528918712568E-6</v>
      </c>
      <c r="AF213" s="16">
        <f>Transportation_LCIA!J$61*($W213^Transportation_LCIA!J$60)+Transportation_LCIA!J$62</f>
        <v>7.6271492112845521E-3</v>
      </c>
      <c r="AG213" s="16">
        <f>Transportation_LCIA!K$61*($W213^Transportation_LCIA!K$60)+Transportation_LCIA!K$62</f>
        <v>1.0918234035860491E-2</v>
      </c>
      <c r="AH213" s="16">
        <f>Transportation_LCIA!L$61*($W213^Transportation_LCIA!L$60)+Transportation_LCIA!L$62</f>
        <v>2.1191432370679968E-4</v>
      </c>
      <c r="AI213" s="16">
        <f>Transportation_LCIA!M$61*($W213^Transportation_LCIA!M$60)+Transportation_LCIA!M$62</f>
        <v>2.2680395572104655E-4</v>
      </c>
      <c r="AJ213" s="16">
        <f>Transportation_LCIA!N$61*($W213^Transportation_LCIA!N$60)+Transportation_LCIA!N$62</f>
        <v>8.8743738884339729E-4</v>
      </c>
      <c r="AK213" s="16">
        <f>Transportation_LCIA!O$61*($W213^Transportation_LCIA!O$60)+Transportation_LCIA!O$62</f>
        <v>5.4708076102495621E-5</v>
      </c>
      <c r="AL213" s="16">
        <f>Transportation_LCIA!P$61*($W213^Transportation_LCIA!P$60)+Transportation_LCIA!P$62</f>
        <v>2.647121982427294E-8</v>
      </c>
      <c r="AM213" s="16">
        <f>Transportation_LCIA!Q$61*($W213^Transportation_LCIA!Q$60)+Transportation_LCIA!Q$62</f>
        <v>8.4025368237848467E-5</v>
      </c>
      <c r="AN213" s="16">
        <f>Transportation_LCIA!R$61*($W213^Transportation_LCIA!R$60)+Transportation_LCIA!R$62</f>
        <v>2.4810392360756592E-4</v>
      </c>
      <c r="AO213" s="16">
        <f>Transportation_LCIA!S$61*($W213^Transportation_LCIA!S$60)+Transportation_LCIA!S$62</f>
        <v>3.7784816746894015E-6</v>
      </c>
      <c r="AP213" s="16">
        <f>Transportation_LCIA!T$61*($W213^Transportation_LCIA!T$60)+Transportation_LCIA!T$62</f>
        <v>3.7784816746894015E-6</v>
      </c>
      <c r="AQ213" s="16">
        <f>Transportation_LCIA!U$61*($W213^Transportation_LCIA!U$60)+Transportation_LCIA!U$62</f>
        <v>5.3084715123251445E-4</v>
      </c>
      <c r="AR213" s="16">
        <f>Transportation_LCIA!V$61*($W213^Transportation_LCIA!V$60)+Transportation_LCIA!V$62</f>
        <v>2.1853136585972262E-4</v>
      </c>
      <c r="AT213" s="16">
        <f>$W213*Y213+($L213)*Summary_LCIA!H$32</f>
        <v>320.32861724470712</v>
      </c>
      <c r="AU213" s="16">
        <f>$W213*Z213+($L213)*Summary_LCIA!Q$32</f>
        <v>3515.0855412336391</v>
      </c>
      <c r="AV213" s="16">
        <f>$W213*AA213+($L213)*Summary_LCIA!R$32</f>
        <v>2.1135431307747994</v>
      </c>
      <c r="AW213" s="16">
        <f>$W213*AB213+($L213)*Summary_LCIA!S$32</f>
        <v>319.57027342470712</v>
      </c>
      <c r="AX213" s="16">
        <f>$W213*AC213+($L213)*Summary_LCIA!T$32</f>
        <v>81.194436459716982</v>
      </c>
      <c r="AY213" s="16">
        <f>$W213*AD213+($L213)*Summary_LCIA!U$32</f>
        <v>3.3699897178304354</v>
      </c>
      <c r="AZ213" s="16">
        <f>$W213*AE213+($L213)*Summary_LCIA!V$32</f>
        <v>1.4399777385291131E-2</v>
      </c>
      <c r="BA213" s="16">
        <f>$W213*AF213+($L213)*Summary_LCIA!W$32</f>
        <v>22.385005914910977</v>
      </c>
      <c r="BB213" s="16">
        <f>$W213*AG213+($L213)*Summary_LCIA!X$32</f>
        <v>17.048110423104365</v>
      </c>
      <c r="BC213" s="16">
        <f>$W213*AH213+($L213)*Summary_LCIA!Y$32</f>
        <v>2.9284509977479782</v>
      </c>
      <c r="BD213" s="16">
        <f>$W213*AI213+($L213)*Summary_LCIA!Z$32</f>
        <v>0.27998679622437211</v>
      </c>
      <c r="BE213" s="16">
        <f>$W213*AJ213+($L213)*Summary_LCIA!AA$32</f>
        <v>5.0752129681631217</v>
      </c>
      <c r="BF213" s="16">
        <f>$W213*AK213+($L213)*Summary_LCIA!AB$32</f>
        <v>6.2095113582010128E-2</v>
      </c>
      <c r="BG213" s="16">
        <f>$W213*AL213+($L213)*Summary_LCIA!AC$32</f>
        <v>4.0244288833430368E-5</v>
      </c>
      <c r="BH213" s="16">
        <f>$W213*AM213+($L213)*Summary_LCIA!AD$32</f>
        <v>0.17164421458033349</v>
      </c>
      <c r="BI213" s="16">
        <f>$W213*AN213+($L213)*Summary_LCIA!AE$32</f>
        <v>0.45061883768930777</v>
      </c>
      <c r="BJ213" s="16">
        <f>$W213*AO213+($L213)*Summary_LCIA!AF$32</f>
        <v>0.14959682890899612</v>
      </c>
      <c r="BK213" s="16">
        <f>$W213*AP213+($L213)*Summary_LCIA!AG$32</f>
        <v>1.3325704303996117E-2</v>
      </c>
      <c r="BL213" s="16">
        <f>$W213*AQ213+($L213)*Summary_LCIA!AH$32</f>
        <v>2.132141833901021</v>
      </c>
      <c r="BM213" s="16">
        <f>$W213*AR213+($L213)*Summary_LCIA!AI$32</f>
        <v>0.42282202580771372</v>
      </c>
      <c r="BN213" s="16"/>
    </row>
    <row r="214" spans="1:66" x14ac:dyDescent="0.25">
      <c r="A214" s="159">
        <v>307</v>
      </c>
      <c r="B214" s="159">
        <v>6</v>
      </c>
      <c r="C214" s="45">
        <v>41.888157999999997</v>
      </c>
      <c r="D214" s="45">
        <v>-71.477429000000001</v>
      </c>
      <c r="E214" s="45" t="s">
        <v>265</v>
      </c>
      <c r="F214" s="159">
        <v>53</v>
      </c>
      <c r="G214" s="45" t="s">
        <v>565</v>
      </c>
      <c r="H214" s="45" t="s">
        <v>634</v>
      </c>
      <c r="I214" s="45">
        <v>42.365613000000003</v>
      </c>
      <c r="J214" s="45">
        <v>-71.009559999999993</v>
      </c>
      <c r="K214" s="45">
        <v>86.564645630000001</v>
      </c>
      <c r="L214" s="45">
        <v>88.81</v>
      </c>
      <c r="M214" s="45" t="s">
        <v>617</v>
      </c>
      <c r="N214" s="159">
        <v>5</v>
      </c>
      <c r="O214" s="159">
        <v>6</v>
      </c>
      <c r="P214" s="45" t="s">
        <v>565</v>
      </c>
      <c r="Q214" s="45" t="s">
        <v>564</v>
      </c>
      <c r="R214" s="45">
        <v>41.98028</v>
      </c>
      <c r="S214" s="45">
        <v>-87.908997900000003</v>
      </c>
      <c r="T214" s="45">
        <v>1594.4960000000001</v>
      </c>
      <c r="U214" s="45" t="s">
        <v>617</v>
      </c>
      <c r="V214" s="45" t="s">
        <v>569</v>
      </c>
      <c r="W214" s="45" cm="1">
        <f t="array" ref="W214">getDistance(R214,S214,I214,J214)*SA!$B$12</f>
        <v>1394.7010754672544</v>
      </c>
      <c r="X214" s="22"/>
      <c r="Y214" s="16">
        <f>Transportation_LCIA!C$61*($W214^Transportation_LCIA!C$60)+Transportation_LCIA!C$62</f>
        <v>0.20541169071553828</v>
      </c>
      <c r="Z214" s="16">
        <f>Transportation_LCIA!D$61*($W214^Transportation_LCIA!D$60)+Transportation_LCIA!D$62</f>
        <v>2.0721352010636895</v>
      </c>
      <c r="AA214" s="16">
        <f>Transportation_LCIA!E$61*($W214^Transportation_LCIA!E$60)+Transportation_LCIA!E$62</f>
        <v>9.1238963377472367E-4</v>
      </c>
      <c r="AB214" s="16">
        <f>Transportation_LCIA!F$61*($W214^Transportation_LCIA!F$60)+Transportation_LCIA!F$62</f>
        <v>0.20541169071553828</v>
      </c>
      <c r="AC214" s="16">
        <f>Transportation_LCIA!G$61*($W214^Transportation_LCIA!G$60)+Transportation_LCIA!G$62</f>
        <v>4.8509327483629391E-2</v>
      </c>
      <c r="AD214" s="16">
        <f>Transportation_LCIA!H$61*($W214^Transportation_LCIA!H$60)+Transportation_LCIA!H$62</f>
        <v>2.2599378016231362E-4</v>
      </c>
      <c r="AE214" s="16">
        <f>Transportation_LCIA!I$61*($W214^Transportation_LCIA!I$60)+Transportation_LCIA!I$62</f>
        <v>4.6491421751201883E-6</v>
      </c>
      <c r="AF214" s="16">
        <f>Transportation_LCIA!J$61*($W214^Transportation_LCIA!J$60)+Transportation_LCIA!J$62</f>
        <v>6.8769243409976324E-3</v>
      </c>
      <c r="AG214" s="16">
        <f>Transportation_LCIA!K$61*($W214^Transportation_LCIA!K$60)+Transportation_LCIA!K$62</f>
        <v>1.0154626692609268E-2</v>
      </c>
      <c r="AH214" s="16">
        <f>Transportation_LCIA!L$61*($W214^Transportation_LCIA!L$60)+Transportation_LCIA!L$62</f>
        <v>1.9325951793727536E-4</v>
      </c>
      <c r="AI214" s="16">
        <f>Transportation_LCIA!M$61*($W214^Transportation_LCIA!M$60)+Transportation_LCIA!M$62</f>
        <v>2.1557662085587944E-4</v>
      </c>
      <c r="AJ214" s="16">
        <f>Transportation_LCIA!N$61*($W214^Transportation_LCIA!N$60)+Transportation_LCIA!N$62</f>
        <v>8.1896071080382658E-4</v>
      </c>
      <c r="AK214" s="16">
        <f>Transportation_LCIA!O$61*($W214^Transportation_LCIA!O$60)+Transportation_LCIA!O$62</f>
        <v>5.1213070403790544E-5</v>
      </c>
      <c r="AL214" s="16">
        <f>Transportation_LCIA!P$61*($W214^Transportation_LCIA!P$60)+Transportation_LCIA!P$62</f>
        <v>2.4789436903819814E-8</v>
      </c>
      <c r="AM214" s="16">
        <f>Transportation_LCIA!Q$61*($W214^Transportation_LCIA!Q$60)+Transportation_LCIA!Q$62</f>
        <v>7.6742684464983015E-5</v>
      </c>
      <c r="AN214" s="16">
        <f>Transportation_LCIA!R$61*($W214^Transportation_LCIA!R$60)+Transportation_LCIA!R$62</f>
        <v>2.2379243548062238E-4</v>
      </c>
      <c r="AO214" s="16">
        <f>Transportation_LCIA!S$61*($W214^Transportation_LCIA!S$60)+Transportation_LCIA!S$62</f>
        <v>3.4332930346487986E-6</v>
      </c>
      <c r="AP214" s="16">
        <f>Transportation_LCIA!T$61*($W214^Transportation_LCIA!T$60)+Transportation_LCIA!T$62</f>
        <v>3.4332930346487986E-6</v>
      </c>
      <c r="AQ214" s="16">
        <f>Transportation_LCIA!U$61*($W214^Transportation_LCIA!U$60)+Transportation_LCIA!U$62</f>
        <v>4.7763432067623047E-4</v>
      </c>
      <c r="AR214" s="16">
        <f>Transportation_LCIA!V$61*($W214^Transportation_LCIA!V$60)+Transportation_LCIA!V$62</f>
        <v>1.9962357996669805E-4</v>
      </c>
      <c r="AT214" s="16">
        <f>$W214*Y214+($L214)*Summary_LCIA!H$32</f>
        <v>316.66554395450828</v>
      </c>
      <c r="AU214" s="16">
        <f>$W214*Z214+($L214)*Summary_LCIA!Q$32</f>
        <v>3330.1560323918134</v>
      </c>
      <c r="AV214" s="16">
        <f>$W214*AA214+($L214)*Summary_LCIA!R$32</f>
        <v>1.7401487394707815</v>
      </c>
      <c r="AW214" s="16">
        <f>$W214*AB214+($L214)*Summary_LCIA!S$32</f>
        <v>316.2730037545083</v>
      </c>
      <c r="AX214" s="16">
        <f>$W214*AC214+($L214)*Summary_LCIA!T$32</f>
        <v>77.41623021161115</v>
      </c>
      <c r="AY214" s="16">
        <f>$W214*AD214+($L214)*Summary_LCIA!U$32</f>
        <v>1.9061361082412891</v>
      </c>
      <c r="AZ214" s="16">
        <f>$W214*AE214+($L214)*Summary_LCIA!V$32</f>
        <v>1.0725818001640297E-2</v>
      </c>
      <c r="BA214" s="16">
        <f>$W214*AF214+($L214)*Summary_LCIA!W$32</f>
        <v>16.427048284296337</v>
      </c>
      <c r="BB214" s="16">
        <f>$W214*AG214+($L214)*Summary_LCIA!X$32</f>
        <v>16.185760569150638</v>
      </c>
      <c r="BC214" s="16">
        <f>$W214*AH214+($L214)*Summary_LCIA!Y$32</f>
        <v>1.6533766775114012</v>
      </c>
      <c r="BD214" s="16">
        <f>$W214*AI214+($L214)*Summary_LCIA!Z$32</f>
        <v>0.30430695424329163</v>
      </c>
      <c r="BE214" s="16">
        <f>$W214*AJ214+($L214)*Summary_LCIA!AA$32</f>
        <v>3.2164517441235239</v>
      </c>
      <c r="BF214" s="16">
        <f>$W214*AK214+($L214)*Summary_LCIA!AB$32</f>
        <v>6.9488823740146893E-2</v>
      </c>
      <c r="BG214" s="16">
        <f>$W214*AL214+($L214)*Summary_LCIA!AC$32</f>
        <v>3.8915242349985142E-5</v>
      </c>
      <c r="BH214" s="16">
        <f>$W214*AM214+($L214)*Summary_LCIA!AD$32</f>
        <v>0.14353756695755598</v>
      </c>
      <c r="BI214" s="16">
        <f>$W214*AN214+($L214)*Summary_LCIA!AE$32</f>
        <v>0.39082075574626018</v>
      </c>
      <c r="BJ214" s="16">
        <f>$W214*AO214+($L214)*Summary_LCIA!AF$32</f>
        <v>7.9870167687818919E-2</v>
      </c>
      <c r="BK214" s="16">
        <f>$W214*AP214+($L214)*Summary_LCIA!AG$32</f>
        <v>9.3323811378189132E-3</v>
      </c>
      <c r="BL214" s="16">
        <f>$W214*AQ214+($L214)*Summary_LCIA!AH$32</f>
        <v>1.4391238167272102</v>
      </c>
      <c r="BM214" s="16">
        <f>$W214*AR214+($L214)*Summary_LCIA!AI$32</f>
        <v>0.36114617716817721</v>
      </c>
      <c r="BN214" s="16"/>
    </row>
    <row r="215" spans="1:66" x14ac:dyDescent="0.25">
      <c r="A215" s="159">
        <v>183</v>
      </c>
      <c r="B215" s="159">
        <v>6</v>
      </c>
      <c r="C215" s="45">
        <v>42.373615999999998</v>
      </c>
      <c r="D215" s="45">
        <v>-71.109734000000003</v>
      </c>
      <c r="E215" s="45" t="s">
        <v>265</v>
      </c>
      <c r="F215" s="159">
        <v>53</v>
      </c>
      <c r="G215" s="45" t="s">
        <v>565</v>
      </c>
      <c r="H215" s="45" t="s">
        <v>634</v>
      </c>
      <c r="I215" s="45">
        <v>42.365613000000003</v>
      </c>
      <c r="J215" s="45">
        <v>-71.009559999999993</v>
      </c>
      <c r="K215" s="45">
        <v>8.3485195930000007</v>
      </c>
      <c r="L215" s="45">
        <v>14.246</v>
      </c>
      <c r="M215" s="45" t="s">
        <v>617</v>
      </c>
      <c r="N215" s="159">
        <v>5</v>
      </c>
      <c r="O215" s="159">
        <v>6</v>
      </c>
      <c r="P215" s="45" t="s">
        <v>565</v>
      </c>
      <c r="Q215" s="45" t="s">
        <v>564</v>
      </c>
      <c r="R215" s="45">
        <v>41.98028</v>
      </c>
      <c r="S215" s="45">
        <v>-87.908997900000003</v>
      </c>
      <c r="T215" s="45">
        <v>1603.5250000000001</v>
      </c>
      <c r="U215" s="45" t="s">
        <v>617</v>
      </c>
      <c r="V215" s="45" t="s">
        <v>569</v>
      </c>
      <c r="W215" s="45" cm="1">
        <f t="array" ref="W215">getDistance(R215,S215,I215,J215)*SA!$B$12</f>
        <v>1394.7010754672544</v>
      </c>
      <c r="X215" s="22"/>
      <c r="Y215" s="16">
        <f>Transportation_LCIA!C$61*($W215^Transportation_LCIA!C$60)+Transportation_LCIA!C$62</f>
        <v>0.20541169071553828</v>
      </c>
      <c r="Z215" s="16">
        <f>Transportation_LCIA!D$61*($W215^Transportation_LCIA!D$60)+Transportation_LCIA!D$62</f>
        <v>2.0721352010636895</v>
      </c>
      <c r="AA215" s="16">
        <f>Transportation_LCIA!E$61*($W215^Transportation_LCIA!E$60)+Transportation_LCIA!E$62</f>
        <v>9.1238963377472367E-4</v>
      </c>
      <c r="AB215" s="16">
        <f>Transportation_LCIA!F$61*($W215^Transportation_LCIA!F$60)+Transportation_LCIA!F$62</f>
        <v>0.20541169071553828</v>
      </c>
      <c r="AC215" s="16">
        <f>Transportation_LCIA!G$61*($W215^Transportation_LCIA!G$60)+Transportation_LCIA!G$62</f>
        <v>4.8509327483629391E-2</v>
      </c>
      <c r="AD215" s="16">
        <f>Transportation_LCIA!H$61*($W215^Transportation_LCIA!H$60)+Transportation_LCIA!H$62</f>
        <v>2.2599378016231362E-4</v>
      </c>
      <c r="AE215" s="16">
        <f>Transportation_LCIA!I$61*($W215^Transportation_LCIA!I$60)+Transportation_LCIA!I$62</f>
        <v>4.6491421751201883E-6</v>
      </c>
      <c r="AF215" s="16">
        <f>Transportation_LCIA!J$61*($W215^Transportation_LCIA!J$60)+Transportation_LCIA!J$62</f>
        <v>6.8769243409976324E-3</v>
      </c>
      <c r="AG215" s="16">
        <f>Transportation_LCIA!K$61*($W215^Transportation_LCIA!K$60)+Transportation_LCIA!K$62</f>
        <v>1.0154626692609268E-2</v>
      </c>
      <c r="AH215" s="16">
        <f>Transportation_LCIA!L$61*($W215^Transportation_LCIA!L$60)+Transportation_LCIA!L$62</f>
        <v>1.9325951793727536E-4</v>
      </c>
      <c r="AI215" s="16">
        <f>Transportation_LCIA!M$61*($W215^Transportation_LCIA!M$60)+Transportation_LCIA!M$62</f>
        <v>2.1557662085587944E-4</v>
      </c>
      <c r="AJ215" s="16">
        <f>Transportation_LCIA!N$61*($W215^Transportation_LCIA!N$60)+Transportation_LCIA!N$62</f>
        <v>8.1896071080382658E-4</v>
      </c>
      <c r="AK215" s="16">
        <f>Transportation_LCIA!O$61*($W215^Transportation_LCIA!O$60)+Transportation_LCIA!O$62</f>
        <v>5.1213070403790544E-5</v>
      </c>
      <c r="AL215" s="16">
        <f>Transportation_LCIA!P$61*($W215^Transportation_LCIA!P$60)+Transportation_LCIA!P$62</f>
        <v>2.4789436903819814E-8</v>
      </c>
      <c r="AM215" s="16">
        <f>Transportation_LCIA!Q$61*($W215^Transportation_LCIA!Q$60)+Transportation_LCIA!Q$62</f>
        <v>7.6742684464983015E-5</v>
      </c>
      <c r="AN215" s="16">
        <f>Transportation_LCIA!R$61*($W215^Transportation_LCIA!R$60)+Transportation_LCIA!R$62</f>
        <v>2.2379243548062238E-4</v>
      </c>
      <c r="AO215" s="16">
        <f>Transportation_LCIA!S$61*($W215^Transportation_LCIA!S$60)+Transportation_LCIA!S$62</f>
        <v>3.4332930346487986E-6</v>
      </c>
      <c r="AP215" s="16">
        <f>Transportation_LCIA!T$61*($W215^Transportation_LCIA!T$60)+Transportation_LCIA!T$62</f>
        <v>3.4332930346487986E-6</v>
      </c>
      <c r="AQ215" s="16">
        <f>Transportation_LCIA!U$61*($W215^Transportation_LCIA!U$60)+Transportation_LCIA!U$62</f>
        <v>4.7763432067623047E-4</v>
      </c>
      <c r="AR215" s="16">
        <f>Transportation_LCIA!V$61*($W215^Transportation_LCIA!V$60)+Transportation_LCIA!V$62</f>
        <v>1.9962357996669805E-4</v>
      </c>
      <c r="AT215" s="16">
        <f>$W215*Y215+($L215)*Summary_LCIA!H$32</f>
        <v>291.32869675450826</v>
      </c>
      <c r="AU215" s="16">
        <f>$W215*Z215+($L215)*Summary_LCIA!Q$32</f>
        <v>2960.6130879056013</v>
      </c>
      <c r="AV215" s="16">
        <f>$W215*AA215+($L215)*Summary_LCIA!R$32</f>
        <v>1.3475245410707815</v>
      </c>
      <c r="AW215" s="16">
        <f>$W215*AB215+($L215)*Summary_LCIA!S$32</f>
        <v>291.26572943450827</v>
      </c>
      <c r="AX215" s="16">
        <f>$W215*AC215+($L215)*Summary_LCIA!T$32</f>
        <v>69.221646611611163</v>
      </c>
      <c r="AY215" s="16">
        <f>$W215*AD215+($L215)*Summary_LCIA!U$32</f>
        <v>0.57039661224128912</v>
      </c>
      <c r="AZ215" s="16">
        <f>$W215*AE215+($L215)*Summary_LCIA!V$32</f>
        <v>7.1645667976402965E-3</v>
      </c>
      <c r="BA215" s="16">
        <f>$W215*AF215+($L215)*Summary_LCIA!W$32</f>
        <v>10.687782640296337</v>
      </c>
      <c r="BB215" s="16">
        <f>$W215*AG215+($L215)*Summary_LCIA!X$32</f>
        <v>14.487192649150636</v>
      </c>
      <c r="BC215" s="16">
        <f>$W215*AH215+($L215)*Summary_LCIA!Y$32</f>
        <v>0.49152042951140107</v>
      </c>
      <c r="BD215" s="16">
        <f>$W215*AI215+($L215)*Summary_LCIA!Z$32</f>
        <v>0.30124915916729161</v>
      </c>
      <c r="BE215" s="16">
        <f>$W215*AJ215+($L215)*Summary_LCIA!AA$32</f>
        <v>1.474934960123524</v>
      </c>
      <c r="BF215" s="16">
        <f>$W215*AK215+($L215)*Summary_LCIA!AB$32</f>
        <v>7.1116033912146895E-2</v>
      </c>
      <c r="BG215" s="16">
        <f>$W215*AL215+($L215)*Summary_LCIA!AC$32</f>
        <v>3.5270255773985141E-5</v>
      </c>
      <c r="BH215" s="16">
        <f>$W215*AM215+($L215)*Summary_LCIA!AD$32</f>
        <v>0.11288878039755598</v>
      </c>
      <c r="BI215" s="16">
        <f>$W215*AN215+($L215)*Summary_LCIA!AE$32</f>
        <v>0.32474735842626018</v>
      </c>
      <c r="BJ215" s="16">
        <f>$W215*AO215+($L215)*Summary_LCIA!AF$32</f>
        <v>1.6832270807818912E-2</v>
      </c>
      <c r="BK215" s="16">
        <f>$W215*AP215+($L215)*Summary_LCIA!AG$32</f>
        <v>5.5173140778189134E-3</v>
      </c>
      <c r="BL215" s="16">
        <f>$W215*AQ215+($L215)*Summary_LCIA!AH$32</f>
        <v>0.79014858632721019</v>
      </c>
      <c r="BM215" s="16">
        <f>$W215*AR215+($L215)*Summary_LCIA!AI$32</f>
        <v>0.29168608296817722</v>
      </c>
      <c r="BN215" s="16"/>
    </row>
    <row r="216" spans="1:66" x14ac:dyDescent="0.25">
      <c r="A216" s="159">
        <v>114</v>
      </c>
      <c r="B216" s="159">
        <v>6</v>
      </c>
      <c r="C216" s="45">
        <v>42.359243999999997</v>
      </c>
      <c r="D216" s="45">
        <v>-71.093138999999994</v>
      </c>
      <c r="E216" s="45" t="s">
        <v>265</v>
      </c>
      <c r="F216" s="159">
        <v>53</v>
      </c>
      <c r="G216" s="45" t="s">
        <v>565</v>
      </c>
      <c r="H216" s="45" t="s">
        <v>634</v>
      </c>
      <c r="I216" s="45">
        <v>42.365613000000003</v>
      </c>
      <c r="J216" s="45">
        <v>-71.009559999999993</v>
      </c>
      <c r="K216" s="45">
        <v>7.2270388560000001</v>
      </c>
      <c r="L216" s="45">
        <v>8.6859999999999999</v>
      </c>
      <c r="M216" s="45" t="s">
        <v>617</v>
      </c>
      <c r="N216" s="159">
        <v>5</v>
      </c>
      <c r="O216" s="159">
        <v>6</v>
      </c>
      <c r="P216" s="45" t="s">
        <v>565</v>
      </c>
      <c r="Q216" s="45" t="s">
        <v>564</v>
      </c>
      <c r="R216" s="45">
        <v>41.98028</v>
      </c>
      <c r="S216" s="45">
        <v>-87.908997900000003</v>
      </c>
      <c r="T216" s="45">
        <v>1605.056</v>
      </c>
      <c r="U216" s="45" t="s">
        <v>617</v>
      </c>
      <c r="V216" s="45" t="s">
        <v>569</v>
      </c>
      <c r="W216" s="45" cm="1">
        <f t="array" ref="W216">getDistance(R216,S216,I216,J216)*SA!$B$12</f>
        <v>1394.7010754672544</v>
      </c>
      <c r="X216" s="22"/>
      <c r="Y216" s="16">
        <f>Transportation_LCIA!C$61*($W216^Transportation_LCIA!C$60)+Transportation_LCIA!C$62</f>
        <v>0.20541169071553828</v>
      </c>
      <c r="Z216" s="16">
        <f>Transportation_LCIA!D$61*($W216^Transportation_LCIA!D$60)+Transportation_LCIA!D$62</f>
        <v>2.0721352010636895</v>
      </c>
      <c r="AA216" s="16">
        <f>Transportation_LCIA!E$61*($W216^Transportation_LCIA!E$60)+Transportation_LCIA!E$62</f>
        <v>9.1238963377472367E-4</v>
      </c>
      <c r="AB216" s="16">
        <f>Transportation_LCIA!F$61*($W216^Transportation_LCIA!F$60)+Transportation_LCIA!F$62</f>
        <v>0.20541169071553828</v>
      </c>
      <c r="AC216" s="16">
        <f>Transportation_LCIA!G$61*($W216^Transportation_LCIA!G$60)+Transportation_LCIA!G$62</f>
        <v>4.8509327483629391E-2</v>
      </c>
      <c r="AD216" s="16">
        <f>Transportation_LCIA!H$61*($W216^Transportation_LCIA!H$60)+Transportation_LCIA!H$62</f>
        <v>2.2599378016231362E-4</v>
      </c>
      <c r="AE216" s="16">
        <f>Transportation_LCIA!I$61*($W216^Transportation_LCIA!I$60)+Transportation_LCIA!I$62</f>
        <v>4.6491421751201883E-6</v>
      </c>
      <c r="AF216" s="16">
        <f>Transportation_LCIA!J$61*($W216^Transportation_LCIA!J$60)+Transportation_LCIA!J$62</f>
        <v>6.8769243409976324E-3</v>
      </c>
      <c r="AG216" s="16">
        <f>Transportation_LCIA!K$61*($W216^Transportation_LCIA!K$60)+Transportation_LCIA!K$62</f>
        <v>1.0154626692609268E-2</v>
      </c>
      <c r="AH216" s="16">
        <f>Transportation_LCIA!L$61*($W216^Transportation_LCIA!L$60)+Transportation_LCIA!L$62</f>
        <v>1.9325951793727536E-4</v>
      </c>
      <c r="AI216" s="16">
        <f>Transportation_LCIA!M$61*($W216^Transportation_LCIA!M$60)+Transportation_LCIA!M$62</f>
        <v>2.1557662085587944E-4</v>
      </c>
      <c r="AJ216" s="16">
        <f>Transportation_LCIA!N$61*($W216^Transportation_LCIA!N$60)+Transportation_LCIA!N$62</f>
        <v>8.1896071080382658E-4</v>
      </c>
      <c r="AK216" s="16">
        <f>Transportation_LCIA!O$61*($W216^Transportation_LCIA!O$60)+Transportation_LCIA!O$62</f>
        <v>5.1213070403790544E-5</v>
      </c>
      <c r="AL216" s="16">
        <f>Transportation_LCIA!P$61*($W216^Transportation_LCIA!P$60)+Transportation_LCIA!P$62</f>
        <v>2.4789436903819814E-8</v>
      </c>
      <c r="AM216" s="16">
        <f>Transportation_LCIA!Q$61*($W216^Transportation_LCIA!Q$60)+Transportation_LCIA!Q$62</f>
        <v>7.6742684464983015E-5</v>
      </c>
      <c r="AN216" s="16">
        <f>Transportation_LCIA!R$61*($W216^Transportation_LCIA!R$60)+Transportation_LCIA!R$62</f>
        <v>2.2379243548062238E-4</v>
      </c>
      <c r="AO216" s="16">
        <f>Transportation_LCIA!S$61*($W216^Transportation_LCIA!S$60)+Transportation_LCIA!S$62</f>
        <v>3.4332930346487986E-6</v>
      </c>
      <c r="AP216" s="16">
        <f>Transportation_LCIA!T$61*($W216^Transportation_LCIA!T$60)+Transportation_LCIA!T$62</f>
        <v>3.4332930346487986E-6</v>
      </c>
      <c r="AQ216" s="16">
        <f>Transportation_LCIA!U$61*($W216^Transportation_LCIA!U$60)+Transportation_LCIA!U$62</f>
        <v>4.7763432067623047E-4</v>
      </c>
      <c r="AR216" s="16">
        <f>Transportation_LCIA!V$61*($W216^Transportation_LCIA!V$60)+Transportation_LCIA!V$62</f>
        <v>1.9962357996669805E-4</v>
      </c>
      <c r="AT216" s="16">
        <f>$W216*Y216+($L216)*Summary_LCIA!H$32</f>
        <v>289.43940875450829</v>
      </c>
      <c r="AU216" s="16">
        <f>$W216*Z216+($L216)*Summary_LCIA!Q$32</f>
        <v>2933.0574474981213</v>
      </c>
      <c r="AV216" s="16">
        <f>$W216*AA216+($L216)*Summary_LCIA!R$32</f>
        <v>1.3182478050707815</v>
      </c>
      <c r="AW216" s="16">
        <f>$W216*AB216+($L216)*Summary_LCIA!S$32</f>
        <v>289.40101663450827</v>
      </c>
      <c r="AX216" s="16">
        <f>$W216*AC216+($L216)*Summary_LCIA!T$32</f>
        <v>68.610602611611156</v>
      </c>
      <c r="AY216" s="16">
        <f>$W216*AD216+($L216)*Summary_LCIA!U$32</f>
        <v>0.47079477224128907</v>
      </c>
      <c r="AZ216" s="16">
        <f>$W216*AE216+($L216)*Summary_LCIA!V$32</f>
        <v>6.899015637640297E-3</v>
      </c>
      <c r="BA216" s="16">
        <f>$W216*AF216+($L216)*Summary_LCIA!W$32</f>
        <v>10.259823880296338</v>
      </c>
      <c r="BB216" s="16">
        <f>$W216*AG216+($L216)*Summary_LCIA!X$32</f>
        <v>14.360535849150637</v>
      </c>
      <c r="BC216" s="16">
        <f>$W216*AH216+($L216)*Summary_LCIA!Y$32</f>
        <v>0.40488450951140109</v>
      </c>
      <c r="BD216" s="16">
        <f>$W216*AI216+($L216)*Summary_LCIA!Z$32</f>
        <v>0.30102114912729161</v>
      </c>
      <c r="BE216" s="16">
        <f>$W216*AJ216+($L216)*Summary_LCIA!AA$32</f>
        <v>1.345075600123524</v>
      </c>
      <c r="BF216" s="16">
        <f>$W216*AK216+($L216)*Summary_LCIA!AB$32</f>
        <v>7.1237369792146885E-2</v>
      </c>
      <c r="BG216" s="16">
        <f>$W216*AL216+($L216)*Summary_LCIA!AC$32</f>
        <v>3.4998460733985143E-5</v>
      </c>
      <c r="BH216" s="16">
        <f>$W216*AM216+($L216)*Summary_LCIA!AD$32</f>
        <v>0.11060339799755597</v>
      </c>
      <c r="BI216" s="16">
        <f>$W216*AN216+($L216)*Summary_LCIA!AE$32</f>
        <v>0.31982047562626015</v>
      </c>
      <c r="BJ216" s="16">
        <f>$W216*AO216+($L216)*Summary_LCIA!AF$32</f>
        <v>1.2131735607818914E-2</v>
      </c>
      <c r="BK216" s="16">
        <f>$W216*AP216+($L216)*Summary_LCIA!AG$32</f>
        <v>5.2328366778189132E-3</v>
      </c>
      <c r="BL216" s="16">
        <f>$W216*AQ216+($L216)*Summary_LCIA!AH$32</f>
        <v>0.7417565703272101</v>
      </c>
      <c r="BM216" s="16">
        <f>$W216*AR216+($L216)*Summary_LCIA!AI$32</f>
        <v>0.28650666496817723</v>
      </c>
      <c r="BN216" s="16"/>
    </row>
    <row r="217" spans="1:66" x14ac:dyDescent="0.25">
      <c r="A217" s="159">
        <v>115</v>
      </c>
      <c r="B217" s="159">
        <v>6</v>
      </c>
      <c r="C217" s="45">
        <v>42.359243999999997</v>
      </c>
      <c r="D217" s="45">
        <v>-71.093138999999994</v>
      </c>
      <c r="E217" s="45" t="s">
        <v>265</v>
      </c>
      <c r="F217" s="159">
        <v>53</v>
      </c>
      <c r="G217" s="45" t="s">
        <v>565</v>
      </c>
      <c r="H217" s="45" t="s">
        <v>634</v>
      </c>
      <c r="I217" s="45">
        <v>42.365613000000003</v>
      </c>
      <c r="J217" s="45">
        <v>-71.009559999999993</v>
      </c>
      <c r="K217" s="45">
        <v>7.2270388560000001</v>
      </c>
      <c r="L217" s="45">
        <v>8.6859999999999999</v>
      </c>
      <c r="M217" s="45" t="s">
        <v>617</v>
      </c>
      <c r="N217" s="159">
        <v>5</v>
      </c>
      <c r="O217" s="159">
        <v>6</v>
      </c>
      <c r="P217" s="45" t="s">
        <v>565</v>
      </c>
      <c r="Q217" s="45" t="s">
        <v>564</v>
      </c>
      <c r="R217" s="45">
        <v>41.98028</v>
      </c>
      <c r="S217" s="45">
        <v>-87.908997900000003</v>
      </c>
      <c r="T217" s="45">
        <v>1605.056</v>
      </c>
      <c r="U217" s="45" t="s">
        <v>617</v>
      </c>
      <c r="V217" s="45" t="s">
        <v>569</v>
      </c>
      <c r="W217" s="45" cm="1">
        <f t="array" ref="W217">getDistance(R217,S217,I217,J217)*SA!$B$12</f>
        <v>1394.7010754672544</v>
      </c>
      <c r="X217" s="22"/>
      <c r="Y217" s="16">
        <f>Transportation_LCIA!C$61*($W217^Transportation_LCIA!C$60)+Transportation_LCIA!C$62</f>
        <v>0.20541169071553828</v>
      </c>
      <c r="Z217" s="16">
        <f>Transportation_LCIA!D$61*($W217^Transportation_LCIA!D$60)+Transportation_LCIA!D$62</f>
        <v>2.0721352010636895</v>
      </c>
      <c r="AA217" s="16">
        <f>Transportation_LCIA!E$61*($W217^Transportation_LCIA!E$60)+Transportation_LCIA!E$62</f>
        <v>9.1238963377472367E-4</v>
      </c>
      <c r="AB217" s="16">
        <f>Transportation_LCIA!F$61*($W217^Transportation_LCIA!F$60)+Transportation_LCIA!F$62</f>
        <v>0.20541169071553828</v>
      </c>
      <c r="AC217" s="16">
        <f>Transportation_LCIA!G$61*($W217^Transportation_LCIA!G$60)+Transportation_LCIA!G$62</f>
        <v>4.8509327483629391E-2</v>
      </c>
      <c r="AD217" s="16">
        <f>Transportation_LCIA!H$61*($W217^Transportation_LCIA!H$60)+Transportation_LCIA!H$62</f>
        <v>2.2599378016231362E-4</v>
      </c>
      <c r="AE217" s="16">
        <f>Transportation_LCIA!I$61*($W217^Transportation_LCIA!I$60)+Transportation_LCIA!I$62</f>
        <v>4.6491421751201883E-6</v>
      </c>
      <c r="AF217" s="16">
        <f>Transportation_LCIA!J$61*($W217^Transportation_LCIA!J$60)+Transportation_LCIA!J$62</f>
        <v>6.8769243409976324E-3</v>
      </c>
      <c r="AG217" s="16">
        <f>Transportation_LCIA!K$61*($W217^Transportation_LCIA!K$60)+Transportation_LCIA!K$62</f>
        <v>1.0154626692609268E-2</v>
      </c>
      <c r="AH217" s="16">
        <f>Transportation_LCIA!L$61*($W217^Transportation_LCIA!L$60)+Transportation_LCIA!L$62</f>
        <v>1.9325951793727536E-4</v>
      </c>
      <c r="AI217" s="16">
        <f>Transportation_LCIA!M$61*($W217^Transportation_LCIA!M$60)+Transportation_LCIA!M$62</f>
        <v>2.1557662085587944E-4</v>
      </c>
      <c r="AJ217" s="16">
        <f>Transportation_LCIA!N$61*($W217^Transportation_LCIA!N$60)+Transportation_LCIA!N$62</f>
        <v>8.1896071080382658E-4</v>
      </c>
      <c r="AK217" s="16">
        <f>Transportation_LCIA!O$61*($W217^Transportation_LCIA!O$60)+Transportation_LCIA!O$62</f>
        <v>5.1213070403790544E-5</v>
      </c>
      <c r="AL217" s="16">
        <f>Transportation_LCIA!P$61*($W217^Transportation_LCIA!P$60)+Transportation_LCIA!P$62</f>
        <v>2.4789436903819814E-8</v>
      </c>
      <c r="AM217" s="16">
        <f>Transportation_LCIA!Q$61*($W217^Transportation_LCIA!Q$60)+Transportation_LCIA!Q$62</f>
        <v>7.6742684464983015E-5</v>
      </c>
      <c r="AN217" s="16">
        <f>Transportation_LCIA!R$61*($W217^Transportation_LCIA!R$60)+Transportation_LCIA!R$62</f>
        <v>2.2379243548062238E-4</v>
      </c>
      <c r="AO217" s="16">
        <f>Transportation_LCIA!S$61*($W217^Transportation_LCIA!S$60)+Transportation_LCIA!S$62</f>
        <v>3.4332930346487986E-6</v>
      </c>
      <c r="AP217" s="16">
        <f>Transportation_LCIA!T$61*($W217^Transportation_LCIA!T$60)+Transportation_LCIA!T$62</f>
        <v>3.4332930346487986E-6</v>
      </c>
      <c r="AQ217" s="16">
        <f>Transportation_LCIA!U$61*($W217^Transportation_LCIA!U$60)+Transportation_LCIA!U$62</f>
        <v>4.7763432067623047E-4</v>
      </c>
      <c r="AR217" s="16">
        <f>Transportation_LCIA!V$61*($W217^Transportation_LCIA!V$60)+Transportation_LCIA!V$62</f>
        <v>1.9962357996669805E-4</v>
      </c>
      <c r="AT217" s="16">
        <f>$W217*Y217+($L217)*Summary_LCIA!H$32</f>
        <v>289.43940875450829</v>
      </c>
      <c r="AU217" s="16">
        <f>$W217*Z217+($L217)*Summary_LCIA!Q$32</f>
        <v>2933.0574474981213</v>
      </c>
      <c r="AV217" s="16">
        <f>$W217*AA217+($L217)*Summary_LCIA!R$32</f>
        <v>1.3182478050707815</v>
      </c>
      <c r="AW217" s="16">
        <f>$W217*AB217+($L217)*Summary_LCIA!S$32</f>
        <v>289.40101663450827</v>
      </c>
      <c r="AX217" s="16">
        <f>$W217*AC217+($L217)*Summary_LCIA!T$32</f>
        <v>68.610602611611156</v>
      </c>
      <c r="AY217" s="16">
        <f>$W217*AD217+($L217)*Summary_LCIA!U$32</f>
        <v>0.47079477224128907</v>
      </c>
      <c r="AZ217" s="16">
        <f>$W217*AE217+($L217)*Summary_LCIA!V$32</f>
        <v>6.899015637640297E-3</v>
      </c>
      <c r="BA217" s="16">
        <f>$W217*AF217+($L217)*Summary_LCIA!W$32</f>
        <v>10.259823880296338</v>
      </c>
      <c r="BB217" s="16">
        <f>$W217*AG217+($L217)*Summary_LCIA!X$32</f>
        <v>14.360535849150637</v>
      </c>
      <c r="BC217" s="16">
        <f>$W217*AH217+($L217)*Summary_LCIA!Y$32</f>
        <v>0.40488450951140109</v>
      </c>
      <c r="BD217" s="16">
        <f>$W217*AI217+($L217)*Summary_LCIA!Z$32</f>
        <v>0.30102114912729161</v>
      </c>
      <c r="BE217" s="16">
        <f>$W217*AJ217+($L217)*Summary_LCIA!AA$32</f>
        <v>1.345075600123524</v>
      </c>
      <c r="BF217" s="16">
        <f>$W217*AK217+($L217)*Summary_LCIA!AB$32</f>
        <v>7.1237369792146885E-2</v>
      </c>
      <c r="BG217" s="16">
        <f>$W217*AL217+($L217)*Summary_LCIA!AC$32</f>
        <v>3.4998460733985143E-5</v>
      </c>
      <c r="BH217" s="16">
        <f>$W217*AM217+($L217)*Summary_LCIA!AD$32</f>
        <v>0.11060339799755597</v>
      </c>
      <c r="BI217" s="16">
        <f>$W217*AN217+($L217)*Summary_LCIA!AE$32</f>
        <v>0.31982047562626015</v>
      </c>
      <c r="BJ217" s="16">
        <f>$W217*AO217+($L217)*Summary_LCIA!AF$32</f>
        <v>1.2131735607818914E-2</v>
      </c>
      <c r="BK217" s="16">
        <f>$W217*AP217+($L217)*Summary_LCIA!AG$32</f>
        <v>5.2328366778189132E-3</v>
      </c>
      <c r="BL217" s="16">
        <f>$W217*AQ217+($L217)*Summary_LCIA!AH$32</f>
        <v>0.7417565703272101</v>
      </c>
      <c r="BM217" s="16">
        <f>$W217*AR217+($L217)*Summary_LCIA!AI$32</f>
        <v>0.28650666496817723</v>
      </c>
      <c r="BN217" s="16"/>
    </row>
    <row r="218" spans="1:66" x14ac:dyDescent="0.25">
      <c r="A218" s="159">
        <v>116</v>
      </c>
      <c r="B218" s="159">
        <v>6</v>
      </c>
      <c r="C218" s="45">
        <v>42.359243999999997</v>
      </c>
      <c r="D218" s="45">
        <v>-71.093138999999994</v>
      </c>
      <c r="E218" s="45" t="s">
        <v>265</v>
      </c>
      <c r="F218" s="159">
        <v>53</v>
      </c>
      <c r="G218" s="45" t="s">
        <v>565</v>
      </c>
      <c r="H218" s="45" t="s">
        <v>634</v>
      </c>
      <c r="I218" s="45">
        <v>42.365613000000003</v>
      </c>
      <c r="J218" s="45">
        <v>-71.009559999999993</v>
      </c>
      <c r="K218" s="45">
        <v>7.2270388560000001</v>
      </c>
      <c r="L218" s="45">
        <v>8.6859999999999999</v>
      </c>
      <c r="M218" s="45" t="s">
        <v>617</v>
      </c>
      <c r="N218" s="159">
        <v>5</v>
      </c>
      <c r="O218" s="159">
        <v>6</v>
      </c>
      <c r="P218" s="45" t="s">
        <v>565</v>
      </c>
      <c r="Q218" s="45" t="s">
        <v>564</v>
      </c>
      <c r="R218" s="45">
        <v>41.98028</v>
      </c>
      <c r="S218" s="45">
        <v>-87.908997900000003</v>
      </c>
      <c r="T218" s="45">
        <v>1605.056</v>
      </c>
      <c r="U218" s="45" t="s">
        <v>617</v>
      </c>
      <c r="V218" s="45" t="s">
        <v>569</v>
      </c>
      <c r="W218" s="45" cm="1">
        <f t="array" ref="W218">getDistance(R218,S218,I218,J218)*SA!$B$12</f>
        <v>1394.7010754672544</v>
      </c>
      <c r="X218" s="22"/>
      <c r="Y218" s="16">
        <f>Transportation_LCIA!C$61*($W218^Transportation_LCIA!C$60)+Transportation_LCIA!C$62</f>
        <v>0.20541169071553828</v>
      </c>
      <c r="Z218" s="16">
        <f>Transportation_LCIA!D$61*($W218^Transportation_LCIA!D$60)+Transportation_LCIA!D$62</f>
        <v>2.0721352010636895</v>
      </c>
      <c r="AA218" s="16">
        <f>Transportation_LCIA!E$61*($W218^Transportation_LCIA!E$60)+Transportation_LCIA!E$62</f>
        <v>9.1238963377472367E-4</v>
      </c>
      <c r="AB218" s="16">
        <f>Transportation_LCIA!F$61*($W218^Transportation_LCIA!F$60)+Transportation_LCIA!F$62</f>
        <v>0.20541169071553828</v>
      </c>
      <c r="AC218" s="16">
        <f>Transportation_LCIA!G$61*($W218^Transportation_LCIA!G$60)+Transportation_LCIA!G$62</f>
        <v>4.8509327483629391E-2</v>
      </c>
      <c r="AD218" s="16">
        <f>Transportation_LCIA!H$61*($W218^Transportation_LCIA!H$60)+Transportation_LCIA!H$62</f>
        <v>2.2599378016231362E-4</v>
      </c>
      <c r="AE218" s="16">
        <f>Transportation_LCIA!I$61*($W218^Transportation_LCIA!I$60)+Transportation_LCIA!I$62</f>
        <v>4.6491421751201883E-6</v>
      </c>
      <c r="AF218" s="16">
        <f>Transportation_LCIA!J$61*($W218^Transportation_LCIA!J$60)+Transportation_LCIA!J$62</f>
        <v>6.8769243409976324E-3</v>
      </c>
      <c r="AG218" s="16">
        <f>Transportation_LCIA!K$61*($W218^Transportation_LCIA!K$60)+Transportation_LCIA!K$62</f>
        <v>1.0154626692609268E-2</v>
      </c>
      <c r="AH218" s="16">
        <f>Transportation_LCIA!L$61*($W218^Transportation_LCIA!L$60)+Transportation_LCIA!L$62</f>
        <v>1.9325951793727536E-4</v>
      </c>
      <c r="AI218" s="16">
        <f>Transportation_LCIA!M$61*($W218^Transportation_LCIA!M$60)+Transportation_LCIA!M$62</f>
        <v>2.1557662085587944E-4</v>
      </c>
      <c r="AJ218" s="16">
        <f>Transportation_LCIA!N$61*($W218^Transportation_LCIA!N$60)+Transportation_LCIA!N$62</f>
        <v>8.1896071080382658E-4</v>
      </c>
      <c r="AK218" s="16">
        <f>Transportation_LCIA!O$61*($W218^Transportation_LCIA!O$60)+Transportation_LCIA!O$62</f>
        <v>5.1213070403790544E-5</v>
      </c>
      <c r="AL218" s="16">
        <f>Transportation_LCIA!P$61*($W218^Transportation_LCIA!P$60)+Transportation_LCIA!P$62</f>
        <v>2.4789436903819814E-8</v>
      </c>
      <c r="AM218" s="16">
        <f>Transportation_LCIA!Q$61*($W218^Transportation_LCIA!Q$60)+Transportation_LCIA!Q$62</f>
        <v>7.6742684464983015E-5</v>
      </c>
      <c r="AN218" s="16">
        <f>Transportation_LCIA!R$61*($W218^Transportation_LCIA!R$60)+Transportation_LCIA!R$62</f>
        <v>2.2379243548062238E-4</v>
      </c>
      <c r="AO218" s="16">
        <f>Transportation_LCIA!S$61*($W218^Transportation_LCIA!S$60)+Transportation_LCIA!S$62</f>
        <v>3.4332930346487986E-6</v>
      </c>
      <c r="AP218" s="16">
        <f>Transportation_LCIA!T$61*($W218^Transportation_LCIA!T$60)+Transportation_LCIA!T$62</f>
        <v>3.4332930346487986E-6</v>
      </c>
      <c r="AQ218" s="16">
        <f>Transportation_LCIA!U$61*($W218^Transportation_LCIA!U$60)+Transportation_LCIA!U$62</f>
        <v>4.7763432067623047E-4</v>
      </c>
      <c r="AR218" s="16">
        <f>Transportation_LCIA!V$61*($W218^Transportation_LCIA!V$60)+Transportation_LCIA!V$62</f>
        <v>1.9962357996669805E-4</v>
      </c>
      <c r="AT218" s="16">
        <f>$W218*Y218+($L218)*Summary_LCIA!H$32</f>
        <v>289.43940875450829</v>
      </c>
      <c r="AU218" s="16">
        <f>$W218*Z218+($L218)*Summary_LCIA!Q$32</f>
        <v>2933.0574474981213</v>
      </c>
      <c r="AV218" s="16">
        <f>$W218*AA218+($L218)*Summary_LCIA!R$32</f>
        <v>1.3182478050707815</v>
      </c>
      <c r="AW218" s="16">
        <f>$W218*AB218+($L218)*Summary_LCIA!S$32</f>
        <v>289.40101663450827</v>
      </c>
      <c r="AX218" s="16">
        <f>$W218*AC218+($L218)*Summary_LCIA!T$32</f>
        <v>68.610602611611156</v>
      </c>
      <c r="AY218" s="16">
        <f>$W218*AD218+($L218)*Summary_LCIA!U$32</f>
        <v>0.47079477224128907</v>
      </c>
      <c r="AZ218" s="16">
        <f>$W218*AE218+($L218)*Summary_LCIA!V$32</f>
        <v>6.899015637640297E-3</v>
      </c>
      <c r="BA218" s="16">
        <f>$W218*AF218+($L218)*Summary_LCIA!W$32</f>
        <v>10.259823880296338</v>
      </c>
      <c r="BB218" s="16">
        <f>$W218*AG218+($L218)*Summary_LCIA!X$32</f>
        <v>14.360535849150637</v>
      </c>
      <c r="BC218" s="16">
        <f>$W218*AH218+($L218)*Summary_LCIA!Y$32</f>
        <v>0.40488450951140109</v>
      </c>
      <c r="BD218" s="16">
        <f>$W218*AI218+($L218)*Summary_LCIA!Z$32</f>
        <v>0.30102114912729161</v>
      </c>
      <c r="BE218" s="16">
        <f>$W218*AJ218+($L218)*Summary_LCIA!AA$32</f>
        <v>1.345075600123524</v>
      </c>
      <c r="BF218" s="16">
        <f>$W218*AK218+($L218)*Summary_LCIA!AB$32</f>
        <v>7.1237369792146885E-2</v>
      </c>
      <c r="BG218" s="16">
        <f>$W218*AL218+($L218)*Summary_LCIA!AC$32</f>
        <v>3.4998460733985143E-5</v>
      </c>
      <c r="BH218" s="16">
        <f>$W218*AM218+($L218)*Summary_LCIA!AD$32</f>
        <v>0.11060339799755597</v>
      </c>
      <c r="BI218" s="16">
        <f>$W218*AN218+($L218)*Summary_LCIA!AE$32</f>
        <v>0.31982047562626015</v>
      </c>
      <c r="BJ218" s="16">
        <f>$W218*AO218+($L218)*Summary_LCIA!AF$32</f>
        <v>1.2131735607818914E-2</v>
      </c>
      <c r="BK218" s="16">
        <f>$W218*AP218+($L218)*Summary_LCIA!AG$32</f>
        <v>5.2328366778189132E-3</v>
      </c>
      <c r="BL218" s="16">
        <f>$W218*AQ218+($L218)*Summary_LCIA!AH$32</f>
        <v>0.7417565703272101</v>
      </c>
      <c r="BM218" s="16">
        <f>$W218*AR218+($L218)*Summary_LCIA!AI$32</f>
        <v>0.28650666496817723</v>
      </c>
      <c r="BN218" s="16"/>
    </row>
    <row r="219" spans="1:66" x14ac:dyDescent="0.25">
      <c r="A219" s="159">
        <v>346</v>
      </c>
      <c r="B219" s="159">
        <v>6</v>
      </c>
      <c r="C219" s="45">
        <v>42.387597</v>
      </c>
      <c r="D219" s="45">
        <v>-71.099497</v>
      </c>
      <c r="E219" s="45" t="s">
        <v>265</v>
      </c>
      <c r="F219" s="159">
        <v>53</v>
      </c>
      <c r="G219" s="45" t="s">
        <v>565</v>
      </c>
      <c r="H219" s="45" t="s">
        <v>634</v>
      </c>
      <c r="I219" s="45">
        <v>42.365613000000003</v>
      </c>
      <c r="J219" s="45">
        <v>-71.009559999999993</v>
      </c>
      <c r="K219" s="45">
        <v>7.8292299280000002</v>
      </c>
      <c r="L219" s="45">
        <v>10.66</v>
      </c>
      <c r="M219" s="45" t="s">
        <v>617</v>
      </c>
      <c r="N219" s="159">
        <v>5</v>
      </c>
      <c r="O219" s="159">
        <v>6</v>
      </c>
      <c r="P219" s="45" t="s">
        <v>565</v>
      </c>
      <c r="Q219" s="45" t="s">
        <v>564</v>
      </c>
      <c r="R219" s="45">
        <v>41.98028</v>
      </c>
      <c r="S219" s="45">
        <v>-87.908997900000003</v>
      </c>
      <c r="T219" s="45">
        <v>1605.876</v>
      </c>
      <c r="U219" s="45" t="s">
        <v>617</v>
      </c>
      <c r="V219" s="45" t="s">
        <v>569</v>
      </c>
      <c r="W219" s="45" cm="1">
        <f t="array" ref="W219">getDistance(R219,S219,I219,J219)*SA!$B$12</f>
        <v>1394.7010754672544</v>
      </c>
      <c r="X219" s="22"/>
      <c r="Y219" s="16">
        <f>Transportation_LCIA!C$61*($W219^Transportation_LCIA!C$60)+Transportation_LCIA!C$62</f>
        <v>0.20541169071553828</v>
      </c>
      <c r="Z219" s="16">
        <f>Transportation_LCIA!D$61*($W219^Transportation_LCIA!D$60)+Transportation_LCIA!D$62</f>
        <v>2.0721352010636895</v>
      </c>
      <c r="AA219" s="16">
        <f>Transportation_LCIA!E$61*($W219^Transportation_LCIA!E$60)+Transportation_LCIA!E$62</f>
        <v>9.1238963377472367E-4</v>
      </c>
      <c r="AB219" s="16">
        <f>Transportation_LCIA!F$61*($W219^Transportation_LCIA!F$60)+Transportation_LCIA!F$62</f>
        <v>0.20541169071553828</v>
      </c>
      <c r="AC219" s="16">
        <f>Transportation_LCIA!G$61*($W219^Transportation_LCIA!G$60)+Transportation_LCIA!G$62</f>
        <v>4.8509327483629391E-2</v>
      </c>
      <c r="AD219" s="16">
        <f>Transportation_LCIA!H$61*($W219^Transportation_LCIA!H$60)+Transportation_LCIA!H$62</f>
        <v>2.2599378016231362E-4</v>
      </c>
      <c r="AE219" s="16">
        <f>Transportation_LCIA!I$61*($W219^Transportation_LCIA!I$60)+Transportation_LCIA!I$62</f>
        <v>4.6491421751201883E-6</v>
      </c>
      <c r="AF219" s="16">
        <f>Transportation_LCIA!J$61*($W219^Transportation_LCIA!J$60)+Transportation_LCIA!J$62</f>
        <v>6.8769243409976324E-3</v>
      </c>
      <c r="AG219" s="16">
        <f>Transportation_LCIA!K$61*($W219^Transportation_LCIA!K$60)+Transportation_LCIA!K$62</f>
        <v>1.0154626692609268E-2</v>
      </c>
      <c r="AH219" s="16">
        <f>Transportation_LCIA!L$61*($W219^Transportation_LCIA!L$60)+Transportation_LCIA!L$62</f>
        <v>1.9325951793727536E-4</v>
      </c>
      <c r="AI219" s="16">
        <f>Transportation_LCIA!M$61*($W219^Transportation_LCIA!M$60)+Transportation_LCIA!M$62</f>
        <v>2.1557662085587944E-4</v>
      </c>
      <c r="AJ219" s="16">
        <f>Transportation_LCIA!N$61*($W219^Transportation_LCIA!N$60)+Transportation_LCIA!N$62</f>
        <v>8.1896071080382658E-4</v>
      </c>
      <c r="AK219" s="16">
        <f>Transportation_LCIA!O$61*($W219^Transportation_LCIA!O$60)+Transportation_LCIA!O$62</f>
        <v>5.1213070403790544E-5</v>
      </c>
      <c r="AL219" s="16">
        <f>Transportation_LCIA!P$61*($W219^Transportation_LCIA!P$60)+Transportation_LCIA!P$62</f>
        <v>2.4789436903819814E-8</v>
      </c>
      <c r="AM219" s="16">
        <f>Transportation_LCIA!Q$61*($W219^Transportation_LCIA!Q$60)+Transportation_LCIA!Q$62</f>
        <v>7.6742684464983015E-5</v>
      </c>
      <c r="AN219" s="16">
        <f>Transportation_LCIA!R$61*($W219^Transportation_LCIA!R$60)+Transportation_LCIA!R$62</f>
        <v>2.2379243548062238E-4</v>
      </c>
      <c r="AO219" s="16">
        <f>Transportation_LCIA!S$61*($W219^Transportation_LCIA!S$60)+Transportation_LCIA!S$62</f>
        <v>3.4332930346487986E-6</v>
      </c>
      <c r="AP219" s="16">
        <f>Transportation_LCIA!T$61*($W219^Transportation_LCIA!T$60)+Transportation_LCIA!T$62</f>
        <v>3.4332930346487986E-6</v>
      </c>
      <c r="AQ219" s="16">
        <f>Transportation_LCIA!U$61*($W219^Transportation_LCIA!U$60)+Transportation_LCIA!U$62</f>
        <v>4.7763432067623047E-4</v>
      </c>
      <c r="AR219" s="16">
        <f>Transportation_LCIA!V$61*($W219^Transportation_LCIA!V$60)+Transportation_LCIA!V$62</f>
        <v>1.9962357996669805E-4</v>
      </c>
      <c r="AT219" s="16">
        <f>$W219*Y219+($L219)*Summary_LCIA!H$32</f>
        <v>290.1101739545083</v>
      </c>
      <c r="AU219" s="16">
        <f>$W219*Z219+($L219)*Summary_LCIA!Q$32</f>
        <v>2942.8406910528633</v>
      </c>
      <c r="AV219" s="16">
        <f>$W219*AA219+($L219)*Summary_LCIA!R$32</f>
        <v>1.3286420994707815</v>
      </c>
      <c r="AW219" s="16">
        <f>$W219*AB219+($L219)*Summary_LCIA!S$32</f>
        <v>290.0630567545083</v>
      </c>
      <c r="AX219" s="16">
        <f>$W219*AC219+($L219)*Summary_LCIA!T$32</f>
        <v>68.827545211611152</v>
      </c>
      <c r="AY219" s="16">
        <f>$W219*AD219+($L219)*Summary_LCIA!U$32</f>
        <v>0.50615700824128906</v>
      </c>
      <c r="AZ219" s="16">
        <f>$W219*AE219+($L219)*Summary_LCIA!V$32</f>
        <v>6.9932958516402965E-3</v>
      </c>
      <c r="BA219" s="16">
        <f>$W219*AF219+($L219)*Summary_LCIA!W$32</f>
        <v>10.411764634296338</v>
      </c>
      <c r="BB219" s="16">
        <f>$W219*AG219+($L219)*Summary_LCIA!X$32</f>
        <v>14.405503569150637</v>
      </c>
      <c r="BC219" s="16">
        <f>$W219*AH219+($L219)*Summary_LCIA!Y$32</f>
        <v>0.43564337751140103</v>
      </c>
      <c r="BD219" s="16">
        <f>$W219*AI219+($L219)*Summary_LCIA!Z$32</f>
        <v>0.30110210089329159</v>
      </c>
      <c r="BE219" s="16">
        <f>$W219*AJ219+($L219)*Summary_LCIA!AA$32</f>
        <v>1.391180344123524</v>
      </c>
      <c r="BF219" s="16">
        <f>$W219*AK219+($L219)*Summary_LCIA!AB$32</f>
        <v>7.1194291190146891E-2</v>
      </c>
      <c r="BG219" s="16">
        <f>$W219*AL219+($L219)*Summary_LCIA!AC$32</f>
        <v>3.5094957749985141E-5</v>
      </c>
      <c r="BH219" s="16">
        <f>$W219*AM219+($L219)*Summary_LCIA!AD$32</f>
        <v>0.11141479095755598</v>
      </c>
      <c r="BI219" s="16">
        <f>$W219*AN219+($L219)*Summary_LCIA!AE$32</f>
        <v>0.32156969624626019</v>
      </c>
      <c r="BJ219" s="16">
        <f>$W219*AO219+($L219)*Summary_LCIA!AF$32</f>
        <v>1.3800594687818914E-2</v>
      </c>
      <c r="BK219" s="16">
        <f>$W219*AP219+($L219)*Summary_LCIA!AG$32</f>
        <v>5.3338363878189139E-3</v>
      </c>
      <c r="BL219" s="16">
        <f>$W219*AQ219+($L219)*Summary_LCIA!AH$32</f>
        <v>0.75893747672721013</v>
      </c>
      <c r="BM219" s="16">
        <f>$W219*AR219+($L219)*Summary_LCIA!AI$32</f>
        <v>0.28834554466817724</v>
      </c>
      <c r="BN219" s="16"/>
    </row>
    <row r="220" spans="1:66" x14ac:dyDescent="0.25">
      <c r="A220" s="159">
        <v>81</v>
      </c>
      <c r="B220" s="159">
        <v>6</v>
      </c>
      <c r="C220" s="45">
        <v>42.339463000000002</v>
      </c>
      <c r="D220" s="45">
        <v>-71.088528999999994</v>
      </c>
      <c r="E220" s="45" t="s">
        <v>265</v>
      </c>
      <c r="F220" s="159">
        <v>53</v>
      </c>
      <c r="G220" s="45" t="s">
        <v>565</v>
      </c>
      <c r="H220" s="45" t="s">
        <v>634</v>
      </c>
      <c r="I220" s="45">
        <v>42.365613000000003</v>
      </c>
      <c r="J220" s="45">
        <v>-71.009559999999993</v>
      </c>
      <c r="K220" s="45">
        <v>8.1732109099999999</v>
      </c>
      <c r="L220" s="45">
        <v>10.691000000000001</v>
      </c>
      <c r="M220" s="45" t="s">
        <v>617</v>
      </c>
      <c r="N220" s="159">
        <v>5</v>
      </c>
      <c r="O220" s="159">
        <v>6</v>
      </c>
      <c r="P220" s="45" t="s">
        <v>565</v>
      </c>
      <c r="Q220" s="45" t="s">
        <v>564</v>
      </c>
      <c r="R220" s="45">
        <v>41.98028</v>
      </c>
      <c r="S220" s="61">
        <v>-87.908997900000003</v>
      </c>
      <c r="T220" s="45">
        <v>1606.79</v>
      </c>
      <c r="U220" s="45" t="s">
        <v>617</v>
      </c>
      <c r="V220" s="45" t="s">
        <v>569</v>
      </c>
      <c r="W220" s="45" cm="1">
        <f t="array" ref="W220">getDistance(R220,S220,I220,J220)*SA!$B$12</f>
        <v>1394.7010754672544</v>
      </c>
      <c r="X220" s="22"/>
      <c r="Y220" s="16">
        <f>Transportation_LCIA!C$61*($W220^Transportation_LCIA!C$60)+Transportation_LCIA!C$62</f>
        <v>0.20541169071553828</v>
      </c>
      <c r="Z220" s="16">
        <f>Transportation_LCIA!D$61*($W220^Transportation_LCIA!D$60)+Transportation_LCIA!D$62</f>
        <v>2.0721352010636895</v>
      </c>
      <c r="AA220" s="16">
        <f>Transportation_LCIA!E$61*($W220^Transportation_LCIA!E$60)+Transportation_LCIA!E$62</f>
        <v>9.1238963377472367E-4</v>
      </c>
      <c r="AB220" s="16">
        <f>Transportation_LCIA!F$61*($W220^Transportation_LCIA!F$60)+Transportation_LCIA!F$62</f>
        <v>0.20541169071553828</v>
      </c>
      <c r="AC220" s="16">
        <f>Transportation_LCIA!G$61*($W220^Transportation_LCIA!G$60)+Transportation_LCIA!G$62</f>
        <v>4.8509327483629391E-2</v>
      </c>
      <c r="AD220" s="16">
        <f>Transportation_LCIA!H$61*($W220^Transportation_LCIA!H$60)+Transportation_LCIA!H$62</f>
        <v>2.2599378016231362E-4</v>
      </c>
      <c r="AE220" s="16">
        <f>Transportation_LCIA!I$61*($W220^Transportation_LCIA!I$60)+Transportation_LCIA!I$62</f>
        <v>4.6491421751201883E-6</v>
      </c>
      <c r="AF220" s="16">
        <f>Transportation_LCIA!J$61*($W220^Transportation_LCIA!J$60)+Transportation_LCIA!J$62</f>
        <v>6.8769243409976324E-3</v>
      </c>
      <c r="AG220" s="16">
        <f>Transportation_LCIA!K$61*($W220^Transportation_LCIA!K$60)+Transportation_LCIA!K$62</f>
        <v>1.0154626692609268E-2</v>
      </c>
      <c r="AH220" s="16">
        <f>Transportation_LCIA!L$61*($W220^Transportation_LCIA!L$60)+Transportation_LCIA!L$62</f>
        <v>1.9325951793727536E-4</v>
      </c>
      <c r="AI220" s="16">
        <f>Transportation_LCIA!M$61*($W220^Transportation_LCIA!M$60)+Transportation_LCIA!M$62</f>
        <v>2.1557662085587944E-4</v>
      </c>
      <c r="AJ220" s="16">
        <f>Transportation_LCIA!N$61*($W220^Transportation_LCIA!N$60)+Transportation_LCIA!N$62</f>
        <v>8.1896071080382658E-4</v>
      </c>
      <c r="AK220" s="16">
        <f>Transportation_LCIA!O$61*($W220^Transportation_LCIA!O$60)+Transportation_LCIA!O$62</f>
        <v>5.1213070403790544E-5</v>
      </c>
      <c r="AL220" s="16">
        <f>Transportation_LCIA!P$61*($W220^Transportation_LCIA!P$60)+Transportation_LCIA!P$62</f>
        <v>2.4789436903819814E-8</v>
      </c>
      <c r="AM220" s="16">
        <f>Transportation_LCIA!Q$61*($W220^Transportation_LCIA!Q$60)+Transportation_LCIA!Q$62</f>
        <v>7.6742684464983015E-5</v>
      </c>
      <c r="AN220" s="16">
        <f>Transportation_LCIA!R$61*($W220^Transportation_LCIA!R$60)+Transportation_LCIA!R$62</f>
        <v>2.2379243548062238E-4</v>
      </c>
      <c r="AO220" s="16">
        <f>Transportation_LCIA!S$61*($W220^Transportation_LCIA!S$60)+Transportation_LCIA!S$62</f>
        <v>3.4332930346487986E-6</v>
      </c>
      <c r="AP220" s="16">
        <f>Transportation_LCIA!T$61*($W220^Transportation_LCIA!T$60)+Transportation_LCIA!T$62</f>
        <v>3.4332930346487986E-6</v>
      </c>
      <c r="AQ220" s="16">
        <f>Transportation_LCIA!U$61*($W220^Transportation_LCIA!U$60)+Transportation_LCIA!U$62</f>
        <v>4.7763432067623047E-4</v>
      </c>
      <c r="AR220" s="16">
        <f>Transportation_LCIA!V$61*($W220^Transportation_LCIA!V$60)+Transportation_LCIA!V$62</f>
        <v>1.9962357996669805E-4</v>
      </c>
      <c r="AT220" s="16">
        <f>$W220*Y220+($L220)*Summary_LCIA!H$32</f>
        <v>290.12070775450826</v>
      </c>
      <c r="AU220" s="16">
        <f>$W220*Z220+($L220)*Summary_LCIA!Q$32</f>
        <v>2942.9943286162866</v>
      </c>
      <c r="AV220" s="16">
        <f>$W220*AA220+($L220)*Summary_LCIA!R$32</f>
        <v>1.3288053330707814</v>
      </c>
      <c r="AW220" s="16">
        <f>$W220*AB220+($L220)*Summary_LCIA!S$32</f>
        <v>290.0734535345083</v>
      </c>
      <c r="AX220" s="16">
        <f>$W220*AC220+($L220)*Summary_LCIA!T$32</f>
        <v>68.830952111611154</v>
      </c>
      <c r="AY220" s="16">
        <f>$W220*AD220+($L220)*Summary_LCIA!U$32</f>
        <v>0.50671234224128914</v>
      </c>
      <c r="AZ220" s="16">
        <f>$W220*AE220+($L220)*Summary_LCIA!V$32</f>
        <v>6.9947764426402971E-3</v>
      </c>
      <c r="BA220" s="16">
        <f>$W220*AF220+($L220)*Summary_LCIA!W$32</f>
        <v>10.414150735296337</v>
      </c>
      <c r="BB220" s="16">
        <f>$W220*AG220+($L220)*Summary_LCIA!X$32</f>
        <v>14.406209749150637</v>
      </c>
      <c r="BC220" s="16">
        <f>$W220*AH220+($L220)*Summary_LCIA!Y$32</f>
        <v>0.43612641951140108</v>
      </c>
      <c r="BD220" s="16">
        <f>$W220*AI220+($L220)*Summary_LCIA!Z$32</f>
        <v>0.30110337217229161</v>
      </c>
      <c r="BE220" s="16">
        <f>$W220*AJ220+($L220)*Summary_LCIA!AA$32</f>
        <v>1.391904380123524</v>
      </c>
      <c r="BF220" s="16">
        <f>$W220*AK220+($L220)*Summary_LCIA!AB$32</f>
        <v>7.1193614677146883E-2</v>
      </c>
      <c r="BG220" s="16">
        <f>$W220*AL220+($L220)*Summary_LCIA!AC$32</f>
        <v>3.509647315398514E-5</v>
      </c>
      <c r="BH220" s="16">
        <f>$W220*AM220+($L220)*Summary_LCIA!AD$32</f>
        <v>0.11142753319755598</v>
      </c>
      <c r="BI220" s="16">
        <f>$W220*AN220+($L220)*Summary_LCIA!AE$32</f>
        <v>0.32159716627626017</v>
      </c>
      <c r="BJ220" s="16">
        <f>$W220*AO220+($L220)*Summary_LCIA!AF$32</f>
        <v>1.3826802707818914E-2</v>
      </c>
      <c r="BK220" s="16">
        <f>$W220*AP220+($L220)*Summary_LCIA!AG$32</f>
        <v>5.3354225028189135E-3</v>
      </c>
      <c r="BL220" s="16">
        <f>$W220*AQ220+($L220)*Summary_LCIA!AH$32</f>
        <v>0.75920728832721018</v>
      </c>
      <c r="BM220" s="16">
        <f>$W220*AR220+($L220)*Summary_LCIA!AI$32</f>
        <v>0.2883744227181772</v>
      </c>
      <c r="BN220" s="16"/>
    </row>
    <row r="221" spans="1:66" x14ac:dyDescent="0.25">
      <c r="A221" s="159">
        <v>82</v>
      </c>
      <c r="B221" s="159">
        <v>6</v>
      </c>
      <c r="C221" s="45">
        <v>42.339463000000002</v>
      </c>
      <c r="D221" s="45">
        <v>-71.088528999999994</v>
      </c>
      <c r="E221" s="45" t="s">
        <v>265</v>
      </c>
      <c r="F221" s="159">
        <v>53</v>
      </c>
      <c r="G221" s="45" t="s">
        <v>565</v>
      </c>
      <c r="H221" s="45" t="s">
        <v>634</v>
      </c>
      <c r="I221" s="45">
        <v>42.365613000000003</v>
      </c>
      <c r="J221" s="45">
        <v>-71.009559999999993</v>
      </c>
      <c r="K221" s="45">
        <v>8.1732109099999999</v>
      </c>
      <c r="L221" s="45">
        <v>10.691000000000001</v>
      </c>
      <c r="M221" s="45" t="s">
        <v>617</v>
      </c>
      <c r="N221" s="159">
        <v>5</v>
      </c>
      <c r="O221" s="159">
        <v>6</v>
      </c>
      <c r="P221" s="45" t="s">
        <v>565</v>
      </c>
      <c r="Q221" s="45" t="s">
        <v>564</v>
      </c>
      <c r="R221" s="45">
        <v>41.98028</v>
      </c>
      <c r="S221" s="61">
        <v>-87.908997900000003</v>
      </c>
      <c r="T221" s="45">
        <v>1606.79</v>
      </c>
      <c r="U221" s="45" t="s">
        <v>617</v>
      </c>
      <c r="V221" s="45" t="s">
        <v>569</v>
      </c>
      <c r="W221" s="45" cm="1">
        <f t="array" ref="W221">getDistance(R221,S221,I221,J221)*SA!$B$12</f>
        <v>1394.7010754672544</v>
      </c>
      <c r="X221" s="22"/>
      <c r="Y221" s="16">
        <f>Transportation_LCIA!C$61*($W221^Transportation_LCIA!C$60)+Transportation_LCIA!C$62</f>
        <v>0.20541169071553828</v>
      </c>
      <c r="Z221" s="16">
        <f>Transportation_LCIA!D$61*($W221^Transportation_LCIA!D$60)+Transportation_LCIA!D$62</f>
        <v>2.0721352010636895</v>
      </c>
      <c r="AA221" s="16">
        <f>Transportation_LCIA!E$61*($W221^Transportation_LCIA!E$60)+Transportation_LCIA!E$62</f>
        <v>9.1238963377472367E-4</v>
      </c>
      <c r="AB221" s="16">
        <f>Transportation_LCIA!F$61*($W221^Transportation_LCIA!F$60)+Transportation_LCIA!F$62</f>
        <v>0.20541169071553828</v>
      </c>
      <c r="AC221" s="16">
        <f>Transportation_LCIA!G$61*($W221^Transportation_LCIA!G$60)+Transportation_LCIA!G$62</f>
        <v>4.8509327483629391E-2</v>
      </c>
      <c r="AD221" s="16">
        <f>Transportation_LCIA!H$61*($W221^Transportation_LCIA!H$60)+Transportation_LCIA!H$62</f>
        <v>2.2599378016231362E-4</v>
      </c>
      <c r="AE221" s="16">
        <f>Transportation_LCIA!I$61*($W221^Transportation_LCIA!I$60)+Transportation_LCIA!I$62</f>
        <v>4.6491421751201883E-6</v>
      </c>
      <c r="AF221" s="16">
        <f>Transportation_LCIA!J$61*($W221^Transportation_LCIA!J$60)+Transportation_LCIA!J$62</f>
        <v>6.8769243409976324E-3</v>
      </c>
      <c r="AG221" s="16">
        <f>Transportation_LCIA!K$61*($W221^Transportation_LCIA!K$60)+Transportation_LCIA!K$62</f>
        <v>1.0154626692609268E-2</v>
      </c>
      <c r="AH221" s="16">
        <f>Transportation_LCIA!L$61*($W221^Transportation_LCIA!L$60)+Transportation_LCIA!L$62</f>
        <v>1.9325951793727536E-4</v>
      </c>
      <c r="AI221" s="16">
        <f>Transportation_LCIA!M$61*($W221^Transportation_LCIA!M$60)+Transportation_LCIA!M$62</f>
        <v>2.1557662085587944E-4</v>
      </c>
      <c r="AJ221" s="16">
        <f>Transportation_LCIA!N$61*($W221^Transportation_LCIA!N$60)+Transportation_LCIA!N$62</f>
        <v>8.1896071080382658E-4</v>
      </c>
      <c r="AK221" s="16">
        <f>Transportation_LCIA!O$61*($W221^Transportation_LCIA!O$60)+Transportation_LCIA!O$62</f>
        <v>5.1213070403790544E-5</v>
      </c>
      <c r="AL221" s="16">
        <f>Transportation_LCIA!P$61*($W221^Transportation_LCIA!P$60)+Transportation_LCIA!P$62</f>
        <v>2.4789436903819814E-8</v>
      </c>
      <c r="AM221" s="16">
        <f>Transportation_LCIA!Q$61*($W221^Transportation_LCIA!Q$60)+Transportation_LCIA!Q$62</f>
        <v>7.6742684464983015E-5</v>
      </c>
      <c r="AN221" s="16">
        <f>Transportation_LCIA!R$61*($W221^Transportation_LCIA!R$60)+Transportation_LCIA!R$62</f>
        <v>2.2379243548062238E-4</v>
      </c>
      <c r="AO221" s="16">
        <f>Transportation_LCIA!S$61*($W221^Transportation_LCIA!S$60)+Transportation_LCIA!S$62</f>
        <v>3.4332930346487986E-6</v>
      </c>
      <c r="AP221" s="16">
        <f>Transportation_LCIA!T$61*($W221^Transportation_LCIA!T$60)+Transportation_LCIA!T$62</f>
        <v>3.4332930346487986E-6</v>
      </c>
      <c r="AQ221" s="16">
        <f>Transportation_LCIA!U$61*($W221^Transportation_LCIA!U$60)+Transportation_LCIA!U$62</f>
        <v>4.7763432067623047E-4</v>
      </c>
      <c r="AR221" s="16">
        <f>Transportation_LCIA!V$61*($W221^Transportation_LCIA!V$60)+Transportation_LCIA!V$62</f>
        <v>1.9962357996669805E-4</v>
      </c>
      <c r="AT221" s="16">
        <f>$W221*Y221+($L221)*Summary_LCIA!H$32</f>
        <v>290.12070775450826</v>
      </c>
      <c r="AU221" s="16">
        <f>$W221*Z221+($L221)*Summary_LCIA!Q$32</f>
        <v>2942.9943286162866</v>
      </c>
      <c r="AV221" s="16">
        <f>$W221*AA221+($L221)*Summary_LCIA!R$32</f>
        <v>1.3288053330707814</v>
      </c>
      <c r="AW221" s="16">
        <f>$W221*AB221+($L221)*Summary_LCIA!S$32</f>
        <v>290.0734535345083</v>
      </c>
      <c r="AX221" s="16">
        <f>$W221*AC221+($L221)*Summary_LCIA!T$32</f>
        <v>68.830952111611154</v>
      </c>
      <c r="AY221" s="16">
        <f>$W221*AD221+($L221)*Summary_LCIA!U$32</f>
        <v>0.50671234224128914</v>
      </c>
      <c r="AZ221" s="16">
        <f>$W221*AE221+($L221)*Summary_LCIA!V$32</f>
        <v>6.9947764426402971E-3</v>
      </c>
      <c r="BA221" s="16">
        <f>$W221*AF221+($L221)*Summary_LCIA!W$32</f>
        <v>10.414150735296337</v>
      </c>
      <c r="BB221" s="16">
        <f>$W221*AG221+($L221)*Summary_LCIA!X$32</f>
        <v>14.406209749150637</v>
      </c>
      <c r="BC221" s="16">
        <f>$W221*AH221+($L221)*Summary_LCIA!Y$32</f>
        <v>0.43612641951140108</v>
      </c>
      <c r="BD221" s="16">
        <f>$W221*AI221+($L221)*Summary_LCIA!Z$32</f>
        <v>0.30110337217229161</v>
      </c>
      <c r="BE221" s="16">
        <f>$W221*AJ221+($L221)*Summary_LCIA!AA$32</f>
        <v>1.391904380123524</v>
      </c>
      <c r="BF221" s="16">
        <f>$W221*AK221+($L221)*Summary_LCIA!AB$32</f>
        <v>7.1193614677146883E-2</v>
      </c>
      <c r="BG221" s="16">
        <f>$W221*AL221+($L221)*Summary_LCIA!AC$32</f>
        <v>3.509647315398514E-5</v>
      </c>
      <c r="BH221" s="16">
        <f>$W221*AM221+($L221)*Summary_LCIA!AD$32</f>
        <v>0.11142753319755598</v>
      </c>
      <c r="BI221" s="16">
        <f>$W221*AN221+($L221)*Summary_LCIA!AE$32</f>
        <v>0.32159716627626017</v>
      </c>
      <c r="BJ221" s="16">
        <f>$W221*AO221+($L221)*Summary_LCIA!AF$32</f>
        <v>1.3826802707818914E-2</v>
      </c>
      <c r="BK221" s="16">
        <f>$W221*AP221+($L221)*Summary_LCIA!AG$32</f>
        <v>5.3354225028189135E-3</v>
      </c>
      <c r="BL221" s="16">
        <f>$W221*AQ221+($L221)*Summary_LCIA!AH$32</f>
        <v>0.75920728832721018</v>
      </c>
      <c r="BM221" s="16">
        <f>$W221*AR221+($L221)*Summary_LCIA!AI$32</f>
        <v>0.2883744227181772</v>
      </c>
      <c r="BN221" s="16"/>
    </row>
    <row r="222" spans="1:66" x14ac:dyDescent="0.25">
      <c r="A222" s="159">
        <v>160</v>
      </c>
      <c r="B222" s="159">
        <v>6</v>
      </c>
      <c r="C222" s="45">
        <v>42.360081999999998</v>
      </c>
      <c r="D222" s="45">
        <v>-71.058880000000002</v>
      </c>
      <c r="E222" s="45" t="s">
        <v>265</v>
      </c>
      <c r="F222" s="159">
        <v>53</v>
      </c>
      <c r="G222" s="45" t="s">
        <v>565</v>
      </c>
      <c r="H222" s="45" t="s">
        <v>634</v>
      </c>
      <c r="I222" s="45">
        <v>42.365613000000003</v>
      </c>
      <c r="J222" s="45">
        <v>-71.009559999999993</v>
      </c>
      <c r="K222" s="45">
        <v>4.3433329829999998</v>
      </c>
      <c r="L222" s="45">
        <v>5.3479999999999999</v>
      </c>
      <c r="M222" s="45" t="s">
        <v>617</v>
      </c>
      <c r="N222" s="159">
        <v>5</v>
      </c>
      <c r="O222" s="159">
        <v>6</v>
      </c>
      <c r="P222" s="45" t="s">
        <v>565</v>
      </c>
      <c r="Q222" s="45" t="s">
        <v>564</v>
      </c>
      <c r="R222" s="45">
        <v>41.98028</v>
      </c>
      <c r="S222" s="61">
        <v>-87.908997900000003</v>
      </c>
      <c r="T222" s="45">
        <v>1609.3040000000001</v>
      </c>
      <c r="U222" s="45" t="s">
        <v>617</v>
      </c>
      <c r="V222" s="45" t="s">
        <v>569</v>
      </c>
      <c r="W222" s="45" cm="1">
        <f t="array" ref="W222">getDistance(R222,S222,I222,J222)*SA!$B$12</f>
        <v>1394.7010754672544</v>
      </c>
      <c r="X222" s="22"/>
      <c r="Y222" s="16">
        <f>Transportation_LCIA!C$61*($W222^Transportation_LCIA!C$60)+Transportation_LCIA!C$62</f>
        <v>0.20541169071553828</v>
      </c>
      <c r="Z222" s="16">
        <f>Transportation_LCIA!D$61*($W222^Transportation_LCIA!D$60)+Transportation_LCIA!D$62</f>
        <v>2.0721352010636895</v>
      </c>
      <c r="AA222" s="16">
        <f>Transportation_LCIA!E$61*($W222^Transportation_LCIA!E$60)+Transportation_LCIA!E$62</f>
        <v>9.1238963377472367E-4</v>
      </c>
      <c r="AB222" s="16">
        <f>Transportation_LCIA!F$61*($W222^Transportation_LCIA!F$60)+Transportation_LCIA!F$62</f>
        <v>0.20541169071553828</v>
      </c>
      <c r="AC222" s="16">
        <f>Transportation_LCIA!G$61*($W222^Transportation_LCIA!G$60)+Transportation_LCIA!G$62</f>
        <v>4.8509327483629391E-2</v>
      </c>
      <c r="AD222" s="16">
        <f>Transportation_LCIA!H$61*($W222^Transportation_LCIA!H$60)+Transportation_LCIA!H$62</f>
        <v>2.2599378016231362E-4</v>
      </c>
      <c r="AE222" s="16">
        <f>Transportation_LCIA!I$61*($W222^Transportation_LCIA!I$60)+Transportation_LCIA!I$62</f>
        <v>4.6491421751201883E-6</v>
      </c>
      <c r="AF222" s="16">
        <f>Transportation_LCIA!J$61*($W222^Transportation_LCIA!J$60)+Transportation_LCIA!J$62</f>
        <v>6.8769243409976324E-3</v>
      </c>
      <c r="AG222" s="16">
        <f>Transportation_LCIA!K$61*($W222^Transportation_LCIA!K$60)+Transportation_LCIA!K$62</f>
        <v>1.0154626692609268E-2</v>
      </c>
      <c r="AH222" s="16">
        <f>Transportation_LCIA!L$61*($W222^Transportation_LCIA!L$60)+Transportation_LCIA!L$62</f>
        <v>1.9325951793727536E-4</v>
      </c>
      <c r="AI222" s="16">
        <f>Transportation_LCIA!M$61*($W222^Transportation_LCIA!M$60)+Transportation_LCIA!M$62</f>
        <v>2.1557662085587944E-4</v>
      </c>
      <c r="AJ222" s="16">
        <f>Transportation_LCIA!N$61*($W222^Transportation_LCIA!N$60)+Transportation_LCIA!N$62</f>
        <v>8.1896071080382658E-4</v>
      </c>
      <c r="AK222" s="16">
        <f>Transportation_LCIA!O$61*($W222^Transportation_LCIA!O$60)+Transportation_LCIA!O$62</f>
        <v>5.1213070403790544E-5</v>
      </c>
      <c r="AL222" s="16">
        <f>Transportation_LCIA!P$61*($W222^Transportation_LCIA!P$60)+Transportation_LCIA!P$62</f>
        <v>2.4789436903819814E-8</v>
      </c>
      <c r="AM222" s="16">
        <f>Transportation_LCIA!Q$61*($W222^Transportation_LCIA!Q$60)+Transportation_LCIA!Q$62</f>
        <v>7.6742684464983015E-5</v>
      </c>
      <c r="AN222" s="16">
        <f>Transportation_LCIA!R$61*($W222^Transportation_LCIA!R$60)+Transportation_LCIA!R$62</f>
        <v>2.2379243548062238E-4</v>
      </c>
      <c r="AO222" s="16">
        <f>Transportation_LCIA!S$61*($W222^Transportation_LCIA!S$60)+Transportation_LCIA!S$62</f>
        <v>3.4332930346487986E-6</v>
      </c>
      <c r="AP222" s="16">
        <f>Transportation_LCIA!T$61*($W222^Transportation_LCIA!T$60)+Transportation_LCIA!T$62</f>
        <v>3.4332930346487986E-6</v>
      </c>
      <c r="AQ222" s="16">
        <f>Transportation_LCIA!U$61*($W222^Transportation_LCIA!U$60)+Transportation_LCIA!U$62</f>
        <v>4.7763432067623047E-4</v>
      </c>
      <c r="AR222" s="16">
        <f>Transportation_LCIA!V$61*($W222^Transportation_LCIA!V$60)+Transportation_LCIA!V$62</f>
        <v>1.9962357996669805E-4</v>
      </c>
      <c r="AT222" s="16">
        <f>$W222*Y222+($L222)*Summary_LCIA!H$32</f>
        <v>288.30515635450826</v>
      </c>
      <c r="AU222" s="16">
        <f>$W222*Z222+($L222)*Summary_LCIA!Q$32</f>
        <v>2916.5141511527677</v>
      </c>
      <c r="AV222" s="16">
        <f>$W222*AA222+($L222)*Summary_LCIA!R$32</f>
        <v>1.3006712322707814</v>
      </c>
      <c r="AW222" s="16">
        <f>$W222*AB222+($L222)*Summary_LCIA!S$32</f>
        <v>288.28151819450829</v>
      </c>
      <c r="AX222" s="16">
        <f>$W222*AC222+($L222)*Summary_LCIA!T$32</f>
        <v>68.243756411611159</v>
      </c>
      <c r="AY222" s="16">
        <f>$W222*AD222+($L222)*Summary_LCIA!U$32</f>
        <v>0.41099784024128905</v>
      </c>
      <c r="AZ222" s="16">
        <f>$W222*AE222+($L222)*Summary_LCIA!V$32</f>
        <v>6.7395894196402972E-3</v>
      </c>
      <c r="BA222" s="16">
        <f>$W222*AF222+($L222)*Summary_LCIA!W$32</f>
        <v>10.002894682296338</v>
      </c>
      <c r="BB222" s="16">
        <f>$W222*AG222+($L222)*Summary_LCIA!X$32</f>
        <v>14.284496209150637</v>
      </c>
      <c r="BC222" s="16">
        <f>$W222*AH222+($L222)*Summary_LCIA!Y$32</f>
        <v>0.35287179351140108</v>
      </c>
      <c r="BD222" s="16">
        <f>$W222*AI222+($L222)*Summary_LCIA!Z$32</f>
        <v>0.30088426108529159</v>
      </c>
      <c r="BE222" s="16">
        <f>$W222*AJ222+($L222)*Summary_LCIA!AA$32</f>
        <v>1.2671132721235241</v>
      </c>
      <c r="BF222" s="16">
        <f>$W222*AK222+($L222)*Summary_LCIA!AB$32</f>
        <v>7.1310214966146881E-2</v>
      </c>
      <c r="BG222" s="16">
        <f>$W222*AL222+($L222)*Summary_LCIA!AC$32</f>
        <v>3.4835285941985145E-5</v>
      </c>
      <c r="BH222" s="16">
        <f>$W222*AM222+($L222)*Summary_LCIA!AD$32</f>
        <v>0.10923134647755597</v>
      </c>
      <c r="BI222" s="16">
        <f>$W222*AN222+($L222)*Summary_LCIA!AE$32</f>
        <v>0.31686257368626014</v>
      </c>
      <c r="BJ222" s="16">
        <f>$W222*AO222+($L222)*Summary_LCIA!AF$32</f>
        <v>9.3097236478189137E-3</v>
      </c>
      <c r="BK222" s="16">
        <f>$W222*AP222+($L222)*Summary_LCIA!AG$32</f>
        <v>5.0620479078189139E-3</v>
      </c>
      <c r="BL222" s="16">
        <f>$W222*AQ222+($L222)*Summary_LCIA!AH$32</f>
        <v>0.71270395352721017</v>
      </c>
      <c r="BM222" s="16">
        <f>$W222*AR222+($L222)*Summary_LCIA!AI$32</f>
        <v>0.2833971510681772</v>
      </c>
      <c r="BN222" s="16"/>
    </row>
    <row r="223" spans="1:66" x14ac:dyDescent="0.25">
      <c r="A223" s="159">
        <v>161</v>
      </c>
      <c r="B223" s="159">
        <v>6</v>
      </c>
      <c r="C223" s="45">
        <v>42.360081999999998</v>
      </c>
      <c r="D223" s="45">
        <v>-71.058880000000002</v>
      </c>
      <c r="E223" s="45" t="s">
        <v>265</v>
      </c>
      <c r="F223" s="159">
        <v>53</v>
      </c>
      <c r="G223" s="45" t="s">
        <v>565</v>
      </c>
      <c r="H223" s="45" t="s">
        <v>634</v>
      </c>
      <c r="I223" s="45">
        <v>42.365613000000003</v>
      </c>
      <c r="J223" s="45">
        <v>-71.009559999999993</v>
      </c>
      <c r="K223" s="45">
        <v>4.3433329829999998</v>
      </c>
      <c r="L223" s="45">
        <v>5.3479999999999999</v>
      </c>
      <c r="M223" s="45" t="s">
        <v>617</v>
      </c>
      <c r="N223" s="159">
        <v>5</v>
      </c>
      <c r="O223" s="159">
        <v>6</v>
      </c>
      <c r="P223" s="45" t="s">
        <v>565</v>
      </c>
      <c r="Q223" s="45" t="s">
        <v>564</v>
      </c>
      <c r="R223" s="45">
        <v>41.98028</v>
      </c>
      <c r="S223" s="61">
        <v>-87.908997900000003</v>
      </c>
      <c r="T223" s="45">
        <v>1609.3040000000001</v>
      </c>
      <c r="U223" s="45" t="s">
        <v>617</v>
      </c>
      <c r="V223" s="45" t="s">
        <v>569</v>
      </c>
      <c r="W223" s="45" cm="1">
        <f t="array" ref="W223">getDistance(R223,S223,I223,J223)*SA!$B$12</f>
        <v>1394.7010754672544</v>
      </c>
      <c r="X223" s="22"/>
      <c r="Y223" s="16">
        <f>Transportation_LCIA!C$61*($W223^Transportation_LCIA!C$60)+Transportation_LCIA!C$62</f>
        <v>0.20541169071553828</v>
      </c>
      <c r="Z223" s="16">
        <f>Transportation_LCIA!D$61*($W223^Transportation_LCIA!D$60)+Transportation_LCIA!D$62</f>
        <v>2.0721352010636895</v>
      </c>
      <c r="AA223" s="16">
        <f>Transportation_LCIA!E$61*($W223^Transportation_LCIA!E$60)+Transportation_LCIA!E$62</f>
        <v>9.1238963377472367E-4</v>
      </c>
      <c r="AB223" s="16">
        <f>Transportation_LCIA!F$61*($W223^Transportation_LCIA!F$60)+Transportation_LCIA!F$62</f>
        <v>0.20541169071553828</v>
      </c>
      <c r="AC223" s="16">
        <f>Transportation_LCIA!G$61*($W223^Transportation_LCIA!G$60)+Transportation_LCIA!G$62</f>
        <v>4.8509327483629391E-2</v>
      </c>
      <c r="AD223" s="16">
        <f>Transportation_LCIA!H$61*($W223^Transportation_LCIA!H$60)+Transportation_LCIA!H$62</f>
        <v>2.2599378016231362E-4</v>
      </c>
      <c r="AE223" s="16">
        <f>Transportation_LCIA!I$61*($W223^Transportation_LCIA!I$60)+Transportation_LCIA!I$62</f>
        <v>4.6491421751201883E-6</v>
      </c>
      <c r="AF223" s="16">
        <f>Transportation_LCIA!J$61*($W223^Transportation_LCIA!J$60)+Transportation_LCIA!J$62</f>
        <v>6.8769243409976324E-3</v>
      </c>
      <c r="AG223" s="16">
        <f>Transportation_LCIA!K$61*($W223^Transportation_LCIA!K$60)+Transportation_LCIA!K$62</f>
        <v>1.0154626692609268E-2</v>
      </c>
      <c r="AH223" s="16">
        <f>Transportation_LCIA!L$61*($W223^Transportation_LCIA!L$60)+Transportation_LCIA!L$62</f>
        <v>1.9325951793727536E-4</v>
      </c>
      <c r="AI223" s="16">
        <f>Transportation_LCIA!M$61*($W223^Transportation_LCIA!M$60)+Transportation_LCIA!M$62</f>
        <v>2.1557662085587944E-4</v>
      </c>
      <c r="AJ223" s="16">
        <f>Transportation_LCIA!N$61*($W223^Transportation_LCIA!N$60)+Transportation_LCIA!N$62</f>
        <v>8.1896071080382658E-4</v>
      </c>
      <c r="AK223" s="16">
        <f>Transportation_LCIA!O$61*($W223^Transportation_LCIA!O$60)+Transportation_LCIA!O$62</f>
        <v>5.1213070403790544E-5</v>
      </c>
      <c r="AL223" s="16">
        <f>Transportation_LCIA!P$61*($W223^Transportation_LCIA!P$60)+Transportation_LCIA!P$62</f>
        <v>2.4789436903819814E-8</v>
      </c>
      <c r="AM223" s="16">
        <f>Transportation_LCIA!Q$61*($W223^Transportation_LCIA!Q$60)+Transportation_LCIA!Q$62</f>
        <v>7.6742684464983015E-5</v>
      </c>
      <c r="AN223" s="16">
        <f>Transportation_LCIA!R$61*($W223^Transportation_LCIA!R$60)+Transportation_LCIA!R$62</f>
        <v>2.2379243548062238E-4</v>
      </c>
      <c r="AO223" s="16">
        <f>Transportation_LCIA!S$61*($W223^Transportation_LCIA!S$60)+Transportation_LCIA!S$62</f>
        <v>3.4332930346487986E-6</v>
      </c>
      <c r="AP223" s="16">
        <f>Transportation_LCIA!T$61*($W223^Transportation_LCIA!T$60)+Transportation_LCIA!T$62</f>
        <v>3.4332930346487986E-6</v>
      </c>
      <c r="AQ223" s="16">
        <f>Transportation_LCIA!U$61*($W223^Transportation_LCIA!U$60)+Transportation_LCIA!U$62</f>
        <v>4.7763432067623047E-4</v>
      </c>
      <c r="AR223" s="16">
        <f>Transportation_LCIA!V$61*($W223^Transportation_LCIA!V$60)+Transportation_LCIA!V$62</f>
        <v>1.9962357996669805E-4</v>
      </c>
      <c r="AT223" s="16">
        <f>$W223*Y223+($L223)*Summary_LCIA!H$32</f>
        <v>288.30515635450826</v>
      </c>
      <c r="AU223" s="16">
        <f>$W223*Z223+($L223)*Summary_LCIA!Q$32</f>
        <v>2916.5141511527677</v>
      </c>
      <c r="AV223" s="16">
        <f>$W223*AA223+($L223)*Summary_LCIA!R$32</f>
        <v>1.3006712322707814</v>
      </c>
      <c r="AW223" s="16">
        <f>$W223*AB223+($L223)*Summary_LCIA!S$32</f>
        <v>288.28151819450829</v>
      </c>
      <c r="AX223" s="16">
        <f>$W223*AC223+($L223)*Summary_LCIA!T$32</f>
        <v>68.243756411611159</v>
      </c>
      <c r="AY223" s="16">
        <f>$W223*AD223+($L223)*Summary_LCIA!U$32</f>
        <v>0.41099784024128905</v>
      </c>
      <c r="AZ223" s="16">
        <f>$W223*AE223+($L223)*Summary_LCIA!V$32</f>
        <v>6.7395894196402972E-3</v>
      </c>
      <c r="BA223" s="16">
        <f>$W223*AF223+($L223)*Summary_LCIA!W$32</f>
        <v>10.002894682296338</v>
      </c>
      <c r="BB223" s="16">
        <f>$W223*AG223+($L223)*Summary_LCIA!X$32</f>
        <v>14.284496209150637</v>
      </c>
      <c r="BC223" s="16">
        <f>$W223*AH223+($L223)*Summary_LCIA!Y$32</f>
        <v>0.35287179351140108</v>
      </c>
      <c r="BD223" s="16">
        <f>$W223*AI223+($L223)*Summary_LCIA!Z$32</f>
        <v>0.30088426108529159</v>
      </c>
      <c r="BE223" s="16">
        <f>$W223*AJ223+($L223)*Summary_LCIA!AA$32</f>
        <v>1.2671132721235241</v>
      </c>
      <c r="BF223" s="16">
        <f>$W223*AK223+($L223)*Summary_LCIA!AB$32</f>
        <v>7.1310214966146881E-2</v>
      </c>
      <c r="BG223" s="16">
        <f>$W223*AL223+($L223)*Summary_LCIA!AC$32</f>
        <v>3.4835285941985145E-5</v>
      </c>
      <c r="BH223" s="16">
        <f>$W223*AM223+($L223)*Summary_LCIA!AD$32</f>
        <v>0.10923134647755597</v>
      </c>
      <c r="BI223" s="16">
        <f>$W223*AN223+($L223)*Summary_LCIA!AE$32</f>
        <v>0.31686257368626014</v>
      </c>
      <c r="BJ223" s="16">
        <f>$W223*AO223+($L223)*Summary_LCIA!AF$32</f>
        <v>9.3097236478189137E-3</v>
      </c>
      <c r="BK223" s="16">
        <f>$W223*AP223+($L223)*Summary_LCIA!AG$32</f>
        <v>5.0620479078189139E-3</v>
      </c>
      <c r="BL223" s="16">
        <f>$W223*AQ223+($L223)*Summary_LCIA!AH$32</f>
        <v>0.71270395352721017</v>
      </c>
      <c r="BM223" s="16">
        <f>$W223*AR223+($L223)*Summary_LCIA!AI$32</f>
        <v>0.2833971510681772</v>
      </c>
      <c r="BN223" s="16"/>
    </row>
    <row r="224" spans="1:66" x14ac:dyDescent="0.25">
      <c r="A224" s="159">
        <v>162</v>
      </c>
      <c r="B224" s="159">
        <v>6</v>
      </c>
      <c r="C224" s="45">
        <v>42.360081999999998</v>
      </c>
      <c r="D224" s="45">
        <v>-71.058880000000002</v>
      </c>
      <c r="E224" s="45" t="s">
        <v>265</v>
      </c>
      <c r="F224" s="159">
        <v>53</v>
      </c>
      <c r="G224" s="45" t="s">
        <v>565</v>
      </c>
      <c r="H224" s="45" t="s">
        <v>634</v>
      </c>
      <c r="I224" s="45">
        <v>42.365613000000003</v>
      </c>
      <c r="J224" s="45">
        <v>-71.009559999999993</v>
      </c>
      <c r="K224" s="45">
        <v>4.3433329829999998</v>
      </c>
      <c r="L224" s="45">
        <v>5.3479999999999999</v>
      </c>
      <c r="M224" s="45" t="s">
        <v>617</v>
      </c>
      <c r="N224" s="159">
        <v>5</v>
      </c>
      <c r="O224" s="159">
        <v>6</v>
      </c>
      <c r="P224" s="45" t="s">
        <v>565</v>
      </c>
      <c r="Q224" s="45" t="s">
        <v>564</v>
      </c>
      <c r="R224" s="45">
        <v>41.98028</v>
      </c>
      <c r="S224" s="61">
        <v>-87.908997900000003</v>
      </c>
      <c r="T224" s="45">
        <v>1609.3040000000001</v>
      </c>
      <c r="U224" s="45" t="s">
        <v>617</v>
      </c>
      <c r="V224" s="45" t="s">
        <v>569</v>
      </c>
      <c r="W224" s="45" cm="1">
        <f t="array" ref="W224">getDistance(R224,S224,I224,J224)*SA!$B$12</f>
        <v>1394.7010754672544</v>
      </c>
      <c r="X224" s="22"/>
      <c r="Y224" s="16">
        <f>Transportation_LCIA!C$61*($W224^Transportation_LCIA!C$60)+Transportation_LCIA!C$62</f>
        <v>0.20541169071553828</v>
      </c>
      <c r="Z224" s="16">
        <f>Transportation_LCIA!D$61*($W224^Transportation_LCIA!D$60)+Transportation_LCIA!D$62</f>
        <v>2.0721352010636895</v>
      </c>
      <c r="AA224" s="16">
        <f>Transportation_LCIA!E$61*($W224^Transportation_LCIA!E$60)+Transportation_LCIA!E$62</f>
        <v>9.1238963377472367E-4</v>
      </c>
      <c r="AB224" s="16">
        <f>Transportation_LCIA!F$61*($W224^Transportation_LCIA!F$60)+Transportation_LCIA!F$62</f>
        <v>0.20541169071553828</v>
      </c>
      <c r="AC224" s="16">
        <f>Transportation_LCIA!G$61*($W224^Transportation_LCIA!G$60)+Transportation_LCIA!G$62</f>
        <v>4.8509327483629391E-2</v>
      </c>
      <c r="AD224" s="16">
        <f>Transportation_LCIA!H$61*($W224^Transportation_LCIA!H$60)+Transportation_LCIA!H$62</f>
        <v>2.2599378016231362E-4</v>
      </c>
      <c r="AE224" s="16">
        <f>Transportation_LCIA!I$61*($W224^Transportation_LCIA!I$60)+Transportation_LCIA!I$62</f>
        <v>4.6491421751201883E-6</v>
      </c>
      <c r="AF224" s="16">
        <f>Transportation_LCIA!J$61*($W224^Transportation_LCIA!J$60)+Transportation_LCIA!J$62</f>
        <v>6.8769243409976324E-3</v>
      </c>
      <c r="AG224" s="16">
        <f>Transportation_LCIA!K$61*($W224^Transportation_LCIA!K$60)+Transportation_LCIA!K$62</f>
        <v>1.0154626692609268E-2</v>
      </c>
      <c r="AH224" s="16">
        <f>Transportation_LCIA!L$61*($W224^Transportation_LCIA!L$60)+Transportation_LCIA!L$62</f>
        <v>1.9325951793727536E-4</v>
      </c>
      <c r="AI224" s="16">
        <f>Transportation_LCIA!M$61*($W224^Transportation_LCIA!M$60)+Transportation_LCIA!M$62</f>
        <v>2.1557662085587944E-4</v>
      </c>
      <c r="AJ224" s="16">
        <f>Transportation_LCIA!N$61*($W224^Transportation_LCIA!N$60)+Transportation_LCIA!N$62</f>
        <v>8.1896071080382658E-4</v>
      </c>
      <c r="AK224" s="16">
        <f>Transportation_LCIA!O$61*($W224^Transportation_LCIA!O$60)+Transportation_LCIA!O$62</f>
        <v>5.1213070403790544E-5</v>
      </c>
      <c r="AL224" s="16">
        <f>Transportation_LCIA!P$61*($W224^Transportation_LCIA!P$60)+Transportation_LCIA!P$62</f>
        <v>2.4789436903819814E-8</v>
      </c>
      <c r="AM224" s="16">
        <f>Transportation_LCIA!Q$61*($W224^Transportation_LCIA!Q$60)+Transportation_LCIA!Q$62</f>
        <v>7.6742684464983015E-5</v>
      </c>
      <c r="AN224" s="16">
        <f>Transportation_LCIA!R$61*($W224^Transportation_LCIA!R$60)+Transportation_LCIA!R$62</f>
        <v>2.2379243548062238E-4</v>
      </c>
      <c r="AO224" s="16">
        <f>Transportation_LCIA!S$61*($W224^Transportation_LCIA!S$60)+Transportation_LCIA!S$62</f>
        <v>3.4332930346487986E-6</v>
      </c>
      <c r="AP224" s="16">
        <f>Transportation_LCIA!T$61*($W224^Transportation_LCIA!T$60)+Transportation_LCIA!T$62</f>
        <v>3.4332930346487986E-6</v>
      </c>
      <c r="AQ224" s="16">
        <f>Transportation_LCIA!U$61*($W224^Transportation_LCIA!U$60)+Transportation_LCIA!U$62</f>
        <v>4.7763432067623047E-4</v>
      </c>
      <c r="AR224" s="16">
        <f>Transportation_LCIA!V$61*($W224^Transportation_LCIA!V$60)+Transportation_LCIA!V$62</f>
        <v>1.9962357996669805E-4</v>
      </c>
      <c r="AT224" s="16">
        <f>$W224*Y224+($L224)*Summary_LCIA!H$32</f>
        <v>288.30515635450826</v>
      </c>
      <c r="AU224" s="16">
        <f>$W224*Z224+($L224)*Summary_LCIA!Q$32</f>
        <v>2916.5141511527677</v>
      </c>
      <c r="AV224" s="16">
        <f>$W224*AA224+($L224)*Summary_LCIA!R$32</f>
        <v>1.3006712322707814</v>
      </c>
      <c r="AW224" s="16">
        <f>$W224*AB224+($L224)*Summary_LCIA!S$32</f>
        <v>288.28151819450829</v>
      </c>
      <c r="AX224" s="16">
        <f>$W224*AC224+($L224)*Summary_LCIA!T$32</f>
        <v>68.243756411611159</v>
      </c>
      <c r="AY224" s="16">
        <f>$W224*AD224+($L224)*Summary_LCIA!U$32</f>
        <v>0.41099784024128905</v>
      </c>
      <c r="AZ224" s="16">
        <f>$W224*AE224+($L224)*Summary_LCIA!V$32</f>
        <v>6.7395894196402972E-3</v>
      </c>
      <c r="BA224" s="16">
        <f>$W224*AF224+($L224)*Summary_LCIA!W$32</f>
        <v>10.002894682296338</v>
      </c>
      <c r="BB224" s="16">
        <f>$W224*AG224+($L224)*Summary_LCIA!X$32</f>
        <v>14.284496209150637</v>
      </c>
      <c r="BC224" s="16">
        <f>$W224*AH224+($L224)*Summary_LCIA!Y$32</f>
        <v>0.35287179351140108</v>
      </c>
      <c r="BD224" s="16">
        <f>$W224*AI224+($L224)*Summary_LCIA!Z$32</f>
        <v>0.30088426108529159</v>
      </c>
      <c r="BE224" s="16">
        <f>$W224*AJ224+($L224)*Summary_LCIA!AA$32</f>
        <v>1.2671132721235241</v>
      </c>
      <c r="BF224" s="16">
        <f>$W224*AK224+($L224)*Summary_LCIA!AB$32</f>
        <v>7.1310214966146881E-2</v>
      </c>
      <c r="BG224" s="16">
        <f>$W224*AL224+($L224)*Summary_LCIA!AC$32</f>
        <v>3.4835285941985145E-5</v>
      </c>
      <c r="BH224" s="16">
        <f>$W224*AM224+($L224)*Summary_LCIA!AD$32</f>
        <v>0.10923134647755597</v>
      </c>
      <c r="BI224" s="16">
        <f>$W224*AN224+($L224)*Summary_LCIA!AE$32</f>
        <v>0.31686257368626014</v>
      </c>
      <c r="BJ224" s="16">
        <f>$W224*AO224+($L224)*Summary_LCIA!AF$32</f>
        <v>9.3097236478189137E-3</v>
      </c>
      <c r="BK224" s="16">
        <f>$W224*AP224+($L224)*Summary_LCIA!AG$32</f>
        <v>5.0620479078189139E-3</v>
      </c>
      <c r="BL224" s="16">
        <f>$W224*AQ224+($L224)*Summary_LCIA!AH$32</f>
        <v>0.71270395352721017</v>
      </c>
      <c r="BM224" s="16">
        <f>$W224*AR224+($L224)*Summary_LCIA!AI$32</f>
        <v>0.2833971510681772</v>
      </c>
      <c r="BN224" s="16"/>
    </row>
    <row r="225" spans="1:66" x14ac:dyDescent="0.25">
      <c r="A225" s="159">
        <v>163</v>
      </c>
      <c r="B225" s="159">
        <v>6</v>
      </c>
      <c r="C225" s="45">
        <v>42.360081999999998</v>
      </c>
      <c r="D225" s="45">
        <v>-71.058880000000002</v>
      </c>
      <c r="E225" s="45" t="s">
        <v>265</v>
      </c>
      <c r="F225" s="159">
        <v>53</v>
      </c>
      <c r="G225" s="45" t="s">
        <v>565</v>
      </c>
      <c r="H225" s="45" t="s">
        <v>634</v>
      </c>
      <c r="I225" s="45">
        <v>42.365613000000003</v>
      </c>
      <c r="J225" s="45">
        <v>-71.009559999999993</v>
      </c>
      <c r="K225" s="45">
        <v>4.3433329829999998</v>
      </c>
      <c r="L225" s="45">
        <v>5.3479999999999999</v>
      </c>
      <c r="M225" s="45" t="s">
        <v>617</v>
      </c>
      <c r="N225" s="159">
        <v>5</v>
      </c>
      <c r="O225" s="159">
        <v>6</v>
      </c>
      <c r="P225" s="45" t="s">
        <v>565</v>
      </c>
      <c r="Q225" s="45" t="s">
        <v>564</v>
      </c>
      <c r="R225" s="45">
        <v>41.98028</v>
      </c>
      <c r="S225" s="61">
        <v>-87.908997900000003</v>
      </c>
      <c r="T225" s="45">
        <v>1609.3040000000001</v>
      </c>
      <c r="U225" s="45" t="s">
        <v>617</v>
      </c>
      <c r="V225" s="45" t="s">
        <v>569</v>
      </c>
      <c r="W225" s="45" cm="1">
        <f t="array" ref="W225">getDistance(R225,S225,I225,J225)*SA!$B$12</f>
        <v>1394.7010754672544</v>
      </c>
      <c r="X225" s="22"/>
      <c r="Y225" s="16">
        <f>Transportation_LCIA!C$61*($W225^Transportation_LCIA!C$60)+Transportation_LCIA!C$62</f>
        <v>0.20541169071553828</v>
      </c>
      <c r="Z225" s="16">
        <f>Transportation_LCIA!D$61*($W225^Transportation_LCIA!D$60)+Transportation_LCIA!D$62</f>
        <v>2.0721352010636895</v>
      </c>
      <c r="AA225" s="16">
        <f>Transportation_LCIA!E$61*($W225^Transportation_LCIA!E$60)+Transportation_LCIA!E$62</f>
        <v>9.1238963377472367E-4</v>
      </c>
      <c r="AB225" s="16">
        <f>Transportation_LCIA!F$61*($W225^Transportation_LCIA!F$60)+Transportation_LCIA!F$62</f>
        <v>0.20541169071553828</v>
      </c>
      <c r="AC225" s="16">
        <f>Transportation_LCIA!G$61*($W225^Transportation_LCIA!G$60)+Transportation_LCIA!G$62</f>
        <v>4.8509327483629391E-2</v>
      </c>
      <c r="AD225" s="16">
        <f>Transportation_LCIA!H$61*($W225^Transportation_LCIA!H$60)+Transportation_LCIA!H$62</f>
        <v>2.2599378016231362E-4</v>
      </c>
      <c r="AE225" s="16">
        <f>Transportation_LCIA!I$61*($W225^Transportation_LCIA!I$60)+Transportation_LCIA!I$62</f>
        <v>4.6491421751201883E-6</v>
      </c>
      <c r="AF225" s="16">
        <f>Transportation_LCIA!J$61*($W225^Transportation_LCIA!J$60)+Transportation_LCIA!J$62</f>
        <v>6.8769243409976324E-3</v>
      </c>
      <c r="AG225" s="16">
        <f>Transportation_LCIA!K$61*($W225^Transportation_LCIA!K$60)+Transportation_LCIA!K$62</f>
        <v>1.0154626692609268E-2</v>
      </c>
      <c r="AH225" s="16">
        <f>Transportation_LCIA!L$61*($W225^Transportation_LCIA!L$60)+Transportation_LCIA!L$62</f>
        <v>1.9325951793727536E-4</v>
      </c>
      <c r="AI225" s="16">
        <f>Transportation_LCIA!M$61*($W225^Transportation_LCIA!M$60)+Transportation_LCIA!M$62</f>
        <v>2.1557662085587944E-4</v>
      </c>
      <c r="AJ225" s="16">
        <f>Transportation_LCIA!N$61*($W225^Transportation_LCIA!N$60)+Transportation_LCIA!N$62</f>
        <v>8.1896071080382658E-4</v>
      </c>
      <c r="AK225" s="16">
        <f>Transportation_LCIA!O$61*($W225^Transportation_LCIA!O$60)+Transportation_LCIA!O$62</f>
        <v>5.1213070403790544E-5</v>
      </c>
      <c r="AL225" s="16">
        <f>Transportation_LCIA!P$61*($W225^Transportation_LCIA!P$60)+Transportation_LCIA!P$62</f>
        <v>2.4789436903819814E-8</v>
      </c>
      <c r="AM225" s="16">
        <f>Transportation_LCIA!Q$61*($W225^Transportation_LCIA!Q$60)+Transportation_LCIA!Q$62</f>
        <v>7.6742684464983015E-5</v>
      </c>
      <c r="AN225" s="16">
        <f>Transportation_LCIA!R$61*($W225^Transportation_LCIA!R$60)+Transportation_LCIA!R$62</f>
        <v>2.2379243548062238E-4</v>
      </c>
      <c r="AO225" s="16">
        <f>Transportation_LCIA!S$61*($W225^Transportation_LCIA!S$60)+Transportation_LCIA!S$62</f>
        <v>3.4332930346487986E-6</v>
      </c>
      <c r="AP225" s="16">
        <f>Transportation_LCIA!T$61*($W225^Transportation_LCIA!T$60)+Transportation_LCIA!T$62</f>
        <v>3.4332930346487986E-6</v>
      </c>
      <c r="AQ225" s="16">
        <f>Transportation_LCIA!U$61*($W225^Transportation_LCIA!U$60)+Transportation_LCIA!U$62</f>
        <v>4.7763432067623047E-4</v>
      </c>
      <c r="AR225" s="16">
        <f>Transportation_LCIA!V$61*($W225^Transportation_LCIA!V$60)+Transportation_LCIA!V$62</f>
        <v>1.9962357996669805E-4</v>
      </c>
      <c r="AT225" s="16">
        <f>$W225*Y225+($L225)*Summary_LCIA!H$32</f>
        <v>288.30515635450826</v>
      </c>
      <c r="AU225" s="16">
        <f>$W225*Z225+($L225)*Summary_LCIA!Q$32</f>
        <v>2916.5141511527677</v>
      </c>
      <c r="AV225" s="16">
        <f>$W225*AA225+($L225)*Summary_LCIA!R$32</f>
        <v>1.3006712322707814</v>
      </c>
      <c r="AW225" s="16">
        <f>$W225*AB225+($L225)*Summary_LCIA!S$32</f>
        <v>288.28151819450829</v>
      </c>
      <c r="AX225" s="16">
        <f>$W225*AC225+($L225)*Summary_LCIA!T$32</f>
        <v>68.243756411611159</v>
      </c>
      <c r="AY225" s="16">
        <f>$W225*AD225+($L225)*Summary_LCIA!U$32</f>
        <v>0.41099784024128905</v>
      </c>
      <c r="AZ225" s="16">
        <f>$W225*AE225+($L225)*Summary_LCIA!V$32</f>
        <v>6.7395894196402972E-3</v>
      </c>
      <c r="BA225" s="16">
        <f>$W225*AF225+($L225)*Summary_LCIA!W$32</f>
        <v>10.002894682296338</v>
      </c>
      <c r="BB225" s="16">
        <f>$W225*AG225+($L225)*Summary_LCIA!X$32</f>
        <v>14.284496209150637</v>
      </c>
      <c r="BC225" s="16">
        <f>$W225*AH225+($L225)*Summary_LCIA!Y$32</f>
        <v>0.35287179351140108</v>
      </c>
      <c r="BD225" s="16">
        <f>$W225*AI225+($L225)*Summary_LCIA!Z$32</f>
        <v>0.30088426108529159</v>
      </c>
      <c r="BE225" s="16">
        <f>$W225*AJ225+($L225)*Summary_LCIA!AA$32</f>
        <v>1.2671132721235241</v>
      </c>
      <c r="BF225" s="16">
        <f>$W225*AK225+($L225)*Summary_LCIA!AB$32</f>
        <v>7.1310214966146881E-2</v>
      </c>
      <c r="BG225" s="16">
        <f>$W225*AL225+($L225)*Summary_LCIA!AC$32</f>
        <v>3.4835285941985145E-5</v>
      </c>
      <c r="BH225" s="16">
        <f>$W225*AM225+($L225)*Summary_LCIA!AD$32</f>
        <v>0.10923134647755597</v>
      </c>
      <c r="BI225" s="16">
        <f>$W225*AN225+($L225)*Summary_LCIA!AE$32</f>
        <v>0.31686257368626014</v>
      </c>
      <c r="BJ225" s="16">
        <f>$W225*AO225+($L225)*Summary_LCIA!AF$32</f>
        <v>9.3097236478189137E-3</v>
      </c>
      <c r="BK225" s="16">
        <f>$W225*AP225+($L225)*Summary_LCIA!AG$32</f>
        <v>5.0620479078189139E-3</v>
      </c>
      <c r="BL225" s="16">
        <f>$W225*AQ225+($L225)*Summary_LCIA!AH$32</f>
        <v>0.71270395352721017</v>
      </c>
      <c r="BM225" s="16">
        <f>$W225*AR225+($L225)*Summary_LCIA!AI$32</f>
        <v>0.2833971510681772</v>
      </c>
      <c r="BN225" s="16"/>
    </row>
    <row r="226" spans="1:66" x14ac:dyDescent="0.25">
      <c r="A226" s="159">
        <v>164</v>
      </c>
      <c r="B226" s="159">
        <v>6</v>
      </c>
      <c r="C226" s="45">
        <v>42.360081999999998</v>
      </c>
      <c r="D226" s="45">
        <v>-71.058880000000002</v>
      </c>
      <c r="E226" s="45" t="s">
        <v>265</v>
      </c>
      <c r="F226" s="159">
        <v>53</v>
      </c>
      <c r="G226" s="45" t="s">
        <v>565</v>
      </c>
      <c r="H226" s="45" t="s">
        <v>634</v>
      </c>
      <c r="I226" s="45">
        <v>42.365613000000003</v>
      </c>
      <c r="J226" s="45">
        <v>-71.009559999999993</v>
      </c>
      <c r="K226" s="45">
        <v>4.3433329829999998</v>
      </c>
      <c r="L226" s="45">
        <v>5.3479999999999999</v>
      </c>
      <c r="M226" s="45" t="s">
        <v>617</v>
      </c>
      <c r="N226" s="159">
        <v>5</v>
      </c>
      <c r="O226" s="159">
        <v>6</v>
      </c>
      <c r="P226" s="45" t="s">
        <v>565</v>
      </c>
      <c r="Q226" s="45" t="s">
        <v>564</v>
      </c>
      <c r="R226" s="45">
        <v>41.98028</v>
      </c>
      <c r="S226" s="61">
        <v>-87.908997900000003</v>
      </c>
      <c r="T226" s="45">
        <v>1609.3040000000001</v>
      </c>
      <c r="U226" s="45" t="s">
        <v>617</v>
      </c>
      <c r="V226" s="45" t="s">
        <v>569</v>
      </c>
      <c r="W226" s="45" cm="1">
        <f t="array" ref="W226">getDistance(R226,S226,I226,J226)*SA!$B$12</f>
        <v>1394.7010754672544</v>
      </c>
      <c r="X226" s="22"/>
      <c r="Y226" s="16">
        <f>Transportation_LCIA!C$61*($W226^Transportation_LCIA!C$60)+Transportation_LCIA!C$62</f>
        <v>0.20541169071553828</v>
      </c>
      <c r="Z226" s="16">
        <f>Transportation_LCIA!D$61*($W226^Transportation_LCIA!D$60)+Transportation_LCIA!D$62</f>
        <v>2.0721352010636895</v>
      </c>
      <c r="AA226" s="16">
        <f>Transportation_LCIA!E$61*($W226^Transportation_LCIA!E$60)+Transportation_LCIA!E$62</f>
        <v>9.1238963377472367E-4</v>
      </c>
      <c r="AB226" s="16">
        <f>Transportation_LCIA!F$61*($W226^Transportation_LCIA!F$60)+Transportation_LCIA!F$62</f>
        <v>0.20541169071553828</v>
      </c>
      <c r="AC226" s="16">
        <f>Transportation_LCIA!G$61*($W226^Transportation_LCIA!G$60)+Transportation_LCIA!G$62</f>
        <v>4.8509327483629391E-2</v>
      </c>
      <c r="AD226" s="16">
        <f>Transportation_LCIA!H$61*($W226^Transportation_LCIA!H$60)+Transportation_LCIA!H$62</f>
        <v>2.2599378016231362E-4</v>
      </c>
      <c r="AE226" s="16">
        <f>Transportation_LCIA!I$61*($W226^Transportation_LCIA!I$60)+Transportation_LCIA!I$62</f>
        <v>4.6491421751201883E-6</v>
      </c>
      <c r="AF226" s="16">
        <f>Transportation_LCIA!J$61*($W226^Transportation_LCIA!J$60)+Transportation_LCIA!J$62</f>
        <v>6.8769243409976324E-3</v>
      </c>
      <c r="AG226" s="16">
        <f>Transportation_LCIA!K$61*($W226^Transportation_LCIA!K$60)+Transportation_LCIA!K$62</f>
        <v>1.0154626692609268E-2</v>
      </c>
      <c r="AH226" s="16">
        <f>Transportation_LCIA!L$61*($W226^Transportation_LCIA!L$60)+Transportation_LCIA!L$62</f>
        <v>1.9325951793727536E-4</v>
      </c>
      <c r="AI226" s="16">
        <f>Transportation_LCIA!M$61*($W226^Transportation_LCIA!M$60)+Transportation_LCIA!M$62</f>
        <v>2.1557662085587944E-4</v>
      </c>
      <c r="AJ226" s="16">
        <f>Transportation_LCIA!N$61*($W226^Transportation_LCIA!N$60)+Transportation_LCIA!N$62</f>
        <v>8.1896071080382658E-4</v>
      </c>
      <c r="AK226" s="16">
        <f>Transportation_LCIA!O$61*($W226^Transportation_LCIA!O$60)+Transportation_LCIA!O$62</f>
        <v>5.1213070403790544E-5</v>
      </c>
      <c r="AL226" s="16">
        <f>Transportation_LCIA!P$61*($W226^Transportation_LCIA!P$60)+Transportation_LCIA!P$62</f>
        <v>2.4789436903819814E-8</v>
      </c>
      <c r="AM226" s="16">
        <f>Transportation_LCIA!Q$61*($W226^Transportation_LCIA!Q$60)+Transportation_LCIA!Q$62</f>
        <v>7.6742684464983015E-5</v>
      </c>
      <c r="AN226" s="16">
        <f>Transportation_LCIA!R$61*($W226^Transportation_LCIA!R$60)+Transportation_LCIA!R$62</f>
        <v>2.2379243548062238E-4</v>
      </c>
      <c r="AO226" s="16">
        <f>Transportation_LCIA!S$61*($W226^Transportation_LCIA!S$60)+Transportation_LCIA!S$62</f>
        <v>3.4332930346487986E-6</v>
      </c>
      <c r="AP226" s="16">
        <f>Transportation_LCIA!T$61*($W226^Transportation_LCIA!T$60)+Transportation_LCIA!T$62</f>
        <v>3.4332930346487986E-6</v>
      </c>
      <c r="AQ226" s="16">
        <f>Transportation_LCIA!U$61*($W226^Transportation_LCIA!U$60)+Transportation_LCIA!U$62</f>
        <v>4.7763432067623047E-4</v>
      </c>
      <c r="AR226" s="16">
        <f>Transportation_LCIA!V$61*($W226^Transportation_LCIA!V$60)+Transportation_LCIA!V$62</f>
        <v>1.9962357996669805E-4</v>
      </c>
      <c r="AT226" s="16">
        <f>$W226*Y226+($L226)*Summary_LCIA!H$32</f>
        <v>288.30515635450826</v>
      </c>
      <c r="AU226" s="16">
        <f>$W226*Z226+($L226)*Summary_LCIA!Q$32</f>
        <v>2916.5141511527677</v>
      </c>
      <c r="AV226" s="16">
        <f>$W226*AA226+($L226)*Summary_LCIA!R$32</f>
        <v>1.3006712322707814</v>
      </c>
      <c r="AW226" s="16">
        <f>$W226*AB226+($L226)*Summary_LCIA!S$32</f>
        <v>288.28151819450829</v>
      </c>
      <c r="AX226" s="16">
        <f>$W226*AC226+($L226)*Summary_LCIA!T$32</f>
        <v>68.243756411611159</v>
      </c>
      <c r="AY226" s="16">
        <f>$W226*AD226+($L226)*Summary_LCIA!U$32</f>
        <v>0.41099784024128905</v>
      </c>
      <c r="AZ226" s="16">
        <f>$W226*AE226+($L226)*Summary_LCIA!V$32</f>
        <v>6.7395894196402972E-3</v>
      </c>
      <c r="BA226" s="16">
        <f>$W226*AF226+($L226)*Summary_LCIA!W$32</f>
        <v>10.002894682296338</v>
      </c>
      <c r="BB226" s="16">
        <f>$W226*AG226+($L226)*Summary_LCIA!X$32</f>
        <v>14.284496209150637</v>
      </c>
      <c r="BC226" s="16">
        <f>$W226*AH226+($L226)*Summary_LCIA!Y$32</f>
        <v>0.35287179351140108</v>
      </c>
      <c r="BD226" s="16">
        <f>$W226*AI226+($L226)*Summary_LCIA!Z$32</f>
        <v>0.30088426108529159</v>
      </c>
      <c r="BE226" s="16">
        <f>$W226*AJ226+($L226)*Summary_LCIA!AA$32</f>
        <v>1.2671132721235241</v>
      </c>
      <c r="BF226" s="16">
        <f>$W226*AK226+($L226)*Summary_LCIA!AB$32</f>
        <v>7.1310214966146881E-2</v>
      </c>
      <c r="BG226" s="16">
        <f>$W226*AL226+($L226)*Summary_LCIA!AC$32</f>
        <v>3.4835285941985145E-5</v>
      </c>
      <c r="BH226" s="16">
        <f>$W226*AM226+($L226)*Summary_LCIA!AD$32</f>
        <v>0.10923134647755597</v>
      </c>
      <c r="BI226" s="16">
        <f>$W226*AN226+($L226)*Summary_LCIA!AE$32</f>
        <v>0.31686257368626014</v>
      </c>
      <c r="BJ226" s="16">
        <f>$W226*AO226+($L226)*Summary_LCIA!AF$32</f>
        <v>9.3097236478189137E-3</v>
      </c>
      <c r="BK226" s="16">
        <f>$W226*AP226+($L226)*Summary_LCIA!AG$32</f>
        <v>5.0620479078189139E-3</v>
      </c>
      <c r="BL226" s="16">
        <f>$W226*AQ226+($L226)*Summary_LCIA!AH$32</f>
        <v>0.71270395352721017</v>
      </c>
      <c r="BM226" s="16">
        <f>$W226*AR226+($L226)*Summary_LCIA!AI$32</f>
        <v>0.2833971510681772</v>
      </c>
      <c r="BN226" s="16"/>
    </row>
    <row r="227" spans="1:66" x14ac:dyDescent="0.25">
      <c r="A227" s="159">
        <v>165</v>
      </c>
      <c r="B227" s="159">
        <v>6</v>
      </c>
      <c r="C227" s="45">
        <v>42.360081999999998</v>
      </c>
      <c r="D227" s="45">
        <v>-71.058880000000002</v>
      </c>
      <c r="E227" s="45" t="s">
        <v>265</v>
      </c>
      <c r="F227" s="159">
        <v>53</v>
      </c>
      <c r="G227" s="45" t="s">
        <v>565</v>
      </c>
      <c r="H227" s="45" t="s">
        <v>634</v>
      </c>
      <c r="I227" s="45">
        <v>42.365613000000003</v>
      </c>
      <c r="J227" s="45">
        <v>-71.009559999999993</v>
      </c>
      <c r="K227" s="45">
        <v>4.3433329829999998</v>
      </c>
      <c r="L227" s="45">
        <v>5.3479999999999999</v>
      </c>
      <c r="M227" s="45" t="s">
        <v>617</v>
      </c>
      <c r="N227" s="159">
        <v>5</v>
      </c>
      <c r="O227" s="159">
        <v>6</v>
      </c>
      <c r="P227" s="45" t="s">
        <v>565</v>
      </c>
      <c r="Q227" s="45" t="s">
        <v>564</v>
      </c>
      <c r="R227" s="45">
        <v>41.98028</v>
      </c>
      <c r="S227" s="61">
        <v>-87.908997900000003</v>
      </c>
      <c r="T227" s="45">
        <v>1609.3040000000001</v>
      </c>
      <c r="U227" s="45" t="s">
        <v>617</v>
      </c>
      <c r="V227" s="45" t="s">
        <v>569</v>
      </c>
      <c r="W227" s="45" cm="1">
        <f t="array" ref="W227">getDistance(R227,S227,I227,J227)*SA!$B$12</f>
        <v>1394.7010754672544</v>
      </c>
      <c r="X227" s="22"/>
      <c r="Y227" s="16">
        <f>Transportation_LCIA!C$61*($W227^Transportation_LCIA!C$60)+Transportation_LCIA!C$62</f>
        <v>0.20541169071553828</v>
      </c>
      <c r="Z227" s="16">
        <f>Transportation_LCIA!D$61*($W227^Transportation_LCIA!D$60)+Transportation_LCIA!D$62</f>
        <v>2.0721352010636895</v>
      </c>
      <c r="AA227" s="16">
        <f>Transportation_LCIA!E$61*($W227^Transportation_LCIA!E$60)+Transportation_LCIA!E$62</f>
        <v>9.1238963377472367E-4</v>
      </c>
      <c r="AB227" s="16">
        <f>Transportation_LCIA!F$61*($W227^Transportation_LCIA!F$60)+Transportation_LCIA!F$62</f>
        <v>0.20541169071553828</v>
      </c>
      <c r="AC227" s="16">
        <f>Transportation_LCIA!G$61*($W227^Transportation_LCIA!G$60)+Transportation_LCIA!G$62</f>
        <v>4.8509327483629391E-2</v>
      </c>
      <c r="AD227" s="16">
        <f>Transportation_LCIA!H$61*($W227^Transportation_LCIA!H$60)+Transportation_LCIA!H$62</f>
        <v>2.2599378016231362E-4</v>
      </c>
      <c r="AE227" s="16">
        <f>Transportation_LCIA!I$61*($W227^Transportation_LCIA!I$60)+Transportation_LCIA!I$62</f>
        <v>4.6491421751201883E-6</v>
      </c>
      <c r="AF227" s="16">
        <f>Transportation_LCIA!J$61*($W227^Transportation_LCIA!J$60)+Transportation_LCIA!J$62</f>
        <v>6.8769243409976324E-3</v>
      </c>
      <c r="AG227" s="16">
        <f>Transportation_LCIA!K$61*($W227^Transportation_LCIA!K$60)+Transportation_LCIA!K$62</f>
        <v>1.0154626692609268E-2</v>
      </c>
      <c r="AH227" s="16">
        <f>Transportation_LCIA!L$61*($W227^Transportation_LCIA!L$60)+Transportation_LCIA!L$62</f>
        <v>1.9325951793727536E-4</v>
      </c>
      <c r="AI227" s="16">
        <f>Transportation_LCIA!M$61*($W227^Transportation_LCIA!M$60)+Transportation_LCIA!M$62</f>
        <v>2.1557662085587944E-4</v>
      </c>
      <c r="AJ227" s="16">
        <f>Transportation_LCIA!N$61*($W227^Transportation_LCIA!N$60)+Transportation_LCIA!N$62</f>
        <v>8.1896071080382658E-4</v>
      </c>
      <c r="AK227" s="16">
        <f>Transportation_LCIA!O$61*($W227^Transportation_LCIA!O$60)+Transportation_LCIA!O$62</f>
        <v>5.1213070403790544E-5</v>
      </c>
      <c r="AL227" s="16">
        <f>Transportation_LCIA!P$61*($W227^Transportation_LCIA!P$60)+Transportation_LCIA!P$62</f>
        <v>2.4789436903819814E-8</v>
      </c>
      <c r="AM227" s="16">
        <f>Transportation_LCIA!Q$61*($W227^Transportation_LCIA!Q$60)+Transportation_LCIA!Q$62</f>
        <v>7.6742684464983015E-5</v>
      </c>
      <c r="AN227" s="16">
        <f>Transportation_LCIA!R$61*($W227^Transportation_LCIA!R$60)+Transportation_LCIA!R$62</f>
        <v>2.2379243548062238E-4</v>
      </c>
      <c r="AO227" s="16">
        <f>Transportation_LCIA!S$61*($W227^Transportation_LCIA!S$60)+Transportation_LCIA!S$62</f>
        <v>3.4332930346487986E-6</v>
      </c>
      <c r="AP227" s="16">
        <f>Transportation_LCIA!T$61*($W227^Transportation_LCIA!T$60)+Transportation_LCIA!T$62</f>
        <v>3.4332930346487986E-6</v>
      </c>
      <c r="AQ227" s="16">
        <f>Transportation_LCIA!U$61*($W227^Transportation_LCIA!U$60)+Transportation_LCIA!U$62</f>
        <v>4.7763432067623047E-4</v>
      </c>
      <c r="AR227" s="16">
        <f>Transportation_LCIA!V$61*($W227^Transportation_LCIA!V$60)+Transportation_LCIA!V$62</f>
        <v>1.9962357996669805E-4</v>
      </c>
      <c r="AT227" s="16">
        <f>$W227*Y227+($L227)*Summary_LCIA!H$32</f>
        <v>288.30515635450826</v>
      </c>
      <c r="AU227" s="16">
        <f>$W227*Z227+($L227)*Summary_LCIA!Q$32</f>
        <v>2916.5141511527677</v>
      </c>
      <c r="AV227" s="16">
        <f>$W227*AA227+($L227)*Summary_LCIA!R$32</f>
        <v>1.3006712322707814</v>
      </c>
      <c r="AW227" s="16">
        <f>$W227*AB227+($L227)*Summary_LCIA!S$32</f>
        <v>288.28151819450829</v>
      </c>
      <c r="AX227" s="16">
        <f>$W227*AC227+($L227)*Summary_LCIA!T$32</f>
        <v>68.243756411611159</v>
      </c>
      <c r="AY227" s="16">
        <f>$W227*AD227+($L227)*Summary_LCIA!U$32</f>
        <v>0.41099784024128905</v>
      </c>
      <c r="AZ227" s="16">
        <f>$W227*AE227+($L227)*Summary_LCIA!V$32</f>
        <v>6.7395894196402972E-3</v>
      </c>
      <c r="BA227" s="16">
        <f>$W227*AF227+($L227)*Summary_LCIA!W$32</f>
        <v>10.002894682296338</v>
      </c>
      <c r="BB227" s="16">
        <f>$W227*AG227+($L227)*Summary_LCIA!X$32</f>
        <v>14.284496209150637</v>
      </c>
      <c r="BC227" s="16">
        <f>$W227*AH227+($L227)*Summary_LCIA!Y$32</f>
        <v>0.35287179351140108</v>
      </c>
      <c r="BD227" s="16">
        <f>$W227*AI227+($L227)*Summary_LCIA!Z$32</f>
        <v>0.30088426108529159</v>
      </c>
      <c r="BE227" s="16">
        <f>$W227*AJ227+($L227)*Summary_LCIA!AA$32</f>
        <v>1.2671132721235241</v>
      </c>
      <c r="BF227" s="16">
        <f>$W227*AK227+($L227)*Summary_LCIA!AB$32</f>
        <v>7.1310214966146881E-2</v>
      </c>
      <c r="BG227" s="16">
        <f>$W227*AL227+($L227)*Summary_LCIA!AC$32</f>
        <v>3.4835285941985145E-5</v>
      </c>
      <c r="BH227" s="16">
        <f>$W227*AM227+($L227)*Summary_LCIA!AD$32</f>
        <v>0.10923134647755597</v>
      </c>
      <c r="BI227" s="16">
        <f>$W227*AN227+($L227)*Summary_LCIA!AE$32</f>
        <v>0.31686257368626014</v>
      </c>
      <c r="BJ227" s="16">
        <f>$W227*AO227+($L227)*Summary_LCIA!AF$32</f>
        <v>9.3097236478189137E-3</v>
      </c>
      <c r="BK227" s="16">
        <f>$W227*AP227+($L227)*Summary_LCIA!AG$32</f>
        <v>5.0620479078189139E-3</v>
      </c>
      <c r="BL227" s="16">
        <f>$W227*AQ227+($L227)*Summary_LCIA!AH$32</f>
        <v>0.71270395352721017</v>
      </c>
      <c r="BM227" s="16">
        <f>$W227*AR227+($L227)*Summary_LCIA!AI$32</f>
        <v>0.2833971510681772</v>
      </c>
      <c r="BN227" s="16"/>
    </row>
    <row r="228" spans="1:66" x14ac:dyDescent="0.25">
      <c r="A228" s="159">
        <v>227</v>
      </c>
      <c r="B228" s="159">
        <v>6</v>
      </c>
      <c r="C228" s="45">
        <v>42.360070999999998</v>
      </c>
      <c r="D228" s="45">
        <v>-71.05883</v>
      </c>
      <c r="E228" s="45" t="s">
        <v>265</v>
      </c>
      <c r="F228" s="159">
        <v>53</v>
      </c>
      <c r="G228" s="45" t="s">
        <v>565</v>
      </c>
      <c r="H228" s="45" t="s">
        <v>634</v>
      </c>
      <c r="I228" s="45">
        <v>42.365613000000003</v>
      </c>
      <c r="J228" s="45">
        <v>-71.009559999999993</v>
      </c>
      <c r="K228" s="45">
        <v>4.3397988529999996</v>
      </c>
      <c r="L228" s="45">
        <v>5.351</v>
      </c>
      <c r="M228" s="45" t="s">
        <v>617</v>
      </c>
      <c r="N228" s="159">
        <v>5</v>
      </c>
      <c r="O228" s="159">
        <v>6</v>
      </c>
      <c r="P228" s="45" t="s">
        <v>565</v>
      </c>
      <c r="Q228" s="45" t="s">
        <v>564</v>
      </c>
      <c r="R228" s="45">
        <v>41.98028</v>
      </c>
      <c r="S228" s="61">
        <v>-87.908997900000003</v>
      </c>
      <c r="T228" s="45">
        <v>1609.307</v>
      </c>
      <c r="U228" s="45" t="s">
        <v>617</v>
      </c>
      <c r="V228" s="45" t="s">
        <v>569</v>
      </c>
      <c r="W228" s="45" cm="1">
        <f t="array" ref="W228">getDistance(R228,S228,I228,J228)*SA!$B$12</f>
        <v>1394.7010754672544</v>
      </c>
      <c r="X228" s="22"/>
      <c r="Y228" s="16">
        <f>Transportation_LCIA!C$61*($W228^Transportation_LCIA!C$60)+Transportation_LCIA!C$62</f>
        <v>0.20541169071553828</v>
      </c>
      <c r="Z228" s="16">
        <f>Transportation_LCIA!D$61*($W228^Transportation_LCIA!D$60)+Transportation_LCIA!D$62</f>
        <v>2.0721352010636895</v>
      </c>
      <c r="AA228" s="16">
        <f>Transportation_LCIA!E$61*($W228^Transportation_LCIA!E$60)+Transportation_LCIA!E$62</f>
        <v>9.1238963377472367E-4</v>
      </c>
      <c r="AB228" s="16">
        <f>Transportation_LCIA!F$61*($W228^Transportation_LCIA!F$60)+Transportation_LCIA!F$62</f>
        <v>0.20541169071553828</v>
      </c>
      <c r="AC228" s="16">
        <f>Transportation_LCIA!G$61*($W228^Transportation_LCIA!G$60)+Transportation_LCIA!G$62</f>
        <v>4.8509327483629391E-2</v>
      </c>
      <c r="AD228" s="16">
        <f>Transportation_LCIA!H$61*($W228^Transportation_LCIA!H$60)+Transportation_LCIA!H$62</f>
        <v>2.2599378016231362E-4</v>
      </c>
      <c r="AE228" s="16">
        <f>Transportation_LCIA!I$61*($W228^Transportation_LCIA!I$60)+Transportation_LCIA!I$62</f>
        <v>4.6491421751201883E-6</v>
      </c>
      <c r="AF228" s="16">
        <f>Transportation_LCIA!J$61*($W228^Transportation_LCIA!J$60)+Transportation_LCIA!J$62</f>
        <v>6.8769243409976324E-3</v>
      </c>
      <c r="AG228" s="16">
        <f>Transportation_LCIA!K$61*($W228^Transportation_LCIA!K$60)+Transportation_LCIA!K$62</f>
        <v>1.0154626692609268E-2</v>
      </c>
      <c r="AH228" s="16">
        <f>Transportation_LCIA!L$61*($W228^Transportation_LCIA!L$60)+Transportation_LCIA!L$62</f>
        <v>1.9325951793727536E-4</v>
      </c>
      <c r="AI228" s="16">
        <f>Transportation_LCIA!M$61*($W228^Transportation_LCIA!M$60)+Transportation_LCIA!M$62</f>
        <v>2.1557662085587944E-4</v>
      </c>
      <c r="AJ228" s="16">
        <f>Transportation_LCIA!N$61*($W228^Transportation_LCIA!N$60)+Transportation_LCIA!N$62</f>
        <v>8.1896071080382658E-4</v>
      </c>
      <c r="AK228" s="16">
        <f>Transportation_LCIA!O$61*($W228^Transportation_LCIA!O$60)+Transportation_LCIA!O$62</f>
        <v>5.1213070403790544E-5</v>
      </c>
      <c r="AL228" s="16">
        <f>Transportation_LCIA!P$61*($W228^Transportation_LCIA!P$60)+Transportation_LCIA!P$62</f>
        <v>2.4789436903819814E-8</v>
      </c>
      <c r="AM228" s="16">
        <f>Transportation_LCIA!Q$61*($W228^Transportation_LCIA!Q$60)+Transportation_LCIA!Q$62</f>
        <v>7.6742684464983015E-5</v>
      </c>
      <c r="AN228" s="16">
        <f>Transportation_LCIA!R$61*($W228^Transportation_LCIA!R$60)+Transportation_LCIA!R$62</f>
        <v>2.2379243548062238E-4</v>
      </c>
      <c r="AO228" s="16">
        <f>Transportation_LCIA!S$61*($W228^Transportation_LCIA!S$60)+Transportation_LCIA!S$62</f>
        <v>3.4332930346487986E-6</v>
      </c>
      <c r="AP228" s="16">
        <f>Transportation_LCIA!T$61*($W228^Transportation_LCIA!T$60)+Transportation_LCIA!T$62</f>
        <v>3.4332930346487986E-6</v>
      </c>
      <c r="AQ228" s="16">
        <f>Transportation_LCIA!U$61*($W228^Transportation_LCIA!U$60)+Transportation_LCIA!U$62</f>
        <v>4.7763432067623047E-4</v>
      </c>
      <c r="AR228" s="16">
        <f>Transportation_LCIA!V$61*($W228^Transportation_LCIA!V$60)+Transportation_LCIA!V$62</f>
        <v>1.9962357996669805E-4</v>
      </c>
      <c r="AT228" s="16">
        <f>$W228*Y228+($L228)*Summary_LCIA!H$32</f>
        <v>288.30617575450827</v>
      </c>
      <c r="AU228" s="16">
        <f>$W228*Z228+($L228)*Summary_LCIA!Q$32</f>
        <v>2916.5290193040664</v>
      </c>
      <c r="AV228" s="16">
        <f>$W228*AA228+($L228)*Summary_LCIA!R$32</f>
        <v>1.3006870290707815</v>
      </c>
      <c r="AW228" s="16">
        <f>$W228*AB228+($L228)*Summary_LCIA!S$32</f>
        <v>288.28252433450825</v>
      </c>
      <c r="AX228" s="16">
        <f>$W228*AC228+($L228)*Summary_LCIA!T$32</f>
        <v>68.244086111611153</v>
      </c>
      <c r="AY228" s="16">
        <f>$W228*AD228+($L228)*Summary_LCIA!U$32</f>
        <v>0.41105158224128907</v>
      </c>
      <c r="AZ228" s="16">
        <f>$W228*AE228+($L228)*Summary_LCIA!V$32</f>
        <v>6.7397327026402967E-3</v>
      </c>
      <c r="BA228" s="16">
        <f>$W228*AF228+($L228)*Summary_LCIA!W$32</f>
        <v>10.003125595296337</v>
      </c>
      <c r="BB228" s="16">
        <f>$W228*AG228+($L228)*Summary_LCIA!X$32</f>
        <v>14.284564549150637</v>
      </c>
      <c r="BC228" s="16">
        <f>$W228*AH228+($L228)*Summary_LCIA!Y$32</f>
        <v>0.35291853951140106</v>
      </c>
      <c r="BD228" s="16">
        <f>$W228*AI228+($L228)*Summary_LCIA!Z$32</f>
        <v>0.30088438411229163</v>
      </c>
      <c r="BE228" s="16">
        <f>$W228*AJ228+($L228)*Summary_LCIA!AA$32</f>
        <v>1.267183340123524</v>
      </c>
      <c r="BF228" s="16">
        <f>$W228*AK228+($L228)*Summary_LCIA!AB$32</f>
        <v>7.1310149497146882E-2</v>
      </c>
      <c r="BG228" s="16">
        <f>$W228*AL228+($L228)*Summary_LCIA!AC$32</f>
        <v>3.4835432593985144E-5</v>
      </c>
      <c r="BH228" s="16">
        <f>$W228*AM228+($L228)*Summary_LCIA!AD$32</f>
        <v>0.10923257959755597</v>
      </c>
      <c r="BI228" s="16">
        <f>$W228*AN228+($L228)*Summary_LCIA!AE$32</f>
        <v>0.31686523207626016</v>
      </c>
      <c r="BJ228" s="16">
        <f>$W228*AO228+($L228)*Summary_LCIA!AF$32</f>
        <v>9.3122599078189136E-3</v>
      </c>
      <c r="BK228" s="16">
        <f>$W228*AP228+($L228)*Summary_LCIA!AG$32</f>
        <v>5.0622014028189133E-3</v>
      </c>
      <c r="BL228" s="16">
        <f>$W228*AQ228+($L228)*Summary_LCIA!AH$32</f>
        <v>0.71273006432721009</v>
      </c>
      <c r="BM228" s="16">
        <f>$W228*AR228+($L228)*Summary_LCIA!AI$32</f>
        <v>0.28339994571817723</v>
      </c>
      <c r="BN228" s="16"/>
    </row>
    <row r="229" spans="1:66" x14ac:dyDescent="0.25">
      <c r="A229" s="159">
        <v>100</v>
      </c>
      <c r="B229" s="159">
        <v>6</v>
      </c>
      <c r="C229" s="45">
        <v>42.362706000000003</v>
      </c>
      <c r="D229" s="45">
        <v>-71.068657999999999</v>
      </c>
      <c r="E229" s="45" t="s">
        <v>265</v>
      </c>
      <c r="F229" s="159">
        <v>53</v>
      </c>
      <c r="G229" s="45" t="s">
        <v>565</v>
      </c>
      <c r="H229" s="45" t="s">
        <v>634</v>
      </c>
      <c r="I229" s="45">
        <v>42.365613000000003</v>
      </c>
      <c r="J229" s="45">
        <v>-71.009559999999993</v>
      </c>
      <c r="K229" s="45">
        <v>5.0515925839999998</v>
      </c>
      <c r="L229" s="45">
        <v>6.5289999999999999</v>
      </c>
      <c r="M229" s="45" t="s">
        <v>617</v>
      </c>
      <c r="N229" s="159">
        <v>5</v>
      </c>
      <c r="O229" s="159">
        <v>6</v>
      </c>
      <c r="P229" s="45" t="s">
        <v>565</v>
      </c>
      <c r="Q229" s="45" t="s">
        <v>564</v>
      </c>
      <c r="R229" s="45">
        <v>41.98028</v>
      </c>
      <c r="S229" s="61">
        <v>-87.908997900000003</v>
      </c>
      <c r="T229" s="45">
        <v>1610.443</v>
      </c>
      <c r="U229" s="45" t="s">
        <v>617</v>
      </c>
      <c r="V229" s="45" t="s">
        <v>569</v>
      </c>
      <c r="W229" s="45" cm="1">
        <f t="array" ref="W229">getDistance(R229,S229,I229,J229)*SA!$B$12</f>
        <v>1394.7010754672544</v>
      </c>
      <c r="X229" s="22"/>
      <c r="Y229" s="16">
        <f>Transportation_LCIA!C$61*($W229^Transportation_LCIA!C$60)+Transportation_LCIA!C$62</f>
        <v>0.20541169071553828</v>
      </c>
      <c r="Z229" s="16">
        <f>Transportation_LCIA!D$61*($W229^Transportation_LCIA!D$60)+Transportation_LCIA!D$62</f>
        <v>2.0721352010636895</v>
      </c>
      <c r="AA229" s="16">
        <f>Transportation_LCIA!E$61*($W229^Transportation_LCIA!E$60)+Transportation_LCIA!E$62</f>
        <v>9.1238963377472367E-4</v>
      </c>
      <c r="AB229" s="16">
        <f>Transportation_LCIA!F$61*($W229^Transportation_LCIA!F$60)+Transportation_LCIA!F$62</f>
        <v>0.20541169071553828</v>
      </c>
      <c r="AC229" s="16">
        <f>Transportation_LCIA!G$61*($W229^Transportation_LCIA!G$60)+Transportation_LCIA!G$62</f>
        <v>4.8509327483629391E-2</v>
      </c>
      <c r="AD229" s="16">
        <f>Transportation_LCIA!H$61*($W229^Transportation_LCIA!H$60)+Transportation_LCIA!H$62</f>
        <v>2.2599378016231362E-4</v>
      </c>
      <c r="AE229" s="16">
        <f>Transportation_LCIA!I$61*($W229^Transportation_LCIA!I$60)+Transportation_LCIA!I$62</f>
        <v>4.6491421751201883E-6</v>
      </c>
      <c r="AF229" s="16">
        <f>Transportation_LCIA!J$61*($W229^Transportation_LCIA!J$60)+Transportation_LCIA!J$62</f>
        <v>6.8769243409976324E-3</v>
      </c>
      <c r="AG229" s="16">
        <f>Transportation_LCIA!K$61*($W229^Transportation_LCIA!K$60)+Transportation_LCIA!K$62</f>
        <v>1.0154626692609268E-2</v>
      </c>
      <c r="AH229" s="16">
        <f>Transportation_LCIA!L$61*($W229^Transportation_LCIA!L$60)+Transportation_LCIA!L$62</f>
        <v>1.9325951793727536E-4</v>
      </c>
      <c r="AI229" s="16">
        <f>Transportation_LCIA!M$61*($W229^Transportation_LCIA!M$60)+Transportation_LCIA!M$62</f>
        <v>2.1557662085587944E-4</v>
      </c>
      <c r="AJ229" s="16">
        <f>Transportation_LCIA!N$61*($W229^Transportation_LCIA!N$60)+Transportation_LCIA!N$62</f>
        <v>8.1896071080382658E-4</v>
      </c>
      <c r="AK229" s="16">
        <f>Transportation_LCIA!O$61*($W229^Transportation_LCIA!O$60)+Transportation_LCIA!O$62</f>
        <v>5.1213070403790544E-5</v>
      </c>
      <c r="AL229" s="16">
        <f>Transportation_LCIA!P$61*($W229^Transportation_LCIA!P$60)+Transportation_LCIA!P$62</f>
        <v>2.4789436903819814E-8</v>
      </c>
      <c r="AM229" s="16">
        <f>Transportation_LCIA!Q$61*($W229^Transportation_LCIA!Q$60)+Transportation_LCIA!Q$62</f>
        <v>7.6742684464983015E-5</v>
      </c>
      <c r="AN229" s="16">
        <f>Transportation_LCIA!R$61*($W229^Transportation_LCIA!R$60)+Transportation_LCIA!R$62</f>
        <v>2.2379243548062238E-4</v>
      </c>
      <c r="AO229" s="16">
        <f>Transportation_LCIA!S$61*($W229^Transportation_LCIA!S$60)+Transportation_LCIA!S$62</f>
        <v>3.4332930346487986E-6</v>
      </c>
      <c r="AP229" s="16">
        <f>Transportation_LCIA!T$61*($W229^Transportation_LCIA!T$60)+Transportation_LCIA!T$62</f>
        <v>3.4332930346487986E-6</v>
      </c>
      <c r="AQ229" s="16">
        <f>Transportation_LCIA!U$61*($W229^Transportation_LCIA!U$60)+Transportation_LCIA!U$62</f>
        <v>4.7763432067623047E-4</v>
      </c>
      <c r="AR229" s="16">
        <f>Transportation_LCIA!V$61*($W229^Transportation_LCIA!V$60)+Transportation_LCIA!V$62</f>
        <v>1.9962357996669805E-4</v>
      </c>
      <c r="AT229" s="16">
        <f>$W229*Y229+($L229)*Summary_LCIA!H$32</f>
        <v>288.70646015450825</v>
      </c>
      <c r="AU229" s="16">
        <f>$W229*Z229+($L229)*Summary_LCIA!Q$32</f>
        <v>2922.3672467141405</v>
      </c>
      <c r="AV229" s="16">
        <f>$W229*AA229+($L229)*Summary_LCIA!R$32</f>
        <v>1.3068899058707815</v>
      </c>
      <c r="AW229" s="16">
        <f>$W229*AB229+($L229)*Summary_LCIA!S$32</f>
        <v>288.67760197450826</v>
      </c>
      <c r="AX229" s="16">
        <f>$W229*AC229+($L229)*Summary_LCIA!T$32</f>
        <v>68.37354831161116</v>
      </c>
      <c r="AY229" s="16">
        <f>$W229*AD229+($L229)*Summary_LCIA!U$32</f>
        <v>0.43215427424128905</v>
      </c>
      <c r="AZ229" s="16">
        <f>$W229*AE229+($L229)*Summary_LCIA!V$32</f>
        <v>6.7959951606402971E-3</v>
      </c>
      <c r="BA229" s="16">
        <f>$W229*AF229+($L229)*Summary_LCIA!W$32</f>
        <v>10.093797433296338</v>
      </c>
      <c r="BB229" s="16">
        <f>$W229*AG229+($L229)*Summary_LCIA!X$32</f>
        <v>14.311399389150637</v>
      </c>
      <c r="BC229" s="16">
        <f>$W229*AH229+($L229)*Summary_LCIA!Y$32</f>
        <v>0.37127413551140109</v>
      </c>
      <c r="BD229" s="16">
        <f>$W229*AI229+($L229)*Summary_LCIA!Z$32</f>
        <v>0.30093269271429163</v>
      </c>
      <c r="BE229" s="16">
        <f>$W229*AJ229+($L229)*Summary_LCIA!AA$32</f>
        <v>1.2946967081235239</v>
      </c>
      <c r="BF229" s="16">
        <f>$W229*AK229+($L229)*Summary_LCIA!AB$32</f>
        <v>7.1284442003146889E-2</v>
      </c>
      <c r="BG229" s="16">
        <f>$W229*AL229+($L229)*Summary_LCIA!AC$32</f>
        <v>3.4893017945985145E-5</v>
      </c>
      <c r="BH229" s="16">
        <f>$W229*AM229+($L229)*Summary_LCIA!AD$32</f>
        <v>0.10971678471755597</v>
      </c>
      <c r="BI229" s="16">
        <f>$W229*AN229+($L229)*Summary_LCIA!AE$32</f>
        <v>0.31790909321626015</v>
      </c>
      <c r="BJ229" s="16">
        <f>$W229*AO229+($L229)*Summary_LCIA!AF$32</f>
        <v>1.0308164667818913E-2</v>
      </c>
      <c r="BK229" s="16">
        <f>$W229*AP229+($L229)*Summary_LCIA!AG$32</f>
        <v>5.1224737728189137E-3</v>
      </c>
      <c r="BL229" s="16">
        <f>$W229*AQ229+($L229)*Summary_LCIA!AH$32</f>
        <v>0.72298290512721008</v>
      </c>
      <c r="BM229" s="16">
        <f>$W229*AR229+($L229)*Summary_LCIA!AI$32</f>
        <v>0.28449731161817721</v>
      </c>
      <c r="BN229" s="16"/>
    </row>
    <row r="230" spans="1:66" x14ac:dyDescent="0.25">
      <c r="A230" s="159">
        <v>222</v>
      </c>
      <c r="B230" s="159">
        <v>6</v>
      </c>
      <c r="C230" s="45">
        <v>40.585259999999998</v>
      </c>
      <c r="D230" s="45">
        <v>-105.084423</v>
      </c>
      <c r="E230" s="45" t="s">
        <v>265</v>
      </c>
      <c r="F230" s="159">
        <v>16</v>
      </c>
      <c r="G230" s="45" t="s">
        <v>565</v>
      </c>
      <c r="H230" s="45" t="s">
        <v>645</v>
      </c>
      <c r="I230" s="45">
        <v>39.856096000000001</v>
      </c>
      <c r="J230" s="45">
        <v>-104.673738</v>
      </c>
      <c r="K230" s="45">
        <v>156.25087780000001</v>
      </c>
      <c r="L230" s="45">
        <v>114.667</v>
      </c>
      <c r="M230" s="45" t="s">
        <v>617</v>
      </c>
      <c r="N230" s="159">
        <v>5</v>
      </c>
      <c r="O230" s="159">
        <v>6</v>
      </c>
      <c r="P230" s="45" t="s">
        <v>565</v>
      </c>
      <c r="Q230" s="45" t="s">
        <v>564</v>
      </c>
      <c r="R230" s="45">
        <v>41.98028</v>
      </c>
      <c r="S230" s="61">
        <v>-87.908997900000003</v>
      </c>
      <c r="T230" s="45">
        <v>1612.9829999999999</v>
      </c>
      <c r="U230" s="45" t="s">
        <v>617</v>
      </c>
      <c r="V230" s="45" t="s">
        <v>569</v>
      </c>
      <c r="W230" s="45" cm="1">
        <f t="array" ref="W230">getDistance(R230,S230,I230,J230)*SA!$B$12</f>
        <v>1429.4950991616145</v>
      </c>
      <c r="X230" s="22"/>
      <c r="Y230" s="16">
        <f>Transportation_LCIA!C$61*($W230^Transportation_LCIA!C$60)+Transportation_LCIA!C$62</f>
        <v>0.20349821617970421</v>
      </c>
      <c r="Z230" s="16">
        <f>Transportation_LCIA!D$61*($W230^Transportation_LCIA!D$60)+Transportation_LCIA!D$62</f>
        <v>2.0501411564925682</v>
      </c>
      <c r="AA230" s="16">
        <f>Transportation_LCIA!E$61*($W230^Transportation_LCIA!E$60)+Transportation_LCIA!E$62</f>
        <v>8.9799039356792888E-4</v>
      </c>
      <c r="AB230" s="16">
        <f>Transportation_LCIA!F$61*($W230^Transportation_LCIA!F$60)+Transportation_LCIA!F$62</f>
        <v>0.20349821617970421</v>
      </c>
      <c r="AC230" s="16">
        <f>Transportation_LCIA!G$61*($W230^Transportation_LCIA!G$60)+Transportation_LCIA!G$62</f>
        <v>4.8000028211733513E-2</v>
      </c>
      <c r="AD230" s="16">
        <f>Transportation_LCIA!H$61*($W230^Transportation_LCIA!H$60)+Transportation_LCIA!H$62</f>
        <v>2.2285424318591637E-4</v>
      </c>
      <c r="AE230" s="16">
        <f>Transportation_LCIA!I$61*($W230^Transportation_LCIA!I$60)+Transportation_LCIA!I$62</f>
        <v>4.571174071441499E-6</v>
      </c>
      <c r="AF230" s="16">
        <f>Transportation_LCIA!J$61*($W230^Transportation_LCIA!J$60)+Transportation_LCIA!J$62</f>
        <v>6.7618339751164165E-3</v>
      </c>
      <c r="AG230" s="16">
        <f>Transportation_LCIA!K$61*($W230^Transportation_LCIA!K$60)+Transportation_LCIA!K$62</f>
        <v>1.0036647213890358E-2</v>
      </c>
      <c r="AH230" s="16">
        <f>Transportation_LCIA!L$61*($W230^Transportation_LCIA!L$60)+Transportation_LCIA!L$62</f>
        <v>1.9038435373879868E-4</v>
      </c>
      <c r="AI230" s="16">
        <f>Transportation_LCIA!M$61*($W230^Transportation_LCIA!M$60)+Transportation_LCIA!M$62</f>
        <v>2.1384473386264609E-4</v>
      </c>
      <c r="AJ230" s="16">
        <f>Transportation_LCIA!N$61*($W230^Transportation_LCIA!N$60)+Transportation_LCIA!N$62</f>
        <v>8.0839367892004054E-4</v>
      </c>
      <c r="AK230" s="16">
        <f>Transportation_LCIA!O$61*($W230^Transportation_LCIA!O$60)+Transportation_LCIA!O$62</f>
        <v>5.067209999252372E-5</v>
      </c>
      <c r="AL230" s="16">
        <f>Transportation_LCIA!P$61*($W230^Transportation_LCIA!P$60)+Transportation_LCIA!P$62</f>
        <v>2.4529050433273688E-8</v>
      </c>
      <c r="AM230" s="16">
        <f>Transportation_LCIA!Q$61*($W230^Transportation_LCIA!Q$60)+Transportation_LCIA!Q$62</f>
        <v>7.5620829602403238E-5</v>
      </c>
      <c r="AN230" s="16">
        <f>Transportation_LCIA!R$61*($W230^Transportation_LCIA!R$60)+Transportation_LCIA!R$62</f>
        <v>2.2005485991627286E-4</v>
      </c>
      <c r="AO230" s="16">
        <f>Transportation_LCIA!S$61*($W230^Transportation_LCIA!S$60)+Transportation_LCIA!S$62</f>
        <v>3.3802166707550345E-6</v>
      </c>
      <c r="AP230" s="16">
        <f>Transportation_LCIA!T$61*($W230^Transportation_LCIA!T$60)+Transportation_LCIA!T$62</f>
        <v>3.3802166707550345E-6</v>
      </c>
      <c r="AQ230" s="16">
        <f>Transportation_LCIA!U$61*($W230^Transportation_LCIA!U$60)+Transportation_LCIA!U$62</f>
        <v>4.6945882310058874E-4</v>
      </c>
      <c r="AR230" s="16">
        <f>Transportation_LCIA!V$61*($W230^Transportation_LCIA!V$60)+Transportation_LCIA!V$62</f>
        <v>1.9671290669076797E-4</v>
      </c>
      <c r="AT230" s="16">
        <f>$W230*Y230+($L230)*Summary_LCIA!H$32</f>
        <v>329.86354931701794</v>
      </c>
      <c r="AU230" s="16">
        <f>$W230*Z230+($L230)*Summary_LCIA!Q$32</f>
        <v>3498.9621707964616</v>
      </c>
      <c r="AV230" s="16">
        <f>$W230*AA230+($L230)*Summary_LCIA!R$32</f>
        <v>1.8874634218995636</v>
      </c>
      <c r="AW230" s="16">
        <f>$W230*AB230+($L230)*Summary_LCIA!S$32</f>
        <v>329.3567211770179</v>
      </c>
      <c r="AX230" s="16">
        <f>$W230*AC230+($L230)*Summary_LCIA!T$32</f>
        <v>81.217708388292294</v>
      </c>
      <c r="AY230" s="16">
        <f>$W230*AD230+($L230)*Summary_LCIA!U$32</f>
        <v>2.3727136864616378</v>
      </c>
      <c r="AZ230" s="16">
        <f>$W230*AE230+($L230)*Summary_LCIA!V$32</f>
        <v>1.2011081519540267E-2</v>
      </c>
      <c r="BA230" s="16">
        <f>$W230*AF230+($L230)*Summary_LCIA!W$32</f>
        <v>18.492042185773414</v>
      </c>
      <c r="BB230" s="16">
        <f>$W230*AG230+($L230)*Summary_LCIA!X$32</f>
        <v>16.95945226427034</v>
      </c>
      <c r="BC230" s="16">
        <f>$W230*AH230+($L230)*Summary_LCIA!Y$32</f>
        <v>2.0588946946266637</v>
      </c>
      <c r="BD230" s="16">
        <f>$W230*AI230+($L230)*Summary_LCIA!Z$32</f>
        <v>0.31039237804117237</v>
      </c>
      <c r="BE230" s="16">
        <f>$W230*AJ230+($L230)*Summary_LCIA!AA$32</f>
        <v>3.8337572542094258</v>
      </c>
      <c r="BF230" s="16">
        <f>$W230*AK230+($L230)*Summary_LCIA!AB$32</f>
        <v>6.9933140662539944E-2</v>
      </c>
      <c r="BG230" s="16">
        <f>$W230*AL230+($L230)*Summary_LCIA!AC$32</f>
        <v>4.0669539009452814E-5</v>
      </c>
      <c r="BH230" s="16">
        <f>$W230*AM230+($L230)*Summary_LCIA!AD$32</f>
        <v>0.15523232899117095</v>
      </c>
      <c r="BI230" s="16">
        <f>$W230*AN230+($L230)*Summary_LCIA!AE$32</f>
        <v>0.41617721250700768</v>
      </c>
      <c r="BJ230" s="16">
        <f>$W230*AO230+($L230)*Summary_LCIA!AF$32</f>
        <v>0.10177377830494871</v>
      </c>
      <c r="BK230" s="16">
        <f>$W230*AP230+($L230)*Summary_LCIA!AG$32</f>
        <v>1.0698940219948711E-2</v>
      </c>
      <c r="BL230" s="16">
        <f>$W230*AQ230+($L230)*Summary_LCIA!AH$32</f>
        <v>1.669104788080471</v>
      </c>
      <c r="BM230" s="16">
        <f>$W230*AR230+($L230)*Summary_LCIA!AI$32</f>
        <v>0.38801817990628873</v>
      </c>
      <c r="BN230" s="16"/>
    </row>
    <row r="231" spans="1:66" x14ac:dyDescent="0.25">
      <c r="A231" s="159">
        <v>207</v>
      </c>
      <c r="B231" s="159">
        <v>6</v>
      </c>
      <c r="C231" s="45">
        <v>39.739235999999998</v>
      </c>
      <c r="D231" s="45">
        <v>-104.990251</v>
      </c>
      <c r="E231" s="45" t="s">
        <v>265</v>
      </c>
      <c r="F231" s="159">
        <v>16</v>
      </c>
      <c r="G231" s="45" t="s">
        <v>565</v>
      </c>
      <c r="H231" s="45" t="s">
        <v>645</v>
      </c>
      <c r="I231" s="45">
        <v>39.856096000000001</v>
      </c>
      <c r="J231" s="45">
        <v>-104.673738</v>
      </c>
      <c r="K231" s="45">
        <v>32.480303239999998</v>
      </c>
      <c r="L231" s="45">
        <v>43.084000000000003</v>
      </c>
      <c r="M231" s="45" t="s">
        <v>617</v>
      </c>
      <c r="N231" s="159">
        <v>5</v>
      </c>
      <c r="O231" s="159">
        <v>6</v>
      </c>
      <c r="P231" s="45" t="s">
        <v>565</v>
      </c>
      <c r="Q231" s="45" t="s">
        <v>564</v>
      </c>
      <c r="R231" s="45">
        <v>41.98028</v>
      </c>
      <c r="S231" s="61">
        <v>-87.908997900000003</v>
      </c>
      <c r="T231" s="45">
        <v>1614.1780000000001</v>
      </c>
      <c r="U231" s="45" t="s">
        <v>617</v>
      </c>
      <c r="V231" s="45" t="s">
        <v>569</v>
      </c>
      <c r="W231" s="45" cm="1">
        <f t="array" ref="W231">getDistance(R231,S231,I231,J231)*SA!$B$12</f>
        <v>1429.4950991616145</v>
      </c>
      <c r="X231" s="22"/>
      <c r="Y231" s="16">
        <f>Transportation_LCIA!C$61*($W231^Transportation_LCIA!C$60)+Transportation_LCIA!C$62</f>
        <v>0.20349821617970421</v>
      </c>
      <c r="Z231" s="16">
        <f>Transportation_LCIA!D$61*($W231^Transportation_LCIA!D$60)+Transportation_LCIA!D$62</f>
        <v>2.0501411564925682</v>
      </c>
      <c r="AA231" s="16">
        <f>Transportation_LCIA!E$61*($W231^Transportation_LCIA!E$60)+Transportation_LCIA!E$62</f>
        <v>8.9799039356792888E-4</v>
      </c>
      <c r="AB231" s="16">
        <f>Transportation_LCIA!F$61*($W231^Transportation_LCIA!F$60)+Transportation_LCIA!F$62</f>
        <v>0.20349821617970421</v>
      </c>
      <c r="AC231" s="16">
        <f>Transportation_LCIA!G$61*($W231^Transportation_LCIA!G$60)+Transportation_LCIA!G$62</f>
        <v>4.8000028211733513E-2</v>
      </c>
      <c r="AD231" s="16">
        <f>Transportation_LCIA!H$61*($W231^Transportation_LCIA!H$60)+Transportation_LCIA!H$62</f>
        <v>2.2285424318591637E-4</v>
      </c>
      <c r="AE231" s="16">
        <f>Transportation_LCIA!I$61*($W231^Transportation_LCIA!I$60)+Transportation_LCIA!I$62</f>
        <v>4.571174071441499E-6</v>
      </c>
      <c r="AF231" s="16">
        <f>Transportation_LCIA!J$61*($W231^Transportation_LCIA!J$60)+Transportation_LCIA!J$62</f>
        <v>6.7618339751164165E-3</v>
      </c>
      <c r="AG231" s="16">
        <f>Transportation_LCIA!K$61*($W231^Transportation_LCIA!K$60)+Transportation_LCIA!K$62</f>
        <v>1.0036647213890358E-2</v>
      </c>
      <c r="AH231" s="16">
        <f>Transportation_LCIA!L$61*($W231^Transportation_LCIA!L$60)+Transportation_LCIA!L$62</f>
        <v>1.9038435373879868E-4</v>
      </c>
      <c r="AI231" s="16">
        <f>Transportation_LCIA!M$61*($W231^Transportation_LCIA!M$60)+Transportation_LCIA!M$62</f>
        <v>2.1384473386264609E-4</v>
      </c>
      <c r="AJ231" s="16">
        <f>Transportation_LCIA!N$61*($W231^Transportation_LCIA!N$60)+Transportation_LCIA!N$62</f>
        <v>8.0839367892004054E-4</v>
      </c>
      <c r="AK231" s="16">
        <f>Transportation_LCIA!O$61*($W231^Transportation_LCIA!O$60)+Transportation_LCIA!O$62</f>
        <v>5.067209999252372E-5</v>
      </c>
      <c r="AL231" s="16">
        <f>Transportation_LCIA!P$61*($W231^Transportation_LCIA!P$60)+Transportation_LCIA!P$62</f>
        <v>2.4529050433273688E-8</v>
      </c>
      <c r="AM231" s="16">
        <f>Transportation_LCIA!Q$61*($W231^Transportation_LCIA!Q$60)+Transportation_LCIA!Q$62</f>
        <v>7.5620829602403238E-5</v>
      </c>
      <c r="AN231" s="16">
        <f>Transportation_LCIA!R$61*($W231^Transportation_LCIA!R$60)+Transportation_LCIA!R$62</f>
        <v>2.2005485991627286E-4</v>
      </c>
      <c r="AO231" s="16">
        <f>Transportation_LCIA!S$61*($W231^Transportation_LCIA!S$60)+Transportation_LCIA!S$62</f>
        <v>3.3802166707550345E-6</v>
      </c>
      <c r="AP231" s="16">
        <f>Transportation_LCIA!T$61*($W231^Transportation_LCIA!T$60)+Transportation_LCIA!T$62</f>
        <v>3.3802166707550345E-6</v>
      </c>
      <c r="AQ231" s="16">
        <f>Transportation_LCIA!U$61*($W231^Transportation_LCIA!U$60)+Transportation_LCIA!U$62</f>
        <v>4.6945882310058874E-4</v>
      </c>
      <c r="AR231" s="16">
        <f>Transportation_LCIA!V$61*($W231^Transportation_LCIA!V$60)+Transportation_LCIA!V$62</f>
        <v>1.9671290669076797E-4</v>
      </c>
      <c r="AT231" s="16">
        <f>$W231*Y231+($L231)*Summary_LCIA!H$32</f>
        <v>305.53964591701794</v>
      </c>
      <c r="AU231" s="16">
        <f>$W231*Z231+($L231)*Summary_LCIA!Q$32</f>
        <v>3144.1932126510228</v>
      </c>
      <c r="AV231" s="16">
        <f>$W231*AA231+($L231)*Summary_LCIA!R$32</f>
        <v>1.5105359770995637</v>
      </c>
      <c r="AW231" s="16">
        <f>$W231*AB231+($L231)*Summary_LCIA!S$32</f>
        <v>305.34921463701795</v>
      </c>
      <c r="AX231" s="16">
        <f>$W231*AC231+($L231)*Summary_LCIA!T$32</f>
        <v>73.350736688292287</v>
      </c>
      <c r="AY231" s="16">
        <f>$W231*AD231+($L231)*Summary_LCIA!U$32</f>
        <v>1.0903758244616382</v>
      </c>
      <c r="AZ231" s="16">
        <f>$W231*AE231+($L231)*Summary_LCIA!V$32</f>
        <v>8.5922058565402679E-3</v>
      </c>
      <c r="BA231" s="16">
        <f>$W231*AF231+($L231)*Summary_LCIA!W$32</f>
        <v>12.982227092773416</v>
      </c>
      <c r="BB231" s="16">
        <f>$W231*AG231+($L231)*Summary_LCIA!X$32</f>
        <v>15.32879152427034</v>
      </c>
      <c r="BC231" s="16">
        <f>$W231*AH231+($L231)*Summary_LCIA!Y$32</f>
        <v>0.94348838862666395</v>
      </c>
      <c r="BD231" s="16">
        <f>$W231*AI231+($L231)*Summary_LCIA!Z$32</f>
        <v>0.30745683079417235</v>
      </c>
      <c r="BE231" s="16">
        <f>$W231*AJ231+($L231)*Summary_LCIA!AA$32</f>
        <v>2.1618647062094256</v>
      </c>
      <c r="BF231" s="16">
        <f>$W231*AK231+($L231)*Summary_LCIA!AB$32</f>
        <v>7.1495296471539946E-2</v>
      </c>
      <c r="BG231" s="16">
        <f>$W231*AL231+($L231)*Summary_LCIA!AC$32</f>
        <v>3.7170275637452815E-5</v>
      </c>
      <c r="BH231" s="16">
        <f>$W231*AM231+($L231)*Summary_LCIA!AD$32</f>
        <v>0.12580885267117098</v>
      </c>
      <c r="BI231" s="16">
        <f>$W231*AN231+($L231)*Summary_LCIA!AE$32</f>
        <v>0.35274536871700768</v>
      </c>
      <c r="BJ231" s="16">
        <f>$W231*AO231+($L231)*Summary_LCIA!AF$32</f>
        <v>4.1256078444948711E-2</v>
      </c>
      <c r="BK231" s="16">
        <f>$W231*AP231+($L231)*Summary_LCIA!AG$32</f>
        <v>7.0363960249487109E-3</v>
      </c>
      <c r="BL231" s="16">
        <f>$W231*AQ231+($L231)*Summary_LCIA!AH$32</f>
        <v>1.0460749892804708</v>
      </c>
      <c r="BM231" s="16">
        <f>$W231*AR231+($L231)*Summary_LCIA!AI$32</f>
        <v>0.32133503625628873</v>
      </c>
      <c r="BN231" s="16"/>
    </row>
    <row r="232" spans="1:66" x14ac:dyDescent="0.25">
      <c r="A232" s="159">
        <v>208</v>
      </c>
      <c r="B232" s="159">
        <v>6</v>
      </c>
      <c r="C232" s="45">
        <v>39.739235999999998</v>
      </c>
      <c r="D232" s="45">
        <v>-104.990251</v>
      </c>
      <c r="E232" s="45" t="s">
        <v>265</v>
      </c>
      <c r="F232" s="159">
        <v>16</v>
      </c>
      <c r="G232" s="45" t="s">
        <v>565</v>
      </c>
      <c r="H232" s="45" t="s">
        <v>645</v>
      </c>
      <c r="I232" s="45">
        <v>39.856096000000001</v>
      </c>
      <c r="J232" s="45">
        <v>-104.673738</v>
      </c>
      <c r="K232" s="45">
        <v>32.480303239999998</v>
      </c>
      <c r="L232" s="45">
        <v>43.084000000000003</v>
      </c>
      <c r="M232" s="45" t="s">
        <v>617</v>
      </c>
      <c r="N232" s="159">
        <v>5</v>
      </c>
      <c r="O232" s="159">
        <v>6</v>
      </c>
      <c r="P232" s="45" t="s">
        <v>565</v>
      </c>
      <c r="Q232" s="45" t="s">
        <v>564</v>
      </c>
      <c r="R232" s="45">
        <v>41.98028</v>
      </c>
      <c r="S232" s="61">
        <v>-87.908997900000003</v>
      </c>
      <c r="T232" s="45">
        <v>1614.1780000000001</v>
      </c>
      <c r="U232" s="45" t="s">
        <v>617</v>
      </c>
      <c r="V232" s="45" t="s">
        <v>569</v>
      </c>
      <c r="W232" s="45" cm="1">
        <f t="array" ref="W232">getDistance(R232,S232,I232,J232)*SA!$B$12</f>
        <v>1429.4950991616145</v>
      </c>
      <c r="X232" s="22"/>
      <c r="Y232" s="16">
        <f>Transportation_LCIA!C$61*($W232^Transportation_LCIA!C$60)+Transportation_LCIA!C$62</f>
        <v>0.20349821617970421</v>
      </c>
      <c r="Z232" s="16">
        <f>Transportation_LCIA!D$61*($W232^Transportation_LCIA!D$60)+Transportation_LCIA!D$62</f>
        <v>2.0501411564925682</v>
      </c>
      <c r="AA232" s="16">
        <f>Transportation_LCIA!E$61*($W232^Transportation_LCIA!E$60)+Transportation_LCIA!E$62</f>
        <v>8.9799039356792888E-4</v>
      </c>
      <c r="AB232" s="16">
        <f>Transportation_LCIA!F$61*($W232^Transportation_LCIA!F$60)+Transportation_LCIA!F$62</f>
        <v>0.20349821617970421</v>
      </c>
      <c r="AC232" s="16">
        <f>Transportation_LCIA!G$61*($W232^Transportation_LCIA!G$60)+Transportation_LCIA!G$62</f>
        <v>4.8000028211733513E-2</v>
      </c>
      <c r="AD232" s="16">
        <f>Transportation_LCIA!H$61*($W232^Transportation_LCIA!H$60)+Transportation_LCIA!H$62</f>
        <v>2.2285424318591637E-4</v>
      </c>
      <c r="AE232" s="16">
        <f>Transportation_LCIA!I$61*($W232^Transportation_LCIA!I$60)+Transportation_LCIA!I$62</f>
        <v>4.571174071441499E-6</v>
      </c>
      <c r="AF232" s="16">
        <f>Transportation_LCIA!J$61*($W232^Transportation_LCIA!J$60)+Transportation_LCIA!J$62</f>
        <v>6.7618339751164165E-3</v>
      </c>
      <c r="AG232" s="16">
        <f>Transportation_LCIA!K$61*($W232^Transportation_LCIA!K$60)+Transportation_LCIA!K$62</f>
        <v>1.0036647213890358E-2</v>
      </c>
      <c r="AH232" s="16">
        <f>Transportation_LCIA!L$61*($W232^Transportation_LCIA!L$60)+Transportation_LCIA!L$62</f>
        <v>1.9038435373879868E-4</v>
      </c>
      <c r="AI232" s="16">
        <f>Transportation_LCIA!M$61*($W232^Transportation_LCIA!M$60)+Transportation_LCIA!M$62</f>
        <v>2.1384473386264609E-4</v>
      </c>
      <c r="AJ232" s="16">
        <f>Transportation_LCIA!N$61*($W232^Transportation_LCIA!N$60)+Transportation_LCIA!N$62</f>
        <v>8.0839367892004054E-4</v>
      </c>
      <c r="AK232" s="16">
        <f>Transportation_LCIA!O$61*($W232^Transportation_LCIA!O$60)+Transportation_LCIA!O$62</f>
        <v>5.067209999252372E-5</v>
      </c>
      <c r="AL232" s="16">
        <f>Transportation_LCIA!P$61*($W232^Transportation_LCIA!P$60)+Transportation_LCIA!P$62</f>
        <v>2.4529050433273688E-8</v>
      </c>
      <c r="AM232" s="16">
        <f>Transportation_LCIA!Q$61*($W232^Transportation_LCIA!Q$60)+Transportation_LCIA!Q$62</f>
        <v>7.5620829602403238E-5</v>
      </c>
      <c r="AN232" s="16">
        <f>Transportation_LCIA!R$61*($W232^Transportation_LCIA!R$60)+Transportation_LCIA!R$62</f>
        <v>2.2005485991627286E-4</v>
      </c>
      <c r="AO232" s="16">
        <f>Transportation_LCIA!S$61*($W232^Transportation_LCIA!S$60)+Transportation_LCIA!S$62</f>
        <v>3.3802166707550345E-6</v>
      </c>
      <c r="AP232" s="16">
        <f>Transportation_LCIA!T$61*($W232^Transportation_LCIA!T$60)+Transportation_LCIA!T$62</f>
        <v>3.3802166707550345E-6</v>
      </c>
      <c r="AQ232" s="16">
        <f>Transportation_LCIA!U$61*($W232^Transportation_LCIA!U$60)+Transportation_LCIA!U$62</f>
        <v>4.6945882310058874E-4</v>
      </c>
      <c r="AR232" s="16">
        <f>Transportation_LCIA!V$61*($W232^Transportation_LCIA!V$60)+Transportation_LCIA!V$62</f>
        <v>1.9671290669076797E-4</v>
      </c>
      <c r="AT232" s="16">
        <f>$W232*Y232+($L232)*Summary_LCIA!H$32</f>
        <v>305.53964591701794</v>
      </c>
      <c r="AU232" s="16">
        <f>$W232*Z232+($L232)*Summary_LCIA!Q$32</f>
        <v>3144.1932126510228</v>
      </c>
      <c r="AV232" s="16">
        <f>$W232*AA232+($L232)*Summary_LCIA!R$32</f>
        <v>1.5105359770995637</v>
      </c>
      <c r="AW232" s="16">
        <f>$W232*AB232+($L232)*Summary_LCIA!S$32</f>
        <v>305.34921463701795</v>
      </c>
      <c r="AX232" s="16">
        <f>$W232*AC232+($L232)*Summary_LCIA!T$32</f>
        <v>73.350736688292287</v>
      </c>
      <c r="AY232" s="16">
        <f>$W232*AD232+($L232)*Summary_LCIA!U$32</f>
        <v>1.0903758244616382</v>
      </c>
      <c r="AZ232" s="16">
        <f>$W232*AE232+($L232)*Summary_LCIA!V$32</f>
        <v>8.5922058565402679E-3</v>
      </c>
      <c r="BA232" s="16">
        <f>$W232*AF232+($L232)*Summary_LCIA!W$32</f>
        <v>12.982227092773416</v>
      </c>
      <c r="BB232" s="16">
        <f>$W232*AG232+($L232)*Summary_LCIA!X$32</f>
        <v>15.32879152427034</v>
      </c>
      <c r="BC232" s="16">
        <f>$W232*AH232+($L232)*Summary_LCIA!Y$32</f>
        <v>0.94348838862666395</v>
      </c>
      <c r="BD232" s="16">
        <f>$W232*AI232+($L232)*Summary_LCIA!Z$32</f>
        <v>0.30745683079417235</v>
      </c>
      <c r="BE232" s="16">
        <f>$W232*AJ232+($L232)*Summary_LCIA!AA$32</f>
        <v>2.1618647062094256</v>
      </c>
      <c r="BF232" s="16">
        <f>$W232*AK232+($L232)*Summary_LCIA!AB$32</f>
        <v>7.1495296471539946E-2</v>
      </c>
      <c r="BG232" s="16">
        <f>$W232*AL232+($L232)*Summary_LCIA!AC$32</f>
        <v>3.7170275637452815E-5</v>
      </c>
      <c r="BH232" s="16">
        <f>$W232*AM232+($L232)*Summary_LCIA!AD$32</f>
        <v>0.12580885267117098</v>
      </c>
      <c r="BI232" s="16">
        <f>$W232*AN232+($L232)*Summary_LCIA!AE$32</f>
        <v>0.35274536871700768</v>
      </c>
      <c r="BJ232" s="16">
        <f>$W232*AO232+($L232)*Summary_LCIA!AF$32</f>
        <v>4.1256078444948711E-2</v>
      </c>
      <c r="BK232" s="16">
        <f>$W232*AP232+($L232)*Summary_LCIA!AG$32</f>
        <v>7.0363960249487109E-3</v>
      </c>
      <c r="BL232" s="16">
        <f>$W232*AQ232+($L232)*Summary_LCIA!AH$32</f>
        <v>1.0460749892804708</v>
      </c>
      <c r="BM232" s="16">
        <f>$W232*AR232+($L232)*Summary_LCIA!AI$32</f>
        <v>0.32133503625628873</v>
      </c>
      <c r="BN232" s="16"/>
    </row>
    <row r="233" spans="1:66" x14ac:dyDescent="0.25">
      <c r="A233" s="159">
        <v>219</v>
      </c>
      <c r="B233" s="159">
        <v>6</v>
      </c>
      <c r="C233" s="45">
        <v>40.570262999999997</v>
      </c>
      <c r="D233" s="45">
        <v>-105.090346</v>
      </c>
      <c r="E233" s="45" t="s">
        <v>265</v>
      </c>
      <c r="F233" s="159">
        <v>16</v>
      </c>
      <c r="G233" s="45" t="s">
        <v>565</v>
      </c>
      <c r="H233" s="45" t="s">
        <v>645</v>
      </c>
      <c r="I233" s="45">
        <v>39.856096000000001</v>
      </c>
      <c r="J233" s="45">
        <v>-104.673738</v>
      </c>
      <c r="K233" s="45">
        <v>153.5848848</v>
      </c>
      <c r="L233" s="45">
        <v>113.407</v>
      </c>
      <c r="M233" s="45" t="s">
        <v>617</v>
      </c>
      <c r="N233" s="159">
        <v>5</v>
      </c>
      <c r="O233" s="159">
        <v>6</v>
      </c>
      <c r="P233" s="45" t="s">
        <v>565</v>
      </c>
      <c r="Q233" s="45" t="s">
        <v>564</v>
      </c>
      <c r="R233" s="45">
        <v>41.98028</v>
      </c>
      <c r="S233" s="61">
        <v>-87.908997900000003</v>
      </c>
      <c r="T233" s="45">
        <v>1614.857</v>
      </c>
      <c r="U233" s="45" t="s">
        <v>617</v>
      </c>
      <c r="V233" s="45" t="s">
        <v>569</v>
      </c>
      <c r="W233" s="45" cm="1">
        <f t="array" ref="W233">getDistance(R233,S233,I233,J233)*SA!$B$12</f>
        <v>1429.4950991616145</v>
      </c>
      <c r="X233" s="22"/>
      <c r="Y233" s="16">
        <f>Transportation_LCIA!C$61*($W233^Transportation_LCIA!C$60)+Transportation_LCIA!C$62</f>
        <v>0.20349821617970421</v>
      </c>
      <c r="Z233" s="16">
        <f>Transportation_LCIA!D$61*($W233^Transportation_LCIA!D$60)+Transportation_LCIA!D$62</f>
        <v>2.0501411564925682</v>
      </c>
      <c r="AA233" s="16">
        <f>Transportation_LCIA!E$61*($W233^Transportation_LCIA!E$60)+Transportation_LCIA!E$62</f>
        <v>8.9799039356792888E-4</v>
      </c>
      <c r="AB233" s="16">
        <f>Transportation_LCIA!F$61*($W233^Transportation_LCIA!F$60)+Transportation_LCIA!F$62</f>
        <v>0.20349821617970421</v>
      </c>
      <c r="AC233" s="16">
        <f>Transportation_LCIA!G$61*($W233^Transportation_LCIA!G$60)+Transportation_LCIA!G$62</f>
        <v>4.8000028211733513E-2</v>
      </c>
      <c r="AD233" s="16">
        <f>Transportation_LCIA!H$61*($W233^Transportation_LCIA!H$60)+Transportation_LCIA!H$62</f>
        <v>2.2285424318591637E-4</v>
      </c>
      <c r="AE233" s="16">
        <f>Transportation_LCIA!I$61*($W233^Transportation_LCIA!I$60)+Transportation_LCIA!I$62</f>
        <v>4.571174071441499E-6</v>
      </c>
      <c r="AF233" s="16">
        <f>Transportation_LCIA!J$61*($W233^Transportation_LCIA!J$60)+Transportation_LCIA!J$62</f>
        <v>6.7618339751164165E-3</v>
      </c>
      <c r="AG233" s="16">
        <f>Transportation_LCIA!K$61*($W233^Transportation_LCIA!K$60)+Transportation_LCIA!K$62</f>
        <v>1.0036647213890358E-2</v>
      </c>
      <c r="AH233" s="16">
        <f>Transportation_LCIA!L$61*($W233^Transportation_LCIA!L$60)+Transportation_LCIA!L$62</f>
        <v>1.9038435373879868E-4</v>
      </c>
      <c r="AI233" s="16">
        <f>Transportation_LCIA!M$61*($W233^Transportation_LCIA!M$60)+Transportation_LCIA!M$62</f>
        <v>2.1384473386264609E-4</v>
      </c>
      <c r="AJ233" s="16">
        <f>Transportation_LCIA!N$61*($W233^Transportation_LCIA!N$60)+Transportation_LCIA!N$62</f>
        <v>8.0839367892004054E-4</v>
      </c>
      <c r="AK233" s="16">
        <f>Transportation_LCIA!O$61*($W233^Transportation_LCIA!O$60)+Transportation_LCIA!O$62</f>
        <v>5.067209999252372E-5</v>
      </c>
      <c r="AL233" s="16">
        <f>Transportation_LCIA!P$61*($W233^Transportation_LCIA!P$60)+Transportation_LCIA!P$62</f>
        <v>2.4529050433273688E-8</v>
      </c>
      <c r="AM233" s="16">
        <f>Transportation_LCIA!Q$61*($W233^Transportation_LCIA!Q$60)+Transportation_LCIA!Q$62</f>
        <v>7.5620829602403238E-5</v>
      </c>
      <c r="AN233" s="16">
        <f>Transportation_LCIA!R$61*($W233^Transportation_LCIA!R$60)+Transportation_LCIA!R$62</f>
        <v>2.2005485991627286E-4</v>
      </c>
      <c r="AO233" s="16">
        <f>Transportation_LCIA!S$61*($W233^Transportation_LCIA!S$60)+Transportation_LCIA!S$62</f>
        <v>3.3802166707550345E-6</v>
      </c>
      <c r="AP233" s="16">
        <f>Transportation_LCIA!T$61*($W233^Transportation_LCIA!T$60)+Transportation_LCIA!T$62</f>
        <v>3.3802166707550345E-6</v>
      </c>
      <c r="AQ233" s="16">
        <f>Transportation_LCIA!U$61*($W233^Transportation_LCIA!U$60)+Transportation_LCIA!U$62</f>
        <v>4.6945882310058874E-4</v>
      </c>
      <c r="AR233" s="16">
        <f>Transportation_LCIA!V$61*($W233^Transportation_LCIA!V$60)+Transportation_LCIA!V$62</f>
        <v>1.9671290669076797E-4</v>
      </c>
      <c r="AT233" s="16">
        <f>$W233*Y233+($L233)*Summary_LCIA!H$32</f>
        <v>329.43540131701792</v>
      </c>
      <c r="AU233" s="16">
        <f>$W233*Z233+($L233)*Summary_LCIA!Q$32</f>
        <v>3492.7175472508816</v>
      </c>
      <c r="AV233" s="16">
        <f>$W233*AA233+($L233)*Summary_LCIA!R$32</f>
        <v>1.8808287658995635</v>
      </c>
      <c r="AW233" s="16">
        <f>$W233*AB233+($L233)*Summary_LCIA!S$32</f>
        <v>328.93414237701791</v>
      </c>
      <c r="AX233" s="16">
        <f>$W233*AC233+($L233)*Summary_LCIA!T$32</f>
        <v>81.079234388292292</v>
      </c>
      <c r="AY233" s="16">
        <f>$W233*AD233+($L233)*Summary_LCIA!U$32</f>
        <v>2.3501420464616376</v>
      </c>
      <c r="AZ233" s="16">
        <f>$W233*AE233+($L233)*Summary_LCIA!V$32</f>
        <v>1.1950902659540266E-2</v>
      </c>
      <c r="BA233" s="16">
        <f>$W233*AF233+($L233)*Summary_LCIA!W$32</f>
        <v>18.395058725773417</v>
      </c>
      <c r="BB233" s="16">
        <f>$W233*AG233+($L233)*Summary_LCIA!X$32</f>
        <v>16.930749464270338</v>
      </c>
      <c r="BC233" s="16">
        <f>$W233*AH233+($L233)*Summary_LCIA!Y$32</f>
        <v>2.0392613746266637</v>
      </c>
      <c r="BD233" s="16">
        <f>$W233*AI233+($L233)*Summary_LCIA!Z$32</f>
        <v>0.31034070670117236</v>
      </c>
      <c r="BE233" s="16">
        <f>$W233*AJ233+($L233)*Summary_LCIA!AA$32</f>
        <v>3.8043286942094254</v>
      </c>
      <c r="BF233" s="16">
        <f>$W233*AK233+($L233)*Summary_LCIA!AB$32</f>
        <v>6.9960637642539944E-2</v>
      </c>
      <c r="BG233" s="16">
        <f>$W233*AL233+($L233)*Summary_LCIA!AC$32</f>
        <v>4.0607945169452815E-5</v>
      </c>
      <c r="BH233" s="16">
        <f>$W233*AM233+($L233)*Summary_LCIA!AD$32</f>
        <v>0.15471441859117097</v>
      </c>
      <c r="BI233" s="16">
        <f>$W233*AN233+($L233)*Summary_LCIA!AE$32</f>
        <v>0.41506068870700769</v>
      </c>
      <c r="BJ233" s="16">
        <f>$W233*AO233+($L233)*Summary_LCIA!AF$32</f>
        <v>0.10070854910494871</v>
      </c>
      <c r="BK233" s="16">
        <f>$W233*AP233+($L233)*Summary_LCIA!AG$32</f>
        <v>1.0634472319948711E-2</v>
      </c>
      <c r="BL233" s="16">
        <f>$W233*AQ233+($L233)*Summary_LCIA!AH$32</f>
        <v>1.6581382520804708</v>
      </c>
      <c r="BM233" s="16">
        <f>$W233*AR233+($L233)*Summary_LCIA!AI$32</f>
        <v>0.38684442690628873</v>
      </c>
      <c r="BN233" s="16"/>
    </row>
    <row r="234" spans="1:66" x14ac:dyDescent="0.25">
      <c r="A234" s="159">
        <v>220</v>
      </c>
      <c r="B234" s="159">
        <v>6</v>
      </c>
      <c r="C234" s="45">
        <v>40.570262999999997</v>
      </c>
      <c r="D234" s="45">
        <v>-105.090346</v>
      </c>
      <c r="E234" s="45" t="s">
        <v>265</v>
      </c>
      <c r="F234" s="159">
        <v>16</v>
      </c>
      <c r="G234" s="45" t="s">
        <v>565</v>
      </c>
      <c r="H234" s="45" t="s">
        <v>645</v>
      </c>
      <c r="I234" s="45">
        <v>39.856096000000001</v>
      </c>
      <c r="J234" s="45">
        <v>-104.673738</v>
      </c>
      <c r="K234" s="45">
        <v>153.5848848</v>
      </c>
      <c r="L234" s="45">
        <v>113.407</v>
      </c>
      <c r="M234" s="45" t="s">
        <v>617</v>
      </c>
      <c r="N234" s="159">
        <v>5</v>
      </c>
      <c r="O234" s="159">
        <v>6</v>
      </c>
      <c r="P234" s="45" t="s">
        <v>565</v>
      </c>
      <c r="Q234" s="45" t="s">
        <v>564</v>
      </c>
      <c r="R234" s="45">
        <v>41.98028</v>
      </c>
      <c r="S234" s="61">
        <v>-87.908997900000003</v>
      </c>
      <c r="T234" s="45">
        <v>1614.857</v>
      </c>
      <c r="U234" s="45" t="s">
        <v>617</v>
      </c>
      <c r="V234" s="45" t="s">
        <v>569</v>
      </c>
      <c r="W234" s="45" cm="1">
        <f t="array" ref="W234">getDistance(R234,S234,I234,J234)*SA!$B$12</f>
        <v>1429.4950991616145</v>
      </c>
      <c r="X234" s="22"/>
      <c r="Y234" s="16">
        <f>Transportation_LCIA!C$61*($W234^Transportation_LCIA!C$60)+Transportation_LCIA!C$62</f>
        <v>0.20349821617970421</v>
      </c>
      <c r="Z234" s="16">
        <f>Transportation_LCIA!D$61*($W234^Transportation_LCIA!D$60)+Transportation_LCIA!D$62</f>
        <v>2.0501411564925682</v>
      </c>
      <c r="AA234" s="16">
        <f>Transportation_LCIA!E$61*($W234^Transportation_LCIA!E$60)+Transportation_LCIA!E$62</f>
        <v>8.9799039356792888E-4</v>
      </c>
      <c r="AB234" s="16">
        <f>Transportation_LCIA!F$61*($W234^Transportation_LCIA!F$60)+Transportation_LCIA!F$62</f>
        <v>0.20349821617970421</v>
      </c>
      <c r="AC234" s="16">
        <f>Transportation_LCIA!G$61*($W234^Transportation_LCIA!G$60)+Transportation_LCIA!G$62</f>
        <v>4.8000028211733513E-2</v>
      </c>
      <c r="AD234" s="16">
        <f>Transportation_LCIA!H$61*($W234^Transportation_LCIA!H$60)+Transportation_LCIA!H$62</f>
        <v>2.2285424318591637E-4</v>
      </c>
      <c r="AE234" s="16">
        <f>Transportation_LCIA!I$61*($W234^Transportation_LCIA!I$60)+Transportation_LCIA!I$62</f>
        <v>4.571174071441499E-6</v>
      </c>
      <c r="AF234" s="16">
        <f>Transportation_LCIA!J$61*($W234^Transportation_LCIA!J$60)+Transportation_LCIA!J$62</f>
        <v>6.7618339751164165E-3</v>
      </c>
      <c r="AG234" s="16">
        <f>Transportation_LCIA!K$61*($W234^Transportation_LCIA!K$60)+Transportation_LCIA!K$62</f>
        <v>1.0036647213890358E-2</v>
      </c>
      <c r="AH234" s="16">
        <f>Transportation_LCIA!L$61*($W234^Transportation_LCIA!L$60)+Transportation_LCIA!L$62</f>
        <v>1.9038435373879868E-4</v>
      </c>
      <c r="AI234" s="16">
        <f>Transportation_LCIA!M$61*($W234^Transportation_LCIA!M$60)+Transportation_LCIA!M$62</f>
        <v>2.1384473386264609E-4</v>
      </c>
      <c r="AJ234" s="16">
        <f>Transportation_LCIA!N$61*($W234^Transportation_LCIA!N$60)+Transportation_LCIA!N$62</f>
        <v>8.0839367892004054E-4</v>
      </c>
      <c r="AK234" s="16">
        <f>Transportation_LCIA!O$61*($W234^Transportation_LCIA!O$60)+Transportation_LCIA!O$62</f>
        <v>5.067209999252372E-5</v>
      </c>
      <c r="AL234" s="16">
        <f>Transportation_LCIA!P$61*($W234^Transportation_LCIA!P$60)+Transportation_LCIA!P$62</f>
        <v>2.4529050433273688E-8</v>
      </c>
      <c r="AM234" s="16">
        <f>Transportation_LCIA!Q$61*($W234^Transportation_LCIA!Q$60)+Transportation_LCIA!Q$62</f>
        <v>7.5620829602403238E-5</v>
      </c>
      <c r="AN234" s="16">
        <f>Transportation_LCIA!R$61*($W234^Transportation_LCIA!R$60)+Transportation_LCIA!R$62</f>
        <v>2.2005485991627286E-4</v>
      </c>
      <c r="AO234" s="16">
        <f>Transportation_LCIA!S$61*($W234^Transportation_LCIA!S$60)+Transportation_LCIA!S$62</f>
        <v>3.3802166707550345E-6</v>
      </c>
      <c r="AP234" s="16">
        <f>Transportation_LCIA!T$61*($W234^Transportation_LCIA!T$60)+Transportation_LCIA!T$62</f>
        <v>3.3802166707550345E-6</v>
      </c>
      <c r="AQ234" s="16">
        <f>Transportation_LCIA!U$61*($W234^Transportation_LCIA!U$60)+Transportation_LCIA!U$62</f>
        <v>4.6945882310058874E-4</v>
      </c>
      <c r="AR234" s="16">
        <f>Transportation_LCIA!V$61*($W234^Transportation_LCIA!V$60)+Transportation_LCIA!V$62</f>
        <v>1.9671290669076797E-4</v>
      </c>
      <c r="AT234" s="16">
        <f>$W234*Y234+($L234)*Summary_LCIA!H$32</f>
        <v>329.43540131701792</v>
      </c>
      <c r="AU234" s="16">
        <f>$W234*Z234+($L234)*Summary_LCIA!Q$32</f>
        <v>3492.7175472508816</v>
      </c>
      <c r="AV234" s="16">
        <f>$W234*AA234+($L234)*Summary_LCIA!R$32</f>
        <v>1.8808287658995635</v>
      </c>
      <c r="AW234" s="16">
        <f>$W234*AB234+($L234)*Summary_LCIA!S$32</f>
        <v>328.93414237701791</v>
      </c>
      <c r="AX234" s="16">
        <f>$W234*AC234+($L234)*Summary_LCIA!T$32</f>
        <v>81.079234388292292</v>
      </c>
      <c r="AY234" s="16">
        <f>$W234*AD234+($L234)*Summary_LCIA!U$32</f>
        <v>2.3501420464616376</v>
      </c>
      <c r="AZ234" s="16">
        <f>$W234*AE234+($L234)*Summary_LCIA!V$32</f>
        <v>1.1950902659540266E-2</v>
      </c>
      <c r="BA234" s="16">
        <f>$W234*AF234+($L234)*Summary_LCIA!W$32</f>
        <v>18.395058725773417</v>
      </c>
      <c r="BB234" s="16">
        <f>$W234*AG234+($L234)*Summary_LCIA!X$32</f>
        <v>16.930749464270338</v>
      </c>
      <c r="BC234" s="16">
        <f>$W234*AH234+($L234)*Summary_LCIA!Y$32</f>
        <v>2.0392613746266637</v>
      </c>
      <c r="BD234" s="16">
        <f>$W234*AI234+($L234)*Summary_LCIA!Z$32</f>
        <v>0.31034070670117236</v>
      </c>
      <c r="BE234" s="16">
        <f>$W234*AJ234+($L234)*Summary_LCIA!AA$32</f>
        <v>3.8043286942094254</v>
      </c>
      <c r="BF234" s="16">
        <f>$W234*AK234+($L234)*Summary_LCIA!AB$32</f>
        <v>6.9960637642539944E-2</v>
      </c>
      <c r="BG234" s="16">
        <f>$W234*AL234+($L234)*Summary_LCIA!AC$32</f>
        <v>4.0607945169452815E-5</v>
      </c>
      <c r="BH234" s="16">
        <f>$W234*AM234+($L234)*Summary_LCIA!AD$32</f>
        <v>0.15471441859117097</v>
      </c>
      <c r="BI234" s="16">
        <f>$W234*AN234+($L234)*Summary_LCIA!AE$32</f>
        <v>0.41506068870700769</v>
      </c>
      <c r="BJ234" s="16">
        <f>$W234*AO234+($L234)*Summary_LCIA!AF$32</f>
        <v>0.10070854910494871</v>
      </c>
      <c r="BK234" s="16">
        <f>$W234*AP234+($L234)*Summary_LCIA!AG$32</f>
        <v>1.0634472319948711E-2</v>
      </c>
      <c r="BL234" s="16">
        <f>$W234*AQ234+($L234)*Summary_LCIA!AH$32</f>
        <v>1.6581382520804708</v>
      </c>
      <c r="BM234" s="16">
        <f>$W234*AR234+($L234)*Summary_LCIA!AI$32</f>
        <v>0.38684442690628873</v>
      </c>
      <c r="BN234" s="16"/>
    </row>
    <row r="235" spans="1:66" x14ac:dyDescent="0.25">
      <c r="A235" s="159">
        <v>221</v>
      </c>
      <c r="B235" s="159">
        <v>6</v>
      </c>
      <c r="C235" s="45">
        <v>40.570262999999997</v>
      </c>
      <c r="D235" s="45">
        <v>-105.090346</v>
      </c>
      <c r="E235" s="45" t="s">
        <v>265</v>
      </c>
      <c r="F235" s="159">
        <v>16</v>
      </c>
      <c r="G235" s="45" t="s">
        <v>565</v>
      </c>
      <c r="H235" s="45" t="s">
        <v>645</v>
      </c>
      <c r="I235" s="45">
        <v>39.856096000000001</v>
      </c>
      <c r="J235" s="45">
        <v>-104.673738</v>
      </c>
      <c r="K235" s="45">
        <v>153.5848848</v>
      </c>
      <c r="L235" s="45">
        <v>113.407</v>
      </c>
      <c r="M235" s="45" t="s">
        <v>617</v>
      </c>
      <c r="N235" s="159">
        <v>5</v>
      </c>
      <c r="O235" s="159">
        <v>6</v>
      </c>
      <c r="P235" s="45" t="s">
        <v>565</v>
      </c>
      <c r="Q235" s="45" t="s">
        <v>564</v>
      </c>
      <c r="R235" s="45">
        <v>41.98028</v>
      </c>
      <c r="S235" s="61">
        <v>-87.908997900000003</v>
      </c>
      <c r="T235" s="45">
        <v>1614.857</v>
      </c>
      <c r="U235" s="45" t="s">
        <v>617</v>
      </c>
      <c r="V235" s="45" t="s">
        <v>569</v>
      </c>
      <c r="W235" s="45" cm="1">
        <f t="array" ref="W235">getDistance(R235,S235,I235,J235)*SA!$B$12</f>
        <v>1429.4950991616145</v>
      </c>
      <c r="X235" s="22"/>
      <c r="Y235" s="16">
        <f>Transportation_LCIA!C$61*($W235^Transportation_LCIA!C$60)+Transportation_LCIA!C$62</f>
        <v>0.20349821617970421</v>
      </c>
      <c r="Z235" s="16">
        <f>Transportation_LCIA!D$61*($W235^Transportation_LCIA!D$60)+Transportation_LCIA!D$62</f>
        <v>2.0501411564925682</v>
      </c>
      <c r="AA235" s="16">
        <f>Transportation_LCIA!E$61*($W235^Transportation_LCIA!E$60)+Transportation_LCIA!E$62</f>
        <v>8.9799039356792888E-4</v>
      </c>
      <c r="AB235" s="16">
        <f>Transportation_LCIA!F$61*($W235^Transportation_LCIA!F$60)+Transportation_LCIA!F$62</f>
        <v>0.20349821617970421</v>
      </c>
      <c r="AC235" s="16">
        <f>Transportation_LCIA!G$61*($W235^Transportation_LCIA!G$60)+Transportation_LCIA!G$62</f>
        <v>4.8000028211733513E-2</v>
      </c>
      <c r="AD235" s="16">
        <f>Transportation_LCIA!H$61*($W235^Transportation_LCIA!H$60)+Transportation_LCIA!H$62</f>
        <v>2.2285424318591637E-4</v>
      </c>
      <c r="AE235" s="16">
        <f>Transportation_LCIA!I$61*($W235^Transportation_LCIA!I$60)+Transportation_LCIA!I$62</f>
        <v>4.571174071441499E-6</v>
      </c>
      <c r="AF235" s="16">
        <f>Transportation_LCIA!J$61*($W235^Transportation_LCIA!J$60)+Transportation_LCIA!J$62</f>
        <v>6.7618339751164165E-3</v>
      </c>
      <c r="AG235" s="16">
        <f>Transportation_LCIA!K$61*($W235^Transportation_LCIA!K$60)+Transportation_LCIA!K$62</f>
        <v>1.0036647213890358E-2</v>
      </c>
      <c r="AH235" s="16">
        <f>Transportation_LCIA!L$61*($W235^Transportation_LCIA!L$60)+Transportation_LCIA!L$62</f>
        <v>1.9038435373879868E-4</v>
      </c>
      <c r="AI235" s="16">
        <f>Transportation_LCIA!M$61*($W235^Transportation_LCIA!M$60)+Transportation_LCIA!M$62</f>
        <v>2.1384473386264609E-4</v>
      </c>
      <c r="AJ235" s="16">
        <f>Transportation_LCIA!N$61*($W235^Transportation_LCIA!N$60)+Transportation_LCIA!N$62</f>
        <v>8.0839367892004054E-4</v>
      </c>
      <c r="AK235" s="16">
        <f>Transportation_LCIA!O$61*($W235^Transportation_LCIA!O$60)+Transportation_LCIA!O$62</f>
        <v>5.067209999252372E-5</v>
      </c>
      <c r="AL235" s="16">
        <f>Transportation_LCIA!P$61*($W235^Transportation_LCIA!P$60)+Transportation_LCIA!P$62</f>
        <v>2.4529050433273688E-8</v>
      </c>
      <c r="AM235" s="16">
        <f>Transportation_LCIA!Q$61*($W235^Transportation_LCIA!Q$60)+Transportation_LCIA!Q$62</f>
        <v>7.5620829602403238E-5</v>
      </c>
      <c r="AN235" s="16">
        <f>Transportation_LCIA!R$61*($W235^Transportation_LCIA!R$60)+Transportation_LCIA!R$62</f>
        <v>2.2005485991627286E-4</v>
      </c>
      <c r="AO235" s="16">
        <f>Transportation_LCIA!S$61*($W235^Transportation_LCIA!S$60)+Transportation_LCIA!S$62</f>
        <v>3.3802166707550345E-6</v>
      </c>
      <c r="AP235" s="16">
        <f>Transportation_LCIA!T$61*($W235^Transportation_LCIA!T$60)+Transportation_LCIA!T$62</f>
        <v>3.3802166707550345E-6</v>
      </c>
      <c r="AQ235" s="16">
        <f>Transportation_LCIA!U$61*($W235^Transportation_LCIA!U$60)+Transportation_LCIA!U$62</f>
        <v>4.6945882310058874E-4</v>
      </c>
      <c r="AR235" s="16">
        <f>Transportation_LCIA!V$61*($W235^Transportation_LCIA!V$60)+Transportation_LCIA!V$62</f>
        <v>1.9671290669076797E-4</v>
      </c>
      <c r="AT235" s="16">
        <f>$W235*Y235+($L235)*Summary_LCIA!H$32</f>
        <v>329.43540131701792</v>
      </c>
      <c r="AU235" s="16">
        <f>$W235*Z235+($L235)*Summary_LCIA!Q$32</f>
        <v>3492.7175472508816</v>
      </c>
      <c r="AV235" s="16">
        <f>$W235*AA235+($L235)*Summary_LCIA!R$32</f>
        <v>1.8808287658995635</v>
      </c>
      <c r="AW235" s="16">
        <f>$W235*AB235+($L235)*Summary_LCIA!S$32</f>
        <v>328.93414237701791</v>
      </c>
      <c r="AX235" s="16">
        <f>$W235*AC235+($L235)*Summary_LCIA!T$32</f>
        <v>81.079234388292292</v>
      </c>
      <c r="AY235" s="16">
        <f>$W235*AD235+($L235)*Summary_LCIA!U$32</f>
        <v>2.3501420464616376</v>
      </c>
      <c r="AZ235" s="16">
        <f>$W235*AE235+($L235)*Summary_LCIA!V$32</f>
        <v>1.1950902659540266E-2</v>
      </c>
      <c r="BA235" s="16">
        <f>$W235*AF235+($L235)*Summary_LCIA!W$32</f>
        <v>18.395058725773417</v>
      </c>
      <c r="BB235" s="16">
        <f>$W235*AG235+($L235)*Summary_LCIA!X$32</f>
        <v>16.930749464270338</v>
      </c>
      <c r="BC235" s="16">
        <f>$W235*AH235+($L235)*Summary_LCIA!Y$32</f>
        <v>2.0392613746266637</v>
      </c>
      <c r="BD235" s="16">
        <f>$W235*AI235+($L235)*Summary_LCIA!Z$32</f>
        <v>0.31034070670117236</v>
      </c>
      <c r="BE235" s="16">
        <f>$W235*AJ235+($L235)*Summary_LCIA!AA$32</f>
        <v>3.8043286942094254</v>
      </c>
      <c r="BF235" s="16">
        <f>$W235*AK235+($L235)*Summary_LCIA!AB$32</f>
        <v>6.9960637642539944E-2</v>
      </c>
      <c r="BG235" s="16">
        <f>$W235*AL235+($L235)*Summary_LCIA!AC$32</f>
        <v>4.0607945169452815E-5</v>
      </c>
      <c r="BH235" s="16">
        <f>$W235*AM235+($L235)*Summary_LCIA!AD$32</f>
        <v>0.15471441859117097</v>
      </c>
      <c r="BI235" s="16">
        <f>$W235*AN235+($L235)*Summary_LCIA!AE$32</f>
        <v>0.41506068870700769</v>
      </c>
      <c r="BJ235" s="16">
        <f>$W235*AO235+($L235)*Summary_LCIA!AF$32</f>
        <v>0.10070854910494871</v>
      </c>
      <c r="BK235" s="16">
        <f>$W235*AP235+($L235)*Summary_LCIA!AG$32</f>
        <v>1.0634472319948711E-2</v>
      </c>
      <c r="BL235" s="16">
        <f>$W235*AQ235+($L235)*Summary_LCIA!AH$32</f>
        <v>1.6581382520804708</v>
      </c>
      <c r="BM235" s="16">
        <f>$W235*AR235+($L235)*Summary_LCIA!AI$32</f>
        <v>0.38684442690628873</v>
      </c>
      <c r="BN235" s="16"/>
    </row>
    <row r="236" spans="1:66" x14ac:dyDescent="0.25">
      <c r="A236" s="159">
        <v>226</v>
      </c>
      <c r="B236" s="159">
        <v>6</v>
      </c>
      <c r="C236" s="45">
        <v>39.755543000000003</v>
      </c>
      <c r="D236" s="45">
        <v>-105.22110000000001</v>
      </c>
      <c r="E236" s="45" t="s">
        <v>265</v>
      </c>
      <c r="F236" s="159">
        <v>16</v>
      </c>
      <c r="G236" s="45" t="s">
        <v>565</v>
      </c>
      <c r="H236" s="45" t="s">
        <v>645</v>
      </c>
      <c r="I236" s="45">
        <v>39.856096000000001</v>
      </c>
      <c r="J236" s="45">
        <v>-104.673738</v>
      </c>
      <c r="K236" s="45">
        <v>48.393650190000002</v>
      </c>
      <c r="L236" s="45">
        <v>58.264000000000003</v>
      </c>
      <c r="M236" s="45" t="s">
        <v>617</v>
      </c>
      <c r="N236" s="159">
        <v>5</v>
      </c>
      <c r="O236" s="159">
        <v>6</v>
      </c>
      <c r="P236" s="45" t="s">
        <v>565</v>
      </c>
      <c r="Q236" s="45" t="s">
        <v>564</v>
      </c>
      <c r="R236" s="45">
        <v>41.98028</v>
      </c>
      <c r="S236" s="45">
        <v>-87.908997900000003</v>
      </c>
      <c r="T236" s="45">
        <v>1626.2739999999999</v>
      </c>
      <c r="U236" s="45" t="s">
        <v>617</v>
      </c>
      <c r="V236" s="45" t="s">
        <v>569</v>
      </c>
      <c r="W236" s="45" cm="1">
        <f t="array" ref="W236">getDistance(R236,S236,I236,J236)*SA!$B$12</f>
        <v>1429.4950991616145</v>
      </c>
      <c r="X236" s="22"/>
      <c r="Y236" s="16">
        <f>Transportation_LCIA!C$61*($W236^Transportation_LCIA!C$60)+Transportation_LCIA!C$62</f>
        <v>0.20349821617970421</v>
      </c>
      <c r="Z236" s="16">
        <f>Transportation_LCIA!D$61*($W236^Transportation_LCIA!D$60)+Transportation_LCIA!D$62</f>
        <v>2.0501411564925682</v>
      </c>
      <c r="AA236" s="16">
        <f>Transportation_LCIA!E$61*($W236^Transportation_LCIA!E$60)+Transportation_LCIA!E$62</f>
        <v>8.9799039356792888E-4</v>
      </c>
      <c r="AB236" s="16">
        <f>Transportation_LCIA!F$61*($W236^Transportation_LCIA!F$60)+Transportation_LCIA!F$62</f>
        <v>0.20349821617970421</v>
      </c>
      <c r="AC236" s="16">
        <f>Transportation_LCIA!G$61*($W236^Transportation_LCIA!G$60)+Transportation_LCIA!G$62</f>
        <v>4.8000028211733513E-2</v>
      </c>
      <c r="AD236" s="16">
        <f>Transportation_LCIA!H$61*($W236^Transportation_LCIA!H$60)+Transportation_LCIA!H$62</f>
        <v>2.2285424318591637E-4</v>
      </c>
      <c r="AE236" s="16">
        <f>Transportation_LCIA!I$61*($W236^Transportation_LCIA!I$60)+Transportation_LCIA!I$62</f>
        <v>4.571174071441499E-6</v>
      </c>
      <c r="AF236" s="16">
        <f>Transportation_LCIA!J$61*($W236^Transportation_LCIA!J$60)+Transportation_LCIA!J$62</f>
        <v>6.7618339751164165E-3</v>
      </c>
      <c r="AG236" s="16">
        <f>Transportation_LCIA!K$61*($W236^Transportation_LCIA!K$60)+Transportation_LCIA!K$62</f>
        <v>1.0036647213890358E-2</v>
      </c>
      <c r="AH236" s="16">
        <f>Transportation_LCIA!L$61*($W236^Transportation_LCIA!L$60)+Transportation_LCIA!L$62</f>
        <v>1.9038435373879868E-4</v>
      </c>
      <c r="AI236" s="16">
        <f>Transportation_LCIA!M$61*($W236^Transportation_LCIA!M$60)+Transportation_LCIA!M$62</f>
        <v>2.1384473386264609E-4</v>
      </c>
      <c r="AJ236" s="16">
        <f>Transportation_LCIA!N$61*($W236^Transportation_LCIA!N$60)+Transportation_LCIA!N$62</f>
        <v>8.0839367892004054E-4</v>
      </c>
      <c r="AK236" s="16">
        <f>Transportation_LCIA!O$61*($W236^Transportation_LCIA!O$60)+Transportation_LCIA!O$62</f>
        <v>5.067209999252372E-5</v>
      </c>
      <c r="AL236" s="16">
        <f>Transportation_LCIA!P$61*($W236^Transportation_LCIA!P$60)+Transportation_LCIA!P$62</f>
        <v>2.4529050433273688E-8</v>
      </c>
      <c r="AM236" s="16">
        <f>Transportation_LCIA!Q$61*($W236^Transportation_LCIA!Q$60)+Transportation_LCIA!Q$62</f>
        <v>7.5620829602403238E-5</v>
      </c>
      <c r="AN236" s="16">
        <f>Transportation_LCIA!R$61*($W236^Transportation_LCIA!R$60)+Transportation_LCIA!R$62</f>
        <v>2.2005485991627286E-4</v>
      </c>
      <c r="AO236" s="16">
        <f>Transportation_LCIA!S$61*($W236^Transportation_LCIA!S$60)+Transportation_LCIA!S$62</f>
        <v>3.3802166707550345E-6</v>
      </c>
      <c r="AP236" s="16">
        <f>Transportation_LCIA!T$61*($W236^Transportation_LCIA!T$60)+Transportation_LCIA!T$62</f>
        <v>3.3802166707550345E-6</v>
      </c>
      <c r="AQ236" s="16">
        <f>Transportation_LCIA!U$61*($W236^Transportation_LCIA!U$60)+Transportation_LCIA!U$62</f>
        <v>4.6945882310058874E-4</v>
      </c>
      <c r="AR236" s="16">
        <f>Transportation_LCIA!V$61*($W236^Transportation_LCIA!V$60)+Transportation_LCIA!V$62</f>
        <v>1.9671290669076797E-4</v>
      </c>
      <c r="AT236" s="16">
        <f>$W236*Y236+($L236)*Summary_LCIA!H$32</f>
        <v>310.69780991701793</v>
      </c>
      <c r="AU236" s="16">
        <f>$W236*Z236+($L236)*Summary_LCIA!Q$32</f>
        <v>3219.4260582239626</v>
      </c>
      <c r="AV236" s="16">
        <f>$W236*AA236+($L236)*Summary_LCIA!R$32</f>
        <v>1.5904677850995637</v>
      </c>
      <c r="AW236" s="16">
        <f>$W236*AB236+($L236)*Summary_LCIA!S$32</f>
        <v>310.44028303701793</v>
      </c>
      <c r="AX236" s="16">
        <f>$W236*AC236+($L236)*Summary_LCIA!T$32</f>
        <v>75.019018688292292</v>
      </c>
      <c r="AY236" s="16">
        <f>$W236*AD236+($L236)*Summary_LCIA!U$32</f>
        <v>1.3623103444616382</v>
      </c>
      <c r="AZ236" s="16">
        <f>$W236*AE236+($L236)*Summary_LCIA!V$32</f>
        <v>9.3172178365402668E-3</v>
      </c>
      <c r="BA236" s="16">
        <f>$W236*AF236+($L236)*Summary_LCIA!W$32</f>
        <v>14.150646872773416</v>
      </c>
      <c r="BB236" s="16">
        <f>$W236*AG236+($L236)*Summary_LCIA!X$32</f>
        <v>15.67459192427034</v>
      </c>
      <c r="BC236" s="16">
        <f>$W236*AH236+($L236)*Summary_LCIA!Y$32</f>
        <v>1.1800231486266639</v>
      </c>
      <c r="BD236" s="16">
        <f>$W236*AI236+($L236)*Summary_LCIA!Z$32</f>
        <v>0.30807934741417237</v>
      </c>
      <c r="BE236" s="16">
        <f>$W236*AJ236+($L236)*Summary_LCIA!AA$32</f>
        <v>2.5164087862094258</v>
      </c>
      <c r="BF236" s="16">
        <f>$W236*AK236+($L236)*Summary_LCIA!AB$32</f>
        <v>7.1164023331539941E-2</v>
      </c>
      <c r="BG236" s="16">
        <f>$W236*AL236+($L236)*Summary_LCIA!AC$32</f>
        <v>3.7912334757452815E-5</v>
      </c>
      <c r="BH236" s="16">
        <f>$W236*AM236+($L236)*Summary_LCIA!AD$32</f>
        <v>0.13204843987117096</v>
      </c>
      <c r="BI236" s="16">
        <f>$W236*AN236+($L236)*Summary_LCIA!AE$32</f>
        <v>0.36619682211700766</v>
      </c>
      <c r="BJ236" s="16">
        <f>$W236*AO236+($L236)*Summary_LCIA!AF$32</f>
        <v>5.4089554044948716E-2</v>
      </c>
      <c r="BK236" s="16">
        <f>$W236*AP236+($L236)*Summary_LCIA!AG$32</f>
        <v>7.8130807249487105E-3</v>
      </c>
      <c r="BL236" s="16">
        <f>$W236*AQ236+($L236)*Summary_LCIA!AH$32</f>
        <v>1.1781956372804709</v>
      </c>
      <c r="BM236" s="16">
        <f>$W236*AR236+($L236)*Summary_LCIA!AI$32</f>
        <v>0.33547596525628876</v>
      </c>
      <c r="BN236" s="16"/>
    </row>
    <row r="237" spans="1:66" x14ac:dyDescent="0.25">
      <c r="A237" s="159">
        <v>39</v>
      </c>
      <c r="B237" s="159">
        <v>6</v>
      </c>
      <c r="C237" s="45">
        <v>39.740726000000002</v>
      </c>
      <c r="D237" s="45">
        <v>-105.168615</v>
      </c>
      <c r="E237" s="45" t="s">
        <v>265</v>
      </c>
      <c r="F237" s="159">
        <v>16</v>
      </c>
      <c r="G237" s="45" t="s">
        <v>565</v>
      </c>
      <c r="H237" s="45" t="s">
        <v>645</v>
      </c>
      <c r="I237" s="45">
        <v>39.856096000000001</v>
      </c>
      <c r="J237" s="45">
        <v>-104.673738</v>
      </c>
      <c r="K237" s="45">
        <v>45.014100849999998</v>
      </c>
      <c r="L237" s="45">
        <v>58.618000000000002</v>
      </c>
      <c r="M237" s="45" t="s">
        <v>617</v>
      </c>
      <c r="N237" s="159">
        <v>5</v>
      </c>
      <c r="O237" s="159">
        <v>6</v>
      </c>
      <c r="P237" s="45" t="s">
        <v>565</v>
      </c>
      <c r="Q237" s="45" t="s">
        <v>564</v>
      </c>
      <c r="R237" s="45">
        <v>41.98028</v>
      </c>
      <c r="S237" s="45">
        <v>-87.908997900000003</v>
      </c>
      <c r="T237" s="45">
        <v>1626.6279999999999</v>
      </c>
      <c r="U237" s="45" t="s">
        <v>617</v>
      </c>
      <c r="V237" s="45" t="s">
        <v>569</v>
      </c>
      <c r="W237" s="45" cm="1">
        <f t="array" ref="W237">getDistance(R237,S237,I237,J237)*SA!$B$12</f>
        <v>1429.4950991616145</v>
      </c>
      <c r="X237" s="22"/>
      <c r="Y237" s="16">
        <f>Transportation_LCIA!C$61*($W237^Transportation_LCIA!C$60)+Transportation_LCIA!C$62</f>
        <v>0.20349821617970421</v>
      </c>
      <c r="Z237" s="16">
        <f>Transportation_LCIA!D$61*($W237^Transportation_LCIA!D$60)+Transportation_LCIA!D$62</f>
        <v>2.0501411564925682</v>
      </c>
      <c r="AA237" s="16">
        <f>Transportation_LCIA!E$61*($W237^Transportation_LCIA!E$60)+Transportation_LCIA!E$62</f>
        <v>8.9799039356792888E-4</v>
      </c>
      <c r="AB237" s="16">
        <f>Transportation_LCIA!F$61*($W237^Transportation_LCIA!F$60)+Transportation_LCIA!F$62</f>
        <v>0.20349821617970421</v>
      </c>
      <c r="AC237" s="16">
        <f>Transportation_LCIA!G$61*($W237^Transportation_LCIA!G$60)+Transportation_LCIA!G$62</f>
        <v>4.8000028211733513E-2</v>
      </c>
      <c r="AD237" s="16">
        <f>Transportation_LCIA!H$61*($W237^Transportation_LCIA!H$60)+Transportation_LCIA!H$62</f>
        <v>2.2285424318591637E-4</v>
      </c>
      <c r="AE237" s="16">
        <f>Transportation_LCIA!I$61*($W237^Transportation_LCIA!I$60)+Transportation_LCIA!I$62</f>
        <v>4.571174071441499E-6</v>
      </c>
      <c r="AF237" s="16">
        <f>Transportation_LCIA!J$61*($W237^Transportation_LCIA!J$60)+Transportation_LCIA!J$62</f>
        <v>6.7618339751164165E-3</v>
      </c>
      <c r="AG237" s="16">
        <f>Transportation_LCIA!K$61*($W237^Transportation_LCIA!K$60)+Transportation_LCIA!K$62</f>
        <v>1.0036647213890358E-2</v>
      </c>
      <c r="AH237" s="16">
        <f>Transportation_LCIA!L$61*($W237^Transportation_LCIA!L$60)+Transportation_LCIA!L$62</f>
        <v>1.9038435373879868E-4</v>
      </c>
      <c r="AI237" s="16">
        <f>Transportation_LCIA!M$61*($W237^Transportation_LCIA!M$60)+Transportation_LCIA!M$62</f>
        <v>2.1384473386264609E-4</v>
      </c>
      <c r="AJ237" s="16">
        <f>Transportation_LCIA!N$61*($W237^Transportation_LCIA!N$60)+Transportation_LCIA!N$62</f>
        <v>8.0839367892004054E-4</v>
      </c>
      <c r="AK237" s="16">
        <f>Transportation_LCIA!O$61*($W237^Transportation_LCIA!O$60)+Transportation_LCIA!O$62</f>
        <v>5.067209999252372E-5</v>
      </c>
      <c r="AL237" s="16">
        <f>Transportation_LCIA!P$61*($W237^Transportation_LCIA!P$60)+Transportation_LCIA!P$62</f>
        <v>2.4529050433273688E-8</v>
      </c>
      <c r="AM237" s="16">
        <f>Transportation_LCIA!Q$61*($W237^Transportation_LCIA!Q$60)+Transportation_LCIA!Q$62</f>
        <v>7.5620829602403238E-5</v>
      </c>
      <c r="AN237" s="16">
        <f>Transportation_LCIA!R$61*($W237^Transportation_LCIA!R$60)+Transportation_LCIA!R$62</f>
        <v>2.2005485991627286E-4</v>
      </c>
      <c r="AO237" s="16">
        <f>Transportation_LCIA!S$61*($W237^Transportation_LCIA!S$60)+Transportation_LCIA!S$62</f>
        <v>3.3802166707550345E-6</v>
      </c>
      <c r="AP237" s="16">
        <f>Transportation_LCIA!T$61*($W237^Transportation_LCIA!T$60)+Transportation_LCIA!T$62</f>
        <v>3.3802166707550345E-6</v>
      </c>
      <c r="AQ237" s="16">
        <f>Transportation_LCIA!U$61*($W237^Transportation_LCIA!U$60)+Transportation_LCIA!U$62</f>
        <v>4.6945882310058874E-4</v>
      </c>
      <c r="AR237" s="16">
        <f>Transportation_LCIA!V$61*($W237^Transportation_LCIA!V$60)+Transportation_LCIA!V$62</f>
        <v>1.9671290669076797E-4</v>
      </c>
      <c r="AT237" s="16">
        <f>$W237*Y237+($L237)*Summary_LCIA!H$32</f>
        <v>310.81809911701794</v>
      </c>
      <c r="AU237" s="16">
        <f>$W237*Z237+($L237)*Summary_LCIA!Q$32</f>
        <v>3221.1805000772447</v>
      </c>
      <c r="AV237" s="16">
        <f>$W237*AA237+($L237)*Summary_LCIA!R$32</f>
        <v>1.5923318074995636</v>
      </c>
      <c r="AW237" s="16">
        <f>$W237*AB237+($L237)*Summary_LCIA!S$32</f>
        <v>310.55900755701794</v>
      </c>
      <c r="AX237" s="16">
        <f>$W237*AC237+($L237)*Summary_LCIA!T$32</f>
        <v>75.057923288292287</v>
      </c>
      <c r="AY237" s="16">
        <f>$W237*AD237+($L237)*Summary_LCIA!U$32</f>
        <v>1.3686519004616382</v>
      </c>
      <c r="AZ237" s="16">
        <f>$W237*AE237+($L237)*Summary_LCIA!V$32</f>
        <v>9.3341252305402661E-3</v>
      </c>
      <c r="BA237" s="16">
        <f>$W237*AF237+($L237)*Summary_LCIA!W$32</f>
        <v>14.177894606773416</v>
      </c>
      <c r="BB237" s="16">
        <f>$W237*AG237+($L237)*Summary_LCIA!X$32</f>
        <v>15.68265604427034</v>
      </c>
      <c r="BC237" s="16">
        <f>$W237*AH237+($L237)*Summary_LCIA!Y$32</f>
        <v>1.1855391766266639</v>
      </c>
      <c r="BD237" s="16">
        <f>$W237*AI237+($L237)*Summary_LCIA!Z$32</f>
        <v>0.30809386460017235</v>
      </c>
      <c r="BE237" s="16">
        <f>$W237*AJ237+($L237)*Summary_LCIA!AA$32</f>
        <v>2.5246768102094257</v>
      </c>
      <c r="BF237" s="16">
        <f>$W237*AK237+($L237)*Summary_LCIA!AB$32</f>
        <v>7.1156297989539943E-2</v>
      </c>
      <c r="BG237" s="16">
        <f>$W237*AL237+($L237)*Summary_LCIA!AC$32</f>
        <v>3.7929639693452813E-5</v>
      </c>
      <c r="BH237" s="16">
        <f>$W237*AM237+($L237)*Summary_LCIA!AD$32</f>
        <v>0.13219394803117096</v>
      </c>
      <c r="BI237" s="16">
        <f>$W237*AN237+($L237)*Summary_LCIA!AE$32</f>
        <v>0.36651051213700769</v>
      </c>
      <c r="BJ237" s="16">
        <f>$W237*AO237+($L237)*Summary_LCIA!AF$32</f>
        <v>5.438883272494871E-2</v>
      </c>
      <c r="BK237" s="16">
        <f>$W237*AP237+($L237)*Summary_LCIA!AG$32</f>
        <v>7.8311931349487104E-3</v>
      </c>
      <c r="BL237" s="16">
        <f>$W237*AQ237+($L237)*Summary_LCIA!AH$32</f>
        <v>1.181276711680471</v>
      </c>
      <c r="BM237" s="16">
        <f>$W237*AR237+($L237)*Summary_LCIA!AI$32</f>
        <v>0.33580573395628877</v>
      </c>
      <c r="BN237" s="16"/>
    </row>
    <row r="238" spans="1:66" x14ac:dyDescent="0.25">
      <c r="A238" s="159">
        <v>40</v>
      </c>
      <c r="B238" s="159">
        <v>6</v>
      </c>
      <c r="C238" s="45">
        <v>39.740726000000002</v>
      </c>
      <c r="D238" s="45">
        <v>-105.168615</v>
      </c>
      <c r="E238" s="45" t="s">
        <v>265</v>
      </c>
      <c r="F238" s="159">
        <v>16</v>
      </c>
      <c r="G238" s="45" t="s">
        <v>565</v>
      </c>
      <c r="H238" s="45" t="s">
        <v>645</v>
      </c>
      <c r="I238" s="45">
        <v>39.856096000000001</v>
      </c>
      <c r="J238" s="45">
        <v>-104.673738</v>
      </c>
      <c r="K238" s="45">
        <v>45.014100849999998</v>
      </c>
      <c r="L238" s="45">
        <v>58.618000000000002</v>
      </c>
      <c r="M238" s="45" t="s">
        <v>617</v>
      </c>
      <c r="N238" s="159">
        <v>5</v>
      </c>
      <c r="O238" s="159">
        <v>6</v>
      </c>
      <c r="P238" s="45" t="s">
        <v>565</v>
      </c>
      <c r="Q238" s="45" t="s">
        <v>564</v>
      </c>
      <c r="R238" s="45">
        <v>41.98028</v>
      </c>
      <c r="S238" s="45">
        <v>-87.908997900000003</v>
      </c>
      <c r="T238" s="45">
        <v>1626.6279999999999</v>
      </c>
      <c r="U238" s="45" t="s">
        <v>617</v>
      </c>
      <c r="V238" s="45" t="s">
        <v>569</v>
      </c>
      <c r="W238" s="45" cm="1">
        <f t="array" ref="W238">getDistance(R238,S238,I238,J238)*SA!$B$12</f>
        <v>1429.4950991616145</v>
      </c>
      <c r="X238" s="22"/>
      <c r="Y238" s="16">
        <f>Transportation_LCIA!C$61*($W238^Transportation_LCIA!C$60)+Transportation_LCIA!C$62</f>
        <v>0.20349821617970421</v>
      </c>
      <c r="Z238" s="16">
        <f>Transportation_LCIA!D$61*($W238^Transportation_LCIA!D$60)+Transportation_LCIA!D$62</f>
        <v>2.0501411564925682</v>
      </c>
      <c r="AA238" s="16">
        <f>Transportation_LCIA!E$61*($W238^Transportation_LCIA!E$60)+Transportation_LCIA!E$62</f>
        <v>8.9799039356792888E-4</v>
      </c>
      <c r="AB238" s="16">
        <f>Transportation_LCIA!F$61*($W238^Transportation_LCIA!F$60)+Transportation_LCIA!F$62</f>
        <v>0.20349821617970421</v>
      </c>
      <c r="AC238" s="16">
        <f>Transportation_LCIA!G$61*($W238^Transportation_LCIA!G$60)+Transportation_LCIA!G$62</f>
        <v>4.8000028211733513E-2</v>
      </c>
      <c r="AD238" s="16">
        <f>Transportation_LCIA!H$61*($W238^Transportation_LCIA!H$60)+Transportation_LCIA!H$62</f>
        <v>2.2285424318591637E-4</v>
      </c>
      <c r="AE238" s="16">
        <f>Transportation_LCIA!I$61*($W238^Transportation_LCIA!I$60)+Transportation_LCIA!I$62</f>
        <v>4.571174071441499E-6</v>
      </c>
      <c r="AF238" s="16">
        <f>Transportation_LCIA!J$61*($W238^Transportation_LCIA!J$60)+Transportation_LCIA!J$62</f>
        <v>6.7618339751164165E-3</v>
      </c>
      <c r="AG238" s="16">
        <f>Transportation_LCIA!K$61*($W238^Transportation_LCIA!K$60)+Transportation_LCIA!K$62</f>
        <v>1.0036647213890358E-2</v>
      </c>
      <c r="AH238" s="16">
        <f>Transportation_LCIA!L$61*($W238^Transportation_LCIA!L$60)+Transportation_LCIA!L$62</f>
        <v>1.9038435373879868E-4</v>
      </c>
      <c r="AI238" s="16">
        <f>Transportation_LCIA!M$61*($W238^Transportation_LCIA!M$60)+Transportation_LCIA!M$62</f>
        <v>2.1384473386264609E-4</v>
      </c>
      <c r="AJ238" s="16">
        <f>Transportation_LCIA!N$61*($W238^Transportation_LCIA!N$60)+Transportation_LCIA!N$62</f>
        <v>8.0839367892004054E-4</v>
      </c>
      <c r="AK238" s="16">
        <f>Transportation_LCIA!O$61*($W238^Transportation_LCIA!O$60)+Transportation_LCIA!O$62</f>
        <v>5.067209999252372E-5</v>
      </c>
      <c r="AL238" s="16">
        <f>Transportation_LCIA!P$61*($W238^Transportation_LCIA!P$60)+Transportation_LCIA!P$62</f>
        <v>2.4529050433273688E-8</v>
      </c>
      <c r="AM238" s="16">
        <f>Transportation_LCIA!Q$61*($W238^Transportation_LCIA!Q$60)+Transportation_LCIA!Q$62</f>
        <v>7.5620829602403238E-5</v>
      </c>
      <c r="AN238" s="16">
        <f>Transportation_LCIA!R$61*($W238^Transportation_LCIA!R$60)+Transportation_LCIA!R$62</f>
        <v>2.2005485991627286E-4</v>
      </c>
      <c r="AO238" s="16">
        <f>Transportation_LCIA!S$61*($W238^Transportation_LCIA!S$60)+Transportation_LCIA!S$62</f>
        <v>3.3802166707550345E-6</v>
      </c>
      <c r="AP238" s="16">
        <f>Transportation_LCIA!T$61*($W238^Transportation_LCIA!T$60)+Transportation_LCIA!T$62</f>
        <v>3.3802166707550345E-6</v>
      </c>
      <c r="AQ238" s="16">
        <f>Transportation_LCIA!U$61*($W238^Transportation_LCIA!U$60)+Transportation_LCIA!U$62</f>
        <v>4.6945882310058874E-4</v>
      </c>
      <c r="AR238" s="16">
        <f>Transportation_LCIA!V$61*($W238^Transportation_LCIA!V$60)+Transportation_LCIA!V$62</f>
        <v>1.9671290669076797E-4</v>
      </c>
      <c r="AT238" s="16">
        <f>$W238*Y238+($L238)*Summary_LCIA!H$32</f>
        <v>310.81809911701794</v>
      </c>
      <c r="AU238" s="16">
        <f>$W238*Z238+($L238)*Summary_LCIA!Q$32</f>
        <v>3221.1805000772447</v>
      </c>
      <c r="AV238" s="16">
        <f>$W238*AA238+($L238)*Summary_LCIA!R$32</f>
        <v>1.5923318074995636</v>
      </c>
      <c r="AW238" s="16">
        <f>$W238*AB238+($L238)*Summary_LCIA!S$32</f>
        <v>310.55900755701794</v>
      </c>
      <c r="AX238" s="16">
        <f>$W238*AC238+($L238)*Summary_LCIA!T$32</f>
        <v>75.057923288292287</v>
      </c>
      <c r="AY238" s="16">
        <f>$W238*AD238+($L238)*Summary_LCIA!U$32</f>
        <v>1.3686519004616382</v>
      </c>
      <c r="AZ238" s="16">
        <f>$W238*AE238+($L238)*Summary_LCIA!V$32</f>
        <v>9.3341252305402661E-3</v>
      </c>
      <c r="BA238" s="16">
        <f>$W238*AF238+($L238)*Summary_LCIA!W$32</f>
        <v>14.177894606773416</v>
      </c>
      <c r="BB238" s="16">
        <f>$W238*AG238+($L238)*Summary_LCIA!X$32</f>
        <v>15.68265604427034</v>
      </c>
      <c r="BC238" s="16">
        <f>$W238*AH238+($L238)*Summary_LCIA!Y$32</f>
        <v>1.1855391766266639</v>
      </c>
      <c r="BD238" s="16">
        <f>$W238*AI238+($L238)*Summary_LCIA!Z$32</f>
        <v>0.30809386460017235</v>
      </c>
      <c r="BE238" s="16">
        <f>$W238*AJ238+($L238)*Summary_LCIA!AA$32</f>
        <v>2.5246768102094257</v>
      </c>
      <c r="BF238" s="16">
        <f>$W238*AK238+($L238)*Summary_LCIA!AB$32</f>
        <v>7.1156297989539943E-2</v>
      </c>
      <c r="BG238" s="16">
        <f>$W238*AL238+($L238)*Summary_LCIA!AC$32</f>
        <v>3.7929639693452813E-5</v>
      </c>
      <c r="BH238" s="16">
        <f>$W238*AM238+($L238)*Summary_LCIA!AD$32</f>
        <v>0.13219394803117096</v>
      </c>
      <c r="BI238" s="16">
        <f>$W238*AN238+($L238)*Summary_LCIA!AE$32</f>
        <v>0.36651051213700769</v>
      </c>
      <c r="BJ238" s="16">
        <f>$W238*AO238+($L238)*Summary_LCIA!AF$32</f>
        <v>5.438883272494871E-2</v>
      </c>
      <c r="BK238" s="16">
        <f>$W238*AP238+($L238)*Summary_LCIA!AG$32</f>
        <v>7.8311931349487104E-3</v>
      </c>
      <c r="BL238" s="16">
        <f>$W238*AQ238+($L238)*Summary_LCIA!AH$32</f>
        <v>1.181276711680471</v>
      </c>
      <c r="BM238" s="16">
        <f>$W238*AR238+($L238)*Summary_LCIA!AI$32</f>
        <v>0.33580573395628877</v>
      </c>
      <c r="BN238" s="16"/>
    </row>
    <row r="239" spans="1:66" x14ac:dyDescent="0.25">
      <c r="A239" s="159">
        <v>36</v>
      </c>
      <c r="B239" s="159">
        <v>6</v>
      </c>
      <c r="C239" s="45">
        <v>39.750858999999998</v>
      </c>
      <c r="D239" s="45">
        <v>-105.22386899999999</v>
      </c>
      <c r="E239" s="45" t="s">
        <v>265</v>
      </c>
      <c r="F239" s="159">
        <v>16</v>
      </c>
      <c r="G239" s="45" t="s">
        <v>565</v>
      </c>
      <c r="H239" s="45" t="s">
        <v>645</v>
      </c>
      <c r="I239" s="45">
        <v>39.856096000000001</v>
      </c>
      <c r="J239" s="45">
        <v>-104.673738</v>
      </c>
      <c r="K239" s="45">
        <v>48.817587850000002</v>
      </c>
      <c r="L239" s="45">
        <v>58.978000000000002</v>
      </c>
      <c r="M239" s="45" t="s">
        <v>617</v>
      </c>
      <c r="N239" s="159">
        <v>5</v>
      </c>
      <c r="O239" s="159">
        <v>6</v>
      </c>
      <c r="P239" s="45" t="s">
        <v>565</v>
      </c>
      <c r="Q239" s="45" t="s">
        <v>564</v>
      </c>
      <c r="R239" s="45">
        <v>41.98028</v>
      </c>
      <c r="S239" s="45">
        <v>-87.908997900000003</v>
      </c>
      <c r="T239" s="45">
        <v>1626.9880000000001</v>
      </c>
      <c r="U239" s="45" t="s">
        <v>617</v>
      </c>
      <c r="V239" s="45" t="s">
        <v>569</v>
      </c>
      <c r="W239" s="45" cm="1">
        <f t="array" ref="W239">getDistance(R239,S239,I239,J239)*SA!$B$12</f>
        <v>1429.4950991616145</v>
      </c>
      <c r="X239" s="22"/>
      <c r="Y239" s="16">
        <f>Transportation_LCIA!C$61*($W239^Transportation_LCIA!C$60)+Transportation_LCIA!C$62</f>
        <v>0.20349821617970421</v>
      </c>
      <c r="Z239" s="16">
        <f>Transportation_LCIA!D$61*($W239^Transportation_LCIA!D$60)+Transportation_LCIA!D$62</f>
        <v>2.0501411564925682</v>
      </c>
      <c r="AA239" s="16">
        <f>Transportation_LCIA!E$61*($W239^Transportation_LCIA!E$60)+Transportation_LCIA!E$62</f>
        <v>8.9799039356792888E-4</v>
      </c>
      <c r="AB239" s="16">
        <f>Transportation_LCIA!F$61*($W239^Transportation_LCIA!F$60)+Transportation_LCIA!F$62</f>
        <v>0.20349821617970421</v>
      </c>
      <c r="AC239" s="16">
        <f>Transportation_LCIA!G$61*($W239^Transportation_LCIA!G$60)+Transportation_LCIA!G$62</f>
        <v>4.8000028211733513E-2</v>
      </c>
      <c r="AD239" s="16">
        <f>Transportation_LCIA!H$61*($W239^Transportation_LCIA!H$60)+Transportation_LCIA!H$62</f>
        <v>2.2285424318591637E-4</v>
      </c>
      <c r="AE239" s="16">
        <f>Transportation_LCIA!I$61*($W239^Transportation_LCIA!I$60)+Transportation_LCIA!I$62</f>
        <v>4.571174071441499E-6</v>
      </c>
      <c r="AF239" s="16">
        <f>Transportation_LCIA!J$61*($W239^Transportation_LCIA!J$60)+Transportation_LCIA!J$62</f>
        <v>6.7618339751164165E-3</v>
      </c>
      <c r="AG239" s="16">
        <f>Transportation_LCIA!K$61*($W239^Transportation_LCIA!K$60)+Transportation_LCIA!K$62</f>
        <v>1.0036647213890358E-2</v>
      </c>
      <c r="AH239" s="16">
        <f>Transportation_LCIA!L$61*($W239^Transportation_LCIA!L$60)+Transportation_LCIA!L$62</f>
        <v>1.9038435373879868E-4</v>
      </c>
      <c r="AI239" s="16">
        <f>Transportation_LCIA!M$61*($W239^Transportation_LCIA!M$60)+Transportation_LCIA!M$62</f>
        <v>2.1384473386264609E-4</v>
      </c>
      <c r="AJ239" s="16">
        <f>Transportation_LCIA!N$61*($W239^Transportation_LCIA!N$60)+Transportation_LCIA!N$62</f>
        <v>8.0839367892004054E-4</v>
      </c>
      <c r="AK239" s="16">
        <f>Transportation_LCIA!O$61*($W239^Transportation_LCIA!O$60)+Transportation_LCIA!O$62</f>
        <v>5.067209999252372E-5</v>
      </c>
      <c r="AL239" s="16">
        <f>Transportation_LCIA!P$61*($W239^Transportation_LCIA!P$60)+Transportation_LCIA!P$62</f>
        <v>2.4529050433273688E-8</v>
      </c>
      <c r="AM239" s="16">
        <f>Transportation_LCIA!Q$61*($W239^Transportation_LCIA!Q$60)+Transportation_LCIA!Q$62</f>
        <v>7.5620829602403238E-5</v>
      </c>
      <c r="AN239" s="16">
        <f>Transportation_LCIA!R$61*($W239^Transportation_LCIA!R$60)+Transportation_LCIA!R$62</f>
        <v>2.2005485991627286E-4</v>
      </c>
      <c r="AO239" s="16">
        <f>Transportation_LCIA!S$61*($W239^Transportation_LCIA!S$60)+Transportation_LCIA!S$62</f>
        <v>3.3802166707550345E-6</v>
      </c>
      <c r="AP239" s="16">
        <f>Transportation_LCIA!T$61*($W239^Transportation_LCIA!T$60)+Transportation_LCIA!T$62</f>
        <v>3.3802166707550345E-6</v>
      </c>
      <c r="AQ239" s="16">
        <f>Transportation_LCIA!U$61*($W239^Transportation_LCIA!U$60)+Transportation_LCIA!U$62</f>
        <v>4.6945882310058874E-4</v>
      </c>
      <c r="AR239" s="16">
        <f>Transportation_LCIA!V$61*($W239^Transportation_LCIA!V$60)+Transportation_LCIA!V$62</f>
        <v>1.9671290669076797E-4</v>
      </c>
      <c r="AT239" s="16">
        <f>$W239*Y239+($L239)*Summary_LCIA!H$32</f>
        <v>310.94042711701792</v>
      </c>
      <c r="AU239" s="16">
        <f>$W239*Z239+($L239)*Summary_LCIA!Q$32</f>
        <v>3222.9646782331247</v>
      </c>
      <c r="AV239" s="16">
        <f>$W239*AA239+($L239)*Summary_LCIA!R$32</f>
        <v>1.5942274234995635</v>
      </c>
      <c r="AW239" s="16">
        <f>$W239*AB239+($L239)*Summary_LCIA!S$32</f>
        <v>310.67974435701791</v>
      </c>
      <c r="AX239" s="16">
        <f>$W239*AC239+($L239)*Summary_LCIA!T$32</f>
        <v>75.097487288292285</v>
      </c>
      <c r="AY239" s="16">
        <f>$W239*AD239+($L239)*Summary_LCIA!U$32</f>
        <v>1.3751009404616381</v>
      </c>
      <c r="AZ239" s="16">
        <f>$W239*AE239+($L239)*Summary_LCIA!V$32</f>
        <v>9.3513191905402679E-3</v>
      </c>
      <c r="BA239" s="16">
        <f>$W239*AF239+($L239)*Summary_LCIA!W$32</f>
        <v>14.205604166773416</v>
      </c>
      <c r="BB239" s="16">
        <f>$W239*AG239+($L239)*Summary_LCIA!X$32</f>
        <v>15.690856844270339</v>
      </c>
      <c r="BC239" s="16">
        <f>$W239*AH239+($L239)*Summary_LCIA!Y$32</f>
        <v>1.191148696626664</v>
      </c>
      <c r="BD239" s="16">
        <f>$W239*AI239+($L239)*Summary_LCIA!Z$32</f>
        <v>0.30810862784017234</v>
      </c>
      <c r="BE239" s="16">
        <f>$W239*AJ239+($L239)*Summary_LCIA!AA$32</f>
        <v>2.5330849702094258</v>
      </c>
      <c r="BF239" s="16">
        <f>$W239*AK239+($L239)*Summary_LCIA!AB$32</f>
        <v>7.1148441709539947E-2</v>
      </c>
      <c r="BG239" s="16">
        <f>$W239*AL239+($L239)*Summary_LCIA!AC$32</f>
        <v>3.7947237933452815E-5</v>
      </c>
      <c r="BH239" s="16">
        <f>$W239*AM239+($L239)*Summary_LCIA!AD$32</f>
        <v>0.13234192243117096</v>
      </c>
      <c r="BI239" s="16">
        <f>$W239*AN239+($L239)*Summary_LCIA!AE$32</f>
        <v>0.36682951893700766</v>
      </c>
      <c r="BJ239" s="16">
        <f>$W239*AO239+($L239)*Summary_LCIA!AF$32</f>
        <v>5.4693183924948714E-2</v>
      </c>
      <c r="BK239" s="16">
        <f>$W239*AP239+($L239)*Summary_LCIA!AG$32</f>
        <v>7.8496125349487109E-3</v>
      </c>
      <c r="BL239" s="16">
        <f>$W239*AQ239+($L239)*Summary_LCIA!AH$32</f>
        <v>1.1844100076804709</v>
      </c>
      <c r="BM239" s="16">
        <f>$W239*AR239+($L239)*Summary_LCIA!AI$32</f>
        <v>0.33614109195628872</v>
      </c>
      <c r="BN239" s="16"/>
    </row>
    <row r="240" spans="1:66" x14ac:dyDescent="0.25">
      <c r="A240" s="159">
        <v>37</v>
      </c>
      <c r="B240" s="159">
        <v>6</v>
      </c>
      <c r="C240" s="45">
        <v>39.750858999999998</v>
      </c>
      <c r="D240" s="45">
        <v>-105.22386899999999</v>
      </c>
      <c r="E240" s="45" t="s">
        <v>265</v>
      </c>
      <c r="F240" s="159">
        <v>16</v>
      </c>
      <c r="G240" s="45" t="s">
        <v>565</v>
      </c>
      <c r="H240" s="45" t="s">
        <v>645</v>
      </c>
      <c r="I240" s="45">
        <v>39.856096000000001</v>
      </c>
      <c r="J240" s="45">
        <v>-104.673738</v>
      </c>
      <c r="K240" s="45">
        <v>48.817587850000002</v>
      </c>
      <c r="L240" s="45">
        <v>58.978000000000002</v>
      </c>
      <c r="M240" s="45" t="s">
        <v>617</v>
      </c>
      <c r="N240" s="159">
        <v>5</v>
      </c>
      <c r="O240" s="159">
        <v>6</v>
      </c>
      <c r="P240" s="45" t="s">
        <v>565</v>
      </c>
      <c r="Q240" s="45" t="s">
        <v>564</v>
      </c>
      <c r="R240" s="45">
        <v>41.98028</v>
      </c>
      <c r="S240" s="45">
        <v>-87.908997900000003</v>
      </c>
      <c r="T240" s="45">
        <v>1626.9880000000001</v>
      </c>
      <c r="U240" s="45" t="s">
        <v>617</v>
      </c>
      <c r="V240" s="45" t="s">
        <v>569</v>
      </c>
      <c r="W240" s="45" cm="1">
        <f t="array" ref="W240">getDistance(R240,S240,I240,J240)*SA!$B$12</f>
        <v>1429.4950991616145</v>
      </c>
      <c r="X240" s="22"/>
      <c r="Y240" s="16">
        <f>Transportation_LCIA!C$61*($W240^Transportation_LCIA!C$60)+Transportation_LCIA!C$62</f>
        <v>0.20349821617970421</v>
      </c>
      <c r="Z240" s="16">
        <f>Transportation_LCIA!D$61*($W240^Transportation_LCIA!D$60)+Transportation_LCIA!D$62</f>
        <v>2.0501411564925682</v>
      </c>
      <c r="AA240" s="16">
        <f>Transportation_LCIA!E$61*($W240^Transportation_LCIA!E$60)+Transportation_LCIA!E$62</f>
        <v>8.9799039356792888E-4</v>
      </c>
      <c r="AB240" s="16">
        <f>Transportation_LCIA!F$61*($W240^Transportation_LCIA!F$60)+Transportation_LCIA!F$62</f>
        <v>0.20349821617970421</v>
      </c>
      <c r="AC240" s="16">
        <f>Transportation_LCIA!G$61*($W240^Transportation_LCIA!G$60)+Transportation_LCIA!G$62</f>
        <v>4.8000028211733513E-2</v>
      </c>
      <c r="AD240" s="16">
        <f>Transportation_LCIA!H$61*($W240^Transportation_LCIA!H$60)+Transportation_LCIA!H$62</f>
        <v>2.2285424318591637E-4</v>
      </c>
      <c r="AE240" s="16">
        <f>Transportation_LCIA!I$61*($W240^Transportation_LCIA!I$60)+Transportation_LCIA!I$62</f>
        <v>4.571174071441499E-6</v>
      </c>
      <c r="AF240" s="16">
        <f>Transportation_LCIA!J$61*($W240^Transportation_LCIA!J$60)+Transportation_LCIA!J$62</f>
        <v>6.7618339751164165E-3</v>
      </c>
      <c r="AG240" s="16">
        <f>Transportation_LCIA!K$61*($W240^Transportation_LCIA!K$60)+Transportation_LCIA!K$62</f>
        <v>1.0036647213890358E-2</v>
      </c>
      <c r="AH240" s="16">
        <f>Transportation_LCIA!L$61*($W240^Transportation_LCIA!L$60)+Transportation_LCIA!L$62</f>
        <v>1.9038435373879868E-4</v>
      </c>
      <c r="AI240" s="16">
        <f>Transportation_LCIA!M$61*($W240^Transportation_LCIA!M$60)+Transportation_LCIA!M$62</f>
        <v>2.1384473386264609E-4</v>
      </c>
      <c r="AJ240" s="16">
        <f>Transportation_LCIA!N$61*($W240^Transportation_LCIA!N$60)+Transportation_LCIA!N$62</f>
        <v>8.0839367892004054E-4</v>
      </c>
      <c r="AK240" s="16">
        <f>Transportation_LCIA!O$61*($W240^Transportation_LCIA!O$60)+Transportation_LCIA!O$62</f>
        <v>5.067209999252372E-5</v>
      </c>
      <c r="AL240" s="16">
        <f>Transportation_LCIA!P$61*($W240^Transportation_LCIA!P$60)+Transportation_LCIA!P$62</f>
        <v>2.4529050433273688E-8</v>
      </c>
      <c r="AM240" s="16">
        <f>Transportation_LCIA!Q$61*($W240^Transportation_LCIA!Q$60)+Transportation_LCIA!Q$62</f>
        <v>7.5620829602403238E-5</v>
      </c>
      <c r="AN240" s="16">
        <f>Transportation_LCIA!R$61*($W240^Transportation_LCIA!R$60)+Transportation_LCIA!R$62</f>
        <v>2.2005485991627286E-4</v>
      </c>
      <c r="AO240" s="16">
        <f>Transportation_LCIA!S$61*($W240^Transportation_LCIA!S$60)+Transportation_LCIA!S$62</f>
        <v>3.3802166707550345E-6</v>
      </c>
      <c r="AP240" s="16">
        <f>Transportation_LCIA!T$61*($W240^Transportation_LCIA!T$60)+Transportation_LCIA!T$62</f>
        <v>3.3802166707550345E-6</v>
      </c>
      <c r="AQ240" s="16">
        <f>Transportation_LCIA!U$61*($W240^Transportation_LCIA!U$60)+Transportation_LCIA!U$62</f>
        <v>4.6945882310058874E-4</v>
      </c>
      <c r="AR240" s="16">
        <f>Transportation_LCIA!V$61*($W240^Transportation_LCIA!V$60)+Transportation_LCIA!V$62</f>
        <v>1.9671290669076797E-4</v>
      </c>
      <c r="AT240" s="16">
        <f>$W240*Y240+($L240)*Summary_LCIA!H$32</f>
        <v>310.94042711701792</v>
      </c>
      <c r="AU240" s="16">
        <f>$W240*Z240+($L240)*Summary_LCIA!Q$32</f>
        <v>3222.9646782331247</v>
      </c>
      <c r="AV240" s="16">
        <f>$W240*AA240+($L240)*Summary_LCIA!R$32</f>
        <v>1.5942274234995635</v>
      </c>
      <c r="AW240" s="16">
        <f>$W240*AB240+($L240)*Summary_LCIA!S$32</f>
        <v>310.67974435701791</v>
      </c>
      <c r="AX240" s="16">
        <f>$W240*AC240+($L240)*Summary_LCIA!T$32</f>
        <v>75.097487288292285</v>
      </c>
      <c r="AY240" s="16">
        <f>$W240*AD240+($L240)*Summary_LCIA!U$32</f>
        <v>1.3751009404616381</v>
      </c>
      <c r="AZ240" s="16">
        <f>$W240*AE240+($L240)*Summary_LCIA!V$32</f>
        <v>9.3513191905402679E-3</v>
      </c>
      <c r="BA240" s="16">
        <f>$W240*AF240+($L240)*Summary_LCIA!W$32</f>
        <v>14.205604166773416</v>
      </c>
      <c r="BB240" s="16">
        <f>$W240*AG240+($L240)*Summary_LCIA!X$32</f>
        <v>15.690856844270339</v>
      </c>
      <c r="BC240" s="16">
        <f>$W240*AH240+($L240)*Summary_LCIA!Y$32</f>
        <v>1.191148696626664</v>
      </c>
      <c r="BD240" s="16">
        <f>$W240*AI240+($L240)*Summary_LCIA!Z$32</f>
        <v>0.30810862784017234</v>
      </c>
      <c r="BE240" s="16">
        <f>$W240*AJ240+($L240)*Summary_LCIA!AA$32</f>
        <v>2.5330849702094258</v>
      </c>
      <c r="BF240" s="16">
        <f>$W240*AK240+($L240)*Summary_LCIA!AB$32</f>
        <v>7.1148441709539947E-2</v>
      </c>
      <c r="BG240" s="16">
        <f>$W240*AL240+($L240)*Summary_LCIA!AC$32</f>
        <v>3.7947237933452815E-5</v>
      </c>
      <c r="BH240" s="16">
        <f>$W240*AM240+($L240)*Summary_LCIA!AD$32</f>
        <v>0.13234192243117096</v>
      </c>
      <c r="BI240" s="16">
        <f>$W240*AN240+($L240)*Summary_LCIA!AE$32</f>
        <v>0.36682951893700766</v>
      </c>
      <c r="BJ240" s="16">
        <f>$W240*AO240+($L240)*Summary_LCIA!AF$32</f>
        <v>5.4693183924948714E-2</v>
      </c>
      <c r="BK240" s="16">
        <f>$W240*AP240+($L240)*Summary_LCIA!AG$32</f>
        <v>7.8496125349487109E-3</v>
      </c>
      <c r="BL240" s="16">
        <f>$W240*AQ240+($L240)*Summary_LCIA!AH$32</f>
        <v>1.1844100076804709</v>
      </c>
      <c r="BM240" s="16">
        <f>$W240*AR240+($L240)*Summary_LCIA!AI$32</f>
        <v>0.33614109195628872</v>
      </c>
      <c r="BN240" s="16"/>
    </row>
    <row r="241" spans="1:66" x14ac:dyDescent="0.25">
      <c r="A241" s="159">
        <v>38</v>
      </c>
      <c r="B241" s="159">
        <v>6</v>
      </c>
      <c r="C241" s="45">
        <v>39.750858999999998</v>
      </c>
      <c r="D241" s="45">
        <v>-105.22386899999999</v>
      </c>
      <c r="E241" s="45" t="s">
        <v>265</v>
      </c>
      <c r="F241" s="159">
        <v>16</v>
      </c>
      <c r="G241" s="45" t="s">
        <v>565</v>
      </c>
      <c r="H241" s="45" t="s">
        <v>645</v>
      </c>
      <c r="I241" s="45">
        <v>39.856096000000001</v>
      </c>
      <c r="J241" s="45">
        <v>-104.673738</v>
      </c>
      <c r="K241" s="45">
        <v>48.817587850000002</v>
      </c>
      <c r="L241" s="45">
        <v>58.978000000000002</v>
      </c>
      <c r="M241" s="45" t="s">
        <v>617</v>
      </c>
      <c r="N241" s="159">
        <v>5</v>
      </c>
      <c r="O241" s="159">
        <v>6</v>
      </c>
      <c r="P241" s="45" t="s">
        <v>565</v>
      </c>
      <c r="Q241" s="45" t="s">
        <v>564</v>
      </c>
      <c r="R241" s="45">
        <v>41.98028</v>
      </c>
      <c r="S241" s="45">
        <v>-87.908997900000003</v>
      </c>
      <c r="T241" s="45">
        <v>1626.9880000000001</v>
      </c>
      <c r="U241" s="45" t="s">
        <v>617</v>
      </c>
      <c r="V241" s="45" t="s">
        <v>569</v>
      </c>
      <c r="W241" s="45" cm="1">
        <f t="array" ref="W241">getDistance(R241,S241,I241,J241)*SA!$B$12</f>
        <v>1429.4950991616145</v>
      </c>
      <c r="X241" s="22"/>
      <c r="Y241" s="16">
        <f>Transportation_LCIA!C$61*($W241^Transportation_LCIA!C$60)+Transportation_LCIA!C$62</f>
        <v>0.20349821617970421</v>
      </c>
      <c r="Z241" s="16">
        <f>Transportation_LCIA!D$61*($W241^Transportation_LCIA!D$60)+Transportation_LCIA!D$62</f>
        <v>2.0501411564925682</v>
      </c>
      <c r="AA241" s="16">
        <f>Transportation_LCIA!E$61*($W241^Transportation_LCIA!E$60)+Transportation_LCIA!E$62</f>
        <v>8.9799039356792888E-4</v>
      </c>
      <c r="AB241" s="16">
        <f>Transportation_LCIA!F$61*($W241^Transportation_LCIA!F$60)+Transportation_LCIA!F$62</f>
        <v>0.20349821617970421</v>
      </c>
      <c r="AC241" s="16">
        <f>Transportation_LCIA!G$61*($W241^Transportation_LCIA!G$60)+Transportation_LCIA!G$62</f>
        <v>4.8000028211733513E-2</v>
      </c>
      <c r="AD241" s="16">
        <f>Transportation_LCIA!H$61*($W241^Transportation_LCIA!H$60)+Transportation_LCIA!H$62</f>
        <v>2.2285424318591637E-4</v>
      </c>
      <c r="AE241" s="16">
        <f>Transportation_LCIA!I$61*($W241^Transportation_LCIA!I$60)+Transportation_LCIA!I$62</f>
        <v>4.571174071441499E-6</v>
      </c>
      <c r="AF241" s="16">
        <f>Transportation_LCIA!J$61*($W241^Transportation_LCIA!J$60)+Transportation_LCIA!J$62</f>
        <v>6.7618339751164165E-3</v>
      </c>
      <c r="AG241" s="16">
        <f>Transportation_LCIA!K$61*($W241^Transportation_LCIA!K$60)+Transportation_LCIA!K$62</f>
        <v>1.0036647213890358E-2</v>
      </c>
      <c r="AH241" s="16">
        <f>Transportation_LCIA!L$61*($W241^Transportation_LCIA!L$60)+Transportation_LCIA!L$62</f>
        <v>1.9038435373879868E-4</v>
      </c>
      <c r="AI241" s="16">
        <f>Transportation_LCIA!M$61*($W241^Transportation_LCIA!M$60)+Transportation_LCIA!M$62</f>
        <v>2.1384473386264609E-4</v>
      </c>
      <c r="AJ241" s="16">
        <f>Transportation_LCIA!N$61*($W241^Transportation_LCIA!N$60)+Transportation_LCIA!N$62</f>
        <v>8.0839367892004054E-4</v>
      </c>
      <c r="AK241" s="16">
        <f>Transportation_LCIA!O$61*($W241^Transportation_LCIA!O$60)+Transportation_LCIA!O$62</f>
        <v>5.067209999252372E-5</v>
      </c>
      <c r="AL241" s="16">
        <f>Transportation_LCIA!P$61*($W241^Transportation_LCIA!P$60)+Transportation_LCIA!P$62</f>
        <v>2.4529050433273688E-8</v>
      </c>
      <c r="AM241" s="16">
        <f>Transportation_LCIA!Q$61*($W241^Transportation_LCIA!Q$60)+Transportation_LCIA!Q$62</f>
        <v>7.5620829602403238E-5</v>
      </c>
      <c r="AN241" s="16">
        <f>Transportation_LCIA!R$61*($W241^Transportation_LCIA!R$60)+Transportation_LCIA!R$62</f>
        <v>2.2005485991627286E-4</v>
      </c>
      <c r="AO241" s="16">
        <f>Transportation_LCIA!S$61*($W241^Transportation_LCIA!S$60)+Transportation_LCIA!S$62</f>
        <v>3.3802166707550345E-6</v>
      </c>
      <c r="AP241" s="16">
        <f>Transportation_LCIA!T$61*($W241^Transportation_LCIA!T$60)+Transportation_LCIA!T$62</f>
        <v>3.3802166707550345E-6</v>
      </c>
      <c r="AQ241" s="16">
        <f>Transportation_LCIA!U$61*($W241^Transportation_LCIA!U$60)+Transportation_LCIA!U$62</f>
        <v>4.6945882310058874E-4</v>
      </c>
      <c r="AR241" s="16">
        <f>Transportation_LCIA!V$61*($W241^Transportation_LCIA!V$60)+Transportation_LCIA!V$62</f>
        <v>1.9671290669076797E-4</v>
      </c>
      <c r="AT241" s="16">
        <f>$W241*Y241+($L241)*Summary_LCIA!H$32</f>
        <v>310.94042711701792</v>
      </c>
      <c r="AU241" s="16">
        <f>$W241*Z241+($L241)*Summary_LCIA!Q$32</f>
        <v>3222.9646782331247</v>
      </c>
      <c r="AV241" s="16">
        <f>$W241*AA241+($L241)*Summary_LCIA!R$32</f>
        <v>1.5942274234995635</v>
      </c>
      <c r="AW241" s="16">
        <f>$W241*AB241+($L241)*Summary_LCIA!S$32</f>
        <v>310.67974435701791</v>
      </c>
      <c r="AX241" s="16">
        <f>$W241*AC241+($L241)*Summary_LCIA!T$32</f>
        <v>75.097487288292285</v>
      </c>
      <c r="AY241" s="16">
        <f>$W241*AD241+($L241)*Summary_LCIA!U$32</f>
        <v>1.3751009404616381</v>
      </c>
      <c r="AZ241" s="16">
        <f>$W241*AE241+($L241)*Summary_LCIA!V$32</f>
        <v>9.3513191905402679E-3</v>
      </c>
      <c r="BA241" s="16">
        <f>$W241*AF241+($L241)*Summary_LCIA!W$32</f>
        <v>14.205604166773416</v>
      </c>
      <c r="BB241" s="16">
        <f>$W241*AG241+($L241)*Summary_LCIA!X$32</f>
        <v>15.690856844270339</v>
      </c>
      <c r="BC241" s="16">
        <f>$W241*AH241+($L241)*Summary_LCIA!Y$32</f>
        <v>1.191148696626664</v>
      </c>
      <c r="BD241" s="16">
        <f>$W241*AI241+($L241)*Summary_LCIA!Z$32</f>
        <v>0.30810862784017234</v>
      </c>
      <c r="BE241" s="16">
        <f>$W241*AJ241+($L241)*Summary_LCIA!AA$32</f>
        <v>2.5330849702094258</v>
      </c>
      <c r="BF241" s="16">
        <f>$W241*AK241+($L241)*Summary_LCIA!AB$32</f>
        <v>7.1148441709539947E-2</v>
      </c>
      <c r="BG241" s="16">
        <f>$W241*AL241+($L241)*Summary_LCIA!AC$32</f>
        <v>3.7947237933452815E-5</v>
      </c>
      <c r="BH241" s="16">
        <f>$W241*AM241+($L241)*Summary_LCIA!AD$32</f>
        <v>0.13234192243117096</v>
      </c>
      <c r="BI241" s="16">
        <f>$W241*AN241+($L241)*Summary_LCIA!AE$32</f>
        <v>0.36682951893700766</v>
      </c>
      <c r="BJ241" s="16">
        <f>$W241*AO241+($L241)*Summary_LCIA!AF$32</f>
        <v>5.4693183924948714E-2</v>
      </c>
      <c r="BK241" s="16">
        <f>$W241*AP241+($L241)*Summary_LCIA!AG$32</f>
        <v>7.8496125349487109E-3</v>
      </c>
      <c r="BL241" s="16">
        <f>$W241*AQ241+($L241)*Summary_LCIA!AH$32</f>
        <v>1.1844100076804709</v>
      </c>
      <c r="BM241" s="16">
        <f>$W241*AR241+($L241)*Summary_LCIA!AI$32</f>
        <v>0.33614109195628872</v>
      </c>
      <c r="BN241" s="16"/>
    </row>
    <row r="242" spans="1:66" x14ac:dyDescent="0.25">
      <c r="A242" s="159">
        <v>355</v>
      </c>
      <c r="B242" s="159">
        <v>6</v>
      </c>
      <c r="C242" s="45">
        <v>42.470944000000003</v>
      </c>
      <c r="D242" s="45">
        <v>-70.917556000000005</v>
      </c>
      <c r="E242" s="45" t="s">
        <v>265</v>
      </c>
      <c r="F242" s="159">
        <v>53</v>
      </c>
      <c r="G242" s="45" t="s">
        <v>565</v>
      </c>
      <c r="H242" s="45" t="s">
        <v>634</v>
      </c>
      <c r="I242" s="45">
        <v>42.365613000000003</v>
      </c>
      <c r="J242" s="45">
        <v>-71.009559999999993</v>
      </c>
      <c r="K242" s="45">
        <v>18.548969249999999</v>
      </c>
      <c r="L242" s="45">
        <v>17.323</v>
      </c>
      <c r="M242" s="45" t="s">
        <v>617</v>
      </c>
      <c r="N242" s="159">
        <v>5</v>
      </c>
      <c r="O242" s="159">
        <v>6</v>
      </c>
      <c r="P242" s="45" t="s">
        <v>565</v>
      </c>
      <c r="Q242" s="45" t="s">
        <v>564</v>
      </c>
      <c r="R242" s="45">
        <v>41.98028</v>
      </c>
      <c r="S242" s="45">
        <v>-87.908997900000003</v>
      </c>
      <c r="T242" s="45">
        <v>1627.373</v>
      </c>
      <c r="U242" s="45" t="s">
        <v>617</v>
      </c>
      <c r="V242" s="45" t="s">
        <v>569</v>
      </c>
      <c r="W242" s="45" cm="1">
        <f t="array" ref="W242">getDistance(R242,S242,I242,J242)*SA!$B$12</f>
        <v>1394.7010754672544</v>
      </c>
      <c r="Y242" s="16">
        <f>Transportation_LCIA!C$61*($W242^Transportation_LCIA!C$60)+Transportation_LCIA!C$62</f>
        <v>0.20541169071553828</v>
      </c>
      <c r="Z242" s="16">
        <f>Transportation_LCIA!D$61*($W242^Transportation_LCIA!D$60)+Transportation_LCIA!D$62</f>
        <v>2.0721352010636895</v>
      </c>
      <c r="AA242" s="16">
        <f>Transportation_LCIA!E$61*($W242^Transportation_LCIA!E$60)+Transportation_LCIA!E$62</f>
        <v>9.1238963377472367E-4</v>
      </c>
      <c r="AB242" s="16">
        <f>Transportation_LCIA!F$61*($W242^Transportation_LCIA!F$60)+Transportation_LCIA!F$62</f>
        <v>0.20541169071553828</v>
      </c>
      <c r="AC242" s="16">
        <f>Transportation_LCIA!G$61*($W242^Transportation_LCIA!G$60)+Transportation_LCIA!G$62</f>
        <v>4.8509327483629391E-2</v>
      </c>
      <c r="AD242" s="16">
        <f>Transportation_LCIA!H$61*($W242^Transportation_LCIA!H$60)+Transportation_LCIA!H$62</f>
        <v>2.2599378016231362E-4</v>
      </c>
      <c r="AE242" s="16">
        <f>Transportation_LCIA!I$61*($W242^Transportation_LCIA!I$60)+Transportation_LCIA!I$62</f>
        <v>4.6491421751201883E-6</v>
      </c>
      <c r="AF242" s="16">
        <f>Transportation_LCIA!J$61*($W242^Transportation_LCIA!J$60)+Transportation_LCIA!J$62</f>
        <v>6.8769243409976324E-3</v>
      </c>
      <c r="AG242" s="16">
        <f>Transportation_LCIA!K$61*($W242^Transportation_LCIA!K$60)+Transportation_LCIA!K$62</f>
        <v>1.0154626692609268E-2</v>
      </c>
      <c r="AH242" s="16">
        <f>Transportation_LCIA!L$61*($W242^Transportation_LCIA!L$60)+Transportation_LCIA!L$62</f>
        <v>1.9325951793727536E-4</v>
      </c>
      <c r="AI242" s="16">
        <f>Transportation_LCIA!M$61*($W242^Transportation_LCIA!M$60)+Transportation_LCIA!M$62</f>
        <v>2.1557662085587944E-4</v>
      </c>
      <c r="AJ242" s="16">
        <f>Transportation_LCIA!N$61*($W242^Transportation_LCIA!N$60)+Transportation_LCIA!N$62</f>
        <v>8.1896071080382658E-4</v>
      </c>
      <c r="AK242" s="16">
        <f>Transportation_LCIA!O$61*($W242^Transportation_LCIA!O$60)+Transportation_LCIA!O$62</f>
        <v>5.1213070403790544E-5</v>
      </c>
      <c r="AL242" s="16">
        <f>Transportation_LCIA!P$61*($W242^Transportation_LCIA!P$60)+Transportation_LCIA!P$62</f>
        <v>2.4789436903819814E-8</v>
      </c>
      <c r="AM242" s="16">
        <f>Transportation_LCIA!Q$61*($W242^Transportation_LCIA!Q$60)+Transportation_LCIA!Q$62</f>
        <v>7.6742684464983015E-5</v>
      </c>
      <c r="AN242" s="16">
        <f>Transportation_LCIA!R$61*($W242^Transportation_LCIA!R$60)+Transportation_LCIA!R$62</f>
        <v>2.2379243548062238E-4</v>
      </c>
      <c r="AO242" s="16">
        <f>Transportation_LCIA!S$61*($W242^Transportation_LCIA!S$60)+Transportation_LCIA!S$62</f>
        <v>3.4332930346487986E-6</v>
      </c>
      <c r="AP242" s="16">
        <f>Transportation_LCIA!T$61*($W242^Transportation_LCIA!T$60)+Transportation_LCIA!T$62</f>
        <v>3.4332930346487986E-6</v>
      </c>
      <c r="AQ242" s="16">
        <f>Transportation_LCIA!U$61*($W242^Transportation_LCIA!U$60)+Transportation_LCIA!U$62</f>
        <v>4.7763432067623047E-4</v>
      </c>
      <c r="AR242" s="16">
        <f>Transportation_LCIA!V$61*($W242^Transportation_LCIA!V$60)+Transportation_LCIA!V$62</f>
        <v>1.9962357996669805E-4</v>
      </c>
      <c r="AT242" s="16">
        <f>$W242*Y242+($L242)*Summary_LCIA!H$32</f>
        <v>292.37426135450829</v>
      </c>
      <c r="AU242" s="16">
        <f>$W242*Z242+($L242)*Summary_LCIA!Q$32</f>
        <v>2975.8628550879425</v>
      </c>
      <c r="AV242" s="16">
        <f>$W242*AA242+($L242)*Summary_LCIA!R$32</f>
        <v>1.3637267922707814</v>
      </c>
      <c r="AW242" s="16">
        <f>$W242*AB242+($L242)*Summary_LCIA!S$32</f>
        <v>292.29769369450827</v>
      </c>
      <c r="AX242" s="16">
        <f>$W242*AC242+($L242)*Summary_LCIA!T$32</f>
        <v>69.559808911611157</v>
      </c>
      <c r="AY242" s="16">
        <f>$W242*AD242+($L242)*Summary_LCIA!U$32</f>
        <v>0.62551799024128907</v>
      </c>
      <c r="AZ242" s="16">
        <f>$W242*AE242+($L242)*Summary_LCIA!V$32</f>
        <v>7.311527394640297E-3</v>
      </c>
      <c r="BA242" s="16">
        <f>$W242*AF242+($L242)*Summary_LCIA!W$32</f>
        <v>10.924622407296336</v>
      </c>
      <c r="BB242" s="16">
        <f>$W242*AG242+($L242)*Summary_LCIA!X$32</f>
        <v>14.557286709150636</v>
      </c>
      <c r="BC242" s="16">
        <f>$W242*AH242+($L242)*Summary_LCIA!Y$32</f>
        <v>0.53946624351140104</v>
      </c>
      <c r="BD242" s="16">
        <f>$W242*AI242+($L242)*Summary_LCIA!Z$32</f>
        <v>0.30137534386029158</v>
      </c>
      <c r="BE242" s="16">
        <f>$W242*AJ242+($L242)*Summary_LCIA!AA$32</f>
        <v>1.5468013721235239</v>
      </c>
      <c r="BF242" s="16">
        <f>$W242*AK242+($L242)*Summary_LCIA!AB$32</f>
        <v>7.1048884541146884E-2</v>
      </c>
      <c r="BG242" s="16">
        <f>$W242*AL242+($L242)*Summary_LCIA!AC$32</f>
        <v>3.5420671841985144E-5</v>
      </c>
      <c r="BH242" s="16">
        <f>$W242*AM242+($L242)*Summary_LCIA!AD$32</f>
        <v>0.11415355047755597</v>
      </c>
      <c r="BI242" s="16">
        <f>$W242*AN242+($L242)*Summary_LCIA!AE$32</f>
        <v>0.32747398043626019</v>
      </c>
      <c r="BJ242" s="16">
        <f>$W242*AO242+($L242)*Summary_LCIA!AF$32</f>
        <v>1.9433628147818915E-2</v>
      </c>
      <c r="BK242" s="16">
        <f>$W242*AP242+($L242)*Summary_LCIA!AG$32</f>
        <v>5.6747487828189133E-3</v>
      </c>
      <c r="BL242" s="16">
        <f>$W242*AQ242+($L242)*Summary_LCIA!AH$32</f>
        <v>0.81692956352721013</v>
      </c>
      <c r="BM242" s="16">
        <f>$W242*AR242+($L242)*Summary_LCIA!AI$32</f>
        <v>0.29455246231817722</v>
      </c>
      <c r="BN242" s="16"/>
    </row>
    <row r="243" spans="1:66" x14ac:dyDescent="0.25">
      <c r="A243" s="159">
        <v>166</v>
      </c>
      <c r="B243" s="159">
        <v>6</v>
      </c>
      <c r="C243" s="45">
        <v>40.014986</v>
      </c>
      <c r="D243" s="45">
        <v>-105.270546</v>
      </c>
      <c r="E243" s="45" t="s">
        <v>265</v>
      </c>
      <c r="F243" s="159">
        <v>16</v>
      </c>
      <c r="G243" s="45" t="s">
        <v>565</v>
      </c>
      <c r="H243" s="45" t="s">
        <v>645</v>
      </c>
      <c r="I243" s="45">
        <v>39.856096000000001</v>
      </c>
      <c r="J243" s="45">
        <v>-104.673738</v>
      </c>
      <c r="K243" s="45">
        <v>66.833860599999994</v>
      </c>
      <c r="L243" s="45">
        <v>70.700999999999993</v>
      </c>
      <c r="M243" s="45" t="s">
        <v>617</v>
      </c>
      <c r="N243" s="159">
        <v>5</v>
      </c>
      <c r="O243" s="159">
        <v>6</v>
      </c>
      <c r="P243" s="45" t="s">
        <v>565</v>
      </c>
      <c r="Q243" s="45" t="s">
        <v>564</v>
      </c>
      <c r="R243" s="45">
        <v>41.98028</v>
      </c>
      <c r="S243" s="45">
        <v>-87.908997900000003</v>
      </c>
      <c r="T243" s="45">
        <v>1637.47</v>
      </c>
      <c r="U243" s="45" t="s">
        <v>617</v>
      </c>
      <c r="V243" s="45" t="s">
        <v>569</v>
      </c>
      <c r="W243" s="45" cm="1">
        <f t="array" ref="W243">getDistance(R243,S243,I243,J243)*SA!$B$12</f>
        <v>1429.4950991616145</v>
      </c>
      <c r="Y243" s="16">
        <f>Transportation_LCIA!C$61*($W243^Transportation_LCIA!C$60)+Transportation_LCIA!C$62</f>
        <v>0.20349821617970421</v>
      </c>
      <c r="Z243" s="16">
        <f>Transportation_LCIA!D$61*($W243^Transportation_LCIA!D$60)+Transportation_LCIA!D$62</f>
        <v>2.0501411564925682</v>
      </c>
      <c r="AA243" s="16">
        <f>Transportation_LCIA!E$61*($W243^Transportation_LCIA!E$60)+Transportation_LCIA!E$62</f>
        <v>8.9799039356792888E-4</v>
      </c>
      <c r="AB243" s="16">
        <f>Transportation_LCIA!F$61*($W243^Transportation_LCIA!F$60)+Transportation_LCIA!F$62</f>
        <v>0.20349821617970421</v>
      </c>
      <c r="AC243" s="16">
        <f>Transportation_LCIA!G$61*($W243^Transportation_LCIA!G$60)+Transportation_LCIA!G$62</f>
        <v>4.8000028211733513E-2</v>
      </c>
      <c r="AD243" s="16">
        <f>Transportation_LCIA!H$61*($W243^Transportation_LCIA!H$60)+Transportation_LCIA!H$62</f>
        <v>2.2285424318591637E-4</v>
      </c>
      <c r="AE243" s="16">
        <f>Transportation_LCIA!I$61*($W243^Transportation_LCIA!I$60)+Transportation_LCIA!I$62</f>
        <v>4.571174071441499E-6</v>
      </c>
      <c r="AF243" s="16">
        <f>Transportation_LCIA!J$61*($W243^Transportation_LCIA!J$60)+Transportation_LCIA!J$62</f>
        <v>6.7618339751164165E-3</v>
      </c>
      <c r="AG243" s="16">
        <f>Transportation_LCIA!K$61*($W243^Transportation_LCIA!K$60)+Transportation_LCIA!K$62</f>
        <v>1.0036647213890358E-2</v>
      </c>
      <c r="AH243" s="16">
        <f>Transportation_LCIA!L$61*($W243^Transportation_LCIA!L$60)+Transportation_LCIA!L$62</f>
        <v>1.9038435373879868E-4</v>
      </c>
      <c r="AI243" s="16">
        <f>Transportation_LCIA!M$61*($W243^Transportation_LCIA!M$60)+Transportation_LCIA!M$62</f>
        <v>2.1384473386264609E-4</v>
      </c>
      <c r="AJ243" s="16">
        <f>Transportation_LCIA!N$61*($W243^Transportation_LCIA!N$60)+Transportation_LCIA!N$62</f>
        <v>8.0839367892004054E-4</v>
      </c>
      <c r="AK243" s="16">
        <f>Transportation_LCIA!O$61*($W243^Transportation_LCIA!O$60)+Transportation_LCIA!O$62</f>
        <v>5.067209999252372E-5</v>
      </c>
      <c r="AL243" s="16">
        <f>Transportation_LCIA!P$61*($W243^Transportation_LCIA!P$60)+Transportation_LCIA!P$62</f>
        <v>2.4529050433273688E-8</v>
      </c>
      <c r="AM243" s="16">
        <f>Transportation_LCIA!Q$61*($W243^Transportation_LCIA!Q$60)+Transportation_LCIA!Q$62</f>
        <v>7.5620829602403238E-5</v>
      </c>
      <c r="AN243" s="16">
        <f>Transportation_LCIA!R$61*($W243^Transportation_LCIA!R$60)+Transportation_LCIA!R$62</f>
        <v>2.2005485991627286E-4</v>
      </c>
      <c r="AO243" s="16">
        <f>Transportation_LCIA!S$61*($W243^Transportation_LCIA!S$60)+Transportation_LCIA!S$62</f>
        <v>3.3802166707550345E-6</v>
      </c>
      <c r="AP243" s="16">
        <f>Transportation_LCIA!T$61*($W243^Transportation_LCIA!T$60)+Transportation_LCIA!T$62</f>
        <v>3.3802166707550345E-6</v>
      </c>
      <c r="AQ243" s="16">
        <f>Transportation_LCIA!U$61*($W243^Transportation_LCIA!U$60)+Transportation_LCIA!U$62</f>
        <v>4.6945882310058874E-4</v>
      </c>
      <c r="AR243" s="16">
        <f>Transportation_LCIA!V$61*($W243^Transportation_LCIA!V$60)+Transportation_LCIA!V$62</f>
        <v>1.9671290669076797E-4</v>
      </c>
      <c r="AT243" s="16">
        <f>$W243*Y243+($L243)*Summary_LCIA!H$32</f>
        <v>314.92390251701795</v>
      </c>
      <c r="AU243" s="16">
        <f>$W243*Z243+($L243)*Summary_LCIA!Q$32</f>
        <v>3281.0644574591838</v>
      </c>
      <c r="AV243" s="16">
        <f>$W243*AA243+($L243)*Summary_LCIA!R$32</f>
        <v>1.6559560522995636</v>
      </c>
      <c r="AW243" s="16">
        <f>$W243*AB243+($L243)*Summary_LCIA!S$32</f>
        <v>314.61140409701795</v>
      </c>
      <c r="AX243" s="16">
        <f>$W243*AC243+($L243)*Summary_LCIA!T$32</f>
        <v>76.385844988292291</v>
      </c>
      <c r="AY243" s="16">
        <f>$W243*AD243+($L243)*Summary_LCIA!U$32</f>
        <v>1.585106762461638</v>
      </c>
      <c r="AZ243" s="16">
        <f>$W243*AE243+($L243)*Summary_LCIA!V$32</f>
        <v>9.9112213935402659E-3</v>
      </c>
      <c r="BA243" s="16">
        <f>$W243*AF243+($L243)*Summary_LCIA!W$32</f>
        <v>15.107935199773415</v>
      </c>
      <c r="BB243" s="16">
        <f>$W243*AG243+($L243)*Summary_LCIA!X$32</f>
        <v>15.957906784270339</v>
      </c>
      <c r="BC243" s="16">
        <f>$W243*AH243+($L243)*Summary_LCIA!Y$32</f>
        <v>1.3738164826266637</v>
      </c>
      <c r="BD243" s="16">
        <f>$W243*AI243+($L243)*Summary_LCIA!Z$32</f>
        <v>0.30858937634717232</v>
      </c>
      <c r="BE243" s="16">
        <f>$W243*AJ243+($L243)*Summary_LCIA!AA$32</f>
        <v>2.8068873582094254</v>
      </c>
      <c r="BF243" s="16">
        <f>$W243*AK243+($L243)*Summary_LCIA!AB$32</f>
        <v>7.0892610680539939E-2</v>
      </c>
      <c r="BG243" s="16">
        <f>$W243*AL243+($L243)*Summary_LCIA!AC$32</f>
        <v>3.8520305065452816E-5</v>
      </c>
      <c r="BH243" s="16">
        <f>$W243*AM243+($L243)*Summary_LCIA!AD$32</f>
        <v>0.13716054435117098</v>
      </c>
      <c r="BI243" s="16">
        <f>$W243*AN243+($L243)*Summary_LCIA!AE$32</f>
        <v>0.37721762092700767</v>
      </c>
      <c r="BJ243" s="16">
        <f>$W243*AO243+($L243)*Summary_LCIA!AF$32</f>
        <v>6.4604042584948715E-2</v>
      </c>
      <c r="BK243" s="16">
        <f>$W243*AP243+($L243)*Summary_LCIA!AG$32</f>
        <v>8.4494198299487101E-3</v>
      </c>
      <c r="BL243" s="16">
        <f>$W243*AQ243+($L243)*Summary_LCIA!AH$32</f>
        <v>1.2864423104804708</v>
      </c>
      <c r="BM243" s="16">
        <f>$W243*AR243+($L243)*Summary_LCIA!AI$32</f>
        <v>0.34706165260628874</v>
      </c>
      <c r="BN243" s="16"/>
    </row>
    <row r="244" spans="1:66" x14ac:dyDescent="0.25">
      <c r="A244" s="159">
        <v>167</v>
      </c>
      <c r="B244" s="159">
        <v>6</v>
      </c>
      <c r="C244" s="45">
        <v>40.014986</v>
      </c>
      <c r="D244" s="45">
        <v>-105.270546</v>
      </c>
      <c r="E244" s="45" t="s">
        <v>265</v>
      </c>
      <c r="F244" s="159">
        <v>16</v>
      </c>
      <c r="G244" s="45" t="s">
        <v>565</v>
      </c>
      <c r="H244" s="45" t="s">
        <v>645</v>
      </c>
      <c r="I244" s="45">
        <v>39.856096000000001</v>
      </c>
      <c r="J244" s="45">
        <v>-104.673738</v>
      </c>
      <c r="K244" s="45">
        <v>66.833860599999994</v>
      </c>
      <c r="L244" s="45">
        <v>70.700999999999993</v>
      </c>
      <c r="M244" s="45" t="s">
        <v>617</v>
      </c>
      <c r="N244" s="159">
        <v>5</v>
      </c>
      <c r="O244" s="159">
        <v>6</v>
      </c>
      <c r="P244" s="45" t="s">
        <v>565</v>
      </c>
      <c r="Q244" s="45" t="s">
        <v>564</v>
      </c>
      <c r="R244" s="45">
        <v>41.98028</v>
      </c>
      <c r="S244" s="45">
        <v>-87.908997900000003</v>
      </c>
      <c r="T244" s="45">
        <v>1637.47</v>
      </c>
      <c r="U244" s="45" t="s">
        <v>617</v>
      </c>
      <c r="V244" s="45" t="s">
        <v>569</v>
      </c>
      <c r="W244" s="45" cm="1">
        <f t="array" ref="W244">getDistance(R244,S244,I244,J244)*SA!$B$12</f>
        <v>1429.4950991616145</v>
      </c>
      <c r="Y244" s="16">
        <f>Transportation_LCIA!C$61*($W244^Transportation_LCIA!C$60)+Transportation_LCIA!C$62</f>
        <v>0.20349821617970421</v>
      </c>
      <c r="Z244" s="16">
        <f>Transportation_LCIA!D$61*($W244^Transportation_LCIA!D$60)+Transportation_LCIA!D$62</f>
        <v>2.0501411564925682</v>
      </c>
      <c r="AA244" s="16">
        <f>Transportation_LCIA!E$61*($W244^Transportation_LCIA!E$60)+Transportation_LCIA!E$62</f>
        <v>8.9799039356792888E-4</v>
      </c>
      <c r="AB244" s="16">
        <f>Transportation_LCIA!F$61*($W244^Transportation_LCIA!F$60)+Transportation_LCIA!F$62</f>
        <v>0.20349821617970421</v>
      </c>
      <c r="AC244" s="16">
        <f>Transportation_LCIA!G$61*($W244^Transportation_LCIA!G$60)+Transportation_LCIA!G$62</f>
        <v>4.8000028211733513E-2</v>
      </c>
      <c r="AD244" s="16">
        <f>Transportation_LCIA!H$61*($W244^Transportation_LCIA!H$60)+Transportation_LCIA!H$62</f>
        <v>2.2285424318591637E-4</v>
      </c>
      <c r="AE244" s="16">
        <f>Transportation_LCIA!I$61*($W244^Transportation_LCIA!I$60)+Transportation_LCIA!I$62</f>
        <v>4.571174071441499E-6</v>
      </c>
      <c r="AF244" s="16">
        <f>Transportation_LCIA!J$61*($W244^Transportation_LCIA!J$60)+Transportation_LCIA!J$62</f>
        <v>6.7618339751164165E-3</v>
      </c>
      <c r="AG244" s="16">
        <f>Transportation_LCIA!K$61*($W244^Transportation_LCIA!K$60)+Transportation_LCIA!K$62</f>
        <v>1.0036647213890358E-2</v>
      </c>
      <c r="AH244" s="16">
        <f>Transportation_LCIA!L$61*($W244^Transportation_LCIA!L$60)+Transportation_LCIA!L$62</f>
        <v>1.9038435373879868E-4</v>
      </c>
      <c r="AI244" s="16">
        <f>Transportation_LCIA!M$61*($W244^Transportation_LCIA!M$60)+Transportation_LCIA!M$62</f>
        <v>2.1384473386264609E-4</v>
      </c>
      <c r="AJ244" s="16">
        <f>Transportation_LCIA!N$61*($W244^Transportation_LCIA!N$60)+Transportation_LCIA!N$62</f>
        <v>8.0839367892004054E-4</v>
      </c>
      <c r="AK244" s="16">
        <f>Transportation_LCIA!O$61*($W244^Transportation_LCIA!O$60)+Transportation_LCIA!O$62</f>
        <v>5.067209999252372E-5</v>
      </c>
      <c r="AL244" s="16">
        <f>Transportation_LCIA!P$61*($W244^Transportation_LCIA!P$60)+Transportation_LCIA!P$62</f>
        <v>2.4529050433273688E-8</v>
      </c>
      <c r="AM244" s="16">
        <f>Transportation_LCIA!Q$61*($W244^Transportation_LCIA!Q$60)+Transportation_LCIA!Q$62</f>
        <v>7.5620829602403238E-5</v>
      </c>
      <c r="AN244" s="16">
        <f>Transportation_LCIA!R$61*($W244^Transportation_LCIA!R$60)+Transportation_LCIA!R$62</f>
        <v>2.2005485991627286E-4</v>
      </c>
      <c r="AO244" s="16">
        <f>Transportation_LCIA!S$61*($W244^Transportation_LCIA!S$60)+Transportation_LCIA!S$62</f>
        <v>3.3802166707550345E-6</v>
      </c>
      <c r="AP244" s="16">
        <f>Transportation_LCIA!T$61*($W244^Transportation_LCIA!T$60)+Transportation_LCIA!T$62</f>
        <v>3.3802166707550345E-6</v>
      </c>
      <c r="AQ244" s="16">
        <f>Transportation_LCIA!U$61*($W244^Transportation_LCIA!U$60)+Transportation_LCIA!U$62</f>
        <v>4.6945882310058874E-4</v>
      </c>
      <c r="AR244" s="16">
        <f>Transportation_LCIA!V$61*($W244^Transportation_LCIA!V$60)+Transportation_LCIA!V$62</f>
        <v>1.9671290669076797E-4</v>
      </c>
      <c r="AT244" s="16">
        <f>$W244*Y244+($L244)*Summary_LCIA!H$32</f>
        <v>314.92390251701795</v>
      </c>
      <c r="AU244" s="16">
        <f>$W244*Z244+($L244)*Summary_LCIA!Q$32</f>
        <v>3281.0644574591838</v>
      </c>
      <c r="AV244" s="16">
        <f>$W244*AA244+($L244)*Summary_LCIA!R$32</f>
        <v>1.6559560522995636</v>
      </c>
      <c r="AW244" s="16">
        <f>$W244*AB244+($L244)*Summary_LCIA!S$32</f>
        <v>314.61140409701795</v>
      </c>
      <c r="AX244" s="16">
        <f>$W244*AC244+($L244)*Summary_LCIA!T$32</f>
        <v>76.385844988292291</v>
      </c>
      <c r="AY244" s="16">
        <f>$W244*AD244+($L244)*Summary_LCIA!U$32</f>
        <v>1.585106762461638</v>
      </c>
      <c r="AZ244" s="16">
        <f>$W244*AE244+($L244)*Summary_LCIA!V$32</f>
        <v>9.9112213935402659E-3</v>
      </c>
      <c r="BA244" s="16">
        <f>$W244*AF244+($L244)*Summary_LCIA!W$32</f>
        <v>15.107935199773415</v>
      </c>
      <c r="BB244" s="16">
        <f>$W244*AG244+($L244)*Summary_LCIA!X$32</f>
        <v>15.957906784270339</v>
      </c>
      <c r="BC244" s="16">
        <f>$W244*AH244+($L244)*Summary_LCIA!Y$32</f>
        <v>1.3738164826266637</v>
      </c>
      <c r="BD244" s="16">
        <f>$W244*AI244+($L244)*Summary_LCIA!Z$32</f>
        <v>0.30858937634717232</v>
      </c>
      <c r="BE244" s="16">
        <f>$W244*AJ244+($L244)*Summary_LCIA!AA$32</f>
        <v>2.8068873582094254</v>
      </c>
      <c r="BF244" s="16">
        <f>$W244*AK244+($L244)*Summary_LCIA!AB$32</f>
        <v>7.0892610680539939E-2</v>
      </c>
      <c r="BG244" s="16">
        <f>$W244*AL244+($L244)*Summary_LCIA!AC$32</f>
        <v>3.8520305065452816E-5</v>
      </c>
      <c r="BH244" s="16">
        <f>$W244*AM244+($L244)*Summary_LCIA!AD$32</f>
        <v>0.13716054435117098</v>
      </c>
      <c r="BI244" s="16">
        <f>$W244*AN244+($L244)*Summary_LCIA!AE$32</f>
        <v>0.37721762092700767</v>
      </c>
      <c r="BJ244" s="16">
        <f>$W244*AO244+($L244)*Summary_LCIA!AF$32</f>
        <v>6.4604042584948715E-2</v>
      </c>
      <c r="BK244" s="16">
        <f>$W244*AP244+($L244)*Summary_LCIA!AG$32</f>
        <v>8.4494198299487101E-3</v>
      </c>
      <c r="BL244" s="16">
        <f>$W244*AQ244+($L244)*Summary_LCIA!AH$32</f>
        <v>1.2864423104804708</v>
      </c>
      <c r="BM244" s="16">
        <f>$W244*AR244+($L244)*Summary_LCIA!AI$32</f>
        <v>0.34706165260628874</v>
      </c>
      <c r="BN244" s="16"/>
    </row>
    <row r="245" spans="1:66" x14ac:dyDescent="0.25">
      <c r="A245" s="159">
        <v>168</v>
      </c>
      <c r="B245" s="159">
        <v>6</v>
      </c>
      <c r="C245" s="45">
        <v>40.014986</v>
      </c>
      <c r="D245" s="45">
        <v>-105.270546</v>
      </c>
      <c r="E245" s="45" t="s">
        <v>265</v>
      </c>
      <c r="F245" s="159">
        <v>16</v>
      </c>
      <c r="G245" s="45" t="s">
        <v>565</v>
      </c>
      <c r="H245" s="45" t="s">
        <v>645</v>
      </c>
      <c r="I245" s="45">
        <v>39.856096000000001</v>
      </c>
      <c r="J245" s="45">
        <v>-104.673738</v>
      </c>
      <c r="K245" s="45">
        <v>66.833860599999994</v>
      </c>
      <c r="L245" s="45">
        <v>70.700999999999993</v>
      </c>
      <c r="M245" s="45" t="s">
        <v>617</v>
      </c>
      <c r="N245" s="159">
        <v>5</v>
      </c>
      <c r="O245" s="159">
        <v>6</v>
      </c>
      <c r="P245" s="45" t="s">
        <v>565</v>
      </c>
      <c r="Q245" s="45" t="s">
        <v>564</v>
      </c>
      <c r="R245" s="45">
        <v>41.98028</v>
      </c>
      <c r="S245" s="45">
        <v>-87.908997900000003</v>
      </c>
      <c r="T245" s="45">
        <v>1637.47</v>
      </c>
      <c r="U245" s="45" t="s">
        <v>617</v>
      </c>
      <c r="V245" s="45" t="s">
        <v>569</v>
      </c>
      <c r="W245" s="45" cm="1">
        <f t="array" ref="W245">getDistance(R245,S245,I245,J245)*SA!$B$12</f>
        <v>1429.4950991616145</v>
      </c>
      <c r="Y245" s="16">
        <f>Transportation_LCIA!C$61*($W245^Transportation_LCIA!C$60)+Transportation_LCIA!C$62</f>
        <v>0.20349821617970421</v>
      </c>
      <c r="Z245" s="16">
        <f>Transportation_LCIA!D$61*($W245^Transportation_LCIA!D$60)+Transportation_LCIA!D$62</f>
        <v>2.0501411564925682</v>
      </c>
      <c r="AA245" s="16">
        <f>Transportation_LCIA!E$61*($W245^Transportation_LCIA!E$60)+Transportation_LCIA!E$62</f>
        <v>8.9799039356792888E-4</v>
      </c>
      <c r="AB245" s="16">
        <f>Transportation_LCIA!F$61*($W245^Transportation_LCIA!F$60)+Transportation_LCIA!F$62</f>
        <v>0.20349821617970421</v>
      </c>
      <c r="AC245" s="16">
        <f>Transportation_LCIA!G$61*($W245^Transportation_LCIA!G$60)+Transportation_LCIA!G$62</f>
        <v>4.8000028211733513E-2</v>
      </c>
      <c r="AD245" s="16">
        <f>Transportation_LCIA!H$61*($W245^Transportation_LCIA!H$60)+Transportation_LCIA!H$62</f>
        <v>2.2285424318591637E-4</v>
      </c>
      <c r="AE245" s="16">
        <f>Transportation_LCIA!I$61*($W245^Transportation_LCIA!I$60)+Transportation_LCIA!I$62</f>
        <v>4.571174071441499E-6</v>
      </c>
      <c r="AF245" s="16">
        <f>Transportation_LCIA!J$61*($W245^Transportation_LCIA!J$60)+Transportation_LCIA!J$62</f>
        <v>6.7618339751164165E-3</v>
      </c>
      <c r="AG245" s="16">
        <f>Transportation_LCIA!K$61*($W245^Transportation_LCIA!K$60)+Transportation_LCIA!K$62</f>
        <v>1.0036647213890358E-2</v>
      </c>
      <c r="AH245" s="16">
        <f>Transportation_LCIA!L$61*($W245^Transportation_LCIA!L$60)+Transportation_LCIA!L$62</f>
        <v>1.9038435373879868E-4</v>
      </c>
      <c r="AI245" s="16">
        <f>Transportation_LCIA!M$61*($W245^Transportation_LCIA!M$60)+Transportation_LCIA!M$62</f>
        <v>2.1384473386264609E-4</v>
      </c>
      <c r="AJ245" s="16">
        <f>Transportation_LCIA!N$61*($W245^Transportation_LCIA!N$60)+Transportation_LCIA!N$62</f>
        <v>8.0839367892004054E-4</v>
      </c>
      <c r="AK245" s="16">
        <f>Transportation_LCIA!O$61*($W245^Transportation_LCIA!O$60)+Transportation_LCIA!O$62</f>
        <v>5.067209999252372E-5</v>
      </c>
      <c r="AL245" s="16">
        <f>Transportation_LCIA!P$61*($W245^Transportation_LCIA!P$60)+Transportation_LCIA!P$62</f>
        <v>2.4529050433273688E-8</v>
      </c>
      <c r="AM245" s="16">
        <f>Transportation_LCIA!Q$61*($W245^Transportation_LCIA!Q$60)+Transportation_LCIA!Q$62</f>
        <v>7.5620829602403238E-5</v>
      </c>
      <c r="AN245" s="16">
        <f>Transportation_LCIA!R$61*($W245^Transportation_LCIA!R$60)+Transportation_LCIA!R$62</f>
        <v>2.2005485991627286E-4</v>
      </c>
      <c r="AO245" s="16">
        <f>Transportation_LCIA!S$61*($W245^Transportation_LCIA!S$60)+Transportation_LCIA!S$62</f>
        <v>3.3802166707550345E-6</v>
      </c>
      <c r="AP245" s="16">
        <f>Transportation_LCIA!T$61*($W245^Transportation_LCIA!T$60)+Transportation_LCIA!T$62</f>
        <v>3.3802166707550345E-6</v>
      </c>
      <c r="AQ245" s="16">
        <f>Transportation_LCIA!U$61*($W245^Transportation_LCIA!U$60)+Transportation_LCIA!U$62</f>
        <v>4.6945882310058874E-4</v>
      </c>
      <c r="AR245" s="16">
        <f>Transportation_LCIA!V$61*($W245^Transportation_LCIA!V$60)+Transportation_LCIA!V$62</f>
        <v>1.9671290669076797E-4</v>
      </c>
      <c r="AT245" s="16">
        <f>$W245*Y245+($L245)*Summary_LCIA!H$32</f>
        <v>314.92390251701795</v>
      </c>
      <c r="AU245" s="16">
        <f>$W245*Z245+($L245)*Summary_LCIA!Q$32</f>
        <v>3281.0644574591838</v>
      </c>
      <c r="AV245" s="16">
        <f>$W245*AA245+($L245)*Summary_LCIA!R$32</f>
        <v>1.6559560522995636</v>
      </c>
      <c r="AW245" s="16">
        <f>$W245*AB245+($L245)*Summary_LCIA!S$32</f>
        <v>314.61140409701795</v>
      </c>
      <c r="AX245" s="16">
        <f>$W245*AC245+($L245)*Summary_LCIA!T$32</f>
        <v>76.385844988292291</v>
      </c>
      <c r="AY245" s="16">
        <f>$W245*AD245+($L245)*Summary_LCIA!U$32</f>
        <v>1.585106762461638</v>
      </c>
      <c r="AZ245" s="16">
        <f>$W245*AE245+($L245)*Summary_LCIA!V$32</f>
        <v>9.9112213935402659E-3</v>
      </c>
      <c r="BA245" s="16">
        <f>$W245*AF245+($L245)*Summary_LCIA!W$32</f>
        <v>15.107935199773415</v>
      </c>
      <c r="BB245" s="16">
        <f>$W245*AG245+($L245)*Summary_LCIA!X$32</f>
        <v>15.957906784270339</v>
      </c>
      <c r="BC245" s="16">
        <f>$W245*AH245+($L245)*Summary_LCIA!Y$32</f>
        <v>1.3738164826266637</v>
      </c>
      <c r="BD245" s="16">
        <f>$W245*AI245+($L245)*Summary_LCIA!Z$32</f>
        <v>0.30858937634717232</v>
      </c>
      <c r="BE245" s="16">
        <f>$W245*AJ245+($L245)*Summary_LCIA!AA$32</f>
        <v>2.8068873582094254</v>
      </c>
      <c r="BF245" s="16">
        <f>$W245*AK245+($L245)*Summary_LCIA!AB$32</f>
        <v>7.0892610680539939E-2</v>
      </c>
      <c r="BG245" s="16">
        <f>$W245*AL245+($L245)*Summary_LCIA!AC$32</f>
        <v>3.8520305065452816E-5</v>
      </c>
      <c r="BH245" s="16">
        <f>$W245*AM245+($L245)*Summary_LCIA!AD$32</f>
        <v>0.13716054435117098</v>
      </c>
      <c r="BI245" s="16">
        <f>$W245*AN245+($L245)*Summary_LCIA!AE$32</f>
        <v>0.37721762092700767</v>
      </c>
      <c r="BJ245" s="16">
        <f>$W245*AO245+($L245)*Summary_LCIA!AF$32</f>
        <v>6.4604042584948715E-2</v>
      </c>
      <c r="BK245" s="16">
        <f>$W245*AP245+($L245)*Summary_LCIA!AG$32</f>
        <v>8.4494198299487101E-3</v>
      </c>
      <c r="BL245" s="16">
        <f>$W245*AQ245+($L245)*Summary_LCIA!AH$32</f>
        <v>1.2864423104804708</v>
      </c>
      <c r="BM245" s="16">
        <f>$W245*AR245+($L245)*Summary_LCIA!AI$32</f>
        <v>0.34706165260628874</v>
      </c>
      <c r="BN245" s="16"/>
    </row>
    <row r="246" spans="1:66" x14ac:dyDescent="0.25">
      <c r="A246" s="159">
        <v>169</v>
      </c>
      <c r="B246" s="159">
        <v>6</v>
      </c>
      <c r="C246" s="45">
        <v>40.014986</v>
      </c>
      <c r="D246" s="45">
        <v>-105.270546</v>
      </c>
      <c r="E246" s="45" t="s">
        <v>265</v>
      </c>
      <c r="F246" s="159">
        <v>16</v>
      </c>
      <c r="G246" s="45" t="s">
        <v>565</v>
      </c>
      <c r="H246" s="45" t="s">
        <v>645</v>
      </c>
      <c r="I246" s="45">
        <v>39.856096000000001</v>
      </c>
      <c r="J246" s="45">
        <v>-104.673738</v>
      </c>
      <c r="K246" s="45">
        <v>66.833860599999994</v>
      </c>
      <c r="L246" s="45">
        <v>70.700999999999993</v>
      </c>
      <c r="M246" s="45" t="s">
        <v>617</v>
      </c>
      <c r="N246" s="159">
        <v>5</v>
      </c>
      <c r="O246" s="159">
        <v>6</v>
      </c>
      <c r="P246" s="45" t="s">
        <v>565</v>
      </c>
      <c r="Q246" s="45" t="s">
        <v>564</v>
      </c>
      <c r="R246" s="45">
        <v>41.98028</v>
      </c>
      <c r="S246" s="45">
        <v>-87.908997900000003</v>
      </c>
      <c r="T246" s="45">
        <v>1637.47</v>
      </c>
      <c r="U246" s="45" t="s">
        <v>617</v>
      </c>
      <c r="V246" s="45" t="s">
        <v>569</v>
      </c>
      <c r="W246" s="45" cm="1">
        <f t="array" ref="W246">getDistance(R246,S246,I246,J246)*SA!$B$12</f>
        <v>1429.4950991616145</v>
      </c>
      <c r="Y246" s="16">
        <f>Transportation_LCIA!C$61*($W246^Transportation_LCIA!C$60)+Transportation_LCIA!C$62</f>
        <v>0.20349821617970421</v>
      </c>
      <c r="Z246" s="16">
        <f>Transportation_LCIA!D$61*($W246^Transportation_LCIA!D$60)+Transportation_LCIA!D$62</f>
        <v>2.0501411564925682</v>
      </c>
      <c r="AA246" s="16">
        <f>Transportation_LCIA!E$61*($W246^Transportation_LCIA!E$60)+Transportation_LCIA!E$62</f>
        <v>8.9799039356792888E-4</v>
      </c>
      <c r="AB246" s="16">
        <f>Transportation_LCIA!F$61*($W246^Transportation_LCIA!F$60)+Transportation_LCIA!F$62</f>
        <v>0.20349821617970421</v>
      </c>
      <c r="AC246" s="16">
        <f>Transportation_LCIA!G$61*($W246^Transportation_LCIA!G$60)+Transportation_LCIA!G$62</f>
        <v>4.8000028211733513E-2</v>
      </c>
      <c r="AD246" s="16">
        <f>Transportation_LCIA!H$61*($W246^Transportation_LCIA!H$60)+Transportation_LCIA!H$62</f>
        <v>2.2285424318591637E-4</v>
      </c>
      <c r="AE246" s="16">
        <f>Transportation_LCIA!I$61*($W246^Transportation_LCIA!I$60)+Transportation_LCIA!I$62</f>
        <v>4.571174071441499E-6</v>
      </c>
      <c r="AF246" s="16">
        <f>Transportation_LCIA!J$61*($W246^Transportation_LCIA!J$60)+Transportation_LCIA!J$62</f>
        <v>6.7618339751164165E-3</v>
      </c>
      <c r="AG246" s="16">
        <f>Transportation_LCIA!K$61*($W246^Transportation_LCIA!K$60)+Transportation_LCIA!K$62</f>
        <v>1.0036647213890358E-2</v>
      </c>
      <c r="AH246" s="16">
        <f>Transportation_LCIA!L$61*($W246^Transportation_LCIA!L$60)+Transportation_LCIA!L$62</f>
        <v>1.9038435373879868E-4</v>
      </c>
      <c r="AI246" s="16">
        <f>Transportation_LCIA!M$61*($W246^Transportation_LCIA!M$60)+Transportation_LCIA!M$62</f>
        <v>2.1384473386264609E-4</v>
      </c>
      <c r="AJ246" s="16">
        <f>Transportation_LCIA!N$61*($W246^Transportation_LCIA!N$60)+Transportation_LCIA!N$62</f>
        <v>8.0839367892004054E-4</v>
      </c>
      <c r="AK246" s="16">
        <f>Transportation_LCIA!O$61*($W246^Transportation_LCIA!O$60)+Transportation_LCIA!O$62</f>
        <v>5.067209999252372E-5</v>
      </c>
      <c r="AL246" s="16">
        <f>Transportation_LCIA!P$61*($W246^Transportation_LCIA!P$60)+Transportation_LCIA!P$62</f>
        <v>2.4529050433273688E-8</v>
      </c>
      <c r="AM246" s="16">
        <f>Transportation_LCIA!Q$61*($W246^Transportation_LCIA!Q$60)+Transportation_LCIA!Q$62</f>
        <v>7.5620829602403238E-5</v>
      </c>
      <c r="AN246" s="16">
        <f>Transportation_LCIA!R$61*($W246^Transportation_LCIA!R$60)+Transportation_LCIA!R$62</f>
        <v>2.2005485991627286E-4</v>
      </c>
      <c r="AO246" s="16">
        <f>Transportation_LCIA!S$61*($W246^Transportation_LCIA!S$60)+Transportation_LCIA!S$62</f>
        <v>3.3802166707550345E-6</v>
      </c>
      <c r="AP246" s="16">
        <f>Transportation_LCIA!T$61*($W246^Transportation_LCIA!T$60)+Transportation_LCIA!T$62</f>
        <v>3.3802166707550345E-6</v>
      </c>
      <c r="AQ246" s="16">
        <f>Transportation_LCIA!U$61*($W246^Transportation_LCIA!U$60)+Transportation_LCIA!U$62</f>
        <v>4.6945882310058874E-4</v>
      </c>
      <c r="AR246" s="16">
        <f>Transportation_LCIA!V$61*($W246^Transportation_LCIA!V$60)+Transportation_LCIA!V$62</f>
        <v>1.9671290669076797E-4</v>
      </c>
      <c r="AT246" s="16">
        <f>$W246*Y246+($L246)*Summary_LCIA!H$32</f>
        <v>314.92390251701795</v>
      </c>
      <c r="AU246" s="16">
        <f>$W246*Z246+($L246)*Summary_LCIA!Q$32</f>
        <v>3281.0644574591838</v>
      </c>
      <c r="AV246" s="16">
        <f>$W246*AA246+($L246)*Summary_LCIA!R$32</f>
        <v>1.6559560522995636</v>
      </c>
      <c r="AW246" s="16">
        <f>$W246*AB246+($L246)*Summary_LCIA!S$32</f>
        <v>314.61140409701795</v>
      </c>
      <c r="AX246" s="16">
        <f>$W246*AC246+($L246)*Summary_LCIA!T$32</f>
        <v>76.385844988292291</v>
      </c>
      <c r="AY246" s="16">
        <f>$W246*AD246+($L246)*Summary_LCIA!U$32</f>
        <v>1.585106762461638</v>
      </c>
      <c r="AZ246" s="16">
        <f>$W246*AE246+($L246)*Summary_LCIA!V$32</f>
        <v>9.9112213935402659E-3</v>
      </c>
      <c r="BA246" s="16">
        <f>$W246*AF246+($L246)*Summary_LCIA!W$32</f>
        <v>15.107935199773415</v>
      </c>
      <c r="BB246" s="16">
        <f>$W246*AG246+($L246)*Summary_LCIA!X$32</f>
        <v>15.957906784270339</v>
      </c>
      <c r="BC246" s="16">
        <f>$W246*AH246+($L246)*Summary_LCIA!Y$32</f>
        <v>1.3738164826266637</v>
      </c>
      <c r="BD246" s="16">
        <f>$W246*AI246+($L246)*Summary_LCIA!Z$32</f>
        <v>0.30858937634717232</v>
      </c>
      <c r="BE246" s="16">
        <f>$W246*AJ246+($L246)*Summary_LCIA!AA$32</f>
        <v>2.8068873582094254</v>
      </c>
      <c r="BF246" s="16">
        <f>$W246*AK246+($L246)*Summary_LCIA!AB$32</f>
        <v>7.0892610680539939E-2</v>
      </c>
      <c r="BG246" s="16">
        <f>$W246*AL246+($L246)*Summary_LCIA!AC$32</f>
        <v>3.8520305065452816E-5</v>
      </c>
      <c r="BH246" s="16">
        <f>$W246*AM246+($L246)*Summary_LCIA!AD$32</f>
        <v>0.13716054435117098</v>
      </c>
      <c r="BI246" s="16">
        <f>$W246*AN246+($L246)*Summary_LCIA!AE$32</f>
        <v>0.37721762092700767</v>
      </c>
      <c r="BJ246" s="16">
        <f>$W246*AO246+($L246)*Summary_LCIA!AF$32</f>
        <v>6.4604042584948715E-2</v>
      </c>
      <c r="BK246" s="16">
        <f>$W246*AP246+($L246)*Summary_LCIA!AG$32</f>
        <v>8.4494198299487101E-3</v>
      </c>
      <c r="BL246" s="16">
        <f>$W246*AQ246+($L246)*Summary_LCIA!AH$32</f>
        <v>1.2864423104804708</v>
      </c>
      <c r="BM246" s="16">
        <f>$W246*AR246+($L246)*Summary_LCIA!AI$32</f>
        <v>0.34706165260628874</v>
      </c>
      <c r="BN246" s="16"/>
    </row>
    <row r="247" spans="1:66" x14ac:dyDescent="0.25">
      <c r="A247" s="159">
        <v>170</v>
      </c>
      <c r="B247" s="159">
        <v>6</v>
      </c>
      <c r="C247" s="45">
        <v>40.014986</v>
      </c>
      <c r="D247" s="45">
        <v>-105.270546</v>
      </c>
      <c r="E247" s="45" t="s">
        <v>265</v>
      </c>
      <c r="F247" s="159">
        <v>16</v>
      </c>
      <c r="G247" s="45" t="s">
        <v>565</v>
      </c>
      <c r="H247" s="45" t="s">
        <v>645</v>
      </c>
      <c r="I247" s="45">
        <v>39.856096000000001</v>
      </c>
      <c r="J247" s="45">
        <v>-104.673738</v>
      </c>
      <c r="K247" s="45">
        <v>66.833860599999994</v>
      </c>
      <c r="L247" s="45">
        <v>70.700999999999993</v>
      </c>
      <c r="M247" s="45" t="s">
        <v>617</v>
      </c>
      <c r="N247" s="159">
        <v>5</v>
      </c>
      <c r="O247" s="159">
        <v>6</v>
      </c>
      <c r="P247" s="45" t="s">
        <v>565</v>
      </c>
      <c r="Q247" s="45" t="s">
        <v>564</v>
      </c>
      <c r="R247" s="45">
        <v>41.98028</v>
      </c>
      <c r="S247" s="45">
        <v>-87.908997900000003</v>
      </c>
      <c r="T247" s="45">
        <v>1637.47</v>
      </c>
      <c r="U247" s="45" t="s">
        <v>617</v>
      </c>
      <c r="V247" s="45" t="s">
        <v>569</v>
      </c>
      <c r="W247" s="45" cm="1">
        <f t="array" ref="W247">getDistance(R247,S247,I247,J247)*SA!$B$12</f>
        <v>1429.4950991616145</v>
      </c>
      <c r="Y247" s="16">
        <f>Transportation_LCIA!C$61*($W247^Transportation_LCIA!C$60)+Transportation_LCIA!C$62</f>
        <v>0.20349821617970421</v>
      </c>
      <c r="Z247" s="16">
        <f>Transportation_LCIA!D$61*($W247^Transportation_LCIA!D$60)+Transportation_LCIA!D$62</f>
        <v>2.0501411564925682</v>
      </c>
      <c r="AA247" s="16">
        <f>Transportation_LCIA!E$61*($W247^Transportation_LCIA!E$60)+Transportation_LCIA!E$62</f>
        <v>8.9799039356792888E-4</v>
      </c>
      <c r="AB247" s="16">
        <f>Transportation_LCIA!F$61*($W247^Transportation_LCIA!F$60)+Transportation_LCIA!F$62</f>
        <v>0.20349821617970421</v>
      </c>
      <c r="AC247" s="16">
        <f>Transportation_LCIA!G$61*($W247^Transportation_LCIA!G$60)+Transportation_LCIA!G$62</f>
        <v>4.8000028211733513E-2</v>
      </c>
      <c r="AD247" s="16">
        <f>Transportation_LCIA!H$61*($W247^Transportation_LCIA!H$60)+Transportation_LCIA!H$62</f>
        <v>2.2285424318591637E-4</v>
      </c>
      <c r="AE247" s="16">
        <f>Transportation_LCIA!I$61*($W247^Transportation_LCIA!I$60)+Transportation_LCIA!I$62</f>
        <v>4.571174071441499E-6</v>
      </c>
      <c r="AF247" s="16">
        <f>Transportation_LCIA!J$61*($W247^Transportation_LCIA!J$60)+Transportation_LCIA!J$62</f>
        <v>6.7618339751164165E-3</v>
      </c>
      <c r="AG247" s="16">
        <f>Transportation_LCIA!K$61*($W247^Transportation_LCIA!K$60)+Transportation_LCIA!K$62</f>
        <v>1.0036647213890358E-2</v>
      </c>
      <c r="AH247" s="16">
        <f>Transportation_LCIA!L$61*($W247^Transportation_LCIA!L$60)+Transportation_LCIA!L$62</f>
        <v>1.9038435373879868E-4</v>
      </c>
      <c r="AI247" s="16">
        <f>Transportation_LCIA!M$61*($W247^Transportation_LCIA!M$60)+Transportation_LCIA!M$62</f>
        <v>2.1384473386264609E-4</v>
      </c>
      <c r="AJ247" s="16">
        <f>Transportation_LCIA!N$61*($W247^Transportation_LCIA!N$60)+Transportation_LCIA!N$62</f>
        <v>8.0839367892004054E-4</v>
      </c>
      <c r="AK247" s="16">
        <f>Transportation_LCIA!O$61*($W247^Transportation_LCIA!O$60)+Transportation_LCIA!O$62</f>
        <v>5.067209999252372E-5</v>
      </c>
      <c r="AL247" s="16">
        <f>Transportation_LCIA!P$61*($W247^Transportation_LCIA!P$60)+Transportation_LCIA!P$62</f>
        <v>2.4529050433273688E-8</v>
      </c>
      <c r="AM247" s="16">
        <f>Transportation_LCIA!Q$61*($W247^Transportation_LCIA!Q$60)+Transportation_LCIA!Q$62</f>
        <v>7.5620829602403238E-5</v>
      </c>
      <c r="AN247" s="16">
        <f>Transportation_LCIA!R$61*($W247^Transportation_LCIA!R$60)+Transportation_LCIA!R$62</f>
        <v>2.2005485991627286E-4</v>
      </c>
      <c r="AO247" s="16">
        <f>Transportation_LCIA!S$61*($W247^Transportation_LCIA!S$60)+Transportation_LCIA!S$62</f>
        <v>3.3802166707550345E-6</v>
      </c>
      <c r="AP247" s="16">
        <f>Transportation_LCIA!T$61*($W247^Transportation_LCIA!T$60)+Transportation_LCIA!T$62</f>
        <v>3.3802166707550345E-6</v>
      </c>
      <c r="AQ247" s="16">
        <f>Transportation_LCIA!U$61*($W247^Transportation_LCIA!U$60)+Transportation_LCIA!U$62</f>
        <v>4.6945882310058874E-4</v>
      </c>
      <c r="AR247" s="16">
        <f>Transportation_LCIA!V$61*($W247^Transportation_LCIA!V$60)+Transportation_LCIA!V$62</f>
        <v>1.9671290669076797E-4</v>
      </c>
      <c r="AT247" s="16">
        <f>$W247*Y247+($L247)*Summary_LCIA!H$32</f>
        <v>314.92390251701795</v>
      </c>
      <c r="AU247" s="16">
        <f>$W247*Z247+($L247)*Summary_LCIA!Q$32</f>
        <v>3281.0644574591838</v>
      </c>
      <c r="AV247" s="16">
        <f>$W247*AA247+($L247)*Summary_LCIA!R$32</f>
        <v>1.6559560522995636</v>
      </c>
      <c r="AW247" s="16">
        <f>$W247*AB247+($L247)*Summary_LCIA!S$32</f>
        <v>314.61140409701795</v>
      </c>
      <c r="AX247" s="16">
        <f>$W247*AC247+($L247)*Summary_LCIA!T$32</f>
        <v>76.385844988292291</v>
      </c>
      <c r="AY247" s="16">
        <f>$W247*AD247+($L247)*Summary_LCIA!U$32</f>
        <v>1.585106762461638</v>
      </c>
      <c r="AZ247" s="16">
        <f>$W247*AE247+($L247)*Summary_LCIA!V$32</f>
        <v>9.9112213935402659E-3</v>
      </c>
      <c r="BA247" s="16">
        <f>$W247*AF247+($L247)*Summary_LCIA!W$32</f>
        <v>15.107935199773415</v>
      </c>
      <c r="BB247" s="16">
        <f>$W247*AG247+($L247)*Summary_LCIA!X$32</f>
        <v>15.957906784270339</v>
      </c>
      <c r="BC247" s="16">
        <f>$W247*AH247+($L247)*Summary_LCIA!Y$32</f>
        <v>1.3738164826266637</v>
      </c>
      <c r="BD247" s="16">
        <f>$W247*AI247+($L247)*Summary_LCIA!Z$32</f>
        <v>0.30858937634717232</v>
      </c>
      <c r="BE247" s="16">
        <f>$W247*AJ247+($L247)*Summary_LCIA!AA$32</f>
        <v>2.8068873582094254</v>
      </c>
      <c r="BF247" s="16">
        <f>$W247*AK247+($L247)*Summary_LCIA!AB$32</f>
        <v>7.0892610680539939E-2</v>
      </c>
      <c r="BG247" s="16">
        <f>$W247*AL247+($L247)*Summary_LCIA!AC$32</f>
        <v>3.8520305065452816E-5</v>
      </c>
      <c r="BH247" s="16">
        <f>$W247*AM247+($L247)*Summary_LCIA!AD$32</f>
        <v>0.13716054435117098</v>
      </c>
      <c r="BI247" s="16">
        <f>$W247*AN247+($L247)*Summary_LCIA!AE$32</f>
        <v>0.37721762092700767</v>
      </c>
      <c r="BJ247" s="16">
        <f>$W247*AO247+($L247)*Summary_LCIA!AF$32</f>
        <v>6.4604042584948715E-2</v>
      </c>
      <c r="BK247" s="16">
        <f>$W247*AP247+($L247)*Summary_LCIA!AG$32</f>
        <v>8.4494198299487101E-3</v>
      </c>
      <c r="BL247" s="16">
        <f>$W247*AQ247+($L247)*Summary_LCIA!AH$32</f>
        <v>1.2864423104804708</v>
      </c>
      <c r="BM247" s="16">
        <f>$W247*AR247+($L247)*Summary_LCIA!AI$32</f>
        <v>0.34706165260628874</v>
      </c>
      <c r="BN247" s="16"/>
    </row>
    <row r="248" spans="1:66" x14ac:dyDescent="0.25">
      <c r="A248" s="159">
        <v>171</v>
      </c>
      <c r="B248" s="159">
        <v>6</v>
      </c>
      <c r="C248" s="45">
        <v>40.014986</v>
      </c>
      <c r="D248" s="45">
        <v>-105.270546</v>
      </c>
      <c r="E248" s="45" t="s">
        <v>265</v>
      </c>
      <c r="F248" s="159">
        <v>16</v>
      </c>
      <c r="G248" s="45" t="s">
        <v>565</v>
      </c>
      <c r="H248" s="45" t="s">
        <v>645</v>
      </c>
      <c r="I248" s="45">
        <v>39.856096000000001</v>
      </c>
      <c r="J248" s="45">
        <v>-104.673738</v>
      </c>
      <c r="K248" s="45">
        <v>66.833860599999994</v>
      </c>
      <c r="L248" s="45">
        <v>70.700999999999993</v>
      </c>
      <c r="M248" s="45" t="s">
        <v>617</v>
      </c>
      <c r="N248" s="159">
        <v>5</v>
      </c>
      <c r="O248" s="159">
        <v>6</v>
      </c>
      <c r="P248" s="45" t="s">
        <v>565</v>
      </c>
      <c r="Q248" s="45" t="s">
        <v>564</v>
      </c>
      <c r="R248" s="45">
        <v>41.98028</v>
      </c>
      <c r="S248" s="45">
        <v>-87.908997900000003</v>
      </c>
      <c r="T248" s="45">
        <v>1637.47</v>
      </c>
      <c r="U248" s="45" t="s">
        <v>617</v>
      </c>
      <c r="V248" s="45" t="s">
        <v>569</v>
      </c>
      <c r="W248" s="45" cm="1">
        <f t="array" ref="W248">getDistance(R248,S248,I248,J248)*SA!$B$12</f>
        <v>1429.4950991616145</v>
      </c>
      <c r="Y248" s="16">
        <f>Transportation_LCIA!C$61*($W248^Transportation_LCIA!C$60)+Transportation_LCIA!C$62</f>
        <v>0.20349821617970421</v>
      </c>
      <c r="Z248" s="16">
        <f>Transportation_LCIA!D$61*($W248^Transportation_LCIA!D$60)+Transportation_LCIA!D$62</f>
        <v>2.0501411564925682</v>
      </c>
      <c r="AA248" s="16">
        <f>Transportation_LCIA!E$61*($W248^Transportation_LCIA!E$60)+Transportation_LCIA!E$62</f>
        <v>8.9799039356792888E-4</v>
      </c>
      <c r="AB248" s="16">
        <f>Transportation_LCIA!F$61*($W248^Transportation_LCIA!F$60)+Transportation_LCIA!F$62</f>
        <v>0.20349821617970421</v>
      </c>
      <c r="AC248" s="16">
        <f>Transportation_LCIA!G$61*($W248^Transportation_LCIA!G$60)+Transportation_LCIA!G$62</f>
        <v>4.8000028211733513E-2</v>
      </c>
      <c r="AD248" s="16">
        <f>Transportation_LCIA!H$61*($W248^Transportation_LCIA!H$60)+Transportation_LCIA!H$62</f>
        <v>2.2285424318591637E-4</v>
      </c>
      <c r="AE248" s="16">
        <f>Transportation_LCIA!I$61*($W248^Transportation_LCIA!I$60)+Transportation_LCIA!I$62</f>
        <v>4.571174071441499E-6</v>
      </c>
      <c r="AF248" s="16">
        <f>Transportation_LCIA!J$61*($W248^Transportation_LCIA!J$60)+Transportation_LCIA!J$62</f>
        <v>6.7618339751164165E-3</v>
      </c>
      <c r="AG248" s="16">
        <f>Transportation_LCIA!K$61*($W248^Transportation_LCIA!K$60)+Transportation_LCIA!K$62</f>
        <v>1.0036647213890358E-2</v>
      </c>
      <c r="AH248" s="16">
        <f>Transportation_LCIA!L$61*($W248^Transportation_LCIA!L$60)+Transportation_LCIA!L$62</f>
        <v>1.9038435373879868E-4</v>
      </c>
      <c r="AI248" s="16">
        <f>Transportation_LCIA!M$61*($W248^Transportation_LCIA!M$60)+Transportation_LCIA!M$62</f>
        <v>2.1384473386264609E-4</v>
      </c>
      <c r="AJ248" s="16">
        <f>Transportation_LCIA!N$61*($W248^Transportation_LCIA!N$60)+Transportation_LCIA!N$62</f>
        <v>8.0839367892004054E-4</v>
      </c>
      <c r="AK248" s="16">
        <f>Transportation_LCIA!O$61*($W248^Transportation_LCIA!O$60)+Transportation_LCIA!O$62</f>
        <v>5.067209999252372E-5</v>
      </c>
      <c r="AL248" s="16">
        <f>Transportation_LCIA!P$61*($W248^Transportation_LCIA!P$60)+Transportation_LCIA!P$62</f>
        <v>2.4529050433273688E-8</v>
      </c>
      <c r="AM248" s="16">
        <f>Transportation_LCIA!Q$61*($W248^Transportation_LCIA!Q$60)+Transportation_LCIA!Q$62</f>
        <v>7.5620829602403238E-5</v>
      </c>
      <c r="AN248" s="16">
        <f>Transportation_LCIA!R$61*($W248^Transportation_LCIA!R$60)+Transportation_LCIA!R$62</f>
        <v>2.2005485991627286E-4</v>
      </c>
      <c r="AO248" s="16">
        <f>Transportation_LCIA!S$61*($W248^Transportation_LCIA!S$60)+Transportation_LCIA!S$62</f>
        <v>3.3802166707550345E-6</v>
      </c>
      <c r="AP248" s="16">
        <f>Transportation_LCIA!T$61*($W248^Transportation_LCIA!T$60)+Transportation_LCIA!T$62</f>
        <v>3.3802166707550345E-6</v>
      </c>
      <c r="AQ248" s="16">
        <f>Transportation_LCIA!U$61*($W248^Transportation_LCIA!U$60)+Transportation_LCIA!U$62</f>
        <v>4.6945882310058874E-4</v>
      </c>
      <c r="AR248" s="16">
        <f>Transportation_LCIA!V$61*($W248^Transportation_LCIA!V$60)+Transportation_LCIA!V$62</f>
        <v>1.9671290669076797E-4</v>
      </c>
      <c r="AT248" s="16">
        <f>$W248*Y248+($L248)*Summary_LCIA!H$32</f>
        <v>314.92390251701795</v>
      </c>
      <c r="AU248" s="16">
        <f>$W248*Z248+($L248)*Summary_LCIA!Q$32</f>
        <v>3281.0644574591838</v>
      </c>
      <c r="AV248" s="16">
        <f>$W248*AA248+($L248)*Summary_LCIA!R$32</f>
        <v>1.6559560522995636</v>
      </c>
      <c r="AW248" s="16">
        <f>$W248*AB248+($L248)*Summary_LCIA!S$32</f>
        <v>314.61140409701795</v>
      </c>
      <c r="AX248" s="16">
        <f>$W248*AC248+($L248)*Summary_LCIA!T$32</f>
        <v>76.385844988292291</v>
      </c>
      <c r="AY248" s="16">
        <f>$W248*AD248+($L248)*Summary_LCIA!U$32</f>
        <v>1.585106762461638</v>
      </c>
      <c r="AZ248" s="16">
        <f>$W248*AE248+($L248)*Summary_LCIA!V$32</f>
        <v>9.9112213935402659E-3</v>
      </c>
      <c r="BA248" s="16">
        <f>$W248*AF248+($L248)*Summary_LCIA!W$32</f>
        <v>15.107935199773415</v>
      </c>
      <c r="BB248" s="16">
        <f>$W248*AG248+($L248)*Summary_LCIA!X$32</f>
        <v>15.957906784270339</v>
      </c>
      <c r="BC248" s="16">
        <f>$W248*AH248+($L248)*Summary_LCIA!Y$32</f>
        <v>1.3738164826266637</v>
      </c>
      <c r="BD248" s="16">
        <f>$W248*AI248+($L248)*Summary_LCIA!Z$32</f>
        <v>0.30858937634717232</v>
      </c>
      <c r="BE248" s="16">
        <f>$W248*AJ248+($L248)*Summary_LCIA!AA$32</f>
        <v>2.8068873582094254</v>
      </c>
      <c r="BF248" s="16">
        <f>$W248*AK248+($L248)*Summary_LCIA!AB$32</f>
        <v>7.0892610680539939E-2</v>
      </c>
      <c r="BG248" s="16">
        <f>$W248*AL248+($L248)*Summary_LCIA!AC$32</f>
        <v>3.8520305065452816E-5</v>
      </c>
      <c r="BH248" s="16">
        <f>$W248*AM248+($L248)*Summary_LCIA!AD$32</f>
        <v>0.13716054435117098</v>
      </c>
      <c r="BI248" s="16">
        <f>$W248*AN248+($L248)*Summary_LCIA!AE$32</f>
        <v>0.37721762092700767</v>
      </c>
      <c r="BJ248" s="16">
        <f>$W248*AO248+($L248)*Summary_LCIA!AF$32</f>
        <v>6.4604042584948715E-2</v>
      </c>
      <c r="BK248" s="16">
        <f>$W248*AP248+($L248)*Summary_LCIA!AG$32</f>
        <v>8.4494198299487101E-3</v>
      </c>
      <c r="BL248" s="16">
        <f>$W248*AQ248+($L248)*Summary_LCIA!AH$32</f>
        <v>1.2864423104804708</v>
      </c>
      <c r="BM248" s="16">
        <f>$W248*AR248+($L248)*Summary_LCIA!AI$32</f>
        <v>0.34706165260628874</v>
      </c>
      <c r="BN248" s="16"/>
    </row>
    <row r="249" spans="1:66" x14ac:dyDescent="0.25">
      <c r="A249" s="159">
        <v>172</v>
      </c>
      <c r="B249" s="159">
        <v>6</v>
      </c>
      <c r="C249" s="45">
        <v>40.014986</v>
      </c>
      <c r="D249" s="45">
        <v>-105.270546</v>
      </c>
      <c r="E249" s="45" t="s">
        <v>265</v>
      </c>
      <c r="F249" s="159">
        <v>16</v>
      </c>
      <c r="G249" s="45" t="s">
        <v>565</v>
      </c>
      <c r="H249" s="45" t="s">
        <v>645</v>
      </c>
      <c r="I249" s="45">
        <v>39.856096000000001</v>
      </c>
      <c r="J249" s="45">
        <v>-104.673738</v>
      </c>
      <c r="K249" s="45">
        <v>66.833860599999994</v>
      </c>
      <c r="L249" s="45">
        <v>70.700999999999993</v>
      </c>
      <c r="M249" s="45" t="s">
        <v>617</v>
      </c>
      <c r="N249" s="159">
        <v>5</v>
      </c>
      <c r="O249" s="159">
        <v>6</v>
      </c>
      <c r="P249" s="45" t="s">
        <v>565</v>
      </c>
      <c r="Q249" s="45" t="s">
        <v>564</v>
      </c>
      <c r="R249" s="45">
        <v>41.98028</v>
      </c>
      <c r="S249" s="45">
        <v>-87.908997900000003</v>
      </c>
      <c r="T249" s="45">
        <v>1637.47</v>
      </c>
      <c r="U249" s="45" t="s">
        <v>617</v>
      </c>
      <c r="V249" s="45" t="s">
        <v>569</v>
      </c>
      <c r="W249" s="45" cm="1">
        <f t="array" ref="W249">getDistance(R249,S249,I249,J249)*SA!$B$12</f>
        <v>1429.4950991616145</v>
      </c>
      <c r="Y249" s="16">
        <f>Transportation_LCIA!C$61*($W249^Transportation_LCIA!C$60)+Transportation_LCIA!C$62</f>
        <v>0.20349821617970421</v>
      </c>
      <c r="Z249" s="16">
        <f>Transportation_LCIA!D$61*($W249^Transportation_LCIA!D$60)+Transportation_LCIA!D$62</f>
        <v>2.0501411564925682</v>
      </c>
      <c r="AA249" s="16">
        <f>Transportation_LCIA!E$61*($W249^Transportation_LCIA!E$60)+Transportation_LCIA!E$62</f>
        <v>8.9799039356792888E-4</v>
      </c>
      <c r="AB249" s="16">
        <f>Transportation_LCIA!F$61*($W249^Transportation_LCIA!F$60)+Transportation_LCIA!F$62</f>
        <v>0.20349821617970421</v>
      </c>
      <c r="AC249" s="16">
        <f>Transportation_LCIA!G$61*($W249^Transportation_LCIA!G$60)+Transportation_LCIA!G$62</f>
        <v>4.8000028211733513E-2</v>
      </c>
      <c r="AD249" s="16">
        <f>Transportation_LCIA!H$61*($W249^Transportation_LCIA!H$60)+Transportation_LCIA!H$62</f>
        <v>2.2285424318591637E-4</v>
      </c>
      <c r="AE249" s="16">
        <f>Transportation_LCIA!I$61*($W249^Transportation_LCIA!I$60)+Transportation_LCIA!I$62</f>
        <v>4.571174071441499E-6</v>
      </c>
      <c r="AF249" s="16">
        <f>Transportation_LCIA!J$61*($W249^Transportation_LCIA!J$60)+Transportation_LCIA!J$62</f>
        <v>6.7618339751164165E-3</v>
      </c>
      <c r="AG249" s="16">
        <f>Transportation_LCIA!K$61*($W249^Transportation_LCIA!K$60)+Transportation_LCIA!K$62</f>
        <v>1.0036647213890358E-2</v>
      </c>
      <c r="AH249" s="16">
        <f>Transportation_LCIA!L$61*($W249^Transportation_LCIA!L$60)+Transportation_LCIA!L$62</f>
        <v>1.9038435373879868E-4</v>
      </c>
      <c r="AI249" s="16">
        <f>Transportation_LCIA!M$61*($W249^Transportation_LCIA!M$60)+Transportation_LCIA!M$62</f>
        <v>2.1384473386264609E-4</v>
      </c>
      <c r="AJ249" s="16">
        <f>Transportation_LCIA!N$61*($W249^Transportation_LCIA!N$60)+Transportation_LCIA!N$62</f>
        <v>8.0839367892004054E-4</v>
      </c>
      <c r="AK249" s="16">
        <f>Transportation_LCIA!O$61*($W249^Transportation_LCIA!O$60)+Transportation_LCIA!O$62</f>
        <v>5.067209999252372E-5</v>
      </c>
      <c r="AL249" s="16">
        <f>Transportation_LCIA!P$61*($W249^Transportation_LCIA!P$60)+Transportation_LCIA!P$62</f>
        <v>2.4529050433273688E-8</v>
      </c>
      <c r="AM249" s="16">
        <f>Transportation_LCIA!Q$61*($W249^Transportation_LCIA!Q$60)+Transportation_LCIA!Q$62</f>
        <v>7.5620829602403238E-5</v>
      </c>
      <c r="AN249" s="16">
        <f>Transportation_LCIA!R$61*($W249^Transportation_LCIA!R$60)+Transportation_LCIA!R$62</f>
        <v>2.2005485991627286E-4</v>
      </c>
      <c r="AO249" s="16">
        <f>Transportation_LCIA!S$61*($W249^Transportation_LCIA!S$60)+Transportation_LCIA!S$62</f>
        <v>3.3802166707550345E-6</v>
      </c>
      <c r="AP249" s="16">
        <f>Transportation_LCIA!T$61*($W249^Transportation_LCIA!T$60)+Transportation_LCIA!T$62</f>
        <v>3.3802166707550345E-6</v>
      </c>
      <c r="AQ249" s="16">
        <f>Transportation_LCIA!U$61*($W249^Transportation_LCIA!U$60)+Transportation_LCIA!U$62</f>
        <v>4.6945882310058874E-4</v>
      </c>
      <c r="AR249" s="16">
        <f>Transportation_LCIA!V$61*($W249^Transportation_LCIA!V$60)+Transportation_LCIA!V$62</f>
        <v>1.9671290669076797E-4</v>
      </c>
      <c r="AT249" s="16">
        <f>$W249*Y249+($L249)*Summary_LCIA!H$32</f>
        <v>314.92390251701795</v>
      </c>
      <c r="AU249" s="16">
        <f>$W249*Z249+($L249)*Summary_LCIA!Q$32</f>
        <v>3281.0644574591838</v>
      </c>
      <c r="AV249" s="16">
        <f>$W249*AA249+($L249)*Summary_LCIA!R$32</f>
        <v>1.6559560522995636</v>
      </c>
      <c r="AW249" s="16">
        <f>$W249*AB249+($L249)*Summary_LCIA!S$32</f>
        <v>314.61140409701795</v>
      </c>
      <c r="AX249" s="16">
        <f>$W249*AC249+($L249)*Summary_LCIA!T$32</f>
        <v>76.385844988292291</v>
      </c>
      <c r="AY249" s="16">
        <f>$W249*AD249+($L249)*Summary_LCIA!U$32</f>
        <v>1.585106762461638</v>
      </c>
      <c r="AZ249" s="16">
        <f>$W249*AE249+($L249)*Summary_LCIA!V$32</f>
        <v>9.9112213935402659E-3</v>
      </c>
      <c r="BA249" s="16">
        <f>$W249*AF249+($L249)*Summary_LCIA!W$32</f>
        <v>15.107935199773415</v>
      </c>
      <c r="BB249" s="16">
        <f>$W249*AG249+($L249)*Summary_LCIA!X$32</f>
        <v>15.957906784270339</v>
      </c>
      <c r="BC249" s="16">
        <f>$W249*AH249+($L249)*Summary_LCIA!Y$32</f>
        <v>1.3738164826266637</v>
      </c>
      <c r="BD249" s="16">
        <f>$W249*AI249+($L249)*Summary_LCIA!Z$32</f>
        <v>0.30858937634717232</v>
      </c>
      <c r="BE249" s="16">
        <f>$W249*AJ249+($L249)*Summary_LCIA!AA$32</f>
        <v>2.8068873582094254</v>
      </c>
      <c r="BF249" s="16">
        <f>$W249*AK249+($L249)*Summary_LCIA!AB$32</f>
        <v>7.0892610680539939E-2</v>
      </c>
      <c r="BG249" s="16">
        <f>$W249*AL249+($L249)*Summary_LCIA!AC$32</f>
        <v>3.8520305065452816E-5</v>
      </c>
      <c r="BH249" s="16">
        <f>$W249*AM249+($L249)*Summary_LCIA!AD$32</f>
        <v>0.13716054435117098</v>
      </c>
      <c r="BI249" s="16">
        <f>$W249*AN249+($L249)*Summary_LCIA!AE$32</f>
        <v>0.37721762092700767</v>
      </c>
      <c r="BJ249" s="16">
        <f>$W249*AO249+($L249)*Summary_LCIA!AF$32</f>
        <v>6.4604042584948715E-2</v>
      </c>
      <c r="BK249" s="16">
        <f>$W249*AP249+($L249)*Summary_LCIA!AG$32</f>
        <v>8.4494198299487101E-3</v>
      </c>
      <c r="BL249" s="16">
        <f>$W249*AQ249+($L249)*Summary_LCIA!AH$32</f>
        <v>1.2864423104804708</v>
      </c>
      <c r="BM249" s="16">
        <f>$W249*AR249+($L249)*Summary_LCIA!AI$32</f>
        <v>0.34706165260628874</v>
      </c>
      <c r="BN249" s="16"/>
    </row>
    <row r="250" spans="1:66" x14ac:dyDescent="0.25">
      <c r="A250" s="159">
        <v>206</v>
      </c>
      <c r="B250" s="159">
        <v>6</v>
      </c>
      <c r="C250" s="45">
        <v>39.514285000000001</v>
      </c>
      <c r="D250" s="45">
        <v>-104.845462</v>
      </c>
      <c r="E250" s="45" t="s">
        <v>265</v>
      </c>
      <c r="F250" s="159">
        <v>16</v>
      </c>
      <c r="G250" s="45" t="s">
        <v>565</v>
      </c>
      <c r="H250" s="45" t="s">
        <v>645</v>
      </c>
      <c r="I250" s="45">
        <v>39.856096000000001</v>
      </c>
      <c r="J250" s="45">
        <v>-104.673738</v>
      </c>
      <c r="K250" s="45">
        <v>66.458705199999997</v>
      </c>
      <c r="L250" s="45">
        <v>55.151000000000003</v>
      </c>
      <c r="M250" s="45" t="s">
        <v>617</v>
      </c>
      <c r="N250" s="159">
        <v>5</v>
      </c>
      <c r="O250" s="159">
        <v>6</v>
      </c>
      <c r="P250" s="45" t="s">
        <v>565</v>
      </c>
      <c r="Q250" s="45" t="s">
        <v>564</v>
      </c>
      <c r="R250" s="45">
        <v>41.98028</v>
      </c>
      <c r="S250" s="45">
        <v>-87.908997900000003</v>
      </c>
      <c r="T250" s="45">
        <v>1640.999</v>
      </c>
      <c r="U250" s="45" t="s">
        <v>617</v>
      </c>
      <c r="V250" s="45" t="s">
        <v>569</v>
      </c>
      <c r="W250" s="45" cm="1">
        <f t="array" ref="W250">getDistance(R250,S250,I250,J250)*SA!$B$12</f>
        <v>1429.4950991616145</v>
      </c>
      <c r="Y250" s="16">
        <f>Transportation_LCIA!C$61*($W250^Transportation_LCIA!C$60)+Transportation_LCIA!C$62</f>
        <v>0.20349821617970421</v>
      </c>
      <c r="Z250" s="16">
        <f>Transportation_LCIA!D$61*($W250^Transportation_LCIA!D$60)+Transportation_LCIA!D$62</f>
        <v>2.0501411564925682</v>
      </c>
      <c r="AA250" s="16">
        <f>Transportation_LCIA!E$61*($W250^Transportation_LCIA!E$60)+Transportation_LCIA!E$62</f>
        <v>8.9799039356792888E-4</v>
      </c>
      <c r="AB250" s="16">
        <f>Transportation_LCIA!F$61*($W250^Transportation_LCIA!F$60)+Transportation_LCIA!F$62</f>
        <v>0.20349821617970421</v>
      </c>
      <c r="AC250" s="16">
        <f>Transportation_LCIA!G$61*($W250^Transportation_LCIA!G$60)+Transportation_LCIA!G$62</f>
        <v>4.8000028211733513E-2</v>
      </c>
      <c r="AD250" s="16">
        <f>Transportation_LCIA!H$61*($W250^Transportation_LCIA!H$60)+Transportation_LCIA!H$62</f>
        <v>2.2285424318591637E-4</v>
      </c>
      <c r="AE250" s="16">
        <f>Transportation_LCIA!I$61*($W250^Transportation_LCIA!I$60)+Transportation_LCIA!I$62</f>
        <v>4.571174071441499E-6</v>
      </c>
      <c r="AF250" s="16">
        <f>Transportation_LCIA!J$61*($W250^Transportation_LCIA!J$60)+Transportation_LCIA!J$62</f>
        <v>6.7618339751164165E-3</v>
      </c>
      <c r="AG250" s="16">
        <f>Transportation_LCIA!K$61*($W250^Transportation_LCIA!K$60)+Transportation_LCIA!K$62</f>
        <v>1.0036647213890358E-2</v>
      </c>
      <c r="AH250" s="16">
        <f>Transportation_LCIA!L$61*($W250^Transportation_LCIA!L$60)+Transportation_LCIA!L$62</f>
        <v>1.9038435373879868E-4</v>
      </c>
      <c r="AI250" s="16">
        <f>Transportation_LCIA!M$61*($W250^Transportation_LCIA!M$60)+Transportation_LCIA!M$62</f>
        <v>2.1384473386264609E-4</v>
      </c>
      <c r="AJ250" s="16">
        <f>Transportation_LCIA!N$61*($W250^Transportation_LCIA!N$60)+Transportation_LCIA!N$62</f>
        <v>8.0839367892004054E-4</v>
      </c>
      <c r="AK250" s="16">
        <f>Transportation_LCIA!O$61*($W250^Transportation_LCIA!O$60)+Transportation_LCIA!O$62</f>
        <v>5.067209999252372E-5</v>
      </c>
      <c r="AL250" s="16">
        <f>Transportation_LCIA!P$61*($W250^Transportation_LCIA!P$60)+Transportation_LCIA!P$62</f>
        <v>2.4529050433273688E-8</v>
      </c>
      <c r="AM250" s="16">
        <f>Transportation_LCIA!Q$61*($W250^Transportation_LCIA!Q$60)+Transportation_LCIA!Q$62</f>
        <v>7.5620829602403238E-5</v>
      </c>
      <c r="AN250" s="16">
        <f>Transportation_LCIA!R$61*($W250^Transportation_LCIA!R$60)+Transportation_LCIA!R$62</f>
        <v>2.2005485991627286E-4</v>
      </c>
      <c r="AO250" s="16">
        <f>Transportation_LCIA!S$61*($W250^Transportation_LCIA!S$60)+Transportation_LCIA!S$62</f>
        <v>3.3802166707550345E-6</v>
      </c>
      <c r="AP250" s="16">
        <f>Transportation_LCIA!T$61*($W250^Transportation_LCIA!T$60)+Transportation_LCIA!T$62</f>
        <v>3.3802166707550345E-6</v>
      </c>
      <c r="AQ250" s="16">
        <f>Transportation_LCIA!U$61*($W250^Transportation_LCIA!U$60)+Transportation_LCIA!U$62</f>
        <v>4.6945882310058874E-4</v>
      </c>
      <c r="AR250" s="16">
        <f>Transportation_LCIA!V$61*($W250^Transportation_LCIA!V$60)+Transportation_LCIA!V$62</f>
        <v>1.9671290669076797E-4</v>
      </c>
      <c r="AT250" s="16">
        <f>$W250*Y250+($L250)*Summary_LCIA!H$32</f>
        <v>309.64001251701791</v>
      </c>
      <c r="AU250" s="16">
        <f>$W250*Z250+($L250)*Summary_LCIA!Q$32</f>
        <v>3203.9978732260338</v>
      </c>
      <c r="AV250" s="16">
        <f>$W250*AA250+($L250)*Summary_LCIA!R$32</f>
        <v>1.5740759722995636</v>
      </c>
      <c r="AW250" s="16">
        <f>$W250*AB250+($L250)*Summary_LCIA!S$32</f>
        <v>309.39624509701792</v>
      </c>
      <c r="AX250" s="16">
        <f>$W250*AC250+($L250)*Summary_LCIA!T$32</f>
        <v>74.676899988292291</v>
      </c>
      <c r="AY250" s="16">
        <f>$W250*AD250+($L250)*Summary_LCIA!U$32</f>
        <v>1.306544062461638</v>
      </c>
      <c r="AZ250" s="16">
        <f>$W250*AE250+($L250)*Summary_LCIA!V$32</f>
        <v>9.1685378435402663E-3</v>
      </c>
      <c r="BA250" s="16">
        <f>$W250*AF250+($L250)*Summary_LCIA!W$32</f>
        <v>13.911036149773416</v>
      </c>
      <c r="BB250" s="16">
        <f>$W250*AG250+($L250)*Summary_LCIA!X$32</f>
        <v>15.603677784270339</v>
      </c>
      <c r="BC250" s="16">
        <f>$W250*AH250+($L250)*Summary_LCIA!Y$32</f>
        <v>1.1315163826266641</v>
      </c>
      <c r="BD250" s="16">
        <f>$W250*AI250+($L250)*Summary_LCIA!Z$32</f>
        <v>0.30795168639717235</v>
      </c>
      <c r="BE250" s="16">
        <f>$W250*AJ250+($L250)*Summary_LCIA!AA$32</f>
        <v>2.4437015582094257</v>
      </c>
      <c r="BF250" s="16">
        <f>$W250*AK250+($L250)*Summary_LCIA!AB$32</f>
        <v>7.1231958330539941E-2</v>
      </c>
      <c r="BG250" s="16">
        <f>$W250*AL250+($L250)*Summary_LCIA!AC$32</f>
        <v>3.7760158865452814E-5</v>
      </c>
      <c r="BH250" s="16">
        <f>$W250*AM250+($L250)*Summary_LCIA!AD$32</f>
        <v>0.13076887235117096</v>
      </c>
      <c r="BI250" s="16">
        <f>$W250*AN250+($L250)*Summary_LCIA!AE$32</f>
        <v>0.36343829942700767</v>
      </c>
      <c r="BJ250" s="16">
        <f>$W250*AO250+($L250)*Summary_LCIA!AF$32</f>
        <v>5.1457761584948712E-2</v>
      </c>
      <c r="BK250" s="16">
        <f>$W250*AP250+($L250)*Summary_LCIA!AG$32</f>
        <v>7.653804079948711E-3</v>
      </c>
      <c r="BL250" s="16">
        <f>$W250*AQ250+($L250)*Summary_LCIA!AH$32</f>
        <v>1.1511013304804709</v>
      </c>
      <c r="BM250" s="16">
        <f>$W250*AR250+($L250)*Summary_LCIA!AI$32</f>
        <v>0.33257605010628877</v>
      </c>
      <c r="BN250" s="16"/>
    </row>
    <row r="251" spans="1:66" x14ac:dyDescent="0.25">
      <c r="A251" s="159">
        <v>83</v>
      </c>
      <c r="B251" s="159">
        <v>6</v>
      </c>
      <c r="C251" s="45">
        <v>43.110801000000002</v>
      </c>
      <c r="D251" s="45">
        <v>-70.750540000000001</v>
      </c>
      <c r="E251" s="45" t="s">
        <v>265</v>
      </c>
      <c r="F251" s="159">
        <v>53</v>
      </c>
      <c r="G251" s="45" t="s">
        <v>565</v>
      </c>
      <c r="H251" s="45" t="s">
        <v>634</v>
      </c>
      <c r="I251" s="45">
        <v>42.365613000000003</v>
      </c>
      <c r="J251" s="45">
        <v>-71.009559999999993</v>
      </c>
      <c r="K251" s="45">
        <v>116.9533083</v>
      </c>
      <c r="L251" s="45">
        <v>92.052999999999997</v>
      </c>
      <c r="M251" s="45" t="s">
        <v>617</v>
      </c>
      <c r="N251" s="159">
        <v>5</v>
      </c>
      <c r="O251" s="159">
        <v>6</v>
      </c>
      <c r="P251" s="45" t="s">
        <v>565</v>
      </c>
      <c r="Q251" s="45" t="s">
        <v>564</v>
      </c>
      <c r="R251" s="45">
        <v>41.98028</v>
      </c>
      <c r="S251" s="45">
        <v>-87.908997900000003</v>
      </c>
      <c r="T251" s="45">
        <v>1689.953</v>
      </c>
      <c r="U251" s="45" t="s">
        <v>617</v>
      </c>
      <c r="V251" s="45" t="s">
        <v>569</v>
      </c>
      <c r="W251" s="45" cm="1">
        <f t="array" ref="W251">getDistance(R251,S251,I251,J251)*SA!$B$12</f>
        <v>1394.7010754672544</v>
      </c>
      <c r="Y251" s="16">
        <f>Transportation_LCIA!C$61*($W251^Transportation_LCIA!C$60)+Transportation_LCIA!C$62</f>
        <v>0.20541169071553828</v>
      </c>
      <c r="Z251" s="16">
        <f>Transportation_LCIA!D$61*($W251^Transportation_LCIA!D$60)+Transportation_LCIA!D$62</f>
        <v>2.0721352010636895</v>
      </c>
      <c r="AA251" s="16">
        <f>Transportation_LCIA!E$61*($W251^Transportation_LCIA!E$60)+Transportation_LCIA!E$62</f>
        <v>9.1238963377472367E-4</v>
      </c>
      <c r="AB251" s="16">
        <f>Transportation_LCIA!F$61*($W251^Transportation_LCIA!F$60)+Transportation_LCIA!F$62</f>
        <v>0.20541169071553828</v>
      </c>
      <c r="AC251" s="16">
        <f>Transportation_LCIA!G$61*($W251^Transportation_LCIA!G$60)+Transportation_LCIA!G$62</f>
        <v>4.8509327483629391E-2</v>
      </c>
      <c r="AD251" s="16">
        <f>Transportation_LCIA!H$61*($W251^Transportation_LCIA!H$60)+Transportation_LCIA!H$62</f>
        <v>2.2599378016231362E-4</v>
      </c>
      <c r="AE251" s="16">
        <f>Transportation_LCIA!I$61*($W251^Transportation_LCIA!I$60)+Transportation_LCIA!I$62</f>
        <v>4.6491421751201883E-6</v>
      </c>
      <c r="AF251" s="16">
        <f>Transportation_LCIA!J$61*($W251^Transportation_LCIA!J$60)+Transportation_LCIA!J$62</f>
        <v>6.8769243409976324E-3</v>
      </c>
      <c r="AG251" s="16">
        <f>Transportation_LCIA!K$61*($W251^Transportation_LCIA!K$60)+Transportation_LCIA!K$62</f>
        <v>1.0154626692609268E-2</v>
      </c>
      <c r="AH251" s="16">
        <f>Transportation_LCIA!L$61*($W251^Transportation_LCIA!L$60)+Transportation_LCIA!L$62</f>
        <v>1.9325951793727536E-4</v>
      </c>
      <c r="AI251" s="16">
        <f>Transportation_LCIA!M$61*($W251^Transportation_LCIA!M$60)+Transportation_LCIA!M$62</f>
        <v>2.1557662085587944E-4</v>
      </c>
      <c r="AJ251" s="16">
        <f>Transportation_LCIA!N$61*($W251^Transportation_LCIA!N$60)+Transportation_LCIA!N$62</f>
        <v>8.1896071080382658E-4</v>
      </c>
      <c r="AK251" s="16">
        <f>Transportation_LCIA!O$61*($W251^Transportation_LCIA!O$60)+Transportation_LCIA!O$62</f>
        <v>5.1213070403790544E-5</v>
      </c>
      <c r="AL251" s="16">
        <f>Transportation_LCIA!P$61*($W251^Transportation_LCIA!P$60)+Transportation_LCIA!P$62</f>
        <v>2.4789436903819814E-8</v>
      </c>
      <c r="AM251" s="16">
        <f>Transportation_LCIA!Q$61*($W251^Transportation_LCIA!Q$60)+Transportation_LCIA!Q$62</f>
        <v>7.6742684464983015E-5</v>
      </c>
      <c r="AN251" s="16">
        <f>Transportation_LCIA!R$61*($W251^Transportation_LCIA!R$60)+Transportation_LCIA!R$62</f>
        <v>2.2379243548062238E-4</v>
      </c>
      <c r="AO251" s="16">
        <f>Transportation_LCIA!S$61*($W251^Transportation_LCIA!S$60)+Transportation_LCIA!S$62</f>
        <v>3.4332930346487986E-6</v>
      </c>
      <c r="AP251" s="16">
        <f>Transportation_LCIA!T$61*($W251^Transportation_LCIA!T$60)+Transportation_LCIA!T$62</f>
        <v>3.4332930346487986E-6</v>
      </c>
      <c r="AQ251" s="16">
        <f>Transportation_LCIA!U$61*($W251^Transportation_LCIA!U$60)+Transportation_LCIA!U$62</f>
        <v>4.7763432067623047E-4</v>
      </c>
      <c r="AR251" s="16">
        <f>Transportation_LCIA!V$61*($W251^Transportation_LCIA!V$60)+Transportation_LCIA!V$62</f>
        <v>1.9962357996669805E-4</v>
      </c>
      <c r="AT251" s="16">
        <f>$W251*Y251+($L251)*Summary_LCIA!H$32</f>
        <v>317.7675153545083</v>
      </c>
      <c r="AU251" s="16">
        <f>$W251*Z251+($L251)*Summary_LCIA!Q$32</f>
        <v>3346.2285039460326</v>
      </c>
      <c r="AV251" s="16">
        <f>$W251*AA251+($L251)*Summary_LCIA!R$32</f>
        <v>1.7572250802707814</v>
      </c>
      <c r="AW251" s="16">
        <f>$W251*AB251+($L251)*Summary_LCIA!S$32</f>
        <v>317.36064109450825</v>
      </c>
      <c r="AX251" s="16">
        <f>$W251*AC251+($L251)*Summary_LCIA!T$32</f>
        <v>77.772635911611161</v>
      </c>
      <c r="AY251" s="16">
        <f>$W251*AD251+($L251)*Summary_LCIA!U$32</f>
        <v>1.9642312102412889</v>
      </c>
      <c r="AZ251" s="16">
        <f>$W251*AE251+($L251)*Summary_LCIA!V$32</f>
        <v>1.0880706924640297E-2</v>
      </c>
      <c r="BA251" s="16">
        <f>$W251*AF251+($L251)*Summary_LCIA!W$32</f>
        <v>16.676665237296337</v>
      </c>
      <c r="BB251" s="16">
        <f>$W251*AG251+($L251)*Summary_LCIA!X$32</f>
        <v>16.259636109150637</v>
      </c>
      <c r="BC251" s="16">
        <f>$W251*AH251+($L251)*Summary_LCIA!Y$32</f>
        <v>1.7039091035114011</v>
      </c>
      <c r="BD251" s="16">
        <f>$W251*AI251+($L251)*Summary_LCIA!Z$32</f>
        <v>0.3044399464302916</v>
      </c>
      <c r="BE251" s="16">
        <f>$W251*AJ251+($L251)*Summary_LCIA!AA$32</f>
        <v>3.2921952521235234</v>
      </c>
      <c r="BF251" s="16">
        <f>$W251*AK251+($L251)*Summary_LCIA!AB$32</f>
        <v>6.9418051751146889E-2</v>
      </c>
      <c r="BG251" s="16">
        <f>$W251*AL251+($L251)*Summary_LCIA!AC$32</f>
        <v>3.9073773161985142E-5</v>
      </c>
      <c r="BH251" s="16">
        <f>$W251*AM251+($L251)*Summary_LCIA!AD$32</f>
        <v>0.14487056967755596</v>
      </c>
      <c r="BI251" s="16">
        <f>$W251*AN251+($L251)*Summary_LCIA!AE$32</f>
        <v>0.39369447533626017</v>
      </c>
      <c r="BJ251" s="16">
        <f>$W251*AO251+($L251)*Summary_LCIA!AF$32</f>
        <v>8.2611864747818911E-2</v>
      </c>
      <c r="BK251" s="16">
        <f>$W251*AP251+($L251)*Summary_LCIA!AG$32</f>
        <v>9.4983092328189134E-3</v>
      </c>
      <c r="BL251" s="16">
        <f>$W251*AQ251+($L251)*Summary_LCIA!AH$32</f>
        <v>1.4673495915272101</v>
      </c>
      <c r="BM251" s="16">
        <f>$W251*AR251+($L251)*Summary_LCIA!AI$32</f>
        <v>0.36416719381817719</v>
      </c>
      <c r="BN251" s="16"/>
    </row>
    <row r="252" spans="1:66" x14ac:dyDescent="0.25">
      <c r="A252" s="159">
        <v>84</v>
      </c>
      <c r="B252" s="159">
        <v>6</v>
      </c>
      <c r="C252" s="45">
        <v>43.110801000000002</v>
      </c>
      <c r="D252" s="45">
        <v>-70.750540000000001</v>
      </c>
      <c r="E252" s="45" t="s">
        <v>265</v>
      </c>
      <c r="F252" s="159">
        <v>53</v>
      </c>
      <c r="G252" s="45" t="s">
        <v>565</v>
      </c>
      <c r="H252" s="45" t="s">
        <v>634</v>
      </c>
      <c r="I252" s="45">
        <v>42.365613000000003</v>
      </c>
      <c r="J252" s="45">
        <v>-71.009559999999993</v>
      </c>
      <c r="K252" s="45">
        <v>116.9533083</v>
      </c>
      <c r="L252" s="45">
        <v>92.052999999999997</v>
      </c>
      <c r="M252" s="45" t="s">
        <v>617</v>
      </c>
      <c r="N252" s="159">
        <v>5</v>
      </c>
      <c r="O252" s="159">
        <v>6</v>
      </c>
      <c r="P252" s="45" t="s">
        <v>565</v>
      </c>
      <c r="Q252" s="45" t="s">
        <v>564</v>
      </c>
      <c r="R252" s="45">
        <v>41.98028</v>
      </c>
      <c r="S252" s="45">
        <v>-87.908997900000003</v>
      </c>
      <c r="T252" s="45">
        <v>1689.953</v>
      </c>
      <c r="U252" s="45" t="s">
        <v>617</v>
      </c>
      <c r="V252" s="45" t="s">
        <v>569</v>
      </c>
      <c r="W252" s="45" cm="1">
        <f t="array" ref="W252">getDistance(R252,S252,I252,J252)*SA!$B$12</f>
        <v>1394.7010754672544</v>
      </c>
      <c r="Y252" s="16">
        <f>Transportation_LCIA!C$61*($W252^Transportation_LCIA!C$60)+Transportation_LCIA!C$62</f>
        <v>0.20541169071553828</v>
      </c>
      <c r="Z252" s="16">
        <f>Transportation_LCIA!D$61*($W252^Transportation_LCIA!D$60)+Transportation_LCIA!D$62</f>
        <v>2.0721352010636895</v>
      </c>
      <c r="AA252" s="16">
        <f>Transportation_LCIA!E$61*($W252^Transportation_LCIA!E$60)+Transportation_LCIA!E$62</f>
        <v>9.1238963377472367E-4</v>
      </c>
      <c r="AB252" s="16">
        <f>Transportation_LCIA!F$61*($W252^Transportation_LCIA!F$60)+Transportation_LCIA!F$62</f>
        <v>0.20541169071553828</v>
      </c>
      <c r="AC252" s="16">
        <f>Transportation_LCIA!G$61*($W252^Transportation_LCIA!G$60)+Transportation_LCIA!G$62</f>
        <v>4.8509327483629391E-2</v>
      </c>
      <c r="AD252" s="16">
        <f>Transportation_LCIA!H$61*($W252^Transportation_LCIA!H$60)+Transportation_LCIA!H$62</f>
        <v>2.2599378016231362E-4</v>
      </c>
      <c r="AE252" s="16">
        <f>Transportation_LCIA!I$61*($W252^Transportation_LCIA!I$60)+Transportation_LCIA!I$62</f>
        <v>4.6491421751201883E-6</v>
      </c>
      <c r="AF252" s="16">
        <f>Transportation_LCIA!J$61*($W252^Transportation_LCIA!J$60)+Transportation_LCIA!J$62</f>
        <v>6.8769243409976324E-3</v>
      </c>
      <c r="AG252" s="16">
        <f>Transportation_LCIA!K$61*($W252^Transportation_LCIA!K$60)+Transportation_LCIA!K$62</f>
        <v>1.0154626692609268E-2</v>
      </c>
      <c r="AH252" s="16">
        <f>Transportation_LCIA!L$61*($W252^Transportation_LCIA!L$60)+Transportation_LCIA!L$62</f>
        <v>1.9325951793727536E-4</v>
      </c>
      <c r="AI252" s="16">
        <f>Transportation_LCIA!M$61*($W252^Transportation_LCIA!M$60)+Transportation_LCIA!M$62</f>
        <v>2.1557662085587944E-4</v>
      </c>
      <c r="AJ252" s="16">
        <f>Transportation_LCIA!N$61*($W252^Transportation_LCIA!N$60)+Transportation_LCIA!N$62</f>
        <v>8.1896071080382658E-4</v>
      </c>
      <c r="AK252" s="16">
        <f>Transportation_LCIA!O$61*($W252^Transportation_LCIA!O$60)+Transportation_LCIA!O$62</f>
        <v>5.1213070403790544E-5</v>
      </c>
      <c r="AL252" s="16">
        <f>Transportation_LCIA!P$61*($W252^Transportation_LCIA!P$60)+Transportation_LCIA!P$62</f>
        <v>2.4789436903819814E-8</v>
      </c>
      <c r="AM252" s="16">
        <f>Transportation_LCIA!Q$61*($W252^Transportation_LCIA!Q$60)+Transportation_LCIA!Q$62</f>
        <v>7.6742684464983015E-5</v>
      </c>
      <c r="AN252" s="16">
        <f>Transportation_LCIA!R$61*($W252^Transportation_LCIA!R$60)+Transportation_LCIA!R$62</f>
        <v>2.2379243548062238E-4</v>
      </c>
      <c r="AO252" s="16">
        <f>Transportation_LCIA!S$61*($W252^Transportation_LCIA!S$60)+Transportation_LCIA!S$62</f>
        <v>3.4332930346487986E-6</v>
      </c>
      <c r="AP252" s="16">
        <f>Transportation_LCIA!T$61*($W252^Transportation_LCIA!T$60)+Transportation_LCIA!T$62</f>
        <v>3.4332930346487986E-6</v>
      </c>
      <c r="AQ252" s="16">
        <f>Transportation_LCIA!U$61*($W252^Transportation_LCIA!U$60)+Transportation_LCIA!U$62</f>
        <v>4.7763432067623047E-4</v>
      </c>
      <c r="AR252" s="16">
        <f>Transportation_LCIA!V$61*($W252^Transportation_LCIA!V$60)+Transportation_LCIA!V$62</f>
        <v>1.9962357996669805E-4</v>
      </c>
      <c r="AT252" s="16">
        <f>$W252*Y252+($L252)*Summary_LCIA!H$32</f>
        <v>317.7675153545083</v>
      </c>
      <c r="AU252" s="16">
        <f>$W252*Z252+($L252)*Summary_LCIA!Q$32</f>
        <v>3346.2285039460326</v>
      </c>
      <c r="AV252" s="16">
        <f>$W252*AA252+($L252)*Summary_LCIA!R$32</f>
        <v>1.7572250802707814</v>
      </c>
      <c r="AW252" s="16">
        <f>$W252*AB252+($L252)*Summary_LCIA!S$32</f>
        <v>317.36064109450825</v>
      </c>
      <c r="AX252" s="16">
        <f>$W252*AC252+($L252)*Summary_LCIA!T$32</f>
        <v>77.772635911611161</v>
      </c>
      <c r="AY252" s="16">
        <f>$W252*AD252+($L252)*Summary_LCIA!U$32</f>
        <v>1.9642312102412889</v>
      </c>
      <c r="AZ252" s="16">
        <f>$W252*AE252+($L252)*Summary_LCIA!V$32</f>
        <v>1.0880706924640297E-2</v>
      </c>
      <c r="BA252" s="16">
        <f>$W252*AF252+($L252)*Summary_LCIA!W$32</f>
        <v>16.676665237296337</v>
      </c>
      <c r="BB252" s="16">
        <f>$W252*AG252+($L252)*Summary_LCIA!X$32</f>
        <v>16.259636109150637</v>
      </c>
      <c r="BC252" s="16">
        <f>$W252*AH252+($L252)*Summary_LCIA!Y$32</f>
        <v>1.7039091035114011</v>
      </c>
      <c r="BD252" s="16">
        <f>$W252*AI252+($L252)*Summary_LCIA!Z$32</f>
        <v>0.3044399464302916</v>
      </c>
      <c r="BE252" s="16">
        <f>$W252*AJ252+($L252)*Summary_LCIA!AA$32</f>
        <v>3.2921952521235234</v>
      </c>
      <c r="BF252" s="16">
        <f>$W252*AK252+($L252)*Summary_LCIA!AB$32</f>
        <v>6.9418051751146889E-2</v>
      </c>
      <c r="BG252" s="16">
        <f>$W252*AL252+($L252)*Summary_LCIA!AC$32</f>
        <v>3.9073773161985142E-5</v>
      </c>
      <c r="BH252" s="16">
        <f>$W252*AM252+($L252)*Summary_LCIA!AD$32</f>
        <v>0.14487056967755596</v>
      </c>
      <c r="BI252" s="16">
        <f>$W252*AN252+($L252)*Summary_LCIA!AE$32</f>
        <v>0.39369447533626017</v>
      </c>
      <c r="BJ252" s="16">
        <f>$W252*AO252+($L252)*Summary_LCIA!AF$32</f>
        <v>8.2611864747818911E-2</v>
      </c>
      <c r="BK252" s="16">
        <f>$W252*AP252+($L252)*Summary_LCIA!AG$32</f>
        <v>9.4983092328189134E-3</v>
      </c>
      <c r="BL252" s="16">
        <f>$W252*AQ252+($L252)*Summary_LCIA!AH$32</f>
        <v>1.4673495915272101</v>
      </c>
      <c r="BM252" s="16">
        <f>$W252*AR252+($L252)*Summary_LCIA!AI$32</f>
        <v>0.36416719381817719</v>
      </c>
      <c r="BN252" s="16"/>
    </row>
    <row r="253" spans="1:66" x14ac:dyDescent="0.25">
      <c r="A253" s="159">
        <v>85</v>
      </c>
      <c r="B253" s="159">
        <v>6</v>
      </c>
      <c r="C253" s="45">
        <v>43.110801000000002</v>
      </c>
      <c r="D253" s="45">
        <v>-70.750540000000001</v>
      </c>
      <c r="E253" s="45" t="s">
        <v>265</v>
      </c>
      <c r="F253" s="159">
        <v>53</v>
      </c>
      <c r="G253" s="45" t="s">
        <v>565</v>
      </c>
      <c r="H253" s="45" t="s">
        <v>634</v>
      </c>
      <c r="I253" s="45">
        <v>42.365613000000003</v>
      </c>
      <c r="J253" s="45">
        <v>-71.009559999999993</v>
      </c>
      <c r="K253" s="45">
        <v>116.9533083</v>
      </c>
      <c r="L253" s="45">
        <v>92.052999999999997</v>
      </c>
      <c r="M253" s="45" t="s">
        <v>617</v>
      </c>
      <c r="N253" s="159">
        <v>5</v>
      </c>
      <c r="O253" s="159">
        <v>6</v>
      </c>
      <c r="P253" s="45" t="s">
        <v>565</v>
      </c>
      <c r="Q253" s="45" t="s">
        <v>564</v>
      </c>
      <c r="R253" s="45">
        <v>41.98028</v>
      </c>
      <c r="S253" s="45">
        <v>-87.908997900000003</v>
      </c>
      <c r="T253" s="45">
        <v>1689.953</v>
      </c>
      <c r="U253" s="45" t="s">
        <v>617</v>
      </c>
      <c r="V253" s="45" t="s">
        <v>569</v>
      </c>
      <c r="W253" s="45" cm="1">
        <f t="array" ref="W253">getDistance(R253,S253,I253,J253)*SA!$B$12</f>
        <v>1394.7010754672544</v>
      </c>
      <c r="Y253" s="16">
        <f>Transportation_LCIA!C$61*($W253^Transportation_LCIA!C$60)+Transportation_LCIA!C$62</f>
        <v>0.20541169071553828</v>
      </c>
      <c r="Z253" s="16">
        <f>Transportation_LCIA!D$61*($W253^Transportation_LCIA!D$60)+Transportation_LCIA!D$62</f>
        <v>2.0721352010636895</v>
      </c>
      <c r="AA253" s="16">
        <f>Transportation_LCIA!E$61*($W253^Transportation_LCIA!E$60)+Transportation_LCIA!E$62</f>
        <v>9.1238963377472367E-4</v>
      </c>
      <c r="AB253" s="16">
        <f>Transportation_LCIA!F$61*($W253^Transportation_LCIA!F$60)+Transportation_LCIA!F$62</f>
        <v>0.20541169071553828</v>
      </c>
      <c r="AC253" s="16">
        <f>Transportation_LCIA!G$61*($W253^Transportation_LCIA!G$60)+Transportation_LCIA!G$62</f>
        <v>4.8509327483629391E-2</v>
      </c>
      <c r="AD253" s="16">
        <f>Transportation_LCIA!H$61*($W253^Transportation_LCIA!H$60)+Transportation_LCIA!H$62</f>
        <v>2.2599378016231362E-4</v>
      </c>
      <c r="AE253" s="16">
        <f>Transportation_LCIA!I$61*($W253^Transportation_LCIA!I$60)+Transportation_LCIA!I$62</f>
        <v>4.6491421751201883E-6</v>
      </c>
      <c r="AF253" s="16">
        <f>Transportation_LCIA!J$61*($W253^Transportation_LCIA!J$60)+Transportation_LCIA!J$62</f>
        <v>6.8769243409976324E-3</v>
      </c>
      <c r="AG253" s="16">
        <f>Transportation_LCIA!K$61*($W253^Transportation_LCIA!K$60)+Transportation_LCIA!K$62</f>
        <v>1.0154626692609268E-2</v>
      </c>
      <c r="AH253" s="16">
        <f>Transportation_LCIA!L$61*($W253^Transportation_LCIA!L$60)+Transportation_LCIA!L$62</f>
        <v>1.9325951793727536E-4</v>
      </c>
      <c r="AI253" s="16">
        <f>Transportation_LCIA!M$61*($W253^Transportation_LCIA!M$60)+Transportation_LCIA!M$62</f>
        <v>2.1557662085587944E-4</v>
      </c>
      <c r="AJ253" s="16">
        <f>Transportation_LCIA!N$61*($W253^Transportation_LCIA!N$60)+Transportation_LCIA!N$62</f>
        <v>8.1896071080382658E-4</v>
      </c>
      <c r="AK253" s="16">
        <f>Transportation_LCIA!O$61*($W253^Transportation_LCIA!O$60)+Transportation_LCIA!O$62</f>
        <v>5.1213070403790544E-5</v>
      </c>
      <c r="AL253" s="16">
        <f>Transportation_LCIA!P$61*($W253^Transportation_LCIA!P$60)+Transportation_LCIA!P$62</f>
        <v>2.4789436903819814E-8</v>
      </c>
      <c r="AM253" s="16">
        <f>Transportation_LCIA!Q$61*($W253^Transportation_LCIA!Q$60)+Transportation_LCIA!Q$62</f>
        <v>7.6742684464983015E-5</v>
      </c>
      <c r="AN253" s="16">
        <f>Transportation_LCIA!R$61*($W253^Transportation_LCIA!R$60)+Transportation_LCIA!R$62</f>
        <v>2.2379243548062238E-4</v>
      </c>
      <c r="AO253" s="16">
        <f>Transportation_LCIA!S$61*($W253^Transportation_LCIA!S$60)+Transportation_LCIA!S$62</f>
        <v>3.4332930346487986E-6</v>
      </c>
      <c r="AP253" s="16">
        <f>Transportation_LCIA!T$61*($W253^Transportation_LCIA!T$60)+Transportation_LCIA!T$62</f>
        <v>3.4332930346487986E-6</v>
      </c>
      <c r="AQ253" s="16">
        <f>Transportation_LCIA!U$61*($W253^Transportation_LCIA!U$60)+Transportation_LCIA!U$62</f>
        <v>4.7763432067623047E-4</v>
      </c>
      <c r="AR253" s="16">
        <f>Transportation_LCIA!V$61*($W253^Transportation_LCIA!V$60)+Transportation_LCIA!V$62</f>
        <v>1.9962357996669805E-4</v>
      </c>
      <c r="AT253" s="16">
        <f>$W253*Y253+($L253)*Summary_LCIA!H$32</f>
        <v>317.7675153545083</v>
      </c>
      <c r="AU253" s="16">
        <f>$W253*Z253+($L253)*Summary_LCIA!Q$32</f>
        <v>3346.2285039460326</v>
      </c>
      <c r="AV253" s="16">
        <f>$W253*AA253+($L253)*Summary_LCIA!R$32</f>
        <v>1.7572250802707814</v>
      </c>
      <c r="AW253" s="16">
        <f>$W253*AB253+($L253)*Summary_LCIA!S$32</f>
        <v>317.36064109450825</v>
      </c>
      <c r="AX253" s="16">
        <f>$W253*AC253+($L253)*Summary_LCIA!T$32</f>
        <v>77.772635911611161</v>
      </c>
      <c r="AY253" s="16">
        <f>$W253*AD253+($L253)*Summary_LCIA!U$32</f>
        <v>1.9642312102412889</v>
      </c>
      <c r="AZ253" s="16">
        <f>$W253*AE253+($L253)*Summary_LCIA!V$32</f>
        <v>1.0880706924640297E-2</v>
      </c>
      <c r="BA253" s="16">
        <f>$W253*AF253+($L253)*Summary_LCIA!W$32</f>
        <v>16.676665237296337</v>
      </c>
      <c r="BB253" s="16">
        <f>$W253*AG253+($L253)*Summary_LCIA!X$32</f>
        <v>16.259636109150637</v>
      </c>
      <c r="BC253" s="16">
        <f>$W253*AH253+($L253)*Summary_LCIA!Y$32</f>
        <v>1.7039091035114011</v>
      </c>
      <c r="BD253" s="16">
        <f>$W253*AI253+($L253)*Summary_LCIA!Z$32</f>
        <v>0.3044399464302916</v>
      </c>
      <c r="BE253" s="16">
        <f>$W253*AJ253+($L253)*Summary_LCIA!AA$32</f>
        <v>3.2921952521235234</v>
      </c>
      <c r="BF253" s="16">
        <f>$W253*AK253+($L253)*Summary_LCIA!AB$32</f>
        <v>6.9418051751146889E-2</v>
      </c>
      <c r="BG253" s="16">
        <f>$W253*AL253+($L253)*Summary_LCIA!AC$32</f>
        <v>3.9073773161985142E-5</v>
      </c>
      <c r="BH253" s="16">
        <f>$W253*AM253+($L253)*Summary_LCIA!AD$32</f>
        <v>0.14487056967755596</v>
      </c>
      <c r="BI253" s="16">
        <f>$W253*AN253+($L253)*Summary_LCIA!AE$32</f>
        <v>0.39369447533626017</v>
      </c>
      <c r="BJ253" s="16">
        <f>$W253*AO253+($L253)*Summary_LCIA!AF$32</f>
        <v>8.2611864747818911E-2</v>
      </c>
      <c r="BK253" s="16">
        <f>$W253*AP253+($L253)*Summary_LCIA!AG$32</f>
        <v>9.4983092328189134E-3</v>
      </c>
      <c r="BL253" s="16">
        <f>$W253*AQ253+($L253)*Summary_LCIA!AH$32</f>
        <v>1.4673495915272101</v>
      </c>
      <c r="BM253" s="16">
        <f>$W253*AR253+($L253)*Summary_LCIA!AI$32</f>
        <v>0.36416719381817719</v>
      </c>
      <c r="BN253" s="16"/>
    </row>
    <row r="254" spans="1:66" x14ac:dyDescent="0.25">
      <c r="A254" s="159">
        <v>86</v>
      </c>
      <c r="B254" s="159">
        <v>6</v>
      </c>
      <c r="C254" s="45">
        <v>43.110801000000002</v>
      </c>
      <c r="D254" s="45">
        <v>-70.750540000000001</v>
      </c>
      <c r="E254" s="45" t="s">
        <v>265</v>
      </c>
      <c r="F254" s="159">
        <v>53</v>
      </c>
      <c r="G254" s="45" t="s">
        <v>565</v>
      </c>
      <c r="H254" s="45" t="s">
        <v>634</v>
      </c>
      <c r="I254" s="45">
        <v>42.365613000000003</v>
      </c>
      <c r="J254" s="45">
        <v>-71.009559999999993</v>
      </c>
      <c r="K254" s="45">
        <v>116.9533083</v>
      </c>
      <c r="L254" s="45">
        <v>92.052999999999997</v>
      </c>
      <c r="M254" s="45" t="s">
        <v>617</v>
      </c>
      <c r="N254" s="159">
        <v>5</v>
      </c>
      <c r="O254" s="159">
        <v>6</v>
      </c>
      <c r="P254" s="45" t="s">
        <v>565</v>
      </c>
      <c r="Q254" s="45" t="s">
        <v>564</v>
      </c>
      <c r="R254" s="45">
        <v>41.98028</v>
      </c>
      <c r="S254" s="45">
        <v>-87.908997900000003</v>
      </c>
      <c r="T254" s="45">
        <v>1689.953</v>
      </c>
      <c r="U254" s="45" t="s">
        <v>617</v>
      </c>
      <c r="V254" s="45" t="s">
        <v>569</v>
      </c>
      <c r="W254" s="45" cm="1">
        <f t="array" ref="W254">getDistance(R254,S254,I254,J254)*SA!$B$12</f>
        <v>1394.7010754672544</v>
      </c>
      <c r="Y254" s="16">
        <f>Transportation_LCIA!C$61*($W254^Transportation_LCIA!C$60)+Transportation_LCIA!C$62</f>
        <v>0.20541169071553828</v>
      </c>
      <c r="Z254" s="16">
        <f>Transportation_LCIA!D$61*($W254^Transportation_LCIA!D$60)+Transportation_LCIA!D$62</f>
        <v>2.0721352010636895</v>
      </c>
      <c r="AA254" s="16">
        <f>Transportation_LCIA!E$61*($W254^Transportation_LCIA!E$60)+Transportation_LCIA!E$62</f>
        <v>9.1238963377472367E-4</v>
      </c>
      <c r="AB254" s="16">
        <f>Transportation_LCIA!F$61*($W254^Transportation_LCIA!F$60)+Transportation_LCIA!F$62</f>
        <v>0.20541169071553828</v>
      </c>
      <c r="AC254" s="16">
        <f>Transportation_LCIA!G$61*($W254^Transportation_LCIA!G$60)+Transportation_LCIA!G$62</f>
        <v>4.8509327483629391E-2</v>
      </c>
      <c r="AD254" s="16">
        <f>Transportation_LCIA!H$61*($W254^Transportation_LCIA!H$60)+Transportation_LCIA!H$62</f>
        <v>2.2599378016231362E-4</v>
      </c>
      <c r="AE254" s="16">
        <f>Transportation_LCIA!I$61*($W254^Transportation_LCIA!I$60)+Transportation_LCIA!I$62</f>
        <v>4.6491421751201883E-6</v>
      </c>
      <c r="AF254" s="16">
        <f>Transportation_LCIA!J$61*($W254^Transportation_LCIA!J$60)+Transportation_LCIA!J$62</f>
        <v>6.8769243409976324E-3</v>
      </c>
      <c r="AG254" s="16">
        <f>Transportation_LCIA!K$61*($W254^Transportation_LCIA!K$60)+Transportation_LCIA!K$62</f>
        <v>1.0154626692609268E-2</v>
      </c>
      <c r="AH254" s="16">
        <f>Transportation_LCIA!L$61*($W254^Transportation_LCIA!L$60)+Transportation_LCIA!L$62</f>
        <v>1.9325951793727536E-4</v>
      </c>
      <c r="AI254" s="16">
        <f>Transportation_LCIA!M$61*($W254^Transportation_LCIA!M$60)+Transportation_LCIA!M$62</f>
        <v>2.1557662085587944E-4</v>
      </c>
      <c r="AJ254" s="16">
        <f>Transportation_LCIA!N$61*($W254^Transportation_LCIA!N$60)+Transportation_LCIA!N$62</f>
        <v>8.1896071080382658E-4</v>
      </c>
      <c r="AK254" s="16">
        <f>Transportation_LCIA!O$61*($W254^Transportation_LCIA!O$60)+Transportation_LCIA!O$62</f>
        <v>5.1213070403790544E-5</v>
      </c>
      <c r="AL254" s="16">
        <f>Transportation_LCIA!P$61*($W254^Transportation_LCIA!P$60)+Transportation_LCIA!P$62</f>
        <v>2.4789436903819814E-8</v>
      </c>
      <c r="AM254" s="16">
        <f>Transportation_LCIA!Q$61*($W254^Transportation_LCIA!Q$60)+Transportation_LCIA!Q$62</f>
        <v>7.6742684464983015E-5</v>
      </c>
      <c r="AN254" s="16">
        <f>Transportation_LCIA!R$61*($W254^Transportation_LCIA!R$60)+Transportation_LCIA!R$62</f>
        <v>2.2379243548062238E-4</v>
      </c>
      <c r="AO254" s="16">
        <f>Transportation_LCIA!S$61*($W254^Transportation_LCIA!S$60)+Transportation_LCIA!S$62</f>
        <v>3.4332930346487986E-6</v>
      </c>
      <c r="AP254" s="16">
        <f>Transportation_LCIA!T$61*($W254^Transportation_LCIA!T$60)+Transportation_LCIA!T$62</f>
        <v>3.4332930346487986E-6</v>
      </c>
      <c r="AQ254" s="16">
        <f>Transportation_LCIA!U$61*($W254^Transportation_LCIA!U$60)+Transportation_LCIA!U$62</f>
        <v>4.7763432067623047E-4</v>
      </c>
      <c r="AR254" s="16">
        <f>Transportation_LCIA!V$61*($W254^Transportation_LCIA!V$60)+Transportation_LCIA!V$62</f>
        <v>1.9962357996669805E-4</v>
      </c>
      <c r="AT254" s="16">
        <f>$W254*Y254+($L254)*Summary_LCIA!H$32</f>
        <v>317.7675153545083</v>
      </c>
      <c r="AU254" s="16">
        <f>$W254*Z254+($L254)*Summary_LCIA!Q$32</f>
        <v>3346.2285039460326</v>
      </c>
      <c r="AV254" s="16">
        <f>$W254*AA254+($L254)*Summary_LCIA!R$32</f>
        <v>1.7572250802707814</v>
      </c>
      <c r="AW254" s="16">
        <f>$W254*AB254+($L254)*Summary_LCIA!S$32</f>
        <v>317.36064109450825</v>
      </c>
      <c r="AX254" s="16">
        <f>$W254*AC254+($L254)*Summary_LCIA!T$32</f>
        <v>77.772635911611161</v>
      </c>
      <c r="AY254" s="16">
        <f>$W254*AD254+($L254)*Summary_LCIA!U$32</f>
        <v>1.9642312102412889</v>
      </c>
      <c r="AZ254" s="16">
        <f>$W254*AE254+($L254)*Summary_LCIA!V$32</f>
        <v>1.0880706924640297E-2</v>
      </c>
      <c r="BA254" s="16">
        <f>$W254*AF254+($L254)*Summary_LCIA!W$32</f>
        <v>16.676665237296337</v>
      </c>
      <c r="BB254" s="16">
        <f>$W254*AG254+($L254)*Summary_LCIA!X$32</f>
        <v>16.259636109150637</v>
      </c>
      <c r="BC254" s="16">
        <f>$W254*AH254+($L254)*Summary_LCIA!Y$32</f>
        <v>1.7039091035114011</v>
      </c>
      <c r="BD254" s="16">
        <f>$W254*AI254+($L254)*Summary_LCIA!Z$32</f>
        <v>0.3044399464302916</v>
      </c>
      <c r="BE254" s="16">
        <f>$W254*AJ254+($L254)*Summary_LCIA!AA$32</f>
        <v>3.2921952521235234</v>
      </c>
      <c r="BF254" s="16">
        <f>$W254*AK254+($L254)*Summary_LCIA!AB$32</f>
        <v>6.9418051751146889E-2</v>
      </c>
      <c r="BG254" s="16">
        <f>$W254*AL254+($L254)*Summary_LCIA!AC$32</f>
        <v>3.9073773161985142E-5</v>
      </c>
      <c r="BH254" s="16">
        <f>$W254*AM254+($L254)*Summary_LCIA!AD$32</f>
        <v>0.14487056967755596</v>
      </c>
      <c r="BI254" s="16">
        <f>$W254*AN254+($L254)*Summary_LCIA!AE$32</f>
        <v>0.39369447533626017</v>
      </c>
      <c r="BJ254" s="16">
        <f>$W254*AO254+($L254)*Summary_LCIA!AF$32</f>
        <v>8.2611864747818911E-2</v>
      </c>
      <c r="BK254" s="16">
        <f>$W254*AP254+($L254)*Summary_LCIA!AG$32</f>
        <v>9.4983092328189134E-3</v>
      </c>
      <c r="BL254" s="16">
        <f>$W254*AQ254+($L254)*Summary_LCIA!AH$32</f>
        <v>1.4673495915272101</v>
      </c>
      <c r="BM254" s="16">
        <f>$W254*AR254+($L254)*Summary_LCIA!AI$32</f>
        <v>0.36416719381817719</v>
      </c>
      <c r="BN254" s="16"/>
    </row>
    <row r="255" spans="1:66" x14ac:dyDescent="0.25">
      <c r="A255" s="159">
        <v>87</v>
      </c>
      <c r="B255" s="159">
        <v>6</v>
      </c>
      <c r="C255" s="45">
        <v>43.110801000000002</v>
      </c>
      <c r="D255" s="45">
        <v>-70.750540000000001</v>
      </c>
      <c r="E255" s="45" t="s">
        <v>265</v>
      </c>
      <c r="F255" s="159">
        <v>53</v>
      </c>
      <c r="G255" s="45" t="s">
        <v>565</v>
      </c>
      <c r="H255" s="45" t="s">
        <v>634</v>
      </c>
      <c r="I255" s="45">
        <v>42.365613000000003</v>
      </c>
      <c r="J255" s="45">
        <v>-71.009559999999993</v>
      </c>
      <c r="K255" s="45">
        <v>116.9533083</v>
      </c>
      <c r="L255" s="45">
        <v>92.052999999999997</v>
      </c>
      <c r="M255" s="45" t="s">
        <v>617</v>
      </c>
      <c r="N255" s="159">
        <v>5</v>
      </c>
      <c r="O255" s="159">
        <v>6</v>
      </c>
      <c r="P255" s="45" t="s">
        <v>565</v>
      </c>
      <c r="Q255" s="45" t="s">
        <v>564</v>
      </c>
      <c r="R255" s="45">
        <v>41.98028</v>
      </c>
      <c r="S255" s="45">
        <v>-87.908997900000003</v>
      </c>
      <c r="T255" s="45">
        <v>1689.953</v>
      </c>
      <c r="U255" s="45" t="s">
        <v>617</v>
      </c>
      <c r="V255" s="45" t="s">
        <v>569</v>
      </c>
      <c r="W255" s="45" cm="1">
        <f t="array" ref="W255">getDistance(R255,S255,I255,J255)*SA!$B$12</f>
        <v>1394.7010754672544</v>
      </c>
      <c r="Y255" s="16">
        <f>Transportation_LCIA!C$61*($W255^Transportation_LCIA!C$60)+Transportation_LCIA!C$62</f>
        <v>0.20541169071553828</v>
      </c>
      <c r="Z255" s="16">
        <f>Transportation_LCIA!D$61*($W255^Transportation_LCIA!D$60)+Transportation_LCIA!D$62</f>
        <v>2.0721352010636895</v>
      </c>
      <c r="AA255" s="16">
        <f>Transportation_LCIA!E$61*($W255^Transportation_LCIA!E$60)+Transportation_LCIA!E$62</f>
        <v>9.1238963377472367E-4</v>
      </c>
      <c r="AB255" s="16">
        <f>Transportation_LCIA!F$61*($W255^Transportation_LCIA!F$60)+Transportation_LCIA!F$62</f>
        <v>0.20541169071553828</v>
      </c>
      <c r="AC255" s="16">
        <f>Transportation_LCIA!G$61*($W255^Transportation_LCIA!G$60)+Transportation_LCIA!G$62</f>
        <v>4.8509327483629391E-2</v>
      </c>
      <c r="AD255" s="16">
        <f>Transportation_LCIA!H$61*($W255^Transportation_LCIA!H$60)+Transportation_LCIA!H$62</f>
        <v>2.2599378016231362E-4</v>
      </c>
      <c r="AE255" s="16">
        <f>Transportation_LCIA!I$61*($W255^Transportation_LCIA!I$60)+Transportation_LCIA!I$62</f>
        <v>4.6491421751201883E-6</v>
      </c>
      <c r="AF255" s="16">
        <f>Transportation_LCIA!J$61*($W255^Transportation_LCIA!J$60)+Transportation_LCIA!J$62</f>
        <v>6.8769243409976324E-3</v>
      </c>
      <c r="AG255" s="16">
        <f>Transportation_LCIA!K$61*($W255^Transportation_LCIA!K$60)+Transportation_LCIA!K$62</f>
        <v>1.0154626692609268E-2</v>
      </c>
      <c r="AH255" s="16">
        <f>Transportation_LCIA!L$61*($W255^Transportation_LCIA!L$60)+Transportation_LCIA!L$62</f>
        <v>1.9325951793727536E-4</v>
      </c>
      <c r="AI255" s="16">
        <f>Transportation_LCIA!M$61*($W255^Transportation_LCIA!M$60)+Transportation_LCIA!M$62</f>
        <v>2.1557662085587944E-4</v>
      </c>
      <c r="AJ255" s="16">
        <f>Transportation_LCIA!N$61*($W255^Transportation_LCIA!N$60)+Transportation_LCIA!N$62</f>
        <v>8.1896071080382658E-4</v>
      </c>
      <c r="AK255" s="16">
        <f>Transportation_LCIA!O$61*($W255^Transportation_LCIA!O$60)+Transportation_LCIA!O$62</f>
        <v>5.1213070403790544E-5</v>
      </c>
      <c r="AL255" s="16">
        <f>Transportation_LCIA!P$61*($W255^Transportation_LCIA!P$60)+Transportation_LCIA!P$62</f>
        <v>2.4789436903819814E-8</v>
      </c>
      <c r="AM255" s="16">
        <f>Transportation_LCIA!Q$61*($W255^Transportation_LCIA!Q$60)+Transportation_LCIA!Q$62</f>
        <v>7.6742684464983015E-5</v>
      </c>
      <c r="AN255" s="16">
        <f>Transportation_LCIA!R$61*($W255^Transportation_LCIA!R$60)+Transportation_LCIA!R$62</f>
        <v>2.2379243548062238E-4</v>
      </c>
      <c r="AO255" s="16">
        <f>Transportation_LCIA!S$61*($W255^Transportation_LCIA!S$60)+Transportation_LCIA!S$62</f>
        <v>3.4332930346487986E-6</v>
      </c>
      <c r="AP255" s="16">
        <f>Transportation_LCIA!T$61*($W255^Transportation_LCIA!T$60)+Transportation_LCIA!T$62</f>
        <v>3.4332930346487986E-6</v>
      </c>
      <c r="AQ255" s="16">
        <f>Transportation_LCIA!U$61*($W255^Transportation_LCIA!U$60)+Transportation_LCIA!U$62</f>
        <v>4.7763432067623047E-4</v>
      </c>
      <c r="AR255" s="16">
        <f>Transportation_LCIA!V$61*($W255^Transportation_LCIA!V$60)+Transportation_LCIA!V$62</f>
        <v>1.9962357996669805E-4</v>
      </c>
      <c r="AT255" s="16">
        <f>$W255*Y255+($L255)*Summary_LCIA!H$32</f>
        <v>317.7675153545083</v>
      </c>
      <c r="AU255" s="16">
        <f>$W255*Z255+($L255)*Summary_LCIA!Q$32</f>
        <v>3346.2285039460326</v>
      </c>
      <c r="AV255" s="16">
        <f>$W255*AA255+($L255)*Summary_LCIA!R$32</f>
        <v>1.7572250802707814</v>
      </c>
      <c r="AW255" s="16">
        <f>$W255*AB255+($L255)*Summary_LCIA!S$32</f>
        <v>317.36064109450825</v>
      </c>
      <c r="AX255" s="16">
        <f>$W255*AC255+($L255)*Summary_LCIA!T$32</f>
        <v>77.772635911611161</v>
      </c>
      <c r="AY255" s="16">
        <f>$W255*AD255+($L255)*Summary_LCIA!U$32</f>
        <v>1.9642312102412889</v>
      </c>
      <c r="AZ255" s="16">
        <f>$W255*AE255+($L255)*Summary_LCIA!V$32</f>
        <v>1.0880706924640297E-2</v>
      </c>
      <c r="BA255" s="16">
        <f>$W255*AF255+($L255)*Summary_LCIA!W$32</f>
        <v>16.676665237296337</v>
      </c>
      <c r="BB255" s="16">
        <f>$W255*AG255+($L255)*Summary_LCIA!X$32</f>
        <v>16.259636109150637</v>
      </c>
      <c r="BC255" s="16">
        <f>$W255*AH255+($L255)*Summary_LCIA!Y$32</f>
        <v>1.7039091035114011</v>
      </c>
      <c r="BD255" s="16">
        <f>$W255*AI255+($L255)*Summary_LCIA!Z$32</f>
        <v>0.3044399464302916</v>
      </c>
      <c r="BE255" s="16">
        <f>$W255*AJ255+($L255)*Summary_LCIA!AA$32</f>
        <v>3.2921952521235234</v>
      </c>
      <c r="BF255" s="16">
        <f>$W255*AK255+($L255)*Summary_LCIA!AB$32</f>
        <v>6.9418051751146889E-2</v>
      </c>
      <c r="BG255" s="16">
        <f>$W255*AL255+($L255)*Summary_LCIA!AC$32</f>
        <v>3.9073773161985142E-5</v>
      </c>
      <c r="BH255" s="16">
        <f>$W255*AM255+($L255)*Summary_LCIA!AD$32</f>
        <v>0.14487056967755596</v>
      </c>
      <c r="BI255" s="16">
        <f>$W255*AN255+($L255)*Summary_LCIA!AE$32</f>
        <v>0.39369447533626017</v>
      </c>
      <c r="BJ255" s="16">
        <f>$W255*AO255+($L255)*Summary_LCIA!AF$32</f>
        <v>8.2611864747818911E-2</v>
      </c>
      <c r="BK255" s="16">
        <f>$W255*AP255+($L255)*Summary_LCIA!AG$32</f>
        <v>9.4983092328189134E-3</v>
      </c>
      <c r="BL255" s="16">
        <f>$W255*AQ255+($L255)*Summary_LCIA!AH$32</f>
        <v>1.4673495915272101</v>
      </c>
      <c r="BM255" s="16">
        <f>$W255*AR255+($L255)*Summary_LCIA!AI$32</f>
        <v>0.36416719381817719</v>
      </c>
      <c r="BN255" s="16"/>
    </row>
    <row r="256" spans="1:66" x14ac:dyDescent="0.25">
      <c r="A256" s="159">
        <v>88</v>
      </c>
      <c r="B256" s="159">
        <v>6</v>
      </c>
      <c r="C256" s="45">
        <v>43.110801000000002</v>
      </c>
      <c r="D256" s="45">
        <v>-70.750540000000001</v>
      </c>
      <c r="E256" s="45" t="s">
        <v>265</v>
      </c>
      <c r="F256" s="159">
        <v>53</v>
      </c>
      <c r="G256" s="45" t="s">
        <v>565</v>
      </c>
      <c r="H256" s="45" t="s">
        <v>634</v>
      </c>
      <c r="I256" s="45">
        <v>42.365613000000003</v>
      </c>
      <c r="J256" s="45">
        <v>-71.009559999999993</v>
      </c>
      <c r="K256" s="45">
        <v>116.9533083</v>
      </c>
      <c r="L256" s="45">
        <v>92.052999999999997</v>
      </c>
      <c r="M256" s="45" t="s">
        <v>617</v>
      </c>
      <c r="N256" s="159">
        <v>5</v>
      </c>
      <c r="O256" s="159">
        <v>6</v>
      </c>
      <c r="P256" s="45" t="s">
        <v>565</v>
      </c>
      <c r="Q256" s="45" t="s">
        <v>564</v>
      </c>
      <c r="R256" s="45">
        <v>41.98028</v>
      </c>
      <c r="S256" s="45">
        <v>-87.908997900000003</v>
      </c>
      <c r="T256" s="45">
        <v>1689.953</v>
      </c>
      <c r="U256" s="45" t="s">
        <v>617</v>
      </c>
      <c r="V256" s="45" t="s">
        <v>569</v>
      </c>
      <c r="W256" s="45" cm="1">
        <f t="array" ref="W256">getDistance(R256,S256,I256,J256)*SA!$B$12</f>
        <v>1394.7010754672544</v>
      </c>
      <c r="Y256" s="16">
        <f>Transportation_LCIA!C$61*($W256^Transportation_LCIA!C$60)+Transportation_LCIA!C$62</f>
        <v>0.20541169071553828</v>
      </c>
      <c r="Z256" s="16">
        <f>Transportation_LCIA!D$61*($W256^Transportation_LCIA!D$60)+Transportation_LCIA!D$62</f>
        <v>2.0721352010636895</v>
      </c>
      <c r="AA256" s="16">
        <f>Transportation_LCIA!E$61*($W256^Transportation_LCIA!E$60)+Transportation_LCIA!E$62</f>
        <v>9.1238963377472367E-4</v>
      </c>
      <c r="AB256" s="16">
        <f>Transportation_LCIA!F$61*($W256^Transportation_LCIA!F$60)+Transportation_LCIA!F$62</f>
        <v>0.20541169071553828</v>
      </c>
      <c r="AC256" s="16">
        <f>Transportation_LCIA!G$61*($W256^Transportation_LCIA!G$60)+Transportation_LCIA!G$62</f>
        <v>4.8509327483629391E-2</v>
      </c>
      <c r="AD256" s="16">
        <f>Transportation_LCIA!H$61*($W256^Transportation_LCIA!H$60)+Transportation_LCIA!H$62</f>
        <v>2.2599378016231362E-4</v>
      </c>
      <c r="AE256" s="16">
        <f>Transportation_LCIA!I$61*($W256^Transportation_LCIA!I$60)+Transportation_LCIA!I$62</f>
        <v>4.6491421751201883E-6</v>
      </c>
      <c r="AF256" s="16">
        <f>Transportation_LCIA!J$61*($W256^Transportation_LCIA!J$60)+Transportation_LCIA!J$62</f>
        <v>6.8769243409976324E-3</v>
      </c>
      <c r="AG256" s="16">
        <f>Transportation_LCIA!K$61*($W256^Transportation_LCIA!K$60)+Transportation_LCIA!K$62</f>
        <v>1.0154626692609268E-2</v>
      </c>
      <c r="AH256" s="16">
        <f>Transportation_LCIA!L$61*($W256^Transportation_LCIA!L$60)+Transportation_LCIA!L$62</f>
        <v>1.9325951793727536E-4</v>
      </c>
      <c r="AI256" s="16">
        <f>Transportation_LCIA!M$61*($W256^Transportation_LCIA!M$60)+Transportation_LCIA!M$62</f>
        <v>2.1557662085587944E-4</v>
      </c>
      <c r="AJ256" s="16">
        <f>Transportation_LCIA!N$61*($W256^Transportation_LCIA!N$60)+Transportation_LCIA!N$62</f>
        <v>8.1896071080382658E-4</v>
      </c>
      <c r="AK256" s="16">
        <f>Transportation_LCIA!O$61*($W256^Transportation_LCIA!O$60)+Transportation_LCIA!O$62</f>
        <v>5.1213070403790544E-5</v>
      </c>
      <c r="AL256" s="16">
        <f>Transportation_LCIA!P$61*($W256^Transportation_LCIA!P$60)+Transportation_LCIA!P$62</f>
        <v>2.4789436903819814E-8</v>
      </c>
      <c r="AM256" s="16">
        <f>Transportation_LCIA!Q$61*($W256^Transportation_LCIA!Q$60)+Transportation_LCIA!Q$62</f>
        <v>7.6742684464983015E-5</v>
      </c>
      <c r="AN256" s="16">
        <f>Transportation_LCIA!R$61*($W256^Transportation_LCIA!R$60)+Transportation_LCIA!R$62</f>
        <v>2.2379243548062238E-4</v>
      </c>
      <c r="AO256" s="16">
        <f>Transportation_LCIA!S$61*($W256^Transportation_LCIA!S$60)+Transportation_LCIA!S$62</f>
        <v>3.4332930346487986E-6</v>
      </c>
      <c r="AP256" s="16">
        <f>Transportation_LCIA!T$61*($W256^Transportation_LCIA!T$60)+Transportation_LCIA!T$62</f>
        <v>3.4332930346487986E-6</v>
      </c>
      <c r="AQ256" s="16">
        <f>Transportation_LCIA!U$61*($W256^Transportation_LCIA!U$60)+Transportation_LCIA!U$62</f>
        <v>4.7763432067623047E-4</v>
      </c>
      <c r="AR256" s="16">
        <f>Transportation_LCIA!V$61*($W256^Transportation_LCIA!V$60)+Transportation_LCIA!V$62</f>
        <v>1.9962357996669805E-4</v>
      </c>
      <c r="AT256" s="16">
        <f>$W256*Y256+($L256)*Summary_LCIA!H$32</f>
        <v>317.7675153545083</v>
      </c>
      <c r="AU256" s="16">
        <f>$W256*Z256+($L256)*Summary_LCIA!Q$32</f>
        <v>3346.2285039460326</v>
      </c>
      <c r="AV256" s="16">
        <f>$W256*AA256+($L256)*Summary_LCIA!R$32</f>
        <v>1.7572250802707814</v>
      </c>
      <c r="AW256" s="16">
        <f>$W256*AB256+($L256)*Summary_LCIA!S$32</f>
        <v>317.36064109450825</v>
      </c>
      <c r="AX256" s="16">
        <f>$W256*AC256+($L256)*Summary_LCIA!T$32</f>
        <v>77.772635911611161</v>
      </c>
      <c r="AY256" s="16">
        <f>$W256*AD256+($L256)*Summary_LCIA!U$32</f>
        <v>1.9642312102412889</v>
      </c>
      <c r="AZ256" s="16">
        <f>$W256*AE256+($L256)*Summary_LCIA!V$32</f>
        <v>1.0880706924640297E-2</v>
      </c>
      <c r="BA256" s="16">
        <f>$W256*AF256+($L256)*Summary_LCIA!W$32</f>
        <v>16.676665237296337</v>
      </c>
      <c r="BB256" s="16">
        <f>$W256*AG256+($L256)*Summary_LCIA!X$32</f>
        <v>16.259636109150637</v>
      </c>
      <c r="BC256" s="16">
        <f>$W256*AH256+($L256)*Summary_LCIA!Y$32</f>
        <v>1.7039091035114011</v>
      </c>
      <c r="BD256" s="16">
        <f>$W256*AI256+($L256)*Summary_LCIA!Z$32</f>
        <v>0.3044399464302916</v>
      </c>
      <c r="BE256" s="16">
        <f>$W256*AJ256+($L256)*Summary_LCIA!AA$32</f>
        <v>3.2921952521235234</v>
      </c>
      <c r="BF256" s="16">
        <f>$W256*AK256+($L256)*Summary_LCIA!AB$32</f>
        <v>6.9418051751146889E-2</v>
      </c>
      <c r="BG256" s="16">
        <f>$W256*AL256+($L256)*Summary_LCIA!AC$32</f>
        <v>3.9073773161985142E-5</v>
      </c>
      <c r="BH256" s="16">
        <f>$W256*AM256+($L256)*Summary_LCIA!AD$32</f>
        <v>0.14487056967755596</v>
      </c>
      <c r="BI256" s="16">
        <f>$W256*AN256+($L256)*Summary_LCIA!AE$32</f>
        <v>0.39369447533626017</v>
      </c>
      <c r="BJ256" s="16">
        <f>$W256*AO256+($L256)*Summary_LCIA!AF$32</f>
        <v>8.2611864747818911E-2</v>
      </c>
      <c r="BK256" s="16">
        <f>$W256*AP256+($L256)*Summary_LCIA!AG$32</f>
        <v>9.4983092328189134E-3</v>
      </c>
      <c r="BL256" s="16">
        <f>$W256*AQ256+($L256)*Summary_LCIA!AH$32</f>
        <v>1.4673495915272101</v>
      </c>
      <c r="BM256" s="16">
        <f>$W256*AR256+($L256)*Summary_LCIA!AI$32</f>
        <v>0.36416719381817719</v>
      </c>
      <c r="BN256" s="16"/>
    </row>
    <row r="257" spans="1:66" x14ac:dyDescent="0.25">
      <c r="A257" s="159">
        <v>211</v>
      </c>
      <c r="B257" s="159">
        <v>6</v>
      </c>
      <c r="C257" s="45">
        <v>43.197862000000001</v>
      </c>
      <c r="D257" s="45">
        <v>-70.873670000000004</v>
      </c>
      <c r="E257" s="45" t="s">
        <v>265</v>
      </c>
      <c r="F257" s="159">
        <v>53</v>
      </c>
      <c r="G257" s="45" t="s">
        <v>565</v>
      </c>
      <c r="H257" s="45" t="s">
        <v>634</v>
      </c>
      <c r="I257" s="45">
        <v>42.365613000000003</v>
      </c>
      <c r="J257" s="45">
        <v>-71.009559999999993</v>
      </c>
      <c r="K257" s="45">
        <v>127.17130450000001</v>
      </c>
      <c r="L257" s="45">
        <v>104.06699999999999</v>
      </c>
      <c r="M257" s="45" t="s">
        <v>617</v>
      </c>
      <c r="N257" s="159">
        <v>5</v>
      </c>
      <c r="O257" s="159">
        <v>6</v>
      </c>
      <c r="P257" s="45" t="s">
        <v>565</v>
      </c>
      <c r="Q257" s="45" t="s">
        <v>564</v>
      </c>
      <c r="R257" s="45">
        <v>41.98028</v>
      </c>
      <c r="S257" s="45">
        <v>-87.908997900000003</v>
      </c>
      <c r="T257" s="45">
        <v>1701.96</v>
      </c>
      <c r="U257" s="45" t="s">
        <v>617</v>
      </c>
      <c r="V257" s="45" t="s">
        <v>569</v>
      </c>
      <c r="W257" s="45" cm="1">
        <f t="array" ref="W257">getDistance(R257,S257,I257,J257)*SA!$B$12</f>
        <v>1394.7010754672544</v>
      </c>
      <c r="Y257" s="16">
        <f>Transportation_LCIA!C$61*($W257^Transportation_LCIA!C$60)+Transportation_LCIA!C$62</f>
        <v>0.20541169071553828</v>
      </c>
      <c r="Z257" s="16">
        <f>Transportation_LCIA!D$61*($W257^Transportation_LCIA!D$60)+Transportation_LCIA!D$62</f>
        <v>2.0721352010636895</v>
      </c>
      <c r="AA257" s="16">
        <f>Transportation_LCIA!E$61*($W257^Transportation_LCIA!E$60)+Transportation_LCIA!E$62</f>
        <v>9.1238963377472367E-4</v>
      </c>
      <c r="AB257" s="16">
        <f>Transportation_LCIA!F$61*($W257^Transportation_LCIA!F$60)+Transportation_LCIA!F$62</f>
        <v>0.20541169071553828</v>
      </c>
      <c r="AC257" s="16">
        <f>Transportation_LCIA!G$61*($W257^Transportation_LCIA!G$60)+Transportation_LCIA!G$62</f>
        <v>4.8509327483629391E-2</v>
      </c>
      <c r="AD257" s="16">
        <f>Transportation_LCIA!H$61*($W257^Transportation_LCIA!H$60)+Transportation_LCIA!H$62</f>
        <v>2.2599378016231362E-4</v>
      </c>
      <c r="AE257" s="16">
        <f>Transportation_LCIA!I$61*($W257^Transportation_LCIA!I$60)+Transportation_LCIA!I$62</f>
        <v>4.6491421751201883E-6</v>
      </c>
      <c r="AF257" s="16">
        <f>Transportation_LCIA!J$61*($W257^Transportation_LCIA!J$60)+Transportation_LCIA!J$62</f>
        <v>6.8769243409976324E-3</v>
      </c>
      <c r="AG257" s="16">
        <f>Transportation_LCIA!K$61*($W257^Transportation_LCIA!K$60)+Transportation_LCIA!K$62</f>
        <v>1.0154626692609268E-2</v>
      </c>
      <c r="AH257" s="16">
        <f>Transportation_LCIA!L$61*($W257^Transportation_LCIA!L$60)+Transportation_LCIA!L$62</f>
        <v>1.9325951793727536E-4</v>
      </c>
      <c r="AI257" s="16">
        <f>Transportation_LCIA!M$61*($W257^Transportation_LCIA!M$60)+Transportation_LCIA!M$62</f>
        <v>2.1557662085587944E-4</v>
      </c>
      <c r="AJ257" s="16">
        <f>Transportation_LCIA!N$61*($W257^Transportation_LCIA!N$60)+Transportation_LCIA!N$62</f>
        <v>8.1896071080382658E-4</v>
      </c>
      <c r="AK257" s="16">
        <f>Transportation_LCIA!O$61*($W257^Transportation_LCIA!O$60)+Transportation_LCIA!O$62</f>
        <v>5.1213070403790544E-5</v>
      </c>
      <c r="AL257" s="16">
        <f>Transportation_LCIA!P$61*($W257^Transportation_LCIA!P$60)+Transportation_LCIA!P$62</f>
        <v>2.4789436903819814E-8</v>
      </c>
      <c r="AM257" s="16">
        <f>Transportation_LCIA!Q$61*($W257^Transportation_LCIA!Q$60)+Transportation_LCIA!Q$62</f>
        <v>7.6742684464983015E-5</v>
      </c>
      <c r="AN257" s="16">
        <f>Transportation_LCIA!R$61*($W257^Transportation_LCIA!R$60)+Transportation_LCIA!R$62</f>
        <v>2.2379243548062238E-4</v>
      </c>
      <c r="AO257" s="16">
        <f>Transportation_LCIA!S$61*($W257^Transportation_LCIA!S$60)+Transportation_LCIA!S$62</f>
        <v>3.4332930346487986E-6</v>
      </c>
      <c r="AP257" s="16">
        <f>Transportation_LCIA!T$61*($W257^Transportation_LCIA!T$60)+Transportation_LCIA!T$62</f>
        <v>3.4332930346487986E-6</v>
      </c>
      <c r="AQ257" s="16">
        <f>Transportation_LCIA!U$61*($W257^Transportation_LCIA!U$60)+Transportation_LCIA!U$62</f>
        <v>4.7763432067623047E-4</v>
      </c>
      <c r="AR257" s="16">
        <f>Transportation_LCIA!V$61*($W257^Transportation_LCIA!V$60)+Transportation_LCIA!V$62</f>
        <v>1.9962357996669805E-4</v>
      </c>
      <c r="AT257" s="16">
        <f>$W257*Y257+($L257)*Summary_LCIA!H$32</f>
        <v>321.84987255450829</v>
      </c>
      <c r="AU257" s="16">
        <f>$W257*Z257+($L257)*Summary_LCIA!Q$32</f>
        <v>3405.7704938480942</v>
      </c>
      <c r="AV257" s="16">
        <f>$W257*AA257+($L257)*Summary_LCIA!R$32</f>
        <v>1.8204859986707813</v>
      </c>
      <c r="AW257" s="16">
        <f>$W257*AB257+($L257)*Summary_LCIA!S$32</f>
        <v>321.38989641450826</v>
      </c>
      <c r="AX257" s="16">
        <f>$W257*AC257+($L257)*Summary_LCIA!T$32</f>
        <v>79.09297451161116</v>
      </c>
      <c r="AY257" s="16">
        <f>$W257*AD257+($L257)*Summary_LCIA!U$32</f>
        <v>2.1794500062412889</v>
      </c>
      <c r="AZ257" s="16">
        <f>$W257*AE257+($L257)*Summary_LCIA!V$32</f>
        <v>1.1454507578640296E-2</v>
      </c>
      <c r="BA257" s="16">
        <f>$W257*AF257+($L257)*Summary_LCIA!W$32</f>
        <v>17.601394831296336</v>
      </c>
      <c r="BB257" s="16">
        <f>$W257*AG257+($L257)*Summary_LCIA!X$32</f>
        <v>16.533315029150636</v>
      </c>
      <c r="BC257" s="16">
        <f>$W257*AH257+($L257)*Summary_LCIA!Y$32</f>
        <v>1.891111251511401</v>
      </c>
      <c r="BD257" s="16">
        <f>$W257*AI257+($L257)*Summary_LCIA!Z$32</f>
        <v>0.30493262855629161</v>
      </c>
      <c r="BE257" s="16">
        <f>$W257*AJ257+($L257)*Summary_LCIA!AA$32</f>
        <v>3.5727942361235234</v>
      </c>
      <c r="BF257" s="16">
        <f>$W257*AK257+($L257)*Summary_LCIA!AB$32</f>
        <v>6.915587022914689E-2</v>
      </c>
      <c r="BG257" s="16">
        <f>$W257*AL257+($L257)*Summary_LCIA!AC$32</f>
        <v>3.9661065537985139E-5</v>
      </c>
      <c r="BH257" s="16">
        <f>$W257*AM257+($L257)*Summary_LCIA!AD$32</f>
        <v>0.14980880423755596</v>
      </c>
      <c r="BI257" s="16">
        <f>$W257*AN257+($L257)*Summary_LCIA!AE$32</f>
        <v>0.40434044115626017</v>
      </c>
      <c r="BJ257" s="16">
        <f>$W257*AO257+($L257)*Summary_LCIA!AF$32</f>
        <v>9.276874062781891E-2</v>
      </c>
      <c r="BK257" s="16">
        <f>$W257*AP257+($L257)*Summary_LCIA!AG$32</f>
        <v>1.0113005542818913E-2</v>
      </c>
      <c r="BL257" s="16">
        <f>$W257*AQ257+($L257)*Summary_LCIA!AH$32</f>
        <v>1.5719146419272101</v>
      </c>
      <c r="BM257" s="16">
        <f>$W257*AR257+($L257)*Summary_LCIA!AI$32</f>
        <v>0.37535883551817723</v>
      </c>
      <c r="BN257" s="16"/>
    </row>
    <row r="258" spans="1:66" x14ac:dyDescent="0.25">
      <c r="A258" s="159">
        <v>19</v>
      </c>
      <c r="B258" s="159">
        <v>6</v>
      </c>
      <c r="C258" s="45">
        <v>43.183446000000004</v>
      </c>
      <c r="D258" s="45">
        <v>-70.608591000000004</v>
      </c>
      <c r="E258" s="45" t="s">
        <v>265</v>
      </c>
      <c r="F258" s="159">
        <v>53</v>
      </c>
      <c r="G258" s="45" t="s">
        <v>565</v>
      </c>
      <c r="H258" s="45" t="s">
        <v>634</v>
      </c>
      <c r="I258" s="45">
        <v>42.365613000000003</v>
      </c>
      <c r="J258" s="45">
        <v>-71.009559999999993</v>
      </c>
      <c r="K258" s="45">
        <v>131.74496160000001</v>
      </c>
      <c r="L258" s="45">
        <v>107.55800000000001</v>
      </c>
      <c r="M258" s="45" t="s">
        <v>617</v>
      </c>
      <c r="N258" s="159">
        <v>5</v>
      </c>
      <c r="O258" s="159">
        <v>6</v>
      </c>
      <c r="P258" s="45" t="s">
        <v>565</v>
      </c>
      <c r="Q258" s="45" t="s">
        <v>564</v>
      </c>
      <c r="R258" s="45">
        <v>41.98028</v>
      </c>
      <c r="S258" s="45">
        <v>-87.908997900000003</v>
      </c>
      <c r="T258" s="45">
        <v>1705.4590000000001</v>
      </c>
      <c r="U258" s="45" t="s">
        <v>617</v>
      </c>
      <c r="V258" s="45" t="s">
        <v>569</v>
      </c>
      <c r="W258" s="45" cm="1">
        <f t="array" ref="W258">getDistance(R258,S258,I258,J258)*SA!$B$12</f>
        <v>1394.7010754672544</v>
      </c>
      <c r="Y258" s="16">
        <f>Transportation_LCIA!C$61*($W258^Transportation_LCIA!C$60)+Transportation_LCIA!C$62</f>
        <v>0.20541169071553828</v>
      </c>
      <c r="Z258" s="16">
        <f>Transportation_LCIA!D$61*($W258^Transportation_LCIA!D$60)+Transportation_LCIA!D$62</f>
        <v>2.0721352010636895</v>
      </c>
      <c r="AA258" s="16">
        <f>Transportation_LCIA!E$61*($W258^Transportation_LCIA!E$60)+Transportation_LCIA!E$62</f>
        <v>9.1238963377472367E-4</v>
      </c>
      <c r="AB258" s="16">
        <f>Transportation_LCIA!F$61*($W258^Transportation_LCIA!F$60)+Transportation_LCIA!F$62</f>
        <v>0.20541169071553828</v>
      </c>
      <c r="AC258" s="16">
        <f>Transportation_LCIA!G$61*($W258^Transportation_LCIA!G$60)+Transportation_LCIA!G$62</f>
        <v>4.8509327483629391E-2</v>
      </c>
      <c r="AD258" s="16">
        <f>Transportation_LCIA!H$61*($W258^Transportation_LCIA!H$60)+Transportation_LCIA!H$62</f>
        <v>2.2599378016231362E-4</v>
      </c>
      <c r="AE258" s="16">
        <f>Transportation_LCIA!I$61*($W258^Transportation_LCIA!I$60)+Transportation_LCIA!I$62</f>
        <v>4.6491421751201883E-6</v>
      </c>
      <c r="AF258" s="16">
        <f>Transportation_LCIA!J$61*($W258^Transportation_LCIA!J$60)+Transportation_LCIA!J$62</f>
        <v>6.8769243409976324E-3</v>
      </c>
      <c r="AG258" s="16">
        <f>Transportation_LCIA!K$61*($W258^Transportation_LCIA!K$60)+Transportation_LCIA!K$62</f>
        <v>1.0154626692609268E-2</v>
      </c>
      <c r="AH258" s="16">
        <f>Transportation_LCIA!L$61*($W258^Transportation_LCIA!L$60)+Transportation_LCIA!L$62</f>
        <v>1.9325951793727536E-4</v>
      </c>
      <c r="AI258" s="16">
        <f>Transportation_LCIA!M$61*($W258^Transportation_LCIA!M$60)+Transportation_LCIA!M$62</f>
        <v>2.1557662085587944E-4</v>
      </c>
      <c r="AJ258" s="16">
        <f>Transportation_LCIA!N$61*($W258^Transportation_LCIA!N$60)+Transportation_LCIA!N$62</f>
        <v>8.1896071080382658E-4</v>
      </c>
      <c r="AK258" s="16">
        <f>Transportation_LCIA!O$61*($W258^Transportation_LCIA!O$60)+Transportation_LCIA!O$62</f>
        <v>5.1213070403790544E-5</v>
      </c>
      <c r="AL258" s="16">
        <f>Transportation_LCIA!P$61*($W258^Transportation_LCIA!P$60)+Transportation_LCIA!P$62</f>
        <v>2.4789436903819814E-8</v>
      </c>
      <c r="AM258" s="16">
        <f>Transportation_LCIA!Q$61*($W258^Transportation_LCIA!Q$60)+Transportation_LCIA!Q$62</f>
        <v>7.6742684464983015E-5</v>
      </c>
      <c r="AN258" s="16">
        <f>Transportation_LCIA!R$61*($W258^Transportation_LCIA!R$60)+Transportation_LCIA!R$62</f>
        <v>2.2379243548062238E-4</v>
      </c>
      <c r="AO258" s="16">
        <f>Transportation_LCIA!S$61*($W258^Transportation_LCIA!S$60)+Transportation_LCIA!S$62</f>
        <v>3.4332930346487986E-6</v>
      </c>
      <c r="AP258" s="16">
        <f>Transportation_LCIA!T$61*($W258^Transportation_LCIA!T$60)+Transportation_LCIA!T$62</f>
        <v>3.4332930346487986E-6</v>
      </c>
      <c r="AQ258" s="16">
        <f>Transportation_LCIA!U$61*($W258^Transportation_LCIA!U$60)+Transportation_LCIA!U$62</f>
        <v>4.7763432067623047E-4</v>
      </c>
      <c r="AR258" s="16">
        <f>Transportation_LCIA!V$61*($W258^Transportation_LCIA!V$60)+Transportation_LCIA!V$62</f>
        <v>1.9962357996669805E-4</v>
      </c>
      <c r="AT258" s="16">
        <f>$W258*Y258+($L258)*Summary_LCIA!H$32</f>
        <v>323.0361143545083</v>
      </c>
      <c r="AU258" s="16">
        <f>$W258*Z258+($L258)*Summary_LCIA!Q$32</f>
        <v>3423.0720659096974</v>
      </c>
      <c r="AV258" s="16">
        <f>$W258*AA258+($L258)*Summary_LCIA!R$32</f>
        <v>1.8388682082707815</v>
      </c>
      <c r="AW258" s="16">
        <f>$W258*AB258+($L258)*Summary_LCIA!S$32</f>
        <v>322.56070799450828</v>
      </c>
      <c r="AX258" s="16">
        <f>$W258*AC258+($L258)*Summary_LCIA!T$32</f>
        <v>79.476635411611156</v>
      </c>
      <c r="AY258" s="16">
        <f>$W258*AD258+($L258)*Summary_LCIA!U$32</f>
        <v>2.2419877802412893</v>
      </c>
      <c r="AZ258" s="16">
        <f>$W258*AE258+($L258)*Summary_LCIA!V$32</f>
        <v>1.1621241229640297E-2</v>
      </c>
      <c r="BA258" s="16">
        <f>$W258*AF258+($L258)*Summary_LCIA!W$32</f>
        <v>17.870100592296339</v>
      </c>
      <c r="BB258" s="16">
        <f>$W258*AG258+($L258)*Summary_LCIA!X$32</f>
        <v>16.612840009150638</v>
      </c>
      <c r="BC258" s="16">
        <f>$W258*AH258+($L258)*Summary_LCIA!Y$32</f>
        <v>1.9455080135114011</v>
      </c>
      <c r="BD258" s="16">
        <f>$W258*AI258+($L258)*Summary_LCIA!Z$32</f>
        <v>0.30507579097529158</v>
      </c>
      <c r="BE258" s="16">
        <f>$W258*AJ258+($L258)*Summary_LCIA!AA$32</f>
        <v>3.6543300321235241</v>
      </c>
      <c r="BF258" s="16">
        <f>$W258*AK258+($L258)*Summary_LCIA!AB$32</f>
        <v>6.9079686136146887E-2</v>
      </c>
      <c r="BG258" s="16">
        <f>$W258*AL258+($L258)*Summary_LCIA!AC$32</f>
        <v>3.9831719581985142E-5</v>
      </c>
      <c r="BH258" s="16">
        <f>$W258*AM258+($L258)*Summary_LCIA!AD$32</f>
        <v>0.15124374487755599</v>
      </c>
      <c r="BI258" s="16">
        <f>$W258*AN258+($L258)*Summary_LCIA!AE$32</f>
        <v>0.40743392098626019</v>
      </c>
      <c r="BJ258" s="16">
        <f>$W258*AO258+($L258)*Summary_LCIA!AF$32</f>
        <v>9.5720101847818928E-2</v>
      </c>
      <c r="BK258" s="16">
        <f>$W258*AP258+($L258)*Summary_LCIA!AG$32</f>
        <v>1.0291622557818913E-2</v>
      </c>
      <c r="BL258" s="16">
        <f>$W258*AQ258+($L258)*Summary_LCIA!AH$32</f>
        <v>1.6022989095272102</v>
      </c>
      <c r="BM258" s="16">
        <f>$W258*AR258+($L258)*Summary_LCIA!AI$32</f>
        <v>0.37861087656817721</v>
      </c>
      <c r="BN258" s="16"/>
    </row>
    <row r="259" spans="1:66" x14ac:dyDescent="0.25">
      <c r="A259" s="159">
        <v>155</v>
      </c>
      <c r="B259" s="159">
        <v>6</v>
      </c>
      <c r="C259" s="45">
        <v>30.080174</v>
      </c>
      <c r="D259" s="45">
        <v>-94.126555999999994</v>
      </c>
      <c r="E259" s="45" t="s">
        <v>265</v>
      </c>
      <c r="F259" s="159">
        <v>47</v>
      </c>
      <c r="G259" s="45" t="s">
        <v>565</v>
      </c>
      <c r="H259" s="45" t="s">
        <v>688</v>
      </c>
      <c r="I259" s="45">
        <v>29.990220000000001</v>
      </c>
      <c r="J259" s="45">
        <v>-95.336782999999997</v>
      </c>
      <c r="K259" s="45">
        <v>117.32741729999999</v>
      </c>
      <c r="L259" s="45">
        <v>153.17099999999999</v>
      </c>
      <c r="M259" s="45" t="s">
        <v>617</v>
      </c>
      <c r="N259" s="159">
        <v>5</v>
      </c>
      <c r="O259" s="159">
        <v>6</v>
      </c>
      <c r="P259" s="45" t="s">
        <v>565</v>
      </c>
      <c r="Q259" s="45" t="s">
        <v>564</v>
      </c>
      <c r="R259" s="45">
        <v>41.98028</v>
      </c>
      <c r="S259" s="45">
        <v>-87.908997900000003</v>
      </c>
      <c r="T259" s="45">
        <v>1722.44</v>
      </c>
      <c r="U259" s="45" t="s">
        <v>617</v>
      </c>
      <c r="V259" s="45" t="s">
        <v>569</v>
      </c>
      <c r="W259" s="45" cm="1">
        <f t="array" ref="W259">getDistance(R259,S259,I259,J259)*SA!$B$12</f>
        <v>1490.6516068471742</v>
      </c>
      <c r="Y259" s="16">
        <f>Transportation_LCIA!C$61*($W259^Transportation_LCIA!C$60)+Transportation_LCIA!C$62</f>
        <v>0.20033456701279334</v>
      </c>
      <c r="Z259" s="16">
        <f>Transportation_LCIA!D$61*($W259^Transportation_LCIA!D$60)+Transportation_LCIA!D$62</f>
        <v>2.0138295851147205</v>
      </c>
      <c r="AA259" s="16">
        <f>Transportation_LCIA!E$61*($W259^Transportation_LCIA!E$60)+Transportation_LCIA!E$62</f>
        <v>8.742272607546299E-4</v>
      </c>
      <c r="AB259" s="16">
        <f>Transportation_LCIA!F$61*($W259^Transportation_LCIA!F$60)+Transportation_LCIA!F$62</f>
        <v>0.20033456701279334</v>
      </c>
      <c r="AC259" s="16">
        <f>Transportation_LCIA!G$61*($W259^Transportation_LCIA!G$60)+Transportation_LCIA!G$62</f>
        <v>4.7159118271410991E-2</v>
      </c>
      <c r="AD259" s="16">
        <f>Transportation_LCIA!H$61*($W259^Transportation_LCIA!H$60)+Transportation_LCIA!H$62</f>
        <v>2.1767719252658522E-4</v>
      </c>
      <c r="AE259" s="16">
        <f>Transportation_LCIA!I$61*($W259^Transportation_LCIA!I$60)+Transportation_LCIA!I$62</f>
        <v>4.4427712820296799E-6</v>
      </c>
      <c r="AF259" s="16">
        <f>Transportation_LCIA!J$61*($W259^Transportation_LCIA!J$60)+Transportation_LCIA!J$62</f>
        <v>6.5724552990164518E-3</v>
      </c>
      <c r="AG259" s="16">
        <f>Transportation_LCIA!K$61*($W259^Transportation_LCIA!K$60)+Transportation_LCIA!K$62</f>
        <v>9.8419916362103219E-3</v>
      </c>
      <c r="AH259" s="16">
        <f>Transportation_LCIA!L$61*($W259^Transportation_LCIA!L$60)+Transportation_LCIA!L$62</f>
        <v>1.856449884239458E-4</v>
      </c>
      <c r="AI259" s="16">
        <f>Transportation_LCIA!M$61*($W259^Transportation_LCIA!M$60)+Transportation_LCIA!M$62</f>
        <v>2.1098900189273081E-4</v>
      </c>
      <c r="AJ259" s="16">
        <f>Transportation_LCIA!N$61*($W259^Transportation_LCIA!N$60)+Transportation_LCIA!N$62</f>
        <v>7.9096701389764698E-4</v>
      </c>
      <c r="AK259" s="16">
        <f>Transportation_LCIA!O$61*($W259^Transportation_LCIA!O$60)+Transportation_LCIA!O$62</f>
        <v>4.9778932824492302E-5</v>
      </c>
      <c r="AL259" s="16">
        <f>Transportation_LCIA!P$61*($W259^Transportation_LCIA!P$60)+Transportation_LCIA!P$62</f>
        <v>2.4099094262166891E-8</v>
      </c>
      <c r="AM259" s="16">
        <f>Transportation_LCIA!Q$61*($W259^Transportation_LCIA!Q$60)+Transportation_LCIA!Q$62</f>
        <v>7.3771950781714518E-5</v>
      </c>
      <c r="AN259" s="16">
        <f>Transportation_LCIA!R$61*($W259^Transportation_LCIA!R$60)+Transportation_LCIA!R$62</f>
        <v>2.1389977634216263E-4</v>
      </c>
      <c r="AO259" s="16">
        <f>Transportation_LCIA!S$61*($W259^Transportation_LCIA!S$60)+Transportation_LCIA!S$62</f>
        <v>3.2928048480826389E-6</v>
      </c>
      <c r="AP259" s="16">
        <f>Transportation_LCIA!T$61*($W259^Transportation_LCIA!T$60)+Transportation_LCIA!T$62</f>
        <v>3.2928048480826389E-6</v>
      </c>
      <c r="AQ259" s="16">
        <f>Transportation_LCIA!U$61*($W259^Transportation_LCIA!U$60)+Transportation_LCIA!U$62</f>
        <v>4.559986054108007E-4</v>
      </c>
      <c r="AR259" s="16">
        <f>Transportation_LCIA!V$61*($W259^Transportation_LCIA!V$60)+Transportation_LCIA!V$62</f>
        <v>1.9191717787183445E-4</v>
      </c>
      <c r="AT259" s="16">
        <f>$W259*Y259+($L259)*Summary_LCIA!H$32</f>
        <v>350.6765500246533</v>
      </c>
      <c r="AU259" s="16">
        <f>$W259*Z259+($L259)*Summary_LCIA!Q$32</f>
        <v>3761.0415078406795</v>
      </c>
      <c r="AV259" s="16">
        <f>$W259*AA259+($L259)*Summary_LCIA!R$32</f>
        <v>2.1097054885934927</v>
      </c>
      <c r="AW259" s="16">
        <f>$W259*AB259+($L259)*Summary_LCIA!S$32</f>
        <v>349.99953420465329</v>
      </c>
      <c r="AX259" s="16">
        <f>$W259*AC259+($L259)*Summary_LCIA!T$32</f>
        <v>87.131308328774722</v>
      </c>
      <c r="AY259" s="16">
        <f>$W259*AD259+($L259)*Summary_LCIA!U$32</f>
        <v>3.0683861508137356</v>
      </c>
      <c r="AZ259" s="16">
        <f>$W259*AE259+($L259)*Summary_LCIA!V$32</f>
        <v>1.3938224281412021E-2</v>
      </c>
      <c r="BA259" s="16">
        <f>$W259*AF259+($L259)*Summary_LCIA!W$32</f>
        <v>21.586966093410098</v>
      </c>
      <c r="BB259" s="16">
        <f>$W259*AG259+($L259)*Summary_LCIA!X$32</f>
        <v>18.160216027093366</v>
      </c>
      <c r="BC259" s="16">
        <f>$W259*AH259+($L259)*Summary_LCIA!Y$32</f>
        <v>2.66344252229728</v>
      </c>
      <c r="BD259" s="16">
        <f>$W259*AI259+($L259)*Summary_LCIA!Z$32</f>
        <v>0.32079248423748064</v>
      </c>
      <c r="BE259" s="16">
        <f>$W259*AJ259+($L259)*Summary_LCIA!AA$32</f>
        <v>4.7565181262296381</v>
      </c>
      <c r="BF259" s="16">
        <f>$W259*AK259+($L259)*Summary_LCIA!AB$32</f>
        <v>7.0860395468966997E-2</v>
      </c>
      <c r="BG259" s="16">
        <f>$W259*AL259+($L259)*Summary_LCIA!AC$32</f>
        <v>4.3410964749460596E-5</v>
      </c>
      <c r="BH259" s="16">
        <f>$W259*AM259+($L259)*Summary_LCIA!AD$32</f>
        <v>0.1729276848130134</v>
      </c>
      <c r="BI259" s="16">
        <f>$W259*AN259+($L259)*Summary_LCIA!AE$32</f>
        <v>0.45457946353869583</v>
      </c>
      <c r="BJ259" s="16">
        <f>$W259*AO259+($L259)*Summary_LCIA!AF$32</f>
        <v>0.13440225165782854</v>
      </c>
      <c r="BK259" s="16">
        <f>$W259*AP259+($L259)*Summary_LCIA!AG$32</f>
        <v>1.2745419052828551E-2</v>
      </c>
      <c r="BL259" s="16">
        <f>$W259*AQ259+($L259)*Summary_LCIA!AH$32</f>
        <v>2.0128741694756807</v>
      </c>
      <c r="BM259" s="16">
        <f>$W259*AR259+($L259)*Summary_LCIA!AI$32</f>
        <v>0.42876809462622495</v>
      </c>
      <c r="BN259" s="16"/>
    </row>
    <row r="260" spans="1:66" x14ac:dyDescent="0.25">
      <c r="A260" s="159">
        <v>156</v>
      </c>
      <c r="B260" s="159">
        <v>6</v>
      </c>
      <c r="C260" s="45">
        <v>30.080174</v>
      </c>
      <c r="D260" s="45">
        <v>-94.126555999999994</v>
      </c>
      <c r="E260" s="45" t="s">
        <v>265</v>
      </c>
      <c r="F260" s="159">
        <v>47</v>
      </c>
      <c r="G260" s="45" t="s">
        <v>565</v>
      </c>
      <c r="H260" s="45" t="s">
        <v>688</v>
      </c>
      <c r="I260" s="45">
        <v>29.990220000000001</v>
      </c>
      <c r="J260" s="45">
        <v>-95.336782999999997</v>
      </c>
      <c r="K260" s="45">
        <v>117.32741729999999</v>
      </c>
      <c r="L260" s="45">
        <v>153.17099999999999</v>
      </c>
      <c r="M260" s="45" t="s">
        <v>617</v>
      </c>
      <c r="N260" s="159">
        <v>5</v>
      </c>
      <c r="O260" s="159">
        <v>6</v>
      </c>
      <c r="P260" s="45" t="s">
        <v>565</v>
      </c>
      <c r="Q260" s="45" t="s">
        <v>564</v>
      </c>
      <c r="R260" s="45">
        <v>41.98028</v>
      </c>
      <c r="S260" s="45">
        <v>-87.908997900000003</v>
      </c>
      <c r="T260" s="45">
        <v>1722.44</v>
      </c>
      <c r="U260" s="45" t="s">
        <v>617</v>
      </c>
      <c r="V260" s="45" t="s">
        <v>569</v>
      </c>
      <c r="W260" s="45" cm="1">
        <f t="array" ref="W260">getDistance(R260,S260,I260,J260)*SA!$B$12</f>
        <v>1490.6516068471742</v>
      </c>
      <c r="Y260" s="16">
        <f>Transportation_LCIA!C$61*($W260^Transportation_LCIA!C$60)+Transportation_LCIA!C$62</f>
        <v>0.20033456701279334</v>
      </c>
      <c r="Z260" s="16">
        <f>Transportation_LCIA!D$61*($W260^Transportation_LCIA!D$60)+Transportation_LCIA!D$62</f>
        <v>2.0138295851147205</v>
      </c>
      <c r="AA260" s="16">
        <f>Transportation_LCIA!E$61*($W260^Transportation_LCIA!E$60)+Transportation_LCIA!E$62</f>
        <v>8.742272607546299E-4</v>
      </c>
      <c r="AB260" s="16">
        <f>Transportation_LCIA!F$61*($W260^Transportation_LCIA!F$60)+Transportation_LCIA!F$62</f>
        <v>0.20033456701279334</v>
      </c>
      <c r="AC260" s="16">
        <f>Transportation_LCIA!G$61*($W260^Transportation_LCIA!G$60)+Transportation_LCIA!G$62</f>
        <v>4.7159118271410991E-2</v>
      </c>
      <c r="AD260" s="16">
        <f>Transportation_LCIA!H$61*($W260^Transportation_LCIA!H$60)+Transportation_LCIA!H$62</f>
        <v>2.1767719252658522E-4</v>
      </c>
      <c r="AE260" s="16">
        <f>Transportation_LCIA!I$61*($W260^Transportation_LCIA!I$60)+Transportation_LCIA!I$62</f>
        <v>4.4427712820296799E-6</v>
      </c>
      <c r="AF260" s="16">
        <f>Transportation_LCIA!J$61*($W260^Transportation_LCIA!J$60)+Transportation_LCIA!J$62</f>
        <v>6.5724552990164518E-3</v>
      </c>
      <c r="AG260" s="16">
        <f>Transportation_LCIA!K$61*($W260^Transportation_LCIA!K$60)+Transportation_LCIA!K$62</f>
        <v>9.8419916362103219E-3</v>
      </c>
      <c r="AH260" s="16">
        <f>Transportation_LCIA!L$61*($W260^Transportation_LCIA!L$60)+Transportation_LCIA!L$62</f>
        <v>1.856449884239458E-4</v>
      </c>
      <c r="AI260" s="16">
        <f>Transportation_LCIA!M$61*($W260^Transportation_LCIA!M$60)+Transportation_LCIA!M$62</f>
        <v>2.1098900189273081E-4</v>
      </c>
      <c r="AJ260" s="16">
        <f>Transportation_LCIA!N$61*($W260^Transportation_LCIA!N$60)+Transportation_LCIA!N$62</f>
        <v>7.9096701389764698E-4</v>
      </c>
      <c r="AK260" s="16">
        <f>Transportation_LCIA!O$61*($W260^Transportation_LCIA!O$60)+Transportation_LCIA!O$62</f>
        <v>4.9778932824492302E-5</v>
      </c>
      <c r="AL260" s="16">
        <f>Transportation_LCIA!P$61*($W260^Transportation_LCIA!P$60)+Transportation_LCIA!P$62</f>
        <v>2.4099094262166891E-8</v>
      </c>
      <c r="AM260" s="16">
        <f>Transportation_LCIA!Q$61*($W260^Transportation_LCIA!Q$60)+Transportation_LCIA!Q$62</f>
        <v>7.3771950781714518E-5</v>
      </c>
      <c r="AN260" s="16">
        <f>Transportation_LCIA!R$61*($W260^Transportation_LCIA!R$60)+Transportation_LCIA!R$62</f>
        <v>2.1389977634216263E-4</v>
      </c>
      <c r="AO260" s="16">
        <f>Transportation_LCIA!S$61*($W260^Transportation_LCIA!S$60)+Transportation_LCIA!S$62</f>
        <v>3.2928048480826389E-6</v>
      </c>
      <c r="AP260" s="16">
        <f>Transportation_LCIA!T$61*($W260^Transportation_LCIA!T$60)+Transportation_LCIA!T$62</f>
        <v>3.2928048480826389E-6</v>
      </c>
      <c r="AQ260" s="16">
        <f>Transportation_LCIA!U$61*($W260^Transportation_LCIA!U$60)+Transportation_LCIA!U$62</f>
        <v>4.559986054108007E-4</v>
      </c>
      <c r="AR260" s="16">
        <f>Transportation_LCIA!V$61*($W260^Transportation_LCIA!V$60)+Transportation_LCIA!V$62</f>
        <v>1.9191717787183445E-4</v>
      </c>
      <c r="AT260" s="16">
        <f>$W260*Y260+($L260)*Summary_LCIA!H$32</f>
        <v>350.6765500246533</v>
      </c>
      <c r="AU260" s="16">
        <f>$W260*Z260+($L260)*Summary_LCIA!Q$32</f>
        <v>3761.0415078406795</v>
      </c>
      <c r="AV260" s="16">
        <f>$W260*AA260+($L260)*Summary_LCIA!R$32</f>
        <v>2.1097054885934927</v>
      </c>
      <c r="AW260" s="16">
        <f>$W260*AB260+($L260)*Summary_LCIA!S$32</f>
        <v>349.99953420465329</v>
      </c>
      <c r="AX260" s="16">
        <f>$W260*AC260+($L260)*Summary_LCIA!T$32</f>
        <v>87.131308328774722</v>
      </c>
      <c r="AY260" s="16">
        <f>$W260*AD260+($L260)*Summary_LCIA!U$32</f>
        <v>3.0683861508137356</v>
      </c>
      <c r="AZ260" s="16">
        <f>$W260*AE260+($L260)*Summary_LCIA!V$32</f>
        <v>1.3938224281412021E-2</v>
      </c>
      <c r="BA260" s="16">
        <f>$W260*AF260+($L260)*Summary_LCIA!W$32</f>
        <v>21.586966093410098</v>
      </c>
      <c r="BB260" s="16">
        <f>$W260*AG260+($L260)*Summary_LCIA!X$32</f>
        <v>18.160216027093366</v>
      </c>
      <c r="BC260" s="16">
        <f>$W260*AH260+($L260)*Summary_LCIA!Y$32</f>
        <v>2.66344252229728</v>
      </c>
      <c r="BD260" s="16">
        <f>$W260*AI260+($L260)*Summary_LCIA!Z$32</f>
        <v>0.32079248423748064</v>
      </c>
      <c r="BE260" s="16">
        <f>$W260*AJ260+($L260)*Summary_LCIA!AA$32</f>
        <v>4.7565181262296381</v>
      </c>
      <c r="BF260" s="16">
        <f>$W260*AK260+($L260)*Summary_LCIA!AB$32</f>
        <v>7.0860395468966997E-2</v>
      </c>
      <c r="BG260" s="16">
        <f>$W260*AL260+($L260)*Summary_LCIA!AC$32</f>
        <v>4.3410964749460596E-5</v>
      </c>
      <c r="BH260" s="16">
        <f>$W260*AM260+($L260)*Summary_LCIA!AD$32</f>
        <v>0.1729276848130134</v>
      </c>
      <c r="BI260" s="16">
        <f>$W260*AN260+($L260)*Summary_LCIA!AE$32</f>
        <v>0.45457946353869583</v>
      </c>
      <c r="BJ260" s="16">
        <f>$W260*AO260+($L260)*Summary_LCIA!AF$32</f>
        <v>0.13440225165782854</v>
      </c>
      <c r="BK260" s="16">
        <f>$W260*AP260+($L260)*Summary_LCIA!AG$32</f>
        <v>1.2745419052828551E-2</v>
      </c>
      <c r="BL260" s="16">
        <f>$W260*AQ260+($L260)*Summary_LCIA!AH$32</f>
        <v>2.0128741694756807</v>
      </c>
      <c r="BM260" s="16">
        <f>$W260*AR260+($L260)*Summary_LCIA!AI$32</f>
        <v>0.42876809462622495</v>
      </c>
      <c r="BN260" s="16"/>
    </row>
    <row r="261" spans="1:66" x14ac:dyDescent="0.25">
      <c r="A261" s="159">
        <v>173</v>
      </c>
      <c r="B261" s="159">
        <v>6</v>
      </c>
      <c r="C261" s="45">
        <v>39.481653999999999</v>
      </c>
      <c r="D261" s="45">
        <v>-106.038352</v>
      </c>
      <c r="E261" s="45" t="s">
        <v>265</v>
      </c>
      <c r="F261" s="159">
        <v>16</v>
      </c>
      <c r="G261" s="45" t="s">
        <v>565</v>
      </c>
      <c r="H261" s="45" t="s">
        <v>645</v>
      </c>
      <c r="I261" s="45">
        <v>39.856096000000001</v>
      </c>
      <c r="J261" s="45">
        <v>-104.673738</v>
      </c>
      <c r="K261" s="45">
        <v>128.04936520000001</v>
      </c>
      <c r="L261" s="45">
        <v>168.03800000000001</v>
      </c>
      <c r="M261" s="45" t="s">
        <v>617</v>
      </c>
      <c r="N261" s="159">
        <v>5</v>
      </c>
      <c r="O261" s="159">
        <v>6</v>
      </c>
      <c r="P261" s="45" t="s">
        <v>565</v>
      </c>
      <c r="Q261" s="45" t="s">
        <v>564</v>
      </c>
      <c r="R261" s="45">
        <v>41.98028</v>
      </c>
      <c r="S261" s="45">
        <v>-87.908997900000003</v>
      </c>
      <c r="T261" s="45">
        <v>1736.048</v>
      </c>
      <c r="U261" s="45" t="s">
        <v>617</v>
      </c>
      <c r="V261" s="45" t="s">
        <v>569</v>
      </c>
      <c r="W261" s="45" cm="1">
        <f t="array" ref="W261">getDistance(R261,S261,I261,J261)*SA!$B$12</f>
        <v>1429.4950991616145</v>
      </c>
      <c r="Y261" s="16">
        <f>Transportation_LCIA!C$61*($W261^Transportation_LCIA!C$60)+Transportation_LCIA!C$62</f>
        <v>0.20349821617970421</v>
      </c>
      <c r="Z261" s="16">
        <f>Transportation_LCIA!D$61*($W261^Transportation_LCIA!D$60)+Transportation_LCIA!D$62</f>
        <v>2.0501411564925682</v>
      </c>
      <c r="AA261" s="16">
        <f>Transportation_LCIA!E$61*($W261^Transportation_LCIA!E$60)+Transportation_LCIA!E$62</f>
        <v>8.9799039356792888E-4</v>
      </c>
      <c r="AB261" s="16">
        <f>Transportation_LCIA!F$61*($W261^Transportation_LCIA!F$60)+Transportation_LCIA!F$62</f>
        <v>0.20349821617970421</v>
      </c>
      <c r="AC261" s="16">
        <f>Transportation_LCIA!G$61*($W261^Transportation_LCIA!G$60)+Transportation_LCIA!G$62</f>
        <v>4.8000028211733513E-2</v>
      </c>
      <c r="AD261" s="16">
        <f>Transportation_LCIA!H$61*($W261^Transportation_LCIA!H$60)+Transportation_LCIA!H$62</f>
        <v>2.2285424318591637E-4</v>
      </c>
      <c r="AE261" s="16">
        <f>Transportation_LCIA!I$61*($W261^Transportation_LCIA!I$60)+Transportation_LCIA!I$62</f>
        <v>4.571174071441499E-6</v>
      </c>
      <c r="AF261" s="16">
        <f>Transportation_LCIA!J$61*($W261^Transportation_LCIA!J$60)+Transportation_LCIA!J$62</f>
        <v>6.7618339751164165E-3</v>
      </c>
      <c r="AG261" s="16">
        <f>Transportation_LCIA!K$61*($W261^Transportation_LCIA!K$60)+Transportation_LCIA!K$62</f>
        <v>1.0036647213890358E-2</v>
      </c>
      <c r="AH261" s="16">
        <f>Transportation_LCIA!L$61*($W261^Transportation_LCIA!L$60)+Transportation_LCIA!L$62</f>
        <v>1.9038435373879868E-4</v>
      </c>
      <c r="AI261" s="16">
        <f>Transportation_LCIA!M$61*($W261^Transportation_LCIA!M$60)+Transportation_LCIA!M$62</f>
        <v>2.1384473386264609E-4</v>
      </c>
      <c r="AJ261" s="16">
        <f>Transportation_LCIA!N$61*($W261^Transportation_LCIA!N$60)+Transportation_LCIA!N$62</f>
        <v>8.0839367892004054E-4</v>
      </c>
      <c r="AK261" s="16">
        <f>Transportation_LCIA!O$61*($W261^Transportation_LCIA!O$60)+Transportation_LCIA!O$62</f>
        <v>5.067209999252372E-5</v>
      </c>
      <c r="AL261" s="16">
        <f>Transportation_LCIA!P$61*($W261^Transportation_LCIA!P$60)+Transportation_LCIA!P$62</f>
        <v>2.4529050433273688E-8</v>
      </c>
      <c r="AM261" s="16">
        <f>Transportation_LCIA!Q$61*($W261^Transportation_LCIA!Q$60)+Transportation_LCIA!Q$62</f>
        <v>7.5620829602403238E-5</v>
      </c>
      <c r="AN261" s="16">
        <f>Transportation_LCIA!R$61*($W261^Transportation_LCIA!R$60)+Transportation_LCIA!R$62</f>
        <v>2.2005485991627286E-4</v>
      </c>
      <c r="AO261" s="16">
        <f>Transportation_LCIA!S$61*($W261^Transportation_LCIA!S$60)+Transportation_LCIA!S$62</f>
        <v>3.3802166707550345E-6</v>
      </c>
      <c r="AP261" s="16">
        <f>Transportation_LCIA!T$61*($W261^Transportation_LCIA!T$60)+Transportation_LCIA!T$62</f>
        <v>3.3802166707550345E-6</v>
      </c>
      <c r="AQ261" s="16">
        <f>Transportation_LCIA!U$61*($W261^Transportation_LCIA!U$60)+Transportation_LCIA!U$62</f>
        <v>4.6945882310058874E-4</v>
      </c>
      <c r="AR261" s="16">
        <f>Transportation_LCIA!V$61*($W261^Transportation_LCIA!V$60)+Transportation_LCIA!V$62</f>
        <v>1.9671290669076797E-4</v>
      </c>
      <c r="AT261" s="16">
        <f>$W261*Y261+($L261)*Summary_LCIA!H$32</f>
        <v>347.99901511701796</v>
      </c>
      <c r="AU261" s="16">
        <f>$W261*Z261+($L261)*Summary_LCIA!Q$32</f>
        <v>3763.471538456105</v>
      </c>
      <c r="AV261" s="16">
        <f>$W261*AA261+($L261)*Summary_LCIA!R$32</f>
        <v>2.1684937594995635</v>
      </c>
      <c r="AW261" s="16">
        <f>$W261*AB261+($L261)*Summary_LCIA!S$32</f>
        <v>347.25628715701794</v>
      </c>
      <c r="AX261" s="16">
        <f>$W261*AC261+($L261)*Summary_LCIA!T$32</f>
        <v>87.083181288292295</v>
      </c>
      <c r="AY261" s="16">
        <f>$W261*AD261+($L261)*Summary_LCIA!U$32</f>
        <v>3.3288017804616379</v>
      </c>
      <c r="AZ261" s="16">
        <f>$W261*AE261+($L261)*Summary_LCIA!V$32</f>
        <v>1.4560133850540266E-2</v>
      </c>
      <c r="BA261" s="16">
        <f>$W261*AF261+($L261)*Summary_LCIA!W$32</f>
        <v>22.600061426773415</v>
      </c>
      <c r="BB261" s="16">
        <f>$W261*AG261+($L261)*Summary_LCIA!X$32</f>
        <v>18.175243644270338</v>
      </c>
      <c r="BC261" s="16">
        <f>$W261*AH261+($L261)*Summary_LCIA!Y$32</f>
        <v>2.8905216166266641</v>
      </c>
      <c r="BD261" s="16">
        <f>$W261*AI261+($L261)*Summary_LCIA!Z$32</f>
        <v>0.31258106938017233</v>
      </c>
      <c r="BE261" s="16">
        <f>$W261*AJ261+($L261)*Summary_LCIA!AA$32</f>
        <v>5.0802903302094258</v>
      </c>
      <c r="BF261" s="16">
        <f>$W261*AK261+($L261)*Summary_LCIA!AB$32</f>
        <v>6.8768425329539945E-2</v>
      </c>
      <c r="BG261" s="16">
        <f>$W261*AL261+($L261)*Summary_LCIA!AC$32</f>
        <v>4.3278526973452818E-5</v>
      </c>
      <c r="BH261" s="16">
        <f>$W261*AM261+($L261)*Summary_LCIA!AD$32</f>
        <v>0.17716994483117099</v>
      </c>
      <c r="BI261" s="16">
        <f>$W261*AN261+($L261)*Summary_LCIA!AE$32</f>
        <v>0.46347085673700772</v>
      </c>
      <c r="BJ261" s="16">
        <f>$W261*AO261+($L261)*Summary_LCIA!AF$32</f>
        <v>0.14689468912494874</v>
      </c>
      <c r="BK261" s="16">
        <f>$W261*AP261+($L261)*Summary_LCIA!AG$32</f>
        <v>1.3429667434948712E-2</v>
      </c>
      <c r="BL261" s="16">
        <f>$W261*AQ261+($L261)*Summary_LCIA!AH$32</f>
        <v>2.133624623680471</v>
      </c>
      <c r="BM261" s="16">
        <f>$W261*AR261+($L261)*Summary_LCIA!AI$32</f>
        <v>0.43773593495628871</v>
      </c>
      <c r="BN261" s="16"/>
    </row>
    <row r="262" spans="1:66" x14ac:dyDescent="0.25">
      <c r="A262" s="159">
        <v>174</v>
      </c>
      <c r="B262" s="159">
        <v>6</v>
      </c>
      <c r="C262" s="45">
        <v>39.481653999999999</v>
      </c>
      <c r="D262" s="45">
        <v>-106.038352</v>
      </c>
      <c r="E262" s="45" t="s">
        <v>265</v>
      </c>
      <c r="F262" s="159">
        <v>16</v>
      </c>
      <c r="G262" s="45" t="s">
        <v>565</v>
      </c>
      <c r="H262" s="45" t="s">
        <v>645</v>
      </c>
      <c r="I262" s="45">
        <v>39.856096000000001</v>
      </c>
      <c r="J262" s="45">
        <v>-104.673738</v>
      </c>
      <c r="K262" s="45">
        <v>128.04936520000001</v>
      </c>
      <c r="L262" s="45">
        <v>168.03800000000001</v>
      </c>
      <c r="M262" s="45" t="s">
        <v>617</v>
      </c>
      <c r="N262" s="159">
        <v>5</v>
      </c>
      <c r="O262" s="159">
        <v>6</v>
      </c>
      <c r="P262" s="45" t="s">
        <v>565</v>
      </c>
      <c r="Q262" s="45" t="s">
        <v>564</v>
      </c>
      <c r="R262" s="45">
        <v>41.98028</v>
      </c>
      <c r="S262" s="45">
        <v>-87.908997900000003</v>
      </c>
      <c r="T262" s="45">
        <v>1736.048</v>
      </c>
      <c r="U262" s="45" t="s">
        <v>617</v>
      </c>
      <c r="V262" s="45" t="s">
        <v>569</v>
      </c>
      <c r="W262" s="45" cm="1">
        <f t="array" ref="W262">getDistance(R262,S262,I262,J262)*SA!$B$12</f>
        <v>1429.4950991616145</v>
      </c>
      <c r="Y262" s="16">
        <f>Transportation_LCIA!C$61*($W262^Transportation_LCIA!C$60)+Transportation_LCIA!C$62</f>
        <v>0.20349821617970421</v>
      </c>
      <c r="Z262" s="16">
        <f>Transportation_LCIA!D$61*($W262^Transportation_LCIA!D$60)+Transportation_LCIA!D$62</f>
        <v>2.0501411564925682</v>
      </c>
      <c r="AA262" s="16">
        <f>Transportation_LCIA!E$61*($W262^Transportation_LCIA!E$60)+Transportation_LCIA!E$62</f>
        <v>8.9799039356792888E-4</v>
      </c>
      <c r="AB262" s="16">
        <f>Transportation_LCIA!F$61*($W262^Transportation_LCIA!F$60)+Transportation_LCIA!F$62</f>
        <v>0.20349821617970421</v>
      </c>
      <c r="AC262" s="16">
        <f>Transportation_LCIA!G$61*($W262^Transportation_LCIA!G$60)+Transportation_LCIA!G$62</f>
        <v>4.8000028211733513E-2</v>
      </c>
      <c r="AD262" s="16">
        <f>Transportation_LCIA!H$61*($W262^Transportation_LCIA!H$60)+Transportation_LCIA!H$62</f>
        <v>2.2285424318591637E-4</v>
      </c>
      <c r="AE262" s="16">
        <f>Transportation_LCIA!I$61*($W262^Transportation_LCIA!I$60)+Transportation_LCIA!I$62</f>
        <v>4.571174071441499E-6</v>
      </c>
      <c r="AF262" s="16">
        <f>Transportation_LCIA!J$61*($W262^Transportation_LCIA!J$60)+Transportation_LCIA!J$62</f>
        <v>6.7618339751164165E-3</v>
      </c>
      <c r="AG262" s="16">
        <f>Transportation_LCIA!K$61*($W262^Transportation_LCIA!K$60)+Transportation_LCIA!K$62</f>
        <v>1.0036647213890358E-2</v>
      </c>
      <c r="AH262" s="16">
        <f>Transportation_LCIA!L$61*($W262^Transportation_LCIA!L$60)+Transportation_LCIA!L$62</f>
        <v>1.9038435373879868E-4</v>
      </c>
      <c r="AI262" s="16">
        <f>Transportation_LCIA!M$61*($W262^Transportation_LCIA!M$60)+Transportation_LCIA!M$62</f>
        <v>2.1384473386264609E-4</v>
      </c>
      <c r="AJ262" s="16">
        <f>Transportation_LCIA!N$61*($W262^Transportation_LCIA!N$60)+Transportation_LCIA!N$62</f>
        <v>8.0839367892004054E-4</v>
      </c>
      <c r="AK262" s="16">
        <f>Transportation_LCIA!O$61*($W262^Transportation_LCIA!O$60)+Transportation_LCIA!O$62</f>
        <v>5.067209999252372E-5</v>
      </c>
      <c r="AL262" s="16">
        <f>Transportation_LCIA!P$61*($W262^Transportation_LCIA!P$60)+Transportation_LCIA!P$62</f>
        <v>2.4529050433273688E-8</v>
      </c>
      <c r="AM262" s="16">
        <f>Transportation_LCIA!Q$61*($W262^Transportation_LCIA!Q$60)+Transportation_LCIA!Q$62</f>
        <v>7.5620829602403238E-5</v>
      </c>
      <c r="AN262" s="16">
        <f>Transportation_LCIA!R$61*($W262^Transportation_LCIA!R$60)+Transportation_LCIA!R$62</f>
        <v>2.2005485991627286E-4</v>
      </c>
      <c r="AO262" s="16">
        <f>Transportation_LCIA!S$61*($W262^Transportation_LCIA!S$60)+Transportation_LCIA!S$62</f>
        <v>3.3802166707550345E-6</v>
      </c>
      <c r="AP262" s="16">
        <f>Transportation_LCIA!T$61*($W262^Transportation_LCIA!T$60)+Transportation_LCIA!T$62</f>
        <v>3.3802166707550345E-6</v>
      </c>
      <c r="AQ262" s="16">
        <f>Transportation_LCIA!U$61*($W262^Transportation_LCIA!U$60)+Transportation_LCIA!U$62</f>
        <v>4.6945882310058874E-4</v>
      </c>
      <c r="AR262" s="16">
        <f>Transportation_LCIA!V$61*($W262^Transportation_LCIA!V$60)+Transportation_LCIA!V$62</f>
        <v>1.9671290669076797E-4</v>
      </c>
      <c r="AT262" s="16">
        <f>$W262*Y262+($L262)*Summary_LCIA!H$32</f>
        <v>347.99901511701796</v>
      </c>
      <c r="AU262" s="16">
        <f>$W262*Z262+($L262)*Summary_LCIA!Q$32</f>
        <v>3763.471538456105</v>
      </c>
      <c r="AV262" s="16">
        <f>$W262*AA262+($L262)*Summary_LCIA!R$32</f>
        <v>2.1684937594995635</v>
      </c>
      <c r="AW262" s="16">
        <f>$W262*AB262+($L262)*Summary_LCIA!S$32</f>
        <v>347.25628715701794</v>
      </c>
      <c r="AX262" s="16">
        <f>$W262*AC262+($L262)*Summary_LCIA!T$32</f>
        <v>87.083181288292295</v>
      </c>
      <c r="AY262" s="16">
        <f>$W262*AD262+($L262)*Summary_LCIA!U$32</f>
        <v>3.3288017804616379</v>
      </c>
      <c r="AZ262" s="16">
        <f>$W262*AE262+($L262)*Summary_LCIA!V$32</f>
        <v>1.4560133850540266E-2</v>
      </c>
      <c r="BA262" s="16">
        <f>$W262*AF262+($L262)*Summary_LCIA!W$32</f>
        <v>22.600061426773415</v>
      </c>
      <c r="BB262" s="16">
        <f>$W262*AG262+($L262)*Summary_LCIA!X$32</f>
        <v>18.175243644270338</v>
      </c>
      <c r="BC262" s="16">
        <f>$W262*AH262+($L262)*Summary_LCIA!Y$32</f>
        <v>2.8905216166266641</v>
      </c>
      <c r="BD262" s="16">
        <f>$W262*AI262+($L262)*Summary_LCIA!Z$32</f>
        <v>0.31258106938017233</v>
      </c>
      <c r="BE262" s="16">
        <f>$W262*AJ262+($L262)*Summary_LCIA!AA$32</f>
        <v>5.0802903302094258</v>
      </c>
      <c r="BF262" s="16">
        <f>$W262*AK262+($L262)*Summary_LCIA!AB$32</f>
        <v>6.8768425329539945E-2</v>
      </c>
      <c r="BG262" s="16">
        <f>$W262*AL262+($L262)*Summary_LCIA!AC$32</f>
        <v>4.3278526973452818E-5</v>
      </c>
      <c r="BH262" s="16">
        <f>$W262*AM262+($L262)*Summary_LCIA!AD$32</f>
        <v>0.17716994483117099</v>
      </c>
      <c r="BI262" s="16">
        <f>$W262*AN262+($L262)*Summary_LCIA!AE$32</f>
        <v>0.46347085673700772</v>
      </c>
      <c r="BJ262" s="16">
        <f>$W262*AO262+($L262)*Summary_LCIA!AF$32</f>
        <v>0.14689468912494874</v>
      </c>
      <c r="BK262" s="16">
        <f>$W262*AP262+($L262)*Summary_LCIA!AG$32</f>
        <v>1.3429667434948712E-2</v>
      </c>
      <c r="BL262" s="16">
        <f>$W262*AQ262+($L262)*Summary_LCIA!AH$32</f>
        <v>2.133624623680471</v>
      </c>
      <c r="BM262" s="16">
        <f>$W262*AR262+($L262)*Summary_LCIA!AI$32</f>
        <v>0.43773593495628871</v>
      </c>
      <c r="BN262" s="16"/>
    </row>
    <row r="263" spans="1:66" x14ac:dyDescent="0.25">
      <c r="A263" s="159">
        <v>91</v>
      </c>
      <c r="B263" s="159">
        <v>6</v>
      </c>
      <c r="C263" s="45">
        <v>30.618675</v>
      </c>
      <c r="D263" s="45">
        <v>-96.336455000000001</v>
      </c>
      <c r="E263" s="45" t="s">
        <v>265</v>
      </c>
      <c r="F263" s="159">
        <v>92</v>
      </c>
      <c r="G263" s="45" t="s">
        <v>666</v>
      </c>
      <c r="H263" s="45" t="s">
        <v>667</v>
      </c>
      <c r="I263" s="45">
        <v>30.197471</v>
      </c>
      <c r="J263" s="45">
        <v>-97.666353000000001</v>
      </c>
      <c r="K263" s="45">
        <v>145.74323620000001</v>
      </c>
      <c r="L263" s="45">
        <v>167.483</v>
      </c>
      <c r="M263" s="45" t="s">
        <v>617</v>
      </c>
      <c r="N263" s="159">
        <v>5</v>
      </c>
      <c r="O263" s="159">
        <v>6</v>
      </c>
      <c r="P263" s="45" t="s">
        <v>565</v>
      </c>
      <c r="Q263" s="45" t="s">
        <v>564</v>
      </c>
      <c r="R263" s="45">
        <v>41.98028</v>
      </c>
      <c r="S263" s="45">
        <v>-87.908997900000003</v>
      </c>
      <c r="T263" s="45">
        <v>1736.71</v>
      </c>
      <c r="U263" s="45" t="s">
        <v>617</v>
      </c>
      <c r="V263" s="45" t="s">
        <v>569</v>
      </c>
      <c r="W263" s="45" cm="1">
        <f t="array" ref="W263">getDistance(R263,S263,I263,J263)*SA!$B$12</f>
        <v>1575.2575220458498</v>
      </c>
      <c r="Y263" s="16">
        <f>Transportation_LCIA!C$61*($W263^Transportation_LCIA!C$60)+Transportation_LCIA!C$62</f>
        <v>0.19633171878830921</v>
      </c>
      <c r="Z263" s="16">
        <f>Transportation_LCIA!D$61*($W263^Transportation_LCIA!D$60)+Transportation_LCIA!D$62</f>
        <v>1.9679824485164779</v>
      </c>
      <c r="AA263" s="16">
        <f>Transportation_LCIA!E$61*($W263^Transportation_LCIA!E$60)+Transportation_LCIA!E$62</f>
        <v>8.4424156539261459E-4</v>
      </c>
      <c r="AB263" s="16">
        <f>Transportation_LCIA!F$61*($W263^Transportation_LCIA!F$60)+Transportation_LCIA!F$62</f>
        <v>0.19633171878830921</v>
      </c>
      <c r="AC263" s="16">
        <f>Transportation_LCIA!G$61*($W263^Transportation_LCIA!G$60)+Transportation_LCIA!G$62</f>
        <v>4.6097251719088815E-2</v>
      </c>
      <c r="AD263" s="16">
        <f>Transportation_LCIA!H$61*($W263^Transportation_LCIA!H$60)+Transportation_LCIA!H$62</f>
        <v>2.1115211481011876E-4</v>
      </c>
      <c r="AE263" s="16">
        <f>Transportation_LCIA!I$61*($W263^Transportation_LCIA!I$60)+Transportation_LCIA!I$62</f>
        <v>4.2812383937410747E-6</v>
      </c>
      <c r="AF263" s="16">
        <f>Transportation_LCIA!J$61*($W263^Transportation_LCIA!J$60)+Transportation_LCIA!J$62</f>
        <v>6.3345062329674112E-3</v>
      </c>
      <c r="AG263" s="16">
        <f>Transportation_LCIA!K$61*($W263^Transportation_LCIA!K$60)+Transportation_LCIA!K$62</f>
        <v>9.5964496315269782E-3</v>
      </c>
      <c r="AH263" s="16">
        <f>Transportation_LCIA!L$61*($W263^Transportation_LCIA!L$60)+Transportation_LCIA!L$62</f>
        <v>1.7967476106705156E-4</v>
      </c>
      <c r="AI263" s="16">
        <f>Transportation_LCIA!M$61*($W263^Transportation_LCIA!M$60)+Transportation_LCIA!M$62</f>
        <v>2.0738990871772508E-4</v>
      </c>
      <c r="AJ263" s="16">
        <f>Transportation_LCIA!N$61*($W263^Transportation_LCIA!N$60)+Transportation_LCIA!N$62</f>
        <v>7.6899942106649333E-4</v>
      </c>
      <c r="AK263" s="16">
        <f>Transportation_LCIA!O$61*($W263^Transportation_LCIA!O$60)+Transportation_LCIA!O$62</f>
        <v>4.8651143184579487E-5</v>
      </c>
      <c r="AL263" s="16">
        <f>Transportation_LCIA!P$61*($W263^Transportation_LCIA!P$60)+Transportation_LCIA!P$62</f>
        <v>2.3556109695339234E-8</v>
      </c>
      <c r="AM263" s="16">
        <f>Transportation_LCIA!Q$61*($W263^Transportation_LCIA!Q$60)+Transportation_LCIA!Q$62</f>
        <v>7.1443570584843764E-5</v>
      </c>
      <c r="AN263" s="16">
        <f>Transportation_LCIA!R$61*($W263^Transportation_LCIA!R$60)+Transportation_LCIA!R$62</f>
        <v>2.0615692860190515E-4</v>
      </c>
      <c r="AO263" s="16">
        <f>Transportation_LCIA!S$61*($W263^Transportation_LCIA!S$60)+Transportation_LCIA!S$62</f>
        <v>3.1828350296720298E-6</v>
      </c>
      <c r="AP263" s="16">
        <f>Transportation_LCIA!T$61*($W263^Transportation_LCIA!T$60)+Transportation_LCIA!T$62</f>
        <v>3.1828350296720298E-6</v>
      </c>
      <c r="AQ263" s="16">
        <f>Transportation_LCIA!U$61*($W263^Transportation_LCIA!U$60)+Transportation_LCIA!U$62</f>
        <v>4.3907223131125399E-4</v>
      </c>
      <c r="AR263" s="16">
        <f>Transportation_LCIA!V$61*($W263^Transportation_LCIA!V$60)+Transportation_LCIA!V$62</f>
        <v>1.8587993651001495E-4</v>
      </c>
      <c r="AT263" s="16">
        <f>$W263*Y263+($L263)*Summary_LCIA!H$32</f>
        <v>366.18374023747458</v>
      </c>
      <c r="AU263" s="16">
        <f>$W263*Z263+($L263)*Summary_LCIA!Q$32</f>
        <v>3930.1333499499297</v>
      </c>
      <c r="AV263" s="16">
        <f>$W263*AA263+($L263)*Summary_LCIA!R$32</f>
        <v>2.2117963611084792</v>
      </c>
      <c r="AW263" s="16">
        <f>$W263*AB263+($L263)*Summary_LCIA!S$32</f>
        <v>365.44346537747458</v>
      </c>
      <c r="AX263" s="16">
        <f>$W263*AC263+($L263)*Summary_LCIA!T$32</f>
        <v>91.021424216135628</v>
      </c>
      <c r="AY263" s="16">
        <f>$W263*AD263+($L263)*Summary_LCIA!U$32</f>
        <v>3.3329094191505284</v>
      </c>
      <c r="AZ263" s="16">
        <f>$W263*AE263+($L263)*Summary_LCIA!V$32</f>
        <v>1.4743208546412119E-2</v>
      </c>
      <c r="BA263" s="16">
        <f>$W263*AF263+($L263)*Summary_LCIA!W$32</f>
        <v>22.869812584928233</v>
      </c>
      <c r="BB263" s="16">
        <f>$W263*AG263+($L263)*Summary_LCIA!X$32</f>
        <v>18.932142206996996</v>
      </c>
      <c r="BC263" s="16">
        <f>$W263*AH263+($L263)*Summary_LCIA!Y$32</f>
        <v>2.8927541248926638</v>
      </c>
      <c r="BD263" s="16">
        <f>$W263*AI263+($L263)*Summary_LCIA!Z$32</f>
        <v>0.33356082405099857</v>
      </c>
      <c r="BE263" s="16">
        <f>$W263*AJ263+($L263)*Summary_LCIA!AA$32</f>
        <v>5.1231050704838967</v>
      </c>
      <c r="BF263" s="16">
        <f>$W263*AK263+($L263)*Summary_LCIA!AB$32</f>
        <v>7.2983097748638523E-2</v>
      </c>
      <c r="BG263" s="16">
        <f>$W263*AL263+($L263)*Summary_LCIA!AC$32</f>
        <v>4.5294177959720301E-5</v>
      </c>
      <c r="BH263" s="16">
        <f>$W263*AM263+($L263)*Summary_LCIA!AD$32</f>
        <v>0.18138423428558875</v>
      </c>
      <c r="BI263" s="16">
        <f>$W263*AN263+($L263)*Summary_LCIA!AE$32</f>
        <v>0.47316196329202026</v>
      </c>
      <c r="BJ263" s="16">
        <f>$W263*AO263+($L263)*Summary_LCIA!AF$32</f>
        <v>0.1466072626819219</v>
      </c>
      <c r="BK263" s="16">
        <f>$W263*AP263+($L263)*Summary_LCIA!AG$32</f>
        <v>1.3583052516921891E-2</v>
      </c>
      <c r="BL263" s="16">
        <f>$W263*AQ263+($L263)*Summary_LCIA!AH$32</f>
        <v>2.1493568738945084</v>
      </c>
      <c r="BM263" s="16">
        <f>$W263*AR263+($L263)*Summary_LCIA!AI$32</f>
        <v>0.44882755683480602</v>
      </c>
      <c r="BN263" s="16"/>
    </row>
    <row r="264" spans="1:66" x14ac:dyDescent="0.25">
      <c r="A264" s="159">
        <v>348</v>
      </c>
      <c r="B264" s="159">
        <v>6</v>
      </c>
      <c r="C264" s="45">
        <v>30.079940000000001</v>
      </c>
      <c r="D264" s="45">
        <v>-95.417159999999996</v>
      </c>
      <c r="E264" s="45" t="s">
        <v>265</v>
      </c>
      <c r="F264" s="159">
        <v>47</v>
      </c>
      <c r="G264" s="45" t="s">
        <v>565</v>
      </c>
      <c r="H264" s="45" t="s">
        <v>688</v>
      </c>
      <c r="I264" s="45">
        <v>29.990220000000001</v>
      </c>
      <c r="J264" s="45">
        <v>-95.336782999999997</v>
      </c>
      <c r="K264" s="45">
        <v>18.611022930000001</v>
      </c>
      <c r="L264" s="45">
        <v>20.567</v>
      </c>
      <c r="M264" s="45" t="s">
        <v>617</v>
      </c>
      <c r="N264" s="159">
        <v>5</v>
      </c>
      <c r="O264" s="159">
        <v>6</v>
      </c>
      <c r="P264" s="45" t="s">
        <v>565</v>
      </c>
      <c r="Q264" s="45" t="s">
        <v>564</v>
      </c>
      <c r="R264" s="45">
        <v>41.98028</v>
      </c>
      <c r="S264" s="45">
        <v>-87.908997900000003</v>
      </c>
      <c r="T264" s="45">
        <v>1742.0719999999999</v>
      </c>
      <c r="U264" s="45" t="s">
        <v>617</v>
      </c>
      <c r="V264" s="45" t="s">
        <v>569</v>
      </c>
      <c r="W264" s="45" cm="1">
        <f t="array" ref="W264">getDistance(R264,S264,I264,J264)*SA!$B$12</f>
        <v>1490.6516068471742</v>
      </c>
      <c r="Y264" s="16">
        <f>Transportation_LCIA!C$61*($W264^Transportation_LCIA!C$60)+Transportation_LCIA!C$62</f>
        <v>0.20033456701279334</v>
      </c>
      <c r="Z264" s="16">
        <f>Transportation_LCIA!D$61*($W264^Transportation_LCIA!D$60)+Transportation_LCIA!D$62</f>
        <v>2.0138295851147205</v>
      </c>
      <c r="AA264" s="16">
        <f>Transportation_LCIA!E$61*($W264^Transportation_LCIA!E$60)+Transportation_LCIA!E$62</f>
        <v>8.742272607546299E-4</v>
      </c>
      <c r="AB264" s="16">
        <f>Transportation_LCIA!F$61*($W264^Transportation_LCIA!F$60)+Transportation_LCIA!F$62</f>
        <v>0.20033456701279334</v>
      </c>
      <c r="AC264" s="16">
        <f>Transportation_LCIA!G$61*($W264^Transportation_LCIA!G$60)+Transportation_LCIA!G$62</f>
        <v>4.7159118271410991E-2</v>
      </c>
      <c r="AD264" s="16">
        <f>Transportation_LCIA!H$61*($W264^Transportation_LCIA!H$60)+Transportation_LCIA!H$62</f>
        <v>2.1767719252658522E-4</v>
      </c>
      <c r="AE264" s="16">
        <f>Transportation_LCIA!I$61*($W264^Transportation_LCIA!I$60)+Transportation_LCIA!I$62</f>
        <v>4.4427712820296799E-6</v>
      </c>
      <c r="AF264" s="16">
        <f>Transportation_LCIA!J$61*($W264^Transportation_LCIA!J$60)+Transportation_LCIA!J$62</f>
        <v>6.5724552990164518E-3</v>
      </c>
      <c r="AG264" s="16">
        <f>Transportation_LCIA!K$61*($W264^Transportation_LCIA!K$60)+Transportation_LCIA!K$62</f>
        <v>9.8419916362103219E-3</v>
      </c>
      <c r="AH264" s="16">
        <f>Transportation_LCIA!L$61*($W264^Transportation_LCIA!L$60)+Transportation_LCIA!L$62</f>
        <v>1.856449884239458E-4</v>
      </c>
      <c r="AI264" s="16">
        <f>Transportation_LCIA!M$61*($W264^Transportation_LCIA!M$60)+Transportation_LCIA!M$62</f>
        <v>2.1098900189273081E-4</v>
      </c>
      <c r="AJ264" s="16">
        <f>Transportation_LCIA!N$61*($W264^Transportation_LCIA!N$60)+Transportation_LCIA!N$62</f>
        <v>7.9096701389764698E-4</v>
      </c>
      <c r="AK264" s="16">
        <f>Transportation_LCIA!O$61*($W264^Transportation_LCIA!O$60)+Transportation_LCIA!O$62</f>
        <v>4.9778932824492302E-5</v>
      </c>
      <c r="AL264" s="16">
        <f>Transportation_LCIA!P$61*($W264^Transportation_LCIA!P$60)+Transportation_LCIA!P$62</f>
        <v>2.4099094262166891E-8</v>
      </c>
      <c r="AM264" s="16">
        <f>Transportation_LCIA!Q$61*($W264^Transportation_LCIA!Q$60)+Transportation_LCIA!Q$62</f>
        <v>7.3771950781714518E-5</v>
      </c>
      <c r="AN264" s="16">
        <f>Transportation_LCIA!R$61*($W264^Transportation_LCIA!R$60)+Transportation_LCIA!R$62</f>
        <v>2.1389977634216263E-4</v>
      </c>
      <c r="AO264" s="16">
        <f>Transportation_LCIA!S$61*($W264^Transportation_LCIA!S$60)+Transportation_LCIA!S$62</f>
        <v>3.2928048480826389E-6</v>
      </c>
      <c r="AP264" s="16">
        <f>Transportation_LCIA!T$61*($W264^Transportation_LCIA!T$60)+Transportation_LCIA!T$62</f>
        <v>3.2928048480826389E-6</v>
      </c>
      <c r="AQ264" s="16">
        <f>Transportation_LCIA!U$61*($W264^Transportation_LCIA!U$60)+Transportation_LCIA!U$62</f>
        <v>4.559986054108007E-4</v>
      </c>
      <c r="AR264" s="16">
        <f>Transportation_LCIA!V$61*($W264^Transportation_LCIA!V$60)+Transportation_LCIA!V$62</f>
        <v>1.9191717787183445E-4</v>
      </c>
      <c r="AT264" s="16">
        <f>$W264*Y264+($L264)*Summary_LCIA!H$32</f>
        <v>305.61771082465327</v>
      </c>
      <c r="AU264" s="16">
        <f>$W264*Z264+($L264)*Summary_LCIA!Q$32</f>
        <v>3103.8493962231473</v>
      </c>
      <c r="AV264" s="16">
        <f>$W264*AA264+($L264)*Summary_LCIA!R$32</f>
        <v>1.4114658661934927</v>
      </c>
      <c r="AW264" s="16">
        <f>$W264*AB264+($L264)*Summary_LCIA!S$32</f>
        <v>305.52680468465326</v>
      </c>
      <c r="AX264" s="16">
        <f>$W264*AC264+($L264)*Summary_LCIA!T$32</f>
        <v>72.558128728774733</v>
      </c>
      <c r="AY264" s="16">
        <f>$W264*AD264+($L264)*Summary_LCIA!U$32</f>
        <v>0.6929180948137359</v>
      </c>
      <c r="AZ264" s="16">
        <f>$W264*AE264+($L264)*Summary_LCIA!V$32</f>
        <v>7.6049246374120232E-3</v>
      </c>
      <c r="BA264" s="16">
        <f>$W264*AF264+($L264)*Summary_LCIA!W$32</f>
        <v>11.380303609410099</v>
      </c>
      <c r="BB264" s="16">
        <f>$W264*AG264+($L264)*Summary_LCIA!X$32</f>
        <v>15.139496907093365</v>
      </c>
      <c r="BC264" s="16">
        <f>$W264*AH264+($L264)*Summary_LCIA!Y$32</f>
        <v>0.59720699429727986</v>
      </c>
      <c r="BD264" s="16">
        <f>$W264*AI264+($L264)*Summary_LCIA!Z$32</f>
        <v>0.31535452680148063</v>
      </c>
      <c r="BE264" s="16">
        <f>$W264*AJ264+($L264)*Summary_LCIA!AA$32</f>
        <v>1.6594191022296387</v>
      </c>
      <c r="BF264" s="16">
        <f>$W264*AK264+($L264)*Summary_LCIA!AB$32</f>
        <v>7.3754212560966995E-2</v>
      </c>
      <c r="BG264" s="16">
        <f>$W264*AL264+($L264)*Summary_LCIA!AC$32</f>
        <v>3.6928750813460594E-5</v>
      </c>
      <c r="BH264" s="16">
        <f>$W264*AM264+($L264)*Summary_LCIA!AD$32</f>
        <v>0.11842213665301339</v>
      </c>
      <c r="BI264" s="16">
        <f>$W264*AN264+($L264)*Summary_LCIA!AE$32</f>
        <v>0.33707508101869588</v>
      </c>
      <c r="BJ264" s="16">
        <f>$W264*AO264+($L264)*Summary_LCIA!AF$32</f>
        <v>2.2296177977828551E-2</v>
      </c>
      <c r="BK264" s="16">
        <f>$W264*AP264+($L264)*Summary_LCIA!AG$32</f>
        <v>5.9607353928285509E-3</v>
      </c>
      <c r="BL264" s="16">
        <f>$W264*AQ264+($L264)*Summary_LCIA!AH$32</f>
        <v>0.85874199507568061</v>
      </c>
      <c r="BM264" s="16">
        <f>$W264*AR264+($L264)*Summary_LCIA!AI$32</f>
        <v>0.30524083842622496</v>
      </c>
      <c r="BN264" s="16"/>
    </row>
    <row r="265" spans="1:66" x14ac:dyDescent="0.25">
      <c r="A265" s="159">
        <v>232</v>
      </c>
      <c r="B265" s="159">
        <v>6</v>
      </c>
      <c r="C265" s="45">
        <v>29.760427</v>
      </c>
      <c r="D265" s="45">
        <v>-95.369803000000005</v>
      </c>
      <c r="E265" s="45" t="s">
        <v>265</v>
      </c>
      <c r="F265" s="159">
        <v>96</v>
      </c>
      <c r="G265" s="45" t="s">
        <v>267</v>
      </c>
      <c r="H265" s="45" t="s">
        <v>703</v>
      </c>
      <c r="I265" s="45">
        <v>29.645907999999999</v>
      </c>
      <c r="J265" s="45">
        <v>-95.276904999999999</v>
      </c>
      <c r="K265" s="45">
        <v>23.33220326</v>
      </c>
      <c r="L265" s="45">
        <v>20.425999999999998</v>
      </c>
      <c r="M265" s="45" t="s">
        <v>617</v>
      </c>
      <c r="N265" s="159">
        <v>5</v>
      </c>
      <c r="O265" s="159">
        <v>6</v>
      </c>
      <c r="P265" s="45" t="s">
        <v>565</v>
      </c>
      <c r="Q265" s="45" t="s">
        <v>564</v>
      </c>
      <c r="R265" s="45">
        <v>41.98028</v>
      </c>
      <c r="S265" s="45">
        <v>-87.908997900000003</v>
      </c>
      <c r="T265" s="45">
        <v>1766.3969999999999</v>
      </c>
      <c r="U265" s="45" t="s">
        <v>617</v>
      </c>
      <c r="V265" s="45" t="s">
        <v>569</v>
      </c>
      <c r="W265" s="45" cm="1">
        <f t="array" ref="W265">getDistance(R265,S265,I265,J265)*SA!$B$12</f>
        <v>1523.1879893303537</v>
      </c>
      <c r="Y265" s="16">
        <f>Transportation_LCIA!C$61*($W265^Transportation_LCIA!C$60)+Transportation_LCIA!C$62</f>
        <v>0.19874685022197358</v>
      </c>
      <c r="Z265" s="16">
        <f>Transportation_LCIA!D$61*($W265^Transportation_LCIA!D$60)+Transportation_LCIA!D$62</f>
        <v>1.9956313392456919</v>
      </c>
      <c r="AA265" s="16">
        <f>Transportation_LCIA!E$61*($W265^Transportation_LCIA!E$60)+Transportation_LCIA!E$62</f>
        <v>8.6232253270463887E-4</v>
      </c>
      <c r="AB265" s="16">
        <f>Transportation_LCIA!F$61*($W265^Transportation_LCIA!F$60)+Transportation_LCIA!F$62</f>
        <v>0.19874685022197358</v>
      </c>
      <c r="AC265" s="16">
        <f>Transportation_LCIA!G$61*($W265^Transportation_LCIA!G$60)+Transportation_LCIA!G$62</f>
        <v>4.6737646026981994E-2</v>
      </c>
      <c r="AD265" s="16">
        <f>Transportation_LCIA!H$61*($W265^Transportation_LCIA!H$60)+Transportation_LCIA!H$62</f>
        <v>2.1508561071549695E-4</v>
      </c>
      <c r="AE265" s="16">
        <f>Transportation_LCIA!I$61*($W265^Transportation_LCIA!I$60)+Transportation_LCIA!I$62</f>
        <v>4.3785734839236551E-6</v>
      </c>
      <c r="AF265" s="16">
        <f>Transportation_LCIA!J$61*($W265^Transportation_LCIA!J$60)+Transportation_LCIA!J$62</f>
        <v>6.4778477065107216E-3</v>
      </c>
      <c r="AG265" s="16">
        <f>Transportation_LCIA!K$61*($W265^Transportation_LCIA!K$60)+Transportation_LCIA!K$62</f>
        <v>9.7444964678929345E-3</v>
      </c>
      <c r="AH265" s="16">
        <f>Transportation_LCIA!L$61*($W265^Transportation_LCIA!L$60)+Transportation_LCIA!L$62</f>
        <v>1.8327334259515365E-4</v>
      </c>
      <c r="AI265" s="16">
        <f>Transportation_LCIA!M$61*($W265^Transportation_LCIA!M$60)+Transportation_LCIA!M$62</f>
        <v>2.0955950967481058E-4</v>
      </c>
      <c r="AJ265" s="16">
        <f>Transportation_LCIA!N$61*($W265^Transportation_LCIA!N$60)+Transportation_LCIA!N$62</f>
        <v>7.822425359019264E-4</v>
      </c>
      <c r="AK265" s="16">
        <f>Transportation_LCIA!O$61*($W265^Transportation_LCIA!O$60)+Transportation_LCIA!O$62</f>
        <v>4.9331285751507294E-5</v>
      </c>
      <c r="AL265" s="16">
        <f>Transportation_LCIA!P$61*($W265^Transportation_LCIA!P$60)+Transportation_LCIA!P$62</f>
        <v>2.388358207675034E-8</v>
      </c>
      <c r="AM265" s="16">
        <f>Transportation_LCIA!Q$61*($W265^Transportation_LCIA!Q$60)+Transportation_LCIA!Q$62</f>
        <v>7.2846920849463197E-5</v>
      </c>
      <c r="AN265" s="16">
        <f>Transportation_LCIA!R$61*($W265^Transportation_LCIA!R$60)+Transportation_LCIA!R$62</f>
        <v>2.1082249888221342E-4</v>
      </c>
      <c r="AO265" s="16">
        <f>Transportation_LCIA!S$61*($W265^Transportation_LCIA!S$60)+Transportation_LCIA!S$62</f>
        <v>3.2491002717784391E-6</v>
      </c>
      <c r="AP265" s="16">
        <f>Transportation_LCIA!T$61*($W265^Transportation_LCIA!T$60)+Transportation_LCIA!T$62</f>
        <v>3.2491002717784391E-6</v>
      </c>
      <c r="AQ265" s="16">
        <f>Transportation_LCIA!U$61*($W265^Transportation_LCIA!U$60)+Transportation_LCIA!U$62</f>
        <v>4.4927065234843784E-4</v>
      </c>
      <c r="AR265" s="16">
        <f>Transportation_LCIA!V$61*($W265^Transportation_LCIA!V$60)+Transportation_LCIA!V$62</f>
        <v>1.8951836821366741E-4</v>
      </c>
      <c r="AT265" s="16">
        <f>$W265*Y265+($L265)*Summary_LCIA!H$32</f>
        <v>309.66956997534891</v>
      </c>
      <c r="AU265" s="16">
        <f>$W265*Z265+($L265)*Summary_LCIA!Q$32</f>
        <v>3140.9539732147446</v>
      </c>
      <c r="AV265" s="16">
        <f>$W265*AA265+($L265)*Summary_LCIA!R$32</f>
        <v>1.4210344703446369</v>
      </c>
      <c r="AW265" s="16">
        <f>$W265*AB265+($L265)*Summary_LCIA!S$32</f>
        <v>309.57928705534891</v>
      </c>
      <c r="AX265" s="16">
        <f>$W265*AC265+($L265)*Summary_LCIA!T$32</f>
        <v>73.435038477872496</v>
      </c>
      <c r="AY265" s="16">
        <f>$W265*AD265+($L265)*Summary_LCIA!U$32</f>
        <v>0.693527182919629</v>
      </c>
      <c r="AZ265" s="16">
        <f>$W265*AE265+($L265)*Summary_LCIA!V$32</f>
        <v>7.6449567271128739E-3</v>
      </c>
      <c r="BA265" s="16">
        <f>$W265*AF265+($L265)*Summary_LCIA!W$32</f>
        <v>11.439189469268308</v>
      </c>
      <c r="BB265" s="16">
        <f>$W265*AG265+($L265)*Summary_LCIA!X$32</f>
        <v>15.308004261966573</v>
      </c>
      <c r="BC265" s="16">
        <f>$W265*AH265+($L265)*Summary_LCIA!Y$32</f>
        <v>0.59743768620536519</v>
      </c>
      <c r="BD265" s="16">
        <f>$W265*AI265+($L265)*Summary_LCIA!Z$32</f>
        <v>0.3200361780206295</v>
      </c>
      <c r="BE265" s="16">
        <f>$W265*AJ265+($L265)*Summary_LCIA!AA$32</f>
        <v>1.6685720914291324</v>
      </c>
      <c r="BF265" s="16">
        <f>$W265*AK265+($L265)*Summary_LCIA!AB$32</f>
        <v>7.4695065356919527E-2</v>
      </c>
      <c r="BG265" s="16">
        <f>$W265*AL265+($L265)*Summary_LCIA!AC$32</f>
        <v>3.737768994549183E-5</v>
      </c>
      <c r="BH265" s="16">
        <f>$W265*AM265+($L265)*Summary_LCIA!AD$32</f>
        <v>0.11935545793760127</v>
      </c>
      <c r="BI265" s="16">
        <f>$W265*AN265+($L265)*Summary_LCIA!AE$32</f>
        <v>0.33922238955799944</v>
      </c>
      <c r="BJ265" s="16">
        <f>$W265*AO265+($L265)*Summary_LCIA!AF$32</f>
        <v>2.2217539430102906E-2</v>
      </c>
      <c r="BK265" s="16">
        <f>$W265*AP265+($L265)*Summary_LCIA!AG$32</f>
        <v>5.9940868001029067E-3</v>
      </c>
      <c r="BL265" s="16">
        <f>$W265*AQ265+($L265)*Summary_LCIA!AH$32</f>
        <v>0.86210339521575341</v>
      </c>
      <c r="BM265" s="16">
        <f>$W265*AR265+($L265)*Summary_LCIA!AI$32</f>
        <v>0.30769994252054567</v>
      </c>
      <c r="BN265" s="16"/>
    </row>
    <row r="266" spans="1:66" x14ac:dyDescent="0.25">
      <c r="A266" s="159">
        <v>238</v>
      </c>
      <c r="B266" s="159">
        <v>6</v>
      </c>
      <c r="C266" s="45">
        <v>29.785777</v>
      </c>
      <c r="D266" s="45">
        <v>-95.824509000000006</v>
      </c>
      <c r="E266" s="45" t="s">
        <v>265</v>
      </c>
      <c r="F266" s="159">
        <v>47</v>
      </c>
      <c r="G266" s="45" t="s">
        <v>565</v>
      </c>
      <c r="H266" s="45" t="s">
        <v>688</v>
      </c>
      <c r="I266" s="45">
        <v>29.990220000000001</v>
      </c>
      <c r="J266" s="45">
        <v>-95.336782999999997</v>
      </c>
      <c r="K266" s="45">
        <v>58.812302199999998</v>
      </c>
      <c r="L266" s="45">
        <v>71.41</v>
      </c>
      <c r="M266" s="45" t="s">
        <v>617</v>
      </c>
      <c r="N266" s="159">
        <v>5</v>
      </c>
      <c r="O266" s="159">
        <v>6</v>
      </c>
      <c r="P266" s="45" t="s">
        <v>565</v>
      </c>
      <c r="Q266" s="45" t="s">
        <v>564</v>
      </c>
      <c r="R266" s="45">
        <v>41.98028</v>
      </c>
      <c r="S266" s="45">
        <v>-87.908997900000003</v>
      </c>
      <c r="T266" s="45">
        <v>1810.3679999999999</v>
      </c>
      <c r="U266" s="45" t="s">
        <v>617</v>
      </c>
      <c r="V266" s="45" t="s">
        <v>569</v>
      </c>
      <c r="W266" s="45" cm="1">
        <f t="array" ref="W266">getDistance(R266,S266,I266,J266)*SA!$B$12</f>
        <v>1490.6516068471742</v>
      </c>
      <c r="Y266" s="16">
        <f>Transportation_LCIA!C$61*($W266^Transportation_LCIA!C$60)+Transportation_LCIA!C$62</f>
        <v>0.20033456701279334</v>
      </c>
      <c r="Z266" s="16">
        <f>Transportation_LCIA!D$61*($W266^Transportation_LCIA!D$60)+Transportation_LCIA!D$62</f>
        <v>2.0138295851147205</v>
      </c>
      <c r="AA266" s="16">
        <f>Transportation_LCIA!E$61*($W266^Transportation_LCIA!E$60)+Transportation_LCIA!E$62</f>
        <v>8.742272607546299E-4</v>
      </c>
      <c r="AB266" s="16">
        <f>Transportation_LCIA!F$61*($W266^Transportation_LCIA!F$60)+Transportation_LCIA!F$62</f>
        <v>0.20033456701279334</v>
      </c>
      <c r="AC266" s="16">
        <f>Transportation_LCIA!G$61*($W266^Transportation_LCIA!G$60)+Transportation_LCIA!G$62</f>
        <v>4.7159118271410991E-2</v>
      </c>
      <c r="AD266" s="16">
        <f>Transportation_LCIA!H$61*($W266^Transportation_LCIA!H$60)+Transportation_LCIA!H$62</f>
        <v>2.1767719252658522E-4</v>
      </c>
      <c r="AE266" s="16">
        <f>Transportation_LCIA!I$61*($W266^Transportation_LCIA!I$60)+Transportation_LCIA!I$62</f>
        <v>4.4427712820296799E-6</v>
      </c>
      <c r="AF266" s="16">
        <f>Transportation_LCIA!J$61*($W266^Transportation_LCIA!J$60)+Transportation_LCIA!J$62</f>
        <v>6.5724552990164518E-3</v>
      </c>
      <c r="AG266" s="16">
        <f>Transportation_LCIA!K$61*($W266^Transportation_LCIA!K$60)+Transportation_LCIA!K$62</f>
        <v>9.8419916362103219E-3</v>
      </c>
      <c r="AH266" s="16">
        <f>Transportation_LCIA!L$61*($W266^Transportation_LCIA!L$60)+Transportation_LCIA!L$62</f>
        <v>1.856449884239458E-4</v>
      </c>
      <c r="AI266" s="16">
        <f>Transportation_LCIA!M$61*($W266^Transportation_LCIA!M$60)+Transportation_LCIA!M$62</f>
        <v>2.1098900189273081E-4</v>
      </c>
      <c r="AJ266" s="16">
        <f>Transportation_LCIA!N$61*($W266^Transportation_LCIA!N$60)+Transportation_LCIA!N$62</f>
        <v>7.9096701389764698E-4</v>
      </c>
      <c r="AK266" s="16">
        <f>Transportation_LCIA!O$61*($W266^Transportation_LCIA!O$60)+Transportation_LCIA!O$62</f>
        <v>4.9778932824492302E-5</v>
      </c>
      <c r="AL266" s="16">
        <f>Transportation_LCIA!P$61*($W266^Transportation_LCIA!P$60)+Transportation_LCIA!P$62</f>
        <v>2.4099094262166891E-8</v>
      </c>
      <c r="AM266" s="16">
        <f>Transportation_LCIA!Q$61*($W266^Transportation_LCIA!Q$60)+Transportation_LCIA!Q$62</f>
        <v>7.3771950781714518E-5</v>
      </c>
      <c r="AN266" s="16">
        <f>Transportation_LCIA!R$61*($W266^Transportation_LCIA!R$60)+Transportation_LCIA!R$62</f>
        <v>2.1389977634216263E-4</v>
      </c>
      <c r="AO266" s="16">
        <f>Transportation_LCIA!S$61*($W266^Transportation_LCIA!S$60)+Transportation_LCIA!S$62</f>
        <v>3.2928048480826389E-6</v>
      </c>
      <c r="AP266" s="16">
        <f>Transportation_LCIA!T$61*($W266^Transportation_LCIA!T$60)+Transportation_LCIA!T$62</f>
        <v>3.2928048480826389E-6</v>
      </c>
      <c r="AQ266" s="16">
        <f>Transportation_LCIA!U$61*($W266^Transportation_LCIA!U$60)+Transportation_LCIA!U$62</f>
        <v>4.559986054108007E-4</v>
      </c>
      <c r="AR266" s="16">
        <f>Transportation_LCIA!V$61*($W266^Transportation_LCIA!V$60)+Transportation_LCIA!V$62</f>
        <v>1.9191717787183445E-4</v>
      </c>
      <c r="AT266" s="16">
        <f>$W266*Y266+($L266)*Summary_LCIA!H$32</f>
        <v>322.89416222465326</v>
      </c>
      <c r="AU266" s="16">
        <f>$W266*Z266+($L266)*Summary_LCIA!Q$32</f>
        <v>3355.8298683881662</v>
      </c>
      <c r="AV266" s="16">
        <f>$W266*AA266+($L266)*Summary_LCIA!R$32</f>
        <v>1.6791847669934925</v>
      </c>
      <c r="AW266" s="16">
        <f>$W266*AB266+($L266)*Summary_LCIA!S$32</f>
        <v>322.57853002465328</v>
      </c>
      <c r="AX266" s="16">
        <f>$W266*AC266+($L266)*Summary_LCIA!T$32</f>
        <v>78.145774428774729</v>
      </c>
      <c r="AY266" s="16">
        <f>$W266*AD266+($L266)*Summary_LCIA!U$32</f>
        <v>1.6037195968137357</v>
      </c>
      <c r="AZ266" s="16">
        <f>$W266*AE266+($L266)*Summary_LCIA!V$32</f>
        <v>1.0033237160412023E-2</v>
      </c>
      <c r="BA266" s="16">
        <f>$W266*AF266+($L266)*Summary_LCIA!W$32</f>
        <v>15.293740162410099</v>
      </c>
      <c r="BB266" s="16">
        <f>$W266*AG266+($L266)*Summary_LCIA!X$32</f>
        <v>16.297700447093366</v>
      </c>
      <c r="BC266" s="16">
        <f>$W266*AH266+($L266)*Summary_LCIA!Y$32</f>
        <v>1.3894426202972796</v>
      </c>
      <c r="BD266" s="16">
        <f>$W266*AI266+($L266)*Summary_LCIA!Z$32</f>
        <v>0.31743954738848068</v>
      </c>
      <c r="BE266" s="16">
        <f>$W266*AJ266+($L266)*Summary_LCIA!AA$32</f>
        <v>2.8469082102296381</v>
      </c>
      <c r="BF266" s="16">
        <f>$W266*AK266+($L266)*Summary_LCIA!AB$32</f>
        <v>7.2644665771966987E-2</v>
      </c>
      <c r="BG266" s="16">
        <f>$W266*AL266+($L266)*Summary_LCIA!AC$32</f>
        <v>3.9414160025460594E-5</v>
      </c>
      <c r="BH266" s="16">
        <f>$W266*AM266+($L266)*Summary_LCIA!AD$32</f>
        <v>0.13932064337301339</v>
      </c>
      <c r="BI266" s="16">
        <f>$W266*AN266+($L266)*Summary_LCIA!AE$32</f>
        <v>0.38212858860869586</v>
      </c>
      <c r="BJ266" s="16">
        <f>$W266*AO266+($L266)*Summary_LCIA!AF$32</f>
        <v>6.5279867037828551E-2</v>
      </c>
      <c r="BK266" s="16">
        <f>$W266*AP266+($L266)*Summary_LCIA!AG$32</f>
        <v>8.5621174878285512E-3</v>
      </c>
      <c r="BL266" s="16">
        <f>$W266*AQ266+($L266)*Summary_LCIA!AH$32</f>
        <v>1.3012591298756806</v>
      </c>
      <c r="BM266" s="16">
        <f>$W266*AR266+($L266)*Summary_LCIA!AI$32</f>
        <v>0.35260363507622494</v>
      </c>
      <c r="BN266" s="16"/>
    </row>
    <row r="267" spans="1:66" x14ac:dyDescent="0.25">
      <c r="A267" s="159">
        <v>320</v>
      </c>
      <c r="B267" s="159">
        <v>6</v>
      </c>
      <c r="C267" s="45">
        <v>50.445211</v>
      </c>
      <c r="D267" s="45">
        <v>-104.618894</v>
      </c>
      <c r="E267" s="45" t="s">
        <v>457</v>
      </c>
      <c r="F267" s="159">
        <v>136</v>
      </c>
      <c r="G267" s="45" t="s">
        <v>720</v>
      </c>
      <c r="H267" s="45" t="s">
        <v>721</v>
      </c>
      <c r="I267" s="45">
        <v>50.432102999999998</v>
      </c>
      <c r="J267" s="45">
        <v>-104.66394099999999</v>
      </c>
      <c r="K267" s="45">
        <v>3.6963417160000001</v>
      </c>
      <c r="L267" s="45">
        <v>4.2089999999999996</v>
      </c>
      <c r="M267" s="45" t="s">
        <v>617</v>
      </c>
      <c r="N267" s="159">
        <v>5</v>
      </c>
      <c r="O267" s="159">
        <v>6</v>
      </c>
      <c r="P267" s="45" t="s">
        <v>565</v>
      </c>
      <c r="Q267" s="45" t="s">
        <v>564</v>
      </c>
      <c r="R267" s="45">
        <v>41.98028</v>
      </c>
      <c r="S267" s="45">
        <v>-87.908997900000003</v>
      </c>
      <c r="T267" s="45">
        <v>1829.729</v>
      </c>
      <c r="U267" s="45" t="s">
        <v>617</v>
      </c>
      <c r="V267" s="45" t="s">
        <v>569</v>
      </c>
      <c r="W267" s="45" cm="1">
        <f t="array" ref="W267">getDistance(R267,S267,I267,J267)*SA!$B$12</f>
        <v>1593.20995403908</v>
      </c>
      <c r="Y267" s="16">
        <f>Transportation_LCIA!C$61*($W267^Transportation_LCIA!C$60)+Transportation_LCIA!C$62</f>
        <v>0.19553273234299895</v>
      </c>
      <c r="Z267" s="16">
        <f>Transportation_LCIA!D$61*($W267^Transportation_LCIA!D$60)+Transportation_LCIA!D$62</f>
        <v>1.9588444458659575</v>
      </c>
      <c r="AA267" s="16">
        <f>Transportation_LCIA!E$61*($W267^Transportation_LCIA!E$60)+Transportation_LCIA!E$62</f>
        <v>8.3826742042325975E-4</v>
      </c>
      <c r="AB267" s="16">
        <f>Transportation_LCIA!F$61*($W267^Transportation_LCIA!F$60)+Transportation_LCIA!F$62</f>
        <v>0.19553273234299895</v>
      </c>
      <c r="AC267" s="16">
        <f>Transportation_LCIA!G$61*($W267^Transportation_LCIA!G$60)+Transportation_LCIA!G$62</f>
        <v>4.5885588292221682E-2</v>
      </c>
      <c r="AD267" s="16">
        <f>Transportation_LCIA!H$61*($W267^Transportation_LCIA!H$60)+Transportation_LCIA!H$62</f>
        <v>2.0985315182102659E-4</v>
      </c>
      <c r="AE267" s="16">
        <f>Transportation_LCIA!I$61*($W267^Transportation_LCIA!I$60)+Transportation_LCIA!I$62</f>
        <v>4.2491234380754133E-6</v>
      </c>
      <c r="AF267" s="16">
        <f>Transportation_LCIA!J$61*($W267^Transportation_LCIA!J$60)+Transportation_LCIA!J$62</f>
        <v>6.2872388728940614E-3</v>
      </c>
      <c r="AG267" s="16">
        <f>Transportation_LCIA!K$61*($W267^Transportation_LCIA!K$60)+Transportation_LCIA!K$62</f>
        <v>9.5475413129355487E-3</v>
      </c>
      <c r="AH267" s="16">
        <f>Transportation_LCIA!L$61*($W267^Transportation_LCIA!L$60)+Transportation_LCIA!L$62</f>
        <v>1.7848669342834998E-4</v>
      </c>
      <c r="AI267" s="16">
        <f>Transportation_LCIA!M$61*($W267^Transportation_LCIA!M$60)+Transportation_LCIA!M$62</f>
        <v>2.0667346004888095E-4</v>
      </c>
      <c r="AJ267" s="16">
        <f>Transportation_LCIA!N$61*($W267^Transportation_LCIA!N$60)+Transportation_LCIA!N$62</f>
        <v>7.6462582741013705E-4</v>
      </c>
      <c r="AK267" s="16">
        <f>Transportation_LCIA!O$61*($W267^Transportation_LCIA!O$60)+Transportation_LCIA!O$62</f>
        <v>4.842634819101181E-5</v>
      </c>
      <c r="AL267" s="16">
        <f>Transportation_LCIA!P$61*($W267^Transportation_LCIA!P$60)+Transportation_LCIA!P$62</f>
        <v>2.3447868401759165E-8</v>
      </c>
      <c r="AM267" s="16">
        <f>Transportation_LCIA!Q$61*($W267^Transportation_LCIA!Q$60)+Transportation_LCIA!Q$62</f>
        <v>7.0980318257585326E-5</v>
      </c>
      <c r="AN267" s="16">
        <f>Transportation_LCIA!R$61*($W267^Transportation_LCIA!R$60)+Transportation_LCIA!R$62</f>
        <v>2.0461759255352533E-4</v>
      </c>
      <c r="AO267" s="16">
        <f>Transportation_LCIA!S$61*($W267^Transportation_LCIA!S$60)+Transportation_LCIA!S$62</f>
        <v>3.1609709341635757E-6</v>
      </c>
      <c r="AP267" s="16">
        <f>Transportation_LCIA!T$61*($W267^Transportation_LCIA!T$60)+Transportation_LCIA!T$62</f>
        <v>3.1609709341635757E-6</v>
      </c>
      <c r="AQ267" s="16">
        <f>Transportation_LCIA!U$61*($W267^Transportation_LCIA!U$60)+Transportation_LCIA!U$62</f>
        <v>4.3570797152885934E-4</v>
      </c>
      <c r="AR267" s="16">
        <f>Transportation_LCIA!V$61*($W267^Transportation_LCIA!V$60)+Transportation_LCIA!V$62</f>
        <v>1.8467908151412432E-4</v>
      </c>
      <c r="AT267" s="16">
        <f>$W267*Y267+($L267)*Summary_LCIA!H$32</f>
        <v>312.95491370932513</v>
      </c>
      <c r="AU267" s="16">
        <f>$W267*Z267+($L267)*Summary_LCIA!Q$32</f>
        <v>3141.7104858403063</v>
      </c>
      <c r="AV267" s="16">
        <f>$W267*AA267+($L267)*Summary_LCIA!R$32</f>
        <v>1.357698908765</v>
      </c>
      <c r="AW267" s="16">
        <f>$W267*AB267+($L267)*Summary_LCIA!S$32</f>
        <v>312.93630992932509</v>
      </c>
      <c r="AX267" s="16">
        <f>$W267*AC267+($L267)*Summary_LCIA!T$32</f>
        <v>73.567945114106649</v>
      </c>
      <c r="AY267" s="16">
        <f>$W267*AD267+($L267)*Summary_LCIA!U$32</f>
        <v>0.40974015636773387</v>
      </c>
      <c r="AZ267" s="16">
        <f>$W267*AE267+($L267)*Summary_LCIA!V$32</f>
        <v>6.9707718064825073E-3</v>
      </c>
      <c r="BA267" s="16">
        <f>$W267*AF267+($L267)*Summary_LCIA!W$32</f>
        <v>10.340862494716266</v>
      </c>
      <c r="BB267" s="16">
        <f>$W267*AG267+($L267)*Summary_LCIA!X$32</f>
        <v>15.307118876368262</v>
      </c>
      <c r="BC267" s="16">
        <f>$W267*AH267+($L267)*Summary_LCIA!Y$32</f>
        <v>0.34995141463356882</v>
      </c>
      <c r="BD267" s="16">
        <f>$W267*AI267+($L267)*Summary_LCIA!Z$32</f>
        <v>0.32944682066657527</v>
      </c>
      <c r="BE267" s="16">
        <f>$W267*AJ267+($L267)*Summary_LCIA!AA$32</f>
        <v>1.3165148833451978</v>
      </c>
      <c r="BF267" s="16">
        <f>$W267*AK267+($L267)*Summary_LCIA!AB$32</f>
        <v>7.7061486968682411E-2</v>
      </c>
      <c r="BG267" s="16">
        <f>$W267*AL267+($L267)*Summary_LCIA!AC$32</f>
        <v>3.7563130094681114E-5</v>
      </c>
      <c r="BH267" s="16">
        <f>$W267*AM267+($L267)*Summary_LCIA!AD$32</f>
        <v>0.11481661694884679</v>
      </c>
      <c r="BI267" s="16">
        <f>$W267*AN267+($L267)*Summary_LCIA!AE$32</f>
        <v>0.32972850639778928</v>
      </c>
      <c r="BJ267" s="16">
        <f>$W267*AO267+($L267)*Summary_LCIA!AF$32</f>
        <v>8.5944631367376179E-3</v>
      </c>
      <c r="BK267" s="16">
        <f>$W267*AP267+($L267)*Summary_LCIA!AG$32</f>
        <v>5.2514438417376186E-3</v>
      </c>
      <c r="BL267" s="16">
        <f>$W267*AQ267+($L267)*Summary_LCIA!AH$32</f>
        <v>0.7308077296939548</v>
      </c>
      <c r="BM267" s="16">
        <f>$W267*AR267+($L267)*Summary_LCIA!AI$32</f>
        <v>0.29815344492109752</v>
      </c>
      <c r="BN267" s="16"/>
    </row>
    <row r="268" spans="1:66" x14ac:dyDescent="0.25">
      <c r="A268" s="159">
        <v>142</v>
      </c>
      <c r="B268" s="159">
        <v>6</v>
      </c>
      <c r="C268" s="45">
        <v>30.122962999999999</v>
      </c>
      <c r="D268" s="45">
        <v>-97.611422000000005</v>
      </c>
      <c r="E268" s="45" t="s">
        <v>265</v>
      </c>
      <c r="F268" s="159">
        <v>92</v>
      </c>
      <c r="G268" s="45" t="s">
        <v>666</v>
      </c>
      <c r="H268" s="45" t="s">
        <v>667</v>
      </c>
      <c r="I268" s="45">
        <v>30.197471</v>
      </c>
      <c r="J268" s="45">
        <v>-97.666353000000001</v>
      </c>
      <c r="K268" s="45">
        <v>15.382665169999999</v>
      </c>
      <c r="L268" s="45">
        <v>15.595000000000001</v>
      </c>
      <c r="M268" s="45" t="s">
        <v>617</v>
      </c>
      <c r="N268" s="159">
        <v>5</v>
      </c>
      <c r="O268" s="159">
        <v>6</v>
      </c>
      <c r="P268" s="45" t="s">
        <v>565</v>
      </c>
      <c r="Q268" s="45" t="s">
        <v>564</v>
      </c>
      <c r="R268" s="45">
        <v>41.98028</v>
      </c>
      <c r="S268" s="45">
        <v>-87.908997900000003</v>
      </c>
      <c r="T268" s="45">
        <v>1830.2270000000001</v>
      </c>
      <c r="U268" s="45" t="s">
        <v>617</v>
      </c>
      <c r="V268" s="45" t="s">
        <v>569</v>
      </c>
      <c r="W268" s="45" cm="1">
        <f t="array" ref="W268">getDistance(R268,S268,I268,J268)*SA!$B$12</f>
        <v>1575.2575220458498</v>
      </c>
      <c r="Y268" s="16">
        <f>Transportation_LCIA!C$61*($W268^Transportation_LCIA!C$60)+Transportation_LCIA!C$62</f>
        <v>0.19633171878830921</v>
      </c>
      <c r="Z268" s="16">
        <f>Transportation_LCIA!D$61*($W268^Transportation_LCIA!D$60)+Transportation_LCIA!D$62</f>
        <v>1.9679824485164779</v>
      </c>
      <c r="AA268" s="16">
        <f>Transportation_LCIA!E$61*($W268^Transportation_LCIA!E$60)+Transportation_LCIA!E$62</f>
        <v>8.4424156539261459E-4</v>
      </c>
      <c r="AB268" s="16">
        <f>Transportation_LCIA!F$61*($W268^Transportation_LCIA!F$60)+Transportation_LCIA!F$62</f>
        <v>0.19633171878830921</v>
      </c>
      <c r="AC268" s="16">
        <f>Transportation_LCIA!G$61*($W268^Transportation_LCIA!G$60)+Transportation_LCIA!G$62</f>
        <v>4.6097251719088815E-2</v>
      </c>
      <c r="AD268" s="16">
        <f>Transportation_LCIA!H$61*($W268^Transportation_LCIA!H$60)+Transportation_LCIA!H$62</f>
        <v>2.1115211481011876E-4</v>
      </c>
      <c r="AE268" s="16">
        <f>Transportation_LCIA!I$61*($W268^Transportation_LCIA!I$60)+Transportation_LCIA!I$62</f>
        <v>4.2812383937410747E-6</v>
      </c>
      <c r="AF268" s="16">
        <f>Transportation_LCIA!J$61*($W268^Transportation_LCIA!J$60)+Transportation_LCIA!J$62</f>
        <v>6.3345062329674112E-3</v>
      </c>
      <c r="AG268" s="16">
        <f>Transportation_LCIA!K$61*($W268^Transportation_LCIA!K$60)+Transportation_LCIA!K$62</f>
        <v>9.5964496315269782E-3</v>
      </c>
      <c r="AH268" s="16">
        <f>Transportation_LCIA!L$61*($W268^Transportation_LCIA!L$60)+Transportation_LCIA!L$62</f>
        <v>1.7967476106705156E-4</v>
      </c>
      <c r="AI268" s="16">
        <f>Transportation_LCIA!M$61*($W268^Transportation_LCIA!M$60)+Transportation_LCIA!M$62</f>
        <v>2.0738990871772508E-4</v>
      </c>
      <c r="AJ268" s="16">
        <f>Transportation_LCIA!N$61*($W268^Transportation_LCIA!N$60)+Transportation_LCIA!N$62</f>
        <v>7.6899942106649333E-4</v>
      </c>
      <c r="AK268" s="16">
        <f>Transportation_LCIA!O$61*($W268^Transportation_LCIA!O$60)+Transportation_LCIA!O$62</f>
        <v>4.8651143184579487E-5</v>
      </c>
      <c r="AL268" s="16">
        <f>Transportation_LCIA!P$61*($W268^Transportation_LCIA!P$60)+Transportation_LCIA!P$62</f>
        <v>2.3556109695339234E-8</v>
      </c>
      <c r="AM268" s="16">
        <f>Transportation_LCIA!Q$61*($W268^Transportation_LCIA!Q$60)+Transportation_LCIA!Q$62</f>
        <v>7.1443570584843764E-5</v>
      </c>
      <c r="AN268" s="16">
        <f>Transportation_LCIA!R$61*($W268^Transportation_LCIA!R$60)+Transportation_LCIA!R$62</f>
        <v>2.0615692860190515E-4</v>
      </c>
      <c r="AO268" s="16">
        <f>Transportation_LCIA!S$61*($W268^Transportation_LCIA!S$60)+Transportation_LCIA!S$62</f>
        <v>3.1828350296720298E-6</v>
      </c>
      <c r="AP268" s="16">
        <f>Transportation_LCIA!T$61*($W268^Transportation_LCIA!T$60)+Transportation_LCIA!T$62</f>
        <v>3.1828350296720298E-6</v>
      </c>
      <c r="AQ268" s="16">
        <f>Transportation_LCIA!U$61*($W268^Transportation_LCIA!U$60)+Transportation_LCIA!U$62</f>
        <v>4.3907223131125399E-4</v>
      </c>
      <c r="AR268" s="16">
        <f>Transportation_LCIA!V$61*($W268^Transportation_LCIA!V$60)+Transportation_LCIA!V$62</f>
        <v>1.8587993651001495E-4</v>
      </c>
      <c r="AT268" s="16">
        <f>$W268*Y268+($L268)*Summary_LCIA!H$32</f>
        <v>314.57219783747456</v>
      </c>
      <c r="AU268" s="16">
        <f>$W268*Z268+($L268)*Summary_LCIA!Q$32</f>
        <v>3177.3687617824257</v>
      </c>
      <c r="AV268" s="16">
        <f>$W268*AA268+($L268)*Summary_LCIA!R$32</f>
        <v>1.4120149083084792</v>
      </c>
      <c r="AW268" s="16">
        <f>$W268*AB268+($L268)*Summary_LCIA!S$32</f>
        <v>314.50326793747456</v>
      </c>
      <c r="AX268" s="16">
        <f>$W268*AC268+($L268)*Summary_LCIA!T$32</f>
        <v>74.328933016135636</v>
      </c>
      <c r="AY268" s="16">
        <f>$W268*AD268+($L268)*Summary_LCIA!U$32</f>
        <v>0.61198778715052848</v>
      </c>
      <c r="AZ268" s="16">
        <f>$W268*AE268+($L268)*Summary_LCIA!V$32</f>
        <v>7.4888857784121193E-3</v>
      </c>
      <c r="BA268" s="16">
        <f>$W268*AF268+($L268)*Summary_LCIA!W$32</f>
        <v>11.178841336928235</v>
      </c>
      <c r="BB268" s="16">
        <f>$W268*AG268+($L268)*Summary_LCIA!X$32</f>
        <v>15.472133566996996</v>
      </c>
      <c r="BC268" s="16">
        <f>$W268*AH268+($L268)*Summary_LCIA!Y$32</f>
        <v>0.52603530889266381</v>
      </c>
      <c r="BD268" s="16">
        <f>$W268*AI268+($L268)*Summary_LCIA!Z$32</f>
        <v>0.3273320490589986</v>
      </c>
      <c r="BE268" s="16">
        <f>$W268*AJ268+($L268)*Summary_LCIA!AA$32</f>
        <v>1.5756089424838973</v>
      </c>
      <c r="BF268" s="16">
        <f>$W268*AK268+($L268)*Summary_LCIA!AB$32</f>
        <v>7.6297749572638518E-2</v>
      </c>
      <c r="BG268" s="16">
        <f>$W268*AL268+($L268)*Summary_LCIA!AC$32</f>
        <v>3.7869284967720298E-5</v>
      </c>
      <c r="BH268" s="16">
        <f>$W268*AM268+($L268)*Summary_LCIA!AD$32</f>
        <v>0.11895219076558876</v>
      </c>
      <c r="BI268" s="16">
        <f>$W268*AN268+($L268)*Summary_LCIA!AE$32</f>
        <v>0.33856944985202025</v>
      </c>
      <c r="BJ268" s="16">
        <f>$W268*AO268+($L268)*Summary_LCIA!AF$32</f>
        <v>1.8198109721921891E-2</v>
      </c>
      <c r="BK268" s="16">
        <f>$W268*AP268+($L268)*Summary_LCIA!AG$32</f>
        <v>5.8117029969218907E-3</v>
      </c>
      <c r="BL268" s="16">
        <f>$W268*AQ268+($L268)*Summary_LCIA!AH$32</f>
        <v>0.82738447709450813</v>
      </c>
      <c r="BM268" s="16">
        <f>$W268*AR268+($L268)*Summary_LCIA!AI$32</f>
        <v>0.30733629043480604</v>
      </c>
      <c r="BN268" s="16"/>
    </row>
    <row r="269" spans="1:66" x14ac:dyDescent="0.25">
      <c r="A269" s="159">
        <v>44</v>
      </c>
      <c r="B269" s="159">
        <v>6</v>
      </c>
      <c r="C269" s="45">
        <v>44.895567</v>
      </c>
      <c r="D269" s="45">
        <v>-68.673552999999998</v>
      </c>
      <c r="E269" s="45" t="s">
        <v>265</v>
      </c>
      <c r="F269" s="159">
        <v>133</v>
      </c>
      <c r="G269" s="45" t="s">
        <v>649</v>
      </c>
      <c r="H269" s="45" t="s">
        <v>650</v>
      </c>
      <c r="I269" s="45">
        <v>46.790733000000003</v>
      </c>
      <c r="J269" s="45">
        <v>-71.388600999999994</v>
      </c>
      <c r="K269" s="45">
        <v>330.02700069999997</v>
      </c>
      <c r="L269" s="45">
        <v>380.17899999999997</v>
      </c>
      <c r="M269" s="45" t="s">
        <v>617</v>
      </c>
      <c r="N269" s="159">
        <v>5</v>
      </c>
      <c r="O269" s="159">
        <v>6</v>
      </c>
      <c r="P269" s="45" t="s">
        <v>565</v>
      </c>
      <c r="Q269" s="45" t="s">
        <v>564</v>
      </c>
      <c r="R269" s="45">
        <v>41.98028</v>
      </c>
      <c r="S269" s="45">
        <v>-87.908997900000003</v>
      </c>
      <c r="T269" s="45">
        <v>1988.0350000000001</v>
      </c>
      <c r="U269" s="45" t="s">
        <v>617</v>
      </c>
      <c r="V269" s="45" t="s">
        <v>569</v>
      </c>
      <c r="W269" s="45" cm="1">
        <f t="array" ref="W269">getDistance(R269,S269,I269,J269)*SA!$B$12</f>
        <v>1417.7032437478433</v>
      </c>
      <c r="Y269" s="16">
        <f>Transportation_LCIA!C$61*($W269^Transportation_LCIA!C$60)+Transportation_LCIA!C$62</f>
        <v>0.2041370257711092</v>
      </c>
      <c r="Z269" s="16">
        <f>Transportation_LCIA!D$61*($W269^Transportation_LCIA!D$60)+Transportation_LCIA!D$62</f>
        <v>2.0574812044828477</v>
      </c>
      <c r="AA269" s="16">
        <f>Transportation_LCIA!E$61*($W269^Transportation_LCIA!E$60)+Transportation_LCIA!E$62</f>
        <v>9.0279535410081276E-4</v>
      </c>
      <c r="AB269" s="16">
        <f>Transportation_LCIA!F$61*($W269^Transportation_LCIA!F$60)+Transportation_LCIA!F$62</f>
        <v>0.2041370257711092</v>
      </c>
      <c r="AC269" s="16">
        <f>Transportation_LCIA!G$61*($W269^Transportation_LCIA!G$60)+Transportation_LCIA!G$62</f>
        <v>4.8169999627272815E-2</v>
      </c>
      <c r="AD269" s="16">
        <f>Transportation_LCIA!H$61*($W269^Transportation_LCIA!H$60)+Transportation_LCIA!H$62</f>
        <v>2.2390168477088099E-4</v>
      </c>
      <c r="AE269" s="16">
        <f>Transportation_LCIA!I$61*($W269^Transportation_LCIA!I$60)+Transportation_LCIA!I$62</f>
        <v>4.597178216654961E-6</v>
      </c>
      <c r="AF269" s="16">
        <f>Transportation_LCIA!J$61*($W269^Transportation_LCIA!J$60)+Transportation_LCIA!J$62</f>
        <v>6.8002112398043739E-3</v>
      </c>
      <c r="AG269" s="16">
        <f>Transportation_LCIA!K$61*($W269^Transportation_LCIA!K$60)+Transportation_LCIA!K$62</f>
        <v>1.0076014096352344E-2</v>
      </c>
      <c r="AH269" s="16">
        <f>Transportation_LCIA!L$61*($W269^Transportation_LCIA!L$60)+Transportation_LCIA!L$62</f>
        <v>1.9134350565243861E-4</v>
      </c>
      <c r="AI269" s="16">
        <f>Transportation_LCIA!M$61*($W269^Transportation_LCIA!M$60)+Transportation_LCIA!M$62</f>
        <v>2.1442253590527068E-4</v>
      </c>
      <c r="AJ269" s="16">
        <f>Transportation_LCIA!N$61*($W269^Transportation_LCIA!N$60)+Transportation_LCIA!N$62</f>
        <v>8.119192399808114E-4</v>
      </c>
      <c r="AK269" s="16">
        <f>Transportation_LCIA!O$61*($W269^Transportation_LCIA!O$60)+Transportation_LCIA!O$62</f>
        <v>5.0852639431925371E-5</v>
      </c>
      <c r="AL269" s="16">
        <f>Transportation_LCIA!P$61*($W269^Transportation_LCIA!P$60)+Transportation_LCIA!P$62</f>
        <v>2.4615952182396549E-8</v>
      </c>
      <c r="AM269" s="16">
        <f>Transportation_LCIA!Q$61*($W269^Transportation_LCIA!Q$60)+Transportation_LCIA!Q$62</f>
        <v>7.5995060955657209E-5</v>
      </c>
      <c r="AN269" s="16">
        <f>Transportation_LCIA!R$61*($W269^Transportation_LCIA!R$60)+Transportation_LCIA!R$62</f>
        <v>2.2130141720788209E-4</v>
      </c>
      <c r="AO269" s="16">
        <f>Transportation_LCIA!S$61*($W269^Transportation_LCIA!S$60)+Transportation_LCIA!S$62</f>
        <v>3.3979189680714746E-6</v>
      </c>
      <c r="AP269" s="16">
        <f>Transportation_LCIA!T$61*($W269^Transportation_LCIA!T$60)+Transportation_LCIA!T$62</f>
        <v>3.3979189680714746E-6</v>
      </c>
      <c r="AQ269" s="16">
        <f>Transportation_LCIA!U$61*($W269^Transportation_LCIA!U$60)+Transportation_LCIA!U$62</f>
        <v>4.7218535236601616E-4</v>
      </c>
      <c r="AR269" s="16">
        <f>Transportation_LCIA!V$61*($W269^Transportation_LCIA!V$60)+Transportation_LCIA!V$62</f>
        <v>1.9768379560843296E-4</v>
      </c>
      <c r="AT269" s="16">
        <f>$W269*Y269+($L269)*Summary_LCIA!H$32</f>
        <v>418.59054780473861</v>
      </c>
      <c r="AU269" s="16">
        <f>$W269*Z269+($L269)*Summary_LCIA!Q$32</f>
        <v>4801.08407511306</v>
      </c>
      <c r="AV269" s="16">
        <f>$W269*AA269+($L269)*Summary_LCIA!R$32</f>
        <v>3.2817664443492047</v>
      </c>
      <c r="AW269" s="16">
        <f>$W269*AB269+($L269)*Summary_LCIA!S$32</f>
        <v>416.91015662473865</v>
      </c>
      <c r="AX269" s="16">
        <f>$W269*AC269+($L269)*Summary_LCIA!T$32</f>
        <v>110.07243682291707</v>
      </c>
      <c r="AY269" s="16">
        <f>$W269*AD269+($L269)*Summary_LCIA!U$32</f>
        <v>7.1279527507802838</v>
      </c>
      <c r="AZ269" s="16">
        <f>$W269*AE269+($L269)*Summary_LCIA!V$32</f>
        <v>2.4675163688838663E-2</v>
      </c>
      <c r="BA269" s="16">
        <f>$W269*AF269+($L269)*Summary_LCIA!W$32</f>
        <v>38.903439341841199</v>
      </c>
      <c r="BB269" s="16">
        <f>$W269*AG269+($L269)*Summary_LCIA!X$32</f>
        <v>22.945275488447713</v>
      </c>
      <c r="BC269" s="16">
        <f>$W269*AH269+($L269)*Summary_LCIA!Y$32</f>
        <v>6.1952174866335463</v>
      </c>
      <c r="BD269" s="16">
        <f>$W269*AI269+($L269)*Summary_LCIA!Z$32</f>
        <v>0.31957828529654064</v>
      </c>
      <c r="BE269" s="16">
        <f>$W269*AJ269+($L269)*Summary_LCIA!AA$32</f>
        <v>10.030521264182079</v>
      </c>
      <c r="BF269" s="16">
        <f>$W269*AK269+($L269)*Summary_LCIA!AB$32</f>
        <v>6.3797305558780076E-2</v>
      </c>
      <c r="BG269" s="16">
        <f>$W269*AL269+($L269)*Summary_LCIA!AC$32</f>
        <v>5.3482785492925397E-5</v>
      </c>
      <c r="BH269" s="16">
        <f>$W269*AM269+($L269)*Summary_LCIA!AD$32</f>
        <v>0.26400722058565029</v>
      </c>
      <c r="BI269" s="16">
        <f>$W269*AN269+($L269)*Summary_LCIA!AE$32</f>
        <v>0.65062775429160924</v>
      </c>
      <c r="BJ269" s="16">
        <f>$W269*AO269+($L269)*Summary_LCIA!AF$32</f>
        <v>0.32622817092302725</v>
      </c>
      <c r="BK269" s="16">
        <f>$W269*AP269+($L269)*Summary_LCIA!AG$32</f>
        <v>2.4269099278027253E-2</v>
      </c>
      <c r="BL269" s="16">
        <f>$W269*AQ269+($L269)*Summary_LCIA!AH$32</f>
        <v>3.9783446500995194</v>
      </c>
      <c r="BM269" s="16">
        <f>$W269*AR269+($L269)*Summary_LCIA!AI$32</f>
        <v>0.63441270572046105</v>
      </c>
      <c r="BN269" s="16"/>
    </row>
    <row r="270" spans="1:66" x14ac:dyDescent="0.25">
      <c r="A270" s="159">
        <v>128</v>
      </c>
      <c r="B270" s="159">
        <v>6</v>
      </c>
      <c r="C270" s="45">
        <v>35.686974999999997</v>
      </c>
      <c r="D270" s="45">
        <v>-105.937799</v>
      </c>
      <c r="E270" s="45" t="s">
        <v>265</v>
      </c>
      <c r="F270" s="159">
        <v>119</v>
      </c>
      <c r="G270" s="45" t="s">
        <v>676</v>
      </c>
      <c r="H270" s="45" t="s">
        <v>677</v>
      </c>
      <c r="I270" s="45">
        <v>35.043332999999997</v>
      </c>
      <c r="J270" s="45">
        <v>-106.612909</v>
      </c>
      <c r="K270" s="45">
        <v>132.83882500000001</v>
      </c>
      <c r="L270" s="45">
        <v>108.321</v>
      </c>
      <c r="M270" s="45" t="s">
        <v>617</v>
      </c>
      <c r="N270" s="159">
        <v>5</v>
      </c>
      <c r="O270" s="159">
        <v>6</v>
      </c>
      <c r="P270" s="45" t="s">
        <v>565</v>
      </c>
      <c r="Q270" s="45" t="s">
        <v>564</v>
      </c>
      <c r="R270" s="45">
        <v>41.98028</v>
      </c>
      <c r="S270" s="45">
        <v>-87.908997900000003</v>
      </c>
      <c r="T270" s="45">
        <v>2036.2809999999999</v>
      </c>
      <c r="U270" s="45" t="s">
        <v>617</v>
      </c>
      <c r="V270" s="45" t="s">
        <v>569</v>
      </c>
      <c r="W270" s="45" cm="1">
        <f t="array" ref="W270">getDistance(R270,S270,I270,J270)*SA!$B$12</f>
        <v>1799.4552047865864</v>
      </c>
      <c r="Y270" s="16">
        <f>Transportation_LCIA!C$61*($W270^Transportation_LCIA!C$60)+Transportation_LCIA!C$62</f>
        <v>0.18741210952832638</v>
      </c>
      <c r="Z270" s="16">
        <f>Transportation_LCIA!D$61*($W270^Transportation_LCIA!D$60)+Transportation_LCIA!D$62</f>
        <v>1.8662325870477474</v>
      </c>
      <c r="AA270" s="16">
        <f>Transportation_LCIA!E$61*($W270^Transportation_LCIA!E$60)+Transportation_LCIA!E$62</f>
        <v>7.7776896386688699E-4</v>
      </c>
      <c r="AB270" s="16">
        <f>Transportation_LCIA!F$61*($W270^Transportation_LCIA!F$60)+Transportation_LCIA!F$62</f>
        <v>0.18741210952832638</v>
      </c>
      <c r="AC270" s="16">
        <f>Transportation_LCIA!G$61*($W270^Transportation_LCIA!G$60)+Transportation_LCIA!G$62</f>
        <v>4.3740065560254671E-2</v>
      </c>
      <c r="AD270" s="16">
        <f>Transportation_LCIA!H$61*($W270^Transportation_LCIA!H$60)+Transportation_LCIA!H$62</f>
        <v>1.9671965094143705E-4</v>
      </c>
      <c r="AE270" s="16">
        <f>Transportation_LCIA!I$61*($W270^Transportation_LCIA!I$60)+Transportation_LCIA!I$62</f>
        <v>3.9252399959835717E-6</v>
      </c>
      <c r="AF270" s="16">
        <f>Transportation_LCIA!J$61*($W270^Transportation_LCIA!J$60)+Transportation_LCIA!J$62</f>
        <v>5.8113308310632269E-3</v>
      </c>
      <c r="AG270" s="16">
        <f>Transportation_LCIA!K$61*($W270^Transportation_LCIA!K$60)+Transportation_LCIA!K$62</f>
        <v>9.0524940156651544E-3</v>
      </c>
      <c r="AH270" s="16">
        <f>Transportation_LCIA!L$61*($W270^Transportation_LCIA!L$60)+Transportation_LCIA!L$62</f>
        <v>1.6648310975722405E-4</v>
      </c>
      <c r="AI270" s="16">
        <f>Transportation_LCIA!M$61*($W270^Transportation_LCIA!M$60)+Transportation_LCIA!M$62</f>
        <v>1.994302427678964E-4</v>
      </c>
      <c r="AJ270" s="16">
        <f>Transportation_LCIA!N$61*($W270^Transportation_LCIA!N$60)+Transportation_LCIA!N$62</f>
        <v>7.2039655470773395E-4</v>
      </c>
      <c r="AK270" s="16">
        <f>Transportation_LCIA!O$61*($W270^Transportation_LCIA!O$60)+Transportation_LCIA!O$62</f>
        <v>4.6147895482909169E-5</v>
      </c>
      <c r="AL270" s="16">
        <f>Transportation_LCIA!P$61*($W270^Transportation_LCIA!P$60)+Transportation_LCIA!P$62</f>
        <v>2.2350536135057485E-8</v>
      </c>
      <c r="AM270" s="16">
        <f>Transportation_LCIA!Q$61*($W270^Transportation_LCIA!Q$60)+Transportation_LCIA!Q$62</f>
        <v>6.6301692188873318E-5</v>
      </c>
      <c r="AN270" s="16">
        <f>Transportation_LCIA!R$61*($W270^Transportation_LCIA!R$60)+Transportation_LCIA!R$62</f>
        <v>1.8909414304345409E-4</v>
      </c>
      <c r="AO270" s="16">
        <f>Transportation_LCIA!S$61*($W270^Transportation_LCIA!S$60)+Transportation_LCIA!S$62</f>
        <v>2.9404571998212598E-6</v>
      </c>
      <c r="AP270" s="16">
        <f>Transportation_LCIA!T$61*($W270^Transportation_LCIA!T$60)+Transportation_LCIA!T$62</f>
        <v>2.9404571998212598E-6</v>
      </c>
      <c r="AQ270" s="16">
        <f>Transportation_LCIA!U$61*($W270^Transportation_LCIA!U$60)+Transportation_LCIA!U$62</f>
        <v>4.0179738274225436E-4</v>
      </c>
      <c r="AR270" s="16">
        <f>Transportation_LCIA!V$61*($W270^Transportation_LCIA!V$60)+Transportation_LCIA!V$62</f>
        <v>1.7255710874272521E-4</v>
      </c>
      <c r="AT270" s="16">
        <f>$W270*Y270+($L270)*Summary_LCIA!H$32</f>
        <v>374.04717173078069</v>
      </c>
      <c r="AU270" s="16">
        <f>$W270*Z270+($L270)*Summary_LCIA!Q$32</f>
        <v>3895.0462810583981</v>
      </c>
      <c r="AV270" s="16">
        <f>$W270*AA270+($L270)*Summary_LCIA!R$32</f>
        <v>1.9699354677517402</v>
      </c>
      <c r="AW270" s="16">
        <f>$W270*AB270+($L270)*Summary_LCIA!S$32</f>
        <v>373.56839291078069</v>
      </c>
      <c r="AX270" s="16">
        <f>$W270*AC270+($L270)*Summary_LCIA!T$32</f>
        <v>90.612766530106782</v>
      </c>
      <c r="AY270" s="16">
        <f>$W270*AD270+($L270)*Summary_LCIA!U$32</f>
        <v>2.2944505937703692</v>
      </c>
      <c r="AZ270" s="16">
        <f>$W270*AE270+($L270)*Summary_LCIA!V$32</f>
        <v>1.2236812821809117E-2</v>
      </c>
      <c r="BA270" s="16">
        <f>$W270*AF270+($L270)*Summary_LCIA!W$32</f>
        <v>18.794805201693482</v>
      </c>
      <c r="BB270" s="16">
        <f>$W270*AG270+($L270)*Summary_LCIA!X$32</f>
        <v>18.757109852788087</v>
      </c>
      <c r="BC270" s="16">
        <f>$W270*AH270+($L270)*Summary_LCIA!Y$32</f>
        <v>1.9874367203616934</v>
      </c>
      <c r="BD270" s="16">
        <f>$W270*AI270+($L270)*Summary_LCIA!Z$32</f>
        <v>0.36330792422954367</v>
      </c>
      <c r="BE270" s="16">
        <f>$W270*AJ270+($L270)*Summary_LCIA!AA$32</f>
        <v>3.8262666058791566</v>
      </c>
      <c r="BF270" s="16">
        <f>$W270*AK270+($L270)*Summary_LCIA!AB$32</f>
        <v>8.0677181533668305E-2</v>
      </c>
      <c r="BG270" s="16">
        <f>$W270*AL270+($L270)*Summary_LCIA!AC$32</f>
        <v>4.5513952341999866E-5</v>
      </c>
      <c r="BH270" s="16">
        <f>$W270*AM270+($L270)*Summary_LCIA!AD$32</f>
        <v>0.16383118893542625</v>
      </c>
      <c r="BI270" s="16">
        <f>$W270*AN270+($L270)*Summary_LCIA!AE$32</f>
        <v>0.43625292762420276</v>
      </c>
      <c r="BJ270" s="16">
        <f>$W270*AO270+($L270)*Summary_LCIA!AF$32</f>
        <v>9.686796083267056E-2</v>
      </c>
      <c r="BK270" s="16">
        <f>$W270*AP270+($L270)*Summary_LCIA!AG$32</f>
        <v>1.0833464977670557E-2</v>
      </c>
      <c r="BL270" s="16">
        <f>$W270*AQ270+($L270)*Summary_LCIA!AH$32</f>
        <v>1.6657990472451778</v>
      </c>
      <c r="BM270" s="16">
        <f>$W270*AR270+($L270)*Summary_LCIA!AI$32</f>
        <v>0.41141521500002187</v>
      </c>
      <c r="BN270" s="16"/>
    </row>
    <row r="271" spans="1:66" x14ac:dyDescent="0.25">
      <c r="A271" s="159">
        <v>127</v>
      </c>
      <c r="B271" s="159">
        <v>6</v>
      </c>
      <c r="C271" s="45">
        <v>35.084386000000002</v>
      </c>
      <c r="D271" s="45">
        <v>-106.65042200000001</v>
      </c>
      <c r="E271" s="45" t="s">
        <v>265</v>
      </c>
      <c r="F271" s="159">
        <v>119</v>
      </c>
      <c r="G271" s="45" t="s">
        <v>676</v>
      </c>
      <c r="H271" s="45" t="s">
        <v>677</v>
      </c>
      <c r="I271" s="45">
        <v>35.043332999999997</v>
      </c>
      <c r="J271" s="45">
        <v>-106.612909</v>
      </c>
      <c r="K271" s="45">
        <v>9.8032842630000001</v>
      </c>
      <c r="L271" s="45">
        <v>7.4539999999999997</v>
      </c>
      <c r="M271" s="45" t="s">
        <v>617</v>
      </c>
      <c r="N271" s="159">
        <v>5</v>
      </c>
      <c r="O271" s="159">
        <v>6</v>
      </c>
      <c r="P271" s="45" t="s">
        <v>565</v>
      </c>
      <c r="Q271" s="45" t="s">
        <v>564</v>
      </c>
      <c r="R271" s="45">
        <v>41.98028</v>
      </c>
      <c r="S271" s="45">
        <v>-87.908997900000003</v>
      </c>
      <c r="T271" s="45">
        <v>2154.0100000000002</v>
      </c>
      <c r="U271" s="45" t="s">
        <v>617</v>
      </c>
      <c r="V271" s="45" t="s">
        <v>569</v>
      </c>
      <c r="W271" s="45" cm="1">
        <f t="array" ref="W271">getDistance(R271,S271,I271,J271)*SA!$B$12</f>
        <v>1799.4552047865864</v>
      </c>
      <c r="Y271" s="16">
        <f>Transportation_LCIA!C$61*($W271^Transportation_LCIA!C$60)+Transportation_LCIA!C$62</f>
        <v>0.18741210952832638</v>
      </c>
      <c r="Z271" s="16">
        <f>Transportation_LCIA!D$61*($W271^Transportation_LCIA!D$60)+Transportation_LCIA!D$62</f>
        <v>1.8662325870477474</v>
      </c>
      <c r="AA271" s="16">
        <f>Transportation_LCIA!E$61*($W271^Transportation_LCIA!E$60)+Transportation_LCIA!E$62</f>
        <v>7.7776896386688699E-4</v>
      </c>
      <c r="AB271" s="16">
        <f>Transportation_LCIA!F$61*($W271^Transportation_LCIA!F$60)+Transportation_LCIA!F$62</f>
        <v>0.18741210952832638</v>
      </c>
      <c r="AC271" s="16">
        <f>Transportation_LCIA!G$61*($W271^Transportation_LCIA!G$60)+Transportation_LCIA!G$62</f>
        <v>4.3740065560254671E-2</v>
      </c>
      <c r="AD271" s="16">
        <f>Transportation_LCIA!H$61*($W271^Transportation_LCIA!H$60)+Transportation_LCIA!H$62</f>
        <v>1.9671965094143705E-4</v>
      </c>
      <c r="AE271" s="16">
        <f>Transportation_LCIA!I$61*($W271^Transportation_LCIA!I$60)+Transportation_LCIA!I$62</f>
        <v>3.9252399959835717E-6</v>
      </c>
      <c r="AF271" s="16">
        <f>Transportation_LCIA!J$61*($W271^Transportation_LCIA!J$60)+Transportation_LCIA!J$62</f>
        <v>5.8113308310632269E-3</v>
      </c>
      <c r="AG271" s="16">
        <f>Transportation_LCIA!K$61*($W271^Transportation_LCIA!K$60)+Transportation_LCIA!K$62</f>
        <v>9.0524940156651544E-3</v>
      </c>
      <c r="AH271" s="16">
        <f>Transportation_LCIA!L$61*($W271^Transportation_LCIA!L$60)+Transportation_LCIA!L$62</f>
        <v>1.6648310975722405E-4</v>
      </c>
      <c r="AI271" s="16">
        <f>Transportation_LCIA!M$61*($W271^Transportation_LCIA!M$60)+Transportation_LCIA!M$62</f>
        <v>1.994302427678964E-4</v>
      </c>
      <c r="AJ271" s="16">
        <f>Transportation_LCIA!N$61*($W271^Transportation_LCIA!N$60)+Transportation_LCIA!N$62</f>
        <v>7.2039655470773395E-4</v>
      </c>
      <c r="AK271" s="16">
        <f>Transportation_LCIA!O$61*($W271^Transportation_LCIA!O$60)+Transportation_LCIA!O$62</f>
        <v>4.6147895482909169E-5</v>
      </c>
      <c r="AL271" s="16">
        <f>Transportation_LCIA!P$61*($W271^Transportation_LCIA!P$60)+Transportation_LCIA!P$62</f>
        <v>2.2350536135057485E-8</v>
      </c>
      <c r="AM271" s="16">
        <f>Transportation_LCIA!Q$61*($W271^Transportation_LCIA!Q$60)+Transportation_LCIA!Q$62</f>
        <v>6.6301692188873318E-5</v>
      </c>
      <c r="AN271" s="16">
        <f>Transportation_LCIA!R$61*($W271^Transportation_LCIA!R$60)+Transportation_LCIA!R$62</f>
        <v>1.8909414304345409E-4</v>
      </c>
      <c r="AO271" s="16">
        <f>Transportation_LCIA!S$61*($W271^Transportation_LCIA!S$60)+Transportation_LCIA!S$62</f>
        <v>2.9404571998212598E-6</v>
      </c>
      <c r="AP271" s="16">
        <f>Transportation_LCIA!T$61*($W271^Transportation_LCIA!T$60)+Transportation_LCIA!T$62</f>
        <v>2.9404571998212598E-6</v>
      </c>
      <c r="AQ271" s="16">
        <f>Transportation_LCIA!U$61*($W271^Transportation_LCIA!U$60)+Transportation_LCIA!U$62</f>
        <v>4.0179738274225436E-4</v>
      </c>
      <c r="AR271" s="16">
        <f>Transportation_LCIA!V$61*($W271^Transportation_LCIA!V$60)+Transportation_LCIA!V$62</f>
        <v>1.7255710874272521E-4</v>
      </c>
      <c r="AT271" s="16">
        <f>$W271*Y271+($L271)*Summary_LCIA!H$32</f>
        <v>339.77256513078066</v>
      </c>
      <c r="AU271" s="16">
        <f>$W271*Z271+($L271)*Summary_LCIA!Q$32</f>
        <v>3395.144342032987</v>
      </c>
      <c r="AV271" s="16">
        <f>$W271*AA271+($L271)*Summary_LCIA!R$32</f>
        <v>1.4388101925517403</v>
      </c>
      <c r="AW271" s="16">
        <f>$W271*AB271+($L271)*Summary_LCIA!S$32</f>
        <v>339.73961845078065</v>
      </c>
      <c r="AX271" s="16">
        <f>$W271*AC271+($L271)*Summary_LCIA!T$32</f>
        <v>79.527483230106782</v>
      </c>
      <c r="AY271" s="16">
        <f>$W271*AD271+($L271)*Summary_LCIA!U$32</f>
        <v>0.48751915577036936</v>
      </c>
      <c r="AZ271" s="16">
        <f>$W271*AE271+($L271)*Summary_LCIA!V$32</f>
        <v>7.4193040348091172E-3</v>
      </c>
      <c r="BA271" s="16">
        <f>$W271*AF271+($L271)*Summary_LCIA!W$32</f>
        <v>11.030971344693482</v>
      </c>
      <c r="BB271" s="16">
        <f>$W271*AG271+($L271)*Summary_LCIA!X$32</f>
        <v>16.459359592788086</v>
      </c>
      <c r="BC271" s="16">
        <f>$W271*AH271+($L271)*Summary_LCIA!Y$32</f>
        <v>0.41572712636169329</v>
      </c>
      <c r="BD271" s="16">
        <f>$W271*AI271+($L271)*Summary_LCIA!Z$32</f>
        <v>0.35917146942654365</v>
      </c>
      <c r="BE271" s="16">
        <f>$W271*AJ271+($L271)*Summary_LCIA!AA$32</f>
        <v>1.4704169538791567</v>
      </c>
      <c r="BF271" s="16">
        <f>$W271*AK271+($L271)*Summary_LCIA!AB$32</f>
        <v>8.2878402074668303E-2</v>
      </c>
      <c r="BG271" s="16">
        <f>$W271*AL271+($L271)*Summary_LCIA!AC$32</f>
        <v>4.0583169913999863E-5</v>
      </c>
      <c r="BH271" s="16">
        <f>$W271*AM271+($L271)*Summary_LCIA!AD$32</f>
        <v>0.12237081725542624</v>
      </c>
      <c r="BI271" s="16">
        <f>$W271*AN271+($L271)*Summary_LCIA!AE$32</f>
        <v>0.34687165291420274</v>
      </c>
      <c r="BJ271" s="16">
        <f>$W271*AO271+($L271)*Summary_LCIA!AF$32</f>
        <v>1.1592981692670557E-2</v>
      </c>
      <c r="BK271" s="16">
        <f>$W271*AP271+($L271)*Summary_LCIA!AG$32</f>
        <v>5.6726049226705566E-3</v>
      </c>
      <c r="BL271" s="16">
        <f>$W271*AQ271+($L271)*Summary_LCIA!AH$32</f>
        <v>0.78789302604517775</v>
      </c>
      <c r="BM271" s="16">
        <f>$W271*AR271+($L271)*Summary_LCIA!AI$32</f>
        <v>0.31745256115002185</v>
      </c>
      <c r="BN271" s="16"/>
    </row>
    <row r="272" spans="1:66" x14ac:dyDescent="0.25">
      <c r="A272" s="159">
        <v>267</v>
      </c>
      <c r="B272" s="159">
        <v>6</v>
      </c>
      <c r="C272" s="45">
        <v>26.301392</v>
      </c>
      <c r="D272" s="45">
        <v>-80.632692000000006</v>
      </c>
      <c r="E272" s="45" t="s">
        <v>265</v>
      </c>
      <c r="F272" s="159">
        <v>79</v>
      </c>
      <c r="G272" s="45" t="s">
        <v>711</v>
      </c>
      <c r="H272" s="45" t="s">
        <v>712</v>
      </c>
      <c r="I272" s="45">
        <v>26.074234000000001</v>
      </c>
      <c r="J272" s="45">
        <v>-80.150602000000006</v>
      </c>
      <c r="K272" s="45">
        <v>58.788354300000002</v>
      </c>
      <c r="L272" s="45">
        <v>65.929000000000002</v>
      </c>
      <c r="M272" s="45" t="s">
        <v>617</v>
      </c>
      <c r="N272" s="159">
        <v>5</v>
      </c>
      <c r="O272" s="159">
        <v>6</v>
      </c>
      <c r="P272" s="45" t="s">
        <v>565</v>
      </c>
      <c r="Q272" s="45" t="s">
        <v>564</v>
      </c>
      <c r="R272" s="45">
        <v>41.98028</v>
      </c>
      <c r="S272" s="45">
        <v>-87.908997900000003</v>
      </c>
      <c r="T272" s="45">
        <v>2182.145</v>
      </c>
      <c r="U272" s="45" t="s">
        <v>617</v>
      </c>
      <c r="V272" s="45" t="s">
        <v>569</v>
      </c>
      <c r="W272" s="45" cm="1">
        <f t="array" ref="W272">getDistance(R272,S272,I272,J272)*SA!$B$12</f>
        <v>1905.9794580989128</v>
      </c>
      <c r="Y272" s="16">
        <f>Transportation_LCIA!C$61*($W272^Transportation_LCIA!C$60)+Transportation_LCIA!C$62</f>
        <v>0.18385461454506022</v>
      </c>
      <c r="Z272" s="16">
        <f>Transportation_LCIA!D$61*($W272^Transportation_LCIA!D$60)+Transportation_LCIA!D$62</f>
        <v>1.8258200446826822</v>
      </c>
      <c r="AA272" s="16">
        <f>Transportation_LCIA!E$61*($W272^Transportation_LCIA!E$60)+Transportation_LCIA!E$62</f>
        <v>7.5139870106735859E-4</v>
      </c>
      <c r="AB272" s="16">
        <f>Transportation_LCIA!F$61*($W272^Transportation_LCIA!F$60)+Transportation_LCIA!F$62</f>
        <v>0.18385461454506022</v>
      </c>
      <c r="AC272" s="16">
        <f>Transportation_LCIA!G$61*($W272^Transportation_LCIA!G$60)+Transportation_LCIA!G$62</f>
        <v>4.2803620780021097E-2</v>
      </c>
      <c r="AD272" s="16">
        <f>Transportation_LCIA!H$61*($W272^Transportation_LCIA!H$60)+Transportation_LCIA!H$62</f>
        <v>1.9100745024241633E-4</v>
      </c>
      <c r="AE272" s="16">
        <f>Transportation_LCIA!I$61*($W272^Transportation_LCIA!I$60)+Transportation_LCIA!I$62</f>
        <v>3.7848663450329125E-6</v>
      </c>
      <c r="AF272" s="16">
        <f>Transportation_LCIA!J$61*($W272^Transportation_LCIA!J$60)+Transportation_LCIA!J$62</f>
        <v>5.6055416538454564E-3</v>
      </c>
      <c r="AG272" s="16">
        <f>Transportation_LCIA!K$61*($W272^Transportation_LCIA!K$60)+Transportation_LCIA!K$62</f>
        <v>8.8368517132322941E-3</v>
      </c>
      <c r="AH272" s="16">
        <f>Transportation_LCIA!L$61*($W272^Transportation_LCIA!L$60)+Transportation_LCIA!L$62</f>
        <v>1.6126756868514925E-4</v>
      </c>
      <c r="AI272" s="16">
        <f>Transportation_LCIA!M$61*($W272^Transportation_LCIA!M$60)+Transportation_LCIA!M$62</f>
        <v>1.9628029860217349E-4</v>
      </c>
      <c r="AJ272" s="16">
        <f>Transportation_LCIA!N$61*($W272^Transportation_LCIA!N$60)+Transportation_LCIA!N$62</f>
        <v>7.0115438666789351E-4</v>
      </c>
      <c r="AK272" s="16">
        <f>Transportation_LCIA!O$61*($W272^Transportation_LCIA!O$60)+Transportation_LCIA!O$62</f>
        <v>4.5153538793819462E-5</v>
      </c>
      <c r="AL272" s="16">
        <f>Transportation_LCIA!P$61*($W272^Transportation_LCIA!P$60)+Transportation_LCIA!P$62</f>
        <v>2.1871501191856296E-8</v>
      </c>
      <c r="AM272" s="16">
        <f>Transportation_LCIA!Q$61*($W272^Transportation_LCIA!Q$60)+Transportation_LCIA!Q$62</f>
        <v>6.4269930331819656E-5</v>
      </c>
      <c r="AN272" s="16">
        <f>Transportation_LCIA!R$61*($W272^Transportation_LCIA!R$60)+Transportation_LCIA!R$62</f>
        <v>1.8236672835213652E-4</v>
      </c>
      <c r="AO272" s="16">
        <f>Transportation_LCIA!S$61*($W272^Transportation_LCIA!S$60)+Transportation_LCIA!S$62</f>
        <v>2.8448778767569763E-6</v>
      </c>
      <c r="AP272" s="16">
        <f>Transportation_LCIA!T$61*($W272^Transportation_LCIA!T$60)+Transportation_LCIA!T$62</f>
        <v>2.8448778767569763E-6</v>
      </c>
      <c r="AQ272" s="16">
        <f>Transportation_LCIA!U$61*($W272^Transportation_LCIA!U$60)+Transportation_LCIA!U$62</f>
        <v>3.8711130715384683E-4</v>
      </c>
      <c r="AR272" s="16">
        <f>Transportation_LCIA!V$61*($W272^Transportation_LCIA!V$60)+Transportation_LCIA!V$62</f>
        <v>1.6729662166238449E-4</v>
      </c>
      <c r="AT272" s="16">
        <f>$W272*Y272+($L272)*Summary_LCIA!H$32</f>
        <v>372.82579279957832</v>
      </c>
      <c r="AU272" s="16">
        <f>$W272*Z272+($L272)*Summary_LCIA!Q$32</f>
        <v>3806.7229483476885</v>
      </c>
      <c r="AV272" s="16">
        <f>$W272*AA272+($L272)*Summary_LCIA!R$32</f>
        <v>1.7793062314765911</v>
      </c>
      <c r="AW272" s="16">
        <f>$W272*AB272+($L272)*Summary_LCIA!S$32</f>
        <v>372.53438661957836</v>
      </c>
      <c r="AX272" s="16">
        <f>$W272*AC272+($L272)*Summary_LCIA!T$32</f>
        <v>88.828419038975966</v>
      </c>
      <c r="AY272" s="16">
        <f>$W272*AD272+($L272)*Summary_LCIA!U$32</f>
        <v>1.5451083825058958</v>
      </c>
      <c r="AZ272" s="16">
        <f>$W272*AE272+($L272)*Summary_LCIA!V$32</f>
        <v>1.0362712474282644E-2</v>
      </c>
      <c r="BA272" s="16">
        <f>$W272*AF272+($L272)*Summary_LCIA!W$32</f>
        <v>15.758668302747246</v>
      </c>
      <c r="BB272" s="16">
        <f>$W272*AG272+($L272)*Summary_LCIA!X$32</f>
        <v>18.344720459686936</v>
      </c>
      <c r="BC272" s="16">
        <f>$W272*AH272+($L272)*Summary_LCIA!Y$32</f>
        <v>1.33467835117145</v>
      </c>
      <c r="BD272" s="16">
        <f>$W272*AI272+($L272)*Summary_LCIA!Z$32</f>
        <v>0.37680989952626343</v>
      </c>
      <c r="BE272" s="16">
        <f>$W272*AJ272+($L272)*Summary_LCIA!AA$32</f>
        <v>2.8762235819449469</v>
      </c>
      <c r="BF272" s="16">
        <f>$W272*AK272+($L272)*Summary_LCIA!AB$32</f>
        <v>8.4622948834492256E-2</v>
      </c>
      <c r="BG272" s="16">
        <f>$W272*AL272+($L272)*Summary_LCIA!AC$32</f>
        <v>4.490950522546399E-5</v>
      </c>
      <c r="BH272" s="16">
        <f>$W272*AM272+($L272)*Summary_LCIA!AD$32</f>
        <v>0.1495966231458965</v>
      </c>
      <c r="BI272" s="16">
        <f>$W272*AN272+($L272)*Summary_LCIA!AE$32</f>
        <v>0.40600890284987678</v>
      </c>
      <c r="BJ272" s="16">
        <f>$W272*AO272+($L272)*Summary_LCIA!AF$32</f>
        <v>6.115997397389885E-2</v>
      </c>
      <c r="BK272" s="16">
        <f>$W272*AP272+($L272)*Summary_LCIA!AG$32</f>
        <v>8.7955360788988472E-3</v>
      </c>
      <c r="BL272" s="16">
        <f>$W272*AQ272+($L272)*Summary_LCIA!AH$32</f>
        <v>1.3116458438330509</v>
      </c>
      <c r="BM272" s="16">
        <f>$W272*AR272+($L272)*Summary_LCIA!AI$32</f>
        <v>0.38028008424785043</v>
      </c>
      <c r="BN272" s="16"/>
    </row>
    <row r="273" spans="1:66" x14ac:dyDescent="0.25">
      <c r="A273" s="159">
        <v>80</v>
      </c>
      <c r="B273" s="159">
        <v>6</v>
      </c>
      <c r="C273" s="45">
        <v>45.948258000000003</v>
      </c>
      <c r="D273" s="45">
        <v>-66.641317999999998</v>
      </c>
      <c r="E273" s="45" t="s">
        <v>460</v>
      </c>
      <c r="F273" s="159">
        <v>141</v>
      </c>
      <c r="G273" s="45" t="s">
        <v>661</v>
      </c>
      <c r="H273" s="45" t="s">
        <v>662</v>
      </c>
      <c r="I273" s="45">
        <v>46.116180999999997</v>
      </c>
      <c r="J273" s="45">
        <v>-64.688446999999996</v>
      </c>
      <c r="K273" s="45">
        <v>162.62382070000001</v>
      </c>
      <c r="L273" s="45">
        <v>184.447</v>
      </c>
      <c r="M273" s="45" t="s">
        <v>617</v>
      </c>
      <c r="N273" s="159">
        <v>5</v>
      </c>
      <c r="O273" s="159">
        <v>6</v>
      </c>
      <c r="P273" s="45" t="s">
        <v>565</v>
      </c>
      <c r="Q273" s="45" t="s">
        <v>564</v>
      </c>
      <c r="R273" s="45">
        <v>41.98028</v>
      </c>
      <c r="S273" s="45">
        <v>-87.908997900000003</v>
      </c>
      <c r="T273" s="45">
        <v>2284.5</v>
      </c>
      <c r="U273" s="45" t="s">
        <v>617</v>
      </c>
      <c r="V273" s="45" t="s">
        <v>569</v>
      </c>
      <c r="W273" s="45" cm="1">
        <f t="array" ref="W273">getDistance(R273,S273,I273,J273)*SA!$B$12</f>
        <v>1909.5208119954598</v>
      </c>
      <c r="Y273" s="16">
        <f>Transportation_LCIA!C$61*($W273^Transportation_LCIA!C$60)+Transportation_LCIA!C$62</f>
        <v>0.18374262499796468</v>
      </c>
      <c r="Z273" s="16">
        <f>Transportation_LCIA!D$61*($W273^Transportation_LCIA!D$60)+Transportation_LCIA!D$62</f>
        <v>1.8245495138601728</v>
      </c>
      <c r="AA273" s="16">
        <f>Transportation_LCIA!E$61*($W273^Transportation_LCIA!E$60)+Transportation_LCIA!E$62</f>
        <v>7.5056994846928963E-4</v>
      </c>
      <c r="AB273" s="16">
        <f>Transportation_LCIA!F$61*($W273^Transportation_LCIA!F$60)+Transportation_LCIA!F$62</f>
        <v>0.18374262499796468</v>
      </c>
      <c r="AC273" s="16">
        <f>Transportation_LCIA!G$61*($W273^Transportation_LCIA!G$60)+Transportation_LCIA!G$62</f>
        <v>4.277417764069337E-2</v>
      </c>
      <c r="AD273" s="16">
        <f>Transportation_LCIA!H$61*($W273^Transportation_LCIA!H$60)+Transportation_LCIA!H$62</f>
        <v>1.908280592736083E-4</v>
      </c>
      <c r="AE273" s="16">
        <f>Transportation_LCIA!I$61*($W273^Transportation_LCIA!I$60)+Transportation_LCIA!I$62</f>
        <v>3.7804630486656199E-6</v>
      </c>
      <c r="AF273" s="16">
        <f>Transportation_LCIA!J$61*($W273^Transportation_LCIA!J$60)+Transportation_LCIA!J$62</f>
        <v>5.5990912788291157E-3</v>
      </c>
      <c r="AG273" s="16">
        <f>Transportation_LCIA!K$61*($W273^Transportation_LCIA!K$60)+Transportation_LCIA!K$62</f>
        <v>8.8300760654045594E-3</v>
      </c>
      <c r="AH273" s="16">
        <f>Transportation_LCIA!L$61*($W273^Transportation_LCIA!L$60)+Transportation_LCIA!L$62</f>
        <v>1.6110382944863424E-4</v>
      </c>
      <c r="AI273" s="16">
        <f>Transportation_LCIA!M$61*($W273^Transportation_LCIA!M$60)+Transportation_LCIA!M$62</f>
        <v>1.9618137887680623E-4</v>
      </c>
      <c r="AJ273" s="16">
        <f>Transportation_LCIA!N$61*($W273^Transportation_LCIA!N$60)+Transportation_LCIA!N$62</f>
        <v>7.0055003290662283E-4</v>
      </c>
      <c r="AK273" s="16">
        <f>Transportation_LCIA!O$61*($W273^Transportation_LCIA!O$60)+Transportation_LCIA!O$62</f>
        <v>4.5122275938906157E-5</v>
      </c>
      <c r="AL273" s="16">
        <f>Transportation_LCIA!P$61*($W273^Transportation_LCIA!P$60)+Transportation_LCIA!P$62</f>
        <v>2.1856438742614208E-8</v>
      </c>
      <c r="AM273" s="16">
        <f>Transportation_LCIA!Q$61*($W273^Transportation_LCIA!Q$60)+Transportation_LCIA!Q$62</f>
        <v>6.4206155576780288E-5</v>
      </c>
      <c r="AN273" s="16">
        <f>Transportation_LCIA!R$61*($W273^Transportation_LCIA!R$60)+Transportation_LCIA!R$62</f>
        <v>1.8215570606736664E-4</v>
      </c>
      <c r="AO273" s="16">
        <f>Transportation_LCIA!S$61*($W273^Transportation_LCIA!S$60)+Transportation_LCIA!S$62</f>
        <v>2.8418796348046858E-6</v>
      </c>
      <c r="AP273" s="16">
        <f>Transportation_LCIA!T$61*($W273^Transportation_LCIA!T$60)+Transportation_LCIA!T$62</f>
        <v>2.8418796348046858E-6</v>
      </c>
      <c r="AQ273" s="16">
        <f>Transportation_LCIA!U$61*($W273^Transportation_LCIA!U$60)+Transportation_LCIA!U$62</f>
        <v>3.8665074302226258E-4</v>
      </c>
      <c r="AR273" s="16">
        <f>Transportation_LCIA!V$61*($W273^Transportation_LCIA!V$60)+Transportation_LCIA!V$62</f>
        <v>1.6713153874972118E-4</v>
      </c>
      <c r="AT273" s="16">
        <f>$W273*Y273+($L273)*Summary_LCIA!H$32</f>
        <v>413.53545708429073</v>
      </c>
      <c r="AU273" s="16">
        <f>$W273*Z273+($L273)*Summary_LCIA!Q$32</f>
        <v>4398.1439034477498</v>
      </c>
      <c r="AV273" s="16">
        <f>$W273*AA273+($L273)*Summary_LCIA!R$32</f>
        <v>2.4044530606604684</v>
      </c>
      <c r="AW273" s="16">
        <f>$W273*AB273+($L273)*Summary_LCIA!S$32</f>
        <v>412.72020134429079</v>
      </c>
      <c r="AX273" s="16">
        <f>$W273*AC273+($L273)*Summary_LCIA!T$32</f>
        <v>101.94890772089484</v>
      </c>
      <c r="AY273" s="16">
        <f>$W273*AD273+($L273)*Summary_LCIA!U$32</f>
        <v>3.6685737086956585</v>
      </c>
      <c r="AZ273" s="16">
        <f>$W273*AE273+($L273)*Summary_LCIA!V$32</f>
        <v>1.6028246037406806E-2</v>
      </c>
      <c r="BA273" s="16">
        <f>$W273*AF273+($L273)*Summary_LCIA!W$32</f>
        <v>24.888651362186472</v>
      </c>
      <c r="BB273" s="16">
        <f>$W273*AG273+($L273)*Summary_LCIA!X$32</f>
        <v>21.062916678392988</v>
      </c>
      <c r="BC273" s="16">
        <f>$W273*AH273+($L273)*Summary_LCIA!Y$32</f>
        <v>3.1816842692243346</v>
      </c>
      <c r="BD273" s="16">
        <f>$W273*AI273+($L273)*Summary_LCIA!Z$32</f>
        <v>0.38217641291422794</v>
      </c>
      <c r="BE273" s="16">
        <f>$W273*AJ273+($L273)*Summary_LCIA!AA$32</f>
        <v>5.6456589996793003</v>
      </c>
      <c r="BF273" s="16">
        <f>$W273*AK273+($L273)*Summary_LCIA!AB$32</f>
        <v>8.2136738108943286E-2</v>
      </c>
      <c r="BG273" s="16">
        <f>$W273*AL273+($L273)*Summary_LCIA!AC$32</f>
        <v>5.0751831803125703E-5</v>
      </c>
      <c r="BH273" s="16">
        <f>$W273*AM273+($L273)*Summary_LCIA!AD$32</f>
        <v>0.19841808521208032</v>
      </c>
      <c r="BI273" s="16">
        <f>$W273*AN273+($L273)*Summary_LCIA!AE$32</f>
        <v>0.51127413186936421</v>
      </c>
      <c r="BJ273" s="16">
        <f>$W273*AO273+($L273)*Summary_LCIA!AF$32</f>
        <v>0.16136181104784561</v>
      </c>
      <c r="BK273" s="16">
        <f>$W273*AP273+($L273)*Summary_LCIA!AG$32</f>
        <v>1.4863859062845606E-2</v>
      </c>
      <c r="BL273" s="16">
        <f>$W273*AQ273+($L273)*Summary_LCIA!AH$32</f>
        <v>2.3436705499745187</v>
      </c>
      <c r="BM273" s="16">
        <f>$W273*AR273+($L273)*Summary_LCIA!AI$32</f>
        <v>0.4909627544334183</v>
      </c>
      <c r="BN273" s="16"/>
    </row>
    <row r="274" spans="1:66" x14ac:dyDescent="0.25">
      <c r="A274" s="159">
        <v>63</v>
      </c>
      <c r="B274" s="159">
        <v>6</v>
      </c>
      <c r="C274" s="45">
        <v>51.075544999999998</v>
      </c>
      <c r="D274" s="45">
        <v>-114.12975400000001</v>
      </c>
      <c r="E274" s="45" t="s">
        <v>462</v>
      </c>
      <c r="F274" s="159">
        <v>125</v>
      </c>
      <c r="G274" s="45" t="s">
        <v>656</v>
      </c>
      <c r="H274" s="45" t="s">
        <v>657</v>
      </c>
      <c r="I274" s="45">
        <v>51.121502999999997</v>
      </c>
      <c r="J274" s="45">
        <v>-114.007616</v>
      </c>
      <c r="K274" s="45">
        <v>10.47008467</v>
      </c>
      <c r="L274" s="45">
        <v>15.291</v>
      </c>
      <c r="M274" s="45" t="s">
        <v>617</v>
      </c>
      <c r="N274" s="159">
        <v>5</v>
      </c>
      <c r="O274" s="159">
        <v>6</v>
      </c>
      <c r="P274" s="45" t="s">
        <v>565</v>
      </c>
      <c r="Q274" s="45" t="s">
        <v>564</v>
      </c>
      <c r="R274" s="45">
        <v>41.98028</v>
      </c>
      <c r="S274" s="45">
        <v>-87.908997900000003</v>
      </c>
      <c r="T274" s="45">
        <v>2552.1129999999998</v>
      </c>
      <c r="U274" s="45" t="s">
        <v>617</v>
      </c>
      <c r="V274" s="45" t="s">
        <v>569</v>
      </c>
      <c r="W274" s="45" cm="1">
        <f t="array" ref="W274">getDistance(R274,S274,I274,J274)*SA!$B$12</f>
        <v>2229.0088809488861</v>
      </c>
      <c r="Y274" s="16">
        <f>Transportation_LCIA!C$61*($W274^Transportation_LCIA!C$60)+Transportation_LCIA!C$62</f>
        <v>0.17499639639248199</v>
      </c>
      <c r="Z274" s="16">
        <f>Transportation_LCIA!D$61*($W274^Transportation_LCIA!D$60)+Transportation_LCIA!D$62</f>
        <v>1.7256521041625139</v>
      </c>
      <c r="AA274" s="16">
        <f>Transportation_LCIA!E$61*($W274^Transportation_LCIA!E$60)+Transportation_LCIA!E$62</f>
        <v>6.8612050027821081E-4</v>
      </c>
      <c r="AB274" s="16">
        <f>Transportation_LCIA!F$61*($W274^Transportation_LCIA!F$60)+Transportation_LCIA!F$62</f>
        <v>0.17499639639248199</v>
      </c>
      <c r="AC274" s="16">
        <f>Transportation_LCIA!G$61*($W274^Transportation_LCIA!G$60)+Transportation_LCIA!G$62</f>
        <v>4.0481896009759488E-2</v>
      </c>
      <c r="AD274" s="16">
        <f>Transportation_LCIA!H$61*($W274^Transportation_LCIA!H$60)+Transportation_LCIA!H$62</f>
        <v>1.7690308503275038E-4</v>
      </c>
      <c r="AE274" s="16">
        <f>Transportation_LCIA!I$61*($W274^Transportation_LCIA!I$60)+Transportation_LCIA!I$62</f>
        <v>3.4396756380258186E-6</v>
      </c>
      <c r="AF274" s="16">
        <f>Transportation_LCIA!J$61*($W274^Transportation_LCIA!J$60)+Transportation_LCIA!J$62</f>
        <v>5.1008385388865325E-3</v>
      </c>
      <c r="AG274" s="16">
        <f>Transportation_LCIA!K$61*($W274^Transportation_LCIA!K$60)+Transportation_LCIA!K$62</f>
        <v>8.3034455995642971E-3</v>
      </c>
      <c r="AH274" s="16">
        <f>Transportation_LCIA!L$61*($W274^Transportation_LCIA!L$60)+Transportation_LCIA!L$62</f>
        <v>1.4840453394545598E-4</v>
      </c>
      <c r="AI274" s="16">
        <f>Transportation_LCIA!M$61*($W274^Transportation_LCIA!M$60)+Transportation_LCIA!M$62</f>
        <v>1.8850364359360649E-4</v>
      </c>
      <c r="AJ274" s="16">
        <f>Transportation_LCIA!N$61*($W274^Transportation_LCIA!N$60)+Transportation_LCIA!N$62</f>
        <v>6.5362684764447309E-4</v>
      </c>
      <c r="AK274" s="16">
        <f>Transportation_LCIA!O$61*($W274^Transportation_LCIA!O$60)+Transportation_LCIA!O$62</f>
        <v>4.2688543413009031E-5</v>
      </c>
      <c r="AL274" s="16">
        <f>Transportation_LCIA!P$61*($W274^Transportation_LCIA!P$60)+Transportation_LCIA!P$62</f>
        <v>2.0683576176856233E-8</v>
      </c>
      <c r="AM274" s="16">
        <f>Transportation_LCIA!Q$61*($W274^Transportation_LCIA!Q$60)+Transportation_LCIA!Q$62</f>
        <v>5.9262159428738185E-5</v>
      </c>
      <c r="AN274" s="16">
        <f>Transportation_LCIA!R$61*($W274^Transportation_LCIA!R$60)+Transportation_LCIA!R$62</f>
        <v>1.6582507996865508E-4</v>
      </c>
      <c r="AO274" s="16">
        <f>Transportation_LCIA!S$61*($W274^Transportation_LCIA!S$60)+Transportation_LCIA!S$62</f>
        <v>2.6098204100650336E-6</v>
      </c>
      <c r="AP274" s="16">
        <f>Transportation_LCIA!T$61*($W274^Transportation_LCIA!T$60)+Transportation_LCIA!T$62</f>
        <v>2.6098204100650336E-6</v>
      </c>
      <c r="AQ274" s="16">
        <f>Transportation_LCIA!U$61*($W274^Transportation_LCIA!U$60)+Transportation_LCIA!U$62</f>
        <v>3.510285673903872E-4</v>
      </c>
      <c r="AR274" s="16">
        <f>Transportation_LCIA!V$61*($W274^Transportation_LCIA!V$60)+Transportation_LCIA!V$62</f>
        <v>1.5434135754289162E-4</v>
      </c>
      <c r="AT274" s="16">
        <f>$W274*Y274+($L274)*Summary_LCIA!H$32</f>
        <v>395.26440349289396</v>
      </c>
      <c r="AU274" s="16">
        <f>$W274*Z274+($L274)*Summary_LCIA!Q$32</f>
        <v>3922.2768327773788</v>
      </c>
      <c r="AV274" s="16">
        <f>$W274*AA274+($L274)*Summary_LCIA!R$32</f>
        <v>1.6098849781212246</v>
      </c>
      <c r="AW274" s="16">
        <f>$W274*AB274+($L274)*Summary_LCIA!S$32</f>
        <v>395.19681727289395</v>
      </c>
      <c r="AX274" s="16">
        <f>$W274*AC274+($L274)*Summary_LCIA!T$32</f>
        <v>91.91498662340318</v>
      </c>
      <c r="AY274" s="16">
        <f>$W274*AD274+($L274)*Summary_LCIA!U$32</f>
        <v>0.66824152160525663</v>
      </c>
      <c r="AZ274" s="16">
        <f>$W274*AE274+($L274)*Summary_LCIA!V$32</f>
        <v>8.397380995743076E-3</v>
      </c>
      <c r="BA274" s="16">
        <f>$W274*AF274+($L274)*Summary_LCIA!W$32</f>
        <v>12.546777964464422</v>
      </c>
      <c r="BB274" s="16">
        <f>$W274*AG274+($L274)*Summary_LCIA!X$32</f>
        <v>18.85678296390477</v>
      </c>
      <c r="BC274" s="16">
        <f>$W274*AH274+($L274)*Summary_LCIA!Y$32</f>
        <v>0.56905938613750184</v>
      </c>
      <c r="BD274" s="16">
        <f>$W274*AI274+($L274)*Summary_LCIA!Z$32</f>
        <v>0.42080336428037252</v>
      </c>
      <c r="BE274" s="16">
        <f>$W274*AJ274+($L274)*Summary_LCIA!AA$32</f>
        <v>1.8140766442261549</v>
      </c>
      <c r="BF274" s="16">
        <f>$W274*AK274+($L274)*Summary_LCIA!AB$32</f>
        <v>9.4819446889369205E-2</v>
      </c>
      <c r="BG274" s="16">
        <f>$W274*AL274+($L274)*Summary_LCIA!AC$32</f>
        <v>4.6851360231995352E-5</v>
      </c>
      <c r="BH274" s="16">
        <f>$W274*AM274+($L274)*Summary_LCIA!AD$32</f>
        <v>0.1383810923108662</v>
      </c>
      <c r="BI274" s="16">
        <f>$W274*AN274+($L274)*Summary_LCIA!AE$32</f>
        <v>0.38317538976419141</v>
      </c>
      <c r="BJ274" s="16">
        <f>$W274*AO274+($L274)*Summary_LCIA!AF$32</f>
        <v>1.8744630091716626E-2</v>
      </c>
      <c r="BK274" s="16">
        <f>$W274*AP274+($L274)*Summary_LCIA!AG$32</f>
        <v>6.5996768867166242E-3</v>
      </c>
      <c r="BL274" s="16">
        <f>$W274*AQ274+($L274)*Summary_LCIA!AH$32</f>
        <v>0.91553254177993759</v>
      </c>
      <c r="BM274" s="16">
        <f>$W274*AR274+($L274)*Summary_LCIA!AI$32</f>
        <v>0.35827258771081277</v>
      </c>
      <c r="BN274" s="16"/>
    </row>
    <row r="275" spans="1:66" x14ac:dyDescent="0.25">
      <c r="A275" s="159">
        <v>64</v>
      </c>
      <c r="B275" s="159">
        <v>6</v>
      </c>
      <c r="C275" s="45">
        <v>51.075544999999998</v>
      </c>
      <c r="D275" s="45">
        <v>-114.12975400000001</v>
      </c>
      <c r="E275" s="45" t="s">
        <v>462</v>
      </c>
      <c r="F275" s="159">
        <v>125</v>
      </c>
      <c r="G275" s="45" t="s">
        <v>656</v>
      </c>
      <c r="H275" s="45" t="s">
        <v>657</v>
      </c>
      <c r="I275" s="45">
        <v>51.121502999999997</v>
      </c>
      <c r="J275" s="45">
        <v>-114.007616</v>
      </c>
      <c r="K275" s="45">
        <v>10.47008467</v>
      </c>
      <c r="L275" s="45">
        <v>15.291</v>
      </c>
      <c r="M275" s="45" t="s">
        <v>617</v>
      </c>
      <c r="N275" s="159">
        <v>5</v>
      </c>
      <c r="O275" s="159">
        <v>6</v>
      </c>
      <c r="P275" s="45" t="s">
        <v>565</v>
      </c>
      <c r="Q275" s="45" t="s">
        <v>564</v>
      </c>
      <c r="R275" s="45">
        <v>41.98028</v>
      </c>
      <c r="S275" s="45">
        <v>-87.908997900000003</v>
      </c>
      <c r="T275" s="45">
        <v>2552.1129999999998</v>
      </c>
      <c r="U275" s="45" t="s">
        <v>617</v>
      </c>
      <c r="V275" s="45" t="s">
        <v>569</v>
      </c>
      <c r="W275" s="45" cm="1">
        <f t="array" ref="W275">getDistance(R275,S275,I275,J275)*SA!$B$12</f>
        <v>2229.0088809488861</v>
      </c>
      <c r="Y275" s="16">
        <f>Transportation_LCIA!C$61*($W275^Transportation_LCIA!C$60)+Transportation_LCIA!C$62</f>
        <v>0.17499639639248199</v>
      </c>
      <c r="Z275" s="16">
        <f>Transportation_LCIA!D$61*($W275^Transportation_LCIA!D$60)+Transportation_LCIA!D$62</f>
        <v>1.7256521041625139</v>
      </c>
      <c r="AA275" s="16">
        <f>Transportation_LCIA!E$61*($W275^Transportation_LCIA!E$60)+Transportation_LCIA!E$62</f>
        <v>6.8612050027821081E-4</v>
      </c>
      <c r="AB275" s="16">
        <f>Transportation_LCIA!F$61*($W275^Transportation_LCIA!F$60)+Transportation_LCIA!F$62</f>
        <v>0.17499639639248199</v>
      </c>
      <c r="AC275" s="16">
        <f>Transportation_LCIA!G$61*($W275^Transportation_LCIA!G$60)+Transportation_LCIA!G$62</f>
        <v>4.0481896009759488E-2</v>
      </c>
      <c r="AD275" s="16">
        <f>Transportation_LCIA!H$61*($W275^Transportation_LCIA!H$60)+Transportation_LCIA!H$62</f>
        <v>1.7690308503275038E-4</v>
      </c>
      <c r="AE275" s="16">
        <f>Transportation_LCIA!I$61*($W275^Transportation_LCIA!I$60)+Transportation_LCIA!I$62</f>
        <v>3.4396756380258186E-6</v>
      </c>
      <c r="AF275" s="16">
        <f>Transportation_LCIA!J$61*($W275^Transportation_LCIA!J$60)+Transportation_LCIA!J$62</f>
        <v>5.1008385388865325E-3</v>
      </c>
      <c r="AG275" s="16">
        <f>Transportation_LCIA!K$61*($W275^Transportation_LCIA!K$60)+Transportation_LCIA!K$62</f>
        <v>8.3034455995642971E-3</v>
      </c>
      <c r="AH275" s="16">
        <f>Transportation_LCIA!L$61*($W275^Transportation_LCIA!L$60)+Transportation_LCIA!L$62</f>
        <v>1.4840453394545598E-4</v>
      </c>
      <c r="AI275" s="16">
        <f>Transportation_LCIA!M$61*($W275^Transportation_LCIA!M$60)+Transportation_LCIA!M$62</f>
        <v>1.8850364359360649E-4</v>
      </c>
      <c r="AJ275" s="16">
        <f>Transportation_LCIA!N$61*($W275^Transportation_LCIA!N$60)+Transportation_LCIA!N$62</f>
        <v>6.5362684764447309E-4</v>
      </c>
      <c r="AK275" s="16">
        <f>Transportation_LCIA!O$61*($W275^Transportation_LCIA!O$60)+Transportation_LCIA!O$62</f>
        <v>4.2688543413009031E-5</v>
      </c>
      <c r="AL275" s="16">
        <f>Transportation_LCIA!P$61*($W275^Transportation_LCIA!P$60)+Transportation_LCIA!P$62</f>
        <v>2.0683576176856233E-8</v>
      </c>
      <c r="AM275" s="16">
        <f>Transportation_LCIA!Q$61*($W275^Transportation_LCIA!Q$60)+Transportation_LCIA!Q$62</f>
        <v>5.9262159428738185E-5</v>
      </c>
      <c r="AN275" s="16">
        <f>Transportation_LCIA!R$61*($W275^Transportation_LCIA!R$60)+Transportation_LCIA!R$62</f>
        <v>1.6582507996865508E-4</v>
      </c>
      <c r="AO275" s="16">
        <f>Transportation_LCIA!S$61*($W275^Transportation_LCIA!S$60)+Transportation_LCIA!S$62</f>
        <v>2.6098204100650336E-6</v>
      </c>
      <c r="AP275" s="16">
        <f>Transportation_LCIA!T$61*($W275^Transportation_LCIA!T$60)+Transportation_LCIA!T$62</f>
        <v>2.6098204100650336E-6</v>
      </c>
      <c r="AQ275" s="16">
        <f>Transportation_LCIA!U$61*($W275^Transportation_LCIA!U$60)+Transportation_LCIA!U$62</f>
        <v>3.510285673903872E-4</v>
      </c>
      <c r="AR275" s="16">
        <f>Transportation_LCIA!V$61*($W275^Transportation_LCIA!V$60)+Transportation_LCIA!V$62</f>
        <v>1.5434135754289162E-4</v>
      </c>
      <c r="AT275" s="16">
        <f>$W275*Y275+($L275)*Summary_LCIA!H$32</f>
        <v>395.26440349289396</v>
      </c>
      <c r="AU275" s="16">
        <f>$W275*Z275+($L275)*Summary_LCIA!Q$32</f>
        <v>3922.2768327773788</v>
      </c>
      <c r="AV275" s="16">
        <f>$W275*AA275+($L275)*Summary_LCIA!R$32</f>
        <v>1.6098849781212246</v>
      </c>
      <c r="AW275" s="16">
        <f>$W275*AB275+($L275)*Summary_LCIA!S$32</f>
        <v>395.19681727289395</v>
      </c>
      <c r="AX275" s="16">
        <f>$W275*AC275+($L275)*Summary_LCIA!T$32</f>
        <v>91.91498662340318</v>
      </c>
      <c r="AY275" s="16">
        <f>$W275*AD275+($L275)*Summary_LCIA!U$32</f>
        <v>0.66824152160525663</v>
      </c>
      <c r="AZ275" s="16">
        <f>$W275*AE275+($L275)*Summary_LCIA!V$32</f>
        <v>8.397380995743076E-3</v>
      </c>
      <c r="BA275" s="16">
        <f>$W275*AF275+($L275)*Summary_LCIA!W$32</f>
        <v>12.546777964464422</v>
      </c>
      <c r="BB275" s="16">
        <f>$W275*AG275+($L275)*Summary_LCIA!X$32</f>
        <v>18.85678296390477</v>
      </c>
      <c r="BC275" s="16">
        <f>$W275*AH275+($L275)*Summary_LCIA!Y$32</f>
        <v>0.56905938613750184</v>
      </c>
      <c r="BD275" s="16">
        <f>$W275*AI275+($L275)*Summary_LCIA!Z$32</f>
        <v>0.42080336428037252</v>
      </c>
      <c r="BE275" s="16">
        <f>$W275*AJ275+($L275)*Summary_LCIA!AA$32</f>
        <v>1.8140766442261549</v>
      </c>
      <c r="BF275" s="16">
        <f>$W275*AK275+($L275)*Summary_LCIA!AB$32</f>
        <v>9.4819446889369205E-2</v>
      </c>
      <c r="BG275" s="16">
        <f>$W275*AL275+($L275)*Summary_LCIA!AC$32</f>
        <v>4.6851360231995352E-5</v>
      </c>
      <c r="BH275" s="16">
        <f>$W275*AM275+($L275)*Summary_LCIA!AD$32</f>
        <v>0.1383810923108662</v>
      </c>
      <c r="BI275" s="16">
        <f>$W275*AN275+($L275)*Summary_LCIA!AE$32</f>
        <v>0.38317538976419141</v>
      </c>
      <c r="BJ275" s="16">
        <f>$W275*AO275+($L275)*Summary_LCIA!AF$32</f>
        <v>1.8744630091716626E-2</v>
      </c>
      <c r="BK275" s="16">
        <f>$W275*AP275+($L275)*Summary_LCIA!AG$32</f>
        <v>6.5996768867166242E-3</v>
      </c>
      <c r="BL275" s="16">
        <f>$W275*AQ275+($L275)*Summary_LCIA!AH$32</f>
        <v>0.91553254177993759</v>
      </c>
      <c r="BM275" s="16">
        <f>$W275*AR275+($L275)*Summary_LCIA!AI$32</f>
        <v>0.35827258771081277</v>
      </c>
      <c r="BN275" s="16"/>
    </row>
    <row r="276" spans="1:66" x14ac:dyDescent="0.25">
      <c r="A276" s="159">
        <v>65</v>
      </c>
      <c r="B276" s="159">
        <v>6</v>
      </c>
      <c r="C276" s="45">
        <v>51.075544999999998</v>
      </c>
      <c r="D276" s="45">
        <v>-114.12975400000001</v>
      </c>
      <c r="E276" s="45" t="s">
        <v>462</v>
      </c>
      <c r="F276" s="159">
        <v>125</v>
      </c>
      <c r="G276" s="45" t="s">
        <v>656</v>
      </c>
      <c r="H276" s="45" t="s">
        <v>657</v>
      </c>
      <c r="I276" s="45">
        <v>51.121502999999997</v>
      </c>
      <c r="J276" s="45">
        <v>-114.007616</v>
      </c>
      <c r="K276" s="45">
        <v>10.47008467</v>
      </c>
      <c r="L276" s="45">
        <v>15.291</v>
      </c>
      <c r="M276" s="45" t="s">
        <v>617</v>
      </c>
      <c r="N276" s="159">
        <v>5</v>
      </c>
      <c r="O276" s="159">
        <v>6</v>
      </c>
      <c r="P276" s="45" t="s">
        <v>565</v>
      </c>
      <c r="Q276" s="45" t="s">
        <v>564</v>
      </c>
      <c r="R276" s="45">
        <v>41.98028</v>
      </c>
      <c r="S276" s="45">
        <v>-87.908997900000003</v>
      </c>
      <c r="T276" s="45">
        <v>2552.1129999999998</v>
      </c>
      <c r="U276" s="45" t="s">
        <v>617</v>
      </c>
      <c r="V276" s="45" t="s">
        <v>569</v>
      </c>
      <c r="W276" s="45" cm="1">
        <f t="array" ref="W276">getDistance(R276,S276,I276,J276)*SA!$B$12</f>
        <v>2229.0088809488861</v>
      </c>
      <c r="Y276" s="16">
        <f>Transportation_LCIA!C$61*($W276^Transportation_LCIA!C$60)+Transportation_LCIA!C$62</f>
        <v>0.17499639639248199</v>
      </c>
      <c r="Z276" s="16">
        <f>Transportation_LCIA!D$61*($W276^Transportation_LCIA!D$60)+Transportation_LCIA!D$62</f>
        <v>1.7256521041625139</v>
      </c>
      <c r="AA276" s="16">
        <f>Transportation_LCIA!E$61*($W276^Transportation_LCIA!E$60)+Transportation_LCIA!E$62</f>
        <v>6.8612050027821081E-4</v>
      </c>
      <c r="AB276" s="16">
        <f>Transportation_LCIA!F$61*($W276^Transportation_LCIA!F$60)+Transportation_LCIA!F$62</f>
        <v>0.17499639639248199</v>
      </c>
      <c r="AC276" s="16">
        <f>Transportation_LCIA!G$61*($W276^Transportation_LCIA!G$60)+Transportation_LCIA!G$62</f>
        <v>4.0481896009759488E-2</v>
      </c>
      <c r="AD276" s="16">
        <f>Transportation_LCIA!H$61*($W276^Transportation_LCIA!H$60)+Transportation_LCIA!H$62</f>
        <v>1.7690308503275038E-4</v>
      </c>
      <c r="AE276" s="16">
        <f>Transportation_LCIA!I$61*($W276^Transportation_LCIA!I$60)+Transportation_LCIA!I$62</f>
        <v>3.4396756380258186E-6</v>
      </c>
      <c r="AF276" s="16">
        <f>Transportation_LCIA!J$61*($W276^Transportation_LCIA!J$60)+Transportation_LCIA!J$62</f>
        <v>5.1008385388865325E-3</v>
      </c>
      <c r="AG276" s="16">
        <f>Transportation_LCIA!K$61*($W276^Transportation_LCIA!K$60)+Transportation_LCIA!K$62</f>
        <v>8.3034455995642971E-3</v>
      </c>
      <c r="AH276" s="16">
        <f>Transportation_LCIA!L$61*($W276^Transportation_LCIA!L$60)+Transportation_LCIA!L$62</f>
        <v>1.4840453394545598E-4</v>
      </c>
      <c r="AI276" s="16">
        <f>Transportation_LCIA!M$61*($W276^Transportation_LCIA!M$60)+Transportation_LCIA!M$62</f>
        <v>1.8850364359360649E-4</v>
      </c>
      <c r="AJ276" s="16">
        <f>Transportation_LCIA!N$61*($W276^Transportation_LCIA!N$60)+Transportation_LCIA!N$62</f>
        <v>6.5362684764447309E-4</v>
      </c>
      <c r="AK276" s="16">
        <f>Transportation_LCIA!O$61*($W276^Transportation_LCIA!O$60)+Transportation_LCIA!O$62</f>
        <v>4.2688543413009031E-5</v>
      </c>
      <c r="AL276" s="16">
        <f>Transportation_LCIA!P$61*($W276^Transportation_LCIA!P$60)+Transportation_LCIA!P$62</f>
        <v>2.0683576176856233E-8</v>
      </c>
      <c r="AM276" s="16">
        <f>Transportation_LCIA!Q$61*($W276^Transportation_LCIA!Q$60)+Transportation_LCIA!Q$62</f>
        <v>5.9262159428738185E-5</v>
      </c>
      <c r="AN276" s="16">
        <f>Transportation_LCIA!R$61*($W276^Transportation_LCIA!R$60)+Transportation_LCIA!R$62</f>
        <v>1.6582507996865508E-4</v>
      </c>
      <c r="AO276" s="16">
        <f>Transportation_LCIA!S$61*($W276^Transportation_LCIA!S$60)+Transportation_LCIA!S$62</f>
        <v>2.6098204100650336E-6</v>
      </c>
      <c r="AP276" s="16">
        <f>Transportation_LCIA!T$61*($W276^Transportation_LCIA!T$60)+Transportation_LCIA!T$62</f>
        <v>2.6098204100650336E-6</v>
      </c>
      <c r="AQ276" s="16">
        <f>Transportation_LCIA!U$61*($W276^Transportation_LCIA!U$60)+Transportation_LCIA!U$62</f>
        <v>3.510285673903872E-4</v>
      </c>
      <c r="AR276" s="16">
        <f>Transportation_LCIA!V$61*($W276^Transportation_LCIA!V$60)+Transportation_LCIA!V$62</f>
        <v>1.5434135754289162E-4</v>
      </c>
      <c r="AT276" s="16">
        <f>$W276*Y276+($L276)*Summary_LCIA!H$32</f>
        <v>395.26440349289396</v>
      </c>
      <c r="AU276" s="16">
        <f>$W276*Z276+($L276)*Summary_LCIA!Q$32</f>
        <v>3922.2768327773788</v>
      </c>
      <c r="AV276" s="16">
        <f>$W276*AA276+($L276)*Summary_LCIA!R$32</f>
        <v>1.6098849781212246</v>
      </c>
      <c r="AW276" s="16">
        <f>$W276*AB276+($L276)*Summary_LCIA!S$32</f>
        <v>395.19681727289395</v>
      </c>
      <c r="AX276" s="16">
        <f>$W276*AC276+($L276)*Summary_LCIA!T$32</f>
        <v>91.91498662340318</v>
      </c>
      <c r="AY276" s="16">
        <f>$W276*AD276+($L276)*Summary_LCIA!U$32</f>
        <v>0.66824152160525663</v>
      </c>
      <c r="AZ276" s="16">
        <f>$W276*AE276+($L276)*Summary_LCIA!V$32</f>
        <v>8.397380995743076E-3</v>
      </c>
      <c r="BA276" s="16">
        <f>$W276*AF276+($L276)*Summary_LCIA!W$32</f>
        <v>12.546777964464422</v>
      </c>
      <c r="BB276" s="16">
        <f>$W276*AG276+($L276)*Summary_LCIA!X$32</f>
        <v>18.85678296390477</v>
      </c>
      <c r="BC276" s="16">
        <f>$W276*AH276+($L276)*Summary_LCIA!Y$32</f>
        <v>0.56905938613750184</v>
      </c>
      <c r="BD276" s="16">
        <f>$W276*AI276+($L276)*Summary_LCIA!Z$32</f>
        <v>0.42080336428037252</v>
      </c>
      <c r="BE276" s="16">
        <f>$W276*AJ276+($L276)*Summary_LCIA!AA$32</f>
        <v>1.8140766442261549</v>
      </c>
      <c r="BF276" s="16">
        <f>$W276*AK276+($L276)*Summary_LCIA!AB$32</f>
        <v>9.4819446889369205E-2</v>
      </c>
      <c r="BG276" s="16">
        <f>$W276*AL276+($L276)*Summary_LCIA!AC$32</f>
        <v>4.6851360231995352E-5</v>
      </c>
      <c r="BH276" s="16">
        <f>$W276*AM276+($L276)*Summary_LCIA!AD$32</f>
        <v>0.1383810923108662</v>
      </c>
      <c r="BI276" s="16">
        <f>$W276*AN276+($L276)*Summary_LCIA!AE$32</f>
        <v>0.38317538976419141</v>
      </c>
      <c r="BJ276" s="16">
        <f>$W276*AO276+($L276)*Summary_LCIA!AF$32</f>
        <v>1.8744630091716626E-2</v>
      </c>
      <c r="BK276" s="16">
        <f>$W276*AP276+($L276)*Summary_LCIA!AG$32</f>
        <v>6.5996768867166242E-3</v>
      </c>
      <c r="BL276" s="16">
        <f>$W276*AQ276+($L276)*Summary_LCIA!AH$32</f>
        <v>0.91553254177993759</v>
      </c>
      <c r="BM276" s="16">
        <f>$W276*AR276+($L276)*Summary_LCIA!AI$32</f>
        <v>0.35827258771081277</v>
      </c>
      <c r="BN276" s="16"/>
    </row>
    <row r="277" spans="1:66" x14ac:dyDescent="0.25">
      <c r="A277" s="159">
        <v>66</v>
      </c>
      <c r="B277" s="159">
        <v>6</v>
      </c>
      <c r="C277" s="45">
        <v>51.075544999999998</v>
      </c>
      <c r="D277" s="45">
        <v>-114.12975400000001</v>
      </c>
      <c r="E277" s="45" t="s">
        <v>462</v>
      </c>
      <c r="F277" s="159">
        <v>125</v>
      </c>
      <c r="G277" s="45" t="s">
        <v>656</v>
      </c>
      <c r="H277" s="45" t="s">
        <v>657</v>
      </c>
      <c r="I277" s="45">
        <v>51.121502999999997</v>
      </c>
      <c r="J277" s="45">
        <v>-114.007616</v>
      </c>
      <c r="K277" s="45">
        <v>10.47008467</v>
      </c>
      <c r="L277" s="45">
        <v>15.291</v>
      </c>
      <c r="M277" s="45" t="s">
        <v>617</v>
      </c>
      <c r="N277" s="159">
        <v>5</v>
      </c>
      <c r="O277" s="159">
        <v>6</v>
      </c>
      <c r="P277" s="45" t="s">
        <v>565</v>
      </c>
      <c r="Q277" s="45" t="s">
        <v>564</v>
      </c>
      <c r="R277" s="45">
        <v>41.98028</v>
      </c>
      <c r="S277" s="45">
        <v>-87.908997900000003</v>
      </c>
      <c r="T277" s="45">
        <v>2552.1129999999998</v>
      </c>
      <c r="U277" s="45" t="s">
        <v>617</v>
      </c>
      <c r="V277" s="45" t="s">
        <v>569</v>
      </c>
      <c r="W277" s="45" cm="1">
        <f t="array" ref="W277">getDistance(R277,S277,I277,J277)*SA!$B$12</f>
        <v>2229.0088809488861</v>
      </c>
      <c r="Y277" s="16">
        <f>Transportation_LCIA!C$61*($W277^Transportation_LCIA!C$60)+Transportation_LCIA!C$62</f>
        <v>0.17499639639248199</v>
      </c>
      <c r="Z277" s="16">
        <f>Transportation_LCIA!D$61*($W277^Transportation_LCIA!D$60)+Transportation_LCIA!D$62</f>
        <v>1.7256521041625139</v>
      </c>
      <c r="AA277" s="16">
        <f>Transportation_LCIA!E$61*($W277^Transportation_LCIA!E$60)+Transportation_LCIA!E$62</f>
        <v>6.8612050027821081E-4</v>
      </c>
      <c r="AB277" s="16">
        <f>Transportation_LCIA!F$61*($W277^Transportation_LCIA!F$60)+Transportation_LCIA!F$62</f>
        <v>0.17499639639248199</v>
      </c>
      <c r="AC277" s="16">
        <f>Transportation_LCIA!G$61*($W277^Transportation_LCIA!G$60)+Transportation_LCIA!G$62</f>
        <v>4.0481896009759488E-2</v>
      </c>
      <c r="AD277" s="16">
        <f>Transportation_LCIA!H$61*($W277^Transportation_LCIA!H$60)+Transportation_LCIA!H$62</f>
        <v>1.7690308503275038E-4</v>
      </c>
      <c r="AE277" s="16">
        <f>Transportation_LCIA!I$61*($W277^Transportation_LCIA!I$60)+Transportation_LCIA!I$62</f>
        <v>3.4396756380258186E-6</v>
      </c>
      <c r="AF277" s="16">
        <f>Transportation_LCIA!J$61*($W277^Transportation_LCIA!J$60)+Transportation_LCIA!J$62</f>
        <v>5.1008385388865325E-3</v>
      </c>
      <c r="AG277" s="16">
        <f>Transportation_LCIA!K$61*($W277^Transportation_LCIA!K$60)+Transportation_LCIA!K$62</f>
        <v>8.3034455995642971E-3</v>
      </c>
      <c r="AH277" s="16">
        <f>Transportation_LCIA!L$61*($W277^Transportation_LCIA!L$60)+Transportation_LCIA!L$62</f>
        <v>1.4840453394545598E-4</v>
      </c>
      <c r="AI277" s="16">
        <f>Transportation_LCIA!M$61*($W277^Transportation_LCIA!M$60)+Transportation_LCIA!M$62</f>
        <v>1.8850364359360649E-4</v>
      </c>
      <c r="AJ277" s="16">
        <f>Transportation_LCIA!N$61*($W277^Transportation_LCIA!N$60)+Transportation_LCIA!N$62</f>
        <v>6.5362684764447309E-4</v>
      </c>
      <c r="AK277" s="16">
        <f>Transportation_LCIA!O$61*($W277^Transportation_LCIA!O$60)+Transportation_LCIA!O$62</f>
        <v>4.2688543413009031E-5</v>
      </c>
      <c r="AL277" s="16">
        <f>Transportation_LCIA!P$61*($W277^Transportation_LCIA!P$60)+Transportation_LCIA!P$62</f>
        <v>2.0683576176856233E-8</v>
      </c>
      <c r="AM277" s="16">
        <f>Transportation_LCIA!Q$61*($W277^Transportation_LCIA!Q$60)+Transportation_LCIA!Q$62</f>
        <v>5.9262159428738185E-5</v>
      </c>
      <c r="AN277" s="16">
        <f>Transportation_LCIA!R$61*($W277^Transportation_LCIA!R$60)+Transportation_LCIA!R$62</f>
        <v>1.6582507996865508E-4</v>
      </c>
      <c r="AO277" s="16">
        <f>Transportation_LCIA!S$61*($W277^Transportation_LCIA!S$60)+Transportation_LCIA!S$62</f>
        <v>2.6098204100650336E-6</v>
      </c>
      <c r="AP277" s="16">
        <f>Transportation_LCIA!T$61*($W277^Transportation_LCIA!T$60)+Transportation_LCIA!T$62</f>
        <v>2.6098204100650336E-6</v>
      </c>
      <c r="AQ277" s="16">
        <f>Transportation_LCIA!U$61*($W277^Transportation_LCIA!U$60)+Transportation_LCIA!U$62</f>
        <v>3.510285673903872E-4</v>
      </c>
      <c r="AR277" s="16">
        <f>Transportation_LCIA!V$61*($W277^Transportation_LCIA!V$60)+Transportation_LCIA!V$62</f>
        <v>1.5434135754289162E-4</v>
      </c>
      <c r="AT277" s="16">
        <f>$W277*Y277+($L277)*Summary_LCIA!H$32</f>
        <v>395.26440349289396</v>
      </c>
      <c r="AU277" s="16">
        <f>$W277*Z277+($L277)*Summary_LCIA!Q$32</f>
        <v>3922.2768327773788</v>
      </c>
      <c r="AV277" s="16">
        <f>$W277*AA277+($L277)*Summary_LCIA!R$32</f>
        <v>1.6098849781212246</v>
      </c>
      <c r="AW277" s="16">
        <f>$W277*AB277+($L277)*Summary_LCIA!S$32</f>
        <v>395.19681727289395</v>
      </c>
      <c r="AX277" s="16">
        <f>$W277*AC277+($L277)*Summary_LCIA!T$32</f>
        <v>91.91498662340318</v>
      </c>
      <c r="AY277" s="16">
        <f>$W277*AD277+($L277)*Summary_LCIA!U$32</f>
        <v>0.66824152160525663</v>
      </c>
      <c r="AZ277" s="16">
        <f>$W277*AE277+($L277)*Summary_LCIA!V$32</f>
        <v>8.397380995743076E-3</v>
      </c>
      <c r="BA277" s="16">
        <f>$W277*AF277+($L277)*Summary_LCIA!W$32</f>
        <v>12.546777964464422</v>
      </c>
      <c r="BB277" s="16">
        <f>$W277*AG277+($L277)*Summary_LCIA!X$32</f>
        <v>18.85678296390477</v>
      </c>
      <c r="BC277" s="16">
        <f>$W277*AH277+($L277)*Summary_LCIA!Y$32</f>
        <v>0.56905938613750184</v>
      </c>
      <c r="BD277" s="16">
        <f>$W277*AI277+($L277)*Summary_LCIA!Z$32</f>
        <v>0.42080336428037252</v>
      </c>
      <c r="BE277" s="16">
        <f>$W277*AJ277+($L277)*Summary_LCIA!AA$32</f>
        <v>1.8140766442261549</v>
      </c>
      <c r="BF277" s="16">
        <f>$W277*AK277+($L277)*Summary_LCIA!AB$32</f>
        <v>9.4819446889369205E-2</v>
      </c>
      <c r="BG277" s="16">
        <f>$W277*AL277+($L277)*Summary_LCIA!AC$32</f>
        <v>4.6851360231995352E-5</v>
      </c>
      <c r="BH277" s="16">
        <f>$W277*AM277+($L277)*Summary_LCIA!AD$32</f>
        <v>0.1383810923108662</v>
      </c>
      <c r="BI277" s="16">
        <f>$W277*AN277+($L277)*Summary_LCIA!AE$32</f>
        <v>0.38317538976419141</v>
      </c>
      <c r="BJ277" s="16">
        <f>$W277*AO277+($L277)*Summary_LCIA!AF$32</f>
        <v>1.8744630091716626E-2</v>
      </c>
      <c r="BK277" s="16">
        <f>$W277*AP277+($L277)*Summary_LCIA!AG$32</f>
        <v>6.5996768867166242E-3</v>
      </c>
      <c r="BL277" s="16">
        <f>$W277*AQ277+($L277)*Summary_LCIA!AH$32</f>
        <v>0.91553254177993759</v>
      </c>
      <c r="BM277" s="16">
        <f>$W277*AR277+($L277)*Summary_LCIA!AI$32</f>
        <v>0.35827258771081277</v>
      </c>
      <c r="BN277" s="16"/>
    </row>
    <row r="278" spans="1:66" x14ac:dyDescent="0.25">
      <c r="A278" s="159">
        <v>67</v>
      </c>
      <c r="B278" s="159">
        <v>6</v>
      </c>
      <c r="C278" s="45">
        <v>51.075544999999998</v>
      </c>
      <c r="D278" s="45">
        <v>-114.12975400000001</v>
      </c>
      <c r="E278" s="45" t="s">
        <v>462</v>
      </c>
      <c r="F278" s="159">
        <v>125</v>
      </c>
      <c r="G278" s="45" t="s">
        <v>656</v>
      </c>
      <c r="H278" s="45" t="s">
        <v>657</v>
      </c>
      <c r="I278" s="45">
        <v>51.121502999999997</v>
      </c>
      <c r="J278" s="45">
        <v>-114.007616</v>
      </c>
      <c r="K278" s="45">
        <v>10.47008467</v>
      </c>
      <c r="L278" s="45">
        <v>15.291</v>
      </c>
      <c r="M278" s="45" t="s">
        <v>617</v>
      </c>
      <c r="N278" s="159">
        <v>5</v>
      </c>
      <c r="O278" s="159">
        <v>6</v>
      </c>
      <c r="P278" s="45" t="s">
        <v>565</v>
      </c>
      <c r="Q278" s="45" t="s">
        <v>564</v>
      </c>
      <c r="R278" s="45">
        <v>41.98028</v>
      </c>
      <c r="S278" s="45">
        <v>-87.908997900000003</v>
      </c>
      <c r="T278" s="45">
        <v>2552.1129999999998</v>
      </c>
      <c r="U278" s="45" t="s">
        <v>617</v>
      </c>
      <c r="V278" s="45" t="s">
        <v>569</v>
      </c>
      <c r="W278" s="45" cm="1">
        <f t="array" ref="W278">getDistance(R278,S278,I278,J278)*SA!$B$12</f>
        <v>2229.0088809488861</v>
      </c>
      <c r="Y278" s="16">
        <f>Transportation_LCIA!C$61*($W278^Transportation_LCIA!C$60)+Transportation_LCIA!C$62</f>
        <v>0.17499639639248199</v>
      </c>
      <c r="Z278" s="16">
        <f>Transportation_LCIA!D$61*($W278^Transportation_LCIA!D$60)+Transportation_LCIA!D$62</f>
        <v>1.7256521041625139</v>
      </c>
      <c r="AA278" s="16">
        <f>Transportation_LCIA!E$61*($W278^Transportation_LCIA!E$60)+Transportation_LCIA!E$62</f>
        <v>6.8612050027821081E-4</v>
      </c>
      <c r="AB278" s="16">
        <f>Transportation_LCIA!F$61*($W278^Transportation_LCIA!F$60)+Transportation_LCIA!F$62</f>
        <v>0.17499639639248199</v>
      </c>
      <c r="AC278" s="16">
        <f>Transportation_LCIA!G$61*($W278^Transportation_LCIA!G$60)+Transportation_LCIA!G$62</f>
        <v>4.0481896009759488E-2</v>
      </c>
      <c r="AD278" s="16">
        <f>Transportation_LCIA!H$61*($W278^Transportation_LCIA!H$60)+Transportation_LCIA!H$62</f>
        <v>1.7690308503275038E-4</v>
      </c>
      <c r="AE278" s="16">
        <f>Transportation_LCIA!I$61*($W278^Transportation_LCIA!I$60)+Transportation_LCIA!I$62</f>
        <v>3.4396756380258186E-6</v>
      </c>
      <c r="AF278" s="16">
        <f>Transportation_LCIA!J$61*($W278^Transportation_LCIA!J$60)+Transportation_LCIA!J$62</f>
        <v>5.1008385388865325E-3</v>
      </c>
      <c r="AG278" s="16">
        <f>Transportation_LCIA!K$61*($W278^Transportation_LCIA!K$60)+Transportation_LCIA!K$62</f>
        <v>8.3034455995642971E-3</v>
      </c>
      <c r="AH278" s="16">
        <f>Transportation_LCIA!L$61*($W278^Transportation_LCIA!L$60)+Transportation_LCIA!L$62</f>
        <v>1.4840453394545598E-4</v>
      </c>
      <c r="AI278" s="16">
        <f>Transportation_LCIA!M$61*($W278^Transportation_LCIA!M$60)+Transportation_LCIA!M$62</f>
        <v>1.8850364359360649E-4</v>
      </c>
      <c r="AJ278" s="16">
        <f>Transportation_LCIA!N$61*($W278^Transportation_LCIA!N$60)+Transportation_LCIA!N$62</f>
        <v>6.5362684764447309E-4</v>
      </c>
      <c r="AK278" s="16">
        <f>Transportation_LCIA!O$61*($W278^Transportation_LCIA!O$60)+Transportation_LCIA!O$62</f>
        <v>4.2688543413009031E-5</v>
      </c>
      <c r="AL278" s="16">
        <f>Transportation_LCIA!P$61*($W278^Transportation_LCIA!P$60)+Transportation_LCIA!P$62</f>
        <v>2.0683576176856233E-8</v>
      </c>
      <c r="AM278" s="16">
        <f>Transportation_LCIA!Q$61*($W278^Transportation_LCIA!Q$60)+Transportation_LCIA!Q$62</f>
        <v>5.9262159428738185E-5</v>
      </c>
      <c r="AN278" s="16">
        <f>Transportation_LCIA!R$61*($W278^Transportation_LCIA!R$60)+Transportation_LCIA!R$62</f>
        <v>1.6582507996865508E-4</v>
      </c>
      <c r="AO278" s="16">
        <f>Transportation_LCIA!S$61*($W278^Transportation_LCIA!S$60)+Transportation_LCIA!S$62</f>
        <v>2.6098204100650336E-6</v>
      </c>
      <c r="AP278" s="16">
        <f>Transportation_LCIA!T$61*($W278^Transportation_LCIA!T$60)+Transportation_LCIA!T$62</f>
        <v>2.6098204100650336E-6</v>
      </c>
      <c r="AQ278" s="16">
        <f>Transportation_LCIA!U$61*($W278^Transportation_LCIA!U$60)+Transportation_LCIA!U$62</f>
        <v>3.510285673903872E-4</v>
      </c>
      <c r="AR278" s="16">
        <f>Transportation_LCIA!V$61*($W278^Transportation_LCIA!V$60)+Transportation_LCIA!V$62</f>
        <v>1.5434135754289162E-4</v>
      </c>
      <c r="AT278" s="16">
        <f>$W278*Y278+($L278)*Summary_LCIA!H$32</f>
        <v>395.26440349289396</v>
      </c>
      <c r="AU278" s="16">
        <f>$W278*Z278+($L278)*Summary_LCIA!Q$32</f>
        <v>3922.2768327773788</v>
      </c>
      <c r="AV278" s="16">
        <f>$W278*AA278+($L278)*Summary_LCIA!R$32</f>
        <v>1.6098849781212246</v>
      </c>
      <c r="AW278" s="16">
        <f>$W278*AB278+($L278)*Summary_LCIA!S$32</f>
        <v>395.19681727289395</v>
      </c>
      <c r="AX278" s="16">
        <f>$W278*AC278+($L278)*Summary_LCIA!T$32</f>
        <v>91.91498662340318</v>
      </c>
      <c r="AY278" s="16">
        <f>$W278*AD278+($L278)*Summary_LCIA!U$32</f>
        <v>0.66824152160525663</v>
      </c>
      <c r="AZ278" s="16">
        <f>$W278*AE278+($L278)*Summary_LCIA!V$32</f>
        <v>8.397380995743076E-3</v>
      </c>
      <c r="BA278" s="16">
        <f>$W278*AF278+($L278)*Summary_LCIA!W$32</f>
        <v>12.546777964464422</v>
      </c>
      <c r="BB278" s="16">
        <f>$W278*AG278+($L278)*Summary_LCIA!X$32</f>
        <v>18.85678296390477</v>
      </c>
      <c r="BC278" s="16">
        <f>$W278*AH278+($L278)*Summary_LCIA!Y$32</f>
        <v>0.56905938613750184</v>
      </c>
      <c r="BD278" s="16">
        <f>$W278*AI278+($L278)*Summary_LCIA!Z$32</f>
        <v>0.42080336428037252</v>
      </c>
      <c r="BE278" s="16">
        <f>$W278*AJ278+($L278)*Summary_LCIA!AA$32</f>
        <v>1.8140766442261549</v>
      </c>
      <c r="BF278" s="16">
        <f>$W278*AK278+($L278)*Summary_LCIA!AB$32</f>
        <v>9.4819446889369205E-2</v>
      </c>
      <c r="BG278" s="16">
        <f>$W278*AL278+($L278)*Summary_LCIA!AC$32</f>
        <v>4.6851360231995352E-5</v>
      </c>
      <c r="BH278" s="16">
        <f>$W278*AM278+($L278)*Summary_LCIA!AD$32</f>
        <v>0.1383810923108662</v>
      </c>
      <c r="BI278" s="16">
        <f>$W278*AN278+($L278)*Summary_LCIA!AE$32</f>
        <v>0.38317538976419141</v>
      </c>
      <c r="BJ278" s="16">
        <f>$W278*AO278+($L278)*Summary_LCIA!AF$32</f>
        <v>1.8744630091716626E-2</v>
      </c>
      <c r="BK278" s="16">
        <f>$W278*AP278+($L278)*Summary_LCIA!AG$32</f>
        <v>6.5996768867166242E-3</v>
      </c>
      <c r="BL278" s="16">
        <f>$W278*AQ278+($L278)*Summary_LCIA!AH$32</f>
        <v>0.91553254177993759</v>
      </c>
      <c r="BM278" s="16">
        <f>$W278*AR278+($L278)*Summary_LCIA!AI$32</f>
        <v>0.35827258771081277</v>
      </c>
      <c r="BN278" s="16"/>
    </row>
    <row r="279" spans="1:66" x14ac:dyDescent="0.25">
      <c r="A279" s="159">
        <v>68</v>
      </c>
      <c r="B279" s="159">
        <v>6</v>
      </c>
      <c r="C279" s="45">
        <v>51.075544999999998</v>
      </c>
      <c r="D279" s="45">
        <v>-114.12975400000001</v>
      </c>
      <c r="E279" s="45" t="s">
        <v>462</v>
      </c>
      <c r="F279" s="159">
        <v>125</v>
      </c>
      <c r="G279" s="45" t="s">
        <v>656</v>
      </c>
      <c r="H279" s="45" t="s">
        <v>657</v>
      </c>
      <c r="I279" s="45">
        <v>51.121502999999997</v>
      </c>
      <c r="J279" s="45">
        <v>-114.007616</v>
      </c>
      <c r="K279" s="45">
        <v>10.47008467</v>
      </c>
      <c r="L279" s="45">
        <v>15.291</v>
      </c>
      <c r="M279" s="45" t="s">
        <v>617</v>
      </c>
      <c r="N279" s="159">
        <v>5</v>
      </c>
      <c r="O279" s="159">
        <v>6</v>
      </c>
      <c r="P279" s="45" t="s">
        <v>565</v>
      </c>
      <c r="Q279" s="45" t="s">
        <v>564</v>
      </c>
      <c r="R279" s="45">
        <v>41.98028</v>
      </c>
      <c r="S279" s="45">
        <v>-87.908997900000003</v>
      </c>
      <c r="T279" s="45">
        <v>2552.1129999999998</v>
      </c>
      <c r="U279" s="45" t="s">
        <v>617</v>
      </c>
      <c r="V279" s="45" t="s">
        <v>569</v>
      </c>
      <c r="W279" s="45" cm="1">
        <f t="array" ref="W279">getDistance(R279,S279,I279,J279)*SA!$B$12</f>
        <v>2229.0088809488861</v>
      </c>
      <c r="Y279" s="16">
        <f>Transportation_LCIA!C$61*($W279^Transportation_LCIA!C$60)+Transportation_LCIA!C$62</f>
        <v>0.17499639639248199</v>
      </c>
      <c r="Z279" s="16">
        <f>Transportation_LCIA!D$61*($W279^Transportation_LCIA!D$60)+Transportation_LCIA!D$62</f>
        <v>1.7256521041625139</v>
      </c>
      <c r="AA279" s="16">
        <f>Transportation_LCIA!E$61*($W279^Transportation_LCIA!E$60)+Transportation_LCIA!E$62</f>
        <v>6.8612050027821081E-4</v>
      </c>
      <c r="AB279" s="16">
        <f>Transportation_LCIA!F$61*($W279^Transportation_LCIA!F$60)+Transportation_LCIA!F$62</f>
        <v>0.17499639639248199</v>
      </c>
      <c r="AC279" s="16">
        <f>Transportation_LCIA!G$61*($W279^Transportation_LCIA!G$60)+Transportation_LCIA!G$62</f>
        <v>4.0481896009759488E-2</v>
      </c>
      <c r="AD279" s="16">
        <f>Transportation_LCIA!H$61*($W279^Transportation_LCIA!H$60)+Transportation_LCIA!H$62</f>
        <v>1.7690308503275038E-4</v>
      </c>
      <c r="AE279" s="16">
        <f>Transportation_LCIA!I$61*($W279^Transportation_LCIA!I$60)+Transportation_LCIA!I$62</f>
        <v>3.4396756380258186E-6</v>
      </c>
      <c r="AF279" s="16">
        <f>Transportation_LCIA!J$61*($W279^Transportation_LCIA!J$60)+Transportation_LCIA!J$62</f>
        <v>5.1008385388865325E-3</v>
      </c>
      <c r="AG279" s="16">
        <f>Transportation_LCIA!K$61*($W279^Transportation_LCIA!K$60)+Transportation_LCIA!K$62</f>
        <v>8.3034455995642971E-3</v>
      </c>
      <c r="AH279" s="16">
        <f>Transportation_LCIA!L$61*($W279^Transportation_LCIA!L$60)+Transportation_LCIA!L$62</f>
        <v>1.4840453394545598E-4</v>
      </c>
      <c r="AI279" s="16">
        <f>Transportation_LCIA!M$61*($W279^Transportation_LCIA!M$60)+Transportation_LCIA!M$62</f>
        <v>1.8850364359360649E-4</v>
      </c>
      <c r="AJ279" s="16">
        <f>Transportation_LCIA!N$61*($W279^Transportation_LCIA!N$60)+Transportation_LCIA!N$62</f>
        <v>6.5362684764447309E-4</v>
      </c>
      <c r="AK279" s="16">
        <f>Transportation_LCIA!O$61*($W279^Transportation_LCIA!O$60)+Transportation_LCIA!O$62</f>
        <v>4.2688543413009031E-5</v>
      </c>
      <c r="AL279" s="16">
        <f>Transportation_LCIA!P$61*($W279^Transportation_LCIA!P$60)+Transportation_LCIA!P$62</f>
        <v>2.0683576176856233E-8</v>
      </c>
      <c r="AM279" s="16">
        <f>Transportation_LCIA!Q$61*($W279^Transportation_LCIA!Q$60)+Transportation_LCIA!Q$62</f>
        <v>5.9262159428738185E-5</v>
      </c>
      <c r="AN279" s="16">
        <f>Transportation_LCIA!R$61*($W279^Transportation_LCIA!R$60)+Transportation_LCIA!R$62</f>
        <v>1.6582507996865508E-4</v>
      </c>
      <c r="AO279" s="16">
        <f>Transportation_LCIA!S$61*($W279^Transportation_LCIA!S$60)+Transportation_LCIA!S$62</f>
        <v>2.6098204100650336E-6</v>
      </c>
      <c r="AP279" s="16">
        <f>Transportation_LCIA!T$61*($W279^Transportation_LCIA!T$60)+Transportation_LCIA!T$62</f>
        <v>2.6098204100650336E-6</v>
      </c>
      <c r="AQ279" s="16">
        <f>Transportation_LCIA!U$61*($W279^Transportation_LCIA!U$60)+Transportation_LCIA!U$62</f>
        <v>3.510285673903872E-4</v>
      </c>
      <c r="AR279" s="16">
        <f>Transportation_LCIA!V$61*($W279^Transportation_LCIA!V$60)+Transportation_LCIA!V$62</f>
        <v>1.5434135754289162E-4</v>
      </c>
      <c r="AT279" s="16">
        <f>$W279*Y279+($L279)*Summary_LCIA!H$32</f>
        <v>395.26440349289396</v>
      </c>
      <c r="AU279" s="16">
        <f>$W279*Z279+($L279)*Summary_LCIA!Q$32</f>
        <v>3922.2768327773788</v>
      </c>
      <c r="AV279" s="16">
        <f>$W279*AA279+($L279)*Summary_LCIA!R$32</f>
        <v>1.6098849781212246</v>
      </c>
      <c r="AW279" s="16">
        <f>$W279*AB279+($L279)*Summary_LCIA!S$32</f>
        <v>395.19681727289395</v>
      </c>
      <c r="AX279" s="16">
        <f>$W279*AC279+($L279)*Summary_LCIA!T$32</f>
        <v>91.91498662340318</v>
      </c>
      <c r="AY279" s="16">
        <f>$W279*AD279+($L279)*Summary_LCIA!U$32</f>
        <v>0.66824152160525663</v>
      </c>
      <c r="AZ279" s="16">
        <f>$W279*AE279+($L279)*Summary_LCIA!V$32</f>
        <v>8.397380995743076E-3</v>
      </c>
      <c r="BA279" s="16">
        <f>$W279*AF279+($L279)*Summary_LCIA!W$32</f>
        <v>12.546777964464422</v>
      </c>
      <c r="BB279" s="16">
        <f>$W279*AG279+($L279)*Summary_LCIA!X$32</f>
        <v>18.85678296390477</v>
      </c>
      <c r="BC279" s="16">
        <f>$W279*AH279+($L279)*Summary_LCIA!Y$32</f>
        <v>0.56905938613750184</v>
      </c>
      <c r="BD279" s="16">
        <f>$W279*AI279+($L279)*Summary_LCIA!Z$32</f>
        <v>0.42080336428037252</v>
      </c>
      <c r="BE279" s="16">
        <f>$W279*AJ279+($L279)*Summary_LCIA!AA$32</f>
        <v>1.8140766442261549</v>
      </c>
      <c r="BF279" s="16">
        <f>$W279*AK279+($L279)*Summary_LCIA!AB$32</f>
        <v>9.4819446889369205E-2</v>
      </c>
      <c r="BG279" s="16">
        <f>$W279*AL279+($L279)*Summary_LCIA!AC$32</f>
        <v>4.6851360231995352E-5</v>
      </c>
      <c r="BH279" s="16">
        <f>$W279*AM279+($L279)*Summary_LCIA!AD$32</f>
        <v>0.1383810923108662</v>
      </c>
      <c r="BI279" s="16">
        <f>$W279*AN279+($L279)*Summary_LCIA!AE$32</f>
        <v>0.38317538976419141</v>
      </c>
      <c r="BJ279" s="16">
        <f>$W279*AO279+($L279)*Summary_LCIA!AF$32</f>
        <v>1.8744630091716626E-2</v>
      </c>
      <c r="BK279" s="16">
        <f>$W279*AP279+($L279)*Summary_LCIA!AG$32</f>
        <v>6.5996768867166242E-3</v>
      </c>
      <c r="BL279" s="16">
        <f>$W279*AQ279+($L279)*Summary_LCIA!AH$32</f>
        <v>0.91553254177993759</v>
      </c>
      <c r="BM279" s="16">
        <f>$W279*AR279+($L279)*Summary_LCIA!AI$32</f>
        <v>0.35827258771081277</v>
      </c>
      <c r="BN279" s="16"/>
    </row>
    <row r="280" spans="1:66" x14ac:dyDescent="0.25">
      <c r="A280" s="159">
        <v>69</v>
      </c>
      <c r="B280" s="159">
        <v>6</v>
      </c>
      <c r="C280" s="45">
        <v>51.075544999999998</v>
      </c>
      <c r="D280" s="45">
        <v>-114.12975400000001</v>
      </c>
      <c r="E280" s="45" t="s">
        <v>462</v>
      </c>
      <c r="F280" s="159">
        <v>125</v>
      </c>
      <c r="G280" s="45" t="s">
        <v>656</v>
      </c>
      <c r="H280" s="45" t="s">
        <v>657</v>
      </c>
      <c r="I280" s="45">
        <v>51.121502999999997</v>
      </c>
      <c r="J280" s="45">
        <v>-114.007616</v>
      </c>
      <c r="K280" s="45">
        <v>10.47008467</v>
      </c>
      <c r="L280" s="45">
        <v>15.291</v>
      </c>
      <c r="M280" s="45" t="s">
        <v>617</v>
      </c>
      <c r="N280" s="159">
        <v>5</v>
      </c>
      <c r="O280" s="159">
        <v>6</v>
      </c>
      <c r="P280" s="45" t="s">
        <v>565</v>
      </c>
      <c r="Q280" s="45" t="s">
        <v>564</v>
      </c>
      <c r="R280" s="45">
        <v>41.98028</v>
      </c>
      <c r="S280" s="45">
        <v>-87.908997900000003</v>
      </c>
      <c r="T280" s="45">
        <v>2552.1129999999998</v>
      </c>
      <c r="U280" s="45" t="s">
        <v>617</v>
      </c>
      <c r="V280" s="45" t="s">
        <v>569</v>
      </c>
      <c r="W280" s="45" cm="1">
        <f t="array" ref="W280">getDistance(R280,S280,I280,J280)*SA!$B$12</f>
        <v>2229.0088809488861</v>
      </c>
      <c r="Y280" s="16">
        <f>Transportation_LCIA!C$61*($W280^Transportation_LCIA!C$60)+Transportation_LCIA!C$62</f>
        <v>0.17499639639248199</v>
      </c>
      <c r="Z280" s="16">
        <f>Transportation_LCIA!D$61*($W280^Transportation_LCIA!D$60)+Transportation_LCIA!D$62</f>
        <v>1.7256521041625139</v>
      </c>
      <c r="AA280" s="16">
        <f>Transportation_LCIA!E$61*($W280^Transportation_LCIA!E$60)+Transportation_LCIA!E$62</f>
        <v>6.8612050027821081E-4</v>
      </c>
      <c r="AB280" s="16">
        <f>Transportation_LCIA!F$61*($W280^Transportation_LCIA!F$60)+Transportation_LCIA!F$62</f>
        <v>0.17499639639248199</v>
      </c>
      <c r="AC280" s="16">
        <f>Transportation_LCIA!G$61*($W280^Transportation_LCIA!G$60)+Transportation_LCIA!G$62</f>
        <v>4.0481896009759488E-2</v>
      </c>
      <c r="AD280" s="16">
        <f>Transportation_LCIA!H$61*($W280^Transportation_LCIA!H$60)+Transportation_LCIA!H$62</f>
        <v>1.7690308503275038E-4</v>
      </c>
      <c r="AE280" s="16">
        <f>Transportation_LCIA!I$61*($W280^Transportation_LCIA!I$60)+Transportation_LCIA!I$62</f>
        <v>3.4396756380258186E-6</v>
      </c>
      <c r="AF280" s="16">
        <f>Transportation_LCIA!J$61*($W280^Transportation_LCIA!J$60)+Transportation_LCIA!J$62</f>
        <v>5.1008385388865325E-3</v>
      </c>
      <c r="AG280" s="16">
        <f>Transportation_LCIA!K$61*($W280^Transportation_LCIA!K$60)+Transportation_LCIA!K$62</f>
        <v>8.3034455995642971E-3</v>
      </c>
      <c r="AH280" s="16">
        <f>Transportation_LCIA!L$61*($W280^Transportation_LCIA!L$60)+Transportation_LCIA!L$62</f>
        <v>1.4840453394545598E-4</v>
      </c>
      <c r="AI280" s="16">
        <f>Transportation_LCIA!M$61*($W280^Transportation_LCIA!M$60)+Transportation_LCIA!M$62</f>
        <v>1.8850364359360649E-4</v>
      </c>
      <c r="AJ280" s="16">
        <f>Transportation_LCIA!N$61*($W280^Transportation_LCIA!N$60)+Transportation_LCIA!N$62</f>
        <v>6.5362684764447309E-4</v>
      </c>
      <c r="AK280" s="16">
        <f>Transportation_LCIA!O$61*($W280^Transportation_LCIA!O$60)+Transportation_LCIA!O$62</f>
        <v>4.2688543413009031E-5</v>
      </c>
      <c r="AL280" s="16">
        <f>Transportation_LCIA!P$61*($W280^Transportation_LCIA!P$60)+Transportation_LCIA!P$62</f>
        <v>2.0683576176856233E-8</v>
      </c>
      <c r="AM280" s="16">
        <f>Transportation_LCIA!Q$61*($W280^Transportation_LCIA!Q$60)+Transportation_LCIA!Q$62</f>
        <v>5.9262159428738185E-5</v>
      </c>
      <c r="AN280" s="16">
        <f>Transportation_LCIA!R$61*($W280^Transportation_LCIA!R$60)+Transportation_LCIA!R$62</f>
        <v>1.6582507996865508E-4</v>
      </c>
      <c r="AO280" s="16">
        <f>Transportation_LCIA!S$61*($W280^Transportation_LCIA!S$60)+Transportation_LCIA!S$62</f>
        <v>2.6098204100650336E-6</v>
      </c>
      <c r="AP280" s="16">
        <f>Transportation_LCIA!T$61*($W280^Transportation_LCIA!T$60)+Transportation_LCIA!T$62</f>
        <v>2.6098204100650336E-6</v>
      </c>
      <c r="AQ280" s="16">
        <f>Transportation_LCIA!U$61*($W280^Transportation_LCIA!U$60)+Transportation_LCIA!U$62</f>
        <v>3.510285673903872E-4</v>
      </c>
      <c r="AR280" s="16">
        <f>Transportation_LCIA!V$61*($W280^Transportation_LCIA!V$60)+Transportation_LCIA!V$62</f>
        <v>1.5434135754289162E-4</v>
      </c>
      <c r="AT280" s="16">
        <f>$W280*Y280+($L280)*Summary_LCIA!H$32</f>
        <v>395.26440349289396</v>
      </c>
      <c r="AU280" s="16">
        <f>$W280*Z280+($L280)*Summary_LCIA!Q$32</f>
        <v>3922.2768327773788</v>
      </c>
      <c r="AV280" s="16">
        <f>$W280*AA280+($L280)*Summary_LCIA!R$32</f>
        <v>1.6098849781212246</v>
      </c>
      <c r="AW280" s="16">
        <f>$W280*AB280+($L280)*Summary_LCIA!S$32</f>
        <v>395.19681727289395</v>
      </c>
      <c r="AX280" s="16">
        <f>$W280*AC280+($L280)*Summary_LCIA!T$32</f>
        <v>91.91498662340318</v>
      </c>
      <c r="AY280" s="16">
        <f>$W280*AD280+($L280)*Summary_LCIA!U$32</f>
        <v>0.66824152160525663</v>
      </c>
      <c r="AZ280" s="16">
        <f>$W280*AE280+($L280)*Summary_LCIA!V$32</f>
        <v>8.397380995743076E-3</v>
      </c>
      <c r="BA280" s="16">
        <f>$W280*AF280+($L280)*Summary_LCIA!W$32</f>
        <v>12.546777964464422</v>
      </c>
      <c r="BB280" s="16">
        <f>$W280*AG280+($L280)*Summary_LCIA!X$32</f>
        <v>18.85678296390477</v>
      </c>
      <c r="BC280" s="16">
        <f>$W280*AH280+($L280)*Summary_LCIA!Y$32</f>
        <v>0.56905938613750184</v>
      </c>
      <c r="BD280" s="16">
        <f>$W280*AI280+($L280)*Summary_LCIA!Z$32</f>
        <v>0.42080336428037252</v>
      </c>
      <c r="BE280" s="16">
        <f>$W280*AJ280+($L280)*Summary_LCIA!AA$32</f>
        <v>1.8140766442261549</v>
      </c>
      <c r="BF280" s="16">
        <f>$W280*AK280+($L280)*Summary_LCIA!AB$32</f>
        <v>9.4819446889369205E-2</v>
      </c>
      <c r="BG280" s="16">
        <f>$W280*AL280+($L280)*Summary_LCIA!AC$32</f>
        <v>4.6851360231995352E-5</v>
      </c>
      <c r="BH280" s="16">
        <f>$W280*AM280+($L280)*Summary_LCIA!AD$32</f>
        <v>0.1383810923108662</v>
      </c>
      <c r="BI280" s="16">
        <f>$W280*AN280+($L280)*Summary_LCIA!AE$32</f>
        <v>0.38317538976419141</v>
      </c>
      <c r="BJ280" s="16">
        <f>$W280*AO280+($L280)*Summary_LCIA!AF$32</f>
        <v>1.8744630091716626E-2</v>
      </c>
      <c r="BK280" s="16">
        <f>$W280*AP280+($L280)*Summary_LCIA!AG$32</f>
        <v>6.5996768867166242E-3</v>
      </c>
      <c r="BL280" s="16">
        <f>$W280*AQ280+($L280)*Summary_LCIA!AH$32</f>
        <v>0.91553254177993759</v>
      </c>
      <c r="BM280" s="16">
        <f>$W280*AR280+($L280)*Summary_LCIA!AI$32</f>
        <v>0.35827258771081277</v>
      </c>
      <c r="BN280" s="16"/>
    </row>
    <row r="281" spans="1:66" x14ac:dyDescent="0.25">
      <c r="A281" s="159">
        <v>70</v>
      </c>
      <c r="B281" s="159">
        <v>6</v>
      </c>
      <c r="C281" s="45">
        <v>51.075544999999998</v>
      </c>
      <c r="D281" s="45">
        <v>-114.12975400000001</v>
      </c>
      <c r="E281" s="45" t="s">
        <v>462</v>
      </c>
      <c r="F281" s="159">
        <v>125</v>
      </c>
      <c r="G281" s="45" t="s">
        <v>656</v>
      </c>
      <c r="H281" s="45" t="s">
        <v>657</v>
      </c>
      <c r="I281" s="45">
        <v>51.121502999999997</v>
      </c>
      <c r="J281" s="45">
        <v>-114.007616</v>
      </c>
      <c r="K281" s="45">
        <v>10.47008467</v>
      </c>
      <c r="L281" s="45">
        <v>15.291</v>
      </c>
      <c r="M281" s="45" t="s">
        <v>617</v>
      </c>
      <c r="N281" s="159">
        <v>5</v>
      </c>
      <c r="O281" s="159">
        <v>6</v>
      </c>
      <c r="P281" s="45" t="s">
        <v>565</v>
      </c>
      <c r="Q281" s="45" t="s">
        <v>564</v>
      </c>
      <c r="R281" s="45">
        <v>41.98028</v>
      </c>
      <c r="S281" s="45">
        <v>-87.908997900000003</v>
      </c>
      <c r="T281" s="45">
        <v>2552.1129999999998</v>
      </c>
      <c r="U281" s="45" t="s">
        <v>617</v>
      </c>
      <c r="V281" s="45" t="s">
        <v>569</v>
      </c>
      <c r="W281" s="45" cm="1">
        <f t="array" ref="W281">getDistance(R281,S281,I281,J281)*SA!$B$12</f>
        <v>2229.0088809488861</v>
      </c>
      <c r="Y281" s="16">
        <f>Transportation_LCIA!C$61*($W281^Transportation_LCIA!C$60)+Transportation_LCIA!C$62</f>
        <v>0.17499639639248199</v>
      </c>
      <c r="Z281" s="16">
        <f>Transportation_LCIA!D$61*($W281^Transportation_LCIA!D$60)+Transportation_LCIA!D$62</f>
        <v>1.7256521041625139</v>
      </c>
      <c r="AA281" s="16">
        <f>Transportation_LCIA!E$61*($W281^Transportation_LCIA!E$60)+Transportation_LCIA!E$62</f>
        <v>6.8612050027821081E-4</v>
      </c>
      <c r="AB281" s="16">
        <f>Transportation_LCIA!F$61*($W281^Transportation_LCIA!F$60)+Transportation_LCIA!F$62</f>
        <v>0.17499639639248199</v>
      </c>
      <c r="AC281" s="16">
        <f>Transportation_LCIA!G$61*($W281^Transportation_LCIA!G$60)+Transportation_LCIA!G$62</f>
        <v>4.0481896009759488E-2</v>
      </c>
      <c r="AD281" s="16">
        <f>Transportation_LCIA!H$61*($W281^Transportation_LCIA!H$60)+Transportation_LCIA!H$62</f>
        <v>1.7690308503275038E-4</v>
      </c>
      <c r="AE281" s="16">
        <f>Transportation_LCIA!I$61*($W281^Transportation_LCIA!I$60)+Transportation_LCIA!I$62</f>
        <v>3.4396756380258186E-6</v>
      </c>
      <c r="AF281" s="16">
        <f>Transportation_LCIA!J$61*($W281^Transportation_LCIA!J$60)+Transportation_LCIA!J$62</f>
        <v>5.1008385388865325E-3</v>
      </c>
      <c r="AG281" s="16">
        <f>Transportation_LCIA!K$61*($W281^Transportation_LCIA!K$60)+Transportation_LCIA!K$62</f>
        <v>8.3034455995642971E-3</v>
      </c>
      <c r="AH281" s="16">
        <f>Transportation_LCIA!L$61*($W281^Transportation_LCIA!L$60)+Transportation_LCIA!L$62</f>
        <v>1.4840453394545598E-4</v>
      </c>
      <c r="AI281" s="16">
        <f>Transportation_LCIA!M$61*($W281^Transportation_LCIA!M$60)+Transportation_LCIA!M$62</f>
        <v>1.8850364359360649E-4</v>
      </c>
      <c r="AJ281" s="16">
        <f>Transportation_LCIA!N$61*($W281^Transportation_LCIA!N$60)+Transportation_LCIA!N$62</f>
        <v>6.5362684764447309E-4</v>
      </c>
      <c r="AK281" s="16">
        <f>Transportation_LCIA!O$61*($W281^Transportation_LCIA!O$60)+Transportation_LCIA!O$62</f>
        <v>4.2688543413009031E-5</v>
      </c>
      <c r="AL281" s="16">
        <f>Transportation_LCIA!P$61*($W281^Transportation_LCIA!P$60)+Transportation_LCIA!P$62</f>
        <v>2.0683576176856233E-8</v>
      </c>
      <c r="AM281" s="16">
        <f>Transportation_LCIA!Q$61*($W281^Transportation_LCIA!Q$60)+Transportation_LCIA!Q$62</f>
        <v>5.9262159428738185E-5</v>
      </c>
      <c r="AN281" s="16">
        <f>Transportation_LCIA!R$61*($W281^Transportation_LCIA!R$60)+Transportation_LCIA!R$62</f>
        <v>1.6582507996865508E-4</v>
      </c>
      <c r="AO281" s="16">
        <f>Transportation_LCIA!S$61*($W281^Transportation_LCIA!S$60)+Transportation_LCIA!S$62</f>
        <v>2.6098204100650336E-6</v>
      </c>
      <c r="AP281" s="16">
        <f>Transportation_LCIA!T$61*($W281^Transportation_LCIA!T$60)+Transportation_LCIA!T$62</f>
        <v>2.6098204100650336E-6</v>
      </c>
      <c r="AQ281" s="16">
        <f>Transportation_LCIA!U$61*($W281^Transportation_LCIA!U$60)+Transportation_LCIA!U$62</f>
        <v>3.510285673903872E-4</v>
      </c>
      <c r="AR281" s="16">
        <f>Transportation_LCIA!V$61*($W281^Transportation_LCIA!V$60)+Transportation_LCIA!V$62</f>
        <v>1.5434135754289162E-4</v>
      </c>
      <c r="AT281" s="16">
        <f>$W281*Y281+($L281)*Summary_LCIA!H$32</f>
        <v>395.26440349289396</v>
      </c>
      <c r="AU281" s="16">
        <f>$W281*Z281+($L281)*Summary_LCIA!Q$32</f>
        <v>3922.2768327773788</v>
      </c>
      <c r="AV281" s="16">
        <f>$W281*AA281+($L281)*Summary_LCIA!R$32</f>
        <v>1.6098849781212246</v>
      </c>
      <c r="AW281" s="16">
        <f>$W281*AB281+($L281)*Summary_LCIA!S$32</f>
        <v>395.19681727289395</v>
      </c>
      <c r="AX281" s="16">
        <f>$W281*AC281+($L281)*Summary_LCIA!T$32</f>
        <v>91.91498662340318</v>
      </c>
      <c r="AY281" s="16">
        <f>$W281*AD281+($L281)*Summary_LCIA!U$32</f>
        <v>0.66824152160525663</v>
      </c>
      <c r="AZ281" s="16">
        <f>$W281*AE281+($L281)*Summary_LCIA!V$32</f>
        <v>8.397380995743076E-3</v>
      </c>
      <c r="BA281" s="16">
        <f>$W281*AF281+($L281)*Summary_LCIA!W$32</f>
        <v>12.546777964464422</v>
      </c>
      <c r="BB281" s="16">
        <f>$W281*AG281+($L281)*Summary_LCIA!X$32</f>
        <v>18.85678296390477</v>
      </c>
      <c r="BC281" s="16">
        <f>$W281*AH281+($L281)*Summary_LCIA!Y$32</f>
        <v>0.56905938613750184</v>
      </c>
      <c r="BD281" s="16">
        <f>$W281*AI281+($L281)*Summary_LCIA!Z$32</f>
        <v>0.42080336428037252</v>
      </c>
      <c r="BE281" s="16">
        <f>$W281*AJ281+($L281)*Summary_LCIA!AA$32</f>
        <v>1.8140766442261549</v>
      </c>
      <c r="BF281" s="16">
        <f>$W281*AK281+($L281)*Summary_LCIA!AB$32</f>
        <v>9.4819446889369205E-2</v>
      </c>
      <c r="BG281" s="16">
        <f>$W281*AL281+($L281)*Summary_LCIA!AC$32</f>
        <v>4.6851360231995352E-5</v>
      </c>
      <c r="BH281" s="16">
        <f>$W281*AM281+($L281)*Summary_LCIA!AD$32</f>
        <v>0.1383810923108662</v>
      </c>
      <c r="BI281" s="16">
        <f>$W281*AN281+($L281)*Summary_LCIA!AE$32</f>
        <v>0.38317538976419141</v>
      </c>
      <c r="BJ281" s="16">
        <f>$W281*AO281+($L281)*Summary_LCIA!AF$32</f>
        <v>1.8744630091716626E-2</v>
      </c>
      <c r="BK281" s="16">
        <f>$W281*AP281+($L281)*Summary_LCIA!AG$32</f>
        <v>6.5996768867166242E-3</v>
      </c>
      <c r="BL281" s="16">
        <f>$W281*AQ281+($L281)*Summary_LCIA!AH$32</f>
        <v>0.91553254177993759</v>
      </c>
      <c r="BM281" s="16">
        <f>$W281*AR281+($L281)*Summary_LCIA!AI$32</f>
        <v>0.35827258771081277</v>
      </c>
      <c r="BN281" s="16"/>
    </row>
    <row r="282" spans="1:66" x14ac:dyDescent="0.25">
      <c r="A282" s="159">
        <v>71</v>
      </c>
      <c r="B282" s="159">
        <v>6</v>
      </c>
      <c r="C282" s="45">
        <v>51.075544999999998</v>
      </c>
      <c r="D282" s="45">
        <v>-114.12975400000001</v>
      </c>
      <c r="E282" s="45" t="s">
        <v>462</v>
      </c>
      <c r="F282" s="159">
        <v>125</v>
      </c>
      <c r="G282" s="45" t="s">
        <v>656</v>
      </c>
      <c r="H282" s="45" t="s">
        <v>657</v>
      </c>
      <c r="I282" s="45">
        <v>51.121502999999997</v>
      </c>
      <c r="J282" s="45">
        <v>-114.007616</v>
      </c>
      <c r="K282" s="45">
        <v>10.47008467</v>
      </c>
      <c r="L282" s="45">
        <v>15.291</v>
      </c>
      <c r="M282" s="45" t="s">
        <v>617</v>
      </c>
      <c r="N282" s="159">
        <v>5</v>
      </c>
      <c r="O282" s="159">
        <v>6</v>
      </c>
      <c r="P282" s="45" t="s">
        <v>565</v>
      </c>
      <c r="Q282" s="45" t="s">
        <v>564</v>
      </c>
      <c r="R282" s="45">
        <v>41.98028</v>
      </c>
      <c r="S282" s="45">
        <v>-87.908997900000003</v>
      </c>
      <c r="T282" s="45">
        <v>2552.1129999999998</v>
      </c>
      <c r="U282" s="45" t="s">
        <v>617</v>
      </c>
      <c r="V282" s="45" t="s">
        <v>569</v>
      </c>
      <c r="W282" s="45" cm="1">
        <f t="array" ref="W282">getDistance(R282,S282,I282,J282)*SA!$B$12</f>
        <v>2229.0088809488861</v>
      </c>
      <c r="Y282" s="16">
        <f>Transportation_LCIA!C$61*($W282^Transportation_LCIA!C$60)+Transportation_LCIA!C$62</f>
        <v>0.17499639639248199</v>
      </c>
      <c r="Z282" s="16">
        <f>Transportation_LCIA!D$61*($W282^Transportation_LCIA!D$60)+Transportation_LCIA!D$62</f>
        <v>1.7256521041625139</v>
      </c>
      <c r="AA282" s="16">
        <f>Transportation_LCIA!E$61*($W282^Transportation_LCIA!E$60)+Transportation_LCIA!E$62</f>
        <v>6.8612050027821081E-4</v>
      </c>
      <c r="AB282" s="16">
        <f>Transportation_LCIA!F$61*($W282^Transportation_LCIA!F$60)+Transportation_LCIA!F$62</f>
        <v>0.17499639639248199</v>
      </c>
      <c r="AC282" s="16">
        <f>Transportation_LCIA!G$61*($W282^Transportation_LCIA!G$60)+Transportation_LCIA!G$62</f>
        <v>4.0481896009759488E-2</v>
      </c>
      <c r="AD282" s="16">
        <f>Transportation_LCIA!H$61*($W282^Transportation_LCIA!H$60)+Transportation_LCIA!H$62</f>
        <v>1.7690308503275038E-4</v>
      </c>
      <c r="AE282" s="16">
        <f>Transportation_LCIA!I$61*($W282^Transportation_LCIA!I$60)+Transportation_LCIA!I$62</f>
        <v>3.4396756380258186E-6</v>
      </c>
      <c r="AF282" s="16">
        <f>Transportation_LCIA!J$61*($W282^Transportation_LCIA!J$60)+Transportation_LCIA!J$62</f>
        <v>5.1008385388865325E-3</v>
      </c>
      <c r="AG282" s="16">
        <f>Transportation_LCIA!K$61*($W282^Transportation_LCIA!K$60)+Transportation_LCIA!K$62</f>
        <v>8.3034455995642971E-3</v>
      </c>
      <c r="AH282" s="16">
        <f>Transportation_LCIA!L$61*($W282^Transportation_LCIA!L$60)+Transportation_LCIA!L$62</f>
        <v>1.4840453394545598E-4</v>
      </c>
      <c r="AI282" s="16">
        <f>Transportation_LCIA!M$61*($W282^Transportation_LCIA!M$60)+Transportation_LCIA!M$62</f>
        <v>1.8850364359360649E-4</v>
      </c>
      <c r="AJ282" s="16">
        <f>Transportation_LCIA!N$61*($W282^Transportation_LCIA!N$60)+Transportation_LCIA!N$62</f>
        <v>6.5362684764447309E-4</v>
      </c>
      <c r="AK282" s="16">
        <f>Transportation_LCIA!O$61*($W282^Transportation_LCIA!O$60)+Transportation_LCIA!O$62</f>
        <v>4.2688543413009031E-5</v>
      </c>
      <c r="AL282" s="16">
        <f>Transportation_LCIA!P$61*($W282^Transportation_LCIA!P$60)+Transportation_LCIA!P$62</f>
        <v>2.0683576176856233E-8</v>
      </c>
      <c r="AM282" s="16">
        <f>Transportation_LCIA!Q$61*($W282^Transportation_LCIA!Q$60)+Transportation_LCIA!Q$62</f>
        <v>5.9262159428738185E-5</v>
      </c>
      <c r="AN282" s="16">
        <f>Transportation_LCIA!R$61*($W282^Transportation_LCIA!R$60)+Transportation_LCIA!R$62</f>
        <v>1.6582507996865508E-4</v>
      </c>
      <c r="AO282" s="16">
        <f>Transportation_LCIA!S$61*($W282^Transportation_LCIA!S$60)+Transportation_LCIA!S$62</f>
        <v>2.6098204100650336E-6</v>
      </c>
      <c r="AP282" s="16">
        <f>Transportation_LCIA!T$61*($W282^Transportation_LCIA!T$60)+Transportation_LCIA!T$62</f>
        <v>2.6098204100650336E-6</v>
      </c>
      <c r="AQ282" s="16">
        <f>Transportation_LCIA!U$61*($W282^Transportation_LCIA!U$60)+Transportation_LCIA!U$62</f>
        <v>3.510285673903872E-4</v>
      </c>
      <c r="AR282" s="16">
        <f>Transportation_LCIA!V$61*($W282^Transportation_LCIA!V$60)+Transportation_LCIA!V$62</f>
        <v>1.5434135754289162E-4</v>
      </c>
      <c r="AT282" s="16">
        <f>$W282*Y282+($L282)*Summary_LCIA!H$32</f>
        <v>395.26440349289396</v>
      </c>
      <c r="AU282" s="16">
        <f>$W282*Z282+($L282)*Summary_LCIA!Q$32</f>
        <v>3922.2768327773788</v>
      </c>
      <c r="AV282" s="16">
        <f>$W282*AA282+($L282)*Summary_LCIA!R$32</f>
        <v>1.6098849781212246</v>
      </c>
      <c r="AW282" s="16">
        <f>$W282*AB282+($L282)*Summary_LCIA!S$32</f>
        <v>395.19681727289395</v>
      </c>
      <c r="AX282" s="16">
        <f>$W282*AC282+($L282)*Summary_LCIA!T$32</f>
        <v>91.91498662340318</v>
      </c>
      <c r="AY282" s="16">
        <f>$W282*AD282+($L282)*Summary_LCIA!U$32</f>
        <v>0.66824152160525663</v>
      </c>
      <c r="AZ282" s="16">
        <f>$W282*AE282+($L282)*Summary_LCIA!V$32</f>
        <v>8.397380995743076E-3</v>
      </c>
      <c r="BA282" s="16">
        <f>$W282*AF282+($L282)*Summary_LCIA!W$32</f>
        <v>12.546777964464422</v>
      </c>
      <c r="BB282" s="16">
        <f>$W282*AG282+($L282)*Summary_LCIA!X$32</f>
        <v>18.85678296390477</v>
      </c>
      <c r="BC282" s="16">
        <f>$W282*AH282+($L282)*Summary_LCIA!Y$32</f>
        <v>0.56905938613750184</v>
      </c>
      <c r="BD282" s="16">
        <f>$W282*AI282+($L282)*Summary_LCIA!Z$32</f>
        <v>0.42080336428037252</v>
      </c>
      <c r="BE282" s="16">
        <f>$W282*AJ282+($L282)*Summary_LCIA!AA$32</f>
        <v>1.8140766442261549</v>
      </c>
      <c r="BF282" s="16">
        <f>$W282*AK282+($L282)*Summary_LCIA!AB$32</f>
        <v>9.4819446889369205E-2</v>
      </c>
      <c r="BG282" s="16">
        <f>$W282*AL282+($L282)*Summary_LCIA!AC$32</f>
        <v>4.6851360231995352E-5</v>
      </c>
      <c r="BH282" s="16">
        <f>$W282*AM282+($L282)*Summary_LCIA!AD$32</f>
        <v>0.1383810923108662</v>
      </c>
      <c r="BI282" s="16">
        <f>$W282*AN282+($L282)*Summary_LCIA!AE$32</f>
        <v>0.38317538976419141</v>
      </c>
      <c r="BJ282" s="16">
        <f>$W282*AO282+($L282)*Summary_LCIA!AF$32</f>
        <v>1.8744630091716626E-2</v>
      </c>
      <c r="BK282" s="16">
        <f>$W282*AP282+($L282)*Summary_LCIA!AG$32</f>
        <v>6.5996768867166242E-3</v>
      </c>
      <c r="BL282" s="16">
        <f>$W282*AQ282+($L282)*Summary_LCIA!AH$32</f>
        <v>0.91553254177993759</v>
      </c>
      <c r="BM282" s="16">
        <f>$W282*AR282+($L282)*Summary_LCIA!AI$32</f>
        <v>0.35827258771081277</v>
      </c>
      <c r="BN282" s="16"/>
    </row>
    <row r="283" spans="1:66" x14ac:dyDescent="0.25">
      <c r="A283" s="159">
        <v>72</v>
      </c>
      <c r="B283" s="159">
        <v>6</v>
      </c>
      <c r="C283" s="45">
        <v>51.075544999999998</v>
      </c>
      <c r="D283" s="45">
        <v>-114.12975400000001</v>
      </c>
      <c r="E283" s="45" t="s">
        <v>462</v>
      </c>
      <c r="F283" s="159">
        <v>125</v>
      </c>
      <c r="G283" s="45" t="s">
        <v>656</v>
      </c>
      <c r="H283" s="45" t="s">
        <v>657</v>
      </c>
      <c r="I283" s="45">
        <v>51.121502999999997</v>
      </c>
      <c r="J283" s="45">
        <v>-114.007616</v>
      </c>
      <c r="K283" s="45">
        <v>10.47008467</v>
      </c>
      <c r="L283" s="45">
        <v>15.291</v>
      </c>
      <c r="M283" s="45" t="s">
        <v>617</v>
      </c>
      <c r="N283" s="159">
        <v>5</v>
      </c>
      <c r="O283" s="159">
        <v>6</v>
      </c>
      <c r="P283" s="45" t="s">
        <v>565</v>
      </c>
      <c r="Q283" s="45" t="s">
        <v>564</v>
      </c>
      <c r="R283" s="45">
        <v>41.98028</v>
      </c>
      <c r="S283" s="45">
        <v>-87.908997900000003</v>
      </c>
      <c r="T283" s="45">
        <v>2552.1129999999998</v>
      </c>
      <c r="U283" s="45" t="s">
        <v>617</v>
      </c>
      <c r="V283" s="45" t="s">
        <v>569</v>
      </c>
      <c r="W283" s="45" cm="1">
        <f t="array" ref="W283">getDistance(R283,S283,I283,J283)*SA!$B$12</f>
        <v>2229.0088809488861</v>
      </c>
      <c r="Y283" s="16">
        <f>Transportation_LCIA!C$61*($W283^Transportation_LCIA!C$60)+Transportation_LCIA!C$62</f>
        <v>0.17499639639248199</v>
      </c>
      <c r="Z283" s="16">
        <f>Transportation_LCIA!D$61*($W283^Transportation_LCIA!D$60)+Transportation_LCIA!D$62</f>
        <v>1.7256521041625139</v>
      </c>
      <c r="AA283" s="16">
        <f>Transportation_LCIA!E$61*($W283^Transportation_LCIA!E$60)+Transportation_LCIA!E$62</f>
        <v>6.8612050027821081E-4</v>
      </c>
      <c r="AB283" s="16">
        <f>Transportation_LCIA!F$61*($W283^Transportation_LCIA!F$60)+Transportation_LCIA!F$62</f>
        <v>0.17499639639248199</v>
      </c>
      <c r="AC283" s="16">
        <f>Transportation_LCIA!G$61*($W283^Transportation_LCIA!G$60)+Transportation_LCIA!G$62</f>
        <v>4.0481896009759488E-2</v>
      </c>
      <c r="AD283" s="16">
        <f>Transportation_LCIA!H$61*($W283^Transportation_LCIA!H$60)+Transportation_LCIA!H$62</f>
        <v>1.7690308503275038E-4</v>
      </c>
      <c r="AE283" s="16">
        <f>Transportation_LCIA!I$61*($W283^Transportation_LCIA!I$60)+Transportation_LCIA!I$62</f>
        <v>3.4396756380258186E-6</v>
      </c>
      <c r="AF283" s="16">
        <f>Transportation_LCIA!J$61*($W283^Transportation_LCIA!J$60)+Transportation_LCIA!J$62</f>
        <v>5.1008385388865325E-3</v>
      </c>
      <c r="AG283" s="16">
        <f>Transportation_LCIA!K$61*($W283^Transportation_LCIA!K$60)+Transportation_LCIA!K$62</f>
        <v>8.3034455995642971E-3</v>
      </c>
      <c r="AH283" s="16">
        <f>Transportation_LCIA!L$61*($W283^Transportation_LCIA!L$60)+Transportation_LCIA!L$62</f>
        <v>1.4840453394545598E-4</v>
      </c>
      <c r="AI283" s="16">
        <f>Transportation_LCIA!M$61*($W283^Transportation_LCIA!M$60)+Transportation_LCIA!M$62</f>
        <v>1.8850364359360649E-4</v>
      </c>
      <c r="AJ283" s="16">
        <f>Transportation_LCIA!N$61*($W283^Transportation_LCIA!N$60)+Transportation_LCIA!N$62</f>
        <v>6.5362684764447309E-4</v>
      </c>
      <c r="AK283" s="16">
        <f>Transportation_LCIA!O$61*($W283^Transportation_LCIA!O$60)+Transportation_LCIA!O$62</f>
        <v>4.2688543413009031E-5</v>
      </c>
      <c r="AL283" s="16">
        <f>Transportation_LCIA!P$61*($W283^Transportation_LCIA!P$60)+Transportation_LCIA!P$62</f>
        <v>2.0683576176856233E-8</v>
      </c>
      <c r="AM283" s="16">
        <f>Transportation_LCIA!Q$61*($W283^Transportation_LCIA!Q$60)+Transportation_LCIA!Q$62</f>
        <v>5.9262159428738185E-5</v>
      </c>
      <c r="AN283" s="16">
        <f>Transportation_LCIA!R$61*($W283^Transportation_LCIA!R$60)+Transportation_LCIA!R$62</f>
        <v>1.6582507996865508E-4</v>
      </c>
      <c r="AO283" s="16">
        <f>Transportation_LCIA!S$61*($W283^Transportation_LCIA!S$60)+Transportation_LCIA!S$62</f>
        <v>2.6098204100650336E-6</v>
      </c>
      <c r="AP283" s="16">
        <f>Transportation_LCIA!T$61*($W283^Transportation_LCIA!T$60)+Transportation_LCIA!T$62</f>
        <v>2.6098204100650336E-6</v>
      </c>
      <c r="AQ283" s="16">
        <f>Transportation_LCIA!U$61*($W283^Transportation_LCIA!U$60)+Transportation_LCIA!U$62</f>
        <v>3.510285673903872E-4</v>
      </c>
      <c r="AR283" s="16">
        <f>Transportation_LCIA!V$61*($W283^Transportation_LCIA!V$60)+Transportation_LCIA!V$62</f>
        <v>1.5434135754289162E-4</v>
      </c>
      <c r="AT283" s="16">
        <f>$W283*Y283+($L283)*Summary_LCIA!H$32</f>
        <v>395.26440349289396</v>
      </c>
      <c r="AU283" s="16">
        <f>$W283*Z283+($L283)*Summary_LCIA!Q$32</f>
        <v>3922.2768327773788</v>
      </c>
      <c r="AV283" s="16">
        <f>$W283*AA283+($L283)*Summary_LCIA!R$32</f>
        <v>1.6098849781212246</v>
      </c>
      <c r="AW283" s="16">
        <f>$W283*AB283+($L283)*Summary_LCIA!S$32</f>
        <v>395.19681727289395</v>
      </c>
      <c r="AX283" s="16">
        <f>$W283*AC283+($L283)*Summary_LCIA!T$32</f>
        <v>91.91498662340318</v>
      </c>
      <c r="AY283" s="16">
        <f>$W283*AD283+($L283)*Summary_LCIA!U$32</f>
        <v>0.66824152160525663</v>
      </c>
      <c r="AZ283" s="16">
        <f>$W283*AE283+($L283)*Summary_LCIA!V$32</f>
        <v>8.397380995743076E-3</v>
      </c>
      <c r="BA283" s="16">
        <f>$W283*AF283+($L283)*Summary_LCIA!W$32</f>
        <v>12.546777964464422</v>
      </c>
      <c r="BB283" s="16">
        <f>$W283*AG283+($L283)*Summary_LCIA!X$32</f>
        <v>18.85678296390477</v>
      </c>
      <c r="BC283" s="16">
        <f>$W283*AH283+($L283)*Summary_LCIA!Y$32</f>
        <v>0.56905938613750184</v>
      </c>
      <c r="BD283" s="16">
        <f>$W283*AI283+($L283)*Summary_LCIA!Z$32</f>
        <v>0.42080336428037252</v>
      </c>
      <c r="BE283" s="16">
        <f>$W283*AJ283+($L283)*Summary_LCIA!AA$32</f>
        <v>1.8140766442261549</v>
      </c>
      <c r="BF283" s="16">
        <f>$W283*AK283+($L283)*Summary_LCIA!AB$32</f>
        <v>9.4819446889369205E-2</v>
      </c>
      <c r="BG283" s="16">
        <f>$W283*AL283+($L283)*Summary_LCIA!AC$32</f>
        <v>4.6851360231995352E-5</v>
      </c>
      <c r="BH283" s="16">
        <f>$W283*AM283+($L283)*Summary_LCIA!AD$32</f>
        <v>0.1383810923108662</v>
      </c>
      <c r="BI283" s="16">
        <f>$W283*AN283+($L283)*Summary_LCIA!AE$32</f>
        <v>0.38317538976419141</v>
      </c>
      <c r="BJ283" s="16">
        <f>$W283*AO283+($L283)*Summary_LCIA!AF$32</f>
        <v>1.8744630091716626E-2</v>
      </c>
      <c r="BK283" s="16">
        <f>$W283*AP283+($L283)*Summary_LCIA!AG$32</f>
        <v>6.5996768867166242E-3</v>
      </c>
      <c r="BL283" s="16">
        <f>$W283*AQ283+($L283)*Summary_LCIA!AH$32</f>
        <v>0.91553254177993759</v>
      </c>
      <c r="BM283" s="16">
        <f>$W283*AR283+($L283)*Summary_LCIA!AI$32</f>
        <v>0.35827258771081277</v>
      </c>
      <c r="BN283" s="16"/>
    </row>
    <row r="284" spans="1:66" x14ac:dyDescent="0.25">
      <c r="A284" s="159">
        <v>101</v>
      </c>
      <c r="B284" s="159">
        <v>6</v>
      </c>
      <c r="C284" s="45">
        <v>46.256036000000002</v>
      </c>
      <c r="D284" s="45">
        <v>-63.137495000000001</v>
      </c>
      <c r="E284" s="45" t="s">
        <v>461</v>
      </c>
      <c r="F284" s="159">
        <v>141</v>
      </c>
      <c r="G284" s="45" t="s">
        <v>661</v>
      </c>
      <c r="H284" s="45" t="s">
        <v>662</v>
      </c>
      <c r="I284" s="45">
        <v>46.116180999999997</v>
      </c>
      <c r="J284" s="45">
        <v>-64.688446999999996</v>
      </c>
      <c r="K284" s="45">
        <v>129.61196319999999</v>
      </c>
      <c r="L284" s="45">
        <v>158.78800000000001</v>
      </c>
      <c r="M284" s="45" t="s">
        <v>617</v>
      </c>
      <c r="N284" s="159">
        <v>5</v>
      </c>
      <c r="O284" s="159">
        <v>6</v>
      </c>
      <c r="P284" s="45" t="s">
        <v>565</v>
      </c>
      <c r="Q284" s="45" t="s">
        <v>564</v>
      </c>
      <c r="R284" s="45">
        <v>41.98028</v>
      </c>
      <c r="S284" s="45">
        <v>-87.908997900000003</v>
      </c>
      <c r="T284" s="45">
        <v>2558.922</v>
      </c>
      <c r="U284" s="45" t="s">
        <v>617</v>
      </c>
      <c r="V284" s="45" t="s">
        <v>569</v>
      </c>
      <c r="W284" s="45" cm="1">
        <f t="array" ref="W284">getDistance(R284,S284,I284,J284)*SA!$B$12</f>
        <v>1909.5208119954598</v>
      </c>
      <c r="Y284" s="16">
        <f>Transportation_LCIA!C$61*($W284^Transportation_LCIA!C$60)+Transportation_LCIA!C$62</f>
        <v>0.18374262499796468</v>
      </c>
      <c r="Z284" s="16">
        <f>Transportation_LCIA!D$61*($W284^Transportation_LCIA!D$60)+Transportation_LCIA!D$62</f>
        <v>1.8245495138601728</v>
      </c>
      <c r="AA284" s="16">
        <f>Transportation_LCIA!E$61*($W284^Transportation_LCIA!E$60)+Transportation_LCIA!E$62</f>
        <v>7.5056994846928963E-4</v>
      </c>
      <c r="AB284" s="16">
        <f>Transportation_LCIA!F$61*($W284^Transportation_LCIA!F$60)+Transportation_LCIA!F$62</f>
        <v>0.18374262499796468</v>
      </c>
      <c r="AC284" s="16">
        <f>Transportation_LCIA!G$61*($W284^Transportation_LCIA!G$60)+Transportation_LCIA!G$62</f>
        <v>4.277417764069337E-2</v>
      </c>
      <c r="AD284" s="16">
        <f>Transportation_LCIA!H$61*($W284^Transportation_LCIA!H$60)+Transportation_LCIA!H$62</f>
        <v>1.908280592736083E-4</v>
      </c>
      <c r="AE284" s="16">
        <f>Transportation_LCIA!I$61*($W284^Transportation_LCIA!I$60)+Transportation_LCIA!I$62</f>
        <v>3.7804630486656199E-6</v>
      </c>
      <c r="AF284" s="16">
        <f>Transportation_LCIA!J$61*($W284^Transportation_LCIA!J$60)+Transportation_LCIA!J$62</f>
        <v>5.5990912788291157E-3</v>
      </c>
      <c r="AG284" s="16">
        <f>Transportation_LCIA!K$61*($W284^Transportation_LCIA!K$60)+Transportation_LCIA!K$62</f>
        <v>8.8300760654045594E-3</v>
      </c>
      <c r="AH284" s="16">
        <f>Transportation_LCIA!L$61*($W284^Transportation_LCIA!L$60)+Transportation_LCIA!L$62</f>
        <v>1.6110382944863424E-4</v>
      </c>
      <c r="AI284" s="16">
        <f>Transportation_LCIA!M$61*($W284^Transportation_LCIA!M$60)+Transportation_LCIA!M$62</f>
        <v>1.9618137887680623E-4</v>
      </c>
      <c r="AJ284" s="16">
        <f>Transportation_LCIA!N$61*($W284^Transportation_LCIA!N$60)+Transportation_LCIA!N$62</f>
        <v>7.0055003290662283E-4</v>
      </c>
      <c r="AK284" s="16">
        <f>Transportation_LCIA!O$61*($W284^Transportation_LCIA!O$60)+Transportation_LCIA!O$62</f>
        <v>4.5122275938906157E-5</v>
      </c>
      <c r="AL284" s="16">
        <f>Transportation_LCIA!P$61*($W284^Transportation_LCIA!P$60)+Transportation_LCIA!P$62</f>
        <v>2.1856438742614208E-8</v>
      </c>
      <c r="AM284" s="16">
        <f>Transportation_LCIA!Q$61*($W284^Transportation_LCIA!Q$60)+Transportation_LCIA!Q$62</f>
        <v>6.4206155576780288E-5</v>
      </c>
      <c r="AN284" s="16">
        <f>Transportation_LCIA!R$61*($W284^Transportation_LCIA!R$60)+Transportation_LCIA!R$62</f>
        <v>1.8215570606736664E-4</v>
      </c>
      <c r="AO284" s="16">
        <f>Transportation_LCIA!S$61*($W284^Transportation_LCIA!S$60)+Transportation_LCIA!S$62</f>
        <v>2.8418796348046858E-6</v>
      </c>
      <c r="AP284" s="16">
        <f>Transportation_LCIA!T$61*($W284^Transportation_LCIA!T$60)+Transportation_LCIA!T$62</f>
        <v>2.8418796348046858E-6</v>
      </c>
      <c r="AQ284" s="16">
        <f>Transportation_LCIA!U$61*($W284^Transportation_LCIA!U$60)+Transportation_LCIA!U$62</f>
        <v>3.8665074302226258E-4</v>
      </c>
      <c r="AR284" s="16">
        <f>Transportation_LCIA!V$61*($W284^Transportation_LCIA!V$60)+Transportation_LCIA!V$62</f>
        <v>1.6713153874972118E-4</v>
      </c>
      <c r="AT284" s="16">
        <f>$W284*Y284+($L284)*Summary_LCIA!H$32</f>
        <v>404.81652888429073</v>
      </c>
      <c r="AU284" s="16">
        <f>$W284*Z284+($L284)*Summary_LCIA!Q$32</f>
        <v>4270.9766053874027</v>
      </c>
      <c r="AV284" s="16">
        <f>$W284*AA284+($L284)*Summary_LCIA!R$32</f>
        <v>2.2693430302604685</v>
      </c>
      <c r="AW284" s="16">
        <f>$W284*AB284+($L284)*Summary_LCIA!S$32</f>
        <v>404.11468592429077</v>
      </c>
      <c r="AX284" s="16">
        <f>$W284*AC284+($L284)*Summary_LCIA!T$32</f>
        <v>99.128983620894843</v>
      </c>
      <c r="AY284" s="16">
        <f>$W284*AD284+($L284)*Summary_LCIA!U$32</f>
        <v>3.2089183826956584</v>
      </c>
      <c r="AZ284" s="16">
        <f>$W284*AE284+($L284)*Summary_LCIA!V$32</f>
        <v>1.4802746538406807E-2</v>
      </c>
      <c r="BA284" s="16">
        <f>$W284*AF284+($L284)*Summary_LCIA!W$32</f>
        <v>22.913652473186474</v>
      </c>
      <c r="BB284" s="16">
        <f>$W284*AG284+($L284)*Summary_LCIA!X$32</f>
        <v>20.478404658392989</v>
      </c>
      <c r="BC284" s="16">
        <f>$W284*AH284+($L284)*Summary_LCIA!Y$32</f>
        <v>2.7818657312243347</v>
      </c>
      <c r="BD284" s="16">
        <f>$W284*AI284+($L284)*Summary_LCIA!Z$32</f>
        <v>0.38112416298322793</v>
      </c>
      <c r="BE284" s="16">
        <f>$W284*AJ284+($L284)*Summary_LCIA!AA$32</f>
        <v>5.0463673956793009</v>
      </c>
      <c r="BF284" s="16">
        <f>$W284*AK284+($L284)*Summary_LCIA!AB$32</f>
        <v>8.2696694465943285E-2</v>
      </c>
      <c r="BG284" s="16">
        <f>$W284*AL284+($L284)*Summary_LCIA!AC$32</f>
        <v>4.9497517247125709E-5</v>
      </c>
      <c r="BH284" s="16">
        <f>$W284*AM284+($L284)*Summary_LCIA!AD$32</f>
        <v>0.18787120985208033</v>
      </c>
      <c r="BI284" s="16">
        <f>$W284*AN284+($L284)*Summary_LCIA!AE$32</f>
        <v>0.48853692219936423</v>
      </c>
      <c r="BJ284" s="16">
        <f>$W284*AO284+($L284)*Summary_LCIA!AF$32</f>
        <v>0.13966917926784561</v>
      </c>
      <c r="BK284" s="16">
        <f>$W284*AP284+($L284)*Summary_LCIA!AG$32</f>
        <v>1.3551016327845606E-2</v>
      </c>
      <c r="BL284" s="16">
        <f>$W284*AQ284+($L284)*Summary_LCIA!AH$32</f>
        <v>2.1203448775745191</v>
      </c>
      <c r="BM284" s="16">
        <f>$W284*AR284+($L284)*Summary_LCIA!AI$32</f>
        <v>0.46706011298341826</v>
      </c>
      <c r="BN284" s="16"/>
    </row>
    <row r="285" spans="1:66" x14ac:dyDescent="0.25">
      <c r="A285" s="159">
        <v>102</v>
      </c>
      <c r="B285" s="159">
        <v>6</v>
      </c>
      <c r="C285" s="45">
        <v>46.256036000000002</v>
      </c>
      <c r="D285" s="45">
        <v>-63.137495000000001</v>
      </c>
      <c r="E285" s="45" t="s">
        <v>461</v>
      </c>
      <c r="F285" s="159">
        <v>141</v>
      </c>
      <c r="G285" s="45" t="s">
        <v>661</v>
      </c>
      <c r="H285" s="45" t="s">
        <v>662</v>
      </c>
      <c r="I285" s="45">
        <v>46.116180999999997</v>
      </c>
      <c r="J285" s="45">
        <v>-64.688446999999996</v>
      </c>
      <c r="K285" s="45">
        <v>129.61196319999999</v>
      </c>
      <c r="L285" s="45">
        <v>158.78800000000001</v>
      </c>
      <c r="M285" s="45" t="s">
        <v>617</v>
      </c>
      <c r="N285" s="159">
        <v>5</v>
      </c>
      <c r="O285" s="159">
        <v>6</v>
      </c>
      <c r="P285" s="45" t="s">
        <v>565</v>
      </c>
      <c r="Q285" s="45" t="s">
        <v>564</v>
      </c>
      <c r="R285" s="45">
        <v>41.98028</v>
      </c>
      <c r="S285" s="45">
        <v>-87.908997900000003</v>
      </c>
      <c r="T285" s="45">
        <v>2558.922</v>
      </c>
      <c r="U285" s="45" t="s">
        <v>617</v>
      </c>
      <c r="V285" s="45" t="s">
        <v>569</v>
      </c>
      <c r="W285" s="45" cm="1">
        <f t="array" ref="W285">getDistance(R285,S285,I285,J285)*SA!$B$12</f>
        <v>1909.5208119954598</v>
      </c>
      <c r="Y285" s="16">
        <f>Transportation_LCIA!C$61*($W285^Transportation_LCIA!C$60)+Transportation_LCIA!C$62</f>
        <v>0.18374262499796468</v>
      </c>
      <c r="Z285" s="16">
        <f>Transportation_LCIA!D$61*($W285^Transportation_LCIA!D$60)+Transportation_LCIA!D$62</f>
        <v>1.8245495138601728</v>
      </c>
      <c r="AA285" s="16">
        <f>Transportation_LCIA!E$61*($W285^Transportation_LCIA!E$60)+Transportation_LCIA!E$62</f>
        <v>7.5056994846928963E-4</v>
      </c>
      <c r="AB285" s="16">
        <f>Transportation_LCIA!F$61*($W285^Transportation_LCIA!F$60)+Transportation_LCIA!F$62</f>
        <v>0.18374262499796468</v>
      </c>
      <c r="AC285" s="16">
        <f>Transportation_LCIA!G$61*($W285^Transportation_LCIA!G$60)+Transportation_LCIA!G$62</f>
        <v>4.277417764069337E-2</v>
      </c>
      <c r="AD285" s="16">
        <f>Transportation_LCIA!H$61*($W285^Transportation_LCIA!H$60)+Transportation_LCIA!H$62</f>
        <v>1.908280592736083E-4</v>
      </c>
      <c r="AE285" s="16">
        <f>Transportation_LCIA!I$61*($W285^Transportation_LCIA!I$60)+Transportation_LCIA!I$62</f>
        <v>3.7804630486656199E-6</v>
      </c>
      <c r="AF285" s="16">
        <f>Transportation_LCIA!J$61*($W285^Transportation_LCIA!J$60)+Transportation_LCIA!J$62</f>
        <v>5.5990912788291157E-3</v>
      </c>
      <c r="AG285" s="16">
        <f>Transportation_LCIA!K$61*($W285^Transportation_LCIA!K$60)+Transportation_LCIA!K$62</f>
        <v>8.8300760654045594E-3</v>
      </c>
      <c r="AH285" s="16">
        <f>Transportation_LCIA!L$61*($W285^Transportation_LCIA!L$60)+Transportation_LCIA!L$62</f>
        <v>1.6110382944863424E-4</v>
      </c>
      <c r="AI285" s="16">
        <f>Transportation_LCIA!M$61*($W285^Transportation_LCIA!M$60)+Transportation_LCIA!M$62</f>
        <v>1.9618137887680623E-4</v>
      </c>
      <c r="AJ285" s="16">
        <f>Transportation_LCIA!N$61*($W285^Transportation_LCIA!N$60)+Transportation_LCIA!N$62</f>
        <v>7.0055003290662283E-4</v>
      </c>
      <c r="AK285" s="16">
        <f>Transportation_LCIA!O$61*($W285^Transportation_LCIA!O$60)+Transportation_LCIA!O$62</f>
        <v>4.5122275938906157E-5</v>
      </c>
      <c r="AL285" s="16">
        <f>Transportation_LCIA!P$61*($W285^Transportation_LCIA!P$60)+Transportation_LCIA!P$62</f>
        <v>2.1856438742614208E-8</v>
      </c>
      <c r="AM285" s="16">
        <f>Transportation_LCIA!Q$61*($W285^Transportation_LCIA!Q$60)+Transportation_LCIA!Q$62</f>
        <v>6.4206155576780288E-5</v>
      </c>
      <c r="AN285" s="16">
        <f>Transportation_LCIA!R$61*($W285^Transportation_LCIA!R$60)+Transportation_LCIA!R$62</f>
        <v>1.8215570606736664E-4</v>
      </c>
      <c r="AO285" s="16">
        <f>Transportation_LCIA!S$61*($W285^Transportation_LCIA!S$60)+Transportation_LCIA!S$62</f>
        <v>2.8418796348046858E-6</v>
      </c>
      <c r="AP285" s="16">
        <f>Transportation_LCIA!T$61*($W285^Transportation_LCIA!T$60)+Transportation_LCIA!T$62</f>
        <v>2.8418796348046858E-6</v>
      </c>
      <c r="AQ285" s="16">
        <f>Transportation_LCIA!U$61*($W285^Transportation_LCIA!U$60)+Transportation_LCIA!U$62</f>
        <v>3.8665074302226258E-4</v>
      </c>
      <c r="AR285" s="16">
        <f>Transportation_LCIA!V$61*($W285^Transportation_LCIA!V$60)+Transportation_LCIA!V$62</f>
        <v>1.6713153874972118E-4</v>
      </c>
      <c r="AT285" s="16">
        <f>$W285*Y285+($L285)*Summary_LCIA!H$32</f>
        <v>404.81652888429073</v>
      </c>
      <c r="AU285" s="16">
        <f>$W285*Z285+($L285)*Summary_LCIA!Q$32</f>
        <v>4270.9766053874027</v>
      </c>
      <c r="AV285" s="16">
        <f>$W285*AA285+($L285)*Summary_LCIA!R$32</f>
        <v>2.2693430302604685</v>
      </c>
      <c r="AW285" s="16">
        <f>$W285*AB285+($L285)*Summary_LCIA!S$32</f>
        <v>404.11468592429077</v>
      </c>
      <c r="AX285" s="16">
        <f>$W285*AC285+($L285)*Summary_LCIA!T$32</f>
        <v>99.128983620894843</v>
      </c>
      <c r="AY285" s="16">
        <f>$W285*AD285+($L285)*Summary_LCIA!U$32</f>
        <v>3.2089183826956584</v>
      </c>
      <c r="AZ285" s="16">
        <f>$W285*AE285+($L285)*Summary_LCIA!V$32</f>
        <v>1.4802746538406807E-2</v>
      </c>
      <c r="BA285" s="16">
        <f>$W285*AF285+($L285)*Summary_LCIA!W$32</f>
        <v>22.913652473186474</v>
      </c>
      <c r="BB285" s="16">
        <f>$W285*AG285+($L285)*Summary_LCIA!X$32</f>
        <v>20.478404658392989</v>
      </c>
      <c r="BC285" s="16">
        <f>$W285*AH285+($L285)*Summary_LCIA!Y$32</f>
        <v>2.7818657312243347</v>
      </c>
      <c r="BD285" s="16">
        <f>$W285*AI285+($L285)*Summary_LCIA!Z$32</f>
        <v>0.38112416298322793</v>
      </c>
      <c r="BE285" s="16">
        <f>$W285*AJ285+($L285)*Summary_LCIA!AA$32</f>
        <v>5.0463673956793009</v>
      </c>
      <c r="BF285" s="16">
        <f>$W285*AK285+($L285)*Summary_LCIA!AB$32</f>
        <v>8.2696694465943285E-2</v>
      </c>
      <c r="BG285" s="16">
        <f>$W285*AL285+($L285)*Summary_LCIA!AC$32</f>
        <v>4.9497517247125709E-5</v>
      </c>
      <c r="BH285" s="16">
        <f>$W285*AM285+($L285)*Summary_LCIA!AD$32</f>
        <v>0.18787120985208033</v>
      </c>
      <c r="BI285" s="16">
        <f>$W285*AN285+($L285)*Summary_LCIA!AE$32</f>
        <v>0.48853692219936423</v>
      </c>
      <c r="BJ285" s="16">
        <f>$W285*AO285+($L285)*Summary_LCIA!AF$32</f>
        <v>0.13966917926784561</v>
      </c>
      <c r="BK285" s="16">
        <f>$W285*AP285+($L285)*Summary_LCIA!AG$32</f>
        <v>1.3551016327845606E-2</v>
      </c>
      <c r="BL285" s="16">
        <f>$W285*AQ285+($L285)*Summary_LCIA!AH$32</f>
        <v>2.1203448775745191</v>
      </c>
      <c r="BM285" s="16">
        <f>$W285*AR285+($L285)*Summary_LCIA!AI$32</f>
        <v>0.46706011298341826</v>
      </c>
      <c r="BN285" s="16"/>
    </row>
    <row r="286" spans="1:66" x14ac:dyDescent="0.25">
      <c r="A286" s="159">
        <v>21</v>
      </c>
      <c r="B286" s="159">
        <v>6</v>
      </c>
      <c r="C286" s="45">
        <v>53.523218999999997</v>
      </c>
      <c r="D286" s="45">
        <v>-113.526319</v>
      </c>
      <c r="E286" s="45" t="s">
        <v>462</v>
      </c>
      <c r="F286" s="159">
        <v>126</v>
      </c>
      <c r="G286" s="45" t="s">
        <v>637</v>
      </c>
      <c r="H286" s="45" t="s">
        <v>638</v>
      </c>
      <c r="I286" s="45">
        <v>53.305436999999998</v>
      </c>
      <c r="J286" s="45">
        <v>-113.577381</v>
      </c>
      <c r="K286" s="45">
        <v>42.053707780000003</v>
      </c>
      <c r="L286" s="45">
        <v>28.959</v>
      </c>
      <c r="M286" s="45" t="s">
        <v>617</v>
      </c>
      <c r="N286" s="159">
        <v>5</v>
      </c>
      <c r="O286" s="159">
        <v>6</v>
      </c>
      <c r="P286" s="45" t="s">
        <v>565</v>
      </c>
      <c r="Q286" s="45" t="s">
        <v>564</v>
      </c>
      <c r="R286" s="45">
        <v>41.98028</v>
      </c>
      <c r="S286" s="45">
        <v>-87.908997900000003</v>
      </c>
      <c r="T286" s="45">
        <v>2612.5740000000001</v>
      </c>
      <c r="U286" s="45" t="s">
        <v>617</v>
      </c>
      <c r="V286" s="45" t="s">
        <v>569</v>
      </c>
      <c r="W286" s="45" cm="1">
        <f t="array" ref="W286">getDistance(R286,S286,I286,J286)*SA!$B$12</f>
        <v>2284.809206922941</v>
      </c>
      <c r="Y286" s="16">
        <f>Transportation_LCIA!C$61*($W286^Transportation_LCIA!C$60)+Transportation_LCIA!C$62</f>
        <v>0.17370076104859375</v>
      </c>
      <c r="Z286" s="16">
        <f>Transportation_LCIA!D$61*($W286^Transportation_LCIA!D$60)+Transportation_LCIA!D$62</f>
        <v>1.7110598029344377</v>
      </c>
      <c r="AA286" s="16">
        <f>Transportation_LCIA!E$61*($W286^Transportation_LCIA!E$60)+Transportation_LCIA!E$62</f>
        <v>6.766215953143296E-4</v>
      </c>
      <c r="AB286" s="16">
        <f>Transportation_LCIA!F$61*($W286^Transportation_LCIA!F$60)+Transportation_LCIA!F$62</f>
        <v>0.17370076104859375</v>
      </c>
      <c r="AC286" s="16">
        <f>Transportation_LCIA!G$61*($W286^Transportation_LCIA!G$60)+Transportation_LCIA!G$62</f>
        <v>4.0143591817554516E-2</v>
      </c>
      <c r="AD286" s="16">
        <f>Transportation_LCIA!H$61*($W286^Transportation_LCIA!H$60)+Transportation_LCIA!H$62</f>
        <v>1.7485526765416166E-4</v>
      </c>
      <c r="AE286" s="16">
        <f>Transportation_LCIA!I$61*($W286^Transportation_LCIA!I$60)+Transportation_LCIA!I$62</f>
        <v>3.3897369475654049E-6</v>
      </c>
      <c r="AF286" s="16">
        <f>Transportation_LCIA!J$61*($W286^Transportation_LCIA!J$60)+Transportation_LCIA!J$62</f>
        <v>5.0279944339823943E-3</v>
      </c>
      <c r="AG286" s="16">
        <f>Transportation_LCIA!K$61*($W286^Transportation_LCIA!K$60)+Transportation_LCIA!K$62</f>
        <v>8.2258790682048534E-3</v>
      </c>
      <c r="AH286" s="16">
        <f>Transportation_LCIA!L$61*($W286^Transportation_LCIA!L$60)+Transportation_LCIA!L$62</f>
        <v>1.4653885401519389E-4</v>
      </c>
      <c r="AI286" s="16">
        <f>Transportation_LCIA!M$61*($W286^Transportation_LCIA!M$60)+Transportation_LCIA!M$62</f>
        <v>1.8737468560358418E-4</v>
      </c>
      <c r="AJ286" s="16">
        <f>Transportation_LCIA!N$61*($W286^Transportation_LCIA!N$60)+Transportation_LCIA!N$62</f>
        <v>6.4672433999938953E-4</v>
      </c>
      <c r="AK286" s="16">
        <f>Transportation_LCIA!O$61*($W286^Transportation_LCIA!O$60)+Transportation_LCIA!O$62</f>
        <v>4.2329402499574503E-5</v>
      </c>
      <c r="AL286" s="16">
        <f>Transportation_LCIA!P$61*($W286^Transportation_LCIA!P$60)+Transportation_LCIA!P$62</f>
        <v>2.0510448154475738E-8</v>
      </c>
      <c r="AM286" s="16">
        <f>Transportation_LCIA!Q$61*($W286^Transportation_LCIA!Q$60)+Transportation_LCIA!Q$62</f>
        <v>5.8536222241073739E-5</v>
      </c>
      <c r="AN286" s="16">
        <f>Transportation_LCIA!R$61*($W286^Transportation_LCIA!R$60)+Transportation_LCIA!R$62</f>
        <v>1.6343220978997251E-4</v>
      </c>
      <c r="AO286" s="16">
        <f>Transportation_LCIA!S$61*($W286^Transportation_LCIA!S$60)+Transportation_LCIA!S$62</f>
        <v>2.5758121619735229E-6</v>
      </c>
      <c r="AP286" s="16">
        <f>Transportation_LCIA!T$61*($W286^Transportation_LCIA!T$60)+Transportation_LCIA!T$62</f>
        <v>2.5758121619735229E-6</v>
      </c>
      <c r="AQ286" s="16">
        <f>Transportation_LCIA!U$61*($W286^Transportation_LCIA!U$60)+Transportation_LCIA!U$62</f>
        <v>3.4581249171739144E-4</v>
      </c>
      <c r="AR286" s="16">
        <f>Transportation_LCIA!V$61*($W286^Transportation_LCIA!V$60)+Transportation_LCIA!V$62</f>
        <v>1.5246466807646979E-4</v>
      </c>
      <c r="AT286" s="16">
        <f>$W286*Y286+($L286)*Summary_LCIA!H$32</f>
        <v>406.71336629334877</v>
      </c>
      <c r="AU286" s="16">
        <f>$W286*Z286+($L286)*Summary_LCIA!Q$32</f>
        <v>4052.9674558296033</v>
      </c>
      <c r="AV286" s="16">
        <f>$W286*AA286+($L286)*Summary_LCIA!R$32</f>
        <v>1.6984377609770684</v>
      </c>
      <c r="AW286" s="16">
        <f>$W286*AB286+($L286)*Summary_LCIA!S$32</f>
        <v>406.58536751334873</v>
      </c>
      <c r="AX286" s="16">
        <f>$W286*AC286+($L286)*Summary_LCIA!T$32</f>
        <v>94.903042283705005</v>
      </c>
      <c r="AY286" s="16">
        <f>$W286*AD286+($L286)*Summary_LCIA!U$32</f>
        <v>0.9182824514152037</v>
      </c>
      <c r="AZ286" s="16">
        <f>$W286*AE286+($L286)*Summary_LCIA!V$32</f>
        <v>9.1280129858443033E-3</v>
      </c>
      <c r="BA286" s="16">
        <f>$W286*AF286+($L286)*Summary_LCIA!W$32</f>
        <v>13.717011164120276</v>
      </c>
      <c r="BB286" s="16">
        <f>$W286*AG286+($L286)*Summary_LCIA!X$32</f>
        <v>19.454250250069151</v>
      </c>
      <c r="BC286" s="16">
        <f>$W286*AH286+($L286)*Summary_LCIA!Y$32</f>
        <v>0.78605246082585178</v>
      </c>
      <c r="BD286" s="16">
        <f>$W286*AI286+($L286)*Summary_LCIA!Z$32</f>
        <v>0.42930298644236065</v>
      </c>
      <c r="BE286" s="16">
        <f>$W286*AJ286+($L286)*Summary_LCIA!AA$32</f>
        <v>2.1540081303717677</v>
      </c>
      <c r="BF286" s="16">
        <f>$W286*AK286+($L286)*Summary_LCIA!AB$32</f>
        <v>9.6082636297574783E-2</v>
      </c>
      <c r="BG286" s="16">
        <f>$W286*AL286+($L286)*Summary_LCIA!AC$32</f>
        <v>4.8278092537461811E-5</v>
      </c>
      <c r="BH286" s="16">
        <f>$W286*AM286+($L286)*Summary_LCIA!AD$32</f>
        <v>0.14564740687489272</v>
      </c>
      <c r="BI286" s="16">
        <f>$W286*AN286+($L286)*Summary_LCIA!AE$32</f>
        <v>0.39907285630589079</v>
      </c>
      <c r="BJ286" s="16">
        <f>$W286*AO286+($L286)*Summary_LCIA!AF$32</f>
        <v>3.036775712298119E-2</v>
      </c>
      <c r="BK286" s="16">
        <f>$W286*AP286+($L286)*Summary_LCIA!AG$32</f>
        <v>7.3669265779811909E-3</v>
      </c>
      <c r="BL286" s="16">
        <f>$W286*AQ286+($L286)*Summary_LCIA!AH$32</f>
        <v>1.0421631173448591</v>
      </c>
      <c r="BM286" s="16">
        <f>$W286*AR286+($L286)*Summary_LCIA!AI$32</f>
        <v>0.37532943380156836</v>
      </c>
      <c r="BN286" s="16"/>
    </row>
    <row r="287" spans="1:66" x14ac:dyDescent="0.25">
      <c r="A287" s="159">
        <v>22</v>
      </c>
      <c r="B287" s="159">
        <v>6</v>
      </c>
      <c r="C287" s="45">
        <v>53.523218999999997</v>
      </c>
      <c r="D287" s="45">
        <v>-113.526319</v>
      </c>
      <c r="E287" s="45" t="s">
        <v>462</v>
      </c>
      <c r="F287" s="159">
        <v>126</v>
      </c>
      <c r="G287" s="45" t="s">
        <v>637</v>
      </c>
      <c r="H287" s="45" t="s">
        <v>638</v>
      </c>
      <c r="I287" s="45">
        <v>53.305436999999998</v>
      </c>
      <c r="J287" s="45">
        <v>-113.577381</v>
      </c>
      <c r="K287" s="45">
        <v>42.053707780000003</v>
      </c>
      <c r="L287" s="45">
        <v>28.959</v>
      </c>
      <c r="M287" s="45" t="s">
        <v>617</v>
      </c>
      <c r="N287" s="159">
        <v>5</v>
      </c>
      <c r="O287" s="159">
        <v>6</v>
      </c>
      <c r="P287" s="45" t="s">
        <v>565</v>
      </c>
      <c r="Q287" s="45" t="s">
        <v>564</v>
      </c>
      <c r="R287" s="45">
        <v>41.98028</v>
      </c>
      <c r="S287" s="45">
        <v>-87.908997900000003</v>
      </c>
      <c r="T287" s="45">
        <v>2612.5740000000001</v>
      </c>
      <c r="U287" s="45" t="s">
        <v>617</v>
      </c>
      <c r="V287" s="45" t="s">
        <v>569</v>
      </c>
      <c r="W287" s="45" cm="1">
        <f t="array" ref="W287">getDistance(R287,S287,I287,J287)*SA!$B$12</f>
        <v>2284.809206922941</v>
      </c>
      <c r="Y287" s="16">
        <f>Transportation_LCIA!C$61*($W287^Transportation_LCIA!C$60)+Transportation_LCIA!C$62</f>
        <v>0.17370076104859375</v>
      </c>
      <c r="Z287" s="16">
        <f>Transportation_LCIA!D$61*($W287^Transportation_LCIA!D$60)+Transportation_LCIA!D$62</f>
        <v>1.7110598029344377</v>
      </c>
      <c r="AA287" s="16">
        <f>Transportation_LCIA!E$61*($W287^Transportation_LCIA!E$60)+Transportation_LCIA!E$62</f>
        <v>6.766215953143296E-4</v>
      </c>
      <c r="AB287" s="16">
        <f>Transportation_LCIA!F$61*($W287^Transportation_LCIA!F$60)+Transportation_LCIA!F$62</f>
        <v>0.17370076104859375</v>
      </c>
      <c r="AC287" s="16">
        <f>Transportation_LCIA!G$61*($W287^Transportation_LCIA!G$60)+Transportation_LCIA!G$62</f>
        <v>4.0143591817554516E-2</v>
      </c>
      <c r="AD287" s="16">
        <f>Transportation_LCIA!H$61*($W287^Transportation_LCIA!H$60)+Transportation_LCIA!H$62</f>
        <v>1.7485526765416166E-4</v>
      </c>
      <c r="AE287" s="16">
        <f>Transportation_LCIA!I$61*($W287^Transportation_LCIA!I$60)+Transportation_LCIA!I$62</f>
        <v>3.3897369475654049E-6</v>
      </c>
      <c r="AF287" s="16">
        <f>Transportation_LCIA!J$61*($W287^Transportation_LCIA!J$60)+Transportation_LCIA!J$62</f>
        <v>5.0279944339823943E-3</v>
      </c>
      <c r="AG287" s="16">
        <f>Transportation_LCIA!K$61*($W287^Transportation_LCIA!K$60)+Transportation_LCIA!K$62</f>
        <v>8.2258790682048534E-3</v>
      </c>
      <c r="AH287" s="16">
        <f>Transportation_LCIA!L$61*($W287^Transportation_LCIA!L$60)+Transportation_LCIA!L$62</f>
        <v>1.4653885401519389E-4</v>
      </c>
      <c r="AI287" s="16">
        <f>Transportation_LCIA!M$61*($W287^Transportation_LCIA!M$60)+Transportation_LCIA!M$62</f>
        <v>1.8737468560358418E-4</v>
      </c>
      <c r="AJ287" s="16">
        <f>Transportation_LCIA!N$61*($W287^Transportation_LCIA!N$60)+Transportation_LCIA!N$62</f>
        <v>6.4672433999938953E-4</v>
      </c>
      <c r="AK287" s="16">
        <f>Transportation_LCIA!O$61*($W287^Transportation_LCIA!O$60)+Transportation_LCIA!O$62</f>
        <v>4.2329402499574503E-5</v>
      </c>
      <c r="AL287" s="16">
        <f>Transportation_LCIA!P$61*($W287^Transportation_LCIA!P$60)+Transportation_LCIA!P$62</f>
        <v>2.0510448154475738E-8</v>
      </c>
      <c r="AM287" s="16">
        <f>Transportation_LCIA!Q$61*($W287^Transportation_LCIA!Q$60)+Transportation_LCIA!Q$62</f>
        <v>5.8536222241073739E-5</v>
      </c>
      <c r="AN287" s="16">
        <f>Transportation_LCIA!R$61*($W287^Transportation_LCIA!R$60)+Transportation_LCIA!R$62</f>
        <v>1.6343220978997251E-4</v>
      </c>
      <c r="AO287" s="16">
        <f>Transportation_LCIA!S$61*($W287^Transportation_LCIA!S$60)+Transportation_LCIA!S$62</f>
        <v>2.5758121619735229E-6</v>
      </c>
      <c r="AP287" s="16">
        <f>Transportation_LCIA!T$61*($W287^Transportation_LCIA!T$60)+Transportation_LCIA!T$62</f>
        <v>2.5758121619735229E-6</v>
      </c>
      <c r="AQ287" s="16">
        <f>Transportation_LCIA!U$61*($W287^Transportation_LCIA!U$60)+Transportation_LCIA!U$62</f>
        <v>3.4581249171739144E-4</v>
      </c>
      <c r="AR287" s="16">
        <f>Transportation_LCIA!V$61*($W287^Transportation_LCIA!V$60)+Transportation_LCIA!V$62</f>
        <v>1.5246466807646979E-4</v>
      </c>
      <c r="AT287" s="16">
        <f>$W287*Y287+($L287)*Summary_LCIA!H$32</f>
        <v>406.71336629334877</v>
      </c>
      <c r="AU287" s="16">
        <f>$W287*Z287+($L287)*Summary_LCIA!Q$32</f>
        <v>4052.9674558296033</v>
      </c>
      <c r="AV287" s="16">
        <f>$W287*AA287+($L287)*Summary_LCIA!R$32</f>
        <v>1.6984377609770684</v>
      </c>
      <c r="AW287" s="16">
        <f>$W287*AB287+($L287)*Summary_LCIA!S$32</f>
        <v>406.58536751334873</v>
      </c>
      <c r="AX287" s="16">
        <f>$W287*AC287+($L287)*Summary_LCIA!T$32</f>
        <v>94.903042283705005</v>
      </c>
      <c r="AY287" s="16">
        <f>$W287*AD287+($L287)*Summary_LCIA!U$32</f>
        <v>0.9182824514152037</v>
      </c>
      <c r="AZ287" s="16">
        <f>$W287*AE287+($L287)*Summary_LCIA!V$32</f>
        <v>9.1280129858443033E-3</v>
      </c>
      <c r="BA287" s="16">
        <f>$W287*AF287+($L287)*Summary_LCIA!W$32</f>
        <v>13.717011164120276</v>
      </c>
      <c r="BB287" s="16">
        <f>$W287*AG287+($L287)*Summary_LCIA!X$32</f>
        <v>19.454250250069151</v>
      </c>
      <c r="BC287" s="16">
        <f>$W287*AH287+($L287)*Summary_LCIA!Y$32</f>
        <v>0.78605246082585178</v>
      </c>
      <c r="BD287" s="16">
        <f>$W287*AI287+($L287)*Summary_LCIA!Z$32</f>
        <v>0.42930298644236065</v>
      </c>
      <c r="BE287" s="16">
        <f>$W287*AJ287+($L287)*Summary_LCIA!AA$32</f>
        <v>2.1540081303717677</v>
      </c>
      <c r="BF287" s="16">
        <f>$W287*AK287+($L287)*Summary_LCIA!AB$32</f>
        <v>9.6082636297574783E-2</v>
      </c>
      <c r="BG287" s="16">
        <f>$W287*AL287+($L287)*Summary_LCIA!AC$32</f>
        <v>4.8278092537461811E-5</v>
      </c>
      <c r="BH287" s="16">
        <f>$W287*AM287+($L287)*Summary_LCIA!AD$32</f>
        <v>0.14564740687489272</v>
      </c>
      <c r="BI287" s="16">
        <f>$W287*AN287+($L287)*Summary_LCIA!AE$32</f>
        <v>0.39907285630589079</v>
      </c>
      <c r="BJ287" s="16">
        <f>$W287*AO287+($L287)*Summary_LCIA!AF$32</f>
        <v>3.036775712298119E-2</v>
      </c>
      <c r="BK287" s="16">
        <f>$W287*AP287+($L287)*Summary_LCIA!AG$32</f>
        <v>7.3669265779811909E-3</v>
      </c>
      <c r="BL287" s="16">
        <f>$W287*AQ287+($L287)*Summary_LCIA!AH$32</f>
        <v>1.0421631173448591</v>
      </c>
      <c r="BM287" s="16">
        <f>$W287*AR287+($L287)*Summary_LCIA!AI$32</f>
        <v>0.37532943380156836</v>
      </c>
      <c r="BN287" s="16"/>
    </row>
    <row r="288" spans="1:66" x14ac:dyDescent="0.25">
      <c r="A288" s="159">
        <v>357</v>
      </c>
      <c r="B288" s="159">
        <v>6</v>
      </c>
      <c r="C288" s="45">
        <v>33.436664999999998</v>
      </c>
      <c r="D288" s="45">
        <v>-111.940325</v>
      </c>
      <c r="E288" s="45" t="s">
        <v>265</v>
      </c>
      <c r="F288" s="159">
        <v>44</v>
      </c>
      <c r="G288" s="45" t="s">
        <v>565</v>
      </c>
      <c r="H288" s="45" t="s">
        <v>668</v>
      </c>
      <c r="I288" s="45">
        <v>33.437269000000001</v>
      </c>
      <c r="J288" s="45">
        <v>-112.00778800000001</v>
      </c>
      <c r="K288" s="45">
        <v>6.7490779520000004</v>
      </c>
      <c r="L288" s="45">
        <v>9.0399999999999991</v>
      </c>
      <c r="M288" s="45" t="s">
        <v>617</v>
      </c>
      <c r="N288" s="159">
        <v>5</v>
      </c>
      <c r="O288" s="159">
        <v>6</v>
      </c>
      <c r="P288" s="45" t="s">
        <v>565</v>
      </c>
      <c r="Q288" s="45" t="s">
        <v>564</v>
      </c>
      <c r="R288" s="45">
        <v>41.98028</v>
      </c>
      <c r="S288" s="45">
        <v>-87.908997900000003</v>
      </c>
      <c r="T288" s="45">
        <v>2808.009</v>
      </c>
      <c r="U288" s="45" t="s">
        <v>617</v>
      </c>
      <c r="V288" s="45" t="s">
        <v>569</v>
      </c>
      <c r="W288" s="45" cm="1">
        <f t="array" ref="W288">getDistance(R288,S288,I288,J288)*SA!$B$12</f>
        <v>2317.3403894753578</v>
      </c>
      <c r="Y288" s="16">
        <f>Transportation_LCIA!C$61*($W288^Transportation_LCIA!C$60)+Transportation_LCIA!C$62</f>
        <v>0.17297192414790741</v>
      </c>
      <c r="Z288" s="16">
        <f>Transportation_LCIA!D$61*($W288^Transportation_LCIA!D$60)+Transportation_LCIA!D$62</f>
        <v>1.7028580928081674</v>
      </c>
      <c r="AA288" s="16">
        <f>Transportation_LCIA!E$61*($W288^Transportation_LCIA!E$60)+Transportation_LCIA!E$62</f>
        <v>6.7128393359391328E-4</v>
      </c>
      <c r="AB288" s="16">
        <f>Transportation_LCIA!F$61*($W288^Transportation_LCIA!F$60)+Transportation_LCIA!F$62</f>
        <v>0.17297192414790741</v>
      </c>
      <c r="AC288" s="16">
        <f>Transportation_LCIA!G$61*($W288^Transportation_LCIA!G$60)+Transportation_LCIA!G$62</f>
        <v>3.9953436090434051E-2</v>
      </c>
      <c r="AD288" s="16">
        <f>Transportation_LCIA!H$61*($W288^Transportation_LCIA!H$60)+Transportation_LCIA!H$62</f>
        <v>1.7370508978856376E-4</v>
      </c>
      <c r="AE288" s="16">
        <f>Transportation_LCIA!I$61*($W288^Transportation_LCIA!I$60)+Transportation_LCIA!I$62</f>
        <v>3.3617095486646463E-6</v>
      </c>
      <c r="AF288" s="16">
        <f>Transportation_LCIA!J$61*($W288^Transportation_LCIA!J$60)+Transportation_LCIA!J$62</f>
        <v>4.9871318648924412E-3</v>
      </c>
      <c r="AG288" s="16">
        <f>Transportation_LCIA!K$61*($W288^Transportation_LCIA!K$60)+Transportation_LCIA!K$62</f>
        <v>8.1822986868652289E-3</v>
      </c>
      <c r="AH288" s="16">
        <f>Transportation_LCIA!L$61*($W288^Transportation_LCIA!L$60)+Transportation_LCIA!L$62</f>
        <v>1.4549120095940624E-4</v>
      </c>
      <c r="AI288" s="16">
        <f>Transportation_LCIA!M$61*($W288^Transportation_LCIA!M$60)+Transportation_LCIA!M$62</f>
        <v>1.8674061084571433E-4</v>
      </c>
      <c r="AJ288" s="16">
        <f>Transportation_LCIA!N$61*($W288^Transportation_LCIA!N$60)+Transportation_LCIA!N$62</f>
        <v>6.4284724221781698E-4</v>
      </c>
      <c r="AK288" s="16">
        <f>Transportation_LCIA!O$61*($W288^Transportation_LCIA!O$60)+Transportation_LCIA!O$62</f>
        <v>4.2127539449943745E-5</v>
      </c>
      <c r="AL288" s="16">
        <f>Transportation_LCIA!P$61*($W288^Transportation_LCIA!P$60)+Transportation_LCIA!P$62</f>
        <v>2.0413131626222143E-8</v>
      </c>
      <c r="AM288" s="16">
        <f>Transportation_LCIA!Q$61*($W288^Transportation_LCIA!Q$60)+Transportation_LCIA!Q$62</f>
        <v>5.8128627025713208E-5</v>
      </c>
      <c r="AN288" s="16">
        <f>Transportation_LCIA!R$61*($W288^Transportation_LCIA!R$60)+Transportation_LCIA!R$62</f>
        <v>1.6208926903711222E-4</v>
      </c>
      <c r="AO288" s="16">
        <f>Transportation_LCIA!S$61*($W288^Transportation_LCIA!S$60)+Transportation_LCIA!S$62</f>
        <v>2.5567252061749023E-6</v>
      </c>
      <c r="AP288" s="16">
        <f>Transportation_LCIA!T$61*($W288^Transportation_LCIA!T$60)+Transportation_LCIA!T$62</f>
        <v>2.5567252061749023E-6</v>
      </c>
      <c r="AQ288" s="16">
        <f>Transportation_LCIA!U$61*($W288^Transportation_LCIA!U$60)+Transportation_LCIA!U$62</f>
        <v>3.4288551439769682E-4</v>
      </c>
      <c r="AR288" s="16">
        <f>Transportation_LCIA!V$61*($W288^Transportation_LCIA!V$60)+Transportation_LCIA!V$62</f>
        <v>1.514111122448554E-4</v>
      </c>
      <c r="AT288" s="16">
        <f>$W288*Y288+($L288)*Summary_LCIA!H$32</f>
        <v>403.90661807321379</v>
      </c>
      <c r="AU288" s="16">
        <f>$W288*Z288+($L288)*Summary_LCIA!Q$32</f>
        <v>3990.9045319236634</v>
      </c>
      <c r="AV288" s="16">
        <f>$W288*AA288+($L288)*Summary_LCIA!R$32</f>
        <v>1.6031943961230692</v>
      </c>
      <c r="AW288" s="16">
        <f>$W288*AB288+($L288)*Summary_LCIA!S$32</f>
        <v>403.86666127321377</v>
      </c>
      <c r="AX288" s="16">
        <f>$W288*AC288+($L288)*Summary_LCIA!T$32</f>
        <v>93.579207150685249</v>
      </c>
      <c r="AY288" s="16">
        <f>$W288*AD288+($L288)*Summary_LCIA!U$32</f>
        <v>0.56447638042448234</v>
      </c>
      <c r="AZ288" s="16">
        <f>$W288*AE288+($L288)*Summary_LCIA!V$32</f>
        <v>8.22198475480556E-3</v>
      </c>
      <c r="BA288" s="16">
        <f>$W288*AF288+($L288)*Summary_LCIA!W$32</f>
        <v>12.252699938154818</v>
      </c>
      <c r="BB288" s="16">
        <f>$W288*AG288+($L288)*Summary_LCIA!X$32</f>
        <v>19.167102425823977</v>
      </c>
      <c r="BC288" s="16">
        <f>$W288*AH288+($L288)*Summary_LCIA!Y$32</f>
        <v>0.47801391629650797</v>
      </c>
      <c r="BD288" s="16">
        <f>$W288*AI288+($L288)*Summary_LCIA!Z$32</f>
        <v>0.43311228122807388</v>
      </c>
      <c r="BE288" s="16">
        <f>$W288*AJ288+($L288)*Summary_LCIA!AA$32</f>
        <v>1.7008341186541955</v>
      </c>
      <c r="BF288" s="16">
        <f>$W288*AK288+($L288)*Summary_LCIA!AB$32</f>
        <v>9.7426568756571144E-2</v>
      </c>
      <c r="BG288" s="16">
        <f>$W288*AL288+($L288)*Summary_LCIA!AC$32</f>
        <v>4.774608575312136E-5</v>
      </c>
      <c r="BH288" s="16">
        <f>$W288*AM288+($L288)*Summary_LCIA!AD$32</f>
        <v>0.13841961679143408</v>
      </c>
      <c r="BI288" s="16">
        <f>$W288*AN288+($L288)*Summary_LCIA!AE$32</f>
        <v>0.3836266250402377</v>
      </c>
      <c r="BJ288" s="16">
        <f>$W288*AO288+($L288)*Summary_LCIA!AF$32</f>
        <v>1.3567399385058812E-2</v>
      </c>
      <c r="BK288" s="16">
        <f>$W288*AP288+($L288)*Summary_LCIA!AG$32</f>
        <v>6.3873341850588126E-3</v>
      </c>
      <c r="BL288" s="16">
        <f>$W288*AQ288+($L288)*Summary_LCIA!AH$32</f>
        <v>0.87326299547981723</v>
      </c>
      <c r="BM288" s="16">
        <f>$W288*AR288+($L288)*Summary_LCIA!AI$32</f>
        <v>0.35929229782039035</v>
      </c>
      <c r="BN288" s="16"/>
    </row>
    <row r="289" spans="1:66" x14ac:dyDescent="0.25">
      <c r="A289" s="159">
        <v>364</v>
      </c>
      <c r="B289" s="159">
        <v>6</v>
      </c>
      <c r="C289" s="45">
        <v>32.233283999999998</v>
      </c>
      <c r="D289" s="45">
        <v>-110.948801</v>
      </c>
      <c r="E289" s="45" t="s">
        <v>265</v>
      </c>
      <c r="F289" s="159">
        <v>44</v>
      </c>
      <c r="G289" s="45" t="s">
        <v>565</v>
      </c>
      <c r="H289" s="45" t="s">
        <v>668</v>
      </c>
      <c r="I289" s="45">
        <v>33.437269000000001</v>
      </c>
      <c r="J289" s="45">
        <v>-112.00778800000001</v>
      </c>
      <c r="K289" s="45">
        <v>308.37148159999998</v>
      </c>
      <c r="L289" s="45">
        <v>180.36</v>
      </c>
      <c r="M289" s="45" t="s">
        <v>617</v>
      </c>
      <c r="N289" s="159">
        <v>5</v>
      </c>
      <c r="O289" s="159">
        <v>6</v>
      </c>
      <c r="P289" s="45" t="s">
        <v>565</v>
      </c>
      <c r="Q289" s="45" t="s">
        <v>564</v>
      </c>
      <c r="R289" s="45">
        <v>41.98028</v>
      </c>
      <c r="S289" s="45">
        <v>-87.908997900000003</v>
      </c>
      <c r="T289" s="45">
        <v>2812.6260000000002</v>
      </c>
      <c r="U289" s="45" t="s">
        <v>617</v>
      </c>
      <c r="V289" s="45" t="s">
        <v>569</v>
      </c>
      <c r="W289" s="45" cm="1">
        <f t="array" ref="W289">getDistance(R289,S289,I289,J289)*SA!$B$12</f>
        <v>2317.3403894753578</v>
      </c>
      <c r="Y289" s="16">
        <f>Transportation_LCIA!C$61*($W289^Transportation_LCIA!C$60)+Transportation_LCIA!C$62</f>
        <v>0.17297192414790741</v>
      </c>
      <c r="Z289" s="16">
        <f>Transportation_LCIA!D$61*($W289^Transportation_LCIA!D$60)+Transportation_LCIA!D$62</f>
        <v>1.7028580928081674</v>
      </c>
      <c r="AA289" s="16">
        <f>Transportation_LCIA!E$61*($W289^Transportation_LCIA!E$60)+Transportation_LCIA!E$62</f>
        <v>6.7128393359391328E-4</v>
      </c>
      <c r="AB289" s="16">
        <f>Transportation_LCIA!F$61*($W289^Transportation_LCIA!F$60)+Transportation_LCIA!F$62</f>
        <v>0.17297192414790741</v>
      </c>
      <c r="AC289" s="16">
        <f>Transportation_LCIA!G$61*($W289^Transportation_LCIA!G$60)+Transportation_LCIA!G$62</f>
        <v>3.9953436090434051E-2</v>
      </c>
      <c r="AD289" s="16">
        <f>Transportation_LCIA!H$61*($W289^Transportation_LCIA!H$60)+Transportation_LCIA!H$62</f>
        <v>1.7370508978856376E-4</v>
      </c>
      <c r="AE289" s="16">
        <f>Transportation_LCIA!I$61*($W289^Transportation_LCIA!I$60)+Transportation_LCIA!I$62</f>
        <v>3.3617095486646463E-6</v>
      </c>
      <c r="AF289" s="16">
        <f>Transportation_LCIA!J$61*($W289^Transportation_LCIA!J$60)+Transportation_LCIA!J$62</f>
        <v>4.9871318648924412E-3</v>
      </c>
      <c r="AG289" s="16">
        <f>Transportation_LCIA!K$61*($W289^Transportation_LCIA!K$60)+Transportation_LCIA!K$62</f>
        <v>8.1822986868652289E-3</v>
      </c>
      <c r="AH289" s="16">
        <f>Transportation_LCIA!L$61*($W289^Transportation_LCIA!L$60)+Transportation_LCIA!L$62</f>
        <v>1.4549120095940624E-4</v>
      </c>
      <c r="AI289" s="16">
        <f>Transportation_LCIA!M$61*($W289^Transportation_LCIA!M$60)+Transportation_LCIA!M$62</f>
        <v>1.8674061084571433E-4</v>
      </c>
      <c r="AJ289" s="16">
        <f>Transportation_LCIA!N$61*($W289^Transportation_LCIA!N$60)+Transportation_LCIA!N$62</f>
        <v>6.4284724221781698E-4</v>
      </c>
      <c r="AK289" s="16">
        <f>Transportation_LCIA!O$61*($W289^Transportation_LCIA!O$60)+Transportation_LCIA!O$62</f>
        <v>4.2127539449943745E-5</v>
      </c>
      <c r="AL289" s="16">
        <f>Transportation_LCIA!P$61*($W289^Transportation_LCIA!P$60)+Transportation_LCIA!P$62</f>
        <v>2.0413131626222143E-8</v>
      </c>
      <c r="AM289" s="16">
        <f>Transportation_LCIA!Q$61*($W289^Transportation_LCIA!Q$60)+Transportation_LCIA!Q$62</f>
        <v>5.8128627025713208E-5</v>
      </c>
      <c r="AN289" s="16">
        <f>Transportation_LCIA!R$61*($W289^Transportation_LCIA!R$60)+Transportation_LCIA!R$62</f>
        <v>1.6208926903711222E-4</v>
      </c>
      <c r="AO289" s="16">
        <f>Transportation_LCIA!S$61*($W289^Transportation_LCIA!S$60)+Transportation_LCIA!S$62</f>
        <v>2.5567252061749023E-6</v>
      </c>
      <c r="AP289" s="16">
        <f>Transportation_LCIA!T$61*($W289^Transportation_LCIA!T$60)+Transportation_LCIA!T$62</f>
        <v>2.5567252061749023E-6</v>
      </c>
      <c r="AQ289" s="16">
        <f>Transportation_LCIA!U$61*($W289^Transportation_LCIA!U$60)+Transportation_LCIA!U$62</f>
        <v>3.4288551439769682E-4</v>
      </c>
      <c r="AR289" s="16">
        <f>Transportation_LCIA!V$61*($W289^Transportation_LCIA!V$60)+Transportation_LCIA!V$62</f>
        <v>1.514111122448554E-4</v>
      </c>
      <c r="AT289" s="16">
        <f>$W289*Y289+($L289)*Summary_LCIA!H$32</f>
        <v>462.1211540732138</v>
      </c>
      <c r="AU289" s="16">
        <f>$W289*Z289+($L289)*Summary_LCIA!Q$32</f>
        <v>4839.9750921052237</v>
      </c>
      <c r="AV289" s="16">
        <f>$W289*AA289+($L289)*Summary_LCIA!R$32</f>
        <v>2.5052969881230691</v>
      </c>
      <c r="AW289" s="16">
        <f>$W289*AB289+($L289)*Summary_LCIA!S$32</f>
        <v>461.32396287321376</v>
      </c>
      <c r="AX289" s="16">
        <f>$W289*AC289+($L289)*Summary_LCIA!T$32</f>
        <v>112.40727515068525</v>
      </c>
      <c r="AY289" s="16">
        <f>$W289*AD289+($L289)*Summary_LCIA!U$32</f>
        <v>3.6335028604244823</v>
      </c>
      <c r="AZ289" s="16">
        <f>$W289*AE289+($L289)*Summary_LCIA!V$32</f>
        <v>1.640439927480556E-2</v>
      </c>
      <c r="BA289" s="16">
        <f>$W289*AF289+($L289)*Summary_LCIA!W$32</f>
        <v>25.439371658154819</v>
      </c>
      <c r="BB289" s="16">
        <f>$W289*AG289+($L289)*Summary_LCIA!X$32</f>
        <v>23.06977202582398</v>
      </c>
      <c r="BC289" s="16">
        <f>$W289*AH289+($L289)*Summary_LCIA!Y$32</f>
        <v>3.1475221562965081</v>
      </c>
      <c r="BD289" s="16">
        <f>$W289*AI289+($L289)*Summary_LCIA!Z$32</f>
        <v>0.44013794310807391</v>
      </c>
      <c r="BE289" s="16">
        <f>$W289*AJ289+($L289)*Summary_LCIA!AA$32</f>
        <v>5.7021840386541962</v>
      </c>
      <c r="BF289" s="16">
        <f>$W289*AK289+($L289)*Summary_LCIA!AB$32</f>
        <v>9.3687852396571139E-2</v>
      </c>
      <c r="BG289" s="16">
        <f>$W289*AL289+($L289)*Summary_LCIA!AC$32</f>
        <v>5.6120892633121361E-5</v>
      </c>
      <c r="BH289" s="16">
        <f>$W289*AM289+($L289)*Summary_LCIA!AD$32</f>
        <v>0.20883898959143407</v>
      </c>
      <c r="BI289" s="16">
        <f>$W289*AN289+($L289)*Summary_LCIA!AE$32</f>
        <v>0.53543841664023772</v>
      </c>
      <c r="BJ289" s="16">
        <f>$W289*AO289+($L289)*Summary_LCIA!AF$32</f>
        <v>0.15840475378505883</v>
      </c>
      <c r="BK289" s="16">
        <f>$W289*AP289+($L289)*Summary_LCIA!AG$32</f>
        <v>1.5152921985058816E-2</v>
      </c>
      <c r="BL289" s="16">
        <f>$W289*AQ289+($L289)*Summary_LCIA!AH$32</f>
        <v>2.3643637474798176</v>
      </c>
      <c r="BM289" s="16">
        <f>$W289*AR289+($L289)*Summary_LCIA!AI$32</f>
        <v>0.51888544382039037</v>
      </c>
      <c r="BN289" s="16"/>
    </row>
    <row r="290" spans="1:66" x14ac:dyDescent="0.25">
      <c r="A290" s="159">
        <v>93</v>
      </c>
      <c r="B290" s="159">
        <v>6</v>
      </c>
      <c r="C290" s="45">
        <v>33.452956999999998</v>
      </c>
      <c r="D290" s="45">
        <v>-112.07345100000001</v>
      </c>
      <c r="E290" s="45" t="s">
        <v>265</v>
      </c>
      <c r="F290" s="159">
        <v>44</v>
      </c>
      <c r="G290" s="45" t="s">
        <v>565</v>
      </c>
      <c r="H290" s="45" t="s">
        <v>668</v>
      </c>
      <c r="I290" s="45">
        <v>33.437269000000001</v>
      </c>
      <c r="J290" s="45">
        <v>-112.00778800000001</v>
      </c>
      <c r="K290" s="45">
        <v>8.2391779819999993</v>
      </c>
      <c r="L290" s="45">
        <v>9.9589999999999996</v>
      </c>
      <c r="M290" s="45" t="s">
        <v>617</v>
      </c>
      <c r="N290" s="159">
        <v>5</v>
      </c>
      <c r="O290" s="159">
        <v>6</v>
      </c>
      <c r="P290" s="45" t="s">
        <v>565</v>
      </c>
      <c r="Q290" s="45" t="s">
        <v>564</v>
      </c>
      <c r="R290" s="45">
        <v>41.98028</v>
      </c>
      <c r="S290" s="45">
        <v>-87.908997900000003</v>
      </c>
      <c r="T290" s="45">
        <v>2822.0720000000001</v>
      </c>
      <c r="U290" s="45" t="s">
        <v>617</v>
      </c>
      <c r="V290" s="45" t="s">
        <v>569</v>
      </c>
      <c r="W290" s="45" cm="1">
        <f t="array" ref="W290">getDistance(R290,S290,I290,J290)*SA!$B$12</f>
        <v>2317.3403894753578</v>
      </c>
      <c r="Y290" s="16">
        <f>Transportation_LCIA!C$61*($W290^Transportation_LCIA!C$60)+Transportation_LCIA!C$62</f>
        <v>0.17297192414790741</v>
      </c>
      <c r="Z290" s="16">
        <f>Transportation_LCIA!D$61*($W290^Transportation_LCIA!D$60)+Transportation_LCIA!D$62</f>
        <v>1.7028580928081674</v>
      </c>
      <c r="AA290" s="16">
        <f>Transportation_LCIA!E$61*($W290^Transportation_LCIA!E$60)+Transportation_LCIA!E$62</f>
        <v>6.7128393359391328E-4</v>
      </c>
      <c r="AB290" s="16">
        <f>Transportation_LCIA!F$61*($W290^Transportation_LCIA!F$60)+Transportation_LCIA!F$62</f>
        <v>0.17297192414790741</v>
      </c>
      <c r="AC290" s="16">
        <f>Transportation_LCIA!G$61*($W290^Transportation_LCIA!G$60)+Transportation_LCIA!G$62</f>
        <v>3.9953436090434051E-2</v>
      </c>
      <c r="AD290" s="16">
        <f>Transportation_LCIA!H$61*($W290^Transportation_LCIA!H$60)+Transportation_LCIA!H$62</f>
        <v>1.7370508978856376E-4</v>
      </c>
      <c r="AE290" s="16">
        <f>Transportation_LCIA!I$61*($W290^Transportation_LCIA!I$60)+Transportation_LCIA!I$62</f>
        <v>3.3617095486646463E-6</v>
      </c>
      <c r="AF290" s="16">
        <f>Transportation_LCIA!J$61*($W290^Transportation_LCIA!J$60)+Transportation_LCIA!J$62</f>
        <v>4.9871318648924412E-3</v>
      </c>
      <c r="AG290" s="16">
        <f>Transportation_LCIA!K$61*($W290^Transportation_LCIA!K$60)+Transportation_LCIA!K$62</f>
        <v>8.1822986868652289E-3</v>
      </c>
      <c r="AH290" s="16">
        <f>Transportation_LCIA!L$61*($W290^Transportation_LCIA!L$60)+Transportation_LCIA!L$62</f>
        <v>1.4549120095940624E-4</v>
      </c>
      <c r="AI290" s="16">
        <f>Transportation_LCIA!M$61*($W290^Transportation_LCIA!M$60)+Transportation_LCIA!M$62</f>
        <v>1.8674061084571433E-4</v>
      </c>
      <c r="AJ290" s="16">
        <f>Transportation_LCIA!N$61*($W290^Transportation_LCIA!N$60)+Transportation_LCIA!N$62</f>
        <v>6.4284724221781698E-4</v>
      </c>
      <c r="AK290" s="16">
        <f>Transportation_LCIA!O$61*($W290^Transportation_LCIA!O$60)+Transportation_LCIA!O$62</f>
        <v>4.2127539449943745E-5</v>
      </c>
      <c r="AL290" s="16">
        <f>Transportation_LCIA!P$61*($W290^Transportation_LCIA!P$60)+Transportation_LCIA!P$62</f>
        <v>2.0413131626222143E-8</v>
      </c>
      <c r="AM290" s="16">
        <f>Transportation_LCIA!Q$61*($W290^Transportation_LCIA!Q$60)+Transportation_LCIA!Q$62</f>
        <v>5.8128627025713208E-5</v>
      </c>
      <c r="AN290" s="16">
        <f>Transportation_LCIA!R$61*($W290^Transportation_LCIA!R$60)+Transportation_LCIA!R$62</f>
        <v>1.6208926903711222E-4</v>
      </c>
      <c r="AO290" s="16">
        <f>Transportation_LCIA!S$61*($W290^Transportation_LCIA!S$60)+Transportation_LCIA!S$62</f>
        <v>2.5567252061749023E-6</v>
      </c>
      <c r="AP290" s="16">
        <f>Transportation_LCIA!T$61*($W290^Transportation_LCIA!T$60)+Transportation_LCIA!T$62</f>
        <v>2.5567252061749023E-6</v>
      </c>
      <c r="AQ290" s="16">
        <f>Transportation_LCIA!U$61*($W290^Transportation_LCIA!U$60)+Transportation_LCIA!U$62</f>
        <v>3.4288551439769682E-4</v>
      </c>
      <c r="AR290" s="16">
        <f>Transportation_LCIA!V$61*($W290^Transportation_LCIA!V$60)+Transportation_LCIA!V$62</f>
        <v>1.514111122448554E-4</v>
      </c>
      <c r="AT290" s="16">
        <f>$W290*Y290+($L290)*Summary_LCIA!H$32</f>
        <v>404.21889427321378</v>
      </c>
      <c r="AU290" s="16">
        <f>$W290*Z290+($L290)*Summary_LCIA!Q$32</f>
        <v>3995.4591422715903</v>
      </c>
      <c r="AV290" s="16">
        <f>$W290*AA290+($L290)*Summary_LCIA!R$32</f>
        <v>1.6080334825230693</v>
      </c>
      <c r="AW290" s="16">
        <f>$W290*AB290+($L290)*Summary_LCIA!S$32</f>
        <v>404.17487549321379</v>
      </c>
      <c r="AX290" s="16">
        <f>$W290*AC290+($L290)*Summary_LCIA!T$32</f>
        <v>93.680205250685262</v>
      </c>
      <c r="AY290" s="16">
        <f>$W290*AD290+($L290)*Summary_LCIA!U$32</f>
        <v>0.58093934642448231</v>
      </c>
      <c r="AZ290" s="16">
        <f>$W290*AE290+($L290)*Summary_LCIA!V$32</f>
        <v>8.2658771138055601E-3</v>
      </c>
      <c r="BA290" s="16">
        <f>$W290*AF290+($L290)*Summary_LCIA!W$32</f>
        <v>12.323436287154818</v>
      </c>
      <c r="BB290" s="16">
        <f>$W290*AG290+($L290)*Summary_LCIA!X$32</f>
        <v>19.188037245823978</v>
      </c>
      <c r="BC290" s="16">
        <f>$W290*AH290+($L290)*Summary_LCIA!Y$32</f>
        <v>0.49233377429650799</v>
      </c>
      <c r="BD290" s="16">
        <f>$W290*AI290+($L290)*Summary_LCIA!Z$32</f>
        <v>0.43314996849907389</v>
      </c>
      <c r="BE290" s="16">
        <f>$W290*AJ290+($L290)*Summary_LCIA!AA$32</f>
        <v>1.7222982826541955</v>
      </c>
      <c r="BF290" s="16">
        <f>$W290*AK290+($L290)*Summary_LCIA!AB$32</f>
        <v>9.7406513419571142E-2</v>
      </c>
      <c r="BG290" s="16">
        <f>$W290*AL290+($L290)*Summary_LCIA!AC$32</f>
        <v>4.7791010149121361E-5</v>
      </c>
      <c r="BH290" s="16">
        <f>$W290*AM290+($L290)*Summary_LCIA!AD$32</f>
        <v>0.13879736255143407</v>
      </c>
      <c r="BI290" s="16">
        <f>$W290*AN290+($L290)*Summary_LCIA!AE$32</f>
        <v>0.38444097851023767</v>
      </c>
      <c r="BJ290" s="16">
        <f>$W290*AO290+($L290)*Summary_LCIA!AF$32</f>
        <v>1.4344340365058814E-2</v>
      </c>
      <c r="BK290" s="16">
        <f>$W290*AP290+($L290)*Summary_LCIA!AG$32</f>
        <v>6.4343548200588132E-3</v>
      </c>
      <c r="BL290" s="16">
        <f>$W290*AQ290+($L290)*Summary_LCIA!AH$32</f>
        <v>0.88126160387981722</v>
      </c>
      <c r="BM290" s="16">
        <f>$W290*AR290+($L290)*Summary_LCIA!AI$32</f>
        <v>0.36014839227039036</v>
      </c>
      <c r="BN290" s="16"/>
    </row>
    <row r="291" spans="1:66" x14ac:dyDescent="0.25">
      <c r="A291" s="159">
        <v>94</v>
      </c>
      <c r="B291" s="159">
        <v>6</v>
      </c>
      <c r="C291" s="45">
        <v>33.452956999999998</v>
      </c>
      <c r="D291" s="45">
        <v>-112.07345100000001</v>
      </c>
      <c r="E291" s="45" t="s">
        <v>265</v>
      </c>
      <c r="F291" s="159">
        <v>44</v>
      </c>
      <c r="G291" s="45" t="s">
        <v>565</v>
      </c>
      <c r="H291" s="45" t="s">
        <v>668</v>
      </c>
      <c r="I291" s="45">
        <v>33.437269000000001</v>
      </c>
      <c r="J291" s="45">
        <v>-112.00778800000001</v>
      </c>
      <c r="K291" s="45">
        <v>8.2391779819999993</v>
      </c>
      <c r="L291" s="45">
        <v>9.9589999999999996</v>
      </c>
      <c r="M291" s="45" t="s">
        <v>617</v>
      </c>
      <c r="N291" s="159">
        <v>5</v>
      </c>
      <c r="O291" s="159">
        <v>6</v>
      </c>
      <c r="P291" s="45" t="s">
        <v>565</v>
      </c>
      <c r="Q291" s="45" t="s">
        <v>564</v>
      </c>
      <c r="R291" s="45">
        <v>41.98028</v>
      </c>
      <c r="S291" s="45">
        <v>-87.908997900000003</v>
      </c>
      <c r="T291" s="45">
        <v>2822.0720000000001</v>
      </c>
      <c r="U291" s="45" t="s">
        <v>617</v>
      </c>
      <c r="V291" s="45" t="s">
        <v>569</v>
      </c>
      <c r="W291" s="45" cm="1">
        <f t="array" ref="W291">getDistance(R291,S291,I291,J291)*SA!$B$12</f>
        <v>2317.3403894753578</v>
      </c>
      <c r="Y291" s="16">
        <f>Transportation_LCIA!C$61*($W291^Transportation_LCIA!C$60)+Transportation_LCIA!C$62</f>
        <v>0.17297192414790741</v>
      </c>
      <c r="Z291" s="16">
        <f>Transportation_LCIA!D$61*($W291^Transportation_LCIA!D$60)+Transportation_LCIA!D$62</f>
        <v>1.7028580928081674</v>
      </c>
      <c r="AA291" s="16">
        <f>Transportation_LCIA!E$61*($W291^Transportation_LCIA!E$60)+Transportation_LCIA!E$62</f>
        <v>6.7128393359391328E-4</v>
      </c>
      <c r="AB291" s="16">
        <f>Transportation_LCIA!F$61*($W291^Transportation_LCIA!F$60)+Transportation_LCIA!F$62</f>
        <v>0.17297192414790741</v>
      </c>
      <c r="AC291" s="16">
        <f>Transportation_LCIA!G$61*($W291^Transportation_LCIA!G$60)+Transportation_LCIA!G$62</f>
        <v>3.9953436090434051E-2</v>
      </c>
      <c r="AD291" s="16">
        <f>Transportation_LCIA!H$61*($W291^Transportation_LCIA!H$60)+Transportation_LCIA!H$62</f>
        <v>1.7370508978856376E-4</v>
      </c>
      <c r="AE291" s="16">
        <f>Transportation_LCIA!I$61*($W291^Transportation_LCIA!I$60)+Transportation_LCIA!I$62</f>
        <v>3.3617095486646463E-6</v>
      </c>
      <c r="AF291" s="16">
        <f>Transportation_LCIA!J$61*($W291^Transportation_LCIA!J$60)+Transportation_LCIA!J$62</f>
        <v>4.9871318648924412E-3</v>
      </c>
      <c r="AG291" s="16">
        <f>Transportation_LCIA!K$61*($W291^Transportation_LCIA!K$60)+Transportation_LCIA!K$62</f>
        <v>8.1822986868652289E-3</v>
      </c>
      <c r="AH291" s="16">
        <f>Transportation_LCIA!L$61*($W291^Transportation_LCIA!L$60)+Transportation_LCIA!L$62</f>
        <v>1.4549120095940624E-4</v>
      </c>
      <c r="AI291" s="16">
        <f>Transportation_LCIA!M$61*($W291^Transportation_LCIA!M$60)+Transportation_LCIA!M$62</f>
        <v>1.8674061084571433E-4</v>
      </c>
      <c r="AJ291" s="16">
        <f>Transportation_LCIA!N$61*($W291^Transportation_LCIA!N$60)+Transportation_LCIA!N$62</f>
        <v>6.4284724221781698E-4</v>
      </c>
      <c r="AK291" s="16">
        <f>Transportation_LCIA!O$61*($W291^Transportation_LCIA!O$60)+Transportation_LCIA!O$62</f>
        <v>4.2127539449943745E-5</v>
      </c>
      <c r="AL291" s="16">
        <f>Transportation_LCIA!P$61*($W291^Transportation_LCIA!P$60)+Transportation_LCIA!P$62</f>
        <v>2.0413131626222143E-8</v>
      </c>
      <c r="AM291" s="16">
        <f>Transportation_LCIA!Q$61*($W291^Transportation_LCIA!Q$60)+Transportation_LCIA!Q$62</f>
        <v>5.8128627025713208E-5</v>
      </c>
      <c r="AN291" s="16">
        <f>Transportation_LCIA!R$61*($W291^Transportation_LCIA!R$60)+Transportation_LCIA!R$62</f>
        <v>1.6208926903711222E-4</v>
      </c>
      <c r="AO291" s="16">
        <f>Transportation_LCIA!S$61*($W291^Transportation_LCIA!S$60)+Transportation_LCIA!S$62</f>
        <v>2.5567252061749023E-6</v>
      </c>
      <c r="AP291" s="16">
        <f>Transportation_LCIA!T$61*($W291^Transportation_LCIA!T$60)+Transportation_LCIA!T$62</f>
        <v>2.5567252061749023E-6</v>
      </c>
      <c r="AQ291" s="16">
        <f>Transportation_LCIA!U$61*($W291^Transportation_LCIA!U$60)+Transportation_LCIA!U$62</f>
        <v>3.4288551439769682E-4</v>
      </c>
      <c r="AR291" s="16">
        <f>Transportation_LCIA!V$61*($W291^Transportation_LCIA!V$60)+Transportation_LCIA!V$62</f>
        <v>1.514111122448554E-4</v>
      </c>
      <c r="AT291" s="16">
        <f>$W291*Y291+($L291)*Summary_LCIA!H$32</f>
        <v>404.21889427321378</v>
      </c>
      <c r="AU291" s="16">
        <f>$W291*Z291+($L291)*Summary_LCIA!Q$32</f>
        <v>3995.4591422715903</v>
      </c>
      <c r="AV291" s="16">
        <f>$W291*AA291+($L291)*Summary_LCIA!R$32</f>
        <v>1.6080334825230693</v>
      </c>
      <c r="AW291" s="16">
        <f>$W291*AB291+($L291)*Summary_LCIA!S$32</f>
        <v>404.17487549321379</v>
      </c>
      <c r="AX291" s="16">
        <f>$W291*AC291+($L291)*Summary_LCIA!T$32</f>
        <v>93.680205250685262</v>
      </c>
      <c r="AY291" s="16">
        <f>$W291*AD291+($L291)*Summary_LCIA!U$32</f>
        <v>0.58093934642448231</v>
      </c>
      <c r="AZ291" s="16">
        <f>$W291*AE291+($L291)*Summary_LCIA!V$32</f>
        <v>8.2658771138055601E-3</v>
      </c>
      <c r="BA291" s="16">
        <f>$W291*AF291+($L291)*Summary_LCIA!W$32</f>
        <v>12.323436287154818</v>
      </c>
      <c r="BB291" s="16">
        <f>$W291*AG291+($L291)*Summary_LCIA!X$32</f>
        <v>19.188037245823978</v>
      </c>
      <c r="BC291" s="16">
        <f>$W291*AH291+($L291)*Summary_LCIA!Y$32</f>
        <v>0.49233377429650799</v>
      </c>
      <c r="BD291" s="16">
        <f>$W291*AI291+($L291)*Summary_LCIA!Z$32</f>
        <v>0.43314996849907389</v>
      </c>
      <c r="BE291" s="16">
        <f>$W291*AJ291+($L291)*Summary_LCIA!AA$32</f>
        <v>1.7222982826541955</v>
      </c>
      <c r="BF291" s="16">
        <f>$W291*AK291+($L291)*Summary_LCIA!AB$32</f>
        <v>9.7406513419571142E-2</v>
      </c>
      <c r="BG291" s="16">
        <f>$W291*AL291+($L291)*Summary_LCIA!AC$32</f>
        <v>4.7791010149121361E-5</v>
      </c>
      <c r="BH291" s="16">
        <f>$W291*AM291+($L291)*Summary_LCIA!AD$32</f>
        <v>0.13879736255143407</v>
      </c>
      <c r="BI291" s="16">
        <f>$W291*AN291+($L291)*Summary_LCIA!AE$32</f>
        <v>0.38444097851023767</v>
      </c>
      <c r="BJ291" s="16">
        <f>$W291*AO291+($L291)*Summary_LCIA!AF$32</f>
        <v>1.4344340365058814E-2</v>
      </c>
      <c r="BK291" s="16">
        <f>$W291*AP291+($L291)*Summary_LCIA!AG$32</f>
        <v>6.4343548200588132E-3</v>
      </c>
      <c r="BL291" s="16">
        <f>$W291*AQ291+($L291)*Summary_LCIA!AH$32</f>
        <v>0.88126160387981722</v>
      </c>
      <c r="BM291" s="16">
        <f>$W291*AR291+($L291)*Summary_LCIA!AI$32</f>
        <v>0.36014839227039036</v>
      </c>
      <c r="BN291" s="16"/>
    </row>
    <row r="292" spans="1:66" x14ac:dyDescent="0.25">
      <c r="A292" s="159">
        <v>323</v>
      </c>
      <c r="B292" s="159">
        <v>6</v>
      </c>
      <c r="C292" s="45">
        <v>46.280419999999999</v>
      </c>
      <c r="D292" s="45">
        <v>-119.2752</v>
      </c>
      <c r="E292" s="45" t="s">
        <v>265</v>
      </c>
      <c r="F292" s="159">
        <v>90</v>
      </c>
      <c r="G292" s="45" t="s">
        <v>277</v>
      </c>
      <c r="H292" s="45" t="s">
        <v>697</v>
      </c>
      <c r="I292" s="45">
        <v>45.589768999999997</v>
      </c>
      <c r="J292" s="45">
        <v>-122.595094</v>
      </c>
      <c r="K292" s="45">
        <v>274.9193128</v>
      </c>
      <c r="L292" s="45">
        <v>348.00400000000002</v>
      </c>
      <c r="M292" s="45" t="s">
        <v>617</v>
      </c>
      <c r="N292" s="159">
        <v>5</v>
      </c>
      <c r="O292" s="159">
        <v>6</v>
      </c>
      <c r="P292" s="45" t="s">
        <v>565</v>
      </c>
      <c r="Q292" s="45" t="s">
        <v>564</v>
      </c>
      <c r="R292" s="45">
        <v>41.98028</v>
      </c>
      <c r="S292" s="45">
        <v>-87.908997900000003</v>
      </c>
      <c r="T292" s="45">
        <v>3083.8229999999999</v>
      </c>
      <c r="U292" s="45" t="s">
        <v>617</v>
      </c>
      <c r="V292" s="45" t="s">
        <v>569</v>
      </c>
      <c r="W292" s="45" cm="1">
        <f t="array" ref="W292">getDistance(R292,S292,I292,J292)*SA!$B$12</f>
        <v>2798.6158815682211</v>
      </c>
      <c r="Y292" s="16">
        <f>Transportation_LCIA!C$61*($W292^Transportation_LCIA!C$60)+Transportation_LCIA!C$62</f>
        <v>0.16402773628837225</v>
      </c>
      <c r="Z292" s="16">
        <f>Transportation_LCIA!D$61*($W292^Transportation_LCIA!D$60)+Transportation_LCIA!D$62</f>
        <v>1.6026389821027962</v>
      </c>
      <c r="AA292" s="16">
        <f>Transportation_LCIA!E$61*($W292^Transportation_LCIA!E$60)+Transportation_LCIA!E$62</f>
        <v>6.0614005012291691E-4</v>
      </c>
      <c r="AB292" s="16">
        <f>Transportation_LCIA!F$61*($W292^Transportation_LCIA!F$60)+Transportation_LCIA!F$62</f>
        <v>0.16402773628837225</v>
      </c>
      <c r="AC292" s="16">
        <f>Transportation_LCIA!G$61*($W292^Transportation_LCIA!G$60)+Transportation_LCIA!G$62</f>
        <v>3.7629285801758547E-2</v>
      </c>
      <c r="AD292" s="16">
        <f>Transportation_LCIA!H$61*($W292^Transportation_LCIA!H$60)+Transportation_LCIA!H$62</f>
        <v>1.5970102936839448E-4</v>
      </c>
      <c r="AE292" s="16">
        <f>Transportation_LCIA!I$61*($W292^Transportation_LCIA!I$60)+Transportation_LCIA!I$62</f>
        <v>3.0217646312907641E-6</v>
      </c>
      <c r="AF292" s="16">
        <f>Transportation_LCIA!J$61*($W292^Transportation_LCIA!J$60)+Transportation_LCIA!J$62</f>
        <v>4.4927462034704841E-3</v>
      </c>
      <c r="AG292" s="16">
        <f>Transportation_LCIA!K$61*($W292^Transportation_LCIA!K$60)+Transportation_LCIA!K$62</f>
        <v>7.6507967965960943E-3</v>
      </c>
      <c r="AH292" s="16">
        <f>Transportation_LCIA!L$61*($W292^Transportation_LCIA!L$60)+Transportation_LCIA!L$62</f>
        <v>1.3274934633632592E-4</v>
      </c>
      <c r="AI292" s="16">
        <f>Transportation_LCIA!M$61*($W292^Transportation_LCIA!M$60)+Transportation_LCIA!M$62</f>
        <v>1.7902139566772907E-4</v>
      </c>
      <c r="AJ292" s="16">
        <f>Transportation_LCIA!N$61*($W292^Transportation_LCIA!N$60)+Transportation_LCIA!N$62</f>
        <v>5.9562702452397752E-4</v>
      </c>
      <c r="AK292" s="16">
        <f>Transportation_LCIA!O$61*($W292^Transportation_LCIA!O$60)+Transportation_LCIA!O$62</f>
        <v>3.9660589006869174E-5</v>
      </c>
      <c r="AL292" s="16">
        <f>Transportation_LCIA!P$61*($W292^Transportation_LCIA!P$60)+Transportation_LCIA!P$62</f>
        <v>1.9223455374200001E-8</v>
      </c>
      <c r="AM292" s="16">
        <f>Transportation_LCIA!Q$61*($W292^Transportation_LCIA!Q$60)+Transportation_LCIA!Q$62</f>
        <v>5.3174248522355442E-5</v>
      </c>
      <c r="AN292" s="16">
        <f>Transportation_LCIA!R$61*($W292^Transportation_LCIA!R$60)+Transportation_LCIA!R$62</f>
        <v>1.4580221843549912E-4</v>
      </c>
      <c r="AO292" s="16">
        <f>Transportation_LCIA!S$61*($W292^Transportation_LCIA!S$60)+Transportation_LCIA!S$62</f>
        <v>2.3252008516030942E-6</v>
      </c>
      <c r="AP292" s="16">
        <f>Transportation_LCIA!T$61*($W292^Transportation_LCIA!T$60)+Transportation_LCIA!T$62</f>
        <v>2.3252008516030942E-6</v>
      </c>
      <c r="AQ292" s="16">
        <f>Transportation_LCIA!U$61*($W292^Transportation_LCIA!U$60)+Transportation_LCIA!U$62</f>
        <v>3.0741318521569562E-4</v>
      </c>
      <c r="AR292" s="16">
        <f>Transportation_LCIA!V$61*($W292^Transportation_LCIA!V$60)+Transportation_LCIA!V$62</f>
        <v>1.3861468442791629E-4</v>
      </c>
      <c r="AT292" s="16">
        <f>$W292*Y292+($L292)*Summary_LCIA!H$32</f>
        <v>577.30238699432255</v>
      </c>
      <c r="AU292" s="16">
        <f>$W292*Z292+($L292)*Summary_LCIA!Q$32</f>
        <v>6209.8962826189454</v>
      </c>
      <c r="AV292" s="16">
        <f>$W292*AA292+($L292)*Summary_LCIA!R$32</f>
        <v>3.5288030331285531</v>
      </c>
      <c r="AW292" s="16">
        <f>$W292*AB292+($L292)*Summary_LCIA!S$32</f>
        <v>575.76420931432256</v>
      </c>
      <c r="AX292" s="16">
        <f>$W292*AC292+($L292)*Summary_LCIA!T$32</f>
        <v>143.55555645687105</v>
      </c>
      <c r="AY292" s="16">
        <f>$W292*AD292+($L292)*Summary_LCIA!U$32</f>
        <v>6.6810854930931818</v>
      </c>
      <c r="AZ292" s="16">
        <f>$W292*AE292+($L292)*Summary_LCIA!V$32</f>
        <v>2.5077777531491471E-2</v>
      </c>
      <c r="BA292" s="16">
        <f>$W292*AF292+($L292)*Summary_LCIA!W$32</f>
        <v>39.359686760887826</v>
      </c>
      <c r="BB292" s="16">
        <f>$W292*AG292+($L292)*Summary_LCIA!X$32</f>
        <v>29.339172541605102</v>
      </c>
      <c r="BC292" s="16">
        <f>$W292*AH292+($L292)*Summary_LCIA!Y$32</f>
        <v>5.7941127569246422</v>
      </c>
      <c r="BD292" s="16">
        <f>$W292*AI292+($L292)*Summary_LCIA!Z$32</f>
        <v>0.51528341709221492</v>
      </c>
      <c r="BE292" s="16">
        <f>$W292*AJ292+($L292)*Summary_LCIA!AA$32</f>
        <v>9.7949126743240278</v>
      </c>
      <c r="BF292" s="16">
        <f>$W292*AK292+($L292)*Summary_LCIA!AB$32</f>
        <v>0.10340026297497407</v>
      </c>
      <c r="BG292" s="16">
        <f>$W292*AL292+($L292)*Summary_LCIA!AC$32</f>
        <v>7.0810895044854104E-5</v>
      </c>
      <c r="BH292" s="16">
        <f>$W292*AM292+($L292)*Summary_LCIA!AD$32</f>
        <v>0.29185786056511942</v>
      </c>
      <c r="BI292" s="16">
        <f>$W292*AN292+($L292)*Summary_LCIA!AE$32</f>
        <v>0.71642118860146664</v>
      </c>
      <c r="BJ292" s="16">
        <f>$W292*AO292+($L292)*Summary_LCIA!AF$32</f>
        <v>0.30071688571113236</v>
      </c>
      <c r="BK292" s="16">
        <f>$W292*AP292+($L292)*Summary_LCIA!AG$32</f>
        <v>2.4312968691132374E-2</v>
      </c>
      <c r="BL292" s="16">
        <f>$W292*AQ292+($L292)*Summary_LCIA!AH$32</f>
        <v>3.889219036748119</v>
      </c>
      <c r="BM292" s="16">
        <f>$W292*AR292+($L292)*Summary_LCIA!AI$32</f>
        <v>0.71211238345853367</v>
      </c>
      <c r="BN292" s="16"/>
    </row>
    <row r="293" spans="1:66" x14ac:dyDescent="0.25">
      <c r="A293" s="159">
        <v>250</v>
      </c>
      <c r="B293" s="159">
        <v>6</v>
      </c>
      <c r="C293" s="45">
        <v>34.048347</v>
      </c>
      <c r="D293" s="45">
        <v>-117.26115299999999</v>
      </c>
      <c r="E293" s="45" t="s">
        <v>265</v>
      </c>
      <c r="F293" s="159">
        <v>117</v>
      </c>
      <c r="G293" s="45" t="s">
        <v>708</v>
      </c>
      <c r="H293" s="45" t="s">
        <v>709</v>
      </c>
      <c r="I293" s="45">
        <v>34.060307000000002</v>
      </c>
      <c r="J293" s="45">
        <v>-117.597893</v>
      </c>
      <c r="K293" s="45">
        <v>36.386226209999997</v>
      </c>
      <c r="L293" s="45">
        <v>34.886000000000003</v>
      </c>
      <c r="M293" s="45" t="s">
        <v>617</v>
      </c>
      <c r="N293" s="159">
        <v>5</v>
      </c>
      <c r="O293" s="159">
        <v>6</v>
      </c>
      <c r="P293" s="45" t="s">
        <v>565</v>
      </c>
      <c r="Q293" s="45" t="s">
        <v>564</v>
      </c>
      <c r="R293" s="45">
        <v>41.98028</v>
      </c>
      <c r="S293" s="45">
        <v>-87.908997900000003</v>
      </c>
      <c r="T293" s="45">
        <v>3179.2150000000001</v>
      </c>
      <c r="U293" s="45" t="s">
        <v>617</v>
      </c>
      <c r="V293" s="45" t="s">
        <v>569</v>
      </c>
      <c r="W293" s="45" cm="1">
        <f t="array" ref="W293">getDistance(R293,S293,I293,J293)*SA!$B$12</f>
        <v>2735.5394913131204</v>
      </c>
      <c r="Y293" s="16">
        <f>Transportation_LCIA!C$61*($W293^Transportation_LCIA!C$60)+Transportation_LCIA!C$62</f>
        <v>0.16503456602603378</v>
      </c>
      <c r="Z293" s="16">
        <f>Transportation_LCIA!D$61*($W293^Transportation_LCIA!D$60)+Transportation_LCIA!D$62</f>
        <v>1.6138786673514018</v>
      </c>
      <c r="AA293" s="16">
        <f>Transportation_LCIA!E$61*($W293^Transportation_LCIA!E$60)+Transportation_LCIA!E$62</f>
        <v>6.1343838743917536E-4</v>
      </c>
      <c r="AB293" s="16">
        <f>Transportation_LCIA!F$61*($W293^Transportation_LCIA!F$60)+Transportation_LCIA!F$62</f>
        <v>0.16503456602603378</v>
      </c>
      <c r="AC293" s="16">
        <f>Transportation_LCIA!G$61*($W293^Transportation_LCIA!G$60)+Transportation_LCIA!G$62</f>
        <v>3.7889998307315279E-2</v>
      </c>
      <c r="AD293" s="16">
        <f>Transportation_LCIA!H$61*($W293^Transportation_LCIA!H$60)+Transportation_LCIA!H$62</f>
        <v>1.6126672816659389E-4</v>
      </c>
      <c r="AE293" s="16">
        <f>Transportation_LCIA!I$61*($W293^Transportation_LCIA!I$60)+Transportation_LCIA!I$62</f>
        <v>3.0596453373243373E-6</v>
      </c>
      <c r="AF293" s="16">
        <f>Transportation_LCIA!J$61*($W293^Transportation_LCIA!J$60)+Transportation_LCIA!J$62</f>
        <v>4.5477168044510928E-3</v>
      </c>
      <c r="AG293" s="16">
        <f>Transportation_LCIA!K$61*($W293^Transportation_LCIA!K$60)+Transportation_LCIA!K$62</f>
        <v>7.7103064661759018E-3</v>
      </c>
      <c r="AH293" s="16">
        <f>Transportation_LCIA!L$61*($W293^Transportation_LCIA!L$60)+Transportation_LCIA!L$62</f>
        <v>1.3417257828792257E-4</v>
      </c>
      <c r="AI293" s="16">
        <f>Transportation_LCIA!M$61*($W293^Transportation_LCIA!M$60)+Transportation_LCIA!M$62</f>
        <v>1.7988433160338288E-4</v>
      </c>
      <c r="AJ293" s="16">
        <f>Transportation_LCIA!N$61*($W293^Transportation_LCIA!N$60)+Transportation_LCIA!N$62</f>
        <v>6.0090779096724247E-4</v>
      </c>
      <c r="AK293" s="16">
        <f>Transportation_LCIA!O$61*($W293^Transportation_LCIA!O$60)+Transportation_LCIA!O$62</f>
        <v>3.9937291943403318E-5</v>
      </c>
      <c r="AL293" s="16">
        <f>Transportation_LCIA!P$61*($W293^Transportation_LCIA!P$60)+Transportation_LCIA!P$62</f>
        <v>1.9356931031732277E-8</v>
      </c>
      <c r="AM293" s="16">
        <f>Transportation_LCIA!Q$61*($W293^Transportation_LCIA!Q$60)+Transportation_LCIA!Q$62</f>
        <v>5.3727357549542758E-5</v>
      </c>
      <c r="AN293" s="16">
        <f>Transportation_LCIA!R$61*($W293^Transportation_LCIA!R$60)+Transportation_LCIA!R$62</f>
        <v>1.4761696935475143E-4</v>
      </c>
      <c r="AO293" s="16">
        <f>Transportation_LCIA!S$61*($W293^Transportation_LCIA!S$60)+Transportation_LCIA!S$62</f>
        <v>2.3510018188699059E-6</v>
      </c>
      <c r="AP293" s="16">
        <f>Transportation_LCIA!T$61*($W293^Transportation_LCIA!T$60)+Transportation_LCIA!T$62</f>
        <v>2.3510018188699059E-6</v>
      </c>
      <c r="AQ293" s="16">
        <f>Transportation_LCIA!U$61*($W293^Transportation_LCIA!U$60)+Transportation_LCIA!U$62</f>
        <v>3.1136312096887613E-4</v>
      </c>
      <c r="AR293" s="16">
        <f>Transportation_LCIA!V$61*($W293^Transportation_LCIA!V$60)+Transportation_LCIA!V$62</f>
        <v>1.400423437507103E-4</v>
      </c>
      <c r="AT293" s="16">
        <f>$W293*Y293+($L293)*Summary_LCIA!H$32</f>
        <v>463.31283559593805</v>
      </c>
      <c r="AU293" s="16">
        <f>$W293*Z293+($L293)*Summary_LCIA!Q$32</f>
        <v>4587.7256041331884</v>
      </c>
      <c r="AV293" s="16">
        <f>$W293*AA293+($L293)*Summary_LCIA!R$32</f>
        <v>1.8617806559273025</v>
      </c>
      <c r="AW293" s="16">
        <f>$W293*AB293+($L293)*Summary_LCIA!S$32</f>
        <v>463.15863947593806</v>
      </c>
      <c r="AX293" s="16">
        <f>$W293*AC293+($L293)*Summary_LCIA!T$32</f>
        <v>107.48355809544823</v>
      </c>
      <c r="AY293" s="16">
        <f>$W293*AD293+($L293)*Summary_LCIA!U$32</f>
        <v>1.0660993075345755</v>
      </c>
      <c r="AZ293" s="16">
        <f>$W293*AE293+($L293)*Summary_LCIA!V$32</f>
        <v>1.0035970895662778E-2</v>
      </c>
      <c r="BA293" s="16">
        <f>$W293*AF293+($L293)*Summary_LCIA!W$32</f>
        <v>15.125669219884271</v>
      </c>
      <c r="BB293" s="16">
        <f>$W293*AG293+($L293)*Summary_LCIA!X$32</f>
        <v>21.88655090835109</v>
      </c>
      <c r="BC293" s="16">
        <f>$W293*AH293+($L293)*Summary_LCIA!Y$32</f>
        <v>0.91062803855791363</v>
      </c>
      <c r="BD293" s="16">
        <f>$W293*AI293+($L293)*Summary_LCIA!Z$32</f>
        <v>0.49351133294351868</v>
      </c>
      <c r="BE293" s="16">
        <f>$W293*AJ293+($L293)*Summary_LCIA!AA$32</f>
        <v>2.4586044088286214</v>
      </c>
      <c r="BF293" s="16">
        <f>$W293*AK293+($L293)*Summary_LCIA!AB$32</f>
        <v>0.10848872210928109</v>
      </c>
      <c r="BG293" s="16">
        <f>$W293*AL293+($L293)*Summary_LCIA!AC$32</f>
        <v>5.4657016491928064E-5</v>
      </c>
      <c r="BH293" s="16">
        <f>$W293*AM293+($L293)*Summary_LCIA!AD$32</f>
        <v>0.16131284978067431</v>
      </c>
      <c r="BI293" s="16">
        <f>$W293*AN293+($L293)*Summary_LCIA!AE$32</f>
        <v>0.43472558043788123</v>
      </c>
      <c r="BJ293" s="16">
        <f>$W293*AO293+($L293)*Summary_LCIA!AF$32</f>
        <v>3.5924580439667606E-2</v>
      </c>
      <c r="BK293" s="16">
        <f>$W293*AP293+($L293)*Summary_LCIA!AG$32</f>
        <v>8.2162005096676032E-3</v>
      </c>
      <c r="BL293" s="16">
        <f>$W293*AQ293+($L293)*Summary_LCIA!AH$32</f>
        <v>1.155379903148865</v>
      </c>
      <c r="BM293" s="16">
        <f>$W293*AR293+($L293)*Summary_LCIA!AI$32</f>
        <v>0.41558941508611519</v>
      </c>
      <c r="BN293" s="16"/>
    </row>
    <row r="294" spans="1:66" x14ac:dyDescent="0.25">
      <c r="A294" s="159">
        <v>198</v>
      </c>
      <c r="B294" s="159">
        <v>6</v>
      </c>
      <c r="C294" s="45">
        <v>33.875292999999999</v>
      </c>
      <c r="D294" s="45">
        <v>-117.56643800000001</v>
      </c>
      <c r="E294" s="45" t="s">
        <v>265</v>
      </c>
      <c r="F294" s="159">
        <v>102</v>
      </c>
      <c r="G294" s="45" t="s">
        <v>695</v>
      </c>
      <c r="H294" s="45" t="s">
        <v>696</v>
      </c>
      <c r="I294" s="45">
        <v>33.676189999999998</v>
      </c>
      <c r="J294" s="45">
        <v>-117.867476</v>
      </c>
      <c r="K294" s="45">
        <v>43.554003680000001</v>
      </c>
      <c r="L294" s="45">
        <v>47.546999999999997</v>
      </c>
      <c r="M294" s="45" t="s">
        <v>617</v>
      </c>
      <c r="N294" s="159">
        <v>5</v>
      </c>
      <c r="O294" s="159">
        <v>6</v>
      </c>
      <c r="P294" s="45" t="s">
        <v>565</v>
      </c>
      <c r="Q294" s="45" t="s">
        <v>564</v>
      </c>
      <c r="R294" s="45">
        <v>41.98028</v>
      </c>
      <c r="S294" s="45">
        <v>-87.908997900000003</v>
      </c>
      <c r="T294" s="45">
        <v>3198.6550000000002</v>
      </c>
      <c r="U294" s="45" t="s">
        <v>617</v>
      </c>
      <c r="V294" s="45" t="s">
        <v>569</v>
      </c>
      <c r="W294" s="45" cm="1">
        <f t="array" ref="W294">getDistance(R294,S294,I294,J294)*SA!$B$12</f>
        <v>2777.5537009183854</v>
      </c>
      <c r="Y294" s="16">
        <f>Transportation_LCIA!C$61*($W294^Transportation_LCIA!C$60)+Transportation_LCIA!C$62</f>
        <v>0.16435925575514754</v>
      </c>
      <c r="Z294" s="16">
        <f>Transportation_LCIA!D$61*($W294^Transportation_LCIA!D$60)+Transportation_LCIA!D$62</f>
        <v>1.6063386507801596</v>
      </c>
      <c r="AA294" s="16">
        <f>Transportation_LCIA!E$61*($W294^Transportation_LCIA!E$60)+Transportation_LCIA!E$62</f>
        <v>6.0854215547765061E-4</v>
      </c>
      <c r="AB294" s="16">
        <f>Transportation_LCIA!F$61*($W294^Transportation_LCIA!F$60)+Transportation_LCIA!F$62</f>
        <v>0.16435925575514754</v>
      </c>
      <c r="AC294" s="16">
        <f>Transportation_LCIA!G$61*($W294^Transportation_LCIA!G$60)+Transportation_LCIA!G$62</f>
        <v>3.7715103915396994E-2</v>
      </c>
      <c r="AD294" s="16">
        <f>Transportation_LCIA!H$61*($W294^Transportation_LCIA!H$60)+Transportation_LCIA!H$62</f>
        <v>1.6021625350563768E-4</v>
      </c>
      <c r="AE294" s="16">
        <f>Transportation_LCIA!I$61*($W294^Transportation_LCIA!I$60)+Transportation_LCIA!I$62</f>
        <v>3.0342263216830281E-6</v>
      </c>
      <c r="AF294" s="16">
        <f>Transportation_LCIA!J$61*($W294^Transportation_LCIA!J$60)+Transportation_LCIA!J$62</f>
        <v>4.5108264782745058E-3</v>
      </c>
      <c r="AG294" s="16">
        <f>Transportation_LCIA!K$61*($W294^Transportation_LCIA!K$60)+Transportation_LCIA!K$62</f>
        <v>7.6703821640210102E-3</v>
      </c>
      <c r="AH294" s="16">
        <f>Transportation_LCIA!L$61*($W294^Transportation_LCIA!L$60)+Transportation_LCIA!L$62</f>
        <v>1.3321764930482175E-4</v>
      </c>
      <c r="AI294" s="16">
        <f>Transportation_LCIA!M$61*($W294^Transportation_LCIA!M$60)+Transportation_LCIA!M$62</f>
        <v>1.7930535893954832E-4</v>
      </c>
      <c r="AJ294" s="16">
        <f>Transportation_LCIA!N$61*($W294^Transportation_LCIA!N$60)+Transportation_LCIA!N$62</f>
        <v>5.9736480614746212E-4</v>
      </c>
      <c r="AK294" s="16">
        <f>Transportation_LCIA!O$61*($W294^Transportation_LCIA!O$60)+Transportation_LCIA!O$62</f>
        <v>3.9751669820754878E-5</v>
      </c>
      <c r="AL294" s="16">
        <f>Transportation_LCIA!P$61*($W294^Transportation_LCIA!P$60)+Transportation_LCIA!P$62</f>
        <v>1.9267391922797763E-8</v>
      </c>
      <c r="AM294" s="16">
        <f>Transportation_LCIA!Q$61*($W294^Transportation_LCIA!Q$60)+Transportation_LCIA!Q$62</f>
        <v>5.335623628242909E-5</v>
      </c>
      <c r="AN294" s="16">
        <f>Transportation_LCIA!R$61*($W294^Transportation_LCIA!R$60)+Transportation_LCIA!R$62</f>
        <v>1.4639921632753349E-4</v>
      </c>
      <c r="AO294" s="16">
        <f>Transportation_LCIA!S$61*($W294^Transportation_LCIA!S$60)+Transportation_LCIA!S$62</f>
        <v>2.3336886985656923E-6</v>
      </c>
      <c r="AP294" s="16">
        <f>Transportation_LCIA!T$61*($W294^Transportation_LCIA!T$60)+Transportation_LCIA!T$62</f>
        <v>2.3336886985656923E-6</v>
      </c>
      <c r="AQ294" s="16">
        <f>Transportation_LCIA!U$61*($W294^Transportation_LCIA!U$60)+Transportation_LCIA!U$62</f>
        <v>3.0871252075136092E-4</v>
      </c>
      <c r="AR294" s="16">
        <f>Transportation_LCIA!V$61*($W294^Transportation_LCIA!V$60)+Transportation_LCIA!V$62</f>
        <v>1.3908439516650909E-4</v>
      </c>
      <c r="AT294" s="16">
        <f>$W294*Y294+($L294)*Summary_LCIA!H$32</f>
        <v>472.67312970290146</v>
      </c>
      <c r="AU294" s="16">
        <f>$W294*Z294+($L294)*Summary_LCIA!Q$32</f>
        <v>4697.3371943405291</v>
      </c>
      <c r="AV294" s="16">
        <f>$W294*AA294+($L294)*Summary_LCIA!R$32</f>
        <v>1.9406219993117999</v>
      </c>
      <c r="AW294" s="16">
        <f>$W294*AB294+($L294)*Summary_LCIA!S$32</f>
        <v>472.46297196290146</v>
      </c>
      <c r="AX294" s="16">
        <f>$W294*AC294+($L294)*Summary_LCIA!T$32</f>
        <v>109.9811417607324</v>
      </c>
      <c r="AY294" s="16">
        <f>$W294*AD294+($L294)*Summary_LCIA!U$32</f>
        <v>1.2967662058718621</v>
      </c>
      <c r="AZ294" s="16">
        <f>$W294*AE294+($L294)*Summary_LCIA!V$32</f>
        <v>1.0698618816214674E-2</v>
      </c>
      <c r="BA294" s="16">
        <f>$W294*AF294+($L294)*Summary_LCIA!W$32</f>
        <v>16.188802915932001</v>
      </c>
      <c r="BB294" s="16">
        <f>$W294*AG294+($L294)*Summary_LCIA!X$32</f>
        <v>22.388019027134931</v>
      </c>
      <c r="BC294" s="16">
        <f>$W294*AH294+($L294)*Summary_LCIA!Y$32</f>
        <v>1.1108965288542552</v>
      </c>
      <c r="BD294" s="16">
        <f>$W294*AI294+($L294)*Summary_LCIA!Z$32</f>
        <v>0.4999801182400419</v>
      </c>
      <c r="BE294" s="16">
        <f>$W294*AJ294+($L294)*Summary_LCIA!AA$32</f>
        <v>2.7697205601132771</v>
      </c>
      <c r="BF294" s="16">
        <f>$W294*AK294+($L294)*Summary_LCIA!AB$32</f>
        <v>0.10937477944732341</v>
      </c>
      <c r="BG294" s="16">
        <f>$W294*AL294+($L294)*Summary_LCIA!AC$32</f>
        <v>5.5840503290211929E-5</v>
      </c>
      <c r="BH294" s="16">
        <f>$W294*AM294+($L294)*Summary_LCIA!AD$32</f>
        <v>0.16774353043333676</v>
      </c>
      <c r="BI294" s="16">
        <f>$W294*AN294+($L294)*Summary_LCIA!AE$32</f>
        <v>0.44876450823209196</v>
      </c>
      <c r="BJ294" s="16">
        <f>$W294*AO294+($L294)*Summary_LCIA!AF$32</f>
        <v>4.6679130421492548E-2</v>
      </c>
      <c r="BK294" s="16">
        <f>$W294*AP294+($L294)*Summary_LCIA!AG$32</f>
        <v>8.9146879364925494E-3</v>
      </c>
      <c r="BL294" s="16">
        <f>$W294*AQ294+($L294)*Summary_LCIA!AH$32</f>
        <v>1.2712956737327863</v>
      </c>
      <c r="BM294" s="16">
        <f>$W294*AR294+($L294)*Summary_LCIA!AI$32</f>
        <v>0.43060678438473249</v>
      </c>
      <c r="BN294" s="16"/>
    </row>
    <row r="295" spans="1:66" x14ac:dyDescent="0.25">
      <c r="A295" s="159">
        <v>252</v>
      </c>
      <c r="B295" s="159">
        <v>6</v>
      </c>
      <c r="C295" s="45">
        <v>34.029510999999999</v>
      </c>
      <c r="D295" s="45">
        <v>-118.28482</v>
      </c>
      <c r="E295" s="45" t="s">
        <v>265</v>
      </c>
      <c r="F295" s="159">
        <v>3</v>
      </c>
      <c r="G295" s="45" t="s">
        <v>565</v>
      </c>
      <c r="H295" s="45" t="s">
        <v>710</v>
      </c>
      <c r="I295" s="45">
        <v>33.941589</v>
      </c>
      <c r="J295" s="45">
        <v>-118.40853</v>
      </c>
      <c r="K295" s="45">
        <v>18.890506299999998</v>
      </c>
      <c r="L295" s="45">
        <v>28.658000000000001</v>
      </c>
      <c r="M295" s="45" t="s">
        <v>617</v>
      </c>
      <c r="N295" s="159">
        <v>5</v>
      </c>
      <c r="O295" s="159">
        <v>6</v>
      </c>
      <c r="P295" s="45" t="s">
        <v>565</v>
      </c>
      <c r="Q295" s="45" t="s">
        <v>564</v>
      </c>
      <c r="R295" s="45">
        <v>41.98028</v>
      </c>
      <c r="S295" s="45">
        <v>-87.908997900000003</v>
      </c>
      <c r="T295" s="45">
        <v>3248.5839999999998</v>
      </c>
      <c r="U295" s="45" t="s">
        <v>617</v>
      </c>
      <c r="V295" s="45" t="s">
        <v>569</v>
      </c>
      <c r="W295" s="45" cm="1">
        <f t="array" ref="W295">getDistance(R295,S295,I295,J295)*SA!$B$12</f>
        <v>2808.044346009553</v>
      </c>
      <c r="Y295" s="16">
        <f>Transportation_LCIA!C$61*($W295^Transportation_LCIA!C$60)+Transportation_LCIA!C$62</f>
        <v>0.16388081404345767</v>
      </c>
      <c r="Z295" s="16">
        <f>Transportation_LCIA!D$61*($W295^Transportation_LCIA!D$60)+Transportation_LCIA!D$62</f>
        <v>1.6009997578719011</v>
      </c>
      <c r="AA295" s="16">
        <f>Transportation_LCIA!E$61*($W295^Transportation_LCIA!E$60)+Transportation_LCIA!E$62</f>
        <v>6.0507581242083726E-4</v>
      </c>
      <c r="AB295" s="16">
        <f>Transportation_LCIA!F$61*($W295^Transportation_LCIA!F$60)+Transportation_LCIA!F$62</f>
        <v>0.16388081404345767</v>
      </c>
      <c r="AC295" s="16">
        <f>Transportation_LCIA!G$61*($W295^Transportation_LCIA!G$60)+Transportation_LCIA!G$62</f>
        <v>3.7591261565214959E-2</v>
      </c>
      <c r="AD295" s="16">
        <f>Transportation_LCIA!H$61*($W295^Transportation_LCIA!H$60)+Transportation_LCIA!H$62</f>
        <v>1.5947279259780371E-4</v>
      </c>
      <c r="AE295" s="16">
        <f>Transportation_LCIA!I$61*($W295^Transportation_LCIA!I$60)+Transportation_LCIA!I$62</f>
        <v>3.0162454548293477E-6</v>
      </c>
      <c r="AF295" s="16">
        <f>Transportation_LCIA!J$61*($W295^Transportation_LCIA!J$60)+Transportation_LCIA!J$62</f>
        <v>4.4847397131231427E-3</v>
      </c>
      <c r="AG295" s="16">
        <f>Transportation_LCIA!K$61*($W295^Transportation_LCIA!K$60)+Transportation_LCIA!K$62</f>
        <v>7.6421199636790994E-3</v>
      </c>
      <c r="AH295" s="16">
        <f>Transportation_LCIA!L$61*($W295^Transportation_LCIA!L$60)+Transportation_LCIA!L$62</f>
        <v>1.3254190748420889E-4</v>
      </c>
      <c r="AI295" s="16">
        <f>Transportation_LCIA!M$61*($W295^Transportation_LCIA!M$60)+Transportation_LCIA!M$62</f>
        <v>1.7889560498632459E-4</v>
      </c>
      <c r="AJ295" s="16">
        <f>Transportation_LCIA!N$61*($W295^Transportation_LCIA!N$60)+Transportation_LCIA!N$62</f>
        <v>5.9485719966369515E-4</v>
      </c>
      <c r="AK295" s="16">
        <f>Transportation_LCIA!O$61*($W295^Transportation_LCIA!O$60)+Transportation_LCIA!O$62</f>
        <v>3.962023323934112E-5</v>
      </c>
      <c r="AL295" s="16">
        <f>Transportation_LCIA!P$61*($W295^Transportation_LCIA!P$60)+Transportation_LCIA!P$62</f>
        <v>1.9203987779009763E-8</v>
      </c>
      <c r="AM295" s="16">
        <f>Transportation_LCIA!Q$61*($W295^Transportation_LCIA!Q$60)+Transportation_LCIA!Q$62</f>
        <v>5.3093638090161033E-5</v>
      </c>
      <c r="AN295" s="16">
        <f>Transportation_LCIA!R$61*($W295^Transportation_LCIA!R$60)+Transportation_LCIA!R$62</f>
        <v>1.4553781451220551E-4</v>
      </c>
      <c r="AO295" s="16">
        <f>Transportation_LCIA!S$61*($W295^Transportation_LCIA!S$60)+Transportation_LCIA!S$62</f>
        <v>2.3214416400991475E-6</v>
      </c>
      <c r="AP295" s="16">
        <f>Transportation_LCIA!T$61*($W295^Transportation_LCIA!T$60)+Transportation_LCIA!T$62</f>
        <v>2.3214416400991475E-6</v>
      </c>
      <c r="AQ295" s="16">
        <f>Transportation_LCIA!U$61*($W295^Transportation_LCIA!U$60)+Transportation_LCIA!U$62</f>
        <v>3.0683774667491137E-4</v>
      </c>
      <c r="AR295" s="16">
        <f>Transportation_LCIA!V$61*($W295^Transportation_LCIA!V$60)+Transportation_LCIA!V$62</f>
        <v>1.3840663748097273E-4</v>
      </c>
      <c r="AT295" s="16">
        <f>$W295*Y295+($L295)*Summary_LCIA!H$32</f>
        <v>469.92258169417426</v>
      </c>
      <c r="AU295" s="16">
        <f>$W295*Z295+($L295)*Summary_LCIA!Q$32</f>
        <v>4637.7088113637692</v>
      </c>
      <c r="AV295" s="16">
        <f>$W295*AA295+($L295)*Summary_LCIA!R$32</f>
        <v>1.849981278775469</v>
      </c>
      <c r="AW295" s="16">
        <f>$W295*AB295+($L295)*Summary_LCIA!S$32</f>
        <v>469.79591333417426</v>
      </c>
      <c r="AX295" s="16">
        <f>$W295*AC295+($L295)*Summary_LCIA!T$32</f>
        <v>108.70744369756808</v>
      </c>
      <c r="AY295" s="16">
        <f>$W295*AD295+($L295)*Summary_LCIA!U$32</f>
        <v>0.96118608559661678</v>
      </c>
      <c r="AZ295" s="16">
        <f>$W295*AE295+($L295)*Summary_LCIA!V$32</f>
        <v>9.8384857336105622E-3</v>
      </c>
      <c r="BA295" s="16">
        <f>$W295*AF295+($L295)*Summary_LCIA!W$32</f>
        <v>14.799182912759946</v>
      </c>
      <c r="BB295" s="16">
        <f>$W295*AG295+($L295)*Summary_LCIA!X$32</f>
        <v>22.112240995535824</v>
      </c>
      <c r="BC295" s="16">
        <f>$W295*AH295+($L295)*Summary_LCIA!Y$32</f>
        <v>0.81873250992035407</v>
      </c>
      <c r="BD295" s="16">
        <f>$W295*AI295+($L295)*Summary_LCIA!Z$32</f>
        <v>0.50352202802980717</v>
      </c>
      <c r="BE295" s="16">
        <f>$W295*AJ295+($L295)*Summary_LCIA!AA$32</f>
        <v>2.3397216441987148</v>
      </c>
      <c r="BF295" s="16">
        <f>$W295*AK295+($L295)*Summary_LCIA!AB$32</f>
        <v>0.11062996840131159</v>
      </c>
      <c r="BG295" s="16">
        <f>$W295*AL295+($L295)*Summary_LCIA!AC$32</f>
        <v>5.5326566975684919E-5</v>
      </c>
      <c r="BH295" s="16">
        <f>$W295*AM295+($L295)*Summary_LCIA!AD$32</f>
        <v>0.16086887456815413</v>
      </c>
      <c r="BI295" s="16">
        <f>$W295*AN295+($L295)*Summary_LCIA!AE$32</f>
        <v>0.43407135071158576</v>
      </c>
      <c r="BJ295" s="16">
        <f>$W295*AO295+($L295)*Summary_LCIA!AF$32</f>
        <v>3.0746757432071555E-2</v>
      </c>
      <c r="BK295" s="16">
        <f>$W295*AP295+($L295)*Summary_LCIA!AG$32</f>
        <v>7.9849976420715545E-3</v>
      </c>
      <c r="BL295" s="16">
        <f>$W295*AQ295+($L295)*Summary_LCIA!AH$32</f>
        <v>1.1110417684927965</v>
      </c>
      <c r="BM295" s="16">
        <f>$W295*AR295+($L295)*Summary_LCIA!AI$32</f>
        <v>0.41534833572863938</v>
      </c>
      <c r="BN295" s="16"/>
    </row>
    <row r="296" spans="1:66" x14ac:dyDescent="0.25">
      <c r="A296" s="159">
        <v>325</v>
      </c>
      <c r="B296" s="159">
        <v>6</v>
      </c>
      <c r="C296" s="45">
        <v>38.581572000000001</v>
      </c>
      <c r="D296" s="45">
        <v>-121.4944</v>
      </c>
      <c r="E296" s="45" t="s">
        <v>265</v>
      </c>
      <c r="F296" s="159">
        <v>100</v>
      </c>
      <c r="G296" s="45" t="s">
        <v>280</v>
      </c>
      <c r="H296" s="45" t="s">
        <v>627</v>
      </c>
      <c r="I296" s="45">
        <v>38.695084999999999</v>
      </c>
      <c r="J296" s="45">
        <v>-121.590065</v>
      </c>
      <c r="K296" s="45">
        <v>32.424409709999999</v>
      </c>
      <c r="L296" s="45">
        <v>18.324999999999999</v>
      </c>
      <c r="M296" s="45" t="s">
        <v>617</v>
      </c>
      <c r="N296" s="159">
        <v>5</v>
      </c>
      <c r="O296" s="159">
        <v>6</v>
      </c>
      <c r="P296" s="45" t="s">
        <v>565</v>
      </c>
      <c r="Q296" s="45" t="s">
        <v>564</v>
      </c>
      <c r="R296" s="45">
        <v>41.98028</v>
      </c>
      <c r="S296" s="45">
        <v>-87.908997900000003</v>
      </c>
      <c r="T296" s="45">
        <v>3282.4870000000001</v>
      </c>
      <c r="U296" s="45" t="s">
        <v>617</v>
      </c>
      <c r="V296" s="45" t="s">
        <v>569</v>
      </c>
      <c r="W296" s="45" cm="1">
        <f t="array" ref="W296">getDistance(R296,S296,I296,J296)*SA!$B$12</f>
        <v>2866.5708095408991</v>
      </c>
      <c r="Y296" s="16">
        <f>Transportation_LCIA!C$61*($W296^Transportation_LCIA!C$60)+Transportation_LCIA!C$62</f>
        <v>0.16298870690602826</v>
      </c>
      <c r="Z296" s="16">
        <f>Transportation_LCIA!D$61*($W296^Transportation_LCIA!D$60)+Transportation_LCIA!D$62</f>
        <v>1.5910516106221975</v>
      </c>
      <c r="AA296" s="16">
        <f>Transportation_LCIA!E$61*($W296^Transportation_LCIA!E$60)+Transportation_LCIA!E$62</f>
        <v>5.9861809437385593E-4</v>
      </c>
      <c r="AB296" s="16">
        <f>Transportation_LCIA!F$61*($W296^Transportation_LCIA!F$60)+Transportation_LCIA!F$62</f>
        <v>0.16298870690602826</v>
      </c>
      <c r="AC296" s="16">
        <f>Transportation_LCIA!G$61*($W296^Transportation_LCIA!G$60)+Transportation_LCIA!G$62</f>
        <v>3.7360492548125707E-2</v>
      </c>
      <c r="AD296" s="16">
        <f>Transportation_LCIA!H$61*($W296^Transportation_LCIA!H$60)+Transportation_LCIA!H$62</f>
        <v>1.5808826755310093E-4</v>
      </c>
      <c r="AE296" s="16">
        <f>Transportation_LCIA!I$61*($W296^Transportation_LCIA!I$60)+Transportation_LCIA!I$62</f>
        <v>2.9827806887960309E-6</v>
      </c>
      <c r="AF296" s="16">
        <f>Transportation_LCIA!J$61*($W296^Transportation_LCIA!J$60)+Transportation_LCIA!J$62</f>
        <v>4.4362081875416477E-3</v>
      </c>
      <c r="AG296" s="16">
        <f>Transportation_LCIA!K$61*($W296^Transportation_LCIA!K$60)+Transportation_LCIA!K$62</f>
        <v>7.5894740986676233E-3</v>
      </c>
      <c r="AH296" s="16">
        <f>Transportation_LCIA!L$61*($W296^Transportation_LCIA!L$60)+Transportation_LCIA!L$62</f>
        <v>1.3128371273567904E-4</v>
      </c>
      <c r="AI296" s="16">
        <f>Transportation_LCIA!M$61*($W296^Transportation_LCIA!M$60)+Transportation_LCIA!M$62</f>
        <v>1.7813254821628225E-4</v>
      </c>
      <c r="AJ296" s="16">
        <f>Transportation_LCIA!N$61*($W296^Transportation_LCIA!N$60)+Transportation_LCIA!N$62</f>
        <v>5.9018713209969017E-4</v>
      </c>
      <c r="AK296" s="16">
        <f>Transportation_LCIA!O$61*($W296^Transportation_LCIA!O$60)+Transportation_LCIA!O$62</f>
        <v>3.9375317661392519E-5</v>
      </c>
      <c r="AL296" s="16">
        <f>Transportation_LCIA!P$61*($W296^Transportation_LCIA!P$60)+Transportation_LCIA!P$62</f>
        <v>1.9085836103610033E-8</v>
      </c>
      <c r="AM296" s="16">
        <f>Transportation_LCIA!Q$61*($W296^Transportation_LCIA!Q$60)+Transportation_LCIA!Q$62</f>
        <v>5.2604740279553396E-5</v>
      </c>
      <c r="AN296" s="16">
        <f>Transportation_LCIA!R$61*($W296^Transportation_LCIA!R$60)+Transportation_LCIA!R$62</f>
        <v>1.4393465574244195E-4</v>
      </c>
      <c r="AO296" s="16">
        <f>Transportation_LCIA!S$61*($W296^Transportation_LCIA!S$60)+Transportation_LCIA!S$62</f>
        <v>2.2986479609562805E-6</v>
      </c>
      <c r="AP296" s="16">
        <f>Transportation_LCIA!T$61*($W296^Transportation_LCIA!T$60)+Transportation_LCIA!T$62</f>
        <v>2.2986479609562805E-6</v>
      </c>
      <c r="AQ296" s="16">
        <f>Transportation_LCIA!U$61*($W296^Transportation_LCIA!U$60)+Transportation_LCIA!U$62</f>
        <v>3.03349000821717E-4</v>
      </c>
      <c r="AR296" s="16">
        <f>Transportation_LCIA!V$61*($W296^Transportation_LCIA!V$60)+Transportation_LCIA!V$62</f>
        <v>1.3714496014112509E-4</v>
      </c>
      <c r="AT296" s="16">
        <f>$W296*Y296+($L296)*Summary_LCIA!H$32</f>
        <v>473.44550450163774</v>
      </c>
      <c r="AU296" s="16">
        <f>$W296*Z296+($L296)*Summary_LCIA!Q$32</f>
        <v>4651.6817276673492</v>
      </c>
      <c r="AV296" s="16">
        <f>$W296*AA296+($L296)*Summary_LCIA!R$32</f>
        <v>1.8124732753950945</v>
      </c>
      <c r="AW296" s="16">
        <f>$W296*AB296+($L296)*Summary_LCIA!S$32</f>
        <v>473.36450800163777</v>
      </c>
      <c r="AX296" s="16">
        <f>$W296*AC296+($L296)*Summary_LCIA!T$32</f>
        <v>109.11041486852744</v>
      </c>
      <c r="AY296" s="16">
        <f>$W296*AD296+($L296)*Summary_LCIA!U$32</f>
        <v>0.78144526309861073</v>
      </c>
      <c r="AZ296" s="16">
        <f>$W296*AE296+($L296)*Summary_LCIA!V$32</f>
        <v>9.4255723787649986E-3</v>
      </c>
      <c r="BA296" s="16">
        <f>$W296*AF296+($L296)*Summary_LCIA!W$32</f>
        <v>14.127198470453227</v>
      </c>
      <c r="BB296" s="16">
        <f>$W296*AG296+($L296)*Summary_LCIA!X$32</f>
        <v>22.173208411007334</v>
      </c>
      <c r="BC296" s="16">
        <f>$W296*AH296+($L296)*Summary_LCIA!Y$32</f>
        <v>0.66187420869625035</v>
      </c>
      <c r="BD296" s="16">
        <f>$W296*AI296+($L296)*Summary_LCIA!Z$32</f>
        <v>0.51138105287093139</v>
      </c>
      <c r="BE296" s="16">
        <f>$W296*AJ296+($L296)*Summary_LCIA!AA$32</f>
        <v>2.1198119050436302</v>
      </c>
      <c r="BF296" s="16">
        <f>$W296*AK296+($L296)*Summary_LCIA!AB$32</f>
        <v>0.11247222974954801</v>
      </c>
      <c r="BG296" s="16">
        <f>$W296*AL296+($L296)*Summary_LCIA!AC$32</f>
        <v>5.5606699950290331E-5</v>
      </c>
      <c r="BH296" s="16">
        <f>$W296*AM296+($L296)*Summary_LCIA!AD$32</f>
        <v>0.15832752092884811</v>
      </c>
      <c r="BI296" s="16">
        <f>$W296*AN296+($L296)*Summary_LCIA!AE$32</f>
        <v>0.4288372148826024</v>
      </c>
      <c r="BJ296" s="16">
        <f>$W296*AO296+($L296)*Summary_LCIA!AF$32</f>
        <v>2.2081558646287983E-2</v>
      </c>
      <c r="BK296" s="16">
        <f>$W296*AP296+($L296)*Summary_LCIA!AG$32</f>
        <v>7.5268357712879822E-3</v>
      </c>
      <c r="BL296" s="16">
        <f>$W296*AQ296+($L296)*Summary_LCIA!AH$32</f>
        <v>1.0290648608589321</v>
      </c>
      <c r="BM296" s="16">
        <f>$W296*AR296+($L296)*Summary_LCIA!AI$32</f>
        <v>0.41020639316619928</v>
      </c>
      <c r="BN296" s="16"/>
    </row>
    <row r="297" spans="1:66" x14ac:dyDescent="0.25">
      <c r="A297" s="159">
        <v>322</v>
      </c>
      <c r="B297" s="159">
        <v>6</v>
      </c>
      <c r="C297" s="45">
        <v>47.479692999999997</v>
      </c>
      <c r="D297" s="45">
        <v>-122.207922</v>
      </c>
      <c r="E297" s="45" t="s">
        <v>265</v>
      </c>
      <c r="F297" s="159">
        <v>29</v>
      </c>
      <c r="G297" s="45" t="s">
        <v>565</v>
      </c>
      <c r="H297" s="45" t="s">
        <v>719</v>
      </c>
      <c r="I297" s="45">
        <v>47.450249999999997</v>
      </c>
      <c r="J297" s="45">
        <v>-122.308817</v>
      </c>
      <c r="K297" s="45">
        <v>8.295129287</v>
      </c>
      <c r="L297" s="45">
        <v>11.608000000000001</v>
      </c>
      <c r="M297" s="45" t="s">
        <v>617</v>
      </c>
      <c r="N297" s="159">
        <v>5</v>
      </c>
      <c r="O297" s="159">
        <v>6</v>
      </c>
      <c r="P297" s="45" t="s">
        <v>565</v>
      </c>
      <c r="Q297" s="45" t="s">
        <v>564</v>
      </c>
      <c r="R297" s="45">
        <v>41.98028</v>
      </c>
      <c r="S297" s="45">
        <v>-87.908997900000003</v>
      </c>
      <c r="T297" s="45">
        <v>3298.1019999999999</v>
      </c>
      <c r="U297" s="45" t="s">
        <v>617</v>
      </c>
      <c r="V297" s="45" t="s">
        <v>569</v>
      </c>
      <c r="W297" s="45" cm="1">
        <f t="array" ref="W297">getDistance(R297,S297,I297,J297)*SA!$B$12</f>
        <v>2768.8687134525744</v>
      </c>
      <c r="Y297" s="16">
        <f>Transportation_LCIA!C$61*($W297^Transportation_LCIA!C$60)+Transportation_LCIA!C$62</f>
        <v>0.16449730754705144</v>
      </c>
      <c r="Z297" s="16">
        <f>Transportation_LCIA!D$61*($W297^Transportation_LCIA!D$60)+Transportation_LCIA!D$62</f>
        <v>1.607879629086141</v>
      </c>
      <c r="AA297" s="16">
        <f>Transportation_LCIA!E$61*($W297^Transportation_LCIA!E$60)+Transportation_LCIA!E$62</f>
        <v>6.0954274059017775E-4</v>
      </c>
      <c r="AB297" s="16">
        <f>Transportation_LCIA!F$61*($W297^Transportation_LCIA!F$60)+Transportation_LCIA!F$62</f>
        <v>0.16449730754705144</v>
      </c>
      <c r="AC297" s="16">
        <f>Transportation_LCIA!G$61*($W297^Transportation_LCIA!G$60)+Transportation_LCIA!G$62</f>
        <v>3.7750848214414753E-2</v>
      </c>
      <c r="AD297" s="16">
        <f>Transportation_LCIA!H$61*($W297^Transportation_LCIA!H$60)+Transportation_LCIA!H$62</f>
        <v>1.6043089519440367E-4</v>
      </c>
      <c r="AE297" s="16">
        <f>Transportation_LCIA!I$61*($W297^Transportation_LCIA!I$60)+Transportation_LCIA!I$62</f>
        <v>3.0394189214429766E-6</v>
      </c>
      <c r="AF297" s="16">
        <f>Transportation_LCIA!J$61*($W297^Transportation_LCIA!J$60)+Transportation_LCIA!J$62</f>
        <v>4.5183612782229779E-3</v>
      </c>
      <c r="AG297" s="16">
        <f>Transportation_LCIA!K$61*($W297^Transportation_LCIA!K$60)+Transportation_LCIA!K$62</f>
        <v>7.678540665617406E-3</v>
      </c>
      <c r="AH297" s="16">
        <f>Transportation_LCIA!L$61*($W297^Transportation_LCIA!L$60)+Transportation_LCIA!L$62</f>
        <v>1.334127552124456E-4</v>
      </c>
      <c r="AI297" s="16">
        <f>Transportation_LCIA!M$61*($W297^Transportation_LCIA!M$60)+Transportation_LCIA!M$62</f>
        <v>1.7942365848941578E-4</v>
      </c>
      <c r="AJ297" s="16">
        <f>Transportation_LCIA!N$61*($W297^Transportation_LCIA!N$60)+Transportation_LCIA!N$62</f>
        <v>5.9808875173019706E-4</v>
      </c>
      <c r="AK297" s="16">
        <f>Transportation_LCIA!O$61*($W297^Transportation_LCIA!O$60)+Transportation_LCIA!O$62</f>
        <v>3.9789606340763481E-5</v>
      </c>
      <c r="AL297" s="16">
        <f>Transportation_LCIA!P$61*($W297^Transportation_LCIA!P$60)+Transportation_LCIA!P$62</f>
        <v>1.928569183631254E-8</v>
      </c>
      <c r="AM297" s="16">
        <f>Transportation_LCIA!Q$61*($W297^Transportation_LCIA!Q$60)+Transportation_LCIA!Q$62</f>
        <v>5.3432059025234691E-5</v>
      </c>
      <c r="AN297" s="16">
        <f>Transportation_LCIA!R$61*($W297^Transportation_LCIA!R$60)+Transportation_LCIA!R$62</f>
        <v>1.4664797765435097E-4</v>
      </c>
      <c r="AO297" s="16">
        <f>Transportation_LCIA!S$61*($W297^Transportation_LCIA!S$60)+Transportation_LCIA!S$62</f>
        <v>2.337225442173834E-6</v>
      </c>
      <c r="AP297" s="16">
        <f>Transportation_LCIA!T$61*($W297^Transportation_LCIA!T$60)+Transportation_LCIA!T$62</f>
        <v>2.337225442173834E-6</v>
      </c>
      <c r="AQ297" s="16">
        <f>Transportation_LCIA!U$61*($W297^Transportation_LCIA!U$60)+Transportation_LCIA!U$62</f>
        <v>3.0925395840693005E-4</v>
      </c>
      <c r="AR297" s="16">
        <f>Transportation_LCIA!V$61*($W297^Transportation_LCIA!V$60)+Transportation_LCIA!V$62</f>
        <v>1.3928010182503176E-4</v>
      </c>
      <c r="AT297" s="16">
        <f>$W297*Y297+($L297)*Summary_LCIA!H$32</f>
        <v>459.4158467142168</v>
      </c>
      <c r="AU297" s="16">
        <f>$W297*Z297+($L297)*Summary_LCIA!Q$32</f>
        <v>4509.5374334006101</v>
      </c>
      <c r="AV297" s="16">
        <f>$W297*AA297+($L297)*Summary_LCIA!R$32</f>
        <v>1.7488669087322817</v>
      </c>
      <c r="AW297" s="16">
        <f>$W297*AB297+($L297)*Summary_LCIA!S$32</f>
        <v>459.36453935421679</v>
      </c>
      <c r="AX297" s="16">
        <f>$W297*AC297+($L297)*Summary_LCIA!T$32</f>
        <v>105.80286172718999</v>
      </c>
      <c r="AY297" s="16">
        <f>$W297*AD297+($L297)*Summary_LCIA!U$32</f>
        <v>0.65215779837497334</v>
      </c>
      <c r="AZ297" s="16">
        <f>$W297*AE297+($L297)*Summary_LCIA!V$32</f>
        <v>8.9701616466592252E-3</v>
      </c>
      <c r="BA297" s="16">
        <f>$W297*AF297+($L297)*Summary_LCIA!W$32</f>
        <v>13.404228547347186</v>
      </c>
      <c r="BB297" s="16">
        <f>$W297*AG297+($L297)*Summary_LCIA!X$32</f>
        <v>21.525301254001342</v>
      </c>
      <c r="BC297" s="16">
        <f>$W297*AH297+($L297)*Summary_LCIA!Y$32</f>
        <v>0.55027825988324752</v>
      </c>
      <c r="BD297" s="16">
        <f>$W297*AI297+($L297)*Summary_LCIA!Z$32</f>
        <v>0.49727658691654275</v>
      </c>
      <c r="BE297" s="16">
        <f>$W297*AJ297+($L297)*Summary_LCIA!AA$32</f>
        <v>1.9271456805336471</v>
      </c>
      <c r="BF297" s="16">
        <f>$W297*AK297+($L297)*Summary_LCIA!AB$32</f>
        <v>0.10991887473353418</v>
      </c>
      <c r="BG297" s="16">
        <f>$W297*AL297+($L297)*Summary_LCIA!AC$32</f>
        <v>5.3966994214853523E-5</v>
      </c>
      <c r="BH297" s="16">
        <f>$W297*AM297+($L297)*Summary_LCIA!AD$32</f>
        <v>0.1527177088503236</v>
      </c>
      <c r="BI297" s="16">
        <f>$W297*AN297+($L297)*Summary_LCIA!AE$32</f>
        <v>0.41633519425822463</v>
      </c>
      <c r="BJ297" s="16">
        <f>$W297*AO297+($L297)*Summary_LCIA!AF$32</f>
        <v>1.6285105763120492E-2</v>
      </c>
      <c r="BK297" s="16">
        <f>$W297*AP297+($L297)*Summary_LCIA!AG$32</f>
        <v>7.0653937231204885E-3</v>
      </c>
      <c r="BL297" s="16">
        <f>$W297*AQ297+($L297)*Summary_LCIA!AH$32</f>
        <v>0.95731499874431236</v>
      </c>
      <c r="BM297" s="16">
        <f>$W297*AR297+($L297)*Summary_LCIA!AI$32</f>
        <v>0.39646174874981921</v>
      </c>
      <c r="BN297" s="16"/>
    </row>
    <row r="298" spans="1:66" x14ac:dyDescent="0.25">
      <c r="A298" s="159">
        <v>336</v>
      </c>
      <c r="B298" s="159">
        <v>6</v>
      </c>
      <c r="C298" s="45">
        <v>47.606209</v>
      </c>
      <c r="D298" s="45">
        <v>-122.332071</v>
      </c>
      <c r="E298" s="45" t="s">
        <v>265</v>
      </c>
      <c r="F298" s="159">
        <v>29</v>
      </c>
      <c r="G298" s="45" t="s">
        <v>565</v>
      </c>
      <c r="H298" s="45" t="s">
        <v>719</v>
      </c>
      <c r="I298" s="45">
        <v>47.450249999999997</v>
      </c>
      <c r="J298" s="45">
        <v>-122.308817</v>
      </c>
      <c r="K298" s="45">
        <v>34.697320689999998</v>
      </c>
      <c r="L298" s="45">
        <v>22.074999999999999</v>
      </c>
      <c r="M298" s="45" t="s">
        <v>617</v>
      </c>
      <c r="N298" s="159">
        <v>5</v>
      </c>
      <c r="O298" s="159">
        <v>6</v>
      </c>
      <c r="P298" s="45" t="s">
        <v>565</v>
      </c>
      <c r="Q298" s="45" t="s">
        <v>564</v>
      </c>
      <c r="R298" s="45">
        <v>41.98028</v>
      </c>
      <c r="S298" s="45">
        <v>-87.908997900000003</v>
      </c>
      <c r="T298" s="45">
        <v>3299.518</v>
      </c>
      <c r="U298" s="45" t="s">
        <v>617</v>
      </c>
      <c r="V298" s="45" t="s">
        <v>569</v>
      </c>
      <c r="W298" s="45" cm="1">
        <f t="array" ref="W298">getDistance(R298,S298,I298,J298)*SA!$B$12</f>
        <v>2768.8687134525744</v>
      </c>
      <c r="Y298" s="16">
        <f>Transportation_LCIA!C$61*($W298^Transportation_LCIA!C$60)+Transportation_LCIA!C$62</f>
        <v>0.16449730754705144</v>
      </c>
      <c r="Z298" s="16">
        <f>Transportation_LCIA!D$61*($W298^Transportation_LCIA!D$60)+Transportation_LCIA!D$62</f>
        <v>1.607879629086141</v>
      </c>
      <c r="AA298" s="16">
        <f>Transportation_LCIA!E$61*($W298^Transportation_LCIA!E$60)+Transportation_LCIA!E$62</f>
        <v>6.0954274059017775E-4</v>
      </c>
      <c r="AB298" s="16">
        <f>Transportation_LCIA!F$61*($W298^Transportation_LCIA!F$60)+Transportation_LCIA!F$62</f>
        <v>0.16449730754705144</v>
      </c>
      <c r="AC298" s="16">
        <f>Transportation_LCIA!G$61*($W298^Transportation_LCIA!G$60)+Transportation_LCIA!G$62</f>
        <v>3.7750848214414753E-2</v>
      </c>
      <c r="AD298" s="16">
        <f>Transportation_LCIA!H$61*($W298^Transportation_LCIA!H$60)+Transportation_LCIA!H$62</f>
        <v>1.6043089519440367E-4</v>
      </c>
      <c r="AE298" s="16">
        <f>Transportation_LCIA!I$61*($W298^Transportation_LCIA!I$60)+Transportation_LCIA!I$62</f>
        <v>3.0394189214429766E-6</v>
      </c>
      <c r="AF298" s="16">
        <f>Transportation_LCIA!J$61*($W298^Transportation_LCIA!J$60)+Transportation_LCIA!J$62</f>
        <v>4.5183612782229779E-3</v>
      </c>
      <c r="AG298" s="16">
        <f>Transportation_LCIA!K$61*($W298^Transportation_LCIA!K$60)+Transportation_LCIA!K$62</f>
        <v>7.678540665617406E-3</v>
      </c>
      <c r="AH298" s="16">
        <f>Transportation_LCIA!L$61*($W298^Transportation_LCIA!L$60)+Transportation_LCIA!L$62</f>
        <v>1.334127552124456E-4</v>
      </c>
      <c r="AI298" s="16">
        <f>Transportation_LCIA!M$61*($W298^Transportation_LCIA!M$60)+Transportation_LCIA!M$62</f>
        <v>1.7942365848941578E-4</v>
      </c>
      <c r="AJ298" s="16">
        <f>Transportation_LCIA!N$61*($W298^Transportation_LCIA!N$60)+Transportation_LCIA!N$62</f>
        <v>5.9808875173019706E-4</v>
      </c>
      <c r="AK298" s="16">
        <f>Transportation_LCIA!O$61*($W298^Transportation_LCIA!O$60)+Transportation_LCIA!O$62</f>
        <v>3.9789606340763481E-5</v>
      </c>
      <c r="AL298" s="16">
        <f>Transportation_LCIA!P$61*($W298^Transportation_LCIA!P$60)+Transportation_LCIA!P$62</f>
        <v>1.928569183631254E-8</v>
      </c>
      <c r="AM298" s="16">
        <f>Transportation_LCIA!Q$61*($W298^Transportation_LCIA!Q$60)+Transportation_LCIA!Q$62</f>
        <v>5.3432059025234691E-5</v>
      </c>
      <c r="AN298" s="16">
        <f>Transportation_LCIA!R$61*($W298^Transportation_LCIA!R$60)+Transportation_LCIA!R$62</f>
        <v>1.4664797765435097E-4</v>
      </c>
      <c r="AO298" s="16">
        <f>Transportation_LCIA!S$61*($W298^Transportation_LCIA!S$60)+Transportation_LCIA!S$62</f>
        <v>2.337225442173834E-6</v>
      </c>
      <c r="AP298" s="16">
        <f>Transportation_LCIA!T$61*($W298^Transportation_LCIA!T$60)+Transportation_LCIA!T$62</f>
        <v>2.337225442173834E-6</v>
      </c>
      <c r="AQ298" s="16">
        <f>Transportation_LCIA!U$61*($W298^Transportation_LCIA!U$60)+Transportation_LCIA!U$62</f>
        <v>3.0925395840693005E-4</v>
      </c>
      <c r="AR298" s="16">
        <f>Transportation_LCIA!V$61*($W298^Transportation_LCIA!V$60)+Transportation_LCIA!V$62</f>
        <v>1.3928010182503176E-4</v>
      </c>
      <c r="AT298" s="16">
        <f>$W298*Y298+($L298)*Summary_LCIA!H$32</f>
        <v>462.97253331421678</v>
      </c>
      <c r="AU298" s="16">
        <f>$W298*Z298+($L298)*Summary_LCIA!Q$32</f>
        <v>4561.412413282821</v>
      </c>
      <c r="AV298" s="16">
        <f>$W298*AA298+($L298)*Summary_LCIA!R$32</f>
        <v>1.8039819439322817</v>
      </c>
      <c r="AW298" s="16">
        <f>$W298*AB298+($L298)*Summary_LCIA!S$32</f>
        <v>462.87496181421676</v>
      </c>
      <c r="AX298" s="16">
        <f>$W298*AC298+($L298)*Summary_LCIA!T$32</f>
        <v>106.95318502718999</v>
      </c>
      <c r="AY298" s="16">
        <f>$W298*AD298+($L298)*Summary_LCIA!U$32</f>
        <v>0.83966363637497321</v>
      </c>
      <c r="AZ298" s="16">
        <f>$W298*AE298+($L298)*Summary_LCIA!V$32</f>
        <v>9.4700760336592256E-3</v>
      </c>
      <c r="BA298" s="16">
        <f>$W298*AF298+($L298)*Summary_LCIA!W$32</f>
        <v>14.209884004347186</v>
      </c>
      <c r="BB298" s="16">
        <f>$W298*AG298+($L298)*Summary_LCIA!X$32</f>
        <v>21.763739514001344</v>
      </c>
      <c r="BC298" s="16">
        <f>$W298*AH298+($L298)*Summary_LCIA!Y$32</f>
        <v>0.71337505388324751</v>
      </c>
      <c r="BD298" s="16">
        <f>$W298*AI298+($L298)*Summary_LCIA!Z$32</f>
        <v>0.49770582811954273</v>
      </c>
      <c r="BE298" s="16">
        <f>$W298*AJ298+($L298)*Summary_LCIA!AA$32</f>
        <v>2.1716129325336468</v>
      </c>
      <c r="BF298" s="16">
        <f>$W298*AK298+($L298)*Summary_LCIA!AB$32</f>
        <v>0.10969045339253418</v>
      </c>
      <c r="BG298" s="16">
        <f>$W298*AL298+($L298)*Summary_LCIA!AC$32</f>
        <v>5.4478663042853521E-5</v>
      </c>
      <c r="BH298" s="16">
        <f>$W298*AM298+($L298)*Summary_LCIA!AD$32</f>
        <v>0.15702006453032358</v>
      </c>
      <c r="BI298" s="16">
        <f>$W298*AN298+($L298)*Summary_LCIA!AE$32</f>
        <v>0.4256103169682246</v>
      </c>
      <c r="BJ298" s="16">
        <f>$W298*AO298+($L298)*Summary_LCIA!AF$32</f>
        <v>2.513411690312049E-2</v>
      </c>
      <c r="BK298" s="16">
        <f>$W298*AP298+($L298)*Summary_LCIA!AG$32</f>
        <v>7.6009377781204885E-3</v>
      </c>
      <c r="BL298" s="16">
        <f>$W298*AQ298+($L298)*Summary_LCIA!AH$32</f>
        <v>1.0484155799443124</v>
      </c>
      <c r="BM298" s="16">
        <f>$W298*AR298+($L298)*Summary_LCIA!AI$32</f>
        <v>0.40621228259981923</v>
      </c>
      <c r="BN298" s="16"/>
    </row>
    <row r="299" spans="1:66" x14ac:dyDescent="0.25">
      <c r="A299" s="159">
        <v>340</v>
      </c>
      <c r="B299" s="159">
        <v>6</v>
      </c>
      <c r="C299" s="45">
        <v>47.606209</v>
      </c>
      <c r="D299" s="45">
        <v>-122.332071</v>
      </c>
      <c r="E299" s="45" t="s">
        <v>265</v>
      </c>
      <c r="F299" s="159">
        <v>29</v>
      </c>
      <c r="G299" s="45" t="s">
        <v>565</v>
      </c>
      <c r="H299" s="45" t="s">
        <v>719</v>
      </c>
      <c r="I299" s="45">
        <v>47.450249999999997</v>
      </c>
      <c r="J299" s="45">
        <v>-122.308817</v>
      </c>
      <c r="K299" s="45">
        <v>34.697320689999998</v>
      </c>
      <c r="L299" s="45">
        <v>22.074999999999999</v>
      </c>
      <c r="M299" s="45" t="s">
        <v>617</v>
      </c>
      <c r="N299" s="159">
        <v>5</v>
      </c>
      <c r="O299" s="159">
        <v>6</v>
      </c>
      <c r="P299" s="45" t="s">
        <v>565</v>
      </c>
      <c r="Q299" s="45" t="s">
        <v>564</v>
      </c>
      <c r="R299" s="45">
        <v>41.98028</v>
      </c>
      <c r="S299" s="45">
        <v>-87.908997900000003</v>
      </c>
      <c r="T299" s="45">
        <v>3299.518</v>
      </c>
      <c r="U299" s="45" t="s">
        <v>617</v>
      </c>
      <c r="V299" s="45" t="s">
        <v>569</v>
      </c>
      <c r="W299" s="45" cm="1">
        <f t="array" ref="W299">getDistance(R299,S299,I299,J299)*SA!$B$12</f>
        <v>2768.8687134525744</v>
      </c>
      <c r="Y299" s="16">
        <f>Transportation_LCIA!C$61*($W299^Transportation_LCIA!C$60)+Transportation_LCIA!C$62</f>
        <v>0.16449730754705144</v>
      </c>
      <c r="Z299" s="16">
        <f>Transportation_LCIA!D$61*($W299^Transportation_LCIA!D$60)+Transportation_LCIA!D$62</f>
        <v>1.607879629086141</v>
      </c>
      <c r="AA299" s="16">
        <f>Transportation_LCIA!E$61*($W299^Transportation_LCIA!E$60)+Transportation_LCIA!E$62</f>
        <v>6.0954274059017775E-4</v>
      </c>
      <c r="AB299" s="16">
        <f>Transportation_LCIA!F$61*($W299^Transportation_LCIA!F$60)+Transportation_LCIA!F$62</f>
        <v>0.16449730754705144</v>
      </c>
      <c r="AC299" s="16">
        <f>Transportation_LCIA!G$61*($W299^Transportation_LCIA!G$60)+Transportation_LCIA!G$62</f>
        <v>3.7750848214414753E-2</v>
      </c>
      <c r="AD299" s="16">
        <f>Transportation_LCIA!H$61*($W299^Transportation_LCIA!H$60)+Transportation_LCIA!H$62</f>
        <v>1.6043089519440367E-4</v>
      </c>
      <c r="AE299" s="16">
        <f>Transportation_LCIA!I$61*($W299^Transportation_LCIA!I$60)+Transportation_LCIA!I$62</f>
        <v>3.0394189214429766E-6</v>
      </c>
      <c r="AF299" s="16">
        <f>Transportation_LCIA!J$61*($W299^Transportation_LCIA!J$60)+Transportation_LCIA!J$62</f>
        <v>4.5183612782229779E-3</v>
      </c>
      <c r="AG299" s="16">
        <f>Transportation_LCIA!K$61*($W299^Transportation_LCIA!K$60)+Transportation_LCIA!K$62</f>
        <v>7.678540665617406E-3</v>
      </c>
      <c r="AH299" s="16">
        <f>Transportation_LCIA!L$61*($W299^Transportation_LCIA!L$60)+Transportation_LCIA!L$62</f>
        <v>1.334127552124456E-4</v>
      </c>
      <c r="AI299" s="16">
        <f>Transportation_LCIA!M$61*($W299^Transportation_LCIA!M$60)+Transportation_LCIA!M$62</f>
        <v>1.7942365848941578E-4</v>
      </c>
      <c r="AJ299" s="16">
        <f>Transportation_LCIA!N$61*($W299^Transportation_LCIA!N$60)+Transportation_LCIA!N$62</f>
        <v>5.9808875173019706E-4</v>
      </c>
      <c r="AK299" s="16">
        <f>Transportation_LCIA!O$61*($W299^Transportation_LCIA!O$60)+Transportation_LCIA!O$62</f>
        <v>3.9789606340763481E-5</v>
      </c>
      <c r="AL299" s="16">
        <f>Transportation_LCIA!P$61*($W299^Transportation_LCIA!P$60)+Transportation_LCIA!P$62</f>
        <v>1.928569183631254E-8</v>
      </c>
      <c r="AM299" s="16">
        <f>Transportation_LCIA!Q$61*($W299^Transportation_LCIA!Q$60)+Transportation_LCIA!Q$62</f>
        <v>5.3432059025234691E-5</v>
      </c>
      <c r="AN299" s="16">
        <f>Transportation_LCIA!R$61*($W299^Transportation_LCIA!R$60)+Transportation_LCIA!R$62</f>
        <v>1.4664797765435097E-4</v>
      </c>
      <c r="AO299" s="16">
        <f>Transportation_LCIA!S$61*($W299^Transportation_LCIA!S$60)+Transportation_LCIA!S$62</f>
        <v>2.337225442173834E-6</v>
      </c>
      <c r="AP299" s="16">
        <f>Transportation_LCIA!T$61*($W299^Transportation_LCIA!T$60)+Transportation_LCIA!T$62</f>
        <v>2.337225442173834E-6</v>
      </c>
      <c r="AQ299" s="16">
        <f>Transportation_LCIA!U$61*($W299^Transportation_LCIA!U$60)+Transportation_LCIA!U$62</f>
        <v>3.0925395840693005E-4</v>
      </c>
      <c r="AR299" s="16">
        <f>Transportation_LCIA!V$61*($W299^Transportation_LCIA!V$60)+Transportation_LCIA!V$62</f>
        <v>1.3928010182503176E-4</v>
      </c>
      <c r="AT299" s="16">
        <f>$W299*Y299+($L299)*Summary_LCIA!H$32</f>
        <v>462.97253331421678</v>
      </c>
      <c r="AU299" s="16">
        <f>$W299*Z299+($L299)*Summary_LCIA!Q$32</f>
        <v>4561.412413282821</v>
      </c>
      <c r="AV299" s="16">
        <f>$W299*AA299+($L299)*Summary_LCIA!R$32</f>
        <v>1.8039819439322817</v>
      </c>
      <c r="AW299" s="16">
        <f>$W299*AB299+($L299)*Summary_LCIA!S$32</f>
        <v>462.87496181421676</v>
      </c>
      <c r="AX299" s="16">
        <f>$W299*AC299+($L299)*Summary_LCIA!T$32</f>
        <v>106.95318502718999</v>
      </c>
      <c r="AY299" s="16">
        <f>$W299*AD299+($L299)*Summary_LCIA!U$32</f>
        <v>0.83966363637497321</v>
      </c>
      <c r="AZ299" s="16">
        <f>$W299*AE299+($L299)*Summary_LCIA!V$32</f>
        <v>9.4700760336592256E-3</v>
      </c>
      <c r="BA299" s="16">
        <f>$W299*AF299+($L299)*Summary_LCIA!W$32</f>
        <v>14.209884004347186</v>
      </c>
      <c r="BB299" s="16">
        <f>$W299*AG299+($L299)*Summary_LCIA!X$32</f>
        <v>21.763739514001344</v>
      </c>
      <c r="BC299" s="16">
        <f>$W299*AH299+($L299)*Summary_LCIA!Y$32</f>
        <v>0.71337505388324751</v>
      </c>
      <c r="BD299" s="16">
        <f>$W299*AI299+($L299)*Summary_LCIA!Z$32</f>
        <v>0.49770582811954273</v>
      </c>
      <c r="BE299" s="16">
        <f>$W299*AJ299+($L299)*Summary_LCIA!AA$32</f>
        <v>2.1716129325336468</v>
      </c>
      <c r="BF299" s="16">
        <f>$W299*AK299+($L299)*Summary_LCIA!AB$32</f>
        <v>0.10969045339253418</v>
      </c>
      <c r="BG299" s="16">
        <f>$W299*AL299+($L299)*Summary_LCIA!AC$32</f>
        <v>5.4478663042853521E-5</v>
      </c>
      <c r="BH299" s="16">
        <f>$W299*AM299+($L299)*Summary_LCIA!AD$32</f>
        <v>0.15702006453032358</v>
      </c>
      <c r="BI299" s="16">
        <f>$W299*AN299+($L299)*Summary_LCIA!AE$32</f>
        <v>0.4256103169682246</v>
      </c>
      <c r="BJ299" s="16">
        <f>$W299*AO299+($L299)*Summary_LCIA!AF$32</f>
        <v>2.513411690312049E-2</v>
      </c>
      <c r="BK299" s="16">
        <f>$W299*AP299+($L299)*Summary_LCIA!AG$32</f>
        <v>7.6009377781204885E-3</v>
      </c>
      <c r="BL299" s="16">
        <f>$W299*AQ299+($L299)*Summary_LCIA!AH$32</f>
        <v>1.0484155799443124</v>
      </c>
      <c r="BM299" s="16">
        <f>$W299*AR299+($L299)*Summary_LCIA!AI$32</f>
        <v>0.40621228259981923</v>
      </c>
      <c r="BN299" s="16"/>
    </row>
    <row r="300" spans="1:66" x14ac:dyDescent="0.25">
      <c r="A300" s="159">
        <v>341</v>
      </c>
      <c r="B300" s="159">
        <v>6</v>
      </c>
      <c r="C300" s="45">
        <v>47.606209</v>
      </c>
      <c r="D300" s="45">
        <v>-122.332071</v>
      </c>
      <c r="E300" s="45" t="s">
        <v>265</v>
      </c>
      <c r="F300" s="159">
        <v>29</v>
      </c>
      <c r="G300" s="45" t="s">
        <v>565</v>
      </c>
      <c r="H300" s="45" t="s">
        <v>719</v>
      </c>
      <c r="I300" s="45">
        <v>47.450249999999997</v>
      </c>
      <c r="J300" s="45">
        <v>-122.308817</v>
      </c>
      <c r="K300" s="45">
        <v>34.697320689999998</v>
      </c>
      <c r="L300" s="45">
        <v>22.074999999999999</v>
      </c>
      <c r="M300" s="45" t="s">
        <v>617</v>
      </c>
      <c r="N300" s="159">
        <v>5</v>
      </c>
      <c r="O300" s="159">
        <v>6</v>
      </c>
      <c r="P300" s="45" t="s">
        <v>565</v>
      </c>
      <c r="Q300" s="45" t="s">
        <v>564</v>
      </c>
      <c r="R300" s="45">
        <v>41.98028</v>
      </c>
      <c r="S300" s="45">
        <v>-87.908997900000003</v>
      </c>
      <c r="T300" s="45">
        <v>3299.518</v>
      </c>
      <c r="U300" s="45" t="s">
        <v>617</v>
      </c>
      <c r="V300" s="45" t="s">
        <v>569</v>
      </c>
      <c r="W300" s="45" cm="1">
        <f t="array" ref="W300">getDistance(R300,S300,I300,J300)*SA!$B$12</f>
        <v>2768.8687134525744</v>
      </c>
      <c r="Y300" s="16">
        <f>Transportation_LCIA!C$61*($W300^Transportation_LCIA!C$60)+Transportation_LCIA!C$62</f>
        <v>0.16449730754705144</v>
      </c>
      <c r="Z300" s="16">
        <f>Transportation_LCIA!D$61*($W300^Transportation_LCIA!D$60)+Transportation_LCIA!D$62</f>
        <v>1.607879629086141</v>
      </c>
      <c r="AA300" s="16">
        <f>Transportation_LCIA!E$61*($W300^Transportation_LCIA!E$60)+Transportation_LCIA!E$62</f>
        <v>6.0954274059017775E-4</v>
      </c>
      <c r="AB300" s="16">
        <f>Transportation_LCIA!F$61*($W300^Transportation_LCIA!F$60)+Transportation_LCIA!F$62</f>
        <v>0.16449730754705144</v>
      </c>
      <c r="AC300" s="16">
        <f>Transportation_LCIA!G$61*($W300^Transportation_LCIA!G$60)+Transportation_LCIA!G$62</f>
        <v>3.7750848214414753E-2</v>
      </c>
      <c r="AD300" s="16">
        <f>Transportation_LCIA!H$61*($W300^Transportation_LCIA!H$60)+Transportation_LCIA!H$62</f>
        <v>1.6043089519440367E-4</v>
      </c>
      <c r="AE300" s="16">
        <f>Transportation_LCIA!I$61*($W300^Transportation_LCIA!I$60)+Transportation_LCIA!I$62</f>
        <v>3.0394189214429766E-6</v>
      </c>
      <c r="AF300" s="16">
        <f>Transportation_LCIA!J$61*($W300^Transportation_LCIA!J$60)+Transportation_LCIA!J$62</f>
        <v>4.5183612782229779E-3</v>
      </c>
      <c r="AG300" s="16">
        <f>Transportation_LCIA!K$61*($W300^Transportation_LCIA!K$60)+Transportation_LCIA!K$62</f>
        <v>7.678540665617406E-3</v>
      </c>
      <c r="AH300" s="16">
        <f>Transportation_LCIA!L$61*($W300^Transportation_LCIA!L$60)+Transportation_LCIA!L$62</f>
        <v>1.334127552124456E-4</v>
      </c>
      <c r="AI300" s="16">
        <f>Transportation_LCIA!M$61*($W300^Transportation_LCIA!M$60)+Transportation_LCIA!M$62</f>
        <v>1.7942365848941578E-4</v>
      </c>
      <c r="AJ300" s="16">
        <f>Transportation_LCIA!N$61*($W300^Transportation_LCIA!N$60)+Transportation_LCIA!N$62</f>
        <v>5.9808875173019706E-4</v>
      </c>
      <c r="AK300" s="16">
        <f>Transportation_LCIA!O$61*($W300^Transportation_LCIA!O$60)+Transportation_LCIA!O$62</f>
        <v>3.9789606340763481E-5</v>
      </c>
      <c r="AL300" s="16">
        <f>Transportation_LCIA!P$61*($W300^Transportation_LCIA!P$60)+Transportation_LCIA!P$62</f>
        <v>1.928569183631254E-8</v>
      </c>
      <c r="AM300" s="16">
        <f>Transportation_LCIA!Q$61*($W300^Transportation_LCIA!Q$60)+Transportation_LCIA!Q$62</f>
        <v>5.3432059025234691E-5</v>
      </c>
      <c r="AN300" s="16">
        <f>Transportation_LCIA!R$61*($W300^Transportation_LCIA!R$60)+Transportation_LCIA!R$62</f>
        <v>1.4664797765435097E-4</v>
      </c>
      <c r="AO300" s="16">
        <f>Transportation_LCIA!S$61*($W300^Transportation_LCIA!S$60)+Transportation_LCIA!S$62</f>
        <v>2.337225442173834E-6</v>
      </c>
      <c r="AP300" s="16">
        <f>Transportation_LCIA!T$61*($W300^Transportation_LCIA!T$60)+Transportation_LCIA!T$62</f>
        <v>2.337225442173834E-6</v>
      </c>
      <c r="AQ300" s="16">
        <f>Transportation_LCIA!U$61*($W300^Transportation_LCIA!U$60)+Transportation_LCIA!U$62</f>
        <v>3.0925395840693005E-4</v>
      </c>
      <c r="AR300" s="16">
        <f>Transportation_LCIA!V$61*($W300^Transportation_LCIA!V$60)+Transportation_LCIA!V$62</f>
        <v>1.3928010182503176E-4</v>
      </c>
      <c r="AT300" s="16">
        <f>$W300*Y300+($L300)*Summary_LCIA!H$32</f>
        <v>462.97253331421678</v>
      </c>
      <c r="AU300" s="16">
        <f>$W300*Z300+($L300)*Summary_LCIA!Q$32</f>
        <v>4561.412413282821</v>
      </c>
      <c r="AV300" s="16">
        <f>$W300*AA300+($L300)*Summary_LCIA!R$32</f>
        <v>1.8039819439322817</v>
      </c>
      <c r="AW300" s="16">
        <f>$W300*AB300+($L300)*Summary_LCIA!S$32</f>
        <v>462.87496181421676</v>
      </c>
      <c r="AX300" s="16">
        <f>$W300*AC300+($L300)*Summary_LCIA!T$32</f>
        <v>106.95318502718999</v>
      </c>
      <c r="AY300" s="16">
        <f>$W300*AD300+($L300)*Summary_LCIA!U$32</f>
        <v>0.83966363637497321</v>
      </c>
      <c r="AZ300" s="16">
        <f>$W300*AE300+($L300)*Summary_LCIA!V$32</f>
        <v>9.4700760336592256E-3</v>
      </c>
      <c r="BA300" s="16">
        <f>$W300*AF300+($L300)*Summary_LCIA!W$32</f>
        <v>14.209884004347186</v>
      </c>
      <c r="BB300" s="16">
        <f>$W300*AG300+($L300)*Summary_LCIA!X$32</f>
        <v>21.763739514001344</v>
      </c>
      <c r="BC300" s="16">
        <f>$W300*AH300+($L300)*Summary_LCIA!Y$32</f>
        <v>0.71337505388324751</v>
      </c>
      <c r="BD300" s="16">
        <f>$W300*AI300+($L300)*Summary_LCIA!Z$32</f>
        <v>0.49770582811954273</v>
      </c>
      <c r="BE300" s="16">
        <f>$W300*AJ300+($L300)*Summary_LCIA!AA$32</f>
        <v>2.1716129325336468</v>
      </c>
      <c r="BF300" s="16">
        <f>$W300*AK300+($L300)*Summary_LCIA!AB$32</f>
        <v>0.10969045339253418</v>
      </c>
      <c r="BG300" s="16">
        <f>$W300*AL300+($L300)*Summary_LCIA!AC$32</f>
        <v>5.4478663042853521E-5</v>
      </c>
      <c r="BH300" s="16">
        <f>$W300*AM300+($L300)*Summary_LCIA!AD$32</f>
        <v>0.15702006453032358</v>
      </c>
      <c r="BI300" s="16">
        <f>$W300*AN300+($L300)*Summary_LCIA!AE$32</f>
        <v>0.4256103169682246</v>
      </c>
      <c r="BJ300" s="16">
        <f>$W300*AO300+($L300)*Summary_LCIA!AF$32</f>
        <v>2.513411690312049E-2</v>
      </c>
      <c r="BK300" s="16">
        <f>$W300*AP300+($L300)*Summary_LCIA!AG$32</f>
        <v>7.6009377781204885E-3</v>
      </c>
      <c r="BL300" s="16">
        <f>$W300*AQ300+($L300)*Summary_LCIA!AH$32</f>
        <v>1.0484155799443124</v>
      </c>
      <c r="BM300" s="16">
        <f>$W300*AR300+($L300)*Summary_LCIA!AI$32</f>
        <v>0.40621228259981923</v>
      </c>
      <c r="BN300" s="16"/>
    </row>
    <row r="301" spans="1:66" x14ac:dyDescent="0.25">
      <c r="A301" s="159">
        <v>342</v>
      </c>
      <c r="B301" s="159">
        <v>6</v>
      </c>
      <c r="C301" s="45">
        <v>47.606209</v>
      </c>
      <c r="D301" s="45">
        <v>-122.332071</v>
      </c>
      <c r="E301" s="45" t="s">
        <v>265</v>
      </c>
      <c r="F301" s="159">
        <v>29</v>
      </c>
      <c r="G301" s="45" t="s">
        <v>565</v>
      </c>
      <c r="H301" s="45" t="s">
        <v>719</v>
      </c>
      <c r="I301" s="45">
        <v>47.450249999999997</v>
      </c>
      <c r="J301" s="45">
        <v>-122.308817</v>
      </c>
      <c r="K301" s="45">
        <v>34.697320689999998</v>
      </c>
      <c r="L301" s="45">
        <v>22.074999999999999</v>
      </c>
      <c r="M301" s="45" t="s">
        <v>617</v>
      </c>
      <c r="N301" s="159">
        <v>5</v>
      </c>
      <c r="O301" s="159">
        <v>6</v>
      </c>
      <c r="P301" s="45" t="s">
        <v>565</v>
      </c>
      <c r="Q301" s="45" t="s">
        <v>564</v>
      </c>
      <c r="R301" s="45">
        <v>41.98028</v>
      </c>
      <c r="S301" s="45">
        <v>-87.908997900000003</v>
      </c>
      <c r="T301" s="45">
        <v>3299.518</v>
      </c>
      <c r="U301" s="45" t="s">
        <v>617</v>
      </c>
      <c r="V301" s="45" t="s">
        <v>569</v>
      </c>
      <c r="W301" s="45" cm="1">
        <f t="array" ref="W301">getDistance(R301,S301,I301,J301)*SA!$B$12</f>
        <v>2768.8687134525744</v>
      </c>
      <c r="Y301" s="16">
        <f>Transportation_LCIA!C$61*($W301^Transportation_LCIA!C$60)+Transportation_LCIA!C$62</f>
        <v>0.16449730754705144</v>
      </c>
      <c r="Z301" s="16">
        <f>Transportation_LCIA!D$61*($W301^Transportation_LCIA!D$60)+Transportation_LCIA!D$62</f>
        <v>1.607879629086141</v>
      </c>
      <c r="AA301" s="16">
        <f>Transportation_LCIA!E$61*($W301^Transportation_LCIA!E$60)+Transportation_LCIA!E$62</f>
        <v>6.0954274059017775E-4</v>
      </c>
      <c r="AB301" s="16">
        <f>Transportation_LCIA!F$61*($W301^Transportation_LCIA!F$60)+Transportation_LCIA!F$62</f>
        <v>0.16449730754705144</v>
      </c>
      <c r="AC301" s="16">
        <f>Transportation_LCIA!G$61*($W301^Transportation_LCIA!G$60)+Transportation_LCIA!G$62</f>
        <v>3.7750848214414753E-2</v>
      </c>
      <c r="AD301" s="16">
        <f>Transportation_LCIA!H$61*($W301^Transportation_LCIA!H$60)+Transportation_LCIA!H$62</f>
        <v>1.6043089519440367E-4</v>
      </c>
      <c r="AE301" s="16">
        <f>Transportation_LCIA!I$61*($W301^Transportation_LCIA!I$60)+Transportation_LCIA!I$62</f>
        <v>3.0394189214429766E-6</v>
      </c>
      <c r="AF301" s="16">
        <f>Transportation_LCIA!J$61*($W301^Transportation_LCIA!J$60)+Transportation_LCIA!J$62</f>
        <v>4.5183612782229779E-3</v>
      </c>
      <c r="AG301" s="16">
        <f>Transportation_LCIA!K$61*($W301^Transportation_LCIA!K$60)+Transportation_LCIA!K$62</f>
        <v>7.678540665617406E-3</v>
      </c>
      <c r="AH301" s="16">
        <f>Transportation_LCIA!L$61*($W301^Transportation_LCIA!L$60)+Transportation_LCIA!L$62</f>
        <v>1.334127552124456E-4</v>
      </c>
      <c r="AI301" s="16">
        <f>Transportation_LCIA!M$61*($W301^Transportation_LCIA!M$60)+Transportation_LCIA!M$62</f>
        <v>1.7942365848941578E-4</v>
      </c>
      <c r="AJ301" s="16">
        <f>Transportation_LCIA!N$61*($W301^Transportation_LCIA!N$60)+Transportation_LCIA!N$62</f>
        <v>5.9808875173019706E-4</v>
      </c>
      <c r="AK301" s="16">
        <f>Transportation_LCIA!O$61*($W301^Transportation_LCIA!O$60)+Transportation_LCIA!O$62</f>
        <v>3.9789606340763481E-5</v>
      </c>
      <c r="AL301" s="16">
        <f>Transportation_LCIA!P$61*($W301^Transportation_LCIA!P$60)+Transportation_LCIA!P$62</f>
        <v>1.928569183631254E-8</v>
      </c>
      <c r="AM301" s="16">
        <f>Transportation_LCIA!Q$61*($W301^Transportation_LCIA!Q$60)+Transportation_LCIA!Q$62</f>
        <v>5.3432059025234691E-5</v>
      </c>
      <c r="AN301" s="16">
        <f>Transportation_LCIA!R$61*($W301^Transportation_LCIA!R$60)+Transportation_LCIA!R$62</f>
        <v>1.4664797765435097E-4</v>
      </c>
      <c r="AO301" s="16">
        <f>Transportation_LCIA!S$61*($W301^Transportation_LCIA!S$60)+Transportation_LCIA!S$62</f>
        <v>2.337225442173834E-6</v>
      </c>
      <c r="AP301" s="16">
        <f>Transportation_LCIA!T$61*($W301^Transportation_LCIA!T$60)+Transportation_LCIA!T$62</f>
        <v>2.337225442173834E-6</v>
      </c>
      <c r="AQ301" s="16">
        <f>Transportation_LCIA!U$61*($W301^Transportation_LCIA!U$60)+Transportation_LCIA!U$62</f>
        <v>3.0925395840693005E-4</v>
      </c>
      <c r="AR301" s="16">
        <f>Transportation_LCIA!V$61*($W301^Transportation_LCIA!V$60)+Transportation_LCIA!V$62</f>
        <v>1.3928010182503176E-4</v>
      </c>
      <c r="AT301" s="16">
        <f>$W301*Y301+($L301)*Summary_LCIA!H$32</f>
        <v>462.97253331421678</v>
      </c>
      <c r="AU301" s="16">
        <f>$W301*Z301+($L301)*Summary_LCIA!Q$32</f>
        <v>4561.412413282821</v>
      </c>
      <c r="AV301" s="16">
        <f>$W301*AA301+($L301)*Summary_LCIA!R$32</f>
        <v>1.8039819439322817</v>
      </c>
      <c r="AW301" s="16">
        <f>$W301*AB301+($L301)*Summary_LCIA!S$32</f>
        <v>462.87496181421676</v>
      </c>
      <c r="AX301" s="16">
        <f>$W301*AC301+($L301)*Summary_LCIA!T$32</f>
        <v>106.95318502718999</v>
      </c>
      <c r="AY301" s="16">
        <f>$W301*AD301+($L301)*Summary_LCIA!U$32</f>
        <v>0.83966363637497321</v>
      </c>
      <c r="AZ301" s="16">
        <f>$W301*AE301+($L301)*Summary_LCIA!V$32</f>
        <v>9.4700760336592256E-3</v>
      </c>
      <c r="BA301" s="16">
        <f>$W301*AF301+($L301)*Summary_LCIA!W$32</f>
        <v>14.209884004347186</v>
      </c>
      <c r="BB301" s="16">
        <f>$W301*AG301+($L301)*Summary_LCIA!X$32</f>
        <v>21.763739514001344</v>
      </c>
      <c r="BC301" s="16">
        <f>$W301*AH301+($L301)*Summary_LCIA!Y$32</f>
        <v>0.71337505388324751</v>
      </c>
      <c r="BD301" s="16">
        <f>$W301*AI301+($L301)*Summary_LCIA!Z$32</f>
        <v>0.49770582811954273</v>
      </c>
      <c r="BE301" s="16">
        <f>$W301*AJ301+($L301)*Summary_LCIA!AA$32</f>
        <v>2.1716129325336468</v>
      </c>
      <c r="BF301" s="16">
        <f>$W301*AK301+($L301)*Summary_LCIA!AB$32</f>
        <v>0.10969045339253418</v>
      </c>
      <c r="BG301" s="16">
        <f>$W301*AL301+($L301)*Summary_LCIA!AC$32</f>
        <v>5.4478663042853521E-5</v>
      </c>
      <c r="BH301" s="16">
        <f>$W301*AM301+($L301)*Summary_LCIA!AD$32</f>
        <v>0.15702006453032358</v>
      </c>
      <c r="BI301" s="16">
        <f>$W301*AN301+($L301)*Summary_LCIA!AE$32</f>
        <v>0.4256103169682246</v>
      </c>
      <c r="BJ301" s="16">
        <f>$W301*AO301+($L301)*Summary_LCIA!AF$32</f>
        <v>2.513411690312049E-2</v>
      </c>
      <c r="BK301" s="16">
        <f>$W301*AP301+($L301)*Summary_LCIA!AG$32</f>
        <v>7.6009377781204885E-3</v>
      </c>
      <c r="BL301" s="16">
        <f>$W301*AQ301+($L301)*Summary_LCIA!AH$32</f>
        <v>1.0484155799443124</v>
      </c>
      <c r="BM301" s="16">
        <f>$W301*AR301+($L301)*Summary_LCIA!AI$32</f>
        <v>0.40621228259981923</v>
      </c>
      <c r="BN301" s="16"/>
    </row>
    <row r="302" spans="1:66" x14ac:dyDescent="0.25">
      <c r="A302" s="159">
        <v>343</v>
      </c>
      <c r="B302" s="159">
        <v>6</v>
      </c>
      <c r="C302" s="45">
        <v>47.606209</v>
      </c>
      <c r="D302" s="45">
        <v>-122.332071</v>
      </c>
      <c r="E302" s="45" t="s">
        <v>265</v>
      </c>
      <c r="F302" s="159">
        <v>29</v>
      </c>
      <c r="G302" s="45" t="s">
        <v>565</v>
      </c>
      <c r="H302" s="45" t="s">
        <v>719</v>
      </c>
      <c r="I302" s="45">
        <v>47.450249999999997</v>
      </c>
      <c r="J302" s="45">
        <v>-122.308817</v>
      </c>
      <c r="K302" s="45">
        <v>34.697320689999998</v>
      </c>
      <c r="L302" s="45">
        <v>22.074999999999999</v>
      </c>
      <c r="M302" s="45" t="s">
        <v>617</v>
      </c>
      <c r="N302" s="159">
        <v>5</v>
      </c>
      <c r="O302" s="159">
        <v>6</v>
      </c>
      <c r="P302" s="45" t="s">
        <v>565</v>
      </c>
      <c r="Q302" s="45" t="s">
        <v>564</v>
      </c>
      <c r="R302" s="45">
        <v>41.98028</v>
      </c>
      <c r="S302" s="45">
        <v>-87.908997900000003</v>
      </c>
      <c r="T302" s="45">
        <v>3299.518</v>
      </c>
      <c r="U302" s="45" t="s">
        <v>617</v>
      </c>
      <c r="V302" s="45" t="s">
        <v>569</v>
      </c>
      <c r="W302" s="45" cm="1">
        <f t="array" ref="W302">getDistance(R302,S302,I302,J302)*SA!$B$12</f>
        <v>2768.8687134525744</v>
      </c>
      <c r="Y302" s="16">
        <f>Transportation_LCIA!C$61*($W302^Transportation_LCIA!C$60)+Transportation_LCIA!C$62</f>
        <v>0.16449730754705144</v>
      </c>
      <c r="Z302" s="16">
        <f>Transportation_LCIA!D$61*($W302^Transportation_LCIA!D$60)+Transportation_LCIA!D$62</f>
        <v>1.607879629086141</v>
      </c>
      <c r="AA302" s="16">
        <f>Transportation_LCIA!E$61*($W302^Transportation_LCIA!E$60)+Transportation_LCIA!E$62</f>
        <v>6.0954274059017775E-4</v>
      </c>
      <c r="AB302" s="16">
        <f>Transportation_LCIA!F$61*($W302^Transportation_LCIA!F$60)+Transportation_LCIA!F$62</f>
        <v>0.16449730754705144</v>
      </c>
      <c r="AC302" s="16">
        <f>Transportation_LCIA!G$61*($W302^Transportation_LCIA!G$60)+Transportation_LCIA!G$62</f>
        <v>3.7750848214414753E-2</v>
      </c>
      <c r="AD302" s="16">
        <f>Transportation_LCIA!H$61*($W302^Transportation_LCIA!H$60)+Transportation_LCIA!H$62</f>
        <v>1.6043089519440367E-4</v>
      </c>
      <c r="AE302" s="16">
        <f>Transportation_LCIA!I$61*($W302^Transportation_LCIA!I$60)+Transportation_LCIA!I$62</f>
        <v>3.0394189214429766E-6</v>
      </c>
      <c r="AF302" s="16">
        <f>Transportation_LCIA!J$61*($W302^Transportation_LCIA!J$60)+Transportation_LCIA!J$62</f>
        <v>4.5183612782229779E-3</v>
      </c>
      <c r="AG302" s="16">
        <f>Transportation_LCIA!K$61*($W302^Transportation_LCIA!K$60)+Transportation_LCIA!K$62</f>
        <v>7.678540665617406E-3</v>
      </c>
      <c r="AH302" s="16">
        <f>Transportation_LCIA!L$61*($W302^Transportation_LCIA!L$60)+Transportation_LCIA!L$62</f>
        <v>1.334127552124456E-4</v>
      </c>
      <c r="AI302" s="16">
        <f>Transportation_LCIA!M$61*($W302^Transportation_LCIA!M$60)+Transportation_LCIA!M$62</f>
        <v>1.7942365848941578E-4</v>
      </c>
      <c r="AJ302" s="16">
        <f>Transportation_LCIA!N$61*($W302^Transportation_LCIA!N$60)+Transportation_LCIA!N$62</f>
        <v>5.9808875173019706E-4</v>
      </c>
      <c r="AK302" s="16">
        <f>Transportation_LCIA!O$61*($W302^Transportation_LCIA!O$60)+Transportation_LCIA!O$62</f>
        <v>3.9789606340763481E-5</v>
      </c>
      <c r="AL302" s="16">
        <f>Transportation_LCIA!P$61*($W302^Transportation_LCIA!P$60)+Transportation_LCIA!P$62</f>
        <v>1.928569183631254E-8</v>
      </c>
      <c r="AM302" s="16">
        <f>Transportation_LCIA!Q$61*($W302^Transportation_LCIA!Q$60)+Transportation_LCIA!Q$62</f>
        <v>5.3432059025234691E-5</v>
      </c>
      <c r="AN302" s="16">
        <f>Transportation_LCIA!R$61*($W302^Transportation_LCIA!R$60)+Transportation_LCIA!R$62</f>
        <v>1.4664797765435097E-4</v>
      </c>
      <c r="AO302" s="16">
        <f>Transportation_LCIA!S$61*($W302^Transportation_LCIA!S$60)+Transportation_LCIA!S$62</f>
        <v>2.337225442173834E-6</v>
      </c>
      <c r="AP302" s="16">
        <f>Transportation_LCIA!T$61*($W302^Transportation_LCIA!T$60)+Transportation_LCIA!T$62</f>
        <v>2.337225442173834E-6</v>
      </c>
      <c r="AQ302" s="16">
        <f>Transportation_LCIA!U$61*($W302^Transportation_LCIA!U$60)+Transportation_LCIA!U$62</f>
        <v>3.0925395840693005E-4</v>
      </c>
      <c r="AR302" s="16">
        <f>Transportation_LCIA!V$61*($W302^Transportation_LCIA!V$60)+Transportation_LCIA!V$62</f>
        <v>1.3928010182503176E-4</v>
      </c>
      <c r="AT302" s="16">
        <f>$W302*Y302+($L302)*Summary_LCIA!H$32</f>
        <v>462.97253331421678</v>
      </c>
      <c r="AU302" s="16">
        <f>$W302*Z302+($L302)*Summary_LCIA!Q$32</f>
        <v>4561.412413282821</v>
      </c>
      <c r="AV302" s="16">
        <f>$W302*AA302+($L302)*Summary_LCIA!R$32</f>
        <v>1.8039819439322817</v>
      </c>
      <c r="AW302" s="16">
        <f>$W302*AB302+($L302)*Summary_LCIA!S$32</f>
        <v>462.87496181421676</v>
      </c>
      <c r="AX302" s="16">
        <f>$W302*AC302+($L302)*Summary_LCIA!T$32</f>
        <v>106.95318502718999</v>
      </c>
      <c r="AY302" s="16">
        <f>$W302*AD302+($L302)*Summary_LCIA!U$32</f>
        <v>0.83966363637497321</v>
      </c>
      <c r="AZ302" s="16">
        <f>$W302*AE302+($L302)*Summary_LCIA!V$32</f>
        <v>9.4700760336592256E-3</v>
      </c>
      <c r="BA302" s="16">
        <f>$W302*AF302+($L302)*Summary_LCIA!W$32</f>
        <v>14.209884004347186</v>
      </c>
      <c r="BB302" s="16">
        <f>$W302*AG302+($L302)*Summary_LCIA!X$32</f>
        <v>21.763739514001344</v>
      </c>
      <c r="BC302" s="16">
        <f>$W302*AH302+($L302)*Summary_LCIA!Y$32</f>
        <v>0.71337505388324751</v>
      </c>
      <c r="BD302" s="16">
        <f>$W302*AI302+($L302)*Summary_LCIA!Z$32</f>
        <v>0.49770582811954273</v>
      </c>
      <c r="BE302" s="16">
        <f>$W302*AJ302+($L302)*Summary_LCIA!AA$32</f>
        <v>2.1716129325336468</v>
      </c>
      <c r="BF302" s="16">
        <f>$W302*AK302+($L302)*Summary_LCIA!AB$32</f>
        <v>0.10969045339253418</v>
      </c>
      <c r="BG302" s="16">
        <f>$W302*AL302+($L302)*Summary_LCIA!AC$32</f>
        <v>5.4478663042853521E-5</v>
      </c>
      <c r="BH302" s="16">
        <f>$W302*AM302+($L302)*Summary_LCIA!AD$32</f>
        <v>0.15702006453032358</v>
      </c>
      <c r="BI302" s="16">
        <f>$W302*AN302+($L302)*Summary_LCIA!AE$32</f>
        <v>0.4256103169682246</v>
      </c>
      <c r="BJ302" s="16">
        <f>$W302*AO302+($L302)*Summary_LCIA!AF$32</f>
        <v>2.513411690312049E-2</v>
      </c>
      <c r="BK302" s="16">
        <f>$W302*AP302+($L302)*Summary_LCIA!AG$32</f>
        <v>7.6009377781204885E-3</v>
      </c>
      <c r="BL302" s="16">
        <f>$W302*AQ302+($L302)*Summary_LCIA!AH$32</f>
        <v>1.0484155799443124</v>
      </c>
      <c r="BM302" s="16">
        <f>$W302*AR302+($L302)*Summary_LCIA!AI$32</f>
        <v>0.40621228259981923</v>
      </c>
      <c r="BN302" s="16"/>
    </row>
    <row r="303" spans="1:66" x14ac:dyDescent="0.25">
      <c r="A303" s="159">
        <v>316</v>
      </c>
      <c r="B303" s="159">
        <v>6</v>
      </c>
      <c r="C303" s="45">
        <v>47.673988000000001</v>
      </c>
      <c r="D303" s="45">
        <v>-122.121512</v>
      </c>
      <c r="E303" s="45" t="s">
        <v>265</v>
      </c>
      <c r="F303" s="159">
        <v>29</v>
      </c>
      <c r="G303" s="45" t="s">
        <v>565</v>
      </c>
      <c r="H303" s="45" t="s">
        <v>719</v>
      </c>
      <c r="I303" s="45">
        <v>47.450249999999997</v>
      </c>
      <c r="J303" s="45">
        <v>-122.308817</v>
      </c>
      <c r="K303" s="45">
        <v>41.554973830000002</v>
      </c>
      <c r="L303" s="45">
        <v>37.302999999999997</v>
      </c>
      <c r="M303" s="45" t="s">
        <v>617</v>
      </c>
      <c r="N303" s="159">
        <v>5</v>
      </c>
      <c r="O303" s="159">
        <v>6</v>
      </c>
      <c r="P303" s="45" t="s">
        <v>565</v>
      </c>
      <c r="Q303" s="45" t="s">
        <v>564</v>
      </c>
      <c r="R303" s="45">
        <v>41.98028</v>
      </c>
      <c r="S303" s="45">
        <v>-87.908997900000003</v>
      </c>
      <c r="T303" s="45">
        <v>3301.0169999999998</v>
      </c>
      <c r="U303" s="45" t="s">
        <v>617</v>
      </c>
      <c r="V303" s="45" t="s">
        <v>569</v>
      </c>
      <c r="W303" s="45" cm="1">
        <f t="array" ref="W303">getDistance(R303,S303,I303,J303)*SA!$B$12</f>
        <v>2768.8687134525744</v>
      </c>
      <c r="Y303" s="16">
        <f>Transportation_LCIA!C$61*($W303^Transportation_LCIA!C$60)+Transportation_LCIA!C$62</f>
        <v>0.16449730754705144</v>
      </c>
      <c r="Z303" s="16">
        <f>Transportation_LCIA!D$61*($W303^Transportation_LCIA!D$60)+Transportation_LCIA!D$62</f>
        <v>1.607879629086141</v>
      </c>
      <c r="AA303" s="16">
        <f>Transportation_LCIA!E$61*($W303^Transportation_LCIA!E$60)+Transportation_LCIA!E$62</f>
        <v>6.0954274059017775E-4</v>
      </c>
      <c r="AB303" s="16">
        <f>Transportation_LCIA!F$61*($W303^Transportation_LCIA!F$60)+Transportation_LCIA!F$62</f>
        <v>0.16449730754705144</v>
      </c>
      <c r="AC303" s="16">
        <f>Transportation_LCIA!G$61*($W303^Transportation_LCIA!G$60)+Transportation_LCIA!G$62</f>
        <v>3.7750848214414753E-2</v>
      </c>
      <c r="AD303" s="16">
        <f>Transportation_LCIA!H$61*($W303^Transportation_LCIA!H$60)+Transportation_LCIA!H$62</f>
        <v>1.6043089519440367E-4</v>
      </c>
      <c r="AE303" s="16">
        <f>Transportation_LCIA!I$61*($W303^Transportation_LCIA!I$60)+Transportation_LCIA!I$62</f>
        <v>3.0394189214429766E-6</v>
      </c>
      <c r="AF303" s="16">
        <f>Transportation_LCIA!J$61*($W303^Transportation_LCIA!J$60)+Transportation_LCIA!J$62</f>
        <v>4.5183612782229779E-3</v>
      </c>
      <c r="AG303" s="16">
        <f>Transportation_LCIA!K$61*($W303^Transportation_LCIA!K$60)+Transportation_LCIA!K$62</f>
        <v>7.678540665617406E-3</v>
      </c>
      <c r="AH303" s="16">
        <f>Transportation_LCIA!L$61*($W303^Transportation_LCIA!L$60)+Transportation_LCIA!L$62</f>
        <v>1.334127552124456E-4</v>
      </c>
      <c r="AI303" s="16">
        <f>Transportation_LCIA!M$61*($W303^Transportation_LCIA!M$60)+Transportation_LCIA!M$62</f>
        <v>1.7942365848941578E-4</v>
      </c>
      <c r="AJ303" s="16">
        <f>Transportation_LCIA!N$61*($W303^Transportation_LCIA!N$60)+Transportation_LCIA!N$62</f>
        <v>5.9808875173019706E-4</v>
      </c>
      <c r="AK303" s="16">
        <f>Transportation_LCIA!O$61*($W303^Transportation_LCIA!O$60)+Transportation_LCIA!O$62</f>
        <v>3.9789606340763481E-5</v>
      </c>
      <c r="AL303" s="16">
        <f>Transportation_LCIA!P$61*($W303^Transportation_LCIA!P$60)+Transportation_LCIA!P$62</f>
        <v>1.928569183631254E-8</v>
      </c>
      <c r="AM303" s="16">
        <f>Transportation_LCIA!Q$61*($W303^Transportation_LCIA!Q$60)+Transportation_LCIA!Q$62</f>
        <v>5.3432059025234691E-5</v>
      </c>
      <c r="AN303" s="16">
        <f>Transportation_LCIA!R$61*($W303^Transportation_LCIA!R$60)+Transportation_LCIA!R$62</f>
        <v>1.4664797765435097E-4</v>
      </c>
      <c r="AO303" s="16">
        <f>Transportation_LCIA!S$61*($W303^Transportation_LCIA!S$60)+Transportation_LCIA!S$62</f>
        <v>2.337225442173834E-6</v>
      </c>
      <c r="AP303" s="16">
        <f>Transportation_LCIA!T$61*($W303^Transportation_LCIA!T$60)+Transportation_LCIA!T$62</f>
        <v>2.337225442173834E-6</v>
      </c>
      <c r="AQ303" s="16">
        <f>Transportation_LCIA!U$61*($W303^Transportation_LCIA!U$60)+Transportation_LCIA!U$62</f>
        <v>3.0925395840693005E-4</v>
      </c>
      <c r="AR303" s="16">
        <f>Transportation_LCIA!V$61*($W303^Transportation_LCIA!V$60)+Transportation_LCIA!V$62</f>
        <v>1.3928010182503176E-4</v>
      </c>
      <c r="AT303" s="16">
        <f>$W303*Y303+($L303)*Summary_LCIA!H$32</f>
        <v>468.14700771421678</v>
      </c>
      <c r="AU303" s="16">
        <f>$W303*Z303+($L303)*Summary_LCIA!Q$32</f>
        <v>4636.8831492765448</v>
      </c>
      <c r="AV303" s="16">
        <f>$W303*AA303+($L303)*Summary_LCIA!R$32</f>
        <v>1.8841665007322816</v>
      </c>
      <c r="AW303" s="16">
        <f>$W303*AB303+($L303)*Summary_LCIA!S$32</f>
        <v>467.98212845421676</v>
      </c>
      <c r="AX303" s="16">
        <f>$W303*AC303+($L303)*Summary_LCIA!T$32</f>
        <v>108.62674222718999</v>
      </c>
      <c r="AY303" s="16">
        <f>$W303*AD303+($L303)*Summary_LCIA!U$32</f>
        <v>1.1124580283749732</v>
      </c>
      <c r="AZ303" s="16">
        <f>$W303*AE303+($L303)*Summary_LCIA!V$32</f>
        <v>1.0197380541659225E-2</v>
      </c>
      <c r="BA303" s="16">
        <f>$W303*AF303+($L303)*Summary_LCIA!W$32</f>
        <v>15.381998392347185</v>
      </c>
      <c r="BB303" s="16">
        <f>$W303*AG303+($L303)*Summary_LCIA!X$32</f>
        <v>22.110633354001344</v>
      </c>
      <c r="BC303" s="16">
        <f>$W303*AH303+($L303)*Summary_LCIA!Y$32</f>
        <v>0.95065774988324747</v>
      </c>
      <c r="BD303" s="16">
        <f>$W303*AI303+($L303)*Summary_LCIA!Z$32</f>
        <v>0.49833031317154275</v>
      </c>
      <c r="BE303" s="16">
        <f>$W303*AJ303+($L303)*Summary_LCIA!AA$32</f>
        <v>2.5272781005336471</v>
      </c>
      <c r="BF303" s="16">
        <f>$W303*AK303+($L303)*Summary_LCIA!AB$32</f>
        <v>0.10935813274853418</v>
      </c>
      <c r="BG303" s="16">
        <f>$W303*AL303+($L303)*Summary_LCIA!AC$32</f>
        <v>5.5223068594853521E-5</v>
      </c>
      <c r="BH303" s="16">
        <f>$W303*AM303+($L303)*Summary_LCIA!AD$32</f>
        <v>0.1632793816503236</v>
      </c>
      <c r="BI303" s="16">
        <f>$W303*AN303+($L303)*Summary_LCIA!AE$32</f>
        <v>0.43910430460822464</v>
      </c>
      <c r="BJ303" s="16">
        <f>$W303*AO303+($L303)*Summary_LCIA!AF$32</f>
        <v>3.8008172663120489E-2</v>
      </c>
      <c r="BK303" s="16">
        <f>$W303*AP303+($L303)*Summary_LCIA!AG$32</f>
        <v>8.3800783981204888E-3</v>
      </c>
      <c r="BL303" s="16">
        <f>$W303*AQ303+($L303)*Summary_LCIA!AH$32</f>
        <v>1.1809540007443124</v>
      </c>
      <c r="BM303" s="16">
        <f>$W303*AR303+($L303)*Summary_LCIA!AI$32</f>
        <v>0.42039792599981923</v>
      </c>
      <c r="BN303" s="16"/>
    </row>
    <row r="304" spans="1:66" x14ac:dyDescent="0.25">
      <c r="A304" s="159">
        <v>317</v>
      </c>
      <c r="B304" s="159">
        <v>6</v>
      </c>
      <c r="C304" s="45">
        <v>47.673988000000001</v>
      </c>
      <c r="D304" s="45">
        <v>-122.121512</v>
      </c>
      <c r="E304" s="45" t="s">
        <v>265</v>
      </c>
      <c r="F304" s="159">
        <v>29</v>
      </c>
      <c r="G304" s="45" t="s">
        <v>565</v>
      </c>
      <c r="H304" s="45" t="s">
        <v>719</v>
      </c>
      <c r="I304" s="45">
        <v>47.450249999999997</v>
      </c>
      <c r="J304" s="45">
        <v>-122.308817</v>
      </c>
      <c r="K304" s="45">
        <v>41.554973830000002</v>
      </c>
      <c r="L304" s="45">
        <v>37.302999999999997</v>
      </c>
      <c r="M304" s="45" t="s">
        <v>617</v>
      </c>
      <c r="N304" s="159">
        <v>5</v>
      </c>
      <c r="O304" s="159">
        <v>6</v>
      </c>
      <c r="P304" s="45" t="s">
        <v>565</v>
      </c>
      <c r="Q304" s="45" t="s">
        <v>564</v>
      </c>
      <c r="R304" s="45">
        <v>41.98028</v>
      </c>
      <c r="S304" s="45">
        <v>-87.908997900000003</v>
      </c>
      <c r="T304" s="45">
        <v>3301.0169999999998</v>
      </c>
      <c r="U304" s="45" t="s">
        <v>617</v>
      </c>
      <c r="V304" s="45" t="s">
        <v>569</v>
      </c>
      <c r="W304" s="45" cm="1">
        <f t="array" ref="W304">getDistance(R304,S304,I304,J304)*SA!$B$12</f>
        <v>2768.8687134525744</v>
      </c>
      <c r="Y304" s="16">
        <f>Transportation_LCIA!C$61*($W304^Transportation_LCIA!C$60)+Transportation_LCIA!C$62</f>
        <v>0.16449730754705144</v>
      </c>
      <c r="Z304" s="16">
        <f>Transportation_LCIA!D$61*($W304^Transportation_LCIA!D$60)+Transportation_LCIA!D$62</f>
        <v>1.607879629086141</v>
      </c>
      <c r="AA304" s="16">
        <f>Transportation_LCIA!E$61*($W304^Transportation_LCIA!E$60)+Transportation_LCIA!E$62</f>
        <v>6.0954274059017775E-4</v>
      </c>
      <c r="AB304" s="16">
        <f>Transportation_LCIA!F$61*($W304^Transportation_LCIA!F$60)+Transportation_LCIA!F$62</f>
        <v>0.16449730754705144</v>
      </c>
      <c r="AC304" s="16">
        <f>Transportation_LCIA!G$61*($W304^Transportation_LCIA!G$60)+Transportation_LCIA!G$62</f>
        <v>3.7750848214414753E-2</v>
      </c>
      <c r="AD304" s="16">
        <f>Transportation_LCIA!H$61*($W304^Transportation_LCIA!H$60)+Transportation_LCIA!H$62</f>
        <v>1.6043089519440367E-4</v>
      </c>
      <c r="AE304" s="16">
        <f>Transportation_LCIA!I$61*($W304^Transportation_LCIA!I$60)+Transportation_LCIA!I$62</f>
        <v>3.0394189214429766E-6</v>
      </c>
      <c r="AF304" s="16">
        <f>Transportation_LCIA!J$61*($W304^Transportation_LCIA!J$60)+Transportation_LCIA!J$62</f>
        <v>4.5183612782229779E-3</v>
      </c>
      <c r="AG304" s="16">
        <f>Transportation_LCIA!K$61*($W304^Transportation_LCIA!K$60)+Transportation_LCIA!K$62</f>
        <v>7.678540665617406E-3</v>
      </c>
      <c r="AH304" s="16">
        <f>Transportation_LCIA!L$61*($W304^Transportation_LCIA!L$60)+Transportation_LCIA!L$62</f>
        <v>1.334127552124456E-4</v>
      </c>
      <c r="AI304" s="16">
        <f>Transportation_LCIA!M$61*($W304^Transportation_LCIA!M$60)+Transportation_LCIA!M$62</f>
        <v>1.7942365848941578E-4</v>
      </c>
      <c r="AJ304" s="16">
        <f>Transportation_LCIA!N$61*($W304^Transportation_LCIA!N$60)+Transportation_LCIA!N$62</f>
        <v>5.9808875173019706E-4</v>
      </c>
      <c r="AK304" s="16">
        <f>Transportation_LCIA!O$61*($W304^Transportation_LCIA!O$60)+Transportation_LCIA!O$62</f>
        <v>3.9789606340763481E-5</v>
      </c>
      <c r="AL304" s="16">
        <f>Transportation_LCIA!P$61*($W304^Transportation_LCIA!P$60)+Transportation_LCIA!P$62</f>
        <v>1.928569183631254E-8</v>
      </c>
      <c r="AM304" s="16">
        <f>Transportation_LCIA!Q$61*($W304^Transportation_LCIA!Q$60)+Transportation_LCIA!Q$62</f>
        <v>5.3432059025234691E-5</v>
      </c>
      <c r="AN304" s="16">
        <f>Transportation_LCIA!R$61*($W304^Transportation_LCIA!R$60)+Transportation_LCIA!R$62</f>
        <v>1.4664797765435097E-4</v>
      </c>
      <c r="AO304" s="16">
        <f>Transportation_LCIA!S$61*($W304^Transportation_LCIA!S$60)+Transportation_LCIA!S$62</f>
        <v>2.337225442173834E-6</v>
      </c>
      <c r="AP304" s="16">
        <f>Transportation_LCIA!T$61*($W304^Transportation_LCIA!T$60)+Transportation_LCIA!T$62</f>
        <v>2.337225442173834E-6</v>
      </c>
      <c r="AQ304" s="16">
        <f>Transportation_LCIA!U$61*($W304^Transportation_LCIA!U$60)+Transportation_LCIA!U$62</f>
        <v>3.0925395840693005E-4</v>
      </c>
      <c r="AR304" s="16">
        <f>Transportation_LCIA!V$61*($W304^Transportation_LCIA!V$60)+Transportation_LCIA!V$62</f>
        <v>1.3928010182503176E-4</v>
      </c>
      <c r="AT304" s="16">
        <f>$W304*Y304+($L304)*Summary_LCIA!H$32</f>
        <v>468.14700771421678</v>
      </c>
      <c r="AU304" s="16">
        <f>$W304*Z304+($L304)*Summary_LCIA!Q$32</f>
        <v>4636.8831492765448</v>
      </c>
      <c r="AV304" s="16">
        <f>$W304*AA304+($L304)*Summary_LCIA!R$32</f>
        <v>1.8841665007322816</v>
      </c>
      <c r="AW304" s="16">
        <f>$W304*AB304+($L304)*Summary_LCIA!S$32</f>
        <v>467.98212845421676</v>
      </c>
      <c r="AX304" s="16">
        <f>$W304*AC304+($L304)*Summary_LCIA!T$32</f>
        <v>108.62674222718999</v>
      </c>
      <c r="AY304" s="16">
        <f>$W304*AD304+($L304)*Summary_LCIA!U$32</f>
        <v>1.1124580283749732</v>
      </c>
      <c r="AZ304" s="16">
        <f>$W304*AE304+($L304)*Summary_LCIA!V$32</f>
        <v>1.0197380541659225E-2</v>
      </c>
      <c r="BA304" s="16">
        <f>$W304*AF304+($L304)*Summary_LCIA!W$32</f>
        <v>15.381998392347185</v>
      </c>
      <c r="BB304" s="16">
        <f>$W304*AG304+($L304)*Summary_LCIA!X$32</f>
        <v>22.110633354001344</v>
      </c>
      <c r="BC304" s="16">
        <f>$W304*AH304+($L304)*Summary_LCIA!Y$32</f>
        <v>0.95065774988324747</v>
      </c>
      <c r="BD304" s="16">
        <f>$W304*AI304+($L304)*Summary_LCIA!Z$32</f>
        <v>0.49833031317154275</v>
      </c>
      <c r="BE304" s="16">
        <f>$W304*AJ304+($L304)*Summary_LCIA!AA$32</f>
        <v>2.5272781005336471</v>
      </c>
      <c r="BF304" s="16">
        <f>$W304*AK304+($L304)*Summary_LCIA!AB$32</f>
        <v>0.10935813274853418</v>
      </c>
      <c r="BG304" s="16">
        <f>$W304*AL304+($L304)*Summary_LCIA!AC$32</f>
        <v>5.5223068594853521E-5</v>
      </c>
      <c r="BH304" s="16">
        <f>$W304*AM304+($L304)*Summary_LCIA!AD$32</f>
        <v>0.1632793816503236</v>
      </c>
      <c r="BI304" s="16">
        <f>$W304*AN304+($L304)*Summary_LCIA!AE$32</f>
        <v>0.43910430460822464</v>
      </c>
      <c r="BJ304" s="16">
        <f>$W304*AO304+($L304)*Summary_LCIA!AF$32</f>
        <v>3.8008172663120489E-2</v>
      </c>
      <c r="BK304" s="16">
        <f>$W304*AP304+($L304)*Summary_LCIA!AG$32</f>
        <v>8.3800783981204888E-3</v>
      </c>
      <c r="BL304" s="16">
        <f>$W304*AQ304+($L304)*Summary_LCIA!AH$32</f>
        <v>1.1809540007443124</v>
      </c>
      <c r="BM304" s="16">
        <f>$W304*AR304+($L304)*Summary_LCIA!AI$32</f>
        <v>0.42039792599981923</v>
      </c>
      <c r="BN304" s="16"/>
    </row>
    <row r="305" spans="1:66" x14ac:dyDescent="0.25">
      <c r="A305" s="159">
        <v>318</v>
      </c>
      <c r="B305" s="159">
        <v>6</v>
      </c>
      <c r="C305" s="45">
        <v>47.673988000000001</v>
      </c>
      <c r="D305" s="45">
        <v>-122.121512</v>
      </c>
      <c r="E305" s="45" t="s">
        <v>265</v>
      </c>
      <c r="F305" s="159">
        <v>29</v>
      </c>
      <c r="G305" s="45" t="s">
        <v>565</v>
      </c>
      <c r="H305" s="45" t="s">
        <v>719</v>
      </c>
      <c r="I305" s="45">
        <v>47.450249999999997</v>
      </c>
      <c r="J305" s="45">
        <v>-122.308817</v>
      </c>
      <c r="K305" s="45">
        <v>41.554973830000002</v>
      </c>
      <c r="L305" s="45">
        <v>37.302999999999997</v>
      </c>
      <c r="M305" s="45" t="s">
        <v>617</v>
      </c>
      <c r="N305" s="159">
        <v>5</v>
      </c>
      <c r="O305" s="159">
        <v>6</v>
      </c>
      <c r="P305" s="45" t="s">
        <v>565</v>
      </c>
      <c r="Q305" s="45" t="s">
        <v>564</v>
      </c>
      <c r="R305" s="45">
        <v>41.98028</v>
      </c>
      <c r="S305" s="45">
        <v>-87.908997900000003</v>
      </c>
      <c r="T305" s="45">
        <v>3301.0169999999998</v>
      </c>
      <c r="U305" s="45" t="s">
        <v>617</v>
      </c>
      <c r="V305" s="45" t="s">
        <v>569</v>
      </c>
      <c r="W305" s="45" cm="1">
        <f t="array" ref="W305">getDistance(R305,S305,I305,J305)*SA!$B$12</f>
        <v>2768.8687134525744</v>
      </c>
      <c r="Y305" s="16">
        <f>Transportation_LCIA!C$61*($W305^Transportation_LCIA!C$60)+Transportation_LCIA!C$62</f>
        <v>0.16449730754705144</v>
      </c>
      <c r="Z305" s="16">
        <f>Transportation_LCIA!D$61*($W305^Transportation_LCIA!D$60)+Transportation_LCIA!D$62</f>
        <v>1.607879629086141</v>
      </c>
      <c r="AA305" s="16">
        <f>Transportation_LCIA!E$61*($W305^Transportation_LCIA!E$60)+Transportation_LCIA!E$62</f>
        <v>6.0954274059017775E-4</v>
      </c>
      <c r="AB305" s="16">
        <f>Transportation_LCIA!F$61*($W305^Transportation_LCIA!F$60)+Transportation_LCIA!F$62</f>
        <v>0.16449730754705144</v>
      </c>
      <c r="AC305" s="16">
        <f>Transportation_LCIA!G$61*($W305^Transportation_LCIA!G$60)+Transportation_LCIA!G$62</f>
        <v>3.7750848214414753E-2</v>
      </c>
      <c r="AD305" s="16">
        <f>Transportation_LCIA!H$61*($W305^Transportation_LCIA!H$60)+Transportation_LCIA!H$62</f>
        <v>1.6043089519440367E-4</v>
      </c>
      <c r="AE305" s="16">
        <f>Transportation_LCIA!I$61*($W305^Transportation_LCIA!I$60)+Transportation_LCIA!I$62</f>
        <v>3.0394189214429766E-6</v>
      </c>
      <c r="AF305" s="16">
        <f>Transportation_LCIA!J$61*($W305^Transportation_LCIA!J$60)+Transportation_LCIA!J$62</f>
        <v>4.5183612782229779E-3</v>
      </c>
      <c r="AG305" s="16">
        <f>Transportation_LCIA!K$61*($W305^Transportation_LCIA!K$60)+Transportation_LCIA!K$62</f>
        <v>7.678540665617406E-3</v>
      </c>
      <c r="AH305" s="16">
        <f>Transportation_LCIA!L$61*($W305^Transportation_LCIA!L$60)+Transportation_LCIA!L$62</f>
        <v>1.334127552124456E-4</v>
      </c>
      <c r="AI305" s="16">
        <f>Transportation_LCIA!M$61*($W305^Transportation_LCIA!M$60)+Transportation_LCIA!M$62</f>
        <v>1.7942365848941578E-4</v>
      </c>
      <c r="AJ305" s="16">
        <f>Transportation_LCIA!N$61*($W305^Transportation_LCIA!N$60)+Transportation_LCIA!N$62</f>
        <v>5.9808875173019706E-4</v>
      </c>
      <c r="AK305" s="16">
        <f>Transportation_LCIA!O$61*($W305^Transportation_LCIA!O$60)+Transportation_LCIA!O$62</f>
        <v>3.9789606340763481E-5</v>
      </c>
      <c r="AL305" s="16">
        <f>Transportation_LCIA!P$61*($W305^Transportation_LCIA!P$60)+Transportation_LCIA!P$62</f>
        <v>1.928569183631254E-8</v>
      </c>
      <c r="AM305" s="16">
        <f>Transportation_LCIA!Q$61*($W305^Transportation_LCIA!Q$60)+Transportation_LCIA!Q$62</f>
        <v>5.3432059025234691E-5</v>
      </c>
      <c r="AN305" s="16">
        <f>Transportation_LCIA!R$61*($W305^Transportation_LCIA!R$60)+Transportation_LCIA!R$62</f>
        <v>1.4664797765435097E-4</v>
      </c>
      <c r="AO305" s="16">
        <f>Transportation_LCIA!S$61*($W305^Transportation_LCIA!S$60)+Transportation_LCIA!S$62</f>
        <v>2.337225442173834E-6</v>
      </c>
      <c r="AP305" s="16">
        <f>Transportation_LCIA!T$61*($W305^Transportation_LCIA!T$60)+Transportation_LCIA!T$62</f>
        <v>2.337225442173834E-6</v>
      </c>
      <c r="AQ305" s="16">
        <f>Transportation_LCIA!U$61*($W305^Transportation_LCIA!U$60)+Transportation_LCIA!U$62</f>
        <v>3.0925395840693005E-4</v>
      </c>
      <c r="AR305" s="16">
        <f>Transportation_LCIA!V$61*($W305^Transportation_LCIA!V$60)+Transportation_LCIA!V$62</f>
        <v>1.3928010182503176E-4</v>
      </c>
      <c r="AT305" s="16">
        <f>$W305*Y305+($L305)*Summary_LCIA!H$32</f>
        <v>468.14700771421678</v>
      </c>
      <c r="AU305" s="16">
        <f>$W305*Z305+($L305)*Summary_LCIA!Q$32</f>
        <v>4636.8831492765448</v>
      </c>
      <c r="AV305" s="16">
        <f>$W305*AA305+($L305)*Summary_LCIA!R$32</f>
        <v>1.8841665007322816</v>
      </c>
      <c r="AW305" s="16">
        <f>$W305*AB305+($L305)*Summary_LCIA!S$32</f>
        <v>467.98212845421676</v>
      </c>
      <c r="AX305" s="16">
        <f>$W305*AC305+($L305)*Summary_LCIA!T$32</f>
        <v>108.62674222718999</v>
      </c>
      <c r="AY305" s="16">
        <f>$W305*AD305+($L305)*Summary_LCIA!U$32</f>
        <v>1.1124580283749732</v>
      </c>
      <c r="AZ305" s="16">
        <f>$W305*AE305+($L305)*Summary_LCIA!V$32</f>
        <v>1.0197380541659225E-2</v>
      </c>
      <c r="BA305" s="16">
        <f>$W305*AF305+($L305)*Summary_LCIA!W$32</f>
        <v>15.381998392347185</v>
      </c>
      <c r="BB305" s="16">
        <f>$W305*AG305+($L305)*Summary_LCIA!X$32</f>
        <v>22.110633354001344</v>
      </c>
      <c r="BC305" s="16">
        <f>$W305*AH305+($L305)*Summary_LCIA!Y$32</f>
        <v>0.95065774988324747</v>
      </c>
      <c r="BD305" s="16">
        <f>$W305*AI305+($L305)*Summary_LCIA!Z$32</f>
        <v>0.49833031317154275</v>
      </c>
      <c r="BE305" s="16">
        <f>$W305*AJ305+($L305)*Summary_LCIA!AA$32</f>
        <v>2.5272781005336471</v>
      </c>
      <c r="BF305" s="16">
        <f>$W305*AK305+($L305)*Summary_LCIA!AB$32</f>
        <v>0.10935813274853418</v>
      </c>
      <c r="BG305" s="16">
        <f>$W305*AL305+($L305)*Summary_LCIA!AC$32</f>
        <v>5.5223068594853521E-5</v>
      </c>
      <c r="BH305" s="16">
        <f>$W305*AM305+($L305)*Summary_LCIA!AD$32</f>
        <v>0.1632793816503236</v>
      </c>
      <c r="BI305" s="16">
        <f>$W305*AN305+($L305)*Summary_LCIA!AE$32</f>
        <v>0.43910430460822464</v>
      </c>
      <c r="BJ305" s="16">
        <f>$W305*AO305+($L305)*Summary_LCIA!AF$32</f>
        <v>3.8008172663120489E-2</v>
      </c>
      <c r="BK305" s="16">
        <f>$W305*AP305+($L305)*Summary_LCIA!AG$32</f>
        <v>8.3800783981204888E-3</v>
      </c>
      <c r="BL305" s="16">
        <f>$W305*AQ305+($L305)*Summary_LCIA!AH$32</f>
        <v>1.1809540007443124</v>
      </c>
      <c r="BM305" s="16">
        <f>$W305*AR305+($L305)*Summary_LCIA!AI$32</f>
        <v>0.42039792599981923</v>
      </c>
      <c r="BN305" s="16"/>
    </row>
    <row r="306" spans="1:66" x14ac:dyDescent="0.25">
      <c r="A306" s="159">
        <v>337</v>
      </c>
      <c r="B306" s="159">
        <v>6</v>
      </c>
      <c r="C306" s="45">
        <v>47.650888000000002</v>
      </c>
      <c r="D306" s="45">
        <v>-122.308402</v>
      </c>
      <c r="E306" s="45" t="s">
        <v>265</v>
      </c>
      <c r="F306" s="159">
        <v>29</v>
      </c>
      <c r="G306" s="45" t="s">
        <v>565</v>
      </c>
      <c r="H306" s="45" t="s">
        <v>719</v>
      </c>
      <c r="I306" s="45">
        <v>47.450249999999997</v>
      </c>
      <c r="J306" s="45">
        <v>-122.308817</v>
      </c>
      <c r="K306" s="45">
        <v>43.043934999999998</v>
      </c>
      <c r="L306" s="45">
        <v>27.890999999999998</v>
      </c>
      <c r="M306" s="45" t="s">
        <v>617</v>
      </c>
      <c r="N306" s="159">
        <v>5</v>
      </c>
      <c r="O306" s="159">
        <v>6</v>
      </c>
      <c r="P306" s="45" t="s">
        <v>565</v>
      </c>
      <c r="Q306" s="45" t="s">
        <v>564</v>
      </c>
      <c r="R306" s="45">
        <v>41.98028</v>
      </c>
      <c r="S306" s="45">
        <v>-87.908997900000003</v>
      </c>
      <c r="T306" s="45">
        <v>3302.3910000000001</v>
      </c>
      <c r="U306" s="45" t="s">
        <v>617</v>
      </c>
      <c r="V306" s="45" t="s">
        <v>569</v>
      </c>
      <c r="W306" s="45" cm="1">
        <f t="array" ref="W306">getDistance(R306,S306,I306,J306)*SA!$B$12</f>
        <v>2768.8687134525744</v>
      </c>
      <c r="Y306" s="16">
        <f>Transportation_LCIA!C$61*($W306^Transportation_LCIA!C$60)+Transportation_LCIA!C$62</f>
        <v>0.16449730754705144</v>
      </c>
      <c r="Z306" s="16">
        <f>Transportation_LCIA!D$61*($W306^Transportation_LCIA!D$60)+Transportation_LCIA!D$62</f>
        <v>1.607879629086141</v>
      </c>
      <c r="AA306" s="16">
        <f>Transportation_LCIA!E$61*($W306^Transportation_LCIA!E$60)+Transportation_LCIA!E$62</f>
        <v>6.0954274059017775E-4</v>
      </c>
      <c r="AB306" s="16">
        <f>Transportation_LCIA!F$61*($W306^Transportation_LCIA!F$60)+Transportation_LCIA!F$62</f>
        <v>0.16449730754705144</v>
      </c>
      <c r="AC306" s="16">
        <f>Transportation_LCIA!G$61*($W306^Transportation_LCIA!G$60)+Transportation_LCIA!G$62</f>
        <v>3.7750848214414753E-2</v>
      </c>
      <c r="AD306" s="16">
        <f>Transportation_LCIA!H$61*($W306^Transportation_LCIA!H$60)+Transportation_LCIA!H$62</f>
        <v>1.6043089519440367E-4</v>
      </c>
      <c r="AE306" s="16">
        <f>Transportation_LCIA!I$61*($W306^Transportation_LCIA!I$60)+Transportation_LCIA!I$62</f>
        <v>3.0394189214429766E-6</v>
      </c>
      <c r="AF306" s="16">
        <f>Transportation_LCIA!J$61*($W306^Transportation_LCIA!J$60)+Transportation_LCIA!J$62</f>
        <v>4.5183612782229779E-3</v>
      </c>
      <c r="AG306" s="16">
        <f>Transportation_LCIA!K$61*($W306^Transportation_LCIA!K$60)+Transportation_LCIA!K$62</f>
        <v>7.678540665617406E-3</v>
      </c>
      <c r="AH306" s="16">
        <f>Transportation_LCIA!L$61*($W306^Transportation_LCIA!L$60)+Transportation_LCIA!L$62</f>
        <v>1.334127552124456E-4</v>
      </c>
      <c r="AI306" s="16">
        <f>Transportation_LCIA!M$61*($W306^Transportation_LCIA!M$60)+Transportation_LCIA!M$62</f>
        <v>1.7942365848941578E-4</v>
      </c>
      <c r="AJ306" s="16">
        <f>Transportation_LCIA!N$61*($W306^Transportation_LCIA!N$60)+Transportation_LCIA!N$62</f>
        <v>5.9808875173019706E-4</v>
      </c>
      <c r="AK306" s="16">
        <f>Transportation_LCIA!O$61*($W306^Transportation_LCIA!O$60)+Transportation_LCIA!O$62</f>
        <v>3.9789606340763481E-5</v>
      </c>
      <c r="AL306" s="16">
        <f>Transportation_LCIA!P$61*($W306^Transportation_LCIA!P$60)+Transportation_LCIA!P$62</f>
        <v>1.928569183631254E-8</v>
      </c>
      <c r="AM306" s="16">
        <f>Transportation_LCIA!Q$61*($W306^Transportation_LCIA!Q$60)+Transportation_LCIA!Q$62</f>
        <v>5.3432059025234691E-5</v>
      </c>
      <c r="AN306" s="16">
        <f>Transportation_LCIA!R$61*($W306^Transportation_LCIA!R$60)+Transportation_LCIA!R$62</f>
        <v>1.4664797765435097E-4</v>
      </c>
      <c r="AO306" s="16">
        <f>Transportation_LCIA!S$61*($W306^Transportation_LCIA!S$60)+Transportation_LCIA!S$62</f>
        <v>2.337225442173834E-6</v>
      </c>
      <c r="AP306" s="16">
        <f>Transportation_LCIA!T$61*($W306^Transportation_LCIA!T$60)+Transportation_LCIA!T$62</f>
        <v>2.337225442173834E-6</v>
      </c>
      <c r="AQ306" s="16">
        <f>Transportation_LCIA!U$61*($W306^Transportation_LCIA!U$60)+Transportation_LCIA!U$62</f>
        <v>3.0925395840693005E-4</v>
      </c>
      <c r="AR306" s="16">
        <f>Transportation_LCIA!V$61*($W306^Transportation_LCIA!V$60)+Transportation_LCIA!V$62</f>
        <v>1.3928010182503176E-4</v>
      </c>
      <c r="AT306" s="16">
        <f>$W306*Y306+($L306)*Summary_LCIA!H$32</f>
        <v>464.94881011421677</v>
      </c>
      <c r="AU306" s="16">
        <f>$W306*Z306+($L306)*Summary_LCIA!Q$32</f>
        <v>4590.2368026011491</v>
      </c>
      <c r="AV306" s="16">
        <f>$W306*AA306+($L306)*Summary_LCIA!R$32</f>
        <v>1.8346066735322817</v>
      </c>
      <c r="AW306" s="16">
        <f>$W306*AB306+($L306)*Summary_LCIA!S$32</f>
        <v>464.82553189421679</v>
      </c>
      <c r="AX306" s="16">
        <f>$W306*AC306+($L306)*Summary_LCIA!T$32</f>
        <v>107.59236342718999</v>
      </c>
      <c r="AY306" s="16">
        <f>$W306*AD306+($L306)*Summary_LCIA!U$32</f>
        <v>0.94385146037497325</v>
      </c>
      <c r="AZ306" s="16">
        <f>$W306*AE306+($L306)*Summary_LCIA!V$32</f>
        <v>9.747854009659225E-3</v>
      </c>
      <c r="BA306" s="16">
        <f>$W306*AF306+($L306)*Summary_LCIA!W$32</f>
        <v>14.657547340347186</v>
      </c>
      <c r="BB306" s="16">
        <f>$W306*AG306+($L306)*Summary_LCIA!X$32</f>
        <v>21.896227994001343</v>
      </c>
      <c r="BC306" s="16">
        <f>$W306*AH306+($L306)*Summary_LCIA!Y$32</f>
        <v>0.80399996588324751</v>
      </c>
      <c r="BD306" s="16">
        <f>$W306*AI306+($L306)*Summary_LCIA!Z$32</f>
        <v>0.49794433646354275</v>
      </c>
      <c r="BE306" s="16">
        <f>$W306*AJ306+($L306)*Summary_LCIA!AA$32</f>
        <v>2.3074514285336472</v>
      </c>
      <c r="BF306" s="16">
        <f>$W306*AK306+($L306)*Summary_LCIA!AB$32</f>
        <v>0.10956353082453418</v>
      </c>
      <c r="BG306" s="16">
        <f>$W306*AL306+($L306)*Summary_LCIA!AC$32</f>
        <v>5.4762972386853521E-5</v>
      </c>
      <c r="BH306" s="16">
        <f>$W306*AM306+($L306)*Summary_LCIA!AD$32</f>
        <v>0.15941067317032359</v>
      </c>
      <c r="BI306" s="16">
        <f>$W306*AN306+($L306)*Summary_LCIA!AE$32</f>
        <v>0.43076404904822463</v>
      </c>
      <c r="BJ306" s="16">
        <f>$W306*AO306+($L306)*Summary_LCIA!AF$32</f>
        <v>3.0051079623120487E-2</v>
      </c>
      <c r="BK306" s="16">
        <f>$W306*AP306+($L306)*Summary_LCIA!AG$32</f>
        <v>7.898513418120489E-3</v>
      </c>
      <c r="BL306" s="16">
        <f>$W306*AQ306+($L306)*Summary_LCIA!AH$32</f>
        <v>1.0990357175443124</v>
      </c>
      <c r="BM306" s="16">
        <f>$W306*AR306+($L306)*Summary_LCIA!AI$32</f>
        <v>0.41163017739981922</v>
      </c>
      <c r="BN306" s="16"/>
    </row>
    <row r="307" spans="1:66" x14ac:dyDescent="0.25">
      <c r="A307" s="159">
        <v>338</v>
      </c>
      <c r="B307" s="159">
        <v>6</v>
      </c>
      <c r="C307" s="45">
        <v>47.650888000000002</v>
      </c>
      <c r="D307" s="45">
        <v>-122.308402</v>
      </c>
      <c r="E307" s="45" t="s">
        <v>265</v>
      </c>
      <c r="F307" s="159">
        <v>29</v>
      </c>
      <c r="G307" s="45" t="s">
        <v>565</v>
      </c>
      <c r="H307" s="45" t="s">
        <v>719</v>
      </c>
      <c r="I307" s="45">
        <v>47.450249999999997</v>
      </c>
      <c r="J307" s="45">
        <v>-122.308817</v>
      </c>
      <c r="K307" s="45">
        <v>43.043934999999998</v>
      </c>
      <c r="L307" s="45">
        <v>27.890999999999998</v>
      </c>
      <c r="M307" s="45" t="s">
        <v>617</v>
      </c>
      <c r="N307" s="159">
        <v>5</v>
      </c>
      <c r="O307" s="159">
        <v>6</v>
      </c>
      <c r="P307" s="45" t="s">
        <v>565</v>
      </c>
      <c r="Q307" s="45" t="s">
        <v>564</v>
      </c>
      <c r="R307" s="45">
        <v>41.98028</v>
      </c>
      <c r="S307" s="45">
        <v>-87.908997900000003</v>
      </c>
      <c r="T307" s="45">
        <v>3302.3910000000001</v>
      </c>
      <c r="U307" s="45" t="s">
        <v>617</v>
      </c>
      <c r="V307" s="45" t="s">
        <v>569</v>
      </c>
      <c r="W307" s="45" cm="1">
        <f t="array" ref="W307">getDistance(R307,S307,I307,J307)*SA!$B$12</f>
        <v>2768.8687134525744</v>
      </c>
      <c r="Y307" s="16">
        <f>Transportation_LCIA!C$61*($W307^Transportation_LCIA!C$60)+Transportation_LCIA!C$62</f>
        <v>0.16449730754705144</v>
      </c>
      <c r="Z307" s="16">
        <f>Transportation_LCIA!D$61*($W307^Transportation_LCIA!D$60)+Transportation_LCIA!D$62</f>
        <v>1.607879629086141</v>
      </c>
      <c r="AA307" s="16">
        <f>Transportation_LCIA!E$61*($W307^Transportation_LCIA!E$60)+Transportation_LCIA!E$62</f>
        <v>6.0954274059017775E-4</v>
      </c>
      <c r="AB307" s="16">
        <f>Transportation_LCIA!F$61*($W307^Transportation_LCIA!F$60)+Transportation_LCIA!F$62</f>
        <v>0.16449730754705144</v>
      </c>
      <c r="AC307" s="16">
        <f>Transportation_LCIA!G$61*($W307^Transportation_LCIA!G$60)+Transportation_LCIA!G$62</f>
        <v>3.7750848214414753E-2</v>
      </c>
      <c r="AD307" s="16">
        <f>Transportation_LCIA!H$61*($W307^Transportation_LCIA!H$60)+Transportation_LCIA!H$62</f>
        <v>1.6043089519440367E-4</v>
      </c>
      <c r="AE307" s="16">
        <f>Transportation_LCIA!I$61*($W307^Transportation_LCIA!I$60)+Transportation_LCIA!I$62</f>
        <v>3.0394189214429766E-6</v>
      </c>
      <c r="AF307" s="16">
        <f>Transportation_LCIA!J$61*($W307^Transportation_LCIA!J$60)+Transportation_LCIA!J$62</f>
        <v>4.5183612782229779E-3</v>
      </c>
      <c r="AG307" s="16">
        <f>Transportation_LCIA!K$61*($W307^Transportation_LCIA!K$60)+Transportation_LCIA!K$62</f>
        <v>7.678540665617406E-3</v>
      </c>
      <c r="AH307" s="16">
        <f>Transportation_LCIA!L$61*($W307^Transportation_LCIA!L$60)+Transportation_LCIA!L$62</f>
        <v>1.334127552124456E-4</v>
      </c>
      <c r="AI307" s="16">
        <f>Transportation_LCIA!M$61*($W307^Transportation_LCIA!M$60)+Transportation_LCIA!M$62</f>
        <v>1.7942365848941578E-4</v>
      </c>
      <c r="AJ307" s="16">
        <f>Transportation_LCIA!N$61*($W307^Transportation_LCIA!N$60)+Transportation_LCIA!N$62</f>
        <v>5.9808875173019706E-4</v>
      </c>
      <c r="AK307" s="16">
        <f>Transportation_LCIA!O$61*($W307^Transportation_LCIA!O$60)+Transportation_LCIA!O$62</f>
        <v>3.9789606340763481E-5</v>
      </c>
      <c r="AL307" s="16">
        <f>Transportation_LCIA!P$61*($W307^Transportation_LCIA!P$60)+Transportation_LCIA!P$62</f>
        <v>1.928569183631254E-8</v>
      </c>
      <c r="AM307" s="16">
        <f>Transportation_LCIA!Q$61*($W307^Transportation_LCIA!Q$60)+Transportation_LCIA!Q$62</f>
        <v>5.3432059025234691E-5</v>
      </c>
      <c r="AN307" s="16">
        <f>Transportation_LCIA!R$61*($W307^Transportation_LCIA!R$60)+Transportation_LCIA!R$62</f>
        <v>1.4664797765435097E-4</v>
      </c>
      <c r="AO307" s="16">
        <f>Transportation_LCIA!S$61*($W307^Transportation_LCIA!S$60)+Transportation_LCIA!S$62</f>
        <v>2.337225442173834E-6</v>
      </c>
      <c r="AP307" s="16">
        <f>Transportation_LCIA!T$61*($W307^Transportation_LCIA!T$60)+Transportation_LCIA!T$62</f>
        <v>2.337225442173834E-6</v>
      </c>
      <c r="AQ307" s="16">
        <f>Transportation_LCIA!U$61*($W307^Transportation_LCIA!U$60)+Transportation_LCIA!U$62</f>
        <v>3.0925395840693005E-4</v>
      </c>
      <c r="AR307" s="16">
        <f>Transportation_LCIA!V$61*($W307^Transportation_LCIA!V$60)+Transportation_LCIA!V$62</f>
        <v>1.3928010182503176E-4</v>
      </c>
      <c r="AT307" s="16">
        <f>$W307*Y307+($L307)*Summary_LCIA!H$32</f>
        <v>464.94881011421677</v>
      </c>
      <c r="AU307" s="16">
        <f>$W307*Z307+($L307)*Summary_LCIA!Q$32</f>
        <v>4590.2368026011491</v>
      </c>
      <c r="AV307" s="16">
        <f>$W307*AA307+($L307)*Summary_LCIA!R$32</f>
        <v>1.8346066735322817</v>
      </c>
      <c r="AW307" s="16">
        <f>$W307*AB307+($L307)*Summary_LCIA!S$32</f>
        <v>464.82553189421679</v>
      </c>
      <c r="AX307" s="16">
        <f>$W307*AC307+($L307)*Summary_LCIA!T$32</f>
        <v>107.59236342718999</v>
      </c>
      <c r="AY307" s="16">
        <f>$W307*AD307+($L307)*Summary_LCIA!U$32</f>
        <v>0.94385146037497325</v>
      </c>
      <c r="AZ307" s="16">
        <f>$W307*AE307+($L307)*Summary_LCIA!V$32</f>
        <v>9.747854009659225E-3</v>
      </c>
      <c r="BA307" s="16">
        <f>$W307*AF307+($L307)*Summary_LCIA!W$32</f>
        <v>14.657547340347186</v>
      </c>
      <c r="BB307" s="16">
        <f>$W307*AG307+($L307)*Summary_LCIA!X$32</f>
        <v>21.896227994001343</v>
      </c>
      <c r="BC307" s="16">
        <f>$W307*AH307+($L307)*Summary_LCIA!Y$32</f>
        <v>0.80399996588324751</v>
      </c>
      <c r="BD307" s="16">
        <f>$W307*AI307+($L307)*Summary_LCIA!Z$32</f>
        <v>0.49794433646354275</v>
      </c>
      <c r="BE307" s="16">
        <f>$W307*AJ307+($L307)*Summary_LCIA!AA$32</f>
        <v>2.3074514285336472</v>
      </c>
      <c r="BF307" s="16">
        <f>$W307*AK307+($L307)*Summary_LCIA!AB$32</f>
        <v>0.10956353082453418</v>
      </c>
      <c r="BG307" s="16">
        <f>$W307*AL307+($L307)*Summary_LCIA!AC$32</f>
        <v>5.4762972386853521E-5</v>
      </c>
      <c r="BH307" s="16">
        <f>$W307*AM307+($L307)*Summary_LCIA!AD$32</f>
        <v>0.15941067317032359</v>
      </c>
      <c r="BI307" s="16">
        <f>$W307*AN307+($L307)*Summary_LCIA!AE$32</f>
        <v>0.43076404904822463</v>
      </c>
      <c r="BJ307" s="16">
        <f>$W307*AO307+($L307)*Summary_LCIA!AF$32</f>
        <v>3.0051079623120487E-2</v>
      </c>
      <c r="BK307" s="16">
        <f>$W307*AP307+($L307)*Summary_LCIA!AG$32</f>
        <v>7.898513418120489E-3</v>
      </c>
      <c r="BL307" s="16">
        <f>$W307*AQ307+($L307)*Summary_LCIA!AH$32</f>
        <v>1.0990357175443124</v>
      </c>
      <c r="BM307" s="16">
        <f>$W307*AR307+($L307)*Summary_LCIA!AI$32</f>
        <v>0.41163017739981922</v>
      </c>
      <c r="BN307" s="16"/>
    </row>
    <row r="308" spans="1:66" x14ac:dyDescent="0.25">
      <c r="A308" s="159">
        <v>339</v>
      </c>
      <c r="B308" s="159">
        <v>6</v>
      </c>
      <c r="C308" s="45">
        <v>47.650888000000002</v>
      </c>
      <c r="D308" s="45">
        <v>-122.308402</v>
      </c>
      <c r="E308" s="45" t="s">
        <v>265</v>
      </c>
      <c r="F308" s="159">
        <v>29</v>
      </c>
      <c r="G308" s="45" t="s">
        <v>565</v>
      </c>
      <c r="H308" s="45" t="s">
        <v>719</v>
      </c>
      <c r="I308" s="45">
        <v>47.450249999999997</v>
      </c>
      <c r="J308" s="45">
        <v>-122.308817</v>
      </c>
      <c r="K308" s="45">
        <v>43.043934999999998</v>
      </c>
      <c r="L308" s="45">
        <v>27.890999999999998</v>
      </c>
      <c r="M308" s="45" t="s">
        <v>617</v>
      </c>
      <c r="N308" s="159">
        <v>5</v>
      </c>
      <c r="O308" s="159">
        <v>6</v>
      </c>
      <c r="P308" s="45" t="s">
        <v>565</v>
      </c>
      <c r="Q308" s="45" t="s">
        <v>564</v>
      </c>
      <c r="R308" s="45">
        <v>41.98028</v>
      </c>
      <c r="S308" s="45">
        <v>-87.908997900000003</v>
      </c>
      <c r="T308" s="45">
        <v>3302.3910000000001</v>
      </c>
      <c r="U308" s="45" t="s">
        <v>617</v>
      </c>
      <c r="V308" s="45" t="s">
        <v>569</v>
      </c>
      <c r="W308" s="45" cm="1">
        <f t="array" ref="W308">getDistance(R308,S308,I308,J308)*SA!$B$12</f>
        <v>2768.8687134525744</v>
      </c>
      <c r="Y308" s="16">
        <f>Transportation_LCIA!C$61*($W308^Transportation_LCIA!C$60)+Transportation_LCIA!C$62</f>
        <v>0.16449730754705144</v>
      </c>
      <c r="Z308" s="16">
        <f>Transportation_LCIA!D$61*($W308^Transportation_LCIA!D$60)+Transportation_LCIA!D$62</f>
        <v>1.607879629086141</v>
      </c>
      <c r="AA308" s="16">
        <f>Transportation_LCIA!E$61*($W308^Transportation_LCIA!E$60)+Transportation_LCIA!E$62</f>
        <v>6.0954274059017775E-4</v>
      </c>
      <c r="AB308" s="16">
        <f>Transportation_LCIA!F$61*($W308^Transportation_LCIA!F$60)+Transportation_LCIA!F$62</f>
        <v>0.16449730754705144</v>
      </c>
      <c r="AC308" s="16">
        <f>Transportation_LCIA!G$61*($W308^Transportation_LCIA!G$60)+Transportation_LCIA!G$62</f>
        <v>3.7750848214414753E-2</v>
      </c>
      <c r="AD308" s="16">
        <f>Transportation_LCIA!H$61*($W308^Transportation_LCIA!H$60)+Transportation_LCIA!H$62</f>
        <v>1.6043089519440367E-4</v>
      </c>
      <c r="AE308" s="16">
        <f>Transportation_LCIA!I$61*($W308^Transportation_LCIA!I$60)+Transportation_LCIA!I$62</f>
        <v>3.0394189214429766E-6</v>
      </c>
      <c r="AF308" s="16">
        <f>Transportation_LCIA!J$61*($W308^Transportation_LCIA!J$60)+Transportation_LCIA!J$62</f>
        <v>4.5183612782229779E-3</v>
      </c>
      <c r="AG308" s="16">
        <f>Transportation_LCIA!K$61*($W308^Transportation_LCIA!K$60)+Transportation_LCIA!K$62</f>
        <v>7.678540665617406E-3</v>
      </c>
      <c r="AH308" s="16">
        <f>Transportation_LCIA!L$61*($W308^Transportation_LCIA!L$60)+Transportation_LCIA!L$62</f>
        <v>1.334127552124456E-4</v>
      </c>
      <c r="AI308" s="16">
        <f>Transportation_LCIA!M$61*($W308^Transportation_LCIA!M$60)+Transportation_LCIA!M$62</f>
        <v>1.7942365848941578E-4</v>
      </c>
      <c r="AJ308" s="16">
        <f>Transportation_LCIA!N$61*($W308^Transportation_LCIA!N$60)+Transportation_LCIA!N$62</f>
        <v>5.9808875173019706E-4</v>
      </c>
      <c r="AK308" s="16">
        <f>Transportation_LCIA!O$61*($W308^Transportation_LCIA!O$60)+Transportation_LCIA!O$62</f>
        <v>3.9789606340763481E-5</v>
      </c>
      <c r="AL308" s="16">
        <f>Transportation_LCIA!P$61*($W308^Transportation_LCIA!P$60)+Transportation_LCIA!P$62</f>
        <v>1.928569183631254E-8</v>
      </c>
      <c r="AM308" s="16">
        <f>Transportation_LCIA!Q$61*($W308^Transportation_LCIA!Q$60)+Transportation_LCIA!Q$62</f>
        <v>5.3432059025234691E-5</v>
      </c>
      <c r="AN308" s="16">
        <f>Transportation_LCIA!R$61*($W308^Transportation_LCIA!R$60)+Transportation_LCIA!R$62</f>
        <v>1.4664797765435097E-4</v>
      </c>
      <c r="AO308" s="16">
        <f>Transportation_LCIA!S$61*($W308^Transportation_LCIA!S$60)+Transportation_LCIA!S$62</f>
        <v>2.337225442173834E-6</v>
      </c>
      <c r="AP308" s="16">
        <f>Transportation_LCIA!T$61*($W308^Transportation_LCIA!T$60)+Transportation_LCIA!T$62</f>
        <v>2.337225442173834E-6</v>
      </c>
      <c r="AQ308" s="16">
        <f>Transportation_LCIA!U$61*($W308^Transportation_LCIA!U$60)+Transportation_LCIA!U$62</f>
        <v>3.0925395840693005E-4</v>
      </c>
      <c r="AR308" s="16">
        <f>Transportation_LCIA!V$61*($W308^Transportation_LCIA!V$60)+Transportation_LCIA!V$62</f>
        <v>1.3928010182503176E-4</v>
      </c>
      <c r="AT308" s="16">
        <f>$W308*Y308+($L308)*Summary_LCIA!H$32</f>
        <v>464.94881011421677</v>
      </c>
      <c r="AU308" s="16">
        <f>$W308*Z308+($L308)*Summary_LCIA!Q$32</f>
        <v>4590.2368026011491</v>
      </c>
      <c r="AV308" s="16">
        <f>$W308*AA308+($L308)*Summary_LCIA!R$32</f>
        <v>1.8346066735322817</v>
      </c>
      <c r="AW308" s="16">
        <f>$W308*AB308+($L308)*Summary_LCIA!S$32</f>
        <v>464.82553189421679</v>
      </c>
      <c r="AX308" s="16">
        <f>$W308*AC308+($L308)*Summary_LCIA!T$32</f>
        <v>107.59236342718999</v>
      </c>
      <c r="AY308" s="16">
        <f>$W308*AD308+($L308)*Summary_LCIA!U$32</f>
        <v>0.94385146037497325</v>
      </c>
      <c r="AZ308" s="16">
        <f>$W308*AE308+($L308)*Summary_LCIA!V$32</f>
        <v>9.747854009659225E-3</v>
      </c>
      <c r="BA308" s="16">
        <f>$W308*AF308+($L308)*Summary_LCIA!W$32</f>
        <v>14.657547340347186</v>
      </c>
      <c r="BB308" s="16">
        <f>$W308*AG308+($L308)*Summary_LCIA!X$32</f>
        <v>21.896227994001343</v>
      </c>
      <c r="BC308" s="16">
        <f>$W308*AH308+($L308)*Summary_LCIA!Y$32</f>
        <v>0.80399996588324751</v>
      </c>
      <c r="BD308" s="16">
        <f>$W308*AI308+($L308)*Summary_LCIA!Z$32</f>
        <v>0.49794433646354275</v>
      </c>
      <c r="BE308" s="16">
        <f>$W308*AJ308+($L308)*Summary_LCIA!AA$32</f>
        <v>2.3074514285336472</v>
      </c>
      <c r="BF308" s="16">
        <f>$W308*AK308+($L308)*Summary_LCIA!AB$32</f>
        <v>0.10956353082453418</v>
      </c>
      <c r="BG308" s="16">
        <f>$W308*AL308+($L308)*Summary_LCIA!AC$32</f>
        <v>5.4762972386853521E-5</v>
      </c>
      <c r="BH308" s="16">
        <f>$W308*AM308+($L308)*Summary_LCIA!AD$32</f>
        <v>0.15941067317032359</v>
      </c>
      <c r="BI308" s="16">
        <f>$W308*AN308+($L308)*Summary_LCIA!AE$32</f>
        <v>0.43076404904822463</v>
      </c>
      <c r="BJ308" s="16">
        <f>$W308*AO308+($L308)*Summary_LCIA!AF$32</f>
        <v>3.0051079623120487E-2</v>
      </c>
      <c r="BK308" s="16">
        <f>$W308*AP308+($L308)*Summary_LCIA!AG$32</f>
        <v>7.898513418120489E-3</v>
      </c>
      <c r="BL308" s="16">
        <f>$W308*AQ308+($L308)*Summary_LCIA!AH$32</f>
        <v>1.0990357175443124</v>
      </c>
      <c r="BM308" s="16">
        <f>$W308*AR308+($L308)*Summary_LCIA!AI$32</f>
        <v>0.41163017739981922</v>
      </c>
      <c r="BN308" s="16"/>
    </row>
    <row r="309" spans="1:66" x14ac:dyDescent="0.25">
      <c r="A309" s="159">
        <v>203</v>
      </c>
      <c r="B309" s="159">
        <v>6</v>
      </c>
      <c r="C309" s="45">
        <v>38.544907000000002</v>
      </c>
      <c r="D309" s="45">
        <v>-121.740517</v>
      </c>
      <c r="E309" s="45" t="s">
        <v>265</v>
      </c>
      <c r="F309" s="159">
        <v>100</v>
      </c>
      <c r="G309" s="45" t="s">
        <v>280</v>
      </c>
      <c r="H309" s="45" t="s">
        <v>627</v>
      </c>
      <c r="I309" s="45">
        <v>38.695084999999999</v>
      </c>
      <c r="J309" s="45">
        <v>-121.590065</v>
      </c>
      <c r="K309" s="45">
        <v>29.866794039999998</v>
      </c>
      <c r="L309" s="45">
        <v>36.277000000000001</v>
      </c>
      <c r="M309" s="45" t="s">
        <v>617</v>
      </c>
      <c r="N309" s="159">
        <v>5</v>
      </c>
      <c r="O309" s="159">
        <v>6</v>
      </c>
      <c r="P309" s="45" t="s">
        <v>565</v>
      </c>
      <c r="Q309" s="45" t="s">
        <v>564</v>
      </c>
      <c r="R309" s="45">
        <v>41.98028</v>
      </c>
      <c r="S309" s="45">
        <v>-87.908997900000003</v>
      </c>
      <c r="T309" s="45">
        <v>3304.9380000000001</v>
      </c>
      <c r="U309" s="45" t="s">
        <v>617</v>
      </c>
      <c r="V309" s="45" t="s">
        <v>569</v>
      </c>
      <c r="W309" s="45" cm="1">
        <f t="array" ref="W309">getDistance(R309,S309,I309,J309)*SA!$B$12</f>
        <v>2866.5708095408991</v>
      </c>
      <c r="Y309" s="16">
        <f>Transportation_LCIA!C$61*($W309^Transportation_LCIA!C$60)+Transportation_LCIA!C$62</f>
        <v>0.16298870690602826</v>
      </c>
      <c r="Z309" s="16">
        <f>Transportation_LCIA!D$61*($W309^Transportation_LCIA!D$60)+Transportation_LCIA!D$62</f>
        <v>1.5910516106221975</v>
      </c>
      <c r="AA309" s="16">
        <f>Transportation_LCIA!E$61*($W309^Transportation_LCIA!E$60)+Transportation_LCIA!E$62</f>
        <v>5.9861809437385593E-4</v>
      </c>
      <c r="AB309" s="16">
        <f>Transportation_LCIA!F$61*($W309^Transportation_LCIA!F$60)+Transportation_LCIA!F$62</f>
        <v>0.16298870690602826</v>
      </c>
      <c r="AC309" s="16">
        <f>Transportation_LCIA!G$61*($W309^Transportation_LCIA!G$60)+Transportation_LCIA!G$62</f>
        <v>3.7360492548125707E-2</v>
      </c>
      <c r="AD309" s="16">
        <f>Transportation_LCIA!H$61*($W309^Transportation_LCIA!H$60)+Transportation_LCIA!H$62</f>
        <v>1.5808826755310093E-4</v>
      </c>
      <c r="AE309" s="16">
        <f>Transportation_LCIA!I$61*($W309^Transportation_LCIA!I$60)+Transportation_LCIA!I$62</f>
        <v>2.9827806887960309E-6</v>
      </c>
      <c r="AF309" s="16">
        <f>Transportation_LCIA!J$61*($W309^Transportation_LCIA!J$60)+Transportation_LCIA!J$62</f>
        <v>4.4362081875416477E-3</v>
      </c>
      <c r="AG309" s="16">
        <f>Transportation_LCIA!K$61*($W309^Transportation_LCIA!K$60)+Transportation_LCIA!K$62</f>
        <v>7.5894740986676233E-3</v>
      </c>
      <c r="AH309" s="16">
        <f>Transportation_LCIA!L$61*($W309^Transportation_LCIA!L$60)+Transportation_LCIA!L$62</f>
        <v>1.3128371273567904E-4</v>
      </c>
      <c r="AI309" s="16">
        <f>Transportation_LCIA!M$61*($W309^Transportation_LCIA!M$60)+Transportation_LCIA!M$62</f>
        <v>1.7813254821628225E-4</v>
      </c>
      <c r="AJ309" s="16">
        <f>Transportation_LCIA!N$61*($W309^Transportation_LCIA!N$60)+Transportation_LCIA!N$62</f>
        <v>5.9018713209969017E-4</v>
      </c>
      <c r="AK309" s="16">
        <f>Transportation_LCIA!O$61*($W309^Transportation_LCIA!O$60)+Transportation_LCIA!O$62</f>
        <v>3.9375317661392519E-5</v>
      </c>
      <c r="AL309" s="16">
        <f>Transportation_LCIA!P$61*($W309^Transportation_LCIA!P$60)+Transportation_LCIA!P$62</f>
        <v>1.9085836103610033E-8</v>
      </c>
      <c r="AM309" s="16">
        <f>Transportation_LCIA!Q$61*($W309^Transportation_LCIA!Q$60)+Transportation_LCIA!Q$62</f>
        <v>5.2604740279553396E-5</v>
      </c>
      <c r="AN309" s="16">
        <f>Transportation_LCIA!R$61*($W309^Transportation_LCIA!R$60)+Transportation_LCIA!R$62</f>
        <v>1.4393465574244195E-4</v>
      </c>
      <c r="AO309" s="16">
        <f>Transportation_LCIA!S$61*($W309^Transportation_LCIA!S$60)+Transportation_LCIA!S$62</f>
        <v>2.2986479609562805E-6</v>
      </c>
      <c r="AP309" s="16">
        <f>Transportation_LCIA!T$61*($W309^Transportation_LCIA!T$60)+Transportation_LCIA!T$62</f>
        <v>2.2986479609562805E-6</v>
      </c>
      <c r="AQ309" s="16">
        <f>Transportation_LCIA!U$61*($W309^Transportation_LCIA!U$60)+Transportation_LCIA!U$62</f>
        <v>3.03349000821717E-4</v>
      </c>
      <c r="AR309" s="16">
        <f>Transportation_LCIA!V$61*($W309^Transportation_LCIA!V$60)+Transportation_LCIA!V$62</f>
        <v>1.3714496014112509E-4</v>
      </c>
      <c r="AT309" s="16">
        <f>$W309*Y309+($L309)*Summary_LCIA!H$32</f>
        <v>479.54559410163773</v>
      </c>
      <c r="AU309" s="16">
        <f>$W309*Z309+($L309)*Summary_LCIA!Q$32</f>
        <v>4740.6527450405647</v>
      </c>
      <c r="AV309" s="16">
        <f>$W309*AA309+($L309)*Summary_LCIA!R$32</f>
        <v>1.9070013265950945</v>
      </c>
      <c r="AW309" s="16">
        <f>$W309*AB309+($L309)*Summary_LCIA!S$32</f>
        <v>479.38524976163774</v>
      </c>
      <c r="AX309" s="16">
        <f>$W309*AC309+($L309)*Summary_LCIA!T$32</f>
        <v>111.08333966852744</v>
      </c>
      <c r="AY309" s="16">
        <f>$W309*AD309+($L309)*Summary_LCIA!U$32</f>
        <v>1.1030373910986109</v>
      </c>
      <c r="AZ309" s="16">
        <f>$W309*AE309+($L309)*Summary_LCIA!V$32</f>
        <v>1.0282977850764999E-2</v>
      </c>
      <c r="BA309" s="16">
        <f>$W309*AF309+($L309)*Summary_LCIA!W$32</f>
        <v>15.508981862453226</v>
      </c>
      <c r="BB309" s="16">
        <f>$W309*AG309+($L309)*Summary_LCIA!X$32</f>
        <v>22.582154971007334</v>
      </c>
      <c r="BC309" s="16">
        <f>$W309*AH309+($L309)*Summary_LCIA!Y$32</f>
        <v>0.9416022726962503</v>
      </c>
      <c r="BD309" s="16">
        <f>$W309*AI309+($L309)*Summary_LCIA!Z$32</f>
        <v>0.51211724643893142</v>
      </c>
      <c r="BE309" s="16">
        <f>$W309*AJ309+($L309)*Summary_LCIA!AA$32</f>
        <v>2.5390988170436302</v>
      </c>
      <c r="BF309" s="16">
        <f>$W309*AK309+($L309)*Summary_LCIA!AB$32</f>
        <v>0.11208046325354802</v>
      </c>
      <c r="BG309" s="16">
        <f>$W309*AL309+($L309)*Summary_LCIA!AC$32</f>
        <v>5.6484265518290334E-5</v>
      </c>
      <c r="BH309" s="16">
        <f>$W309*AM309+($L309)*Summary_LCIA!AD$32</f>
        <v>0.16570651100884812</v>
      </c>
      <c r="BI309" s="16">
        <f>$W309*AN309+($L309)*Summary_LCIA!AE$32</f>
        <v>0.44474502064260241</v>
      </c>
      <c r="BJ309" s="16">
        <f>$W309*AO309+($L309)*Summary_LCIA!AF$32</f>
        <v>3.7258538486287983E-2</v>
      </c>
      <c r="BK309" s="16">
        <f>$W309*AP309+($L309)*Summary_LCIA!AG$32</f>
        <v>8.4453498512879824E-3</v>
      </c>
      <c r="BL309" s="16">
        <f>$W309*AQ309+($L309)*Summary_LCIA!AH$32</f>
        <v>1.1853118880589322</v>
      </c>
      <c r="BM309" s="16">
        <f>$W309*AR309+($L309)*Summary_LCIA!AI$32</f>
        <v>0.4269295787661993</v>
      </c>
      <c r="BN309" s="16"/>
    </row>
    <row r="310" spans="1:66" x14ac:dyDescent="0.25">
      <c r="A310" s="159">
        <v>12</v>
      </c>
      <c r="B310" s="159">
        <v>6</v>
      </c>
      <c r="C310" s="45">
        <v>38.538727999999999</v>
      </c>
      <c r="D310" s="45">
        <v>-121.75308200000001</v>
      </c>
      <c r="E310" s="45" t="s">
        <v>265</v>
      </c>
      <c r="F310" s="159">
        <v>100</v>
      </c>
      <c r="G310" s="45" t="s">
        <v>280</v>
      </c>
      <c r="H310" s="45" t="s">
        <v>627</v>
      </c>
      <c r="I310" s="45">
        <v>38.695084999999999</v>
      </c>
      <c r="J310" s="45">
        <v>-121.590065</v>
      </c>
      <c r="K310" s="45">
        <v>31.070852179999999</v>
      </c>
      <c r="L310" s="45">
        <v>34.07</v>
      </c>
      <c r="M310" s="45" t="s">
        <v>617</v>
      </c>
      <c r="N310" s="159">
        <v>5</v>
      </c>
      <c r="O310" s="159">
        <v>6</v>
      </c>
      <c r="P310" s="45" t="s">
        <v>565</v>
      </c>
      <c r="Q310" s="45" t="s">
        <v>564</v>
      </c>
      <c r="R310" s="45">
        <v>41.98028</v>
      </c>
      <c r="S310" s="45">
        <v>-87.908997900000003</v>
      </c>
      <c r="T310" s="45">
        <v>3310.3429999999998</v>
      </c>
      <c r="U310" s="45" t="s">
        <v>617</v>
      </c>
      <c r="V310" s="45" t="s">
        <v>569</v>
      </c>
      <c r="W310" s="45" cm="1">
        <f t="array" ref="W310">getDistance(R310,S310,I310,J310)*SA!$B$12</f>
        <v>2866.5708095408991</v>
      </c>
      <c r="Y310" s="16">
        <f>Transportation_LCIA!C$61*($W310^Transportation_LCIA!C$60)+Transportation_LCIA!C$62</f>
        <v>0.16298870690602826</v>
      </c>
      <c r="Z310" s="16">
        <f>Transportation_LCIA!D$61*($W310^Transportation_LCIA!D$60)+Transportation_LCIA!D$62</f>
        <v>1.5910516106221975</v>
      </c>
      <c r="AA310" s="16">
        <f>Transportation_LCIA!E$61*($W310^Transportation_LCIA!E$60)+Transportation_LCIA!E$62</f>
        <v>5.9861809437385593E-4</v>
      </c>
      <c r="AB310" s="16">
        <f>Transportation_LCIA!F$61*($W310^Transportation_LCIA!F$60)+Transportation_LCIA!F$62</f>
        <v>0.16298870690602826</v>
      </c>
      <c r="AC310" s="16">
        <f>Transportation_LCIA!G$61*($W310^Transportation_LCIA!G$60)+Transportation_LCIA!G$62</f>
        <v>3.7360492548125707E-2</v>
      </c>
      <c r="AD310" s="16">
        <f>Transportation_LCIA!H$61*($W310^Transportation_LCIA!H$60)+Transportation_LCIA!H$62</f>
        <v>1.5808826755310093E-4</v>
      </c>
      <c r="AE310" s="16">
        <f>Transportation_LCIA!I$61*($W310^Transportation_LCIA!I$60)+Transportation_LCIA!I$62</f>
        <v>2.9827806887960309E-6</v>
      </c>
      <c r="AF310" s="16">
        <f>Transportation_LCIA!J$61*($W310^Transportation_LCIA!J$60)+Transportation_LCIA!J$62</f>
        <v>4.4362081875416477E-3</v>
      </c>
      <c r="AG310" s="16">
        <f>Transportation_LCIA!K$61*($W310^Transportation_LCIA!K$60)+Transportation_LCIA!K$62</f>
        <v>7.5894740986676233E-3</v>
      </c>
      <c r="AH310" s="16">
        <f>Transportation_LCIA!L$61*($W310^Transportation_LCIA!L$60)+Transportation_LCIA!L$62</f>
        <v>1.3128371273567904E-4</v>
      </c>
      <c r="AI310" s="16">
        <f>Transportation_LCIA!M$61*($W310^Transportation_LCIA!M$60)+Transportation_LCIA!M$62</f>
        <v>1.7813254821628225E-4</v>
      </c>
      <c r="AJ310" s="16">
        <f>Transportation_LCIA!N$61*($W310^Transportation_LCIA!N$60)+Transportation_LCIA!N$62</f>
        <v>5.9018713209969017E-4</v>
      </c>
      <c r="AK310" s="16">
        <f>Transportation_LCIA!O$61*($W310^Transportation_LCIA!O$60)+Transportation_LCIA!O$62</f>
        <v>3.9375317661392519E-5</v>
      </c>
      <c r="AL310" s="16">
        <f>Transportation_LCIA!P$61*($W310^Transportation_LCIA!P$60)+Transportation_LCIA!P$62</f>
        <v>1.9085836103610033E-8</v>
      </c>
      <c r="AM310" s="16">
        <f>Transportation_LCIA!Q$61*($W310^Transportation_LCIA!Q$60)+Transportation_LCIA!Q$62</f>
        <v>5.2604740279553396E-5</v>
      </c>
      <c r="AN310" s="16">
        <f>Transportation_LCIA!R$61*($W310^Transportation_LCIA!R$60)+Transportation_LCIA!R$62</f>
        <v>1.4393465574244195E-4</v>
      </c>
      <c r="AO310" s="16">
        <f>Transportation_LCIA!S$61*($W310^Transportation_LCIA!S$60)+Transportation_LCIA!S$62</f>
        <v>2.2986479609562805E-6</v>
      </c>
      <c r="AP310" s="16">
        <f>Transportation_LCIA!T$61*($W310^Transportation_LCIA!T$60)+Transportation_LCIA!T$62</f>
        <v>2.2986479609562805E-6</v>
      </c>
      <c r="AQ310" s="16">
        <f>Transportation_LCIA!U$61*($W310^Transportation_LCIA!U$60)+Transportation_LCIA!U$62</f>
        <v>3.03349000821717E-4</v>
      </c>
      <c r="AR310" s="16">
        <f>Transportation_LCIA!V$61*($W310^Transportation_LCIA!V$60)+Transportation_LCIA!V$62</f>
        <v>1.3714496014112509E-4</v>
      </c>
      <c r="AT310" s="16">
        <f>$W310*Y310+($L310)*Summary_LCIA!H$32</f>
        <v>478.79565550163773</v>
      </c>
      <c r="AU310" s="16">
        <f>$W310*Z310+($L310)*Summary_LCIA!Q$32</f>
        <v>4729.7147417349333</v>
      </c>
      <c r="AV310" s="16">
        <f>$W310*AA310+($L310)*Summary_LCIA!R$32</f>
        <v>1.8953801473950946</v>
      </c>
      <c r="AW310" s="16">
        <f>$W310*AB310+($L310)*Summary_LCIA!S$32</f>
        <v>478.64506610163772</v>
      </c>
      <c r="AX310" s="16">
        <f>$W310*AC310+($L310)*Summary_LCIA!T$32</f>
        <v>110.84079036852744</v>
      </c>
      <c r="AY310" s="16">
        <f>$W310*AD310+($L310)*Summary_LCIA!U$32</f>
        <v>1.0635011930986107</v>
      </c>
      <c r="AZ310" s="16">
        <f>$W310*AE310+($L310)*Summary_LCIA!V$32</f>
        <v>1.0177569323764998E-2</v>
      </c>
      <c r="BA310" s="16">
        <f>$W310*AF310+($L310)*Summary_LCIA!W$32</f>
        <v>15.339106865453227</v>
      </c>
      <c r="BB310" s="16">
        <f>$W310*AG310+($L310)*Summary_LCIA!X$32</f>
        <v>22.531879511007332</v>
      </c>
      <c r="BC310" s="16">
        <f>$W310*AH310+($L310)*Summary_LCIA!Y$32</f>
        <v>0.90721279869625038</v>
      </c>
      <c r="BD310" s="16">
        <f>$W310*AI310+($L310)*Summary_LCIA!Z$32</f>
        <v>0.51202673957593148</v>
      </c>
      <c r="BE310" s="16">
        <f>$W310*AJ310+($L310)*Summary_LCIA!AA$32</f>
        <v>2.4875521250436301</v>
      </c>
      <c r="BF310" s="16">
        <f>$W310*AK310+($L310)*Summary_LCIA!AB$32</f>
        <v>0.11212862661454802</v>
      </c>
      <c r="BG310" s="16">
        <f>$W310*AL310+($L310)*Summary_LCIA!AC$32</f>
        <v>5.6376378530290334E-5</v>
      </c>
      <c r="BH310" s="16">
        <f>$W310*AM310+($L310)*Summary_LCIA!AD$32</f>
        <v>0.16479934572884813</v>
      </c>
      <c r="BI310" s="16">
        <f>$W310*AN310+($L310)*Summary_LCIA!AE$32</f>
        <v>0.44278933173260243</v>
      </c>
      <c r="BJ310" s="16">
        <f>$W310*AO310+($L310)*Summary_LCIA!AF$32</f>
        <v>3.5392696546287981E-2</v>
      </c>
      <c r="BK310" s="16">
        <f>$W310*AP310+($L310)*Summary_LCIA!AG$32</f>
        <v>8.3324286962879815E-3</v>
      </c>
      <c r="BL310" s="16">
        <f>$W310*AQ310+($L310)*Summary_LCIA!AH$32</f>
        <v>1.1661030428589323</v>
      </c>
      <c r="BM310" s="16">
        <f>$W310*AR310+($L310)*Summary_LCIA!AI$32</f>
        <v>0.4248736479161993</v>
      </c>
      <c r="BN310" s="16"/>
    </row>
    <row r="311" spans="1:66" x14ac:dyDescent="0.25">
      <c r="A311" s="159">
        <v>333</v>
      </c>
      <c r="B311" s="159">
        <v>6</v>
      </c>
      <c r="C311" s="45">
        <v>34.420831</v>
      </c>
      <c r="D311" s="45">
        <v>-119.69819</v>
      </c>
      <c r="E311" s="45" t="s">
        <v>265</v>
      </c>
      <c r="F311" s="159">
        <v>116</v>
      </c>
      <c r="G311" s="45" t="s">
        <v>663</v>
      </c>
      <c r="H311" s="45" t="s">
        <v>664</v>
      </c>
      <c r="I311" s="45">
        <v>34.198312000000001</v>
      </c>
      <c r="J311" s="45">
        <v>-118.357404</v>
      </c>
      <c r="K311" s="45">
        <v>171.82591690000001</v>
      </c>
      <c r="L311" s="45">
        <v>142.99199999999999</v>
      </c>
      <c r="M311" s="45" t="s">
        <v>617</v>
      </c>
      <c r="N311" s="159">
        <v>5</v>
      </c>
      <c r="O311" s="159">
        <v>6</v>
      </c>
      <c r="P311" s="45" t="s">
        <v>565</v>
      </c>
      <c r="Q311" s="45" t="s">
        <v>564</v>
      </c>
      <c r="R311" s="45">
        <v>41.98028</v>
      </c>
      <c r="S311" s="45">
        <v>-87.908997900000003</v>
      </c>
      <c r="T311" s="45">
        <v>3384.77</v>
      </c>
      <c r="U311" s="45" t="s">
        <v>617</v>
      </c>
      <c r="V311" s="45" t="s">
        <v>569</v>
      </c>
      <c r="W311" s="45" cm="1">
        <f t="array" ref="W311">getDistance(R311,S311,I311,J311)*SA!$B$12</f>
        <v>2790.7541476573592</v>
      </c>
      <c r="Y311" s="16">
        <f>Transportation_LCIA!C$61*($W311^Transportation_LCIA!C$60)+Transportation_LCIA!C$62</f>
        <v>0.16415094208602343</v>
      </c>
      <c r="Z311" s="16">
        <f>Transportation_LCIA!D$61*($W311^Transportation_LCIA!D$60)+Transportation_LCIA!D$62</f>
        <v>1.6040137841734128</v>
      </c>
      <c r="AA311" s="16">
        <f>Transportation_LCIA!E$61*($W311^Transportation_LCIA!E$60)+Transportation_LCIA!E$62</f>
        <v>6.0703264998479057E-4</v>
      </c>
      <c r="AB311" s="16">
        <f>Transportation_LCIA!F$61*($W311^Transportation_LCIA!F$60)+Transportation_LCIA!F$62</f>
        <v>0.16415094208602343</v>
      </c>
      <c r="AC311" s="16">
        <f>Transportation_LCIA!G$61*($W311^Transportation_LCIA!G$60)+Transportation_LCIA!G$62</f>
        <v>3.766117612488866E-2</v>
      </c>
      <c r="AD311" s="16">
        <f>Transportation_LCIA!H$61*($W311^Transportation_LCIA!H$60)+Transportation_LCIA!H$62</f>
        <v>1.5989247087850008E-4</v>
      </c>
      <c r="AE311" s="16">
        <f>Transportation_LCIA!I$61*($W311^Transportation_LCIA!I$60)+Transportation_LCIA!I$62</f>
        <v>3.0263945870013352E-6</v>
      </c>
      <c r="AF311" s="16">
        <f>Transportation_LCIA!J$61*($W311^Transportation_LCIA!J$60)+Transportation_LCIA!J$62</f>
        <v>4.4994632561177195E-3</v>
      </c>
      <c r="AG311" s="16">
        <f>Transportation_LCIA!K$61*($W311^Transportation_LCIA!K$60)+Transportation_LCIA!K$62</f>
        <v>7.6580744113821306E-3</v>
      </c>
      <c r="AH311" s="16">
        <f>Transportation_LCIA!L$61*($W311^Transportation_LCIA!L$60)+Transportation_LCIA!L$62</f>
        <v>1.3292334881004532E-4</v>
      </c>
      <c r="AI311" s="16">
        <f>Transportation_LCIA!M$61*($W311^Transportation_LCIA!M$60)+Transportation_LCIA!M$62</f>
        <v>1.7912690739391247E-4</v>
      </c>
      <c r="AJ311" s="16">
        <f>Transportation_LCIA!N$61*($W311^Transportation_LCIA!N$60)+Transportation_LCIA!N$62</f>
        <v>5.9627273568366233E-4</v>
      </c>
      <c r="AK311" s="16">
        <f>Transportation_LCIA!O$61*($W311^Transportation_LCIA!O$60)+Transportation_LCIA!O$62</f>
        <v>3.9694434872682633E-5</v>
      </c>
      <c r="AL311" s="16">
        <f>Transportation_LCIA!P$61*($W311^Transportation_LCIA!P$60)+Transportation_LCIA!P$62</f>
        <v>1.9239782434370862E-8</v>
      </c>
      <c r="AM311" s="16">
        <f>Transportation_LCIA!Q$61*($W311^Transportation_LCIA!Q$60)+Transportation_LCIA!Q$62</f>
        <v>5.3241866869961461E-5</v>
      </c>
      <c r="AN311" s="16">
        <f>Transportation_LCIA!R$61*($W311^Transportation_LCIA!R$60)+Transportation_LCIA!R$62</f>
        <v>1.4602402362852521E-4</v>
      </c>
      <c r="AO311" s="16">
        <f>Transportation_LCIA!S$61*($W311^Transportation_LCIA!S$60)+Transportation_LCIA!S$62</f>
        <v>2.3283543908847741E-6</v>
      </c>
      <c r="AP311" s="16">
        <f>Transportation_LCIA!T$61*($W311^Transportation_LCIA!T$60)+Transportation_LCIA!T$62</f>
        <v>2.3283543908847741E-6</v>
      </c>
      <c r="AQ311" s="16">
        <f>Transportation_LCIA!U$61*($W311^Transportation_LCIA!U$60)+Transportation_LCIA!U$62</f>
        <v>3.0789592449214579E-4</v>
      </c>
      <c r="AR311" s="16">
        <f>Transportation_LCIA!V$61*($W311^Transportation_LCIA!V$60)+Transportation_LCIA!V$62</f>
        <v>1.387892043242952E-4</v>
      </c>
      <c r="AT311" s="16">
        <f>$W311*Y311+($L311)*Summary_LCIA!H$32</f>
        <v>506.69360406843282</v>
      </c>
      <c r="AU311" s="16">
        <f>$W311*Z311+($L311)*Summary_LCIA!Q$32</f>
        <v>5185.0836845970634</v>
      </c>
      <c r="AV311" s="16">
        <f>$W311*AA311+($L311)*Summary_LCIA!R$32</f>
        <v>2.4470175609084923</v>
      </c>
      <c r="AW311" s="16">
        <f>$W311*AB311+($L311)*Summary_LCIA!S$32</f>
        <v>506.06157942843282</v>
      </c>
      <c r="AX311" s="16">
        <f>$W311*AC311+($L311)*Summary_LCIA!T$32</f>
        <v>120.81790427618733</v>
      </c>
      <c r="AY311" s="16">
        <f>$W311*AD311+($L311)*Summary_LCIA!U$32</f>
        <v>3.0077792642833576</v>
      </c>
      <c r="AZ311" s="16">
        <f>$W311*AE311+($L311)*Summary_LCIA!V$32</f>
        <v>1.5275364158121757E-2</v>
      </c>
      <c r="BA311" s="16">
        <f>$W311*AF311+($L311)*Summary_LCIA!W$32</f>
        <v>23.563132976242411</v>
      </c>
      <c r="BB311" s="16">
        <f>$W311*AG311+($L311)*Summary_LCIA!X$32</f>
        <v>24.629160686633373</v>
      </c>
      <c r="BC311" s="16">
        <f>$W311*AH311+($L311)*Summary_LCIA!Y$32</f>
        <v>2.5990577310121394</v>
      </c>
      <c r="BD311" s="16">
        <f>$W311*AI311+($L311)*Summary_LCIA!Z$32</f>
        <v>0.50576311869459689</v>
      </c>
      <c r="BE311" s="16">
        <f>$W311*AJ311+($L311)*Summary_LCIA!AA$32</f>
        <v>5.0037717622441811</v>
      </c>
      <c r="BF311" s="16">
        <f>$W311*AK311+($L311)*Summary_LCIA!AB$32</f>
        <v>0.10765689434385398</v>
      </c>
      <c r="BG311" s="16">
        <f>$W311*AL311+($L311)*Summary_LCIA!AC$32</f>
        <v>6.0683523556745688E-5</v>
      </c>
      <c r="BH311" s="16">
        <f>$W311*AM311+($L311)*Summary_LCIA!AD$32</f>
        <v>0.20736039247636587</v>
      </c>
      <c r="BI311" s="16">
        <f>$W311*AN311+($L311)*Summary_LCIA!AE$32</f>
        <v>0.53422665055892293</v>
      </c>
      <c r="BJ311" s="16">
        <f>$W311*AO311+($L311)*Summary_LCIA!AF$32</f>
        <v>0.12738616131357791</v>
      </c>
      <c r="BK311" s="16">
        <f>$W311*AP311+($L311)*Summary_LCIA!AG$32</f>
        <v>1.3814050353577908E-2</v>
      </c>
      <c r="BL311" s="16">
        <f>$W311*AQ311+($L311)*Summary_LCIA!AH$32</f>
        <v>2.1038069995232531</v>
      </c>
      <c r="BM311" s="16">
        <f>$W311*AR311+($L311)*Summary_LCIA!AI$32</f>
        <v>0.52053074521809151</v>
      </c>
      <c r="BN311" s="16"/>
    </row>
    <row r="312" spans="1:66" x14ac:dyDescent="0.25">
      <c r="A312" s="159">
        <v>329</v>
      </c>
      <c r="B312" s="159">
        <v>6</v>
      </c>
      <c r="C312" s="45">
        <v>34.413587</v>
      </c>
      <c r="D312" s="45">
        <v>-119.849698</v>
      </c>
      <c r="E312" s="45" t="s">
        <v>265</v>
      </c>
      <c r="F312" s="159">
        <v>116</v>
      </c>
      <c r="G312" s="45" t="s">
        <v>663</v>
      </c>
      <c r="H312" s="45" t="s">
        <v>664</v>
      </c>
      <c r="I312" s="45">
        <v>34.198312000000001</v>
      </c>
      <c r="J312" s="45">
        <v>-118.357404</v>
      </c>
      <c r="K312" s="45">
        <v>186.5655932</v>
      </c>
      <c r="L312" s="45">
        <v>160.434</v>
      </c>
      <c r="M312" s="45" t="s">
        <v>617</v>
      </c>
      <c r="N312" s="159">
        <v>5</v>
      </c>
      <c r="O312" s="159">
        <v>6</v>
      </c>
      <c r="P312" s="45" t="s">
        <v>565</v>
      </c>
      <c r="Q312" s="45" t="s">
        <v>564</v>
      </c>
      <c r="R312" s="45">
        <v>41.98028</v>
      </c>
      <c r="S312" s="45">
        <v>-87.908997900000003</v>
      </c>
      <c r="T312" s="45">
        <v>3402.212</v>
      </c>
      <c r="U312" s="45" t="s">
        <v>617</v>
      </c>
      <c r="V312" s="45" t="s">
        <v>569</v>
      </c>
      <c r="W312" s="45" cm="1">
        <f t="array" ref="W312">getDistance(R312,S312,I312,J312)*SA!$B$12</f>
        <v>2790.7541476573592</v>
      </c>
      <c r="Y312" s="16">
        <f>Transportation_LCIA!C$61*($W312^Transportation_LCIA!C$60)+Transportation_LCIA!C$62</f>
        <v>0.16415094208602343</v>
      </c>
      <c r="Z312" s="16">
        <f>Transportation_LCIA!D$61*($W312^Transportation_LCIA!D$60)+Transportation_LCIA!D$62</f>
        <v>1.6040137841734128</v>
      </c>
      <c r="AA312" s="16">
        <f>Transportation_LCIA!E$61*($W312^Transportation_LCIA!E$60)+Transportation_LCIA!E$62</f>
        <v>6.0703264998479057E-4</v>
      </c>
      <c r="AB312" s="16">
        <f>Transportation_LCIA!F$61*($W312^Transportation_LCIA!F$60)+Transportation_LCIA!F$62</f>
        <v>0.16415094208602343</v>
      </c>
      <c r="AC312" s="16">
        <f>Transportation_LCIA!G$61*($W312^Transportation_LCIA!G$60)+Transportation_LCIA!G$62</f>
        <v>3.766117612488866E-2</v>
      </c>
      <c r="AD312" s="16">
        <f>Transportation_LCIA!H$61*($W312^Transportation_LCIA!H$60)+Transportation_LCIA!H$62</f>
        <v>1.5989247087850008E-4</v>
      </c>
      <c r="AE312" s="16">
        <f>Transportation_LCIA!I$61*($W312^Transportation_LCIA!I$60)+Transportation_LCIA!I$62</f>
        <v>3.0263945870013352E-6</v>
      </c>
      <c r="AF312" s="16">
        <f>Transportation_LCIA!J$61*($W312^Transportation_LCIA!J$60)+Transportation_LCIA!J$62</f>
        <v>4.4994632561177195E-3</v>
      </c>
      <c r="AG312" s="16">
        <f>Transportation_LCIA!K$61*($W312^Transportation_LCIA!K$60)+Transportation_LCIA!K$62</f>
        <v>7.6580744113821306E-3</v>
      </c>
      <c r="AH312" s="16">
        <f>Transportation_LCIA!L$61*($W312^Transportation_LCIA!L$60)+Transportation_LCIA!L$62</f>
        <v>1.3292334881004532E-4</v>
      </c>
      <c r="AI312" s="16">
        <f>Transportation_LCIA!M$61*($W312^Transportation_LCIA!M$60)+Transportation_LCIA!M$62</f>
        <v>1.7912690739391247E-4</v>
      </c>
      <c r="AJ312" s="16">
        <f>Transportation_LCIA!N$61*($W312^Transportation_LCIA!N$60)+Transportation_LCIA!N$62</f>
        <v>5.9627273568366233E-4</v>
      </c>
      <c r="AK312" s="16">
        <f>Transportation_LCIA!O$61*($W312^Transportation_LCIA!O$60)+Transportation_LCIA!O$62</f>
        <v>3.9694434872682633E-5</v>
      </c>
      <c r="AL312" s="16">
        <f>Transportation_LCIA!P$61*($W312^Transportation_LCIA!P$60)+Transportation_LCIA!P$62</f>
        <v>1.9239782434370862E-8</v>
      </c>
      <c r="AM312" s="16">
        <f>Transportation_LCIA!Q$61*($W312^Transportation_LCIA!Q$60)+Transportation_LCIA!Q$62</f>
        <v>5.3241866869961461E-5</v>
      </c>
      <c r="AN312" s="16">
        <f>Transportation_LCIA!R$61*($W312^Transportation_LCIA!R$60)+Transportation_LCIA!R$62</f>
        <v>1.4602402362852521E-4</v>
      </c>
      <c r="AO312" s="16">
        <f>Transportation_LCIA!S$61*($W312^Transportation_LCIA!S$60)+Transportation_LCIA!S$62</f>
        <v>2.3283543908847741E-6</v>
      </c>
      <c r="AP312" s="16">
        <f>Transportation_LCIA!T$61*($W312^Transportation_LCIA!T$60)+Transportation_LCIA!T$62</f>
        <v>2.3283543908847741E-6</v>
      </c>
      <c r="AQ312" s="16">
        <f>Transportation_LCIA!U$61*($W312^Transportation_LCIA!U$60)+Transportation_LCIA!U$62</f>
        <v>3.0789592449214579E-4</v>
      </c>
      <c r="AR312" s="16">
        <f>Transportation_LCIA!V$61*($W312^Transportation_LCIA!V$60)+Transportation_LCIA!V$62</f>
        <v>1.387892043242952E-4</v>
      </c>
      <c r="AT312" s="16">
        <f>$W312*Y312+($L312)*Summary_LCIA!H$32</f>
        <v>512.62039566843282</v>
      </c>
      <c r="AU312" s="16">
        <f>$W312*Z312+($L312)*Summary_LCIA!Q$32</f>
        <v>5271.5271162494491</v>
      </c>
      <c r="AV312" s="16">
        <f>$W312*AA312+($L312)*Summary_LCIA!R$32</f>
        <v>2.538860156108492</v>
      </c>
      <c r="AW312" s="16">
        <f>$W312*AB312+($L312)*Summary_LCIA!S$32</f>
        <v>511.91127738843284</v>
      </c>
      <c r="AX312" s="16">
        <f>$W312*AC312+($L312)*Summary_LCIA!T$32</f>
        <v>122.73478007618733</v>
      </c>
      <c r="AY312" s="16">
        <f>$W312*AD312+($L312)*Summary_LCIA!U$32</f>
        <v>3.3202352522833576</v>
      </c>
      <c r="AZ312" s="16">
        <f>$W312*AE312+($L312)*Summary_LCIA!V$32</f>
        <v>1.6108411520121758E-2</v>
      </c>
      <c r="BA312" s="16">
        <f>$W312*AF312+($L312)*Summary_LCIA!W$32</f>
        <v>24.90566115824241</v>
      </c>
      <c r="BB312" s="16">
        <f>$W312*AG312+($L312)*Summary_LCIA!X$32</f>
        <v>25.02648944663337</v>
      </c>
      <c r="BC312" s="16">
        <f>$W312*AH312+($L312)*Summary_LCIA!Y$32</f>
        <v>2.8708389750121399</v>
      </c>
      <c r="BD312" s="16">
        <f>$W312*AI312+($L312)*Summary_LCIA!Z$32</f>
        <v>0.50647839767259695</v>
      </c>
      <c r="BE312" s="16">
        <f>$W312*AJ312+($L312)*Summary_LCIA!AA$32</f>
        <v>5.41114711424418</v>
      </c>
      <c r="BF312" s="16">
        <f>$W312*AK312+($L312)*Summary_LCIA!AB$32</f>
        <v>0.10727625757785397</v>
      </c>
      <c r="BG312" s="16">
        <f>$W312*AL312+($L312)*Summary_LCIA!AC$32</f>
        <v>6.1536158284745691E-5</v>
      </c>
      <c r="BH312" s="16">
        <f>$W312*AM312+($L312)*Summary_LCIA!AD$32</f>
        <v>0.21452975215636588</v>
      </c>
      <c r="BI312" s="16">
        <f>$W312*AN312+($L312)*Summary_LCIA!AE$32</f>
        <v>0.54968253001892298</v>
      </c>
      <c r="BJ312" s="16">
        <f>$W312*AO312+($L312)*Summary_LCIA!AF$32</f>
        <v>0.1421319769535779</v>
      </c>
      <c r="BK312" s="16">
        <f>$W312*AP312+($L312)*Summary_LCIA!AG$32</f>
        <v>1.4706470283577909E-2</v>
      </c>
      <c r="BL312" s="16">
        <f>$W312*AQ312+($L312)*Summary_LCIA!AH$32</f>
        <v>2.2556151907232529</v>
      </c>
      <c r="BM312" s="16">
        <f>$W312*AR312+($L312)*Summary_LCIA!AI$32</f>
        <v>0.53677884031809153</v>
      </c>
      <c r="BN312" s="16"/>
    </row>
    <row r="313" spans="1:66" x14ac:dyDescent="0.25">
      <c r="A313" s="159">
        <v>330</v>
      </c>
      <c r="B313" s="159">
        <v>6</v>
      </c>
      <c r="C313" s="45">
        <v>34.413587</v>
      </c>
      <c r="D313" s="45">
        <v>-119.849698</v>
      </c>
      <c r="E313" s="45" t="s">
        <v>265</v>
      </c>
      <c r="F313" s="159">
        <v>116</v>
      </c>
      <c r="G313" s="45" t="s">
        <v>663</v>
      </c>
      <c r="H313" s="45" t="s">
        <v>664</v>
      </c>
      <c r="I313" s="45">
        <v>34.198312000000001</v>
      </c>
      <c r="J313" s="45">
        <v>-118.357404</v>
      </c>
      <c r="K313" s="45">
        <v>186.5655932</v>
      </c>
      <c r="L313" s="45">
        <v>160.434</v>
      </c>
      <c r="M313" s="45" t="s">
        <v>617</v>
      </c>
      <c r="N313" s="159">
        <v>5</v>
      </c>
      <c r="O313" s="159">
        <v>6</v>
      </c>
      <c r="P313" s="45" t="s">
        <v>565</v>
      </c>
      <c r="Q313" s="45" t="s">
        <v>564</v>
      </c>
      <c r="R313" s="45">
        <v>41.98028</v>
      </c>
      <c r="S313" s="45">
        <v>-87.908997900000003</v>
      </c>
      <c r="T313" s="45">
        <v>3402.212</v>
      </c>
      <c r="U313" s="45" t="s">
        <v>617</v>
      </c>
      <c r="V313" s="45" t="s">
        <v>569</v>
      </c>
      <c r="W313" s="45" cm="1">
        <f t="array" ref="W313">getDistance(R313,S313,I313,J313)*SA!$B$12</f>
        <v>2790.7541476573592</v>
      </c>
      <c r="Y313" s="16">
        <f>Transportation_LCIA!C$61*($W313^Transportation_LCIA!C$60)+Transportation_LCIA!C$62</f>
        <v>0.16415094208602343</v>
      </c>
      <c r="Z313" s="16">
        <f>Transportation_LCIA!D$61*($W313^Transportation_LCIA!D$60)+Transportation_LCIA!D$62</f>
        <v>1.6040137841734128</v>
      </c>
      <c r="AA313" s="16">
        <f>Transportation_LCIA!E$61*($W313^Transportation_LCIA!E$60)+Transportation_LCIA!E$62</f>
        <v>6.0703264998479057E-4</v>
      </c>
      <c r="AB313" s="16">
        <f>Transportation_LCIA!F$61*($W313^Transportation_LCIA!F$60)+Transportation_LCIA!F$62</f>
        <v>0.16415094208602343</v>
      </c>
      <c r="AC313" s="16">
        <f>Transportation_LCIA!G$61*($W313^Transportation_LCIA!G$60)+Transportation_LCIA!G$62</f>
        <v>3.766117612488866E-2</v>
      </c>
      <c r="AD313" s="16">
        <f>Transportation_LCIA!H$61*($W313^Transportation_LCIA!H$60)+Transportation_LCIA!H$62</f>
        <v>1.5989247087850008E-4</v>
      </c>
      <c r="AE313" s="16">
        <f>Transportation_LCIA!I$61*($W313^Transportation_LCIA!I$60)+Transportation_LCIA!I$62</f>
        <v>3.0263945870013352E-6</v>
      </c>
      <c r="AF313" s="16">
        <f>Transportation_LCIA!J$61*($W313^Transportation_LCIA!J$60)+Transportation_LCIA!J$62</f>
        <v>4.4994632561177195E-3</v>
      </c>
      <c r="AG313" s="16">
        <f>Transportation_LCIA!K$61*($W313^Transportation_LCIA!K$60)+Transportation_LCIA!K$62</f>
        <v>7.6580744113821306E-3</v>
      </c>
      <c r="AH313" s="16">
        <f>Transportation_LCIA!L$61*($W313^Transportation_LCIA!L$60)+Transportation_LCIA!L$62</f>
        <v>1.3292334881004532E-4</v>
      </c>
      <c r="AI313" s="16">
        <f>Transportation_LCIA!M$61*($W313^Transportation_LCIA!M$60)+Transportation_LCIA!M$62</f>
        <v>1.7912690739391247E-4</v>
      </c>
      <c r="AJ313" s="16">
        <f>Transportation_LCIA!N$61*($W313^Transportation_LCIA!N$60)+Transportation_LCIA!N$62</f>
        <v>5.9627273568366233E-4</v>
      </c>
      <c r="AK313" s="16">
        <f>Transportation_LCIA!O$61*($W313^Transportation_LCIA!O$60)+Transportation_LCIA!O$62</f>
        <v>3.9694434872682633E-5</v>
      </c>
      <c r="AL313" s="16">
        <f>Transportation_LCIA!P$61*($W313^Transportation_LCIA!P$60)+Transportation_LCIA!P$62</f>
        <v>1.9239782434370862E-8</v>
      </c>
      <c r="AM313" s="16">
        <f>Transportation_LCIA!Q$61*($W313^Transportation_LCIA!Q$60)+Transportation_LCIA!Q$62</f>
        <v>5.3241866869961461E-5</v>
      </c>
      <c r="AN313" s="16">
        <f>Transportation_LCIA!R$61*($W313^Transportation_LCIA!R$60)+Transportation_LCIA!R$62</f>
        <v>1.4602402362852521E-4</v>
      </c>
      <c r="AO313" s="16">
        <f>Transportation_LCIA!S$61*($W313^Transportation_LCIA!S$60)+Transportation_LCIA!S$62</f>
        <v>2.3283543908847741E-6</v>
      </c>
      <c r="AP313" s="16">
        <f>Transportation_LCIA!T$61*($W313^Transportation_LCIA!T$60)+Transportation_LCIA!T$62</f>
        <v>2.3283543908847741E-6</v>
      </c>
      <c r="AQ313" s="16">
        <f>Transportation_LCIA!U$61*($W313^Transportation_LCIA!U$60)+Transportation_LCIA!U$62</f>
        <v>3.0789592449214579E-4</v>
      </c>
      <c r="AR313" s="16">
        <f>Transportation_LCIA!V$61*($W313^Transportation_LCIA!V$60)+Transportation_LCIA!V$62</f>
        <v>1.387892043242952E-4</v>
      </c>
      <c r="AT313" s="16">
        <f>$W313*Y313+($L313)*Summary_LCIA!H$32</f>
        <v>512.62039566843282</v>
      </c>
      <c r="AU313" s="16">
        <f>$W313*Z313+($L313)*Summary_LCIA!Q$32</f>
        <v>5271.5271162494491</v>
      </c>
      <c r="AV313" s="16">
        <f>$W313*AA313+($L313)*Summary_LCIA!R$32</f>
        <v>2.538860156108492</v>
      </c>
      <c r="AW313" s="16">
        <f>$W313*AB313+($L313)*Summary_LCIA!S$32</f>
        <v>511.91127738843284</v>
      </c>
      <c r="AX313" s="16">
        <f>$W313*AC313+($L313)*Summary_LCIA!T$32</f>
        <v>122.73478007618733</v>
      </c>
      <c r="AY313" s="16">
        <f>$W313*AD313+($L313)*Summary_LCIA!U$32</f>
        <v>3.3202352522833576</v>
      </c>
      <c r="AZ313" s="16">
        <f>$W313*AE313+($L313)*Summary_LCIA!V$32</f>
        <v>1.6108411520121758E-2</v>
      </c>
      <c r="BA313" s="16">
        <f>$W313*AF313+($L313)*Summary_LCIA!W$32</f>
        <v>24.90566115824241</v>
      </c>
      <c r="BB313" s="16">
        <f>$W313*AG313+($L313)*Summary_LCIA!X$32</f>
        <v>25.02648944663337</v>
      </c>
      <c r="BC313" s="16">
        <f>$W313*AH313+($L313)*Summary_LCIA!Y$32</f>
        <v>2.8708389750121399</v>
      </c>
      <c r="BD313" s="16">
        <f>$W313*AI313+($L313)*Summary_LCIA!Z$32</f>
        <v>0.50647839767259695</v>
      </c>
      <c r="BE313" s="16">
        <f>$W313*AJ313+($L313)*Summary_LCIA!AA$32</f>
        <v>5.41114711424418</v>
      </c>
      <c r="BF313" s="16">
        <f>$W313*AK313+($L313)*Summary_LCIA!AB$32</f>
        <v>0.10727625757785397</v>
      </c>
      <c r="BG313" s="16">
        <f>$W313*AL313+($L313)*Summary_LCIA!AC$32</f>
        <v>6.1536158284745691E-5</v>
      </c>
      <c r="BH313" s="16">
        <f>$W313*AM313+($L313)*Summary_LCIA!AD$32</f>
        <v>0.21452975215636588</v>
      </c>
      <c r="BI313" s="16">
        <f>$W313*AN313+($L313)*Summary_LCIA!AE$32</f>
        <v>0.54968253001892298</v>
      </c>
      <c r="BJ313" s="16">
        <f>$W313*AO313+($L313)*Summary_LCIA!AF$32</f>
        <v>0.1421319769535779</v>
      </c>
      <c r="BK313" s="16">
        <f>$W313*AP313+($L313)*Summary_LCIA!AG$32</f>
        <v>1.4706470283577909E-2</v>
      </c>
      <c r="BL313" s="16">
        <f>$W313*AQ313+($L313)*Summary_LCIA!AH$32</f>
        <v>2.2556151907232529</v>
      </c>
      <c r="BM313" s="16">
        <f>$W313*AR313+($L313)*Summary_LCIA!AI$32</f>
        <v>0.53677884031809153</v>
      </c>
      <c r="BN313" s="16"/>
    </row>
    <row r="314" spans="1:66" x14ac:dyDescent="0.25">
      <c r="A314" s="159">
        <v>331</v>
      </c>
      <c r="B314" s="159">
        <v>6</v>
      </c>
      <c r="C314" s="45">
        <v>34.413587</v>
      </c>
      <c r="D314" s="45">
        <v>-119.849698</v>
      </c>
      <c r="E314" s="45" t="s">
        <v>265</v>
      </c>
      <c r="F314" s="159">
        <v>116</v>
      </c>
      <c r="G314" s="45" t="s">
        <v>663</v>
      </c>
      <c r="H314" s="45" t="s">
        <v>664</v>
      </c>
      <c r="I314" s="45">
        <v>34.198312000000001</v>
      </c>
      <c r="J314" s="45">
        <v>-118.357404</v>
      </c>
      <c r="K314" s="45">
        <v>186.5655932</v>
      </c>
      <c r="L314" s="45">
        <v>160.434</v>
      </c>
      <c r="M314" s="45" t="s">
        <v>617</v>
      </c>
      <c r="N314" s="159">
        <v>5</v>
      </c>
      <c r="O314" s="159">
        <v>6</v>
      </c>
      <c r="P314" s="45" t="s">
        <v>565</v>
      </c>
      <c r="Q314" s="45" t="s">
        <v>564</v>
      </c>
      <c r="R314" s="45">
        <v>41.98028</v>
      </c>
      <c r="S314" s="45">
        <v>-87.908997900000003</v>
      </c>
      <c r="T314" s="45">
        <v>3402.212</v>
      </c>
      <c r="U314" s="45" t="s">
        <v>617</v>
      </c>
      <c r="V314" s="45" t="s">
        <v>569</v>
      </c>
      <c r="W314" s="45" cm="1">
        <f t="array" ref="W314">getDistance(R314,S314,I314,J314)*SA!$B$12</f>
        <v>2790.7541476573592</v>
      </c>
      <c r="Y314" s="16">
        <f>Transportation_LCIA!C$61*($W314^Transportation_LCIA!C$60)+Transportation_LCIA!C$62</f>
        <v>0.16415094208602343</v>
      </c>
      <c r="Z314" s="16">
        <f>Transportation_LCIA!D$61*($W314^Transportation_LCIA!D$60)+Transportation_LCIA!D$62</f>
        <v>1.6040137841734128</v>
      </c>
      <c r="AA314" s="16">
        <f>Transportation_LCIA!E$61*($W314^Transportation_LCIA!E$60)+Transportation_LCIA!E$62</f>
        <v>6.0703264998479057E-4</v>
      </c>
      <c r="AB314" s="16">
        <f>Transportation_LCIA!F$61*($W314^Transportation_LCIA!F$60)+Transportation_LCIA!F$62</f>
        <v>0.16415094208602343</v>
      </c>
      <c r="AC314" s="16">
        <f>Transportation_LCIA!G$61*($W314^Transportation_LCIA!G$60)+Transportation_LCIA!G$62</f>
        <v>3.766117612488866E-2</v>
      </c>
      <c r="AD314" s="16">
        <f>Transportation_LCIA!H$61*($W314^Transportation_LCIA!H$60)+Transportation_LCIA!H$62</f>
        <v>1.5989247087850008E-4</v>
      </c>
      <c r="AE314" s="16">
        <f>Transportation_LCIA!I$61*($W314^Transportation_LCIA!I$60)+Transportation_LCIA!I$62</f>
        <v>3.0263945870013352E-6</v>
      </c>
      <c r="AF314" s="16">
        <f>Transportation_LCIA!J$61*($W314^Transportation_LCIA!J$60)+Transportation_LCIA!J$62</f>
        <v>4.4994632561177195E-3</v>
      </c>
      <c r="AG314" s="16">
        <f>Transportation_LCIA!K$61*($W314^Transportation_LCIA!K$60)+Transportation_LCIA!K$62</f>
        <v>7.6580744113821306E-3</v>
      </c>
      <c r="AH314" s="16">
        <f>Transportation_LCIA!L$61*($W314^Transportation_LCIA!L$60)+Transportation_LCIA!L$62</f>
        <v>1.3292334881004532E-4</v>
      </c>
      <c r="AI314" s="16">
        <f>Transportation_LCIA!M$61*($W314^Transportation_LCIA!M$60)+Transportation_LCIA!M$62</f>
        <v>1.7912690739391247E-4</v>
      </c>
      <c r="AJ314" s="16">
        <f>Transportation_LCIA!N$61*($W314^Transportation_LCIA!N$60)+Transportation_LCIA!N$62</f>
        <v>5.9627273568366233E-4</v>
      </c>
      <c r="AK314" s="16">
        <f>Transportation_LCIA!O$61*($W314^Transportation_LCIA!O$60)+Transportation_LCIA!O$62</f>
        <v>3.9694434872682633E-5</v>
      </c>
      <c r="AL314" s="16">
        <f>Transportation_LCIA!P$61*($W314^Transportation_LCIA!P$60)+Transportation_LCIA!P$62</f>
        <v>1.9239782434370862E-8</v>
      </c>
      <c r="AM314" s="16">
        <f>Transportation_LCIA!Q$61*($W314^Transportation_LCIA!Q$60)+Transportation_LCIA!Q$62</f>
        <v>5.3241866869961461E-5</v>
      </c>
      <c r="AN314" s="16">
        <f>Transportation_LCIA!R$61*($W314^Transportation_LCIA!R$60)+Transportation_LCIA!R$62</f>
        <v>1.4602402362852521E-4</v>
      </c>
      <c r="AO314" s="16">
        <f>Transportation_LCIA!S$61*($W314^Transportation_LCIA!S$60)+Transportation_LCIA!S$62</f>
        <v>2.3283543908847741E-6</v>
      </c>
      <c r="AP314" s="16">
        <f>Transportation_LCIA!T$61*($W314^Transportation_LCIA!T$60)+Transportation_LCIA!T$62</f>
        <v>2.3283543908847741E-6</v>
      </c>
      <c r="AQ314" s="16">
        <f>Transportation_LCIA!U$61*($W314^Transportation_LCIA!U$60)+Transportation_LCIA!U$62</f>
        <v>3.0789592449214579E-4</v>
      </c>
      <c r="AR314" s="16">
        <f>Transportation_LCIA!V$61*($W314^Transportation_LCIA!V$60)+Transportation_LCIA!V$62</f>
        <v>1.387892043242952E-4</v>
      </c>
      <c r="AT314" s="16">
        <f>$W314*Y314+($L314)*Summary_LCIA!H$32</f>
        <v>512.62039566843282</v>
      </c>
      <c r="AU314" s="16">
        <f>$W314*Z314+($L314)*Summary_LCIA!Q$32</f>
        <v>5271.5271162494491</v>
      </c>
      <c r="AV314" s="16">
        <f>$W314*AA314+($L314)*Summary_LCIA!R$32</f>
        <v>2.538860156108492</v>
      </c>
      <c r="AW314" s="16">
        <f>$W314*AB314+($L314)*Summary_LCIA!S$32</f>
        <v>511.91127738843284</v>
      </c>
      <c r="AX314" s="16">
        <f>$W314*AC314+($L314)*Summary_LCIA!T$32</f>
        <v>122.73478007618733</v>
      </c>
      <c r="AY314" s="16">
        <f>$W314*AD314+($L314)*Summary_LCIA!U$32</f>
        <v>3.3202352522833576</v>
      </c>
      <c r="AZ314" s="16">
        <f>$W314*AE314+($L314)*Summary_LCIA!V$32</f>
        <v>1.6108411520121758E-2</v>
      </c>
      <c r="BA314" s="16">
        <f>$W314*AF314+($L314)*Summary_LCIA!W$32</f>
        <v>24.90566115824241</v>
      </c>
      <c r="BB314" s="16">
        <f>$W314*AG314+($L314)*Summary_LCIA!X$32</f>
        <v>25.02648944663337</v>
      </c>
      <c r="BC314" s="16">
        <f>$W314*AH314+($L314)*Summary_LCIA!Y$32</f>
        <v>2.8708389750121399</v>
      </c>
      <c r="BD314" s="16">
        <f>$W314*AI314+($L314)*Summary_LCIA!Z$32</f>
        <v>0.50647839767259695</v>
      </c>
      <c r="BE314" s="16">
        <f>$W314*AJ314+($L314)*Summary_LCIA!AA$32</f>
        <v>5.41114711424418</v>
      </c>
      <c r="BF314" s="16">
        <f>$W314*AK314+($L314)*Summary_LCIA!AB$32</f>
        <v>0.10727625757785397</v>
      </c>
      <c r="BG314" s="16">
        <f>$W314*AL314+($L314)*Summary_LCIA!AC$32</f>
        <v>6.1536158284745691E-5</v>
      </c>
      <c r="BH314" s="16">
        <f>$W314*AM314+($L314)*Summary_LCIA!AD$32</f>
        <v>0.21452975215636588</v>
      </c>
      <c r="BI314" s="16">
        <f>$W314*AN314+($L314)*Summary_LCIA!AE$32</f>
        <v>0.54968253001892298</v>
      </c>
      <c r="BJ314" s="16">
        <f>$W314*AO314+($L314)*Summary_LCIA!AF$32</f>
        <v>0.1421319769535779</v>
      </c>
      <c r="BK314" s="16">
        <f>$W314*AP314+($L314)*Summary_LCIA!AG$32</f>
        <v>1.4706470283577909E-2</v>
      </c>
      <c r="BL314" s="16">
        <f>$W314*AQ314+($L314)*Summary_LCIA!AH$32</f>
        <v>2.2556151907232529</v>
      </c>
      <c r="BM314" s="16">
        <f>$W314*AR314+($L314)*Summary_LCIA!AI$32</f>
        <v>0.53677884031809153</v>
      </c>
      <c r="BN314" s="16"/>
    </row>
    <row r="315" spans="1:66" x14ac:dyDescent="0.25">
      <c r="A315" s="159">
        <v>332</v>
      </c>
      <c r="B315" s="159">
        <v>6</v>
      </c>
      <c r="C315" s="45">
        <v>34.413587</v>
      </c>
      <c r="D315" s="45">
        <v>-119.849698</v>
      </c>
      <c r="E315" s="45" t="s">
        <v>265</v>
      </c>
      <c r="F315" s="159">
        <v>116</v>
      </c>
      <c r="G315" s="45" t="s">
        <v>663</v>
      </c>
      <c r="H315" s="45" t="s">
        <v>664</v>
      </c>
      <c r="I315" s="45">
        <v>34.198312000000001</v>
      </c>
      <c r="J315" s="45">
        <v>-118.357404</v>
      </c>
      <c r="K315" s="45">
        <v>186.5655932</v>
      </c>
      <c r="L315" s="45">
        <v>160.434</v>
      </c>
      <c r="M315" s="45" t="s">
        <v>617</v>
      </c>
      <c r="N315" s="159">
        <v>5</v>
      </c>
      <c r="O315" s="159">
        <v>6</v>
      </c>
      <c r="P315" s="45" t="s">
        <v>565</v>
      </c>
      <c r="Q315" s="45" t="s">
        <v>564</v>
      </c>
      <c r="R315" s="45">
        <v>41.98028</v>
      </c>
      <c r="S315" s="45">
        <v>-87.908997900000003</v>
      </c>
      <c r="T315" s="45">
        <v>3402.212</v>
      </c>
      <c r="U315" s="45" t="s">
        <v>617</v>
      </c>
      <c r="V315" s="45" t="s">
        <v>569</v>
      </c>
      <c r="W315" s="45" cm="1">
        <f t="array" ref="W315">getDistance(R315,S315,I315,J315)*SA!$B$12</f>
        <v>2790.7541476573592</v>
      </c>
      <c r="Y315" s="16">
        <f>Transportation_LCIA!C$61*($W315^Transportation_LCIA!C$60)+Transportation_LCIA!C$62</f>
        <v>0.16415094208602343</v>
      </c>
      <c r="Z315" s="16">
        <f>Transportation_LCIA!D$61*($W315^Transportation_LCIA!D$60)+Transportation_LCIA!D$62</f>
        <v>1.6040137841734128</v>
      </c>
      <c r="AA315" s="16">
        <f>Transportation_LCIA!E$61*($W315^Transportation_LCIA!E$60)+Transportation_LCIA!E$62</f>
        <v>6.0703264998479057E-4</v>
      </c>
      <c r="AB315" s="16">
        <f>Transportation_LCIA!F$61*($W315^Transportation_LCIA!F$60)+Transportation_LCIA!F$62</f>
        <v>0.16415094208602343</v>
      </c>
      <c r="AC315" s="16">
        <f>Transportation_LCIA!G$61*($W315^Transportation_LCIA!G$60)+Transportation_LCIA!G$62</f>
        <v>3.766117612488866E-2</v>
      </c>
      <c r="AD315" s="16">
        <f>Transportation_LCIA!H$61*($W315^Transportation_LCIA!H$60)+Transportation_LCIA!H$62</f>
        <v>1.5989247087850008E-4</v>
      </c>
      <c r="AE315" s="16">
        <f>Transportation_LCIA!I$61*($W315^Transportation_LCIA!I$60)+Transportation_LCIA!I$62</f>
        <v>3.0263945870013352E-6</v>
      </c>
      <c r="AF315" s="16">
        <f>Transportation_LCIA!J$61*($W315^Transportation_LCIA!J$60)+Transportation_LCIA!J$62</f>
        <v>4.4994632561177195E-3</v>
      </c>
      <c r="AG315" s="16">
        <f>Transportation_LCIA!K$61*($W315^Transportation_LCIA!K$60)+Transportation_LCIA!K$62</f>
        <v>7.6580744113821306E-3</v>
      </c>
      <c r="AH315" s="16">
        <f>Transportation_LCIA!L$61*($W315^Transportation_LCIA!L$60)+Transportation_LCIA!L$62</f>
        <v>1.3292334881004532E-4</v>
      </c>
      <c r="AI315" s="16">
        <f>Transportation_LCIA!M$61*($W315^Transportation_LCIA!M$60)+Transportation_LCIA!M$62</f>
        <v>1.7912690739391247E-4</v>
      </c>
      <c r="AJ315" s="16">
        <f>Transportation_LCIA!N$61*($W315^Transportation_LCIA!N$60)+Transportation_LCIA!N$62</f>
        <v>5.9627273568366233E-4</v>
      </c>
      <c r="AK315" s="16">
        <f>Transportation_LCIA!O$61*($W315^Transportation_LCIA!O$60)+Transportation_LCIA!O$62</f>
        <v>3.9694434872682633E-5</v>
      </c>
      <c r="AL315" s="16">
        <f>Transportation_LCIA!P$61*($W315^Transportation_LCIA!P$60)+Transportation_LCIA!P$62</f>
        <v>1.9239782434370862E-8</v>
      </c>
      <c r="AM315" s="16">
        <f>Transportation_LCIA!Q$61*($W315^Transportation_LCIA!Q$60)+Transportation_LCIA!Q$62</f>
        <v>5.3241866869961461E-5</v>
      </c>
      <c r="AN315" s="16">
        <f>Transportation_LCIA!R$61*($W315^Transportation_LCIA!R$60)+Transportation_LCIA!R$62</f>
        <v>1.4602402362852521E-4</v>
      </c>
      <c r="AO315" s="16">
        <f>Transportation_LCIA!S$61*($W315^Transportation_LCIA!S$60)+Transportation_LCIA!S$62</f>
        <v>2.3283543908847741E-6</v>
      </c>
      <c r="AP315" s="16">
        <f>Transportation_LCIA!T$61*($W315^Transportation_LCIA!T$60)+Transportation_LCIA!T$62</f>
        <v>2.3283543908847741E-6</v>
      </c>
      <c r="AQ315" s="16">
        <f>Transportation_LCIA!U$61*($W315^Transportation_LCIA!U$60)+Transportation_LCIA!U$62</f>
        <v>3.0789592449214579E-4</v>
      </c>
      <c r="AR315" s="16">
        <f>Transportation_LCIA!V$61*($W315^Transportation_LCIA!V$60)+Transportation_LCIA!V$62</f>
        <v>1.387892043242952E-4</v>
      </c>
      <c r="AT315" s="16">
        <f>$W315*Y315+($L315)*Summary_LCIA!H$32</f>
        <v>512.62039566843282</v>
      </c>
      <c r="AU315" s="16">
        <f>$W315*Z315+($L315)*Summary_LCIA!Q$32</f>
        <v>5271.5271162494491</v>
      </c>
      <c r="AV315" s="16">
        <f>$W315*AA315+($L315)*Summary_LCIA!R$32</f>
        <v>2.538860156108492</v>
      </c>
      <c r="AW315" s="16">
        <f>$W315*AB315+($L315)*Summary_LCIA!S$32</f>
        <v>511.91127738843284</v>
      </c>
      <c r="AX315" s="16">
        <f>$W315*AC315+($L315)*Summary_LCIA!T$32</f>
        <v>122.73478007618733</v>
      </c>
      <c r="AY315" s="16">
        <f>$W315*AD315+($L315)*Summary_LCIA!U$32</f>
        <v>3.3202352522833576</v>
      </c>
      <c r="AZ315" s="16">
        <f>$W315*AE315+($L315)*Summary_LCIA!V$32</f>
        <v>1.6108411520121758E-2</v>
      </c>
      <c r="BA315" s="16">
        <f>$W315*AF315+($L315)*Summary_LCIA!W$32</f>
        <v>24.90566115824241</v>
      </c>
      <c r="BB315" s="16">
        <f>$W315*AG315+($L315)*Summary_LCIA!X$32</f>
        <v>25.02648944663337</v>
      </c>
      <c r="BC315" s="16">
        <f>$W315*AH315+($L315)*Summary_LCIA!Y$32</f>
        <v>2.8708389750121399</v>
      </c>
      <c r="BD315" s="16">
        <f>$W315*AI315+($L315)*Summary_LCIA!Z$32</f>
        <v>0.50647839767259695</v>
      </c>
      <c r="BE315" s="16">
        <f>$W315*AJ315+($L315)*Summary_LCIA!AA$32</f>
        <v>5.41114711424418</v>
      </c>
      <c r="BF315" s="16">
        <f>$W315*AK315+($L315)*Summary_LCIA!AB$32</f>
        <v>0.10727625757785397</v>
      </c>
      <c r="BG315" s="16">
        <f>$W315*AL315+($L315)*Summary_LCIA!AC$32</f>
        <v>6.1536158284745691E-5</v>
      </c>
      <c r="BH315" s="16">
        <f>$W315*AM315+($L315)*Summary_LCIA!AD$32</f>
        <v>0.21452975215636588</v>
      </c>
      <c r="BI315" s="16">
        <f>$W315*AN315+($L315)*Summary_LCIA!AE$32</f>
        <v>0.54968253001892298</v>
      </c>
      <c r="BJ315" s="16">
        <f>$W315*AO315+($L315)*Summary_LCIA!AF$32</f>
        <v>0.1421319769535779</v>
      </c>
      <c r="BK315" s="16">
        <f>$W315*AP315+($L315)*Summary_LCIA!AG$32</f>
        <v>1.4706470283577909E-2</v>
      </c>
      <c r="BL315" s="16">
        <f>$W315*AQ315+($L315)*Summary_LCIA!AH$32</f>
        <v>2.2556151907232529</v>
      </c>
      <c r="BM315" s="16">
        <f>$W315*AR315+($L315)*Summary_LCIA!AI$32</f>
        <v>0.53677884031809153</v>
      </c>
      <c r="BN315" s="16"/>
    </row>
    <row r="316" spans="1:66" x14ac:dyDescent="0.25">
      <c r="A316" s="159">
        <v>158</v>
      </c>
      <c r="B316" s="159">
        <v>6</v>
      </c>
      <c r="C316" s="45">
        <v>37.871523000000003</v>
      </c>
      <c r="D316" s="45">
        <v>-122.273042</v>
      </c>
      <c r="E316" s="45" t="s">
        <v>265</v>
      </c>
      <c r="F316" s="159">
        <v>99</v>
      </c>
      <c r="G316" s="45" t="s">
        <v>623</v>
      </c>
      <c r="H316" s="45" t="s">
        <v>624</v>
      </c>
      <c r="I316" s="45">
        <v>37.712569000000002</v>
      </c>
      <c r="J316" s="45">
        <v>-122.21974299999999</v>
      </c>
      <c r="K316" s="45">
        <v>40.270393179999999</v>
      </c>
      <c r="L316" s="45">
        <v>24.324000000000002</v>
      </c>
      <c r="M316" s="45" t="s">
        <v>617</v>
      </c>
      <c r="N316" s="159">
        <v>5</v>
      </c>
      <c r="O316" s="159">
        <v>6</v>
      </c>
      <c r="P316" s="45" t="s">
        <v>565</v>
      </c>
      <c r="Q316" s="45" t="s">
        <v>564</v>
      </c>
      <c r="R316" s="45">
        <v>41.98028</v>
      </c>
      <c r="S316" s="45">
        <v>-87.908997900000003</v>
      </c>
      <c r="T316" s="45">
        <v>3405.2359999999999</v>
      </c>
      <c r="U316" s="45" t="s">
        <v>617</v>
      </c>
      <c r="V316" s="45" t="s">
        <v>569</v>
      </c>
      <c r="W316" s="45" cm="1">
        <f t="array" ref="W316">getDistance(R316,S316,I316,J316)*SA!$B$12</f>
        <v>2954.4739870823373</v>
      </c>
      <c r="Y316" s="16">
        <f>Transportation_LCIA!C$61*($W316^Transportation_LCIA!C$60)+Transportation_LCIA!C$62</f>
        <v>0.16171000383695877</v>
      </c>
      <c r="Z316" s="16">
        <f>Transportation_LCIA!D$61*($W316^Transportation_LCIA!D$60)+Transportation_LCIA!D$62</f>
        <v>1.5768081231698678</v>
      </c>
      <c r="AA316" s="16">
        <f>Transportation_LCIA!E$61*($W316^Transportation_LCIA!E$60)+Transportation_LCIA!E$62</f>
        <v>5.8937497149571638E-4</v>
      </c>
      <c r="AB316" s="16">
        <f>Transportation_LCIA!F$61*($W316^Transportation_LCIA!F$60)+Transportation_LCIA!F$62</f>
        <v>0.16171000383695877</v>
      </c>
      <c r="AC316" s="16">
        <f>Transportation_LCIA!G$61*($W316^Transportation_LCIA!G$60)+Transportation_LCIA!G$62</f>
        <v>3.7030062493754762E-2</v>
      </c>
      <c r="AD316" s="16">
        <f>Transportation_LCIA!H$61*($W316^Transportation_LCIA!H$60)+Transportation_LCIA!H$62</f>
        <v>1.561077677297297E-4</v>
      </c>
      <c r="AE316" s="16">
        <f>Transportation_LCIA!I$61*($W316^Transportation_LCIA!I$60)+Transportation_LCIA!I$62</f>
        <v>2.9349580057496198E-6</v>
      </c>
      <c r="AF316" s="16">
        <f>Transportation_LCIA!J$61*($W316^Transportation_LCIA!J$60)+Transportation_LCIA!J$62</f>
        <v>4.3668990356380832E-3</v>
      </c>
      <c r="AG316" s="16">
        <f>Transportation_LCIA!K$61*($W316^Transportation_LCIA!K$60)+Transportation_LCIA!K$62</f>
        <v>7.514134281168993E-3</v>
      </c>
      <c r="AH316" s="16">
        <f>Transportation_LCIA!L$61*($W316^Transportation_LCIA!L$60)+Transportation_LCIA!L$62</f>
        <v>1.2948442746469057E-4</v>
      </c>
      <c r="AI316" s="16">
        <f>Transportation_LCIA!M$61*($W316^Transportation_LCIA!M$60)+Transportation_LCIA!M$62</f>
        <v>1.7704106673904082E-4</v>
      </c>
      <c r="AJ316" s="16">
        <f>Transportation_LCIA!N$61*($W316^Transportation_LCIA!N$60)+Transportation_LCIA!N$62</f>
        <v>5.8350629075465312E-4</v>
      </c>
      <c r="AK316" s="16">
        <f>Transportation_LCIA!O$61*($W316^Transportation_LCIA!O$60)+Transportation_LCIA!O$62</f>
        <v>3.9024642261370346E-5</v>
      </c>
      <c r="AL316" s="16">
        <f>Transportation_LCIA!P$61*($W316^Transportation_LCIA!P$60)+Transportation_LCIA!P$62</f>
        <v>1.8916650124927199E-8</v>
      </c>
      <c r="AM316" s="16">
        <f>Transportation_LCIA!Q$61*($W316^Transportation_LCIA!Q$60)+Transportation_LCIA!Q$62</f>
        <v>5.1905696061339208E-5</v>
      </c>
      <c r="AN316" s="16">
        <f>Transportation_LCIA!R$61*($W316^Transportation_LCIA!R$60)+Transportation_LCIA!R$62</f>
        <v>1.4164372298406882E-4</v>
      </c>
      <c r="AO316" s="16">
        <f>Transportation_LCIA!S$61*($W316^Transportation_LCIA!S$60)+Transportation_LCIA!S$62</f>
        <v>2.2660740884116371E-6</v>
      </c>
      <c r="AP316" s="16">
        <f>Transportation_LCIA!T$61*($W316^Transportation_LCIA!T$60)+Transportation_LCIA!T$62</f>
        <v>2.2660740884116371E-6</v>
      </c>
      <c r="AQ316" s="16">
        <f>Transportation_LCIA!U$61*($W316^Transportation_LCIA!U$60)+Transportation_LCIA!U$62</f>
        <v>2.9836447337514829E-4</v>
      </c>
      <c r="AR316" s="16">
        <f>Transportation_LCIA!V$61*($W316^Transportation_LCIA!V$60)+Transportation_LCIA!V$62</f>
        <v>1.3534131853002178E-4</v>
      </c>
      <c r="AT316" s="16">
        <f>$W316*Y316+($L316)*Summary_LCIA!H$32</f>
        <v>486.03329498727965</v>
      </c>
      <c r="AU316" s="16">
        <f>$W316*Z316+($L316)*Summary_LCIA!Q$32</f>
        <v>4779.1895532577882</v>
      </c>
      <c r="AV316" s="16">
        <f>$W316*AA316+($L316)*Summary_LCIA!R$32</f>
        <v>1.8693734763214882</v>
      </c>
      <c r="AW316" s="16">
        <f>$W316*AB316+($L316)*Summary_LCIA!S$32</f>
        <v>485.9257829072796</v>
      </c>
      <c r="AX316" s="16">
        <f>$W316*AC316+($L316)*Summary_LCIA!T$32</f>
        <v>112.07756397783174</v>
      </c>
      <c r="AY316" s="16">
        <f>$W316*AD316+($L316)*Summary_LCIA!U$32</f>
        <v>0.89695647493897801</v>
      </c>
      <c r="AZ316" s="16">
        <f>$W316*AE316+($L316)*Summary_LCIA!V$32</f>
        <v>9.8329956451663047E-3</v>
      </c>
      <c r="BA316" s="16">
        <f>$W316*AF316+($L316)*Summary_LCIA!W$32</f>
        <v>14.774132209007663</v>
      </c>
      <c r="BB316" s="16">
        <f>$W316*AG316+($L316)*Summary_LCIA!X$32</f>
        <v>22.754414989157429</v>
      </c>
      <c r="BC316" s="16">
        <f>$W316*AH316+($L316)*Summary_LCIA!Y$32</f>
        <v>0.76157494067667808</v>
      </c>
      <c r="BD316" s="16">
        <f>$W316*AI316+($L316)*Summary_LCIA!Z$32</f>
        <v>0.52406072924180414</v>
      </c>
      <c r="BE316" s="16">
        <f>$W316*AJ316+($L316)*Summary_LCIA!AA$32</f>
        <v>2.2920655013335254</v>
      </c>
      <c r="BF316" s="16">
        <f>$W316*AK316+($L316)*Summary_LCIA!AB$32</f>
        <v>0.11476646776441272</v>
      </c>
      <c r="BG316" s="16">
        <f>$W316*AL316+($L316)*Summary_LCIA!AC$32</f>
        <v>5.7077805132835255E-5</v>
      </c>
      <c r="BH316" s="16">
        <f>$W316*AM316+($L316)*Summary_LCIA!AD$32</f>
        <v>0.1633521657546288</v>
      </c>
      <c r="BI316" s="16">
        <f>$W316*AN316+($L316)*Summary_LCIA!AE$32</f>
        <v>0.44003692110992793</v>
      </c>
      <c r="BJ316" s="16">
        <f>$W316*AO316+($L316)*Summary_LCIA!AF$32</f>
        <v>2.7259053027013508E-2</v>
      </c>
      <c r="BK316" s="16">
        <f>$W316*AP316+($L316)*Summary_LCIA!AG$32</f>
        <v>7.9395944070135022E-3</v>
      </c>
      <c r="BL316" s="16">
        <f>$W316*AQ316+($L316)*Summary_LCIA!AH$32</f>
        <v>1.0932164416563963</v>
      </c>
      <c r="BM316" s="16">
        <f>$W316*AR316+($L316)*Summary_LCIA!AI$32</f>
        <v>0.42252142717437408</v>
      </c>
      <c r="BN316" s="16"/>
    </row>
    <row r="317" spans="1:66" x14ac:dyDescent="0.25">
      <c r="A317" s="159">
        <v>159</v>
      </c>
      <c r="B317" s="159">
        <v>6</v>
      </c>
      <c r="C317" s="45">
        <v>37.871523000000003</v>
      </c>
      <c r="D317" s="45">
        <v>-122.273042</v>
      </c>
      <c r="E317" s="45" t="s">
        <v>265</v>
      </c>
      <c r="F317" s="159">
        <v>99</v>
      </c>
      <c r="G317" s="45" t="s">
        <v>623</v>
      </c>
      <c r="H317" s="45" t="s">
        <v>624</v>
      </c>
      <c r="I317" s="45">
        <v>37.712569000000002</v>
      </c>
      <c r="J317" s="45">
        <v>-122.21974299999999</v>
      </c>
      <c r="K317" s="45">
        <v>40.270393179999999</v>
      </c>
      <c r="L317" s="45">
        <v>24.324000000000002</v>
      </c>
      <c r="M317" s="45" t="s">
        <v>617</v>
      </c>
      <c r="N317" s="159">
        <v>5</v>
      </c>
      <c r="O317" s="159">
        <v>6</v>
      </c>
      <c r="P317" s="45" t="s">
        <v>565</v>
      </c>
      <c r="Q317" s="45" t="s">
        <v>564</v>
      </c>
      <c r="R317" s="45">
        <v>41.98028</v>
      </c>
      <c r="S317" s="45">
        <v>-87.908997900000003</v>
      </c>
      <c r="T317" s="45">
        <v>3405.2359999999999</v>
      </c>
      <c r="U317" s="45" t="s">
        <v>617</v>
      </c>
      <c r="V317" s="45" t="s">
        <v>569</v>
      </c>
      <c r="W317" s="45" cm="1">
        <f t="array" ref="W317">getDistance(R317,S317,I317,J317)*SA!$B$12</f>
        <v>2954.4739870823373</v>
      </c>
      <c r="Y317" s="16">
        <f>Transportation_LCIA!C$61*($W317^Transportation_LCIA!C$60)+Transportation_LCIA!C$62</f>
        <v>0.16171000383695877</v>
      </c>
      <c r="Z317" s="16">
        <f>Transportation_LCIA!D$61*($W317^Transportation_LCIA!D$60)+Transportation_LCIA!D$62</f>
        <v>1.5768081231698678</v>
      </c>
      <c r="AA317" s="16">
        <f>Transportation_LCIA!E$61*($W317^Transportation_LCIA!E$60)+Transportation_LCIA!E$62</f>
        <v>5.8937497149571638E-4</v>
      </c>
      <c r="AB317" s="16">
        <f>Transportation_LCIA!F$61*($W317^Transportation_LCIA!F$60)+Transportation_LCIA!F$62</f>
        <v>0.16171000383695877</v>
      </c>
      <c r="AC317" s="16">
        <f>Transportation_LCIA!G$61*($W317^Transportation_LCIA!G$60)+Transportation_LCIA!G$62</f>
        <v>3.7030062493754762E-2</v>
      </c>
      <c r="AD317" s="16">
        <f>Transportation_LCIA!H$61*($W317^Transportation_LCIA!H$60)+Transportation_LCIA!H$62</f>
        <v>1.561077677297297E-4</v>
      </c>
      <c r="AE317" s="16">
        <f>Transportation_LCIA!I$61*($W317^Transportation_LCIA!I$60)+Transportation_LCIA!I$62</f>
        <v>2.9349580057496198E-6</v>
      </c>
      <c r="AF317" s="16">
        <f>Transportation_LCIA!J$61*($W317^Transportation_LCIA!J$60)+Transportation_LCIA!J$62</f>
        <v>4.3668990356380832E-3</v>
      </c>
      <c r="AG317" s="16">
        <f>Transportation_LCIA!K$61*($W317^Transportation_LCIA!K$60)+Transportation_LCIA!K$62</f>
        <v>7.514134281168993E-3</v>
      </c>
      <c r="AH317" s="16">
        <f>Transportation_LCIA!L$61*($W317^Transportation_LCIA!L$60)+Transportation_LCIA!L$62</f>
        <v>1.2948442746469057E-4</v>
      </c>
      <c r="AI317" s="16">
        <f>Transportation_LCIA!M$61*($W317^Transportation_LCIA!M$60)+Transportation_LCIA!M$62</f>
        <v>1.7704106673904082E-4</v>
      </c>
      <c r="AJ317" s="16">
        <f>Transportation_LCIA!N$61*($W317^Transportation_LCIA!N$60)+Transportation_LCIA!N$62</f>
        <v>5.8350629075465312E-4</v>
      </c>
      <c r="AK317" s="16">
        <f>Transportation_LCIA!O$61*($W317^Transportation_LCIA!O$60)+Transportation_LCIA!O$62</f>
        <v>3.9024642261370346E-5</v>
      </c>
      <c r="AL317" s="16">
        <f>Transportation_LCIA!P$61*($W317^Transportation_LCIA!P$60)+Transportation_LCIA!P$62</f>
        <v>1.8916650124927199E-8</v>
      </c>
      <c r="AM317" s="16">
        <f>Transportation_LCIA!Q$61*($W317^Transportation_LCIA!Q$60)+Transportation_LCIA!Q$62</f>
        <v>5.1905696061339208E-5</v>
      </c>
      <c r="AN317" s="16">
        <f>Transportation_LCIA!R$61*($W317^Transportation_LCIA!R$60)+Transportation_LCIA!R$62</f>
        <v>1.4164372298406882E-4</v>
      </c>
      <c r="AO317" s="16">
        <f>Transportation_LCIA!S$61*($W317^Transportation_LCIA!S$60)+Transportation_LCIA!S$62</f>
        <v>2.2660740884116371E-6</v>
      </c>
      <c r="AP317" s="16">
        <f>Transportation_LCIA!T$61*($W317^Transportation_LCIA!T$60)+Transportation_LCIA!T$62</f>
        <v>2.2660740884116371E-6</v>
      </c>
      <c r="AQ317" s="16">
        <f>Transportation_LCIA!U$61*($W317^Transportation_LCIA!U$60)+Transportation_LCIA!U$62</f>
        <v>2.9836447337514829E-4</v>
      </c>
      <c r="AR317" s="16">
        <f>Transportation_LCIA!V$61*($W317^Transportation_LCIA!V$60)+Transportation_LCIA!V$62</f>
        <v>1.3534131853002178E-4</v>
      </c>
      <c r="AT317" s="16">
        <f>$W317*Y317+($L317)*Summary_LCIA!H$32</f>
        <v>486.03329498727965</v>
      </c>
      <c r="AU317" s="16">
        <f>$W317*Z317+($L317)*Summary_LCIA!Q$32</f>
        <v>4779.1895532577882</v>
      </c>
      <c r="AV317" s="16">
        <f>$W317*AA317+($L317)*Summary_LCIA!R$32</f>
        <v>1.8693734763214882</v>
      </c>
      <c r="AW317" s="16">
        <f>$W317*AB317+($L317)*Summary_LCIA!S$32</f>
        <v>485.9257829072796</v>
      </c>
      <c r="AX317" s="16">
        <f>$W317*AC317+($L317)*Summary_LCIA!T$32</f>
        <v>112.07756397783174</v>
      </c>
      <c r="AY317" s="16">
        <f>$W317*AD317+($L317)*Summary_LCIA!U$32</f>
        <v>0.89695647493897801</v>
      </c>
      <c r="AZ317" s="16">
        <f>$W317*AE317+($L317)*Summary_LCIA!V$32</f>
        <v>9.8329956451663047E-3</v>
      </c>
      <c r="BA317" s="16">
        <f>$W317*AF317+($L317)*Summary_LCIA!W$32</f>
        <v>14.774132209007663</v>
      </c>
      <c r="BB317" s="16">
        <f>$W317*AG317+($L317)*Summary_LCIA!X$32</f>
        <v>22.754414989157429</v>
      </c>
      <c r="BC317" s="16">
        <f>$W317*AH317+($L317)*Summary_LCIA!Y$32</f>
        <v>0.76157494067667808</v>
      </c>
      <c r="BD317" s="16">
        <f>$W317*AI317+($L317)*Summary_LCIA!Z$32</f>
        <v>0.52406072924180414</v>
      </c>
      <c r="BE317" s="16">
        <f>$W317*AJ317+($L317)*Summary_LCIA!AA$32</f>
        <v>2.2920655013335254</v>
      </c>
      <c r="BF317" s="16">
        <f>$W317*AK317+($L317)*Summary_LCIA!AB$32</f>
        <v>0.11476646776441272</v>
      </c>
      <c r="BG317" s="16">
        <f>$W317*AL317+($L317)*Summary_LCIA!AC$32</f>
        <v>5.7077805132835255E-5</v>
      </c>
      <c r="BH317" s="16">
        <f>$W317*AM317+($L317)*Summary_LCIA!AD$32</f>
        <v>0.1633521657546288</v>
      </c>
      <c r="BI317" s="16">
        <f>$W317*AN317+($L317)*Summary_LCIA!AE$32</f>
        <v>0.44003692110992793</v>
      </c>
      <c r="BJ317" s="16">
        <f>$W317*AO317+($L317)*Summary_LCIA!AF$32</f>
        <v>2.7259053027013508E-2</v>
      </c>
      <c r="BK317" s="16">
        <f>$W317*AP317+($L317)*Summary_LCIA!AG$32</f>
        <v>7.9395944070135022E-3</v>
      </c>
      <c r="BL317" s="16">
        <f>$W317*AQ317+($L317)*Summary_LCIA!AH$32</f>
        <v>1.0932164416563963</v>
      </c>
      <c r="BM317" s="16">
        <f>$W317*AR317+($L317)*Summary_LCIA!AI$32</f>
        <v>0.42252142717437408</v>
      </c>
      <c r="BN317" s="16"/>
    </row>
    <row r="318" spans="1:66" x14ac:dyDescent="0.25">
      <c r="A318" s="159">
        <v>360</v>
      </c>
      <c r="B318" s="159">
        <v>6</v>
      </c>
      <c r="C318" s="45">
        <v>37.92633</v>
      </c>
      <c r="D318" s="45">
        <v>-122.38489</v>
      </c>
      <c r="E318" s="45" t="s">
        <v>265</v>
      </c>
      <c r="F318" s="159">
        <v>99</v>
      </c>
      <c r="G318" s="45" t="s">
        <v>623</v>
      </c>
      <c r="H318" s="45" t="s">
        <v>624</v>
      </c>
      <c r="I318" s="45">
        <v>37.712569000000002</v>
      </c>
      <c r="J318" s="45">
        <v>-122.21974299999999</v>
      </c>
      <c r="K318" s="45">
        <v>60.952904539999999</v>
      </c>
      <c r="L318" s="45">
        <v>37.832000000000001</v>
      </c>
      <c r="M318" s="45" t="s">
        <v>617</v>
      </c>
      <c r="N318" s="159">
        <v>5</v>
      </c>
      <c r="O318" s="159">
        <v>6</v>
      </c>
      <c r="P318" s="45" t="s">
        <v>565</v>
      </c>
      <c r="Q318" s="45" t="s">
        <v>564</v>
      </c>
      <c r="R318" s="45">
        <v>41.98028</v>
      </c>
      <c r="S318" s="45">
        <v>-87.908997900000003</v>
      </c>
      <c r="T318" s="45">
        <v>3405.2930000000001</v>
      </c>
      <c r="U318" s="45" t="s">
        <v>617</v>
      </c>
      <c r="V318" s="45" t="s">
        <v>569</v>
      </c>
      <c r="W318" s="45" cm="1">
        <f t="array" ref="W318">getDistance(R318,S318,I318,J318)*SA!$B$12</f>
        <v>2954.4739870823373</v>
      </c>
      <c r="Y318" s="16">
        <f>Transportation_LCIA!C$61*($W318^Transportation_LCIA!C$60)+Transportation_LCIA!C$62</f>
        <v>0.16171000383695877</v>
      </c>
      <c r="Z318" s="16">
        <f>Transportation_LCIA!D$61*($W318^Transportation_LCIA!D$60)+Transportation_LCIA!D$62</f>
        <v>1.5768081231698678</v>
      </c>
      <c r="AA318" s="16">
        <f>Transportation_LCIA!E$61*($W318^Transportation_LCIA!E$60)+Transportation_LCIA!E$62</f>
        <v>5.8937497149571638E-4</v>
      </c>
      <c r="AB318" s="16">
        <f>Transportation_LCIA!F$61*($W318^Transportation_LCIA!F$60)+Transportation_LCIA!F$62</f>
        <v>0.16171000383695877</v>
      </c>
      <c r="AC318" s="16">
        <f>Transportation_LCIA!G$61*($W318^Transportation_LCIA!G$60)+Transportation_LCIA!G$62</f>
        <v>3.7030062493754762E-2</v>
      </c>
      <c r="AD318" s="16">
        <f>Transportation_LCIA!H$61*($W318^Transportation_LCIA!H$60)+Transportation_LCIA!H$62</f>
        <v>1.561077677297297E-4</v>
      </c>
      <c r="AE318" s="16">
        <f>Transportation_LCIA!I$61*($W318^Transportation_LCIA!I$60)+Transportation_LCIA!I$62</f>
        <v>2.9349580057496198E-6</v>
      </c>
      <c r="AF318" s="16">
        <f>Transportation_LCIA!J$61*($W318^Transportation_LCIA!J$60)+Transportation_LCIA!J$62</f>
        <v>4.3668990356380832E-3</v>
      </c>
      <c r="AG318" s="16">
        <f>Transportation_LCIA!K$61*($W318^Transportation_LCIA!K$60)+Transportation_LCIA!K$62</f>
        <v>7.514134281168993E-3</v>
      </c>
      <c r="AH318" s="16">
        <f>Transportation_LCIA!L$61*($W318^Transportation_LCIA!L$60)+Transportation_LCIA!L$62</f>
        <v>1.2948442746469057E-4</v>
      </c>
      <c r="AI318" s="16">
        <f>Transportation_LCIA!M$61*($W318^Transportation_LCIA!M$60)+Transportation_LCIA!M$62</f>
        <v>1.7704106673904082E-4</v>
      </c>
      <c r="AJ318" s="16">
        <f>Transportation_LCIA!N$61*($W318^Transportation_LCIA!N$60)+Transportation_LCIA!N$62</f>
        <v>5.8350629075465312E-4</v>
      </c>
      <c r="AK318" s="16">
        <f>Transportation_LCIA!O$61*($W318^Transportation_LCIA!O$60)+Transportation_LCIA!O$62</f>
        <v>3.9024642261370346E-5</v>
      </c>
      <c r="AL318" s="16">
        <f>Transportation_LCIA!P$61*($W318^Transportation_LCIA!P$60)+Transportation_LCIA!P$62</f>
        <v>1.8916650124927199E-8</v>
      </c>
      <c r="AM318" s="16">
        <f>Transportation_LCIA!Q$61*($W318^Transportation_LCIA!Q$60)+Transportation_LCIA!Q$62</f>
        <v>5.1905696061339208E-5</v>
      </c>
      <c r="AN318" s="16">
        <f>Transportation_LCIA!R$61*($W318^Transportation_LCIA!R$60)+Transportation_LCIA!R$62</f>
        <v>1.4164372298406882E-4</v>
      </c>
      <c r="AO318" s="16">
        <f>Transportation_LCIA!S$61*($W318^Transportation_LCIA!S$60)+Transportation_LCIA!S$62</f>
        <v>2.2660740884116371E-6</v>
      </c>
      <c r="AP318" s="16">
        <f>Transportation_LCIA!T$61*($W318^Transportation_LCIA!T$60)+Transportation_LCIA!T$62</f>
        <v>2.2660740884116371E-6</v>
      </c>
      <c r="AQ318" s="16">
        <f>Transportation_LCIA!U$61*($W318^Transportation_LCIA!U$60)+Transportation_LCIA!U$62</f>
        <v>2.9836447337514829E-4</v>
      </c>
      <c r="AR318" s="16">
        <f>Transportation_LCIA!V$61*($W318^Transportation_LCIA!V$60)+Transportation_LCIA!V$62</f>
        <v>1.3534131853002178E-4</v>
      </c>
      <c r="AT318" s="16">
        <f>$W318*Y318+($L318)*Summary_LCIA!H$32</f>
        <v>490.62331338727961</v>
      </c>
      <c r="AU318" s="16">
        <f>$W318*Z318+($L318)*Summary_LCIA!Q$32</f>
        <v>4846.1358825067528</v>
      </c>
      <c r="AV318" s="16">
        <f>$W318*AA318+($L318)*Summary_LCIA!R$32</f>
        <v>1.9405012011214882</v>
      </c>
      <c r="AW318" s="16">
        <f>$W318*AB318+($L318)*Summary_LCIA!S$32</f>
        <v>490.45609594727961</v>
      </c>
      <c r="AX318" s="16">
        <f>$W318*AC318+($L318)*Summary_LCIA!T$32</f>
        <v>113.56209317783174</v>
      </c>
      <c r="AY318" s="16">
        <f>$W318*AD318+($L318)*Summary_LCIA!U$32</f>
        <v>1.138938786938978</v>
      </c>
      <c r="AZ318" s="16">
        <f>$W318*AE318+($L318)*Summary_LCIA!V$32</f>
        <v>1.0478151233166304E-2</v>
      </c>
      <c r="BA318" s="16">
        <f>$W318*AF318+($L318)*Summary_LCIA!W$32</f>
        <v>15.813856477007661</v>
      </c>
      <c r="BB318" s="16">
        <f>$W318*AG318+($L318)*Summary_LCIA!X$32</f>
        <v>23.062127229157429</v>
      </c>
      <c r="BC318" s="16">
        <f>$W318*AH318+($L318)*Summary_LCIA!Y$32</f>
        <v>0.9720565966766781</v>
      </c>
      <c r="BD318" s="16">
        <f>$W318*AI318+($L318)*Summary_LCIA!Z$32</f>
        <v>0.52461467881380419</v>
      </c>
      <c r="BE318" s="16">
        <f>$W318*AJ318+($L318)*Summary_LCIA!AA$32</f>
        <v>2.6075583493335257</v>
      </c>
      <c r="BF318" s="16">
        <f>$W318*AK318+($L318)*Summary_LCIA!AB$32</f>
        <v>0.11447168268041272</v>
      </c>
      <c r="BG318" s="16">
        <f>$W318*AL318+($L318)*Summary_LCIA!AC$32</f>
        <v>5.7738130204835258E-5</v>
      </c>
      <c r="BH318" s="16">
        <f>$W318*AM318+($L318)*Summary_LCIA!AD$32</f>
        <v>0.16890449407462882</v>
      </c>
      <c r="BI318" s="16">
        <f>$W318*AN318+($L318)*Summary_LCIA!AE$32</f>
        <v>0.45200676514992788</v>
      </c>
      <c r="BJ318" s="16">
        <f>$W318*AO318+($L318)*Summary_LCIA!AF$32</f>
        <v>3.8678986387013503E-2</v>
      </c>
      <c r="BK318" s="16">
        <f>$W318*AP318+($L318)*Summary_LCIA!AG$32</f>
        <v>8.6307312270135026E-3</v>
      </c>
      <c r="BL318" s="16">
        <f>$W318*AQ318+($L318)*Summary_LCIA!AH$32</f>
        <v>1.2107846704563963</v>
      </c>
      <c r="BM318" s="16">
        <f>$W318*AR318+($L318)*Summary_LCIA!AI$32</f>
        <v>0.43510480457437406</v>
      </c>
      <c r="BN318" s="16"/>
    </row>
    <row r="319" spans="1:66" x14ac:dyDescent="0.25">
      <c r="A319" s="159">
        <v>326</v>
      </c>
      <c r="B319" s="159">
        <v>6</v>
      </c>
      <c r="C319" s="45">
        <v>37.827178000000004</v>
      </c>
      <c r="D319" s="45">
        <v>-122.291308</v>
      </c>
      <c r="E319" s="45" t="s">
        <v>265</v>
      </c>
      <c r="F319" s="159">
        <v>99</v>
      </c>
      <c r="G319" s="45" t="s">
        <v>623</v>
      </c>
      <c r="H319" s="45" t="s">
        <v>624</v>
      </c>
      <c r="I319" s="45">
        <v>37.712569000000002</v>
      </c>
      <c r="J319" s="45">
        <v>-122.21974299999999</v>
      </c>
      <c r="K319" s="45">
        <v>31.383945929999999</v>
      </c>
      <c r="L319" s="45">
        <v>20.917000000000002</v>
      </c>
      <c r="M319" s="45" t="s">
        <v>617</v>
      </c>
      <c r="N319" s="159">
        <v>5</v>
      </c>
      <c r="O319" s="159">
        <v>6</v>
      </c>
      <c r="P319" s="45" t="s">
        <v>565</v>
      </c>
      <c r="Q319" s="45" t="s">
        <v>564</v>
      </c>
      <c r="R319" s="45">
        <v>41.98028</v>
      </c>
      <c r="S319" s="45">
        <v>-87.908997900000003</v>
      </c>
      <c r="T319" s="45">
        <v>3407.0940000000001</v>
      </c>
      <c r="U319" s="45" t="s">
        <v>617</v>
      </c>
      <c r="V319" s="45" t="s">
        <v>569</v>
      </c>
      <c r="W319" s="45" cm="1">
        <f t="array" ref="W319">getDistance(R319,S319,I319,J319)*SA!$B$12</f>
        <v>2954.4739870823373</v>
      </c>
      <c r="Y319" s="16">
        <f>Transportation_LCIA!C$61*($W319^Transportation_LCIA!C$60)+Transportation_LCIA!C$62</f>
        <v>0.16171000383695877</v>
      </c>
      <c r="Z319" s="16">
        <f>Transportation_LCIA!D$61*($W319^Transportation_LCIA!D$60)+Transportation_LCIA!D$62</f>
        <v>1.5768081231698678</v>
      </c>
      <c r="AA319" s="16">
        <f>Transportation_LCIA!E$61*($W319^Transportation_LCIA!E$60)+Transportation_LCIA!E$62</f>
        <v>5.8937497149571638E-4</v>
      </c>
      <c r="AB319" s="16">
        <f>Transportation_LCIA!F$61*($W319^Transportation_LCIA!F$60)+Transportation_LCIA!F$62</f>
        <v>0.16171000383695877</v>
      </c>
      <c r="AC319" s="16">
        <f>Transportation_LCIA!G$61*($W319^Transportation_LCIA!G$60)+Transportation_LCIA!G$62</f>
        <v>3.7030062493754762E-2</v>
      </c>
      <c r="AD319" s="16">
        <f>Transportation_LCIA!H$61*($W319^Transportation_LCIA!H$60)+Transportation_LCIA!H$62</f>
        <v>1.561077677297297E-4</v>
      </c>
      <c r="AE319" s="16">
        <f>Transportation_LCIA!I$61*($W319^Transportation_LCIA!I$60)+Transportation_LCIA!I$62</f>
        <v>2.9349580057496198E-6</v>
      </c>
      <c r="AF319" s="16">
        <f>Transportation_LCIA!J$61*($W319^Transportation_LCIA!J$60)+Transportation_LCIA!J$62</f>
        <v>4.3668990356380832E-3</v>
      </c>
      <c r="AG319" s="16">
        <f>Transportation_LCIA!K$61*($W319^Transportation_LCIA!K$60)+Transportation_LCIA!K$62</f>
        <v>7.514134281168993E-3</v>
      </c>
      <c r="AH319" s="16">
        <f>Transportation_LCIA!L$61*($W319^Transportation_LCIA!L$60)+Transportation_LCIA!L$62</f>
        <v>1.2948442746469057E-4</v>
      </c>
      <c r="AI319" s="16">
        <f>Transportation_LCIA!M$61*($W319^Transportation_LCIA!M$60)+Transportation_LCIA!M$62</f>
        <v>1.7704106673904082E-4</v>
      </c>
      <c r="AJ319" s="16">
        <f>Transportation_LCIA!N$61*($W319^Transportation_LCIA!N$60)+Transportation_LCIA!N$62</f>
        <v>5.8350629075465312E-4</v>
      </c>
      <c r="AK319" s="16">
        <f>Transportation_LCIA!O$61*($W319^Transportation_LCIA!O$60)+Transportation_LCIA!O$62</f>
        <v>3.9024642261370346E-5</v>
      </c>
      <c r="AL319" s="16">
        <f>Transportation_LCIA!P$61*($W319^Transportation_LCIA!P$60)+Transportation_LCIA!P$62</f>
        <v>1.8916650124927199E-8</v>
      </c>
      <c r="AM319" s="16">
        <f>Transportation_LCIA!Q$61*($W319^Transportation_LCIA!Q$60)+Transportation_LCIA!Q$62</f>
        <v>5.1905696061339208E-5</v>
      </c>
      <c r="AN319" s="16">
        <f>Transportation_LCIA!R$61*($W319^Transportation_LCIA!R$60)+Transportation_LCIA!R$62</f>
        <v>1.4164372298406882E-4</v>
      </c>
      <c r="AO319" s="16">
        <f>Transportation_LCIA!S$61*($W319^Transportation_LCIA!S$60)+Transportation_LCIA!S$62</f>
        <v>2.2660740884116371E-6</v>
      </c>
      <c r="AP319" s="16">
        <f>Transportation_LCIA!T$61*($W319^Transportation_LCIA!T$60)+Transportation_LCIA!T$62</f>
        <v>2.2660740884116371E-6</v>
      </c>
      <c r="AQ319" s="16">
        <f>Transportation_LCIA!U$61*($W319^Transportation_LCIA!U$60)+Transportation_LCIA!U$62</f>
        <v>2.9836447337514829E-4</v>
      </c>
      <c r="AR319" s="16">
        <f>Transportation_LCIA!V$61*($W319^Transportation_LCIA!V$60)+Transportation_LCIA!V$62</f>
        <v>1.3534131853002178E-4</v>
      </c>
      <c r="AT319" s="16">
        <f>$W319*Y319+($L319)*Summary_LCIA!H$32</f>
        <v>484.87559638727964</v>
      </c>
      <c r="AU319" s="16">
        <f>$W319*Z319+($L319)*Summary_LCIA!Q$32</f>
        <v>4762.3042894325572</v>
      </c>
      <c r="AV319" s="16">
        <f>$W319*AA319+($L319)*Summary_LCIA!R$32</f>
        <v>1.8514335771214883</v>
      </c>
      <c r="AW319" s="16">
        <f>$W319*AB319+($L319)*Summary_LCIA!S$32</f>
        <v>484.78314324727961</v>
      </c>
      <c r="AX319" s="16">
        <f>$W319*AC319+($L319)*Summary_LCIA!T$32</f>
        <v>111.70313467783174</v>
      </c>
      <c r="AY319" s="16">
        <f>$W319*AD319+($L319)*Summary_LCIA!U$32</f>
        <v>0.83592347693897795</v>
      </c>
      <c r="AZ319" s="16">
        <f>$W319*AE319+($L319)*Summary_LCIA!V$32</f>
        <v>9.6702739181663052E-3</v>
      </c>
      <c r="BA319" s="16">
        <f>$W319*AF319+($L319)*Summary_LCIA!W$32</f>
        <v>14.511892012007662</v>
      </c>
      <c r="BB319" s="16">
        <f>$W319*AG319+($L319)*Summary_LCIA!X$32</f>
        <v>22.676803529157429</v>
      </c>
      <c r="BC319" s="16">
        <f>$W319*AH319+($L319)*Summary_LCIA!Y$32</f>
        <v>0.70848706667667805</v>
      </c>
      <c r="BD319" s="16">
        <f>$W319*AI319+($L319)*Summary_LCIA!Z$32</f>
        <v>0.52392101157880411</v>
      </c>
      <c r="BE319" s="16">
        <f>$W319*AJ319+($L319)*Summary_LCIA!AA$32</f>
        <v>2.2124916093335254</v>
      </c>
      <c r="BF319" s="16">
        <f>$W319*AK319+($L319)*Summary_LCIA!AB$32</f>
        <v>0.11484081872541273</v>
      </c>
      <c r="BG319" s="16">
        <f>$W319*AL319+($L319)*Summary_LCIA!AC$32</f>
        <v>5.6911257344835259E-5</v>
      </c>
      <c r="BH319" s="16">
        <f>$W319*AM319+($L319)*Summary_LCIA!AD$32</f>
        <v>0.16195175247462881</v>
      </c>
      <c r="BI319" s="16">
        <f>$W319*AN319+($L319)*Summary_LCIA!AE$32</f>
        <v>0.43701787619992793</v>
      </c>
      <c r="BJ319" s="16">
        <f>$W319*AO319+($L319)*Summary_LCIA!AF$32</f>
        <v>2.4378707087013507E-2</v>
      </c>
      <c r="BK319" s="16">
        <f>$W319*AP319+($L319)*Summary_LCIA!AG$32</f>
        <v>7.7652752520135024E-3</v>
      </c>
      <c r="BL319" s="16">
        <f>$W319*AQ319+($L319)*Summary_LCIA!AH$32</f>
        <v>1.0635632764563963</v>
      </c>
      <c r="BM319" s="16">
        <f>$W319*AR319+($L319)*Summary_LCIA!AI$32</f>
        <v>0.41934763632437411</v>
      </c>
      <c r="BN319" s="16"/>
    </row>
    <row r="320" spans="1:66" x14ac:dyDescent="0.25">
      <c r="A320" s="159">
        <v>327</v>
      </c>
      <c r="B320" s="159">
        <v>6</v>
      </c>
      <c r="C320" s="45">
        <v>37.827178000000004</v>
      </c>
      <c r="D320" s="45">
        <v>-122.291308</v>
      </c>
      <c r="E320" s="45" t="s">
        <v>265</v>
      </c>
      <c r="F320" s="159">
        <v>99</v>
      </c>
      <c r="G320" s="45" t="s">
        <v>623</v>
      </c>
      <c r="H320" s="45" t="s">
        <v>624</v>
      </c>
      <c r="I320" s="45">
        <v>37.712569000000002</v>
      </c>
      <c r="J320" s="45">
        <v>-122.21974299999999</v>
      </c>
      <c r="K320" s="45">
        <v>31.383945929999999</v>
      </c>
      <c r="L320" s="45">
        <v>20.917000000000002</v>
      </c>
      <c r="M320" s="45" t="s">
        <v>617</v>
      </c>
      <c r="N320" s="159">
        <v>5</v>
      </c>
      <c r="O320" s="159">
        <v>6</v>
      </c>
      <c r="P320" s="45" t="s">
        <v>565</v>
      </c>
      <c r="Q320" s="45" t="s">
        <v>564</v>
      </c>
      <c r="R320" s="45">
        <v>41.98028</v>
      </c>
      <c r="S320" s="45">
        <v>-87.908997900000003</v>
      </c>
      <c r="T320" s="45">
        <v>3407.0940000000001</v>
      </c>
      <c r="U320" s="45" t="s">
        <v>617</v>
      </c>
      <c r="V320" s="45" t="s">
        <v>569</v>
      </c>
      <c r="W320" s="45" cm="1">
        <f t="array" ref="W320">getDistance(R320,S320,I320,J320)*SA!$B$12</f>
        <v>2954.4739870823373</v>
      </c>
      <c r="Y320" s="16">
        <f>Transportation_LCIA!C$61*($W320^Transportation_LCIA!C$60)+Transportation_LCIA!C$62</f>
        <v>0.16171000383695877</v>
      </c>
      <c r="Z320" s="16">
        <f>Transportation_LCIA!D$61*($W320^Transportation_LCIA!D$60)+Transportation_LCIA!D$62</f>
        <v>1.5768081231698678</v>
      </c>
      <c r="AA320" s="16">
        <f>Transportation_LCIA!E$61*($W320^Transportation_LCIA!E$60)+Transportation_LCIA!E$62</f>
        <v>5.8937497149571638E-4</v>
      </c>
      <c r="AB320" s="16">
        <f>Transportation_LCIA!F$61*($W320^Transportation_LCIA!F$60)+Transportation_LCIA!F$62</f>
        <v>0.16171000383695877</v>
      </c>
      <c r="AC320" s="16">
        <f>Transportation_LCIA!G$61*($W320^Transportation_LCIA!G$60)+Transportation_LCIA!G$62</f>
        <v>3.7030062493754762E-2</v>
      </c>
      <c r="AD320" s="16">
        <f>Transportation_LCIA!H$61*($W320^Transportation_LCIA!H$60)+Transportation_LCIA!H$62</f>
        <v>1.561077677297297E-4</v>
      </c>
      <c r="AE320" s="16">
        <f>Transportation_LCIA!I$61*($W320^Transportation_LCIA!I$60)+Transportation_LCIA!I$62</f>
        <v>2.9349580057496198E-6</v>
      </c>
      <c r="AF320" s="16">
        <f>Transportation_LCIA!J$61*($W320^Transportation_LCIA!J$60)+Transportation_LCIA!J$62</f>
        <v>4.3668990356380832E-3</v>
      </c>
      <c r="AG320" s="16">
        <f>Transportation_LCIA!K$61*($W320^Transportation_LCIA!K$60)+Transportation_LCIA!K$62</f>
        <v>7.514134281168993E-3</v>
      </c>
      <c r="AH320" s="16">
        <f>Transportation_LCIA!L$61*($W320^Transportation_LCIA!L$60)+Transportation_LCIA!L$62</f>
        <v>1.2948442746469057E-4</v>
      </c>
      <c r="AI320" s="16">
        <f>Transportation_LCIA!M$61*($W320^Transportation_LCIA!M$60)+Transportation_LCIA!M$62</f>
        <v>1.7704106673904082E-4</v>
      </c>
      <c r="AJ320" s="16">
        <f>Transportation_LCIA!N$61*($W320^Transportation_LCIA!N$60)+Transportation_LCIA!N$62</f>
        <v>5.8350629075465312E-4</v>
      </c>
      <c r="AK320" s="16">
        <f>Transportation_LCIA!O$61*($W320^Transportation_LCIA!O$60)+Transportation_LCIA!O$62</f>
        <v>3.9024642261370346E-5</v>
      </c>
      <c r="AL320" s="16">
        <f>Transportation_LCIA!P$61*($W320^Transportation_LCIA!P$60)+Transportation_LCIA!P$62</f>
        <v>1.8916650124927199E-8</v>
      </c>
      <c r="AM320" s="16">
        <f>Transportation_LCIA!Q$61*($W320^Transportation_LCIA!Q$60)+Transportation_LCIA!Q$62</f>
        <v>5.1905696061339208E-5</v>
      </c>
      <c r="AN320" s="16">
        <f>Transportation_LCIA!R$61*($W320^Transportation_LCIA!R$60)+Transportation_LCIA!R$62</f>
        <v>1.4164372298406882E-4</v>
      </c>
      <c r="AO320" s="16">
        <f>Transportation_LCIA!S$61*($W320^Transportation_LCIA!S$60)+Transportation_LCIA!S$62</f>
        <v>2.2660740884116371E-6</v>
      </c>
      <c r="AP320" s="16">
        <f>Transportation_LCIA!T$61*($W320^Transportation_LCIA!T$60)+Transportation_LCIA!T$62</f>
        <v>2.2660740884116371E-6</v>
      </c>
      <c r="AQ320" s="16">
        <f>Transportation_LCIA!U$61*($W320^Transportation_LCIA!U$60)+Transportation_LCIA!U$62</f>
        <v>2.9836447337514829E-4</v>
      </c>
      <c r="AR320" s="16">
        <f>Transportation_LCIA!V$61*($W320^Transportation_LCIA!V$60)+Transportation_LCIA!V$62</f>
        <v>1.3534131853002178E-4</v>
      </c>
      <c r="AT320" s="16">
        <f>$W320*Y320+($L320)*Summary_LCIA!H$32</f>
        <v>484.87559638727964</v>
      </c>
      <c r="AU320" s="16">
        <f>$W320*Z320+($L320)*Summary_LCIA!Q$32</f>
        <v>4762.3042894325572</v>
      </c>
      <c r="AV320" s="16">
        <f>$W320*AA320+($L320)*Summary_LCIA!R$32</f>
        <v>1.8514335771214883</v>
      </c>
      <c r="AW320" s="16">
        <f>$W320*AB320+($L320)*Summary_LCIA!S$32</f>
        <v>484.78314324727961</v>
      </c>
      <c r="AX320" s="16">
        <f>$W320*AC320+($L320)*Summary_LCIA!T$32</f>
        <v>111.70313467783174</v>
      </c>
      <c r="AY320" s="16">
        <f>$W320*AD320+($L320)*Summary_LCIA!U$32</f>
        <v>0.83592347693897795</v>
      </c>
      <c r="AZ320" s="16">
        <f>$W320*AE320+($L320)*Summary_LCIA!V$32</f>
        <v>9.6702739181663052E-3</v>
      </c>
      <c r="BA320" s="16">
        <f>$W320*AF320+($L320)*Summary_LCIA!W$32</f>
        <v>14.511892012007662</v>
      </c>
      <c r="BB320" s="16">
        <f>$W320*AG320+($L320)*Summary_LCIA!X$32</f>
        <v>22.676803529157429</v>
      </c>
      <c r="BC320" s="16">
        <f>$W320*AH320+($L320)*Summary_LCIA!Y$32</f>
        <v>0.70848706667667805</v>
      </c>
      <c r="BD320" s="16">
        <f>$W320*AI320+($L320)*Summary_LCIA!Z$32</f>
        <v>0.52392101157880411</v>
      </c>
      <c r="BE320" s="16">
        <f>$W320*AJ320+($L320)*Summary_LCIA!AA$32</f>
        <v>2.2124916093335254</v>
      </c>
      <c r="BF320" s="16">
        <f>$W320*AK320+($L320)*Summary_LCIA!AB$32</f>
        <v>0.11484081872541273</v>
      </c>
      <c r="BG320" s="16">
        <f>$W320*AL320+($L320)*Summary_LCIA!AC$32</f>
        <v>5.6911257344835259E-5</v>
      </c>
      <c r="BH320" s="16">
        <f>$W320*AM320+($L320)*Summary_LCIA!AD$32</f>
        <v>0.16195175247462881</v>
      </c>
      <c r="BI320" s="16">
        <f>$W320*AN320+($L320)*Summary_LCIA!AE$32</f>
        <v>0.43701787619992793</v>
      </c>
      <c r="BJ320" s="16">
        <f>$W320*AO320+($L320)*Summary_LCIA!AF$32</f>
        <v>2.4378707087013507E-2</v>
      </c>
      <c r="BK320" s="16">
        <f>$W320*AP320+($L320)*Summary_LCIA!AG$32</f>
        <v>7.7652752520135024E-3</v>
      </c>
      <c r="BL320" s="16">
        <f>$W320*AQ320+($L320)*Summary_LCIA!AH$32</f>
        <v>1.0635632764563963</v>
      </c>
      <c r="BM320" s="16">
        <f>$W320*AR320+($L320)*Summary_LCIA!AI$32</f>
        <v>0.41934763632437411</v>
      </c>
      <c r="BN320" s="16"/>
    </row>
    <row r="321" spans="1:66" x14ac:dyDescent="0.25">
      <c r="A321" s="159">
        <v>4</v>
      </c>
      <c r="B321" s="159">
        <v>6</v>
      </c>
      <c r="C321" s="45">
        <v>37.875985</v>
      </c>
      <c r="D321" s="45">
        <v>-122.25001399999999</v>
      </c>
      <c r="E321" s="45" t="s">
        <v>265</v>
      </c>
      <c r="F321" s="159">
        <v>99</v>
      </c>
      <c r="G321" s="45" t="s">
        <v>623</v>
      </c>
      <c r="H321" s="45" t="s">
        <v>624</v>
      </c>
      <c r="I321" s="45">
        <v>37.712569000000002</v>
      </c>
      <c r="J321" s="45">
        <v>-122.21974299999999</v>
      </c>
      <c r="K321" s="45">
        <v>39.814875569999998</v>
      </c>
      <c r="L321" s="45">
        <v>26.879000000000001</v>
      </c>
      <c r="M321" s="45" t="s">
        <v>617</v>
      </c>
      <c r="N321" s="159">
        <v>5</v>
      </c>
      <c r="O321" s="159">
        <v>6</v>
      </c>
      <c r="P321" s="45" t="s">
        <v>565</v>
      </c>
      <c r="Q321" s="45" t="s">
        <v>564</v>
      </c>
      <c r="R321" s="45">
        <v>41.98028</v>
      </c>
      <c r="S321" s="45">
        <v>-87.908997900000003</v>
      </c>
      <c r="T321" s="45">
        <v>3408.2660000000001</v>
      </c>
      <c r="U321" s="45" t="s">
        <v>617</v>
      </c>
      <c r="V321" s="45" t="s">
        <v>569</v>
      </c>
      <c r="W321" s="45" cm="1">
        <f t="array" ref="W321">getDistance(R321,S321,I321,J321)*SA!$B$12</f>
        <v>2954.4739870823373</v>
      </c>
      <c r="Y321" s="16">
        <f>Transportation_LCIA!C$61*($W321^Transportation_LCIA!C$60)+Transportation_LCIA!C$62</f>
        <v>0.16171000383695877</v>
      </c>
      <c r="Z321" s="16">
        <f>Transportation_LCIA!D$61*($W321^Transportation_LCIA!D$60)+Transportation_LCIA!D$62</f>
        <v>1.5768081231698678</v>
      </c>
      <c r="AA321" s="16">
        <f>Transportation_LCIA!E$61*($W321^Transportation_LCIA!E$60)+Transportation_LCIA!E$62</f>
        <v>5.8937497149571638E-4</v>
      </c>
      <c r="AB321" s="16">
        <f>Transportation_LCIA!F$61*($W321^Transportation_LCIA!F$60)+Transportation_LCIA!F$62</f>
        <v>0.16171000383695877</v>
      </c>
      <c r="AC321" s="16">
        <f>Transportation_LCIA!G$61*($W321^Transportation_LCIA!G$60)+Transportation_LCIA!G$62</f>
        <v>3.7030062493754762E-2</v>
      </c>
      <c r="AD321" s="16">
        <f>Transportation_LCIA!H$61*($W321^Transportation_LCIA!H$60)+Transportation_LCIA!H$62</f>
        <v>1.561077677297297E-4</v>
      </c>
      <c r="AE321" s="16">
        <f>Transportation_LCIA!I$61*($W321^Transportation_LCIA!I$60)+Transportation_LCIA!I$62</f>
        <v>2.9349580057496198E-6</v>
      </c>
      <c r="AF321" s="16">
        <f>Transportation_LCIA!J$61*($W321^Transportation_LCIA!J$60)+Transportation_LCIA!J$62</f>
        <v>4.3668990356380832E-3</v>
      </c>
      <c r="AG321" s="16">
        <f>Transportation_LCIA!K$61*($W321^Transportation_LCIA!K$60)+Transportation_LCIA!K$62</f>
        <v>7.514134281168993E-3</v>
      </c>
      <c r="AH321" s="16">
        <f>Transportation_LCIA!L$61*($W321^Transportation_LCIA!L$60)+Transportation_LCIA!L$62</f>
        <v>1.2948442746469057E-4</v>
      </c>
      <c r="AI321" s="16">
        <f>Transportation_LCIA!M$61*($W321^Transportation_LCIA!M$60)+Transportation_LCIA!M$62</f>
        <v>1.7704106673904082E-4</v>
      </c>
      <c r="AJ321" s="16">
        <f>Transportation_LCIA!N$61*($W321^Transportation_LCIA!N$60)+Transportation_LCIA!N$62</f>
        <v>5.8350629075465312E-4</v>
      </c>
      <c r="AK321" s="16">
        <f>Transportation_LCIA!O$61*($W321^Transportation_LCIA!O$60)+Transportation_LCIA!O$62</f>
        <v>3.9024642261370346E-5</v>
      </c>
      <c r="AL321" s="16">
        <f>Transportation_LCIA!P$61*($W321^Transportation_LCIA!P$60)+Transportation_LCIA!P$62</f>
        <v>1.8916650124927199E-8</v>
      </c>
      <c r="AM321" s="16">
        <f>Transportation_LCIA!Q$61*($W321^Transportation_LCIA!Q$60)+Transportation_LCIA!Q$62</f>
        <v>5.1905696061339208E-5</v>
      </c>
      <c r="AN321" s="16">
        <f>Transportation_LCIA!R$61*($W321^Transportation_LCIA!R$60)+Transportation_LCIA!R$62</f>
        <v>1.4164372298406882E-4</v>
      </c>
      <c r="AO321" s="16">
        <f>Transportation_LCIA!S$61*($W321^Transportation_LCIA!S$60)+Transportation_LCIA!S$62</f>
        <v>2.2660740884116371E-6</v>
      </c>
      <c r="AP321" s="16">
        <f>Transportation_LCIA!T$61*($W321^Transportation_LCIA!T$60)+Transportation_LCIA!T$62</f>
        <v>2.2660740884116371E-6</v>
      </c>
      <c r="AQ321" s="16">
        <f>Transportation_LCIA!U$61*($W321^Transportation_LCIA!U$60)+Transportation_LCIA!U$62</f>
        <v>2.9836447337514829E-4</v>
      </c>
      <c r="AR321" s="16">
        <f>Transportation_LCIA!V$61*($W321^Transportation_LCIA!V$60)+Transportation_LCIA!V$62</f>
        <v>1.3534131853002178E-4</v>
      </c>
      <c r="AT321" s="16">
        <f>$W321*Y321+($L321)*Summary_LCIA!H$32</f>
        <v>486.90148398727962</v>
      </c>
      <c r="AU321" s="16">
        <f>$W321*Z321+($L321)*Summary_LCIA!Q$32</f>
        <v>4791.8522621141037</v>
      </c>
      <c r="AV321" s="16">
        <f>$W321*AA321+($L321)*Summary_LCIA!R$32</f>
        <v>1.8828270843214883</v>
      </c>
      <c r="AW321" s="16">
        <f>$W321*AB321+($L321)*Summary_LCIA!S$32</f>
        <v>486.78267880727964</v>
      </c>
      <c r="AX321" s="16">
        <f>$W321*AC321+($L321)*Summary_LCIA!T$32</f>
        <v>112.35835847783174</v>
      </c>
      <c r="AY321" s="16">
        <f>$W321*AD321+($L321)*Summary_LCIA!U$32</f>
        <v>0.94272674493897801</v>
      </c>
      <c r="AZ321" s="16">
        <f>$W321*AE321+($L321)*Summary_LCIA!V$32</f>
        <v>9.9550250001663038E-3</v>
      </c>
      <c r="BA321" s="16">
        <f>$W321*AF321+($L321)*Summary_LCIA!W$32</f>
        <v>14.970793114007662</v>
      </c>
      <c r="BB321" s="16">
        <f>$W321*AG321+($L321)*Summary_LCIA!X$32</f>
        <v>22.812617889157426</v>
      </c>
      <c r="BC321" s="16">
        <f>$W321*AH321+($L321)*Summary_LCIA!Y$32</f>
        <v>0.80138695067667798</v>
      </c>
      <c r="BD321" s="16">
        <f>$W321*AI321+($L321)*Summary_LCIA!Z$32</f>
        <v>0.52416550723680411</v>
      </c>
      <c r="BE321" s="16">
        <f>$W321*AJ321+($L321)*Summary_LCIA!AA$32</f>
        <v>2.3517400813335256</v>
      </c>
      <c r="BF321" s="16">
        <f>$W321*AK321+($L321)*Summary_LCIA!AB$32</f>
        <v>0.11471070999941273</v>
      </c>
      <c r="BG321" s="16">
        <f>$W321*AL321+($L321)*Summary_LCIA!AC$32</f>
        <v>5.7202703752835255E-5</v>
      </c>
      <c r="BH321" s="16">
        <f>$W321*AM321+($L321)*Summary_LCIA!AD$32</f>
        <v>0.16440237295462881</v>
      </c>
      <c r="BI321" s="16">
        <f>$W321*AN321+($L321)*Summary_LCIA!AE$32</f>
        <v>0.44230098325992789</v>
      </c>
      <c r="BJ321" s="16">
        <f>$W321*AO321+($L321)*Summary_LCIA!AF$32</f>
        <v>2.9419101127013507E-2</v>
      </c>
      <c r="BK321" s="16">
        <f>$W321*AP321+($L321)*Summary_LCIA!AG$32</f>
        <v>8.0703209820135024E-3</v>
      </c>
      <c r="BL321" s="16">
        <f>$W321*AQ321+($L321)*Summary_LCIA!AH$32</f>
        <v>1.1154541396563964</v>
      </c>
      <c r="BM321" s="16">
        <f>$W321*AR321+($L321)*Summary_LCIA!AI$32</f>
        <v>0.42490153742437409</v>
      </c>
      <c r="BN321" s="16"/>
    </row>
    <row r="322" spans="1:66" x14ac:dyDescent="0.25">
      <c r="A322" s="159">
        <v>5</v>
      </c>
      <c r="B322" s="159">
        <v>6</v>
      </c>
      <c r="C322" s="45">
        <v>37.875985</v>
      </c>
      <c r="D322" s="45">
        <v>-122.25001399999999</v>
      </c>
      <c r="E322" s="45" t="s">
        <v>265</v>
      </c>
      <c r="F322" s="159">
        <v>99</v>
      </c>
      <c r="G322" s="45" t="s">
        <v>623</v>
      </c>
      <c r="H322" s="45" t="s">
        <v>624</v>
      </c>
      <c r="I322" s="45">
        <v>37.712569000000002</v>
      </c>
      <c r="J322" s="45">
        <v>-122.21974299999999</v>
      </c>
      <c r="K322" s="45">
        <v>39.814875569999998</v>
      </c>
      <c r="L322" s="45">
        <v>26.879000000000001</v>
      </c>
      <c r="M322" s="45" t="s">
        <v>617</v>
      </c>
      <c r="N322" s="159">
        <v>5</v>
      </c>
      <c r="O322" s="159">
        <v>6</v>
      </c>
      <c r="P322" s="45" t="s">
        <v>565</v>
      </c>
      <c r="Q322" s="45" t="s">
        <v>564</v>
      </c>
      <c r="R322" s="45">
        <v>41.98028</v>
      </c>
      <c r="S322" s="45">
        <v>-87.908997900000003</v>
      </c>
      <c r="T322" s="45">
        <v>3408.2660000000001</v>
      </c>
      <c r="U322" s="45" t="s">
        <v>617</v>
      </c>
      <c r="V322" s="45" t="s">
        <v>569</v>
      </c>
      <c r="W322" s="45" cm="1">
        <f t="array" ref="W322">getDistance(R322,S322,I322,J322)*SA!$B$12</f>
        <v>2954.4739870823373</v>
      </c>
      <c r="Y322" s="16">
        <f>Transportation_LCIA!C$61*($W322^Transportation_LCIA!C$60)+Transportation_LCIA!C$62</f>
        <v>0.16171000383695877</v>
      </c>
      <c r="Z322" s="16">
        <f>Transportation_LCIA!D$61*($W322^Transportation_LCIA!D$60)+Transportation_LCIA!D$62</f>
        <v>1.5768081231698678</v>
      </c>
      <c r="AA322" s="16">
        <f>Transportation_LCIA!E$61*($W322^Transportation_LCIA!E$60)+Transportation_LCIA!E$62</f>
        <v>5.8937497149571638E-4</v>
      </c>
      <c r="AB322" s="16">
        <f>Transportation_LCIA!F$61*($W322^Transportation_LCIA!F$60)+Transportation_LCIA!F$62</f>
        <v>0.16171000383695877</v>
      </c>
      <c r="AC322" s="16">
        <f>Transportation_LCIA!G$61*($W322^Transportation_LCIA!G$60)+Transportation_LCIA!G$62</f>
        <v>3.7030062493754762E-2</v>
      </c>
      <c r="AD322" s="16">
        <f>Transportation_LCIA!H$61*($W322^Transportation_LCIA!H$60)+Transportation_LCIA!H$62</f>
        <v>1.561077677297297E-4</v>
      </c>
      <c r="AE322" s="16">
        <f>Transportation_LCIA!I$61*($W322^Transportation_LCIA!I$60)+Transportation_LCIA!I$62</f>
        <v>2.9349580057496198E-6</v>
      </c>
      <c r="AF322" s="16">
        <f>Transportation_LCIA!J$61*($W322^Transportation_LCIA!J$60)+Transportation_LCIA!J$62</f>
        <v>4.3668990356380832E-3</v>
      </c>
      <c r="AG322" s="16">
        <f>Transportation_LCIA!K$61*($W322^Transportation_LCIA!K$60)+Transportation_LCIA!K$62</f>
        <v>7.514134281168993E-3</v>
      </c>
      <c r="AH322" s="16">
        <f>Transportation_LCIA!L$61*($W322^Transportation_LCIA!L$60)+Transportation_LCIA!L$62</f>
        <v>1.2948442746469057E-4</v>
      </c>
      <c r="AI322" s="16">
        <f>Transportation_LCIA!M$61*($W322^Transportation_LCIA!M$60)+Transportation_LCIA!M$62</f>
        <v>1.7704106673904082E-4</v>
      </c>
      <c r="AJ322" s="16">
        <f>Transportation_LCIA!N$61*($W322^Transportation_LCIA!N$60)+Transportation_LCIA!N$62</f>
        <v>5.8350629075465312E-4</v>
      </c>
      <c r="AK322" s="16">
        <f>Transportation_LCIA!O$61*($W322^Transportation_LCIA!O$60)+Transportation_LCIA!O$62</f>
        <v>3.9024642261370346E-5</v>
      </c>
      <c r="AL322" s="16">
        <f>Transportation_LCIA!P$61*($W322^Transportation_LCIA!P$60)+Transportation_LCIA!P$62</f>
        <v>1.8916650124927199E-8</v>
      </c>
      <c r="AM322" s="16">
        <f>Transportation_LCIA!Q$61*($W322^Transportation_LCIA!Q$60)+Transportation_LCIA!Q$62</f>
        <v>5.1905696061339208E-5</v>
      </c>
      <c r="AN322" s="16">
        <f>Transportation_LCIA!R$61*($W322^Transportation_LCIA!R$60)+Transportation_LCIA!R$62</f>
        <v>1.4164372298406882E-4</v>
      </c>
      <c r="AO322" s="16">
        <f>Transportation_LCIA!S$61*($W322^Transportation_LCIA!S$60)+Transportation_LCIA!S$62</f>
        <v>2.2660740884116371E-6</v>
      </c>
      <c r="AP322" s="16">
        <f>Transportation_LCIA!T$61*($W322^Transportation_LCIA!T$60)+Transportation_LCIA!T$62</f>
        <v>2.2660740884116371E-6</v>
      </c>
      <c r="AQ322" s="16">
        <f>Transportation_LCIA!U$61*($W322^Transportation_LCIA!U$60)+Transportation_LCIA!U$62</f>
        <v>2.9836447337514829E-4</v>
      </c>
      <c r="AR322" s="16">
        <f>Transportation_LCIA!V$61*($W322^Transportation_LCIA!V$60)+Transportation_LCIA!V$62</f>
        <v>1.3534131853002178E-4</v>
      </c>
      <c r="AT322" s="16">
        <f>$W322*Y322+($L322)*Summary_LCIA!H$32</f>
        <v>486.90148398727962</v>
      </c>
      <c r="AU322" s="16">
        <f>$W322*Z322+($L322)*Summary_LCIA!Q$32</f>
        <v>4791.8522621141037</v>
      </c>
      <c r="AV322" s="16">
        <f>$W322*AA322+($L322)*Summary_LCIA!R$32</f>
        <v>1.8828270843214883</v>
      </c>
      <c r="AW322" s="16">
        <f>$W322*AB322+($L322)*Summary_LCIA!S$32</f>
        <v>486.78267880727964</v>
      </c>
      <c r="AX322" s="16">
        <f>$W322*AC322+($L322)*Summary_LCIA!T$32</f>
        <v>112.35835847783174</v>
      </c>
      <c r="AY322" s="16">
        <f>$W322*AD322+($L322)*Summary_LCIA!U$32</f>
        <v>0.94272674493897801</v>
      </c>
      <c r="AZ322" s="16">
        <f>$W322*AE322+($L322)*Summary_LCIA!V$32</f>
        <v>9.9550250001663038E-3</v>
      </c>
      <c r="BA322" s="16">
        <f>$W322*AF322+($L322)*Summary_LCIA!W$32</f>
        <v>14.970793114007662</v>
      </c>
      <c r="BB322" s="16">
        <f>$W322*AG322+($L322)*Summary_LCIA!X$32</f>
        <v>22.812617889157426</v>
      </c>
      <c r="BC322" s="16">
        <f>$W322*AH322+($L322)*Summary_LCIA!Y$32</f>
        <v>0.80138695067667798</v>
      </c>
      <c r="BD322" s="16">
        <f>$W322*AI322+($L322)*Summary_LCIA!Z$32</f>
        <v>0.52416550723680411</v>
      </c>
      <c r="BE322" s="16">
        <f>$W322*AJ322+($L322)*Summary_LCIA!AA$32</f>
        <v>2.3517400813335256</v>
      </c>
      <c r="BF322" s="16">
        <f>$W322*AK322+($L322)*Summary_LCIA!AB$32</f>
        <v>0.11471070999941273</v>
      </c>
      <c r="BG322" s="16">
        <f>$W322*AL322+($L322)*Summary_LCIA!AC$32</f>
        <v>5.7202703752835255E-5</v>
      </c>
      <c r="BH322" s="16">
        <f>$W322*AM322+($L322)*Summary_LCIA!AD$32</f>
        <v>0.16440237295462881</v>
      </c>
      <c r="BI322" s="16">
        <f>$W322*AN322+($L322)*Summary_LCIA!AE$32</f>
        <v>0.44230098325992789</v>
      </c>
      <c r="BJ322" s="16">
        <f>$W322*AO322+($L322)*Summary_LCIA!AF$32</f>
        <v>2.9419101127013507E-2</v>
      </c>
      <c r="BK322" s="16">
        <f>$W322*AP322+($L322)*Summary_LCIA!AG$32</f>
        <v>8.0703209820135024E-3</v>
      </c>
      <c r="BL322" s="16">
        <f>$W322*AQ322+($L322)*Summary_LCIA!AH$32</f>
        <v>1.1154541396563964</v>
      </c>
      <c r="BM322" s="16">
        <f>$W322*AR322+($L322)*Summary_LCIA!AI$32</f>
        <v>0.42490153742437409</v>
      </c>
      <c r="BN322" s="16"/>
    </row>
    <row r="323" spans="1:66" x14ac:dyDescent="0.25">
      <c r="A323" s="159">
        <v>6</v>
      </c>
      <c r="B323" s="159">
        <v>6</v>
      </c>
      <c r="C323" s="45">
        <v>37.875985</v>
      </c>
      <c r="D323" s="45">
        <v>-122.25001399999999</v>
      </c>
      <c r="E323" s="45" t="s">
        <v>265</v>
      </c>
      <c r="F323" s="159">
        <v>99</v>
      </c>
      <c r="G323" s="45" t="s">
        <v>623</v>
      </c>
      <c r="H323" s="45" t="s">
        <v>624</v>
      </c>
      <c r="I323" s="45">
        <v>37.712569000000002</v>
      </c>
      <c r="J323" s="45">
        <v>-122.21974299999999</v>
      </c>
      <c r="K323" s="45">
        <v>39.814875569999998</v>
      </c>
      <c r="L323" s="45">
        <v>26.879000000000001</v>
      </c>
      <c r="M323" s="45" t="s">
        <v>617</v>
      </c>
      <c r="N323" s="159">
        <v>5</v>
      </c>
      <c r="O323" s="159">
        <v>6</v>
      </c>
      <c r="P323" s="45" t="s">
        <v>565</v>
      </c>
      <c r="Q323" s="45" t="s">
        <v>564</v>
      </c>
      <c r="R323" s="45">
        <v>41.98028</v>
      </c>
      <c r="S323" s="45">
        <v>-87.908997900000003</v>
      </c>
      <c r="T323" s="45">
        <v>3408.2660000000001</v>
      </c>
      <c r="U323" s="45" t="s">
        <v>617</v>
      </c>
      <c r="V323" s="45" t="s">
        <v>569</v>
      </c>
      <c r="W323" s="45" cm="1">
        <f t="array" ref="W323">getDistance(R323,S323,I323,J323)*SA!$B$12</f>
        <v>2954.4739870823373</v>
      </c>
      <c r="Y323" s="16">
        <f>Transportation_LCIA!C$61*($W323^Transportation_LCIA!C$60)+Transportation_LCIA!C$62</f>
        <v>0.16171000383695877</v>
      </c>
      <c r="Z323" s="16">
        <f>Transportation_LCIA!D$61*($W323^Transportation_LCIA!D$60)+Transportation_LCIA!D$62</f>
        <v>1.5768081231698678</v>
      </c>
      <c r="AA323" s="16">
        <f>Transportation_LCIA!E$61*($W323^Transportation_LCIA!E$60)+Transportation_LCIA!E$62</f>
        <v>5.8937497149571638E-4</v>
      </c>
      <c r="AB323" s="16">
        <f>Transportation_LCIA!F$61*($W323^Transportation_LCIA!F$60)+Transportation_LCIA!F$62</f>
        <v>0.16171000383695877</v>
      </c>
      <c r="AC323" s="16">
        <f>Transportation_LCIA!G$61*($W323^Transportation_LCIA!G$60)+Transportation_LCIA!G$62</f>
        <v>3.7030062493754762E-2</v>
      </c>
      <c r="AD323" s="16">
        <f>Transportation_LCIA!H$61*($W323^Transportation_LCIA!H$60)+Transportation_LCIA!H$62</f>
        <v>1.561077677297297E-4</v>
      </c>
      <c r="AE323" s="16">
        <f>Transportation_LCIA!I$61*($W323^Transportation_LCIA!I$60)+Transportation_LCIA!I$62</f>
        <v>2.9349580057496198E-6</v>
      </c>
      <c r="AF323" s="16">
        <f>Transportation_LCIA!J$61*($W323^Transportation_LCIA!J$60)+Transportation_LCIA!J$62</f>
        <v>4.3668990356380832E-3</v>
      </c>
      <c r="AG323" s="16">
        <f>Transportation_LCIA!K$61*($W323^Transportation_LCIA!K$60)+Transportation_LCIA!K$62</f>
        <v>7.514134281168993E-3</v>
      </c>
      <c r="AH323" s="16">
        <f>Transportation_LCIA!L$61*($W323^Transportation_LCIA!L$60)+Transportation_LCIA!L$62</f>
        <v>1.2948442746469057E-4</v>
      </c>
      <c r="AI323" s="16">
        <f>Transportation_LCIA!M$61*($W323^Transportation_LCIA!M$60)+Transportation_LCIA!M$62</f>
        <v>1.7704106673904082E-4</v>
      </c>
      <c r="AJ323" s="16">
        <f>Transportation_LCIA!N$61*($W323^Transportation_LCIA!N$60)+Transportation_LCIA!N$62</f>
        <v>5.8350629075465312E-4</v>
      </c>
      <c r="AK323" s="16">
        <f>Transportation_LCIA!O$61*($W323^Transportation_LCIA!O$60)+Transportation_LCIA!O$62</f>
        <v>3.9024642261370346E-5</v>
      </c>
      <c r="AL323" s="16">
        <f>Transportation_LCIA!P$61*($W323^Transportation_LCIA!P$60)+Transportation_LCIA!P$62</f>
        <v>1.8916650124927199E-8</v>
      </c>
      <c r="AM323" s="16">
        <f>Transportation_LCIA!Q$61*($W323^Transportation_LCIA!Q$60)+Transportation_LCIA!Q$62</f>
        <v>5.1905696061339208E-5</v>
      </c>
      <c r="AN323" s="16">
        <f>Transportation_LCIA!R$61*($W323^Transportation_LCIA!R$60)+Transportation_LCIA!R$62</f>
        <v>1.4164372298406882E-4</v>
      </c>
      <c r="AO323" s="16">
        <f>Transportation_LCIA!S$61*($W323^Transportation_LCIA!S$60)+Transportation_LCIA!S$62</f>
        <v>2.2660740884116371E-6</v>
      </c>
      <c r="AP323" s="16">
        <f>Transportation_LCIA!T$61*($W323^Transportation_LCIA!T$60)+Transportation_LCIA!T$62</f>
        <v>2.2660740884116371E-6</v>
      </c>
      <c r="AQ323" s="16">
        <f>Transportation_LCIA!U$61*($W323^Transportation_LCIA!U$60)+Transportation_LCIA!U$62</f>
        <v>2.9836447337514829E-4</v>
      </c>
      <c r="AR323" s="16">
        <f>Transportation_LCIA!V$61*($W323^Transportation_LCIA!V$60)+Transportation_LCIA!V$62</f>
        <v>1.3534131853002178E-4</v>
      </c>
      <c r="AT323" s="16">
        <f>$W323*Y323+($L323)*Summary_LCIA!H$32</f>
        <v>486.90148398727962</v>
      </c>
      <c r="AU323" s="16">
        <f>$W323*Z323+($L323)*Summary_LCIA!Q$32</f>
        <v>4791.8522621141037</v>
      </c>
      <c r="AV323" s="16">
        <f>$W323*AA323+($L323)*Summary_LCIA!R$32</f>
        <v>1.8828270843214883</v>
      </c>
      <c r="AW323" s="16">
        <f>$W323*AB323+($L323)*Summary_LCIA!S$32</f>
        <v>486.78267880727964</v>
      </c>
      <c r="AX323" s="16">
        <f>$W323*AC323+($L323)*Summary_LCIA!T$32</f>
        <v>112.35835847783174</v>
      </c>
      <c r="AY323" s="16">
        <f>$W323*AD323+($L323)*Summary_LCIA!U$32</f>
        <v>0.94272674493897801</v>
      </c>
      <c r="AZ323" s="16">
        <f>$W323*AE323+($L323)*Summary_LCIA!V$32</f>
        <v>9.9550250001663038E-3</v>
      </c>
      <c r="BA323" s="16">
        <f>$W323*AF323+($L323)*Summary_LCIA!W$32</f>
        <v>14.970793114007662</v>
      </c>
      <c r="BB323" s="16">
        <f>$W323*AG323+($L323)*Summary_LCIA!X$32</f>
        <v>22.812617889157426</v>
      </c>
      <c r="BC323" s="16">
        <f>$W323*AH323+($L323)*Summary_LCIA!Y$32</f>
        <v>0.80138695067667798</v>
      </c>
      <c r="BD323" s="16">
        <f>$W323*AI323+($L323)*Summary_LCIA!Z$32</f>
        <v>0.52416550723680411</v>
      </c>
      <c r="BE323" s="16">
        <f>$W323*AJ323+($L323)*Summary_LCIA!AA$32</f>
        <v>2.3517400813335256</v>
      </c>
      <c r="BF323" s="16">
        <f>$W323*AK323+($L323)*Summary_LCIA!AB$32</f>
        <v>0.11471070999941273</v>
      </c>
      <c r="BG323" s="16">
        <f>$W323*AL323+($L323)*Summary_LCIA!AC$32</f>
        <v>5.7202703752835255E-5</v>
      </c>
      <c r="BH323" s="16">
        <f>$W323*AM323+($L323)*Summary_LCIA!AD$32</f>
        <v>0.16440237295462881</v>
      </c>
      <c r="BI323" s="16">
        <f>$W323*AN323+($L323)*Summary_LCIA!AE$32</f>
        <v>0.44230098325992789</v>
      </c>
      <c r="BJ323" s="16">
        <f>$W323*AO323+($L323)*Summary_LCIA!AF$32</f>
        <v>2.9419101127013507E-2</v>
      </c>
      <c r="BK323" s="16">
        <f>$W323*AP323+($L323)*Summary_LCIA!AG$32</f>
        <v>8.0703209820135024E-3</v>
      </c>
      <c r="BL323" s="16">
        <f>$W323*AQ323+($L323)*Summary_LCIA!AH$32</f>
        <v>1.1154541396563964</v>
      </c>
      <c r="BM323" s="16">
        <f>$W323*AR323+($L323)*Summary_LCIA!AI$32</f>
        <v>0.42490153742437409</v>
      </c>
      <c r="BN323" s="16"/>
    </row>
    <row r="324" spans="1:66" x14ac:dyDescent="0.25">
      <c r="A324" s="159">
        <v>7</v>
      </c>
      <c r="B324" s="159">
        <v>6</v>
      </c>
      <c r="C324" s="45">
        <v>37.875985</v>
      </c>
      <c r="D324" s="45">
        <v>-122.25001399999999</v>
      </c>
      <c r="E324" s="45" t="s">
        <v>265</v>
      </c>
      <c r="F324" s="159">
        <v>99</v>
      </c>
      <c r="G324" s="45" t="s">
        <v>623</v>
      </c>
      <c r="H324" s="45" t="s">
        <v>624</v>
      </c>
      <c r="I324" s="45">
        <v>37.712569000000002</v>
      </c>
      <c r="J324" s="45">
        <v>-122.21974299999999</v>
      </c>
      <c r="K324" s="45">
        <v>39.814875569999998</v>
      </c>
      <c r="L324" s="45">
        <v>26.879000000000001</v>
      </c>
      <c r="M324" s="45" t="s">
        <v>617</v>
      </c>
      <c r="N324" s="159">
        <v>5</v>
      </c>
      <c r="O324" s="159">
        <v>6</v>
      </c>
      <c r="P324" s="45" t="s">
        <v>565</v>
      </c>
      <c r="Q324" s="45" t="s">
        <v>564</v>
      </c>
      <c r="R324" s="45">
        <v>41.98028</v>
      </c>
      <c r="S324" s="45">
        <v>-87.908997900000003</v>
      </c>
      <c r="T324" s="45">
        <v>3408.2660000000001</v>
      </c>
      <c r="U324" s="45" t="s">
        <v>617</v>
      </c>
      <c r="V324" s="45" t="s">
        <v>569</v>
      </c>
      <c r="W324" s="45" cm="1">
        <f t="array" ref="W324">getDistance(R324,S324,I324,J324)*SA!$B$12</f>
        <v>2954.4739870823373</v>
      </c>
      <c r="Y324" s="16">
        <f>Transportation_LCIA!C$61*($W324^Transportation_LCIA!C$60)+Transportation_LCIA!C$62</f>
        <v>0.16171000383695877</v>
      </c>
      <c r="Z324" s="16">
        <f>Transportation_LCIA!D$61*($W324^Transportation_LCIA!D$60)+Transportation_LCIA!D$62</f>
        <v>1.5768081231698678</v>
      </c>
      <c r="AA324" s="16">
        <f>Transportation_LCIA!E$61*($W324^Transportation_LCIA!E$60)+Transportation_LCIA!E$62</f>
        <v>5.8937497149571638E-4</v>
      </c>
      <c r="AB324" s="16">
        <f>Transportation_LCIA!F$61*($W324^Transportation_LCIA!F$60)+Transportation_LCIA!F$62</f>
        <v>0.16171000383695877</v>
      </c>
      <c r="AC324" s="16">
        <f>Transportation_LCIA!G$61*($W324^Transportation_LCIA!G$60)+Transportation_LCIA!G$62</f>
        <v>3.7030062493754762E-2</v>
      </c>
      <c r="AD324" s="16">
        <f>Transportation_LCIA!H$61*($W324^Transportation_LCIA!H$60)+Transportation_LCIA!H$62</f>
        <v>1.561077677297297E-4</v>
      </c>
      <c r="AE324" s="16">
        <f>Transportation_LCIA!I$61*($W324^Transportation_LCIA!I$60)+Transportation_LCIA!I$62</f>
        <v>2.9349580057496198E-6</v>
      </c>
      <c r="AF324" s="16">
        <f>Transportation_LCIA!J$61*($W324^Transportation_LCIA!J$60)+Transportation_LCIA!J$62</f>
        <v>4.3668990356380832E-3</v>
      </c>
      <c r="AG324" s="16">
        <f>Transportation_LCIA!K$61*($W324^Transportation_LCIA!K$60)+Transportation_LCIA!K$62</f>
        <v>7.514134281168993E-3</v>
      </c>
      <c r="AH324" s="16">
        <f>Transportation_LCIA!L$61*($W324^Transportation_LCIA!L$60)+Transportation_LCIA!L$62</f>
        <v>1.2948442746469057E-4</v>
      </c>
      <c r="AI324" s="16">
        <f>Transportation_LCIA!M$61*($W324^Transportation_LCIA!M$60)+Transportation_LCIA!M$62</f>
        <v>1.7704106673904082E-4</v>
      </c>
      <c r="AJ324" s="16">
        <f>Transportation_LCIA!N$61*($W324^Transportation_LCIA!N$60)+Transportation_LCIA!N$62</f>
        <v>5.8350629075465312E-4</v>
      </c>
      <c r="AK324" s="16">
        <f>Transportation_LCIA!O$61*($W324^Transportation_LCIA!O$60)+Transportation_LCIA!O$62</f>
        <v>3.9024642261370346E-5</v>
      </c>
      <c r="AL324" s="16">
        <f>Transportation_LCIA!P$61*($W324^Transportation_LCIA!P$60)+Transportation_LCIA!P$62</f>
        <v>1.8916650124927199E-8</v>
      </c>
      <c r="AM324" s="16">
        <f>Transportation_LCIA!Q$61*($W324^Transportation_LCIA!Q$60)+Transportation_LCIA!Q$62</f>
        <v>5.1905696061339208E-5</v>
      </c>
      <c r="AN324" s="16">
        <f>Transportation_LCIA!R$61*($W324^Transportation_LCIA!R$60)+Transportation_LCIA!R$62</f>
        <v>1.4164372298406882E-4</v>
      </c>
      <c r="AO324" s="16">
        <f>Transportation_LCIA!S$61*($W324^Transportation_LCIA!S$60)+Transportation_LCIA!S$62</f>
        <v>2.2660740884116371E-6</v>
      </c>
      <c r="AP324" s="16">
        <f>Transportation_LCIA!T$61*($W324^Transportation_LCIA!T$60)+Transportation_LCIA!T$62</f>
        <v>2.2660740884116371E-6</v>
      </c>
      <c r="AQ324" s="16">
        <f>Transportation_LCIA!U$61*($W324^Transportation_LCIA!U$60)+Transportation_LCIA!U$62</f>
        <v>2.9836447337514829E-4</v>
      </c>
      <c r="AR324" s="16">
        <f>Transportation_LCIA!V$61*($W324^Transportation_LCIA!V$60)+Transportation_LCIA!V$62</f>
        <v>1.3534131853002178E-4</v>
      </c>
      <c r="AT324" s="16">
        <f>$W324*Y324+($L324)*Summary_LCIA!H$32</f>
        <v>486.90148398727962</v>
      </c>
      <c r="AU324" s="16">
        <f>$W324*Z324+($L324)*Summary_LCIA!Q$32</f>
        <v>4791.8522621141037</v>
      </c>
      <c r="AV324" s="16">
        <f>$W324*AA324+($L324)*Summary_LCIA!R$32</f>
        <v>1.8828270843214883</v>
      </c>
      <c r="AW324" s="16">
        <f>$W324*AB324+($L324)*Summary_LCIA!S$32</f>
        <v>486.78267880727964</v>
      </c>
      <c r="AX324" s="16">
        <f>$W324*AC324+($L324)*Summary_LCIA!T$32</f>
        <v>112.35835847783174</v>
      </c>
      <c r="AY324" s="16">
        <f>$W324*AD324+($L324)*Summary_LCIA!U$32</f>
        <v>0.94272674493897801</v>
      </c>
      <c r="AZ324" s="16">
        <f>$W324*AE324+($L324)*Summary_LCIA!V$32</f>
        <v>9.9550250001663038E-3</v>
      </c>
      <c r="BA324" s="16">
        <f>$W324*AF324+($L324)*Summary_LCIA!W$32</f>
        <v>14.970793114007662</v>
      </c>
      <c r="BB324" s="16">
        <f>$W324*AG324+($L324)*Summary_LCIA!X$32</f>
        <v>22.812617889157426</v>
      </c>
      <c r="BC324" s="16">
        <f>$W324*AH324+($L324)*Summary_LCIA!Y$32</f>
        <v>0.80138695067667798</v>
      </c>
      <c r="BD324" s="16">
        <f>$W324*AI324+($L324)*Summary_LCIA!Z$32</f>
        <v>0.52416550723680411</v>
      </c>
      <c r="BE324" s="16">
        <f>$W324*AJ324+($L324)*Summary_LCIA!AA$32</f>
        <v>2.3517400813335256</v>
      </c>
      <c r="BF324" s="16">
        <f>$W324*AK324+($L324)*Summary_LCIA!AB$32</f>
        <v>0.11471070999941273</v>
      </c>
      <c r="BG324" s="16">
        <f>$W324*AL324+($L324)*Summary_LCIA!AC$32</f>
        <v>5.7202703752835255E-5</v>
      </c>
      <c r="BH324" s="16">
        <f>$W324*AM324+($L324)*Summary_LCIA!AD$32</f>
        <v>0.16440237295462881</v>
      </c>
      <c r="BI324" s="16">
        <f>$W324*AN324+($L324)*Summary_LCIA!AE$32</f>
        <v>0.44230098325992789</v>
      </c>
      <c r="BJ324" s="16">
        <f>$W324*AO324+($L324)*Summary_LCIA!AF$32</f>
        <v>2.9419101127013507E-2</v>
      </c>
      <c r="BK324" s="16">
        <f>$W324*AP324+($L324)*Summary_LCIA!AG$32</f>
        <v>8.0703209820135024E-3</v>
      </c>
      <c r="BL324" s="16">
        <f>$W324*AQ324+($L324)*Summary_LCIA!AH$32</f>
        <v>1.1154541396563964</v>
      </c>
      <c r="BM324" s="16">
        <f>$W324*AR324+($L324)*Summary_LCIA!AI$32</f>
        <v>0.42490153742437409</v>
      </c>
      <c r="BN324" s="16"/>
    </row>
    <row r="325" spans="1:66" x14ac:dyDescent="0.25">
      <c r="A325" s="159">
        <v>8</v>
      </c>
      <c r="B325" s="159">
        <v>6</v>
      </c>
      <c r="C325" s="45">
        <v>37.875985</v>
      </c>
      <c r="D325" s="45">
        <v>-122.25001399999999</v>
      </c>
      <c r="E325" s="45" t="s">
        <v>265</v>
      </c>
      <c r="F325" s="159">
        <v>99</v>
      </c>
      <c r="G325" s="45" t="s">
        <v>623</v>
      </c>
      <c r="H325" s="45" t="s">
        <v>624</v>
      </c>
      <c r="I325" s="45">
        <v>37.712569000000002</v>
      </c>
      <c r="J325" s="45">
        <v>-122.21974299999999</v>
      </c>
      <c r="K325" s="45">
        <v>39.814875569999998</v>
      </c>
      <c r="L325" s="45">
        <v>26.879000000000001</v>
      </c>
      <c r="M325" s="45" t="s">
        <v>617</v>
      </c>
      <c r="N325" s="159">
        <v>5</v>
      </c>
      <c r="O325" s="159">
        <v>6</v>
      </c>
      <c r="P325" s="45" t="s">
        <v>565</v>
      </c>
      <c r="Q325" s="45" t="s">
        <v>564</v>
      </c>
      <c r="R325" s="45">
        <v>41.98028</v>
      </c>
      <c r="S325" s="45">
        <v>-87.908997900000003</v>
      </c>
      <c r="T325" s="45">
        <v>3408.2660000000001</v>
      </c>
      <c r="U325" s="45" t="s">
        <v>617</v>
      </c>
      <c r="V325" s="45" t="s">
        <v>569</v>
      </c>
      <c r="W325" s="45" cm="1">
        <f t="array" ref="W325">getDistance(R325,S325,I325,J325)*SA!$B$12</f>
        <v>2954.4739870823373</v>
      </c>
      <c r="Y325" s="16">
        <f>Transportation_LCIA!C$61*($W325^Transportation_LCIA!C$60)+Transportation_LCIA!C$62</f>
        <v>0.16171000383695877</v>
      </c>
      <c r="Z325" s="16">
        <f>Transportation_LCIA!D$61*($W325^Transportation_LCIA!D$60)+Transportation_LCIA!D$62</f>
        <v>1.5768081231698678</v>
      </c>
      <c r="AA325" s="16">
        <f>Transportation_LCIA!E$61*($W325^Transportation_LCIA!E$60)+Transportation_LCIA!E$62</f>
        <v>5.8937497149571638E-4</v>
      </c>
      <c r="AB325" s="16">
        <f>Transportation_LCIA!F$61*($W325^Transportation_LCIA!F$60)+Transportation_LCIA!F$62</f>
        <v>0.16171000383695877</v>
      </c>
      <c r="AC325" s="16">
        <f>Transportation_LCIA!G$61*($W325^Transportation_LCIA!G$60)+Transportation_LCIA!G$62</f>
        <v>3.7030062493754762E-2</v>
      </c>
      <c r="AD325" s="16">
        <f>Transportation_LCIA!H$61*($W325^Transportation_LCIA!H$60)+Transportation_LCIA!H$62</f>
        <v>1.561077677297297E-4</v>
      </c>
      <c r="AE325" s="16">
        <f>Transportation_LCIA!I$61*($W325^Transportation_LCIA!I$60)+Transportation_LCIA!I$62</f>
        <v>2.9349580057496198E-6</v>
      </c>
      <c r="AF325" s="16">
        <f>Transportation_LCIA!J$61*($W325^Transportation_LCIA!J$60)+Transportation_LCIA!J$62</f>
        <v>4.3668990356380832E-3</v>
      </c>
      <c r="AG325" s="16">
        <f>Transportation_LCIA!K$61*($W325^Transportation_LCIA!K$60)+Transportation_LCIA!K$62</f>
        <v>7.514134281168993E-3</v>
      </c>
      <c r="AH325" s="16">
        <f>Transportation_LCIA!L$61*($W325^Transportation_LCIA!L$60)+Transportation_LCIA!L$62</f>
        <v>1.2948442746469057E-4</v>
      </c>
      <c r="AI325" s="16">
        <f>Transportation_LCIA!M$61*($W325^Transportation_LCIA!M$60)+Transportation_LCIA!M$62</f>
        <v>1.7704106673904082E-4</v>
      </c>
      <c r="AJ325" s="16">
        <f>Transportation_LCIA!N$61*($W325^Transportation_LCIA!N$60)+Transportation_LCIA!N$62</f>
        <v>5.8350629075465312E-4</v>
      </c>
      <c r="AK325" s="16">
        <f>Transportation_LCIA!O$61*($W325^Transportation_LCIA!O$60)+Transportation_LCIA!O$62</f>
        <v>3.9024642261370346E-5</v>
      </c>
      <c r="AL325" s="16">
        <f>Transportation_LCIA!P$61*($W325^Transportation_LCIA!P$60)+Transportation_LCIA!P$62</f>
        <v>1.8916650124927199E-8</v>
      </c>
      <c r="AM325" s="16">
        <f>Transportation_LCIA!Q$61*($W325^Transportation_LCIA!Q$60)+Transportation_LCIA!Q$62</f>
        <v>5.1905696061339208E-5</v>
      </c>
      <c r="AN325" s="16">
        <f>Transportation_LCIA!R$61*($W325^Transportation_LCIA!R$60)+Transportation_LCIA!R$62</f>
        <v>1.4164372298406882E-4</v>
      </c>
      <c r="AO325" s="16">
        <f>Transportation_LCIA!S$61*($W325^Transportation_LCIA!S$60)+Transportation_LCIA!S$62</f>
        <v>2.2660740884116371E-6</v>
      </c>
      <c r="AP325" s="16">
        <f>Transportation_LCIA!T$61*($W325^Transportation_LCIA!T$60)+Transportation_LCIA!T$62</f>
        <v>2.2660740884116371E-6</v>
      </c>
      <c r="AQ325" s="16">
        <f>Transportation_LCIA!U$61*($W325^Transportation_LCIA!U$60)+Transportation_LCIA!U$62</f>
        <v>2.9836447337514829E-4</v>
      </c>
      <c r="AR325" s="16">
        <f>Transportation_LCIA!V$61*($W325^Transportation_LCIA!V$60)+Transportation_LCIA!V$62</f>
        <v>1.3534131853002178E-4</v>
      </c>
      <c r="AT325" s="16">
        <f>$W325*Y325+($L325)*Summary_LCIA!H$32</f>
        <v>486.90148398727962</v>
      </c>
      <c r="AU325" s="16">
        <f>$W325*Z325+($L325)*Summary_LCIA!Q$32</f>
        <v>4791.8522621141037</v>
      </c>
      <c r="AV325" s="16">
        <f>$W325*AA325+($L325)*Summary_LCIA!R$32</f>
        <v>1.8828270843214883</v>
      </c>
      <c r="AW325" s="16">
        <f>$W325*AB325+($L325)*Summary_LCIA!S$32</f>
        <v>486.78267880727964</v>
      </c>
      <c r="AX325" s="16">
        <f>$W325*AC325+($L325)*Summary_LCIA!T$32</f>
        <v>112.35835847783174</v>
      </c>
      <c r="AY325" s="16">
        <f>$W325*AD325+($L325)*Summary_LCIA!U$32</f>
        <v>0.94272674493897801</v>
      </c>
      <c r="AZ325" s="16">
        <f>$W325*AE325+($L325)*Summary_LCIA!V$32</f>
        <v>9.9550250001663038E-3</v>
      </c>
      <c r="BA325" s="16">
        <f>$W325*AF325+($L325)*Summary_LCIA!W$32</f>
        <v>14.970793114007662</v>
      </c>
      <c r="BB325" s="16">
        <f>$W325*AG325+($L325)*Summary_LCIA!X$32</f>
        <v>22.812617889157426</v>
      </c>
      <c r="BC325" s="16">
        <f>$W325*AH325+($L325)*Summary_LCIA!Y$32</f>
        <v>0.80138695067667798</v>
      </c>
      <c r="BD325" s="16">
        <f>$W325*AI325+($L325)*Summary_LCIA!Z$32</f>
        <v>0.52416550723680411</v>
      </c>
      <c r="BE325" s="16">
        <f>$W325*AJ325+($L325)*Summary_LCIA!AA$32</f>
        <v>2.3517400813335256</v>
      </c>
      <c r="BF325" s="16">
        <f>$W325*AK325+($L325)*Summary_LCIA!AB$32</f>
        <v>0.11471070999941273</v>
      </c>
      <c r="BG325" s="16">
        <f>$W325*AL325+($L325)*Summary_LCIA!AC$32</f>
        <v>5.7202703752835255E-5</v>
      </c>
      <c r="BH325" s="16">
        <f>$W325*AM325+($L325)*Summary_LCIA!AD$32</f>
        <v>0.16440237295462881</v>
      </c>
      <c r="BI325" s="16">
        <f>$W325*AN325+($L325)*Summary_LCIA!AE$32</f>
        <v>0.44230098325992789</v>
      </c>
      <c r="BJ325" s="16">
        <f>$W325*AO325+($L325)*Summary_LCIA!AF$32</f>
        <v>2.9419101127013507E-2</v>
      </c>
      <c r="BK325" s="16">
        <f>$W325*AP325+($L325)*Summary_LCIA!AG$32</f>
        <v>8.0703209820135024E-3</v>
      </c>
      <c r="BL325" s="16">
        <f>$W325*AQ325+($L325)*Summary_LCIA!AH$32</f>
        <v>1.1154541396563964</v>
      </c>
      <c r="BM325" s="16">
        <f>$W325*AR325+($L325)*Summary_LCIA!AI$32</f>
        <v>0.42490153742437409</v>
      </c>
      <c r="BN325" s="16"/>
    </row>
    <row r="326" spans="1:66" x14ac:dyDescent="0.25">
      <c r="A326" s="159">
        <v>9</v>
      </c>
      <c r="B326" s="159">
        <v>6</v>
      </c>
      <c r="C326" s="45">
        <v>37.875985</v>
      </c>
      <c r="D326" s="45">
        <v>-122.25001399999999</v>
      </c>
      <c r="E326" s="45" t="s">
        <v>265</v>
      </c>
      <c r="F326" s="159">
        <v>99</v>
      </c>
      <c r="G326" s="45" t="s">
        <v>623</v>
      </c>
      <c r="H326" s="45" t="s">
        <v>624</v>
      </c>
      <c r="I326" s="45">
        <v>37.712569000000002</v>
      </c>
      <c r="J326" s="45">
        <v>-122.21974299999999</v>
      </c>
      <c r="K326" s="45">
        <v>39.814875569999998</v>
      </c>
      <c r="L326" s="45">
        <v>26.879000000000001</v>
      </c>
      <c r="M326" s="45" t="s">
        <v>617</v>
      </c>
      <c r="N326" s="159">
        <v>5</v>
      </c>
      <c r="O326" s="159">
        <v>6</v>
      </c>
      <c r="P326" s="45" t="s">
        <v>565</v>
      </c>
      <c r="Q326" s="45" t="s">
        <v>564</v>
      </c>
      <c r="R326" s="45">
        <v>41.98028</v>
      </c>
      <c r="S326" s="45">
        <v>-87.908997900000003</v>
      </c>
      <c r="T326" s="45">
        <v>3408.2660000000001</v>
      </c>
      <c r="U326" s="45" t="s">
        <v>617</v>
      </c>
      <c r="V326" s="45" t="s">
        <v>569</v>
      </c>
      <c r="W326" s="45" cm="1">
        <f t="array" ref="W326">getDistance(R326,S326,I326,J326)*SA!$B$12</f>
        <v>2954.4739870823373</v>
      </c>
      <c r="Y326" s="16">
        <f>Transportation_LCIA!C$61*($W326^Transportation_LCIA!C$60)+Transportation_LCIA!C$62</f>
        <v>0.16171000383695877</v>
      </c>
      <c r="Z326" s="16">
        <f>Transportation_LCIA!D$61*($W326^Transportation_LCIA!D$60)+Transportation_LCIA!D$62</f>
        <v>1.5768081231698678</v>
      </c>
      <c r="AA326" s="16">
        <f>Transportation_LCIA!E$61*($W326^Transportation_LCIA!E$60)+Transportation_LCIA!E$62</f>
        <v>5.8937497149571638E-4</v>
      </c>
      <c r="AB326" s="16">
        <f>Transportation_LCIA!F$61*($W326^Transportation_LCIA!F$60)+Transportation_LCIA!F$62</f>
        <v>0.16171000383695877</v>
      </c>
      <c r="AC326" s="16">
        <f>Transportation_LCIA!G$61*($W326^Transportation_LCIA!G$60)+Transportation_LCIA!G$62</f>
        <v>3.7030062493754762E-2</v>
      </c>
      <c r="AD326" s="16">
        <f>Transportation_LCIA!H$61*($W326^Transportation_LCIA!H$60)+Transportation_LCIA!H$62</f>
        <v>1.561077677297297E-4</v>
      </c>
      <c r="AE326" s="16">
        <f>Transportation_LCIA!I$61*($W326^Transportation_LCIA!I$60)+Transportation_LCIA!I$62</f>
        <v>2.9349580057496198E-6</v>
      </c>
      <c r="AF326" s="16">
        <f>Transportation_LCIA!J$61*($W326^Transportation_LCIA!J$60)+Transportation_LCIA!J$62</f>
        <v>4.3668990356380832E-3</v>
      </c>
      <c r="AG326" s="16">
        <f>Transportation_LCIA!K$61*($W326^Transportation_LCIA!K$60)+Transportation_LCIA!K$62</f>
        <v>7.514134281168993E-3</v>
      </c>
      <c r="AH326" s="16">
        <f>Transportation_LCIA!L$61*($W326^Transportation_LCIA!L$60)+Transportation_LCIA!L$62</f>
        <v>1.2948442746469057E-4</v>
      </c>
      <c r="AI326" s="16">
        <f>Transportation_LCIA!M$61*($W326^Transportation_LCIA!M$60)+Transportation_LCIA!M$62</f>
        <v>1.7704106673904082E-4</v>
      </c>
      <c r="AJ326" s="16">
        <f>Transportation_LCIA!N$61*($W326^Transportation_LCIA!N$60)+Transportation_LCIA!N$62</f>
        <v>5.8350629075465312E-4</v>
      </c>
      <c r="AK326" s="16">
        <f>Transportation_LCIA!O$61*($W326^Transportation_LCIA!O$60)+Transportation_LCIA!O$62</f>
        <v>3.9024642261370346E-5</v>
      </c>
      <c r="AL326" s="16">
        <f>Transportation_LCIA!P$61*($W326^Transportation_LCIA!P$60)+Transportation_LCIA!P$62</f>
        <v>1.8916650124927199E-8</v>
      </c>
      <c r="AM326" s="16">
        <f>Transportation_LCIA!Q$61*($W326^Transportation_LCIA!Q$60)+Transportation_LCIA!Q$62</f>
        <v>5.1905696061339208E-5</v>
      </c>
      <c r="AN326" s="16">
        <f>Transportation_LCIA!R$61*($W326^Transportation_LCIA!R$60)+Transportation_LCIA!R$62</f>
        <v>1.4164372298406882E-4</v>
      </c>
      <c r="AO326" s="16">
        <f>Transportation_LCIA!S$61*($W326^Transportation_LCIA!S$60)+Transportation_LCIA!S$62</f>
        <v>2.2660740884116371E-6</v>
      </c>
      <c r="AP326" s="16">
        <f>Transportation_LCIA!T$61*($W326^Transportation_LCIA!T$60)+Transportation_LCIA!T$62</f>
        <v>2.2660740884116371E-6</v>
      </c>
      <c r="AQ326" s="16">
        <f>Transportation_LCIA!U$61*($W326^Transportation_LCIA!U$60)+Transportation_LCIA!U$62</f>
        <v>2.9836447337514829E-4</v>
      </c>
      <c r="AR326" s="16">
        <f>Transportation_LCIA!V$61*($W326^Transportation_LCIA!V$60)+Transportation_LCIA!V$62</f>
        <v>1.3534131853002178E-4</v>
      </c>
      <c r="AT326" s="16">
        <f>$W326*Y326+($L326)*Summary_LCIA!H$32</f>
        <v>486.90148398727962</v>
      </c>
      <c r="AU326" s="16">
        <f>$W326*Z326+($L326)*Summary_LCIA!Q$32</f>
        <v>4791.8522621141037</v>
      </c>
      <c r="AV326" s="16">
        <f>$W326*AA326+($L326)*Summary_LCIA!R$32</f>
        <v>1.8828270843214883</v>
      </c>
      <c r="AW326" s="16">
        <f>$W326*AB326+($L326)*Summary_LCIA!S$32</f>
        <v>486.78267880727964</v>
      </c>
      <c r="AX326" s="16">
        <f>$W326*AC326+($L326)*Summary_LCIA!T$32</f>
        <v>112.35835847783174</v>
      </c>
      <c r="AY326" s="16">
        <f>$W326*AD326+($L326)*Summary_LCIA!U$32</f>
        <v>0.94272674493897801</v>
      </c>
      <c r="AZ326" s="16">
        <f>$W326*AE326+($L326)*Summary_LCIA!V$32</f>
        <v>9.9550250001663038E-3</v>
      </c>
      <c r="BA326" s="16">
        <f>$W326*AF326+($L326)*Summary_LCIA!W$32</f>
        <v>14.970793114007662</v>
      </c>
      <c r="BB326" s="16">
        <f>$W326*AG326+($L326)*Summary_LCIA!X$32</f>
        <v>22.812617889157426</v>
      </c>
      <c r="BC326" s="16">
        <f>$W326*AH326+($L326)*Summary_LCIA!Y$32</f>
        <v>0.80138695067667798</v>
      </c>
      <c r="BD326" s="16">
        <f>$W326*AI326+($L326)*Summary_LCIA!Z$32</f>
        <v>0.52416550723680411</v>
      </c>
      <c r="BE326" s="16">
        <f>$W326*AJ326+($L326)*Summary_LCIA!AA$32</f>
        <v>2.3517400813335256</v>
      </c>
      <c r="BF326" s="16">
        <f>$W326*AK326+($L326)*Summary_LCIA!AB$32</f>
        <v>0.11471070999941273</v>
      </c>
      <c r="BG326" s="16">
        <f>$W326*AL326+($L326)*Summary_LCIA!AC$32</f>
        <v>5.7202703752835255E-5</v>
      </c>
      <c r="BH326" s="16">
        <f>$W326*AM326+($L326)*Summary_LCIA!AD$32</f>
        <v>0.16440237295462881</v>
      </c>
      <c r="BI326" s="16">
        <f>$W326*AN326+($L326)*Summary_LCIA!AE$32</f>
        <v>0.44230098325992789</v>
      </c>
      <c r="BJ326" s="16">
        <f>$W326*AO326+($L326)*Summary_LCIA!AF$32</f>
        <v>2.9419101127013507E-2</v>
      </c>
      <c r="BK326" s="16">
        <f>$W326*AP326+($L326)*Summary_LCIA!AG$32</f>
        <v>8.0703209820135024E-3</v>
      </c>
      <c r="BL326" s="16">
        <f>$W326*AQ326+($L326)*Summary_LCIA!AH$32</f>
        <v>1.1154541396563964</v>
      </c>
      <c r="BM326" s="16">
        <f>$W326*AR326+($L326)*Summary_LCIA!AI$32</f>
        <v>0.42490153742437409</v>
      </c>
      <c r="BN326" s="16"/>
    </row>
    <row r="327" spans="1:66" x14ac:dyDescent="0.25">
      <c r="A327" s="159">
        <v>303</v>
      </c>
      <c r="B327" s="159">
        <v>6</v>
      </c>
      <c r="C327" s="45">
        <v>45.505105999999998</v>
      </c>
      <c r="D327" s="45">
        <v>-122.675026</v>
      </c>
      <c r="E327" s="45" t="s">
        <v>265</v>
      </c>
      <c r="F327" s="159">
        <v>90</v>
      </c>
      <c r="G327" s="45" t="s">
        <v>277</v>
      </c>
      <c r="H327" s="45" t="s">
        <v>697</v>
      </c>
      <c r="I327" s="45">
        <v>45.589768999999997</v>
      </c>
      <c r="J327" s="45">
        <v>-122.595094</v>
      </c>
      <c r="K327" s="45">
        <v>15.812124730000001</v>
      </c>
      <c r="L327" s="45">
        <v>25.564</v>
      </c>
      <c r="M327" s="45" t="s">
        <v>617</v>
      </c>
      <c r="N327" s="159">
        <v>5</v>
      </c>
      <c r="O327" s="159">
        <v>6</v>
      </c>
      <c r="P327" s="45" t="s">
        <v>565</v>
      </c>
      <c r="Q327" s="45" t="s">
        <v>564</v>
      </c>
      <c r="R327" s="45">
        <v>41.98028</v>
      </c>
      <c r="S327" s="45">
        <v>-87.908997900000003</v>
      </c>
      <c r="T327" s="45">
        <v>3418.4070000000002</v>
      </c>
      <c r="U327" s="45" t="s">
        <v>617</v>
      </c>
      <c r="V327" s="45" t="s">
        <v>569</v>
      </c>
      <c r="W327" s="45" cm="1">
        <f t="array" ref="W327">getDistance(R327,S327,I327,J327)*SA!$B$12</f>
        <v>2798.6158815682211</v>
      </c>
      <c r="Y327" s="16">
        <f>Transportation_LCIA!C$61*($W327^Transportation_LCIA!C$60)+Transportation_LCIA!C$62</f>
        <v>0.16402773628837225</v>
      </c>
      <c r="Z327" s="16">
        <f>Transportation_LCIA!D$61*($W327^Transportation_LCIA!D$60)+Transportation_LCIA!D$62</f>
        <v>1.6026389821027962</v>
      </c>
      <c r="AA327" s="16">
        <f>Transportation_LCIA!E$61*($W327^Transportation_LCIA!E$60)+Transportation_LCIA!E$62</f>
        <v>6.0614005012291691E-4</v>
      </c>
      <c r="AB327" s="16">
        <f>Transportation_LCIA!F$61*($W327^Transportation_LCIA!F$60)+Transportation_LCIA!F$62</f>
        <v>0.16402773628837225</v>
      </c>
      <c r="AC327" s="16">
        <f>Transportation_LCIA!G$61*($W327^Transportation_LCIA!G$60)+Transportation_LCIA!G$62</f>
        <v>3.7629285801758547E-2</v>
      </c>
      <c r="AD327" s="16">
        <f>Transportation_LCIA!H$61*($W327^Transportation_LCIA!H$60)+Transportation_LCIA!H$62</f>
        <v>1.5970102936839448E-4</v>
      </c>
      <c r="AE327" s="16">
        <f>Transportation_LCIA!I$61*($W327^Transportation_LCIA!I$60)+Transportation_LCIA!I$62</f>
        <v>3.0217646312907641E-6</v>
      </c>
      <c r="AF327" s="16">
        <f>Transportation_LCIA!J$61*($W327^Transportation_LCIA!J$60)+Transportation_LCIA!J$62</f>
        <v>4.4927462034704841E-3</v>
      </c>
      <c r="AG327" s="16">
        <f>Transportation_LCIA!K$61*($W327^Transportation_LCIA!K$60)+Transportation_LCIA!K$62</f>
        <v>7.6507967965960943E-3</v>
      </c>
      <c r="AH327" s="16">
        <f>Transportation_LCIA!L$61*($W327^Transportation_LCIA!L$60)+Transportation_LCIA!L$62</f>
        <v>1.3274934633632592E-4</v>
      </c>
      <c r="AI327" s="16">
        <f>Transportation_LCIA!M$61*($W327^Transportation_LCIA!M$60)+Transportation_LCIA!M$62</f>
        <v>1.7902139566772907E-4</v>
      </c>
      <c r="AJ327" s="16">
        <f>Transportation_LCIA!N$61*($W327^Transportation_LCIA!N$60)+Transportation_LCIA!N$62</f>
        <v>5.9562702452397752E-4</v>
      </c>
      <c r="AK327" s="16">
        <f>Transportation_LCIA!O$61*($W327^Transportation_LCIA!O$60)+Transportation_LCIA!O$62</f>
        <v>3.9660589006869174E-5</v>
      </c>
      <c r="AL327" s="16">
        <f>Transportation_LCIA!P$61*($W327^Transportation_LCIA!P$60)+Transportation_LCIA!P$62</f>
        <v>1.9223455374200001E-8</v>
      </c>
      <c r="AM327" s="16">
        <f>Transportation_LCIA!Q$61*($W327^Transportation_LCIA!Q$60)+Transportation_LCIA!Q$62</f>
        <v>5.3174248522355442E-5</v>
      </c>
      <c r="AN327" s="16">
        <f>Transportation_LCIA!R$61*($W327^Transportation_LCIA!R$60)+Transportation_LCIA!R$62</f>
        <v>1.4580221843549912E-4</v>
      </c>
      <c r="AO327" s="16">
        <f>Transportation_LCIA!S$61*($W327^Transportation_LCIA!S$60)+Transportation_LCIA!S$62</f>
        <v>2.3252008516030942E-6</v>
      </c>
      <c r="AP327" s="16">
        <f>Transportation_LCIA!T$61*($W327^Transportation_LCIA!T$60)+Transportation_LCIA!T$62</f>
        <v>2.3252008516030942E-6</v>
      </c>
      <c r="AQ327" s="16">
        <f>Transportation_LCIA!U$61*($W327^Transportation_LCIA!U$60)+Transportation_LCIA!U$62</f>
        <v>3.0741318521569562E-4</v>
      </c>
      <c r="AR327" s="16">
        <f>Transportation_LCIA!V$61*($W327^Transportation_LCIA!V$60)+Transportation_LCIA!V$62</f>
        <v>1.3861468442791629E-4</v>
      </c>
      <c r="AT327" s="16">
        <f>$W327*Y327+($L327)*Summary_LCIA!H$32</f>
        <v>467.73727499432255</v>
      </c>
      <c r="AU327" s="16">
        <f>$W327*Z327+($L327)*Summary_LCIA!Q$32</f>
        <v>4611.8673810024256</v>
      </c>
      <c r="AV327" s="16">
        <f>$W327*AA327+($L327)*Summary_LCIA!R$32</f>
        <v>1.8309629691285529</v>
      </c>
      <c r="AW327" s="16">
        <f>$W327*AB327+($L327)*Summary_LCIA!S$32</f>
        <v>467.62428211432257</v>
      </c>
      <c r="AX327" s="16">
        <f>$W327*AC327+($L327)*Summary_LCIA!T$32</f>
        <v>108.11940045687103</v>
      </c>
      <c r="AY327" s="16">
        <f>$W327*AD327+($L327)*Summary_LCIA!U$32</f>
        <v>0.90489533309318171</v>
      </c>
      <c r="AZ327" s="16">
        <f>$W327*AE327+($L327)*Summary_LCIA!V$32</f>
        <v>9.6777206914914725E-3</v>
      </c>
      <c r="BA327" s="16">
        <f>$W327*AF327+($L327)*Summary_LCIA!W$32</f>
        <v>14.541157520887827</v>
      </c>
      <c r="BB327" s="16">
        <f>$W327*AG327+($L327)*Summary_LCIA!X$32</f>
        <v>21.993989341605101</v>
      </c>
      <c r="BC327" s="16">
        <f>$W327*AH327+($L327)*Summary_LCIA!Y$32</f>
        <v>0.76985267692464188</v>
      </c>
      <c r="BD327" s="16">
        <f>$W327*AI327+($L327)*Summary_LCIA!Z$32</f>
        <v>0.50206047513221497</v>
      </c>
      <c r="BE327" s="16">
        <f>$W327*AJ327+($L327)*Summary_LCIA!AA$32</f>
        <v>2.2640040343240275</v>
      </c>
      <c r="BF327" s="16">
        <f>$W327*AK327+($L327)*Summary_LCIA!AB$32</f>
        <v>0.11043687109497406</v>
      </c>
      <c r="BG327" s="16">
        <f>$W327*AL327+($L327)*Summary_LCIA!AC$32</f>
        <v>5.5048738084854098E-5</v>
      </c>
      <c r="BH327" s="16">
        <f>$W327*AM327+($L327)*Summary_LCIA!AD$32</f>
        <v>0.15932212296511944</v>
      </c>
      <c r="BI327" s="16">
        <f>$W327*AN327+($L327)*Summary_LCIA!AE$32</f>
        <v>0.43069743140146671</v>
      </c>
      <c r="BJ327" s="16">
        <f>$W327*AO327+($L327)*Summary_LCIA!AF$32</f>
        <v>2.8119660911132376E-2</v>
      </c>
      <c r="BK327" s="16">
        <f>$W327*AP327+($L327)*Summary_LCIA!AG$32</f>
        <v>7.8153260911323717E-3</v>
      </c>
      <c r="BL327" s="16">
        <f>$W327*AQ327+($L327)*Summary_LCIA!AH$32</f>
        <v>1.0828302527481188</v>
      </c>
      <c r="BM327" s="16">
        <f>$W327*AR327+($L327)*Summary_LCIA!AI$32</f>
        <v>0.41174340145853372</v>
      </c>
      <c r="BN327" s="16"/>
    </row>
    <row r="328" spans="1:66" x14ac:dyDescent="0.25">
      <c r="A328" s="159">
        <v>304</v>
      </c>
      <c r="B328" s="159">
        <v>6</v>
      </c>
      <c r="C328" s="45">
        <v>45.505105999999998</v>
      </c>
      <c r="D328" s="45">
        <v>-122.675026</v>
      </c>
      <c r="E328" s="45" t="s">
        <v>265</v>
      </c>
      <c r="F328" s="159">
        <v>90</v>
      </c>
      <c r="G328" s="45" t="s">
        <v>277</v>
      </c>
      <c r="H328" s="45" t="s">
        <v>697</v>
      </c>
      <c r="I328" s="45">
        <v>45.589768999999997</v>
      </c>
      <c r="J328" s="45">
        <v>-122.595094</v>
      </c>
      <c r="K328" s="45">
        <v>15.812124730000001</v>
      </c>
      <c r="L328" s="45">
        <v>25.564</v>
      </c>
      <c r="M328" s="45" t="s">
        <v>617</v>
      </c>
      <c r="N328" s="159">
        <v>5</v>
      </c>
      <c r="O328" s="159">
        <v>6</v>
      </c>
      <c r="P328" s="45" t="s">
        <v>565</v>
      </c>
      <c r="Q328" s="45" t="s">
        <v>564</v>
      </c>
      <c r="R328" s="45">
        <v>41.98028</v>
      </c>
      <c r="S328" s="45">
        <v>-87.908997900000003</v>
      </c>
      <c r="T328" s="45">
        <v>3418.4070000000002</v>
      </c>
      <c r="U328" s="45" t="s">
        <v>617</v>
      </c>
      <c r="V328" s="45" t="s">
        <v>569</v>
      </c>
      <c r="W328" s="45" cm="1">
        <f t="array" ref="W328">getDistance(R328,S328,I328,J328)*SA!$B$12</f>
        <v>2798.6158815682211</v>
      </c>
      <c r="Y328" s="16">
        <f>Transportation_LCIA!C$61*($W328^Transportation_LCIA!C$60)+Transportation_LCIA!C$62</f>
        <v>0.16402773628837225</v>
      </c>
      <c r="Z328" s="16">
        <f>Transportation_LCIA!D$61*($W328^Transportation_LCIA!D$60)+Transportation_LCIA!D$62</f>
        <v>1.6026389821027962</v>
      </c>
      <c r="AA328" s="16">
        <f>Transportation_LCIA!E$61*($W328^Transportation_LCIA!E$60)+Transportation_LCIA!E$62</f>
        <v>6.0614005012291691E-4</v>
      </c>
      <c r="AB328" s="16">
        <f>Transportation_LCIA!F$61*($W328^Transportation_LCIA!F$60)+Transportation_LCIA!F$62</f>
        <v>0.16402773628837225</v>
      </c>
      <c r="AC328" s="16">
        <f>Transportation_LCIA!G$61*($W328^Transportation_LCIA!G$60)+Transportation_LCIA!G$62</f>
        <v>3.7629285801758547E-2</v>
      </c>
      <c r="AD328" s="16">
        <f>Transportation_LCIA!H$61*($W328^Transportation_LCIA!H$60)+Transportation_LCIA!H$62</f>
        <v>1.5970102936839448E-4</v>
      </c>
      <c r="AE328" s="16">
        <f>Transportation_LCIA!I$61*($W328^Transportation_LCIA!I$60)+Transportation_LCIA!I$62</f>
        <v>3.0217646312907641E-6</v>
      </c>
      <c r="AF328" s="16">
        <f>Transportation_LCIA!J$61*($W328^Transportation_LCIA!J$60)+Transportation_LCIA!J$62</f>
        <v>4.4927462034704841E-3</v>
      </c>
      <c r="AG328" s="16">
        <f>Transportation_LCIA!K$61*($W328^Transportation_LCIA!K$60)+Transportation_LCIA!K$62</f>
        <v>7.6507967965960943E-3</v>
      </c>
      <c r="AH328" s="16">
        <f>Transportation_LCIA!L$61*($W328^Transportation_LCIA!L$60)+Transportation_LCIA!L$62</f>
        <v>1.3274934633632592E-4</v>
      </c>
      <c r="AI328" s="16">
        <f>Transportation_LCIA!M$61*($W328^Transportation_LCIA!M$60)+Transportation_LCIA!M$62</f>
        <v>1.7902139566772907E-4</v>
      </c>
      <c r="AJ328" s="16">
        <f>Transportation_LCIA!N$61*($W328^Transportation_LCIA!N$60)+Transportation_LCIA!N$62</f>
        <v>5.9562702452397752E-4</v>
      </c>
      <c r="AK328" s="16">
        <f>Transportation_LCIA!O$61*($W328^Transportation_LCIA!O$60)+Transportation_LCIA!O$62</f>
        <v>3.9660589006869174E-5</v>
      </c>
      <c r="AL328" s="16">
        <f>Transportation_LCIA!P$61*($W328^Transportation_LCIA!P$60)+Transportation_LCIA!P$62</f>
        <v>1.9223455374200001E-8</v>
      </c>
      <c r="AM328" s="16">
        <f>Transportation_LCIA!Q$61*($W328^Transportation_LCIA!Q$60)+Transportation_LCIA!Q$62</f>
        <v>5.3174248522355442E-5</v>
      </c>
      <c r="AN328" s="16">
        <f>Transportation_LCIA!R$61*($W328^Transportation_LCIA!R$60)+Transportation_LCIA!R$62</f>
        <v>1.4580221843549912E-4</v>
      </c>
      <c r="AO328" s="16">
        <f>Transportation_LCIA!S$61*($W328^Transportation_LCIA!S$60)+Transportation_LCIA!S$62</f>
        <v>2.3252008516030942E-6</v>
      </c>
      <c r="AP328" s="16">
        <f>Transportation_LCIA!T$61*($W328^Transportation_LCIA!T$60)+Transportation_LCIA!T$62</f>
        <v>2.3252008516030942E-6</v>
      </c>
      <c r="AQ328" s="16">
        <f>Transportation_LCIA!U$61*($W328^Transportation_LCIA!U$60)+Transportation_LCIA!U$62</f>
        <v>3.0741318521569562E-4</v>
      </c>
      <c r="AR328" s="16">
        <f>Transportation_LCIA!V$61*($W328^Transportation_LCIA!V$60)+Transportation_LCIA!V$62</f>
        <v>1.3861468442791629E-4</v>
      </c>
      <c r="AT328" s="16">
        <f>$W328*Y328+($L328)*Summary_LCIA!H$32</f>
        <v>467.73727499432255</v>
      </c>
      <c r="AU328" s="16">
        <f>$W328*Z328+($L328)*Summary_LCIA!Q$32</f>
        <v>4611.8673810024256</v>
      </c>
      <c r="AV328" s="16">
        <f>$W328*AA328+($L328)*Summary_LCIA!R$32</f>
        <v>1.8309629691285529</v>
      </c>
      <c r="AW328" s="16">
        <f>$W328*AB328+($L328)*Summary_LCIA!S$32</f>
        <v>467.62428211432257</v>
      </c>
      <c r="AX328" s="16">
        <f>$W328*AC328+($L328)*Summary_LCIA!T$32</f>
        <v>108.11940045687103</v>
      </c>
      <c r="AY328" s="16">
        <f>$W328*AD328+($L328)*Summary_LCIA!U$32</f>
        <v>0.90489533309318171</v>
      </c>
      <c r="AZ328" s="16">
        <f>$W328*AE328+($L328)*Summary_LCIA!V$32</f>
        <v>9.6777206914914725E-3</v>
      </c>
      <c r="BA328" s="16">
        <f>$W328*AF328+($L328)*Summary_LCIA!W$32</f>
        <v>14.541157520887827</v>
      </c>
      <c r="BB328" s="16">
        <f>$W328*AG328+($L328)*Summary_LCIA!X$32</f>
        <v>21.993989341605101</v>
      </c>
      <c r="BC328" s="16">
        <f>$W328*AH328+($L328)*Summary_LCIA!Y$32</f>
        <v>0.76985267692464188</v>
      </c>
      <c r="BD328" s="16">
        <f>$W328*AI328+($L328)*Summary_LCIA!Z$32</f>
        <v>0.50206047513221497</v>
      </c>
      <c r="BE328" s="16">
        <f>$W328*AJ328+($L328)*Summary_LCIA!AA$32</f>
        <v>2.2640040343240275</v>
      </c>
      <c r="BF328" s="16">
        <f>$W328*AK328+($L328)*Summary_LCIA!AB$32</f>
        <v>0.11043687109497406</v>
      </c>
      <c r="BG328" s="16">
        <f>$W328*AL328+($L328)*Summary_LCIA!AC$32</f>
        <v>5.5048738084854098E-5</v>
      </c>
      <c r="BH328" s="16">
        <f>$W328*AM328+($L328)*Summary_LCIA!AD$32</f>
        <v>0.15932212296511944</v>
      </c>
      <c r="BI328" s="16">
        <f>$W328*AN328+($L328)*Summary_LCIA!AE$32</f>
        <v>0.43069743140146671</v>
      </c>
      <c r="BJ328" s="16">
        <f>$W328*AO328+($L328)*Summary_LCIA!AF$32</f>
        <v>2.8119660911132376E-2</v>
      </c>
      <c r="BK328" s="16">
        <f>$W328*AP328+($L328)*Summary_LCIA!AG$32</f>
        <v>7.8153260911323717E-3</v>
      </c>
      <c r="BL328" s="16">
        <f>$W328*AQ328+($L328)*Summary_LCIA!AH$32</f>
        <v>1.0828302527481188</v>
      </c>
      <c r="BM328" s="16">
        <f>$W328*AR328+($L328)*Summary_LCIA!AI$32</f>
        <v>0.41174340145853372</v>
      </c>
      <c r="BN328" s="16"/>
    </row>
    <row r="329" spans="1:66" x14ac:dyDescent="0.25">
      <c r="A329" s="159">
        <v>305</v>
      </c>
      <c r="B329" s="159">
        <v>6</v>
      </c>
      <c r="C329" s="45">
        <v>45.505105999999998</v>
      </c>
      <c r="D329" s="45">
        <v>-122.675026</v>
      </c>
      <c r="E329" s="45" t="s">
        <v>265</v>
      </c>
      <c r="F329" s="159">
        <v>90</v>
      </c>
      <c r="G329" s="45" t="s">
        <v>277</v>
      </c>
      <c r="H329" s="45" t="s">
        <v>697</v>
      </c>
      <c r="I329" s="45">
        <v>45.589768999999997</v>
      </c>
      <c r="J329" s="45">
        <v>-122.595094</v>
      </c>
      <c r="K329" s="45">
        <v>15.812124730000001</v>
      </c>
      <c r="L329" s="45">
        <v>25.564</v>
      </c>
      <c r="M329" s="45" t="s">
        <v>617</v>
      </c>
      <c r="N329" s="159">
        <v>5</v>
      </c>
      <c r="O329" s="159">
        <v>6</v>
      </c>
      <c r="P329" s="45" t="s">
        <v>565</v>
      </c>
      <c r="Q329" s="45" t="s">
        <v>564</v>
      </c>
      <c r="R329" s="45">
        <v>41.98028</v>
      </c>
      <c r="S329" s="45">
        <v>-87.908997900000003</v>
      </c>
      <c r="T329" s="45">
        <v>3418.4070000000002</v>
      </c>
      <c r="U329" s="45" t="s">
        <v>617</v>
      </c>
      <c r="V329" s="45" t="s">
        <v>569</v>
      </c>
      <c r="W329" s="45" cm="1">
        <f t="array" ref="W329">getDistance(R329,S329,I329,J329)*SA!$B$12</f>
        <v>2798.6158815682211</v>
      </c>
      <c r="Y329" s="16">
        <f>Transportation_LCIA!C$61*($W329^Transportation_LCIA!C$60)+Transportation_LCIA!C$62</f>
        <v>0.16402773628837225</v>
      </c>
      <c r="Z329" s="16">
        <f>Transportation_LCIA!D$61*($W329^Transportation_LCIA!D$60)+Transportation_LCIA!D$62</f>
        <v>1.6026389821027962</v>
      </c>
      <c r="AA329" s="16">
        <f>Transportation_LCIA!E$61*($W329^Transportation_LCIA!E$60)+Transportation_LCIA!E$62</f>
        <v>6.0614005012291691E-4</v>
      </c>
      <c r="AB329" s="16">
        <f>Transportation_LCIA!F$61*($W329^Transportation_LCIA!F$60)+Transportation_LCIA!F$62</f>
        <v>0.16402773628837225</v>
      </c>
      <c r="AC329" s="16">
        <f>Transportation_LCIA!G$61*($W329^Transportation_LCIA!G$60)+Transportation_LCIA!G$62</f>
        <v>3.7629285801758547E-2</v>
      </c>
      <c r="AD329" s="16">
        <f>Transportation_LCIA!H$61*($W329^Transportation_LCIA!H$60)+Transportation_LCIA!H$62</f>
        <v>1.5970102936839448E-4</v>
      </c>
      <c r="AE329" s="16">
        <f>Transportation_LCIA!I$61*($W329^Transportation_LCIA!I$60)+Transportation_LCIA!I$62</f>
        <v>3.0217646312907641E-6</v>
      </c>
      <c r="AF329" s="16">
        <f>Transportation_LCIA!J$61*($W329^Transportation_LCIA!J$60)+Transportation_LCIA!J$62</f>
        <v>4.4927462034704841E-3</v>
      </c>
      <c r="AG329" s="16">
        <f>Transportation_LCIA!K$61*($W329^Transportation_LCIA!K$60)+Transportation_LCIA!K$62</f>
        <v>7.6507967965960943E-3</v>
      </c>
      <c r="AH329" s="16">
        <f>Transportation_LCIA!L$61*($W329^Transportation_LCIA!L$60)+Transportation_LCIA!L$62</f>
        <v>1.3274934633632592E-4</v>
      </c>
      <c r="AI329" s="16">
        <f>Transportation_LCIA!M$61*($W329^Transportation_LCIA!M$60)+Transportation_LCIA!M$62</f>
        <v>1.7902139566772907E-4</v>
      </c>
      <c r="AJ329" s="16">
        <f>Transportation_LCIA!N$61*($W329^Transportation_LCIA!N$60)+Transportation_LCIA!N$62</f>
        <v>5.9562702452397752E-4</v>
      </c>
      <c r="AK329" s="16">
        <f>Transportation_LCIA!O$61*($W329^Transportation_LCIA!O$60)+Transportation_LCIA!O$62</f>
        <v>3.9660589006869174E-5</v>
      </c>
      <c r="AL329" s="16">
        <f>Transportation_LCIA!P$61*($W329^Transportation_LCIA!P$60)+Transportation_LCIA!P$62</f>
        <v>1.9223455374200001E-8</v>
      </c>
      <c r="AM329" s="16">
        <f>Transportation_LCIA!Q$61*($W329^Transportation_LCIA!Q$60)+Transportation_LCIA!Q$62</f>
        <v>5.3174248522355442E-5</v>
      </c>
      <c r="AN329" s="16">
        <f>Transportation_LCIA!R$61*($W329^Transportation_LCIA!R$60)+Transportation_LCIA!R$62</f>
        <v>1.4580221843549912E-4</v>
      </c>
      <c r="AO329" s="16">
        <f>Transportation_LCIA!S$61*($W329^Transportation_LCIA!S$60)+Transportation_LCIA!S$62</f>
        <v>2.3252008516030942E-6</v>
      </c>
      <c r="AP329" s="16">
        <f>Transportation_LCIA!T$61*($W329^Transportation_LCIA!T$60)+Transportation_LCIA!T$62</f>
        <v>2.3252008516030942E-6</v>
      </c>
      <c r="AQ329" s="16">
        <f>Transportation_LCIA!U$61*($W329^Transportation_LCIA!U$60)+Transportation_LCIA!U$62</f>
        <v>3.0741318521569562E-4</v>
      </c>
      <c r="AR329" s="16">
        <f>Transportation_LCIA!V$61*($W329^Transportation_LCIA!V$60)+Transportation_LCIA!V$62</f>
        <v>1.3861468442791629E-4</v>
      </c>
      <c r="AT329" s="16">
        <f>$W329*Y329+($L329)*Summary_LCIA!H$32</f>
        <v>467.73727499432255</v>
      </c>
      <c r="AU329" s="16">
        <f>$W329*Z329+($L329)*Summary_LCIA!Q$32</f>
        <v>4611.8673810024256</v>
      </c>
      <c r="AV329" s="16">
        <f>$W329*AA329+($L329)*Summary_LCIA!R$32</f>
        <v>1.8309629691285529</v>
      </c>
      <c r="AW329" s="16">
        <f>$W329*AB329+($L329)*Summary_LCIA!S$32</f>
        <v>467.62428211432257</v>
      </c>
      <c r="AX329" s="16">
        <f>$W329*AC329+($L329)*Summary_LCIA!T$32</f>
        <v>108.11940045687103</v>
      </c>
      <c r="AY329" s="16">
        <f>$W329*AD329+($L329)*Summary_LCIA!U$32</f>
        <v>0.90489533309318171</v>
      </c>
      <c r="AZ329" s="16">
        <f>$W329*AE329+($L329)*Summary_LCIA!V$32</f>
        <v>9.6777206914914725E-3</v>
      </c>
      <c r="BA329" s="16">
        <f>$W329*AF329+($L329)*Summary_LCIA!W$32</f>
        <v>14.541157520887827</v>
      </c>
      <c r="BB329" s="16">
        <f>$W329*AG329+($L329)*Summary_LCIA!X$32</f>
        <v>21.993989341605101</v>
      </c>
      <c r="BC329" s="16">
        <f>$W329*AH329+($L329)*Summary_LCIA!Y$32</f>
        <v>0.76985267692464188</v>
      </c>
      <c r="BD329" s="16">
        <f>$W329*AI329+($L329)*Summary_LCIA!Z$32</f>
        <v>0.50206047513221497</v>
      </c>
      <c r="BE329" s="16">
        <f>$W329*AJ329+($L329)*Summary_LCIA!AA$32</f>
        <v>2.2640040343240275</v>
      </c>
      <c r="BF329" s="16">
        <f>$W329*AK329+($L329)*Summary_LCIA!AB$32</f>
        <v>0.11043687109497406</v>
      </c>
      <c r="BG329" s="16">
        <f>$W329*AL329+($L329)*Summary_LCIA!AC$32</f>
        <v>5.5048738084854098E-5</v>
      </c>
      <c r="BH329" s="16">
        <f>$W329*AM329+($L329)*Summary_LCIA!AD$32</f>
        <v>0.15932212296511944</v>
      </c>
      <c r="BI329" s="16">
        <f>$W329*AN329+($L329)*Summary_LCIA!AE$32</f>
        <v>0.43069743140146671</v>
      </c>
      <c r="BJ329" s="16">
        <f>$W329*AO329+($L329)*Summary_LCIA!AF$32</f>
        <v>2.8119660911132376E-2</v>
      </c>
      <c r="BK329" s="16">
        <f>$W329*AP329+($L329)*Summary_LCIA!AG$32</f>
        <v>7.8153260911323717E-3</v>
      </c>
      <c r="BL329" s="16">
        <f>$W329*AQ329+($L329)*Summary_LCIA!AH$32</f>
        <v>1.0828302527481188</v>
      </c>
      <c r="BM329" s="16">
        <f>$W329*AR329+($L329)*Summary_LCIA!AI$32</f>
        <v>0.41174340145853372</v>
      </c>
      <c r="BN329" s="16"/>
    </row>
    <row r="330" spans="1:66" x14ac:dyDescent="0.25">
      <c r="A330" s="159">
        <v>306</v>
      </c>
      <c r="B330" s="159">
        <v>6</v>
      </c>
      <c r="C330" s="45">
        <v>45.505105999999998</v>
      </c>
      <c r="D330" s="45">
        <v>-122.675026</v>
      </c>
      <c r="E330" s="45" t="s">
        <v>265</v>
      </c>
      <c r="F330" s="159">
        <v>90</v>
      </c>
      <c r="G330" s="45" t="s">
        <v>277</v>
      </c>
      <c r="H330" s="45" t="s">
        <v>697</v>
      </c>
      <c r="I330" s="45">
        <v>45.589768999999997</v>
      </c>
      <c r="J330" s="45">
        <v>-122.595094</v>
      </c>
      <c r="K330" s="45">
        <v>15.812124730000001</v>
      </c>
      <c r="L330" s="45">
        <v>25.564</v>
      </c>
      <c r="M330" s="45" t="s">
        <v>617</v>
      </c>
      <c r="N330" s="159">
        <v>5</v>
      </c>
      <c r="O330" s="159">
        <v>6</v>
      </c>
      <c r="P330" s="45" t="s">
        <v>565</v>
      </c>
      <c r="Q330" s="45" t="s">
        <v>564</v>
      </c>
      <c r="R330" s="45">
        <v>41.98028</v>
      </c>
      <c r="S330" s="45">
        <v>-87.908997900000003</v>
      </c>
      <c r="T330" s="45">
        <v>3418.4070000000002</v>
      </c>
      <c r="U330" s="45" t="s">
        <v>617</v>
      </c>
      <c r="V330" s="45" t="s">
        <v>569</v>
      </c>
      <c r="W330" s="45" cm="1">
        <f t="array" ref="W330">getDistance(R330,S330,I330,J330)*SA!$B$12</f>
        <v>2798.6158815682211</v>
      </c>
      <c r="Y330" s="16">
        <f>Transportation_LCIA!C$61*($W330^Transportation_LCIA!C$60)+Transportation_LCIA!C$62</f>
        <v>0.16402773628837225</v>
      </c>
      <c r="Z330" s="16">
        <f>Transportation_LCIA!D$61*($W330^Transportation_LCIA!D$60)+Transportation_LCIA!D$62</f>
        <v>1.6026389821027962</v>
      </c>
      <c r="AA330" s="16">
        <f>Transportation_LCIA!E$61*($W330^Transportation_LCIA!E$60)+Transportation_LCIA!E$62</f>
        <v>6.0614005012291691E-4</v>
      </c>
      <c r="AB330" s="16">
        <f>Transportation_LCIA!F$61*($W330^Transportation_LCIA!F$60)+Transportation_LCIA!F$62</f>
        <v>0.16402773628837225</v>
      </c>
      <c r="AC330" s="16">
        <f>Transportation_LCIA!G$61*($W330^Transportation_LCIA!G$60)+Transportation_LCIA!G$62</f>
        <v>3.7629285801758547E-2</v>
      </c>
      <c r="AD330" s="16">
        <f>Transportation_LCIA!H$61*($W330^Transportation_LCIA!H$60)+Transportation_LCIA!H$62</f>
        <v>1.5970102936839448E-4</v>
      </c>
      <c r="AE330" s="16">
        <f>Transportation_LCIA!I$61*($W330^Transportation_LCIA!I$60)+Transportation_LCIA!I$62</f>
        <v>3.0217646312907641E-6</v>
      </c>
      <c r="AF330" s="16">
        <f>Transportation_LCIA!J$61*($W330^Transportation_LCIA!J$60)+Transportation_LCIA!J$62</f>
        <v>4.4927462034704841E-3</v>
      </c>
      <c r="AG330" s="16">
        <f>Transportation_LCIA!K$61*($W330^Transportation_LCIA!K$60)+Transportation_LCIA!K$62</f>
        <v>7.6507967965960943E-3</v>
      </c>
      <c r="AH330" s="16">
        <f>Transportation_LCIA!L$61*($W330^Transportation_LCIA!L$60)+Transportation_LCIA!L$62</f>
        <v>1.3274934633632592E-4</v>
      </c>
      <c r="AI330" s="16">
        <f>Transportation_LCIA!M$61*($W330^Transportation_LCIA!M$60)+Transportation_LCIA!M$62</f>
        <v>1.7902139566772907E-4</v>
      </c>
      <c r="AJ330" s="16">
        <f>Transportation_LCIA!N$61*($W330^Transportation_LCIA!N$60)+Transportation_LCIA!N$62</f>
        <v>5.9562702452397752E-4</v>
      </c>
      <c r="AK330" s="16">
        <f>Transportation_LCIA!O$61*($W330^Transportation_LCIA!O$60)+Transportation_LCIA!O$62</f>
        <v>3.9660589006869174E-5</v>
      </c>
      <c r="AL330" s="16">
        <f>Transportation_LCIA!P$61*($W330^Transportation_LCIA!P$60)+Transportation_LCIA!P$62</f>
        <v>1.9223455374200001E-8</v>
      </c>
      <c r="AM330" s="16">
        <f>Transportation_LCIA!Q$61*($W330^Transportation_LCIA!Q$60)+Transportation_LCIA!Q$62</f>
        <v>5.3174248522355442E-5</v>
      </c>
      <c r="AN330" s="16">
        <f>Transportation_LCIA!R$61*($W330^Transportation_LCIA!R$60)+Transportation_LCIA!R$62</f>
        <v>1.4580221843549912E-4</v>
      </c>
      <c r="AO330" s="16">
        <f>Transportation_LCIA!S$61*($W330^Transportation_LCIA!S$60)+Transportation_LCIA!S$62</f>
        <v>2.3252008516030942E-6</v>
      </c>
      <c r="AP330" s="16">
        <f>Transportation_LCIA!T$61*($W330^Transportation_LCIA!T$60)+Transportation_LCIA!T$62</f>
        <v>2.3252008516030942E-6</v>
      </c>
      <c r="AQ330" s="16">
        <f>Transportation_LCIA!U$61*($W330^Transportation_LCIA!U$60)+Transportation_LCIA!U$62</f>
        <v>3.0741318521569562E-4</v>
      </c>
      <c r="AR330" s="16">
        <f>Transportation_LCIA!V$61*($W330^Transportation_LCIA!V$60)+Transportation_LCIA!V$62</f>
        <v>1.3861468442791629E-4</v>
      </c>
      <c r="AT330" s="16">
        <f>$W330*Y330+($L330)*Summary_LCIA!H$32</f>
        <v>467.73727499432255</v>
      </c>
      <c r="AU330" s="16">
        <f>$W330*Z330+($L330)*Summary_LCIA!Q$32</f>
        <v>4611.8673810024256</v>
      </c>
      <c r="AV330" s="16">
        <f>$W330*AA330+($L330)*Summary_LCIA!R$32</f>
        <v>1.8309629691285529</v>
      </c>
      <c r="AW330" s="16">
        <f>$W330*AB330+($L330)*Summary_LCIA!S$32</f>
        <v>467.62428211432257</v>
      </c>
      <c r="AX330" s="16">
        <f>$W330*AC330+($L330)*Summary_LCIA!T$32</f>
        <v>108.11940045687103</v>
      </c>
      <c r="AY330" s="16">
        <f>$W330*AD330+($L330)*Summary_LCIA!U$32</f>
        <v>0.90489533309318171</v>
      </c>
      <c r="AZ330" s="16">
        <f>$W330*AE330+($L330)*Summary_LCIA!V$32</f>
        <v>9.6777206914914725E-3</v>
      </c>
      <c r="BA330" s="16">
        <f>$W330*AF330+($L330)*Summary_LCIA!W$32</f>
        <v>14.541157520887827</v>
      </c>
      <c r="BB330" s="16">
        <f>$W330*AG330+($L330)*Summary_LCIA!X$32</f>
        <v>21.993989341605101</v>
      </c>
      <c r="BC330" s="16">
        <f>$W330*AH330+($L330)*Summary_LCIA!Y$32</f>
        <v>0.76985267692464188</v>
      </c>
      <c r="BD330" s="16">
        <f>$W330*AI330+($L330)*Summary_LCIA!Z$32</f>
        <v>0.50206047513221497</v>
      </c>
      <c r="BE330" s="16">
        <f>$W330*AJ330+($L330)*Summary_LCIA!AA$32</f>
        <v>2.2640040343240275</v>
      </c>
      <c r="BF330" s="16">
        <f>$W330*AK330+($L330)*Summary_LCIA!AB$32</f>
        <v>0.11043687109497406</v>
      </c>
      <c r="BG330" s="16">
        <f>$W330*AL330+($L330)*Summary_LCIA!AC$32</f>
        <v>5.5048738084854098E-5</v>
      </c>
      <c r="BH330" s="16">
        <f>$W330*AM330+($L330)*Summary_LCIA!AD$32</f>
        <v>0.15932212296511944</v>
      </c>
      <c r="BI330" s="16">
        <f>$W330*AN330+($L330)*Summary_LCIA!AE$32</f>
        <v>0.43069743140146671</v>
      </c>
      <c r="BJ330" s="16">
        <f>$W330*AO330+($L330)*Summary_LCIA!AF$32</f>
        <v>2.8119660911132376E-2</v>
      </c>
      <c r="BK330" s="16">
        <f>$W330*AP330+($L330)*Summary_LCIA!AG$32</f>
        <v>7.8153260911323717E-3</v>
      </c>
      <c r="BL330" s="16">
        <f>$W330*AQ330+($L330)*Summary_LCIA!AH$32</f>
        <v>1.0828302527481188</v>
      </c>
      <c r="BM330" s="16">
        <f>$W330*AR330+($L330)*Summary_LCIA!AI$32</f>
        <v>0.41174340145853372</v>
      </c>
      <c r="BN330" s="16"/>
    </row>
    <row r="331" spans="1:66" x14ac:dyDescent="0.25">
      <c r="A331" s="159">
        <v>328</v>
      </c>
      <c r="B331" s="159">
        <v>6</v>
      </c>
      <c r="C331" s="45">
        <v>37.774929</v>
      </c>
      <c r="D331" s="45">
        <v>-122.419415</v>
      </c>
      <c r="E331" s="45" t="s">
        <v>265</v>
      </c>
      <c r="F331" s="159">
        <v>99</v>
      </c>
      <c r="G331" s="45" t="s">
        <v>623</v>
      </c>
      <c r="H331" s="45" t="s">
        <v>624</v>
      </c>
      <c r="I331" s="45">
        <v>37.712569000000002</v>
      </c>
      <c r="J331" s="45">
        <v>-122.21974299999999</v>
      </c>
      <c r="K331" s="45">
        <v>31.718590620000001</v>
      </c>
      <c r="L331" s="45">
        <v>34.848999999999997</v>
      </c>
      <c r="M331" s="45" t="s">
        <v>617</v>
      </c>
      <c r="N331" s="159">
        <v>5</v>
      </c>
      <c r="O331" s="159">
        <v>6</v>
      </c>
      <c r="P331" s="45" t="s">
        <v>565</v>
      </c>
      <c r="Q331" s="45" t="s">
        <v>564</v>
      </c>
      <c r="R331" s="45">
        <v>41.98028</v>
      </c>
      <c r="S331" s="45">
        <v>-87.908997900000003</v>
      </c>
      <c r="T331" s="45">
        <v>3421.6680000000001</v>
      </c>
      <c r="U331" s="45" t="s">
        <v>617</v>
      </c>
      <c r="V331" s="45" t="s">
        <v>569</v>
      </c>
      <c r="W331" s="45" cm="1">
        <f t="array" ref="W331">getDistance(R331,S331,I331,J331)*SA!$B$12</f>
        <v>2954.4739870823373</v>
      </c>
      <c r="Y331" s="16">
        <f>Transportation_LCIA!C$61*($W331^Transportation_LCIA!C$60)+Transportation_LCIA!C$62</f>
        <v>0.16171000383695877</v>
      </c>
      <c r="Z331" s="16">
        <f>Transportation_LCIA!D$61*($W331^Transportation_LCIA!D$60)+Transportation_LCIA!D$62</f>
        <v>1.5768081231698678</v>
      </c>
      <c r="AA331" s="16">
        <f>Transportation_LCIA!E$61*($W331^Transportation_LCIA!E$60)+Transportation_LCIA!E$62</f>
        <v>5.8937497149571638E-4</v>
      </c>
      <c r="AB331" s="16">
        <f>Transportation_LCIA!F$61*($W331^Transportation_LCIA!F$60)+Transportation_LCIA!F$62</f>
        <v>0.16171000383695877</v>
      </c>
      <c r="AC331" s="16">
        <f>Transportation_LCIA!G$61*($W331^Transportation_LCIA!G$60)+Transportation_LCIA!G$62</f>
        <v>3.7030062493754762E-2</v>
      </c>
      <c r="AD331" s="16">
        <f>Transportation_LCIA!H$61*($W331^Transportation_LCIA!H$60)+Transportation_LCIA!H$62</f>
        <v>1.561077677297297E-4</v>
      </c>
      <c r="AE331" s="16">
        <f>Transportation_LCIA!I$61*($W331^Transportation_LCIA!I$60)+Transportation_LCIA!I$62</f>
        <v>2.9349580057496198E-6</v>
      </c>
      <c r="AF331" s="16">
        <f>Transportation_LCIA!J$61*($W331^Transportation_LCIA!J$60)+Transportation_LCIA!J$62</f>
        <v>4.3668990356380832E-3</v>
      </c>
      <c r="AG331" s="16">
        <f>Transportation_LCIA!K$61*($W331^Transportation_LCIA!K$60)+Transportation_LCIA!K$62</f>
        <v>7.514134281168993E-3</v>
      </c>
      <c r="AH331" s="16">
        <f>Transportation_LCIA!L$61*($W331^Transportation_LCIA!L$60)+Transportation_LCIA!L$62</f>
        <v>1.2948442746469057E-4</v>
      </c>
      <c r="AI331" s="16">
        <f>Transportation_LCIA!M$61*($W331^Transportation_LCIA!M$60)+Transportation_LCIA!M$62</f>
        <v>1.7704106673904082E-4</v>
      </c>
      <c r="AJ331" s="16">
        <f>Transportation_LCIA!N$61*($W331^Transportation_LCIA!N$60)+Transportation_LCIA!N$62</f>
        <v>5.8350629075465312E-4</v>
      </c>
      <c r="AK331" s="16">
        <f>Transportation_LCIA!O$61*($W331^Transportation_LCIA!O$60)+Transportation_LCIA!O$62</f>
        <v>3.9024642261370346E-5</v>
      </c>
      <c r="AL331" s="16">
        <f>Transportation_LCIA!P$61*($W331^Transportation_LCIA!P$60)+Transportation_LCIA!P$62</f>
        <v>1.8916650124927199E-8</v>
      </c>
      <c r="AM331" s="16">
        <f>Transportation_LCIA!Q$61*($W331^Transportation_LCIA!Q$60)+Transportation_LCIA!Q$62</f>
        <v>5.1905696061339208E-5</v>
      </c>
      <c r="AN331" s="16">
        <f>Transportation_LCIA!R$61*($W331^Transportation_LCIA!R$60)+Transportation_LCIA!R$62</f>
        <v>1.4164372298406882E-4</v>
      </c>
      <c r="AO331" s="16">
        <f>Transportation_LCIA!S$61*($W331^Transportation_LCIA!S$60)+Transportation_LCIA!S$62</f>
        <v>2.2660740884116371E-6</v>
      </c>
      <c r="AP331" s="16">
        <f>Transportation_LCIA!T$61*($W331^Transportation_LCIA!T$60)+Transportation_LCIA!T$62</f>
        <v>2.2660740884116371E-6</v>
      </c>
      <c r="AQ331" s="16">
        <f>Transportation_LCIA!U$61*($W331^Transportation_LCIA!U$60)+Transportation_LCIA!U$62</f>
        <v>2.9836447337514829E-4</v>
      </c>
      <c r="AR331" s="16">
        <f>Transportation_LCIA!V$61*($W331^Transportation_LCIA!V$60)+Transportation_LCIA!V$62</f>
        <v>1.3534131853002178E-4</v>
      </c>
      <c r="AT331" s="16">
        <f>$W331*Y331+($L331)*Summary_LCIA!H$32</f>
        <v>489.60968998727964</v>
      </c>
      <c r="AU331" s="16">
        <f>$W331*Z331+($L331)*Summary_LCIA!Q$32</f>
        <v>4831.3519840651134</v>
      </c>
      <c r="AV331" s="16">
        <f>$W331*AA331+($L331)*Summary_LCIA!R$32</f>
        <v>1.9247939163214882</v>
      </c>
      <c r="AW331" s="16">
        <f>$W331*AB331+($L331)*Summary_LCIA!S$32</f>
        <v>489.4556574072796</v>
      </c>
      <c r="AX331" s="16">
        <f>$W331*AC331+($L331)*Summary_LCIA!T$32</f>
        <v>113.23426147783175</v>
      </c>
      <c r="AY331" s="16">
        <f>$W331*AD331+($L331)*Summary_LCIA!U$32</f>
        <v>1.0855013249389778</v>
      </c>
      <c r="AZ331" s="16">
        <f>$W331*AE331+($L331)*Summary_LCIA!V$32</f>
        <v>1.0335680170166305E-2</v>
      </c>
      <c r="BA331" s="16">
        <f>$W331*AF331+($L331)*Summary_LCIA!W$32</f>
        <v>15.584251984007661</v>
      </c>
      <c r="BB331" s="16">
        <f>$W331*AG331+($L331)*Summary_LCIA!X$32</f>
        <v>22.994174489157427</v>
      </c>
      <c r="BC331" s="16">
        <f>$W331*AH331+($L331)*Summary_LCIA!Y$32</f>
        <v>0.92557549067667799</v>
      </c>
      <c r="BD331" s="16">
        <f>$W331*AI331+($L331)*Summary_LCIA!Z$32</f>
        <v>0.52449234896680419</v>
      </c>
      <c r="BE331" s="16">
        <f>$W331*AJ331+($L331)*Summary_LCIA!AA$32</f>
        <v>2.5378874013335255</v>
      </c>
      <c r="BF331" s="16">
        <f>$W331*AK331+($L331)*Summary_LCIA!AB$32</f>
        <v>0.11453678068941273</v>
      </c>
      <c r="BG331" s="16">
        <f>$W331*AL331+($L331)*Summary_LCIA!AC$32</f>
        <v>5.7592309232835261E-5</v>
      </c>
      <c r="BH331" s="16">
        <f>$W331*AM331+($L331)*Summary_LCIA!AD$32</f>
        <v>0.1676783617546288</v>
      </c>
      <c r="BI331" s="16">
        <f>$W331*AN331+($L331)*Summary_LCIA!AE$32</f>
        <v>0.4493634393599279</v>
      </c>
      <c r="BJ331" s="16">
        <f>$W331*AO331+($L331)*Summary_LCIA!AF$32</f>
        <v>3.6157098527013501E-2</v>
      </c>
      <c r="BK331" s="16">
        <f>$W331*AP331+($L331)*Summary_LCIA!AG$32</f>
        <v>8.4781060320135021E-3</v>
      </c>
      <c r="BL331" s="16">
        <f>$W331*AQ331+($L331)*Summary_LCIA!AH$32</f>
        <v>1.1848218316563961</v>
      </c>
      <c r="BM331" s="16">
        <f>$W331*AR331+($L331)*Summary_LCIA!AI$32</f>
        <v>0.43232599092437407</v>
      </c>
      <c r="BN331" s="16"/>
    </row>
    <row r="332" spans="1:66" x14ac:dyDescent="0.25">
      <c r="A332" s="159">
        <v>201</v>
      </c>
      <c r="B332" s="159">
        <v>6</v>
      </c>
      <c r="C332" s="45">
        <v>44.564565999999999</v>
      </c>
      <c r="D332" s="45">
        <v>-123.262044</v>
      </c>
      <c r="E332" s="45" t="s">
        <v>265</v>
      </c>
      <c r="F332" s="159">
        <v>90</v>
      </c>
      <c r="G332" s="45" t="s">
        <v>277</v>
      </c>
      <c r="H332" s="45" t="s">
        <v>697</v>
      </c>
      <c r="I332" s="45">
        <v>45.589768999999997</v>
      </c>
      <c r="J332" s="45">
        <v>-122.595094</v>
      </c>
      <c r="K332" s="45">
        <v>197.87946479999999</v>
      </c>
      <c r="L332" s="45">
        <v>153.494</v>
      </c>
      <c r="M332" s="45" t="s">
        <v>617</v>
      </c>
      <c r="N332" s="159">
        <v>5</v>
      </c>
      <c r="O332" s="159">
        <v>6</v>
      </c>
      <c r="P332" s="45" t="s">
        <v>565</v>
      </c>
      <c r="Q332" s="45" t="s">
        <v>564</v>
      </c>
      <c r="R332" s="45">
        <v>41.98028</v>
      </c>
      <c r="S332" s="45">
        <v>-87.908997900000003</v>
      </c>
      <c r="T332" s="45">
        <v>3435.9470000000001</v>
      </c>
      <c r="U332" s="45" t="s">
        <v>617</v>
      </c>
      <c r="V332" s="45" t="s">
        <v>569</v>
      </c>
      <c r="W332" s="45" cm="1">
        <f t="array" ref="W332">getDistance(R332,S332,I332,J332)*SA!$B$12</f>
        <v>2798.6158815682211</v>
      </c>
      <c r="Y332" s="16">
        <f>Transportation_LCIA!C$61*($W332^Transportation_LCIA!C$60)+Transportation_LCIA!C$62</f>
        <v>0.16402773628837225</v>
      </c>
      <c r="Z332" s="16">
        <f>Transportation_LCIA!D$61*($W332^Transportation_LCIA!D$60)+Transportation_LCIA!D$62</f>
        <v>1.6026389821027962</v>
      </c>
      <c r="AA332" s="16">
        <f>Transportation_LCIA!E$61*($W332^Transportation_LCIA!E$60)+Transportation_LCIA!E$62</f>
        <v>6.0614005012291691E-4</v>
      </c>
      <c r="AB332" s="16">
        <f>Transportation_LCIA!F$61*($W332^Transportation_LCIA!F$60)+Transportation_LCIA!F$62</f>
        <v>0.16402773628837225</v>
      </c>
      <c r="AC332" s="16">
        <f>Transportation_LCIA!G$61*($W332^Transportation_LCIA!G$60)+Transportation_LCIA!G$62</f>
        <v>3.7629285801758547E-2</v>
      </c>
      <c r="AD332" s="16">
        <f>Transportation_LCIA!H$61*($W332^Transportation_LCIA!H$60)+Transportation_LCIA!H$62</f>
        <v>1.5970102936839448E-4</v>
      </c>
      <c r="AE332" s="16">
        <f>Transportation_LCIA!I$61*($W332^Transportation_LCIA!I$60)+Transportation_LCIA!I$62</f>
        <v>3.0217646312907641E-6</v>
      </c>
      <c r="AF332" s="16">
        <f>Transportation_LCIA!J$61*($W332^Transportation_LCIA!J$60)+Transportation_LCIA!J$62</f>
        <v>4.4927462034704841E-3</v>
      </c>
      <c r="AG332" s="16">
        <f>Transportation_LCIA!K$61*($W332^Transportation_LCIA!K$60)+Transportation_LCIA!K$62</f>
        <v>7.6507967965960943E-3</v>
      </c>
      <c r="AH332" s="16">
        <f>Transportation_LCIA!L$61*($W332^Transportation_LCIA!L$60)+Transportation_LCIA!L$62</f>
        <v>1.3274934633632592E-4</v>
      </c>
      <c r="AI332" s="16">
        <f>Transportation_LCIA!M$61*($W332^Transportation_LCIA!M$60)+Transportation_LCIA!M$62</f>
        <v>1.7902139566772907E-4</v>
      </c>
      <c r="AJ332" s="16">
        <f>Transportation_LCIA!N$61*($W332^Transportation_LCIA!N$60)+Transportation_LCIA!N$62</f>
        <v>5.9562702452397752E-4</v>
      </c>
      <c r="AK332" s="16">
        <f>Transportation_LCIA!O$61*($W332^Transportation_LCIA!O$60)+Transportation_LCIA!O$62</f>
        <v>3.9660589006869174E-5</v>
      </c>
      <c r="AL332" s="16">
        <f>Transportation_LCIA!P$61*($W332^Transportation_LCIA!P$60)+Transportation_LCIA!P$62</f>
        <v>1.9223455374200001E-8</v>
      </c>
      <c r="AM332" s="16">
        <f>Transportation_LCIA!Q$61*($W332^Transportation_LCIA!Q$60)+Transportation_LCIA!Q$62</f>
        <v>5.3174248522355442E-5</v>
      </c>
      <c r="AN332" s="16">
        <f>Transportation_LCIA!R$61*($W332^Transportation_LCIA!R$60)+Transportation_LCIA!R$62</f>
        <v>1.4580221843549912E-4</v>
      </c>
      <c r="AO332" s="16">
        <f>Transportation_LCIA!S$61*($W332^Transportation_LCIA!S$60)+Transportation_LCIA!S$62</f>
        <v>2.3252008516030942E-6</v>
      </c>
      <c r="AP332" s="16">
        <f>Transportation_LCIA!T$61*($W332^Transportation_LCIA!T$60)+Transportation_LCIA!T$62</f>
        <v>2.3252008516030942E-6</v>
      </c>
      <c r="AQ332" s="16">
        <f>Transportation_LCIA!U$61*($W332^Transportation_LCIA!U$60)+Transportation_LCIA!U$62</f>
        <v>3.0741318521569562E-4</v>
      </c>
      <c r="AR332" s="16">
        <f>Transportation_LCIA!V$61*($W332^Transportation_LCIA!V$60)+Transportation_LCIA!V$62</f>
        <v>1.3861468442791629E-4</v>
      </c>
      <c r="AT332" s="16">
        <f>$W332*Y332+($L332)*Summary_LCIA!H$32</f>
        <v>511.20788899432256</v>
      </c>
      <c r="AU332" s="16">
        <f>$W332*Z332+($L332)*Summary_LCIA!Q$32</f>
        <v>5245.8949128961158</v>
      </c>
      <c r="AV332" s="16">
        <f>$W332*AA332+($L332)*Summary_LCIA!R$32</f>
        <v>2.5045911771285527</v>
      </c>
      <c r="AW332" s="16">
        <f>$W332*AB332+($L332)*Summary_LCIA!S$32</f>
        <v>510.52944551432256</v>
      </c>
      <c r="AX332" s="16">
        <f>$W332*AC332+($L332)*Summary_LCIA!T$32</f>
        <v>122.17890745687104</v>
      </c>
      <c r="AY332" s="16">
        <f>$W332*AD332+($L332)*Summary_LCIA!U$32</f>
        <v>3.1966333530931816</v>
      </c>
      <c r="AZ332" s="16">
        <f>$W332*AE332+($L332)*Summary_LCIA!V$32</f>
        <v>1.5787785421491472E-2</v>
      </c>
      <c r="BA332" s="16">
        <f>$W332*AF332+($L332)*Summary_LCIA!W$32</f>
        <v>24.388057550887826</v>
      </c>
      <c r="BB332" s="16">
        <f>$W332*AG332+($L332)*Summary_LCIA!X$32</f>
        <v>24.908234741605099</v>
      </c>
      <c r="BC332" s="16">
        <f>$W332*AH332+($L332)*Summary_LCIA!Y$32</f>
        <v>2.7632579369246422</v>
      </c>
      <c r="BD332" s="16">
        <f>$W332*AI332+($L332)*Summary_LCIA!Z$32</f>
        <v>0.50730675650221491</v>
      </c>
      <c r="BE332" s="16">
        <f>$W332*AJ332+($L332)*Summary_LCIA!AA$32</f>
        <v>5.2519371143240274</v>
      </c>
      <c r="BF332" s="16">
        <f>$W332*AK332+($L332)*Summary_LCIA!AB$32</f>
        <v>0.10764505470497407</v>
      </c>
      <c r="BG332" s="16">
        <f>$W332*AL332+($L332)*Summary_LCIA!AC$32</f>
        <v>6.1302468204854095E-5</v>
      </c>
      <c r="BH332" s="16">
        <f>$W332*AM332+($L332)*Summary_LCIA!AD$32</f>
        <v>0.21190647016511943</v>
      </c>
      <c r="BI332" s="16">
        <f>$W332*AN332+($L332)*Summary_LCIA!AE$32</f>
        <v>0.54406004230146665</v>
      </c>
      <c r="BJ332" s="16">
        <f>$W332*AO332+($L332)*Summary_LCIA!AF$32</f>
        <v>0.13627424151113238</v>
      </c>
      <c r="BK332" s="16">
        <f>$W332*AP332+($L332)*Summary_LCIA!AG$32</f>
        <v>1.4360864541132373E-2</v>
      </c>
      <c r="BL332" s="16">
        <f>$W332*AQ332+($L332)*Summary_LCIA!AH$32</f>
        <v>2.1962818007481193</v>
      </c>
      <c r="BM332" s="16">
        <f>$W332*AR332+($L332)*Summary_LCIA!AI$32</f>
        <v>0.53091659295853377</v>
      </c>
      <c r="BN332" s="16"/>
    </row>
    <row r="333" spans="1:66" x14ac:dyDescent="0.25">
      <c r="A333" s="159">
        <v>202</v>
      </c>
      <c r="B333" s="159">
        <v>6</v>
      </c>
      <c r="C333" s="45">
        <v>44.564565999999999</v>
      </c>
      <c r="D333" s="45">
        <v>-123.262044</v>
      </c>
      <c r="E333" s="45" t="s">
        <v>265</v>
      </c>
      <c r="F333" s="159">
        <v>90</v>
      </c>
      <c r="G333" s="45" t="s">
        <v>277</v>
      </c>
      <c r="H333" s="45" t="s">
        <v>697</v>
      </c>
      <c r="I333" s="45">
        <v>45.589768999999997</v>
      </c>
      <c r="J333" s="45">
        <v>-122.595094</v>
      </c>
      <c r="K333" s="45">
        <v>197.87946479999999</v>
      </c>
      <c r="L333" s="45">
        <v>153.494</v>
      </c>
      <c r="M333" s="45" t="s">
        <v>617</v>
      </c>
      <c r="N333" s="159">
        <v>5</v>
      </c>
      <c r="O333" s="159">
        <v>6</v>
      </c>
      <c r="P333" s="45" t="s">
        <v>565</v>
      </c>
      <c r="Q333" s="45" t="s">
        <v>564</v>
      </c>
      <c r="R333" s="45">
        <v>41.98028</v>
      </c>
      <c r="S333" s="45">
        <v>-87.908997900000003</v>
      </c>
      <c r="T333" s="45">
        <v>3435.9470000000001</v>
      </c>
      <c r="U333" s="45" t="s">
        <v>617</v>
      </c>
      <c r="V333" s="45" t="s">
        <v>569</v>
      </c>
      <c r="W333" s="45" cm="1">
        <f t="array" ref="W333">getDistance(R333,S333,I333,J333)*SA!$B$12</f>
        <v>2798.6158815682211</v>
      </c>
      <c r="Y333" s="16">
        <f>Transportation_LCIA!C$61*($W333^Transportation_LCIA!C$60)+Transportation_LCIA!C$62</f>
        <v>0.16402773628837225</v>
      </c>
      <c r="Z333" s="16">
        <f>Transportation_LCIA!D$61*($W333^Transportation_LCIA!D$60)+Transportation_LCIA!D$62</f>
        <v>1.6026389821027962</v>
      </c>
      <c r="AA333" s="16">
        <f>Transportation_LCIA!E$61*($W333^Transportation_LCIA!E$60)+Transportation_LCIA!E$62</f>
        <v>6.0614005012291691E-4</v>
      </c>
      <c r="AB333" s="16">
        <f>Transportation_LCIA!F$61*($W333^Transportation_LCIA!F$60)+Transportation_LCIA!F$62</f>
        <v>0.16402773628837225</v>
      </c>
      <c r="AC333" s="16">
        <f>Transportation_LCIA!G$61*($W333^Transportation_LCIA!G$60)+Transportation_LCIA!G$62</f>
        <v>3.7629285801758547E-2</v>
      </c>
      <c r="AD333" s="16">
        <f>Transportation_LCIA!H$61*($W333^Transportation_LCIA!H$60)+Transportation_LCIA!H$62</f>
        <v>1.5970102936839448E-4</v>
      </c>
      <c r="AE333" s="16">
        <f>Transportation_LCIA!I$61*($W333^Transportation_LCIA!I$60)+Transportation_LCIA!I$62</f>
        <v>3.0217646312907641E-6</v>
      </c>
      <c r="AF333" s="16">
        <f>Transportation_LCIA!J$61*($W333^Transportation_LCIA!J$60)+Transportation_LCIA!J$62</f>
        <v>4.4927462034704841E-3</v>
      </c>
      <c r="AG333" s="16">
        <f>Transportation_LCIA!K$61*($W333^Transportation_LCIA!K$60)+Transportation_LCIA!K$62</f>
        <v>7.6507967965960943E-3</v>
      </c>
      <c r="AH333" s="16">
        <f>Transportation_LCIA!L$61*($W333^Transportation_LCIA!L$60)+Transportation_LCIA!L$62</f>
        <v>1.3274934633632592E-4</v>
      </c>
      <c r="AI333" s="16">
        <f>Transportation_LCIA!M$61*($W333^Transportation_LCIA!M$60)+Transportation_LCIA!M$62</f>
        <v>1.7902139566772907E-4</v>
      </c>
      <c r="AJ333" s="16">
        <f>Transportation_LCIA!N$61*($W333^Transportation_LCIA!N$60)+Transportation_LCIA!N$62</f>
        <v>5.9562702452397752E-4</v>
      </c>
      <c r="AK333" s="16">
        <f>Transportation_LCIA!O$61*($W333^Transportation_LCIA!O$60)+Transportation_LCIA!O$62</f>
        <v>3.9660589006869174E-5</v>
      </c>
      <c r="AL333" s="16">
        <f>Transportation_LCIA!P$61*($W333^Transportation_LCIA!P$60)+Transportation_LCIA!P$62</f>
        <v>1.9223455374200001E-8</v>
      </c>
      <c r="AM333" s="16">
        <f>Transportation_LCIA!Q$61*($W333^Transportation_LCIA!Q$60)+Transportation_LCIA!Q$62</f>
        <v>5.3174248522355442E-5</v>
      </c>
      <c r="AN333" s="16">
        <f>Transportation_LCIA!R$61*($W333^Transportation_LCIA!R$60)+Transportation_LCIA!R$62</f>
        <v>1.4580221843549912E-4</v>
      </c>
      <c r="AO333" s="16">
        <f>Transportation_LCIA!S$61*($W333^Transportation_LCIA!S$60)+Transportation_LCIA!S$62</f>
        <v>2.3252008516030942E-6</v>
      </c>
      <c r="AP333" s="16">
        <f>Transportation_LCIA!T$61*($W333^Transportation_LCIA!T$60)+Transportation_LCIA!T$62</f>
        <v>2.3252008516030942E-6</v>
      </c>
      <c r="AQ333" s="16">
        <f>Transportation_LCIA!U$61*($W333^Transportation_LCIA!U$60)+Transportation_LCIA!U$62</f>
        <v>3.0741318521569562E-4</v>
      </c>
      <c r="AR333" s="16">
        <f>Transportation_LCIA!V$61*($W333^Transportation_LCIA!V$60)+Transportation_LCIA!V$62</f>
        <v>1.3861468442791629E-4</v>
      </c>
      <c r="AT333" s="16">
        <f>$W333*Y333+($L333)*Summary_LCIA!H$32</f>
        <v>511.20788899432256</v>
      </c>
      <c r="AU333" s="16">
        <f>$W333*Z333+($L333)*Summary_LCIA!Q$32</f>
        <v>5245.8949128961158</v>
      </c>
      <c r="AV333" s="16">
        <f>$W333*AA333+($L333)*Summary_LCIA!R$32</f>
        <v>2.5045911771285527</v>
      </c>
      <c r="AW333" s="16">
        <f>$W333*AB333+($L333)*Summary_LCIA!S$32</f>
        <v>510.52944551432256</v>
      </c>
      <c r="AX333" s="16">
        <f>$W333*AC333+($L333)*Summary_LCIA!T$32</f>
        <v>122.17890745687104</v>
      </c>
      <c r="AY333" s="16">
        <f>$W333*AD333+($L333)*Summary_LCIA!U$32</f>
        <v>3.1966333530931816</v>
      </c>
      <c r="AZ333" s="16">
        <f>$W333*AE333+($L333)*Summary_LCIA!V$32</f>
        <v>1.5787785421491472E-2</v>
      </c>
      <c r="BA333" s="16">
        <f>$W333*AF333+($L333)*Summary_LCIA!W$32</f>
        <v>24.388057550887826</v>
      </c>
      <c r="BB333" s="16">
        <f>$W333*AG333+($L333)*Summary_LCIA!X$32</f>
        <v>24.908234741605099</v>
      </c>
      <c r="BC333" s="16">
        <f>$W333*AH333+($L333)*Summary_LCIA!Y$32</f>
        <v>2.7632579369246422</v>
      </c>
      <c r="BD333" s="16">
        <f>$W333*AI333+($L333)*Summary_LCIA!Z$32</f>
        <v>0.50730675650221491</v>
      </c>
      <c r="BE333" s="16">
        <f>$W333*AJ333+($L333)*Summary_LCIA!AA$32</f>
        <v>5.2519371143240274</v>
      </c>
      <c r="BF333" s="16">
        <f>$W333*AK333+($L333)*Summary_LCIA!AB$32</f>
        <v>0.10764505470497407</v>
      </c>
      <c r="BG333" s="16">
        <f>$W333*AL333+($L333)*Summary_LCIA!AC$32</f>
        <v>6.1302468204854095E-5</v>
      </c>
      <c r="BH333" s="16">
        <f>$W333*AM333+($L333)*Summary_LCIA!AD$32</f>
        <v>0.21190647016511943</v>
      </c>
      <c r="BI333" s="16">
        <f>$W333*AN333+($L333)*Summary_LCIA!AE$32</f>
        <v>0.54406004230146665</v>
      </c>
      <c r="BJ333" s="16">
        <f>$W333*AO333+($L333)*Summary_LCIA!AF$32</f>
        <v>0.13627424151113238</v>
      </c>
      <c r="BK333" s="16">
        <f>$W333*AP333+($L333)*Summary_LCIA!AG$32</f>
        <v>1.4360864541132373E-2</v>
      </c>
      <c r="BL333" s="16">
        <f>$W333*AQ333+($L333)*Summary_LCIA!AH$32</f>
        <v>2.1962818007481193</v>
      </c>
      <c r="BM333" s="16">
        <f>$W333*AR333+($L333)*Summary_LCIA!AI$32</f>
        <v>0.53091659295853377</v>
      </c>
      <c r="BN333" s="16"/>
    </row>
    <row r="334" spans="1:66" x14ac:dyDescent="0.25">
      <c r="A334" s="159">
        <v>199</v>
      </c>
      <c r="B334" s="159">
        <v>6</v>
      </c>
      <c r="C334" s="45">
        <v>44.564272000000003</v>
      </c>
      <c r="D334" s="45">
        <v>-123.278594</v>
      </c>
      <c r="E334" s="45" t="s">
        <v>265</v>
      </c>
      <c r="F334" s="159">
        <v>90</v>
      </c>
      <c r="G334" s="45" t="s">
        <v>277</v>
      </c>
      <c r="H334" s="45" t="s">
        <v>697</v>
      </c>
      <c r="I334" s="45">
        <v>45.589768999999997</v>
      </c>
      <c r="J334" s="45">
        <v>-122.595094</v>
      </c>
      <c r="K334" s="45">
        <v>197.4951184</v>
      </c>
      <c r="L334" s="45">
        <v>155.84200000000001</v>
      </c>
      <c r="M334" s="45" t="s">
        <v>617</v>
      </c>
      <c r="N334" s="159">
        <v>5</v>
      </c>
      <c r="O334" s="159">
        <v>6</v>
      </c>
      <c r="P334" s="45" t="s">
        <v>565</v>
      </c>
      <c r="Q334" s="45" t="s">
        <v>564</v>
      </c>
      <c r="R334" s="45">
        <v>41.98028</v>
      </c>
      <c r="S334" s="45">
        <v>-87.908997900000003</v>
      </c>
      <c r="T334" s="45">
        <v>3438.2959999999998</v>
      </c>
      <c r="U334" s="45" t="s">
        <v>617</v>
      </c>
      <c r="V334" s="45" t="s">
        <v>569</v>
      </c>
      <c r="W334" s="45" cm="1">
        <f t="array" ref="W334">getDistance(R334,S334,I334,J334)*SA!$B$12</f>
        <v>2798.6158815682211</v>
      </c>
      <c r="Y334" s="16">
        <f>Transportation_LCIA!C$61*($W334^Transportation_LCIA!C$60)+Transportation_LCIA!C$62</f>
        <v>0.16402773628837225</v>
      </c>
      <c r="Z334" s="16">
        <f>Transportation_LCIA!D$61*($W334^Transportation_LCIA!D$60)+Transportation_LCIA!D$62</f>
        <v>1.6026389821027962</v>
      </c>
      <c r="AA334" s="16">
        <f>Transportation_LCIA!E$61*($W334^Transportation_LCIA!E$60)+Transportation_LCIA!E$62</f>
        <v>6.0614005012291691E-4</v>
      </c>
      <c r="AB334" s="16">
        <f>Transportation_LCIA!F$61*($W334^Transportation_LCIA!F$60)+Transportation_LCIA!F$62</f>
        <v>0.16402773628837225</v>
      </c>
      <c r="AC334" s="16">
        <f>Transportation_LCIA!G$61*($W334^Transportation_LCIA!G$60)+Transportation_LCIA!G$62</f>
        <v>3.7629285801758547E-2</v>
      </c>
      <c r="AD334" s="16">
        <f>Transportation_LCIA!H$61*($W334^Transportation_LCIA!H$60)+Transportation_LCIA!H$62</f>
        <v>1.5970102936839448E-4</v>
      </c>
      <c r="AE334" s="16">
        <f>Transportation_LCIA!I$61*($W334^Transportation_LCIA!I$60)+Transportation_LCIA!I$62</f>
        <v>3.0217646312907641E-6</v>
      </c>
      <c r="AF334" s="16">
        <f>Transportation_LCIA!J$61*($W334^Transportation_LCIA!J$60)+Transportation_LCIA!J$62</f>
        <v>4.4927462034704841E-3</v>
      </c>
      <c r="AG334" s="16">
        <f>Transportation_LCIA!K$61*($W334^Transportation_LCIA!K$60)+Transportation_LCIA!K$62</f>
        <v>7.6507967965960943E-3</v>
      </c>
      <c r="AH334" s="16">
        <f>Transportation_LCIA!L$61*($W334^Transportation_LCIA!L$60)+Transportation_LCIA!L$62</f>
        <v>1.3274934633632592E-4</v>
      </c>
      <c r="AI334" s="16">
        <f>Transportation_LCIA!M$61*($W334^Transportation_LCIA!M$60)+Transportation_LCIA!M$62</f>
        <v>1.7902139566772907E-4</v>
      </c>
      <c r="AJ334" s="16">
        <f>Transportation_LCIA!N$61*($W334^Transportation_LCIA!N$60)+Transportation_LCIA!N$62</f>
        <v>5.9562702452397752E-4</v>
      </c>
      <c r="AK334" s="16">
        <f>Transportation_LCIA!O$61*($W334^Transportation_LCIA!O$60)+Transportation_LCIA!O$62</f>
        <v>3.9660589006869174E-5</v>
      </c>
      <c r="AL334" s="16">
        <f>Transportation_LCIA!P$61*($W334^Transportation_LCIA!P$60)+Transportation_LCIA!P$62</f>
        <v>1.9223455374200001E-8</v>
      </c>
      <c r="AM334" s="16">
        <f>Transportation_LCIA!Q$61*($W334^Transportation_LCIA!Q$60)+Transportation_LCIA!Q$62</f>
        <v>5.3174248522355442E-5</v>
      </c>
      <c r="AN334" s="16">
        <f>Transportation_LCIA!R$61*($W334^Transportation_LCIA!R$60)+Transportation_LCIA!R$62</f>
        <v>1.4580221843549912E-4</v>
      </c>
      <c r="AO334" s="16">
        <f>Transportation_LCIA!S$61*($W334^Transportation_LCIA!S$60)+Transportation_LCIA!S$62</f>
        <v>2.3252008516030942E-6</v>
      </c>
      <c r="AP334" s="16">
        <f>Transportation_LCIA!T$61*($W334^Transportation_LCIA!T$60)+Transportation_LCIA!T$62</f>
        <v>2.3252008516030942E-6</v>
      </c>
      <c r="AQ334" s="16">
        <f>Transportation_LCIA!U$61*($W334^Transportation_LCIA!U$60)+Transportation_LCIA!U$62</f>
        <v>3.0741318521569562E-4</v>
      </c>
      <c r="AR334" s="16">
        <f>Transportation_LCIA!V$61*($W334^Transportation_LCIA!V$60)+Transportation_LCIA!V$62</f>
        <v>1.3861468442791629E-4</v>
      </c>
      <c r="AT334" s="16">
        <f>$W334*Y334+($L334)*Summary_LCIA!H$32</f>
        <v>512.00573939432252</v>
      </c>
      <c r="AU334" s="16">
        <f>$W334*Z334+($L334)*Summary_LCIA!Q$32</f>
        <v>5257.5317193127994</v>
      </c>
      <c r="AV334" s="16">
        <f>$W334*AA334+($L334)*Summary_LCIA!R$32</f>
        <v>2.5169548059285529</v>
      </c>
      <c r="AW334" s="16">
        <f>$W334*AB334+($L334)*Summary_LCIA!S$32</f>
        <v>511.31691775432256</v>
      </c>
      <c r="AX334" s="16">
        <f>$W334*AC334+($L334)*Summary_LCIA!T$32</f>
        <v>122.43695265687104</v>
      </c>
      <c r="AY334" s="16">
        <f>$W334*AD334+($L334)*Summary_LCIA!U$32</f>
        <v>3.2386954250931819</v>
      </c>
      <c r="AZ334" s="16">
        <f>$W334*AE334+($L334)*Summary_LCIA!V$32</f>
        <v>1.5899928249491473E-2</v>
      </c>
      <c r="BA334" s="16">
        <f>$W334*AF334+($L334)*Summary_LCIA!W$32</f>
        <v>24.568785458887827</v>
      </c>
      <c r="BB334" s="16">
        <f>$W334*AG334+($L334)*Summary_LCIA!X$32</f>
        <v>24.961722181605101</v>
      </c>
      <c r="BC334" s="16">
        <f>$W334*AH334+($L334)*Summary_LCIA!Y$32</f>
        <v>2.7998444729246423</v>
      </c>
      <c r="BD334" s="16">
        <f>$W334*AI334+($L334)*Summary_LCIA!Z$32</f>
        <v>0.5074030456342149</v>
      </c>
      <c r="BE334" s="16">
        <f>$W334*AJ334+($L334)*Summary_LCIA!AA$32</f>
        <v>5.3067770023240275</v>
      </c>
      <c r="BF334" s="16">
        <f>$W334*AK334+($L334)*Summary_LCIA!AB$32</f>
        <v>0.10759381430097407</v>
      </c>
      <c r="BG334" s="16">
        <f>$W334*AL334+($L334)*Summary_LCIA!AC$32</f>
        <v>6.1417247836854092E-5</v>
      </c>
      <c r="BH334" s="16">
        <f>$W334*AM334+($L334)*Summary_LCIA!AD$32</f>
        <v>0.21287159208511947</v>
      </c>
      <c r="BI334" s="16">
        <f>$W334*AN334+($L334)*Summary_LCIA!AE$32</f>
        <v>0.54614067554146672</v>
      </c>
      <c r="BJ334" s="16">
        <f>$W334*AO334+($L334)*Summary_LCIA!AF$32</f>
        <v>0.13825928767113238</v>
      </c>
      <c r="BK334" s="16">
        <f>$W334*AP334+($L334)*Summary_LCIA!AG$32</f>
        <v>1.4480999961132373E-2</v>
      </c>
      <c r="BL334" s="16">
        <f>$W334*AQ334+($L334)*Summary_LCIA!AH$32</f>
        <v>2.2167178535481193</v>
      </c>
      <c r="BM334" s="16">
        <f>$W334*AR334+($L334)*Summary_LCIA!AI$32</f>
        <v>0.53310387235853374</v>
      </c>
      <c r="BN334" s="16"/>
    </row>
    <row r="335" spans="1:66" x14ac:dyDescent="0.25">
      <c r="A335" s="159">
        <v>200</v>
      </c>
      <c r="B335" s="159">
        <v>6</v>
      </c>
      <c r="C335" s="45">
        <v>44.564272000000003</v>
      </c>
      <c r="D335" s="45">
        <v>-123.278594</v>
      </c>
      <c r="E335" s="45" t="s">
        <v>265</v>
      </c>
      <c r="F335" s="159">
        <v>90</v>
      </c>
      <c r="G335" s="45" t="s">
        <v>277</v>
      </c>
      <c r="H335" s="45" t="s">
        <v>697</v>
      </c>
      <c r="I335" s="45">
        <v>45.589768999999997</v>
      </c>
      <c r="J335" s="45">
        <v>-122.595094</v>
      </c>
      <c r="K335" s="45">
        <v>197.4951184</v>
      </c>
      <c r="L335" s="45">
        <v>155.84200000000001</v>
      </c>
      <c r="M335" s="45" t="s">
        <v>617</v>
      </c>
      <c r="N335" s="159">
        <v>5</v>
      </c>
      <c r="O335" s="159">
        <v>6</v>
      </c>
      <c r="P335" s="45" t="s">
        <v>565</v>
      </c>
      <c r="Q335" s="45" t="s">
        <v>564</v>
      </c>
      <c r="R335" s="45">
        <v>41.98028</v>
      </c>
      <c r="S335" s="45">
        <v>-87.908997900000003</v>
      </c>
      <c r="T335" s="45">
        <v>3438.2959999999998</v>
      </c>
      <c r="U335" s="45" t="s">
        <v>617</v>
      </c>
      <c r="V335" s="45" t="s">
        <v>569</v>
      </c>
      <c r="W335" s="45" cm="1">
        <f t="array" ref="W335">getDistance(R335,S335,I335,J335)*SA!$B$12</f>
        <v>2798.6158815682211</v>
      </c>
      <c r="Y335" s="16">
        <f>Transportation_LCIA!C$61*($W335^Transportation_LCIA!C$60)+Transportation_LCIA!C$62</f>
        <v>0.16402773628837225</v>
      </c>
      <c r="Z335" s="16">
        <f>Transportation_LCIA!D$61*($W335^Transportation_LCIA!D$60)+Transportation_LCIA!D$62</f>
        <v>1.6026389821027962</v>
      </c>
      <c r="AA335" s="16">
        <f>Transportation_LCIA!E$61*($W335^Transportation_LCIA!E$60)+Transportation_LCIA!E$62</f>
        <v>6.0614005012291691E-4</v>
      </c>
      <c r="AB335" s="16">
        <f>Transportation_LCIA!F$61*($W335^Transportation_LCIA!F$60)+Transportation_LCIA!F$62</f>
        <v>0.16402773628837225</v>
      </c>
      <c r="AC335" s="16">
        <f>Transportation_LCIA!G$61*($W335^Transportation_LCIA!G$60)+Transportation_LCIA!G$62</f>
        <v>3.7629285801758547E-2</v>
      </c>
      <c r="AD335" s="16">
        <f>Transportation_LCIA!H$61*($W335^Transportation_LCIA!H$60)+Transportation_LCIA!H$62</f>
        <v>1.5970102936839448E-4</v>
      </c>
      <c r="AE335" s="16">
        <f>Transportation_LCIA!I$61*($W335^Transportation_LCIA!I$60)+Transportation_LCIA!I$62</f>
        <v>3.0217646312907641E-6</v>
      </c>
      <c r="AF335" s="16">
        <f>Transportation_LCIA!J$61*($W335^Transportation_LCIA!J$60)+Transportation_LCIA!J$62</f>
        <v>4.4927462034704841E-3</v>
      </c>
      <c r="AG335" s="16">
        <f>Transportation_LCIA!K$61*($W335^Transportation_LCIA!K$60)+Transportation_LCIA!K$62</f>
        <v>7.6507967965960943E-3</v>
      </c>
      <c r="AH335" s="16">
        <f>Transportation_LCIA!L$61*($W335^Transportation_LCIA!L$60)+Transportation_LCIA!L$62</f>
        <v>1.3274934633632592E-4</v>
      </c>
      <c r="AI335" s="16">
        <f>Transportation_LCIA!M$61*($W335^Transportation_LCIA!M$60)+Transportation_LCIA!M$62</f>
        <v>1.7902139566772907E-4</v>
      </c>
      <c r="AJ335" s="16">
        <f>Transportation_LCIA!N$61*($W335^Transportation_LCIA!N$60)+Transportation_LCIA!N$62</f>
        <v>5.9562702452397752E-4</v>
      </c>
      <c r="AK335" s="16">
        <f>Transportation_LCIA!O$61*($W335^Transportation_LCIA!O$60)+Transportation_LCIA!O$62</f>
        <v>3.9660589006869174E-5</v>
      </c>
      <c r="AL335" s="16">
        <f>Transportation_LCIA!P$61*($W335^Transportation_LCIA!P$60)+Transportation_LCIA!P$62</f>
        <v>1.9223455374200001E-8</v>
      </c>
      <c r="AM335" s="16">
        <f>Transportation_LCIA!Q$61*($W335^Transportation_LCIA!Q$60)+Transportation_LCIA!Q$62</f>
        <v>5.3174248522355442E-5</v>
      </c>
      <c r="AN335" s="16">
        <f>Transportation_LCIA!R$61*($W335^Transportation_LCIA!R$60)+Transportation_LCIA!R$62</f>
        <v>1.4580221843549912E-4</v>
      </c>
      <c r="AO335" s="16">
        <f>Transportation_LCIA!S$61*($W335^Transportation_LCIA!S$60)+Transportation_LCIA!S$62</f>
        <v>2.3252008516030942E-6</v>
      </c>
      <c r="AP335" s="16">
        <f>Transportation_LCIA!T$61*($W335^Transportation_LCIA!T$60)+Transportation_LCIA!T$62</f>
        <v>2.3252008516030942E-6</v>
      </c>
      <c r="AQ335" s="16">
        <f>Transportation_LCIA!U$61*($W335^Transportation_LCIA!U$60)+Transportation_LCIA!U$62</f>
        <v>3.0741318521569562E-4</v>
      </c>
      <c r="AR335" s="16">
        <f>Transportation_LCIA!V$61*($W335^Transportation_LCIA!V$60)+Transportation_LCIA!V$62</f>
        <v>1.3861468442791629E-4</v>
      </c>
      <c r="AT335" s="16">
        <f>$W335*Y335+($L335)*Summary_LCIA!H$32</f>
        <v>512.00573939432252</v>
      </c>
      <c r="AU335" s="16">
        <f>$W335*Z335+($L335)*Summary_LCIA!Q$32</f>
        <v>5257.5317193127994</v>
      </c>
      <c r="AV335" s="16">
        <f>$W335*AA335+($L335)*Summary_LCIA!R$32</f>
        <v>2.5169548059285529</v>
      </c>
      <c r="AW335" s="16">
        <f>$W335*AB335+($L335)*Summary_LCIA!S$32</f>
        <v>511.31691775432256</v>
      </c>
      <c r="AX335" s="16">
        <f>$W335*AC335+($L335)*Summary_LCIA!T$32</f>
        <v>122.43695265687104</v>
      </c>
      <c r="AY335" s="16">
        <f>$W335*AD335+($L335)*Summary_LCIA!U$32</f>
        <v>3.2386954250931819</v>
      </c>
      <c r="AZ335" s="16">
        <f>$W335*AE335+($L335)*Summary_LCIA!V$32</f>
        <v>1.5899928249491473E-2</v>
      </c>
      <c r="BA335" s="16">
        <f>$W335*AF335+($L335)*Summary_LCIA!W$32</f>
        <v>24.568785458887827</v>
      </c>
      <c r="BB335" s="16">
        <f>$W335*AG335+($L335)*Summary_LCIA!X$32</f>
        <v>24.961722181605101</v>
      </c>
      <c r="BC335" s="16">
        <f>$W335*AH335+($L335)*Summary_LCIA!Y$32</f>
        <v>2.7998444729246423</v>
      </c>
      <c r="BD335" s="16">
        <f>$W335*AI335+($L335)*Summary_LCIA!Z$32</f>
        <v>0.5074030456342149</v>
      </c>
      <c r="BE335" s="16">
        <f>$W335*AJ335+($L335)*Summary_LCIA!AA$32</f>
        <v>5.3067770023240275</v>
      </c>
      <c r="BF335" s="16">
        <f>$W335*AK335+($L335)*Summary_LCIA!AB$32</f>
        <v>0.10759381430097407</v>
      </c>
      <c r="BG335" s="16">
        <f>$W335*AL335+($L335)*Summary_LCIA!AC$32</f>
        <v>6.1417247836854092E-5</v>
      </c>
      <c r="BH335" s="16">
        <f>$W335*AM335+($L335)*Summary_LCIA!AD$32</f>
        <v>0.21287159208511947</v>
      </c>
      <c r="BI335" s="16">
        <f>$W335*AN335+($L335)*Summary_LCIA!AE$32</f>
        <v>0.54614067554146672</v>
      </c>
      <c r="BJ335" s="16">
        <f>$W335*AO335+($L335)*Summary_LCIA!AF$32</f>
        <v>0.13825928767113238</v>
      </c>
      <c r="BK335" s="16">
        <f>$W335*AP335+($L335)*Summary_LCIA!AG$32</f>
        <v>1.4480999961132373E-2</v>
      </c>
      <c r="BL335" s="16">
        <f>$W335*AQ335+($L335)*Summary_LCIA!AH$32</f>
        <v>2.2167178535481193</v>
      </c>
      <c r="BM335" s="16">
        <f>$W335*AR335+($L335)*Summary_LCIA!AI$32</f>
        <v>0.53310387235853374</v>
      </c>
      <c r="BN335" s="16"/>
    </row>
    <row r="336" spans="1:66" x14ac:dyDescent="0.25">
      <c r="A336" s="159">
        <v>89</v>
      </c>
      <c r="B336" s="159">
        <v>6</v>
      </c>
      <c r="C336" s="45">
        <v>35.244402000000001</v>
      </c>
      <c r="D336" s="45">
        <v>-120.672275</v>
      </c>
      <c r="E336" s="45" t="s">
        <v>265</v>
      </c>
      <c r="F336" s="159">
        <v>116</v>
      </c>
      <c r="G336" s="45" t="s">
        <v>663</v>
      </c>
      <c r="H336" s="45" t="s">
        <v>664</v>
      </c>
      <c r="I336" s="45">
        <v>34.198312000000001</v>
      </c>
      <c r="J336" s="45">
        <v>-118.357404</v>
      </c>
      <c r="K336" s="45">
        <v>417.80808230000002</v>
      </c>
      <c r="L336" s="45">
        <v>289.17599999999999</v>
      </c>
      <c r="M336" s="45" t="s">
        <v>617</v>
      </c>
      <c r="N336" s="159">
        <v>5</v>
      </c>
      <c r="O336" s="159">
        <v>6</v>
      </c>
      <c r="P336" s="45" t="s">
        <v>565</v>
      </c>
      <c r="Q336" s="45" t="s">
        <v>564</v>
      </c>
      <c r="R336" s="45">
        <v>41.98028</v>
      </c>
      <c r="S336" s="45">
        <v>-87.908997900000003</v>
      </c>
      <c r="T336" s="45">
        <v>3477.645</v>
      </c>
      <c r="U336" s="45" t="s">
        <v>617</v>
      </c>
      <c r="V336" s="45" t="s">
        <v>569</v>
      </c>
      <c r="W336" s="45" cm="1">
        <f t="array" ref="W336">getDistance(R336,S336,I336,J336)*SA!$B$12</f>
        <v>2790.7541476573592</v>
      </c>
      <c r="Y336" s="16">
        <f>Transportation_LCIA!C$61*($W336^Transportation_LCIA!C$60)+Transportation_LCIA!C$62</f>
        <v>0.16415094208602343</v>
      </c>
      <c r="Z336" s="16">
        <f>Transportation_LCIA!D$61*($W336^Transportation_LCIA!D$60)+Transportation_LCIA!D$62</f>
        <v>1.6040137841734128</v>
      </c>
      <c r="AA336" s="16">
        <f>Transportation_LCIA!E$61*($W336^Transportation_LCIA!E$60)+Transportation_LCIA!E$62</f>
        <v>6.0703264998479057E-4</v>
      </c>
      <c r="AB336" s="16">
        <f>Transportation_LCIA!F$61*($W336^Transportation_LCIA!F$60)+Transportation_LCIA!F$62</f>
        <v>0.16415094208602343</v>
      </c>
      <c r="AC336" s="16">
        <f>Transportation_LCIA!G$61*($W336^Transportation_LCIA!G$60)+Transportation_LCIA!G$62</f>
        <v>3.766117612488866E-2</v>
      </c>
      <c r="AD336" s="16">
        <f>Transportation_LCIA!H$61*($W336^Transportation_LCIA!H$60)+Transportation_LCIA!H$62</f>
        <v>1.5989247087850008E-4</v>
      </c>
      <c r="AE336" s="16">
        <f>Transportation_LCIA!I$61*($W336^Transportation_LCIA!I$60)+Transportation_LCIA!I$62</f>
        <v>3.0263945870013352E-6</v>
      </c>
      <c r="AF336" s="16">
        <f>Transportation_LCIA!J$61*($W336^Transportation_LCIA!J$60)+Transportation_LCIA!J$62</f>
        <v>4.4994632561177195E-3</v>
      </c>
      <c r="AG336" s="16">
        <f>Transportation_LCIA!K$61*($W336^Transportation_LCIA!K$60)+Transportation_LCIA!K$62</f>
        <v>7.6580744113821306E-3</v>
      </c>
      <c r="AH336" s="16">
        <f>Transportation_LCIA!L$61*($W336^Transportation_LCIA!L$60)+Transportation_LCIA!L$62</f>
        <v>1.3292334881004532E-4</v>
      </c>
      <c r="AI336" s="16">
        <f>Transportation_LCIA!M$61*($W336^Transportation_LCIA!M$60)+Transportation_LCIA!M$62</f>
        <v>1.7912690739391247E-4</v>
      </c>
      <c r="AJ336" s="16">
        <f>Transportation_LCIA!N$61*($W336^Transportation_LCIA!N$60)+Transportation_LCIA!N$62</f>
        <v>5.9627273568366233E-4</v>
      </c>
      <c r="AK336" s="16">
        <f>Transportation_LCIA!O$61*($W336^Transportation_LCIA!O$60)+Transportation_LCIA!O$62</f>
        <v>3.9694434872682633E-5</v>
      </c>
      <c r="AL336" s="16">
        <f>Transportation_LCIA!P$61*($W336^Transportation_LCIA!P$60)+Transportation_LCIA!P$62</f>
        <v>1.9239782434370862E-8</v>
      </c>
      <c r="AM336" s="16">
        <f>Transportation_LCIA!Q$61*($W336^Transportation_LCIA!Q$60)+Transportation_LCIA!Q$62</f>
        <v>5.3241866869961461E-5</v>
      </c>
      <c r="AN336" s="16">
        <f>Transportation_LCIA!R$61*($W336^Transportation_LCIA!R$60)+Transportation_LCIA!R$62</f>
        <v>1.4602402362852521E-4</v>
      </c>
      <c r="AO336" s="16">
        <f>Transportation_LCIA!S$61*($W336^Transportation_LCIA!S$60)+Transportation_LCIA!S$62</f>
        <v>2.3283543908847741E-6</v>
      </c>
      <c r="AP336" s="16">
        <f>Transportation_LCIA!T$61*($W336^Transportation_LCIA!T$60)+Transportation_LCIA!T$62</f>
        <v>2.3283543908847741E-6</v>
      </c>
      <c r="AQ336" s="16">
        <f>Transportation_LCIA!U$61*($W336^Transportation_LCIA!U$60)+Transportation_LCIA!U$62</f>
        <v>3.0789592449214579E-4</v>
      </c>
      <c r="AR336" s="16">
        <f>Transportation_LCIA!V$61*($W336^Transportation_LCIA!V$60)+Transportation_LCIA!V$62</f>
        <v>1.387892043242952E-4</v>
      </c>
      <c r="AT336" s="16">
        <f>$W336*Y336+($L336)*Summary_LCIA!H$32</f>
        <v>556.36692726843285</v>
      </c>
      <c r="AU336" s="16">
        <f>$W336*Z336+($L336)*Summary_LCIA!Q$32</f>
        <v>5909.5789610947359</v>
      </c>
      <c r="AV336" s="16">
        <f>$W336*AA336+($L336)*Summary_LCIA!R$32</f>
        <v>3.2167640313084922</v>
      </c>
      <c r="AW336" s="16">
        <f>$W336*AB336+($L336)*Summary_LCIA!S$32</f>
        <v>555.08876934843283</v>
      </c>
      <c r="AX336" s="16">
        <f>$W336*AC336+($L336)*Summary_LCIA!T$32</f>
        <v>136.88352587618732</v>
      </c>
      <c r="AY336" s="16">
        <f>$W336*AD336+($L336)*Summary_LCIA!U$32</f>
        <v>5.6265194402833565</v>
      </c>
      <c r="AZ336" s="16">
        <f>$W336*AE336+($L336)*Summary_LCIA!V$32</f>
        <v>2.2257258182121757E-2</v>
      </c>
      <c r="BA336" s="16">
        <f>$W336*AF336+($L336)*Summary_LCIA!W$32</f>
        <v>34.815061640242412</v>
      </c>
      <c r="BB336" s="16">
        <f>$W336*AG336+($L336)*Summary_LCIA!X$32</f>
        <v>27.959232206633374</v>
      </c>
      <c r="BC336" s="16">
        <f>$W336*AH336+($L336)*Summary_LCIA!Y$32</f>
        <v>4.8768968190121402</v>
      </c>
      <c r="BD336" s="16">
        <f>$W336*AI336+($L336)*Summary_LCIA!Z$32</f>
        <v>0.51175797835059689</v>
      </c>
      <c r="BE336" s="16">
        <f>$W336*AJ336+($L336)*Summary_LCIA!AA$32</f>
        <v>8.4180452662441798</v>
      </c>
      <c r="BF336" s="16">
        <f>$W336*AK336+($L336)*Summary_LCIA!AB$32</f>
        <v>0.10446672091185398</v>
      </c>
      <c r="BG336" s="16">
        <f>$W336*AL336+($L336)*Summary_LCIA!AC$32</f>
        <v>6.7829582212745683E-5</v>
      </c>
      <c r="BH336" s="16">
        <f>$W336*AM336+($L336)*Summary_LCIA!AD$32</f>
        <v>0.26744786383636587</v>
      </c>
      <c r="BI336" s="16">
        <f>$W336*AN336+($L336)*Summary_LCIA!AE$32</f>
        <v>0.66376467847892295</v>
      </c>
      <c r="BJ336" s="16">
        <f>$W336*AO336+($L336)*Summary_LCIA!AF$32</f>
        <v>0.25097303859357789</v>
      </c>
      <c r="BK336" s="16">
        <f>$W336*AP336+($L336)*Summary_LCIA!AG$32</f>
        <v>2.1293554713577908E-2</v>
      </c>
      <c r="BL336" s="16">
        <f>$W336*AQ336+($L336)*Summary_LCIA!AH$32</f>
        <v>3.3761340619232527</v>
      </c>
      <c r="BM336" s="16">
        <f>$W336*AR336+($L336)*Summary_LCIA!AI$32</f>
        <v>0.65670845041809156</v>
      </c>
      <c r="BN336" s="16"/>
    </row>
    <row r="337" spans="1:66" x14ac:dyDescent="0.25">
      <c r="A337" s="159">
        <v>334</v>
      </c>
      <c r="B337" s="159">
        <v>6</v>
      </c>
      <c r="C337" s="45">
        <v>36.974117</v>
      </c>
      <c r="D337" s="45">
        <v>-122.030796</v>
      </c>
      <c r="E337" s="45" t="s">
        <v>265</v>
      </c>
      <c r="F337" s="159">
        <v>95</v>
      </c>
      <c r="G337" s="45" t="s">
        <v>723</v>
      </c>
      <c r="H337" s="45" t="s">
        <v>724</v>
      </c>
      <c r="I337" s="45">
        <v>37.363947000000003</v>
      </c>
      <c r="J337" s="45">
        <v>-121.928938</v>
      </c>
      <c r="K337" s="45">
        <v>85.919231850000003</v>
      </c>
      <c r="L337" s="45">
        <v>54.384999999999998</v>
      </c>
      <c r="M337" s="45" t="s">
        <v>617</v>
      </c>
      <c r="N337" s="159">
        <v>5</v>
      </c>
      <c r="O337" s="159">
        <v>6</v>
      </c>
      <c r="P337" s="45" t="s">
        <v>565</v>
      </c>
      <c r="Q337" s="45" t="s">
        <v>564</v>
      </c>
      <c r="R337" s="45">
        <v>41.98028</v>
      </c>
      <c r="S337" s="45">
        <v>-87.908997900000003</v>
      </c>
      <c r="T337" s="45">
        <v>3516.25</v>
      </c>
      <c r="U337" s="45" t="s">
        <v>617</v>
      </c>
      <c r="V337" s="45" t="s">
        <v>569</v>
      </c>
      <c r="W337" s="45" cm="1">
        <f t="array" ref="W337">getDistance(R337,S337,I337,J337)*SA!$B$12</f>
        <v>2943.9038691467049</v>
      </c>
      <c r="Y337" s="16">
        <f>Transportation_LCIA!C$61*($W337^Transportation_LCIA!C$60)+Transportation_LCIA!C$62</f>
        <v>0.16186004851259922</v>
      </c>
      <c r="Z337" s="16">
        <f>Transportation_LCIA!D$61*($W337^Transportation_LCIA!D$60)+Transportation_LCIA!D$62</f>
        <v>1.578478502254324</v>
      </c>
      <c r="AA337" s="16">
        <f>Transportation_LCIA!E$61*($W337^Transportation_LCIA!E$60)+Transportation_LCIA!E$62</f>
        <v>5.9045876502121812E-4</v>
      </c>
      <c r="AB337" s="16">
        <f>Transportation_LCIA!F$61*($W337^Transportation_LCIA!F$60)+Transportation_LCIA!F$62</f>
        <v>0.16186004851259922</v>
      </c>
      <c r="AC337" s="16">
        <f>Transportation_LCIA!G$61*($W337^Transportation_LCIA!G$60)+Transportation_LCIA!G$62</f>
        <v>3.7068814389818974E-2</v>
      </c>
      <c r="AD337" s="16">
        <f>Transportation_LCIA!H$61*($W337^Transportation_LCIA!H$60)+Transportation_LCIA!H$62</f>
        <v>1.563399144762241E-4</v>
      </c>
      <c r="AE337" s="16">
        <f>Transportation_LCIA!I$61*($W337^Transportation_LCIA!I$60)+Transportation_LCIA!I$62</f>
        <v>2.9405606900832309E-6</v>
      </c>
      <c r="AF337" s="16">
        <f>Transportation_LCIA!J$61*($W337^Transportation_LCIA!J$60)+Transportation_LCIA!J$62</f>
        <v>4.3750162198359869E-3</v>
      </c>
      <c r="AG337" s="16">
        <f>Transportation_LCIA!K$61*($W337^Transportation_LCIA!K$60)+Transportation_LCIA!K$62</f>
        <v>7.5229673286596188E-3</v>
      </c>
      <c r="AH337" s="16">
        <f>Transportation_LCIA!L$61*($W337^Transportation_LCIA!L$60)+Transportation_LCIA!L$62</f>
        <v>1.2969530173286459E-4</v>
      </c>
      <c r="AI337" s="16">
        <f>Transportation_LCIA!M$61*($W337^Transportation_LCIA!M$60)+Transportation_LCIA!M$62</f>
        <v>1.7716900384853829E-4</v>
      </c>
      <c r="AJ337" s="16">
        <f>Transportation_LCIA!N$61*($W337^Transportation_LCIA!N$60)+Transportation_LCIA!N$62</f>
        <v>5.8428942619230626E-4</v>
      </c>
      <c r="AK337" s="16">
        <f>Transportation_LCIA!O$61*($W337^Transportation_LCIA!O$60)+Transportation_LCIA!O$62</f>
        <v>3.9065767817665493E-5</v>
      </c>
      <c r="AL337" s="16">
        <f>Transportation_LCIA!P$61*($W337^Transportation_LCIA!P$60)+Transportation_LCIA!P$62</f>
        <v>1.8936492315207293E-8</v>
      </c>
      <c r="AM337" s="16">
        <f>Transportation_LCIA!Q$61*($W337^Transportation_LCIA!Q$60)+Transportation_LCIA!Q$62</f>
        <v>5.1987616755851843E-5</v>
      </c>
      <c r="AN337" s="16">
        <f>Transportation_LCIA!R$61*($W337^Transportation_LCIA!R$60)+Transportation_LCIA!R$62</f>
        <v>1.4191211470001826E-4</v>
      </c>
      <c r="AO337" s="16">
        <f>Transportation_LCIA!S$61*($W337^Transportation_LCIA!S$60)+Transportation_LCIA!S$62</f>
        <v>2.2698903334971237E-6</v>
      </c>
      <c r="AP337" s="16">
        <f>Transportation_LCIA!T$61*($W337^Transportation_LCIA!T$60)+Transportation_LCIA!T$62</f>
        <v>2.2698903334971237E-6</v>
      </c>
      <c r="AQ337" s="16">
        <f>Transportation_LCIA!U$61*($W337^Transportation_LCIA!U$60)+Transportation_LCIA!U$62</f>
        <v>2.9894837268803142E-4</v>
      </c>
      <c r="AR337" s="16">
        <f>Transportation_LCIA!V$61*($W337^Transportation_LCIA!V$60)+Transportation_LCIA!V$62</f>
        <v>1.3555266481207935E-4</v>
      </c>
      <c r="AT337" s="16">
        <f>$W337*Y337+($L337)*Summary_LCIA!H$32</f>
        <v>494.98044607651423</v>
      </c>
      <c r="AU337" s="16">
        <f>$W337*Z337+($L337)*Summary_LCIA!Q$32</f>
        <v>4916.4237729501046</v>
      </c>
      <c r="AV337" s="16">
        <f>$W337*AA337+($L337)*Summary_LCIA!R$32</f>
        <v>2.0246234989175491</v>
      </c>
      <c r="AW337" s="16">
        <f>$W337*AB337+($L337)*Summary_LCIA!S$32</f>
        <v>494.74006437651423</v>
      </c>
      <c r="AX337" s="16">
        <f>$W337*AC337+($L337)*Summary_LCIA!T$32</f>
        <v>115.10393760686912</v>
      </c>
      <c r="AY337" s="16">
        <f>$W337*AD337+($L337)*Summary_LCIA!U$32</f>
        <v>1.4345025691286211</v>
      </c>
      <c r="AZ337" s="16">
        <f>$W337*AE337+($L337)*Summary_LCIA!V$32</f>
        <v>1.1254209977996728E-2</v>
      </c>
      <c r="BA337" s="16">
        <f>$W337*AF337+($L337)*Summary_LCIA!W$32</f>
        <v>17.065695012154752</v>
      </c>
      <c r="BB337" s="16">
        <f>$W337*AG337+($L337)*Summary_LCIA!X$32</f>
        <v>23.385782926305303</v>
      </c>
      <c r="BC337" s="16">
        <f>$W337*AH337+($L337)*Summary_LCIA!Y$32</f>
        <v>1.2292375705815293</v>
      </c>
      <c r="BD337" s="16">
        <f>$W337*AI337+($L337)*Summary_LCIA!Z$32</f>
        <v>0.52379879038757937</v>
      </c>
      <c r="BE337" s="16">
        <f>$W337*AJ337+($L337)*Summary_LCIA!AA$32</f>
        <v>2.9903079624690383</v>
      </c>
      <c r="BF337" s="16">
        <f>$W337*AK337+($L337)*Summary_LCIA!AB$32</f>
        <v>0.11381902117461228</v>
      </c>
      <c r="BG337" s="16">
        <f>$W337*AL337+($L337)*Summary_LCIA!AC$32</f>
        <v>5.8405769334805599E-5</v>
      </c>
      <c r="BH337" s="16">
        <f>$W337*AM337+($L337)*Summary_LCIA!AD$32</f>
        <v>0.1754009565152683</v>
      </c>
      <c r="BI337" s="16">
        <f>$W337*AN337+($L337)*Summary_LCIA!AE$32</f>
        <v>0.46596780359417472</v>
      </c>
      <c r="BJ337" s="16">
        <f>$W337*AO337+($L337)*Summary_LCIA!AF$32</f>
        <v>5.2660505635320889E-2</v>
      </c>
      <c r="BK337" s="16">
        <f>$W337*AP337+($L337)*Summary_LCIA!AG$32</f>
        <v>9.4649474603208869E-3</v>
      </c>
      <c r="BL337" s="16">
        <f>$W337*AQ337+($L337)*Summary_LCIA!AH$32</f>
        <v>1.3534205570314068</v>
      </c>
      <c r="BM337" s="16">
        <f>$W337*AR337+($L337)*Summary_LCIA!AI$32</f>
        <v>0.44971636116342678</v>
      </c>
      <c r="BN337" s="16"/>
    </row>
    <row r="338" spans="1:66" x14ac:dyDescent="0.25">
      <c r="A338" s="159">
        <v>366</v>
      </c>
      <c r="B338" s="159">
        <v>6</v>
      </c>
      <c r="C338" s="45">
        <v>49.261045000000003</v>
      </c>
      <c r="D338" s="45">
        <v>-123.248794</v>
      </c>
      <c r="E338" s="45" t="s">
        <v>459</v>
      </c>
      <c r="F338" s="159">
        <v>123</v>
      </c>
      <c r="G338" s="45" t="s">
        <v>728</v>
      </c>
      <c r="H338" s="45" t="s">
        <v>729</v>
      </c>
      <c r="I338" s="45">
        <v>49.196691000000001</v>
      </c>
      <c r="J338" s="45">
        <v>-123.181512</v>
      </c>
      <c r="K338" s="45">
        <v>17.860732670000001</v>
      </c>
      <c r="L338" s="45">
        <v>15.871</v>
      </c>
      <c r="M338" s="45" t="s">
        <v>617</v>
      </c>
      <c r="N338" s="159">
        <v>5</v>
      </c>
      <c r="O338" s="159">
        <v>6</v>
      </c>
      <c r="P338" s="45" t="s">
        <v>565</v>
      </c>
      <c r="Q338" s="45" t="s">
        <v>564</v>
      </c>
      <c r="R338" s="45">
        <v>41.98028</v>
      </c>
      <c r="S338" s="45">
        <v>-87.908997900000003</v>
      </c>
      <c r="T338" s="45">
        <v>3520.4009999999998</v>
      </c>
      <c r="U338" s="45" t="s">
        <v>617</v>
      </c>
      <c r="V338" s="45" t="s">
        <v>569</v>
      </c>
      <c r="W338" s="45" cm="1">
        <f t="array" ref="W338">getDistance(R338,S338,I338,J338)*SA!$B$12</f>
        <v>2838.5465962750654</v>
      </c>
      <c r="Y338" s="16">
        <f>Transportation_LCIA!C$61*($W338^Transportation_LCIA!C$60)+Transportation_LCIA!C$62</f>
        <v>0.16341165396982271</v>
      </c>
      <c r="Z338" s="16">
        <f>Transportation_LCIA!D$61*($W338^Transportation_LCIA!D$60)+Transportation_LCIA!D$62</f>
        <v>1.595766906045522</v>
      </c>
      <c r="AA338" s="16">
        <f>Transportation_LCIA!E$61*($W338^Transportation_LCIA!E$60)+Transportation_LCIA!E$62</f>
        <v>6.0167876805224032E-4</v>
      </c>
      <c r="AB338" s="16">
        <f>Transportation_LCIA!F$61*($W338^Transportation_LCIA!F$60)+Transportation_LCIA!F$62</f>
        <v>0.16341165396982271</v>
      </c>
      <c r="AC338" s="16">
        <f>Transportation_LCIA!G$61*($W338^Transportation_LCIA!G$60)+Transportation_LCIA!G$62</f>
        <v>3.7469875633516794E-2</v>
      </c>
      <c r="AD338" s="16">
        <f>Transportation_LCIA!H$61*($W338^Transportation_LCIA!H$60)+Transportation_LCIA!H$62</f>
        <v>1.5874438556661178E-4</v>
      </c>
      <c r="AE338" s="16">
        <f>Transportation_LCIA!I$61*($W338^Transportation_LCIA!I$60)+Transportation_LCIA!I$62</f>
        <v>2.9986360972356475E-6</v>
      </c>
      <c r="AF338" s="16">
        <f>Transportation_LCIA!J$61*($W338^Transportation_LCIA!J$60)+Transportation_LCIA!J$62</f>
        <v>4.459198972211878E-3</v>
      </c>
      <c r="AG338" s="16">
        <f>Transportation_LCIA!K$61*($W338^Transportation_LCIA!K$60)+Transportation_LCIA!K$62</f>
        <v>7.6144249431488262E-3</v>
      </c>
      <c r="AH338" s="16">
        <f>Transportation_LCIA!L$61*($W338^Transportation_LCIA!L$60)+Transportation_LCIA!L$62</f>
        <v>1.318799278188965E-4</v>
      </c>
      <c r="AI338" s="16">
        <f>Transportation_LCIA!M$61*($W338^Transportation_LCIA!M$60)+Transportation_LCIA!M$62</f>
        <v>1.7849415361049055E-4</v>
      </c>
      <c r="AJ338" s="16">
        <f>Transportation_LCIA!N$61*($W338^Transportation_LCIA!N$60)+Transportation_LCIA!N$62</f>
        <v>5.9240028582074541E-4</v>
      </c>
      <c r="AK338" s="16">
        <f>Transportation_LCIA!O$61*($W338^Transportation_LCIA!O$60)+Transportation_LCIA!O$62</f>
        <v>3.9491405377574545E-5</v>
      </c>
      <c r="AL338" s="16">
        <f>Transportation_LCIA!P$61*($W338^Transportation_LCIA!P$60)+Transportation_LCIA!P$62</f>
        <v>1.9141839884955845E-8</v>
      </c>
      <c r="AM338" s="16">
        <f>Transportation_LCIA!Q$61*($W338^Transportation_LCIA!Q$60)+Transportation_LCIA!Q$62</f>
        <v>5.2836404600946049E-5</v>
      </c>
      <c r="AN338" s="16">
        <f>Transportation_LCIA!R$61*($W338^Transportation_LCIA!R$60)+Transportation_LCIA!R$62</f>
        <v>1.4469421902878936E-4</v>
      </c>
      <c r="AO338" s="16">
        <f>Transportation_LCIA!S$61*($W338^Transportation_LCIA!S$60)+Transportation_LCIA!S$62</f>
        <v>2.3094475183684916E-6</v>
      </c>
      <c r="AP338" s="16">
        <f>Transportation_LCIA!T$61*($W338^Transportation_LCIA!T$60)+Transportation_LCIA!T$62</f>
        <v>2.3094475183684916E-6</v>
      </c>
      <c r="AQ338" s="16">
        <f>Transportation_LCIA!U$61*($W338^Transportation_LCIA!U$60)+Transportation_LCIA!U$62</f>
        <v>3.0500187351507977E-4</v>
      </c>
      <c r="AR338" s="16">
        <f>Transportation_LCIA!V$61*($W338^Transportation_LCIA!V$60)+Transportation_LCIA!V$62</f>
        <v>1.3774278127999306E-4</v>
      </c>
      <c r="AT338" s="16">
        <f>$W338*Y338+($L338)*Summary_LCIA!H$32</f>
        <v>469.24455996771906</v>
      </c>
      <c r="AU338" s="16">
        <f>$W338*Z338+($L338)*Summary_LCIA!Q$32</f>
        <v>4608.3161960260513</v>
      </c>
      <c r="AV338" s="16">
        <f>$W338*AA338+($L338)*Summary_LCIA!R$32</f>
        <v>1.7914635567056614</v>
      </c>
      <c r="AW338" s="16">
        <f>$W338*AB338+($L338)*Summary_LCIA!S$32</f>
        <v>469.17441014771902</v>
      </c>
      <c r="AX338" s="16">
        <f>$W338*AC338+($L338)*Summary_LCIA!T$32</f>
        <v>108.1042108423691</v>
      </c>
      <c r="AY338" s="16">
        <f>$W338*AD338+($L338)*Summary_LCIA!U$32</f>
        <v>0.73491642932788248</v>
      </c>
      <c r="AZ338" s="16">
        <f>$W338*AE338+($L338)*Summary_LCIA!V$32</f>
        <v>9.2697831182757921E-3</v>
      </c>
      <c r="BA338" s="16">
        <f>$W338*AF338+($L338)*Summary_LCIA!W$32</f>
        <v>13.879250805685297</v>
      </c>
      <c r="BB338" s="16">
        <f>$W338*AG338+($L338)*Summary_LCIA!X$32</f>
        <v>21.975441384967059</v>
      </c>
      <c r="BC338" s="16">
        <f>$W338*AH338+($L338)*Summary_LCIA!Y$32</f>
        <v>0.62164924222732998</v>
      </c>
      <c r="BD338" s="16">
        <f>$W338*AI338+($L338)*Summary_LCIA!Z$32</f>
        <v>0.50731482602505662</v>
      </c>
      <c r="BE338" s="16">
        <f>$W338*AJ338+($L338)*Summary_LCIA!AA$32</f>
        <v>2.0522388909488529</v>
      </c>
      <c r="BF338" s="16">
        <f>$W338*AK338+($L338)*Summary_LCIA!AB$32</f>
        <v>0.11175184148363304</v>
      </c>
      <c r="BG338" s="16">
        <f>$W338*AL338+($L338)*Summary_LCIA!AC$32</f>
        <v>5.5110842415883706E-5</v>
      </c>
      <c r="BH338" s="16">
        <f>$W338*AM338+($L338)*Summary_LCIA!AD$32</f>
        <v>0.15650221227942762</v>
      </c>
      <c r="BI338" s="16">
        <f>$W338*AN338+($L338)*Summary_LCIA!AE$32</f>
        <v>0.42478505215484885</v>
      </c>
      <c r="BJ338" s="16">
        <f>$W338*AO338+($L338)*Summary_LCIA!AF$32</f>
        <v>1.997313521254078E-2</v>
      </c>
      <c r="BK338" s="16">
        <f>$W338*AP338+($L338)*Summary_LCIA!AG$32</f>
        <v>7.3675141075407787E-3</v>
      </c>
      <c r="BL338" s="16">
        <f>$W338*AQ338+($L338)*Summary_LCIA!AH$32</f>
        <v>1.0038968655237477</v>
      </c>
      <c r="BM338" s="16">
        <f>$W338*AR338+($L338)*Summary_LCIA!AI$32</f>
        <v>0.40577393301378512</v>
      </c>
      <c r="BN338" s="16"/>
    </row>
    <row r="339" spans="1:66" x14ac:dyDescent="0.25">
      <c r="A339" s="159">
        <v>367</v>
      </c>
      <c r="B339" s="159">
        <v>6</v>
      </c>
      <c r="C339" s="45">
        <v>49.261045000000003</v>
      </c>
      <c r="D339" s="45">
        <v>-123.248794</v>
      </c>
      <c r="E339" s="45" t="s">
        <v>459</v>
      </c>
      <c r="F339" s="159">
        <v>123</v>
      </c>
      <c r="G339" s="45" t="s">
        <v>728</v>
      </c>
      <c r="H339" s="45" t="s">
        <v>729</v>
      </c>
      <c r="I339" s="45">
        <v>49.196691000000001</v>
      </c>
      <c r="J339" s="45">
        <v>-123.181512</v>
      </c>
      <c r="K339" s="45">
        <v>17.860732670000001</v>
      </c>
      <c r="L339" s="45">
        <v>15.871</v>
      </c>
      <c r="M339" s="45" t="s">
        <v>617</v>
      </c>
      <c r="N339" s="159">
        <v>5</v>
      </c>
      <c r="O339" s="159">
        <v>6</v>
      </c>
      <c r="P339" s="45" t="s">
        <v>565</v>
      </c>
      <c r="Q339" s="45" t="s">
        <v>564</v>
      </c>
      <c r="R339" s="45">
        <v>41.98028</v>
      </c>
      <c r="S339" s="45">
        <v>-87.908997900000003</v>
      </c>
      <c r="T339" s="45">
        <v>3520.4009999999998</v>
      </c>
      <c r="U339" s="45" t="s">
        <v>617</v>
      </c>
      <c r="V339" s="45" t="s">
        <v>569</v>
      </c>
      <c r="W339" s="45" cm="1">
        <f t="array" ref="W339">getDistance(R339,S339,I339,J339)*SA!$B$12</f>
        <v>2838.5465962750654</v>
      </c>
      <c r="Y339" s="16">
        <f>Transportation_LCIA!C$61*($W339^Transportation_LCIA!C$60)+Transportation_LCIA!C$62</f>
        <v>0.16341165396982271</v>
      </c>
      <c r="Z339" s="16">
        <f>Transportation_LCIA!D$61*($W339^Transportation_LCIA!D$60)+Transportation_LCIA!D$62</f>
        <v>1.595766906045522</v>
      </c>
      <c r="AA339" s="16">
        <f>Transportation_LCIA!E$61*($W339^Transportation_LCIA!E$60)+Transportation_LCIA!E$62</f>
        <v>6.0167876805224032E-4</v>
      </c>
      <c r="AB339" s="16">
        <f>Transportation_LCIA!F$61*($W339^Transportation_LCIA!F$60)+Transportation_LCIA!F$62</f>
        <v>0.16341165396982271</v>
      </c>
      <c r="AC339" s="16">
        <f>Transportation_LCIA!G$61*($W339^Transportation_LCIA!G$60)+Transportation_LCIA!G$62</f>
        <v>3.7469875633516794E-2</v>
      </c>
      <c r="AD339" s="16">
        <f>Transportation_LCIA!H$61*($W339^Transportation_LCIA!H$60)+Transportation_LCIA!H$62</f>
        <v>1.5874438556661178E-4</v>
      </c>
      <c r="AE339" s="16">
        <f>Transportation_LCIA!I$61*($W339^Transportation_LCIA!I$60)+Transportation_LCIA!I$62</f>
        <v>2.9986360972356475E-6</v>
      </c>
      <c r="AF339" s="16">
        <f>Transportation_LCIA!J$61*($W339^Transportation_LCIA!J$60)+Transportation_LCIA!J$62</f>
        <v>4.459198972211878E-3</v>
      </c>
      <c r="AG339" s="16">
        <f>Transportation_LCIA!K$61*($W339^Transportation_LCIA!K$60)+Transportation_LCIA!K$62</f>
        <v>7.6144249431488262E-3</v>
      </c>
      <c r="AH339" s="16">
        <f>Transportation_LCIA!L$61*($W339^Transportation_LCIA!L$60)+Transportation_LCIA!L$62</f>
        <v>1.318799278188965E-4</v>
      </c>
      <c r="AI339" s="16">
        <f>Transportation_LCIA!M$61*($W339^Transportation_LCIA!M$60)+Transportation_LCIA!M$62</f>
        <v>1.7849415361049055E-4</v>
      </c>
      <c r="AJ339" s="16">
        <f>Transportation_LCIA!N$61*($W339^Transportation_LCIA!N$60)+Transportation_LCIA!N$62</f>
        <v>5.9240028582074541E-4</v>
      </c>
      <c r="AK339" s="16">
        <f>Transportation_LCIA!O$61*($W339^Transportation_LCIA!O$60)+Transportation_LCIA!O$62</f>
        <v>3.9491405377574545E-5</v>
      </c>
      <c r="AL339" s="16">
        <f>Transportation_LCIA!P$61*($W339^Transportation_LCIA!P$60)+Transportation_LCIA!P$62</f>
        <v>1.9141839884955845E-8</v>
      </c>
      <c r="AM339" s="16">
        <f>Transportation_LCIA!Q$61*($W339^Transportation_LCIA!Q$60)+Transportation_LCIA!Q$62</f>
        <v>5.2836404600946049E-5</v>
      </c>
      <c r="AN339" s="16">
        <f>Transportation_LCIA!R$61*($W339^Transportation_LCIA!R$60)+Transportation_LCIA!R$62</f>
        <v>1.4469421902878936E-4</v>
      </c>
      <c r="AO339" s="16">
        <f>Transportation_LCIA!S$61*($W339^Transportation_LCIA!S$60)+Transportation_LCIA!S$62</f>
        <v>2.3094475183684916E-6</v>
      </c>
      <c r="AP339" s="16">
        <f>Transportation_LCIA!T$61*($W339^Transportation_LCIA!T$60)+Transportation_LCIA!T$62</f>
        <v>2.3094475183684916E-6</v>
      </c>
      <c r="AQ339" s="16">
        <f>Transportation_LCIA!U$61*($W339^Transportation_LCIA!U$60)+Transportation_LCIA!U$62</f>
        <v>3.0500187351507977E-4</v>
      </c>
      <c r="AR339" s="16">
        <f>Transportation_LCIA!V$61*($W339^Transportation_LCIA!V$60)+Transportation_LCIA!V$62</f>
        <v>1.3774278127999306E-4</v>
      </c>
      <c r="AT339" s="16">
        <f>$W339*Y339+($L339)*Summary_LCIA!H$32</f>
        <v>469.24455996771906</v>
      </c>
      <c r="AU339" s="16">
        <f>$W339*Z339+($L339)*Summary_LCIA!Q$32</f>
        <v>4608.3161960260513</v>
      </c>
      <c r="AV339" s="16">
        <f>$W339*AA339+($L339)*Summary_LCIA!R$32</f>
        <v>1.7914635567056614</v>
      </c>
      <c r="AW339" s="16">
        <f>$W339*AB339+($L339)*Summary_LCIA!S$32</f>
        <v>469.17441014771902</v>
      </c>
      <c r="AX339" s="16">
        <f>$W339*AC339+($L339)*Summary_LCIA!T$32</f>
        <v>108.1042108423691</v>
      </c>
      <c r="AY339" s="16">
        <f>$W339*AD339+($L339)*Summary_LCIA!U$32</f>
        <v>0.73491642932788248</v>
      </c>
      <c r="AZ339" s="16">
        <f>$W339*AE339+($L339)*Summary_LCIA!V$32</f>
        <v>9.2697831182757921E-3</v>
      </c>
      <c r="BA339" s="16">
        <f>$W339*AF339+($L339)*Summary_LCIA!W$32</f>
        <v>13.879250805685297</v>
      </c>
      <c r="BB339" s="16">
        <f>$W339*AG339+($L339)*Summary_LCIA!X$32</f>
        <v>21.975441384967059</v>
      </c>
      <c r="BC339" s="16">
        <f>$W339*AH339+($L339)*Summary_LCIA!Y$32</f>
        <v>0.62164924222732998</v>
      </c>
      <c r="BD339" s="16">
        <f>$W339*AI339+($L339)*Summary_LCIA!Z$32</f>
        <v>0.50731482602505662</v>
      </c>
      <c r="BE339" s="16">
        <f>$W339*AJ339+($L339)*Summary_LCIA!AA$32</f>
        <v>2.0522388909488529</v>
      </c>
      <c r="BF339" s="16">
        <f>$W339*AK339+($L339)*Summary_LCIA!AB$32</f>
        <v>0.11175184148363304</v>
      </c>
      <c r="BG339" s="16">
        <f>$W339*AL339+($L339)*Summary_LCIA!AC$32</f>
        <v>5.5110842415883706E-5</v>
      </c>
      <c r="BH339" s="16">
        <f>$W339*AM339+($L339)*Summary_LCIA!AD$32</f>
        <v>0.15650221227942762</v>
      </c>
      <c r="BI339" s="16">
        <f>$W339*AN339+($L339)*Summary_LCIA!AE$32</f>
        <v>0.42478505215484885</v>
      </c>
      <c r="BJ339" s="16">
        <f>$W339*AO339+($L339)*Summary_LCIA!AF$32</f>
        <v>1.997313521254078E-2</v>
      </c>
      <c r="BK339" s="16">
        <f>$W339*AP339+($L339)*Summary_LCIA!AG$32</f>
        <v>7.3675141075407787E-3</v>
      </c>
      <c r="BL339" s="16">
        <f>$W339*AQ339+($L339)*Summary_LCIA!AH$32</f>
        <v>1.0038968655237477</v>
      </c>
      <c r="BM339" s="16">
        <f>$W339*AR339+($L339)*Summary_LCIA!AI$32</f>
        <v>0.40577393301378512</v>
      </c>
      <c r="BN339" s="16"/>
    </row>
    <row r="340" spans="1:66" x14ac:dyDescent="0.25">
      <c r="A340" s="159">
        <v>182</v>
      </c>
      <c r="B340" s="159">
        <v>6</v>
      </c>
      <c r="C340" s="45">
        <v>9.8572469999999992</v>
      </c>
      <c r="D340" s="45">
        <v>-83.912312999999997</v>
      </c>
      <c r="E340" s="45" t="s">
        <v>467</v>
      </c>
      <c r="F340" s="159">
        <v>33</v>
      </c>
      <c r="G340" s="45" t="s">
        <v>691</v>
      </c>
      <c r="H340" s="45" t="s">
        <v>692</v>
      </c>
      <c r="I340" s="45">
        <v>9.7998569999999994</v>
      </c>
      <c r="J340" s="45">
        <v>-84.044955999999999</v>
      </c>
      <c r="K340" s="45">
        <v>2361.9992550000002</v>
      </c>
      <c r="L340" s="45">
        <v>21.867999999999999</v>
      </c>
      <c r="M340" s="45" t="s">
        <v>617</v>
      </c>
      <c r="N340" s="159">
        <v>5</v>
      </c>
      <c r="O340" s="159">
        <v>6</v>
      </c>
      <c r="P340" s="45" t="s">
        <v>565</v>
      </c>
      <c r="Q340" s="45" t="s">
        <v>564</v>
      </c>
      <c r="R340" s="45">
        <v>41.98028</v>
      </c>
      <c r="S340" s="45">
        <v>-87.908997900000003</v>
      </c>
      <c r="T340" s="45">
        <v>5603.69</v>
      </c>
      <c r="U340" s="45" t="s">
        <v>617</v>
      </c>
      <c r="V340" s="45" t="s">
        <v>569</v>
      </c>
      <c r="W340" s="45" cm="1">
        <f t="array" ref="W340">getDistance(R340,S340,I340,J340)*SA!$B$12</f>
        <v>3595.2058790218221</v>
      </c>
      <c r="Y340" s="16">
        <f>Transportation_LCIA!C$61*($W340^Transportation_LCIA!C$60)+Transportation_LCIA!C$62</f>
        <v>0.15414505284652216</v>
      </c>
      <c r="Z340" s="16">
        <f>Transportation_LCIA!D$61*($W340^Transportation_LCIA!D$60)+Transportation_LCIA!D$62</f>
        <v>1.4929455068291377</v>
      </c>
      <c r="AA340" s="16">
        <f>Transportation_LCIA!E$61*($W340^Transportation_LCIA!E$60)+Transportation_LCIA!E$62</f>
        <v>5.3502673063546779E-4</v>
      </c>
      <c r="AB340" s="16">
        <f>Transportation_LCIA!F$61*($W340^Transportation_LCIA!F$60)+Transportation_LCIA!F$62</f>
        <v>0.15414505284652216</v>
      </c>
      <c r="AC340" s="16">
        <f>Transportation_LCIA!G$61*($W340^Transportation_LCIA!G$60)+Transportation_LCIA!G$62</f>
        <v>3.5084016492273155E-2</v>
      </c>
      <c r="AD340" s="16">
        <f>Transportation_LCIA!H$61*($W340^Transportation_LCIA!H$60)+Transportation_LCIA!H$62</f>
        <v>1.4449365736565731E-4</v>
      </c>
      <c r="AE340" s="16">
        <f>Transportation_LCIA!I$61*($W340^Transportation_LCIA!I$60)+Transportation_LCIA!I$62</f>
        <v>2.6557129612621738E-6</v>
      </c>
      <c r="AF340" s="16">
        <f>Transportation_LCIA!J$61*($W340^Transportation_LCIA!J$60)+Transportation_LCIA!J$62</f>
        <v>3.9633202569427581E-3</v>
      </c>
      <c r="AG340" s="16">
        <f>Transportation_LCIA!K$61*($W340^Transportation_LCIA!K$60)+Transportation_LCIA!K$62</f>
        <v>7.0714989525552229E-3</v>
      </c>
      <c r="AH340" s="16">
        <f>Transportation_LCIA!L$61*($W340^Transportation_LCIA!L$60)+Transportation_LCIA!L$62</f>
        <v>1.1894586386528629E-4</v>
      </c>
      <c r="AI340" s="16">
        <f>Transportation_LCIA!M$61*($W340^Transportation_LCIA!M$60)+Transportation_LCIA!M$62</f>
        <v>1.7064129360991036E-4</v>
      </c>
      <c r="AJ340" s="16">
        <f>Transportation_LCIA!N$61*($W340^Transportation_LCIA!N$60)+Transportation_LCIA!N$62</f>
        <v>5.4431494539880043E-4</v>
      </c>
      <c r="AK340" s="16">
        <f>Transportation_LCIA!O$61*($W340^Transportation_LCIA!O$60)+Transportation_LCIA!O$62</f>
        <v>3.6959634835137661E-5</v>
      </c>
      <c r="AL340" s="16">
        <f>Transportation_LCIA!P$61*($W340^Transportation_LCIA!P$60)+Transportation_LCIA!P$62</f>
        <v>1.7920016293016641E-8</v>
      </c>
      <c r="AM340" s="16">
        <f>Transportation_LCIA!Q$61*($W340^Transportation_LCIA!Q$60)+Transportation_LCIA!Q$62</f>
        <v>4.7814023487817716E-5</v>
      </c>
      <c r="AN340" s="16">
        <f>Transportation_LCIA!R$61*($W340^Transportation_LCIA!R$60)+Transportation_LCIA!R$62</f>
        <v>1.2826794751491304E-4</v>
      </c>
      <c r="AO340" s="16">
        <f>Transportation_LCIA!S$61*($W340^Transportation_LCIA!S$60)+Transportation_LCIA!S$62</f>
        <v>2.0758527503304824E-6</v>
      </c>
      <c r="AP340" s="16">
        <f>Transportation_LCIA!T$61*($W340^Transportation_LCIA!T$60)+Transportation_LCIA!T$62</f>
        <v>2.0758527503304824E-6</v>
      </c>
      <c r="AQ340" s="16">
        <f>Transportation_LCIA!U$61*($W340^Transportation_LCIA!U$60)+Transportation_LCIA!U$62</f>
        <v>2.6928556231917893E-4</v>
      </c>
      <c r="AR340" s="16">
        <f>Transportation_LCIA!V$61*($W340^Transportation_LCIA!V$60)+Transportation_LCIA!V$62</f>
        <v>1.247931095963834E-4</v>
      </c>
      <c r="AT340" s="16">
        <f>$W340*Y340+($L340)*Summary_LCIA!H$32</f>
        <v>561.61394661594591</v>
      </c>
      <c r="AU340" s="16">
        <f>$W340*Z340+($L340)*Summary_LCIA!Q$32</f>
        <v>5475.8253740801738</v>
      </c>
      <c r="AV340" s="16">
        <f>$W340*AA340+($L340)*Summary_LCIA!R$32</f>
        <v>2.0386793882144585</v>
      </c>
      <c r="AW340" s="16">
        <f>$W340*AB340+($L340)*Summary_LCIA!S$32</f>
        <v>561.51729005594598</v>
      </c>
      <c r="AX340" s="16">
        <f>$W340*AC340+($L340)*Summary_LCIA!T$32</f>
        <v>128.537555552719</v>
      </c>
      <c r="AY340" s="16">
        <f>$W340*AD340+($L340)*Summary_LCIA!U$32</f>
        <v>0.911227798442376</v>
      </c>
      <c r="AZ340" s="16">
        <f>$W340*AE340+($L340)*Summary_LCIA!V$32</f>
        <v>1.0592272399324219E-2</v>
      </c>
      <c r="BA340" s="16">
        <f>$W340*AF340+($L340)*Summary_LCIA!W$32</f>
        <v>15.932154116206881</v>
      </c>
      <c r="BB340" s="16">
        <f>$W340*AG340+($L340)*Summary_LCIA!X$32</f>
        <v>25.921647647723191</v>
      </c>
      <c r="BC340" s="16">
        <f>$W340*AH340+($L340)*Summary_LCIA!Y$32</f>
        <v>0.76838204505380658</v>
      </c>
      <c r="BD340" s="16">
        <f>$W340*AI340+($L340)*Summary_LCIA!Z$32</f>
        <v>0.6143873668022386</v>
      </c>
      <c r="BE340" s="16">
        <f>$W340*AJ340+($L340)*Summary_LCIA!AA$32</f>
        <v>2.4676732997372093</v>
      </c>
      <c r="BF340" s="16">
        <f>$W340*AK340+($L340)*Summary_LCIA!AB$32</f>
        <v>0.13240027108178665</v>
      </c>
      <c r="BG340" s="16">
        <f>$W340*AL340+($L340)*Summary_LCIA!AC$32</f>
        <v>6.5495143240820269E-5</v>
      </c>
      <c r="BH340" s="16">
        <f>$W340*AM340+($L340)*Summary_LCIA!AD$32</f>
        <v>0.18088988106308973</v>
      </c>
      <c r="BI340" s="16">
        <f>$W340*AN340+($L340)*Summary_LCIA!AE$32</f>
        <v>0.4805275698356779</v>
      </c>
      <c r="BJ340" s="16">
        <f>$W340*AO340+($L340)*Summary_LCIA!AF$32</f>
        <v>2.5950762571971767E-2</v>
      </c>
      <c r="BK340" s="16">
        <f>$W340*AP340+($L340)*Summary_LCIA!AG$32</f>
        <v>8.581994231971769E-3</v>
      </c>
      <c r="BL340" s="16">
        <f>$W340*AQ340+($L340)*Summary_LCIA!AH$32</f>
        <v>1.1584673615856094</v>
      </c>
      <c r="BM340" s="16">
        <f>$W340*AR340+($L340)*Summary_LCIA!AI$32</f>
        <v>0.46902805668233216</v>
      </c>
      <c r="BN340" s="16"/>
    </row>
    <row r="341" spans="1:66" x14ac:dyDescent="0.25">
      <c r="A341" s="159">
        <v>3</v>
      </c>
      <c r="B341" s="159">
        <v>6</v>
      </c>
      <c r="C341" s="45">
        <v>35.597613000000003</v>
      </c>
      <c r="D341" s="45">
        <v>139.65054000000001</v>
      </c>
      <c r="E341" s="45" t="s">
        <v>272</v>
      </c>
      <c r="F341" s="159">
        <v>5</v>
      </c>
      <c r="G341" s="45" t="s">
        <v>620</v>
      </c>
      <c r="H341" s="45" t="s">
        <v>621</v>
      </c>
      <c r="I341" s="45">
        <v>35.549393000000002</v>
      </c>
      <c r="J341" s="45">
        <v>139.77983900000001</v>
      </c>
      <c r="K341" s="45">
        <v>14.24610406</v>
      </c>
      <c r="L341" s="45">
        <v>17.181999999999999</v>
      </c>
      <c r="M341" s="61" t="s">
        <v>617</v>
      </c>
      <c r="N341" s="159">
        <v>5</v>
      </c>
      <c r="O341" s="159">
        <v>6</v>
      </c>
      <c r="P341" s="45" t="s">
        <v>565</v>
      </c>
      <c r="Q341" s="45" t="s">
        <v>564</v>
      </c>
      <c r="R341" s="45">
        <v>41.98028</v>
      </c>
      <c r="S341" s="45">
        <v>-87.908997900000003</v>
      </c>
      <c r="T341" s="45"/>
      <c r="U341" s="45" t="s">
        <v>622</v>
      </c>
      <c r="V341" s="45" t="s">
        <v>569</v>
      </c>
      <c r="W341" s="45" cm="1">
        <f t="array" ref="W341">getDistance(R341,S341,I341,J341)*SA!$B$12</f>
        <v>10152.134638067957</v>
      </c>
      <c r="Y341" s="16">
        <f>Transportation_LCIA!C$61*($W341^Transportation_LCIA!C$60)+Transportation_LCIA!C$62</f>
        <v>0.12957131632566168</v>
      </c>
      <c r="Z341" s="16">
        <f>Transportation_LCIA!D$61*($W341^Transportation_LCIA!D$60)+Transportation_LCIA!D$62</f>
        <v>1.2268837089656575</v>
      </c>
      <c r="AA341" s="16">
        <f>Transportation_LCIA!E$61*($W341^Transportation_LCIA!E$60)+Transportation_LCIA!E$62</f>
        <v>3.6373713174750233E-4</v>
      </c>
      <c r="AB341" s="16">
        <f>Transportation_LCIA!F$61*($W341^Transportation_LCIA!F$60)+Transportation_LCIA!F$62</f>
        <v>0.12957131632566168</v>
      </c>
      <c r="AC341" s="16">
        <f>Transportation_LCIA!G$61*($W341^Transportation_LCIA!G$60)+Transportation_LCIA!G$62</f>
        <v>2.8901529748028624E-2</v>
      </c>
      <c r="AD341" s="16">
        <f>Transportation_LCIA!H$61*($W341^Transportation_LCIA!H$60)+Transportation_LCIA!H$62</f>
        <v>1.0836261482248398E-4</v>
      </c>
      <c r="AE341" s="16">
        <f>Transportation_LCIA!I$61*($W341^Transportation_LCIA!I$60)+Transportation_LCIA!I$62</f>
        <v>1.8049230483473731E-6</v>
      </c>
      <c r="AF341" s="16">
        <f>Transportation_LCIA!J$61*($W341^Transportation_LCIA!J$60)+Transportation_LCIA!J$62</f>
        <v>2.7502756349246987E-3</v>
      </c>
      <c r="AG341" s="16">
        <f>Transportation_LCIA!K$61*($W341^Transportation_LCIA!K$60)+Transportation_LCIA!K$62</f>
        <v>5.6818615020499709E-3</v>
      </c>
      <c r="AH341" s="16">
        <f>Transportation_LCIA!L$61*($W341^Transportation_LCIA!L$60)+Transportation_LCIA!L$62</f>
        <v>8.6355348976673414E-5</v>
      </c>
      <c r="AI341" s="16">
        <f>Transportation_LCIA!M$61*($W341^Transportation_LCIA!M$60)+Transportation_LCIA!M$62</f>
        <v>1.5074593020089161E-4</v>
      </c>
      <c r="AJ341" s="16">
        <f>Transportation_LCIA!N$61*($W341^Transportation_LCIA!N$60)+Transportation_LCIA!N$62</f>
        <v>4.2218930302060666E-4</v>
      </c>
      <c r="AK341" s="16">
        <f>Transportation_LCIA!O$61*($W341^Transportation_LCIA!O$60)+Transportation_LCIA!O$62</f>
        <v>3.0403454745448661E-5</v>
      </c>
      <c r="AL341" s="16">
        <f>Transportation_LCIA!P$61*($W341^Transportation_LCIA!P$60)+Transportation_LCIA!P$62</f>
        <v>1.475026552910432E-8</v>
      </c>
      <c r="AM341" s="16">
        <f>Transportation_LCIA!Q$61*($W341^Transportation_LCIA!Q$60)+Transportation_LCIA!Q$62</f>
        <v>3.5200955400195387E-5</v>
      </c>
      <c r="AN341" s="16">
        <f>Transportation_LCIA!R$61*($W341^Transportation_LCIA!R$60)+Transportation_LCIA!R$62</f>
        <v>8.7535769781348522E-5</v>
      </c>
      <c r="AO341" s="16">
        <f>Transportation_LCIA!S$61*($W341^Transportation_LCIA!S$60)+Transportation_LCIA!S$62</f>
        <v>1.4960474111894636E-6</v>
      </c>
      <c r="AP341" s="16">
        <f>Transportation_LCIA!T$61*($W341^Transportation_LCIA!T$60)+Transportation_LCIA!T$62</f>
        <v>1.4960474111894636E-6</v>
      </c>
      <c r="AQ341" s="16">
        <f>Transportation_LCIA!U$61*($W341^Transportation_LCIA!U$60)+Transportation_LCIA!U$62</f>
        <v>1.8108220553186345E-4</v>
      </c>
      <c r="AR341" s="16">
        <f>Transportation_LCIA!V$61*($W341^Transportation_LCIA!V$60)+Transportation_LCIA!V$62</f>
        <v>9.2410808792830294E-5</v>
      </c>
      <c r="AT341" s="16">
        <f>$W341*Y341+($L341)*Summary_LCIA!H$32</f>
        <v>1321.2638921698101</v>
      </c>
      <c r="AU341" s="16">
        <f>$W341*Z341+($L341)*Summary_LCIA!Q$32</f>
        <v>12540.643457211345</v>
      </c>
      <c r="AV341" s="16">
        <f>$W341*AA341+($L341)*Summary_LCIA!R$32</f>
        <v>3.7831818735653062</v>
      </c>
      <c r="AW341" s="16">
        <f>$W341*AB341+($L341)*Summary_LCIA!S$32</f>
        <v>1321.1879477298103</v>
      </c>
      <c r="AX341" s="16">
        <f>$W341*AC341+($L341)*Summary_LCIA!T$32</f>
        <v>295.30052304811289</v>
      </c>
      <c r="AY341" s="16">
        <f>$W341*AD341+($L341)*Summary_LCIA!U$32</f>
        <v>1.4079102034109559</v>
      </c>
      <c r="AZ341" s="16">
        <f>$W341*AE341+($L341)*Summary_LCIA!V$32</f>
        <v>1.9144451300174573E-2</v>
      </c>
      <c r="BA341" s="16">
        <f>$W341*AF341+($L341)*Summary_LCIA!W$32</f>
        <v>29.243684259553376</v>
      </c>
      <c r="BB341" s="16">
        <f>$W341*AG341+($L341)*Summary_LCIA!X$32</f>
        <v>58.074428923666339</v>
      </c>
      <c r="BC341" s="16">
        <f>$W341*AH341+($L341)*Summary_LCIA!Y$32</f>
        <v>1.1444210535285324</v>
      </c>
      <c r="BD341" s="16">
        <f>$W341*AI341+($L341)*Summary_LCIA!Z$32</f>
        <v>1.5310975961782463</v>
      </c>
      <c r="BE341" s="16">
        <f>$W341*AJ341+($L341)*Summary_LCIA!AA$32</f>
        <v>4.6874254390172698</v>
      </c>
      <c r="BF341" s="16">
        <f>$W341*AK341+($L341)*Summary_LCIA!AB$32</f>
        <v>0.30828500325220093</v>
      </c>
      <c r="BG341" s="16">
        <f>$W341*AL341+($L341)*Summary_LCIA!AC$32</f>
        <v>1.5058660648671973E-4</v>
      </c>
      <c r="BH341" s="16">
        <f>$W341*AM341+($L341)*Summary_LCIA!AD$32</f>
        <v>0.36442732789140886</v>
      </c>
      <c r="BI341" s="16">
        <f>$W341*AN341+($L341)*Summary_LCIA!AE$32</f>
        <v>0.90390040612717071</v>
      </c>
      <c r="BJ341" s="16">
        <f>$W341*AO341+($L341)*Summary_LCIA!AF$32</f>
        <v>2.9714081183328446E-2</v>
      </c>
      <c r="BK341" s="16">
        <f>$W341*AP341+($L341)*Summary_LCIA!AG$32</f>
        <v>1.6067191773328448E-2</v>
      </c>
      <c r="BL341" s="16">
        <f>$W341*AQ341+($L341)*Summary_LCIA!AH$32</f>
        <v>1.9879161863177719</v>
      </c>
      <c r="BM341" s="16">
        <f>$W341*AR341+($L341)*Summary_LCIA!AI$32</f>
        <v>0.95417286497756737</v>
      </c>
      <c r="BN341" s="16"/>
    </row>
    <row r="342" spans="1:66" x14ac:dyDescent="0.25">
      <c r="A342" s="159">
        <v>13</v>
      </c>
      <c r="B342" s="159">
        <v>6</v>
      </c>
      <c r="C342" s="45">
        <v>51.378222999999998</v>
      </c>
      <c r="D342" s="45">
        <v>-2.3263989999999999</v>
      </c>
      <c r="E342" s="45" t="s">
        <v>463</v>
      </c>
      <c r="F342" s="159">
        <v>7</v>
      </c>
      <c r="G342" s="45" t="s">
        <v>628</v>
      </c>
      <c r="H342" s="45" t="s">
        <v>629</v>
      </c>
      <c r="I342" s="45">
        <v>51.470022</v>
      </c>
      <c r="J342" s="45">
        <v>-0.45429599999999998</v>
      </c>
      <c r="K342" s="45">
        <v>149.81618209999999</v>
      </c>
      <c r="L342" s="45">
        <v>198.58</v>
      </c>
      <c r="M342" s="61" t="s">
        <v>589</v>
      </c>
      <c r="N342" s="159">
        <v>5</v>
      </c>
      <c r="O342" s="159">
        <v>6</v>
      </c>
      <c r="P342" s="45" t="s">
        <v>565</v>
      </c>
      <c r="Q342" s="45" t="s">
        <v>564</v>
      </c>
      <c r="R342" s="45">
        <v>41.98028</v>
      </c>
      <c r="S342" s="45">
        <v>-87.908997900000003</v>
      </c>
      <c r="T342" s="45"/>
      <c r="U342" s="45" t="s">
        <v>622</v>
      </c>
      <c r="V342" s="45" t="s">
        <v>569</v>
      </c>
      <c r="W342" s="45" cm="1">
        <f t="array" ref="W342">getDistance(R342,S342,I342,J342)*SA!$B$12</f>
        <v>6363.4897786039228</v>
      </c>
      <c r="Y342" s="16">
        <f>Transportation_LCIA!C$61*($W342^Transportation_LCIA!C$60)+Transportation_LCIA!C$62</f>
        <v>0.13805910954225503</v>
      </c>
      <c r="Z342" s="16">
        <f>Transportation_LCIA!D$61*($W342^Transportation_LCIA!D$60)+Transportation_LCIA!D$62</f>
        <v>1.3174109932223508</v>
      </c>
      <c r="AA342" s="16">
        <f>Transportation_LCIA!E$61*($W342^Transportation_LCIA!E$60)+Transportation_LCIA!E$62</f>
        <v>4.217712945479361E-4</v>
      </c>
      <c r="AB342" s="16">
        <f>Transportation_LCIA!F$61*($W342^Transportation_LCIA!F$60)+Transportation_LCIA!F$62</f>
        <v>0.13805910954225503</v>
      </c>
      <c r="AC342" s="16">
        <f>Transportation_LCIA!G$61*($W342^Transportation_LCIA!G$60)+Transportation_LCIA!G$62</f>
        <v>3.1006967164908802E-2</v>
      </c>
      <c r="AD342" s="16">
        <f>Transportation_LCIA!H$61*($W342^Transportation_LCIA!H$60)+Transportation_LCIA!H$62</f>
        <v>1.2050145439131135E-4</v>
      </c>
      <c r="AE342" s="16">
        <f>Transportation_LCIA!I$61*($W342^Transportation_LCIA!I$60)+Transportation_LCIA!I$62</f>
        <v>2.0868876309854734E-6</v>
      </c>
      <c r="AF342" s="16">
        <f>Transportation_LCIA!J$61*($W342^Transportation_LCIA!J$60)+Transportation_LCIA!J$62</f>
        <v>3.1487079878510273E-3</v>
      </c>
      <c r="AG342" s="16">
        <f>Transportation_LCIA!K$61*($W342^Transportation_LCIA!K$60)+Transportation_LCIA!K$62</f>
        <v>6.1515003502329892E-3</v>
      </c>
      <c r="AH342" s="16">
        <f>Transportation_LCIA!L$61*($W342^Transportation_LCIA!L$60)+Transportation_LCIA!L$62</f>
        <v>9.7262350697460971E-5</v>
      </c>
      <c r="AI342" s="16">
        <f>Transportation_LCIA!M$61*($W342^Transportation_LCIA!M$60)+Transportation_LCIA!M$62</f>
        <v>1.5742704436438743E-4</v>
      </c>
      <c r="AJ342" s="16">
        <f>Transportation_LCIA!N$61*($W342^Transportation_LCIA!N$60)+Transportation_LCIA!N$62</f>
        <v>4.6326381973146522E-4</v>
      </c>
      <c r="AK342" s="16">
        <f>Transportation_LCIA!O$61*($W342^Transportation_LCIA!O$60)+Transportation_LCIA!O$62</f>
        <v>3.2635227510025124E-5</v>
      </c>
      <c r="AL342" s="16">
        <f>Transportation_LCIA!P$61*($W342^Transportation_LCIA!P$60)+Transportation_LCIA!P$62</f>
        <v>1.58304835742713E-8</v>
      </c>
      <c r="AM342" s="16">
        <f>Transportation_LCIA!Q$61*($W342^Transportation_LCIA!Q$60)+Transportation_LCIA!Q$62</f>
        <v>3.9413334624958368E-5</v>
      </c>
      <c r="AN342" s="16">
        <f>Transportation_LCIA!R$61*($W342^Transportation_LCIA!R$60)+Transportation_LCIA!R$62</f>
        <v>1.0103056055511716E-4</v>
      </c>
      <c r="AO342" s="16">
        <f>Transportation_LCIA!S$61*($W342^Transportation_LCIA!S$60)+Transportation_LCIA!S$62</f>
        <v>1.6882578538694314E-6</v>
      </c>
      <c r="AP342" s="16">
        <f>Transportation_LCIA!T$61*($W342^Transportation_LCIA!T$60)+Transportation_LCIA!T$62</f>
        <v>1.6882578538694314E-6</v>
      </c>
      <c r="AQ342" s="16">
        <f>Transportation_LCIA!U$61*($W342^Transportation_LCIA!U$60)+Transportation_LCIA!U$62</f>
        <v>2.1022859223385475E-4</v>
      </c>
      <c r="AR342" s="16">
        <f>Transportation_LCIA!V$61*($W342^Transportation_LCIA!V$60)+Transportation_LCIA!V$62</f>
        <v>1.0319636276365877E-4</v>
      </c>
      <c r="AT342" s="16">
        <f>$W342*Y342+($L342)*Summary_LCIA!H$34</f>
        <v>893.32439637529922</v>
      </c>
      <c r="AU342" s="16">
        <f ca="1">$W342*Z342+($L342)*Summary_LCIA!Q$34</f>
        <v>8628.59540888427</v>
      </c>
      <c r="AV342" s="16">
        <f ca="1">$W342*AA342+($L342)*Summary_LCIA!R$34</f>
        <v>3.1916269497643359</v>
      </c>
      <c r="AW342" s="16">
        <f ca="1">$W342*AB342+($L342)*Summary_LCIA!S$34</f>
        <v>893.12105045529916</v>
      </c>
      <c r="AX342" s="16">
        <f ca="1">$W342*AC342+($L342)*Summary_LCIA!T$34</f>
        <v>201.43166355940463</v>
      </c>
      <c r="AY342" s="16">
        <f ca="1">$W342*AD342+($L342)*Summary_LCIA!U$34</f>
        <v>1.1321175413260165</v>
      </c>
      <c r="AZ342" s="16">
        <f ca="1">$W342*AE342+($L342)*Summary_LCIA!V$34</f>
        <v>2.9383336048871014E-2</v>
      </c>
      <c r="BA342" s="16">
        <f ca="1">$W342*AF342+($L342)*Summary_LCIA!W$34</f>
        <v>30.074791516498536</v>
      </c>
      <c r="BB342" s="16">
        <f ca="1">$W342*AG342+($L342)*Summary_LCIA!X$34</f>
        <v>41.254723521786076</v>
      </c>
      <c r="BC342" s="16">
        <f ca="1">$W342*AH342+($L342)*Summary_LCIA!Y$34</f>
        <v>0.95921466250628296</v>
      </c>
      <c r="BD342" s="16">
        <f ca="1">$W342*AI342+($L342)*Summary_LCIA!Z$34</f>
        <v>1.0074459105886058</v>
      </c>
      <c r="BE342" s="16">
        <f ca="1">$W342*AJ342+($L342)*Summary_LCIA!AA$34</f>
        <v>3.3575656896581889</v>
      </c>
      <c r="BF342" s="16">
        <f ca="1">$W342*AK342+($L342)*Summary_LCIA!AB$34</f>
        <v>0.20629600992045843</v>
      </c>
      <c r="BG342" s="16">
        <f ca="1">$W342*AL342+($L342)*Summary_LCIA!AC$34</f>
        <v>1.0146831183323271E-4</v>
      </c>
      <c r="BH342" s="16">
        <f ca="1">$W342*AM342+($L342)*Summary_LCIA!AD$34</f>
        <v>0.27288447642661867</v>
      </c>
      <c r="BI342" s="16">
        <f ca="1">$W342*AN342+($L342)*Summary_LCIA!AE$34</f>
        <v>0.70246902461911276</v>
      </c>
      <c r="BJ342" s="16">
        <f ca="1">$W342*AO342+($L342)*Summary_LCIA!AF$34</f>
        <v>5.7977450396745921E-2</v>
      </c>
      <c r="BK342" s="16">
        <f ca="1">$W342*AP342+($L342)*Summary_LCIA!AG$34</f>
        <v>1.128694349474592E-2</v>
      </c>
      <c r="BL342" s="16">
        <f ca="1">$W342*AQ342+($L342)*Summary_LCIA!AH$34</f>
        <v>1.7902123118504267</v>
      </c>
      <c r="BM342" s="16">
        <f ca="1">$W342*AR342+($L342)*Summary_LCIA!AI$34</f>
        <v>0.71244033463564505</v>
      </c>
      <c r="BN342" s="16"/>
    </row>
    <row r="343" spans="1:66" x14ac:dyDescent="0.25">
      <c r="A343" s="159">
        <v>130</v>
      </c>
      <c r="B343" s="159">
        <v>6</v>
      </c>
      <c r="C343" s="45">
        <v>51.048797</v>
      </c>
      <c r="D343" s="45">
        <v>13.721128999999999</v>
      </c>
      <c r="E343" s="45" t="s">
        <v>281</v>
      </c>
      <c r="F343" s="159">
        <v>38</v>
      </c>
      <c r="G343" s="45" t="s">
        <v>567</v>
      </c>
      <c r="H343" s="45" t="s">
        <v>678</v>
      </c>
      <c r="I343" s="45">
        <v>48.353696999999997</v>
      </c>
      <c r="J343" s="45">
        <v>11.775111000000001</v>
      </c>
      <c r="K343" s="45">
        <v>332.0913797</v>
      </c>
      <c r="L343" s="45">
        <v>445.78</v>
      </c>
      <c r="M343" s="61" t="s">
        <v>617</v>
      </c>
      <c r="N343" s="159">
        <v>5</v>
      </c>
      <c r="O343" s="159">
        <v>6</v>
      </c>
      <c r="P343" s="45" t="s">
        <v>565</v>
      </c>
      <c r="Q343" s="45" t="s">
        <v>564</v>
      </c>
      <c r="R343" s="45">
        <v>41.98028</v>
      </c>
      <c r="S343" s="45">
        <v>-87.908997900000003</v>
      </c>
      <c r="T343" s="45"/>
      <c r="U343" s="45" t="s">
        <v>622</v>
      </c>
      <c r="V343" s="45" t="s">
        <v>569</v>
      </c>
      <c r="W343" s="45" cm="1">
        <f t="array" ref="W343">getDistance(R343,S343,I343,J343)*SA!$B$12</f>
        <v>7290.841395242107</v>
      </c>
      <c r="Y343" s="16">
        <f>Transportation_LCIA!C$61*($W343^Transportation_LCIA!C$60)+Transportation_LCIA!C$62</f>
        <v>0.13523543529493759</v>
      </c>
      <c r="Z343" s="16">
        <f>Transportation_LCIA!D$61*($W343^Transportation_LCIA!D$60)+Transportation_LCIA!D$62</f>
        <v>1.2870964385325641</v>
      </c>
      <c r="AA343" s="16">
        <f>Transportation_LCIA!E$61*($W343^Transportation_LCIA!E$60)+Transportation_LCIA!E$62</f>
        <v>4.0230180931615737E-4</v>
      </c>
      <c r="AB343" s="16">
        <f>Transportation_LCIA!F$61*($W343^Transportation_LCIA!F$60)+Transportation_LCIA!F$62</f>
        <v>0.13523543529493759</v>
      </c>
      <c r="AC343" s="16">
        <f>Transportation_LCIA!G$61*($W343^Transportation_LCIA!G$60)+Transportation_LCIA!G$62</f>
        <v>3.0302196071039959E-2</v>
      </c>
      <c r="AD343" s="16">
        <f>Transportation_LCIA!H$61*($W343^Transportation_LCIA!H$60)+Transportation_LCIA!H$62</f>
        <v>1.1641427944747871E-4</v>
      </c>
      <c r="AE343" s="16">
        <f>Transportation_LCIA!I$61*($W343^Transportation_LCIA!I$60)+Transportation_LCIA!I$62</f>
        <v>1.9913951681846798E-6</v>
      </c>
      <c r="AF343" s="16">
        <f>Transportation_LCIA!J$61*($W343^Transportation_LCIA!J$60)+Transportation_LCIA!J$62</f>
        <v>3.0132591753691267E-3</v>
      </c>
      <c r="AG343" s="16">
        <f>Transportation_LCIA!K$61*($W343^Transportation_LCIA!K$60)+Transportation_LCIA!K$62</f>
        <v>5.9937734665535189E-3</v>
      </c>
      <c r="AH343" s="16">
        <f>Transportation_LCIA!L$61*($W343^Transportation_LCIA!L$60)+Transportation_LCIA!L$62</f>
        <v>9.3583835641710154E-5</v>
      </c>
      <c r="AI343" s="16">
        <f>Transportation_LCIA!M$61*($W343^Transportation_LCIA!M$60)+Transportation_LCIA!M$62</f>
        <v>1.5517705405882002E-4</v>
      </c>
      <c r="AJ343" s="16">
        <f>Transportation_LCIA!N$61*($W343^Transportation_LCIA!N$60)+Transportation_LCIA!N$62</f>
        <v>4.494403484785802E-4</v>
      </c>
      <c r="AK343" s="16">
        <f>Transportation_LCIA!O$61*($W343^Transportation_LCIA!O$60)+Transportation_LCIA!O$62</f>
        <v>3.188803257699897E-5</v>
      </c>
      <c r="AL343" s="16">
        <f>Transportation_LCIA!P$61*($W343^Transportation_LCIA!P$60)+Transportation_LCIA!P$62</f>
        <v>1.546900405510386E-8</v>
      </c>
      <c r="AM343" s="16">
        <f>Transportation_LCIA!Q$61*($W343^Transportation_LCIA!Q$60)+Transportation_LCIA!Q$62</f>
        <v>3.7991390499638345E-5</v>
      </c>
      <c r="AN343" s="16">
        <f>Transportation_LCIA!R$61*($W343^Transportation_LCIA!R$60)+Transportation_LCIA!R$62</f>
        <v>9.6459661264163969E-5</v>
      </c>
      <c r="AO343" s="16">
        <f>Transportation_LCIA!S$61*($W343^Transportation_LCIA!S$60)+Transportation_LCIA!S$62</f>
        <v>1.6231700657029187E-6</v>
      </c>
      <c r="AP343" s="16">
        <f>Transportation_LCIA!T$61*($W343^Transportation_LCIA!T$60)+Transportation_LCIA!T$62</f>
        <v>1.6231700657029187E-6</v>
      </c>
      <c r="AQ343" s="16">
        <f>Transportation_LCIA!U$61*($W343^Transportation_LCIA!U$60)+Transportation_LCIA!U$62</f>
        <v>2.0034537038188444E-4</v>
      </c>
      <c r="AR343" s="16">
        <f>Transportation_LCIA!V$61*($W343^Transportation_LCIA!V$60)+Transportation_LCIA!V$62</f>
        <v>9.9551363133687748E-5</v>
      </c>
      <c r="AT343" s="16">
        <f>$W343*Y343+($L343)*Summary_LCIA!H$32</f>
        <v>1137.4561537519164</v>
      </c>
      <c r="AU343" s="16">
        <f>$W343*Z343+($L343)*Summary_LCIA!Q$32</f>
        <v>11593.324155744647</v>
      </c>
      <c r="AV343" s="16">
        <f>$W343*AA343+($L343)*Summary_LCIA!R$32</f>
        <v>5.280417852743037</v>
      </c>
      <c r="AW343" s="16">
        <f>$W343*AB343+($L343)*Summary_LCIA!S$32</f>
        <v>1135.4858061519164</v>
      </c>
      <c r="AX343" s="16">
        <f>$W343*AC343+($L343)*Summary_LCIA!T$32</f>
        <v>269.91972748148089</v>
      </c>
      <c r="AY343" s="16">
        <f>$W343*AD343+($L343)*Summary_LCIA!U$32</f>
        <v>8.8344609675929604</v>
      </c>
      <c r="AZ343" s="16">
        <f>$W343*AE343+($L343)*Summary_LCIA!V$32</f>
        <v>3.5809844906485977E-2</v>
      </c>
      <c r="BA343" s="16">
        <f>$W343*AF343+($L343)*Summary_LCIA!W$32</f>
        <v>56.28132711037432</v>
      </c>
      <c r="BB343" s="16">
        <f>$W343*AG343+($L343)*Summary_LCIA!X$32</f>
        <v>53.854520103652177</v>
      </c>
      <c r="BC343" s="16">
        <f>$W343*AH343+($L343)*Summary_LCIA!Y$32</f>
        <v>7.6284488628221139</v>
      </c>
      <c r="BD343" s="16">
        <f>$W343*AI343+($L343)*Summary_LCIA!Z$32</f>
        <v>1.1496522813437673</v>
      </c>
      <c r="BE343" s="16">
        <f>$W343*AJ343+($L343)*Summary_LCIA!AA$32</f>
        <v>13.688435977379669</v>
      </c>
      <c r="BF343" s="16">
        <f>$W343*AK343+($L343)*Summary_LCIA!AB$32</f>
        <v>0.22276233098521292</v>
      </c>
      <c r="BG343" s="16">
        <f>$W343*AL343+($L343)*Summary_LCIA!AC$32</f>
        <v>1.3457356462811924E-4</v>
      </c>
      <c r="BH343" s="16">
        <f>$W343*AM343+($L343)*Summary_LCIA!AD$32</f>
        <v>0.46022261371757095</v>
      </c>
      <c r="BI343" s="16">
        <f>$W343*AN343+($L343)*Summary_LCIA!AE$32</f>
        <v>1.0982911227157981</v>
      </c>
      <c r="BJ343" s="16">
        <f>$W343*AO343+($L343)*Summary_LCIA!AF$32</f>
        <v>0.38870560310654467</v>
      </c>
      <c r="BK343" s="16">
        <f>$W343*AP343+($L343)*Summary_LCIA!AG$32</f>
        <v>3.4642609206544689E-2</v>
      </c>
      <c r="BL343" s="16">
        <f>$W343*AQ343+($L343)*Summary_LCIA!AH$32</f>
        <v>5.3405771277253553</v>
      </c>
      <c r="BM343" s="16">
        <f>$W343*AR343+($L343)*Summary_LCIA!AI$32</f>
        <v>1.1410795582878697</v>
      </c>
      <c r="BN343" s="16"/>
    </row>
    <row r="344" spans="1:66" x14ac:dyDescent="0.25">
      <c r="A344" s="159">
        <v>133</v>
      </c>
      <c r="B344" s="159">
        <v>6</v>
      </c>
      <c r="C344" s="45">
        <v>51.219448</v>
      </c>
      <c r="D344" s="45">
        <v>4.4024640000000002</v>
      </c>
      <c r="E344" s="45" t="s">
        <v>464</v>
      </c>
      <c r="F344" s="159">
        <v>12</v>
      </c>
      <c r="G344" s="45" t="s">
        <v>679</v>
      </c>
      <c r="H344" s="45" t="s">
        <v>680</v>
      </c>
      <c r="I344" s="45">
        <v>52.310538999999999</v>
      </c>
      <c r="J344" s="45">
        <v>4.7682739999999999</v>
      </c>
      <c r="K344" s="45">
        <v>124.20814900000001</v>
      </c>
      <c r="L344" s="45">
        <v>149.38800000000001</v>
      </c>
      <c r="M344" s="61" t="s">
        <v>589</v>
      </c>
      <c r="N344" s="159">
        <v>5</v>
      </c>
      <c r="O344" s="159">
        <v>6</v>
      </c>
      <c r="P344" s="45" t="s">
        <v>565</v>
      </c>
      <c r="Q344" s="45" t="s">
        <v>564</v>
      </c>
      <c r="R344" s="45">
        <v>41.98028</v>
      </c>
      <c r="S344" s="45">
        <v>-87.908997900000003</v>
      </c>
      <c r="T344" s="45"/>
      <c r="U344" s="45" t="s">
        <v>622</v>
      </c>
      <c r="V344" s="45" t="s">
        <v>569</v>
      </c>
      <c r="W344" s="45" cm="1">
        <f t="array" ref="W344">getDistance(R344,S344,I344,J344)*SA!$B$12</f>
        <v>6632.2887438753278</v>
      </c>
      <c r="Y344" s="16">
        <f>Transportation_LCIA!C$61*($W344^Transportation_LCIA!C$60)+Transportation_LCIA!C$62</f>
        <v>0.13716603346863906</v>
      </c>
      <c r="Z344" s="16">
        <f>Transportation_LCIA!D$61*($W344^Transportation_LCIA!D$60)+Transportation_LCIA!D$62</f>
        <v>1.3078038373302929</v>
      </c>
      <c r="AA344" s="16">
        <f>Transportation_LCIA!E$61*($W344^Transportation_LCIA!E$60)+Transportation_LCIA!E$62</f>
        <v>4.1559763971151745E-4</v>
      </c>
      <c r="AB344" s="16">
        <f>Transportation_LCIA!F$61*($W344^Transportation_LCIA!F$60)+Transportation_LCIA!F$62</f>
        <v>0.13716603346863906</v>
      </c>
      <c r="AC344" s="16">
        <f>Transportation_LCIA!G$61*($W344^Transportation_LCIA!G$60)+Transportation_LCIA!G$62</f>
        <v>3.078364026720818E-2</v>
      </c>
      <c r="AD344" s="16">
        <f>Transportation_LCIA!H$61*($W344^Transportation_LCIA!H$60)+Transportation_LCIA!H$62</f>
        <v>1.1920399643427205E-4</v>
      </c>
      <c r="AE344" s="16">
        <f>Transportation_LCIA!I$61*($W344^Transportation_LCIA!I$60)+Transportation_LCIA!I$62</f>
        <v>2.0565197113200838E-6</v>
      </c>
      <c r="AF344" s="16">
        <f>Transportation_LCIA!J$61*($W344^Transportation_LCIA!J$60)+Transportation_LCIA!J$62</f>
        <v>3.1055831426297711E-3</v>
      </c>
      <c r="AG344" s="16">
        <f>Transportation_LCIA!K$61*($W344^Transportation_LCIA!K$60)+Transportation_LCIA!K$62</f>
        <v>6.1014695256803586E-3</v>
      </c>
      <c r="AH344" s="16">
        <f>Transportation_LCIA!L$61*($W344^Transportation_LCIA!L$60)+Transportation_LCIA!L$62</f>
        <v>9.609402578970302E-5</v>
      </c>
      <c r="AI344" s="16">
        <f>Transportation_LCIA!M$61*($W344^Transportation_LCIA!M$60)+Transportation_LCIA!M$62</f>
        <v>1.567127504146819E-4</v>
      </c>
      <c r="AJ344" s="16">
        <f>Transportation_LCIA!N$61*($W344^Transportation_LCIA!N$60)+Transportation_LCIA!N$62</f>
        <v>4.5887623536206706E-4</v>
      </c>
      <c r="AK344" s="16">
        <f>Transportation_LCIA!O$61*($W344^Transportation_LCIA!O$60)+Transportation_LCIA!O$62</f>
        <v>3.2398444381506369E-5</v>
      </c>
      <c r="AL344" s="16">
        <f>Transportation_LCIA!P$61*($W344^Transportation_LCIA!P$60)+Transportation_LCIA!P$62</f>
        <v>1.5715949191790643E-8</v>
      </c>
      <c r="AM344" s="16">
        <f>Transportation_LCIA!Q$61*($W344^Transportation_LCIA!Q$60)+Transportation_LCIA!Q$62</f>
        <v>3.896159039721733E-5</v>
      </c>
      <c r="AN344" s="16">
        <f>Transportation_LCIA!R$61*($W344^Transportation_LCIA!R$60)+Transportation_LCIA!R$62</f>
        <v>9.9576888850548906E-5</v>
      </c>
      <c r="AO344" s="16">
        <f>Transportation_LCIA!S$61*($W344^Transportation_LCIA!S$60)+Transportation_LCIA!S$62</f>
        <v>1.6675598015362514E-6</v>
      </c>
      <c r="AP344" s="16">
        <f>Transportation_LCIA!T$61*($W344^Transportation_LCIA!T$60)+Transportation_LCIA!T$62</f>
        <v>1.6675598015362514E-6</v>
      </c>
      <c r="AQ344" s="16">
        <f>Transportation_LCIA!U$61*($W344^Transportation_LCIA!U$60)+Transportation_LCIA!U$62</f>
        <v>2.0708439134245054E-4</v>
      </c>
      <c r="AR344" s="16">
        <f>Transportation_LCIA!V$61*($W344^Transportation_LCIA!V$60)+Transportation_LCIA!V$62</f>
        <v>1.0203795621530453E-4</v>
      </c>
      <c r="AT344" s="16">
        <f>$W344*Y344+($L344)*Summary_LCIA!H$34</f>
        <v>920.84846907208134</v>
      </c>
      <c r="AU344" s="16">
        <f ca="1">$W344*Z344+($L344)*Summary_LCIA!Q$34</f>
        <v>8858.2401794139023</v>
      </c>
      <c r="AV344" s="16">
        <f ca="1">$W344*AA344+($L344)*Summary_LCIA!R$34</f>
        <v>3.1382889086398511</v>
      </c>
      <c r="AW344" s="16">
        <f ca="1">$W344*AB344+($L344)*Summary_LCIA!S$34</f>
        <v>920.69549576008126</v>
      </c>
      <c r="AX344" s="16">
        <f ca="1">$W344*AC344+($L344)*Summary_LCIA!T$34</f>
        <v>207.26474612371209</v>
      </c>
      <c r="AY344" s="16">
        <f ca="1">$W344*AD344+($L344)*Summary_LCIA!U$34</f>
        <v>1.0654094885759773</v>
      </c>
      <c r="AZ344" s="16">
        <f ca="1">$W344*AE344+($L344)*Summary_LCIA!V$34</f>
        <v>2.5753753616945929E-2</v>
      </c>
      <c r="BA344" s="16">
        <f ca="1">$W344*AF344+($L344)*Summary_LCIA!W$34</f>
        <v>28.148538132032396</v>
      </c>
      <c r="BB344" s="16">
        <f ca="1">$W344*AG344+($L344)*Summary_LCIA!X$34</f>
        <v>42.053805768268177</v>
      </c>
      <c r="BC344" s="16">
        <f ca="1">$W344*AH344+($L344)*Summary_LCIA!Y$34</f>
        <v>0.89331460239871274</v>
      </c>
      <c r="BD344" s="16">
        <f ca="1">$W344*AI344+($L344)*Summary_LCIA!Z$34</f>
        <v>1.0436225155370384</v>
      </c>
      <c r="BE344" s="16">
        <f ca="1">$W344*AJ344+($L344)*Summary_LCIA!AA$34</f>
        <v>3.351527379423723</v>
      </c>
      <c r="BF344" s="16">
        <f ca="1">$W344*AK344+($L344)*Summary_LCIA!AB$34</f>
        <v>0.21383924959733555</v>
      </c>
      <c r="BG344" s="16">
        <f ca="1">$W344*AL344+($L344)*Summary_LCIA!AC$34</f>
        <v>1.0478277447882963E-4</v>
      </c>
      <c r="BH344" s="16">
        <f ca="1">$W344*AM344+($L344)*Summary_LCIA!AD$34</f>
        <v>0.27501347527494557</v>
      </c>
      <c r="BI344" s="16">
        <f ca="1">$W344*AN344+($L344)*Summary_LCIA!AE$34</f>
        <v>0.70523011579362016</v>
      </c>
      <c r="BJ344" s="16">
        <f ca="1">$W344*AO344+($L344)*Summary_LCIA!AF$34</f>
        <v>4.6593167781467854E-2</v>
      </c>
      <c r="BK344" s="16">
        <f ca="1">$W344*AP344+($L344)*Summary_LCIA!AG$34</f>
        <v>1.1468777384267857E-2</v>
      </c>
      <c r="BL344" s="16">
        <f ca="1">$W344*AQ344+($L344)*Summary_LCIA!AH$34</f>
        <v>1.7137941581328082</v>
      </c>
      <c r="BM344" s="16">
        <f ca="1">$W344*AR344+($L344)*Summary_LCIA!AI$34</f>
        <v>0.71868586945480784</v>
      </c>
      <c r="BN344" s="16"/>
    </row>
    <row r="345" spans="1:66" x14ac:dyDescent="0.25">
      <c r="A345" s="159">
        <v>143</v>
      </c>
      <c r="B345" s="159">
        <v>6</v>
      </c>
      <c r="C345" s="45">
        <v>-23.586715000000002</v>
      </c>
      <c r="D345" s="45">
        <v>-46.681919999999998</v>
      </c>
      <c r="E345" s="45" t="s">
        <v>465</v>
      </c>
      <c r="F345" s="159">
        <v>52</v>
      </c>
      <c r="G345" s="45" t="s">
        <v>682</v>
      </c>
      <c r="H345" s="45" t="s">
        <v>683</v>
      </c>
      <c r="I345" s="45">
        <v>-23.430572999999999</v>
      </c>
      <c r="J345" s="45">
        <v>-46.473042999999997</v>
      </c>
      <c r="K345" s="45">
        <v>27.890101319999999</v>
      </c>
      <c r="L345" s="45">
        <v>35.286999999999999</v>
      </c>
      <c r="M345" s="61" t="s">
        <v>617</v>
      </c>
      <c r="N345" s="159">
        <v>5</v>
      </c>
      <c r="O345" s="159">
        <v>6</v>
      </c>
      <c r="P345" s="45" t="s">
        <v>565</v>
      </c>
      <c r="Q345" s="45" t="s">
        <v>564</v>
      </c>
      <c r="R345" s="45">
        <v>41.98028</v>
      </c>
      <c r="S345" s="45">
        <v>-87.908997900000003</v>
      </c>
      <c r="T345" s="45"/>
      <c r="U345" s="45" t="s">
        <v>622</v>
      </c>
      <c r="V345" s="45" t="s">
        <v>569</v>
      </c>
      <c r="W345" s="45" cm="1">
        <f t="array" ref="W345">getDistance(R345,S345,I345,J345)*SA!$B$12</f>
        <v>8422.5070302481017</v>
      </c>
      <c r="Y345" s="16">
        <f>Transportation_LCIA!C$61*($W345^Transportation_LCIA!C$60)+Transportation_LCIA!C$62</f>
        <v>0.13257261459336128</v>
      </c>
      <c r="Z345" s="16">
        <f>Transportation_LCIA!D$61*($W345^Transportation_LCIA!D$60)+Transportation_LCIA!D$62</f>
        <v>1.2586820151780742</v>
      </c>
      <c r="AA345" s="16">
        <f>Transportation_LCIA!E$61*($W345^Transportation_LCIA!E$60)+Transportation_LCIA!E$62</f>
        <v>3.8408382526349319E-4</v>
      </c>
      <c r="AB345" s="16">
        <f>Transportation_LCIA!F$61*($W345^Transportation_LCIA!F$60)+Transportation_LCIA!F$62</f>
        <v>0.13257261459336128</v>
      </c>
      <c r="AC345" s="16">
        <f>Transportation_LCIA!G$61*($W345^Transportation_LCIA!G$60)+Transportation_LCIA!G$62</f>
        <v>2.9641366176938799E-2</v>
      </c>
      <c r="AD345" s="16">
        <f>Transportation_LCIA!H$61*($W345^Transportation_LCIA!H$60)+Transportation_LCIA!H$62</f>
        <v>1.126027108406742E-4</v>
      </c>
      <c r="AE345" s="16">
        <f>Transportation_LCIA!I$61*($W345^Transportation_LCIA!I$60)+Transportation_LCIA!I$62</f>
        <v>1.9028245607617693E-6</v>
      </c>
      <c r="AF345" s="16">
        <f>Transportation_LCIA!J$61*($W345^Transportation_LCIA!J$60)+Transportation_LCIA!J$62</f>
        <v>2.8880736872192096E-3</v>
      </c>
      <c r="AG345" s="16">
        <f>Transportation_LCIA!K$61*($W345^Transportation_LCIA!K$60)+Transportation_LCIA!K$62</f>
        <v>5.8463339537824059E-3</v>
      </c>
      <c r="AH345" s="16">
        <f>Transportation_LCIA!L$61*($W345^Transportation_LCIA!L$60)+Transportation_LCIA!L$62</f>
        <v>9.0158674441413538E-5</v>
      </c>
      <c r="AI345" s="16">
        <f>Transportation_LCIA!M$61*($W345^Transportation_LCIA!M$60)+Transportation_LCIA!M$62</f>
        <v>1.5307917071161358E-4</v>
      </c>
      <c r="AJ345" s="16">
        <f>Transportation_LCIA!N$61*($W345^Transportation_LCIA!N$60)+Transportation_LCIA!N$62</f>
        <v>4.3654345287238349E-4</v>
      </c>
      <c r="AK345" s="16">
        <f>Transportation_LCIA!O$61*($W345^Transportation_LCIA!O$60)+Transportation_LCIA!O$62</f>
        <v>3.1187540895566968E-5</v>
      </c>
      <c r="AL345" s="16">
        <f>Transportation_LCIA!P$61*($W345^Transportation_LCIA!P$60)+Transportation_LCIA!P$62</f>
        <v>1.5129965505407241E-8</v>
      </c>
      <c r="AM345" s="16">
        <f>Transportation_LCIA!Q$61*($W345^Transportation_LCIA!Q$60)+Transportation_LCIA!Q$62</f>
        <v>3.6668483978999491E-5</v>
      </c>
      <c r="AN345" s="16">
        <f>Transportation_LCIA!R$61*($W345^Transportation_LCIA!R$60)+Transportation_LCIA!R$62</f>
        <v>9.2220644267511622E-5</v>
      </c>
      <c r="AO345" s="16">
        <f>Transportation_LCIA!S$61*($W345^Transportation_LCIA!S$60)+Transportation_LCIA!S$62</f>
        <v>1.5627934623745161E-6</v>
      </c>
      <c r="AP345" s="16">
        <f>Transportation_LCIA!T$61*($W345^Transportation_LCIA!T$60)+Transportation_LCIA!T$62</f>
        <v>1.5627934623745161E-6</v>
      </c>
      <c r="AQ345" s="16">
        <f>Transportation_LCIA!U$61*($W345^Transportation_LCIA!U$60)+Transportation_LCIA!U$62</f>
        <v>1.9118918802464308E-4</v>
      </c>
      <c r="AR345" s="16">
        <f>Transportation_LCIA!V$61*($W345^Transportation_LCIA!V$60)+Transportation_LCIA!V$62</f>
        <v>9.6163878021168E-5</v>
      </c>
      <c r="AT345" s="16">
        <f>$W345*Y345+($L345)*Summary_LCIA!H$32</f>
        <v>1128.5843010309575</v>
      </c>
      <c r="AU345" s="16">
        <f>$W345*Z345+($L345)*Summary_LCIA!Q$32</f>
        <v>10776.142273313448</v>
      </c>
      <c r="AV345" s="16">
        <f>$W345*AA345+($L345)*Summary_LCIA!R$32</f>
        <v>3.4207559456863548</v>
      </c>
      <c r="AW345" s="16">
        <f>$W345*AB345+($L345)*Summary_LCIA!S$32</f>
        <v>1128.4283324909575</v>
      </c>
      <c r="AX345" s="16">
        <f>$W345*AC345+($L345)*Summary_LCIA!T$32</f>
        <v>253.53265631142534</v>
      </c>
      <c r="AY345" s="16">
        <f>$W345*AD345+($L345)*Summary_LCIA!U$32</f>
        <v>1.5805284416805725</v>
      </c>
      <c r="AZ345" s="16">
        <f>$W345*AE345+($L345)*Summary_LCIA!V$32</f>
        <v>1.7711895647344756E-2</v>
      </c>
      <c r="BA345" s="16">
        <f>$W345*AF345+($L345)*Summary_LCIA!W$32</f>
        <v>27.040896611478349</v>
      </c>
      <c r="BB345" s="16">
        <f>$W345*AG345+($L345)*Summary_LCIA!X$32</f>
        <v>50.044626686910497</v>
      </c>
      <c r="BC345" s="16">
        <f>$W345*AH345+($L345)*Summary_LCIA!Y$32</f>
        <v>1.3092041033206554</v>
      </c>
      <c r="BD345" s="16">
        <f>$W345*AI345+($L345)*Summary_LCIA!Z$32</f>
        <v>1.2907574760861145</v>
      </c>
      <c r="BE345" s="16">
        <f>$W345*AJ345+($L345)*Summary_LCIA!AA$32</f>
        <v>4.5009534728264304</v>
      </c>
      <c r="BF345" s="16">
        <f>$W345*AK345+($L345)*Summary_LCIA!AB$32</f>
        <v>0.26190721424806296</v>
      </c>
      <c r="BG345" s="16">
        <f>$W345*AL345+($L345)*Summary_LCIA!AC$32</f>
        <v>1.2915721054470377E-4</v>
      </c>
      <c r="BH345" s="16">
        <f>$W345*AM345+($L345)*Summary_LCIA!AD$32</f>
        <v>0.32334493258166308</v>
      </c>
      <c r="BI345" s="16">
        <f>$W345*AN345+($L345)*Summary_LCIA!AE$32</f>
        <v>0.80799789398712585</v>
      </c>
      <c r="BJ345" s="16">
        <f>$W345*AO345+($L345)*Summary_LCIA!AF$32</f>
        <v>4.2994974463675131E-2</v>
      </c>
      <c r="BK345" s="16">
        <f>$W345*AP345+($L345)*Summary_LCIA!AG$32</f>
        <v>1.4968098278675134E-2</v>
      </c>
      <c r="BL345" s="16">
        <f>$W345*AQ345+($L345)*Summary_LCIA!AH$32</f>
        <v>1.9174162134449826</v>
      </c>
      <c r="BM345" s="16">
        <f>$W345*AR345+($L345)*Summary_LCIA!AI$32</f>
        <v>0.84281254353920831</v>
      </c>
      <c r="BN345" s="16"/>
    </row>
    <row r="346" spans="1:66" x14ac:dyDescent="0.25">
      <c r="A346" s="159">
        <v>152</v>
      </c>
      <c r="B346" s="159">
        <v>6</v>
      </c>
      <c r="C346" s="45">
        <v>41.385064</v>
      </c>
      <c r="D346" s="45">
        <v>2.1734040000000001</v>
      </c>
      <c r="E346" s="45" t="s">
        <v>466</v>
      </c>
      <c r="F346" s="159">
        <v>27</v>
      </c>
      <c r="G346" s="45" t="s">
        <v>686</v>
      </c>
      <c r="H346" s="45" t="s">
        <v>687</v>
      </c>
      <c r="I346" s="45">
        <v>41.297445000000003</v>
      </c>
      <c r="J346" s="45">
        <v>2.083294</v>
      </c>
      <c r="K346" s="45">
        <v>12.686920199999999</v>
      </c>
      <c r="L346" s="45">
        <v>16.001000000000001</v>
      </c>
      <c r="M346" s="61" t="s">
        <v>617</v>
      </c>
      <c r="N346" s="159">
        <v>5</v>
      </c>
      <c r="O346" s="159">
        <v>6</v>
      </c>
      <c r="P346" s="45" t="s">
        <v>565</v>
      </c>
      <c r="Q346" s="45" t="s">
        <v>564</v>
      </c>
      <c r="R346" s="45">
        <v>41.98028</v>
      </c>
      <c r="S346" s="45">
        <v>-87.908997900000003</v>
      </c>
      <c r="T346" s="45"/>
      <c r="U346" s="45" t="s">
        <v>622</v>
      </c>
      <c r="V346" s="45" t="s">
        <v>569</v>
      </c>
      <c r="W346" s="45" cm="1">
        <f t="array" ref="W346">getDistance(R346,S346,I346,J346)*SA!$B$12</f>
        <v>7113.9060264010013</v>
      </c>
      <c r="Y346" s="16">
        <f>Transportation_LCIA!C$61*($W346^Transportation_LCIA!C$60)+Transportation_LCIA!C$62</f>
        <v>0.13572180872975795</v>
      </c>
      <c r="Z346" s="16">
        <f>Transportation_LCIA!D$61*($W346^Transportation_LCIA!D$60)+Transportation_LCIA!D$62</f>
        <v>1.2923051622752959</v>
      </c>
      <c r="AA346" s="16">
        <f>Transportation_LCIA!E$61*($W346^Transportation_LCIA!E$60)+Transportation_LCIA!E$62</f>
        <v>4.0564477745127624E-4</v>
      </c>
      <c r="AB346" s="16">
        <f>Transportation_LCIA!F$61*($W346^Transportation_LCIA!F$60)+Transportation_LCIA!F$62</f>
        <v>0.13572180872975795</v>
      </c>
      <c r="AC346" s="16">
        <f>Transportation_LCIA!G$61*($W346^Transportation_LCIA!G$60)+Transportation_LCIA!G$62</f>
        <v>3.0423309123501718E-2</v>
      </c>
      <c r="AD346" s="16">
        <f>Transportation_LCIA!H$61*($W346^Transportation_LCIA!H$60)+Transportation_LCIA!H$62</f>
        <v>1.1711509449777771E-4</v>
      </c>
      <c r="AE346" s="16">
        <f>Transportation_LCIA!I$61*($W346^Transportation_LCIA!I$60)+Transportation_LCIA!I$62</f>
        <v>2.0077326844700226E-6</v>
      </c>
      <c r="AF346" s="16">
        <f>Transportation_LCIA!J$61*($W346^Transportation_LCIA!J$60)+Transportation_LCIA!J$62</f>
        <v>3.0363991195651759E-3</v>
      </c>
      <c r="AG346" s="16">
        <f>Transportation_LCIA!K$61*($W346^Transportation_LCIA!K$60)+Transportation_LCIA!K$62</f>
        <v>6.0208445128104781E-3</v>
      </c>
      <c r="AH346" s="16">
        <f>Transportation_LCIA!L$61*($W346^Transportation_LCIA!L$60)+Transportation_LCIA!L$62</f>
        <v>9.421418096688822E-5</v>
      </c>
      <c r="AI346" s="16">
        <f>Transportation_LCIA!M$61*($W346^Transportation_LCIA!M$60)+Transportation_LCIA!M$62</f>
        <v>1.5556282390222296E-4</v>
      </c>
      <c r="AJ346" s="16">
        <f>Transportation_LCIA!N$61*($W346^Transportation_LCIA!N$60)+Transportation_LCIA!N$62</f>
        <v>4.5181103328091328E-4</v>
      </c>
      <c r="AK346" s="16">
        <f>Transportation_LCIA!O$61*($W346^Transportation_LCIA!O$60)+Transportation_LCIA!O$62</f>
        <v>3.2016427315279196E-5</v>
      </c>
      <c r="AL346" s="16">
        <f>Transportation_LCIA!P$61*($W346^Transportation_LCIA!P$60)+Transportation_LCIA!P$62</f>
        <v>1.5531130572010899E-8</v>
      </c>
      <c r="AM346" s="16">
        <f>Transportation_LCIA!Q$61*($W346^Transportation_LCIA!Q$60)+Transportation_LCIA!Q$62</f>
        <v>3.8234970068679485E-5</v>
      </c>
      <c r="AN346" s="16">
        <f>Transportation_LCIA!R$61*($W346^Transportation_LCIA!R$60)+Transportation_LCIA!R$62</f>
        <v>9.7241640649896902E-5</v>
      </c>
      <c r="AO346" s="16">
        <f>Transportation_LCIA!S$61*($W346^Transportation_LCIA!S$60)+Transportation_LCIA!S$62</f>
        <v>1.6343062475428008E-6</v>
      </c>
      <c r="AP346" s="16">
        <f>Transportation_LCIA!T$61*($W346^Transportation_LCIA!T$60)+Transportation_LCIA!T$62</f>
        <v>1.6343062475428008E-6</v>
      </c>
      <c r="AQ346" s="16">
        <f>Transportation_LCIA!U$61*($W346^Transportation_LCIA!U$60)+Transportation_LCIA!U$62</f>
        <v>2.0203545860774752E-4</v>
      </c>
      <c r="AR346" s="16">
        <f>Transportation_LCIA!V$61*($W346^Transportation_LCIA!V$60)+Transportation_LCIA!V$62</f>
        <v>1.0017547912599453E-4</v>
      </c>
      <c r="AT346" s="16">
        <f>$W346*Y346+($L346)*Summary_LCIA!H$32</f>
        <v>970.9493328366691</v>
      </c>
      <c r="AU346" s="16">
        <f>$W346*Z346+($L346)*Summary_LCIA!Q$32</f>
        <v>9272.6392448377846</v>
      </c>
      <c r="AV346" s="16">
        <f>$W346*AA346+($L346)*Summary_LCIA!R$32</f>
        <v>2.9699736924887272</v>
      </c>
      <c r="AW346" s="16">
        <f>$W346*AB346+($L346)*Summary_LCIA!S$32</f>
        <v>970.87860841666918</v>
      </c>
      <c r="AX346" s="16">
        <f>$W346*AC346+($L346)*Summary_LCIA!T$32</f>
        <v>218.18707201673945</v>
      </c>
      <c r="AY346" s="16">
        <f>$W346*AD346+($L346)*Summary_LCIA!U$32</f>
        <v>1.1197876905302635</v>
      </c>
      <c r="AZ346" s="16">
        <f>$W346*AE346+($L346)*Summary_LCIA!V$32</f>
        <v>1.5047045404453554E-2</v>
      </c>
      <c r="BA346" s="16">
        <f>$W346*AF346+($L346)*Summary_LCIA!W$32</f>
        <v>22.832270966233398</v>
      </c>
      <c r="BB346" s="16">
        <f>$W346*AG346+($L346)*Summary_LCIA!X$32</f>
        <v>43.196224843705863</v>
      </c>
      <c r="BC346" s="16">
        <f>$W346*AH346+($L346)*Summary_LCIA!Y$32</f>
        <v>0.91955841175278064</v>
      </c>
      <c r="BD346" s="16">
        <f>$W346*AI346+($L346)*Summary_LCIA!Z$32</f>
        <v>1.1073154954509818</v>
      </c>
      <c r="BE346" s="16">
        <f>$W346*AJ346+($L346)*Summary_LCIA!AA$32</f>
        <v>3.5878605884515524</v>
      </c>
      <c r="BF346" s="16">
        <f>$W346*AK346+($L346)*Summary_LCIA!AB$32</f>
        <v>0.2274126653989943</v>
      </c>
      <c r="BG346" s="16">
        <f>$W346*AL346+($L346)*Summary_LCIA!AC$32</f>
        <v>1.1126919625704915E-4</v>
      </c>
      <c r="BH346" s="16">
        <f>$W346*AM346+($L346)*Summary_LCIA!AD$32</f>
        <v>0.27857703503084091</v>
      </c>
      <c r="BI346" s="16">
        <f>$W346*AN346+($L346)*Summary_LCIA!AE$32</f>
        <v>0.70594685956642222</v>
      </c>
      <c r="BJ346" s="16">
        <f>$W346*AO346+($L346)*Summary_LCIA!AF$32</f>
        <v>2.5153866483379542E-2</v>
      </c>
      <c r="BK346" s="16">
        <f>$W346*AP346+($L346)*Summary_LCIA!AG$32</f>
        <v>1.2444992228379538E-2</v>
      </c>
      <c r="BL346" s="16">
        <f>$W346*AQ346+($L346)*Summary_LCIA!AH$32</f>
        <v>1.5765275701363453</v>
      </c>
      <c r="BM346" s="16">
        <f>$W346*AR346+($L346)*Summary_LCIA!AI$32</f>
        <v>0.72754467620202012</v>
      </c>
      <c r="BN346" s="16"/>
    </row>
    <row r="347" spans="1:66" x14ac:dyDescent="0.25">
      <c r="A347" s="159">
        <v>153</v>
      </c>
      <c r="B347" s="159">
        <v>6</v>
      </c>
      <c r="C347" s="45">
        <v>48.790447</v>
      </c>
      <c r="D347" s="45">
        <v>11.497889000000001</v>
      </c>
      <c r="E347" s="45" t="s">
        <v>281</v>
      </c>
      <c r="F347" s="159">
        <v>38</v>
      </c>
      <c r="G347" s="45" t="s">
        <v>567</v>
      </c>
      <c r="H347" s="45" t="s">
        <v>678</v>
      </c>
      <c r="I347" s="45">
        <v>48.353696999999997</v>
      </c>
      <c r="J347" s="45">
        <v>11.775111000000001</v>
      </c>
      <c r="K347" s="45">
        <v>55.559302189999997</v>
      </c>
      <c r="L347" s="45">
        <v>128.94999999999999</v>
      </c>
      <c r="M347" s="61" t="s">
        <v>589</v>
      </c>
      <c r="N347" s="159">
        <v>5</v>
      </c>
      <c r="O347" s="159">
        <v>6</v>
      </c>
      <c r="P347" s="45" t="s">
        <v>565</v>
      </c>
      <c r="Q347" s="45" t="s">
        <v>564</v>
      </c>
      <c r="R347" s="45">
        <v>41.98028</v>
      </c>
      <c r="S347" s="45">
        <v>-87.908997900000003</v>
      </c>
      <c r="T347" s="45"/>
      <c r="U347" s="45" t="s">
        <v>622</v>
      </c>
      <c r="V347" s="45" t="s">
        <v>569</v>
      </c>
      <c r="W347" s="45" cm="1">
        <f t="array" ref="W347">getDistance(R347,S347,I347,J347)*SA!$B$12</f>
        <v>7290.841395242107</v>
      </c>
      <c r="Y347" s="16">
        <f>Transportation_LCIA!C$61*($W347^Transportation_LCIA!C$60)+Transportation_LCIA!C$62</f>
        <v>0.13523543529493759</v>
      </c>
      <c r="Z347" s="16">
        <f>Transportation_LCIA!D$61*($W347^Transportation_LCIA!D$60)+Transportation_LCIA!D$62</f>
        <v>1.2870964385325641</v>
      </c>
      <c r="AA347" s="16">
        <f>Transportation_LCIA!E$61*($W347^Transportation_LCIA!E$60)+Transportation_LCIA!E$62</f>
        <v>4.0230180931615737E-4</v>
      </c>
      <c r="AB347" s="16">
        <f>Transportation_LCIA!F$61*($W347^Transportation_LCIA!F$60)+Transportation_LCIA!F$62</f>
        <v>0.13523543529493759</v>
      </c>
      <c r="AC347" s="16">
        <f>Transportation_LCIA!G$61*($W347^Transportation_LCIA!G$60)+Transportation_LCIA!G$62</f>
        <v>3.0302196071039959E-2</v>
      </c>
      <c r="AD347" s="16">
        <f>Transportation_LCIA!H$61*($W347^Transportation_LCIA!H$60)+Transportation_LCIA!H$62</f>
        <v>1.1641427944747871E-4</v>
      </c>
      <c r="AE347" s="16">
        <f>Transportation_LCIA!I$61*($W347^Transportation_LCIA!I$60)+Transportation_LCIA!I$62</f>
        <v>1.9913951681846798E-6</v>
      </c>
      <c r="AF347" s="16">
        <f>Transportation_LCIA!J$61*($W347^Transportation_LCIA!J$60)+Transportation_LCIA!J$62</f>
        <v>3.0132591753691267E-3</v>
      </c>
      <c r="AG347" s="16">
        <f>Transportation_LCIA!K$61*($W347^Transportation_LCIA!K$60)+Transportation_LCIA!K$62</f>
        <v>5.9937734665535189E-3</v>
      </c>
      <c r="AH347" s="16">
        <f>Transportation_LCIA!L$61*($W347^Transportation_LCIA!L$60)+Transportation_LCIA!L$62</f>
        <v>9.3583835641710154E-5</v>
      </c>
      <c r="AI347" s="16">
        <f>Transportation_LCIA!M$61*($W347^Transportation_LCIA!M$60)+Transportation_LCIA!M$62</f>
        <v>1.5517705405882002E-4</v>
      </c>
      <c r="AJ347" s="16">
        <f>Transportation_LCIA!N$61*($W347^Transportation_LCIA!N$60)+Transportation_LCIA!N$62</f>
        <v>4.494403484785802E-4</v>
      </c>
      <c r="AK347" s="16">
        <f>Transportation_LCIA!O$61*($W347^Transportation_LCIA!O$60)+Transportation_LCIA!O$62</f>
        <v>3.188803257699897E-5</v>
      </c>
      <c r="AL347" s="16">
        <f>Transportation_LCIA!P$61*($W347^Transportation_LCIA!P$60)+Transportation_LCIA!P$62</f>
        <v>1.546900405510386E-8</v>
      </c>
      <c r="AM347" s="16">
        <f>Transportation_LCIA!Q$61*($W347^Transportation_LCIA!Q$60)+Transportation_LCIA!Q$62</f>
        <v>3.7991390499638345E-5</v>
      </c>
      <c r="AN347" s="16">
        <f>Transportation_LCIA!R$61*($W347^Transportation_LCIA!R$60)+Transportation_LCIA!R$62</f>
        <v>9.6459661264163969E-5</v>
      </c>
      <c r="AO347" s="16">
        <f>Transportation_LCIA!S$61*($W347^Transportation_LCIA!S$60)+Transportation_LCIA!S$62</f>
        <v>1.6231700657029187E-6</v>
      </c>
      <c r="AP347" s="16">
        <f>Transportation_LCIA!T$61*($W347^Transportation_LCIA!T$60)+Transportation_LCIA!T$62</f>
        <v>1.6231700657029187E-6</v>
      </c>
      <c r="AQ347" s="16">
        <f>Transportation_LCIA!U$61*($W347^Transportation_LCIA!U$60)+Transportation_LCIA!U$62</f>
        <v>2.0034537038188444E-4</v>
      </c>
      <c r="AR347" s="16">
        <f>Transportation_LCIA!V$61*($W347^Transportation_LCIA!V$60)+Transportation_LCIA!V$62</f>
        <v>9.9551363133687748E-5</v>
      </c>
      <c r="AT347" s="16">
        <f>$W347*Y347+($L347)*Summary_LCIA!H$34</f>
        <v>995.5819846519164</v>
      </c>
      <c r="AU347" s="16">
        <f ca="1">$W347*Z347+($L347)*Summary_LCIA!Q$34</f>
        <v>9543.2807499304072</v>
      </c>
      <c r="AV347" s="16">
        <f ca="1">$W347*AA347+($L347)*Summary_LCIA!R$34</f>
        <v>3.2627922547430366</v>
      </c>
      <c r="AW347" s="16">
        <f ca="1">$W347*AB347+($L347)*Summary_LCIA!S$34</f>
        <v>995.44993985191638</v>
      </c>
      <c r="AX347" s="16">
        <f ca="1">$W347*AC347+($L347)*Summary_LCIA!T$34</f>
        <v>223.60331533148087</v>
      </c>
      <c r="AY347" s="16">
        <f ca="1">$W347*AD347+($L347)*Summary_LCIA!U$34</f>
        <v>1.0859744675929601</v>
      </c>
      <c r="AZ347" s="16">
        <f ca="1">$W347*AE347+($L347)*Summary_LCIA!V$34</f>
        <v>2.497588867648598E-2</v>
      </c>
      <c r="BA347" s="16">
        <f ca="1">$W347*AF347+($L347)*Summary_LCIA!W$34</f>
        <v>28.487488280374322</v>
      </c>
      <c r="BB347" s="16">
        <f ca="1">$W347*AG347+($L347)*Summary_LCIA!X$34</f>
        <v>45.069616503652178</v>
      </c>
      <c r="BC347" s="16">
        <f ca="1">$W347*AH347+($L347)*Summary_LCIA!Y$34</f>
        <v>0.9032736228221141</v>
      </c>
      <c r="BD347" s="16">
        <f ca="1">$W347*AI347+($L347)*Summary_LCIA!Z$34</f>
        <v>1.1350470090737672</v>
      </c>
      <c r="BE347" s="16">
        <f ca="1">$W347*AJ347+($L347)*Summary_LCIA!AA$34</f>
        <v>3.5427705673796703</v>
      </c>
      <c r="BF347" s="16">
        <f ca="1">$W347*AK347+($L347)*Summary_LCIA!AB$34</f>
        <v>0.23159581677021293</v>
      </c>
      <c r="BG347" s="16">
        <f ca="1">$W347*AL347+($L347)*Summary_LCIA!AC$34</f>
        <v>1.1325686190311923E-4</v>
      </c>
      <c r="BH347" s="16">
        <f ca="1">$W347*AM347+($L347)*Summary_LCIA!AD$34</f>
        <v>0.29132586351757095</v>
      </c>
      <c r="BI347" s="16">
        <f ca="1">$W347*AN347+($L347)*Summary_LCIA!AE$34</f>
        <v>0.74194935431579823</v>
      </c>
      <c r="BJ347" s="16">
        <f ca="1">$W347*AO347+($L347)*Summary_LCIA!AF$34</f>
        <v>4.2506322506544687E-2</v>
      </c>
      <c r="BK347" s="16">
        <f ca="1">$W347*AP347+($L347)*Summary_LCIA!AG$34</f>
        <v>1.2187353501544689E-2</v>
      </c>
      <c r="BL347" s="16">
        <f ca="1">$W347*AQ347+($L347)*Summary_LCIA!AH$34</f>
        <v>1.754473104725355</v>
      </c>
      <c r="BM347" s="16">
        <f ca="1">$W347*AR347+($L347)*Summary_LCIA!AI$34</f>
        <v>0.76201591178786954</v>
      </c>
      <c r="BN347" s="16"/>
    </row>
    <row r="348" spans="1:66" x14ac:dyDescent="0.25">
      <c r="A348" s="159">
        <v>154</v>
      </c>
      <c r="B348" s="159">
        <v>6</v>
      </c>
      <c r="C348" s="45">
        <v>48.790447</v>
      </c>
      <c r="D348" s="45">
        <v>11.497889000000001</v>
      </c>
      <c r="E348" s="45" t="s">
        <v>281</v>
      </c>
      <c r="F348" s="159">
        <v>38</v>
      </c>
      <c r="G348" s="45" t="s">
        <v>567</v>
      </c>
      <c r="H348" s="45" t="s">
        <v>678</v>
      </c>
      <c r="I348" s="45">
        <v>48.353696999999997</v>
      </c>
      <c r="J348" s="45">
        <v>11.775111000000001</v>
      </c>
      <c r="K348" s="45">
        <v>55.559302189999997</v>
      </c>
      <c r="L348" s="45">
        <v>128.94999999999999</v>
      </c>
      <c r="M348" s="61" t="s">
        <v>589</v>
      </c>
      <c r="N348" s="159">
        <v>5</v>
      </c>
      <c r="O348" s="159">
        <v>6</v>
      </c>
      <c r="P348" s="45" t="s">
        <v>565</v>
      </c>
      <c r="Q348" s="45" t="s">
        <v>564</v>
      </c>
      <c r="R348" s="45">
        <v>41.98028</v>
      </c>
      <c r="S348" s="45">
        <v>-87.908997900000003</v>
      </c>
      <c r="T348" s="45"/>
      <c r="U348" s="45" t="s">
        <v>622</v>
      </c>
      <c r="V348" s="45" t="s">
        <v>569</v>
      </c>
      <c r="W348" s="45" cm="1">
        <f t="array" ref="W348">getDistance(R348,S348,I348,J348)*SA!$B$12</f>
        <v>7290.841395242107</v>
      </c>
      <c r="Y348" s="16">
        <f>Transportation_LCIA!C$61*($W348^Transportation_LCIA!C$60)+Transportation_LCIA!C$62</f>
        <v>0.13523543529493759</v>
      </c>
      <c r="Z348" s="16">
        <f>Transportation_LCIA!D$61*($W348^Transportation_LCIA!D$60)+Transportation_LCIA!D$62</f>
        <v>1.2870964385325641</v>
      </c>
      <c r="AA348" s="16">
        <f>Transportation_LCIA!E$61*($W348^Transportation_LCIA!E$60)+Transportation_LCIA!E$62</f>
        <v>4.0230180931615737E-4</v>
      </c>
      <c r="AB348" s="16">
        <f>Transportation_LCIA!F$61*($W348^Transportation_LCIA!F$60)+Transportation_LCIA!F$62</f>
        <v>0.13523543529493759</v>
      </c>
      <c r="AC348" s="16">
        <f>Transportation_LCIA!G$61*($W348^Transportation_LCIA!G$60)+Transportation_LCIA!G$62</f>
        <v>3.0302196071039959E-2</v>
      </c>
      <c r="AD348" s="16">
        <f>Transportation_LCIA!H$61*($W348^Transportation_LCIA!H$60)+Transportation_LCIA!H$62</f>
        <v>1.1641427944747871E-4</v>
      </c>
      <c r="AE348" s="16">
        <f>Transportation_LCIA!I$61*($W348^Transportation_LCIA!I$60)+Transportation_LCIA!I$62</f>
        <v>1.9913951681846798E-6</v>
      </c>
      <c r="AF348" s="16">
        <f>Transportation_LCIA!J$61*($W348^Transportation_LCIA!J$60)+Transportation_LCIA!J$62</f>
        <v>3.0132591753691267E-3</v>
      </c>
      <c r="AG348" s="16">
        <f>Transportation_LCIA!K$61*($W348^Transportation_LCIA!K$60)+Transportation_LCIA!K$62</f>
        <v>5.9937734665535189E-3</v>
      </c>
      <c r="AH348" s="16">
        <f>Transportation_LCIA!L$61*($W348^Transportation_LCIA!L$60)+Transportation_LCIA!L$62</f>
        <v>9.3583835641710154E-5</v>
      </c>
      <c r="AI348" s="16">
        <f>Transportation_LCIA!M$61*($W348^Transportation_LCIA!M$60)+Transportation_LCIA!M$62</f>
        <v>1.5517705405882002E-4</v>
      </c>
      <c r="AJ348" s="16">
        <f>Transportation_LCIA!N$61*($W348^Transportation_LCIA!N$60)+Transportation_LCIA!N$62</f>
        <v>4.494403484785802E-4</v>
      </c>
      <c r="AK348" s="16">
        <f>Transportation_LCIA!O$61*($W348^Transportation_LCIA!O$60)+Transportation_LCIA!O$62</f>
        <v>3.188803257699897E-5</v>
      </c>
      <c r="AL348" s="16">
        <f>Transportation_LCIA!P$61*($W348^Transportation_LCIA!P$60)+Transportation_LCIA!P$62</f>
        <v>1.546900405510386E-8</v>
      </c>
      <c r="AM348" s="16">
        <f>Transportation_LCIA!Q$61*($W348^Transportation_LCIA!Q$60)+Transportation_LCIA!Q$62</f>
        <v>3.7991390499638345E-5</v>
      </c>
      <c r="AN348" s="16">
        <f>Transportation_LCIA!R$61*($W348^Transportation_LCIA!R$60)+Transportation_LCIA!R$62</f>
        <v>9.6459661264163969E-5</v>
      </c>
      <c r="AO348" s="16">
        <f>Transportation_LCIA!S$61*($W348^Transportation_LCIA!S$60)+Transportation_LCIA!S$62</f>
        <v>1.6231700657029187E-6</v>
      </c>
      <c r="AP348" s="16">
        <f>Transportation_LCIA!T$61*($W348^Transportation_LCIA!T$60)+Transportation_LCIA!T$62</f>
        <v>1.6231700657029187E-6</v>
      </c>
      <c r="AQ348" s="16">
        <f>Transportation_LCIA!U$61*($W348^Transportation_LCIA!U$60)+Transportation_LCIA!U$62</f>
        <v>2.0034537038188444E-4</v>
      </c>
      <c r="AR348" s="16">
        <f>Transportation_LCIA!V$61*($W348^Transportation_LCIA!V$60)+Transportation_LCIA!V$62</f>
        <v>9.9551363133687748E-5</v>
      </c>
      <c r="AT348" s="16">
        <f>$W348*Y348+($L348)*Summary_LCIA!H$34</f>
        <v>995.5819846519164</v>
      </c>
      <c r="AU348" s="16">
        <f ca="1">$W348*Z348+($L348)*Summary_LCIA!Q$34</f>
        <v>9543.2807499304072</v>
      </c>
      <c r="AV348" s="16">
        <f ca="1">$W348*AA348+($L348)*Summary_LCIA!R$34</f>
        <v>3.2627922547430366</v>
      </c>
      <c r="AW348" s="16">
        <f ca="1">$W348*AB348+($L348)*Summary_LCIA!S$34</f>
        <v>995.44993985191638</v>
      </c>
      <c r="AX348" s="16">
        <f ca="1">$W348*AC348+($L348)*Summary_LCIA!T$34</f>
        <v>223.60331533148087</v>
      </c>
      <c r="AY348" s="16">
        <f ca="1">$W348*AD348+($L348)*Summary_LCIA!U$34</f>
        <v>1.0859744675929601</v>
      </c>
      <c r="AZ348" s="16">
        <f ca="1">$W348*AE348+($L348)*Summary_LCIA!V$34</f>
        <v>2.497588867648598E-2</v>
      </c>
      <c r="BA348" s="16">
        <f ca="1">$W348*AF348+($L348)*Summary_LCIA!W$34</f>
        <v>28.487488280374322</v>
      </c>
      <c r="BB348" s="16">
        <f ca="1">$W348*AG348+($L348)*Summary_LCIA!X$34</f>
        <v>45.069616503652178</v>
      </c>
      <c r="BC348" s="16">
        <f ca="1">$W348*AH348+($L348)*Summary_LCIA!Y$34</f>
        <v>0.9032736228221141</v>
      </c>
      <c r="BD348" s="16">
        <f ca="1">$W348*AI348+($L348)*Summary_LCIA!Z$34</f>
        <v>1.1350470090737672</v>
      </c>
      <c r="BE348" s="16">
        <f ca="1">$W348*AJ348+($L348)*Summary_LCIA!AA$34</f>
        <v>3.5427705673796703</v>
      </c>
      <c r="BF348" s="16">
        <f ca="1">$W348*AK348+($L348)*Summary_LCIA!AB$34</f>
        <v>0.23159581677021293</v>
      </c>
      <c r="BG348" s="16">
        <f ca="1">$W348*AL348+($L348)*Summary_LCIA!AC$34</f>
        <v>1.1325686190311923E-4</v>
      </c>
      <c r="BH348" s="16">
        <f ca="1">$W348*AM348+($L348)*Summary_LCIA!AD$34</f>
        <v>0.29132586351757095</v>
      </c>
      <c r="BI348" s="16">
        <f ca="1">$W348*AN348+($L348)*Summary_LCIA!AE$34</f>
        <v>0.74194935431579823</v>
      </c>
      <c r="BJ348" s="16">
        <f ca="1">$W348*AO348+($L348)*Summary_LCIA!AF$34</f>
        <v>4.2506322506544687E-2</v>
      </c>
      <c r="BK348" s="16">
        <f ca="1">$W348*AP348+($L348)*Summary_LCIA!AG$34</f>
        <v>1.2187353501544689E-2</v>
      </c>
      <c r="BL348" s="16">
        <f ca="1">$W348*AQ348+($L348)*Summary_LCIA!AH$34</f>
        <v>1.754473104725355</v>
      </c>
      <c r="BM348" s="16">
        <f ca="1">$W348*AR348+($L348)*Summary_LCIA!AI$34</f>
        <v>0.76201591178786954</v>
      </c>
      <c r="BN348" s="16"/>
    </row>
    <row r="349" spans="1:66" x14ac:dyDescent="0.25">
      <c r="A349" s="159">
        <v>176</v>
      </c>
      <c r="B349" s="159">
        <v>6</v>
      </c>
      <c r="C349" s="45">
        <v>50.850346000000002</v>
      </c>
      <c r="D349" s="45">
        <v>4.3517210000000004</v>
      </c>
      <c r="E349" s="45" t="s">
        <v>464</v>
      </c>
      <c r="F349" s="159">
        <v>12</v>
      </c>
      <c r="G349" s="45" t="s">
        <v>679</v>
      </c>
      <c r="H349" s="45" t="s">
        <v>680</v>
      </c>
      <c r="I349" s="45">
        <v>52.310538999999999</v>
      </c>
      <c r="J349" s="45">
        <v>4.7682739999999999</v>
      </c>
      <c r="K349" s="45">
        <v>165.15017539999999</v>
      </c>
      <c r="L349" s="45">
        <v>197.702</v>
      </c>
      <c r="M349" s="61" t="s">
        <v>589</v>
      </c>
      <c r="N349" s="159">
        <v>5</v>
      </c>
      <c r="O349" s="159">
        <v>6</v>
      </c>
      <c r="P349" s="45" t="s">
        <v>565</v>
      </c>
      <c r="Q349" s="45" t="s">
        <v>564</v>
      </c>
      <c r="R349" s="45">
        <v>41.98028</v>
      </c>
      <c r="S349" s="45">
        <v>-87.908997900000003</v>
      </c>
      <c r="T349" s="45"/>
      <c r="U349" s="45" t="s">
        <v>622</v>
      </c>
      <c r="V349" s="45" t="s">
        <v>569</v>
      </c>
      <c r="W349" s="45" cm="1">
        <f t="array" ref="W349">getDistance(R349,S349,I349,J349)*SA!$B$12</f>
        <v>6632.2887438753278</v>
      </c>
      <c r="Y349" s="16">
        <f>Transportation_LCIA!C$61*($W349^Transportation_LCIA!C$60)+Transportation_LCIA!C$62</f>
        <v>0.13716603346863906</v>
      </c>
      <c r="Z349" s="16">
        <f>Transportation_LCIA!D$61*($W349^Transportation_LCIA!D$60)+Transportation_LCIA!D$62</f>
        <v>1.3078038373302929</v>
      </c>
      <c r="AA349" s="16">
        <f>Transportation_LCIA!E$61*($W349^Transportation_LCIA!E$60)+Transportation_LCIA!E$62</f>
        <v>4.1559763971151745E-4</v>
      </c>
      <c r="AB349" s="16">
        <f>Transportation_LCIA!F$61*($W349^Transportation_LCIA!F$60)+Transportation_LCIA!F$62</f>
        <v>0.13716603346863906</v>
      </c>
      <c r="AC349" s="16">
        <f>Transportation_LCIA!G$61*($W349^Transportation_LCIA!G$60)+Transportation_LCIA!G$62</f>
        <v>3.078364026720818E-2</v>
      </c>
      <c r="AD349" s="16">
        <f>Transportation_LCIA!H$61*($W349^Transportation_LCIA!H$60)+Transportation_LCIA!H$62</f>
        <v>1.1920399643427205E-4</v>
      </c>
      <c r="AE349" s="16">
        <f>Transportation_LCIA!I$61*($W349^Transportation_LCIA!I$60)+Transportation_LCIA!I$62</f>
        <v>2.0565197113200838E-6</v>
      </c>
      <c r="AF349" s="16">
        <f>Transportation_LCIA!J$61*($W349^Transportation_LCIA!J$60)+Transportation_LCIA!J$62</f>
        <v>3.1055831426297711E-3</v>
      </c>
      <c r="AG349" s="16">
        <f>Transportation_LCIA!K$61*($W349^Transportation_LCIA!K$60)+Transportation_LCIA!K$62</f>
        <v>6.1014695256803586E-3</v>
      </c>
      <c r="AH349" s="16">
        <f>Transportation_LCIA!L$61*($W349^Transportation_LCIA!L$60)+Transportation_LCIA!L$62</f>
        <v>9.609402578970302E-5</v>
      </c>
      <c r="AI349" s="16">
        <f>Transportation_LCIA!M$61*($W349^Transportation_LCIA!M$60)+Transportation_LCIA!M$62</f>
        <v>1.567127504146819E-4</v>
      </c>
      <c r="AJ349" s="16">
        <f>Transportation_LCIA!N$61*($W349^Transportation_LCIA!N$60)+Transportation_LCIA!N$62</f>
        <v>4.5887623536206706E-4</v>
      </c>
      <c r="AK349" s="16">
        <f>Transportation_LCIA!O$61*($W349^Transportation_LCIA!O$60)+Transportation_LCIA!O$62</f>
        <v>3.2398444381506369E-5</v>
      </c>
      <c r="AL349" s="16">
        <f>Transportation_LCIA!P$61*($W349^Transportation_LCIA!P$60)+Transportation_LCIA!P$62</f>
        <v>1.5715949191790643E-8</v>
      </c>
      <c r="AM349" s="16">
        <f>Transportation_LCIA!Q$61*($W349^Transportation_LCIA!Q$60)+Transportation_LCIA!Q$62</f>
        <v>3.896159039721733E-5</v>
      </c>
      <c r="AN349" s="16">
        <f>Transportation_LCIA!R$61*($W349^Transportation_LCIA!R$60)+Transportation_LCIA!R$62</f>
        <v>9.9576888850548906E-5</v>
      </c>
      <c r="AO349" s="16">
        <f>Transportation_LCIA!S$61*($W349^Transportation_LCIA!S$60)+Transportation_LCIA!S$62</f>
        <v>1.6675598015362514E-6</v>
      </c>
      <c r="AP349" s="16">
        <f>Transportation_LCIA!T$61*($W349^Transportation_LCIA!T$60)+Transportation_LCIA!T$62</f>
        <v>1.6675598015362514E-6</v>
      </c>
      <c r="AQ349" s="16">
        <f>Transportation_LCIA!U$61*($W349^Transportation_LCIA!U$60)+Transportation_LCIA!U$62</f>
        <v>2.0708439134245054E-4</v>
      </c>
      <c r="AR349" s="16">
        <f>Transportation_LCIA!V$61*($W349^Transportation_LCIA!V$60)+Transportation_LCIA!V$62</f>
        <v>1.0203795621530453E-4</v>
      </c>
      <c r="AT349" s="16">
        <f>$W349*Y349+($L349)*Summary_LCIA!H$34</f>
        <v>924.44602614008124</v>
      </c>
      <c r="AU349" s="16">
        <f ca="1">$W349*Z349+($L349)*Summary_LCIA!Q$34</f>
        <v>8917.9122804721228</v>
      </c>
      <c r="AV349" s="16">
        <f ca="1">$W349*AA349+($L349)*Summary_LCIA!R$34</f>
        <v>3.2618084810398509</v>
      </c>
      <c r="AW349" s="16">
        <f ca="1">$W349*AB349+($L349)*Summary_LCIA!S$34</f>
        <v>924.24357929208134</v>
      </c>
      <c r="AX349" s="16">
        <f ca="1">$W349*AC349+($L349)*Summary_LCIA!T$34</f>
        <v>208.26692342571209</v>
      </c>
      <c r="AY349" s="16">
        <f ca="1">$W349*AD349+($L349)*Summary_LCIA!U$34</f>
        <v>1.1542879229759773</v>
      </c>
      <c r="AZ349" s="16">
        <f ca="1">$W349*AE349+($L349)*Summary_LCIA!V$34</f>
        <v>2.9671680818945931E-2</v>
      </c>
      <c r="BA349" s="16">
        <f ca="1">$W349*AF349+($L349)*Summary_LCIA!W$34</f>
        <v>30.590762518032399</v>
      </c>
      <c r="BB349" s="16">
        <f ca="1">$W349*AG349+($L349)*Summary_LCIA!X$34</f>
        <v>42.567093704268174</v>
      </c>
      <c r="BC349" s="16">
        <f ca="1">$W349*AH349+($L349)*Summary_LCIA!Y$34</f>
        <v>0.97610547279871274</v>
      </c>
      <c r="BD349" s="16">
        <f ca="1">$W349*AI349+($L349)*Summary_LCIA!Z$34</f>
        <v>1.0449997061070384</v>
      </c>
      <c r="BE349" s="16">
        <f ca="1">$W349*AJ349+($L349)*Summary_LCIA!AA$34</f>
        <v>3.4511798358237229</v>
      </c>
      <c r="BF349" s="16">
        <f ca="1">$W349*AK349+($L349)*Summary_LCIA!AB$34</f>
        <v>0.21350400358273555</v>
      </c>
      <c r="BG349" s="16">
        <f ca="1">$W349*AL349+($L349)*Summary_LCIA!AC$34</f>
        <v>1.0496067145822965E-4</v>
      </c>
      <c r="BH349" s="16">
        <f ca="1">$W349*AM349+($L349)*Summary_LCIA!AD$34</f>
        <v>0.28038502579494556</v>
      </c>
      <c r="BI349" s="16">
        <f ca="1">$W349*AN349+($L349)*Summary_LCIA!AE$34</f>
        <v>0.71972141695362013</v>
      </c>
      <c r="BJ349" s="16">
        <f ca="1">$W349*AO349+($L349)*Summary_LCIA!AF$34</f>
        <v>5.8085135821467855E-2</v>
      </c>
      <c r="BK349" s="16">
        <f ca="1">$W349*AP349+($L349)*Summary_LCIA!AG$34</f>
        <v>1.1601065947667856E-2</v>
      </c>
      <c r="BL349" s="16">
        <f ca="1">$W349*AQ349+($L349)*Summary_LCIA!AH$34</f>
        <v>1.8238679443328083</v>
      </c>
      <c r="BM349" s="16">
        <f ca="1">$W349*AR349+($L349)*Summary_LCIA!AI$34</f>
        <v>0.73225002495480784</v>
      </c>
      <c r="BN349" s="16"/>
    </row>
    <row r="350" spans="1:66" x14ac:dyDescent="0.25">
      <c r="A350" s="159">
        <v>180</v>
      </c>
      <c r="B350" s="159">
        <v>6</v>
      </c>
      <c r="C350" s="45">
        <v>-23.563486999999999</v>
      </c>
      <c r="D350" s="45">
        <v>-46.72101</v>
      </c>
      <c r="E350" s="45" t="s">
        <v>465</v>
      </c>
      <c r="F350" s="159">
        <v>52</v>
      </c>
      <c r="G350" s="45" t="s">
        <v>682</v>
      </c>
      <c r="H350" s="45" t="s">
        <v>683</v>
      </c>
      <c r="I350" s="45">
        <v>-23.430572999999999</v>
      </c>
      <c r="J350" s="45">
        <v>-46.473042999999997</v>
      </c>
      <c r="K350" s="45">
        <v>29.423486180000001</v>
      </c>
      <c r="L350" s="45">
        <v>47.289000000000001</v>
      </c>
      <c r="M350" s="61" t="s">
        <v>617</v>
      </c>
      <c r="N350" s="159">
        <v>5</v>
      </c>
      <c r="O350" s="159">
        <v>6</v>
      </c>
      <c r="P350" s="45" t="s">
        <v>565</v>
      </c>
      <c r="Q350" s="45" t="s">
        <v>564</v>
      </c>
      <c r="R350" s="45">
        <v>41.98028</v>
      </c>
      <c r="S350" s="45">
        <v>-87.908997900000003</v>
      </c>
      <c r="T350" s="45"/>
      <c r="U350" s="45" t="s">
        <v>622</v>
      </c>
      <c r="V350" s="45" t="s">
        <v>569</v>
      </c>
      <c r="W350" s="45" cm="1">
        <f t="array" ref="W350">getDistance(R350,S350,I350,J350)*SA!$B$12</f>
        <v>8422.5070302481017</v>
      </c>
      <c r="Y350" s="16">
        <f>Transportation_LCIA!C$61*($W350^Transportation_LCIA!C$60)+Transportation_LCIA!C$62</f>
        <v>0.13257261459336128</v>
      </c>
      <c r="Z350" s="16">
        <f>Transportation_LCIA!D$61*($W350^Transportation_LCIA!D$60)+Transportation_LCIA!D$62</f>
        <v>1.2586820151780742</v>
      </c>
      <c r="AA350" s="16">
        <f>Transportation_LCIA!E$61*($W350^Transportation_LCIA!E$60)+Transportation_LCIA!E$62</f>
        <v>3.8408382526349319E-4</v>
      </c>
      <c r="AB350" s="16">
        <f>Transportation_LCIA!F$61*($W350^Transportation_LCIA!F$60)+Transportation_LCIA!F$62</f>
        <v>0.13257261459336128</v>
      </c>
      <c r="AC350" s="16">
        <f>Transportation_LCIA!G$61*($W350^Transportation_LCIA!G$60)+Transportation_LCIA!G$62</f>
        <v>2.9641366176938799E-2</v>
      </c>
      <c r="AD350" s="16">
        <f>Transportation_LCIA!H$61*($W350^Transportation_LCIA!H$60)+Transportation_LCIA!H$62</f>
        <v>1.126027108406742E-4</v>
      </c>
      <c r="AE350" s="16">
        <f>Transportation_LCIA!I$61*($W350^Transportation_LCIA!I$60)+Transportation_LCIA!I$62</f>
        <v>1.9028245607617693E-6</v>
      </c>
      <c r="AF350" s="16">
        <f>Transportation_LCIA!J$61*($W350^Transportation_LCIA!J$60)+Transportation_LCIA!J$62</f>
        <v>2.8880736872192096E-3</v>
      </c>
      <c r="AG350" s="16">
        <f>Transportation_LCIA!K$61*($W350^Transportation_LCIA!K$60)+Transportation_LCIA!K$62</f>
        <v>5.8463339537824059E-3</v>
      </c>
      <c r="AH350" s="16">
        <f>Transportation_LCIA!L$61*($W350^Transportation_LCIA!L$60)+Transportation_LCIA!L$62</f>
        <v>9.0158674441413538E-5</v>
      </c>
      <c r="AI350" s="16">
        <f>Transportation_LCIA!M$61*($W350^Transportation_LCIA!M$60)+Transportation_LCIA!M$62</f>
        <v>1.5307917071161358E-4</v>
      </c>
      <c r="AJ350" s="16">
        <f>Transportation_LCIA!N$61*($W350^Transportation_LCIA!N$60)+Transportation_LCIA!N$62</f>
        <v>4.3654345287238349E-4</v>
      </c>
      <c r="AK350" s="16">
        <f>Transportation_LCIA!O$61*($W350^Transportation_LCIA!O$60)+Transportation_LCIA!O$62</f>
        <v>3.1187540895566968E-5</v>
      </c>
      <c r="AL350" s="16">
        <f>Transportation_LCIA!P$61*($W350^Transportation_LCIA!P$60)+Transportation_LCIA!P$62</f>
        <v>1.5129965505407241E-8</v>
      </c>
      <c r="AM350" s="16">
        <f>Transportation_LCIA!Q$61*($W350^Transportation_LCIA!Q$60)+Transportation_LCIA!Q$62</f>
        <v>3.6668483978999491E-5</v>
      </c>
      <c r="AN350" s="16">
        <f>Transportation_LCIA!R$61*($W350^Transportation_LCIA!R$60)+Transportation_LCIA!R$62</f>
        <v>9.2220644267511622E-5</v>
      </c>
      <c r="AO350" s="16">
        <f>Transportation_LCIA!S$61*($W350^Transportation_LCIA!S$60)+Transportation_LCIA!S$62</f>
        <v>1.5627934623745161E-6</v>
      </c>
      <c r="AP350" s="16">
        <f>Transportation_LCIA!T$61*($W350^Transportation_LCIA!T$60)+Transportation_LCIA!T$62</f>
        <v>1.5627934623745161E-6</v>
      </c>
      <c r="AQ350" s="16">
        <f>Transportation_LCIA!U$61*($W350^Transportation_LCIA!U$60)+Transportation_LCIA!U$62</f>
        <v>1.9118918802464308E-4</v>
      </c>
      <c r="AR350" s="16">
        <f>Transportation_LCIA!V$61*($W350^Transportation_LCIA!V$60)+Transportation_LCIA!V$62</f>
        <v>9.6163878021168E-5</v>
      </c>
      <c r="AT350" s="16">
        <f>$W350*Y350+($L350)*Summary_LCIA!H$32</f>
        <v>1132.6625806309573</v>
      </c>
      <c r="AU350" s="16">
        <f>$W350*Z350+($L350)*Summary_LCIA!Q$32</f>
        <v>10835.624790610314</v>
      </c>
      <c r="AV350" s="16">
        <f>$W350*AA350+($L350)*Summary_LCIA!R$32</f>
        <v>3.483953676886355</v>
      </c>
      <c r="AW350" s="16">
        <f>$W350*AB350+($L350)*Summary_LCIA!S$32</f>
        <v>1132.4535632509574</v>
      </c>
      <c r="AX350" s="16">
        <f>$W350*AC350+($L350)*Summary_LCIA!T$32</f>
        <v>254.85167611142535</v>
      </c>
      <c r="AY350" s="16">
        <f>$W350*AD350+($L350)*Summary_LCIA!U$32</f>
        <v>1.7955322696805724</v>
      </c>
      <c r="AZ350" s="16">
        <f>$W350*AE350+($L350)*Summary_LCIA!V$32</f>
        <v>1.8285123169344757E-2</v>
      </c>
      <c r="BA350" s="16">
        <f>$W350*AF350+($L350)*Summary_LCIA!W$32</f>
        <v>27.96470255347835</v>
      </c>
      <c r="BB350" s="16">
        <f>$W350*AG350+($L350)*Summary_LCIA!X$32</f>
        <v>50.318032246910498</v>
      </c>
      <c r="BC350" s="16">
        <f>$W350*AH350+($L350)*Summary_LCIA!Y$32</f>
        <v>1.4962192673206554</v>
      </c>
      <c r="BD350" s="16">
        <f>$W350*AI350+($L350)*Summary_LCIA!Z$32</f>
        <v>1.2912496661041146</v>
      </c>
      <c r="BE350" s="16">
        <f>$W350*AJ350+($L350)*Summary_LCIA!AA$32</f>
        <v>4.781272184826431</v>
      </c>
      <c r="BF350" s="16">
        <f>$W350*AK350+($L350)*Summary_LCIA!AB$32</f>
        <v>0.26164529460206298</v>
      </c>
      <c r="BG350" s="16">
        <f>$W350*AL350+($L350)*Summary_LCIA!AC$32</f>
        <v>1.2974391631270375E-4</v>
      </c>
      <c r="BH350" s="16">
        <f>$W350*AM350+($L350)*Summary_LCIA!AD$32</f>
        <v>0.32827823466166312</v>
      </c>
      <c r="BI350" s="16">
        <f>$W350*AN350+($L350)*Summary_LCIA!AE$32</f>
        <v>0.81863322624712587</v>
      </c>
      <c r="BJ350" s="16">
        <f>$W350*AO350+($L350)*Summary_LCIA!AF$32</f>
        <v>5.3141705303675138E-2</v>
      </c>
      <c r="BK350" s="16">
        <f>$W350*AP350+($L350)*Summary_LCIA!AG$32</f>
        <v>1.5582180608675134E-2</v>
      </c>
      <c r="BL350" s="16">
        <f>$W350*AQ350+($L350)*Summary_LCIA!AH$32</f>
        <v>2.0218768206449829</v>
      </c>
      <c r="BM350" s="16">
        <f>$W350*AR350+($L350)*Summary_LCIA!AI$32</f>
        <v>0.85399300663920841</v>
      </c>
      <c r="BN350" s="16"/>
    </row>
    <row r="351" spans="1:66" x14ac:dyDescent="0.25">
      <c r="A351" s="159">
        <v>181</v>
      </c>
      <c r="B351" s="159">
        <v>6</v>
      </c>
      <c r="C351" s="45">
        <v>30.022765</v>
      </c>
      <c r="D351" s="45">
        <v>31.207319999999999</v>
      </c>
      <c r="E351" s="45" t="s">
        <v>269</v>
      </c>
      <c r="F351" s="159">
        <v>60</v>
      </c>
      <c r="G351" s="45" t="s">
        <v>270</v>
      </c>
      <c r="H351" s="45" t="s">
        <v>690</v>
      </c>
      <c r="I351" s="45">
        <v>30.112831</v>
      </c>
      <c r="J351" s="45">
        <v>31.397601999999999</v>
      </c>
      <c r="K351" s="45">
        <v>1340.507924</v>
      </c>
      <c r="L351" s="45">
        <v>25.734999999999999</v>
      </c>
      <c r="M351" s="61" t="s">
        <v>617</v>
      </c>
      <c r="N351" s="159">
        <v>5</v>
      </c>
      <c r="O351" s="159">
        <v>6</v>
      </c>
      <c r="P351" s="45" t="s">
        <v>565</v>
      </c>
      <c r="Q351" s="45" t="s">
        <v>564</v>
      </c>
      <c r="R351" s="45">
        <v>41.98028</v>
      </c>
      <c r="S351" s="45">
        <v>-87.908997900000003</v>
      </c>
      <c r="T351" s="45"/>
      <c r="U351" s="45" t="s">
        <v>622</v>
      </c>
      <c r="V351" s="45" t="s">
        <v>569</v>
      </c>
      <c r="W351" s="45" cm="1">
        <f t="array" ref="W351">getDistance(R351,S351,I351,J351)*SA!$B$12</f>
        <v>9900.0291283772822</v>
      </c>
      <c r="Y351" s="16">
        <f>Transportation_LCIA!C$61*($W351^Transportation_LCIA!C$60)+Transportation_LCIA!C$62</f>
        <v>0.12994852767993106</v>
      </c>
      <c r="Z351" s="16">
        <f>Transportation_LCIA!D$61*($W351^Transportation_LCIA!D$60)+Transportation_LCIA!D$62</f>
        <v>1.230865784867228</v>
      </c>
      <c r="AA351" s="16">
        <f>Transportation_LCIA!E$61*($W351^Transportation_LCIA!E$60)+Transportation_LCIA!E$62</f>
        <v>3.6628254168306483E-4</v>
      </c>
      <c r="AB351" s="16">
        <f>Transportation_LCIA!F$61*($W351^Transportation_LCIA!F$60)+Transportation_LCIA!F$62</f>
        <v>0.12994852767993106</v>
      </c>
      <c r="AC351" s="16">
        <f>Transportation_LCIA!G$61*($W351^Transportation_LCIA!G$60)+Transportation_LCIA!G$62</f>
        <v>2.899419840933673E-2</v>
      </c>
      <c r="AD351" s="16">
        <f>Transportation_LCIA!H$61*($W351^Transportation_LCIA!H$60)+Transportation_LCIA!H$62</f>
        <v>1.0889199367858527E-4</v>
      </c>
      <c r="AE351" s="16">
        <f>Transportation_LCIA!I$61*($W351^Transportation_LCIA!I$60)+Transportation_LCIA!I$62</f>
        <v>1.8171065671184848E-6</v>
      </c>
      <c r="AF351" s="16">
        <f>Transportation_LCIA!J$61*($W351^Transportation_LCIA!J$60)+Transportation_LCIA!J$62</f>
        <v>2.7673878340883878E-3</v>
      </c>
      <c r="AG351" s="16">
        <f>Transportation_LCIA!K$61*($W351^Transportation_LCIA!K$60)+Transportation_LCIA!K$62</f>
        <v>5.7024249710281184E-3</v>
      </c>
      <c r="AH351" s="16">
        <f>Transportation_LCIA!L$61*($W351^Transportation_LCIA!L$60)+Transportation_LCIA!L$62</f>
        <v>8.6829758902035986E-5</v>
      </c>
      <c r="AI351" s="16">
        <f>Transportation_LCIA!M$61*($W351^Transportation_LCIA!M$60)+Transportation_LCIA!M$62</f>
        <v>1.5103720494508027E-4</v>
      </c>
      <c r="AJ351" s="16">
        <f>Transportation_LCIA!N$61*($W351^Transportation_LCIA!N$60)+Transportation_LCIA!N$62</f>
        <v>4.2398188966580644E-4</v>
      </c>
      <c r="AK351" s="16">
        <f>Transportation_LCIA!O$61*($W351^Transportation_LCIA!O$60)+Transportation_LCIA!O$62</f>
        <v>3.0501656169904387E-5</v>
      </c>
      <c r="AL351" s="16">
        <f>Transportation_LCIA!P$61*($W351^Transportation_LCIA!P$60)+Transportation_LCIA!P$62</f>
        <v>1.4797833149143173E-8</v>
      </c>
      <c r="AM351" s="16">
        <f>Transportation_LCIA!Q$61*($W351^Transportation_LCIA!Q$60)+Transportation_LCIA!Q$62</f>
        <v>3.5383917470102017E-5</v>
      </c>
      <c r="AN351" s="16">
        <f>Transportation_LCIA!R$61*($W351^Transportation_LCIA!R$60)+Transportation_LCIA!R$62</f>
        <v>8.8118741197422746E-5</v>
      </c>
      <c r="AO351" s="16">
        <f>Transportation_LCIA!S$61*($W351^Transportation_LCIA!S$60)+Transportation_LCIA!S$62</f>
        <v>1.5043542912418394E-6</v>
      </c>
      <c r="AP351" s="16">
        <f>Transportation_LCIA!T$61*($W351^Transportation_LCIA!T$60)+Transportation_LCIA!T$62</f>
        <v>1.5043542912418394E-6</v>
      </c>
      <c r="AQ351" s="16">
        <f>Transportation_LCIA!U$61*($W351^Transportation_LCIA!U$60)+Transportation_LCIA!U$62</f>
        <v>1.823391138942095E-4</v>
      </c>
      <c r="AR351" s="16">
        <f>Transportation_LCIA!V$61*($W351^Transportation_LCIA!V$60)+Transportation_LCIA!V$62</f>
        <v>9.2878417612337412E-5</v>
      </c>
      <c r="AT351" s="16">
        <f>$W351*Y351+($L351)*Summary_LCIA!H$32</f>
        <v>1295.238962221059</v>
      </c>
      <c r="AU351" s="16">
        <f>$W351*Z351+($L351)*Summary_LCIA!Q$32</f>
        <v>12313.151081201777</v>
      </c>
      <c r="AV351" s="16">
        <f>$W351*AA351+($L351)*Summary_LCIA!R$32</f>
        <v>3.761718047878408</v>
      </c>
      <c r="AW351" s="16">
        <f>$W351*AB351+($L351)*Summary_LCIA!S$32</f>
        <v>1295.1252135210591</v>
      </c>
      <c r="AX351" s="16">
        <f>$W351*AC351+($L351)*Summary_LCIA!T$32</f>
        <v>289.87168530638388</v>
      </c>
      <c r="AY351" s="16">
        <f>$W351*AD351+($L351)*Summary_LCIA!U$32</f>
        <v>1.539050699265069</v>
      </c>
      <c r="AZ351" s="16">
        <f>$W351*AE351+($L351)*Summary_LCIA!V$32</f>
        <v>1.9218537278838647E-2</v>
      </c>
      <c r="BA351" s="16">
        <f>$W351*AF351+($L351)*Summary_LCIA!W$32</f>
        <v>29.378068851991959</v>
      </c>
      <c r="BB351" s="16">
        <f>$W351*AG351+($L351)*Summary_LCIA!X$32</f>
        <v>57.040416615564354</v>
      </c>
      <c r="BC351" s="16">
        <f>$W351*AH351+($L351)*Summary_LCIA!Y$32</f>
        <v>1.2606199123401329</v>
      </c>
      <c r="BD351" s="16">
        <f>$W351*AI351+($L351)*Summary_LCIA!Z$32</f>
        <v>1.496328095039984</v>
      </c>
      <c r="BE351" s="16">
        <f>$W351*AJ351+($L351)*Summary_LCIA!AA$32</f>
        <v>4.7984997175959263</v>
      </c>
      <c r="BF351" s="16">
        <f>$W351*AK351+($L351)*Summary_LCIA!AB$32</f>
        <v>0.30140566964080207</v>
      </c>
      <c r="BG351" s="16">
        <f>$W351*AL351+($L351)*Summary_LCIA!AC$32</f>
        <v>1.4775700895338435E-4</v>
      </c>
      <c r="BH351" s="16">
        <f>$W351*AM351+($L351)*Summary_LCIA!AD$32</f>
        <v>0.36087992803010777</v>
      </c>
      <c r="BI351" s="16">
        <f>$W351*AN351+($L351)*Summary_LCIA!AE$32</f>
        <v>0.89518266016042447</v>
      </c>
      <c r="BJ351" s="16">
        <f>$W351*AO351+($L351)*Summary_LCIA!AF$32</f>
        <v>3.6650035002693572E-2</v>
      </c>
      <c r="BK351" s="16">
        <f>$W351*AP351+($L351)*Summary_LCIA!AG$32</f>
        <v>1.6209882577693572E-2</v>
      </c>
      <c r="BL351" s="16">
        <f>$W351*AQ351+($L351)*Summary_LCIA!AH$32</f>
        <v>2.0291496847951769</v>
      </c>
      <c r="BM351" s="16">
        <f>$W351*AR351+($L351)*Summary_LCIA!AI$32</f>
        <v>0.94347247900972997</v>
      </c>
      <c r="BN351" s="16"/>
    </row>
    <row r="352" spans="1:66" x14ac:dyDescent="0.25">
      <c r="A352" s="159">
        <v>184</v>
      </c>
      <c r="B352" s="159">
        <v>6</v>
      </c>
      <c r="C352" s="45">
        <v>41.598080000000003</v>
      </c>
      <c r="D352" s="45">
        <v>2.0106459999999999</v>
      </c>
      <c r="E352" s="45" t="s">
        <v>466</v>
      </c>
      <c r="F352" s="159">
        <v>27</v>
      </c>
      <c r="G352" s="45" t="s">
        <v>686</v>
      </c>
      <c r="H352" s="45" t="s">
        <v>687</v>
      </c>
      <c r="I352" s="45">
        <v>41.297445000000003</v>
      </c>
      <c r="J352" s="45">
        <v>2.083294</v>
      </c>
      <c r="K352" s="45">
        <v>34.112855140000001</v>
      </c>
      <c r="L352" s="45">
        <v>46.094000000000001</v>
      </c>
      <c r="M352" s="61" t="s">
        <v>617</v>
      </c>
      <c r="N352" s="159">
        <v>5</v>
      </c>
      <c r="O352" s="159">
        <v>6</v>
      </c>
      <c r="P352" s="45" t="s">
        <v>565</v>
      </c>
      <c r="Q352" s="45" t="s">
        <v>564</v>
      </c>
      <c r="R352" s="45">
        <v>41.98028</v>
      </c>
      <c r="S352" s="45">
        <v>-87.908997900000003</v>
      </c>
      <c r="T352" s="45"/>
      <c r="U352" s="45" t="s">
        <v>622</v>
      </c>
      <c r="V352" s="45" t="s">
        <v>569</v>
      </c>
      <c r="W352" s="45" cm="1">
        <f t="array" ref="W352">getDistance(R352,S352,I352,J352)*SA!$B$12</f>
        <v>7113.9060264010013</v>
      </c>
      <c r="Y352" s="16">
        <f>Transportation_LCIA!C$61*($W352^Transportation_LCIA!C$60)+Transportation_LCIA!C$62</f>
        <v>0.13572180872975795</v>
      </c>
      <c r="Z352" s="16">
        <f>Transportation_LCIA!D$61*($W352^Transportation_LCIA!D$60)+Transportation_LCIA!D$62</f>
        <v>1.2923051622752959</v>
      </c>
      <c r="AA352" s="16">
        <f>Transportation_LCIA!E$61*($W352^Transportation_LCIA!E$60)+Transportation_LCIA!E$62</f>
        <v>4.0564477745127624E-4</v>
      </c>
      <c r="AB352" s="16">
        <f>Transportation_LCIA!F$61*($W352^Transportation_LCIA!F$60)+Transportation_LCIA!F$62</f>
        <v>0.13572180872975795</v>
      </c>
      <c r="AC352" s="16">
        <f>Transportation_LCIA!G$61*($W352^Transportation_LCIA!G$60)+Transportation_LCIA!G$62</f>
        <v>3.0423309123501718E-2</v>
      </c>
      <c r="AD352" s="16">
        <f>Transportation_LCIA!H$61*($W352^Transportation_LCIA!H$60)+Transportation_LCIA!H$62</f>
        <v>1.1711509449777771E-4</v>
      </c>
      <c r="AE352" s="16">
        <f>Transportation_LCIA!I$61*($W352^Transportation_LCIA!I$60)+Transportation_LCIA!I$62</f>
        <v>2.0077326844700226E-6</v>
      </c>
      <c r="AF352" s="16">
        <f>Transportation_LCIA!J$61*($W352^Transportation_LCIA!J$60)+Transportation_LCIA!J$62</f>
        <v>3.0363991195651759E-3</v>
      </c>
      <c r="AG352" s="16">
        <f>Transportation_LCIA!K$61*($W352^Transportation_LCIA!K$60)+Transportation_LCIA!K$62</f>
        <v>6.0208445128104781E-3</v>
      </c>
      <c r="AH352" s="16">
        <f>Transportation_LCIA!L$61*($W352^Transportation_LCIA!L$60)+Transportation_LCIA!L$62</f>
        <v>9.421418096688822E-5</v>
      </c>
      <c r="AI352" s="16">
        <f>Transportation_LCIA!M$61*($W352^Transportation_LCIA!M$60)+Transportation_LCIA!M$62</f>
        <v>1.5556282390222296E-4</v>
      </c>
      <c r="AJ352" s="16">
        <f>Transportation_LCIA!N$61*($W352^Transportation_LCIA!N$60)+Transportation_LCIA!N$62</f>
        <v>4.5181103328091328E-4</v>
      </c>
      <c r="AK352" s="16">
        <f>Transportation_LCIA!O$61*($W352^Transportation_LCIA!O$60)+Transportation_LCIA!O$62</f>
        <v>3.2016427315279196E-5</v>
      </c>
      <c r="AL352" s="16">
        <f>Transportation_LCIA!P$61*($W352^Transportation_LCIA!P$60)+Transportation_LCIA!P$62</f>
        <v>1.5531130572010899E-8</v>
      </c>
      <c r="AM352" s="16">
        <f>Transportation_LCIA!Q$61*($W352^Transportation_LCIA!Q$60)+Transportation_LCIA!Q$62</f>
        <v>3.8234970068679485E-5</v>
      </c>
      <c r="AN352" s="16">
        <f>Transportation_LCIA!R$61*($W352^Transportation_LCIA!R$60)+Transportation_LCIA!R$62</f>
        <v>9.7241640649896902E-5</v>
      </c>
      <c r="AO352" s="16">
        <f>Transportation_LCIA!S$61*($W352^Transportation_LCIA!S$60)+Transportation_LCIA!S$62</f>
        <v>1.6343062475428008E-6</v>
      </c>
      <c r="AP352" s="16">
        <f>Transportation_LCIA!T$61*($W352^Transportation_LCIA!T$60)+Transportation_LCIA!T$62</f>
        <v>1.6343062475428008E-6</v>
      </c>
      <c r="AQ352" s="16">
        <f>Transportation_LCIA!U$61*($W352^Transportation_LCIA!U$60)+Transportation_LCIA!U$62</f>
        <v>2.0203545860774752E-4</v>
      </c>
      <c r="AR352" s="16">
        <f>Transportation_LCIA!V$61*($W352^Transportation_LCIA!V$60)+Transportation_LCIA!V$62</f>
        <v>1.0017547912599453E-4</v>
      </c>
      <c r="AT352" s="16">
        <f>$W352*Y352+($L352)*Summary_LCIA!H$32</f>
        <v>981.17493423666917</v>
      </c>
      <c r="AU352" s="16">
        <f>$W352*Z352+($L352)*Summary_LCIA!Q$32</f>
        <v>9421.7816705180539</v>
      </c>
      <c r="AV352" s="16">
        <f>$W352*AA352+($L352)*Summary_LCIA!R$32</f>
        <v>3.1284313932887269</v>
      </c>
      <c r="AW352" s="16">
        <f>$W352*AB352+($L352)*Summary_LCIA!S$32</f>
        <v>980.9711987566692</v>
      </c>
      <c r="AX352" s="16">
        <f>$W352*AC352+($L352)*Summary_LCIA!T$32</f>
        <v>221.49429271673944</v>
      </c>
      <c r="AY352" s="16">
        <f>$W352*AD352+($L352)*Summary_LCIA!U$32</f>
        <v>1.6588736925302636</v>
      </c>
      <c r="AZ352" s="16">
        <f>$W352*AE352+($L352)*Summary_LCIA!V$32</f>
        <v>1.6484317177453554E-2</v>
      </c>
      <c r="BA352" s="16">
        <f>$W352*AF352+($L352)*Summary_LCIA!W$32</f>
        <v>25.148559269233399</v>
      </c>
      <c r="BB352" s="16">
        <f>$W352*AG352+($L352)*Summary_LCIA!X$32</f>
        <v>43.88174338370586</v>
      </c>
      <c r="BC352" s="16">
        <f>$W352*AH352+($L352)*Summary_LCIA!Y$32</f>
        <v>1.3884675377527806</v>
      </c>
      <c r="BD352" s="16">
        <f>$W352*AI352+($L352)*Summary_LCIA!Z$32</f>
        <v>1.1085495792879818</v>
      </c>
      <c r="BE352" s="16">
        <f>$W352*AJ352+($L352)*Summary_LCIA!AA$32</f>
        <v>4.2907126964515525</v>
      </c>
      <c r="BF352" s="16">
        <f>$W352*AK352+($L352)*Summary_LCIA!AB$32</f>
        <v>0.22675594585999428</v>
      </c>
      <c r="BG352" s="16">
        <f>$W352*AL352+($L352)*Summary_LCIA!AC$32</f>
        <v>1.1274026246904916E-4</v>
      </c>
      <c r="BH352" s="16">
        <f>$W352*AM352+($L352)*Summary_LCIA!AD$32</f>
        <v>0.29094646175084093</v>
      </c>
      <c r="BI352" s="16">
        <f>$W352*AN352+($L352)*Summary_LCIA!AE$32</f>
        <v>0.7326131696564222</v>
      </c>
      <c r="BJ352" s="16">
        <f>$W352*AO352+($L352)*Summary_LCIA!AF$32</f>
        <v>5.0595090543379538E-2</v>
      </c>
      <c r="BK352" s="16">
        <f>$W352*AP352+($L352)*Summary_LCIA!AG$32</f>
        <v>1.3984700573379538E-2</v>
      </c>
      <c r="BL352" s="16">
        <f>$W352*AQ352+($L352)*Summary_LCIA!AH$32</f>
        <v>1.8384450049363452</v>
      </c>
      <c r="BM352" s="16">
        <f>$W352*AR352+($L352)*Summary_LCIA!AI$32</f>
        <v>0.75557781035202021</v>
      </c>
      <c r="BN352" s="16"/>
    </row>
    <row r="353" spans="1:66" x14ac:dyDescent="0.25">
      <c r="A353" s="159">
        <v>191</v>
      </c>
      <c r="B353" s="159">
        <v>6</v>
      </c>
      <c r="C353" s="45">
        <v>51.379922000000001</v>
      </c>
      <c r="D353" s="45">
        <v>-2.3322959999999999</v>
      </c>
      <c r="E353" s="45" t="s">
        <v>463</v>
      </c>
      <c r="F353" s="159">
        <v>7</v>
      </c>
      <c r="G353" s="45" t="s">
        <v>628</v>
      </c>
      <c r="H353" s="45" t="s">
        <v>629</v>
      </c>
      <c r="I353" s="45">
        <v>51.470022</v>
      </c>
      <c r="J353" s="45">
        <v>-0.45429599999999998</v>
      </c>
      <c r="K353" s="45">
        <v>150.26940870000001</v>
      </c>
      <c r="L353" s="45">
        <v>198.47900000000001</v>
      </c>
      <c r="M353" s="61" t="s">
        <v>589</v>
      </c>
      <c r="N353" s="159">
        <v>5</v>
      </c>
      <c r="O353" s="159">
        <v>6</v>
      </c>
      <c r="P353" s="45" t="s">
        <v>565</v>
      </c>
      <c r="Q353" s="45" t="s">
        <v>564</v>
      </c>
      <c r="R353" s="45">
        <v>41.98028</v>
      </c>
      <c r="S353" s="45">
        <v>-87.908997900000003</v>
      </c>
      <c r="T353" s="45"/>
      <c r="U353" s="45" t="s">
        <v>622</v>
      </c>
      <c r="V353" s="45" t="s">
        <v>569</v>
      </c>
      <c r="W353" s="45" cm="1">
        <f t="array" ref="W353">getDistance(R353,S353,I353,J353)*SA!$B$12</f>
        <v>6363.4897786039228</v>
      </c>
      <c r="Y353" s="16">
        <f>Transportation_LCIA!C$61*($W353^Transportation_LCIA!C$60)+Transportation_LCIA!C$62</f>
        <v>0.13805910954225503</v>
      </c>
      <c r="Z353" s="16">
        <f>Transportation_LCIA!D$61*($W353^Transportation_LCIA!D$60)+Transportation_LCIA!D$62</f>
        <v>1.3174109932223508</v>
      </c>
      <c r="AA353" s="16">
        <f>Transportation_LCIA!E$61*($W353^Transportation_LCIA!E$60)+Transportation_LCIA!E$62</f>
        <v>4.217712945479361E-4</v>
      </c>
      <c r="AB353" s="16">
        <f>Transportation_LCIA!F$61*($W353^Transportation_LCIA!F$60)+Transportation_LCIA!F$62</f>
        <v>0.13805910954225503</v>
      </c>
      <c r="AC353" s="16">
        <f>Transportation_LCIA!G$61*($W353^Transportation_LCIA!G$60)+Transportation_LCIA!G$62</f>
        <v>3.1006967164908802E-2</v>
      </c>
      <c r="AD353" s="16">
        <f>Transportation_LCIA!H$61*($W353^Transportation_LCIA!H$60)+Transportation_LCIA!H$62</f>
        <v>1.2050145439131135E-4</v>
      </c>
      <c r="AE353" s="16">
        <f>Transportation_LCIA!I$61*($W353^Transportation_LCIA!I$60)+Transportation_LCIA!I$62</f>
        <v>2.0868876309854734E-6</v>
      </c>
      <c r="AF353" s="16">
        <f>Transportation_LCIA!J$61*($W353^Transportation_LCIA!J$60)+Transportation_LCIA!J$62</f>
        <v>3.1487079878510273E-3</v>
      </c>
      <c r="AG353" s="16">
        <f>Transportation_LCIA!K$61*($W353^Transportation_LCIA!K$60)+Transportation_LCIA!K$62</f>
        <v>6.1515003502329892E-3</v>
      </c>
      <c r="AH353" s="16">
        <f>Transportation_LCIA!L$61*($W353^Transportation_LCIA!L$60)+Transportation_LCIA!L$62</f>
        <v>9.7262350697460971E-5</v>
      </c>
      <c r="AI353" s="16">
        <f>Transportation_LCIA!M$61*($W353^Transportation_LCIA!M$60)+Transportation_LCIA!M$62</f>
        <v>1.5742704436438743E-4</v>
      </c>
      <c r="AJ353" s="16">
        <f>Transportation_LCIA!N$61*($W353^Transportation_LCIA!N$60)+Transportation_LCIA!N$62</f>
        <v>4.6326381973146522E-4</v>
      </c>
      <c r="AK353" s="16">
        <f>Transportation_LCIA!O$61*($W353^Transportation_LCIA!O$60)+Transportation_LCIA!O$62</f>
        <v>3.2635227510025124E-5</v>
      </c>
      <c r="AL353" s="16">
        <f>Transportation_LCIA!P$61*($W353^Transportation_LCIA!P$60)+Transportation_LCIA!P$62</f>
        <v>1.58304835742713E-8</v>
      </c>
      <c r="AM353" s="16">
        <f>Transportation_LCIA!Q$61*($W353^Transportation_LCIA!Q$60)+Transportation_LCIA!Q$62</f>
        <v>3.9413334624958368E-5</v>
      </c>
      <c r="AN353" s="16">
        <f>Transportation_LCIA!R$61*($W353^Transportation_LCIA!R$60)+Transportation_LCIA!R$62</f>
        <v>1.0103056055511716E-4</v>
      </c>
      <c r="AO353" s="16">
        <f>Transportation_LCIA!S$61*($W353^Transportation_LCIA!S$60)+Transportation_LCIA!S$62</f>
        <v>1.6882578538694314E-6</v>
      </c>
      <c r="AP353" s="16">
        <f>Transportation_LCIA!T$61*($W353^Transportation_LCIA!T$60)+Transportation_LCIA!T$62</f>
        <v>1.6882578538694314E-6</v>
      </c>
      <c r="AQ353" s="16">
        <f>Transportation_LCIA!U$61*($W353^Transportation_LCIA!U$60)+Transportation_LCIA!U$62</f>
        <v>2.1022859223385475E-4</v>
      </c>
      <c r="AR353" s="16">
        <f>Transportation_LCIA!V$61*($W353^Transportation_LCIA!V$60)+Transportation_LCIA!V$62</f>
        <v>1.0319636276365877E-4</v>
      </c>
      <c r="AT353" s="16">
        <f>$W353*Y353+($L353)*Summary_LCIA!H$34</f>
        <v>893.31687571329917</v>
      </c>
      <c r="AU353" s="16">
        <f ca="1">$W353*Z353+($L353)*Summary_LCIA!Q$34</f>
        <v>8628.4706648720403</v>
      </c>
      <c r="AV353" s="16">
        <f ca="1">$W353*AA353+($L353)*Summary_LCIA!R$34</f>
        <v>3.1913687331643361</v>
      </c>
      <c r="AW353" s="16">
        <f ca="1">$W353*AB353+($L353)*Summary_LCIA!S$34</f>
        <v>893.11363321729914</v>
      </c>
      <c r="AX353" s="16">
        <f ca="1">$W353*AC353+($L353)*Summary_LCIA!T$34</f>
        <v>201.4295685164046</v>
      </c>
      <c r="AY353" s="16">
        <f ca="1">$W353*AD353+($L353)*Summary_LCIA!U$34</f>
        <v>1.1319317417260166</v>
      </c>
      <c r="AZ353" s="16">
        <f ca="1">$W353*AE353+($L353)*Summary_LCIA!V$34</f>
        <v>2.9375145655871016E-2</v>
      </c>
      <c r="BA353" s="16">
        <f ca="1">$W353*AF353+($L353)*Summary_LCIA!W$34</f>
        <v>30.069686067498537</v>
      </c>
      <c r="BB353" s="16">
        <f ca="1">$W353*AG353+($L353)*Summary_LCIA!X$34</f>
        <v>41.253650497786076</v>
      </c>
      <c r="BC353" s="16">
        <f ca="1">$W353*AH353+($L353)*Summary_LCIA!Y$34</f>
        <v>0.9590415889062831</v>
      </c>
      <c r="BD353" s="16">
        <f ca="1">$W353*AI353+($L353)*Summary_LCIA!Z$34</f>
        <v>1.0074430315836058</v>
      </c>
      <c r="BE353" s="16">
        <f ca="1">$W353*AJ353+($L353)*Summary_LCIA!AA$34</f>
        <v>3.3573573670581891</v>
      </c>
      <c r="BF353" s="16">
        <f ca="1">$W353*AK353+($L353)*Summary_LCIA!AB$34</f>
        <v>0.20629671074935843</v>
      </c>
      <c r="BG353" s="16">
        <f ca="1">$W353*AL353+($L353)*Summary_LCIA!AC$34</f>
        <v>1.0146793994113271E-4</v>
      </c>
      <c r="BH353" s="16">
        <f ca="1">$W353*AM353+($L353)*Summary_LCIA!AD$34</f>
        <v>0.27287324724661866</v>
      </c>
      <c r="BI353" s="16">
        <f ca="1">$W353*AN353+($L353)*Summary_LCIA!AE$34</f>
        <v>0.70243873067911267</v>
      </c>
      <c r="BJ353" s="16">
        <f ca="1">$W353*AO353+($L353)*Summary_LCIA!AF$34</f>
        <v>5.7953426536745921E-2</v>
      </c>
      <c r="BK353" s="16">
        <f ca="1">$W353*AP353+($L353)*Summary_LCIA!AG$34</f>
        <v>1.128666694664592E-2</v>
      </c>
      <c r="BL353" s="16">
        <f ca="1">$W353*AQ353+($L353)*Summary_LCIA!AH$34</f>
        <v>1.7899822035504267</v>
      </c>
      <c r="BM353" s="16">
        <f ca="1">$W353*AR353+($L353)*Summary_LCIA!AI$34</f>
        <v>0.71241197888564511</v>
      </c>
      <c r="BN353" s="16"/>
    </row>
    <row r="354" spans="1:66" x14ac:dyDescent="0.25">
      <c r="A354" s="159">
        <v>192</v>
      </c>
      <c r="B354" s="159">
        <v>6</v>
      </c>
      <c r="C354" s="45">
        <v>51.379922000000001</v>
      </c>
      <c r="D354" s="45">
        <v>-2.3322959999999999</v>
      </c>
      <c r="E354" s="45" t="s">
        <v>463</v>
      </c>
      <c r="F354" s="159">
        <v>7</v>
      </c>
      <c r="G354" s="45" t="s">
        <v>628</v>
      </c>
      <c r="H354" s="45" t="s">
        <v>629</v>
      </c>
      <c r="I354" s="45">
        <v>51.470022</v>
      </c>
      <c r="J354" s="45">
        <v>-0.45429599999999998</v>
      </c>
      <c r="K354" s="45">
        <v>150.26940870000001</v>
      </c>
      <c r="L354" s="45">
        <v>198.47900000000001</v>
      </c>
      <c r="M354" s="61" t="s">
        <v>589</v>
      </c>
      <c r="N354" s="159">
        <v>5</v>
      </c>
      <c r="O354" s="159">
        <v>6</v>
      </c>
      <c r="P354" s="45" t="s">
        <v>565</v>
      </c>
      <c r="Q354" s="45" t="s">
        <v>564</v>
      </c>
      <c r="R354" s="45">
        <v>41.98028</v>
      </c>
      <c r="S354" s="45">
        <v>-87.908997900000003</v>
      </c>
      <c r="T354" s="45"/>
      <c r="U354" s="45" t="s">
        <v>622</v>
      </c>
      <c r="V354" s="45" t="s">
        <v>569</v>
      </c>
      <c r="W354" s="45" cm="1">
        <f t="array" ref="W354">getDistance(R354,S354,I354,J354)*SA!$B$12</f>
        <v>6363.4897786039228</v>
      </c>
      <c r="Y354" s="16">
        <f>Transportation_LCIA!C$61*($W354^Transportation_LCIA!C$60)+Transportation_LCIA!C$62</f>
        <v>0.13805910954225503</v>
      </c>
      <c r="Z354" s="16">
        <f>Transportation_LCIA!D$61*($W354^Transportation_LCIA!D$60)+Transportation_LCIA!D$62</f>
        <v>1.3174109932223508</v>
      </c>
      <c r="AA354" s="16">
        <f>Transportation_LCIA!E$61*($W354^Transportation_LCIA!E$60)+Transportation_LCIA!E$62</f>
        <v>4.217712945479361E-4</v>
      </c>
      <c r="AB354" s="16">
        <f>Transportation_LCIA!F$61*($W354^Transportation_LCIA!F$60)+Transportation_LCIA!F$62</f>
        <v>0.13805910954225503</v>
      </c>
      <c r="AC354" s="16">
        <f>Transportation_LCIA!G$61*($W354^Transportation_LCIA!G$60)+Transportation_LCIA!G$62</f>
        <v>3.1006967164908802E-2</v>
      </c>
      <c r="AD354" s="16">
        <f>Transportation_LCIA!H$61*($W354^Transportation_LCIA!H$60)+Transportation_LCIA!H$62</f>
        <v>1.2050145439131135E-4</v>
      </c>
      <c r="AE354" s="16">
        <f>Transportation_LCIA!I$61*($W354^Transportation_LCIA!I$60)+Transportation_LCIA!I$62</f>
        <v>2.0868876309854734E-6</v>
      </c>
      <c r="AF354" s="16">
        <f>Transportation_LCIA!J$61*($W354^Transportation_LCIA!J$60)+Transportation_LCIA!J$62</f>
        <v>3.1487079878510273E-3</v>
      </c>
      <c r="AG354" s="16">
        <f>Transportation_LCIA!K$61*($W354^Transportation_LCIA!K$60)+Transportation_LCIA!K$62</f>
        <v>6.1515003502329892E-3</v>
      </c>
      <c r="AH354" s="16">
        <f>Transportation_LCIA!L$61*($W354^Transportation_LCIA!L$60)+Transportation_LCIA!L$62</f>
        <v>9.7262350697460971E-5</v>
      </c>
      <c r="AI354" s="16">
        <f>Transportation_LCIA!M$61*($W354^Transportation_LCIA!M$60)+Transportation_LCIA!M$62</f>
        <v>1.5742704436438743E-4</v>
      </c>
      <c r="AJ354" s="16">
        <f>Transportation_LCIA!N$61*($W354^Transportation_LCIA!N$60)+Transportation_LCIA!N$62</f>
        <v>4.6326381973146522E-4</v>
      </c>
      <c r="AK354" s="16">
        <f>Transportation_LCIA!O$61*($W354^Transportation_LCIA!O$60)+Transportation_LCIA!O$62</f>
        <v>3.2635227510025124E-5</v>
      </c>
      <c r="AL354" s="16">
        <f>Transportation_LCIA!P$61*($W354^Transportation_LCIA!P$60)+Transportation_LCIA!P$62</f>
        <v>1.58304835742713E-8</v>
      </c>
      <c r="AM354" s="16">
        <f>Transportation_LCIA!Q$61*($W354^Transportation_LCIA!Q$60)+Transportation_LCIA!Q$62</f>
        <v>3.9413334624958368E-5</v>
      </c>
      <c r="AN354" s="16">
        <f>Transportation_LCIA!R$61*($W354^Transportation_LCIA!R$60)+Transportation_LCIA!R$62</f>
        <v>1.0103056055511716E-4</v>
      </c>
      <c r="AO354" s="16">
        <f>Transportation_LCIA!S$61*($W354^Transportation_LCIA!S$60)+Transportation_LCIA!S$62</f>
        <v>1.6882578538694314E-6</v>
      </c>
      <c r="AP354" s="16">
        <f>Transportation_LCIA!T$61*($W354^Transportation_LCIA!T$60)+Transportation_LCIA!T$62</f>
        <v>1.6882578538694314E-6</v>
      </c>
      <c r="AQ354" s="16">
        <f>Transportation_LCIA!U$61*($W354^Transportation_LCIA!U$60)+Transportation_LCIA!U$62</f>
        <v>2.1022859223385475E-4</v>
      </c>
      <c r="AR354" s="16">
        <f>Transportation_LCIA!V$61*($W354^Transportation_LCIA!V$60)+Transportation_LCIA!V$62</f>
        <v>1.0319636276365877E-4</v>
      </c>
      <c r="AT354" s="16">
        <f>$W354*Y354+($L354)*Summary_LCIA!H$34</f>
        <v>893.31687571329917</v>
      </c>
      <c r="AU354" s="16">
        <f ca="1">$W354*Z354+($L354)*Summary_LCIA!Q$34</f>
        <v>8628.4706648720403</v>
      </c>
      <c r="AV354" s="16">
        <f ca="1">$W354*AA354+($L354)*Summary_LCIA!R$34</f>
        <v>3.1913687331643361</v>
      </c>
      <c r="AW354" s="16">
        <f ca="1">$W354*AB354+($L354)*Summary_LCIA!S$34</f>
        <v>893.11363321729914</v>
      </c>
      <c r="AX354" s="16">
        <f ca="1">$W354*AC354+($L354)*Summary_LCIA!T$34</f>
        <v>201.4295685164046</v>
      </c>
      <c r="AY354" s="16">
        <f ca="1">$W354*AD354+($L354)*Summary_LCIA!U$34</f>
        <v>1.1319317417260166</v>
      </c>
      <c r="AZ354" s="16">
        <f ca="1">$W354*AE354+($L354)*Summary_LCIA!V$34</f>
        <v>2.9375145655871016E-2</v>
      </c>
      <c r="BA354" s="16">
        <f ca="1">$W354*AF354+($L354)*Summary_LCIA!W$34</f>
        <v>30.069686067498537</v>
      </c>
      <c r="BB354" s="16">
        <f ca="1">$W354*AG354+($L354)*Summary_LCIA!X$34</f>
        <v>41.253650497786076</v>
      </c>
      <c r="BC354" s="16">
        <f ca="1">$W354*AH354+($L354)*Summary_LCIA!Y$34</f>
        <v>0.9590415889062831</v>
      </c>
      <c r="BD354" s="16">
        <f ca="1">$W354*AI354+($L354)*Summary_LCIA!Z$34</f>
        <v>1.0074430315836058</v>
      </c>
      <c r="BE354" s="16">
        <f ca="1">$W354*AJ354+($L354)*Summary_LCIA!AA$34</f>
        <v>3.3573573670581891</v>
      </c>
      <c r="BF354" s="16">
        <f ca="1">$W354*AK354+($L354)*Summary_LCIA!AB$34</f>
        <v>0.20629671074935843</v>
      </c>
      <c r="BG354" s="16">
        <f ca="1">$W354*AL354+($L354)*Summary_LCIA!AC$34</f>
        <v>1.0146793994113271E-4</v>
      </c>
      <c r="BH354" s="16">
        <f ca="1">$W354*AM354+($L354)*Summary_LCIA!AD$34</f>
        <v>0.27287324724661866</v>
      </c>
      <c r="BI354" s="16">
        <f ca="1">$W354*AN354+($L354)*Summary_LCIA!AE$34</f>
        <v>0.70243873067911267</v>
      </c>
      <c r="BJ354" s="16">
        <f ca="1">$W354*AO354+($L354)*Summary_LCIA!AF$34</f>
        <v>5.7953426536745921E-2</v>
      </c>
      <c r="BK354" s="16">
        <f ca="1">$W354*AP354+($L354)*Summary_LCIA!AG$34</f>
        <v>1.128666694664592E-2</v>
      </c>
      <c r="BL354" s="16">
        <f ca="1">$W354*AQ354+($L354)*Summary_LCIA!AH$34</f>
        <v>1.7899822035504267</v>
      </c>
      <c r="BM354" s="16">
        <f ca="1">$W354*AR354+($L354)*Summary_LCIA!AI$34</f>
        <v>0.71241197888564511</v>
      </c>
      <c r="BN354" s="16"/>
    </row>
    <row r="355" spans="1:66" x14ac:dyDescent="0.25">
      <c r="A355" s="159">
        <v>210</v>
      </c>
      <c r="B355" s="159">
        <v>6</v>
      </c>
      <c r="C355" s="45">
        <v>45.434493000000003</v>
      </c>
      <c r="D355" s="45">
        <v>12.326169</v>
      </c>
      <c r="E355" s="45" t="s">
        <v>421</v>
      </c>
      <c r="F355" s="159">
        <v>38</v>
      </c>
      <c r="G355" s="45" t="s">
        <v>698</v>
      </c>
      <c r="H355" s="45" t="s">
        <v>699</v>
      </c>
      <c r="I355" s="45">
        <v>45.434497</v>
      </c>
      <c r="J355" s="45">
        <v>12.323981</v>
      </c>
      <c r="K355" s="45">
        <v>334.31596839999997</v>
      </c>
      <c r="L355" s="45">
        <v>0.29699999999999999</v>
      </c>
      <c r="M355" s="61" t="s">
        <v>589</v>
      </c>
      <c r="N355" s="159">
        <v>5</v>
      </c>
      <c r="O355" s="159">
        <v>6</v>
      </c>
      <c r="P355" s="45" t="s">
        <v>565</v>
      </c>
      <c r="Q355" s="45" t="s">
        <v>564</v>
      </c>
      <c r="R355" s="45">
        <v>41.98028</v>
      </c>
      <c r="S355" s="45">
        <v>-87.908997900000003</v>
      </c>
      <c r="T355" s="45"/>
      <c r="U355" s="45" t="s">
        <v>622</v>
      </c>
      <c r="V355" s="45" t="s">
        <v>569</v>
      </c>
      <c r="W355" s="45" cm="1">
        <f t="array" ref="W355">getDistance(R355,S355,I355,J355)*SA!$B$12</f>
        <v>7519.4812967838625</v>
      </c>
      <c r="Y355" s="16">
        <f>Transportation_LCIA!C$61*($W355^Transportation_LCIA!C$60)+Transportation_LCIA!C$62</f>
        <v>0.13463817138235445</v>
      </c>
      <c r="Z355" s="16">
        <f>Transportation_LCIA!D$61*($W355^Transportation_LCIA!D$60)+Transportation_LCIA!D$62</f>
        <v>1.2807078412178325</v>
      </c>
      <c r="AA355" s="16">
        <f>Transportation_LCIA!E$61*($W355^Transportation_LCIA!E$60)+Transportation_LCIA!E$62</f>
        <v>3.9820298158288047E-4</v>
      </c>
      <c r="AB355" s="16">
        <f>Transportation_LCIA!F$61*($W355^Transportation_LCIA!F$60)+Transportation_LCIA!F$62</f>
        <v>0.13463817138235445</v>
      </c>
      <c r="AC355" s="16">
        <f>Transportation_LCIA!G$61*($W355^Transportation_LCIA!G$60)+Transportation_LCIA!G$62</f>
        <v>3.0153638223895326E-2</v>
      </c>
      <c r="AD355" s="16">
        <f>Transportation_LCIA!H$61*($W355^Transportation_LCIA!H$60)+Transportation_LCIA!H$62</f>
        <v>1.1555558048040399E-4</v>
      </c>
      <c r="AE355" s="16">
        <f>Transportation_LCIA!I$61*($W355^Transportation_LCIA!I$60)+Transportation_LCIA!I$62</f>
        <v>1.9713985460970034E-6</v>
      </c>
      <c r="AF355" s="16">
        <f>Transportation_LCIA!J$61*($W355^Transportation_LCIA!J$60)+Transportation_LCIA!J$62</f>
        <v>2.9849564745254866E-3</v>
      </c>
      <c r="AG355" s="16">
        <f>Transportation_LCIA!K$61*($W355^Transportation_LCIA!K$60)+Transportation_LCIA!K$62</f>
        <v>5.960588156716946E-3</v>
      </c>
      <c r="AH355" s="16">
        <f>Transportation_LCIA!L$61*($W355^Transportation_LCIA!L$60)+Transportation_LCIA!L$62</f>
        <v>9.2811718672243166E-5</v>
      </c>
      <c r="AI355" s="16">
        <f>Transportation_LCIA!M$61*($W355^Transportation_LCIA!M$60)+Transportation_LCIA!M$62</f>
        <v>1.5470439280548256E-4</v>
      </c>
      <c r="AJ355" s="16">
        <f>Transportation_LCIA!N$61*($W355^Transportation_LCIA!N$60)+Transportation_LCIA!N$62</f>
        <v>4.4653533304936578E-4</v>
      </c>
      <c r="AK355" s="16">
        <f>Transportation_LCIA!O$61*($W355^Transportation_LCIA!O$60)+Transportation_LCIA!O$62</f>
        <v>3.1730548183139936E-5</v>
      </c>
      <c r="AL355" s="16">
        <f>Transportation_LCIA!P$61*($W355^Transportation_LCIA!P$60)+Transportation_LCIA!P$62</f>
        <v>1.5392795076066919E-8</v>
      </c>
      <c r="AM355" s="16">
        <f>Transportation_LCIA!Q$61*($W355^Transportation_LCIA!Q$60)+Transportation_LCIA!Q$62</f>
        <v>3.7693076367548773E-5</v>
      </c>
      <c r="AN355" s="16">
        <f>Transportation_LCIA!R$61*($W355^Transportation_LCIA!R$60)+Transportation_LCIA!R$62</f>
        <v>9.5502567188477969E-5</v>
      </c>
      <c r="AO355" s="16">
        <f>Transportation_LCIA!S$61*($W355^Transportation_LCIA!S$60)+Transportation_LCIA!S$62</f>
        <v>1.609539416481905E-6</v>
      </c>
      <c r="AP355" s="16">
        <f>Transportation_LCIA!T$61*($W355^Transportation_LCIA!T$60)+Transportation_LCIA!T$62</f>
        <v>1.609539416481905E-6</v>
      </c>
      <c r="AQ355" s="16">
        <f>Transportation_LCIA!U$61*($W355^Transportation_LCIA!U$60)+Transportation_LCIA!U$62</f>
        <v>1.982772294038846E-4</v>
      </c>
      <c r="AR355" s="16">
        <f>Transportation_LCIA!V$61*($W355^Transportation_LCIA!V$60)+Transportation_LCIA!V$62</f>
        <v>9.8787165053662471E-5</v>
      </c>
      <c r="AT355" s="16">
        <f>$W355*Y355+($L355)*Summary_LCIA!H$34</f>
        <v>1012.4313267567946</v>
      </c>
      <c r="AU355" s="16">
        <f ca="1">$W355*Z355+($L355)*Summary_LCIA!Q$34</f>
        <v>9630.6254801832383</v>
      </c>
      <c r="AV355" s="16">
        <f ca="1">$W355*AA355+($L355)*Summary_LCIA!R$34</f>
        <v>2.9950391825360385</v>
      </c>
      <c r="AW355" s="16">
        <f ca="1">$W355*AB355+($L355)*Summary_LCIA!S$34</f>
        <v>1012.4310226287946</v>
      </c>
      <c r="AX355" s="16">
        <f ca="1">$W355*AC355+($L355)*Summary_LCIA!T$34</f>
        <v>226.74587932556787</v>
      </c>
      <c r="AY355" s="16">
        <f ca="1">$W355*AD355+($L355)*Summary_LCIA!U$34</f>
        <v>0.86946438736140019</v>
      </c>
      <c r="AZ355" s="16">
        <f ca="1">$W355*AE355+($L355)*Summary_LCIA!V$34</f>
        <v>1.4847979116883316E-2</v>
      </c>
      <c r="BA355" s="16">
        <f ca="1">$W355*AF355+($L355)*Summary_LCIA!W$34</f>
        <v>22.460337434908293</v>
      </c>
      <c r="BB355" s="16">
        <f ca="1">$W355*AG355+($L355)*Summary_LCIA!X$34</f>
        <v>44.823686490264471</v>
      </c>
      <c r="BC355" s="16">
        <f ca="1">$W355*AH355+($L355)*Summary_LCIA!Y$34</f>
        <v>0.69840492187829806</v>
      </c>
      <c r="BD355" s="16">
        <f ca="1">$W355*AI355+($L355)*Summary_LCIA!Z$34</f>
        <v>1.16330525421613</v>
      </c>
      <c r="BE355" s="16">
        <f ca="1">$W355*AJ355+($L355)*Summary_LCIA!AA$34</f>
        <v>3.3583266774178591</v>
      </c>
      <c r="BF355" s="16">
        <f ca="1">$W355*AK355+($L355)*Summary_LCIA!AB$34</f>
        <v>0.23859520274651991</v>
      </c>
      <c r="BG355" s="16">
        <f ca="1">$W355*AL355+($L355)*Summary_LCIA!AC$34</f>
        <v>1.1574692826341192E-4</v>
      </c>
      <c r="BH355" s="16">
        <f ca="1">$W355*AM355+($L355)*Summary_LCIA!AD$34</f>
        <v>0.2834654032240288</v>
      </c>
      <c r="BI355" s="16">
        <f ca="1">$W355*AN355+($L355)*Summary_LCIA!AE$34</f>
        <v>0.7182188499486043</v>
      </c>
      <c r="BJ355" s="16">
        <f ca="1">$W355*AO355+($L355)*Summary_LCIA!AF$34</f>
        <v>1.2173545958672097E-2</v>
      </c>
      <c r="BK355" s="16">
        <f ca="1">$W355*AP355+($L355)*Summary_LCIA!AG$34</f>
        <v>1.2103714754372098E-2</v>
      </c>
      <c r="BL355" s="16">
        <f ca="1">$W355*AQ355+($L355)*Summary_LCIA!AH$34</f>
        <v>1.4916185731806335</v>
      </c>
      <c r="BM355" s="16">
        <f ca="1">$W355*AR355+($L355)*Summary_LCIA!AI$34</f>
        <v>0.74291162273331535</v>
      </c>
      <c r="BN355" s="16"/>
    </row>
    <row r="356" spans="1:66" x14ac:dyDescent="0.25">
      <c r="A356" s="159">
        <v>212</v>
      </c>
      <c r="B356" s="159">
        <v>6</v>
      </c>
      <c r="C356" s="45">
        <v>50.908388000000002</v>
      </c>
      <c r="D356" s="45">
        <v>-1.4015599999999999</v>
      </c>
      <c r="E356" s="45" t="s">
        <v>463</v>
      </c>
      <c r="F356" s="159">
        <v>7</v>
      </c>
      <c r="G356" s="45" t="s">
        <v>628</v>
      </c>
      <c r="H356" s="45" t="s">
        <v>629</v>
      </c>
      <c r="I356" s="45">
        <v>51.470022</v>
      </c>
      <c r="J356" s="45">
        <v>-0.45429599999999998</v>
      </c>
      <c r="K356" s="45">
        <v>98.568014770000005</v>
      </c>
      <c r="L356" s="45">
        <v>158.30799999999999</v>
      </c>
      <c r="M356" s="61" t="s">
        <v>589</v>
      </c>
      <c r="N356" s="159">
        <v>5</v>
      </c>
      <c r="O356" s="159">
        <v>6</v>
      </c>
      <c r="P356" s="45" t="s">
        <v>565</v>
      </c>
      <c r="Q356" s="45" t="s">
        <v>564</v>
      </c>
      <c r="R356" s="45">
        <v>41.98028</v>
      </c>
      <c r="S356" s="45">
        <v>-87.908997900000003</v>
      </c>
      <c r="T356" s="45"/>
      <c r="U356" s="45" t="s">
        <v>622</v>
      </c>
      <c r="V356" s="45" t="s">
        <v>569</v>
      </c>
      <c r="W356" s="45" cm="1">
        <f t="array" ref="W356">getDistance(R356,S356,I356,J356)*SA!$B$12</f>
        <v>6363.4897786039228</v>
      </c>
      <c r="Y356" s="16">
        <f>Transportation_LCIA!C$61*($W356^Transportation_LCIA!C$60)+Transportation_LCIA!C$62</f>
        <v>0.13805910954225503</v>
      </c>
      <c r="Z356" s="16">
        <f>Transportation_LCIA!D$61*($W356^Transportation_LCIA!D$60)+Transportation_LCIA!D$62</f>
        <v>1.3174109932223508</v>
      </c>
      <c r="AA356" s="16">
        <f>Transportation_LCIA!E$61*($W356^Transportation_LCIA!E$60)+Transportation_LCIA!E$62</f>
        <v>4.217712945479361E-4</v>
      </c>
      <c r="AB356" s="16">
        <f>Transportation_LCIA!F$61*($W356^Transportation_LCIA!F$60)+Transportation_LCIA!F$62</f>
        <v>0.13805910954225503</v>
      </c>
      <c r="AC356" s="16">
        <f>Transportation_LCIA!G$61*($W356^Transportation_LCIA!G$60)+Transportation_LCIA!G$62</f>
        <v>3.1006967164908802E-2</v>
      </c>
      <c r="AD356" s="16">
        <f>Transportation_LCIA!H$61*($W356^Transportation_LCIA!H$60)+Transportation_LCIA!H$62</f>
        <v>1.2050145439131135E-4</v>
      </c>
      <c r="AE356" s="16">
        <f>Transportation_LCIA!I$61*($W356^Transportation_LCIA!I$60)+Transportation_LCIA!I$62</f>
        <v>2.0868876309854734E-6</v>
      </c>
      <c r="AF356" s="16">
        <f>Transportation_LCIA!J$61*($W356^Transportation_LCIA!J$60)+Transportation_LCIA!J$62</f>
        <v>3.1487079878510273E-3</v>
      </c>
      <c r="AG356" s="16">
        <f>Transportation_LCIA!K$61*($W356^Transportation_LCIA!K$60)+Transportation_LCIA!K$62</f>
        <v>6.1515003502329892E-3</v>
      </c>
      <c r="AH356" s="16">
        <f>Transportation_LCIA!L$61*($W356^Transportation_LCIA!L$60)+Transportation_LCIA!L$62</f>
        <v>9.7262350697460971E-5</v>
      </c>
      <c r="AI356" s="16">
        <f>Transportation_LCIA!M$61*($W356^Transportation_LCIA!M$60)+Transportation_LCIA!M$62</f>
        <v>1.5742704436438743E-4</v>
      </c>
      <c r="AJ356" s="16">
        <f>Transportation_LCIA!N$61*($W356^Transportation_LCIA!N$60)+Transportation_LCIA!N$62</f>
        <v>4.6326381973146522E-4</v>
      </c>
      <c r="AK356" s="16">
        <f>Transportation_LCIA!O$61*($W356^Transportation_LCIA!O$60)+Transportation_LCIA!O$62</f>
        <v>3.2635227510025124E-5</v>
      </c>
      <c r="AL356" s="16">
        <f>Transportation_LCIA!P$61*($W356^Transportation_LCIA!P$60)+Transportation_LCIA!P$62</f>
        <v>1.58304835742713E-8</v>
      </c>
      <c r="AM356" s="16">
        <f>Transportation_LCIA!Q$61*($W356^Transportation_LCIA!Q$60)+Transportation_LCIA!Q$62</f>
        <v>3.9413334624958368E-5</v>
      </c>
      <c r="AN356" s="16">
        <f>Transportation_LCIA!R$61*($W356^Transportation_LCIA!R$60)+Transportation_LCIA!R$62</f>
        <v>1.0103056055511716E-4</v>
      </c>
      <c r="AO356" s="16">
        <f>Transportation_LCIA!S$61*($W356^Transportation_LCIA!S$60)+Transportation_LCIA!S$62</f>
        <v>1.6882578538694314E-6</v>
      </c>
      <c r="AP356" s="16">
        <f>Transportation_LCIA!T$61*($W356^Transportation_LCIA!T$60)+Transportation_LCIA!T$62</f>
        <v>1.6882578538694314E-6</v>
      </c>
      <c r="AQ356" s="16">
        <f>Transportation_LCIA!U$61*($W356^Transportation_LCIA!U$60)+Transportation_LCIA!U$62</f>
        <v>2.1022859223385475E-4</v>
      </c>
      <c r="AR356" s="16">
        <f>Transportation_LCIA!V$61*($W356^Transportation_LCIA!V$60)+Transportation_LCIA!V$62</f>
        <v>1.0319636276365877E-4</v>
      </c>
      <c r="AT356" s="16">
        <f>$W356*Y356+($L356)*Summary_LCIA!H$34</f>
        <v>890.32566271129917</v>
      </c>
      <c r="AU356" s="16">
        <f ca="1">$W356*Z356+($L356)*Summary_LCIA!Q$34</f>
        <v>8578.8558954137097</v>
      </c>
      <c r="AV356" s="16">
        <f ca="1">$W356*AA356+($L356)*Summary_LCIA!R$34</f>
        <v>3.0886675545643358</v>
      </c>
      <c r="AW356" s="16">
        <f ca="1">$W356*AB356+($L356)*Summary_LCIA!S$34</f>
        <v>890.16355531929912</v>
      </c>
      <c r="AX356" s="16">
        <f ca="1">$W356*AC356+($L356)*Summary_LCIA!T$34</f>
        <v>200.59630146340461</v>
      </c>
      <c r="AY356" s="16">
        <f ca="1">$W356*AD356+($L356)*Summary_LCIA!U$34</f>
        <v>1.0580331701260164</v>
      </c>
      <c r="AZ356" s="16">
        <f ca="1">$W356*AE356+($L356)*Summary_LCIA!V$34</f>
        <v>2.6117558752871015E-2</v>
      </c>
      <c r="BA356" s="16">
        <f ca="1">$W356*AF356+($L356)*Summary_LCIA!W$34</f>
        <v>28.039082188498536</v>
      </c>
      <c r="BB356" s="16">
        <f ca="1">$W356*AG356+($L356)*Summary_LCIA!X$34</f>
        <v>40.826873793786078</v>
      </c>
      <c r="BC356" s="16">
        <f ca="1">$W356*AH356+($L356)*Summary_LCIA!Y$34</f>
        <v>0.89020456330628295</v>
      </c>
      <c r="BD356" s="16">
        <f ca="1">$W356*AI356+($L356)*Summary_LCIA!Z$34</f>
        <v>1.0062979572286057</v>
      </c>
      <c r="BE356" s="16">
        <f ca="1">$W356*AJ356+($L356)*Summary_LCIA!AA$34</f>
        <v>3.2745006624581889</v>
      </c>
      <c r="BF356" s="16">
        <f ca="1">$W356*AK356+($L356)*Summary_LCIA!AB$34</f>
        <v>0.20657545330125843</v>
      </c>
      <c r="BG356" s="16">
        <f ca="1">$W356*AL356+($L356)*Summary_LCIA!AC$34</f>
        <v>1.0132002630203271E-4</v>
      </c>
      <c r="BH356" s="16">
        <f ca="1">$W356*AM356+($L356)*Summary_LCIA!AD$34</f>
        <v>0.26840703546661865</v>
      </c>
      <c r="BI356" s="16">
        <f ca="1">$W356*AN356+($L356)*Summary_LCIA!AE$34</f>
        <v>0.69038984093911271</v>
      </c>
      <c r="BJ356" s="16">
        <f ca="1">$W356*AO356+($L356)*Summary_LCIA!AF$34</f>
        <v>4.8398352476745919E-2</v>
      </c>
      <c r="BK356" s="16">
        <f ca="1">$W356*AP356+($L356)*Summary_LCIA!AG$34</f>
        <v>1.117667473154592E-2</v>
      </c>
      <c r="BL356" s="16">
        <f ca="1">$W356*AQ356+($L356)*Summary_LCIA!AH$34</f>
        <v>1.6984606142504268</v>
      </c>
      <c r="BM356" s="16">
        <f ca="1">$W356*AR356+($L356)*Summary_LCIA!AI$34</f>
        <v>0.70113397063564509</v>
      </c>
      <c r="BN356" s="16"/>
    </row>
    <row r="357" spans="1:66" x14ac:dyDescent="0.25">
      <c r="A357" s="159">
        <v>213</v>
      </c>
      <c r="B357" s="159">
        <v>6</v>
      </c>
      <c r="C357" s="45">
        <v>50.908388000000002</v>
      </c>
      <c r="D357" s="45">
        <v>-1.4015599999999999</v>
      </c>
      <c r="E357" s="45" t="s">
        <v>463</v>
      </c>
      <c r="F357" s="159">
        <v>7</v>
      </c>
      <c r="G357" s="45" t="s">
        <v>628</v>
      </c>
      <c r="H357" s="45" t="s">
        <v>629</v>
      </c>
      <c r="I357" s="45">
        <v>51.470022</v>
      </c>
      <c r="J357" s="45">
        <v>-0.45429599999999998</v>
      </c>
      <c r="K357" s="45">
        <v>98.568014770000005</v>
      </c>
      <c r="L357" s="45">
        <v>158.30799999999999</v>
      </c>
      <c r="M357" s="61" t="s">
        <v>589</v>
      </c>
      <c r="N357" s="159">
        <v>5</v>
      </c>
      <c r="O357" s="159">
        <v>6</v>
      </c>
      <c r="P357" s="45" t="s">
        <v>565</v>
      </c>
      <c r="Q357" s="45" t="s">
        <v>564</v>
      </c>
      <c r="R357" s="45">
        <v>41.98028</v>
      </c>
      <c r="S357" s="45">
        <v>-87.908997900000003</v>
      </c>
      <c r="T357" s="45"/>
      <c r="U357" s="45" t="s">
        <v>622</v>
      </c>
      <c r="V357" s="45" t="s">
        <v>569</v>
      </c>
      <c r="W357" s="45" cm="1">
        <f t="array" ref="W357">getDistance(R357,S357,I357,J357)*SA!$B$12</f>
        <v>6363.4897786039228</v>
      </c>
      <c r="Y357" s="16">
        <f>Transportation_LCIA!C$61*($W357^Transportation_LCIA!C$60)+Transportation_LCIA!C$62</f>
        <v>0.13805910954225503</v>
      </c>
      <c r="Z357" s="16">
        <f>Transportation_LCIA!D$61*($W357^Transportation_LCIA!D$60)+Transportation_LCIA!D$62</f>
        <v>1.3174109932223508</v>
      </c>
      <c r="AA357" s="16">
        <f>Transportation_LCIA!E$61*($W357^Transportation_LCIA!E$60)+Transportation_LCIA!E$62</f>
        <v>4.217712945479361E-4</v>
      </c>
      <c r="AB357" s="16">
        <f>Transportation_LCIA!F$61*($W357^Transportation_LCIA!F$60)+Transportation_LCIA!F$62</f>
        <v>0.13805910954225503</v>
      </c>
      <c r="AC357" s="16">
        <f>Transportation_LCIA!G$61*($W357^Transportation_LCIA!G$60)+Transportation_LCIA!G$62</f>
        <v>3.1006967164908802E-2</v>
      </c>
      <c r="AD357" s="16">
        <f>Transportation_LCIA!H$61*($W357^Transportation_LCIA!H$60)+Transportation_LCIA!H$62</f>
        <v>1.2050145439131135E-4</v>
      </c>
      <c r="AE357" s="16">
        <f>Transportation_LCIA!I$61*($W357^Transportation_LCIA!I$60)+Transportation_LCIA!I$62</f>
        <v>2.0868876309854734E-6</v>
      </c>
      <c r="AF357" s="16">
        <f>Transportation_LCIA!J$61*($W357^Transportation_LCIA!J$60)+Transportation_LCIA!J$62</f>
        <v>3.1487079878510273E-3</v>
      </c>
      <c r="AG357" s="16">
        <f>Transportation_LCIA!K$61*($W357^Transportation_LCIA!K$60)+Transportation_LCIA!K$62</f>
        <v>6.1515003502329892E-3</v>
      </c>
      <c r="AH357" s="16">
        <f>Transportation_LCIA!L$61*($W357^Transportation_LCIA!L$60)+Transportation_LCIA!L$62</f>
        <v>9.7262350697460971E-5</v>
      </c>
      <c r="AI357" s="16">
        <f>Transportation_LCIA!M$61*($W357^Transportation_LCIA!M$60)+Transportation_LCIA!M$62</f>
        <v>1.5742704436438743E-4</v>
      </c>
      <c r="AJ357" s="16">
        <f>Transportation_LCIA!N$61*($W357^Transportation_LCIA!N$60)+Transportation_LCIA!N$62</f>
        <v>4.6326381973146522E-4</v>
      </c>
      <c r="AK357" s="16">
        <f>Transportation_LCIA!O$61*($W357^Transportation_LCIA!O$60)+Transportation_LCIA!O$62</f>
        <v>3.2635227510025124E-5</v>
      </c>
      <c r="AL357" s="16">
        <f>Transportation_LCIA!P$61*($W357^Transportation_LCIA!P$60)+Transportation_LCIA!P$62</f>
        <v>1.58304835742713E-8</v>
      </c>
      <c r="AM357" s="16">
        <f>Transportation_LCIA!Q$61*($W357^Transportation_LCIA!Q$60)+Transportation_LCIA!Q$62</f>
        <v>3.9413334624958368E-5</v>
      </c>
      <c r="AN357" s="16">
        <f>Transportation_LCIA!R$61*($W357^Transportation_LCIA!R$60)+Transportation_LCIA!R$62</f>
        <v>1.0103056055511716E-4</v>
      </c>
      <c r="AO357" s="16">
        <f>Transportation_LCIA!S$61*($W357^Transportation_LCIA!S$60)+Transportation_LCIA!S$62</f>
        <v>1.6882578538694314E-6</v>
      </c>
      <c r="AP357" s="16">
        <f>Transportation_LCIA!T$61*($W357^Transportation_LCIA!T$60)+Transportation_LCIA!T$62</f>
        <v>1.6882578538694314E-6</v>
      </c>
      <c r="AQ357" s="16">
        <f>Transportation_LCIA!U$61*($W357^Transportation_LCIA!U$60)+Transportation_LCIA!U$62</f>
        <v>2.1022859223385475E-4</v>
      </c>
      <c r="AR357" s="16">
        <f>Transportation_LCIA!V$61*($W357^Transportation_LCIA!V$60)+Transportation_LCIA!V$62</f>
        <v>1.0319636276365877E-4</v>
      </c>
      <c r="AT357" s="16">
        <f>$W357*Y357+($L357)*Summary_LCIA!H$34</f>
        <v>890.32566271129917</v>
      </c>
      <c r="AU357" s="16">
        <f ca="1">$W357*Z357+($L357)*Summary_LCIA!Q$34</f>
        <v>8578.8558954137097</v>
      </c>
      <c r="AV357" s="16">
        <f ca="1">$W357*AA357+($L357)*Summary_LCIA!R$34</f>
        <v>3.0886675545643358</v>
      </c>
      <c r="AW357" s="16">
        <f ca="1">$W357*AB357+($L357)*Summary_LCIA!S$34</f>
        <v>890.16355531929912</v>
      </c>
      <c r="AX357" s="16">
        <f ca="1">$W357*AC357+($L357)*Summary_LCIA!T$34</f>
        <v>200.59630146340461</v>
      </c>
      <c r="AY357" s="16">
        <f ca="1">$W357*AD357+($L357)*Summary_LCIA!U$34</f>
        <v>1.0580331701260164</v>
      </c>
      <c r="AZ357" s="16">
        <f ca="1">$W357*AE357+($L357)*Summary_LCIA!V$34</f>
        <v>2.6117558752871015E-2</v>
      </c>
      <c r="BA357" s="16">
        <f ca="1">$W357*AF357+($L357)*Summary_LCIA!W$34</f>
        <v>28.039082188498536</v>
      </c>
      <c r="BB357" s="16">
        <f ca="1">$W357*AG357+($L357)*Summary_LCIA!X$34</f>
        <v>40.826873793786078</v>
      </c>
      <c r="BC357" s="16">
        <f ca="1">$W357*AH357+($L357)*Summary_LCIA!Y$34</f>
        <v>0.89020456330628295</v>
      </c>
      <c r="BD357" s="16">
        <f ca="1">$W357*AI357+($L357)*Summary_LCIA!Z$34</f>
        <v>1.0062979572286057</v>
      </c>
      <c r="BE357" s="16">
        <f ca="1">$W357*AJ357+($L357)*Summary_LCIA!AA$34</f>
        <v>3.2745006624581889</v>
      </c>
      <c r="BF357" s="16">
        <f ca="1">$W357*AK357+($L357)*Summary_LCIA!AB$34</f>
        <v>0.20657545330125843</v>
      </c>
      <c r="BG357" s="16">
        <f ca="1">$W357*AL357+($L357)*Summary_LCIA!AC$34</f>
        <v>1.0132002630203271E-4</v>
      </c>
      <c r="BH357" s="16">
        <f ca="1">$W357*AM357+($L357)*Summary_LCIA!AD$34</f>
        <v>0.26840703546661865</v>
      </c>
      <c r="BI357" s="16">
        <f ca="1">$W357*AN357+($L357)*Summary_LCIA!AE$34</f>
        <v>0.69038984093911271</v>
      </c>
      <c r="BJ357" s="16">
        <f ca="1">$W357*AO357+($L357)*Summary_LCIA!AF$34</f>
        <v>4.8398352476745919E-2</v>
      </c>
      <c r="BK357" s="16">
        <f ca="1">$W357*AP357+($L357)*Summary_LCIA!AG$34</f>
        <v>1.117667473154592E-2</v>
      </c>
      <c r="BL357" s="16">
        <f ca="1">$W357*AQ357+($L357)*Summary_LCIA!AH$34</f>
        <v>1.6984606142504268</v>
      </c>
      <c r="BM357" s="16">
        <f ca="1">$W357*AR357+($L357)*Summary_LCIA!AI$34</f>
        <v>0.70113397063564509</v>
      </c>
      <c r="BN357" s="16"/>
    </row>
    <row r="358" spans="1:66" x14ac:dyDescent="0.25">
      <c r="A358" s="159">
        <v>217</v>
      </c>
      <c r="B358" s="159">
        <v>6</v>
      </c>
      <c r="C358" s="45">
        <v>35.791117999999997</v>
      </c>
      <c r="D358" s="45">
        <v>51.316220999999999</v>
      </c>
      <c r="E358" s="45" t="s">
        <v>278</v>
      </c>
      <c r="F358" s="159">
        <v>58</v>
      </c>
      <c r="G358" s="45" t="s">
        <v>279</v>
      </c>
      <c r="H358" s="45" t="s">
        <v>701</v>
      </c>
      <c r="I358" s="45">
        <v>35.743532000000002</v>
      </c>
      <c r="J358" s="45">
        <v>51.271971000000001</v>
      </c>
      <c r="K358" s="45">
        <v>1364.8377740000001</v>
      </c>
      <c r="L358" s="45">
        <v>16.777000000000001</v>
      </c>
      <c r="M358" s="61" t="s">
        <v>617</v>
      </c>
      <c r="N358" s="159">
        <v>5</v>
      </c>
      <c r="O358" s="159">
        <v>6</v>
      </c>
      <c r="P358" s="45" t="s">
        <v>565</v>
      </c>
      <c r="Q358" s="45" t="s">
        <v>564</v>
      </c>
      <c r="R358" s="45">
        <v>41.98028</v>
      </c>
      <c r="S358" s="45">
        <v>-87.908997900000003</v>
      </c>
      <c r="T358" s="45"/>
      <c r="U358" s="45" t="s">
        <v>622</v>
      </c>
      <c r="V358" s="45" t="s">
        <v>569</v>
      </c>
      <c r="W358" s="45" cm="1">
        <f t="array" ref="W358">getDistance(R358,S358,I358,J358)*SA!$B$12</f>
        <v>10457.1021797834</v>
      </c>
      <c r="Y358" s="16">
        <f>Transportation_LCIA!C$61*($W358^Transportation_LCIA!C$60)+Transportation_LCIA!C$62</f>
        <v>0.12913741000452536</v>
      </c>
      <c r="Z358" s="16">
        <f>Transportation_LCIA!D$61*($W358^Transportation_LCIA!D$60)+Transportation_LCIA!D$62</f>
        <v>1.2223085626221919</v>
      </c>
      <c r="AA358" s="16">
        <f>Transportation_LCIA!E$61*($W358^Transportation_LCIA!E$60)+Transportation_LCIA!E$62</f>
        <v>3.6081359707824419E-4</v>
      </c>
      <c r="AB358" s="16">
        <f>Transportation_LCIA!F$61*($W358^Transportation_LCIA!F$60)+Transportation_LCIA!F$62</f>
        <v>0.12913741000452536</v>
      </c>
      <c r="AC358" s="16">
        <f>Transportation_LCIA!G$61*($W358^Transportation_LCIA!G$60)+Transportation_LCIA!G$62</f>
        <v>2.8795052105996664E-2</v>
      </c>
      <c r="AD358" s="16">
        <f>Transportation_LCIA!H$61*($W358^Transportation_LCIA!H$60)+Transportation_LCIA!H$62</f>
        <v>1.0775499660521079E-4</v>
      </c>
      <c r="AE358" s="16">
        <f>Transportation_LCIA!I$61*($W358^Transportation_LCIA!I$60)+Transportation_LCIA!I$62</f>
        <v>1.7909537113541832E-6</v>
      </c>
      <c r="AF358" s="16">
        <f>Transportation_LCIA!J$61*($W358^Transportation_LCIA!J$60)+Transportation_LCIA!J$62</f>
        <v>2.7306687940884997E-3</v>
      </c>
      <c r="AG358" s="16">
        <f>Transportation_LCIA!K$61*($W358^Transportation_LCIA!K$60)+Transportation_LCIA!K$62</f>
        <v>5.6582479471378386E-3</v>
      </c>
      <c r="AH358" s="16">
        <f>Transportation_LCIA!L$61*($W358^Transportation_LCIA!L$60)+Transportation_LCIA!L$62</f>
        <v>8.5810988422100264E-5</v>
      </c>
      <c r="AI358" s="16">
        <f>Transportation_LCIA!M$61*($W358^Transportation_LCIA!M$60)+Transportation_LCIA!M$62</f>
        <v>1.5041161861562575E-4</v>
      </c>
      <c r="AJ358" s="16">
        <f>Transportation_LCIA!N$61*($W358^Transportation_LCIA!N$60)+Transportation_LCIA!N$62</f>
        <v>4.2013160803432061E-4</v>
      </c>
      <c r="AK358" s="16">
        <f>Transportation_LCIA!O$61*($W358^Transportation_LCIA!O$60)+Transportation_LCIA!O$62</f>
        <v>3.0290623560059317E-5</v>
      </c>
      <c r="AL358" s="16">
        <f>Transportation_LCIA!P$61*($W358^Transportation_LCIA!P$60)+Transportation_LCIA!P$62</f>
        <v>1.4695606596594982E-8</v>
      </c>
      <c r="AM358" s="16">
        <f>Transportation_LCIA!Q$61*($W358^Transportation_LCIA!Q$60)+Transportation_LCIA!Q$62</f>
        <v>3.4991050179113527E-5</v>
      </c>
      <c r="AN358" s="16">
        <f>Transportation_LCIA!R$61*($W358^Transportation_LCIA!R$60)+Transportation_LCIA!R$62</f>
        <v>8.6867365571990913E-5</v>
      </c>
      <c r="AO358" s="16">
        <f>Transportation_LCIA!S$61*($W358^Transportation_LCIA!S$60)+Transportation_LCIA!S$62</f>
        <v>1.4865227288513303E-6</v>
      </c>
      <c r="AP358" s="16">
        <f>Transportation_LCIA!T$61*($W358^Transportation_LCIA!T$60)+Transportation_LCIA!T$62</f>
        <v>1.4865227288513303E-6</v>
      </c>
      <c r="AQ358" s="16">
        <f>Transportation_LCIA!U$61*($W358^Transportation_LCIA!U$60)+Transportation_LCIA!U$62</f>
        <v>1.7964139104685139E-4</v>
      </c>
      <c r="AR358" s="16">
        <f>Transportation_LCIA!V$61*($W358^Transportation_LCIA!V$60)+Transportation_LCIA!V$62</f>
        <v>9.1874452137772299E-5</v>
      </c>
      <c r="AT358" s="16">
        <f>$W358*Y358+($L358)*Summary_LCIA!H$32</f>
        <v>1356.1039162499048</v>
      </c>
      <c r="AU358" s="16">
        <f>$W358*Z358+($L358)*Summary_LCIA!Q$32</f>
        <v>12864.953192678879</v>
      </c>
      <c r="AV358" s="16">
        <f>$W358*AA358+($L358)*Summary_LCIA!R$32</f>
        <v>3.8614056237023968</v>
      </c>
      <c r="AW358" s="16">
        <f>$W358*AB358+($L358)*Summary_LCIA!S$32</f>
        <v>1356.0297619099049</v>
      </c>
      <c r="AX358" s="16">
        <f>$W358*AC358+($L358)*Summary_LCIA!T$32</f>
        <v>302.95659444459432</v>
      </c>
      <c r="AY358" s="16">
        <f>$W358*AD358+($L358)*Summary_LCIA!U$32</f>
        <v>1.4273481878829026</v>
      </c>
      <c r="AZ358" s="16">
        <f>$W358*AE358+($L358)*Summary_LCIA!V$32</f>
        <v>1.9529472255893E-2</v>
      </c>
      <c r="BA358" s="16">
        <f>$W358*AF358+($L358)*Summary_LCIA!W$32</f>
        <v>29.84622506592936</v>
      </c>
      <c r="BB358" s="16">
        <f>$W358*AG358+($L358)*Summary_LCIA!X$32</f>
        <v>59.55105700177004</v>
      </c>
      <c r="BC358" s="16">
        <f>$W358*AH358+($L358)*Summary_LCIA!Y$32</f>
        <v>1.1587534880781127</v>
      </c>
      <c r="BD358" s="16">
        <f>$W358*AI358+($L358)*Summary_LCIA!Z$32</f>
        <v>1.5735576728832095</v>
      </c>
      <c r="BE358" s="16">
        <f>$W358*AJ358+($L358)*Summary_LCIA!AA$32</f>
        <v>4.785202766171599</v>
      </c>
      <c r="BF358" s="16">
        <f>$W358*AK358+($L358)*Summary_LCIA!AB$32</f>
        <v>0.31638602118589471</v>
      </c>
      <c r="BG358" s="16">
        <f>$W358*AL358+($L358)*Summary_LCIA!AC$32</f>
        <v>1.5449358664249271E-4</v>
      </c>
      <c r="BH358" s="16">
        <f>$W358*AM358+($L358)*Summary_LCIA!AD$32</f>
        <v>0.37280100518091841</v>
      </c>
      <c r="BI358" s="16">
        <f>$W358*AN358+($L358)*Summary_LCIA!AE$32</f>
        <v>0.92324752088490758</v>
      </c>
      <c r="BJ358" s="16">
        <f>$W358*AO358+($L358)*Summary_LCIA!AF$32</f>
        <v>2.9728331408168815E-2</v>
      </c>
      <c r="BK358" s="16">
        <f>$W358*AP358+($L358)*Summary_LCIA!AG$32</f>
        <v>1.6403115273168813E-2</v>
      </c>
      <c r="BL358" s="16">
        <f>$W358*AQ358+($L358)*Summary_LCIA!AH$32</f>
        <v>2.0245486790953517</v>
      </c>
      <c r="BM358" s="16">
        <f>$W358*AR358+($L358)*Summary_LCIA!AI$32</f>
        <v>0.97636914806630437</v>
      </c>
      <c r="BN358" s="16"/>
    </row>
    <row r="359" spans="1:66" x14ac:dyDescent="0.25">
      <c r="A359" s="159">
        <v>223</v>
      </c>
      <c r="B359" s="159">
        <v>6</v>
      </c>
      <c r="C359" s="45">
        <v>46.204391000000001</v>
      </c>
      <c r="D359" s="45">
        <v>6.1431579999999997</v>
      </c>
      <c r="E359" s="45" t="s">
        <v>271</v>
      </c>
      <c r="F359" s="159">
        <v>9</v>
      </c>
      <c r="G359" s="45" t="s">
        <v>567</v>
      </c>
      <c r="H359" s="45" t="s">
        <v>566</v>
      </c>
      <c r="I359" s="45">
        <v>50.037933000000002</v>
      </c>
      <c r="J359" s="45">
        <v>8.5621519999999993</v>
      </c>
      <c r="K359" s="45">
        <v>440.90853509999999</v>
      </c>
      <c r="L359" s="45">
        <v>589.53800000000001</v>
      </c>
      <c r="M359" s="61" t="s">
        <v>589</v>
      </c>
      <c r="N359" s="159">
        <v>5</v>
      </c>
      <c r="O359" s="159">
        <v>6</v>
      </c>
      <c r="P359" s="45" t="s">
        <v>565</v>
      </c>
      <c r="Q359" s="45" t="s">
        <v>564</v>
      </c>
      <c r="R359" s="45">
        <v>41.98028</v>
      </c>
      <c r="S359" s="45">
        <v>-87.908997900000003</v>
      </c>
      <c r="T359" s="45"/>
      <c r="U359" s="45" t="s">
        <v>622</v>
      </c>
      <c r="V359" s="45" t="s">
        <v>569</v>
      </c>
      <c r="W359" s="45" cm="1">
        <f t="array" ref="W359">getDistance(R359,S359,I359,J359)*SA!$B$12</f>
        <v>6991.474163990265</v>
      </c>
      <c r="Y359" s="16">
        <f>Transportation_LCIA!C$61*($W359^Transportation_LCIA!C$60)+Transportation_LCIA!C$62</f>
        <v>0.13607158683765486</v>
      </c>
      <c r="Z359" s="16">
        <f>Transportation_LCIA!D$61*($W359^Transportation_LCIA!D$60)+Transportation_LCIA!D$62</f>
        <v>1.2960544516670511</v>
      </c>
      <c r="AA359" s="16">
        <f>Transportation_LCIA!E$61*($W359^Transportation_LCIA!E$60)+Transportation_LCIA!E$62</f>
        <v>4.08051692934456E-4</v>
      </c>
      <c r="AB359" s="16">
        <f>Transportation_LCIA!F$61*($W359^Transportation_LCIA!F$60)+Transportation_LCIA!F$62</f>
        <v>0.13607158683765486</v>
      </c>
      <c r="AC359" s="16">
        <f>Transportation_LCIA!G$61*($W359^Transportation_LCIA!G$60)+Transportation_LCIA!G$62</f>
        <v>3.0510482839803857E-2</v>
      </c>
      <c r="AD359" s="16">
        <f>Transportation_LCIA!H$61*($W359^Transportation_LCIA!H$60)+Transportation_LCIA!H$62</f>
        <v>1.1761993154750947E-4</v>
      </c>
      <c r="AE359" s="16">
        <f>Transportation_LCIA!I$61*($W359^Transportation_LCIA!I$60)+Transportation_LCIA!I$62</f>
        <v>2.0195110997086036E-6</v>
      </c>
      <c r="AF359" s="16">
        <f>Transportation_LCIA!J$61*($W359^Transportation_LCIA!J$60)+Transportation_LCIA!J$62</f>
        <v>3.0530905579478898E-3</v>
      </c>
      <c r="AG359" s="16">
        <f>Transportation_LCIA!K$61*($W359^Transportation_LCIA!K$60)+Transportation_LCIA!K$62</f>
        <v>6.0403384300008372E-3</v>
      </c>
      <c r="AH359" s="16">
        <f>Transportation_LCIA!L$61*($W359^Transportation_LCIA!L$60)+Transportation_LCIA!L$62</f>
        <v>9.4668359773999447E-5</v>
      </c>
      <c r="AI359" s="16">
        <f>Transportation_LCIA!M$61*($W359^Transportation_LCIA!M$60)+Transportation_LCIA!M$62</f>
        <v>1.5584072356247073E-4</v>
      </c>
      <c r="AJ359" s="16">
        <f>Transportation_LCIA!N$61*($W359^Transportation_LCIA!N$60)+Transportation_LCIA!N$62</f>
        <v>4.5351866242955259E-4</v>
      </c>
      <c r="AK359" s="16">
        <f>Transportation_LCIA!O$61*($W359^Transportation_LCIA!O$60)+Transportation_LCIA!O$62</f>
        <v>3.2108844489935627E-5</v>
      </c>
      <c r="AL359" s="16">
        <f>Transportation_LCIA!P$61*($W359^Transportation_LCIA!P$60)+Transportation_LCIA!P$62</f>
        <v>1.5575845558052219E-8</v>
      </c>
      <c r="AM359" s="16">
        <f>Transportation_LCIA!Q$61*($W359^Transportation_LCIA!Q$60)+Transportation_LCIA!Q$62</f>
        <v>3.8410496820318223E-5</v>
      </c>
      <c r="AN359" s="16">
        <f>Transportation_LCIA!R$61*($W359^Transportation_LCIA!R$60)+Transportation_LCIA!R$62</f>
        <v>9.7805414155038704E-5</v>
      </c>
      <c r="AO359" s="16">
        <f>Transportation_LCIA!S$61*($W359^Transportation_LCIA!S$60)+Transportation_LCIA!S$62</f>
        <v>1.6423346635114641E-6</v>
      </c>
      <c r="AP359" s="16">
        <f>Transportation_LCIA!T$61*($W359^Transportation_LCIA!T$60)+Transportation_LCIA!T$62</f>
        <v>1.6423346635114641E-6</v>
      </c>
      <c r="AQ359" s="16">
        <f>Transportation_LCIA!U$61*($W359^Transportation_LCIA!U$60)+Transportation_LCIA!U$62</f>
        <v>2.0325412740720072E-4</v>
      </c>
      <c r="AR359" s="16">
        <f>Transportation_LCIA!V$61*($W359^Transportation_LCIA!V$60)+Transportation_LCIA!V$62</f>
        <v>1.0062529790768567E-4</v>
      </c>
      <c r="AT359" s="16">
        <f>$W359*Y359+($L359)*Summary_LCIA!H$34</f>
        <v>995.23916238462164</v>
      </c>
      <c r="AU359" s="16">
        <f ca="1">$W359*Z359+($L359)*Summary_LCIA!Q$34</f>
        <v>9789.4632484304984</v>
      </c>
      <c r="AV359" s="16">
        <f ca="1">$W359*AA359+($L359)*Summary_LCIA!R$34</f>
        <v>4.3600957195237378</v>
      </c>
      <c r="AW359" s="16">
        <f ca="1">$W359*AB359+($L359)*Summary_LCIA!S$34</f>
        <v>994.63547547262169</v>
      </c>
      <c r="AX359" s="16">
        <f ca="1">$W359*AC359+($L359)*Summary_LCIA!T$34</f>
        <v>225.542039239357</v>
      </c>
      <c r="AY359" s="16">
        <f ca="1">$W359*AD359+($L359)*Summary_LCIA!U$34</f>
        <v>1.9068508173847158</v>
      </c>
      <c r="AZ359" s="16">
        <f ca="1">$W359*AE359+($L359)*Summary_LCIA!V$34</f>
        <v>6.1926764711504274E-2</v>
      </c>
      <c r="BA359" s="16">
        <f ca="1">$W359*AF359+($L359)*Summary_LCIA!W$34</f>
        <v>51.146160118215292</v>
      </c>
      <c r="BB359" s="16">
        <f ca="1">$W359*AG359+($L359)*Summary_LCIA!X$34</f>
        <v>48.494121787108369</v>
      </c>
      <c r="BC359" s="16">
        <f ca="1">$W359*AH359+($L359)*Summary_LCIA!Y$34</f>
        <v>1.6721037083072523</v>
      </c>
      <c r="BD359" s="16">
        <f ca="1">$W359*AI359+($L359)*Summary_LCIA!Z$34</f>
        <v>1.1063611731745631</v>
      </c>
      <c r="BE359" s="16">
        <f ca="1">$W359*AJ359+($L359)*Summary_LCIA!AA$34</f>
        <v>4.3867450900636396</v>
      </c>
      <c r="BF359" s="16">
        <f ca="1">$W359*AK359+($L359)*Summary_LCIA!AB$34</f>
        <v>0.22039741145876612</v>
      </c>
      <c r="BG359" s="16">
        <f ca="1">$W359*AL359+($L359)*Summary_LCIA!AC$34</f>
        <v>1.1106885967122462E-4</v>
      </c>
      <c r="BH359" s="16">
        <f ca="1">$W359*AM359+($L359)*Summary_LCIA!AD$34</f>
        <v>0.33409083098528508</v>
      </c>
      <c r="BI359" s="16">
        <f ca="1">$W359*AN359+($L359)*Summary_LCIA!AE$34</f>
        <v>0.86063005388332081</v>
      </c>
      <c r="BJ359" s="16">
        <f ca="1">$W359*AO359+($L359)*Summary_LCIA!AF$34</f>
        <v>0.15170984904856605</v>
      </c>
      <c r="BK359" s="16">
        <f ca="1">$W359*AP359+($L359)*Summary_LCIA!AG$34</f>
        <v>1.3096554366366047E-2</v>
      </c>
      <c r="BL359" s="16">
        <f ca="1">$W359*AQ359+($L359)*Summary_LCIA!AH$34</f>
        <v>2.7641904058918296</v>
      </c>
      <c r="BM359" s="16">
        <f ca="1">$W359*AR359+($L359)*Summary_LCIA!AI$34</f>
        <v>0.86903196406540806</v>
      </c>
      <c r="BN359" s="16"/>
    </row>
    <row r="360" spans="1:66" x14ac:dyDescent="0.25">
      <c r="A360" s="159">
        <v>225</v>
      </c>
      <c r="B360" s="159">
        <v>6</v>
      </c>
      <c r="C360" s="45">
        <v>55.864237000000003</v>
      </c>
      <c r="D360" s="45">
        <v>-4.2518060000000002</v>
      </c>
      <c r="E360" s="45" t="s">
        <v>463</v>
      </c>
      <c r="F360" s="159">
        <v>7</v>
      </c>
      <c r="G360" s="45" t="s">
        <v>628</v>
      </c>
      <c r="H360" s="45" t="s">
        <v>702</v>
      </c>
      <c r="I360" s="45">
        <v>53.358806000000001</v>
      </c>
      <c r="J360" s="45">
        <v>-2.2749190000000001</v>
      </c>
      <c r="K360" s="45">
        <v>565.56637360000002</v>
      </c>
      <c r="L360" s="45">
        <v>391.911</v>
      </c>
      <c r="M360" s="61" t="s">
        <v>589</v>
      </c>
      <c r="N360" s="159">
        <v>5</v>
      </c>
      <c r="O360" s="159">
        <v>6</v>
      </c>
      <c r="P360" s="45" t="s">
        <v>565</v>
      </c>
      <c r="Q360" s="45" t="s">
        <v>564</v>
      </c>
      <c r="R360" s="45">
        <v>41.98028</v>
      </c>
      <c r="S360" s="45">
        <v>-87.908997900000003</v>
      </c>
      <c r="T360" s="45"/>
      <c r="U360" s="45" t="s">
        <v>622</v>
      </c>
      <c r="V360" s="45" t="s">
        <v>569</v>
      </c>
      <c r="W360" s="45" cm="1">
        <f t="array" ref="W360">getDistance(R360,S360,I360,J360)*SA!$B$12</f>
        <v>6158.4772720429373</v>
      </c>
      <c r="Y360" s="16">
        <f>Transportation_LCIA!C$61*($W360^Transportation_LCIA!C$60)+Transportation_LCIA!C$62</f>
        <v>0.13878829900641665</v>
      </c>
      <c r="Z360" s="16">
        <f>Transportation_LCIA!D$61*($W360^Transportation_LCIA!D$60)+Transportation_LCIA!D$62</f>
        <v>1.3252677746316548</v>
      </c>
      <c r="AA360" s="16">
        <f>Transportation_LCIA!E$61*($W360^Transportation_LCIA!E$60)+Transportation_LCIA!E$62</f>
        <v>4.2682242171140184E-4</v>
      </c>
      <c r="AB360" s="16">
        <f>Transportation_LCIA!F$61*($W360^Transportation_LCIA!F$60)+Transportation_LCIA!F$62</f>
        <v>0.13878829900641665</v>
      </c>
      <c r="AC360" s="16">
        <f>Transportation_LCIA!G$61*($W360^Transportation_LCIA!G$60)+Transportation_LCIA!G$62</f>
        <v>3.1189587932772773E-2</v>
      </c>
      <c r="AD360" s="16">
        <f>Transportation_LCIA!H$61*($W360^Transportation_LCIA!H$60)+Transportation_LCIA!H$62</f>
        <v>1.2156394883681344E-4</v>
      </c>
      <c r="AE360" s="16">
        <f>Transportation_LCIA!I$61*($W360^Transportation_LCIA!I$60)+Transportation_LCIA!I$62</f>
        <v>2.1117918179079237E-6</v>
      </c>
      <c r="AF360" s="16">
        <f>Transportation_LCIA!J$61*($W360^Transportation_LCIA!J$60)+Transportation_LCIA!J$62</f>
        <v>3.1841071099795977E-3</v>
      </c>
      <c r="AG360" s="16">
        <f>Transportation_LCIA!K$61*($W360^Transportation_LCIA!K$60)+Transportation_LCIA!K$62</f>
        <v>6.1924452051371594E-3</v>
      </c>
      <c r="AH360" s="16">
        <f>Transportation_LCIA!L$61*($W360^Transportation_LCIA!L$60)+Transportation_LCIA!L$62</f>
        <v>9.8219488982991037E-5</v>
      </c>
      <c r="AI360" s="16">
        <f>Transportation_LCIA!M$61*($W360^Transportation_LCIA!M$60)+Transportation_LCIA!M$62</f>
        <v>1.5801201147775672E-4</v>
      </c>
      <c r="AJ360" s="16">
        <f>Transportation_LCIA!N$61*($W360^Transportation_LCIA!N$60)+Transportation_LCIA!N$62</f>
        <v>4.6685642305568464E-4</v>
      </c>
      <c r="AK360" s="16">
        <f>Transportation_LCIA!O$61*($W360^Transportation_LCIA!O$60)+Transportation_LCIA!O$62</f>
        <v>3.2828860371291746E-5</v>
      </c>
      <c r="AL360" s="16">
        <f>Transportation_LCIA!P$61*($W360^Transportation_LCIA!P$60)+Transportation_LCIA!P$62</f>
        <v>1.5924134544705094E-8</v>
      </c>
      <c r="AM360" s="16">
        <f>Transportation_LCIA!Q$61*($W360^Transportation_LCIA!Q$60)+Transportation_LCIA!Q$62</f>
        <v>3.978350301831882E-5</v>
      </c>
      <c r="AN360" s="16">
        <f>Transportation_LCIA!R$61*($W360^Transportation_LCIA!R$60)+Transportation_LCIA!R$62</f>
        <v>1.0222273206475839E-4</v>
      </c>
      <c r="AO360" s="16">
        <f>Transportation_LCIA!S$61*($W360^Transportation_LCIA!S$60)+Transportation_LCIA!S$62</f>
        <v>1.7052314532625364E-6</v>
      </c>
      <c r="AP360" s="16">
        <f>Transportation_LCIA!T$61*($W360^Transportation_LCIA!T$60)+Transportation_LCIA!T$62</f>
        <v>1.7052314532625364E-6</v>
      </c>
      <c r="AQ360" s="16">
        <f>Transportation_LCIA!U$61*($W360^Transportation_LCIA!U$60)+Transportation_LCIA!U$62</f>
        <v>2.1280788732878301E-4</v>
      </c>
      <c r="AR360" s="16">
        <f>Transportation_LCIA!V$61*($W360^Transportation_LCIA!V$60)+Transportation_LCIA!V$62</f>
        <v>1.041458543499078E-4</v>
      </c>
      <c r="AT360" s="16">
        <f>$W360*Y360+($L360)*Summary_LCIA!H$34</f>
        <v>883.90706193851622</v>
      </c>
      <c r="AU360" s="16">
        <f ca="1">$W360*Z360+($L360)*Summary_LCIA!Q$34</f>
        <v>8645.6765246584982</v>
      </c>
      <c r="AV360" s="16">
        <f ca="1">$W360*AA360+($L360)*Summary_LCIA!R$34</f>
        <v>3.6305358459079944</v>
      </c>
      <c r="AW360" s="16">
        <f ca="1">$W360*AB360+($L360)*Summary_LCIA!S$34</f>
        <v>883.50574507451631</v>
      </c>
      <c r="AX360" s="16">
        <f ca="1">$W360*AC360+($L360)*Summary_LCIA!T$34</f>
        <v>200.2097782813658</v>
      </c>
      <c r="AY360" s="16">
        <f ca="1">$W360*AD360+($L360)*Summary_LCIA!U$34</f>
        <v>1.4696082916113062</v>
      </c>
      <c r="AZ360" s="16">
        <f ca="1">$W360*AE360+($L360)*Summary_LCIA!V$34</f>
        <v>4.4786660636872186E-2</v>
      </c>
      <c r="BA360" s="16">
        <f ca="1">$W360*AF360+($L360)*Summary_LCIA!W$34</f>
        <v>39.419960407559671</v>
      </c>
      <c r="BB360" s="16">
        <f ca="1">$W360*AG360+($L360)*Summary_LCIA!X$34</f>
        <v>42.299695518208459</v>
      </c>
      <c r="BC360" s="16">
        <f ca="1">$W360*AH360+($L360)*Summary_LCIA!Y$34</f>
        <v>1.276461180173422</v>
      </c>
      <c r="BD360" s="16">
        <f ca="1">$W360*AI360+($L360)*Summary_LCIA!Z$34</f>
        <v>0.98428480445055244</v>
      </c>
      <c r="BE360" s="16">
        <f ca="1">$W360*AJ360+($L360)*Summary_LCIA!AA$34</f>
        <v>3.6834802992956961</v>
      </c>
      <c r="BF360" s="16">
        <f ca="1">$W360*AK360+($L360)*Summary_LCIA!AB$34</f>
        <v>0.19945635922577129</v>
      </c>
      <c r="BG360" s="16">
        <f ca="1">$W360*AL360+($L360)*Summary_LCIA!AC$34</f>
        <v>9.9511476163620133E-5</v>
      </c>
      <c r="BH360" s="16">
        <f ca="1">$W360*AM360+($L360)*Summary_LCIA!AD$34</f>
        <v>0.28857846412056803</v>
      </c>
      <c r="BI360" s="16">
        <f ca="1">$W360*AN360+($L360)*Summary_LCIA!AE$34</f>
        <v>0.74708615744694939</v>
      </c>
      <c r="BJ360" s="16">
        <f ca="1">$W360*AO360+($L360)*Summary_LCIA!AF$34</f>
        <v>0.10372157960849009</v>
      </c>
      <c r="BK360" s="16">
        <f ca="1">$W360*AP360+($L360)*Summary_LCIA!AG$34</f>
        <v>1.157472065759008E-2</v>
      </c>
      <c r="BL360" s="16">
        <f ca="1">$W360*AQ360+($L360)*Summary_LCIA!AH$34</f>
        <v>2.2034633687257843</v>
      </c>
      <c r="BM360" s="16">
        <f ca="1">$W360*AR360+($L360)*Summary_LCIA!AI$34</f>
        <v>0.75140889024140123</v>
      </c>
      <c r="BN360" s="16"/>
    </row>
    <row r="361" spans="1:66" x14ac:dyDescent="0.25">
      <c r="A361" s="159">
        <v>233</v>
      </c>
      <c r="B361" s="159">
        <v>6</v>
      </c>
      <c r="C361" s="45">
        <v>20.593684</v>
      </c>
      <c r="D361" s="45">
        <v>78.962879999999998</v>
      </c>
      <c r="E361" s="45" t="s">
        <v>268</v>
      </c>
      <c r="F361" s="159">
        <v>41</v>
      </c>
      <c r="G361" s="45" t="s">
        <v>704</v>
      </c>
      <c r="H361" s="45" t="s">
        <v>705</v>
      </c>
      <c r="I361" s="45">
        <v>21.090667</v>
      </c>
      <c r="J361" s="45">
        <v>79.051494000000005</v>
      </c>
      <c r="K361" s="45">
        <v>668.6216369</v>
      </c>
      <c r="L361" s="45">
        <v>61.351999999999997</v>
      </c>
      <c r="M361" s="61" t="s">
        <v>617</v>
      </c>
      <c r="N361" s="159">
        <v>5</v>
      </c>
      <c r="O361" s="159">
        <v>6</v>
      </c>
      <c r="P361" s="45" t="s">
        <v>565</v>
      </c>
      <c r="Q361" s="45" t="s">
        <v>564</v>
      </c>
      <c r="R361" s="45">
        <v>41.98028</v>
      </c>
      <c r="S361" s="45">
        <v>-87.908997900000003</v>
      </c>
      <c r="T361" s="45"/>
      <c r="U361" s="45" t="s">
        <v>622</v>
      </c>
      <c r="V361" s="45" t="s">
        <v>569</v>
      </c>
      <c r="W361" s="45" cm="1">
        <f t="array" ref="W361">getDistance(R361,S361,I361,J361)*SA!$B$12</f>
        <v>12906.589515537302</v>
      </c>
      <c r="Y361" s="16">
        <f>Transportation_LCIA!C$61*($W361^Transportation_LCIA!C$60)+Transportation_LCIA!C$62</f>
        <v>0.12634401066762024</v>
      </c>
      <c r="Z361" s="16">
        <f>Transportation_LCIA!D$61*($W361^Transportation_LCIA!D$60)+Transportation_LCIA!D$62</f>
        <v>1.1930038402210625</v>
      </c>
      <c r="AA361" s="16">
        <f>Transportation_LCIA!E$61*($W361^Transportation_LCIA!E$60)+Transportation_LCIA!E$62</f>
        <v>3.4211444612036848E-4</v>
      </c>
      <c r="AB361" s="16">
        <f>Transportation_LCIA!F$61*($W361^Transportation_LCIA!F$60)+Transportation_LCIA!F$62</f>
        <v>0.12634401066762024</v>
      </c>
      <c r="AC361" s="16">
        <f>Transportation_LCIA!G$61*($W361^Transportation_LCIA!G$60)+Transportation_LCIA!G$62</f>
        <v>2.8112839830900151E-2</v>
      </c>
      <c r="AD361" s="16">
        <f>Transportation_LCIA!H$61*($W361^Transportation_LCIA!H$60)+Transportation_LCIA!H$62</f>
        <v>1.0387954456365221E-4</v>
      </c>
      <c r="AE361" s="16">
        <f>Transportation_LCIA!I$61*($W361^Transportation_LCIA!I$60)+Transportation_LCIA!I$62</f>
        <v>1.7022583256656693E-6</v>
      </c>
      <c r="AF361" s="16">
        <f>Transportation_LCIA!J$61*($W361^Transportation_LCIA!J$60)+Transportation_LCIA!J$62</f>
        <v>2.6065465872378698E-3</v>
      </c>
      <c r="AG361" s="16">
        <f>Transportation_LCIA!K$61*($W361^Transportation_LCIA!K$60)+Transportation_LCIA!K$62</f>
        <v>5.5073407678116861E-3</v>
      </c>
      <c r="AH361" s="16">
        <f>Transportation_LCIA!L$61*($W361^Transportation_LCIA!L$60)+Transportation_LCIA!L$62</f>
        <v>8.2343475760837296E-5</v>
      </c>
      <c r="AI361" s="16">
        <f>Transportation_LCIA!M$61*($W361^Transportation_LCIA!M$60)+Transportation_LCIA!M$62</f>
        <v>1.4827967134063634E-4</v>
      </c>
      <c r="AJ361" s="16">
        <f>Transportation_LCIA!N$61*($W361^Transportation_LCIA!N$60)+Transportation_LCIA!N$62</f>
        <v>4.0700268960806488E-4</v>
      </c>
      <c r="AK361" s="16">
        <f>Transportation_LCIA!O$61*($W361^Transportation_LCIA!O$60)+Transportation_LCIA!O$62</f>
        <v>2.9567804298930124E-5</v>
      </c>
      <c r="AL361" s="16">
        <f>Transportation_LCIA!P$61*($W361^Transportation_LCIA!P$60)+Transportation_LCIA!P$62</f>
        <v>1.434531834520385E-8</v>
      </c>
      <c r="AM361" s="16">
        <f>Transportation_LCIA!Q$61*($W361^Transportation_LCIA!Q$60)+Transportation_LCIA!Q$62</f>
        <v>3.3654906675817141E-5</v>
      </c>
      <c r="AN361" s="16">
        <f>Transportation_LCIA!R$61*($W361^Transportation_LCIA!R$60)+Transportation_LCIA!R$62</f>
        <v>8.2623936728489492E-5</v>
      </c>
      <c r="AO361" s="16">
        <f>Transportation_LCIA!S$61*($W361^Transportation_LCIA!S$60)+Transportation_LCIA!S$62</f>
        <v>1.4260421091957406E-6</v>
      </c>
      <c r="AP361" s="16">
        <f>Transportation_LCIA!T$61*($W361^Transportation_LCIA!T$60)+Transportation_LCIA!T$62</f>
        <v>1.4260421091957406E-6</v>
      </c>
      <c r="AQ361" s="16">
        <f>Transportation_LCIA!U$61*($W361^Transportation_LCIA!U$60)+Transportation_LCIA!U$62</f>
        <v>1.7050208704157542E-4</v>
      </c>
      <c r="AR361" s="16">
        <f>Transportation_LCIA!V$61*($W361^Transportation_LCIA!V$60)+Transportation_LCIA!V$62</f>
        <v>8.8463350332371941E-5</v>
      </c>
      <c r="AT361" s="16">
        <f>$W361*Y361+($L361)*Summary_LCIA!H$32</f>
        <v>1651.5176930336404</v>
      </c>
      <c r="AU361" s="16">
        <f>$W361*Z361+($L361)*Summary_LCIA!Q$32</f>
        <v>15701.674462358322</v>
      </c>
      <c r="AV361" s="16">
        <f>$W361*AA361+($L361)*Summary_LCIA!R$32</f>
        <v>4.7385858146109987</v>
      </c>
      <c r="AW361" s="16">
        <f>$W361*AB361+($L361)*Summary_LCIA!S$32</f>
        <v>1651.2465171936403</v>
      </c>
      <c r="AX361" s="16">
        <f>$W361*AC361+($L361)*Summary_LCIA!T$32</f>
        <v>369.5834686134753</v>
      </c>
      <c r="AY361" s="16">
        <f>$W361*AD361+($L361)*Summary_LCIA!U$32</f>
        <v>2.4397903687440232</v>
      </c>
      <c r="AZ361" s="16">
        <f>$W361*AE361+($L361)*Summary_LCIA!V$32</f>
        <v>2.4900582330772608E-2</v>
      </c>
      <c r="BA361" s="16">
        <f>$W361*AF361+($L361)*Summary_LCIA!W$32</f>
        <v>38.36395164660383</v>
      </c>
      <c r="BB361" s="16">
        <f>$W361*AG361+($L361)*Summary_LCIA!X$32</f>
        <v>72.478585172329474</v>
      </c>
      <c r="BC361" s="16">
        <f>$W361*AH361+($L361)*Summary_LCIA!Y$32</f>
        <v>2.0187603049277225</v>
      </c>
      <c r="BD361" s="16">
        <f>$W361*AI361+($L361)*Summary_LCIA!Z$32</f>
        <v>1.9163008356603739</v>
      </c>
      <c r="BE361" s="16">
        <f>$W361*AJ361+($L361)*Summary_LCIA!AA$32</f>
        <v>6.6859539584909333</v>
      </c>
      <c r="BF361" s="16">
        <f>$W361*AK361+($L361)*Summary_LCIA!AB$32</f>
        <v>0.38028062826603026</v>
      </c>
      <c r="BG361" s="16">
        <f>$W361*AL361+($L361)*Summary_LCIA!AC$32</f>
        <v>1.8814826651925292E-4</v>
      </c>
      <c r="BH361" s="16">
        <f>$W361*AM361+($L361)*Summary_LCIA!AD$32</f>
        <v>0.45958819172848786</v>
      </c>
      <c r="BI361" s="16">
        <f>$W361*AN361+($L361)*Summary_LCIA!AE$32</f>
        <v>1.1207590832723398</v>
      </c>
      <c r="BJ361" s="16">
        <f>$W361*AO361+($L361)*Summary_LCIA!AF$32</f>
        <v>7.0273547975260447E-2</v>
      </c>
      <c r="BK361" s="16">
        <f>$W361*AP361+($L361)*Summary_LCIA!AG$32</f>
        <v>2.1544415215260446E-2</v>
      </c>
      <c r="BL361" s="16">
        <f>$W361*AQ361+($L361)*Summary_LCIA!AH$32</f>
        <v>2.734583716188026</v>
      </c>
      <c r="BM361" s="16">
        <f>$W361*AR361+($L361)*Summary_LCIA!AI$32</f>
        <v>1.1989126055090951</v>
      </c>
      <c r="BN361" s="16"/>
    </row>
    <row r="362" spans="1:66" x14ac:dyDescent="0.25">
      <c r="A362" s="159">
        <v>235</v>
      </c>
      <c r="B362" s="159">
        <v>6</v>
      </c>
      <c r="C362" s="45">
        <v>29.351009000000001</v>
      </c>
      <c r="D362" s="45">
        <v>47.944330999999998</v>
      </c>
      <c r="E362" s="45" t="s">
        <v>282</v>
      </c>
      <c r="F362" s="159">
        <v>58</v>
      </c>
      <c r="G362" s="45" t="s">
        <v>283</v>
      </c>
      <c r="H362" s="45" t="s">
        <v>706</v>
      </c>
      <c r="I362" s="45">
        <v>29.240445999999999</v>
      </c>
      <c r="J362" s="45">
        <v>47.968857</v>
      </c>
      <c r="K362" s="45">
        <v>672.29659430000004</v>
      </c>
      <c r="L362" s="45">
        <v>18.744</v>
      </c>
      <c r="M362" s="61" t="s">
        <v>617</v>
      </c>
      <c r="N362" s="159">
        <v>5</v>
      </c>
      <c r="O362" s="159">
        <v>6</v>
      </c>
      <c r="P362" s="45" t="s">
        <v>565</v>
      </c>
      <c r="Q362" s="45" t="s">
        <v>564</v>
      </c>
      <c r="R362" s="45">
        <v>41.98028</v>
      </c>
      <c r="S362" s="45">
        <v>-87.908997900000003</v>
      </c>
      <c r="T362" s="45"/>
      <c r="U362" s="45" t="s">
        <v>622</v>
      </c>
      <c r="V362" s="45" t="s">
        <v>569</v>
      </c>
      <c r="W362" s="45" cm="1">
        <f t="array" ref="W362">getDistance(R362,S362,I362,J362)*SA!$B$12</f>
        <v>10923.801727469516</v>
      </c>
      <c r="Y362" s="16">
        <f>Transportation_LCIA!C$61*($W362^Transportation_LCIA!C$60)+Transportation_LCIA!C$62</f>
        <v>0.12851665246725974</v>
      </c>
      <c r="Z362" s="16">
        <f>Transportation_LCIA!D$61*($W362^Transportation_LCIA!D$60)+Transportation_LCIA!D$62</f>
        <v>1.2157736203944327</v>
      </c>
      <c r="AA362" s="16">
        <f>Transportation_LCIA!E$61*($W362^Transportation_LCIA!E$60)+Transportation_LCIA!E$62</f>
        <v>3.5663960790090535E-4</v>
      </c>
      <c r="AB362" s="16">
        <f>Transportation_LCIA!F$61*($W362^Transportation_LCIA!F$60)+Transportation_LCIA!F$62</f>
        <v>0.12851665246725974</v>
      </c>
      <c r="AC362" s="16">
        <f>Transportation_LCIA!G$61*($W362^Transportation_LCIA!G$60)+Transportation_LCIA!G$62</f>
        <v>2.8642949945199649E-2</v>
      </c>
      <c r="AD362" s="16">
        <f>Transportation_LCIA!H$61*($W362^Transportation_LCIA!H$60)+Transportation_LCIA!H$62</f>
        <v>1.0688825179231701E-4</v>
      </c>
      <c r="AE362" s="16">
        <f>Transportation_LCIA!I$61*($W362^Transportation_LCIA!I$60)+Transportation_LCIA!I$62</f>
        <v>1.7710552234250474E-6</v>
      </c>
      <c r="AF362" s="16">
        <f>Transportation_LCIA!J$61*($W362^Transportation_LCIA!J$60)+Transportation_LCIA!J$62</f>
        <v>2.702765892072793E-3</v>
      </c>
      <c r="AG362" s="16">
        <f>Transportation_LCIA!K$61*($W362^Transportation_LCIA!K$60)+Transportation_LCIA!K$62</f>
        <v>5.6245432707904422E-3</v>
      </c>
      <c r="AH362" s="16">
        <f>Transportation_LCIA!L$61*($W362^Transportation_LCIA!L$60)+Transportation_LCIA!L$62</f>
        <v>8.5034791985923728E-5</v>
      </c>
      <c r="AI362" s="16">
        <f>Transportation_LCIA!M$61*($W362^Transportation_LCIA!M$60)+Transportation_LCIA!M$62</f>
        <v>1.4993475844531757E-4</v>
      </c>
      <c r="AJ362" s="16">
        <f>Transportation_LCIA!N$61*($W362^Transportation_LCIA!N$60)+Transportation_LCIA!N$62</f>
        <v>4.1719605158638652E-4</v>
      </c>
      <c r="AK362" s="16">
        <f>Transportation_LCIA!O$61*($W362^Transportation_LCIA!O$60)+Transportation_LCIA!O$62</f>
        <v>3.0129452459983999E-5</v>
      </c>
      <c r="AL362" s="16">
        <f>Transportation_LCIA!P$61*($W362^Transportation_LCIA!P$60)+Transportation_LCIA!P$62</f>
        <v>1.4617521090969616E-8</v>
      </c>
      <c r="AM362" s="16">
        <f>Transportation_LCIA!Q$61*($W362^Transportation_LCIA!Q$60)+Transportation_LCIA!Q$62</f>
        <v>3.4691814235460072E-5</v>
      </c>
      <c r="AN362" s="16">
        <f>Transportation_LCIA!R$61*($W362^Transportation_LCIA!R$60)+Transportation_LCIA!R$62</f>
        <v>8.5915296254046407E-5</v>
      </c>
      <c r="AO362" s="16">
        <f>Transportation_LCIA!S$61*($W362^Transportation_LCIA!S$60)+Transportation_LCIA!S$62</f>
        <v>1.4729549898708479E-6</v>
      </c>
      <c r="AP362" s="16">
        <f>Transportation_LCIA!T$61*($W362^Transportation_LCIA!T$60)+Transportation_LCIA!T$62</f>
        <v>1.4729549898708479E-6</v>
      </c>
      <c r="AQ362" s="16">
        <f>Transportation_LCIA!U$61*($W362^Transportation_LCIA!U$60)+Transportation_LCIA!U$62</f>
        <v>1.7758965924012876E-4</v>
      </c>
      <c r="AR362" s="16">
        <f>Transportation_LCIA!V$61*($W362^Transportation_LCIA!V$60)+Transportation_LCIA!V$62</f>
        <v>9.1110049225486765E-5</v>
      </c>
      <c r="AT362" s="16">
        <f>$W362*Y362+($L362)*Summary_LCIA!H$32</f>
        <v>1410.2596414304514</v>
      </c>
      <c r="AU362" s="16">
        <f>$W362*Z362+($L362)*Summary_LCIA!Q$32</f>
        <v>13373.766183992722</v>
      </c>
      <c r="AV362" s="16">
        <f>$W362*AA362+($L362)*Summary_LCIA!R$32</f>
        <v>3.9945587712719606</v>
      </c>
      <c r="AW362" s="16">
        <f>$W362*AB362+($L362)*Summary_LCIA!S$32</f>
        <v>1410.1767929504513</v>
      </c>
      <c r="AX362" s="16">
        <f>$W362*AC362+($L362)*Summary_LCIA!T$32</f>
        <v>314.9498716911948</v>
      </c>
      <c r="AY362" s="16">
        <f>$W362*AD362+($L362)*Summary_LCIA!U$32</f>
        <v>1.503406085575109</v>
      </c>
      <c r="AZ362" s="16">
        <f>$W362*AE362+($L362)*Summary_LCIA!V$32</f>
        <v>2.0241888293094441E-2</v>
      </c>
      <c r="BA362" s="16">
        <f>$W362*AF362+($L362)*Summary_LCIA!W$32</f>
        <v>30.967223144770465</v>
      </c>
      <c r="BB362" s="16">
        <f>$W362*AG362+($L362)*Summary_LCIA!X$32</f>
        <v>61.868383817687672</v>
      </c>
      <c r="BC362" s="16">
        <f>$W362*AH362+($L362)*Summary_LCIA!Y$32</f>
        <v>1.2209722155908445</v>
      </c>
      <c r="BD362" s="16">
        <f>$W362*AI362+($L362)*Summary_LCIA!Z$32</f>
        <v>1.6386262460086845</v>
      </c>
      <c r="BE362" s="16">
        <f>$W362*AJ362+($L362)*Summary_LCIA!AA$32</f>
        <v>4.9951518130128303</v>
      </c>
      <c r="BF362" s="16">
        <f>$W362*AK362+($L362)*Summary_LCIA!AB$32</f>
        <v>0.32871911451808383</v>
      </c>
      <c r="BG362" s="16">
        <f>$W362*AL362+($L362)*Summary_LCIA!AC$32</f>
        <v>1.6059518384085598E-4</v>
      </c>
      <c r="BH362" s="16">
        <f>$W362*AM362+($L362)*Summary_LCIA!AD$32</f>
        <v>0.38667103403437031</v>
      </c>
      <c r="BI362" s="16">
        <f>$W362*AN362+($L362)*Summary_LCIA!AE$32</f>
        <v>0.95513128235600742</v>
      </c>
      <c r="BJ362" s="16">
        <f>$W362*AO362+($L362)*Summary_LCIA!AF$32</f>
        <v>3.1936820742836013E-2</v>
      </c>
      <c r="BK362" s="16">
        <f>$W362*AP362+($L362)*Summary_LCIA!AG$32</f>
        <v>1.7049305022836012E-2</v>
      </c>
      <c r="BL362" s="16">
        <f>$W362*AQ362+($L362)*Summary_LCIA!AH$32</f>
        <v>2.1030945047880412</v>
      </c>
      <c r="BM362" s="16">
        <f>$W362*AR362+($L362)*Summary_LCIA!AI$32</f>
        <v>1.0127290863192049</v>
      </c>
      <c r="BN362" s="16"/>
    </row>
    <row r="363" spans="1:66" x14ac:dyDescent="0.25">
      <c r="A363" s="159">
        <v>244</v>
      </c>
      <c r="B363" s="159">
        <v>6</v>
      </c>
      <c r="C363" s="45">
        <v>46.519652999999998</v>
      </c>
      <c r="D363" s="45">
        <v>6.6322729999999996</v>
      </c>
      <c r="E363" s="45" t="s">
        <v>271</v>
      </c>
      <c r="F363" s="159">
        <v>15</v>
      </c>
      <c r="G363" s="45" t="s">
        <v>567</v>
      </c>
      <c r="H363" s="45" t="s">
        <v>707</v>
      </c>
      <c r="I363" s="45">
        <v>50.037933000000002</v>
      </c>
      <c r="J363" s="45">
        <v>8.5621519999999993</v>
      </c>
      <c r="K363" s="45">
        <v>418.30834149999998</v>
      </c>
      <c r="L363" s="45">
        <v>541.53899999999999</v>
      </c>
      <c r="M363" s="61" t="s">
        <v>589</v>
      </c>
      <c r="N363" s="159">
        <v>5</v>
      </c>
      <c r="O363" s="159">
        <v>6</v>
      </c>
      <c r="P363" s="45" t="s">
        <v>565</v>
      </c>
      <c r="Q363" s="45" t="s">
        <v>564</v>
      </c>
      <c r="R363" s="45">
        <v>41.98028</v>
      </c>
      <c r="S363" s="45">
        <v>-87.908997900000003</v>
      </c>
      <c r="T363" s="45"/>
      <c r="U363" s="45" t="s">
        <v>622</v>
      </c>
      <c r="V363" s="45" t="s">
        <v>569</v>
      </c>
      <c r="W363" s="45" cm="1">
        <f t="array" ref="W363">getDistance(R363,S363,I363,J363)*SA!$B$12</f>
        <v>6991.474163990265</v>
      </c>
      <c r="Y363" s="16">
        <f>Transportation_LCIA!C$61*($W363^Transportation_LCIA!C$60)+Transportation_LCIA!C$62</f>
        <v>0.13607158683765486</v>
      </c>
      <c r="Z363" s="16">
        <f>Transportation_LCIA!D$61*($W363^Transportation_LCIA!D$60)+Transportation_LCIA!D$62</f>
        <v>1.2960544516670511</v>
      </c>
      <c r="AA363" s="16">
        <f>Transportation_LCIA!E$61*($W363^Transportation_LCIA!E$60)+Transportation_LCIA!E$62</f>
        <v>4.08051692934456E-4</v>
      </c>
      <c r="AB363" s="16">
        <f>Transportation_LCIA!F$61*($W363^Transportation_LCIA!F$60)+Transportation_LCIA!F$62</f>
        <v>0.13607158683765486</v>
      </c>
      <c r="AC363" s="16">
        <f>Transportation_LCIA!G$61*($W363^Transportation_LCIA!G$60)+Transportation_LCIA!G$62</f>
        <v>3.0510482839803857E-2</v>
      </c>
      <c r="AD363" s="16">
        <f>Transportation_LCIA!H$61*($W363^Transportation_LCIA!H$60)+Transportation_LCIA!H$62</f>
        <v>1.1761993154750947E-4</v>
      </c>
      <c r="AE363" s="16">
        <f>Transportation_LCIA!I$61*($W363^Transportation_LCIA!I$60)+Transportation_LCIA!I$62</f>
        <v>2.0195110997086036E-6</v>
      </c>
      <c r="AF363" s="16">
        <f>Transportation_LCIA!J$61*($W363^Transportation_LCIA!J$60)+Transportation_LCIA!J$62</f>
        <v>3.0530905579478898E-3</v>
      </c>
      <c r="AG363" s="16">
        <f>Transportation_LCIA!K$61*($W363^Transportation_LCIA!K$60)+Transportation_LCIA!K$62</f>
        <v>6.0403384300008372E-3</v>
      </c>
      <c r="AH363" s="16">
        <f>Transportation_LCIA!L$61*($W363^Transportation_LCIA!L$60)+Transportation_LCIA!L$62</f>
        <v>9.4668359773999447E-5</v>
      </c>
      <c r="AI363" s="16">
        <f>Transportation_LCIA!M$61*($W363^Transportation_LCIA!M$60)+Transportation_LCIA!M$62</f>
        <v>1.5584072356247073E-4</v>
      </c>
      <c r="AJ363" s="16">
        <f>Transportation_LCIA!N$61*($W363^Transportation_LCIA!N$60)+Transportation_LCIA!N$62</f>
        <v>4.5351866242955259E-4</v>
      </c>
      <c r="AK363" s="16">
        <f>Transportation_LCIA!O$61*($W363^Transportation_LCIA!O$60)+Transportation_LCIA!O$62</f>
        <v>3.2108844489935627E-5</v>
      </c>
      <c r="AL363" s="16">
        <f>Transportation_LCIA!P$61*($W363^Transportation_LCIA!P$60)+Transportation_LCIA!P$62</f>
        <v>1.5575845558052219E-8</v>
      </c>
      <c r="AM363" s="16">
        <f>Transportation_LCIA!Q$61*($W363^Transportation_LCIA!Q$60)+Transportation_LCIA!Q$62</f>
        <v>3.8410496820318223E-5</v>
      </c>
      <c r="AN363" s="16">
        <f>Transportation_LCIA!R$61*($W363^Transportation_LCIA!R$60)+Transportation_LCIA!R$62</f>
        <v>9.7805414155038704E-5</v>
      </c>
      <c r="AO363" s="16">
        <f>Transportation_LCIA!S$61*($W363^Transportation_LCIA!S$60)+Transportation_LCIA!S$62</f>
        <v>1.6423346635114641E-6</v>
      </c>
      <c r="AP363" s="16">
        <f>Transportation_LCIA!T$61*($W363^Transportation_LCIA!T$60)+Transportation_LCIA!T$62</f>
        <v>1.6423346635114641E-6</v>
      </c>
      <c r="AQ363" s="16">
        <f>Transportation_LCIA!U$61*($W363^Transportation_LCIA!U$60)+Transportation_LCIA!U$62</f>
        <v>2.0325412740720072E-4</v>
      </c>
      <c r="AR363" s="16">
        <f>Transportation_LCIA!V$61*($W363^Transportation_LCIA!V$60)+Transportation_LCIA!V$62</f>
        <v>1.0062529790768567E-4</v>
      </c>
      <c r="AT363" s="16">
        <f>$W363*Y363+($L363)*Summary_LCIA!H$34</f>
        <v>991.66506084662171</v>
      </c>
      <c r="AU363" s="16">
        <f ca="1">$W363*Z363+($L363)*Summary_LCIA!Q$34</f>
        <v>9730.1802004797282</v>
      </c>
      <c r="AV363" s="16">
        <f ca="1">$W363*AA363+($L363)*Summary_LCIA!R$34</f>
        <v>4.2373814761237378</v>
      </c>
      <c r="AW363" s="16">
        <f ca="1">$W363*AB363+($L363)*Summary_LCIA!S$34</f>
        <v>991.11052491062173</v>
      </c>
      <c r="AX363" s="16">
        <f ca="1">$W363*AC363+($L363)*Summary_LCIA!T$34</f>
        <v>224.54639598235698</v>
      </c>
      <c r="AY363" s="16">
        <f ca="1">$W363*AD363+($L363)*Summary_LCIA!U$34</f>
        <v>1.8185518569847159</v>
      </c>
      <c r="AZ363" s="16">
        <f ca="1">$W363*AE363+($L363)*Summary_LCIA!V$34</f>
        <v>5.8034381804504272E-2</v>
      </c>
      <c r="BA363" s="16">
        <f ca="1">$W363*AF363+($L363)*Summary_LCIA!W$34</f>
        <v>48.719858667215291</v>
      </c>
      <c r="BB363" s="16">
        <f ca="1">$W363*AG363+($L363)*Summary_LCIA!X$34</f>
        <v>47.984180411108369</v>
      </c>
      <c r="BC363" s="16">
        <f ca="1">$W363*AH363+($L363)*Summary_LCIA!Y$34</f>
        <v>1.5898526219072524</v>
      </c>
      <c r="BD363" s="16">
        <f ca="1">$W363*AI363+($L363)*Summary_LCIA!Z$34</f>
        <v>1.1049929616795631</v>
      </c>
      <c r="BE363" s="16">
        <f ca="1">$W363*AJ363+($L363)*Summary_LCIA!AA$34</f>
        <v>4.2877423526636393</v>
      </c>
      <c r="BF363" s="16">
        <f ca="1">$W363*AK363+($L363)*Summary_LCIA!AB$34</f>
        <v>0.22073047171986612</v>
      </c>
      <c r="BG363" s="16">
        <f ca="1">$W363*AL363+($L363)*Summary_LCIA!AC$34</f>
        <v>1.1089212255332462E-4</v>
      </c>
      <c r="BH363" s="16">
        <f ca="1">$W363*AM363+($L363)*Summary_LCIA!AD$34</f>
        <v>0.32875430216528506</v>
      </c>
      <c r="BI363" s="16">
        <f ca="1">$W363*AN363+($L363)*Summary_LCIA!AE$34</f>
        <v>0.84623323382332083</v>
      </c>
      <c r="BJ363" s="16">
        <f ca="1">$W363*AO363+($L363)*Summary_LCIA!AF$34</f>
        <v>0.14029280690856605</v>
      </c>
      <c r="BK363" s="16">
        <f ca="1">$W363*AP363+($L363)*Summary_LCIA!AG$34</f>
        <v>1.2965128304466046E-2</v>
      </c>
      <c r="BL363" s="16">
        <f ca="1">$W363*AQ363+($L363)*Summary_LCIA!AH$34</f>
        <v>2.6548342841918293</v>
      </c>
      <c r="BM363" s="16">
        <f ca="1">$W363*AR363+($L363)*Summary_LCIA!AI$34</f>
        <v>0.85555624481540804</v>
      </c>
      <c r="BN363" s="16"/>
    </row>
    <row r="364" spans="1:66" x14ac:dyDescent="0.25">
      <c r="A364" s="159">
        <v>245</v>
      </c>
      <c r="B364" s="159">
        <v>6</v>
      </c>
      <c r="C364" s="45">
        <v>46.519652999999998</v>
      </c>
      <c r="D364" s="45">
        <v>6.6322729999999996</v>
      </c>
      <c r="E364" s="45" t="s">
        <v>271</v>
      </c>
      <c r="F364" s="159">
        <v>15</v>
      </c>
      <c r="G364" s="45" t="s">
        <v>567</v>
      </c>
      <c r="H364" s="45" t="s">
        <v>707</v>
      </c>
      <c r="I364" s="45">
        <v>50.037933000000002</v>
      </c>
      <c r="J364" s="45">
        <v>8.5621519999999993</v>
      </c>
      <c r="K364" s="45">
        <v>418.30834149999998</v>
      </c>
      <c r="L364" s="45">
        <v>541.53899999999999</v>
      </c>
      <c r="M364" s="61" t="s">
        <v>589</v>
      </c>
      <c r="N364" s="159">
        <v>5</v>
      </c>
      <c r="O364" s="159">
        <v>6</v>
      </c>
      <c r="P364" s="45" t="s">
        <v>565</v>
      </c>
      <c r="Q364" s="45" t="s">
        <v>564</v>
      </c>
      <c r="R364" s="45">
        <v>41.98028</v>
      </c>
      <c r="S364" s="45">
        <v>-87.908997900000003</v>
      </c>
      <c r="T364" s="45"/>
      <c r="U364" s="45" t="s">
        <v>622</v>
      </c>
      <c r="V364" s="45" t="s">
        <v>569</v>
      </c>
      <c r="W364" s="45" cm="1">
        <f t="array" ref="W364">getDistance(R364,S364,I364,J364)*SA!$B$12</f>
        <v>6991.474163990265</v>
      </c>
      <c r="Y364" s="16">
        <f>Transportation_LCIA!C$61*($W364^Transportation_LCIA!C$60)+Transportation_LCIA!C$62</f>
        <v>0.13607158683765486</v>
      </c>
      <c r="Z364" s="16">
        <f>Transportation_LCIA!D$61*($W364^Transportation_LCIA!D$60)+Transportation_LCIA!D$62</f>
        <v>1.2960544516670511</v>
      </c>
      <c r="AA364" s="16">
        <f>Transportation_LCIA!E$61*($W364^Transportation_LCIA!E$60)+Transportation_LCIA!E$62</f>
        <v>4.08051692934456E-4</v>
      </c>
      <c r="AB364" s="16">
        <f>Transportation_LCIA!F$61*($W364^Transportation_LCIA!F$60)+Transportation_LCIA!F$62</f>
        <v>0.13607158683765486</v>
      </c>
      <c r="AC364" s="16">
        <f>Transportation_LCIA!G$61*($W364^Transportation_LCIA!G$60)+Transportation_LCIA!G$62</f>
        <v>3.0510482839803857E-2</v>
      </c>
      <c r="AD364" s="16">
        <f>Transportation_LCIA!H$61*($W364^Transportation_LCIA!H$60)+Transportation_LCIA!H$62</f>
        <v>1.1761993154750947E-4</v>
      </c>
      <c r="AE364" s="16">
        <f>Transportation_LCIA!I$61*($W364^Transportation_LCIA!I$60)+Transportation_LCIA!I$62</f>
        <v>2.0195110997086036E-6</v>
      </c>
      <c r="AF364" s="16">
        <f>Transportation_LCIA!J$61*($W364^Transportation_LCIA!J$60)+Transportation_LCIA!J$62</f>
        <v>3.0530905579478898E-3</v>
      </c>
      <c r="AG364" s="16">
        <f>Transportation_LCIA!K$61*($W364^Transportation_LCIA!K$60)+Transportation_LCIA!K$62</f>
        <v>6.0403384300008372E-3</v>
      </c>
      <c r="AH364" s="16">
        <f>Transportation_LCIA!L$61*($W364^Transportation_LCIA!L$60)+Transportation_LCIA!L$62</f>
        <v>9.4668359773999447E-5</v>
      </c>
      <c r="AI364" s="16">
        <f>Transportation_LCIA!M$61*($W364^Transportation_LCIA!M$60)+Transportation_LCIA!M$62</f>
        <v>1.5584072356247073E-4</v>
      </c>
      <c r="AJ364" s="16">
        <f>Transportation_LCIA!N$61*($W364^Transportation_LCIA!N$60)+Transportation_LCIA!N$62</f>
        <v>4.5351866242955259E-4</v>
      </c>
      <c r="AK364" s="16">
        <f>Transportation_LCIA!O$61*($W364^Transportation_LCIA!O$60)+Transportation_LCIA!O$62</f>
        <v>3.2108844489935627E-5</v>
      </c>
      <c r="AL364" s="16">
        <f>Transportation_LCIA!P$61*($W364^Transportation_LCIA!P$60)+Transportation_LCIA!P$62</f>
        <v>1.5575845558052219E-8</v>
      </c>
      <c r="AM364" s="16">
        <f>Transportation_LCIA!Q$61*($W364^Transportation_LCIA!Q$60)+Transportation_LCIA!Q$62</f>
        <v>3.8410496820318223E-5</v>
      </c>
      <c r="AN364" s="16">
        <f>Transportation_LCIA!R$61*($W364^Transportation_LCIA!R$60)+Transportation_LCIA!R$62</f>
        <v>9.7805414155038704E-5</v>
      </c>
      <c r="AO364" s="16">
        <f>Transportation_LCIA!S$61*($W364^Transportation_LCIA!S$60)+Transportation_LCIA!S$62</f>
        <v>1.6423346635114641E-6</v>
      </c>
      <c r="AP364" s="16">
        <f>Transportation_LCIA!T$61*($W364^Transportation_LCIA!T$60)+Transportation_LCIA!T$62</f>
        <v>1.6423346635114641E-6</v>
      </c>
      <c r="AQ364" s="16">
        <f>Transportation_LCIA!U$61*($W364^Transportation_LCIA!U$60)+Transportation_LCIA!U$62</f>
        <v>2.0325412740720072E-4</v>
      </c>
      <c r="AR364" s="16">
        <f>Transportation_LCIA!V$61*($W364^Transportation_LCIA!V$60)+Transportation_LCIA!V$62</f>
        <v>1.0062529790768567E-4</v>
      </c>
      <c r="AT364" s="16">
        <f>$W364*Y364+($L364)*Summary_LCIA!H$34</f>
        <v>991.66506084662171</v>
      </c>
      <c r="AU364" s="16">
        <f ca="1">$W364*Z364+($L364)*Summary_LCIA!Q$34</f>
        <v>9730.1802004797282</v>
      </c>
      <c r="AV364" s="16">
        <f ca="1">$W364*AA364+($L364)*Summary_LCIA!R$34</f>
        <v>4.2373814761237378</v>
      </c>
      <c r="AW364" s="16">
        <f ca="1">$W364*AB364+($L364)*Summary_LCIA!S$34</f>
        <v>991.11052491062173</v>
      </c>
      <c r="AX364" s="16">
        <f ca="1">$W364*AC364+($L364)*Summary_LCIA!T$34</f>
        <v>224.54639598235698</v>
      </c>
      <c r="AY364" s="16">
        <f ca="1">$W364*AD364+($L364)*Summary_LCIA!U$34</f>
        <v>1.8185518569847159</v>
      </c>
      <c r="AZ364" s="16">
        <f ca="1">$W364*AE364+($L364)*Summary_LCIA!V$34</f>
        <v>5.8034381804504272E-2</v>
      </c>
      <c r="BA364" s="16">
        <f ca="1">$W364*AF364+($L364)*Summary_LCIA!W$34</f>
        <v>48.719858667215291</v>
      </c>
      <c r="BB364" s="16">
        <f ca="1">$W364*AG364+($L364)*Summary_LCIA!X$34</f>
        <v>47.984180411108369</v>
      </c>
      <c r="BC364" s="16">
        <f ca="1">$W364*AH364+($L364)*Summary_LCIA!Y$34</f>
        <v>1.5898526219072524</v>
      </c>
      <c r="BD364" s="16">
        <f ca="1">$W364*AI364+($L364)*Summary_LCIA!Z$34</f>
        <v>1.1049929616795631</v>
      </c>
      <c r="BE364" s="16">
        <f ca="1">$W364*AJ364+($L364)*Summary_LCIA!AA$34</f>
        <v>4.2877423526636393</v>
      </c>
      <c r="BF364" s="16">
        <f ca="1">$W364*AK364+($L364)*Summary_LCIA!AB$34</f>
        <v>0.22073047171986612</v>
      </c>
      <c r="BG364" s="16">
        <f ca="1">$W364*AL364+($L364)*Summary_LCIA!AC$34</f>
        <v>1.1089212255332462E-4</v>
      </c>
      <c r="BH364" s="16">
        <f ca="1">$W364*AM364+($L364)*Summary_LCIA!AD$34</f>
        <v>0.32875430216528506</v>
      </c>
      <c r="BI364" s="16">
        <f ca="1">$W364*AN364+($L364)*Summary_LCIA!AE$34</f>
        <v>0.84623323382332083</v>
      </c>
      <c r="BJ364" s="16">
        <f ca="1">$W364*AO364+($L364)*Summary_LCIA!AF$34</f>
        <v>0.14029280690856605</v>
      </c>
      <c r="BK364" s="16">
        <f ca="1">$W364*AP364+($L364)*Summary_LCIA!AG$34</f>
        <v>1.2965128304466046E-2</v>
      </c>
      <c r="BL364" s="16">
        <f ca="1">$W364*AQ364+($L364)*Summary_LCIA!AH$34</f>
        <v>2.6548342841918293</v>
      </c>
      <c r="BM364" s="16">
        <f ca="1">$W364*AR364+($L364)*Summary_LCIA!AI$34</f>
        <v>0.85555624481540804</v>
      </c>
      <c r="BN364" s="16"/>
    </row>
    <row r="365" spans="1:66" x14ac:dyDescent="0.25">
      <c r="A365" s="159">
        <v>246</v>
      </c>
      <c r="B365" s="159">
        <v>6</v>
      </c>
      <c r="C365" s="45">
        <v>46.519652999999998</v>
      </c>
      <c r="D365" s="45">
        <v>6.6322729999999996</v>
      </c>
      <c r="E365" s="45" t="s">
        <v>271</v>
      </c>
      <c r="F365" s="159">
        <v>15</v>
      </c>
      <c r="G365" s="45" t="s">
        <v>567</v>
      </c>
      <c r="H365" s="45" t="s">
        <v>707</v>
      </c>
      <c r="I365" s="45">
        <v>50.037933000000002</v>
      </c>
      <c r="J365" s="45">
        <v>8.5621519999999993</v>
      </c>
      <c r="K365" s="45">
        <v>418.30834149999998</v>
      </c>
      <c r="L365" s="45">
        <v>541.53899999999999</v>
      </c>
      <c r="M365" s="61" t="s">
        <v>589</v>
      </c>
      <c r="N365" s="159">
        <v>5</v>
      </c>
      <c r="O365" s="159">
        <v>6</v>
      </c>
      <c r="P365" s="45" t="s">
        <v>565</v>
      </c>
      <c r="Q365" s="45" t="s">
        <v>564</v>
      </c>
      <c r="R365" s="45">
        <v>41.98028</v>
      </c>
      <c r="S365" s="45">
        <v>-87.908997900000003</v>
      </c>
      <c r="T365" s="45"/>
      <c r="U365" s="45" t="s">
        <v>622</v>
      </c>
      <c r="V365" s="45" t="s">
        <v>569</v>
      </c>
      <c r="W365" s="45" cm="1">
        <f t="array" ref="W365">getDistance(R365,S365,I365,J365)*SA!$B$12</f>
        <v>6991.474163990265</v>
      </c>
      <c r="Y365" s="16">
        <f>Transportation_LCIA!C$61*($W365^Transportation_LCIA!C$60)+Transportation_LCIA!C$62</f>
        <v>0.13607158683765486</v>
      </c>
      <c r="Z365" s="16">
        <f>Transportation_LCIA!D$61*($W365^Transportation_LCIA!D$60)+Transportation_LCIA!D$62</f>
        <v>1.2960544516670511</v>
      </c>
      <c r="AA365" s="16">
        <f>Transportation_LCIA!E$61*($W365^Transportation_LCIA!E$60)+Transportation_LCIA!E$62</f>
        <v>4.08051692934456E-4</v>
      </c>
      <c r="AB365" s="16">
        <f>Transportation_LCIA!F$61*($W365^Transportation_LCIA!F$60)+Transportation_LCIA!F$62</f>
        <v>0.13607158683765486</v>
      </c>
      <c r="AC365" s="16">
        <f>Transportation_LCIA!G$61*($W365^Transportation_LCIA!G$60)+Transportation_LCIA!G$62</f>
        <v>3.0510482839803857E-2</v>
      </c>
      <c r="AD365" s="16">
        <f>Transportation_LCIA!H$61*($W365^Transportation_LCIA!H$60)+Transportation_LCIA!H$62</f>
        <v>1.1761993154750947E-4</v>
      </c>
      <c r="AE365" s="16">
        <f>Transportation_LCIA!I$61*($W365^Transportation_LCIA!I$60)+Transportation_LCIA!I$62</f>
        <v>2.0195110997086036E-6</v>
      </c>
      <c r="AF365" s="16">
        <f>Transportation_LCIA!J$61*($W365^Transportation_LCIA!J$60)+Transportation_LCIA!J$62</f>
        <v>3.0530905579478898E-3</v>
      </c>
      <c r="AG365" s="16">
        <f>Transportation_LCIA!K$61*($W365^Transportation_LCIA!K$60)+Transportation_LCIA!K$62</f>
        <v>6.0403384300008372E-3</v>
      </c>
      <c r="AH365" s="16">
        <f>Transportation_LCIA!L$61*($W365^Transportation_LCIA!L$60)+Transportation_LCIA!L$62</f>
        <v>9.4668359773999447E-5</v>
      </c>
      <c r="AI365" s="16">
        <f>Transportation_LCIA!M$61*($W365^Transportation_LCIA!M$60)+Transportation_LCIA!M$62</f>
        <v>1.5584072356247073E-4</v>
      </c>
      <c r="AJ365" s="16">
        <f>Transportation_LCIA!N$61*($W365^Transportation_LCIA!N$60)+Transportation_LCIA!N$62</f>
        <v>4.5351866242955259E-4</v>
      </c>
      <c r="AK365" s="16">
        <f>Transportation_LCIA!O$61*($W365^Transportation_LCIA!O$60)+Transportation_LCIA!O$62</f>
        <v>3.2108844489935627E-5</v>
      </c>
      <c r="AL365" s="16">
        <f>Transportation_LCIA!P$61*($W365^Transportation_LCIA!P$60)+Transportation_LCIA!P$62</f>
        <v>1.5575845558052219E-8</v>
      </c>
      <c r="AM365" s="16">
        <f>Transportation_LCIA!Q$61*($W365^Transportation_LCIA!Q$60)+Transportation_LCIA!Q$62</f>
        <v>3.8410496820318223E-5</v>
      </c>
      <c r="AN365" s="16">
        <f>Transportation_LCIA!R$61*($W365^Transportation_LCIA!R$60)+Transportation_LCIA!R$62</f>
        <v>9.7805414155038704E-5</v>
      </c>
      <c r="AO365" s="16">
        <f>Transportation_LCIA!S$61*($W365^Transportation_LCIA!S$60)+Transportation_LCIA!S$62</f>
        <v>1.6423346635114641E-6</v>
      </c>
      <c r="AP365" s="16">
        <f>Transportation_LCIA!T$61*($W365^Transportation_LCIA!T$60)+Transportation_LCIA!T$62</f>
        <v>1.6423346635114641E-6</v>
      </c>
      <c r="AQ365" s="16">
        <f>Transportation_LCIA!U$61*($W365^Transportation_LCIA!U$60)+Transportation_LCIA!U$62</f>
        <v>2.0325412740720072E-4</v>
      </c>
      <c r="AR365" s="16">
        <f>Transportation_LCIA!V$61*($W365^Transportation_LCIA!V$60)+Transportation_LCIA!V$62</f>
        <v>1.0062529790768567E-4</v>
      </c>
      <c r="AT365" s="16">
        <f>$W365*Y365+($L365)*Summary_LCIA!H$34</f>
        <v>991.66506084662171</v>
      </c>
      <c r="AU365" s="16">
        <f ca="1">$W365*Z365+($L365)*Summary_LCIA!Q$34</f>
        <v>9730.1802004797282</v>
      </c>
      <c r="AV365" s="16">
        <f ca="1">$W365*AA365+($L365)*Summary_LCIA!R$34</f>
        <v>4.2373814761237378</v>
      </c>
      <c r="AW365" s="16">
        <f ca="1">$W365*AB365+($L365)*Summary_LCIA!S$34</f>
        <v>991.11052491062173</v>
      </c>
      <c r="AX365" s="16">
        <f ca="1">$W365*AC365+($L365)*Summary_LCIA!T$34</f>
        <v>224.54639598235698</v>
      </c>
      <c r="AY365" s="16">
        <f ca="1">$W365*AD365+($L365)*Summary_LCIA!U$34</f>
        <v>1.8185518569847159</v>
      </c>
      <c r="AZ365" s="16">
        <f ca="1">$W365*AE365+($L365)*Summary_LCIA!V$34</f>
        <v>5.8034381804504272E-2</v>
      </c>
      <c r="BA365" s="16">
        <f ca="1">$W365*AF365+($L365)*Summary_LCIA!W$34</f>
        <v>48.719858667215291</v>
      </c>
      <c r="BB365" s="16">
        <f ca="1">$W365*AG365+($L365)*Summary_LCIA!X$34</f>
        <v>47.984180411108369</v>
      </c>
      <c r="BC365" s="16">
        <f ca="1">$W365*AH365+($L365)*Summary_LCIA!Y$34</f>
        <v>1.5898526219072524</v>
      </c>
      <c r="BD365" s="16">
        <f ca="1">$W365*AI365+($L365)*Summary_LCIA!Z$34</f>
        <v>1.1049929616795631</v>
      </c>
      <c r="BE365" s="16">
        <f ca="1">$W365*AJ365+($L365)*Summary_LCIA!AA$34</f>
        <v>4.2877423526636393</v>
      </c>
      <c r="BF365" s="16">
        <f ca="1">$W365*AK365+($L365)*Summary_LCIA!AB$34</f>
        <v>0.22073047171986612</v>
      </c>
      <c r="BG365" s="16">
        <f ca="1">$W365*AL365+($L365)*Summary_LCIA!AC$34</f>
        <v>1.1089212255332462E-4</v>
      </c>
      <c r="BH365" s="16">
        <f ca="1">$W365*AM365+($L365)*Summary_LCIA!AD$34</f>
        <v>0.32875430216528506</v>
      </c>
      <c r="BI365" s="16">
        <f ca="1">$W365*AN365+($L365)*Summary_LCIA!AE$34</f>
        <v>0.84623323382332083</v>
      </c>
      <c r="BJ365" s="16">
        <f ca="1">$W365*AO365+($L365)*Summary_LCIA!AF$34</f>
        <v>0.14029280690856605</v>
      </c>
      <c r="BK365" s="16">
        <f ca="1">$W365*AP365+($L365)*Summary_LCIA!AG$34</f>
        <v>1.2965128304466046E-2</v>
      </c>
      <c r="BL365" s="16">
        <f ca="1">$W365*AQ365+($L365)*Summary_LCIA!AH$34</f>
        <v>2.6548342841918293</v>
      </c>
      <c r="BM365" s="16">
        <f ca="1">$W365*AR365+($L365)*Summary_LCIA!AI$34</f>
        <v>0.85555624481540804</v>
      </c>
      <c r="BN365" s="16"/>
    </row>
    <row r="366" spans="1:66" x14ac:dyDescent="0.25">
      <c r="A366" s="159">
        <v>251</v>
      </c>
      <c r="B366" s="159">
        <v>6</v>
      </c>
      <c r="C366" s="45">
        <v>51.507351</v>
      </c>
      <c r="D366" s="45">
        <v>-0.12775800000000001</v>
      </c>
      <c r="E366" s="45" t="s">
        <v>463</v>
      </c>
      <c r="F366" s="159">
        <v>7</v>
      </c>
      <c r="G366" s="45" t="s">
        <v>628</v>
      </c>
      <c r="H366" s="45" t="s">
        <v>629</v>
      </c>
      <c r="I366" s="45">
        <v>51.470022</v>
      </c>
      <c r="J366" s="45">
        <v>-0.45429599999999998</v>
      </c>
      <c r="K366" s="45">
        <v>26.365709819999999</v>
      </c>
      <c r="L366" s="45">
        <v>29.34</v>
      </c>
      <c r="M366" s="61" t="s">
        <v>589</v>
      </c>
      <c r="N366" s="159">
        <v>5</v>
      </c>
      <c r="O366" s="159">
        <v>6</v>
      </c>
      <c r="P366" s="45" t="s">
        <v>565</v>
      </c>
      <c r="Q366" s="45" t="s">
        <v>564</v>
      </c>
      <c r="R366" s="45">
        <v>41.98028</v>
      </c>
      <c r="S366" s="45">
        <v>-87.908997900000003</v>
      </c>
      <c r="T366" s="45"/>
      <c r="U366" s="45" t="s">
        <v>622</v>
      </c>
      <c r="V366" s="45" t="s">
        <v>569</v>
      </c>
      <c r="W366" s="45" cm="1">
        <f t="array" ref="W366">getDistance(R366,S366,I366,J366)*SA!$B$12</f>
        <v>6363.4897786039228</v>
      </c>
      <c r="Y366" s="16">
        <f>Transportation_LCIA!C$61*($W366^Transportation_LCIA!C$60)+Transportation_LCIA!C$62</f>
        <v>0.13805910954225503</v>
      </c>
      <c r="Z366" s="16">
        <f>Transportation_LCIA!D$61*($W366^Transportation_LCIA!D$60)+Transportation_LCIA!D$62</f>
        <v>1.3174109932223508</v>
      </c>
      <c r="AA366" s="16">
        <f>Transportation_LCIA!E$61*($W366^Transportation_LCIA!E$60)+Transportation_LCIA!E$62</f>
        <v>4.217712945479361E-4</v>
      </c>
      <c r="AB366" s="16">
        <f>Transportation_LCIA!F$61*($W366^Transportation_LCIA!F$60)+Transportation_LCIA!F$62</f>
        <v>0.13805910954225503</v>
      </c>
      <c r="AC366" s="16">
        <f>Transportation_LCIA!G$61*($W366^Transportation_LCIA!G$60)+Transportation_LCIA!G$62</f>
        <v>3.1006967164908802E-2</v>
      </c>
      <c r="AD366" s="16">
        <f>Transportation_LCIA!H$61*($W366^Transportation_LCIA!H$60)+Transportation_LCIA!H$62</f>
        <v>1.2050145439131135E-4</v>
      </c>
      <c r="AE366" s="16">
        <f>Transportation_LCIA!I$61*($W366^Transportation_LCIA!I$60)+Transportation_LCIA!I$62</f>
        <v>2.0868876309854734E-6</v>
      </c>
      <c r="AF366" s="16">
        <f>Transportation_LCIA!J$61*($W366^Transportation_LCIA!J$60)+Transportation_LCIA!J$62</f>
        <v>3.1487079878510273E-3</v>
      </c>
      <c r="AG366" s="16">
        <f>Transportation_LCIA!K$61*($W366^Transportation_LCIA!K$60)+Transportation_LCIA!K$62</f>
        <v>6.1515003502329892E-3</v>
      </c>
      <c r="AH366" s="16">
        <f>Transportation_LCIA!L$61*($W366^Transportation_LCIA!L$60)+Transportation_LCIA!L$62</f>
        <v>9.7262350697460971E-5</v>
      </c>
      <c r="AI366" s="16">
        <f>Transportation_LCIA!M$61*($W366^Transportation_LCIA!M$60)+Transportation_LCIA!M$62</f>
        <v>1.5742704436438743E-4</v>
      </c>
      <c r="AJ366" s="16">
        <f>Transportation_LCIA!N$61*($W366^Transportation_LCIA!N$60)+Transportation_LCIA!N$62</f>
        <v>4.6326381973146522E-4</v>
      </c>
      <c r="AK366" s="16">
        <f>Transportation_LCIA!O$61*($W366^Transportation_LCIA!O$60)+Transportation_LCIA!O$62</f>
        <v>3.2635227510025124E-5</v>
      </c>
      <c r="AL366" s="16">
        <f>Transportation_LCIA!P$61*($W366^Transportation_LCIA!P$60)+Transportation_LCIA!P$62</f>
        <v>1.58304835742713E-8</v>
      </c>
      <c r="AM366" s="16">
        <f>Transportation_LCIA!Q$61*($W366^Transportation_LCIA!Q$60)+Transportation_LCIA!Q$62</f>
        <v>3.9413334624958368E-5</v>
      </c>
      <c r="AN366" s="16">
        <f>Transportation_LCIA!R$61*($W366^Transportation_LCIA!R$60)+Transportation_LCIA!R$62</f>
        <v>1.0103056055511716E-4</v>
      </c>
      <c r="AO366" s="16">
        <f>Transportation_LCIA!S$61*($W366^Transportation_LCIA!S$60)+Transportation_LCIA!S$62</f>
        <v>1.6882578538694314E-6</v>
      </c>
      <c r="AP366" s="16">
        <f>Transportation_LCIA!T$61*($W366^Transportation_LCIA!T$60)+Transportation_LCIA!T$62</f>
        <v>1.6882578538694314E-6</v>
      </c>
      <c r="AQ366" s="16">
        <f>Transportation_LCIA!U$61*($W366^Transportation_LCIA!U$60)+Transportation_LCIA!U$62</f>
        <v>2.1022859223385475E-4</v>
      </c>
      <c r="AR366" s="16">
        <f>Transportation_LCIA!V$61*($W366^Transportation_LCIA!V$60)+Transportation_LCIA!V$62</f>
        <v>1.0319636276365877E-4</v>
      </c>
      <c r="AT366" s="16">
        <f>$W366*Y366+($L366)*Summary_LCIA!H$34</f>
        <v>880.72244749529921</v>
      </c>
      <c r="AU366" s="16">
        <f ca="1">$W366*Z366+($L366)*Summary_LCIA!Q$34</f>
        <v>8419.5689075990704</v>
      </c>
      <c r="AV366" s="16">
        <f ca="1">$W366*AA366+($L366)*Summary_LCIA!R$34</f>
        <v>2.7589479657643357</v>
      </c>
      <c r="AW366" s="16">
        <f ca="1">$W366*AB366+($L366)*Summary_LCIA!S$34</f>
        <v>880.6924033352991</v>
      </c>
      <c r="AX366" s="16">
        <f ca="1">$W366*AC366+($L366)*Summary_LCIA!T$34</f>
        <v>197.92111823940462</v>
      </c>
      <c r="AY366" s="16">
        <f ca="1">$W366*AD366+($L366)*Summary_LCIA!U$34</f>
        <v>0.82078363732601656</v>
      </c>
      <c r="AZ366" s="16">
        <f ca="1">$W366*AE366+($L366)*Summary_LCIA!V$34</f>
        <v>1.5659156728871016E-2</v>
      </c>
      <c r="BA366" s="16">
        <f ca="1">$W366*AF366+($L366)*Summary_LCIA!W$34</f>
        <v>21.519878756498535</v>
      </c>
      <c r="BB366" s="16">
        <f ca="1">$W366*AG366+($L366)*Summary_LCIA!X$34</f>
        <v>39.456717761786081</v>
      </c>
      <c r="BC366" s="16">
        <f ca="1">$W366*AH366+($L366)*Summary_LCIA!Y$34</f>
        <v>0.66920499850628301</v>
      </c>
      <c r="BD366" s="16">
        <f ca="1">$W366*AI366+($L366)*Summary_LCIA!Z$34</f>
        <v>1.0026217243886058</v>
      </c>
      <c r="BE366" s="16">
        <f ca="1">$W366*AJ366+($L366)*Summary_LCIA!AA$34</f>
        <v>3.008491265658189</v>
      </c>
      <c r="BF366" s="16">
        <f ca="1">$W366*AK366+($L366)*Summary_LCIA!AB$34</f>
        <v>0.20747034935645842</v>
      </c>
      <c r="BG366" s="16">
        <f ca="1">$W366*AL366+($L366)*Summary_LCIA!AC$34</f>
        <v>1.0084515322923272E-4</v>
      </c>
      <c r="BH366" s="16">
        <f ca="1">$W366*AM366+($L366)*Summary_LCIA!AD$34</f>
        <v>0.25406837322661868</v>
      </c>
      <c r="BI366" s="16">
        <f ca="1">$W366*AN366+($L366)*Summary_LCIA!AE$34</f>
        <v>0.65170717901911268</v>
      </c>
      <c r="BJ366" s="16">
        <f ca="1">$W366*AO366+($L366)*Summary_LCIA!AF$34</f>
        <v>1.7722023996745922E-2</v>
      </c>
      <c r="BK366" s="16">
        <f ca="1">$W366*AP366+($L366)*Summary_LCIA!AG$34</f>
        <v>1.0823547450745921E-2</v>
      </c>
      <c r="BL366" s="16">
        <f ca="1">$W366*AQ366+($L366)*Summary_LCIA!AH$34</f>
        <v>1.4046328198504268</v>
      </c>
      <c r="BM366" s="16">
        <f ca="1">$W366*AR366+($L366)*Summary_LCIA!AI$34</f>
        <v>0.66492620463564511</v>
      </c>
      <c r="BN366" s="16"/>
    </row>
    <row r="367" spans="1:66" x14ac:dyDescent="0.25">
      <c r="A367" s="159">
        <v>289</v>
      </c>
      <c r="B367" s="159">
        <v>6</v>
      </c>
      <c r="C367" s="45">
        <v>53.466729999999998</v>
      </c>
      <c r="D367" s="45">
        <v>-2.2341760000000002</v>
      </c>
      <c r="E367" s="45" t="s">
        <v>463</v>
      </c>
      <c r="F367" s="159">
        <v>7</v>
      </c>
      <c r="G367" s="45" t="s">
        <v>628</v>
      </c>
      <c r="H367" s="45" t="s">
        <v>629</v>
      </c>
      <c r="I367" s="45">
        <v>51.470022</v>
      </c>
      <c r="J367" s="45">
        <v>-0.45429599999999998</v>
      </c>
      <c r="K367" s="45">
        <v>261.38947339999999</v>
      </c>
      <c r="L367" s="45">
        <v>334.10500000000002</v>
      </c>
      <c r="M367" s="61" t="s">
        <v>589</v>
      </c>
      <c r="N367" s="159">
        <v>5</v>
      </c>
      <c r="O367" s="159">
        <v>6</v>
      </c>
      <c r="P367" s="45" t="s">
        <v>565</v>
      </c>
      <c r="Q367" s="45" t="s">
        <v>564</v>
      </c>
      <c r="R367" s="45">
        <v>41.98028</v>
      </c>
      <c r="S367" s="45">
        <v>-87.908997900000003</v>
      </c>
      <c r="T367" s="45"/>
      <c r="U367" s="45" t="s">
        <v>622</v>
      </c>
      <c r="V367" s="45" t="s">
        <v>569</v>
      </c>
      <c r="W367" s="45" cm="1">
        <f t="array" ref="W367">getDistance(R367,S367,I367,J367)*SA!$B$12</f>
        <v>6363.4897786039228</v>
      </c>
      <c r="Y367" s="16">
        <f>Transportation_LCIA!C$61*($W367^Transportation_LCIA!C$60)+Transportation_LCIA!C$62</f>
        <v>0.13805910954225503</v>
      </c>
      <c r="Z367" s="16">
        <f>Transportation_LCIA!D$61*($W367^Transportation_LCIA!D$60)+Transportation_LCIA!D$62</f>
        <v>1.3174109932223508</v>
      </c>
      <c r="AA367" s="16">
        <f>Transportation_LCIA!E$61*($W367^Transportation_LCIA!E$60)+Transportation_LCIA!E$62</f>
        <v>4.217712945479361E-4</v>
      </c>
      <c r="AB367" s="16">
        <f>Transportation_LCIA!F$61*($W367^Transportation_LCIA!F$60)+Transportation_LCIA!F$62</f>
        <v>0.13805910954225503</v>
      </c>
      <c r="AC367" s="16">
        <f>Transportation_LCIA!G$61*($W367^Transportation_LCIA!G$60)+Transportation_LCIA!G$62</f>
        <v>3.1006967164908802E-2</v>
      </c>
      <c r="AD367" s="16">
        <f>Transportation_LCIA!H$61*($W367^Transportation_LCIA!H$60)+Transportation_LCIA!H$62</f>
        <v>1.2050145439131135E-4</v>
      </c>
      <c r="AE367" s="16">
        <f>Transportation_LCIA!I$61*($W367^Transportation_LCIA!I$60)+Transportation_LCIA!I$62</f>
        <v>2.0868876309854734E-6</v>
      </c>
      <c r="AF367" s="16">
        <f>Transportation_LCIA!J$61*($W367^Transportation_LCIA!J$60)+Transportation_LCIA!J$62</f>
        <v>3.1487079878510273E-3</v>
      </c>
      <c r="AG367" s="16">
        <f>Transportation_LCIA!K$61*($W367^Transportation_LCIA!K$60)+Transportation_LCIA!K$62</f>
        <v>6.1515003502329892E-3</v>
      </c>
      <c r="AH367" s="16">
        <f>Transportation_LCIA!L$61*($W367^Transportation_LCIA!L$60)+Transportation_LCIA!L$62</f>
        <v>9.7262350697460971E-5</v>
      </c>
      <c r="AI367" s="16">
        <f>Transportation_LCIA!M$61*($W367^Transportation_LCIA!M$60)+Transportation_LCIA!M$62</f>
        <v>1.5742704436438743E-4</v>
      </c>
      <c r="AJ367" s="16">
        <f>Transportation_LCIA!N$61*($W367^Transportation_LCIA!N$60)+Transportation_LCIA!N$62</f>
        <v>4.6326381973146522E-4</v>
      </c>
      <c r="AK367" s="16">
        <f>Transportation_LCIA!O$61*($W367^Transportation_LCIA!O$60)+Transportation_LCIA!O$62</f>
        <v>3.2635227510025124E-5</v>
      </c>
      <c r="AL367" s="16">
        <f>Transportation_LCIA!P$61*($W367^Transportation_LCIA!P$60)+Transportation_LCIA!P$62</f>
        <v>1.58304835742713E-8</v>
      </c>
      <c r="AM367" s="16">
        <f>Transportation_LCIA!Q$61*($W367^Transportation_LCIA!Q$60)+Transportation_LCIA!Q$62</f>
        <v>3.9413334624958368E-5</v>
      </c>
      <c r="AN367" s="16">
        <f>Transportation_LCIA!R$61*($W367^Transportation_LCIA!R$60)+Transportation_LCIA!R$62</f>
        <v>1.0103056055511716E-4</v>
      </c>
      <c r="AO367" s="16">
        <f>Transportation_LCIA!S$61*($W367^Transportation_LCIA!S$60)+Transportation_LCIA!S$62</f>
        <v>1.6882578538694314E-6</v>
      </c>
      <c r="AP367" s="16">
        <f>Transportation_LCIA!T$61*($W367^Transportation_LCIA!T$60)+Transportation_LCIA!T$62</f>
        <v>1.6882578538694314E-6</v>
      </c>
      <c r="AQ367" s="16">
        <f>Transportation_LCIA!U$61*($W367^Transportation_LCIA!U$60)+Transportation_LCIA!U$62</f>
        <v>2.1022859223385475E-4</v>
      </c>
      <c r="AR367" s="16">
        <f>Transportation_LCIA!V$61*($W367^Transportation_LCIA!V$60)+Transportation_LCIA!V$62</f>
        <v>1.0319636276365877E-4</v>
      </c>
      <c r="AT367" s="16">
        <f>$W367*Y367+($L367)*Summary_LCIA!H$34</f>
        <v>903.41585892529918</v>
      </c>
      <c r="AU367" s="16">
        <f ca="1">$W367*Z367+($L367)*Summary_LCIA!Q$34</f>
        <v>8795.9808767800205</v>
      </c>
      <c r="AV367" s="16">
        <f ca="1">$W367*AA367+($L367)*Summary_LCIA!R$34</f>
        <v>3.538110164764336</v>
      </c>
      <c r="AW367" s="16">
        <f ca="1">$W367*AB367+($L367)*Summary_LCIA!S$34</f>
        <v>903.0737354052992</v>
      </c>
      <c r="AX367" s="16">
        <f ca="1">$W367*AC367+($L367)*Summary_LCIA!T$34</f>
        <v>204.24285863440463</v>
      </c>
      <c r="AY367" s="16">
        <f ca="1">$W367*AD367+($L367)*Summary_LCIA!U$34</f>
        <v>1.3814293313260166</v>
      </c>
      <c r="AZ367" s="16">
        <f ca="1">$W367*AE367+($L367)*Summary_LCIA!V$34</f>
        <v>4.0373464873871015E-2</v>
      </c>
      <c r="BA367" s="16">
        <f ca="1">$W367*AF367+($L367)*Summary_LCIA!W$34</f>
        <v>36.925444741498538</v>
      </c>
      <c r="BB367" s="16">
        <f ca="1">$W367*AG367+($L367)*Summary_LCIA!X$34</f>
        <v>42.694541121786081</v>
      </c>
      <c r="BC367" s="16">
        <f ca="1">$W367*AH367+($L367)*Summary_LCIA!Y$34</f>
        <v>1.191450302506283</v>
      </c>
      <c r="BD367" s="16">
        <f ca="1">$W367*AI367+($L367)*Summary_LCIA!Z$34</f>
        <v>1.0113090507136058</v>
      </c>
      <c r="BE367" s="16">
        <f ca="1">$W367*AJ367+($L367)*Summary_LCIA!AA$34</f>
        <v>3.6370995546581888</v>
      </c>
      <c r="BF367" s="16">
        <f ca="1">$W367*AK367+($L367)*Summary_LCIA!AB$34</f>
        <v>0.20535561549795842</v>
      </c>
      <c r="BG367" s="16">
        <f ca="1">$W367*AL367+($L367)*Summary_LCIA!AC$34</f>
        <v>1.0196732843573271E-4</v>
      </c>
      <c r="BH367" s="16">
        <f ca="1">$W367*AM367+($L367)*Summary_LCIA!AD$34</f>
        <v>0.28795214592661866</v>
      </c>
      <c r="BI367" s="16">
        <f ca="1">$W367*AN367+($L367)*Summary_LCIA!AE$34</f>
        <v>0.74311839311911276</v>
      </c>
      <c r="BJ367" s="16">
        <f ca="1">$W367*AO367+($L367)*Summary_LCIA!AF$34</f>
        <v>9.0213426896745927E-2</v>
      </c>
      <c r="BK367" s="16">
        <f ca="1">$W367*AP367+($L367)*Summary_LCIA!AG$34</f>
        <v>1.1658024497245921E-2</v>
      </c>
      <c r="BL367" s="16">
        <f ca="1">$W367*AQ367+($L367)*Summary_LCIA!AH$34</f>
        <v>2.0989789193504267</v>
      </c>
      <c r="BM367" s="16">
        <f ca="1">$W367*AR367+($L367)*Summary_LCIA!AI$34</f>
        <v>0.7504889783856451</v>
      </c>
      <c r="BN367" s="16"/>
    </row>
    <row r="368" spans="1:66" x14ac:dyDescent="0.25">
      <c r="A368" s="159">
        <v>292</v>
      </c>
      <c r="B368" s="159">
        <v>6</v>
      </c>
      <c r="C368" s="45">
        <v>43.719819000000001</v>
      </c>
      <c r="D368" s="45">
        <v>10.402931000000001</v>
      </c>
      <c r="E368" s="45" t="s">
        <v>421</v>
      </c>
      <c r="F368" s="159">
        <v>51</v>
      </c>
      <c r="G368" s="45" t="s">
        <v>698</v>
      </c>
      <c r="H368" s="45" t="s">
        <v>716</v>
      </c>
      <c r="I368" s="45">
        <v>41.799886999999998</v>
      </c>
      <c r="J368" s="45">
        <v>12.246238</v>
      </c>
      <c r="K368" s="45">
        <v>278.4546272</v>
      </c>
      <c r="L368" s="45">
        <v>329.53500000000003</v>
      </c>
      <c r="M368" s="61" t="s">
        <v>617</v>
      </c>
      <c r="N368" s="159">
        <v>5</v>
      </c>
      <c r="O368" s="159">
        <v>6</v>
      </c>
      <c r="P368" s="45" t="s">
        <v>565</v>
      </c>
      <c r="Q368" s="45" t="s">
        <v>564</v>
      </c>
      <c r="R368" s="45">
        <v>41.98028</v>
      </c>
      <c r="S368" s="45">
        <v>-87.908997900000003</v>
      </c>
      <c r="T368" s="45"/>
      <c r="U368" s="45" t="s">
        <v>622</v>
      </c>
      <c r="V368" s="45" t="s">
        <v>569</v>
      </c>
      <c r="W368" s="45" cm="1">
        <f t="array" ref="W368">getDistance(R368,S368,I368,J368)*SA!$B$12</f>
        <v>7764.2042400638466</v>
      </c>
      <c r="Y368" s="16">
        <f>Transportation_LCIA!C$61*($W368^Transportation_LCIA!C$60)+Transportation_LCIA!C$62</f>
        <v>0.13403481899543013</v>
      </c>
      <c r="Z368" s="16">
        <f>Transportation_LCIA!D$61*($W368^Transportation_LCIA!D$60)+Transportation_LCIA!D$62</f>
        <v>1.2742629240678911</v>
      </c>
      <c r="AA368" s="16">
        <f>Transportation_LCIA!E$61*($W368^Transportation_LCIA!E$60)+Transportation_LCIA!E$62</f>
        <v>3.9406960611812437E-4</v>
      </c>
      <c r="AB368" s="16">
        <f>Transportation_LCIA!F$61*($W368^Transportation_LCIA!F$60)+Transportation_LCIA!F$62</f>
        <v>0.13403481899543013</v>
      </c>
      <c r="AC368" s="16">
        <f>Transportation_LCIA!G$61*($W368^Transportation_LCIA!G$60)+Transportation_LCIA!G$62</f>
        <v>3.0003758804606418E-2</v>
      </c>
      <c r="AD368" s="16">
        <f>Transportation_LCIA!H$61*($W368^Transportation_LCIA!H$60)+Transportation_LCIA!H$62</f>
        <v>1.1469029988604821E-4</v>
      </c>
      <c r="AE368" s="16">
        <f>Transportation_LCIA!I$61*($W368^Transportation_LCIA!I$60)+Transportation_LCIA!I$62</f>
        <v>1.9512732395746673E-6</v>
      </c>
      <c r="AF368" s="16">
        <f>Transportation_LCIA!J$61*($W368^Transportation_LCIA!J$60)+Transportation_LCIA!J$62</f>
        <v>2.9564943452071004E-3</v>
      </c>
      <c r="AG368" s="16">
        <f>Transportation_LCIA!K$61*($W368^Transportation_LCIA!K$60)+Transportation_LCIA!K$62</f>
        <v>5.9271307135377455E-3</v>
      </c>
      <c r="AH368" s="16">
        <f>Transportation_LCIA!L$61*($W368^Transportation_LCIA!L$60)+Transportation_LCIA!L$62</f>
        <v>9.203395410547337E-5</v>
      </c>
      <c r="AI368" s="16">
        <f>Transportation_LCIA!M$61*($W368^Transportation_LCIA!M$60)+Transportation_LCIA!M$62</f>
        <v>1.542281284342383E-4</v>
      </c>
      <c r="AJ368" s="16">
        <f>Transportation_LCIA!N$61*($W368^Transportation_LCIA!N$60)+Transportation_LCIA!N$62</f>
        <v>4.436077676919128E-4</v>
      </c>
      <c r="AK368" s="16">
        <f>Transportation_LCIA!O$61*($W368^Transportation_LCIA!O$60)+Transportation_LCIA!O$62</f>
        <v>3.1571668767198981E-5</v>
      </c>
      <c r="AL368" s="16">
        <f>Transportation_LCIA!P$61*($W368^Transportation_LCIA!P$60)+Transportation_LCIA!P$62</f>
        <v>1.5315903218203021E-8</v>
      </c>
      <c r="AM368" s="16">
        <f>Transportation_LCIA!Q$61*($W368^Transportation_LCIA!Q$60)+Transportation_LCIA!Q$62</f>
        <v>3.7392636476103982E-5</v>
      </c>
      <c r="AN368" s="16">
        <f>Transportation_LCIA!R$61*($W368^Transportation_LCIA!R$60)+Transportation_LCIA!R$62</f>
        <v>9.4539342329731928E-5</v>
      </c>
      <c r="AO368" s="16">
        <f>Transportation_LCIA!S$61*($W368^Transportation_LCIA!S$60)+Transportation_LCIA!S$62</f>
        <v>1.5958207047036228E-6</v>
      </c>
      <c r="AP368" s="16">
        <f>Transportation_LCIA!T$61*($W368^Transportation_LCIA!T$60)+Transportation_LCIA!T$62</f>
        <v>1.5958207047036228E-6</v>
      </c>
      <c r="AQ368" s="16">
        <f>Transportation_LCIA!U$61*($W368^Transportation_LCIA!U$60)+Transportation_LCIA!U$62</f>
        <v>1.9619632256957396E-4</v>
      </c>
      <c r="AR368" s="16">
        <f>Transportation_LCIA!V$61*($W368^Transportation_LCIA!V$60)+Transportation_LCIA!V$62</f>
        <v>9.8017707150679071E-5</v>
      </c>
      <c r="AT368" s="16">
        <f>$W368*Y368+($L368)*Summary_LCIA!H$32</f>
        <v>1152.6497029605089</v>
      </c>
      <c r="AU368" s="16">
        <f>$W368*Z368+($L368)*Summary_LCIA!Q$32</f>
        <v>11526.829677442731</v>
      </c>
      <c r="AV368" s="16">
        <f>$W368*AA368+($L368)*Summary_LCIA!R$32</f>
        <v>4.7948364027026305</v>
      </c>
      <c r="AW368" s="16">
        <f>$W368*AB368+($L368)*Summary_LCIA!S$32</f>
        <v>1151.1931582605089</v>
      </c>
      <c r="AX368" s="16">
        <f>$W368*AC368+($L368)*Summary_LCIA!T$32</f>
        <v>269.17120782857813</v>
      </c>
      <c r="AY368" s="16">
        <f>$W368*AD368+($L368)*Summary_LCIA!U$32</f>
        <v>6.7937689026694494</v>
      </c>
      <c r="AZ368" s="16">
        <f>$W368*AE368+($L368)*Summary_LCIA!V$32</f>
        <v>3.0889005095228749E-2</v>
      </c>
      <c r="BA368" s="16">
        <f>$W368*AF368+($L368)*Summary_LCIA!W$32</f>
        <v>48.319464415781752</v>
      </c>
      <c r="BB368" s="16">
        <f>$W368*AG368+($L368)*Summary_LCIA!X$32</f>
        <v>53.526260717462414</v>
      </c>
      <c r="BC368" s="16">
        <f>$W368*AH368+($L368)*Summary_LCIA!Y$32</f>
        <v>5.8493847866955591</v>
      </c>
      <c r="BD368" s="16">
        <f>$W368*AI368+($L368)*Summary_LCIA!Z$32</f>
        <v>1.2109725895412247</v>
      </c>
      <c r="BE368" s="16">
        <f>$W368*AJ368+($L368)*Summary_LCIA!AA$32</f>
        <v>11.140880770838807</v>
      </c>
      <c r="BF368" s="16">
        <f>$W368*AK368+($L368)*Summary_LCIA!AB$32</f>
        <v>0.23793744220317767</v>
      </c>
      <c r="BG368" s="16">
        <f>$W368*AL368+($L368)*Summary_LCIA!AC$32</f>
        <v>1.3502478964717943E-4</v>
      </c>
      <c r="BH368" s="16">
        <f>$W368*AM368+($L368)*Summary_LCIA!AD$32</f>
        <v>0.42577613307493262</v>
      </c>
      <c r="BI368" s="16">
        <f>$W368*AN368+($L368)*Summary_LCIA!AE$32</f>
        <v>1.0260336121193521</v>
      </c>
      <c r="BJ368" s="16">
        <f>$W368*AO368+($L368)*Summary_LCIA!AF$32</f>
        <v>0.29098575758184159</v>
      </c>
      <c r="BK368" s="16">
        <f>$W368*AP368+($L368)*Summary_LCIA!AG$32</f>
        <v>2.9250936156841545E-2</v>
      </c>
      <c r="BL368" s="16">
        <f>$W368*AQ368+($L368)*Summary_LCIA!AH$32</f>
        <v>4.391449145579621</v>
      </c>
      <c r="BM368" s="16">
        <f>$W368*AR368+($L368)*Summary_LCIA!AI$32</f>
        <v>1.0680078267106388</v>
      </c>
      <c r="BN368" s="16"/>
    </row>
    <row r="369" spans="1:66" x14ac:dyDescent="0.25">
      <c r="A369" s="159">
        <v>308</v>
      </c>
      <c r="B369" s="159">
        <v>6</v>
      </c>
      <c r="C369" s="45">
        <v>18.520430000000001</v>
      </c>
      <c r="D369" s="45">
        <v>73.856744000000006</v>
      </c>
      <c r="E369" s="45" t="s">
        <v>268</v>
      </c>
      <c r="F369" s="159">
        <v>41</v>
      </c>
      <c r="G369" s="45" t="s">
        <v>704</v>
      </c>
      <c r="H369" s="45" t="s">
        <v>717</v>
      </c>
      <c r="I369" s="45">
        <v>19.089559999999999</v>
      </c>
      <c r="J369" s="45">
        <v>72.865613999999994</v>
      </c>
      <c r="K369" s="45">
        <v>138.57053590000001</v>
      </c>
      <c r="L369" s="45">
        <v>150.84200000000001</v>
      </c>
      <c r="M369" s="61" t="s">
        <v>617</v>
      </c>
      <c r="N369" s="159">
        <v>5</v>
      </c>
      <c r="O369" s="159">
        <v>6</v>
      </c>
      <c r="P369" s="45" t="s">
        <v>565</v>
      </c>
      <c r="Q369" s="45" t="s">
        <v>564</v>
      </c>
      <c r="R369" s="45">
        <v>41.98028</v>
      </c>
      <c r="S369" s="45">
        <v>-87.908997900000003</v>
      </c>
      <c r="T369" s="45"/>
      <c r="U369" s="45" t="s">
        <v>622</v>
      </c>
      <c r="V369" s="45" t="s">
        <v>569</v>
      </c>
      <c r="W369" s="45" cm="1">
        <f t="array" ref="W369">getDistance(R369,S369,I369,J369)*SA!$B$12</f>
        <v>12973.435310286848</v>
      </c>
      <c r="Y369" s="16">
        <f>Transportation_LCIA!C$61*($W369^Transportation_LCIA!C$60)+Transportation_LCIA!C$62</f>
        <v>0.12628145412934758</v>
      </c>
      <c r="Z369" s="16">
        <f>Transportation_LCIA!D$61*($W369^Transportation_LCIA!D$60)+Transportation_LCIA!D$62</f>
        <v>1.1923507326669118</v>
      </c>
      <c r="AA369" s="16">
        <f>Transportation_LCIA!E$61*($W369^Transportation_LCIA!E$60)+Transportation_LCIA!E$62</f>
        <v>3.4169826693412512E-4</v>
      </c>
      <c r="AB369" s="16">
        <f>Transportation_LCIA!F$61*($W369^Transportation_LCIA!F$60)+Transportation_LCIA!F$62</f>
        <v>0.12628145412934758</v>
      </c>
      <c r="AC369" s="16">
        <f>Transportation_LCIA!G$61*($W369^Transportation_LCIA!G$60)+Transportation_LCIA!G$62</f>
        <v>2.8097631248014739E-2</v>
      </c>
      <c r="AD369" s="16">
        <f>Transportation_LCIA!H$61*($W369^Transportation_LCIA!H$60)+Transportation_LCIA!H$62</f>
        <v>1.0379352101444803E-4</v>
      </c>
      <c r="AE369" s="16">
        <f>Transportation_LCIA!I$61*($W369^Transportation_LCIA!I$60)+Transportation_LCIA!I$62</f>
        <v>1.7002980364567648E-6</v>
      </c>
      <c r="AF369" s="16">
        <f>Transportation_LCIA!J$61*($W369^Transportation_LCIA!J$60)+Transportation_LCIA!J$62</f>
        <v>2.6038110553641717E-3</v>
      </c>
      <c r="AG369" s="16">
        <f>Transportation_LCIA!K$61*($W369^Transportation_LCIA!K$60)+Transportation_LCIA!K$62</f>
        <v>5.5039847755586511E-3</v>
      </c>
      <c r="AH369" s="16">
        <f>Transportation_LCIA!L$61*($W369^Transportation_LCIA!L$60)+Transportation_LCIA!L$62</f>
        <v>8.2266601823799673E-5</v>
      </c>
      <c r="AI369" s="16">
        <f>Transportation_LCIA!M$61*($W369^Transportation_LCIA!M$60)+Transportation_LCIA!M$62</f>
        <v>1.4823235533871823E-4</v>
      </c>
      <c r="AJ369" s="16">
        <f>Transportation_LCIA!N$61*($W369^Transportation_LCIA!N$60)+Transportation_LCIA!N$62</f>
        <v>4.0671116654773397E-4</v>
      </c>
      <c r="AK369" s="16">
        <f>Transportation_LCIA!O$61*($W369^Transportation_LCIA!O$60)+Transportation_LCIA!O$62</f>
        <v>2.9551692597827013E-5</v>
      </c>
      <c r="AL369" s="16">
        <f>Transportation_LCIA!P$61*($W369^Transportation_LCIA!P$60)+Transportation_LCIA!P$62</f>
        <v>1.433750759076111E-8</v>
      </c>
      <c r="AM369" s="16">
        <f>Transportation_LCIA!Q$61*($W369^Transportation_LCIA!Q$60)+Transportation_LCIA!Q$62</f>
        <v>3.3625304297634315E-5</v>
      </c>
      <c r="AN369" s="16">
        <f>Transportation_LCIA!R$61*($W369^Transportation_LCIA!R$60)+Transportation_LCIA!R$62</f>
        <v>8.2530160947559965E-5</v>
      </c>
      <c r="AO369" s="16">
        <f>Transportation_LCIA!S$61*($W369^Transportation_LCIA!S$60)+Transportation_LCIA!S$62</f>
        <v>1.4247052857992638E-6</v>
      </c>
      <c r="AP369" s="16">
        <f>Transportation_LCIA!T$61*($W369^Transportation_LCIA!T$60)+Transportation_LCIA!T$62</f>
        <v>1.4247052857992638E-6</v>
      </c>
      <c r="AQ369" s="16">
        <f>Transportation_LCIA!U$61*($W369^Transportation_LCIA!U$60)+Transportation_LCIA!U$62</f>
        <v>1.703002825626854E-4</v>
      </c>
      <c r="AR369" s="16">
        <f>Transportation_LCIA!V$61*($W369^Transportation_LCIA!V$60)+Transportation_LCIA!V$62</f>
        <v>8.838784159940382E-5</v>
      </c>
      <c r="AT369" s="16">
        <f>$W369*Y369+($L369)*Summary_LCIA!H$32</f>
        <v>1689.5603876360467</v>
      </c>
      <c r="AU369" s="16">
        <f>$W369*Z369+($L369)*Summary_LCIA!Q$32</f>
        <v>16216.465656841894</v>
      </c>
      <c r="AV369" s="16">
        <f>$W369*AA369+($L369)*Summary_LCIA!R$32</f>
        <v>5.2272739969069999</v>
      </c>
      <c r="AW369" s="16">
        <f>$W369*AB369+($L369)*Summary_LCIA!S$32</f>
        <v>1688.8936659960468</v>
      </c>
      <c r="AX369" s="16">
        <f>$W369*AC369+($L369)*Summary_LCIA!T$32</f>
        <v>381.10033716841355</v>
      </c>
      <c r="AY369" s="16">
        <f>$W369*AD369+($L369)*Summary_LCIA!U$32</f>
        <v>4.0487421185078398</v>
      </c>
      <c r="AZ369" s="16">
        <f>$W369*AE369+($L369)*Summary_LCIA!V$32</f>
        <v>2.9263071346179587E-2</v>
      </c>
      <c r="BA369" s="16">
        <f>$W369*AF369+($L369)*Summary_LCIA!W$32</f>
        <v>45.390833868976813</v>
      </c>
      <c r="BB369" s="16">
        <f>$W369*AG369+($L369)*Summary_LCIA!X$32</f>
        <v>74.841771194513839</v>
      </c>
      <c r="BC369" s="16">
        <f>$W369*AH369+($L369)*Summary_LCIA!Y$32</f>
        <v>3.4177004809581915</v>
      </c>
      <c r="BD369" s="16">
        <f>$W369*AI369+($L369)*Summary_LCIA!Z$32</f>
        <v>1.9292687524563144</v>
      </c>
      <c r="BE369" s="16">
        <f>$W369*AJ369+($L369)*Summary_LCIA!AA$32</f>
        <v>8.7995067611783266</v>
      </c>
      <c r="BF369" s="16">
        <f>$W369*AK369+($L369)*Summary_LCIA!AB$32</f>
        <v>0.38009514726139143</v>
      </c>
      <c r="BG369" s="16">
        <f>$W369*AL369+($L369)*Summary_LCIA!AC$32</f>
        <v>1.9338048756748589E-4</v>
      </c>
      <c r="BH369" s="16">
        <f>$W369*AM369+($L369)*Summary_LCIA!AD$32</f>
        <v>0.49823780577406918</v>
      </c>
      <c r="BI369" s="16">
        <f>$W369*AN369+($L369)*Summary_LCIA!AE$32</f>
        <v>1.2043653256607312</v>
      </c>
      <c r="BJ369" s="16">
        <f>$W369*AO369+($L369)*Summary_LCIA!AF$32</f>
        <v>0.1460081655015405</v>
      </c>
      <c r="BK369" s="16">
        <f>$W369*AP369+($L369)*Summary_LCIA!AG$32</f>
        <v>2.6201152791540484E-2</v>
      </c>
      <c r="BL369" s="16">
        <f>$W369*AQ369+($L369)*Summary_LCIA!AH$32</f>
        <v>3.5222481303505706</v>
      </c>
      <c r="BM369" s="16">
        <f>$W369*AR369+($L369)*Summary_LCIA!AI$32</f>
        <v>1.2872108103057462</v>
      </c>
      <c r="BN369" s="16"/>
    </row>
    <row r="370" spans="1:66" x14ac:dyDescent="0.25">
      <c r="A370" s="159">
        <v>309</v>
      </c>
      <c r="B370" s="159">
        <v>6</v>
      </c>
      <c r="C370" s="45">
        <v>-22.912496000000001</v>
      </c>
      <c r="D370" s="45">
        <v>-43.224753999999997</v>
      </c>
      <c r="E370" s="45" t="s">
        <v>465</v>
      </c>
      <c r="F370" s="159">
        <v>52</v>
      </c>
      <c r="G370" s="45" t="s">
        <v>682</v>
      </c>
      <c r="H370" s="45" t="s">
        <v>683</v>
      </c>
      <c r="I370" s="45">
        <v>-23.430572999999999</v>
      </c>
      <c r="J370" s="45">
        <v>-46.473042999999997</v>
      </c>
      <c r="K370" s="45">
        <v>339.4912473</v>
      </c>
      <c r="L370" s="45">
        <v>415.65699999999998</v>
      </c>
      <c r="M370" s="61" t="s">
        <v>617</v>
      </c>
      <c r="N370" s="159">
        <v>5</v>
      </c>
      <c r="O370" s="159">
        <v>6</v>
      </c>
      <c r="P370" s="45" t="s">
        <v>565</v>
      </c>
      <c r="Q370" s="45" t="s">
        <v>564</v>
      </c>
      <c r="R370" s="45">
        <v>41.98028</v>
      </c>
      <c r="S370" s="45">
        <v>-87.908997900000003</v>
      </c>
      <c r="T370" s="45"/>
      <c r="U370" s="45" t="s">
        <v>622</v>
      </c>
      <c r="V370" s="45" t="s">
        <v>569</v>
      </c>
      <c r="W370" s="45" cm="1">
        <f t="array" ref="W370">getDistance(R370,S370,I370,J370)*SA!$B$12</f>
        <v>8422.5070302481017</v>
      </c>
      <c r="Y370" s="16">
        <f>Transportation_LCIA!C$61*($W370^Transportation_LCIA!C$60)+Transportation_LCIA!C$62</f>
        <v>0.13257261459336128</v>
      </c>
      <c r="Z370" s="16">
        <f>Transportation_LCIA!D$61*($W370^Transportation_LCIA!D$60)+Transportation_LCIA!D$62</f>
        <v>1.2586820151780742</v>
      </c>
      <c r="AA370" s="16">
        <f>Transportation_LCIA!E$61*($W370^Transportation_LCIA!E$60)+Transportation_LCIA!E$62</f>
        <v>3.8408382526349319E-4</v>
      </c>
      <c r="AB370" s="16">
        <f>Transportation_LCIA!F$61*($W370^Transportation_LCIA!F$60)+Transportation_LCIA!F$62</f>
        <v>0.13257261459336128</v>
      </c>
      <c r="AC370" s="16">
        <f>Transportation_LCIA!G$61*($W370^Transportation_LCIA!G$60)+Transportation_LCIA!G$62</f>
        <v>2.9641366176938799E-2</v>
      </c>
      <c r="AD370" s="16">
        <f>Transportation_LCIA!H$61*($W370^Transportation_LCIA!H$60)+Transportation_LCIA!H$62</f>
        <v>1.126027108406742E-4</v>
      </c>
      <c r="AE370" s="16">
        <f>Transportation_LCIA!I$61*($W370^Transportation_LCIA!I$60)+Transportation_LCIA!I$62</f>
        <v>1.9028245607617693E-6</v>
      </c>
      <c r="AF370" s="16">
        <f>Transportation_LCIA!J$61*($W370^Transportation_LCIA!J$60)+Transportation_LCIA!J$62</f>
        <v>2.8880736872192096E-3</v>
      </c>
      <c r="AG370" s="16">
        <f>Transportation_LCIA!K$61*($W370^Transportation_LCIA!K$60)+Transportation_LCIA!K$62</f>
        <v>5.8463339537824059E-3</v>
      </c>
      <c r="AH370" s="16">
        <f>Transportation_LCIA!L$61*($W370^Transportation_LCIA!L$60)+Transportation_LCIA!L$62</f>
        <v>9.0158674441413538E-5</v>
      </c>
      <c r="AI370" s="16">
        <f>Transportation_LCIA!M$61*($W370^Transportation_LCIA!M$60)+Transportation_LCIA!M$62</f>
        <v>1.5307917071161358E-4</v>
      </c>
      <c r="AJ370" s="16">
        <f>Transportation_LCIA!N$61*($W370^Transportation_LCIA!N$60)+Transportation_LCIA!N$62</f>
        <v>4.3654345287238349E-4</v>
      </c>
      <c r="AK370" s="16">
        <f>Transportation_LCIA!O$61*($W370^Transportation_LCIA!O$60)+Transportation_LCIA!O$62</f>
        <v>3.1187540895566968E-5</v>
      </c>
      <c r="AL370" s="16">
        <f>Transportation_LCIA!P$61*($W370^Transportation_LCIA!P$60)+Transportation_LCIA!P$62</f>
        <v>1.5129965505407241E-8</v>
      </c>
      <c r="AM370" s="16">
        <f>Transportation_LCIA!Q$61*($W370^Transportation_LCIA!Q$60)+Transportation_LCIA!Q$62</f>
        <v>3.6668483978999491E-5</v>
      </c>
      <c r="AN370" s="16">
        <f>Transportation_LCIA!R$61*($W370^Transportation_LCIA!R$60)+Transportation_LCIA!R$62</f>
        <v>9.2220644267511622E-5</v>
      </c>
      <c r="AO370" s="16">
        <f>Transportation_LCIA!S$61*($W370^Transportation_LCIA!S$60)+Transportation_LCIA!S$62</f>
        <v>1.5627934623745161E-6</v>
      </c>
      <c r="AP370" s="16">
        <f>Transportation_LCIA!T$61*($W370^Transportation_LCIA!T$60)+Transportation_LCIA!T$62</f>
        <v>1.5627934623745161E-6</v>
      </c>
      <c r="AQ370" s="16">
        <f>Transportation_LCIA!U$61*($W370^Transportation_LCIA!U$60)+Transportation_LCIA!U$62</f>
        <v>1.9118918802464308E-4</v>
      </c>
      <c r="AR370" s="16">
        <f>Transportation_LCIA!V$61*($W370^Transportation_LCIA!V$60)+Transportation_LCIA!V$62</f>
        <v>9.6163878021168E-5</v>
      </c>
      <c r="AT370" s="16">
        <f>$W370*Y370+($L370)*Summary_LCIA!H$32</f>
        <v>1257.8340270309575</v>
      </c>
      <c r="AU370" s="16">
        <f>$W370*Z370+($L370)*Summary_LCIA!Q$32</f>
        <v>12661.275176513658</v>
      </c>
      <c r="AV370" s="16">
        <f>$W370*AA370+($L370)*Summary_LCIA!R$32</f>
        <v>5.4236322176863547</v>
      </c>
      <c r="AW370" s="16">
        <f>$W370*AB370+($L370)*Summary_LCIA!S$32</f>
        <v>1255.9968230909574</v>
      </c>
      <c r="AX370" s="16">
        <f>$W370*AC370+($L370)*Summary_LCIA!T$32</f>
        <v>295.33531931142534</v>
      </c>
      <c r="AY370" s="16">
        <f>$W370*AD370+($L370)*Summary_LCIA!U$32</f>
        <v>8.3944766216805728</v>
      </c>
      <c r="AZ370" s="16">
        <f>$W370*AE370+($L370)*Summary_LCIA!V$32</f>
        <v>3.5878747217344756E-2</v>
      </c>
      <c r="BA370" s="16">
        <f>$W370*AF370+($L370)*Summary_LCIA!W$32</f>
        <v>56.318355881478347</v>
      </c>
      <c r="BB370" s="16">
        <f>$W370*AG370+($L370)*Summary_LCIA!X$32</f>
        <v>58.709455286910497</v>
      </c>
      <c r="BC370" s="16">
        <f>$W370*AH370+($L370)*Summary_LCIA!Y$32</f>
        <v>7.2361294433206549</v>
      </c>
      <c r="BD370" s="16">
        <f>$W370*AI370+($L370)*Summary_LCIA!Z$32</f>
        <v>1.3063560694161145</v>
      </c>
      <c r="BE370" s="16">
        <f>$W370*AJ370+($L370)*Summary_LCIA!AA$32</f>
        <v>13.38487519282643</v>
      </c>
      <c r="BF370" s="16">
        <f>$W370*AK370+($L370)*Summary_LCIA!AB$32</f>
        <v>0.25360639973806298</v>
      </c>
      <c r="BG370" s="16">
        <f>$W370*AL370+($L370)*Summary_LCIA!AC$32</f>
        <v>1.4775121762470377E-4</v>
      </c>
      <c r="BH370" s="16">
        <f>$W370*AM370+($L370)*Summary_LCIA!AD$32</f>
        <v>0.47969221738166312</v>
      </c>
      <c r="BI370" s="16">
        <f>$W370*AN370+($L370)*Summary_LCIA!AE$32</f>
        <v>1.1450551620871259</v>
      </c>
      <c r="BJ370" s="16">
        <f>$W370*AO370+($L370)*Summary_LCIA!AF$32</f>
        <v>0.36456737986367516</v>
      </c>
      <c r="BK370" s="16">
        <f>$W370*AP370+($L370)*Summary_LCIA!AG$32</f>
        <v>3.4429729328675135E-2</v>
      </c>
      <c r="BL370" s="16">
        <f>$W370*AQ370+($L370)*Summary_LCIA!AH$32</f>
        <v>5.2280045454449828</v>
      </c>
      <c r="BM370" s="16">
        <f>$W370*AR370+($L370)*Summary_LCIA!AI$32</f>
        <v>1.1971462170392084</v>
      </c>
      <c r="BN370" s="16"/>
    </row>
    <row r="371" spans="1:66" x14ac:dyDescent="0.25">
      <c r="A371" s="159">
        <v>315</v>
      </c>
      <c r="B371" s="159">
        <v>6</v>
      </c>
      <c r="C371" s="45">
        <v>52.156661999999997</v>
      </c>
      <c r="D371" s="45">
        <v>4.4867590000000002</v>
      </c>
      <c r="E371" s="45" t="s">
        <v>285</v>
      </c>
      <c r="F371" s="159">
        <v>12</v>
      </c>
      <c r="G371" s="45" t="s">
        <v>679</v>
      </c>
      <c r="H371" s="45" t="s">
        <v>680</v>
      </c>
      <c r="I371" s="45">
        <v>52.310538999999999</v>
      </c>
      <c r="J371" s="45">
        <v>4.7682739999999999</v>
      </c>
      <c r="K371" s="45">
        <v>27.619618039999999</v>
      </c>
      <c r="L371" s="45">
        <v>28.559000000000001</v>
      </c>
      <c r="M371" s="61" t="s">
        <v>589</v>
      </c>
      <c r="N371" s="159">
        <v>5</v>
      </c>
      <c r="O371" s="159">
        <v>6</v>
      </c>
      <c r="P371" s="45" t="s">
        <v>565</v>
      </c>
      <c r="Q371" s="45" t="s">
        <v>564</v>
      </c>
      <c r="R371" s="45">
        <v>41.98028</v>
      </c>
      <c r="S371" s="45">
        <v>-87.908997900000003</v>
      </c>
      <c r="T371" s="45"/>
      <c r="U371" s="45" t="s">
        <v>622</v>
      </c>
      <c r="V371" s="45" t="s">
        <v>569</v>
      </c>
      <c r="W371" s="45" cm="1">
        <f t="array" ref="W371">getDistance(R371,S371,I371,J371)*SA!$B$12</f>
        <v>6632.2887438753278</v>
      </c>
      <c r="Y371" s="16">
        <f>Transportation_LCIA!C$61*($W371^Transportation_LCIA!C$60)+Transportation_LCIA!C$62</f>
        <v>0.13716603346863906</v>
      </c>
      <c r="Z371" s="16">
        <f>Transportation_LCIA!D$61*($W371^Transportation_LCIA!D$60)+Transportation_LCIA!D$62</f>
        <v>1.3078038373302929</v>
      </c>
      <c r="AA371" s="16">
        <f>Transportation_LCIA!E$61*($W371^Transportation_LCIA!E$60)+Transportation_LCIA!E$62</f>
        <v>4.1559763971151745E-4</v>
      </c>
      <c r="AB371" s="16">
        <f>Transportation_LCIA!F$61*($W371^Transportation_LCIA!F$60)+Transportation_LCIA!F$62</f>
        <v>0.13716603346863906</v>
      </c>
      <c r="AC371" s="16">
        <f>Transportation_LCIA!G$61*($W371^Transportation_LCIA!G$60)+Transportation_LCIA!G$62</f>
        <v>3.078364026720818E-2</v>
      </c>
      <c r="AD371" s="16">
        <f>Transportation_LCIA!H$61*($W371^Transportation_LCIA!H$60)+Transportation_LCIA!H$62</f>
        <v>1.1920399643427205E-4</v>
      </c>
      <c r="AE371" s="16">
        <f>Transportation_LCIA!I$61*($W371^Transportation_LCIA!I$60)+Transportation_LCIA!I$62</f>
        <v>2.0565197113200838E-6</v>
      </c>
      <c r="AF371" s="16">
        <f>Transportation_LCIA!J$61*($W371^Transportation_LCIA!J$60)+Transportation_LCIA!J$62</f>
        <v>3.1055831426297711E-3</v>
      </c>
      <c r="AG371" s="16">
        <f>Transportation_LCIA!K$61*($W371^Transportation_LCIA!K$60)+Transportation_LCIA!K$62</f>
        <v>6.1014695256803586E-3</v>
      </c>
      <c r="AH371" s="16">
        <f>Transportation_LCIA!L$61*($W371^Transportation_LCIA!L$60)+Transportation_LCIA!L$62</f>
        <v>9.609402578970302E-5</v>
      </c>
      <c r="AI371" s="16">
        <f>Transportation_LCIA!M$61*($W371^Transportation_LCIA!M$60)+Transportation_LCIA!M$62</f>
        <v>1.567127504146819E-4</v>
      </c>
      <c r="AJ371" s="16">
        <f>Transportation_LCIA!N$61*($W371^Transportation_LCIA!N$60)+Transportation_LCIA!N$62</f>
        <v>4.5887623536206706E-4</v>
      </c>
      <c r="AK371" s="16">
        <f>Transportation_LCIA!O$61*($W371^Transportation_LCIA!O$60)+Transportation_LCIA!O$62</f>
        <v>3.2398444381506369E-5</v>
      </c>
      <c r="AL371" s="16">
        <f>Transportation_LCIA!P$61*($W371^Transportation_LCIA!P$60)+Transportation_LCIA!P$62</f>
        <v>1.5715949191790643E-8</v>
      </c>
      <c r="AM371" s="16">
        <f>Transportation_LCIA!Q$61*($W371^Transportation_LCIA!Q$60)+Transportation_LCIA!Q$62</f>
        <v>3.896159039721733E-5</v>
      </c>
      <c r="AN371" s="16">
        <f>Transportation_LCIA!R$61*($W371^Transportation_LCIA!R$60)+Transportation_LCIA!R$62</f>
        <v>9.9576888850548906E-5</v>
      </c>
      <c r="AO371" s="16">
        <f>Transportation_LCIA!S$61*($W371^Transportation_LCIA!S$60)+Transportation_LCIA!S$62</f>
        <v>1.6675598015362514E-6</v>
      </c>
      <c r="AP371" s="16">
        <f>Transportation_LCIA!T$61*($W371^Transportation_LCIA!T$60)+Transportation_LCIA!T$62</f>
        <v>1.6675598015362514E-6</v>
      </c>
      <c r="AQ371" s="16">
        <f>Transportation_LCIA!U$61*($W371^Transportation_LCIA!U$60)+Transportation_LCIA!U$62</f>
        <v>2.0708439134245054E-4</v>
      </c>
      <c r="AR371" s="16">
        <f>Transportation_LCIA!V$61*($W371^Transportation_LCIA!V$60)+Transportation_LCIA!V$62</f>
        <v>1.0203795621530453E-4</v>
      </c>
      <c r="AT371" s="16">
        <f>$W371*Y371+($L371)*Summary_LCIA!H$34</f>
        <v>911.85130007408134</v>
      </c>
      <c r="AU371" s="16">
        <f ca="1">$W371*Z371+($L371)*Summary_LCIA!Q$34</f>
        <v>8709.0055828422319</v>
      </c>
      <c r="AV371" s="16">
        <f ca="1">$W371*AA371+($L371)*Summary_LCIA!R$34</f>
        <v>2.8293774872398512</v>
      </c>
      <c r="AW371" s="16">
        <f ca="1">$W371*AB371+($L371)*Summary_LCIA!S$34</f>
        <v>911.82205565808124</v>
      </c>
      <c r="AX371" s="16">
        <f ca="1">$W371*AC371+($L371)*Summary_LCIA!T$34</f>
        <v>204.75839017671208</v>
      </c>
      <c r="AY371" s="16">
        <f ca="1">$W371*AD371+($L371)*Summary_LCIA!U$34</f>
        <v>0.84313246017597721</v>
      </c>
      <c r="AZ371" s="16">
        <f ca="1">$W371*AE371+($L371)*Summary_LCIA!V$34</f>
        <v>1.5955367519945932E-2</v>
      </c>
      <c r="BA371" s="16">
        <f ca="1">$W371*AF371+($L371)*Summary_LCIA!W$34</f>
        <v>22.040753011032397</v>
      </c>
      <c r="BB371" s="16">
        <f ca="1">$W371*AG371+($L371)*Summary_LCIA!X$34</f>
        <v>40.77011847226818</v>
      </c>
      <c r="BC371" s="16">
        <f ca="1">$W371*AH371+($L371)*Summary_LCIA!Y$34</f>
        <v>0.68626202799871272</v>
      </c>
      <c r="BD371" s="16">
        <f ca="1">$W371*AI371+($L371)*Summary_LCIA!Z$34</f>
        <v>1.0401782848920385</v>
      </c>
      <c r="BE371" s="16">
        <f ca="1">$W371*AJ371+($L371)*Summary_LCIA!AA$34</f>
        <v>3.1023054840237232</v>
      </c>
      <c r="BF371" s="16">
        <f ca="1">$W371*AK371+($L371)*Summary_LCIA!AB$34</f>
        <v>0.21467766994543555</v>
      </c>
      <c r="BG371" s="16">
        <f ca="1">$W371*AL371+($L371)*Summary_LCIA!AC$34</f>
        <v>1.0433787001792963E-4</v>
      </c>
      <c r="BH371" s="16">
        <f ca="1">$W371*AM371+($L371)*Summary_LCIA!AD$34</f>
        <v>0.2615797070549456</v>
      </c>
      <c r="BI371" s="16">
        <f ca="1">$W371*AN371+($L371)*Summary_LCIA!AE$34</f>
        <v>0.66898866553362013</v>
      </c>
      <c r="BJ371" s="16">
        <f ca="1">$W371*AO371+($L371)*Summary_LCIA!AF$34</f>
        <v>1.7852781841467855E-2</v>
      </c>
      <c r="BK371" s="16">
        <f ca="1">$W371*AP371+($L371)*Summary_LCIA!AG$34</f>
        <v>1.1137935499367856E-2</v>
      </c>
      <c r="BL371" s="16">
        <f ca="1">$W371*AQ371+($L371)*Summary_LCIA!AH$34</f>
        <v>1.4385094474328082</v>
      </c>
      <c r="BM371" s="16">
        <f ca="1">$W371*AR371+($L371)*Summary_LCIA!AI$34</f>
        <v>0.68476312770480785</v>
      </c>
      <c r="BN371" s="16"/>
    </row>
    <row r="372" spans="1:66" x14ac:dyDescent="0.25">
      <c r="A372" s="159">
        <v>319</v>
      </c>
      <c r="B372" s="159">
        <v>6</v>
      </c>
      <c r="C372" s="45">
        <v>44.698993000000002</v>
      </c>
      <c r="D372" s="45">
        <v>10.629686</v>
      </c>
      <c r="E372" s="45" t="s">
        <v>421</v>
      </c>
      <c r="F372" s="159">
        <v>51</v>
      </c>
      <c r="G372" s="45" t="s">
        <v>698</v>
      </c>
      <c r="H372" s="45" t="s">
        <v>716</v>
      </c>
      <c r="I372" s="45">
        <v>41.799886999999998</v>
      </c>
      <c r="J372" s="45">
        <v>12.246238</v>
      </c>
      <c r="K372" s="45">
        <v>362.83693729999999</v>
      </c>
      <c r="L372" s="45">
        <v>459.46699999999998</v>
      </c>
      <c r="M372" s="61" t="s">
        <v>617</v>
      </c>
      <c r="N372" s="159">
        <v>5</v>
      </c>
      <c r="O372" s="159">
        <v>6</v>
      </c>
      <c r="P372" s="45" t="s">
        <v>565</v>
      </c>
      <c r="Q372" s="45" t="s">
        <v>564</v>
      </c>
      <c r="R372" s="45">
        <v>41.98028</v>
      </c>
      <c r="S372" s="45">
        <v>-87.908997900000003</v>
      </c>
      <c r="T372" s="45"/>
      <c r="U372" s="45" t="s">
        <v>622</v>
      </c>
      <c r="V372" s="45" t="s">
        <v>569</v>
      </c>
      <c r="W372" s="45" cm="1">
        <f t="array" ref="W372">getDistance(R372,S372,I372,J372)*SA!$B$12</f>
        <v>7764.2042400638466</v>
      </c>
      <c r="Y372" s="16">
        <f>Transportation_LCIA!C$61*($W372^Transportation_LCIA!C$60)+Transportation_LCIA!C$62</f>
        <v>0.13403481899543013</v>
      </c>
      <c r="Z372" s="16">
        <f>Transportation_LCIA!D$61*($W372^Transportation_LCIA!D$60)+Transportation_LCIA!D$62</f>
        <v>1.2742629240678911</v>
      </c>
      <c r="AA372" s="16">
        <f>Transportation_LCIA!E$61*($W372^Transportation_LCIA!E$60)+Transportation_LCIA!E$62</f>
        <v>3.9406960611812437E-4</v>
      </c>
      <c r="AB372" s="16">
        <f>Transportation_LCIA!F$61*($W372^Transportation_LCIA!F$60)+Transportation_LCIA!F$62</f>
        <v>0.13403481899543013</v>
      </c>
      <c r="AC372" s="16">
        <f>Transportation_LCIA!G$61*($W372^Transportation_LCIA!G$60)+Transportation_LCIA!G$62</f>
        <v>3.0003758804606418E-2</v>
      </c>
      <c r="AD372" s="16">
        <f>Transportation_LCIA!H$61*($W372^Transportation_LCIA!H$60)+Transportation_LCIA!H$62</f>
        <v>1.1469029988604821E-4</v>
      </c>
      <c r="AE372" s="16">
        <f>Transportation_LCIA!I$61*($W372^Transportation_LCIA!I$60)+Transportation_LCIA!I$62</f>
        <v>1.9512732395746673E-6</v>
      </c>
      <c r="AF372" s="16">
        <f>Transportation_LCIA!J$61*($W372^Transportation_LCIA!J$60)+Transportation_LCIA!J$62</f>
        <v>2.9564943452071004E-3</v>
      </c>
      <c r="AG372" s="16">
        <f>Transportation_LCIA!K$61*($W372^Transportation_LCIA!K$60)+Transportation_LCIA!K$62</f>
        <v>5.9271307135377455E-3</v>
      </c>
      <c r="AH372" s="16">
        <f>Transportation_LCIA!L$61*($W372^Transportation_LCIA!L$60)+Transportation_LCIA!L$62</f>
        <v>9.203395410547337E-5</v>
      </c>
      <c r="AI372" s="16">
        <f>Transportation_LCIA!M$61*($W372^Transportation_LCIA!M$60)+Transportation_LCIA!M$62</f>
        <v>1.542281284342383E-4</v>
      </c>
      <c r="AJ372" s="16">
        <f>Transportation_LCIA!N$61*($W372^Transportation_LCIA!N$60)+Transportation_LCIA!N$62</f>
        <v>4.436077676919128E-4</v>
      </c>
      <c r="AK372" s="16">
        <f>Transportation_LCIA!O$61*($W372^Transportation_LCIA!O$60)+Transportation_LCIA!O$62</f>
        <v>3.1571668767198981E-5</v>
      </c>
      <c r="AL372" s="16">
        <f>Transportation_LCIA!P$61*($W372^Transportation_LCIA!P$60)+Transportation_LCIA!P$62</f>
        <v>1.5315903218203021E-8</v>
      </c>
      <c r="AM372" s="16">
        <f>Transportation_LCIA!Q$61*($W372^Transportation_LCIA!Q$60)+Transportation_LCIA!Q$62</f>
        <v>3.7392636476103982E-5</v>
      </c>
      <c r="AN372" s="16">
        <f>Transportation_LCIA!R$61*($W372^Transportation_LCIA!R$60)+Transportation_LCIA!R$62</f>
        <v>9.4539342329731928E-5</v>
      </c>
      <c r="AO372" s="16">
        <f>Transportation_LCIA!S$61*($W372^Transportation_LCIA!S$60)+Transportation_LCIA!S$62</f>
        <v>1.5958207047036228E-6</v>
      </c>
      <c r="AP372" s="16">
        <f>Transportation_LCIA!T$61*($W372^Transportation_LCIA!T$60)+Transportation_LCIA!T$62</f>
        <v>1.5958207047036228E-6</v>
      </c>
      <c r="AQ372" s="16">
        <f>Transportation_LCIA!U$61*($W372^Transportation_LCIA!U$60)+Transportation_LCIA!U$62</f>
        <v>1.9619632256957396E-4</v>
      </c>
      <c r="AR372" s="16">
        <f>Transportation_LCIA!V$61*($W372^Transportation_LCIA!V$60)+Transportation_LCIA!V$62</f>
        <v>9.8017707150679071E-5</v>
      </c>
      <c r="AT372" s="16">
        <f>$W372*Y372+($L372)*Summary_LCIA!H$32</f>
        <v>1196.8005965605089</v>
      </c>
      <c r="AU372" s="16">
        <f>$W372*Z372+($L372)*Summary_LCIA!Q$32</f>
        <v>12170.779222303287</v>
      </c>
      <c r="AV372" s="16">
        <f>$W372*AA372+($L372)*Summary_LCIA!R$32</f>
        <v>5.4790063419026307</v>
      </c>
      <c r="AW372" s="16">
        <f>$W372*AB372+($L372)*Summary_LCIA!S$32</f>
        <v>1194.7697524205089</v>
      </c>
      <c r="AX372" s="16">
        <f>$W372*AC372+($L372)*Summary_LCIA!T$32</f>
        <v>283.45073462857812</v>
      </c>
      <c r="AY372" s="16">
        <f>$W372*AD372+($L372)*Summary_LCIA!U$32</f>
        <v>9.121370750669449</v>
      </c>
      <c r="AZ372" s="16">
        <f>$W372*AE372+($L372)*Summary_LCIA!V$32</f>
        <v>3.7094687347228747E-2</v>
      </c>
      <c r="BA372" s="16">
        <f>$W372*AF372+($L372)*Summary_LCIA!W$32</f>
        <v>58.32046038778175</v>
      </c>
      <c r="BB372" s="16">
        <f>$W372*AG372+($L372)*Summary_LCIA!X$32</f>
        <v>56.486111677462418</v>
      </c>
      <c r="BC372" s="16">
        <f>$W372*AH372+($L372)*Summary_LCIA!Y$32</f>
        <v>7.8739852106955581</v>
      </c>
      <c r="BD372" s="16">
        <f>$W372*AI372+($L372)*Summary_LCIA!Z$32</f>
        <v>1.2163009709292247</v>
      </c>
      <c r="BE372" s="16">
        <f>$W372*AJ372+($L372)*Summary_LCIA!AA$32</f>
        <v>14.175572562838806</v>
      </c>
      <c r="BF372" s="16">
        <f>$W372*AK372+($L372)*Summary_LCIA!AB$32</f>
        <v>0.23510193616717767</v>
      </c>
      <c r="BG372" s="16">
        <f>$W372*AL372+($L372)*Summary_LCIA!AC$32</f>
        <v>1.4137638553517941E-4</v>
      </c>
      <c r="BH372" s="16">
        <f>$W372*AM372+($L372)*Summary_LCIA!AD$32</f>
        <v>0.47918338235493263</v>
      </c>
      <c r="BI372" s="16">
        <f>$W372*AN372+($L372)*Summary_LCIA!AE$32</f>
        <v>1.1411702552793521</v>
      </c>
      <c r="BJ372" s="16">
        <f>$W372*AO372+($L372)*Summary_LCIA!AF$32</f>
        <v>0.40083286902184156</v>
      </c>
      <c r="BK372" s="16">
        <f>$W372*AP372+($L372)*Summary_LCIA!AG$32</f>
        <v>3.5898906936841543E-2</v>
      </c>
      <c r="BL372" s="16">
        <f>$W372*AQ372+($L372)*Summary_LCIA!AH$32</f>
        <v>5.5223253007796202</v>
      </c>
      <c r="BM372" s="16">
        <f>$W372*AR372+($L372)*Summary_LCIA!AI$32</f>
        <v>1.1890459813106389</v>
      </c>
      <c r="BN372" s="16"/>
    </row>
    <row r="373" spans="1:66" x14ac:dyDescent="0.25">
      <c r="A373" s="159">
        <v>321</v>
      </c>
      <c r="B373" s="159">
        <v>6</v>
      </c>
      <c r="C373" s="45">
        <v>48.849919999999997</v>
      </c>
      <c r="D373" s="45">
        <v>2.637041</v>
      </c>
      <c r="E373" s="45" t="s">
        <v>468</v>
      </c>
      <c r="F373" s="159">
        <v>9</v>
      </c>
      <c r="G373" s="45" t="s">
        <v>570</v>
      </c>
      <c r="H373" s="45" t="s">
        <v>722</v>
      </c>
      <c r="I373" s="45">
        <v>49.009673999999997</v>
      </c>
      <c r="J373" s="45">
        <v>2.5479660000000002</v>
      </c>
      <c r="K373" s="45">
        <v>19.350996810000002</v>
      </c>
      <c r="L373" s="45">
        <v>41.466999999999999</v>
      </c>
      <c r="M373" s="61" t="s">
        <v>589</v>
      </c>
      <c r="N373" s="159">
        <v>5</v>
      </c>
      <c r="O373" s="159">
        <v>6</v>
      </c>
      <c r="P373" s="45" t="s">
        <v>565</v>
      </c>
      <c r="Q373" s="45" t="s">
        <v>564</v>
      </c>
      <c r="R373" s="45">
        <v>41.98028</v>
      </c>
      <c r="S373" s="45">
        <v>-87.908997900000003</v>
      </c>
      <c r="T373" s="45"/>
      <c r="U373" s="45" t="s">
        <v>622</v>
      </c>
      <c r="V373" s="45" t="s">
        <v>569</v>
      </c>
      <c r="W373" s="45" cm="1">
        <f t="array" ref="W373">getDistance(R373,S373,I373,J373)*SA!$B$12</f>
        <v>6684.2383997416182</v>
      </c>
      <c r="Y373" s="16">
        <f>Transportation_LCIA!C$61*($W373^Transportation_LCIA!C$60)+Transportation_LCIA!C$62</f>
        <v>0.13700105888782707</v>
      </c>
      <c r="Z373" s="16">
        <f>Transportation_LCIA!D$61*($W373^Transportation_LCIA!D$60)+Transportation_LCIA!D$62</f>
        <v>1.3060310461309583</v>
      </c>
      <c r="AA373" s="16">
        <f>Transportation_LCIA!E$61*($W373^Transportation_LCIA!E$60)+Transportation_LCIA!E$62</f>
        <v>4.144587696914244E-4</v>
      </c>
      <c r="AB373" s="16">
        <f>Transportation_LCIA!F$61*($W373^Transportation_LCIA!F$60)+Transportation_LCIA!F$62</f>
        <v>0.13700105888782707</v>
      </c>
      <c r="AC373" s="16">
        <f>Transportation_LCIA!G$61*($W373^Transportation_LCIA!G$60)+Transportation_LCIA!G$62</f>
        <v>3.0742427578102374E-2</v>
      </c>
      <c r="AD373" s="16">
        <f>Transportation_LCIA!H$61*($W373^Transportation_LCIA!H$60)+Transportation_LCIA!H$62</f>
        <v>1.1896479353667667E-4</v>
      </c>
      <c r="AE373" s="16">
        <f>Transportation_LCIA!I$61*($W373^Transportation_LCIA!I$60)+Transportation_LCIA!I$62</f>
        <v>2.050926367855586E-6</v>
      </c>
      <c r="AF373" s="16">
        <f>Transportation_LCIA!J$61*($W373^Transportation_LCIA!J$60)+Transportation_LCIA!J$62</f>
        <v>3.0976451313077203E-3</v>
      </c>
      <c r="AG373" s="16">
        <f>Transportation_LCIA!K$61*($W373^Transportation_LCIA!K$60)+Transportation_LCIA!K$62</f>
        <v>6.0922418522344028E-3</v>
      </c>
      <c r="AH373" s="16">
        <f>Transportation_LCIA!L$61*($W373^Transportation_LCIA!L$60)+Transportation_LCIA!L$62</f>
        <v>9.5878689051714184E-5</v>
      </c>
      <c r="AI373" s="16">
        <f>Transportation_LCIA!M$61*($W373^Transportation_LCIA!M$60)+Transportation_LCIA!M$62</f>
        <v>1.5658106550166928E-4</v>
      </c>
      <c r="AJ373" s="16">
        <f>Transportation_LCIA!N$61*($W373^Transportation_LCIA!N$60)+Transportation_LCIA!N$62</f>
        <v>4.5806726663223424E-4</v>
      </c>
      <c r="AK373" s="16">
        <f>Transportation_LCIA!O$61*($W373^Transportation_LCIA!O$60)+Transportation_LCIA!O$62</f>
        <v>3.2354749771005138E-5</v>
      </c>
      <c r="AL373" s="16">
        <f>Transportation_LCIA!P$61*($W373^Transportation_LCIA!P$60)+Transportation_LCIA!P$62</f>
        <v>1.5694811982558644E-8</v>
      </c>
      <c r="AM373" s="16">
        <f>Transportation_LCIA!Q$61*($W373^Transportation_LCIA!Q$60)+Transportation_LCIA!Q$62</f>
        <v>3.8878340593645026E-5</v>
      </c>
      <c r="AN373" s="16">
        <f>Transportation_LCIA!R$61*($W373^Transportation_LCIA!R$60)+Transportation_LCIA!R$62</f>
        <v>9.9309149186765894E-5</v>
      </c>
      <c r="AO373" s="16">
        <f>Transportation_LCIA!S$61*($W373^Transportation_LCIA!S$60)+Transportation_LCIA!S$62</f>
        <v>1.6637474361693075E-6</v>
      </c>
      <c r="AP373" s="16">
        <f>Transportation_LCIA!T$61*($W373^Transportation_LCIA!T$60)+Transportation_LCIA!T$62</f>
        <v>1.6637474361693075E-6</v>
      </c>
      <c r="AQ373" s="16">
        <f>Transportation_LCIA!U$61*($W373^Transportation_LCIA!U$60)+Transportation_LCIA!U$62</f>
        <v>2.0650539260637105E-4</v>
      </c>
      <c r="AR373" s="16">
        <f>Transportation_LCIA!V$61*($W373^Transportation_LCIA!V$60)+Transportation_LCIA!V$62</f>
        <v>1.0182451946432448E-4</v>
      </c>
      <c r="AT373" s="16">
        <f>$W373*Y373+($L373)*Summary_LCIA!H$34</f>
        <v>918.83545437727639</v>
      </c>
      <c r="AU373" s="16">
        <f ca="1">$W373*Z373+($L373)*Summary_LCIA!Q$34</f>
        <v>8781.0383149036788</v>
      </c>
      <c r="AV373" s="16">
        <f ca="1">$W373*AA373+($L373)*Summary_LCIA!R$34</f>
        <v>2.8763557556810868</v>
      </c>
      <c r="AW373" s="16">
        <f ca="1">$W373*AB373+($L373)*Summary_LCIA!S$34</f>
        <v>918.79299216927643</v>
      </c>
      <c r="AX373" s="16">
        <f ca="1">$W373*AC373+($L373)*Summary_LCIA!T$34</f>
        <v>206.34986489982762</v>
      </c>
      <c r="AY373" s="16">
        <f ca="1">$W373*AD373+($L373)*Summary_LCIA!U$34</f>
        <v>0.87147173437518766</v>
      </c>
      <c r="AZ373" s="16">
        <f ca="1">$W373*AE373+($L373)*Summary_LCIA!V$34</f>
        <v>1.7071564214062911E-2</v>
      </c>
      <c r="BA373" s="16">
        <f ca="1">$W373*AF373+($L373)*Summary_LCIA!W$34</f>
        <v>22.801513918459733</v>
      </c>
      <c r="BB373" s="16">
        <f ca="1">$W373*AG373+($L373)*Summary_LCIA!X$34</f>
        <v>41.162542337218198</v>
      </c>
      <c r="BC373" s="16">
        <f ca="1">$W373*AH373+($L373)*Summary_LCIA!Y$34</f>
        <v>0.71193386627635424</v>
      </c>
      <c r="BD373" s="16">
        <f ca="1">$W373*AI373+($L373)*Summary_LCIA!Z$34</f>
        <v>1.0478071875337154</v>
      </c>
      <c r="BE373" s="16">
        <f ca="1">$W373*AJ373+($L373)*Summary_LCIA!AA$34</f>
        <v>3.1473606474878624</v>
      </c>
      <c r="BF373" s="16">
        <f ca="1">$W373*AK373+($L373)*Summary_LCIA!AB$34</f>
        <v>0.21597912546708387</v>
      </c>
      <c r="BG373" s="16">
        <f ca="1">$W373*AL373+($L373)*Summary_LCIA!AC$34</f>
        <v>1.0506055057124337E-4</v>
      </c>
      <c r="BH373" s="16">
        <f ca="1">$W373*AM373+($L373)*Summary_LCIA!AD$34</f>
        <v>0.26448239817427543</v>
      </c>
      <c r="BI373" s="16">
        <f ca="1">$W373*AN373+($L373)*Summary_LCIA!AE$34</f>
        <v>0.67624364041984975</v>
      </c>
      <c r="BJ373" s="16">
        <f ca="1">$W373*AO373+($L373)*Summary_LCIA!AF$34</f>
        <v>2.0984225120314552E-2</v>
      </c>
      <c r="BK373" s="16">
        <f ca="1">$W373*AP373+($L373)*Summary_LCIA!AG$34</f>
        <v>1.1234425293014551E-2</v>
      </c>
      <c r="BL373" s="16">
        <f ca="1">$W373*AQ373+($L373)*Summary_LCIA!AH$34</f>
        <v>1.4748055411132241</v>
      </c>
      <c r="BM373" s="16">
        <f ca="1">$W373*AR373+($L373)*Summary_LCIA!AI$34</f>
        <v>0.69226122328867556</v>
      </c>
      <c r="BN373" s="16"/>
    </row>
    <row r="374" spans="1:66" x14ac:dyDescent="0.25">
      <c r="A374" s="159">
        <v>335</v>
      </c>
      <c r="B374" s="159">
        <v>6</v>
      </c>
      <c r="C374" s="45">
        <v>-23.550519999999999</v>
      </c>
      <c r="D374" s="45">
        <v>-46.633308999999997</v>
      </c>
      <c r="E374" s="45" t="s">
        <v>465</v>
      </c>
      <c r="F374" s="159">
        <v>52</v>
      </c>
      <c r="G374" s="45" t="s">
        <v>682</v>
      </c>
      <c r="H374" s="45" t="s">
        <v>683</v>
      </c>
      <c r="I374" s="45">
        <v>-23.430572999999999</v>
      </c>
      <c r="J374" s="45">
        <v>-46.473042999999997</v>
      </c>
      <c r="K374" s="45">
        <v>21.411766369999999</v>
      </c>
      <c r="L374" s="45">
        <v>29.187000000000001</v>
      </c>
      <c r="M374" s="61" t="s">
        <v>617</v>
      </c>
      <c r="N374" s="159">
        <v>5</v>
      </c>
      <c r="O374" s="159">
        <v>6</v>
      </c>
      <c r="P374" s="45" t="s">
        <v>565</v>
      </c>
      <c r="Q374" s="45" t="s">
        <v>564</v>
      </c>
      <c r="R374" s="45">
        <v>41.98028</v>
      </c>
      <c r="S374" s="45">
        <v>-87.908997900000003</v>
      </c>
      <c r="T374" s="45"/>
      <c r="U374" s="45" t="s">
        <v>622</v>
      </c>
      <c r="V374" s="45" t="s">
        <v>569</v>
      </c>
      <c r="W374" s="45" cm="1">
        <f t="array" ref="W374">getDistance(R374,S374,I374,J374)*SA!$B$12</f>
        <v>8422.5070302481017</v>
      </c>
      <c r="Y374" s="16">
        <f>Transportation_LCIA!C$61*($W374^Transportation_LCIA!C$60)+Transportation_LCIA!C$62</f>
        <v>0.13257261459336128</v>
      </c>
      <c r="Z374" s="16">
        <f>Transportation_LCIA!D$61*($W374^Transportation_LCIA!D$60)+Transportation_LCIA!D$62</f>
        <v>1.2586820151780742</v>
      </c>
      <c r="AA374" s="16">
        <f>Transportation_LCIA!E$61*($W374^Transportation_LCIA!E$60)+Transportation_LCIA!E$62</f>
        <v>3.8408382526349319E-4</v>
      </c>
      <c r="AB374" s="16">
        <f>Transportation_LCIA!F$61*($W374^Transportation_LCIA!F$60)+Transportation_LCIA!F$62</f>
        <v>0.13257261459336128</v>
      </c>
      <c r="AC374" s="16">
        <f>Transportation_LCIA!G$61*($W374^Transportation_LCIA!G$60)+Transportation_LCIA!G$62</f>
        <v>2.9641366176938799E-2</v>
      </c>
      <c r="AD374" s="16">
        <f>Transportation_LCIA!H$61*($W374^Transportation_LCIA!H$60)+Transportation_LCIA!H$62</f>
        <v>1.126027108406742E-4</v>
      </c>
      <c r="AE374" s="16">
        <f>Transportation_LCIA!I$61*($W374^Transportation_LCIA!I$60)+Transportation_LCIA!I$62</f>
        <v>1.9028245607617693E-6</v>
      </c>
      <c r="AF374" s="16">
        <f>Transportation_LCIA!J$61*($W374^Transportation_LCIA!J$60)+Transportation_LCIA!J$62</f>
        <v>2.8880736872192096E-3</v>
      </c>
      <c r="AG374" s="16">
        <f>Transportation_LCIA!K$61*($W374^Transportation_LCIA!K$60)+Transportation_LCIA!K$62</f>
        <v>5.8463339537824059E-3</v>
      </c>
      <c r="AH374" s="16">
        <f>Transportation_LCIA!L$61*($W374^Transportation_LCIA!L$60)+Transportation_LCIA!L$62</f>
        <v>9.0158674441413538E-5</v>
      </c>
      <c r="AI374" s="16">
        <f>Transportation_LCIA!M$61*($W374^Transportation_LCIA!M$60)+Transportation_LCIA!M$62</f>
        <v>1.5307917071161358E-4</v>
      </c>
      <c r="AJ374" s="16">
        <f>Transportation_LCIA!N$61*($W374^Transportation_LCIA!N$60)+Transportation_LCIA!N$62</f>
        <v>4.3654345287238349E-4</v>
      </c>
      <c r="AK374" s="16">
        <f>Transportation_LCIA!O$61*($W374^Transportation_LCIA!O$60)+Transportation_LCIA!O$62</f>
        <v>3.1187540895566968E-5</v>
      </c>
      <c r="AL374" s="16">
        <f>Transportation_LCIA!P$61*($W374^Transportation_LCIA!P$60)+Transportation_LCIA!P$62</f>
        <v>1.5129965505407241E-8</v>
      </c>
      <c r="AM374" s="16">
        <f>Transportation_LCIA!Q$61*($W374^Transportation_LCIA!Q$60)+Transportation_LCIA!Q$62</f>
        <v>3.6668483978999491E-5</v>
      </c>
      <c r="AN374" s="16">
        <f>Transportation_LCIA!R$61*($W374^Transportation_LCIA!R$60)+Transportation_LCIA!R$62</f>
        <v>9.2220644267511622E-5</v>
      </c>
      <c r="AO374" s="16">
        <f>Transportation_LCIA!S$61*($W374^Transportation_LCIA!S$60)+Transportation_LCIA!S$62</f>
        <v>1.5627934623745161E-6</v>
      </c>
      <c r="AP374" s="16">
        <f>Transportation_LCIA!T$61*($W374^Transportation_LCIA!T$60)+Transportation_LCIA!T$62</f>
        <v>1.5627934623745161E-6</v>
      </c>
      <c r="AQ374" s="16">
        <f>Transportation_LCIA!U$61*($W374^Transportation_LCIA!U$60)+Transportation_LCIA!U$62</f>
        <v>1.9118918802464308E-4</v>
      </c>
      <c r="AR374" s="16">
        <f>Transportation_LCIA!V$61*($W374^Transportation_LCIA!V$60)+Transportation_LCIA!V$62</f>
        <v>9.6163878021168E-5</v>
      </c>
      <c r="AT374" s="16">
        <f>$W374*Y374+($L374)*Summary_LCIA!H$32</f>
        <v>1126.5115210309575</v>
      </c>
      <c r="AU374" s="16">
        <f>$W374*Z374+($L374)*Summary_LCIA!Q$32</f>
        <v>10745.910365672149</v>
      </c>
      <c r="AV374" s="16">
        <f>$W374*AA374+($L374)*Summary_LCIA!R$32</f>
        <v>3.3886357856863549</v>
      </c>
      <c r="AW374" s="16">
        <f>$W374*AB374+($L374)*Summary_LCIA!S$32</f>
        <v>1126.3825144909574</v>
      </c>
      <c r="AX374" s="16">
        <f>$W374*AC374+($L374)*Summary_LCIA!T$32</f>
        <v>252.86226631142534</v>
      </c>
      <c r="AY374" s="16">
        <f>$W374*AD374+($L374)*Summary_LCIA!U$32</f>
        <v>1.4712530416805725</v>
      </c>
      <c r="AZ374" s="16">
        <f>$W374*AE374+($L374)*Summary_LCIA!V$32</f>
        <v>1.7420553547344758E-2</v>
      </c>
      <c r="BA374" s="16">
        <f>$W374*AF374+($L374)*Summary_LCIA!W$32</f>
        <v>26.571373511478349</v>
      </c>
      <c r="BB374" s="16">
        <f>$W374*AG374+($L374)*Summary_LCIA!X$32</f>
        <v>49.905668686910495</v>
      </c>
      <c r="BC374" s="16">
        <f>$W374*AH374+($L374)*Summary_LCIA!Y$32</f>
        <v>1.2141539033206554</v>
      </c>
      <c r="BD374" s="16">
        <f>$W374*AI374+($L374)*Summary_LCIA!Z$32</f>
        <v>1.2905073211861144</v>
      </c>
      <c r="BE374" s="16">
        <f>$W374*AJ374+($L374)*Summary_LCIA!AA$32</f>
        <v>4.358481872826431</v>
      </c>
      <c r="BF374" s="16">
        <f>$W374*AK374+($L374)*Summary_LCIA!AB$32</f>
        <v>0.26204033454806297</v>
      </c>
      <c r="BG374" s="16">
        <f>$W374*AL374+($L374)*Summary_LCIA!AC$32</f>
        <v>1.2885901814470378E-4</v>
      </c>
      <c r="BH374" s="16">
        <f>$W374*AM374+($L374)*Summary_LCIA!AD$32</f>
        <v>0.32083758858166311</v>
      </c>
      <c r="BI374" s="16">
        <f>$W374*AN374+($L374)*Summary_LCIA!AE$32</f>
        <v>0.80259250098712587</v>
      </c>
      <c r="BJ374" s="16">
        <f>$W374*AO374+($L374)*Summary_LCIA!AF$32</f>
        <v>3.7837912463675141E-2</v>
      </c>
      <c r="BK374" s="16">
        <f>$W374*AP374+($L374)*Summary_LCIA!AG$32</f>
        <v>1.4655991778675133E-2</v>
      </c>
      <c r="BL374" s="16">
        <f>$W374*AQ374+($L374)*Summary_LCIA!AH$32</f>
        <v>1.8643242534449826</v>
      </c>
      <c r="BM374" s="16">
        <f>$W374*AR374+($L374)*Summary_LCIA!AI$32</f>
        <v>0.83713008853920834</v>
      </c>
      <c r="BN374" s="16"/>
    </row>
    <row r="375" spans="1:66" x14ac:dyDescent="0.25">
      <c r="A375" s="159">
        <v>347</v>
      </c>
      <c r="B375" s="159">
        <v>6</v>
      </c>
      <c r="C375" s="45">
        <v>40.463667000000001</v>
      </c>
      <c r="D375" s="45">
        <v>-3.7492200000000002</v>
      </c>
      <c r="E375" s="45" t="s">
        <v>466</v>
      </c>
      <c r="F375" s="159">
        <v>22</v>
      </c>
      <c r="G375" s="45" t="s">
        <v>686</v>
      </c>
      <c r="H375" s="45" t="s">
        <v>725</v>
      </c>
      <c r="I375" s="45">
        <v>40.498331999999998</v>
      </c>
      <c r="J375" s="45">
        <v>-3.5675979999999998</v>
      </c>
      <c r="K375" s="45">
        <v>17.248889810000001</v>
      </c>
      <c r="L375" s="45">
        <v>33.814999999999998</v>
      </c>
      <c r="M375" s="61" t="s">
        <v>617</v>
      </c>
      <c r="N375" s="159">
        <v>5</v>
      </c>
      <c r="O375" s="159">
        <v>6</v>
      </c>
      <c r="P375" s="45" t="s">
        <v>565</v>
      </c>
      <c r="Q375" s="45" t="s">
        <v>564</v>
      </c>
      <c r="R375" s="45">
        <v>41.98028</v>
      </c>
      <c r="S375" s="45">
        <v>-87.908997900000003</v>
      </c>
      <c r="T375" s="45"/>
      <c r="U375" s="45" t="s">
        <v>622</v>
      </c>
      <c r="V375" s="45" t="s">
        <v>569</v>
      </c>
      <c r="W375" s="45" cm="1">
        <f t="array" ref="W375">getDistance(R375,S375,I375,J375)*SA!$B$12</f>
        <v>6762.5560244955977</v>
      </c>
      <c r="Y375" s="16">
        <f>Transportation_LCIA!C$61*($W375^Transportation_LCIA!C$60)+Transportation_LCIA!C$62</f>
        <v>0.13675675699476264</v>
      </c>
      <c r="Z375" s="16">
        <f>Transportation_LCIA!D$61*($W375^Transportation_LCIA!D$60)+Transportation_LCIA!D$62</f>
        <v>1.3034069235769947</v>
      </c>
      <c r="AA375" s="16">
        <f>Transportation_LCIA!E$61*($W375^Transportation_LCIA!E$60)+Transportation_LCIA!E$62</f>
        <v>4.1277319041488889E-4</v>
      </c>
      <c r="AB375" s="16">
        <f>Transportation_LCIA!F$61*($W375^Transportation_LCIA!F$60)+Transportation_LCIA!F$62</f>
        <v>0.13675675699476264</v>
      </c>
      <c r="AC375" s="16">
        <f>Transportation_LCIA!G$61*($W375^Transportation_LCIA!G$60)+Transportation_LCIA!G$62</f>
        <v>3.0681422193668123E-2</v>
      </c>
      <c r="AD375" s="16">
        <f>Transportation_LCIA!H$61*($W375^Transportation_LCIA!H$60)+Transportation_LCIA!H$62</f>
        <v>1.1861084532885099E-4</v>
      </c>
      <c r="AE375" s="16">
        <f>Transportation_LCIA!I$61*($W375^Transportation_LCIA!I$60)+Transportation_LCIA!I$62</f>
        <v>2.042653027183535E-6</v>
      </c>
      <c r="AF375" s="16">
        <f>Transportation_LCIA!J$61*($W375^Transportation_LCIA!J$60)+Transportation_LCIA!J$62</f>
        <v>3.0859065913670892E-3</v>
      </c>
      <c r="AG375" s="16">
        <f>Transportation_LCIA!K$61*($W375^Transportation_LCIA!K$60)+Transportation_LCIA!K$62</f>
        <v>6.0785854326877138E-3</v>
      </c>
      <c r="AH375" s="16">
        <f>Transportation_LCIA!L$61*($W375^Transportation_LCIA!L$60)+Transportation_LCIA!L$62</f>
        <v>9.5560089801087817E-5</v>
      </c>
      <c r="AI375" s="16">
        <f>Transportation_LCIA!M$61*($W375^Transportation_LCIA!M$60)+Transportation_LCIA!M$62</f>
        <v>1.5638621399862828E-4</v>
      </c>
      <c r="AJ375" s="16">
        <f>Transportation_LCIA!N$61*($W375^Transportation_LCIA!N$60)+Transportation_LCIA!N$62</f>
        <v>4.5687020078999336E-4</v>
      </c>
      <c r="AK375" s="16">
        <f>Transportation_LCIA!O$61*($W375^Transportation_LCIA!O$60)+Transportation_LCIA!O$62</f>
        <v>3.2290071254288959E-5</v>
      </c>
      <c r="AL375" s="16">
        <f>Transportation_LCIA!P$61*($W375^Transportation_LCIA!P$60)+Transportation_LCIA!P$62</f>
        <v>1.5663522854814351E-8</v>
      </c>
      <c r="AM375" s="16">
        <f>Transportation_LCIA!Q$61*($W375^Transportation_LCIA!Q$60)+Transportation_LCIA!Q$62</f>
        <v>3.8755176330495768E-5</v>
      </c>
      <c r="AN375" s="16">
        <f>Transportation_LCIA!R$61*($W375^Transportation_LCIA!R$60)+Transportation_LCIA!R$62</f>
        <v>9.8913128225568259E-5</v>
      </c>
      <c r="AO375" s="16">
        <f>Transportation_LCIA!S$61*($W375^Transportation_LCIA!S$60)+Transportation_LCIA!S$62</f>
        <v>1.6581083684276408E-6</v>
      </c>
      <c r="AP375" s="16">
        <f>Transportation_LCIA!T$61*($W375^Transportation_LCIA!T$60)+Transportation_LCIA!T$62</f>
        <v>1.6581083684276408E-6</v>
      </c>
      <c r="AQ375" s="16">
        <f>Transportation_LCIA!U$61*($W375^Transportation_LCIA!U$60)+Transportation_LCIA!U$62</f>
        <v>2.0564904123918394E-4</v>
      </c>
      <c r="AR375" s="16">
        <f>Transportation_LCIA!V$61*($W375^Transportation_LCIA!V$60)+Transportation_LCIA!V$62</f>
        <v>1.0150877314928771E-4</v>
      </c>
      <c r="AT375" s="16">
        <f>$W375*Y375+($L375)*Summary_LCIA!H$32</f>
        <v>936.31556790541254</v>
      </c>
      <c r="AU375" s="16">
        <f>$W375*Z375+($L375)*Summary_LCIA!Q$32</f>
        <v>8981.9511887967728</v>
      </c>
      <c r="AV375" s="16">
        <f>$W375*AA375+($L375)*Summary_LCIA!R$32</f>
        <v>2.9694580895904754</v>
      </c>
      <c r="AW375" s="16">
        <f>$W375*AB375+($L375)*Summary_LCIA!S$32</f>
        <v>936.16610560541255</v>
      </c>
      <c r="AX375" s="16">
        <f>$W375*AC375+($L375)*Summary_LCIA!T$32</f>
        <v>211.20110499588333</v>
      </c>
      <c r="AY375" s="16">
        <f>$W375*AD375+($L375)*Summary_LCIA!U$32</f>
        <v>1.4078743966491367</v>
      </c>
      <c r="AZ375" s="16">
        <f>$W375*AE375+($L375)*Summary_LCIA!V$32</f>
        <v>1.5428593749934185E-2</v>
      </c>
      <c r="BA375" s="16">
        <f>$W375*AF375+($L375)*Summary_LCIA!W$32</f>
        <v>23.471390575480182</v>
      </c>
      <c r="BB375" s="16">
        <f>$W375*AG375+($L375)*Summary_LCIA!X$32</f>
        <v>41.877080238233482</v>
      </c>
      <c r="BC375" s="16">
        <f>$W375*AH375+($L375)*Summary_LCIA!Y$32</f>
        <v>1.1731357909856865</v>
      </c>
      <c r="BD375" s="16">
        <f>$W375*AI375+($L375)*Summary_LCIA!Z$32</f>
        <v>1.0589572529594813</v>
      </c>
      <c r="BE375" s="16">
        <f>$W375*AJ375+($L375)*Summary_LCIA!AA$32</f>
        <v>3.8793934687648828</v>
      </c>
      <c r="BF375" s="16">
        <f>$W375*AK375+($L375)*Summary_LCIA!AB$32</f>
        <v>0.21762547114708392</v>
      </c>
      <c r="BG375" s="16">
        <f>$W375*AL375+($L375)*Summary_LCIA!AC$32</f>
        <v>1.0757846330664928E-4</v>
      </c>
      <c r="BH375" s="16">
        <f>$W375*AM375+($L375)*Summary_LCIA!AD$32</f>
        <v>0.27598336877418339</v>
      </c>
      <c r="BI375" s="16">
        <f>$W375*AN375+($L375)*Summary_LCIA!AE$32</f>
        <v>0.69887005713352224</v>
      </c>
      <c r="BJ375" s="16">
        <f>$W375*AO375+($L375)*Summary_LCIA!AF$32</f>
        <v>3.9800928036176908E-2</v>
      </c>
      <c r="BK375" s="16">
        <f>$W375*AP375+($L375)*Summary_LCIA!AG$32</f>
        <v>1.2943195211176909E-2</v>
      </c>
      <c r="BL375" s="16">
        <f>$W375*AQ375+($L375)*Summary_LCIA!AH$32</f>
        <v>1.6850253967637869</v>
      </c>
      <c r="BM375" s="16">
        <f>$W375*AR375+($L375)*Summary_LCIA!AI$32</f>
        <v>0.71795912864987255</v>
      </c>
      <c r="BN375" s="16"/>
    </row>
    <row r="376" spans="1:66" x14ac:dyDescent="0.25">
      <c r="A376" s="159">
        <v>350</v>
      </c>
      <c r="B376" s="159">
        <v>6</v>
      </c>
      <c r="C376" s="45">
        <v>53.750993000000001</v>
      </c>
      <c r="D376" s="45">
        <v>-2.367264</v>
      </c>
      <c r="E376" s="45" t="s">
        <v>463</v>
      </c>
      <c r="F376" s="159">
        <v>7</v>
      </c>
      <c r="G376" s="45" t="s">
        <v>628</v>
      </c>
      <c r="H376" s="45" t="s">
        <v>629</v>
      </c>
      <c r="I376" s="45">
        <v>51.470022</v>
      </c>
      <c r="J376" s="45">
        <v>-0.45429599999999998</v>
      </c>
      <c r="K376" s="45">
        <v>293.50665629999997</v>
      </c>
      <c r="L376" s="45">
        <v>394.161</v>
      </c>
      <c r="M376" s="61" t="s">
        <v>589</v>
      </c>
      <c r="N376" s="159">
        <v>5</v>
      </c>
      <c r="O376" s="159">
        <v>6</v>
      </c>
      <c r="P376" s="45" t="s">
        <v>565</v>
      </c>
      <c r="Q376" s="45" t="s">
        <v>564</v>
      </c>
      <c r="R376" s="45">
        <v>41.98028</v>
      </c>
      <c r="S376" s="45">
        <v>-87.908997900000003</v>
      </c>
      <c r="T376" s="45"/>
      <c r="U376" s="45" t="s">
        <v>622</v>
      </c>
      <c r="V376" s="45" t="s">
        <v>569</v>
      </c>
      <c r="W376" s="45" cm="1">
        <f t="array" ref="W376">getDistance(R376,S376,I376,J376)*SA!$B$12</f>
        <v>6363.4897786039228</v>
      </c>
      <c r="Y376" s="16">
        <f>Transportation_LCIA!C$61*($W376^Transportation_LCIA!C$60)+Transportation_LCIA!C$62</f>
        <v>0.13805910954225503</v>
      </c>
      <c r="Z376" s="16">
        <f>Transportation_LCIA!D$61*($W376^Transportation_LCIA!D$60)+Transportation_LCIA!D$62</f>
        <v>1.3174109932223508</v>
      </c>
      <c r="AA376" s="16">
        <f>Transportation_LCIA!E$61*($W376^Transportation_LCIA!E$60)+Transportation_LCIA!E$62</f>
        <v>4.217712945479361E-4</v>
      </c>
      <c r="AB376" s="16">
        <f>Transportation_LCIA!F$61*($W376^Transportation_LCIA!F$60)+Transportation_LCIA!F$62</f>
        <v>0.13805910954225503</v>
      </c>
      <c r="AC376" s="16">
        <f>Transportation_LCIA!G$61*($W376^Transportation_LCIA!G$60)+Transportation_LCIA!G$62</f>
        <v>3.1006967164908802E-2</v>
      </c>
      <c r="AD376" s="16">
        <f>Transportation_LCIA!H$61*($W376^Transportation_LCIA!H$60)+Transportation_LCIA!H$62</f>
        <v>1.2050145439131135E-4</v>
      </c>
      <c r="AE376" s="16">
        <f>Transportation_LCIA!I$61*($W376^Transportation_LCIA!I$60)+Transportation_LCIA!I$62</f>
        <v>2.0868876309854734E-6</v>
      </c>
      <c r="AF376" s="16">
        <f>Transportation_LCIA!J$61*($W376^Transportation_LCIA!J$60)+Transportation_LCIA!J$62</f>
        <v>3.1487079878510273E-3</v>
      </c>
      <c r="AG376" s="16">
        <f>Transportation_LCIA!K$61*($W376^Transportation_LCIA!K$60)+Transportation_LCIA!K$62</f>
        <v>6.1515003502329892E-3</v>
      </c>
      <c r="AH376" s="16">
        <f>Transportation_LCIA!L$61*($W376^Transportation_LCIA!L$60)+Transportation_LCIA!L$62</f>
        <v>9.7262350697460971E-5</v>
      </c>
      <c r="AI376" s="16">
        <f>Transportation_LCIA!M$61*($W376^Transportation_LCIA!M$60)+Transportation_LCIA!M$62</f>
        <v>1.5742704436438743E-4</v>
      </c>
      <c r="AJ376" s="16">
        <f>Transportation_LCIA!N$61*($W376^Transportation_LCIA!N$60)+Transportation_LCIA!N$62</f>
        <v>4.6326381973146522E-4</v>
      </c>
      <c r="AK376" s="16">
        <f>Transportation_LCIA!O$61*($W376^Transportation_LCIA!O$60)+Transportation_LCIA!O$62</f>
        <v>3.2635227510025124E-5</v>
      </c>
      <c r="AL376" s="16">
        <f>Transportation_LCIA!P$61*($W376^Transportation_LCIA!P$60)+Transportation_LCIA!P$62</f>
        <v>1.58304835742713E-8</v>
      </c>
      <c r="AM376" s="16">
        <f>Transportation_LCIA!Q$61*($W376^Transportation_LCIA!Q$60)+Transportation_LCIA!Q$62</f>
        <v>3.9413334624958368E-5</v>
      </c>
      <c r="AN376" s="16">
        <f>Transportation_LCIA!R$61*($W376^Transportation_LCIA!R$60)+Transportation_LCIA!R$62</f>
        <v>1.0103056055511716E-4</v>
      </c>
      <c r="AO376" s="16">
        <f>Transportation_LCIA!S$61*($W376^Transportation_LCIA!S$60)+Transportation_LCIA!S$62</f>
        <v>1.6882578538694314E-6</v>
      </c>
      <c r="AP376" s="16">
        <f>Transportation_LCIA!T$61*($W376^Transportation_LCIA!T$60)+Transportation_LCIA!T$62</f>
        <v>1.6882578538694314E-6</v>
      </c>
      <c r="AQ376" s="16">
        <f>Transportation_LCIA!U$61*($W376^Transportation_LCIA!U$60)+Transportation_LCIA!U$62</f>
        <v>2.1022859223385475E-4</v>
      </c>
      <c r="AR376" s="16">
        <f>Transportation_LCIA!V$61*($W376^Transportation_LCIA!V$60)+Transportation_LCIA!V$62</f>
        <v>1.0319636276365877E-4</v>
      </c>
      <c r="AT376" s="16">
        <f>$W376*Y376+($L376)*Summary_LCIA!H$34</f>
        <v>907.8877487972992</v>
      </c>
      <c r="AU376" s="16">
        <f ca="1">$W376*Z376+($L376)*Summary_LCIA!Q$34</f>
        <v>8870.1553955769014</v>
      </c>
      <c r="AV376" s="16">
        <f ca="1">$W376*AA376+($L376)*Summary_LCIA!R$34</f>
        <v>3.6916493343643362</v>
      </c>
      <c r="AW376" s="16">
        <f ca="1">$W376*AB376+($L376)*Summary_LCIA!S$34</f>
        <v>907.48412793329919</v>
      </c>
      <c r="AX376" s="16">
        <f ca="1">$W376*AC376+($L376)*Summary_LCIA!T$34</f>
        <v>205.4886002424046</v>
      </c>
      <c r="AY376" s="16">
        <f ca="1">$W376*AD376+($L376)*Summary_LCIA!U$34</f>
        <v>1.4919083489260165</v>
      </c>
      <c r="AZ376" s="16">
        <f ca="1">$W376*AE376+($L376)*Summary_LCIA!V$34</f>
        <v>4.5243586081871012E-2</v>
      </c>
      <c r="BA376" s="16">
        <f ca="1">$W376*AF376+($L376)*Summary_LCIA!W$34</f>
        <v>39.961215485498535</v>
      </c>
      <c r="BB376" s="16">
        <f ca="1">$W376*AG376+($L376)*Summary_LCIA!X$34</f>
        <v>43.332576065786078</v>
      </c>
      <c r="BC376" s="16">
        <f ca="1">$W376*AH376+($L376)*Summary_LCIA!Y$34</f>
        <v>1.2943622641062831</v>
      </c>
      <c r="BD376" s="16">
        <f ca="1">$W376*AI376+($L376)*Summary_LCIA!Z$34</f>
        <v>1.0130209469936058</v>
      </c>
      <c r="BE376" s="16">
        <f ca="1">$W376*AJ376+($L376)*Summary_LCIA!AA$34</f>
        <v>3.7609710602581892</v>
      </c>
      <c r="BF376" s="16">
        <f ca="1">$W376*AK376+($L376)*Summary_LCIA!AB$34</f>
        <v>0.20493889291955841</v>
      </c>
      <c r="BG376" s="16">
        <f ca="1">$W376*AL376+($L376)*Summary_LCIA!AC$34</f>
        <v>1.0218846063333271E-4</v>
      </c>
      <c r="BH376" s="16">
        <f ca="1">$W376*AM376+($L376)*Summary_LCIA!AD$34</f>
        <v>0.29462917200661864</v>
      </c>
      <c r="BI376" s="16">
        <f ca="1">$W376*AN376+($L376)*Summary_LCIA!AE$34</f>
        <v>0.76113158975911266</v>
      </c>
      <c r="BJ376" s="16">
        <f ca="1">$W376*AO376+($L376)*Summary_LCIA!AF$34</f>
        <v>0.10449834705674592</v>
      </c>
      <c r="BK376" s="16">
        <f ca="1">$W376*AP376+($L376)*Summary_LCIA!AG$34</f>
        <v>1.1822463830845922E-2</v>
      </c>
      <c r="BL376" s="16">
        <f ca="1">$W376*AQ376+($L376)*Summary_LCIA!AH$34</f>
        <v>2.2358045041504266</v>
      </c>
      <c r="BM376" s="16">
        <f ca="1">$W376*AR376+($L376)*Summary_LCIA!AI$34</f>
        <v>0.76734970038564509</v>
      </c>
      <c r="BN376" s="16">
        <f>$W376*AS376+($L376)*Summary_LCIA!AJ$34</f>
        <v>0</v>
      </c>
    </row>
    <row r="377" spans="1:66" x14ac:dyDescent="0.25">
      <c r="A377" s="159">
        <v>356</v>
      </c>
      <c r="B377" s="159">
        <v>6</v>
      </c>
      <c r="C377" s="45">
        <v>60.128160999999999</v>
      </c>
      <c r="D377" s="45">
        <v>18.643501000000001</v>
      </c>
      <c r="E377" s="45" t="s">
        <v>469</v>
      </c>
      <c r="F377" s="159">
        <v>12</v>
      </c>
      <c r="G377" s="45" t="s">
        <v>726</v>
      </c>
      <c r="H377" s="45" t="s">
        <v>727</v>
      </c>
      <c r="I377" s="45">
        <v>59.649765000000002</v>
      </c>
      <c r="J377" s="45">
        <v>17.921592</v>
      </c>
      <c r="K377" s="45">
        <v>1283.369737</v>
      </c>
      <c r="L377" s="45">
        <v>109.205</v>
      </c>
      <c r="M377" s="61" t="s">
        <v>589</v>
      </c>
      <c r="N377" s="159">
        <v>5</v>
      </c>
      <c r="O377" s="159">
        <v>6</v>
      </c>
      <c r="P377" s="45" t="s">
        <v>565</v>
      </c>
      <c r="Q377" s="45" t="s">
        <v>564</v>
      </c>
      <c r="R377" s="45">
        <v>41.98028</v>
      </c>
      <c r="S377" s="45">
        <v>-87.908997900000003</v>
      </c>
      <c r="T377" s="45"/>
      <c r="U377" s="45" t="s">
        <v>622</v>
      </c>
      <c r="V377" s="45" t="s">
        <v>569</v>
      </c>
      <c r="W377" s="45" cm="1">
        <f t="array" ref="W377">getDistance(R377,S377,I377,J377)*SA!$B$12</f>
        <v>6877.9992596288903</v>
      </c>
      <c r="Y377" s="16">
        <f>Transportation_LCIA!C$61*($W377^Transportation_LCIA!C$60)+Transportation_LCIA!C$62</f>
        <v>0.13640598492596667</v>
      </c>
      <c r="Z377" s="16">
        <f>Transportation_LCIA!D$61*($W377^Transportation_LCIA!D$60)+Transportation_LCIA!D$62</f>
        <v>1.2996415064341176</v>
      </c>
      <c r="AA377" s="16">
        <f>Transportation_LCIA!E$61*($W377^Transportation_LCIA!E$60)+Transportation_LCIA!E$62</f>
        <v>4.1035493307019157E-4</v>
      </c>
      <c r="AB377" s="16">
        <f>Transportation_LCIA!F$61*($W377^Transportation_LCIA!F$60)+Transportation_LCIA!F$62</f>
        <v>0.13640598492596667</v>
      </c>
      <c r="AC377" s="16">
        <f>Transportation_LCIA!G$61*($W377^Transportation_LCIA!G$60)+Transportation_LCIA!G$62</f>
        <v>3.059388092244349E-2</v>
      </c>
      <c r="AD377" s="16">
        <f>Transportation_LCIA!H$61*($W377^Transportation_LCIA!H$60)+Transportation_LCIA!H$62</f>
        <v>1.1810321961410014E-4</v>
      </c>
      <c r="AE377" s="16">
        <f>Transportation_LCIA!I$61*($W377^Transportation_LCIA!I$60)+Transportation_LCIA!I$62</f>
        <v>2.0307941348238681E-6</v>
      </c>
      <c r="AF377" s="16">
        <f>Transportation_LCIA!J$61*($W377^Transportation_LCIA!J$60)+Transportation_LCIA!J$62</f>
        <v>3.069086820769072E-3</v>
      </c>
      <c r="AG377" s="16">
        <f>Transportation_LCIA!K$61*($W377^Transportation_LCIA!K$60)+Transportation_LCIA!K$62</f>
        <v>6.0589949314617348E-3</v>
      </c>
      <c r="AH377" s="16">
        <f>Transportation_LCIA!L$61*($W377^Transportation_LCIA!L$60)+Transportation_LCIA!L$62</f>
        <v>9.5103232982744927E-5</v>
      </c>
      <c r="AI377" s="16">
        <f>Transportation_LCIA!M$61*($W377^Transportation_LCIA!M$60)+Transportation_LCIA!M$62</f>
        <v>1.5610676695731944E-4</v>
      </c>
      <c r="AJ377" s="16">
        <f>Transportation_LCIA!N$61*($W377^Transportation_LCIA!N$60)+Transportation_LCIA!N$62</f>
        <v>4.5515331635982454E-4</v>
      </c>
      <c r="AK377" s="16">
        <f>Transportation_LCIA!O$61*($W377^Transportation_LCIA!O$60)+Transportation_LCIA!O$62</f>
        <v>3.2197260706643838E-5</v>
      </c>
      <c r="AL377" s="16">
        <f>Transportation_LCIA!P$61*($W377^Transportation_LCIA!P$60)+Transportation_LCIA!P$62</f>
        <v>1.5618622397862348E-8</v>
      </c>
      <c r="AM377" s="16">
        <f>Transportation_LCIA!Q$61*($W377^Transportation_LCIA!Q$60)+Transportation_LCIA!Q$62</f>
        <v>3.8578579391541311E-5</v>
      </c>
      <c r="AN377" s="16">
        <f>Transportation_LCIA!R$61*($W377^Transportation_LCIA!R$60)+Transportation_LCIA!R$62</f>
        <v>9.8345484845434154E-5</v>
      </c>
      <c r="AO377" s="16">
        <f>Transportation_LCIA!S$61*($W377^Transportation_LCIA!S$60)+Transportation_LCIA!S$62</f>
        <v>1.6500253142246751E-6</v>
      </c>
      <c r="AP377" s="16">
        <f>Transportation_LCIA!T$61*($W377^Transportation_LCIA!T$60)+Transportation_LCIA!T$62</f>
        <v>1.6500253142246751E-6</v>
      </c>
      <c r="AQ377" s="16">
        <f>Transportation_LCIA!U$61*($W377^Transportation_LCIA!U$60)+Transportation_LCIA!U$62</f>
        <v>2.044217044567993E-4</v>
      </c>
      <c r="AR377" s="16">
        <f>Transportation_LCIA!V$61*($W377^Transportation_LCIA!V$60)+Transportation_LCIA!V$62</f>
        <v>1.0105609539563299E-4</v>
      </c>
      <c r="AT377" s="16">
        <f>$W377*Y377+($L377)*Summary_LCIA!H$34</f>
        <v>946.33188603974838</v>
      </c>
      <c r="AU377" s="16">
        <f ca="1">$W377*Z377+($L377)*Summary_LCIA!Q$34</f>
        <v>9073.8112383989865</v>
      </c>
      <c r="AV377" s="16">
        <f ca="1">$W377*AA377+($L377)*Summary_LCIA!R$34</f>
        <v>3.1016144288418404</v>
      </c>
      <c r="AW377" s="16">
        <f ca="1">$W377*AB377+($L377)*Summary_LCIA!S$34</f>
        <v>946.22006011974838</v>
      </c>
      <c r="AX377" s="16">
        <f ca="1">$W377*AC377+($L377)*Summary_LCIA!T$34</f>
        <v>212.68992964874076</v>
      </c>
      <c r="AY377" s="16">
        <f ca="1">$W377*AD377+($L377)*Summary_LCIA!U$34</f>
        <v>1.013207375065569</v>
      </c>
      <c r="AZ377" s="16">
        <f ca="1">$W377*AE377+($L377)*Summary_LCIA!V$34</f>
        <v>2.2823561620777259E-2</v>
      </c>
      <c r="BA377" s="16">
        <f ca="1">$W377*AF377+($L377)*Summary_LCIA!W$34</f>
        <v>26.629380425986461</v>
      </c>
      <c r="BB377" s="16">
        <f ca="1">$W377*AG377+($L377)*Summary_LCIA!X$34</f>
        <v>42.833956572689011</v>
      </c>
      <c r="BC377" s="16">
        <f ca="1">$W377*AH377+($L377)*Summary_LCIA!Y$34</f>
        <v>0.84125365404363339</v>
      </c>
      <c r="BD377" s="16">
        <f ca="1">$W377*AI377+($L377)*Summary_LCIA!Z$34</f>
        <v>1.0768151160805028</v>
      </c>
      <c r="BE377" s="16">
        <f ca="1">$W377*AJ377+($L377)*Summary_LCIA!AA$34</f>
        <v>3.3557904059405073</v>
      </c>
      <c r="BF377" s="16">
        <f ca="1">$W377*AK377+($L377)*Summary_LCIA!AB$34</f>
        <v>0.22069497272787467</v>
      </c>
      <c r="BG377" s="16">
        <f ca="1">$W377*AL377+($L377)*Summary_LCIA!AC$34</f>
        <v>1.0782697701942044E-4</v>
      </c>
      <c r="BH377" s="16">
        <f ca="1">$W377*AM377+($L377)*Summary_LCIA!AD$34</f>
        <v>0.27748485239255549</v>
      </c>
      <c r="BI377" s="16">
        <f ca="1">$W377*AN377+($L377)*Summary_LCIA!AE$34</f>
        <v>0.70917511965474034</v>
      </c>
      <c r="BJ377" s="16">
        <f ca="1">$W377*AO377+($L377)*Summary_LCIA!AF$34</f>
        <v>3.7324374189606241E-2</v>
      </c>
      <c r="BK377" s="16">
        <f ca="1">$W377*AP377+($L377)*Summary_LCIA!AG$34</f>
        <v>1.1647887100106242E-2</v>
      </c>
      <c r="BL377" s="16">
        <f ca="1">$W377*AQ377+($L377)*Summary_LCIA!AH$34</f>
        <v>1.6548140834059415</v>
      </c>
      <c r="BM377" s="16">
        <f ca="1">$W377*AR377+($L377)*Summary_LCIA!AI$34</f>
        <v>0.72572305306215024</v>
      </c>
      <c r="BN377" s="16">
        <f>$W377*AS377+($L377)*Summary_LCIA!AJ$34</f>
        <v>0</v>
      </c>
    </row>
    <row r="378" spans="1:66" x14ac:dyDescent="0.25">
      <c r="A378" s="159">
        <v>365</v>
      </c>
      <c r="B378" s="159">
        <v>6</v>
      </c>
      <c r="C378" s="45">
        <v>52.090736999999997</v>
      </c>
      <c r="D378" s="45">
        <v>5.1214199999999996</v>
      </c>
      <c r="E378" s="45" t="s">
        <v>285</v>
      </c>
      <c r="F378" s="159">
        <v>12</v>
      </c>
      <c r="G378" s="45" t="s">
        <v>679</v>
      </c>
      <c r="H378" s="45" t="s">
        <v>680</v>
      </c>
      <c r="I378" s="45">
        <v>52.310538999999999</v>
      </c>
      <c r="J378" s="45">
        <v>4.7682739999999999</v>
      </c>
      <c r="K378" s="45">
        <v>37.628635809999999</v>
      </c>
      <c r="L378" s="45">
        <v>45.201000000000001</v>
      </c>
      <c r="M378" s="61" t="s">
        <v>589</v>
      </c>
      <c r="N378" s="159">
        <v>5</v>
      </c>
      <c r="O378" s="159">
        <v>6</v>
      </c>
      <c r="P378" s="45" t="s">
        <v>565</v>
      </c>
      <c r="Q378" s="45" t="s">
        <v>564</v>
      </c>
      <c r="R378" s="45">
        <v>41.98028</v>
      </c>
      <c r="S378" s="45">
        <v>-87.908997900000003</v>
      </c>
      <c r="T378" s="45"/>
      <c r="U378" s="45" t="s">
        <v>622</v>
      </c>
      <c r="V378" s="45" t="s">
        <v>569</v>
      </c>
      <c r="W378" s="45" cm="1">
        <f t="array" ref="W378">getDistance(R378,S378,I378,J378)*SA!$B$12</f>
        <v>6632.2887438753278</v>
      </c>
      <c r="Y378" s="16">
        <f>Transportation_LCIA!C$61*($W378^Transportation_LCIA!C$60)+Transportation_LCIA!C$62</f>
        <v>0.13716603346863906</v>
      </c>
      <c r="Z378" s="16">
        <f>Transportation_LCIA!D$61*($W378^Transportation_LCIA!D$60)+Transportation_LCIA!D$62</f>
        <v>1.3078038373302929</v>
      </c>
      <c r="AA378" s="16">
        <f>Transportation_LCIA!E$61*($W378^Transportation_LCIA!E$60)+Transportation_LCIA!E$62</f>
        <v>4.1559763971151745E-4</v>
      </c>
      <c r="AB378" s="16">
        <f>Transportation_LCIA!F$61*($W378^Transportation_LCIA!F$60)+Transportation_LCIA!F$62</f>
        <v>0.13716603346863906</v>
      </c>
      <c r="AC378" s="16">
        <f>Transportation_LCIA!G$61*($W378^Transportation_LCIA!G$60)+Transportation_LCIA!G$62</f>
        <v>3.078364026720818E-2</v>
      </c>
      <c r="AD378" s="16">
        <f>Transportation_LCIA!H$61*($W378^Transportation_LCIA!H$60)+Transportation_LCIA!H$62</f>
        <v>1.1920399643427205E-4</v>
      </c>
      <c r="AE378" s="16">
        <f>Transportation_LCIA!I$61*($W378^Transportation_LCIA!I$60)+Transportation_LCIA!I$62</f>
        <v>2.0565197113200838E-6</v>
      </c>
      <c r="AF378" s="16">
        <f>Transportation_LCIA!J$61*($W378^Transportation_LCIA!J$60)+Transportation_LCIA!J$62</f>
        <v>3.1055831426297711E-3</v>
      </c>
      <c r="AG378" s="16">
        <f>Transportation_LCIA!K$61*($W378^Transportation_LCIA!K$60)+Transportation_LCIA!K$62</f>
        <v>6.1014695256803586E-3</v>
      </c>
      <c r="AH378" s="16">
        <f>Transportation_LCIA!L$61*($W378^Transportation_LCIA!L$60)+Transportation_LCIA!L$62</f>
        <v>9.609402578970302E-5</v>
      </c>
      <c r="AI378" s="16">
        <f>Transportation_LCIA!M$61*($W378^Transportation_LCIA!M$60)+Transportation_LCIA!M$62</f>
        <v>1.567127504146819E-4</v>
      </c>
      <c r="AJ378" s="16">
        <f>Transportation_LCIA!N$61*($W378^Transportation_LCIA!N$60)+Transportation_LCIA!N$62</f>
        <v>4.5887623536206706E-4</v>
      </c>
      <c r="AK378" s="16">
        <f>Transportation_LCIA!O$61*($W378^Transportation_LCIA!O$60)+Transportation_LCIA!O$62</f>
        <v>3.2398444381506369E-5</v>
      </c>
      <c r="AL378" s="16">
        <f>Transportation_LCIA!P$61*($W378^Transportation_LCIA!P$60)+Transportation_LCIA!P$62</f>
        <v>1.5715949191790643E-8</v>
      </c>
      <c r="AM378" s="16">
        <f>Transportation_LCIA!Q$61*($W378^Transportation_LCIA!Q$60)+Transportation_LCIA!Q$62</f>
        <v>3.896159039721733E-5</v>
      </c>
      <c r="AN378" s="16">
        <f>Transportation_LCIA!R$61*($W378^Transportation_LCIA!R$60)+Transportation_LCIA!R$62</f>
        <v>9.9576888850548906E-5</v>
      </c>
      <c r="AO378" s="16">
        <f>Transportation_LCIA!S$61*($W378^Transportation_LCIA!S$60)+Transportation_LCIA!S$62</f>
        <v>1.6675598015362514E-6</v>
      </c>
      <c r="AP378" s="16">
        <f>Transportation_LCIA!T$61*($W378^Transportation_LCIA!T$60)+Transportation_LCIA!T$62</f>
        <v>1.6675598015362514E-6</v>
      </c>
      <c r="AQ378" s="16">
        <f>Transportation_LCIA!U$61*($W378^Transportation_LCIA!U$60)+Transportation_LCIA!U$62</f>
        <v>2.0708439134245054E-4</v>
      </c>
      <c r="AR378" s="16">
        <f>Transportation_LCIA!V$61*($W378^Transportation_LCIA!V$60)+Transportation_LCIA!V$62</f>
        <v>1.0203795621530453E-4</v>
      </c>
      <c r="AT378" s="16">
        <f>$W378*Y378+($L378)*Summary_LCIA!H$34</f>
        <v>913.09049667808131</v>
      </c>
      <c r="AU378" s="16">
        <f ca="1">$W378*Z378+($L378)*Summary_LCIA!Q$34</f>
        <v>8729.5599378078914</v>
      </c>
      <c r="AV378" s="16">
        <f ca="1">$W378*AA378+($L378)*Summary_LCIA!R$34</f>
        <v>2.8719244244398512</v>
      </c>
      <c r="AW378" s="16">
        <f ca="1">$W378*AB378+($L378)*Summary_LCIA!S$34</f>
        <v>913.04421085408126</v>
      </c>
      <c r="AX378" s="16">
        <f ca="1">$W378*AC378+($L378)*Summary_LCIA!T$34</f>
        <v>205.1035951827121</v>
      </c>
      <c r="AY378" s="16">
        <f ca="1">$W378*AD378+($L378)*Summary_LCIA!U$34</f>
        <v>0.87374708337597717</v>
      </c>
      <c r="AZ378" s="16">
        <f ca="1">$W378*AE378+($L378)*Summary_LCIA!V$34</f>
        <v>1.7304917225945932E-2</v>
      </c>
      <c r="BA378" s="16">
        <f ca="1">$W378*AF378+($L378)*Summary_LCIA!W$34</f>
        <v>22.881989469032398</v>
      </c>
      <c r="BB378" s="16">
        <f ca="1">$W378*AG378+($L378)*Summary_LCIA!X$34</f>
        <v>40.946923080268178</v>
      </c>
      <c r="BC378" s="16">
        <f ca="1">$W378*AH378+($L378)*Summary_LCIA!Y$34</f>
        <v>0.71477975919871273</v>
      </c>
      <c r="BD378" s="16">
        <f ca="1">$W378*AI378+($L378)*Summary_LCIA!Z$34</f>
        <v>1.0406526651020385</v>
      </c>
      <c r="BE378" s="16">
        <f ca="1">$W378*AJ378+($L378)*Summary_LCIA!AA$34</f>
        <v>3.1366312732237231</v>
      </c>
      <c r="BF378" s="16">
        <f ca="1">$W378*AK378+($L378)*Summary_LCIA!AB$34</f>
        <v>0.21456219277163555</v>
      </c>
      <c r="BG378" s="16">
        <f ca="1">$W378*AL378+($L378)*Summary_LCIA!AC$34</f>
        <v>1.0439914752612965E-4</v>
      </c>
      <c r="BH378" s="16">
        <f ca="1">$W378*AM378+($L378)*Summary_LCIA!AD$34</f>
        <v>0.26342996461494556</v>
      </c>
      <c r="BI378" s="16">
        <f ca="1">$W378*AN378+($L378)*Summary_LCIA!AE$34</f>
        <v>0.67398026701362013</v>
      </c>
      <c r="BJ378" s="16">
        <f ca="1">$W378*AO378+($L378)*Summary_LCIA!AF$34</f>
        <v>2.1811247961467856E-2</v>
      </c>
      <c r="BK378" s="16">
        <f ca="1">$W378*AP378+($L378)*Summary_LCIA!AG$34</f>
        <v>1.1183502959567855E-2</v>
      </c>
      <c r="BL378" s="16">
        <f ca="1">$W378*AQ378+($L378)*Summary_LCIA!AH$34</f>
        <v>1.4764249160328082</v>
      </c>
      <c r="BM378" s="16">
        <f ca="1">$W378*AR378+($L378)*Summary_LCIA!AI$34</f>
        <v>0.68943536920480786</v>
      </c>
      <c r="BN378" s="16">
        <f>$W378*AS378+($L378)*Summary_LCIA!AJ$34</f>
        <v>0</v>
      </c>
    </row>
    <row r="379" spans="1:66" x14ac:dyDescent="0.25">
      <c r="A379" s="159">
        <v>368</v>
      </c>
      <c r="B379" s="159">
        <v>6</v>
      </c>
      <c r="C379" s="45">
        <v>-2.1458900000000001</v>
      </c>
      <c r="D379" s="45">
        <v>-79.945836</v>
      </c>
      <c r="E379" s="45" t="s">
        <v>470</v>
      </c>
      <c r="F379" s="159">
        <v>108</v>
      </c>
      <c r="G379" s="45" t="s">
        <v>730</v>
      </c>
      <c r="H379" s="45" t="s">
        <v>731</v>
      </c>
      <c r="I379" s="45">
        <v>-2.1481880000000002</v>
      </c>
      <c r="J379" s="45">
        <v>-79.886499000000001</v>
      </c>
      <c r="K379" s="45">
        <v>3436.2375189999998</v>
      </c>
      <c r="L379" s="45">
        <v>12.827</v>
      </c>
      <c r="M379" s="61" t="s">
        <v>617</v>
      </c>
      <c r="N379" s="159">
        <v>5</v>
      </c>
      <c r="O379" s="159">
        <v>6</v>
      </c>
      <c r="P379" s="45" t="s">
        <v>565</v>
      </c>
      <c r="Q379" s="45" t="s">
        <v>564</v>
      </c>
      <c r="R379" s="45">
        <v>41.98028</v>
      </c>
      <c r="S379" s="45">
        <v>-87.908997900000003</v>
      </c>
      <c r="T379" s="45"/>
      <c r="U379" s="45" t="s">
        <v>622</v>
      </c>
      <c r="V379" s="45" t="s">
        <v>569</v>
      </c>
      <c r="W379" s="45" cm="1">
        <f t="array" ref="W379">getDistance(R379,S379,I379,J379)*SA!$B$12</f>
        <v>4967.3723878653318</v>
      </c>
      <c r="Y379" s="16">
        <f>Transportation_LCIA!C$61*($W379^Transportation_LCIA!C$60)+Transportation_LCIA!C$62</f>
        <v>0.14410530752817013</v>
      </c>
      <c r="Z379" s="16">
        <f>Transportation_LCIA!D$61*($W379^Transportation_LCIA!D$60)+Transportation_LCIA!D$62</f>
        <v>1.3828737675314033</v>
      </c>
      <c r="AA379" s="16">
        <f>Transportation_LCIA!E$61*($W379^Transportation_LCIA!E$60)+Transportation_LCIA!E$62</f>
        <v>4.6391484530744985E-4</v>
      </c>
      <c r="AB379" s="16">
        <f>Transportation_LCIA!F$61*($W379^Transportation_LCIA!F$60)+Transportation_LCIA!F$62</f>
        <v>0.14410530752817013</v>
      </c>
      <c r="AC379" s="16">
        <f>Transportation_LCIA!G$61*($W379^Transportation_LCIA!G$60)+Transportation_LCIA!G$62</f>
        <v>3.2528134048261471E-2</v>
      </c>
      <c r="AD379" s="16">
        <f>Transportation_LCIA!H$61*($W379^Transportation_LCIA!H$60)+Transportation_LCIA!H$62</f>
        <v>1.2939023178054013E-4</v>
      </c>
      <c r="AE379" s="16">
        <f>Transportation_LCIA!I$61*($W379^Transportation_LCIA!I$60)+Transportation_LCIA!I$62</f>
        <v>2.2961441006360745E-6</v>
      </c>
      <c r="AF379" s="16">
        <f>Transportation_LCIA!J$61*($W379^Transportation_LCIA!J$60)+Transportation_LCIA!J$62</f>
        <v>3.4469963530553262E-3</v>
      </c>
      <c r="AG379" s="16">
        <f>Transportation_LCIA!K$61*($W379^Transportation_LCIA!K$60)+Transportation_LCIA!K$62</f>
        <v>6.4933949572726982E-3</v>
      </c>
      <c r="AH379" s="16">
        <f>Transportation_LCIA!L$61*($W379^Transportation_LCIA!L$60)+Transportation_LCIA!L$62</f>
        <v>1.0527965262921036E-4</v>
      </c>
      <c r="AI379" s="16">
        <f>Transportation_LCIA!M$61*($W379^Transportation_LCIA!M$60)+Transportation_LCIA!M$62</f>
        <v>1.6232157132352212E-4</v>
      </c>
      <c r="AJ379" s="16">
        <f>Transportation_LCIA!N$61*($W379^Transportation_LCIA!N$60)+Transportation_LCIA!N$62</f>
        <v>4.9330897661227524E-4</v>
      </c>
      <c r="AK379" s="16">
        <f>Transportation_LCIA!O$61*($W379^Transportation_LCIA!O$60)+Transportation_LCIA!O$62</f>
        <v>3.4248336571519083E-5</v>
      </c>
      <c r="AL379" s="16">
        <f>Transportation_LCIA!P$61*($W379^Transportation_LCIA!P$60)+Transportation_LCIA!P$62</f>
        <v>1.6610385608571092E-8</v>
      </c>
      <c r="AM379" s="16">
        <f>Transportation_LCIA!Q$61*($W379^Transportation_LCIA!Q$60)+Transportation_LCIA!Q$62</f>
        <v>4.2516056031881796E-5</v>
      </c>
      <c r="AN379" s="16">
        <f>Transportation_LCIA!R$61*($W379^Transportation_LCIA!R$60)+Transportation_LCIA!R$62</f>
        <v>1.1104879067446812E-4</v>
      </c>
      <c r="AO379" s="16">
        <f>Transportation_LCIA!S$61*($W379^Transportation_LCIA!S$60)+Transportation_LCIA!S$62</f>
        <v>1.8308650586696873E-6</v>
      </c>
      <c r="AP379" s="16">
        <f>Transportation_LCIA!T$61*($W379^Transportation_LCIA!T$60)+Transportation_LCIA!T$62</f>
        <v>1.8308650586696873E-6</v>
      </c>
      <c r="AQ379" s="16">
        <f>Transportation_LCIA!U$61*($W379^Transportation_LCIA!U$60)+Transportation_LCIA!U$62</f>
        <v>2.3192123121129962E-4</v>
      </c>
      <c r="AR379" s="16">
        <f>Transportation_LCIA!V$61*($W379^Transportation_LCIA!V$60)+Transportation_LCIA!V$62</f>
        <v>1.1116178123956946E-4</v>
      </c>
      <c r="AT379" s="16">
        <f>$W379*Y379+($L379)*Summary_LCIA!H$32</f>
        <v>720.1833401602745</v>
      </c>
      <c r="AU379" s="16">
        <f>$W379*Z379+($L379)*Summary_LCIA!Q$32</f>
        <v>6932.8202276428865</v>
      </c>
      <c r="AV379" s="16">
        <f>$W379*AA379+($L379)*Summary_LCIA!R$32</f>
        <v>2.3719796441010432</v>
      </c>
      <c r="AW379" s="16">
        <f>$W379*AB379+($L379)*Summary_LCIA!S$32</f>
        <v>720.12664482027446</v>
      </c>
      <c r="AX379" s="16">
        <f>$W379*AC379+($L379)*Summary_LCIA!T$32</f>
        <v>162.98904220011619</v>
      </c>
      <c r="AY379" s="16">
        <f>$W379*AD379+($L379)*Summary_LCIA!U$32</f>
        <v>0.8725123426061504</v>
      </c>
      <c r="AZ379" s="16">
        <f>$W379*AE379+($L379)*Summary_LCIA!V$32</f>
        <v>1.2018433151059512E-2</v>
      </c>
      <c r="BA379" s="16">
        <f>$W379*AF379+($L379)*Summary_LCIA!W$32</f>
        <v>18.109821522239525</v>
      </c>
      <c r="BB379" s="16">
        <f>$W379*AG379+($L379)*Summary_LCIA!X$32</f>
        <v>32.547309874260385</v>
      </c>
      <c r="BC379" s="16">
        <f>$W379*AH379+($L379)*Summary_LCIA!Y$32</f>
        <v>0.72283355347439338</v>
      </c>
      <c r="BD379" s="16">
        <f>$W379*AI379+($L379)*Summary_LCIA!Z$32</f>
        <v>0.80683771379037694</v>
      </c>
      <c r="BE379" s="16">
        <f>$W379*AJ379+($L379)*Summary_LCIA!AA$32</f>
        <v>2.7500368011099208</v>
      </c>
      <c r="BF379" s="16">
        <f>$W379*AK379+($L379)*Summary_LCIA!AB$32</f>
        <v>0.16984431779468234</v>
      </c>
      <c r="BG379" s="16">
        <f>$W379*AL379+($L379)*Summary_LCIA!AC$32</f>
        <v>8.3137005891811724E-5</v>
      </c>
      <c r="BH379" s="16">
        <f>$W379*AM379+($L379)*Summary_LCIA!AD$32</f>
        <v>0.21646549285370492</v>
      </c>
      <c r="BI379" s="16">
        <f>$W379*AN379+($L379)*Summary_LCIA!AE$32</f>
        <v>0.56298708601219005</v>
      </c>
      <c r="BJ379" s="16">
        <f>$W379*AO379+($L379)*Summary_LCIA!AF$32</f>
        <v>1.9938790878343247E-2</v>
      </c>
      <c r="BK379" s="16">
        <f>$W379*AP379+($L379)*Summary_LCIA!AG$32</f>
        <v>9.7508819933432456E-3</v>
      </c>
      <c r="BL379" s="16">
        <f>$W379*AQ379+($L379)*Summary_LCIA!AH$32</f>
        <v>1.2636801972787413</v>
      </c>
      <c r="BM379" s="16">
        <f>$W379*AR379+($L379)*Summary_LCIA!AI$32</f>
        <v>0.56413095456536377</v>
      </c>
      <c r="BN379" s="16"/>
    </row>
    <row r="380" spans="1:66" x14ac:dyDescent="0.25">
      <c r="A380" s="159">
        <v>369</v>
      </c>
      <c r="B380" s="159">
        <v>6</v>
      </c>
      <c r="C380" s="45">
        <v>44.496878000000002</v>
      </c>
      <c r="D380" s="45">
        <v>11.352409</v>
      </c>
      <c r="E380" s="45" t="s">
        <v>421</v>
      </c>
      <c r="F380" s="159">
        <v>51</v>
      </c>
      <c r="G380" s="45" t="s">
        <v>698</v>
      </c>
      <c r="H380" s="45" t="s">
        <v>716</v>
      </c>
      <c r="I380" s="45">
        <v>41.799886999999998</v>
      </c>
      <c r="J380" s="45">
        <v>12.246238</v>
      </c>
      <c r="K380" s="45">
        <v>317.25793929999998</v>
      </c>
      <c r="L380" s="45">
        <v>414.30399999999997</v>
      </c>
      <c r="M380" s="61" t="s">
        <v>617</v>
      </c>
      <c r="N380" s="159">
        <v>5</v>
      </c>
      <c r="O380" s="159">
        <v>6</v>
      </c>
      <c r="P380" s="45" t="s">
        <v>565</v>
      </c>
      <c r="Q380" s="45" t="s">
        <v>564</v>
      </c>
      <c r="R380" s="45">
        <v>41.98028</v>
      </c>
      <c r="S380" s="45">
        <v>-87.908997900000003</v>
      </c>
      <c r="T380" s="45"/>
      <c r="U380" s="45" t="s">
        <v>622</v>
      </c>
      <c r="V380" s="45" t="s">
        <v>569</v>
      </c>
      <c r="W380" s="45" cm="1">
        <f t="array" ref="W380">getDistance(R380,S380,I380,J380)*SA!$B$12</f>
        <v>7764.2042400638466</v>
      </c>
      <c r="Y380" s="16">
        <f>Transportation_LCIA!C$61*($W380^Transportation_LCIA!C$60)+Transportation_LCIA!C$62</f>
        <v>0.13403481899543013</v>
      </c>
      <c r="Z380" s="16">
        <f>Transportation_LCIA!D$61*($W380^Transportation_LCIA!D$60)+Transportation_LCIA!D$62</f>
        <v>1.2742629240678911</v>
      </c>
      <c r="AA380" s="16">
        <f>Transportation_LCIA!E$61*($W380^Transportation_LCIA!E$60)+Transportation_LCIA!E$62</f>
        <v>3.9406960611812437E-4</v>
      </c>
      <c r="AB380" s="16">
        <f>Transportation_LCIA!F$61*($W380^Transportation_LCIA!F$60)+Transportation_LCIA!F$62</f>
        <v>0.13403481899543013</v>
      </c>
      <c r="AC380" s="16">
        <f>Transportation_LCIA!G$61*($W380^Transportation_LCIA!G$60)+Transportation_LCIA!G$62</f>
        <v>3.0003758804606418E-2</v>
      </c>
      <c r="AD380" s="16">
        <f>Transportation_LCIA!H$61*($W380^Transportation_LCIA!H$60)+Transportation_LCIA!H$62</f>
        <v>1.1469029988604821E-4</v>
      </c>
      <c r="AE380" s="16">
        <f>Transportation_LCIA!I$61*($W380^Transportation_LCIA!I$60)+Transportation_LCIA!I$62</f>
        <v>1.9512732395746673E-6</v>
      </c>
      <c r="AF380" s="16">
        <f>Transportation_LCIA!J$61*($W380^Transportation_LCIA!J$60)+Transportation_LCIA!J$62</f>
        <v>2.9564943452071004E-3</v>
      </c>
      <c r="AG380" s="16">
        <f>Transportation_LCIA!K$61*($W380^Transportation_LCIA!K$60)+Transportation_LCIA!K$62</f>
        <v>5.9271307135377455E-3</v>
      </c>
      <c r="AH380" s="16">
        <f>Transportation_LCIA!L$61*($W380^Transportation_LCIA!L$60)+Transportation_LCIA!L$62</f>
        <v>9.203395410547337E-5</v>
      </c>
      <c r="AI380" s="16">
        <f>Transportation_LCIA!M$61*($W380^Transportation_LCIA!M$60)+Transportation_LCIA!M$62</f>
        <v>1.542281284342383E-4</v>
      </c>
      <c r="AJ380" s="16">
        <f>Transportation_LCIA!N$61*($W380^Transportation_LCIA!N$60)+Transportation_LCIA!N$62</f>
        <v>4.436077676919128E-4</v>
      </c>
      <c r="AK380" s="16">
        <f>Transportation_LCIA!O$61*($W380^Transportation_LCIA!O$60)+Transportation_LCIA!O$62</f>
        <v>3.1571668767198981E-5</v>
      </c>
      <c r="AL380" s="16">
        <f>Transportation_LCIA!P$61*($W380^Transportation_LCIA!P$60)+Transportation_LCIA!P$62</f>
        <v>1.5315903218203021E-8</v>
      </c>
      <c r="AM380" s="16">
        <f>Transportation_LCIA!Q$61*($W380^Transportation_LCIA!Q$60)+Transportation_LCIA!Q$62</f>
        <v>3.7392636476103982E-5</v>
      </c>
      <c r="AN380" s="16">
        <f>Transportation_LCIA!R$61*($W380^Transportation_LCIA!R$60)+Transportation_LCIA!R$62</f>
        <v>9.4539342329731928E-5</v>
      </c>
      <c r="AO380" s="16">
        <f>Transportation_LCIA!S$61*($W380^Transportation_LCIA!S$60)+Transportation_LCIA!S$62</f>
        <v>1.5958207047036228E-6</v>
      </c>
      <c r="AP380" s="16">
        <f>Transportation_LCIA!T$61*($W380^Transportation_LCIA!T$60)+Transportation_LCIA!T$62</f>
        <v>1.5958207047036228E-6</v>
      </c>
      <c r="AQ380" s="16">
        <f>Transportation_LCIA!U$61*($W380^Transportation_LCIA!U$60)+Transportation_LCIA!U$62</f>
        <v>1.9619632256957396E-4</v>
      </c>
      <c r="AR380" s="16">
        <f>Transportation_LCIA!V$61*($W380^Transportation_LCIA!V$60)+Transportation_LCIA!V$62</f>
        <v>9.8017707150679071E-5</v>
      </c>
      <c r="AT380" s="16">
        <f>$W380*Y380+($L380)*Summary_LCIA!H$32</f>
        <v>1181.4542091605088</v>
      </c>
      <c r="AU380" s="16">
        <f>$W380*Z380+($L380)*Summary_LCIA!Q$32</f>
        <v>11946.949116597707</v>
      </c>
      <c r="AV380" s="16">
        <f>$W380*AA380+($L380)*Summary_LCIA!R$32</f>
        <v>5.2411960491026308</v>
      </c>
      <c r="AW380" s="16">
        <f>$W380*AB380+($L380)*Summary_LCIA!S$32</f>
        <v>1179.6229854805088</v>
      </c>
      <c r="AX380" s="16">
        <f>$W380*AC380+($L380)*Summary_LCIA!T$32</f>
        <v>278.48732092857813</v>
      </c>
      <c r="AY380" s="16">
        <f>$W380*AD380+($L380)*Summary_LCIA!U$32</f>
        <v>8.3123207686694496</v>
      </c>
      <c r="AZ380" s="16">
        <f>$W380*AE380+($L380)*Summary_LCIA!V$32</f>
        <v>3.493765730422875E-2</v>
      </c>
      <c r="BA380" s="16">
        <f>$W380*AF380+($L380)*Summary_LCIA!W$32</f>
        <v>54.844219114781751</v>
      </c>
      <c r="BB380" s="16">
        <f>$W380*AG380+($L380)*Summary_LCIA!X$32</f>
        <v>55.457298537462414</v>
      </c>
      <c r="BC380" s="16">
        <f>$W380*AH380+($L380)*Summary_LCIA!Y$32</f>
        <v>7.1702553446955584</v>
      </c>
      <c r="BD380" s="16">
        <f>$W380*AI380+($L380)*Summary_LCIA!Z$32</f>
        <v>1.2144488814622245</v>
      </c>
      <c r="BE380" s="16">
        <f>$W380*AJ380+($L380)*Summary_LCIA!AA$32</f>
        <v>13.120745534838807</v>
      </c>
      <c r="BF380" s="16">
        <f>$W380*AK380+($L380)*Summary_LCIA!AB$32</f>
        <v>0.23608752831617766</v>
      </c>
      <c r="BG380" s="16">
        <f>$W380*AL380+($L380)*Summary_LCIA!AC$32</f>
        <v>1.3916863744317941E-4</v>
      </c>
      <c r="BH380" s="16">
        <f>$W380*AM380+($L380)*Summary_LCIA!AD$32</f>
        <v>0.46061958283493259</v>
      </c>
      <c r="BI380" s="16">
        <f>$W380*AN380+($L380)*Summary_LCIA!AE$32</f>
        <v>1.101149966089352</v>
      </c>
      <c r="BJ380" s="16">
        <f>$W380*AO380+($L380)*Summary_LCIA!AF$32</f>
        <v>0.36265116556184157</v>
      </c>
      <c r="BK380" s="16">
        <f>$W380*AP380+($L380)*Summary_LCIA!AG$32</f>
        <v>3.3588142041841546E-2</v>
      </c>
      <c r="BL380" s="16">
        <f>$W380*AQ380+($L380)*Summary_LCIA!AH$32</f>
        <v>5.1292446139796208</v>
      </c>
      <c r="BM380" s="16">
        <f>$W380*AR380+($L380)*Summary_LCIA!AI$32</f>
        <v>1.1469743886606389</v>
      </c>
      <c r="BN380" s="16"/>
    </row>
    <row r="381" spans="1:66" x14ac:dyDescent="0.25">
      <c r="A381" s="159">
        <v>376</v>
      </c>
      <c r="B381" s="159">
        <v>6</v>
      </c>
      <c r="C381" s="45">
        <v>52.541156000000001</v>
      </c>
      <c r="D381" s="45">
        <v>13.390912999999999</v>
      </c>
      <c r="E381" s="45" t="s">
        <v>281</v>
      </c>
      <c r="F381" s="159">
        <v>15</v>
      </c>
      <c r="G381" s="45" t="s">
        <v>567</v>
      </c>
      <c r="H381" s="45" t="s">
        <v>707</v>
      </c>
      <c r="I381" s="45">
        <v>50.037933000000002</v>
      </c>
      <c r="J381" s="45">
        <v>8.5621519999999993</v>
      </c>
      <c r="K381" s="45">
        <v>461.40119850000002</v>
      </c>
      <c r="L381" s="45">
        <v>530.98199999999997</v>
      </c>
      <c r="M381" s="61" t="s">
        <v>589</v>
      </c>
      <c r="N381" s="159">
        <v>5</v>
      </c>
      <c r="O381" s="159">
        <v>6</v>
      </c>
      <c r="P381" s="45" t="s">
        <v>565</v>
      </c>
      <c r="Q381" s="45" t="s">
        <v>564</v>
      </c>
      <c r="R381" s="45">
        <v>41.98028</v>
      </c>
      <c r="S381" s="45">
        <v>-87.908997900000003</v>
      </c>
      <c r="T381" s="45"/>
      <c r="U381" s="45" t="s">
        <v>622</v>
      </c>
      <c r="V381" s="45" t="s">
        <v>569</v>
      </c>
      <c r="W381" s="45" cm="1">
        <f t="array" ref="W381">getDistance(R381,S381,I381,J381)*SA!$B$12</f>
        <v>6991.474163990265</v>
      </c>
      <c r="Y381" s="16">
        <f>Transportation_LCIA!C$61*($W381^Transportation_LCIA!C$60)+Transportation_LCIA!C$62</f>
        <v>0.13607158683765486</v>
      </c>
      <c r="Z381" s="16">
        <f>Transportation_LCIA!D$61*($W381^Transportation_LCIA!D$60)+Transportation_LCIA!D$62</f>
        <v>1.2960544516670511</v>
      </c>
      <c r="AA381" s="16">
        <f>Transportation_LCIA!E$61*($W381^Transportation_LCIA!E$60)+Transportation_LCIA!E$62</f>
        <v>4.08051692934456E-4</v>
      </c>
      <c r="AB381" s="16">
        <f>Transportation_LCIA!F$61*($W381^Transportation_LCIA!F$60)+Transportation_LCIA!F$62</f>
        <v>0.13607158683765486</v>
      </c>
      <c r="AC381" s="16">
        <f>Transportation_LCIA!G$61*($W381^Transportation_LCIA!G$60)+Transportation_LCIA!G$62</f>
        <v>3.0510482839803857E-2</v>
      </c>
      <c r="AD381" s="16">
        <f>Transportation_LCIA!H$61*($W381^Transportation_LCIA!H$60)+Transportation_LCIA!H$62</f>
        <v>1.1761993154750947E-4</v>
      </c>
      <c r="AE381" s="16">
        <f>Transportation_LCIA!I$61*($W381^Transportation_LCIA!I$60)+Transportation_LCIA!I$62</f>
        <v>2.0195110997086036E-6</v>
      </c>
      <c r="AF381" s="16">
        <f>Transportation_LCIA!J$61*($W381^Transportation_LCIA!J$60)+Transportation_LCIA!J$62</f>
        <v>3.0530905579478898E-3</v>
      </c>
      <c r="AG381" s="16">
        <f>Transportation_LCIA!K$61*($W381^Transportation_LCIA!K$60)+Transportation_LCIA!K$62</f>
        <v>6.0403384300008372E-3</v>
      </c>
      <c r="AH381" s="16">
        <f>Transportation_LCIA!L$61*($W381^Transportation_LCIA!L$60)+Transportation_LCIA!L$62</f>
        <v>9.4668359773999447E-5</v>
      </c>
      <c r="AI381" s="16">
        <f>Transportation_LCIA!M$61*($W381^Transportation_LCIA!M$60)+Transportation_LCIA!M$62</f>
        <v>1.5584072356247073E-4</v>
      </c>
      <c r="AJ381" s="16">
        <f>Transportation_LCIA!N$61*($W381^Transportation_LCIA!N$60)+Transportation_LCIA!N$62</f>
        <v>4.5351866242955259E-4</v>
      </c>
      <c r="AK381" s="16">
        <f>Transportation_LCIA!O$61*($W381^Transportation_LCIA!O$60)+Transportation_LCIA!O$62</f>
        <v>3.2108844489935627E-5</v>
      </c>
      <c r="AL381" s="16">
        <f>Transportation_LCIA!P$61*($W381^Transportation_LCIA!P$60)+Transportation_LCIA!P$62</f>
        <v>1.5575845558052219E-8</v>
      </c>
      <c r="AM381" s="16">
        <f>Transportation_LCIA!Q$61*($W381^Transportation_LCIA!Q$60)+Transportation_LCIA!Q$62</f>
        <v>3.8410496820318223E-5</v>
      </c>
      <c r="AN381" s="16">
        <f>Transportation_LCIA!R$61*($W381^Transportation_LCIA!R$60)+Transportation_LCIA!R$62</f>
        <v>9.7805414155038704E-5</v>
      </c>
      <c r="AO381" s="16">
        <f>Transportation_LCIA!S$61*($W381^Transportation_LCIA!S$60)+Transportation_LCIA!S$62</f>
        <v>1.6423346635114641E-6</v>
      </c>
      <c r="AP381" s="16">
        <f>Transportation_LCIA!T$61*($W381^Transportation_LCIA!T$60)+Transportation_LCIA!T$62</f>
        <v>1.6423346635114641E-6</v>
      </c>
      <c r="AQ381" s="16">
        <f>Transportation_LCIA!U$61*($W381^Transportation_LCIA!U$60)+Transportation_LCIA!U$62</f>
        <v>2.0325412740720072E-4</v>
      </c>
      <c r="AR381" s="16">
        <f>Transportation_LCIA!V$61*($W381^Transportation_LCIA!V$60)+Transportation_LCIA!V$62</f>
        <v>1.0062529790768567E-4</v>
      </c>
      <c r="AT381" s="16">
        <f>$W381*Y381+($L381)*Summary_LCIA!H$34</f>
        <v>990.87896551262168</v>
      </c>
      <c r="AU381" s="16">
        <f ca="1">$W381*Z381+($L381)*Summary_LCIA!Q$34</f>
        <v>9717.1413634786186</v>
      </c>
      <c r="AV381" s="16">
        <f ca="1">$W381*AA381+($L381)*Summary_LCIA!R$34</f>
        <v>4.2103914499237378</v>
      </c>
      <c r="AW381" s="16">
        <f ca="1">$W381*AB381+($L381)*Summary_LCIA!S$34</f>
        <v>990.33523994462166</v>
      </c>
      <c r="AX381" s="16">
        <f ca="1">$W381*AC381+($L381)*Summary_LCIA!T$34</f>
        <v>224.32741213135699</v>
      </c>
      <c r="AY381" s="16">
        <f ca="1">$W381*AD381+($L381)*Summary_LCIA!U$34</f>
        <v>1.7991311997847159</v>
      </c>
      <c r="AZ381" s="16">
        <f ca="1">$W381*AE381+($L381)*Summary_LCIA!V$34</f>
        <v>5.717828300350427E-2</v>
      </c>
      <c r="BA381" s="16">
        <f ca="1">$W381*AF381+($L381)*Summary_LCIA!W$34</f>
        <v>48.186212874215286</v>
      </c>
      <c r="BB381" s="16">
        <f ca="1">$W381*AG381+($L381)*Summary_LCIA!X$34</f>
        <v>47.872022843108368</v>
      </c>
      <c r="BC381" s="16">
        <f ca="1">$W381*AH381+($L381)*Summary_LCIA!Y$34</f>
        <v>1.5717621467072522</v>
      </c>
      <c r="BD381" s="16">
        <f ca="1">$W381*AI381+($L381)*Summary_LCIA!Z$34</f>
        <v>1.104692034394563</v>
      </c>
      <c r="BE381" s="16">
        <f ca="1">$W381*AJ381+($L381)*Summary_LCIA!AA$34</f>
        <v>4.2659674844636397</v>
      </c>
      <c r="BF381" s="16">
        <f ca="1">$W381*AK381+($L381)*Summary_LCIA!AB$34</f>
        <v>0.22080372568716611</v>
      </c>
      <c r="BG381" s="16">
        <f ca="1">$W381*AL381+($L381)*Summary_LCIA!AC$34</f>
        <v>1.1085325062362461E-4</v>
      </c>
      <c r="BH381" s="16">
        <f ca="1">$W381*AM381+($L381)*Summary_LCIA!AD$34</f>
        <v>0.32758057490528508</v>
      </c>
      <c r="BI381" s="16">
        <f ca="1">$W381*AN381+($L381)*Summary_LCIA!AE$34</f>
        <v>0.84306676724332075</v>
      </c>
      <c r="BJ381" s="16">
        <f ca="1">$W381*AO381+($L381)*Summary_LCIA!AF$34</f>
        <v>0.13778171888856605</v>
      </c>
      <c r="BK381" s="16">
        <f ca="1">$W381*AP381+($L381)*Summary_LCIA!AG$34</f>
        <v>1.2936222182766046E-2</v>
      </c>
      <c r="BL381" s="16">
        <f ca="1">$W381*AQ381+($L381)*Summary_LCIA!AH$34</f>
        <v>2.6307822710918294</v>
      </c>
      <c r="BM381" s="16">
        <f ca="1">$W381*AR381+($L381)*Summary_LCIA!AI$34</f>
        <v>0.85259236706540809</v>
      </c>
      <c r="BN381" s="16"/>
    </row>
    <row r="382" spans="1:66" x14ac:dyDescent="0.25">
      <c r="A382" s="159">
        <v>377</v>
      </c>
      <c r="B382" s="159">
        <v>6</v>
      </c>
      <c r="C382" s="45">
        <v>52.541156000000001</v>
      </c>
      <c r="D382" s="45">
        <v>13.390912999999999</v>
      </c>
      <c r="E382" s="45" t="s">
        <v>281</v>
      </c>
      <c r="F382" s="159">
        <v>15</v>
      </c>
      <c r="G382" s="45" t="s">
        <v>567</v>
      </c>
      <c r="H382" s="45" t="s">
        <v>707</v>
      </c>
      <c r="I382" s="45">
        <v>50.037933000000002</v>
      </c>
      <c r="J382" s="45">
        <v>8.5621519999999993</v>
      </c>
      <c r="K382" s="45">
        <v>461.40119850000002</v>
      </c>
      <c r="L382" s="45">
        <v>530.98199999999997</v>
      </c>
      <c r="M382" s="61" t="s">
        <v>589</v>
      </c>
      <c r="N382" s="159">
        <v>5</v>
      </c>
      <c r="O382" s="159">
        <v>6</v>
      </c>
      <c r="P382" s="45" t="s">
        <v>565</v>
      </c>
      <c r="Q382" s="45" t="s">
        <v>564</v>
      </c>
      <c r="R382" s="45">
        <v>41.98028</v>
      </c>
      <c r="S382" s="45">
        <v>-87.908997900000003</v>
      </c>
      <c r="T382" s="45"/>
      <c r="U382" s="45" t="s">
        <v>622</v>
      </c>
      <c r="V382" s="45" t="s">
        <v>569</v>
      </c>
      <c r="W382" s="45" cm="1">
        <f t="array" ref="W382">getDistance(R382,S382,I382,J382)*SA!$B$12</f>
        <v>6991.474163990265</v>
      </c>
      <c r="Y382" s="16">
        <f>Transportation_LCIA!C$61*($W382^Transportation_LCIA!C$60)+Transportation_LCIA!C$62</f>
        <v>0.13607158683765486</v>
      </c>
      <c r="Z382" s="16">
        <f>Transportation_LCIA!D$61*($W382^Transportation_LCIA!D$60)+Transportation_LCIA!D$62</f>
        <v>1.2960544516670511</v>
      </c>
      <c r="AA382" s="16">
        <f>Transportation_LCIA!E$61*($W382^Transportation_LCIA!E$60)+Transportation_LCIA!E$62</f>
        <v>4.08051692934456E-4</v>
      </c>
      <c r="AB382" s="16">
        <f>Transportation_LCIA!F$61*($W382^Transportation_LCIA!F$60)+Transportation_LCIA!F$62</f>
        <v>0.13607158683765486</v>
      </c>
      <c r="AC382" s="16">
        <f>Transportation_LCIA!G$61*($W382^Transportation_LCIA!G$60)+Transportation_LCIA!G$62</f>
        <v>3.0510482839803857E-2</v>
      </c>
      <c r="AD382" s="16">
        <f>Transportation_LCIA!H$61*($W382^Transportation_LCIA!H$60)+Transportation_LCIA!H$62</f>
        <v>1.1761993154750947E-4</v>
      </c>
      <c r="AE382" s="16">
        <f>Transportation_LCIA!I$61*($W382^Transportation_LCIA!I$60)+Transportation_LCIA!I$62</f>
        <v>2.0195110997086036E-6</v>
      </c>
      <c r="AF382" s="16">
        <f>Transportation_LCIA!J$61*($W382^Transportation_LCIA!J$60)+Transportation_LCIA!J$62</f>
        <v>3.0530905579478898E-3</v>
      </c>
      <c r="AG382" s="16">
        <f>Transportation_LCIA!K$61*($W382^Transportation_LCIA!K$60)+Transportation_LCIA!K$62</f>
        <v>6.0403384300008372E-3</v>
      </c>
      <c r="AH382" s="16">
        <f>Transportation_LCIA!L$61*($W382^Transportation_LCIA!L$60)+Transportation_LCIA!L$62</f>
        <v>9.4668359773999447E-5</v>
      </c>
      <c r="AI382" s="16">
        <f>Transportation_LCIA!M$61*($W382^Transportation_LCIA!M$60)+Transportation_LCIA!M$62</f>
        <v>1.5584072356247073E-4</v>
      </c>
      <c r="AJ382" s="16">
        <f>Transportation_LCIA!N$61*($W382^Transportation_LCIA!N$60)+Transportation_LCIA!N$62</f>
        <v>4.5351866242955259E-4</v>
      </c>
      <c r="AK382" s="16">
        <f>Transportation_LCIA!O$61*($W382^Transportation_LCIA!O$60)+Transportation_LCIA!O$62</f>
        <v>3.2108844489935627E-5</v>
      </c>
      <c r="AL382" s="16">
        <f>Transportation_LCIA!P$61*($W382^Transportation_LCIA!P$60)+Transportation_LCIA!P$62</f>
        <v>1.5575845558052219E-8</v>
      </c>
      <c r="AM382" s="16">
        <f>Transportation_LCIA!Q$61*($W382^Transportation_LCIA!Q$60)+Transportation_LCIA!Q$62</f>
        <v>3.8410496820318223E-5</v>
      </c>
      <c r="AN382" s="16">
        <f>Transportation_LCIA!R$61*($W382^Transportation_LCIA!R$60)+Transportation_LCIA!R$62</f>
        <v>9.7805414155038704E-5</v>
      </c>
      <c r="AO382" s="16">
        <f>Transportation_LCIA!S$61*($W382^Transportation_LCIA!S$60)+Transportation_LCIA!S$62</f>
        <v>1.6423346635114641E-6</v>
      </c>
      <c r="AP382" s="16">
        <f>Transportation_LCIA!T$61*($W382^Transportation_LCIA!T$60)+Transportation_LCIA!T$62</f>
        <v>1.6423346635114641E-6</v>
      </c>
      <c r="AQ382" s="16">
        <f>Transportation_LCIA!U$61*($W382^Transportation_LCIA!U$60)+Transportation_LCIA!U$62</f>
        <v>2.0325412740720072E-4</v>
      </c>
      <c r="AR382" s="16">
        <f>Transportation_LCIA!V$61*($W382^Transportation_LCIA!V$60)+Transportation_LCIA!V$62</f>
        <v>1.0062529790768567E-4</v>
      </c>
      <c r="AT382" s="16">
        <f>$W382*Y382+($L382)*Summary_LCIA!H$34</f>
        <v>990.87896551262168</v>
      </c>
      <c r="AU382" s="16">
        <f ca="1">$W382*Z382+($L382)*Summary_LCIA!Q$34</f>
        <v>9717.1413634786186</v>
      </c>
      <c r="AV382" s="16">
        <f ca="1">$W382*AA382+($L382)*Summary_LCIA!R$34</f>
        <v>4.2103914499237378</v>
      </c>
      <c r="AW382" s="16">
        <f ca="1">$W382*AB382+($L382)*Summary_LCIA!S$34</f>
        <v>990.33523994462166</v>
      </c>
      <c r="AX382" s="16">
        <f ca="1">$W382*AC382+($L382)*Summary_LCIA!T$34</f>
        <v>224.32741213135699</v>
      </c>
      <c r="AY382" s="16">
        <f ca="1">$W382*AD382+($L382)*Summary_LCIA!U$34</f>
        <v>1.7991311997847159</v>
      </c>
      <c r="AZ382" s="16">
        <f ca="1">$W382*AE382+($L382)*Summary_LCIA!V$34</f>
        <v>5.717828300350427E-2</v>
      </c>
      <c r="BA382" s="16">
        <f ca="1">$W382*AF382+($L382)*Summary_LCIA!W$34</f>
        <v>48.186212874215286</v>
      </c>
      <c r="BB382" s="16">
        <f ca="1">$W382*AG382+($L382)*Summary_LCIA!X$34</f>
        <v>47.872022843108368</v>
      </c>
      <c r="BC382" s="16">
        <f ca="1">$W382*AH382+($L382)*Summary_LCIA!Y$34</f>
        <v>1.5717621467072522</v>
      </c>
      <c r="BD382" s="16">
        <f ca="1">$W382*AI382+($L382)*Summary_LCIA!Z$34</f>
        <v>1.104692034394563</v>
      </c>
      <c r="BE382" s="16">
        <f ca="1">$W382*AJ382+($L382)*Summary_LCIA!AA$34</f>
        <v>4.2659674844636397</v>
      </c>
      <c r="BF382" s="16">
        <f ca="1">$W382*AK382+($L382)*Summary_LCIA!AB$34</f>
        <v>0.22080372568716611</v>
      </c>
      <c r="BG382" s="16">
        <f ca="1">$W382*AL382+($L382)*Summary_LCIA!AC$34</f>
        <v>1.1085325062362461E-4</v>
      </c>
      <c r="BH382" s="16">
        <f ca="1">$W382*AM382+($L382)*Summary_LCIA!AD$34</f>
        <v>0.32758057490528508</v>
      </c>
      <c r="BI382" s="16">
        <f ca="1">$W382*AN382+($L382)*Summary_LCIA!AE$34</f>
        <v>0.84306676724332075</v>
      </c>
      <c r="BJ382" s="16">
        <f ca="1">$W382*AO382+($L382)*Summary_LCIA!AF$34</f>
        <v>0.13778171888856605</v>
      </c>
      <c r="BK382" s="16">
        <f ca="1">$W382*AP382+($L382)*Summary_LCIA!AG$34</f>
        <v>1.2936222182766046E-2</v>
      </c>
      <c r="BL382" s="16">
        <f ca="1">$W382*AQ382+($L382)*Summary_LCIA!AH$34</f>
        <v>2.6307822710918294</v>
      </c>
      <c r="BM382" s="16">
        <f ca="1">$W382*AR382+($L382)*Summary_LCIA!AI$34</f>
        <v>0.85259236706540809</v>
      </c>
      <c r="BN382" s="16"/>
    </row>
    <row r="383" spans="1:66" x14ac:dyDescent="0.25">
      <c r="A383" s="159">
        <v>381</v>
      </c>
      <c r="B383" s="159">
        <v>6</v>
      </c>
      <c r="C383" s="45">
        <v>47.376887000000004</v>
      </c>
      <c r="D383" s="45">
        <v>8.5416939999999997</v>
      </c>
      <c r="E383" s="45" t="s">
        <v>271</v>
      </c>
      <c r="F383" s="159">
        <v>38</v>
      </c>
      <c r="G383" s="45" t="s">
        <v>567</v>
      </c>
      <c r="H383" s="45" t="s">
        <v>678</v>
      </c>
      <c r="I383" s="45">
        <v>48.353696999999997</v>
      </c>
      <c r="J383" s="45">
        <v>11.775111000000001</v>
      </c>
      <c r="K383" s="45">
        <v>287.26130230000001</v>
      </c>
      <c r="L383" s="45">
        <v>387.93700000000001</v>
      </c>
      <c r="M383" s="61" t="s">
        <v>589</v>
      </c>
      <c r="N383" s="159">
        <v>5</v>
      </c>
      <c r="O383" s="159">
        <v>6</v>
      </c>
      <c r="P383" s="45" t="s">
        <v>565</v>
      </c>
      <c r="Q383" s="45" t="s">
        <v>564</v>
      </c>
      <c r="R383" s="45">
        <v>41.98028</v>
      </c>
      <c r="S383" s="45">
        <v>-87.908997900000003</v>
      </c>
      <c r="T383" s="45"/>
      <c r="U383" s="45" t="s">
        <v>622</v>
      </c>
      <c r="V383" s="45" t="s">
        <v>569</v>
      </c>
      <c r="W383" s="45" cm="1">
        <f t="array" ref="W383">getDistance(R383,S383,I383,J383)*SA!$B$12</f>
        <v>7290.841395242107</v>
      </c>
      <c r="Y383" s="16">
        <f>Transportation_LCIA!C$61*($W383^Transportation_LCIA!C$60)+Transportation_LCIA!C$62</f>
        <v>0.13523543529493759</v>
      </c>
      <c r="Z383" s="16">
        <f>Transportation_LCIA!D$61*($W383^Transportation_LCIA!D$60)+Transportation_LCIA!D$62</f>
        <v>1.2870964385325641</v>
      </c>
      <c r="AA383" s="16">
        <f>Transportation_LCIA!E$61*($W383^Transportation_LCIA!E$60)+Transportation_LCIA!E$62</f>
        <v>4.0230180931615737E-4</v>
      </c>
      <c r="AB383" s="16">
        <f>Transportation_LCIA!F$61*($W383^Transportation_LCIA!F$60)+Transportation_LCIA!F$62</f>
        <v>0.13523543529493759</v>
      </c>
      <c r="AC383" s="16">
        <f>Transportation_LCIA!G$61*($W383^Transportation_LCIA!G$60)+Transportation_LCIA!G$62</f>
        <v>3.0302196071039959E-2</v>
      </c>
      <c r="AD383" s="16">
        <f>Transportation_LCIA!H$61*($W383^Transportation_LCIA!H$60)+Transportation_LCIA!H$62</f>
        <v>1.1641427944747871E-4</v>
      </c>
      <c r="AE383" s="16">
        <f>Transportation_LCIA!I$61*($W383^Transportation_LCIA!I$60)+Transportation_LCIA!I$62</f>
        <v>1.9913951681846798E-6</v>
      </c>
      <c r="AF383" s="16">
        <f>Transportation_LCIA!J$61*($W383^Transportation_LCIA!J$60)+Transportation_LCIA!J$62</f>
        <v>3.0132591753691267E-3</v>
      </c>
      <c r="AG383" s="16">
        <f>Transportation_LCIA!K$61*($W383^Transportation_LCIA!K$60)+Transportation_LCIA!K$62</f>
        <v>5.9937734665535189E-3</v>
      </c>
      <c r="AH383" s="16">
        <f>Transportation_LCIA!L$61*($W383^Transportation_LCIA!L$60)+Transportation_LCIA!L$62</f>
        <v>9.3583835641710154E-5</v>
      </c>
      <c r="AI383" s="16">
        <f>Transportation_LCIA!M$61*($W383^Transportation_LCIA!M$60)+Transportation_LCIA!M$62</f>
        <v>1.5517705405882002E-4</v>
      </c>
      <c r="AJ383" s="16">
        <f>Transportation_LCIA!N$61*($W383^Transportation_LCIA!N$60)+Transportation_LCIA!N$62</f>
        <v>4.494403484785802E-4</v>
      </c>
      <c r="AK383" s="16">
        <f>Transportation_LCIA!O$61*($W383^Transportation_LCIA!O$60)+Transportation_LCIA!O$62</f>
        <v>3.188803257699897E-5</v>
      </c>
      <c r="AL383" s="16">
        <f>Transportation_LCIA!P$61*($W383^Transportation_LCIA!P$60)+Transportation_LCIA!P$62</f>
        <v>1.546900405510386E-8</v>
      </c>
      <c r="AM383" s="16">
        <f>Transportation_LCIA!Q$61*($W383^Transportation_LCIA!Q$60)+Transportation_LCIA!Q$62</f>
        <v>3.7991390499638345E-5</v>
      </c>
      <c r="AN383" s="16">
        <f>Transportation_LCIA!R$61*($W383^Transportation_LCIA!R$60)+Transportation_LCIA!R$62</f>
        <v>9.6459661264163969E-5</v>
      </c>
      <c r="AO383" s="16">
        <f>Transportation_LCIA!S$61*($W383^Transportation_LCIA!S$60)+Transportation_LCIA!S$62</f>
        <v>1.6231700657029187E-6</v>
      </c>
      <c r="AP383" s="16">
        <f>Transportation_LCIA!T$61*($W383^Transportation_LCIA!T$60)+Transportation_LCIA!T$62</f>
        <v>1.6231700657029187E-6</v>
      </c>
      <c r="AQ383" s="16">
        <f>Transportation_LCIA!U$61*($W383^Transportation_LCIA!U$60)+Transportation_LCIA!U$62</f>
        <v>2.0034537038188444E-4</v>
      </c>
      <c r="AR383" s="16">
        <f>Transportation_LCIA!V$61*($W383^Transportation_LCIA!V$60)+Transportation_LCIA!V$62</f>
        <v>9.9551363133687748E-5</v>
      </c>
      <c r="AT383" s="16">
        <f>$W383*Y383+($L383)*Summary_LCIA!H$34</f>
        <v>1014.8666746459164</v>
      </c>
      <c r="AU383" s="16">
        <f ca="1">$W383*Z383+($L383)*Summary_LCIA!Q$34</f>
        <v>9863.1528043404178</v>
      </c>
      <c r="AV383" s="16">
        <f ca="1">$W383*AA383+($L383)*Summary_LCIA!R$34</f>
        <v>3.9249184189430366</v>
      </c>
      <c r="AW383" s="16">
        <f ca="1">$W383*AB383+($L383)*Summary_LCIA!S$34</f>
        <v>1014.4694271579165</v>
      </c>
      <c r="AX383" s="16">
        <f ca="1">$W383*AC383+($L383)*Summary_LCIA!T$34</f>
        <v>228.97548267248087</v>
      </c>
      <c r="AY383" s="16">
        <f ca="1">$W383*AD383+($L383)*Summary_LCIA!U$34</f>
        <v>1.5624069527929603</v>
      </c>
      <c r="AZ383" s="16">
        <f ca="1">$W383*AE383+($L383)*Summary_LCIA!V$34</f>
        <v>4.5977921467485985E-2</v>
      </c>
      <c r="BA383" s="16">
        <f ca="1">$W383*AF383+($L383)*Summary_LCIA!W$34</f>
        <v>41.579022143374317</v>
      </c>
      <c r="BB383" s="16">
        <f ca="1">$W383*AG383+($L383)*Summary_LCIA!X$34</f>
        <v>47.821094391652181</v>
      </c>
      <c r="BC383" s="16">
        <f ca="1">$W383*AH383+($L383)*Summary_LCIA!Y$34</f>
        <v>1.3470737460221143</v>
      </c>
      <c r="BD383" s="16">
        <f ca="1">$W383*AI383+($L383)*Summary_LCIA!Z$34</f>
        <v>1.1424294335087672</v>
      </c>
      <c r="BE383" s="16">
        <f ca="1">$W383*AJ383+($L383)*Summary_LCIA!AA$34</f>
        <v>4.0769571535796709</v>
      </c>
      <c r="BF383" s="16">
        <f ca="1">$W383*AK383+($L383)*Summary_LCIA!AB$34</f>
        <v>0.22979873187591293</v>
      </c>
      <c r="BG383" s="16">
        <f ca="1">$W383*AL383+($L383)*Summary_LCIA!AC$34</f>
        <v>1.1421047793581924E-4</v>
      </c>
      <c r="BH383" s="16">
        <f ca="1">$W383*AM383+($L383)*Summary_LCIA!AD$34</f>
        <v>0.32012003817757095</v>
      </c>
      <c r="BI383" s="16">
        <f ca="1">$W383*AN383+($L383)*Summary_LCIA!AE$34</f>
        <v>0.8196299150957983</v>
      </c>
      <c r="BJ383" s="16">
        <f ca="1">$W383*AO383+($L383)*Summary_LCIA!AF$34</f>
        <v>0.10410897032654469</v>
      </c>
      <c r="BK383" s="16">
        <f ca="1">$W383*AP383+($L383)*Summary_LCIA!AG$34</f>
        <v>1.289648580624469E-2</v>
      </c>
      <c r="BL383" s="16">
        <f ca="1">$W383*AQ383+($L383)*Summary_LCIA!AH$34</f>
        <v>2.3445231868253549</v>
      </c>
      <c r="BM383" s="16">
        <f ca="1">$W383*AR383+($L383)*Summary_LCIA!AI$34</f>
        <v>0.83472651203786963</v>
      </c>
      <c r="BN383" s="16"/>
    </row>
    <row r="384" spans="1:66" x14ac:dyDescent="0.25">
      <c r="A384" s="159">
        <v>382</v>
      </c>
      <c r="B384" s="159">
        <v>6</v>
      </c>
      <c r="C384" s="45">
        <v>35.679470000000002</v>
      </c>
      <c r="D384" s="45">
        <v>139.77990500000001</v>
      </c>
      <c r="E384" s="45" t="s">
        <v>272</v>
      </c>
      <c r="F384" s="159">
        <v>5</v>
      </c>
      <c r="G384" s="45" t="s">
        <v>620</v>
      </c>
      <c r="H384" s="45" t="s">
        <v>621</v>
      </c>
      <c r="I384" s="45">
        <v>35.549393000000002</v>
      </c>
      <c r="J384" s="45">
        <v>139.77983900000001</v>
      </c>
      <c r="K384" s="45">
        <v>34.915987389999998</v>
      </c>
      <c r="L384" s="45">
        <v>20.963999999999999</v>
      </c>
      <c r="M384" s="61" t="s">
        <v>617</v>
      </c>
      <c r="N384" s="159">
        <v>5</v>
      </c>
      <c r="O384" s="159">
        <v>6</v>
      </c>
      <c r="P384" s="45" t="s">
        <v>565</v>
      </c>
      <c r="Q384" s="45" t="s">
        <v>564</v>
      </c>
      <c r="R384" s="45">
        <v>41.98028</v>
      </c>
      <c r="S384" s="45">
        <v>-87.908997900000003</v>
      </c>
      <c r="T384" s="45"/>
      <c r="U384" s="45" t="s">
        <v>622</v>
      </c>
      <c r="V384" s="45" t="s">
        <v>569</v>
      </c>
      <c r="W384" s="45" cm="1">
        <f t="array" ref="W384">getDistance(R384,S384,I384,J384)*SA!$B$12</f>
        <v>10152.134638067957</v>
      </c>
      <c r="Y384" s="16">
        <f>Transportation_LCIA!C$61*($W384^Transportation_LCIA!C$60)+Transportation_LCIA!C$62</f>
        <v>0.12957131632566168</v>
      </c>
      <c r="Z384" s="16">
        <f>Transportation_LCIA!D$61*($W384^Transportation_LCIA!D$60)+Transportation_LCIA!D$62</f>
        <v>1.2268837089656575</v>
      </c>
      <c r="AA384" s="16">
        <f>Transportation_LCIA!E$61*($W384^Transportation_LCIA!E$60)+Transportation_LCIA!E$62</f>
        <v>3.6373713174750233E-4</v>
      </c>
      <c r="AB384" s="16">
        <f>Transportation_LCIA!F$61*($W384^Transportation_LCIA!F$60)+Transportation_LCIA!F$62</f>
        <v>0.12957131632566168</v>
      </c>
      <c r="AC384" s="16">
        <f>Transportation_LCIA!G$61*($W384^Transportation_LCIA!G$60)+Transportation_LCIA!G$62</f>
        <v>2.8901529748028624E-2</v>
      </c>
      <c r="AD384" s="16">
        <f>Transportation_LCIA!H$61*($W384^Transportation_LCIA!H$60)+Transportation_LCIA!H$62</f>
        <v>1.0836261482248398E-4</v>
      </c>
      <c r="AE384" s="16">
        <f>Transportation_LCIA!I$61*($W384^Transportation_LCIA!I$60)+Transportation_LCIA!I$62</f>
        <v>1.8049230483473731E-6</v>
      </c>
      <c r="AF384" s="16">
        <f>Transportation_LCIA!J$61*($W384^Transportation_LCIA!J$60)+Transportation_LCIA!J$62</f>
        <v>2.7502756349246987E-3</v>
      </c>
      <c r="AG384" s="16">
        <f>Transportation_LCIA!K$61*($W384^Transportation_LCIA!K$60)+Transportation_LCIA!K$62</f>
        <v>5.6818615020499709E-3</v>
      </c>
      <c r="AH384" s="16">
        <f>Transportation_LCIA!L$61*($W384^Transportation_LCIA!L$60)+Transportation_LCIA!L$62</f>
        <v>8.6355348976673414E-5</v>
      </c>
      <c r="AI384" s="16">
        <f>Transportation_LCIA!M$61*($W384^Transportation_LCIA!M$60)+Transportation_LCIA!M$62</f>
        <v>1.5074593020089161E-4</v>
      </c>
      <c r="AJ384" s="16">
        <f>Transportation_LCIA!N$61*($W384^Transportation_LCIA!N$60)+Transportation_LCIA!N$62</f>
        <v>4.2218930302060666E-4</v>
      </c>
      <c r="AK384" s="16">
        <f>Transportation_LCIA!O$61*($W384^Transportation_LCIA!O$60)+Transportation_LCIA!O$62</f>
        <v>3.0403454745448661E-5</v>
      </c>
      <c r="AL384" s="16">
        <f>Transportation_LCIA!P$61*($W384^Transportation_LCIA!P$60)+Transportation_LCIA!P$62</f>
        <v>1.475026552910432E-8</v>
      </c>
      <c r="AM384" s="16">
        <f>Transportation_LCIA!Q$61*($W384^Transportation_LCIA!Q$60)+Transportation_LCIA!Q$62</f>
        <v>3.5200955400195387E-5</v>
      </c>
      <c r="AN384" s="16">
        <f>Transportation_LCIA!R$61*($W384^Transportation_LCIA!R$60)+Transportation_LCIA!R$62</f>
        <v>8.7535769781348522E-5</v>
      </c>
      <c r="AO384" s="16">
        <f>Transportation_LCIA!S$61*($W384^Transportation_LCIA!S$60)+Transportation_LCIA!S$62</f>
        <v>1.4960474111894636E-6</v>
      </c>
      <c r="AP384" s="16">
        <f>Transportation_LCIA!T$61*($W384^Transportation_LCIA!T$60)+Transportation_LCIA!T$62</f>
        <v>1.4960474111894636E-6</v>
      </c>
      <c r="AQ384" s="16">
        <f>Transportation_LCIA!U$61*($W384^Transportation_LCIA!U$60)+Transportation_LCIA!U$62</f>
        <v>1.8108220553186345E-4</v>
      </c>
      <c r="AR384" s="16">
        <f>Transportation_LCIA!V$61*($W384^Transportation_LCIA!V$60)+Transportation_LCIA!V$62</f>
        <v>9.2410808792830294E-5</v>
      </c>
      <c r="AT384" s="16">
        <f>$W384*Y384+($L384)*Summary_LCIA!H$32</f>
        <v>1322.5490157698102</v>
      </c>
      <c r="AU384" s="16">
        <f>$W384*Z384+($L384)*Summary_LCIA!Q$32</f>
        <v>12559.38723994895</v>
      </c>
      <c r="AV384" s="16">
        <f>$W384*AA384+($L384)*Summary_LCIA!R$32</f>
        <v>3.8030963727653062</v>
      </c>
      <c r="AW384" s="16">
        <f>$W384*AB384+($L384)*Summary_LCIA!S$32</f>
        <v>1322.4563548898102</v>
      </c>
      <c r="AX384" s="16">
        <f>$W384*AC384+($L384)*Summary_LCIA!T$32</f>
        <v>295.7161648481129</v>
      </c>
      <c r="AY384" s="16">
        <f>$W384*AD384+($L384)*Summary_LCIA!U$32</f>
        <v>1.4756609514109558</v>
      </c>
      <c r="AZ384" s="16">
        <f>$W384*AE384+($L384)*Summary_LCIA!V$32</f>
        <v>1.9325083402174571E-2</v>
      </c>
      <c r="BA384" s="16">
        <f>$W384*AF384+($L384)*Summary_LCIA!W$32</f>
        <v>29.534788581553379</v>
      </c>
      <c r="BB384" s="16">
        <f>$W384*AG384+($L384)*Summary_LCIA!X$32</f>
        <v>58.160582883666336</v>
      </c>
      <c r="BC384" s="16">
        <f>$W384*AH384+($L384)*Summary_LCIA!Y$32</f>
        <v>1.2033521775285325</v>
      </c>
      <c r="BD384" s="16">
        <f>$W384*AI384+($L384)*Summary_LCIA!Z$32</f>
        <v>1.5312526922162462</v>
      </c>
      <c r="BE384" s="16">
        <f>$W384*AJ384+($L384)*Summary_LCIA!AA$32</f>
        <v>4.7757578310172697</v>
      </c>
      <c r="BF384" s="16">
        <f>$W384*AK384+($L384)*Summary_LCIA!AB$32</f>
        <v>0.30820246866620093</v>
      </c>
      <c r="BG384" s="16">
        <f>$W384*AL384+($L384)*Summary_LCIA!AC$32</f>
        <v>1.5077148577471975E-4</v>
      </c>
      <c r="BH384" s="16">
        <f>$W384*AM384+($L384)*Summary_LCIA!AD$32</f>
        <v>0.3659818811714089</v>
      </c>
      <c r="BI384" s="16">
        <f>$W384*AN384+($L384)*Summary_LCIA!AE$32</f>
        <v>0.90725174978717071</v>
      </c>
      <c r="BJ384" s="16">
        <f>$W384*AO384+($L384)*Summary_LCIA!AF$32</f>
        <v>3.2911459623328448E-2</v>
      </c>
      <c r="BK384" s="16">
        <f>$W384*AP384+($L384)*Summary_LCIA!AG$32</f>
        <v>1.626069780332845E-2</v>
      </c>
      <c r="BL384" s="16">
        <f>$W384*AQ384+($L384)*Summary_LCIA!AH$32</f>
        <v>2.0208332015177719</v>
      </c>
      <c r="BM384" s="16">
        <f>$W384*AR384+($L384)*Summary_LCIA!AI$32</f>
        <v>0.95769598707756731</v>
      </c>
      <c r="BN384" s="16"/>
    </row>
    <row r="387" spans="40:65" x14ac:dyDescent="0.25">
      <c r="AO387" t="s">
        <v>575</v>
      </c>
      <c r="AP387">
        <f>SUM(L342,L344,L347:L349,L353:L357,L359:L360,L363:L367,L371,L373,L376:L378,L381:L383)</f>
        <v>6555.445999999999</v>
      </c>
      <c r="AQ387" t="s">
        <v>292</v>
      </c>
      <c r="AS387" t="s">
        <v>581</v>
      </c>
      <c r="AT387" s="22">
        <f>SUM($L$342,$L$344,$L$347:$L$349,$L$353:$L$357,$L$359:$L$360,$L$363:$L$367,$L$371,$L$373,$L$376:$L$378,$L$381:$L$383)*Summary_LCIA!H$34</f>
        <v>488.1316200519999</v>
      </c>
      <c r="AU387" s="22">
        <f ca="1">SUM($L$342,$L$344,$L$347:$L$349,$L$353:$L$357,$L$359:$L$360,$L$363:$L$367,$L$371,$L$373,$L$376:$L$378,$L$381:$L$383)*Summary_LCIA!Q$34</f>
        <v>8096.5607524465786</v>
      </c>
      <c r="AV387" s="22">
        <f ca="1">SUM($L$342,$L$344,$L$347:$L$349,$L$353:$L$357,$L$359:$L$360,$L$363:$L$367,$L$371,$L$373,$L$376:$L$378,$L$381:$L$383)*Summary_LCIA!R$34</f>
        <v>16.759653243599999</v>
      </c>
      <c r="AW387" s="22">
        <f ca="1">SUM($L$342,$L$344,$L$347:$L$349,$L$353:$L$357,$L$359:$L$360,$L$363:$L$367,$L$371,$L$373,$L$376:$L$378,$L$381:$L$383)*Summary_LCIA!S$34</f>
        <v>481.41884334799994</v>
      </c>
      <c r="AX387" s="22">
        <f ca="1">SUM($L$342,$L$344,$L$347:$L$349,$L$353:$L$357,$L$359:$L$360,$L$363:$L$367,$L$371,$L$373,$L$376:$L$378,$L$381:$L$383)*Summary_LCIA!T$34</f>
        <v>135.97961637799997</v>
      </c>
      <c r="AY387" s="22">
        <f ca="1">SUM($L$342,$L$344,$L$347:$L$349,$L$353:$L$357,$L$359:$L$360,$L$363:$L$367,$L$371,$L$373,$L$376:$L$378,$L$381:$L$383)*Summary_LCIA!U$34</f>
        <v>12.059398461599999</v>
      </c>
      <c r="AZ387" s="22">
        <f ca="1">SUM($L$342,$L$344,$L$347:$L$349,$L$353:$L$357,$L$359:$L$360,$L$363:$L$367,$L$371,$L$373,$L$376:$L$378,$L$381:$L$383)*Summary_LCIA!V$34</f>
        <v>0.53160078247799991</v>
      </c>
      <c r="BA387" s="22">
        <f ca="1">SUM($L$342,$L$344,$L$347:$L$349,$L$353:$L$357,$L$359:$L$360,$L$363:$L$367,$L$371,$L$373,$L$376:$L$378,$L$381:$L$383)*Summary_LCIA!W$34</f>
        <v>331.37123985399995</v>
      </c>
      <c r="BB387" s="22">
        <f ca="1">SUM($L$342,$L$344,$L$347:$L$349,$L$353:$L$357,$L$359:$L$360,$L$363:$L$367,$L$371,$L$373,$L$376:$L$378,$L$381:$L$383)*Summary_LCIA!X$34</f>
        <v>69.645058303999988</v>
      </c>
      <c r="BC387" s="22">
        <f ca="1">SUM($L$342,$L$344,$L$347:$L$349,$L$353:$L$357,$L$359:$L$360,$L$363:$L$367,$L$371,$L$373,$L$376:$L$378,$L$381:$L$383)*Summary_LCIA!Y$34</f>
        <v>11.233412265599998</v>
      </c>
      <c r="BD387" s="22">
        <f ca="1">SUM($L$342,$L$344,$L$347:$L$349,$L$353:$L$357,$L$359:$L$360,$L$363:$L$367,$L$371,$L$373,$L$376:$L$378,$L$381:$L$383)*Summary_LCIA!Z$34</f>
        <v>0.18686298822999997</v>
      </c>
      <c r="BE387" s="22">
        <f ca="1">SUM($L$342,$L$344,$L$347:$L$349,$L$353:$L$357,$L$359:$L$360,$L$363:$L$367,$L$371,$L$373,$L$376:$L$378,$L$381:$L$383)*Summary_LCIA!AA$34</f>
        <v>13.521262919599998</v>
      </c>
      <c r="BF387" s="22">
        <f ca="1">SUM($L$342,$L$344,$L$347:$L$349,$L$353:$L$357,$L$359:$L$360,$L$363:$L$367,$L$371,$L$373,$L$376:$L$378,$L$381:$L$383)*Summary_LCIA!AB$34</f>
        <v>-4.5487584249399991E-2</v>
      </c>
      <c r="BG387" s="22">
        <f ca="1">SUM($L$342,$L$344,$L$347:$L$349,$L$353:$L$357,$L$359:$L$360,$L$363:$L$367,$L$371,$L$373,$L$376:$L$378,$L$381:$L$383)*Summary_LCIA!AC$34</f>
        <v>2.4137807716599997E-5</v>
      </c>
      <c r="BH387" s="22">
        <f ca="1">SUM($L$342,$L$344,$L$347:$L$349,$L$353:$L$357,$L$359:$L$360,$L$363:$L$367,$L$371,$L$373,$L$376:$L$378,$L$381:$L$383)*Summary_LCIA!AD$34</f>
        <v>0.72883448627999992</v>
      </c>
      <c r="BI387" s="22">
        <f ca="1">SUM($L$342,$L$344,$L$347:$L$349,$L$353:$L$357,$L$359:$L$360,$L$363:$L$367,$L$371,$L$373,$L$376:$L$378,$L$381:$L$383)*Summary_LCIA!AE$34</f>
        <v>1.9662404732399998</v>
      </c>
      <c r="BJ387" s="22">
        <f ca="1">SUM($L$342,$L$344,$L$347:$L$349,$L$353:$L$357,$L$359:$L$360,$L$363:$L$367,$L$371,$L$373,$L$376:$L$378,$L$381:$L$383)*Summary_LCIA!AF$34</f>
        <v>1.5592783855599999</v>
      </c>
      <c r="BK387" s="22">
        <f ca="1">SUM($L$342,$L$344,$L$347:$L$349,$L$353:$L$357,$L$359:$L$360,$L$363:$L$367,$L$371,$L$373,$L$376:$L$378,$L$381:$L$383)*Summary_LCIA!AG$34</f>
        <v>1.7949466692599999E-2</v>
      </c>
      <c r="BL387" s="22">
        <f ca="1">SUM($L$342,$L$344,$L$347:$L$349,$L$353:$L$357,$L$359:$L$360,$L$363:$L$367,$L$371,$L$373,$L$376:$L$378,$L$381:$L$383)*Summary_LCIA!AH$34</f>
        <v>14.935272621799998</v>
      </c>
      <c r="BM387" s="22">
        <f ca="1">SUM($L$342,$L$344,$L$347:$L$349,$L$353:$L$357,$L$359:$L$360,$L$363:$L$367,$L$371,$L$373,$L$376:$L$378,$L$381:$L$383)*Summary_LCIA!AI$34</f>
        <v>1.8404414644999998</v>
      </c>
    </row>
    <row r="388" spans="40:65" x14ac:dyDescent="0.25">
      <c r="AO388" t="s">
        <v>574</v>
      </c>
      <c r="AP388">
        <f>SUM(T2:T48,L49:L341,L343,L345:L346,L350:L352,L358,L361:L362,L368:L370,L372,L374:L375,L379:L380,L384)</f>
        <v>32591.381000000016</v>
      </c>
      <c r="AQ388" t="s">
        <v>292</v>
      </c>
      <c r="AS388" t="s">
        <v>580</v>
      </c>
      <c r="AT388" s="7">
        <f>SUM(AT2:AT48)+SUM($L$49:$L$341,$L$343,$L$345:$L$346,$L$350:$L$352,$L$358,$L$361:$L$362,$L$368:$L$370,$L$372,$L$374:$L$375,$L$379:$L$380,$L$384)*Summary_LCIA!H$32</f>
        <v>11074.551263799993</v>
      </c>
      <c r="AU388" s="7">
        <f>SUM(AU2:AU48)+SUM($L$49:$L$341,$L$343,$L$345:$L$346,$L$350:$L$352,$L$358,$L$361:$L$362,$L$368:$L$370,$L$372,$L$374:$L$375,$L$379:$L$380,$L$384)*Summary_LCIA!Q$32</f>
        <v>161524.52791711784</v>
      </c>
      <c r="AV388" s="7">
        <f>SUM(AV2:AV48)+SUM($L$49:$L$341,$L$343,$L$345:$L$346,$L$350:$L$352,$L$358,$L$361:$L$362,$L$368:$L$370,$L$372,$L$374:$L$375,$L$379:$L$380,$L$384)*Summary_LCIA!R$32</f>
        <v>171.61317579359988</v>
      </c>
      <c r="AW388" s="7">
        <f>SUM(AW2:AW48)+SUM($L$49:$L$341,$L$343,$L$345:$L$346,$L$350:$L$352,$L$358,$L$361:$L$362,$L$368:$L$370,$L$372,$L$374:$L$375,$L$379:$L$380,$L$384)*Summary_LCIA!S$32</f>
        <v>10930.497359779991</v>
      </c>
      <c r="AX388" s="7">
        <f>SUM(AX2:AX48)+SUM($L$49:$L$341,$L$343,$L$345:$L$346,$L$350:$L$352,$L$358,$L$361:$L$362,$L$368:$L$370,$L$372,$L$374:$L$375,$L$379:$L$380,$L$384)*Summary_LCIA!T$32</f>
        <v>3581.7927718999977</v>
      </c>
      <c r="AY388" s="7">
        <f>SUM(AY2:AY48)+SUM($L$49:$L$341,$L$343,$L$345:$L$346,$L$350:$L$352,$L$358,$L$361:$L$362,$L$368:$L$370,$L$372,$L$374:$L$375,$L$379:$L$380,$L$384)*Summary_LCIA!U$32</f>
        <v>583.84199923399956</v>
      </c>
      <c r="AZ388" s="7">
        <f>SUM(AZ2:AZ48)+SUM($L$49:$L$341,$L$343,$L$345:$L$346,$L$350:$L$352,$L$358,$L$361:$L$362,$L$368:$L$370,$L$372,$L$374:$L$375,$L$379:$L$380,$L$384)*Summary_LCIA!V$32</f>
        <v>1.5565969479409989</v>
      </c>
      <c r="BA388" s="7">
        <f>SUM(BA2:BA48)+SUM($L$49:$L$341,$L$343,$L$345:$L$346,$L$350:$L$352,$L$358,$L$361:$L$362,$L$368:$L$370,$L$372,$L$374:$L$375,$L$379:$L$380,$L$384)*Summary_LCIA!W$32</f>
        <v>2508.5911869509982</v>
      </c>
      <c r="BB388" s="7">
        <f>SUM(BB2:BB48)+SUM($L$49:$L$341,$L$343,$L$345:$L$346,$L$350:$L$352,$L$358,$L$361:$L$362,$L$368:$L$370,$L$372,$L$374:$L$375,$L$379:$L$380,$L$384)*Summary_LCIA!X$32</f>
        <v>742.43165917999943</v>
      </c>
      <c r="BC388" s="7">
        <f>SUM(BC2:BC48)+SUM($L$49:$L$341,$L$343,$L$345:$L$346,$L$350:$L$352,$L$358,$L$361:$L$362,$L$368:$L$370,$L$372,$L$374:$L$375,$L$379:$L$380,$L$384)*Summary_LCIA!Y$32</f>
        <v>507.83889874199957</v>
      </c>
      <c r="BD388" s="7">
        <f>SUM(BD2:BD48)+SUM($L$49:$L$341,$L$343,$L$345:$L$346,$L$350:$L$352,$L$358,$L$361:$L$362,$L$368:$L$370,$L$372,$L$374:$L$375,$L$379:$L$380,$L$384)*Summary_LCIA!Z$32</f>
        <v>1.3365399434289991</v>
      </c>
      <c r="BE388" s="7">
        <f>SUM(BE2:BE48)+SUM($L$49:$L$341,$L$343,$L$345:$L$346,$L$350:$L$352,$L$358,$L$361:$L$362,$L$368:$L$370,$L$372,$L$374:$L$375,$L$379:$L$380,$L$384)*Summary_LCIA!AA$32</f>
        <v>761.2042946359993</v>
      </c>
      <c r="BF388" s="7">
        <f>SUM(BF2:BF48)+SUM($L$49:$L$341,$L$343,$L$345:$L$346,$L$350:$L$352,$L$358,$L$361:$L$362,$L$368:$L$370,$L$372,$L$374:$L$375,$L$379:$L$380,$L$384)*Summary_LCIA!AB$32</f>
        <v>-0.71124170756299954</v>
      </c>
      <c r="BG388" s="7">
        <f>SUM(BG2:BG48)+SUM($L$49:$L$341,$L$343,$L$345:$L$346,$L$350:$L$352,$L$358,$L$361:$L$362,$L$368:$L$370,$L$372,$L$374:$L$375,$L$379:$L$380,$L$384)*Summary_LCIA!AC$32</f>
        <v>1.5931970688039991E-3</v>
      </c>
      <c r="BH388" s="7">
        <f>SUM(BH2:BH48)+SUM($L$49:$L$341,$L$343,$L$345:$L$346,$L$350:$L$352,$L$358,$L$361:$L$362,$L$368:$L$370,$L$372,$L$374:$L$375,$L$379:$L$380,$L$384)*Summary_LCIA!AD$32</f>
        <v>13.396361246239991</v>
      </c>
      <c r="BI388" s="7">
        <f>SUM(BI2:BI48)+SUM($L$49:$L$341,$L$343,$L$345:$L$346,$L$350:$L$352,$L$358,$L$361:$L$362,$L$368:$L$370,$L$372,$L$374:$L$375,$L$379:$L$380,$L$384)*Summary_LCIA!AE$32</f>
        <v>28.880200445529979</v>
      </c>
      <c r="BJ388" s="7">
        <f>SUM(BJ2:BJ48)+SUM($L$49:$L$341,$L$343,$L$345:$L$346,$L$350:$L$352,$L$358,$L$361:$L$362,$L$368:$L$370,$L$372,$L$374:$L$375,$L$379:$L$380,$L$384)*Summary_LCIA!AF$32</f>
        <v>27.553405325019984</v>
      </c>
      <c r="BK388" s="7">
        <f>SUM(BK2:BK48)+SUM($L$49:$L$341,$L$343,$L$345:$L$346,$L$350:$L$352,$L$358,$L$361:$L$362,$L$368:$L$370,$L$372,$L$374:$L$375,$L$379:$L$380,$L$384)*Summary_LCIA!AG$32</f>
        <v>1.6675380088649989</v>
      </c>
      <c r="BL388" s="7">
        <f>SUM(BL2:BL48)+SUM($L$49:$L$341,$L$343,$L$345:$L$346,$L$350:$L$352,$L$358,$L$361:$L$362,$L$368:$L$370,$L$372,$L$374:$L$375,$L$379:$L$380,$L$384)*Summary_LCIA!AH$32</f>
        <v>283.66234367159984</v>
      </c>
      <c r="BM388" s="7">
        <f>SUM(BM2:BM48)+SUM($L$49:$L$341,$L$343,$L$345:$L$346,$L$350:$L$352,$L$358,$L$361:$L$362,$L$368:$L$370,$L$372,$L$374:$L$375,$L$379:$L$380,$L$384)*Summary_LCIA!AI$32</f>
        <v>30.360500970549978</v>
      </c>
    </row>
    <row r="389" spans="40:65" x14ac:dyDescent="0.25">
      <c r="AO389" t="s">
        <v>573</v>
      </c>
      <c r="AP389" s="69">
        <f>SUM(W49:W384)</f>
        <v>747458.9302883069</v>
      </c>
      <c r="AQ389" t="s">
        <v>292</v>
      </c>
      <c r="AS389" t="s">
        <v>579</v>
      </c>
      <c r="AT389" s="7">
        <f>SUM(AT49:AT384)-SUM($L$342,$L$344,$L$347:$L$349,$L$353:$L$357,$L$359:$L$360,$L$363:$L$367,$L$371,$L$373,$L$376:$L$378,$L$381:$L$383)*Summary_LCIA!H$34-SUM($L$49:$L$341,$L$343,$L$345:$L$346,$L$350:$L$352,$L$358,$L$361:$L$362,$L$368:$L$370,$L$372,$L$374:$L$375,$L$379:$L$380,$L$384)*Summary_LCIA!H$32</f>
        <v>128589.16795553606</v>
      </c>
      <c r="AU389" s="69">
        <f ca="1">SUM(AU49:AU384)-SUM($L$342,$L$344,$L$347:$L$349,$L$353:$L$357,$L$359:$L$360,$L$363:$L$367,$L$371,$L$373,$L$376:$L$378,$L$381:$L$383)*Summary_LCIA!Q$34-SUM($L$49:$L$341,$L$343,$L$345:$L$346,$L$350:$L$352,$L$358,$L$361:$L$362,$L$368:$L$370,$L$372,$L$374:$L$375,$L$379:$L$380,$L$384)*Summary_LCIA!Q$32</f>
        <v>1271860.963729202</v>
      </c>
      <c r="AV389" s="69">
        <f ca="1">SUM(AV49:AV384)-SUM($L$342,$L$344,$L$347:$L$349,$L$353:$L$357,$L$359:$L$360,$L$363:$L$367,$L$371,$L$373,$L$376:$L$378,$L$381:$L$383)*Summary_LCIA!R$34-SUM($L$49:$L$341,$L$343,$L$345:$L$346,$L$350:$L$352,$L$358,$L$361:$L$362,$L$368:$L$370,$L$372,$L$374:$L$375,$L$379:$L$380,$L$384)*Summary_LCIA!R$32</f>
        <v>502.40377180377908</v>
      </c>
      <c r="AW389" s="69">
        <f ca="1">SUM(AW49:AW384)-SUM($L$342,$L$344,$L$347:$L$349,$L$353:$L$357,$L$359:$L$360,$L$363:$L$367,$L$371,$L$373,$L$376:$L$378,$L$381:$L$383)*Summary_LCIA!S$34-SUM($L$49:$L$341,$L$343,$L$345:$L$346,$L$350:$L$352,$L$358,$L$361:$L$362,$L$368:$L$370,$L$372,$L$374:$L$375,$L$379:$L$380,$L$384)*Summary_LCIA!S$32</f>
        <v>128589.16795553615</v>
      </c>
      <c r="AX389" s="69">
        <f ca="1">SUM(AX49:AX384)-SUM($L$342,$L$344,$L$347:$L$349,$L$353:$L$357,$L$359:$L$360,$L$363:$L$367,$L$371,$L$373,$L$376:$L$378,$L$381:$L$383)*Summary_LCIA!T$34-SUM($L$49:$L$341,$L$343,$L$345:$L$346,$L$350:$L$352,$L$358,$L$361:$L$362,$L$368:$L$370,$L$372,$L$374:$L$375,$L$379:$L$380,$L$384)*Summary_LCIA!T$32</f>
        <v>29832.025675544486</v>
      </c>
      <c r="AY389" s="69">
        <f ca="1">SUM(AY49:AY384)-SUM($L$342,$L$344,$L$347:$L$349,$L$353:$L$357,$L$359:$L$360,$L$363:$L$367,$L$371,$L$373,$L$376:$L$378,$L$381:$L$383)*Summary_LCIA!U$34-SUM($L$49:$L$341,$L$343,$L$345:$L$346,$L$350:$L$352,$L$358,$L$361:$L$362,$L$368:$L$370,$L$372,$L$374:$L$375,$L$379:$L$380,$L$384)*Summary_LCIA!U$32</f>
        <v>130.51744126487176</v>
      </c>
      <c r="AZ389" s="69">
        <f ca="1">SUM(AZ49:AZ384)-SUM($L$342,$L$344,$L$347:$L$349,$L$353:$L$357,$L$359:$L$360,$L$363:$L$367,$L$371,$L$373,$L$376:$L$378,$L$381:$L$383)*Summary_LCIA!V$34-SUM($L$49:$L$341,$L$343,$L$345:$L$346,$L$350:$L$352,$L$358,$L$361:$L$362,$L$368:$L$370,$L$372,$L$374:$L$375,$L$379:$L$380,$L$384)*Summary_LCIA!V$32</f>
        <v>2.5505939164489178</v>
      </c>
      <c r="BA389" s="69">
        <f ca="1">SUM(BA49:BA384)-SUM($L$342,$L$344,$L$347:$L$349,$L$353:$L$357,$L$359:$L$360,$L$363:$L$367,$L$371,$L$373,$L$376:$L$378,$L$381:$L$383)*Summary_LCIA!W$34-SUM($L$49:$L$341,$L$343,$L$345:$L$346,$L$350:$L$352,$L$358,$L$361:$L$362,$L$368:$L$370,$L$372,$L$374:$L$375,$L$379:$L$380,$L$384)*Summary_LCIA!W$32</f>
        <v>3803.2130384294305</v>
      </c>
      <c r="BB389" s="69">
        <f ca="1">SUM(BB49:BB384)-SUM($L$342,$L$344,$L$347:$L$349,$L$353:$L$357,$L$359:$L$360,$L$363:$L$367,$L$371,$L$373,$L$376:$L$378,$L$381:$L$383)*Summary_LCIA!X$34-SUM($L$49:$L$341,$L$343,$L$345:$L$346,$L$350:$L$352,$L$358,$L$361:$L$362,$L$368:$L$370,$L$372,$L$374:$L$375,$L$379:$L$380,$L$384)*Summary_LCIA!X$32</f>
        <v>6127.3265144956522</v>
      </c>
      <c r="BC389" s="69">
        <f ca="1">SUM(BC49:BC384)-SUM($L$342,$L$344,$L$347:$L$349,$L$353:$L$357,$L$359:$L$360,$L$363:$L$367,$L$371,$L$373,$L$376:$L$378,$L$381:$L$383)*Summary_LCIA!Y$34-SUM($L$49:$L$341,$L$343,$L$345:$L$346,$L$350:$L$352,$L$358,$L$361:$L$362,$L$368:$L$370,$L$372,$L$374:$L$375,$L$379:$L$380,$L$384)*Summary_LCIA!Y$32</f>
        <v>109.59432375578638</v>
      </c>
      <c r="BD389" s="69">
        <f ca="1">SUM(BD49:BD384)-SUM($L$342,$L$344,$L$347:$L$349,$L$353:$L$357,$L$359:$L$360,$L$363:$L$367,$L$371,$L$373,$L$376:$L$378,$L$381:$L$383)*Summary_LCIA!Z$34-SUM($L$49:$L$341,$L$343,$L$345:$L$346,$L$350:$L$352,$L$358,$L$361:$L$362,$L$368:$L$370,$L$372,$L$374:$L$375,$L$379:$L$380,$L$384)*Summary_LCIA!Z$32</f>
        <v>139.97207744755462</v>
      </c>
      <c r="BE389" s="69">
        <f ca="1">SUM(BE49:BE384)-SUM($L$342,$L$344,$L$347:$L$349,$L$353:$L$357,$L$359:$L$360,$L$363:$L$367,$L$371,$L$373,$L$376:$L$378,$L$381:$L$383)*Summary_LCIA!AA$34-SUM($L$49:$L$341,$L$343,$L$345:$L$346,$L$350:$L$352,$L$358,$L$361:$L$362,$L$368:$L$370,$L$372,$L$374:$L$375,$L$379:$L$380,$L$384)*Summary_LCIA!AA$32</f>
        <v>482.56067832049149</v>
      </c>
      <c r="BF389" s="69">
        <f ca="1">SUM(BF49:BF384)-SUM($L$342,$L$344,$L$347:$L$349,$L$353:$L$357,$L$359:$L$360,$L$363:$L$367,$L$371,$L$373,$L$376:$L$378,$L$381:$L$383)*Summary_LCIA!AB$34-SUM($L$49:$L$341,$L$343,$L$345:$L$346,$L$350:$L$352,$L$358,$L$361:$L$362,$L$368:$L$370,$L$372,$L$374:$L$375,$L$379:$L$380,$L$384)*Summary_LCIA!AB$32</f>
        <v>31.459825687725207</v>
      </c>
      <c r="BG389" s="69">
        <f ca="1">SUM(BG49:BG384)-SUM($L$342,$L$344,$L$347:$L$349,$L$353:$L$357,$L$359:$L$360,$L$363:$L$367,$L$371,$L$373,$L$376:$L$378,$L$381:$L$383)*Summary_LCIA!AC$34-SUM($L$49:$L$341,$L$343,$L$345:$L$346,$L$350:$L$352,$L$358,$L$361:$L$362,$L$368:$L$370,$L$372,$L$374:$L$375,$L$379:$L$380,$L$384)*Summary_LCIA!AC$32</f>
        <v>1.523798620194736E-2</v>
      </c>
      <c r="BH389" s="69">
        <f ca="1">SUM(BH49:BH384)-SUM($L$342,$L$344,$L$347:$L$349,$L$353:$L$357,$L$359:$L$360,$L$363:$L$367,$L$371,$L$373,$L$376:$L$378,$L$381:$L$383)*Summary_LCIA!AD$34-SUM($L$49:$L$341,$L$343,$L$345:$L$346,$L$350:$L$352,$L$358,$L$361:$L$362,$L$368:$L$370,$L$372,$L$374:$L$375,$L$379:$L$380,$L$384)*Summary_LCIA!AD$32</f>
        <v>43.825186400503227</v>
      </c>
      <c r="BI389" s="69">
        <f ca="1">SUM(BI49:BI384)-SUM($L$342,$L$344,$L$347:$L$349,$L$353:$L$357,$L$359:$L$360,$L$363:$L$367,$L$371,$L$373,$L$376:$L$378,$L$381:$L$383)*Summary_LCIA!AE$34-SUM($L$49:$L$341,$L$343,$L$345:$L$346,$L$350:$L$352,$L$358,$L$361:$L$362,$L$368:$L$370,$L$372,$L$374:$L$375,$L$379:$L$380,$L$384)*Summary_LCIA!AE$32</f>
        <v>122.99355666418325</v>
      </c>
      <c r="BJ389" s="69">
        <f ca="1">SUM(BJ49:BJ384)-SUM($L$342,$L$344,$L$347:$L$349,$L$353:$L$357,$L$359:$L$360,$L$363:$L$367,$L$371,$L$373,$L$376:$L$378,$L$381:$L$383)*Summary_LCIA!AF$34-SUM($L$49:$L$341,$L$343,$L$345:$L$346,$L$350:$L$352,$L$358,$L$361:$L$362,$L$368:$L$370,$L$372,$L$374:$L$375,$L$379:$L$380,$L$384)*Summary_LCIA!AF$32</f>
        <v>1.9365268043563404</v>
      </c>
      <c r="BK389" s="69">
        <f ca="1">SUM(BK49:BK384)-SUM($L$342,$L$344,$L$347:$L$349,$L$353:$L$357,$L$359:$L$360,$L$363:$L$367,$L$371,$L$373,$L$376:$L$378,$L$381:$L$383)*Summary_LCIA!AG$34-SUM($L$49:$L$341,$L$343,$L$345:$L$346,$L$350:$L$352,$L$358,$L$361:$L$362,$L$368:$L$370,$L$372,$L$374:$L$375,$L$379:$L$380,$L$384)*Summary_LCIA!AG$32</f>
        <v>1.9365268043563257</v>
      </c>
      <c r="BL389" s="69">
        <f ca="1">SUM(BL49:BL384)-SUM($L$342,$L$344,$L$347:$L$349,$L$353:$L$357,$L$359:$L$360,$L$363:$L$367,$L$371,$L$373,$L$376:$L$378,$L$381:$L$383)*Summary_LCIA!AH$34-SUM($L$49:$L$341,$L$343,$L$345:$L$346,$L$350:$L$352,$L$358,$L$361:$L$362,$L$368:$L$370,$L$372,$L$374:$L$375,$L$379:$L$380,$L$384)*Summary_LCIA!AH$32</f>
        <v>260.72258505310504</v>
      </c>
      <c r="BM389" s="69">
        <f ca="1">SUM(BM49:BM384)-SUM($L$342,$L$344,$L$347:$L$349,$L$353:$L$357,$L$359:$L$360,$L$363:$L$367,$L$371,$L$373,$L$376:$L$378,$L$381:$L$383)*Summary_LCIA!AI$34-SUM($L$49:$L$341,$L$343,$L$345:$L$346,$L$350:$L$352,$L$358,$L$361:$L$362,$L$368:$L$370,$L$372,$L$374:$L$375,$L$379:$L$380,$L$384)*Summary_LCIA!AI$32</f>
        <v>114.30481255121703</v>
      </c>
    </row>
    <row r="391" spans="40:65" x14ac:dyDescent="0.25">
      <c r="AO391" t="str">
        <f>'ACLCA_raw data'!I2</f>
        <v>total number of participants (w. location &amp; w/o duplication)</v>
      </c>
      <c r="AP391">
        <f>'ACLCA_raw data'!J2</f>
        <v>383</v>
      </c>
      <c r="AQ391" t="s">
        <v>291</v>
      </c>
      <c r="AS391" t="s">
        <v>583</v>
      </c>
      <c r="AT391">
        <f>AT387/$AP$391</f>
        <v>1.2744950915195821</v>
      </c>
      <c r="AU391">
        <f t="shared" ref="AU391:BM393" ca="1" si="22">AU387/$AP$391</f>
        <v>21.139845306649029</v>
      </c>
      <c r="AV391">
        <f t="shared" ca="1" si="22"/>
        <v>4.3758885753524802E-2</v>
      </c>
      <c r="AW391">
        <f t="shared" ca="1" si="22"/>
        <v>1.2569682593942557</v>
      </c>
      <c r="AX391">
        <f t="shared" ca="1" si="22"/>
        <v>0.35503816286684065</v>
      </c>
      <c r="AY391">
        <f t="shared" ca="1" si="22"/>
        <v>3.1486680056396862E-2</v>
      </c>
      <c r="AZ391">
        <f t="shared" ca="1" si="22"/>
        <v>1.3879915991592687E-3</v>
      </c>
      <c r="BA391">
        <f t="shared" ca="1" si="22"/>
        <v>0.86519905967101818</v>
      </c>
      <c r="BB391">
        <f t="shared" ca="1" si="22"/>
        <v>0.18184088330026107</v>
      </c>
      <c r="BC391">
        <f t="shared" ca="1" si="22"/>
        <v>2.9330058134725844E-2</v>
      </c>
      <c r="BD391">
        <f t="shared" ca="1" si="22"/>
        <v>4.8789291966057434E-4</v>
      </c>
      <c r="BE391">
        <f t="shared" ca="1" si="22"/>
        <v>3.5303558536814619E-2</v>
      </c>
      <c r="BF391">
        <f t="shared" ca="1" si="22"/>
        <v>-1.1876653851018274E-4</v>
      </c>
      <c r="BG391">
        <f t="shared" ca="1" si="22"/>
        <v>6.3022996649086158E-8</v>
      </c>
      <c r="BH391">
        <f t="shared" ca="1" si="22"/>
        <v>1.9029621051697126E-3</v>
      </c>
      <c r="BI391">
        <f t="shared" ca="1" si="22"/>
        <v>5.1337871363968668E-3</v>
      </c>
      <c r="BJ391">
        <f t="shared" ca="1" si="22"/>
        <v>4.0712229387989554E-3</v>
      </c>
      <c r="BK391">
        <f t="shared" ca="1" si="22"/>
        <v>4.6865448283550911E-5</v>
      </c>
      <c r="BL391">
        <f t="shared" ca="1" si="22"/>
        <v>3.8995489874151433E-2</v>
      </c>
      <c r="BM391">
        <f t="shared" ca="1" si="22"/>
        <v>4.8053301945169711E-3</v>
      </c>
    </row>
    <row r="392" spans="40:65" x14ac:dyDescent="0.25">
      <c r="AN392" t="s">
        <v>589</v>
      </c>
      <c r="AO392" t="s">
        <v>578</v>
      </c>
      <c r="AP392">
        <f>AP387/$AP$391</f>
        <v>17.116046997389031</v>
      </c>
      <c r="AQ392" t="s">
        <v>292</v>
      </c>
      <c r="AS392" t="s">
        <v>584</v>
      </c>
      <c r="AT392">
        <f>AT388/$AP$391</f>
        <v>28.915277451174916</v>
      </c>
      <c r="AU392">
        <f t="shared" si="22"/>
        <v>421.7350598358168</v>
      </c>
      <c r="AV392">
        <f t="shared" si="22"/>
        <v>0.4480761770067882</v>
      </c>
      <c r="AW392">
        <f t="shared" si="22"/>
        <v>28.539157597336789</v>
      </c>
      <c r="AX392">
        <f t="shared" si="22"/>
        <v>9.3519393522193148</v>
      </c>
      <c r="AY392">
        <f t="shared" si="22"/>
        <v>1.5243916429086151</v>
      </c>
      <c r="AZ392">
        <f t="shared" si="22"/>
        <v>4.0642217961905976E-3</v>
      </c>
      <c r="BA392">
        <f t="shared" si="22"/>
        <v>6.5498464411253217</v>
      </c>
      <c r="BB392">
        <f t="shared" si="22"/>
        <v>1.9384638620887713</v>
      </c>
      <c r="BC392">
        <f t="shared" si="22"/>
        <v>1.3259501272637064</v>
      </c>
      <c r="BD392">
        <f t="shared" si="22"/>
        <v>3.4896604267075693E-3</v>
      </c>
      <c r="BE392">
        <f t="shared" si="22"/>
        <v>1.9874785760731053</v>
      </c>
      <c r="BF392">
        <f t="shared" si="22"/>
        <v>-1.8570279570835498E-3</v>
      </c>
      <c r="BG392">
        <f t="shared" si="22"/>
        <v>4.1597834694621391E-6</v>
      </c>
      <c r="BH392">
        <f t="shared" si="22"/>
        <v>3.4977444507154024E-2</v>
      </c>
      <c r="BI392">
        <f t="shared" si="22"/>
        <v>7.5405223095378532E-2</v>
      </c>
      <c r="BJ392">
        <f t="shared" si="22"/>
        <v>7.1941006070548263E-2</v>
      </c>
      <c r="BK392">
        <f t="shared" si="22"/>
        <v>4.353885140639684E-3</v>
      </c>
      <c r="BL392">
        <f t="shared" si="22"/>
        <v>0.74063275110078286</v>
      </c>
      <c r="BM392">
        <f t="shared" si="22"/>
        <v>7.9270237521018222E-2</v>
      </c>
    </row>
    <row r="393" spans="40:65" x14ac:dyDescent="0.25">
      <c r="AN393" t="s">
        <v>590</v>
      </c>
      <c r="AO393" t="s">
        <v>577</v>
      </c>
      <c r="AP393">
        <f>AP388/$AP$391</f>
        <v>85.094989556135815</v>
      </c>
      <c r="AQ393" t="s">
        <v>292</v>
      </c>
      <c r="AS393" t="s">
        <v>585</v>
      </c>
      <c r="AT393">
        <f>AT389/$AP$391*IF(SA!$B$9="-", 1,0)+IF(SA!$B$9&lt;&gt;"-", $AP$389*SA!$B$9/$AP$391,0)</f>
        <v>335.74195288651714</v>
      </c>
      <c r="AU393">
        <f t="shared" ca="1" si="22"/>
        <v>3320.7858060814674</v>
      </c>
      <c r="AV393">
        <f t="shared" ca="1" si="22"/>
        <v>1.3117591953101282</v>
      </c>
      <c r="AW393">
        <f t="shared" ca="1" si="22"/>
        <v>335.74195288651737</v>
      </c>
      <c r="AX393">
        <f t="shared" ca="1" si="22"/>
        <v>77.890406463562627</v>
      </c>
      <c r="AY393">
        <f t="shared" ca="1" si="22"/>
        <v>0.34077660904666257</v>
      </c>
      <c r="AZ393">
        <f t="shared" ca="1" si="22"/>
        <v>6.6595141421642761E-3</v>
      </c>
      <c r="BA393">
        <f t="shared" ca="1" si="22"/>
        <v>9.9300601525572603</v>
      </c>
      <c r="BB393">
        <f t="shared" ca="1" si="22"/>
        <v>15.998241552207968</v>
      </c>
      <c r="BC393">
        <f t="shared" ca="1" si="22"/>
        <v>0.28614705941458585</v>
      </c>
      <c r="BD393">
        <f t="shared" ca="1" si="22"/>
        <v>0.36546234320510346</v>
      </c>
      <c r="BE393">
        <f t="shared" ca="1" si="22"/>
        <v>1.2599495517506305</v>
      </c>
      <c r="BF393" s="16">
        <f ca="1">BF389/$AP$391</f>
        <v>8.2140537043668943E-2</v>
      </c>
      <c r="BG393">
        <f t="shared" ca="1" si="22"/>
        <v>3.9785864757042713E-5</v>
      </c>
      <c r="BH393">
        <f t="shared" ca="1" si="22"/>
        <v>0.11442607415274994</v>
      </c>
      <c r="BI393">
        <f ca="1">BI389/$AP$391</f>
        <v>0.3211320017341599</v>
      </c>
      <c r="BJ393">
        <f t="shared" ca="1" si="22"/>
        <v>5.0562057554995833E-3</v>
      </c>
      <c r="BK393">
        <f t="shared" ca="1" si="22"/>
        <v>5.0562057554995451E-3</v>
      </c>
      <c r="BL393">
        <f t="shared" ca="1" si="22"/>
        <v>0.68073781998199745</v>
      </c>
      <c r="BM393">
        <f t="shared" ca="1" si="22"/>
        <v>0.29844598577341258</v>
      </c>
    </row>
    <row r="394" spans="40:65" x14ac:dyDescent="0.25">
      <c r="AN394" t="s">
        <v>591</v>
      </c>
      <c r="AO394" t="s">
        <v>576</v>
      </c>
      <c r="AP394">
        <f>AP389/$AP$391</f>
        <v>1951.5898963141171</v>
      </c>
      <c r="AQ394" t="s">
        <v>292</v>
      </c>
    </row>
    <row r="395" spans="40:65" x14ac:dyDescent="0.25">
      <c r="AS395" t="s">
        <v>588</v>
      </c>
      <c r="AT395">
        <f>AT387/$AP$387</f>
        <v>7.4462E-2</v>
      </c>
      <c r="AU395">
        <f t="shared" ref="AU395:BM395" ca="1" si="23">AU387/$AP$387</f>
        <v>1.23508923</v>
      </c>
      <c r="AV395">
        <f t="shared" ca="1" si="23"/>
        <v>2.5566E-3</v>
      </c>
      <c r="AW395">
        <f t="shared" ca="1" si="23"/>
        <v>7.3438000000000003E-2</v>
      </c>
      <c r="AX395">
        <f t="shared" ca="1" si="23"/>
        <v>2.0742999999999998E-2</v>
      </c>
      <c r="AY395">
        <f t="shared" ca="1" si="23"/>
        <v>1.8396E-3</v>
      </c>
      <c r="AZ395">
        <f t="shared" ca="1" si="23"/>
        <v>8.1093000000000004E-5</v>
      </c>
      <c r="BA395">
        <f t="shared" ca="1" si="23"/>
        <v>5.0549000000000004E-2</v>
      </c>
      <c r="BB395">
        <f t="shared" ca="1" si="23"/>
        <v>1.0624E-2</v>
      </c>
      <c r="BC395">
        <f t="shared" ca="1" si="23"/>
        <v>1.7136E-3</v>
      </c>
      <c r="BD395">
        <f t="shared" ca="1" si="23"/>
        <v>2.8504999999999999E-5</v>
      </c>
      <c r="BE395">
        <f t="shared" ca="1" si="23"/>
        <v>2.0625999999999999E-3</v>
      </c>
      <c r="BF395">
        <f t="shared" ca="1" si="23"/>
        <v>-6.9388999999999998E-6</v>
      </c>
      <c r="BG395">
        <f t="shared" ca="1" si="23"/>
        <v>3.6821000000000003E-9</v>
      </c>
      <c r="BH395">
        <f t="shared" ca="1" si="23"/>
        <v>1.1118E-4</v>
      </c>
      <c r="BI395">
        <f t="shared" ca="1" si="23"/>
        <v>2.9994E-4</v>
      </c>
      <c r="BJ395">
        <f t="shared" ca="1" si="23"/>
        <v>2.3786E-4</v>
      </c>
      <c r="BK395">
        <f t="shared" ca="1" si="23"/>
        <v>2.7381000000000001E-6</v>
      </c>
      <c r="BL395">
        <f t="shared" ca="1" si="23"/>
        <v>2.2783E-3</v>
      </c>
      <c r="BM395">
        <f t="shared" ca="1" si="23"/>
        <v>2.8075000000000002E-4</v>
      </c>
    </row>
    <row r="396" spans="40:65" x14ac:dyDescent="0.25">
      <c r="AS396" t="s">
        <v>587</v>
      </c>
      <c r="AT396">
        <f>AT388/$AP$388</f>
        <v>0.3397999999999996</v>
      </c>
      <c r="AU396">
        <f t="shared" ref="AU396:BM396" si="24">AU388/$AP$388</f>
        <v>4.9560504329999935</v>
      </c>
      <c r="AV396">
        <f t="shared" si="24"/>
        <v>5.2655999999999935E-3</v>
      </c>
      <c r="AW396">
        <f t="shared" si="24"/>
        <v>0.33537999999999957</v>
      </c>
      <c r="AX396">
        <f t="shared" si="24"/>
        <v>0.10989999999999987</v>
      </c>
      <c r="AY396">
        <f t="shared" si="24"/>
        <v>1.7913999999999979E-2</v>
      </c>
      <c r="AZ396">
        <f t="shared" si="24"/>
        <v>4.7760999999999945E-5</v>
      </c>
      <c r="BA396">
        <f t="shared" si="24"/>
        <v>7.6970999999999914E-2</v>
      </c>
      <c r="BB396">
        <f t="shared" si="24"/>
        <v>2.277999999999997E-2</v>
      </c>
      <c r="BC396">
        <f t="shared" si="24"/>
        <v>1.558199999999998E-2</v>
      </c>
      <c r="BD396">
        <f t="shared" si="24"/>
        <v>4.1008999999999952E-5</v>
      </c>
      <c r="BE396">
        <f t="shared" si="24"/>
        <v>2.3355999999999967E-2</v>
      </c>
      <c r="BF396">
        <f t="shared" si="24"/>
        <v>-2.1822999999999974E-5</v>
      </c>
      <c r="BG396">
        <f t="shared" si="24"/>
        <v>4.888399999999995E-8</v>
      </c>
      <c r="BH396">
        <f t="shared" si="24"/>
        <v>4.1103999999999951E-4</v>
      </c>
      <c r="BI396">
        <f t="shared" si="24"/>
        <v>8.8612999999999897E-4</v>
      </c>
      <c r="BJ396">
        <f t="shared" si="24"/>
        <v>8.4541999999999907E-4</v>
      </c>
      <c r="BK396">
        <f t="shared" si="24"/>
        <v>5.1164999999999941E-5</v>
      </c>
      <c r="BL396">
        <f t="shared" si="24"/>
        <v>8.7035999999999902E-3</v>
      </c>
      <c r="BM396">
        <f t="shared" si="24"/>
        <v>9.3154999999999887E-4</v>
      </c>
    </row>
    <row r="397" spans="40:65" x14ac:dyDescent="0.25">
      <c r="AS397" t="s">
        <v>586</v>
      </c>
      <c r="AT397">
        <f>AT389/$AP$389</f>
        <v>0.17203509483248419</v>
      </c>
      <c r="AU397">
        <f t="shared" ref="AU397:BM397" ca="1" si="25">AU389/$AP$389</f>
        <v>1.7015797285860574</v>
      </c>
      <c r="AV397">
        <f t="shared" ca="1" si="25"/>
        <v>6.7214899902258689E-4</v>
      </c>
      <c r="AW397">
        <f t="shared" ca="1" si="25"/>
        <v>0.1720350948324843</v>
      </c>
      <c r="AX397">
        <f t="shared" ca="1" si="25"/>
        <v>3.9911257283444052E-2</v>
      </c>
      <c r="AY397">
        <f t="shared" ca="1" si="25"/>
        <v>1.7461486641751552E-4</v>
      </c>
      <c r="AZ397">
        <f t="shared" ca="1" si="25"/>
        <v>3.4123532586133029E-6</v>
      </c>
      <c r="BA397">
        <f t="shared" ca="1" si="25"/>
        <v>5.0881899784948319E-3</v>
      </c>
      <c r="BB397">
        <f t="shared" ca="1" si="25"/>
        <v>8.1975427226914574E-3</v>
      </c>
      <c r="BC397">
        <f t="shared" ca="1" si="25"/>
        <v>1.4662253578736975E-4</v>
      </c>
      <c r="BD397">
        <f t="shared" ca="1" si="25"/>
        <v>1.8726390410984207E-4</v>
      </c>
      <c r="BE397">
        <f t="shared" ca="1" si="25"/>
        <v>6.4560159597579507E-4</v>
      </c>
      <c r="BF397">
        <f t="shared" ca="1" si="25"/>
        <v>4.208903581577472E-5</v>
      </c>
      <c r="BG397">
        <f t="shared" ca="1" si="25"/>
        <v>2.0386385906272901E-8</v>
      </c>
      <c r="BH397">
        <f t="shared" ca="1" si="25"/>
        <v>5.8632233323641139E-5</v>
      </c>
      <c r="BI397">
        <f t="shared" ca="1" si="25"/>
        <v>1.6454891590731634E-4</v>
      </c>
      <c r="BJ397">
        <f t="shared" ca="1" si="25"/>
        <v>2.5908136566237705E-6</v>
      </c>
      <c r="BK397">
        <f t="shared" ca="1" si="25"/>
        <v>2.5908136566237511E-6</v>
      </c>
      <c r="BL397">
        <f t="shared" ca="1" si="25"/>
        <v>3.4881192061286917E-4</v>
      </c>
      <c r="BM397">
        <f t="shared" ca="1" si="25"/>
        <v>1.5292453928823598E-4</v>
      </c>
    </row>
    <row r="399" spans="40:65" x14ac:dyDescent="0.25">
      <c r="AT399" s="57"/>
      <c r="AU399" s="57"/>
      <c r="AV399" s="57"/>
      <c r="AW399" s="57"/>
      <c r="AX399" s="57"/>
      <c r="AY399" s="57"/>
      <c r="AZ399" s="57"/>
      <c r="BA399" s="57"/>
      <c r="BB399" s="57"/>
      <c r="BC399" s="57"/>
      <c r="BD399" s="57"/>
      <c r="BE399" s="57"/>
      <c r="BF399" s="57"/>
      <c r="BG399" s="57"/>
      <c r="BH399" s="57"/>
      <c r="BI399" s="57"/>
      <c r="BJ399" s="57"/>
      <c r="BK399" s="57"/>
      <c r="BL399" s="57"/>
      <c r="BM399" s="57"/>
    </row>
    <row r="400" spans="40:65" x14ac:dyDescent="0.25">
      <c r="AT400" s="57"/>
      <c r="AU400" s="57"/>
      <c r="AV400" s="57"/>
      <c r="AW400" s="57"/>
      <c r="AX400" s="57"/>
      <c r="AY400" s="57"/>
      <c r="AZ400" s="57"/>
      <c r="BA400" s="57"/>
      <c r="BB400" s="57"/>
      <c r="BC400" s="57"/>
      <c r="BD400" s="57"/>
      <c r="BE400" s="57"/>
      <c r="BF400" s="57"/>
      <c r="BG400" s="57"/>
      <c r="BH400" s="57"/>
      <c r="BI400" s="57"/>
      <c r="BJ400" s="57"/>
      <c r="BK400" s="57"/>
      <c r="BL400" s="57"/>
      <c r="BM400" s="57"/>
    </row>
    <row r="401" spans="8:23" x14ac:dyDescent="0.25">
      <c r="H401" s="57"/>
      <c r="I401" s="57"/>
      <c r="J401" s="57"/>
      <c r="K401" s="57"/>
    </row>
    <row r="402" spans="8:23" x14ac:dyDescent="0.25">
      <c r="H402" s="57"/>
      <c r="I402" s="57"/>
      <c r="J402" s="57"/>
      <c r="K402" s="57"/>
    </row>
    <row r="403" spans="8:23" x14ac:dyDescent="0.25">
      <c r="H403" s="57"/>
      <c r="I403" s="57"/>
      <c r="J403" s="57"/>
      <c r="K403" s="57"/>
      <c r="W403" s="46"/>
    </row>
    <row r="404" spans="8:23" x14ac:dyDescent="0.25">
      <c r="H404" s="57"/>
      <c r="I404" s="57"/>
      <c r="J404" s="57"/>
      <c r="K404" s="57"/>
      <c r="W404" s="46"/>
    </row>
    <row r="405" spans="8:23" x14ac:dyDescent="0.25">
      <c r="H405" s="57"/>
      <c r="I405" s="57"/>
      <c r="J405" s="57"/>
      <c r="K405" s="57"/>
      <c r="W405" s="46"/>
    </row>
    <row r="406" spans="8:23" x14ac:dyDescent="0.25">
      <c r="W406" s="46"/>
    </row>
    <row r="407" spans="8:23" x14ac:dyDescent="0.25">
      <c r="W407" s="46"/>
    </row>
    <row r="408" spans="8:23" x14ac:dyDescent="0.25">
      <c r="W408" s="46"/>
    </row>
    <row r="409" spans="8:23" x14ac:dyDescent="0.25">
      <c r="W409" s="46"/>
    </row>
    <row r="410" spans="8:23" x14ac:dyDescent="0.25">
      <c r="W410" s="46"/>
    </row>
    <row r="411" spans="8:23" x14ac:dyDescent="0.25">
      <c r="W411" s="46"/>
    </row>
    <row r="412" spans="8:23" x14ac:dyDescent="0.25">
      <c r="W412" s="46"/>
    </row>
    <row r="413" spans="8:23" x14ac:dyDescent="0.25">
      <c r="W413" s="46"/>
    </row>
    <row r="414" spans="8:23" x14ac:dyDescent="0.25">
      <c r="W414" s="4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45250-92CF-4A06-9E2B-75AAE729B011}">
  <sheetPr codeName="Sheet20"/>
  <dimension ref="A1:BM396"/>
  <sheetViews>
    <sheetView topLeftCell="M334" zoomScale="60" zoomScaleNormal="60" workbookViewId="0">
      <selection activeCell="AO393" sqref="AO393"/>
    </sheetView>
  </sheetViews>
  <sheetFormatPr defaultRowHeight="15" x14ac:dyDescent="0.25"/>
  <cols>
    <col min="1" max="2" width="9.28515625" style="149" bestFit="1" customWidth="1"/>
    <col min="3" max="4" width="9.28515625" style="76" bestFit="1" customWidth="1"/>
    <col min="5" max="5" width="9.140625" style="76"/>
    <col min="6" max="6" width="9.28515625" style="149" bestFit="1" customWidth="1"/>
    <col min="7" max="8" width="9.140625" style="76"/>
    <col min="9" max="12" width="9.28515625" style="76" bestFit="1" customWidth="1"/>
    <col min="13" max="13" width="9.140625" style="76"/>
    <col min="14" max="15" width="9.28515625" style="149" bestFit="1" customWidth="1"/>
    <col min="16" max="17" width="9.140625" style="76"/>
    <col min="18" max="20" width="9.28515625" style="76" bestFit="1" customWidth="1"/>
    <col min="21" max="22" width="9.140625" style="76"/>
    <col min="23" max="23" width="13.140625" style="76" bestFit="1" customWidth="1"/>
    <col min="24" max="24" width="13" style="76" customWidth="1"/>
    <col min="25" max="44" width="10.7109375" style="76" customWidth="1"/>
    <col min="45" max="45" width="9.140625" style="76"/>
    <col min="46" max="65" width="10.7109375" style="76" customWidth="1"/>
    <col min="66" max="16384" width="9.140625" style="76"/>
  </cols>
  <sheetData>
    <row r="1" spans="1:65" x14ac:dyDescent="0.25">
      <c r="A1" s="149" t="s">
        <v>562</v>
      </c>
      <c r="B1" s="149" t="s">
        <v>601</v>
      </c>
      <c r="C1" s="61" t="s">
        <v>602</v>
      </c>
      <c r="D1" s="61" t="s">
        <v>603</v>
      </c>
      <c r="E1" s="61" t="s">
        <v>604</v>
      </c>
      <c r="F1" s="149" t="s">
        <v>605</v>
      </c>
      <c r="G1" s="61" t="s">
        <v>606</v>
      </c>
      <c r="H1" s="61" t="s">
        <v>607</v>
      </c>
      <c r="I1" s="61" t="s">
        <v>608</v>
      </c>
      <c r="J1" s="61" t="s">
        <v>609</v>
      </c>
      <c r="K1" s="61" t="s">
        <v>563</v>
      </c>
      <c r="L1" s="61" t="s">
        <v>610</v>
      </c>
      <c r="M1" s="61" t="s">
        <v>568</v>
      </c>
      <c r="N1" s="149" t="s">
        <v>611</v>
      </c>
      <c r="O1" s="149" t="s">
        <v>560</v>
      </c>
      <c r="P1" s="61" t="s">
        <v>612</v>
      </c>
      <c r="Q1" s="61" t="s">
        <v>317</v>
      </c>
      <c r="R1" s="61" t="s">
        <v>288</v>
      </c>
      <c r="S1" s="61" t="s">
        <v>289</v>
      </c>
      <c r="T1" s="61" t="s">
        <v>613</v>
      </c>
      <c r="U1" s="61" t="s">
        <v>614</v>
      </c>
      <c r="V1" s="61" t="s">
        <v>732</v>
      </c>
      <c r="W1" s="61" t="s">
        <v>733</v>
      </c>
      <c r="Y1" s="137" t="s">
        <v>0</v>
      </c>
      <c r="Z1" s="137" t="s">
        <v>156</v>
      </c>
      <c r="AA1" s="137" t="s">
        <v>164</v>
      </c>
      <c r="AB1" s="137" t="s">
        <v>165</v>
      </c>
      <c r="AC1" s="137" t="s">
        <v>166</v>
      </c>
      <c r="AD1" s="137" t="s">
        <v>167</v>
      </c>
      <c r="AE1" s="137" t="s">
        <v>168</v>
      </c>
      <c r="AF1" s="137" t="s">
        <v>169</v>
      </c>
      <c r="AG1" s="137" t="s">
        <v>170</v>
      </c>
      <c r="AH1" s="137" t="s">
        <v>171</v>
      </c>
      <c r="AI1" s="137" t="s">
        <v>172</v>
      </c>
      <c r="AJ1" s="137" t="s">
        <v>173</v>
      </c>
      <c r="AK1" s="137" t="s">
        <v>174</v>
      </c>
      <c r="AL1" s="137" t="s">
        <v>175</v>
      </c>
      <c r="AM1" s="137" t="s">
        <v>176</v>
      </c>
      <c r="AN1" s="137" t="s">
        <v>177</v>
      </c>
      <c r="AO1" s="137" t="s">
        <v>178</v>
      </c>
      <c r="AP1" s="137" t="s">
        <v>179</v>
      </c>
      <c r="AQ1" s="137" t="s">
        <v>180</v>
      </c>
      <c r="AR1" s="137" t="s">
        <v>181</v>
      </c>
      <c r="AT1" s="137" t="str">
        <f>Y1</f>
        <v>GWP</v>
      </c>
      <c r="AU1" s="137" t="str">
        <f t="shared" ref="AU1:BL1" si="0">Z1</f>
        <v>CED</v>
      </c>
      <c r="AV1" s="137" t="str">
        <f t="shared" si="0"/>
        <v>ALOP</v>
      </c>
      <c r="AW1" s="137" t="str">
        <f t="shared" si="0"/>
        <v>GWP100</v>
      </c>
      <c r="AX1" s="137" t="str">
        <f t="shared" si="0"/>
        <v>FDP</v>
      </c>
      <c r="AY1" s="137" t="str">
        <f t="shared" si="0"/>
        <v>FETPinf</v>
      </c>
      <c r="AZ1" s="137" t="str">
        <f t="shared" si="0"/>
        <v>FEP</v>
      </c>
      <c r="BA1" s="137" t="str">
        <f t="shared" si="0"/>
        <v>HTPinf</v>
      </c>
      <c r="BB1" s="137" t="str">
        <f t="shared" si="0"/>
        <v>IRP_HE</v>
      </c>
      <c r="BC1" s="137" t="str">
        <f t="shared" si="0"/>
        <v>METPinf</v>
      </c>
      <c r="BD1" s="137" t="str">
        <f t="shared" si="0"/>
        <v>MEP</v>
      </c>
      <c r="BE1" s="137" t="str">
        <f t="shared" si="0"/>
        <v>MDP</v>
      </c>
      <c r="BF1" s="137" t="str">
        <f t="shared" si="0"/>
        <v>NLTP</v>
      </c>
      <c r="BG1" s="137" t="str">
        <f t="shared" si="0"/>
        <v>ODPinf</v>
      </c>
      <c r="BH1" s="137" t="str">
        <f t="shared" si="0"/>
        <v>PMFP</v>
      </c>
      <c r="BI1" s="137" t="str">
        <f t="shared" si="0"/>
        <v>POFP</v>
      </c>
      <c r="BJ1" s="137" t="str">
        <f t="shared" si="0"/>
        <v>TAP100</v>
      </c>
      <c r="BK1" s="137" t="str">
        <f t="shared" si="0"/>
        <v>TETPinf</v>
      </c>
      <c r="BL1" s="137" t="str">
        <f t="shared" si="0"/>
        <v>ULOP</v>
      </c>
      <c r="BM1" s="137" t="str">
        <f>AR1</f>
        <v>WDP</v>
      </c>
    </row>
    <row r="2" spans="1:65" x14ac:dyDescent="0.25">
      <c r="A2" s="149">
        <v>381</v>
      </c>
      <c r="B2" s="149">
        <v>15</v>
      </c>
      <c r="C2" s="61">
        <v>47.376887000000004</v>
      </c>
      <c r="D2" s="61">
        <v>8.5416939999999997</v>
      </c>
      <c r="E2" s="61" t="s">
        <v>271</v>
      </c>
      <c r="F2" s="149">
        <v>38</v>
      </c>
      <c r="G2" s="61" t="s">
        <v>567</v>
      </c>
      <c r="H2" s="61" t="s">
        <v>678</v>
      </c>
      <c r="I2" s="61">
        <v>48.353696999999997</v>
      </c>
      <c r="J2" s="61">
        <v>11.775111000000001</v>
      </c>
      <c r="K2" s="61">
        <v>287.26130230000001</v>
      </c>
      <c r="L2" s="61">
        <v>387.93700000000001</v>
      </c>
      <c r="M2" s="61" t="s">
        <v>589</v>
      </c>
      <c r="N2" s="149">
        <v>14</v>
      </c>
      <c r="O2" s="149">
        <v>15</v>
      </c>
      <c r="P2" s="61" t="s">
        <v>567</v>
      </c>
      <c r="Q2" s="61" t="s">
        <v>566</v>
      </c>
      <c r="R2" s="61">
        <v>50.037932599999998</v>
      </c>
      <c r="S2" s="61">
        <v>8.5621518000000005</v>
      </c>
      <c r="T2" s="61">
        <v>417.82600000000002</v>
      </c>
      <c r="U2" s="61" t="s">
        <v>589</v>
      </c>
      <c r="V2" s="61" t="s">
        <v>589</v>
      </c>
      <c r="W2" s="61"/>
      <c r="X2" s="61"/>
      <c r="Y2" s="137">
        <f>Summary_LCIA!H$34</f>
        <v>7.4462E-2</v>
      </c>
      <c r="Z2" s="137">
        <f ca="1">Summary_LCIA!Q$34</f>
        <v>1.23508923</v>
      </c>
      <c r="AA2" s="137">
        <f ca="1">Summary_LCIA!R$34</f>
        <v>2.5566E-3</v>
      </c>
      <c r="AB2" s="137">
        <f ca="1">Summary_LCIA!S$34</f>
        <v>7.3438000000000003E-2</v>
      </c>
      <c r="AC2" s="137">
        <f ca="1">Summary_LCIA!T$34</f>
        <v>2.0743000000000001E-2</v>
      </c>
      <c r="AD2" s="137">
        <f ca="1">Summary_LCIA!U$34</f>
        <v>1.8396E-3</v>
      </c>
      <c r="AE2" s="137">
        <f ca="1">Summary_LCIA!V$34</f>
        <v>8.1093000000000004E-5</v>
      </c>
      <c r="AF2" s="137">
        <f ca="1">Summary_LCIA!W$34</f>
        <v>5.0548999999999997E-2</v>
      </c>
      <c r="AG2" s="137">
        <f ca="1">Summary_LCIA!X$34</f>
        <v>1.0624E-2</v>
      </c>
      <c r="AH2" s="137">
        <f ca="1">Summary_LCIA!Y$34</f>
        <v>1.7136E-3</v>
      </c>
      <c r="AI2" s="137">
        <f ca="1">Summary_LCIA!Z$34</f>
        <v>2.8504999999999999E-5</v>
      </c>
      <c r="AJ2" s="137">
        <f ca="1">Summary_LCIA!AA$34</f>
        <v>2.0625999999999999E-3</v>
      </c>
      <c r="AK2" s="137">
        <f ca="1">Summary_LCIA!AB$34</f>
        <v>-6.9388999999999998E-6</v>
      </c>
      <c r="AL2" s="137">
        <f ca="1">Summary_LCIA!AC$34</f>
        <v>3.6820999999999999E-9</v>
      </c>
      <c r="AM2" s="137">
        <f ca="1">Summary_LCIA!AD$34</f>
        <v>1.1118E-4</v>
      </c>
      <c r="AN2" s="137">
        <f ca="1">Summary_LCIA!AE$34</f>
        <v>2.9994E-4</v>
      </c>
      <c r="AO2" s="137">
        <f ca="1">Summary_LCIA!AF$34</f>
        <v>2.3786E-4</v>
      </c>
      <c r="AP2" s="137">
        <f ca="1">Summary_LCIA!AG$34</f>
        <v>2.7381000000000001E-6</v>
      </c>
      <c r="AQ2" s="137">
        <f ca="1">Summary_LCIA!AH$34</f>
        <v>2.2783E-3</v>
      </c>
      <c r="AR2" s="137">
        <f ca="1">Summary_LCIA!AI$34</f>
        <v>2.8075000000000002E-4</v>
      </c>
      <c r="AT2" s="137">
        <f>$T2*Y2</f>
        <v>31.112159612000003</v>
      </c>
      <c r="AU2" s="137">
        <f t="shared" ref="AU2:BM15" ca="1" si="1">$T2*Z2</f>
        <v>516.05239261398003</v>
      </c>
      <c r="AV2" s="137">
        <f t="shared" ca="1" si="1"/>
        <v>1.0682139516</v>
      </c>
      <c r="AW2" s="137">
        <f t="shared" ca="1" si="1"/>
        <v>30.684305788000003</v>
      </c>
      <c r="AX2" s="137">
        <f t="shared" ca="1" si="1"/>
        <v>8.6669647180000009</v>
      </c>
      <c r="AY2" s="137">
        <f t="shared" ca="1" si="1"/>
        <v>0.76863270960000007</v>
      </c>
      <c r="AZ2" s="137">
        <f t="shared" ca="1" si="1"/>
        <v>3.3882763818000004E-2</v>
      </c>
      <c r="BA2" s="137">
        <f t="shared" ca="1" si="1"/>
        <v>21.120686473999999</v>
      </c>
      <c r="BB2" s="137">
        <f t="shared" ca="1" si="1"/>
        <v>4.4389834239999999</v>
      </c>
      <c r="BC2" s="137">
        <f t="shared" ca="1" si="1"/>
        <v>0.71598663360000003</v>
      </c>
      <c r="BD2" s="137">
        <f t="shared" ca="1" si="1"/>
        <v>1.191013013E-2</v>
      </c>
      <c r="BE2" s="137">
        <f t="shared" ca="1" si="1"/>
        <v>0.86180790760000003</v>
      </c>
      <c r="BF2" s="137">
        <f t="shared" ca="1" si="1"/>
        <v>-2.8992528314000002E-3</v>
      </c>
      <c r="BG2" s="137">
        <f t="shared" ca="1" si="1"/>
        <v>1.5384771146E-6</v>
      </c>
      <c r="BH2" s="137">
        <f t="shared" ca="1" si="1"/>
        <v>4.6453894680000003E-2</v>
      </c>
      <c r="BI2" s="137">
        <f t="shared" ca="1" si="1"/>
        <v>0.12532273044</v>
      </c>
      <c r="BJ2" s="137">
        <f t="shared" ca="1" si="1"/>
        <v>9.9384092360000009E-2</v>
      </c>
      <c r="BK2" s="137">
        <f t="shared" ca="1" si="1"/>
        <v>1.1440493706000002E-3</v>
      </c>
      <c r="BL2" s="137">
        <f t="shared" ca="1" si="1"/>
        <v>0.95193297580000003</v>
      </c>
      <c r="BM2" s="137">
        <f t="shared" ca="1" si="1"/>
        <v>0.11730464950000001</v>
      </c>
    </row>
    <row r="3" spans="1:65" x14ac:dyDescent="0.25">
      <c r="A3" s="149">
        <v>153</v>
      </c>
      <c r="B3" s="149">
        <v>15</v>
      </c>
      <c r="C3" s="61">
        <v>48.790447</v>
      </c>
      <c r="D3" s="61">
        <v>11.497889000000001</v>
      </c>
      <c r="E3" s="61" t="s">
        <v>281</v>
      </c>
      <c r="F3" s="149">
        <v>38</v>
      </c>
      <c r="G3" s="61" t="s">
        <v>567</v>
      </c>
      <c r="H3" s="61" t="s">
        <v>678</v>
      </c>
      <c r="I3" s="61">
        <v>48.353696999999997</v>
      </c>
      <c r="J3" s="61">
        <v>11.775111000000001</v>
      </c>
      <c r="K3" s="61">
        <v>55.559302189999997</v>
      </c>
      <c r="L3" s="61">
        <v>128.94999999999999</v>
      </c>
      <c r="M3" s="61" t="s">
        <v>589</v>
      </c>
      <c r="N3" s="149">
        <v>14</v>
      </c>
      <c r="O3" s="149">
        <v>15</v>
      </c>
      <c r="P3" s="61" t="s">
        <v>567</v>
      </c>
      <c r="Q3" s="61" t="s">
        <v>566</v>
      </c>
      <c r="R3" s="61">
        <v>50.037932599999998</v>
      </c>
      <c r="S3" s="61">
        <v>8.5621518000000005</v>
      </c>
      <c r="T3" s="61">
        <v>379.20299999999997</v>
      </c>
      <c r="U3" s="61" t="s">
        <v>589</v>
      </c>
      <c r="V3" s="61" t="s">
        <v>589</v>
      </c>
      <c r="W3" s="61"/>
      <c r="X3" s="61"/>
      <c r="Y3" s="137">
        <f>Summary_LCIA!H$34</f>
        <v>7.4462E-2</v>
      </c>
      <c r="Z3" s="137">
        <f ca="1">Summary_LCIA!Q$34</f>
        <v>1.23508923</v>
      </c>
      <c r="AA3" s="137">
        <f ca="1">Summary_LCIA!R$34</f>
        <v>2.5566E-3</v>
      </c>
      <c r="AB3" s="137">
        <f ca="1">Summary_LCIA!S$34</f>
        <v>7.3438000000000003E-2</v>
      </c>
      <c r="AC3" s="137">
        <f ca="1">Summary_LCIA!T$34</f>
        <v>2.0743000000000001E-2</v>
      </c>
      <c r="AD3" s="137">
        <f ca="1">Summary_LCIA!U$34</f>
        <v>1.8396E-3</v>
      </c>
      <c r="AE3" s="137">
        <f ca="1">Summary_LCIA!V$34</f>
        <v>8.1093000000000004E-5</v>
      </c>
      <c r="AF3" s="137">
        <f ca="1">Summary_LCIA!W$34</f>
        <v>5.0548999999999997E-2</v>
      </c>
      <c r="AG3" s="137">
        <f ca="1">Summary_LCIA!X$34</f>
        <v>1.0624E-2</v>
      </c>
      <c r="AH3" s="137">
        <f ca="1">Summary_LCIA!Y$34</f>
        <v>1.7136E-3</v>
      </c>
      <c r="AI3" s="137">
        <f ca="1">Summary_LCIA!Z$34</f>
        <v>2.8504999999999999E-5</v>
      </c>
      <c r="AJ3" s="137">
        <f ca="1">Summary_LCIA!AA$34</f>
        <v>2.0625999999999999E-3</v>
      </c>
      <c r="AK3" s="137">
        <f ca="1">Summary_LCIA!AB$34</f>
        <v>-6.9388999999999998E-6</v>
      </c>
      <c r="AL3" s="137">
        <f ca="1">Summary_LCIA!AC$34</f>
        <v>3.6820999999999999E-9</v>
      </c>
      <c r="AM3" s="137">
        <f ca="1">Summary_LCIA!AD$34</f>
        <v>1.1118E-4</v>
      </c>
      <c r="AN3" s="137">
        <f ca="1">Summary_LCIA!AE$34</f>
        <v>2.9994E-4</v>
      </c>
      <c r="AO3" s="137">
        <f ca="1">Summary_LCIA!AF$34</f>
        <v>2.3786E-4</v>
      </c>
      <c r="AP3" s="137">
        <f ca="1">Summary_LCIA!AG$34</f>
        <v>2.7381000000000001E-6</v>
      </c>
      <c r="AQ3" s="137">
        <f ca="1">Summary_LCIA!AH$34</f>
        <v>2.2783E-3</v>
      </c>
      <c r="AR3" s="137">
        <f ca="1">Summary_LCIA!AI$34</f>
        <v>2.8075000000000002E-4</v>
      </c>
      <c r="AT3" s="137">
        <f t="shared" ref="AT3:AT59" si="2">$T3*Y3</f>
        <v>28.236213785999997</v>
      </c>
      <c r="AU3" s="137">
        <f t="shared" ca="1" si="1"/>
        <v>468.34954128368997</v>
      </c>
      <c r="AV3" s="137">
        <f t="shared" ca="1" si="1"/>
        <v>0.96947038979999989</v>
      </c>
      <c r="AW3" s="137">
        <f t="shared" ca="1" si="1"/>
        <v>27.847909913999999</v>
      </c>
      <c r="AX3" s="137">
        <f t="shared" ca="1" si="1"/>
        <v>7.8658078289999995</v>
      </c>
      <c r="AY3" s="137">
        <f t="shared" ca="1" si="1"/>
        <v>0.69758183880000002</v>
      </c>
      <c r="AZ3" s="137">
        <f t="shared" ca="1" si="1"/>
        <v>3.0750708878999999E-2</v>
      </c>
      <c r="BA3" s="137">
        <f t="shared" ca="1" si="1"/>
        <v>19.168332446999997</v>
      </c>
      <c r="BB3" s="137">
        <f t="shared" ca="1" si="1"/>
        <v>4.0286526719999998</v>
      </c>
      <c r="BC3" s="137">
        <f t="shared" ca="1" si="1"/>
        <v>0.64980226079999992</v>
      </c>
      <c r="BD3" s="137">
        <f t="shared" ca="1" si="1"/>
        <v>1.0809181514999999E-2</v>
      </c>
      <c r="BE3" s="137">
        <f t="shared" ca="1" si="1"/>
        <v>0.78214410779999988</v>
      </c>
      <c r="BF3" s="137">
        <f t="shared" ca="1" si="1"/>
        <v>-2.6312516966999996E-3</v>
      </c>
      <c r="BG3" s="137">
        <f t="shared" ca="1" si="1"/>
        <v>1.3962633663E-6</v>
      </c>
      <c r="BH3" s="137">
        <f t="shared" ca="1" si="1"/>
        <v>4.2159789539999999E-2</v>
      </c>
      <c r="BI3" s="137">
        <f t="shared" ca="1" si="1"/>
        <v>0.11373814782</v>
      </c>
      <c r="BJ3" s="137">
        <f t="shared" ca="1" si="1"/>
        <v>9.0197225579999998E-2</v>
      </c>
      <c r="BK3" s="137">
        <f t="shared" ca="1" si="1"/>
        <v>1.0382957343E-3</v>
      </c>
      <c r="BL3" s="137">
        <f t="shared" ca="1" si="1"/>
        <v>0.8639381948999999</v>
      </c>
      <c r="BM3" s="137">
        <f t="shared" ca="1" si="1"/>
        <v>0.10646124225</v>
      </c>
    </row>
    <row r="4" spans="1:65" x14ac:dyDescent="0.25">
      <c r="A4" s="149">
        <v>154</v>
      </c>
      <c r="B4" s="149">
        <v>15</v>
      </c>
      <c r="C4" s="61">
        <v>48.790447</v>
      </c>
      <c r="D4" s="61">
        <v>11.497889000000001</v>
      </c>
      <c r="E4" s="61" t="s">
        <v>281</v>
      </c>
      <c r="F4" s="149">
        <v>38</v>
      </c>
      <c r="G4" s="61" t="s">
        <v>567</v>
      </c>
      <c r="H4" s="61" t="s">
        <v>678</v>
      </c>
      <c r="I4" s="61">
        <v>48.353696999999997</v>
      </c>
      <c r="J4" s="61">
        <v>11.775111000000001</v>
      </c>
      <c r="K4" s="61">
        <v>55.559302189999997</v>
      </c>
      <c r="L4" s="61">
        <v>128.94999999999999</v>
      </c>
      <c r="M4" s="61" t="s">
        <v>589</v>
      </c>
      <c r="N4" s="149">
        <v>14</v>
      </c>
      <c r="O4" s="149">
        <v>15</v>
      </c>
      <c r="P4" s="61" t="s">
        <v>567</v>
      </c>
      <c r="Q4" s="61" t="s">
        <v>566</v>
      </c>
      <c r="R4" s="61">
        <v>50.037932599999998</v>
      </c>
      <c r="S4" s="61">
        <v>8.5621518000000005</v>
      </c>
      <c r="T4" s="61">
        <v>379.20299999999997</v>
      </c>
      <c r="U4" s="61" t="s">
        <v>589</v>
      </c>
      <c r="V4" s="61" t="s">
        <v>589</v>
      </c>
      <c r="W4" s="61"/>
      <c r="X4" s="61"/>
      <c r="Y4" s="137">
        <f>Summary_LCIA!H$34</f>
        <v>7.4462E-2</v>
      </c>
      <c r="Z4" s="137">
        <f ca="1">Summary_LCIA!Q$34</f>
        <v>1.23508923</v>
      </c>
      <c r="AA4" s="137">
        <f ca="1">Summary_LCIA!R$34</f>
        <v>2.5566E-3</v>
      </c>
      <c r="AB4" s="137">
        <f ca="1">Summary_LCIA!S$34</f>
        <v>7.3438000000000003E-2</v>
      </c>
      <c r="AC4" s="137">
        <f ca="1">Summary_LCIA!T$34</f>
        <v>2.0743000000000001E-2</v>
      </c>
      <c r="AD4" s="137">
        <f ca="1">Summary_LCIA!U$34</f>
        <v>1.8396E-3</v>
      </c>
      <c r="AE4" s="137">
        <f ca="1">Summary_LCIA!V$34</f>
        <v>8.1093000000000004E-5</v>
      </c>
      <c r="AF4" s="137">
        <f ca="1">Summary_LCIA!W$34</f>
        <v>5.0548999999999997E-2</v>
      </c>
      <c r="AG4" s="137">
        <f ca="1">Summary_LCIA!X$34</f>
        <v>1.0624E-2</v>
      </c>
      <c r="AH4" s="137">
        <f ca="1">Summary_LCIA!Y$34</f>
        <v>1.7136E-3</v>
      </c>
      <c r="AI4" s="137">
        <f ca="1">Summary_LCIA!Z$34</f>
        <v>2.8504999999999999E-5</v>
      </c>
      <c r="AJ4" s="137">
        <f ca="1">Summary_LCIA!AA$34</f>
        <v>2.0625999999999999E-3</v>
      </c>
      <c r="AK4" s="137">
        <f ca="1">Summary_LCIA!AB$34</f>
        <v>-6.9388999999999998E-6</v>
      </c>
      <c r="AL4" s="137">
        <f ca="1">Summary_LCIA!AC$34</f>
        <v>3.6820999999999999E-9</v>
      </c>
      <c r="AM4" s="137">
        <f ca="1">Summary_LCIA!AD$34</f>
        <v>1.1118E-4</v>
      </c>
      <c r="AN4" s="137">
        <f ca="1">Summary_LCIA!AE$34</f>
        <v>2.9994E-4</v>
      </c>
      <c r="AO4" s="137">
        <f ca="1">Summary_LCIA!AF$34</f>
        <v>2.3786E-4</v>
      </c>
      <c r="AP4" s="137">
        <f ca="1">Summary_LCIA!AG$34</f>
        <v>2.7381000000000001E-6</v>
      </c>
      <c r="AQ4" s="137">
        <f ca="1">Summary_LCIA!AH$34</f>
        <v>2.2783E-3</v>
      </c>
      <c r="AR4" s="137">
        <f ca="1">Summary_LCIA!AI$34</f>
        <v>2.8075000000000002E-4</v>
      </c>
      <c r="AT4" s="137">
        <f t="shared" si="2"/>
        <v>28.236213785999997</v>
      </c>
      <c r="AU4" s="137">
        <f t="shared" ca="1" si="1"/>
        <v>468.34954128368997</v>
      </c>
      <c r="AV4" s="137">
        <f t="shared" ca="1" si="1"/>
        <v>0.96947038979999989</v>
      </c>
      <c r="AW4" s="137">
        <f t="shared" ca="1" si="1"/>
        <v>27.847909913999999</v>
      </c>
      <c r="AX4" s="137">
        <f t="shared" ca="1" si="1"/>
        <v>7.8658078289999995</v>
      </c>
      <c r="AY4" s="137">
        <f t="shared" ca="1" si="1"/>
        <v>0.69758183880000002</v>
      </c>
      <c r="AZ4" s="137">
        <f t="shared" ca="1" si="1"/>
        <v>3.0750708878999999E-2</v>
      </c>
      <c r="BA4" s="137">
        <f t="shared" ca="1" si="1"/>
        <v>19.168332446999997</v>
      </c>
      <c r="BB4" s="137">
        <f t="shared" ca="1" si="1"/>
        <v>4.0286526719999998</v>
      </c>
      <c r="BC4" s="137">
        <f t="shared" ca="1" si="1"/>
        <v>0.64980226079999992</v>
      </c>
      <c r="BD4" s="137">
        <f t="shared" ca="1" si="1"/>
        <v>1.0809181514999999E-2</v>
      </c>
      <c r="BE4" s="137">
        <f t="shared" ca="1" si="1"/>
        <v>0.78214410779999988</v>
      </c>
      <c r="BF4" s="137">
        <f t="shared" ca="1" si="1"/>
        <v>-2.6312516966999996E-3</v>
      </c>
      <c r="BG4" s="137">
        <f t="shared" ca="1" si="1"/>
        <v>1.3962633663E-6</v>
      </c>
      <c r="BH4" s="137">
        <f t="shared" ca="1" si="1"/>
        <v>4.2159789539999999E-2</v>
      </c>
      <c r="BI4" s="137">
        <f t="shared" ca="1" si="1"/>
        <v>0.11373814782</v>
      </c>
      <c r="BJ4" s="137">
        <f t="shared" ca="1" si="1"/>
        <v>9.0197225579999998E-2</v>
      </c>
      <c r="BK4" s="137">
        <f t="shared" ca="1" si="1"/>
        <v>1.0382957343E-3</v>
      </c>
      <c r="BL4" s="137">
        <f t="shared" ca="1" si="1"/>
        <v>0.8639381948999999</v>
      </c>
      <c r="BM4" s="137">
        <f t="shared" ca="1" si="1"/>
        <v>0.10646124225</v>
      </c>
    </row>
    <row r="5" spans="1:65" x14ac:dyDescent="0.25">
      <c r="A5" s="149">
        <v>176</v>
      </c>
      <c r="B5" s="149">
        <v>15</v>
      </c>
      <c r="C5" s="61">
        <v>50.850346000000002</v>
      </c>
      <c r="D5" s="61">
        <v>4.3517210000000004</v>
      </c>
      <c r="E5" s="61" t="s">
        <v>464</v>
      </c>
      <c r="F5" s="149">
        <v>12</v>
      </c>
      <c r="G5" s="61" t="s">
        <v>679</v>
      </c>
      <c r="H5" s="61" t="s">
        <v>680</v>
      </c>
      <c r="I5" s="61">
        <v>52.310538999999999</v>
      </c>
      <c r="J5" s="61">
        <v>4.7682739999999999</v>
      </c>
      <c r="K5" s="61">
        <v>165.15017539999999</v>
      </c>
      <c r="L5" s="61">
        <v>197.702</v>
      </c>
      <c r="M5" s="61" t="s">
        <v>589</v>
      </c>
      <c r="N5" s="149">
        <v>14</v>
      </c>
      <c r="O5" s="149">
        <v>15</v>
      </c>
      <c r="P5" s="61" t="s">
        <v>567</v>
      </c>
      <c r="Q5" s="61" t="s">
        <v>566</v>
      </c>
      <c r="R5" s="61">
        <v>50.037932599999998</v>
      </c>
      <c r="S5" s="61">
        <v>8.5621518000000005</v>
      </c>
      <c r="T5" s="61">
        <v>389.27199999999999</v>
      </c>
      <c r="U5" s="61" t="s">
        <v>589</v>
      </c>
      <c r="V5" s="61" t="s">
        <v>589</v>
      </c>
      <c r="W5" s="61"/>
      <c r="X5" s="61"/>
      <c r="Y5" s="137">
        <f>Summary_LCIA!H$34</f>
        <v>7.4462E-2</v>
      </c>
      <c r="Z5" s="137">
        <f ca="1">Summary_LCIA!Q$34</f>
        <v>1.23508923</v>
      </c>
      <c r="AA5" s="137">
        <f ca="1">Summary_LCIA!R$34</f>
        <v>2.5566E-3</v>
      </c>
      <c r="AB5" s="137">
        <f ca="1">Summary_LCIA!S$34</f>
        <v>7.3438000000000003E-2</v>
      </c>
      <c r="AC5" s="137">
        <f ca="1">Summary_LCIA!T$34</f>
        <v>2.0743000000000001E-2</v>
      </c>
      <c r="AD5" s="137">
        <f ca="1">Summary_LCIA!U$34</f>
        <v>1.8396E-3</v>
      </c>
      <c r="AE5" s="137">
        <f ca="1">Summary_LCIA!V$34</f>
        <v>8.1093000000000004E-5</v>
      </c>
      <c r="AF5" s="137">
        <f ca="1">Summary_LCIA!W$34</f>
        <v>5.0548999999999997E-2</v>
      </c>
      <c r="AG5" s="137">
        <f ca="1">Summary_LCIA!X$34</f>
        <v>1.0624E-2</v>
      </c>
      <c r="AH5" s="137">
        <f ca="1">Summary_LCIA!Y$34</f>
        <v>1.7136E-3</v>
      </c>
      <c r="AI5" s="137">
        <f ca="1">Summary_LCIA!Z$34</f>
        <v>2.8504999999999999E-5</v>
      </c>
      <c r="AJ5" s="137">
        <f ca="1">Summary_LCIA!AA$34</f>
        <v>2.0625999999999999E-3</v>
      </c>
      <c r="AK5" s="137">
        <f ca="1">Summary_LCIA!AB$34</f>
        <v>-6.9388999999999998E-6</v>
      </c>
      <c r="AL5" s="137">
        <f ca="1">Summary_LCIA!AC$34</f>
        <v>3.6820999999999999E-9</v>
      </c>
      <c r="AM5" s="137">
        <f ca="1">Summary_LCIA!AD$34</f>
        <v>1.1118E-4</v>
      </c>
      <c r="AN5" s="137">
        <f ca="1">Summary_LCIA!AE$34</f>
        <v>2.9994E-4</v>
      </c>
      <c r="AO5" s="137">
        <f ca="1">Summary_LCIA!AF$34</f>
        <v>2.3786E-4</v>
      </c>
      <c r="AP5" s="137">
        <f ca="1">Summary_LCIA!AG$34</f>
        <v>2.7381000000000001E-6</v>
      </c>
      <c r="AQ5" s="137">
        <f ca="1">Summary_LCIA!AH$34</f>
        <v>2.2783E-3</v>
      </c>
      <c r="AR5" s="137">
        <f ca="1">Summary_LCIA!AI$34</f>
        <v>2.8075000000000002E-4</v>
      </c>
      <c r="AT5" s="137">
        <f t="shared" si="2"/>
        <v>28.985971664000001</v>
      </c>
      <c r="AU5" s="137">
        <f t="shared" ca="1" si="1"/>
        <v>480.78565474056001</v>
      </c>
      <c r="AV5" s="137">
        <f t="shared" ca="1" si="1"/>
        <v>0.99521279519999994</v>
      </c>
      <c r="AW5" s="137">
        <f t="shared" ca="1" si="1"/>
        <v>28.587357136000001</v>
      </c>
      <c r="AX5" s="137">
        <f t="shared" ca="1" si="1"/>
        <v>8.0746690960000009</v>
      </c>
      <c r="AY5" s="137">
        <f t="shared" ca="1" si="1"/>
        <v>0.71610477120000005</v>
      </c>
      <c r="AZ5" s="137">
        <f t="shared" ca="1" si="1"/>
        <v>3.1567234296000002E-2</v>
      </c>
      <c r="BA5" s="137">
        <f t="shared" ca="1" si="1"/>
        <v>19.677310327999997</v>
      </c>
      <c r="BB5" s="137">
        <f t="shared" ca="1" si="1"/>
        <v>4.1356257279999999</v>
      </c>
      <c r="BC5" s="137">
        <f t="shared" ca="1" si="1"/>
        <v>0.66705649919999999</v>
      </c>
      <c r="BD5" s="137">
        <f t="shared" ca="1" si="1"/>
        <v>1.109619836E-2</v>
      </c>
      <c r="BE5" s="137">
        <f t="shared" ca="1" si="1"/>
        <v>0.8029124272</v>
      </c>
      <c r="BF5" s="137">
        <f t="shared" ca="1" si="1"/>
        <v>-2.7011194807999997E-3</v>
      </c>
      <c r="BG5" s="137">
        <f t="shared" ca="1" si="1"/>
        <v>1.4333384312E-6</v>
      </c>
      <c r="BH5" s="137">
        <f t="shared" ca="1" si="1"/>
        <v>4.3279260960000003E-2</v>
      </c>
      <c r="BI5" s="137">
        <f t="shared" ca="1" si="1"/>
        <v>0.11675824368</v>
      </c>
      <c r="BJ5" s="137">
        <f t="shared" ca="1" si="1"/>
        <v>9.2592237920000001E-2</v>
      </c>
      <c r="BK5" s="137">
        <f t="shared" ca="1" si="1"/>
        <v>1.0658656632E-3</v>
      </c>
      <c r="BL5" s="137">
        <f t="shared" ca="1" si="1"/>
        <v>0.88687839759999998</v>
      </c>
      <c r="BM5" s="137">
        <f t="shared" ca="1" si="1"/>
        <v>0.10928811400000001</v>
      </c>
    </row>
    <row r="6" spans="1:65" x14ac:dyDescent="0.25">
      <c r="A6" s="149">
        <v>244</v>
      </c>
      <c r="B6" s="149">
        <v>15</v>
      </c>
      <c r="C6" s="61">
        <v>46.519652999999998</v>
      </c>
      <c r="D6" s="61">
        <v>6.6322729999999996</v>
      </c>
      <c r="E6" s="61" t="s">
        <v>271</v>
      </c>
      <c r="F6" s="149">
        <v>15</v>
      </c>
      <c r="G6" s="61" t="s">
        <v>567</v>
      </c>
      <c r="H6" s="61" t="s">
        <v>707</v>
      </c>
      <c r="I6" s="61">
        <v>50.037933000000002</v>
      </c>
      <c r="J6" s="61">
        <v>8.5621519999999993</v>
      </c>
      <c r="K6" s="61">
        <v>418.30834149999998</v>
      </c>
      <c r="L6" s="61">
        <v>541.53899999999999</v>
      </c>
      <c r="M6" s="61" t="s">
        <v>589</v>
      </c>
      <c r="N6" s="149">
        <v>14</v>
      </c>
      <c r="O6" s="149">
        <v>15</v>
      </c>
      <c r="P6" s="61" t="s">
        <v>567</v>
      </c>
      <c r="Q6" s="61" t="s">
        <v>566</v>
      </c>
      <c r="R6" s="61">
        <v>50.037932599999998</v>
      </c>
      <c r="S6" s="61">
        <v>8.5621518000000005</v>
      </c>
      <c r="T6" s="61">
        <v>538.97799999999995</v>
      </c>
      <c r="U6" s="61" t="s">
        <v>589</v>
      </c>
      <c r="V6" s="61" t="s">
        <v>589</v>
      </c>
      <c r="W6" s="61"/>
      <c r="X6" s="61"/>
      <c r="Y6" s="137">
        <f>Summary_LCIA!H$34</f>
        <v>7.4462E-2</v>
      </c>
      <c r="Z6" s="137">
        <f ca="1">Summary_LCIA!Q$34</f>
        <v>1.23508923</v>
      </c>
      <c r="AA6" s="137">
        <f ca="1">Summary_LCIA!R$34</f>
        <v>2.5566E-3</v>
      </c>
      <c r="AB6" s="137">
        <f ca="1">Summary_LCIA!S$34</f>
        <v>7.3438000000000003E-2</v>
      </c>
      <c r="AC6" s="137">
        <f ca="1">Summary_LCIA!T$34</f>
        <v>2.0743000000000001E-2</v>
      </c>
      <c r="AD6" s="137">
        <f ca="1">Summary_LCIA!U$34</f>
        <v>1.8396E-3</v>
      </c>
      <c r="AE6" s="137">
        <f ca="1">Summary_LCIA!V$34</f>
        <v>8.1093000000000004E-5</v>
      </c>
      <c r="AF6" s="137">
        <f ca="1">Summary_LCIA!W$34</f>
        <v>5.0548999999999997E-2</v>
      </c>
      <c r="AG6" s="137">
        <f ca="1">Summary_LCIA!X$34</f>
        <v>1.0624E-2</v>
      </c>
      <c r="AH6" s="137">
        <f ca="1">Summary_LCIA!Y$34</f>
        <v>1.7136E-3</v>
      </c>
      <c r="AI6" s="137">
        <f ca="1">Summary_LCIA!Z$34</f>
        <v>2.8504999999999999E-5</v>
      </c>
      <c r="AJ6" s="137">
        <f ca="1">Summary_LCIA!AA$34</f>
        <v>2.0625999999999999E-3</v>
      </c>
      <c r="AK6" s="137">
        <f ca="1">Summary_LCIA!AB$34</f>
        <v>-6.9388999999999998E-6</v>
      </c>
      <c r="AL6" s="137">
        <f ca="1">Summary_LCIA!AC$34</f>
        <v>3.6820999999999999E-9</v>
      </c>
      <c r="AM6" s="137">
        <f ca="1">Summary_LCIA!AD$34</f>
        <v>1.1118E-4</v>
      </c>
      <c r="AN6" s="137">
        <f ca="1">Summary_LCIA!AE$34</f>
        <v>2.9994E-4</v>
      </c>
      <c r="AO6" s="137">
        <f ca="1">Summary_LCIA!AF$34</f>
        <v>2.3786E-4</v>
      </c>
      <c r="AP6" s="137">
        <f ca="1">Summary_LCIA!AG$34</f>
        <v>2.7381000000000001E-6</v>
      </c>
      <c r="AQ6" s="137">
        <f ca="1">Summary_LCIA!AH$34</f>
        <v>2.2783E-3</v>
      </c>
      <c r="AR6" s="137">
        <f ca="1">Summary_LCIA!AI$34</f>
        <v>2.8075000000000002E-4</v>
      </c>
      <c r="AT6" s="137">
        <f t="shared" si="2"/>
        <v>40.133379835999996</v>
      </c>
      <c r="AU6" s="137">
        <f t="shared" ca="1" si="1"/>
        <v>665.68592300694002</v>
      </c>
      <c r="AV6" s="137">
        <f t="shared" ca="1" si="1"/>
        <v>1.3779511547999999</v>
      </c>
      <c r="AW6" s="137">
        <f t="shared" ca="1" si="1"/>
        <v>39.581466364000001</v>
      </c>
      <c r="AX6" s="137">
        <f t="shared" ca="1" si="1"/>
        <v>11.180020654</v>
      </c>
      <c r="AY6" s="137">
        <f t="shared" ca="1" si="1"/>
        <v>0.99150392879999993</v>
      </c>
      <c r="AZ6" s="137">
        <f t="shared" ca="1" si="1"/>
        <v>4.3707342954E-2</v>
      </c>
      <c r="BA6" s="137">
        <f t="shared" ca="1" si="1"/>
        <v>27.244798921999998</v>
      </c>
      <c r="BB6" s="137">
        <f t="shared" ca="1" si="1"/>
        <v>5.7261022719999994</v>
      </c>
      <c r="BC6" s="137">
        <f t="shared" ca="1" si="1"/>
        <v>0.92359270079999989</v>
      </c>
      <c r="BD6" s="137">
        <f t="shared" ca="1" si="1"/>
        <v>1.5363567889999999E-2</v>
      </c>
      <c r="BE6" s="137">
        <f t="shared" ca="1" si="1"/>
        <v>1.1116960227999999</v>
      </c>
      <c r="BF6" s="137">
        <f t="shared" ca="1" si="1"/>
        <v>-3.7399144441999997E-3</v>
      </c>
      <c r="BG6" s="137">
        <f t="shared" ca="1" si="1"/>
        <v>1.9845708938E-6</v>
      </c>
      <c r="BH6" s="137">
        <f t="shared" ca="1" si="1"/>
        <v>5.9923574039999997E-2</v>
      </c>
      <c r="BI6" s="137">
        <f t="shared" ca="1" si="1"/>
        <v>0.16166106131999999</v>
      </c>
      <c r="BJ6" s="137">
        <f t="shared" ca="1" si="1"/>
        <v>0.12820130707999999</v>
      </c>
      <c r="BK6" s="137">
        <f t="shared" ca="1" si="1"/>
        <v>1.4757756617999999E-3</v>
      </c>
      <c r="BL6" s="137">
        <f t="shared" ca="1" si="1"/>
        <v>1.2279535773999999</v>
      </c>
      <c r="BM6" s="137">
        <f t="shared" ca="1" si="1"/>
        <v>0.15131807350000001</v>
      </c>
    </row>
    <row r="7" spans="1:65" x14ac:dyDescent="0.25">
      <c r="A7" s="149">
        <v>245</v>
      </c>
      <c r="B7" s="149">
        <v>15</v>
      </c>
      <c r="C7" s="61">
        <v>46.519652999999998</v>
      </c>
      <c r="D7" s="61">
        <v>6.6322729999999996</v>
      </c>
      <c r="E7" s="61" t="s">
        <v>271</v>
      </c>
      <c r="F7" s="149">
        <v>15</v>
      </c>
      <c r="G7" s="61" t="s">
        <v>567</v>
      </c>
      <c r="H7" s="61" t="s">
        <v>707</v>
      </c>
      <c r="I7" s="61">
        <v>50.037933000000002</v>
      </c>
      <c r="J7" s="61">
        <v>8.5621519999999993</v>
      </c>
      <c r="K7" s="61">
        <v>418.30834149999998</v>
      </c>
      <c r="L7" s="61">
        <v>541.53899999999999</v>
      </c>
      <c r="M7" s="61" t="s">
        <v>589</v>
      </c>
      <c r="N7" s="149">
        <v>14</v>
      </c>
      <c r="O7" s="149">
        <v>15</v>
      </c>
      <c r="P7" s="61" t="s">
        <v>567</v>
      </c>
      <c r="Q7" s="61" t="s">
        <v>566</v>
      </c>
      <c r="R7" s="61">
        <v>50.037932599999998</v>
      </c>
      <c r="S7" s="61">
        <v>8.5621518000000005</v>
      </c>
      <c r="T7" s="61">
        <v>538.97799999999995</v>
      </c>
      <c r="U7" s="61" t="s">
        <v>589</v>
      </c>
      <c r="V7" s="61" t="s">
        <v>589</v>
      </c>
      <c r="W7" s="61"/>
      <c r="X7" s="61"/>
      <c r="Y7" s="137">
        <f>Summary_LCIA!H$34</f>
        <v>7.4462E-2</v>
      </c>
      <c r="Z7" s="137">
        <f ca="1">Summary_LCIA!Q$34</f>
        <v>1.23508923</v>
      </c>
      <c r="AA7" s="137">
        <f ca="1">Summary_LCIA!R$34</f>
        <v>2.5566E-3</v>
      </c>
      <c r="AB7" s="137">
        <f ca="1">Summary_LCIA!S$34</f>
        <v>7.3438000000000003E-2</v>
      </c>
      <c r="AC7" s="137">
        <f ca="1">Summary_LCIA!T$34</f>
        <v>2.0743000000000001E-2</v>
      </c>
      <c r="AD7" s="137">
        <f ca="1">Summary_LCIA!U$34</f>
        <v>1.8396E-3</v>
      </c>
      <c r="AE7" s="137">
        <f ca="1">Summary_LCIA!V$34</f>
        <v>8.1093000000000004E-5</v>
      </c>
      <c r="AF7" s="137">
        <f ca="1">Summary_LCIA!W$34</f>
        <v>5.0548999999999997E-2</v>
      </c>
      <c r="AG7" s="137">
        <f ca="1">Summary_LCIA!X$34</f>
        <v>1.0624E-2</v>
      </c>
      <c r="AH7" s="137">
        <f ca="1">Summary_LCIA!Y$34</f>
        <v>1.7136E-3</v>
      </c>
      <c r="AI7" s="137">
        <f ca="1">Summary_LCIA!Z$34</f>
        <v>2.8504999999999999E-5</v>
      </c>
      <c r="AJ7" s="137">
        <f ca="1">Summary_LCIA!AA$34</f>
        <v>2.0625999999999999E-3</v>
      </c>
      <c r="AK7" s="137">
        <f ca="1">Summary_LCIA!AB$34</f>
        <v>-6.9388999999999998E-6</v>
      </c>
      <c r="AL7" s="137">
        <f ca="1">Summary_LCIA!AC$34</f>
        <v>3.6820999999999999E-9</v>
      </c>
      <c r="AM7" s="137">
        <f ca="1">Summary_LCIA!AD$34</f>
        <v>1.1118E-4</v>
      </c>
      <c r="AN7" s="137">
        <f ca="1">Summary_LCIA!AE$34</f>
        <v>2.9994E-4</v>
      </c>
      <c r="AO7" s="137">
        <f ca="1">Summary_LCIA!AF$34</f>
        <v>2.3786E-4</v>
      </c>
      <c r="AP7" s="137">
        <f ca="1">Summary_LCIA!AG$34</f>
        <v>2.7381000000000001E-6</v>
      </c>
      <c r="AQ7" s="137">
        <f ca="1">Summary_LCIA!AH$34</f>
        <v>2.2783E-3</v>
      </c>
      <c r="AR7" s="137">
        <f ca="1">Summary_LCIA!AI$34</f>
        <v>2.8075000000000002E-4</v>
      </c>
      <c r="AT7" s="137">
        <f t="shared" si="2"/>
        <v>40.133379835999996</v>
      </c>
      <c r="AU7" s="137">
        <f t="shared" ca="1" si="1"/>
        <v>665.68592300694002</v>
      </c>
      <c r="AV7" s="137">
        <f t="shared" ca="1" si="1"/>
        <v>1.3779511547999999</v>
      </c>
      <c r="AW7" s="137">
        <f t="shared" ca="1" si="1"/>
        <v>39.581466364000001</v>
      </c>
      <c r="AX7" s="137">
        <f t="shared" ca="1" si="1"/>
        <v>11.180020654</v>
      </c>
      <c r="AY7" s="137">
        <f t="shared" ca="1" si="1"/>
        <v>0.99150392879999993</v>
      </c>
      <c r="AZ7" s="137">
        <f t="shared" ca="1" si="1"/>
        <v>4.3707342954E-2</v>
      </c>
      <c r="BA7" s="137">
        <f t="shared" ca="1" si="1"/>
        <v>27.244798921999998</v>
      </c>
      <c r="BB7" s="137">
        <f t="shared" ca="1" si="1"/>
        <v>5.7261022719999994</v>
      </c>
      <c r="BC7" s="137">
        <f t="shared" ca="1" si="1"/>
        <v>0.92359270079999989</v>
      </c>
      <c r="BD7" s="137">
        <f t="shared" ca="1" si="1"/>
        <v>1.5363567889999999E-2</v>
      </c>
      <c r="BE7" s="137">
        <f t="shared" ca="1" si="1"/>
        <v>1.1116960227999999</v>
      </c>
      <c r="BF7" s="137">
        <f t="shared" ca="1" si="1"/>
        <v>-3.7399144441999997E-3</v>
      </c>
      <c r="BG7" s="137">
        <f t="shared" ca="1" si="1"/>
        <v>1.9845708938E-6</v>
      </c>
      <c r="BH7" s="137">
        <f t="shared" ca="1" si="1"/>
        <v>5.9923574039999997E-2</v>
      </c>
      <c r="BI7" s="137">
        <f t="shared" ca="1" si="1"/>
        <v>0.16166106131999999</v>
      </c>
      <c r="BJ7" s="137">
        <f t="shared" ca="1" si="1"/>
        <v>0.12820130707999999</v>
      </c>
      <c r="BK7" s="137">
        <f t="shared" ca="1" si="1"/>
        <v>1.4757756617999999E-3</v>
      </c>
      <c r="BL7" s="137">
        <f t="shared" ca="1" si="1"/>
        <v>1.2279535773999999</v>
      </c>
      <c r="BM7" s="137">
        <f t="shared" ca="1" si="1"/>
        <v>0.15131807350000001</v>
      </c>
    </row>
    <row r="8" spans="1:65" x14ac:dyDescent="0.25">
      <c r="A8" s="149">
        <v>246</v>
      </c>
      <c r="B8" s="149">
        <v>15</v>
      </c>
      <c r="C8" s="61">
        <v>46.519652999999998</v>
      </c>
      <c r="D8" s="61">
        <v>6.6322729999999996</v>
      </c>
      <c r="E8" s="61" t="s">
        <v>271</v>
      </c>
      <c r="F8" s="149">
        <v>15</v>
      </c>
      <c r="G8" s="61" t="s">
        <v>567</v>
      </c>
      <c r="H8" s="61" t="s">
        <v>707</v>
      </c>
      <c r="I8" s="61">
        <v>50.037933000000002</v>
      </c>
      <c r="J8" s="61">
        <v>8.5621519999999993</v>
      </c>
      <c r="K8" s="61">
        <v>418.30834149999998</v>
      </c>
      <c r="L8" s="61">
        <v>541.53899999999999</v>
      </c>
      <c r="M8" s="61" t="s">
        <v>589</v>
      </c>
      <c r="N8" s="149">
        <v>14</v>
      </c>
      <c r="O8" s="149">
        <v>15</v>
      </c>
      <c r="P8" s="61" t="s">
        <v>567</v>
      </c>
      <c r="Q8" s="61" t="s">
        <v>566</v>
      </c>
      <c r="R8" s="61">
        <v>50.037932599999998</v>
      </c>
      <c r="S8" s="61">
        <v>8.5621518000000005</v>
      </c>
      <c r="T8" s="61">
        <v>538.97799999999995</v>
      </c>
      <c r="U8" s="61" t="s">
        <v>589</v>
      </c>
      <c r="V8" s="61" t="s">
        <v>589</v>
      </c>
      <c r="W8" s="61"/>
      <c r="X8" s="61"/>
      <c r="Y8" s="137">
        <f>Summary_LCIA!H$34</f>
        <v>7.4462E-2</v>
      </c>
      <c r="Z8" s="137">
        <f ca="1">Summary_LCIA!Q$34</f>
        <v>1.23508923</v>
      </c>
      <c r="AA8" s="137">
        <f ca="1">Summary_LCIA!R$34</f>
        <v>2.5566E-3</v>
      </c>
      <c r="AB8" s="137">
        <f ca="1">Summary_LCIA!S$34</f>
        <v>7.3438000000000003E-2</v>
      </c>
      <c r="AC8" s="137">
        <f ca="1">Summary_LCIA!T$34</f>
        <v>2.0743000000000001E-2</v>
      </c>
      <c r="AD8" s="137">
        <f ca="1">Summary_LCIA!U$34</f>
        <v>1.8396E-3</v>
      </c>
      <c r="AE8" s="137">
        <f ca="1">Summary_LCIA!V$34</f>
        <v>8.1093000000000004E-5</v>
      </c>
      <c r="AF8" s="137">
        <f ca="1">Summary_LCIA!W$34</f>
        <v>5.0548999999999997E-2</v>
      </c>
      <c r="AG8" s="137">
        <f ca="1">Summary_LCIA!X$34</f>
        <v>1.0624E-2</v>
      </c>
      <c r="AH8" s="137">
        <f ca="1">Summary_LCIA!Y$34</f>
        <v>1.7136E-3</v>
      </c>
      <c r="AI8" s="137">
        <f ca="1">Summary_LCIA!Z$34</f>
        <v>2.8504999999999999E-5</v>
      </c>
      <c r="AJ8" s="137">
        <f ca="1">Summary_LCIA!AA$34</f>
        <v>2.0625999999999999E-3</v>
      </c>
      <c r="AK8" s="137">
        <f ca="1">Summary_LCIA!AB$34</f>
        <v>-6.9388999999999998E-6</v>
      </c>
      <c r="AL8" s="137">
        <f ca="1">Summary_LCIA!AC$34</f>
        <v>3.6820999999999999E-9</v>
      </c>
      <c r="AM8" s="137">
        <f ca="1">Summary_LCIA!AD$34</f>
        <v>1.1118E-4</v>
      </c>
      <c r="AN8" s="137">
        <f ca="1">Summary_LCIA!AE$34</f>
        <v>2.9994E-4</v>
      </c>
      <c r="AO8" s="137">
        <f ca="1">Summary_LCIA!AF$34</f>
        <v>2.3786E-4</v>
      </c>
      <c r="AP8" s="137">
        <f ca="1">Summary_LCIA!AG$34</f>
        <v>2.7381000000000001E-6</v>
      </c>
      <c r="AQ8" s="137">
        <f ca="1">Summary_LCIA!AH$34</f>
        <v>2.2783E-3</v>
      </c>
      <c r="AR8" s="137">
        <f ca="1">Summary_LCIA!AI$34</f>
        <v>2.8075000000000002E-4</v>
      </c>
      <c r="AT8" s="137">
        <f t="shared" si="2"/>
        <v>40.133379835999996</v>
      </c>
      <c r="AU8" s="137">
        <f t="shared" ca="1" si="1"/>
        <v>665.68592300694002</v>
      </c>
      <c r="AV8" s="137">
        <f t="shared" ca="1" si="1"/>
        <v>1.3779511547999999</v>
      </c>
      <c r="AW8" s="137">
        <f t="shared" ca="1" si="1"/>
        <v>39.581466364000001</v>
      </c>
      <c r="AX8" s="137">
        <f t="shared" ca="1" si="1"/>
        <v>11.180020654</v>
      </c>
      <c r="AY8" s="137">
        <f t="shared" ca="1" si="1"/>
        <v>0.99150392879999993</v>
      </c>
      <c r="AZ8" s="137">
        <f t="shared" ca="1" si="1"/>
        <v>4.3707342954E-2</v>
      </c>
      <c r="BA8" s="137">
        <f t="shared" ca="1" si="1"/>
        <v>27.244798921999998</v>
      </c>
      <c r="BB8" s="137">
        <f t="shared" ca="1" si="1"/>
        <v>5.7261022719999994</v>
      </c>
      <c r="BC8" s="137">
        <f t="shared" ca="1" si="1"/>
        <v>0.92359270079999989</v>
      </c>
      <c r="BD8" s="137">
        <f t="shared" ca="1" si="1"/>
        <v>1.5363567889999999E-2</v>
      </c>
      <c r="BE8" s="137">
        <f t="shared" ca="1" si="1"/>
        <v>1.1116960227999999</v>
      </c>
      <c r="BF8" s="137">
        <f t="shared" ca="1" si="1"/>
        <v>-3.7399144441999997E-3</v>
      </c>
      <c r="BG8" s="137">
        <f t="shared" ca="1" si="1"/>
        <v>1.9845708938E-6</v>
      </c>
      <c r="BH8" s="137">
        <f t="shared" ca="1" si="1"/>
        <v>5.9923574039999997E-2</v>
      </c>
      <c r="BI8" s="137">
        <f t="shared" ca="1" si="1"/>
        <v>0.16166106131999999</v>
      </c>
      <c r="BJ8" s="137">
        <f t="shared" ca="1" si="1"/>
        <v>0.12820130707999999</v>
      </c>
      <c r="BK8" s="137">
        <f t="shared" ca="1" si="1"/>
        <v>1.4757756617999999E-3</v>
      </c>
      <c r="BL8" s="137">
        <f t="shared" ca="1" si="1"/>
        <v>1.2279535773999999</v>
      </c>
      <c r="BM8" s="137">
        <f t="shared" ca="1" si="1"/>
        <v>0.15131807350000001</v>
      </c>
    </row>
    <row r="9" spans="1:65" x14ac:dyDescent="0.25">
      <c r="A9" s="149">
        <v>133</v>
      </c>
      <c r="B9" s="149">
        <v>15</v>
      </c>
      <c r="C9" s="61">
        <v>51.219448</v>
      </c>
      <c r="D9" s="61">
        <v>4.4024640000000002</v>
      </c>
      <c r="E9" s="61" t="s">
        <v>464</v>
      </c>
      <c r="F9" s="149">
        <v>12</v>
      </c>
      <c r="G9" s="61" t="s">
        <v>679</v>
      </c>
      <c r="H9" s="61" t="s">
        <v>680</v>
      </c>
      <c r="I9" s="61">
        <v>52.310538999999999</v>
      </c>
      <c r="J9" s="61">
        <v>4.7682739999999999</v>
      </c>
      <c r="K9" s="61">
        <v>124.20814900000001</v>
      </c>
      <c r="L9" s="61">
        <v>149.38800000000001</v>
      </c>
      <c r="M9" s="61" t="s">
        <v>589</v>
      </c>
      <c r="N9" s="149">
        <v>14</v>
      </c>
      <c r="O9" s="149">
        <v>15</v>
      </c>
      <c r="P9" s="61" t="s">
        <v>567</v>
      </c>
      <c r="Q9" s="61" t="s">
        <v>566</v>
      </c>
      <c r="R9" s="61">
        <v>50.037932599999998</v>
      </c>
      <c r="S9" s="61">
        <v>8.5621518000000005</v>
      </c>
      <c r="T9" s="61">
        <v>443.28300000000002</v>
      </c>
      <c r="U9" s="61" t="s">
        <v>589</v>
      </c>
      <c r="V9" s="61" t="s">
        <v>589</v>
      </c>
      <c r="W9" s="61"/>
      <c r="X9" s="61"/>
      <c r="Y9" s="137">
        <f>Summary_LCIA!H$34</f>
        <v>7.4462E-2</v>
      </c>
      <c r="Z9" s="137">
        <f ca="1">Summary_LCIA!Q$34</f>
        <v>1.23508923</v>
      </c>
      <c r="AA9" s="137">
        <f ca="1">Summary_LCIA!R$34</f>
        <v>2.5566E-3</v>
      </c>
      <c r="AB9" s="137">
        <f ca="1">Summary_LCIA!S$34</f>
        <v>7.3438000000000003E-2</v>
      </c>
      <c r="AC9" s="137">
        <f ca="1">Summary_LCIA!T$34</f>
        <v>2.0743000000000001E-2</v>
      </c>
      <c r="AD9" s="137">
        <f ca="1">Summary_LCIA!U$34</f>
        <v>1.8396E-3</v>
      </c>
      <c r="AE9" s="137">
        <f ca="1">Summary_LCIA!V$34</f>
        <v>8.1093000000000004E-5</v>
      </c>
      <c r="AF9" s="137">
        <f ca="1">Summary_LCIA!W$34</f>
        <v>5.0548999999999997E-2</v>
      </c>
      <c r="AG9" s="137">
        <f ca="1">Summary_LCIA!X$34</f>
        <v>1.0624E-2</v>
      </c>
      <c r="AH9" s="137">
        <f ca="1">Summary_LCIA!Y$34</f>
        <v>1.7136E-3</v>
      </c>
      <c r="AI9" s="137">
        <f ca="1">Summary_LCIA!Z$34</f>
        <v>2.8504999999999999E-5</v>
      </c>
      <c r="AJ9" s="137">
        <f ca="1">Summary_LCIA!AA$34</f>
        <v>2.0625999999999999E-3</v>
      </c>
      <c r="AK9" s="137">
        <f ca="1">Summary_LCIA!AB$34</f>
        <v>-6.9388999999999998E-6</v>
      </c>
      <c r="AL9" s="137">
        <f ca="1">Summary_LCIA!AC$34</f>
        <v>3.6820999999999999E-9</v>
      </c>
      <c r="AM9" s="137">
        <f ca="1">Summary_LCIA!AD$34</f>
        <v>1.1118E-4</v>
      </c>
      <c r="AN9" s="137">
        <f ca="1">Summary_LCIA!AE$34</f>
        <v>2.9994E-4</v>
      </c>
      <c r="AO9" s="137">
        <f ca="1">Summary_LCIA!AF$34</f>
        <v>2.3786E-4</v>
      </c>
      <c r="AP9" s="137">
        <f ca="1">Summary_LCIA!AG$34</f>
        <v>2.7381000000000001E-6</v>
      </c>
      <c r="AQ9" s="137">
        <f ca="1">Summary_LCIA!AH$34</f>
        <v>2.2783E-3</v>
      </c>
      <c r="AR9" s="137">
        <f ca="1">Summary_LCIA!AI$34</f>
        <v>2.8075000000000002E-4</v>
      </c>
      <c r="AT9" s="137">
        <f t="shared" si="2"/>
        <v>33.007738746000001</v>
      </c>
      <c r="AU9" s="137">
        <f t="shared" ca="1" si="1"/>
        <v>547.49405914209001</v>
      </c>
      <c r="AV9" s="137">
        <f t="shared" ca="1" si="1"/>
        <v>1.1332973178000001</v>
      </c>
      <c r="AW9" s="137">
        <f t="shared" ca="1" si="1"/>
        <v>32.553816954000006</v>
      </c>
      <c r="AX9" s="137">
        <f t="shared" ca="1" si="1"/>
        <v>9.1950192690000012</v>
      </c>
      <c r="AY9" s="137">
        <f t="shared" ca="1" si="1"/>
        <v>0.81546340680000007</v>
      </c>
      <c r="AZ9" s="137">
        <f t="shared" ca="1" si="1"/>
        <v>3.5947148319000005E-2</v>
      </c>
      <c r="BA9" s="137">
        <f t="shared" ca="1" si="1"/>
        <v>22.407512366999999</v>
      </c>
      <c r="BB9" s="137">
        <f t="shared" ca="1" si="1"/>
        <v>4.7094385919999997</v>
      </c>
      <c r="BC9" s="137">
        <f t="shared" ca="1" si="1"/>
        <v>0.75960974879999998</v>
      </c>
      <c r="BD9" s="137">
        <f t="shared" ca="1" si="1"/>
        <v>1.2635781915E-2</v>
      </c>
      <c r="BE9" s="137">
        <f t="shared" ca="1" si="1"/>
        <v>0.91431551580000003</v>
      </c>
      <c r="BF9" s="137">
        <f t="shared" ca="1" si="1"/>
        <v>-3.0758964086999999E-3</v>
      </c>
      <c r="BG9" s="137">
        <f t="shared" ca="1" si="1"/>
        <v>1.6322123343000001E-6</v>
      </c>
      <c r="BH9" s="137">
        <f t="shared" ca="1" si="1"/>
        <v>4.928420394E-2</v>
      </c>
      <c r="BI9" s="137">
        <f t="shared" ca="1" si="1"/>
        <v>0.13295830302</v>
      </c>
      <c r="BJ9" s="137">
        <f t="shared" ca="1" si="1"/>
        <v>0.10543929438000001</v>
      </c>
      <c r="BK9" s="137">
        <f t="shared" ca="1" si="1"/>
        <v>1.2137531823000001E-3</v>
      </c>
      <c r="BL9" s="137">
        <f t="shared" ca="1" si="1"/>
        <v>1.0099316589</v>
      </c>
      <c r="BM9" s="137">
        <f t="shared" ca="1" si="1"/>
        <v>0.12445170225000002</v>
      </c>
    </row>
    <row r="10" spans="1:65" x14ac:dyDescent="0.25">
      <c r="A10" s="149">
        <v>365</v>
      </c>
      <c r="B10" s="149">
        <v>15</v>
      </c>
      <c r="C10" s="61">
        <v>52.090736999999997</v>
      </c>
      <c r="D10" s="61">
        <v>5.1214199999999996</v>
      </c>
      <c r="E10" s="61" t="s">
        <v>285</v>
      </c>
      <c r="F10" s="149">
        <v>12</v>
      </c>
      <c r="G10" s="61" t="s">
        <v>679</v>
      </c>
      <c r="H10" s="61" t="s">
        <v>680</v>
      </c>
      <c r="I10" s="61">
        <v>52.310538999999999</v>
      </c>
      <c r="J10" s="61">
        <v>4.7682739999999999</v>
      </c>
      <c r="K10" s="61">
        <v>37.628635809999999</v>
      </c>
      <c r="L10" s="61">
        <v>45.201000000000001</v>
      </c>
      <c r="M10" s="61" t="s">
        <v>589</v>
      </c>
      <c r="N10" s="149">
        <v>14</v>
      </c>
      <c r="O10" s="149">
        <v>15</v>
      </c>
      <c r="P10" s="61" t="s">
        <v>567</v>
      </c>
      <c r="Q10" s="61" t="s">
        <v>566</v>
      </c>
      <c r="R10" s="61">
        <v>50.037932599999998</v>
      </c>
      <c r="S10" s="61">
        <v>8.5621518000000005</v>
      </c>
      <c r="T10" s="61">
        <v>388.09</v>
      </c>
      <c r="U10" s="61" t="s">
        <v>589</v>
      </c>
      <c r="V10" s="61" t="s">
        <v>589</v>
      </c>
      <c r="W10" s="61"/>
      <c r="X10" s="61"/>
      <c r="Y10" s="137">
        <f>Summary_LCIA!H$34</f>
        <v>7.4462E-2</v>
      </c>
      <c r="Z10" s="137">
        <f ca="1">Summary_LCIA!Q$34</f>
        <v>1.23508923</v>
      </c>
      <c r="AA10" s="137">
        <f ca="1">Summary_LCIA!R$34</f>
        <v>2.5566E-3</v>
      </c>
      <c r="AB10" s="137">
        <f ca="1">Summary_LCIA!S$34</f>
        <v>7.3438000000000003E-2</v>
      </c>
      <c r="AC10" s="137">
        <f ca="1">Summary_LCIA!T$34</f>
        <v>2.0743000000000001E-2</v>
      </c>
      <c r="AD10" s="137">
        <f ca="1">Summary_LCIA!U$34</f>
        <v>1.8396E-3</v>
      </c>
      <c r="AE10" s="137">
        <f ca="1">Summary_LCIA!V$34</f>
        <v>8.1093000000000004E-5</v>
      </c>
      <c r="AF10" s="137">
        <f ca="1">Summary_LCIA!W$34</f>
        <v>5.0548999999999997E-2</v>
      </c>
      <c r="AG10" s="137">
        <f ca="1">Summary_LCIA!X$34</f>
        <v>1.0624E-2</v>
      </c>
      <c r="AH10" s="137">
        <f ca="1">Summary_LCIA!Y$34</f>
        <v>1.7136E-3</v>
      </c>
      <c r="AI10" s="137">
        <f ca="1">Summary_LCIA!Z$34</f>
        <v>2.8504999999999999E-5</v>
      </c>
      <c r="AJ10" s="137">
        <f ca="1">Summary_LCIA!AA$34</f>
        <v>2.0625999999999999E-3</v>
      </c>
      <c r="AK10" s="137">
        <f ca="1">Summary_LCIA!AB$34</f>
        <v>-6.9388999999999998E-6</v>
      </c>
      <c r="AL10" s="137">
        <f ca="1">Summary_LCIA!AC$34</f>
        <v>3.6820999999999999E-9</v>
      </c>
      <c r="AM10" s="137">
        <f ca="1">Summary_LCIA!AD$34</f>
        <v>1.1118E-4</v>
      </c>
      <c r="AN10" s="137">
        <f ca="1">Summary_LCIA!AE$34</f>
        <v>2.9994E-4</v>
      </c>
      <c r="AO10" s="137">
        <f ca="1">Summary_LCIA!AF$34</f>
        <v>2.3786E-4</v>
      </c>
      <c r="AP10" s="137">
        <f ca="1">Summary_LCIA!AG$34</f>
        <v>2.7381000000000001E-6</v>
      </c>
      <c r="AQ10" s="137">
        <f ca="1">Summary_LCIA!AH$34</f>
        <v>2.2783E-3</v>
      </c>
      <c r="AR10" s="137">
        <f ca="1">Summary_LCIA!AI$34</f>
        <v>2.8075000000000002E-4</v>
      </c>
      <c r="AT10" s="137">
        <f t="shared" si="2"/>
        <v>28.89795758</v>
      </c>
      <c r="AU10" s="137">
        <f t="shared" ca="1" si="1"/>
        <v>479.32577927069997</v>
      </c>
      <c r="AV10" s="137">
        <f t="shared" ca="1" si="1"/>
        <v>0.99219089399999993</v>
      </c>
      <c r="AW10" s="137">
        <f t="shared" ca="1" si="1"/>
        <v>28.500553419999999</v>
      </c>
      <c r="AX10" s="137">
        <f t="shared" ca="1" si="1"/>
        <v>8.0501508699999995</v>
      </c>
      <c r="AY10" s="137">
        <f t="shared" ca="1" si="1"/>
        <v>0.71393036399999998</v>
      </c>
      <c r="AZ10" s="137">
        <f t="shared" ca="1" si="1"/>
        <v>3.1471382370000002E-2</v>
      </c>
      <c r="BA10" s="137">
        <f t="shared" ca="1" si="1"/>
        <v>19.617561409999997</v>
      </c>
      <c r="BB10" s="137">
        <f t="shared" ca="1" si="1"/>
        <v>4.1230681599999999</v>
      </c>
      <c r="BC10" s="137">
        <f t="shared" ca="1" si="1"/>
        <v>0.66503102399999992</v>
      </c>
      <c r="BD10" s="137">
        <f t="shared" ca="1" si="1"/>
        <v>1.1062505449999999E-2</v>
      </c>
      <c r="BE10" s="137">
        <f t="shared" ca="1" si="1"/>
        <v>0.80047443399999996</v>
      </c>
      <c r="BF10" s="137">
        <f t="shared" ca="1" si="1"/>
        <v>-2.6929177009999998E-3</v>
      </c>
      <c r="BG10" s="137">
        <f t="shared" ca="1" si="1"/>
        <v>1.428986189E-6</v>
      </c>
      <c r="BH10" s="137">
        <f t="shared" ca="1" si="1"/>
        <v>4.3147846199999999E-2</v>
      </c>
      <c r="BI10" s="137">
        <f t="shared" ca="1" si="1"/>
        <v>0.1164037146</v>
      </c>
      <c r="BJ10" s="137">
        <f t="shared" ca="1" si="1"/>
        <v>9.2311087399999991E-2</v>
      </c>
      <c r="BK10" s="137">
        <f t="shared" ca="1" si="1"/>
        <v>1.062629229E-3</v>
      </c>
      <c r="BL10" s="137">
        <f t="shared" ca="1" si="1"/>
        <v>0.8841854469999999</v>
      </c>
      <c r="BM10" s="137">
        <f t="shared" ca="1" si="1"/>
        <v>0.1089562675</v>
      </c>
    </row>
    <row r="11" spans="1:65" x14ac:dyDescent="0.25">
      <c r="A11" s="149">
        <v>223</v>
      </c>
      <c r="B11" s="149">
        <v>15</v>
      </c>
      <c r="C11" s="61">
        <v>46.204391000000001</v>
      </c>
      <c r="D11" s="61">
        <v>6.1431579999999997</v>
      </c>
      <c r="E11" s="61" t="s">
        <v>271</v>
      </c>
      <c r="F11" s="149">
        <v>9</v>
      </c>
      <c r="G11" s="61" t="s">
        <v>567</v>
      </c>
      <c r="H11" s="61" t="s">
        <v>566</v>
      </c>
      <c r="I11" s="61">
        <v>50.037933000000002</v>
      </c>
      <c r="J11" s="61">
        <v>8.5621519999999993</v>
      </c>
      <c r="K11" s="61">
        <v>440.90853509999999</v>
      </c>
      <c r="L11" s="61">
        <v>589.53800000000001</v>
      </c>
      <c r="M11" s="61" t="s">
        <v>589</v>
      </c>
      <c r="N11" s="149">
        <v>14</v>
      </c>
      <c r="O11" s="149">
        <v>15</v>
      </c>
      <c r="P11" s="61" t="s">
        <v>567</v>
      </c>
      <c r="Q11" s="61" t="s">
        <v>566</v>
      </c>
      <c r="R11" s="61">
        <v>50.037932599999998</v>
      </c>
      <c r="S11" s="61">
        <v>8.5621518000000005</v>
      </c>
      <c r="T11" s="61">
        <v>596.91700000000003</v>
      </c>
      <c r="U11" s="61" t="s">
        <v>589</v>
      </c>
      <c r="V11" s="61" t="s">
        <v>589</v>
      </c>
      <c r="W11" s="61"/>
      <c r="X11" s="61"/>
      <c r="Y11" s="137">
        <f>Summary_LCIA!H$34</f>
        <v>7.4462E-2</v>
      </c>
      <c r="Z11" s="137">
        <f ca="1">Summary_LCIA!Q$34</f>
        <v>1.23508923</v>
      </c>
      <c r="AA11" s="137">
        <f ca="1">Summary_LCIA!R$34</f>
        <v>2.5566E-3</v>
      </c>
      <c r="AB11" s="137">
        <f ca="1">Summary_LCIA!S$34</f>
        <v>7.3438000000000003E-2</v>
      </c>
      <c r="AC11" s="137">
        <f ca="1">Summary_LCIA!T$34</f>
        <v>2.0743000000000001E-2</v>
      </c>
      <c r="AD11" s="137">
        <f ca="1">Summary_LCIA!U$34</f>
        <v>1.8396E-3</v>
      </c>
      <c r="AE11" s="137">
        <f ca="1">Summary_LCIA!V$34</f>
        <v>8.1093000000000004E-5</v>
      </c>
      <c r="AF11" s="137">
        <f ca="1">Summary_LCIA!W$34</f>
        <v>5.0548999999999997E-2</v>
      </c>
      <c r="AG11" s="137">
        <f ca="1">Summary_LCIA!X$34</f>
        <v>1.0624E-2</v>
      </c>
      <c r="AH11" s="137">
        <f ca="1">Summary_LCIA!Y$34</f>
        <v>1.7136E-3</v>
      </c>
      <c r="AI11" s="137">
        <f ca="1">Summary_LCIA!Z$34</f>
        <v>2.8504999999999999E-5</v>
      </c>
      <c r="AJ11" s="137">
        <f ca="1">Summary_LCIA!AA$34</f>
        <v>2.0625999999999999E-3</v>
      </c>
      <c r="AK11" s="137">
        <f ca="1">Summary_LCIA!AB$34</f>
        <v>-6.9388999999999998E-6</v>
      </c>
      <c r="AL11" s="137">
        <f ca="1">Summary_LCIA!AC$34</f>
        <v>3.6820999999999999E-9</v>
      </c>
      <c r="AM11" s="137">
        <f ca="1">Summary_LCIA!AD$34</f>
        <v>1.1118E-4</v>
      </c>
      <c r="AN11" s="137">
        <f ca="1">Summary_LCIA!AE$34</f>
        <v>2.9994E-4</v>
      </c>
      <c r="AO11" s="137">
        <f ca="1">Summary_LCIA!AF$34</f>
        <v>2.3786E-4</v>
      </c>
      <c r="AP11" s="137">
        <f ca="1">Summary_LCIA!AG$34</f>
        <v>2.7381000000000001E-6</v>
      </c>
      <c r="AQ11" s="137">
        <f ca="1">Summary_LCIA!AH$34</f>
        <v>2.2783E-3</v>
      </c>
      <c r="AR11" s="137">
        <f ca="1">Summary_LCIA!AI$34</f>
        <v>2.8075000000000002E-4</v>
      </c>
      <c r="AT11" s="137">
        <f t="shared" si="2"/>
        <v>44.447633654000001</v>
      </c>
      <c r="AU11" s="137">
        <f t="shared" ca="1" si="1"/>
        <v>737.24575790391009</v>
      </c>
      <c r="AV11" s="137">
        <f t="shared" ca="1" si="1"/>
        <v>1.5260780022</v>
      </c>
      <c r="AW11" s="137">
        <f t="shared" ca="1" si="1"/>
        <v>43.836390646000005</v>
      </c>
      <c r="AX11" s="137">
        <f t="shared" ca="1" si="1"/>
        <v>12.381849331000002</v>
      </c>
      <c r="AY11" s="137">
        <f t="shared" ca="1" si="1"/>
        <v>1.0980885132</v>
      </c>
      <c r="AZ11" s="137">
        <f t="shared" ca="1" si="1"/>
        <v>4.8405790281000005E-2</v>
      </c>
      <c r="BA11" s="137">
        <f t="shared" ca="1" si="1"/>
        <v>30.173557432999999</v>
      </c>
      <c r="BB11" s="137">
        <f t="shared" ca="1" si="1"/>
        <v>6.3416462080000002</v>
      </c>
      <c r="BC11" s="137">
        <f t="shared" ca="1" si="1"/>
        <v>1.0228769712000001</v>
      </c>
      <c r="BD11" s="137">
        <f t="shared" ca="1" si="1"/>
        <v>1.7015119084999999E-2</v>
      </c>
      <c r="BE11" s="137">
        <f t="shared" ca="1" si="1"/>
        <v>1.2312010042000001</v>
      </c>
      <c r="BF11" s="137">
        <f t="shared" ca="1" si="1"/>
        <v>-4.1419473713000003E-3</v>
      </c>
      <c r="BG11" s="137">
        <f t="shared" ca="1" si="1"/>
        <v>2.1979080857000001E-6</v>
      </c>
      <c r="BH11" s="137">
        <f t="shared" ca="1" si="1"/>
        <v>6.6365232060000001E-2</v>
      </c>
      <c r="BI11" s="137">
        <f t="shared" ca="1" si="1"/>
        <v>0.17903928498000002</v>
      </c>
      <c r="BJ11" s="137">
        <f t="shared" ca="1" si="1"/>
        <v>0.14198267762</v>
      </c>
      <c r="BK11" s="137">
        <f t="shared" ca="1" si="1"/>
        <v>1.6344184377000001E-3</v>
      </c>
      <c r="BL11" s="137">
        <f t="shared" ca="1" si="1"/>
        <v>1.3599560011</v>
      </c>
      <c r="BM11" s="137">
        <f t="shared" ca="1" si="1"/>
        <v>0.16758444775000003</v>
      </c>
    </row>
    <row r="12" spans="1:65" x14ac:dyDescent="0.25">
      <c r="A12" s="149">
        <v>376</v>
      </c>
      <c r="B12" s="149">
        <v>15</v>
      </c>
      <c r="C12" s="61">
        <v>52.541156000000001</v>
      </c>
      <c r="D12" s="61">
        <v>13.390912999999999</v>
      </c>
      <c r="E12" s="61" t="s">
        <v>281</v>
      </c>
      <c r="F12" s="149">
        <v>15</v>
      </c>
      <c r="G12" s="61" t="s">
        <v>567</v>
      </c>
      <c r="H12" s="61" t="s">
        <v>707</v>
      </c>
      <c r="I12" s="61">
        <v>50.037933000000002</v>
      </c>
      <c r="J12" s="61">
        <v>8.5621519999999993</v>
      </c>
      <c r="K12" s="61">
        <v>461.40119850000002</v>
      </c>
      <c r="L12" s="61">
        <v>636.84400000000005</v>
      </c>
      <c r="M12" s="61" t="s">
        <v>589</v>
      </c>
      <c r="N12" s="149">
        <v>14</v>
      </c>
      <c r="O12" s="149">
        <v>15</v>
      </c>
      <c r="P12" s="61" t="s">
        <v>567</v>
      </c>
      <c r="Q12" s="61" t="s">
        <v>566</v>
      </c>
      <c r="R12" s="61">
        <v>50.037932599999998</v>
      </c>
      <c r="S12" s="61">
        <v>8.5621518000000005</v>
      </c>
      <c r="T12" s="61">
        <v>530.98199999999997</v>
      </c>
      <c r="U12" s="61" t="s">
        <v>589</v>
      </c>
      <c r="V12" s="61" t="s">
        <v>589</v>
      </c>
      <c r="W12" s="61"/>
      <c r="X12" s="61"/>
      <c r="Y12" s="137">
        <f>Summary_LCIA!H$34</f>
        <v>7.4462E-2</v>
      </c>
      <c r="Z12" s="137">
        <f ca="1">Summary_LCIA!Q$34</f>
        <v>1.23508923</v>
      </c>
      <c r="AA12" s="137">
        <f ca="1">Summary_LCIA!R$34</f>
        <v>2.5566E-3</v>
      </c>
      <c r="AB12" s="137">
        <f ca="1">Summary_LCIA!S$34</f>
        <v>7.3438000000000003E-2</v>
      </c>
      <c r="AC12" s="137">
        <f ca="1">Summary_LCIA!T$34</f>
        <v>2.0743000000000001E-2</v>
      </c>
      <c r="AD12" s="137">
        <f ca="1">Summary_LCIA!U$34</f>
        <v>1.8396E-3</v>
      </c>
      <c r="AE12" s="137">
        <f ca="1">Summary_LCIA!V$34</f>
        <v>8.1093000000000004E-5</v>
      </c>
      <c r="AF12" s="137">
        <f ca="1">Summary_LCIA!W$34</f>
        <v>5.0548999999999997E-2</v>
      </c>
      <c r="AG12" s="137">
        <f ca="1">Summary_LCIA!X$34</f>
        <v>1.0624E-2</v>
      </c>
      <c r="AH12" s="137">
        <f ca="1">Summary_LCIA!Y$34</f>
        <v>1.7136E-3</v>
      </c>
      <c r="AI12" s="137">
        <f ca="1">Summary_LCIA!Z$34</f>
        <v>2.8504999999999999E-5</v>
      </c>
      <c r="AJ12" s="137">
        <f ca="1">Summary_LCIA!AA$34</f>
        <v>2.0625999999999999E-3</v>
      </c>
      <c r="AK12" s="137">
        <f ca="1">Summary_LCIA!AB$34</f>
        <v>-6.9388999999999998E-6</v>
      </c>
      <c r="AL12" s="137">
        <f ca="1">Summary_LCIA!AC$34</f>
        <v>3.6820999999999999E-9</v>
      </c>
      <c r="AM12" s="137">
        <f ca="1">Summary_LCIA!AD$34</f>
        <v>1.1118E-4</v>
      </c>
      <c r="AN12" s="137">
        <f ca="1">Summary_LCIA!AE$34</f>
        <v>2.9994E-4</v>
      </c>
      <c r="AO12" s="137">
        <f ca="1">Summary_LCIA!AF$34</f>
        <v>2.3786E-4</v>
      </c>
      <c r="AP12" s="137">
        <f ca="1">Summary_LCIA!AG$34</f>
        <v>2.7381000000000001E-6</v>
      </c>
      <c r="AQ12" s="137">
        <f ca="1">Summary_LCIA!AH$34</f>
        <v>2.2783E-3</v>
      </c>
      <c r="AR12" s="137">
        <f ca="1">Summary_LCIA!AI$34</f>
        <v>2.8075000000000002E-4</v>
      </c>
      <c r="AT12" s="137">
        <f t="shared" si="2"/>
        <v>39.537981683999995</v>
      </c>
      <c r="AU12" s="137">
        <f t="shared" ca="1" si="1"/>
        <v>655.81014952385999</v>
      </c>
      <c r="AV12" s="137">
        <f t="shared" ca="1" si="1"/>
        <v>1.3575085811999998</v>
      </c>
      <c r="AW12" s="137">
        <f t="shared" ca="1" si="1"/>
        <v>38.994256116000003</v>
      </c>
      <c r="AX12" s="137">
        <f t="shared" ca="1" si="1"/>
        <v>11.014159626</v>
      </c>
      <c r="AY12" s="137">
        <f t="shared" ca="1" si="1"/>
        <v>0.97679448719999995</v>
      </c>
      <c r="AZ12" s="137">
        <f t="shared" ca="1" si="1"/>
        <v>4.3058923325999997E-2</v>
      </c>
      <c r="BA12" s="137">
        <f t="shared" ca="1" si="1"/>
        <v>26.840609117999996</v>
      </c>
      <c r="BB12" s="137">
        <f t="shared" ca="1" si="1"/>
        <v>5.6411527679999995</v>
      </c>
      <c r="BC12" s="137">
        <f t="shared" ca="1" si="1"/>
        <v>0.90989075519999996</v>
      </c>
      <c r="BD12" s="137">
        <f t="shared" ca="1" si="1"/>
        <v>1.5135641909999999E-2</v>
      </c>
      <c r="BE12" s="137">
        <f t="shared" ca="1" si="1"/>
        <v>1.0952034732</v>
      </c>
      <c r="BF12" s="137">
        <f t="shared" ca="1" si="1"/>
        <v>-3.6844309997999996E-3</v>
      </c>
      <c r="BG12" s="137">
        <f t="shared" ca="1" si="1"/>
        <v>1.9551288222E-6</v>
      </c>
      <c r="BH12" s="137">
        <f t="shared" ca="1" si="1"/>
        <v>5.9034578759999998E-2</v>
      </c>
      <c r="BI12" s="137">
        <f t="shared" ca="1" si="1"/>
        <v>0.15926274107999999</v>
      </c>
      <c r="BJ12" s="137">
        <f t="shared" ca="1" si="1"/>
        <v>0.12629937852000001</v>
      </c>
      <c r="BK12" s="137">
        <f t="shared" ca="1" si="1"/>
        <v>1.4538818141999999E-3</v>
      </c>
      <c r="BL12" s="137">
        <f t="shared" ca="1" si="1"/>
        <v>1.2097362906</v>
      </c>
      <c r="BM12" s="137">
        <f t="shared" ca="1" si="1"/>
        <v>0.1490731965</v>
      </c>
    </row>
    <row r="13" spans="1:65" x14ac:dyDescent="0.25">
      <c r="A13" s="149">
        <v>377</v>
      </c>
      <c r="B13" s="149">
        <v>15</v>
      </c>
      <c r="C13" s="61">
        <v>52.541156000000001</v>
      </c>
      <c r="D13" s="61">
        <v>13.390912999999999</v>
      </c>
      <c r="E13" s="61" t="s">
        <v>281</v>
      </c>
      <c r="F13" s="149">
        <v>15</v>
      </c>
      <c r="G13" s="61" t="s">
        <v>567</v>
      </c>
      <c r="H13" s="61" t="s">
        <v>707</v>
      </c>
      <c r="I13" s="61">
        <v>50.037933000000002</v>
      </c>
      <c r="J13" s="61">
        <v>8.5621519999999993</v>
      </c>
      <c r="K13" s="61">
        <v>461.40119850000002</v>
      </c>
      <c r="L13" s="61">
        <v>636.84400000000005</v>
      </c>
      <c r="M13" s="61" t="s">
        <v>589</v>
      </c>
      <c r="N13" s="149">
        <v>14</v>
      </c>
      <c r="O13" s="149">
        <v>15</v>
      </c>
      <c r="P13" s="61" t="s">
        <v>567</v>
      </c>
      <c r="Q13" s="61" t="s">
        <v>566</v>
      </c>
      <c r="R13" s="61">
        <v>50.037932599999998</v>
      </c>
      <c r="S13" s="61">
        <v>8.5621518000000005</v>
      </c>
      <c r="T13" s="61">
        <v>530.98199999999997</v>
      </c>
      <c r="U13" s="61" t="s">
        <v>589</v>
      </c>
      <c r="V13" s="61" t="s">
        <v>589</v>
      </c>
      <c r="W13" s="61"/>
      <c r="X13" s="61"/>
      <c r="Y13" s="137">
        <f>Summary_LCIA!H$34</f>
        <v>7.4462E-2</v>
      </c>
      <c r="Z13" s="137">
        <f ca="1">Summary_LCIA!Q$34</f>
        <v>1.23508923</v>
      </c>
      <c r="AA13" s="137">
        <f ca="1">Summary_LCIA!R$34</f>
        <v>2.5566E-3</v>
      </c>
      <c r="AB13" s="137">
        <f ca="1">Summary_LCIA!S$34</f>
        <v>7.3438000000000003E-2</v>
      </c>
      <c r="AC13" s="137">
        <f ca="1">Summary_LCIA!T$34</f>
        <v>2.0743000000000001E-2</v>
      </c>
      <c r="AD13" s="137">
        <f ca="1">Summary_LCIA!U$34</f>
        <v>1.8396E-3</v>
      </c>
      <c r="AE13" s="137">
        <f ca="1">Summary_LCIA!V$34</f>
        <v>8.1093000000000004E-5</v>
      </c>
      <c r="AF13" s="137">
        <f ca="1">Summary_LCIA!W$34</f>
        <v>5.0548999999999997E-2</v>
      </c>
      <c r="AG13" s="137">
        <f ca="1">Summary_LCIA!X$34</f>
        <v>1.0624E-2</v>
      </c>
      <c r="AH13" s="137">
        <f ca="1">Summary_LCIA!Y$34</f>
        <v>1.7136E-3</v>
      </c>
      <c r="AI13" s="137">
        <f ca="1">Summary_LCIA!Z$34</f>
        <v>2.8504999999999999E-5</v>
      </c>
      <c r="AJ13" s="137">
        <f ca="1">Summary_LCIA!AA$34</f>
        <v>2.0625999999999999E-3</v>
      </c>
      <c r="AK13" s="137">
        <f ca="1">Summary_LCIA!AB$34</f>
        <v>-6.9388999999999998E-6</v>
      </c>
      <c r="AL13" s="137">
        <f ca="1">Summary_LCIA!AC$34</f>
        <v>3.6820999999999999E-9</v>
      </c>
      <c r="AM13" s="137">
        <f ca="1">Summary_LCIA!AD$34</f>
        <v>1.1118E-4</v>
      </c>
      <c r="AN13" s="137">
        <f ca="1">Summary_LCIA!AE$34</f>
        <v>2.9994E-4</v>
      </c>
      <c r="AO13" s="137">
        <f ca="1">Summary_LCIA!AF$34</f>
        <v>2.3786E-4</v>
      </c>
      <c r="AP13" s="137">
        <f ca="1">Summary_LCIA!AG$34</f>
        <v>2.7381000000000001E-6</v>
      </c>
      <c r="AQ13" s="137">
        <f ca="1">Summary_LCIA!AH$34</f>
        <v>2.2783E-3</v>
      </c>
      <c r="AR13" s="137">
        <f ca="1">Summary_LCIA!AI$34</f>
        <v>2.8075000000000002E-4</v>
      </c>
      <c r="AT13" s="137">
        <f t="shared" si="2"/>
        <v>39.537981683999995</v>
      </c>
      <c r="AU13" s="137">
        <f t="shared" ca="1" si="1"/>
        <v>655.81014952385999</v>
      </c>
      <c r="AV13" s="137">
        <f t="shared" ca="1" si="1"/>
        <v>1.3575085811999998</v>
      </c>
      <c r="AW13" s="137">
        <f t="shared" ca="1" si="1"/>
        <v>38.994256116000003</v>
      </c>
      <c r="AX13" s="137">
        <f t="shared" ca="1" si="1"/>
        <v>11.014159626</v>
      </c>
      <c r="AY13" s="137">
        <f t="shared" ca="1" si="1"/>
        <v>0.97679448719999995</v>
      </c>
      <c r="AZ13" s="137">
        <f t="shared" ca="1" si="1"/>
        <v>4.3058923325999997E-2</v>
      </c>
      <c r="BA13" s="137">
        <f t="shared" ca="1" si="1"/>
        <v>26.840609117999996</v>
      </c>
      <c r="BB13" s="137">
        <f t="shared" ca="1" si="1"/>
        <v>5.6411527679999995</v>
      </c>
      <c r="BC13" s="137">
        <f t="shared" ca="1" si="1"/>
        <v>0.90989075519999996</v>
      </c>
      <c r="BD13" s="137">
        <f t="shared" ca="1" si="1"/>
        <v>1.5135641909999999E-2</v>
      </c>
      <c r="BE13" s="137">
        <f t="shared" ca="1" si="1"/>
        <v>1.0952034732</v>
      </c>
      <c r="BF13" s="137">
        <f t="shared" ca="1" si="1"/>
        <v>-3.6844309997999996E-3</v>
      </c>
      <c r="BG13" s="137">
        <f t="shared" ca="1" si="1"/>
        <v>1.9551288222E-6</v>
      </c>
      <c r="BH13" s="137">
        <f t="shared" ca="1" si="1"/>
        <v>5.9034578759999998E-2</v>
      </c>
      <c r="BI13" s="137">
        <f t="shared" ca="1" si="1"/>
        <v>0.15926274107999999</v>
      </c>
      <c r="BJ13" s="137">
        <f t="shared" ca="1" si="1"/>
        <v>0.12629937852000001</v>
      </c>
      <c r="BK13" s="137">
        <f t="shared" ca="1" si="1"/>
        <v>1.4538818141999999E-3</v>
      </c>
      <c r="BL13" s="137">
        <f t="shared" ca="1" si="1"/>
        <v>1.2097362906</v>
      </c>
      <c r="BM13" s="137">
        <f t="shared" ca="1" si="1"/>
        <v>0.1490731965</v>
      </c>
    </row>
    <row r="14" spans="1:65" x14ac:dyDescent="0.25">
      <c r="A14" s="149">
        <v>108</v>
      </c>
      <c r="B14" s="149">
        <v>6</v>
      </c>
      <c r="C14" s="61">
        <v>42.050626999999999</v>
      </c>
      <c r="D14" s="61">
        <v>-87.679727</v>
      </c>
      <c r="E14" s="61" t="s">
        <v>265</v>
      </c>
      <c r="F14" s="149">
        <v>6</v>
      </c>
      <c r="G14" s="61" t="s">
        <v>565</v>
      </c>
      <c r="H14" s="61" t="s">
        <v>673</v>
      </c>
      <c r="I14" s="61">
        <v>41.98028</v>
      </c>
      <c r="J14" s="61">
        <v>-87.908997999999997</v>
      </c>
      <c r="K14" s="61">
        <v>22.71590222</v>
      </c>
      <c r="L14" s="61">
        <v>27.763999999999999</v>
      </c>
      <c r="M14" s="61" t="s">
        <v>617</v>
      </c>
      <c r="N14" s="149">
        <v>5</v>
      </c>
      <c r="O14" s="149">
        <v>6</v>
      </c>
      <c r="P14" s="61" t="s">
        <v>565</v>
      </c>
      <c r="Q14" s="61" t="s">
        <v>564</v>
      </c>
      <c r="R14" s="61">
        <v>41.98028</v>
      </c>
      <c r="S14" s="61">
        <v>-87.908997900000003</v>
      </c>
      <c r="T14" s="61">
        <v>27.763999999999999</v>
      </c>
      <c r="U14" s="61" t="s">
        <v>617</v>
      </c>
      <c r="V14" s="61" t="s">
        <v>617</v>
      </c>
      <c r="W14" s="61"/>
      <c r="X14" s="61"/>
      <c r="Y14" s="137">
        <f>Summary_LCIA!H$32</f>
        <v>0.33979999999999999</v>
      </c>
      <c r="Z14" s="137">
        <f>Summary_LCIA!Q$32</f>
        <v>4.9560504329999997</v>
      </c>
      <c r="AA14" s="137">
        <f>Summary_LCIA!R$32</f>
        <v>5.2655999999999996E-3</v>
      </c>
      <c r="AB14" s="137">
        <f>Summary_LCIA!S$32</f>
        <v>0.33538000000000001</v>
      </c>
      <c r="AC14" s="137">
        <f>Summary_LCIA!T$32</f>
        <v>0.1099</v>
      </c>
      <c r="AD14" s="137">
        <f>Summary_LCIA!U$32</f>
        <v>1.7913999999999999E-2</v>
      </c>
      <c r="AE14" s="137">
        <f>Summary_LCIA!V$32</f>
        <v>4.7760999999999999E-5</v>
      </c>
      <c r="AF14" s="137">
        <f>Summary_LCIA!W$32</f>
        <v>7.6970999999999998E-2</v>
      </c>
      <c r="AG14" s="137">
        <f>Summary_LCIA!X$32</f>
        <v>2.2780000000000002E-2</v>
      </c>
      <c r="AH14" s="137">
        <f>Summary_LCIA!Y$32</f>
        <v>1.5582E-2</v>
      </c>
      <c r="AI14" s="137">
        <f>Summary_LCIA!Z$32</f>
        <v>4.1009E-5</v>
      </c>
      <c r="AJ14" s="137">
        <f>Summary_LCIA!AA$32</f>
        <v>2.3355999999999998E-2</v>
      </c>
      <c r="AK14" s="137">
        <f>Summary_LCIA!AB$32</f>
        <v>-2.1823000000000001E-5</v>
      </c>
      <c r="AL14" s="137">
        <f>Summary_LCIA!AC$32</f>
        <v>4.8884000000000003E-8</v>
      </c>
      <c r="AM14" s="137">
        <f>Summary_LCIA!AD$32</f>
        <v>4.1103999999999999E-4</v>
      </c>
      <c r="AN14" s="137">
        <f>Summary_LCIA!AE$32</f>
        <v>8.8612999999999995E-4</v>
      </c>
      <c r="AO14" s="137">
        <f>Summary_LCIA!AF$32</f>
        <v>8.4542000000000005E-4</v>
      </c>
      <c r="AP14" s="137">
        <f>Summary_LCIA!AG$32</f>
        <v>5.1165000000000002E-5</v>
      </c>
      <c r="AQ14" s="137">
        <f>Summary_LCIA!AH$32</f>
        <v>8.7036000000000006E-3</v>
      </c>
      <c r="AR14" s="137">
        <f>Summary_LCIA!AI$32</f>
        <v>9.3154999999999996E-4</v>
      </c>
      <c r="AT14" s="137">
        <f t="shared" si="2"/>
        <v>9.4342071999999995</v>
      </c>
      <c r="AU14" s="137">
        <f t="shared" si="1"/>
        <v>137.599784221812</v>
      </c>
      <c r="AV14" s="137">
        <f t="shared" si="1"/>
        <v>0.14619411839999999</v>
      </c>
      <c r="AW14" s="137">
        <f t="shared" si="1"/>
        <v>9.3114903200000008</v>
      </c>
      <c r="AX14" s="137">
        <f t="shared" si="1"/>
        <v>3.0512636</v>
      </c>
      <c r="AY14" s="137">
        <f t="shared" si="1"/>
        <v>0.49736429599999998</v>
      </c>
      <c r="AZ14" s="137">
        <f t="shared" si="1"/>
        <v>1.326036404E-3</v>
      </c>
      <c r="BA14" s="137">
        <f t="shared" si="1"/>
        <v>2.1370228440000001</v>
      </c>
      <c r="BB14" s="137">
        <f t="shared" si="1"/>
        <v>0.63246392000000007</v>
      </c>
      <c r="BC14" s="137">
        <f t="shared" si="1"/>
        <v>0.43261864799999999</v>
      </c>
      <c r="BD14" s="137">
        <f t="shared" si="1"/>
        <v>1.1385738759999999E-3</v>
      </c>
      <c r="BE14" s="137">
        <f t="shared" si="1"/>
        <v>0.64845598399999993</v>
      </c>
      <c r="BF14" s="137">
        <f t="shared" si="1"/>
        <v>-6.0589377199999999E-4</v>
      </c>
      <c r="BG14" s="137">
        <f t="shared" si="1"/>
        <v>1.357215376E-6</v>
      </c>
      <c r="BH14" s="137">
        <f t="shared" si="1"/>
        <v>1.1412114559999999E-2</v>
      </c>
      <c r="BI14" s="137">
        <f t="shared" si="1"/>
        <v>2.4602513319999998E-2</v>
      </c>
      <c r="BJ14" s="137">
        <f t="shared" si="1"/>
        <v>2.3472240880000002E-2</v>
      </c>
      <c r="BK14" s="137">
        <f t="shared" si="1"/>
        <v>1.42054506E-3</v>
      </c>
      <c r="BL14" s="137">
        <f t="shared" si="1"/>
        <v>0.2416467504</v>
      </c>
      <c r="BM14" s="137">
        <f t="shared" si="1"/>
        <v>2.58635542E-2</v>
      </c>
    </row>
    <row r="15" spans="1:65" x14ac:dyDescent="0.25">
      <c r="A15" s="149">
        <v>109</v>
      </c>
      <c r="B15" s="149">
        <v>6</v>
      </c>
      <c r="C15" s="61">
        <v>42.050626999999999</v>
      </c>
      <c r="D15" s="61">
        <v>-87.679727</v>
      </c>
      <c r="E15" s="61" t="s">
        <v>265</v>
      </c>
      <c r="F15" s="149">
        <v>6</v>
      </c>
      <c r="G15" s="61" t="s">
        <v>565</v>
      </c>
      <c r="H15" s="61" t="s">
        <v>673</v>
      </c>
      <c r="I15" s="61">
        <v>41.98028</v>
      </c>
      <c r="J15" s="61">
        <v>-87.908997999999997</v>
      </c>
      <c r="K15" s="61">
        <v>22.71590222</v>
      </c>
      <c r="L15" s="61">
        <v>27.763999999999999</v>
      </c>
      <c r="M15" s="61" t="s">
        <v>617</v>
      </c>
      <c r="N15" s="149">
        <v>5</v>
      </c>
      <c r="O15" s="149">
        <v>6</v>
      </c>
      <c r="P15" s="61" t="s">
        <v>565</v>
      </c>
      <c r="Q15" s="61" t="s">
        <v>564</v>
      </c>
      <c r="R15" s="61">
        <v>41.98028</v>
      </c>
      <c r="S15" s="61">
        <v>-87.908997900000003</v>
      </c>
      <c r="T15" s="61">
        <v>27.763999999999999</v>
      </c>
      <c r="U15" s="61" t="s">
        <v>617</v>
      </c>
      <c r="V15" s="61" t="s">
        <v>617</v>
      </c>
      <c r="W15" s="61"/>
      <c r="X15" s="61"/>
      <c r="Y15" s="137">
        <f>Summary_LCIA!H$32</f>
        <v>0.33979999999999999</v>
      </c>
      <c r="Z15" s="137">
        <f>Summary_LCIA!Q$32</f>
        <v>4.9560504329999997</v>
      </c>
      <c r="AA15" s="137">
        <f>Summary_LCIA!R$32</f>
        <v>5.2655999999999996E-3</v>
      </c>
      <c r="AB15" s="137">
        <f>Summary_LCIA!S$32</f>
        <v>0.33538000000000001</v>
      </c>
      <c r="AC15" s="137">
        <f>Summary_LCIA!T$32</f>
        <v>0.1099</v>
      </c>
      <c r="AD15" s="137">
        <f>Summary_LCIA!U$32</f>
        <v>1.7913999999999999E-2</v>
      </c>
      <c r="AE15" s="137">
        <f>Summary_LCIA!V$32</f>
        <v>4.7760999999999999E-5</v>
      </c>
      <c r="AF15" s="137">
        <f>Summary_LCIA!W$32</f>
        <v>7.6970999999999998E-2</v>
      </c>
      <c r="AG15" s="137">
        <f>Summary_LCIA!X$32</f>
        <v>2.2780000000000002E-2</v>
      </c>
      <c r="AH15" s="137">
        <f>Summary_LCIA!Y$32</f>
        <v>1.5582E-2</v>
      </c>
      <c r="AI15" s="137">
        <f>Summary_LCIA!Z$32</f>
        <v>4.1009E-5</v>
      </c>
      <c r="AJ15" s="137">
        <f>Summary_LCIA!AA$32</f>
        <v>2.3355999999999998E-2</v>
      </c>
      <c r="AK15" s="137">
        <f>Summary_LCIA!AB$32</f>
        <v>-2.1823000000000001E-5</v>
      </c>
      <c r="AL15" s="137">
        <f>Summary_LCIA!AC$32</f>
        <v>4.8884000000000003E-8</v>
      </c>
      <c r="AM15" s="137">
        <f>Summary_LCIA!AD$32</f>
        <v>4.1103999999999999E-4</v>
      </c>
      <c r="AN15" s="137">
        <f>Summary_LCIA!AE$32</f>
        <v>8.8612999999999995E-4</v>
      </c>
      <c r="AO15" s="137">
        <f>Summary_LCIA!AF$32</f>
        <v>8.4542000000000005E-4</v>
      </c>
      <c r="AP15" s="137">
        <f>Summary_LCIA!AG$32</f>
        <v>5.1165000000000002E-5</v>
      </c>
      <c r="AQ15" s="137">
        <f>Summary_LCIA!AH$32</f>
        <v>8.7036000000000006E-3</v>
      </c>
      <c r="AR15" s="137">
        <f>Summary_LCIA!AI$32</f>
        <v>9.3154999999999996E-4</v>
      </c>
      <c r="AT15" s="137">
        <f t="shared" si="2"/>
        <v>9.4342071999999995</v>
      </c>
      <c r="AU15" s="137">
        <f t="shared" si="1"/>
        <v>137.599784221812</v>
      </c>
      <c r="AV15" s="137">
        <f t="shared" si="1"/>
        <v>0.14619411839999999</v>
      </c>
      <c r="AW15" s="137">
        <f t="shared" si="1"/>
        <v>9.3114903200000008</v>
      </c>
      <c r="AX15" s="137">
        <f t="shared" si="1"/>
        <v>3.0512636</v>
      </c>
      <c r="AY15" s="137">
        <f t="shared" si="1"/>
        <v>0.49736429599999998</v>
      </c>
      <c r="AZ15" s="137">
        <f t="shared" si="1"/>
        <v>1.326036404E-3</v>
      </c>
      <c r="BA15" s="137">
        <f t="shared" si="1"/>
        <v>2.1370228440000001</v>
      </c>
      <c r="BB15" s="137">
        <f t="shared" si="1"/>
        <v>0.63246392000000007</v>
      </c>
      <c r="BC15" s="137">
        <f t="shared" ref="BC15:BC62" si="3">$T15*AH15</f>
        <v>0.43261864799999999</v>
      </c>
      <c r="BD15" s="137">
        <f t="shared" ref="BD15:BD62" si="4">$T15*AI15</f>
        <v>1.1385738759999999E-3</v>
      </c>
      <c r="BE15" s="137">
        <f t="shared" ref="BE15:BE62" si="5">$T15*AJ15</f>
        <v>0.64845598399999993</v>
      </c>
      <c r="BF15" s="137">
        <f t="shared" ref="BF15:BF62" si="6">$T15*AK15</f>
        <v>-6.0589377199999999E-4</v>
      </c>
      <c r="BG15" s="137">
        <f t="shared" ref="BG15:BG62" si="7">$T15*AL15</f>
        <v>1.357215376E-6</v>
      </c>
      <c r="BH15" s="137">
        <f t="shared" ref="BH15:BH62" si="8">$T15*AM15</f>
        <v>1.1412114559999999E-2</v>
      </c>
      <c r="BI15" s="137">
        <f t="shared" ref="BI15:BI62" si="9">$T15*AN15</f>
        <v>2.4602513319999998E-2</v>
      </c>
      <c r="BJ15" s="137">
        <f t="shared" ref="BJ15:BJ62" si="10">$T15*AO15</f>
        <v>2.3472240880000002E-2</v>
      </c>
      <c r="BK15" s="137">
        <f t="shared" ref="BK15:BK62" si="11">$T15*AP15</f>
        <v>1.42054506E-3</v>
      </c>
      <c r="BL15" s="137">
        <f t="shared" ref="BL15:BL62" si="12">$T15*AQ15</f>
        <v>0.2416467504</v>
      </c>
      <c r="BM15" s="137">
        <f t="shared" ref="BM15:BM62" si="13">$T15*AR15</f>
        <v>2.58635542E-2</v>
      </c>
    </row>
    <row r="16" spans="1:65" x14ac:dyDescent="0.25">
      <c r="A16" s="149">
        <v>110</v>
      </c>
      <c r="B16" s="149">
        <v>6</v>
      </c>
      <c r="C16" s="61">
        <v>42.050626999999999</v>
      </c>
      <c r="D16" s="61">
        <v>-87.679727</v>
      </c>
      <c r="E16" s="61" t="s">
        <v>265</v>
      </c>
      <c r="F16" s="149">
        <v>6</v>
      </c>
      <c r="G16" s="61" t="s">
        <v>565</v>
      </c>
      <c r="H16" s="61" t="s">
        <v>673</v>
      </c>
      <c r="I16" s="61">
        <v>41.98028</v>
      </c>
      <c r="J16" s="61">
        <v>-87.908997999999997</v>
      </c>
      <c r="K16" s="61">
        <v>22.71590222</v>
      </c>
      <c r="L16" s="61">
        <v>27.763999999999999</v>
      </c>
      <c r="M16" s="61" t="s">
        <v>617</v>
      </c>
      <c r="N16" s="149">
        <v>5</v>
      </c>
      <c r="O16" s="149">
        <v>6</v>
      </c>
      <c r="P16" s="61" t="s">
        <v>565</v>
      </c>
      <c r="Q16" s="61" t="s">
        <v>564</v>
      </c>
      <c r="R16" s="61">
        <v>41.98028</v>
      </c>
      <c r="S16" s="61">
        <v>-87.908997900000003</v>
      </c>
      <c r="T16" s="61">
        <v>27.763999999999999</v>
      </c>
      <c r="U16" s="61" t="s">
        <v>617</v>
      </c>
      <c r="V16" s="61" t="s">
        <v>617</v>
      </c>
      <c r="W16" s="61"/>
      <c r="X16" s="61"/>
      <c r="Y16" s="137">
        <f>Summary_LCIA!H$32</f>
        <v>0.33979999999999999</v>
      </c>
      <c r="Z16" s="137">
        <f>Summary_LCIA!Q$32</f>
        <v>4.9560504329999997</v>
      </c>
      <c r="AA16" s="137">
        <f>Summary_LCIA!R$32</f>
        <v>5.2655999999999996E-3</v>
      </c>
      <c r="AB16" s="137">
        <f>Summary_LCIA!S$32</f>
        <v>0.33538000000000001</v>
      </c>
      <c r="AC16" s="137">
        <f>Summary_LCIA!T$32</f>
        <v>0.1099</v>
      </c>
      <c r="AD16" s="137">
        <f>Summary_LCIA!U$32</f>
        <v>1.7913999999999999E-2</v>
      </c>
      <c r="AE16" s="137">
        <f>Summary_LCIA!V$32</f>
        <v>4.7760999999999999E-5</v>
      </c>
      <c r="AF16" s="137">
        <f>Summary_LCIA!W$32</f>
        <v>7.6970999999999998E-2</v>
      </c>
      <c r="AG16" s="137">
        <f>Summary_LCIA!X$32</f>
        <v>2.2780000000000002E-2</v>
      </c>
      <c r="AH16" s="137">
        <f>Summary_LCIA!Y$32</f>
        <v>1.5582E-2</v>
      </c>
      <c r="AI16" s="137">
        <f>Summary_LCIA!Z$32</f>
        <v>4.1009E-5</v>
      </c>
      <c r="AJ16" s="137">
        <f>Summary_LCIA!AA$32</f>
        <v>2.3355999999999998E-2</v>
      </c>
      <c r="AK16" s="137">
        <f>Summary_LCIA!AB$32</f>
        <v>-2.1823000000000001E-5</v>
      </c>
      <c r="AL16" s="137">
        <f>Summary_LCIA!AC$32</f>
        <v>4.8884000000000003E-8</v>
      </c>
      <c r="AM16" s="137">
        <f>Summary_LCIA!AD$32</f>
        <v>4.1103999999999999E-4</v>
      </c>
      <c r="AN16" s="137">
        <f>Summary_LCIA!AE$32</f>
        <v>8.8612999999999995E-4</v>
      </c>
      <c r="AO16" s="137">
        <f>Summary_LCIA!AF$32</f>
        <v>8.4542000000000005E-4</v>
      </c>
      <c r="AP16" s="137">
        <f>Summary_LCIA!AG$32</f>
        <v>5.1165000000000002E-5</v>
      </c>
      <c r="AQ16" s="137">
        <f>Summary_LCIA!AH$32</f>
        <v>8.7036000000000006E-3</v>
      </c>
      <c r="AR16" s="137">
        <f>Summary_LCIA!AI$32</f>
        <v>9.3154999999999996E-4</v>
      </c>
      <c r="AT16" s="137">
        <f t="shared" si="2"/>
        <v>9.4342071999999995</v>
      </c>
      <c r="AU16" s="137">
        <f t="shared" ref="AU16:AU62" si="14">$T16*Z16</f>
        <v>137.599784221812</v>
      </c>
      <c r="AV16" s="137">
        <f t="shared" ref="AV16:AV62" si="15">$T16*AA16</f>
        <v>0.14619411839999999</v>
      </c>
      <c r="AW16" s="137">
        <f t="shared" ref="AW16:AW62" si="16">$T16*AB16</f>
        <v>9.3114903200000008</v>
      </c>
      <c r="AX16" s="137">
        <f t="shared" ref="AX16:AX62" si="17">$T16*AC16</f>
        <v>3.0512636</v>
      </c>
      <c r="AY16" s="137">
        <f t="shared" ref="AY16:AY62" si="18">$T16*AD16</f>
        <v>0.49736429599999998</v>
      </c>
      <c r="AZ16" s="137">
        <f t="shared" ref="AZ16:AZ62" si="19">$T16*AE16</f>
        <v>1.326036404E-3</v>
      </c>
      <c r="BA16" s="137">
        <f t="shared" ref="BA16:BA62" si="20">$T16*AF16</f>
        <v>2.1370228440000001</v>
      </c>
      <c r="BB16" s="137">
        <f t="shared" ref="BB16:BB62" si="21">$T16*AG16</f>
        <v>0.63246392000000007</v>
      </c>
      <c r="BC16" s="137">
        <f t="shared" si="3"/>
        <v>0.43261864799999999</v>
      </c>
      <c r="BD16" s="137">
        <f t="shared" si="4"/>
        <v>1.1385738759999999E-3</v>
      </c>
      <c r="BE16" s="137">
        <f t="shared" si="5"/>
        <v>0.64845598399999993</v>
      </c>
      <c r="BF16" s="137">
        <f t="shared" si="6"/>
        <v>-6.0589377199999999E-4</v>
      </c>
      <c r="BG16" s="137">
        <f t="shared" si="7"/>
        <v>1.357215376E-6</v>
      </c>
      <c r="BH16" s="137">
        <f t="shared" si="8"/>
        <v>1.1412114559999999E-2</v>
      </c>
      <c r="BI16" s="137">
        <f t="shared" si="9"/>
        <v>2.4602513319999998E-2</v>
      </c>
      <c r="BJ16" s="137">
        <f t="shared" si="10"/>
        <v>2.3472240880000002E-2</v>
      </c>
      <c r="BK16" s="137">
        <f t="shared" si="11"/>
        <v>1.42054506E-3</v>
      </c>
      <c r="BL16" s="137">
        <f t="shared" si="12"/>
        <v>0.2416467504</v>
      </c>
      <c r="BM16" s="137">
        <f t="shared" si="13"/>
        <v>2.58635542E-2</v>
      </c>
    </row>
    <row r="17" spans="1:65" x14ac:dyDescent="0.25">
      <c r="A17" s="149">
        <v>249</v>
      </c>
      <c r="B17" s="149">
        <v>6</v>
      </c>
      <c r="C17" s="61">
        <v>42.283079000000001</v>
      </c>
      <c r="D17" s="61">
        <v>-87.953130000000002</v>
      </c>
      <c r="E17" s="61" t="s">
        <v>265</v>
      </c>
      <c r="F17" s="149">
        <v>6</v>
      </c>
      <c r="G17" s="61" t="s">
        <v>565</v>
      </c>
      <c r="H17" s="61" t="s">
        <v>673</v>
      </c>
      <c r="I17" s="61">
        <v>41.98028</v>
      </c>
      <c r="J17" s="61">
        <v>-87.908997999999997</v>
      </c>
      <c r="K17" s="61">
        <v>52.053779710000001</v>
      </c>
      <c r="L17" s="61">
        <v>42.158000000000001</v>
      </c>
      <c r="M17" s="61" t="s">
        <v>617</v>
      </c>
      <c r="N17" s="149">
        <v>5</v>
      </c>
      <c r="O17" s="149">
        <v>6</v>
      </c>
      <c r="P17" s="61" t="s">
        <v>565</v>
      </c>
      <c r="Q17" s="61" t="s">
        <v>564</v>
      </c>
      <c r="R17" s="61">
        <v>41.98028</v>
      </c>
      <c r="S17" s="61">
        <v>-87.908997900000003</v>
      </c>
      <c r="T17" s="61">
        <v>42.158000000000001</v>
      </c>
      <c r="U17" s="61" t="s">
        <v>617</v>
      </c>
      <c r="V17" s="61" t="s">
        <v>617</v>
      </c>
      <c r="W17" s="61"/>
      <c r="X17" s="61"/>
      <c r="Y17" s="137">
        <f>Summary_LCIA!H$32</f>
        <v>0.33979999999999999</v>
      </c>
      <c r="Z17" s="137">
        <f>Summary_LCIA!Q$32</f>
        <v>4.9560504329999997</v>
      </c>
      <c r="AA17" s="137">
        <f>Summary_LCIA!R$32</f>
        <v>5.2655999999999996E-3</v>
      </c>
      <c r="AB17" s="137">
        <f>Summary_LCIA!S$32</f>
        <v>0.33538000000000001</v>
      </c>
      <c r="AC17" s="137">
        <f>Summary_LCIA!T$32</f>
        <v>0.1099</v>
      </c>
      <c r="AD17" s="137">
        <f>Summary_LCIA!U$32</f>
        <v>1.7913999999999999E-2</v>
      </c>
      <c r="AE17" s="137">
        <f>Summary_LCIA!V$32</f>
        <v>4.7760999999999999E-5</v>
      </c>
      <c r="AF17" s="137">
        <f>Summary_LCIA!W$32</f>
        <v>7.6970999999999998E-2</v>
      </c>
      <c r="AG17" s="137">
        <f>Summary_LCIA!X$32</f>
        <v>2.2780000000000002E-2</v>
      </c>
      <c r="AH17" s="137">
        <f>Summary_LCIA!Y$32</f>
        <v>1.5582E-2</v>
      </c>
      <c r="AI17" s="137">
        <f>Summary_LCIA!Z$32</f>
        <v>4.1009E-5</v>
      </c>
      <c r="AJ17" s="137">
        <f>Summary_LCIA!AA$32</f>
        <v>2.3355999999999998E-2</v>
      </c>
      <c r="AK17" s="137">
        <f>Summary_LCIA!AB$32</f>
        <v>-2.1823000000000001E-5</v>
      </c>
      <c r="AL17" s="137">
        <f>Summary_LCIA!AC$32</f>
        <v>4.8884000000000003E-8</v>
      </c>
      <c r="AM17" s="137">
        <f>Summary_LCIA!AD$32</f>
        <v>4.1103999999999999E-4</v>
      </c>
      <c r="AN17" s="137">
        <f>Summary_LCIA!AE$32</f>
        <v>8.8612999999999995E-4</v>
      </c>
      <c r="AO17" s="137">
        <f>Summary_LCIA!AF$32</f>
        <v>8.4542000000000005E-4</v>
      </c>
      <c r="AP17" s="137">
        <f>Summary_LCIA!AG$32</f>
        <v>5.1165000000000002E-5</v>
      </c>
      <c r="AQ17" s="137">
        <f>Summary_LCIA!AH$32</f>
        <v>8.7036000000000006E-3</v>
      </c>
      <c r="AR17" s="137">
        <f>Summary_LCIA!AI$32</f>
        <v>9.3154999999999996E-4</v>
      </c>
      <c r="AT17" s="137">
        <f t="shared" si="2"/>
        <v>14.3252884</v>
      </c>
      <c r="AU17" s="137">
        <f t="shared" si="14"/>
        <v>208.93717415441398</v>
      </c>
      <c r="AV17" s="137">
        <f t="shared" si="15"/>
        <v>0.2219871648</v>
      </c>
      <c r="AW17" s="137">
        <f t="shared" si="16"/>
        <v>14.138950040000001</v>
      </c>
      <c r="AX17" s="137">
        <f t="shared" si="17"/>
        <v>4.6331642000000004</v>
      </c>
      <c r="AY17" s="137">
        <f t="shared" si="18"/>
        <v>0.75521841199999995</v>
      </c>
      <c r="AZ17" s="137">
        <f t="shared" si="19"/>
        <v>2.0135082380000001E-3</v>
      </c>
      <c r="BA17" s="137">
        <f t="shared" si="20"/>
        <v>3.2449434180000001</v>
      </c>
      <c r="BB17" s="137">
        <f t="shared" si="21"/>
        <v>0.96035924000000006</v>
      </c>
      <c r="BC17" s="137">
        <f t="shared" si="3"/>
        <v>0.65690595600000001</v>
      </c>
      <c r="BD17" s="137">
        <f t="shared" si="4"/>
        <v>1.7288574220000001E-3</v>
      </c>
      <c r="BE17" s="137">
        <f t="shared" si="5"/>
        <v>0.984642248</v>
      </c>
      <c r="BF17" s="137">
        <f t="shared" si="6"/>
        <v>-9.2001403400000011E-4</v>
      </c>
      <c r="BG17" s="137">
        <f t="shared" si="7"/>
        <v>2.0608516720000001E-6</v>
      </c>
      <c r="BH17" s="137">
        <f t="shared" si="8"/>
        <v>1.732862432E-2</v>
      </c>
      <c r="BI17" s="137">
        <f t="shared" si="9"/>
        <v>3.7357468540000001E-2</v>
      </c>
      <c r="BJ17" s="137">
        <f t="shared" si="10"/>
        <v>3.5641216360000005E-2</v>
      </c>
      <c r="BK17" s="137">
        <f t="shared" si="11"/>
        <v>2.1570140700000002E-3</v>
      </c>
      <c r="BL17" s="137">
        <f t="shared" si="12"/>
        <v>0.36692636880000001</v>
      </c>
      <c r="BM17" s="137">
        <f t="shared" si="13"/>
        <v>3.9272284900000003E-2</v>
      </c>
    </row>
    <row r="18" spans="1:65" x14ac:dyDescent="0.25">
      <c r="A18" s="149">
        <v>121</v>
      </c>
      <c r="B18" s="149">
        <v>6</v>
      </c>
      <c r="C18" s="61">
        <v>41.712980000000002</v>
      </c>
      <c r="D18" s="61">
        <v>-87.960780999999997</v>
      </c>
      <c r="E18" s="61" t="s">
        <v>265</v>
      </c>
      <c r="F18" s="149">
        <v>88</v>
      </c>
      <c r="G18" s="61" t="s">
        <v>674</v>
      </c>
      <c r="H18" s="61" t="s">
        <v>675</v>
      </c>
      <c r="I18" s="61">
        <v>41.786776000000003</v>
      </c>
      <c r="J18" s="61">
        <v>-87.752188000000004</v>
      </c>
      <c r="K18" s="61">
        <v>21.68769485</v>
      </c>
      <c r="L18" s="61">
        <v>26.821000000000002</v>
      </c>
      <c r="M18" s="61" t="s">
        <v>617</v>
      </c>
      <c r="N18" s="149">
        <v>5</v>
      </c>
      <c r="O18" s="149">
        <v>6</v>
      </c>
      <c r="P18" s="61" t="s">
        <v>565</v>
      </c>
      <c r="Q18" s="61" t="s">
        <v>564</v>
      </c>
      <c r="R18" s="61">
        <v>41.98028</v>
      </c>
      <c r="S18" s="61">
        <v>-87.908997900000003</v>
      </c>
      <c r="T18" s="61">
        <v>42.777999999999999</v>
      </c>
      <c r="U18" s="61" t="s">
        <v>617</v>
      </c>
      <c r="V18" s="61" t="s">
        <v>617</v>
      </c>
      <c r="W18" s="61"/>
      <c r="X18" s="61"/>
      <c r="Y18" s="137">
        <f>Summary_LCIA!H$32</f>
        <v>0.33979999999999999</v>
      </c>
      <c r="Z18" s="137">
        <f>Summary_LCIA!Q$32</f>
        <v>4.9560504329999997</v>
      </c>
      <c r="AA18" s="137">
        <f>Summary_LCIA!R$32</f>
        <v>5.2655999999999996E-3</v>
      </c>
      <c r="AB18" s="137">
        <f>Summary_LCIA!S$32</f>
        <v>0.33538000000000001</v>
      </c>
      <c r="AC18" s="137">
        <f>Summary_LCIA!T$32</f>
        <v>0.1099</v>
      </c>
      <c r="AD18" s="137">
        <f>Summary_LCIA!U$32</f>
        <v>1.7913999999999999E-2</v>
      </c>
      <c r="AE18" s="137">
        <f>Summary_LCIA!V$32</f>
        <v>4.7760999999999999E-5</v>
      </c>
      <c r="AF18" s="137">
        <f>Summary_LCIA!W$32</f>
        <v>7.6970999999999998E-2</v>
      </c>
      <c r="AG18" s="137">
        <f>Summary_LCIA!X$32</f>
        <v>2.2780000000000002E-2</v>
      </c>
      <c r="AH18" s="137">
        <f>Summary_LCIA!Y$32</f>
        <v>1.5582E-2</v>
      </c>
      <c r="AI18" s="137">
        <f>Summary_LCIA!Z$32</f>
        <v>4.1009E-5</v>
      </c>
      <c r="AJ18" s="137">
        <f>Summary_LCIA!AA$32</f>
        <v>2.3355999999999998E-2</v>
      </c>
      <c r="AK18" s="137">
        <f>Summary_LCIA!AB$32</f>
        <v>-2.1823000000000001E-5</v>
      </c>
      <c r="AL18" s="137">
        <f>Summary_LCIA!AC$32</f>
        <v>4.8884000000000003E-8</v>
      </c>
      <c r="AM18" s="137">
        <f>Summary_LCIA!AD$32</f>
        <v>4.1103999999999999E-4</v>
      </c>
      <c r="AN18" s="137">
        <f>Summary_LCIA!AE$32</f>
        <v>8.8612999999999995E-4</v>
      </c>
      <c r="AO18" s="137">
        <f>Summary_LCIA!AF$32</f>
        <v>8.4542000000000005E-4</v>
      </c>
      <c r="AP18" s="137">
        <f>Summary_LCIA!AG$32</f>
        <v>5.1165000000000002E-5</v>
      </c>
      <c r="AQ18" s="137">
        <f>Summary_LCIA!AH$32</f>
        <v>8.7036000000000006E-3</v>
      </c>
      <c r="AR18" s="137">
        <f>Summary_LCIA!AI$32</f>
        <v>9.3154999999999996E-4</v>
      </c>
      <c r="AT18" s="137">
        <f t="shared" si="2"/>
        <v>14.535964399999999</v>
      </c>
      <c r="AU18" s="137">
        <f t="shared" si="14"/>
        <v>212.00992542287398</v>
      </c>
      <c r="AV18" s="137">
        <f t="shared" si="15"/>
        <v>0.22525183679999997</v>
      </c>
      <c r="AW18" s="137">
        <f t="shared" si="16"/>
        <v>14.34688564</v>
      </c>
      <c r="AX18" s="137">
        <f t="shared" si="17"/>
        <v>4.7013021999999998</v>
      </c>
      <c r="AY18" s="137">
        <f t="shared" si="18"/>
        <v>0.76632509199999999</v>
      </c>
      <c r="AZ18" s="137">
        <f t="shared" si="19"/>
        <v>2.043120058E-3</v>
      </c>
      <c r="BA18" s="137">
        <f t="shared" si="20"/>
        <v>3.2926654379999998</v>
      </c>
      <c r="BB18" s="137">
        <f t="shared" si="21"/>
        <v>0.97448284000000007</v>
      </c>
      <c r="BC18" s="137">
        <f t="shared" si="3"/>
        <v>0.66656679600000002</v>
      </c>
      <c r="BD18" s="137">
        <f t="shared" si="4"/>
        <v>1.7542830019999999E-3</v>
      </c>
      <c r="BE18" s="137">
        <f t="shared" si="5"/>
        <v>0.99912296799999989</v>
      </c>
      <c r="BF18" s="137">
        <f t="shared" si="6"/>
        <v>-9.3354429400000004E-4</v>
      </c>
      <c r="BG18" s="137">
        <f t="shared" si="7"/>
        <v>2.0911597520000001E-6</v>
      </c>
      <c r="BH18" s="137">
        <f t="shared" si="8"/>
        <v>1.758346912E-2</v>
      </c>
      <c r="BI18" s="137">
        <f t="shared" si="9"/>
        <v>3.7906869139999994E-2</v>
      </c>
      <c r="BJ18" s="137">
        <f t="shared" si="10"/>
        <v>3.616537676E-2</v>
      </c>
      <c r="BK18" s="137">
        <f t="shared" si="11"/>
        <v>2.18873637E-3</v>
      </c>
      <c r="BL18" s="137">
        <f t="shared" si="12"/>
        <v>0.37232260080000001</v>
      </c>
      <c r="BM18" s="137">
        <f t="shared" si="13"/>
        <v>3.98498459E-2</v>
      </c>
    </row>
    <row r="19" spans="1:65" x14ac:dyDescent="0.25">
      <c r="A19" s="149">
        <v>122</v>
      </c>
      <c r="B19" s="149">
        <v>6</v>
      </c>
      <c r="C19" s="61">
        <v>41.712980000000002</v>
      </c>
      <c r="D19" s="61">
        <v>-87.960780999999997</v>
      </c>
      <c r="E19" s="61" t="s">
        <v>265</v>
      </c>
      <c r="F19" s="149">
        <v>88</v>
      </c>
      <c r="G19" s="61" t="s">
        <v>674</v>
      </c>
      <c r="H19" s="61" t="s">
        <v>675</v>
      </c>
      <c r="I19" s="61">
        <v>41.786776000000003</v>
      </c>
      <c r="J19" s="61">
        <v>-87.752188000000004</v>
      </c>
      <c r="K19" s="61">
        <v>21.68769485</v>
      </c>
      <c r="L19" s="61">
        <v>26.821000000000002</v>
      </c>
      <c r="M19" s="61" t="s">
        <v>617</v>
      </c>
      <c r="N19" s="149">
        <v>5</v>
      </c>
      <c r="O19" s="149">
        <v>6</v>
      </c>
      <c r="P19" s="61" t="s">
        <v>565</v>
      </c>
      <c r="Q19" s="61" t="s">
        <v>564</v>
      </c>
      <c r="R19" s="61">
        <v>41.98028</v>
      </c>
      <c r="S19" s="61">
        <v>-87.908997900000003</v>
      </c>
      <c r="T19" s="61">
        <v>42.777999999999999</v>
      </c>
      <c r="U19" s="61" t="s">
        <v>617</v>
      </c>
      <c r="V19" s="61" t="s">
        <v>617</v>
      </c>
      <c r="W19" s="61"/>
      <c r="X19" s="61"/>
      <c r="Y19" s="137">
        <f>Summary_LCIA!H$32</f>
        <v>0.33979999999999999</v>
      </c>
      <c r="Z19" s="137">
        <f>Summary_LCIA!Q$32</f>
        <v>4.9560504329999997</v>
      </c>
      <c r="AA19" s="137">
        <f>Summary_LCIA!R$32</f>
        <v>5.2655999999999996E-3</v>
      </c>
      <c r="AB19" s="137">
        <f>Summary_LCIA!S$32</f>
        <v>0.33538000000000001</v>
      </c>
      <c r="AC19" s="137">
        <f>Summary_LCIA!T$32</f>
        <v>0.1099</v>
      </c>
      <c r="AD19" s="137">
        <f>Summary_LCIA!U$32</f>
        <v>1.7913999999999999E-2</v>
      </c>
      <c r="AE19" s="137">
        <f>Summary_LCIA!V$32</f>
        <v>4.7760999999999999E-5</v>
      </c>
      <c r="AF19" s="137">
        <f>Summary_LCIA!W$32</f>
        <v>7.6970999999999998E-2</v>
      </c>
      <c r="AG19" s="137">
        <f>Summary_LCIA!X$32</f>
        <v>2.2780000000000002E-2</v>
      </c>
      <c r="AH19" s="137">
        <f>Summary_LCIA!Y$32</f>
        <v>1.5582E-2</v>
      </c>
      <c r="AI19" s="137">
        <f>Summary_LCIA!Z$32</f>
        <v>4.1009E-5</v>
      </c>
      <c r="AJ19" s="137">
        <f>Summary_LCIA!AA$32</f>
        <v>2.3355999999999998E-2</v>
      </c>
      <c r="AK19" s="137">
        <f>Summary_LCIA!AB$32</f>
        <v>-2.1823000000000001E-5</v>
      </c>
      <c r="AL19" s="137">
        <f>Summary_LCIA!AC$32</f>
        <v>4.8884000000000003E-8</v>
      </c>
      <c r="AM19" s="137">
        <f>Summary_LCIA!AD$32</f>
        <v>4.1103999999999999E-4</v>
      </c>
      <c r="AN19" s="137">
        <f>Summary_LCIA!AE$32</f>
        <v>8.8612999999999995E-4</v>
      </c>
      <c r="AO19" s="137">
        <f>Summary_LCIA!AF$32</f>
        <v>8.4542000000000005E-4</v>
      </c>
      <c r="AP19" s="137">
        <f>Summary_LCIA!AG$32</f>
        <v>5.1165000000000002E-5</v>
      </c>
      <c r="AQ19" s="137">
        <f>Summary_LCIA!AH$32</f>
        <v>8.7036000000000006E-3</v>
      </c>
      <c r="AR19" s="137">
        <f>Summary_LCIA!AI$32</f>
        <v>9.3154999999999996E-4</v>
      </c>
      <c r="AT19" s="137">
        <f t="shared" si="2"/>
        <v>14.535964399999999</v>
      </c>
      <c r="AU19" s="137">
        <f t="shared" si="14"/>
        <v>212.00992542287398</v>
      </c>
      <c r="AV19" s="137">
        <f t="shared" si="15"/>
        <v>0.22525183679999997</v>
      </c>
      <c r="AW19" s="137">
        <f t="shared" si="16"/>
        <v>14.34688564</v>
      </c>
      <c r="AX19" s="137">
        <f t="shared" si="17"/>
        <v>4.7013021999999998</v>
      </c>
      <c r="AY19" s="137">
        <f t="shared" si="18"/>
        <v>0.76632509199999999</v>
      </c>
      <c r="AZ19" s="137">
        <f t="shared" si="19"/>
        <v>2.043120058E-3</v>
      </c>
      <c r="BA19" s="137">
        <f t="shared" si="20"/>
        <v>3.2926654379999998</v>
      </c>
      <c r="BB19" s="137">
        <f t="shared" si="21"/>
        <v>0.97448284000000007</v>
      </c>
      <c r="BC19" s="137">
        <f t="shared" si="3"/>
        <v>0.66656679600000002</v>
      </c>
      <c r="BD19" s="137">
        <f t="shared" si="4"/>
        <v>1.7542830019999999E-3</v>
      </c>
      <c r="BE19" s="137">
        <f t="shared" si="5"/>
        <v>0.99912296799999989</v>
      </c>
      <c r="BF19" s="137">
        <f t="shared" si="6"/>
        <v>-9.3354429400000004E-4</v>
      </c>
      <c r="BG19" s="137">
        <f t="shared" si="7"/>
        <v>2.0911597520000001E-6</v>
      </c>
      <c r="BH19" s="137">
        <f t="shared" si="8"/>
        <v>1.758346912E-2</v>
      </c>
      <c r="BI19" s="137">
        <f t="shared" si="9"/>
        <v>3.7906869139999994E-2</v>
      </c>
      <c r="BJ19" s="137">
        <f t="shared" si="10"/>
        <v>3.616537676E-2</v>
      </c>
      <c r="BK19" s="137">
        <f t="shared" si="11"/>
        <v>2.18873637E-3</v>
      </c>
      <c r="BL19" s="137">
        <f t="shared" si="12"/>
        <v>0.37232260080000001</v>
      </c>
      <c r="BM19" s="137">
        <f t="shared" si="13"/>
        <v>3.98498459E-2</v>
      </c>
    </row>
    <row r="20" spans="1:65" x14ac:dyDescent="0.25">
      <c r="A20" s="149">
        <v>123</v>
      </c>
      <c r="B20" s="149">
        <v>6</v>
      </c>
      <c r="C20" s="61">
        <v>41.712980000000002</v>
      </c>
      <c r="D20" s="61">
        <v>-87.960780999999997</v>
      </c>
      <c r="E20" s="61" t="s">
        <v>265</v>
      </c>
      <c r="F20" s="149">
        <v>88</v>
      </c>
      <c r="G20" s="61" t="s">
        <v>674</v>
      </c>
      <c r="H20" s="61" t="s">
        <v>675</v>
      </c>
      <c r="I20" s="61">
        <v>41.786776000000003</v>
      </c>
      <c r="J20" s="61">
        <v>-87.752188000000004</v>
      </c>
      <c r="K20" s="61">
        <v>21.68769485</v>
      </c>
      <c r="L20" s="61">
        <v>26.821000000000002</v>
      </c>
      <c r="M20" s="61" t="s">
        <v>617</v>
      </c>
      <c r="N20" s="149">
        <v>5</v>
      </c>
      <c r="O20" s="149">
        <v>6</v>
      </c>
      <c r="P20" s="61" t="s">
        <v>565</v>
      </c>
      <c r="Q20" s="61" t="s">
        <v>564</v>
      </c>
      <c r="R20" s="61">
        <v>41.98028</v>
      </c>
      <c r="S20" s="61">
        <v>-87.908997900000003</v>
      </c>
      <c r="T20" s="61">
        <v>42.777999999999999</v>
      </c>
      <c r="U20" s="61" t="s">
        <v>617</v>
      </c>
      <c r="V20" s="61" t="s">
        <v>617</v>
      </c>
      <c r="W20" s="61"/>
      <c r="X20" s="61"/>
      <c r="Y20" s="137">
        <f>Summary_LCIA!H$32</f>
        <v>0.33979999999999999</v>
      </c>
      <c r="Z20" s="137">
        <f>Summary_LCIA!Q$32</f>
        <v>4.9560504329999997</v>
      </c>
      <c r="AA20" s="137">
        <f>Summary_LCIA!R$32</f>
        <v>5.2655999999999996E-3</v>
      </c>
      <c r="AB20" s="137">
        <f>Summary_LCIA!S$32</f>
        <v>0.33538000000000001</v>
      </c>
      <c r="AC20" s="137">
        <f>Summary_LCIA!T$32</f>
        <v>0.1099</v>
      </c>
      <c r="AD20" s="137">
        <f>Summary_LCIA!U$32</f>
        <v>1.7913999999999999E-2</v>
      </c>
      <c r="AE20" s="137">
        <f>Summary_LCIA!V$32</f>
        <v>4.7760999999999999E-5</v>
      </c>
      <c r="AF20" s="137">
        <f>Summary_LCIA!W$32</f>
        <v>7.6970999999999998E-2</v>
      </c>
      <c r="AG20" s="137">
        <f>Summary_LCIA!X$32</f>
        <v>2.2780000000000002E-2</v>
      </c>
      <c r="AH20" s="137">
        <f>Summary_LCIA!Y$32</f>
        <v>1.5582E-2</v>
      </c>
      <c r="AI20" s="137">
        <f>Summary_LCIA!Z$32</f>
        <v>4.1009E-5</v>
      </c>
      <c r="AJ20" s="137">
        <f>Summary_LCIA!AA$32</f>
        <v>2.3355999999999998E-2</v>
      </c>
      <c r="AK20" s="137">
        <f>Summary_LCIA!AB$32</f>
        <v>-2.1823000000000001E-5</v>
      </c>
      <c r="AL20" s="137">
        <f>Summary_LCIA!AC$32</f>
        <v>4.8884000000000003E-8</v>
      </c>
      <c r="AM20" s="137">
        <f>Summary_LCIA!AD$32</f>
        <v>4.1103999999999999E-4</v>
      </c>
      <c r="AN20" s="137">
        <f>Summary_LCIA!AE$32</f>
        <v>8.8612999999999995E-4</v>
      </c>
      <c r="AO20" s="137">
        <f>Summary_LCIA!AF$32</f>
        <v>8.4542000000000005E-4</v>
      </c>
      <c r="AP20" s="137">
        <f>Summary_LCIA!AG$32</f>
        <v>5.1165000000000002E-5</v>
      </c>
      <c r="AQ20" s="137">
        <f>Summary_LCIA!AH$32</f>
        <v>8.7036000000000006E-3</v>
      </c>
      <c r="AR20" s="137">
        <f>Summary_LCIA!AI$32</f>
        <v>9.3154999999999996E-4</v>
      </c>
      <c r="AT20" s="137">
        <f t="shared" si="2"/>
        <v>14.535964399999999</v>
      </c>
      <c r="AU20" s="137">
        <f t="shared" si="14"/>
        <v>212.00992542287398</v>
      </c>
      <c r="AV20" s="137">
        <f t="shared" si="15"/>
        <v>0.22525183679999997</v>
      </c>
      <c r="AW20" s="137">
        <f t="shared" si="16"/>
        <v>14.34688564</v>
      </c>
      <c r="AX20" s="137">
        <f t="shared" si="17"/>
        <v>4.7013021999999998</v>
      </c>
      <c r="AY20" s="137">
        <f t="shared" si="18"/>
        <v>0.76632509199999999</v>
      </c>
      <c r="AZ20" s="137">
        <f t="shared" si="19"/>
        <v>2.043120058E-3</v>
      </c>
      <c r="BA20" s="137">
        <f t="shared" si="20"/>
        <v>3.2926654379999998</v>
      </c>
      <c r="BB20" s="137">
        <f t="shared" si="21"/>
        <v>0.97448284000000007</v>
      </c>
      <c r="BC20" s="137">
        <f t="shared" si="3"/>
        <v>0.66656679600000002</v>
      </c>
      <c r="BD20" s="137">
        <f t="shared" si="4"/>
        <v>1.7542830019999999E-3</v>
      </c>
      <c r="BE20" s="137">
        <f t="shared" si="5"/>
        <v>0.99912296799999989</v>
      </c>
      <c r="BF20" s="137">
        <f t="shared" si="6"/>
        <v>-9.3354429400000004E-4</v>
      </c>
      <c r="BG20" s="137">
        <f t="shared" si="7"/>
        <v>2.0911597520000001E-6</v>
      </c>
      <c r="BH20" s="137">
        <f t="shared" si="8"/>
        <v>1.758346912E-2</v>
      </c>
      <c r="BI20" s="137">
        <f t="shared" si="9"/>
        <v>3.7906869139999994E-2</v>
      </c>
      <c r="BJ20" s="137">
        <f t="shared" si="10"/>
        <v>3.616537676E-2</v>
      </c>
      <c r="BK20" s="137">
        <f t="shared" si="11"/>
        <v>2.18873637E-3</v>
      </c>
      <c r="BL20" s="137">
        <f t="shared" si="12"/>
        <v>0.37232260080000001</v>
      </c>
      <c r="BM20" s="137">
        <f t="shared" si="13"/>
        <v>3.98498459E-2</v>
      </c>
    </row>
    <row r="21" spans="1:65" x14ac:dyDescent="0.25">
      <c r="A21" s="149">
        <v>124</v>
      </c>
      <c r="B21" s="149">
        <v>6</v>
      </c>
      <c r="C21" s="61">
        <v>41.712980000000002</v>
      </c>
      <c r="D21" s="61">
        <v>-87.960780999999997</v>
      </c>
      <c r="E21" s="61" t="s">
        <v>265</v>
      </c>
      <c r="F21" s="149">
        <v>88</v>
      </c>
      <c r="G21" s="61" t="s">
        <v>674</v>
      </c>
      <c r="H21" s="61" t="s">
        <v>675</v>
      </c>
      <c r="I21" s="61">
        <v>41.786776000000003</v>
      </c>
      <c r="J21" s="61">
        <v>-87.752188000000004</v>
      </c>
      <c r="K21" s="61">
        <v>21.68769485</v>
      </c>
      <c r="L21" s="61">
        <v>26.821000000000002</v>
      </c>
      <c r="M21" s="61" t="s">
        <v>617</v>
      </c>
      <c r="N21" s="149">
        <v>5</v>
      </c>
      <c r="O21" s="149">
        <v>6</v>
      </c>
      <c r="P21" s="61" t="s">
        <v>565</v>
      </c>
      <c r="Q21" s="61" t="s">
        <v>564</v>
      </c>
      <c r="R21" s="61">
        <v>41.98028</v>
      </c>
      <c r="S21" s="61">
        <v>-87.908997900000003</v>
      </c>
      <c r="T21" s="61">
        <v>42.777999999999999</v>
      </c>
      <c r="U21" s="61" t="s">
        <v>617</v>
      </c>
      <c r="V21" s="61" t="s">
        <v>617</v>
      </c>
      <c r="W21" s="61"/>
      <c r="X21" s="61"/>
      <c r="Y21" s="137">
        <f>Summary_LCIA!H$32</f>
        <v>0.33979999999999999</v>
      </c>
      <c r="Z21" s="137">
        <f>Summary_LCIA!Q$32</f>
        <v>4.9560504329999997</v>
      </c>
      <c r="AA21" s="137">
        <f>Summary_LCIA!R$32</f>
        <v>5.2655999999999996E-3</v>
      </c>
      <c r="AB21" s="137">
        <f>Summary_LCIA!S$32</f>
        <v>0.33538000000000001</v>
      </c>
      <c r="AC21" s="137">
        <f>Summary_LCIA!T$32</f>
        <v>0.1099</v>
      </c>
      <c r="AD21" s="137">
        <f>Summary_LCIA!U$32</f>
        <v>1.7913999999999999E-2</v>
      </c>
      <c r="AE21" s="137">
        <f>Summary_LCIA!V$32</f>
        <v>4.7760999999999999E-5</v>
      </c>
      <c r="AF21" s="137">
        <f>Summary_LCIA!W$32</f>
        <v>7.6970999999999998E-2</v>
      </c>
      <c r="AG21" s="137">
        <f>Summary_LCIA!X$32</f>
        <v>2.2780000000000002E-2</v>
      </c>
      <c r="AH21" s="137">
        <f>Summary_LCIA!Y$32</f>
        <v>1.5582E-2</v>
      </c>
      <c r="AI21" s="137">
        <f>Summary_LCIA!Z$32</f>
        <v>4.1009E-5</v>
      </c>
      <c r="AJ21" s="137">
        <f>Summary_LCIA!AA$32</f>
        <v>2.3355999999999998E-2</v>
      </c>
      <c r="AK21" s="137">
        <f>Summary_LCIA!AB$32</f>
        <v>-2.1823000000000001E-5</v>
      </c>
      <c r="AL21" s="137">
        <f>Summary_LCIA!AC$32</f>
        <v>4.8884000000000003E-8</v>
      </c>
      <c r="AM21" s="137">
        <f>Summary_LCIA!AD$32</f>
        <v>4.1103999999999999E-4</v>
      </c>
      <c r="AN21" s="137">
        <f>Summary_LCIA!AE$32</f>
        <v>8.8612999999999995E-4</v>
      </c>
      <c r="AO21" s="137">
        <f>Summary_LCIA!AF$32</f>
        <v>8.4542000000000005E-4</v>
      </c>
      <c r="AP21" s="137">
        <f>Summary_LCIA!AG$32</f>
        <v>5.1165000000000002E-5</v>
      </c>
      <c r="AQ21" s="137">
        <f>Summary_LCIA!AH$32</f>
        <v>8.7036000000000006E-3</v>
      </c>
      <c r="AR21" s="137">
        <f>Summary_LCIA!AI$32</f>
        <v>9.3154999999999996E-4</v>
      </c>
      <c r="AT21" s="137">
        <f t="shared" si="2"/>
        <v>14.535964399999999</v>
      </c>
      <c r="AU21" s="137">
        <f t="shared" si="14"/>
        <v>212.00992542287398</v>
      </c>
      <c r="AV21" s="137">
        <f t="shared" si="15"/>
        <v>0.22525183679999997</v>
      </c>
      <c r="AW21" s="137">
        <f t="shared" si="16"/>
        <v>14.34688564</v>
      </c>
      <c r="AX21" s="137">
        <f t="shared" si="17"/>
        <v>4.7013021999999998</v>
      </c>
      <c r="AY21" s="137">
        <f t="shared" si="18"/>
        <v>0.76632509199999999</v>
      </c>
      <c r="AZ21" s="137">
        <f t="shared" si="19"/>
        <v>2.043120058E-3</v>
      </c>
      <c r="BA21" s="137">
        <f t="shared" si="20"/>
        <v>3.2926654379999998</v>
      </c>
      <c r="BB21" s="137">
        <f t="shared" si="21"/>
        <v>0.97448284000000007</v>
      </c>
      <c r="BC21" s="137">
        <f t="shared" si="3"/>
        <v>0.66656679600000002</v>
      </c>
      <c r="BD21" s="137">
        <f t="shared" si="4"/>
        <v>1.7542830019999999E-3</v>
      </c>
      <c r="BE21" s="137">
        <f t="shared" si="5"/>
        <v>0.99912296799999989</v>
      </c>
      <c r="BF21" s="137">
        <f t="shared" si="6"/>
        <v>-9.3354429400000004E-4</v>
      </c>
      <c r="BG21" s="137">
        <f t="shared" si="7"/>
        <v>2.0911597520000001E-6</v>
      </c>
      <c r="BH21" s="137">
        <f t="shared" si="8"/>
        <v>1.758346912E-2</v>
      </c>
      <c r="BI21" s="137">
        <f t="shared" si="9"/>
        <v>3.7906869139999994E-2</v>
      </c>
      <c r="BJ21" s="137">
        <f t="shared" si="10"/>
        <v>3.616537676E-2</v>
      </c>
      <c r="BK21" s="137">
        <f t="shared" si="11"/>
        <v>2.18873637E-3</v>
      </c>
      <c r="BL21" s="137">
        <f t="shared" si="12"/>
        <v>0.37232260080000001</v>
      </c>
      <c r="BM21" s="137">
        <f t="shared" si="13"/>
        <v>3.98498459E-2</v>
      </c>
    </row>
    <row r="22" spans="1:65" x14ac:dyDescent="0.25">
      <c r="A22" s="149">
        <v>125</v>
      </c>
      <c r="B22" s="149">
        <v>6</v>
      </c>
      <c r="C22" s="61">
        <v>41.712980000000002</v>
      </c>
      <c r="D22" s="61">
        <v>-87.960780999999997</v>
      </c>
      <c r="E22" s="61" t="s">
        <v>265</v>
      </c>
      <c r="F22" s="149">
        <v>88</v>
      </c>
      <c r="G22" s="61" t="s">
        <v>674</v>
      </c>
      <c r="H22" s="61" t="s">
        <v>675</v>
      </c>
      <c r="I22" s="61">
        <v>41.786776000000003</v>
      </c>
      <c r="J22" s="61">
        <v>-87.752188000000004</v>
      </c>
      <c r="K22" s="61">
        <v>21.68769485</v>
      </c>
      <c r="L22" s="61">
        <v>26.821000000000002</v>
      </c>
      <c r="M22" s="61" t="s">
        <v>617</v>
      </c>
      <c r="N22" s="149">
        <v>5</v>
      </c>
      <c r="O22" s="149">
        <v>6</v>
      </c>
      <c r="P22" s="61" t="s">
        <v>565</v>
      </c>
      <c r="Q22" s="61" t="s">
        <v>564</v>
      </c>
      <c r="R22" s="61">
        <v>41.98028</v>
      </c>
      <c r="S22" s="61">
        <v>-87.908997900000003</v>
      </c>
      <c r="T22" s="61">
        <v>42.777999999999999</v>
      </c>
      <c r="U22" s="61" t="s">
        <v>617</v>
      </c>
      <c r="V22" s="61" t="s">
        <v>617</v>
      </c>
      <c r="W22" s="61"/>
      <c r="X22" s="61"/>
      <c r="Y22" s="137">
        <f>Summary_LCIA!H$32</f>
        <v>0.33979999999999999</v>
      </c>
      <c r="Z22" s="137">
        <f>Summary_LCIA!Q$32</f>
        <v>4.9560504329999997</v>
      </c>
      <c r="AA22" s="137">
        <f>Summary_LCIA!R$32</f>
        <v>5.2655999999999996E-3</v>
      </c>
      <c r="AB22" s="137">
        <f>Summary_LCIA!S$32</f>
        <v>0.33538000000000001</v>
      </c>
      <c r="AC22" s="137">
        <f>Summary_LCIA!T$32</f>
        <v>0.1099</v>
      </c>
      <c r="AD22" s="137">
        <f>Summary_LCIA!U$32</f>
        <v>1.7913999999999999E-2</v>
      </c>
      <c r="AE22" s="137">
        <f>Summary_LCIA!V$32</f>
        <v>4.7760999999999999E-5</v>
      </c>
      <c r="AF22" s="137">
        <f>Summary_LCIA!W$32</f>
        <v>7.6970999999999998E-2</v>
      </c>
      <c r="AG22" s="137">
        <f>Summary_LCIA!X$32</f>
        <v>2.2780000000000002E-2</v>
      </c>
      <c r="AH22" s="137">
        <f>Summary_LCIA!Y$32</f>
        <v>1.5582E-2</v>
      </c>
      <c r="AI22" s="137">
        <f>Summary_LCIA!Z$32</f>
        <v>4.1009E-5</v>
      </c>
      <c r="AJ22" s="137">
        <f>Summary_LCIA!AA$32</f>
        <v>2.3355999999999998E-2</v>
      </c>
      <c r="AK22" s="137">
        <f>Summary_LCIA!AB$32</f>
        <v>-2.1823000000000001E-5</v>
      </c>
      <c r="AL22" s="137">
        <f>Summary_LCIA!AC$32</f>
        <v>4.8884000000000003E-8</v>
      </c>
      <c r="AM22" s="137">
        <f>Summary_LCIA!AD$32</f>
        <v>4.1103999999999999E-4</v>
      </c>
      <c r="AN22" s="137">
        <f>Summary_LCIA!AE$32</f>
        <v>8.8612999999999995E-4</v>
      </c>
      <c r="AO22" s="137">
        <f>Summary_LCIA!AF$32</f>
        <v>8.4542000000000005E-4</v>
      </c>
      <c r="AP22" s="137">
        <f>Summary_LCIA!AG$32</f>
        <v>5.1165000000000002E-5</v>
      </c>
      <c r="AQ22" s="137">
        <f>Summary_LCIA!AH$32</f>
        <v>8.7036000000000006E-3</v>
      </c>
      <c r="AR22" s="137">
        <f>Summary_LCIA!AI$32</f>
        <v>9.3154999999999996E-4</v>
      </c>
      <c r="AT22" s="137">
        <f t="shared" si="2"/>
        <v>14.535964399999999</v>
      </c>
      <c r="AU22" s="137">
        <f t="shared" si="14"/>
        <v>212.00992542287398</v>
      </c>
      <c r="AV22" s="137">
        <f t="shared" si="15"/>
        <v>0.22525183679999997</v>
      </c>
      <c r="AW22" s="137">
        <f t="shared" si="16"/>
        <v>14.34688564</v>
      </c>
      <c r="AX22" s="137">
        <f t="shared" si="17"/>
        <v>4.7013021999999998</v>
      </c>
      <c r="AY22" s="137">
        <f t="shared" si="18"/>
        <v>0.76632509199999999</v>
      </c>
      <c r="AZ22" s="137">
        <f t="shared" si="19"/>
        <v>2.043120058E-3</v>
      </c>
      <c r="BA22" s="137">
        <f t="shared" si="20"/>
        <v>3.2926654379999998</v>
      </c>
      <c r="BB22" s="137">
        <f t="shared" si="21"/>
        <v>0.97448284000000007</v>
      </c>
      <c r="BC22" s="137">
        <f t="shared" si="3"/>
        <v>0.66656679600000002</v>
      </c>
      <c r="BD22" s="137">
        <f t="shared" si="4"/>
        <v>1.7542830019999999E-3</v>
      </c>
      <c r="BE22" s="137">
        <f t="shared" si="5"/>
        <v>0.99912296799999989</v>
      </c>
      <c r="BF22" s="137">
        <f t="shared" si="6"/>
        <v>-9.3354429400000004E-4</v>
      </c>
      <c r="BG22" s="137">
        <f t="shared" si="7"/>
        <v>2.0911597520000001E-6</v>
      </c>
      <c r="BH22" s="137">
        <f t="shared" si="8"/>
        <v>1.758346912E-2</v>
      </c>
      <c r="BI22" s="137">
        <f t="shared" si="9"/>
        <v>3.7906869139999994E-2</v>
      </c>
      <c r="BJ22" s="137">
        <f t="shared" si="10"/>
        <v>3.616537676E-2</v>
      </c>
      <c r="BK22" s="137">
        <f t="shared" si="11"/>
        <v>2.18873637E-3</v>
      </c>
      <c r="BL22" s="137">
        <f t="shared" si="12"/>
        <v>0.37232260080000001</v>
      </c>
      <c r="BM22" s="137">
        <f t="shared" si="13"/>
        <v>3.98498459E-2</v>
      </c>
    </row>
    <row r="23" spans="1:65" x14ac:dyDescent="0.25">
      <c r="A23" s="149">
        <v>126</v>
      </c>
      <c r="B23" s="149">
        <v>6</v>
      </c>
      <c r="C23" s="61">
        <v>41.712980000000002</v>
      </c>
      <c r="D23" s="61">
        <v>-87.960780999999997</v>
      </c>
      <c r="E23" s="61" t="s">
        <v>265</v>
      </c>
      <c r="F23" s="149">
        <v>88</v>
      </c>
      <c r="G23" s="61" t="s">
        <v>674</v>
      </c>
      <c r="H23" s="61" t="s">
        <v>675</v>
      </c>
      <c r="I23" s="61">
        <v>41.786776000000003</v>
      </c>
      <c r="J23" s="61">
        <v>-87.752188000000004</v>
      </c>
      <c r="K23" s="61">
        <v>21.68769485</v>
      </c>
      <c r="L23" s="61">
        <v>26.821000000000002</v>
      </c>
      <c r="M23" s="61" t="s">
        <v>617</v>
      </c>
      <c r="N23" s="149">
        <v>5</v>
      </c>
      <c r="O23" s="149">
        <v>6</v>
      </c>
      <c r="P23" s="61" t="s">
        <v>565</v>
      </c>
      <c r="Q23" s="61" t="s">
        <v>564</v>
      </c>
      <c r="R23" s="61">
        <v>41.98028</v>
      </c>
      <c r="S23" s="61">
        <v>-87.908997900000003</v>
      </c>
      <c r="T23" s="61">
        <v>42.777999999999999</v>
      </c>
      <c r="U23" s="61" t="s">
        <v>617</v>
      </c>
      <c r="V23" s="61" t="s">
        <v>617</v>
      </c>
      <c r="W23" s="61"/>
      <c r="X23" s="61"/>
      <c r="Y23" s="137">
        <f>Summary_LCIA!H$32</f>
        <v>0.33979999999999999</v>
      </c>
      <c r="Z23" s="137">
        <f>Summary_LCIA!Q$32</f>
        <v>4.9560504329999997</v>
      </c>
      <c r="AA23" s="137">
        <f>Summary_LCIA!R$32</f>
        <v>5.2655999999999996E-3</v>
      </c>
      <c r="AB23" s="137">
        <f>Summary_LCIA!S$32</f>
        <v>0.33538000000000001</v>
      </c>
      <c r="AC23" s="137">
        <f>Summary_LCIA!T$32</f>
        <v>0.1099</v>
      </c>
      <c r="AD23" s="137">
        <f>Summary_LCIA!U$32</f>
        <v>1.7913999999999999E-2</v>
      </c>
      <c r="AE23" s="137">
        <f>Summary_LCIA!V$32</f>
        <v>4.7760999999999999E-5</v>
      </c>
      <c r="AF23" s="137">
        <f>Summary_LCIA!W$32</f>
        <v>7.6970999999999998E-2</v>
      </c>
      <c r="AG23" s="137">
        <f>Summary_LCIA!X$32</f>
        <v>2.2780000000000002E-2</v>
      </c>
      <c r="AH23" s="137">
        <f>Summary_LCIA!Y$32</f>
        <v>1.5582E-2</v>
      </c>
      <c r="AI23" s="137">
        <f>Summary_LCIA!Z$32</f>
        <v>4.1009E-5</v>
      </c>
      <c r="AJ23" s="137">
        <f>Summary_LCIA!AA$32</f>
        <v>2.3355999999999998E-2</v>
      </c>
      <c r="AK23" s="137">
        <f>Summary_LCIA!AB$32</f>
        <v>-2.1823000000000001E-5</v>
      </c>
      <c r="AL23" s="137">
        <f>Summary_LCIA!AC$32</f>
        <v>4.8884000000000003E-8</v>
      </c>
      <c r="AM23" s="137">
        <f>Summary_LCIA!AD$32</f>
        <v>4.1103999999999999E-4</v>
      </c>
      <c r="AN23" s="137">
        <f>Summary_LCIA!AE$32</f>
        <v>8.8612999999999995E-4</v>
      </c>
      <c r="AO23" s="137">
        <f>Summary_LCIA!AF$32</f>
        <v>8.4542000000000005E-4</v>
      </c>
      <c r="AP23" s="137">
        <f>Summary_LCIA!AG$32</f>
        <v>5.1165000000000002E-5</v>
      </c>
      <c r="AQ23" s="137">
        <f>Summary_LCIA!AH$32</f>
        <v>8.7036000000000006E-3</v>
      </c>
      <c r="AR23" s="137">
        <f>Summary_LCIA!AI$32</f>
        <v>9.3154999999999996E-4</v>
      </c>
      <c r="AT23" s="137">
        <f t="shared" si="2"/>
        <v>14.535964399999999</v>
      </c>
      <c r="AU23" s="137">
        <f t="shared" si="14"/>
        <v>212.00992542287398</v>
      </c>
      <c r="AV23" s="137">
        <f t="shared" si="15"/>
        <v>0.22525183679999997</v>
      </c>
      <c r="AW23" s="137">
        <f t="shared" si="16"/>
        <v>14.34688564</v>
      </c>
      <c r="AX23" s="137">
        <f t="shared" si="17"/>
        <v>4.7013021999999998</v>
      </c>
      <c r="AY23" s="137">
        <f t="shared" si="18"/>
        <v>0.76632509199999999</v>
      </c>
      <c r="AZ23" s="137">
        <f t="shared" si="19"/>
        <v>2.043120058E-3</v>
      </c>
      <c r="BA23" s="137">
        <f t="shared" si="20"/>
        <v>3.2926654379999998</v>
      </c>
      <c r="BB23" s="137">
        <f t="shared" si="21"/>
        <v>0.97448284000000007</v>
      </c>
      <c r="BC23" s="137">
        <f t="shared" si="3"/>
        <v>0.66656679600000002</v>
      </c>
      <c r="BD23" s="137">
        <f t="shared" si="4"/>
        <v>1.7542830019999999E-3</v>
      </c>
      <c r="BE23" s="137">
        <f t="shared" si="5"/>
        <v>0.99912296799999989</v>
      </c>
      <c r="BF23" s="137">
        <f t="shared" si="6"/>
        <v>-9.3354429400000004E-4</v>
      </c>
      <c r="BG23" s="137">
        <f t="shared" si="7"/>
        <v>2.0911597520000001E-6</v>
      </c>
      <c r="BH23" s="137">
        <f t="shared" si="8"/>
        <v>1.758346912E-2</v>
      </c>
      <c r="BI23" s="137">
        <f t="shared" si="9"/>
        <v>3.7906869139999994E-2</v>
      </c>
      <c r="BJ23" s="137">
        <f t="shared" si="10"/>
        <v>3.616537676E-2</v>
      </c>
      <c r="BK23" s="137">
        <f t="shared" si="11"/>
        <v>2.18873637E-3</v>
      </c>
      <c r="BL23" s="137">
        <f t="shared" si="12"/>
        <v>0.37232260080000001</v>
      </c>
      <c r="BM23" s="137">
        <f t="shared" si="13"/>
        <v>3.98498459E-2</v>
      </c>
    </row>
    <row r="24" spans="1:65" x14ac:dyDescent="0.25">
      <c r="A24" s="149">
        <v>228</v>
      </c>
      <c r="B24" s="149">
        <v>6</v>
      </c>
      <c r="C24" s="61">
        <v>41.743507000000001</v>
      </c>
      <c r="D24" s="61">
        <v>-88.011847000000003</v>
      </c>
      <c r="E24" s="61" t="s">
        <v>265</v>
      </c>
      <c r="F24" s="149">
        <v>88</v>
      </c>
      <c r="G24" s="61" t="s">
        <v>674</v>
      </c>
      <c r="H24" s="61" t="s">
        <v>675</v>
      </c>
      <c r="I24" s="61">
        <v>41.786776000000003</v>
      </c>
      <c r="J24" s="61">
        <v>-87.752188000000004</v>
      </c>
      <c r="K24" s="61">
        <v>22.97844104</v>
      </c>
      <c r="L24" s="61">
        <v>30.356000000000002</v>
      </c>
      <c r="M24" s="61" t="s">
        <v>617</v>
      </c>
      <c r="N24" s="149">
        <v>5</v>
      </c>
      <c r="O24" s="149">
        <v>6</v>
      </c>
      <c r="P24" s="61" t="s">
        <v>565</v>
      </c>
      <c r="Q24" s="61" t="s">
        <v>564</v>
      </c>
      <c r="R24" s="61">
        <v>41.98028</v>
      </c>
      <c r="S24" s="61">
        <v>-87.908997900000003</v>
      </c>
      <c r="T24" s="61">
        <v>44.277999999999999</v>
      </c>
      <c r="U24" s="61" t="s">
        <v>617</v>
      </c>
      <c r="V24" s="61" t="s">
        <v>617</v>
      </c>
      <c r="W24" s="61"/>
      <c r="X24" s="61"/>
      <c r="Y24" s="137">
        <f>Summary_LCIA!H$32</f>
        <v>0.33979999999999999</v>
      </c>
      <c r="Z24" s="137">
        <f>Summary_LCIA!Q$32</f>
        <v>4.9560504329999997</v>
      </c>
      <c r="AA24" s="137">
        <f>Summary_LCIA!R$32</f>
        <v>5.2655999999999996E-3</v>
      </c>
      <c r="AB24" s="137">
        <f>Summary_LCIA!S$32</f>
        <v>0.33538000000000001</v>
      </c>
      <c r="AC24" s="137">
        <f>Summary_LCIA!T$32</f>
        <v>0.1099</v>
      </c>
      <c r="AD24" s="137">
        <f>Summary_LCIA!U$32</f>
        <v>1.7913999999999999E-2</v>
      </c>
      <c r="AE24" s="137">
        <f>Summary_LCIA!V$32</f>
        <v>4.7760999999999999E-5</v>
      </c>
      <c r="AF24" s="137">
        <f>Summary_LCIA!W$32</f>
        <v>7.6970999999999998E-2</v>
      </c>
      <c r="AG24" s="137">
        <f>Summary_LCIA!X$32</f>
        <v>2.2780000000000002E-2</v>
      </c>
      <c r="AH24" s="137">
        <f>Summary_LCIA!Y$32</f>
        <v>1.5582E-2</v>
      </c>
      <c r="AI24" s="137">
        <f>Summary_LCIA!Z$32</f>
        <v>4.1009E-5</v>
      </c>
      <c r="AJ24" s="137">
        <f>Summary_LCIA!AA$32</f>
        <v>2.3355999999999998E-2</v>
      </c>
      <c r="AK24" s="137">
        <f>Summary_LCIA!AB$32</f>
        <v>-2.1823000000000001E-5</v>
      </c>
      <c r="AL24" s="137">
        <f>Summary_LCIA!AC$32</f>
        <v>4.8884000000000003E-8</v>
      </c>
      <c r="AM24" s="137">
        <f>Summary_LCIA!AD$32</f>
        <v>4.1103999999999999E-4</v>
      </c>
      <c r="AN24" s="137">
        <f>Summary_LCIA!AE$32</f>
        <v>8.8612999999999995E-4</v>
      </c>
      <c r="AO24" s="137">
        <f>Summary_LCIA!AF$32</f>
        <v>8.4542000000000005E-4</v>
      </c>
      <c r="AP24" s="137">
        <f>Summary_LCIA!AG$32</f>
        <v>5.1165000000000002E-5</v>
      </c>
      <c r="AQ24" s="137">
        <f>Summary_LCIA!AH$32</f>
        <v>8.7036000000000006E-3</v>
      </c>
      <c r="AR24" s="137">
        <f>Summary_LCIA!AI$32</f>
        <v>9.3154999999999996E-4</v>
      </c>
      <c r="AT24" s="137">
        <f t="shared" si="2"/>
        <v>15.0456644</v>
      </c>
      <c r="AU24" s="137">
        <f t="shared" si="14"/>
        <v>219.44400107237399</v>
      </c>
      <c r="AV24" s="137">
        <f t="shared" si="15"/>
        <v>0.23315023679999997</v>
      </c>
      <c r="AW24" s="137">
        <f t="shared" si="16"/>
        <v>14.849955639999999</v>
      </c>
      <c r="AX24" s="137">
        <f t="shared" si="17"/>
        <v>4.8661522000000001</v>
      </c>
      <c r="AY24" s="137">
        <f t="shared" si="18"/>
        <v>0.79319609199999996</v>
      </c>
      <c r="AZ24" s="137">
        <f t="shared" si="19"/>
        <v>2.1147615580000001E-3</v>
      </c>
      <c r="BA24" s="137">
        <f t="shared" si="20"/>
        <v>3.4081219379999999</v>
      </c>
      <c r="BB24" s="137">
        <f t="shared" si="21"/>
        <v>1.0086528400000001</v>
      </c>
      <c r="BC24" s="137">
        <f t="shared" si="3"/>
        <v>0.68993979599999999</v>
      </c>
      <c r="BD24" s="137">
        <f t="shared" si="4"/>
        <v>1.8157965019999999E-3</v>
      </c>
      <c r="BE24" s="137">
        <f t="shared" si="5"/>
        <v>1.0341569679999998</v>
      </c>
      <c r="BF24" s="137">
        <f t="shared" si="6"/>
        <v>-9.6627879399999997E-4</v>
      </c>
      <c r="BG24" s="137">
        <f t="shared" si="7"/>
        <v>2.1644857520000002E-6</v>
      </c>
      <c r="BH24" s="137">
        <f t="shared" si="8"/>
        <v>1.8200029119999999E-2</v>
      </c>
      <c r="BI24" s="137">
        <f t="shared" si="9"/>
        <v>3.9236064139999999E-2</v>
      </c>
      <c r="BJ24" s="137">
        <f t="shared" si="10"/>
        <v>3.7433506759999999E-2</v>
      </c>
      <c r="BK24" s="137">
        <f t="shared" si="11"/>
        <v>2.26548387E-3</v>
      </c>
      <c r="BL24" s="137">
        <f t="shared" si="12"/>
        <v>0.38537800080000001</v>
      </c>
      <c r="BM24" s="137">
        <f t="shared" si="13"/>
        <v>4.1247170899999998E-2</v>
      </c>
    </row>
    <row r="25" spans="1:65" x14ac:dyDescent="0.25">
      <c r="A25" s="149">
        <v>229</v>
      </c>
      <c r="B25" s="149">
        <v>6</v>
      </c>
      <c r="C25" s="61">
        <v>41.743507000000001</v>
      </c>
      <c r="D25" s="61">
        <v>-88.011847000000003</v>
      </c>
      <c r="E25" s="61" t="s">
        <v>265</v>
      </c>
      <c r="F25" s="149">
        <v>88</v>
      </c>
      <c r="G25" s="61" t="s">
        <v>674</v>
      </c>
      <c r="H25" s="61" t="s">
        <v>675</v>
      </c>
      <c r="I25" s="61">
        <v>41.786776000000003</v>
      </c>
      <c r="J25" s="61">
        <v>-87.752188000000004</v>
      </c>
      <c r="K25" s="61">
        <v>22.97844104</v>
      </c>
      <c r="L25" s="61">
        <v>30.356000000000002</v>
      </c>
      <c r="M25" s="61" t="s">
        <v>617</v>
      </c>
      <c r="N25" s="149">
        <v>5</v>
      </c>
      <c r="O25" s="149">
        <v>6</v>
      </c>
      <c r="P25" s="61" t="s">
        <v>565</v>
      </c>
      <c r="Q25" s="61" t="s">
        <v>564</v>
      </c>
      <c r="R25" s="61">
        <v>41.98028</v>
      </c>
      <c r="S25" s="61">
        <v>-87.908997900000003</v>
      </c>
      <c r="T25" s="61">
        <v>44.277999999999999</v>
      </c>
      <c r="U25" s="61" t="s">
        <v>617</v>
      </c>
      <c r="V25" s="61" t="s">
        <v>617</v>
      </c>
      <c r="W25" s="61"/>
      <c r="X25" s="61"/>
      <c r="Y25" s="137">
        <f>Summary_LCIA!H$32</f>
        <v>0.33979999999999999</v>
      </c>
      <c r="Z25" s="137">
        <f>Summary_LCIA!Q$32</f>
        <v>4.9560504329999997</v>
      </c>
      <c r="AA25" s="137">
        <f>Summary_LCIA!R$32</f>
        <v>5.2655999999999996E-3</v>
      </c>
      <c r="AB25" s="137">
        <f>Summary_LCIA!S$32</f>
        <v>0.33538000000000001</v>
      </c>
      <c r="AC25" s="137">
        <f>Summary_LCIA!T$32</f>
        <v>0.1099</v>
      </c>
      <c r="AD25" s="137">
        <f>Summary_LCIA!U$32</f>
        <v>1.7913999999999999E-2</v>
      </c>
      <c r="AE25" s="137">
        <f>Summary_LCIA!V$32</f>
        <v>4.7760999999999999E-5</v>
      </c>
      <c r="AF25" s="137">
        <f>Summary_LCIA!W$32</f>
        <v>7.6970999999999998E-2</v>
      </c>
      <c r="AG25" s="137">
        <f>Summary_LCIA!X$32</f>
        <v>2.2780000000000002E-2</v>
      </c>
      <c r="AH25" s="137">
        <f>Summary_LCIA!Y$32</f>
        <v>1.5582E-2</v>
      </c>
      <c r="AI25" s="137">
        <f>Summary_LCIA!Z$32</f>
        <v>4.1009E-5</v>
      </c>
      <c r="AJ25" s="137">
        <f>Summary_LCIA!AA$32</f>
        <v>2.3355999999999998E-2</v>
      </c>
      <c r="AK25" s="137">
        <f>Summary_LCIA!AB$32</f>
        <v>-2.1823000000000001E-5</v>
      </c>
      <c r="AL25" s="137">
        <f>Summary_LCIA!AC$32</f>
        <v>4.8884000000000003E-8</v>
      </c>
      <c r="AM25" s="137">
        <f>Summary_LCIA!AD$32</f>
        <v>4.1103999999999999E-4</v>
      </c>
      <c r="AN25" s="137">
        <f>Summary_LCIA!AE$32</f>
        <v>8.8612999999999995E-4</v>
      </c>
      <c r="AO25" s="137">
        <f>Summary_LCIA!AF$32</f>
        <v>8.4542000000000005E-4</v>
      </c>
      <c r="AP25" s="137">
        <f>Summary_LCIA!AG$32</f>
        <v>5.1165000000000002E-5</v>
      </c>
      <c r="AQ25" s="137">
        <f>Summary_LCIA!AH$32</f>
        <v>8.7036000000000006E-3</v>
      </c>
      <c r="AR25" s="137">
        <f>Summary_LCIA!AI$32</f>
        <v>9.3154999999999996E-4</v>
      </c>
      <c r="AT25" s="137">
        <f t="shared" si="2"/>
        <v>15.0456644</v>
      </c>
      <c r="AU25" s="137">
        <f t="shared" si="14"/>
        <v>219.44400107237399</v>
      </c>
      <c r="AV25" s="137">
        <f t="shared" si="15"/>
        <v>0.23315023679999997</v>
      </c>
      <c r="AW25" s="137">
        <f t="shared" si="16"/>
        <v>14.849955639999999</v>
      </c>
      <c r="AX25" s="137">
        <f t="shared" si="17"/>
        <v>4.8661522000000001</v>
      </c>
      <c r="AY25" s="137">
        <f t="shared" si="18"/>
        <v>0.79319609199999996</v>
      </c>
      <c r="AZ25" s="137">
        <f t="shared" si="19"/>
        <v>2.1147615580000001E-3</v>
      </c>
      <c r="BA25" s="137">
        <f t="shared" si="20"/>
        <v>3.4081219379999999</v>
      </c>
      <c r="BB25" s="137">
        <f t="shared" si="21"/>
        <v>1.0086528400000001</v>
      </c>
      <c r="BC25" s="137">
        <f t="shared" si="3"/>
        <v>0.68993979599999999</v>
      </c>
      <c r="BD25" s="137">
        <f t="shared" si="4"/>
        <v>1.8157965019999999E-3</v>
      </c>
      <c r="BE25" s="137">
        <f t="shared" si="5"/>
        <v>1.0341569679999998</v>
      </c>
      <c r="BF25" s="137">
        <f t="shared" si="6"/>
        <v>-9.6627879399999997E-4</v>
      </c>
      <c r="BG25" s="137">
        <f t="shared" si="7"/>
        <v>2.1644857520000002E-6</v>
      </c>
      <c r="BH25" s="137">
        <f t="shared" si="8"/>
        <v>1.8200029119999999E-2</v>
      </c>
      <c r="BI25" s="137">
        <f t="shared" si="9"/>
        <v>3.9236064139999999E-2</v>
      </c>
      <c r="BJ25" s="137">
        <f t="shared" si="10"/>
        <v>3.7433506759999999E-2</v>
      </c>
      <c r="BK25" s="137">
        <f t="shared" si="11"/>
        <v>2.26548387E-3</v>
      </c>
      <c r="BL25" s="137">
        <f t="shared" si="12"/>
        <v>0.38537800080000001</v>
      </c>
      <c r="BM25" s="137">
        <f t="shared" si="13"/>
        <v>4.1247170899999998E-2</v>
      </c>
    </row>
    <row r="26" spans="1:65" x14ac:dyDescent="0.25">
      <c r="A26" s="149">
        <v>282</v>
      </c>
      <c r="B26" s="149">
        <v>6</v>
      </c>
      <c r="C26" s="61">
        <v>42.905847999999999</v>
      </c>
      <c r="D26" s="61">
        <v>-88.138977999999994</v>
      </c>
      <c r="E26" s="61" t="s">
        <v>265</v>
      </c>
      <c r="F26" s="149">
        <v>114</v>
      </c>
      <c r="G26" s="61" t="s">
        <v>639</v>
      </c>
      <c r="H26" s="61" t="s">
        <v>640</v>
      </c>
      <c r="I26" s="61">
        <v>42.947552999999999</v>
      </c>
      <c r="J26" s="61">
        <v>-87.896646000000004</v>
      </c>
      <c r="K26" s="61">
        <v>21.17463892</v>
      </c>
      <c r="L26" s="61">
        <v>30.303000000000001</v>
      </c>
      <c r="M26" s="61" t="s">
        <v>617</v>
      </c>
      <c r="N26" s="149">
        <v>5</v>
      </c>
      <c r="O26" s="149">
        <v>6</v>
      </c>
      <c r="P26" s="61" t="s">
        <v>565</v>
      </c>
      <c r="Q26" s="61" t="s">
        <v>564</v>
      </c>
      <c r="R26" s="61">
        <v>41.98028</v>
      </c>
      <c r="S26" s="61">
        <v>-87.908997900000003</v>
      </c>
      <c r="T26" s="61">
        <v>125.387</v>
      </c>
      <c r="U26" s="61" t="s">
        <v>617</v>
      </c>
      <c r="V26" s="61" t="s">
        <v>617</v>
      </c>
      <c r="W26" s="61"/>
      <c r="X26" s="61"/>
      <c r="Y26" s="137">
        <f>Summary_LCIA!H$32</f>
        <v>0.33979999999999999</v>
      </c>
      <c r="Z26" s="137">
        <f>Summary_LCIA!Q$32</f>
        <v>4.9560504329999997</v>
      </c>
      <c r="AA26" s="137">
        <f>Summary_LCIA!R$32</f>
        <v>5.2655999999999996E-3</v>
      </c>
      <c r="AB26" s="137">
        <f>Summary_LCIA!S$32</f>
        <v>0.33538000000000001</v>
      </c>
      <c r="AC26" s="137">
        <f>Summary_LCIA!T$32</f>
        <v>0.1099</v>
      </c>
      <c r="AD26" s="137">
        <f>Summary_LCIA!U$32</f>
        <v>1.7913999999999999E-2</v>
      </c>
      <c r="AE26" s="137">
        <f>Summary_LCIA!V$32</f>
        <v>4.7760999999999999E-5</v>
      </c>
      <c r="AF26" s="137">
        <f>Summary_LCIA!W$32</f>
        <v>7.6970999999999998E-2</v>
      </c>
      <c r="AG26" s="137">
        <f>Summary_LCIA!X$32</f>
        <v>2.2780000000000002E-2</v>
      </c>
      <c r="AH26" s="137">
        <f>Summary_LCIA!Y$32</f>
        <v>1.5582E-2</v>
      </c>
      <c r="AI26" s="137">
        <f>Summary_LCIA!Z$32</f>
        <v>4.1009E-5</v>
      </c>
      <c r="AJ26" s="137">
        <f>Summary_LCIA!AA$32</f>
        <v>2.3355999999999998E-2</v>
      </c>
      <c r="AK26" s="137">
        <f>Summary_LCIA!AB$32</f>
        <v>-2.1823000000000001E-5</v>
      </c>
      <c r="AL26" s="137">
        <f>Summary_LCIA!AC$32</f>
        <v>4.8884000000000003E-8</v>
      </c>
      <c r="AM26" s="137">
        <f>Summary_LCIA!AD$32</f>
        <v>4.1103999999999999E-4</v>
      </c>
      <c r="AN26" s="137">
        <f>Summary_LCIA!AE$32</f>
        <v>8.8612999999999995E-4</v>
      </c>
      <c r="AO26" s="137">
        <f>Summary_LCIA!AF$32</f>
        <v>8.4542000000000005E-4</v>
      </c>
      <c r="AP26" s="137">
        <f>Summary_LCIA!AG$32</f>
        <v>5.1165000000000002E-5</v>
      </c>
      <c r="AQ26" s="137">
        <f>Summary_LCIA!AH$32</f>
        <v>8.7036000000000006E-3</v>
      </c>
      <c r="AR26" s="137">
        <f>Summary_LCIA!AI$32</f>
        <v>9.3154999999999996E-4</v>
      </c>
      <c r="AT26" s="137">
        <f t="shared" si="2"/>
        <v>42.606502599999999</v>
      </c>
      <c r="AU26" s="137">
        <f t="shared" si="14"/>
        <v>621.424295642571</v>
      </c>
      <c r="AV26" s="137">
        <f t="shared" si="15"/>
        <v>0.66023778719999993</v>
      </c>
      <c r="AW26" s="137">
        <f t="shared" si="16"/>
        <v>42.052292059999999</v>
      </c>
      <c r="AX26" s="137">
        <f t="shared" si="17"/>
        <v>13.780031299999999</v>
      </c>
      <c r="AY26" s="137">
        <f t="shared" si="18"/>
        <v>2.246182718</v>
      </c>
      <c r="AZ26" s="137">
        <f t="shared" si="19"/>
        <v>5.9886085069999996E-3</v>
      </c>
      <c r="BA26" s="137">
        <f t="shared" si="20"/>
        <v>9.6511627769999997</v>
      </c>
      <c r="BB26" s="137">
        <f t="shared" si="21"/>
        <v>2.85631586</v>
      </c>
      <c r="BC26" s="137">
        <f t="shared" si="3"/>
        <v>1.9537802340000001</v>
      </c>
      <c r="BD26" s="137">
        <f t="shared" si="4"/>
        <v>5.1419954830000001E-3</v>
      </c>
      <c r="BE26" s="137">
        <f t="shared" si="5"/>
        <v>2.928538772</v>
      </c>
      <c r="BF26" s="137">
        <f t="shared" si="6"/>
        <v>-2.7363205010000002E-3</v>
      </c>
      <c r="BG26" s="137">
        <f t="shared" si="7"/>
        <v>6.1294181080000002E-6</v>
      </c>
      <c r="BH26" s="137">
        <f t="shared" si="8"/>
        <v>5.1539072479999996E-2</v>
      </c>
      <c r="BI26" s="137">
        <f t="shared" si="9"/>
        <v>0.11110918231</v>
      </c>
      <c r="BJ26" s="137">
        <f t="shared" si="10"/>
        <v>0.10600467754000001</v>
      </c>
      <c r="BK26" s="137">
        <f t="shared" si="11"/>
        <v>6.4154258550000003E-3</v>
      </c>
      <c r="BL26" s="137">
        <f t="shared" si="12"/>
        <v>1.0913182932000001</v>
      </c>
      <c r="BM26" s="137">
        <f t="shared" si="13"/>
        <v>0.11680425984999999</v>
      </c>
    </row>
    <row r="27" spans="1:65" x14ac:dyDescent="0.25">
      <c r="A27" s="149">
        <v>23</v>
      </c>
      <c r="B27" s="149">
        <v>6</v>
      </c>
      <c r="C27" s="61">
        <v>43.038966000000002</v>
      </c>
      <c r="D27" s="61">
        <v>-87.928042000000005</v>
      </c>
      <c r="E27" s="61" t="s">
        <v>265</v>
      </c>
      <c r="F27" s="149">
        <v>114</v>
      </c>
      <c r="G27" s="61" t="s">
        <v>639</v>
      </c>
      <c r="H27" s="61" t="s">
        <v>640</v>
      </c>
      <c r="I27" s="61">
        <v>42.947552999999999</v>
      </c>
      <c r="J27" s="61">
        <v>-87.896646000000004</v>
      </c>
      <c r="K27" s="61">
        <v>15.85670011</v>
      </c>
      <c r="L27" s="61">
        <v>12.099</v>
      </c>
      <c r="M27" s="61" t="s">
        <v>617</v>
      </c>
      <c r="N27" s="149">
        <v>5</v>
      </c>
      <c r="O27" s="149">
        <v>6</v>
      </c>
      <c r="P27" s="61" t="s">
        <v>565</v>
      </c>
      <c r="Q27" s="61" t="s">
        <v>564</v>
      </c>
      <c r="R27" s="61">
        <v>41.98028</v>
      </c>
      <c r="S27" s="61">
        <v>-87.908997900000003</v>
      </c>
      <c r="T27" s="61">
        <v>126.72499999999999</v>
      </c>
      <c r="U27" s="61" t="s">
        <v>617</v>
      </c>
      <c r="V27" s="61" t="s">
        <v>617</v>
      </c>
      <c r="W27" s="61"/>
      <c r="X27" s="61"/>
      <c r="Y27" s="137">
        <f>Summary_LCIA!H$32</f>
        <v>0.33979999999999999</v>
      </c>
      <c r="Z27" s="137">
        <f>Summary_LCIA!Q$32</f>
        <v>4.9560504329999997</v>
      </c>
      <c r="AA27" s="137">
        <f>Summary_LCIA!R$32</f>
        <v>5.2655999999999996E-3</v>
      </c>
      <c r="AB27" s="137">
        <f>Summary_LCIA!S$32</f>
        <v>0.33538000000000001</v>
      </c>
      <c r="AC27" s="137">
        <f>Summary_LCIA!T$32</f>
        <v>0.1099</v>
      </c>
      <c r="AD27" s="137">
        <f>Summary_LCIA!U$32</f>
        <v>1.7913999999999999E-2</v>
      </c>
      <c r="AE27" s="137">
        <f>Summary_LCIA!V$32</f>
        <v>4.7760999999999999E-5</v>
      </c>
      <c r="AF27" s="137">
        <f>Summary_LCIA!W$32</f>
        <v>7.6970999999999998E-2</v>
      </c>
      <c r="AG27" s="137">
        <f>Summary_LCIA!X$32</f>
        <v>2.2780000000000002E-2</v>
      </c>
      <c r="AH27" s="137">
        <f>Summary_LCIA!Y$32</f>
        <v>1.5582E-2</v>
      </c>
      <c r="AI27" s="137">
        <f>Summary_LCIA!Z$32</f>
        <v>4.1009E-5</v>
      </c>
      <c r="AJ27" s="137">
        <f>Summary_LCIA!AA$32</f>
        <v>2.3355999999999998E-2</v>
      </c>
      <c r="AK27" s="137">
        <f>Summary_LCIA!AB$32</f>
        <v>-2.1823000000000001E-5</v>
      </c>
      <c r="AL27" s="137">
        <f>Summary_LCIA!AC$32</f>
        <v>4.8884000000000003E-8</v>
      </c>
      <c r="AM27" s="137">
        <f>Summary_LCIA!AD$32</f>
        <v>4.1103999999999999E-4</v>
      </c>
      <c r="AN27" s="137">
        <f>Summary_LCIA!AE$32</f>
        <v>8.8612999999999995E-4</v>
      </c>
      <c r="AO27" s="137">
        <f>Summary_LCIA!AF$32</f>
        <v>8.4542000000000005E-4</v>
      </c>
      <c r="AP27" s="137">
        <f>Summary_LCIA!AG$32</f>
        <v>5.1165000000000002E-5</v>
      </c>
      <c r="AQ27" s="137">
        <f>Summary_LCIA!AH$32</f>
        <v>8.7036000000000006E-3</v>
      </c>
      <c r="AR27" s="137">
        <f>Summary_LCIA!AI$32</f>
        <v>9.3154999999999996E-4</v>
      </c>
      <c r="AT27" s="137">
        <f t="shared" si="2"/>
        <v>43.061154999999999</v>
      </c>
      <c r="AU27" s="137">
        <f t="shared" si="14"/>
        <v>628.05549112192489</v>
      </c>
      <c r="AV27" s="137">
        <f t="shared" si="15"/>
        <v>0.66728315999999988</v>
      </c>
      <c r="AW27" s="137">
        <f t="shared" si="16"/>
        <v>42.501030499999999</v>
      </c>
      <c r="AX27" s="137">
        <f t="shared" si="17"/>
        <v>13.927077499999999</v>
      </c>
      <c r="AY27" s="137">
        <f t="shared" si="18"/>
        <v>2.2701516499999999</v>
      </c>
      <c r="AZ27" s="137">
        <f t="shared" si="19"/>
        <v>6.0525127249999996E-3</v>
      </c>
      <c r="BA27" s="137">
        <f t="shared" si="20"/>
        <v>9.7541499749999989</v>
      </c>
      <c r="BB27" s="137">
        <f t="shared" si="21"/>
        <v>2.8867955000000003</v>
      </c>
      <c r="BC27" s="137">
        <f t="shared" si="3"/>
        <v>1.97462895</v>
      </c>
      <c r="BD27" s="137">
        <f t="shared" si="4"/>
        <v>5.1968655249999994E-3</v>
      </c>
      <c r="BE27" s="137">
        <f t="shared" si="5"/>
        <v>2.9597890999999996</v>
      </c>
      <c r="BF27" s="137">
        <f t="shared" si="6"/>
        <v>-2.765519675E-3</v>
      </c>
      <c r="BG27" s="137">
        <f t="shared" si="7"/>
        <v>6.1948249000000005E-6</v>
      </c>
      <c r="BH27" s="137">
        <f t="shared" si="8"/>
        <v>5.2089043999999994E-2</v>
      </c>
      <c r="BI27" s="137">
        <f t="shared" si="9"/>
        <v>0.11229482424999999</v>
      </c>
      <c r="BJ27" s="137">
        <f t="shared" si="10"/>
        <v>0.1071358495</v>
      </c>
      <c r="BK27" s="137">
        <f t="shared" si="11"/>
        <v>6.4838846250000002E-3</v>
      </c>
      <c r="BL27" s="137">
        <f t="shared" si="12"/>
        <v>1.10296371</v>
      </c>
      <c r="BM27" s="137">
        <f t="shared" si="13"/>
        <v>0.11805067374999999</v>
      </c>
    </row>
    <row r="28" spans="1:65" x14ac:dyDescent="0.25">
      <c r="A28" s="149">
        <v>239</v>
      </c>
      <c r="B28" s="149">
        <v>6</v>
      </c>
      <c r="C28" s="61">
        <v>43.739162</v>
      </c>
      <c r="D28" s="61">
        <v>-87.781754000000006</v>
      </c>
      <c r="E28" s="61" t="s">
        <v>265</v>
      </c>
      <c r="F28" s="149">
        <v>114</v>
      </c>
      <c r="G28" s="61" t="s">
        <v>639</v>
      </c>
      <c r="H28" s="61" t="s">
        <v>640</v>
      </c>
      <c r="I28" s="61">
        <v>42.947552999999999</v>
      </c>
      <c r="J28" s="61">
        <v>-87.896646000000004</v>
      </c>
      <c r="K28" s="61">
        <v>136.40500399999999</v>
      </c>
      <c r="L28" s="61">
        <v>98.278000000000006</v>
      </c>
      <c r="M28" s="61" t="s">
        <v>617</v>
      </c>
      <c r="N28" s="149">
        <v>5</v>
      </c>
      <c r="O28" s="149">
        <v>6</v>
      </c>
      <c r="P28" s="61" t="s">
        <v>565</v>
      </c>
      <c r="Q28" s="61" t="s">
        <v>564</v>
      </c>
      <c r="R28" s="61">
        <v>41.98028</v>
      </c>
      <c r="S28" s="61">
        <v>-87.908997900000003</v>
      </c>
      <c r="T28" s="61">
        <v>212.905</v>
      </c>
      <c r="U28" s="61" t="s">
        <v>617</v>
      </c>
      <c r="V28" s="61" t="s">
        <v>617</v>
      </c>
      <c r="W28" s="61"/>
      <c r="X28" s="61"/>
      <c r="Y28" s="137">
        <f>Summary_LCIA!H$32</f>
        <v>0.33979999999999999</v>
      </c>
      <c r="Z28" s="137">
        <f>Summary_LCIA!Q$32</f>
        <v>4.9560504329999997</v>
      </c>
      <c r="AA28" s="137">
        <f>Summary_LCIA!R$32</f>
        <v>5.2655999999999996E-3</v>
      </c>
      <c r="AB28" s="137">
        <f>Summary_LCIA!S$32</f>
        <v>0.33538000000000001</v>
      </c>
      <c r="AC28" s="137">
        <f>Summary_LCIA!T$32</f>
        <v>0.1099</v>
      </c>
      <c r="AD28" s="137">
        <f>Summary_LCIA!U$32</f>
        <v>1.7913999999999999E-2</v>
      </c>
      <c r="AE28" s="137">
        <f>Summary_LCIA!V$32</f>
        <v>4.7760999999999999E-5</v>
      </c>
      <c r="AF28" s="137">
        <f>Summary_LCIA!W$32</f>
        <v>7.6970999999999998E-2</v>
      </c>
      <c r="AG28" s="137">
        <f>Summary_LCIA!X$32</f>
        <v>2.2780000000000002E-2</v>
      </c>
      <c r="AH28" s="137">
        <f>Summary_LCIA!Y$32</f>
        <v>1.5582E-2</v>
      </c>
      <c r="AI28" s="137">
        <f>Summary_LCIA!Z$32</f>
        <v>4.1009E-5</v>
      </c>
      <c r="AJ28" s="137">
        <f>Summary_LCIA!AA$32</f>
        <v>2.3355999999999998E-2</v>
      </c>
      <c r="AK28" s="137">
        <f>Summary_LCIA!AB$32</f>
        <v>-2.1823000000000001E-5</v>
      </c>
      <c r="AL28" s="137">
        <f>Summary_LCIA!AC$32</f>
        <v>4.8884000000000003E-8</v>
      </c>
      <c r="AM28" s="137">
        <f>Summary_LCIA!AD$32</f>
        <v>4.1103999999999999E-4</v>
      </c>
      <c r="AN28" s="137">
        <f>Summary_LCIA!AE$32</f>
        <v>8.8612999999999995E-4</v>
      </c>
      <c r="AO28" s="137">
        <f>Summary_LCIA!AF$32</f>
        <v>8.4542000000000005E-4</v>
      </c>
      <c r="AP28" s="137">
        <f>Summary_LCIA!AG$32</f>
        <v>5.1165000000000002E-5</v>
      </c>
      <c r="AQ28" s="137">
        <f>Summary_LCIA!AH$32</f>
        <v>8.7036000000000006E-3</v>
      </c>
      <c r="AR28" s="137">
        <f>Summary_LCIA!AI$32</f>
        <v>9.3154999999999996E-4</v>
      </c>
      <c r="AT28" s="137">
        <f t="shared" si="2"/>
        <v>72.345118999999997</v>
      </c>
      <c r="AU28" s="137">
        <f t="shared" si="14"/>
        <v>1055.1679174378648</v>
      </c>
      <c r="AV28" s="137">
        <f t="shared" si="15"/>
        <v>1.121072568</v>
      </c>
      <c r="AW28" s="137">
        <f t="shared" si="16"/>
        <v>71.404078900000002</v>
      </c>
      <c r="AX28" s="137">
        <f t="shared" si="17"/>
        <v>23.398259499999998</v>
      </c>
      <c r="AY28" s="137">
        <f t="shared" si="18"/>
        <v>3.8139801699999998</v>
      </c>
      <c r="AZ28" s="137">
        <f t="shared" si="19"/>
        <v>1.0168555705E-2</v>
      </c>
      <c r="BA28" s="137">
        <f t="shared" si="20"/>
        <v>16.387510755000001</v>
      </c>
      <c r="BB28" s="137">
        <f t="shared" si="21"/>
        <v>4.8499759000000005</v>
      </c>
      <c r="BC28" s="137">
        <f t="shared" si="3"/>
        <v>3.3174857100000001</v>
      </c>
      <c r="BD28" s="137">
        <f t="shared" si="4"/>
        <v>8.7310211450000001E-3</v>
      </c>
      <c r="BE28" s="137">
        <f t="shared" si="5"/>
        <v>4.9726091800000001</v>
      </c>
      <c r="BF28" s="137">
        <f t="shared" si="6"/>
        <v>-4.6462258150000001E-3</v>
      </c>
      <c r="BG28" s="137">
        <f t="shared" si="7"/>
        <v>1.0407648020000001E-5</v>
      </c>
      <c r="BH28" s="137">
        <f t="shared" si="8"/>
        <v>8.7512471199999997E-2</v>
      </c>
      <c r="BI28" s="137">
        <f t="shared" si="9"/>
        <v>0.18866150764999998</v>
      </c>
      <c r="BJ28" s="137">
        <f t="shared" si="10"/>
        <v>0.1799941451</v>
      </c>
      <c r="BK28" s="137">
        <f t="shared" si="11"/>
        <v>1.0893284325E-2</v>
      </c>
      <c r="BL28" s="137">
        <f t="shared" si="12"/>
        <v>1.8530399580000001</v>
      </c>
      <c r="BM28" s="137">
        <f t="shared" si="13"/>
        <v>0.19833165275</v>
      </c>
    </row>
    <row r="29" spans="1:65" x14ac:dyDescent="0.25">
      <c r="A29" s="149">
        <v>240</v>
      </c>
      <c r="B29" s="149">
        <v>6</v>
      </c>
      <c r="C29" s="61">
        <v>43.739162</v>
      </c>
      <c r="D29" s="61">
        <v>-87.781754000000006</v>
      </c>
      <c r="E29" s="61" t="s">
        <v>265</v>
      </c>
      <c r="F29" s="149">
        <v>114</v>
      </c>
      <c r="G29" s="61" t="s">
        <v>639</v>
      </c>
      <c r="H29" s="61" t="s">
        <v>640</v>
      </c>
      <c r="I29" s="61">
        <v>42.947552999999999</v>
      </c>
      <c r="J29" s="61">
        <v>-87.896646000000004</v>
      </c>
      <c r="K29" s="61">
        <v>136.40500399999999</v>
      </c>
      <c r="L29" s="61">
        <v>98.278000000000006</v>
      </c>
      <c r="M29" s="61" t="s">
        <v>617</v>
      </c>
      <c r="N29" s="149">
        <v>5</v>
      </c>
      <c r="O29" s="149">
        <v>6</v>
      </c>
      <c r="P29" s="61" t="s">
        <v>565</v>
      </c>
      <c r="Q29" s="61" t="s">
        <v>564</v>
      </c>
      <c r="R29" s="61">
        <v>41.98028</v>
      </c>
      <c r="S29" s="61">
        <v>-87.908997900000003</v>
      </c>
      <c r="T29" s="61">
        <v>212.905</v>
      </c>
      <c r="U29" s="61" t="s">
        <v>617</v>
      </c>
      <c r="V29" s="61" t="s">
        <v>617</v>
      </c>
      <c r="W29" s="61"/>
      <c r="X29" s="61"/>
      <c r="Y29" s="137">
        <f>Summary_LCIA!H$32</f>
        <v>0.33979999999999999</v>
      </c>
      <c r="Z29" s="137">
        <f>Summary_LCIA!Q$32</f>
        <v>4.9560504329999997</v>
      </c>
      <c r="AA29" s="137">
        <f>Summary_LCIA!R$32</f>
        <v>5.2655999999999996E-3</v>
      </c>
      <c r="AB29" s="137">
        <f>Summary_LCIA!S$32</f>
        <v>0.33538000000000001</v>
      </c>
      <c r="AC29" s="137">
        <f>Summary_LCIA!T$32</f>
        <v>0.1099</v>
      </c>
      <c r="AD29" s="137">
        <f>Summary_LCIA!U$32</f>
        <v>1.7913999999999999E-2</v>
      </c>
      <c r="AE29" s="137">
        <f>Summary_LCIA!V$32</f>
        <v>4.7760999999999999E-5</v>
      </c>
      <c r="AF29" s="137">
        <f>Summary_LCIA!W$32</f>
        <v>7.6970999999999998E-2</v>
      </c>
      <c r="AG29" s="137">
        <f>Summary_LCIA!X$32</f>
        <v>2.2780000000000002E-2</v>
      </c>
      <c r="AH29" s="137">
        <f>Summary_LCIA!Y$32</f>
        <v>1.5582E-2</v>
      </c>
      <c r="AI29" s="137">
        <f>Summary_LCIA!Z$32</f>
        <v>4.1009E-5</v>
      </c>
      <c r="AJ29" s="137">
        <f>Summary_LCIA!AA$32</f>
        <v>2.3355999999999998E-2</v>
      </c>
      <c r="AK29" s="137">
        <f>Summary_LCIA!AB$32</f>
        <v>-2.1823000000000001E-5</v>
      </c>
      <c r="AL29" s="137">
        <f>Summary_LCIA!AC$32</f>
        <v>4.8884000000000003E-8</v>
      </c>
      <c r="AM29" s="137">
        <f>Summary_LCIA!AD$32</f>
        <v>4.1103999999999999E-4</v>
      </c>
      <c r="AN29" s="137">
        <f>Summary_LCIA!AE$32</f>
        <v>8.8612999999999995E-4</v>
      </c>
      <c r="AO29" s="137">
        <f>Summary_LCIA!AF$32</f>
        <v>8.4542000000000005E-4</v>
      </c>
      <c r="AP29" s="137">
        <f>Summary_LCIA!AG$32</f>
        <v>5.1165000000000002E-5</v>
      </c>
      <c r="AQ29" s="137">
        <f>Summary_LCIA!AH$32</f>
        <v>8.7036000000000006E-3</v>
      </c>
      <c r="AR29" s="137">
        <f>Summary_LCIA!AI$32</f>
        <v>9.3154999999999996E-4</v>
      </c>
      <c r="AT29" s="137">
        <f t="shared" si="2"/>
        <v>72.345118999999997</v>
      </c>
      <c r="AU29" s="137">
        <f t="shared" si="14"/>
        <v>1055.1679174378648</v>
      </c>
      <c r="AV29" s="137">
        <f t="shared" si="15"/>
        <v>1.121072568</v>
      </c>
      <c r="AW29" s="137">
        <f t="shared" si="16"/>
        <v>71.404078900000002</v>
      </c>
      <c r="AX29" s="137">
        <f t="shared" si="17"/>
        <v>23.398259499999998</v>
      </c>
      <c r="AY29" s="137">
        <f t="shared" si="18"/>
        <v>3.8139801699999998</v>
      </c>
      <c r="AZ29" s="137">
        <f t="shared" si="19"/>
        <v>1.0168555705E-2</v>
      </c>
      <c r="BA29" s="137">
        <f t="shared" si="20"/>
        <v>16.387510755000001</v>
      </c>
      <c r="BB29" s="137">
        <f t="shared" si="21"/>
        <v>4.8499759000000005</v>
      </c>
      <c r="BC29" s="137">
        <f t="shared" si="3"/>
        <v>3.3174857100000001</v>
      </c>
      <c r="BD29" s="137">
        <f t="shared" si="4"/>
        <v>8.7310211450000001E-3</v>
      </c>
      <c r="BE29" s="137">
        <f t="shared" si="5"/>
        <v>4.9726091800000001</v>
      </c>
      <c r="BF29" s="137">
        <f t="shared" si="6"/>
        <v>-4.6462258150000001E-3</v>
      </c>
      <c r="BG29" s="137">
        <f t="shared" si="7"/>
        <v>1.0407648020000001E-5</v>
      </c>
      <c r="BH29" s="137">
        <f t="shared" si="8"/>
        <v>8.7512471199999997E-2</v>
      </c>
      <c r="BI29" s="137">
        <f t="shared" si="9"/>
        <v>0.18866150764999998</v>
      </c>
      <c r="BJ29" s="137">
        <f t="shared" si="10"/>
        <v>0.1799941451</v>
      </c>
      <c r="BK29" s="137">
        <f t="shared" si="11"/>
        <v>1.0893284325E-2</v>
      </c>
      <c r="BL29" s="137">
        <f t="shared" si="12"/>
        <v>1.8530399580000001</v>
      </c>
      <c r="BM29" s="137">
        <f t="shared" si="13"/>
        <v>0.19833165275</v>
      </c>
    </row>
    <row r="30" spans="1:65" x14ac:dyDescent="0.25">
      <c r="A30" s="149">
        <v>241</v>
      </c>
      <c r="B30" s="149">
        <v>6</v>
      </c>
      <c r="C30" s="61">
        <v>43.739162</v>
      </c>
      <c r="D30" s="61">
        <v>-87.781754000000006</v>
      </c>
      <c r="E30" s="61" t="s">
        <v>265</v>
      </c>
      <c r="F30" s="149">
        <v>114</v>
      </c>
      <c r="G30" s="61" t="s">
        <v>639</v>
      </c>
      <c r="H30" s="61" t="s">
        <v>640</v>
      </c>
      <c r="I30" s="61">
        <v>42.947552999999999</v>
      </c>
      <c r="J30" s="61">
        <v>-87.896646000000004</v>
      </c>
      <c r="K30" s="61">
        <v>136.40500399999999</v>
      </c>
      <c r="L30" s="61">
        <v>98.278000000000006</v>
      </c>
      <c r="M30" s="61" t="s">
        <v>617</v>
      </c>
      <c r="N30" s="149">
        <v>5</v>
      </c>
      <c r="O30" s="149">
        <v>6</v>
      </c>
      <c r="P30" s="61" t="s">
        <v>565</v>
      </c>
      <c r="Q30" s="61" t="s">
        <v>564</v>
      </c>
      <c r="R30" s="61">
        <v>41.98028</v>
      </c>
      <c r="S30" s="61">
        <v>-87.908997900000003</v>
      </c>
      <c r="T30" s="61">
        <v>212.905</v>
      </c>
      <c r="U30" s="61" t="s">
        <v>617</v>
      </c>
      <c r="V30" s="61" t="s">
        <v>617</v>
      </c>
      <c r="W30" s="61"/>
      <c r="X30" s="61"/>
      <c r="Y30" s="137">
        <f>Summary_LCIA!H$32</f>
        <v>0.33979999999999999</v>
      </c>
      <c r="Z30" s="137">
        <f>Summary_LCIA!Q$32</f>
        <v>4.9560504329999997</v>
      </c>
      <c r="AA30" s="137">
        <f>Summary_LCIA!R$32</f>
        <v>5.2655999999999996E-3</v>
      </c>
      <c r="AB30" s="137">
        <f>Summary_LCIA!S$32</f>
        <v>0.33538000000000001</v>
      </c>
      <c r="AC30" s="137">
        <f>Summary_LCIA!T$32</f>
        <v>0.1099</v>
      </c>
      <c r="AD30" s="137">
        <f>Summary_LCIA!U$32</f>
        <v>1.7913999999999999E-2</v>
      </c>
      <c r="AE30" s="137">
        <f>Summary_LCIA!V$32</f>
        <v>4.7760999999999999E-5</v>
      </c>
      <c r="AF30" s="137">
        <f>Summary_LCIA!W$32</f>
        <v>7.6970999999999998E-2</v>
      </c>
      <c r="AG30" s="137">
        <f>Summary_LCIA!X$32</f>
        <v>2.2780000000000002E-2</v>
      </c>
      <c r="AH30" s="137">
        <f>Summary_LCIA!Y$32</f>
        <v>1.5582E-2</v>
      </c>
      <c r="AI30" s="137">
        <f>Summary_LCIA!Z$32</f>
        <v>4.1009E-5</v>
      </c>
      <c r="AJ30" s="137">
        <f>Summary_LCIA!AA$32</f>
        <v>2.3355999999999998E-2</v>
      </c>
      <c r="AK30" s="137">
        <f>Summary_LCIA!AB$32</f>
        <v>-2.1823000000000001E-5</v>
      </c>
      <c r="AL30" s="137">
        <f>Summary_LCIA!AC$32</f>
        <v>4.8884000000000003E-8</v>
      </c>
      <c r="AM30" s="137">
        <f>Summary_LCIA!AD$32</f>
        <v>4.1103999999999999E-4</v>
      </c>
      <c r="AN30" s="137">
        <f>Summary_LCIA!AE$32</f>
        <v>8.8612999999999995E-4</v>
      </c>
      <c r="AO30" s="137">
        <f>Summary_LCIA!AF$32</f>
        <v>8.4542000000000005E-4</v>
      </c>
      <c r="AP30" s="137">
        <f>Summary_LCIA!AG$32</f>
        <v>5.1165000000000002E-5</v>
      </c>
      <c r="AQ30" s="137">
        <f>Summary_LCIA!AH$32</f>
        <v>8.7036000000000006E-3</v>
      </c>
      <c r="AR30" s="137">
        <f>Summary_LCIA!AI$32</f>
        <v>9.3154999999999996E-4</v>
      </c>
      <c r="AT30" s="137">
        <f t="shared" si="2"/>
        <v>72.345118999999997</v>
      </c>
      <c r="AU30" s="137">
        <f t="shared" si="14"/>
        <v>1055.1679174378648</v>
      </c>
      <c r="AV30" s="137">
        <f t="shared" si="15"/>
        <v>1.121072568</v>
      </c>
      <c r="AW30" s="137">
        <f t="shared" si="16"/>
        <v>71.404078900000002</v>
      </c>
      <c r="AX30" s="137">
        <f t="shared" si="17"/>
        <v>23.398259499999998</v>
      </c>
      <c r="AY30" s="137">
        <f t="shared" si="18"/>
        <v>3.8139801699999998</v>
      </c>
      <c r="AZ30" s="137">
        <f t="shared" si="19"/>
        <v>1.0168555705E-2</v>
      </c>
      <c r="BA30" s="137">
        <f t="shared" si="20"/>
        <v>16.387510755000001</v>
      </c>
      <c r="BB30" s="137">
        <f t="shared" si="21"/>
        <v>4.8499759000000005</v>
      </c>
      <c r="BC30" s="137">
        <f t="shared" si="3"/>
        <v>3.3174857100000001</v>
      </c>
      <c r="BD30" s="137">
        <f t="shared" si="4"/>
        <v>8.7310211450000001E-3</v>
      </c>
      <c r="BE30" s="137">
        <f t="shared" si="5"/>
        <v>4.9726091800000001</v>
      </c>
      <c r="BF30" s="137">
        <f t="shared" si="6"/>
        <v>-4.6462258150000001E-3</v>
      </c>
      <c r="BG30" s="137">
        <f t="shared" si="7"/>
        <v>1.0407648020000001E-5</v>
      </c>
      <c r="BH30" s="137">
        <f t="shared" si="8"/>
        <v>8.7512471199999997E-2</v>
      </c>
      <c r="BI30" s="137">
        <f t="shared" si="9"/>
        <v>0.18866150764999998</v>
      </c>
      <c r="BJ30" s="137">
        <f t="shared" si="10"/>
        <v>0.1799941451</v>
      </c>
      <c r="BK30" s="137">
        <f t="shared" si="11"/>
        <v>1.0893284325E-2</v>
      </c>
      <c r="BL30" s="137">
        <f t="shared" si="12"/>
        <v>1.8530399580000001</v>
      </c>
      <c r="BM30" s="137">
        <f t="shared" si="13"/>
        <v>0.19833165275</v>
      </c>
    </row>
    <row r="31" spans="1:65" x14ac:dyDescent="0.25">
      <c r="A31" s="149">
        <v>242</v>
      </c>
      <c r="B31" s="149">
        <v>6</v>
      </c>
      <c r="C31" s="61">
        <v>43.739162</v>
      </c>
      <c r="D31" s="61">
        <v>-87.781754000000006</v>
      </c>
      <c r="E31" s="61" t="s">
        <v>265</v>
      </c>
      <c r="F31" s="149">
        <v>114</v>
      </c>
      <c r="G31" s="61" t="s">
        <v>639</v>
      </c>
      <c r="H31" s="61" t="s">
        <v>640</v>
      </c>
      <c r="I31" s="61">
        <v>42.947552999999999</v>
      </c>
      <c r="J31" s="61">
        <v>-87.896646000000004</v>
      </c>
      <c r="K31" s="61">
        <v>136.40500399999999</v>
      </c>
      <c r="L31" s="61">
        <v>98.278000000000006</v>
      </c>
      <c r="M31" s="61" t="s">
        <v>617</v>
      </c>
      <c r="N31" s="149">
        <v>5</v>
      </c>
      <c r="O31" s="149">
        <v>6</v>
      </c>
      <c r="P31" s="61" t="s">
        <v>565</v>
      </c>
      <c r="Q31" s="61" t="s">
        <v>564</v>
      </c>
      <c r="R31" s="61">
        <v>41.98028</v>
      </c>
      <c r="S31" s="61">
        <v>-87.908997900000003</v>
      </c>
      <c r="T31" s="61">
        <v>212.905</v>
      </c>
      <c r="U31" s="61" t="s">
        <v>617</v>
      </c>
      <c r="V31" s="61" t="s">
        <v>617</v>
      </c>
      <c r="W31" s="61"/>
      <c r="X31" s="61"/>
      <c r="Y31" s="137">
        <f>Summary_LCIA!H$32</f>
        <v>0.33979999999999999</v>
      </c>
      <c r="Z31" s="137">
        <f>Summary_LCIA!Q$32</f>
        <v>4.9560504329999997</v>
      </c>
      <c r="AA31" s="137">
        <f>Summary_LCIA!R$32</f>
        <v>5.2655999999999996E-3</v>
      </c>
      <c r="AB31" s="137">
        <f>Summary_LCIA!S$32</f>
        <v>0.33538000000000001</v>
      </c>
      <c r="AC31" s="137">
        <f>Summary_LCIA!T$32</f>
        <v>0.1099</v>
      </c>
      <c r="AD31" s="137">
        <f>Summary_LCIA!U$32</f>
        <v>1.7913999999999999E-2</v>
      </c>
      <c r="AE31" s="137">
        <f>Summary_LCIA!V$32</f>
        <v>4.7760999999999999E-5</v>
      </c>
      <c r="AF31" s="137">
        <f>Summary_LCIA!W$32</f>
        <v>7.6970999999999998E-2</v>
      </c>
      <c r="AG31" s="137">
        <f>Summary_LCIA!X$32</f>
        <v>2.2780000000000002E-2</v>
      </c>
      <c r="AH31" s="137">
        <f>Summary_LCIA!Y$32</f>
        <v>1.5582E-2</v>
      </c>
      <c r="AI31" s="137">
        <f>Summary_LCIA!Z$32</f>
        <v>4.1009E-5</v>
      </c>
      <c r="AJ31" s="137">
        <f>Summary_LCIA!AA$32</f>
        <v>2.3355999999999998E-2</v>
      </c>
      <c r="AK31" s="137">
        <f>Summary_LCIA!AB$32</f>
        <v>-2.1823000000000001E-5</v>
      </c>
      <c r="AL31" s="137">
        <f>Summary_LCIA!AC$32</f>
        <v>4.8884000000000003E-8</v>
      </c>
      <c r="AM31" s="137">
        <f>Summary_LCIA!AD$32</f>
        <v>4.1103999999999999E-4</v>
      </c>
      <c r="AN31" s="137">
        <f>Summary_LCIA!AE$32</f>
        <v>8.8612999999999995E-4</v>
      </c>
      <c r="AO31" s="137">
        <f>Summary_LCIA!AF$32</f>
        <v>8.4542000000000005E-4</v>
      </c>
      <c r="AP31" s="137">
        <f>Summary_LCIA!AG$32</f>
        <v>5.1165000000000002E-5</v>
      </c>
      <c r="AQ31" s="137">
        <f>Summary_LCIA!AH$32</f>
        <v>8.7036000000000006E-3</v>
      </c>
      <c r="AR31" s="137">
        <f>Summary_LCIA!AI$32</f>
        <v>9.3154999999999996E-4</v>
      </c>
      <c r="AT31" s="137">
        <f t="shared" si="2"/>
        <v>72.345118999999997</v>
      </c>
      <c r="AU31" s="137">
        <f t="shared" si="14"/>
        <v>1055.1679174378648</v>
      </c>
      <c r="AV31" s="137">
        <f t="shared" si="15"/>
        <v>1.121072568</v>
      </c>
      <c r="AW31" s="137">
        <f t="shared" si="16"/>
        <v>71.404078900000002</v>
      </c>
      <c r="AX31" s="137">
        <f t="shared" si="17"/>
        <v>23.398259499999998</v>
      </c>
      <c r="AY31" s="137">
        <f t="shared" si="18"/>
        <v>3.8139801699999998</v>
      </c>
      <c r="AZ31" s="137">
        <f t="shared" si="19"/>
        <v>1.0168555705E-2</v>
      </c>
      <c r="BA31" s="137">
        <f t="shared" si="20"/>
        <v>16.387510755000001</v>
      </c>
      <c r="BB31" s="137">
        <f t="shared" si="21"/>
        <v>4.8499759000000005</v>
      </c>
      <c r="BC31" s="137">
        <f t="shared" si="3"/>
        <v>3.3174857100000001</v>
      </c>
      <c r="BD31" s="137">
        <f t="shared" si="4"/>
        <v>8.7310211450000001E-3</v>
      </c>
      <c r="BE31" s="137">
        <f t="shared" si="5"/>
        <v>4.9726091800000001</v>
      </c>
      <c r="BF31" s="137">
        <f t="shared" si="6"/>
        <v>-4.6462258150000001E-3</v>
      </c>
      <c r="BG31" s="137">
        <f t="shared" si="7"/>
        <v>1.0407648020000001E-5</v>
      </c>
      <c r="BH31" s="137">
        <f t="shared" si="8"/>
        <v>8.7512471199999997E-2</v>
      </c>
      <c r="BI31" s="137">
        <f t="shared" si="9"/>
        <v>0.18866150764999998</v>
      </c>
      <c r="BJ31" s="137">
        <f t="shared" si="10"/>
        <v>0.1799941451</v>
      </c>
      <c r="BK31" s="137">
        <f t="shared" si="11"/>
        <v>1.0893284325E-2</v>
      </c>
      <c r="BL31" s="137">
        <f t="shared" si="12"/>
        <v>1.8530399580000001</v>
      </c>
      <c r="BM31" s="137">
        <f t="shared" si="13"/>
        <v>0.19833165275</v>
      </c>
    </row>
    <row r="32" spans="1:65" x14ac:dyDescent="0.25">
      <c r="A32" s="149">
        <v>243</v>
      </c>
      <c r="B32" s="149">
        <v>6</v>
      </c>
      <c r="C32" s="61">
        <v>43.739162</v>
      </c>
      <c r="D32" s="61">
        <v>-87.781754000000006</v>
      </c>
      <c r="E32" s="61" t="s">
        <v>265</v>
      </c>
      <c r="F32" s="149">
        <v>114</v>
      </c>
      <c r="G32" s="61" t="s">
        <v>639</v>
      </c>
      <c r="H32" s="61" t="s">
        <v>640</v>
      </c>
      <c r="I32" s="61">
        <v>42.947552999999999</v>
      </c>
      <c r="J32" s="61">
        <v>-87.896646000000004</v>
      </c>
      <c r="K32" s="61">
        <v>136.40500399999999</v>
      </c>
      <c r="L32" s="61">
        <v>98.278000000000006</v>
      </c>
      <c r="M32" s="61" t="s">
        <v>617</v>
      </c>
      <c r="N32" s="149">
        <v>5</v>
      </c>
      <c r="O32" s="149">
        <v>6</v>
      </c>
      <c r="P32" s="61" t="s">
        <v>565</v>
      </c>
      <c r="Q32" s="61" t="s">
        <v>564</v>
      </c>
      <c r="R32" s="61">
        <v>41.98028</v>
      </c>
      <c r="S32" s="61">
        <v>-87.908997900000003</v>
      </c>
      <c r="T32" s="61">
        <v>212.905</v>
      </c>
      <c r="U32" s="61" t="s">
        <v>617</v>
      </c>
      <c r="V32" s="61" t="s">
        <v>617</v>
      </c>
      <c r="W32" s="61"/>
      <c r="X32" s="61"/>
      <c r="Y32" s="137">
        <f>Summary_LCIA!H$32</f>
        <v>0.33979999999999999</v>
      </c>
      <c r="Z32" s="137">
        <f>Summary_LCIA!Q$32</f>
        <v>4.9560504329999997</v>
      </c>
      <c r="AA32" s="137">
        <f>Summary_LCIA!R$32</f>
        <v>5.2655999999999996E-3</v>
      </c>
      <c r="AB32" s="137">
        <f>Summary_LCIA!S$32</f>
        <v>0.33538000000000001</v>
      </c>
      <c r="AC32" s="137">
        <f>Summary_LCIA!T$32</f>
        <v>0.1099</v>
      </c>
      <c r="AD32" s="137">
        <f>Summary_LCIA!U$32</f>
        <v>1.7913999999999999E-2</v>
      </c>
      <c r="AE32" s="137">
        <f>Summary_LCIA!V$32</f>
        <v>4.7760999999999999E-5</v>
      </c>
      <c r="AF32" s="137">
        <f>Summary_LCIA!W$32</f>
        <v>7.6970999999999998E-2</v>
      </c>
      <c r="AG32" s="137">
        <f>Summary_LCIA!X$32</f>
        <v>2.2780000000000002E-2</v>
      </c>
      <c r="AH32" s="137">
        <f>Summary_LCIA!Y$32</f>
        <v>1.5582E-2</v>
      </c>
      <c r="AI32" s="137">
        <f>Summary_LCIA!Z$32</f>
        <v>4.1009E-5</v>
      </c>
      <c r="AJ32" s="137">
        <f>Summary_LCIA!AA$32</f>
        <v>2.3355999999999998E-2</v>
      </c>
      <c r="AK32" s="137">
        <f>Summary_LCIA!AB$32</f>
        <v>-2.1823000000000001E-5</v>
      </c>
      <c r="AL32" s="137">
        <f>Summary_LCIA!AC$32</f>
        <v>4.8884000000000003E-8</v>
      </c>
      <c r="AM32" s="137">
        <f>Summary_LCIA!AD$32</f>
        <v>4.1103999999999999E-4</v>
      </c>
      <c r="AN32" s="137">
        <f>Summary_LCIA!AE$32</f>
        <v>8.8612999999999995E-4</v>
      </c>
      <c r="AO32" s="137">
        <f>Summary_LCIA!AF$32</f>
        <v>8.4542000000000005E-4</v>
      </c>
      <c r="AP32" s="137">
        <f>Summary_LCIA!AG$32</f>
        <v>5.1165000000000002E-5</v>
      </c>
      <c r="AQ32" s="137">
        <f>Summary_LCIA!AH$32</f>
        <v>8.7036000000000006E-3</v>
      </c>
      <c r="AR32" s="137">
        <f>Summary_LCIA!AI$32</f>
        <v>9.3154999999999996E-4</v>
      </c>
      <c r="AT32" s="137">
        <f t="shared" si="2"/>
        <v>72.345118999999997</v>
      </c>
      <c r="AU32" s="137">
        <f t="shared" si="14"/>
        <v>1055.1679174378648</v>
      </c>
      <c r="AV32" s="137">
        <f t="shared" si="15"/>
        <v>1.121072568</v>
      </c>
      <c r="AW32" s="137">
        <f t="shared" si="16"/>
        <v>71.404078900000002</v>
      </c>
      <c r="AX32" s="137">
        <f t="shared" si="17"/>
        <v>23.398259499999998</v>
      </c>
      <c r="AY32" s="137">
        <f t="shared" si="18"/>
        <v>3.8139801699999998</v>
      </c>
      <c r="AZ32" s="137">
        <f t="shared" si="19"/>
        <v>1.0168555705E-2</v>
      </c>
      <c r="BA32" s="137">
        <f t="shared" si="20"/>
        <v>16.387510755000001</v>
      </c>
      <c r="BB32" s="137">
        <f t="shared" si="21"/>
        <v>4.8499759000000005</v>
      </c>
      <c r="BC32" s="137">
        <f t="shared" si="3"/>
        <v>3.3174857100000001</v>
      </c>
      <c r="BD32" s="137">
        <f t="shared" si="4"/>
        <v>8.7310211450000001E-3</v>
      </c>
      <c r="BE32" s="137">
        <f t="shared" si="5"/>
        <v>4.9726091800000001</v>
      </c>
      <c r="BF32" s="137">
        <f t="shared" si="6"/>
        <v>-4.6462258150000001E-3</v>
      </c>
      <c r="BG32" s="137">
        <f t="shared" si="7"/>
        <v>1.0407648020000001E-5</v>
      </c>
      <c r="BH32" s="137">
        <f t="shared" si="8"/>
        <v>8.7512471199999997E-2</v>
      </c>
      <c r="BI32" s="137">
        <f t="shared" si="9"/>
        <v>0.18866150764999998</v>
      </c>
      <c r="BJ32" s="137">
        <f t="shared" si="10"/>
        <v>0.1799941451</v>
      </c>
      <c r="BK32" s="137">
        <f t="shared" si="11"/>
        <v>1.0893284325E-2</v>
      </c>
      <c r="BL32" s="137">
        <f t="shared" si="12"/>
        <v>1.8530399580000001</v>
      </c>
      <c r="BM32" s="137">
        <f t="shared" si="13"/>
        <v>0.19833165275</v>
      </c>
    </row>
    <row r="33" spans="1:65" x14ac:dyDescent="0.25">
      <c r="A33" s="149">
        <v>253</v>
      </c>
      <c r="B33" s="149">
        <v>6</v>
      </c>
      <c r="C33" s="61">
        <v>43.073051999999997</v>
      </c>
      <c r="D33" s="61">
        <v>-89.401229999999998</v>
      </c>
      <c r="E33" s="61" t="s">
        <v>265</v>
      </c>
      <c r="F33" s="149">
        <v>114</v>
      </c>
      <c r="G33" s="61" t="s">
        <v>639</v>
      </c>
      <c r="H33" s="61" t="s">
        <v>640</v>
      </c>
      <c r="I33" s="61">
        <v>42.947552999999999</v>
      </c>
      <c r="J33" s="61">
        <v>-87.896646000000004</v>
      </c>
      <c r="K33" s="61">
        <v>124.3178211</v>
      </c>
      <c r="L33" s="61">
        <v>138.58099999999999</v>
      </c>
      <c r="M33" s="61" t="s">
        <v>617</v>
      </c>
      <c r="N33" s="149">
        <v>5</v>
      </c>
      <c r="O33" s="149">
        <v>6</v>
      </c>
      <c r="P33" s="61" t="s">
        <v>565</v>
      </c>
      <c r="Q33" s="61" t="s">
        <v>564</v>
      </c>
      <c r="R33" s="61">
        <v>41.98028</v>
      </c>
      <c r="S33" s="61">
        <v>-87.908997900000003</v>
      </c>
      <c r="T33" s="61">
        <v>215.59800000000001</v>
      </c>
      <c r="U33" s="61" t="s">
        <v>617</v>
      </c>
      <c r="V33" s="61" t="s">
        <v>617</v>
      </c>
      <c r="W33" s="61"/>
      <c r="X33" s="61"/>
      <c r="Y33" s="137">
        <f>Summary_LCIA!H$32</f>
        <v>0.33979999999999999</v>
      </c>
      <c r="Z33" s="137">
        <f>Summary_LCIA!Q$32</f>
        <v>4.9560504329999997</v>
      </c>
      <c r="AA33" s="137">
        <f>Summary_LCIA!R$32</f>
        <v>5.2655999999999996E-3</v>
      </c>
      <c r="AB33" s="137">
        <f>Summary_LCIA!S$32</f>
        <v>0.33538000000000001</v>
      </c>
      <c r="AC33" s="137">
        <f>Summary_LCIA!T$32</f>
        <v>0.1099</v>
      </c>
      <c r="AD33" s="137">
        <f>Summary_LCIA!U$32</f>
        <v>1.7913999999999999E-2</v>
      </c>
      <c r="AE33" s="137">
        <f>Summary_LCIA!V$32</f>
        <v>4.7760999999999999E-5</v>
      </c>
      <c r="AF33" s="137">
        <f>Summary_LCIA!W$32</f>
        <v>7.6970999999999998E-2</v>
      </c>
      <c r="AG33" s="137">
        <f>Summary_LCIA!X$32</f>
        <v>2.2780000000000002E-2</v>
      </c>
      <c r="AH33" s="137">
        <f>Summary_LCIA!Y$32</f>
        <v>1.5582E-2</v>
      </c>
      <c r="AI33" s="137">
        <f>Summary_LCIA!Z$32</f>
        <v>4.1009E-5</v>
      </c>
      <c r="AJ33" s="137">
        <f>Summary_LCIA!AA$32</f>
        <v>2.3355999999999998E-2</v>
      </c>
      <c r="AK33" s="137">
        <f>Summary_LCIA!AB$32</f>
        <v>-2.1823000000000001E-5</v>
      </c>
      <c r="AL33" s="137">
        <f>Summary_LCIA!AC$32</f>
        <v>4.8884000000000003E-8</v>
      </c>
      <c r="AM33" s="137">
        <f>Summary_LCIA!AD$32</f>
        <v>4.1103999999999999E-4</v>
      </c>
      <c r="AN33" s="137">
        <f>Summary_LCIA!AE$32</f>
        <v>8.8612999999999995E-4</v>
      </c>
      <c r="AO33" s="137">
        <f>Summary_LCIA!AF$32</f>
        <v>8.4542000000000005E-4</v>
      </c>
      <c r="AP33" s="137">
        <f>Summary_LCIA!AG$32</f>
        <v>5.1165000000000002E-5</v>
      </c>
      <c r="AQ33" s="137">
        <f>Summary_LCIA!AH$32</f>
        <v>8.7036000000000006E-3</v>
      </c>
      <c r="AR33" s="137">
        <f>Summary_LCIA!AI$32</f>
        <v>9.3154999999999996E-4</v>
      </c>
      <c r="AT33" s="137">
        <f t="shared" si="2"/>
        <v>73.260200400000002</v>
      </c>
      <c r="AU33" s="137">
        <f t="shared" si="14"/>
        <v>1068.5145612539341</v>
      </c>
      <c r="AV33" s="137">
        <f t="shared" si="15"/>
        <v>1.1352528287999999</v>
      </c>
      <c r="AW33" s="137">
        <f t="shared" si="16"/>
        <v>72.307257240000013</v>
      </c>
      <c r="AX33" s="137">
        <f t="shared" si="17"/>
        <v>23.6942202</v>
      </c>
      <c r="AY33" s="137">
        <f t="shared" si="18"/>
        <v>3.8622225720000003</v>
      </c>
      <c r="AZ33" s="137">
        <f t="shared" si="19"/>
        <v>1.0297176078E-2</v>
      </c>
      <c r="BA33" s="137">
        <f t="shared" si="20"/>
        <v>16.594793658</v>
      </c>
      <c r="BB33" s="137">
        <f t="shared" si="21"/>
        <v>4.9113224400000011</v>
      </c>
      <c r="BC33" s="137">
        <f t="shared" si="3"/>
        <v>3.3594480360000003</v>
      </c>
      <c r="BD33" s="137">
        <f t="shared" si="4"/>
        <v>8.841458382000001E-3</v>
      </c>
      <c r="BE33" s="137">
        <f t="shared" si="5"/>
        <v>5.0355068879999996</v>
      </c>
      <c r="BF33" s="137">
        <f t="shared" si="6"/>
        <v>-4.7049951540000003E-3</v>
      </c>
      <c r="BG33" s="137">
        <f t="shared" si="7"/>
        <v>1.0539292632E-5</v>
      </c>
      <c r="BH33" s="137">
        <f t="shared" si="8"/>
        <v>8.8619401920000007E-2</v>
      </c>
      <c r="BI33" s="137">
        <f t="shared" si="9"/>
        <v>0.19104785573999999</v>
      </c>
      <c r="BJ33" s="137">
        <f t="shared" si="10"/>
        <v>0.18227086116000002</v>
      </c>
      <c r="BK33" s="137">
        <f t="shared" si="11"/>
        <v>1.1031071670000002E-2</v>
      </c>
      <c r="BL33" s="137">
        <f t="shared" si="12"/>
        <v>1.8764787528000002</v>
      </c>
      <c r="BM33" s="137">
        <f t="shared" si="13"/>
        <v>0.20084031690000001</v>
      </c>
    </row>
    <row r="34" spans="1:65" x14ac:dyDescent="0.25">
      <c r="A34" s="149">
        <v>254</v>
      </c>
      <c r="B34" s="149">
        <v>6</v>
      </c>
      <c r="C34" s="61">
        <v>43.073051999999997</v>
      </c>
      <c r="D34" s="61">
        <v>-89.401229999999998</v>
      </c>
      <c r="E34" s="61" t="s">
        <v>265</v>
      </c>
      <c r="F34" s="149">
        <v>114</v>
      </c>
      <c r="G34" s="61" t="s">
        <v>639</v>
      </c>
      <c r="H34" s="61" t="s">
        <v>640</v>
      </c>
      <c r="I34" s="61">
        <v>42.947552999999999</v>
      </c>
      <c r="J34" s="61">
        <v>-87.896646000000004</v>
      </c>
      <c r="K34" s="61">
        <v>124.3178211</v>
      </c>
      <c r="L34" s="61">
        <v>138.58099999999999</v>
      </c>
      <c r="M34" s="61" t="s">
        <v>617</v>
      </c>
      <c r="N34" s="149">
        <v>5</v>
      </c>
      <c r="O34" s="149">
        <v>6</v>
      </c>
      <c r="P34" s="61" t="s">
        <v>565</v>
      </c>
      <c r="Q34" s="61" t="s">
        <v>564</v>
      </c>
      <c r="R34" s="61">
        <v>41.98028</v>
      </c>
      <c r="S34" s="61">
        <v>-87.908997900000003</v>
      </c>
      <c r="T34" s="61">
        <v>215.59800000000001</v>
      </c>
      <c r="U34" s="61" t="s">
        <v>617</v>
      </c>
      <c r="V34" s="61" t="s">
        <v>617</v>
      </c>
      <c r="W34" s="61"/>
      <c r="X34" s="61"/>
      <c r="Y34" s="137">
        <f>Summary_LCIA!H$32</f>
        <v>0.33979999999999999</v>
      </c>
      <c r="Z34" s="137">
        <f>Summary_LCIA!Q$32</f>
        <v>4.9560504329999997</v>
      </c>
      <c r="AA34" s="137">
        <f>Summary_LCIA!R$32</f>
        <v>5.2655999999999996E-3</v>
      </c>
      <c r="AB34" s="137">
        <f>Summary_LCIA!S$32</f>
        <v>0.33538000000000001</v>
      </c>
      <c r="AC34" s="137">
        <f>Summary_LCIA!T$32</f>
        <v>0.1099</v>
      </c>
      <c r="AD34" s="137">
        <f>Summary_LCIA!U$32</f>
        <v>1.7913999999999999E-2</v>
      </c>
      <c r="AE34" s="137">
        <f>Summary_LCIA!V$32</f>
        <v>4.7760999999999999E-5</v>
      </c>
      <c r="AF34" s="137">
        <f>Summary_LCIA!W$32</f>
        <v>7.6970999999999998E-2</v>
      </c>
      <c r="AG34" s="137">
        <f>Summary_LCIA!X$32</f>
        <v>2.2780000000000002E-2</v>
      </c>
      <c r="AH34" s="137">
        <f>Summary_LCIA!Y$32</f>
        <v>1.5582E-2</v>
      </c>
      <c r="AI34" s="137">
        <f>Summary_LCIA!Z$32</f>
        <v>4.1009E-5</v>
      </c>
      <c r="AJ34" s="137">
        <f>Summary_LCIA!AA$32</f>
        <v>2.3355999999999998E-2</v>
      </c>
      <c r="AK34" s="137">
        <f>Summary_LCIA!AB$32</f>
        <v>-2.1823000000000001E-5</v>
      </c>
      <c r="AL34" s="137">
        <f>Summary_LCIA!AC$32</f>
        <v>4.8884000000000003E-8</v>
      </c>
      <c r="AM34" s="137">
        <f>Summary_LCIA!AD$32</f>
        <v>4.1103999999999999E-4</v>
      </c>
      <c r="AN34" s="137">
        <f>Summary_LCIA!AE$32</f>
        <v>8.8612999999999995E-4</v>
      </c>
      <c r="AO34" s="137">
        <f>Summary_LCIA!AF$32</f>
        <v>8.4542000000000005E-4</v>
      </c>
      <c r="AP34" s="137">
        <f>Summary_LCIA!AG$32</f>
        <v>5.1165000000000002E-5</v>
      </c>
      <c r="AQ34" s="137">
        <f>Summary_LCIA!AH$32</f>
        <v>8.7036000000000006E-3</v>
      </c>
      <c r="AR34" s="137">
        <f>Summary_LCIA!AI$32</f>
        <v>9.3154999999999996E-4</v>
      </c>
      <c r="AT34" s="137">
        <f t="shared" si="2"/>
        <v>73.260200400000002</v>
      </c>
      <c r="AU34" s="137">
        <f t="shared" si="14"/>
        <v>1068.5145612539341</v>
      </c>
      <c r="AV34" s="137">
        <f t="shared" si="15"/>
        <v>1.1352528287999999</v>
      </c>
      <c r="AW34" s="137">
        <f t="shared" si="16"/>
        <v>72.307257240000013</v>
      </c>
      <c r="AX34" s="137">
        <f t="shared" si="17"/>
        <v>23.6942202</v>
      </c>
      <c r="AY34" s="137">
        <f t="shared" si="18"/>
        <v>3.8622225720000003</v>
      </c>
      <c r="AZ34" s="137">
        <f t="shared" si="19"/>
        <v>1.0297176078E-2</v>
      </c>
      <c r="BA34" s="137">
        <f t="shared" si="20"/>
        <v>16.594793658</v>
      </c>
      <c r="BB34" s="137">
        <f t="shared" si="21"/>
        <v>4.9113224400000011</v>
      </c>
      <c r="BC34" s="137">
        <f t="shared" si="3"/>
        <v>3.3594480360000003</v>
      </c>
      <c r="BD34" s="137">
        <f t="shared" si="4"/>
        <v>8.841458382000001E-3</v>
      </c>
      <c r="BE34" s="137">
        <f t="shared" si="5"/>
        <v>5.0355068879999996</v>
      </c>
      <c r="BF34" s="137">
        <f t="shared" si="6"/>
        <v>-4.7049951540000003E-3</v>
      </c>
      <c r="BG34" s="137">
        <f t="shared" si="7"/>
        <v>1.0539292632E-5</v>
      </c>
      <c r="BH34" s="137">
        <f t="shared" si="8"/>
        <v>8.8619401920000007E-2</v>
      </c>
      <c r="BI34" s="137">
        <f t="shared" si="9"/>
        <v>0.19104785573999999</v>
      </c>
      <c r="BJ34" s="137">
        <f t="shared" si="10"/>
        <v>0.18227086116000002</v>
      </c>
      <c r="BK34" s="137">
        <f t="shared" si="11"/>
        <v>1.1031071670000002E-2</v>
      </c>
      <c r="BL34" s="137">
        <f t="shared" si="12"/>
        <v>1.8764787528000002</v>
      </c>
      <c r="BM34" s="137">
        <f t="shared" si="13"/>
        <v>0.20084031690000001</v>
      </c>
    </row>
    <row r="35" spans="1:65" x14ac:dyDescent="0.25">
      <c r="A35" s="149">
        <v>255</v>
      </c>
      <c r="B35" s="149">
        <v>6</v>
      </c>
      <c r="C35" s="61">
        <v>43.073051999999997</v>
      </c>
      <c r="D35" s="61">
        <v>-89.401229999999998</v>
      </c>
      <c r="E35" s="61" t="s">
        <v>265</v>
      </c>
      <c r="F35" s="149">
        <v>114</v>
      </c>
      <c r="G35" s="61" t="s">
        <v>639</v>
      </c>
      <c r="H35" s="61" t="s">
        <v>640</v>
      </c>
      <c r="I35" s="61">
        <v>42.947552999999999</v>
      </c>
      <c r="J35" s="61">
        <v>-87.896646000000004</v>
      </c>
      <c r="K35" s="61">
        <v>124.3178211</v>
      </c>
      <c r="L35" s="61">
        <v>138.58099999999999</v>
      </c>
      <c r="M35" s="61" t="s">
        <v>617</v>
      </c>
      <c r="N35" s="149">
        <v>5</v>
      </c>
      <c r="O35" s="149">
        <v>6</v>
      </c>
      <c r="P35" s="61" t="s">
        <v>565</v>
      </c>
      <c r="Q35" s="61" t="s">
        <v>564</v>
      </c>
      <c r="R35" s="61">
        <v>41.98028</v>
      </c>
      <c r="S35" s="61">
        <v>-87.908997900000003</v>
      </c>
      <c r="T35" s="61">
        <v>215.59800000000001</v>
      </c>
      <c r="U35" s="61" t="s">
        <v>617</v>
      </c>
      <c r="V35" s="61" t="s">
        <v>617</v>
      </c>
      <c r="W35" s="61"/>
      <c r="X35" s="61"/>
      <c r="Y35" s="137">
        <f>Summary_LCIA!H$32</f>
        <v>0.33979999999999999</v>
      </c>
      <c r="Z35" s="137">
        <f>Summary_LCIA!Q$32</f>
        <v>4.9560504329999997</v>
      </c>
      <c r="AA35" s="137">
        <f>Summary_LCIA!R$32</f>
        <v>5.2655999999999996E-3</v>
      </c>
      <c r="AB35" s="137">
        <f>Summary_LCIA!S$32</f>
        <v>0.33538000000000001</v>
      </c>
      <c r="AC35" s="137">
        <f>Summary_LCIA!T$32</f>
        <v>0.1099</v>
      </c>
      <c r="AD35" s="137">
        <f>Summary_LCIA!U$32</f>
        <v>1.7913999999999999E-2</v>
      </c>
      <c r="AE35" s="137">
        <f>Summary_LCIA!V$32</f>
        <v>4.7760999999999999E-5</v>
      </c>
      <c r="AF35" s="137">
        <f>Summary_LCIA!W$32</f>
        <v>7.6970999999999998E-2</v>
      </c>
      <c r="AG35" s="137">
        <f>Summary_LCIA!X$32</f>
        <v>2.2780000000000002E-2</v>
      </c>
      <c r="AH35" s="137">
        <f>Summary_LCIA!Y$32</f>
        <v>1.5582E-2</v>
      </c>
      <c r="AI35" s="137">
        <f>Summary_LCIA!Z$32</f>
        <v>4.1009E-5</v>
      </c>
      <c r="AJ35" s="137">
        <f>Summary_LCIA!AA$32</f>
        <v>2.3355999999999998E-2</v>
      </c>
      <c r="AK35" s="137">
        <f>Summary_LCIA!AB$32</f>
        <v>-2.1823000000000001E-5</v>
      </c>
      <c r="AL35" s="137">
        <f>Summary_LCIA!AC$32</f>
        <v>4.8884000000000003E-8</v>
      </c>
      <c r="AM35" s="137">
        <f>Summary_LCIA!AD$32</f>
        <v>4.1103999999999999E-4</v>
      </c>
      <c r="AN35" s="137">
        <f>Summary_LCIA!AE$32</f>
        <v>8.8612999999999995E-4</v>
      </c>
      <c r="AO35" s="137">
        <f>Summary_LCIA!AF$32</f>
        <v>8.4542000000000005E-4</v>
      </c>
      <c r="AP35" s="137">
        <f>Summary_LCIA!AG$32</f>
        <v>5.1165000000000002E-5</v>
      </c>
      <c r="AQ35" s="137">
        <f>Summary_LCIA!AH$32</f>
        <v>8.7036000000000006E-3</v>
      </c>
      <c r="AR35" s="137">
        <f>Summary_LCIA!AI$32</f>
        <v>9.3154999999999996E-4</v>
      </c>
      <c r="AT35" s="137">
        <f t="shared" si="2"/>
        <v>73.260200400000002</v>
      </c>
      <c r="AU35" s="137">
        <f t="shared" si="14"/>
        <v>1068.5145612539341</v>
      </c>
      <c r="AV35" s="137">
        <f t="shared" si="15"/>
        <v>1.1352528287999999</v>
      </c>
      <c r="AW35" s="137">
        <f t="shared" si="16"/>
        <v>72.307257240000013</v>
      </c>
      <c r="AX35" s="137">
        <f t="shared" si="17"/>
        <v>23.6942202</v>
      </c>
      <c r="AY35" s="137">
        <f t="shared" si="18"/>
        <v>3.8622225720000003</v>
      </c>
      <c r="AZ35" s="137">
        <f t="shared" si="19"/>
        <v>1.0297176078E-2</v>
      </c>
      <c r="BA35" s="137">
        <f t="shared" si="20"/>
        <v>16.594793658</v>
      </c>
      <c r="BB35" s="137">
        <f t="shared" si="21"/>
        <v>4.9113224400000011</v>
      </c>
      <c r="BC35" s="137">
        <f t="shared" si="3"/>
        <v>3.3594480360000003</v>
      </c>
      <c r="BD35" s="137">
        <f t="shared" si="4"/>
        <v>8.841458382000001E-3</v>
      </c>
      <c r="BE35" s="137">
        <f t="shared" si="5"/>
        <v>5.0355068879999996</v>
      </c>
      <c r="BF35" s="137">
        <f t="shared" si="6"/>
        <v>-4.7049951540000003E-3</v>
      </c>
      <c r="BG35" s="137">
        <f t="shared" si="7"/>
        <v>1.0539292632E-5</v>
      </c>
      <c r="BH35" s="137">
        <f t="shared" si="8"/>
        <v>8.8619401920000007E-2</v>
      </c>
      <c r="BI35" s="137">
        <f t="shared" si="9"/>
        <v>0.19104785573999999</v>
      </c>
      <c r="BJ35" s="137">
        <f t="shared" si="10"/>
        <v>0.18227086116000002</v>
      </c>
      <c r="BK35" s="137">
        <f t="shared" si="11"/>
        <v>1.1031071670000002E-2</v>
      </c>
      <c r="BL35" s="137">
        <f t="shared" si="12"/>
        <v>1.8764787528000002</v>
      </c>
      <c r="BM35" s="137">
        <f t="shared" si="13"/>
        <v>0.20084031690000001</v>
      </c>
    </row>
    <row r="36" spans="1:65" x14ac:dyDescent="0.25">
      <c r="A36" s="149">
        <v>256</v>
      </c>
      <c r="B36" s="149">
        <v>6</v>
      </c>
      <c r="C36" s="61">
        <v>43.073051999999997</v>
      </c>
      <c r="D36" s="61">
        <v>-89.401229999999998</v>
      </c>
      <c r="E36" s="61" t="s">
        <v>265</v>
      </c>
      <c r="F36" s="149">
        <v>114</v>
      </c>
      <c r="G36" s="61" t="s">
        <v>639</v>
      </c>
      <c r="H36" s="61" t="s">
        <v>640</v>
      </c>
      <c r="I36" s="61">
        <v>42.947552999999999</v>
      </c>
      <c r="J36" s="61">
        <v>-87.896646000000004</v>
      </c>
      <c r="K36" s="61">
        <v>124.3178211</v>
      </c>
      <c r="L36" s="61">
        <v>138.58099999999999</v>
      </c>
      <c r="M36" s="61" t="s">
        <v>617</v>
      </c>
      <c r="N36" s="149">
        <v>5</v>
      </c>
      <c r="O36" s="149">
        <v>6</v>
      </c>
      <c r="P36" s="61" t="s">
        <v>565</v>
      </c>
      <c r="Q36" s="61" t="s">
        <v>564</v>
      </c>
      <c r="R36" s="61">
        <v>41.98028</v>
      </c>
      <c r="S36" s="61">
        <v>-87.908997900000003</v>
      </c>
      <c r="T36" s="61">
        <v>215.59800000000001</v>
      </c>
      <c r="U36" s="61" t="s">
        <v>617</v>
      </c>
      <c r="V36" s="61" t="s">
        <v>617</v>
      </c>
      <c r="W36" s="61"/>
      <c r="X36" s="61"/>
      <c r="Y36" s="137">
        <f>Summary_LCIA!H$32</f>
        <v>0.33979999999999999</v>
      </c>
      <c r="Z36" s="137">
        <f>Summary_LCIA!Q$32</f>
        <v>4.9560504329999997</v>
      </c>
      <c r="AA36" s="137">
        <f>Summary_LCIA!R$32</f>
        <v>5.2655999999999996E-3</v>
      </c>
      <c r="AB36" s="137">
        <f>Summary_LCIA!S$32</f>
        <v>0.33538000000000001</v>
      </c>
      <c r="AC36" s="137">
        <f>Summary_LCIA!T$32</f>
        <v>0.1099</v>
      </c>
      <c r="AD36" s="137">
        <f>Summary_LCIA!U$32</f>
        <v>1.7913999999999999E-2</v>
      </c>
      <c r="AE36" s="137">
        <f>Summary_LCIA!V$32</f>
        <v>4.7760999999999999E-5</v>
      </c>
      <c r="AF36" s="137">
        <f>Summary_LCIA!W$32</f>
        <v>7.6970999999999998E-2</v>
      </c>
      <c r="AG36" s="137">
        <f>Summary_LCIA!X$32</f>
        <v>2.2780000000000002E-2</v>
      </c>
      <c r="AH36" s="137">
        <f>Summary_LCIA!Y$32</f>
        <v>1.5582E-2</v>
      </c>
      <c r="AI36" s="137">
        <f>Summary_LCIA!Z$32</f>
        <v>4.1009E-5</v>
      </c>
      <c r="AJ36" s="137">
        <f>Summary_LCIA!AA$32</f>
        <v>2.3355999999999998E-2</v>
      </c>
      <c r="AK36" s="137">
        <f>Summary_LCIA!AB$32</f>
        <v>-2.1823000000000001E-5</v>
      </c>
      <c r="AL36" s="137">
        <f>Summary_LCIA!AC$32</f>
        <v>4.8884000000000003E-8</v>
      </c>
      <c r="AM36" s="137">
        <f>Summary_LCIA!AD$32</f>
        <v>4.1103999999999999E-4</v>
      </c>
      <c r="AN36" s="137">
        <f>Summary_LCIA!AE$32</f>
        <v>8.8612999999999995E-4</v>
      </c>
      <c r="AO36" s="137">
        <f>Summary_LCIA!AF$32</f>
        <v>8.4542000000000005E-4</v>
      </c>
      <c r="AP36" s="137">
        <f>Summary_LCIA!AG$32</f>
        <v>5.1165000000000002E-5</v>
      </c>
      <c r="AQ36" s="137">
        <f>Summary_LCIA!AH$32</f>
        <v>8.7036000000000006E-3</v>
      </c>
      <c r="AR36" s="137">
        <f>Summary_LCIA!AI$32</f>
        <v>9.3154999999999996E-4</v>
      </c>
      <c r="AT36" s="137">
        <f t="shared" si="2"/>
        <v>73.260200400000002</v>
      </c>
      <c r="AU36" s="137">
        <f t="shared" si="14"/>
        <v>1068.5145612539341</v>
      </c>
      <c r="AV36" s="137">
        <f t="shared" si="15"/>
        <v>1.1352528287999999</v>
      </c>
      <c r="AW36" s="137">
        <f t="shared" si="16"/>
        <v>72.307257240000013</v>
      </c>
      <c r="AX36" s="137">
        <f t="shared" si="17"/>
        <v>23.6942202</v>
      </c>
      <c r="AY36" s="137">
        <f t="shared" si="18"/>
        <v>3.8622225720000003</v>
      </c>
      <c r="AZ36" s="137">
        <f t="shared" si="19"/>
        <v>1.0297176078E-2</v>
      </c>
      <c r="BA36" s="137">
        <f t="shared" si="20"/>
        <v>16.594793658</v>
      </c>
      <c r="BB36" s="137">
        <f t="shared" si="21"/>
        <v>4.9113224400000011</v>
      </c>
      <c r="BC36" s="137">
        <f t="shared" si="3"/>
        <v>3.3594480360000003</v>
      </c>
      <c r="BD36" s="137">
        <f t="shared" si="4"/>
        <v>8.841458382000001E-3</v>
      </c>
      <c r="BE36" s="137">
        <f t="shared" si="5"/>
        <v>5.0355068879999996</v>
      </c>
      <c r="BF36" s="137">
        <f t="shared" si="6"/>
        <v>-4.7049951540000003E-3</v>
      </c>
      <c r="BG36" s="137">
        <f t="shared" si="7"/>
        <v>1.0539292632E-5</v>
      </c>
      <c r="BH36" s="137">
        <f t="shared" si="8"/>
        <v>8.8619401920000007E-2</v>
      </c>
      <c r="BI36" s="137">
        <f t="shared" si="9"/>
        <v>0.19104785573999999</v>
      </c>
      <c r="BJ36" s="137">
        <f t="shared" si="10"/>
        <v>0.18227086116000002</v>
      </c>
      <c r="BK36" s="137">
        <f t="shared" si="11"/>
        <v>1.1031071670000002E-2</v>
      </c>
      <c r="BL36" s="137">
        <f t="shared" si="12"/>
        <v>1.8764787528000002</v>
      </c>
      <c r="BM36" s="137">
        <f t="shared" si="13"/>
        <v>0.20084031690000001</v>
      </c>
    </row>
    <row r="37" spans="1:65" x14ac:dyDescent="0.25">
      <c r="A37" s="149">
        <v>257</v>
      </c>
      <c r="B37" s="149">
        <v>6</v>
      </c>
      <c r="C37" s="61">
        <v>43.073051999999997</v>
      </c>
      <c r="D37" s="61">
        <v>-89.401229999999998</v>
      </c>
      <c r="E37" s="61" t="s">
        <v>265</v>
      </c>
      <c r="F37" s="149">
        <v>114</v>
      </c>
      <c r="G37" s="61" t="s">
        <v>639</v>
      </c>
      <c r="H37" s="61" t="s">
        <v>640</v>
      </c>
      <c r="I37" s="61">
        <v>42.947552999999999</v>
      </c>
      <c r="J37" s="61">
        <v>-87.896646000000004</v>
      </c>
      <c r="K37" s="61">
        <v>124.3178211</v>
      </c>
      <c r="L37" s="61">
        <v>138.58099999999999</v>
      </c>
      <c r="M37" s="61" t="s">
        <v>617</v>
      </c>
      <c r="N37" s="149">
        <v>5</v>
      </c>
      <c r="O37" s="149">
        <v>6</v>
      </c>
      <c r="P37" s="61" t="s">
        <v>565</v>
      </c>
      <c r="Q37" s="61" t="s">
        <v>564</v>
      </c>
      <c r="R37" s="61">
        <v>41.98028</v>
      </c>
      <c r="S37" s="61">
        <v>-87.908997900000003</v>
      </c>
      <c r="T37" s="61">
        <v>215.59800000000001</v>
      </c>
      <c r="U37" s="61" t="s">
        <v>617</v>
      </c>
      <c r="V37" s="61" t="s">
        <v>617</v>
      </c>
      <c r="W37" s="61"/>
      <c r="X37" s="61"/>
      <c r="Y37" s="137">
        <f>Summary_LCIA!H$32</f>
        <v>0.33979999999999999</v>
      </c>
      <c r="Z37" s="137">
        <f>Summary_LCIA!Q$32</f>
        <v>4.9560504329999997</v>
      </c>
      <c r="AA37" s="137">
        <f>Summary_LCIA!R$32</f>
        <v>5.2655999999999996E-3</v>
      </c>
      <c r="AB37" s="137">
        <f>Summary_LCIA!S$32</f>
        <v>0.33538000000000001</v>
      </c>
      <c r="AC37" s="137">
        <f>Summary_LCIA!T$32</f>
        <v>0.1099</v>
      </c>
      <c r="AD37" s="137">
        <f>Summary_LCIA!U$32</f>
        <v>1.7913999999999999E-2</v>
      </c>
      <c r="AE37" s="137">
        <f>Summary_LCIA!V$32</f>
        <v>4.7760999999999999E-5</v>
      </c>
      <c r="AF37" s="137">
        <f>Summary_LCIA!W$32</f>
        <v>7.6970999999999998E-2</v>
      </c>
      <c r="AG37" s="137">
        <f>Summary_LCIA!X$32</f>
        <v>2.2780000000000002E-2</v>
      </c>
      <c r="AH37" s="137">
        <f>Summary_LCIA!Y$32</f>
        <v>1.5582E-2</v>
      </c>
      <c r="AI37" s="137">
        <f>Summary_LCIA!Z$32</f>
        <v>4.1009E-5</v>
      </c>
      <c r="AJ37" s="137">
        <f>Summary_LCIA!AA$32</f>
        <v>2.3355999999999998E-2</v>
      </c>
      <c r="AK37" s="137">
        <f>Summary_LCIA!AB$32</f>
        <v>-2.1823000000000001E-5</v>
      </c>
      <c r="AL37" s="137">
        <f>Summary_LCIA!AC$32</f>
        <v>4.8884000000000003E-8</v>
      </c>
      <c r="AM37" s="137">
        <f>Summary_LCIA!AD$32</f>
        <v>4.1103999999999999E-4</v>
      </c>
      <c r="AN37" s="137">
        <f>Summary_LCIA!AE$32</f>
        <v>8.8612999999999995E-4</v>
      </c>
      <c r="AO37" s="137">
        <f>Summary_LCIA!AF$32</f>
        <v>8.4542000000000005E-4</v>
      </c>
      <c r="AP37" s="137">
        <f>Summary_LCIA!AG$32</f>
        <v>5.1165000000000002E-5</v>
      </c>
      <c r="AQ37" s="137">
        <f>Summary_LCIA!AH$32</f>
        <v>8.7036000000000006E-3</v>
      </c>
      <c r="AR37" s="137">
        <f>Summary_LCIA!AI$32</f>
        <v>9.3154999999999996E-4</v>
      </c>
      <c r="AT37" s="137">
        <f t="shared" si="2"/>
        <v>73.260200400000002</v>
      </c>
      <c r="AU37" s="137">
        <f t="shared" si="14"/>
        <v>1068.5145612539341</v>
      </c>
      <c r="AV37" s="137">
        <f t="shared" si="15"/>
        <v>1.1352528287999999</v>
      </c>
      <c r="AW37" s="137">
        <f t="shared" si="16"/>
        <v>72.307257240000013</v>
      </c>
      <c r="AX37" s="137">
        <f t="shared" si="17"/>
        <v>23.6942202</v>
      </c>
      <c r="AY37" s="137">
        <f t="shared" si="18"/>
        <v>3.8622225720000003</v>
      </c>
      <c r="AZ37" s="137">
        <f t="shared" si="19"/>
        <v>1.0297176078E-2</v>
      </c>
      <c r="BA37" s="137">
        <f t="shared" si="20"/>
        <v>16.594793658</v>
      </c>
      <c r="BB37" s="137">
        <f t="shared" si="21"/>
        <v>4.9113224400000011</v>
      </c>
      <c r="BC37" s="137">
        <f t="shared" si="3"/>
        <v>3.3594480360000003</v>
      </c>
      <c r="BD37" s="137">
        <f t="shared" si="4"/>
        <v>8.841458382000001E-3</v>
      </c>
      <c r="BE37" s="137">
        <f t="shared" si="5"/>
        <v>5.0355068879999996</v>
      </c>
      <c r="BF37" s="137">
        <f t="shared" si="6"/>
        <v>-4.7049951540000003E-3</v>
      </c>
      <c r="BG37" s="137">
        <f t="shared" si="7"/>
        <v>1.0539292632E-5</v>
      </c>
      <c r="BH37" s="137">
        <f t="shared" si="8"/>
        <v>8.8619401920000007E-2</v>
      </c>
      <c r="BI37" s="137">
        <f t="shared" si="9"/>
        <v>0.19104785573999999</v>
      </c>
      <c r="BJ37" s="137">
        <f t="shared" si="10"/>
        <v>0.18227086116000002</v>
      </c>
      <c r="BK37" s="137">
        <f t="shared" si="11"/>
        <v>1.1031071670000002E-2</v>
      </c>
      <c r="BL37" s="137">
        <f t="shared" si="12"/>
        <v>1.8764787528000002</v>
      </c>
      <c r="BM37" s="137">
        <f t="shared" si="13"/>
        <v>0.20084031690000001</v>
      </c>
    </row>
    <row r="38" spans="1:65" x14ac:dyDescent="0.25">
      <c r="A38" s="149">
        <v>258</v>
      </c>
      <c r="B38" s="149">
        <v>6</v>
      </c>
      <c r="C38" s="61">
        <v>43.073051999999997</v>
      </c>
      <c r="D38" s="61">
        <v>-89.401229999999998</v>
      </c>
      <c r="E38" s="61" t="s">
        <v>265</v>
      </c>
      <c r="F38" s="149">
        <v>114</v>
      </c>
      <c r="G38" s="61" t="s">
        <v>639</v>
      </c>
      <c r="H38" s="61" t="s">
        <v>640</v>
      </c>
      <c r="I38" s="61">
        <v>42.947552999999999</v>
      </c>
      <c r="J38" s="61">
        <v>-87.896646000000004</v>
      </c>
      <c r="K38" s="61">
        <v>124.3178211</v>
      </c>
      <c r="L38" s="61">
        <v>138.58099999999999</v>
      </c>
      <c r="M38" s="61" t="s">
        <v>617</v>
      </c>
      <c r="N38" s="149">
        <v>5</v>
      </c>
      <c r="O38" s="149">
        <v>6</v>
      </c>
      <c r="P38" s="61" t="s">
        <v>565</v>
      </c>
      <c r="Q38" s="61" t="s">
        <v>564</v>
      </c>
      <c r="R38" s="61">
        <v>41.98028</v>
      </c>
      <c r="S38" s="61">
        <v>-87.908997900000003</v>
      </c>
      <c r="T38" s="61">
        <v>215.59800000000001</v>
      </c>
      <c r="U38" s="61" t="s">
        <v>617</v>
      </c>
      <c r="V38" s="61" t="s">
        <v>617</v>
      </c>
      <c r="W38" s="61"/>
      <c r="X38" s="61"/>
      <c r="Y38" s="137">
        <f>Summary_LCIA!H$32</f>
        <v>0.33979999999999999</v>
      </c>
      <c r="Z38" s="137">
        <f>Summary_LCIA!Q$32</f>
        <v>4.9560504329999997</v>
      </c>
      <c r="AA38" s="137">
        <f>Summary_LCIA!R$32</f>
        <v>5.2655999999999996E-3</v>
      </c>
      <c r="AB38" s="137">
        <f>Summary_LCIA!S$32</f>
        <v>0.33538000000000001</v>
      </c>
      <c r="AC38" s="137">
        <f>Summary_LCIA!T$32</f>
        <v>0.1099</v>
      </c>
      <c r="AD38" s="137">
        <f>Summary_LCIA!U$32</f>
        <v>1.7913999999999999E-2</v>
      </c>
      <c r="AE38" s="137">
        <f>Summary_LCIA!V$32</f>
        <v>4.7760999999999999E-5</v>
      </c>
      <c r="AF38" s="137">
        <f>Summary_LCIA!W$32</f>
        <v>7.6970999999999998E-2</v>
      </c>
      <c r="AG38" s="137">
        <f>Summary_LCIA!X$32</f>
        <v>2.2780000000000002E-2</v>
      </c>
      <c r="AH38" s="137">
        <f>Summary_LCIA!Y$32</f>
        <v>1.5582E-2</v>
      </c>
      <c r="AI38" s="137">
        <f>Summary_LCIA!Z$32</f>
        <v>4.1009E-5</v>
      </c>
      <c r="AJ38" s="137">
        <f>Summary_LCIA!AA$32</f>
        <v>2.3355999999999998E-2</v>
      </c>
      <c r="AK38" s="137">
        <f>Summary_LCIA!AB$32</f>
        <v>-2.1823000000000001E-5</v>
      </c>
      <c r="AL38" s="137">
        <f>Summary_LCIA!AC$32</f>
        <v>4.8884000000000003E-8</v>
      </c>
      <c r="AM38" s="137">
        <f>Summary_LCIA!AD$32</f>
        <v>4.1103999999999999E-4</v>
      </c>
      <c r="AN38" s="137">
        <f>Summary_LCIA!AE$32</f>
        <v>8.8612999999999995E-4</v>
      </c>
      <c r="AO38" s="137">
        <f>Summary_LCIA!AF$32</f>
        <v>8.4542000000000005E-4</v>
      </c>
      <c r="AP38" s="137">
        <f>Summary_LCIA!AG$32</f>
        <v>5.1165000000000002E-5</v>
      </c>
      <c r="AQ38" s="137">
        <f>Summary_LCIA!AH$32</f>
        <v>8.7036000000000006E-3</v>
      </c>
      <c r="AR38" s="137">
        <f>Summary_LCIA!AI$32</f>
        <v>9.3154999999999996E-4</v>
      </c>
      <c r="AT38" s="137">
        <f t="shared" si="2"/>
        <v>73.260200400000002</v>
      </c>
      <c r="AU38" s="137">
        <f t="shared" si="14"/>
        <v>1068.5145612539341</v>
      </c>
      <c r="AV38" s="137">
        <f t="shared" si="15"/>
        <v>1.1352528287999999</v>
      </c>
      <c r="AW38" s="137">
        <f t="shared" si="16"/>
        <v>72.307257240000013</v>
      </c>
      <c r="AX38" s="137">
        <f t="shared" si="17"/>
        <v>23.6942202</v>
      </c>
      <c r="AY38" s="137">
        <f t="shared" si="18"/>
        <v>3.8622225720000003</v>
      </c>
      <c r="AZ38" s="137">
        <f t="shared" si="19"/>
        <v>1.0297176078E-2</v>
      </c>
      <c r="BA38" s="137">
        <f t="shared" si="20"/>
        <v>16.594793658</v>
      </c>
      <c r="BB38" s="137">
        <f t="shared" si="21"/>
        <v>4.9113224400000011</v>
      </c>
      <c r="BC38" s="137">
        <f t="shared" si="3"/>
        <v>3.3594480360000003</v>
      </c>
      <c r="BD38" s="137">
        <f t="shared" si="4"/>
        <v>8.841458382000001E-3</v>
      </c>
      <c r="BE38" s="137">
        <f t="shared" si="5"/>
        <v>5.0355068879999996</v>
      </c>
      <c r="BF38" s="137">
        <f t="shared" si="6"/>
        <v>-4.7049951540000003E-3</v>
      </c>
      <c r="BG38" s="137">
        <f t="shared" si="7"/>
        <v>1.0539292632E-5</v>
      </c>
      <c r="BH38" s="137">
        <f t="shared" si="8"/>
        <v>8.8619401920000007E-2</v>
      </c>
      <c r="BI38" s="137">
        <f t="shared" si="9"/>
        <v>0.19104785573999999</v>
      </c>
      <c r="BJ38" s="137">
        <f t="shared" si="10"/>
        <v>0.18227086116000002</v>
      </c>
      <c r="BK38" s="137">
        <f t="shared" si="11"/>
        <v>1.1031071670000002E-2</v>
      </c>
      <c r="BL38" s="137">
        <f t="shared" si="12"/>
        <v>1.8764787528000002</v>
      </c>
      <c r="BM38" s="137">
        <f t="shared" si="13"/>
        <v>0.20084031690000001</v>
      </c>
    </row>
    <row r="39" spans="1:65" x14ac:dyDescent="0.25">
      <c r="A39" s="149">
        <v>259</v>
      </c>
      <c r="B39" s="149">
        <v>6</v>
      </c>
      <c r="C39" s="61">
        <v>43.073051999999997</v>
      </c>
      <c r="D39" s="61">
        <v>-89.401229999999998</v>
      </c>
      <c r="E39" s="61" t="s">
        <v>265</v>
      </c>
      <c r="F39" s="149">
        <v>114</v>
      </c>
      <c r="G39" s="61" t="s">
        <v>639</v>
      </c>
      <c r="H39" s="61" t="s">
        <v>640</v>
      </c>
      <c r="I39" s="61">
        <v>42.947552999999999</v>
      </c>
      <c r="J39" s="61">
        <v>-87.896646000000004</v>
      </c>
      <c r="K39" s="61">
        <v>124.3178211</v>
      </c>
      <c r="L39" s="61">
        <v>138.58099999999999</v>
      </c>
      <c r="M39" s="61" t="s">
        <v>617</v>
      </c>
      <c r="N39" s="149">
        <v>5</v>
      </c>
      <c r="O39" s="149">
        <v>6</v>
      </c>
      <c r="P39" s="61" t="s">
        <v>565</v>
      </c>
      <c r="Q39" s="61" t="s">
        <v>564</v>
      </c>
      <c r="R39" s="61">
        <v>41.98028</v>
      </c>
      <c r="S39" s="61">
        <v>-87.908997900000003</v>
      </c>
      <c r="T39" s="61">
        <v>215.59800000000001</v>
      </c>
      <c r="U39" s="61" t="s">
        <v>617</v>
      </c>
      <c r="V39" s="61" t="s">
        <v>617</v>
      </c>
      <c r="W39" s="61"/>
      <c r="X39" s="61"/>
      <c r="Y39" s="137">
        <f>Summary_LCIA!H$32</f>
        <v>0.33979999999999999</v>
      </c>
      <c r="Z39" s="137">
        <f>Summary_LCIA!Q$32</f>
        <v>4.9560504329999997</v>
      </c>
      <c r="AA39" s="137">
        <f>Summary_LCIA!R$32</f>
        <v>5.2655999999999996E-3</v>
      </c>
      <c r="AB39" s="137">
        <f>Summary_LCIA!S$32</f>
        <v>0.33538000000000001</v>
      </c>
      <c r="AC39" s="137">
        <f>Summary_LCIA!T$32</f>
        <v>0.1099</v>
      </c>
      <c r="AD39" s="137">
        <f>Summary_LCIA!U$32</f>
        <v>1.7913999999999999E-2</v>
      </c>
      <c r="AE39" s="137">
        <f>Summary_LCIA!V$32</f>
        <v>4.7760999999999999E-5</v>
      </c>
      <c r="AF39" s="137">
        <f>Summary_LCIA!W$32</f>
        <v>7.6970999999999998E-2</v>
      </c>
      <c r="AG39" s="137">
        <f>Summary_LCIA!X$32</f>
        <v>2.2780000000000002E-2</v>
      </c>
      <c r="AH39" s="137">
        <f>Summary_LCIA!Y$32</f>
        <v>1.5582E-2</v>
      </c>
      <c r="AI39" s="137">
        <f>Summary_LCIA!Z$32</f>
        <v>4.1009E-5</v>
      </c>
      <c r="AJ39" s="137">
        <f>Summary_LCIA!AA$32</f>
        <v>2.3355999999999998E-2</v>
      </c>
      <c r="AK39" s="137">
        <f>Summary_LCIA!AB$32</f>
        <v>-2.1823000000000001E-5</v>
      </c>
      <c r="AL39" s="137">
        <f>Summary_LCIA!AC$32</f>
        <v>4.8884000000000003E-8</v>
      </c>
      <c r="AM39" s="137">
        <f>Summary_LCIA!AD$32</f>
        <v>4.1103999999999999E-4</v>
      </c>
      <c r="AN39" s="137">
        <f>Summary_LCIA!AE$32</f>
        <v>8.8612999999999995E-4</v>
      </c>
      <c r="AO39" s="137">
        <f>Summary_LCIA!AF$32</f>
        <v>8.4542000000000005E-4</v>
      </c>
      <c r="AP39" s="137">
        <f>Summary_LCIA!AG$32</f>
        <v>5.1165000000000002E-5</v>
      </c>
      <c r="AQ39" s="137">
        <f>Summary_LCIA!AH$32</f>
        <v>8.7036000000000006E-3</v>
      </c>
      <c r="AR39" s="137">
        <f>Summary_LCIA!AI$32</f>
        <v>9.3154999999999996E-4</v>
      </c>
      <c r="AT39" s="137">
        <f t="shared" si="2"/>
        <v>73.260200400000002</v>
      </c>
      <c r="AU39" s="137">
        <f t="shared" si="14"/>
        <v>1068.5145612539341</v>
      </c>
      <c r="AV39" s="137">
        <f t="shared" si="15"/>
        <v>1.1352528287999999</v>
      </c>
      <c r="AW39" s="137">
        <f t="shared" si="16"/>
        <v>72.307257240000013</v>
      </c>
      <c r="AX39" s="137">
        <f t="shared" si="17"/>
        <v>23.6942202</v>
      </c>
      <c r="AY39" s="137">
        <f t="shared" si="18"/>
        <v>3.8622225720000003</v>
      </c>
      <c r="AZ39" s="137">
        <f t="shared" si="19"/>
        <v>1.0297176078E-2</v>
      </c>
      <c r="BA39" s="137">
        <f t="shared" si="20"/>
        <v>16.594793658</v>
      </c>
      <c r="BB39" s="137">
        <f t="shared" si="21"/>
        <v>4.9113224400000011</v>
      </c>
      <c r="BC39" s="137">
        <f t="shared" si="3"/>
        <v>3.3594480360000003</v>
      </c>
      <c r="BD39" s="137">
        <f t="shared" si="4"/>
        <v>8.841458382000001E-3</v>
      </c>
      <c r="BE39" s="137">
        <f t="shared" si="5"/>
        <v>5.0355068879999996</v>
      </c>
      <c r="BF39" s="137">
        <f t="shared" si="6"/>
        <v>-4.7049951540000003E-3</v>
      </c>
      <c r="BG39" s="137">
        <f t="shared" si="7"/>
        <v>1.0539292632E-5</v>
      </c>
      <c r="BH39" s="137">
        <f t="shared" si="8"/>
        <v>8.8619401920000007E-2</v>
      </c>
      <c r="BI39" s="137">
        <f t="shared" si="9"/>
        <v>0.19104785573999999</v>
      </c>
      <c r="BJ39" s="137">
        <f t="shared" si="10"/>
        <v>0.18227086116000002</v>
      </c>
      <c r="BK39" s="137">
        <f t="shared" si="11"/>
        <v>1.1031071670000002E-2</v>
      </c>
      <c r="BL39" s="137">
        <f t="shared" si="12"/>
        <v>1.8764787528000002</v>
      </c>
      <c r="BM39" s="137">
        <f t="shared" si="13"/>
        <v>0.20084031690000001</v>
      </c>
    </row>
    <row r="40" spans="1:65" x14ac:dyDescent="0.25">
      <c r="A40" s="149">
        <v>260</v>
      </c>
      <c r="B40" s="149">
        <v>6</v>
      </c>
      <c r="C40" s="61">
        <v>43.073051999999997</v>
      </c>
      <c r="D40" s="61">
        <v>-89.401229999999998</v>
      </c>
      <c r="E40" s="61" t="s">
        <v>265</v>
      </c>
      <c r="F40" s="149">
        <v>114</v>
      </c>
      <c r="G40" s="61" t="s">
        <v>639</v>
      </c>
      <c r="H40" s="61" t="s">
        <v>640</v>
      </c>
      <c r="I40" s="61">
        <v>42.947552999999999</v>
      </c>
      <c r="J40" s="61">
        <v>-87.896646000000004</v>
      </c>
      <c r="K40" s="61">
        <v>124.3178211</v>
      </c>
      <c r="L40" s="61">
        <v>138.58099999999999</v>
      </c>
      <c r="M40" s="61" t="s">
        <v>617</v>
      </c>
      <c r="N40" s="149">
        <v>5</v>
      </c>
      <c r="O40" s="149">
        <v>6</v>
      </c>
      <c r="P40" s="61" t="s">
        <v>565</v>
      </c>
      <c r="Q40" s="61" t="s">
        <v>564</v>
      </c>
      <c r="R40" s="61">
        <v>41.98028</v>
      </c>
      <c r="S40" s="61">
        <v>-87.908997900000003</v>
      </c>
      <c r="T40" s="61">
        <v>215.59800000000001</v>
      </c>
      <c r="U40" s="61" t="s">
        <v>617</v>
      </c>
      <c r="V40" s="61" t="s">
        <v>617</v>
      </c>
      <c r="W40" s="61"/>
      <c r="X40" s="61"/>
      <c r="Y40" s="137">
        <f>Summary_LCIA!H$32</f>
        <v>0.33979999999999999</v>
      </c>
      <c r="Z40" s="137">
        <f>Summary_LCIA!Q$32</f>
        <v>4.9560504329999997</v>
      </c>
      <c r="AA40" s="137">
        <f>Summary_LCIA!R$32</f>
        <v>5.2655999999999996E-3</v>
      </c>
      <c r="AB40" s="137">
        <f>Summary_LCIA!S$32</f>
        <v>0.33538000000000001</v>
      </c>
      <c r="AC40" s="137">
        <f>Summary_LCIA!T$32</f>
        <v>0.1099</v>
      </c>
      <c r="AD40" s="137">
        <f>Summary_LCIA!U$32</f>
        <v>1.7913999999999999E-2</v>
      </c>
      <c r="AE40" s="137">
        <f>Summary_LCIA!V$32</f>
        <v>4.7760999999999999E-5</v>
      </c>
      <c r="AF40" s="137">
        <f>Summary_LCIA!W$32</f>
        <v>7.6970999999999998E-2</v>
      </c>
      <c r="AG40" s="137">
        <f>Summary_LCIA!X$32</f>
        <v>2.2780000000000002E-2</v>
      </c>
      <c r="AH40" s="137">
        <f>Summary_LCIA!Y$32</f>
        <v>1.5582E-2</v>
      </c>
      <c r="AI40" s="137">
        <f>Summary_LCIA!Z$32</f>
        <v>4.1009E-5</v>
      </c>
      <c r="AJ40" s="137">
        <f>Summary_LCIA!AA$32</f>
        <v>2.3355999999999998E-2</v>
      </c>
      <c r="AK40" s="137">
        <f>Summary_LCIA!AB$32</f>
        <v>-2.1823000000000001E-5</v>
      </c>
      <c r="AL40" s="137">
        <f>Summary_LCIA!AC$32</f>
        <v>4.8884000000000003E-8</v>
      </c>
      <c r="AM40" s="137">
        <f>Summary_LCIA!AD$32</f>
        <v>4.1103999999999999E-4</v>
      </c>
      <c r="AN40" s="137">
        <f>Summary_LCIA!AE$32</f>
        <v>8.8612999999999995E-4</v>
      </c>
      <c r="AO40" s="137">
        <f>Summary_LCIA!AF$32</f>
        <v>8.4542000000000005E-4</v>
      </c>
      <c r="AP40" s="137">
        <f>Summary_LCIA!AG$32</f>
        <v>5.1165000000000002E-5</v>
      </c>
      <c r="AQ40" s="137">
        <f>Summary_LCIA!AH$32</f>
        <v>8.7036000000000006E-3</v>
      </c>
      <c r="AR40" s="137">
        <f>Summary_LCIA!AI$32</f>
        <v>9.3154999999999996E-4</v>
      </c>
      <c r="AT40" s="137">
        <f t="shared" si="2"/>
        <v>73.260200400000002</v>
      </c>
      <c r="AU40" s="137">
        <f t="shared" si="14"/>
        <v>1068.5145612539341</v>
      </c>
      <c r="AV40" s="137">
        <f t="shared" si="15"/>
        <v>1.1352528287999999</v>
      </c>
      <c r="AW40" s="137">
        <f t="shared" si="16"/>
        <v>72.307257240000013</v>
      </c>
      <c r="AX40" s="137">
        <f t="shared" si="17"/>
        <v>23.6942202</v>
      </c>
      <c r="AY40" s="137">
        <f t="shared" si="18"/>
        <v>3.8622225720000003</v>
      </c>
      <c r="AZ40" s="137">
        <f t="shared" si="19"/>
        <v>1.0297176078E-2</v>
      </c>
      <c r="BA40" s="137">
        <f t="shared" si="20"/>
        <v>16.594793658</v>
      </c>
      <c r="BB40" s="137">
        <f t="shared" si="21"/>
        <v>4.9113224400000011</v>
      </c>
      <c r="BC40" s="137">
        <f t="shared" si="3"/>
        <v>3.3594480360000003</v>
      </c>
      <c r="BD40" s="137">
        <f t="shared" si="4"/>
        <v>8.841458382000001E-3</v>
      </c>
      <c r="BE40" s="137">
        <f t="shared" si="5"/>
        <v>5.0355068879999996</v>
      </c>
      <c r="BF40" s="137">
        <f t="shared" si="6"/>
        <v>-4.7049951540000003E-3</v>
      </c>
      <c r="BG40" s="137">
        <f t="shared" si="7"/>
        <v>1.0539292632E-5</v>
      </c>
      <c r="BH40" s="137">
        <f t="shared" si="8"/>
        <v>8.8619401920000007E-2</v>
      </c>
      <c r="BI40" s="137">
        <f t="shared" si="9"/>
        <v>0.19104785573999999</v>
      </c>
      <c r="BJ40" s="137">
        <f t="shared" si="10"/>
        <v>0.18227086116000002</v>
      </c>
      <c r="BK40" s="137">
        <f t="shared" si="11"/>
        <v>1.1031071670000002E-2</v>
      </c>
      <c r="BL40" s="137">
        <f t="shared" si="12"/>
        <v>1.8764787528000002</v>
      </c>
      <c r="BM40" s="137">
        <f t="shared" si="13"/>
        <v>0.20084031690000001</v>
      </c>
    </row>
    <row r="41" spans="1:65" x14ac:dyDescent="0.25">
      <c r="A41" s="149">
        <v>261</v>
      </c>
      <c r="B41" s="149">
        <v>6</v>
      </c>
      <c r="C41" s="61">
        <v>43.073051999999997</v>
      </c>
      <c r="D41" s="61">
        <v>-89.401229999999998</v>
      </c>
      <c r="E41" s="61" t="s">
        <v>265</v>
      </c>
      <c r="F41" s="149">
        <v>114</v>
      </c>
      <c r="G41" s="61" t="s">
        <v>639</v>
      </c>
      <c r="H41" s="61" t="s">
        <v>640</v>
      </c>
      <c r="I41" s="61">
        <v>42.947552999999999</v>
      </c>
      <c r="J41" s="61">
        <v>-87.896646000000004</v>
      </c>
      <c r="K41" s="61">
        <v>124.3178211</v>
      </c>
      <c r="L41" s="61">
        <v>138.58099999999999</v>
      </c>
      <c r="M41" s="61" t="s">
        <v>617</v>
      </c>
      <c r="N41" s="149">
        <v>5</v>
      </c>
      <c r="O41" s="149">
        <v>6</v>
      </c>
      <c r="P41" s="61" t="s">
        <v>565</v>
      </c>
      <c r="Q41" s="61" t="s">
        <v>564</v>
      </c>
      <c r="R41" s="61">
        <v>41.98028</v>
      </c>
      <c r="S41" s="61">
        <v>-87.908997900000003</v>
      </c>
      <c r="T41" s="61">
        <v>215.59800000000001</v>
      </c>
      <c r="U41" s="61" t="s">
        <v>617</v>
      </c>
      <c r="V41" s="61" t="s">
        <v>617</v>
      </c>
      <c r="W41" s="61"/>
      <c r="X41" s="61"/>
      <c r="Y41" s="137">
        <f>Summary_LCIA!H$32</f>
        <v>0.33979999999999999</v>
      </c>
      <c r="Z41" s="137">
        <f>Summary_LCIA!Q$32</f>
        <v>4.9560504329999997</v>
      </c>
      <c r="AA41" s="137">
        <f>Summary_LCIA!R$32</f>
        <v>5.2655999999999996E-3</v>
      </c>
      <c r="AB41" s="137">
        <f>Summary_LCIA!S$32</f>
        <v>0.33538000000000001</v>
      </c>
      <c r="AC41" s="137">
        <f>Summary_LCIA!T$32</f>
        <v>0.1099</v>
      </c>
      <c r="AD41" s="137">
        <f>Summary_LCIA!U$32</f>
        <v>1.7913999999999999E-2</v>
      </c>
      <c r="AE41" s="137">
        <f>Summary_LCIA!V$32</f>
        <v>4.7760999999999999E-5</v>
      </c>
      <c r="AF41" s="137">
        <f>Summary_LCIA!W$32</f>
        <v>7.6970999999999998E-2</v>
      </c>
      <c r="AG41" s="137">
        <f>Summary_LCIA!X$32</f>
        <v>2.2780000000000002E-2</v>
      </c>
      <c r="AH41" s="137">
        <f>Summary_LCIA!Y$32</f>
        <v>1.5582E-2</v>
      </c>
      <c r="AI41" s="137">
        <f>Summary_LCIA!Z$32</f>
        <v>4.1009E-5</v>
      </c>
      <c r="AJ41" s="137">
        <f>Summary_LCIA!AA$32</f>
        <v>2.3355999999999998E-2</v>
      </c>
      <c r="AK41" s="137">
        <f>Summary_LCIA!AB$32</f>
        <v>-2.1823000000000001E-5</v>
      </c>
      <c r="AL41" s="137">
        <f>Summary_LCIA!AC$32</f>
        <v>4.8884000000000003E-8</v>
      </c>
      <c r="AM41" s="137">
        <f>Summary_LCIA!AD$32</f>
        <v>4.1103999999999999E-4</v>
      </c>
      <c r="AN41" s="137">
        <f>Summary_LCIA!AE$32</f>
        <v>8.8612999999999995E-4</v>
      </c>
      <c r="AO41" s="137">
        <f>Summary_LCIA!AF$32</f>
        <v>8.4542000000000005E-4</v>
      </c>
      <c r="AP41" s="137">
        <f>Summary_LCIA!AG$32</f>
        <v>5.1165000000000002E-5</v>
      </c>
      <c r="AQ41" s="137">
        <f>Summary_LCIA!AH$32</f>
        <v>8.7036000000000006E-3</v>
      </c>
      <c r="AR41" s="137">
        <f>Summary_LCIA!AI$32</f>
        <v>9.3154999999999996E-4</v>
      </c>
      <c r="AT41" s="137">
        <f t="shared" si="2"/>
        <v>73.260200400000002</v>
      </c>
      <c r="AU41" s="137">
        <f t="shared" si="14"/>
        <v>1068.5145612539341</v>
      </c>
      <c r="AV41" s="137">
        <f t="shared" si="15"/>
        <v>1.1352528287999999</v>
      </c>
      <c r="AW41" s="137">
        <f t="shared" si="16"/>
        <v>72.307257240000013</v>
      </c>
      <c r="AX41" s="137">
        <f t="shared" si="17"/>
        <v>23.6942202</v>
      </c>
      <c r="AY41" s="137">
        <f t="shared" si="18"/>
        <v>3.8622225720000003</v>
      </c>
      <c r="AZ41" s="137">
        <f t="shared" si="19"/>
        <v>1.0297176078E-2</v>
      </c>
      <c r="BA41" s="137">
        <f t="shared" si="20"/>
        <v>16.594793658</v>
      </c>
      <c r="BB41" s="137">
        <f t="shared" si="21"/>
        <v>4.9113224400000011</v>
      </c>
      <c r="BC41" s="137">
        <f t="shared" si="3"/>
        <v>3.3594480360000003</v>
      </c>
      <c r="BD41" s="137">
        <f t="shared" si="4"/>
        <v>8.841458382000001E-3</v>
      </c>
      <c r="BE41" s="137">
        <f t="shared" si="5"/>
        <v>5.0355068879999996</v>
      </c>
      <c r="BF41" s="137">
        <f t="shared" si="6"/>
        <v>-4.7049951540000003E-3</v>
      </c>
      <c r="BG41" s="137">
        <f t="shared" si="7"/>
        <v>1.0539292632E-5</v>
      </c>
      <c r="BH41" s="137">
        <f t="shared" si="8"/>
        <v>8.8619401920000007E-2</v>
      </c>
      <c r="BI41" s="137">
        <f t="shared" si="9"/>
        <v>0.19104785573999999</v>
      </c>
      <c r="BJ41" s="137">
        <f t="shared" si="10"/>
        <v>0.18227086116000002</v>
      </c>
      <c r="BK41" s="137">
        <f t="shared" si="11"/>
        <v>1.1031071670000002E-2</v>
      </c>
      <c r="BL41" s="137">
        <f t="shared" si="12"/>
        <v>1.8764787528000002</v>
      </c>
      <c r="BM41" s="137">
        <f t="shared" si="13"/>
        <v>0.20084031690000001</v>
      </c>
    </row>
    <row r="42" spans="1:65" x14ac:dyDescent="0.25">
      <c r="A42" s="149">
        <v>262</v>
      </c>
      <c r="B42" s="149">
        <v>6</v>
      </c>
      <c r="C42" s="61">
        <v>43.069034000000002</v>
      </c>
      <c r="D42" s="61">
        <v>-89.424563000000006</v>
      </c>
      <c r="E42" s="61" t="s">
        <v>265</v>
      </c>
      <c r="F42" s="149">
        <v>114</v>
      </c>
      <c r="G42" s="61" t="s">
        <v>639</v>
      </c>
      <c r="H42" s="61" t="s">
        <v>640</v>
      </c>
      <c r="I42" s="61">
        <v>42.947552999999999</v>
      </c>
      <c r="J42" s="61">
        <v>-87.896646000000004</v>
      </c>
      <c r="K42" s="61">
        <v>126.0890892</v>
      </c>
      <c r="L42" s="61">
        <v>140.03299999999999</v>
      </c>
      <c r="M42" s="61" t="s">
        <v>617</v>
      </c>
      <c r="N42" s="149">
        <v>5</v>
      </c>
      <c r="O42" s="149">
        <v>6</v>
      </c>
      <c r="P42" s="61" t="s">
        <v>565</v>
      </c>
      <c r="Q42" s="61" t="s">
        <v>564</v>
      </c>
      <c r="R42" s="61">
        <v>41.98028</v>
      </c>
      <c r="S42" s="61">
        <v>-87.908997900000003</v>
      </c>
      <c r="T42" s="61">
        <v>216.43100000000001</v>
      </c>
      <c r="U42" s="61" t="s">
        <v>617</v>
      </c>
      <c r="V42" s="61" t="s">
        <v>617</v>
      </c>
      <c r="W42" s="61"/>
      <c r="X42" s="61"/>
      <c r="Y42" s="137">
        <f>Summary_LCIA!H$32</f>
        <v>0.33979999999999999</v>
      </c>
      <c r="Z42" s="137">
        <f>Summary_LCIA!Q$32</f>
        <v>4.9560504329999997</v>
      </c>
      <c r="AA42" s="137">
        <f>Summary_LCIA!R$32</f>
        <v>5.2655999999999996E-3</v>
      </c>
      <c r="AB42" s="137">
        <f>Summary_LCIA!S$32</f>
        <v>0.33538000000000001</v>
      </c>
      <c r="AC42" s="137">
        <f>Summary_LCIA!T$32</f>
        <v>0.1099</v>
      </c>
      <c r="AD42" s="137">
        <f>Summary_LCIA!U$32</f>
        <v>1.7913999999999999E-2</v>
      </c>
      <c r="AE42" s="137">
        <f>Summary_LCIA!V$32</f>
        <v>4.7760999999999999E-5</v>
      </c>
      <c r="AF42" s="137">
        <f>Summary_LCIA!W$32</f>
        <v>7.6970999999999998E-2</v>
      </c>
      <c r="AG42" s="137">
        <f>Summary_LCIA!X$32</f>
        <v>2.2780000000000002E-2</v>
      </c>
      <c r="AH42" s="137">
        <f>Summary_LCIA!Y$32</f>
        <v>1.5582E-2</v>
      </c>
      <c r="AI42" s="137">
        <f>Summary_LCIA!Z$32</f>
        <v>4.1009E-5</v>
      </c>
      <c r="AJ42" s="137">
        <f>Summary_LCIA!AA$32</f>
        <v>2.3355999999999998E-2</v>
      </c>
      <c r="AK42" s="137">
        <f>Summary_LCIA!AB$32</f>
        <v>-2.1823000000000001E-5</v>
      </c>
      <c r="AL42" s="137">
        <f>Summary_LCIA!AC$32</f>
        <v>4.8884000000000003E-8</v>
      </c>
      <c r="AM42" s="137">
        <f>Summary_LCIA!AD$32</f>
        <v>4.1103999999999999E-4</v>
      </c>
      <c r="AN42" s="137">
        <f>Summary_LCIA!AE$32</f>
        <v>8.8612999999999995E-4</v>
      </c>
      <c r="AO42" s="137">
        <f>Summary_LCIA!AF$32</f>
        <v>8.4542000000000005E-4</v>
      </c>
      <c r="AP42" s="137">
        <f>Summary_LCIA!AG$32</f>
        <v>5.1165000000000002E-5</v>
      </c>
      <c r="AQ42" s="137">
        <f>Summary_LCIA!AH$32</f>
        <v>8.7036000000000006E-3</v>
      </c>
      <c r="AR42" s="137">
        <f>Summary_LCIA!AI$32</f>
        <v>9.3154999999999996E-4</v>
      </c>
      <c r="AT42" s="137">
        <f t="shared" si="2"/>
        <v>73.543253800000002</v>
      </c>
      <c r="AU42" s="137">
        <f t="shared" si="14"/>
        <v>1072.642951264623</v>
      </c>
      <c r="AV42" s="137">
        <f t="shared" si="15"/>
        <v>1.1396390735999999</v>
      </c>
      <c r="AW42" s="137">
        <f t="shared" si="16"/>
        <v>72.586628780000012</v>
      </c>
      <c r="AX42" s="137">
        <f t="shared" si="17"/>
        <v>23.785766900000002</v>
      </c>
      <c r="AY42" s="137">
        <f t="shared" si="18"/>
        <v>3.8771449339999999</v>
      </c>
      <c r="AZ42" s="137">
        <f t="shared" si="19"/>
        <v>1.0336960991E-2</v>
      </c>
      <c r="BA42" s="137">
        <f t="shared" si="20"/>
        <v>16.658910501000001</v>
      </c>
      <c r="BB42" s="137">
        <f t="shared" si="21"/>
        <v>4.9302981800000003</v>
      </c>
      <c r="BC42" s="137">
        <f t="shared" si="3"/>
        <v>3.3724278420000005</v>
      </c>
      <c r="BD42" s="137">
        <f t="shared" si="4"/>
        <v>8.8756188790000013E-3</v>
      </c>
      <c r="BE42" s="137">
        <f t="shared" si="5"/>
        <v>5.0549624360000003</v>
      </c>
      <c r="BF42" s="137">
        <f t="shared" si="6"/>
        <v>-4.7231737130000008E-3</v>
      </c>
      <c r="BG42" s="137">
        <f t="shared" si="7"/>
        <v>1.0580013004000001E-5</v>
      </c>
      <c r="BH42" s="137">
        <f t="shared" si="8"/>
        <v>8.8961798240000001E-2</v>
      </c>
      <c r="BI42" s="137">
        <f t="shared" si="9"/>
        <v>0.19178600202999999</v>
      </c>
      <c r="BJ42" s="137">
        <f t="shared" si="10"/>
        <v>0.18297509602000003</v>
      </c>
      <c r="BK42" s="137">
        <f t="shared" si="11"/>
        <v>1.1073692115E-2</v>
      </c>
      <c r="BL42" s="137">
        <f t="shared" si="12"/>
        <v>1.8837288516000001</v>
      </c>
      <c r="BM42" s="137">
        <f t="shared" si="13"/>
        <v>0.20161629805</v>
      </c>
    </row>
    <row r="43" spans="1:65" x14ac:dyDescent="0.25">
      <c r="A43" s="149">
        <v>263</v>
      </c>
      <c r="B43" s="149">
        <v>6</v>
      </c>
      <c r="C43" s="61">
        <v>43.069034000000002</v>
      </c>
      <c r="D43" s="61">
        <v>-89.424563000000006</v>
      </c>
      <c r="E43" s="61" t="s">
        <v>265</v>
      </c>
      <c r="F43" s="149">
        <v>114</v>
      </c>
      <c r="G43" s="61" t="s">
        <v>639</v>
      </c>
      <c r="H43" s="61" t="s">
        <v>640</v>
      </c>
      <c r="I43" s="61">
        <v>42.947552999999999</v>
      </c>
      <c r="J43" s="61">
        <v>-87.896646000000004</v>
      </c>
      <c r="K43" s="61">
        <v>126.0890892</v>
      </c>
      <c r="L43" s="61">
        <v>140.03299999999999</v>
      </c>
      <c r="M43" s="61" t="s">
        <v>617</v>
      </c>
      <c r="N43" s="149">
        <v>5</v>
      </c>
      <c r="O43" s="149">
        <v>6</v>
      </c>
      <c r="P43" s="61" t="s">
        <v>565</v>
      </c>
      <c r="Q43" s="61" t="s">
        <v>564</v>
      </c>
      <c r="R43" s="61">
        <v>41.98028</v>
      </c>
      <c r="S43" s="61">
        <v>-87.908997900000003</v>
      </c>
      <c r="T43" s="61">
        <v>216.43100000000001</v>
      </c>
      <c r="U43" s="61" t="s">
        <v>617</v>
      </c>
      <c r="V43" s="61" t="s">
        <v>617</v>
      </c>
      <c r="W43" s="61"/>
      <c r="X43" s="61"/>
      <c r="Y43" s="137">
        <f>Summary_LCIA!H$32</f>
        <v>0.33979999999999999</v>
      </c>
      <c r="Z43" s="137">
        <f>Summary_LCIA!Q$32</f>
        <v>4.9560504329999997</v>
      </c>
      <c r="AA43" s="137">
        <f>Summary_LCIA!R$32</f>
        <v>5.2655999999999996E-3</v>
      </c>
      <c r="AB43" s="137">
        <f>Summary_LCIA!S$32</f>
        <v>0.33538000000000001</v>
      </c>
      <c r="AC43" s="137">
        <f>Summary_LCIA!T$32</f>
        <v>0.1099</v>
      </c>
      <c r="AD43" s="137">
        <f>Summary_LCIA!U$32</f>
        <v>1.7913999999999999E-2</v>
      </c>
      <c r="AE43" s="137">
        <f>Summary_LCIA!V$32</f>
        <v>4.7760999999999999E-5</v>
      </c>
      <c r="AF43" s="137">
        <f>Summary_LCIA!W$32</f>
        <v>7.6970999999999998E-2</v>
      </c>
      <c r="AG43" s="137">
        <f>Summary_LCIA!X$32</f>
        <v>2.2780000000000002E-2</v>
      </c>
      <c r="AH43" s="137">
        <f>Summary_LCIA!Y$32</f>
        <v>1.5582E-2</v>
      </c>
      <c r="AI43" s="137">
        <f>Summary_LCIA!Z$32</f>
        <v>4.1009E-5</v>
      </c>
      <c r="AJ43" s="137">
        <f>Summary_LCIA!AA$32</f>
        <v>2.3355999999999998E-2</v>
      </c>
      <c r="AK43" s="137">
        <f>Summary_LCIA!AB$32</f>
        <v>-2.1823000000000001E-5</v>
      </c>
      <c r="AL43" s="137">
        <f>Summary_LCIA!AC$32</f>
        <v>4.8884000000000003E-8</v>
      </c>
      <c r="AM43" s="137">
        <f>Summary_LCIA!AD$32</f>
        <v>4.1103999999999999E-4</v>
      </c>
      <c r="AN43" s="137">
        <f>Summary_LCIA!AE$32</f>
        <v>8.8612999999999995E-4</v>
      </c>
      <c r="AO43" s="137">
        <f>Summary_LCIA!AF$32</f>
        <v>8.4542000000000005E-4</v>
      </c>
      <c r="AP43" s="137">
        <f>Summary_LCIA!AG$32</f>
        <v>5.1165000000000002E-5</v>
      </c>
      <c r="AQ43" s="137">
        <f>Summary_LCIA!AH$32</f>
        <v>8.7036000000000006E-3</v>
      </c>
      <c r="AR43" s="137">
        <f>Summary_LCIA!AI$32</f>
        <v>9.3154999999999996E-4</v>
      </c>
      <c r="AT43" s="137">
        <f t="shared" si="2"/>
        <v>73.543253800000002</v>
      </c>
      <c r="AU43" s="137">
        <f t="shared" si="14"/>
        <v>1072.642951264623</v>
      </c>
      <c r="AV43" s="137">
        <f t="shared" si="15"/>
        <v>1.1396390735999999</v>
      </c>
      <c r="AW43" s="137">
        <f t="shared" si="16"/>
        <v>72.586628780000012</v>
      </c>
      <c r="AX43" s="137">
        <f t="shared" si="17"/>
        <v>23.785766900000002</v>
      </c>
      <c r="AY43" s="137">
        <f t="shared" si="18"/>
        <v>3.8771449339999999</v>
      </c>
      <c r="AZ43" s="137">
        <f t="shared" si="19"/>
        <v>1.0336960991E-2</v>
      </c>
      <c r="BA43" s="137">
        <f t="shared" si="20"/>
        <v>16.658910501000001</v>
      </c>
      <c r="BB43" s="137">
        <f t="shared" si="21"/>
        <v>4.9302981800000003</v>
      </c>
      <c r="BC43" s="137">
        <f t="shared" si="3"/>
        <v>3.3724278420000005</v>
      </c>
      <c r="BD43" s="137">
        <f t="shared" si="4"/>
        <v>8.8756188790000013E-3</v>
      </c>
      <c r="BE43" s="137">
        <f t="shared" si="5"/>
        <v>5.0549624360000003</v>
      </c>
      <c r="BF43" s="137">
        <f t="shared" si="6"/>
        <v>-4.7231737130000008E-3</v>
      </c>
      <c r="BG43" s="137">
        <f t="shared" si="7"/>
        <v>1.0580013004000001E-5</v>
      </c>
      <c r="BH43" s="137">
        <f t="shared" si="8"/>
        <v>8.8961798240000001E-2</v>
      </c>
      <c r="BI43" s="137">
        <f t="shared" si="9"/>
        <v>0.19178600202999999</v>
      </c>
      <c r="BJ43" s="137">
        <f t="shared" si="10"/>
        <v>0.18297509602000003</v>
      </c>
      <c r="BK43" s="137">
        <f t="shared" si="11"/>
        <v>1.1073692115E-2</v>
      </c>
      <c r="BL43" s="137">
        <f t="shared" si="12"/>
        <v>1.8837288516000001</v>
      </c>
      <c r="BM43" s="137">
        <f t="shared" si="13"/>
        <v>0.20161629805</v>
      </c>
    </row>
    <row r="44" spans="1:65" x14ac:dyDescent="0.25">
      <c r="A44" s="149">
        <v>264</v>
      </c>
      <c r="B44" s="149">
        <v>6</v>
      </c>
      <c r="C44" s="61">
        <v>43.069034000000002</v>
      </c>
      <c r="D44" s="61">
        <v>-89.424563000000006</v>
      </c>
      <c r="E44" s="61" t="s">
        <v>265</v>
      </c>
      <c r="F44" s="149">
        <v>114</v>
      </c>
      <c r="G44" s="61" t="s">
        <v>639</v>
      </c>
      <c r="H44" s="61" t="s">
        <v>640</v>
      </c>
      <c r="I44" s="61">
        <v>42.947552999999999</v>
      </c>
      <c r="J44" s="61">
        <v>-87.896646000000004</v>
      </c>
      <c r="K44" s="61">
        <v>126.0890892</v>
      </c>
      <c r="L44" s="61">
        <v>140.03299999999999</v>
      </c>
      <c r="M44" s="61" t="s">
        <v>617</v>
      </c>
      <c r="N44" s="149">
        <v>5</v>
      </c>
      <c r="O44" s="149">
        <v>6</v>
      </c>
      <c r="P44" s="61" t="s">
        <v>565</v>
      </c>
      <c r="Q44" s="61" t="s">
        <v>564</v>
      </c>
      <c r="R44" s="61">
        <v>41.98028</v>
      </c>
      <c r="S44" s="61">
        <v>-87.908997900000003</v>
      </c>
      <c r="T44" s="61">
        <v>216.43100000000001</v>
      </c>
      <c r="U44" s="61" t="s">
        <v>617</v>
      </c>
      <c r="V44" s="61" t="s">
        <v>617</v>
      </c>
      <c r="W44" s="61"/>
      <c r="X44" s="61"/>
      <c r="Y44" s="137">
        <f>Summary_LCIA!H$32</f>
        <v>0.33979999999999999</v>
      </c>
      <c r="Z44" s="137">
        <f>Summary_LCIA!Q$32</f>
        <v>4.9560504329999997</v>
      </c>
      <c r="AA44" s="137">
        <f>Summary_LCIA!R$32</f>
        <v>5.2655999999999996E-3</v>
      </c>
      <c r="AB44" s="137">
        <f>Summary_LCIA!S$32</f>
        <v>0.33538000000000001</v>
      </c>
      <c r="AC44" s="137">
        <f>Summary_LCIA!T$32</f>
        <v>0.1099</v>
      </c>
      <c r="AD44" s="137">
        <f>Summary_LCIA!U$32</f>
        <v>1.7913999999999999E-2</v>
      </c>
      <c r="AE44" s="137">
        <f>Summary_LCIA!V$32</f>
        <v>4.7760999999999999E-5</v>
      </c>
      <c r="AF44" s="137">
        <f>Summary_LCIA!W$32</f>
        <v>7.6970999999999998E-2</v>
      </c>
      <c r="AG44" s="137">
        <f>Summary_LCIA!X$32</f>
        <v>2.2780000000000002E-2</v>
      </c>
      <c r="AH44" s="137">
        <f>Summary_LCIA!Y$32</f>
        <v>1.5582E-2</v>
      </c>
      <c r="AI44" s="137">
        <f>Summary_LCIA!Z$32</f>
        <v>4.1009E-5</v>
      </c>
      <c r="AJ44" s="137">
        <f>Summary_LCIA!AA$32</f>
        <v>2.3355999999999998E-2</v>
      </c>
      <c r="AK44" s="137">
        <f>Summary_LCIA!AB$32</f>
        <v>-2.1823000000000001E-5</v>
      </c>
      <c r="AL44" s="137">
        <f>Summary_LCIA!AC$32</f>
        <v>4.8884000000000003E-8</v>
      </c>
      <c r="AM44" s="137">
        <f>Summary_LCIA!AD$32</f>
        <v>4.1103999999999999E-4</v>
      </c>
      <c r="AN44" s="137">
        <f>Summary_LCIA!AE$32</f>
        <v>8.8612999999999995E-4</v>
      </c>
      <c r="AO44" s="137">
        <f>Summary_LCIA!AF$32</f>
        <v>8.4542000000000005E-4</v>
      </c>
      <c r="AP44" s="137">
        <f>Summary_LCIA!AG$32</f>
        <v>5.1165000000000002E-5</v>
      </c>
      <c r="AQ44" s="137">
        <f>Summary_LCIA!AH$32</f>
        <v>8.7036000000000006E-3</v>
      </c>
      <c r="AR44" s="137">
        <f>Summary_LCIA!AI$32</f>
        <v>9.3154999999999996E-4</v>
      </c>
      <c r="AT44" s="137">
        <f t="shared" si="2"/>
        <v>73.543253800000002</v>
      </c>
      <c r="AU44" s="137">
        <f t="shared" si="14"/>
        <v>1072.642951264623</v>
      </c>
      <c r="AV44" s="137">
        <f t="shared" si="15"/>
        <v>1.1396390735999999</v>
      </c>
      <c r="AW44" s="137">
        <f t="shared" si="16"/>
        <v>72.586628780000012</v>
      </c>
      <c r="AX44" s="137">
        <f t="shared" si="17"/>
        <v>23.785766900000002</v>
      </c>
      <c r="AY44" s="137">
        <f t="shared" si="18"/>
        <v>3.8771449339999999</v>
      </c>
      <c r="AZ44" s="137">
        <f t="shared" si="19"/>
        <v>1.0336960991E-2</v>
      </c>
      <c r="BA44" s="137">
        <f t="shared" si="20"/>
        <v>16.658910501000001</v>
      </c>
      <c r="BB44" s="137">
        <f t="shared" si="21"/>
        <v>4.9302981800000003</v>
      </c>
      <c r="BC44" s="137">
        <f t="shared" si="3"/>
        <v>3.3724278420000005</v>
      </c>
      <c r="BD44" s="137">
        <f t="shared" si="4"/>
        <v>8.8756188790000013E-3</v>
      </c>
      <c r="BE44" s="137">
        <f t="shared" si="5"/>
        <v>5.0549624360000003</v>
      </c>
      <c r="BF44" s="137">
        <f t="shared" si="6"/>
        <v>-4.7231737130000008E-3</v>
      </c>
      <c r="BG44" s="137">
        <f t="shared" si="7"/>
        <v>1.0580013004000001E-5</v>
      </c>
      <c r="BH44" s="137">
        <f t="shared" si="8"/>
        <v>8.8961798240000001E-2</v>
      </c>
      <c r="BI44" s="137">
        <f t="shared" si="9"/>
        <v>0.19178600202999999</v>
      </c>
      <c r="BJ44" s="137">
        <f t="shared" si="10"/>
        <v>0.18297509602000003</v>
      </c>
      <c r="BK44" s="137">
        <f t="shared" si="11"/>
        <v>1.1073692115E-2</v>
      </c>
      <c r="BL44" s="137">
        <f t="shared" si="12"/>
        <v>1.8837288516000001</v>
      </c>
      <c r="BM44" s="137">
        <f t="shared" si="13"/>
        <v>0.20161629805</v>
      </c>
    </row>
    <row r="45" spans="1:65" x14ac:dyDescent="0.25">
      <c r="A45" s="149">
        <v>265</v>
      </c>
      <c r="B45" s="149">
        <v>6</v>
      </c>
      <c r="C45" s="61">
        <v>43.069034000000002</v>
      </c>
      <c r="D45" s="61">
        <v>-89.424563000000006</v>
      </c>
      <c r="E45" s="61" t="s">
        <v>265</v>
      </c>
      <c r="F45" s="149">
        <v>114</v>
      </c>
      <c r="G45" s="61" t="s">
        <v>639</v>
      </c>
      <c r="H45" s="61" t="s">
        <v>640</v>
      </c>
      <c r="I45" s="61">
        <v>42.947552999999999</v>
      </c>
      <c r="J45" s="61">
        <v>-87.896646000000004</v>
      </c>
      <c r="K45" s="61">
        <v>126.0890892</v>
      </c>
      <c r="L45" s="61">
        <v>140.03299999999999</v>
      </c>
      <c r="M45" s="61" t="s">
        <v>617</v>
      </c>
      <c r="N45" s="149">
        <v>5</v>
      </c>
      <c r="O45" s="149">
        <v>6</v>
      </c>
      <c r="P45" s="61" t="s">
        <v>565</v>
      </c>
      <c r="Q45" s="61" t="s">
        <v>564</v>
      </c>
      <c r="R45" s="61">
        <v>41.98028</v>
      </c>
      <c r="S45" s="61">
        <v>-87.908997900000003</v>
      </c>
      <c r="T45" s="61">
        <v>216.43100000000001</v>
      </c>
      <c r="U45" s="61" t="s">
        <v>617</v>
      </c>
      <c r="V45" s="61" t="s">
        <v>617</v>
      </c>
      <c r="W45" s="61"/>
      <c r="X45" s="61"/>
      <c r="Y45" s="137">
        <f>Summary_LCIA!H$32</f>
        <v>0.33979999999999999</v>
      </c>
      <c r="Z45" s="137">
        <f>Summary_LCIA!Q$32</f>
        <v>4.9560504329999997</v>
      </c>
      <c r="AA45" s="137">
        <f>Summary_LCIA!R$32</f>
        <v>5.2655999999999996E-3</v>
      </c>
      <c r="AB45" s="137">
        <f>Summary_LCIA!S$32</f>
        <v>0.33538000000000001</v>
      </c>
      <c r="AC45" s="137">
        <f>Summary_LCIA!T$32</f>
        <v>0.1099</v>
      </c>
      <c r="AD45" s="137">
        <f>Summary_LCIA!U$32</f>
        <v>1.7913999999999999E-2</v>
      </c>
      <c r="AE45" s="137">
        <f>Summary_LCIA!V$32</f>
        <v>4.7760999999999999E-5</v>
      </c>
      <c r="AF45" s="137">
        <f>Summary_LCIA!W$32</f>
        <v>7.6970999999999998E-2</v>
      </c>
      <c r="AG45" s="137">
        <f>Summary_LCIA!X$32</f>
        <v>2.2780000000000002E-2</v>
      </c>
      <c r="AH45" s="137">
        <f>Summary_LCIA!Y$32</f>
        <v>1.5582E-2</v>
      </c>
      <c r="AI45" s="137">
        <f>Summary_LCIA!Z$32</f>
        <v>4.1009E-5</v>
      </c>
      <c r="AJ45" s="137">
        <f>Summary_LCIA!AA$32</f>
        <v>2.3355999999999998E-2</v>
      </c>
      <c r="AK45" s="137">
        <f>Summary_LCIA!AB$32</f>
        <v>-2.1823000000000001E-5</v>
      </c>
      <c r="AL45" s="137">
        <f>Summary_LCIA!AC$32</f>
        <v>4.8884000000000003E-8</v>
      </c>
      <c r="AM45" s="137">
        <f>Summary_LCIA!AD$32</f>
        <v>4.1103999999999999E-4</v>
      </c>
      <c r="AN45" s="137">
        <f>Summary_LCIA!AE$32</f>
        <v>8.8612999999999995E-4</v>
      </c>
      <c r="AO45" s="137">
        <f>Summary_LCIA!AF$32</f>
        <v>8.4542000000000005E-4</v>
      </c>
      <c r="AP45" s="137">
        <f>Summary_LCIA!AG$32</f>
        <v>5.1165000000000002E-5</v>
      </c>
      <c r="AQ45" s="137">
        <f>Summary_LCIA!AH$32</f>
        <v>8.7036000000000006E-3</v>
      </c>
      <c r="AR45" s="137">
        <f>Summary_LCIA!AI$32</f>
        <v>9.3154999999999996E-4</v>
      </c>
      <c r="AT45" s="137">
        <f t="shared" si="2"/>
        <v>73.543253800000002</v>
      </c>
      <c r="AU45" s="137">
        <f t="shared" si="14"/>
        <v>1072.642951264623</v>
      </c>
      <c r="AV45" s="137">
        <f t="shared" si="15"/>
        <v>1.1396390735999999</v>
      </c>
      <c r="AW45" s="137">
        <f t="shared" si="16"/>
        <v>72.586628780000012</v>
      </c>
      <c r="AX45" s="137">
        <f t="shared" si="17"/>
        <v>23.785766900000002</v>
      </c>
      <c r="AY45" s="137">
        <f t="shared" si="18"/>
        <v>3.8771449339999999</v>
      </c>
      <c r="AZ45" s="137">
        <f t="shared" si="19"/>
        <v>1.0336960991E-2</v>
      </c>
      <c r="BA45" s="137">
        <f t="shared" si="20"/>
        <v>16.658910501000001</v>
      </c>
      <c r="BB45" s="137">
        <f t="shared" si="21"/>
        <v>4.9302981800000003</v>
      </c>
      <c r="BC45" s="137">
        <f t="shared" si="3"/>
        <v>3.3724278420000005</v>
      </c>
      <c r="BD45" s="137">
        <f t="shared" si="4"/>
        <v>8.8756188790000013E-3</v>
      </c>
      <c r="BE45" s="137">
        <f t="shared" si="5"/>
        <v>5.0549624360000003</v>
      </c>
      <c r="BF45" s="137">
        <f t="shared" si="6"/>
        <v>-4.7231737130000008E-3</v>
      </c>
      <c r="BG45" s="137">
        <f t="shared" si="7"/>
        <v>1.0580013004000001E-5</v>
      </c>
      <c r="BH45" s="137">
        <f t="shared" si="8"/>
        <v>8.8961798240000001E-2</v>
      </c>
      <c r="BI45" s="137">
        <f t="shared" si="9"/>
        <v>0.19178600202999999</v>
      </c>
      <c r="BJ45" s="137">
        <f t="shared" si="10"/>
        <v>0.18297509602000003</v>
      </c>
      <c r="BK45" s="137">
        <f t="shared" si="11"/>
        <v>1.1073692115E-2</v>
      </c>
      <c r="BL45" s="137">
        <f t="shared" si="12"/>
        <v>1.8837288516000001</v>
      </c>
      <c r="BM45" s="137">
        <f t="shared" si="13"/>
        <v>0.20161629805</v>
      </c>
    </row>
    <row r="46" spans="1:65" x14ac:dyDescent="0.25">
      <c r="A46" s="149">
        <v>266</v>
      </c>
      <c r="B46" s="149">
        <v>6</v>
      </c>
      <c r="C46" s="61">
        <v>43.069034000000002</v>
      </c>
      <c r="D46" s="61">
        <v>-89.424563000000006</v>
      </c>
      <c r="E46" s="61" t="s">
        <v>265</v>
      </c>
      <c r="F46" s="149">
        <v>114</v>
      </c>
      <c r="G46" s="61" t="s">
        <v>639</v>
      </c>
      <c r="H46" s="61" t="s">
        <v>640</v>
      </c>
      <c r="I46" s="61">
        <v>42.947552999999999</v>
      </c>
      <c r="J46" s="61">
        <v>-87.896646000000004</v>
      </c>
      <c r="K46" s="61">
        <v>126.0890892</v>
      </c>
      <c r="L46" s="61">
        <v>140.03299999999999</v>
      </c>
      <c r="M46" s="61" t="s">
        <v>617</v>
      </c>
      <c r="N46" s="149">
        <v>5</v>
      </c>
      <c r="O46" s="149">
        <v>6</v>
      </c>
      <c r="P46" s="61" t="s">
        <v>565</v>
      </c>
      <c r="Q46" s="61" t="s">
        <v>564</v>
      </c>
      <c r="R46" s="61">
        <v>41.98028</v>
      </c>
      <c r="S46" s="61">
        <v>-87.908997900000003</v>
      </c>
      <c r="T46" s="61">
        <v>216.43100000000001</v>
      </c>
      <c r="U46" s="61" t="s">
        <v>617</v>
      </c>
      <c r="V46" s="61" t="s">
        <v>617</v>
      </c>
      <c r="W46" s="61"/>
      <c r="X46" s="61"/>
      <c r="Y46" s="137">
        <f>Summary_LCIA!H$32</f>
        <v>0.33979999999999999</v>
      </c>
      <c r="Z46" s="137">
        <f>Summary_LCIA!Q$32</f>
        <v>4.9560504329999997</v>
      </c>
      <c r="AA46" s="137">
        <f>Summary_LCIA!R$32</f>
        <v>5.2655999999999996E-3</v>
      </c>
      <c r="AB46" s="137">
        <f>Summary_LCIA!S$32</f>
        <v>0.33538000000000001</v>
      </c>
      <c r="AC46" s="137">
        <f>Summary_LCIA!T$32</f>
        <v>0.1099</v>
      </c>
      <c r="AD46" s="137">
        <f>Summary_LCIA!U$32</f>
        <v>1.7913999999999999E-2</v>
      </c>
      <c r="AE46" s="137">
        <f>Summary_LCIA!V$32</f>
        <v>4.7760999999999999E-5</v>
      </c>
      <c r="AF46" s="137">
        <f>Summary_LCIA!W$32</f>
        <v>7.6970999999999998E-2</v>
      </c>
      <c r="AG46" s="137">
        <f>Summary_LCIA!X$32</f>
        <v>2.2780000000000002E-2</v>
      </c>
      <c r="AH46" s="137">
        <f>Summary_LCIA!Y$32</f>
        <v>1.5582E-2</v>
      </c>
      <c r="AI46" s="137">
        <f>Summary_LCIA!Z$32</f>
        <v>4.1009E-5</v>
      </c>
      <c r="AJ46" s="137">
        <f>Summary_LCIA!AA$32</f>
        <v>2.3355999999999998E-2</v>
      </c>
      <c r="AK46" s="137">
        <f>Summary_LCIA!AB$32</f>
        <v>-2.1823000000000001E-5</v>
      </c>
      <c r="AL46" s="137">
        <f>Summary_LCIA!AC$32</f>
        <v>4.8884000000000003E-8</v>
      </c>
      <c r="AM46" s="137">
        <f>Summary_LCIA!AD$32</f>
        <v>4.1103999999999999E-4</v>
      </c>
      <c r="AN46" s="137">
        <f>Summary_LCIA!AE$32</f>
        <v>8.8612999999999995E-4</v>
      </c>
      <c r="AO46" s="137">
        <f>Summary_LCIA!AF$32</f>
        <v>8.4542000000000005E-4</v>
      </c>
      <c r="AP46" s="137">
        <f>Summary_LCIA!AG$32</f>
        <v>5.1165000000000002E-5</v>
      </c>
      <c r="AQ46" s="137">
        <f>Summary_LCIA!AH$32</f>
        <v>8.7036000000000006E-3</v>
      </c>
      <c r="AR46" s="137">
        <f>Summary_LCIA!AI$32</f>
        <v>9.3154999999999996E-4</v>
      </c>
      <c r="AT46" s="137">
        <f t="shared" si="2"/>
        <v>73.543253800000002</v>
      </c>
      <c r="AU46" s="137">
        <f t="shared" si="14"/>
        <v>1072.642951264623</v>
      </c>
      <c r="AV46" s="137">
        <f t="shared" si="15"/>
        <v>1.1396390735999999</v>
      </c>
      <c r="AW46" s="137">
        <f t="shared" si="16"/>
        <v>72.586628780000012</v>
      </c>
      <c r="AX46" s="137">
        <f t="shared" si="17"/>
        <v>23.785766900000002</v>
      </c>
      <c r="AY46" s="137">
        <f t="shared" si="18"/>
        <v>3.8771449339999999</v>
      </c>
      <c r="AZ46" s="137">
        <f t="shared" si="19"/>
        <v>1.0336960991E-2</v>
      </c>
      <c r="BA46" s="137">
        <f t="shared" si="20"/>
        <v>16.658910501000001</v>
      </c>
      <c r="BB46" s="137">
        <f t="shared" si="21"/>
        <v>4.9302981800000003</v>
      </c>
      <c r="BC46" s="137">
        <f t="shared" si="3"/>
        <v>3.3724278420000005</v>
      </c>
      <c r="BD46" s="137">
        <f t="shared" si="4"/>
        <v>8.8756188790000013E-3</v>
      </c>
      <c r="BE46" s="137">
        <f t="shared" si="5"/>
        <v>5.0549624360000003</v>
      </c>
      <c r="BF46" s="137">
        <f t="shared" si="6"/>
        <v>-4.7231737130000008E-3</v>
      </c>
      <c r="BG46" s="137">
        <f t="shared" si="7"/>
        <v>1.0580013004000001E-5</v>
      </c>
      <c r="BH46" s="137">
        <f t="shared" si="8"/>
        <v>8.8961798240000001E-2</v>
      </c>
      <c r="BI46" s="137">
        <f t="shared" si="9"/>
        <v>0.19178600202999999</v>
      </c>
      <c r="BJ46" s="137">
        <f t="shared" si="10"/>
        <v>0.18297509602000003</v>
      </c>
      <c r="BK46" s="137">
        <f t="shared" si="11"/>
        <v>1.1073692115E-2</v>
      </c>
      <c r="BL46" s="137">
        <f t="shared" si="12"/>
        <v>1.8837288516000001</v>
      </c>
      <c r="BM46" s="137">
        <f t="shared" si="13"/>
        <v>0.20161629805</v>
      </c>
    </row>
    <row r="47" spans="1:65" x14ac:dyDescent="0.25">
      <c r="A47" s="149">
        <v>104</v>
      </c>
      <c r="B47" s="149">
        <v>6</v>
      </c>
      <c r="C47" s="61">
        <v>40.428246000000001</v>
      </c>
      <c r="D47" s="61">
        <v>-86.914390999999995</v>
      </c>
      <c r="E47" s="61" t="s">
        <v>265</v>
      </c>
      <c r="F47" s="149">
        <v>107</v>
      </c>
      <c r="G47" s="61" t="s">
        <v>671</v>
      </c>
      <c r="H47" s="61" t="s">
        <v>672</v>
      </c>
      <c r="I47" s="61">
        <v>39.716858999999999</v>
      </c>
      <c r="J47" s="61">
        <v>-86.295595000000006</v>
      </c>
      <c r="K47" s="61">
        <v>130.25631390000001</v>
      </c>
      <c r="L47" s="61">
        <v>113.89400000000001</v>
      </c>
      <c r="M47" s="61" t="s">
        <v>617</v>
      </c>
      <c r="N47" s="149">
        <v>5</v>
      </c>
      <c r="O47" s="149">
        <v>6</v>
      </c>
      <c r="P47" s="61" t="s">
        <v>565</v>
      </c>
      <c r="Q47" s="61" t="s">
        <v>564</v>
      </c>
      <c r="R47" s="61">
        <v>41.98028</v>
      </c>
      <c r="S47" s="61">
        <v>-87.908997900000003</v>
      </c>
      <c r="T47" s="61">
        <v>224.767</v>
      </c>
      <c r="U47" s="61" t="s">
        <v>617</v>
      </c>
      <c r="V47" s="61" t="s">
        <v>617</v>
      </c>
      <c r="W47" s="61"/>
      <c r="X47" s="61"/>
      <c r="Y47" s="137">
        <f>Summary_LCIA!H$32</f>
        <v>0.33979999999999999</v>
      </c>
      <c r="Z47" s="137">
        <f>Summary_LCIA!Q$32</f>
        <v>4.9560504329999997</v>
      </c>
      <c r="AA47" s="137">
        <f>Summary_LCIA!R$32</f>
        <v>5.2655999999999996E-3</v>
      </c>
      <c r="AB47" s="137">
        <f>Summary_LCIA!S$32</f>
        <v>0.33538000000000001</v>
      </c>
      <c r="AC47" s="137">
        <f>Summary_LCIA!T$32</f>
        <v>0.1099</v>
      </c>
      <c r="AD47" s="137">
        <f>Summary_LCIA!U$32</f>
        <v>1.7913999999999999E-2</v>
      </c>
      <c r="AE47" s="137">
        <f>Summary_LCIA!V$32</f>
        <v>4.7760999999999999E-5</v>
      </c>
      <c r="AF47" s="137">
        <f>Summary_LCIA!W$32</f>
        <v>7.6970999999999998E-2</v>
      </c>
      <c r="AG47" s="137">
        <f>Summary_LCIA!X$32</f>
        <v>2.2780000000000002E-2</v>
      </c>
      <c r="AH47" s="137">
        <f>Summary_LCIA!Y$32</f>
        <v>1.5582E-2</v>
      </c>
      <c r="AI47" s="137">
        <f>Summary_LCIA!Z$32</f>
        <v>4.1009E-5</v>
      </c>
      <c r="AJ47" s="137">
        <f>Summary_LCIA!AA$32</f>
        <v>2.3355999999999998E-2</v>
      </c>
      <c r="AK47" s="137">
        <f>Summary_LCIA!AB$32</f>
        <v>-2.1823000000000001E-5</v>
      </c>
      <c r="AL47" s="137">
        <f>Summary_LCIA!AC$32</f>
        <v>4.8884000000000003E-8</v>
      </c>
      <c r="AM47" s="137">
        <f>Summary_LCIA!AD$32</f>
        <v>4.1103999999999999E-4</v>
      </c>
      <c r="AN47" s="137">
        <f>Summary_LCIA!AE$32</f>
        <v>8.8612999999999995E-4</v>
      </c>
      <c r="AO47" s="137">
        <f>Summary_LCIA!AF$32</f>
        <v>8.4542000000000005E-4</v>
      </c>
      <c r="AP47" s="137">
        <f>Summary_LCIA!AG$32</f>
        <v>5.1165000000000002E-5</v>
      </c>
      <c r="AQ47" s="137">
        <f>Summary_LCIA!AH$32</f>
        <v>8.7036000000000006E-3</v>
      </c>
      <c r="AR47" s="137">
        <f>Summary_LCIA!AI$32</f>
        <v>9.3154999999999996E-4</v>
      </c>
      <c r="AT47" s="137">
        <f t="shared" si="2"/>
        <v>76.375826599999996</v>
      </c>
      <c r="AU47" s="137">
        <f t="shared" si="14"/>
        <v>1113.956587674111</v>
      </c>
      <c r="AV47" s="137">
        <f t="shared" si="15"/>
        <v>1.1835331151999999</v>
      </c>
      <c r="AW47" s="137">
        <f t="shared" si="16"/>
        <v>75.382356459999997</v>
      </c>
      <c r="AX47" s="137">
        <f t="shared" si="17"/>
        <v>24.701893299999998</v>
      </c>
      <c r="AY47" s="137">
        <f t="shared" si="18"/>
        <v>4.0264760380000002</v>
      </c>
      <c r="AZ47" s="137">
        <f t="shared" si="19"/>
        <v>1.0735096687E-2</v>
      </c>
      <c r="BA47" s="137">
        <f t="shared" si="20"/>
        <v>17.300540757</v>
      </c>
      <c r="BB47" s="137">
        <f t="shared" si="21"/>
        <v>5.1201922600000005</v>
      </c>
      <c r="BC47" s="137">
        <f t="shared" si="3"/>
        <v>3.5023193940000001</v>
      </c>
      <c r="BD47" s="137">
        <f t="shared" si="4"/>
        <v>9.2174699030000001E-3</v>
      </c>
      <c r="BE47" s="137">
        <f t="shared" si="5"/>
        <v>5.2496580519999991</v>
      </c>
      <c r="BF47" s="137">
        <f t="shared" si="6"/>
        <v>-4.9050902410000003E-3</v>
      </c>
      <c r="BG47" s="137">
        <f t="shared" si="7"/>
        <v>1.0987510028000001E-5</v>
      </c>
      <c r="BH47" s="137">
        <f t="shared" si="8"/>
        <v>9.2388227680000004E-2</v>
      </c>
      <c r="BI47" s="137">
        <f t="shared" si="9"/>
        <v>0.19917278171</v>
      </c>
      <c r="BJ47" s="137">
        <f t="shared" si="10"/>
        <v>0.19002251714000001</v>
      </c>
      <c r="BK47" s="137">
        <f t="shared" si="11"/>
        <v>1.1500203555E-2</v>
      </c>
      <c r="BL47" s="137">
        <f t="shared" si="12"/>
        <v>1.9562820612</v>
      </c>
      <c r="BM47" s="137">
        <f t="shared" si="13"/>
        <v>0.20938169884999999</v>
      </c>
    </row>
    <row r="48" spans="1:65" x14ac:dyDescent="0.25">
      <c r="A48" s="149">
        <v>0</v>
      </c>
      <c r="B48" s="149">
        <v>6</v>
      </c>
      <c r="C48" s="61">
        <v>42.724305000000001</v>
      </c>
      <c r="D48" s="61">
        <v>-84.479605000000006</v>
      </c>
      <c r="E48" s="61" t="s">
        <v>265</v>
      </c>
      <c r="F48" s="149">
        <v>78</v>
      </c>
      <c r="G48" s="61" t="s">
        <v>615</v>
      </c>
      <c r="H48" s="61" t="s">
        <v>616</v>
      </c>
      <c r="I48" s="61">
        <v>42.216248999999998</v>
      </c>
      <c r="J48" s="61">
        <v>-83.355363999999994</v>
      </c>
      <c r="K48" s="61">
        <v>121.7981765</v>
      </c>
      <c r="L48" s="61">
        <v>141.471</v>
      </c>
      <c r="M48" s="61" t="s">
        <v>617</v>
      </c>
      <c r="N48" s="149">
        <v>5</v>
      </c>
      <c r="O48" s="149">
        <v>6</v>
      </c>
      <c r="P48" s="61" t="s">
        <v>565</v>
      </c>
      <c r="Q48" s="61" t="s">
        <v>564</v>
      </c>
      <c r="R48" s="61">
        <v>41.98028</v>
      </c>
      <c r="S48" s="61">
        <v>-87.908997900000003</v>
      </c>
      <c r="T48" s="61">
        <v>383.76100000000002</v>
      </c>
      <c r="U48" s="61" t="s">
        <v>617</v>
      </c>
      <c r="V48" s="61" t="s">
        <v>617</v>
      </c>
      <c r="W48" s="61"/>
      <c r="X48" s="61"/>
      <c r="Y48" s="137">
        <f>Summary_LCIA!H$32</f>
        <v>0.33979999999999999</v>
      </c>
      <c r="Z48" s="137">
        <f>Summary_LCIA!Q$32</f>
        <v>4.9560504329999997</v>
      </c>
      <c r="AA48" s="137">
        <f>Summary_LCIA!R$32</f>
        <v>5.2655999999999996E-3</v>
      </c>
      <c r="AB48" s="137">
        <f>Summary_LCIA!S$32</f>
        <v>0.33538000000000001</v>
      </c>
      <c r="AC48" s="137">
        <f>Summary_LCIA!T$32</f>
        <v>0.1099</v>
      </c>
      <c r="AD48" s="137">
        <f>Summary_LCIA!U$32</f>
        <v>1.7913999999999999E-2</v>
      </c>
      <c r="AE48" s="137">
        <f>Summary_LCIA!V$32</f>
        <v>4.7760999999999999E-5</v>
      </c>
      <c r="AF48" s="137">
        <f>Summary_LCIA!W$32</f>
        <v>7.6970999999999998E-2</v>
      </c>
      <c r="AG48" s="137">
        <f>Summary_LCIA!X$32</f>
        <v>2.2780000000000002E-2</v>
      </c>
      <c r="AH48" s="137">
        <f>Summary_LCIA!Y$32</f>
        <v>1.5582E-2</v>
      </c>
      <c r="AI48" s="137">
        <f>Summary_LCIA!Z$32</f>
        <v>4.1009E-5</v>
      </c>
      <c r="AJ48" s="137">
        <f>Summary_LCIA!AA$32</f>
        <v>2.3355999999999998E-2</v>
      </c>
      <c r="AK48" s="137">
        <f>Summary_LCIA!AB$32</f>
        <v>-2.1823000000000001E-5</v>
      </c>
      <c r="AL48" s="137">
        <f>Summary_LCIA!AC$32</f>
        <v>4.8884000000000003E-8</v>
      </c>
      <c r="AM48" s="137">
        <f>Summary_LCIA!AD$32</f>
        <v>4.1103999999999999E-4</v>
      </c>
      <c r="AN48" s="137">
        <f>Summary_LCIA!AE$32</f>
        <v>8.8612999999999995E-4</v>
      </c>
      <c r="AO48" s="137">
        <f>Summary_LCIA!AF$32</f>
        <v>8.4542000000000005E-4</v>
      </c>
      <c r="AP48" s="137">
        <f>Summary_LCIA!AG$32</f>
        <v>5.1165000000000002E-5</v>
      </c>
      <c r="AQ48" s="137">
        <f>Summary_LCIA!AH$32</f>
        <v>8.7036000000000006E-3</v>
      </c>
      <c r="AR48" s="137">
        <f>Summary_LCIA!AI$32</f>
        <v>9.3154999999999996E-4</v>
      </c>
      <c r="AT48" s="137">
        <f t="shared" si="2"/>
        <v>130.4019878</v>
      </c>
      <c r="AU48" s="137">
        <f t="shared" si="14"/>
        <v>1901.9388702185131</v>
      </c>
      <c r="AV48" s="137">
        <f t="shared" si="15"/>
        <v>2.0207319215999999</v>
      </c>
      <c r="AW48" s="137">
        <f t="shared" si="16"/>
        <v>128.70576418000002</v>
      </c>
      <c r="AX48" s="137">
        <f t="shared" si="17"/>
        <v>42.175333899999998</v>
      </c>
      <c r="AY48" s="137">
        <f t="shared" si="18"/>
        <v>6.8746945540000004</v>
      </c>
      <c r="AZ48" s="137">
        <f t="shared" si="19"/>
        <v>1.8328809121E-2</v>
      </c>
      <c r="BA48" s="137">
        <f t="shared" si="20"/>
        <v>29.538467931</v>
      </c>
      <c r="BB48" s="137">
        <f t="shared" si="21"/>
        <v>8.7420755800000016</v>
      </c>
      <c r="BC48" s="137">
        <f t="shared" si="3"/>
        <v>5.9797639020000002</v>
      </c>
      <c r="BD48" s="137">
        <f t="shared" si="4"/>
        <v>1.5737654849000002E-2</v>
      </c>
      <c r="BE48" s="137">
        <f t="shared" si="5"/>
        <v>8.9631219160000004</v>
      </c>
      <c r="BF48" s="137">
        <f t="shared" si="6"/>
        <v>-8.3748163030000003E-3</v>
      </c>
      <c r="BG48" s="137">
        <f t="shared" si="7"/>
        <v>1.8759772724000002E-5</v>
      </c>
      <c r="BH48" s="137">
        <f t="shared" si="8"/>
        <v>0.15774112144000002</v>
      </c>
      <c r="BI48" s="137">
        <f t="shared" si="9"/>
        <v>0.34006213492999998</v>
      </c>
      <c r="BJ48" s="137">
        <f t="shared" si="10"/>
        <v>0.32443922462000002</v>
      </c>
      <c r="BK48" s="137">
        <f t="shared" si="11"/>
        <v>1.9635131565000002E-2</v>
      </c>
      <c r="BL48" s="137">
        <f t="shared" si="12"/>
        <v>3.3401022396000006</v>
      </c>
      <c r="BM48" s="137">
        <f t="shared" si="13"/>
        <v>0.35749255955000003</v>
      </c>
    </row>
    <row r="49" spans="1:65" x14ac:dyDescent="0.25">
      <c r="A49" s="149">
        <v>131</v>
      </c>
      <c r="B49" s="149">
        <v>6</v>
      </c>
      <c r="C49" s="61">
        <v>42.280825999999998</v>
      </c>
      <c r="D49" s="61">
        <v>-83.743037999999999</v>
      </c>
      <c r="E49" s="61" t="s">
        <v>265</v>
      </c>
      <c r="F49" s="149">
        <v>78</v>
      </c>
      <c r="G49" s="61" t="s">
        <v>615</v>
      </c>
      <c r="H49" s="61" t="s">
        <v>616</v>
      </c>
      <c r="I49" s="61">
        <v>42.216248999999998</v>
      </c>
      <c r="J49" s="61">
        <v>-83.355363999999994</v>
      </c>
      <c r="K49" s="61">
        <v>33.220362780000002</v>
      </c>
      <c r="L49" s="61">
        <v>42.878</v>
      </c>
      <c r="M49" s="61" t="s">
        <v>617</v>
      </c>
      <c r="N49" s="149">
        <v>5</v>
      </c>
      <c r="O49" s="149">
        <v>6</v>
      </c>
      <c r="P49" s="61" t="s">
        <v>565</v>
      </c>
      <c r="Q49" s="61" t="s">
        <v>564</v>
      </c>
      <c r="R49" s="61">
        <v>41.98028</v>
      </c>
      <c r="S49" s="61">
        <v>-87.908997900000003</v>
      </c>
      <c r="T49" s="61">
        <v>414.488</v>
      </c>
      <c r="U49" s="61" t="s">
        <v>617</v>
      </c>
      <c r="V49" s="61" t="s">
        <v>617</v>
      </c>
      <c r="W49" s="61"/>
      <c r="X49" s="61"/>
      <c r="Y49" s="137">
        <f>Summary_LCIA!H$32</f>
        <v>0.33979999999999999</v>
      </c>
      <c r="Z49" s="137">
        <f>Summary_LCIA!Q$32</f>
        <v>4.9560504329999997</v>
      </c>
      <c r="AA49" s="137">
        <f>Summary_LCIA!R$32</f>
        <v>5.2655999999999996E-3</v>
      </c>
      <c r="AB49" s="137">
        <f>Summary_LCIA!S$32</f>
        <v>0.33538000000000001</v>
      </c>
      <c r="AC49" s="137">
        <f>Summary_LCIA!T$32</f>
        <v>0.1099</v>
      </c>
      <c r="AD49" s="137">
        <f>Summary_LCIA!U$32</f>
        <v>1.7913999999999999E-2</v>
      </c>
      <c r="AE49" s="137">
        <f>Summary_LCIA!V$32</f>
        <v>4.7760999999999999E-5</v>
      </c>
      <c r="AF49" s="137">
        <f>Summary_LCIA!W$32</f>
        <v>7.6970999999999998E-2</v>
      </c>
      <c r="AG49" s="137">
        <f>Summary_LCIA!X$32</f>
        <v>2.2780000000000002E-2</v>
      </c>
      <c r="AH49" s="137">
        <f>Summary_LCIA!Y$32</f>
        <v>1.5582E-2</v>
      </c>
      <c r="AI49" s="137">
        <f>Summary_LCIA!Z$32</f>
        <v>4.1009E-5</v>
      </c>
      <c r="AJ49" s="137">
        <f>Summary_LCIA!AA$32</f>
        <v>2.3355999999999998E-2</v>
      </c>
      <c r="AK49" s="137">
        <f>Summary_LCIA!AB$32</f>
        <v>-2.1823000000000001E-5</v>
      </c>
      <c r="AL49" s="137">
        <f>Summary_LCIA!AC$32</f>
        <v>4.8884000000000003E-8</v>
      </c>
      <c r="AM49" s="137">
        <f>Summary_LCIA!AD$32</f>
        <v>4.1103999999999999E-4</v>
      </c>
      <c r="AN49" s="137">
        <f>Summary_LCIA!AE$32</f>
        <v>8.8612999999999995E-4</v>
      </c>
      <c r="AO49" s="137">
        <f>Summary_LCIA!AF$32</f>
        <v>8.4542000000000005E-4</v>
      </c>
      <c r="AP49" s="137">
        <f>Summary_LCIA!AG$32</f>
        <v>5.1165000000000002E-5</v>
      </c>
      <c r="AQ49" s="137">
        <f>Summary_LCIA!AH$32</f>
        <v>8.7036000000000006E-3</v>
      </c>
      <c r="AR49" s="137">
        <f>Summary_LCIA!AI$32</f>
        <v>9.3154999999999996E-4</v>
      </c>
      <c r="AT49" s="137">
        <f t="shared" si="2"/>
        <v>140.8430224</v>
      </c>
      <c r="AU49" s="137">
        <f t="shared" si="14"/>
        <v>2054.223431873304</v>
      </c>
      <c r="AV49" s="137">
        <f t="shared" si="15"/>
        <v>2.1825280127999998</v>
      </c>
      <c r="AW49" s="137">
        <f t="shared" si="16"/>
        <v>139.01098544000001</v>
      </c>
      <c r="AX49" s="137">
        <f t="shared" si="17"/>
        <v>45.552231200000001</v>
      </c>
      <c r="AY49" s="137">
        <f t="shared" si="18"/>
        <v>7.4251380319999996</v>
      </c>
      <c r="AZ49" s="137">
        <f t="shared" si="19"/>
        <v>1.9796361368E-2</v>
      </c>
      <c r="BA49" s="137">
        <f t="shared" si="20"/>
        <v>31.903555848</v>
      </c>
      <c r="BB49" s="137">
        <f t="shared" si="21"/>
        <v>9.4420366400000013</v>
      </c>
      <c r="BC49" s="137">
        <f t="shared" si="3"/>
        <v>6.4585520160000005</v>
      </c>
      <c r="BD49" s="137">
        <f t="shared" si="4"/>
        <v>1.6997738392E-2</v>
      </c>
      <c r="BE49" s="137">
        <f t="shared" si="5"/>
        <v>9.6807817279999995</v>
      </c>
      <c r="BF49" s="137">
        <f t="shared" si="6"/>
        <v>-9.0453716240000009E-3</v>
      </c>
      <c r="BG49" s="137">
        <f t="shared" si="7"/>
        <v>2.0261831392000002E-5</v>
      </c>
      <c r="BH49" s="137">
        <f t="shared" si="8"/>
        <v>0.17037114751999999</v>
      </c>
      <c r="BI49" s="137">
        <f t="shared" si="9"/>
        <v>0.36729025143999999</v>
      </c>
      <c r="BJ49" s="137">
        <f t="shared" si="10"/>
        <v>0.35041644496000002</v>
      </c>
      <c r="BK49" s="137">
        <f t="shared" si="11"/>
        <v>2.1207278520000001E-2</v>
      </c>
      <c r="BL49" s="137">
        <f t="shared" si="12"/>
        <v>3.6075377568000002</v>
      </c>
      <c r="BM49" s="137">
        <f t="shared" si="13"/>
        <v>0.3861162964</v>
      </c>
    </row>
    <row r="50" spans="1:65" x14ac:dyDescent="0.25">
      <c r="A50" s="149">
        <v>98</v>
      </c>
      <c r="B50" s="149">
        <v>6</v>
      </c>
      <c r="C50" s="61">
        <v>42.276254000000002</v>
      </c>
      <c r="D50" s="61">
        <v>-83.741243999999995</v>
      </c>
      <c r="E50" s="61" t="s">
        <v>265</v>
      </c>
      <c r="F50" s="149">
        <v>78</v>
      </c>
      <c r="G50" s="61" t="s">
        <v>615</v>
      </c>
      <c r="H50" s="61" t="s">
        <v>616</v>
      </c>
      <c r="I50" s="61">
        <v>42.216248999999998</v>
      </c>
      <c r="J50" s="61">
        <v>-83.355363999999994</v>
      </c>
      <c r="K50" s="61">
        <v>32.887807850000002</v>
      </c>
      <c r="L50" s="61">
        <v>42.174999999999997</v>
      </c>
      <c r="M50" s="61" t="s">
        <v>617</v>
      </c>
      <c r="N50" s="149">
        <v>5</v>
      </c>
      <c r="O50" s="149">
        <v>6</v>
      </c>
      <c r="P50" s="61" t="s">
        <v>565</v>
      </c>
      <c r="Q50" s="61" t="s">
        <v>564</v>
      </c>
      <c r="R50" s="61">
        <v>41.98028</v>
      </c>
      <c r="S50" s="61">
        <v>-87.908997900000003</v>
      </c>
      <c r="T50" s="61">
        <v>415.20499999999998</v>
      </c>
      <c r="U50" s="61" t="s">
        <v>617</v>
      </c>
      <c r="V50" s="61" t="s">
        <v>617</v>
      </c>
      <c r="W50" s="61"/>
      <c r="X50" s="61"/>
      <c r="Y50" s="137">
        <f>Summary_LCIA!H$32</f>
        <v>0.33979999999999999</v>
      </c>
      <c r="Z50" s="137">
        <f>Summary_LCIA!Q$32</f>
        <v>4.9560504329999997</v>
      </c>
      <c r="AA50" s="137">
        <f>Summary_LCIA!R$32</f>
        <v>5.2655999999999996E-3</v>
      </c>
      <c r="AB50" s="137">
        <f>Summary_LCIA!S$32</f>
        <v>0.33538000000000001</v>
      </c>
      <c r="AC50" s="137">
        <f>Summary_LCIA!T$32</f>
        <v>0.1099</v>
      </c>
      <c r="AD50" s="137">
        <f>Summary_LCIA!U$32</f>
        <v>1.7913999999999999E-2</v>
      </c>
      <c r="AE50" s="137">
        <f>Summary_LCIA!V$32</f>
        <v>4.7760999999999999E-5</v>
      </c>
      <c r="AF50" s="137">
        <f>Summary_LCIA!W$32</f>
        <v>7.6970999999999998E-2</v>
      </c>
      <c r="AG50" s="137">
        <f>Summary_LCIA!X$32</f>
        <v>2.2780000000000002E-2</v>
      </c>
      <c r="AH50" s="137">
        <f>Summary_LCIA!Y$32</f>
        <v>1.5582E-2</v>
      </c>
      <c r="AI50" s="137">
        <f>Summary_LCIA!Z$32</f>
        <v>4.1009E-5</v>
      </c>
      <c r="AJ50" s="137">
        <f>Summary_LCIA!AA$32</f>
        <v>2.3355999999999998E-2</v>
      </c>
      <c r="AK50" s="137">
        <f>Summary_LCIA!AB$32</f>
        <v>-2.1823000000000001E-5</v>
      </c>
      <c r="AL50" s="137">
        <f>Summary_LCIA!AC$32</f>
        <v>4.8884000000000003E-8</v>
      </c>
      <c r="AM50" s="137">
        <f>Summary_LCIA!AD$32</f>
        <v>4.1103999999999999E-4</v>
      </c>
      <c r="AN50" s="137">
        <f>Summary_LCIA!AE$32</f>
        <v>8.8612999999999995E-4</v>
      </c>
      <c r="AO50" s="137">
        <f>Summary_LCIA!AF$32</f>
        <v>8.4542000000000005E-4</v>
      </c>
      <c r="AP50" s="137">
        <f>Summary_LCIA!AG$32</f>
        <v>5.1165000000000002E-5</v>
      </c>
      <c r="AQ50" s="137">
        <f>Summary_LCIA!AH$32</f>
        <v>8.7036000000000006E-3</v>
      </c>
      <c r="AR50" s="137">
        <f>Summary_LCIA!AI$32</f>
        <v>9.3154999999999996E-4</v>
      </c>
      <c r="AT50" s="137">
        <f t="shared" si="2"/>
        <v>141.086659</v>
      </c>
      <c r="AU50" s="137">
        <f t="shared" si="14"/>
        <v>2057.7769200337648</v>
      </c>
      <c r="AV50" s="137">
        <f t="shared" si="15"/>
        <v>2.1863034479999999</v>
      </c>
      <c r="AW50" s="137">
        <f t="shared" si="16"/>
        <v>139.2514529</v>
      </c>
      <c r="AX50" s="137">
        <f t="shared" si="17"/>
        <v>45.631029499999997</v>
      </c>
      <c r="AY50" s="137">
        <f t="shared" si="18"/>
        <v>7.4379823699999994</v>
      </c>
      <c r="AZ50" s="137">
        <f t="shared" si="19"/>
        <v>1.9830606004999998E-2</v>
      </c>
      <c r="BA50" s="137">
        <f t="shared" si="20"/>
        <v>31.958744054999997</v>
      </c>
      <c r="BB50" s="137">
        <f t="shared" si="21"/>
        <v>9.458369900000001</v>
      </c>
      <c r="BC50" s="137">
        <f t="shared" si="3"/>
        <v>6.4697243100000001</v>
      </c>
      <c r="BD50" s="137">
        <f t="shared" si="4"/>
        <v>1.7027141845E-2</v>
      </c>
      <c r="BE50" s="137">
        <f t="shared" si="5"/>
        <v>9.6975279799999985</v>
      </c>
      <c r="BF50" s="137">
        <f t="shared" si="6"/>
        <v>-9.0610187150000007E-3</v>
      </c>
      <c r="BG50" s="137">
        <f t="shared" si="7"/>
        <v>2.029688122E-5</v>
      </c>
      <c r="BH50" s="137">
        <f t="shared" si="8"/>
        <v>0.17066586319999999</v>
      </c>
      <c r="BI50" s="137">
        <f t="shared" si="9"/>
        <v>0.36792560664999996</v>
      </c>
      <c r="BJ50" s="137">
        <f t="shared" si="10"/>
        <v>0.35102261109999999</v>
      </c>
      <c r="BK50" s="137">
        <f t="shared" si="11"/>
        <v>2.1243963825E-2</v>
      </c>
      <c r="BL50" s="137">
        <f t="shared" si="12"/>
        <v>3.6137782380000001</v>
      </c>
      <c r="BM50" s="137">
        <f t="shared" si="13"/>
        <v>0.38678421774999999</v>
      </c>
    </row>
    <row r="51" spans="1:65" x14ac:dyDescent="0.25">
      <c r="A51" s="149">
        <v>361</v>
      </c>
      <c r="B51" s="149">
        <v>6</v>
      </c>
      <c r="C51" s="61">
        <v>41.652805000000001</v>
      </c>
      <c r="D51" s="61">
        <v>-83.537867000000006</v>
      </c>
      <c r="E51" s="61" t="s">
        <v>265</v>
      </c>
      <c r="F51" s="149">
        <v>78</v>
      </c>
      <c r="G51" s="61" t="s">
        <v>615</v>
      </c>
      <c r="H51" s="61" t="s">
        <v>616</v>
      </c>
      <c r="I51" s="61">
        <v>42.216248999999998</v>
      </c>
      <c r="J51" s="61">
        <v>-83.355363999999994</v>
      </c>
      <c r="K51" s="61">
        <v>95.399904230000004</v>
      </c>
      <c r="L51" s="61">
        <v>80.596000000000004</v>
      </c>
      <c r="M51" s="61" t="s">
        <v>617</v>
      </c>
      <c r="N51" s="149">
        <v>5</v>
      </c>
      <c r="O51" s="149">
        <v>6</v>
      </c>
      <c r="P51" s="61" t="s">
        <v>565</v>
      </c>
      <c r="Q51" s="61" t="s">
        <v>564</v>
      </c>
      <c r="R51" s="61">
        <v>41.98028</v>
      </c>
      <c r="S51" s="61">
        <v>-87.908997900000003</v>
      </c>
      <c r="T51" s="61">
        <v>419.88900000000001</v>
      </c>
      <c r="U51" s="61" t="s">
        <v>617</v>
      </c>
      <c r="V51" s="61" t="s">
        <v>617</v>
      </c>
      <c r="W51" s="61"/>
      <c r="X51" s="61"/>
      <c r="Y51" s="137">
        <f>Summary_LCIA!H$32</f>
        <v>0.33979999999999999</v>
      </c>
      <c r="Z51" s="137">
        <f>Summary_LCIA!Q$32</f>
        <v>4.9560504329999997</v>
      </c>
      <c r="AA51" s="137">
        <f>Summary_LCIA!R$32</f>
        <v>5.2655999999999996E-3</v>
      </c>
      <c r="AB51" s="137">
        <f>Summary_LCIA!S$32</f>
        <v>0.33538000000000001</v>
      </c>
      <c r="AC51" s="137">
        <f>Summary_LCIA!T$32</f>
        <v>0.1099</v>
      </c>
      <c r="AD51" s="137">
        <f>Summary_LCIA!U$32</f>
        <v>1.7913999999999999E-2</v>
      </c>
      <c r="AE51" s="137">
        <f>Summary_LCIA!V$32</f>
        <v>4.7760999999999999E-5</v>
      </c>
      <c r="AF51" s="137">
        <f>Summary_LCIA!W$32</f>
        <v>7.6970999999999998E-2</v>
      </c>
      <c r="AG51" s="137">
        <f>Summary_LCIA!X$32</f>
        <v>2.2780000000000002E-2</v>
      </c>
      <c r="AH51" s="137">
        <f>Summary_LCIA!Y$32</f>
        <v>1.5582E-2</v>
      </c>
      <c r="AI51" s="137">
        <f>Summary_LCIA!Z$32</f>
        <v>4.1009E-5</v>
      </c>
      <c r="AJ51" s="137">
        <f>Summary_LCIA!AA$32</f>
        <v>2.3355999999999998E-2</v>
      </c>
      <c r="AK51" s="137">
        <f>Summary_LCIA!AB$32</f>
        <v>-2.1823000000000001E-5</v>
      </c>
      <c r="AL51" s="137">
        <f>Summary_LCIA!AC$32</f>
        <v>4.8884000000000003E-8</v>
      </c>
      <c r="AM51" s="137">
        <f>Summary_LCIA!AD$32</f>
        <v>4.1103999999999999E-4</v>
      </c>
      <c r="AN51" s="137">
        <f>Summary_LCIA!AE$32</f>
        <v>8.8612999999999995E-4</v>
      </c>
      <c r="AO51" s="137">
        <f>Summary_LCIA!AF$32</f>
        <v>8.4542000000000005E-4</v>
      </c>
      <c r="AP51" s="137">
        <f>Summary_LCIA!AG$32</f>
        <v>5.1165000000000002E-5</v>
      </c>
      <c r="AQ51" s="137">
        <f>Summary_LCIA!AH$32</f>
        <v>8.7036000000000006E-3</v>
      </c>
      <c r="AR51" s="137">
        <f>Summary_LCIA!AI$32</f>
        <v>9.3154999999999996E-4</v>
      </c>
      <c r="AT51" s="137">
        <f t="shared" si="2"/>
        <v>142.67828220000001</v>
      </c>
      <c r="AU51" s="137">
        <f t="shared" si="14"/>
        <v>2080.991060261937</v>
      </c>
      <c r="AV51" s="137">
        <f t="shared" si="15"/>
        <v>2.2109675183999999</v>
      </c>
      <c r="AW51" s="137">
        <f t="shared" si="16"/>
        <v>140.82237282</v>
      </c>
      <c r="AX51" s="137">
        <f t="shared" si="17"/>
        <v>46.1458011</v>
      </c>
      <c r="AY51" s="137">
        <f t="shared" si="18"/>
        <v>7.521891546</v>
      </c>
      <c r="AZ51" s="137">
        <f t="shared" si="19"/>
        <v>2.0054318529000002E-2</v>
      </c>
      <c r="BA51" s="137">
        <f t="shared" si="20"/>
        <v>32.319276219000002</v>
      </c>
      <c r="BB51" s="137">
        <f t="shared" si="21"/>
        <v>9.5650714200000007</v>
      </c>
      <c r="BC51" s="137">
        <f t="shared" si="3"/>
        <v>6.5427103980000005</v>
      </c>
      <c r="BD51" s="137">
        <f t="shared" si="4"/>
        <v>1.7219228001000002E-2</v>
      </c>
      <c r="BE51" s="137">
        <f t="shared" si="5"/>
        <v>9.8069274839999991</v>
      </c>
      <c r="BF51" s="137">
        <f t="shared" si="6"/>
        <v>-9.1632376469999999E-3</v>
      </c>
      <c r="BG51" s="137">
        <f t="shared" si="7"/>
        <v>2.0525853876000001E-5</v>
      </c>
      <c r="BH51" s="137">
        <f t="shared" si="8"/>
        <v>0.17259117456</v>
      </c>
      <c r="BI51" s="137">
        <f t="shared" si="9"/>
        <v>0.37207623956999997</v>
      </c>
      <c r="BJ51" s="137">
        <f t="shared" si="10"/>
        <v>0.35498255838000004</v>
      </c>
      <c r="BK51" s="137">
        <f t="shared" si="11"/>
        <v>2.1483620685000003E-2</v>
      </c>
      <c r="BL51" s="137">
        <f t="shared" si="12"/>
        <v>3.6545459004000005</v>
      </c>
      <c r="BM51" s="137">
        <f t="shared" si="13"/>
        <v>0.39114759794999998</v>
      </c>
    </row>
    <row r="52" spans="1:65" x14ac:dyDescent="0.25">
      <c r="A52" s="149">
        <v>362</v>
      </c>
      <c r="B52" s="149">
        <v>6</v>
      </c>
      <c r="C52" s="61">
        <v>41.652805000000001</v>
      </c>
      <c r="D52" s="61">
        <v>-83.537867000000006</v>
      </c>
      <c r="E52" s="61" t="s">
        <v>265</v>
      </c>
      <c r="F52" s="149">
        <v>78</v>
      </c>
      <c r="G52" s="61" t="s">
        <v>615</v>
      </c>
      <c r="H52" s="61" t="s">
        <v>616</v>
      </c>
      <c r="I52" s="61">
        <v>42.216248999999998</v>
      </c>
      <c r="J52" s="61">
        <v>-83.355363999999994</v>
      </c>
      <c r="K52" s="61">
        <v>95.399904230000004</v>
      </c>
      <c r="L52" s="61">
        <v>80.596000000000004</v>
      </c>
      <c r="M52" s="61" t="s">
        <v>617</v>
      </c>
      <c r="N52" s="149">
        <v>5</v>
      </c>
      <c r="O52" s="149">
        <v>6</v>
      </c>
      <c r="P52" s="61" t="s">
        <v>565</v>
      </c>
      <c r="Q52" s="61" t="s">
        <v>564</v>
      </c>
      <c r="R52" s="61">
        <v>41.98028</v>
      </c>
      <c r="S52" s="61">
        <v>-87.908997900000003</v>
      </c>
      <c r="T52" s="61">
        <v>419.88900000000001</v>
      </c>
      <c r="U52" s="61" t="s">
        <v>617</v>
      </c>
      <c r="V52" s="61" t="s">
        <v>617</v>
      </c>
      <c r="W52" s="61"/>
      <c r="X52" s="61"/>
      <c r="Y52" s="137">
        <f>Summary_LCIA!H$32</f>
        <v>0.33979999999999999</v>
      </c>
      <c r="Z52" s="137">
        <f>Summary_LCIA!Q$32</f>
        <v>4.9560504329999997</v>
      </c>
      <c r="AA52" s="137">
        <f>Summary_LCIA!R$32</f>
        <v>5.2655999999999996E-3</v>
      </c>
      <c r="AB52" s="137">
        <f>Summary_LCIA!S$32</f>
        <v>0.33538000000000001</v>
      </c>
      <c r="AC52" s="137">
        <f>Summary_LCIA!T$32</f>
        <v>0.1099</v>
      </c>
      <c r="AD52" s="137">
        <f>Summary_LCIA!U$32</f>
        <v>1.7913999999999999E-2</v>
      </c>
      <c r="AE52" s="137">
        <f>Summary_LCIA!V$32</f>
        <v>4.7760999999999999E-5</v>
      </c>
      <c r="AF52" s="137">
        <f>Summary_LCIA!W$32</f>
        <v>7.6970999999999998E-2</v>
      </c>
      <c r="AG52" s="137">
        <f>Summary_LCIA!X$32</f>
        <v>2.2780000000000002E-2</v>
      </c>
      <c r="AH52" s="137">
        <f>Summary_LCIA!Y$32</f>
        <v>1.5582E-2</v>
      </c>
      <c r="AI52" s="137">
        <f>Summary_LCIA!Z$32</f>
        <v>4.1009E-5</v>
      </c>
      <c r="AJ52" s="137">
        <f>Summary_LCIA!AA$32</f>
        <v>2.3355999999999998E-2</v>
      </c>
      <c r="AK52" s="137">
        <f>Summary_LCIA!AB$32</f>
        <v>-2.1823000000000001E-5</v>
      </c>
      <c r="AL52" s="137">
        <f>Summary_LCIA!AC$32</f>
        <v>4.8884000000000003E-8</v>
      </c>
      <c r="AM52" s="137">
        <f>Summary_LCIA!AD$32</f>
        <v>4.1103999999999999E-4</v>
      </c>
      <c r="AN52" s="137">
        <f>Summary_LCIA!AE$32</f>
        <v>8.8612999999999995E-4</v>
      </c>
      <c r="AO52" s="137">
        <f>Summary_LCIA!AF$32</f>
        <v>8.4542000000000005E-4</v>
      </c>
      <c r="AP52" s="137">
        <f>Summary_LCIA!AG$32</f>
        <v>5.1165000000000002E-5</v>
      </c>
      <c r="AQ52" s="137">
        <f>Summary_LCIA!AH$32</f>
        <v>8.7036000000000006E-3</v>
      </c>
      <c r="AR52" s="137">
        <f>Summary_LCIA!AI$32</f>
        <v>9.3154999999999996E-4</v>
      </c>
      <c r="AT52" s="137">
        <f t="shared" si="2"/>
        <v>142.67828220000001</v>
      </c>
      <c r="AU52" s="137">
        <f t="shared" si="14"/>
        <v>2080.991060261937</v>
      </c>
      <c r="AV52" s="137">
        <f t="shared" si="15"/>
        <v>2.2109675183999999</v>
      </c>
      <c r="AW52" s="137">
        <f t="shared" si="16"/>
        <v>140.82237282</v>
      </c>
      <c r="AX52" s="137">
        <f t="shared" si="17"/>
        <v>46.1458011</v>
      </c>
      <c r="AY52" s="137">
        <f t="shared" si="18"/>
        <v>7.521891546</v>
      </c>
      <c r="AZ52" s="137">
        <f t="shared" si="19"/>
        <v>2.0054318529000002E-2</v>
      </c>
      <c r="BA52" s="137">
        <f t="shared" si="20"/>
        <v>32.319276219000002</v>
      </c>
      <c r="BB52" s="137">
        <f t="shared" si="21"/>
        <v>9.5650714200000007</v>
      </c>
      <c r="BC52" s="137">
        <f t="shared" si="3"/>
        <v>6.5427103980000005</v>
      </c>
      <c r="BD52" s="137">
        <f t="shared" si="4"/>
        <v>1.7219228001000002E-2</v>
      </c>
      <c r="BE52" s="137">
        <f t="shared" si="5"/>
        <v>9.8069274839999991</v>
      </c>
      <c r="BF52" s="137">
        <f t="shared" si="6"/>
        <v>-9.1632376469999999E-3</v>
      </c>
      <c r="BG52" s="137">
        <f t="shared" si="7"/>
        <v>2.0525853876000001E-5</v>
      </c>
      <c r="BH52" s="137">
        <f t="shared" si="8"/>
        <v>0.17259117456</v>
      </c>
      <c r="BI52" s="137">
        <f t="shared" si="9"/>
        <v>0.37207623956999997</v>
      </c>
      <c r="BJ52" s="137">
        <f t="shared" si="10"/>
        <v>0.35498255838000004</v>
      </c>
      <c r="BK52" s="137">
        <f t="shared" si="11"/>
        <v>2.1483620685000003E-2</v>
      </c>
      <c r="BL52" s="137">
        <f t="shared" si="12"/>
        <v>3.6545459004000005</v>
      </c>
      <c r="BM52" s="137">
        <f t="shared" si="13"/>
        <v>0.39114759794999998</v>
      </c>
    </row>
    <row r="53" spans="1:65" x14ac:dyDescent="0.25">
      <c r="A53" s="149">
        <v>315</v>
      </c>
      <c r="B53" s="149">
        <v>15</v>
      </c>
      <c r="C53" s="61">
        <v>52.156661999999997</v>
      </c>
      <c r="D53" s="61">
        <v>4.4867590000000002</v>
      </c>
      <c r="E53" s="61" t="s">
        <v>285</v>
      </c>
      <c r="F53" s="149">
        <v>12</v>
      </c>
      <c r="G53" s="61" t="s">
        <v>679</v>
      </c>
      <c r="H53" s="61" t="s">
        <v>680</v>
      </c>
      <c r="I53" s="61">
        <v>52.310538999999999</v>
      </c>
      <c r="J53" s="61">
        <v>4.7682739999999999</v>
      </c>
      <c r="K53" s="61">
        <v>27.619618039999999</v>
      </c>
      <c r="L53" s="61">
        <v>28.559000000000001</v>
      </c>
      <c r="M53" s="61" t="s">
        <v>589</v>
      </c>
      <c r="N53" s="149">
        <v>14</v>
      </c>
      <c r="O53" s="149">
        <v>15</v>
      </c>
      <c r="P53" s="61" t="s">
        <v>567</v>
      </c>
      <c r="Q53" s="61" t="s">
        <v>566</v>
      </c>
      <c r="R53" s="61">
        <v>50.037932599999998</v>
      </c>
      <c r="S53" s="61">
        <v>8.5621518000000005</v>
      </c>
      <c r="T53" s="61">
        <v>439.27699999999999</v>
      </c>
      <c r="U53" s="61" t="s">
        <v>617</v>
      </c>
      <c r="V53" s="61" t="s">
        <v>617</v>
      </c>
      <c r="W53" s="61"/>
      <c r="X53" s="61"/>
      <c r="Y53" s="137">
        <f>Summary_LCIA!H$32</f>
        <v>0.33979999999999999</v>
      </c>
      <c r="Z53" s="137">
        <f>Summary_LCIA!Q$32</f>
        <v>4.9560504329999997</v>
      </c>
      <c r="AA53" s="137">
        <f>Summary_LCIA!R$32</f>
        <v>5.2655999999999996E-3</v>
      </c>
      <c r="AB53" s="137">
        <f>Summary_LCIA!S$32</f>
        <v>0.33538000000000001</v>
      </c>
      <c r="AC53" s="137">
        <f>Summary_LCIA!T$32</f>
        <v>0.1099</v>
      </c>
      <c r="AD53" s="137">
        <f>Summary_LCIA!U$32</f>
        <v>1.7913999999999999E-2</v>
      </c>
      <c r="AE53" s="137">
        <f>Summary_LCIA!V$32</f>
        <v>4.7760999999999999E-5</v>
      </c>
      <c r="AF53" s="137">
        <f>Summary_LCIA!W$32</f>
        <v>7.6970999999999998E-2</v>
      </c>
      <c r="AG53" s="137">
        <f>Summary_LCIA!X$32</f>
        <v>2.2780000000000002E-2</v>
      </c>
      <c r="AH53" s="137">
        <f>Summary_LCIA!Y$32</f>
        <v>1.5582E-2</v>
      </c>
      <c r="AI53" s="137">
        <f>Summary_LCIA!Z$32</f>
        <v>4.1009E-5</v>
      </c>
      <c r="AJ53" s="137">
        <f>Summary_LCIA!AA$32</f>
        <v>2.3355999999999998E-2</v>
      </c>
      <c r="AK53" s="137">
        <f>Summary_LCIA!AB$32</f>
        <v>-2.1823000000000001E-5</v>
      </c>
      <c r="AL53" s="137">
        <f>Summary_LCIA!AC$32</f>
        <v>4.8884000000000003E-8</v>
      </c>
      <c r="AM53" s="137">
        <f>Summary_LCIA!AD$32</f>
        <v>4.1103999999999999E-4</v>
      </c>
      <c r="AN53" s="137">
        <f>Summary_LCIA!AE$32</f>
        <v>8.8612999999999995E-4</v>
      </c>
      <c r="AO53" s="137">
        <f>Summary_LCIA!AF$32</f>
        <v>8.4542000000000005E-4</v>
      </c>
      <c r="AP53" s="137">
        <f>Summary_LCIA!AG$32</f>
        <v>5.1165000000000002E-5</v>
      </c>
      <c r="AQ53" s="137">
        <f>Summary_LCIA!AH$32</f>
        <v>8.7036000000000006E-3</v>
      </c>
      <c r="AR53" s="137">
        <f>Summary_LCIA!AI$32</f>
        <v>9.3154999999999996E-4</v>
      </c>
      <c r="AT53" s="137">
        <f t="shared" si="2"/>
        <v>149.26632459999999</v>
      </c>
      <c r="AU53" s="137">
        <f t="shared" si="14"/>
        <v>2177.0789660569408</v>
      </c>
      <c r="AV53" s="137">
        <f t="shared" si="15"/>
        <v>2.3130569712</v>
      </c>
      <c r="AW53" s="137">
        <f t="shared" si="16"/>
        <v>147.32472025999999</v>
      </c>
      <c r="AX53" s="137">
        <f t="shared" si="17"/>
        <v>48.276542299999996</v>
      </c>
      <c r="AY53" s="137">
        <f t="shared" si="18"/>
        <v>7.8692081779999992</v>
      </c>
      <c r="AZ53" s="137">
        <f t="shared" si="19"/>
        <v>2.0980308797E-2</v>
      </c>
      <c r="BA53" s="137">
        <f t="shared" si="20"/>
        <v>33.811589966999996</v>
      </c>
      <c r="BB53" s="137">
        <f t="shared" si="21"/>
        <v>10.006730060000001</v>
      </c>
      <c r="BC53" s="137">
        <f t="shared" si="3"/>
        <v>6.8448142140000003</v>
      </c>
      <c r="BD53" s="137">
        <f t="shared" si="4"/>
        <v>1.8014310493000001E-2</v>
      </c>
      <c r="BE53" s="137">
        <f t="shared" si="5"/>
        <v>10.259753611999999</v>
      </c>
      <c r="BF53" s="137">
        <f t="shared" si="6"/>
        <v>-9.5863419710000009E-3</v>
      </c>
      <c r="BG53" s="137">
        <f t="shared" si="7"/>
        <v>2.1473616868000002E-5</v>
      </c>
      <c r="BH53" s="137">
        <f t="shared" si="8"/>
        <v>0.18056041807999998</v>
      </c>
      <c r="BI53" s="137">
        <f t="shared" si="9"/>
        <v>0.38925652800999999</v>
      </c>
      <c r="BJ53" s="137">
        <f t="shared" si="10"/>
        <v>0.37137356133999999</v>
      </c>
      <c r="BK53" s="137">
        <f t="shared" si="11"/>
        <v>2.2475607705000001E-2</v>
      </c>
      <c r="BL53" s="137">
        <f t="shared" si="12"/>
        <v>3.8232912971999999</v>
      </c>
      <c r="BM53" s="137">
        <f t="shared" si="13"/>
        <v>0.40920848934999998</v>
      </c>
    </row>
    <row r="54" spans="1:65" x14ac:dyDescent="0.25">
      <c r="A54" s="149">
        <v>130</v>
      </c>
      <c r="B54" s="149">
        <v>15</v>
      </c>
      <c r="C54" s="61">
        <v>51.048797</v>
      </c>
      <c r="D54" s="61">
        <v>13.721128999999999</v>
      </c>
      <c r="E54" s="61" t="s">
        <v>281</v>
      </c>
      <c r="F54" s="149">
        <v>38</v>
      </c>
      <c r="G54" s="61" t="s">
        <v>567</v>
      </c>
      <c r="H54" s="61" t="s">
        <v>678</v>
      </c>
      <c r="I54" s="61">
        <v>48.353696999999997</v>
      </c>
      <c r="J54" s="61">
        <v>11.775111000000001</v>
      </c>
      <c r="K54" s="61">
        <v>332.0913797</v>
      </c>
      <c r="L54" s="61">
        <v>445.78</v>
      </c>
      <c r="M54" s="61" t="s">
        <v>617</v>
      </c>
      <c r="N54" s="149">
        <v>14</v>
      </c>
      <c r="O54" s="149">
        <v>15</v>
      </c>
      <c r="P54" s="61" t="s">
        <v>567</v>
      </c>
      <c r="Q54" s="61" t="s">
        <v>566</v>
      </c>
      <c r="R54" s="61">
        <v>50.037932599999998</v>
      </c>
      <c r="S54" s="61">
        <v>8.5621518000000005</v>
      </c>
      <c r="T54" s="61">
        <v>467.15100000000001</v>
      </c>
      <c r="U54" s="61" t="s">
        <v>617</v>
      </c>
      <c r="V54" s="61" t="s">
        <v>617</v>
      </c>
      <c r="W54" s="61"/>
      <c r="X54" s="61"/>
      <c r="Y54" s="137">
        <f>Summary_LCIA!H$32</f>
        <v>0.33979999999999999</v>
      </c>
      <c r="Z54" s="137">
        <f>Summary_LCIA!Q$32</f>
        <v>4.9560504329999997</v>
      </c>
      <c r="AA54" s="137">
        <f>Summary_LCIA!R$32</f>
        <v>5.2655999999999996E-3</v>
      </c>
      <c r="AB54" s="137">
        <f>Summary_LCIA!S$32</f>
        <v>0.33538000000000001</v>
      </c>
      <c r="AC54" s="137">
        <f>Summary_LCIA!T$32</f>
        <v>0.1099</v>
      </c>
      <c r="AD54" s="137">
        <f>Summary_LCIA!U$32</f>
        <v>1.7913999999999999E-2</v>
      </c>
      <c r="AE54" s="137">
        <f>Summary_LCIA!V$32</f>
        <v>4.7760999999999999E-5</v>
      </c>
      <c r="AF54" s="137">
        <f>Summary_LCIA!W$32</f>
        <v>7.6970999999999998E-2</v>
      </c>
      <c r="AG54" s="137">
        <f>Summary_LCIA!X$32</f>
        <v>2.2780000000000002E-2</v>
      </c>
      <c r="AH54" s="137">
        <f>Summary_LCIA!Y$32</f>
        <v>1.5582E-2</v>
      </c>
      <c r="AI54" s="137">
        <f>Summary_LCIA!Z$32</f>
        <v>4.1009E-5</v>
      </c>
      <c r="AJ54" s="137">
        <f>Summary_LCIA!AA$32</f>
        <v>2.3355999999999998E-2</v>
      </c>
      <c r="AK54" s="137">
        <f>Summary_LCIA!AB$32</f>
        <v>-2.1823000000000001E-5</v>
      </c>
      <c r="AL54" s="137">
        <f>Summary_LCIA!AC$32</f>
        <v>4.8884000000000003E-8</v>
      </c>
      <c r="AM54" s="137">
        <f>Summary_LCIA!AD$32</f>
        <v>4.1103999999999999E-4</v>
      </c>
      <c r="AN54" s="137">
        <f>Summary_LCIA!AE$32</f>
        <v>8.8612999999999995E-4</v>
      </c>
      <c r="AO54" s="137">
        <f>Summary_LCIA!AF$32</f>
        <v>8.4542000000000005E-4</v>
      </c>
      <c r="AP54" s="137">
        <f>Summary_LCIA!AG$32</f>
        <v>5.1165000000000002E-5</v>
      </c>
      <c r="AQ54" s="137">
        <f>Summary_LCIA!AH$32</f>
        <v>8.7036000000000006E-3</v>
      </c>
      <c r="AR54" s="137">
        <f>Summary_LCIA!AI$32</f>
        <v>9.3154999999999996E-4</v>
      </c>
      <c r="AT54" s="137">
        <f t="shared" si="2"/>
        <v>158.73790980000001</v>
      </c>
      <c r="AU54" s="137">
        <f t="shared" si="14"/>
        <v>2315.2239158263828</v>
      </c>
      <c r="AV54" s="137">
        <f t="shared" si="15"/>
        <v>2.4598303055999997</v>
      </c>
      <c r="AW54" s="137">
        <f t="shared" si="16"/>
        <v>156.67310238000002</v>
      </c>
      <c r="AX54" s="137">
        <f t="shared" si="17"/>
        <v>51.339894899999997</v>
      </c>
      <c r="AY54" s="137">
        <f t="shared" si="18"/>
        <v>8.3685430140000001</v>
      </c>
      <c r="AZ54" s="137">
        <f t="shared" si="19"/>
        <v>2.2311598911E-2</v>
      </c>
      <c r="BA54" s="137">
        <f t="shared" si="20"/>
        <v>35.957079620999998</v>
      </c>
      <c r="BB54" s="137">
        <f t="shared" si="21"/>
        <v>10.641699780000001</v>
      </c>
      <c r="BC54" s="137">
        <f t="shared" si="3"/>
        <v>7.279146882</v>
      </c>
      <c r="BD54" s="137">
        <f t="shared" si="4"/>
        <v>1.9157395359000001E-2</v>
      </c>
      <c r="BE54" s="137">
        <f t="shared" si="5"/>
        <v>10.910778755999999</v>
      </c>
      <c r="BF54" s="137">
        <f t="shared" si="6"/>
        <v>-1.0194636273000001E-2</v>
      </c>
      <c r="BG54" s="137">
        <f t="shared" si="7"/>
        <v>2.2836209484000001E-5</v>
      </c>
      <c r="BH54" s="137">
        <f t="shared" si="8"/>
        <v>0.19201774703999999</v>
      </c>
      <c r="BI54" s="137">
        <f t="shared" si="9"/>
        <v>0.41395651562999997</v>
      </c>
      <c r="BJ54" s="137">
        <f t="shared" si="10"/>
        <v>0.39493879842000001</v>
      </c>
      <c r="BK54" s="137">
        <f t="shared" si="11"/>
        <v>2.3901780915E-2</v>
      </c>
      <c r="BL54" s="137">
        <f t="shared" si="12"/>
        <v>4.0658954436000005</v>
      </c>
      <c r="BM54" s="137">
        <f t="shared" si="13"/>
        <v>0.43517451405000002</v>
      </c>
    </row>
    <row r="55" spans="1:65" x14ac:dyDescent="0.25">
      <c r="A55" s="149">
        <v>204</v>
      </c>
      <c r="B55" s="149">
        <v>6</v>
      </c>
      <c r="C55" s="61">
        <v>42.32226</v>
      </c>
      <c r="D55" s="61">
        <v>-83.176315000000002</v>
      </c>
      <c r="E55" s="61" t="s">
        <v>265</v>
      </c>
      <c r="F55" s="149">
        <v>78</v>
      </c>
      <c r="G55" s="61" t="s">
        <v>615</v>
      </c>
      <c r="H55" s="61" t="s">
        <v>616</v>
      </c>
      <c r="I55" s="61">
        <v>42.216248999999998</v>
      </c>
      <c r="J55" s="61">
        <v>-83.355363999999994</v>
      </c>
      <c r="K55" s="61">
        <v>23.652639489999999</v>
      </c>
      <c r="L55" s="61">
        <v>22.933</v>
      </c>
      <c r="M55" s="61" t="s">
        <v>617</v>
      </c>
      <c r="N55" s="149">
        <v>5</v>
      </c>
      <c r="O55" s="149">
        <v>6</v>
      </c>
      <c r="P55" s="61" t="s">
        <v>565</v>
      </c>
      <c r="Q55" s="61" t="s">
        <v>564</v>
      </c>
      <c r="R55" s="61">
        <v>41.98028</v>
      </c>
      <c r="S55" s="61">
        <v>-87.908997900000003</v>
      </c>
      <c r="T55" s="61">
        <v>471.61900000000003</v>
      </c>
      <c r="U55" s="61" t="s">
        <v>617</v>
      </c>
      <c r="V55" s="61" t="s">
        <v>617</v>
      </c>
      <c r="W55" s="61"/>
      <c r="X55" s="61"/>
      <c r="Y55" s="137">
        <f>Summary_LCIA!H$32</f>
        <v>0.33979999999999999</v>
      </c>
      <c r="Z55" s="137">
        <f>Summary_LCIA!Q$32</f>
        <v>4.9560504329999997</v>
      </c>
      <c r="AA55" s="137">
        <f>Summary_LCIA!R$32</f>
        <v>5.2655999999999996E-3</v>
      </c>
      <c r="AB55" s="137">
        <f>Summary_LCIA!S$32</f>
        <v>0.33538000000000001</v>
      </c>
      <c r="AC55" s="137">
        <f>Summary_LCIA!T$32</f>
        <v>0.1099</v>
      </c>
      <c r="AD55" s="137">
        <f>Summary_LCIA!U$32</f>
        <v>1.7913999999999999E-2</v>
      </c>
      <c r="AE55" s="137">
        <f>Summary_LCIA!V$32</f>
        <v>4.7760999999999999E-5</v>
      </c>
      <c r="AF55" s="137">
        <f>Summary_LCIA!W$32</f>
        <v>7.6970999999999998E-2</v>
      </c>
      <c r="AG55" s="137">
        <f>Summary_LCIA!X$32</f>
        <v>2.2780000000000002E-2</v>
      </c>
      <c r="AH55" s="137">
        <f>Summary_LCIA!Y$32</f>
        <v>1.5582E-2</v>
      </c>
      <c r="AI55" s="137">
        <f>Summary_LCIA!Z$32</f>
        <v>4.1009E-5</v>
      </c>
      <c r="AJ55" s="137">
        <f>Summary_LCIA!AA$32</f>
        <v>2.3355999999999998E-2</v>
      </c>
      <c r="AK55" s="137">
        <f>Summary_LCIA!AB$32</f>
        <v>-2.1823000000000001E-5</v>
      </c>
      <c r="AL55" s="137">
        <f>Summary_LCIA!AC$32</f>
        <v>4.8884000000000003E-8</v>
      </c>
      <c r="AM55" s="137">
        <f>Summary_LCIA!AD$32</f>
        <v>4.1103999999999999E-4</v>
      </c>
      <c r="AN55" s="137">
        <f>Summary_LCIA!AE$32</f>
        <v>8.8612999999999995E-4</v>
      </c>
      <c r="AO55" s="137">
        <f>Summary_LCIA!AF$32</f>
        <v>8.4542000000000005E-4</v>
      </c>
      <c r="AP55" s="137">
        <f>Summary_LCIA!AG$32</f>
        <v>5.1165000000000002E-5</v>
      </c>
      <c r="AQ55" s="137">
        <f>Summary_LCIA!AH$32</f>
        <v>8.7036000000000006E-3</v>
      </c>
      <c r="AR55" s="137">
        <f>Summary_LCIA!AI$32</f>
        <v>9.3154999999999996E-4</v>
      </c>
      <c r="AT55" s="137">
        <f t="shared" si="2"/>
        <v>160.25613620000001</v>
      </c>
      <c r="AU55" s="137">
        <f t="shared" si="14"/>
        <v>2337.367549161027</v>
      </c>
      <c r="AV55" s="137">
        <f t="shared" si="15"/>
        <v>2.4833570063999999</v>
      </c>
      <c r="AW55" s="137">
        <f t="shared" si="16"/>
        <v>158.17158022000001</v>
      </c>
      <c r="AX55" s="137">
        <f t="shared" si="17"/>
        <v>51.830928100000001</v>
      </c>
      <c r="AY55" s="137">
        <f t="shared" si="18"/>
        <v>8.4485827659999995</v>
      </c>
      <c r="AZ55" s="137">
        <f t="shared" si="19"/>
        <v>2.2524995059000002E-2</v>
      </c>
      <c r="BA55" s="137">
        <f t="shared" si="20"/>
        <v>36.300986049000002</v>
      </c>
      <c r="BB55" s="137">
        <f t="shared" si="21"/>
        <v>10.743480820000002</v>
      </c>
      <c r="BC55" s="137">
        <f t="shared" si="3"/>
        <v>7.3487672580000005</v>
      </c>
      <c r="BD55" s="137">
        <f t="shared" si="4"/>
        <v>1.9340623571000002E-2</v>
      </c>
      <c r="BE55" s="137">
        <f t="shared" si="5"/>
        <v>11.015133364</v>
      </c>
      <c r="BF55" s="137">
        <f t="shared" si="6"/>
        <v>-1.0292141437000002E-2</v>
      </c>
      <c r="BG55" s="137">
        <f t="shared" si="7"/>
        <v>2.3054623196000003E-5</v>
      </c>
      <c r="BH55" s="137">
        <f t="shared" si="8"/>
        <v>0.19385427376</v>
      </c>
      <c r="BI55" s="137">
        <f t="shared" si="9"/>
        <v>0.41791574447000002</v>
      </c>
      <c r="BJ55" s="137">
        <f t="shared" si="10"/>
        <v>0.39871613498000003</v>
      </c>
      <c r="BK55" s="137">
        <f t="shared" si="11"/>
        <v>2.4130386135000001E-2</v>
      </c>
      <c r="BL55" s="137">
        <f t="shared" si="12"/>
        <v>4.1047831284000003</v>
      </c>
      <c r="BM55" s="137">
        <f t="shared" si="13"/>
        <v>0.43933667944999999</v>
      </c>
    </row>
    <row r="56" spans="1:65" x14ac:dyDescent="0.25">
      <c r="A56" s="149">
        <v>380</v>
      </c>
      <c r="B56" s="149">
        <v>6</v>
      </c>
      <c r="C56" s="61">
        <v>42.214205999999997</v>
      </c>
      <c r="D56" s="61">
        <v>-83.149923999999999</v>
      </c>
      <c r="E56" s="61" t="s">
        <v>265</v>
      </c>
      <c r="F56" s="149">
        <v>78</v>
      </c>
      <c r="G56" s="61" t="s">
        <v>615</v>
      </c>
      <c r="H56" s="61" t="s">
        <v>616</v>
      </c>
      <c r="I56" s="61">
        <v>42.216248999999998</v>
      </c>
      <c r="J56" s="61">
        <v>-83.355363999999994</v>
      </c>
      <c r="K56" s="61">
        <v>17.006377449999999</v>
      </c>
      <c r="L56" s="61">
        <v>24.92</v>
      </c>
      <c r="M56" s="61" t="s">
        <v>617</v>
      </c>
      <c r="N56" s="149">
        <v>5</v>
      </c>
      <c r="O56" s="149">
        <v>6</v>
      </c>
      <c r="P56" s="61" t="s">
        <v>565</v>
      </c>
      <c r="Q56" s="61" t="s">
        <v>564</v>
      </c>
      <c r="R56" s="61">
        <v>41.98028</v>
      </c>
      <c r="S56" s="61">
        <v>-87.908997900000003</v>
      </c>
      <c r="T56" s="61">
        <v>473.60700000000003</v>
      </c>
      <c r="U56" s="61" t="s">
        <v>617</v>
      </c>
      <c r="V56" s="61" t="s">
        <v>617</v>
      </c>
      <c r="W56" s="61"/>
      <c r="X56" s="61"/>
      <c r="Y56" s="137">
        <f>Summary_LCIA!H$32</f>
        <v>0.33979999999999999</v>
      </c>
      <c r="Z56" s="137">
        <f>Summary_LCIA!Q$32</f>
        <v>4.9560504329999997</v>
      </c>
      <c r="AA56" s="137">
        <f>Summary_LCIA!R$32</f>
        <v>5.2655999999999996E-3</v>
      </c>
      <c r="AB56" s="137">
        <f>Summary_LCIA!S$32</f>
        <v>0.33538000000000001</v>
      </c>
      <c r="AC56" s="137">
        <f>Summary_LCIA!T$32</f>
        <v>0.1099</v>
      </c>
      <c r="AD56" s="137">
        <f>Summary_LCIA!U$32</f>
        <v>1.7913999999999999E-2</v>
      </c>
      <c r="AE56" s="137">
        <f>Summary_LCIA!V$32</f>
        <v>4.7760999999999999E-5</v>
      </c>
      <c r="AF56" s="137">
        <f>Summary_LCIA!W$32</f>
        <v>7.6970999999999998E-2</v>
      </c>
      <c r="AG56" s="137">
        <f>Summary_LCIA!X$32</f>
        <v>2.2780000000000002E-2</v>
      </c>
      <c r="AH56" s="137">
        <f>Summary_LCIA!Y$32</f>
        <v>1.5582E-2</v>
      </c>
      <c r="AI56" s="137">
        <f>Summary_LCIA!Z$32</f>
        <v>4.1009E-5</v>
      </c>
      <c r="AJ56" s="137">
        <f>Summary_LCIA!AA$32</f>
        <v>2.3355999999999998E-2</v>
      </c>
      <c r="AK56" s="137">
        <f>Summary_LCIA!AB$32</f>
        <v>-2.1823000000000001E-5</v>
      </c>
      <c r="AL56" s="137">
        <f>Summary_LCIA!AC$32</f>
        <v>4.8884000000000003E-8</v>
      </c>
      <c r="AM56" s="137">
        <f>Summary_LCIA!AD$32</f>
        <v>4.1103999999999999E-4</v>
      </c>
      <c r="AN56" s="137">
        <f>Summary_LCIA!AE$32</f>
        <v>8.8612999999999995E-4</v>
      </c>
      <c r="AO56" s="137">
        <f>Summary_LCIA!AF$32</f>
        <v>8.4542000000000005E-4</v>
      </c>
      <c r="AP56" s="137">
        <f>Summary_LCIA!AG$32</f>
        <v>5.1165000000000002E-5</v>
      </c>
      <c r="AQ56" s="137">
        <f>Summary_LCIA!AH$32</f>
        <v>8.7036000000000006E-3</v>
      </c>
      <c r="AR56" s="137">
        <f>Summary_LCIA!AI$32</f>
        <v>9.3154999999999996E-4</v>
      </c>
      <c r="AT56" s="137">
        <f t="shared" si="2"/>
        <v>160.93165859999999</v>
      </c>
      <c r="AU56" s="137">
        <f t="shared" si="14"/>
        <v>2347.2201774218311</v>
      </c>
      <c r="AV56" s="137">
        <f t="shared" si="15"/>
        <v>2.4938250192</v>
      </c>
      <c r="AW56" s="137">
        <f t="shared" si="16"/>
        <v>158.83831566000001</v>
      </c>
      <c r="AX56" s="137">
        <f t="shared" si="17"/>
        <v>52.049409300000001</v>
      </c>
      <c r="AY56" s="137">
        <f t="shared" si="18"/>
        <v>8.484195798</v>
      </c>
      <c r="AZ56" s="137">
        <f t="shared" si="19"/>
        <v>2.2619943927000001E-2</v>
      </c>
      <c r="BA56" s="137">
        <f t="shared" si="20"/>
        <v>36.454004396999999</v>
      </c>
      <c r="BB56" s="137">
        <f t="shared" si="21"/>
        <v>10.788767460000001</v>
      </c>
      <c r="BC56" s="137">
        <f t="shared" si="3"/>
        <v>7.379744274000001</v>
      </c>
      <c r="BD56" s="137">
        <f t="shared" si="4"/>
        <v>1.9422149463000003E-2</v>
      </c>
      <c r="BE56" s="137">
        <f t="shared" si="5"/>
        <v>11.061565092</v>
      </c>
      <c r="BF56" s="137">
        <f t="shared" si="6"/>
        <v>-1.0335525561000002E-2</v>
      </c>
      <c r="BG56" s="137">
        <f t="shared" si="7"/>
        <v>2.3151804588000004E-5</v>
      </c>
      <c r="BH56" s="137">
        <f t="shared" si="8"/>
        <v>0.19467142128000001</v>
      </c>
      <c r="BI56" s="137">
        <f t="shared" si="9"/>
        <v>0.41967737091000001</v>
      </c>
      <c r="BJ56" s="137">
        <f t="shared" si="10"/>
        <v>0.40039682994000003</v>
      </c>
      <c r="BK56" s="137">
        <f t="shared" si="11"/>
        <v>2.4232102155000001E-2</v>
      </c>
      <c r="BL56" s="137">
        <f t="shared" si="12"/>
        <v>4.1220858852000006</v>
      </c>
      <c r="BM56" s="137">
        <f t="shared" si="13"/>
        <v>0.44118860085</v>
      </c>
    </row>
    <row r="57" spans="1:65" x14ac:dyDescent="0.25">
      <c r="A57" s="149">
        <v>218</v>
      </c>
      <c r="B57" s="149">
        <v>6</v>
      </c>
      <c r="C57" s="61">
        <v>42.460591999999998</v>
      </c>
      <c r="D57" s="61">
        <v>-83.134647999999999</v>
      </c>
      <c r="E57" s="61" t="s">
        <v>265</v>
      </c>
      <c r="F57" s="149">
        <v>78</v>
      </c>
      <c r="G57" s="61" t="s">
        <v>615</v>
      </c>
      <c r="H57" s="61" t="s">
        <v>616</v>
      </c>
      <c r="I57" s="61">
        <v>42.216248999999998</v>
      </c>
      <c r="J57" s="61">
        <v>-83.355363999999994</v>
      </c>
      <c r="K57" s="61">
        <v>45.359604679999997</v>
      </c>
      <c r="L57" s="61">
        <v>42.874000000000002</v>
      </c>
      <c r="M57" s="61" t="s">
        <v>617</v>
      </c>
      <c r="N57" s="149">
        <v>5</v>
      </c>
      <c r="O57" s="149">
        <v>6</v>
      </c>
      <c r="P57" s="61" t="s">
        <v>565</v>
      </c>
      <c r="Q57" s="61" t="s">
        <v>564</v>
      </c>
      <c r="R57" s="61">
        <v>41.98028</v>
      </c>
      <c r="S57" s="61">
        <v>-87.908997900000003</v>
      </c>
      <c r="T57" s="61">
        <v>482.85399999999998</v>
      </c>
      <c r="U57" s="61" t="s">
        <v>617</v>
      </c>
      <c r="V57" s="61" t="s">
        <v>617</v>
      </c>
      <c r="W57" s="61"/>
      <c r="X57" s="61"/>
      <c r="Y57" s="137">
        <f>Summary_LCIA!H$32</f>
        <v>0.33979999999999999</v>
      </c>
      <c r="Z57" s="137">
        <f>Summary_LCIA!Q$32</f>
        <v>4.9560504329999997</v>
      </c>
      <c r="AA57" s="137">
        <f>Summary_LCIA!R$32</f>
        <v>5.2655999999999996E-3</v>
      </c>
      <c r="AB57" s="137">
        <f>Summary_LCIA!S$32</f>
        <v>0.33538000000000001</v>
      </c>
      <c r="AC57" s="137">
        <f>Summary_LCIA!T$32</f>
        <v>0.1099</v>
      </c>
      <c r="AD57" s="137">
        <f>Summary_LCIA!U$32</f>
        <v>1.7913999999999999E-2</v>
      </c>
      <c r="AE57" s="137">
        <f>Summary_LCIA!V$32</f>
        <v>4.7760999999999999E-5</v>
      </c>
      <c r="AF57" s="137">
        <f>Summary_LCIA!W$32</f>
        <v>7.6970999999999998E-2</v>
      </c>
      <c r="AG57" s="137">
        <f>Summary_LCIA!X$32</f>
        <v>2.2780000000000002E-2</v>
      </c>
      <c r="AH57" s="137">
        <f>Summary_LCIA!Y$32</f>
        <v>1.5582E-2</v>
      </c>
      <c r="AI57" s="137">
        <f>Summary_LCIA!Z$32</f>
        <v>4.1009E-5</v>
      </c>
      <c r="AJ57" s="137">
        <f>Summary_LCIA!AA$32</f>
        <v>2.3355999999999998E-2</v>
      </c>
      <c r="AK57" s="137">
        <f>Summary_LCIA!AB$32</f>
        <v>-2.1823000000000001E-5</v>
      </c>
      <c r="AL57" s="137">
        <f>Summary_LCIA!AC$32</f>
        <v>4.8884000000000003E-8</v>
      </c>
      <c r="AM57" s="137">
        <f>Summary_LCIA!AD$32</f>
        <v>4.1103999999999999E-4</v>
      </c>
      <c r="AN57" s="137">
        <f>Summary_LCIA!AE$32</f>
        <v>8.8612999999999995E-4</v>
      </c>
      <c r="AO57" s="137">
        <f>Summary_LCIA!AF$32</f>
        <v>8.4542000000000005E-4</v>
      </c>
      <c r="AP57" s="137">
        <f>Summary_LCIA!AG$32</f>
        <v>5.1165000000000002E-5</v>
      </c>
      <c r="AQ57" s="137">
        <f>Summary_LCIA!AH$32</f>
        <v>8.7036000000000006E-3</v>
      </c>
      <c r="AR57" s="137">
        <f>Summary_LCIA!AI$32</f>
        <v>9.3154999999999996E-4</v>
      </c>
      <c r="AT57" s="137">
        <f t="shared" si="2"/>
        <v>164.07378919999999</v>
      </c>
      <c r="AU57" s="137">
        <f t="shared" si="14"/>
        <v>2393.0487757757819</v>
      </c>
      <c r="AV57" s="137">
        <f t="shared" si="15"/>
        <v>2.5425160223999996</v>
      </c>
      <c r="AW57" s="137">
        <f t="shared" si="16"/>
        <v>161.93957452000001</v>
      </c>
      <c r="AX57" s="137">
        <f t="shared" si="17"/>
        <v>53.065654599999995</v>
      </c>
      <c r="AY57" s="137">
        <f t="shared" si="18"/>
        <v>8.649846556</v>
      </c>
      <c r="AZ57" s="137">
        <f t="shared" si="19"/>
        <v>2.3061589893999999E-2</v>
      </c>
      <c r="BA57" s="137">
        <f t="shared" si="20"/>
        <v>37.165755233999995</v>
      </c>
      <c r="BB57" s="137">
        <f t="shared" si="21"/>
        <v>10.999414120000001</v>
      </c>
      <c r="BC57" s="137">
        <f t="shared" si="3"/>
        <v>7.523831028</v>
      </c>
      <c r="BD57" s="137">
        <f t="shared" si="4"/>
        <v>1.9801359686000001E-2</v>
      </c>
      <c r="BE57" s="137">
        <f t="shared" si="5"/>
        <v>11.277538023999998</v>
      </c>
      <c r="BF57" s="137">
        <f t="shared" si="6"/>
        <v>-1.0537322842000001E-2</v>
      </c>
      <c r="BG57" s="137">
        <f t="shared" si="7"/>
        <v>2.3603834936000001E-5</v>
      </c>
      <c r="BH57" s="137">
        <f t="shared" si="8"/>
        <v>0.19847230816</v>
      </c>
      <c r="BI57" s="137">
        <f t="shared" si="9"/>
        <v>0.42787141501999998</v>
      </c>
      <c r="BJ57" s="137">
        <f t="shared" si="10"/>
        <v>0.40821442868000002</v>
      </c>
      <c r="BK57" s="137">
        <f t="shared" si="11"/>
        <v>2.470522491E-2</v>
      </c>
      <c r="BL57" s="137">
        <f t="shared" si="12"/>
        <v>4.2025680744000002</v>
      </c>
      <c r="BM57" s="137">
        <f t="shared" si="13"/>
        <v>0.44980264369999995</v>
      </c>
    </row>
    <row r="58" spans="1:65" x14ac:dyDescent="0.25">
      <c r="A58" s="149">
        <v>268</v>
      </c>
      <c r="B58" s="149">
        <v>6</v>
      </c>
      <c r="C58" s="61">
        <v>43.615583000000001</v>
      </c>
      <c r="D58" s="61">
        <v>-84.247212000000005</v>
      </c>
      <c r="E58" s="61" t="s">
        <v>265</v>
      </c>
      <c r="F58" s="149">
        <v>78</v>
      </c>
      <c r="G58" s="61" t="s">
        <v>615</v>
      </c>
      <c r="H58" s="61" t="s">
        <v>616</v>
      </c>
      <c r="I58" s="61">
        <v>42.216248999999998</v>
      </c>
      <c r="J58" s="61">
        <v>-83.355363999999994</v>
      </c>
      <c r="K58" s="61">
        <v>239.54536110000001</v>
      </c>
      <c r="L58" s="61">
        <v>218.8</v>
      </c>
      <c r="M58" s="61" t="s">
        <v>617</v>
      </c>
      <c r="N58" s="149">
        <v>5</v>
      </c>
      <c r="O58" s="149">
        <v>6</v>
      </c>
      <c r="P58" s="61" t="s">
        <v>565</v>
      </c>
      <c r="Q58" s="61" t="s">
        <v>564</v>
      </c>
      <c r="R58" s="61">
        <v>41.98028</v>
      </c>
      <c r="S58" s="61">
        <v>-87.908997900000003</v>
      </c>
      <c r="T58" s="61">
        <v>493.80099999999999</v>
      </c>
      <c r="U58" s="61" t="s">
        <v>617</v>
      </c>
      <c r="V58" s="61" t="s">
        <v>617</v>
      </c>
      <c r="W58" s="61"/>
      <c r="X58" s="61"/>
      <c r="Y58" s="137">
        <f>Summary_LCIA!H$32</f>
        <v>0.33979999999999999</v>
      </c>
      <c r="Z58" s="137">
        <f>Summary_LCIA!Q$32</f>
        <v>4.9560504329999997</v>
      </c>
      <c r="AA58" s="137">
        <f>Summary_LCIA!R$32</f>
        <v>5.2655999999999996E-3</v>
      </c>
      <c r="AB58" s="137">
        <f>Summary_LCIA!S$32</f>
        <v>0.33538000000000001</v>
      </c>
      <c r="AC58" s="137">
        <f>Summary_LCIA!T$32</f>
        <v>0.1099</v>
      </c>
      <c r="AD58" s="137">
        <f>Summary_LCIA!U$32</f>
        <v>1.7913999999999999E-2</v>
      </c>
      <c r="AE58" s="137">
        <f>Summary_LCIA!V$32</f>
        <v>4.7760999999999999E-5</v>
      </c>
      <c r="AF58" s="137">
        <f>Summary_LCIA!W$32</f>
        <v>7.6970999999999998E-2</v>
      </c>
      <c r="AG58" s="137">
        <f>Summary_LCIA!X$32</f>
        <v>2.2780000000000002E-2</v>
      </c>
      <c r="AH58" s="137">
        <f>Summary_LCIA!Y$32</f>
        <v>1.5582E-2</v>
      </c>
      <c r="AI58" s="137">
        <f>Summary_LCIA!Z$32</f>
        <v>4.1009E-5</v>
      </c>
      <c r="AJ58" s="137">
        <f>Summary_LCIA!AA$32</f>
        <v>2.3355999999999998E-2</v>
      </c>
      <c r="AK58" s="137">
        <f>Summary_LCIA!AB$32</f>
        <v>-2.1823000000000001E-5</v>
      </c>
      <c r="AL58" s="137">
        <f>Summary_LCIA!AC$32</f>
        <v>4.8884000000000003E-8</v>
      </c>
      <c r="AM58" s="137">
        <f>Summary_LCIA!AD$32</f>
        <v>4.1103999999999999E-4</v>
      </c>
      <c r="AN58" s="137">
        <f>Summary_LCIA!AE$32</f>
        <v>8.8612999999999995E-4</v>
      </c>
      <c r="AO58" s="137">
        <f>Summary_LCIA!AF$32</f>
        <v>8.4542000000000005E-4</v>
      </c>
      <c r="AP58" s="137">
        <f>Summary_LCIA!AG$32</f>
        <v>5.1165000000000002E-5</v>
      </c>
      <c r="AQ58" s="137">
        <f>Summary_LCIA!AH$32</f>
        <v>8.7036000000000006E-3</v>
      </c>
      <c r="AR58" s="137">
        <f>Summary_LCIA!AI$32</f>
        <v>9.3154999999999996E-4</v>
      </c>
      <c r="AT58" s="137">
        <f t="shared" si="2"/>
        <v>167.7935798</v>
      </c>
      <c r="AU58" s="137">
        <f t="shared" si="14"/>
        <v>2447.302659865833</v>
      </c>
      <c r="AV58" s="137">
        <f t="shared" si="15"/>
        <v>2.6001585455999998</v>
      </c>
      <c r="AW58" s="137">
        <f t="shared" si="16"/>
        <v>165.61097938</v>
      </c>
      <c r="AX58" s="137">
        <f t="shared" si="17"/>
        <v>54.268729899999997</v>
      </c>
      <c r="AY58" s="137">
        <f t="shared" si="18"/>
        <v>8.845951114</v>
      </c>
      <c r="AZ58" s="137">
        <f t="shared" si="19"/>
        <v>2.3584429561E-2</v>
      </c>
      <c r="BA58" s="137">
        <f t="shared" si="20"/>
        <v>38.008356770999995</v>
      </c>
      <c r="BB58" s="137">
        <f t="shared" si="21"/>
        <v>11.24878678</v>
      </c>
      <c r="BC58" s="137">
        <f t="shared" si="3"/>
        <v>7.694407182</v>
      </c>
      <c r="BD58" s="137">
        <f t="shared" si="4"/>
        <v>2.0250285209000001E-2</v>
      </c>
      <c r="BE58" s="137">
        <f t="shared" si="5"/>
        <v>11.533216155999998</v>
      </c>
      <c r="BF58" s="137">
        <f t="shared" si="6"/>
        <v>-1.0776219223E-2</v>
      </c>
      <c r="BG58" s="137">
        <f t="shared" si="7"/>
        <v>2.4138968083999999E-5</v>
      </c>
      <c r="BH58" s="137">
        <f t="shared" si="8"/>
        <v>0.20297196303999998</v>
      </c>
      <c r="BI58" s="137">
        <f t="shared" si="9"/>
        <v>0.43757188012999998</v>
      </c>
      <c r="BJ58" s="137">
        <f t="shared" si="10"/>
        <v>0.41746924142000003</v>
      </c>
      <c r="BK58" s="137">
        <f t="shared" si="11"/>
        <v>2.5265328165E-2</v>
      </c>
      <c r="BL58" s="137">
        <f t="shared" si="12"/>
        <v>4.2978463836000005</v>
      </c>
      <c r="BM58" s="137">
        <f t="shared" si="13"/>
        <v>0.46000032154999998</v>
      </c>
    </row>
    <row r="59" spans="1:65" x14ac:dyDescent="0.25">
      <c r="A59" s="149">
        <v>269</v>
      </c>
      <c r="B59" s="149">
        <v>6</v>
      </c>
      <c r="C59" s="61">
        <v>43.615583000000001</v>
      </c>
      <c r="D59" s="61">
        <v>-84.247212000000005</v>
      </c>
      <c r="E59" s="61" t="s">
        <v>265</v>
      </c>
      <c r="F59" s="149">
        <v>78</v>
      </c>
      <c r="G59" s="61" t="s">
        <v>615</v>
      </c>
      <c r="H59" s="61" t="s">
        <v>616</v>
      </c>
      <c r="I59" s="61">
        <v>42.216248999999998</v>
      </c>
      <c r="J59" s="61">
        <v>-83.355363999999994</v>
      </c>
      <c r="K59" s="61">
        <v>239.54536110000001</v>
      </c>
      <c r="L59" s="61">
        <v>218.8</v>
      </c>
      <c r="M59" s="61" t="s">
        <v>617</v>
      </c>
      <c r="N59" s="149">
        <v>5</v>
      </c>
      <c r="O59" s="149">
        <v>6</v>
      </c>
      <c r="P59" s="61" t="s">
        <v>565</v>
      </c>
      <c r="Q59" s="61" t="s">
        <v>564</v>
      </c>
      <c r="R59" s="61">
        <v>41.98028</v>
      </c>
      <c r="S59" s="61">
        <v>-87.908997900000003</v>
      </c>
      <c r="T59" s="61">
        <v>493.80099999999999</v>
      </c>
      <c r="U59" s="61" t="s">
        <v>617</v>
      </c>
      <c r="V59" s="61" t="s">
        <v>617</v>
      </c>
      <c r="W59" s="61"/>
      <c r="X59" s="61"/>
      <c r="Y59" s="137">
        <f>Summary_LCIA!H$32</f>
        <v>0.33979999999999999</v>
      </c>
      <c r="Z59" s="137">
        <f>Summary_LCIA!Q$32</f>
        <v>4.9560504329999997</v>
      </c>
      <c r="AA59" s="137">
        <f>Summary_LCIA!R$32</f>
        <v>5.2655999999999996E-3</v>
      </c>
      <c r="AB59" s="137">
        <f>Summary_LCIA!S$32</f>
        <v>0.33538000000000001</v>
      </c>
      <c r="AC59" s="137">
        <f>Summary_LCIA!T$32</f>
        <v>0.1099</v>
      </c>
      <c r="AD59" s="137">
        <f>Summary_LCIA!U$32</f>
        <v>1.7913999999999999E-2</v>
      </c>
      <c r="AE59" s="137">
        <f>Summary_LCIA!V$32</f>
        <v>4.7760999999999999E-5</v>
      </c>
      <c r="AF59" s="137">
        <f>Summary_LCIA!W$32</f>
        <v>7.6970999999999998E-2</v>
      </c>
      <c r="AG59" s="137">
        <f>Summary_LCIA!X$32</f>
        <v>2.2780000000000002E-2</v>
      </c>
      <c r="AH59" s="137">
        <f>Summary_LCIA!Y$32</f>
        <v>1.5582E-2</v>
      </c>
      <c r="AI59" s="137">
        <f>Summary_LCIA!Z$32</f>
        <v>4.1009E-5</v>
      </c>
      <c r="AJ59" s="137">
        <f>Summary_LCIA!AA$32</f>
        <v>2.3355999999999998E-2</v>
      </c>
      <c r="AK59" s="137">
        <f>Summary_LCIA!AB$32</f>
        <v>-2.1823000000000001E-5</v>
      </c>
      <c r="AL59" s="137">
        <f>Summary_LCIA!AC$32</f>
        <v>4.8884000000000003E-8</v>
      </c>
      <c r="AM59" s="137">
        <f>Summary_LCIA!AD$32</f>
        <v>4.1103999999999999E-4</v>
      </c>
      <c r="AN59" s="137">
        <f>Summary_LCIA!AE$32</f>
        <v>8.8612999999999995E-4</v>
      </c>
      <c r="AO59" s="137">
        <f>Summary_LCIA!AF$32</f>
        <v>8.4542000000000005E-4</v>
      </c>
      <c r="AP59" s="137">
        <f>Summary_LCIA!AG$32</f>
        <v>5.1165000000000002E-5</v>
      </c>
      <c r="AQ59" s="137">
        <f>Summary_LCIA!AH$32</f>
        <v>8.7036000000000006E-3</v>
      </c>
      <c r="AR59" s="137">
        <f>Summary_LCIA!AI$32</f>
        <v>9.3154999999999996E-4</v>
      </c>
      <c r="AT59" s="137">
        <f t="shared" si="2"/>
        <v>167.7935798</v>
      </c>
      <c r="AU59" s="137">
        <f t="shared" si="14"/>
        <v>2447.302659865833</v>
      </c>
      <c r="AV59" s="137">
        <f t="shared" si="15"/>
        <v>2.6001585455999998</v>
      </c>
      <c r="AW59" s="137">
        <f t="shared" si="16"/>
        <v>165.61097938</v>
      </c>
      <c r="AX59" s="137">
        <f t="shared" si="17"/>
        <v>54.268729899999997</v>
      </c>
      <c r="AY59" s="137">
        <f t="shared" si="18"/>
        <v>8.845951114</v>
      </c>
      <c r="AZ59" s="137">
        <f t="shared" si="19"/>
        <v>2.3584429561E-2</v>
      </c>
      <c r="BA59" s="137">
        <f t="shared" si="20"/>
        <v>38.008356770999995</v>
      </c>
      <c r="BB59" s="137">
        <f t="shared" si="21"/>
        <v>11.24878678</v>
      </c>
      <c r="BC59" s="137">
        <f t="shared" si="3"/>
        <v>7.694407182</v>
      </c>
      <c r="BD59" s="137">
        <f t="shared" si="4"/>
        <v>2.0250285209000001E-2</v>
      </c>
      <c r="BE59" s="137">
        <f t="shared" si="5"/>
        <v>11.533216155999998</v>
      </c>
      <c r="BF59" s="137">
        <f t="shared" si="6"/>
        <v>-1.0776219223E-2</v>
      </c>
      <c r="BG59" s="137">
        <f t="shared" si="7"/>
        <v>2.4138968083999999E-5</v>
      </c>
      <c r="BH59" s="137">
        <f t="shared" si="8"/>
        <v>0.20297196303999998</v>
      </c>
      <c r="BI59" s="137">
        <f t="shared" si="9"/>
        <v>0.43757188012999998</v>
      </c>
      <c r="BJ59" s="137">
        <f t="shared" si="10"/>
        <v>0.41746924142000003</v>
      </c>
      <c r="BK59" s="137">
        <f t="shared" si="11"/>
        <v>2.5265328165E-2</v>
      </c>
      <c r="BL59" s="137">
        <f t="shared" si="12"/>
        <v>4.2978463836000005</v>
      </c>
      <c r="BM59" s="137">
        <f t="shared" si="13"/>
        <v>0.46000032154999998</v>
      </c>
    </row>
    <row r="60" spans="1:65" x14ac:dyDescent="0.25">
      <c r="A60" s="149">
        <v>270</v>
      </c>
      <c r="B60" s="149">
        <v>6</v>
      </c>
      <c r="C60" s="61">
        <v>43.615583000000001</v>
      </c>
      <c r="D60" s="61">
        <v>-84.247212000000005</v>
      </c>
      <c r="E60" s="61" t="s">
        <v>265</v>
      </c>
      <c r="F60" s="149">
        <v>78</v>
      </c>
      <c r="G60" s="61" t="s">
        <v>615</v>
      </c>
      <c r="H60" s="61" t="s">
        <v>616</v>
      </c>
      <c r="I60" s="61">
        <v>42.216248999999998</v>
      </c>
      <c r="J60" s="61">
        <v>-83.355363999999994</v>
      </c>
      <c r="K60" s="61">
        <v>239.54536110000001</v>
      </c>
      <c r="L60" s="61">
        <v>218.8</v>
      </c>
      <c r="M60" s="61" t="s">
        <v>617</v>
      </c>
      <c r="N60" s="149">
        <v>5</v>
      </c>
      <c r="O60" s="149">
        <v>6</v>
      </c>
      <c r="P60" s="61" t="s">
        <v>565</v>
      </c>
      <c r="Q60" s="61" t="s">
        <v>564</v>
      </c>
      <c r="R60" s="61">
        <v>41.98028</v>
      </c>
      <c r="S60" s="61">
        <v>-87.908997900000003</v>
      </c>
      <c r="T60" s="61">
        <v>493.80099999999999</v>
      </c>
      <c r="U60" s="61" t="s">
        <v>617</v>
      </c>
      <c r="V60" s="61" t="s">
        <v>617</v>
      </c>
      <c r="W60" s="61"/>
      <c r="X60" s="61"/>
      <c r="Y60" s="137">
        <f>Summary_LCIA!H$32</f>
        <v>0.33979999999999999</v>
      </c>
      <c r="Z60" s="137">
        <f>Summary_LCIA!Q$32</f>
        <v>4.9560504329999997</v>
      </c>
      <c r="AA60" s="137">
        <f>Summary_LCIA!R$32</f>
        <v>5.2655999999999996E-3</v>
      </c>
      <c r="AB60" s="137">
        <f>Summary_LCIA!S$32</f>
        <v>0.33538000000000001</v>
      </c>
      <c r="AC60" s="137">
        <f>Summary_LCIA!T$32</f>
        <v>0.1099</v>
      </c>
      <c r="AD60" s="137">
        <f>Summary_LCIA!U$32</f>
        <v>1.7913999999999999E-2</v>
      </c>
      <c r="AE60" s="137">
        <f>Summary_LCIA!V$32</f>
        <v>4.7760999999999999E-5</v>
      </c>
      <c r="AF60" s="137">
        <f>Summary_LCIA!W$32</f>
        <v>7.6970999999999998E-2</v>
      </c>
      <c r="AG60" s="137">
        <f>Summary_LCIA!X$32</f>
        <v>2.2780000000000002E-2</v>
      </c>
      <c r="AH60" s="137">
        <f>Summary_LCIA!Y$32</f>
        <v>1.5582E-2</v>
      </c>
      <c r="AI60" s="137">
        <f>Summary_LCIA!Z$32</f>
        <v>4.1009E-5</v>
      </c>
      <c r="AJ60" s="137">
        <f>Summary_LCIA!AA$32</f>
        <v>2.3355999999999998E-2</v>
      </c>
      <c r="AK60" s="137">
        <f>Summary_LCIA!AB$32</f>
        <v>-2.1823000000000001E-5</v>
      </c>
      <c r="AL60" s="137">
        <f>Summary_LCIA!AC$32</f>
        <v>4.8884000000000003E-8</v>
      </c>
      <c r="AM60" s="137">
        <f>Summary_LCIA!AD$32</f>
        <v>4.1103999999999999E-4</v>
      </c>
      <c r="AN60" s="137">
        <f>Summary_LCIA!AE$32</f>
        <v>8.8612999999999995E-4</v>
      </c>
      <c r="AO60" s="137">
        <f>Summary_LCIA!AF$32</f>
        <v>8.4542000000000005E-4</v>
      </c>
      <c r="AP60" s="137">
        <f>Summary_LCIA!AG$32</f>
        <v>5.1165000000000002E-5</v>
      </c>
      <c r="AQ60" s="137">
        <f>Summary_LCIA!AH$32</f>
        <v>8.7036000000000006E-3</v>
      </c>
      <c r="AR60" s="137">
        <f>Summary_LCIA!AI$32</f>
        <v>9.3154999999999996E-4</v>
      </c>
      <c r="AT60" s="137">
        <f>$T60*Y60</f>
        <v>167.7935798</v>
      </c>
      <c r="AU60" s="137">
        <f t="shared" si="14"/>
        <v>2447.302659865833</v>
      </c>
      <c r="AV60" s="137">
        <f t="shared" si="15"/>
        <v>2.6001585455999998</v>
      </c>
      <c r="AW60" s="137">
        <f t="shared" si="16"/>
        <v>165.61097938</v>
      </c>
      <c r="AX60" s="137">
        <f t="shared" si="17"/>
        <v>54.268729899999997</v>
      </c>
      <c r="AY60" s="137">
        <f t="shared" si="18"/>
        <v>8.845951114</v>
      </c>
      <c r="AZ60" s="137">
        <f t="shared" si="19"/>
        <v>2.3584429561E-2</v>
      </c>
      <c r="BA60" s="137">
        <f t="shared" si="20"/>
        <v>38.008356770999995</v>
      </c>
      <c r="BB60" s="137">
        <f t="shared" si="21"/>
        <v>11.24878678</v>
      </c>
      <c r="BC60" s="137">
        <f t="shared" si="3"/>
        <v>7.694407182</v>
      </c>
      <c r="BD60" s="137">
        <f t="shared" si="4"/>
        <v>2.0250285209000001E-2</v>
      </c>
      <c r="BE60" s="137">
        <f t="shared" si="5"/>
        <v>11.533216155999998</v>
      </c>
      <c r="BF60" s="137">
        <f t="shared" si="6"/>
        <v>-1.0776219223E-2</v>
      </c>
      <c r="BG60" s="137">
        <f t="shared" si="7"/>
        <v>2.4138968083999999E-5</v>
      </c>
      <c r="BH60" s="137">
        <f t="shared" si="8"/>
        <v>0.20297196303999998</v>
      </c>
      <c r="BI60" s="137">
        <f t="shared" si="9"/>
        <v>0.43757188012999998</v>
      </c>
      <c r="BJ60" s="137">
        <f t="shared" si="10"/>
        <v>0.41746924142000003</v>
      </c>
      <c r="BK60" s="137">
        <f t="shared" si="11"/>
        <v>2.5265328165E-2</v>
      </c>
      <c r="BL60" s="137">
        <f t="shared" si="12"/>
        <v>4.2978463836000005</v>
      </c>
      <c r="BM60" s="137">
        <f t="shared" si="13"/>
        <v>0.46000032154999998</v>
      </c>
    </row>
    <row r="61" spans="1:65" x14ac:dyDescent="0.25">
      <c r="A61" s="149">
        <v>271</v>
      </c>
      <c r="B61" s="149">
        <v>6</v>
      </c>
      <c r="C61" s="61">
        <v>43.615583000000001</v>
      </c>
      <c r="D61" s="61">
        <v>-84.247212000000005</v>
      </c>
      <c r="E61" s="61" t="s">
        <v>265</v>
      </c>
      <c r="F61" s="149">
        <v>78</v>
      </c>
      <c r="G61" s="61" t="s">
        <v>615</v>
      </c>
      <c r="H61" s="61" t="s">
        <v>616</v>
      </c>
      <c r="I61" s="61">
        <v>42.216248999999998</v>
      </c>
      <c r="J61" s="61">
        <v>-83.355363999999994</v>
      </c>
      <c r="K61" s="61">
        <v>239.54536110000001</v>
      </c>
      <c r="L61" s="61">
        <v>218.8</v>
      </c>
      <c r="M61" s="61" t="s">
        <v>617</v>
      </c>
      <c r="N61" s="149">
        <v>5</v>
      </c>
      <c r="O61" s="149">
        <v>6</v>
      </c>
      <c r="P61" s="61" t="s">
        <v>565</v>
      </c>
      <c r="Q61" s="61" t="s">
        <v>564</v>
      </c>
      <c r="R61" s="61">
        <v>41.98028</v>
      </c>
      <c r="S61" s="61">
        <v>-87.908997900000003</v>
      </c>
      <c r="T61" s="61">
        <v>493.80099999999999</v>
      </c>
      <c r="U61" s="61" t="s">
        <v>617</v>
      </c>
      <c r="V61" s="61" t="s">
        <v>617</v>
      </c>
      <c r="W61" s="61"/>
      <c r="X61" s="61"/>
      <c r="Y61" s="137">
        <f>Summary_LCIA!H$32</f>
        <v>0.33979999999999999</v>
      </c>
      <c r="Z61" s="137">
        <f>Summary_LCIA!Q$32</f>
        <v>4.9560504329999997</v>
      </c>
      <c r="AA61" s="137">
        <f>Summary_LCIA!R$32</f>
        <v>5.2655999999999996E-3</v>
      </c>
      <c r="AB61" s="137">
        <f>Summary_LCIA!S$32</f>
        <v>0.33538000000000001</v>
      </c>
      <c r="AC61" s="137">
        <f>Summary_LCIA!T$32</f>
        <v>0.1099</v>
      </c>
      <c r="AD61" s="137">
        <f>Summary_LCIA!U$32</f>
        <v>1.7913999999999999E-2</v>
      </c>
      <c r="AE61" s="137">
        <f>Summary_LCIA!V$32</f>
        <v>4.7760999999999999E-5</v>
      </c>
      <c r="AF61" s="137">
        <f>Summary_LCIA!W$32</f>
        <v>7.6970999999999998E-2</v>
      </c>
      <c r="AG61" s="137">
        <f>Summary_LCIA!X$32</f>
        <v>2.2780000000000002E-2</v>
      </c>
      <c r="AH61" s="137">
        <f>Summary_LCIA!Y$32</f>
        <v>1.5582E-2</v>
      </c>
      <c r="AI61" s="137">
        <f>Summary_LCIA!Z$32</f>
        <v>4.1009E-5</v>
      </c>
      <c r="AJ61" s="137">
        <f>Summary_LCIA!AA$32</f>
        <v>2.3355999999999998E-2</v>
      </c>
      <c r="AK61" s="137">
        <f>Summary_LCIA!AB$32</f>
        <v>-2.1823000000000001E-5</v>
      </c>
      <c r="AL61" s="137">
        <f>Summary_LCIA!AC$32</f>
        <v>4.8884000000000003E-8</v>
      </c>
      <c r="AM61" s="137">
        <f>Summary_LCIA!AD$32</f>
        <v>4.1103999999999999E-4</v>
      </c>
      <c r="AN61" s="137">
        <f>Summary_LCIA!AE$32</f>
        <v>8.8612999999999995E-4</v>
      </c>
      <c r="AO61" s="137">
        <f>Summary_LCIA!AF$32</f>
        <v>8.4542000000000005E-4</v>
      </c>
      <c r="AP61" s="137">
        <f>Summary_LCIA!AG$32</f>
        <v>5.1165000000000002E-5</v>
      </c>
      <c r="AQ61" s="137">
        <f>Summary_LCIA!AH$32</f>
        <v>8.7036000000000006E-3</v>
      </c>
      <c r="AR61" s="137">
        <f>Summary_LCIA!AI$32</f>
        <v>9.3154999999999996E-4</v>
      </c>
      <c r="AT61" s="137">
        <f>$T61*Y61</f>
        <v>167.7935798</v>
      </c>
      <c r="AU61" s="137">
        <f t="shared" si="14"/>
        <v>2447.302659865833</v>
      </c>
      <c r="AV61" s="137">
        <f t="shared" si="15"/>
        <v>2.6001585455999998</v>
      </c>
      <c r="AW61" s="137">
        <f t="shared" si="16"/>
        <v>165.61097938</v>
      </c>
      <c r="AX61" s="137">
        <f t="shared" si="17"/>
        <v>54.268729899999997</v>
      </c>
      <c r="AY61" s="137">
        <f t="shared" si="18"/>
        <v>8.845951114</v>
      </c>
      <c r="AZ61" s="137">
        <f t="shared" si="19"/>
        <v>2.3584429561E-2</v>
      </c>
      <c r="BA61" s="137">
        <f t="shared" si="20"/>
        <v>38.008356770999995</v>
      </c>
      <c r="BB61" s="137">
        <f t="shared" si="21"/>
        <v>11.24878678</v>
      </c>
      <c r="BC61" s="137">
        <f t="shared" si="3"/>
        <v>7.694407182</v>
      </c>
      <c r="BD61" s="137">
        <f t="shared" si="4"/>
        <v>2.0250285209000001E-2</v>
      </c>
      <c r="BE61" s="137">
        <f t="shared" si="5"/>
        <v>11.533216155999998</v>
      </c>
      <c r="BF61" s="137">
        <f t="shared" si="6"/>
        <v>-1.0776219223E-2</v>
      </c>
      <c r="BG61" s="137">
        <f t="shared" si="7"/>
        <v>2.4138968083999999E-5</v>
      </c>
      <c r="BH61" s="137">
        <f t="shared" si="8"/>
        <v>0.20297196303999998</v>
      </c>
      <c r="BI61" s="137">
        <f t="shared" si="9"/>
        <v>0.43757188012999998</v>
      </c>
      <c r="BJ61" s="137">
        <f t="shared" si="10"/>
        <v>0.41746924142000003</v>
      </c>
      <c r="BK61" s="137">
        <f t="shared" si="11"/>
        <v>2.5265328165E-2</v>
      </c>
      <c r="BL61" s="137">
        <f t="shared" si="12"/>
        <v>4.2978463836000005</v>
      </c>
      <c r="BM61" s="137">
        <f t="shared" si="13"/>
        <v>0.46000032154999998</v>
      </c>
    </row>
    <row r="62" spans="1:65" x14ac:dyDescent="0.25">
      <c r="A62" s="149">
        <v>54</v>
      </c>
      <c r="B62" s="149">
        <v>6</v>
      </c>
      <c r="C62" s="61">
        <v>42.698954000000001</v>
      </c>
      <c r="D62" s="61">
        <v>-83.249512999999993</v>
      </c>
      <c r="E62" s="61" t="s">
        <v>265</v>
      </c>
      <c r="F62" s="149">
        <v>78</v>
      </c>
      <c r="G62" s="61" t="s">
        <v>615</v>
      </c>
      <c r="H62" s="61" t="s">
        <v>616</v>
      </c>
      <c r="I62" s="61">
        <v>42.216248999999998</v>
      </c>
      <c r="J62" s="61">
        <v>-83.355363999999994</v>
      </c>
      <c r="K62" s="61">
        <v>80.862537599999996</v>
      </c>
      <c r="L62" s="61">
        <v>80.61</v>
      </c>
      <c r="M62" s="61" t="s">
        <v>617</v>
      </c>
      <c r="N62" s="149">
        <v>5</v>
      </c>
      <c r="O62" s="149">
        <v>6</v>
      </c>
      <c r="P62" s="61" t="s">
        <v>565</v>
      </c>
      <c r="Q62" s="61" t="s">
        <v>564</v>
      </c>
      <c r="R62" s="61">
        <v>41.98028</v>
      </c>
      <c r="S62" s="61">
        <v>-87.908997900000003</v>
      </c>
      <c r="T62" s="61">
        <v>497.61799999999999</v>
      </c>
      <c r="U62" s="61" t="s">
        <v>617</v>
      </c>
      <c r="V62" s="61" t="s">
        <v>617</v>
      </c>
      <c r="W62" s="61"/>
      <c r="X62" s="61"/>
      <c r="Y62" s="137">
        <f>Summary_LCIA!H$32</f>
        <v>0.33979999999999999</v>
      </c>
      <c r="Z62" s="137">
        <f>Summary_LCIA!Q$32</f>
        <v>4.9560504329999997</v>
      </c>
      <c r="AA62" s="137">
        <f>Summary_LCIA!R$32</f>
        <v>5.2655999999999996E-3</v>
      </c>
      <c r="AB62" s="137">
        <f>Summary_LCIA!S$32</f>
        <v>0.33538000000000001</v>
      </c>
      <c r="AC62" s="137">
        <f>Summary_LCIA!T$32</f>
        <v>0.1099</v>
      </c>
      <c r="AD62" s="137">
        <f>Summary_LCIA!U$32</f>
        <v>1.7913999999999999E-2</v>
      </c>
      <c r="AE62" s="137">
        <f>Summary_LCIA!V$32</f>
        <v>4.7760999999999999E-5</v>
      </c>
      <c r="AF62" s="137">
        <f>Summary_LCIA!W$32</f>
        <v>7.6970999999999998E-2</v>
      </c>
      <c r="AG62" s="137">
        <f>Summary_LCIA!X$32</f>
        <v>2.2780000000000002E-2</v>
      </c>
      <c r="AH62" s="137">
        <f>Summary_LCIA!Y$32</f>
        <v>1.5582E-2</v>
      </c>
      <c r="AI62" s="137">
        <f>Summary_LCIA!Z$32</f>
        <v>4.1009E-5</v>
      </c>
      <c r="AJ62" s="137">
        <f>Summary_LCIA!AA$32</f>
        <v>2.3355999999999998E-2</v>
      </c>
      <c r="AK62" s="137">
        <f>Summary_LCIA!AB$32</f>
        <v>-2.1823000000000001E-5</v>
      </c>
      <c r="AL62" s="137">
        <f>Summary_LCIA!AC$32</f>
        <v>4.8884000000000003E-8</v>
      </c>
      <c r="AM62" s="137">
        <f>Summary_LCIA!AD$32</f>
        <v>4.1103999999999999E-4</v>
      </c>
      <c r="AN62" s="137">
        <f>Summary_LCIA!AE$32</f>
        <v>8.8612999999999995E-4</v>
      </c>
      <c r="AO62" s="137">
        <f>Summary_LCIA!AF$32</f>
        <v>8.4542000000000005E-4</v>
      </c>
      <c r="AP62" s="137">
        <f>Summary_LCIA!AG$32</f>
        <v>5.1165000000000002E-5</v>
      </c>
      <c r="AQ62" s="137">
        <f>Summary_LCIA!AH$32</f>
        <v>8.7036000000000006E-3</v>
      </c>
      <c r="AR62" s="137">
        <f>Summary_LCIA!AI$32</f>
        <v>9.3154999999999996E-4</v>
      </c>
      <c r="AT62" s="137">
        <f>$T62*Y62</f>
        <v>169.09059639999998</v>
      </c>
      <c r="AU62" s="137">
        <f t="shared" si="14"/>
        <v>2466.2199043685937</v>
      </c>
      <c r="AV62" s="137">
        <f t="shared" si="15"/>
        <v>2.6202573407999998</v>
      </c>
      <c r="AW62" s="137">
        <f t="shared" si="16"/>
        <v>166.89112484</v>
      </c>
      <c r="AX62" s="137">
        <f t="shared" si="17"/>
        <v>54.688218200000001</v>
      </c>
      <c r="AY62" s="137">
        <f t="shared" si="18"/>
        <v>8.9143288519999988</v>
      </c>
      <c r="AZ62" s="137">
        <f t="shared" si="19"/>
        <v>2.3766733297999998E-2</v>
      </c>
      <c r="BA62" s="137">
        <f t="shared" si="20"/>
        <v>38.302155077999998</v>
      </c>
      <c r="BB62" s="137">
        <f t="shared" si="21"/>
        <v>11.335738040000001</v>
      </c>
      <c r="BC62" s="137">
        <f t="shared" si="3"/>
        <v>7.7538836760000001</v>
      </c>
      <c r="BD62" s="137">
        <f t="shared" si="4"/>
        <v>2.0406816562E-2</v>
      </c>
      <c r="BE62" s="137">
        <f t="shared" si="5"/>
        <v>11.622366007999998</v>
      </c>
      <c r="BF62" s="137">
        <f t="shared" si="6"/>
        <v>-1.0859517614000001E-2</v>
      </c>
      <c r="BG62" s="137">
        <f t="shared" si="7"/>
        <v>2.4325558312E-5</v>
      </c>
      <c r="BH62" s="137">
        <f t="shared" si="8"/>
        <v>0.20454090272</v>
      </c>
      <c r="BI62" s="137">
        <f t="shared" si="9"/>
        <v>0.44095423833999997</v>
      </c>
      <c r="BJ62" s="137">
        <f t="shared" si="10"/>
        <v>0.42069620956000003</v>
      </c>
      <c r="BK62" s="137">
        <f t="shared" si="11"/>
        <v>2.5460624970000002E-2</v>
      </c>
      <c r="BL62" s="137">
        <f t="shared" si="12"/>
        <v>4.3310680248000004</v>
      </c>
      <c r="BM62" s="137">
        <f t="shared" si="13"/>
        <v>0.46355604789999999</v>
      </c>
    </row>
    <row r="63" spans="1:65" x14ac:dyDescent="0.25">
      <c r="A63" s="149">
        <v>90</v>
      </c>
      <c r="B63" s="149">
        <v>6</v>
      </c>
      <c r="C63" s="61">
        <v>39.563648000000001</v>
      </c>
      <c r="D63" s="61">
        <v>-84.231724</v>
      </c>
      <c r="E63" s="61" t="s">
        <v>265</v>
      </c>
      <c r="F63" s="149">
        <v>109</v>
      </c>
      <c r="G63" s="61" t="s">
        <v>273</v>
      </c>
      <c r="H63" s="61" t="s">
        <v>665</v>
      </c>
      <c r="I63" s="61">
        <v>39.053274999999999</v>
      </c>
      <c r="J63" s="61">
        <v>-84.663016999999996</v>
      </c>
      <c r="K63" s="61">
        <v>94.489521969999998</v>
      </c>
      <c r="L63" s="61">
        <v>86.263999999999996</v>
      </c>
      <c r="M63" s="61" t="s">
        <v>617</v>
      </c>
      <c r="N63" s="149">
        <v>5</v>
      </c>
      <c r="O63" s="149">
        <v>6</v>
      </c>
      <c r="P63" s="61" t="s">
        <v>565</v>
      </c>
      <c r="Q63" s="61" t="s">
        <v>564</v>
      </c>
      <c r="R63" s="61">
        <v>41.98028</v>
      </c>
      <c r="S63" s="61">
        <v>-87.908997900000003</v>
      </c>
      <c r="T63" s="61">
        <v>528.36800000000005</v>
      </c>
      <c r="U63" s="61" t="s">
        <v>617</v>
      </c>
      <c r="V63" s="61" t="s">
        <v>569</v>
      </c>
      <c r="W63" s="61" cm="1">
        <f t="array" ref="W63">getDistance(I63,J63,R63,S63)*SA!$B$12</f>
        <v>426.22298474711437</v>
      </c>
      <c r="X63" s="61"/>
      <c r="Y63" s="137">
        <f>Transportation_LCIA!C$61*($W63^Transportation_LCIA!C$60)+Transportation_LCIA!C$62</f>
        <v>0.36470937059724018</v>
      </c>
      <c r="Z63" s="137">
        <f>Transportation_LCIA!D$61*($W63^Transportation_LCIA!D$60)+Transportation_LCIA!D$62</f>
        <v>3.9599843643856643</v>
      </c>
      <c r="AA63" s="137">
        <f>Transportation_LCIA!E$61*($W63^Transportation_LCIA!E$60)+Transportation_LCIA!E$62</f>
        <v>2.1590522921276657E-3</v>
      </c>
      <c r="AB63" s="137">
        <f>Transportation_LCIA!F$61*($W63^Transportation_LCIA!F$60)+Transportation_LCIA!F$62</f>
        <v>0.36470937059724018</v>
      </c>
      <c r="AC63" s="137">
        <f>Transportation_LCIA!G$61*($W63^Transportation_LCIA!G$60)+Transportation_LCIA!G$62</f>
        <v>9.2146692060025251E-2</v>
      </c>
      <c r="AD63" s="137">
        <f>Transportation_LCIA!H$61*($W63^Transportation_LCIA!H$60)+Transportation_LCIA!H$62</f>
        <v>5.0249575772855042E-4</v>
      </c>
      <c r="AE63" s="137">
        <f>Transportation_LCIA!I$61*($W63^Transportation_LCIA!I$60)+Transportation_LCIA!I$62</f>
        <v>1.1708483079934808E-5</v>
      </c>
      <c r="AF63" s="137">
        <f>Transportation_LCIA!J$61*($W63^Transportation_LCIA!J$60)+Transportation_LCIA!J$62</f>
        <v>1.7488363461505577E-2</v>
      </c>
      <c r="AG63" s="137">
        <f>Transportation_LCIA!K$61*($W63^Transportation_LCIA!K$60)+Transportation_LCIA!K$62</f>
        <v>2.0421310133522361E-2</v>
      </c>
      <c r="AH63" s="137">
        <f>Transportation_LCIA!L$61*($W63^Transportation_LCIA!L$60)+Transportation_LCIA!L$62</f>
        <v>4.4847627034344826E-4</v>
      </c>
      <c r="AI63" s="137">
        <f>Transportation_LCIA!M$61*($W63^Transportation_LCIA!M$60)+Transportation_LCIA!M$62</f>
        <v>3.6824791490361742E-4</v>
      </c>
      <c r="AJ63" s="137">
        <f>Transportation_LCIA!N$61*($W63^Transportation_LCIA!N$60)+Transportation_LCIA!N$62</f>
        <v>1.7475719590774809E-3</v>
      </c>
      <c r="AK63" s="137">
        <f>Transportation_LCIA!O$61*($W63^Transportation_LCIA!O$60)+Transportation_LCIA!O$62</f>
        <v>9.7603127192632193E-5</v>
      </c>
      <c r="AL63" s="137">
        <f>Transportation_LCIA!P$61*($W63^Transportation_LCIA!P$60)+Transportation_LCIA!P$62</f>
        <v>4.7067607312152108E-8</v>
      </c>
      <c r="AM63" s="137">
        <f>Transportation_LCIA!Q$61*($W63^Transportation_LCIA!Q$60)+Transportation_LCIA!Q$62</f>
        <v>1.7674817037411348E-4</v>
      </c>
      <c r="AN63" s="137">
        <f>Transportation_LCIA!R$61*($W63^Transportation_LCIA!R$60)+Transportation_LCIA!R$62</f>
        <v>5.6242472670821938E-4</v>
      </c>
      <c r="AO63" s="137">
        <f>Transportation_LCIA!S$61*($W63^Transportation_LCIA!S$60)+Transportation_LCIA!S$62</f>
        <v>8.2361540379476893E-6</v>
      </c>
      <c r="AP63" s="137">
        <f>Transportation_LCIA!T$61*($W63^Transportation_LCIA!T$60)+Transportation_LCIA!T$62</f>
        <v>8.2361540379476893E-6</v>
      </c>
      <c r="AQ63" s="137">
        <f>Transportation_LCIA!U$61*($W63^Transportation_LCIA!U$60)+Transportation_LCIA!U$62</f>
        <v>1.2222632354241475E-3</v>
      </c>
      <c r="AR63" s="137">
        <f>Transportation_LCIA!V$61*($W63^Transportation_LCIA!V$60)+Transportation_LCIA!V$62</f>
        <v>4.6051342935052081E-4</v>
      </c>
      <c r="AT63" s="137">
        <f>$W63*Y63+$L63*Summary_LCIA!H$32</f>
        <v>184.76002370119718</v>
      </c>
      <c r="AU63" s="137">
        <f>$W63*Z63+$L63*Summary_LCIA!Q$32</f>
        <v>2115.3650898926744</v>
      </c>
      <c r="AV63" s="137">
        <f>$W63*AA63+$L63*Summary_LCIA!R$32</f>
        <v>1.3744694305757523</v>
      </c>
      <c r="AW63" s="137">
        <f>$W63*AB63+$L63*Summary_LCIA!S$32</f>
        <v>184.37873682119718</v>
      </c>
      <c r="AX63" s="137">
        <f>$W63*AC63+$L63*Summary_LCIA!T$32</f>
        <v>48.755451724397183</v>
      </c>
      <c r="AY63" s="137">
        <f>$W63*AD63+$L63*Summary_LCIA!U$32</f>
        <v>1.7595085376818256</v>
      </c>
      <c r="AZ63" s="137">
        <f>$W63*AE63+$L63*Summary_LCIA!V$32</f>
        <v>9.110479509190899E-3</v>
      </c>
      <c r="BA63" s="137">
        <f>$W63*AF63+$L63*Summary_LCIA!W$32</f>
        <v>14.093768816905282</v>
      </c>
      <c r="BB63" s="137">
        <f>$W63*AG63+$L63*Summary_LCIA!X$32</f>
        <v>10.669125677556393</v>
      </c>
      <c r="BC63" s="137">
        <f>$W63*AH63+$L63*Summary_LCIA!Y$32</f>
        <v>1.5353165425340383</v>
      </c>
      <c r="BD63" s="137">
        <f>$W63*AI63+$L63*Summary_LCIA!Z$32</f>
        <v>0.1604933257931212</v>
      </c>
      <c r="BE63" s="137">
        <f>$W63*AJ63+$L63*Summary_LCIA!AA$32</f>
        <v>2.7596373204583657</v>
      </c>
      <c r="BF63" s="137">
        <f>$W63*AK63+$L63*Summary_LCIA!AB$32</f>
        <v>3.9718156920695934E-2</v>
      </c>
      <c r="BG63" s="137">
        <f>$W63*AL63+$L63*Summary_LCIA!AC$32</f>
        <v>2.4278225449490579E-5</v>
      </c>
      <c r="BH63" s="137">
        <f>$W63*AM63+$L63*Summary_LCIA!AD$32</f>
        <v>0.11079208728544615</v>
      </c>
      <c r="BI63" s="137">
        <f>$W63*AN63+$L63*Summary_LCIA!AE$32</f>
        <v>0.31615946403315737</v>
      </c>
      <c r="BJ63" s="137">
        <f>$W63*AO63+$L63*Summary_LCIA!AF$32</f>
        <v>7.6439749036891061E-2</v>
      </c>
      <c r="BK63" s="137">
        <f>$W63*AP63+$L63*Summary_LCIA!AG$32</f>
        <v>7.9241357168910627E-3</v>
      </c>
      <c r="BL63" s="137">
        <f>$W63*AQ63+$L63*Summary_LCIA!AH$32</f>
        <v>1.271764034749145</v>
      </c>
      <c r="BM63" s="137">
        <f>$W63*AR63+$L63*Summary_LCIA!AI$32</f>
        <v>0.27664063757390833</v>
      </c>
    </row>
    <row r="64" spans="1:65" x14ac:dyDescent="0.25">
      <c r="A64" s="149">
        <v>349</v>
      </c>
      <c r="B64" s="149">
        <v>6</v>
      </c>
      <c r="C64" s="61">
        <v>39.552281000000001</v>
      </c>
      <c r="D64" s="61">
        <v>-84.233271999999999</v>
      </c>
      <c r="E64" s="61" t="s">
        <v>265</v>
      </c>
      <c r="F64" s="149">
        <v>109</v>
      </c>
      <c r="G64" s="61" t="s">
        <v>273</v>
      </c>
      <c r="H64" s="61" t="s">
        <v>665</v>
      </c>
      <c r="I64" s="61">
        <v>39.053274999999999</v>
      </c>
      <c r="J64" s="61">
        <v>-84.663016999999996</v>
      </c>
      <c r="K64" s="61">
        <v>92.693861600000005</v>
      </c>
      <c r="L64" s="61">
        <v>85.906000000000006</v>
      </c>
      <c r="M64" s="61" t="s">
        <v>617</v>
      </c>
      <c r="N64" s="149">
        <v>5</v>
      </c>
      <c r="O64" s="149">
        <v>6</v>
      </c>
      <c r="P64" s="61" t="s">
        <v>565</v>
      </c>
      <c r="Q64" s="61" t="s">
        <v>564</v>
      </c>
      <c r="R64" s="61">
        <v>41.98028</v>
      </c>
      <c r="S64" s="61">
        <v>-87.908997900000003</v>
      </c>
      <c r="T64" s="61">
        <v>529.49400000000003</v>
      </c>
      <c r="U64" s="61" t="s">
        <v>617</v>
      </c>
      <c r="V64" s="61" t="s">
        <v>569</v>
      </c>
      <c r="W64" s="61" cm="1">
        <f t="array" ref="W64">getDistance(I64,J64,R64,S64)*SA!$B$12</f>
        <v>426.22298474711437</v>
      </c>
      <c r="X64" s="61"/>
      <c r="Y64" s="137">
        <f>Transportation_LCIA!C$61*($W64^Transportation_LCIA!C$60)+Transportation_LCIA!C$62</f>
        <v>0.36470937059724018</v>
      </c>
      <c r="Z64" s="137">
        <f>Transportation_LCIA!D$61*($W64^Transportation_LCIA!D$60)+Transportation_LCIA!D$62</f>
        <v>3.9599843643856643</v>
      </c>
      <c r="AA64" s="137">
        <f>Transportation_LCIA!E$61*($W64^Transportation_LCIA!E$60)+Transportation_LCIA!E$62</f>
        <v>2.1590522921276657E-3</v>
      </c>
      <c r="AB64" s="137">
        <f>Transportation_LCIA!F$61*($W64^Transportation_LCIA!F$60)+Transportation_LCIA!F$62</f>
        <v>0.36470937059724018</v>
      </c>
      <c r="AC64" s="137">
        <f>Transportation_LCIA!G$61*($W64^Transportation_LCIA!G$60)+Transportation_LCIA!G$62</f>
        <v>9.2146692060025251E-2</v>
      </c>
      <c r="AD64" s="137">
        <f>Transportation_LCIA!H$61*($W64^Transportation_LCIA!H$60)+Transportation_LCIA!H$62</f>
        <v>5.0249575772855042E-4</v>
      </c>
      <c r="AE64" s="137">
        <f>Transportation_LCIA!I$61*($W64^Transportation_LCIA!I$60)+Transportation_LCIA!I$62</f>
        <v>1.1708483079934808E-5</v>
      </c>
      <c r="AF64" s="137">
        <f>Transportation_LCIA!J$61*($W64^Transportation_LCIA!J$60)+Transportation_LCIA!J$62</f>
        <v>1.7488363461505577E-2</v>
      </c>
      <c r="AG64" s="137">
        <f>Transportation_LCIA!K$61*($W64^Transportation_LCIA!K$60)+Transportation_LCIA!K$62</f>
        <v>2.0421310133522361E-2</v>
      </c>
      <c r="AH64" s="137">
        <f>Transportation_LCIA!L$61*($W64^Transportation_LCIA!L$60)+Transportation_LCIA!L$62</f>
        <v>4.4847627034344826E-4</v>
      </c>
      <c r="AI64" s="137">
        <f>Transportation_LCIA!M$61*($W64^Transportation_LCIA!M$60)+Transportation_LCIA!M$62</f>
        <v>3.6824791490361742E-4</v>
      </c>
      <c r="AJ64" s="137">
        <f>Transportation_LCIA!N$61*($W64^Transportation_LCIA!N$60)+Transportation_LCIA!N$62</f>
        <v>1.7475719590774809E-3</v>
      </c>
      <c r="AK64" s="137">
        <f>Transportation_LCIA!O$61*($W64^Transportation_LCIA!O$60)+Transportation_LCIA!O$62</f>
        <v>9.7603127192632193E-5</v>
      </c>
      <c r="AL64" s="137">
        <f>Transportation_LCIA!P$61*($W64^Transportation_LCIA!P$60)+Transportation_LCIA!P$62</f>
        <v>4.7067607312152108E-8</v>
      </c>
      <c r="AM64" s="137">
        <f>Transportation_LCIA!Q$61*($W64^Transportation_LCIA!Q$60)+Transportation_LCIA!Q$62</f>
        <v>1.7674817037411348E-4</v>
      </c>
      <c r="AN64" s="137">
        <f>Transportation_LCIA!R$61*($W64^Transportation_LCIA!R$60)+Transportation_LCIA!R$62</f>
        <v>5.6242472670821938E-4</v>
      </c>
      <c r="AO64" s="137">
        <f>Transportation_LCIA!S$61*($W64^Transportation_LCIA!S$60)+Transportation_LCIA!S$62</f>
        <v>8.2361540379476893E-6</v>
      </c>
      <c r="AP64" s="137">
        <f>Transportation_LCIA!T$61*($W64^Transportation_LCIA!T$60)+Transportation_LCIA!T$62</f>
        <v>8.2361540379476893E-6</v>
      </c>
      <c r="AQ64" s="137">
        <f>Transportation_LCIA!U$61*($W64^Transportation_LCIA!U$60)+Transportation_LCIA!U$62</f>
        <v>1.2222632354241475E-3</v>
      </c>
      <c r="AR64" s="137">
        <f>Transportation_LCIA!V$61*($W64^Transportation_LCIA!V$60)+Transportation_LCIA!V$62</f>
        <v>4.6051342935052081E-4</v>
      </c>
      <c r="AT64" s="137">
        <f>$W64*Y64+$L64*Summary_LCIA!H$32</f>
        <v>184.63837530119719</v>
      </c>
      <c r="AU64" s="137">
        <f>$W64*Z64+$L64*Summary_LCIA!Q$32</f>
        <v>2113.5908238376605</v>
      </c>
      <c r="AV64" s="137">
        <f>$W64*AA64+$L64*Summary_LCIA!R$32</f>
        <v>1.3725843457757523</v>
      </c>
      <c r="AW64" s="137">
        <f>$W64*AB64+$L64*Summary_LCIA!S$32</f>
        <v>184.2586707811972</v>
      </c>
      <c r="AX64" s="137">
        <f>$W64*AC64+$L64*Summary_LCIA!T$32</f>
        <v>48.716107524397188</v>
      </c>
      <c r="AY64" s="137">
        <f>$W64*AD64+$L64*Summary_LCIA!U$32</f>
        <v>1.7530953256818258</v>
      </c>
      <c r="AZ64" s="137">
        <f>$W64*AE64+$L64*Summary_LCIA!V$32</f>
        <v>9.0933810711909015E-3</v>
      </c>
      <c r="BA64" s="137">
        <f>$W64*AF64+$L64*Summary_LCIA!W$32</f>
        <v>14.066213198905285</v>
      </c>
      <c r="BB64" s="137">
        <f>$W64*AG64+$L64*Summary_LCIA!X$32</f>
        <v>10.660970437556394</v>
      </c>
      <c r="BC64" s="137">
        <f>$W64*AH64+$L64*Summary_LCIA!Y$32</f>
        <v>1.5297381865340385</v>
      </c>
      <c r="BD64" s="137">
        <f>$W64*AI64+$L64*Summary_LCIA!Z$32</f>
        <v>0.16047864457112118</v>
      </c>
      <c r="BE64" s="137">
        <f>$W64*AJ64+$L64*Summary_LCIA!AA$32</f>
        <v>2.7512758724583657</v>
      </c>
      <c r="BF64" s="137">
        <f>$W64*AK64+$L64*Summary_LCIA!AB$32</f>
        <v>3.9725969554695935E-2</v>
      </c>
      <c r="BG64" s="137">
        <f>$W64*AL64+$L64*Summary_LCIA!AC$32</f>
        <v>2.4260724977490579E-5</v>
      </c>
      <c r="BH64" s="137">
        <f>$W64*AM64+$L64*Summary_LCIA!AD$32</f>
        <v>0.11064493496544614</v>
      </c>
      <c r="BI64" s="137">
        <f>$W64*AN64+$L64*Summary_LCIA!AE$32</f>
        <v>0.31584222949315738</v>
      </c>
      <c r="BJ64" s="137">
        <f>$W64*AO64+$L64*Summary_LCIA!AF$32</f>
        <v>7.6137088676891063E-2</v>
      </c>
      <c r="BK64" s="137">
        <f>$W64*AP64+$L64*Summary_LCIA!AG$32</f>
        <v>7.9058186468910635E-3</v>
      </c>
      <c r="BL64" s="137">
        <f>$W64*AQ64+$L64*Summary_LCIA!AH$32</f>
        <v>1.2686481459491452</v>
      </c>
      <c r="BM64" s="137">
        <f>$W64*AR64+$L64*Summary_LCIA!AI$32</f>
        <v>0.27630714267390838</v>
      </c>
    </row>
    <row r="65" spans="1:65" x14ac:dyDescent="0.25">
      <c r="A65" s="149">
        <v>209</v>
      </c>
      <c r="B65" s="149">
        <v>6</v>
      </c>
      <c r="C65" s="61">
        <v>42.810535999999999</v>
      </c>
      <c r="D65" s="61">
        <v>-83.079087000000001</v>
      </c>
      <c r="E65" s="61" t="s">
        <v>265</v>
      </c>
      <c r="F65" s="149">
        <v>78</v>
      </c>
      <c r="G65" s="61" t="s">
        <v>615</v>
      </c>
      <c r="H65" s="61" t="s">
        <v>616</v>
      </c>
      <c r="I65" s="61">
        <v>42.216248999999998</v>
      </c>
      <c r="J65" s="61">
        <v>-83.355363999999994</v>
      </c>
      <c r="K65" s="61">
        <v>102.2416606</v>
      </c>
      <c r="L65" s="61">
        <v>88.736999999999995</v>
      </c>
      <c r="M65" s="61" t="s">
        <v>617</v>
      </c>
      <c r="N65" s="149">
        <v>5</v>
      </c>
      <c r="O65" s="149">
        <v>6</v>
      </c>
      <c r="P65" s="61" t="s">
        <v>565</v>
      </c>
      <c r="Q65" s="61" t="s">
        <v>564</v>
      </c>
      <c r="R65" s="61">
        <v>41.98028</v>
      </c>
      <c r="S65" s="61">
        <v>-87.908997900000003</v>
      </c>
      <c r="T65" s="61">
        <v>532.41999999999996</v>
      </c>
      <c r="U65" s="61" t="s">
        <v>617</v>
      </c>
      <c r="V65" s="61" t="s">
        <v>569</v>
      </c>
      <c r="W65" s="61" cm="1">
        <f t="array" ref="W65">getDistance(I65,J65,R65,S65)*SA!$B$12</f>
        <v>377.55996592631055</v>
      </c>
      <c r="X65" s="61"/>
      <c r="Y65" s="137">
        <f>Transportation_LCIA!C$61*($W65^Transportation_LCIA!C$60)+Transportation_LCIA!C$62</f>
        <v>0.39177321151276934</v>
      </c>
      <c r="Z65" s="137">
        <f>Transportation_LCIA!D$61*($W65^Transportation_LCIA!D$60)+Transportation_LCIA!D$62</f>
        <v>4.2885469298554302</v>
      </c>
      <c r="AA65" s="137">
        <f>Transportation_LCIA!E$61*($W65^Transportation_LCIA!E$60)+Transportation_LCIA!E$62</f>
        <v>2.3774892800205579E-3</v>
      </c>
      <c r="AB65" s="137">
        <f>Transportation_LCIA!F$61*($W65^Transportation_LCIA!F$60)+Transportation_LCIA!F$62</f>
        <v>0.39177321151276934</v>
      </c>
      <c r="AC65" s="137">
        <f>Transportation_LCIA!G$61*($W65^Transportation_LCIA!G$60)+Transportation_LCIA!G$62</f>
        <v>9.9730740674667376E-2</v>
      </c>
      <c r="AD65" s="137">
        <f>Transportation_LCIA!H$61*($W65^Transportation_LCIA!H$60)+Transportation_LCIA!H$62</f>
        <v>5.5159056743946447E-4</v>
      </c>
      <c r="AE65" s="137">
        <f>Transportation_LCIA!I$61*($W65^Transportation_LCIA!I$60)+Transportation_LCIA!I$62</f>
        <v>1.2988810045312625E-5</v>
      </c>
      <c r="AF65" s="137">
        <f>Transportation_LCIA!J$61*($W65^Transportation_LCIA!J$60)+Transportation_LCIA!J$62</f>
        <v>1.9439626149728245E-2</v>
      </c>
      <c r="AG65" s="137">
        <f>Transportation_LCIA!K$61*($W65^Transportation_LCIA!K$60)+Transportation_LCIA!K$62</f>
        <v>2.2227364305679936E-2</v>
      </c>
      <c r="AH65" s="137">
        <f>Transportation_LCIA!L$61*($W65^Transportation_LCIA!L$60)+Transportation_LCIA!L$62</f>
        <v>4.9406726591070139E-4</v>
      </c>
      <c r="AI65" s="137">
        <f>Transportation_LCIA!M$61*($W65^Transportation_LCIA!M$60)+Transportation_LCIA!M$62</f>
        <v>3.9537528709454031E-4</v>
      </c>
      <c r="AJ65" s="137">
        <f>Transportation_LCIA!N$61*($W65^Transportation_LCIA!N$60)+Transportation_LCIA!N$62</f>
        <v>1.9121741222974152E-3</v>
      </c>
      <c r="AK65" s="137">
        <f>Transportation_LCIA!O$61*($W65^Transportation_LCIA!O$60)+Transportation_LCIA!O$62</f>
        <v>1.0567090816044529E-4</v>
      </c>
      <c r="AL65" s="137">
        <f>Transportation_LCIA!P$61*($W65^Transportation_LCIA!P$60)+Transportation_LCIA!P$62</f>
        <v>5.0935129732250114E-8</v>
      </c>
      <c r="AM65" s="137">
        <f>Transportation_LCIA!Q$61*($W65^Transportation_LCIA!Q$60)+Transportation_LCIA!Q$62</f>
        <v>1.9467109253194182E-4</v>
      </c>
      <c r="AN65" s="137">
        <f>Transportation_LCIA!R$61*($W65^Transportation_LCIA!R$60)+Transportation_LCIA!R$62</f>
        <v>6.2387261985424414E-4</v>
      </c>
      <c r="AO65" s="137">
        <f>Transportation_LCIA!S$61*($W65^Transportation_LCIA!S$60)+Transportation_LCIA!S$62</f>
        <v>9.1068518980920511E-6</v>
      </c>
      <c r="AP65" s="137">
        <f>Transportation_LCIA!T$61*($W65^Transportation_LCIA!T$60)+Transportation_LCIA!T$62</f>
        <v>9.1068518980920511E-6</v>
      </c>
      <c r="AQ65" s="137">
        <f>Transportation_LCIA!U$61*($W65^Transportation_LCIA!U$60)+Transportation_LCIA!U$62</f>
        <v>1.3579254338977325E-3</v>
      </c>
      <c r="AR65" s="137">
        <f>Transportation_LCIA!V$61*($W65^Transportation_LCIA!V$60)+Transportation_LCIA!V$62</f>
        <v>5.0746659917131709E-4</v>
      </c>
      <c r="AT65" s="137">
        <f>$W65*Y65+$L65*Summary_LCIA!H$32</f>
        <v>178.07071298960244</v>
      </c>
      <c r="AU65" s="137">
        <f>$W65*Z65+$L65*Summary_LCIA!Q$32</f>
        <v>2058.9686799827209</v>
      </c>
      <c r="AV65" s="137">
        <f>$W65*AA65+$L65*Summary_LCIA!R$32</f>
        <v>1.3648983187547303</v>
      </c>
      <c r="AW65" s="137">
        <f>$W65*AB65+$L65*Summary_LCIA!S$32</f>
        <v>177.67849544960245</v>
      </c>
      <c r="AX65" s="137">
        <f>$W65*AC65+$L65*Summary_LCIA!T$32</f>
        <v>47.406531350933129</v>
      </c>
      <c r="AY65" s="137">
        <f>$W65*AD65+$L65*Summary_LCIA!U$32</f>
        <v>1.7978931338477184</v>
      </c>
      <c r="AZ65" s="137">
        <f>$W65*AE65+$L65*Summary_LCIA!V$32</f>
        <v>9.1422225351315556E-3</v>
      </c>
      <c r="BA65" s="137">
        <f>$W65*AF65+$L65*Summary_LCIA!W$32</f>
        <v>14.169800213711611</v>
      </c>
      <c r="BB65" s="137">
        <f>$W65*AG65+$L65*Summary_LCIA!X$32</f>
        <v>10.413591769884208</v>
      </c>
      <c r="BC65" s="137">
        <f>$W65*AH65+$L65*Summary_LCIA!Y$32</f>
        <v>1.5692399540825497</v>
      </c>
      <c r="BD65" s="137">
        <f>$W65*AI65+$L65*Summary_LCIA!Z$32</f>
        <v>0.15291689555651991</v>
      </c>
      <c r="BE65" s="137">
        <f>$W65*AJ65+$L65*Summary_LCIA!AA$32</f>
        <v>2.794501768459785</v>
      </c>
      <c r="BF65" s="137">
        <f>$W65*AK65+$L65*Summary_LCIA!AB$32</f>
        <v>3.7960596933460017E-2</v>
      </c>
      <c r="BG65" s="137">
        <f>$W65*AL65+$L65*Summary_LCIA!AC$32</f>
        <v>2.3568885354160562E-5</v>
      </c>
      <c r="BH65" s="137">
        <f>$W65*AM65+$L65*Summary_LCIA!AD$32</f>
        <v>0.1099744675431976</v>
      </c>
      <c r="BI65" s="137">
        <f>$W65*AN65+$L65*Summary_LCIA!AE$32</f>
        <v>0.3141818429045265</v>
      </c>
      <c r="BJ65" s="137">
        <f>$W65*AO65+$L65*Summary_LCIA!AF$32</f>
        <v>7.8458417232339595E-2</v>
      </c>
      <c r="BK65" s="137">
        <f>$W65*AP65+$L65*Summary_LCIA!AG$32</f>
        <v>7.9786112973395905E-3</v>
      </c>
      <c r="BL65" s="137">
        <f>$W65*AQ65+$L65*Summary_LCIA!AH$32</f>
        <v>1.2850296337528984</v>
      </c>
      <c r="BM65" s="137">
        <f>$W65*AR65+$L65*Summary_LCIA!AI$32</f>
        <v>0.27426202424186319</v>
      </c>
    </row>
    <row r="66" spans="1:65" x14ac:dyDescent="0.25">
      <c r="A66" s="149">
        <v>117</v>
      </c>
      <c r="B66" s="149">
        <v>6</v>
      </c>
      <c r="C66" s="61">
        <v>41.720916000000003</v>
      </c>
      <c r="D66" s="61">
        <v>-93.629379999999998</v>
      </c>
      <c r="E66" s="61" t="s">
        <v>265</v>
      </c>
      <c r="F66" s="149">
        <v>121</v>
      </c>
      <c r="G66" s="61" t="s">
        <v>287</v>
      </c>
      <c r="H66" s="61" t="s">
        <v>290</v>
      </c>
      <c r="I66" s="61">
        <v>41.301873000000001</v>
      </c>
      <c r="J66" s="61">
        <v>-95.893741000000006</v>
      </c>
      <c r="K66" s="61">
        <v>200.06094519999999</v>
      </c>
      <c r="L66" s="61">
        <v>235.221</v>
      </c>
      <c r="M66" s="61" t="s">
        <v>617</v>
      </c>
      <c r="N66" s="149">
        <v>5</v>
      </c>
      <c r="O66" s="149">
        <v>6</v>
      </c>
      <c r="P66" s="61" t="s">
        <v>565</v>
      </c>
      <c r="Q66" s="61" t="s">
        <v>564</v>
      </c>
      <c r="R66" s="61">
        <v>41.98028</v>
      </c>
      <c r="S66" s="61">
        <v>-87.908997900000003</v>
      </c>
      <c r="T66" s="61">
        <v>535.13599999999997</v>
      </c>
      <c r="U66" s="61" t="s">
        <v>617</v>
      </c>
      <c r="V66" s="61" t="s">
        <v>569</v>
      </c>
      <c r="W66" s="61" cm="1">
        <f t="array" ref="W66">getDistance(I66,J66,R66,S66)*SA!$B$12</f>
        <v>669.26749072627524</v>
      </c>
      <c r="X66" s="61"/>
      <c r="Y66" s="137">
        <f>Transportation_LCIA!C$61*($W66^Transportation_LCIA!C$60)+Transportation_LCIA!C$62</f>
        <v>0.28504039049137575</v>
      </c>
      <c r="Z66" s="137">
        <f>Transportation_LCIA!D$61*($W66^Transportation_LCIA!D$60)+Transportation_LCIA!D$62</f>
        <v>3.0041649469674656</v>
      </c>
      <c r="AA66" s="137">
        <f>Transportation_LCIA!E$61*($W66^Transportation_LCIA!E$60)+Transportation_LCIA!E$62</f>
        <v>1.525706097435096E-3</v>
      </c>
      <c r="AB66" s="137">
        <f>Transportation_LCIA!F$61*($W66^Transportation_LCIA!F$60)+Transportation_LCIA!F$62</f>
        <v>0.28504039049137575</v>
      </c>
      <c r="AC66" s="137">
        <f>Transportation_LCIA!G$61*($W66^Transportation_LCIA!G$60)+Transportation_LCIA!G$62</f>
        <v>7.0068758885027033E-2</v>
      </c>
      <c r="AD66" s="137">
        <f>Transportation_LCIA!H$61*($W66^Transportation_LCIA!H$60)+Transportation_LCIA!H$62</f>
        <v>3.6107816379944279E-4</v>
      </c>
      <c r="AE66" s="137">
        <f>Transportation_LCIA!I$61*($W66^Transportation_LCIA!I$60)+Transportation_LCIA!I$62</f>
        <v>8.0591675714929097E-6</v>
      </c>
      <c r="AF66" s="137">
        <f>Transportation_LCIA!J$61*($W66^Transportation_LCIA!J$60)+Transportation_LCIA!J$62</f>
        <v>1.1964774828826928E-2</v>
      </c>
      <c r="AG66" s="137">
        <f>Transportation_LCIA!K$61*($W66^Transportation_LCIA!K$60)+Transportation_LCIA!K$62</f>
        <v>1.5195002827775642E-2</v>
      </c>
      <c r="AH66" s="137">
        <f>Transportation_LCIA!L$61*($W66^Transportation_LCIA!L$60)+Transportation_LCIA!L$62</f>
        <v>3.1754527567534542E-4</v>
      </c>
      <c r="AI66" s="137">
        <f>Transportation_LCIA!M$61*($W66^Transportation_LCIA!M$60)+Transportation_LCIA!M$62</f>
        <v>2.9013540374786794E-4</v>
      </c>
      <c r="AJ66" s="137">
        <f>Transportation_LCIA!N$61*($W66^Transportation_LCIA!N$60)+Transportation_LCIA!N$62</f>
        <v>1.2730376617698762E-3</v>
      </c>
      <c r="AK66" s="137">
        <f>Transportation_LCIA!O$61*($W66^Transportation_LCIA!O$60)+Transportation_LCIA!O$62</f>
        <v>7.4124631538667591E-5</v>
      </c>
      <c r="AL66" s="137">
        <f>Transportation_LCIA!P$61*($W66^Transportation_LCIA!P$60)+Transportation_LCIA!P$62</f>
        <v>3.5802611393451831E-8</v>
      </c>
      <c r="AM66" s="137">
        <f>Transportation_LCIA!Q$61*($W66^Transportation_LCIA!Q$60)+Transportation_LCIA!Q$62</f>
        <v>1.2535917081520263E-4</v>
      </c>
      <c r="AN66" s="137">
        <f>Transportation_LCIA!R$61*($W66^Transportation_LCIA!R$60)+Transportation_LCIA!R$62</f>
        <v>3.8732436662072014E-4</v>
      </c>
      <c r="AO66" s="137">
        <f>Transportation_LCIA!S$61*($W66^Transportation_LCIA!S$60)+Transportation_LCIA!S$62</f>
        <v>5.7538657024500324E-6</v>
      </c>
      <c r="AP66" s="137">
        <f>Transportation_LCIA!T$61*($W66^Transportation_LCIA!T$60)+Transportation_LCIA!T$62</f>
        <v>5.7538657024500324E-6</v>
      </c>
      <c r="AQ66" s="137">
        <f>Transportation_LCIA!U$61*($W66^Transportation_LCIA!U$60)+Transportation_LCIA!U$62</f>
        <v>8.3645465454341723E-4</v>
      </c>
      <c r="AR66" s="137">
        <f>Transportation_LCIA!V$61*($W66^Transportation_LCIA!V$60)+Transportation_LCIA!V$62</f>
        <v>3.2616855470196486E-4</v>
      </c>
      <c r="AT66" s="137">
        <f>$W66*Y66+$L66*Summary_LCIA!H$32</f>
        <v>270.69636269980072</v>
      </c>
      <c r="AU66" s="137">
        <f>$W66*Z66+$L66*Summary_LCIA!Q$32</f>
        <v>3176.3570746854425</v>
      </c>
      <c r="AV66" s="137">
        <f>$W66*AA66+$L66*Summary_LCIA!R$32</f>
        <v>2.2596851890161647</v>
      </c>
      <c r="AW66" s="137">
        <f>$W66*AB66+$L66*Summary_LCIA!S$32</f>
        <v>269.6566858798007</v>
      </c>
      <c r="AX66" s="137">
        <f>$W66*AC66+$L66*Summary_LCIA!T$32</f>
        <v>72.745530337286453</v>
      </c>
      <c r="AY66" s="137">
        <f>$W66*AD66+$L66*Summary_LCIA!U$32</f>
        <v>4.4554068706421042</v>
      </c>
      <c r="AZ66" s="137">
        <f>$W66*AE66+$L66*Summary_LCIA!V$32</f>
        <v>1.662812903891563E-2</v>
      </c>
      <c r="BA66" s="137">
        <f>$W66*AF66+$L66*Summary_LCIA!W$32</f>
        <v>26.112830417793898</v>
      </c>
      <c r="BB66" s="137">
        <f>$W66*AG66+$L66*Summary_LCIA!X$32</f>
        <v>15.527855794124061</v>
      </c>
      <c r="BC66" s="137">
        <f>$W66*AH66+$L66*Summary_LCIA!Y$32</f>
        <v>3.8777363518432217</v>
      </c>
      <c r="BD66" s="137">
        <f>$W66*AI66+$L66*Summary_LCIA!Z$32</f>
        <v>0.20382437162619033</v>
      </c>
      <c r="BE66" s="137">
        <f>$W66*AJ66+$L66*Summary_LCIA!AA$32</f>
        <v>6.3458243974927697</v>
      </c>
      <c r="BF66" s="137">
        <f>$W66*AK66+$L66*Summary_LCIA!AB$32</f>
        <v>4.4475978267893776E-2</v>
      </c>
      <c r="BG66" s="137">
        <f>$W66*AL66+$L66*Summary_LCIA!AC$32</f>
        <v>3.5460067252743457E-5</v>
      </c>
      <c r="BH66" s="137">
        <f>$W66*AM66+$L66*Summary_LCIA!AD$32</f>
        <v>0.18058405753101719</v>
      </c>
      <c r="BI66" s="137">
        <f>$W66*AN66+$L66*Summary_LCIA!AE$32</f>
        <v>0.46765999167539324</v>
      </c>
      <c r="BJ66" s="137">
        <f>$W66*AO66+$L66*Summary_LCIA!AF$32</f>
        <v>0.20271141308065474</v>
      </c>
      <c r="BK66" s="137">
        <f>$W66*AP66+$L66*Summary_LCIA!AG$32</f>
        <v>1.5885957725654713E-2</v>
      </c>
      <c r="BL66" s="137">
        <f>$W66*AQ66+$L66*Summary_LCIA!AH$32</f>
        <v>2.6070814033525864</v>
      </c>
      <c r="BM66" s="137">
        <f>$W66*AR66+$L66*Summary_LCIA!AI$32</f>
        <v>0.43741413270919982</v>
      </c>
    </row>
    <row r="67" spans="1:65" x14ac:dyDescent="0.25">
      <c r="A67" s="149">
        <v>118</v>
      </c>
      <c r="B67" s="149">
        <v>6</v>
      </c>
      <c r="C67" s="61">
        <v>41.720916000000003</v>
      </c>
      <c r="D67" s="61">
        <v>-93.629379999999998</v>
      </c>
      <c r="E67" s="61" t="s">
        <v>265</v>
      </c>
      <c r="F67" s="149">
        <v>121</v>
      </c>
      <c r="G67" s="61" t="s">
        <v>287</v>
      </c>
      <c r="H67" s="61" t="s">
        <v>290</v>
      </c>
      <c r="I67" s="61">
        <v>41.301873000000001</v>
      </c>
      <c r="J67" s="61">
        <v>-95.893741000000006</v>
      </c>
      <c r="K67" s="61">
        <v>200.06094519999999</v>
      </c>
      <c r="L67" s="61">
        <v>235.221</v>
      </c>
      <c r="M67" s="61" t="s">
        <v>617</v>
      </c>
      <c r="N67" s="149">
        <v>5</v>
      </c>
      <c r="O67" s="149">
        <v>6</v>
      </c>
      <c r="P67" s="61" t="s">
        <v>565</v>
      </c>
      <c r="Q67" s="61" t="s">
        <v>564</v>
      </c>
      <c r="R67" s="61">
        <v>41.98028</v>
      </c>
      <c r="S67" s="61">
        <v>-87.908997900000003</v>
      </c>
      <c r="T67" s="61">
        <v>535.13599999999997</v>
      </c>
      <c r="U67" s="61" t="s">
        <v>617</v>
      </c>
      <c r="V67" s="61" t="s">
        <v>569</v>
      </c>
      <c r="W67" s="61" cm="1">
        <f t="array" ref="W67">getDistance(I67,J67,R67,S67)*SA!$B$12</f>
        <v>669.26749072627524</v>
      </c>
      <c r="X67" s="61"/>
      <c r="Y67" s="137">
        <f>Transportation_LCIA!C$61*($W67^Transportation_LCIA!C$60)+Transportation_LCIA!C$62</f>
        <v>0.28504039049137575</v>
      </c>
      <c r="Z67" s="137">
        <f>Transportation_LCIA!D$61*($W67^Transportation_LCIA!D$60)+Transportation_LCIA!D$62</f>
        <v>3.0041649469674656</v>
      </c>
      <c r="AA67" s="137">
        <f>Transportation_LCIA!E$61*($W67^Transportation_LCIA!E$60)+Transportation_LCIA!E$62</f>
        <v>1.525706097435096E-3</v>
      </c>
      <c r="AB67" s="137">
        <f>Transportation_LCIA!F$61*($W67^Transportation_LCIA!F$60)+Transportation_LCIA!F$62</f>
        <v>0.28504039049137575</v>
      </c>
      <c r="AC67" s="137">
        <f>Transportation_LCIA!G$61*($W67^Transportation_LCIA!G$60)+Transportation_LCIA!G$62</f>
        <v>7.0068758885027033E-2</v>
      </c>
      <c r="AD67" s="137">
        <f>Transportation_LCIA!H$61*($W67^Transportation_LCIA!H$60)+Transportation_LCIA!H$62</f>
        <v>3.6107816379944279E-4</v>
      </c>
      <c r="AE67" s="137">
        <f>Transportation_LCIA!I$61*($W67^Transportation_LCIA!I$60)+Transportation_LCIA!I$62</f>
        <v>8.0591675714929097E-6</v>
      </c>
      <c r="AF67" s="137">
        <f>Transportation_LCIA!J$61*($W67^Transportation_LCIA!J$60)+Transportation_LCIA!J$62</f>
        <v>1.1964774828826928E-2</v>
      </c>
      <c r="AG67" s="137">
        <f>Transportation_LCIA!K$61*($W67^Transportation_LCIA!K$60)+Transportation_LCIA!K$62</f>
        <v>1.5195002827775642E-2</v>
      </c>
      <c r="AH67" s="137">
        <f>Transportation_LCIA!L$61*($W67^Transportation_LCIA!L$60)+Transportation_LCIA!L$62</f>
        <v>3.1754527567534542E-4</v>
      </c>
      <c r="AI67" s="137">
        <f>Transportation_LCIA!M$61*($W67^Transportation_LCIA!M$60)+Transportation_LCIA!M$62</f>
        <v>2.9013540374786794E-4</v>
      </c>
      <c r="AJ67" s="137">
        <f>Transportation_LCIA!N$61*($W67^Transportation_LCIA!N$60)+Transportation_LCIA!N$62</f>
        <v>1.2730376617698762E-3</v>
      </c>
      <c r="AK67" s="137">
        <f>Transportation_LCIA!O$61*($W67^Transportation_LCIA!O$60)+Transportation_LCIA!O$62</f>
        <v>7.4124631538667591E-5</v>
      </c>
      <c r="AL67" s="137">
        <f>Transportation_LCIA!P$61*($W67^Transportation_LCIA!P$60)+Transportation_LCIA!P$62</f>
        <v>3.5802611393451831E-8</v>
      </c>
      <c r="AM67" s="137">
        <f>Transportation_LCIA!Q$61*($W67^Transportation_LCIA!Q$60)+Transportation_LCIA!Q$62</f>
        <v>1.2535917081520263E-4</v>
      </c>
      <c r="AN67" s="137">
        <f>Transportation_LCIA!R$61*($W67^Transportation_LCIA!R$60)+Transportation_LCIA!R$62</f>
        <v>3.8732436662072014E-4</v>
      </c>
      <c r="AO67" s="137">
        <f>Transportation_LCIA!S$61*($W67^Transportation_LCIA!S$60)+Transportation_LCIA!S$62</f>
        <v>5.7538657024500324E-6</v>
      </c>
      <c r="AP67" s="137">
        <f>Transportation_LCIA!T$61*($W67^Transportation_LCIA!T$60)+Transportation_LCIA!T$62</f>
        <v>5.7538657024500324E-6</v>
      </c>
      <c r="AQ67" s="137">
        <f>Transportation_LCIA!U$61*($W67^Transportation_LCIA!U$60)+Transportation_LCIA!U$62</f>
        <v>8.3645465454341723E-4</v>
      </c>
      <c r="AR67" s="137">
        <f>Transportation_LCIA!V$61*($W67^Transportation_LCIA!V$60)+Transportation_LCIA!V$62</f>
        <v>3.2616855470196486E-4</v>
      </c>
      <c r="AT67" s="137">
        <f>$W67*Y67+$L67*Summary_LCIA!H$32</f>
        <v>270.69636269980072</v>
      </c>
      <c r="AU67" s="137">
        <f>$W67*Z67+$L67*Summary_LCIA!Q$32</f>
        <v>3176.3570746854425</v>
      </c>
      <c r="AV67" s="137">
        <f>$W67*AA67+$L67*Summary_LCIA!R$32</f>
        <v>2.2596851890161647</v>
      </c>
      <c r="AW67" s="137">
        <f>$W67*AB67+$L67*Summary_LCIA!S$32</f>
        <v>269.6566858798007</v>
      </c>
      <c r="AX67" s="137">
        <f>$W67*AC67+$L67*Summary_LCIA!T$32</f>
        <v>72.745530337286453</v>
      </c>
      <c r="AY67" s="137">
        <f>$W67*AD67+$L67*Summary_LCIA!U$32</f>
        <v>4.4554068706421042</v>
      </c>
      <c r="AZ67" s="137">
        <f>$W67*AE67+$L67*Summary_LCIA!V$32</f>
        <v>1.662812903891563E-2</v>
      </c>
      <c r="BA67" s="137">
        <f>$W67*AF67+$L67*Summary_LCIA!W$32</f>
        <v>26.112830417793898</v>
      </c>
      <c r="BB67" s="137">
        <f>$W67*AG67+$L67*Summary_LCIA!X$32</f>
        <v>15.527855794124061</v>
      </c>
      <c r="BC67" s="137">
        <f>$W67*AH67+$L67*Summary_LCIA!Y$32</f>
        <v>3.8777363518432217</v>
      </c>
      <c r="BD67" s="137">
        <f>$W67*AI67+$L67*Summary_LCIA!Z$32</f>
        <v>0.20382437162619033</v>
      </c>
      <c r="BE67" s="137">
        <f>$W67*AJ67+$L67*Summary_LCIA!AA$32</f>
        <v>6.3458243974927697</v>
      </c>
      <c r="BF67" s="137">
        <f>$W67*AK67+$L67*Summary_LCIA!AB$32</f>
        <v>4.4475978267893776E-2</v>
      </c>
      <c r="BG67" s="137">
        <f>$W67*AL67+$L67*Summary_LCIA!AC$32</f>
        <v>3.5460067252743457E-5</v>
      </c>
      <c r="BH67" s="137">
        <f>$W67*AM67+$L67*Summary_LCIA!AD$32</f>
        <v>0.18058405753101719</v>
      </c>
      <c r="BI67" s="137">
        <f>$W67*AN67+$L67*Summary_LCIA!AE$32</f>
        <v>0.46765999167539324</v>
      </c>
      <c r="BJ67" s="137">
        <f>$W67*AO67+$L67*Summary_LCIA!AF$32</f>
        <v>0.20271141308065474</v>
      </c>
      <c r="BK67" s="137">
        <f>$W67*AP67+$L67*Summary_LCIA!AG$32</f>
        <v>1.5885957725654713E-2</v>
      </c>
      <c r="BL67" s="137">
        <f>$W67*AQ67+$L67*Summary_LCIA!AH$32</f>
        <v>2.6070814033525864</v>
      </c>
      <c r="BM67" s="137">
        <f>$W67*AR67+$L67*Summary_LCIA!AI$32</f>
        <v>0.43741413270919982</v>
      </c>
    </row>
    <row r="68" spans="1:65" x14ac:dyDescent="0.25">
      <c r="A68" s="149">
        <v>129</v>
      </c>
      <c r="B68" s="149">
        <v>6</v>
      </c>
      <c r="C68" s="61">
        <v>42.028866000000001</v>
      </c>
      <c r="D68" s="61">
        <v>-93.648031000000003</v>
      </c>
      <c r="E68" s="61" t="s">
        <v>265</v>
      </c>
      <c r="F68" s="149">
        <v>121</v>
      </c>
      <c r="G68" s="61" t="s">
        <v>287</v>
      </c>
      <c r="H68" s="61" t="s">
        <v>290</v>
      </c>
      <c r="I68" s="61">
        <v>41.301873000000001</v>
      </c>
      <c r="J68" s="61">
        <v>-95.893741000000006</v>
      </c>
      <c r="K68" s="61">
        <v>222.912556</v>
      </c>
      <c r="L68" s="61">
        <v>279.464</v>
      </c>
      <c r="M68" s="61" t="s">
        <v>617</v>
      </c>
      <c r="N68" s="149">
        <v>5</v>
      </c>
      <c r="O68" s="149">
        <v>6</v>
      </c>
      <c r="P68" s="61" t="s">
        <v>565</v>
      </c>
      <c r="Q68" s="61" t="s">
        <v>564</v>
      </c>
      <c r="R68" s="61">
        <v>41.98028</v>
      </c>
      <c r="S68" s="61">
        <v>-87.908997900000003</v>
      </c>
      <c r="T68" s="61">
        <v>556.37900000000002</v>
      </c>
      <c r="U68" s="61" t="s">
        <v>617</v>
      </c>
      <c r="V68" s="61" t="s">
        <v>569</v>
      </c>
      <c r="W68" s="61" cm="1">
        <f t="array" ref="W68">getDistance(I68,J68,R68,S68)*SA!$B$12</f>
        <v>669.26749072627524</v>
      </c>
      <c r="X68" s="61"/>
      <c r="Y68" s="137">
        <f>Transportation_LCIA!C$61*($W68^Transportation_LCIA!C$60)+Transportation_LCIA!C$62</f>
        <v>0.28504039049137575</v>
      </c>
      <c r="Z68" s="137">
        <f>Transportation_LCIA!D$61*($W68^Transportation_LCIA!D$60)+Transportation_LCIA!D$62</f>
        <v>3.0041649469674656</v>
      </c>
      <c r="AA68" s="137">
        <f>Transportation_LCIA!E$61*($W68^Transportation_LCIA!E$60)+Transportation_LCIA!E$62</f>
        <v>1.525706097435096E-3</v>
      </c>
      <c r="AB68" s="137">
        <f>Transportation_LCIA!F$61*($W68^Transportation_LCIA!F$60)+Transportation_LCIA!F$62</f>
        <v>0.28504039049137575</v>
      </c>
      <c r="AC68" s="137">
        <f>Transportation_LCIA!G$61*($W68^Transportation_LCIA!G$60)+Transportation_LCIA!G$62</f>
        <v>7.0068758885027033E-2</v>
      </c>
      <c r="AD68" s="137">
        <f>Transportation_LCIA!H$61*($W68^Transportation_LCIA!H$60)+Transportation_LCIA!H$62</f>
        <v>3.6107816379944279E-4</v>
      </c>
      <c r="AE68" s="137">
        <f>Transportation_LCIA!I$61*($W68^Transportation_LCIA!I$60)+Transportation_LCIA!I$62</f>
        <v>8.0591675714929097E-6</v>
      </c>
      <c r="AF68" s="137">
        <f>Transportation_LCIA!J$61*($W68^Transportation_LCIA!J$60)+Transportation_LCIA!J$62</f>
        <v>1.1964774828826928E-2</v>
      </c>
      <c r="AG68" s="137">
        <f>Transportation_LCIA!K$61*($W68^Transportation_LCIA!K$60)+Transportation_LCIA!K$62</f>
        <v>1.5195002827775642E-2</v>
      </c>
      <c r="AH68" s="137">
        <f>Transportation_LCIA!L$61*($W68^Transportation_LCIA!L$60)+Transportation_LCIA!L$62</f>
        <v>3.1754527567534542E-4</v>
      </c>
      <c r="AI68" s="137">
        <f>Transportation_LCIA!M$61*($W68^Transportation_LCIA!M$60)+Transportation_LCIA!M$62</f>
        <v>2.9013540374786794E-4</v>
      </c>
      <c r="AJ68" s="137">
        <f>Transportation_LCIA!N$61*($W68^Transportation_LCIA!N$60)+Transportation_LCIA!N$62</f>
        <v>1.2730376617698762E-3</v>
      </c>
      <c r="AK68" s="137">
        <f>Transportation_LCIA!O$61*($W68^Transportation_LCIA!O$60)+Transportation_LCIA!O$62</f>
        <v>7.4124631538667591E-5</v>
      </c>
      <c r="AL68" s="137">
        <f>Transportation_LCIA!P$61*($W68^Transportation_LCIA!P$60)+Transportation_LCIA!P$62</f>
        <v>3.5802611393451831E-8</v>
      </c>
      <c r="AM68" s="137">
        <f>Transportation_LCIA!Q$61*($W68^Transportation_LCIA!Q$60)+Transportation_LCIA!Q$62</f>
        <v>1.2535917081520263E-4</v>
      </c>
      <c r="AN68" s="137">
        <f>Transportation_LCIA!R$61*($W68^Transportation_LCIA!R$60)+Transportation_LCIA!R$62</f>
        <v>3.8732436662072014E-4</v>
      </c>
      <c r="AO68" s="137">
        <f>Transportation_LCIA!S$61*($W68^Transportation_LCIA!S$60)+Transportation_LCIA!S$62</f>
        <v>5.7538657024500324E-6</v>
      </c>
      <c r="AP68" s="137">
        <f>Transportation_LCIA!T$61*($W68^Transportation_LCIA!T$60)+Transportation_LCIA!T$62</f>
        <v>5.7538657024500324E-6</v>
      </c>
      <c r="AQ68" s="137">
        <f>Transportation_LCIA!U$61*($W68^Transportation_LCIA!U$60)+Transportation_LCIA!U$62</f>
        <v>8.3645465454341723E-4</v>
      </c>
      <c r="AR68" s="137">
        <f>Transportation_LCIA!V$61*($W68^Transportation_LCIA!V$60)+Transportation_LCIA!V$62</f>
        <v>3.2616855470196486E-4</v>
      </c>
      <c r="AT68" s="137">
        <f>$W68*Y68+$L68*Summary_LCIA!H$32</f>
        <v>285.73013409980069</v>
      </c>
      <c r="AU68" s="137">
        <f>$W68*Z68+$L68*Summary_LCIA!Q$32</f>
        <v>3395.6276139926613</v>
      </c>
      <c r="AV68" s="137">
        <f>$W68*AA68+$L68*Summary_LCIA!R$32</f>
        <v>2.4926511298161644</v>
      </c>
      <c r="AW68" s="137">
        <f>$W68*AB68+$L68*Summary_LCIA!S$32</f>
        <v>284.49490321980068</v>
      </c>
      <c r="AX68" s="137">
        <f>$W68*AC68+$L68*Summary_LCIA!T$32</f>
        <v>77.607836037286447</v>
      </c>
      <c r="AY68" s="137">
        <f>$W68*AD68+$L68*Summary_LCIA!U$32</f>
        <v>5.247975972642104</v>
      </c>
      <c r="AZ68" s="137">
        <f>$W68*AE68+$L68*Summary_LCIA!V$32</f>
        <v>1.8741218961915627E-2</v>
      </c>
      <c r="BA68" s="137">
        <f>$W68*AF68+$L68*Summary_LCIA!W$32</f>
        <v>29.518258370793895</v>
      </c>
      <c r="BB68" s="137">
        <f>$W68*AG68+$L68*Summary_LCIA!X$32</f>
        <v>16.535711334124059</v>
      </c>
      <c r="BC68" s="137">
        <f>$W68*AH68+$L68*Summary_LCIA!Y$32</f>
        <v>4.5671307778432224</v>
      </c>
      <c r="BD68" s="137">
        <f>$W68*AI68+$L68*Summary_LCIA!Z$32</f>
        <v>0.20563873281319034</v>
      </c>
      <c r="BE68" s="137">
        <f>$W68*AJ68+$L68*Summary_LCIA!AA$32</f>
        <v>7.3791639054927689</v>
      </c>
      <c r="BF68" s="137">
        <f>$W68*AK68+$L68*Summary_LCIA!AB$32</f>
        <v>4.3510463278893782E-2</v>
      </c>
      <c r="BG68" s="137">
        <f>$W68*AL68+$L68*Summary_LCIA!AC$32</f>
        <v>3.7622842064743461E-5</v>
      </c>
      <c r="BH68" s="137">
        <f>$W68*AM68+$L68*Summary_LCIA!AD$32</f>
        <v>0.19876970025101717</v>
      </c>
      <c r="BI68" s="137">
        <f>$W68*AN68+$L68*Summary_LCIA!AE$32</f>
        <v>0.50686504126539322</v>
      </c>
      <c r="BJ68" s="137">
        <f>$W68*AO68+$L68*Summary_LCIA!AF$32</f>
        <v>0.24011533014065473</v>
      </c>
      <c r="BK68" s="137">
        <f>$W68*AP68+$L68*Summary_LCIA!AG$32</f>
        <v>1.8149650820654711E-2</v>
      </c>
      <c r="BL68" s="137">
        <f>$W68*AQ68+$L68*Summary_LCIA!AH$32</f>
        <v>2.9921547781525866</v>
      </c>
      <c r="BM68" s="137">
        <f>$W68*AR68+$L68*Summary_LCIA!AI$32</f>
        <v>0.47862869935919983</v>
      </c>
    </row>
    <row r="69" spans="1:65" x14ac:dyDescent="0.25">
      <c r="A69" s="149">
        <v>188</v>
      </c>
      <c r="B69" s="149">
        <v>6</v>
      </c>
      <c r="C69" s="61">
        <v>42.404803000000001</v>
      </c>
      <c r="D69" s="61">
        <v>-82.191038000000006</v>
      </c>
      <c r="E69" s="61" t="s">
        <v>456</v>
      </c>
      <c r="F69" s="149">
        <v>78</v>
      </c>
      <c r="G69" s="61" t="s">
        <v>615</v>
      </c>
      <c r="H69" s="61" t="s">
        <v>616</v>
      </c>
      <c r="I69" s="61">
        <v>42.216248999999998</v>
      </c>
      <c r="J69" s="61">
        <v>-83.355363999999994</v>
      </c>
      <c r="K69" s="61">
        <v>103.2140149</v>
      </c>
      <c r="L69" s="61">
        <v>119.09</v>
      </c>
      <c r="M69" s="61" t="s">
        <v>617</v>
      </c>
      <c r="N69" s="149">
        <v>5</v>
      </c>
      <c r="O69" s="149">
        <v>6</v>
      </c>
      <c r="P69" s="61" t="s">
        <v>565</v>
      </c>
      <c r="Q69" s="61" t="s">
        <v>564</v>
      </c>
      <c r="R69" s="61">
        <v>41.98028</v>
      </c>
      <c r="S69" s="61">
        <v>-87.908997900000003</v>
      </c>
      <c r="T69" s="61">
        <v>565.01400000000001</v>
      </c>
      <c r="U69" s="61" t="s">
        <v>617</v>
      </c>
      <c r="V69" s="61" t="s">
        <v>569</v>
      </c>
      <c r="W69" s="61" cm="1">
        <f t="array" ref="W69">getDistance(I69,J69,R69,S69)*SA!$B$12</f>
        <v>377.55996592631055</v>
      </c>
      <c r="X69" s="61"/>
      <c r="Y69" s="137">
        <f>Transportation_LCIA!C$61*($W69^Transportation_LCIA!C$60)+Transportation_LCIA!C$62</f>
        <v>0.39177321151276934</v>
      </c>
      <c r="Z69" s="137">
        <f>Transportation_LCIA!D$61*($W69^Transportation_LCIA!D$60)+Transportation_LCIA!D$62</f>
        <v>4.2885469298554302</v>
      </c>
      <c r="AA69" s="137">
        <f>Transportation_LCIA!E$61*($W69^Transportation_LCIA!E$60)+Transportation_LCIA!E$62</f>
        <v>2.3774892800205579E-3</v>
      </c>
      <c r="AB69" s="137">
        <f>Transportation_LCIA!F$61*($W69^Transportation_LCIA!F$60)+Transportation_LCIA!F$62</f>
        <v>0.39177321151276934</v>
      </c>
      <c r="AC69" s="137">
        <f>Transportation_LCIA!G$61*($W69^Transportation_LCIA!G$60)+Transportation_LCIA!G$62</f>
        <v>9.9730740674667376E-2</v>
      </c>
      <c r="AD69" s="137">
        <f>Transportation_LCIA!H$61*($W69^Transportation_LCIA!H$60)+Transportation_LCIA!H$62</f>
        <v>5.5159056743946447E-4</v>
      </c>
      <c r="AE69" s="137">
        <f>Transportation_LCIA!I$61*($W69^Transportation_LCIA!I$60)+Transportation_LCIA!I$62</f>
        <v>1.2988810045312625E-5</v>
      </c>
      <c r="AF69" s="137">
        <f>Transportation_LCIA!J$61*($W69^Transportation_LCIA!J$60)+Transportation_LCIA!J$62</f>
        <v>1.9439626149728245E-2</v>
      </c>
      <c r="AG69" s="137">
        <f>Transportation_LCIA!K$61*($W69^Transportation_LCIA!K$60)+Transportation_LCIA!K$62</f>
        <v>2.2227364305679936E-2</v>
      </c>
      <c r="AH69" s="137">
        <f>Transportation_LCIA!L$61*($W69^Transportation_LCIA!L$60)+Transportation_LCIA!L$62</f>
        <v>4.9406726591070139E-4</v>
      </c>
      <c r="AI69" s="137">
        <f>Transportation_LCIA!M$61*($W69^Transportation_LCIA!M$60)+Transportation_LCIA!M$62</f>
        <v>3.9537528709454031E-4</v>
      </c>
      <c r="AJ69" s="137">
        <f>Transportation_LCIA!N$61*($W69^Transportation_LCIA!N$60)+Transportation_LCIA!N$62</f>
        <v>1.9121741222974152E-3</v>
      </c>
      <c r="AK69" s="137">
        <f>Transportation_LCIA!O$61*($W69^Transportation_LCIA!O$60)+Transportation_LCIA!O$62</f>
        <v>1.0567090816044529E-4</v>
      </c>
      <c r="AL69" s="137">
        <f>Transportation_LCIA!P$61*($W69^Transportation_LCIA!P$60)+Transportation_LCIA!P$62</f>
        <v>5.0935129732250114E-8</v>
      </c>
      <c r="AM69" s="137">
        <f>Transportation_LCIA!Q$61*($W69^Transportation_LCIA!Q$60)+Transportation_LCIA!Q$62</f>
        <v>1.9467109253194182E-4</v>
      </c>
      <c r="AN69" s="137">
        <f>Transportation_LCIA!R$61*($W69^Transportation_LCIA!R$60)+Transportation_LCIA!R$62</f>
        <v>6.2387261985424414E-4</v>
      </c>
      <c r="AO69" s="137">
        <f>Transportation_LCIA!S$61*($W69^Transportation_LCIA!S$60)+Transportation_LCIA!S$62</f>
        <v>9.1068518980920511E-6</v>
      </c>
      <c r="AP69" s="137">
        <f>Transportation_LCIA!T$61*($W69^Transportation_LCIA!T$60)+Transportation_LCIA!T$62</f>
        <v>9.1068518980920511E-6</v>
      </c>
      <c r="AQ69" s="137">
        <f>Transportation_LCIA!U$61*($W69^Transportation_LCIA!U$60)+Transportation_LCIA!U$62</f>
        <v>1.3579254338977325E-3</v>
      </c>
      <c r="AR69" s="137">
        <f>Transportation_LCIA!V$61*($W69^Transportation_LCIA!V$60)+Transportation_LCIA!V$62</f>
        <v>5.0746659917131709E-4</v>
      </c>
      <c r="AT69" s="137">
        <f>$W69*Y69+$L69*Summary_LCIA!H$32</f>
        <v>188.38466238960245</v>
      </c>
      <c r="AU69" s="137">
        <f>$W69*Z69+$L69*Summary_LCIA!Q$32</f>
        <v>2209.39967877557</v>
      </c>
      <c r="AV69" s="137">
        <f>$W69*AA69+$L69*Summary_LCIA!R$32</f>
        <v>1.5247250755547304</v>
      </c>
      <c r="AW69" s="137">
        <f>$W69*AB69+$L69*Summary_LCIA!S$32</f>
        <v>187.85828458960248</v>
      </c>
      <c r="AX69" s="137">
        <f>$W69*AC69+$L69*Summary_LCIA!T$32</f>
        <v>50.74232605093313</v>
      </c>
      <c r="AY69" s="137">
        <f>$W69*AD69+$L69*Summary_LCIA!U$32</f>
        <v>2.3416367758477188</v>
      </c>
      <c r="AZ69" s="137">
        <f>$W69*AE69+$L69*Summary_LCIA!V$32</f>
        <v>1.0591912168131556E-2</v>
      </c>
      <c r="BA69" s="137">
        <f>$W69*AF69+$L69*Summary_LCIA!W$32</f>
        <v>16.506100976711611</v>
      </c>
      <c r="BB69" s="137">
        <f>$W69*AG69+$L69*Summary_LCIA!X$32</f>
        <v>11.105033109884207</v>
      </c>
      <c r="BC69" s="137">
        <f>$W69*AH69+$L69*Summary_LCIA!Y$32</f>
        <v>2.04220040008255</v>
      </c>
      <c r="BD69" s="137">
        <f>$W69*AI69+$L69*Summary_LCIA!Z$32</f>
        <v>0.1541616417335199</v>
      </c>
      <c r="BE69" s="137">
        <f>$W69*AJ69+$L69*Summary_LCIA!AA$32</f>
        <v>3.5034264364597849</v>
      </c>
      <c r="BF69" s="137">
        <f>$W69*AK69+$L69*Summary_LCIA!AB$32</f>
        <v>3.7298203414460017E-2</v>
      </c>
      <c r="BG69" s="137">
        <f>$W69*AL69+$L69*Summary_LCIA!AC$32</f>
        <v>2.5052661406160563E-5</v>
      </c>
      <c r="BH69" s="137">
        <f>$W69*AM69+$L69*Summary_LCIA!AD$32</f>
        <v>0.1224507646631976</v>
      </c>
      <c r="BI69" s="137">
        <f>$W69*AN69+$L69*Summary_LCIA!AE$32</f>
        <v>0.34107854679452648</v>
      </c>
      <c r="BJ69" s="137">
        <f>$W69*AO69+$L69*Summary_LCIA!AF$32</f>
        <v>0.1041194504923396</v>
      </c>
      <c r="BK69" s="137">
        <f>$W69*AP69+$L69*Summary_LCIA!AG$32</f>
        <v>9.5316225423395916E-3</v>
      </c>
      <c r="BL69" s="137">
        <f>$W69*AQ69+$L69*Summary_LCIA!AH$32</f>
        <v>1.5492100045528985</v>
      </c>
      <c r="BM69" s="137">
        <f>$W69*AR69+$L69*Summary_LCIA!AI$32</f>
        <v>0.30253736139186316</v>
      </c>
    </row>
    <row r="70" spans="1:65" x14ac:dyDescent="0.25">
      <c r="A70" s="149">
        <v>77</v>
      </c>
      <c r="B70" s="149">
        <v>6</v>
      </c>
      <c r="C70" s="61">
        <v>40.006103000000003</v>
      </c>
      <c r="D70" s="61">
        <v>-83.016536000000002</v>
      </c>
      <c r="E70" s="61" t="s">
        <v>265</v>
      </c>
      <c r="F70" s="149">
        <v>110</v>
      </c>
      <c r="G70" s="61" t="s">
        <v>658</v>
      </c>
      <c r="H70" s="61" t="s">
        <v>659</v>
      </c>
      <c r="I70" s="61">
        <v>39.999940000000002</v>
      </c>
      <c r="J70" s="61">
        <v>-82.887176999999994</v>
      </c>
      <c r="K70" s="61">
        <v>11.068644279999999</v>
      </c>
      <c r="L70" s="61">
        <v>18.408000000000001</v>
      </c>
      <c r="M70" s="61" t="s">
        <v>617</v>
      </c>
      <c r="N70" s="149">
        <v>5</v>
      </c>
      <c r="O70" s="149">
        <v>6</v>
      </c>
      <c r="P70" s="61" t="s">
        <v>565</v>
      </c>
      <c r="Q70" s="61" t="s">
        <v>564</v>
      </c>
      <c r="R70" s="61">
        <v>41.98028</v>
      </c>
      <c r="S70" s="61">
        <v>-87.908997900000003</v>
      </c>
      <c r="T70" s="61">
        <v>601.20799999999997</v>
      </c>
      <c r="U70" s="61" t="s">
        <v>617</v>
      </c>
      <c r="V70" s="61" t="s">
        <v>569</v>
      </c>
      <c r="W70" s="61" cm="1">
        <f t="array" ref="W70">getDistance(I70,J70,R70,S70)*SA!$B$12</f>
        <v>476.46082211216719</v>
      </c>
      <c r="X70" s="61"/>
      <c r="Y70" s="137">
        <f>Transportation_LCIA!C$61*($W70^Transportation_LCIA!C$60)+Transportation_LCIA!C$62</f>
        <v>0.3421495485374596</v>
      </c>
      <c r="Z70" s="137">
        <f>Transportation_LCIA!D$61*($W70^Transportation_LCIA!D$60)+Transportation_LCIA!D$62</f>
        <v>3.6874835022314647</v>
      </c>
      <c r="AA70" s="137">
        <f>Transportation_LCIA!E$61*($W70^Transportation_LCIA!E$60)+Transportation_LCIA!E$62</f>
        <v>1.9781439132864741E-3</v>
      </c>
      <c r="AB70" s="137">
        <f>Transportation_LCIA!F$61*($W70^Transportation_LCIA!F$60)+Transportation_LCIA!F$62</f>
        <v>0.3421495485374596</v>
      </c>
      <c r="AC70" s="137">
        <f>Transportation_LCIA!G$61*($W70^Transportation_LCIA!G$60)+Transportation_LCIA!G$62</f>
        <v>8.585483264216312E-2</v>
      </c>
      <c r="AD70" s="137">
        <f>Transportation_LCIA!H$61*($W70^Transportation_LCIA!H$60)+Transportation_LCIA!H$62</f>
        <v>4.6194970027992912E-4</v>
      </c>
      <c r="AE70" s="137">
        <f>Transportation_LCIA!I$61*($W70^Transportation_LCIA!I$60)+Transportation_LCIA!I$62</f>
        <v>1.0655867543092664E-5</v>
      </c>
      <c r="AF70" s="137">
        <f>Transportation_LCIA!J$61*($W70^Transportation_LCIA!J$60)+Transportation_LCIA!J$62</f>
        <v>1.5888874162923741E-2</v>
      </c>
      <c r="AG70" s="137">
        <f>Transportation_LCIA!K$61*($W70^Transportation_LCIA!K$60)+Transportation_LCIA!K$62</f>
        <v>1.8926799382803748E-2</v>
      </c>
      <c r="AH70" s="137">
        <f>Transportation_LCIA!L$61*($W70^Transportation_LCIA!L$60)+Transportation_LCIA!L$62</f>
        <v>4.1087237564962301E-4</v>
      </c>
      <c r="AI70" s="137">
        <f>Transportation_LCIA!M$61*($W70^Transportation_LCIA!M$60)+Transportation_LCIA!M$62</f>
        <v>3.4584758868402539E-4</v>
      </c>
      <c r="AJ70" s="137">
        <f>Transportation_LCIA!N$61*($W70^Transportation_LCIA!N$60)+Transportation_LCIA!N$62</f>
        <v>1.6115826777894741E-3</v>
      </c>
      <c r="AK70" s="137">
        <f>Transportation_LCIA!O$61*($W70^Transportation_LCIA!O$60)+Transportation_LCIA!O$62</f>
        <v>9.0910885097424208E-5</v>
      </c>
      <c r="AL70" s="137">
        <f>Transportation_LCIA!P$61*($W70^Transportation_LCIA!P$60)+Transportation_LCIA!P$62</f>
        <v>4.3858281937434929E-8</v>
      </c>
      <c r="AM70" s="137">
        <f>Transportation_LCIA!Q$61*($W70^Transportation_LCIA!Q$60)+Transportation_LCIA!Q$62</f>
        <v>1.6197541816227853E-4</v>
      </c>
      <c r="AN70" s="137">
        <f>Transportation_LCIA!R$61*($W70^Transportation_LCIA!R$60)+Transportation_LCIA!R$62</f>
        <v>5.1191111541630801E-4</v>
      </c>
      <c r="AO70" s="137">
        <f>Transportation_LCIA!S$61*($W70^Transportation_LCIA!S$60)+Transportation_LCIA!S$62</f>
        <v>7.5202466562288372E-6</v>
      </c>
      <c r="AP70" s="137">
        <f>Transportation_LCIA!T$61*($W70^Transportation_LCIA!T$60)+Transportation_LCIA!T$62</f>
        <v>7.5202466562288372E-6</v>
      </c>
      <c r="AQ70" s="137">
        <f>Transportation_LCIA!U$61*($W70^Transportation_LCIA!U$60)+Transportation_LCIA!U$62</f>
        <v>1.1108369369812168E-3</v>
      </c>
      <c r="AR70" s="137">
        <f>Transportation_LCIA!V$61*($W70^Transportation_LCIA!V$60)+Transportation_LCIA!V$62</f>
        <v>4.2184744513366603E-4</v>
      </c>
      <c r="AT70" s="137">
        <f>$W70*Y70+$L70*Summary_LCIA!H$32</f>
        <v>169.27589358146486</v>
      </c>
      <c r="AU70" s="137">
        <f>$W70*Z70+$L70*Summary_LCIA!Q$32</f>
        <v>1848.1723973689211</v>
      </c>
      <c r="AV70" s="137">
        <f>$W70*AA70+$L70*Summary_LCIA!R$32</f>
        <v>1.0394372399806531</v>
      </c>
      <c r="AW70" s="137">
        <f>$W70*AB70+$L70*Summary_LCIA!S$32</f>
        <v>169.19453022146487</v>
      </c>
      <c r="AX70" s="137">
        <f>$W70*AC70+$L70*Summary_LCIA!T$32</f>
        <v>42.929503342987566</v>
      </c>
      <c r="AY70" s="137">
        <f>$W70*AD70+$L70*Summary_LCIA!U$32</f>
        <v>0.54986184596984433</v>
      </c>
      <c r="AZ70" s="137">
        <f>$W70*AE70+$L70*Summary_LCIA!V$32</f>
        <v>5.9562878979002899E-3</v>
      </c>
      <c r="BA70" s="137">
        <f>$W70*AF70+$L70*Summary_LCIA!W$32</f>
        <v>8.9873082141034182</v>
      </c>
      <c r="BB70" s="137">
        <f>$W70*AG70+$L70*Summary_LCIA!X$32</f>
        <v>9.4372126338827318</v>
      </c>
      <c r="BC70" s="137">
        <f>$W70*AH70+$L70*Summary_LCIA!Y$32</f>
        <v>0.48259804588519861</v>
      </c>
      <c r="BD70" s="137">
        <f>$W70*AI70+$L70*Summary_LCIA!Z$32</f>
        <v>0.16553772010190138</v>
      </c>
      <c r="BE70" s="137">
        <f>$W70*AJ70+$L70*Summary_LCIA!AA$32</f>
        <v>1.1977932555613007</v>
      </c>
      <c r="BF70" s="137">
        <f>$W70*AK70+$L70*Summary_LCIA!AB$32</f>
        <v>4.2913757268463505E-2</v>
      </c>
      <c r="BG70" s="137">
        <f>$W70*AL70+$L70*Summary_LCIA!AC$32</f>
        <v>2.179660974033746E-5</v>
      </c>
      <c r="BH70" s="137">
        <f>$W70*AM70+$L70*Summary_LCIA!AD$32</f>
        <v>8.4741365219561285E-2</v>
      </c>
      <c r="BI70" s="137">
        <f>$W70*AN70+$L70*Summary_LCIA!AE$32</f>
        <v>0.26021747193961059</v>
      </c>
      <c r="BJ70" s="137">
        <f>$W70*AO70+$L70*Summary_LCIA!AF$32</f>
        <v>1.914559426431307E-2</v>
      </c>
      <c r="BK70" s="137">
        <f>$W70*AP70+$L70*Summary_LCIA!AG$32</f>
        <v>4.5249482243130681E-3</v>
      </c>
      <c r="BL70" s="137">
        <f>$W70*AQ70+$L70*Summary_LCIA!AH$32</f>
        <v>0.6894861490266323</v>
      </c>
      <c r="BM70" s="137">
        <f>$W70*AR70+$L70*Summary_LCIA!AI$32</f>
        <v>0.21814175291430385</v>
      </c>
    </row>
    <row r="71" spans="1:65" x14ac:dyDescent="0.25">
      <c r="A71" s="149">
        <v>78</v>
      </c>
      <c r="B71" s="149">
        <v>6</v>
      </c>
      <c r="C71" s="61">
        <v>40.006103000000003</v>
      </c>
      <c r="D71" s="61">
        <v>-83.016536000000002</v>
      </c>
      <c r="E71" s="61" t="s">
        <v>265</v>
      </c>
      <c r="F71" s="149">
        <v>110</v>
      </c>
      <c r="G71" s="61" t="s">
        <v>658</v>
      </c>
      <c r="H71" s="61" t="s">
        <v>659</v>
      </c>
      <c r="I71" s="61">
        <v>39.999940000000002</v>
      </c>
      <c r="J71" s="61">
        <v>-82.887176999999994</v>
      </c>
      <c r="K71" s="61">
        <v>11.068644279999999</v>
      </c>
      <c r="L71" s="61">
        <v>18.408000000000001</v>
      </c>
      <c r="M71" s="61" t="s">
        <v>617</v>
      </c>
      <c r="N71" s="149">
        <v>5</v>
      </c>
      <c r="O71" s="149">
        <v>6</v>
      </c>
      <c r="P71" s="61" t="s">
        <v>565</v>
      </c>
      <c r="Q71" s="61" t="s">
        <v>564</v>
      </c>
      <c r="R71" s="61">
        <v>41.98028</v>
      </c>
      <c r="S71" s="61">
        <v>-87.908997900000003</v>
      </c>
      <c r="T71" s="61">
        <v>601.20799999999997</v>
      </c>
      <c r="U71" s="61" t="s">
        <v>617</v>
      </c>
      <c r="V71" s="61" t="s">
        <v>569</v>
      </c>
      <c r="W71" s="61" cm="1">
        <f t="array" ref="W71">getDistance(I71,J71,R71,S71)*SA!$B$12</f>
        <v>476.46082211216719</v>
      </c>
      <c r="X71" s="61"/>
      <c r="Y71" s="137">
        <f>Transportation_LCIA!C$61*($W71^Transportation_LCIA!C$60)+Transportation_LCIA!C$62</f>
        <v>0.3421495485374596</v>
      </c>
      <c r="Z71" s="137">
        <f>Transportation_LCIA!D$61*($W71^Transportation_LCIA!D$60)+Transportation_LCIA!D$62</f>
        <v>3.6874835022314647</v>
      </c>
      <c r="AA71" s="137">
        <f>Transportation_LCIA!E$61*($W71^Transportation_LCIA!E$60)+Transportation_LCIA!E$62</f>
        <v>1.9781439132864741E-3</v>
      </c>
      <c r="AB71" s="137">
        <f>Transportation_LCIA!F$61*($W71^Transportation_LCIA!F$60)+Transportation_LCIA!F$62</f>
        <v>0.3421495485374596</v>
      </c>
      <c r="AC71" s="137">
        <f>Transportation_LCIA!G$61*($W71^Transportation_LCIA!G$60)+Transportation_LCIA!G$62</f>
        <v>8.585483264216312E-2</v>
      </c>
      <c r="AD71" s="137">
        <f>Transportation_LCIA!H$61*($W71^Transportation_LCIA!H$60)+Transportation_LCIA!H$62</f>
        <v>4.6194970027992912E-4</v>
      </c>
      <c r="AE71" s="137">
        <f>Transportation_LCIA!I$61*($W71^Transportation_LCIA!I$60)+Transportation_LCIA!I$62</f>
        <v>1.0655867543092664E-5</v>
      </c>
      <c r="AF71" s="137">
        <f>Transportation_LCIA!J$61*($W71^Transportation_LCIA!J$60)+Transportation_LCIA!J$62</f>
        <v>1.5888874162923741E-2</v>
      </c>
      <c r="AG71" s="137">
        <f>Transportation_LCIA!K$61*($W71^Transportation_LCIA!K$60)+Transportation_LCIA!K$62</f>
        <v>1.8926799382803748E-2</v>
      </c>
      <c r="AH71" s="137">
        <f>Transportation_LCIA!L$61*($W71^Transportation_LCIA!L$60)+Transportation_LCIA!L$62</f>
        <v>4.1087237564962301E-4</v>
      </c>
      <c r="AI71" s="137">
        <f>Transportation_LCIA!M$61*($W71^Transportation_LCIA!M$60)+Transportation_LCIA!M$62</f>
        <v>3.4584758868402539E-4</v>
      </c>
      <c r="AJ71" s="137">
        <f>Transportation_LCIA!N$61*($W71^Transportation_LCIA!N$60)+Transportation_LCIA!N$62</f>
        <v>1.6115826777894741E-3</v>
      </c>
      <c r="AK71" s="137">
        <f>Transportation_LCIA!O$61*($W71^Transportation_LCIA!O$60)+Transportation_LCIA!O$62</f>
        <v>9.0910885097424208E-5</v>
      </c>
      <c r="AL71" s="137">
        <f>Transportation_LCIA!P$61*($W71^Transportation_LCIA!P$60)+Transportation_LCIA!P$62</f>
        <v>4.3858281937434929E-8</v>
      </c>
      <c r="AM71" s="137">
        <f>Transportation_LCIA!Q$61*($W71^Transportation_LCIA!Q$60)+Transportation_LCIA!Q$62</f>
        <v>1.6197541816227853E-4</v>
      </c>
      <c r="AN71" s="137">
        <f>Transportation_LCIA!R$61*($W71^Transportation_LCIA!R$60)+Transportation_LCIA!R$62</f>
        <v>5.1191111541630801E-4</v>
      </c>
      <c r="AO71" s="137">
        <f>Transportation_LCIA!S$61*($W71^Transportation_LCIA!S$60)+Transportation_LCIA!S$62</f>
        <v>7.5202466562288372E-6</v>
      </c>
      <c r="AP71" s="137">
        <f>Transportation_LCIA!T$61*($W71^Transportation_LCIA!T$60)+Transportation_LCIA!T$62</f>
        <v>7.5202466562288372E-6</v>
      </c>
      <c r="AQ71" s="137">
        <f>Transportation_LCIA!U$61*($W71^Transportation_LCIA!U$60)+Transportation_LCIA!U$62</f>
        <v>1.1108369369812168E-3</v>
      </c>
      <c r="AR71" s="137">
        <f>Transportation_LCIA!V$61*($W71^Transportation_LCIA!V$60)+Transportation_LCIA!V$62</f>
        <v>4.2184744513366603E-4</v>
      </c>
      <c r="AT71" s="137">
        <f>$W71*Y71+$L71*Summary_LCIA!H$32</f>
        <v>169.27589358146486</v>
      </c>
      <c r="AU71" s="137">
        <f>$W71*Z71+$L71*Summary_LCIA!Q$32</f>
        <v>1848.1723973689211</v>
      </c>
      <c r="AV71" s="137">
        <f>$W71*AA71+$L71*Summary_LCIA!R$32</f>
        <v>1.0394372399806531</v>
      </c>
      <c r="AW71" s="137">
        <f>$W71*AB71+$L71*Summary_LCIA!S$32</f>
        <v>169.19453022146487</v>
      </c>
      <c r="AX71" s="137">
        <f>$W71*AC71+$L71*Summary_LCIA!T$32</f>
        <v>42.929503342987566</v>
      </c>
      <c r="AY71" s="137">
        <f>$W71*AD71+$L71*Summary_LCIA!U$32</f>
        <v>0.54986184596984433</v>
      </c>
      <c r="AZ71" s="137">
        <f>$W71*AE71+$L71*Summary_LCIA!V$32</f>
        <v>5.9562878979002899E-3</v>
      </c>
      <c r="BA71" s="137">
        <f>$W71*AF71+$L71*Summary_LCIA!W$32</f>
        <v>8.9873082141034182</v>
      </c>
      <c r="BB71" s="137">
        <f>$W71*AG71+$L71*Summary_LCIA!X$32</f>
        <v>9.4372126338827318</v>
      </c>
      <c r="BC71" s="137">
        <f>$W71*AH71+$L71*Summary_LCIA!Y$32</f>
        <v>0.48259804588519861</v>
      </c>
      <c r="BD71" s="137">
        <f>$W71*AI71+$L71*Summary_LCIA!Z$32</f>
        <v>0.16553772010190138</v>
      </c>
      <c r="BE71" s="137">
        <f>$W71*AJ71+$L71*Summary_LCIA!AA$32</f>
        <v>1.1977932555613007</v>
      </c>
      <c r="BF71" s="137">
        <f>$W71*AK71+$L71*Summary_LCIA!AB$32</f>
        <v>4.2913757268463505E-2</v>
      </c>
      <c r="BG71" s="137">
        <f>$W71*AL71+$L71*Summary_LCIA!AC$32</f>
        <v>2.179660974033746E-5</v>
      </c>
      <c r="BH71" s="137">
        <f>$W71*AM71+$L71*Summary_LCIA!AD$32</f>
        <v>8.4741365219561285E-2</v>
      </c>
      <c r="BI71" s="137">
        <f>$W71*AN71+$L71*Summary_LCIA!AE$32</f>
        <v>0.26021747193961059</v>
      </c>
      <c r="BJ71" s="137">
        <f>$W71*AO71+$L71*Summary_LCIA!AF$32</f>
        <v>1.914559426431307E-2</v>
      </c>
      <c r="BK71" s="137">
        <f>$W71*AP71+$L71*Summary_LCIA!AG$32</f>
        <v>4.5249482243130681E-3</v>
      </c>
      <c r="BL71" s="137">
        <f>$W71*AQ71+$L71*Summary_LCIA!AH$32</f>
        <v>0.6894861490266323</v>
      </c>
      <c r="BM71" s="137">
        <f>$W71*AR71+$L71*Summary_LCIA!AI$32</f>
        <v>0.21814175291430385</v>
      </c>
    </row>
    <row r="72" spans="1:65" x14ac:dyDescent="0.25">
      <c r="A72" s="149">
        <v>79</v>
      </c>
      <c r="B72" s="149">
        <v>6</v>
      </c>
      <c r="C72" s="61">
        <v>41.615028000000002</v>
      </c>
      <c r="D72" s="61">
        <v>-81.473634000000004</v>
      </c>
      <c r="E72" s="61" t="s">
        <v>265</v>
      </c>
      <c r="F72" s="149">
        <v>105</v>
      </c>
      <c r="G72" s="61" t="s">
        <v>276</v>
      </c>
      <c r="H72" s="61" t="s">
        <v>660</v>
      </c>
      <c r="I72" s="61">
        <v>41.405799000000002</v>
      </c>
      <c r="J72" s="61">
        <v>-81.853866999999994</v>
      </c>
      <c r="K72" s="61">
        <v>48.412403679999997</v>
      </c>
      <c r="L72" s="61">
        <v>45.866999999999997</v>
      </c>
      <c r="M72" s="61" t="s">
        <v>617</v>
      </c>
      <c r="N72" s="149">
        <v>5</v>
      </c>
      <c r="O72" s="149">
        <v>6</v>
      </c>
      <c r="P72" s="61" t="s">
        <v>565</v>
      </c>
      <c r="Q72" s="61" t="s">
        <v>564</v>
      </c>
      <c r="R72" s="61">
        <v>41.98028</v>
      </c>
      <c r="S72" s="61">
        <v>-87.908997900000003</v>
      </c>
      <c r="T72" s="61">
        <v>603.75900000000001</v>
      </c>
      <c r="U72" s="61" t="s">
        <v>617</v>
      </c>
      <c r="V72" s="61" t="s">
        <v>569</v>
      </c>
      <c r="W72" s="61" cm="1">
        <f t="array" ref="W72">getDistance(I72,J72,R72,S72)*SA!$B$12</f>
        <v>508.0035886560301</v>
      </c>
      <c r="X72" s="61"/>
      <c r="Y72" s="137">
        <f>Transportation_LCIA!C$61*($W72^Transportation_LCIA!C$60)+Transportation_LCIA!C$62</f>
        <v>0.33009466965930534</v>
      </c>
      <c r="Z72" s="137">
        <f>Transportation_LCIA!D$61*($W72^Transportation_LCIA!D$60)+Transportation_LCIA!D$62</f>
        <v>3.5424297147150119</v>
      </c>
      <c r="AA72" s="137">
        <f>Transportation_LCIA!E$61*($W72^Transportation_LCIA!E$60)+Transportation_LCIA!E$62</f>
        <v>1.881949117619271E-3</v>
      </c>
      <c r="AB72" s="137">
        <f>Transportation_LCIA!F$61*($W72^Transportation_LCIA!F$60)+Transportation_LCIA!F$62</f>
        <v>0.33009466965930534</v>
      </c>
      <c r="AC72" s="137">
        <f>Transportation_LCIA!G$61*($W72^Transportation_LCIA!G$60)+Transportation_LCIA!G$62</f>
        <v>8.2504889928352365E-2</v>
      </c>
      <c r="AD72" s="137">
        <f>Transportation_LCIA!H$61*($W72^Transportation_LCIA!H$60)+Transportation_LCIA!H$62</f>
        <v>4.4043594058456003E-4</v>
      </c>
      <c r="AE72" s="137">
        <f>Transportation_LCIA!I$61*($W72^Transportation_LCIA!I$60)+Transportation_LCIA!I$62</f>
        <v>1.0099262763484922E-5</v>
      </c>
      <c r="AF72" s="137">
        <f>Transportation_LCIA!J$61*($W72^Transportation_LCIA!J$60)+Transportation_LCIA!J$62</f>
        <v>1.5044986830824957E-2</v>
      </c>
      <c r="AG72" s="137">
        <f>Transportation_LCIA!K$61*($W72^Transportation_LCIA!K$60)+Transportation_LCIA!K$62</f>
        <v>1.8132625491128557E-2</v>
      </c>
      <c r="AH72" s="137">
        <f>Transportation_LCIA!L$61*($W72^Transportation_LCIA!L$60)+Transportation_LCIA!L$62</f>
        <v>3.9093921727928455E-4</v>
      </c>
      <c r="AI72" s="137">
        <f>Transportation_LCIA!M$61*($W72^Transportation_LCIA!M$60)+Transportation_LCIA!M$62</f>
        <v>3.3396334311075232E-4</v>
      </c>
      <c r="AJ72" s="137">
        <f>Transportation_LCIA!N$61*($W72^Transportation_LCIA!N$60)+Transportation_LCIA!N$62</f>
        <v>1.5394070125787397E-3</v>
      </c>
      <c r="AK72" s="137">
        <f>Transportation_LCIA!O$61*($W72^Transportation_LCIA!O$60)+Transportation_LCIA!O$62</f>
        <v>8.7348144302915392E-5</v>
      </c>
      <c r="AL72" s="137">
        <f>Transportation_LCIA!P$61*($W72^Transportation_LCIA!P$60)+Transportation_LCIA!P$62</f>
        <v>4.2149249681484652E-8</v>
      </c>
      <c r="AM72" s="137">
        <f>Transportation_LCIA!Q$61*($W72^Transportation_LCIA!Q$60)+Transportation_LCIA!Q$62</f>
        <v>1.5414876345104929E-4</v>
      </c>
      <c r="AN72" s="137">
        <f>Transportation_LCIA!R$61*($W72^Transportation_LCIA!R$60)+Transportation_LCIA!R$62</f>
        <v>4.8520261212265276E-4</v>
      </c>
      <c r="AO72" s="137">
        <f>Transportation_LCIA!S$61*($W72^Transportation_LCIA!S$60)+Transportation_LCIA!S$62</f>
        <v>7.1416605098105525E-6</v>
      </c>
      <c r="AP72" s="137">
        <f>Transportation_LCIA!T$61*($W72^Transportation_LCIA!T$60)+Transportation_LCIA!T$62</f>
        <v>7.1416605098105525E-6</v>
      </c>
      <c r="AQ72" s="137">
        <f>Transportation_LCIA!U$61*($W72^Transportation_LCIA!U$60)+Transportation_LCIA!U$62</f>
        <v>1.0519598834212809E-3</v>
      </c>
      <c r="AR72" s="137">
        <f>Transportation_LCIA!V$61*($W72^Transportation_LCIA!V$60)+Transportation_LCIA!V$62</f>
        <v>4.0137597393638617E-4</v>
      </c>
      <c r="AT72" s="137">
        <f>$W72*Y72+$L72*Summary_LCIA!H$32</f>
        <v>183.27488338315391</v>
      </c>
      <c r="AU72" s="137">
        <f>$W72*Z72+$L72*Summary_LCIA!Q$32</f>
        <v>2026.8861728473939</v>
      </c>
      <c r="AV72" s="137">
        <f>$W72*AA72+$L72*Summary_LCIA!R$32</f>
        <v>1.1975541806186389</v>
      </c>
      <c r="AW72" s="137">
        <f>$W72*AB72+$L72*Summary_LCIA!S$32</f>
        <v>183.07215124315391</v>
      </c>
      <c r="AX72" s="137">
        <f>$W72*AC72+$L72*Summary_LCIA!T$32</f>
        <v>46.95356346527376</v>
      </c>
      <c r="AY72" s="137">
        <f>$W72*AD72+$L72*Summary_LCIA!U$32</f>
        <v>1.0454044763900505</v>
      </c>
      <c r="AZ72" s="137">
        <f>$W72*AE72+$L72*Summary_LCIA!V$32</f>
        <v>7.3211155136305561E-3</v>
      </c>
      <c r="BA72" s="137">
        <f>$W72*AF72+$L72*Summary_LCIA!W$32</f>
        <v>11.17333615834179</v>
      </c>
      <c r="BB72" s="137">
        <f>$W72*AG72+$L72*Summary_LCIA!X$32</f>
        <v>10.256289081249118</v>
      </c>
      <c r="BC72" s="137">
        <f>$W72*AH72+$L72*Summary_LCIA!Y$32</f>
        <v>0.91329811932425597</v>
      </c>
      <c r="BD72" s="137">
        <f>$W72*AI72+$L72*Summary_LCIA!Z$32</f>
        <v>0.17153553658282725</v>
      </c>
      <c r="BE72" s="137">
        <f>$W72*AJ72+$L72*Summary_LCIA!AA$32</f>
        <v>1.853293938792258</v>
      </c>
      <c r="BF72" s="137">
        <f>$W72*AK72+$L72*Summary_LCIA!AB$32</f>
        <v>4.3372215227325789E-2</v>
      </c>
      <c r="BG72" s="137">
        <f>$W72*AL72+$L72*Summary_LCIA!AC$32</f>
        <v>2.3654132525353234E-5</v>
      </c>
      <c r="BH72" s="137">
        <f>$W72*AM72+$L72*Summary_LCIA!AD$32</f>
        <v>9.7161296700022534E-2</v>
      </c>
      <c r="BI72" s="137">
        <f>$W72*AN72+$L72*Summary_LCIA!AE$32</f>
        <v>0.28712879289358739</v>
      </c>
      <c r="BJ72" s="137">
        <f>$W72*AO72+$L72*Summary_LCIA!AF$32</f>
        <v>4.2404868307946812E-2</v>
      </c>
      <c r="BK72" s="137">
        <f>$W72*AP72+$L72*Summary_LCIA!AG$32</f>
        <v>5.9747742229468142E-3</v>
      </c>
      <c r="BL72" s="137">
        <f>$W72*AQ72+$L72*Summary_LCIA!AH$32</f>
        <v>0.9336074171001898</v>
      </c>
      <c r="BM72" s="137">
        <f>$W72*AR72+$L72*Summary_LCIA!AI$32</f>
        <v>0.24662783900999335</v>
      </c>
    </row>
    <row r="73" spans="1:65" x14ac:dyDescent="0.25">
      <c r="A73" s="149">
        <v>351</v>
      </c>
      <c r="B73" s="149">
        <v>6</v>
      </c>
      <c r="C73" s="61">
        <v>45.176614999999998</v>
      </c>
      <c r="D73" s="61">
        <v>-92.577832999999998</v>
      </c>
      <c r="E73" s="61" t="s">
        <v>265</v>
      </c>
      <c r="F73" s="149">
        <v>57</v>
      </c>
      <c r="G73" s="61" t="s">
        <v>565</v>
      </c>
      <c r="H73" s="61" t="s">
        <v>641</v>
      </c>
      <c r="I73" s="61">
        <v>44.884754999999998</v>
      </c>
      <c r="J73" s="61">
        <v>-93.222284999999999</v>
      </c>
      <c r="K73" s="61">
        <v>71.451382140000007</v>
      </c>
      <c r="L73" s="61">
        <v>80.105999999999995</v>
      </c>
      <c r="M73" s="61" t="s">
        <v>617</v>
      </c>
      <c r="N73" s="149">
        <v>5</v>
      </c>
      <c r="O73" s="149">
        <v>6</v>
      </c>
      <c r="P73" s="61" t="s">
        <v>565</v>
      </c>
      <c r="Q73" s="61" t="s">
        <v>564</v>
      </c>
      <c r="R73" s="61">
        <v>41.98028</v>
      </c>
      <c r="S73" s="61">
        <v>-87.908997900000003</v>
      </c>
      <c r="T73" s="61">
        <v>607.62</v>
      </c>
      <c r="U73" s="61" t="s">
        <v>617</v>
      </c>
      <c r="V73" s="61" t="s">
        <v>569</v>
      </c>
      <c r="W73" s="61" cm="1">
        <f t="array" ref="W73">getDistance(I73,J73,R73,S73)*SA!$B$12</f>
        <v>537.9238360294454</v>
      </c>
      <c r="X73" s="61"/>
      <c r="Y73" s="137">
        <f>Transportation_LCIA!C$61*($W73^Transportation_LCIA!C$60)+Transportation_LCIA!C$62</f>
        <v>0.31986678213898079</v>
      </c>
      <c r="Z73" s="137">
        <f>Transportation_LCIA!D$61*($W73^Transportation_LCIA!D$60)+Transportation_LCIA!D$62</f>
        <v>3.4196837590581142</v>
      </c>
      <c r="AA73" s="137">
        <f>Transportation_LCIA!E$61*($W73^Transportation_LCIA!E$60)+Transportation_LCIA!E$62</f>
        <v>1.8006084167141755E-3</v>
      </c>
      <c r="AB73" s="137">
        <f>Transportation_LCIA!F$61*($W73^Transportation_LCIA!F$60)+Transportation_LCIA!F$62</f>
        <v>0.31986678213898079</v>
      </c>
      <c r="AC73" s="137">
        <f>Transportation_LCIA!G$61*($W73^Transportation_LCIA!G$60)+Transportation_LCIA!G$62</f>
        <v>7.9669699225259488E-2</v>
      </c>
      <c r="AD73" s="137">
        <f>Transportation_LCIA!H$61*($W73^Transportation_LCIA!H$60)+Transportation_LCIA!H$62</f>
        <v>4.2227087470452683E-4</v>
      </c>
      <c r="AE73" s="137">
        <f>Transportation_LCIA!I$61*($W73^Transportation_LCIA!I$60)+Transportation_LCIA!I$62</f>
        <v>9.6304021623867961E-6</v>
      </c>
      <c r="AF73" s="137">
        <f>Transportation_LCIA!J$61*($W73^Transportation_LCIA!J$60)+Transportation_LCIA!J$62</f>
        <v>1.4335225470337743E-2</v>
      </c>
      <c r="AG73" s="137">
        <f>Transportation_LCIA!K$61*($W73^Transportation_LCIA!K$60)+Transportation_LCIA!K$62</f>
        <v>1.7461378929992367E-2</v>
      </c>
      <c r="AH73" s="137">
        <f>Transportation_LCIA!L$61*($W73^Transportation_LCIA!L$60)+Transportation_LCIA!L$62</f>
        <v>3.741200211309115E-4</v>
      </c>
      <c r="AI73" s="137">
        <f>Transportation_LCIA!M$61*($W73^Transportation_LCIA!M$60)+Transportation_LCIA!M$62</f>
        <v>3.2392972305419126E-4</v>
      </c>
      <c r="AJ73" s="137">
        <f>Transportation_LCIA!N$61*($W73^Transportation_LCIA!N$60)+Transportation_LCIA!N$62</f>
        <v>1.4784543299395398E-3</v>
      </c>
      <c r="AK73" s="137">
        <f>Transportation_LCIA!O$61*($W73^Transportation_LCIA!O$60)+Transportation_LCIA!O$62</f>
        <v>8.4333072501823996E-5</v>
      </c>
      <c r="AL73" s="137">
        <f>Transportation_LCIA!P$61*($W73^Transportation_LCIA!P$60)+Transportation_LCIA!P$62</f>
        <v>4.0702648380323872E-8</v>
      </c>
      <c r="AM73" s="137">
        <f>Transportation_LCIA!Q$61*($W73^Transportation_LCIA!Q$60)+Transportation_LCIA!Q$62</f>
        <v>1.4754717709156823E-4</v>
      </c>
      <c r="AN73" s="137">
        <f>Transportation_LCIA!R$61*($W73^Transportation_LCIA!R$60)+Transportation_LCIA!R$62</f>
        <v>4.6270576693556009E-4</v>
      </c>
      <c r="AO73" s="137">
        <f>Transportation_LCIA!S$61*($W73^Transportation_LCIA!S$60)+Transportation_LCIA!S$62</f>
        <v>6.8227398697620497E-6</v>
      </c>
      <c r="AP73" s="137">
        <f>Transportation_LCIA!T$61*($W73^Transportation_LCIA!T$60)+Transportation_LCIA!T$62</f>
        <v>6.8227398697620497E-6</v>
      </c>
      <c r="AQ73" s="137">
        <f>Transportation_LCIA!U$61*($W73^Transportation_LCIA!U$60)+Transportation_LCIA!U$62</f>
        <v>1.002389311334221E-3</v>
      </c>
      <c r="AR73" s="137">
        <f>Transportation_LCIA!V$61*($W73^Transportation_LCIA!V$60)+Transportation_LCIA!V$62</f>
        <v>3.8411685160034487E-4</v>
      </c>
      <c r="AT73" s="137">
        <f>$W73*Y73+$L73*Summary_LCIA!H$32</f>
        <v>199.28398526659544</v>
      </c>
      <c r="AU73" s="137">
        <f>$W73*Z73+$L73*Summary_LCIA!Q$32</f>
        <v>2236.5387816660323</v>
      </c>
      <c r="AV73" s="137">
        <f>$W73*AA73+$L73*Summary_LCIA!R$32</f>
        <v>1.3903963403057955</v>
      </c>
      <c r="AW73" s="137">
        <f>$W73*AB73+$L73*Summary_LCIA!S$32</f>
        <v>198.92991674659544</v>
      </c>
      <c r="AX73" s="137">
        <f>$W73*AC73+$L73*Summary_LCIA!T$32</f>
        <v>51.659879622563714</v>
      </c>
      <c r="AY73" s="137">
        <f>$W73*AD73+$L73*Summary_LCIA!U$32</f>
        <v>1.6621684527645681</v>
      </c>
      <c r="AZ73" s="137">
        <f>$W73*AE73+$L73*Summary_LCIA!V$32</f>
        <v>9.0063655396973707E-3</v>
      </c>
      <c r="BA73" s="137">
        <f>$W73*AF73+$L73*Summary_LCIA!W$32</f>
        <v>13.877098401351088</v>
      </c>
      <c r="BB73" s="137">
        <f>$W73*AG73+$L73*Summary_LCIA!X$32</f>
        <v>11.217706616385227</v>
      </c>
      <c r="BC73" s="137">
        <f>$W73*AH73+$L73*Summary_LCIA!Y$32</f>
        <v>1.4494597689021571</v>
      </c>
      <c r="BD73" s="137">
        <f>$W73*AI73+$L73*Summary_LCIA!Z$32</f>
        <v>0.17753458618326642</v>
      </c>
      <c r="BE73" s="137">
        <f>$W73*AJ73+$L73*Summary_LCIA!AA$32</f>
        <v>2.6662515605554202</v>
      </c>
      <c r="BF73" s="137">
        <f>$W73*AK73+$L73*Summary_LCIA!AB$32</f>
        <v>4.3616616626330505E-2</v>
      </c>
      <c r="BG73" s="137">
        <f>$W73*AL73+$L73*Summary_LCIA!AC$32</f>
        <v>2.5810826457301509E-5</v>
      </c>
      <c r="BH73" s="137">
        <f>$W73*AM73+$L73*Summary_LCIA!AD$32</f>
        <v>0.11229591373641229</v>
      </c>
      <c r="BI73" s="137">
        <f>$W73*AN73+$L73*Summary_LCIA!AE$32</f>
        <v>0.31988479088292299</v>
      </c>
      <c r="BJ73" s="137">
        <f>$W73*AO73+$L73*Summary_LCIA!AF$32</f>
        <v>7.139332892297344E-2</v>
      </c>
      <c r="BK73" s="137">
        <f>$W73*AP73+$L73*Summary_LCIA!AG$32</f>
        <v>7.7687378929734404E-3</v>
      </c>
      <c r="BL73" s="137">
        <f>$W73*AQ73+$L73*Summary_LCIA!AH$32</f>
        <v>1.2364196851478182</v>
      </c>
      <c r="BM73" s="137">
        <f>$W73*AR73+$L73*Summary_LCIA!AI$32</f>
        <v>0.28124835459641073</v>
      </c>
    </row>
    <row r="74" spans="1:65" x14ac:dyDescent="0.25">
      <c r="A74" s="149">
        <v>193</v>
      </c>
      <c r="B74" s="149">
        <v>6</v>
      </c>
      <c r="C74" s="61">
        <v>41.09545</v>
      </c>
      <c r="D74" s="61">
        <v>-81.588757999999999</v>
      </c>
      <c r="E74" s="61" t="s">
        <v>265</v>
      </c>
      <c r="F74" s="149">
        <v>105</v>
      </c>
      <c r="G74" s="61" t="s">
        <v>276</v>
      </c>
      <c r="H74" s="61" t="s">
        <v>660</v>
      </c>
      <c r="I74" s="61">
        <v>41.405799000000002</v>
      </c>
      <c r="J74" s="61">
        <v>-81.853866999999994</v>
      </c>
      <c r="K74" s="61">
        <v>53.820187070000003</v>
      </c>
      <c r="L74" s="61">
        <v>60.753</v>
      </c>
      <c r="M74" s="61" t="s">
        <v>617</v>
      </c>
      <c r="N74" s="149">
        <v>5</v>
      </c>
      <c r="O74" s="149">
        <v>6</v>
      </c>
      <c r="P74" s="61" t="s">
        <v>565</v>
      </c>
      <c r="Q74" s="61" t="s">
        <v>564</v>
      </c>
      <c r="R74" s="61">
        <v>41.98028</v>
      </c>
      <c r="S74" s="61">
        <v>-87.908997900000003</v>
      </c>
      <c r="T74" s="61">
        <v>608.34900000000005</v>
      </c>
      <c r="U74" s="61" t="s">
        <v>617</v>
      </c>
      <c r="V74" s="61" t="s">
        <v>569</v>
      </c>
      <c r="W74" s="61" cm="1">
        <f t="array" ref="W74">getDistance(I74,J74,R74,S74)*SA!$B$12</f>
        <v>508.0035886560301</v>
      </c>
      <c r="X74" s="61"/>
      <c r="Y74" s="137">
        <f>Transportation_LCIA!C$61*($W74^Transportation_LCIA!C$60)+Transportation_LCIA!C$62</f>
        <v>0.33009466965930534</v>
      </c>
      <c r="Z74" s="137">
        <f>Transportation_LCIA!D$61*($W74^Transportation_LCIA!D$60)+Transportation_LCIA!D$62</f>
        <v>3.5424297147150119</v>
      </c>
      <c r="AA74" s="137">
        <f>Transportation_LCIA!E$61*($W74^Transportation_LCIA!E$60)+Transportation_LCIA!E$62</f>
        <v>1.881949117619271E-3</v>
      </c>
      <c r="AB74" s="137">
        <f>Transportation_LCIA!F$61*($W74^Transportation_LCIA!F$60)+Transportation_LCIA!F$62</f>
        <v>0.33009466965930534</v>
      </c>
      <c r="AC74" s="137">
        <f>Transportation_LCIA!G$61*($W74^Transportation_LCIA!G$60)+Transportation_LCIA!G$62</f>
        <v>8.2504889928352365E-2</v>
      </c>
      <c r="AD74" s="137">
        <f>Transportation_LCIA!H$61*($W74^Transportation_LCIA!H$60)+Transportation_LCIA!H$62</f>
        <v>4.4043594058456003E-4</v>
      </c>
      <c r="AE74" s="137">
        <f>Transportation_LCIA!I$61*($W74^Transportation_LCIA!I$60)+Transportation_LCIA!I$62</f>
        <v>1.0099262763484922E-5</v>
      </c>
      <c r="AF74" s="137">
        <f>Transportation_LCIA!J$61*($W74^Transportation_LCIA!J$60)+Transportation_LCIA!J$62</f>
        <v>1.5044986830824957E-2</v>
      </c>
      <c r="AG74" s="137">
        <f>Transportation_LCIA!K$61*($W74^Transportation_LCIA!K$60)+Transportation_LCIA!K$62</f>
        <v>1.8132625491128557E-2</v>
      </c>
      <c r="AH74" s="137">
        <f>Transportation_LCIA!L$61*($W74^Transportation_LCIA!L$60)+Transportation_LCIA!L$62</f>
        <v>3.9093921727928455E-4</v>
      </c>
      <c r="AI74" s="137">
        <f>Transportation_LCIA!M$61*($W74^Transportation_LCIA!M$60)+Transportation_LCIA!M$62</f>
        <v>3.3396334311075232E-4</v>
      </c>
      <c r="AJ74" s="137">
        <f>Transportation_LCIA!N$61*($W74^Transportation_LCIA!N$60)+Transportation_LCIA!N$62</f>
        <v>1.5394070125787397E-3</v>
      </c>
      <c r="AK74" s="137">
        <f>Transportation_LCIA!O$61*($W74^Transportation_LCIA!O$60)+Transportation_LCIA!O$62</f>
        <v>8.7348144302915392E-5</v>
      </c>
      <c r="AL74" s="137">
        <f>Transportation_LCIA!P$61*($W74^Transportation_LCIA!P$60)+Transportation_LCIA!P$62</f>
        <v>4.2149249681484652E-8</v>
      </c>
      <c r="AM74" s="137">
        <f>Transportation_LCIA!Q$61*($W74^Transportation_LCIA!Q$60)+Transportation_LCIA!Q$62</f>
        <v>1.5414876345104929E-4</v>
      </c>
      <c r="AN74" s="137">
        <f>Transportation_LCIA!R$61*($W74^Transportation_LCIA!R$60)+Transportation_LCIA!R$62</f>
        <v>4.8520261212265276E-4</v>
      </c>
      <c r="AO74" s="137">
        <f>Transportation_LCIA!S$61*($W74^Transportation_LCIA!S$60)+Transportation_LCIA!S$62</f>
        <v>7.1416605098105525E-6</v>
      </c>
      <c r="AP74" s="137">
        <f>Transportation_LCIA!T$61*($W74^Transportation_LCIA!T$60)+Transportation_LCIA!T$62</f>
        <v>7.1416605098105525E-6</v>
      </c>
      <c r="AQ74" s="137">
        <f>Transportation_LCIA!U$61*($W74^Transportation_LCIA!U$60)+Transportation_LCIA!U$62</f>
        <v>1.0519598834212809E-3</v>
      </c>
      <c r="AR74" s="137">
        <f>Transportation_LCIA!V$61*($W74^Transportation_LCIA!V$60)+Transportation_LCIA!V$62</f>
        <v>4.0137597393638617E-4</v>
      </c>
      <c r="AT74" s="137">
        <f>$W74*Y74+$L74*Summary_LCIA!H$32</f>
        <v>188.3331461831539</v>
      </c>
      <c r="AU74" s="137">
        <f>$W74*Z74+$L74*Summary_LCIA!Q$32</f>
        <v>2100.661939593032</v>
      </c>
      <c r="AV74" s="137">
        <f>$W74*AA74+$L74*Summary_LCIA!R$32</f>
        <v>1.275937902218639</v>
      </c>
      <c r="AW74" s="137">
        <f>$W74*AB74+$L74*Summary_LCIA!S$32</f>
        <v>188.06461792315389</v>
      </c>
      <c r="AX74" s="137">
        <f>$W74*AC74+$L74*Summary_LCIA!T$32</f>
        <v>48.589534865273762</v>
      </c>
      <c r="AY74" s="137">
        <f>$W74*AD74+$L74*Summary_LCIA!U$32</f>
        <v>1.3120722803900504</v>
      </c>
      <c r="AZ74" s="137">
        <f>$W74*AE74+$L74*Summary_LCIA!V$32</f>
        <v>8.0320857596305559E-3</v>
      </c>
      <c r="BA74" s="137">
        <f>$W74*AF74+$L74*Summary_LCIA!W$32</f>
        <v>12.319126464341792</v>
      </c>
      <c r="BB74" s="137">
        <f>$W74*AG74+$L74*Summary_LCIA!X$32</f>
        <v>10.595392161249118</v>
      </c>
      <c r="BC74" s="137">
        <f>$W74*AH74+$L74*Summary_LCIA!Y$32</f>
        <v>1.145251771324256</v>
      </c>
      <c r="BD74" s="137">
        <f>$W74*AI74+$L74*Summary_LCIA!Z$32</f>
        <v>0.17214599655682725</v>
      </c>
      <c r="BE74" s="137">
        <f>$W74*AJ74+$L74*Summary_LCIA!AA$32</f>
        <v>2.2009713547922578</v>
      </c>
      <c r="BF74" s="137">
        <f>$W74*AK74+$L74*Summary_LCIA!AB$32</f>
        <v>4.3047358049325787E-2</v>
      </c>
      <c r="BG74" s="137">
        <f>$W74*AL74+$L74*Summary_LCIA!AC$32</f>
        <v>2.4381819749353236E-5</v>
      </c>
      <c r="BH74" s="137">
        <f>$W74*AM74+$L74*Summary_LCIA!AD$32</f>
        <v>0.10328003814002254</v>
      </c>
      <c r="BI74" s="137">
        <f>$W74*AN74+$L74*Summary_LCIA!AE$32</f>
        <v>0.30031972407358742</v>
      </c>
      <c r="BJ74" s="137">
        <f>$W74*AO74+$L74*Summary_LCIA!AF$32</f>
        <v>5.4989790427946821E-2</v>
      </c>
      <c r="BK74" s="137">
        <f>$W74*AP74+$L74*Summary_LCIA!AG$32</f>
        <v>6.7364164129468142E-3</v>
      </c>
      <c r="BL74" s="137">
        <f>$W74*AQ74+$L74*Summary_LCIA!AH$32</f>
        <v>1.0631692067001899</v>
      </c>
      <c r="BM74" s="137">
        <f>$W74*AR74+$L74*Summary_LCIA!AI$32</f>
        <v>0.26049489230999334</v>
      </c>
    </row>
    <row r="75" spans="1:65" x14ac:dyDescent="0.25">
      <c r="A75" s="149">
        <v>230</v>
      </c>
      <c r="B75" s="149">
        <v>6</v>
      </c>
      <c r="C75" s="61">
        <v>44.974069999999998</v>
      </c>
      <c r="D75" s="61">
        <v>-93.024049000000005</v>
      </c>
      <c r="E75" s="61" t="s">
        <v>265</v>
      </c>
      <c r="F75" s="149">
        <v>57</v>
      </c>
      <c r="G75" s="61" t="s">
        <v>565</v>
      </c>
      <c r="H75" s="61" t="s">
        <v>641</v>
      </c>
      <c r="I75" s="61">
        <v>44.884754999999998</v>
      </c>
      <c r="J75" s="61">
        <v>-93.222284999999999</v>
      </c>
      <c r="K75" s="61">
        <v>21.929348569999998</v>
      </c>
      <c r="L75" s="61">
        <v>28.896000000000001</v>
      </c>
      <c r="M75" s="61" t="s">
        <v>617</v>
      </c>
      <c r="N75" s="149">
        <v>5</v>
      </c>
      <c r="O75" s="149">
        <v>6</v>
      </c>
      <c r="P75" s="61" t="s">
        <v>565</v>
      </c>
      <c r="Q75" s="61" t="s">
        <v>564</v>
      </c>
      <c r="R75" s="61">
        <v>41.98028</v>
      </c>
      <c r="S75" s="61">
        <v>-87.908997900000003</v>
      </c>
      <c r="T75" s="61">
        <v>617.125</v>
      </c>
      <c r="U75" s="61" t="s">
        <v>617</v>
      </c>
      <c r="V75" s="61" t="s">
        <v>569</v>
      </c>
      <c r="W75" s="61" cm="1">
        <f t="array" ref="W75">getDistance(I75,J75,R75,S75)*SA!$B$12</f>
        <v>537.9238360294454</v>
      </c>
      <c r="X75" s="61"/>
      <c r="Y75" s="137">
        <f>Transportation_LCIA!C$61*($W75^Transportation_LCIA!C$60)+Transportation_LCIA!C$62</f>
        <v>0.31986678213898079</v>
      </c>
      <c r="Z75" s="137">
        <f>Transportation_LCIA!D$61*($W75^Transportation_LCIA!D$60)+Transportation_LCIA!D$62</f>
        <v>3.4196837590581142</v>
      </c>
      <c r="AA75" s="137">
        <f>Transportation_LCIA!E$61*($W75^Transportation_LCIA!E$60)+Transportation_LCIA!E$62</f>
        <v>1.8006084167141755E-3</v>
      </c>
      <c r="AB75" s="137">
        <f>Transportation_LCIA!F$61*($W75^Transportation_LCIA!F$60)+Transportation_LCIA!F$62</f>
        <v>0.31986678213898079</v>
      </c>
      <c r="AC75" s="137">
        <f>Transportation_LCIA!G$61*($W75^Transportation_LCIA!G$60)+Transportation_LCIA!G$62</f>
        <v>7.9669699225259488E-2</v>
      </c>
      <c r="AD75" s="137">
        <f>Transportation_LCIA!H$61*($W75^Transportation_LCIA!H$60)+Transportation_LCIA!H$62</f>
        <v>4.2227087470452683E-4</v>
      </c>
      <c r="AE75" s="137">
        <f>Transportation_LCIA!I$61*($W75^Transportation_LCIA!I$60)+Transportation_LCIA!I$62</f>
        <v>9.6304021623867961E-6</v>
      </c>
      <c r="AF75" s="137">
        <f>Transportation_LCIA!J$61*($W75^Transportation_LCIA!J$60)+Transportation_LCIA!J$62</f>
        <v>1.4335225470337743E-2</v>
      </c>
      <c r="AG75" s="137">
        <f>Transportation_LCIA!K$61*($W75^Transportation_LCIA!K$60)+Transportation_LCIA!K$62</f>
        <v>1.7461378929992367E-2</v>
      </c>
      <c r="AH75" s="137">
        <f>Transportation_LCIA!L$61*($W75^Transportation_LCIA!L$60)+Transportation_LCIA!L$62</f>
        <v>3.741200211309115E-4</v>
      </c>
      <c r="AI75" s="137">
        <f>Transportation_LCIA!M$61*($W75^Transportation_LCIA!M$60)+Transportation_LCIA!M$62</f>
        <v>3.2392972305419126E-4</v>
      </c>
      <c r="AJ75" s="137">
        <f>Transportation_LCIA!N$61*($W75^Transportation_LCIA!N$60)+Transportation_LCIA!N$62</f>
        <v>1.4784543299395398E-3</v>
      </c>
      <c r="AK75" s="137">
        <f>Transportation_LCIA!O$61*($W75^Transportation_LCIA!O$60)+Transportation_LCIA!O$62</f>
        <v>8.4333072501823996E-5</v>
      </c>
      <c r="AL75" s="137">
        <f>Transportation_LCIA!P$61*($W75^Transportation_LCIA!P$60)+Transportation_LCIA!P$62</f>
        <v>4.0702648380323872E-8</v>
      </c>
      <c r="AM75" s="137">
        <f>Transportation_LCIA!Q$61*($W75^Transportation_LCIA!Q$60)+Transportation_LCIA!Q$62</f>
        <v>1.4754717709156823E-4</v>
      </c>
      <c r="AN75" s="137">
        <f>Transportation_LCIA!R$61*($W75^Transportation_LCIA!R$60)+Transportation_LCIA!R$62</f>
        <v>4.6270576693556009E-4</v>
      </c>
      <c r="AO75" s="137">
        <f>Transportation_LCIA!S$61*($W75^Transportation_LCIA!S$60)+Transportation_LCIA!S$62</f>
        <v>6.8227398697620497E-6</v>
      </c>
      <c r="AP75" s="137">
        <f>Transportation_LCIA!T$61*($W75^Transportation_LCIA!T$60)+Transportation_LCIA!T$62</f>
        <v>6.8227398697620497E-6</v>
      </c>
      <c r="AQ75" s="137">
        <f>Transportation_LCIA!U$61*($W75^Transportation_LCIA!U$60)+Transportation_LCIA!U$62</f>
        <v>1.002389311334221E-3</v>
      </c>
      <c r="AR75" s="137">
        <f>Transportation_LCIA!V$61*($W75^Transportation_LCIA!V$60)+Transportation_LCIA!V$62</f>
        <v>3.8411685160034487E-4</v>
      </c>
      <c r="AT75" s="137">
        <f>$W75*Y75+$L75*Summary_LCIA!H$32</f>
        <v>181.88282726659546</v>
      </c>
      <c r="AU75" s="137">
        <f>$W75*Z75+$L75*Summary_LCIA!Q$32</f>
        <v>1982.7394389921024</v>
      </c>
      <c r="AV75" s="137">
        <f>$W75*AA75+$L75*Summary_LCIA!R$32</f>
        <v>1.1207449643057954</v>
      </c>
      <c r="AW75" s="137">
        <f>$W75*AB75+$L75*Summary_LCIA!S$32</f>
        <v>181.75510694659545</v>
      </c>
      <c r="AX75" s="137">
        <f>$W75*AC75+$L75*Summary_LCIA!T$32</f>
        <v>46.031900622563718</v>
      </c>
      <c r="AY75" s="137">
        <f>$W75*AD75+$L75*Summary_LCIA!U$32</f>
        <v>0.74479251276456837</v>
      </c>
      <c r="AZ75" s="137">
        <f>$W75*AE75+$L75*Summary_LCIA!V$32</f>
        <v>6.560524729697371E-3</v>
      </c>
      <c r="BA75" s="137">
        <f>$W75*AF75+$L75*Summary_LCIA!W$32</f>
        <v>9.9354134913510883</v>
      </c>
      <c r="BB75" s="137">
        <f>$W75*AG75+$L75*Summary_LCIA!X$32</f>
        <v>10.051142816385228</v>
      </c>
      <c r="BC75" s="137">
        <f>$W75*AH75+$L75*Summary_LCIA!Y$32</f>
        <v>0.65150554890215717</v>
      </c>
      <c r="BD75" s="137">
        <f>$W75*AI75+$L75*Summary_LCIA!Z$32</f>
        <v>0.17543451529326642</v>
      </c>
      <c r="BE75" s="137">
        <f>$W75*AJ75+$L75*Summary_LCIA!AA$32</f>
        <v>1.4701908005554205</v>
      </c>
      <c r="BF75" s="137">
        <f>$W75*AK75+$L75*Summary_LCIA!AB$32</f>
        <v>4.4734172456330504E-2</v>
      </c>
      <c r="BG75" s="137">
        <f>$W75*AL75+$L75*Summary_LCIA!AC$32</f>
        <v>2.3307476817301509E-5</v>
      </c>
      <c r="BH75" s="137">
        <f>$W75*AM75+$L75*Summary_LCIA!AD$32</f>
        <v>9.1246555336412294E-2</v>
      </c>
      <c r="BI75" s="137">
        <f>$W75*AN75+$L75*Summary_LCIA!AE$32</f>
        <v>0.274506073582923</v>
      </c>
      <c r="BJ75" s="137">
        <f>$W75*AO75+$L75*Summary_LCIA!AF$32</f>
        <v>2.8099370722973444E-2</v>
      </c>
      <c r="BK75" s="137">
        <f>$W75*AP75+$L75*Summary_LCIA!AG$32</f>
        <v>5.1485782429734409E-3</v>
      </c>
      <c r="BL75" s="137">
        <f>$W75*AQ75+$L75*Summary_LCIA!AH$32</f>
        <v>0.79070832914781819</v>
      </c>
      <c r="BM75" s="137">
        <f>$W75*AR75+$L75*Summary_LCIA!AI$32</f>
        <v>0.23354367909641072</v>
      </c>
    </row>
    <row r="76" spans="1:65" x14ac:dyDescent="0.25">
      <c r="A76" s="149">
        <v>248</v>
      </c>
      <c r="B76" s="149">
        <v>6</v>
      </c>
      <c r="C76" s="61">
        <v>38.019613999999997</v>
      </c>
      <c r="D76" s="61">
        <v>-84.499448999999998</v>
      </c>
      <c r="E76" s="61" t="s">
        <v>265</v>
      </c>
      <c r="F76" s="149">
        <v>109</v>
      </c>
      <c r="G76" s="61" t="s">
        <v>273</v>
      </c>
      <c r="H76" s="61" t="s">
        <v>665</v>
      </c>
      <c r="I76" s="61">
        <v>39.053274999999999</v>
      </c>
      <c r="J76" s="61">
        <v>-84.663016999999996</v>
      </c>
      <c r="K76" s="61">
        <v>172.19998559999999</v>
      </c>
      <c r="L76" s="61">
        <v>132.86199999999999</v>
      </c>
      <c r="M76" s="61" t="s">
        <v>617</v>
      </c>
      <c r="N76" s="149">
        <v>5</v>
      </c>
      <c r="O76" s="149">
        <v>6</v>
      </c>
      <c r="P76" s="61" t="s">
        <v>565</v>
      </c>
      <c r="Q76" s="61" t="s">
        <v>564</v>
      </c>
      <c r="R76" s="61">
        <v>41.98028</v>
      </c>
      <c r="S76" s="61">
        <v>-87.908997900000003</v>
      </c>
      <c r="T76" s="61">
        <v>628.44299999999998</v>
      </c>
      <c r="U76" s="61" t="s">
        <v>617</v>
      </c>
      <c r="V76" s="61" t="s">
        <v>569</v>
      </c>
      <c r="W76" s="61" cm="1">
        <f t="array" ref="W76">getDistance(I76,J76,R76,S76)*SA!$B$12</f>
        <v>426.22298474711437</v>
      </c>
      <c r="X76" s="61"/>
      <c r="Y76" s="137">
        <f>Transportation_LCIA!C$61*($W76^Transportation_LCIA!C$60)+Transportation_LCIA!C$62</f>
        <v>0.36470937059724018</v>
      </c>
      <c r="Z76" s="137">
        <f>Transportation_LCIA!D$61*($W76^Transportation_LCIA!D$60)+Transportation_LCIA!D$62</f>
        <v>3.9599843643856643</v>
      </c>
      <c r="AA76" s="137">
        <f>Transportation_LCIA!E$61*($W76^Transportation_LCIA!E$60)+Transportation_LCIA!E$62</f>
        <v>2.1590522921276657E-3</v>
      </c>
      <c r="AB76" s="137">
        <f>Transportation_LCIA!F$61*($W76^Transportation_LCIA!F$60)+Transportation_LCIA!F$62</f>
        <v>0.36470937059724018</v>
      </c>
      <c r="AC76" s="137">
        <f>Transportation_LCIA!G$61*($W76^Transportation_LCIA!G$60)+Transportation_LCIA!G$62</f>
        <v>9.2146692060025251E-2</v>
      </c>
      <c r="AD76" s="137">
        <f>Transportation_LCIA!H$61*($W76^Transportation_LCIA!H$60)+Transportation_LCIA!H$62</f>
        <v>5.0249575772855042E-4</v>
      </c>
      <c r="AE76" s="137">
        <f>Transportation_LCIA!I$61*($W76^Transportation_LCIA!I$60)+Transportation_LCIA!I$62</f>
        <v>1.1708483079934808E-5</v>
      </c>
      <c r="AF76" s="137">
        <f>Transportation_LCIA!J$61*($W76^Transportation_LCIA!J$60)+Transportation_LCIA!J$62</f>
        <v>1.7488363461505577E-2</v>
      </c>
      <c r="AG76" s="137">
        <f>Transportation_LCIA!K$61*($W76^Transportation_LCIA!K$60)+Transportation_LCIA!K$62</f>
        <v>2.0421310133522361E-2</v>
      </c>
      <c r="AH76" s="137">
        <f>Transportation_LCIA!L$61*($W76^Transportation_LCIA!L$60)+Transportation_LCIA!L$62</f>
        <v>4.4847627034344826E-4</v>
      </c>
      <c r="AI76" s="137">
        <f>Transportation_LCIA!M$61*($W76^Transportation_LCIA!M$60)+Transportation_LCIA!M$62</f>
        <v>3.6824791490361742E-4</v>
      </c>
      <c r="AJ76" s="137">
        <f>Transportation_LCIA!N$61*($W76^Transportation_LCIA!N$60)+Transportation_LCIA!N$62</f>
        <v>1.7475719590774809E-3</v>
      </c>
      <c r="AK76" s="137">
        <f>Transportation_LCIA!O$61*($W76^Transportation_LCIA!O$60)+Transportation_LCIA!O$62</f>
        <v>9.7603127192632193E-5</v>
      </c>
      <c r="AL76" s="137">
        <f>Transportation_LCIA!P$61*($W76^Transportation_LCIA!P$60)+Transportation_LCIA!P$62</f>
        <v>4.7067607312152108E-8</v>
      </c>
      <c r="AM76" s="137">
        <f>Transportation_LCIA!Q$61*($W76^Transportation_LCIA!Q$60)+Transportation_LCIA!Q$62</f>
        <v>1.7674817037411348E-4</v>
      </c>
      <c r="AN76" s="137">
        <f>Transportation_LCIA!R$61*($W76^Transportation_LCIA!R$60)+Transportation_LCIA!R$62</f>
        <v>5.6242472670821938E-4</v>
      </c>
      <c r="AO76" s="137">
        <f>Transportation_LCIA!S$61*($W76^Transportation_LCIA!S$60)+Transportation_LCIA!S$62</f>
        <v>8.2361540379476893E-6</v>
      </c>
      <c r="AP76" s="137">
        <f>Transportation_LCIA!T$61*($W76^Transportation_LCIA!T$60)+Transportation_LCIA!T$62</f>
        <v>8.2361540379476893E-6</v>
      </c>
      <c r="AQ76" s="137">
        <f>Transportation_LCIA!U$61*($W76^Transportation_LCIA!U$60)+Transportation_LCIA!U$62</f>
        <v>1.2222632354241475E-3</v>
      </c>
      <c r="AR76" s="137">
        <f>Transportation_LCIA!V$61*($W76^Transportation_LCIA!V$60)+Transportation_LCIA!V$62</f>
        <v>4.6051342935052081E-4</v>
      </c>
      <c r="AT76" s="137">
        <f>$W76*Y76+$L76*Summary_LCIA!H$32</f>
        <v>200.59402410119719</v>
      </c>
      <c r="AU76" s="137">
        <f>$W76*Z76+$L76*Summary_LCIA!Q$32</f>
        <v>2346.3071279696082</v>
      </c>
      <c r="AV76" s="137">
        <f>$W76*AA76+$L76*Summary_LCIA!R$32</f>
        <v>1.6198358593757523</v>
      </c>
      <c r="AW76" s="137">
        <f>$W76*AB76+$L76*Summary_LCIA!S$32</f>
        <v>200.00677406119718</v>
      </c>
      <c r="AX76" s="137">
        <f>$W76*AC76+$L76*Summary_LCIA!T$32</f>
        <v>53.876571924397183</v>
      </c>
      <c r="AY76" s="137">
        <f>$W76*AD76+$L76*Summary_LCIA!U$32</f>
        <v>2.5942651096818254</v>
      </c>
      <c r="AZ76" s="137">
        <f>$W76*AE76+$L76*Summary_LCIA!V$32</f>
        <v>1.1336046587190899E-2</v>
      </c>
      <c r="BA76" s="137">
        <f>$W76*AF76+$L76*Summary_LCIA!W$32</f>
        <v>17.680463474905284</v>
      </c>
      <c r="BB76" s="137">
        <f>$W76*AG76+$L76*Summary_LCIA!X$32</f>
        <v>11.730628117556392</v>
      </c>
      <c r="BC76" s="137">
        <f>$W76*AH76+$L76*Summary_LCIA!Y$32</f>
        <v>2.2614065785340385</v>
      </c>
      <c r="BD76" s="137">
        <f>$W76*AI76+$L76*Summary_LCIA!Z$32</f>
        <v>0.16240426317512119</v>
      </c>
      <c r="BE76" s="137">
        <f>$W76*AJ76+$L76*Summary_LCIA!AA$32</f>
        <v>3.8479802084583654</v>
      </c>
      <c r="BF76" s="137">
        <f>$W76*AK76+$L76*Summary_LCIA!AB$32</f>
        <v>3.8701248766695936E-2</v>
      </c>
      <c r="BG76" s="137">
        <f>$W76*AL76+$L76*Summary_LCIA!AC$32</f>
        <v>2.6556122081490578E-5</v>
      </c>
      <c r="BH76" s="137">
        <f>$W76*AM76+$L76*Summary_LCIA!AD$32</f>
        <v>0.12994572920544614</v>
      </c>
      <c r="BI76" s="137">
        <f>$W76*AN76+$L76*Summary_LCIA!AE$32</f>
        <v>0.35745134977315735</v>
      </c>
      <c r="BJ76" s="137">
        <f>$W76*AO76+$L76*Summary_LCIA!AF$32</f>
        <v>0.11583463019689107</v>
      </c>
      <c r="BK76" s="137">
        <f>$W76*AP76+$L76*Summary_LCIA!AG$32</f>
        <v>1.0308322386891063E-2</v>
      </c>
      <c r="BL76" s="137">
        <f>$W76*AQ76+$L76*Summary_LCIA!AH$32</f>
        <v>1.6773343875491451</v>
      </c>
      <c r="BM76" s="137">
        <f>$W76*AR76+$L76*Summary_LCIA!AI$32</f>
        <v>0.32004900447390838</v>
      </c>
    </row>
    <row r="77" spans="1:65" x14ac:dyDescent="0.25">
      <c r="A77" s="149">
        <v>196</v>
      </c>
      <c r="B77" s="149">
        <v>6</v>
      </c>
      <c r="C77" s="61">
        <v>38.933138999999997</v>
      </c>
      <c r="D77" s="61">
        <v>-92.373804000000007</v>
      </c>
      <c r="E77" s="61" t="s">
        <v>265</v>
      </c>
      <c r="F77" s="149">
        <v>94</v>
      </c>
      <c r="G77" s="61" t="s">
        <v>693</v>
      </c>
      <c r="H77" s="61" t="s">
        <v>694</v>
      </c>
      <c r="I77" s="61">
        <v>38.749940000000002</v>
      </c>
      <c r="J77" s="61">
        <v>-90.374819000000002</v>
      </c>
      <c r="K77" s="61">
        <v>177.120712</v>
      </c>
      <c r="L77" s="61">
        <v>188.05</v>
      </c>
      <c r="M77" s="61" t="s">
        <v>617</v>
      </c>
      <c r="N77" s="149">
        <v>5</v>
      </c>
      <c r="O77" s="149">
        <v>6</v>
      </c>
      <c r="P77" s="61" t="s">
        <v>565</v>
      </c>
      <c r="Q77" s="61" t="s">
        <v>564</v>
      </c>
      <c r="R77" s="61">
        <v>41.98028</v>
      </c>
      <c r="S77" s="61">
        <v>-87.908997900000003</v>
      </c>
      <c r="T77" s="61">
        <v>628.77</v>
      </c>
      <c r="U77" s="61" t="s">
        <v>617</v>
      </c>
      <c r="V77" s="61" t="s">
        <v>569</v>
      </c>
      <c r="W77" s="61" cm="1">
        <f t="array" ref="W77">getDistance(I77,J77,R77,S77)*SA!$B$12</f>
        <v>415.92837633975137</v>
      </c>
      <c r="X77" s="61"/>
      <c r="Y77" s="137">
        <f>Transportation_LCIA!C$61*($W77^Transportation_LCIA!C$60)+Transportation_LCIA!C$62</f>
        <v>0.36994815840498518</v>
      </c>
      <c r="Z77" s="137">
        <f>Transportation_LCIA!D$61*($W77^Transportation_LCIA!D$60)+Transportation_LCIA!D$62</f>
        <v>4.0234484421955647</v>
      </c>
      <c r="AA77" s="137">
        <f>Transportation_LCIA!E$61*($W77^Transportation_LCIA!E$60)+Transportation_LCIA!E$62</f>
        <v>2.2012194298649938E-3</v>
      </c>
      <c r="AB77" s="137">
        <f>Transportation_LCIA!F$61*($W77^Transportation_LCIA!F$60)+Transportation_LCIA!F$62</f>
        <v>0.36994815840498518</v>
      </c>
      <c r="AC77" s="137">
        <f>Transportation_LCIA!G$61*($W77^Transportation_LCIA!G$60)+Transportation_LCIA!G$62</f>
        <v>9.3611785596409508E-2</v>
      </c>
      <c r="AD77" s="137">
        <f>Transportation_LCIA!H$61*($W77^Transportation_LCIA!H$60)+Transportation_LCIA!H$62</f>
        <v>5.1196174340509932E-4</v>
      </c>
      <c r="AE77" s="137">
        <f>Transportation_LCIA!I$61*($W77^Transportation_LCIA!I$60)+Transportation_LCIA!I$62</f>
        <v>1.1954869488468754E-5</v>
      </c>
      <c r="AF77" s="137">
        <f>Transportation_LCIA!J$61*($W77^Transportation_LCIA!J$60)+Transportation_LCIA!J$62</f>
        <v>1.7863393495932058E-2</v>
      </c>
      <c r="AG77" s="137">
        <f>Transportation_LCIA!K$61*($W77^Transportation_LCIA!K$60)+Transportation_LCIA!K$62</f>
        <v>2.0769827257385139E-2</v>
      </c>
      <c r="AH77" s="137">
        <f>Transportation_LCIA!L$61*($W77^Transportation_LCIA!L$60)+Transportation_LCIA!L$62</f>
        <v>4.5726187815364603E-4</v>
      </c>
      <c r="AI77" s="137">
        <f>Transportation_LCIA!M$61*($W77^Transportation_LCIA!M$60)+Transportation_LCIA!M$62</f>
        <v>3.7347801231547796E-4</v>
      </c>
      <c r="AJ77" s="137">
        <f>Transportation_LCIA!N$61*($W77^Transportation_LCIA!N$60)+Transportation_LCIA!N$62</f>
        <v>1.7793137976698883E-3</v>
      </c>
      <c r="AK77" s="137">
        <f>Transportation_LCIA!O$61*($W77^Transportation_LCIA!O$60)+Transportation_LCIA!O$62</f>
        <v>9.9161576696146439E-5</v>
      </c>
      <c r="AL77" s="137">
        <f>Transportation_LCIA!P$61*($W77^Transportation_LCIA!P$60)+Transportation_LCIA!P$62</f>
        <v>4.7814814061373349E-8</v>
      </c>
      <c r="AM77" s="137">
        <f>Transportation_LCIA!Q$61*($W77^Transportation_LCIA!Q$60)+Transportation_LCIA!Q$62</f>
        <v>1.8020098795436986E-4</v>
      </c>
      <c r="AN77" s="137">
        <f>Transportation_LCIA!R$61*($W77^Transportation_LCIA!R$60)+Transportation_LCIA!R$62</f>
        <v>5.7424922383034498E-4</v>
      </c>
      <c r="AO77" s="137">
        <f>Transportation_LCIA!S$61*($W77^Transportation_LCIA!S$60)+Transportation_LCIA!S$62</f>
        <v>8.4037179670860392E-6</v>
      </c>
      <c r="AP77" s="137">
        <f>Transportation_LCIA!T$61*($W77^Transportation_LCIA!T$60)+Transportation_LCIA!T$62</f>
        <v>8.4037179670860392E-6</v>
      </c>
      <c r="AQ77" s="137">
        <f>Transportation_LCIA!U$61*($W77^Transportation_LCIA!U$60)+Transportation_LCIA!U$62</f>
        <v>1.2483593696332224E-3</v>
      </c>
      <c r="AR77" s="137">
        <f>Transportation_LCIA!V$61*($W77^Transportation_LCIA!V$60)+Transportation_LCIA!V$62</f>
        <v>4.6955543369307253E-4</v>
      </c>
      <c r="AT77" s="137">
        <f>$W77*Y77+$L77*Summary_LCIA!H$32</f>
        <v>217.77132685526664</v>
      </c>
      <c r="AU77" s="137">
        <f>$W77*Z77+$L77*Summary_LCIA!Q$32</f>
        <v>2605.4516617747531</v>
      </c>
      <c r="AV77" s="137">
        <f>$W77*AA77+$L77*Summary_LCIA!R$32</f>
        <v>1.9057457034312602</v>
      </c>
      <c r="AW77" s="137">
        <f>$W77*AB77+$L77*Summary_LCIA!S$32</f>
        <v>216.94014585526662</v>
      </c>
      <c r="AX77" s="137">
        <f>$W77*AC77+$L77*Summary_LCIA!T$32</f>
        <v>59.602492989379527</v>
      </c>
      <c r="AY77" s="137">
        <f>$W77*AD77+$L77*Summary_LCIA!U$32</f>
        <v>3.5816671166825516</v>
      </c>
      <c r="AZ77" s="137">
        <f>$W77*AE77+$L77*Summary_LCIA!V$32</f>
        <v>1.3953825505692444E-2</v>
      </c>
      <c r="BA77" s="137">
        <f>$W77*AF77+$L77*Summary_LCIA!W$32</f>
        <v>21.904288802681094</v>
      </c>
      <c r="BB77" s="137">
        <f>$W77*AG77+$L77*Summary_LCIA!X$32</f>
        <v>12.922539528021312</v>
      </c>
      <c r="BC77" s="137">
        <f>$W77*AH77+$L77*Summary_LCIA!Y$32</f>
        <v>3.1203832905425113</v>
      </c>
      <c r="BD77" s="137">
        <f>$W77*AI77+$L77*Summary_LCIA!Z$32</f>
        <v>0.16305184571097442</v>
      </c>
      <c r="BE77" s="137">
        <f>$W77*AJ77+$L77*Summary_LCIA!AA$32</f>
        <v>5.1321628988637533</v>
      </c>
      <c r="BF77" s="137">
        <f>$W77*AK77+$L77*Summary_LCIA!AB$32</f>
        <v>3.7140298440517916E-2</v>
      </c>
      <c r="BG77" s="137">
        <f>$W77*AL77+$L77*Summary_LCIA!AC$32</f>
        <v>2.908017417753413E-5</v>
      </c>
      <c r="BH77" s="137">
        <f>$W77*AM77+$L77*Summary_LCIA!AD$32</f>
        <v>0.15224677633468015</v>
      </c>
      <c r="BI77" s="137">
        <f>$W77*AN77+$L77*Summary_LCIA!AE$32</f>
        <v>0.40548329378211784</v>
      </c>
      <c r="BJ77" s="137">
        <f>$W77*AO77+$L77*Summary_LCIA!AF$32</f>
        <v>0.16247657576926733</v>
      </c>
      <c r="BK77" s="137">
        <f>$W77*AP77+$L77*Summary_LCIA!AG$32</f>
        <v>1.3116923019267292E-2</v>
      </c>
      <c r="BL77" s="137">
        <f>$W77*AQ77+$L77*Summary_LCIA!AH$32</f>
        <v>2.155940065700062</v>
      </c>
      <c r="BM77" s="137">
        <f>$W77*AR77+$L77*Summary_LCIA!AI$32</f>
        <v>0.37047940663746748</v>
      </c>
    </row>
    <row r="78" spans="1:65" x14ac:dyDescent="0.25">
      <c r="A78" s="149">
        <v>197</v>
      </c>
      <c r="B78" s="149">
        <v>6</v>
      </c>
      <c r="C78" s="61">
        <v>38.933138999999997</v>
      </c>
      <c r="D78" s="61">
        <v>-92.373804000000007</v>
      </c>
      <c r="E78" s="61" t="s">
        <v>265</v>
      </c>
      <c r="F78" s="149">
        <v>94</v>
      </c>
      <c r="G78" s="61" t="s">
        <v>693</v>
      </c>
      <c r="H78" s="61" t="s">
        <v>694</v>
      </c>
      <c r="I78" s="61">
        <v>38.749940000000002</v>
      </c>
      <c r="J78" s="61">
        <v>-90.374819000000002</v>
      </c>
      <c r="K78" s="61">
        <v>177.120712</v>
      </c>
      <c r="L78" s="61">
        <v>188.05</v>
      </c>
      <c r="M78" s="61" t="s">
        <v>617</v>
      </c>
      <c r="N78" s="149">
        <v>5</v>
      </c>
      <c r="O78" s="149">
        <v>6</v>
      </c>
      <c r="P78" s="61" t="s">
        <v>565</v>
      </c>
      <c r="Q78" s="61" t="s">
        <v>564</v>
      </c>
      <c r="R78" s="61">
        <v>41.98028</v>
      </c>
      <c r="S78" s="61">
        <v>-87.908997900000003</v>
      </c>
      <c r="T78" s="61">
        <v>628.77</v>
      </c>
      <c r="U78" s="61" t="s">
        <v>617</v>
      </c>
      <c r="V78" s="61" t="s">
        <v>569</v>
      </c>
      <c r="W78" s="61" cm="1">
        <f t="array" ref="W78">getDistance(I78,J78,R78,S78)*SA!$B$12</f>
        <v>415.92837633975137</v>
      </c>
      <c r="X78" s="61"/>
      <c r="Y78" s="137">
        <f>Transportation_LCIA!C$61*($W78^Transportation_LCIA!C$60)+Transportation_LCIA!C$62</f>
        <v>0.36994815840498518</v>
      </c>
      <c r="Z78" s="137">
        <f>Transportation_LCIA!D$61*($W78^Transportation_LCIA!D$60)+Transportation_LCIA!D$62</f>
        <v>4.0234484421955647</v>
      </c>
      <c r="AA78" s="137">
        <f>Transportation_LCIA!E$61*($W78^Transportation_LCIA!E$60)+Transportation_LCIA!E$62</f>
        <v>2.2012194298649938E-3</v>
      </c>
      <c r="AB78" s="137">
        <f>Transportation_LCIA!F$61*($W78^Transportation_LCIA!F$60)+Transportation_LCIA!F$62</f>
        <v>0.36994815840498518</v>
      </c>
      <c r="AC78" s="137">
        <f>Transportation_LCIA!G$61*($W78^Transportation_LCIA!G$60)+Transportation_LCIA!G$62</f>
        <v>9.3611785596409508E-2</v>
      </c>
      <c r="AD78" s="137">
        <f>Transportation_LCIA!H$61*($W78^Transportation_LCIA!H$60)+Transportation_LCIA!H$62</f>
        <v>5.1196174340509932E-4</v>
      </c>
      <c r="AE78" s="137">
        <f>Transportation_LCIA!I$61*($W78^Transportation_LCIA!I$60)+Transportation_LCIA!I$62</f>
        <v>1.1954869488468754E-5</v>
      </c>
      <c r="AF78" s="137">
        <f>Transportation_LCIA!J$61*($W78^Transportation_LCIA!J$60)+Transportation_LCIA!J$62</f>
        <v>1.7863393495932058E-2</v>
      </c>
      <c r="AG78" s="137">
        <f>Transportation_LCIA!K$61*($W78^Transportation_LCIA!K$60)+Transportation_LCIA!K$62</f>
        <v>2.0769827257385139E-2</v>
      </c>
      <c r="AH78" s="137">
        <f>Transportation_LCIA!L$61*($W78^Transportation_LCIA!L$60)+Transportation_LCIA!L$62</f>
        <v>4.5726187815364603E-4</v>
      </c>
      <c r="AI78" s="137">
        <f>Transportation_LCIA!M$61*($W78^Transportation_LCIA!M$60)+Transportation_LCIA!M$62</f>
        <v>3.7347801231547796E-4</v>
      </c>
      <c r="AJ78" s="137">
        <f>Transportation_LCIA!N$61*($W78^Transportation_LCIA!N$60)+Transportation_LCIA!N$62</f>
        <v>1.7793137976698883E-3</v>
      </c>
      <c r="AK78" s="137">
        <f>Transportation_LCIA!O$61*($W78^Transportation_LCIA!O$60)+Transportation_LCIA!O$62</f>
        <v>9.9161576696146439E-5</v>
      </c>
      <c r="AL78" s="137">
        <f>Transportation_LCIA!P$61*($W78^Transportation_LCIA!P$60)+Transportation_LCIA!P$62</f>
        <v>4.7814814061373349E-8</v>
      </c>
      <c r="AM78" s="137">
        <f>Transportation_LCIA!Q$61*($W78^Transportation_LCIA!Q$60)+Transportation_LCIA!Q$62</f>
        <v>1.8020098795436986E-4</v>
      </c>
      <c r="AN78" s="137">
        <f>Transportation_LCIA!R$61*($W78^Transportation_LCIA!R$60)+Transportation_LCIA!R$62</f>
        <v>5.7424922383034498E-4</v>
      </c>
      <c r="AO78" s="137">
        <f>Transportation_LCIA!S$61*($W78^Transportation_LCIA!S$60)+Transportation_LCIA!S$62</f>
        <v>8.4037179670860392E-6</v>
      </c>
      <c r="AP78" s="137">
        <f>Transportation_LCIA!T$61*($W78^Transportation_LCIA!T$60)+Transportation_LCIA!T$62</f>
        <v>8.4037179670860392E-6</v>
      </c>
      <c r="AQ78" s="137">
        <f>Transportation_LCIA!U$61*($W78^Transportation_LCIA!U$60)+Transportation_LCIA!U$62</f>
        <v>1.2483593696332224E-3</v>
      </c>
      <c r="AR78" s="137">
        <f>Transportation_LCIA!V$61*($W78^Transportation_LCIA!V$60)+Transportation_LCIA!V$62</f>
        <v>4.6955543369307253E-4</v>
      </c>
      <c r="AT78" s="137">
        <f>$W78*Y78+$L78*Summary_LCIA!H$32</f>
        <v>217.77132685526664</v>
      </c>
      <c r="AU78" s="137">
        <f>$W78*Z78+$L78*Summary_LCIA!Q$32</f>
        <v>2605.4516617747531</v>
      </c>
      <c r="AV78" s="137">
        <f>$W78*AA78+$L78*Summary_LCIA!R$32</f>
        <v>1.9057457034312602</v>
      </c>
      <c r="AW78" s="137">
        <f>$W78*AB78+$L78*Summary_LCIA!S$32</f>
        <v>216.94014585526662</v>
      </c>
      <c r="AX78" s="137">
        <f>$W78*AC78+$L78*Summary_LCIA!T$32</f>
        <v>59.602492989379527</v>
      </c>
      <c r="AY78" s="137">
        <f>$W78*AD78+$L78*Summary_LCIA!U$32</f>
        <v>3.5816671166825516</v>
      </c>
      <c r="AZ78" s="137">
        <f>$W78*AE78+$L78*Summary_LCIA!V$32</f>
        <v>1.3953825505692444E-2</v>
      </c>
      <c r="BA78" s="137">
        <f>$W78*AF78+$L78*Summary_LCIA!W$32</f>
        <v>21.904288802681094</v>
      </c>
      <c r="BB78" s="137">
        <f>$W78*AG78+$L78*Summary_LCIA!X$32</f>
        <v>12.922539528021312</v>
      </c>
      <c r="BC78" s="137">
        <f>$W78*AH78+$L78*Summary_LCIA!Y$32</f>
        <v>3.1203832905425113</v>
      </c>
      <c r="BD78" s="137">
        <f>$W78*AI78+$L78*Summary_LCIA!Z$32</f>
        <v>0.16305184571097442</v>
      </c>
      <c r="BE78" s="137">
        <f>$W78*AJ78+$L78*Summary_LCIA!AA$32</f>
        <v>5.1321628988637533</v>
      </c>
      <c r="BF78" s="137">
        <f>$W78*AK78+$L78*Summary_LCIA!AB$32</f>
        <v>3.7140298440517916E-2</v>
      </c>
      <c r="BG78" s="137">
        <f>$W78*AL78+$L78*Summary_LCIA!AC$32</f>
        <v>2.908017417753413E-5</v>
      </c>
      <c r="BH78" s="137">
        <f>$W78*AM78+$L78*Summary_LCIA!AD$32</f>
        <v>0.15224677633468015</v>
      </c>
      <c r="BI78" s="137">
        <f>$W78*AN78+$L78*Summary_LCIA!AE$32</f>
        <v>0.40548329378211784</v>
      </c>
      <c r="BJ78" s="137">
        <f>$W78*AO78+$L78*Summary_LCIA!AF$32</f>
        <v>0.16247657576926733</v>
      </c>
      <c r="BK78" s="137">
        <f>$W78*AP78+$L78*Summary_LCIA!AG$32</f>
        <v>1.3116923019267292E-2</v>
      </c>
      <c r="BL78" s="137">
        <f>$W78*AQ78+$L78*Summary_LCIA!AH$32</f>
        <v>2.155940065700062</v>
      </c>
      <c r="BM78" s="137">
        <f>$W78*AR78+$L78*Summary_LCIA!AI$32</f>
        <v>0.37047940663746748</v>
      </c>
    </row>
    <row r="79" spans="1:65" x14ac:dyDescent="0.25">
      <c r="A79" s="149">
        <v>272</v>
      </c>
      <c r="B79" s="149">
        <v>6</v>
      </c>
      <c r="C79" s="61">
        <v>44.974156000000001</v>
      </c>
      <c r="D79" s="61">
        <v>-93.234200000000001</v>
      </c>
      <c r="E79" s="61" t="s">
        <v>265</v>
      </c>
      <c r="F79" s="149">
        <v>57</v>
      </c>
      <c r="G79" s="61" t="s">
        <v>565</v>
      </c>
      <c r="H79" s="61" t="s">
        <v>641</v>
      </c>
      <c r="I79" s="61">
        <v>44.884754999999998</v>
      </c>
      <c r="J79" s="61">
        <v>-93.222284999999999</v>
      </c>
      <c r="K79" s="61">
        <v>16.087904340000001</v>
      </c>
      <c r="L79" s="61">
        <v>18.332000000000001</v>
      </c>
      <c r="M79" s="61" t="s">
        <v>617</v>
      </c>
      <c r="N79" s="149">
        <v>5</v>
      </c>
      <c r="O79" s="149">
        <v>6</v>
      </c>
      <c r="P79" s="61" t="s">
        <v>565</v>
      </c>
      <c r="Q79" s="61" t="s">
        <v>564</v>
      </c>
      <c r="R79" s="61">
        <v>41.98028</v>
      </c>
      <c r="S79" s="61">
        <v>-87.908997900000003</v>
      </c>
      <c r="T79" s="61">
        <v>632.90800000000002</v>
      </c>
      <c r="U79" s="61" t="s">
        <v>617</v>
      </c>
      <c r="V79" s="61" t="s">
        <v>569</v>
      </c>
      <c r="W79" s="61" cm="1">
        <f t="array" ref="W79">getDistance(I79,J79,R79,S79)*SA!$B$12</f>
        <v>537.9238360294454</v>
      </c>
      <c r="X79" s="61"/>
      <c r="Y79" s="137">
        <f>Transportation_LCIA!C$61*($W79^Transportation_LCIA!C$60)+Transportation_LCIA!C$62</f>
        <v>0.31986678213898079</v>
      </c>
      <c r="Z79" s="137">
        <f>Transportation_LCIA!D$61*($W79^Transportation_LCIA!D$60)+Transportation_LCIA!D$62</f>
        <v>3.4196837590581142</v>
      </c>
      <c r="AA79" s="137">
        <f>Transportation_LCIA!E$61*($W79^Transportation_LCIA!E$60)+Transportation_LCIA!E$62</f>
        <v>1.8006084167141755E-3</v>
      </c>
      <c r="AB79" s="137">
        <f>Transportation_LCIA!F$61*($W79^Transportation_LCIA!F$60)+Transportation_LCIA!F$62</f>
        <v>0.31986678213898079</v>
      </c>
      <c r="AC79" s="137">
        <f>Transportation_LCIA!G$61*($W79^Transportation_LCIA!G$60)+Transportation_LCIA!G$62</f>
        <v>7.9669699225259488E-2</v>
      </c>
      <c r="AD79" s="137">
        <f>Transportation_LCIA!H$61*($W79^Transportation_LCIA!H$60)+Transportation_LCIA!H$62</f>
        <v>4.2227087470452683E-4</v>
      </c>
      <c r="AE79" s="137">
        <f>Transportation_LCIA!I$61*($W79^Transportation_LCIA!I$60)+Transportation_LCIA!I$62</f>
        <v>9.6304021623867961E-6</v>
      </c>
      <c r="AF79" s="137">
        <f>Transportation_LCIA!J$61*($W79^Transportation_LCIA!J$60)+Transportation_LCIA!J$62</f>
        <v>1.4335225470337743E-2</v>
      </c>
      <c r="AG79" s="137">
        <f>Transportation_LCIA!K$61*($W79^Transportation_LCIA!K$60)+Transportation_LCIA!K$62</f>
        <v>1.7461378929992367E-2</v>
      </c>
      <c r="AH79" s="137">
        <f>Transportation_LCIA!L$61*($W79^Transportation_LCIA!L$60)+Transportation_LCIA!L$62</f>
        <v>3.741200211309115E-4</v>
      </c>
      <c r="AI79" s="137">
        <f>Transportation_LCIA!M$61*($W79^Transportation_LCIA!M$60)+Transportation_LCIA!M$62</f>
        <v>3.2392972305419126E-4</v>
      </c>
      <c r="AJ79" s="137">
        <f>Transportation_LCIA!N$61*($W79^Transportation_LCIA!N$60)+Transportation_LCIA!N$62</f>
        <v>1.4784543299395398E-3</v>
      </c>
      <c r="AK79" s="137">
        <f>Transportation_LCIA!O$61*($W79^Transportation_LCIA!O$60)+Transportation_LCIA!O$62</f>
        <v>8.4333072501823996E-5</v>
      </c>
      <c r="AL79" s="137">
        <f>Transportation_LCIA!P$61*($W79^Transportation_LCIA!P$60)+Transportation_LCIA!P$62</f>
        <v>4.0702648380323872E-8</v>
      </c>
      <c r="AM79" s="137">
        <f>Transportation_LCIA!Q$61*($W79^Transportation_LCIA!Q$60)+Transportation_LCIA!Q$62</f>
        <v>1.4754717709156823E-4</v>
      </c>
      <c r="AN79" s="137">
        <f>Transportation_LCIA!R$61*($W79^Transportation_LCIA!R$60)+Transportation_LCIA!R$62</f>
        <v>4.6270576693556009E-4</v>
      </c>
      <c r="AO79" s="137">
        <f>Transportation_LCIA!S$61*($W79^Transportation_LCIA!S$60)+Transportation_LCIA!S$62</f>
        <v>6.8227398697620497E-6</v>
      </c>
      <c r="AP79" s="137">
        <f>Transportation_LCIA!T$61*($W79^Transportation_LCIA!T$60)+Transportation_LCIA!T$62</f>
        <v>6.8227398697620497E-6</v>
      </c>
      <c r="AQ79" s="137">
        <f>Transportation_LCIA!U$61*($W79^Transportation_LCIA!U$60)+Transportation_LCIA!U$62</f>
        <v>1.002389311334221E-3</v>
      </c>
      <c r="AR79" s="137">
        <f>Transportation_LCIA!V$61*($W79^Transportation_LCIA!V$60)+Transportation_LCIA!V$62</f>
        <v>3.8411685160034487E-4</v>
      </c>
      <c r="AT79" s="137">
        <f>$W79*Y79+$L79*Summary_LCIA!H$32</f>
        <v>178.29318006659545</v>
      </c>
      <c r="AU79" s="137">
        <f>$W79*Z79+$L79*Summary_LCIA!Q$32</f>
        <v>1930.3837222178904</v>
      </c>
      <c r="AV79" s="137">
        <f>$W79*AA79+$L79*Summary_LCIA!R$32</f>
        <v>1.0651191659057955</v>
      </c>
      <c r="AW79" s="137">
        <f>$W79*AB79+$L79*Summary_LCIA!S$32</f>
        <v>178.21215262659544</v>
      </c>
      <c r="AX79" s="137">
        <f>$W79*AC79+$L79*Summary_LCIA!T$32</f>
        <v>44.870917022563717</v>
      </c>
      <c r="AY79" s="137">
        <f>$W79*AD79+$L79*Summary_LCIA!U$32</f>
        <v>0.55554901676456836</v>
      </c>
      <c r="AZ79" s="137">
        <f>$W79*AE79+$L79*Summary_LCIA!V$32</f>
        <v>6.0559775256973708E-3</v>
      </c>
      <c r="BA79" s="137">
        <f>$W79*AF79+$L79*Summary_LCIA!W$32</f>
        <v>9.1222918473510894</v>
      </c>
      <c r="BB79" s="137">
        <f>$W79*AG79+$L79*Summary_LCIA!X$32</f>
        <v>9.8104948963852276</v>
      </c>
      <c r="BC79" s="137">
        <f>$W79*AH79+$L79*Summary_LCIA!Y$32</f>
        <v>0.4868973009021571</v>
      </c>
      <c r="BD79" s="137">
        <f>$W79*AI79+$L79*Summary_LCIA!Z$32</f>
        <v>0.17500129621726643</v>
      </c>
      <c r="BE79" s="137">
        <f>$W79*AJ79+$L79*Summary_LCIA!AA$32</f>
        <v>1.2234580165554205</v>
      </c>
      <c r="BF79" s="137">
        <f>$W79*AK79+$L79*Summary_LCIA!AB$32</f>
        <v>4.4964710628330504E-2</v>
      </c>
      <c r="BG79" s="137">
        <f>$W79*AL79+$L79*Summary_LCIA!AC$32</f>
        <v>2.2791066241301509E-5</v>
      </c>
      <c r="BH79" s="137">
        <f>$W79*AM79+$L79*Summary_LCIA!AD$32</f>
        <v>8.6904328776412285E-2</v>
      </c>
      <c r="BI79" s="137">
        <f>$W79*AN79+$L79*Summary_LCIA!AE$32</f>
        <v>0.26514499626292298</v>
      </c>
      <c r="BJ79" s="137">
        <f>$W79*AO79+$L79*Summary_LCIA!AF$32</f>
        <v>1.9168353842973444E-2</v>
      </c>
      <c r="BK79" s="137">
        <f>$W79*AP79+$L79*Summary_LCIA!AG$32</f>
        <v>4.6080711829734403E-3</v>
      </c>
      <c r="BL79" s="137">
        <f>$W79*AQ79+$L79*Summary_LCIA!AH$32</f>
        <v>0.69876349874781818</v>
      </c>
      <c r="BM79" s="137">
        <f>$W79*AR79+$L79*Summary_LCIA!AI$32</f>
        <v>0.22370278489641071</v>
      </c>
    </row>
    <row r="80" spans="1:65" x14ac:dyDescent="0.25">
      <c r="A80" s="149">
        <v>47</v>
      </c>
      <c r="B80" s="149">
        <v>6</v>
      </c>
      <c r="C80" s="61">
        <v>44.983167000000002</v>
      </c>
      <c r="D80" s="61">
        <v>-93.225847999999999</v>
      </c>
      <c r="E80" s="61" t="s">
        <v>265</v>
      </c>
      <c r="F80" s="149">
        <v>57</v>
      </c>
      <c r="G80" s="61" t="s">
        <v>565</v>
      </c>
      <c r="H80" s="61" t="s">
        <v>641</v>
      </c>
      <c r="I80" s="61">
        <v>44.884754999999998</v>
      </c>
      <c r="J80" s="61">
        <v>-93.222284999999999</v>
      </c>
      <c r="K80" s="61">
        <v>17.648848319999999</v>
      </c>
      <c r="L80" s="61">
        <v>19.448</v>
      </c>
      <c r="M80" s="61" t="s">
        <v>617</v>
      </c>
      <c r="N80" s="149">
        <v>5</v>
      </c>
      <c r="O80" s="149">
        <v>6</v>
      </c>
      <c r="P80" s="61" t="s">
        <v>565</v>
      </c>
      <c r="Q80" s="61" t="s">
        <v>564</v>
      </c>
      <c r="R80" s="61">
        <v>41.98028</v>
      </c>
      <c r="S80" s="61">
        <v>-87.908997900000003</v>
      </c>
      <c r="T80" s="61">
        <v>632.95899999999995</v>
      </c>
      <c r="U80" s="61" t="s">
        <v>617</v>
      </c>
      <c r="V80" s="61" t="s">
        <v>569</v>
      </c>
      <c r="W80" s="61" cm="1">
        <f t="array" ref="W80">getDistance(I80,J80,R80,S80)*SA!$B$12</f>
        <v>537.9238360294454</v>
      </c>
      <c r="X80" s="61"/>
      <c r="Y80" s="137">
        <f>Transportation_LCIA!C$61*($W80^Transportation_LCIA!C$60)+Transportation_LCIA!C$62</f>
        <v>0.31986678213898079</v>
      </c>
      <c r="Z80" s="137">
        <f>Transportation_LCIA!D$61*($W80^Transportation_LCIA!D$60)+Transportation_LCIA!D$62</f>
        <v>3.4196837590581142</v>
      </c>
      <c r="AA80" s="137">
        <f>Transportation_LCIA!E$61*($W80^Transportation_LCIA!E$60)+Transportation_LCIA!E$62</f>
        <v>1.8006084167141755E-3</v>
      </c>
      <c r="AB80" s="137">
        <f>Transportation_LCIA!F$61*($W80^Transportation_LCIA!F$60)+Transportation_LCIA!F$62</f>
        <v>0.31986678213898079</v>
      </c>
      <c r="AC80" s="137">
        <f>Transportation_LCIA!G$61*($W80^Transportation_LCIA!G$60)+Transportation_LCIA!G$62</f>
        <v>7.9669699225259488E-2</v>
      </c>
      <c r="AD80" s="137">
        <f>Transportation_LCIA!H$61*($W80^Transportation_LCIA!H$60)+Transportation_LCIA!H$62</f>
        <v>4.2227087470452683E-4</v>
      </c>
      <c r="AE80" s="137">
        <f>Transportation_LCIA!I$61*($W80^Transportation_LCIA!I$60)+Transportation_LCIA!I$62</f>
        <v>9.6304021623867961E-6</v>
      </c>
      <c r="AF80" s="137">
        <f>Transportation_LCIA!J$61*($W80^Transportation_LCIA!J$60)+Transportation_LCIA!J$62</f>
        <v>1.4335225470337743E-2</v>
      </c>
      <c r="AG80" s="137">
        <f>Transportation_LCIA!K$61*($W80^Transportation_LCIA!K$60)+Transportation_LCIA!K$62</f>
        <v>1.7461378929992367E-2</v>
      </c>
      <c r="AH80" s="137">
        <f>Transportation_LCIA!L$61*($W80^Transportation_LCIA!L$60)+Transportation_LCIA!L$62</f>
        <v>3.741200211309115E-4</v>
      </c>
      <c r="AI80" s="137">
        <f>Transportation_LCIA!M$61*($W80^Transportation_LCIA!M$60)+Transportation_LCIA!M$62</f>
        <v>3.2392972305419126E-4</v>
      </c>
      <c r="AJ80" s="137">
        <f>Transportation_LCIA!N$61*($W80^Transportation_LCIA!N$60)+Transportation_LCIA!N$62</f>
        <v>1.4784543299395398E-3</v>
      </c>
      <c r="AK80" s="137">
        <f>Transportation_LCIA!O$61*($W80^Transportation_LCIA!O$60)+Transportation_LCIA!O$62</f>
        <v>8.4333072501823996E-5</v>
      </c>
      <c r="AL80" s="137">
        <f>Transportation_LCIA!P$61*($W80^Transportation_LCIA!P$60)+Transportation_LCIA!P$62</f>
        <v>4.0702648380323872E-8</v>
      </c>
      <c r="AM80" s="137">
        <f>Transportation_LCIA!Q$61*($W80^Transportation_LCIA!Q$60)+Transportation_LCIA!Q$62</f>
        <v>1.4754717709156823E-4</v>
      </c>
      <c r="AN80" s="137">
        <f>Transportation_LCIA!R$61*($W80^Transportation_LCIA!R$60)+Transportation_LCIA!R$62</f>
        <v>4.6270576693556009E-4</v>
      </c>
      <c r="AO80" s="137">
        <f>Transportation_LCIA!S$61*($W80^Transportation_LCIA!S$60)+Transportation_LCIA!S$62</f>
        <v>6.8227398697620497E-6</v>
      </c>
      <c r="AP80" s="137">
        <f>Transportation_LCIA!T$61*($W80^Transportation_LCIA!T$60)+Transportation_LCIA!T$62</f>
        <v>6.8227398697620497E-6</v>
      </c>
      <c r="AQ80" s="137">
        <f>Transportation_LCIA!U$61*($W80^Transportation_LCIA!U$60)+Transportation_LCIA!U$62</f>
        <v>1.002389311334221E-3</v>
      </c>
      <c r="AR80" s="137">
        <f>Transportation_LCIA!V$61*($W80^Transportation_LCIA!V$60)+Transportation_LCIA!V$62</f>
        <v>3.8411685160034487E-4</v>
      </c>
      <c r="AT80" s="137">
        <f>$W80*Y80+$L80*Summary_LCIA!H$32</f>
        <v>178.67239686659545</v>
      </c>
      <c r="AU80" s="137">
        <f>$W80*Z80+$L80*Summary_LCIA!Q$32</f>
        <v>1935.9146745011185</v>
      </c>
      <c r="AV80" s="137">
        <f>$W80*AA80+$L80*Summary_LCIA!R$32</f>
        <v>1.0709955755057954</v>
      </c>
      <c r="AW80" s="137">
        <f>$W80*AB80+$L80*Summary_LCIA!S$32</f>
        <v>178.58643670659544</v>
      </c>
      <c r="AX80" s="137">
        <f>$W80*AC80+$L80*Summary_LCIA!T$32</f>
        <v>44.993565422563719</v>
      </c>
      <c r="AY80" s="137">
        <f>$W80*AD80+$L80*Summary_LCIA!U$32</f>
        <v>0.57554104076456836</v>
      </c>
      <c r="AZ80" s="137">
        <f>$W80*AE80+$L80*Summary_LCIA!V$32</f>
        <v>6.1092788016973709E-3</v>
      </c>
      <c r="BA80" s="137">
        <f>$W80*AF80+$L80*Summary_LCIA!W$32</f>
        <v>9.2081914833510901</v>
      </c>
      <c r="BB80" s="137">
        <f>$W80*AG80+$L80*Summary_LCIA!X$32</f>
        <v>9.8359173763852272</v>
      </c>
      <c r="BC80" s="137">
        <f>$W80*AH80+$L80*Summary_LCIA!Y$32</f>
        <v>0.50428681290215716</v>
      </c>
      <c r="BD80" s="137">
        <f>$W80*AI80+$L80*Summary_LCIA!Z$32</f>
        <v>0.17504706226126643</v>
      </c>
      <c r="BE80" s="137">
        <f>$W80*AJ80+$L80*Summary_LCIA!AA$32</f>
        <v>1.2495233125554206</v>
      </c>
      <c r="BF80" s="137">
        <f>$W80*AK80+$L80*Summary_LCIA!AB$32</f>
        <v>4.49403561603305E-2</v>
      </c>
      <c r="BG80" s="137">
        <f>$W80*AL80+$L80*Summary_LCIA!AC$32</f>
        <v>2.284562078530151E-5</v>
      </c>
      <c r="BH80" s="137">
        <f>$W80*AM80+$L80*Summary_LCIA!AD$32</f>
        <v>8.7363049416412292E-2</v>
      </c>
      <c r="BI80" s="137">
        <f>$W80*AN80+$L80*Summary_LCIA!AE$32</f>
        <v>0.26613391734292302</v>
      </c>
      <c r="BJ80" s="137">
        <f>$W80*AO80+$L80*Summary_LCIA!AF$32</f>
        <v>2.0111842562973443E-2</v>
      </c>
      <c r="BK80" s="137">
        <f>$W80*AP80+$L80*Summary_LCIA!AG$32</f>
        <v>4.6651713229734406E-3</v>
      </c>
      <c r="BL80" s="137">
        <f>$W80*AQ80+$L80*Summary_LCIA!AH$32</f>
        <v>0.70847671634781817</v>
      </c>
      <c r="BM80" s="137">
        <f>$W80*AR80+$L80*Summary_LCIA!AI$32</f>
        <v>0.22474239469641072</v>
      </c>
    </row>
    <row r="81" spans="1:65" x14ac:dyDescent="0.25">
      <c r="A81" s="149">
        <v>33</v>
      </c>
      <c r="B81" s="149">
        <v>6</v>
      </c>
      <c r="C81" s="61">
        <v>47.115026</v>
      </c>
      <c r="D81" s="61">
        <v>-88.545199999999994</v>
      </c>
      <c r="E81" s="61" t="s">
        <v>265</v>
      </c>
      <c r="F81" s="149">
        <v>137</v>
      </c>
      <c r="G81" s="61" t="s">
        <v>642</v>
      </c>
      <c r="H81" s="61" t="s">
        <v>643</v>
      </c>
      <c r="I81" s="61">
        <v>47.168708000000002</v>
      </c>
      <c r="J81" s="61">
        <v>-88.496306000000004</v>
      </c>
      <c r="K81" s="61">
        <v>225.30955169999999</v>
      </c>
      <c r="L81" s="61">
        <v>13.54</v>
      </c>
      <c r="M81" s="61" t="s">
        <v>617</v>
      </c>
      <c r="N81" s="149">
        <v>5</v>
      </c>
      <c r="O81" s="149">
        <v>6</v>
      </c>
      <c r="P81" s="61" t="s">
        <v>565</v>
      </c>
      <c r="Q81" s="61" t="s">
        <v>564</v>
      </c>
      <c r="R81" s="61">
        <v>41.98028</v>
      </c>
      <c r="S81" s="61">
        <v>-87.908997900000003</v>
      </c>
      <c r="T81" s="61">
        <v>646.82100000000003</v>
      </c>
      <c r="U81" s="61" t="s">
        <v>617</v>
      </c>
      <c r="V81" s="61" t="s">
        <v>569</v>
      </c>
      <c r="W81" s="61" cm="1">
        <f t="array" ref="W81">getDistance(I81,J81,R81,S81)*SA!$B$12</f>
        <v>579.41700792204915</v>
      </c>
      <c r="X81" s="61"/>
      <c r="Y81" s="137">
        <f>Transportation_LCIA!C$61*($W81^Transportation_LCIA!C$60)+Transportation_LCIA!C$62</f>
        <v>0.30729882152489507</v>
      </c>
      <c r="Z81" s="137">
        <f>Transportation_LCIA!D$61*($W81^Transportation_LCIA!D$60)+Transportation_LCIA!D$62</f>
        <v>3.2692833329177207</v>
      </c>
      <c r="AA81" s="137">
        <f>Transportation_LCIA!E$61*($W81^Transportation_LCIA!E$60)+Transportation_LCIA!E$62</f>
        <v>1.7010215246835009E-3</v>
      </c>
      <c r="AB81" s="137">
        <f>Transportation_LCIA!F$61*($W81^Transportation_LCIA!F$60)+Transportation_LCIA!F$62</f>
        <v>0.30729882152489507</v>
      </c>
      <c r="AC81" s="137">
        <f>Transportation_LCIA!G$61*($W81^Transportation_LCIA!G$60)+Transportation_LCIA!G$62</f>
        <v>7.6195167434880529E-2</v>
      </c>
      <c r="AD81" s="137">
        <f>Transportation_LCIA!H$61*($W81^Transportation_LCIA!H$60)+Transportation_LCIA!H$62</f>
        <v>4.0006618979584763E-4</v>
      </c>
      <c r="AE81" s="137">
        <f>Transportation_LCIA!I$61*($W81^Transportation_LCIA!I$60)+Transportation_LCIA!I$62</f>
        <v>9.0587319283235716E-6</v>
      </c>
      <c r="AF81" s="137">
        <f>Transportation_LCIA!J$61*($W81^Transportation_LCIA!J$60)+Transportation_LCIA!J$62</f>
        <v>1.3471269072017985E-2</v>
      </c>
      <c r="AG81" s="137">
        <f>Transportation_LCIA!K$61*($W81^Transportation_LCIA!K$60)+Transportation_LCIA!K$62</f>
        <v>1.6639947628133055E-2</v>
      </c>
      <c r="AH81" s="137">
        <f>Transportation_LCIA!L$61*($W81^Transportation_LCIA!L$60)+Transportation_LCIA!L$62</f>
        <v>3.5357540758904505E-4</v>
      </c>
      <c r="AI81" s="137">
        <f>Transportation_LCIA!M$61*($W81^Transportation_LCIA!M$60)+Transportation_LCIA!M$62</f>
        <v>3.1166584326352707E-4</v>
      </c>
      <c r="AJ81" s="137">
        <f>Transportation_LCIA!N$61*($W81^Transportation_LCIA!N$60)+Transportation_LCIA!N$62</f>
        <v>1.4039316702187713E-3</v>
      </c>
      <c r="AK81" s="137">
        <f>Transportation_LCIA!O$61*($W81^Transportation_LCIA!O$60)+Transportation_LCIA!O$62</f>
        <v>8.0638385241804721E-5</v>
      </c>
      <c r="AL81" s="137">
        <f>Transportation_LCIA!P$61*($W81^Transportation_LCIA!P$60)+Transportation_LCIA!P$62</f>
        <v>3.8929598832181193E-8</v>
      </c>
      <c r="AM81" s="137">
        <f>Transportation_LCIA!Q$61*($W81^Transportation_LCIA!Q$60)+Transportation_LCIA!Q$62</f>
        <v>1.394865004676305E-4</v>
      </c>
      <c r="AN81" s="137">
        <f>Transportation_LCIA!R$61*($W81^Transportation_LCIA!R$60)+Transportation_LCIA!R$62</f>
        <v>4.3527760270768294E-4</v>
      </c>
      <c r="AO81" s="137">
        <f>Transportation_LCIA!S$61*($W81^Transportation_LCIA!S$60)+Transportation_LCIA!S$62</f>
        <v>6.4338673498341644E-6</v>
      </c>
      <c r="AP81" s="137">
        <f>Transportation_LCIA!T$61*($W81^Transportation_LCIA!T$60)+Transportation_LCIA!T$62</f>
        <v>6.4338673498341644E-6</v>
      </c>
      <c r="AQ81" s="137">
        <f>Transportation_LCIA!U$61*($W81^Transportation_LCIA!U$60)+Transportation_LCIA!U$62</f>
        <v>9.4198202526368834E-4</v>
      </c>
      <c r="AR81" s="137">
        <f>Transportation_LCIA!V$61*($W81^Transportation_LCIA!V$60)+Transportation_LCIA!V$62</f>
        <v>3.6305370692808487E-4</v>
      </c>
      <c r="AT81" s="137">
        <f>$W81*Y81+$L81*Summary_LCIA!H$32</f>
        <v>182.65505570592649</v>
      </c>
      <c r="AU81" s="137">
        <f>$W81*Z81+$L81*Summary_LCIA!Q$32</f>
        <v>1961.3832896714302</v>
      </c>
      <c r="AV81" s="137">
        <f>$W81*AA81+$L81*Summary_LCIA!R$32</f>
        <v>1.0568970262431161</v>
      </c>
      <c r="AW81" s="137">
        <f>$W81*AB81+$L81*Summary_LCIA!S$32</f>
        <v>182.59520890592651</v>
      </c>
      <c r="AX81" s="137">
        <f>$W81*AC81+$L81*Summary_LCIA!T$32</f>
        <v>45.636821933238032</v>
      </c>
      <c r="AY81" s="137">
        <f>$W81*AD81+$L81*Summary_LCIA!U$32</f>
        <v>0.47436071466228463</v>
      </c>
      <c r="AZ81" s="137">
        <f>$W81*AE81+$L81*Summary_LCIA!V$32</f>
        <v>5.8954672894771789E-3</v>
      </c>
      <c r="BA81" s="137">
        <f>$W81*AF81+$L81*Summary_LCIA!W$32</f>
        <v>8.8476697586214996</v>
      </c>
      <c r="BB81" s="137">
        <f>$W81*AG81+$L81*Summary_LCIA!X$32</f>
        <v>9.9499098666724546</v>
      </c>
      <c r="BC81" s="137">
        <f>$W81*AH81+$L81*Summary_LCIA!Y$32</f>
        <v>0.41584788474006346</v>
      </c>
      <c r="BD81" s="137">
        <f>$W81*AI81+$L81*Summary_LCIA!Z$32</f>
        <v>0.18113975223525519</v>
      </c>
      <c r="BE81" s="137">
        <f>$W81*AJ81+$L81*Summary_LCIA!AA$32</f>
        <v>1.1297021276851655</v>
      </c>
      <c r="BF81" s="137">
        <f>$W81*AK81+$L81*Summary_LCIA!AB$32</f>
        <v>4.6427768480472018E-2</v>
      </c>
      <c r="BG81" s="137">
        <f>$W81*AL81+$L81*Summary_LCIA!AC$32</f>
        <v>2.3218361034948127E-5</v>
      </c>
      <c r="BH81" s="137">
        <f>$W81*AM81+$L81*Summary_LCIA!AD$32</f>
        <v>8.6386332346471972E-2</v>
      </c>
      <c r="BI81" s="137">
        <f>$W81*AN81+$L81*Summary_LCIA!AE$32</f>
        <v>0.26420544637636806</v>
      </c>
      <c r="BJ81" s="137">
        <f>$W81*AO81+$L81*Summary_LCIA!AF$32</f>
        <v>1.5174878969208275E-2</v>
      </c>
      <c r="BK81" s="137">
        <f>$W81*AP81+$L81*Summary_LCIA!AG$32</f>
        <v>4.4206662692082756E-3</v>
      </c>
      <c r="BL81" s="137">
        <f>$W81*AQ81+$L81*Summary_LCIA!AH$32</f>
        <v>0.66364715059463841</v>
      </c>
      <c r="BM81" s="137">
        <f>$W81*AR81+$L81*Summary_LCIA!AI$32</f>
        <v>0.22297267958327946</v>
      </c>
    </row>
    <row r="82" spans="1:65" x14ac:dyDescent="0.25">
      <c r="A82" s="149">
        <v>34</v>
      </c>
      <c r="B82" s="149">
        <v>6</v>
      </c>
      <c r="C82" s="61">
        <v>47.115026</v>
      </c>
      <c r="D82" s="61">
        <v>-88.545199999999994</v>
      </c>
      <c r="E82" s="61" t="s">
        <v>265</v>
      </c>
      <c r="F82" s="149">
        <v>137</v>
      </c>
      <c r="G82" s="61" t="s">
        <v>642</v>
      </c>
      <c r="H82" s="61" t="s">
        <v>643</v>
      </c>
      <c r="I82" s="61">
        <v>47.168708000000002</v>
      </c>
      <c r="J82" s="61">
        <v>-88.496306000000004</v>
      </c>
      <c r="K82" s="61">
        <v>225.30955169999999</v>
      </c>
      <c r="L82" s="61">
        <v>13.54</v>
      </c>
      <c r="M82" s="61" t="s">
        <v>617</v>
      </c>
      <c r="N82" s="149">
        <v>5</v>
      </c>
      <c r="O82" s="149">
        <v>6</v>
      </c>
      <c r="P82" s="61" t="s">
        <v>565</v>
      </c>
      <c r="Q82" s="61" t="s">
        <v>564</v>
      </c>
      <c r="R82" s="61">
        <v>41.98028</v>
      </c>
      <c r="S82" s="61">
        <v>-87.908997900000003</v>
      </c>
      <c r="T82" s="61">
        <v>646.82100000000003</v>
      </c>
      <c r="U82" s="61" t="s">
        <v>617</v>
      </c>
      <c r="V82" s="61" t="s">
        <v>569</v>
      </c>
      <c r="W82" s="61" cm="1">
        <f t="array" ref="W82">getDistance(I82,J82,R82,S82)*SA!$B$12</f>
        <v>579.41700792204915</v>
      </c>
      <c r="X82" s="61"/>
      <c r="Y82" s="137">
        <f>Transportation_LCIA!C$61*($W82^Transportation_LCIA!C$60)+Transportation_LCIA!C$62</f>
        <v>0.30729882152489507</v>
      </c>
      <c r="Z82" s="137">
        <f>Transportation_LCIA!D$61*($W82^Transportation_LCIA!D$60)+Transportation_LCIA!D$62</f>
        <v>3.2692833329177207</v>
      </c>
      <c r="AA82" s="137">
        <f>Transportation_LCIA!E$61*($W82^Transportation_LCIA!E$60)+Transportation_LCIA!E$62</f>
        <v>1.7010215246835009E-3</v>
      </c>
      <c r="AB82" s="137">
        <f>Transportation_LCIA!F$61*($W82^Transportation_LCIA!F$60)+Transportation_LCIA!F$62</f>
        <v>0.30729882152489507</v>
      </c>
      <c r="AC82" s="137">
        <f>Transportation_LCIA!G$61*($W82^Transportation_LCIA!G$60)+Transportation_LCIA!G$62</f>
        <v>7.6195167434880529E-2</v>
      </c>
      <c r="AD82" s="137">
        <f>Transportation_LCIA!H$61*($W82^Transportation_LCIA!H$60)+Transportation_LCIA!H$62</f>
        <v>4.0006618979584763E-4</v>
      </c>
      <c r="AE82" s="137">
        <f>Transportation_LCIA!I$61*($W82^Transportation_LCIA!I$60)+Transportation_LCIA!I$62</f>
        <v>9.0587319283235716E-6</v>
      </c>
      <c r="AF82" s="137">
        <f>Transportation_LCIA!J$61*($W82^Transportation_LCIA!J$60)+Transportation_LCIA!J$62</f>
        <v>1.3471269072017985E-2</v>
      </c>
      <c r="AG82" s="137">
        <f>Transportation_LCIA!K$61*($W82^Transportation_LCIA!K$60)+Transportation_LCIA!K$62</f>
        <v>1.6639947628133055E-2</v>
      </c>
      <c r="AH82" s="137">
        <f>Transportation_LCIA!L$61*($W82^Transportation_LCIA!L$60)+Transportation_LCIA!L$62</f>
        <v>3.5357540758904505E-4</v>
      </c>
      <c r="AI82" s="137">
        <f>Transportation_LCIA!M$61*($W82^Transportation_LCIA!M$60)+Transportation_LCIA!M$62</f>
        <v>3.1166584326352707E-4</v>
      </c>
      <c r="AJ82" s="137">
        <f>Transportation_LCIA!N$61*($W82^Transportation_LCIA!N$60)+Transportation_LCIA!N$62</f>
        <v>1.4039316702187713E-3</v>
      </c>
      <c r="AK82" s="137">
        <f>Transportation_LCIA!O$61*($W82^Transportation_LCIA!O$60)+Transportation_LCIA!O$62</f>
        <v>8.0638385241804721E-5</v>
      </c>
      <c r="AL82" s="137">
        <f>Transportation_LCIA!P$61*($W82^Transportation_LCIA!P$60)+Transportation_LCIA!P$62</f>
        <v>3.8929598832181193E-8</v>
      </c>
      <c r="AM82" s="137">
        <f>Transportation_LCIA!Q$61*($W82^Transportation_LCIA!Q$60)+Transportation_LCIA!Q$62</f>
        <v>1.394865004676305E-4</v>
      </c>
      <c r="AN82" s="137">
        <f>Transportation_LCIA!R$61*($W82^Transportation_LCIA!R$60)+Transportation_LCIA!R$62</f>
        <v>4.3527760270768294E-4</v>
      </c>
      <c r="AO82" s="137">
        <f>Transportation_LCIA!S$61*($W82^Transportation_LCIA!S$60)+Transportation_LCIA!S$62</f>
        <v>6.4338673498341644E-6</v>
      </c>
      <c r="AP82" s="137">
        <f>Transportation_LCIA!T$61*($W82^Transportation_LCIA!T$60)+Transportation_LCIA!T$62</f>
        <v>6.4338673498341644E-6</v>
      </c>
      <c r="AQ82" s="137">
        <f>Transportation_LCIA!U$61*($W82^Transportation_LCIA!U$60)+Transportation_LCIA!U$62</f>
        <v>9.4198202526368834E-4</v>
      </c>
      <c r="AR82" s="137">
        <f>Transportation_LCIA!V$61*($W82^Transportation_LCIA!V$60)+Transportation_LCIA!V$62</f>
        <v>3.6305370692808487E-4</v>
      </c>
      <c r="AT82" s="137">
        <f>$W82*Y82+$L82*Summary_LCIA!H$32</f>
        <v>182.65505570592649</v>
      </c>
      <c r="AU82" s="137">
        <f>$W82*Z82+$L82*Summary_LCIA!Q$32</f>
        <v>1961.3832896714302</v>
      </c>
      <c r="AV82" s="137">
        <f>$W82*AA82+$L82*Summary_LCIA!R$32</f>
        <v>1.0568970262431161</v>
      </c>
      <c r="AW82" s="137">
        <f>$W82*AB82+$L82*Summary_LCIA!S$32</f>
        <v>182.59520890592651</v>
      </c>
      <c r="AX82" s="137">
        <f>$W82*AC82+$L82*Summary_LCIA!T$32</f>
        <v>45.636821933238032</v>
      </c>
      <c r="AY82" s="137">
        <f>$W82*AD82+$L82*Summary_LCIA!U$32</f>
        <v>0.47436071466228463</v>
      </c>
      <c r="AZ82" s="137">
        <f>$W82*AE82+$L82*Summary_LCIA!V$32</f>
        <v>5.8954672894771789E-3</v>
      </c>
      <c r="BA82" s="137">
        <f>$W82*AF82+$L82*Summary_LCIA!W$32</f>
        <v>8.8476697586214996</v>
      </c>
      <c r="BB82" s="137">
        <f>$W82*AG82+$L82*Summary_LCIA!X$32</f>
        <v>9.9499098666724546</v>
      </c>
      <c r="BC82" s="137">
        <f>$W82*AH82+$L82*Summary_LCIA!Y$32</f>
        <v>0.41584788474006346</v>
      </c>
      <c r="BD82" s="137">
        <f>$W82*AI82+$L82*Summary_LCIA!Z$32</f>
        <v>0.18113975223525519</v>
      </c>
      <c r="BE82" s="137">
        <f>$W82*AJ82+$L82*Summary_LCIA!AA$32</f>
        <v>1.1297021276851655</v>
      </c>
      <c r="BF82" s="137">
        <f>$W82*AK82+$L82*Summary_LCIA!AB$32</f>
        <v>4.6427768480472018E-2</v>
      </c>
      <c r="BG82" s="137">
        <f>$W82*AL82+$L82*Summary_LCIA!AC$32</f>
        <v>2.3218361034948127E-5</v>
      </c>
      <c r="BH82" s="137">
        <f>$W82*AM82+$L82*Summary_LCIA!AD$32</f>
        <v>8.6386332346471972E-2</v>
      </c>
      <c r="BI82" s="137">
        <f>$W82*AN82+$L82*Summary_LCIA!AE$32</f>
        <v>0.26420544637636806</v>
      </c>
      <c r="BJ82" s="137">
        <f>$W82*AO82+$L82*Summary_LCIA!AF$32</f>
        <v>1.5174878969208275E-2</v>
      </c>
      <c r="BK82" s="137">
        <f>$W82*AP82+$L82*Summary_LCIA!AG$32</f>
        <v>4.4206662692082756E-3</v>
      </c>
      <c r="BL82" s="137">
        <f>$W82*AQ82+$L82*Summary_LCIA!AH$32</f>
        <v>0.66364715059463841</v>
      </c>
      <c r="BM82" s="137">
        <f>$W82*AR82+$L82*Summary_LCIA!AI$32</f>
        <v>0.22297267958327946</v>
      </c>
    </row>
    <row r="83" spans="1:65" x14ac:dyDescent="0.25">
      <c r="A83" s="149">
        <v>321</v>
      </c>
      <c r="B83" s="149">
        <v>15</v>
      </c>
      <c r="C83" s="61">
        <v>48.849919999999997</v>
      </c>
      <c r="D83" s="61">
        <v>2.637041</v>
      </c>
      <c r="E83" s="61" t="s">
        <v>468</v>
      </c>
      <c r="F83" s="149">
        <v>9</v>
      </c>
      <c r="G83" s="61" t="s">
        <v>570</v>
      </c>
      <c r="H83" s="61" t="s">
        <v>722</v>
      </c>
      <c r="I83" s="61">
        <v>49.009673999999997</v>
      </c>
      <c r="J83" s="61">
        <v>2.5479660000000002</v>
      </c>
      <c r="K83" s="61">
        <v>19.350996810000002</v>
      </c>
      <c r="L83" s="61">
        <v>41.466999999999999</v>
      </c>
      <c r="M83" s="61" t="s">
        <v>589</v>
      </c>
      <c r="N83" s="149">
        <v>14</v>
      </c>
      <c r="O83" s="149">
        <v>15</v>
      </c>
      <c r="P83" s="61" t="s">
        <v>567</v>
      </c>
      <c r="Q83" s="61" t="s">
        <v>566</v>
      </c>
      <c r="R83" s="61">
        <v>50.037932599999998</v>
      </c>
      <c r="S83" s="61">
        <v>8.5621518000000005</v>
      </c>
      <c r="T83" s="61">
        <v>708.65599999999995</v>
      </c>
      <c r="U83" s="61" t="s">
        <v>589</v>
      </c>
      <c r="V83" s="61" t="s">
        <v>569</v>
      </c>
      <c r="W83" s="61" cm="1">
        <f t="array" ref="W83">getDistance(I83,J83,R83,S83)*SA!$B$12</f>
        <v>450.10397451184883</v>
      </c>
      <c r="X83" s="61"/>
      <c r="Y83" s="137">
        <f>Transportation_LCIA!C$61*($W83^Transportation_LCIA!C$60)+Transportation_LCIA!C$62</f>
        <v>0.35340802383957459</v>
      </c>
      <c r="Z83" s="137">
        <f>Transportation_LCIA!D$61*($W83^Transportation_LCIA!D$60)+Transportation_LCIA!D$62</f>
        <v>3.8233102927251448</v>
      </c>
      <c r="AA83" s="137">
        <f>Transportation_LCIA!E$61*($W83^Transportation_LCIA!E$60)+Transportation_LCIA!E$62</f>
        <v>2.0682861241773458E-3</v>
      </c>
      <c r="AB83" s="137">
        <f>Transportation_LCIA!F$61*($W83^Transportation_LCIA!F$60)+Transportation_LCIA!F$62</f>
        <v>0.35340802383957459</v>
      </c>
      <c r="AC83" s="137">
        <f>Transportation_LCIA!G$61*($W83^Transportation_LCIA!G$60)+Transportation_LCIA!G$62</f>
        <v>8.8991202582924381E-2</v>
      </c>
      <c r="AD83" s="137">
        <f>Transportation_LCIA!H$61*($W83^Transportation_LCIA!H$60)+Transportation_LCIA!H$62</f>
        <v>4.8213920111113174E-4</v>
      </c>
      <c r="AE83" s="137">
        <f>Transportation_LCIA!I$61*($W83^Transportation_LCIA!I$60)+Transportation_LCIA!I$62</f>
        <v>1.1179437957480255E-5</v>
      </c>
      <c r="AF83" s="137">
        <f>Transportation_LCIA!J$61*($W83^Transportation_LCIA!J$60)+Transportation_LCIA!J$62</f>
        <v>1.6683894555981089E-2</v>
      </c>
      <c r="AG83" s="137">
        <f>Transportation_LCIA!K$61*($W83^Transportation_LCIA!K$60)+Transportation_LCIA!K$62</f>
        <v>1.9671327663537286E-2</v>
      </c>
      <c r="AH83" s="137">
        <f>Transportation_LCIA!L$61*($W83^Transportation_LCIA!L$60)+Transportation_LCIA!L$62</f>
        <v>4.2959106897467309E-4</v>
      </c>
      <c r="AI83" s="137">
        <f>Transportation_LCIA!M$61*($W83^Transportation_LCIA!M$60)+Transportation_LCIA!M$62</f>
        <v>3.5700119597236054E-4</v>
      </c>
      <c r="AJ83" s="137">
        <f>Transportation_LCIA!N$61*($W83^Transportation_LCIA!N$60)+Transportation_LCIA!N$62</f>
        <v>1.6793030112815474E-3</v>
      </c>
      <c r="AK83" s="137">
        <f>Transportation_LCIA!O$61*($W83^Transportation_LCIA!O$60)+Transportation_LCIA!O$62</f>
        <v>9.424672688289836E-5</v>
      </c>
      <c r="AL83" s="137">
        <f>Transportation_LCIA!P$61*($W83^Transportation_LCIA!P$60)+Transportation_LCIA!P$62</f>
        <v>4.5458159392694596E-8</v>
      </c>
      <c r="AM83" s="137">
        <f>Transportation_LCIA!Q$61*($W83^Transportation_LCIA!Q$60)+Transportation_LCIA!Q$62</f>
        <v>1.693278636274998E-4</v>
      </c>
      <c r="AN83" s="137">
        <f>Transportation_LCIA!R$61*($W83^Transportation_LCIA!R$60)+Transportation_LCIA!R$62</f>
        <v>5.3703589944790683E-4</v>
      </c>
      <c r="AO83" s="137">
        <f>Transportation_LCIA!S$61*($W83^Transportation_LCIA!S$60)+Transportation_LCIA!S$62</f>
        <v>7.8763465849423122E-6</v>
      </c>
      <c r="AP83" s="137">
        <f>Transportation_LCIA!T$61*($W83^Transportation_LCIA!T$60)+Transportation_LCIA!T$62</f>
        <v>7.8763465849423122E-6</v>
      </c>
      <c r="AQ83" s="137">
        <f>Transportation_LCIA!U$61*($W83^Transportation_LCIA!U$60)+Transportation_LCIA!U$62</f>
        <v>1.1662474419532874E-3</v>
      </c>
      <c r="AR83" s="137">
        <f>Transportation_LCIA!V$61*($W83^Transportation_LCIA!V$60)+Transportation_LCIA!V$62</f>
        <v>4.4108749499364595E-4</v>
      </c>
      <c r="AT83" s="137">
        <f>$W83*Y83+$L83*Summary_LCIA!H$34</f>
        <v>162.15807190857075</v>
      </c>
      <c r="AU83" s="137">
        <f ca="1">$W83*Z83+$L83*Summary_LCIA!Q$34</f>
        <v>1772.102603648058</v>
      </c>
      <c r="AV83" s="137">
        <f ca="1">$W83*AA83+$L83*Summary_LCIA!R$34</f>
        <v>1.0369583371199307</v>
      </c>
      <c r="AW83" s="137">
        <f ca="1">$W83*AB83+$L83*Summary_LCIA!S$34</f>
        <v>162.11560970057076</v>
      </c>
      <c r="AX83" s="137">
        <f ca="1">$W83*AC83+$L83*Summary_LCIA!T$34</f>
        <v>40.915443960163373</v>
      </c>
      <c r="AY83" s="137">
        <f ca="1">$W83*AD83+$L83*Summary_LCIA!U$34</f>
        <v>0.29329546388808803</v>
      </c>
      <c r="AZ83" s="137">
        <f ca="1">$W83*AE83+$L83*Summary_LCIA!V$34</f>
        <v>8.3945928884704875E-3</v>
      </c>
      <c r="BA83" s="137">
        <f ca="1">$W83*AF83+$L83*Summary_LCIA!W$34</f>
        <v>9.6056026329836861</v>
      </c>
      <c r="BB83" s="137">
        <f ca="1">$W83*AG83+$L83*Summary_LCIA!X$34</f>
        <v>9.2946881732830136</v>
      </c>
      <c r="BC83" s="137">
        <f ca="1">$W83*AH83+$L83*Summary_LCIA!Y$34</f>
        <v>0.26441849876029411</v>
      </c>
      <c r="BD83" s="137">
        <f ca="1">$W83*AI83+$L83*Summary_LCIA!Z$34</f>
        <v>0.16186967404764291</v>
      </c>
      <c r="BE83" s="137">
        <f ca="1">$W83*AJ83+$L83*Summary_LCIA!AA$34</f>
        <v>0.84139079398754058</v>
      </c>
      <c r="BF83" s="137">
        <f ca="1">$W83*AK83+$L83*Summary_LCIA!AB$34</f>
        <v>4.2133090988425263E-2</v>
      </c>
      <c r="BG83" s="137">
        <f ca="1">$W83*AL83+$L83*Summary_LCIA!AC$34</f>
        <v>2.0613583857344969E-5</v>
      </c>
      <c r="BH83" s="137">
        <f ca="1">$W83*AM83+$L83*Summary_LCIA!AD$34</f>
        <v>8.0825445474337981E-2</v>
      </c>
      <c r="BI83" s="137">
        <f ca="1">$W83*AN83+$L83*Summary_LCIA!AE$34</f>
        <v>0.25415960477704846</v>
      </c>
      <c r="BJ83" s="137">
        <f ca="1">$W83*AO83+$L83*Summary_LCIA!AF$34</f>
        <v>1.3408515522515362E-2</v>
      </c>
      <c r="BK83" s="137">
        <f ca="1">$W83*AP83+$L83*Summary_LCIA!AG$34</f>
        <v>3.6587156952153622E-3</v>
      </c>
      <c r="BL83" s="137">
        <f ca="1">$W83*AQ83+$L83*Summary_LCIA!AH$34</f>
        <v>0.61940687498745128</v>
      </c>
      <c r="BM83" s="137">
        <f ca="1">$W83*AR83+$L83*Summary_LCIA!AI$34</f>
        <v>0.21017709485411526</v>
      </c>
    </row>
    <row r="84" spans="1:65" x14ac:dyDescent="0.25">
      <c r="A84" s="149">
        <v>293</v>
      </c>
      <c r="B84" s="149">
        <v>6</v>
      </c>
      <c r="C84" s="61">
        <v>40.440624999999997</v>
      </c>
      <c r="D84" s="61">
        <v>-79.995885999999999</v>
      </c>
      <c r="E84" s="61" t="s">
        <v>265</v>
      </c>
      <c r="F84" s="149">
        <v>106</v>
      </c>
      <c r="G84" s="61" t="s">
        <v>266</v>
      </c>
      <c r="H84" s="61" t="s">
        <v>669</v>
      </c>
      <c r="I84" s="61">
        <v>40.491920999999998</v>
      </c>
      <c r="J84" s="61">
        <v>-80.235223000000005</v>
      </c>
      <c r="K84" s="61">
        <v>21.391265860000001</v>
      </c>
      <c r="L84" s="61">
        <v>27.920999999999999</v>
      </c>
      <c r="M84" s="61" t="s">
        <v>617</v>
      </c>
      <c r="N84" s="149">
        <v>5</v>
      </c>
      <c r="O84" s="149">
        <v>6</v>
      </c>
      <c r="P84" s="61" t="s">
        <v>565</v>
      </c>
      <c r="Q84" s="61" t="s">
        <v>564</v>
      </c>
      <c r="R84" s="61">
        <v>41.98028</v>
      </c>
      <c r="S84" s="61">
        <v>-87.908997900000003</v>
      </c>
      <c r="T84" s="61">
        <v>768.74900000000002</v>
      </c>
      <c r="U84" s="61" t="s">
        <v>617</v>
      </c>
      <c r="V84" s="61" t="s">
        <v>569</v>
      </c>
      <c r="W84" s="61" cm="1">
        <f t="array" ref="W84">getDistance(I84,J84,R84,S84)*SA!$B$12</f>
        <v>664.03976858093529</v>
      </c>
      <c r="X84" s="61"/>
      <c r="Y84" s="137">
        <f>Transportation_LCIA!C$61*($W84^Transportation_LCIA!C$60)+Transportation_LCIA!C$62</f>
        <v>0.28618318016419964</v>
      </c>
      <c r="Z84" s="137">
        <f>Transportation_LCIA!D$61*($W84^Transportation_LCIA!D$60)+Transportation_LCIA!D$62</f>
        <v>3.0177355282535454</v>
      </c>
      <c r="AA84" s="137">
        <f>Transportation_LCIA!E$61*($W84^Transportation_LCIA!E$60)+Transportation_LCIA!E$62</f>
        <v>1.5346723185627621E-3</v>
      </c>
      <c r="AB84" s="137">
        <f>Transportation_LCIA!F$61*($W84^Transportation_LCIA!F$60)+Transportation_LCIA!F$62</f>
        <v>0.28618318016419964</v>
      </c>
      <c r="AC84" s="137">
        <f>Transportation_LCIA!G$61*($W84^Transportation_LCIA!G$60)+Transportation_LCIA!G$62</f>
        <v>7.0382405916778926E-2</v>
      </c>
      <c r="AD84" s="137">
        <f>Transportation_LCIA!H$61*($W84^Transportation_LCIA!H$60)+Transportation_LCIA!H$62</f>
        <v>3.6306879462450609E-4</v>
      </c>
      <c r="AE84" s="137">
        <f>Transportation_LCIA!I$61*($W84^Transportation_LCIA!I$60)+Transportation_LCIA!I$62</f>
        <v>8.1100647661309928E-6</v>
      </c>
      <c r="AF84" s="137">
        <f>Transportation_LCIA!J$61*($W84^Transportation_LCIA!J$60)+Transportation_LCIA!J$62</f>
        <v>1.2041348839796951E-2</v>
      </c>
      <c r="AG84" s="137">
        <f>Transportation_LCIA!K$61*($W84^Transportation_LCIA!K$60)+Transportation_LCIA!K$62</f>
        <v>1.5268865092569082E-2</v>
      </c>
      <c r="AH84" s="137">
        <f>Transportation_LCIA!L$61*($W84^Transportation_LCIA!L$60)+Transportation_LCIA!L$62</f>
        <v>3.193834659249564E-4</v>
      </c>
      <c r="AI84" s="137">
        <f>Transportation_LCIA!M$61*($W84^Transportation_LCIA!M$60)+Transportation_LCIA!M$62</f>
        <v>2.9123459332568592E-4</v>
      </c>
      <c r="AJ84" s="137">
        <f>Transportation_LCIA!N$61*($W84^Transportation_LCIA!N$60)+Transportation_LCIA!N$62</f>
        <v>1.2797222196284355E-3</v>
      </c>
      <c r="AK84" s="137">
        <f>Transportation_LCIA!O$61*($W84^Transportation_LCIA!O$60)+Transportation_LCIA!O$62</f>
        <v>7.4458081336171384E-5</v>
      </c>
      <c r="AL84" s="137">
        <f>Transportation_LCIA!P$61*($W84^Transportation_LCIA!P$60)+Transportation_LCIA!P$62</f>
        <v>3.5962723058234319E-8</v>
      </c>
      <c r="AM84" s="137">
        <f>Transportation_LCIA!Q$61*($W84^Transportation_LCIA!Q$60)+Transportation_LCIA!Q$62</f>
        <v>1.2607962162909455E-4</v>
      </c>
      <c r="AN84" s="137">
        <f>Transportation_LCIA!R$61*($W84^Transportation_LCIA!R$60)+Transportation_LCIA!R$62</f>
        <v>3.8976595565047854E-4</v>
      </c>
      <c r="AO84" s="137">
        <f>Transportation_LCIA!S$61*($W84^Transportation_LCIA!S$60)+Transportation_LCIA!S$62</f>
        <v>5.7884928967616082E-6</v>
      </c>
      <c r="AP84" s="137">
        <f>Transportation_LCIA!T$61*($W84^Transportation_LCIA!T$60)+Transportation_LCIA!T$62</f>
        <v>5.7884928967616082E-6</v>
      </c>
      <c r="AQ84" s="137">
        <f>Transportation_LCIA!U$61*($W84^Transportation_LCIA!U$60)+Transportation_LCIA!U$62</f>
        <v>8.418249291876381E-4</v>
      </c>
      <c r="AR84" s="137">
        <f>Transportation_LCIA!V$61*($W84^Transportation_LCIA!V$60)+Transportation_LCIA!V$62</f>
        <v>3.2804857778078551E-4</v>
      </c>
      <c r="AT84" s="137">
        <f>$W84*Y84+$L84*Summary_LCIA!H$32</f>
        <v>199.52456852799122</v>
      </c>
      <c r="AU84" s="137">
        <f>$W84*Z84+$L84*Summary_LCIA!Q$32</f>
        <v>2142.2742859597438</v>
      </c>
      <c r="AV84" s="137">
        <f>$W84*AA84+$L84*Summary_LCIA!R$32</f>
        <v>1.166104268865984</v>
      </c>
      <c r="AW84" s="137">
        <f>$W84*AB84+$L84*Summary_LCIA!S$32</f>
        <v>199.40115770799122</v>
      </c>
      <c r="AX84" s="137">
        <f>$W84*AC84+$L84*Summary_LCIA!T$32</f>
        <v>49.805234437147334</v>
      </c>
      <c r="AY84" s="137">
        <f>$W84*AD84+$L84*Summary_LCIA!U$32</f>
        <v>0.74126891236141601</v>
      </c>
      <c r="AZ84" s="137">
        <f>$W84*AE84+$L84*Summary_LCIA!V$32</f>
        <v>6.7189404114780214E-3</v>
      </c>
      <c r="BA84" s="137">
        <f>$W84*AF84+$L84*Summary_LCIA!W$32</f>
        <v>10.145041787981082</v>
      </c>
      <c r="BB84" s="137">
        <f>$W84*AG84+$L84*Summary_LCIA!X$32</f>
        <v>10.775174022563094</v>
      </c>
      <c r="BC84" s="137">
        <f>$W84*AH84+$L84*Summary_LCIA!Y$32</f>
        <v>0.64714834480138506</v>
      </c>
      <c r="BD84" s="137">
        <f>$W84*AI84+$L84*Summary_LCIA!Z$32</f>
        <v>0.19453636424375126</v>
      </c>
      <c r="BE84" s="137">
        <f>$W84*AJ84+$L84*Summary_LCIA!AA$32</f>
        <v>1.5019093225699471</v>
      </c>
      <c r="BF84" s="137">
        <f>$W84*AK84+$L84*Summary_LCIA!AB$32</f>
        <v>4.8833807116451702E-2</v>
      </c>
      <c r="BG84" s="137">
        <f>$W84*AL84+$L84*Summary_LCIA!AC$32</f>
        <v>2.5245568461130181E-5</v>
      </c>
      <c r="BH84" s="137">
        <f>$W84*AM84+$L84*Summary_LCIA!AD$32</f>
        <v>9.5198530609355819E-2</v>
      </c>
      <c r="BI84" s="137">
        <f>$W84*AN84+$L84*Summary_LCIA!AE$32</f>
        <v>0.28356173072087087</v>
      </c>
      <c r="BJ84" s="137">
        <f>$W84*AO84+$L84*Summary_LCIA!AF$32</f>
        <v>2.7448761303597968E-2</v>
      </c>
      <c r="BK84" s="137">
        <f>$W84*AP84+$L84*Summary_LCIA!AG$32</f>
        <v>5.2723674485979661E-3</v>
      </c>
      <c r="BL84" s="137">
        <f>$W84*AQ84+$L84*Summary_LCIA!AH$32</f>
        <v>0.80201844676342149</v>
      </c>
      <c r="BM84" s="137">
        <f>$W84*AR84+$L84*Summary_LCIA!AI$32</f>
        <v>0.24384710922285774</v>
      </c>
    </row>
    <row r="85" spans="1:65" x14ac:dyDescent="0.25">
      <c r="A85" s="149">
        <v>294</v>
      </c>
      <c r="B85" s="149">
        <v>6</v>
      </c>
      <c r="C85" s="61">
        <v>40.440624999999997</v>
      </c>
      <c r="D85" s="61">
        <v>-79.995885999999999</v>
      </c>
      <c r="E85" s="61" t="s">
        <v>265</v>
      </c>
      <c r="F85" s="149">
        <v>106</v>
      </c>
      <c r="G85" s="61" t="s">
        <v>266</v>
      </c>
      <c r="H85" s="61" t="s">
        <v>669</v>
      </c>
      <c r="I85" s="61">
        <v>40.491920999999998</v>
      </c>
      <c r="J85" s="61">
        <v>-80.235223000000005</v>
      </c>
      <c r="K85" s="61">
        <v>21.391265860000001</v>
      </c>
      <c r="L85" s="61">
        <v>27.920999999999999</v>
      </c>
      <c r="M85" s="61" t="s">
        <v>617</v>
      </c>
      <c r="N85" s="149">
        <v>5</v>
      </c>
      <c r="O85" s="149">
        <v>6</v>
      </c>
      <c r="P85" s="61" t="s">
        <v>565</v>
      </c>
      <c r="Q85" s="61" t="s">
        <v>564</v>
      </c>
      <c r="R85" s="61">
        <v>41.98028</v>
      </c>
      <c r="S85" s="61">
        <v>-87.908997900000003</v>
      </c>
      <c r="T85" s="61">
        <v>768.74900000000002</v>
      </c>
      <c r="U85" s="61" t="s">
        <v>617</v>
      </c>
      <c r="V85" s="61" t="s">
        <v>569</v>
      </c>
      <c r="W85" s="61" cm="1">
        <f t="array" ref="W85">getDistance(I85,J85,R85,S85)*SA!$B$12</f>
        <v>664.03976858093529</v>
      </c>
      <c r="X85" s="61"/>
      <c r="Y85" s="137">
        <f>Transportation_LCIA!C$61*($W85^Transportation_LCIA!C$60)+Transportation_LCIA!C$62</f>
        <v>0.28618318016419964</v>
      </c>
      <c r="Z85" s="137">
        <f>Transportation_LCIA!D$61*($W85^Transportation_LCIA!D$60)+Transportation_LCIA!D$62</f>
        <v>3.0177355282535454</v>
      </c>
      <c r="AA85" s="137">
        <f>Transportation_LCIA!E$61*($W85^Transportation_LCIA!E$60)+Transportation_LCIA!E$62</f>
        <v>1.5346723185627621E-3</v>
      </c>
      <c r="AB85" s="137">
        <f>Transportation_LCIA!F$61*($W85^Transportation_LCIA!F$60)+Transportation_LCIA!F$62</f>
        <v>0.28618318016419964</v>
      </c>
      <c r="AC85" s="137">
        <f>Transportation_LCIA!G$61*($W85^Transportation_LCIA!G$60)+Transportation_LCIA!G$62</f>
        <v>7.0382405916778926E-2</v>
      </c>
      <c r="AD85" s="137">
        <f>Transportation_LCIA!H$61*($W85^Transportation_LCIA!H$60)+Transportation_LCIA!H$62</f>
        <v>3.6306879462450609E-4</v>
      </c>
      <c r="AE85" s="137">
        <f>Transportation_LCIA!I$61*($W85^Transportation_LCIA!I$60)+Transportation_LCIA!I$62</f>
        <v>8.1100647661309928E-6</v>
      </c>
      <c r="AF85" s="137">
        <f>Transportation_LCIA!J$61*($W85^Transportation_LCIA!J$60)+Transportation_LCIA!J$62</f>
        <v>1.2041348839796951E-2</v>
      </c>
      <c r="AG85" s="137">
        <f>Transportation_LCIA!K$61*($W85^Transportation_LCIA!K$60)+Transportation_LCIA!K$62</f>
        <v>1.5268865092569082E-2</v>
      </c>
      <c r="AH85" s="137">
        <f>Transportation_LCIA!L$61*($W85^Transportation_LCIA!L$60)+Transportation_LCIA!L$62</f>
        <v>3.193834659249564E-4</v>
      </c>
      <c r="AI85" s="137">
        <f>Transportation_LCIA!M$61*($W85^Transportation_LCIA!M$60)+Transportation_LCIA!M$62</f>
        <v>2.9123459332568592E-4</v>
      </c>
      <c r="AJ85" s="137">
        <f>Transportation_LCIA!N$61*($W85^Transportation_LCIA!N$60)+Transportation_LCIA!N$62</f>
        <v>1.2797222196284355E-3</v>
      </c>
      <c r="AK85" s="137">
        <f>Transportation_LCIA!O$61*($W85^Transportation_LCIA!O$60)+Transportation_LCIA!O$62</f>
        <v>7.4458081336171384E-5</v>
      </c>
      <c r="AL85" s="137">
        <f>Transportation_LCIA!P$61*($W85^Transportation_LCIA!P$60)+Transportation_LCIA!P$62</f>
        <v>3.5962723058234319E-8</v>
      </c>
      <c r="AM85" s="137">
        <f>Transportation_LCIA!Q$61*($W85^Transportation_LCIA!Q$60)+Transportation_LCIA!Q$62</f>
        <v>1.2607962162909455E-4</v>
      </c>
      <c r="AN85" s="137">
        <f>Transportation_LCIA!R$61*($W85^Transportation_LCIA!R$60)+Transportation_LCIA!R$62</f>
        <v>3.8976595565047854E-4</v>
      </c>
      <c r="AO85" s="137">
        <f>Transportation_LCIA!S$61*($W85^Transportation_LCIA!S$60)+Transportation_LCIA!S$62</f>
        <v>5.7884928967616082E-6</v>
      </c>
      <c r="AP85" s="137">
        <f>Transportation_LCIA!T$61*($W85^Transportation_LCIA!T$60)+Transportation_LCIA!T$62</f>
        <v>5.7884928967616082E-6</v>
      </c>
      <c r="AQ85" s="137">
        <f>Transportation_LCIA!U$61*($W85^Transportation_LCIA!U$60)+Transportation_LCIA!U$62</f>
        <v>8.418249291876381E-4</v>
      </c>
      <c r="AR85" s="137">
        <f>Transportation_LCIA!V$61*($W85^Transportation_LCIA!V$60)+Transportation_LCIA!V$62</f>
        <v>3.2804857778078551E-4</v>
      </c>
      <c r="AT85" s="137">
        <f>$W85*Y85+$L85*Summary_LCIA!H$32</f>
        <v>199.52456852799122</v>
      </c>
      <c r="AU85" s="137">
        <f>$W85*Z85+$L85*Summary_LCIA!Q$32</f>
        <v>2142.2742859597438</v>
      </c>
      <c r="AV85" s="137">
        <f>$W85*AA85+$L85*Summary_LCIA!R$32</f>
        <v>1.166104268865984</v>
      </c>
      <c r="AW85" s="137">
        <f>$W85*AB85+$L85*Summary_LCIA!S$32</f>
        <v>199.40115770799122</v>
      </c>
      <c r="AX85" s="137">
        <f>$W85*AC85+$L85*Summary_LCIA!T$32</f>
        <v>49.805234437147334</v>
      </c>
      <c r="AY85" s="137">
        <f>$W85*AD85+$L85*Summary_LCIA!U$32</f>
        <v>0.74126891236141601</v>
      </c>
      <c r="AZ85" s="137">
        <f>$W85*AE85+$L85*Summary_LCIA!V$32</f>
        <v>6.7189404114780214E-3</v>
      </c>
      <c r="BA85" s="137">
        <f>$W85*AF85+$L85*Summary_LCIA!W$32</f>
        <v>10.145041787981082</v>
      </c>
      <c r="BB85" s="137">
        <f>$W85*AG85+$L85*Summary_LCIA!X$32</f>
        <v>10.775174022563094</v>
      </c>
      <c r="BC85" s="137">
        <f>$W85*AH85+$L85*Summary_LCIA!Y$32</f>
        <v>0.64714834480138506</v>
      </c>
      <c r="BD85" s="137">
        <f>$W85*AI85+$L85*Summary_LCIA!Z$32</f>
        <v>0.19453636424375126</v>
      </c>
      <c r="BE85" s="137">
        <f>$W85*AJ85+$L85*Summary_LCIA!AA$32</f>
        <v>1.5019093225699471</v>
      </c>
      <c r="BF85" s="137">
        <f>$W85*AK85+$L85*Summary_LCIA!AB$32</f>
        <v>4.8833807116451702E-2</v>
      </c>
      <c r="BG85" s="137">
        <f>$W85*AL85+$L85*Summary_LCIA!AC$32</f>
        <v>2.5245568461130181E-5</v>
      </c>
      <c r="BH85" s="137">
        <f>$W85*AM85+$L85*Summary_LCIA!AD$32</f>
        <v>9.5198530609355819E-2</v>
      </c>
      <c r="BI85" s="137">
        <f>$W85*AN85+$L85*Summary_LCIA!AE$32</f>
        <v>0.28356173072087087</v>
      </c>
      <c r="BJ85" s="137">
        <f>$W85*AO85+$L85*Summary_LCIA!AF$32</f>
        <v>2.7448761303597968E-2</v>
      </c>
      <c r="BK85" s="137">
        <f>$W85*AP85+$L85*Summary_LCIA!AG$32</f>
        <v>5.2723674485979661E-3</v>
      </c>
      <c r="BL85" s="137">
        <f>$W85*AQ85+$L85*Summary_LCIA!AH$32</f>
        <v>0.80201844676342149</v>
      </c>
      <c r="BM85" s="137">
        <f>$W85*AR85+$L85*Summary_LCIA!AI$32</f>
        <v>0.24384710922285774</v>
      </c>
    </row>
    <row r="86" spans="1:65" x14ac:dyDescent="0.25">
      <c r="A86" s="149">
        <v>295</v>
      </c>
      <c r="B86" s="149">
        <v>6</v>
      </c>
      <c r="C86" s="61">
        <v>40.440624999999997</v>
      </c>
      <c r="D86" s="61">
        <v>-79.995885999999999</v>
      </c>
      <c r="E86" s="61" t="s">
        <v>265</v>
      </c>
      <c r="F86" s="149">
        <v>106</v>
      </c>
      <c r="G86" s="61" t="s">
        <v>266</v>
      </c>
      <c r="H86" s="61" t="s">
        <v>669</v>
      </c>
      <c r="I86" s="61">
        <v>40.491920999999998</v>
      </c>
      <c r="J86" s="61">
        <v>-80.235223000000005</v>
      </c>
      <c r="K86" s="61">
        <v>21.391265860000001</v>
      </c>
      <c r="L86" s="61">
        <v>27.920999999999999</v>
      </c>
      <c r="M86" s="61" t="s">
        <v>617</v>
      </c>
      <c r="N86" s="149">
        <v>5</v>
      </c>
      <c r="O86" s="149">
        <v>6</v>
      </c>
      <c r="P86" s="61" t="s">
        <v>565</v>
      </c>
      <c r="Q86" s="61" t="s">
        <v>564</v>
      </c>
      <c r="R86" s="61">
        <v>41.98028</v>
      </c>
      <c r="S86" s="61">
        <v>-87.908997900000003</v>
      </c>
      <c r="T86" s="61">
        <v>768.74900000000002</v>
      </c>
      <c r="U86" s="61" t="s">
        <v>617</v>
      </c>
      <c r="V86" s="61" t="s">
        <v>569</v>
      </c>
      <c r="W86" s="61" cm="1">
        <f t="array" ref="W86">getDistance(I86,J86,R86,S86)*SA!$B$12</f>
        <v>664.03976858093529</v>
      </c>
      <c r="X86" s="61"/>
      <c r="Y86" s="137">
        <f>Transportation_LCIA!C$61*($W86^Transportation_LCIA!C$60)+Transportation_LCIA!C$62</f>
        <v>0.28618318016419964</v>
      </c>
      <c r="Z86" s="137">
        <f>Transportation_LCIA!D$61*($W86^Transportation_LCIA!D$60)+Transportation_LCIA!D$62</f>
        <v>3.0177355282535454</v>
      </c>
      <c r="AA86" s="137">
        <f>Transportation_LCIA!E$61*($W86^Transportation_LCIA!E$60)+Transportation_LCIA!E$62</f>
        <v>1.5346723185627621E-3</v>
      </c>
      <c r="AB86" s="137">
        <f>Transportation_LCIA!F$61*($W86^Transportation_LCIA!F$60)+Transportation_LCIA!F$62</f>
        <v>0.28618318016419964</v>
      </c>
      <c r="AC86" s="137">
        <f>Transportation_LCIA!G$61*($W86^Transportation_LCIA!G$60)+Transportation_LCIA!G$62</f>
        <v>7.0382405916778926E-2</v>
      </c>
      <c r="AD86" s="137">
        <f>Transportation_LCIA!H$61*($W86^Transportation_LCIA!H$60)+Transportation_LCIA!H$62</f>
        <v>3.6306879462450609E-4</v>
      </c>
      <c r="AE86" s="137">
        <f>Transportation_LCIA!I$61*($W86^Transportation_LCIA!I$60)+Transportation_LCIA!I$62</f>
        <v>8.1100647661309928E-6</v>
      </c>
      <c r="AF86" s="137">
        <f>Transportation_LCIA!J$61*($W86^Transportation_LCIA!J$60)+Transportation_LCIA!J$62</f>
        <v>1.2041348839796951E-2</v>
      </c>
      <c r="AG86" s="137">
        <f>Transportation_LCIA!K$61*($W86^Transportation_LCIA!K$60)+Transportation_LCIA!K$62</f>
        <v>1.5268865092569082E-2</v>
      </c>
      <c r="AH86" s="137">
        <f>Transportation_LCIA!L$61*($W86^Transportation_LCIA!L$60)+Transportation_LCIA!L$62</f>
        <v>3.193834659249564E-4</v>
      </c>
      <c r="AI86" s="137">
        <f>Transportation_LCIA!M$61*($W86^Transportation_LCIA!M$60)+Transportation_LCIA!M$62</f>
        <v>2.9123459332568592E-4</v>
      </c>
      <c r="AJ86" s="137">
        <f>Transportation_LCIA!N$61*($W86^Transportation_LCIA!N$60)+Transportation_LCIA!N$62</f>
        <v>1.2797222196284355E-3</v>
      </c>
      <c r="AK86" s="137">
        <f>Transportation_LCIA!O$61*($W86^Transportation_LCIA!O$60)+Transportation_LCIA!O$62</f>
        <v>7.4458081336171384E-5</v>
      </c>
      <c r="AL86" s="137">
        <f>Transportation_LCIA!P$61*($W86^Transportation_LCIA!P$60)+Transportation_LCIA!P$62</f>
        <v>3.5962723058234319E-8</v>
      </c>
      <c r="AM86" s="137">
        <f>Transportation_LCIA!Q$61*($W86^Transportation_LCIA!Q$60)+Transportation_LCIA!Q$62</f>
        <v>1.2607962162909455E-4</v>
      </c>
      <c r="AN86" s="137">
        <f>Transportation_LCIA!R$61*($W86^Transportation_LCIA!R$60)+Transportation_LCIA!R$62</f>
        <v>3.8976595565047854E-4</v>
      </c>
      <c r="AO86" s="137">
        <f>Transportation_LCIA!S$61*($W86^Transportation_LCIA!S$60)+Transportation_LCIA!S$62</f>
        <v>5.7884928967616082E-6</v>
      </c>
      <c r="AP86" s="137">
        <f>Transportation_LCIA!T$61*($W86^Transportation_LCIA!T$60)+Transportation_LCIA!T$62</f>
        <v>5.7884928967616082E-6</v>
      </c>
      <c r="AQ86" s="137">
        <f>Transportation_LCIA!U$61*($W86^Transportation_LCIA!U$60)+Transportation_LCIA!U$62</f>
        <v>8.418249291876381E-4</v>
      </c>
      <c r="AR86" s="137">
        <f>Transportation_LCIA!V$61*($W86^Transportation_LCIA!V$60)+Transportation_LCIA!V$62</f>
        <v>3.2804857778078551E-4</v>
      </c>
      <c r="AT86" s="137">
        <f>$W86*Y86+$L86*Summary_LCIA!H$32</f>
        <v>199.52456852799122</v>
      </c>
      <c r="AU86" s="137">
        <f>$W86*Z86+$L86*Summary_LCIA!Q$32</f>
        <v>2142.2742859597438</v>
      </c>
      <c r="AV86" s="137">
        <f>$W86*AA86+$L86*Summary_LCIA!R$32</f>
        <v>1.166104268865984</v>
      </c>
      <c r="AW86" s="137">
        <f>$W86*AB86+$L86*Summary_LCIA!S$32</f>
        <v>199.40115770799122</v>
      </c>
      <c r="AX86" s="137">
        <f>$W86*AC86+$L86*Summary_LCIA!T$32</f>
        <v>49.805234437147334</v>
      </c>
      <c r="AY86" s="137">
        <f>$W86*AD86+$L86*Summary_LCIA!U$32</f>
        <v>0.74126891236141601</v>
      </c>
      <c r="AZ86" s="137">
        <f>$W86*AE86+$L86*Summary_LCIA!V$32</f>
        <v>6.7189404114780214E-3</v>
      </c>
      <c r="BA86" s="137">
        <f>$W86*AF86+$L86*Summary_LCIA!W$32</f>
        <v>10.145041787981082</v>
      </c>
      <c r="BB86" s="137">
        <f>$W86*AG86+$L86*Summary_LCIA!X$32</f>
        <v>10.775174022563094</v>
      </c>
      <c r="BC86" s="137">
        <f>$W86*AH86+$L86*Summary_LCIA!Y$32</f>
        <v>0.64714834480138506</v>
      </c>
      <c r="BD86" s="137">
        <f>$W86*AI86+$L86*Summary_LCIA!Z$32</f>
        <v>0.19453636424375126</v>
      </c>
      <c r="BE86" s="137">
        <f>$W86*AJ86+$L86*Summary_LCIA!AA$32</f>
        <v>1.5019093225699471</v>
      </c>
      <c r="BF86" s="137">
        <f>$W86*AK86+$L86*Summary_LCIA!AB$32</f>
        <v>4.8833807116451702E-2</v>
      </c>
      <c r="BG86" s="137">
        <f>$W86*AL86+$L86*Summary_LCIA!AC$32</f>
        <v>2.5245568461130181E-5</v>
      </c>
      <c r="BH86" s="137">
        <f>$W86*AM86+$L86*Summary_LCIA!AD$32</f>
        <v>9.5198530609355819E-2</v>
      </c>
      <c r="BI86" s="137">
        <f>$W86*AN86+$L86*Summary_LCIA!AE$32</f>
        <v>0.28356173072087087</v>
      </c>
      <c r="BJ86" s="137">
        <f>$W86*AO86+$L86*Summary_LCIA!AF$32</f>
        <v>2.7448761303597968E-2</v>
      </c>
      <c r="BK86" s="137">
        <f>$W86*AP86+$L86*Summary_LCIA!AG$32</f>
        <v>5.2723674485979661E-3</v>
      </c>
      <c r="BL86" s="137">
        <f>$W86*AQ86+$L86*Summary_LCIA!AH$32</f>
        <v>0.80201844676342149</v>
      </c>
      <c r="BM86" s="137">
        <f>$W86*AR86+$L86*Summary_LCIA!AI$32</f>
        <v>0.24384710922285774</v>
      </c>
    </row>
    <row r="87" spans="1:65" x14ac:dyDescent="0.25">
      <c r="A87" s="149">
        <v>296</v>
      </c>
      <c r="B87" s="149">
        <v>6</v>
      </c>
      <c r="C87" s="61">
        <v>40.440624999999997</v>
      </c>
      <c r="D87" s="61">
        <v>-79.995885999999999</v>
      </c>
      <c r="E87" s="61" t="s">
        <v>265</v>
      </c>
      <c r="F87" s="149">
        <v>106</v>
      </c>
      <c r="G87" s="61" t="s">
        <v>266</v>
      </c>
      <c r="H87" s="61" t="s">
        <v>669</v>
      </c>
      <c r="I87" s="61">
        <v>40.491920999999998</v>
      </c>
      <c r="J87" s="61">
        <v>-80.235223000000005</v>
      </c>
      <c r="K87" s="61">
        <v>21.391265860000001</v>
      </c>
      <c r="L87" s="61">
        <v>27.920999999999999</v>
      </c>
      <c r="M87" s="61" t="s">
        <v>617</v>
      </c>
      <c r="N87" s="149">
        <v>5</v>
      </c>
      <c r="O87" s="149">
        <v>6</v>
      </c>
      <c r="P87" s="61" t="s">
        <v>565</v>
      </c>
      <c r="Q87" s="61" t="s">
        <v>564</v>
      </c>
      <c r="R87" s="61">
        <v>41.98028</v>
      </c>
      <c r="S87" s="61">
        <v>-87.908997900000003</v>
      </c>
      <c r="T87" s="61">
        <v>768.74900000000002</v>
      </c>
      <c r="U87" s="61" t="s">
        <v>617</v>
      </c>
      <c r="V87" s="61" t="s">
        <v>569</v>
      </c>
      <c r="W87" s="61" cm="1">
        <f t="array" ref="W87">getDistance(I87,J87,R87,S87)*SA!$B$12</f>
        <v>664.03976858093529</v>
      </c>
      <c r="X87" s="61"/>
      <c r="Y87" s="137">
        <f>Transportation_LCIA!C$61*($W87^Transportation_LCIA!C$60)+Transportation_LCIA!C$62</f>
        <v>0.28618318016419964</v>
      </c>
      <c r="Z87" s="137">
        <f>Transportation_LCIA!D$61*($W87^Transportation_LCIA!D$60)+Transportation_LCIA!D$62</f>
        <v>3.0177355282535454</v>
      </c>
      <c r="AA87" s="137">
        <f>Transportation_LCIA!E$61*($W87^Transportation_LCIA!E$60)+Transportation_LCIA!E$62</f>
        <v>1.5346723185627621E-3</v>
      </c>
      <c r="AB87" s="137">
        <f>Transportation_LCIA!F$61*($W87^Transportation_LCIA!F$60)+Transportation_LCIA!F$62</f>
        <v>0.28618318016419964</v>
      </c>
      <c r="AC87" s="137">
        <f>Transportation_LCIA!G$61*($W87^Transportation_LCIA!G$60)+Transportation_LCIA!G$62</f>
        <v>7.0382405916778926E-2</v>
      </c>
      <c r="AD87" s="137">
        <f>Transportation_LCIA!H$61*($W87^Transportation_LCIA!H$60)+Transportation_LCIA!H$62</f>
        <v>3.6306879462450609E-4</v>
      </c>
      <c r="AE87" s="137">
        <f>Transportation_LCIA!I$61*($W87^Transportation_LCIA!I$60)+Transportation_LCIA!I$62</f>
        <v>8.1100647661309928E-6</v>
      </c>
      <c r="AF87" s="137">
        <f>Transportation_LCIA!J$61*($W87^Transportation_LCIA!J$60)+Transportation_LCIA!J$62</f>
        <v>1.2041348839796951E-2</v>
      </c>
      <c r="AG87" s="137">
        <f>Transportation_LCIA!K$61*($W87^Transportation_LCIA!K$60)+Transportation_LCIA!K$62</f>
        <v>1.5268865092569082E-2</v>
      </c>
      <c r="AH87" s="137">
        <f>Transportation_LCIA!L$61*($W87^Transportation_LCIA!L$60)+Transportation_LCIA!L$62</f>
        <v>3.193834659249564E-4</v>
      </c>
      <c r="AI87" s="137">
        <f>Transportation_LCIA!M$61*($W87^Transportation_LCIA!M$60)+Transportation_LCIA!M$62</f>
        <v>2.9123459332568592E-4</v>
      </c>
      <c r="AJ87" s="137">
        <f>Transportation_LCIA!N$61*($W87^Transportation_LCIA!N$60)+Transportation_LCIA!N$62</f>
        <v>1.2797222196284355E-3</v>
      </c>
      <c r="AK87" s="137">
        <f>Transportation_LCIA!O$61*($W87^Transportation_LCIA!O$60)+Transportation_LCIA!O$62</f>
        <v>7.4458081336171384E-5</v>
      </c>
      <c r="AL87" s="137">
        <f>Transportation_LCIA!P$61*($W87^Transportation_LCIA!P$60)+Transportation_LCIA!P$62</f>
        <v>3.5962723058234319E-8</v>
      </c>
      <c r="AM87" s="137">
        <f>Transportation_LCIA!Q$61*($W87^Transportation_LCIA!Q$60)+Transportation_LCIA!Q$62</f>
        <v>1.2607962162909455E-4</v>
      </c>
      <c r="AN87" s="137">
        <f>Transportation_LCIA!R$61*($W87^Transportation_LCIA!R$60)+Transportation_LCIA!R$62</f>
        <v>3.8976595565047854E-4</v>
      </c>
      <c r="AO87" s="137">
        <f>Transportation_LCIA!S$61*($W87^Transportation_LCIA!S$60)+Transportation_LCIA!S$62</f>
        <v>5.7884928967616082E-6</v>
      </c>
      <c r="AP87" s="137">
        <f>Transportation_LCIA!T$61*($W87^Transportation_LCIA!T$60)+Transportation_LCIA!T$62</f>
        <v>5.7884928967616082E-6</v>
      </c>
      <c r="AQ87" s="137">
        <f>Transportation_LCIA!U$61*($W87^Transportation_LCIA!U$60)+Transportation_LCIA!U$62</f>
        <v>8.418249291876381E-4</v>
      </c>
      <c r="AR87" s="137">
        <f>Transportation_LCIA!V$61*($W87^Transportation_LCIA!V$60)+Transportation_LCIA!V$62</f>
        <v>3.2804857778078551E-4</v>
      </c>
      <c r="AT87" s="137">
        <f>$W87*Y87+$L87*Summary_LCIA!H$32</f>
        <v>199.52456852799122</v>
      </c>
      <c r="AU87" s="137">
        <f>$W87*Z87+$L87*Summary_LCIA!Q$32</f>
        <v>2142.2742859597438</v>
      </c>
      <c r="AV87" s="137">
        <f>$W87*AA87+$L87*Summary_LCIA!R$32</f>
        <v>1.166104268865984</v>
      </c>
      <c r="AW87" s="137">
        <f>$W87*AB87+$L87*Summary_LCIA!S$32</f>
        <v>199.40115770799122</v>
      </c>
      <c r="AX87" s="137">
        <f>$W87*AC87+$L87*Summary_LCIA!T$32</f>
        <v>49.805234437147334</v>
      </c>
      <c r="AY87" s="137">
        <f>$W87*AD87+$L87*Summary_LCIA!U$32</f>
        <v>0.74126891236141601</v>
      </c>
      <c r="AZ87" s="137">
        <f>$W87*AE87+$L87*Summary_LCIA!V$32</f>
        <v>6.7189404114780214E-3</v>
      </c>
      <c r="BA87" s="137">
        <f>$W87*AF87+$L87*Summary_LCIA!W$32</f>
        <v>10.145041787981082</v>
      </c>
      <c r="BB87" s="137">
        <f>$W87*AG87+$L87*Summary_LCIA!X$32</f>
        <v>10.775174022563094</v>
      </c>
      <c r="BC87" s="137">
        <f>$W87*AH87+$L87*Summary_LCIA!Y$32</f>
        <v>0.64714834480138506</v>
      </c>
      <c r="BD87" s="137">
        <f>$W87*AI87+$L87*Summary_LCIA!Z$32</f>
        <v>0.19453636424375126</v>
      </c>
      <c r="BE87" s="137">
        <f>$W87*AJ87+$L87*Summary_LCIA!AA$32</f>
        <v>1.5019093225699471</v>
      </c>
      <c r="BF87" s="137">
        <f>$W87*AK87+$L87*Summary_LCIA!AB$32</f>
        <v>4.8833807116451702E-2</v>
      </c>
      <c r="BG87" s="137">
        <f>$W87*AL87+$L87*Summary_LCIA!AC$32</f>
        <v>2.5245568461130181E-5</v>
      </c>
      <c r="BH87" s="137">
        <f>$W87*AM87+$L87*Summary_LCIA!AD$32</f>
        <v>9.5198530609355819E-2</v>
      </c>
      <c r="BI87" s="137">
        <f>$W87*AN87+$L87*Summary_LCIA!AE$32</f>
        <v>0.28356173072087087</v>
      </c>
      <c r="BJ87" s="137">
        <f>$W87*AO87+$L87*Summary_LCIA!AF$32</f>
        <v>2.7448761303597968E-2</v>
      </c>
      <c r="BK87" s="137">
        <f>$W87*AP87+$L87*Summary_LCIA!AG$32</f>
        <v>5.2723674485979661E-3</v>
      </c>
      <c r="BL87" s="137">
        <f>$W87*AQ87+$L87*Summary_LCIA!AH$32</f>
        <v>0.80201844676342149</v>
      </c>
      <c r="BM87" s="137">
        <f>$W87*AR87+$L87*Summary_LCIA!AI$32</f>
        <v>0.24384710922285774</v>
      </c>
    </row>
    <row r="88" spans="1:65" x14ac:dyDescent="0.25">
      <c r="A88" s="149">
        <v>297</v>
      </c>
      <c r="B88" s="149">
        <v>6</v>
      </c>
      <c r="C88" s="61">
        <v>40.440624999999997</v>
      </c>
      <c r="D88" s="61">
        <v>-79.995885999999999</v>
      </c>
      <c r="E88" s="61" t="s">
        <v>265</v>
      </c>
      <c r="F88" s="149">
        <v>106</v>
      </c>
      <c r="G88" s="61" t="s">
        <v>266</v>
      </c>
      <c r="H88" s="61" t="s">
        <v>669</v>
      </c>
      <c r="I88" s="61">
        <v>40.491920999999998</v>
      </c>
      <c r="J88" s="61">
        <v>-80.235223000000005</v>
      </c>
      <c r="K88" s="61">
        <v>21.391265860000001</v>
      </c>
      <c r="L88" s="61">
        <v>27.920999999999999</v>
      </c>
      <c r="M88" s="61" t="s">
        <v>617</v>
      </c>
      <c r="N88" s="149">
        <v>5</v>
      </c>
      <c r="O88" s="149">
        <v>6</v>
      </c>
      <c r="P88" s="61" t="s">
        <v>565</v>
      </c>
      <c r="Q88" s="61" t="s">
        <v>564</v>
      </c>
      <c r="R88" s="61">
        <v>41.98028</v>
      </c>
      <c r="S88" s="61">
        <v>-87.908997900000003</v>
      </c>
      <c r="T88" s="61">
        <v>768.74900000000002</v>
      </c>
      <c r="U88" s="61" t="s">
        <v>617</v>
      </c>
      <c r="V88" s="61" t="s">
        <v>569</v>
      </c>
      <c r="W88" s="61" cm="1">
        <f t="array" ref="W88">getDistance(I88,J88,R88,S88)*SA!$B$12</f>
        <v>664.03976858093529</v>
      </c>
      <c r="X88" s="61"/>
      <c r="Y88" s="137">
        <f>Transportation_LCIA!C$61*($W88^Transportation_LCIA!C$60)+Transportation_LCIA!C$62</f>
        <v>0.28618318016419964</v>
      </c>
      <c r="Z88" s="137">
        <f>Transportation_LCIA!D$61*($W88^Transportation_LCIA!D$60)+Transportation_LCIA!D$62</f>
        <v>3.0177355282535454</v>
      </c>
      <c r="AA88" s="137">
        <f>Transportation_LCIA!E$61*($W88^Transportation_LCIA!E$60)+Transportation_LCIA!E$62</f>
        <v>1.5346723185627621E-3</v>
      </c>
      <c r="AB88" s="137">
        <f>Transportation_LCIA!F$61*($W88^Transportation_LCIA!F$60)+Transportation_LCIA!F$62</f>
        <v>0.28618318016419964</v>
      </c>
      <c r="AC88" s="137">
        <f>Transportation_LCIA!G$61*($W88^Transportation_LCIA!G$60)+Transportation_LCIA!G$62</f>
        <v>7.0382405916778926E-2</v>
      </c>
      <c r="AD88" s="137">
        <f>Transportation_LCIA!H$61*($W88^Transportation_LCIA!H$60)+Transportation_LCIA!H$62</f>
        <v>3.6306879462450609E-4</v>
      </c>
      <c r="AE88" s="137">
        <f>Transportation_LCIA!I$61*($W88^Transportation_LCIA!I$60)+Transportation_LCIA!I$62</f>
        <v>8.1100647661309928E-6</v>
      </c>
      <c r="AF88" s="137">
        <f>Transportation_LCIA!J$61*($W88^Transportation_LCIA!J$60)+Transportation_LCIA!J$62</f>
        <v>1.2041348839796951E-2</v>
      </c>
      <c r="AG88" s="137">
        <f>Transportation_LCIA!K$61*($W88^Transportation_LCIA!K$60)+Transportation_LCIA!K$62</f>
        <v>1.5268865092569082E-2</v>
      </c>
      <c r="AH88" s="137">
        <f>Transportation_LCIA!L$61*($W88^Transportation_LCIA!L$60)+Transportation_LCIA!L$62</f>
        <v>3.193834659249564E-4</v>
      </c>
      <c r="AI88" s="137">
        <f>Transportation_LCIA!M$61*($W88^Transportation_LCIA!M$60)+Transportation_LCIA!M$62</f>
        <v>2.9123459332568592E-4</v>
      </c>
      <c r="AJ88" s="137">
        <f>Transportation_LCIA!N$61*($W88^Transportation_LCIA!N$60)+Transportation_LCIA!N$62</f>
        <v>1.2797222196284355E-3</v>
      </c>
      <c r="AK88" s="137">
        <f>Transportation_LCIA!O$61*($W88^Transportation_LCIA!O$60)+Transportation_LCIA!O$62</f>
        <v>7.4458081336171384E-5</v>
      </c>
      <c r="AL88" s="137">
        <f>Transportation_LCIA!P$61*($W88^Transportation_LCIA!P$60)+Transportation_LCIA!P$62</f>
        <v>3.5962723058234319E-8</v>
      </c>
      <c r="AM88" s="137">
        <f>Transportation_LCIA!Q$61*($W88^Transportation_LCIA!Q$60)+Transportation_LCIA!Q$62</f>
        <v>1.2607962162909455E-4</v>
      </c>
      <c r="AN88" s="137">
        <f>Transportation_LCIA!R$61*($W88^Transportation_LCIA!R$60)+Transportation_LCIA!R$62</f>
        <v>3.8976595565047854E-4</v>
      </c>
      <c r="AO88" s="137">
        <f>Transportation_LCIA!S$61*($W88^Transportation_LCIA!S$60)+Transportation_LCIA!S$62</f>
        <v>5.7884928967616082E-6</v>
      </c>
      <c r="AP88" s="137">
        <f>Transportation_LCIA!T$61*($W88^Transportation_LCIA!T$60)+Transportation_LCIA!T$62</f>
        <v>5.7884928967616082E-6</v>
      </c>
      <c r="AQ88" s="137">
        <f>Transportation_LCIA!U$61*($W88^Transportation_LCIA!U$60)+Transportation_LCIA!U$62</f>
        <v>8.418249291876381E-4</v>
      </c>
      <c r="AR88" s="137">
        <f>Transportation_LCIA!V$61*($W88^Transportation_LCIA!V$60)+Transportation_LCIA!V$62</f>
        <v>3.2804857778078551E-4</v>
      </c>
      <c r="AT88" s="137">
        <f>$W88*Y88+$L88*Summary_LCIA!H$32</f>
        <v>199.52456852799122</v>
      </c>
      <c r="AU88" s="137">
        <f>$W88*Z88+$L88*Summary_LCIA!Q$32</f>
        <v>2142.2742859597438</v>
      </c>
      <c r="AV88" s="137">
        <f>$W88*AA88+$L88*Summary_LCIA!R$32</f>
        <v>1.166104268865984</v>
      </c>
      <c r="AW88" s="137">
        <f>$W88*AB88+$L88*Summary_LCIA!S$32</f>
        <v>199.40115770799122</v>
      </c>
      <c r="AX88" s="137">
        <f>$W88*AC88+$L88*Summary_LCIA!T$32</f>
        <v>49.805234437147334</v>
      </c>
      <c r="AY88" s="137">
        <f>$W88*AD88+$L88*Summary_LCIA!U$32</f>
        <v>0.74126891236141601</v>
      </c>
      <c r="AZ88" s="137">
        <f>$W88*AE88+$L88*Summary_LCIA!V$32</f>
        <v>6.7189404114780214E-3</v>
      </c>
      <c r="BA88" s="137">
        <f>$W88*AF88+$L88*Summary_LCIA!W$32</f>
        <v>10.145041787981082</v>
      </c>
      <c r="BB88" s="137">
        <f>$W88*AG88+$L88*Summary_LCIA!X$32</f>
        <v>10.775174022563094</v>
      </c>
      <c r="BC88" s="137">
        <f>$W88*AH88+$L88*Summary_LCIA!Y$32</f>
        <v>0.64714834480138506</v>
      </c>
      <c r="BD88" s="137">
        <f>$W88*AI88+$L88*Summary_LCIA!Z$32</f>
        <v>0.19453636424375126</v>
      </c>
      <c r="BE88" s="137">
        <f>$W88*AJ88+$L88*Summary_LCIA!AA$32</f>
        <v>1.5019093225699471</v>
      </c>
      <c r="BF88" s="137">
        <f>$W88*AK88+$L88*Summary_LCIA!AB$32</f>
        <v>4.8833807116451702E-2</v>
      </c>
      <c r="BG88" s="137">
        <f>$W88*AL88+$L88*Summary_LCIA!AC$32</f>
        <v>2.5245568461130181E-5</v>
      </c>
      <c r="BH88" s="137">
        <f>$W88*AM88+$L88*Summary_LCIA!AD$32</f>
        <v>9.5198530609355819E-2</v>
      </c>
      <c r="BI88" s="137">
        <f>$W88*AN88+$L88*Summary_LCIA!AE$32</f>
        <v>0.28356173072087087</v>
      </c>
      <c r="BJ88" s="137">
        <f>$W88*AO88+$L88*Summary_LCIA!AF$32</f>
        <v>2.7448761303597968E-2</v>
      </c>
      <c r="BK88" s="137">
        <f>$W88*AP88+$L88*Summary_LCIA!AG$32</f>
        <v>5.2723674485979661E-3</v>
      </c>
      <c r="BL88" s="137">
        <f>$W88*AQ88+$L88*Summary_LCIA!AH$32</f>
        <v>0.80201844676342149</v>
      </c>
      <c r="BM88" s="137">
        <f>$W88*AR88+$L88*Summary_LCIA!AI$32</f>
        <v>0.24384710922285774</v>
      </c>
    </row>
    <row r="89" spans="1:65" x14ac:dyDescent="0.25">
      <c r="A89" s="149">
        <v>298</v>
      </c>
      <c r="B89" s="149">
        <v>6</v>
      </c>
      <c r="C89" s="61">
        <v>40.440624999999997</v>
      </c>
      <c r="D89" s="61">
        <v>-79.995885999999999</v>
      </c>
      <c r="E89" s="61" t="s">
        <v>265</v>
      </c>
      <c r="F89" s="149">
        <v>106</v>
      </c>
      <c r="G89" s="61" t="s">
        <v>266</v>
      </c>
      <c r="H89" s="61" t="s">
        <v>669</v>
      </c>
      <c r="I89" s="61">
        <v>40.491920999999998</v>
      </c>
      <c r="J89" s="61">
        <v>-80.235223000000005</v>
      </c>
      <c r="K89" s="61">
        <v>21.391265860000001</v>
      </c>
      <c r="L89" s="61">
        <v>27.920999999999999</v>
      </c>
      <c r="M89" s="61" t="s">
        <v>617</v>
      </c>
      <c r="N89" s="149">
        <v>5</v>
      </c>
      <c r="O89" s="149">
        <v>6</v>
      </c>
      <c r="P89" s="61" t="s">
        <v>565</v>
      </c>
      <c r="Q89" s="61" t="s">
        <v>564</v>
      </c>
      <c r="R89" s="61">
        <v>41.98028</v>
      </c>
      <c r="S89" s="61">
        <v>-87.908997900000003</v>
      </c>
      <c r="T89" s="61">
        <v>768.74900000000002</v>
      </c>
      <c r="U89" s="61" t="s">
        <v>617</v>
      </c>
      <c r="V89" s="61" t="s">
        <v>569</v>
      </c>
      <c r="W89" s="61" cm="1">
        <f t="array" ref="W89">getDistance(I89,J89,R89,S89)*SA!$B$12</f>
        <v>664.03976858093529</v>
      </c>
      <c r="X89" s="61"/>
      <c r="Y89" s="137">
        <f>Transportation_LCIA!C$61*($W89^Transportation_LCIA!C$60)+Transportation_LCIA!C$62</f>
        <v>0.28618318016419964</v>
      </c>
      <c r="Z89" s="137">
        <f>Transportation_LCIA!D$61*($W89^Transportation_LCIA!D$60)+Transportation_LCIA!D$62</f>
        <v>3.0177355282535454</v>
      </c>
      <c r="AA89" s="137">
        <f>Transportation_LCIA!E$61*($W89^Transportation_LCIA!E$60)+Transportation_LCIA!E$62</f>
        <v>1.5346723185627621E-3</v>
      </c>
      <c r="AB89" s="137">
        <f>Transportation_LCIA!F$61*($W89^Transportation_LCIA!F$60)+Transportation_LCIA!F$62</f>
        <v>0.28618318016419964</v>
      </c>
      <c r="AC89" s="137">
        <f>Transportation_LCIA!G$61*($W89^Transportation_LCIA!G$60)+Transportation_LCIA!G$62</f>
        <v>7.0382405916778926E-2</v>
      </c>
      <c r="AD89" s="137">
        <f>Transportation_LCIA!H$61*($W89^Transportation_LCIA!H$60)+Transportation_LCIA!H$62</f>
        <v>3.6306879462450609E-4</v>
      </c>
      <c r="AE89" s="137">
        <f>Transportation_LCIA!I$61*($W89^Transportation_LCIA!I$60)+Transportation_LCIA!I$62</f>
        <v>8.1100647661309928E-6</v>
      </c>
      <c r="AF89" s="137">
        <f>Transportation_LCIA!J$61*($W89^Transportation_LCIA!J$60)+Transportation_LCIA!J$62</f>
        <v>1.2041348839796951E-2</v>
      </c>
      <c r="AG89" s="137">
        <f>Transportation_LCIA!K$61*($W89^Transportation_LCIA!K$60)+Transportation_LCIA!K$62</f>
        <v>1.5268865092569082E-2</v>
      </c>
      <c r="AH89" s="137">
        <f>Transportation_LCIA!L$61*($W89^Transportation_LCIA!L$60)+Transportation_LCIA!L$62</f>
        <v>3.193834659249564E-4</v>
      </c>
      <c r="AI89" s="137">
        <f>Transportation_LCIA!M$61*($W89^Transportation_LCIA!M$60)+Transportation_LCIA!M$62</f>
        <v>2.9123459332568592E-4</v>
      </c>
      <c r="AJ89" s="137">
        <f>Transportation_LCIA!N$61*($W89^Transportation_LCIA!N$60)+Transportation_LCIA!N$62</f>
        <v>1.2797222196284355E-3</v>
      </c>
      <c r="AK89" s="137">
        <f>Transportation_LCIA!O$61*($W89^Transportation_LCIA!O$60)+Transportation_LCIA!O$62</f>
        <v>7.4458081336171384E-5</v>
      </c>
      <c r="AL89" s="137">
        <f>Transportation_LCIA!P$61*($W89^Transportation_LCIA!P$60)+Transportation_LCIA!P$62</f>
        <v>3.5962723058234319E-8</v>
      </c>
      <c r="AM89" s="137">
        <f>Transportation_LCIA!Q$61*($W89^Transportation_LCIA!Q$60)+Transportation_LCIA!Q$62</f>
        <v>1.2607962162909455E-4</v>
      </c>
      <c r="AN89" s="137">
        <f>Transportation_LCIA!R$61*($W89^Transportation_LCIA!R$60)+Transportation_LCIA!R$62</f>
        <v>3.8976595565047854E-4</v>
      </c>
      <c r="AO89" s="137">
        <f>Transportation_LCIA!S$61*($W89^Transportation_LCIA!S$60)+Transportation_LCIA!S$62</f>
        <v>5.7884928967616082E-6</v>
      </c>
      <c r="AP89" s="137">
        <f>Transportation_LCIA!T$61*($W89^Transportation_LCIA!T$60)+Transportation_LCIA!T$62</f>
        <v>5.7884928967616082E-6</v>
      </c>
      <c r="AQ89" s="137">
        <f>Transportation_LCIA!U$61*($W89^Transportation_LCIA!U$60)+Transportation_LCIA!U$62</f>
        <v>8.418249291876381E-4</v>
      </c>
      <c r="AR89" s="137">
        <f>Transportation_LCIA!V$61*($W89^Transportation_LCIA!V$60)+Transportation_LCIA!V$62</f>
        <v>3.2804857778078551E-4</v>
      </c>
      <c r="AT89" s="137">
        <f>$W89*Y89+$L89*Summary_LCIA!H$32</f>
        <v>199.52456852799122</v>
      </c>
      <c r="AU89" s="137">
        <f>$W89*Z89+$L89*Summary_LCIA!Q$32</f>
        <v>2142.2742859597438</v>
      </c>
      <c r="AV89" s="137">
        <f>$W89*AA89+$L89*Summary_LCIA!R$32</f>
        <v>1.166104268865984</v>
      </c>
      <c r="AW89" s="137">
        <f>$W89*AB89+$L89*Summary_LCIA!S$32</f>
        <v>199.40115770799122</v>
      </c>
      <c r="AX89" s="137">
        <f>$W89*AC89+$L89*Summary_LCIA!T$32</f>
        <v>49.805234437147334</v>
      </c>
      <c r="AY89" s="137">
        <f>$W89*AD89+$L89*Summary_LCIA!U$32</f>
        <v>0.74126891236141601</v>
      </c>
      <c r="AZ89" s="137">
        <f>$W89*AE89+$L89*Summary_LCIA!V$32</f>
        <v>6.7189404114780214E-3</v>
      </c>
      <c r="BA89" s="137">
        <f>$W89*AF89+$L89*Summary_LCIA!W$32</f>
        <v>10.145041787981082</v>
      </c>
      <c r="BB89" s="137">
        <f>$W89*AG89+$L89*Summary_LCIA!X$32</f>
        <v>10.775174022563094</v>
      </c>
      <c r="BC89" s="137">
        <f>$W89*AH89+$L89*Summary_LCIA!Y$32</f>
        <v>0.64714834480138506</v>
      </c>
      <c r="BD89" s="137">
        <f>$W89*AI89+$L89*Summary_LCIA!Z$32</f>
        <v>0.19453636424375126</v>
      </c>
      <c r="BE89" s="137">
        <f>$W89*AJ89+$L89*Summary_LCIA!AA$32</f>
        <v>1.5019093225699471</v>
      </c>
      <c r="BF89" s="137">
        <f>$W89*AK89+$L89*Summary_LCIA!AB$32</f>
        <v>4.8833807116451702E-2</v>
      </c>
      <c r="BG89" s="137">
        <f>$W89*AL89+$L89*Summary_LCIA!AC$32</f>
        <v>2.5245568461130181E-5</v>
      </c>
      <c r="BH89" s="137">
        <f>$W89*AM89+$L89*Summary_LCIA!AD$32</f>
        <v>9.5198530609355819E-2</v>
      </c>
      <c r="BI89" s="137">
        <f>$W89*AN89+$L89*Summary_LCIA!AE$32</f>
        <v>0.28356173072087087</v>
      </c>
      <c r="BJ89" s="137">
        <f>$W89*AO89+$L89*Summary_LCIA!AF$32</f>
        <v>2.7448761303597968E-2</v>
      </c>
      <c r="BK89" s="137">
        <f>$W89*AP89+$L89*Summary_LCIA!AG$32</f>
        <v>5.2723674485979661E-3</v>
      </c>
      <c r="BL89" s="137">
        <f>$W89*AQ89+$L89*Summary_LCIA!AH$32</f>
        <v>0.80201844676342149</v>
      </c>
      <c r="BM89" s="137">
        <f>$W89*AR89+$L89*Summary_LCIA!AI$32</f>
        <v>0.24384710922285774</v>
      </c>
    </row>
    <row r="90" spans="1:65" x14ac:dyDescent="0.25">
      <c r="A90" s="149">
        <v>299</v>
      </c>
      <c r="B90" s="149">
        <v>6</v>
      </c>
      <c r="C90" s="61">
        <v>40.440624999999997</v>
      </c>
      <c r="D90" s="61">
        <v>-79.995885999999999</v>
      </c>
      <c r="E90" s="61" t="s">
        <v>265</v>
      </c>
      <c r="F90" s="149">
        <v>106</v>
      </c>
      <c r="G90" s="61" t="s">
        <v>266</v>
      </c>
      <c r="H90" s="61" t="s">
        <v>669</v>
      </c>
      <c r="I90" s="61">
        <v>40.491920999999998</v>
      </c>
      <c r="J90" s="61">
        <v>-80.235223000000005</v>
      </c>
      <c r="K90" s="61">
        <v>21.391265860000001</v>
      </c>
      <c r="L90" s="61">
        <v>27.920999999999999</v>
      </c>
      <c r="M90" s="61" t="s">
        <v>617</v>
      </c>
      <c r="N90" s="149">
        <v>5</v>
      </c>
      <c r="O90" s="149">
        <v>6</v>
      </c>
      <c r="P90" s="61" t="s">
        <v>565</v>
      </c>
      <c r="Q90" s="61" t="s">
        <v>564</v>
      </c>
      <c r="R90" s="61">
        <v>41.98028</v>
      </c>
      <c r="S90" s="61">
        <v>-87.908997900000003</v>
      </c>
      <c r="T90" s="61">
        <v>768.74900000000002</v>
      </c>
      <c r="U90" s="61" t="s">
        <v>617</v>
      </c>
      <c r="V90" s="61" t="s">
        <v>569</v>
      </c>
      <c r="W90" s="61" cm="1">
        <f t="array" ref="W90">getDistance(I90,J90,R90,S90)*SA!$B$12</f>
        <v>664.03976858093529</v>
      </c>
      <c r="X90" s="61"/>
      <c r="Y90" s="137">
        <f>Transportation_LCIA!C$61*($W90^Transportation_LCIA!C$60)+Transportation_LCIA!C$62</f>
        <v>0.28618318016419964</v>
      </c>
      <c r="Z90" s="137">
        <f>Transportation_LCIA!D$61*($W90^Transportation_LCIA!D$60)+Transportation_LCIA!D$62</f>
        <v>3.0177355282535454</v>
      </c>
      <c r="AA90" s="137">
        <f>Transportation_LCIA!E$61*($W90^Transportation_LCIA!E$60)+Transportation_LCIA!E$62</f>
        <v>1.5346723185627621E-3</v>
      </c>
      <c r="AB90" s="137">
        <f>Transportation_LCIA!F$61*($W90^Transportation_LCIA!F$60)+Transportation_LCIA!F$62</f>
        <v>0.28618318016419964</v>
      </c>
      <c r="AC90" s="137">
        <f>Transportation_LCIA!G$61*($W90^Transportation_LCIA!G$60)+Transportation_LCIA!G$62</f>
        <v>7.0382405916778926E-2</v>
      </c>
      <c r="AD90" s="137">
        <f>Transportation_LCIA!H$61*($W90^Transportation_LCIA!H$60)+Transportation_LCIA!H$62</f>
        <v>3.6306879462450609E-4</v>
      </c>
      <c r="AE90" s="137">
        <f>Transportation_LCIA!I$61*($W90^Transportation_LCIA!I$60)+Transportation_LCIA!I$62</f>
        <v>8.1100647661309928E-6</v>
      </c>
      <c r="AF90" s="137">
        <f>Transportation_LCIA!J$61*($W90^Transportation_LCIA!J$60)+Transportation_LCIA!J$62</f>
        <v>1.2041348839796951E-2</v>
      </c>
      <c r="AG90" s="137">
        <f>Transportation_LCIA!K$61*($W90^Transportation_LCIA!K$60)+Transportation_LCIA!K$62</f>
        <v>1.5268865092569082E-2</v>
      </c>
      <c r="AH90" s="137">
        <f>Transportation_LCIA!L$61*($W90^Transportation_LCIA!L$60)+Transportation_LCIA!L$62</f>
        <v>3.193834659249564E-4</v>
      </c>
      <c r="AI90" s="137">
        <f>Transportation_LCIA!M$61*($W90^Transportation_LCIA!M$60)+Transportation_LCIA!M$62</f>
        <v>2.9123459332568592E-4</v>
      </c>
      <c r="AJ90" s="137">
        <f>Transportation_LCIA!N$61*($W90^Transportation_LCIA!N$60)+Transportation_LCIA!N$62</f>
        <v>1.2797222196284355E-3</v>
      </c>
      <c r="AK90" s="137">
        <f>Transportation_LCIA!O$61*($W90^Transportation_LCIA!O$60)+Transportation_LCIA!O$62</f>
        <v>7.4458081336171384E-5</v>
      </c>
      <c r="AL90" s="137">
        <f>Transportation_LCIA!P$61*($W90^Transportation_LCIA!P$60)+Transportation_LCIA!P$62</f>
        <v>3.5962723058234319E-8</v>
      </c>
      <c r="AM90" s="137">
        <f>Transportation_LCIA!Q$61*($W90^Transportation_LCIA!Q$60)+Transportation_LCIA!Q$62</f>
        <v>1.2607962162909455E-4</v>
      </c>
      <c r="AN90" s="137">
        <f>Transportation_LCIA!R$61*($W90^Transportation_LCIA!R$60)+Transportation_LCIA!R$62</f>
        <v>3.8976595565047854E-4</v>
      </c>
      <c r="AO90" s="137">
        <f>Transportation_LCIA!S$61*($W90^Transportation_LCIA!S$60)+Transportation_LCIA!S$62</f>
        <v>5.7884928967616082E-6</v>
      </c>
      <c r="AP90" s="137">
        <f>Transportation_LCIA!T$61*($W90^Transportation_LCIA!T$60)+Transportation_LCIA!T$62</f>
        <v>5.7884928967616082E-6</v>
      </c>
      <c r="AQ90" s="137">
        <f>Transportation_LCIA!U$61*($W90^Transportation_LCIA!U$60)+Transportation_LCIA!U$62</f>
        <v>8.418249291876381E-4</v>
      </c>
      <c r="AR90" s="137">
        <f>Transportation_LCIA!V$61*($W90^Transportation_LCIA!V$60)+Transportation_LCIA!V$62</f>
        <v>3.2804857778078551E-4</v>
      </c>
      <c r="AT90" s="137">
        <f>$W90*Y90+$L90*Summary_LCIA!H$32</f>
        <v>199.52456852799122</v>
      </c>
      <c r="AU90" s="137">
        <f>$W90*Z90+$L90*Summary_LCIA!Q$32</f>
        <v>2142.2742859597438</v>
      </c>
      <c r="AV90" s="137">
        <f>$W90*AA90+$L90*Summary_LCIA!R$32</f>
        <v>1.166104268865984</v>
      </c>
      <c r="AW90" s="137">
        <f>$W90*AB90+$L90*Summary_LCIA!S$32</f>
        <v>199.40115770799122</v>
      </c>
      <c r="AX90" s="137">
        <f>$W90*AC90+$L90*Summary_LCIA!T$32</f>
        <v>49.805234437147334</v>
      </c>
      <c r="AY90" s="137">
        <f>$W90*AD90+$L90*Summary_LCIA!U$32</f>
        <v>0.74126891236141601</v>
      </c>
      <c r="AZ90" s="137">
        <f>$W90*AE90+$L90*Summary_LCIA!V$32</f>
        <v>6.7189404114780214E-3</v>
      </c>
      <c r="BA90" s="137">
        <f>$W90*AF90+$L90*Summary_LCIA!W$32</f>
        <v>10.145041787981082</v>
      </c>
      <c r="BB90" s="137">
        <f>$W90*AG90+$L90*Summary_LCIA!X$32</f>
        <v>10.775174022563094</v>
      </c>
      <c r="BC90" s="137">
        <f>$W90*AH90+$L90*Summary_LCIA!Y$32</f>
        <v>0.64714834480138506</v>
      </c>
      <c r="BD90" s="137">
        <f>$W90*AI90+$L90*Summary_LCIA!Z$32</f>
        <v>0.19453636424375126</v>
      </c>
      <c r="BE90" s="137">
        <f>$W90*AJ90+$L90*Summary_LCIA!AA$32</f>
        <v>1.5019093225699471</v>
      </c>
      <c r="BF90" s="137">
        <f>$W90*AK90+$L90*Summary_LCIA!AB$32</f>
        <v>4.8833807116451702E-2</v>
      </c>
      <c r="BG90" s="137">
        <f>$W90*AL90+$L90*Summary_LCIA!AC$32</f>
        <v>2.5245568461130181E-5</v>
      </c>
      <c r="BH90" s="137">
        <f>$W90*AM90+$L90*Summary_LCIA!AD$32</f>
        <v>9.5198530609355819E-2</v>
      </c>
      <c r="BI90" s="137">
        <f>$W90*AN90+$L90*Summary_LCIA!AE$32</f>
        <v>0.28356173072087087</v>
      </c>
      <c r="BJ90" s="137">
        <f>$W90*AO90+$L90*Summary_LCIA!AF$32</f>
        <v>2.7448761303597968E-2</v>
      </c>
      <c r="BK90" s="137">
        <f>$W90*AP90+$L90*Summary_LCIA!AG$32</f>
        <v>5.2723674485979661E-3</v>
      </c>
      <c r="BL90" s="137">
        <f>$W90*AQ90+$L90*Summary_LCIA!AH$32</f>
        <v>0.80201844676342149</v>
      </c>
      <c r="BM90" s="137">
        <f>$W90*AR90+$L90*Summary_LCIA!AI$32</f>
        <v>0.24384710922285774</v>
      </c>
    </row>
    <row r="91" spans="1:65" x14ac:dyDescent="0.25">
      <c r="A91" s="149">
        <v>300</v>
      </c>
      <c r="B91" s="149">
        <v>6</v>
      </c>
      <c r="C91" s="61">
        <v>40.440624999999997</v>
      </c>
      <c r="D91" s="61">
        <v>-79.995885999999999</v>
      </c>
      <c r="E91" s="61" t="s">
        <v>265</v>
      </c>
      <c r="F91" s="149">
        <v>106</v>
      </c>
      <c r="G91" s="61" t="s">
        <v>266</v>
      </c>
      <c r="H91" s="61" t="s">
        <v>669</v>
      </c>
      <c r="I91" s="61">
        <v>40.491920999999998</v>
      </c>
      <c r="J91" s="61">
        <v>-80.235223000000005</v>
      </c>
      <c r="K91" s="61">
        <v>21.391265860000001</v>
      </c>
      <c r="L91" s="61">
        <v>27.920999999999999</v>
      </c>
      <c r="M91" s="61" t="s">
        <v>617</v>
      </c>
      <c r="N91" s="149">
        <v>5</v>
      </c>
      <c r="O91" s="149">
        <v>6</v>
      </c>
      <c r="P91" s="61" t="s">
        <v>565</v>
      </c>
      <c r="Q91" s="61" t="s">
        <v>564</v>
      </c>
      <c r="R91" s="61">
        <v>41.98028</v>
      </c>
      <c r="S91" s="61">
        <v>-87.908997900000003</v>
      </c>
      <c r="T91" s="61">
        <v>768.74900000000002</v>
      </c>
      <c r="U91" s="61" t="s">
        <v>617</v>
      </c>
      <c r="V91" s="61" t="s">
        <v>569</v>
      </c>
      <c r="W91" s="61" cm="1">
        <f t="array" ref="W91">getDistance(I91,J91,R91,S91)*SA!$B$12</f>
        <v>664.03976858093529</v>
      </c>
      <c r="X91" s="61"/>
      <c r="Y91" s="137">
        <f>Transportation_LCIA!C$61*($W91^Transportation_LCIA!C$60)+Transportation_LCIA!C$62</f>
        <v>0.28618318016419964</v>
      </c>
      <c r="Z91" s="137">
        <f>Transportation_LCIA!D$61*($W91^Transportation_LCIA!D$60)+Transportation_LCIA!D$62</f>
        <v>3.0177355282535454</v>
      </c>
      <c r="AA91" s="137">
        <f>Transportation_LCIA!E$61*($W91^Transportation_LCIA!E$60)+Transportation_LCIA!E$62</f>
        <v>1.5346723185627621E-3</v>
      </c>
      <c r="AB91" s="137">
        <f>Transportation_LCIA!F$61*($W91^Transportation_LCIA!F$60)+Transportation_LCIA!F$62</f>
        <v>0.28618318016419964</v>
      </c>
      <c r="AC91" s="137">
        <f>Transportation_LCIA!G$61*($W91^Transportation_LCIA!G$60)+Transportation_LCIA!G$62</f>
        <v>7.0382405916778926E-2</v>
      </c>
      <c r="AD91" s="137">
        <f>Transportation_LCIA!H$61*($W91^Transportation_LCIA!H$60)+Transportation_LCIA!H$62</f>
        <v>3.6306879462450609E-4</v>
      </c>
      <c r="AE91" s="137">
        <f>Transportation_LCIA!I$61*($W91^Transportation_LCIA!I$60)+Transportation_LCIA!I$62</f>
        <v>8.1100647661309928E-6</v>
      </c>
      <c r="AF91" s="137">
        <f>Transportation_LCIA!J$61*($W91^Transportation_LCIA!J$60)+Transportation_LCIA!J$62</f>
        <v>1.2041348839796951E-2</v>
      </c>
      <c r="AG91" s="137">
        <f>Transportation_LCIA!K$61*($W91^Transportation_LCIA!K$60)+Transportation_LCIA!K$62</f>
        <v>1.5268865092569082E-2</v>
      </c>
      <c r="AH91" s="137">
        <f>Transportation_LCIA!L$61*($W91^Transportation_LCIA!L$60)+Transportation_LCIA!L$62</f>
        <v>3.193834659249564E-4</v>
      </c>
      <c r="AI91" s="137">
        <f>Transportation_LCIA!M$61*($W91^Transportation_LCIA!M$60)+Transportation_LCIA!M$62</f>
        <v>2.9123459332568592E-4</v>
      </c>
      <c r="AJ91" s="137">
        <f>Transportation_LCIA!N$61*($W91^Transportation_LCIA!N$60)+Transportation_LCIA!N$62</f>
        <v>1.2797222196284355E-3</v>
      </c>
      <c r="AK91" s="137">
        <f>Transportation_LCIA!O$61*($W91^Transportation_LCIA!O$60)+Transportation_LCIA!O$62</f>
        <v>7.4458081336171384E-5</v>
      </c>
      <c r="AL91" s="137">
        <f>Transportation_LCIA!P$61*($W91^Transportation_LCIA!P$60)+Transportation_LCIA!P$62</f>
        <v>3.5962723058234319E-8</v>
      </c>
      <c r="AM91" s="137">
        <f>Transportation_LCIA!Q$61*($W91^Transportation_LCIA!Q$60)+Transportation_LCIA!Q$62</f>
        <v>1.2607962162909455E-4</v>
      </c>
      <c r="AN91" s="137">
        <f>Transportation_LCIA!R$61*($W91^Transportation_LCIA!R$60)+Transportation_LCIA!R$62</f>
        <v>3.8976595565047854E-4</v>
      </c>
      <c r="AO91" s="137">
        <f>Transportation_LCIA!S$61*($W91^Transportation_LCIA!S$60)+Transportation_LCIA!S$62</f>
        <v>5.7884928967616082E-6</v>
      </c>
      <c r="AP91" s="137">
        <f>Transportation_LCIA!T$61*($W91^Transportation_LCIA!T$60)+Transportation_LCIA!T$62</f>
        <v>5.7884928967616082E-6</v>
      </c>
      <c r="AQ91" s="137">
        <f>Transportation_LCIA!U$61*($W91^Transportation_LCIA!U$60)+Transportation_LCIA!U$62</f>
        <v>8.418249291876381E-4</v>
      </c>
      <c r="AR91" s="137">
        <f>Transportation_LCIA!V$61*($W91^Transportation_LCIA!V$60)+Transportation_LCIA!V$62</f>
        <v>3.2804857778078551E-4</v>
      </c>
      <c r="AT91" s="137">
        <f>$W91*Y91+$L91*Summary_LCIA!H$32</f>
        <v>199.52456852799122</v>
      </c>
      <c r="AU91" s="137">
        <f>$W91*Z91+$L91*Summary_LCIA!Q$32</f>
        <v>2142.2742859597438</v>
      </c>
      <c r="AV91" s="137">
        <f>$W91*AA91+$L91*Summary_LCIA!R$32</f>
        <v>1.166104268865984</v>
      </c>
      <c r="AW91" s="137">
        <f>$W91*AB91+$L91*Summary_LCIA!S$32</f>
        <v>199.40115770799122</v>
      </c>
      <c r="AX91" s="137">
        <f>$W91*AC91+$L91*Summary_LCIA!T$32</f>
        <v>49.805234437147334</v>
      </c>
      <c r="AY91" s="137">
        <f>$W91*AD91+$L91*Summary_LCIA!U$32</f>
        <v>0.74126891236141601</v>
      </c>
      <c r="AZ91" s="137">
        <f>$W91*AE91+$L91*Summary_LCIA!V$32</f>
        <v>6.7189404114780214E-3</v>
      </c>
      <c r="BA91" s="137">
        <f>$W91*AF91+$L91*Summary_LCIA!W$32</f>
        <v>10.145041787981082</v>
      </c>
      <c r="BB91" s="137">
        <f>$W91*AG91+$L91*Summary_LCIA!X$32</f>
        <v>10.775174022563094</v>
      </c>
      <c r="BC91" s="137">
        <f>$W91*AH91+$L91*Summary_LCIA!Y$32</f>
        <v>0.64714834480138506</v>
      </c>
      <c r="BD91" s="137">
        <f>$W91*AI91+$L91*Summary_LCIA!Z$32</f>
        <v>0.19453636424375126</v>
      </c>
      <c r="BE91" s="137">
        <f>$W91*AJ91+$L91*Summary_LCIA!AA$32</f>
        <v>1.5019093225699471</v>
      </c>
      <c r="BF91" s="137">
        <f>$W91*AK91+$L91*Summary_LCIA!AB$32</f>
        <v>4.8833807116451702E-2</v>
      </c>
      <c r="BG91" s="137">
        <f>$W91*AL91+$L91*Summary_LCIA!AC$32</f>
        <v>2.5245568461130181E-5</v>
      </c>
      <c r="BH91" s="137">
        <f>$W91*AM91+$L91*Summary_LCIA!AD$32</f>
        <v>9.5198530609355819E-2</v>
      </c>
      <c r="BI91" s="137">
        <f>$W91*AN91+$L91*Summary_LCIA!AE$32</f>
        <v>0.28356173072087087</v>
      </c>
      <c r="BJ91" s="137">
        <f>$W91*AO91+$L91*Summary_LCIA!AF$32</f>
        <v>2.7448761303597968E-2</v>
      </c>
      <c r="BK91" s="137">
        <f>$W91*AP91+$L91*Summary_LCIA!AG$32</f>
        <v>5.2723674485979661E-3</v>
      </c>
      <c r="BL91" s="137">
        <f>$W91*AQ91+$L91*Summary_LCIA!AH$32</f>
        <v>0.80201844676342149</v>
      </c>
      <c r="BM91" s="137">
        <f>$W91*AR91+$L91*Summary_LCIA!AI$32</f>
        <v>0.24384710922285774</v>
      </c>
    </row>
    <row r="92" spans="1:65" x14ac:dyDescent="0.25">
      <c r="A92" s="149">
        <v>301</v>
      </c>
      <c r="B92" s="149">
        <v>6</v>
      </c>
      <c r="C92" s="61">
        <v>40.440624999999997</v>
      </c>
      <c r="D92" s="61">
        <v>-79.995885999999999</v>
      </c>
      <c r="E92" s="61" t="s">
        <v>265</v>
      </c>
      <c r="F92" s="149">
        <v>106</v>
      </c>
      <c r="G92" s="61" t="s">
        <v>266</v>
      </c>
      <c r="H92" s="61" t="s">
        <v>669</v>
      </c>
      <c r="I92" s="61">
        <v>40.491920999999998</v>
      </c>
      <c r="J92" s="61">
        <v>-80.235223000000005</v>
      </c>
      <c r="K92" s="61">
        <v>21.391265860000001</v>
      </c>
      <c r="L92" s="61">
        <v>27.920999999999999</v>
      </c>
      <c r="M92" s="61" t="s">
        <v>617</v>
      </c>
      <c r="N92" s="149">
        <v>5</v>
      </c>
      <c r="O92" s="149">
        <v>6</v>
      </c>
      <c r="P92" s="61" t="s">
        <v>565</v>
      </c>
      <c r="Q92" s="61" t="s">
        <v>564</v>
      </c>
      <c r="R92" s="61">
        <v>41.98028</v>
      </c>
      <c r="S92" s="61">
        <v>-87.908997900000003</v>
      </c>
      <c r="T92" s="61">
        <v>768.74900000000002</v>
      </c>
      <c r="U92" s="61" t="s">
        <v>617</v>
      </c>
      <c r="V92" s="61" t="s">
        <v>569</v>
      </c>
      <c r="W92" s="61" cm="1">
        <f t="array" ref="W92">getDistance(I92,J92,R92,S92)*SA!$B$12</f>
        <v>664.03976858093529</v>
      </c>
      <c r="X92" s="61"/>
      <c r="Y92" s="137">
        <f>Transportation_LCIA!C$61*($W92^Transportation_LCIA!C$60)+Transportation_LCIA!C$62</f>
        <v>0.28618318016419964</v>
      </c>
      <c r="Z92" s="137">
        <f>Transportation_LCIA!D$61*($W92^Transportation_LCIA!D$60)+Transportation_LCIA!D$62</f>
        <v>3.0177355282535454</v>
      </c>
      <c r="AA92" s="137">
        <f>Transportation_LCIA!E$61*($W92^Transportation_LCIA!E$60)+Transportation_LCIA!E$62</f>
        <v>1.5346723185627621E-3</v>
      </c>
      <c r="AB92" s="137">
        <f>Transportation_LCIA!F$61*($W92^Transportation_LCIA!F$60)+Transportation_LCIA!F$62</f>
        <v>0.28618318016419964</v>
      </c>
      <c r="AC92" s="137">
        <f>Transportation_LCIA!G$61*($W92^Transportation_LCIA!G$60)+Transportation_LCIA!G$62</f>
        <v>7.0382405916778926E-2</v>
      </c>
      <c r="AD92" s="137">
        <f>Transportation_LCIA!H$61*($W92^Transportation_LCIA!H$60)+Transportation_LCIA!H$62</f>
        <v>3.6306879462450609E-4</v>
      </c>
      <c r="AE92" s="137">
        <f>Transportation_LCIA!I$61*($W92^Transportation_LCIA!I$60)+Transportation_LCIA!I$62</f>
        <v>8.1100647661309928E-6</v>
      </c>
      <c r="AF92" s="137">
        <f>Transportation_LCIA!J$61*($W92^Transportation_LCIA!J$60)+Transportation_LCIA!J$62</f>
        <v>1.2041348839796951E-2</v>
      </c>
      <c r="AG92" s="137">
        <f>Transportation_LCIA!K$61*($W92^Transportation_LCIA!K$60)+Transportation_LCIA!K$62</f>
        <v>1.5268865092569082E-2</v>
      </c>
      <c r="AH92" s="137">
        <f>Transportation_LCIA!L$61*($W92^Transportation_LCIA!L$60)+Transportation_LCIA!L$62</f>
        <v>3.193834659249564E-4</v>
      </c>
      <c r="AI92" s="137">
        <f>Transportation_LCIA!M$61*($W92^Transportation_LCIA!M$60)+Transportation_LCIA!M$62</f>
        <v>2.9123459332568592E-4</v>
      </c>
      <c r="AJ92" s="137">
        <f>Transportation_LCIA!N$61*($W92^Transportation_LCIA!N$60)+Transportation_LCIA!N$62</f>
        <v>1.2797222196284355E-3</v>
      </c>
      <c r="AK92" s="137">
        <f>Transportation_LCIA!O$61*($W92^Transportation_LCIA!O$60)+Transportation_LCIA!O$62</f>
        <v>7.4458081336171384E-5</v>
      </c>
      <c r="AL92" s="137">
        <f>Transportation_LCIA!P$61*($W92^Transportation_LCIA!P$60)+Transportation_LCIA!P$62</f>
        <v>3.5962723058234319E-8</v>
      </c>
      <c r="AM92" s="137">
        <f>Transportation_LCIA!Q$61*($W92^Transportation_LCIA!Q$60)+Transportation_LCIA!Q$62</f>
        <v>1.2607962162909455E-4</v>
      </c>
      <c r="AN92" s="137">
        <f>Transportation_LCIA!R$61*($W92^Transportation_LCIA!R$60)+Transportation_LCIA!R$62</f>
        <v>3.8976595565047854E-4</v>
      </c>
      <c r="AO92" s="137">
        <f>Transportation_LCIA!S$61*($W92^Transportation_LCIA!S$60)+Transportation_LCIA!S$62</f>
        <v>5.7884928967616082E-6</v>
      </c>
      <c r="AP92" s="137">
        <f>Transportation_LCIA!T$61*($W92^Transportation_LCIA!T$60)+Transportation_LCIA!T$62</f>
        <v>5.7884928967616082E-6</v>
      </c>
      <c r="AQ92" s="137">
        <f>Transportation_LCIA!U$61*($W92^Transportation_LCIA!U$60)+Transportation_LCIA!U$62</f>
        <v>8.418249291876381E-4</v>
      </c>
      <c r="AR92" s="137">
        <f>Transportation_LCIA!V$61*($W92^Transportation_LCIA!V$60)+Transportation_LCIA!V$62</f>
        <v>3.2804857778078551E-4</v>
      </c>
      <c r="AT92" s="137">
        <f>$W92*Y92+$L92*Summary_LCIA!H$32</f>
        <v>199.52456852799122</v>
      </c>
      <c r="AU92" s="137">
        <f>$W92*Z92+$L92*Summary_LCIA!Q$32</f>
        <v>2142.2742859597438</v>
      </c>
      <c r="AV92" s="137">
        <f>$W92*AA92+$L92*Summary_LCIA!R$32</f>
        <v>1.166104268865984</v>
      </c>
      <c r="AW92" s="137">
        <f>$W92*AB92+$L92*Summary_LCIA!S$32</f>
        <v>199.40115770799122</v>
      </c>
      <c r="AX92" s="137">
        <f>$W92*AC92+$L92*Summary_LCIA!T$32</f>
        <v>49.805234437147334</v>
      </c>
      <c r="AY92" s="137">
        <f>$W92*AD92+$L92*Summary_LCIA!U$32</f>
        <v>0.74126891236141601</v>
      </c>
      <c r="AZ92" s="137">
        <f>$W92*AE92+$L92*Summary_LCIA!V$32</f>
        <v>6.7189404114780214E-3</v>
      </c>
      <c r="BA92" s="137">
        <f>$W92*AF92+$L92*Summary_LCIA!W$32</f>
        <v>10.145041787981082</v>
      </c>
      <c r="BB92" s="137">
        <f>$W92*AG92+$L92*Summary_LCIA!X$32</f>
        <v>10.775174022563094</v>
      </c>
      <c r="BC92" s="137">
        <f>$W92*AH92+$L92*Summary_LCIA!Y$32</f>
        <v>0.64714834480138506</v>
      </c>
      <c r="BD92" s="137">
        <f>$W92*AI92+$L92*Summary_LCIA!Z$32</f>
        <v>0.19453636424375126</v>
      </c>
      <c r="BE92" s="137">
        <f>$W92*AJ92+$L92*Summary_LCIA!AA$32</f>
        <v>1.5019093225699471</v>
      </c>
      <c r="BF92" s="137">
        <f>$W92*AK92+$L92*Summary_LCIA!AB$32</f>
        <v>4.8833807116451702E-2</v>
      </c>
      <c r="BG92" s="137">
        <f>$W92*AL92+$L92*Summary_LCIA!AC$32</f>
        <v>2.5245568461130181E-5</v>
      </c>
      <c r="BH92" s="137">
        <f>$W92*AM92+$L92*Summary_LCIA!AD$32</f>
        <v>9.5198530609355819E-2</v>
      </c>
      <c r="BI92" s="137">
        <f>$W92*AN92+$L92*Summary_LCIA!AE$32</f>
        <v>0.28356173072087087</v>
      </c>
      <c r="BJ92" s="137">
        <f>$W92*AO92+$L92*Summary_LCIA!AF$32</f>
        <v>2.7448761303597968E-2</v>
      </c>
      <c r="BK92" s="137">
        <f>$W92*AP92+$L92*Summary_LCIA!AG$32</f>
        <v>5.2723674485979661E-3</v>
      </c>
      <c r="BL92" s="137">
        <f>$W92*AQ92+$L92*Summary_LCIA!AH$32</f>
        <v>0.80201844676342149</v>
      </c>
      <c r="BM92" s="137">
        <f>$W92*AR92+$L92*Summary_LCIA!AI$32</f>
        <v>0.24384710922285774</v>
      </c>
    </row>
    <row r="93" spans="1:65" x14ac:dyDescent="0.25">
      <c r="A93" s="149">
        <v>302</v>
      </c>
      <c r="B93" s="149">
        <v>6</v>
      </c>
      <c r="C93" s="61">
        <v>40.440624999999997</v>
      </c>
      <c r="D93" s="61">
        <v>-79.995885999999999</v>
      </c>
      <c r="E93" s="61" t="s">
        <v>265</v>
      </c>
      <c r="F93" s="149">
        <v>106</v>
      </c>
      <c r="G93" s="61" t="s">
        <v>266</v>
      </c>
      <c r="H93" s="61" t="s">
        <v>669</v>
      </c>
      <c r="I93" s="61">
        <v>40.491920999999998</v>
      </c>
      <c r="J93" s="61">
        <v>-80.235223000000005</v>
      </c>
      <c r="K93" s="61">
        <v>21.391265860000001</v>
      </c>
      <c r="L93" s="61">
        <v>27.920999999999999</v>
      </c>
      <c r="M93" s="61" t="s">
        <v>617</v>
      </c>
      <c r="N93" s="149">
        <v>5</v>
      </c>
      <c r="O93" s="149">
        <v>6</v>
      </c>
      <c r="P93" s="61" t="s">
        <v>565</v>
      </c>
      <c r="Q93" s="61" t="s">
        <v>564</v>
      </c>
      <c r="R93" s="61">
        <v>41.98028</v>
      </c>
      <c r="S93" s="61">
        <v>-87.908997900000003</v>
      </c>
      <c r="T93" s="61">
        <v>768.74900000000002</v>
      </c>
      <c r="U93" s="61" t="s">
        <v>617</v>
      </c>
      <c r="V93" s="61" t="s">
        <v>569</v>
      </c>
      <c r="W93" s="61" cm="1">
        <f t="array" ref="W93">getDistance(I93,J93,R93,S93)*SA!$B$12</f>
        <v>664.03976858093529</v>
      </c>
      <c r="X93" s="61"/>
      <c r="Y93" s="137">
        <f>Transportation_LCIA!C$61*($W93^Transportation_LCIA!C$60)+Transportation_LCIA!C$62</f>
        <v>0.28618318016419964</v>
      </c>
      <c r="Z93" s="137">
        <f>Transportation_LCIA!D$61*($W93^Transportation_LCIA!D$60)+Transportation_LCIA!D$62</f>
        <v>3.0177355282535454</v>
      </c>
      <c r="AA93" s="137">
        <f>Transportation_LCIA!E$61*($W93^Transportation_LCIA!E$60)+Transportation_LCIA!E$62</f>
        <v>1.5346723185627621E-3</v>
      </c>
      <c r="AB93" s="137">
        <f>Transportation_LCIA!F$61*($W93^Transportation_LCIA!F$60)+Transportation_LCIA!F$62</f>
        <v>0.28618318016419964</v>
      </c>
      <c r="AC93" s="137">
        <f>Transportation_LCIA!G$61*($W93^Transportation_LCIA!G$60)+Transportation_LCIA!G$62</f>
        <v>7.0382405916778926E-2</v>
      </c>
      <c r="AD93" s="137">
        <f>Transportation_LCIA!H$61*($W93^Transportation_LCIA!H$60)+Transportation_LCIA!H$62</f>
        <v>3.6306879462450609E-4</v>
      </c>
      <c r="AE93" s="137">
        <f>Transportation_LCIA!I$61*($W93^Transportation_LCIA!I$60)+Transportation_LCIA!I$62</f>
        <v>8.1100647661309928E-6</v>
      </c>
      <c r="AF93" s="137">
        <f>Transportation_LCIA!J$61*($W93^Transportation_LCIA!J$60)+Transportation_LCIA!J$62</f>
        <v>1.2041348839796951E-2</v>
      </c>
      <c r="AG93" s="137">
        <f>Transportation_LCIA!K$61*($W93^Transportation_LCIA!K$60)+Transportation_LCIA!K$62</f>
        <v>1.5268865092569082E-2</v>
      </c>
      <c r="AH93" s="137">
        <f>Transportation_LCIA!L$61*($W93^Transportation_LCIA!L$60)+Transportation_LCIA!L$62</f>
        <v>3.193834659249564E-4</v>
      </c>
      <c r="AI93" s="137">
        <f>Transportation_LCIA!M$61*($W93^Transportation_LCIA!M$60)+Transportation_LCIA!M$62</f>
        <v>2.9123459332568592E-4</v>
      </c>
      <c r="AJ93" s="137">
        <f>Transportation_LCIA!N$61*($W93^Transportation_LCIA!N$60)+Transportation_LCIA!N$62</f>
        <v>1.2797222196284355E-3</v>
      </c>
      <c r="AK93" s="137">
        <f>Transportation_LCIA!O$61*($W93^Transportation_LCIA!O$60)+Transportation_LCIA!O$62</f>
        <v>7.4458081336171384E-5</v>
      </c>
      <c r="AL93" s="137">
        <f>Transportation_LCIA!P$61*($W93^Transportation_LCIA!P$60)+Transportation_LCIA!P$62</f>
        <v>3.5962723058234319E-8</v>
      </c>
      <c r="AM93" s="137">
        <f>Transportation_LCIA!Q$61*($W93^Transportation_LCIA!Q$60)+Transportation_LCIA!Q$62</f>
        <v>1.2607962162909455E-4</v>
      </c>
      <c r="AN93" s="137">
        <f>Transportation_LCIA!R$61*($W93^Transportation_LCIA!R$60)+Transportation_LCIA!R$62</f>
        <v>3.8976595565047854E-4</v>
      </c>
      <c r="AO93" s="137">
        <f>Transportation_LCIA!S$61*($W93^Transportation_LCIA!S$60)+Transportation_LCIA!S$62</f>
        <v>5.7884928967616082E-6</v>
      </c>
      <c r="AP93" s="137">
        <f>Transportation_LCIA!T$61*($W93^Transportation_LCIA!T$60)+Transportation_LCIA!T$62</f>
        <v>5.7884928967616082E-6</v>
      </c>
      <c r="AQ93" s="137">
        <f>Transportation_LCIA!U$61*($W93^Transportation_LCIA!U$60)+Transportation_LCIA!U$62</f>
        <v>8.418249291876381E-4</v>
      </c>
      <c r="AR93" s="137">
        <f>Transportation_LCIA!V$61*($W93^Transportation_LCIA!V$60)+Transportation_LCIA!V$62</f>
        <v>3.2804857778078551E-4</v>
      </c>
      <c r="AT93" s="137">
        <f>$W93*Y93+$L93*Summary_LCIA!H$32</f>
        <v>199.52456852799122</v>
      </c>
      <c r="AU93" s="137">
        <f>$W93*Z93+$L93*Summary_LCIA!Q$32</f>
        <v>2142.2742859597438</v>
      </c>
      <c r="AV93" s="137">
        <f>$W93*AA93+$L93*Summary_LCIA!R$32</f>
        <v>1.166104268865984</v>
      </c>
      <c r="AW93" s="137">
        <f>$W93*AB93+$L93*Summary_LCIA!S$32</f>
        <v>199.40115770799122</v>
      </c>
      <c r="AX93" s="137">
        <f>$W93*AC93+$L93*Summary_LCIA!T$32</f>
        <v>49.805234437147334</v>
      </c>
      <c r="AY93" s="137">
        <f>$W93*AD93+$L93*Summary_LCIA!U$32</f>
        <v>0.74126891236141601</v>
      </c>
      <c r="AZ93" s="137">
        <f>$W93*AE93+$L93*Summary_LCIA!V$32</f>
        <v>6.7189404114780214E-3</v>
      </c>
      <c r="BA93" s="137">
        <f>$W93*AF93+$L93*Summary_LCIA!W$32</f>
        <v>10.145041787981082</v>
      </c>
      <c r="BB93" s="137">
        <f>$W93*AG93+$L93*Summary_LCIA!X$32</f>
        <v>10.775174022563094</v>
      </c>
      <c r="BC93" s="137">
        <f>$W93*AH93+$L93*Summary_LCIA!Y$32</f>
        <v>0.64714834480138506</v>
      </c>
      <c r="BD93" s="137">
        <f>$W93*AI93+$L93*Summary_LCIA!Z$32</f>
        <v>0.19453636424375126</v>
      </c>
      <c r="BE93" s="137">
        <f>$W93*AJ93+$L93*Summary_LCIA!AA$32</f>
        <v>1.5019093225699471</v>
      </c>
      <c r="BF93" s="137">
        <f>$W93*AK93+$L93*Summary_LCIA!AB$32</f>
        <v>4.8833807116451702E-2</v>
      </c>
      <c r="BG93" s="137">
        <f>$W93*AL93+$L93*Summary_LCIA!AC$32</f>
        <v>2.5245568461130181E-5</v>
      </c>
      <c r="BH93" s="137">
        <f>$W93*AM93+$L93*Summary_LCIA!AD$32</f>
        <v>9.5198530609355819E-2</v>
      </c>
      <c r="BI93" s="137">
        <f>$W93*AN93+$L93*Summary_LCIA!AE$32</f>
        <v>0.28356173072087087</v>
      </c>
      <c r="BJ93" s="137">
        <f>$W93*AO93+$L93*Summary_LCIA!AF$32</f>
        <v>2.7448761303597968E-2</v>
      </c>
      <c r="BK93" s="137">
        <f>$W93*AP93+$L93*Summary_LCIA!AG$32</f>
        <v>5.2723674485979661E-3</v>
      </c>
      <c r="BL93" s="137">
        <f>$W93*AQ93+$L93*Summary_LCIA!AH$32</f>
        <v>0.80201844676342149</v>
      </c>
      <c r="BM93" s="137">
        <f>$W93*AR93+$L93*Summary_LCIA!AI$32</f>
        <v>0.24384710922285774</v>
      </c>
    </row>
    <row r="94" spans="1:65" x14ac:dyDescent="0.25">
      <c r="A94" s="149">
        <v>95</v>
      </c>
      <c r="B94" s="149">
        <v>6</v>
      </c>
      <c r="C94" s="61">
        <v>40.444389999999999</v>
      </c>
      <c r="D94" s="61">
        <v>-79.953412999999998</v>
      </c>
      <c r="E94" s="61" t="s">
        <v>265</v>
      </c>
      <c r="F94" s="149">
        <v>106</v>
      </c>
      <c r="G94" s="61" t="s">
        <v>266</v>
      </c>
      <c r="H94" s="61" t="s">
        <v>669</v>
      </c>
      <c r="I94" s="61">
        <v>40.491920999999998</v>
      </c>
      <c r="J94" s="61">
        <v>-80.235223000000005</v>
      </c>
      <c r="K94" s="61">
        <v>24.630663819999999</v>
      </c>
      <c r="L94" s="61">
        <v>31.443999999999999</v>
      </c>
      <c r="M94" s="61" t="s">
        <v>617</v>
      </c>
      <c r="N94" s="149">
        <v>5</v>
      </c>
      <c r="O94" s="149">
        <v>6</v>
      </c>
      <c r="P94" s="61" t="s">
        <v>565</v>
      </c>
      <c r="Q94" s="61" t="s">
        <v>564</v>
      </c>
      <c r="R94" s="61">
        <v>41.98028</v>
      </c>
      <c r="S94" s="61">
        <v>-87.908997900000003</v>
      </c>
      <c r="T94" s="61">
        <v>772.90899999999999</v>
      </c>
      <c r="U94" s="61" t="s">
        <v>617</v>
      </c>
      <c r="V94" s="61" t="s">
        <v>569</v>
      </c>
      <c r="W94" s="61" cm="1">
        <f t="array" ref="W94">getDistance(I94,J94,R94,S94)*SA!$B$12</f>
        <v>664.03976858093529</v>
      </c>
      <c r="X94" s="61"/>
      <c r="Y94" s="137">
        <f>Transportation_LCIA!C$61*($W94^Transportation_LCIA!C$60)+Transportation_LCIA!C$62</f>
        <v>0.28618318016419964</v>
      </c>
      <c r="Z94" s="137">
        <f>Transportation_LCIA!D$61*($W94^Transportation_LCIA!D$60)+Transportation_LCIA!D$62</f>
        <v>3.0177355282535454</v>
      </c>
      <c r="AA94" s="137">
        <f>Transportation_LCIA!E$61*($W94^Transportation_LCIA!E$60)+Transportation_LCIA!E$62</f>
        <v>1.5346723185627621E-3</v>
      </c>
      <c r="AB94" s="137">
        <f>Transportation_LCIA!F$61*($W94^Transportation_LCIA!F$60)+Transportation_LCIA!F$62</f>
        <v>0.28618318016419964</v>
      </c>
      <c r="AC94" s="137">
        <f>Transportation_LCIA!G$61*($W94^Transportation_LCIA!G$60)+Transportation_LCIA!G$62</f>
        <v>7.0382405916778926E-2</v>
      </c>
      <c r="AD94" s="137">
        <f>Transportation_LCIA!H$61*($W94^Transportation_LCIA!H$60)+Transportation_LCIA!H$62</f>
        <v>3.6306879462450609E-4</v>
      </c>
      <c r="AE94" s="137">
        <f>Transportation_LCIA!I$61*($W94^Transportation_LCIA!I$60)+Transportation_LCIA!I$62</f>
        <v>8.1100647661309928E-6</v>
      </c>
      <c r="AF94" s="137">
        <f>Transportation_LCIA!J$61*($W94^Transportation_LCIA!J$60)+Transportation_LCIA!J$62</f>
        <v>1.2041348839796951E-2</v>
      </c>
      <c r="AG94" s="137">
        <f>Transportation_LCIA!K$61*($W94^Transportation_LCIA!K$60)+Transportation_LCIA!K$62</f>
        <v>1.5268865092569082E-2</v>
      </c>
      <c r="AH94" s="137">
        <f>Transportation_LCIA!L$61*($W94^Transportation_LCIA!L$60)+Transportation_LCIA!L$62</f>
        <v>3.193834659249564E-4</v>
      </c>
      <c r="AI94" s="137">
        <f>Transportation_LCIA!M$61*($W94^Transportation_LCIA!M$60)+Transportation_LCIA!M$62</f>
        <v>2.9123459332568592E-4</v>
      </c>
      <c r="AJ94" s="137">
        <f>Transportation_LCIA!N$61*($W94^Transportation_LCIA!N$60)+Transportation_LCIA!N$62</f>
        <v>1.2797222196284355E-3</v>
      </c>
      <c r="AK94" s="137">
        <f>Transportation_LCIA!O$61*($W94^Transportation_LCIA!O$60)+Transportation_LCIA!O$62</f>
        <v>7.4458081336171384E-5</v>
      </c>
      <c r="AL94" s="137">
        <f>Transportation_LCIA!P$61*($W94^Transportation_LCIA!P$60)+Transportation_LCIA!P$62</f>
        <v>3.5962723058234319E-8</v>
      </c>
      <c r="AM94" s="137">
        <f>Transportation_LCIA!Q$61*($W94^Transportation_LCIA!Q$60)+Transportation_LCIA!Q$62</f>
        <v>1.2607962162909455E-4</v>
      </c>
      <c r="AN94" s="137">
        <f>Transportation_LCIA!R$61*($W94^Transportation_LCIA!R$60)+Transportation_LCIA!R$62</f>
        <v>3.8976595565047854E-4</v>
      </c>
      <c r="AO94" s="137">
        <f>Transportation_LCIA!S$61*($W94^Transportation_LCIA!S$60)+Transportation_LCIA!S$62</f>
        <v>5.7884928967616082E-6</v>
      </c>
      <c r="AP94" s="137">
        <f>Transportation_LCIA!T$61*($W94^Transportation_LCIA!T$60)+Transportation_LCIA!T$62</f>
        <v>5.7884928967616082E-6</v>
      </c>
      <c r="AQ94" s="137">
        <f>Transportation_LCIA!U$61*($W94^Transportation_LCIA!U$60)+Transportation_LCIA!U$62</f>
        <v>8.418249291876381E-4</v>
      </c>
      <c r="AR94" s="137">
        <f>Transportation_LCIA!V$61*($W94^Transportation_LCIA!V$60)+Transportation_LCIA!V$62</f>
        <v>3.2804857778078551E-4</v>
      </c>
      <c r="AT94" s="137">
        <f>$W94*Y94+$L94*Summary_LCIA!H$32</f>
        <v>200.72168392799122</v>
      </c>
      <c r="AU94" s="137">
        <f>$W94*Z94+$L94*Summary_LCIA!Q$32</f>
        <v>2159.7344516352027</v>
      </c>
      <c r="AV94" s="137">
        <f>$W94*AA94+$L94*Summary_LCIA!R$32</f>
        <v>1.1846549776659838</v>
      </c>
      <c r="AW94" s="137">
        <f>$W94*AB94+$L94*Summary_LCIA!S$32</f>
        <v>200.58270144799121</v>
      </c>
      <c r="AX94" s="137">
        <f>$W94*AC94+$L94*Summary_LCIA!T$32</f>
        <v>50.192412137147329</v>
      </c>
      <c r="AY94" s="137">
        <f>$W94*AD94+$L94*Summary_LCIA!U$32</f>
        <v>0.80437993436141619</v>
      </c>
      <c r="AZ94" s="137">
        <f>$W94*AE94+$L94*Summary_LCIA!V$32</f>
        <v>6.8872024144780207E-3</v>
      </c>
      <c r="BA94" s="137">
        <f>$W94*AF94+$L94*Summary_LCIA!W$32</f>
        <v>10.416210620981081</v>
      </c>
      <c r="BB94" s="137">
        <f>$W94*AG94+$L94*Summary_LCIA!X$32</f>
        <v>10.855427962563093</v>
      </c>
      <c r="BC94" s="137">
        <f>$W94*AH94+$L94*Summary_LCIA!Y$32</f>
        <v>0.70204373080138516</v>
      </c>
      <c r="BD94" s="137">
        <f>$W94*AI94+$L94*Summary_LCIA!Z$32</f>
        <v>0.19468083895075128</v>
      </c>
      <c r="BE94" s="137">
        <f>$W94*AJ94+$L94*Summary_LCIA!AA$32</f>
        <v>1.584192510569947</v>
      </c>
      <c r="BF94" s="137">
        <f>$W94*AK94+$L94*Summary_LCIA!AB$32</f>
        <v>4.87569246874517E-2</v>
      </c>
      <c r="BG94" s="137">
        <f>$W94*AL94+$L94*Summary_LCIA!AC$32</f>
        <v>2.5417786793130184E-5</v>
      </c>
      <c r="BH94" s="137">
        <f>$W94*AM94+$L94*Summary_LCIA!AD$32</f>
        <v>9.6646624529355823E-2</v>
      </c>
      <c r="BI94" s="137">
        <f>$W94*AN94+$L94*Summary_LCIA!AE$32</f>
        <v>0.28668356671087086</v>
      </c>
      <c r="BJ94" s="137">
        <f>$W94*AO94+$L94*Summary_LCIA!AF$32</f>
        <v>3.042717596359797E-2</v>
      </c>
      <c r="BK94" s="137">
        <f>$W94*AP94+$L94*Summary_LCIA!AG$32</f>
        <v>5.4526217435979657E-3</v>
      </c>
      <c r="BL94" s="137">
        <f>$W94*AQ94+$L94*Summary_LCIA!AH$32</f>
        <v>0.8326812295634215</v>
      </c>
      <c r="BM94" s="137">
        <f>$W94*AR94+$L94*Summary_LCIA!AI$32</f>
        <v>0.24712895987285774</v>
      </c>
    </row>
    <row r="95" spans="1:65" x14ac:dyDescent="0.25">
      <c r="A95" s="149">
        <v>96</v>
      </c>
      <c r="B95" s="149">
        <v>6</v>
      </c>
      <c r="C95" s="61">
        <v>40.444389999999999</v>
      </c>
      <c r="D95" s="61">
        <v>-79.953412999999998</v>
      </c>
      <c r="E95" s="61" t="s">
        <v>265</v>
      </c>
      <c r="F95" s="149">
        <v>106</v>
      </c>
      <c r="G95" s="61" t="s">
        <v>266</v>
      </c>
      <c r="H95" s="61" t="s">
        <v>669</v>
      </c>
      <c r="I95" s="61">
        <v>40.491920999999998</v>
      </c>
      <c r="J95" s="61">
        <v>-80.235223000000005</v>
      </c>
      <c r="K95" s="61">
        <v>24.630663819999999</v>
      </c>
      <c r="L95" s="61">
        <v>31.443999999999999</v>
      </c>
      <c r="M95" s="61" t="s">
        <v>617</v>
      </c>
      <c r="N95" s="149">
        <v>5</v>
      </c>
      <c r="O95" s="149">
        <v>6</v>
      </c>
      <c r="P95" s="61" t="s">
        <v>565</v>
      </c>
      <c r="Q95" s="61" t="s">
        <v>564</v>
      </c>
      <c r="R95" s="61">
        <v>41.98028</v>
      </c>
      <c r="S95" s="61">
        <v>-87.908997900000003</v>
      </c>
      <c r="T95" s="61">
        <v>772.90899999999999</v>
      </c>
      <c r="U95" s="61" t="s">
        <v>617</v>
      </c>
      <c r="V95" s="61" t="s">
        <v>569</v>
      </c>
      <c r="W95" s="61" cm="1">
        <f t="array" ref="W95">getDistance(I95,J95,R95,S95)*SA!$B$12</f>
        <v>664.03976858093529</v>
      </c>
      <c r="X95" s="61"/>
      <c r="Y95" s="137">
        <f>Transportation_LCIA!C$61*($W95^Transportation_LCIA!C$60)+Transportation_LCIA!C$62</f>
        <v>0.28618318016419964</v>
      </c>
      <c r="Z95" s="137">
        <f>Transportation_LCIA!D$61*($W95^Transportation_LCIA!D$60)+Transportation_LCIA!D$62</f>
        <v>3.0177355282535454</v>
      </c>
      <c r="AA95" s="137">
        <f>Transportation_LCIA!E$61*($W95^Transportation_LCIA!E$60)+Transportation_LCIA!E$62</f>
        <v>1.5346723185627621E-3</v>
      </c>
      <c r="AB95" s="137">
        <f>Transportation_LCIA!F$61*($W95^Transportation_LCIA!F$60)+Transportation_LCIA!F$62</f>
        <v>0.28618318016419964</v>
      </c>
      <c r="AC95" s="137">
        <f>Transportation_LCIA!G$61*($W95^Transportation_LCIA!G$60)+Transportation_LCIA!G$62</f>
        <v>7.0382405916778926E-2</v>
      </c>
      <c r="AD95" s="137">
        <f>Transportation_LCIA!H$61*($W95^Transportation_LCIA!H$60)+Transportation_LCIA!H$62</f>
        <v>3.6306879462450609E-4</v>
      </c>
      <c r="AE95" s="137">
        <f>Transportation_LCIA!I$61*($W95^Transportation_LCIA!I$60)+Transportation_LCIA!I$62</f>
        <v>8.1100647661309928E-6</v>
      </c>
      <c r="AF95" s="137">
        <f>Transportation_LCIA!J$61*($W95^Transportation_LCIA!J$60)+Transportation_LCIA!J$62</f>
        <v>1.2041348839796951E-2</v>
      </c>
      <c r="AG95" s="137">
        <f>Transportation_LCIA!K$61*($W95^Transportation_LCIA!K$60)+Transportation_LCIA!K$62</f>
        <v>1.5268865092569082E-2</v>
      </c>
      <c r="AH95" s="137">
        <f>Transportation_LCIA!L$61*($W95^Transportation_LCIA!L$60)+Transportation_LCIA!L$62</f>
        <v>3.193834659249564E-4</v>
      </c>
      <c r="AI95" s="137">
        <f>Transportation_LCIA!M$61*($W95^Transportation_LCIA!M$60)+Transportation_LCIA!M$62</f>
        <v>2.9123459332568592E-4</v>
      </c>
      <c r="AJ95" s="137">
        <f>Transportation_LCIA!N$61*($W95^Transportation_LCIA!N$60)+Transportation_LCIA!N$62</f>
        <v>1.2797222196284355E-3</v>
      </c>
      <c r="AK95" s="137">
        <f>Transportation_LCIA!O$61*($W95^Transportation_LCIA!O$60)+Transportation_LCIA!O$62</f>
        <v>7.4458081336171384E-5</v>
      </c>
      <c r="AL95" s="137">
        <f>Transportation_LCIA!P$61*($W95^Transportation_LCIA!P$60)+Transportation_LCIA!P$62</f>
        <v>3.5962723058234319E-8</v>
      </c>
      <c r="AM95" s="137">
        <f>Transportation_LCIA!Q$61*($W95^Transportation_LCIA!Q$60)+Transportation_LCIA!Q$62</f>
        <v>1.2607962162909455E-4</v>
      </c>
      <c r="AN95" s="137">
        <f>Transportation_LCIA!R$61*($W95^Transportation_LCIA!R$60)+Transportation_LCIA!R$62</f>
        <v>3.8976595565047854E-4</v>
      </c>
      <c r="AO95" s="137">
        <f>Transportation_LCIA!S$61*($W95^Transportation_LCIA!S$60)+Transportation_LCIA!S$62</f>
        <v>5.7884928967616082E-6</v>
      </c>
      <c r="AP95" s="137">
        <f>Transportation_LCIA!T$61*($W95^Transportation_LCIA!T$60)+Transportation_LCIA!T$62</f>
        <v>5.7884928967616082E-6</v>
      </c>
      <c r="AQ95" s="137">
        <f>Transportation_LCIA!U$61*($W95^Transportation_LCIA!U$60)+Transportation_LCIA!U$62</f>
        <v>8.418249291876381E-4</v>
      </c>
      <c r="AR95" s="137">
        <f>Transportation_LCIA!V$61*($W95^Transportation_LCIA!V$60)+Transportation_LCIA!V$62</f>
        <v>3.2804857778078551E-4</v>
      </c>
      <c r="AT95" s="137">
        <f>$W95*Y95+$L95*Summary_LCIA!H$32</f>
        <v>200.72168392799122</v>
      </c>
      <c r="AU95" s="137">
        <f>$W95*Z95+$L95*Summary_LCIA!Q$32</f>
        <v>2159.7344516352027</v>
      </c>
      <c r="AV95" s="137">
        <f>$W95*AA95+$L95*Summary_LCIA!R$32</f>
        <v>1.1846549776659838</v>
      </c>
      <c r="AW95" s="137">
        <f>$W95*AB95+$L95*Summary_LCIA!S$32</f>
        <v>200.58270144799121</v>
      </c>
      <c r="AX95" s="137">
        <f>$W95*AC95+$L95*Summary_LCIA!T$32</f>
        <v>50.192412137147329</v>
      </c>
      <c r="AY95" s="137">
        <f>$W95*AD95+$L95*Summary_LCIA!U$32</f>
        <v>0.80437993436141619</v>
      </c>
      <c r="AZ95" s="137">
        <f>$W95*AE95+$L95*Summary_LCIA!V$32</f>
        <v>6.8872024144780207E-3</v>
      </c>
      <c r="BA95" s="137">
        <f>$W95*AF95+$L95*Summary_LCIA!W$32</f>
        <v>10.416210620981081</v>
      </c>
      <c r="BB95" s="137">
        <f>$W95*AG95+$L95*Summary_LCIA!X$32</f>
        <v>10.855427962563093</v>
      </c>
      <c r="BC95" s="137">
        <f>$W95*AH95+$L95*Summary_LCIA!Y$32</f>
        <v>0.70204373080138516</v>
      </c>
      <c r="BD95" s="137">
        <f>$W95*AI95+$L95*Summary_LCIA!Z$32</f>
        <v>0.19468083895075128</v>
      </c>
      <c r="BE95" s="137">
        <f>$W95*AJ95+$L95*Summary_LCIA!AA$32</f>
        <v>1.584192510569947</v>
      </c>
      <c r="BF95" s="137">
        <f>$W95*AK95+$L95*Summary_LCIA!AB$32</f>
        <v>4.87569246874517E-2</v>
      </c>
      <c r="BG95" s="137">
        <f>$W95*AL95+$L95*Summary_LCIA!AC$32</f>
        <v>2.5417786793130184E-5</v>
      </c>
      <c r="BH95" s="137">
        <f>$W95*AM95+$L95*Summary_LCIA!AD$32</f>
        <v>9.6646624529355823E-2</v>
      </c>
      <c r="BI95" s="137">
        <f>$W95*AN95+$L95*Summary_LCIA!AE$32</f>
        <v>0.28668356671087086</v>
      </c>
      <c r="BJ95" s="137">
        <f>$W95*AO95+$L95*Summary_LCIA!AF$32</f>
        <v>3.042717596359797E-2</v>
      </c>
      <c r="BK95" s="137">
        <f>$W95*AP95+$L95*Summary_LCIA!AG$32</f>
        <v>5.4526217435979657E-3</v>
      </c>
      <c r="BL95" s="137">
        <f>$W95*AQ95+$L95*Summary_LCIA!AH$32</f>
        <v>0.8326812295634215</v>
      </c>
      <c r="BM95" s="137">
        <f>$W95*AR95+$L95*Summary_LCIA!AI$32</f>
        <v>0.24712895987285774</v>
      </c>
    </row>
    <row r="96" spans="1:65" x14ac:dyDescent="0.25">
      <c r="A96" s="149">
        <v>99</v>
      </c>
      <c r="B96" s="149">
        <v>6</v>
      </c>
      <c r="C96" s="61">
        <v>40.444164999999998</v>
      </c>
      <c r="D96" s="61">
        <v>-79.943371999999997</v>
      </c>
      <c r="E96" s="61" t="s">
        <v>265</v>
      </c>
      <c r="F96" s="149">
        <v>106</v>
      </c>
      <c r="G96" s="61" t="s">
        <v>266</v>
      </c>
      <c r="H96" s="61" t="s">
        <v>669</v>
      </c>
      <c r="I96" s="61">
        <v>40.491920999999998</v>
      </c>
      <c r="J96" s="61">
        <v>-80.235223000000005</v>
      </c>
      <c r="K96" s="61">
        <v>25.455054860000001</v>
      </c>
      <c r="L96" s="61">
        <v>32.761000000000003</v>
      </c>
      <c r="M96" s="61" t="s">
        <v>617</v>
      </c>
      <c r="N96" s="149">
        <v>5</v>
      </c>
      <c r="O96" s="149">
        <v>6</v>
      </c>
      <c r="P96" s="61" t="s">
        <v>565</v>
      </c>
      <c r="Q96" s="61" t="s">
        <v>564</v>
      </c>
      <c r="R96" s="61">
        <v>41.98028</v>
      </c>
      <c r="S96" s="61">
        <v>-87.908997900000003</v>
      </c>
      <c r="T96" s="61">
        <v>774.22500000000002</v>
      </c>
      <c r="U96" s="61" t="s">
        <v>617</v>
      </c>
      <c r="V96" s="61" t="s">
        <v>569</v>
      </c>
      <c r="W96" s="61" cm="1">
        <f t="array" ref="W96">getDistance(I96,J96,R96,S96)*SA!$B$12</f>
        <v>664.03976858093529</v>
      </c>
      <c r="X96" s="61"/>
      <c r="Y96" s="137">
        <f>Transportation_LCIA!C$61*($W96^Transportation_LCIA!C$60)+Transportation_LCIA!C$62</f>
        <v>0.28618318016419964</v>
      </c>
      <c r="Z96" s="137">
        <f>Transportation_LCIA!D$61*($W96^Transportation_LCIA!D$60)+Transportation_LCIA!D$62</f>
        <v>3.0177355282535454</v>
      </c>
      <c r="AA96" s="137">
        <f>Transportation_LCIA!E$61*($W96^Transportation_LCIA!E$60)+Transportation_LCIA!E$62</f>
        <v>1.5346723185627621E-3</v>
      </c>
      <c r="AB96" s="137">
        <f>Transportation_LCIA!F$61*($W96^Transportation_LCIA!F$60)+Transportation_LCIA!F$62</f>
        <v>0.28618318016419964</v>
      </c>
      <c r="AC96" s="137">
        <f>Transportation_LCIA!G$61*($W96^Transportation_LCIA!G$60)+Transportation_LCIA!G$62</f>
        <v>7.0382405916778926E-2</v>
      </c>
      <c r="AD96" s="137">
        <f>Transportation_LCIA!H$61*($W96^Transportation_LCIA!H$60)+Transportation_LCIA!H$62</f>
        <v>3.6306879462450609E-4</v>
      </c>
      <c r="AE96" s="137">
        <f>Transportation_LCIA!I$61*($W96^Transportation_LCIA!I$60)+Transportation_LCIA!I$62</f>
        <v>8.1100647661309928E-6</v>
      </c>
      <c r="AF96" s="137">
        <f>Transportation_LCIA!J$61*($W96^Transportation_LCIA!J$60)+Transportation_LCIA!J$62</f>
        <v>1.2041348839796951E-2</v>
      </c>
      <c r="AG96" s="137">
        <f>Transportation_LCIA!K$61*($W96^Transportation_LCIA!K$60)+Transportation_LCIA!K$62</f>
        <v>1.5268865092569082E-2</v>
      </c>
      <c r="AH96" s="137">
        <f>Transportation_LCIA!L$61*($W96^Transportation_LCIA!L$60)+Transportation_LCIA!L$62</f>
        <v>3.193834659249564E-4</v>
      </c>
      <c r="AI96" s="137">
        <f>Transportation_LCIA!M$61*($W96^Transportation_LCIA!M$60)+Transportation_LCIA!M$62</f>
        <v>2.9123459332568592E-4</v>
      </c>
      <c r="AJ96" s="137">
        <f>Transportation_LCIA!N$61*($W96^Transportation_LCIA!N$60)+Transportation_LCIA!N$62</f>
        <v>1.2797222196284355E-3</v>
      </c>
      <c r="AK96" s="137">
        <f>Transportation_LCIA!O$61*($W96^Transportation_LCIA!O$60)+Transportation_LCIA!O$62</f>
        <v>7.4458081336171384E-5</v>
      </c>
      <c r="AL96" s="137">
        <f>Transportation_LCIA!P$61*($W96^Transportation_LCIA!P$60)+Transportation_LCIA!P$62</f>
        <v>3.5962723058234319E-8</v>
      </c>
      <c r="AM96" s="137">
        <f>Transportation_LCIA!Q$61*($W96^Transportation_LCIA!Q$60)+Transportation_LCIA!Q$62</f>
        <v>1.2607962162909455E-4</v>
      </c>
      <c r="AN96" s="137">
        <f>Transportation_LCIA!R$61*($W96^Transportation_LCIA!R$60)+Transportation_LCIA!R$62</f>
        <v>3.8976595565047854E-4</v>
      </c>
      <c r="AO96" s="137">
        <f>Transportation_LCIA!S$61*($W96^Transportation_LCIA!S$60)+Transportation_LCIA!S$62</f>
        <v>5.7884928967616082E-6</v>
      </c>
      <c r="AP96" s="137">
        <f>Transportation_LCIA!T$61*($W96^Transportation_LCIA!T$60)+Transportation_LCIA!T$62</f>
        <v>5.7884928967616082E-6</v>
      </c>
      <c r="AQ96" s="137">
        <f>Transportation_LCIA!U$61*($W96^Transportation_LCIA!U$60)+Transportation_LCIA!U$62</f>
        <v>8.418249291876381E-4</v>
      </c>
      <c r="AR96" s="137">
        <f>Transportation_LCIA!V$61*($W96^Transportation_LCIA!V$60)+Transportation_LCIA!V$62</f>
        <v>3.2804857778078551E-4</v>
      </c>
      <c r="AT96" s="137">
        <f>$W96*Y96+$L96*Summary_LCIA!H$32</f>
        <v>201.16920052799122</v>
      </c>
      <c r="AU96" s="137">
        <f>$W96*Z96+$L96*Summary_LCIA!Q$32</f>
        <v>2166.2615700554638</v>
      </c>
      <c r="AV96" s="137">
        <f>$W96*AA96+$L96*Summary_LCIA!R$32</f>
        <v>1.1915897728659839</v>
      </c>
      <c r="AW96" s="137">
        <f>$W96*AB96+$L96*Summary_LCIA!S$32</f>
        <v>201.02439690799122</v>
      </c>
      <c r="AX96" s="137">
        <f>$W96*AC96+$L96*Summary_LCIA!T$32</f>
        <v>50.337150437147329</v>
      </c>
      <c r="AY96" s="137">
        <f>$W96*AD96+$L96*Summary_LCIA!U$32</f>
        <v>0.82797267236141625</v>
      </c>
      <c r="AZ96" s="137">
        <f>$W96*AE96+$L96*Summary_LCIA!V$32</f>
        <v>6.9501036514780217E-3</v>
      </c>
      <c r="BA96" s="137">
        <f>$W96*AF96+$L96*Summary_LCIA!W$32</f>
        <v>10.517581427981082</v>
      </c>
      <c r="BB96" s="137">
        <f>$W96*AG96+$L96*Summary_LCIA!X$32</f>
        <v>10.885429222563094</v>
      </c>
      <c r="BC96" s="137">
        <f>$W96*AH96+$L96*Summary_LCIA!Y$32</f>
        <v>0.72256522480138519</v>
      </c>
      <c r="BD96" s="137">
        <f>$W96*AI96+$L96*Summary_LCIA!Z$32</f>
        <v>0.19473484780375128</v>
      </c>
      <c r="BE96" s="137">
        <f>$W96*AJ96+$L96*Summary_LCIA!AA$32</f>
        <v>1.6149523625699471</v>
      </c>
      <c r="BF96" s="137">
        <f>$W96*AK96+$L96*Summary_LCIA!AB$32</f>
        <v>4.8728183796451698E-2</v>
      </c>
      <c r="BG96" s="137">
        <f>$W96*AL96+$L96*Summary_LCIA!AC$32</f>
        <v>2.5482167021130183E-5</v>
      </c>
      <c r="BH96" s="137">
        <f>$W96*AM96+$L96*Summary_LCIA!AD$32</f>
        <v>9.7187964209355826E-2</v>
      </c>
      <c r="BI96" s="137">
        <f>$W96*AN96+$L96*Summary_LCIA!AE$32</f>
        <v>0.28785059992087086</v>
      </c>
      <c r="BJ96" s="137">
        <f>$W96*AO96+$L96*Summary_LCIA!AF$32</f>
        <v>3.1540594103597969E-2</v>
      </c>
      <c r="BK96" s="137">
        <f>$W96*AP96+$L96*Summary_LCIA!AG$32</f>
        <v>5.5200060485979668E-3</v>
      </c>
      <c r="BL96" s="137">
        <f>$W96*AQ96+$L96*Summary_LCIA!AH$32</f>
        <v>0.84414387076342146</v>
      </c>
      <c r="BM96" s="137">
        <f>$W96*AR96+$L96*Summary_LCIA!AI$32</f>
        <v>0.24835581122285774</v>
      </c>
    </row>
    <row r="97" spans="1:65" x14ac:dyDescent="0.25">
      <c r="A97" s="149">
        <v>231</v>
      </c>
      <c r="B97" s="149">
        <v>6</v>
      </c>
      <c r="C97" s="61">
        <v>40.356509000000003</v>
      </c>
      <c r="D97" s="61">
        <v>-79.919269999999997</v>
      </c>
      <c r="E97" s="61" t="s">
        <v>265</v>
      </c>
      <c r="F97" s="149">
        <v>106</v>
      </c>
      <c r="G97" s="61" t="s">
        <v>266</v>
      </c>
      <c r="H97" s="61" t="s">
        <v>669</v>
      </c>
      <c r="I97" s="61">
        <v>40.491920999999998</v>
      </c>
      <c r="J97" s="61">
        <v>-80.235223000000005</v>
      </c>
      <c r="K97" s="61">
        <v>33.240134609999998</v>
      </c>
      <c r="L97" s="61">
        <v>45.319000000000003</v>
      </c>
      <c r="M97" s="61" t="s">
        <v>617</v>
      </c>
      <c r="N97" s="149">
        <v>5</v>
      </c>
      <c r="O97" s="149">
        <v>6</v>
      </c>
      <c r="P97" s="61" t="s">
        <v>565</v>
      </c>
      <c r="Q97" s="61" t="s">
        <v>564</v>
      </c>
      <c r="R97" s="61">
        <v>41.98028</v>
      </c>
      <c r="S97" s="61">
        <v>-87.908997900000003</v>
      </c>
      <c r="T97" s="61">
        <v>784.15899999999999</v>
      </c>
      <c r="U97" s="61" t="s">
        <v>617</v>
      </c>
      <c r="V97" s="61" t="s">
        <v>569</v>
      </c>
      <c r="W97" s="61" cm="1">
        <f t="array" ref="W97">getDistance(I97,J97,R97,S97)*SA!$B$12</f>
        <v>664.03976858093529</v>
      </c>
      <c r="X97" s="61"/>
      <c r="Y97" s="137">
        <f>Transportation_LCIA!C$61*($W97^Transportation_LCIA!C$60)+Transportation_LCIA!C$62</f>
        <v>0.28618318016419964</v>
      </c>
      <c r="Z97" s="137">
        <f>Transportation_LCIA!D$61*($W97^Transportation_LCIA!D$60)+Transportation_LCIA!D$62</f>
        <v>3.0177355282535454</v>
      </c>
      <c r="AA97" s="137">
        <f>Transportation_LCIA!E$61*($W97^Transportation_LCIA!E$60)+Transportation_LCIA!E$62</f>
        <v>1.5346723185627621E-3</v>
      </c>
      <c r="AB97" s="137">
        <f>Transportation_LCIA!F$61*($W97^Transportation_LCIA!F$60)+Transportation_LCIA!F$62</f>
        <v>0.28618318016419964</v>
      </c>
      <c r="AC97" s="137">
        <f>Transportation_LCIA!G$61*($W97^Transportation_LCIA!G$60)+Transportation_LCIA!G$62</f>
        <v>7.0382405916778926E-2</v>
      </c>
      <c r="AD97" s="137">
        <f>Transportation_LCIA!H$61*($W97^Transportation_LCIA!H$60)+Transportation_LCIA!H$62</f>
        <v>3.6306879462450609E-4</v>
      </c>
      <c r="AE97" s="137">
        <f>Transportation_LCIA!I$61*($W97^Transportation_LCIA!I$60)+Transportation_LCIA!I$62</f>
        <v>8.1100647661309928E-6</v>
      </c>
      <c r="AF97" s="137">
        <f>Transportation_LCIA!J$61*($W97^Transportation_LCIA!J$60)+Transportation_LCIA!J$62</f>
        <v>1.2041348839796951E-2</v>
      </c>
      <c r="AG97" s="137">
        <f>Transportation_LCIA!K$61*($W97^Transportation_LCIA!K$60)+Transportation_LCIA!K$62</f>
        <v>1.5268865092569082E-2</v>
      </c>
      <c r="AH97" s="137">
        <f>Transportation_LCIA!L$61*($W97^Transportation_LCIA!L$60)+Transportation_LCIA!L$62</f>
        <v>3.193834659249564E-4</v>
      </c>
      <c r="AI97" s="137">
        <f>Transportation_LCIA!M$61*($W97^Transportation_LCIA!M$60)+Transportation_LCIA!M$62</f>
        <v>2.9123459332568592E-4</v>
      </c>
      <c r="AJ97" s="137">
        <f>Transportation_LCIA!N$61*($W97^Transportation_LCIA!N$60)+Transportation_LCIA!N$62</f>
        <v>1.2797222196284355E-3</v>
      </c>
      <c r="AK97" s="137">
        <f>Transportation_LCIA!O$61*($W97^Transportation_LCIA!O$60)+Transportation_LCIA!O$62</f>
        <v>7.4458081336171384E-5</v>
      </c>
      <c r="AL97" s="137">
        <f>Transportation_LCIA!P$61*($W97^Transportation_LCIA!P$60)+Transportation_LCIA!P$62</f>
        <v>3.5962723058234319E-8</v>
      </c>
      <c r="AM97" s="137">
        <f>Transportation_LCIA!Q$61*($W97^Transportation_LCIA!Q$60)+Transportation_LCIA!Q$62</f>
        <v>1.2607962162909455E-4</v>
      </c>
      <c r="AN97" s="137">
        <f>Transportation_LCIA!R$61*($W97^Transportation_LCIA!R$60)+Transportation_LCIA!R$62</f>
        <v>3.8976595565047854E-4</v>
      </c>
      <c r="AO97" s="137">
        <f>Transportation_LCIA!S$61*($W97^Transportation_LCIA!S$60)+Transportation_LCIA!S$62</f>
        <v>5.7884928967616082E-6</v>
      </c>
      <c r="AP97" s="137">
        <f>Transportation_LCIA!T$61*($W97^Transportation_LCIA!T$60)+Transportation_LCIA!T$62</f>
        <v>5.7884928967616082E-6</v>
      </c>
      <c r="AQ97" s="137">
        <f>Transportation_LCIA!U$61*($W97^Transportation_LCIA!U$60)+Transportation_LCIA!U$62</f>
        <v>8.418249291876381E-4</v>
      </c>
      <c r="AR97" s="137">
        <f>Transportation_LCIA!V$61*($W97^Transportation_LCIA!V$60)+Transportation_LCIA!V$62</f>
        <v>3.2804857778078551E-4</v>
      </c>
      <c r="AT97" s="137">
        <f>$W97*Y97+$L97*Summary_LCIA!H$32</f>
        <v>205.43640892799124</v>
      </c>
      <c r="AU97" s="137">
        <f>$W97*Z97+$L97*Summary_LCIA!Q$32</f>
        <v>2228.4996513930778</v>
      </c>
      <c r="AV97" s="137">
        <f>$W97*AA97+$L97*Summary_LCIA!R$32</f>
        <v>1.2577151776659838</v>
      </c>
      <c r="AW97" s="137">
        <f>$W97*AB97+$L97*Summary_LCIA!S$32</f>
        <v>205.23609894799122</v>
      </c>
      <c r="AX97" s="137">
        <f>$W97*AC97+$L97*Summary_LCIA!T$32</f>
        <v>51.717274637147334</v>
      </c>
      <c r="AY97" s="137">
        <f>$W97*AD97+$L97*Summary_LCIA!U$32</f>
        <v>1.0529366843614161</v>
      </c>
      <c r="AZ97" s="137">
        <f>$W97*AE97+$L97*Summary_LCIA!V$32</f>
        <v>7.549886289478021E-3</v>
      </c>
      <c r="BA97" s="137">
        <f>$W97*AF97+$L97*Summary_LCIA!W$32</f>
        <v>11.484183245981082</v>
      </c>
      <c r="BB97" s="137">
        <f>$W97*AG97+$L97*Summary_LCIA!X$32</f>
        <v>11.171500462563094</v>
      </c>
      <c r="BC97" s="137">
        <f>$W97*AH97+$L97*Summary_LCIA!Y$32</f>
        <v>0.91824398080138514</v>
      </c>
      <c r="BD97" s="137">
        <f>$W97*AI97+$L97*Summary_LCIA!Z$32</f>
        <v>0.19524983882575125</v>
      </c>
      <c r="BE97" s="137">
        <f>$W97*AJ97+$L97*Summary_LCIA!AA$32</f>
        <v>1.9082570105699472</v>
      </c>
      <c r="BF97" s="137">
        <f>$W97*AK97+$L97*Summary_LCIA!AB$32</f>
        <v>4.8454130562451701E-2</v>
      </c>
      <c r="BG97" s="137">
        <f>$W97*AL97+$L97*Summary_LCIA!AC$32</f>
        <v>2.6096052293130183E-5</v>
      </c>
      <c r="BH97" s="137">
        <f>$W97*AM97+$L97*Summary_LCIA!AD$32</f>
        <v>0.10234980452935583</v>
      </c>
      <c r="BI97" s="137">
        <f>$W97*AN97+$L97*Summary_LCIA!AE$32</f>
        <v>0.29897862046087087</v>
      </c>
      <c r="BJ97" s="137">
        <f>$W97*AO97+$L97*Summary_LCIA!AF$32</f>
        <v>4.2157378463597975E-2</v>
      </c>
      <c r="BK97" s="137">
        <f>$W97*AP97+$L97*Summary_LCIA!AG$32</f>
        <v>6.1625361185979662E-3</v>
      </c>
      <c r="BL97" s="137">
        <f>$W97*AQ97+$L97*Summary_LCIA!AH$32</f>
        <v>0.95344367956342158</v>
      </c>
      <c r="BM97" s="137">
        <f>$W97*AR97+$L97*Summary_LCIA!AI$32</f>
        <v>0.26005421612285773</v>
      </c>
    </row>
    <row r="98" spans="1:65" x14ac:dyDescent="0.25">
      <c r="A98" s="149">
        <v>105</v>
      </c>
      <c r="B98" s="149">
        <v>6</v>
      </c>
      <c r="C98" s="61">
        <v>40.299481</v>
      </c>
      <c r="D98" s="61">
        <v>-79.976793999999998</v>
      </c>
      <c r="E98" s="61" t="s">
        <v>265</v>
      </c>
      <c r="F98" s="149">
        <v>106</v>
      </c>
      <c r="G98" s="61" t="s">
        <v>266</v>
      </c>
      <c r="H98" s="61" t="s">
        <v>669</v>
      </c>
      <c r="I98" s="61">
        <v>40.491920999999998</v>
      </c>
      <c r="J98" s="61">
        <v>-80.235223000000005</v>
      </c>
      <c r="K98" s="61">
        <v>36.504344930000002</v>
      </c>
      <c r="L98" s="61">
        <v>41.466000000000001</v>
      </c>
      <c r="M98" s="61" t="s">
        <v>617</v>
      </c>
      <c r="N98" s="149">
        <v>5</v>
      </c>
      <c r="O98" s="149">
        <v>6</v>
      </c>
      <c r="P98" s="61" t="s">
        <v>565</v>
      </c>
      <c r="Q98" s="61" t="s">
        <v>564</v>
      </c>
      <c r="R98" s="61">
        <v>41.98028</v>
      </c>
      <c r="S98" s="61">
        <v>-87.908997900000003</v>
      </c>
      <c r="T98" s="61">
        <v>786.18299999999999</v>
      </c>
      <c r="U98" s="61" t="s">
        <v>617</v>
      </c>
      <c r="V98" s="61" t="s">
        <v>569</v>
      </c>
      <c r="W98" s="61" cm="1">
        <f t="array" ref="W98">getDistance(I98,J98,R98,S98)*SA!$B$12</f>
        <v>664.03976858093529</v>
      </c>
      <c r="X98" s="61"/>
      <c r="Y98" s="137">
        <f>Transportation_LCIA!C$61*($W98^Transportation_LCIA!C$60)+Transportation_LCIA!C$62</f>
        <v>0.28618318016419964</v>
      </c>
      <c r="Z98" s="137">
        <f>Transportation_LCIA!D$61*($W98^Transportation_LCIA!D$60)+Transportation_LCIA!D$62</f>
        <v>3.0177355282535454</v>
      </c>
      <c r="AA98" s="137">
        <f>Transportation_LCIA!E$61*($W98^Transportation_LCIA!E$60)+Transportation_LCIA!E$62</f>
        <v>1.5346723185627621E-3</v>
      </c>
      <c r="AB98" s="137">
        <f>Transportation_LCIA!F$61*($W98^Transportation_LCIA!F$60)+Transportation_LCIA!F$62</f>
        <v>0.28618318016419964</v>
      </c>
      <c r="AC98" s="137">
        <f>Transportation_LCIA!G$61*($W98^Transportation_LCIA!G$60)+Transportation_LCIA!G$62</f>
        <v>7.0382405916778926E-2</v>
      </c>
      <c r="AD98" s="137">
        <f>Transportation_LCIA!H$61*($W98^Transportation_LCIA!H$60)+Transportation_LCIA!H$62</f>
        <v>3.6306879462450609E-4</v>
      </c>
      <c r="AE98" s="137">
        <f>Transportation_LCIA!I$61*($W98^Transportation_LCIA!I$60)+Transportation_LCIA!I$62</f>
        <v>8.1100647661309928E-6</v>
      </c>
      <c r="AF98" s="137">
        <f>Transportation_LCIA!J$61*($W98^Transportation_LCIA!J$60)+Transportation_LCIA!J$62</f>
        <v>1.2041348839796951E-2</v>
      </c>
      <c r="AG98" s="137">
        <f>Transportation_LCIA!K$61*($W98^Transportation_LCIA!K$60)+Transportation_LCIA!K$62</f>
        <v>1.5268865092569082E-2</v>
      </c>
      <c r="AH98" s="137">
        <f>Transportation_LCIA!L$61*($W98^Transportation_LCIA!L$60)+Transportation_LCIA!L$62</f>
        <v>3.193834659249564E-4</v>
      </c>
      <c r="AI98" s="137">
        <f>Transportation_LCIA!M$61*($W98^Transportation_LCIA!M$60)+Transportation_LCIA!M$62</f>
        <v>2.9123459332568592E-4</v>
      </c>
      <c r="AJ98" s="137">
        <f>Transportation_LCIA!N$61*($W98^Transportation_LCIA!N$60)+Transportation_LCIA!N$62</f>
        <v>1.2797222196284355E-3</v>
      </c>
      <c r="AK98" s="137">
        <f>Transportation_LCIA!O$61*($W98^Transportation_LCIA!O$60)+Transportation_LCIA!O$62</f>
        <v>7.4458081336171384E-5</v>
      </c>
      <c r="AL98" s="137">
        <f>Transportation_LCIA!P$61*($W98^Transportation_LCIA!P$60)+Transportation_LCIA!P$62</f>
        <v>3.5962723058234319E-8</v>
      </c>
      <c r="AM98" s="137">
        <f>Transportation_LCIA!Q$61*($W98^Transportation_LCIA!Q$60)+Transportation_LCIA!Q$62</f>
        <v>1.2607962162909455E-4</v>
      </c>
      <c r="AN98" s="137">
        <f>Transportation_LCIA!R$61*($W98^Transportation_LCIA!R$60)+Transportation_LCIA!R$62</f>
        <v>3.8976595565047854E-4</v>
      </c>
      <c r="AO98" s="137">
        <f>Transportation_LCIA!S$61*($W98^Transportation_LCIA!S$60)+Transportation_LCIA!S$62</f>
        <v>5.7884928967616082E-6</v>
      </c>
      <c r="AP98" s="137">
        <f>Transportation_LCIA!T$61*($W98^Transportation_LCIA!T$60)+Transportation_LCIA!T$62</f>
        <v>5.7884928967616082E-6</v>
      </c>
      <c r="AQ98" s="137">
        <f>Transportation_LCIA!U$61*($W98^Transportation_LCIA!U$60)+Transportation_LCIA!U$62</f>
        <v>8.418249291876381E-4</v>
      </c>
      <c r="AR98" s="137">
        <f>Transportation_LCIA!V$61*($W98^Transportation_LCIA!V$60)+Transportation_LCIA!V$62</f>
        <v>3.2804857778078551E-4</v>
      </c>
      <c r="AT98" s="137">
        <f>$W98*Y98+$L98*Summary_LCIA!H$32</f>
        <v>204.12715952799124</v>
      </c>
      <c r="AU98" s="137">
        <f>$W98*Z98+$L98*Summary_LCIA!Q$32</f>
        <v>2209.403989074729</v>
      </c>
      <c r="AV98" s="137">
        <f>$W98*AA98+$L98*Summary_LCIA!R$32</f>
        <v>1.2374268208659838</v>
      </c>
      <c r="AW98" s="137">
        <f>$W98*AB98+$L98*Summary_LCIA!S$32</f>
        <v>203.94387980799124</v>
      </c>
      <c r="AX98" s="137">
        <f>$W98*AC98+$L98*Summary_LCIA!T$32</f>
        <v>51.293829937147329</v>
      </c>
      <c r="AY98" s="137">
        <f>$W98*AD98+$L98*Summary_LCIA!U$32</f>
        <v>0.98391404236141611</v>
      </c>
      <c r="AZ98" s="137">
        <f>$W98*AE98+$L98*Summary_LCIA!V$32</f>
        <v>7.3658631564780209E-3</v>
      </c>
      <c r="BA98" s="137">
        <f>$W98*AF98+$L98*Summary_LCIA!W$32</f>
        <v>11.18761398298108</v>
      </c>
      <c r="BB98" s="137">
        <f>$W98*AG98+$L98*Summary_LCIA!X$32</f>
        <v>11.083729122563094</v>
      </c>
      <c r="BC98" s="137">
        <f>$W98*AH98+$L98*Summary_LCIA!Y$32</f>
        <v>0.85820653480138509</v>
      </c>
      <c r="BD98" s="137">
        <f>$W98*AI98+$L98*Summary_LCIA!Z$32</f>
        <v>0.19509183114875125</v>
      </c>
      <c r="BE98" s="137">
        <f>$W98*AJ98+$L98*Summary_LCIA!AA$32</f>
        <v>1.818266342569947</v>
      </c>
      <c r="BF98" s="137">
        <f>$W98*AK98+$L98*Summary_LCIA!AB$32</f>
        <v>4.8538214581451702E-2</v>
      </c>
      <c r="BG98" s="137">
        <f>$W98*AL98+$L98*Summary_LCIA!AC$32</f>
        <v>2.5907702241130183E-5</v>
      </c>
      <c r="BH98" s="137">
        <f>$W98*AM98+$L98*Summary_LCIA!AD$32</f>
        <v>0.10076606740935583</v>
      </c>
      <c r="BI98" s="137">
        <f>$W98*AN98+$L98*Summary_LCIA!AE$32</f>
        <v>0.2955643615708709</v>
      </c>
      <c r="BJ98" s="137">
        <f>$W98*AO98+$L98*Summary_LCIA!AF$32</f>
        <v>3.8899975203597968E-2</v>
      </c>
      <c r="BK98" s="137">
        <f>$W98*AP98+$L98*Summary_LCIA!AG$32</f>
        <v>5.9653973735979658E-3</v>
      </c>
      <c r="BL98" s="137">
        <f>$W98*AQ98+$L98*Summary_LCIA!AH$32</f>
        <v>0.91990870876342146</v>
      </c>
      <c r="BM98" s="137">
        <f>$W98*AR98+$L98*Summary_LCIA!AI$32</f>
        <v>0.25646495397285773</v>
      </c>
    </row>
    <row r="99" spans="1:65" x14ac:dyDescent="0.25">
      <c r="A99" s="149">
        <v>106</v>
      </c>
      <c r="B99" s="149">
        <v>6</v>
      </c>
      <c r="C99" s="61">
        <v>40.299481</v>
      </c>
      <c r="D99" s="61">
        <v>-79.976793999999998</v>
      </c>
      <c r="E99" s="61" t="s">
        <v>265</v>
      </c>
      <c r="F99" s="149">
        <v>106</v>
      </c>
      <c r="G99" s="61" t="s">
        <v>266</v>
      </c>
      <c r="H99" s="61" t="s">
        <v>669</v>
      </c>
      <c r="I99" s="61">
        <v>40.491920999999998</v>
      </c>
      <c r="J99" s="61">
        <v>-80.235223000000005</v>
      </c>
      <c r="K99" s="61">
        <v>36.504344930000002</v>
      </c>
      <c r="L99" s="61">
        <v>41.466000000000001</v>
      </c>
      <c r="M99" s="61" t="s">
        <v>617</v>
      </c>
      <c r="N99" s="149">
        <v>5</v>
      </c>
      <c r="O99" s="149">
        <v>6</v>
      </c>
      <c r="P99" s="61" t="s">
        <v>565</v>
      </c>
      <c r="Q99" s="61" t="s">
        <v>564</v>
      </c>
      <c r="R99" s="61">
        <v>41.98028</v>
      </c>
      <c r="S99" s="61">
        <v>-87.908997900000003</v>
      </c>
      <c r="T99" s="61">
        <v>786.18299999999999</v>
      </c>
      <c r="U99" s="61" t="s">
        <v>617</v>
      </c>
      <c r="V99" s="61" t="s">
        <v>569</v>
      </c>
      <c r="W99" s="61" cm="1">
        <f t="array" ref="W99">getDistance(I99,J99,R99,S99)*SA!$B$12</f>
        <v>664.03976858093529</v>
      </c>
      <c r="X99" s="61"/>
      <c r="Y99" s="137">
        <f>Transportation_LCIA!C$61*($W99^Transportation_LCIA!C$60)+Transportation_LCIA!C$62</f>
        <v>0.28618318016419964</v>
      </c>
      <c r="Z99" s="137">
        <f>Transportation_LCIA!D$61*($W99^Transportation_LCIA!D$60)+Transportation_LCIA!D$62</f>
        <v>3.0177355282535454</v>
      </c>
      <c r="AA99" s="137">
        <f>Transportation_LCIA!E$61*($W99^Transportation_LCIA!E$60)+Transportation_LCIA!E$62</f>
        <v>1.5346723185627621E-3</v>
      </c>
      <c r="AB99" s="137">
        <f>Transportation_LCIA!F$61*($W99^Transportation_LCIA!F$60)+Transportation_LCIA!F$62</f>
        <v>0.28618318016419964</v>
      </c>
      <c r="AC99" s="137">
        <f>Transportation_LCIA!G$61*($W99^Transportation_LCIA!G$60)+Transportation_LCIA!G$62</f>
        <v>7.0382405916778926E-2</v>
      </c>
      <c r="AD99" s="137">
        <f>Transportation_LCIA!H$61*($W99^Transportation_LCIA!H$60)+Transportation_LCIA!H$62</f>
        <v>3.6306879462450609E-4</v>
      </c>
      <c r="AE99" s="137">
        <f>Transportation_LCIA!I$61*($W99^Transportation_LCIA!I$60)+Transportation_LCIA!I$62</f>
        <v>8.1100647661309928E-6</v>
      </c>
      <c r="AF99" s="137">
        <f>Transportation_LCIA!J$61*($W99^Transportation_LCIA!J$60)+Transportation_LCIA!J$62</f>
        <v>1.2041348839796951E-2</v>
      </c>
      <c r="AG99" s="137">
        <f>Transportation_LCIA!K$61*($W99^Transportation_LCIA!K$60)+Transportation_LCIA!K$62</f>
        <v>1.5268865092569082E-2</v>
      </c>
      <c r="AH99" s="137">
        <f>Transportation_LCIA!L$61*($W99^Transportation_LCIA!L$60)+Transportation_LCIA!L$62</f>
        <v>3.193834659249564E-4</v>
      </c>
      <c r="AI99" s="137">
        <f>Transportation_LCIA!M$61*($W99^Transportation_LCIA!M$60)+Transportation_LCIA!M$62</f>
        <v>2.9123459332568592E-4</v>
      </c>
      <c r="AJ99" s="137">
        <f>Transportation_LCIA!N$61*($W99^Transportation_LCIA!N$60)+Transportation_LCIA!N$62</f>
        <v>1.2797222196284355E-3</v>
      </c>
      <c r="AK99" s="137">
        <f>Transportation_LCIA!O$61*($W99^Transportation_LCIA!O$60)+Transportation_LCIA!O$62</f>
        <v>7.4458081336171384E-5</v>
      </c>
      <c r="AL99" s="137">
        <f>Transportation_LCIA!P$61*($W99^Transportation_LCIA!P$60)+Transportation_LCIA!P$62</f>
        <v>3.5962723058234319E-8</v>
      </c>
      <c r="AM99" s="137">
        <f>Transportation_LCIA!Q$61*($W99^Transportation_LCIA!Q$60)+Transportation_LCIA!Q$62</f>
        <v>1.2607962162909455E-4</v>
      </c>
      <c r="AN99" s="137">
        <f>Transportation_LCIA!R$61*($W99^Transportation_LCIA!R$60)+Transportation_LCIA!R$62</f>
        <v>3.8976595565047854E-4</v>
      </c>
      <c r="AO99" s="137">
        <f>Transportation_LCIA!S$61*($W99^Transportation_LCIA!S$60)+Transportation_LCIA!S$62</f>
        <v>5.7884928967616082E-6</v>
      </c>
      <c r="AP99" s="137">
        <f>Transportation_LCIA!T$61*($W99^Transportation_LCIA!T$60)+Transportation_LCIA!T$62</f>
        <v>5.7884928967616082E-6</v>
      </c>
      <c r="AQ99" s="137">
        <f>Transportation_LCIA!U$61*($W99^Transportation_LCIA!U$60)+Transportation_LCIA!U$62</f>
        <v>8.418249291876381E-4</v>
      </c>
      <c r="AR99" s="137">
        <f>Transportation_LCIA!V$61*($W99^Transportation_LCIA!V$60)+Transportation_LCIA!V$62</f>
        <v>3.2804857778078551E-4</v>
      </c>
      <c r="AT99" s="137">
        <f>$W99*Y99+$L99*Summary_LCIA!H$32</f>
        <v>204.12715952799124</v>
      </c>
      <c r="AU99" s="137">
        <f>$W99*Z99+$L99*Summary_LCIA!Q$32</f>
        <v>2209.403989074729</v>
      </c>
      <c r="AV99" s="137">
        <f>$W99*AA99+$L99*Summary_LCIA!R$32</f>
        <v>1.2374268208659838</v>
      </c>
      <c r="AW99" s="137">
        <f>$W99*AB99+$L99*Summary_LCIA!S$32</f>
        <v>203.94387980799124</v>
      </c>
      <c r="AX99" s="137">
        <f>$W99*AC99+$L99*Summary_LCIA!T$32</f>
        <v>51.293829937147329</v>
      </c>
      <c r="AY99" s="137">
        <f>$W99*AD99+$L99*Summary_LCIA!U$32</f>
        <v>0.98391404236141611</v>
      </c>
      <c r="AZ99" s="137">
        <f>$W99*AE99+$L99*Summary_LCIA!V$32</f>
        <v>7.3658631564780209E-3</v>
      </c>
      <c r="BA99" s="137">
        <f>$W99*AF99+$L99*Summary_LCIA!W$32</f>
        <v>11.18761398298108</v>
      </c>
      <c r="BB99" s="137">
        <f>$W99*AG99+$L99*Summary_LCIA!X$32</f>
        <v>11.083729122563094</v>
      </c>
      <c r="BC99" s="137">
        <f>$W99*AH99+$L99*Summary_LCIA!Y$32</f>
        <v>0.85820653480138509</v>
      </c>
      <c r="BD99" s="137">
        <f>$W99*AI99+$L99*Summary_LCIA!Z$32</f>
        <v>0.19509183114875125</v>
      </c>
      <c r="BE99" s="137">
        <f>$W99*AJ99+$L99*Summary_LCIA!AA$32</f>
        <v>1.818266342569947</v>
      </c>
      <c r="BF99" s="137">
        <f>$W99*AK99+$L99*Summary_LCIA!AB$32</f>
        <v>4.8538214581451702E-2</v>
      </c>
      <c r="BG99" s="137">
        <f>$W99*AL99+$L99*Summary_LCIA!AC$32</f>
        <v>2.5907702241130183E-5</v>
      </c>
      <c r="BH99" s="137">
        <f>$W99*AM99+$L99*Summary_LCIA!AD$32</f>
        <v>0.10076606740935583</v>
      </c>
      <c r="BI99" s="137">
        <f>$W99*AN99+$L99*Summary_LCIA!AE$32</f>
        <v>0.2955643615708709</v>
      </c>
      <c r="BJ99" s="137">
        <f>$W99*AO99+$L99*Summary_LCIA!AF$32</f>
        <v>3.8899975203597968E-2</v>
      </c>
      <c r="BK99" s="137">
        <f>$W99*AP99+$L99*Summary_LCIA!AG$32</f>
        <v>5.9653973735979658E-3</v>
      </c>
      <c r="BL99" s="137">
        <f>$W99*AQ99+$L99*Summary_LCIA!AH$32</f>
        <v>0.91990870876342146</v>
      </c>
      <c r="BM99" s="137">
        <f>$W99*AR99+$L99*Summary_LCIA!AI$32</f>
        <v>0.25646495397285773</v>
      </c>
    </row>
    <row r="100" spans="1:65" x14ac:dyDescent="0.25">
      <c r="A100" s="149">
        <v>107</v>
      </c>
      <c r="B100" s="149">
        <v>6</v>
      </c>
      <c r="C100" s="61">
        <v>40.299481</v>
      </c>
      <c r="D100" s="61">
        <v>-79.976793999999998</v>
      </c>
      <c r="E100" s="61" t="s">
        <v>265</v>
      </c>
      <c r="F100" s="149">
        <v>106</v>
      </c>
      <c r="G100" s="61" t="s">
        <v>266</v>
      </c>
      <c r="H100" s="61" t="s">
        <v>669</v>
      </c>
      <c r="I100" s="61">
        <v>40.491920999999998</v>
      </c>
      <c r="J100" s="61">
        <v>-80.235223000000005</v>
      </c>
      <c r="K100" s="61">
        <v>36.504344930000002</v>
      </c>
      <c r="L100" s="61">
        <v>41.466000000000001</v>
      </c>
      <c r="M100" s="61" t="s">
        <v>617</v>
      </c>
      <c r="N100" s="149">
        <v>5</v>
      </c>
      <c r="O100" s="149">
        <v>6</v>
      </c>
      <c r="P100" s="61" t="s">
        <v>565</v>
      </c>
      <c r="Q100" s="61" t="s">
        <v>564</v>
      </c>
      <c r="R100" s="61">
        <v>41.98028</v>
      </c>
      <c r="S100" s="61">
        <v>-87.908997900000003</v>
      </c>
      <c r="T100" s="61">
        <v>786.18299999999999</v>
      </c>
      <c r="U100" s="61" t="s">
        <v>617</v>
      </c>
      <c r="V100" s="61" t="s">
        <v>569</v>
      </c>
      <c r="W100" s="61" cm="1">
        <f t="array" ref="W100">getDistance(I100,J100,R100,S100)*SA!$B$12</f>
        <v>664.03976858093529</v>
      </c>
      <c r="X100" s="61"/>
      <c r="Y100" s="137">
        <f>Transportation_LCIA!C$61*($W100^Transportation_LCIA!C$60)+Transportation_LCIA!C$62</f>
        <v>0.28618318016419964</v>
      </c>
      <c r="Z100" s="137">
        <f>Transportation_LCIA!D$61*($W100^Transportation_LCIA!D$60)+Transportation_LCIA!D$62</f>
        <v>3.0177355282535454</v>
      </c>
      <c r="AA100" s="137">
        <f>Transportation_LCIA!E$61*($W100^Transportation_LCIA!E$60)+Transportation_LCIA!E$62</f>
        <v>1.5346723185627621E-3</v>
      </c>
      <c r="AB100" s="137">
        <f>Transportation_LCIA!F$61*($W100^Transportation_LCIA!F$60)+Transportation_LCIA!F$62</f>
        <v>0.28618318016419964</v>
      </c>
      <c r="AC100" s="137">
        <f>Transportation_LCIA!G$61*($W100^Transportation_LCIA!G$60)+Transportation_LCIA!G$62</f>
        <v>7.0382405916778926E-2</v>
      </c>
      <c r="AD100" s="137">
        <f>Transportation_LCIA!H$61*($W100^Transportation_LCIA!H$60)+Transportation_LCIA!H$62</f>
        <v>3.6306879462450609E-4</v>
      </c>
      <c r="AE100" s="137">
        <f>Transportation_LCIA!I$61*($W100^Transportation_LCIA!I$60)+Transportation_LCIA!I$62</f>
        <v>8.1100647661309928E-6</v>
      </c>
      <c r="AF100" s="137">
        <f>Transportation_LCIA!J$61*($W100^Transportation_LCIA!J$60)+Transportation_LCIA!J$62</f>
        <v>1.2041348839796951E-2</v>
      </c>
      <c r="AG100" s="137">
        <f>Transportation_LCIA!K$61*($W100^Transportation_LCIA!K$60)+Transportation_LCIA!K$62</f>
        <v>1.5268865092569082E-2</v>
      </c>
      <c r="AH100" s="137">
        <f>Transportation_LCIA!L$61*($W100^Transportation_LCIA!L$60)+Transportation_LCIA!L$62</f>
        <v>3.193834659249564E-4</v>
      </c>
      <c r="AI100" s="137">
        <f>Transportation_LCIA!M$61*($W100^Transportation_LCIA!M$60)+Transportation_LCIA!M$62</f>
        <v>2.9123459332568592E-4</v>
      </c>
      <c r="AJ100" s="137">
        <f>Transportation_LCIA!N$61*($W100^Transportation_LCIA!N$60)+Transportation_LCIA!N$62</f>
        <v>1.2797222196284355E-3</v>
      </c>
      <c r="AK100" s="137">
        <f>Transportation_LCIA!O$61*($W100^Transportation_LCIA!O$60)+Transportation_LCIA!O$62</f>
        <v>7.4458081336171384E-5</v>
      </c>
      <c r="AL100" s="137">
        <f>Transportation_LCIA!P$61*($W100^Transportation_LCIA!P$60)+Transportation_LCIA!P$62</f>
        <v>3.5962723058234319E-8</v>
      </c>
      <c r="AM100" s="137">
        <f>Transportation_LCIA!Q$61*($W100^Transportation_LCIA!Q$60)+Transportation_LCIA!Q$62</f>
        <v>1.2607962162909455E-4</v>
      </c>
      <c r="AN100" s="137">
        <f>Transportation_LCIA!R$61*($W100^Transportation_LCIA!R$60)+Transportation_LCIA!R$62</f>
        <v>3.8976595565047854E-4</v>
      </c>
      <c r="AO100" s="137">
        <f>Transportation_LCIA!S$61*($W100^Transportation_LCIA!S$60)+Transportation_LCIA!S$62</f>
        <v>5.7884928967616082E-6</v>
      </c>
      <c r="AP100" s="137">
        <f>Transportation_LCIA!T$61*($W100^Transportation_LCIA!T$60)+Transportation_LCIA!T$62</f>
        <v>5.7884928967616082E-6</v>
      </c>
      <c r="AQ100" s="137">
        <f>Transportation_LCIA!U$61*($W100^Transportation_LCIA!U$60)+Transportation_LCIA!U$62</f>
        <v>8.418249291876381E-4</v>
      </c>
      <c r="AR100" s="137">
        <f>Transportation_LCIA!V$61*($W100^Transportation_LCIA!V$60)+Transportation_LCIA!V$62</f>
        <v>3.2804857778078551E-4</v>
      </c>
      <c r="AT100" s="137">
        <f>$W100*Y100+$L100*Summary_LCIA!H$32</f>
        <v>204.12715952799124</v>
      </c>
      <c r="AU100" s="137">
        <f>$W100*Z100+$L100*Summary_LCIA!Q$32</f>
        <v>2209.403989074729</v>
      </c>
      <c r="AV100" s="137">
        <f>$W100*AA100+$L100*Summary_LCIA!R$32</f>
        <v>1.2374268208659838</v>
      </c>
      <c r="AW100" s="137">
        <f>$W100*AB100+$L100*Summary_LCIA!S$32</f>
        <v>203.94387980799124</v>
      </c>
      <c r="AX100" s="137">
        <f>$W100*AC100+$L100*Summary_LCIA!T$32</f>
        <v>51.293829937147329</v>
      </c>
      <c r="AY100" s="137">
        <f>$W100*AD100+$L100*Summary_LCIA!U$32</f>
        <v>0.98391404236141611</v>
      </c>
      <c r="AZ100" s="137">
        <f>$W100*AE100+$L100*Summary_LCIA!V$32</f>
        <v>7.3658631564780209E-3</v>
      </c>
      <c r="BA100" s="137">
        <f>$W100*AF100+$L100*Summary_LCIA!W$32</f>
        <v>11.18761398298108</v>
      </c>
      <c r="BB100" s="137">
        <f>$W100*AG100+$L100*Summary_LCIA!X$32</f>
        <v>11.083729122563094</v>
      </c>
      <c r="BC100" s="137">
        <f>$W100*AH100+$L100*Summary_LCIA!Y$32</f>
        <v>0.85820653480138509</v>
      </c>
      <c r="BD100" s="137">
        <f>$W100*AI100+$L100*Summary_LCIA!Z$32</f>
        <v>0.19509183114875125</v>
      </c>
      <c r="BE100" s="137">
        <f>$W100*AJ100+$L100*Summary_LCIA!AA$32</f>
        <v>1.818266342569947</v>
      </c>
      <c r="BF100" s="137">
        <f>$W100*AK100+$L100*Summary_LCIA!AB$32</f>
        <v>4.8538214581451702E-2</v>
      </c>
      <c r="BG100" s="137">
        <f>$W100*AL100+$L100*Summary_LCIA!AC$32</f>
        <v>2.5907702241130183E-5</v>
      </c>
      <c r="BH100" s="137">
        <f>$W100*AM100+$L100*Summary_LCIA!AD$32</f>
        <v>0.10076606740935583</v>
      </c>
      <c r="BI100" s="137">
        <f>$W100*AN100+$L100*Summary_LCIA!AE$32</f>
        <v>0.2955643615708709</v>
      </c>
      <c r="BJ100" s="137">
        <f>$W100*AO100+$L100*Summary_LCIA!AF$32</f>
        <v>3.8899975203597968E-2</v>
      </c>
      <c r="BK100" s="137">
        <f>$W100*AP100+$L100*Summary_LCIA!AG$32</f>
        <v>5.9653973735979658E-3</v>
      </c>
      <c r="BL100" s="137">
        <f>$W100*AQ100+$L100*Summary_LCIA!AH$32</f>
        <v>0.91990870876342146</v>
      </c>
      <c r="BM100" s="137">
        <f>$W100*AR100+$L100*Summary_LCIA!AI$32</f>
        <v>0.25646495397285773</v>
      </c>
    </row>
    <row r="101" spans="1:65" x14ac:dyDescent="0.25">
      <c r="A101" s="149">
        <v>48</v>
      </c>
      <c r="B101" s="149">
        <v>6</v>
      </c>
      <c r="C101" s="61">
        <v>43.472979000000002</v>
      </c>
      <c r="D101" s="61">
        <v>-80.540103000000002</v>
      </c>
      <c r="E101" s="61" t="s">
        <v>456</v>
      </c>
      <c r="F101" s="149">
        <v>139</v>
      </c>
      <c r="G101" s="61" t="s">
        <v>651</v>
      </c>
      <c r="H101" s="61" t="s">
        <v>652</v>
      </c>
      <c r="I101" s="61">
        <v>43.163226000000002</v>
      </c>
      <c r="J101" s="61">
        <v>-79.926573000000005</v>
      </c>
      <c r="K101" s="61">
        <v>67.656494089999995</v>
      </c>
      <c r="L101" s="61">
        <v>75.798000000000002</v>
      </c>
      <c r="M101" s="61" t="s">
        <v>617</v>
      </c>
      <c r="N101" s="149">
        <v>5</v>
      </c>
      <c r="O101" s="149">
        <v>6</v>
      </c>
      <c r="P101" s="61" t="s">
        <v>565</v>
      </c>
      <c r="Q101" s="61" t="s">
        <v>564</v>
      </c>
      <c r="R101" s="61">
        <v>41.98028</v>
      </c>
      <c r="S101" s="61">
        <v>-87.908997900000003</v>
      </c>
      <c r="T101" s="61">
        <v>787.8</v>
      </c>
      <c r="U101" s="61" t="s">
        <v>617</v>
      </c>
      <c r="V101" s="61" t="s">
        <v>569</v>
      </c>
      <c r="W101" s="61" cm="1">
        <f t="array" ref="W101">getDistance(I101,J101,R101,S101)*SA!$B$12</f>
        <v>668.21013040358901</v>
      </c>
      <c r="X101" s="61"/>
      <c r="Y101" s="137">
        <f>Transportation_LCIA!C$61*($W101^Transportation_LCIA!C$60)+Transportation_LCIA!C$62</f>
        <v>0.28527020492648869</v>
      </c>
      <c r="Z101" s="137">
        <f>Transportation_LCIA!D$61*($W101^Transportation_LCIA!D$60)+Transportation_LCIA!D$62</f>
        <v>3.0068936127575476</v>
      </c>
      <c r="AA101" s="137">
        <f>Transportation_LCIA!E$61*($W101^Transportation_LCIA!E$60)+Transportation_LCIA!E$62</f>
        <v>1.5275088857335788E-3</v>
      </c>
      <c r="AB101" s="137">
        <f>Transportation_LCIA!F$61*($W101^Transportation_LCIA!F$60)+Transportation_LCIA!F$62</f>
        <v>0.28527020492648869</v>
      </c>
      <c r="AC101" s="137">
        <f>Transportation_LCIA!G$61*($W101^Transportation_LCIA!G$60)+Transportation_LCIA!G$62</f>
        <v>7.0131825064760164E-2</v>
      </c>
      <c r="AD101" s="137">
        <f>Transportation_LCIA!H$61*($W101^Transportation_LCIA!H$60)+Transportation_LCIA!H$62</f>
        <v>3.6147837864756912E-4</v>
      </c>
      <c r="AE101" s="137">
        <f>Transportation_LCIA!I$61*($W101^Transportation_LCIA!I$60)+Transportation_LCIA!I$62</f>
        <v>8.0693991694418073E-6</v>
      </c>
      <c r="AF101" s="137">
        <f>Transportation_LCIA!J$61*($W101^Transportation_LCIA!J$60)+Transportation_LCIA!J$62</f>
        <v>1.1980166879572759E-2</v>
      </c>
      <c r="AG101" s="137">
        <f>Transportation_LCIA!K$61*($W101^Transportation_LCIA!K$60)+Transportation_LCIA!K$62</f>
        <v>1.520985356810769E-2</v>
      </c>
      <c r="AH101" s="137">
        <f>Transportation_LCIA!L$61*($W101^Transportation_LCIA!L$60)+Transportation_LCIA!L$62</f>
        <v>3.1791482965274319E-4</v>
      </c>
      <c r="AI101" s="137">
        <f>Transportation_LCIA!M$61*($W101^Transportation_LCIA!M$60)+Transportation_LCIA!M$62</f>
        <v>2.9035639408606296E-4</v>
      </c>
      <c r="AJ101" s="137">
        <f>Transportation_LCIA!N$61*($W101^Transportation_LCIA!N$60)+Transportation_LCIA!N$62</f>
        <v>1.2743816001571056E-3</v>
      </c>
      <c r="AK101" s="137">
        <f>Transportation_LCIA!O$61*($W101^Transportation_LCIA!O$60)+Transportation_LCIA!O$62</f>
        <v>7.4191679283712797E-5</v>
      </c>
      <c r="AL101" s="137">
        <f>Transportation_LCIA!P$61*($W101^Transportation_LCIA!P$60)+Transportation_LCIA!P$62</f>
        <v>3.5834805849164741E-8</v>
      </c>
      <c r="AM101" s="137">
        <f>Transportation_LCIA!Q$61*($W101^Transportation_LCIA!Q$60)+Transportation_LCIA!Q$62</f>
        <v>1.2550400919416065E-4</v>
      </c>
      <c r="AN101" s="137">
        <f>Transportation_LCIA!R$61*($W101^Transportation_LCIA!R$60)+Transportation_LCIA!R$62</f>
        <v>3.8781518510344718E-4</v>
      </c>
      <c r="AO101" s="137">
        <f>Transportation_LCIA!S$61*($W101^Transportation_LCIA!S$60)+Transportation_LCIA!S$62</f>
        <v>5.7608266444309505E-6</v>
      </c>
      <c r="AP101" s="137">
        <f>Transportation_LCIA!T$61*($W101^Transportation_LCIA!T$60)+Transportation_LCIA!T$62</f>
        <v>5.7608266444309505E-6</v>
      </c>
      <c r="AQ101" s="137">
        <f>Transportation_LCIA!U$61*($W101^Transportation_LCIA!U$60)+Transportation_LCIA!U$62</f>
        <v>8.3753418479087002E-4</v>
      </c>
      <c r="AR101" s="137">
        <f>Transportation_LCIA!V$61*($W101^Transportation_LCIA!V$60)+Transportation_LCIA!V$62</f>
        <v>3.265465026986184E-4</v>
      </c>
      <c r="AT101" s="137">
        <f>$W101*Y101+$L101*Summary_LCIA!H$32</f>
        <v>216.37660123418758</v>
      </c>
      <c r="AU101" s="137">
        <f>$W101*Z101+$L101*Summary_LCIA!Q$32</f>
        <v>2384.8954838109739</v>
      </c>
      <c r="AV101" s="137">
        <f>$W101*AA101+$L101*Summary_LCIA!R$32</f>
        <v>1.4198188605286757</v>
      </c>
      <c r="AW101" s="137">
        <f>$W101*AB101+$L101*Summary_LCIA!S$32</f>
        <v>216.04157407418757</v>
      </c>
      <c r="AX101" s="137">
        <f>$W101*AC101+$L101*Summary_LCIA!T$32</f>
        <v>55.192996171965085</v>
      </c>
      <c r="AY101" s="137">
        <f>$W101*AD101+$L101*Summary_LCIA!U$32</f>
        <v>1.5993888865341699</v>
      </c>
      <c r="AZ101" s="137">
        <f>$W101*AE101+$L101*Summary_LCIA!V$32</f>
        <v>9.0122425492913227E-3</v>
      </c>
      <c r="BA101" s="137">
        <f>$W101*AF101+$L101*Summary_LCIA!W$32</f>
        <v>13.839516730856072</v>
      </c>
      <c r="BB101" s="137">
        <f>$W101*AG101+$L101*Summary_LCIA!X$32</f>
        <v>11.890056676164734</v>
      </c>
      <c r="BC101" s="137">
        <f>$W101*AH101+$L101*Summary_LCIA!Y$32</f>
        <v>1.3935183457794944</v>
      </c>
      <c r="BD101" s="137">
        <f>$W101*AI101+$L101*Summary_LCIA!Z$32</f>
        <v>0.19712748413776401</v>
      </c>
      <c r="BE101" s="137">
        <f>$W101*AJ101+$L101*Summary_LCIA!AA$32</f>
        <v>2.6218927832249141</v>
      </c>
      <c r="BF101" s="137">
        <f>$W101*AK101+$L101*Summary_LCIA!AB$32</f>
        <v>4.792149193503098E-2</v>
      </c>
      <c r="BG101" s="137">
        <f>$W101*AL101+$L101*Summary_LCIA!AC$32</f>
        <v>2.7650489721457666E-5</v>
      </c>
      <c r="BH101" s="137">
        <f>$W101*AM101+$L101*Summary_LCIA!AD$32</f>
        <v>0.11501906026980332</v>
      </c>
      <c r="BI101" s="137">
        <f>$W101*AN101+$L101*Summary_LCIA!AE$32</f>
        <v>0.32630891715046645</v>
      </c>
      <c r="BJ101" s="137">
        <f>$W101*AO101+$L101*Summary_LCIA!AF$32</f>
        <v>6.7930587883307678E-2</v>
      </c>
      <c r="BK101" s="137">
        <f>$W101*AP101+$L101*Summary_LCIA!AG$32</f>
        <v>7.7276473933076762E-3</v>
      </c>
      <c r="BL101" s="137">
        <f>$W101*AQ101+$L101*Summary_LCIA!AH$32</f>
        <v>1.219364299636571</v>
      </c>
      <c r="BM101" s="137">
        <f>$W101*AR101+$L101*Summary_LCIA!AI$32</f>
        <v>0.28881130805107974</v>
      </c>
    </row>
    <row r="102" spans="1:65" x14ac:dyDescent="0.25">
      <c r="A102" s="149">
        <v>234</v>
      </c>
      <c r="B102" s="149">
        <v>6</v>
      </c>
      <c r="C102" s="61">
        <v>40.324514000000001</v>
      </c>
      <c r="D102" s="61">
        <v>-79.701155</v>
      </c>
      <c r="E102" s="61" t="s">
        <v>265</v>
      </c>
      <c r="F102" s="149">
        <v>106</v>
      </c>
      <c r="G102" s="61" t="s">
        <v>266</v>
      </c>
      <c r="H102" s="61" t="s">
        <v>669</v>
      </c>
      <c r="I102" s="61">
        <v>40.491920999999998</v>
      </c>
      <c r="J102" s="61">
        <v>-80.235223000000005</v>
      </c>
      <c r="K102" s="61">
        <v>50.994779719999997</v>
      </c>
      <c r="L102" s="61">
        <v>71.013000000000005</v>
      </c>
      <c r="M102" s="61" t="s">
        <v>617</v>
      </c>
      <c r="N102" s="149">
        <v>5</v>
      </c>
      <c r="O102" s="149">
        <v>6</v>
      </c>
      <c r="P102" s="61" t="s">
        <v>565</v>
      </c>
      <c r="Q102" s="61" t="s">
        <v>564</v>
      </c>
      <c r="R102" s="61">
        <v>41.98028</v>
      </c>
      <c r="S102" s="61">
        <v>-87.908997900000003</v>
      </c>
      <c r="T102" s="61">
        <v>802.66899999999998</v>
      </c>
      <c r="U102" s="61" t="s">
        <v>617</v>
      </c>
      <c r="V102" s="61" t="s">
        <v>569</v>
      </c>
      <c r="W102" s="61" cm="1">
        <f t="array" ref="W102">getDistance(I102,J102,R102,S102)*SA!$B$12</f>
        <v>664.03976858093529</v>
      </c>
      <c r="X102" s="61"/>
      <c r="Y102" s="137">
        <f>Transportation_LCIA!C$61*($W102^Transportation_LCIA!C$60)+Transportation_LCIA!C$62</f>
        <v>0.28618318016419964</v>
      </c>
      <c r="Z102" s="137">
        <f>Transportation_LCIA!D$61*($W102^Transportation_LCIA!D$60)+Transportation_LCIA!D$62</f>
        <v>3.0177355282535454</v>
      </c>
      <c r="AA102" s="137">
        <f>Transportation_LCIA!E$61*($W102^Transportation_LCIA!E$60)+Transportation_LCIA!E$62</f>
        <v>1.5346723185627621E-3</v>
      </c>
      <c r="AB102" s="137">
        <f>Transportation_LCIA!F$61*($W102^Transportation_LCIA!F$60)+Transportation_LCIA!F$62</f>
        <v>0.28618318016419964</v>
      </c>
      <c r="AC102" s="137">
        <f>Transportation_LCIA!G$61*($W102^Transportation_LCIA!G$60)+Transportation_LCIA!G$62</f>
        <v>7.0382405916778926E-2</v>
      </c>
      <c r="AD102" s="137">
        <f>Transportation_LCIA!H$61*($W102^Transportation_LCIA!H$60)+Transportation_LCIA!H$62</f>
        <v>3.6306879462450609E-4</v>
      </c>
      <c r="AE102" s="137">
        <f>Transportation_LCIA!I$61*($W102^Transportation_LCIA!I$60)+Transportation_LCIA!I$62</f>
        <v>8.1100647661309928E-6</v>
      </c>
      <c r="AF102" s="137">
        <f>Transportation_LCIA!J$61*($W102^Transportation_LCIA!J$60)+Transportation_LCIA!J$62</f>
        <v>1.2041348839796951E-2</v>
      </c>
      <c r="AG102" s="137">
        <f>Transportation_LCIA!K$61*($W102^Transportation_LCIA!K$60)+Transportation_LCIA!K$62</f>
        <v>1.5268865092569082E-2</v>
      </c>
      <c r="AH102" s="137">
        <f>Transportation_LCIA!L$61*($W102^Transportation_LCIA!L$60)+Transportation_LCIA!L$62</f>
        <v>3.193834659249564E-4</v>
      </c>
      <c r="AI102" s="137">
        <f>Transportation_LCIA!M$61*($W102^Transportation_LCIA!M$60)+Transportation_LCIA!M$62</f>
        <v>2.9123459332568592E-4</v>
      </c>
      <c r="AJ102" s="137">
        <f>Transportation_LCIA!N$61*($W102^Transportation_LCIA!N$60)+Transportation_LCIA!N$62</f>
        <v>1.2797222196284355E-3</v>
      </c>
      <c r="AK102" s="137">
        <f>Transportation_LCIA!O$61*($W102^Transportation_LCIA!O$60)+Transportation_LCIA!O$62</f>
        <v>7.4458081336171384E-5</v>
      </c>
      <c r="AL102" s="137">
        <f>Transportation_LCIA!P$61*($W102^Transportation_LCIA!P$60)+Transportation_LCIA!P$62</f>
        <v>3.5962723058234319E-8</v>
      </c>
      <c r="AM102" s="137">
        <f>Transportation_LCIA!Q$61*($W102^Transportation_LCIA!Q$60)+Transportation_LCIA!Q$62</f>
        <v>1.2607962162909455E-4</v>
      </c>
      <c r="AN102" s="137">
        <f>Transportation_LCIA!R$61*($W102^Transportation_LCIA!R$60)+Transportation_LCIA!R$62</f>
        <v>3.8976595565047854E-4</v>
      </c>
      <c r="AO102" s="137">
        <f>Transportation_LCIA!S$61*($W102^Transportation_LCIA!S$60)+Transportation_LCIA!S$62</f>
        <v>5.7884928967616082E-6</v>
      </c>
      <c r="AP102" s="137">
        <f>Transportation_LCIA!T$61*($W102^Transportation_LCIA!T$60)+Transportation_LCIA!T$62</f>
        <v>5.7884928967616082E-6</v>
      </c>
      <c r="AQ102" s="137">
        <f>Transportation_LCIA!U$61*($W102^Transportation_LCIA!U$60)+Transportation_LCIA!U$62</f>
        <v>8.418249291876381E-4</v>
      </c>
      <c r="AR102" s="137">
        <f>Transportation_LCIA!V$61*($W102^Transportation_LCIA!V$60)+Transportation_LCIA!V$62</f>
        <v>3.2804857778078551E-4</v>
      </c>
      <c r="AT102" s="137">
        <f>$W102*Y102+$L102*Summary_LCIA!H$32</f>
        <v>214.16723012799122</v>
      </c>
      <c r="AU102" s="137">
        <f>$W102*Z102+$L102*Summary_LCIA!Q$32</f>
        <v>2355.8404112185799</v>
      </c>
      <c r="AV102" s="137">
        <f>$W102*AA102+$L102*Summary_LCIA!R$32</f>
        <v>1.3930095040659838</v>
      </c>
      <c r="AW102" s="137">
        <f>$W102*AB102+$L102*Summary_LCIA!S$32</f>
        <v>213.85335266799123</v>
      </c>
      <c r="AX102" s="137">
        <f>$W102*AC102+$L102*Summary_LCIA!T$32</f>
        <v>54.54104523714733</v>
      </c>
      <c r="AY102" s="137">
        <f>$W102*AD102+$L102*Summary_LCIA!U$32</f>
        <v>1.5132190003614161</v>
      </c>
      <c r="AZ102" s="137">
        <f>$W102*AE102+$L102*Summary_LCIA!V$32</f>
        <v>8.7770574234780213E-3</v>
      </c>
      <c r="BA102" s="137">
        <f>$W102*AF102+$L102*Summary_LCIA!W$32</f>
        <v>13.461876119981081</v>
      </c>
      <c r="BB102" s="137">
        <f>$W102*AG102+$L102*Summary_LCIA!X$32</f>
        <v>11.756809782563094</v>
      </c>
      <c r="BC102" s="137">
        <f>$W102*AH102+$L102*Summary_LCIA!Y$32</f>
        <v>1.318607888801385</v>
      </c>
      <c r="BD102" s="137">
        <f>$W102*AI102+$L102*Summary_LCIA!Z$32</f>
        <v>0.19630352407175128</v>
      </c>
      <c r="BE102" s="137">
        <f>$W102*AJ102+$L102*Summary_LCIA!AA$32</f>
        <v>2.5083660745699472</v>
      </c>
      <c r="BF102" s="137">
        <f>$W102*AK102+$L102*Summary_LCIA!AB$32</f>
        <v>4.7893410400451697E-2</v>
      </c>
      <c r="BG102" s="137">
        <f>$W102*AL102+$L102*Summary_LCIA!AC$32</f>
        <v>2.7352077789130184E-5</v>
      </c>
      <c r="BH102" s="137">
        <f>$W102*AM102+$L102*Summary_LCIA!AD$32</f>
        <v>0.11291106628935582</v>
      </c>
      <c r="BI102" s="137">
        <f>$W102*AN102+$L102*Summary_LCIA!AE$32</f>
        <v>0.32174684468087089</v>
      </c>
      <c r="BJ102" s="137">
        <f>$W102*AO102+$L102*Summary_LCIA!AF$32</f>
        <v>6.3879599943597973E-2</v>
      </c>
      <c r="BK102" s="137">
        <f>$W102*AP102+$L102*Summary_LCIA!AG$32</f>
        <v>7.4771696285979667E-3</v>
      </c>
      <c r="BL102" s="137">
        <f>$W102*AQ102+$L102*Summary_LCIA!AH$32</f>
        <v>1.1770739779634216</v>
      </c>
      <c r="BM102" s="137">
        <f>$W102*AR102+$L102*Summary_LCIA!AI$32</f>
        <v>0.28398946182285778</v>
      </c>
    </row>
    <row r="103" spans="1:65" x14ac:dyDescent="0.25">
      <c r="A103" s="149">
        <v>27</v>
      </c>
      <c r="B103" s="149">
        <v>6</v>
      </c>
      <c r="C103" s="61">
        <v>40.817663000000003</v>
      </c>
      <c r="D103" s="61">
        <v>-96.700036999999995</v>
      </c>
      <c r="E103" s="61" t="s">
        <v>265</v>
      </c>
      <c r="F103" s="149">
        <v>121</v>
      </c>
      <c r="G103" s="61" t="s">
        <v>287</v>
      </c>
      <c r="H103" s="61" t="s">
        <v>290</v>
      </c>
      <c r="I103" s="61">
        <v>41.301873000000001</v>
      </c>
      <c r="J103" s="61">
        <v>-95.893741000000006</v>
      </c>
      <c r="K103" s="61">
        <v>107.8641052</v>
      </c>
      <c r="L103" s="61">
        <v>100.626</v>
      </c>
      <c r="M103" s="61" t="s">
        <v>617</v>
      </c>
      <c r="N103" s="149">
        <v>5</v>
      </c>
      <c r="O103" s="149">
        <v>6</v>
      </c>
      <c r="P103" s="61" t="s">
        <v>565</v>
      </c>
      <c r="Q103" s="61" t="s">
        <v>564</v>
      </c>
      <c r="R103" s="61">
        <v>41.98028</v>
      </c>
      <c r="S103" s="61">
        <v>-87.908997900000003</v>
      </c>
      <c r="T103" s="61">
        <v>836.69100000000003</v>
      </c>
      <c r="U103" s="61" t="s">
        <v>617</v>
      </c>
      <c r="V103" s="61" t="s">
        <v>569</v>
      </c>
      <c r="W103" s="61" cm="1">
        <f t="array" ref="W103">getDistance(I103,J103,R103,S103)*SA!$B$12</f>
        <v>669.26749072627524</v>
      </c>
      <c r="X103" s="61"/>
      <c r="Y103" s="137">
        <f>Transportation_LCIA!C$61*($W103^Transportation_LCIA!C$60)+Transportation_LCIA!C$62</f>
        <v>0.28504039049137575</v>
      </c>
      <c r="Z103" s="137">
        <f>Transportation_LCIA!D$61*($W103^Transportation_LCIA!D$60)+Transportation_LCIA!D$62</f>
        <v>3.0041649469674656</v>
      </c>
      <c r="AA103" s="137">
        <f>Transportation_LCIA!E$61*($W103^Transportation_LCIA!E$60)+Transportation_LCIA!E$62</f>
        <v>1.525706097435096E-3</v>
      </c>
      <c r="AB103" s="137">
        <f>Transportation_LCIA!F$61*($W103^Transportation_LCIA!F$60)+Transportation_LCIA!F$62</f>
        <v>0.28504039049137575</v>
      </c>
      <c r="AC103" s="137">
        <f>Transportation_LCIA!G$61*($W103^Transportation_LCIA!G$60)+Transportation_LCIA!G$62</f>
        <v>7.0068758885027033E-2</v>
      </c>
      <c r="AD103" s="137">
        <f>Transportation_LCIA!H$61*($W103^Transportation_LCIA!H$60)+Transportation_LCIA!H$62</f>
        <v>3.6107816379944279E-4</v>
      </c>
      <c r="AE103" s="137">
        <f>Transportation_LCIA!I$61*($W103^Transportation_LCIA!I$60)+Transportation_LCIA!I$62</f>
        <v>8.0591675714929097E-6</v>
      </c>
      <c r="AF103" s="137">
        <f>Transportation_LCIA!J$61*($W103^Transportation_LCIA!J$60)+Transportation_LCIA!J$62</f>
        <v>1.1964774828826928E-2</v>
      </c>
      <c r="AG103" s="137">
        <f>Transportation_LCIA!K$61*($W103^Transportation_LCIA!K$60)+Transportation_LCIA!K$62</f>
        <v>1.5195002827775642E-2</v>
      </c>
      <c r="AH103" s="137">
        <f>Transportation_LCIA!L$61*($W103^Transportation_LCIA!L$60)+Transportation_LCIA!L$62</f>
        <v>3.1754527567534542E-4</v>
      </c>
      <c r="AI103" s="137">
        <f>Transportation_LCIA!M$61*($W103^Transportation_LCIA!M$60)+Transportation_LCIA!M$62</f>
        <v>2.9013540374786794E-4</v>
      </c>
      <c r="AJ103" s="137">
        <f>Transportation_LCIA!N$61*($W103^Transportation_LCIA!N$60)+Transportation_LCIA!N$62</f>
        <v>1.2730376617698762E-3</v>
      </c>
      <c r="AK103" s="137">
        <f>Transportation_LCIA!O$61*($W103^Transportation_LCIA!O$60)+Transportation_LCIA!O$62</f>
        <v>7.4124631538667591E-5</v>
      </c>
      <c r="AL103" s="137">
        <f>Transportation_LCIA!P$61*($W103^Transportation_LCIA!P$60)+Transportation_LCIA!P$62</f>
        <v>3.5802611393451831E-8</v>
      </c>
      <c r="AM103" s="137">
        <f>Transportation_LCIA!Q$61*($W103^Transportation_LCIA!Q$60)+Transportation_LCIA!Q$62</f>
        <v>1.2535917081520263E-4</v>
      </c>
      <c r="AN103" s="137">
        <f>Transportation_LCIA!R$61*($W103^Transportation_LCIA!R$60)+Transportation_LCIA!R$62</f>
        <v>3.8732436662072014E-4</v>
      </c>
      <c r="AO103" s="137">
        <f>Transportation_LCIA!S$61*($W103^Transportation_LCIA!S$60)+Transportation_LCIA!S$62</f>
        <v>5.7538657024500324E-6</v>
      </c>
      <c r="AP103" s="137">
        <f>Transportation_LCIA!T$61*($W103^Transportation_LCIA!T$60)+Transportation_LCIA!T$62</f>
        <v>5.7538657024500324E-6</v>
      </c>
      <c r="AQ103" s="137">
        <f>Transportation_LCIA!U$61*($W103^Transportation_LCIA!U$60)+Transportation_LCIA!U$62</f>
        <v>8.3645465454341723E-4</v>
      </c>
      <c r="AR103" s="137">
        <f>Transportation_LCIA!V$61*($W103^Transportation_LCIA!V$60)+Transportation_LCIA!V$62</f>
        <v>3.2616855470196486E-4</v>
      </c>
      <c r="AT103" s="137">
        <f>$W103*Y103+$L103*Summary_LCIA!H$32</f>
        <v>224.9609816998007</v>
      </c>
      <c r="AU103" s="137">
        <f>$W103*Z103+$L103*Summary_LCIA!Q$32</f>
        <v>2509.2974666558075</v>
      </c>
      <c r="AV103" s="137">
        <f>$W103*AA103+$L103*Summary_LCIA!R$32</f>
        <v>1.5509617570161645</v>
      </c>
      <c r="AW103" s="137">
        <f>$W103*AB103+$L103*Summary_LCIA!S$32</f>
        <v>224.51621477980069</v>
      </c>
      <c r="AX103" s="137">
        <f>$W103*AC103+$L103*Summary_LCIA!T$32</f>
        <v>57.953539837286442</v>
      </c>
      <c r="AY103" s="137">
        <f>$W103*AD103+$L103*Summary_LCIA!U$32</f>
        <v>2.0442720406421042</v>
      </c>
      <c r="AZ103" s="137">
        <f>$W103*AE103+$L103*Summary_LCIA!V$32</f>
        <v>1.0199737243915629E-2</v>
      </c>
      <c r="BA103" s="137">
        <f>$W103*AF103+$L103*Summary_LCIA!W$32</f>
        <v>15.752918672793896</v>
      </c>
      <c r="BB103" s="137">
        <f>$W103*AG103+$L103*Summary_LCIA!X$32</f>
        <v>12.461781694124062</v>
      </c>
      <c r="BC103" s="137">
        <f>$W103*AH103+$L103*Summary_LCIA!Y$32</f>
        <v>1.7804770618432217</v>
      </c>
      <c r="BD103" s="137">
        <f>$W103*AI103+$L103*Summary_LCIA!Z$32</f>
        <v>0.19830476527119031</v>
      </c>
      <c r="BE103" s="137">
        <f>$W103*AJ103+$L103*Summary_LCIA!AA$32</f>
        <v>3.2022235774927696</v>
      </c>
      <c r="BF103" s="137">
        <f>$W103*AK103+$L103*Summary_LCIA!AB$32</f>
        <v>4.7413244952893778E-2</v>
      </c>
      <c r="BG103" s="137">
        <f>$W103*AL103+$L103*Summary_LCIA!AC$32</f>
        <v>2.8880525272743461E-5</v>
      </c>
      <c r="BH103" s="137">
        <f>$W103*AM103+$L103*Summary_LCIA!AD$32</f>
        <v>0.12526012873101716</v>
      </c>
      <c r="BI103" s="137">
        <f>$W103*AN103+$L103*Summary_LCIA!AE$32</f>
        <v>0.34839132432539327</v>
      </c>
      <c r="BJ103" s="137">
        <f>$W103*AO103+$L103*Summary_LCIA!AF$32</f>
        <v>8.8922108180654713E-2</v>
      </c>
      <c r="BK103" s="137">
        <f>$W103*AP103+$L103*Summary_LCIA!AG$32</f>
        <v>8.9994045506547101E-3</v>
      </c>
      <c r="BL103" s="137">
        <f>$W103*AQ103+$L103*Summary_LCIA!AH$32</f>
        <v>1.4356203613525864</v>
      </c>
      <c r="BM103" s="137">
        <f>$W103*AR103+$L103*Summary_LCIA!AI$32</f>
        <v>0.31203216045919985</v>
      </c>
    </row>
    <row r="104" spans="1:65" x14ac:dyDescent="0.25">
      <c r="A104" s="149">
        <v>28</v>
      </c>
      <c r="B104" s="149">
        <v>6</v>
      </c>
      <c r="C104" s="61">
        <v>40.817663000000003</v>
      </c>
      <c r="D104" s="61">
        <v>-96.700036999999995</v>
      </c>
      <c r="E104" s="61" t="s">
        <v>265</v>
      </c>
      <c r="F104" s="149">
        <v>121</v>
      </c>
      <c r="G104" s="61" t="s">
        <v>287</v>
      </c>
      <c r="H104" s="61" t="s">
        <v>290</v>
      </c>
      <c r="I104" s="61">
        <v>41.301873000000001</v>
      </c>
      <c r="J104" s="61">
        <v>-95.893741000000006</v>
      </c>
      <c r="K104" s="61">
        <v>107.8641052</v>
      </c>
      <c r="L104" s="61">
        <v>100.626</v>
      </c>
      <c r="M104" s="61" t="s">
        <v>617</v>
      </c>
      <c r="N104" s="149">
        <v>5</v>
      </c>
      <c r="O104" s="149">
        <v>6</v>
      </c>
      <c r="P104" s="61" t="s">
        <v>565</v>
      </c>
      <c r="Q104" s="61" t="s">
        <v>564</v>
      </c>
      <c r="R104" s="61">
        <v>41.98028</v>
      </c>
      <c r="S104" s="61">
        <v>-87.908997900000003</v>
      </c>
      <c r="T104" s="61">
        <v>836.69100000000003</v>
      </c>
      <c r="U104" s="61" t="s">
        <v>617</v>
      </c>
      <c r="V104" s="61" t="s">
        <v>569</v>
      </c>
      <c r="W104" s="61" cm="1">
        <f t="array" ref="W104">getDistance(I104,J104,R104,S104)*SA!$B$12</f>
        <v>669.26749072627524</v>
      </c>
      <c r="X104" s="61"/>
      <c r="Y104" s="137">
        <f>Transportation_LCIA!C$61*($W104^Transportation_LCIA!C$60)+Transportation_LCIA!C$62</f>
        <v>0.28504039049137575</v>
      </c>
      <c r="Z104" s="137">
        <f>Transportation_LCIA!D$61*($W104^Transportation_LCIA!D$60)+Transportation_LCIA!D$62</f>
        <v>3.0041649469674656</v>
      </c>
      <c r="AA104" s="137">
        <f>Transportation_LCIA!E$61*($W104^Transportation_LCIA!E$60)+Transportation_LCIA!E$62</f>
        <v>1.525706097435096E-3</v>
      </c>
      <c r="AB104" s="137">
        <f>Transportation_LCIA!F$61*($W104^Transportation_LCIA!F$60)+Transportation_LCIA!F$62</f>
        <v>0.28504039049137575</v>
      </c>
      <c r="AC104" s="137">
        <f>Transportation_LCIA!G$61*($W104^Transportation_LCIA!G$60)+Transportation_LCIA!G$62</f>
        <v>7.0068758885027033E-2</v>
      </c>
      <c r="AD104" s="137">
        <f>Transportation_LCIA!H$61*($W104^Transportation_LCIA!H$60)+Transportation_LCIA!H$62</f>
        <v>3.6107816379944279E-4</v>
      </c>
      <c r="AE104" s="137">
        <f>Transportation_LCIA!I$61*($W104^Transportation_LCIA!I$60)+Transportation_LCIA!I$62</f>
        <v>8.0591675714929097E-6</v>
      </c>
      <c r="AF104" s="137">
        <f>Transportation_LCIA!J$61*($W104^Transportation_LCIA!J$60)+Transportation_LCIA!J$62</f>
        <v>1.1964774828826928E-2</v>
      </c>
      <c r="AG104" s="137">
        <f>Transportation_LCIA!K$61*($W104^Transportation_LCIA!K$60)+Transportation_LCIA!K$62</f>
        <v>1.5195002827775642E-2</v>
      </c>
      <c r="AH104" s="137">
        <f>Transportation_LCIA!L$61*($W104^Transportation_LCIA!L$60)+Transportation_LCIA!L$62</f>
        <v>3.1754527567534542E-4</v>
      </c>
      <c r="AI104" s="137">
        <f>Transportation_LCIA!M$61*($W104^Transportation_LCIA!M$60)+Transportation_LCIA!M$62</f>
        <v>2.9013540374786794E-4</v>
      </c>
      <c r="AJ104" s="137">
        <f>Transportation_LCIA!N$61*($W104^Transportation_LCIA!N$60)+Transportation_LCIA!N$62</f>
        <v>1.2730376617698762E-3</v>
      </c>
      <c r="AK104" s="137">
        <f>Transportation_LCIA!O$61*($W104^Transportation_LCIA!O$60)+Transportation_LCIA!O$62</f>
        <v>7.4124631538667591E-5</v>
      </c>
      <c r="AL104" s="137">
        <f>Transportation_LCIA!P$61*($W104^Transportation_LCIA!P$60)+Transportation_LCIA!P$62</f>
        <v>3.5802611393451831E-8</v>
      </c>
      <c r="AM104" s="137">
        <f>Transportation_LCIA!Q$61*($W104^Transportation_LCIA!Q$60)+Transportation_LCIA!Q$62</f>
        <v>1.2535917081520263E-4</v>
      </c>
      <c r="AN104" s="137">
        <f>Transportation_LCIA!R$61*($W104^Transportation_LCIA!R$60)+Transportation_LCIA!R$62</f>
        <v>3.8732436662072014E-4</v>
      </c>
      <c r="AO104" s="137">
        <f>Transportation_LCIA!S$61*($W104^Transportation_LCIA!S$60)+Transportation_LCIA!S$62</f>
        <v>5.7538657024500324E-6</v>
      </c>
      <c r="AP104" s="137">
        <f>Transportation_LCIA!T$61*($W104^Transportation_LCIA!T$60)+Transportation_LCIA!T$62</f>
        <v>5.7538657024500324E-6</v>
      </c>
      <c r="AQ104" s="137">
        <f>Transportation_LCIA!U$61*($W104^Transportation_LCIA!U$60)+Transportation_LCIA!U$62</f>
        <v>8.3645465454341723E-4</v>
      </c>
      <c r="AR104" s="137">
        <f>Transportation_LCIA!V$61*($W104^Transportation_LCIA!V$60)+Transportation_LCIA!V$62</f>
        <v>3.2616855470196486E-4</v>
      </c>
      <c r="AT104" s="137">
        <f>$W104*Y104+$L104*Summary_LCIA!H$32</f>
        <v>224.9609816998007</v>
      </c>
      <c r="AU104" s="137">
        <f>$W104*Z104+$L104*Summary_LCIA!Q$32</f>
        <v>2509.2974666558075</v>
      </c>
      <c r="AV104" s="137">
        <f>$W104*AA104+$L104*Summary_LCIA!R$32</f>
        <v>1.5509617570161645</v>
      </c>
      <c r="AW104" s="137">
        <f>$W104*AB104+$L104*Summary_LCIA!S$32</f>
        <v>224.51621477980069</v>
      </c>
      <c r="AX104" s="137">
        <f>$W104*AC104+$L104*Summary_LCIA!T$32</f>
        <v>57.953539837286442</v>
      </c>
      <c r="AY104" s="137">
        <f>$W104*AD104+$L104*Summary_LCIA!U$32</f>
        <v>2.0442720406421042</v>
      </c>
      <c r="AZ104" s="137">
        <f>$W104*AE104+$L104*Summary_LCIA!V$32</f>
        <v>1.0199737243915629E-2</v>
      </c>
      <c r="BA104" s="137">
        <f>$W104*AF104+$L104*Summary_LCIA!W$32</f>
        <v>15.752918672793896</v>
      </c>
      <c r="BB104" s="137">
        <f>$W104*AG104+$L104*Summary_LCIA!X$32</f>
        <v>12.461781694124062</v>
      </c>
      <c r="BC104" s="137">
        <f>$W104*AH104+$L104*Summary_LCIA!Y$32</f>
        <v>1.7804770618432217</v>
      </c>
      <c r="BD104" s="137">
        <f>$W104*AI104+$L104*Summary_LCIA!Z$32</f>
        <v>0.19830476527119031</v>
      </c>
      <c r="BE104" s="137">
        <f>$W104*AJ104+$L104*Summary_LCIA!AA$32</f>
        <v>3.2022235774927696</v>
      </c>
      <c r="BF104" s="137">
        <f>$W104*AK104+$L104*Summary_LCIA!AB$32</f>
        <v>4.7413244952893778E-2</v>
      </c>
      <c r="BG104" s="137">
        <f>$W104*AL104+$L104*Summary_LCIA!AC$32</f>
        <v>2.8880525272743461E-5</v>
      </c>
      <c r="BH104" s="137">
        <f>$W104*AM104+$L104*Summary_LCIA!AD$32</f>
        <v>0.12526012873101716</v>
      </c>
      <c r="BI104" s="137">
        <f>$W104*AN104+$L104*Summary_LCIA!AE$32</f>
        <v>0.34839132432539327</v>
      </c>
      <c r="BJ104" s="137">
        <f>$W104*AO104+$L104*Summary_LCIA!AF$32</f>
        <v>8.8922108180654713E-2</v>
      </c>
      <c r="BK104" s="137">
        <f>$W104*AP104+$L104*Summary_LCIA!AG$32</f>
        <v>8.9994045506547101E-3</v>
      </c>
      <c r="BL104" s="137">
        <f>$W104*AQ104+$L104*Summary_LCIA!AH$32</f>
        <v>1.4356203613525864</v>
      </c>
      <c r="BM104" s="137">
        <f>$W104*AR104+$L104*Summary_LCIA!AI$32</f>
        <v>0.31203216045919985</v>
      </c>
    </row>
    <row r="105" spans="1:65" x14ac:dyDescent="0.25">
      <c r="A105" s="149">
        <v>29</v>
      </c>
      <c r="B105" s="149">
        <v>6</v>
      </c>
      <c r="C105" s="61">
        <v>40.817663000000003</v>
      </c>
      <c r="D105" s="61">
        <v>-96.700036999999995</v>
      </c>
      <c r="E105" s="61" t="s">
        <v>265</v>
      </c>
      <c r="F105" s="149">
        <v>121</v>
      </c>
      <c r="G105" s="61" t="s">
        <v>287</v>
      </c>
      <c r="H105" s="61" t="s">
        <v>290</v>
      </c>
      <c r="I105" s="61">
        <v>41.301873000000001</v>
      </c>
      <c r="J105" s="61">
        <v>-95.893741000000006</v>
      </c>
      <c r="K105" s="61">
        <v>107.8641052</v>
      </c>
      <c r="L105" s="61">
        <v>100.626</v>
      </c>
      <c r="M105" s="61" t="s">
        <v>617</v>
      </c>
      <c r="N105" s="149">
        <v>5</v>
      </c>
      <c r="O105" s="149">
        <v>6</v>
      </c>
      <c r="P105" s="61" t="s">
        <v>565</v>
      </c>
      <c r="Q105" s="61" t="s">
        <v>564</v>
      </c>
      <c r="R105" s="61">
        <v>41.98028</v>
      </c>
      <c r="S105" s="61">
        <v>-87.908997900000003</v>
      </c>
      <c r="T105" s="61">
        <v>836.69100000000003</v>
      </c>
      <c r="U105" s="61" t="s">
        <v>617</v>
      </c>
      <c r="V105" s="61" t="s">
        <v>569</v>
      </c>
      <c r="W105" s="61" cm="1">
        <f t="array" ref="W105">getDistance(I105,J105,R105,S105)*SA!$B$12</f>
        <v>669.26749072627524</v>
      </c>
      <c r="X105" s="61"/>
      <c r="Y105" s="137">
        <f>Transportation_LCIA!C$61*($W105^Transportation_LCIA!C$60)+Transportation_LCIA!C$62</f>
        <v>0.28504039049137575</v>
      </c>
      <c r="Z105" s="137">
        <f>Transportation_LCIA!D$61*($W105^Transportation_LCIA!D$60)+Transportation_LCIA!D$62</f>
        <v>3.0041649469674656</v>
      </c>
      <c r="AA105" s="137">
        <f>Transportation_LCIA!E$61*($W105^Transportation_LCIA!E$60)+Transportation_LCIA!E$62</f>
        <v>1.525706097435096E-3</v>
      </c>
      <c r="AB105" s="137">
        <f>Transportation_LCIA!F$61*($W105^Transportation_LCIA!F$60)+Transportation_LCIA!F$62</f>
        <v>0.28504039049137575</v>
      </c>
      <c r="AC105" s="137">
        <f>Transportation_LCIA!G$61*($W105^Transportation_LCIA!G$60)+Transportation_LCIA!G$62</f>
        <v>7.0068758885027033E-2</v>
      </c>
      <c r="AD105" s="137">
        <f>Transportation_LCIA!H$61*($W105^Transportation_LCIA!H$60)+Transportation_LCIA!H$62</f>
        <v>3.6107816379944279E-4</v>
      </c>
      <c r="AE105" s="137">
        <f>Transportation_LCIA!I$61*($W105^Transportation_LCIA!I$60)+Transportation_LCIA!I$62</f>
        <v>8.0591675714929097E-6</v>
      </c>
      <c r="AF105" s="137">
        <f>Transportation_LCIA!J$61*($W105^Transportation_LCIA!J$60)+Transportation_LCIA!J$62</f>
        <v>1.1964774828826928E-2</v>
      </c>
      <c r="AG105" s="137">
        <f>Transportation_LCIA!K$61*($W105^Transportation_LCIA!K$60)+Transportation_LCIA!K$62</f>
        <v>1.5195002827775642E-2</v>
      </c>
      <c r="AH105" s="137">
        <f>Transportation_LCIA!L$61*($W105^Transportation_LCIA!L$60)+Transportation_LCIA!L$62</f>
        <v>3.1754527567534542E-4</v>
      </c>
      <c r="AI105" s="137">
        <f>Transportation_LCIA!M$61*($W105^Transportation_LCIA!M$60)+Transportation_LCIA!M$62</f>
        <v>2.9013540374786794E-4</v>
      </c>
      <c r="AJ105" s="137">
        <f>Transportation_LCIA!N$61*($W105^Transportation_LCIA!N$60)+Transportation_LCIA!N$62</f>
        <v>1.2730376617698762E-3</v>
      </c>
      <c r="AK105" s="137">
        <f>Transportation_LCIA!O$61*($W105^Transportation_LCIA!O$60)+Transportation_LCIA!O$62</f>
        <v>7.4124631538667591E-5</v>
      </c>
      <c r="AL105" s="137">
        <f>Transportation_LCIA!P$61*($W105^Transportation_LCIA!P$60)+Transportation_LCIA!P$62</f>
        <v>3.5802611393451831E-8</v>
      </c>
      <c r="AM105" s="137">
        <f>Transportation_LCIA!Q$61*($W105^Transportation_LCIA!Q$60)+Transportation_LCIA!Q$62</f>
        <v>1.2535917081520263E-4</v>
      </c>
      <c r="AN105" s="137">
        <f>Transportation_LCIA!R$61*($W105^Transportation_LCIA!R$60)+Transportation_LCIA!R$62</f>
        <v>3.8732436662072014E-4</v>
      </c>
      <c r="AO105" s="137">
        <f>Transportation_LCIA!S$61*($W105^Transportation_LCIA!S$60)+Transportation_LCIA!S$62</f>
        <v>5.7538657024500324E-6</v>
      </c>
      <c r="AP105" s="137">
        <f>Transportation_LCIA!T$61*($W105^Transportation_LCIA!T$60)+Transportation_LCIA!T$62</f>
        <v>5.7538657024500324E-6</v>
      </c>
      <c r="AQ105" s="137">
        <f>Transportation_LCIA!U$61*($W105^Transportation_LCIA!U$60)+Transportation_LCIA!U$62</f>
        <v>8.3645465454341723E-4</v>
      </c>
      <c r="AR105" s="137">
        <f>Transportation_LCIA!V$61*($W105^Transportation_LCIA!V$60)+Transportation_LCIA!V$62</f>
        <v>3.2616855470196486E-4</v>
      </c>
      <c r="AT105" s="137">
        <f>$W105*Y105+$L105*Summary_LCIA!H$32</f>
        <v>224.9609816998007</v>
      </c>
      <c r="AU105" s="137">
        <f>$W105*Z105+$L105*Summary_LCIA!Q$32</f>
        <v>2509.2974666558075</v>
      </c>
      <c r="AV105" s="137">
        <f>$W105*AA105+$L105*Summary_LCIA!R$32</f>
        <v>1.5509617570161645</v>
      </c>
      <c r="AW105" s="137">
        <f>$W105*AB105+$L105*Summary_LCIA!S$32</f>
        <v>224.51621477980069</v>
      </c>
      <c r="AX105" s="137">
        <f>$W105*AC105+$L105*Summary_LCIA!T$32</f>
        <v>57.953539837286442</v>
      </c>
      <c r="AY105" s="137">
        <f>$W105*AD105+$L105*Summary_LCIA!U$32</f>
        <v>2.0442720406421042</v>
      </c>
      <c r="AZ105" s="137">
        <f>$W105*AE105+$L105*Summary_LCIA!V$32</f>
        <v>1.0199737243915629E-2</v>
      </c>
      <c r="BA105" s="137">
        <f>$W105*AF105+$L105*Summary_LCIA!W$32</f>
        <v>15.752918672793896</v>
      </c>
      <c r="BB105" s="137">
        <f>$W105*AG105+$L105*Summary_LCIA!X$32</f>
        <v>12.461781694124062</v>
      </c>
      <c r="BC105" s="137">
        <f>$W105*AH105+$L105*Summary_LCIA!Y$32</f>
        <v>1.7804770618432217</v>
      </c>
      <c r="BD105" s="137">
        <f>$W105*AI105+$L105*Summary_LCIA!Z$32</f>
        <v>0.19830476527119031</v>
      </c>
      <c r="BE105" s="137">
        <f>$W105*AJ105+$L105*Summary_LCIA!AA$32</f>
        <v>3.2022235774927696</v>
      </c>
      <c r="BF105" s="137">
        <f>$W105*AK105+$L105*Summary_LCIA!AB$32</f>
        <v>4.7413244952893778E-2</v>
      </c>
      <c r="BG105" s="137">
        <f>$W105*AL105+$L105*Summary_LCIA!AC$32</f>
        <v>2.8880525272743461E-5</v>
      </c>
      <c r="BH105" s="137">
        <f>$W105*AM105+$L105*Summary_LCIA!AD$32</f>
        <v>0.12526012873101716</v>
      </c>
      <c r="BI105" s="137">
        <f>$W105*AN105+$L105*Summary_LCIA!AE$32</f>
        <v>0.34839132432539327</v>
      </c>
      <c r="BJ105" s="137">
        <f>$W105*AO105+$L105*Summary_LCIA!AF$32</f>
        <v>8.8922108180654713E-2</v>
      </c>
      <c r="BK105" s="137">
        <f>$W105*AP105+$L105*Summary_LCIA!AG$32</f>
        <v>8.9994045506547101E-3</v>
      </c>
      <c r="BL105" s="137">
        <f>$W105*AQ105+$L105*Summary_LCIA!AH$32</f>
        <v>1.4356203613525864</v>
      </c>
      <c r="BM105" s="137">
        <f>$W105*AR105+$L105*Summary_LCIA!AI$32</f>
        <v>0.31203216045919985</v>
      </c>
    </row>
    <row r="106" spans="1:65" x14ac:dyDescent="0.25">
      <c r="A106" s="149">
        <v>30</v>
      </c>
      <c r="B106" s="149">
        <v>6</v>
      </c>
      <c r="C106" s="61">
        <v>40.817663000000003</v>
      </c>
      <c r="D106" s="61">
        <v>-96.700036999999995</v>
      </c>
      <c r="E106" s="61" t="s">
        <v>265</v>
      </c>
      <c r="F106" s="149">
        <v>121</v>
      </c>
      <c r="G106" s="61" t="s">
        <v>287</v>
      </c>
      <c r="H106" s="61" t="s">
        <v>290</v>
      </c>
      <c r="I106" s="61">
        <v>41.301873000000001</v>
      </c>
      <c r="J106" s="61">
        <v>-95.893741000000006</v>
      </c>
      <c r="K106" s="61">
        <v>107.8641052</v>
      </c>
      <c r="L106" s="61">
        <v>100.626</v>
      </c>
      <c r="M106" s="61" t="s">
        <v>617</v>
      </c>
      <c r="N106" s="149">
        <v>5</v>
      </c>
      <c r="O106" s="149">
        <v>6</v>
      </c>
      <c r="P106" s="61" t="s">
        <v>565</v>
      </c>
      <c r="Q106" s="61" t="s">
        <v>564</v>
      </c>
      <c r="R106" s="61">
        <v>41.98028</v>
      </c>
      <c r="S106" s="61">
        <v>-87.908997900000003</v>
      </c>
      <c r="T106" s="61">
        <v>836.69100000000003</v>
      </c>
      <c r="U106" s="61" t="s">
        <v>617</v>
      </c>
      <c r="V106" s="61" t="s">
        <v>569</v>
      </c>
      <c r="W106" s="61" cm="1">
        <f t="array" ref="W106">getDistance(I106,J106,R106,S106)*SA!$B$12</f>
        <v>669.26749072627524</v>
      </c>
      <c r="X106" s="61"/>
      <c r="Y106" s="137">
        <f>Transportation_LCIA!C$61*($W106^Transportation_LCIA!C$60)+Transportation_LCIA!C$62</f>
        <v>0.28504039049137575</v>
      </c>
      <c r="Z106" s="137">
        <f>Transportation_LCIA!D$61*($W106^Transportation_LCIA!D$60)+Transportation_LCIA!D$62</f>
        <v>3.0041649469674656</v>
      </c>
      <c r="AA106" s="137">
        <f>Transportation_LCIA!E$61*($W106^Transportation_LCIA!E$60)+Transportation_LCIA!E$62</f>
        <v>1.525706097435096E-3</v>
      </c>
      <c r="AB106" s="137">
        <f>Transportation_LCIA!F$61*($W106^Transportation_LCIA!F$60)+Transportation_LCIA!F$62</f>
        <v>0.28504039049137575</v>
      </c>
      <c r="AC106" s="137">
        <f>Transportation_LCIA!G$61*($W106^Transportation_LCIA!G$60)+Transportation_LCIA!G$62</f>
        <v>7.0068758885027033E-2</v>
      </c>
      <c r="AD106" s="137">
        <f>Transportation_LCIA!H$61*($W106^Transportation_LCIA!H$60)+Transportation_LCIA!H$62</f>
        <v>3.6107816379944279E-4</v>
      </c>
      <c r="AE106" s="137">
        <f>Transportation_LCIA!I$61*($W106^Transportation_LCIA!I$60)+Transportation_LCIA!I$62</f>
        <v>8.0591675714929097E-6</v>
      </c>
      <c r="AF106" s="137">
        <f>Transportation_LCIA!J$61*($W106^Transportation_LCIA!J$60)+Transportation_LCIA!J$62</f>
        <v>1.1964774828826928E-2</v>
      </c>
      <c r="AG106" s="137">
        <f>Transportation_LCIA!K$61*($W106^Transportation_LCIA!K$60)+Transportation_LCIA!K$62</f>
        <v>1.5195002827775642E-2</v>
      </c>
      <c r="AH106" s="137">
        <f>Transportation_LCIA!L$61*($W106^Transportation_LCIA!L$60)+Transportation_LCIA!L$62</f>
        <v>3.1754527567534542E-4</v>
      </c>
      <c r="AI106" s="137">
        <f>Transportation_LCIA!M$61*($W106^Transportation_LCIA!M$60)+Transportation_LCIA!M$62</f>
        <v>2.9013540374786794E-4</v>
      </c>
      <c r="AJ106" s="137">
        <f>Transportation_LCIA!N$61*($W106^Transportation_LCIA!N$60)+Transportation_LCIA!N$62</f>
        <v>1.2730376617698762E-3</v>
      </c>
      <c r="AK106" s="137">
        <f>Transportation_LCIA!O$61*($W106^Transportation_LCIA!O$60)+Transportation_LCIA!O$62</f>
        <v>7.4124631538667591E-5</v>
      </c>
      <c r="AL106" s="137">
        <f>Transportation_LCIA!P$61*($W106^Transportation_LCIA!P$60)+Transportation_LCIA!P$62</f>
        <v>3.5802611393451831E-8</v>
      </c>
      <c r="AM106" s="137">
        <f>Transportation_LCIA!Q$61*($W106^Transportation_LCIA!Q$60)+Transportation_LCIA!Q$62</f>
        <v>1.2535917081520263E-4</v>
      </c>
      <c r="AN106" s="137">
        <f>Transportation_LCIA!R$61*($W106^Transportation_LCIA!R$60)+Transportation_LCIA!R$62</f>
        <v>3.8732436662072014E-4</v>
      </c>
      <c r="AO106" s="137">
        <f>Transportation_LCIA!S$61*($W106^Transportation_LCIA!S$60)+Transportation_LCIA!S$62</f>
        <v>5.7538657024500324E-6</v>
      </c>
      <c r="AP106" s="137">
        <f>Transportation_LCIA!T$61*($W106^Transportation_LCIA!T$60)+Transportation_LCIA!T$62</f>
        <v>5.7538657024500324E-6</v>
      </c>
      <c r="AQ106" s="137">
        <f>Transportation_LCIA!U$61*($W106^Transportation_LCIA!U$60)+Transportation_LCIA!U$62</f>
        <v>8.3645465454341723E-4</v>
      </c>
      <c r="AR106" s="137">
        <f>Transportation_LCIA!V$61*($W106^Transportation_LCIA!V$60)+Transportation_LCIA!V$62</f>
        <v>3.2616855470196486E-4</v>
      </c>
      <c r="AT106" s="137">
        <f>$W106*Y106+$L106*Summary_LCIA!H$32</f>
        <v>224.9609816998007</v>
      </c>
      <c r="AU106" s="137">
        <f>$W106*Z106+$L106*Summary_LCIA!Q$32</f>
        <v>2509.2974666558075</v>
      </c>
      <c r="AV106" s="137">
        <f>$W106*AA106+$L106*Summary_LCIA!R$32</f>
        <v>1.5509617570161645</v>
      </c>
      <c r="AW106" s="137">
        <f>$W106*AB106+$L106*Summary_LCIA!S$32</f>
        <v>224.51621477980069</v>
      </c>
      <c r="AX106" s="137">
        <f>$W106*AC106+$L106*Summary_LCIA!T$32</f>
        <v>57.953539837286442</v>
      </c>
      <c r="AY106" s="137">
        <f>$W106*AD106+$L106*Summary_LCIA!U$32</f>
        <v>2.0442720406421042</v>
      </c>
      <c r="AZ106" s="137">
        <f>$W106*AE106+$L106*Summary_LCIA!V$32</f>
        <v>1.0199737243915629E-2</v>
      </c>
      <c r="BA106" s="137">
        <f>$W106*AF106+$L106*Summary_LCIA!W$32</f>
        <v>15.752918672793896</v>
      </c>
      <c r="BB106" s="137">
        <f>$W106*AG106+$L106*Summary_LCIA!X$32</f>
        <v>12.461781694124062</v>
      </c>
      <c r="BC106" s="137">
        <f>$W106*AH106+$L106*Summary_LCIA!Y$32</f>
        <v>1.7804770618432217</v>
      </c>
      <c r="BD106" s="137">
        <f>$W106*AI106+$L106*Summary_LCIA!Z$32</f>
        <v>0.19830476527119031</v>
      </c>
      <c r="BE106" s="137">
        <f>$W106*AJ106+$L106*Summary_LCIA!AA$32</f>
        <v>3.2022235774927696</v>
      </c>
      <c r="BF106" s="137">
        <f>$W106*AK106+$L106*Summary_LCIA!AB$32</f>
        <v>4.7413244952893778E-2</v>
      </c>
      <c r="BG106" s="137">
        <f>$W106*AL106+$L106*Summary_LCIA!AC$32</f>
        <v>2.8880525272743461E-5</v>
      </c>
      <c r="BH106" s="137">
        <f>$W106*AM106+$L106*Summary_LCIA!AD$32</f>
        <v>0.12526012873101716</v>
      </c>
      <c r="BI106" s="137">
        <f>$W106*AN106+$L106*Summary_LCIA!AE$32</f>
        <v>0.34839132432539327</v>
      </c>
      <c r="BJ106" s="137">
        <f>$W106*AO106+$L106*Summary_LCIA!AF$32</f>
        <v>8.8922108180654713E-2</v>
      </c>
      <c r="BK106" s="137">
        <f>$W106*AP106+$L106*Summary_LCIA!AG$32</f>
        <v>8.9994045506547101E-3</v>
      </c>
      <c r="BL106" s="137">
        <f>$W106*AQ106+$L106*Summary_LCIA!AH$32</f>
        <v>1.4356203613525864</v>
      </c>
      <c r="BM106" s="137">
        <f>$W106*AR106+$L106*Summary_LCIA!AI$32</f>
        <v>0.31203216045919985</v>
      </c>
    </row>
    <row r="107" spans="1:65" x14ac:dyDescent="0.25">
      <c r="A107" s="149">
        <v>31</v>
      </c>
      <c r="B107" s="149">
        <v>6</v>
      </c>
      <c r="C107" s="61">
        <v>40.817663000000003</v>
      </c>
      <c r="D107" s="61">
        <v>-96.700036999999995</v>
      </c>
      <c r="E107" s="61" t="s">
        <v>265</v>
      </c>
      <c r="F107" s="149">
        <v>121</v>
      </c>
      <c r="G107" s="61" t="s">
        <v>287</v>
      </c>
      <c r="H107" s="61" t="s">
        <v>290</v>
      </c>
      <c r="I107" s="61">
        <v>41.301873000000001</v>
      </c>
      <c r="J107" s="61">
        <v>-95.893741000000006</v>
      </c>
      <c r="K107" s="61">
        <v>107.8641052</v>
      </c>
      <c r="L107" s="61">
        <v>100.626</v>
      </c>
      <c r="M107" s="61" t="s">
        <v>617</v>
      </c>
      <c r="N107" s="149">
        <v>5</v>
      </c>
      <c r="O107" s="149">
        <v>6</v>
      </c>
      <c r="P107" s="61" t="s">
        <v>565</v>
      </c>
      <c r="Q107" s="61" t="s">
        <v>564</v>
      </c>
      <c r="R107" s="61">
        <v>41.98028</v>
      </c>
      <c r="S107" s="61">
        <v>-87.908997900000003</v>
      </c>
      <c r="T107" s="61">
        <v>836.69100000000003</v>
      </c>
      <c r="U107" s="61" t="s">
        <v>617</v>
      </c>
      <c r="V107" s="61" t="s">
        <v>569</v>
      </c>
      <c r="W107" s="61" cm="1">
        <f t="array" ref="W107">getDistance(I107,J107,R107,S107)*SA!$B$12</f>
        <v>669.26749072627524</v>
      </c>
      <c r="X107" s="61"/>
      <c r="Y107" s="137">
        <f>Transportation_LCIA!C$61*($W107^Transportation_LCIA!C$60)+Transportation_LCIA!C$62</f>
        <v>0.28504039049137575</v>
      </c>
      <c r="Z107" s="137">
        <f>Transportation_LCIA!D$61*($W107^Transportation_LCIA!D$60)+Transportation_LCIA!D$62</f>
        <v>3.0041649469674656</v>
      </c>
      <c r="AA107" s="137">
        <f>Transportation_LCIA!E$61*($W107^Transportation_LCIA!E$60)+Transportation_LCIA!E$62</f>
        <v>1.525706097435096E-3</v>
      </c>
      <c r="AB107" s="137">
        <f>Transportation_LCIA!F$61*($W107^Transportation_LCIA!F$60)+Transportation_LCIA!F$62</f>
        <v>0.28504039049137575</v>
      </c>
      <c r="AC107" s="137">
        <f>Transportation_LCIA!G$61*($W107^Transportation_LCIA!G$60)+Transportation_LCIA!G$62</f>
        <v>7.0068758885027033E-2</v>
      </c>
      <c r="AD107" s="137">
        <f>Transportation_LCIA!H$61*($W107^Transportation_LCIA!H$60)+Transportation_LCIA!H$62</f>
        <v>3.6107816379944279E-4</v>
      </c>
      <c r="AE107" s="137">
        <f>Transportation_LCIA!I$61*($W107^Transportation_LCIA!I$60)+Transportation_LCIA!I$62</f>
        <v>8.0591675714929097E-6</v>
      </c>
      <c r="AF107" s="137">
        <f>Transportation_LCIA!J$61*($W107^Transportation_LCIA!J$60)+Transportation_LCIA!J$62</f>
        <v>1.1964774828826928E-2</v>
      </c>
      <c r="AG107" s="137">
        <f>Transportation_LCIA!K$61*($W107^Transportation_LCIA!K$60)+Transportation_LCIA!K$62</f>
        <v>1.5195002827775642E-2</v>
      </c>
      <c r="AH107" s="137">
        <f>Transportation_LCIA!L$61*($W107^Transportation_LCIA!L$60)+Transportation_LCIA!L$62</f>
        <v>3.1754527567534542E-4</v>
      </c>
      <c r="AI107" s="137">
        <f>Transportation_LCIA!M$61*($W107^Transportation_LCIA!M$60)+Transportation_LCIA!M$62</f>
        <v>2.9013540374786794E-4</v>
      </c>
      <c r="AJ107" s="137">
        <f>Transportation_LCIA!N$61*($W107^Transportation_LCIA!N$60)+Transportation_LCIA!N$62</f>
        <v>1.2730376617698762E-3</v>
      </c>
      <c r="AK107" s="137">
        <f>Transportation_LCIA!O$61*($W107^Transportation_LCIA!O$60)+Transportation_LCIA!O$62</f>
        <v>7.4124631538667591E-5</v>
      </c>
      <c r="AL107" s="137">
        <f>Transportation_LCIA!P$61*($W107^Transportation_LCIA!P$60)+Transportation_LCIA!P$62</f>
        <v>3.5802611393451831E-8</v>
      </c>
      <c r="AM107" s="137">
        <f>Transportation_LCIA!Q$61*($W107^Transportation_LCIA!Q$60)+Transportation_LCIA!Q$62</f>
        <v>1.2535917081520263E-4</v>
      </c>
      <c r="AN107" s="137">
        <f>Transportation_LCIA!R$61*($W107^Transportation_LCIA!R$60)+Transportation_LCIA!R$62</f>
        <v>3.8732436662072014E-4</v>
      </c>
      <c r="AO107" s="137">
        <f>Transportation_LCIA!S$61*($W107^Transportation_LCIA!S$60)+Transportation_LCIA!S$62</f>
        <v>5.7538657024500324E-6</v>
      </c>
      <c r="AP107" s="137">
        <f>Transportation_LCIA!T$61*($W107^Transportation_LCIA!T$60)+Transportation_LCIA!T$62</f>
        <v>5.7538657024500324E-6</v>
      </c>
      <c r="AQ107" s="137">
        <f>Transportation_LCIA!U$61*($W107^Transportation_LCIA!U$60)+Transportation_LCIA!U$62</f>
        <v>8.3645465454341723E-4</v>
      </c>
      <c r="AR107" s="137">
        <f>Transportation_LCIA!V$61*($W107^Transportation_LCIA!V$60)+Transportation_LCIA!V$62</f>
        <v>3.2616855470196486E-4</v>
      </c>
      <c r="AT107" s="137">
        <f>$W107*Y107+$L107*Summary_LCIA!H$32</f>
        <v>224.9609816998007</v>
      </c>
      <c r="AU107" s="137">
        <f>$W107*Z107+$L107*Summary_LCIA!Q$32</f>
        <v>2509.2974666558075</v>
      </c>
      <c r="AV107" s="137">
        <f>$W107*AA107+$L107*Summary_LCIA!R$32</f>
        <v>1.5509617570161645</v>
      </c>
      <c r="AW107" s="137">
        <f>$W107*AB107+$L107*Summary_LCIA!S$32</f>
        <v>224.51621477980069</v>
      </c>
      <c r="AX107" s="137">
        <f>$W107*AC107+$L107*Summary_LCIA!T$32</f>
        <v>57.953539837286442</v>
      </c>
      <c r="AY107" s="137">
        <f>$W107*AD107+$L107*Summary_LCIA!U$32</f>
        <v>2.0442720406421042</v>
      </c>
      <c r="AZ107" s="137">
        <f>$W107*AE107+$L107*Summary_LCIA!V$32</f>
        <v>1.0199737243915629E-2</v>
      </c>
      <c r="BA107" s="137">
        <f>$W107*AF107+$L107*Summary_LCIA!W$32</f>
        <v>15.752918672793896</v>
      </c>
      <c r="BB107" s="137">
        <f>$W107*AG107+$L107*Summary_LCIA!X$32</f>
        <v>12.461781694124062</v>
      </c>
      <c r="BC107" s="137">
        <f>$W107*AH107+$L107*Summary_LCIA!Y$32</f>
        <v>1.7804770618432217</v>
      </c>
      <c r="BD107" s="137">
        <f>$W107*AI107+$L107*Summary_LCIA!Z$32</f>
        <v>0.19830476527119031</v>
      </c>
      <c r="BE107" s="137">
        <f>$W107*AJ107+$L107*Summary_LCIA!AA$32</f>
        <v>3.2022235774927696</v>
      </c>
      <c r="BF107" s="137">
        <f>$W107*AK107+$L107*Summary_LCIA!AB$32</f>
        <v>4.7413244952893778E-2</v>
      </c>
      <c r="BG107" s="137">
        <f>$W107*AL107+$L107*Summary_LCIA!AC$32</f>
        <v>2.8880525272743461E-5</v>
      </c>
      <c r="BH107" s="137">
        <f>$W107*AM107+$L107*Summary_LCIA!AD$32</f>
        <v>0.12526012873101716</v>
      </c>
      <c r="BI107" s="137">
        <f>$W107*AN107+$L107*Summary_LCIA!AE$32</f>
        <v>0.34839132432539327</v>
      </c>
      <c r="BJ107" s="137">
        <f>$W107*AO107+$L107*Summary_LCIA!AF$32</f>
        <v>8.8922108180654713E-2</v>
      </c>
      <c r="BK107" s="137">
        <f>$W107*AP107+$L107*Summary_LCIA!AG$32</f>
        <v>8.9994045506547101E-3</v>
      </c>
      <c r="BL107" s="137">
        <f>$W107*AQ107+$L107*Summary_LCIA!AH$32</f>
        <v>1.4356203613525864</v>
      </c>
      <c r="BM107" s="137">
        <f>$W107*AR107+$L107*Summary_LCIA!AI$32</f>
        <v>0.31203216045919985</v>
      </c>
    </row>
    <row r="108" spans="1:65" x14ac:dyDescent="0.25">
      <c r="A108" s="149">
        <v>32</v>
      </c>
      <c r="B108" s="149">
        <v>6</v>
      </c>
      <c r="C108" s="61">
        <v>40.817663000000003</v>
      </c>
      <c r="D108" s="61">
        <v>-96.700036999999995</v>
      </c>
      <c r="E108" s="61" t="s">
        <v>265</v>
      </c>
      <c r="F108" s="149">
        <v>121</v>
      </c>
      <c r="G108" s="61" t="s">
        <v>287</v>
      </c>
      <c r="H108" s="61" t="s">
        <v>290</v>
      </c>
      <c r="I108" s="61">
        <v>41.301873000000001</v>
      </c>
      <c r="J108" s="61">
        <v>-95.893741000000006</v>
      </c>
      <c r="K108" s="61">
        <v>107.8641052</v>
      </c>
      <c r="L108" s="61">
        <v>100.626</v>
      </c>
      <c r="M108" s="61" t="s">
        <v>617</v>
      </c>
      <c r="N108" s="149">
        <v>5</v>
      </c>
      <c r="O108" s="149">
        <v>6</v>
      </c>
      <c r="P108" s="61" t="s">
        <v>565</v>
      </c>
      <c r="Q108" s="61" t="s">
        <v>564</v>
      </c>
      <c r="R108" s="61">
        <v>41.98028</v>
      </c>
      <c r="S108" s="61">
        <v>-87.908997900000003</v>
      </c>
      <c r="T108" s="61">
        <v>836.69100000000003</v>
      </c>
      <c r="U108" s="61" t="s">
        <v>617</v>
      </c>
      <c r="V108" s="61" t="s">
        <v>569</v>
      </c>
      <c r="W108" s="61" cm="1">
        <f t="array" ref="W108">getDistance(I108,J108,R108,S108)*SA!$B$12</f>
        <v>669.26749072627524</v>
      </c>
      <c r="X108" s="61"/>
      <c r="Y108" s="137">
        <f>Transportation_LCIA!C$61*($W108^Transportation_LCIA!C$60)+Transportation_LCIA!C$62</f>
        <v>0.28504039049137575</v>
      </c>
      <c r="Z108" s="137">
        <f>Transportation_LCIA!D$61*($W108^Transportation_LCIA!D$60)+Transportation_LCIA!D$62</f>
        <v>3.0041649469674656</v>
      </c>
      <c r="AA108" s="137">
        <f>Transportation_LCIA!E$61*($W108^Transportation_LCIA!E$60)+Transportation_LCIA!E$62</f>
        <v>1.525706097435096E-3</v>
      </c>
      <c r="AB108" s="137">
        <f>Transportation_LCIA!F$61*($W108^Transportation_LCIA!F$60)+Transportation_LCIA!F$62</f>
        <v>0.28504039049137575</v>
      </c>
      <c r="AC108" s="137">
        <f>Transportation_LCIA!G$61*($W108^Transportation_LCIA!G$60)+Transportation_LCIA!G$62</f>
        <v>7.0068758885027033E-2</v>
      </c>
      <c r="AD108" s="137">
        <f>Transportation_LCIA!H$61*($W108^Transportation_LCIA!H$60)+Transportation_LCIA!H$62</f>
        <v>3.6107816379944279E-4</v>
      </c>
      <c r="AE108" s="137">
        <f>Transportation_LCIA!I$61*($W108^Transportation_LCIA!I$60)+Transportation_LCIA!I$62</f>
        <v>8.0591675714929097E-6</v>
      </c>
      <c r="AF108" s="137">
        <f>Transportation_LCIA!J$61*($W108^Transportation_LCIA!J$60)+Transportation_LCIA!J$62</f>
        <v>1.1964774828826928E-2</v>
      </c>
      <c r="AG108" s="137">
        <f>Transportation_LCIA!K$61*($W108^Transportation_LCIA!K$60)+Transportation_LCIA!K$62</f>
        <v>1.5195002827775642E-2</v>
      </c>
      <c r="AH108" s="137">
        <f>Transportation_LCIA!L$61*($W108^Transportation_LCIA!L$60)+Transportation_LCIA!L$62</f>
        <v>3.1754527567534542E-4</v>
      </c>
      <c r="AI108" s="137">
        <f>Transportation_LCIA!M$61*($W108^Transportation_LCIA!M$60)+Transportation_LCIA!M$62</f>
        <v>2.9013540374786794E-4</v>
      </c>
      <c r="AJ108" s="137">
        <f>Transportation_LCIA!N$61*($W108^Transportation_LCIA!N$60)+Transportation_LCIA!N$62</f>
        <v>1.2730376617698762E-3</v>
      </c>
      <c r="AK108" s="137">
        <f>Transportation_LCIA!O$61*($W108^Transportation_LCIA!O$60)+Transportation_LCIA!O$62</f>
        <v>7.4124631538667591E-5</v>
      </c>
      <c r="AL108" s="137">
        <f>Transportation_LCIA!P$61*($W108^Transportation_LCIA!P$60)+Transportation_LCIA!P$62</f>
        <v>3.5802611393451831E-8</v>
      </c>
      <c r="AM108" s="137">
        <f>Transportation_LCIA!Q$61*($W108^Transportation_LCIA!Q$60)+Transportation_LCIA!Q$62</f>
        <v>1.2535917081520263E-4</v>
      </c>
      <c r="AN108" s="137">
        <f>Transportation_LCIA!R$61*($W108^Transportation_LCIA!R$60)+Transportation_LCIA!R$62</f>
        <v>3.8732436662072014E-4</v>
      </c>
      <c r="AO108" s="137">
        <f>Transportation_LCIA!S$61*($W108^Transportation_LCIA!S$60)+Transportation_LCIA!S$62</f>
        <v>5.7538657024500324E-6</v>
      </c>
      <c r="AP108" s="137">
        <f>Transportation_LCIA!T$61*($W108^Transportation_LCIA!T$60)+Transportation_LCIA!T$62</f>
        <v>5.7538657024500324E-6</v>
      </c>
      <c r="AQ108" s="137">
        <f>Transportation_LCIA!U$61*($W108^Transportation_LCIA!U$60)+Transportation_LCIA!U$62</f>
        <v>8.3645465454341723E-4</v>
      </c>
      <c r="AR108" s="137">
        <f>Transportation_LCIA!V$61*($W108^Transportation_LCIA!V$60)+Transportation_LCIA!V$62</f>
        <v>3.2616855470196486E-4</v>
      </c>
      <c r="AT108" s="137">
        <f>$W108*Y108+$L108*Summary_LCIA!H$32</f>
        <v>224.9609816998007</v>
      </c>
      <c r="AU108" s="137">
        <f>$W108*Z108+$L108*Summary_LCIA!Q$32</f>
        <v>2509.2974666558075</v>
      </c>
      <c r="AV108" s="137">
        <f>$W108*AA108+$L108*Summary_LCIA!R$32</f>
        <v>1.5509617570161645</v>
      </c>
      <c r="AW108" s="137">
        <f>$W108*AB108+$L108*Summary_LCIA!S$32</f>
        <v>224.51621477980069</v>
      </c>
      <c r="AX108" s="137">
        <f>$W108*AC108+$L108*Summary_LCIA!T$32</f>
        <v>57.953539837286442</v>
      </c>
      <c r="AY108" s="137">
        <f>$W108*AD108+$L108*Summary_LCIA!U$32</f>
        <v>2.0442720406421042</v>
      </c>
      <c r="AZ108" s="137">
        <f>$W108*AE108+$L108*Summary_LCIA!V$32</f>
        <v>1.0199737243915629E-2</v>
      </c>
      <c r="BA108" s="137">
        <f>$W108*AF108+$L108*Summary_LCIA!W$32</f>
        <v>15.752918672793896</v>
      </c>
      <c r="BB108" s="137">
        <f>$W108*AG108+$L108*Summary_LCIA!X$32</f>
        <v>12.461781694124062</v>
      </c>
      <c r="BC108" s="137">
        <f>$W108*AH108+$L108*Summary_LCIA!Y$32</f>
        <v>1.7804770618432217</v>
      </c>
      <c r="BD108" s="137">
        <f>$W108*AI108+$L108*Summary_LCIA!Z$32</f>
        <v>0.19830476527119031</v>
      </c>
      <c r="BE108" s="137">
        <f>$W108*AJ108+$L108*Summary_LCIA!AA$32</f>
        <v>3.2022235774927696</v>
      </c>
      <c r="BF108" s="137">
        <f>$W108*AK108+$L108*Summary_LCIA!AB$32</f>
        <v>4.7413244952893778E-2</v>
      </c>
      <c r="BG108" s="137">
        <f>$W108*AL108+$L108*Summary_LCIA!AC$32</f>
        <v>2.8880525272743461E-5</v>
      </c>
      <c r="BH108" s="137">
        <f>$W108*AM108+$L108*Summary_LCIA!AD$32</f>
        <v>0.12526012873101716</v>
      </c>
      <c r="BI108" s="137">
        <f>$W108*AN108+$L108*Summary_LCIA!AE$32</f>
        <v>0.34839132432539327</v>
      </c>
      <c r="BJ108" s="137">
        <f>$W108*AO108+$L108*Summary_LCIA!AF$32</f>
        <v>8.8922108180654713E-2</v>
      </c>
      <c r="BK108" s="137">
        <f>$W108*AP108+$L108*Summary_LCIA!AG$32</f>
        <v>8.9994045506547101E-3</v>
      </c>
      <c r="BL108" s="137">
        <f>$W108*AQ108+$L108*Summary_LCIA!AH$32</f>
        <v>1.4356203613525864</v>
      </c>
      <c r="BM108" s="137">
        <f>$W108*AR108+$L108*Summary_LCIA!AI$32</f>
        <v>0.31203216045919985</v>
      </c>
    </row>
    <row r="109" spans="1:65" x14ac:dyDescent="0.25">
      <c r="A109" s="149">
        <v>319</v>
      </c>
      <c r="B109" s="149">
        <v>15</v>
      </c>
      <c r="C109" s="61">
        <v>44.698993000000002</v>
      </c>
      <c r="D109" s="61">
        <v>10.629686</v>
      </c>
      <c r="E109" s="61" t="s">
        <v>421</v>
      </c>
      <c r="F109" s="149">
        <v>51</v>
      </c>
      <c r="G109" s="61" t="s">
        <v>698</v>
      </c>
      <c r="H109" s="61" t="s">
        <v>716</v>
      </c>
      <c r="I109" s="61">
        <v>41.799886999999998</v>
      </c>
      <c r="J109" s="61">
        <v>12.246238</v>
      </c>
      <c r="K109" s="61">
        <v>362.83693729999999</v>
      </c>
      <c r="L109" s="61">
        <v>459.46699999999998</v>
      </c>
      <c r="M109" s="61" t="s">
        <v>617</v>
      </c>
      <c r="N109" s="149">
        <v>14</v>
      </c>
      <c r="O109" s="149">
        <v>15</v>
      </c>
      <c r="P109" s="61" t="s">
        <v>567</v>
      </c>
      <c r="Q109" s="61" t="s">
        <v>566</v>
      </c>
      <c r="R109" s="61">
        <v>50.037932599999998</v>
      </c>
      <c r="S109" s="61">
        <v>8.5621518000000005</v>
      </c>
      <c r="T109" s="61">
        <v>841.529</v>
      </c>
      <c r="U109" s="61" t="s">
        <v>589</v>
      </c>
      <c r="V109" s="61" t="s">
        <v>569</v>
      </c>
      <c r="W109" s="61" cm="1">
        <f t="array" ref="W109">getDistance(I109,J109,R109,S109)*SA!$B$12</f>
        <v>960.33096396061467</v>
      </c>
      <c r="X109" s="61"/>
      <c r="Y109" s="137">
        <f>Transportation_LCIA!C$61*($W109^Transportation_LCIA!C$60)+Transportation_LCIA!C$62</f>
        <v>0.23978916330242275</v>
      </c>
      <c r="Z109" s="137">
        <f>Transportation_LCIA!D$61*($W109^Transportation_LCIA!D$60)+Transportation_LCIA!D$62</f>
        <v>2.4708787889542601</v>
      </c>
      <c r="AA109" s="137">
        <f>Transportation_LCIA!E$61*($W109^Transportation_LCIA!E$60)+Transportation_LCIA!E$62</f>
        <v>1.174109327635068E-3</v>
      </c>
      <c r="AB109" s="137">
        <f>Transportation_LCIA!F$61*($W109^Transportation_LCIA!F$60)+Transportation_LCIA!F$62</f>
        <v>0.23978916330242275</v>
      </c>
      <c r="AC109" s="137">
        <f>Transportation_LCIA!G$61*($W109^Transportation_LCIA!G$60)+Transportation_LCIA!G$62</f>
        <v>5.7737841551702487E-2</v>
      </c>
      <c r="AD109" s="137">
        <f>Transportation_LCIA!H$61*($W109^Transportation_LCIA!H$60)+Transportation_LCIA!H$62</f>
        <v>2.8334647040481186E-4</v>
      </c>
      <c r="AE109" s="137">
        <f>Transportation_LCIA!I$61*($W109^Transportation_LCIA!I$60)+Transportation_LCIA!I$62</f>
        <v>6.0850967306403664E-6</v>
      </c>
      <c r="AF109" s="137">
        <f>Transportation_LCIA!J$61*($W109^Transportation_LCIA!J$60)+Transportation_LCIA!J$62</f>
        <v>9.0078905630086234E-3</v>
      </c>
      <c r="AG109" s="137">
        <f>Transportation_LCIA!K$61*($W109^Transportation_LCIA!K$60)+Transportation_LCIA!K$62</f>
        <v>1.230224715256964E-2</v>
      </c>
      <c r="AH109" s="137">
        <f>Transportation_LCIA!L$61*($W109^Transportation_LCIA!L$60)+Transportation_LCIA!L$62</f>
        <v>2.4590448371425308E-4</v>
      </c>
      <c r="AI109" s="137">
        <f>Transportation_LCIA!M$61*($W109^Transportation_LCIA!M$60)+Transportation_LCIA!M$62</f>
        <v>2.4722323152264391E-4</v>
      </c>
      <c r="AJ109" s="137">
        <f>Transportation_LCIA!N$61*($W109^Transportation_LCIA!N$60)+Transportation_LCIA!N$62</f>
        <v>1.0118732947864647E-3</v>
      </c>
      <c r="AK109" s="137">
        <f>Transportation_LCIA!O$61*($W109^Transportation_LCIA!O$60)+Transportation_LCIA!O$62</f>
        <v>6.1017911221320582E-5</v>
      </c>
      <c r="AL109" s="137">
        <f>Transportation_LCIA!P$61*($W109^Transportation_LCIA!P$60)+Transportation_LCIA!P$62</f>
        <v>2.9505637910099093E-8</v>
      </c>
      <c r="AM109" s="137">
        <f>Transportation_LCIA!Q$61*($W109^Transportation_LCIA!Q$60)+Transportation_LCIA!Q$62</f>
        <v>9.7309772323205714E-5</v>
      </c>
      <c r="AN109" s="137">
        <f>Transportation_LCIA!R$61*($W109^Transportation_LCIA!R$60)+Transportation_LCIA!R$62</f>
        <v>2.926416879903948E-4</v>
      </c>
      <c r="AO109" s="137">
        <f>Transportation_LCIA!S$61*($W109^Transportation_LCIA!S$60)+Transportation_LCIA!S$62</f>
        <v>4.4106471577943657E-6</v>
      </c>
      <c r="AP109" s="137">
        <f>Transportation_LCIA!T$61*($W109^Transportation_LCIA!T$60)+Transportation_LCIA!T$62</f>
        <v>4.4106471577943657E-6</v>
      </c>
      <c r="AQ109" s="137">
        <f>Transportation_LCIA!U$61*($W109^Transportation_LCIA!U$60)+Transportation_LCIA!U$62</f>
        <v>6.284668197431289E-4</v>
      </c>
      <c r="AR109" s="137">
        <f>Transportation_LCIA!V$61*($W109^Transportation_LCIA!V$60)+Transportation_LCIA!V$62</f>
        <v>2.5307125805150313E-4</v>
      </c>
      <c r="AT109" s="137">
        <f>$W109*Y109+$L109*Summary_LCIA!H$32</f>
        <v>386.40384494152488</v>
      </c>
      <c r="AU109" s="137">
        <f>$W109*Z109+$L109*Summary_LCIA!Q$32</f>
        <v>4650.0030335254914</v>
      </c>
      <c r="AV109" s="137">
        <f>$W109*AA109+$L109*Summary_LCIA!R$32</f>
        <v>3.5469029776029339</v>
      </c>
      <c r="AW109" s="137">
        <f>$W109*AB109+$L109*Summary_LCIA!S$32</f>
        <v>384.37300080152488</v>
      </c>
      <c r="AX109" s="137">
        <f>$W109*AC109+$L109*Summary_LCIA!T$32</f>
        <v>105.94286033435168</v>
      </c>
      <c r="AY109" s="137">
        <f>$W109*AD109+$L109*Summary_LCIA!U$32</f>
        <v>8.5029982270586899</v>
      </c>
      <c r="AZ109" s="137">
        <f>$W109*AE109+$L109*Summary_LCIA!V$32</f>
        <v>2.7788310196129446E-2</v>
      </c>
      <c r="BA109" s="137">
        <f>$W109*AF109+$L109*Summary_LCIA!W$32</f>
        <v>44.016190684625798</v>
      </c>
      <c r="BB109" s="137">
        <f>$W109*AG109+$L109*Summary_LCIA!X$32</f>
        <v>22.280887126908929</v>
      </c>
      <c r="BC109" s="137">
        <f>$W109*AH109+$L109*Summary_LCIA!Y$32</f>
        <v>7.3955644838875454</v>
      </c>
      <c r="BD109" s="137">
        <f>$W109*AI109+$L109*Summary_LCIA!Z$32</f>
        <v>0.25625840644459885</v>
      </c>
      <c r="BE109" s="137">
        <f>$W109*AJ109+$L109*Summary_LCIA!AA$32</f>
        <v>11.703044508588288</v>
      </c>
      <c r="BF109" s="137">
        <f>$W109*AK109+$L109*Summary_LCIA!AB$32</f>
        <v>4.8570441161034004E-2</v>
      </c>
      <c r="BG109" s="137">
        <f>$W109*AL109+$L109*Summary_LCIA!AC$32</f>
        <v>5.0795762524478324E-5</v>
      </c>
      <c r="BH109" s="137">
        <f>$W109*AM109+$L109*Summary_LCIA!AD$32</f>
        <v>0.28230890313793211</v>
      </c>
      <c r="BI109" s="137">
        <f>$W109*AN109+$L109*Summary_LCIA!AE$32</f>
        <v>0.68818036703287722</v>
      </c>
      <c r="BJ109" s="137">
        <f>$W109*AO109+$L109*Summary_LCIA!AF$32</f>
        <v>0.39267827217673484</v>
      </c>
      <c r="BK109" s="137">
        <f>$W109*AP109+$L109*Summary_LCIA!AG$32</f>
        <v>2.7744310091734808E-2</v>
      </c>
      <c r="BL109" s="137">
        <f>$W109*AQ109+$L109*Summary_LCIA!AH$32</f>
        <v>4.6025531280211807</v>
      </c>
      <c r="BM109" s="137">
        <f>$W109*AR109+$L109*Summary_LCIA!AI$32</f>
        <v>0.67104864904532546</v>
      </c>
    </row>
    <row r="110" spans="1:65" x14ac:dyDescent="0.25">
      <c r="A110" s="149">
        <v>43</v>
      </c>
      <c r="B110" s="149">
        <v>6</v>
      </c>
      <c r="C110" s="61">
        <v>38.877713999999997</v>
      </c>
      <c r="D110" s="61">
        <v>-94.774396999999993</v>
      </c>
      <c r="E110" s="61" t="s">
        <v>265</v>
      </c>
      <c r="F110" s="149">
        <v>101</v>
      </c>
      <c r="G110" s="61" t="s">
        <v>647</v>
      </c>
      <c r="H110" s="61" t="s">
        <v>648</v>
      </c>
      <c r="I110" s="61">
        <v>39.303586000000003</v>
      </c>
      <c r="J110" s="61">
        <v>-94.70926</v>
      </c>
      <c r="K110" s="61">
        <v>77.391958450000004</v>
      </c>
      <c r="L110" s="61">
        <v>62.118000000000002</v>
      </c>
      <c r="M110" s="61" t="s">
        <v>617</v>
      </c>
      <c r="N110" s="149">
        <v>5</v>
      </c>
      <c r="O110" s="149">
        <v>6</v>
      </c>
      <c r="P110" s="61" t="s">
        <v>565</v>
      </c>
      <c r="Q110" s="61" t="s">
        <v>564</v>
      </c>
      <c r="R110" s="61">
        <v>41.98028</v>
      </c>
      <c r="S110" s="61">
        <v>-87.908997900000003</v>
      </c>
      <c r="T110" s="61">
        <v>858.19299999999998</v>
      </c>
      <c r="U110" s="61" t="s">
        <v>617</v>
      </c>
      <c r="V110" s="61" t="s">
        <v>569</v>
      </c>
      <c r="W110" s="61" cm="1">
        <f t="array" ref="W110">getDistance(I110,J110,R110,S110)*SA!$B$12</f>
        <v>647.4733630144575</v>
      </c>
      <c r="X110" s="61"/>
      <c r="Y110" s="137">
        <f>Transportation_LCIA!C$61*($W110^Transportation_LCIA!C$60)+Transportation_LCIA!C$62</f>
        <v>0.28991652457155515</v>
      </c>
      <c r="Z110" s="137">
        <f>Transportation_LCIA!D$61*($W110^Transportation_LCIA!D$60)+Transportation_LCIA!D$62</f>
        <v>3.0621007939018225</v>
      </c>
      <c r="AA110" s="137">
        <f>Transportation_LCIA!E$61*($W110^Transportation_LCIA!E$60)+Transportation_LCIA!E$62</f>
        <v>1.5639908369269233E-3</v>
      </c>
      <c r="AB110" s="137">
        <f>Transportation_LCIA!F$61*($W110^Transportation_LCIA!F$60)+Transportation_LCIA!F$62</f>
        <v>0.28991652457155515</v>
      </c>
      <c r="AC110" s="137">
        <f>Transportation_LCIA!G$61*($W110^Transportation_LCIA!G$60)+Transportation_LCIA!G$62</f>
        <v>7.1407745133871256E-2</v>
      </c>
      <c r="AD110" s="137">
        <f>Transportation_LCIA!H$61*($W110^Transportation_LCIA!H$60)+Transportation_LCIA!H$62</f>
        <v>3.6958053417538898E-4</v>
      </c>
      <c r="AE110" s="137">
        <f>Transportation_LCIA!I$61*($W110^Transportation_LCIA!I$60)+Transportation_LCIA!I$62</f>
        <v>8.2766666733597734E-6</v>
      </c>
      <c r="AF110" s="137">
        <f>Transportation_LCIA!J$61*($W110^Transportation_LCIA!J$60)+Transportation_LCIA!J$62</f>
        <v>1.2292104272569999E-2</v>
      </c>
      <c r="AG110" s="137">
        <f>Transportation_LCIA!K$61*($W110^Transportation_LCIA!K$60)+Transportation_LCIA!K$62</f>
        <v>1.5510415114736775E-2</v>
      </c>
      <c r="AH110" s="137">
        <f>Transportation_LCIA!L$61*($W110^Transportation_LCIA!L$60)+Transportation_LCIA!L$62</f>
        <v>3.2539764609745288E-4</v>
      </c>
      <c r="AI110" s="137">
        <f>Transportation_LCIA!M$61*($W110^Transportation_LCIA!M$60)+Transportation_LCIA!M$62</f>
        <v>2.9483033400248848E-4</v>
      </c>
      <c r="AJ110" s="137">
        <f>Transportation_LCIA!N$61*($W110^Transportation_LCIA!N$60)+Transportation_LCIA!N$62</f>
        <v>1.3015875854014613E-3</v>
      </c>
      <c r="AK110" s="137">
        <f>Transportation_LCIA!O$61*($W110^Transportation_LCIA!O$60)+Transportation_LCIA!O$62</f>
        <v>7.5548179085519799E-5</v>
      </c>
      <c r="AL110" s="137">
        <f>Transportation_LCIA!P$61*($W110^Transportation_LCIA!P$60)+Transportation_LCIA!P$62</f>
        <v>3.6486124224340038E-8</v>
      </c>
      <c r="AM110" s="137">
        <f>Transportation_LCIA!Q$61*($W110^Transportation_LCIA!Q$60)+Transportation_LCIA!Q$62</f>
        <v>1.2843702129143657E-4</v>
      </c>
      <c r="AN110" s="137">
        <f>Transportation_LCIA!R$61*($W110^Transportation_LCIA!R$60)+Transportation_LCIA!R$62</f>
        <v>3.977581392161846E-4</v>
      </c>
      <c r="AO110" s="137">
        <f>Transportation_LCIA!S$61*($W110^Transportation_LCIA!S$60)+Transportation_LCIA!S$62</f>
        <v>5.9018366684239294E-6</v>
      </c>
      <c r="AP110" s="137">
        <f>Transportation_LCIA!T$61*($W110^Transportation_LCIA!T$60)+Transportation_LCIA!T$62</f>
        <v>5.9018366684239294E-6</v>
      </c>
      <c r="AQ110" s="137">
        <f>Transportation_LCIA!U$61*($W110^Transportation_LCIA!U$60)+Transportation_LCIA!U$62</f>
        <v>8.594058841703753E-4</v>
      </c>
      <c r="AR110" s="137">
        <f>Transportation_LCIA!V$61*($W110^Transportation_LCIA!V$60)+Transportation_LCIA!V$62</f>
        <v>3.3420101797980824E-4</v>
      </c>
      <c r="AT110" s="137">
        <f>$W110*Y110+$L110*Summary_LCIA!H$32</f>
        <v>208.82092355780841</v>
      </c>
      <c r="AU110" s="137">
        <f>$W110*Z110+$L110*Summary_LCIA!Q$32</f>
        <v>2290.4886397139471</v>
      </c>
      <c r="AV110" s="137">
        <f>$W110*AA110+$L110*Summary_LCIA!R$32</f>
        <v>1.339730947708871</v>
      </c>
      <c r="AW110" s="137">
        <f>$W110*AB110+$L110*Summary_LCIA!S$32</f>
        <v>208.54636199780842</v>
      </c>
      <c r="AX110" s="137">
        <f>$W110*AC110+$L110*Summary_LCIA!T$32</f>
        <v>53.061381087106881</v>
      </c>
      <c r="AY110" s="137">
        <f>$W110*AD110+$L110*Summary_LCIA!U$32</f>
        <v>1.3520754033672187</v>
      </c>
      <c r="AZ110" s="137">
        <f>$W110*AE110+$L110*Summary_LCIA!V$32</f>
        <v>8.3257390035499351E-3</v>
      </c>
      <c r="BA110" s="137">
        <f>$W110*AF110+$L110*Summary_LCIA!W$32</f>
        <v>12.740094669885281</v>
      </c>
      <c r="BB110" s="137">
        <f>$W110*AG110+$L110*Summary_LCIA!X$32</f>
        <v>11.457628676088893</v>
      </c>
      <c r="BC110" s="137">
        <f>$W110*AH110+$L110*Summary_LCIA!Y$32</f>
        <v>1.1786089842357061</v>
      </c>
      <c r="BD110" s="137">
        <f>$W110*AI110+$L110*Summary_LCIA!Z$32</f>
        <v>0.19344218493726698</v>
      </c>
      <c r="BE110" s="137">
        <f>$W110*AJ110+$L110*Summary_LCIA!AA$32</f>
        <v>2.2935712991777515</v>
      </c>
      <c r="BF110" s="137">
        <f>$W110*AK110+$L110*Summary_LCIA!AB$32</f>
        <v>4.7559832468120004E-2</v>
      </c>
      <c r="BG110" s="137">
        <f>$W110*AL110+$L110*Summary_LCIA!AC$32</f>
        <v>2.6660369866896708E-5</v>
      </c>
      <c r="BH110" s="137">
        <f>$W110*AM110+$L110*Summary_LCIA!AD$32</f>
        <v>0.10869253283112591</v>
      </c>
      <c r="BI110" s="137">
        <f>$W110*AN110+$L110*Summary_LCIA!AE$32</f>
        <v>0.31258242340467579</v>
      </c>
      <c r="BJ110" s="137">
        <f>$W110*AO110+$L110*Summary_LCIA!AF$32</f>
        <v>5.6337081595666492E-2</v>
      </c>
      <c r="BK110" s="137">
        <f>$W110*AP110+$L110*Summary_LCIA!AG$32</f>
        <v>6.9995495056664834E-3</v>
      </c>
      <c r="BL110" s="137">
        <f>$W110*AQ110+$L110*Summary_LCIA!AH$32</f>
        <v>1.0970926428182062</v>
      </c>
      <c r="BM110" s="137">
        <f>$W110*AR110+$L110*Summary_LCIA!AI$32</f>
        <v>0.27425227993424162</v>
      </c>
    </row>
    <row r="111" spans="1:65" x14ac:dyDescent="0.25">
      <c r="A111" s="149">
        <v>50</v>
      </c>
      <c r="B111" s="149">
        <v>6</v>
      </c>
      <c r="C111" s="61">
        <v>43.638885999999999</v>
      </c>
      <c r="D111" s="61">
        <v>-79.380352000000002</v>
      </c>
      <c r="E111" s="61" t="s">
        <v>456</v>
      </c>
      <c r="F111" s="149">
        <v>130</v>
      </c>
      <c r="G111" s="61" t="s">
        <v>275</v>
      </c>
      <c r="H111" s="61" t="s">
        <v>653</v>
      </c>
      <c r="I111" s="61">
        <v>43.628481999999998</v>
      </c>
      <c r="J111" s="61">
        <v>-79.395957999999993</v>
      </c>
      <c r="K111" s="61">
        <v>2.1920799710000001</v>
      </c>
      <c r="L111" s="61">
        <v>2.4620000000000002</v>
      </c>
      <c r="M111" s="61" t="s">
        <v>617</v>
      </c>
      <c r="N111" s="149">
        <v>5</v>
      </c>
      <c r="O111" s="149">
        <v>6</v>
      </c>
      <c r="P111" s="61" t="s">
        <v>565</v>
      </c>
      <c r="Q111" s="61" t="s">
        <v>564</v>
      </c>
      <c r="R111" s="61">
        <v>41.98028</v>
      </c>
      <c r="S111" s="61">
        <v>-87.908997900000003</v>
      </c>
      <c r="T111" s="61">
        <v>862.77099999999996</v>
      </c>
      <c r="U111" s="61" t="s">
        <v>617</v>
      </c>
      <c r="V111" s="61" t="s">
        <v>569</v>
      </c>
      <c r="W111" s="61" cm="1">
        <f t="array" ref="W111">getDistance(I111,J111,R111,S111)*SA!$B$12</f>
        <v>719.74478003412571</v>
      </c>
      <c r="X111" s="61"/>
      <c r="Y111" s="137">
        <f>Transportation_LCIA!C$61*($W111^Transportation_LCIA!C$60)+Transportation_LCIA!C$62</f>
        <v>0.27479432969989154</v>
      </c>
      <c r="Z111" s="137">
        <f>Transportation_LCIA!D$61*($W111^Transportation_LCIA!D$60)+Transportation_LCIA!D$62</f>
        <v>2.8827039861185852</v>
      </c>
      <c r="AA111" s="137">
        <f>Transportation_LCIA!E$61*($W111^Transportation_LCIA!E$60)+Transportation_LCIA!E$62</f>
        <v>1.4454946535506226E-3</v>
      </c>
      <c r="AB111" s="137">
        <f>Transportation_LCIA!F$61*($W111^Transportation_LCIA!F$60)+Transportation_LCIA!F$62</f>
        <v>0.27479432969989154</v>
      </c>
      <c r="AC111" s="137">
        <f>Transportation_LCIA!G$61*($W111^Transportation_LCIA!G$60)+Transportation_LCIA!G$62</f>
        <v>6.7261235954918716E-2</v>
      </c>
      <c r="AD111" s="137">
        <f>Transportation_LCIA!H$61*($W111^Transportation_LCIA!H$60)+Transportation_LCIA!H$62</f>
        <v>3.432871724762876E-4</v>
      </c>
      <c r="AE111" s="137">
        <f>Transportation_LCIA!I$61*($W111^Transportation_LCIA!I$60)+Transportation_LCIA!I$62</f>
        <v>7.6049843112141125E-6</v>
      </c>
      <c r="AF111" s="137">
        <f>Transportation_LCIA!J$61*($W111^Transportation_LCIA!J$60)+Transportation_LCIA!J$62</f>
        <v>1.1282153732006601E-2</v>
      </c>
      <c r="AG111" s="137">
        <f>Transportation_LCIA!K$61*($W111^Transportation_LCIA!K$60)+Transportation_LCIA!K$62</f>
        <v>1.4534423764389365E-2</v>
      </c>
      <c r="AH111" s="137">
        <f>Transportation_LCIA!L$61*($W111^Transportation_LCIA!L$60)+Transportation_LCIA!L$62</f>
        <v>3.0112394094387748E-4</v>
      </c>
      <c r="AI111" s="137">
        <f>Transportation_LCIA!M$61*($W111^Transportation_LCIA!M$60)+Transportation_LCIA!M$62</f>
        <v>2.8031206126034625E-4</v>
      </c>
      <c r="AJ111" s="137">
        <f>Transportation_LCIA!N$61*($W111^Transportation_LCIA!N$60)+Transportation_LCIA!N$62</f>
        <v>1.2132879880247076E-3</v>
      </c>
      <c r="AK111" s="137">
        <f>Transportation_LCIA!O$61*($W111^Transportation_LCIA!O$60)+Transportation_LCIA!O$62</f>
        <v>7.1139991789930142E-5</v>
      </c>
      <c r="AL111" s="137">
        <f>Transportation_LCIA!P$61*($W111^Transportation_LCIA!P$60)+Transportation_LCIA!P$62</f>
        <v>3.436930057415968E-8</v>
      </c>
      <c r="AM111" s="137">
        <f>Transportation_LCIA!Q$61*($W111^Transportation_LCIA!Q$60)+Transportation_LCIA!Q$62</f>
        <v>1.1892460469441366E-4</v>
      </c>
      <c r="AN111" s="137">
        <f>Transportation_LCIA!R$61*($W111^Transportation_LCIA!R$60)+Transportation_LCIA!R$62</f>
        <v>3.6553755866774139E-4</v>
      </c>
      <c r="AO111" s="137">
        <f>Transportation_LCIA!S$61*($W111^Transportation_LCIA!S$60)+Transportation_LCIA!S$62</f>
        <v>5.4448586218047667E-6</v>
      </c>
      <c r="AP111" s="137">
        <f>Transportation_LCIA!T$61*($W111^Transportation_LCIA!T$60)+Transportation_LCIA!T$62</f>
        <v>5.4448586218047667E-6</v>
      </c>
      <c r="AQ111" s="137">
        <f>Transportation_LCIA!U$61*($W111^Transportation_LCIA!U$60)+Transportation_LCIA!U$62</f>
        <v>7.8854863567086818E-4</v>
      </c>
      <c r="AR111" s="137">
        <f>Transportation_LCIA!V$61*($W111^Transportation_LCIA!V$60)+Transportation_LCIA!V$62</f>
        <v>3.0938263318178909E-4</v>
      </c>
      <c r="AT111" s="137">
        <f>$W111*Y111+$L111*Summary_LCIA!H$32</f>
        <v>198.61837198447344</v>
      </c>
      <c r="AU111" s="137">
        <f>$W111*Z111+$L111*Summary_LCIA!Q$32</f>
        <v>2087.0129425584641</v>
      </c>
      <c r="AV111" s="137">
        <f>$W111*AA111+$L111*Summary_LCIA!R$32</f>
        <v>1.0533511386602976</v>
      </c>
      <c r="AW111" s="137">
        <f>$W111*AB111+$L111*Summary_LCIA!S$32</f>
        <v>198.60748994447343</v>
      </c>
      <c r="AX111" s="137">
        <f>$W111*AC111+$L111*Summary_LCIA!T$32</f>
        <v>48.681497277196399</v>
      </c>
      <c r="AY111" s="137">
        <f>$W111*AD111+$L111*Summary_LCIA!U$32</f>
        <v>0.29118341844248263</v>
      </c>
      <c r="AZ111" s="137">
        <f>$W111*AE111+$L111*Summary_LCIA!V$32</f>
        <v>5.5912353422377789E-3</v>
      </c>
      <c r="BA111" s="137">
        <f>$W111*AF111+$L111*Summary_LCIA!W$32</f>
        <v>8.3097738581542799</v>
      </c>
      <c r="BB111" s="137">
        <f>$W111*AG111+$L111*Summary_LCIA!X$32</f>
        <v>10.517159995223192</v>
      </c>
      <c r="BC111" s="137">
        <f>$W111*AH111+$L111*Summary_LCIA!Y$32</f>
        <v>0.25509526863766019</v>
      </c>
      <c r="BD111" s="137">
        <f>$W111*AI111+$L111*Summary_LCIA!Z$32</f>
        <v>0.2018541070307403</v>
      </c>
      <c r="BE111" s="137">
        <f>$W111*AJ111+$L111*Summary_LCIA!AA$32</f>
        <v>0.93076016805889017</v>
      </c>
      <c r="BF111" s="137">
        <f>$W111*AK111+$L111*Summary_LCIA!AB$32</f>
        <v>5.1148909516472781E-2</v>
      </c>
      <c r="BG111" s="137">
        <f>$W111*AL111+$L111*Summary_LCIA!AC$32</f>
        <v>2.4857477089675311E-5</v>
      </c>
      <c r="BH111" s="137">
        <f>$W111*AM111+$L111*Summary_LCIA!AD$32</f>
        <v>8.6607343926426106E-2</v>
      </c>
      <c r="BI111" s="137">
        <f>$W111*AN111+$L111*Summary_LCIA!AE$32</f>
        <v>0.26527540181752485</v>
      </c>
      <c r="BJ111" s="137">
        <f>$W111*AO111+$L111*Summary_LCIA!AF$32</f>
        <v>6.0003326110677855E-3</v>
      </c>
      <c r="BK111" s="137">
        <f>$W111*AP111+$L111*Summary_LCIA!AG$32</f>
        <v>4.0448768010677844E-3</v>
      </c>
      <c r="BL111" s="137">
        <f>$W111*AQ111+$L111*Summary_LCIA!AH$32</f>
        <v>0.58898202752713902</v>
      </c>
      <c r="BM111" s="137">
        <f>$W111*AR111+$L111*Summary_LCIA!AI$32</f>
        <v>0.22497001136580538</v>
      </c>
    </row>
    <row r="112" spans="1:65" x14ac:dyDescent="0.25">
      <c r="A112" s="149">
        <v>363</v>
      </c>
      <c r="B112" s="149">
        <v>6</v>
      </c>
      <c r="C112" s="61">
        <v>43.653225999999997</v>
      </c>
      <c r="D112" s="61">
        <v>-79.383184</v>
      </c>
      <c r="E112" s="61" t="s">
        <v>456</v>
      </c>
      <c r="F112" s="149">
        <v>130</v>
      </c>
      <c r="G112" s="61" t="s">
        <v>275</v>
      </c>
      <c r="H112" s="61" t="s">
        <v>653</v>
      </c>
      <c r="I112" s="61">
        <v>43.628481999999998</v>
      </c>
      <c r="J112" s="61">
        <v>-79.395957999999993</v>
      </c>
      <c r="K112" s="61">
        <v>4.2005598900000001</v>
      </c>
      <c r="L112" s="61">
        <v>4.1710000000000003</v>
      </c>
      <c r="M112" s="61" t="s">
        <v>617</v>
      </c>
      <c r="N112" s="149">
        <v>5</v>
      </c>
      <c r="O112" s="149">
        <v>6</v>
      </c>
      <c r="P112" s="61" t="s">
        <v>565</v>
      </c>
      <c r="Q112" s="61" t="s">
        <v>564</v>
      </c>
      <c r="R112" s="61">
        <v>41.98028</v>
      </c>
      <c r="S112" s="61">
        <v>-87.908997900000003</v>
      </c>
      <c r="T112" s="61">
        <v>863.19100000000003</v>
      </c>
      <c r="U112" s="61" t="s">
        <v>617</v>
      </c>
      <c r="V112" s="61" t="s">
        <v>569</v>
      </c>
      <c r="W112" s="61" cm="1">
        <f t="array" ref="W112">getDistance(I112,J112,R112,S112)*SA!$B$12</f>
        <v>719.74478003412571</v>
      </c>
      <c r="X112" s="61"/>
      <c r="Y112" s="137">
        <f>Transportation_LCIA!C$61*($W112^Transportation_LCIA!C$60)+Transportation_LCIA!C$62</f>
        <v>0.27479432969989154</v>
      </c>
      <c r="Z112" s="137">
        <f>Transportation_LCIA!D$61*($W112^Transportation_LCIA!D$60)+Transportation_LCIA!D$62</f>
        <v>2.8827039861185852</v>
      </c>
      <c r="AA112" s="137">
        <f>Transportation_LCIA!E$61*($W112^Transportation_LCIA!E$60)+Transportation_LCIA!E$62</f>
        <v>1.4454946535506226E-3</v>
      </c>
      <c r="AB112" s="137">
        <f>Transportation_LCIA!F$61*($W112^Transportation_LCIA!F$60)+Transportation_LCIA!F$62</f>
        <v>0.27479432969989154</v>
      </c>
      <c r="AC112" s="137">
        <f>Transportation_LCIA!G$61*($W112^Transportation_LCIA!G$60)+Transportation_LCIA!G$62</f>
        <v>6.7261235954918716E-2</v>
      </c>
      <c r="AD112" s="137">
        <f>Transportation_LCIA!H$61*($W112^Transportation_LCIA!H$60)+Transportation_LCIA!H$62</f>
        <v>3.432871724762876E-4</v>
      </c>
      <c r="AE112" s="137">
        <f>Transportation_LCIA!I$61*($W112^Transportation_LCIA!I$60)+Transportation_LCIA!I$62</f>
        <v>7.6049843112141125E-6</v>
      </c>
      <c r="AF112" s="137">
        <f>Transportation_LCIA!J$61*($W112^Transportation_LCIA!J$60)+Transportation_LCIA!J$62</f>
        <v>1.1282153732006601E-2</v>
      </c>
      <c r="AG112" s="137">
        <f>Transportation_LCIA!K$61*($W112^Transportation_LCIA!K$60)+Transportation_LCIA!K$62</f>
        <v>1.4534423764389365E-2</v>
      </c>
      <c r="AH112" s="137">
        <f>Transportation_LCIA!L$61*($W112^Transportation_LCIA!L$60)+Transportation_LCIA!L$62</f>
        <v>3.0112394094387748E-4</v>
      </c>
      <c r="AI112" s="137">
        <f>Transportation_LCIA!M$61*($W112^Transportation_LCIA!M$60)+Transportation_LCIA!M$62</f>
        <v>2.8031206126034625E-4</v>
      </c>
      <c r="AJ112" s="137">
        <f>Transportation_LCIA!N$61*($W112^Transportation_LCIA!N$60)+Transportation_LCIA!N$62</f>
        <v>1.2132879880247076E-3</v>
      </c>
      <c r="AK112" s="137">
        <f>Transportation_LCIA!O$61*($W112^Transportation_LCIA!O$60)+Transportation_LCIA!O$62</f>
        <v>7.1139991789930142E-5</v>
      </c>
      <c r="AL112" s="137">
        <f>Transportation_LCIA!P$61*($W112^Transportation_LCIA!P$60)+Transportation_LCIA!P$62</f>
        <v>3.436930057415968E-8</v>
      </c>
      <c r="AM112" s="137">
        <f>Transportation_LCIA!Q$61*($W112^Transportation_LCIA!Q$60)+Transportation_LCIA!Q$62</f>
        <v>1.1892460469441366E-4</v>
      </c>
      <c r="AN112" s="137">
        <f>Transportation_LCIA!R$61*($W112^Transportation_LCIA!R$60)+Transportation_LCIA!R$62</f>
        <v>3.6553755866774139E-4</v>
      </c>
      <c r="AO112" s="137">
        <f>Transportation_LCIA!S$61*($W112^Transportation_LCIA!S$60)+Transportation_LCIA!S$62</f>
        <v>5.4448586218047667E-6</v>
      </c>
      <c r="AP112" s="137">
        <f>Transportation_LCIA!T$61*($W112^Transportation_LCIA!T$60)+Transportation_LCIA!T$62</f>
        <v>5.4448586218047667E-6</v>
      </c>
      <c r="AQ112" s="137">
        <f>Transportation_LCIA!U$61*($W112^Transportation_LCIA!U$60)+Transportation_LCIA!U$62</f>
        <v>7.8854863567086818E-4</v>
      </c>
      <c r="AR112" s="137">
        <f>Transportation_LCIA!V$61*($W112^Transportation_LCIA!V$60)+Transportation_LCIA!V$62</f>
        <v>3.0938263318178909E-4</v>
      </c>
      <c r="AT112" s="137">
        <f>$W112*Y112+$L112*Summary_LCIA!H$32</f>
        <v>199.19909018447345</v>
      </c>
      <c r="AU112" s="137">
        <f>$W112*Z112+$L112*Summary_LCIA!Q$32</f>
        <v>2095.4828327484615</v>
      </c>
      <c r="AV112" s="137">
        <f>$W112*AA112+$L112*Summary_LCIA!R$32</f>
        <v>1.0623500490602975</v>
      </c>
      <c r="AW112" s="137">
        <f>$W112*AB112+$L112*Summary_LCIA!S$32</f>
        <v>199.18065436447344</v>
      </c>
      <c r="AX112" s="137">
        <f>$W112*AC112+$L112*Summary_LCIA!T$32</f>
        <v>48.869316377196398</v>
      </c>
      <c r="AY112" s="137">
        <f>$W112*AD112+$L112*Summary_LCIA!U$32</f>
        <v>0.32179844444248262</v>
      </c>
      <c r="AZ112" s="137">
        <f>$W112*AE112+$L112*Summary_LCIA!V$32</f>
        <v>5.6728588912377791E-3</v>
      </c>
      <c r="BA112" s="137">
        <f>$W112*AF112+$L112*Summary_LCIA!W$32</f>
        <v>8.4413172971542814</v>
      </c>
      <c r="BB112" s="137">
        <f>$W112*AG112+$L112*Summary_LCIA!X$32</f>
        <v>10.556091015223192</v>
      </c>
      <c r="BC112" s="137">
        <f>$W112*AH112+$L112*Summary_LCIA!Y$32</f>
        <v>0.2817249066376602</v>
      </c>
      <c r="BD112" s="137">
        <f>$W112*AI112+$L112*Summary_LCIA!Z$32</f>
        <v>0.20192419141174028</v>
      </c>
      <c r="BE112" s="137">
        <f>$W112*AJ112+$L112*Summary_LCIA!AA$32</f>
        <v>0.9706755720588901</v>
      </c>
      <c r="BF112" s="137">
        <f>$W112*AK112+$L112*Summary_LCIA!AB$32</f>
        <v>5.1111614009472783E-2</v>
      </c>
      <c r="BG112" s="137">
        <f>$W112*AL112+$L112*Summary_LCIA!AC$32</f>
        <v>2.4941019845675312E-5</v>
      </c>
      <c r="BH112" s="137">
        <f>$W112*AM112+$L112*Summary_LCIA!AD$32</f>
        <v>8.7309811286426106E-2</v>
      </c>
      <c r="BI112" s="137">
        <f>$W112*AN112+$L112*Summary_LCIA!AE$32</f>
        <v>0.26678979798752489</v>
      </c>
      <c r="BJ112" s="137">
        <f>$W112*AO112+$L112*Summary_LCIA!AF$32</f>
        <v>7.4451553910677851E-3</v>
      </c>
      <c r="BK112" s="137">
        <f>$W112*AP112+$L112*Summary_LCIA!AG$32</f>
        <v>4.1323177860677846E-3</v>
      </c>
      <c r="BL112" s="137">
        <f>$W112*AQ112+$L112*Summary_LCIA!AH$32</f>
        <v>0.60385647992713898</v>
      </c>
      <c r="BM112" s="137">
        <f>$W112*AR112+$L112*Summary_LCIA!AI$32</f>
        <v>0.22656203031580538</v>
      </c>
    </row>
    <row r="113" spans="1:65" x14ac:dyDescent="0.25">
      <c r="A113" s="149">
        <v>73</v>
      </c>
      <c r="B113" s="149">
        <v>6</v>
      </c>
      <c r="C113" s="61">
        <v>43.660848999999999</v>
      </c>
      <c r="D113" s="61">
        <v>-79.395493999999999</v>
      </c>
      <c r="E113" s="61" t="s">
        <v>456</v>
      </c>
      <c r="F113" s="149">
        <v>130</v>
      </c>
      <c r="G113" s="61" t="s">
        <v>275</v>
      </c>
      <c r="H113" s="61" t="s">
        <v>653</v>
      </c>
      <c r="I113" s="61">
        <v>43.628481999999998</v>
      </c>
      <c r="J113" s="61">
        <v>-79.395957999999993</v>
      </c>
      <c r="K113" s="61">
        <v>5.2007018199999999</v>
      </c>
      <c r="L113" s="61">
        <v>5.4240000000000004</v>
      </c>
      <c r="M113" s="61" t="s">
        <v>617</v>
      </c>
      <c r="N113" s="149">
        <v>5</v>
      </c>
      <c r="O113" s="149">
        <v>6</v>
      </c>
      <c r="P113" s="61" t="s">
        <v>565</v>
      </c>
      <c r="Q113" s="61" t="s">
        <v>564</v>
      </c>
      <c r="R113" s="61">
        <v>41.98028</v>
      </c>
      <c r="S113" s="61">
        <v>-87.908997900000003</v>
      </c>
      <c r="T113" s="61">
        <v>864.73800000000006</v>
      </c>
      <c r="U113" s="61" t="s">
        <v>617</v>
      </c>
      <c r="V113" s="61" t="s">
        <v>569</v>
      </c>
      <c r="W113" s="61" cm="1">
        <f t="array" ref="W113">getDistance(I113,J113,R113,S113)*SA!$B$12</f>
        <v>719.74478003412571</v>
      </c>
      <c r="X113" s="61"/>
      <c r="Y113" s="137">
        <f>Transportation_LCIA!C$61*($W113^Transportation_LCIA!C$60)+Transportation_LCIA!C$62</f>
        <v>0.27479432969989154</v>
      </c>
      <c r="Z113" s="137">
        <f>Transportation_LCIA!D$61*($W113^Transportation_LCIA!D$60)+Transportation_LCIA!D$62</f>
        <v>2.8827039861185852</v>
      </c>
      <c r="AA113" s="137">
        <f>Transportation_LCIA!E$61*($W113^Transportation_LCIA!E$60)+Transportation_LCIA!E$62</f>
        <v>1.4454946535506226E-3</v>
      </c>
      <c r="AB113" s="137">
        <f>Transportation_LCIA!F$61*($W113^Transportation_LCIA!F$60)+Transportation_LCIA!F$62</f>
        <v>0.27479432969989154</v>
      </c>
      <c r="AC113" s="137">
        <f>Transportation_LCIA!G$61*($W113^Transportation_LCIA!G$60)+Transportation_LCIA!G$62</f>
        <v>6.7261235954918716E-2</v>
      </c>
      <c r="AD113" s="137">
        <f>Transportation_LCIA!H$61*($W113^Transportation_LCIA!H$60)+Transportation_LCIA!H$62</f>
        <v>3.432871724762876E-4</v>
      </c>
      <c r="AE113" s="137">
        <f>Transportation_LCIA!I$61*($W113^Transportation_LCIA!I$60)+Transportation_LCIA!I$62</f>
        <v>7.6049843112141125E-6</v>
      </c>
      <c r="AF113" s="137">
        <f>Transportation_LCIA!J$61*($W113^Transportation_LCIA!J$60)+Transportation_LCIA!J$62</f>
        <v>1.1282153732006601E-2</v>
      </c>
      <c r="AG113" s="137">
        <f>Transportation_LCIA!K$61*($W113^Transportation_LCIA!K$60)+Transportation_LCIA!K$62</f>
        <v>1.4534423764389365E-2</v>
      </c>
      <c r="AH113" s="137">
        <f>Transportation_LCIA!L$61*($W113^Transportation_LCIA!L$60)+Transportation_LCIA!L$62</f>
        <v>3.0112394094387748E-4</v>
      </c>
      <c r="AI113" s="137">
        <f>Transportation_LCIA!M$61*($W113^Transportation_LCIA!M$60)+Transportation_LCIA!M$62</f>
        <v>2.8031206126034625E-4</v>
      </c>
      <c r="AJ113" s="137">
        <f>Transportation_LCIA!N$61*($W113^Transportation_LCIA!N$60)+Transportation_LCIA!N$62</f>
        <v>1.2132879880247076E-3</v>
      </c>
      <c r="AK113" s="137">
        <f>Transportation_LCIA!O$61*($W113^Transportation_LCIA!O$60)+Transportation_LCIA!O$62</f>
        <v>7.1139991789930142E-5</v>
      </c>
      <c r="AL113" s="137">
        <f>Transportation_LCIA!P$61*($W113^Transportation_LCIA!P$60)+Transportation_LCIA!P$62</f>
        <v>3.436930057415968E-8</v>
      </c>
      <c r="AM113" s="137">
        <f>Transportation_LCIA!Q$61*($W113^Transportation_LCIA!Q$60)+Transportation_LCIA!Q$62</f>
        <v>1.1892460469441366E-4</v>
      </c>
      <c r="AN113" s="137">
        <f>Transportation_LCIA!R$61*($W113^Transportation_LCIA!R$60)+Transportation_LCIA!R$62</f>
        <v>3.6553755866774139E-4</v>
      </c>
      <c r="AO113" s="137">
        <f>Transportation_LCIA!S$61*($W113^Transportation_LCIA!S$60)+Transportation_LCIA!S$62</f>
        <v>5.4448586218047667E-6</v>
      </c>
      <c r="AP113" s="137">
        <f>Transportation_LCIA!T$61*($W113^Transportation_LCIA!T$60)+Transportation_LCIA!T$62</f>
        <v>5.4448586218047667E-6</v>
      </c>
      <c r="AQ113" s="137">
        <f>Transportation_LCIA!U$61*($W113^Transportation_LCIA!U$60)+Transportation_LCIA!U$62</f>
        <v>7.8854863567086818E-4</v>
      </c>
      <c r="AR113" s="137">
        <f>Transportation_LCIA!V$61*($W113^Transportation_LCIA!V$60)+Transportation_LCIA!V$62</f>
        <v>3.0938263318178909E-4</v>
      </c>
      <c r="AT113" s="137">
        <f>$W113*Y113+$L113*Summary_LCIA!H$32</f>
        <v>199.62485958447343</v>
      </c>
      <c r="AU113" s="137">
        <f>$W113*Z113+$L113*Summary_LCIA!Q$32</f>
        <v>2101.6927639410105</v>
      </c>
      <c r="AV113" s="137">
        <f>$W113*AA113+$L113*Summary_LCIA!R$32</f>
        <v>1.0689478458602975</v>
      </c>
      <c r="AW113" s="137">
        <f>$W113*AB113+$L113*Summary_LCIA!S$32</f>
        <v>199.60088550447344</v>
      </c>
      <c r="AX113" s="137">
        <f>$W113*AC113+$L113*Summary_LCIA!T$32</f>
        <v>49.007021077196399</v>
      </c>
      <c r="AY113" s="137">
        <f>$W113*AD113+$L113*Summary_LCIA!U$32</f>
        <v>0.34424468644248263</v>
      </c>
      <c r="AZ113" s="137">
        <f>$W113*AE113+$L113*Summary_LCIA!V$32</f>
        <v>5.732703424237779E-3</v>
      </c>
      <c r="BA113" s="137">
        <f>$W113*AF113+$L113*Summary_LCIA!W$32</f>
        <v>8.5377619601542811</v>
      </c>
      <c r="BB113" s="137">
        <f>$W113*AG113+$L113*Summary_LCIA!X$32</f>
        <v>10.584634355223193</v>
      </c>
      <c r="BC113" s="137">
        <f>$W113*AH113+$L113*Summary_LCIA!Y$32</f>
        <v>0.30124915263766017</v>
      </c>
      <c r="BD113" s="137">
        <f>$W113*AI113+$L113*Summary_LCIA!Z$32</f>
        <v>0.20197557568874031</v>
      </c>
      <c r="BE113" s="137">
        <f>$W113*AJ113+$L113*Summary_LCIA!AA$32</f>
        <v>0.99994064005889016</v>
      </c>
      <c r="BF113" s="137">
        <f>$W113*AK113+$L113*Summary_LCIA!AB$32</f>
        <v>5.1084269790472779E-2</v>
      </c>
      <c r="BG113" s="137">
        <f>$W113*AL113+$L113*Summary_LCIA!AC$32</f>
        <v>2.5002271497675309E-5</v>
      </c>
      <c r="BH113" s="137">
        <f>$W113*AM113+$L113*Summary_LCIA!AD$32</f>
        <v>8.7824844406426114E-2</v>
      </c>
      <c r="BI113" s="137">
        <f>$W113*AN113+$L113*Summary_LCIA!AE$32</f>
        <v>0.26790011887752485</v>
      </c>
      <c r="BJ113" s="137">
        <f>$W113*AO113+$L113*Summary_LCIA!AF$32</f>
        <v>8.5044666510677852E-3</v>
      </c>
      <c r="BK113" s="137">
        <f>$W113*AP113+$L113*Summary_LCIA!AG$32</f>
        <v>4.1964275310677843E-3</v>
      </c>
      <c r="BL113" s="137">
        <f>$W113*AQ113+$L113*Summary_LCIA!AH$32</f>
        <v>0.61476209072713905</v>
      </c>
      <c r="BM113" s="137">
        <f>$W113*AR113+$L113*Summary_LCIA!AI$32</f>
        <v>0.22772926246580538</v>
      </c>
    </row>
    <row r="114" spans="1:65" x14ac:dyDescent="0.25">
      <c r="A114" s="149">
        <v>74</v>
      </c>
      <c r="B114" s="149">
        <v>6</v>
      </c>
      <c r="C114" s="61">
        <v>43.660848999999999</v>
      </c>
      <c r="D114" s="61">
        <v>-79.395493999999999</v>
      </c>
      <c r="E114" s="61" t="s">
        <v>456</v>
      </c>
      <c r="F114" s="149">
        <v>130</v>
      </c>
      <c r="G114" s="61" t="s">
        <v>275</v>
      </c>
      <c r="H114" s="61" t="s">
        <v>653</v>
      </c>
      <c r="I114" s="61">
        <v>43.628481999999998</v>
      </c>
      <c r="J114" s="61">
        <v>-79.395957999999993</v>
      </c>
      <c r="K114" s="61">
        <v>5.2007018199999999</v>
      </c>
      <c r="L114" s="61">
        <v>5.4240000000000004</v>
      </c>
      <c r="M114" s="61" t="s">
        <v>617</v>
      </c>
      <c r="N114" s="149">
        <v>5</v>
      </c>
      <c r="O114" s="149">
        <v>6</v>
      </c>
      <c r="P114" s="61" t="s">
        <v>565</v>
      </c>
      <c r="Q114" s="61" t="s">
        <v>564</v>
      </c>
      <c r="R114" s="61">
        <v>41.98028</v>
      </c>
      <c r="S114" s="61">
        <v>-87.908997900000003</v>
      </c>
      <c r="T114" s="61">
        <v>864.73800000000006</v>
      </c>
      <c r="U114" s="61" t="s">
        <v>617</v>
      </c>
      <c r="V114" s="61" t="s">
        <v>569</v>
      </c>
      <c r="W114" s="61" cm="1">
        <f t="array" ref="W114">getDistance(I114,J114,R114,S114)*SA!$B$12</f>
        <v>719.74478003412571</v>
      </c>
      <c r="X114" s="61"/>
      <c r="Y114" s="137">
        <f>Transportation_LCIA!C$61*($W114^Transportation_LCIA!C$60)+Transportation_LCIA!C$62</f>
        <v>0.27479432969989154</v>
      </c>
      <c r="Z114" s="137">
        <f>Transportation_LCIA!D$61*($W114^Transportation_LCIA!D$60)+Transportation_LCIA!D$62</f>
        <v>2.8827039861185852</v>
      </c>
      <c r="AA114" s="137">
        <f>Transportation_LCIA!E$61*($W114^Transportation_LCIA!E$60)+Transportation_LCIA!E$62</f>
        <v>1.4454946535506226E-3</v>
      </c>
      <c r="AB114" s="137">
        <f>Transportation_LCIA!F$61*($W114^Transportation_LCIA!F$60)+Transportation_LCIA!F$62</f>
        <v>0.27479432969989154</v>
      </c>
      <c r="AC114" s="137">
        <f>Transportation_LCIA!G$61*($W114^Transportation_LCIA!G$60)+Transportation_LCIA!G$62</f>
        <v>6.7261235954918716E-2</v>
      </c>
      <c r="AD114" s="137">
        <f>Transportation_LCIA!H$61*($W114^Transportation_LCIA!H$60)+Transportation_LCIA!H$62</f>
        <v>3.432871724762876E-4</v>
      </c>
      <c r="AE114" s="137">
        <f>Transportation_LCIA!I$61*($W114^Transportation_LCIA!I$60)+Transportation_LCIA!I$62</f>
        <v>7.6049843112141125E-6</v>
      </c>
      <c r="AF114" s="137">
        <f>Transportation_LCIA!J$61*($W114^Transportation_LCIA!J$60)+Transportation_LCIA!J$62</f>
        <v>1.1282153732006601E-2</v>
      </c>
      <c r="AG114" s="137">
        <f>Transportation_LCIA!K$61*($W114^Transportation_LCIA!K$60)+Transportation_LCIA!K$62</f>
        <v>1.4534423764389365E-2</v>
      </c>
      <c r="AH114" s="137">
        <f>Transportation_LCIA!L$61*($W114^Transportation_LCIA!L$60)+Transportation_LCIA!L$62</f>
        <v>3.0112394094387748E-4</v>
      </c>
      <c r="AI114" s="137">
        <f>Transportation_LCIA!M$61*($W114^Transportation_LCIA!M$60)+Transportation_LCIA!M$62</f>
        <v>2.8031206126034625E-4</v>
      </c>
      <c r="AJ114" s="137">
        <f>Transportation_LCIA!N$61*($W114^Transportation_LCIA!N$60)+Transportation_LCIA!N$62</f>
        <v>1.2132879880247076E-3</v>
      </c>
      <c r="AK114" s="137">
        <f>Transportation_LCIA!O$61*($W114^Transportation_LCIA!O$60)+Transportation_LCIA!O$62</f>
        <v>7.1139991789930142E-5</v>
      </c>
      <c r="AL114" s="137">
        <f>Transportation_LCIA!P$61*($W114^Transportation_LCIA!P$60)+Transportation_LCIA!P$62</f>
        <v>3.436930057415968E-8</v>
      </c>
      <c r="AM114" s="137">
        <f>Transportation_LCIA!Q$61*($W114^Transportation_LCIA!Q$60)+Transportation_LCIA!Q$62</f>
        <v>1.1892460469441366E-4</v>
      </c>
      <c r="AN114" s="137">
        <f>Transportation_LCIA!R$61*($W114^Transportation_LCIA!R$60)+Transportation_LCIA!R$62</f>
        <v>3.6553755866774139E-4</v>
      </c>
      <c r="AO114" s="137">
        <f>Transportation_LCIA!S$61*($W114^Transportation_LCIA!S$60)+Transportation_LCIA!S$62</f>
        <v>5.4448586218047667E-6</v>
      </c>
      <c r="AP114" s="137">
        <f>Transportation_LCIA!T$61*($W114^Transportation_LCIA!T$60)+Transportation_LCIA!T$62</f>
        <v>5.4448586218047667E-6</v>
      </c>
      <c r="AQ114" s="137">
        <f>Transportation_LCIA!U$61*($W114^Transportation_LCIA!U$60)+Transportation_LCIA!U$62</f>
        <v>7.8854863567086818E-4</v>
      </c>
      <c r="AR114" s="137">
        <f>Transportation_LCIA!V$61*($W114^Transportation_LCIA!V$60)+Transportation_LCIA!V$62</f>
        <v>3.0938263318178909E-4</v>
      </c>
      <c r="AT114" s="137">
        <f>$W114*Y114+$L114*Summary_LCIA!H$32</f>
        <v>199.62485958447343</v>
      </c>
      <c r="AU114" s="137">
        <f>$W114*Z114+$L114*Summary_LCIA!Q$32</f>
        <v>2101.6927639410105</v>
      </c>
      <c r="AV114" s="137">
        <f>$W114*AA114+$L114*Summary_LCIA!R$32</f>
        <v>1.0689478458602975</v>
      </c>
      <c r="AW114" s="137">
        <f>$W114*AB114+$L114*Summary_LCIA!S$32</f>
        <v>199.60088550447344</v>
      </c>
      <c r="AX114" s="137">
        <f>$W114*AC114+$L114*Summary_LCIA!T$32</f>
        <v>49.007021077196399</v>
      </c>
      <c r="AY114" s="137">
        <f>$W114*AD114+$L114*Summary_LCIA!U$32</f>
        <v>0.34424468644248263</v>
      </c>
      <c r="AZ114" s="137">
        <f>$W114*AE114+$L114*Summary_LCIA!V$32</f>
        <v>5.732703424237779E-3</v>
      </c>
      <c r="BA114" s="137">
        <f>$W114*AF114+$L114*Summary_LCIA!W$32</f>
        <v>8.5377619601542811</v>
      </c>
      <c r="BB114" s="137">
        <f>$W114*AG114+$L114*Summary_LCIA!X$32</f>
        <v>10.584634355223193</v>
      </c>
      <c r="BC114" s="137">
        <f>$W114*AH114+$L114*Summary_LCIA!Y$32</f>
        <v>0.30124915263766017</v>
      </c>
      <c r="BD114" s="137">
        <f>$W114*AI114+$L114*Summary_LCIA!Z$32</f>
        <v>0.20197557568874031</v>
      </c>
      <c r="BE114" s="137">
        <f>$W114*AJ114+$L114*Summary_LCIA!AA$32</f>
        <v>0.99994064005889016</v>
      </c>
      <c r="BF114" s="137">
        <f>$W114*AK114+$L114*Summary_LCIA!AB$32</f>
        <v>5.1084269790472779E-2</v>
      </c>
      <c r="BG114" s="137">
        <f>$W114*AL114+$L114*Summary_LCIA!AC$32</f>
        <v>2.5002271497675309E-5</v>
      </c>
      <c r="BH114" s="137">
        <f>$W114*AM114+$L114*Summary_LCIA!AD$32</f>
        <v>8.7824844406426114E-2</v>
      </c>
      <c r="BI114" s="137">
        <f>$W114*AN114+$L114*Summary_LCIA!AE$32</f>
        <v>0.26790011887752485</v>
      </c>
      <c r="BJ114" s="137">
        <f>$W114*AO114+$L114*Summary_LCIA!AF$32</f>
        <v>8.5044666510677852E-3</v>
      </c>
      <c r="BK114" s="137">
        <f>$W114*AP114+$L114*Summary_LCIA!AG$32</f>
        <v>4.1964275310677843E-3</v>
      </c>
      <c r="BL114" s="137">
        <f>$W114*AQ114+$L114*Summary_LCIA!AH$32</f>
        <v>0.61476209072713905</v>
      </c>
      <c r="BM114" s="137">
        <f>$W114*AR114+$L114*Summary_LCIA!AI$32</f>
        <v>0.22772926246580538</v>
      </c>
    </row>
    <row r="115" spans="1:65" x14ac:dyDescent="0.25">
      <c r="A115" s="149">
        <v>75</v>
      </c>
      <c r="B115" s="149">
        <v>6</v>
      </c>
      <c r="C115" s="61">
        <v>43.660848999999999</v>
      </c>
      <c r="D115" s="61">
        <v>-79.395493999999999</v>
      </c>
      <c r="E115" s="61" t="s">
        <v>456</v>
      </c>
      <c r="F115" s="149">
        <v>130</v>
      </c>
      <c r="G115" s="61" t="s">
        <v>275</v>
      </c>
      <c r="H115" s="61" t="s">
        <v>653</v>
      </c>
      <c r="I115" s="61">
        <v>43.628481999999998</v>
      </c>
      <c r="J115" s="61">
        <v>-79.395957999999993</v>
      </c>
      <c r="K115" s="61">
        <v>5.2007018199999999</v>
      </c>
      <c r="L115" s="61">
        <v>5.4240000000000004</v>
      </c>
      <c r="M115" s="61" t="s">
        <v>617</v>
      </c>
      <c r="N115" s="149">
        <v>5</v>
      </c>
      <c r="O115" s="149">
        <v>6</v>
      </c>
      <c r="P115" s="61" t="s">
        <v>565</v>
      </c>
      <c r="Q115" s="61" t="s">
        <v>564</v>
      </c>
      <c r="R115" s="61">
        <v>41.98028</v>
      </c>
      <c r="S115" s="61">
        <v>-87.908997900000003</v>
      </c>
      <c r="T115" s="61">
        <v>864.73800000000006</v>
      </c>
      <c r="U115" s="61" t="s">
        <v>617</v>
      </c>
      <c r="V115" s="61" t="s">
        <v>569</v>
      </c>
      <c r="W115" s="61" cm="1">
        <f t="array" ref="W115">getDistance(I115,J115,R115,S115)*SA!$B$12</f>
        <v>719.74478003412571</v>
      </c>
      <c r="X115" s="61"/>
      <c r="Y115" s="137">
        <f>Transportation_LCIA!C$61*($W115^Transportation_LCIA!C$60)+Transportation_LCIA!C$62</f>
        <v>0.27479432969989154</v>
      </c>
      <c r="Z115" s="137">
        <f>Transportation_LCIA!D$61*($W115^Transportation_LCIA!D$60)+Transportation_LCIA!D$62</f>
        <v>2.8827039861185852</v>
      </c>
      <c r="AA115" s="137">
        <f>Transportation_LCIA!E$61*($W115^Transportation_LCIA!E$60)+Transportation_LCIA!E$62</f>
        <v>1.4454946535506226E-3</v>
      </c>
      <c r="AB115" s="137">
        <f>Transportation_LCIA!F$61*($W115^Transportation_LCIA!F$60)+Transportation_LCIA!F$62</f>
        <v>0.27479432969989154</v>
      </c>
      <c r="AC115" s="137">
        <f>Transportation_LCIA!G$61*($W115^Transportation_LCIA!G$60)+Transportation_LCIA!G$62</f>
        <v>6.7261235954918716E-2</v>
      </c>
      <c r="AD115" s="137">
        <f>Transportation_LCIA!H$61*($W115^Transportation_LCIA!H$60)+Transportation_LCIA!H$62</f>
        <v>3.432871724762876E-4</v>
      </c>
      <c r="AE115" s="137">
        <f>Transportation_LCIA!I$61*($W115^Transportation_LCIA!I$60)+Transportation_LCIA!I$62</f>
        <v>7.6049843112141125E-6</v>
      </c>
      <c r="AF115" s="137">
        <f>Transportation_LCIA!J$61*($W115^Transportation_LCIA!J$60)+Transportation_LCIA!J$62</f>
        <v>1.1282153732006601E-2</v>
      </c>
      <c r="AG115" s="137">
        <f>Transportation_LCIA!K$61*($W115^Transportation_LCIA!K$60)+Transportation_LCIA!K$62</f>
        <v>1.4534423764389365E-2</v>
      </c>
      <c r="AH115" s="137">
        <f>Transportation_LCIA!L$61*($W115^Transportation_LCIA!L$60)+Transportation_LCIA!L$62</f>
        <v>3.0112394094387748E-4</v>
      </c>
      <c r="AI115" s="137">
        <f>Transportation_LCIA!M$61*($W115^Transportation_LCIA!M$60)+Transportation_LCIA!M$62</f>
        <v>2.8031206126034625E-4</v>
      </c>
      <c r="AJ115" s="137">
        <f>Transportation_LCIA!N$61*($W115^Transportation_LCIA!N$60)+Transportation_LCIA!N$62</f>
        <v>1.2132879880247076E-3</v>
      </c>
      <c r="AK115" s="137">
        <f>Transportation_LCIA!O$61*($W115^Transportation_LCIA!O$60)+Transportation_LCIA!O$62</f>
        <v>7.1139991789930142E-5</v>
      </c>
      <c r="AL115" s="137">
        <f>Transportation_LCIA!P$61*($W115^Transportation_LCIA!P$60)+Transportation_LCIA!P$62</f>
        <v>3.436930057415968E-8</v>
      </c>
      <c r="AM115" s="137">
        <f>Transportation_LCIA!Q$61*($W115^Transportation_LCIA!Q$60)+Transportation_LCIA!Q$62</f>
        <v>1.1892460469441366E-4</v>
      </c>
      <c r="AN115" s="137">
        <f>Transportation_LCIA!R$61*($W115^Transportation_LCIA!R$60)+Transportation_LCIA!R$62</f>
        <v>3.6553755866774139E-4</v>
      </c>
      <c r="AO115" s="137">
        <f>Transportation_LCIA!S$61*($W115^Transportation_LCIA!S$60)+Transportation_LCIA!S$62</f>
        <v>5.4448586218047667E-6</v>
      </c>
      <c r="AP115" s="137">
        <f>Transportation_LCIA!T$61*($W115^Transportation_LCIA!T$60)+Transportation_LCIA!T$62</f>
        <v>5.4448586218047667E-6</v>
      </c>
      <c r="AQ115" s="137">
        <f>Transportation_LCIA!U$61*($W115^Transportation_LCIA!U$60)+Transportation_LCIA!U$62</f>
        <v>7.8854863567086818E-4</v>
      </c>
      <c r="AR115" s="137">
        <f>Transportation_LCIA!V$61*($W115^Transportation_LCIA!V$60)+Transportation_LCIA!V$62</f>
        <v>3.0938263318178909E-4</v>
      </c>
      <c r="AT115" s="137">
        <f>$W115*Y115+$L115*Summary_LCIA!H$32</f>
        <v>199.62485958447343</v>
      </c>
      <c r="AU115" s="137">
        <f>$W115*Z115+$L115*Summary_LCIA!Q$32</f>
        <v>2101.6927639410105</v>
      </c>
      <c r="AV115" s="137">
        <f>$W115*AA115+$L115*Summary_LCIA!R$32</f>
        <v>1.0689478458602975</v>
      </c>
      <c r="AW115" s="137">
        <f>$W115*AB115+$L115*Summary_LCIA!S$32</f>
        <v>199.60088550447344</v>
      </c>
      <c r="AX115" s="137">
        <f>$W115*AC115+$L115*Summary_LCIA!T$32</f>
        <v>49.007021077196399</v>
      </c>
      <c r="AY115" s="137">
        <f>$W115*AD115+$L115*Summary_LCIA!U$32</f>
        <v>0.34424468644248263</v>
      </c>
      <c r="AZ115" s="137">
        <f>$W115*AE115+$L115*Summary_LCIA!V$32</f>
        <v>5.732703424237779E-3</v>
      </c>
      <c r="BA115" s="137">
        <f>$W115*AF115+$L115*Summary_LCIA!W$32</f>
        <v>8.5377619601542811</v>
      </c>
      <c r="BB115" s="137">
        <f>$W115*AG115+$L115*Summary_LCIA!X$32</f>
        <v>10.584634355223193</v>
      </c>
      <c r="BC115" s="137">
        <f>$W115*AH115+$L115*Summary_LCIA!Y$32</f>
        <v>0.30124915263766017</v>
      </c>
      <c r="BD115" s="137">
        <f>$W115*AI115+$L115*Summary_LCIA!Z$32</f>
        <v>0.20197557568874031</v>
      </c>
      <c r="BE115" s="137">
        <f>$W115*AJ115+$L115*Summary_LCIA!AA$32</f>
        <v>0.99994064005889016</v>
      </c>
      <c r="BF115" s="137">
        <f>$W115*AK115+$L115*Summary_LCIA!AB$32</f>
        <v>5.1084269790472779E-2</v>
      </c>
      <c r="BG115" s="137">
        <f>$W115*AL115+$L115*Summary_LCIA!AC$32</f>
        <v>2.5002271497675309E-5</v>
      </c>
      <c r="BH115" s="137">
        <f>$W115*AM115+$L115*Summary_LCIA!AD$32</f>
        <v>8.7824844406426114E-2</v>
      </c>
      <c r="BI115" s="137">
        <f>$W115*AN115+$L115*Summary_LCIA!AE$32</f>
        <v>0.26790011887752485</v>
      </c>
      <c r="BJ115" s="137">
        <f>$W115*AO115+$L115*Summary_LCIA!AF$32</f>
        <v>8.5044666510677852E-3</v>
      </c>
      <c r="BK115" s="137">
        <f>$W115*AP115+$L115*Summary_LCIA!AG$32</f>
        <v>4.1964275310677843E-3</v>
      </c>
      <c r="BL115" s="137">
        <f>$W115*AQ115+$L115*Summary_LCIA!AH$32</f>
        <v>0.61476209072713905</v>
      </c>
      <c r="BM115" s="137">
        <f>$W115*AR115+$L115*Summary_LCIA!AI$32</f>
        <v>0.22772926246580538</v>
      </c>
    </row>
    <row r="116" spans="1:65" x14ac:dyDescent="0.25">
      <c r="A116" s="149">
        <v>281</v>
      </c>
      <c r="B116" s="149">
        <v>6</v>
      </c>
      <c r="C116" s="61">
        <v>39.654181000000001</v>
      </c>
      <c r="D116" s="61">
        <v>-79.959489000000005</v>
      </c>
      <c r="E116" s="61" t="s">
        <v>265</v>
      </c>
      <c r="F116" s="149">
        <v>106</v>
      </c>
      <c r="G116" s="61" t="s">
        <v>266</v>
      </c>
      <c r="H116" s="61" t="s">
        <v>669</v>
      </c>
      <c r="I116" s="61">
        <v>40.491920999999998</v>
      </c>
      <c r="J116" s="61">
        <v>-80.235223000000005</v>
      </c>
      <c r="K116" s="61">
        <v>134.8417848</v>
      </c>
      <c r="L116" s="61">
        <v>124.12</v>
      </c>
      <c r="M116" s="61" t="s">
        <v>617</v>
      </c>
      <c r="N116" s="149">
        <v>5</v>
      </c>
      <c r="O116" s="149">
        <v>6</v>
      </c>
      <c r="P116" s="61" t="s">
        <v>565</v>
      </c>
      <c r="Q116" s="61" t="s">
        <v>564</v>
      </c>
      <c r="R116" s="61">
        <v>41.98028</v>
      </c>
      <c r="S116" s="61">
        <v>-87.908997900000003</v>
      </c>
      <c r="T116" s="61">
        <v>876.70500000000004</v>
      </c>
      <c r="U116" s="61" t="s">
        <v>617</v>
      </c>
      <c r="V116" s="61" t="s">
        <v>569</v>
      </c>
      <c r="W116" s="61" cm="1">
        <f t="array" ref="W116">getDistance(I116,J116,R116,S116)*SA!$B$12</f>
        <v>664.03976858093529</v>
      </c>
      <c r="X116" s="61"/>
      <c r="Y116" s="137">
        <f>Transportation_LCIA!C$61*($W116^Transportation_LCIA!C$60)+Transportation_LCIA!C$62</f>
        <v>0.28618318016419964</v>
      </c>
      <c r="Z116" s="137">
        <f>Transportation_LCIA!D$61*($W116^Transportation_LCIA!D$60)+Transportation_LCIA!D$62</f>
        <v>3.0177355282535454</v>
      </c>
      <c r="AA116" s="137">
        <f>Transportation_LCIA!E$61*($W116^Transportation_LCIA!E$60)+Transportation_LCIA!E$62</f>
        <v>1.5346723185627621E-3</v>
      </c>
      <c r="AB116" s="137">
        <f>Transportation_LCIA!F$61*($W116^Transportation_LCIA!F$60)+Transportation_LCIA!F$62</f>
        <v>0.28618318016419964</v>
      </c>
      <c r="AC116" s="137">
        <f>Transportation_LCIA!G$61*($W116^Transportation_LCIA!G$60)+Transportation_LCIA!G$62</f>
        <v>7.0382405916778926E-2</v>
      </c>
      <c r="AD116" s="137">
        <f>Transportation_LCIA!H$61*($W116^Transportation_LCIA!H$60)+Transportation_LCIA!H$62</f>
        <v>3.6306879462450609E-4</v>
      </c>
      <c r="AE116" s="137">
        <f>Transportation_LCIA!I$61*($W116^Transportation_LCIA!I$60)+Transportation_LCIA!I$62</f>
        <v>8.1100647661309928E-6</v>
      </c>
      <c r="AF116" s="137">
        <f>Transportation_LCIA!J$61*($W116^Transportation_LCIA!J$60)+Transportation_LCIA!J$62</f>
        <v>1.2041348839796951E-2</v>
      </c>
      <c r="AG116" s="137">
        <f>Transportation_LCIA!K$61*($W116^Transportation_LCIA!K$60)+Transportation_LCIA!K$62</f>
        <v>1.5268865092569082E-2</v>
      </c>
      <c r="AH116" s="137">
        <f>Transportation_LCIA!L$61*($W116^Transportation_LCIA!L$60)+Transportation_LCIA!L$62</f>
        <v>3.193834659249564E-4</v>
      </c>
      <c r="AI116" s="137">
        <f>Transportation_LCIA!M$61*($W116^Transportation_LCIA!M$60)+Transportation_LCIA!M$62</f>
        <v>2.9123459332568592E-4</v>
      </c>
      <c r="AJ116" s="137">
        <f>Transportation_LCIA!N$61*($W116^Transportation_LCIA!N$60)+Transportation_LCIA!N$62</f>
        <v>1.2797222196284355E-3</v>
      </c>
      <c r="AK116" s="137">
        <f>Transportation_LCIA!O$61*($W116^Transportation_LCIA!O$60)+Transportation_LCIA!O$62</f>
        <v>7.4458081336171384E-5</v>
      </c>
      <c r="AL116" s="137">
        <f>Transportation_LCIA!P$61*($W116^Transportation_LCIA!P$60)+Transportation_LCIA!P$62</f>
        <v>3.5962723058234319E-8</v>
      </c>
      <c r="AM116" s="137">
        <f>Transportation_LCIA!Q$61*($W116^Transportation_LCIA!Q$60)+Transportation_LCIA!Q$62</f>
        <v>1.2607962162909455E-4</v>
      </c>
      <c r="AN116" s="137">
        <f>Transportation_LCIA!R$61*($W116^Transportation_LCIA!R$60)+Transportation_LCIA!R$62</f>
        <v>3.8976595565047854E-4</v>
      </c>
      <c r="AO116" s="137">
        <f>Transportation_LCIA!S$61*($W116^Transportation_LCIA!S$60)+Transportation_LCIA!S$62</f>
        <v>5.7884928967616082E-6</v>
      </c>
      <c r="AP116" s="137">
        <f>Transportation_LCIA!T$61*($W116^Transportation_LCIA!T$60)+Transportation_LCIA!T$62</f>
        <v>5.7884928967616082E-6</v>
      </c>
      <c r="AQ116" s="137">
        <f>Transportation_LCIA!U$61*($W116^Transportation_LCIA!U$60)+Transportation_LCIA!U$62</f>
        <v>8.418249291876381E-4</v>
      </c>
      <c r="AR116" s="137">
        <f>Transportation_LCIA!V$61*($W116^Transportation_LCIA!V$60)+Transportation_LCIA!V$62</f>
        <v>3.2804857778078551E-4</v>
      </c>
      <c r="AT116" s="137">
        <f>$W116*Y116+$L116*Summary_LCIA!H$32</f>
        <v>232.21298872799122</v>
      </c>
      <c r="AU116" s="137">
        <f>$W116*Z116+$L116*Summary_LCIA!Q$32</f>
        <v>2619.0413815639108</v>
      </c>
      <c r="AV116" s="137">
        <f>$W116*AA116+$L116*Summary_LCIA!R$32</f>
        <v>1.6726497232659838</v>
      </c>
      <c r="AW116" s="137">
        <f>$W116*AB116+$L116*Summary_LCIA!S$32</f>
        <v>231.66437832799124</v>
      </c>
      <c r="AX116" s="137">
        <f>$W116*AC116+$L116*Summary_LCIA!T$32</f>
        <v>60.377504537147331</v>
      </c>
      <c r="AY116" s="137">
        <f>$W116*AD116+$L116*Summary_LCIA!U$32</f>
        <v>2.4645777983614163</v>
      </c>
      <c r="AZ116" s="137">
        <f>$W116*AE116+$L116*Summary_LCIA!V$32</f>
        <v>1.1313500850478022E-2</v>
      </c>
      <c r="BA116" s="137">
        <f>$W116*AF116+$L116*Summary_LCIA!W$32</f>
        <v>17.54957501698108</v>
      </c>
      <c r="BB116" s="137">
        <f>$W116*AG116+$L116*Summary_LCIA!X$32</f>
        <v>12.966587242563094</v>
      </c>
      <c r="BC116" s="137">
        <f>$W116*AH116+$L116*Summary_LCIA!Y$32</f>
        <v>2.1461211628013852</v>
      </c>
      <c r="BD116" s="137">
        <f>$W116*AI116+$L116*Summary_LCIA!Z$32</f>
        <v>0.19848138903475127</v>
      </c>
      <c r="BE116" s="137">
        <f>$W116*AJ116+$L116*Summary_LCIA!AA$32</f>
        <v>3.7487331665699473</v>
      </c>
      <c r="BF116" s="137">
        <f>$W116*AK116+$L116*Summary_LCIA!AB$32</f>
        <v>4.6734456339451697E-2</v>
      </c>
      <c r="BG116" s="137">
        <f>$W116*AL116+$L116*Summary_LCIA!AC$32</f>
        <v>2.9948160377130184E-5</v>
      </c>
      <c r="BH116" s="137">
        <f>$W116*AM116+$L116*Summary_LCIA!AD$32</f>
        <v>0.13474016756935583</v>
      </c>
      <c r="BI116" s="137">
        <f>$W116*AN116+$L116*Summary_LCIA!AE$32</f>
        <v>0.36880655059087086</v>
      </c>
      <c r="BJ116" s="137">
        <f>$W116*AO116+$L116*Summary_LCIA!AF$32</f>
        <v>0.10877731988359798</v>
      </c>
      <c r="BK116" s="137">
        <f>$W116*AP116+$L116*Summary_LCIA!AG$32</f>
        <v>1.0194389283597966E-2</v>
      </c>
      <c r="BL116" s="137">
        <f>$W116*AQ116+$L116*Summary_LCIA!AH$32</f>
        <v>1.6392960631634217</v>
      </c>
      <c r="BM116" s="137">
        <f>$W116*AR116+$L116*Summary_LCIA!AI$32</f>
        <v>0.33346128767285776</v>
      </c>
    </row>
    <row r="117" spans="1:65" x14ac:dyDescent="0.25">
      <c r="A117" s="149">
        <v>177</v>
      </c>
      <c r="B117" s="149">
        <v>6</v>
      </c>
      <c r="C117" s="61">
        <v>42.871099999999998</v>
      </c>
      <c r="D117" s="61">
        <v>-78.859319999999997</v>
      </c>
      <c r="E117" s="61" t="s">
        <v>265</v>
      </c>
      <c r="F117" s="149">
        <v>120</v>
      </c>
      <c r="G117" s="61" t="s">
        <v>625</v>
      </c>
      <c r="H117" s="61" t="s">
        <v>626</v>
      </c>
      <c r="I117" s="61">
        <v>42.939706000000001</v>
      </c>
      <c r="J117" s="61">
        <v>-78.729506999999998</v>
      </c>
      <c r="K117" s="61">
        <v>16.03849787</v>
      </c>
      <c r="L117" s="61">
        <v>20.835000000000001</v>
      </c>
      <c r="M117" s="61" t="s">
        <v>617</v>
      </c>
      <c r="N117" s="149">
        <v>5</v>
      </c>
      <c r="O117" s="149">
        <v>6</v>
      </c>
      <c r="P117" s="61" t="s">
        <v>565</v>
      </c>
      <c r="Q117" s="61" t="s">
        <v>564</v>
      </c>
      <c r="R117" s="61">
        <v>41.98028</v>
      </c>
      <c r="S117" s="61">
        <v>-87.908997900000003</v>
      </c>
      <c r="T117" s="61">
        <v>888.98500000000001</v>
      </c>
      <c r="U117" s="61" t="s">
        <v>617</v>
      </c>
      <c r="V117" s="61" t="s">
        <v>569</v>
      </c>
      <c r="W117" s="61" cm="1">
        <f t="array" ref="W117">getDistance(I117,J117,R117,S117)*SA!$B$12</f>
        <v>762.14373098463625</v>
      </c>
      <c r="X117" s="61"/>
      <c r="Y117" s="137">
        <f>Transportation_LCIA!C$61*($W117^Transportation_LCIA!C$60)+Transportation_LCIA!C$62</f>
        <v>0.26715705922877148</v>
      </c>
      <c r="Z117" s="137">
        <f>Transportation_LCIA!D$61*($W117^Transportation_LCIA!D$60)+Transportation_LCIA!D$62</f>
        <v>2.7924242819575884</v>
      </c>
      <c r="AA117" s="137">
        <f>Transportation_LCIA!E$61*($W117^Transportation_LCIA!E$60)+Transportation_LCIA!E$62</f>
        <v>1.3859223127365909E-3</v>
      </c>
      <c r="AB117" s="137">
        <f>Transportation_LCIA!F$61*($W117^Transportation_LCIA!F$60)+Transportation_LCIA!F$62</f>
        <v>0.26715705922877148</v>
      </c>
      <c r="AC117" s="137">
        <f>Transportation_LCIA!G$61*($W117^Transportation_LCIA!G$60)+Transportation_LCIA!G$62</f>
        <v>6.5174111539131718E-2</v>
      </c>
      <c r="AD117" s="137">
        <f>Transportation_LCIA!H$61*($W117^Transportation_LCIA!H$60)+Transportation_LCIA!H$62</f>
        <v>3.3009468273267277E-4</v>
      </c>
      <c r="AE117" s="137">
        <f>Transportation_LCIA!I$61*($W117^Transportation_LCIA!I$60)+Transportation_LCIA!I$62</f>
        <v>7.2690458918611156E-6</v>
      </c>
      <c r="AF117" s="137">
        <f>Transportation_LCIA!J$61*($W117^Transportation_LCIA!J$60)+Transportation_LCIA!J$62</f>
        <v>1.0778083772794846E-2</v>
      </c>
      <c r="AG117" s="137">
        <f>Transportation_LCIA!K$61*($W117^Transportation_LCIA!K$60)+Transportation_LCIA!K$62</f>
        <v>1.404404741045014E-2</v>
      </c>
      <c r="AH117" s="137">
        <f>Transportation_LCIA!L$61*($W117^Transportation_LCIA!L$60)+Transportation_LCIA!L$62</f>
        <v>2.8895585132343143E-4</v>
      </c>
      <c r="AI117" s="137">
        <f>Transportation_LCIA!M$61*($W117^Transportation_LCIA!M$60)+Transportation_LCIA!M$62</f>
        <v>2.730284163617511E-4</v>
      </c>
      <c r="AJ117" s="137">
        <f>Transportation_LCIA!N$61*($W117^Transportation_LCIA!N$60)+Transportation_LCIA!N$62</f>
        <v>1.168973124544055E-3</v>
      </c>
      <c r="AK117" s="137">
        <f>Transportation_LCIA!O$61*($W117^Transportation_LCIA!O$60)+Transportation_LCIA!O$62</f>
        <v>6.8921370358073866E-5</v>
      </c>
      <c r="AL117" s="137">
        <f>Transportation_LCIA!P$61*($W117^Transportation_LCIA!P$60)+Transportation_LCIA!P$62</f>
        <v>3.3303629963256696E-8</v>
      </c>
      <c r="AM117" s="137">
        <f>Transportation_LCIA!Q$61*($W117^Transportation_LCIA!Q$60)+Transportation_LCIA!Q$62</f>
        <v>1.1415848600762142E-4</v>
      </c>
      <c r="AN117" s="137">
        <f>Transportation_LCIA!R$61*($W117^Transportation_LCIA!R$60)+Transportation_LCIA!R$62</f>
        <v>3.4942384575839313E-4</v>
      </c>
      <c r="AO117" s="137">
        <f>Transportation_LCIA!S$61*($W117^Transportation_LCIA!S$60)+Transportation_LCIA!S$62</f>
        <v>5.2162884195573146E-6</v>
      </c>
      <c r="AP117" s="137">
        <f>Transportation_LCIA!T$61*($W117^Transportation_LCIA!T$60)+Transportation_LCIA!T$62</f>
        <v>5.2162884195573146E-6</v>
      </c>
      <c r="AQ117" s="137">
        <f>Transportation_LCIA!U$61*($W117^Transportation_LCIA!U$60)+Transportation_LCIA!U$62</f>
        <v>7.53133915953268E-4</v>
      </c>
      <c r="AR117" s="137">
        <f>Transportation_LCIA!V$61*($W117^Transportation_LCIA!V$60)+Transportation_LCIA!V$62</f>
        <v>2.9695542383182229E-4</v>
      </c>
      <c r="AT117" s="137">
        <f>$W117*Y117+$L117*Summary_LCIA!H$32</f>
        <v>210.69181087949934</v>
      </c>
      <c r="AU117" s="137">
        <f>$W117*Z117+$L117*Summary_LCIA!Q$32</f>
        <v>2231.4879715148054</v>
      </c>
      <c r="AV117" s="137">
        <f>$W117*AA117+$L117*Summary_LCIA!R$32</f>
        <v>1.1659807782839211</v>
      </c>
      <c r="AW117" s="137">
        <f>$W117*AB117+$L117*Summary_LCIA!S$32</f>
        <v>210.59972017949934</v>
      </c>
      <c r="AX117" s="137">
        <f>$W117*AC117+$L117*Summary_LCIA!T$32</f>
        <v>51.961807032042678</v>
      </c>
      <c r="AY117" s="137">
        <f>$W117*AD117+$L117*Summary_LCIA!U$32</f>
        <v>0.62481778307606906</v>
      </c>
      <c r="AZ117" s="137">
        <f>$W117*AE117+$L117*Summary_LCIA!V$32</f>
        <v>6.5351581917215736E-3</v>
      </c>
      <c r="BA117" s="137">
        <f>$W117*AF117+$L117*Summary_LCIA!W$32</f>
        <v>9.8181397644628277</v>
      </c>
      <c r="BB117" s="137">
        <f>$W117*AG117+$L117*Summary_LCIA!X$32</f>
        <v>11.178203991525589</v>
      </c>
      <c r="BC117" s="137">
        <f>$W117*AH117+$L117*Summary_LCIA!Y$32</f>
        <v>0.54487686061748186</v>
      </c>
      <c r="BD117" s="137">
        <f>$W117*AI117+$L117*Summary_LCIA!Z$32</f>
        <v>0.20894131842577168</v>
      </c>
      <c r="BE117" s="137">
        <f>$W117*AJ117+$L117*Summary_LCIA!AA$32</f>
        <v>1.3775477985607738</v>
      </c>
      <c r="BF117" s="137">
        <f>$W117*AK117+$L117*Summary_LCIA!AB$32</f>
        <v>5.2073308144276333E-2</v>
      </c>
      <c r="BG117" s="137">
        <f>$W117*AL117+$L117*Summary_LCIA!AC$32</f>
        <v>2.6400650935528181E-5</v>
      </c>
      <c r="BH117" s="137">
        <f>$W117*AM117+$L117*Summary_LCIA!AD$32</f>
        <v>9.5569192849405987E-2</v>
      </c>
      <c r="BI117" s="137">
        <f>$W117*AN117+$L117*Summary_LCIA!AE$32</f>
        <v>0.28477371205130186</v>
      </c>
      <c r="BJ117" s="137">
        <f>$W117*AO117+$L117*Summary_LCIA!AF$32</f>
        <v>2.1589887217973367E-2</v>
      </c>
      <c r="BK117" s="137">
        <f>$W117*AP117+$L117*Summary_LCIA!AG$32</f>
        <v>5.0415842929733643E-3</v>
      </c>
      <c r="BL117" s="137">
        <f>$W117*AQ117+$L117*Summary_LCIA!AH$32</f>
        <v>0.75533579863569322</v>
      </c>
      <c r="BM117" s="137">
        <f>$W117*AR117+$L117*Summary_LCIA!AI$32</f>
        <v>0.24573155890530901</v>
      </c>
    </row>
    <row r="118" spans="1:65" x14ac:dyDescent="0.25">
      <c r="A118" s="149">
        <v>178</v>
      </c>
      <c r="B118" s="149">
        <v>6</v>
      </c>
      <c r="C118" s="61">
        <v>42.871099999999998</v>
      </c>
      <c r="D118" s="61">
        <v>-78.859319999999997</v>
      </c>
      <c r="E118" s="61" t="s">
        <v>265</v>
      </c>
      <c r="F118" s="149">
        <v>120</v>
      </c>
      <c r="G118" s="61" t="s">
        <v>625</v>
      </c>
      <c r="H118" s="61" t="s">
        <v>626</v>
      </c>
      <c r="I118" s="61">
        <v>42.939706000000001</v>
      </c>
      <c r="J118" s="61">
        <v>-78.729506999999998</v>
      </c>
      <c r="K118" s="61">
        <v>16.03849787</v>
      </c>
      <c r="L118" s="61">
        <v>20.835000000000001</v>
      </c>
      <c r="M118" s="61" t="s">
        <v>617</v>
      </c>
      <c r="N118" s="149">
        <v>5</v>
      </c>
      <c r="O118" s="149">
        <v>6</v>
      </c>
      <c r="P118" s="61" t="s">
        <v>565</v>
      </c>
      <c r="Q118" s="61" t="s">
        <v>564</v>
      </c>
      <c r="R118" s="61">
        <v>41.98028</v>
      </c>
      <c r="S118" s="61">
        <v>-87.908997900000003</v>
      </c>
      <c r="T118" s="61">
        <v>888.98500000000001</v>
      </c>
      <c r="U118" s="61" t="s">
        <v>617</v>
      </c>
      <c r="V118" s="61" t="s">
        <v>569</v>
      </c>
      <c r="W118" s="61" cm="1">
        <f t="array" ref="W118">getDistance(I118,J118,R118,S118)*SA!$B$12</f>
        <v>762.14373098463625</v>
      </c>
      <c r="X118" s="61"/>
      <c r="Y118" s="137">
        <f>Transportation_LCIA!C$61*($W118^Transportation_LCIA!C$60)+Transportation_LCIA!C$62</f>
        <v>0.26715705922877148</v>
      </c>
      <c r="Z118" s="137">
        <f>Transportation_LCIA!D$61*($W118^Transportation_LCIA!D$60)+Transportation_LCIA!D$62</f>
        <v>2.7924242819575884</v>
      </c>
      <c r="AA118" s="137">
        <f>Transportation_LCIA!E$61*($W118^Transportation_LCIA!E$60)+Transportation_LCIA!E$62</f>
        <v>1.3859223127365909E-3</v>
      </c>
      <c r="AB118" s="137">
        <f>Transportation_LCIA!F$61*($W118^Transportation_LCIA!F$60)+Transportation_LCIA!F$62</f>
        <v>0.26715705922877148</v>
      </c>
      <c r="AC118" s="137">
        <f>Transportation_LCIA!G$61*($W118^Transportation_LCIA!G$60)+Transportation_LCIA!G$62</f>
        <v>6.5174111539131718E-2</v>
      </c>
      <c r="AD118" s="137">
        <f>Transportation_LCIA!H$61*($W118^Transportation_LCIA!H$60)+Transportation_LCIA!H$62</f>
        <v>3.3009468273267277E-4</v>
      </c>
      <c r="AE118" s="137">
        <f>Transportation_LCIA!I$61*($W118^Transportation_LCIA!I$60)+Transportation_LCIA!I$62</f>
        <v>7.2690458918611156E-6</v>
      </c>
      <c r="AF118" s="137">
        <f>Transportation_LCIA!J$61*($W118^Transportation_LCIA!J$60)+Transportation_LCIA!J$62</f>
        <v>1.0778083772794846E-2</v>
      </c>
      <c r="AG118" s="137">
        <f>Transportation_LCIA!K$61*($W118^Transportation_LCIA!K$60)+Transportation_LCIA!K$62</f>
        <v>1.404404741045014E-2</v>
      </c>
      <c r="AH118" s="137">
        <f>Transportation_LCIA!L$61*($W118^Transportation_LCIA!L$60)+Transportation_LCIA!L$62</f>
        <v>2.8895585132343143E-4</v>
      </c>
      <c r="AI118" s="137">
        <f>Transportation_LCIA!M$61*($W118^Transportation_LCIA!M$60)+Transportation_LCIA!M$62</f>
        <v>2.730284163617511E-4</v>
      </c>
      <c r="AJ118" s="137">
        <f>Transportation_LCIA!N$61*($W118^Transportation_LCIA!N$60)+Transportation_LCIA!N$62</f>
        <v>1.168973124544055E-3</v>
      </c>
      <c r="AK118" s="137">
        <f>Transportation_LCIA!O$61*($W118^Transportation_LCIA!O$60)+Transportation_LCIA!O$62</f>
        <v>6.8921370358073866E-5</v>
      </c>
      <c r="AL118" s="137">
        <f>Transportation_LCIA!P$61*($W118^Transportation_LCIA!P$60)+Transportation_LCIA!P$62</f>
        <v>3.3303629963256696E-8</v>
      </c>
      <c r="AM118" s="137">
        <f>Transportation_LCIA!Q$61*($W118^Transportation_LCIA!Q$60)+Transportation_LCIA!Q$62</f>
        <v>1.1415848600762142E-4</v>
      </c>
      <c r="AN118" s="137">
        <f>Transportation_LCIA!R$61*($W118^Transportation_LCIA!R$60)+Transportation_LCIA!R$62</f>
        <v>3.4942384575839313E-4</v>
      </c>
      <c r="AO118" s="137">
        <f>Transportation_LCIA!S$61*($W118^Transportation_LCIA!S$60)+Transportation_LCIA!S$62</f>
        <v>5.2162884195573146E-6</v>
      </c>
      <c r="AP118" s="137">
        <f>Transportation_LCIA!T$61*($W118^Transportation_LCIA!T$60)+Transportation_LCIA!T$62</f>
        <v>5.2162884195573146E-6</v>
      </c>
      <c r="AQ118" s="137">
        <f>Transportation_LCIA!U$61*($W118^Transportation_LCIA!U$60)+Transportation_LCIA!U$62</f>
        <v>7.53133915953268E-4</v>
      </c>
      <c r="AR118" s="137">
        <f>Transportation_LCIA!V$61*($W118^Transportation_LCIA!V$60)+Transportation_LCIA!V$62</f>
        <v>2.9695542383182229E-4</v>
      </c>
      <c r="AT118" s="137">
        <f>$W118*Y118+$L118*Summary_LCIA!H$32</f>
        <v>210.69181087949934</v>
      </c>
      <c r="AU118" s="137">
        <f>$W118*Z118+$L118*Summary_LCIA!Q$32</f>
        <v>2231.4879715148054</v>
      </c>
      <c r="AV118" s="137">
        <f>$W118*AA118+$L118*Summary_LCIA!R$32</f>
        <v>1.1659807782839211</v>
      </c>
      <c r="AW118" s="137">
        <f>$W118*AB118+$L118*Summary_LCIA!S$32</f>
        <v>210.59972017949934</v>
      </c>
      <c r="AX118" s="137">
        <f>$W118*AC118+$L118*Summary_LCIA!T$32</f>
        <v>51.961807032042678</v>
      </c>
      <c r="AY118" s="137">
        <f>$W118*AD118+$L118*Summary_LCIA!U$32</f>
        <v>0.62481778307606906</v>
      </c>
      <c r="AZ118" s="137">
        <f>$W118*AE118+$L118*Summary_LCIA!V$32</f>
        <v>6.5351581917215736E-3</v>
      </c>
      <c r="BA118" s="137">
        <f>$W118*AF118+$L118*Summary_LCIA!W$32</f>
        <v>9.8181397644628277</v>
      </c>
      <c r="BB118" s="137">
        <f>$W118*AG118+$L118*Summary_LCIA!X$32</f>
        <v>11.178203991525589</v>
      </c>
      <c r="BC118" s="137">
        <f>$W118*AH118+$L118*Summary_LCIA!Y$32</f>
        <v>0.54487686061748186</v>
      </c>
      <c r="BD118" s="137">
        <f>$W118*AI118+$L118*Summary_LCIA!Z$32</f>
        <v>0.20894131842577168</v>
      </c>
      <c r="BE118" s="137">
        <f>$W118*AJ118+$L118*Summary_LCIA!AA$32</f>
        <v>1.3775477985607738</v>
      </c>
      <c r="BF118" s="137">
        <f>$W118*AK118+$L118*Summary_LCIA!AB$32</f>
        <v>5.2073308144276333E-2</v>
      </c>
      <c r="BG118" s="137">
        <f>$W118*AL118+$L118*Summary_LCIA!AC$32</f>
        <v>2.6400650935528181E-5</v>
      </c>
      <c r="BH118" s="137">
        <f>$W118*AM118+$L118*Summary_LCIA!AD$32</f>
        <v>9.5569192849405987E-2</v>
      </c>
      <c r="BI118" s="137">
        <f>$W118*AN118+$L118*Summary_LCIA!AE$32</f>
        <v>0.28477371205130186</v>
      </c>
      <c r="BJ118" s="137">
        <f>$W118*AO118+$L118*Summary_LCIA!AF$32</f>
        <v>2.1589887217973367E-2</v>
      </c>
      <c r="BK118" s="137">
        <f>$W118*AP118+$L118*Summary_LCIA!AG$32</f>
        <v>5.0415842929733643E-3</v>
      </c>
      <c r="BL118" s="137">
        <f>$W118*AQ118+$L118*Summary_LCIA!AH$32</f>
        <v>0.75533579863569322</v>
      </c>
      <c r="BM118" s="137">
        <f>$W118*AR118+$L118*Summary_LCIA!AI$32</f>
        <v>0.24573155890530901</v>
      </c>
    </row>
    <row r="119" spans="1:65" x14ac:dyDescent="0.25">
      <c r="A119" s="149">
        <v>179</v>
      </c>
      <c r="B119" s="149">
        <v>6</v>
      </c>
      <c r="C119" s="61">
        <v>42.871099999999998</v>
      </c>
      <c r="D119" s="61">
        <v>-78.859319999999997</v>
      </c>
      <c r="E119" s="61" t="s">
        <v>265</v>
      </c>
      <c r="F119" s="149">
        <v>120</v>
      </c>
      <c r="G119" s="61" t="s">
        <v>625</v>
      </c>
      <c r="H119" s="61" t="s">
        <v>626</v>
      </c>
      <c r="I119" s="61">
        <v>42.939706000000001</v>
      </c>
      <c r="J119" s="61">
        <v>-78.729506999999998</v>
      </c>
      <c r="K119" s="61">
        <v>16.03849787</v>
      </c>
      <c r="L119" s="61">
        <v>20.835000000000001</v>
      </c>
      <c r="M119" s="61" t="s">
        <v>617</v>
      </c>
      <c r="N119" s="149">
        <v>5</v>
      </c>
      <c r="O119" s="149">
        <v>6</v>
      </c>
      <c r="P119" s="61" t="s">
        <v>565</v>
      </c>
      <c r="Q119" s="61" t="s">
        <v>564</v>
      </c>
      <c r="R119" s="61">
        <v>41.98028</v>
      </c>
      <c r="S119" s="61">
        <v>-87.908997900000003</v>
      </c>
      <c r="T119" s="61">
        <v>888.98500000000001</v>
      </c>
      <c r="U119" s="61" t="s">
        <v>617</v>
      </c>
      <c r="V119" s="61" t="s">
        <v>569</v>
      </c>
      <c r="W119" s="61" cm="1">
        <f t="array" ref="W119">getDistance(I119,J119,R119,S119)*SA!$B$12</f>
        <v>762.14373098463625</v>
      </c>
      <c r="X119" s="61"/>
      <c r="Y119" s="137">
        <f>Transportation_LCIA!C$61*($W119^Transportation_LCIA!C$60)+Transportation_LCIA!C$62</f>
        <v>0.26715705922877148</v>
      </c>
      <c r="Z119" s="137">
        <f>Transportation_LCIA!D$61*($W119^Transportation_LCIA!D$60)+Transportation_LCIA!D$62</f>
        <v>2.7924242819575884</v>
      </c>
      <c r="AA119" s="137">
        <f>Transportation_LCIA!E$61*($W119^Transportation_LCIA!E$60)+Transportation_LCIA!E$62</f>
        <v>1.3859223127365909E-3</v>
      </c>
      <c r="AB119" s="137">
        <f>Transportation_LCIA!F$61*($W119^Transportation_LCIA!F$60)+Transportation_LCIA!F$62</f>
        <v>0.26715705922877148</v>
      </c>
      <c r="AC119" s="137">
        <f>Transportation_LCIA!G$61*($W119^Transportation_LCIA!G$60)+Transportation_LCIA!G$62</f>
        <v>6.5174111539131718E-2</v>
      </c>
      <c r="AD119" s="137">
        <f>Transportation_LCIA!H$61*($W119^Transportation_LCIA!H$60)+Transportation_LCIA!H$62</f>
        <v>3.3009468273267277E-4</v>
      </c>
      <c r="AE119" s="137">
        <f>Transportation_LCIA!I$61*($W119^Transportation_LCIA!I$60)+Transportation_LCIA!I$62</f>
        <v>7.2690458918611156E-6</v>
      </c>
      <c r="AF119" s="137">
        <f>Transportation_LCIA!J$61*($W119^Transportation_LCIA!J$60)+Transportation_LCIA!J$62</f>
        <v>1.0778083772794846E-2</v>
      </c>
      <c r="AG119" s="137">
        <f>Transportation_LCIA!K$61*($W119^Transportation_LCIA!K$60)+Transportation_LCIA!K$62</f>
        <v>1.404404741045014E-2</v>
      </c>
      <c r="AH119" s="137">
        <f>Transportation_LCIA!L$61*($W119^Transportation_LCIA!L$60)+Transportation_LCIA!L$62</f>
        <v>2.8895585132343143E-4</v>
      </c>
      <c r="AI119" s="137">
        <f>Transportation_LCIA!M$61*($W119^Transportation_LCIA!M$60)+Transportation_LCIA!M$62</f>
        <v>2.730284163617511E-4</v>
      </c>
      <c r="AJ119" s="137">
        <f>Transportation_LCIA!N$61*($W119^Transportation_LCIA!N$60)+Transportation_LCIA!N$62</f>
        <v>1.168973124544055E-3</v>
      </c>
      <c r="AK119" s="137">
        <f>Transportation_LCIA!O$61*($W119^Transportation_LCIA!O$60)+Transportation_LCIA!O$62</f>
        <v>6.8921370358073866E-5</v>
      </c>
      <c r="AL119" s="137">
        <f>Transportation_LCIA!P$61*($W119^Transportation_LCIA!P$60)+Transportation_LCIA!P$62</f>
        <v>3.3303629963256696E-8</v>
      </c>
      <c r="AM119" s="137">
        <f>Transportation_LCIA!Q$61*($W119^Transportation_LCIA!Q$60)+Transportation_LCIA!Q$62</f>
        <v>1.1415848600762142E-4</v>
      </c>
      <c r="AN119" s="137">
        <f>Transportation_LCIA!R$61*($W119^Transportation_LCIA!R$60)+Transportation_LCIA!R$62</f>
        <v>3.4942384575839313E-4</v>
      </c>
      <c r="AO119" s="137">
        <f>Transportation_LCIA!S$61*($W119^Transportation_LCIA!S$60)+Transportation_LCIA!S$62</f>
        <v>5.2162884195573146E-6</v>
      </c>
      <c r="AP119" s="137">
        <f>Transportation_LCIA!T$61*($W119^Transportation_LCIA!T$60)+Transportation_LCIA!T$62</f>
        <v>5.2162884195573146E-6</v>
      </c>
      <c r="AQ119" s="137">
        <f>Transportation_LCIA!U$61*($W119^Transportation_LCIA!U$60)+Transportation_LCIA!U$62</f>
        <v>7.53133915953268E-4</v>
      </c>
      <c r="AR119" s="137">
        <f>Transportation_LCIA!V$61*($W119^Transportation_LCIA!V$60)+Transportation_LCIA!V$62</f>
        <v>2.9695542383182229E-4</v>
      </c>
      <c r="AT119" s="137">
        <f>$W119*Y119+$L119*Summary_LCIA!H$32</f>
        <v>210.69181087949934</v>
      </c>
      <c r="AU119" s="137">
        <f>$W119*Z119+$L119*Summary_LCIA!Q$32</f>
        <v>2231.4879715148054</v>
      </c>
      <c r="AV119" s="137">
        <f>$W119*AA119+$L119*Summary_LCIA!R$32</f>
        <v>1.1659807782839211</v>
      </c>
      <c r="AW119" s="137">
        <f>$W119*AB119+$L119*Summary_LCIA!S$32</f>
        <v>210.59972017949934</v>
      </c>
      <c r="AX119" s="137">
        <f>$W119*AC119+$L119*Summary_LCIA!T$32</f>
        <v>51.961807032042678</v>
      </c>
      <c r="AY119" s="137">
        <f>$W119*AD119+$L119*Summary_LCIA!U$32</f>
        <v>0.62481778307606906</v>
      </c>
      <c r="AZ119" s="137">
        <f>$W119*AE119+$L119*Summary_LCIA!V$32</f>
        <v>6.5351581917215736E-3</v>
      </c>
      <c r="BA119" s="137">
        <f>$W119*AF119+$L119*Summary_LCIA!W$32</f>
        <v>9.8181397644628277</v>
      </c>
      <c r="BB119" s="137">
        <f>$W119*AG119+$L119*Summary_LCIA!X$32</f>
        <v>11.178203991525589</v>
      </c>
      <c r="BC119" s="137">
        <f>$W119*AH119+$L119*Summary_LCIA!Y$32</f>
        <v>0.54487686061748186</v>
      </c>
      <c r="BD119" s="137">
        <f>$W119*AI119+$L119*Summary_LCIA!Z$32</f>
        <v>0.20894131842577168</v>
      </c>
      <c r="BE119" s="137">
        <f>$W119*AJ119+$L119*Summary_LCIA!AA$32</f>
        <v>1.3775477985607738</v>
      </c>
      <c r="BF119" s="137">
        <f>$W119*AK119+$L119*Summary_LCIA!AB$32</f>
        <v>5.2073308144276333E-2</v>
      </c>
      <c r="BG119" s="137">
        <f>$W119*AL119+$L119*Summary_LCIA!AC$32</f>
        <v>2.6400650935528181E-5</v>
      </c>
      <c r="BH119" s="137">
        <f>$W119*AM119+$L119*Summary_LCIA!AD$32</f>
        <v>9.5569192849405987E-2</v>
      </c>
      <c r="BI119" s="137">
        <f>$W119*AN119+$L119*Summary_LCIA!AE$32</f>
        <v>0.28477371205130186</v>
      </c>
      <c r="BJ119" s="137">
        <f>$W119*AO119+$L119*Summary_LCIA!AF$32</f>
        <v>2.1589887217973367E-2</v>
      </c>
      <c r="BK119" s="137">
        <f>$W119*AP119+$L119*Summary_LCIA!AG$32</f>
        <v>5.0415842929733643E-3</v>
      </c>
      <c r="BL119" s="137">
        <f>$W119*AQ119+$L119*Summary_LCIA!AH$32</f>
        <v>0.75533579863569322</v>
      </c>
      <c r="BM119" s="137">
        <f>$W119*AR119+$L119*Summary_LCIA!AI$32</f>
        <v>0.24573155890530901</v>
      </c>
    </row>
    <row r="120" spans="1:65" x14ac:dyDescent="0.25">
      <c r="A120" s="149">
        <v>369</v>
      </c>
      <c r="B120" s="149">
        <v>15</v>
      </c>
      <c r="C120" s="61">
        <v>44.496878000000002</v>
      </c>
      <c r="D120" s="61">
        <v>11.352409</v>
      </c>
      <c r="E120" s="61" t="s">
        <v>421</v>
      </c>
      <c r="F120" s="149">
        <v>51</v>
      </c>
      <c r="G120" s="61" t="s">
        <v>698</v>
      </c>
      <c r="H120" s="61" t="s">
        <v>716</v>
      </c>
      <c r="I120" s="61">
        <v>41.799886999999998</v>
      </c>
      <c r="J120" s="61">
        <v>12.246238</v>
      </c>
      <c r="K120" s="61">
        <v>317.25793929999998</v>
      </c>
      <c r="L120" s="61">
        <v>414.30399999999997</v>
      </c>
      <c r="M120" s="61" t="s">
        <v>617</v>
      </c>
      <c r="N120" s="149">
        <v>14</v>
      </c>
      <c r="O120" s="149">
        <v>15</v>
      </c>
      <c r="P120" s="61" t="s">
        <v>567</v>
      </c>
      <c r="Q120" s="61" t="s">
        <v>566</v>
      </c>
      <c r="R120" s="61">
        <v>50.037932599999998</v>
      </c>
      <c r="S120" s="61">
        <v>8.5621518000000005</v>
      </c>
      <c r="T120" s="61">
        <v>898.07799999999997</v>
      </c>
      <c r="U120" s="61" t="s">
        <v>589</v>
      </c>
      <c r="V120" s="61" t="s">
        <v>569</v>
      </c>
      <c r="W120" s="61" cm="1">
        <f t="array" ref="W120">getDistance(I120,J120,R120,S120)*SA!$B$12</f>
        <v>960.33096396061467</v>
      </c>
      <c r="X120" s="61"/>
      <c r="Y120" s="137">
        <f>Transportation_LCIA!C$61*($W120^Transportation_LCIA!C$60)+Transportation_LCIA!C$62</f>
        <v>0.23978916330242275</v>
      </c>
      <c r="Z120" s="137">
        <f>Transportation_LCIA!D$61*($W120^Transportation_LCIA!D$60)+Transportation_LCIA!D$62</f>
        <v>2.4708787889542601</v>
      </c>
      <c r="AA120" s="137">
        <f>Transportation_LCIA!E$61*($W120^Transportation_LCIA!E$60)+Transportation_LCIA!E$62</f>
        <v>1.174109327635068E-3</v>
      </c>
      <c r="AB120" s="137">
        <f>Transportation_LCIA!F$61*($W120^Transportation_LCIA!F$60)+Transportation_LCIA!F$62</f>
        <v>0.23978916330242275</v>
      </c>
      <c r="AC120" s="137">
        <f>Transportation_LCIA!G$61*($W120^Transportation_LCIA!G$60)+Transportation_LCIA!G$62</f>
        <v>5.7737841551702487E-2</v>
      </c>
      <c r="AD120" s="137">
        <f>Transportation_LCIA!H$61*($W120^Transportation_LCIA!H$60)+Transportation_LCIA!H$62</f>
        <v>2.8334647040481186E-4</v>
      </c>
      <c r="AE120" s="137">
        <f>Transportation_LCIA!I$61*($W120^Transportation_LCIA!I$60)+Transportation_LCIA!I$62</f>
        <v>6.0850967306403664E-6</v>
      </c>
      <c r="AF120" s="137">
        <f>Transportation_LCIA!J$61*($W120^Transportation_LCIA!J$60)+Transportation_LCIA!J$62</f>
        <v>9.0078905630086234E-3</v>
      </c>
      <c r="AG120" s="137">
        <f>Transportation_LCIA!K$61*($W120^Transportation_LCIA!K$60)+Transportation_LCIA!K$62</f>
        <v>1.230224715256964E-2</v>
      </c>
      <c r="AH120" s="137">
        <f>Transportation_LCIA!L$61*($W120^Transportation_LCIA!L$60)+Transportation_LCIA!L$62</f>
        <v>2.4590448371425308E-4</v>
      </c>
      <c r="AI120" s="137">
        <f>Transportation_LCIA!M$61*($W120^Transportation_LCIA!M$60)+Transportation_LCIA!M$62</f>
        <v>2.4722323152264391E-4</v>
      </c>
      <c r="AJ120" s="137">
        <f>Transportation_LCIA!N$61*($W120^Transportation_LCIA!N$60)+Transportation_LCIA!N$62</f>
        <v>1.0118732947864647E-3</v>
      </c>
      <c r="AK120" s="137">
        <f>Transportation_LCIA!O$61*($W120^Transportation_LCIA!O$60)+Transportation_LCIA!O$62</f>
        <v>6.1017911221320582E-5</v>
      </c>
      <c r="AL120" s="137">
        <f>Transportation_LCIA!P$61*($W120^Transportation_LCIA!P$60)+Transportation_LCIA!P$62</f>
        <v>2.9505637910099093E-8</v>
      </c>
      <c r="AM120" s="137">
        <f>Transportation_LCIA!Q$61*($W120^Transportation_LCIA!Q$60)+Transportation_LCIA!Q$62</f>
        <v>9.7309772323205714E-5</v>
      </c>
      <c r="AN120" s="137">
        <f>Transportation_LCIA!R$61*($W120^Transportation_LCIA!R$60)+Transportation_LCIA!R$62</f>
        <v>2.926416879903948E-4</v>
      </c>
      <c r="AO120" s="137">
        <f>Transportation_LCIA!S$61*($W120^Transportation_LCIA!S$60)+Transportation_LCIA!S$62</f>
        <v>4.4106471577943657E-6</v>
      </c>
      <c r="AP120" s="137">
        <f>Transportation_LCIA!T$61*($W120^Transportation_LCIA!T$60)+Transportation_LCIA!T$62</f>
        <v>4.4106471577943657E-6</v>
      </c>
      <c r="AQ120" s="137">
        <f>Transportation_LCIA!U$61*($W120^Transportation_LCIA!U$60)+Transportation_LCIA!U$62</f>
        <v>6.284668197431289E-4</v>
      </c>
      <c r="AR120" s="137">
        <f>Transportation_LCIA!V$61*($W120^Transportation_LCIA!V$60)+Transportation_LCIA!V$62</f>
        <v>2.5307125805150313E-4</v>
      </c>
      <c r="AT120" s="137">
        <f>$W120*Y120+$L120*Summary_LCIA!H$32</f>
        <v>371.05745754152485</v>
      </c>
      <c r="AU120" s="137">
        <f>$W120*Z120+$L120*Summary_LCIA!Q$32</f>
        <v>4426.1729278199127</v>
      </c>
      <c r="AV120" s="137">
        <f>$W120*AA120+$L120*Summary_LCIA!R$32</f>
        <v>3.3090926848029341</v>
      </c>
      <c r="AW120" s="137">
        <f>$W120*AB120+$L120*Summary_LCIA!S$32</f>
        <v>369.22623386152486</v>
      </c>
      <c r="AX120" s="137">
        <f>$W120*AC120+$L120*Summary_LCIA!T$32</f>
        <v>100.97944663435167</v>
      </c>
      <c r="AY120" s="137">
        <f>$W120*AD120+$L120*Summary_LCIA!U$32</f>
        <v>7.6939482450586905</v>
      </c>
      <c r="AZ120" s="137">
        <f>$W120*AE120+$L120*Summary_LCIA!V$32</f>
        <v>2.5631280153129446E-2</v>
      </c>
      <c r="BA120" s="137">
        <f>$W120*AF120+$L120*Summary_LCIA!W$32</f>
        <v>40.539949411625791</v>
      </c>
      <c r="BB120" s="137">
        <f>$W120*AG120+$L120*Summary_LCIA!X$32</f>
        <v>21.252073986908929</v>
      </c>
      <c r="BC120" s="137">
        <f>$W120*AH120+$L120*Summary_LCIA!Y$32</f>
        <v>6.6918346178875456</v>
      </c>
      <c r="BD120" s="137">
        <f>$W120*AI120+$L120*Summary_LCIA!Z$32</f>
        <v>0.25440631697759886</v>
      </c>
      <c r="BE120" s="137">
        <f>$W120*AJ120+$L120*Summary_LCIA!AA$32</f>
        <v>10.648217480588288</v>
      </c>
      <c r="BF120" s="137">
        <f>$W120*AK120+$L120*Summary_LCIA!AB$32</f>
        <v>4.9556033310034005E-2</v>
      </c>
      <c r="BG120" s="137">
        <f>$W120*AL120+$L120*Summary_LCIA!AC$32</f>
        <v>4.8588014432478321E-5</v>
      </c>
      <c r="BH120" s="137">
        <f>$W120*AM120+$L120*Summary_LCIA!AD$32</f>
        <v>0.26374510361793208</v>
      </c>
      <c r="BI120" s="137">
        <f>$W120*AN120+$L120*Summary_LCIA!AE$32</f>
        <v>0.64816007784287721</v>
      </c>
      <c r="BJ120" s="137">
        <f>$W120*AO120+$L120*Summary_LCIA!AF$32</f>
        <v>0.35449656871673485</v>
      </c>
      <c r="BK120" s="137">
        <f>$W120*AP120+$L120*Summary_LCIA!AG$32</f>
        <v>2.5433545196734807E-2</v>
      </c>
      <c r="BL120" s="137">
        <f>$W120*AQ120+$L120*Summary_LCIA!AH$32</f>
        <v>4.2094724412211812</v>
      </c>
      <c r="BM120" s="137">
        <f>$W120*AR120+$L120*Summary_LCIA!AI$32</f>
        <v>0.62897705639532542</v>
      </c>
    </row>
    <row r="121" spans="1:65" x14ac:dyDescent="0.25">
      <c r="A121" s="149">
        <v>1</v>
      </c>
      <c r="B121" s="149">
        <v>6</v>
      </c>
      <c r="C121" s="61">
        <v>35.966994</v>
      </c>
      <c r="D121" s="61">
        <v>-84.250535999999997</v>
      </c>
      <c r="E121" s="61" t="s">
        <v>265</v>
      </c>
      <c r="F121" s="149">
        <v>91</v>
      </c>
      <c r="G121" s="61" t="s">
        <v>618</v>
      </c>
      <c r="H121" s="61" t="s">
        <v>619</v>
      </c>
      <c r="I121" s="61">
        <v>36.126317</v>
      </c>
      <c r="J121" s="61">
        <v>-86.677370999999994</v>
      </c>
      <c r="K121" s="61">
        <v>219.57908760000001</v>
      </c>
      <c r="L121" s="61">
        <v>260.76</v>
      </c>
      <c r="M121" s="61" t="s">
        <v>617</v>
      </c>
      <c r="N121" s="149">
        <v>5</v>
      </c>
      <c r="O121" s="149">
        <v>6</v>
      </c>
      <c r="P121" s="61" t="s">
        <v>565</v>
      </c>
      <c r="Q121" s="61" t="s">
        <v>564</v>
      </c>
      <c r="R121" s="61">
        <v>41.98028</v>
      </c>
      <c r="S121" s="61">
        <v>-87.908997900000003</v>
      </c>
      <c r="T121" s="61">
        <v>900.75</v>
      </c>
      <c r="U121" s="61" t="s">
        <v>617</v>
      </c>
      <c r="V121" s="61" t="s">
        <v>569</v>
      </c>
      <c r="W121" s="61" cm="1">
        <f t="array" ref="W121">getDistance(I121,J121,R121,S121)*SA!$B$12</f>
        <v>659.85331554628851</v>
      </c>
      <c r="X121" s="61"/>
      <c r="Y121" s="137">
        <f>Transportation_LCIA!C$61*($W121^Transportation_LCIA!C$60)+Transportation_LCIA!C$62</f>
        <v>0.28711034431731675</v>
      </c>
      <c r="Z121" s="137">
        <f>Transportation_LCIA!D$61*($W121^Transportation_LCIA!D$60)+Transportation_LCIA!D$62</f>
        <v>3.0287489507114906</v>
      </c>
      <c r="AA121" s="137">
        <f>Transportation_LCIA!E$61*($W121^Transportation_LCIA!E$60)+Transportation_LCIA!E$62</f>
        <v>1.541949627580878E-3</v>
      </c>
      <c r="AB121" s="137">
        <f>Transportation_LCIA!F$61*($W121^Transportation_LCIA!F$60)+Transportation_LCIA!F$62</f>
        <v>0.28711034431731675</v>
      </c>
      <c r="AC121" s="137">
        <f>Transportation_LCIA!G$61*($W121^Transportation_LCIA!G$60)+Transportation_LCIA!G$62</f>
        <v>7.0636946621656566E-2</v>
      </c>
      <c r="AD121" s="137">
        <f>Transportation_LCIA!H$61*($W121^Transportation_LCIA!H$60)+Transportation_LCIA!H$62</f>
        <v>3.6468473830708392E-4</v>
      </c>
      <c r="AE121" s="137">
        <f>Transportation_LCIA!I$61*($W121^Transportation_LCIA!I$60)+Transportation_LCIA!I$62</f>
        <v>8.1513931789510452E-6</v>
      </c>
      <c r="AF121" s="137">
        <f>Transportation_LCIA!J$61*($W121^Transportation_LCIA!J$60)+Transportation_LCIA!J$62</f>
        <v>1.2103537939984348E-2</v>
      </c>
      <c r="AG121" s="137">
        <f>Transportation_LCIA!K$61*($W121^Transportation_LCIA!K$60)+Transportation_LCIA!K$62</f>
        <v>1.5328817431613843E-2</v>
      </c>
      <c r="AH121" s="137">
        <f>Transportation_LCIA!L$61*($W121^Transportation_LCIA!L$60)+Transportation_LCIA!L$62</f>
        <v>3.2087577902119551E-4</v>
      </c>
      <c r="AI121" s="137">
        <f>Transportation_LCIA!M$61*($W121^Transportation_LCIA!M$60)+Transportation_LCIA!M$62</f>
        <v>2.9212689587987547E-4</v>
      </c>
      <c r="AJ121" s="137">
        <f>Transportation_LCIA!N$61*($W121^Transportation_LCIA!N$60)+Transportation_LCIA!N$62</f>
        <v>1.2851484558381739E-3</v>
      </c>
      <c r="AK121" s="137">
        <f>Transportation_LCIA!O$61*($W121^Transportation_LCIA!O$60)+Transportation_LCIA!O$62</f>
        <v>7.4728695290617527E-5</v>
      </c>
      <c r="AL121" s="137">
        <f>Transportation_LCIA!P$61*($W121^Transportation_LCIA!P$60)+Transportation_LCIA!P$62</f>
        <v>3.6092660039250887E-8</v>
      </c>
      <c r="AM121" s="137">
        <f>Transportation_LCIA!Q$61*($W121^Transportation_LCIA!Q$60)+Transportation_LCIA!Q$62</f>
        <v>1.266645357867947E-4</v>
      </c>
      <c r="AN121" s="137">
        <f>Transportation_LCIA!R$61*($W121^Transportation_LCIA!R$60)+Transportation_LCIA!R$62</f>
        <v>3.9174853387192332E-4</v>
      </c>
      <c r="AO121" s="137">
        <f>Transportation_LCIA!S$61*($W121^Transportation_LCIA!S$60)+Transportation_LCIA!S$62</f>
        <v>5.816609944944966E-6</v>
      </c>
      <c r="AP121" s="137">
        <f>Transportation_LCIA!T$61*($W121^Transportation_LCIA!T$60)+Transportation_LCIA!T$62</f>
        <v>5.816609944944966E-6</v>
      </c>
      <c r="AQ121" s="137">
        <f>Transportation_LCIA!U$61*($W121^Transportation_LCIA!U$60)+Transportation_LCIA!U$62</f>
        <v>8.4618583701267559E-4</v>
      </c>
      <c r="AR121" s="137">
        <f>Transportation_LCIA!V$61*($W121^Transportation_LCIA!V$60)+Transportation_LCIA!V$62</f>
        <v>3.2957499967912188E-4</v>
      </c>
      <c r="AT121" s="137">
        <f>$W121*Y121+$L121*Summary_LCIA!H$32</f>
        <v>278.05696062541796</v>
      </c>
      <c r="AU121" s="137">
        <f>$W121*Z121+$L121*Summary_LCIA!Q$32</f>
        <v>3290.8697479933994</v>
      </c>
      <c r="AV121" s="137">
        <f>$W121*AA121+$L121*Summary_LCIA!R$32</f>
        <v>2.3905184301646072</v>
      </c>
      <c r="AW121" s="137">
        <f>$W121*AB121+$L121*Summary_LCIA!S$32</f>
        <v>276.90440142541797</v>
      </c>
      <c r="AX121" s="137">
        <f>$W121*AC121+$L121*Summary_LCIA!T$32</f>
        <v>75.267547428366285</v>
      </c>
      <c r="AY121" s="137">
        <f>$W121*AD121+$L121*Summary_LCIA!U$32</f>
        <v>4.9118930737010595</v>
      </c>
      <c r="AZ121" s="137">
        <f>$W121*AE121+$L121*Summary_LCIA!V$32</f>
        <v>1.7832882175452244E-2</v>
      </c>
      <c r="BA121" s="137">
        <f>$W121*AF121+$L121*Summary_LCIA!W$32</f>
        <v>28.057517599538965</v>
      </c>
      <c r="BB121" s="137">
        <f>$W121*AG121+$L121*Summary_LCIA!X$32</f>
        <v>16.054883805654139</v>
      </c>
      <c r="BC121" s="137">
        <f>$W121*AH121+$L121*Summary_LCIA!Y$32</f>
        <v>4.2748932666656341</v>
      </c>
      <c r="BD121" s="137">
        <f>$W121*AI121+$L121*Summary_LCIA!Z$32</f>
        <v>0.20345440764658124</v>
      </c>
      <c r="BE121" s="137">
        <f>$W121*AJ121+$L121*Summary_LCIA!AA$32</f>
        <v>6.9383200295540108</v>
      </c>
      <c r="BF121" s="137">
        <f>$W121*AK121+$L121*Summary_LCIA!AB$32</f>
        <v>4.3619411873962295E-2</v>
      </c>
      <c r="BG121" s="137">
        <f>$W121*AL121+$L121*Summary_LCIA!AC$32</f>
        <v>3.6562853233784732E-5</v>
      </c>
      <c r="BH121" s="137">
        <f>$W121*AM121+$L121*Summary_LCIA!AD$32</f>
        <v>0.19076280430104797</v>
      </c>
      <c r="BI121" s="137">
        <f>$W121*AN121+$L121*Summary_LCIA!AE$32</f>
        <v>0.48956382773578611</v>
      </c>
      <c r="BJ121" s="137">
        <f>$W121*AO121+$L121*Summary_LCIA!AF$32</f>
        <v>0.22428982855741145</v>
      </c>
      <c r="BK121" s="137">
        <f>$W121*AP121+$L121*Summary_LCIA!AG$32</f>
        <v>1.7179894757411451E-2</v>
      </c>
      <c r="BL121" s="137">
        <f>$W121*AQ121+$L121*Summary_LCIA!AH$32</f>
        <v>2.8279092661211256</v>
      </c>
      <c r="BM121" s="137">
        <f>$W121*AR121+$L121*Summary_LCIA!AI$32</f>
        <v>0.46038213425943553</v>
      </c>
    </row>
    <row r="122" spans="1:65" x14ac:dyDescent="0.25">
      <c r="A122" s="149">
        <v>2</v>
      </c>
      <c r="B122" s="149">
        <v>6</v>
      </c>
      <c r="C122" s="61">
        <v>35.966994</v>
      </c>
      <c r="D122" s="61">
        <v>-84.250535999999997</v>
      </c>
      <c r="E122" s="61" t="s">
        <v>265</v>
      </c>
      <c r="F122" s="149">
        <v>91</v>
      </c>
      <c r="G122" s="61" t="s">
        <v>618</v>
      </c>
      <c r="H122" s="61" t="s">
        <v>619</v>
      </c>
      <c r="I122" s="61">
        <v>36.126317</v>
      </c>
      <c r="J122" s="61">
        <v>-86.677370999999994</v>
      </c>
      <c r="K122" s="61">
        <v>219.57908760000001</v>
      </c>
      <c r="L122" s="61">
        <v>260.76</v>
      </c>
      <c r="M122" s="61" t="s">
        <v>617</v>
      </c>
      <c r="N122" s="149">
        <v>5</v>
      </c>
      <c r="O122" s="149">
        <v>6</v>
      </c>
      <c r="P122" s="61" t="s">
        <v>565</v>
      </c>
      <c r="Q122" s="61" t="s">
        <v>564</v>
      </c>
      <c r="R122" s="61">
        <v>41.98028</v>
      </c>
      <c r="S122" s="61">
        <v>-87.908997900000003</v>
      </c>
      <c r="T122" s="61">
        <v>900.75</v>
      </c>
      <c r="U122" s="61" t="s">
        <v>617</v>
      </c>
      <c r="V122" s="61" t="s">
        <v>569</v>
      </c>
      <c r="W122" s="61" cm="1">
        <f t="array" ref="W122">getDistance(I122,J122,R122,S122)*SA!$B$12</f>
        <v>659.85331554628851</v>
      </c>
      <c r="X122" s="61"/>
      <c r="Y122" s="137">
        <f>Transportation_LCIA!C$61*($W122^Transportation_LCIA!C$60)+Transportation_LCIA!C$62</f>
        <v>0.28711034431731675</v>
      </c>
      <c r="Z122" s="137">
        <f>Transportation_LCIA!D$61*($W122^Transportation_LCIA!D$60)+Transportation_LCIA!D$62</f>
        <v>3.0287489507114906</v>
      </c>
      <c r="AA122" s="137">
        <f>Transportation_LCIA!E$61*($W122^Transportation_LCIA!E$60)+Transportation_LCIA!E$62</f>
        <v>1.541949627580878E-3</v>
      </c>
      <c r="AB122" s="137">
        <f>Transportation_LCIA!F$61*($W122^Transportation_LCIA!F$60)+Transportation_LCIA!F$62</f>
        <v>0.28711034431731675</v>
      </c>
      <c r="AC122" s="137">
        <f>Transportation_LCIA!G$61*($W122^Transportation_LCIA!G$60)+Transportation_LCIA!G$62</f>
        <v>7.0636946621656566E-2</v>
      </c>
      <c r="AD122" s="137">
        <f>Transportation_LCIA!H$61*($W122^Transportation_LCIA!H$60)+Transportation_LCIA!H$62</f>
        <v>3.6468473830708392E-4</v>
      </c>
      <c r="AE122" s="137">
        <f>Transportation_LCIA!I$61*($W122^Transportation_LCIA!I$60)+Transportation_LCIA!I$62</f>
        <v>8.1513931789510452E-6</v>
      </c>
      <c r="AF122" s="137">
        <f>Transportation_LCIA!J$61*($W122^Transportation_LCIA!J$60)+Transportation_LCIA!J$62</f>
        <v>1.2103537939984348E-2</v>
      </c>
      <c r="AG122" s="137">
        <f>Transportation_LCIA!K$61*($W122^Transportation_LCIA!K$60)+Transportation_LCIA!K$62</f>
        <v>1.5328817431613843E-2</v>
      </c>
      <c r="AH122" s="137">
        <f>Transportation_LCIA!L$61*($W122^Transportation_LCIA!L$60)+Transportation_LCIA!L$62</f>
        <v>3.2087577902119551E-4</v>
      </c>
      <c r="AI122" s="137">
        <f>Transportation_LCIA!M$61*($W122^Transportation_LCIA!M$60)+Transportation_LCIA!M$62</f>
        <v>2.9212689587987547E-4</v>
      </c>
      <c r="AJ122" s="137">
        <f>Transportation_LCIA!N$61*($W122^Transportation_LCIA!N$60)+Transportation_LCIA!N$62</f>
        <v>1.2851484558381739E-3</v>
      </c>
      <c r="AK122" s="137">
        <f>Transportation_LCIA!O$61*($W122^Transportation_LCIA!O$60)+Transportation_LCIA!O$62</f>
        <v>7.4728695290617527E-5</v>
      </c>
      <c r="AL122" s="137">
        <f>Transportation_LCIA!P$61*($W122^Transportation_LCIA!P$60)+Transportation_LCIA!P$62</f>
        <v>3.6092660039250887E-8</v>
      </c>
      <c r="AM122" s="137">
        <f>Transportation_LCIA!Q$61*($W122^Transportation_LCIA!Q$60)+Transportation_LCIA!Q$62</f>
        <v>1.266645357867947E-4</v>
      </c>
      <c r="AN122" s="137">
        <f>Transportation_LCIA!R$61*($W122^Transportation_LCIA!R$60)+Transportation_LCIA!R$62</f>
        <v>3.9174853387192332E-4</v>
      </c>
      <c r="AO122" s="137">
        <f>Transportation_LCIA!S$61*($W122^Transportation_LCIA!S$60)+Transportation_LCIA!S$62</f>
        <v>5.816609944944966E-6</v>
      </c>
      <c r="AP122" s="137">
        <f>Transportation_LCIA!T$61*($W122^Transportation_LCIA!T$60)+Transportation_LCIA!T$62</f>
        <v>5.816609944944966E-6</v>
      </c>
      <c r="AQ122" s="137">
        <f>Transportation_LCIA!U$61*($W122^Transportation_LCIA!U$60)+Transportation_LCIA!U$62</f>
        <v>8.4618583701267559E-4</v>
      </c>
      <c r="AR122" s="137">
        <f>Transportation_LCIA!V$61*($W122^Transportation_LCIA!V$60)+Transportation_LCIA!V$62</f>
        <v>3.2957499967912188E-4</v>
      </c>
      <c r="AT122" s="137">
        <f>$W122*Y122+$L122*Summary_LCIA!H$32</f>
        <v>278.05696062541796</v>
      </c>
      <c r="AU122" s="137">
        <f>$W122*Z122+$L122*Summary_LCIA!Q$32</f>
        <v>3290.8697479933994</v>
      </c>
      <c r="AV122" s="137">
        <f>$W122*AA122+$L122*Summary_LCIA!R$32</f>
        <v>2.3905184301646072</v>
      </c>
      <c r="AW122" s="137">
        <f>$W122*AB122+$L122*Summary_LCIA!S$32</f>
        <v>276.90440142541797</v>
      </c>
      <c r="AX122" s="137">
        <f>$W122*AC122+$L122*Summary_LCIA!T$32</f>
        <v>75.267547428366285</v>
      </c>
      <c r="AY122" s="137">
        <f>$W122*AD122+$L122*Summary_LCIA!U$32</f>
        <v>4.9118930737010595</v>
      </c>
      <c r="AZ122" s="137">
        <f>$W122*AE122+$L122*Summary_LCIA!V$32</f>
        <v>1.7832882175452244E-2</v>
      </c>
      <c r="BA122" s="137">
        <f>$W122*AF122+$L122*Summary_LCIA!W$32</f>
        <v>28.057517599538965</v>
      </c>
      <c r="BB122" s="137">
        <f>$W122*AG122+$L122*Summary_LCIA!X$32</f>
        <v>16.054883805654139</v>
      </c>
      <c r="BC122" s="137">
        <f>$W122*AH122+$L122*Summary_LCIA!Y$32</f>
        <v>4.2748932666656341</v>
      </c>
      <c r="BD122" s="137">
        <f>$W122*AI122+$L122*Summary_LCIA!Z$32</f>
        <v>0.20345440764658124</v>
      </c>
      <c r="BE122" s="137">
        <f>$W122*AJ122+$L122*Summary_LCIA!AA$32</f>
        <v>6.9383200295540108</v>
      </c>
      <c r="BF122" s="137">
        <f>$W122*AK122+$L122*Summary_LCIA!AB$32</f>
        <v>4.3619411873962295E-2</v>
      </c>
      <c r="BG122" s="137">
        <f>$W122*AL122+$L122*Summary_LCIA!AC$32</f>
        <v>3.6562853233784732E-5</v>
      </c>
      <c r="BH122" s="137">
        <f>$W122*AM122+$L122*Summary_LCIA!AD$32</f>
        <v>0.19076280430104797</v>
      </c>
      <c r="BI122" s="137">
        <f>$W122*AN122+$L122*Summary_LCIA!AE$32</f>
        <v>0.48956382773578611</v>
      </c>
      <c r="BJ122" s="137">
        <f>$W122*AO122+$L122*Summary_LCIA!AF$32</f>
        <v>0.22428982855741145</v>
      </c>
      <c r="BK122" s="137">
        <f>$W122*AP122+$L122*Summary_LCIA!AG$32</f>
        <v>1.7179894757411451E-2</v>
      </c>
      <c r="BL122" s="137">
        <f>$W122*AQ122+$L122*Summary_LCIA!AH$32</f>
        <v>2.8279092661211256</v>
      </c>
      <c r="BM122" s="137">
        <f>$W122*AR122+$L122*Summary_LCIA!AI$32</f>
        <v>0.46038213425943553</v>
      </c>
    </row>
    <row r="123" spans="1:65" x14ac:dyDescent="0.25">
      <c r="A123" s="149">
        <v>352</v>
      </c>
      <c r="B123" s="149">
        <v>6</v>
      </c>
      <c r="C123" s="61">
        <v>40.793394999999997</v>
      </c>
      <c r="D123" s="61">
        <v>-77.860000999999997</v>
      </c>
      <c r="E123" s="61" t="s">
        <v>265</v>
      </c>
      <c r="F123" s="149">
        <v>106</v>
      </c>
      <c r="G123" s="61" t="s">
        <v>266</v>
      </c>
      <c r="H123" s="61" t="s">
        <v>669</v>
      </c>
      <c r="I123" s="61">
        <v>40.491920999999998</v>
      </c>
      <c r="J123" s="61">
        <v>-80.235223000000005</v>
      </c>
      <c r="K123" s="61">
        <v>212.3657571</v>
      </c>
      <c r="L123" s="61">
        <v>245.108</v>
      </c>
      <c r="M123" s="61" t="s">
        <v>617</v>
      </c>
      <c r="N123" s="149">
        <v>5</v>
      </c>
      <c r="O123" s="149">
        <v>6</v>
      </c>
      <c r="P123" s="61" t="s">
        <v>565</v>
      </c>
      <c r="Q123" s="61" t="s">
        <v>564</v>
      </c>
      <c r="R123" s="61">
        <v>41.98028</v>
      </c>
      <c r="S123" s="61">
        <v>-87.908997900000003</v>
      </c>
      <c r="T123" s="61">
        <v>938.73</v>
      </c>
      <c r="U123" s="61" t="s">
        <v>617</v>
      </c>
      <c r="V123" s="61" t="s">
        <v>569</v>
      </c>
      <c r="W123" s="61" cm="1">
        <f t="array" ref="W123">getDistance(I123,J123,R123,S123)*SA!$B$12</f>
        <v>664.03976858093529</v>
      </c>
      <c r="X123" s="61"/>
      <c r="Y123" s="137">
        <f>Transportation_LCIA!C$61*($W123^Transportation_LCIA!C$60)+Transportation_LCIA!C$62</f>
        <v>0.28618318016419964</v>
      </c>
      <c r="Z123" s="137">
        <f>Transportation_LCIA!D$61*($W123^Transportation_LCIA!D$60)+Transportation_LCIA!D$62</f>
        <v>3.0177355282535454</v>
      </c>
      <c r="AA123" s="137">
        <f>Transportation_LCIA!E$61*($W123^Transportation_LCIA!E$60)+Transportation_LCIA!E$62</f>
        <v>1.5346723185627621E-3</v>
      </c>
      <c r="AB123" s="137">
        <f>Transportation_LCIA!F$61*($W123^Transportation_LCIA!F$60)+Transportation_LCIA!F$62</f>
        <v>0.28618318016419964</v>
      </c>
      <c r="AC123" s="137">
        <f>Transportation_LCIA!G$61*($W123^Transportation_LCIA!G$60)+Transportation_LCIA!G$62</f>
        <v>7.0382405916778926E-2</v>
      </c>
      <c r="AD123" s="137">
        <f>Transportation_LCIA!H$61*($W123^Transportation_LCIA!H$60)+Transportation_LCIA!H$62</f>
        <v>3.6306879462450609E-4</v>
      </c>
      <c r="AE123" s="137">
        <f>Transportation_LCIA!I$61*($W123^Transportation_LCIA!I$60)+Transportation_LCIA!I$62</f>
        <v>8.1100647661309928E-6</v>
      </c>
      <c r="AF123" s="137">
        <f>Transportation_LCIA!J$61*($W123^Transportation_LCIA!J$60)+Transportation_LCIA!J$62</f>
        <v>1.2041348839796951E-2</v>
      </c>
      <c r="AG123" s="137">
        <f>Transportation_LCIA!K$61*($W123^Transportation_LCIA!K$60)+Transportation_LCIA!K$62</f>
        <v>1.5268865092569082E-2</v>
      </c>
      <c r="AH123" s="137">
        <f>Transportation_LCIA!L$61*($W123^Transportation_LCIA!L$60)+Transportation_LCIA!L$62</f>
        <v>3.193834659249564E-4</v>
      </c>
      <c r="AI123" s="137">
        <f>Transportation_LCIA!M$61*($W123^Transportation_LCIA!M$60)+Transportation_LCIA!M$62</f>
        <v>2.9123459332568592E-4</v>
      </c>
      <c r="AJ123" s="137">
        <f>Transportation_LCIA!N$61*($W123^Transportation_LCIA!N$60)+Transportation_LCIA!N$62</f>
        <v>1.2797222196284355E-3</v>
      </c>
      <c r="AK123" s="137">
        <f>Transportation_LCIA!O$61*($W123^Transportation_LCIA!O$60)+Transportation_LCIA!O$62</f>
        <v>7.4458081336171384E-5</v>
      </c>
      <c r="AL123" s="137">
        <f>Transportation_LCIA!P$61*($W123^Transportation_LCIA!P$60)+Transportation_LCIA!P$62</f>
        <v>3.5962723058234319E-8</v>
      </c>
      <c r="AM123" s="137">
        <f>Transportation_LCIA!Q$61*($W123^Transportation_LCIA!Q$60)+Transportation_LCIA!Q$62</f>
        <v>1.2607962162909455E-4</v>
      </c>
      <c r="AN123" s="137">
        <f>Transportation_LCIA!R$61*($W123^Transportation_LCIA!R$60)+Transportation_LCIA!R$62</f>
        <v>3.8976595565047854E-4</v>
      </c>
      <c r="AO123" s="137">
        <f>Transportation_LCIA!S$61*($W123^Transportation_LCIA!S$60)+Transportation_LCIA!S$62</f>
        <v>5.7884928967616082E-6</v>
      </c>
      <c r="AP123" s="137">
        <f>Transportation_LCIA!T$61*($W123^Transportation_LCIA!T$60)+Transportation_LCIA!T$62</f>
        <v>5.7884928967616082E-6</v>
      </c>
      <c r="AQ123" s="137">
        <f>Transportation_LCIA!U$61*($W123^Transportation_LCIA!U$60)+Transportation_LCIA!U$62</f>
        <v>8.418249291876381E-4</v>
      </c>
      <c r="AR123" s="137">
        <f>Transportation_LCIA!V$61*($W123^Transportation_LCIA!V$60)+Transportation_LCIA!V$62</f>
        <v>3.2804857778078551E-4</v>
      </c>
      <c r="AT123" s="137">
        <f>$W123*Y123+$L123*Summary_LCIA!H$32</f>
        <v>273.32471112799124</v>
      </c>
      <c r="AU123" s="137">
        <f>$W123*Z123+$L123*Summary_LCIA!Q$32</f>
        <v>3218.6640113517151</v>
      </c>
      <c r="AV123" s="137">
        <f>$W123*AA123+$L123*Summary_LCIA!R$32</f>
        <v>2.3097241360659835</v>
      </c>
      <c r="AW123" s="137">
        <f>$W123*AB123+$L123*Summary_LCIA!S$32</f>
        <v>272.24133376799125</v>
      </c>
      <c r="AX123" s="137">
        <f>$W123*AC123+$L123*Summary_LCIA!T$32</f>
        <v>73.674085737147323</v>
      </c>
      <c r="AY123" s="137">
        <f>$W123*AD123+$L123*Summary_LCIA!U$32</f>
        <v>4.6319568303614158</v>
      </c>
      <c r="AZ123" s="137">
        <f>$W123*AE123+$L123*Summary_LCIA!V$32</f>
        <v>1.7092008718478022E-2</v>
      </c>
      <c r="BA123" s="137">
        <f>$W123*AF123+$L123*Summary_LCIA!W$32</f>
        <v>26.862142364981082</v>
      </c>
      <c r="BB123" s="137">
        <f>$W123*AG123+$L123*Summary_LCIA!X$32</f>
        <v>15.722693882563094</v>
      </c>
      <c r="BC123" s="137">
        <f>$W123*AH123+$L123*Summary_LCIA!Y$32</f>
        <v>4.031356178801385</v>
      </c>
      <c r="BD123" s="137">
        <f>$W123*AI123+$L123*Summary_LCIA!Z$32</f>
        <v>0.20344298592675128</v>
      </c>
      <c r="BE123" s="137">
        <f>$W123*AJ123+$L123*Summary_LCIA!AA$32</f>
        <v>6.5745288945699469</v>
      </c>
      <c r="BF123" s="137">
        <f>$W123*AK123+$L123*Summary_LCIA!AB$32</f>
        <v>4.4094135215451698E-2</v>
      </c>
      <c r="BG123" s="137">
        <f>$W123*AL123+$L123*Summary_LCIA!AC$32</f>
        <v>3.5862537769130187E-5</v>
      </c>
      <c r="BH123" s="137">
        <f>$W123*AM123+$L123*Summary_LCIA!AD$32</f>
        <v>0.18447107508935584</v>
      </c>
      <c r="BI123" s="137">
        <f>$W123*AN123+$L123*Summary_LCIA!AE$32</f>
        <v>0.47601764703087091</v>
      </c>
      <c r="BJ123" s="137">
        <f>$W123*AO123+$L123*Summary_LCIA!AF$32</f>
        <v>0.21106299484359797</v>
      </c>
      <c r="BK123" s="137">
        <f>$W123*AP123+$L123*Summary_LCIA!AG$32</f>
        <v>1.6384740303597968E-2</v>
      </c>
      <c r="BL123" s="137">
        <f>$W123*AQ123+$L123*Summary_LCIA!AH$32</f>
        <v>2.6923272199634214</v>
      </c>
      <c r="BM123" s="137">
        <f>$W123*AR123+$L123*Summary_LCIA!AI$32</f>
        <v>0.44616765907285771</v>
      </c>
    </row>
    <row r="124" spans="1:65" x14ac:dyDescent="0.25">
      <c r="A124" s="149">
        <v>353</v>
      </c>
      <c r="B124" s="149">
        <v>6</v>
      </c>
      <c r="C124" s="61">
        <v>40.793394999999997</v>
      </c>
      <c r="D124" s="61">
        <v>-77.860000999999997</v>
      </c>
      <c r="E124" s="61" t="s">
        <v>265</v>
      </c>
      <c r="F124" s="149">
        <v>106</v>
      </c>
      <c r="G124" s="61" t="s">
        <v>266</v>
      </c>
      <c r="H124" s="61" t="s">
        <v>669</v>
      </c>
      <c r="I124" s="61">
        <v>40.491920999999998</v>
      </c>
      <c r="J124" s="61">
        <v>-80.235223000000005</v>
      </c>
      <c r="K124" s="61">
        <v>212.3657571</v>
      </c>
      <c r="L124" s="61">
        <v>245.108</v>
      </c>
      <c r="M124" s="61" t="s">
        <v>617</v>
      </c>
      <c r="N124" s="149">
        <v>5</v>
      </c>
      <c r="O124" s="149">
        <v>6</v>
      </c>
      <c r="P124" s="61" t="s">
        <v>565</v>
      </c>
      <c r="Q124" s="61" t="s">
        <v>564</v>
      </c>
      <c r="R124" s="61">
        <v>41.98028</v>
      </c>
      <c r="S124" s="61">
        <v>-87.908997900000003</v>
      </c>
      <c r="T124" s="61">
        <v>938.73</v>
      </c>
      <c r="U124" s="61" t="s">
        <v>617</v>
      </c>
      <c r="V124" s="61" t="s">
        <v>569</v>
      </c>
      <c r="W124" s="61" cm="1">
        <f t="array" ref="W124">getDistance(I124,J124,R124,S124)*SA!$B$12</f>
        <v>664.03976858093529</v>
      </c>
      <c r="X124" s="61"/>
      <c r="Y124" s="137">
        <f>Transportation_LCIA!C$61*($W124^Transportation_LCIA!C$60)+Transportation_LCIA!C$62</f>
        <v>0.28618318016419964</v>
      </c>
      <c r="Z124" s="137">
        <f>Transportation_LCIA!D$61*($W124^Transportation_LCIA!D$60)+Transportation_LCIA!D$62</f>
        <v>3.0177355282535454</v>
      </c>
      <c r="AA124" s="137">
        <f>Transportation_LCIA!E$61*($W124^Transportation_LCIA!E$60)+Transportation_LCIA!E$62</f>
        <v>1.5346723185627621E-3</v>
      </c>
      <c r="AB124" s="137">
        <f>Transportation_LCIA!F$61*($W124^Transportation_LCIA!F$60)+Transportation_LCIA!F$62</f>
        <v>0.28618318016419964</v>
      </c>
      <c r="AC124" s="137">
        <f>Transportation_LCIA!G$61*($W124^Transportation_LCIA!G$60)+Transportation_LCIA!G$62</f>
        <v>7.0382405916778926E-2</v>
      </c>
      <c r="AD124" s="137">
        <f>Transportation_LCIA!H$61*($W124^Transportation_LCIA!H$60)+Transportation_LCIA!H$62</f>
        <v>3.6306879462450609E-4</v>
      </c>
      <c r="AE124" s="137">
        <f>Transportation_LCIA!I$61*($W124^Transportation_LCIA!I$60)+Transportation_LCIA!I$62</f>
        <v>8.1100647661309928E-6</v>
      </c>
      <c r="AF124" s="137">
        <f>Transportation_LCIA!J$61*($W124^Transportation_LCIA!J$60)+Transportation_LCIA!J$62</f>
        <v>1.2041348839796951E-2</v>
      </c>
      <c r="AG124" s="137">
        <f>Transportation_LCIA!K$61*($W124^Transportation_LCIA!K$60)+Transportation_LCIA!K$62</f>
        <v>1.5268865092569082E-2</v>
      </c>
      <c r="AH124" s="137">
        <f>Transportation_LCIA!L$61*($W124^Transportation_LCIA!L$60)+Transportation_LCIA!L$62</f>
        <v>3.193834659249564E-4</v>
      </c>
      <c r="AI124" s="137">
        <f>Transportation_LCIA!M$61*($W124^Transportation_LCIA!M$60)+Transportation_LCIA!M$62</f>
        <v>2.9123459332568592E-4</v>
      </c>
      <c r="AJ124" s="137">
        <f>Transportation_LCIA!N$61*($W124^Transportation_LCIA!N$60)+Transportation_LCIA!N$62</f>
        <v>1.2797222196284355E-3</v>
      </c>
      <c r="AK124" s="137">
        <f>Transportation_LCIA!O$61*($W124^Transportation_LCIA!O$60)+Transportation_LCIA!O$62</f>
        <v>7.4458081336171384E-5</v>
      </c>
      <c r="AL124" s="137">
        <f>Transportation_LCIA!P$61*($W124^Transportation_LCIA!P$60)+Transportation_LCIA!P$62</f>
        <v>3.5962723058234319E-8</v>
      </c>
      <c r="AM124" s="137">
        <f>Transportation_LCIA!Q$61*($W124^Transportation_LCIA!Q$60)+Transportation_LCIA!Q$62</f>
        <v>1.2607962162909455E-4</v>
      </c>
      <c r="AN124" s="137">
        <f>Transportation_LCIA!R$61*($W124^Transportation_LCIA!R$60)+Transportation_LCIA!R$62</f>
        <v>3.8976595565047854E-4</v>
      </c>
      <c r="AO124" s="137">
        <f>Transportation_LCIA!S$61*($W124^Transportation_LCIA!S$60)+Transportation_LCIA!S$62</f>
        <v>5.7884928967616082E-6</v>
      </c>
      <c r="AP124" s="137">
        <f>Transportation_LCIA!T$61*($W124^Transportation_LCIA!T$60)+Transportation_LCIA!T$62</f>
        <v>5.7884928967616082E-6</v>
      </c>
      <c r="AQ124" s="137">
        <f>Transportation_LCIA!U$61*($W124^Transportation_LCIA!U$60)+Transportation_LCIA!U$62</f>
        <v>8.418249291876381E-4</v>
      </c>
      <c r="AR124" s="137">
        <f>Transportation_LCIA!V$61*($W124^Transportation_LCIA!V$60)+Transportation_LCIA!V$62</f>
        <v>3.2804857778078551E-4</v>
      </c>
      <c r="AT124" s="137">
        <f>$W124*Y124+$L124*Summary_LCIA!H$32</f>
        <v>273.32471112799124</v>
      </c>
      <c r="AU124" s="137">
        <f>$W124*Z124+$L124*Summary_LCIA!Q$32</f>
        <v>3218.6640113517151</v>
      </c>
      <c r="AV124" s="137">
        <f>$W124*AA124+$L124*Summary_LCIA!R$32</f>
        <v>2.3097241360659835</v>
      </c>
      <c r="AW124" s="137">
        <f>$W124*AB124+$L124*Summary_LCIA!S$32</f>
        <v>272.24133376799125</v>
      </c>
      <c r="AX124" s="137">
        <f>$W124*AC124+$L124*Summary_LCIA!T$32</f>
        <v>73.674085737147323</v>
      </c>
      <c r="AY124" s="137">
        <f>$W124*AD124+$L124*Summary_LCIA!U$32</f>
        <v>4.6319568303614158</v>
      </c>
      <c r="AZ124" s="137">
        <f>$W124*AE124+$L124*Summary_LCIA!V$32</f>
        <v>1.7092008718478022E-2</v>
      </c>
      <c r="BA124" s="137">
        <f>$W124*AF124+$L124*Summary_LCIA!W$32</f>
        <v>26.862142364981082</v>
      </c>
      <c r="BB124" s="137">
        <f>$W124*AG124+$L124*Summary_LCIA!X$32</f>
        <v>15.722693882563094</v>
      </c>
      <c r="BC124" s="137">
        <f>$W124*AH124+$L124*Summary_LCIA!Y$32</f>
        <v>4.031356178801385</v>
      </c>
      <c r="BD124" s="137">
        <f>$W124*AI124+$L124*Summary_LCIA!Z$32</f>
        <v>0.20344298592675128</v>
      </c>
      <c r="BE124" s="137">
        <f>$W124*AJ124+$L124*Summary_LCIA!AA$32</f>
        <v>6.5745288945699469</v>
      </c>
      <c r="BF124" s="137">
        <f>$W124*AK124+$L124*Summary_LCIA!AB$32</f>
        <v>4.4094135215451698E-2</v>
      </c>
      <c r="BG124" s="137">
        <f>$W124*AL124+$L124*Summary_LCIA!AC$32</f>
        <v>3.5862537769130187E-5</v>
      </c>
      <c r="BH124" s="137">
        <f>$W124*AM124+$L124*Summary_LCIA!AD$32</f>
        <v>0.18447107508935584</v>
      </c>
      <c r="BI124" s="137">
        <f>$W124*AN124+$L124*Summary_LCIA!AE$32</f>
        <v>0.47601764703087091</v>
      </c>
      <c r="BJ124" s="137">
        <f>$W124*AO124+$L124*Summary_LCIA!AF$32</f>
        <v>0.21106299484359797</v>
      </c>
      <c r="BK124" s="137">
        <f>$W124*AP124+$L124*Summary_LCIA!AG$32</f>
        <v>1.6384740303597968E-2</v>
      </c>
      <c r="BL124" s="137">
        <f>$W124*AQ124+$L124*Summary_LCIA!AH$32</f>
        <v>2.6923272199634214</v>
      </c>
      <c r="BM124" s="137">
        <f>$W124*AR124+$L124*Summary_LCIA!AI$32</f>
        <v>0.44616765907285771</v>
      </c>
    </row>
    <row r="125" spans="1:65" x14ac:dyDescent="0.25">
      <c r="A125" s="149">
        <v>354</v>
      </c>
      <c r="B125" s="149">
        <v>6</v>
      </c>
      <c r="C125" s="61">
        <v>40.793394999999997</v>
      </c>
      <c r="D125" s="61">
        <v>-77.860000999999997</v>
      </c>
      <c r="E125" s="61" t="s">
        <v>265</v>
      </c>
      <c r="F125" s="149">
        <v>106</v>
      </c>
      <c r="G125" s="61" t="s">
        <v>266</v>
      </c>
      <c r="H125" s="61" t="s">
        <v>669</v>
      </c>
      <c r="I125" s="61">
        <v>40.491920999999998</v>
      </c>
      <c r="J125" s="61">
        <v>-80.235223000000005</v>
      </c>
      <c r="K125" s="61">
        <v>212.3657571</v>
      </c>
      <c r="L125" s="61">
        <v>245.108</v>
      </c>
      <c r="M125" s="61" t="s">
        <v>617</v>
      </c>
      <c r="N125" s="149">
        <v>5</v>
      </c>
      <c r="O125" s="149">
        <v>6</v>
      </c>
      <c r="P125" s="61" t="s">
        <v>565</v>
      </c>
      <c r="Q125" s="61" t="s">
        <v>564</v>
      </c>
      <c r="R125" s="61">
        <v>41.98028</v>
      </c>
      <c r="S125" s="61">
        <v>-87.908997900000003</v>
      </c>
      <c r="T125" s="61">
        <v>938.73</v>
      </c>
      <c r="U125" s="61" t="s">
        <v>617</v>
      </c>
      <c r="V125" s="61" t="s">
        <v>569</v>
      </c>
      <c r="W125" s="61" cm="1">
        <f t="array" ref="W125">getDistance(I125,J125,R125,S125)*SA!$B$12</f>
        <v>664.03976858093529</v>
      </c>
      <c r="X125" s="61"/>
      <c r="Y125" s="137">
        <f>Transportation_LCIA!C$61*($W125^Transportation_LCIA!C$60)+Transportation_LCIA!C$62</f>
        <v>0.28618318016419964</v>
      </c>
      <c r="Z125" s="137">
        <f>Transportation_LCIA!D$61*($W125^Transportation_LCIA!D$60)+Transportation_LCIA!D$62</f>
        <v>3.0177355282535454</v>
      </c>
      <c r="AA125" s="137">
        <f>Transportation_LCIA!E$61*($W125^Transportation_LCIA!E$60)+Transportation_LCIA!E$62</f>
        <v>1.5346723185627621E-3</v>
      </c>
      <c r="AB125" s="137">
        <f>Transportation_LCIA!F$61*($W125^Transportation_LCIA!F$60)+Transportation_LCIA!F$62</f>
        <v>0.28618318016419964</v>
      </c>
      <c r="AC125" s="137">
        <f>Transportation_LCIA!G$61*($W125^Transportation_LCIA!G$60)+Transportation_LCIA!G$62</f>
        <v>7.0382405916778926E-2</v>
      </c>
      <c r="AD125" s="137">
        <f>Transportation_LCIA!H$61*($W125^Transportation_LCIA!H$60)+Transportation_LCIA!H$62</f>
        <v>3.6306879462450609E-4</v>
      </c>
      <c r="AE125" s="137">
        <f>Transportation_LCIA!I$61*($W125^Transportation_LCIA!I$60)+Transportation_LCIA!I$62</f>
        <v>8.1100647661309928E-6</v>
      </c>
      <c r="AF125" s="137">
        <f>Transportation_LCIA!J$61*($W125^Transportation_LCIA!J$60)+Transportation_LCIA!J$62</f>
        <v>1.2041348839796951E-2</v>
      </c>
      <c r="AG125" s="137">
        <f>Transportation_LCIA!K$61*($W125^Transportation_LCIA!K$60)+Transportation_LCIA!K$62</f>
        <v>1.5268865092569082E-2</v>
      </c>
      <c r="AH125" s="137">
        <f>Transportation_LCIA!L$61*($W125^Transportation_LCIA!L$60)+Transportation_LCIA!L$62</f>
        <v>3.193834659249564E-4</v>
      </c>
      <c r="AI125" s="137">
        <f>Transportation_LCIA!M$61*($W125^Transportation_LCIA!M$60)+Transportation_LCIA!M$62</f>
        <v>2.9123459332568592E-4</v>
      </c>
      <c r="AJ125" s="137">
        <f>Transportation_LCIA!N$61*($W125^Transportation_LCIA!N$60)+Transportation_LCIA!N$62</f>
        <v>1.2797222196284355E-3</v>
      </c>
      <c r="AK125" s="137">
        <f>Transportation_LCIA!O$61*($W125^Transportation_LCIA!O$60)+Transportation_LCIA!O$62</f>
        <v>7.4458081336171384E-5</v>
      </c>
      <c r="AL125" s="137">
        <f>Transportation_LCIA!P$61*($W125^Transportation_LCIA!P$60)+Transportation_LCIA!P$62</f>
        <v>3.5962723058234319E-8</v>
      </c>
      <c r="AM125" s="137">
        <f>Transportation_LCIA!Q$61*($W125^Transportation_LCIA!Q$60)+Transportation_LCIA!Q$62</f>
        <v>1.2607962162909455E-4</v>
      </c>
      <c r="AN125" s="137">
        <f>Transportation_LCIA!R$61*($W125^Transportation_LCIA!R$60)+Transportation_LCIA!R$62</f>
        <v>3.8976595565047854E-4</v>
      </c>
      <c r="AO125" s="137">
        <f>Transportation_LCIA!S$61*($W125^Transportation_LCIA!S$60)+Transportation_LCIA!S$62</f>
        <v>5.7884928967616082E-6</v>
      </c>
      <c r="AP125" s="137">
        <f>Transportation_LCIA!T$61*($W125^Transportation_LCIA!T$60)+Transportation_LCIA!T$62</f>
        <v>5.7884928967616082E-6</v>
      </c>
      <c r="AQ125" s="137">
        <f>Transportation_LCIA!U$61*($W125^Transportation_LCIA!U$60)+Transportation_LCIA!U$62</f>
        <v>8.418249291876381E-4</v>
      </c>
      <c r="AR125" s="137">
        <f>Transportation_LCIA!V$61*($W125^Transportation_LCIA!V$60)+Transportation_LCIA!V$62</f>
        <v>3.2804857778078551E-4</v>
      </c>
      <c r="AT125" s="137">
        <f>$W125*Y125+$L125*Summary_LCIA!H$32</f>
        <v>273.32471112799124</v>
      </c>
      <c r="AU125" s="137">
        <f>$W125*Z125+$L125*Summary_LCIA!Q$32</f>
        <v>3218.6640113517151</v>
      </c>
      <c r="AV125" s="137">
        <f>$W125*AA125+$L125*Summary_LCIA!R$32</f>
        <v>2.3097241360659835</v>
      </c>
      <c r="AW125" s="137">
        <f>$W125*AB125+$L125*Summary_LCIA!S$32</f>
        <v>272.24133376799125</v>
      </c>
      <c r="AX125" s="137">
        <f>$W125*AC125+$L125*Summary_LCIA!T$32</f>
        <v>73.674085737147323</v>
      </c>
      <c r="AY125" s="137">
        <f>$W125*AD125+$L125*Summary_LCIA!U$32</f>
        <v>4.6319568303614158</v>
      </c>
      <c r="AZ125" s="137">
        <f>$W125*AE125+$L125*Summary_LCIA!V$32</f>
        <v>1.7092008718478022E-2</v>
      </c>
      <c r="BA125" s="137">
        <f>$W125*AF125+$L125*Summary_LCIA!W$32</f>
        <v>26.862142364981082</v>
      </c>
      <c r="BB125" s="137">
        <f>$W125*AG125+$L125*Summary_LCIA!X$32</f>
        <v>15.722693882563094</v>
      </c>
      <c r="BC125" s="137">
        <f>$W125*AH125+$L125*Summary_LCIA!Y$32</f>
        <v>4.031356178801385</v>
      </c>
      <c r="BD125" s="137">
        <f>$W125*AI125+$L125*Summary_LCIA!Z$32</f>
        <v>0.20344298592675128</v>
      </c>
      <c r="BE125" s="137">
        <f>$W125*AJ125+$L125*Summary_LCIA!AA$32</f>
        <v>6.5745288945699469</v>
      </c>
      <c r="BF125" s="137">
        <f>$W125*AK125+$L125*Summary_LCIA!AB$32</f>
        <v>4.4094135215451698E-2</v>
      </c>
      <c r="BG125" s="137">
        <f>$W125*AL125+$L125*Summary_LCIA!AC$32</f>
        <v>3.5862537769130187E-5</v>
      </c>
      <c r="BH125" s="137">
        <f>$W125*AM125+$L125*Summary_LCIA!AD$32</f>
        <v>0.18447107508935584</v>
      </c>
      <c r="BI125" s="137">
        <f>$W125*AN125+$L125*Summary_LCIA!AE$32</f>
        <v>0.47601764703087091</v>
      </c>
      <c r="BJ125" s="137">
        <f>$W125*AO125+$L125*Summary_LCIA!AF$32</f>
        <v>0.21106299484359797</v>
      </c>
      <c r="BK125" s="137">
        <f>$W125*AP125+$L125*Summary_LCIA!AG$32</f>
        <v>1.6384740303597968E-2</v>
      </c>
      <c r="BL125" s="137">
        <f>$W125*AQ125+$L125*Summary_LCIA!AH$32</f>
        <v>2.6923272199634214</v>
      </c>
      <c r="BM125" s="137">
        <f>$W125*AR125+$L125*Summary_LCIA!AI$32</f>
        <v>0.44616765907285771</v>
      </c>
    </row>
    <row r="126" spans="1:65" x14ac:dyDescent="0.25">
      <c r="A126" s="149">
        <v>10</v>
      </c>
      <c r="B126" s="149">
        <v>6</v>
      </c>
      <c r="C126" s="61">
        <v>43.083925000000001</v>
      </c>
      <c r="D126" s="61">
        <v>-77.674614000000005</v>
      </c>
      <c r="E126" s="61" t="s">
        <v>265</v>
      </c>
      <c r="F126" s="149">
        <v>120</v>
      </c>
      <c r="G126" s="61" t="s">
        <v>625</v>
      </c>
      <c r="H126" s="61" t="s">
        <v>626</v>
      </c>
      <c r="I126" s="61">
        <v>42.939706000000001</v>
      </c>
      <c r="J126" s="61">
        <v>-78.729506999999998</v>
      </c>
      <c r="K126" s="61">
        <v>92.065719849999994</v>
      </c>
      <c r="L126" s="61">
        <v>101.642</v>
      </c>
      <c r="M126" s="61" t="s">
        <v>617</v>
      </c>
      <c r="N126" s="149">
        <v>5</v>
      </c>
      <c r="O126" s="149">
        <v>6</v>
      </c>
      <c r="P126" s="61" t="s">
        <v>565</v>
      </c>
      <c r="Q126" s="61" t="s">
        <v>564</v>
      </c>
      <c r="R126" s="61">
        <v>41.98028</v>
      </c>
      <c r="S126" s="61">
        <v>-87.908997900000003</v>
      </c>
      <c r="T126" s="61">
        <v>993.03</v>
      </c>
      <c r="U126" s="61" t="s">
        <v>617</v>
      </c>
      <c r="V126" s="61" t="s">
        <v>569</v>
      </c>
      <c r="W126" s="61" cm="1">
        <f t="array" ref="W126">getDistance(I126,J126,R126,S126)*SA!$B$12</f>
        <v>762.14373098463625</v>
      </c>
      <c r="X126" s="61"/>
      <c r="Y126" s="137">
        <f>Transportation_LCIA!C$61*($W126^Transportation_LCIA!C$60)+Transportation_LCIA!C$62</f>
        <v>0.26715705922877148</v>
      </c>
      <c r="Z126" s="137">
        <f>Transportation_LCIA!D$61*($W126^Transportation_LCIA!D$60)+Transportation_LCIA!D$62</f>
        <v>2.7924242819575884</v>
      </c>
      <c r="AA126" s="137">
        <f>Transportation_LCIA!E$61*($W126^Transportation_LCIA!E$60)+Transportation_LCIA!E$62</f>
        <v>1.3859223127365909E-3</v>
      </c>
      <c r="AB126" s="137">
        <f>Transportation_LCIA!F$61*($W126^Transportation_LCIA!F$60)+Transportation_LCIA!F$62</f>
        <v>0.26715705922877148</v>
      </c>
      <c r="AC126" s="137">
        <f>Transportation_LCIA!G$61*($W126^Transportation_LCIA!G$60)+Transportation_LCIA!G$62</f>
        <v>6.5174111539131718E-2</v>
      </c>
      <c r="AD126" s="137">
        <f>Transportation_LCIA!H$61*($W126^Transportation_LCIA!H$60)+Transportation_LCIA!H$62</f>
        <v>3.3009468273267277E-4</v>
      </c>
      <c r="AE126" s="137">
        <f>Transportation_LCIA!I$61*($W126^Transportation_LCIA!I$60)+Transportation_LCIA!I$62</f>
        <v>7.2690458918611156E-6</v>
      </c>
      <c r="AF126" s="137">
        <f>Transportation_LCIA!J$61*($W126^Transportation_LCIA!J$60)+Transportation_LCIA!J$62</f>
        <v>1.0778083772794846E-2</v>
      </c>
      <c r="AG126" s="137">
        <f>Transportation_LCIA!K$61*($W126^Transportation_LCIA!K$60)+Transportation_LCIA!K$62</f>
        <v>1.404404741045014E-2</v>
      </c>
      <c r="AH126" s="137">
        <f>Transportation_LCIA!L$61*($W126^Transportation_LCIA!L$60)+Transportation_LCIA!L$62</f>
        <v>2.8895585132343143E-4</v>
      </c>
      <c r="AI126" s="137">
        <f>Transportation_LCIA!M$61*($W126^Transportation_LCIA!M$60)+Transportation_LCIA!M$62</f>
        <v>2.730284163617511E-4</v>
      </c>
      <c r="AJ126" s="137">
        <f>Transportation_LCIA!N$61*($W126^Transportation_LCIA!N$60)+Transportation_LCIA!N$62</f>
        <v>1.168973124544055E-3</v>
      </c>
      <c r="AK126" s="137">
        <f>Transportation_LCIA!O$61*($W126^Transportation_LCIA!O$60)+Transportation_LCIA!O$62</f>
        <v>6.8921370358073866E-5</v>
      </c>
      <c r="AL126" s="137">
        <f>Transportation_LCIA!P$61*($W126^Transportation_LCIA!P$60)+Transportation_LCIA!P$62</f>
        <v>3.3303629963256696E-8</v>
      </c>
      <c r="AM126" s="137">
        <f>Transportation_LCIA!Q$61*($W126^Transportation_LCIA!Q$60)+Transportation_LCIA!Q$62</f>
        <v>1.1415848600762142E-4</v>
      </c>
      <c r="AN126" s="137">
        <f>Transportation_LCIA!R$61*($W126^Transportation_LCIA!R$60)+Transportation_LCIA!R$62</f>
        <v>3.4942384575839313E-4</v>
      </c>
      <c r="AO126" s="137">
        <f>Transportation_LCIA!S$61*($W126^Transportation_LCIA!S$60)+Transportation_LCIA!S$62</f>
        <v>5.2162884195573146E-6</v>
      </c>
      <c r="AP126" s="137">
        <f>Transportation_LCIA!T$61*($W126^Transportation_LCIA!T$60)+Transportation_LCIA!T$62</f>
        <v>5.2162884195573146E-6</v>
      </c>
      <c r="AQ126" s="137">
        <f>Transportation_LCIA!U$61*($W126^Transportation_LCIA!U$60)+Transportation_LCIA!U$62</f>
        <v>7.53133915953268E-4</v>
      </c>
      <c r="AR126" s="137">
        <f>Transportation_LCIA!V$61*($W126^Transportation_LCIA!V$60)+Transportation_LCIA!V$62</f>
        <v>2.9695542383182229E-4</v>
      </c>
      <c r="AT126" s="137">
        <f>$W126*Y126+$L126*Summary_LCIA!H$32</f>
        <v>238.15002947949932</v>
      </c>
      <c r="AU126" s="137">
        <f>$W126*Z126+$L126*Summary_LCIA!Q$32</f>
        <v>2631.9715388542363</v>
      </c>
      <c r="AV126" s="137">
        <f>$W126*AA126+$L126*Summary_LCIA!R$32</f>
        <v>1.5914781174839212</v>
      </c>
      <c r="AW126" s="137">
        <f>$W126*AB126+$L126*Summary_LCIA!S$32</f>
        <v>237.70077183949934</v>
      </c>
      <c r="AX126" s="137">
        <f>$W126*AC126+$L126*Summary_LCIA!T$32</f>
        <v>60.842496332042678</v>
      </c>
      <c r="AY126" s="137">
        <f>$W126*AD126+$L126*Summary_LCIA!U$32</f>
        <v>2.072394381076069</v>
      </c>
      <c r="AZ126" s="137">
        <f>$W126*AE126+$L126*Summary_LCIA!V$32</f>
        <v>1.0394581318721573E-2</v>
      </c>
      <c r="BA126" s="137">
        <f>$W126*AF126+$L126*Summary_LCIA!W$32</f>
        <v>16.037935361462829</v>
      </c>
      <c r="BB126" s="137">
        <f>$W126*AG126+$L126*Summary_LCIA!X$32</f>
        <v>13.018987451525588</v>
      </c>
      <c r="BC126" s="137">
        <f>$W126*AH126+$L126*Summary_LCIA!Y$32</f>
        <v>1.8040115346174819</v>
      </c>
      <c r="BD126" s="137">
        <f>$W126*AI126+$L126*Summary_LCIA!Z$32</f>
        <v>0.21225513268877166</v>
      </c>
      <c r="BE126" s="137">
        <f>$W126*AJ126+$L126*Summary_LCIA!AA$32</f>
        <v>3.2648760905607737</v>
      </c>
      <c r="BF126" s="137">
        <f>$W126*AK126+$L126*Summary_LCIA!AB$32</f>
        <v>5.0309856983276335E-2</v>
      </c>
      <c r="BG126" s="137">
        <f>$W126*AL126+$L126*Summary_LCIA!AC$32</f>
        <v>3.035082032352818E-5</v>
      </c>
      <c r="BH126" s="137">
        <f>$W126*AM126+$L126*Summary_LCIA!AD$32</f>
        <v>0.128784102129406</v>
      </c>
      <c r="BI126" s="137">
        <f>$W126*AN126+$L126*Summary_LCIA!AE$32</f>
        <v>0.35637921896130181</v>
      </c>
      <c r="BJ126" s="137">
        <f>$W126*AO126+$L126*Summary_LCIA!AF$32</f>
        <v>8.9905741157973368E-2</v>
      </c>
      <c r="BK126" s="137">
        <f>$W126*AP126+$L126*Summary_LCIA!AG$32</f>
        <v>9.1760744479733626E-3</v>
      </c>
      <c r="BL126" s="137">
        <f>$W126*AQ126+$L126*Summary_LCIA!AH$32</f>
        <v>1.4586476038356933</v>
      </c>
      <c r="BM126" s="137">
        <f>$W126*AR126+$L126*Summary_LCIA!AI$32</f>
        <v>0.321007319755309</v>
      </c>
    </row>
    <row r="127" spans="1:65" x14ac:dyDescent="0.25">
      <c r="A127" s="149">
        <v>11</v>
      </c>
      <c r="B127" s="149">
        <v>6</v>
      </c>
      <c r="C127" s="61">
        <v>43.083925000000001</v>
      </c>
      <c r="D127" s="61">
        <v>-77.674614000000005</v>
      </c>
      <c r="E127" s="61" t="s">
        <v>265</v>
      </c>
      <c r="F127" s="149">
        <v>120</v>
      </c>
      <c r="G127" s="61" t="s">
        <v>625</v>
      </c>
      <c r="H127" s="61" t="s">
        <v>626</v>
      </c>
      <c r="I127" s="61">
        <v>42.939706000000001</v>
      </c>
      <c r="J127" s="61">
        <v>-78.729506999999998</v>
      </c>
      <c r="K127" s="61">
        <v>92.065719849999994</v>
      </c>
      <c r="L127" s="61">
        <v>101.642</v>
      </c>
      <c r="M127" s="61" t="s">
        <v>617</v>
      </c>
      <c r="N127" s="149">
        <v>5</v>
      </c>
      <c r="O127" s="149">
        <v>6</v>
      </c>
      <c r="P127" s="61" t="s">
        <v>565</v>
      </c>
      <c r="Q127" s="61" t="s">
        <v>564</v>
      </c>
      <c r="R127" s="61">
        <v>41.98028</v>
      </c>
      <c r="S127" s="61">
        <v>-87.908997900000003</v>
      </c>
      <c r="T127" s="61">
        <v>993.03</v>
      </c>
      <c r="U127" s="61" t="s">
        <v>617</v>
      </c>
      <c r="V127" s="61" t="s">
        <v>569</v>
      </c>
      <c r="W127" s="61" cm="1">
        <f t="array" ref="W127">getDistance(I127,J127,R127,S127)*SA!$B$12</f>
        <v>762.14373098463625</v>
      </c>
      <c r="X127" s="61"/>
      <c r="Y127" s="137">
        <f>Transportation_LCIA!C$61*($W127^Transportation_LCIA!C$60)+Transportation_LCIA!C$62</f>
        <v>0.26715705922877148</v>
      </c>
      <c r="Z127" s="137">
        <f>Transportation_LCIA!D$61*($W127^Transportation_LCIA!D$60)+Transportation_LCIA!D$62</f>
        <v>2.7924242819575884</v>
      </c>
      <c r="AA127" s="137">
        <f>Transportation_LCIA!E$61*($W127^Transportation_LCIA!E$60)+Transportation_LCIA!E$62</f>
        <v>1.3859223127365909E-3</v>
      </c>
      <c r="AB127" s="137">
        <f>Transportation_LCIA!F$61*($W127^Transportation_LCIA!F$60)+Transportation_LCIA!F$62</f>
        <v>0.26715705922877148</v>
      </c>
      <c r="AC127" s="137">
        <f>Transportation_LCIA!G$61*($W127^Transportation_LCIA!G$60)+Transportation_LCIA!G$62</f>
        <v>6.5174111539131718E-2</v>
      </c>
      <c r="AD127" s="137">
        <f>Transportation_LCIA!H$61*($W127^Transportation_LCIA!H$60)+Transportation_LCIA!H$62</f>
        <v>3.3009468273267277E-4</v>
      </c>
      <c r="AE127" s="137">
        <f>Transportation_LCIA!I$61*($W127^Transportation_LCIA!I$60)+Transportation_LCIA!I$62</f>
        <v>7.2690458918611156E-6</v>
      </c>
      <c r="AF127" s="137">
        <f>Transportation_LCIA!J$61*($W127^Transportation_LCIA!J$60)+Transportation_LCIA!J$62</f>
        <v>1.0778083772794846E-2</v>
      </c>
      <c r="AG127" s="137">
        <f>Transportation_LCIA!K$61*($W127^Transportation_LCIA!K$60)+Transportation_LCIA!K$62</f>
        <v>1.404404741045014E-2</v>
      </c>
      <c r="AH127" s="137">
        <f>Transportation_LCIA!L$61*($W127^Transportation_LCIA!L$60)+Transportation_LCIA!L$62</f>
        <v>2.8895585132343143E-4</v>
      </c>
      <c r="AI127" s="137">
        <f>Transportation_LCIA!M$61*($W127^Transportation_LCIA!M$60)+Transportation_LCIA!M$62</f>
        <v>2.730284163617511E-4</v>
      </c>
      <c r="AJ127" s="137">
        <f>Transportation_LCIA!N$61*($W127^Transportation_LCIA!N$60)+Transportation_LCIA!N$62</f>
        <v>1.168973124544055E-3</v>
      </c>
      <c r="AK127" s="137">
        <f>Transportation_LCIA!O$61*($W127^Transportation_LCIA!O$60)+Transportation_LCIA!O$62</f>
        <v>6.8921370358073866E-5</v>
      </c>
      <c r="AL127" s="137">
        <f>Transportation_LCIA!P$61*($W127^Transportation_LCIA!P$60)+Transportation_LCIA!P$62</f>
        <v>3.3303629963256696E-8</v>
      </c>
      <c r="AM127" s="137">
        <f>Transportation_LCIA!Q$61*($W127^Transportation_LCIA!Q$60)+Transportation_LCIA!Q$62</f>
        <v>1.1415848600762142E-4</v>
      </c>
      <c r="AN127" s="137">
        <f>Transportation_LCIA!R$61*($W127^Transportation_LCIA!R$60)+Transportation_LCIA!R$62</f>
        <v>3.4942384575839313E-4</v>
      </c>
      <c r="AO127" s="137">
        <f>Transportation_LCIA!S$61*($W127^Transportation_LCIA!S$60)+Transportation_LCIA!S$62</f>
        <v>5.2162884195573146E-6</v>
      </c>
      <c r="AP127" s="137">
        <f>Transportation_LCIA!T$61*($W127^Transportation_LCIA!T$60)+Transportation_LCIA!T$62</f>
        <v>5.2162884195573146E-6</v>
      </c>
      <c r="AQ127" s="137">
        <f>Transportation_LCIA!U$61*($W127^Transportation_LCIA!U$60)+Transportation_LCIA!U$62</f>
        <v>7.53133915953268E-4</v>
      </c>
      <c r="AR127" s="137">
        <f>Transportation_LCIA!V$61*($W127^Transportation_LCIA!V$60)+Transportation_LCIA!V$62</f>
        <v>2.9695542383182229E-4</v>
      </c>
      <c r="AT127" s="137">
        <f>$W127*Y127+$L127*Summary_LCIA!H$32</f>
        <v>238.15002947949932</v>
      </c>
      <c r="AU127" s="137">
        <f>$W127*Z127+$L127*Summary_LCIA!Q$32</f>
        <v>2631.9715388542363</v>
      </c>
      <c r="AV127" s="137">
        <f>$W127*AA127+$L127*Summary_LCIA!R$32</f>
        <v>1.5914781174839212</v>
      </c>
      <c r="AW127" s="137">
        <f>$W127*AB127+$L127*Summary_LCIA!S$32</f>
        <v>237.70077183949934</v>
      </c>
      <c r="AX127" s="137">
        <f>$W127*AC127+$L127*Summary_LCIA!T$32</f>
        <v>60.842496332042678</v>
      </c>
      <c r="AY127" s="137">
        <f>$W127*AD127+$L127*Summary_LCIA!U$32</f>
        <v>2.072394381076069</v>
      </c>
      <c r="AZ127" s="137">
        <f>$W127*AE127+$L127*Summary_LCIA!V$32</f>
        <v>1.0394581318721573E-2</v>
      </c>
      <c r="BA127" s="137">
        <f>$W127*AF127+$L127*Summary_LCIA!W$32</f>
        <v>16.037935361462829</v>
      </c>
      <c r="BB127" s="137">
        <f>$W127*AG127+$L127*Summary_LCIA!X$32</f>
        <v>13.018987451525588</v>
      </c>
      <c r="BC127" s="137">
        <f>$W127*AH127+$L127*Summary_LCIA!Y$32</f>
        <v>1.8040115346174819</v>
      </c>
      <c r="BD127" s="137">
        <f>$W127*AI127+$L127*Summary_LCIA!Z$32</f>
        <v>0.21225513268877166</v>
      </c>
      <c r="BE127" s="137">
        <f>$W127*AJ127+$L127*Summary_LCIA!AA$32</f>
        <v>3.2648760905607737</v>
      </c>
      <c r="BF127" s="137">
        <f>$W127*AK127+$L127*Summary_LCIA!AB$32</f>
        <v>5.0309856983276335E-2</v>
      </c>
      <c r="BG127" s="137">
        <f>$W127*AL127+$L127*Summary_LCIA!AC$32</f>
        <v>3.035082032352818E-5</v>
      </c>
      <c r="BH127" s="137">
        <f>$W127*AM127+$L127*Summary_LCIA!AD$32</f>
        <v>0.128784102129406</v>
      </c>
      <c r="BI127" s="137">
        <f>$W127*AN127+$L127*Summary_LCIA!AE$32</f>
        <v>0.35637921896130181</v>
      </c>
      <c r="BJ127" s="137">
        <f>$W127*AO127+$L127*Summary_LCIA!AF$32</f>
        <v>8.9905741157973368E-2</v>
      </c>
      <c r="BK127" s="137">
        <f>$W127*AP127+$L127*Summary_LCIA!AG$32</f>
        <v>9.1760744479733626E-3</v>
      </c>
      <c r="BL127" s="137">
        <f>$W127*AQ127+$L127*Summary_LCIA!AH$32</f>
        <v>1.4586476038356933</v>
      </c>
      <c r="BM127" s="137">
        <f>$W127*AR127+$L127*Summary_LCIA!AI$32</f>
        <v>0.321007319755309</v>
      </c>
    </row>
    <row r="128" spans="1:65" x14ac:dyDescent="0.25">
      <c r="A128" s="149">
        <v>189</v>
      </c>
      <c r="B128" s="149">
        <v>6</v>
      </c>
      <c r="C128" s="61">
        <v>35.045630000000003</v>
      </c>
      <c r="D128" s="61">
        <v>-85.30968</v>
      </c>
      <c r="E128" s="61" t="s">
        <v>265</v>
      </c>
      <c r="F128" s="149">
        <v>91</v>
      </c>
      <c r="G128" s="61" t="s">
        <v>618</v>
      </c>
      <c r="H128" s="61" t="s">
        <v>619</v>
      </c>
      <c r="I128" s="61">
        <v>36.126317</v>
      </c>
      <c r="J128" s="61">
        <v>-86.677370999999994</v>
      </c>
      <c r="K128" s="61">
        <v>216.8818096</v>
      </c>
      <c r="L128" s="61">
        <v>207.744</v>
      </c>
      <c r="M128" s="61" t="s">
        <v>617</v>
      </c>
      <c r="N128" s="149">
        <v>5</v>
      </c>
      <c r="O128" s="149">
        <v>6</v>
      </c>
      <c r="P128" s="61" t="s">
        <v>565</v>
      </c>
      <c r="Q128" s="61" t="s">
        <v>564</v>
      </c>
      <c r="R128" s="61">
        <v>41.98028</v>
      </c>
      <c r="S128" s="61">
        <v>-87.908997900000003</v>
      </c>
      <c r="T128" s="61">
        <v>994.86800000000005</v>
      </c>
      <c r="U128" s="61" t="s">
        <v>617</v>
      </c>
      <c r="V128" s="61" t="s">
        <v>569</v>
      </c>
      <c r="W128" s="61" cm="1">
        <f t="array" ref="W128">getDistance(I128,J128,R128,S128)*SA!$B$12</f>
        <v>659.85331554628851</v>
      </c>
      <c r="X128" s="61"/>
      <c r="Y128" s="137">
        <f>Transportation_LCIA!C$61*($W128^Transportation_LCIA!C$60)+Transportation_LCIA!C$62</f>
        <v>0.28711034431731675</v>
      </c>
      <c r="Z128" s="137">
        <f>Transportation_LCIA!D$61*($W128^Transportation_LCIA!D$60)+Transportation_LCIA!D$62</f>
        <v>3.0287489507114906</v>
      </c>
      <c r="AA128" s="137">
        <f>Transportation_LCIA!E$61*($W128^Transportation_LCIA!E$60)+Transportation_LCIA!E$62</f>
        <v>1.541949627580878E-3</v>
      </c>
      <c r="AB128" s="137">
        <f>Transportation_LCIA!F$61*($W128^Transportation_LCIA!F$60)+Transportation_LCIA!F$62</f>
        <v>0.28711034431731675</v>
      </c>
      <c r="AC128" s="137">
        <f>Transportation_LCIA!G$61*($W128^Transportation_LCIA!G$60)+Transportation_LCIA!G$62</f>
        <v>7.0636946621656566E-2</v>
      </c>
      <c r="AD128" s="137">
        <f>Transportation_LCIA!H$61*($W128^Transportation_LCIA!H$60)+Transportation_LCIA!H$62</f>
        <v>3.6468473830708392E-4</v>
      </c>
      <c r="AE128" s="137">
        <f>Transportation_LCIA!I$61*($W128^Transportation_LCIA!I$60)+Transportation_LCIA!I$62</f>
        <v>8.1513931789510452E-6</v>
      </c>
      <c r="AF128" s="137">
        <f>Transportation_LCIA!J$61*($W128^Transportation_LCIA!J$60)+Transportation_LCIA!J$62</f>
        <v>1.2103537939984348E-2</v>
      </c>
      <c r="AG128" s="137">
        <f>Transportation_LCIA!K$61*($W128^Transportation_LCIA!K$60)+Transportation_LCIA!K$62</f>
        <v>1.5328817431613843E-2</v>
      </c>
      <c r="AH128" s="137">
        <f>Transportation_LCIA!L$61*($W128^Transportation_LCIA!L$60)+Transportation_LCIA!L$62</f>
        <v>3.2087577902119551E-4</v>
      </c>
      <c r="AI128" s="137">
        <f>Transportation_LCIA!M$61*($W128^Transportation_LCIA!M$60)+Transportation_LCIA!M$62</f>
        <v>2.9212689587987547E-4</v>
      </c>
      <c r="AJ128" s="137">
        <f>Transportation_LCIA!N$61*($W128^Transportation_LCIA!N$60)+Transportation_LCIA!N$62</f>
        <v>1.2851484558381739E-3</v>
      </c>
      <c r="AK128" s="137">
        <f>Transportation_LCIA!O$61*($W128^Transportation_LCIA!O$60)+Transportation_LCIA!O$62</f>
        <v>7.4728695290617527E-5</v>
      </c>
      <c r="AL128" s="137">
        <f>Transportation_LCIA!P$61*($W128^Transportation_LCIA!P$60)+Transportation_LCIA!P$62</f>
        <v>3.6092660039250887E-8</v>
      </c>
      <c r="AM128" s="137">
        <f>Transportation_LCIA!Q$61*($W128^Transportation_LCIA!Q$60)+Transportation_LCIA!Q$62</f>
        <v>1.266645357867947E-4</v>
      </c>
      <c r="AN128" s="137">
        <f>Transportation_LCIA!R$61*($W128^Transportation_LCIA!R$60)+Transportation_LCIA!R$62</f>
        <v>3.9174853387192332E-4</v>
      </c>
      <c r="AO128" s="137">
        <f>Transportation_LCIA!S$61*($W128^Transportation_LCIA!S$60)+Transportation_LCIA!S$62</f>
        <v>5.816609944944966E-6</v>
      </c>
      <c r="AP128" s="137">
        <f>Transportation_LCIA!T$61*($W128^Transportation_LCIA!T$60)+Transportation_LCIA!T$62</f>
        <v>5.816609944944966E-6</v>
      </c>
      <c r="AQ128" s="137">
        <f>Transportation_LCIA!U$61*($W128^Transportation_LCIA!U$60)+Transportation_LCIA!U$62</f>
        <v>8.4618583701267559E-4</v>
      </c>
      <c r="AR128" s="137">
        <f>Transportation_LCIA!V$61*($W128^Transportation_LCIA!V$60)+Transportation_LCIA!V$62</f>
        <v>3.2957499967912188E-4</v>
      </c>
      <c r="AT128" s="137">
        <f>$W128*Y128+$L128*Summary_LCIA!H$32</f>
        <v>260.04212382541795</v>
      </c>
      <c r="AU128" s="137">
        <f>$W128*Z128+$L128*Summary_LCIA!Q$32</f>
        <v>3028.1197782374711</v>
      </c>
      <c r="AV128" s="137">
        <f>$W128*AA128+$L128*Summary_LCIA!R$32</f>
        <v>2.1113573805646073</v>
      </c>
      <c r="AW128" s="137">
        <f>$W128*AB128+$L128*Summary_LCIA!S$32</f>
        <v>259.12389534541796</v>
      </c>
      <c r="AX128" s="137">
        <f>$W128*AC128+$L128*Summary_LCIA!T$32</f>
        <v>69.441089028366292</v>
      </c>
      <c r="AY128" s="137">
        <f>$W128*AD128+$L128*Summary_LCIA!U$32</f>
        <v>3.96216444970106</v>
      </c>
      <c r="AZ128" s="137">
        <f>$W128*AE128+$L128*Summary_LCIA!V$32</f>
        <v>1.5300784999452248E-2</v>
      </c>
      <c r="BA128" s="137">
        <f>$W128*AF128+$L128*Summary_LCIA!W$32</f>
        <v>23.976823063538966</v>
      </c>
      <c r="BB128" s="137">
        <f>$W128*AG128+$L128*Summary_LCIA!X$32</f>
        <v>14.847179325654139</v>
      </c>
      <c r="BC128" s="137">
        <f>$W128*AH128+$L128*Summary_LCIA!Y$32</f>
        <v>3.448797954665634</v>
      </c>
      <c r="BD128" s="137">
        <f>$W128*AI128+$L128*Summary_LCIA!Z$32</f>
        <v>0.20128027450258124</v>
      </c>
      <c r="BE128" s="137">
        <f>$W128*AJ128+$L128*Summary_LCIA!AA$32</f>
        <v>5.7000783335540115</v>
      </c>
      <c r="BF128" s="137">
        <f>$W128*AK128+$L128*Summary_LCIA!AB$32</f>
        <v>4.4776380041962292E-2</v>
      </c>
      <c r="BG128" s="137">
        <f>$W128*AL128+$L128*Summary_LCIA!AC$32</f>
        <v>3.397121908978473E-5</v>
      </c>
      <c r="BH128" s="137">
        <f>$W128*AM128+$L128*Summary_LCIA!AD$32</f>
        <v>0.168971107661048</v>
      </c>
      <c r="BI128" s="137">
        <f>$W128*AN128+$L128*Summary_LCIA!AE$32</f>
        <v>0.44258475965578609</v>
      </c>
      <c r="BJ128" s="137">
        <f>$W128*AO128+$L128*Summary_LCIA!AF$32</f>
        <v>0.17946904183741144</v>
      </c>
      <c r="BK128" s="137">
        <f>$W128*AP128+$L128*Summary_LCIA!AG$32</f>
        <v>1.446733111741145E-2</v>
      </c>
      <c r="BL128" s="137">
        <f>$W128*AQ128+$L128*Summary_LCIA!AH$32</f>
        <v>2.3664792085211253</v>
      </c>
      <c r="BM128" s="137">
        <f>$W128*AR128+$L128*Summary_LCIA!AI$32</f>
        <v>0.41099507945943559</v>
      </c>
    </row>
    <row r="129" spans="1:65" x14ac:dyDescent="0.25">
      <c r="A129" s="149">
        <v>190</v>
      </c>
      <c r="B129" s="149">
        <v>6</v>
      </c>
      <c r="C129" s="61">
        <v>35.045630000000003</v>
      </c>
      <c r="D129" s="61">
        <v>-85.30968</v>
      </c>
      <c r="E129" s="61" t="s">
        <v>265</v>
      </c>
      <c r="F129" s="149">
        <v>91</v>
      </c>
      <c r="G129" s="61" t="s">
        <v>618</v>
      </c>
      <c r="H129" s="61" t="s">
        <v>619</v>
      </c>
      <c r="I129" s="61">
        <v>36.126317</v>
      </c>
      <c r="J129" s="61">
        <v>-86.677370999999994</v>
      </c>
      <c r="K129" s="61">
        <v>216.8818096</v>
      </c>
      <c r="L129" s="61">
        <v>207.744</v>
      </c>
      <c r="M129" s="61" t="s">
        <v>617</v>
      </c>
      <c r="N129" s="149">
        <v>5</v>
      </c>
      <c r="O129" s="149">
        <v>6</v>
      </c>
      <c r="P129" s="61" t="s">
        <v>565</v>
      </c>
      <c r="Q129" s="61" t="s">
        <v>564</v>
      </c>
      <c r="R129" s="61">
        <v>41.98028</v>
      </c>
      <c r="S129" s="61">
        <v>-87.908997900000003</v>
      </c>
      <c r="T129" s="61">
        <v>994.86800000000005</v>
      </c>
      <c r="U129" s="61" t="s">
        <v>617</v>
      </c>
      <c r="V129" s="61" t="s">
        <v>569</v>
      </c>
      <c r="W129" s="61" cm="1">
        <f t="array" ref="W129">getDistance(I129,J129,R129,S129)*SA!$B$12</f>
        <v>659.85331554628851</v>
      </c>
      <c r="X129" s="61"/>
      <c r="Y129" s="137">
        <f>Transportation_LCIA!C$61*($W129^Transportation_LCIA!C$60)+Transportation_LCIA!C$62</f>
        <v>0.28711034431731675</v>
      </c>
      <c r="Z129" s="137">
        <f>Transportation_LCIA!D$61*($W129^Transportation_LCIA!D$60)+Transportation_LCIA!D$62</f>
        <v>3.0287489507114906</v>
      </c>
      <c r="AA129" s="137">
        <f>Transportation_LCIA!E$61*($W129^Transportation_LCIA!E$60)+Transportation_LCIA!E$62</f>
        <v>1.541949627580878E-3</v>
      </c>
      <c r="AB129" s="137">
        <f>Transportation_LCIA!F$61*($W129^Transportation_LCIA!F$60)+Transportation_LCIA!F$62</f>
        <v>0.28711034431731675</v>
      </c>
      <c r="AC129" s="137">
        <f>Transportation_LCIA!G$61*($W129^Transportation_LCIA!G$60)+Transportation_LCIA!G$62</f>
        <v>7.0636946621656566E-2</v>
      </c>
      <c r="AD129" s="137">
        <f>Transportation_LCIA!H$61*($W129^Transportation_LCIA!H$60)+Transportation_LCIA!H$62</f>
        <v>3.6468473830708392E-4</v>
      </c>
      <c r="AE129" s="137">
        <f>Transportation_LCIA!I$61*($W129^Transportation_LCIA!I$60)+Transportation_LCIA!I$62</f>
        <v>8.1513931789510452E-6</v>
      </c>
      <c r="AF129" s="137">
        <f>Transportation_LCIA!J$61*($W129^Transportation_LCIA!J$60)+Transportation_LCIA!J$62</f>
        <v>1.2103537939984348E-2</v>
      </c>
      <c r="AG129" s="137">
        <f>Transportation_LCIA!K$61*($W129^Transportation_LCIA!K$60)+Transportation_LCIA!K$62</f>
        <v>1.5328817431613843E-2</v>
      </c>
      <c r="AH129" s="137">
        <f>Transportation_LCIA!L$61*($W129^Transportation_LCIA!L$60)+Transportation_LCIA!L$62</f>
        <v>3.2087577902119551E-4</v>
      </c>
      <c r="AI129" s="137">
        <f>Transportation_LCIA!M$61*($W129^Transportation_LCIA!M$60)+Transportation_LCIA!M$62</f>
        <v>2.9212689587987547E-4</v>
      </c>
      <c r="AJ129" s="137">
        <f>Transportation_LCIA!N$61*($W129^Transportation_LCIA!N$60)+Transportation_LCIA!N$62</f>
        <v>1.2851484558381739E-3</v>
      </c>
      <c r="AK129" s="137">
        <f>Transportation_LCIA!O$61*($W129^Transportation_LCIA!O$60)+Transportation_LCIA!O$62</f>
        <v>7.4728695290617527E-5</v>
      </c>
      <c r="AL129" s="137">
        <f>Transportation_LCIA!P$61*($W129^Transportation_LCIA!P$60)+Transportation_LCIA!P$62</f>
        <v>3.6092660039250887E-8</v>
      </c>
      <c r="AM129" s="137">
        <f>Transportation_LCIA!Q$61*($W129^Transportation_LCIA!Q$60)+Transportation_LCIA!Q$62</f>
        <v>1.266645357867947E-4</v>
      </c>
      <c r="AN129" s="137">
        <f>Transportation_LCIA!R$61*($W129^Transportation_LCIA!R$60)+Transportation_LCIA!R$62</f>
        <v>3.9174853387192332E-4</v>
      </c>
      <c r="AO129" s="137">
        <f>Transportation_LCIA!S$61*($W129^Transportation_LCIA!S$60)+Transportation_LCIA!S$62</f>
        <v>5.816609944944966E-6</v>
      </c>
      <c r="AP129" s="137">
        <f>Transportation_LCIA!T$61*($W129^Transportation_LCIA!T$60)+Transportation_LCIA!T$62</f>
        <v>5.816609944944966E-6</v>
      </c>
      <c r="AQ129" s="137">
        <f>Transportation_LCIA!U$61*($W129^Transportation_LCIA!U$60)+Transportation_LCIA!U$62</f>
        <v>8.4618583701267559E-4</v>
      </c>
      <c r="AR129" s="137">
        <f>Transportation_LCIA!V$61*($W129^Transportation_LCIA!V$60)+Transportation_LCIA!V$62</f>
        <v>3.2957499967912188E-4</v>
      </c>
      <c r="AT129" s="137">
        <f>$W129*Y129+$L129*Summary_LCIA!H$32</f>
        <v>260.04212382541795</v>
      </c>
      <c r="AU129" s="137">
        <f>$W129*Z129+$L129*Summary_LCIA!Q$32</f>
        <v>3028.1197782374711</v>
      </c>
      <c r="AV129" s="137">
        <f>$W129*AA129+$L129*Summary_LCIA!R$32</f>
        <v>2.1113573805646073</v>
      </c>
      <c r="AW129" s="137">
        <f>$W129*AB129+$L129*Summary_LCIA!S$32</f>
        <v>259.12389534541796</v>
      </c>
      <c r="AX129" s="137">
        <f>$W129*AC129+$L129*Summary_LCIA!T$32</f>
        <v>69.441089028366292</v>
      </c>
      <c r="AY129" s="137">
        <f>$W129*AD129+$L129*Summary_LCIA!U$32</f>
        <v>3.96216444970106</v>
      </c>
      <c r="AZ129" s="137">
        <f>$W129*AE129+$L129*Summary_LCIA!V$32</f>
        <v>1.5300784999452248E-2</v>
      </c>
      <c r="BA129" s="137">
        <f>$W129*AF129+$L129*Summary_LCIA!W$32</f>
        <v>23.976823063538966</v>
      </c>
      <c r="BB129" s="137">
        <f>$W129*AG129+$L129*Summary_LCIA!X$32</f>
        <v>14.847179325654139</v>
      </c>
      <c r="BC129" s="137">
        <f>$W129*AH129+$L129*Summary_LCIA!Y$32</f>
        <v>3.448797954665634</v>
      </c>
      <c r="BD129" s="137">
        <f>$W129*AI129+$L129*Summary_LCIA!Z$32</f>
        <v>0.20128027450258124</v>
      </c>
      <c r="BE129" s="137">
        <f>$W129*AJ129+$L129*Summary_LCIA!AA$32</f>
        <v>5.7000783335540115</v>
      </c>
      <c r="BF129" s="137">
        <f>$W129*AK129+$L129*Summary_LCIA!AB$32</f>
        <v>4.4776380041962292E-2</v>
      </c>
      <c r="BG129" s="137">
        <f>$W129*AL129+$L129*Summary_LCIA!AC$32</f>
        <v>3.397121908978473E-5</v>
      </c>
      <c r="BH129" s="137">
        <f>$W129*AM129+$L129*Summary_LCIA!AD$32</f>
        <v>0.168971107661048</v>
      </c>
      <c r="BI129" s="137">
        <f>$W129*AN129+$L129*Summary_LCIA!AE$32</f>
        <v>0.44258475965578609</v>
      </c>
      <c r="BJ129" s="137">
        <f>$W129*AO129+$L129*Summary_LCIA!AF$32</f>
        <v>0.17946904183741144</v>
      </c>
      <c r="BK129" s="137">
        <f>$W129*AP129+$L129*Summary_LCIA!AG$32</f>
        <v>1.446733111741145E-2</v>
      </c>
      <c r="BL129" s="137">
        <f>$W129*AQ129+$L129*Summary_LCIA!AH$32</f>
        <v>2.3664792085211253</v>
      </c>
      <c r="BM129" s="137">
        <f>$W129*AR129+$L129*Summary_LCIA!AI$32</f>
        <v>0.41099507945943559</v>
      </c>
    </row>
    <row r="130" spans="1:65" x14ac:dyDescent="0.25">
      <c r="A130" s="149">
        <v>236</v>
      </c>
      <c r="B130" s="149">
        <v>6</v>
      </c>
      <c r="C130" s="61">
        <v>36.31344</v>
      </c>
      <c r="D130" s="61">
        <v>-82.353472999999994</v>
      </c>
      <c r="E130" s="61" t="s">
        <v>265</v>
      </c>
      <c r="F130" s="149">
        <v>34</v>
      </c>
      <c r="G130" s="61" t="s">
        <v>565</v>
      </c>
      <c r="H130" s="61" t="s">
        <v>633</v>
      </c>
      <c r="I130" s="61">
        <v>35.214402999999997</v>
      </c>
      <c r="J130" s="61">
        <v>-80.947315000000003</v>
      </c>
      <c r="K130" s="61">
        <v>212.4742573</v>
      </c>
      <c r="L130" s="61">
        <v>236.197</v>
      </c>
      <c r="M130" s="61" t="s">
        <v>617</v>
      </c>
      <c r="N130" s="149">
        <v>5</v>
      </c>
      <c r="O130" s="149">
        <v>6</v>
      </c>
      <c r="P130" s="61" t="s">
        <v>565</v>
      </c>
      <c r="Q130" s="61" t="s">
        <v>564</v>
      </c>
      <c r="R130" s="61">
        <v>41.98028</v>
      </c>
      <c r="S130" s="61">
        <v>-87.908997900000003</v>
      </c>
      <c r="T130" s="61">
        <v>995.81299999999999</v>
      </c>
      <c r="U130" s="61" t="s">
        <v>617</v>
      </c>
      <c r="V130" s="61" t="s">
        <v>569</v>
      </c>
      <c r="W130" s="61" cm="1">
        <f t="array" ref="W130">getDistance(I130,J130,R130,S130)*SA!$B$12</f>
        <v>965.81934331629839</v>
      </c>
      <c r="X130" s="61"/>
      <c r="Y130" s="137">
        <f>Transportation_LCIA!C$61*($W130^Transportation_LCIA!C$60)+Transportation_LCIA!C$62</f>
        <v>0.23917916746170043</v>
      </c>
      <c r="Z130" s="137">
        <f>Transportation_LCIA!D$61*($W130^Transportation_LCIA!D$60)+Transportation_LCIA!D$62</f>
        <v>2.4637498822292629</v>
      </c>
      <c r="AA130" s="137">
        <f>Transportation_LCIA!E$61*($W130^Transportation_LCIA!E$60)+Transportation_LCIA!E$62</f>
        <v>1.1694202797749105E-3</v>
      </c>
      <c r="AB130" s="137">
        <f>Transportation_LCIA!F$61*($W130^Transportation_LCIA!F$60)+Transportation_LCIA!F$62</f>
        <v>0.23917916746170043</v>
      </c>
      <c r="AC130" s="137">
        <f>Transportation_LCIA!G$61*($W130^Transportation_LCIA!G$60)+Transportation_LCIA!G$62</f>
        <v>5.7572922745648923E-2</v>
      </c>
      <c r="AD130" s="137">
        <f>Transportation_LCIA!H$61*($W130^Transportation_LCIA!H$60)+Transportation_LCIA!H$62</f>
        <v>2.8231462329926001E-4</v>
      </c>
      <c r="AE130" s="137">
        <f>Transportation_LCIA!I$61*($W130^Transportation_LCIA!I$60)+Transportation_LCIA!I$62</f>
        <v>6.0590881500882351E-6</v>
      </c>
      <c r="AF130" s="137">
        <f>Transportation_LCIA!J$61*($W130^Transportation_LCIA!J$60)+Transportation_LCIA!J$62</f>
        <v>8.9691244315593405E-3</v>
      </c>
      <c r="AG130" s="137">
        <f>Transportation_LCIA!K$61*($W130^Transportation_LCIA!K$60)+Transportation_LCIA!K$62</f>
        <v>1.2263721703450336E-2</v>
      </c>
      <c r="AH130" s="137">
        <f>Transportation_LCIA!L$61*($W130^Transportation_LCIA!L$60)+Transportation_LCIA!L$62</f>
        <v>2.449555211742904E-4</v>
      </c>
      <c r="AI130" s="137">
        <f>Transportation_LCIA!M$61*($W130^Transportation_LCIA!M$60)+Transportation_LCIA!M$62</f>
        <v>2.4665373974360274E-4</v>
      </c>
      <c r="AJ130" s="137">
        <f>Transportation_LCIA!N$61*($W130^Transportation_LCIA!N$60)+Transportation_LCIA!N$62</f>
        <v>1.0084044075747351E-3</v>
      </c>
      <c r="AK130" s="137">
        <f>Transportation_LCIA!O$61*($W130^Transportation_LCIA!O$60)+Transportation_LCIA!O$62</f>
        <v>6.0842656849062702E-5</v>
      </c>
      <c r="AL130" s="137">
        <f>Transportation_LCIA!P$61*($W130^Transportation_LCIA!P$60)+Transportation_LCIA!P$62</f>
        <v>2.9421386486163209E-8</v>
      </c>
      <c r="AM130" s="137">
        <f>Transportation_LCIA!Q$61*($W130^Transportation_LCIA!Q$60)+Transportation_LCIA!Q$62</f>
        <v>9.693865430446136E-5</v>
      </c>
      <c r="AN130" s="137">
        <f>Transportation_LCIA!R$61*($W130^Transportation_LCIA!R$60)+Transportation_LCIA!R$62</f>
        <v>2.9139446096429532E-4</v>
      </c>
      <c r="AO130" s="137">
        <f>Transportation_LCIA!S$61*($W130^Transportation_LCIA!S$60)+Transportation_LCIA!S$62</f>
        <v>4.3929473757171984E-6</v>
      </c>
      <c r="AP130" s="137">
        <f>Transportation_LCIA!T$61*($W130^Transportation_LCIA!T$60)+Transportation_LCIA!T$62</f>
        <v>4.3929473757171984E-6</v>
      </c>
      <c r="AQ130" s="137">
        <f>Transportation_LCIA!U$61*($W130^Transportation_LCIA!U$60)+Transportation_LCIA!U$62</f>
        <v>6.2573096450825355E-4</v>
      </c>
      <c r="AR130" s="137">
        <f>Transportation_LCIA!V$61*($W130^Transportation_LCIA!V$60)+Transportation_LCIA!V$62</f>
        <v>2.5210555325466699E-4</v>
      </c>
      <c r="AT130" s="137">
        <f>$W130*Y130+$L130*Summary_LCIA!H$32</f>
        <v>311.26360705279848</v>
      </c>
      <c r="AU130" s="137">
        <f>$W130*Z130+$L130*Summary_LCIA!Q$32</f>
        <v>3550.1415374735752</v>
      </c>
      <c r="AV130" s="137">
        <f>$W130*AA130+$L130*Summary_LCIA!R$32</f>
        <v>2.3731676498729657</v>
      </c>
      <c r="AW130" s="137">
        <f>$W130*AB130+$L130*Summary_LCIA!S$32</f>
        <v>310.21961631279845</v>
      </c>
      <c r="AX130" s="137">
        <f>$W130*AC130+$L130*Summary_LCIA!T$32</f>
        <v>81.563092739002627</v>
      </c>
      <c r="AY130" s="137">
        <f>$W130*AD130+$L130*Summary_LCIA!U$32</f>
        <v>4.5038979820834797</v>
      </c>
      <c r="AZ130" s="137">
        <f>$W130*AE130+$L130*Summary_LCIA!V$32</f>
        <v>1.7132989455213785E-2</v>
      </c>
      <c r="BA130" s="137">
        <f>$W130*AF130+$L130*Summary_LCIA!W$32</f>
        <v>26.84287315561081</v>
      </c>
      <c r="BB130" s="137">
        <f>$W130*AG130+$L130*Summary_LCIA!X$32</f>
        <v>17.225107302240239</v>
      </c>
      <c r="BC130" s="137">
        <f>$W130*AH130+$L130*Summary_LCIA!Y$32</f>
        <v>3.917004434602255</v>
      </c>
      <c r="BD130" s="137">
        <f>$W130*AI130+$L130*Summary_LCIA!Z$32</f>
        <v>0.24790915571867558</v>
      </c>
      <c r="BE130" s="137">
        <f>$W130*AJ130+$L130*Summary_LCIA!AA$32</f>
        <v>6.4905536147210912</v>
      </c>
      <c r="BF130" s="137">
        <f>$W130*AK130+$L130*Summary_LCIA!AB$32</f>
        <v>5.3608487752580619E-2</v>
      </c>
      <c r="BG130" s="137">
        <f>$W130*AL130+$L130*Summary_LCIA!AC$32</f>
        <v>3.9961998323521167E-5</v>
      </c>
      <c r="BH130" s="137">
        <f>$W130*AM130+$L130*Summary_LCIA!AD$32</f>
        <v>0.19071164232230053</v>
      </c>
      <c r="BI130" s="137">
        <f>$W130*AN130+$L130*Summary_LCIA!AE$32</f>
        <v>0.49073565454454249</v>
      </c>
      <c r="BJ130" s="137">
        <f>$W130*AO130+$L130*Summary_LCIA!AF$32</f>
        <v>0.20392846128963826</v>
      </c>
      <c r="BK130" s="137">
        <f>$W130*AP130+$L130*Summary_LCIA!AG$32</f>
        <v>1.6327813054638242E-2</v>
      </c>
      <c r="BL130" s="137">
        <f>$W130*AQ130+$L130*Summary_LCIA!AH$32</f>
        <v>2.6601072784340358</v>
      </c>
      <c r="BM130" s="137">
        <f>$W130*AR130+$L130*Summary_LCIA!AI$32</f>
        <v>0.46351773524081458</v>
      </c>
    </row>
    <row r="131" spans="1:65" x14ac:dyDescent="0.25">
      <c r="A131" s="149">
        <v>237</v>
      </c>
      <c r="B131" s="149">
        <v>6</v>
      </c>
      <c r="C131" s="61">
        <v>36.31344</v>
      </c>
      <c r="D131" s="61">
        <v>-82.353472999999994</v>
      </c>
      <c r="E131" s="61" t="s">
        <v>265</v>
      </c>
      <c r="F131" s="149">
        <v>34</v>
      </c>
      <c r="G131" s="61" t="s">
        <v>565</v>
      </c>
      <c r="H131" s="61" t="s">
        <v>633</v>
      </c>
      <c r="I131" s="61">
        <v>35.214402999999997</v>
      </c>
      <c r="J131" s="61">
        <v>-80.947315000000003</v>
      </c>
      <c r="K131" s="61">
        <v>212.4742573</v>
      </c>
      <c r="L131" s="61">
        <v>236.197</v>
      </c>
      <c r="M131" s="61" t="s">
        <v>617</v>
      </c>
      <c r="N131" s="149">
        <v>5</v>
      </c>
      <c r="O131" s="149">
        <v>6</v>
      </c>
      <c r="P131" s="61" t="s">
        <v>565</v>
      </c>
      <c r="Q131" s="61" t="s">
        <v>564</v>
      </c>
      <c r="R131" s="61">
        <v>41.98028</v>
      </c>
      <c r="S131" s="61">
        <v>-87.908997900000003</v>
      </c>
      <c r="T131" s="61">
        <v>995.81299999999999</v>
      </c>
      <c r="U131" s="61" t="s">
        <v>617</v>
      </c>
      <c r="V131" s="61" t="s">
        <v>569</v>
      </c>
      <c r="W131" s="61" cm="1">
        <f t="array" ref="W131">getDistance(I131,J131,R131,S131)*SA!$B$12</f>
        <v>965.81934331629839</v>
      </c>
      <c r="X131" s="61"/>
      <c r="Y131" s="137">
        <f>Transportation_LCIA!C$61*($W131^Transportation_LCIA!C$60)+Transportation_LCIA!C$62</f>
        <v>0.23917916746170043</v>
      </c>
      <c r="Z131" s="137">
        <f>Transportation_LCIA!D$61*($W131^Transportation_LCIA!D$60)+Transportation_LCIA!D$62</f>
        <v>2.4637498822292629</v>
      </c>
      <c r="AA131" s="137">
        <f>Transportation_LCIA!E$61*($W131^Transportation_LCIA!E$60)+Transportation_LCIA!E$62</f>
        <v>1.1694202797749105E-3</v>
      </c>
      <c r="AB131" s="137">
        <f>Transportation_LCIA!F$61*($W131^Transportation_LCIA!F$60)+Transportation_LCIA!F$62</f>
        <v>0.23917916746170043</v>
      </c>
      <c r="AC131" s="137">
        <f>Transportation_LCIA!G$61*($W131^Transportation_LCIA!G$60)+Transportation_LCIA!G$62</f>
        <v>5.7572922745648923E-2</v>
      </c>
      <c r="AD131" s="137">
        <f>Transportation_LCIA!H$61*($W131^Transportation_LCIA!H$60)+Transportation_LCIA!H$62</f>
        <v>2.8231462329926001E-4</v>
      </c>
      <c r="AE131" s="137">
        <f>Transportation_LCIA!I$61*($W131^Transportation_LCIA!I$60)+Transportation_LCIA!I$62</f>
        <v>6.0590881500882351E-6</v>
      </c>
      <c r="AF131" s="137">
        <f>Transportation_LCIA!J$61*($W131^Transportation_LCIA!J$60)+Transportation_LCIA!J$62</f>
        <v>8.9691244315593405E-3</v>
      </c>
      <c r="AG131" s="137">
        <f>Transportation_LCIA!K$61*($W131^Transportation_LCIA!K$60)+Transportation_LCIA!K$62</f>
        <v>1.2263721703450336E-2</v>
      </c>
      <c r="AH131" s="137">
        <f>Transportation_LCIA!L$61*($W131^Transportation_LCIA!L$60)+Transportation_LCIA!L$62</f>
        <v>2.449555211742904E-4</v>
      </c>
      <c r="AI131" s="137">
        <f>Transportation_LCIA!M$61*($W131^Transportation_LCIA!M$60)+Transportation_LCIA!M$62</f>
        <v>2.4665373974360274E-4</v>
      </c>
      <c r="AJ131" s="137">
        <f>Transportation_LCIA!N$61*($W131^Transportation_LCIA!N$60)+Transportation_LCIA!N$62</f>
        <v>1.0084044075747351E-3</v>
      </c>
      <c r="AK131" s="137">
        <f>Transportation_LCIA!O$61*($W131^Transportation_LCIA!O$60)+Transportation_LCIA!O$62</f>
        <v>6.0842656849062702E-5</v>
      </c>
      <c r="AL131" s="137">
        <f>Transportation_LCIA!P$61*($W131^Transportation_LCIA!P$60)+Transportation_LCIA!P$62</f>
        <v>2.9421386486163209E-8</v>
      </c>
      <c r="AM131" s="137">
        <f>Transportation_LCIA!Q$61*($W131^Transportation_LCIA!Q$60)+Transportation_LCIA!Q$62</f>
        <v>9.693865430446136E-5</v>
      </c>
      <c r="AN131" s="137">
        <f>Transportation_LCIA!R$61*($W131^Transportation_LCIA!R$60)+Transportation_LCIA!R$62</f>
        <v>2.9139446096429532E-4</v>
      </c>
      <c r="AO131" s="137">
        <f>Transportation_LCIA!S$61*($W131^Transportation_LCIA!S$60)+Transportation_LCIA!S$62</f>
        <v>4.3929473757171984E-6</v>
      </c>
      <c r="AP131" s="137">
        <f>Transportation_LCIA!T$61*($W131^Transportation_LCIA!T$60)+Transportation_LCIA!T$62</f>
        <v>4.3929473757171984E-6</v>
      </c>
      <c r="AQ131" s="137">
        <f>Transportation_LCIA!U$61*($W131^Transportation_LCIA!U$60)+Transportation_LCIA!U$62</f>
        <v>6.2573096450825355E-4</v>
      </c>
      <c r="AR131" s="137">
        <f>Transportation_LCIA!V$61*($W131^Transportation_LCIA!V$60)+Transportation_LCIA!V$62</f>
        <v>2.5210555325466699E-4</v>
      </c>
      <c r="AT131" s="137">
        <f>$W131*Y131+$L131*Summary_LCIA!H$32</f>
        <v>311.26360705279848</v>
      </c>
      <c r="AU131" s="137">
        <f>$W131*Z131+$L131*Summary_LCIA!Q$32</f>
        <v>3550.1415374735752</v>
      </c>
      <c r="AV131" s="137">
        <f>$W131*AA131+$L131*Summary_LCIA!R$32</f>
        <v>2.3731676498729657</v>
      </c>
      <c r="AW131" s="137">
        <f>$W131*AB131+$L131*Summary_LCIA!S$32</f>
        <v>310.21961631279845</v>
      </c>
      <c r="AX131" s="137">
        <f>$W131*AC131+$L131*Summary_LCIA!T$32</f>
        <v>81.563092739002627</v>
      </c>
      <c r="AY131" s="137">
        <f>$W131*AD131+$L131*Summary_LCIA!U$32</f>
        <v>4.5038979820834797</v>
      </c>
      <c r="AZ131" s="137">
        <f>$W131*AE131+$L131*Summary_LCIA!V$32</f>
        <v>1.7132989455213785E-2</v>
      </c>
      <c r="BA131" s="137">
        <f>$W131*AF131+$L131*Summary_LCIA!W$32</f>
        <v>26.84287315561081</v>
      </c>
      <c r="BB131" s="137">
        <f>$W131*AG131+$L131*Summary_LCIA!X$32</f>
        <v>17.225107302240239</v>
      </c>
      <c r="BC131" s="137">
        <f>$W131*AH131+$L131*Summary_LCIA!Y$32</f>
        <v>3.917004434602255</v>
      </c>
      <c r="BD131" s="137">
        <f>$W131*AI131+$L131*Summary_LCIA!Z$32</f>
        <v>0.24790915571867558</v>
      </c>
      <c r="BE131" s="137">
        <f>$W131*AJ131+$L131*Summary_LCIA!AA$32</f>
        <v>6.4905536147210912</v>
      </c>
      <c r="BF131" s="137">
        <f>$W131*AK131+$L131*Summary_LCIA!AB$32</f>
        <v>5.3608487752580619E-2</v>
      </c>
      <c r="BG131" s="137">
        <f>$W131*AL131+$L131*Summary_LCIA!AC$32</f>
        <v>3.9961998323521167E-5</v>
      </c>
      <c r="BH131" s="137">
        <f>$W131*AM131+$L131*Summary_LCIA!AD$32</f>
        <v>0.19071164232230053</v>
      </c>
      <c r="BI131" s="137">
        <f>$W131*AN131+$L131*Summary_LCIA!AE$32</f>
        <v>0.49073565454454249</v>
      </c>
      <c r="BJ131" s="137">
        <f>$W131*AO131+$L131*Summary_LCIA!AF$32</f>
        <v>0.20392846128963826</v>
      </c>
      <c r="BK131" s="137">
        <f>$W131*AP131+$L131*Summary_LCIA!AG$32</f>
        <v>1.6327813054638242E-2</v>
      </c>
      <c r="BL131" s="137">
        <f>$W131*AQ131+$L131*Summary_LCIA!AH$32</f>
        <v>2.6601072784340358</v>
      </c>
      <c r="BM131" s="137">
        <f>$W131*AR131+$L131*Summary_LCIA!AI$32</f>
        <v>0.46351773524081458</v>
      </c>
    </row>
    <row r="132" spans="1:65" x14ac:dyDescent="0.25">
      <c r="A132" s="149">
        <v>324</v>
      </c>
      <c r="B132" s="149">
        <v>6</v>
      </c>
      <c r="C132" s="61">
        <v>43.142994000000002</v>
      </c>
      <c r="D132" s="61">
        <v>-77.544745000000006</v>
      </c>
      <c r="E132" s="61" t="s">
        <v>265</v>
      </c>
      <c r="F132" s="149">
        <v>120</v>
      </c>
      <c r="G132" s="61" t="s">
        <v>625</v>
      </c>
      <c r="H132" s="61" t="s">
        <v>626</v>
      </c>
      <c r="I132" s="61">
        <v>42.939706000000001</v>
      </c>
      <c r="J132" s="61">
        <v>-78.729506999999998</v>
      </c>
      <c r="K132" s="61">
        <v>105.8161415</v>
      </c>
      <c r="L132" s="61">
        <v>109.876</v>
      </c>
      <c r="M132" s="61" t="s">
        <v>617</v>
      </c>
      <c r="N132" s="149">
        <v>5</v>
      </c>
      <c r="O132" s="149">
        <v>6</v>
      </c>
      <c r="P132" s="61" t="s">
        <v>565</v>
      </c>
      <c r="Q132" s="61" t="s">
        <v>564</v>
      </c>
      <c r="R132" s="61">
        <v>41.98028</v>
      </c>
      <c r="S132" s="61">
        <v>-87.908997900000003</v>
      </c>
      <c r="T132" s="61">
        <v>1001.264</v>
      </c>
      <c r="U132" s="61" t="s">
        <v>617</v>
      </c>
      <c r="V132" s="61" t="s">
        <v>569</v>
      </c>
      <c r="W132" s="61" cm="1">
        <f t="array" ref="W132">getDistance(I132,J132,R132,S132)*SA!$B$12</f>
        <v>762.14373098463625</v>
      </c>
      <c r="X132" s="61"/>
      <c r="Y132" s="137">
        <f>Transportation_LCIA!C$61*($W132^Transportation_LCIA!C$60)+Transportation_LCIA!C$62</f>
        <v>0.26715705922877148</v>
      </c>
      <c r="Z132" s="137">
        <f>Transportation_LCIA!D$61*($W132^Transportation_LCIA!D$60)+Transportation_LCIA!D$62</f>
        <v>2.7924242819575884</v>
      </c>
      <c r="AA132" s="137">
        <f>Transportation_LCIA!E$61*($W132^Transportation_LCIA!E$60)+Transportation_LCIA!E$62</f>
        <v>1.3859223127365909E-3</v>
      </c>
      <c r="AB132" s="137">
        <f>Transportation_LCIA!F$61*($W132^Transportation_LCIA!F$60)+Transportation_LCIA!F$62</f>
        <v>0.26715705922877148</v>
      </c>
      <c r="AC132" s="137">
        <f>Transportation_LCIA!G$61*($W132^Transportation_LCIA!G$60)+Transportation_LCIA!G$62</f>
        <v>6.5174111539131718E-2</v>
      </c>
      <c r="AD132" s="137">
        <f>Transportation_LCIA!H$61*($W132^Transportation_LCIA!H$60)+Transportation_LCIA!H$62</f>
        <v>3.3009468273267277E-4</v>
      </c>
      <c r="AE132" s="137">
        <f>Transportation_LCIA!I$61*($W132^Transportation_LCIA!I$60)+Transportation_LCIA!I$62</f>
        <v>7.2690458918611156E-6</v>
      </c>
      <c r="AF132" s="137">
        <f>Transportation_LCIA!J$61*($W132^Transportation_LCIA!J$60)+Transportation_LCIA!J$62</f>
        <v>1.0778083772794846E-2</v>
      </c>
      <c r="AG132" s="137">
        <f>Transportation_LCIA!K$61*($W132^Transportation_LCIA!K$60)+Transportation_LCIA!K$62</f>
        <v>1.404404741045014E-2</v>
      </c>
      <c r="AH132" s="137">
        <f>Transportation_LCIA!L$61*($W132^Transportation_LCIA!L$60)+Transportation_LCIA!L$62</f>
        <v>2.8895585132343143E-4</v>
      </c>
      <c r="AI132" s="137">
        <f>Transportation_LCIA!M$61*($W132^Transportation_LCIA!M$60)+Transportation_LCIA!M$62</f>
        <v>2.730284163617511E-4</v>
      </c>
      <c r="AJ132" s="137">
        <f>Transportation_LCIA!N$61*($W132^Transportation_LCIA!N$60)+Transportation_LCIA!N$62</f>
        <v>1.168973124544055E-3</v>
      </c>
      <c r="AK132" s="137">
        <f>Transportation_LCIA!O$61*($W132^Transportation_LCIA!O$60)+Transportation_LCIA!O$62</f>
        <v>6.8921370358073866E-5</v>
      </c>
      <c r="AL132" s="137">
        <f>Transportation_LCIA!P$61*($W132^Transportation_LCIA!P$60)+Transportation_LCIA!P$62</f>
        <v>3.3303629963256696E-8</v>
      </c>
      <c r="AM132" s="137">
        <f>Transportation_LCIA!Q$61*($W132^Transportation_LCIA!Q$60)+Transportation_LCIA!Q$62</f>
        <v>1.1415848600762142E-4</v>
      </c>
      <c r="AN132" s="137">
        <f>Transportation_LCIA!R$61*($W132^Transportation_LCIA!R$60)+Transportation_LCIA!R$62</f>
        <v>3.4942384575839313E-4</v>
      </c>
      <c r="AO132" s="137">
        <f>Transportation_LCIA!S$61*($W132^Transportation_LCIA!S$60)+Transportation_LCIA!S$62</f>
        <v>5.2162884195573146E-6</v>
      </c>
      <c r="AP132" s="137">
        <f>Transportation_LCIA!T$61*($W132^Transportation_LCIA!T$60)+Transportation_LCIA!T$62</f>
        <v>5.2162884195573146E-6</v>
      </c>
      <c r="AQ132" s="137">
        <f>Transportation_LCIA!U$61*($W132^Transportation_LCIA!U$60)+Transportation_LCIA!U$62</f>
        <v>7.53133915953268E-4</v>
      </c>
      <c r="AR132" s="137">
        <f>Transportation_LCIA!V$61*($W132^Transportation_LCIA!V$60)+Transportation_LCIA!V$62</f>
        <v>2.9695542383182229E-4</v>
      </c>
      <c r="AT132" s="137">
        <f>$W132*Y132+$L132*Summary_LCIA!H$32</f>
        <v>240.94794267949933</v>
      </c>
      <c r="AU132" s="137">
        <f>$W132*Z132+$L132*Summary_LCIA!Q$32</f>
        <v>2672.779658119558</v>
      </c>
      <c r="AV132" s="137">
        <f>$W132*AA132+$L132*Summary_LCIA!R$32</f>
        <v>1.6348350678839212</v>
      </c>
      <c r="AW132" s="137">
        <f>$W132*AB132+$L132*Summary_LCIA!S$32</f>
        <v>240.46229075949935</v>
      </c>
      <c r="AX132" s="137">
        <f>$W132*AC132+$L132*Summary_LCIA!T$32</f>
        <v>61.747412932042678</v>
      </c>
      <c r="AY132" s="137">
        <f>$W132*AD132+$L132*Summary_LCIA!U$32</f>
        <v>2.219898257076069</v>
      </c>
      <c r="AZ132" s="137">
        <f>$W132*AE132+$L132*Summary_LCIA!V$32</f>
        <v>1.0787845392721575E-2</v>
      </c>
      <c r="BA132" s="137">
        <f>$W132*AF132+$L132*Summary_LCIA!W$32</f>
        <v>16.671714575462829</v>
      </c>
      <c r="BB132" s="137">
        <f>$W132*AG132+$L132*Summary_LCIA!X$32</f>
        <v>13.206557971525587</v>
      </c>
      <c r="BC132" s="137">
        <f>$W132*AH132+$L132*Summary_LCIA!Y$32</f>
        <v>1.932313722617482</v>
      </c>
      <c r="BD132" s="137">
        <f>$W132*AI132+$L132*Summary_LCIA!Z$32</f>
        <v>0.21259280079477166</v>
      </c>
      <c r="BE132" s="137">
        <f>$W132*AJ132+$L132*Summary_LCIA!AA$32</f>
        <v>3.4571893945607739</v>
      </c>
      <c r="BF132" s="137">
        <f>$W132*AK132+$L132*Summary_LCIA!AB$32</f>
        <v>5.0130166401276335E-2</v>
      </c>
      <c r="BG132" s="137">
        <f>$W132*AL132+$L132*Summary_LCIA!AC$32</f>
        <v>3.075333117952818E-5</v>
      </c>
      <c r="BH132" s="137">
        <f>$W132*AM132+$L132*Summary_LCIA!AD$32</f>
        <v>0.13216860548940598</v>
      </c>
      <c r="BI132" s="137">
        <f>$W132*AN132+$L132*Summary_LCIA!AE$32</f>
        <v>0.36367561338130183</v>
      </c>
      <c r="BJ132" s="137">
        <f>$W132*AO132+$L132*Summary_LCIA!AF$32</f>
        <v>9.686692943797337E-2</v>
      </c>
      <c r="BK132" s="137">
        <f>$W132*AP132+$L132*Summary_LCIA!AG$32</f>
        <v>9.5973670579733647E-3</v>
      </c>
      <c r="BL132" s="137">
        <f>$W132*AQ132+$L132*Summary_LCIA!AH$32</f>
        <v>1.5303130462356933</v>
      </c>
      <c r="BM132" s="137">
        <f>$W132*AR132+$L132*Summary_LCIA!AI$32</f>
        <v>0.32867770245530903</v>
      </c>
    </row>
    <row r="133" spans="1:65" x14ac:dyDescent="0.25">
      <c r="A133" s="149">
        <v>24</v>
      </c>
      <c r="B133" s="149">
        <v>6</v>
      </c>
      <c r="C133" s="61">
        <v>46.891579</v>
      </c>
      <c r="D133" s="61">
        <v>-96.800127000000003</v>
      </c>
      <c r="E133" s="61" t="s">
        <v>265</v>
      </c>
      <c r="F133" s="149">
        <v>57</v>
      </c>
      <c r="G133" s="61" t="s">
        <v>565</v>
      </c>
      <c r="H133" s="61" t="s">
        <v>641</v>
      </c>
      <c r="I133" s="61">
        <v>44.884754999999998</v>
      </c>
      <c r="J133" s="61">
        <v>-93.222284999999999</v>
      </c>
      <c r="K133" s="61">
        <v>473.17089249999998</v>
      </c>
      <c r="L133" s="61">
        <v>397.00400000000002</v>
      </c>
      <c r="M133" s="61" t="s">
        <v>617</v>
      </c>
      <c r="N133" s="149">
        <v>5</v>
      </c>
      <c r="O133" s="149">
        <v>6</v>
      </c>
      <c r="P133" s="61" t="s">
        <v>565</v>
      </c>
      <c r="Q133" s="61" t="s">
        <v>564</v>
      </c>
      <c r="R133" s="61">
        <v>41.98028</v>
      </c>
      <c r="S133" s="61">
        <v>-87.908997900000003</v>
      </c>
      <c r="T133" s="61">
        <v>1014.241</v>
      </c>
      <c r="U133" s="61" t="s">
        <v>617</v>
      </c>
      <c r="V133" s="61" t="s">
        <v>569</v>
      </c>
      <c r="W133" s="61" cm="1">
        <f t="array" ref="W133">getDistance(I133,J133,R133,S133)*SA!$B$12</f>
        <v>537.9238360294454</v>
      </c>
      <c r="X133" s="61"/>
      <c r="Y133" s="137">
        <f>Transportation_LCIA!C$61*($W133^Transportation_LCIA!C$60)+Transportation_LCIA!C$62</f>
        <v>0.31986678213898079</v>
      </c>
      <c r="Z133" s="137">
        <f>Transportation_LCIA!D$61*($W133^Transportation_LCIA!D$60)+Transportation_LCIA!D$62</f>
        <v>3.4196837590581142</v>
      </c>
      <c r="AA133" s="137">
        <f>Transportation_LCIA!E$61*($W133^Transportation_LCIA!E$60)+Transportation_LCIA!E$62</f>
        <v>1.8006084167141755E-3</v>
      </c>
      <c r="AB133" s="137">
        <f>Transportation_LCIA!F$61*($W133^Transportation_LCIA!F$60)+Transportation_LCIA!F$62</f>
        <v>0.31986678213898079</v>
      </c>
      <c r="AC133" s="137">
        <f>Transportation_LCIA!G$61*($W133^Transportation_LCIA!G$60)+Transportation_LCIA!G$62</f>
        <v>7.9669699225259488E-2</v>
      </c>
      <c r="AD133" s="137">
        <f>Transportation_LCIA!H$61*($W133^Transportation_LCIA!H$60)+Transportation_LCIA!H$62</f>
        <v>4.2227087470452683E-4</v>
      </c>
      <c r="AE133" s="137">
        <f>Transportation_LCIA!I$61*($W133^Transportation_LCIA!I$60)+Transportation_LCIA!I$62</f>
        <v>9.6304021623867961E-6</v>
      </c>
      <c r="AF133" s="137">
        <f>Transportation_LCIA!J$61*($W133^Transportation_LCIA!J$60)+Transportation_LCIA!J$62</f>
        <v>1.4335225470337743E-2</v>
      </c>
      <c r="AG133" s="137">
        <f>Transportation_LCIA!K$61*($W133^Transportation_LCIA!K$60)+Transportation_LCIA!K$62</f>
        <v>1.7461378929992367E-2</v>
      </c>
      <c r="AH133" s="137">
        <f>Transportation_LCIA!L$61*($W133^Transportation_LCIA!L$60)+Transportation_LCIA!L$62</f>
        <v>3.741200211309115E-4</v>
      </c>
      <c r="AI133" s="137">
        <f>Transportation_LCIA!M$61*($W133^Transportation_LCIA!M$60)+Transportation_LCIA!M$62</f>
        <v>3.2392972305419126E-4</v>
      </c>
      <c r="AJ133" s="137">
        <f>Transportation_LCIA!N$61*($W133^Transportation_LCIA!N$60)+Transportation_LCIA!N$62</f>
        <v>1.4784543299395398E-3</v>
      </c>
      <c r="AK133" s="137">
        <f>Transportation_LCIA!O$61*($W133^Transportation_LCIA!O$60)+Transportation_LCIA!O$62</f>
        <v>8.4333072501823996E-5</v>
      </c>
      <c r="AL133" s="137">
        <f>Transportation_LCIA!P$61*($W133^Transportation_LCIA!P$60)+Transportation_LCIA!P$62</f>
        <v>4.0702648380323872E-8</v>
      </c>
      <c r="AM133" s="137">
        <f>Transportation_LCIA!Q$61*($W133^Transportation_LCIA!Q$60)+Transportation_LCIA!Q$62</f>
        <v>1.4754717709156823E-4</v>
      </c>
      <c r="AN133" s="137">
        <f>Transportation_LCIA!R$61*($W133^Transportation_LCIA!R$60)+Transportation_LCIA!R$62</f>
        <v>4.6270576693556009E-4</v>
      </c>
      <c r="AO133" s="137">
        <f>Transportation_LCIA!S$61*($W133^Transportation_LCIA!S$60)+Transportation_LCIA!S$62</f>
        <v>6.8227398697620497E-6</v>
      </c>
      <c r="AP133" s="137">
        <f>Transportation_LCIA!T$61*($W133^Transportation_LCIA!T$60)+Transportation_LCIA!T$62</f>
        <v>6.8227398697620497E-6</v>
      </c>
      <c r="AQ133" s="137">
        <f>Transportation_LCIA!U$61*($W133^Transportation_LCIA!U$60)+Transportation_LCIA!U$62</f>
        <v>1.002389311334221E-3</v>
      </c>
      <c r="AR133" s="137">
        <f>Transportation_LCIA!V$61*($W133^Transportation_LCIA!V$60)+Transportation_LCIA!V$62</f>
        <v>3.8411685160034487E-4</v>
      </c>
      <c r="AT133" s="137">
        <f>$W133*Y133+$L133*Summary_LCIA!H$32</f>
        <v>306.96592566659547</v>
      </c>
      <c r="AU133" s="137">
        <f>$W133*Z133+$L133*Summary_LCIA!Q$32</f>
        <v>3807.1012517828667</v>
      </c>
      <c r="AV133" s="137">
        <f>$W133*AA133+$L133*Summary_LCIA!R$32</f>
        <v>3.0590544491057954</v>
      </c>
      <c r="AW133" s="137">
        <f>$W133*AB133+$L133*Summary_LCIA!S$32</f>
        <v>305.21116798659546</v>
      </c>
      <c r="AX133" s="137">
        <f>$W133*AC133+$L133*Summary_LCIA!T$32</f>
        <v>86.486969822563708</v>
      </c>
      <c r="AY133" s="137">
        <f>$W133*AD133+$L133*Summary_LCIA!U$32</f>
        <v>7.3390792247645686</v>
      </c>
      <c r="AZ133" s="137">
        <f>$W133*AE133+$L133*Summary_LCIA!V$32</f>
        <v>2.4141730917697373E-2</v>
      </c>
      <c r="BA133" s="137">
        <f>$W133*AF133+$L133*Summary_LCIA!W$32</f>
        <v>38.269054359351088</v>
      </c>
      <c r="BB133" s="137">
        <f>$W133*AG133+$L133*Summary_LCIA!X$32</f>
        <v>18.436643056385229</v>
      </c>
      <c r="BC133" s="137">
        <f>$W133*AH133+$L133*Summary_LCIA!Y$32</f>
        <v>6.3873644049021578</v>
      </c>
      <c r="BD133" s="137">
        <f>$W133*AI133+$L133*Summary_LCIA!Z$32</f>
        <v>0.19053025626526643</v>
      </c>
      <c r="BE133" s="137">
        <f>$W133*AJ133+$L133*Summary_LCIA!AA$32</f>
        <v>10.06772124855542</v>
      </c>
      <c r="BF133" s="137">
        <f>$W133*AK133+$L133*Summary_LCIA!AB$32</f>
        <v>3.6700951572330498E-2</v>
      </c>
      <c r="BG133" s="137">
        <f>$W133*AL133+$L133*Summary_LCIA!AC$32</f>
        <v>4.1302068289301513E-5</v>
      </c>
      <c r="BH133" s="137">
        <f>$W133*AM133+$L133*Summary_LCIA!AD$32</f>
        <v>0.24255366765641229</v>
      </c>
      <c r="BI133" s="137">
        <f>$W133*AN133+$L133*Summary_LCIA!AE$32</f>
        <v>0.60069761562292301</v>
      </c>
      <c r="BJ133" s="137">
        <f>$W133*AO133+$L133*Summary_LCIA!AF$32</f>
        <v>0.33930523608297347</v>
      </c>
      <c r="BK133" s="137">
        <f>$W133*AP133+$L133*Summary_LCIA!AG$32</f>
        <v>2.3982824062973442E-2</v>
      </c>
      <c r="BL133" s="137">
        <f>$W133*AQ133+$L133*Summary_LCIA!AH$32</f>
        <v>3.9945731179478186</v>
      </c>
      <c r="BM133" s="137">
        <f>$W133*AR133+$L133*Summary_LCIA!AI$32</f>
        <v>0.57645468649641074</v>
      </c>
    </row>
    <row r="134" spans="1:65" x14ac:dyDescent="0.25">
      <c r="A134" s="149">
        <v>25</v>
      </c>
      <c r="B134" s="149">
        <v>6</v>
      </c>
      <c r="C134" s="61">
        <v>46.891579</v>
      </c>
      <c r="D134" s="61">
        <v>-96.800127000000003</v>
      </c>
      <c r="E134" s="61" t="s">
        <v>265</v>
      </c>
      <c r="F134" s="149">
        <v>57</v>
      </c>
      <c r="G134" s="61" t="s">
        <v>565</v>
      </c>
      <c r="H134" s="61" t="s">
        <v>641</v>
      </c>
      <c r="I134" s="61">
        <v>44.884754999999998</v>
      </c>
      <c r="J134" s="61">
        <v>-93.222284999999999</v>
      </c>
      <c r="K134" s="61">
        <v>473.17089249999998</v>
      </c>
      <c r="L134" s="61">
        <v>397.00400000000002</v>
      </c>
      <c r="M134" s="61" t="s">
        <v>617</v>
      </c>
      <c r="N134" s="149">
        <v>5</v>
      </c>
      <c r="O134" s="149">
        <v>6</v>
      </c>
      <c r="P134" s="61" t="s">
        <v>565</v>
      </c>
      <c r="Q134" s="61" t="s">
        <v>564</v>
      </c>
      <c r="R134" s="61">
        <v>41.98028</v>
      </c>
      <c r="S134" s="61">
        <v>-87.908997900000003</v>
      </c>
      <c r="T134" s="61">
        <v>1014.241</v>
      </c>
      <c r="U134" s="61" t="s">
        <v>617</v>
      </c>
      <c r="V134" s="61" t="s">
        <v>569</v>
      </c>
      <c r="W134" s="61" cm="1">
        <f t="array" ref="W134">getDistance(I134,J134,R134,S134)*SA!$B$12</f>
        <v>537.9238360294454</v>
      </c>
      <c r="X134" s="61"/>
      <c r="Y134" s="137">
        <f>Transportation_LCIA!C$61*($W134^Transportation_LCIA!C$60)+Transportation_LCIA!C$62</f>
        <v>0.31986678213898079</v>
      </c>
      <c r="Z134" s="137">
        <f>Transportation_LCIA!D$61*($W134^Transportation_LCIA!D$60)+Transportation_LCIA!D$62</f>
        <v>3.4196837590581142</v>
      </c>
      <c r="AA134" s="137">
        <f>Transportation_LCIA!E$61*($W134^Transportation_LCIA!E$60)+Transportation_LCIA!E$62</f>
        <v>1.8006084167141755E-3</v>
      </c>
      <c r="AB134" s="137">
        <f>Transportation_LCIA!F$61*($W134^Transportation_LCIA!F$60)+Transportation_LCIA!F$62</f>
        <v>0.31986678213898079</v>
      </c>
      <c r="AC134" s="137">
        <f>Transportation_LCIA!G$61*($W134^Transportation_LCIA!G$60)+Transportation_LCIA!G$62</f>
        <v>7.9669699225259488E-2</v>
      </c>
      <c r="AD134" s="137">
        <f>Transportation_LCIA!H$61*($W134^Transportation_LCIA!H$60)+Transportation_LCIA!H$62</f>
        <v>4.2227087470452683E-4</v>
      </c>
      <c r="AE134" s="137">
        <f>Transportation_LCIA!I$61*($W134^Transportation_LCIA!I$60)+Transportation_LCIA!I$62</f>
        <v>9.6304021623867961E-6</v>
      </c>
      <c r="AF134" s="137">
        <f>Transportation_LCIA!J$61*($W134^Transportation_LCIA!J$60)+Transportation_LCIA!J$62</f>
        <v>1.4335225470337743E-2</v>
      </c>
      <c r="AG134" s="137">
        <f>Transportation_LCIA!K$61*($W134^Transportation_LCIA!K$60)+Transportation_LCIA!K$62</f>
        <v>1.7461378929992367E-2</v>
      </c>
      <c r="AH134" s="137">
        <f>Transportation_LCIA!L$61*($W134^Transportation_LCIA!L$60)+Transportation_LCIA!L$62</f>
        <v>3.741200211309115E-4</v>
      </c>
      <c r="AI134" s="137">
        <f>Transportation_LCIA!M$61*($W134^Transportation_LCIA!M$60)+Transportation_LCIA!M$62</f>
        <v>3.2392972305419126E-4</v>
      </c>
      <c r="AJ134" s="137">
        <f>Transportation_LCIA!N$61*($W134^Transportation_LCIA!N$60)+Transportation_LCIA!N$62</f>
        <v>1.4784543299395398E-3</v>
      </c>
      <c r="AK134" s="137">
        <f>Transportation_LCIA!O$61*($W134^Transportation_LCIA!O$60)+Transportation_LCIA!O$62</f>
        <v>8.4333072501823996E-5</v>
      </c>
      <c r="AL134" s="137">
        <f>Transportation_LCIA!P$61*($W134^Transportation_LCIA!P$60)+Transportation_LCIA!P$62</f>
        <v>4.0702648380323872E-8</v>
      </c>
      <c r="AM134" s="137">
        <f>Transportation_LCIA!Q$61*($W134^Transportation_LCIA!Q$60)+Transportation_LCIA!Q$62</f>
        <v>1.4754717709156823E-4</v>
      </c>
      <c r="AN134" s="137">
        <f>Transportation_LCIA!R$61*($W134^Transportation_LCIA!R$60)+Transportation_LCIA!R$62</f>
        <v>4.6270576693556009E-4</v>
      </c>
      <c r="AO134" s="137">
        <f>Transportation_LCIA!S$61*($W134^Transportation_LCIA!S$60)+Transportation_LCIA!S$62</f>
        <v>6.8227398697620497E-6</v>
      </c>
      <c r="AP134" s="137">
        <f>Transportation_LCIA!T$61*($W134^Transportation_LCIA!T$60)+Transportation_LCIA!T$62</f>
        <v>6.8227398697620497E-6</v>
      </c>
      <c r="AQ134" s="137">
        <f>Transportation_LCIA!U$61*($W134^Transportation_LCIA!U$60)+Transportation_LCIA!U$62</f>
        <v>1.002389311334221E-3</v>
      </c>
      <c r="AR134" s="137">
        <f>Transportation_LCIA!V$61*($W134^Transportation_LCIA!V$60)+Transportation_LCIA!V$62</f>
        <v>3.8411685160034487E-4</v>
      </c>
      <c r="AT134" s="137">
        <f>$W134*Y134+$L134*Summary_LCIA!H$32</f>
        <v>306.96592566659547</v>
      </c>
      <c r="AU134" s="137">
        <f>$W134*Z134+$L134*Summary_LCIA!Q$32</f>
        <v>3807.1012517828667</v>
      </c>
      <c r="AV134" s="137">
        <f>$W134*AA134+$L134*Summary_LCIA!R$32</f>
        <v>3.0590544491057954</v>
      </c>
      <c r="AW134" s="137">
        <f>$W134*AB134+$L134*Summary_LCIA!S$32</f>
        <v>305.21116798659546</v>
      </c>
      <c r="AX134" s="137">
        <f>$W134*AC134+$L134*Summary_LCIA!T$32</f>
        <v>86.486969822563708</v>
      </c>
      <c r="AY134" s="137">
        <f>$W134*AD134+$L134*Summary_LCIA!U$32</f>
        <v>7.3390792247645686</v>
      </c>
      <c r="AZ134" s="137">
        <f>$W134*AE134+$L134*Summary_LCIA!V$32</f>
        <v>2.4141730917697373E-2</v>
      </c>
      <c r="BA134" s="137">
        <f>$W134*AF134+$L134*Summary_LCIA!W$32</f>
        <v>38.269054359351088</v>
      </c>
      <c r="BB134" s="137">
        <f>$W134*AG134+$L134*Summary_LCIA!X$32</f>
        <v>18.436643056385229</v>
      </c>
      <c r="BC134" s="137">
        <f>$W134*AH134+$L134*Summary_LCIA!Y$32</f>
        <v>6.3873644049021578</v>
      </c>
      <c r="BD134" s="137">
        <f>$W134*AI134+$L134*Summary_LCIA!Z$32</f>
        <v>0.19053025626526643</v>
      </c>
      <c r="BE134" s="137">
        <f>$W134*AJ134+$L134*Summary_LCIA!AA$32</f>
        <v>10.06772124855542</v>
      </c>
      <c r="BF134" s="137">
        <f>$W134*AK134+$L134*Summary_LCIA!AB$32</f>
        <v>3.6700951572330498E-2</v>
      </c>
      <c r="BG134" s="137">
        <f>$W134*AL134+$L134*Summary_LCIA!AC$32</f>
        <v>4.1302068289301513E-5</v>
      </c>
      <c r="BH134" s="137">
        <f>$W134*AM134+$L134*Summary_LCIA!AD$32</f>
        <v>0.24255366765641229</v>
      </c>
      <c r="BI134" s="137">
        <f>$W134*AN134+$L134*Summary_LCIA!AE$32</f>
        <v>0.60069761562292301</v>
      </c>
      <c r="BJ134" s="137">
        <f>$W134*AO134+$L134*Summary_LCIA!AF$32</f>
        <v>0.33930523608297347</v>
      </c>
      <c r="BK134" s="137">
        <f>$W134*AP134+$L134*Summary_LCIA!AG$32</f>
        <v>2.3982824062973442E-2</v>
      </c>
      <c r="BL134" s="137">
        <f>$W134*AQ134+$L134*Summary_LCIA!AH$32</f>
        <v>3.9945731179478186</v>
      </c>
      <c r="BM134" s="137">
        <f>$W134*AR134+$L134*Summary_LCIA!AI$32</f>
        <v>0.57645468649641074</v>
      </c>
    </row>
    <row r="135" spans="1:65" x14ac:dyDescent="0.25">
      <c r="A135" s="149">
        <v>26</v>
      </c>
      <c r="B135" s="149">
        <v>6</v>
      </c>
      <c r="C135" s="61">
        <v>46.891579</v>
      </c>
      <c r="D135" s="61">
        <v>-96.800127000000003</v>
      </c>
      <c r="E135" s="61" t="s">
        <v>265</v>
      </c>
      <c r="F135" s="149">
        <v>57</v>
      </c>
      <c r="G135" s="61" t="s">
        <v>565</v>
      </c>
      <c r="H135" s="61" t="s">
        <v>641</v>
      </c>
      <c r="I135" s="61">
        <v>44.884754999999998</v>
      </c>
      <c r="J135" s="61">
        <v>-93.222284999999999</v>
      </c>
      <c r="K135" s="61">
        <v>473.17089249999998</v>
      </c>
      <c r="L135" s="61">
        <v>397.00400000000002</v>
      </c>
      <c r="M135" s="61" t="s">
        <v>617</v>
      </c>
      <c r="N135" s="149">
        <v>5</v>
      </c>
      <c r="O135" s="149">
        <v>6</v>
      </c>
      <c r="P135" s="61" t="s">
        <v>565</v>
      </c>
      <c r="Q135" s="61" t="s">
        <v>564</v>
      </c>
      <c r="R135" s="61">
        <v>41.98028</v>
      </c>
      <c r="S135" s="61">
        <v>-87.908997900000003</v>
      </c>
      <c r="T135" s="61">
        <v>1014.241</v>
      </c>
      <c r="U135" s="61" t="s">
        <v>617</v>
      </c>
      <c r="V135" s="61" t="s">
        <v>569</v>
      </c>
      <c r="W135" s="61" cm="1">
        <f t="array" ref="W135">getDistance(I135,J135,R135,S135)*SA!$B$12</f>
        <v>537.9238360294454</v>
      </c>
      <c r="X135" s="61"/>
      <c r="Y135" s="137">
        <f>Transportation_LCIA!C$61*($W135^Transportation_LCIA!C$60)+Transportation_LCIA!C$62</f>
        <v>0.31986678213898079</v>
      </c>
      <c r="Z135" s="137">
        <f>Transportation_LCIA!D$61*($W135^Transportation_LCIA!D$60)+Transportation_LCIA!D$62</f>
        <v>3.4196837590581142</v>
      </c>
      <c r="AA135" s="137">
        <f>Transportation_LCIA!E$61*($W135^Transportation_LCIA!E$60)+Transportation_LCIA!E$62</f>
        <v>1.8006084167141755E-3</v>
      </c>
      <c r="AB135" s="137">
        <f>Transportation_LCIA!F$61*($W135^Transportation_LCIA!F$60)+Transportation_LCIA!F$62</f>
        <v>0.31986678213898079</v>
      </c>
      <c r="AC135" s="137">
        <f>Transportation_LCIA!G$61*($W135^Transportation_LCIA!G$60)+Transportation_LCIA!G$62</f>
        <v>7.9669699225259488E-2</v>
      </c>
      <c r="AD135" s="137">
        <f>Transportation_LCIA!H$61*($W135^Transportation_LCIA!H$60)+Transportation_LCIA!H$62</f>
        <v>4.2227087470452683E-4</v>
      </c>
      <c r="AE135" s="137">
        <f>Transportation_LCIA!I$61*($W135^Transportation_LCIA!I$60)+Transportation_LCIA!I$62</f>
        <v>9.6304021623867961E-6</v>
      </c>
      <c r="AF135" s="137">
        <f>Transportation_LCIA!J$61*($W135^Transportation_LCIA!J$60)+Transportation_LCIA!J$62</f>
        <v>1.4335225470337743E-2</v>
      </c>
      <c r="AG135" s="137">
        <f>Transportation_LCIA!K$61*($W135^Transportation_LCIA!K$60)+Transportation_LCIA!K$62</f>
        <v>1.7461378929992367E-2</v>
      </c>
      <c r="AH135" s="137">
        <f>Transportation_LCIA!L$61*($W135^Transportation_LCIA!L$60)+Transportation_LCIA!L$62</f>
        <v>3.741200211309115E-4</v>
      </c>
      <c r="AI135" s="137">
        <f>Transportation_LCIA!M$61*($W135^Transportation_LCIA!M$60)+Transportation_LCIA!M$62</f>
        <v>3.2392972305419126E-4</v>
      </c>
      <c r="AJ135" s="137">
        <f>Transportation_LCIA!N$61*($W135^Transportation_LCIA!N$60)+Transportation_LCIA!N$62</f>
        <v>1.4784543299395398E-3</v>
      </c>
      <c r="AK135" s="137">
        <f>Transportation_LCIA!O$61*($W135^Transportation_LCIA!O$60)+Transportation_LCIA!O$62</f>
        <v>8.4333072501823996E-5</v>
      </c>
      <c r="AL135" s="137">
        <f>Transportation_LCIA!P$61*($W135^Transportation_LCIA!P$60)+Transportation_LCIA!P$62</f>
        <v>4.0702648380323872E-8</v>
      </c>
      <c r="AM135" s="137">
        <f>Transportation_LCIA!Q$61*($W135^Transportation_LCIA!Q$60)+Transportation_LCIA!Q$62</f>
        <v>1.4754717709156823E-4</v>
      </c>
      <c r="AN135" s="137">
        <f>Transportation_LCIA!R$61*($W135^Transportation_LCIA!R$60)+Transportation_LCIA!R$62</f>
        <v>4.6270576693556009E-4</v>
      </c>
      <c r="AO135" s="137">
        <f>Transportation_LCIA!S$61*($W135^Transportation_LCIA!S$60)+Transportation_LCIA!S$62</f>
        <v>6.8227398697620497E-6</v>
      </c>
      <c r="AP135" s="137">
        <f>Transportation_LCIA!T$61*($W135^Transportation_LCIA!T$60)+Transportation_LCIA!T$62</f>
        <v>6.8227398697620497E-6</v>
      </c>
      <c r="AQ135" s="137">
        <f>Transportation_LCIA!U$61*($W135^Transportation_LCIA!U$60)+Transportation_LCIA!U$62</f>
        <v>1.002389311334221E-3</v>
      </c>
      <c r="AR135" s="137">
        <f>Transportation_LCIA!V$61*($W135^Transportation_LCIA!V$60)+Transportation_LCIA!V$62</f>
        <v>3.8411685160034487E-4</v>
      </c>
      <c r="AT135" s="137">
        <f>$W135*Y135+$L135*Summary_LCIA!H$32</f>
        <v>306.96592566659547</v>
      </c>
      <c r="AU135" s="137">
        <f>$W135*Z135+$L135*Summary_LCIA!Q$32</f>
        <v>3807.1012517828667</v>
      </c>
      <c r="AV135" s="137">
        <f>$W135*AA135+$L135*Summary_LCIA!R$32</f>
        <v>3.0590544491057954</v>
      </c>
      <c r="AW135" s="137">
        <f>$W135*AB135+$L135*Summary_LCIA!S$32</f>
        <v>305.21116798659546</v>
      </c>
      <c r="AX135" s="137">
        <f>$W135*AC135+$L135*Summary_LCIA!T$32</f>
        <v>86.486969822563708</v>
      </c>
      <c r="AY135" s="137">
        <f>$W135*AD135+$L135*Summary_LCIA!U$32</f>
        <v>7.3390792247645686</v>
      </c>
      <c r="AZ135" s="137">
        <f>$W135*AE135+$L135*Summary_LCIA!V$32</f>
        <v>2.4141730917697373E-2</v>
      </c>
      <c r="BA135" s="137">
        <f>$W135*AF135+$L135*Summary_LCIA!W$32</f>
        <v>38.269054359351088</v>
      </c>
      <c r="BB135" s="137">
        <f>$W135*AG135+$L135*Summary_LCIA!X$32</f>
        <v>18.436643056385229</v>
      </c>
      <c r="BC135" s="137">
        <f>$W135*AH135+$L135*Summary_LCIA!Y$32</f>
        <v>6.3873644049021578</v>
      </c>
      <c r="BD135" s="137">
        <f>$W135*AI135+$L135*Summary_LCIA!Z$32</f>
        <v>0.19053025626526643</v>
      </c>
      <c r="BE135" s="137">
        <f>$W135*AJ135+$L135*Summary_LCIA!AA$32</f>
        <v>10.06772124855542</v>
      </c>
      <c r="BF135" s="137">
        <f>$W135*AK135+$L135*Summary_LCIA!AB$32</f>
        <v>3.6700951572330498E-2</v>
      </c>
      <c r="BG135" s="137">
        <f>$W135*AL135+$L135*Summary_LCIA!AC$32</f>
        <v>4.1302068289301513E-5</v>
      </c>
      <c r="BH135" s="137">
        <f>$W135*AM135+$L135*Summary_LCIA!AD$32</f>
        <v>0.24255366765641229</v>
      </c>
      <c r="BI135" s="137">
        <f>$W135*AN135+$L135*Summary_LCIA!AE$32</f>
        <v>0.60069761562292301</v>
      </c>
      <c r="BJ135" s="137">
        <f>$W135*AO135+$L135*Summary_LCIA!AF$32</f>
        <v>0.33930523608297347</v>
      </c>
      <c r="BK135" s="137">
        <f>$W135*AP135+$L135*Summary_LCIA!AG$32</f>
        <v>2.3982824062973442E-2</v>
      </c>
      <c r="BL135" s="137">
        <f>$W135*AQ135+$L135*Summary_LCIA!AH$32</f>
        <v>3.9945731179478186</v>
      </c>
      <c r="BM135" s="137">
        <f>$W135*AR135+$L135*Summary_LCIA!AI$32</f>
        <v>0.57645468649641074</v>
      </c>
    </row>
    <row r="136" spans="1:65" x14ac:dyDescent="0.25">
      <c r="A136" s="149">
        <v>214</v>
      </c>
      <c r="B136" s="149">
        <v>6</v>
      </c>
      <c r="C136" s="61">
        <v>35.998092999999997</v>
      </c>
      <c r="D136" s="61">
        <v>-94.089990999999998</v>
      </c>
      <c r="E136" s="61" t="s">
        <v>265</v>
      </c>
      <c r="F136" s="149">
        <v>94</v>
      </c>
      <c r="G136" s="61" t="s">
        <v>565</v>
      </c>
      <c r="H136" s="61" t="s">
        <v>700</v>
      </c>
      <c r="I136" s="61">
        <v>36.278663000000002</v>
      </c>
      <c r="J136" s="61">
        <v>-94.306483</v>
      </c>
      <c r="K136" s="61">
        <v>583.37919480000005</v>
      </c>
      <c r="L136" s="61">
        <v>58.906999999999996</v>
      </c>
      <c r="M136" s="61" t="s">
        <v>617</v>
      </c>
      <c r="N136" s="149">
        <v>5</v>
      </c>
      <c r="O136" s="149">
        <v>6</v>
      </c>
      <c r="P136" s="61" t="s">
        <v>565</v>
      </c>
      <c r="Q136" s="61" t="s">
        <v>564</v>
      </c>
      <c r="R136" s="61">
        <v>41.98028</v>
      </c>
      <c r="S136" s="61">
        <v>-87.908997900000003</v>
      </c>
      <c r="T136" s="61">
        <v>1033.424</v>
      </c>
      <c r="U136" s="61" t="s">
        <v>617</v>
      </c>
      <c r="V136" s="61" t="s">
        <v>569</v>
      </c>
      <c r="W136" s="61" cm="1">
        <f t="array" ref="W136">getDistance(I136,J136,R136,S136)*SA!$B$12</f>
        <v>841.08228791697036</v>
      </c>
      <c r="X136" s="61"/>
      <c r="Y136" s="137">
        <f>Transportation_LCIA!C$61*($W136^Transportation_LCIA!C$60)+Transportation_LCIA!C$62</f>
        <v>0.25483648971312539</v>
      </c>
      <c r="Z136" s="137">
        <f>Transportation_LCIA!D$61*($W136^Transportation_LCIA!D$60)+Transportation_LCIA!D$62</f>
        <v>2.6472723861775869</v>
      </c>
      <c r="AA136" s="137">
        <f>Transportation_LCIA!E$61*($W136^Transportation_LCIA!E$60)+Transportation_LCIA!E$62</f>
        <v>1.2902322112089038E-3</v>
      </c>
      <c r="AB136" s="137">
        <f>Transportation_LCIA!F$61*($W136^Transportation_LCIA!F$60)+Transportation_LCIA!F$62</f>
        <v>0.25483648971312539</v>
      </c>
      <c r="AC136" s="137">
        <f>Transportation_LCIA!G$61*($W136^Transportation_LCIA!G$60)+Transportation_LCIA!G$62</f>
        <v>6.1817770666351725E-2</v>
      </c>
      <c r="AD136" s="137">
        <f>Transportation_LCIA!H$61*($W136^Transportation_LCIA!H$60)+Transportation_LCIA!H$62</f>
        <v>3.0894329660543525E-4</v>
      </c>
      <c r="AE136" s="137">
        <f>Transportation_LCIA!I$61*($W136^Transportation_LCIA!I$60)+Transportation_LCIA!I$62</f>
        <v>6.7320549290728598E-6</v>
      </c>
      <c r="AF136" s="137">
        <f>Transportation_LCIA!J$61*($W136^Transportation_LCIA!J$60)+Transportation_LCIA!J$62</f>
        <v>9.973917442371992E-3</v>
      </c>
      <c r="AG136" s="137">
        <f>Transportation_LCIA!K$61*($W136^Transportation_LCIA!K$60)+Transportation_LCIA!K$62</f>
        <v>1.3256802550257076E-2</v>
      </c>
      <c r="AH136" s="137">
        <f>Transportation_LCIA!L$61*($W136^Transportation_LCIA!L$60)+Transportation_LCIA!L$62</f>
        <v>2.6946356013672829E-4</v>
      </c>
      <c r="AI136" s="137">
        <f>Transportation_LCIA!M$61*($W136^Transportation_LCIA!M$60)+Transportation_LCIA!M$62</f>
        <v>2.6135180851105747E-4</v>
      </c>
      <c r="AJ136" s="137">
        <f>Transportation_LCIA!N$61*($W136^Transportation_LCIA!N$60)+Transportation_LCIA!N$62</f>
        <v>1.0979065814177152E-3</v>
      </c>
      <c r="AK136" s="137">
        <f>Transportation_LCIA!O$61*($W136^Transportation_LCIA!O$60)+Transportation_LCIA!O$62</f>
        <v>6.5353896392131321E-5</v>
      </c>
      <c r="AL136" s="137">
        <f>Transportation_LCIA!P$61*($W136^Transportation_LCIA!P$60)+Transportation_LCIA!P$62</f>
        <v>3.1589636452966191E-8</v>
      </c>
      <c r="AM136" s="137">
        <f>Transportation_LCIA!Q$61*($W136^Transportation_LCIA!Q$60)+Transportation_LCIA!Q$62</f>
        <v>1.0652706733180661E-4</v>
      </c>
      <c r="AN136" s="137">
        <f>Transportation_LCIA!R$61*($W136^Transportation_LCIA!R$60)+Transportation_LCIA!R$62</f>
        <v>3.2366826181379828E-4</v>
      </c>
      <c r="AO136" s="137">
        <f>Transportation_LCIA!S$61*($W136^Transportation_LCIA!S$60)+Transportation_LCIA!S$62</f>
        <v>4.850900823039175E-6</v>
      </c>
      <c r="AP136" s="137">
        <f>Transportation_LCIA!T$61*($W136^Transportation_LCIA!T$60)+Transportation_LCIA!T$62</f>
        <v>4.850900823039175E-6</v>
      </c>
      <c r="AQ136" s="137">
        <f>Transportation_LCIA!U$61*($W136^Transportation_LCIA!U$60)+Transportation_LCIA!U$62</f>
        <v>6.965605332122526E-4</v>
      </c>
      <c r="AR136" s="137">
        <f>Transportation_LCIA!V$61*($W136^Transportation_LCIA!V$60)+Transportation_LCIA!V$62</f>
        <v>2.7706903123845639E-4</v>
      </c>
      <c r="AT136" s="137">
        <f>$W136*Y136+$L136*Summary_LCIA!H$32</f>
        <v>234.35505641264498</v>
      </c>
      <c r="AU136" s="137">
        <f>$W136*Z136+$L136*Summary_LCIA!Q$32</f>
        <v>2518.5199781623933</v>
      </c>
      <c r="AV136" s="137">
        <f>$W136*AA136+$L136*Summary_LCIA!R$32</f>
        <v>1.3953721593477566</v>
      </c>
      <c r="AW136" s="137">
        <f>$W136*AB136+$L136*Summary_LCIA!S$32</f>
        <v>234.09468747264498</v>
      </c>
      <c r="AX136" s="137">
        <f>$W136*AC136+$L136*Summary_LCIA!T$32</f>
        <v>58.467711285981686</v>
      </c>
      <c r="AY136" s="137">
        <f>$W136*AD136+$L136*Summary_LCIA!U$32</f>
        <v>1.3151067327455106</v>
      </c>
      <c r="AZ136" s="137">
        <f>$W136*AE136+$L136*Summary_LCIA!V$32</f>
        <v>8.4756693891273188E-3</v>
      </c>
      <c r="BA136" s="137">
        <f>$W136*AF136+$L136*Summary_LCIA!W$32</f>
        <v>12.923015998925212</v>
      </c>
      <c r="BB136" s="137">
        <f>$W136*AG136+$L136*Summary_LCIA!X$32</f>
        <v>12.491963279433749</v>
      </c>
      <c r="BC136" s="137">
        <f>$W136*AH136+$L136*Summary_LCIA!Y$32</f>
        <v>1.1445299016700514</v>
      </c>
      <c r="BD136" s="137">
        <f>$W136*AI136+$L136*Summary_LCIA!Z$32</f>
        <v>0.22223409421671814</v>
      </c>
      <c r="BE136" s="137">
        <f>$W136*AJ136+$L136*Summary_LCIA!AA$32</f>
        <v>2.299261671417911</v>
      </c>
      <c r="BF136" s="137">
        <f>$W136*AK136+$L136*Summary_LCIA!AB$32</f>
        <v>5.3682477240782449E-2</v>
      </c>
      <c r="BG136" s="137">
        <f>$W136*AL136+$L136*Summary_LCIA!AC$32</f>
        <v>2.9449093490326133E-5</v>
      </c>
      <c r="BH136" s="137">
        <f>$W136*AM136+$L136*Summary_LCIA!AD$32</f>
        <v>0.11381116279652105</v>
      </c>
      <c r="BI136" s="137">
        <f>$W136*AN136+$L136*Summary_LCIA!AE$32</f>
        <v>0.32443090208245845</v>
      </c>
      <c r="BJ136" s="137">
        <f>$W136*AO136+$L136*Summary_LCIA!AF$32</f>
        <v>5.3881162702700103E-2</v>
      </c>
      <c r="BK136" s="137">
        <f>$W136*AP136+$L136*Summary_LCIA!AG$32</f>
        <v>7.0939834177001036E-3</v>
      </c>
      <c r="BL136" s="137">
        <f>$W136*AQ136+$L136*Summary_LCIA!AH$32</f>
        <v>1.0985676921468261</v>
      </c>
      <c r="BM136" s="137">
        <f>$W136*AR136+$L136*Summary_LCIA!AI$32</f>
        <v>0.28791267055497943</v>
      </c>
    </row>
    <row r="137" spans="1:65" x14ac:dyDescent="0.25">
      <c r="A137" s="149">
        <v>215</v>
      </c>
      <c r="B137" s="149">
        <v>6</v>
      </c>
      <c r="C137" s="61">
        <v>35.998092999999997</v>
      </c>
      <c r="D137" s="61">
        <v>-94.089990999999998</v>
      </c>
      <c r="E137" s="61" t="s">
        <v>265</v>
      </c>
      <c r="F137" s="149">
        <v>94</v>
      </c>
      <c r="G137" s="61" t="s">
        <v>565</v>
      </c>
      <c r="H137" s="61" t="s">
        <v>700</v>
      </c>
      <c r="I137" s="61">
        <v>36.278663000000002</v>
      </c>
      <c r="J137" s="61">
        <v>-94.306483</v>
      </c>
      <c r="K137" s="61">
        <v>583.37919480000005</v>
      </c>
      <c r="L137" s="61">
        <v>58.906999999999996</v>
      </c>
      <c r="M137" s="61" t="s">
        <v>617</v>
      </c>
      <c r="N137" s="149">
        <v>5</v>
      </c>
      <c r="O137" s="149">
        <v>6</v>
      </c>
      <c r="P137" s="61" t="s">
        <v>565</v>
      </c>
      <c r="Q137" s="61" t="s">
        <v>564</v>
      </c>
      <c r="R137" s="61">
        <v>41.98028</v>
      </c>
      <c r="S137" s="61">
        <v>-87.908997900000003</v>
      </c>
      <c r="T137" s="61">
        <v>1033.424</v>
      </c>
      <c r="U137" s="61" t="s">
        <v>617</v>
      </c>
      <c r="V137" s="61" t="s">
        <v>569</v>
      </c>
      <c r="W137" s="61" cm="1">
        <f t="array" ref="W137">getDistance(I137,J137,R137,S137)*SA!$B$12</f>
        <v>841.08228791697036</v>
      </c>
      <c r="X137" s="61"/>
      <c r="Y137" s="137">
        <f>Transportation_LCIA!C$61*($W137^Transportation_LCIA!C$60)+Transportation_LCIA!C$62</f>
        <v>0.25483648971312539</v>
      </c>
      <c r="Z137" s="137">
        <f>Transportation_LCIA!D$61*($W137^Transportation_LCIA!D$60)+Transportation_LCIA!D$62</f>
        <v>2.6472723861775869</v>
      </c>
      <c r="AA137" s="137">
        <f>Transportation_LCIA!E$61*($W137^Transportation_LCIA!E$60)+Transportation_LCIA!E$62</f>
        <v>1.2902322112089038E-3</v>
      </c>
      <c r="AB137" s="137">
        <f>Transportation_LCIA!F$61*($W137^Transportation_LCIA!F$60)+Transportation_LCIA!F$62</f>
        <v>0.25483648971312539</v>
      </c>
      <c r="AC137" s="137">
        <f>Transportation_LCIA!G$61*($W137^Transportation_LCIA!G$60)+Transportation_LCIA!G$62</f>
        <v>6.1817770666351725E-2</v>
      </c>
      <c r="AD137" s="137">
        <f>Transportation_LCIA!H$61*($W137^Transportation_LCIA!H$60)+Transportation_LCIA!H$62</f>
        <v>3.0894329660543525E-4</v>
      </c>
      <c r="AE137" s="137">
        <f>Transportation_LCIA!I$61*($W137^Transportation_LCIA!I$60)+Transportation_LCIA!I$62</f>
        <v>6.7320549290728598E-6</v>
      </c>
      <c r="AF137" s="137">
        <f>Transportation_LCIA!J$61*($W137^Transportation_LCIA!J$60)+Transportation_LCIA!J$62</f>
        <v>9.973917442371992E-3</v>
      </c>
      <c r="AG137" s="137">
        <f>Transportation_LCIA!K$61*($W137^Transportation_LCIA!K$60)+Transportation_LCIA!K$62</f>
        <v>1.3256802550257076E-2</v>
      </c>
      <c r="AH137" s="137">
        <f>Transportation_LCIA!L$61*($W137^Transportation_LCIA!L$60)+Transportation_LCIA!L$62</f>
        <v>2.6946356013672829E-4</v>
      </c>
      <c r="AI137" s="137">
        <f>Transportation_LCIA!M$61*($W137^Transportation_LCIA!M$60)+Transportation_LCIA!M$62</f>
        <v>2.6135180851105747E-4</v>
      </c>
      <c r="AJ137" s="137">
        <f>Transportation_LCIA!N$61*($W137^Transportation_LCIA!N$60)+Transportation_LCIA!N$62</f>
        <v>1.0979065814177152E-3</v>
      </c>
      <c r="AK137" s="137">
        <f>Transportation_LCIA!O$61*($W137^Transportation_LCIA!O$60)+Transportation_LCIA!O$62</f>
        <v>6.5353896392131321E-5</v>
      </c>
      <c r="AL137" s="137">
        <f>Transportation_LCIA!P$61*($W137^Transportation_LCIA!P$60)+Transportation_LCIA!P$62</f>
        <v>3.1589636452966191E-8</v>
      </c>
      <c r="AM137" s="137">
        <f>Transportation_LCIA!Q$61*($W137^Transportation_LCIA!Q$60)+Transportation_LCIA!Q$62</f>
        <v>1.0652706733180661E-4</v>
      </c>
      <c r="AN137" s="137">
        <f>Transportation_LCIA!R$61*($W137^Transportation_LCIA!R$60)+Transportation_LCIA!R$62</f>
        <v>3.2366826181379828E-4</v>
      </c>
      <c r="AO137" s="137">
        <f>Transportation_LCIA!S$61*($W137^Transportation_LCIA!S$60)+Transportation_LCIA!S$62</f>
        <v>4.850900823039175E-6</v>
      </c>
      <c r="AP137" s="137">
        <f>Transportation_LCIA!T$61*($W137^Transportation_LCIA!T$60)+Transportation_LCIA!T$62</f>
        <v>4.850900823039175E-6</v>
      </c>
      <c r="AQ137" s="137">
        <f>Transportation_LCIA!U$61*($W137^Transportation_LCIA!U$60)+Transportation_LCIA!U$62</f>
        <v>6.965605332122526E-4</v>
      </c>
      <c r="AR137" s="137">
        <f>Transportation_LCIA!V$61*($W137^Transportation_LCIA!V$60)+Transportation_LCIA!V$62</f>
        <v>2.7706903123845639E-4</v>
      </c>
      <c r="AT137" s="137">
        <f>$W137*Y137+$L137*Summary_LCIA!H$32</f>
        <v>234.35505641264498</v>
      </c>
      <c r="AU137" s="137">
        <f>$W137*Z137+$L137*Summary_LCIA!Q$32</f>
        <v>2518.5199781623933</v>
      </c>
      <c r="AV137" s="137">
        <f>$W137*AA137+$L137*Summary_LCIA!R$32</f>
        <v>1.3953721593477566</v>
      </c>
      <c r="AW137" s="137">
        <f>$W137*AB137+$L137*Summary_LCIA!S$32</f>
        <v>234.09468747264498</v>
      </c>
      <c r="AX137" s="137">
        <f>$W137*AC137+$L137*Summary_LCIA!T$32</f>
        <v>58.467711285981686</v>
      </c>
      <c r="AY137" s="137">
        <f>$W137*AD137+$L137*Summary_LCIA!U$32</f>
        <v>1.3151067327455106</v>
      </c>
      <c r="AZ137" s="137">
        <f>$W137*AE137+$L137*Summary_LCIA!V$32</f>
        <v>8.4756693891273188E-3</v>
      </c>
      <c r="BA137" s="137">
        <f>$W137*AF137+$L137*Summary_LCIA!W$32</f>
        <v>12.923015998925212</v>
      </c>
      <c r="BB137" s="137">
        <f>$W137*AG137+$L137*Summary_LCIA!X$32</f>
        <v>12.491963279433749</v>
      </c>
      <c r="BC137" s="137">
        <f>$W137*AH137+$L137*Summary_LCIA!Y$32</f>
        <v>1.1445299016700514</v>
      </c>
      <c r="BD137" s="137">
        <f>$W137*AI137+$L137*Summary_LCIA!Z$32</f>
        <v>0.22223409421671814</v>
      </c>
      <c r="BE137" s="137">
        <f>$W137*AJ137+$L137*Summary_LCIA!AA$32</f>
        <v>2.299261671417911</v>
      </c>
      <c r="BF137" s="137">
        <f>$W137*AK137+$L137*Summary_LCIA!AB$32</f>
        <v>5.3682477240782449E-2</v>
      </c>
      <c r="BG137" s="137">
        <f>$W137*AL137+$L137*Summary_LCIA!AC$32</f>
        <v>2.9449093490326133E-5</v>
      </c>
      <c r="BH137" s="137">
        <f>$W137*AM137+$L137*Summary_LCIA!AD$32</f>
        <v>0.11381116279652105</v>
      </c>
      <c r="BI137" s="137">
        <f>$W137*AN137+$L137*Summary_LCIA!AE$32</f>
        <v>0.32443090208245845</v>
      </c>
      <c r="BJ137" s="137">
        <f>$W137*AO137+$L137*Summary_LCIA!AF$32</f>
        <v>5.3881162702700103E-2</v>
      </c>
      <c r="BK137" s="137">
        <f>$W137*AP137+$L137*Summary_LCIA!AG$32</f>
        <v>7.0939834177001036E-3</v>
      </c>
      <c r="BL137" s="137">
        <f>$W137*AQ137+$L137*Summary_LCIA!AH$32</f>
        <v>1.0985676921468261</v>
      </c>
      <c r="BM137" s="137">
        <f>$W137*AR137+$L137*Summary_LCIA!AI$32</f>
        <v>0.28791267055497943</v>
      </c>
    </row>
    <row r="138" spans="1:65" x14ac:dyDescent="0.25">
      <c r="A138" s="149">
        <v>216</v>
      </c>
      <c r="B138" s="149">
        <v>6</v>
      </c>
      <c r="C138" s="61">
        <v>35.998092999999997</v>
      </c>
      <c r="D138" s="61">
        <v>-94.089990999999998</v>
      </c>
      <c r="E138" s="61" t="s">
        <v>265</v>
      </c>
      <c r="F138" s="149">
        <v>94</v>
      </c>
      <c r="G138" s="61" t="s">
        <v>565</v>
      </c>
      <c r="H138" s="61" t="s">
        <v>700</v>
      </c>
      <c r="I138" s="61">
        <v>36.278663000000002</v>
      </c>
      <c r="J138" s="61">
        <v>-94.306483</v>
      </c>
      <c r="K138" s="61">
        <v>583.37919480000005</v>
      </c>
      <c r="L138" s="61">
        <v>58.906999999999996</v>
      </c>
      <c r="M138" s="61" t="s">
        <v>617</v>
      </c>
      <c r="N138" s="149">
        <v>5</v>
      </c>
      <c r="O138" s="149">
        <v>6</v>
      </c>
      <c r="P138" s="61" t="s">
        <v>565</v>
      </c>
      <c r="Q138" s="61" t="s">
        <v>564</v>
      </c>
      <c r="R138" s="61">
        <v>41.98028</v>
      </c>
      <c r="S138" s="61">
        <v>-87.908997900000003</v>
      </c>
      <c r="T138" s="61">
        <v>1033.424</v>
      </c>
      <c r="U138" s="61" t="s">
        <v>617</v>
      </c>
      <c r="V138" s="61" t="s">
        <v>569</v>
      </c>
      <c r="W138" s="61" cm="1">
        <f t="array" ref="W138">getDistance(I138,J138,R138,S138)*SA!$B$12</f>
        <v>841.08228791697036</v>
      </c>
      <c r="X138" s="61"/>
      <c r="Y138" s="137">
        <f>Transportation_LCIA!C$61*($W138^Transportation_LCIA!C$60)+Transportation_LCIA!C$62</f>
        <v>0.25483648971312539</v>
      </c>
      <c r="Z138" s="137">
        <f>Transportation_LCIA!D$61*($W138^Transportation_LCIA!D$60)+Transportation_LCIA!D$62</f>
        <v>2.6472723861775869</v>
      </c>
      <c r="AA138" s="137">
        <f>Transportation_LCIA!E$61*($W138^Transportation_LCIA!E$60)+Transportation_LCIA!E$62</f>
        <v>1.2902322112089038E-3</v>
      </c>
      <c r="AB138" s="137">
        <f>Transportation_LCIA!F$61*($W138^Transportation_LCIA!F$60)+Transportation_LCIA!F$62</f>
        <v>0.25483648971312539</v>
      </c>
      <c r="AC138" s="137">
        <f>Transportation_LCIA!G$61*($W138^Transportation_LCIA!G$60)+Transportation_LCIA!G$62</f>
        <v>6.1817770666351725E-2</v>
      </c>
      <c r="AD138" s="137">
        <f>Transportation_LCIA!H$61*($W138^Transportation_LCIA!H$60)+Transportation_LCIA!H$62</f>
        <v>3.0894329660543525E-4</v>
      </c>
      <c r="AE138" s="137">
        <f>Transportation_LCIA!I$61*($W138^Transportation_LCIA!I$60)+Transportation_LCIA!I$62</f>
        <v>6.7320549290728598E-6</v>
      </c>
      <c r="AF138" s="137">
        <f>Transportation_LCIA!J$61*($W138^Transportation_LCIA!J$60)+Transportation_LCIA!J$62</f>
        <v>9.973917442371992E-3</v>
      </c>
      <c r="AG138" s="137">
        <f>Transportation_LCIA!K$61*($W138^Transportation_LCIA!K$60)+Transportation_LCIA!K$62</f>
        <v>1.3256802550257076E-2</v>
      </c>
      <c r="AH138" s="137">
        <f>Transportation_LCIA!L$61*($W138^Transportation_LCIA!L$60)+Transportation_LCIA!L$62</f>
        <v>2.6946356013672829E-4</v>
      </c>
      <c r="AI138" s="137">
        <f>Transportation_LCIA!M$61*($W138^Transportation_LCIA!M$60)+Transportation_LCIA!M$62</f>
        <v>2.6135180851105747E-4</v>
      </c>
      <c r="AJ138" s="137">
        <f>Transportation_LCIA!N$61*($W138^Transportation_LCIA!N$60)+Transportation_LCIA!N$62</f>
        <v>1.0979065814177152E-3</v>
      </c>
      <c r="AK138" s="137">
        <f>Transportation_LCIA!O$61*($W138^Transportation_LCIA!O$60)+Transportation_LCIA!O$62</f>
        <v>6.5353896392131321E-5</v>
      </c>
      <c r="AL138" s="137">
        <f>Transportation_LCIA!P$61*($W138^Transportation_LCIA!P$60)+Transportation_LCIA!P$62</f>
        <v>3.1589636452966191E-8</v>
      </c>
      <c r="AM138" s="137">
        <f>Transportation_LCIA!Q$61*($W138^Transportation_LCIA!Q$60)+Transportation_LCIA!Q$62</f>
        <v>1.0652706733180661E-4</v>
      </c>
      <c r="AN138" s="137">
        <f>Transportation_LCIA!R$61*($W138^Transportation_LCIA!R$60)+Transportation_LCIA!R$62</f>
        <v>3.2366826181379828E-4</v>
      </c>
      <c r="AO138" s="137">
        <f>Transportation_LCIA!S$61*($W138^Transportation_LCIA!S$60)+Transportation_LCIA!S$62</f>
        <v>4.850900823039175E-6</v>
      </c>
      <c r="AP138" s="137">
        <f>Transportation_LCIA!T$61*($W138^Transportation_LCIA!T$60)+Transportation_LCIA!T$62</f>
        <v>4.850900823039175E-6</v>
      </c>
      <c r="AQ138" s="137">
        <f>Transportation_LCIA!U$61*($W138^Transportation_LCIA!U$60)+Transportation_LCIA!U$62</f>
        <v>6.965605332122526E-4</v>
      </c>
      <c r="AR138" s="137">
        <f>Transportation_LCIA!V$61*($W138^Transportation_LCIA!V$60)+Transportation_LCIA!V$62</f>
        <v>2.7706903123845639E-4</v>
      </c>
      <c r="AT138" s="137">
        <f>$W138*Y138+$L138*Summary_LCIA!H$32</f>
        <v>234.35505641264498</v>
      </c>
      <c r="AU138" s="137">
        <f>$W138*Z138+$L138*Summary_LCIA!Q$32</f>
        <v>2518.5199781623933</v>
      </c>
      <c r="AV138" s="137">
        <f>$W138*AA138+$L138*Summary_LCIA!R$32</f>
        <v>1.3953721593477566</v>
      </c>
      <c r="AW138" s="137">
        <f>$W138*AB138+$L138*Summary_LCIA!S$32</f>
        <v>234.09468747264498</v>
      </c>
      <c r="AX138" s="137">
        <f>$W138*AC138+$L138*Summary_LCIA!T$32</f>
        <v>58.467711285981686</v>
      </c>
      <c r="AY138" s="137">
        <f>$W138*AD138+$L138*Summary_LCIA!U$32</f>
        <v>1.3151067327455106</v>
      </c>
      <c r="AZ138" s="137">
        <f>$W138*AE138+$L138*Summary_LCIA!V$32</f>
        <v>8.4756693891273188E-3</v>
      </c>
      <c r="BA138" s="137">
        <f>$W138*AF138+$L138*Summary_LCIA!W$32</f>
        <v>12.923015998925212</v>
      </c>
      <c r="BB138" s="137">
        <f>$W138*AG138+$L138*Summary_LCIA!X$32</f>
        <v>12.491963279433749</v>
      </c>
      <c r="BC138" s="137">
        <f>$W138*AH138+$L138*Summary_LCIA!Y$32</f>
        <v>1.1445299016700514</v>
      </c>
      <c r="BD138" s="137">
        <f>$W138*AI138+$L138*Summary_LCIA!Z$32</f>
        <v>0.22223409421671814</v>
      </c>
      <c r="BE138" s="137">
        <f>$W138*AJ138+$L138*Summary_LCIA!AA$32</f>
        <v>2.299261671417911</v>
      </c>
      <c r="BF138" s="137">
        <f>$W138*AK138+$L138*Summary_LCIA!AB$32</f>
        <v>5.3682477240782449E-2</v>
      </c>
      <c r="BG138" s="137">
        <f>$W138*AL138+$L138*Summary_LCIA!AC$32</f>
        <v>2.9449093490326133E-5</v>
      </c>
      <c r="BH138" s="137">
        <f>$W138*AM138+$L138*Summary_LCIA!AD$32</f>
        <v>0.11381116279652105</v>
      </c>
      <c r="BI138" s="137">
        <f>$W138*AN138+$L138*Summary_LCIA!AE$32</f>
        <v>0.32443090208245845</v>
      </c>
      <c r="BJ138" s="137">
        <f>$W138*AO138+$L138*Summary_LCIA!AF$32</f>
        <v>5.3881162702700103E-2</v>
      </c>
      <c r="BK138" s="137">
        <f>$W138*AP138+$L138*Summary_LCIA!AG$32</f>
        <v>7.0939834177001036E-3</v>
      </c>
      <c r="BL138" s="137">
        <f>$W138*AQ138+$L138*Summary_LCIA!AH$32</f>
        <v>1.0985676921468261</v>
      </c>
      <c r="BM138" s="137">
        <f>$W138*AR138+$L138*Summary_LCIA!AI$32</f>
        <v>0.28791267055497943</v>
      </c>
    </row>
    <row r="139" spans="1:65" x14ac:dyDescent="0.25">
      <c r="A139" s="149">
        <v>41</v>
      </c>
      <c r="B139" s="149">
        <v>6</v>
      </c>
      <c r="C139" s="61">
        <v>35.099532000000004</v>
      </c>
      <c r="D139" s="61">
        <v>-92.440676999999994</v>
      </c>
      <c r="E139" s="61" t="s">
        <v>265</v>
      </c>
      <c r="F139" s="149">
        <v>91</v>
      </c>
      <c r="G139" s="61" t="s">
        <v>565</v>
      </c>
      <c r="H139" s="61" t="s">
        <v>646</v>
      </c>
      <c r="I139" s="61">
        <v>34.904254999999999</v>
      </c>
      <c r="J139" s="61">
        <v>-92.470821999999998</v>
      </c>
      <c r="K139" s="61">
        <v>552.08197859999996</v>
      </c>
      <c r="L139" s="61">
        <v>69.558000000000007</v>
      </c>
      <c r="M139" s="61" t="s">
        <v>617</v>
      </c>
      <c r="N139" s="149">
        <v>5</v>
      </c>
      <c r="O139" s="149">
        <v>6</v>
      </c>
      <c r="P139" s="61" t="s">
        <v>565</v>
      </c>
      <c r="Q139" s="61" t="s">
        <v>564</v>
      </c>
      <c r="R139" s="61">
        <v>41.98028</v>
      </c>
      <c r="S139" s="61">
        <v>-87.908997900000003</v>
      </c>
      <c r="T139" s="61">
        <v>1039.808</v>
      </c>
      <c r="U139" s="61" t="s">
        <v>617</v>
      </c>
      <c r="V139" s="61" t="s">
        <v>569</v>
      </c>
      <c r="W139" s="61" cm="1">
        <f t="array" ref="W139">getDistance(I139,J139,R139,S139)*SA!$B$12</f>
        <v>881.76844828334811</v>
      </c>
      <c r="X139" s="61"/>
      <c r="Y139" s="137">
        <f>Transportation_LCIA!C$61*($W139^Transportation_LCIA!C$60)+Transportation_LCIA!C$62</f>
        <v>0.24928238824697607</v>
      </c>
      <c r="Z139" s="137">
        <f>Transportation_LCIA!D$61*($W139^Transportation_LCIA!D$60)+Transportation_LCIA!D$62</f>
        <v>2.5820463246023846</v>
      </c>
      <c r="AA139" s="137">
        <f>Transportation_LCIA!E$61*($W139^Transportation_LCIA!E$60)+Transportation_LCIA!E$62</f>
        <v>1.2472710258653861E-3</v>
      </c>
      <c r="AB139" s="137">
        <f>Transportation_LCIA!F$61*($W139^Transportation_LCIA!F$60)+Transportation_LCIA!F$62</f>
        <v>0.24928238824697607</v>
      </c>
      <c r="AC139" s="137">
        <f>Transportation_LCIA!G$61*($W139^Transportation_LCIA!G$60)+Transportation_LCIA!G$62</f>
        <v>6.0309270822787774E-2</v>
      </c>
      <c r="AD139" s="137">
        <f>Transportation_LCIA!H$61*($W139^Transportation_LCIA!H$60)+Transportation_LCIA!H$62</f>
        <v>2.9946393440219324E-4</v>
      </c>
      <c r="AE139" s="137">
        <f>Transportation_LCIA!I$61*($W139^Transportation_LCIA!I$60)+Transportation_LCIA!I$62</f>
        <v>6.4920785808823515E-6</v>
      </c>
      <c r="AF139" s="137">
        <f>Transportation_LCIA!J$61*($W139^Transportation_LCIA!J$60)+Transportation_LCIA!J$62</f>
        <v>9.6152121456146433E-3</v>
      </c>
      <c r="AG139" s="137">
        <f>Transportation_LCIA!K$61*($W139^Transportation_LCIA!K$60)+Transportation_LCIA!K$62</f>
        <v>1.2903546660169671E-2</v>
      </c>
      <c r="AH139" s="137">
        <f>Transportation_LCIA!L$61*($W139^Transportation_LCIA!L$60)+Transportation_LCIA!L$62</f>
        <v>2.6073484233971722E-4</v>
      </c>
      <c r="AI139" s="137">
        <f>Transportation_LCIA!M$61*($W139^Transportation_LCIA!M$60)+Transportation_LCIA!M$62</f>
        <v>2.5611923805786527E-4</v>
      </c>
      <c r="AJ139" s="137">
        <f>Transportation_LCIA!N$61*($W139^Transportation_LCIA!N$60)+Transportation_LCIA!N$62</f>
        <v>1.0660496523671992E-3</v>
      </c>
      <c r="AK139" s="137">
        <f>Transportation_LCIA!O$61*($W139^Transportation_LCIA!O$60)+Transportation_LCIA!O$62</f>
        <v>6.3750643740196109E-5</v>
      </c>
      <c r="AL139" s="137">
        <f>Transportation_LCIA!P$61*($W139^Transportation_LCIA!P$60)+Transportation_LCIA!P$62</f>
        <v>3.0819170729281392E-8</v>
      </c>
      <c r="AM139" s="137">
        <f>Transportation_LCIA!Q$61*($W139^Transportation_LCIA!Q$60)+Transportation_LCIA!Q$62</f>
        <v>1.0311118496175203E-4</v>
      </c>
      <c r="AN139" s="137">
        <f>Transportation_LCIA!R$61*($W139^Transportation_LCIA!R$60)+Transportation_LCIA!R$62</f>
        <v>3.1215912043344745E-4</v>
      </c>
      <c r="AO139" s="137">
        <f>Transportation_LCIA!S$61*($W139^Transportation_LCIA!S$60)+Transportation_LCIA!S$62</f>
        <v>4.6876028483773633E-6</v>
      </c>
      <c r="AP139" s="137">
        <f>Transportation_LCIA!T$61*($W139^Transportation_LCIA!T$60)+Transportation_LCIA!T$62</f>
        <v>4.6876028483773633E-6</v>
      </c>
      <c r="AQ139" s="137">
        <f>Transportation_LCIA!U$61*($W139^Transportation_LCIA!U$60)+Transportation_LCIA!U$62</f>
        <v>6.7129382585122725E-4</v>
      </c>
      <c r="AR139" s="137">
        <f>Transportation_LCIA!V$61*($W139^Transportation_LCIA!V$60)+Transportation_LCIA!V$62</f>
        <v>2.6817274724964102E-4</v>
      </c>
      <c r="AT139" s="137">
        <f>$W139*Y139+$L139*Summary_LCIA!H$32</f>
        <v>243.44515306890324</v>
      </c>
      <c r="AU139" s="137">
        <f>$W139*Z139+$L139*Summary_LCIA!Q$32</f>
        <v>2621.4999370589808</v>
      </c>
      <c r="AV139" s="137">
        <f>$W139*AA139+$L139*Summary_LCIA!R$32</f>
        <v>1.4660688418661012</v>
      </c>
      <c r="AW139" s="137">
        <f>$W139*AB139+$L139*Summary_LCIA!S$32</f>
        <v>243.13770670890324</v>
      </c>
      <c r="AX139" s="137">
        <f>$W139*AC139+$L139*Summary_LCIA!T$32</f>
        <v>60.823236350509781</v>
      </c>
      <c r="AY139" s="137">
        <f>$W139*AD139+$L139*Summary_LCIA!U$32</f>
        <v>1.5101198607546484</v>
      </c>
      <c r="AZ139" s="137">
        <f>$W139*AE139+$L139*Summary_LCIA!V$32</f>
        <v>9.046669694398192E-3</v>
      </c>
      <c r="BA139" s="137">
        <f>$W139*AF139+$L139*Summary_LCIA!W$32</f>
        <v>13.832339511553826</v>
      </c>
      <c r="BB139" s="137">
        <f>$W139*AG139+$L139*Summary_LCIA!X$32</f>
        <v>12.962471555889589</v>
      </c>
      <c r="BC139" s="137">
        <f>$W139*AH139+$L139*Summary_LCIA!Y$32</f>
        <v>1.3137605133432961</v>
      </c>
      <c r="BD139" s="137">
        <f>$W139*AI139+$L139*Summary_LCIA!Z$32</f>
        <v>0.22869036713979729</v>
      </c>
      <c r="BE139" s="137">
        <f>$W139*AJ139+$L139*Summary_LCIA!AA$32</f>
        <v>2.564605595760828</v>
      </c>
      <c r="BF139" s="137">
        <f>$W139*AK139+$L139*Summary_LCIA!AB$32</f>
        <v>5.469534197385726E-2</v>
      </c>
      <c r="BG139" s="137">
        <f>$W139*AL139+$L139*Summary_LCIA!AC$32</f>
        <v>3.0575645623338033E-5</v>
      </c>
      <c r="BH139" s="137">
        <f>$W139*AM139+$L139*Summary_LCIA!AD$32</f>
        <v>0.11951130988438138</v>
      </c>
      <c r="BI139" s="137">
        <f>$W139*AN139+$L139*Summary_LCIA!AE$32</f>
        <v>0.33688949378209571</v>
      </c>
      <c r="BJ139" s="137">
        <f>$W139*AO139+$L139*Summary_LCIA!AF$32</f>
        <v>6.2939104649782321E-2</v>
      </c>
      <c r="BK139" s="137">
        <f>$W139*AP139+$L139*Summary_LCIA!AG$32</f>
        <v>7.6923153597823106E-3</v>
      </c>
      <c r="BL139" s="137">
        <f>$W139*AQ139+$L139*Summary_LCIA!AH$32</f>
        <v>1.1973307239630289</v>
      </c>
      <c r="BM139" s="137">
        <f>$W139*AR139+$L139*Summary_LCIA!AI$32</f>
        <v>0.30126302211419848</v>
      </c>
    </row>
    <row r="140" spans="1:65" x14ac:dyDescent="0.25">
      <c r="A140" s="149">
        <v>42</v>
      </c>
      <c r="B140" s="149">
        <v>6</v>
      </c>
      <c r="C140" s="61">
        <v>35.099532000000004</v>
      </c>
      <c r="D140" s="61">
        <v>-92.440676999999994</v>
      </c>
      <c r="E140" s="61" t="s">
        <v>265</v>
      </c>
      <c r="F140" s="149">
        <v>91</v>
      </c>
      <c r="G140" s="61" t="s">
        <v>565</v>
      </c>
      <c r="H140" s="61" t="s">
        <v>646</v>
      </c>
      <c r="I140" s="61">
        <v>34.904254999999999</v>
      </c>
      <c r="J140" s="61">
        <v>-92.470821999999998</v>
      </c>
      <c r="K140" s="61">
        <v>552.08197859999996</v>
      </c>
      <c r="L140" s="61">
        <v>69.558000000000007</v>
      </c>
      <c r="M140" s="61" t="s">
        <v>617</v>
      </c>
      <c r="N140" s="149">
        <v>5</v>
      </c>
      <c r="O140" s="149">
        <v>6</v>
      </c>
      <c r="P140" s="61" t="s">
        <v>565</v>
      </c>
      <c r="Q140" s="61" t="s">
        <v>564</v>
      </c>
      <c r="R140" s="61">
        <v>41.98028</v>
      </c>
      <c r="S140" s="61">
        <v>-87.908997900000003</v>
      </c>
      <c r="T140" s="61">
        <v>1039.808</v>
      </c>
      <c r="U140" s="61" t="s">
        <v>617</v>
      </c>
      <c r="V140" s="61" t="s">
        <v>569</v>
      </c>
      <c r="W140" s="61" cm="1">
        <f t="array" ref="W140">getDistance(I140,J140,R140,S140)*SA!$B$12</f>
        <v>881.76844828334811</v>
      </c>
      <c r="X140" s="61"/>
      <c r="Y140" s="137">
        <f>Transportation_LCIA!C$61*($W140^Transportation_LCIA!C$60)+Transportation_LCIA!C$62</f>
        <v>0.24928238824697607</v>
      </c>
      <c r="Z140" s="137">
        <f>Transportation_LCIA!D$61*($W140^Transportation_LCIA!D$60)+Transportation_LCIA!D$62</f>
        <v>2.5820463246023846</v>
      </c>
      <c r="AA140" s="137">
        <f>Transportation_LCIA!E$61*($W140^Transportation_LCIA!E$60)+Transportation_LCIA!E$62</f>
        <v>1.2472710258653861E-3</v>
      </c>
      <c r="AB140" s="137">
        <f>Transportation_LCIA!F$61*($W140^Transportation_LCIA!F$60)+Transportation_LCIA!F$62</f>
        <v>0.24928238824697607</v>
      </c>
      <c r="AC140" s="137">
        <f>Transportation_LCIA!G$61*($W140^Transportation_LCIA!G$60)+Transportation_LCIA!G$62</f>
        <v>6.0309270822787774E-2</v>
      </c>
      <c r="AD140" s="137">
        <f>Transportation_LCIA!H$61*($W140^Transportation_LCIA!H$60)+Transportation_LCIA!H$62</f>
        <v>2.9946393440219324E-4</v>
      </c>
      <c r="AE140" s="137">
        <f>Transportation_LCIA!I$61*($W140^Transportation_LCIA!I$60)+Transportation_LCIA!I$62</f>
        <v>6.4920785808823515E-6</v>
      </c>
      <c r="AF140" s="137">
        <f>Transportation_LCIA!J$61*($W140^Transportation_LCIA!J$60)+Transportation_LCIA!J$62</f>
        <v>9.6152121456146433E-3</v>
      </c>
      <c r="AG140" s="137">
        <f>Transportation_LCIA!K$61*($W140^Transportation_LCIA!K$60)+Transportation_LCIA!K$62</f>
        <v>1.2903546660169671E-2</v>
      </c>
      <c r="AH140" s="137">
        <f>Transportation_LCIA!L$61*($W140^Transportation_LCIA!L$60)+Transportation_LCIA!L$62</f>
        <v>2.6073484233971722E-4</v>
      </c>
      <c r="AI140" s="137">
        <f>Transportation_LCIA!M$61*($W140^Transportation_LCIA!M$60)+Transportation_LCIA!M$62</f>
        <v>2.5611923805786527E-4</v>
      </c>
      <c r="AJ140" s="137">
        <f>Transportation_LCIA!N$61*($W140^Transportation_LCIA!N$60)+Transportation_LCIA!N$62</f>
        <v>1.0660496523671992E-3</v>
      </c>
      <c r="AK140" s="137">
        <f>Transportation_LCIA!O$61*($W140^Transportation_LCIA!O$60)+Transportation_LCIA!O$62</f>
        <v>6.3750643740196109E-5</v>
      </c>
      <c r="AL140" s="137">
        <f>Transportation_LCIA!P$61*($W140^Transportation_LCIA!P$60)+Transportation_LCIA!P$62</f>
        <v>3.0819170729281392E-8</v>
      </c>
      <c r="AM140" s="137">
        <f>Transportation_LCIA!Q$61*($W140^Transportation_LCIA!Q$60)+Transportation_LCIA!Q$62</f>
        <v>1.0311118496175203E-4</v>
      </c>
      <c r="AN140" s="137">
        <f>Transportation_LCIA!R$61*($W140^Transportation_LCIA!R$60)+Transportation_LCIA!R$62</f>
        <v>3.1215912043344745E-4</v>
      </c>
      <c r="AO140" s="137">
        <f>Transportation_LCIA!S$61*($W140^Transportation_LCIA!S$60)+Transportation_LCIA!S$62</f>
        <v>4.6876028483773633E-6</v>
      </c>
      <c r="AP140" s="137">
        <f>Transportation_LCIA!T$61*($W140^Transportation_LCIA!T$60)+Transportation_LCIA!T$62</f>
        <v>4.6876028483773633E-6</v>
      </c>
      <c r="AQ140" s="137">
        <f>Transportation_LCIA!U$61*($W140^Transportation_LCIA!U$60)+Transportation_LCIA!U$62</f>
        <v>6.7129382585122725E-4</v>
      </c>
      <c r="AR140" s="137">
        <f>Transportation_LCIA!V$61*($W140^Transportation_LCIA!V$60)+Transportation_LCIA!V$62</f>
        <v>2.6817274724964102E-4</v>
      </c>
      <c r="AT140" s="137">
        <f>$W140*Y140+$L140*Summary_LCIA!H$32</f>
        <v>243.44515306890324</v>
      </c>
      <c r="AU140" s="137">
        <f>$W140*Z140+$L140*Summary_LCIA!Q$32</f>
        <v>2621.4999370589808</v>
      </c>
      <c r="AV140" s="137">
        <f>$W140*AA140+$L140*Summary_LCIA!R$32</f>
        <v>1.4660688418661012</v>
      </c>
      <c r="AW140" s="137">
        <f>$W140*AB140+$L140*Summary_LCIA!S$32</f>
        <v>243.13770670890324</v>
      </c>
      <c r="AX140" s="137">
        <f>$W140*AC140+$L140*Summary_LCIA!T$32</f>
        <v>60.823236350509781</v>
      </c>
      <c r="AY140" s="137">
        <f>$W140*AD140+$L140*Summary_LCIA!U$32</f>
        <v>1.5101198607546484</v>
      </c>
      <c r="AZ140" s="137">
        <f>$W140*AE140+$L140*Summary_LCIA!V$32</f>
        <v>9.046669694398192E-3</v>
      </c>
      <c r="BA140" s="137">
        <f>$W140*AF140+$L140*Summary_LCIA!W$32</f>
        <v>13.832339511553826</v>
      </c>
      <c r="BB140" s="137">
        <f>$W140*AG140+$L140*Summary_LCIA!X$32</f>
        <v>12.962471555889589</v>
      </c>
      <c r="BC140" s="137">
        <f>$W140*AH140+$L140*Summary_LCIA!Y$32</f>
        <v>1.3137605133432961</v>
      </c>
      <c r="BD140" s="137">
        <f>$W140*AI140+$L140*Summary_LCIA!Z$32</f>
        <v>0.22869036713979729</v>
      </c>
      <c r="BE140" s="137">
        <f>$W140*AJ140+$L140*Summary_LCIA!AA$32</f>
        <v>2.564605595760828</v>
      </c>
      <c r="BF140" s="137">
        <f>$W140*AK140+$L140*Summary_LCIA!AB$32</f>
        <v>5.469534197385726E-2</v>
      </c>
      <c r="BG140" s="137">
        <f>$W140*AL140+$L140*Summary_LCIA!AC$32</f>
        <v>3.0575645623338033E-5</v>
      </c>
      <c r="BH140" s="137">
        <f>$W140*AM140+$L140*Summary_LCIA!AD$32</f>
        <v>0.11951130988438138</v>
      </c>
      <c r="BI140" s="137">
        <f>$W140*AN140+$L140*Summary_LCIA!AE$32</f>
        <v>0.33688949378209571</v>
      </c>
      <c r="BJ140" s="137">
        <f>$W140*AO140+$L140*Summary_LCIA!AF$32</f>
        <v>6.2939104649782321E-2</v>
      </c>
      <c r="BK140" s="137">
        <f>$W140*AP140+$L140*Summary_LCIA!AG$32</f>
        <v>7.6923153597823106E-3</v>
      </c>
      <c r="BL140" s="137">
        <f>$W140*AQ140+$L140*Summary_LCIA!AH$32</f>
        <v>1.1973307239630289</v>
      </c>
      <c r="BM140" s="137">
        <f>$W140*AR140+$L140*Summary_LCIA!AI$32</f>
        <v>0.30126302211419848</v>
      </c>
    </row>
    <row r="141" spans="1:65" x14ac:dyDescent="0.25">
      <c r="A141" s="149">
        <v>49</v>
      </c>
      <c r="B141" s="149">
        <v>6</v>
      </c>
      <c r="C141" s="61">
        <v>35.612105</v>
      </c>
      <c r="D141" s="61">
        <v>-82.563284999999993</v>
      </c>
      <c r="E141" s="61" t="s">
        <v>265</v>
      </c>
      <c r="F141" s="149">
        <v>34</v>
      </c>
      <c r="G141" s="61" t="s">
        <v>565</v>
      </c>
      <c r="H141" s="61" t="s">
        <v>633</v>
      </c>
      <c r="I141" s="61">
        <v>35.214402999999997</v>
      </c>
      <c r="J141" s="61">
        <v>-80.947315000000003</v>
      </c>
      <c r="K141" s="61">
        <v>157.0640918</v>
      </c>
      <c r="L141" s="61">
        <v>199.89699999999999</v>
      </c>
      <c r="M141" s="61" t="s">
        <v>617</v>
      </c>
      <c r="N141" s="149">
        <v>5</v>
      </c>
      <c r="O141" s="149">
        <v>6</v>
      </c>
      <c r="P141" s="61" t="s">
        <v>565</v>
      </c>
      <c r="Q141" s="61" t="s">
        <v>564</v>
      </c>
      <c r="R141" s="61">
        <v>41.98028</v>
      </c>
      <c r="S141" s="61">
        <v>-87.908997900000003</v>
      </c>
      <c r="T141" s="61">
        <v>1078.8679999999999</v>
      </c>
      <c r="U141" s="61" t="s">
        <v>617</v>
      </c>
      <c r="V141" s="61" t="s">
        <v>569</v>
      </c>
      <c r="W141" s="61" cm="1">
        <f t="array" ref="W141">getDistance(I141,J141,R141,S141)*SA!$B$12</f>
        <v>965.81934331629839</v>
      </c>
      <c r="X141" s="61"/>
      <c r="Y141" s="137">
        <f>Transportation_LCIA!C$61*($W141^Transportation_LCIA!C$60)+Transportation_LCIA!C$62</f>
        <v>0.23917916746170043</v>
      </c>
      <c r="Z141" s="137">
        <f>Transportation_LCIA!D$61*($W141^Transportation_LCIA!D$60)+Transportation_LCIA!D$62</f>
        <v>2.4637498822292629</v>
      </c>
      <c r="AA141" s="137">
        <f>Transportation_LCIA!E$61*($W141^Transportation_LCIA!E$60)+Transportation_LCIA!E$62</f>
        <v>1.1694202797749105E-3</v>
      </c>
      <c r="AB141" s="137">
        <f>Transportation_LCIA!F$61*($W141^Transportation_LCIA!F$60)+Transportation_LCIA!F$62</f>
        <v>0.23917916746170043</v>
      </c>
      <c r="AC141" s="137">
        <f>Transportation_LCIA!G$61*($W141^Transportation_LCIA!G$60)+Transportation_LCIA!G$62</f>
        <v>5.7572922745648923E-2</v>
      </c>
      <c r="AD141" s="137">
        <f>Transportation_LCIA!H$61*($W141^Transportation_LCIA!H$60)+Transportation_LCIA!H$62</f>
        <v>2.8231462329926001E-4</v>
      </c>
      <c r="AE141" s="137">
        <f>Transportation_LCIA!I$61*($W141^Transportation_LCIA!I$60)+Transportation_LCIA!I$62</f>
        <v>6.0590881500882351E-6</v>
      </c>
      <c r="AF141" s="137">
        <f>Transportation_LCIA!J$61*($W141^Transportation_LCIA!J$60)+Transportation_LCIA!J$62</f>
        <v>8.9691244315593405E-3</v>
      </c>
      <c r="AG141" s="137">
        <f>Transportation_LCIA!K$61*($W141^Transportation_LCIA!K$60)+Transportation_LCIA!K$62</f>
        <v>1.2263721703450336E-2</v>
      </c>
      <c r="AH141" s="137">
        <f>Transportation_LCIA!L$61*($W141^Transportation_LCIA!L$60)+Transportation_LCIA!L$62</f>
        <v>2.449555211742904E-4</v>
      </c>
      <c r="AI141" s="137">
        <f>Transportation_LCIA!M$61*($W141^Transportation_LCIA!M$60)+Transportation_LCIA!M$62</f>
        <v>2.4665373974360274E-4</v>
      </c>
      <c r="AJ141" s="137">
        <f>Transportation_LCIA!N$61*($W141^Transportation_LCIA!N$60)+Transportation_LCIA!N$62</f>
        <v>1.0084044075747351E-3</v>
      </c>
      <c r="AK141" s="137">
        <f>Transportation_LCIA!O$61*($W141^Transportation_LCIA!O$60)+Transportation_LCIA!O$62</f>
        <v>6.0842656849062702E-5</v>
      </c>
      <c r="AL141" s="137">
        <f>Transportation_LCIA!P$61*($W141^Transportation_LCIA!P$60)+Transportation_LCIA!P$62</f>
        <v>2.9421386486163209E-8</v>
      </c>
      <c r="AM141" s="137">
        <f>Transportation_LCIA!Q$61*($W141^Transportation_LCIA!Q$60)+Transportation_LCIA!Q$62</f>
        <v>9.693865430446136E-5</v>
      </c>
      <c r="AN141" s="137">
        <f>Transportation_LCIA!R$61*($W141^Transportation_LCIA!R$60)+Transportation_LCIA!R$62</f>
        <v>2.9139446096429532E-4</v>
      </c>
      <c r="AO141" s="137">
        <f>Transportation_LCIA!S$61*($W141^Transportation_LCIA!S$60)+Transportation_LCIA!S$62</f>
        <v>4.3929473757171984E-6</v>
      </c>
      <c r="AP141" s="137">
        <f>Transportation_LCIA!T$61*($W141^Transportation_LCIA!T$60)+Transportation_LCIA!T$62</f>
        <v>4.3929473757171984E-6</v>
      </c>
      <c r="AQ141" s="137">
        <f>Transportation_LCIA!U$61*($W141^Transportation_LCIA!U$60)+Transportation_LCIA!U$62</f>
        <v>6.2573096450825355E-4</v>
      </c>
      <c r="AR141" s="137">
        <f>Transportation_LCIA!V$61*($W141^Transportation_LCIA!V$60)+Transportation_LCIA!V$62</f>
        <v>2.5210555325466699E-4</v>
      </c>
      <c r="AT141" s="137">
        <f>$W141*Y141+$L141*Summary_LCIA!H$32</f>
        <v>298.92886705279847</v>
      </c>
      <c r="AU141" s="137">
        <f>$W141*Z141+$L141*Summary_LCIA!Q$32</f>
        <v>3370.2369067556747</v>
      </c>
      <c r="AV141" s="137">
        <f>$W141*AA141+$L141*Summary_LCIA!R$32</f>
        <v>2.1820263698729656</v>
      </c>
      <c r="AW141" s="137">
        <f>$W141*AB141+$L141*Summary_LCIA!S$32</f>
        <v>298.04532231279848</v>
      </c>
      <c r="AX141" s="137">
        <f>$W141*AC141+$L141*Summary_LCIA!T$32</f>
        <v>77.573722739002619</v>
      </c>
      <c r="AY141" s="137">
        <f>$W141*AD141+$L141*Summary_LCIA!U$32</f>
        <v>3.853619782083479</v>
      </c>
      <c r="AZ141" s="137">
        <f>$W141*AE141+$L141*Summary_LCIA!V$32</f>
        <v>1.5399265155213785E-2</v>
      </c>
      <c r="BA141" s="137">
        <f>$W141*AF141+$L141*Summary_LCIA!W$32</f>
        <v>24.048825855610808</v>
      </c>
      <c r="BB141" s="137">
        <f>$W141*AG141+$L141*Summary_LCIA!X$32</f>
        <v>16.398193302240241</v>
      </c>
      <c r="BC141" s="137">
        <f>$W141*AH141+$L141*Summary_LCIA!Y$32</f>
        <v>3.3513778346022547</v>
      </c>
      <c r="BD141" s="137">
        <f>$W141*AI141+$L141*Summary_LCIA!Z$32</f>
        <v>0.24642052901867559</v>
      </c>
      <c r="BE141" s="137">
        <f>$W141*AJ141+$L141*Summary_LCIA!AA$32</f>
        <v>5.6427308147210908</v>
      </c>
      <c r="BF141" s="137">
        <f>$W141*AK141+$L141*Summary_LCIA!AB$32</f>
        <v>5.4400662652580617E-2</v>
      </c>
      <c r="BG141" s="137">
        <f>$W141*AL141+$L141*Summary_LCIA!AC$32</f>
        <v>3.8187509123521166E-5</v>
      </c>
      <c r="BH141" s="137">
        <f>$W141*AM141+$L141*Summary_LCIA!AD$32</f>
        <v>0.17579089032230052</v>
      </c>
      <c r="BI141" s="137">
        <f>$W141*AN141+$L141*Summary_LCIA!AE$32</f>
        <v>0.45856913554454248</v>
      </c>
      <c r="BJ141" s="137">
        <f>$W141*AO141+$L141*Summary_LCIA!AF$32</f>
        <v>0.17323971528963825</v>
      </c>
      <c r="BK141" s="137">
        <f>$W141*AP141+$L141*Summary_LCIA!AG$32</f>
        <v>1.4470523554638241E-2</v>
      </c>
      <c r="BL141" s="137">
        <f>$W141*AQ141+$L141*Summary_LCIA!AH$32</f>
        <v>2.3441665984340352</v>
      </c>
      <c r="BM141" s="137">
        <f>$W141*AR141+$L141*Summary_LCIA!AI$32</f>
        <v>0.42970247024081454</v>
      </c>
    </row>
    <row r="142" spans="1:65" x14ac:dyDescent="0.25">
      <c r="A142" s="149">
        <v>14</v>
      </c>
      <c r="B142" s="149">
        <v>6</v>
      </c>
      <c r="C142" s="61">
        <v>39.144460000000002</v>
      </c>
      <c r="D142" s="61">
        <v>-77.216469000000004</v>
      </c>
      <c r="E142" s="61" t="s">
        <v>265</v>
      </c>
      <c r="F142" s="149">
        <v>85</v>
      </c>
      <c r="G142" s="61" t="s">
        <v>630</v>
      </c>
      <c r="H142" s="61" t="s">
        <v>631</v>
      </c>
      <c r="I142" s="61">
        <v>38.953116000000001</v>
      </c>
      <c r="J142" s="61">
        <v>-77.456539000000006</v>
      </c>
      <c r="K142" s="61">
        <v>38.295953089999998</v>
      </c>
      <c r="L142" s="61">
        <v>52.948</v>
      </c>
      <c r="M142" s="61" t="s">
        <v>617</v>
      </c>
      <c r="N142" s="149">
        <v>5</v>
      </c>
      <c r="O142" s="149">
        <v>6</v>
      </c>
      <c r="P142" s="61" t="s">
        <v>565</v>
      </c>
      <c r="Q142" s="61" t="s">
        <v>564</v>
      </c>
      <c r="R142" s="61">
        <v>41.98028</v>
      </c>
      <c r="S142" s="61">
        <v>-87.908997900000003</v>
      </c>
      <c r="T142" s="61">
        <v>1111.7950000000001</v>
      </c>
      <c r="U142" s="61" t="s">
        <v>617</v>
      </c>
      <c r="V142" s="61" t="s">
        <v>569</v>
      </c>
      <c r="W142" s="61" cm="1">
        <f t="array" ref="W142">getDistance(I142,J142,R142,S142)*SA!$B$12</f>
        <v>947.50539515115577</v>
      </c>
      <c r="X142" s="61"/>
      <c r="Y142" s="137">
        <f>Transportation_LCIA!C$61*($W142^Transportation_LCIA!C$60)+Transportation_LCIA!C$62</f>
        <v>0.24123994717611602</v>
      </c>
      <c r="Z142" s="137">
        <f>Transportation_LCIA!D$61*($W142^Transportation_LCIA!D$60)+Transportation_LCIA!D$62</f>
        <v>2.4878408827076006</v>
      </c>
      <c r="AA142" s="137">
        <f>Transportation_LCIA!E$61*($W142^Transportation_LCIA!E$60)+Transportation_LCIA!E$62</f>
        <v>1.1852674718811078E-3</v>
      </c>
      <c r="AB142" s="137">
        <f>Transportation_LCIA!F$61*($W142^Transportation_LCIA!F$60)+Transportation_LCIA!F$62</f>
        <v>0.24123994717611602</v>
      </c>
      <c r="AC142" s="137">
        <f>Transportation_LCIA!G$61*($W142^Transportation_LCIA!G$60)+Transportation_LCIA!G$62</f>
        <v>5.8130229961751413E-2</v>
      </c>
      <c r="AD142" s="137">
        <f>Transportation_LCIA!H$61*($W142^Transportation_LCIA!H$60)+Transportation_LCIA!H$62</f>
        <v>2.8580243989814041E-4</v>
      </c>
      <c r="AE142" s="137">
        <f>Transportation_LCIA!I$61*($W142^Transportation_LCIA!I$60)+Transportation_LCIA!I$62</f>
        <v>6.1470245572439961E-6</v>
      </c>
      <c r="AF142" s="137">
        <f>Transportation_LCIA!J$61*($W142^Transportation_LCIA!J$60)+Transportation_LCIA!J$62</f>
        <v>9.1002172415569245E-3</v>
      </c>
      <c r="AG142" s="137">
        <f>Transportation_LCIA!K$61*($W142^Transportation_LCIA!K$60)+Transportation_LCIA!K$62</f>
        <v>1.2393929342404509E-2</v>
      </c>
      <c r="AH142" s="137">
        <f>Transportation_LCIA!L$61*($W142^Transportation_LCIA!L$60)+Transportation_LCIA!L$62</f>
        <v>2.4816341330375431E-4</v>
      </c>
      <c r="AI142" s="137">
        <f>Transportation_LCIA!M$61*($W142^Transportation_LCIA!M$60)+Transportation_LCIA!M$62</f>
        <v>2.4857873470520738E-4</v>
      </c>
      <c r="AJ142" s="137">
        <f>Transportation_LCIA!N$61*($W142^Transportation_LCIA!N$60)+Transportation_LCIA!N$62</f>
        <v>1.0201295851308028E-3</v>
      </c>
      <c r="AK142" s="137">
        <f>Transportation_LCIA!O$61*($W142^Transportation_LCIA!O$60)+Transportation_LCIA!O$62</f>
        <v>6.1434895629106112E-5</v>
      </c>
      <c r="AL142" s="137">
        <f>Transportation_LCIA!P$61*($W142^Transportation_LCIA!P$60)+Transportation_LCIA!P$62</f>
        <v>2.9706091927833148E-8</v>
      </c>
      <c r="AM142" s="137">
        <f>Transportation_LCIA!Q$61*($W142^Transportation_LCIA!Q$60)+Transportation_LCIA!Q$62</f>
        <v>9.8193239540815934E-5</v>
      </c>
      <c r="AN142" s="137">
        <f>Transportation_LCIA!R$61*($W142^Transportation_LCIA!R$60)+Transportation_LCIA!R$62</f>
        <v>2.9561142919577987E-4</v>
      </c>
      <c r="AO142" s="137">
        <f>Transportation_LCIA!S$61*($W142^Transportation_LCIA!S$60)+Transportation_LCIA!S$62</f>
        <v>4.4527909660357503E-6</v>
      </c>
      <c r="AP142" s="137">
        <f>Transportation_LCIA!T$61*($W142^Transportation_LCIA!T$60)+Transportation_LCIA!T$62</f>
        <v>4.4527909660357503E-6</v>
      </c>
      <c r="AQ142" s="137">
        <f>Transportation_LCIA!U$61*($W142^Transportation_LCIA!U$60)+Transportation_LCIA!U$62</f>
        <v>6.3498155620491487E-4</v>
      </c>
      <c r="AR142" s="137">
        <f>Transportation_LCIA!V$61*($W142^Transportation_LCIA!V$60)+Transportation_LCIA!V$62</f>
        <v>2.5537034152400519E-4</v>
      </c>
      <c r="AT142" s="137">
        <f>$W142*Y142+$L142*Summary_LCIA!H$32</f>
        <v>246.56788187534974</v>
      </c>
      <c r="AU142" s="137">
        <f>$W142*Z142+$L142*Summary_LCIA!Q$32</f>
        <v>2619.6556169695491</v>
      </c>
      <c r="AV142" s="137">
        <f>$W142*AA142+$L142*Summary_LCIA!R$32</f>
        <v>1.4018503131045206</v>
      </c>
      <c r="AW142" s="137">
        <f>$W142*AB142+$L142*Summary_LCIA!S$32</f>
        <v>246.33385171534974</v>
      </c>
      <c r="AX142" s="137">
        <f>$W142*AC142+$L142*Summary_LCIA!T$32</f>
        <v>60.897691710136826</v>
      </c>
      <c r="AY142" s="137">
        <f>$W142*AD142+$L142*Summary_LCIA!U$32</f>
        <v>1.2193098257508519</v>
      </c>
      <c r="AZ142" s="137">
        <f>$W142*AE142+$L142*Summary_LCIA!V$32</f>
        <v>8.3531883601153309E-3</v>
      </c>
      <c r="BA142" s="137">
        <f>$W142*AF142+$L142*Summary_LCIA!W$32</f>
        <v>12.697965441422756</v>
      </c>
      <c r="BB142" s="137">
        <f>$W142*AG142+$L142*Summary_LCIA!X$32</f>
        <v>12.949470359050489</v>
      </c>
      <c r="BC142" s="137">
        <f>$W142*AH142+$L142*Summary_LCIA!Y$32</f>
        <v>1.0601719089844333</v>
      </c>
      <c r="BD142" s="137">
        <f>$W142*AI142+$L142*Summary_LCIA!Z$32</f>
        <v>0.23770103678503182</v>
      </c>
      <c r="BE142" s="137">
        <f>$W142*AJ142+$L142*Summary_LCIA!AA$32</f>
        <v>2.2032317736647458</v>
      </c>
      <c r="BF142" s="137">
        <f>$W142*AK142+$L142*Summary_LCIA!AB$32</f>
        <v>5.7054410855126199E-2</v>
      </c>
      <c r="BG142" s="137">
        <f>$W142*AL142+$L142*Summary_LCIA!AC$32</f>
        <v>3.0734992402478108E-5</v>
      </c>
      <c r="BH142" s="137">
        <f>$W142*AM142+$L142*Summary_LCIA!AD$32</f>
        <v>0.11480237015229289</v>
      </c>
      <c r="BI142" s="137">
        <f>$W142*AN142+$L142*Summary_LCIA!AE$32</f>
        <v>0.32701223527134526</v>
      </c>
      <c r="BJ142" s="137">
        <f>$W142*AO142+$L142*Summary_LCIA!AF$32</f>
        <v>4.8982341623799205E-2</v>
      </c>
      <c r="BK142" s="137">
        <f>$W142*AP142+$L142*Summary_LCIA!AG$32</f>
        <v>6.9281278837991997E-3</v>
      </c>
      <c r="BL142" s="137">
        <f>$W142*AQ142+$L142*Summary_LCIA!AH$32</f>
        <v>1.0624866631256338</v>
      </c>
      <c r="BM142" s="137">
        <f>$W142*AR142+$L142*Summary_LCIA!AI$32</f>
        <v>0.29128848575558813</v>
      </c>
    </row>
    <row r="143" spans="1:65" x14ac:dyDescent="0.25">
      <c r="A143" s="149">
        <v>52</v>
      </c>
      <c r="B143" s="149">
        <v>6</v>
      </c>
      <c r="C143" s="61">
        <v>39.109959000000003</v>
      </c>
      <c r="D143" s="61">
        <v>-77.556522999999999</v>
      </c>
      <c r="E143" s="61" t="s">
        <v>265</v>
      </c>
      <c r="F143" s="149">
        <v>85</v>
      </c>
      <c r="G143" s="61" t="s">
        <v>630</v>
      </c>
      <c r="H143" s="61" t="s">
        <v>631</v>
      </c>
      <c r="I143" s="61">
        <v>38.953116000000001</v>
      </c>
      <c r="J143" s="61">
        <v>-77.456539000000006</v>
      </c>
      <c r="K143" s="61">
        <v>25.36634257</v>
      </c>
      <c r="L143" s="61">
        <v>25.824000000000002</v>
      </c>
      <c r="M143" s="61" t="s">
        <v>617</v>
      </c>
      <c r="N143" s="149">
        <v>5</v>
      </c>
      <c r="O143" s="149">
        <v>6</v>
      </c>
      <c r="P143" s="61" t="s">
        <v>565</v>
      </c>
      <c r="Q143" s="61" t="s">
        <v>564</v>
      </c>
      <c r="R143" s="61">
        <v>41.98028</v>
      </c>
      <c r="S143" s="61">
        <v>-87.908997900000003</v>
      </c>
      <c r="T143" s="61">
        <v>1116.2909999999999</v>
      </c>
      <c r="U143" s="61" t="s">
        <v>617</v>
      </c>
      <c r="V143" s="61" t="s">
        <v>569</v>
      </c>
      <c r="W143" s="61" cm="1">
        <f t="array" ref="W143">getDistance(I143,J143,R143,S143)*SA!$B$12</f>
        <v>947.50539515115577</v>
      </c>
      <c r="X143" s="61"/>
      <c r="Y143" s="137">
        <f>Transportation_LCIA!C$61*($W143^Transportation_LCIA!C$60)+Transportation_LCIA!C$62</f>
        <v>0.24123994717611602</v>
      </c>
      <c r="Z143" s="137">
        <f>Transportation_LCIA!D$61*($W143^Transportation_LCIA!D$60)+Transportation_LCIA!D$62</f>
        <v>2.4878408827076006</v>
      </c>
      <c r="AA143" s="137">
        <f>Transportation_LCIA!E$61*($W143^Transportation_LCIA!E$60)+Transportation_LCIA!E$62</f>
        <v>1.1852674718811078E-3</v>
      </c>
      <c r="AB143" s="137">
        <f>Transportation_LCIA!F$61*($W143^Transportation_LCIA!F$60)+Transportation_LCIA!F$62</f>
        <v>0.24123994717611602</v>
      </c>
      <c r="AC143" s="137">
        <f>Transportation_LCIA!G$61*($W143^Transportation_LCIA!G$60)+Transportation_LCIA!G$62</f>
        <v>5.8130229961751413E-2</v>
      </c>
      <c r="AD143" s="137">
        <f>Transportation_LCIA!H$61*($W143^Transportation_LCIA!H$60)+Transportation_LCIA!H$62</f>
        <v>2.8580243989814041E-4</v>
      </c>
      <c r="AE143" s="137">
        <f>Transportation_LCIA!I$61*($W143^Transportation_LCIA!I$60)+Transportation_LCIA!I$62</f>
        <v>6.1470245572439961E-6</v>
      </c>
      <c r="AF143" s="137">
        <f>Transportation_LCIA!J$61*($W143^Transportation_LCIA!J$60)+Transportation_LCIA!J$62</f>
        <v>9.1002172415569245E-3</v>
      </c>
      <c r="AG143" s="137">
        <f>Transportation_LCIA!K$61*($W143^Transportation_LCIA!K$60)+Transportation_LCIA!K$62</f>
        <v>1.2393929342404509E-2</v>
      </c>
      <c r="AH143" s="137">
        <f>Transportation_LCIA!L$61*($W143^Transportation_LCIA!L$60)+Transportation_LCIA!L$62</f>
        <v>2.4816341330375431E-4</v>
      </c>
      <c r="AI143" s="137">
        <f>Transportation_LCIA!M$61*($W143^Transportation_LCIA!M$60)+Transportation_LCIA!M$62</f>
        <v>2.4857873470520738E-4</v>
      </c>
      <c r="AJ143" s="137">
        <f>Transportation_LCIA!N$61*($W143^Transportation_LCIA!N$60)+Transportation_LCIA!N$62</f>
        <v>1.0201295851308028E-3</v>
      </c>
      <c r="AK143" s="137">
        <f>Transportation_LCIA!O$61*($W143^Transportation_LCIA!O$60)+Transportation_LCIA!O$62</f>
        <v>6.1434895629106112E-5</v>
      </c>
      <c r="AL143" s="137">
        <f>Transportation_LCIA!P$61*($W143^Transportation_LCIA!P$60)+Transportation_LCIA!P$62</f>
        <v>2.9706091927833148E-8</v>
      </c>
      <c r="AM143" s="137">
        <f>Transportation_LCIA!Q$61*($W143^Transportation_LCIA!Q$60)+Transportation_LCIA!Q$62</f>
        <v>9.8193239540815934E-5</v>
      </c>
      <c r="AN143" s="137">
        <f>Transportation_LCIA!R$61*($W143^Transportation_LCIA!R$60)+Transportation_LCIA!R$62</f>
        <v>2.9561142919577987E-4</v>
      </c>
      <c r="AO143" s="137">
        <f>Transportation_LCIA!S$61*($W143^Transportation_LCIA!S$60)+Transportation_LCIA!S$62</f>
        <v>4.4527909660357503E-6</v>
      </c>
      <c r="AP143" s="137">
        <f>Transportation_LCIA!T$61*($W143^Transportation_LCIA!T$60)+Transportation_LCIA!T$62</f>
        <v>4.4527909660357503E-6</v>
      </c>
      <c r="AQ143" s="137">
        <f>Transportation_LCIA!U$61*($W143^Transportation_LCIA!U$60)+Transportation_LCIA!U$62</f>
        <v>6.3498155620491487E-4</v>
      </c>
      <c r="AR143" s="137">
        <f>Transportation_LCIA!V$61*($W143^Transportation_LCIA!V$60)+Transportation_LCIA!V$62</f>
        <v>2.5537034152400519E-4</v>
      </c>
      <c r="AT143" s="137">
        <f>$W143*Y143+$L143*Summary_LCIA!H$32</f>
        <v>237.35114667534975</v>
      </c>
      <c r="AU143" s="137">
        <f>$W143*Z143+$L143*Summary_LCIA!Q$32</f>
        <v>2485.2277050248572</v>
      </c>
      <c r="AV143" s="137">
        <f>$W143*AA143+$L143*Summary_LCIA!R$32</f>
        <v>1.2590261787045205</v>
      </c>
      <c r="AW143" s="137">
        <f>$W143*AB143+$L143*Summary_LCIA!S$32</f>
        <v>237.23700459534976</v>
      </c>
      <c r="AX143" s="137">
        <f>$W143*AC143+$L143*Summary_LCIA!T$32</f>
        <v>57.916764110136825</v>
      </c>
      <c r="AY143" s="137">
        <f>$W143*AD143+$L143*Summary_LCIA!U$32</f>
        <v>0.73341048975085199</v>
      </c>
      <c r="AZ143" s="137">
        <f>$W143*AE143+$L143*Summary_LCIA!V$32</f>
        <v>7.057718996115331E-3</v>
      </c>
      <c r="BA143" s="137">
        <f>$W143*AF143+$L143*Summary_LCIA!W$32</f>
        <v>10.610204037422756</v>
      </c>
      <c r="BB143" s="137">
        <f>$W143*AG143+$L143*Summary_LCIA!X$32</f>
        <v>12.331585639050489</v>
      </c>
      <c r="BC143" s="137">
        <f>$W143*AH143+$L143*Summary_LCIA!Y$32</f>
        <v>0.63752574098443338</v>
      </c>
      <c r="BD143" s="137">
        <f>$W143*AI143+$L143*Summary_LCIA!Z$32</f>
        <v>0.23658870866903184</v>
      </c>
      <c r="BE143" s="137">
        <f>$W143*AJ143+$L143*Summary_LCIA!AA$32</f>
        <v>1.5697236296647459</v>
      </c>
      <c r="BF143" s="137">
        <f>$W143*AK143+$L143*Summary_LCIA!AB$32</f>
        <v>5.7646337907126199E-2</v>
      </c>
      <c r="BG143" s="137">
        <f>$W143*AL143+$L143*Summary_LCIA!AC$32</f>
        <v>2.9409062786478107E-5</v>
      </c>
      <c r="BH143" s="137">
        <f>$W143*AM143+$L143*Summary_LCIA!AD$32</f>
        <v>0.1036533211922929</v>
      </c>
      <c r="BI143" s="137">
        <f>$W143*AN143+$L143*Summary_LCIA!AE$32</f>
        <v>0.30297684515134532</v>
      </c>
      <c r="BJ143" s="137">
        <f>$W143*AO143+$L143*Summary_LCIA!AF$32</f>
        <v>2.6051169543799203E-2</v>
      </c>
      <c r="BK143" s="137">
        <f>$W143*AP143+$L143*Summary_LCIA!AG$32</f>
        <v>5.5403284237992003E-3</v>
      </c>
      <c r="BL143" s="137">
        <f>$W143*AQ143+$L143*Summary_LCIA!AH$32</f>
        <v>0.82641021672563375</v>
      </c>
      <c r="BM143" s="137">
        <f>$W143*AR143+$L143*Summary_LCIA!AI$32</f>
        <v>0.26602112355558816</v>
      </c>
    </row>
    <row r="144" spans="1:65" x14ac:dyDescent="0.25">
      <c r="A144" s="149">
        <v>345</v>
      </c>
      <c r="B144" s="149">
        <v>6</v>
      </c>
      <c r="C144" s="61">
        <v>38.990665999999997</v>
      </c>
      <c r="D144" s="61">
        <v>-77.026088000000001</v>
      </c>
      <c r="E144" s="61" t="s">
        <v>265</v>
      </c>
      <c r="F144" s="149">
        <v>86</v>
      </c>
      <c r="G144" s="61" t="s">
        <v>630</v>
      </c>
      <c r="H144" s="61" t="s">
        <v>644</v>
      </c>
      <c r="I144" s="61">
        <v>38.851241999999999</v>
      </c>
      <c r="J144" s="61">
        <v>-77.040232000000003</v>
      </c>
      <c r="K144" s="61">
        <v>22.001929870000001</v>
      </c>
      <c r="L144" s="61">
        <v>20.452000000000002</v>
      </c>
      <c r="M144" s="61" t="s">
        <v>617</v>
      </c>
      <c r="N144" s="149">
        <v>5</v>
      </c>
      <c r="O144" s="149">
        <v>6</v>
      </c>
      <c r="P144" s="61" t="s">
        <v>565</v>
      </c>
      <c r="Q144" s="61" t="s">
        <v>564</v>
      </c>
      <c r="R144" s="61">
        <v>41.98028</v>
      </c>
      <c r="S144" s="61">
        <v>-87.908997900000003</v>
      </c>
      <c r="T144" s="61">
        <v>1138.5550000000001</v>
      </c>
      <c r="U144" s="61" t="s">
        <v>617</v>
      </c>
      <c r="V144" s="61" t="s">
        <v>569</v>
      </c>
      <c r="W144" s="61" cm="1">
        <f t="array" ref="W144">getDistance(I144,J144,R144,S144)*SA!$B$12</f>
        <v>985.09467660045368</v>
      </c>
      <c r="X144" s="61"/>
      <c r="Y144" s="137">
        <f>Transportation_LCIA!C$61*($W144^Transportation_LCIA!C$60)+Transportation_LCIA!C$62</f>
        <v>0.2370864199991472</v>
      </c>
      <c r="Z144" s="137">
        <f>Transportation_LCIA!D$61*($W144^Transportation_LCIA!D$60)+Transportation_LCIA!D$62</f>
        <v>2.4393058219490786</v>
      </c>
      <c r="AA144" s="137">
        <f>Transportation_LCIA!E$61*($W144^Transportation_LCIA!E$60)+Transportation_LCIA!E$62</f>
        <v>1.1533446585003482E-3</v>
      </c>
      <c r="AB144" s="137">
        <f>Transportation_LCIA!F$61*($W144^Transportation_LCIA!F$60)+Transportation_LCIA!F$62</f>
        <v>0.2370864199991472</v>
      </c>
      <c r="AC144" s="137">
        <f>Transportation_LCIA!G$61*($W144^Transportation_LCIA!G$60)+Transportation_LCIA!G$62</f>
        <v>5.7007420199112084E-2</v>
      </c>
      <c r="AD144" s="137">
        <f>Transportation_LCIA!H$61*($W144^Transportation_LCIA!H$60)+Transportation_LCIA!H$62</f>
        <v>2.7877818988371404E-4</v>
      </c>
      <c r="AE144" s="137">
        <f>Transportation_LCIA!I$61*($W144^Transportation_LCIA!I$60)+Transportation_LCIA!I$62</f>
        <v>5.969993290824604E-6</v>
      </c>
      <c r="AF144" s="137">
        <f>Transportation_LCIA!J$61*($W144^Transportation_LCIA!J$60)+Transportation_LCIA!J$62</f>
        <v>8.8363701400098228E-3</v>
      </c>
      <c r="AG144" s="137">
        <f>Transportation_LCIA!K$61*($W144^Transportation_LCIA!K$60)+Transportation_LCIA!K$62</f>
        <v>1.2131655681962131E-2</v>
      </c>
      <c r="AH144" s="137">
        <f>Transportation_LCIA!L$61*($W144^Transportation_LCIA!L$60)+Transportation_LCIA!L$62</f>
        <v>2.4170361336866051E-4</v>
      </c>
      <c r="AI144" s="137">
        <f>Transportation_LCIA!M$61*($W144^Transportation_LCIA!M$60)+Transportation_LCIA!M$62</f>
        <v>2.4470196204605344E-4</v>
      </c>
      <c r="AJ144" s="137">
        <f>Transportation_LCIA!N$61*($W144^Transportation_LCIA!N$60)+Transportation_LCIA!N$62</f>
        <v>9.9651507889072025E-4</v>
      </c>
      <c r="AK144" s="137">
        <f>Transportation_LCIA!O$61*($W144^Transportation_LCIA!O$60)+Transportation_LCIA!O$62</f>
        <v>6.0241723006640731E-5</v>
      </c>
      <c r="AL144" s="137">
        <f>Transportation_LCIA!P$61*($W144^Transportation_LCIA!P$60)+Transportation_LCIA!P$62</f>
        <v>2.9132482944789785E-8</v>
      </c>
      <c r="AM144" s="137">
        <f>Transportation_LCIA!Q$61*($W144^Transportation_LCIA!Q$60)+Transportation_LCIA!Q$62</f>
        <v>9.5667002058853797E-5</v>
      </c>
      <c r="AN144" s="137">
        <f>Transportation_LCIA!R$61*($W144^Transportation_LCIA!R$60)+Transportation_LCIA!R$62</f>
        <v>2.8712201740427817E-4</v>
      </c>
      <c r="AO144" s="137">
        <f>Transportation_LCIA!S$61*($W144^Transportation_LCIA!S$60)+Transportation_LCIA!S$62</f>
        <v>4.332314477521164E-6</v>
      </c>
      <c r="AP144" s="137">
        <f>Transportation_LCIA!T$61*($W144^Transportation_LCIA!T$60)+Transportation_LCIA!T$62</f>
        <v>4.332314477521164E-6</v>
      </c>
      <c r="AQ144" s="137">
        <f>Transportation_LCIA!U$61*($W144^Transportation_LCIA!U$60)+Transportation_LCIA!U$62</f>
        <v>6.1636002099593767E-4</v>
      </c>
      <c r="AR144" s="137">
        <f>Transportation_LCIA!V$61*($W144^Transportation_LCIA!V$60)+Transportation_LCIA!V$62</f>
        <v>2.4879684586680414E-4</v>
      </c>
      <c r="AT144" s="137">
        <f>$W144*Y144+$L144*Summary_LCIA!H$32</f>
        <v>240.50215983541923</v>
      </c>
      <c r="AU144" s="137">
        <f>$W144*Z144+$L144*Summary_LCIA!Q$32</f>
        <v>2504.3083232582476</v>
      </c>
      <c r="AV144" s="137">
        <f>$W144*AA144+$L144*Summary_LCIA!R$32</f>
        <v>1.2438457345742611</v>
      </c>
      <c r="AW144" s="137">
        <f>$W144*AB144+$L144*Summary_LCIA!S$32</f>
        <v>240.41176199541923</v>
      </c>
      <c r="AX144" s="137">
        <f>$W144*AC144+$L144*Summary_LCIA!T$32</f>
        <v>58.405380964870488</v>
      </c>
      <c r="AY144" s="137">
        <f>$W144*AD144+$L144*Summary_LCIA!U$32</f>
        <v>0.64100003880675716</v>
      </c>
      <c r="AZ144" s="137">
        <f>$W144*AE144+$L144*Summary_LCIA!V$32</f>
        <v>6.8578165821317413E-3</v>
      </c>
      <c r="BA144" s="137">
        <f>$W144*AF144+$L144*Summary_LCIA!W$32</f>
        <v>10.278872077394881</v>
      </c>
      <c r="BB144" s="137">
        <f>$W144*AG144+$L144*Summary_LCIA!X$32</f>
        <v>12.416725990650542</v>
      </c>
      <c r="BC144" s="137">
        <f>$W144*AH144+$L144*Summary_LCIA!Y$32</f>
        <v>0.55678400684456175</v>
      </c>
      <c r="BD144" s="137">
        <f>$W144*AI144+$L144*Summary_LCIA!Z$32</f>
        <v>0.24189331623325352</v>
      </c>
      <c r="BE144" s="137">
        <f>$W144*AJ144+$L144*Summary_LCIA!AA$32</f>
        <v>1.4593386113673297</v>
      </c>
      <c r="BF144" s="137">
        <f>$W144*AK144+$L144*Summary_LCIA!AB$32</f>
        <v>5.8897476647080858E-2</v>
      </c>
      <c r="BG144" s="137">
        <f>$W144*AL144+$L144*Summary_LCIA!AC$32</f>
        <v>2.9698029433065925E-5</v>
      </c>
      <c r="BH144" s="137">
        <f>$W144*AM144+$L144*Summary_LCIA!AD$32</f>
        <v>0.10264764453450152</v>
      </c>
      <c r="BI144" s="137">
        <f>$W144*AN144+$L144*Summary_LCIA!AE$32</f>
        <v>0.30096550163973723</v>
      </c>
      <c r="BJ144" s="137">
        <f>$W144*AO144+$L144*Summary_LCIA!AF$32</f>
        <v>2.1558269769165177E-2</v>
      </c>
      <c r="BK144" s="137">
        <f>$W144*AP144+$L144*Summary_LCIA!AG$32</f>
        <v>5.3141665091651748E-3</v>
      </c>
      <c r="BL144" s="137">
        <f>$W144*AQ144+$L144*Summary_LCIA!AH$32</f>
        <v>0.78517900275244212</v>
      </c>
      <c r="BM144" s="137">
        <f>$W144*AR144+$L144*Summary_LCIA!AI$32</f>
        <v>0.26414050901837233</v>
      </c>
    </row>
    <row r="145" spans="1:65" x14ac:dyDescent="0.25">
      <c r="A145" s="149">
        <v>224</v>
      </c>
      <c r="B145" s="149">
        <v>6</v>
      </c>
      <c r="C145" s="61">
        <v>34.023434000000002</v>
      </c>
      <c r="D145" s="61">
        <v>-84.615489999999994</v>
      </c>
      <c r="E145" s="61" t="s">
        <v>265</v>
      </c>
      <c r="F145" s="149">
        <v>1</v>
      </c>
      <c r="G145" s="61" t="s">
        <v>565</v>
      </c>
      <c r="H145" s="61" t="s">
        <v>681</v>
      </c>
      <c r="I145" s="61">
        <v>33.640728000000003</v>
      </c>
      <c r="J145" s="61">
        <v>-84.427700000000002</v>
      </c>
      <c r="K145" s="61">
        <v>65.192234650000003</v>
      </c>
      <c r="L145" s="61">
        <v>57.293999999999997</v>
      </c>
      <c r="M145" s="61" t="s">
        <v>617</v>
      </c>
      <c r="N145" s="149">
        <v>5</v>
      </c>
      <c r="O145" s="149">
        <v>6</v>
      </c>
      <c r="P145" s="61" t="s">
        <v>565</v>
      </c>
      <c r="Q145" s="61" t="s">
        <v>564</v>
      </c>
      <c r="R145" s="61">
        <v>41.98028</v>
      </c>
      <c r="S145" s="61">
        <v>-87.908997900000003</v>
      </c>
      <c r="T145" s="61">
        <v>1142.6559999999999</v>
      </c>
      <c r="U145" s="61" t="s">
        <v>617</v>
      </c>
      <c r="V145" s="61" t="s">
        <v>569</v>
      </c>
      <c r="W145" s="61" cm="1">
        <f t="array" ref="W145">getDistance(I145,J145,R145,S145)*SA!$B$12</f>
        <v>976.67906347990493</v>
      </c>
      <c r="X145" s="61"/>
      <c r="Y145" s="137">
        <f>Transportation_LCIA!C$61*($W145^Transportation_LCIA!C$60)+Transportation_LCIA!C$62</f>
        <v>0.23799077256655485</v>
      </c>
      <c r="Z145" s="137">
        <f>Transportation_LCIA!D$61*($W145^Transportation_LCIA!D$60)+Transportation_LCIA!D$62</f>
        <v>2.4498664186649894</v>
      </c>
      <c r="AA145" s="137">
        <f>Transportation_LCIA!E$61*($W145^Transportation_LCIA!E$60)+Transportation_LCIA!E$62</f>
        <v>1.1602893527513285E-3</v>
      </c>
      <c r="AB145" s="137">
        <f>Transportation_LCIA!F$61*($W145^Transportation_LCIA!F$60)+Transportation_LCIA!F$62</f>
        <v>0.23799077256655485</v>
      </c>
      <c r="AC145" s="137">
        <f>Transportation_LCIA!G$61*($W145^Transportation_LCIA!G$60)+Transportation_LCIA!G$62</f>
        <v>5.7251738416183251E-2</v>
      </c>
      <c r="AD145" s="137">
        <f>Transportation_LCIA!H$61*($W145^Transportation_LCIA!H$60)+Transportation_LCIA!H$62</f>
        <v>2.8030572808339046E-4</v>
      </c>
      <c r="AE145" s="137">
        <f>Transportation_LCIA!I$61*($W145^Transportation_LCIA!I$60)+Transportation_LCIA!I$62</f>
        <v>6.0084688172437592E-6</v>
      </c>
      <c r="AF145" s="137">
        <f>Transportation_LCIA!J$61*($W145^Transportation_LCIA!J$60)+Transportation_LCIA!J$62</f>
        <v>8.8936917837252362E-3</v>
      </c>
      <c r="AG145" s="137">
        <f>Transportation_LCIA!K$61*($W145^Transportation_LCIA!K$60)+Transportation_LCIA!K$62</f>
        <v>1.2188706109794917E-2</v>
      </c>
      <c r="AH145" s="137">
        <f>Transportation_LCIA!L$61*($W145^Transportation_LCIA!L$60)+Transportation_LCIA!L$62</f>
        <v>2.4310816549771977E-4</v>
      </c>
      <c r="AI145" s="137">
        <f>Transportation_LCIA!M$61*($W145^Transportation_LCIA!M$60)+Transportation_LCIA!M$62</f>
        <v>2.455450128432447E-4</v>
      </c>
      <c r="AJ145" s="137">
        <f>Transportation_LCIA!N$61*($W145^Transportation_LCIA!N$60)+Transportation_LCIA!N$62</f>
        <v>1.0016506819662974E-3</v>
      </c>
      <c r="AK145" s="137">
        <f>Transportation_LCIA!O$61*($W145^Transportation_LCIA!O$60)+Transportation_LCIA!O$62</f>
        <v>6.050134712780058E-5</v>
      </c>
      <c r="AL145" s="137">
        <f>Transportation_LCIA!P$61*($W145^Transportation_LCIA!P$60)+Transportation_LCIA!P$62</f>
        <v>2.9257301489528483E-8</v>
      </c>
      <c r="AM145" s="137">
        <f>Transportation_LCIA!Q$61*($W145^Transportation_LCIA!Q$60)+Transportation_LCIA!Q$62</f>
        <v>9.6216231090364335E-5</v>
      </c>
      <c r="AN145" s="137">
        <f>Transportation_LCIA!R$61*($W145^Transportation_LCIA!R$60)+Transportation_LCIA!R$62</f>
        <v>2.8896705818992006E-4</v>
      </c>
      <c r="AO145" s="137">
        <f>Transportation_LCIA!S$61*($W145^Transportation_LCIA!S$60)+Transportation_LCIA!S$62</f>
        <v>4.3584988519816731E-6</v>
      </c>
      <c r="AP145" s="137">
        <f>Transportation_LCIA!T$61*($W145^Transportation_LCIA!T$60)+Transportation_LCIA!T$62</f>
        <v>4.3584988519816731E-6</v>
      </c>
      <c r="AQ145" s="137">
        <f>Transportation_LCIA!U$61*($W145^Transportation_LCIA!U$60)+Transportation_LCIA!U$62</f>
        <v>6.204066649837317E-4</v>
      </c>
      <c r="AR145" s="137">
        <f>Transportation_LCIA!V$61*($W145^Transportation_LCIA!V$60)+Transportation_LCIA!V$62</f>
        <v>2.502258212971912E-4</v>
      </c>
      <c r="AT145" s="137">
        <f>$W145*Y145+$L145*Summary_LCIA!H$32</f>
        <v>251.90910606716184</v>
      </c>
      <c r="AU145" s="137">
        <f>$W145*Z145+$L145*Summary_LCIA!Q$32</f>
        <v>2676.6851929408922</v>
      </c>
      <c r="AV145" s="137">
        <f>$W145*AA145+$L145*Summary_LCIA!R$32</f>
        <v>1.4349176048108725</v>
      </c>
      <c r="AW145" s="137">
        <f>$W145*AB145+$L145*Summary_LCIA!S$32</f>
        <v>251.65586658716185</v>
      </c>
      <c r="AX145" s="137">
        <f>$W145*AC145+$L145*Summary_LCIA!T$32</f>
        <v>62.213184858914353</v>
      </c>
      <c r="AY145" s="137">
        <f>$W145*AD145+$L145*Summary_LCIA!U$32</f>
        <v>1.3001334519925387</v>
      </c>
      <c r="AZ145" s="137">
        <f>$W145*AE145+$L145*Summary_LCIA!V$32</f>
        <v>8.6047644313738472E-3</v>
      </c>
      <c r="BA145" s="137">
        <f>$W145*AF145+$L145*Summary_LCIA!W$32</f>
        <v>13.096259036207687</v>
      </c>
      <c r="BB145" s="137">
        <f>$W145*AG145+$L145*Summary_LCIA!X$32</f>
        <v>13.209611388346294</v>
      </c>
      <c r="BC145" s="137">
        <f>$W145*AH145+$L145*Summary_LCIA!Y$32</f>
        <v>1.1301937634026307</v>
      </c>
      <c r="BD145" s="137">
        <f>$W145*AI145+$L145*Summary_LCIA!Z$32</f>
        <v>0.24216824283190147</v>
      </c>
      <c r="BE145" s="137">
        <f>$W145*AJ145+$L145*Summary_LCIA!AA$32</f>
        <v>2.3164499139968511</v>
      </c>
      <c r="BF145" s="137">
        <f>$W145*AK145+$L145*Summary_LCIA!AB$32</f>
        <v>5.7840072090052902E-2</v>
      </c>
      <c r="BG145" s="137">
        <f>$W145*AL145+$L145*Summary_LCIA!AC$32</f>
        <v>3.1375753714741908E-5</v>
      </c>
      <c r="BH145" s="137">
        <f>$W145*AM145+$L145*Summary_LCIA!AD$32</f>
        <v>0.11752250423290315</v>
      </c>
      <c r="BI145" s="137">
        <f>$W145*AN145+$L145*Summary_LCIA!AE$32</f>
        <v>0.33299800798947432</v>
      </c>
      <c r="BJ145" s="137">
        <f>$W145*AO145+$L145*Summary_LCIA!AF$32</f>
        <v>5.2694348056931704E-2</v>
      </c>
      <c r="BK145" s="137">
        <f>$W145*AP145+$L145*Summary_LCIA!AG$32</f>
        <v>7.1883020869317011E-3</v>
      </c>
      <c r="BL145" s="137">
        <f>$W145*AQ145+$L145*Summary_LCIA!AH$32</f>
        <v>1.1046022589330022</v>
      </c>
      <c r="BM145" s="137">
        <f>$W145*AR145+$L145*Summary_LCIA!AI$32</f>
        <v>0.29776254650303075</v>
      </c>
    </row>
    <row r="146" spans="1:65" x14ac:dyDescent="0.25">
      <c r="A146" s="149">
        <v>186</v>
      </c>
      <c r="B146" s="149">
        <v>6</v>
      </c>
      <c r="C146" s="61">
        <v>38.894278999999997</v>
      </c>
      <c r="D146" s="61">
        <v>-77.431099000000003</v>
      </c>
      <c r="E146" s="61" t="s">
        <v>265</v>
      </c>
      <c r="F146" s="149">
        <v>85</v>
      </c>
      <c r="G146" s="61" t="s">
        <v>630</v>
      </c>
      <c r="H146" s="61" t="s">
        <v>631</v>
      </c>
      <c r="I146" s="61">
        <v>38.953116000000001</v>
      </c>
      <c r="J146" s="61">
        <v>-77.456539000000006</v>
      </c>
      <c r="K146" s="61">
        <v>9.3021399710000008</v>
      </c>
      <c r="L146" s="61">
        <v>12.042999999999999</v>
      </c>
      <c r="M146" s="61" t="s">
        <v>617</v>
      </c>
      <c r="N146" s="149">
        <v>5</v>
      </c>
      <c r="O146" s="149">
        <v>6</v>
      </c>
      <c r="P146" s="61" t="s">
        <v>565</v>
      </c>
      <c r="Q146" s="61" t="s">
        <v>564</v>
      </c>
      <c r="R146" s="61">
        <v>41.98028</v>
      </c>
      <c r="S146" s="61">
        <v>-87.908997900000003</v>
      </c>
      <c r="T146" s="61">
        <v>1145.222</v>
      </c>
      <c r="U146" s="61" t="s">
        <v>617</v>
      </c>
      <c r="V146" s="61" t="s">
        <v>569</v>
      </c>
      <c r="W146" s="61" cm="1">
        <f t="array" ref="W146">getDistance(I146,J146,R146,S146)*SA!$B$12</f>
        <v>947.50539515115577</v>
      </c>
      <c r="X146" s="61"/>
      <c r="Y146" s="137">
        <f>Transportation_LCIA!C$61*($W146^Transportation_LCIA!C$60)+Transportation_LCIA!C$62</f>
        <v>0.24123994717611602</v>
      </c>
      <c r="Z146" s="137">
        <f>Transportation_LCIA!D$61*($W146^Transportation_LCIA!D$60)+Transportation_LCIA!D$62</f>
        <v>2.4878408827076006</v>
      </c>
      <c r="AA146" s="137">
        <f>Transportation_LCIA!E$61*($W146^Transportation_LCIA!E$60)+Transportation_LCIA!E$62</f>
        <v>1.1852674718811078E-3</v>
      </c>
      <c r="AB146" s="137">
        <f>Transportation_LCIA!F$61*($W146^Transportation_LCIA!F$60)+Transportation_LCIA!F$62</f>
        <v>0.24123994717611602</v>
      </c>
      <c r="AC146" s="137">
        <f>Transportation_LCIA!G$61*($W146^Transportation_LCIA!G$60)+Transportation_LCIA!G$62</f>
        <v>5.8130229961751413E-2</v>
      </c>
      <c r="AD146" s="137">
        <f>Transportation_LCIA!H$61*($W146^Transportation_LCIA!H$60)+Transportation_LCIA!H$62</f>
        <v>2.8580243989814041E-4</v>
      </c>
      <c r="AE146" s="137">
        <f>Transportation_LCIA!I$61*($W146^Transportation_LCIA!I$60)+Transportation_LCIA!I$62</f>
        <v>6.1470245572439961E-6</v>
      </c>
      <c r="AF146" s="137">
        <f>Transportation_LCIA!J$61*($W146^Transportation_LCIA!J$60)+Transportation_LCIA!J$62</f>
        <v>9.1002172415569245E-3</v>
      </c>
      <c r="AG146" s="137">
        <f>Transportation_LCIA!K$61*($W146^Transportation_LCIA!K$60)+Transportation_LCIA!K$62</f>
        <v>1.2393929342404509E-2</v>
      </c>
      <c r="AH146" s="137">
        <f>Transportation_LCIA!L$61*($W146^Transportation_LCIA!L$60)+Transportation_LCIA!L$62</f>
        <v>2.4816341330375431E-4</v>
      </c>
      <c r="AI146" s="137">
        <f>Transportation_LCIA!M$61*($W146^Transportation_LCIA!M$60)+Transportation_LCIA!M$62</f>
        <v>2.4857873470520738E-4</v>
      </c>
      <c r="AJ146" s="137">
        <f>Transportation_LCIA!N$61*($W146^Transportation_LCIA!N$60)+Transportation_LCIA!N$62</f>
        <v>1.0201295851308028E-3</v>
      </c>
      <c r="AK146" s="137">
        <f>Transportation_LCIA!O$61*($W146^Transportation_LCIA!O$60)+Transportation_LCIA!O$62</f>
        <v>6.1434895629106112E-5</v>
      </c>
      <c r="AL146" s="137">
        <f>Transportation_LCIA!P$61*($W146^Transportation_LCIA!P$60)+Transportation_LCIA!P$62</f>
        <v>2.9706091927833148E-8</v>
      </c>
      <c r="AM146" s="137">
        <f>Transportation_LCIA!Q$61*($W146^Transportation_LCIA!Q$60)+Transportation_LCIA!Q$62</f>
        <v>9.8193239540815934E-5</v>
      </c>
      <c r="AN146" s="137">
        <f>Transportation_LCIA!R$61*($W146^Transportation_LCIA!R$60)+Transportation_LCIA!R$62</f>
        <v>2.9561142919577987E-4</v>
      </c>
      <c r="AO146" s="137">
        <f>Transportation_LCIA!S$61*($W146^Transportation_LCIA!S$60)+Transportation_LCIA!S$62</f>
        <v>4.4527909660357503E-6</v>
      </c>
      <c r="AP146" s="137">
        <f>Transportation_LCIA!T$61*($W146^Transportation_LCIA!T$60)+Transportation_LCIA!T$62</f>
        <v>4.4527909660357503E-6</v>
      </c>
      <c r="AQ146" s="137">
        <f>Transportation_LCIA!U$61*($W146^Transportation_LCIA!U$60)+Transportation_LCIA!U$62</f>
        <v>6.3498155620491487E-4</v>
      </c>
      <c r="AR146" s="137">
        <f>Transportation_LCIA!V$61*($W146^Transportation_LCIA!V$60)+Transportation_LCIA!V$62</f>
        <v>2.5537034152400519E-4</v>
      </c>
      <c r="AT146" s="137">
        <f>$W146*Y146+$L146*Summary_LCIA!H$32</f>
        <v>232.66836287534974</v>
      </c>
      <c r="AU146" s="137">
        <f>$W146*Z146+$L146*Summary_LCIA!Q$32</f>
        <v>2416.9283740076839</v>
      </c>
      <c r="AV146" s="137">
        <f>$W146*AA146+$L146*Summary_LCIA!R$32</f>
        <v>1.1864609451045205</v>
      </c>
      <c r="AW146" s="137">
        <f>$W146*AB146+$L146*Summary_LCIA!S$32</f>
        <v>232.61513281534974</v>
      </c>
      <c r="AX146" s="137">
        <f>$W146*AC146+$L146*Summary_LCIA!T$32</f>
        <v>56.402232210136823</v>
      </c>
      <c r="AY146" s="137">
        <f>$W146*AD146+$L146*Summary_LCIA!U$32</f>
        <v>0.48653765575085195</v>
      </c>
      <c r="AZ146" s="137">
        <f>$W146*AE146+$L146*Summary_LCIA!V$32</f>
        <v>6.3995246551153311E-3</v>
      </c>
      <c r="BA146" s="137">
        <f>$W146*AF146+$L146*Summary_LCIA!W$32</f>
        <v>9.5494666864227558</v>
      </c>
      <c r="BB146" s="137">
        <f>$W146*AG146+$L146*Summary_LCIA!X$32</f>
        <v>12.017654459050489</v>
      </c>
      <c r="BC146" s="137">
        <f>$W146*AH146+$L146*Summary_LCIA!Y$32</f>
        <v>0.42279019898443332</v>
      </c>
      <c r="BD146" s="137">
        <f>$W146*AI146+$L146*Summary_LCIA!Z$32</f>
        <v>0.23602356364003182</v>
      </c>
      <c r="BE146" s="137">
        <f>$W146*AJ146+$L146*Summary_LCIA!AA$32</f>
        <v>1.2478545936647458</v>
      </c>
      <c r="BF146" s="137">
        <f>$W146*AK146+$L146*Summary_LCIA!AB$32</f>
        <v>5.7947080670126203E-2</v>
      </c>
      <c r="BG146" s="137">
        <f>$W146*AL146+$L146*Summary_LCIA!AC$32</f>
        <v>2.8735392382478108E-5</v>
      </c>
      <c r="BH146" s="137">
        <f>$W146*AM146+$L146*Summary_LCIA!AD$32</f>
        <v>9.7988778952292896E-2</v>
      </c>
      <c r="BI146" s="137">
        <f>$W146*AN146+$L146*Summary_LCIA!AE$32</f>
        <v>0.29076508762134529</v>
      </c>
      <c r="BJ146" s="137">
        <f>$W146*AO146+$L146*Summary_LCIA!AF$32</f>
        <v>1.4400436523799201E-2</v>
      </c>
      <c r="BK146" s="137">
        <f>$W146*AP146+$L146*Summary_LCIA!AG$32</f>
        <v>4.8352235587992001E-3</v>
      </c>
      <c r="BL146" s="137">
        <f>$W146*AQ146+$L146*Summary_LCIA!AH$32</f>
        <v>0.70646590512563379</v>
      </c>
      <c r="BM146" s="137">
        <f>$W146*AR146+$L146*Summary_LCIA!AI$32</f>
        <v>0.25318343300558815</v>
      </c>
    </row>
    <row r="147" spans="1:65" x14ac:dyDescent="0.25">
      <c r="A147" s="149">
        <v>194</v>
      </c>
      <c r="B147" s="149">
        <v>6</v>
      </c>
      <c r="C147" s="61">
        <v>38.990848999999997</v>
      </c>
      <c r="D147" s="61">
        <v>-76.944141000000002</v>
      </c>
      <c r="E147" s="61" t="s">
        <v>265</v>
      </c>
      <c r="F147" s="149">
        <v>86</v>
      </c>
      <c r="G147" s="61" t="s">
        <v>630</v>
      </c>
      <c r="H147" s="61" t="s">
        <v>644</v>
      </c>
      <c r="I147" s="61">
        <v>38.851241999999999</v>
      </c>
      <c r="J147" s="61">
        <v>-77.040232000000003</v>
      </c>
      <c r="K147" s="61">
        <v>24.195713640000001</v>
      </c>
      <c r="L147" s="61">
        <v>33.975999999999999</v>
      </c>
      <c r="M147" s="61" t="s">
        <v>617</v>
      </c>
      <c r="N147" s="149">
        <v>5</v>
      </c>
      <c r="O147" s="149">
        <v>6</v>
      </c>
      <c r="P147" s="61" t="s">
        <v>565</v>
      </c>
      <c r="Q147" s="61" t="s">
        <v>564</v>
      </c>
      <c r="R147" s="61">
        <v>41.98028</v>
      </c>
      <c r="S147" s="61">
        <v>-87.908997900000003</v>
      </c>
      <c r="T147" s="61">
        <v>1147.633</v>
      </c>
      <c r="U147" s="61" t="s">
        <v>617</v>
      </c>
      <c r="V147" s="61" t="s">
        <v>569</v>
      </c>
      <c r="W147" s="61" cm="1">
        <f t="array" ref="W147">getDistance(I147,J147,R147,S147)*SA!$B$12</f>
        <v>985.09467660045368</v>
      </c>
      <c r="X147" s="61"/>
      <c r="Y147" s="137">
        <f>Transportation_LCIA!C$61*($W147^Transportation_LCIA!C$60)+Transportation_LCIA!C$62</f>
        <v>0.2370864199991472</v>
      </c>
      <c r="Z147" s="137">
        <f>Transportation_LCIA!D$61*($W147^Transportation_LCIA!D$60)+Transportation_LCIA!D$62</f>
        <v>2.4393058219490786</v>
      </c>
      <c r="AA147" s="137">
        <f>Transportation_LCIA!E$61*($W147^Transportation_LCIA!E$60)+Transportation_LCIA!E$62</f>
        <v>1.1533446585003482E-3</v>
      </c>
      <c r="AB147" s="137">
        <f>Transportation_LCIA!F$61*($W147^Transportation_LCIA!F$60)+Transportation_LCIA!F$62</f>
        <v>0.2370864199991472</v>
      </c>
      <c r="AC147" s="137">
        <f>Transportation_LCIA!G$61*($W147^Transportation_LCIA!G$60)+Transportation_LCIA!G$62</f>
        <v>5.7007420199112084E-2</v>
      </c>
      <c r="AD147" s="137">
        <f>Transportation_LCIA!H$61*($W147^Transportation_LCIA!H$60)+Transportation_LCIA!H$62</f>
        <v>2.7877818988371404E-4</v>
      </c>
      <c r="AE147" s="137">
        <f>Transportation_LCIA!I$61*($W147^Transportation_LCIA!I$60)+Transportation_LCIA!I$62</f>
        <v>5.969993290824604E-6</v>
      </c>
      <c r="AF147" s="137">
        <f>Transportation_LCIA!J$61*($W147^Transportation_LCIA!J$60)+Transportation_LCIA!J$62</f>
        <v>8.8363701400098228E-3</v>
      </c>
      <c r="AG147" s="137">
        <f>Transportation_LCIA!K$61*($W147^Transportation_LCIA!K$60)+Transportation_LCIA!K$62</f>
        <v>1.2131655681962131E-2</v>
      </c>
      <c r="AH147" s="137">
        <f>Transportation_LCIA!L$61*($W147^Transportation_LCIA!L$60)+Transportation_LCIA!L$62</f>
        <v>2.4170361336866051E-4</v>
      </c>
      <c r="AI147" s="137">
        <f>Transportation_LCIA!M$61*($W147^Transportation_LCIA!M$60)+Transportation_LCIA!M$62</f>
        <v>2.4470196204605344E-4</v>
      </c>
      <c r="AJ147" s="137">
        <f>Transportation_LCIA!N$61*($W147^Transportation_LCIA!N$60)+Transportation_LCIA!N$62</f>
        <v>9.9651507889072025E-4</v>
      </c>
      <c r="AK147" s="137">
        <f>Transportation_LCIA!O$61*($W147^Transportation_LCIA!O$60)+Transportation_LCIA!O$62</f>
        <v>6.0241723006640731E-5</v>
      </c>
      <c r="AL147" s="137">
        <f>Transportation_LCIA!P$61*($W147^Transportation_LCIA!P$60)+Transportation_LCIA!P$62</f>
        <v>2.9132482944789785E-8</v>
      </c>
      <c r="AM147" s="137">
        <f>Transportation_LCIA!Q$61*($W147^Transportation_LCIA!Q$60)+Transportation_LCIA!Q$62</f>
        <v>9.5667002058853797E-5</v>
      </c>
      <c r="AN147" s="137">
        <f>Transportation_LCIA!R$61*($W147^Transportation_LCIA!R$60)+Transportation_LCIA!R$62</f>
        <v>2.8712201740427817E-4</v>
      </c>
      <c r="AO147" s="137">
        <f>Transportation_LCIA!S$61*($W147^Transportation_LCIA!S$60)+Transportation_LCIA!S$62</f>
        <v>4.332314477521164E-6</v>
      </c>
      <c r="AP147" s="137">
        <f>Transportation_LCIA!T$61*($W147^Transportation_LCIA!T$60)+Transportation_LCIA!T$62</f>
        <v>4.332314477521164E-6</v>
      </c>
      <c r="AQ147" s="137">
        <f>Transportation_LCIA!U$61*($W147^Transportation_LCIA!U$60)+Transportation_LCIA!U$62</f>
        <v>6.1636002099593767E-4</v>
      </c>
      <c r="AR147" s="137">
        <f>Transportation_LCIA!V$61*($W147^Transportation_LCIA!V$60)+Transportation_LCIA!V$62</f>
        <v>2.4879684586680414E-4</v>
      </c>
      <c r="AT147" s="137">
        <f>$W147*Y147+$L147*Summary_LCIA!H$32</f>
        <v>245.09761503541924</v>
      </c>
      <c r="AU147" s="137">
        <f>$W147*Z147+$L147*Summary_LCIA!Q$32</f>
        <v>2571.3339493141393</v>
      </c>
      <c r="AV147" s="137">
        <f>$W147*AA147+$L147*Summary_LCIA!R$32</f>
        <v>1.3150577089742612</v>
      </c>
      <c r="AW147" s="137">
        <f>$W147*AB147+$L147*Summary_LCIA!S$32</f>
        <v>244.94744111541925</v>
      </c>
      <c r="AX147" s="137">
        <f>$W147*AC147+$L147*Summary_LCIA!T$32</f>
        <v>59.891668564870493</v>
      </c>
      <c r="AY147" s="137">
        <f>$W147*AD147+$L147*Summary_LCIA!U$32</f>
        <v>0.88326897480675715</v>
      </c>
      <c r="AZ147" s="137">
        <f>$W147*AE147+$L147*Summary_LCIA!V$32</f>
        <v>7.5037363461317409E-3</v>
      </c>
      <c r="BA147" s="137">
        <f>$W147*AF147+$L147*Summary_LCIA!W$32</f>
        <v>11.319827881394881</v>
      </c>
      <c r="BB147" s="137">
        <f>$W147*AG147+$L147*Summary_LCIA!X$32</f>
        <v>12.724802710650541</v>
      </c>
      <c r="BC147" s="137">
        <f>$W147*AH147+$L147*Summary_LCIA!Y$32</f>
        <v>0.76751497484456177</v>
      </c>
      <c r="BD147" s="137">
        <f>$W147*AI147+$L147*Summary_LCIA!Z$32</f>
        <v>0.24244792194925352</v>
      </c>
      <c r="BE147" s="137">
        <f>$W147*AJ147+$L147*Summary_LCIA!AA$32</f>
        <v>1.7752051553673294</v>
      </c>
      <c r="BF147" s="137">
        <f>$W147*AK147+$L147*Summary_LCIA!AB$32</f>
        <v>5.8602342395080859E-2</v>
      </c>
      <c r="BG147" s="137">
        <f>$W147*AL147+$L147*Summary_LCIA!AC$32</f>
        <v>3.0359136649065925E-5</v>
      </c>
      <c r="BH147" s="137">
        <f>$W147*AM147+$L147*Summary_LCIA!AD$32</f>
        <v>0.10820654949450152</v>
      </c>
      <c r="BI147" s="137">
        <f>$W147*AN147+$L147*Summary_LCIA!AE$32</f>
        <v>0.31294952375973722</v>
      </c>
      <c r="BJ147" s="137">
        <f>$W147*AO147+$L147*Summary_LCIA!AF$32</f>
        <v>3.299172984916518E-2</v>
      </c>
      <c r="BK147" s="137">
        <f>$W147*AP147+$L147*Summary_LCIA!AG$32</f>
        <v>6.0061219691651749E-3</v>
      </c>
      <c r="BL147" s="137">
        <f>$W147*AQ147+$L147*Summary_LCIA!AH$32</f>
        <v>0.90288648915244218</v>
      </c>
      <c r="BM147" s="137">
        <f>$W147*AR147+$L147*Summary_LCIA!AI$32</f>
        <v>0.27673879121837236</v>
      </c>
    </row>
    <row r="148" spans="1:65" x14ac:dyDescent="0.25">
      <c r="A148" s="149">
        <v>195</v>
      </c>
      <c r="B148" s="149">
        <v>6</v>
      </c>
      <c r="C148" s="61">
        <v>38.990848999999997</v>
      </c>
      <c r="D148" s="61">
        <v>-76.944141000000002</v>
      </c>
      <c r="E148" s="61" t="s">
        <v>265</v>
      </c>
      <c r="F148" s="149">
        <v>86</v>
      </c>
      <c r="G148" s="61" t="s">
        <v>630</v>
      </c>
      <c r="H148" s="61" t="s">
        <v>644</v>
      </c>
      <c r="I148" s="61">
        <v>38.851241999999999</v>
      </c>
      <c r="J148" s="61">
        <v>-77.040232000000003</v>
      </c>
      <c r="K148" s="61">
        <v>24.195713640000001</v>
      </c>
      <c r="L148" s="61">
        <v>33.975999999999999</v>
      </c>
      <c r="M148" s="61" t="s">
        <v>617</v>
      </c>
      <c r="N148" s="149">
        <v>5</v>
      </c>
      <c r="O148" s="149">
        <v>6</v>
      </c>
      <c r="P148" s="61" t="s">
        <v>565</v>
      </c>
      <c r="Q148" s="61" t="s">
        <v>564</v>
      </c>
      <c r="R148" s="61">
        <v>41.98028</v>
      </c>
      <c r="S148" s="61">
        <v>-87.908997900000003</v>
      </c>
      <c r="T148" s="61">
        <v>1147.633</v>
      </c>
      <c r="U148" s="61" t="s">
        <v>617</v>
      </c>
      <c r="V148" s="61" t="s">
        <v>569</v>
      </c>
      <c r="W148" s="61" cm="1">
        <f t="array" ref="W148">getDistance(I148,J148,R148,S148)*SA!$B$12</f>
        <v>985.09467660045368</v>
      </c>
      <c r="X148" s="61"/>
      <c r="Y148" s="137">
        <f>Transportation_LCIA!C$61*($W148^Transportation_LCIA!C$60)+Transportation_LCIA!C$62</f>
        <v>0.2370864199991472</v>
      </c>
      <c r="Z148" s="137">
        <f>Transportation_LCIA!D$61*($W148^Transportation_LCIA!D$60)+Transportation_LCIA!D$62</f>
        <v>2.4393058219490786</v>
      </c>
      <c r="AA148" s="137">
        <f>Transportation_LCIA!E$61*($W148^Transportation_LCIA!E$60)+Transportation_LCIA!E$62</f>
        <v>1.1533446585003482E-3</v>
      </c>
      <c r="AB148" s="137">
        <f>Transportation_LCIA!F$61*($W148^Transportation_LCIA!F$60)+Transportation_LCIA!F$62</f>
        <v>0.2370864199991472</v>
      </c>
      <c r="AC148" s="137">
        <f>Transportation_LCIA!G$61*($W148^Transportation_LCIA!G$60)+Transportation_LCIA!G$62</f>
        <v>5.7007420199112084E-2</v>
      </c>
      <c r="AD148" s="137">
        <f>Transportation_LCIA!H$61*($W148^Transportation_LCIA!H$60)+Transportation_LCIA!H$62</f>
        <v>2.7877818988371404E-4</v>
      </c>
      <c r="AE148" s="137">
        <f>Transportation_LCIA!I$61*($W148^Transportation_LCIA!I$60)+Transportation_LCIA!I$62</f>
        <v>5.969993290824604E-6</v>
      </c>
      <c r="AF148" s="137">
        <f>Transportation_LCIA!J$61*($W148^Transportation_LCIA!J$60)+Transportation_LCIA!J$62</f>
        <v>8.8363701400098228E-3</v>
      </c>
      <c r="AG148" s="137">
        <f>Transportation_LCIA!K$61*($W148^Transportation_LCIA!K$60)+Transportation_LCIA!K$62</f>
        <v>1.2131655681962131E-2</v>
      </c>
      <c r="AH148" s="137">
        <f>Transportation_LCIA!L$61*($W148^Transportation_LCIA!L$60)+Transportation_LCIA!L$62</f>
        <v>2.4170361336866051E-4</v>
      </c>
      <c r="AI148" s="137">
        <f>Transportation_LCIA!M$61*($W148^Transportation_LCIA!M$60)+Transportation_LCIA!M$62</f>
        <v>2.4470196204605344E-4</v>
      </c>
      <c r="AJ148" s="137">
        <f>Transportation_LCIA!N$61*($W148^Transportation_LCIA!N$60)+Transportation_LCIA!N$62</f>
        <v>9.9651507889072025E-4</v>
      </c>
      <c r="AK148" s="137">
        <f>Transportation_LCIA!O$61*($W148^Transportation_LCIA!O$60)+Transportation_LCIA!O$62</f>
        <v>6.0241723006640731E-5</v>
      </c>
      <c r="AL148" s="137">
        <f>Transportation_LCIA!P$61*($W148^Transportation_LCIA!P$60)+Transportation_LCIA!P$62</f>
        <v>2.9132482944789785E-8</v>
      </c>
      <c r="AM148" s="137">
        <f>Transportation_LCIA!Q$61*($W148^Transportation_LCIA!Q$60)+Transportation_LCIA!Q$62</f>
        <v>9.5667002058853797E-5</v>
      </c>
      <c r="AN148" s="137">
        <f>Transportation_LCIA!R$61*($W148^Transportation_LCIA!R$60)+Transportation_LCIA!R$62</f>
        <v>2.8712201740427817E-4</v>
      </c>
      <c r="AO148" s="137">
        <f>Transportation_LCIA!S$61*($W148^Transportation_LCIA!S$60)+Transportation_LCIA!S$62</f>
        <v>4.332314477521164E-6</v>
      </c>
      <c r="AP148" s="137">
        <f>Transportation_LCIA!T$61*($W148^Transportation_LCIA!T$60)+Transportation_LCIA!T$62</f>
        <v>4.332314477521164E-6</v>
      </c>
      <c r="AQ148" s="137">
        <f>Transportation_LCIA!U$61*($W148^Transportation_LCIA!U$60)+Transportation_LCIA!U$62</f>
        <v>6.1636002099593767E-4</v>
      </c>
      <c r="AR148" s="137">
        <f>Transportation_LCIA!V$61*($W148^Transportation_LCIA!V$60)+Transportation_LCIA!V$62</f>
        <v>2.4879684586680414E-4</v>
      </c>
      <c r="AT148" s="137">
        <f>$W148*Y148+$L148*Summary_LCIA!H$32</f>
        <v>245.09761503541924</v>
      </c>
      <c r="AU148" s="137">
        <f>$W148*Z148+$L148*Summary_LCIA!Q$32</f>
        <v>2571.3339493141393</v>
      </c>
      <c r="AV148" s="137">
        <f>$W148*AA148+$L148*Summary_LCIA!R$32</f>
        <v>1.3150577089742612</v>
      </c>
      <c r="AW148" s="137">
        <f>$W148*AB148+$L148*Summary_LCIA!S$32</f>
        <v>244.94744111541925</v>
      </c>
      <c r="AX148" s="137">
        <f>$W148*AC148+$L148*Summary_LCIA!T$32</f>
        <v>59.891668564870493</v>
      </c>
      <c r="AY148" s="137">
        <f>$W148*AD148+$L148*Summary_LCIA!U$32</f>
        <v>0.88326897480675715</v>
      </c>
      <c r="AZ148" s="137">
        <f>$W148*AE148+$L148*Summary_LCIA!V$32</f>
        <v>7.5037363461317409E-3</v>
      </c>
      <c r="BA148" s="137">
        <f>$W148*AF148+$L148*Summary_LCIA!W$32</f>
        <v>11.319827881394881</v>
      </c>
      <c r="BB148" s="137">
        <f>$W148*AG148+$L148*Summary_LCIA!X$32</f>
        <v>12.724802710650541</v>
      </c>
      <c r="BC148" s="137">
        <f>$W148*AH148+$L148*Summary_LCIA!Y$32</f>
        <v>0.76751497484456177</v>
      </c>
      <c r="BD148" s="137">
        <f>$W148*AI148+$L148*Summary_LCIA!Z$32</f>
        <v>0.24244792194925352</v>
      </c>
      <c r="BE148" s="137">
        <f>$W148*AJ148+$L148*Summary_LCIA!AA$32</f>
        <v>1.7752051553673294</v>
      </c>
      <c r="BF148" s="137">
        <f>$W148*AK148+$L148*Summary_LCIA!AB$32</f>
        <v>5.8602342395080859E-2</v>
      </c>
      <c r="BG148" s="137">
        <f>$W148*AL148+$L148*Summary_LCIA!AC$32</f>
        <v>3.0359136649065925E-5</v>
      </c>
      <c r="BH148" s="137">
        <f>$W148*AM148+$L148*Summary_LCIA!AD$32</f>
        <v>0.10820654949450152</v>
      </c>
      <c r="BI148" s="137">
        <f>$W148*AN148+$L148*Summary_LCIA!AE$32</f>
        <v>0.31294952375973722</v>
      </c>
      <c r="BJ148" s="137">
        <f>$W148*AO148+$L148*Summary_LCIA!AF$32</f>
        <v>3.299172984916518E-2</v>
      </c>
      <c r="BK148" s="137">
        <f>$W148*AP148+$L148*Summary_LCIA!AG$32</f>
        <v>6.0061219691651749E-3</v>
      </c>
      <c r="BL148" s="137">
        <f>$W148*AQ148+$L148*Summary_LCIA!AH$32</f>
        <v>0.90288648915244218</v>
      </c>
      <c r="BM148" s="137">
        <f>$W148*AR148+$L148*Summary_LCIA!AI$32</f>
        <v>0.27673879121837236</v>
      </c>
    </row>
    <row r="149" spans="1:65" x14ac:dyDescent="0.25">
      <c r="A149" s="149">
        <v>157</v>
      </c>
      <c r="B149" s="149">
        <v>6</v>
      </c>
      <c r="C149" s="61">
        <v>39.034832000000002</v>
      </c>
      <c r="D149" s="61">
        <v>-76.907473999999993</v>
      </c>
      <c r="E149" s="61" t="s">
        <v>265</v>
      </c>
      <c r="F149" s="149">
        <v>82</v>
      </c>
      <c r="G149" s="61" t="s">
        <v>684</v>
      </c>
      <c r="H149" s="61" t="s">
        <v>685</v>
      </c>
      <c r="I149" s="61">
        <v>39.177404000000003</v>
      </c>
      <c r="J149" s="61">
        <v>-76.668391999999997</v>
      </c>
      <c r="K149" s="61">
        <v>32.055941840000003</v>
      </c>
      <c r="L149" s="61">
        <v>31.834</v>
      </c>
      <c r="M149" s="61" t="s">
        <v>617</v>
      </c>
      <c r="N149" s="149">
        <v>5</v>
      </c>
      <c r="O149" s="149">
        <v>6</v>
      </c>
      <c r="P149" s="61" t="s">
        <v>565</v>
      </c>
      <c r="Q149" s="61" t="s">
        <v>564</v>
      </c>
      <c r="R149" s="61">
        <v>41.98028</v>
      </c>
      <c r="S149" s="61">
        <v>-87.908997900000003</v>
      </c>
      <c r="T149" s="61">
        <v>1148.173</v>
      </c>
      <c r="U149" s="61" t="s">
        <v>617</v>
      </c>
      <c r="V149" s="61" t="s">
        <v>569</v>
      </c>
      <c r="W149" s="61" cm="1">
        <f t="array" ref="W149">getDistance(I149,J149,R149,S149)*SA!$B$12</f>
        <v>1000.6132088037757</v>
      </c>
      <c r="X149" s="61"/>
      <c r="Y149" s="137">
        <f>Transportation_LCIA!C$61*($W149^Transportation_LCIA!C$60)+Transportation_LCIA!C$62</f>
        <v>0.23545549201117222</v>
      </c>
      <c r="Z149" s="137">
        <f>Transportation_LCIA!D$61*($W149^Transportation_LCIA!D$60)+Transportation_LCIA!D$62</f>
        <v>2.4202706213242857</v>
      </c>
      <c r="AA149" s="137">
        <f>Transportation_LCIA!E$61*($W149^Transportation_LCIA!E$60)+Transportation_LCIA!E$62</f>
        <v>1.1408288746412865E-3</v>
      </c>
      <c r="AB149" s="137">
        <f>Transportation_LCIA!F$61*($W149^Transportation_LCIA!F$60)+Transportation_LCIA!F$62</f>
        <v>0.23545549201117222</v>
      </c>
      <c r="AC149" s="137">
        <f>Transportation_LCIA!G$61*($W149^Transportation_LCIA!G$60)+Transportation_LCIA!G$62</f>
        <v>5.6567029490067894E-2</v>
      </c>
      <c r="AD149" s="137">
        <f>Transportation_LCIA!H$61*($W149^Transportation_LCIA!H$60)+Transportation_LCIA!H$62</f>
        <v>2.7602605046665079E-4</v>
      </c>
      <c r="AE149" s="137">
        <f>Transportation_LCIA!I$61*($W149^Transportation_LCIA!I$60)+Transportation_LCIA!I$62</f>
        <v>5.9007051245170717E-6</v>
      </c>
      <c r="AF149" s="137">
        <f>Transportation_LCIA!J$61*($W149^Transportation_LCIA!J$60)+Transportation_LCIA!J$62</f>
        <v>8.7331748305765275E-3</v>
      </c>
      <c r="AG149" s="137">
        <f>Transportation_LCIA!K$61*($W149^Transportation_LCIA!K$60)+Transportation_LCIA!K$62</f>
        <v>1.202884789194781E-2</v>
      </c>
      <c r="AH149" s="137">
        <f>Transportation_LCIA!L$61*($W149^Transportation_LCIA!L$60)+Transportation_LCIA!L$62</f>
        <v>2.3917339407197619E-4</v>
      </c>
      <c r="AI149" s="137">
        <f>Transportation_LCIA!M$61*($W149^Transportation_LCIA!M$60)+Transportation_LCIA!M$62</f>
        <v>2.4318307597628473E-4</v>
      </c>
      <c r="AJ149" s="137">
        <f>Transportation_LCIA!N$61*($W149^Transportation_LCIA!N$60)+Transportation_LCIA!N$62</f>
        <v>9.8726200560057169E-4</v>
      </c>
      <c r="AK149" s="137">
        <f>Transportation_LCIA!O$61*($W149^Transportation_LCIA!O$60)+Transportation_LCIA!O$62</f>
        <v>5.9773749710491345E-5</v>
      </c>
      <c r="AL149" s="137">
        <f>Transportation_LCIA!P$61*($W149^Transportation_LCIA!P$60)+Transportation_LCIA!P$62</f>
        <v>2.8907488339561379E-8</v>
      </c>
      <c r="AM149" s="137">
        <f>Transportation_LCIA!Q$61*($W149^Transportation_LCIA!Q$60)+Transportation_LCIA!Q$62</f>
        <v>9.467766898012229E-5</v>
      </c>
      <c r="AN149" s="137">
        <f>Transportation_LCIA!R$61*($W149^Transportation_LCIA!R$60)+Transportation_LCIA!R$62</f>
        <v>2.8379943666853271E-4</v>
      </c>
      <c r="AO149" s="137">
        <f>Transportation_LCIA!S$61*($W149^Transportation_LCIA!S$60)+Transportation_LCIA!S$62</f>
        <v>4.2851602210115667E-6</v>
      </c>
      <c r="AP149" s="137">
        <f>Transportation_LCIA!T$61*($W149^Transportation_LCIA!T$60)+Transportation_LCIA!T$62</f>
        <v>4.2851602210115667E-6</v>
      </c>
      <c r="AQ149" s="137">
        <f>Transportation_LCIA!U$61*($W149^Transportation_LCIA!U$60)+Transportation_LCIA!U$62</f>
        <v>6.0907340462762602E-4</v>
      </c>
      <c r="AR149" s="137">
        <f>Transportation_LCIA!V$61*($W149^Transportation_LCIA!V$60)+Transportation_LCIA!V$62</f>
        <v>2.4622305360046668E-4</v>
      </c>
      <c r="AT149" s="137">
        <f>$W149*Y149+$L149*Summary_LCIA!H$32</f>
        <v>246.4170685917708</v>
      </c>
      <c r="AU149" s="137">
        <f>$W149*Z149+$L149*Summary_LCIA!Q$32</f>
        <v>2579.5256620609234</v>
      </c>
      <c r="AV149" s="137">
        <f>$W149*AA149+$L149*Summary_LCIA!R$32</f>
        <v>1.3091535513508179</v>
      </c>
      <c r="AW149" s="137">
        <f>$W149*AB149+$L149*Summary_LCIA!S$32</f>
        <v>246.27636231177081</v>
      </c>
      <c r="AX149" s="137">
        <f>$W149*AC149+$L149*Summary_LCIA!T$32</f>
        <v>60.100273490554642</v>
      </c>
      <c r="AY149" s="137">
        <f>$W149*AD149+$L149*Summary_LCIA!U$32</f>
        <v>0.84646958807086836</v>
      </c>
      <c r="AZ149" s="137">
        <f>$W149*AE149+$L149*Summary_LCIA!V$32</f>
        <v>7.4247471628479103E-3</v>
      </c>
      <c r="BA149" s="137">
        <f>$W149*AF149+$L149*Summary_LCIA!W$32</f>
        <v>11.188824904267548</v>
      </c>
      <c r="BB149" s="137">
        <f>$W149*AG149+$L149*Summary_LCIA!X$32</f>
        <v>12.76140260737443</v>
      </c>
      <c r="BC149" s="137">
        <f>$W149*AH149+$L149*Summary_LCIA!Y$32</f>
        <v>0.73535744530285008</v>
      </c>
      <c r="BD149" s="137">
        <f>$W149*AI149+$L149*Summary_LCIA!Z$32</f>
        <v>0.24463767848540263</v>
      </c>
      <c r="BE149" s="137">
        <f>$W149*AJ149+$L149*Summary_LCIA!AA$32</f>
        <v>1.7313823073540391</v>
      </c>
      <c r="BF149" s="137">
        <f>$W149*AK149+$L149*Summary_LCIA!AB$32</f>
        <v>5.91156901180485E-2</v>
      </c>
      <c r="BG149" s="137">
        <f>$W149*AL149+$L149*Summary_LCIA!AC$32</f>
        <v>3.0481387921906242E-5</v>
      </c>
      <c r="BH149" s="137">
        <f>$W149*AM149+$L149*Summary_LCIA!AD$32</f>
        <v>0.10782077352026187</v>
      </c>
      <c r="BI149" s="137">
        <f>$W149*AN149+$L149*Summary_LCIA!AE$32</f>
        <v>0.3121825274016044</v>
      </c>
      <c r="BJ149" s="137">
        <f>$W149*AO149+$L149*Summary_LCIA!AF$32</f>
        <v>3.1200888198984682E-2</v>
      </c>
      <c r="BK149" s="137">
        <f>$W149*AP149+$L149*Summary_LCIA!AG$32</f>
        <v>5.9165745289846807E-3</v>
      </c>
      <c r="BL149" s="137">
        <f>$W149*AQ149+$L149*Summary_LCIA!AH$32</f>
        <v>0.88651729620148934</v>
      </c>
      <c r="BM149" s="137">
        <f>$W149*AR149+$L149*Summary_LCIA!AI$32</f>
        <v>0.27602900244462703</v>
      </c>
    </row>
    <row r="150" spans="1:65" x14ac:dyDescent="0.25">
      <c r="A150" s="149">
        <v>111</v>
      </c>
      <c r="B150" s="149">
        <v>6</v>
      </c>
      <c r="C150" s="61">
        <v>39.008927</v>
      </c>
      <c r="D150" s="61">
        <v>-76.895245000000003</v>
      </c>
      <c r="E150" s="61" t="s">
        <v>265</v>
      </c>
      <c r="F150" s="149">
        <v>86</v>
      </c>
      <c r="G150" s="61" t="s">
        <v>630</v>
      </c>
      <c r="H150" s="61" t="s">
        <v>644</v>
      </c>
      <c r="I150" s="61">
        <v>38.851241999999999</v>
      </c>
      <c r="J150" s="61">
        <v>-77.040232000000003</v>
      </c>
      <c r="K150" s="61">
        <v>28.86541089</v>
      </c>
      <c r="L150" s="61">
        <v>30.018999999999998</v>
      </c>
      <c r="M150" s="61" t="s">
        <v>617</v>
      </c>
      <c r="N150" s="149">
        <v>5</v>
      </c>
      <c r="O150" s="149">
        <v>6</v>
      </c>
      <c r="P150" s="61" t="s">
        <v>565</v>
      </c>
      <c r="Q150" s="61" t="s">
        <v>564</v>
      </c>
      <c r="R150" s="61">
        <v>41.98028</v>
      </c>
      <c r="S150" s="61">
        <v>-87.908997900000003</v>
      </c>
      <c r="T150" s="61">
        <v>1150.0989999999999</v>
      </c>
      <c r="U150" s="61" t="s">
        <v>617</v>
      </c>
      <c r="V150" s="61" t="s">
        <v>569</v>
      </c>
      <c r="W150" s="61" cm="1">
        <f t="array" ref="W150">getDistance(I150,J150,R150,S150)*SA!$B$12</f>
        <v>985.09467660045368</v>
      </c>
      <c r="X150" s="61"/>
      <c r="Y150" s="137">
        <f>Transportation_LCIA!C$61*($W150^Transportation_LCIA!C$60)+Transportation_LCIA!C$62</f>
        <v>0.2370864199991472</v>
      </c>
      <c r="Z150" s="137">
        <f>Transportation_LCIA!D$61*($W150^Transportation_LCIA!D$60)+Transportation_LCIA!D$62</f>
        <v>2.4393058219490786</v>
      </c>
      <c r="AA150" s="137">
        <f>Transportation_LCIA!E$61*($W150^Transportation_LCIA!E$60)+Transportation_LCIA!E$62</f>
        <v>1.1533446585003482E-3</v>
      </c>
      <c r="AB150" s="137">
        <f>Transportation_LCIA!F$61*($W150^Transportation_LCIA!F$60)+Transportation_LCIA!F$62</f>
        <v>0.2370864199991472</v>
      </c>
      <c r="AC150" s="137">
        <f>Transportation_LCIA!G$61*($W150^Transportation_LCIA!G$60)+Transportation_LCIA!G$62</f>
        <v>5.7007420199112084E-2</v>
      </c>
      <c r="AD150" s="137">
        <f>Transportation_LCIA!H$61*($W150^Transportation_LCIA!H$60)+Transportation_LCIA!H$62</f>
        <v>2.7877818988371404E-4</v>
      </c>
      <c r="AE150" s="137">
        <f>Transportation_LCIA!I$61*($W150^Transportation_LCIA!I$60)+Transportation_LCIA!I$62</f>
        <v>5.969993290824604E-6</v>
      </c>
      <c r="AF150" s="137">
        <f>Transportation_LCIA!J$61*($W150^Transportation_LCIA!J$60)+Transportation_LCIA!J$62</f>
        <v>8.8363701400098228E-3</v>
      </c>
      <c r="AG150" s="137">
        <f>Transportation_LCIA!K$61*($W150^Transportation_LCIA!K$60)+Transportation_LCIA!K$62</f>
        <v>1.2131655681962131E-2</v>
      </c>
      <c r="AH150" s="137">
        <f>Transportation_LCIA!L$61*($W150^Transportation_LCIA!L$60)+Transportation_LCIA!L$62</f>
        <v>2.4170361336866051E-4</v>
      </c>
      <c r="AI150" s="137">
        <f>Transportation_LCIA!M$61*($W150^Transportation_LCIA!M$60)+Transportation_LCIA!M$62</f>
        <v>2.4470196204605344E-4</v>
      </c>
      <c r="AJ150" s="137">
        <f>Transportation_LCIA!N$61*($W150^Transportation_LCIA!N$60)+Transportation_LCIA!N$62</f>
        <v>9.9651507889072025E-4</v>
      </c>
      <c r="AK150" s="137">
        <f>Transportation_LCIA!O$61*($W150^Transportation_LCIA!O$60)+Transportation_LCIA!O$62</f>
        <v>6.0241723006640731E-5</v>
      </c>
      <c r="AL150" s="137">
        <f>Transportation_LCIA!P$61*($W150^Transportation_LCIA!P$60)+Transportation_LCIA!P$62</f>
        <v>2.9132482944789785E-8</v>
      </c>
      <c r="AM150" s="137">
        <f>Transportation_LCIA!Q$61*($W150^Transportation_LCIA!Q$60)+Transportation_LCIA!Q$62</f>
        <v>9.5667002058853797E-5</v>
      </c>
      <c r="AN150" s="137">
        <f>Transportation_LCIA!R$61*($W150^Transportation_LCIA!R$60)+Transportation_LCIA!R$62</f>
        <v>2.8712201740427817E-4</v>
      </c>
      <c r="AO150" s="137">
        <f>Transportation_LCIA!S$61*($W150^Transportation_LCIA!S$60)+Transportation_LCIA!S$62</f>
        <v>4.332314477521164E-6</v>
      </c>
      <c r="AP150" s="137">
        <f>Transportation_LCIA!T$61*($W150^Transportation_LCIA!T$60)+Transportation_LCIA!T$62</f>
        <v>4.332314477521164E-6</v>
      </c>
      <c r="AQ150" s="137">
        <f>Transportation_LCIA!U$61*($W150^Transportation_LCIA!U$60)+Transportation_LCIA!U$62</f>
        <v>6.1636002099593767E-4</v>
      </c>
      <c r="AR150" s="137">
        <f>Transportation_LCIA!V$61*($W150^Transportation_LCIA!V$60)+Transportation_LCIA!V$62</f>
        <v>2.4879684586680414E-4</v>
      </c>
      <c r="AT150" s="137">
        <f>$W150*Y150+$L150*Summary_LCIA!H$32</f>
        <v>243.75302643541923</v>
      </c>
      <c r="AU150" s="137">
        <f>$W150*Z150+$L150*Summary_LCIA!Q$32</f>
        <v>2551.7228577507585</v>
      </c>
      <c r="AV150" s="137">
        <f>$W150*AA150+$L150*Summary_LCIA!R$32</f>
        <v>1.2942217297742611</v>
      </c>
      <c r="AW150" s="137">
        <f>$W150*AB150+$L150*Summary_LCIA!S$32</f>
        <v>243.62034245541923</v>
      </c>
      <c r="AX150" s="137">
        <f>$W150*AC150+$L150*Summary_LCIA!T$32</f>
        <v>59.456794264870489</v>
      </c>
      <c r="AY150" s="137">
        <f>$W150*AD150+$L150*Summary_LCIA!U$32</f>
        <v>0.81238327680675715</v>
      </c>
      <c r="AZ150" s="137">
        <f>$W150*AE150+$L150*Summary_LCIA!V$32</f>
        <v>7.3147460691317407E-3</v>
      </c>
      <c r="BA150" s="137">
        <f>$W150*AF150+$L150*Summary_LCIA!W$32</f>
        <v>11.015253634394881</v>
      </c>
      <c r="BB150" s="137">
        <f>$W150*AG150+$L150*Summary_LCIA!X$32</f>
        <v>12.634662250650541</v>
      </c>
      <c r="BC150" s="137">
        <f>$W150*AH150+$L150*Summary_LCIA!Y$32</f>
        <v>0.70585700084456171</v>
      </c>
      <c r="BD150" s="137">
        <f>$W150*AI150+$L150*Summary_LCIA!Z$32</f>
        <v>0.24228564933625352</v>
      </c>
      <c r="BE150" s="137">
        <f>$W150*AJ150+$L150*Summary_LCIA!AA$32</f>
        <v>1.6827854633673294</v>
      </c>
      <c r="BF150" s="137">
        <f>$W150*AK150+$L150*Summary_LCIA!AB$32</f>
        <v>5.8688696006080864E-2</v>
      </c>
      <c r="BG150" s="137">
        <f>$W150*AL150+$L150*Summary_LCIA!AC$32</f>
        <v>3.0165702661065922E-5</v>
      </c>
      <c r="BH150" s="137">
        <f>$W150*AM150+$L150*Summary_LCIA!AD$32</f>
        <v>0.10658006421450153</v>
      </c>
      <c r="BI150" s="137">
        <f>$W150*AN150+$L150*Summary_LCIA!AE$32</f>
        <v>0.30944310734973723</v>
      </c>
      <c r="BJ150" s="137">
        <f>$W150*AO150+$L150*Summary_LCIA!AF$32</f>
        <v>2.9646402909165176E-2</v>
      </c>
      <c r="BK150" s="137">
        <f>$W150*AP150+$L150*Summary_LCIA!AG$32</f>
        <v>5.8036620641651751E-3</v>
      </c>
      <c r="BL150" s="137">
        <f>$W150*AQ150+$L150*Summary_LCIA!AH$32</f>
        <v>0.86844634395244213</v>
      </c>
      <c r="BM150" s="137">
        <f>$W150*AR150+$L150*Summary_LCIA!AI$32</f>
        <v>0.27305264786837236</v>
      </c>
    </row>
    <row r="151" spans="1:65" x14ac:dyDescent="0.25">
      <c r="A151" s="149">
        <v>55</v>
      </c>
      <c r="B151" s="149">
        <v>6</v>
      </c>
      <c r="C151" s="61">
        <v>38.892918999999999</v>
      </c>
      <c r="D151" s="61">
        <v>-77.050562999999997</v>
      </c>
      <c r="E151" s="61" t="s">
        <v>265</v>
      </c>
      <c r="F151" s="149">
        <v>86</v>
      </c>
      <c r="G151" s="61" t="s">
        <v>630</v>
      </c>
      <c r="H151" s="61" t="s">
        <v>644</v>
      </c>
      <c r="I151" s="61">
        <v>38.851241999999999</v>
      </c>
      <c r="J151" s="61">
        <v>-77.040232000000003</v>
      </c>
      <c r="K151" s="61">
        <v>6.5036477030000004</v>
      </c>
      <c r="L151" s="61">
        <v>7.6310000000000002</v>
      </c>
      <c r="M151" s="61" t="s">
        <v>617</v>
      </c>
      <c r="N151" s="149">
        <v>5</v>
      </c>
      <c r="O151" s="149">
        <v>6</v>
      </c>
      <c r="P151" s="61" t="s">
        <v>565</v>
      </c>
      <c r="Q151" s="61" t="s">
        <v>564</v>
      </c>
      <c r="R151" s="61">
        <v>41.98028</v>
      </c>
      <c r="S151" s="61">
        <v>-87.908997900000003</v>
      </c>
      <c r="T151" s="61">
        <v>1150.3810000000001</v>
      </c>
      <c r="U151" s="61" t="s">
        <v>617</v>
      </c>
      <c r="V151" s="61" t="s">
        <v>569</v>
      </c>
      <c r="W151" s="61" cm="1">
        <f t="array" ref="W151">getDistance(I151,J151,R151,S151)*SA!$B$12</f>
        <v>985.09467660045368</v>
      </c>
      <c r="X151" s="61"/>
      <c r="Y151" s="137">
        <f>Transportation_LCIA!C$61*($W151^Transportation_LCIA!C$60)+Transportation_LCIA!C$62</f>
        <v>0.2370864199991472</v>
      </c>
      <c r="Z151" s="137">
        <f>Transportation_LCIA!D$61*($W151^Transportation_LCIA!D$60)+Transportation_LCIA!D$62</f>
        <v>2.4393058219490786</v>
      </c>
      <c r="AA151" s="137">
        <f>Transportation_LCIA!E$61*($W151^Transportation_LCIA!E$60)+Transportation_LCIA!E$62</f>
        <v>1.1533446585003482E-3</v>
      </c>
      <c r="AB151" s="137">
        <f>Transportation_LCIA!F$61*($W151^Transportation_LCIA!F$60)+Transportation_LCIA!F$62</f>
        <v>0.2370864199991472</v>
      </c>
      <c r="AC151" s="137">
        <f>Transportation_LCIA!G$61*($W151^Transportation_LCIA!G$60)+Transportation_LCIA!G$62</f>
        <v>5.7007420199112084E-2</v>
      </c>
      <c r="AD151" s="137">
        <f>Transportation_LCIA!H$61*($W151^Transportation_LCIA!H$60)+Transportation_LCIA!H$62</f>
        <v>2.7877818988371404E-4</v>
      </c>
      <c r="AE151" s="137">
        <f>Transportation_LCIA!I$61*($W151^Transportation_LCIA!I$60)+Transportation_LCIA!I$62</f>
        <v>5.969993290824604E-6</v>
      </c>
      <c r="AF151" s="137">
        <f>Transportation_LCIA!J$61*($W151^Transportation_LCIA!J$60)+Transportation_LCIA!J$62</f>
        <v>8.8363701400098228E-3</v>
      </c>
      <c r="AG151" s="137">
        <f>Transportation_LCIA!K$61*($W151^Transportation_LCIA!K$60)+Transportation_LCIA!K$62</f>
        <v>1.2131655681962131E-2</v>
      </c>
      <c r="AH151" s="137">
        <f>Transportation_LCIA!L$61*($W151^Transportation_LCIA!L$60)+Transportation_LCIA!L$62</f>
        <v>2.4170361336866051E-4</v>
      </c>
      <c r="AI151" s="137">
        <f>Transportation_LCIA!M$61*($W151^Transportation_LCIA!M$60)+Transportation_LCIA!M$62</f>
        <v>2.4470196204605344E-4</v>
      </c>
      <c r="AJ151" s="137">
        <f>Transportation_LCIA!N$61*($W151^Transportation_LCIA!N$60)+Transportation_LCIA!N$62</f>
        <v>9.9651507889072025E-4</v>
      </c>
      <c r="AK151" s="137">
        <f>Transportation_LCIA!O$61*($W151^Transportation_LCIA!O$60)+Transportation_LCIA!O$62</f>
        <v>6.0241723006640731E-5</v>
      </c>
      <c r="AL151" s="137">
        <f>Transportation_LCIA!P$61*($W151^Transportation_LCIA!P$60)+Transportation_LCIA!P$62</f>
        <v>2.9132482944789785E-8</v>
      </c>
      <c r="AM151" s="137">
        <f>Transportation_LCIA!Q$61*($W151^Transportation_LCIA!Q$60)+Transportation_LCIA!Q$62</f>
        <v>9.5667002058853797E-5</v>
      </c>
      <c r="AN151" s="137">
        <f>Transportation_LCIA!R$61*($W151^Transportation_LCIA!R$60)+Transportation_LCIA!R$62</f>
        <v>2.8712201740427817E-4</v>
      </c>
      <c r="AO151" s="137">
        <f>Transportation_LCIA!S$61*($W151^Transportation_LCIA!S$60)+Transportation_LCIA!S$62</f>
        <v>4.332314477521164E-6</v>
      </c>
      <c r="AP151" s="137">
        <f>Transportation_LCIA!T$61*($W151^Transportation_LCIA!T$60)+Transportation_LCIA!T$62</f>
        <v>4.332314477521164E-6</v>
      </c>
      <c r="AQ151" s="137">
        <f>Transportation_LCIA!U$61*($W151^Transportation_LCIA!U$60)+Transportation_LCIA!U$62</f>
        <v>6.1636002099593767E-4</v>
      </c>
      <c r="AR151" s="137">
        <f>Transportation_LCIA!V$61*($W151^Transportation_LCIA!V$60)+Transportation_LCIA!V$62</f>
        <v>2.4879684586680414E-4</v>
      </c>
      <c r="AT151" s="137">
        <f>$W151*Y151+$L151*Summary_LCIA!H$32</f>
        <v>236.14558403541923</v>
      </c>
      <c r="AU151" s="137">
        <f>$W151*Z151+$L151*Summary_LCIA!Q$32</f>
        <v>2440.7668006567546</v>
      </c>
      <c r="AV151" s="137">
        <f>$W151*AA151+$L151*Summary_LCIA!R$32</f>
        <v>1.1763354769742611</v>
      </c>
      <c r="AW151" s="137">
        <f>$W151*AB151+$L151*Summary_LCIA!S$32</f>
        <v>236.11185501541925</v>
      </c>
      <c r="AX151" s="137">
        <f>$W151*AC151+$L151*Summary_LCIA!T$32</f>
        <v>56.99635306487049</v>
      </c>
      <c r="AY151" s="137">
        <f>$W151*AD151+$L151*Summary_LCIA!U$32</f>
        <v>0.41132464480675712</v>
      </c>
      <c r="AZ151" s="137">
        <f>$W151*AE151+$L151*Summary_LCIA!V$32</f>
        <v>6.245472801131741E-3</v>
      </c>
      <c r="BA151" s="137">
        <f>$W151*AF151+$L151*Summary_LCIA!W$32</f>
        <v>9.2920268863948809</v>
      </c>
      <c r="BB151" s="137">
        <f>$W151*AG151+$L151*Summary_LCIA!X$32</f>
        <v>12.124663610650542</v>
      </c>
      <c r="BC151" s="137">
        <f>$W151*AH151+$L151*Summary_LCIA!Y$32</f>
        <v>0.35700718484456173</v>
      </c>
      <c r="BD151" s="137">
        <f>$W151*AI151+$L151*Summary_LCIA!Z$32</f>
        <v>0.24136753984425352</v>
      </c>
      <c r="BE151" s="137">
        <f>$W151*AJ151+$L151*Summary_LCIA!AA$32</f>
        <v>1.1598913353673297</v>
      </c>
      <c r="BF151" s="137">
        <f>$W151*AK151+$L151*Summary_LCIA!AB$32</f>
        <v>5.9177269330080863E-2</v>
      </c>
      <c r="BG151" s="137">
        <f>$W151*AL151+$L151*Summary_LCIA!AC$32</f>
        <v>2.9071287669065923E-5</v>
      </c>
      <c r="BH151" s="137">
        <f>$W151*AM151+$L151*Summary_LCIA!AD$32</f>
        <v>9.7377700694501523E-2</v>
      </c>
      <c r="BI151" s="137">
        <f>$W151*AN151+$L151*Summary_LCIA!AE$32</f>
        <v>0.28960442890973725</v>
      </c>
      <c r="BJ151" s="137">
        <f>$W151*AO151+$L151*Summary_LCIA!AF$32</f>
        <v>1.0719139949165176E-2</v>
      </c>
      <c r="BK151" s="137">
        <f>$W151*AP151+$L151*Summary_LCIA!AG$32</f>
        <v>4.6581800441651746E-3</v>
      </c>
      <c r="BL151" s="137">
        <f>$W151*AQ151+$L151*Summary_LCIA!AH$32</f>
        <v>0.67359014715244214</v>
      </c>
      <c r="BM151" s="137">
        <f>$W151*AR151+$L151*Summary_LCIA!AI$32</f>
        <v>0.25219710646837235</v>
      </c>
    </row>
    <row r="152" spans="1:65" x14ac:dyDescent="0.25">
      <c r="A152" s="149">
        <v>56</v>
      </c>
      <c r="B152" s="149">
        <v>6</v>
      </c>
      <c r="C152" s="61">
        <v>38.892918999999999</v>
      </c>
      <c r="D152" s="61">
        <v>-77.050562999999997</v>
      </c>
      <c r="E152" s="61" t="s">
        <v>265</v>
      </c>
      <c r="F152" s="149">
        <v>86</v>
      </c>
      <c r="G152" s="61" t="s">
        <v>630</v>
      </c>
      <c r="H152" s="61" t="s">
        <v>644</v>
      </c>
      <c r="I152" s="61">
        <v>38.851241999999999</v>
      </c>
      <c r="J152" s="61">
        <v>-77.040232000000003</v>
      </c>
      <c r="K152" s="61">
        <v>6.5036477030000004</v>
      </c>
      <c r="L152" s="61">
        <v>7.6310000000000002</v>
      </c>
      <c r="M152" s="61" t="s">
        <v>617</v>
      </c>
      <c r="N152" s="149">
        <v>5</v>
      </c>
      <c r="O152" s="149">
        <v>6</v>
      </c>
      <c r="P152" s="61" t="s">
        <v>565</v>
      </c>
      <c r="Q152" s="61" t="s">
        <v>564</v>
      </c>
      <c r="R152" s="61">
        <v>41.98028</v>
      </c>
      <c r="S152" s="61">
        <v>-87.908997900000003</v>
      </c>
      <c r="T152" s="61">
        <v>1150.3810000000001</v>
      </c>
      <c r="U152" s="61" t="s">
        <v>617</v>
      </c>
      <c r="V152" s="61" t="s">
        <v>569</v>
      </c>
      <c r="W152" s="61" cm="1">
        <f t="array" ref="W152">getDistance(I152,J152,R152,S152)*SA!$B$12</f>
        <v>985.09467660045368</v>
      </c>
      <c r="X152" s="61"/>
      <c r="Y152" s="137">
        <f>Transportation_LCIA!C$61*($W152^Transportation_LCIA!C$60)+Transportation_LCIA!C$62</f>
        <v>0.2370864199991472</v>
      </c>
      <c r="Z152" s="137">
        <f>Transportation_LCIA!D$61*($W152^Transportation_LCIA!D$60)+Transportation_LCIA!D$62</f>
        <v>2.4393058219490786</v>
      </c>
      <c r="AA152" s="137">
        <f>Transportation_LCIA!E$61*($W152^Transportation_LCIA!E$60)+Transportation_LCIA!E$62</f>
        <v>1.1533446585003482E-3</v>
      </c>
      <c r="AB152" s="137">
        <f>Transportation_LCIA!F$61*($W152^Transportation_LCIA!F$60)+Transportation_LCIA!F$62</f>
        <v>0.2370864199991472</v>
      </c>
      <c r="AC152" s="137">
        <f>Transportation_LCIA!G$61*($W152^Transportation_LCIA!G$60)+Transportation_LCIA!G$62</f>
        <v>5.7007420199112084E-2</v>
      </c>
      <c r="AD152" s="137">
        <f>Transportation_LCIA!H$61*($W152^Transportation_LCIA!H$60)+Transportation_LCIA!H$62</f>
        <v>2.7877818988371404E-4</v>
      </c>
      <c r="AE152" s="137">
        <f>Transportation_LCIA!I$61*($W152^Transportation_LCIA!I$60)+Transportation_LCIA!I$62</f>
        <v>5.969993290824604E-6</v>
      </c>
      <c r="AF152" s="137">
        <f>Transportation_LCIA!J$61*($W152^Transportation_LCIA!J$60)+Transportation_LCIA!J$62</f>
        <v>8.8363701400098228E-3</v>
      </c>
      <c r="AG152" s="137">
        <f>Transportation_LCIA!K$61*($W152^Transportation_LCIA!K$60)+Transportation_LCIA!K$62</f>
        <v>1.2131655681962131E-2</v>
      </c>
      <c r="AH152" s="137">
        <f>Transportation_LCIA!L$61*($W152^Transportation_LCIA!L$60)+Transportation_LCIA!L$62</f>
        <v>2.4170361336866051E-4</v>
      </c>
      <c r="AI152" s="137">
        <f>Transportation_LCIA!M$61*($W152^Transportation_LCIA!M$60)+Transportation_LCIA!M$62</f>
        <v>2.4470196204605344E-4</v>
      </c>
      <c r="AJ152" s="137">
        <f>Transportation_LCIA!N$61*($W152^Transportation_LCIA!N$60)+Transportation_LCIA!N$62</f>
        <v>9.9651507889072025E-4</v>
      </c>
      <c r="AK152" s="137">
        <f>Transportation_LCIA!O$61*($W152^Transportation_LCIA!O$60)+Transportation_LCIA!O$62</f>
        <v>6.0241723006640731E-5</v>
      </c>
      <c r="AL152" s="137">
        <f>Transportation_LCIA!P$61*($W152^Transportation_LCIA!P$60)+Transportation_LCIA!P$62</f>
        <v>2.9132482944789785E-8</v>
      </c>
      <c r="AM152" s="137">
        <f>Transportation_LCIA!Q$61*($W152^Transportation_LCIA!Q$60)+Transportation_LCIA!Q$62</f>
        <v>9.5667002058853797E-5</v>
      </c>
      <c r="AN152" s="137">
        <f>Transportation_LCIA!R$61*($W152^Transportation_LCIA!R$60)+Transportation_LCIA!R$62</f>
        <v>2.8712201740427817E-4</v>
      </c>
      <c r="AO152" s="137">
        <f>Transportation_LCIA!S$61*($W152^Transportation_LCIA!S$60)+Transportation_LCIA!S$62</f>
        <v>4.332314477521164E-6</v>
      </c>
      <c r="AP152" s="137">
        <f>Transportation_LCIA!T$61*($W152^Transportation_LCIA!T$60)+Transportation_LCIA!T$62</f>
        <v>4.332314477521164E-6</v>
      </c>
      <c r="AQ152" s="137">
        <f>Transportation_LCIA!U$61*($W152^Transportation_LCIA!U$60)+Transportation_LCIA!U$62</f>
        <v>6.1636002099593767E-4</v>
      </c>
      <c r="AR152" s="137">
        <f>Transportation_LCIA!V$61*($W152^Transportation_LCIA!V$60)+Transportation_LCIA!V$62</f>
        <v>2.4879684586680414E-4</v>
      </c>
      <c r="AT152" s="137">
        <f>$W152*Y152+$L152*Summary_LCIA!H$32</f>
        <v>236.14558403541923</v>
      </c>
      <c r="AU152" s="137">
        <f>$W152*Z152+$L152*Summary_LCIA!Q$32</f>
        <v>2440.7668006567546</v>
      </c>
      <c r="AV152" s="137">
        <f>$W152*AA152+$L152*Summary_LCIA!R$32</f>
        <v>1.1763354769742611</v>
      </c>
      <c r="AW152" s="137">
        <f>$W152*AB152+$L152*Summary_LCIA!S$32</f>
        <v>236.11185501541925</v>
      </c>
      <c r="AX152" s="137">
        <f>$W152*AC152+$L152*Summary_LCIA!T$32</f>
        <v>56.99635306487049</v>
      </c>
      <c r="AY152" s="137">
        <f>$W152*AD152+$L152*Summary_LCIA!U$32</f>
        <v>0.41132464480675712</v>
      </c>
      <c r="AZ152" s="137">
        <f>$W152*AE152+$L152*Summary_LCIA!V$32</f>
        <v>6.245472801131741E-3</v>
      </c>
      <c r="BA152" s="137">
        <f>$W152*AF152+$L152*Summary_LCIA!W$32</f>
        <v>9.2920268863948809</v>
      </c>
      <c r="BB152" s="137">
        <f>$W152*AG152+$L152*Summary_LCIA!X$32</f>
        <v>12.124663610650542</v>
      </c>
      <c r="BC152" s="137">
        <f>$W152*AH152+$L152*Summary_LCIA!Y$32</f>
        <v>0.35700718484456173</v>
      </c>
      <c r="BD152" s="137">
        <f>$W152*AI152+$L152*Summary_LCIA!Z$32</f>
        <v>0.24136753984425352</v>
      </c>
      <c r="BE152" s="137">
        <f>$W152*AJ152+$L152*Summary_LCIA!AA$32</f>
        <v>1.1598913353673297</v>
      </c>
      <c r="BF152" s="137">
        <f>$W152*AK152+$L152*Summary_LCIA!AB$32</f>
        <v>5.9177269330080863E-2</v>
      </c>
      <c r="BG152" s="137">
        <f>$W152*AL152+$L152*Summary_LCIA!AC$32</f>
        <v>2.9071287669065923E-5</v>
      </c>
      <c r="BH152" s="137">
        <f>$W152*AM152+$L152*Summary_LCIA!AD$32</f>
        <v>9.7377700694501523E-2</v>
      </c>
      <c r="BI152" s="137">
        <f>$W152*AN152+$L152*Summary_LCIA!AE$32</f>
        <v>0.28960442890973725</v>
      </c>
      <c r="BJ152" s="137">
        <f>$W152*AO152+$L152*Summary_LCIA!AF$32</f>
        <v>1.0719139949165176E-2</v>
      </c>
      <c r="BK152" s="137">
        <f>$W152*AP152+$L152*Summary_LCIA!AG$32</f>
        <v>4.6581800441651746E-3</v>
      </c>
      <c r="BL152" s="137">
        <f>$W152*AQ152+$L152*Summary_LCIA!AH$32</f>
        <v>0.67359014715244214</v>
      </c>
      <c r="BM152" s="137">
        <f>$W152*AR152+$L152*Summary_LCIA!AI$32</f>
        <v>0.25219710646837235</v>
      </c>
    </row>
    <row r="153" spans="1:65" x14ac:dyDescent="0.25">
      <c r="A153" s="149">
        <v>51</v>
      </c>
      <c r="B153" s="149">
        <v>6</v>
      </c>
      <c r="C153" s="61">
        <v>38.892378999999998</v>
      </c>
      <c r="D153" s="61">
        <v>-77.048395999999997</v>
      </c>
      <c r="E153" s="61" t="s">
        <v>265</v>
      </c>
      <c r="F153" s="149">
        <v>86</v>
      </c>
      <c r="G153" s="61" t="s">
        <v>630</v>
      </c>
      <c r="H153" s="61" t="s">
        <v>644</v>
      </c>
      <c r="I153" s="61">
        <v>38.851241999999999</v>
      </c>
      <c r="J153" s="61">
        <v>-77.040232000000003</v>
      </c>
      <c r="K153" s="61">
        <v>6.4145804120000003</v>
      </c>
      <c r="L153" s="61">
        <v>7.7</v>
      </c>
      <c r="M153" s="61" t="s">
        <v>617</v>
      </c>
      <c r="N153" s="149">
        <v>5</v>
      </c>
      <c r="O153" s="149">
        <v>6</v>
      </c>
      <c r="P153" s="61" t="s">
        <v>565</v>
      </c>
      <c r="Q153" s="61" t="s">
        <v>564</v>
      </c>
      <c r="R153" s="61">
        <v>41.98028</v>
      </c>
      <c r="S153" s="61">
        <v>-87.908997900000003</v>
      </c>
      <c r="T153" s="61">
        <v>1150.473</v>
      </c>
      <c r="U153" s="61" t="s">
        <v>617</v>
      </c>
      <c r="V153" s="61" t="s">
        <v>569</v>
      </c>
      <c r="W153" s="61" cm="1">
        <f t="array" ref="W153">getDistance(I153,J153,R153,S153)*SA!$B$12</f>
        <v>985.09467660045368</v>
      </c>
      <c r="X153" s="61"/>
      <c r="Y153" s="137">
        <f>Transportation_LCIA!C$61*($W153^Transportation_LCIA!C$60)+Transportation_LCIA!C$62</f>
        <v>0.2370864199991472</v>
      </c>
      <c r="Z153" s="137">
        <f>Transportation_LCIA!D$61*($W153^Transportation_LCIA!D$60)+Transportation_LCIA!D$62</f>
        <v>2.4393058219490786</v>
      </c>
      <c r="AA153" s="137">
        <f>Transportation_LCIA!E$61*($W153^Transportation_LCIA!E$60)+Transportation_LCIA!E$62</f>
        <v>1.1533446585003482E-3</v>
      </c>
      <c r="AB153" s="137">
        <f>Transportation_LCIA!F$61*($W153^Transportation_LCIA!F$60)+Transportation_LCIA!F$62</f>
        <v>0.2370864199991472</v>
      </c>
      <c r="AC153" s="137">
        <f>Transportation_LCIA!G$61*($W153^Transportation_LCIA!G$60)+Transportation_LCIA!G$62</f>
        <v>5.7007420199112084E-2</v>
      </c>
      <c r="AD153" s="137">
        <f>Transportation_LCIA!H$61*($W153^Transportation_LCIA!H$60)+Transportation_LCIA!H$62</f>
        <v>2.7877818988371404E-4</v>
      </c>
      <c r="AE153" s="137">
        <f>Transportation_LCIA!I$61*($W153^Transportation_LCIA!I$60)+Transportation_LCIA!I$62</f>
        <v>5.969993290824604E-6</v>
      </c>
      <c r="AF153" s="137">
        <f>Transportation_LCIA!J$61*($W153^Transportation_LCIA!J$60)+Transportation_LCIA!J$62</f>
        <v>8.8363701400098228E-3</v>
      </c>
      <c r="AG153" s="137">
        <f>Transportation_LCIA!K$61*($W153^Transportation_LCIA!K$60)+Transportation_LCIA!K$62</f>
        <v>1.2131655681962131E-2</v>
      </c>
      <c r="AH153" s="137">
        <f>Transportation_LCIA!L$61*($W153^Transportation_LCIA!L$60)+Transportation_LCIA!L$62</f>
        <v>2.4170361336866051E-4</v>
      </c>
      <c r="AI153" s="137">
        <f>Transportation_LCIA!M$61*($W153^Transportation_LCIA!M$60)+Transportation_LCIA!M$62</f>
        <v>2.4470196204605344E-4</v>
      </c>
      <c r="AJ153" s="137">
        <f>Transportation_LCIA!N$61*($W153^Transportation_LCIA!N$60)+Transportation_LCIA!N$62</f>
        <v>9.9651507889072025E-4</v>
      </c>
      <c r="AK153" s="137">
        <f>Transportation_LCIA!O$61*($W153^Transportation_LCIA!O$60)+Transportation_LCIA!O$62</f>
        <v>6.0241723006640731E-5</v>
      </c>
      <c r="AL153" s="137">
        <f>Transportation_LCIA!P$61*($W153^Transportation_LCIA!P$60)+Transportation_LCIA!P$62</f>
        <v>2.9132482944789785E-8</v>
      </c>
      <c r="AM153" s="137">
        <f>Transportation_LCIA!Q$61*($W153^Transportation_LCIA!Q$60)+Transportation_LCIA!Q$62</f>
        <v>9.5667002058853797E-5</v>
      </c>
      <c r="AN153" s="137">
        <f>Transportation_LCIA!R$61*($W153^Transportation_LCIA!R$60)+Transportation_LCIA!R$62</f>
        <v>2.8712201740427817E-4</v>
      </c>
      <c r="AO153" s="137">
        <f>Transportation_LCIA!S$61*($W153^Transportation_LCIA!S$60)+Transportation_LCIA!S$62</f>
        <v>4.332314477521164E-6</v>
      </c>
      <c r="AP153" s="137">
        <f>Transportation_LCIA!T$61*($W153^Transportation_LCIA!T$60)+Transportation_LCIA!T$62</f>
        <v>4.332314477521164E-6</v>
      </c>
      <c r="AQ153" s="137">
        <f>Transportation_LCIA!U$61*($W153^Transportation_LCIA!U$60)+Transportation_LCIA!U$62</f>
        <v>6.1636002099593767E-4</v>
      </c>
      <c r="AR153" s="137">
        <f>Transportation_LCIA!V$61*($W153^Transportation_LCIA!V$60)+Transportation_LCIA!V$62</f>
        <v>2.4879684586680414E-4</v>
      </c>
      <c r="AT153" s="137">
        <f>$W153*Y153+$L153*Summary_LCIA!H$32</f>
        <v>236.16903023541923</v>
      </c>
      <c r="AU153" s="137">
        <f>$W153*Z153+$L153*Summary_LCIA!Q$32</f>
        <v>2441.1087681366316</v>
      </c>
      <c r="AV153" s="137">
        <f>$W153*AA153+$L153*Summary_LCIA!R$32</f>
        <v>1.1766988033742611</v>
      </c>
      <c r="AW153" s="137">
        <f>$W153*AB153+$L153*Summary_LCIA!S$32</f>
        <v>236.13499623541924</v>
      </c>
      <c r="AX153" s="137">
        <f>$W153*AC153+$L153*Summary_LCIA!T$32</f>
        <v>57.003936164870488</v>
      </c>
      <c r="AY153" s="137">
        <f>$W153*AD153+$L153*Summary_LCIA!U$32</f>
        <v>0.41256071080675716</v>
      </c>
      <c r="AZ153" s="137">
        <f>$W153*AE153+$L153*Summary_LCIA!V$32</f>
        <v>6.2487683101317415E-3</v>
      </c>
      <c r="BA153" s="137">
        <f>$W153*AF153+$L153*Summary_LCIA!W$32</f>
        <v>9.2973378853948816</v>
      </c>
      <c r="BB153" s="137">
        <f>$W153*AG153+$L153*Summary_LCIA!X$32</f>
        <v>12.126235430650542</v>
      </c>
      <c r="BC153" s="137">
        <f>$W153*AH153+$L153*Summary_LCIA!Y$32</f>
        <v>0.3580823428445617</v>
      </c>
      <c r="BD153" s="137">
        <f>$W153*AI153+$L153*Summary_LCIA!Z$32</f>
        <v>0.2413703694652535</v>
      </c>
      <c r="BE153" s="137">
        <f>$W153*AJ153+$L153*Summary_LCIA!AA$32</f>
        <v>1.1615028993673295</v>
      </c>
      <c r="BF153" s="137">
        <f>$W153*AK153+$L153*Summary_LCIA!AB$32</f>
        <v>5.9175763543080864E-2</v>
      </c>
      <c r="BG153" s="137">
        <f>$W153*AL153+$L153*Summary_LCIA!AC$32</f>
        <v>2.9074660665065925E-5</v>
      </c>
      <c r="BH153" s="137">
        <f>$W153*AM153+$L153*Summary_LCIA!AD$32</f>
        <v>9.7406062454501521E-2</v>
      </c>
      <c r="BI153" s="137">
        <f>$W153*AN153+$L153*Summary_LCIA!AE$32</f>
        <v>0.28966557187973724</v>
      </c>
      <c r="BJ153" s="137">
        <f>$W153*AO153+$L153*Summary_LCIA!AF$32</f>
        <v>1.0777473929165175E-2</v>
      </c>
      <c r="BK153" s="137">
        <f>$W153*AP153+$L153*Summary_LCIA!AG$32</f>
        <v>4.6617104291651751E-3</v>
      </c>
      <c r="BL153" s="137">
        <f>$W153*AQ153+$L153*Summary_LCIA!AH$32</f>
        <v>0.67419069555244215</v>
      </c>
      <c r="BM153" s="137">
        <f>$W153*AR153+$L153*Summary_LCIA!AI$32</f>
        <v>0.25226138341837234</v>
      </c>
    </row>
    <row r="154" spans="1:65" x14ac:dyDescent="0.25">
      <c r="A154" s="149">
        <v>370</v>
      </c>
      <c r="B154" s="149">
        <v>6</v>
      </c>
      <c r="C154" s="61">
        <v>38.907192000000002</v>
      </c>
      <c r="D154" s="61">
        <v>-77.036871000000005</v>
      </c>
      <c r="E154" s="61" t="s">
        <v>265</v>
      </c>
      <c r="F154" s="149">
        <v>86</v>
      </c>
      <c r="G154" s="61" t="s">
        <v>630</v>
      </c>
      <c r="H154" s="61" t="s">
        <v>644</v>
      </c>
      <c r="I154" s="61">
        <v>38.851241999999999</v>
      </c>
      <c r="J154" s="61">
        <v>-77.040232000000003</v>
      </c>
      <c r="K154" s="61">
        <v>8.800194329</v>
      </c>
      <c r="L154" s="61">
        <v>8.4060000000000006</v>
      </c>
      <c r="M154" s="61" t="s">
        <v>617</v>
      </c>
      <c r="N154" s="149">
        <v>5</v>
      </c>
      <c r="O154" s="149">
        <v>6</v>
      </c>
      <c r="P154" s="61" t="s">
        <v>565</v>
      </c>
      <c r="Q154" s="61" t="s">
        <v>564</v>
      </c>
      <c r="R154" s="61">
        <v>41.98028</v>
      </c>
      <c r="S154" s="61">
        <v>-87.908997900000003</v>
      </c>
      <c r="T154" s="61">
        <v>1152.184</v>
      </c>
      <c r="U154" s="61" t="s">
        <v>617</v>
      </c>
      <c r="V154" s="61" t="s">
        <v>569</v>
      </c>
      <c r="W154" s="61" cm="1">
        <f t="array" ref="W154">getDistance(I154,J154,R154,S154)*SA!$B$12</f>
        <v>985.09467660045368</v>
      </c>
      <c r="X154" s="61"/>
      <c r="Y154" s="137">
        <f>Transportation_LCIA!C$61*($W154^Transportation_LCIA!C$60)+Transportation_LCIA!C$62</f>
        <v>0.2370864199991472</v>
      </c>
      <c r="Z154" s="137">
        <f>Transportation_LCIA!D$61*($W154^Transportation_LCIA!D$60)+Transportation_LCIA!D$62</f>
        <v>2.4393058219490786</v>
      </c>
      <c r="AA154" s="137">
        <f>Transportation_LCIA!E$61*($W154^Transportation_LCIA!E$60)+Transportation_LCIA!E$62</f>
        <v>1.1533446585003482E-3</v>
      </c>
      <c r="AB154" s="137">
        <f>Transportation_LCIA!F$61*($W154^Transportation_LCIA!F$60)+Transportation_LCIA!F$62</f>
        <v>0.2370864199991472</v>
      </c>
      <c r="AC154" s="137">
        <f>Transportation_LCIA!G$61*($W154^Transportation_LCIA!G$60)+Transportation_LCIA!G$62</f>
        <v>5.7007420199112084E-2</v>
      </c>
      <c r="AD154" s="137">
        <f>Transportation_LCIA!H$61*($W154^Transportation_LCIA!H$60)+Transportation_LCIA!H$62</f>
        <v>2.7877818988371404E-4</v>
      </c>
      <c r="AE154" s="137">
        <f>Transportation_LCIA!I$61*($W154^Transportation_LCIA!I$60)+Transportation_LCIA!I$62</f>
        <v>5.969993290824604E-6</v>
      </c>
      <c r="AF154" s="137">
        <f>Transportation_LCIA!J$61*($W154^Transportation_LCIA!J$60)+Transportation_LCIA!J$62</f>
        <v>8.8363701400098228E-3</v>
      </c>
      <c r="AG154" s="137">
        <f>Transportation_LCIA!K$61*($W154^Transportation_LCIA!K$60)+Transportation_LCIA!K$62</f>
        <v>1.2131655681962131E-2</v>
      </c>
      <c r="AH154" s="137">
        <f>Transportation_LCIA!L$61*($W154^Transportation_LCIA!L$60)+Transportation_LCIA!L$62</f>
        <v>2.4170361336866051E-4</v>
      </c>
      <c r="AI154" s="137">
        <f>Transportation_LCIA!M$61*($W154^Transportation_LCIA!M$60)+Transportation_LCIA!M$62</f>
        <v>2.4470196204605344E-4</v>
      </c>
      <c r="AJ154" s="137">
        <f>Transportation_LCIA!N$61*($W154^Transportation_LCIA!N$60)+Transportation_LCIA!N$62</f>
        <v>9.9651507889072025E-4</v>
      </c>
      <c r="AK154" s="137">
        <f>Transportation_LCIA!O$61*($W154^Transportation_LCIA!O$60)+Transportation_LCIA!O$62</f>
        <v>6.0241723006640731E-5</v>
      </c>
      <c r="AL154" s="137">
        <f>Transportation_LCIA!P$61*($W154^Transportation_LCIA!P$60)+Transportation_LCIA!P$62</f>
        <v>2.9132482944789785E-8</v>
      </c>
      <c r="AM154" s="137">
        <f>Transportation_LCIA!Q$61*($W154^Transportation_LCIA!Q$60)+Transportation_LCIA!Q$62</f>
        <v>9.5667002058853797E-5</v>
      </c>
      <c r="AN154" s="137">
        <f>Transportation_LCIA!R$61*($W154^Transportation_LCIA!R$60)+Transportation_LCIA!R$62</f>
        <v>2.8712201740427817E-4</v>
      </c>
      <c r="AO154" s="137">
        <f>Transportation_LCIA!S$61*($W154^Transportation_LCIA!S$60)+Transportation_LCIA!S$62</f>
        <v>4.332314477521164E-6</v>
      </c>
      <c r="AP154" s="137">
        <f>Transportation_LCIA!T$61*($W154^Transportation_LCIA!T$60)+Transportation_LCIA!T$62</f>
        <v>4.332314477521164E-6</v>
      </c>
      <c r="AQ154" s="137">
        <f>Transportation_LCIA!U$61*($W154^Transportation_LCIA!U$60)+Transportation_LCIA!U$62</f>
        <v>6.1636002099593767E-4</v>
      </c>
      <c r="AR154" s="137">
        <f>Transportation_LCIA!V$61*($W154^Transportation_LCIA!V$60)+Transportation_LCIA!V$62</f>
        <v>2.4879684586680414E-4</v>
      </c>
      <c r="AT154" s="137">
        <f>$W154*Y154+$L154*Summary_LCIA!H$32</f>
        <v>236.40892903541925</v>
      </c>
      <c r="AU154" s="137">
        <f>$W154*Z154+$L154*Summary_LCIA!Q$32</f>
        <v>2444.6077397423296</v>
      </c>
      <c r="AV154" s="137">
        <f>$W154*AA154+$L154*Summary_LCIA!R$32</f>
        <v>1.1804163169742612</v>
      </c>
      <c r="AW154" s="137">
        <f>$W154*AB154+$L154*Summary_LCIA!S$32</f>
        <v>236.37177451541925</v>
      </c>
      <c r="AX154" s="137">
        <f>$W154*AC154+$L154*Summary_LCIA!T$32</f>
        <v>57.081525564870489</v>
      </c>
      <c r="AY154" s="137">
        <f>$W154*AD154+$L154*Summary_LCIA!U$32</f>
        <v>0.42520799480675719</v>
      </c>
      <c r="AZ154" s="137">
        <f>$W154*AE154+$L154*Summary_LCIA!V$32</f>
        <v>6.2824875761317411E-3</v>
      </c>
      <c r="BA154" s="137">
        <f>$W154*AF154+$L154*Summary_LCIA!W$32</f>
        <v>9.3516794113948816</v>
      </c>
      <c r="BB154" s="137">
        <f>$W154*AG154+$L154*Summary_LCIA!X$32</f>
        <v>12.142318110650542</v>
      </c>
      <c r="BC154" s="137">
        <f>$W154*AH154+$L154*Summary_LCIA!Y$32</f>
        <v>0.36908323484456174</v>
      </c>
      <c r="BD154" s="137">
        <f>$W154*AI154+$L154*Summary_LCIA!Z$32</f>
        <v>0.24139932181925353</v>
      </c>
      <c r="BE154" s="137">
        <f>$W154*AJ154+$L154*Summary_LCIA!AA$32</f>
        <v>1.1779922353673296</v>
      </c>
      <c r="BF154" s="137">
        <f>$W154*AK154+$L154*Summary_LCIA!AB$32</f>
        <v>5.9160356505080863E-2</v>
      </c>
      <c r="BG154" s="137">
        <f>$W154*AL154+$L154*Summary_LCIA!AC$32</f>
        <v>2.9109172769065925E-5</v>
      </c>
      <c r="BH154" s="137">
        <f>$W154*AM154+$L154*Summary_LCIA!AD$32</f>
        <v>9.7696256694501521E-2</v>
      </c>
      <c r="BI154" s="137">
        <f>$W154*AN154+$L154*Summary_LCIA!AE$32</f>
        <v>0.29029117965973722</v>
      </c>
      <c r="BJ154" s="137">
        <f>$W154*AO154+$L154*Summary_LCIA!AF$32</f>
        <v>1.1374340449165176E-2</v>
      </c>
      <c r="BK154" s="137">
        <f>$W154*AP154+$L154*Summary_LCIA!AG$32</f>
        <v>4.6978329191651753E-3</v>
      </c>
      <c r="BL154" s="137">
        <f>$W154*AQ154+$L154*Summary_LCIA!AH$32</f>
        <v>0.68033543715244216</v>
      </c>
      <c r="BM154" s="137">
        <f>$W154*AR154+$L154*Summary_LCIA!AI$32</f>
        <v>0.25291905771837236</v>
      </c>
    </row>
    <row r="155" spans="1:65" x14ac:dyDescent="0.25">
      <c r="A155" s="149">
        <v>371</v>
      </c>
      <c r="B155" s="149">
        <v>6</v>
      </c>
      <c r="C155" s="61">
        <v>38.907192000000002</v>
      </c>
      <c r="D155" s="61">
        <v>-77.036871000000005</v>
      </c>
      <c r="E155" s="61" t="s">
        <v>265</v>
      </c>
      <c r="F155" s="149">
        <v>86</v>
      </c>
      <c r="G155" s="61" t="s">
        <v>630</v>
      </c>
      <c r="H155" s="61" t="s">
        <v>644</v>
      </c>
      <c r="I155" s="61">
        <v>38.851241999999999</v>
      </c>
      <c r="J155" s="61">
        <v>-77.040232000000003</v>
      </c>
      <c r="K155" s="61">
        <v>8.800194329</v>
      </c>
      <c r="L155" s="61">
        <v>8.4060000000000006</v>
      </c>
      <c r="M155" s="61" t="s">
        <v>617</v>
      </c>
      <c r="N155" s="149">
        <v>5</v>
      </c>
      <c r="O155" s="149">
        <v>6</v>
      </c>
      <c r="P155" s="61" t="s">
        <v>565</v>
      </c>
      <c r="Q155" s="61" t="s">
        <v>564</v>
      </c>
      <c r="R155" s="61">
        <v>41.98028</v>
      </c>
      <c r="S155" s="61">
        <v>-87.908997900000003</v>
      </c>
      <c r="T155" s="61">
        <v>1152.184</v>
      </c>
      <c r="U155" s="61" t="s">
        <v>617</v>
      </c>
      <c r="V155" s="61" t="s">
        <v>569</v>
      </c>
      <c r="W155" s="61" cm="1">
        <f t="array" ref="W155">getDistance(I155,J155,R155,S155)*SA!$B$12</f>
        <v>985.09467660045368</v>
      </c>
      <c r="X155" s="61"/>
      <c r="Y155" s="137">
        <f>Transportation_LCIA!C$61*($W155^Transportation_LCIA!C$60)+Transportation_LCIA!C$62</f>
        <v>0.2370864199991472</v>
      </c>
      <c r="Z155" s="137">
        <f>Transportation_LCIA!D$61*($W155^Transportation_LCIA!D$60)+Transportation_LCIA!D$62</f>
        <v>2.4393058219490786</v>
      </c>
      <c r="AA155" s="137">
        <f>Transportation_LCIA!E$61*($W155^Transportation_LCIA!E$60)+Transportation_LCIA!E$62</f>
        <v>1.1533446585003482E-3</v>
      </c>
      <c r="AB155" s="137">
        <f>Transportation_LCIA!F$61*($W155^Transportation_LCIA!F$60)+Transportation_LCIA!F$62</f>
        <v>0.2370864199991472</v>
      </c>
      <c r="AC155" s="137">
        <f>Transportation_LCIA!G$61*($W155^Transportation_LCIA!G$60)+Transportation_LCIA!G$62</f>
        <v>5.7007420199112084E-2</v>
      </c>
      <c r="AD155" s="137">
        <f>Transportation_LCIA!H$61*($W155^Transportation_LCIA!H$60)+Transportation_LCIA!H$62</f>
        <v>2.7877818988371404E-4</v>
      </c>
      <c r="AE155" s="137">
        <f>Transportation_LCIA!I$61*($W155^Transportation_LCIA!I$60)+Transportation_LCIA!I$62</f>
        <v>5.969993290824604E-6</v>
      </c>
      <c r="AF155" s="137">
        <f>Transportation_LCIA!J$61*($W155^Transportation_LCIA!J$60)+Transportation_LCIA!J$62</f>
        <v>8.8363701400098228E-3</v>
      </c>
      <c r="AG155" s="137">
        <f>Transportation_LCIA!K$61*($W155^Transportation_LCIA!K$60)+Transportation_LCIA!K$62</f>
        <v>1.2131655681962131E-2</v>
      </c>
      <c r="AH155" s="137">
        <f>Transportation_LCIA!L$61*($W155^Transportation_LCIA!L$60)+Transportation_LCIA!L$62</f>
        <v>2.4170361336866051E-4</v>
      </c>
      <c r="AI155" s="137">
        <f>Transportation_LCIA!M$61*($W155^Transportation_LCIA!M$60)+Transportation_LCIA!M$62</f>
        <v>2.4470196204605344E-4</v>
      </c>
      <c r="AJ155" s="137">
        <f>Transportation_LCIA!N$61*($W155^Transportation_LCIA!N$60)+Transportation_LCIA!N$62</f>
        <v>9.9651507889072025E-4</v>
      </c>
      <c r="AK155" s="137">
        <f>Transportation_LCIA!O$61*($W155^Transportation_LCIA!O$60)+Transportation_LCIA!O$62</f>
        <v>6.0241723006640731E-5</v>
      </c>
      <c r="AL155" s="137">
        <f>Transportation_LCIA!P$61*($W155^Transportation_LCIA!P$60)+Transportation_LCIA!P$62</f>
        <v>2.9132482944789785E-8</v>
      </c>
      <c r="AM155" s="137">
        <f>Transportation_LCIA!Q$61*($W155^Transportation_LCIA!Q$60)+Transportation_LCIA!Q$62</f>
        <v>9.5667002058853797E-5</v>
      </c>
      <c r="AN155" s="137">
        <f>Transportation_LCIA!R$61*($W155^Transportation_LCIA!R$60)+Transportation_LCIA!R$62</f>
        <v>2.8712201740427817E-4</v>
      </c>
      <c r="AO155" s="137">
        <f>Transportation_LCIA!S$61*($W155^Transportation_LCIA!S$60)+Transportation_LCIA!S$62</f>
        <v>4.332314477521164E-6</v>
      </c>
      <c r="AP155" s="137">
        <f>Transportation_LCIA!T$61*($W155^Transportation_LCIA!T$60)+Transportation_LCIA!T$62</f>
        <v>4.332314477521164E-6</v>
      </c>
      <c r="AQ155" s="137">
        <f>Transportation_LCIA!U$61*($W155^Transportation_LCIA!U$60)+Transportation_LCIA!U$62</f>
        <v>6.1636002099593767E-4</v>
      </c>
      <c r="AR155" s="137">
        <f>Transportation_LCIA!V$61*($W155^Transportation_LCIA!V$60)+Transportation_LCIA!V$62</f>
        <v>2.4879684586680414E-4</v>
      </c>
      <c r="AT155" s="137">
        <f>$W155*Y155+$L155*Summary_LCIA!H$32</f>
        <v>236.40892903541925</v>
      </c>
      <c r="AU155" s="137">
        <f>$W155*Z155+$L155*Summary_LCIA!Q$32</f>
        <v>2444.6077397423296</v>
      </c>
      <c r="AV155" s="137">
        <f>$W155*AA155+$L155*Summary_LCIA!R$32</f>
        <v>1.1804163169742612</v>
      </c>
      <c r="AW155" s="137">
        <f>$W155*AB155+$L155*Summary_LCIA!S$32</f>
        <v>236.37177451541925</v>
      </c>
      <c r="AX155" s="137">
        <f>$W155*AC155+$L155*Summary_LCIA!T$32</f>
        <v>57.081525564870489</v>
      </c>
      <c r="AY155" s="137">
        <f>$W155*AD155+$L155*Summary_LCIA!U$32</f>
        <v>0.42520799480675719</v>
      </c>
      <c r="AZ155" s="137">
        <f>$W155*AE155+$L155*Summary_LCIA!V$32</f>
        <v>6.2824875761317411E-3</v>
      </c>
      <c r="BA155" s="137">
        <f>$W155*AF155+$L155*Summary_LCIA!W$32</f>
        <v>9.3516794113948816</v>
      </c>
      <c r="BB155" s="137">
        <f>$W155*AG155+$L155*Summary_LCIA!X$32</f>
        <v>12.142318110650542</v>
      </c>
      <c r="BC155" s="137">
        <f>$W155*AH155+$L155*Summary_LCIA!Y$32</f>
        <v>0.36908323484456174</v>
      </c>
      <c r="BD155" s="137">
        <f>$W155*AI155+$L155*Summary_LCIA!Z$32</f>
        <v>0.24139932181925353</v>
      </c>
      <c r="BE155" s="137">
        <f>$W155*AJ155+$L155*Summary_LCIA!AA$32</f>
        <v>1.1779922353673296</v>
      </c>
      <c r="BF155" s="137">
        <f>$W155*AK155+$L155*Summary_LCIA!AB$32</f>
        <v>5.9160356505080863E-2</v>
      </c>
      <c r="BG155" s="137">
        <f>$W155*AL155+$L155*Summary_LCIA!AC$32</f>
        <v>2.9109172769065925E-5</v>
      </c>
      <c r="BH155" s="137">
        <f>$W155*AM155+$L155*Summary_LCIA!AD$32</f>
        <v>9.7696256694501521E-2</v>
      </c>
      <c r="BI155" s="137">
        <f>$W155*AN155+$L155*Summary_LCIA!AE$32</f>
        <v>0.29029117965973722</v>
      </c>
      <c r="BJ155" s="137">
        <f>$W155*AO155+$L155*Summary_LCIA!AF$32</f>
        <v>1.1374340449165176E-2</v>
      </c>
      <c r="BK155" s="137">
        <f>$W155*AP155+$L155*Summary_LCIA!AG$32</f>
        <v>4.6978329191651753E-3</v>
      </c>
      <c r="BL155" s="137">
        <f>$W155*AQ155+$L155*Summary_LCIA!AH$32</f>
        <v>0.68033543715244216</v>
      </c>
      <c r="BM155" s="137">
        <f>$W155*AR155+$L155*Summary_LCIA!AI$32</f>
        <v>0.25291905771837236</v>
      </c>
    </row>
    <row r="156" spans="1:65" x14ac:dyDescent="0.25">
      <c r="A156" s="149">
        <v>372</v>
      </c>
      <c r="B156" s="149">
        <v>6</v>
      </c>
      <c r="C156" s="61">
        <v>38.907192000000002</v>
      </c>
      <c r="D156" s="61">
        <v>-77.036871000000005</v>
      </c>
      <c r="E156" s="61" t="s">
        <v>265</v>
      </c>
      <c r="F156" s="149">
        <v>86</v>
      </c>
      <c r="G156" s="61" t="s">
        <v>630</v>
      </c>
      <c r="H156" s="61" t="s">
        <v>644</v>
      </c>
      <c r="I156" s="61">
        <v>38.851241999999999</v>
      </c>
      <c r="J156" s="61">
        <v>-77.040232000000003</v>
      </c>
      <c r="K156" s="61">
        <v>8.800194329</v>
      </c>
      <c r="L156" s="61">
        <v>8.4060000000000006</v>
      </c>
      <c r="M156" s="61" t="s">
        <v>617</v>
      </c>
      <c r="N156" s="149">
        <v>5</v>
      </c>
      <c r="O156" s="149">
        <v>6</v>
      </c>
      <c r="P156" s="61" t="s">
        <v>565</v>
      </c>
      <c r="Q156" s="61" t="s">
        <v>564</v>
      </c>
      <c r="R156" s="61">
        <v>41.98028</v>
      </c>
      <c r="S156" s="61">
        <v>-87.908997900000003</v>
      </c>
      <c r="T156" s="61">
        <v>1152.184</v>
      </c>
      <c r="U156" s="61" t="s">
        <v>617</v>
      </c>
      <c r="V156" s="61" t="s">
        <v>569</v>
      </c>
      <c r="W156" s="61" cm="1">
        <f t="array" ref="W156">getDistance(I156,J156,R156,S156)*SA!$B$12</f>
        <v>985.09467660045368</v>
      </c>
      <c r="X156" s="61"/>
      <c r="Y156" s="137">
        <f>Transportation_LCIA!C$61*($W156^Transportation_LCIA!C$60)+Transportation_LCIA!C$62</f>
        <v>0.2370864199991472</v>
      </c>
      <c r="Z156" s="137">
        <f>Transportation_LCIA!D$61*($W156^Transportation_LCIA!D$60)+Transportation_LCIA!D$62</f>
        <v>2.4393058219490786</v>
      </c>
      <c r="AA156" s="137">
        <f>Transportation_LCIA!E$61*($W156^Transportation_LCIA!E$60)+Transportation_LCIA!E$62</f>
        <v>1.1533446585003482E-3</v>
      </c>
      <c r="AB156" s="137">
        <f>Transportation_LCIA!F$61*($W156^Transportation_LCIA!F$60)+Transportation_LCIA!F$62</f>
        <v>0.2370864199991472</v>
      </c>
      <c r="AC156" s="137">
        <f>Transportation_LCIA!G$61*($W156^Transportation_LCIA!G$60)+Transportation_LCIA!G$62</f>
        <v>5.7007420199112084E-2</v>
      </c>
      <c r="AD156" s="137">
        <f>Transportation_LCIA!H$61*($W156^Transportation_LCIA!H$60)+Transportation_LCIA!H$62</f>
        <v>2.7877818988371404E-4</v>
      </c>
      <c r="AE156" s="137">
        <f>Transportation_LCIA!I$61*($W156^Transportation_LCIA!I$60)+Transportation_LCIA!I$62</f>
        <v>5.969993290824604E-6</v>
      </c>
      <c r="AF156" s="137">
        <f>Transportation_LCIA!J$61*($W156^Transportation_LCIA!J$60)+Transportation_LCIA!J$62</f>
        <v>8.8363701400098228E-3</v>
      </c>
      <c r="AG156" s="137">
        <f>Transportation_LCIA!K$61*($W156^Transportation_LCIA!K$60)+Transportation_LCIA!K$62</f>
        <v>1.2131655681962131E-2</v>
      </c>
      <c r="AH156" s="137">
        <f>Transportation_LCIA!L$61*($W156^Transportation_LCIA!L$60)+Transportation_LCIA!L$62</f>
        <v>2.4170361336866051E-4</v>
      </c>
      <c r="AI156" s="137">
        <f>Transportation_LCIA!M$61*($W156^Transportation_LCIA!M$60)+Transportation_LCIA!M$62</f>
        <v>2.4470196204605344E-4</v>
      </c>
      <c r="AJ156" s="137">
        <f>Transportation_LCIA!N$61*($W156^Transportation_LCIA!N$60)+Transportation_LCIA!N$62</f>
        <v>9.9651507889072025E-4</v>
      </c>
      <c r="AK156" s="137">
        <f>Transportation_LCIA!O$61*($W156^Transportation_LCIA!O$60)+Transportation_LCIA!O$62</f>
        <v>6.0241723006640731E-5</v>
      </c>
      <c r="AL156" s="137">
        <f>Transportation_LCIA!P$61*($W156^Transportation_LCIA!P$60)+Transportation_LCIA!P$62</f>
        <v>2.9132482944789785E-8</v>
      </c>
      <c r="AM156" s="137">
        <f>Transportation_LCIA!Q$61*($W156^Transportation_LCIA!Q$60)+Transportation_LCIA!Q$62</f>
        <v>9.5667002058853797E-5</v>
      </c>
      <c r="AN156" s="137">
        <f>Transportation_LCIA!R$61*($W156^Transportation_LCIA!R$60)+Transportation_LCIA!R$62</f>
        <v>2.8712201740427817E-4</v>
      </c>
      <c r="AO156" s="137">
        <f>Transportation_LCIA!S$61*($W156^Transportation_LCIA!S$60)+Transportation_LCIA!S$62</f>
        <v>4.332314477521164E-6</v>
      </c>
      <c r="AP156" s="137">
        <f>Transportation_LCIA!T$61*($W156^Transportation_LCIA!T$60)+Transportation_LCIA!T$62</f>
        <v>4.332314477521164E-6</v>
      </c>
      <c r="AQ156" s="137">
        <f>Transportation_LCIA!U$61*($W156^Transportation_LCIA!U$60)+Transportation_LCIA!U$62</f>
        <v>6.1636002099593767E-4</v>
      </c>
      <c r="AR156" s="137">
        <f>Transportation_LCIA!V$61*($W156^Transportation_LCIA!V$60)+Transportation_LCIA!V$62</f>
        <v>2.4879684586680414E-4</v>
      </c>
      <c r="AT156" s="137">
        <f>$W156*Y156+$L156*Summary_LCIA!H$32</f>
        <v>236.40892903541925</v>
      </c>
      <c r="AU156" s="137">
        <f>$W156*Z156+$L156*Summary_LCIA!Q$32</f>
        <v>2444.6077397423296</v>
      </c>
      <c r="AV156" s="137">
        <f>$W156*AA156+$L156*Summary_LCIA!R$32</f>
        <v>1.1804163169742612</v>
      </c>
      <c r="AW156" s="137">
        <f>$W156*AB156+$L156*Summary_LCIA!S$32</f>
        <v>236.37177451541925</v>
      </c>
      <c r="AX156" s="137">
        <f>$W156*AC156+$L156*Summary_LCIA!T$32</f>
        <v>57.081525564870489</v>
      </c>
      <c r="AY156" s="137">
        <f>$W156*AD156+$L156*Summary_LCIA!U$32</f>
        <v>0.42520799480675719</v>
      </c>
      <c r="AZ156" s="137">
        <f>$W156*AE156+$L156*Summary_LCIA!V$32</f>
        <v>6.2824875761317411E-3</v>
      </c>
      <c r="BA156" s="137">
        <f>$W156*AF156+$L156*Summary_LCIA!W$32</f>
        <v>9.3516794113948816</v>
      </c>
      <c r="BB156" s="137">
        <f>$W156*AG156+$L156*Summary_LCIA!X$32</f>
        <v>12.142318110650542</v>
      </c>
      <c r="BC156" s="137">
        <f>$W156*AH156+$L156*Summary_LCIA!Y$32</f>
        <v>0.36908323484456174</v>
      </c>
      <c r="BD156" s="137">
        <f>$W156*AI156+$L156*Summary_LCIA!Z$32</f>
        <v>0.24139932181925353</v>
      </c>
      <c r="BE156" s="137">
        <f>$W156*AJ156+$L156*Summary_LCIA!AA$32</f>
        <v>1.1779922353673296</v>
      </c>
      <c r="BF156" s="137">
        <f>$W156*AK156+$L156*Summary_LCIA!AB$32</f>
        <v>5.9160356505080863E-2</v>
      </c>
      <c r="BG156" s="137">
        <f>$W156*AL156+$L156*Summary_LCIA!AC$32</f>
        <v>2.9109172769065925E-5</v>
      </c>
      <c r="BH156" s="137">
        <f>$W156*AM156+$L156*Summary_LCIA!AD$32</f>
        <v>9.7696256694501521E-2</v>
      </c>
      <c r="BI156" s="137">
        <f>$W156*AN156+$L156*Summary_LCIA!AE$32</f>
        <v>0.29029117965973722</v>
      </c>
      <c r="BJ156" s="137">
        <f>$W156*AO156+$L156*Summary_LCIA!AF$32</f>
        <v>1.1374340449165176E-2</v>
      </c>
      <c r="BK156" s="137">
        <f>$W156*AP156+$L156*Summary_LCIA!AG$32</f>
        <v>4.6978329191651753E-3</v>
      </c>
      <c r="BL156" s="137">
        <f>$W156*AQ156+$L156*Summary_LCIA!AH$32</f>
        <v>0.68033543715244216</v>
      </c>
      <c r="BM156" s="137">
        <f>$W156*AR156+$L156*Summary_LCIA!AI$32</f>
        <v>0.25291905771837236</v>
      </c>
    </row>
    <row r="157" spans="1:65" x14ac:dyDescent="0.25">
      <c r="A157" s="149">
        <v>373</v>
      </c>
      <c r="B157" s="149">
        <v>6</v>
      </c>
      <c r="C157" s="61">
        <v>38.907192000000002</v>
      </c>
      <c r="D157" s="61">
        <v>-77.036871000000005</v>
      </c>
      <c r="E157" s="61" t="s">
        <v>265</v>
      </c>
      <c r="F157" s="149">
        <v>86</v>
      </c>
      <c r="G157" s="61" t="s">
        <v>630</v>
      </c>
      <c r="H157" s="61" t="s">
        <v>644</v>
      </c>
      <c r="I157" s="61">
        <v>38.851241999999999</v>
      </c>
      <c r="J157" s="61">
        <v>-77.040232000000003</v>
      </c>
      <c r="K157" s="61">
        <v>8.800194329</v>
      </c>
      <c r="L157" s="61">
        <v>8.4060000000000006</v>
      </c>
      <c r="M157" s="61" t="s">
        <v>617</v>
      </c>
      <c r="N157" s="149">
        <v>5</v>
      </c>
      <c r="O157" s="149">
        <v>6</v>
      </c>
      <c r="P157" s="61" t="s">
        <v>565</v>
      </c>
      <c r="Q157" s="61" t="s">
        <v>564</v>
      </c>
      <c r="R157" s="61">
        <v>41.98028</v>
      </c>
      <c r="S157" s="61">
        <v>-87.908997900000003</v>
      </c>
      <c r="T157" s="61">
        <v>1152.184</v>
      </c>
      <c r="U157" s="61" t="s">
        <v>617</v>
      </c>
      <c r="V157" s="61" t="s">
        <v>569</v>
      </c>
      <c r="W157" s="61" cm="1">
        <f t="array" ref="W157">getDistance(I157,J157,R157,S157)*SA!$B$12</f>
        <v>985.09467660045368</v>
      </c>
      <c r="X157" s="61"/>
      <c r="Y157" s="137">
        <f>Transportation_LCIA!C$61*($W157^Transportation_LCIA!C$60)+Transportation_LCIA!C$62</f>
        <v>0.2370864199991472</v>
      </c>
      <c r="Z157" s="137">
        <f>Transportation_LCIA!D$61*($W157^Transportation_LCIA!D$60)+Transportation_LCIA!D$62</f>
        <v>2.4393058219490786</v>
      </c>
      <c r="AA157" s="137">
        <f>Transportation_LCIA!E$61*($W157^Transportation_LCIA!E$60)+Transportation_LCIA!E$62</f>
        <v>1.1533446585003482E-3</v>
      </c>
      <c r="AB157" s="137">
        <f>Transportation_LCIA!F$61*($W157^Transportation_LCIA!F$60)+Transportation_LCIA!F$62</f>
        <v>0.2370864199991472</v>
      </c>
      <c r="AC157" s="137">
        <f>Transportation_LCIA!G$61*($W157^Transportation_LCIA!G$60)+Transportation_LCIA!G$62</f>
        <v>5.7007420199112084E-2</v>
      </c>
      <c r="AD157" s="137">
        <f>Transportation_LCIA!H$61*($W157^Transportation_LCIA!H$60)+Transportation_LCIA!H$62</f>
        <v>2.7877818988371404E-4</v>
      </c>
      <c r="AE157" s="137">
        <f>Transportation_LCIA!I$61*($W157^Transportation_LCIA!I$60)+Transportation_LCIA!I$62</f>
        <v>5.969993290824604E-6</v>
      </c>
      <c r="AF157" s="137">
        <f>Transportation_LCIA!J$61*($W157^Transportation_LCIA!J$60)+Transportation_LCIA!J$62</f>
        <v>8.8363701400098228E-3</v>
      </c>
      <c r="AG157" s="137">
        <f>Transportation_LCIA!K$61*($W157^Transportation_LCIA!K$60)+Transportation_LCIA!K$62</f>
        <v>1.2131655681962131E-2</v>
      </c>
      <c r="AH157" s="137">
        <f>Transportation_LCIA!L$61*($W157^Transportation_LCIA!L$60)+Transportation_LCIA!L$62</f>
        <v>2.4170361336866051E-4</v>
      </c>
      <c r="AI157" s="137">
        <f>Transportation_LCIA!M$61*($W157^Transportation_LCIA!M$60)+Transportation_LCIA!M$62</f>
        <v>2.4470196204605344E-4</v>
      </c>
      <c r="AJ157" s="137">
        <f>Transportation_LCIA!N$61*($W157^Transportation_LCIA!N$60)+Transportation_LCIA!N$62</f>
        <v>9.9651507889072025E-4</v>
      </c>
      <c r="AK157" s="137">
        <f>Transportation_LCIA!O$61*($W157^Transportation_LCIA!O$60)+Transportation_LCIA!O$62</f>
        <v>6.0241723006640731E-5</v>
      </c>
      <c r="AL157" s="137">
        <f>Transportation_LCIA!P$61*($W157^Transportation_LCIA!P$60)+Transportation_LCIA!P$62</f>
        <v>2.9132482944789785E-8</v>
      </c>
      <c r="AM157" s="137">
        <f>Transportation_LCIA!Q$61*($W157^Transportation_LCIA!Q$60)+Transportation_LCIA!Q$62</f>
        <v>9.5667002058853797E-5</v>
      </c>
      <c r="AN157" s="137">
        <f>Transportation_LCIA!R$61*($W157^Transportation_LCIA!R$60)+Transportation_LCIA!R$62</f>
        <v>2.8712201740427817E-4</v>
      </c>
      <c r="AO157" s="137">
        <f>Transportation_LCIA!S$61*($W157^Transportation_LCIA!S$60)+Transportation_LCIA!S$62</f>
        <v>4.332314477521164E-6</v>
      </c>
      <c r="AP157" s="137">
        <f>Transportation_LCIA!T$61*($W157^Transportation_LCIA!T$60)+Transportation_LCIA!T$62</f>
        <v>4.332314477521164E-6</v>
      </c>
      <c r="AQ157" s="137">
        <f>Transportation_LCIA!U$61*($W157^Transportation_LCIA!U$60)+Transportation_LCIA!U$62</f>
        <v>6.1636002099593767E-4</v>
      </c>
      <c r="AR157" s="137">
        <f>Transportation_LCIA!V$61*($W157^Transportation_LCIA!V$60)+Transportation_LCIA!V$62</f>
        <v>2.4879684586680414E-4</v>
      </c>
      <c r="AT157" s="137">
        <f>$W157*Y157+$L157*Summary_LCIA!H$32</f>
        <v>236.40892903541925</v>
      </c>
      <c r="AU157" s="137">
        <f>$W157*Z157+$L157*Summary_LCIA!Q$32</f>
        <v>2444.6077397423296</v>
      </c>
      <c r="AV157" s="137">
        <f>$W157*AA157+$L157*Summary_LCIA!R$32</f>
        <v>1.1804163169742612</v>
      </c>
      <c r="AW157" s="137">
        <f>$W157*AB157+$L157*Summary_LCIA!S$32</f>
        <v>236.37177451541925</v>
      </c>
      <c r="AX157" s="137">
        <f>$W157*AC157+$L157*Summary_LCIA!T$32</f>
        <v>57.081525564870489</v>
      </c>
      <c r="AY157" s="137">
        <f>$W157*AD157+$L157*Summary_LCIA!U$32</f>
        <v>0.42520799480675719</v>
      </c>
      <c r="AZ157" s="137">
        <f>$W157*AE157+$L157*Summary_LCIA!V$32</f>
        <v>6.2824875761317411E-3</v>
      </c>
      <c r="BA157" s="137">
        <f>$W157*AF157+$L157*Summary_LCIA!W$32</f>
        <v>9.3516794113948816</v>
      </c>
      <c r="BB157" s="137">
        <f>$W157*AG157+$L157*Summary_LCIA!X$32</f>
        <v>12.142318110650542</v>
      </c>
      <c r="BC157" s="137">
        <f>$W157*AH157+$L157*Summary_LCIA!Y$32</f>
        <v>0.36908323484456174</v>
      </c>
      <c r="BD157" s="137">
        <f>$W157*AI157+$L157*Summary_LCIA!Z$32</f>
        <v>0.24139932181925353</v>
      </c>
      <c r="BE157" s="137">
        <f>$W157*AJ157+$L157*Summary_LCIA!AA$32</f>
        <v>1.1779922353673296</v>
      </c>
      <c r="BF157" s="137">
        <f>$W157*AK157+$L157*Summary_LCIA!AB$32</f>
        <v>5.9160356505080863E-2</v>
      </c>
      <c r="BG157" s="137">
        <f>$W157*AL157+$L157*Summary_LCIA!AC$32</f>
        <v>2.9109172769065925E-5</v>
      </c>
      <c r="BH157" s="137">
        <f>$W157*AM157+$L157*Summary_LCIA!AD$32</f>
        <v>9.7696256694501521E-2</v>
      </c>
      <c r="BI157" s="137">
        <f>$W157*AN157+$L157*Summary_LCIA!AE$32</f>
        <v>0.29029117965973722</v>
      </c>
      <c r="BJ157" s="137">
        <f>$W157*AO157+$L157*Summary_LCIA!AF$32</f>
        <v>1.1374340449165176E-2</v>
      </c>
      <c r="BK157" s="137">
        <f>$W157*AP157+$L157*Summary_LCIA!AG$32</f>
        <v>4.6978329191651753E-3</v>
      </c>
      <c r="BL157" s="137">
        <f>$W157*AQ157+$L157*Summary_LCIA!AH$32</f>
        <v>0.68033543715244216</v>
      </c>
      <c r="BM157" s="137">
        <f>$W157*AR157+$L157*Summary_LCIA!AI$32</f>
        <v>0.25291905771837236</v>
      </c>
    </row>
    <row r="158" spans="1:65" x14ac:dyDescent="0.25">
      <c r="A158" s="149">
        <v>374</v>
      </c>
      <c r="B158" s="149">
        <v>6</v>
      </c>
      <c r="C158" s="61">
        <v>38.907192000000002</v>
      </c>
      <c r="D158" s="61">
        <v>-77.036871000000005</v>
      </c>
      <c r="E158" s="61" t="s">
        <v>265</v>
      </c>
      <c r="F158" s="149">
        <v>86</v>
      </c>
      <c r="G158" s="61" t="s">
        <v>630</v>
      </c>
      <c r="H158" s="61" t="s">
        <v>644</v>
      </c>
      <c r="I158" s="61">
        <v>38.851241999999999</v>
      </c>
      <c r="J158" s="61">
        <v>-77.040232000000003</v>
      </c>
      <c r="K158" s="61">
        <v>8.800194329</v>
      </c>
      <c r="L158" s="61">
        <v>8.4060000000000006</v>
      </c>
      <c r="M158" s="61" t="s">
        <v>617</v>
      </c>
      <c r="N158" s="149">
        <v>5</v>
      </c>
      <c r="O158" s="149">
        <v>6</v>
      </c>
      <c r="P158" s="61" t="s">
        <v>565</v>
      </c>
      <c r="Q158" s="61" t="s">
        <v>564</v>
      </c>
      <c r="R158" s="61">
        <v>41.98028</v>
      </c>
      <c r="S158" s="61">
        <v>-87.908997900000003</v>
      </c>
      <c r="T158" s="61">
        <v>1152.184</v>
      </c>
      <c r="U158" s="61" t="s">
        <v>617</v>
      </c>
      <c r="V158" s="61" t="s">
        <v>569</v>
      </c>
      <c r="W158" s="61" cm="1">
        <f t="array" ref="W158">getDistance(I158,J158,R158,S158)*SA!$B$12</f>
        <v>985.09467660045368</v>
      </c>
      <c r="X158" s="61"/>
      <c r="Y158" s="137">
        <f>Transportation_LCIA!C$61*($W158^Transportation_LCIA!C$60)+Transportation_LCIA!C$62</f>
        <v>0.2370864199991472</v>
      </c>
      <c r="Z158" s="137">
        <f>Transportation_LCIA!D$61*($W158^Transportation_LCIA!D$60)+Transportation_LCIA!D$62</f>
        <v>2.4393058219490786</v>
      </c>
      <c r="AA158" s="137">
        <f>Transportation_LCIA!E$61*($W158^Transportation_LCIA!E$60)+Transportation_LCIA!E$62</f>
        <v>1.1533446585003482E-3</v>
      </c>
      <c r="AB158" s="137">
        <f>Transportation_LCIA!F$61*($W158^Transportation_LCIA!F$60)+Transportation_LCIA!F$62</f>
        <v>0.2370864199991472</v>
      </c>
      <c r="AC158" s="137">
        <f>Transportation_LCIA!G$61*($W158^Transportation_LCIA!G$60)+Transportation_LCIA!G$62</f>
        <v>5.7007420199112084E-2</v>
      </c>
      <c r="AD158" s="137">
        <f>Transportation_LCIA!H$61*($W158^Transportation_LCIA!H$60)+Transportation_LCIA!H$62</f>
        <v>2.7877818988371404E-4</v>
      </c>
      <c r="AE158" s="137">
        <f>Transportation_LCIA!I$61*($W158^Transportation_LCIA!I$60)+Transportation_LCIA!I$62</f>
        <v>5.969993290824604E-6</v>
      </c>
      <c r="AF158" s="137">
        <f>Transportation_LCIA!J$61*($W158^Transportation_LCIA!J$60)+Transportation_LCIA!J$62</f>
        <v>8.8363701400098228E-3</v>
      </c>
      <c r="AG158" s="137">
        <f>Transportation_LCIA!K$61*($W158^Transportation_LCIA!K$60)+Transportation_LCIA!K$62</f>
        <v>1.2131655681962131E-2</v>
      </c>
      <c r="AH158" s="137">
        <f>Transportation_LCIA!L$61*($W158^Transportation_LCIA!L$60)+Transportation_LCIA!L$62</f>
        <v>2.4170361336866051E-4</v>
      </c>
      <c r="AI158" s="137">
        <f>Transportation_LCIA!M$61*($W158^Transportation_LCIA!M$60)+Transportation_LCIA!M$62</f>
        <v>2.4470196204605344E-4</v>
      </c>
      <c r="AJ158" s="137">
        <f>Transportation_LCIA!N$61*($W158^Transportation_LCIA!N$60)+Transportation_LCIA!N$62</f>
        <v>9.9651507889072025E-4</v>
      </c>
      <c r="AK158" s="137">
        <f>Transportation_LCIA!O$61*($W158^Transportation_LCIA!O$60)+Transportation_LCIA!O$62</f>
        <v>6.0241723006640731E-5</v>
      </c>
      <c r="AL158" s="137">
        <f>Transportation_LCIA!P$61*($W158^Transportation_LCIA!P$60)+Transportation_LCIA!P$62</f>
        <v>2.9132482944789785E-8</v>
      </c>
      <c r="AM158" s="137">
        <f>Transportation_LCIA!Q$61*($W158^Transportation_LCIA!Q$60)+Transportation_LCIA!Q$62</f>
        <v>9.5667002058853797E-5</v>
      </c>
      <c r="AN158" s="137">
        <f>Transportation_LCIA!R$61*($W158^Transportation_LCIA!R$60)+Transportation_LCIA!R$62</f>
        <v>2.8712201740427817E-4</v>
      </c>
      <c r="AO158" s="137">
        <f>Transportation_LCIA!S$61*($W158^Transportation_LCIA!S$60)+Transportation_LCIA!S$62</f>
        <v>4.332314477521164E-6</v>
      </c>
      <c r="AP158" s="137">
        <f>Transportation_LCIA!T$61*($W158^Transportation_LCIA!T$60)+Transportation_LCIA!T$62</f>
        <v>4.332314477521164E-6</v>
      </c>
      <c r="AQ158" s="137">
        <f>Transportation_LCIA!U$61*($W158^Transportation_LCIA!U$60)+Transportation_LCIA!U$62</f>
        <v>6.1636002099593767E-4</v>
      </c>
      <c r="AR158" s="137">
        <f>Transportation_LCIA!V$61*($W158^Transportation_LCIA!V$60)+Transportation_LCIA!V$62</f>
        <v>2.4879684586680414E-4</v>
      </c>
      <c r="AT158" s="137">
        <f>$W158*Y158+$L158*Summary_LCIA!H$32</f>
        <v>236.40892903541925</v>
      </c>
      <c r="AU158" s="137">
        <f>$W158*Z158+$L158*Summary_LCIA!Q$32</f>
        <v>2444.6077397423296</v>
      </c>
      <c r="AV158" s="137">
        <f>$W158*AA158+$L158*Summary_LCIA!R$32</f>
        <v>1.1804163169742612</v>
      </c>
      <c r="AW158" s="137">
        <f>$W158*AB158+$L158*Summary_LCIA!S$32</f>
        <v>236.37177451541925</v>
      </c>
      <c r="AX158" s="137">
        <f>$W158*AC158+$L158*Summary_LCIA!T$32</f>
        <v>57.081525564870489</v>
      </c>
      <c r="AY158" s="137">
        <f>$W158*AD158+$L158*Summary_LCIA!U$32</f>
        <v>0.42520799480675719</v>
      </c>
      <c r="AZ158" s="137">
        <f>$W158*AE158+$L158*Summary_LCIA!V$32</f>
        <v>6.2824875761317411E-3</v>
      </c>
      <c r="BA158" s="137">
        <f>$W158*AF158+$L158*Summary_LCIA!W$32</f>
        <v>9.3516794113948816</v>
      </c>
      <c r="BB158" s="137">
        <f>$W158*AG158+$L158*Summary_LCIA!X$32</f>
        <v>12.142318110650542</v>
      </c>
      <c r="BC158" s="137">
        <f>$W158*AH158+$L158*Summary_LCIA!Y$32</f>
        <v>0.36908323484456174</v>
      </c>
      <c r="BD158" s="137">
        <f>$W158*AI158+$L158*Summary_LCIA!Z$32</f>
        <v>0.24139932181925353</v>
      </c>
      <c r="BE158" s="137">
        <f>$W158*AJ158+$L158*Summary_LCIA!AA$32</f>
        <v>1.1779922353673296</v>
      </c>
      <c r="BF158" s="137">
        <f>$W158*AK158+$L158*Summary_LCIA!AB$32</f>
        <v>5.9160356505080863E-2</v>
      </c>
      <c r="BG158" s="137">
        <f>$W158*AL158+$L158*Summary_LCIA!AC$32</f>
        <v>2.9109172769065925E-5</v>
      </c>
      <c r="BH158" s="137">
        <f>$W158*AM158+$L158*Summary_LCIA!AD$32</f>
        <v>9.7696256694501521E-2</v>
      </c>
      <c r="BI158" s="137">
        <f>$W158*AN158+$L158*Summary_LCIA!AE$32</f>
        <v>0.29029117965973722</v>
      </c>
      <c r="BJ158" s="137">
        <f>$W158*AO158+$L158*Summary_LCIA!AF$32</f>
        <v>1.1374340449165176E-2</v>
      </c>
      <c r="BK158" s="137">
        <f>$W158*AP158+$L158*Summary_LCIA!AG$32</f>
        <v>4.6978329191651753E-3</v>
      </c>
      <c r="BL158" s="137">
        <f>$W158*AQ158+$L158*Summary_LCIA!AH$32</f>
        <v>0.68033543715244216</v>
      </c>
      <c r="BM158" s="137">
        <f>$W158*AR158+$L158*Summary_LCIA!AI$32</f>
        <v>0.25291905771837236</v>
      </c>
    </row>
    <row r="159" spans="1:65" x14ac:dyDescent="0.25">
      <c r="A159" s="149">
        <v>375</v>
      </c>
      <c r="B159" s="149">
        <v>6</v>
      </c>
      <c r="C159" s="61">
        <v>38.907192000000002</v>
      </c>
      <c r="D159" s="61">
        <v>-77.036871000000005</v>
      </c>
      <c r="E159" s="61" t="s">
        <v>265</v>
      </c>
      <c r="F159" s="149">
        <v>86</v>
      </c>
      <c r="G159" s="61" t="s">
        <v>630</v>
      </c>
      <c r="H159" s="61" t="s">
        <v>644</v>
      </c>
      <c r="I159" s="61">
        <v>38.851241999999999</v>
      </c>
      <c r="J159" s="61">
        <v>-77.040232000000003</v>
      </c>
      <c r="K159" s="61">
        <v>8.800194329</v>
      </c>
      <c r="L159" s="61">
        <v>8.4060000000000006</v>
      </c>
      <c r="M159" s="61" t="s">
        <v>617</v>
      </c>
      <c r="N159" s="149">
        <v>5</v>
      </c>
      <c r="O159" s="149">
        <v>6</v>
      </c>
      <c r="P159" s="61" t="s">
        <v>565</v>
      </c>
      <c r="Q159" s="61" t="s">
        <v>564</v>
      </c>
      <c r="R159" s="61">
        <v>41.98028</v>
      </c>
      <c r="S159" s="61">
        <v>-87.908997900000003</v>
      </c>
      <c r="T159" s="61">
        <v>1152.184</v>
      </c>
      <c r="U159" s="61" t="s">
        <v>617</v>
      </c>
      <c r="V159" s="61" t="s">
        <v>569</v>
      </c>
      <c r="W159" s="61" cm="1">
        <f t="array" ref="W159">getDistance(I159,J159,R159,S159)*SA!$B$12</f>
        <v>985.09467660045368</v>
      </c>
      <c r="X159" s="61"/>
      <c r="Y159" s="137">
        <f>Transportation_LCIA!C$61*($W159^Transportation_LCIA!C$60)+Transportation_LCIA!C$62</f>
        <v>0.2370864199991472</v>
      </c>
      <c r="Z159" s="137">
        <f>Transportation_LCIA!D$61*($W159^Transportation_LCIA!D$60)+Transportation_LCIA!D$62</f>
        <v>2.4393058219490786</v>
      </c>
      <c r="AA159" s="137">
        <f>Transportation_LCIA!E$61*($W159^Transportation_LCIA!E$60)+Transportation_LCIA!E$62</f>
        <v>1.1533446585003482E-3</v>
      </c>
      <c r="AB159" s="137">
        <f>Transportation_LCIA!F$61*($W159^Transportation_LCIA!F$60)+Transportation_LCIA!F$62</f>
        <v>0.2370864199991472</v>
      </c>
      <c r="AC159" s="137">
        <f>Transportation_LCIA!G$61*($W159^Transportation_LCIA!G$60)+Transportation_LCIA!G$62</f>
        <v>5.7007420199112084E-2</v>
      </c>
      <c r="AD159" s="137">
        <f>Transportation_LCIA!H$61*($W159^Transportation_LCIA!H$60)+Transportation_LCIA!H$62</f>
        <v>2.7877818988371404E-4</v>
      </c>
      <c r="AE159" s="137">
        <f>Transportation_LCIA!I$61*($W159^Transportation_LCIA!I$60)+Transportation_LCIA!I$62</f>
        <v>5.969993290824604E-6</v>
      </c>
      <c r="AF159" s="137">
        <f>Transportation_LCIA!J$61*($W159^Transportation_LCIA!J$60)+Transportation_LCIA!J$62</f>
        <v>8.8363701400098228E-3</v>
      </c>
      <c r="AG159" s="137">
        <f>Transportation_LCIA!K$61*($W159^Transportation_LCIA!K$60)+Transportation_LCIA!K$62</f>
        <v>1.2131655681962131E-2</v>
      </c>
      <c r="AH159" s="137">
        <f>Transportation_LCIA!L$61*($W159^Transportation_LCIA!L$60)+Transportation_LCIA!L$62</f>
        <v>2.4170361336866051E-4</v>
      </c>
      <c r="AI159" s="137">
        <f>Transportation_LCIA!M$61*($W159^Transportation_LCIA!M$60)+Transportation_LCIA!M$62</f>
        <v>2.4470196204605344E-4</v>
      </c>
      <c r="AJ159" s="137">
        <f>Transportation_LCIA!N$61*($W159^Transportation_LCIA!N$60)+Transportation_LCIA!N$62</f>
        <v>9.9651507889072025E-4</v>
      </c>
      <c r="AK159" s="137">
        <f>Transportation_LCIA!O$61*($W159^Transportation_LCIA!O$60)+Transportation_LCIA!O$62</f>
        <v>6.0241723006640731E-5</v>
      </c>
      <c r="AL159" s="137">
        <f>Transportation_LCIA!P$61*($W159^Transportation_LCIA!P$60)+Transportation_LCIA!P$62</f>
        <v>2.9132482944789785E-8</v>
      </c>
      <c r="AM159" s="137">
        <f>Transportation_LCIA!Q$61*($W159^Transportation_LCIA!Q$60)+Transportation_LCIA!Q$62</f>
        <v>9.5667002058853797E-5</v>
      </c>
      <c r="AN159" s="137">
        <f>Transportation_LCIA!R$61*($W159^Transportation_LCIA!R$60)+Transportation_LCIA!R$62</f>
        <v>2.8712201740427817E-4</v>
      </c>
      <c r="AO159" s="137">
        <f>Transportation_LCIA!S$61*($W159^Transportation_LCIA!S$60)+Transportation_LCIA!S$62</f>
        <v>4.332314477521164E-6</v>
      </c>
      <c r="AP159" s="137">
        <f>Transportation_LCIA!T$61*($W159^Transportation_LCIA!T$60)+Transportation_LCIA!T$62</f>
        <v>4.332314477521164E-6</v>
      </c>
      <c r="AQ159" s="137">
        <f>Transportation_LCIA!U$61*($W159^Transportation_LCIA!U$60)+Transportation_LCIA!U$62</f>
        <v>6.1636002099593767E-4</v>
      </c>
      <c r="AR159" s="137">
        <f>Transportation_LCIA!V$61*($W159^Transportation_LCIA!V$60)+Transportation_LCIA!V$62</f>
        <v>2.4879684586680414E-4</v>
      </c>
      <c r="AT159" s="137">
        <f>$W159*Y159+$L159*Summary_LCIA!H$32</f>
        <v>236.40892903541925</v>
      </c>
      <c r="AU159" s="137">
        <f>$W159*Z159+$L159*Summary_LCIA!Q$32</f>
        <v>2444.6077397423296</v>
      </c>
      <c r="AV159" s="137">
        <f>$W159*AA159+$L159*Summary_LCIA!R$32</f>
        <v>1.1804163169742612</v>
      </c>
      <c r="AW159" s="137">
        <f>$W159*AB159+$L159*Summary_LCIA!S$32</f>
        <v>236.37177451541925</v>
      </c>
      <c r="AX159" s="137">
        <f>$W159*AC159+$L159*Summary_LCIA!T$32</f>
        <v>57.081525564870489</v>
      </c>
      <c r="AY159" s="137">
        <f>$W159*AD159+$L159*Summary_LCIA!U$32</f>
        <v>0.42520799480675719</v>
      </c>
      <c r="AZ159" s="137">
        <f>$W159*AE159+$L159*Summary_LCIA!V$32</f>
        <v>6.2824875761317411E-3</v>
      </c>
      <c r="BA159" s="137">
        <f>$W159*AF159+$L159*Summary_LCIA!W$32</f>
        <v>9.3516794113948816</v>
      </c>
      <c r="BB159" s="137">
        <f>$W159*AG159+$L159*Summary_LCIA!X$32</f>
        <v>12.142318110650542</v>
      </c>
      <c r="BC159" s="137">
        <f>$W159*AH159+$L159*Summary_LCIA!Y$32</f>
        <v>0.36908323484456174</v>
      </c>
      <c r="BD159" s="137">
        <f>$W159*AI159+$L159*Summary_LCIA!Z$32</f>
        <v>0.24139932181925353</v>
      </c>
      <c r="BE159" s="137">
        <f>$W159*AJ159+$L159*Summary_LCIA!AA$32</f>
        <v>1.1779922353673296</v>
      </c>
      <c r="BF159" s="137">
        <f>$W159*AK159+$L159*Summary_LCIA!AB$32</f>
        <v>5.9160356505080863E-2</v>
      </c>
      <c r="BG159" s="137">
        <f>$W159*AL159+$L159*Summary_LCIA!AC$32</f>
        <v>2.9109172769065925E-5</v>
      </c>
      <c r="BH159" s="137">
        <f>$W159*AM159+$L159*Summary_LCIA!AD$32</f>
        <v>9.7696256694501521E-2</v>
      </c>
      <c r="BI159" s="137">
        <f>$W159*AN159+$L159*Summary_LCIA!AE$32</f>
        <v>0.29029117965973722</v>
      </c>
      <c r="BJ159" s="137">
        <f>$W159*AO159+$L159*Summary_LCIA!AF$32</f>
        <v>1.1374340449165176E-2</v>
      </c>
      <c r="BK159" s="137">
        <f>$W159*AP159+$L159*Summary_LCIA!AG$32</f>
        <v>4.6978329191651753E-3</v>
      </c>
      <c r="BL159" s="137">
        <f>$W159*AQ159+$L159*Summary_LCIA!AH$32</f>
        <v>0.68033543715244216</v>
      </c>
      <c r="BM159" s="137">
        <f>$W159*AR159+$L159*Summary_LCIA!AI$32</f>
        <v>0.25291905771837236</v>
      </c>
    </row>
    <row r="160" spans="1:65" x14ac:dyDescent="0.25">
      <c r="A160" s="149">
        <v>46</v>
      </c>
      <c r="B160" s="149">
        <v>6</v>
      </c>
      <c r="C160" s="61">
        <v>38.90813</v>
      </c>
      <c r="D160" s="61">
        <v>-77.040278999999998</v>
      </c>
      <c r="E160" s="61" t="s">
        <v>265</v>
      </c>
      <c r="F160" s="149">
        <v>86</v>
      </c>
      <c r="G160" s="61" t="s">
        <v>630</v>
      </c>
      <c r="H160" s="61" t="s">
        <v>644</v>
      </c>
      <c r="I160" s="61">
        <v>38.851241999999999</v>
      </c>
      <c r="J160" s="61">
        <v>-77.040232000000003</v>
      </c>
      <c r="K160" s="61">
        <v>8.9128861770000007</v>
      </c>
      <c r="L160" s="61">
        <v>8.7949999999999999</v>
      </c>
      <c r="M160" s="61" t="s">
        <v>617</v>
      </c>
      <c r="N160" s="149">
        <v>5</v>
      </c>
      <c r="O160" s="149">
        <v>6</v>
      </c>
      <c r="P160" s="61" t="s">
        <v>565</v>
      </c>
      <c r="Q160" s="61" t="s">
        <v>564</v>
      </c>
      <c r="R160" s="61">
        <v>41.98028</v>
      </c>
      <c r="S160" s="61">
        <v>-87.908997900000003</v>
      </c>
      <c r="T160" s="61">
        <v>1152.8219999999999</v>
      </c>
      <c r="U160" s="61" t="s">
        <v>617</v>
      </c>
      <c r="V160" s="61" t="s">
        <v>569</v>
      </c>
      <c r="W160" s="61" cm="1">
        <f t="array" ref="W160">getDistance(I160,J160,R160,S160)*SA!$B$12</f>
        <v>985.09467660045368</v>
      </c>
      <c r="X160" s="61"/>
      <c r="Y160" s="137">
        <f>Transportation_LCIA!C$61*($W160^Transportation_LCIA!C$60)+Transportation_LCIA!C$62</f>
        <v>0.2370864199991472</v>
      </c>
      <c r="Z160" s="137">
        <f>Transportation_LCIA!D$61*($W160^Transportation_LCIA!D$60)+Transportation_LCIA!D$62</f>
        <v>2.4393058219490786</v>
      </c>
      <c r="AA160" s="137">
        <f>Transportation_LCIA!E$61*($W160^Transportation_LCIA!E$60)+Transportation_LCIA!E$62</f>
        <v>1.1533446585003482E-3</v>
      </c>
      <c r="AB160" s="137">
        <f>Transportation_LCIA!F$61*($W160^Transportation_LCIA!F$60)+Transportation_LCIA!F$62</f>
        <v>0.2370864199991472</v>
      </c>
      <c r="AC160" s="137">
        <f>Transportation_LCIA!G$61*($W160^Transportation_LCIA!G$60)+Transportation_LCIA!G$62</f>
        <v>5.7007420199112084E-2</v>
      </c>
      <c r="AD160" s="137">
        <f>Transportation_LCIA!H$61*($W160^Transportation_LCIA!H$60)+Transportation_LCIA!H$62</f>
        <v>2.7877818988371404E-4</v>
      </c>
      <c r="AE160" s="137">
        <f>Transportation_LCIA!I$61*($W160^Transportation_LCIA!I$60)+Transportation_LCIA!I$62</f>
        <v>5.969993290824604E-6</v>
      </c>
      <c r="AF160" s="137">
        <f>Transportation_LCIA!J$61*($W160^Transportation_LCIA!J$60)+Transportation_LCIA!J$62</f>
        <v>8.8363701400098228E-3</v>
      </c>
      <c r="AG160" s="137">
        <f>Transportation_LCIA!K$61*($W160^Transportation_LCIA!K$60)+Transportation_LCIA!K$62</f>
        <v>1.2131655681962131E-2</v>
      </c>
      <c r="AH160" s="137">
        <f>Transportation_LCIA!L$61*($W160^Transportation_LCIA!L$60)+Transportation_LCIA!L$62</f>
        <v>2.4170361336866051E-4</v>
      </c>
      <c r="AI160" s="137">
        <f>Transportation_LCIA!M$61*($W160^Transportation_LCIA!M$60)+Transportation_LCIA!M$62</f>
        <v>2.4470196204605344E-4</v>
      </c>
      <c r="AJ160" s="137">
        <f>Transportation_LCIA!N$61*($W160^Transportation_LCIA!N$60)+Transportation_LCIA!N$62</f>
        <v>9.9651507889072025E-4</v>
      </c>
      <c r="AK160" s="137">
        <f>Transportation_LCIA!O$61*($W160^Transportation_LCIA!O$60)+Transportation_LCIA!O$62</f>
        <v>6.0241723006640731E-5</v>
      </c>
      <c r="AL160" s="137">
        <f>Transportation_LCIA!P$61*($W160^Transportation_LCIA!P$60)+Transportation_LCIA!P$62</f>
        <v>2.9132482944789785E-8</v>
      </c>
      <c r="AM160" s="137">
        <f>Transportation_LCIA!Q$61*($W160^Transportation_LCIA!Q$60)+Transportation_LCIA!Q$62</f>
        <v>9.5667002058853797E-5</v>
      </c>
      <c r="AN160" s="137">
        <f>Transportation_LCIA!R$61*($W160^Transportation_LCIA!R$60)+Transportation_LCIA!R$62</f>
        <v>2.8712201740427817E-4</v>
      </c>
      <c r="AO160" s="137">
        <f>Transportation_LCIA!S$61*($W160^Transportation_LCIA!S$60)+Transportation_LCIA!S$62</f>
        <v>4.332314477521164E-6</v>
      </c>
      <c r="AP160" s="137">
        <f>Transportation_LCIA!T$61*($W160^Transportation_LCIA!T$60)+Transportation_LCIA!T$62</f>
        <v>4.332314477521164E-6</v>
      </c>
      <c r="AQ160" s="137">
        <f>Transportation_LCIA!U$61*($W160^Transportation_LCIA!U$60)+Transportation_LCIA!U$62</f>
        <v>6.1636002099593767E-4</v>
      </c>
      <c r="AR160" s="137">
        <f>Transportation_LCIA!V$61*($W160^Transportation_LCIA!V$60)+Transportation_LCIA!V$62</f>
        <v>2.4879684586680414E-4</v>
      </c>
      <c r="AT160" s="137">
        <f>$W160*Y160+$L160*Summary_LCIA!H$32</f>
        <v>236.54111123541924</v>
      </c>
      <c r="AU160" s="137">
        <f>$W160*Z160+$L160*Summary_LCIA!Q$32</f>
        <v>2446.5356433607667</v>
      </c>
      <c r="AV160" s="137">
        <f>$W160*AA160+$L160*Summary_LCIA!R$32</f>
        <v>1.1824646353742612</v>
      </c>
      <c r="AW160" s="137">
        <f>$W160*AB160+$L160*Summary_LCIA!S$32</f>
        <v>236.50223733541924</v>
      </c>
      <c r="AX160" s="137">
        <f>$W160*AC160+$L160*Summary_LCIA!T$32</f>
        <v>57.124276664870493</v>
      </c>
      <c r="AY160" s="137">
        <f>$W160*AD160+$L160*Summary_LCIA!U$32</f>
        <v>0.43217654080675716</v>
      </c>
      <c r="AZ160" s="137">
        <f>$W160*AE160+$L160*Summary_LCIA!V$32</f>
        <v>6.3010666051317409E-3</v>
      </c>
      <c r="BA160" s="137">
        <f>$W160*AF160+$L160*Summary_LCIA!W$32</f>
        <v>9.3816211303948815</v>
      </c>
      <c r="BB160" s="137">
        <f>$W160*AG160+$L160*Summary_LCIA!X$32</f>
        <v>12.151179530650541</v>
      </c>
      <c r="BC160" s="137">
        <f>$W160*AH160+$L160*Summary_LCIA!Y$32</f>
        <v>0.37514463284456168</v>
      </c>
      <c r="BD160" s="137">
        <f>$W160*AI160+$L160*Summary_LCIA!Z$32</f>
        <v>0.2414152743202535</v>
      </c>
      <c r="BE160" s="137">
        <f>$W160*AJ160+$L160*Summary_LCIA!AA$32</f>
        <v>1.1870777193673296</v>
      </c>
      <c r="BF160" s="137">
        <f>$W160*AK160+$L160*Summary_LCIA!AB$32</f>
        <v>5.915186735808086E-2</v>
      </c>
      <c r="BG160" s="137">
        <f>$W160*AL160+$L160*Summary_LCIA!AC$32</f>
        <v>2.9128188645065924E-5</v>
      </c>
      <c r="BH160" s="137">
        <f>$W160*AM160+$L160*Summary_LCIA!AD$32</f>
        <v>9.7856151254501519E-2</v>
      </c>
      <c r="BI160" s="137">
        <f>$W160*AN160+$L160*Summary_LCIA!AE$32</f>
        <v>0.29063588422973724</v>
      </c>
      <c r="BJ160" s="137">
        <f>$W160*AO160+$L160*Summary_LCIA!AF$32</f>
        <v>1.1703208829165175E-2</v>
      </c>
      <c r="BK160" s="137">
        <f>$W160*AP160+$L160*Summary_LCIA!AG$32</f>
        <v>4.7177361041651749E-3</v>
      </c>
      <c r="BL160" s="137">
        <f>$W160*AQ160+$L160*Summary_LCIA!AH$32</f>
        <v>0.68372113755244213</v>
      </c>
      <c r="BM160" s="137">
        <f>$W160*AR160+$L160*Summary_LCIA!AI$32</f>
        <v>0.25328143066837233</v>
      </c>
    </row>
    <row r="161" spans="1:65" x14ac:dyDescent="0.25">
      <c r="A161" s="149">
        <v>119</v>
      </c>
      <c r="B161" s="149">
        <v>6</v>
      </c>
      <c r="C161" s="61">
        <v>38.883254999999998</v>
      </c>
      <c r="D161" s="61">
        <v>-77.025096000000005</v>
      </c>
      <c r="E161" s="61" t="s">
        <v>265</v>
      </c>
      <c r="F161" s="149">
        <v>86</v>
      </c>
      <c r="G161" s="61" t="s">
        <v>630</v>
      </c>
      <c r="H161" s="61" t="s">
        <v>644</v>
      </c>
      <c r="I161" s="61">
        <v>38.851241999999999</v>
      </c>
      <c r="J161" s="61">
        <v>-77.040232000000003</v>
      </c>
      <c r="K161" s="61">
        <v>5.3130254810000004</v>
      </c>
      <c r="L161" s="61">
        <v>7.0659999999999998</v>
      </c>
      <c r="M161" s="61" t="s">
        <v>617</v>
      </c>
      <c r="N161" s="149">
        <v>5</v>
      </c>
      <c r="O161" s="149">
        <v>6</v>
      </c>
      <c r="P161" s="61" t="s">
        <v>565</v>
      </c>
      <c r="Q161" s="61" t="s">
        <v>564</v>
      </c>
      <c r="R161" s="61">
        <v>41.98028</v>
      </c>
      <c r="S161" s="61">
        <v>-87.908997900000003</v>
      </c>
      <c r="T161" s="61">
        <v>1154.8240000000001</v>
      </c>
      <c r="U161" s="61" t="s">
        <v>617</v>
      </c>
      <c r="V161" s="61" t="s">
        <v>569</v>
      </c>
      <c r="W161" s="61" cm="1">
        <f t="array" ref="W161">getDistance(I161,J161,R161,S161)*SA!$B$12</f>
        <v>985.09467660045368</v>
      </c>
      <c r="X161" s="61"/>
      <c r="Y161" s="137">
        <f>Transportation_LCIA!C$61*($W161^Transportation_LCIA!C$60)+Transportation_LCIA!C$62</f>
        <v>0.2370864199991472</v>
      </c>
      <c r="Z161" s="137">
        <f>Transportation_LCIA!D$61*($W161^Transportation_LCIA!D$60)+Transportation_LCIA!D$62</f>
        <v>2.4393058219490786</v>
      </c>
      <c r="AA161" s="137">
        <f>Transportation_LCIA!E$61*($W161^Transportation_LCIA!E$60)+Transportation_LCIA!E$62</f>
        <v>1.1533446585003482E-3</v>
      </c>
      <c r="AB161" s="137">
        <f>Transportation_LCIA!F$61*($W161^Transportation_LCIA!F$60)+Transportation_LCIA!F$62</f>
        <v>0.2370864199991472</v>
      </c>
      <c r="AC161" s="137">
        <f>Transportation_LCIA!G$61*($W161^Transportation_LCIA!G$60)+Transportation_LCIA!G$62</f>
        <v>5.7007420199112084E-2</v>
      </c>
      <c r="AD161" s="137">
        <f>Transportation_LCIA!H$61*($W161^Transportation_LCIA!H$60)+Transportation_LCIA!H$62</f>
        <v>2.7877818988371404E-4</v>
      </c>
      <c r="AE161" s="137">
        <f>Transportation_LCIA!I$61*($W161^Transportation_LCIA!I$60)+Transportation_LCIA!I$62</f>
        <v>5.969993290824604E-6</v>
      </c>
      <c r="AF161" s="137">
        <f>Transportation_LCIA!J$61*($W161^Transportation_LCIA!J$60)+Transportation_LCIA!J$62</f>
        <v>8.8363701400098228E-3</v>
      </c>
      <c r="AG161" s="137">
        <f>Transportation_LCIA!K$61*($W161^Transportation_LCIA!K$60)+Transportation_LCIA!K$62</f>
        <v>1.2131655681962131E-2</v>
      </c>
      <c r="AH161" s="137">
        <f>Transportation_LCIA!L$61*($W161^Transportation_LCIA!L$60)+Transportation_LCIA!L$62</f>
        <v>2.4170361336866051E-4</v>
      </c>
      <c r="AI161" s="137">
        <f>Transportation_LCIA!M$61*($W161^Transportation_LCIA!M$60)+Transportation_LCIA!M$62</f>
        <v>2.4470196204605344E-4</v>
      </c>
      <c r="AJ161" s="137">
        <f>Transportation_LCIA!N$61*($W161^Transportation_LCIA!N$60)+Transportation_LCIA!N$62</f>
        <v>9.9651507889072025E-4</v>
      </c>
      <c r="AK161" s="137">
        <f>Transportation_LCIA!O$61*($W161^Transportation_LCIA!O$60)+Transportation_LCIA!O$62</f>
        <v>6.0241723006640731E-5</v>
      </c>
      <c r="AL161" s="137">
        <f>Transportation_LCIA!P$61*($W161^Transportation_LCIA!P$60)+Transportation_LCIA!P$62</f>
        <v>2.9132482944789785E-8</v>
      </c>
      <c r="AM161" s="137">
        <f>Transportation_LCIA!Q$61*($W161^Transportation_LCIA!Q$60)+Transportation_LCIA!Q$62</f>
        <v>9.5667002058853797E-5</v>
      </c>
      <c r="AN161" s="137">
        <f>Transportation_LCIA!R$61*($W161^Transportation_LCIA!R$60)+Transportation_LCIA!R$62</f>
        <v>2.8712201740427817E-4</v>
      </c>
      <c r="AO161" s="137">
        <f>Transportation_LCIA!S$61*($W161^Transportation_LCIA!S$60)+Transportation_LCIA!S$62</f>
        <v>4.332314477521164E-6</v>
      </c>
      <c r="AP161" s="137">
        <f>Transportation_LCIA!T$61*($W161^Transportation_LCIA!T$60)+Transportation_LCIA!T$62</f>
        <v>4.332314477521164E-6</v>
      </c>
      <c r="AQ161" s="137">
        <f>Transportation_LCIA!U$61*($W161^Transportation_LCIA!U$60)+Transportation_LCIA!U$62</f>
        <v>6.1636002099593767E-4</v>
      </c>
      <c r="AR161" s="137">
        <f>Transportation_LCIA!V$61*($W161^Transportation_LCIA!V$60)+Transportation_LCIA!V$62</f>
        <v>2.4879684586680414E-4</v>
      </c>
      <c r="AT161" s="137">
        <f>$W161*Y161+$L161*Summary_LCIA!H$32</f>
        <v>235.95359703541925</v>
      </c>
      <c r="AU161" s="137">
        <f>$W161*Z161+$L161*Summary_LCIA!Q$32</f>
        <v>2437.9666321621094</v>
      </c>
      <c r="AV161" s="137">
        <f>$W161*AA161+$L161*Summary_LCIA!R$32</f>
        <v>1.1733604129742612</v>
      </c>
      <c r="AW161" s="137">
        <f>$W161*AB161+$L161*Summary_LCIA!S$32</f>
        <v>235.92236531541923</v>
      </c>
      <c r="AX161" s="137">
        <f>$W161*AC161+$L161*Summary_LCIA!T$32</f>
        <v>56.934259564870487</v>
      </c>
      <c r="AY161" s="137">
        <f>$W161*AD161+$L161*Summary_LCIA!U$32</f>
        <v>0.40120323480675713</v>
      </c>
      <c r="AZ161" s="137">
        <f>$W161*AE161+$L161*Summary_LCIA!V$32</f>
        <v>6.2184878361317411E-3</v>
      </c>
      <c r="BA161" s="137">
        <f>$W161*AF161+$L161*Summary_LCIA!W$32</f>
        <v>9.2485382713948816</v>
      </c>
      <c r="BB161" s="137">
        <f>$W161*AG161+$L161*Summary_LCIA!X$32</f>
        <v>12.111792910650541</v>
      </c>
      <c r="BC161" s="137">
        <f>$W161*AH161+$L161*Summary_LCIA!Y$32</f>
        <v>0.34820335484456172</v>
      </c>
      <c r="BD161" s="137">
        <f>$W161*AI161+$L161*Summary_LCIA!Z$32</f>
        <v>0.24134436975925352</v>
      </c>
      <c r="BE161" s="137">
        <f>$W161*AJ161+$L161*Summary_LCIA!AA$32</f>
        <v>1.1466951953673297</v>
      </c>
      <c r="BF161" s="137">
        <f>$W161*AK161+$L161*Summary_LCIA!AB$32</f>
        <v>5.9189599325080861E-2</v>
      </c>
      <c r="BG161" s="137">
        <f>$W161*AL161+$L161*Summary_LCIA!AC$32</f>
        <v>2.9043668209065923E-5</v>
      </c>
      <c r="BH161" s="137">
        <f>$W161*AM161+$L161*Summary_LCIA!AD$32</f>
        <v>9.7145463094501519E-2</v>
      </c>
      <c r="BI161" s="137">
        <f>$W161*AN161+$L161*Summary_LCIA!AE$32</f>
        <v>0.28910376545973726</v>
      </c>
      <c r="BJ161" s="137">
        <f>$W161*AO161+$L161*Summary_LCIA!AF$32</f>
        <v>1.0241477649165175E-2</v>
      </c>
      <c r="BK161" s="137">
        <f>$W161*AP161+$L161*Summary_LCIA!AG$32</f>
        <v>4.6292718191651748E-3</v>
      </c>
      <c r="BL161" s="137">
        <f>$W161*AQ161+$L161*Summary_LCIA!AH$32</f>
        <v>0.66867261315244209</v>
      </c>
      <c r="BM161" s="137">
        <f>$W161*AR161+$L161*Summary_LCIA!AI$32</f>
        <v>0.25167078071837234</v>
      </c>
    </row>
    <row r="162" spans="1:65" x14ac:dyDescent="0.25">
      <c r="A162" s="149">
        <v>120</v>
      </c>
      <c r="B162" s="149">
        <v>6</v>
      </c>
      <c r="C162" s="61">
        <v>38.883254999999998</v>
      </c>
      <c r="D162" s="61">
        <v>-77.025096000000005</v>
      </c>
      <c r="E162" s="61" t="s">
        <v>265</v>
      </c>
      <c r="F162" s="149">
        <v>86</v>
      </c>
      <c r="G162" s="61" t="s">
        <v>630</v>
      </c>
      <c r="H162" s="61" t="s">
        <v>644</v>
      </c>
      <c r="I162" s="61">
        <v>38.851241999999999</v>
      </c>
      <c r="J162" s="61">
        <v>-77.040232000000003</v>
      </c>
      <c r="K162" s="61">
        <v>5.3130254810000004</v>
      </c>
      <c r="L162" s="61">
        <v>7.0659999999999998</v>
      </c>
      <c r="M162" s="61" t="s">
        <v>617</v>
      </c>
      <c r="N162" s="149">
        <v>5</v>
      </c>
      <c r="O162" s="149">
        <v>6</v>
      </c>
      <c r="P162" s="61" t="s">
        <v>565</v>
      </c>
      <c r="Q162" s="61" t="s">
        <v>564</v>
      </c>
      <c r="R162" s="61">
        <v>41.98028</v>
      </c>
      <c r="S162" s="61">
        <v>-87.908997900000003</v>
      </c>
      <c r="T162" s="61">
        <v>1154.8240000000001</v>
      </c>
      <c r="U162" s="61" t="s">
        <v>617</v>
      </c>
      <c r="V162" s="61" t="s">
        <v>569</v>
      </c>
      <c r="W162" s="61" cm="1">
        <f t="array" ref="W162">getDistance(I162,J162,R162,S162)*SA!$B$12</f>
        <v>985.09467660045368</v>
      </c>
      <c r="X162" s="61"/>
      <c r="Y162" s="137">
        <f>Transportation_LCIA!C$61*($W162^Transportation_LCIA!C$60)+Transportation_LCIA!C$62</f>
        <v>0.2370864199991472</v>
      </c>
      <c r="Z162" s="137">
        <f>Transportation_LCIA!D$61*($W162^Transportation_LCIA!D$60)+Transportation_LCIA!D$62</f>
        <v>2.4393058219490786</v>
      </c>
      <c r="AA162" s="137">
        <f>Transportation_LCIA!E$61*($W162^Transportation_LCIA!E$60)+Transportation_LCIA!E$62</f>
        <v>1.1533446585003482E-3</v>
      </c>
      <c r="AB162" s="137">
        <f>Transportation_LCIA!F$61*($W162^Transportation_LCIA!F$60)+Transportation_LCIA!F$62</f>
        <v>0.2370864199991472</v>
      </c>
      <c r="AC162" s="137">
        <f>Transportation_LCIA!G$61*($W162^Transportation_LCIA!G$60)+Transportation_LCIA!G$62</f>
        <v>5.7007420199112084E-2</v>
      </c>
      <c r="AD162" s="137">
        <f>Transportation_LCIA!H$61*($W162^Transportation_LCIA!H$60)+Transportation_LCIA!H$62</f>
        <v>2.7877818988371404E-4</v>
      </c>
      <c r="AE162" s="137">
        <f>Transportation_LCIA!I$61*($W162^Transportation_LCIA!I$60)+Transportation_LCIA!I$62</f>
        <v>5.969993290824604E-6</v>
      </c>
      <c r="AF162" s="137">
        <f>Transportation_LCIA!J$61*($W162^Transportation_LCIA!J$60)+Transportation_LCIA!J$62</f>
        <v>8.8363701400098228E-3</v>
      </c>
      <c r="AG162" s="137">
        <f>Transportation_LCIA!K$61*($W162^Transportation_LCIA!K$60)+Transportation_LCIA!K$62</f>
        <v>1.2131655681962131E-2</v>
      </c>
      <c r="AH162" s="137">
        <f>Transportation_LCIA!L$61*($W162^Transportation_LCIA!L$60)+Transportation_LCIA!L$62</f>
        <v>2.4170361336866051E-4</v>
      </c>
      <c r="AI162" s="137">
        <f>Transportation_LCIA!M$61*($W162^Transportation_LCIA!M$60)+Transportation_LCIA!M$62</f>
        <v>2.4470196204605344E-4</v>
      </c>
      <c r="AJ162" s="137">
        <f>Transportation_LCIA!N$61*($W162^Transportation_LCIA!N$60)+Transportation_LCIA!N$62</f>
        <v>9.9651507889072025E-4</v>
      </c>
      <c r="AK162" s="137">
        <f>Transportation_LCIA!O$61*($W162^Transportation_LCIA!O$60)+Transportation_LCIA!O$62</f>
        <v>6.0241723006640731E-5</v>
      </c>
      <c r="AL162" s="137">
        <f>Transportation_LCIA!P$61*($W162^Transportation_LCIA!P$60)+Transportation_LCIA!P$62</f>
        <v>2.9132482944789785E-8</v>
      </c>
      <c r="AM162" s="137">
        <f>Transportation_LCIA!Q$61*($W162^Transportation_LCIA!Q$60)+Transportation_LCIA!Q$62</f>
        <v>9.5667002058853797E-5</v>
      </c>
      <c r="AN162" s="137">
        <f>Transportation_LCIA!R$61*($W162^Transportation_LCIA!R$60)+Transportation_LCIA!R$62</f>
        <v>2.8712201740427817E-4</v>
      </c>
      <c r="AO162" s="137">
        <f>Transportation_LCIA!S$61*($W162^Transportation_LCIA!S$60)+Transportation_LCIA!S$62</f>
        <v>4.332314477521164E-6</v>
      </c>
      <c r="AP162" s="137">
        <f>Transportation_LCIA!T$61*($W162^Transportation_LCIA!T$60)+Transportation_LCIA!T$62</f>
        <v>4.332314477521164E-6</v>
      </c>
      <c r="AQ162" s="137">
        <f>Transportation_LCIA!U$61*($W162^Transportation_LCIA!U$60)+Transportation_LCIA!U$62</f>
        <v>6.1636002099593767E-4</v>
      </c>
      <c r="AR162" s="137">
        <f>Transportation_LCIA!V$61*($W162^Transportation_LCIA!V$60)+Transportation_LCIA!V$62</f>
        <v>2.4879684586680414E-4</v>
      </c>
      <c r="AT162" s="137">
        <f>$W162*Y162+$L162*Summary_LCIA!H$32</f>
        <v>235.95359703541925</v>
      </c>
      <c r="AU162" s="137">
        <f>$W162*Z162+$L162*Summary_LCIA!Q$32</f>
        <v>2437.9666321621094</v>
      </c>
      <c r="AV162" s="137">
        <f>$W162*AA162+$L162*Summary_LCIA!R$32</f>
        <v>1.1733604129742612</v>
      </c>
      <c r="AW162" s="137">
        <f>$W162*AB162+$L162*Summary_LCIA!S$32</f>
        <v>235.92236531541923</v>
      </c>
      <c r="AX162" s="137">
        <f>$W162*AC162+$L162*Summary_LCIA!T$32</f>
        <v>56.934259564870487</v>
      </c>
      <c r="AY162" s="137">
        <f>$W162*AD162+$L162*Summary_LCIA!U$32</f>
        <v>0.40120323480675713</v>
      </c>
      <c r="AZ162" s="137">
        <f>$W162*AE162+$L162*Summary_LCIA!V$32</f>
        <v>6.2184878361317411E-3</v>
      </c>
      <c r="BA162" s="137">
        <f>$W162*AF162+$L162*Summary_LCIA!W$32</f>
        <v>9.2485382713948816</v>
      </c>
      <c r="BB162" s="137">
        <f>$W162*AG162+$L162*Summary_LCIA!X$32</f>
        <v>12.111792910650541</v>
      </c>
      <c r="BC162" s="137">
        <f>$W162*AH162+$L162*Summary_LCIA!Y$32</f>
        <v>0.34820335484456172</v>
      </c>
      <c r="BD162" s="137">
        <f>$W162*AI162+$L162*Summary_LCIA!Z$32</f>
        <v>0.24134436975925352</v>
      </c>
      <c r="BE162" s="137">
        <f>$W162*AJ162+$L162*Summary_LCIA!AA$32</f>
        <v>1.1466951953673297</v>
      </c>
      <c r="BF162" s="137">
        <f>$W162*AK162+$L162*Summary_LCIA!AB$32</f>
        <v>5.9189599325080861E-2</v>
      </c>
      <c r="BG162" s="137">
        <f>$W162*AL162+$L162*Summary_LCIA!AC$32</f>
        <v>2.9043668209065923E-5</v>
      </c>
      <c r="BH162" s="137">
        <f>$W162*AM162+$L162*Summary_LCIA!AD$32</f>
        <v>9.7145463094501519E-2</v>
      </c>
      <c r="BI162" s="137">
        <f>$W162*AN162+$L162*Summary_LCIA!AE$32</f>
        <v>0.28910376545973726</v>
      </c>
      <c r="BJ162" s="137">
        <f>$W162*AO162+$L162*Summary_LCIA!AF$32</f>
        <v>1.0241477649165175E-2</v>
      </c>
      <c r="BK162" s="137">
        <f>$W162*AP162+$L162*Summary_LCIA!AG$32</f>
        <v>4.6292718191651748E-3</v>
      </c>
      <c r="BL162" s="137">
        <f>$W162*AQ162+$L162*Summary_LCIA!AH$32</f>
        <v>0.66867261315244209</v>
      </c>
      <c r="BM162" s="137">
        <f>$W162*AR162+$L162*Summary_LCIA!AI$32</f>
        <v>0.25167078071837234</v>
      </c>
    </row>
    <row r="163" spans="1:65" x14ac:dyDescent="0.25">
      <c r="A163" s="149">
        <v>134</v>
      </c>
      <c r="B163" s="149">
        <v>6</v>
      </c>
      <c r="C163" s="61">
        <v>38.881621000000003</v>
      </c>
      <c r="D163" s="61">
        <v>-77.090980999999999</v>
      </c>
      <c r="E163" s="61" t="s">
        <v>265</v>
      </c>
      <c r="F163" s="149">
        <v>86</v>
      </c>
      <c r="G163" s="61" t="s">
        <v>630</v>
      </c>
      <c r="H163" s="61" t="s">
        <v>644</v>
      </c>
      <c r="I163" s="61">
        <v>38.851241999999999</v>
      </c>
      <c r="J163" s="61">
        <v>-77.040232000000003</v>
      </c>
      <c r="K163" s="61">
        <v>6.1868912390000004</v>
      </c>
      <c r="L163" s="61">
        <v>8.6340000000000003</v>
      </c>
      <c r="M163" s="61" t="s">
        <v>617</v>
      </c>
      <c r="N163" s="149">
        <v>5</v>
      </c>
      <c r="O163" s="149">
        <v>6</v>
      </c>
      <c r="P163" s="61" t="s">
        <v>565</v>
      </c>
      <c r="Q163" s="61" t="s">
        <v>564</v>
      </c>
      <c r="R163" s="61">
        <v>41.98028</v>
      </c>
      <c r="S163" s="61">
        <v>-87.908997900000003</v>
      </c>
      <c r="T163" s="61">
        <v>1155.414</v>
      </c>
      <c r="U163" s="61" t="s">
        <v>617</v>
      </c>
      <c r="V163" s="61" t="s">
        <v>569</v>
      </c>
      <c r="W163" s="61" cm="1">
        <f t="array" ref="W163">getDistance(I163,J163,R163,S163)*SA!$B$12</f>
        <v>985.09467660045368</v>
      </c>
      <c r="X163" s="61"/>
      <c r="Y163" s="137">
        <f>Transportation_LCIA!C$61*($W163^Transportation_LCIA!C$60)+Transportation_LCIA!C$62</f>
        <v>0.2370864199991472</v>
      </c>
      <c r="Z163" s="137">
        <f>Transportation_LCIA!D$61*($W163^Transportation_LCIA!D$60)+Transportation_LCIA!D$62</f>
        <v>2.4393058219490786</v>
      </c>
      <c r="AA163" s="137">
        <f>Transportation_LCIA!E$61*($W163^Transportation_LCIA!E$60)+Transportation_LCIA!E$62</f>
        <v>1.1533446585003482E-3</v>
      </c>
      <c r="AB163" s="137">
        <f>Transportation_LCIA!F$61*($W163^Transportation_LCIA!F$60)+Transportation_LCIA!F$62</f>
        <v>0.2370864199991472</v>
      </c>
      <c r="AC163" s="137">
        <f>Transportation_LCIA!G$61*($W163^Transportation_LCIA!G$60)+Transportation_LCIA!G$62</f>
        <v>5.7007420199112084E-2</v>
      </c>
      <c r="AD163" s="137">
        <f>Transportation_LCIA!H$61*($W163^Transportation_LCIA!H$60)+Transportation_LCIA!H$62</f>
        <v>2.7877818988371404E-4</v>
      </c>
      <c r="AE163" s="137">
        <f>Transportation_LCIA!I$61*($W163^Transportation_LCIA!I$60)+Transportation_LCIA!I$62</f>
        <v>5.969993290824604E-6</v>
      </c>
      <c r="AF163" s="137">
        <f>Transportation_LCIA!J$61*($W163^Transportation_LCIA!J$60)+Transportation_LCIA!J$62</f>
        <v>8.8363701400098228E-3</v>
      </c>
      <c r="AG163" s="137">
        <f>Transportation_LCIA!K$61*($W163^Transportation_LCIA!K$60)+Transportation_LCIA!K$62</f>
        <v>1.2131655681962131E-2</v>
      </c>
      <c r="AH163" s="137">
        <f>Transportation_LCIA!L$61*($W163^Transportation_LCIA!L$60)+Transportation_LCIA!L$62</f>
        <v>2.4170361336866051E-4</v>
      </c>
      <c r="AI163" s="137">
        <f>Transportation_LCIA!M$61*($W163^Transportation_LCIA!M$60)+Transportation_LCIA!M$62</f>
        <v>2.4470196204605344E-4</v>
      </c>
      <c r="AJ163" s="137">
        <f>Transportation_LCIA!N$61*($W163^Transportation_LCIA!N$60)+Transportation_LCIA!N$62</f>
        <v>9.9651507889072025E-4</v>
      </c>
      <c r="AK163" s="137">
        <f>Transportation_LCIA!O$61*($W163^Transportation_LCIA!O$60)+Transportation_LCIA!O$62</f>
        <v>6.0241723006640731E-5</v>
      </c>
      <c r="AL163" s="137">
        <f>Transportation_LCIA!P$61*($W163^Transportation_LCIA!P$60)+Transportation_LCIA!P$62</f>
        <v>2.9132482944789785E-8</v>
      </c>
      <c r="AM163" s="137">
        <f>Transportation_LCIA!Q$61*($W163^Transportation_LCIA!Q$60)+Transportation_LCIA!Q$62</f>
        <v>9.5667002058853797E-5</v>
      </c>
      <c r="AN163" s="137">
        <f>Transportation_LCIA!R$61*($W163^Transportation_LCIA!R$60)+Transportation_LCIA!R$62</f>
        <v>2.8712201740427817E-4</v>
      </c>
      <c r="AO163" s="137">
        <f>Transportation_LCIA!S$61*($W163^Transportation_LCIA!S$60)+Transportation_LCIA!S$62</f>
        <v>4.332314477521164E-6</v>
      </c>
      <c r="AP163" s="137">
        <f>Transportation_LCIA!T$61*($W163^Transportation_LCIA!T$60)+Transportation_LCIA!T$62</f>
        <v>4.332314477521164E-6</v>
      </c>
      <c r="AQ163" s="137">
        <f>Transportation_LCIA!U$61*($W163^Transportation_LCIA!U$60)+Transportation_LCIA!U$62</f>
        <v>6.1636002099593767E-4</v>
      </c>
      <c r="AR163" s="137">
        <f>Transportation_LCIA!V$61*($W163^Transportation_LCIA!V$60)+Transportation_LCIA!V$62</f>
        <v>2.4879684586680414E-4</v>
      </c>
      <c r="AT163" s="137">
        <f>$W163*Y163+$L163*Summary_LCIA!H$32</f>
        <v>236.48640343541925</v>
      </c>
      <c r="AU163" s="137">
        <f>$W163*Z163+$L163*Summary_LCIA!Q$32</f>
        <v>2445.7377192410536</v>
      </c>
      <c r="AV163" s="137">
        <f>$W163*AA163+$L163*Summary_LCIA!R$32</f>
        <v>1.1816168737742612</v>
      </c>
      <c r="AW163" s="137">
        <f>$W163*AB163+$L163*Summary_LCIA!S$32</f>
        <v>236.44824115541923</v>
      </c>
      <c r="AX163" s="137">
        <f>$W163*AC163+$L163*Summary_LCIA!T$32</f>
        <v>57.106582764870488</v>
      </c>
      <c r="AY163" s="137">
        <f>$W163*AD163+$L163*Summary_LCIA!U$32</f>
        <v>0.42929238680675719</v>
      </c>
      <c r="AZ163" s="137">
        <f>$W163*AE163+$L163*Summary_LCIA!V$32</f>
        <v>6.2933770841317408E-3</v>
      </c>
      <c r="BA163" s="137">
        <f>$W163*AF163+$L163*Summary_LCIA!W$32</f>
        <v>9.3692287993948806</v>
      </c>
      <c r="BB163" s="137">
        <f>$W163*AG163+$L163*Summary_LCIA!X$32</f>
        <v>12.147511950650541</v>
      </c>
      <c r="BC163" s="137">
        <f>$W163*AH163+$L163*Summary_LCIA!Y$32</f>
        <v>0.3726359308445617</v>
      </c>
      <c r="BD163" s="137">
        <f>$W163*AI163+$L163*Summary_LCIA!Z$32</f>
        <v>0.24140867187125351</v>
      </c>
      <c r="BE163" s="137">
        <f>$W163*AJ163+$L163*Summary_LCIA!AA$32</f>
        <v>1.1833174033673295</v>
      </c>
      <c r="BF163" s="137">
        <f>$W163*AK163+$L163*Summary_LCIA!AB$32</f>
        <v>5.915538086108086E-2</v>
      </c>
      <c r="BG163" s="137">
        <f>$W163*AL163+$L163*Summary_LCIA!AC$32</f>
        <v>2.9120318321065923E-5</v>
      </c>
      <c r="BH163" s="137">
        <f>$W163*AM163+$L163*Summary_LCIA!AD$32</f>
        <v>9.7789973814501524E-2</v>
      </c>
      <c r="BI163" s="137">
        <f>$W163*AN163+$L163*Summary_LCIA!AE$32</f>
        <v>0.29049321729973726</v>
      </c>
      <c r="BJ163" s="137">
        <f>$W163*AO163+$L163*Summary_LCIA!AF$32</f>
        <v>1.1567096209165175E-2</v>
      </c>
      <c r="BK163" s="137">
        <f>$W163*AP163+$L163*Summary_LCIA!AG$32</f>
        <v>4.7094985391651746E-3</v>
      </c>
      <c r="BL163" s="137">
        <f>$W163*AQ163+$L163*Summary_LCIA!AH$32</f>
        <v>0.6823198579524421</v>
      </c>
      <c r="BM163" s="137">
        <f>$W163*AR163+$L163*Summary_LCIA!AI$32</f>
        <v>0.25313145111837237</v>
      </c>
    </row>
    <row r="164" spans="1:65" x14ac:dyDescent="0.25">
      <c r="A164" s="149">
        <v>57</v>
      </c>
      <c r="B164" s="149">
        <v>6</v>
      </c>
      <c r="C164" s="61">
        <v>38.898505</v>
      </c>
      <c r="D164" s="61">
        <v>-77.010475</v>
      </c>
      <c r="E164" s="61" t="s">
        <v>265</v>
      </c>
      <c r="F164" s="149">
        <v>86</v>
      </c>
      <c r="G164" s="61" t="s">
        <v>630</v>
      </c>
      <c r="H164" s="61" t="s">
        <v>644</v>
      </c>
      <c r="I164" s="61">
        <v>38.851241999999999</v>
      </c>
      <c r="J164" s="61">
        <v>-77.040232000000003</v>
      </c>
      <c r="K164" s="61">
        <v>8.0893784039999996</v>
      </c>
      <c r="L164" s="61">
        <v>9.125</v>
      </c>
      <c r="M164" s="61" t="s">
        <v>617</v>
      </c>
      <c r="N164" s="149">
        <v>5</v>
      </c>
      <c r="O164" s="149">
        <v>6</v>
      </c>
      <c r="P164" s="61" t="s">
        <v>565</v>
      </c>
      <c r="Q164" s="61" t="s">
        <v>564</v>
      </c>
      <c r="R164" s="61">
        <v>41.98028</v>
      </c>
      <c r="S164" s="61">
        <v>-87.908997900000003</v>
      </c>
      <c r="T164" s="61">
        <v>1156.8820000000001</v>
      </c>
      <c r="U164" s="61" t="s">
        <v>617</v>
      </c>
      <c r="V164" s="61" t="s">
        <v>569</v>
      </c>
      <c r="W164" s="61" cm="1">
        <f t="array" ref="W164">getDistance(I164,J164,R164,S164)*SA!$B$12</f>
        <v>985.09467660045368</v>
      </c>
      <c r="X164" s="61"/>
      <c r="Y164" s="137">
        <f>Transportation_LCIA!C$61*($W164^Transportation_LCIA!C$60)+Transportation_LCIA!C$62</f>
        <v>0.2370864199991472</v>
      </c>
      <c r="Z164" s="137">
        <f>Transportation_LCIA!D$61*($W164^Transportation_LCIA!D$60)+Transportation_LCIA!D$62</f>
        <v>2.4393058219490786</v>
      </c>
      <c r="AA164" s="137">
        <f>Transportation_LCIA!E$61*($W164^Transportation_LCIA!E$60)+Transportation_LCIA!E$62</f>
        <v>1.1533446585003482E-3</v>
      </c>
      <c r="AB164" s="137">
        <f>Transportation_LCIA!F$61*($W164^Transportation_LCIA!F$60)+Transportation_LCIA!F$62</f>
        <v>0.2370864199991472</v>
      </c>
      <c r="AC164" s="137">
        <f>Transportation_LCIA!G$61*($W164^Transportation_LCIA!G$60)+Transportation_LCIA!G$62</f>
        <v>5.7007420199112084E-2</v>
      </c>
      <c r="AD164" s="137">
        <f>Transportation_LCIA!H$61*($W164^Transportation_LCIA!H$60)+Transportation_LCIA!H$62</f>
        <v>2.7877818988371404E-4</v>
      </c>
      <c r="AE164" s="137">
        <f>Transportation_LCIA!I$61*($W164^Transportation_LCIA!I$60)+Transportation_LCIA!I$62</f>
        <v>5.969993290824604E-6</v>
      </c>
      <c r="AF164" s="137">
        <f>Transportation_LCIA!J$61*($W164^Transportation_LCIA!J$60)+Transportation_LCIA!J$62</f>
        <v>8.8363701400098228E-3</v>
      </c>
      <c r="AG164" s="137">
        <f>Transportation_LCIA!K$61*($W164^Transportation_LCIA!K$60)+Transportation_LCIA!K$62</f>
        <v>1.2131655681962131E-2</v>
      </c>
      <c r="AH164" s="137">
        <f>Transportation_LCIA!L$61*($W164^Transportation_LCIA!L$60)+Transportation_LCIA!L$62</f>
        <v>2.4170361336866051E-4</v>
      </c>
      <c r="AI164" s="137">
        <f>Transportation_LCIA!M$61*($W164^Transportation_LCIA!M$60)+Transportation_LCIA!M$62</f>
        <v>2.4470196204605344E-4</v>
      </c>
      <c r="AJ164" s="137">
        <f>Transportation_LCIA!N$61*($W164^Transportation_LCIA!N$60)+Transportation_LCIA!N$62</f>
        <v>9.9651507889072025E-4</v>
      </c>
      <c r="AK164" s="137">
        <f>Transportation_LCIA!O$61*($W164^Transportation_LCIA!O$60)+Transportation_LCIA!O$62</f>
        <v>6.0241723006640731E-5</v>
      </c>
      <c r="AL164" s="137">
        <f>Transportation_LCIA!P$61*($W164^Transportation_LCIA!P$60)+Transportation_LCIA!P$62</f>
        <v>2.9132482944789785E-8</v>
      </c>
      <c r="AM164" s="137">
        <f>Transportation_LCIA!Q$61*($W164^Transportation_LCIA!Q$60)+Transportation_LCIA!Q$62</f>
        <v>9.5667002058853797E-5</v>
      </c>
      <c r="AN164" s="137">
        <f>Transportation_LCIA!R$61*($W164^Transportation_LCIA!R$60)+Transportation_LCIA!R$62</f>
        <v>2.8712201740427817E-4</v>
      </c>
      <c r="AO164" s="137">
        <f>Transportation_LCIA!S$61*($W164^Transportation_LCIA!S$60)+Transportation_LCIA!S$62</f>
        <v>4.332314477521164E-6</v>
      </c>
      <c r="AP164" s="137">
        <f>Transportation_LCIA!T$61*($W164^Transportation_LCIA!T$60)+Transportation_LCIA!T$62</f>
        <v>4.332314477521164E-6</v>
      </c>
      <c r="AQ164" s="137">
        <f>Transportation_LCIA!U$61*($W164^Transportation_LCIA!U$60)+Transportation_LCIA!U$62</f>
        <v>6.1636002099593767E-4</v>
      </c>
      <c r="AR164" s="137">
        <f>Transportation_LCIA!V$61*($W164^Transportation_LCIA!V$60)+Transportation_LCIA!V$62</f>
        <v>2.4879684586680414E-4</v>
      </c>
      <c r="AT164" s="137">
        <f>$W164*Y164+$L164*Summary_LCIA!H$32</f>
        <v>236.65324523541923</v>
      </c>
      <c r="AU164" s="137">
        <f>$W164*Z164+$L164*Summary_LCIA!Q$32</f>
        <v>2448.1711400036565</v>
      </c>
      <c r="AV164" s="137">
        <f>$W164*AA164+$L164*Summary_LCIA!R$32</f>
        <v>1.1842022833742611</v>
      </c>
      <c r="AW164" s="137">
        <f>$W164*AB164+$L164*Summary_LCIA!S$32</f>
        <v>236.61291273541923</v>
      </c>
      <c r="AX164" s="137">
        <f>$W164*AC164+$L164*Summary_LCIA!T$32</f>
        <v>57.160543664870488</v>
      </c>
      <c r="AY164" s="137">
        <f>$W164*AD164+$L164*Summary_LCIA!U$32</f>
        <v>0.43808816080675717</v>
      </c>
      <c r="AZ164" s="137">
        <f>$W164*AE164+$L164*Summary_LCIA!V$32</f>
        <v>6.3168277351317408E-3</v>
      </c>
      <c r="BA164" s="137">
        <f>$W164*AF164+$L164*Summary_LCIA!W$32</f>
        <v>9.407021560394881</v>
      </c>
      <c r="BB164" s="137">
        <f>$W164*AG164+$L164*Summary_LCIA!X$32</f>
        <v>12.158696930650542</v>
      </c>
      <c r="BC164" s="137">
        <f>$W164*AH164+$L164*Summary_LCIA!Y$32</f>
        <v>0.38028669284456174</v>
      </c>
      <c r="BD164" s="137">
        <f>$W164*AI164+$L164*Summary_LCIA!Z$32</f>
        <v>0.24142880729025351</v>
      </c>
      <c r="BE164" s="137">
        <f>$W164*AJ164+$L164*Summary_LCIA!AA$32</f>
        <v>1.1947851993673295</v>
      </c>
      <c r="BF164" s="137">
        <f>$W164*AK164+$L164*Summary_LCIA!AB$32</f>
        <v>5.9144665768080862E-2</v>
      </c>
      <c r="BG164" s="137">
        <f>$W164*AL164+$L164*Summary_LCIA!AC$32</f>
        <v>2.9144320365065924E-5</v>
      </c>
      <c r="BH164" s="137">
        <f>$W164*AM164+$L164*Summary_LCIA!AD$32</f>
        <v>9.7991794454501527E-2</v>
      </c>
      <c r="BI164" s="137">
        <f>$W164*AN164+$L164*Summary_LCIA!AE$32</f>
        <v>0.29092830712973722</v>
      </c>
      <c r="BJ164" s="137">
        <f>$W164*AO164+$L164*Summary_LCIA!AF$32</f>
        <v>1.1982197429165176E-2</v>
      </c>
      <c r="BK164" s="137">
        <f>$W164*AP164+$L164*Summary_LCIA!AG$32</f>
        <v>4.7346205541651748E-3</v>
      </c>
      <c r="BL164" s="137">
        <f>$W164*AQ164+$L164*Summary_LCIA!AH$32</f>
        <v>0.68659332555244212</v>
      </c>
      <c r="BM164" s="137">
        <f>$W164*AR164+$L164*Summary_LCIA!AI$32</f>
        <v>0.25358884216837235</v>
      </c>
    </row>
    <row r="165" spans="1:65" x14ac:dyDescent="0.25">
      <c r="A165" s="149">
        <v>112</v>
      </c>
      <c r="B165" s="149">
        <v>6</v>
      </c>
      <c r="C165" s="61">
        <v>38.899540000000002</v>
      </c>
      <c r="D165" s="61">
        <v>-77.003996000000001</v>
      </c>
      <c r="E165" s="61" t="s">
        <v>265</v>
      </c>
      <c r="F165" s="149">
        <v>86</v>
      </c>
      <c r="G165" s="61" t="s">
        <v>630</v>
      </c>
      <c r="H165" s="61" t="s">
        <v>644</v>
      </c>
      <c r="I165" s="61">
        <v>38.851241999999999</v>
      </c>
      <c r="J165" s="61">
        <v>-77.040232000000003</v>
      </c>
      <c r="K165" s="61">
        <v>8.4899752769999992</v>
      </c>
      <c r="L165" s="61">
        <v>10.651</v>
      </c>
      <c r="M165" s="61" t="s">
        <v>617</v>
      </c>
      <c r="N165" s="149">
        <v>5</v>
      </c>
      <c r="O165" s="149">
        <v>6</v>
      </c>
      <c r="P165" s="61" t="s">
        <v>565</v>
      </c>
      <c r="Q165" s="61" t="s">
        <v>564</v>
      </c>
      <c r="R165" s="61">
        <v>41.98028</v>
      </c>
      <c r="S165" s="61">
        <v>-87.908997900000003</v>
      </c>
      <c r="T165" s="61">
        <v>1158.9090000000001</v>
      </c>
      <c r="U165" s="61" t="s">
        <v>617</v>
      </c>
      <c r="V165" s="61" t="s">
        <v>569</v>
      </c>
      <c r="W165" s="61" cm="1">
        <f t="array" ref="W165">getDistance(I165,J165,R165,S165)*SA!$B$12</f>
        <v>985.09467660045368</v>
      </c>
      <c r="X165" s="61"/>
      <c r="Y165" s="137">
        <f>Transportation_LCIA!C$61*($W165^Transportation_LCIA!C$60)+Transportation_LCIA!C$62</f>
        <v>0.2370864199991472</v>
      </c>
      <c r="Z165" s="137">
        <f>Transportation_LCIA!D$61*($W165^Transportation_LCIA!D$60)+Transportation_LCIA!D$62</f>
        <v>2.4393058219490786</v>
      </c>
      <c r="AA165" s="137">
        <f>Transportation_LCIA!E$61*($W165^Transportation_LCIA!E$60)+Transportation_LCIA!E$62</f>
        <v>1.1533446585003482E-3</v>
      </c>
      <c r="AB165" s="137">
        <f>Transportation_LCIA!F$61*($W165^Transportation_LCIA!F$60)+Transportation_LCIA!F$62</f>
        <v>0.2370864199991472</v>
      </c>
      <c r="AC165" s="137">
        <f>Transportation_LCIA!G$61*($W165^Transportation_LCIA!G$60)+Transportation_LCIA!G$62</f>
        <v>5.7007420199112084E-2</v>
      </c>
      <c r="AD165" s="137">
        <f>Transportation_LCIA!H$61*($W165^Transportation_LCIA!H$60)+Transportation_LCIA!H$62</f>
        <v>2.7877818988371404E-4</v>
      </c>
      <c r="AE165" s="137">
        <f>Transportation_LCIA!I$61*($W165^Transportation_LCIA!I$60)+Transportation_LCIA!I$62</f>
        <v>5.969993290824604E-6</v>
      </c>
      <c r="AF165" s="137">
        <f>Transportation_LCIA!J$61*($W165^Transportation_LCIA!J$60)+Transportation_LCIA!J$62</f>
        <v>8.8363701400098228E-3</v>
      </c>
      <c r="AG165" s="137">
        <f>Transportation_LCIA!K$61*($W165^Transportation_LCIA!K$60)+Transportation_LCIA!K$62</f>
        <v>1.2131655681962131E-2</v>
      </c>
      <c r="AH165" s="137">
        <f>Transportation_LCIA!L$61*($W165^Transportation_LCIA!L$60)+Transportation_LCIA!L$62</f>
        <v>2.4170361336866051E-4</v>
      </c>
      <c r="AI165" s="137">
        <f>Transportation_LCIA!M$61*($W165^Transportation_LCIA!M$60)+Transportation_LCIA!M$62</f>
        <v>2.4470196204605344E-4</v>
      </c>
      <c r="AJ165" s="137">
        <f>Transportation_LCIA!N$61*($W165^Transportation_LCIA!N$60)+Transportation_LCIA!N$62</f>
        <v>9.9651507889072025E-4</v>
      </c>
      <c r="AK165" s="137">
        <f>Transportation_LCIA!O$61*($W165^Transportation_LCIA!O$60)+Transportation_LCIA!O$62</f>
        <v>6.0241723006640731E-5</v>
      </c>
      <c r="AL165" s="137">
        <f>Transportation_LCIA!P$61*($W165^Transportation_LCIA!P$60)+Transportation_LCIA!P$62</f>
        <v>2.9132482944789785E-8</v>
      </c>
      <c r="AM165" s="137">
        <f>Transportation_LCIA!Q$61*($W165^Transportation_LCIA!Q$60)+Transportation_LCIA!Q$62</f>
        <v>9.5667002058853797E-5</v>
      </c>
      <c r="AN165" s="137">
        <f>Transportation_LCIA!R$61*($W165^Transportation_LCIA!R$60)+Transportation_LCIA!R$62</f>
        <v>2.8712201740427817E-4</v>
      </c>
      <c r="AO165" s="137">
        <f>Transportation_LCIA!S$61*($W165^Transportation_LCIA!S$60)+Transportation_LCIA!S$62</f>
        <v>4.332314477521164E-6</v>
      </c>
      <c r="AP165" s="137">
        <f>Transportation_LCIA!T$61*($W165^Transportation_LCIA!T$60)+Transportation_LCIA!T$62</f>
        <v>4.332314477521164E-6</v>
      </c>
      <c r="AQ165" s="137">
        <f>Transportation_LCIA!U$61*($W165^Transportation_LCIA!U$60)+Transportation_LCIA!U$62</f>
        <v>6.1636002099593767E-4</v>
      </c>
      <c r="AR165" s="137">
        <f>Transportation_LCIA!V$61*($W165^Transportation_LCIA!V$60)+Transportation_LCIA!V$62</f>
        <v>2.4879684586680414E-4</v>
      </c>
      <c r="AT165" s="137">
        <f>$W165*Y165+$L165*Summary_LCIA!H$32</f>
        <v>237.17178003541923</v>
      </c>
      <c r="AU165" s="137">
        <f>$W165*Z165+$L165*Summary_LCIA!Q$32</f>
        <v>2455.7340729644147</v>
      </c>
      <c r="AV165" s="137">
        <f>$W165*AA165+$L165*Summary_LCIA!R$32</f>
        <v>1.1922375889742611</v>
      </c>
      <c r="AW165" s="137">
        <f>$W165*AB165+$L165*Summary_LCIA!S$32</f>
        <v>237.12470261541924</v>
      </c>
      <c r="AX165" s="137">
        <f>$W165*AC165+$L165*Summary_LCIA!T$32</f>
        <v>57.328251064870493</v>
      </c>
      <c r="AY165" s="137">
        <f>$W165*AD165+$L165*Summary_LCIA!U$32</f>
        <v>0.46542492480675712</v>
      </c>
      <c r="AZ165" s="137">
        <f>$W165*AE165+$L165*Summary_LCIA!V$32</f>
        <v>6.3897110211317415E-3</v>
      </c>
      <c r="BA165" s="137">
        <f>$W165*AF165+$L165*Summary_LCIA!W$32</f>
        <v>9.5244793063948805</v>
      </c>
      <c r="BB165" s="137">
        <f>$W165*AG165+$L165*Summary_LCIA!X$32</f>
        <v>12.193459210650541</v>
      </c>
      <c r="BC165" s="137">
        <f>$W165*AH165+$L165*Summary_LCIA!Y$32</f>
        <v>0.40406482484456174</v>
      </c>
      <c r="BD165" s="137">
        <f>$W165*AI165+$L165*Summary_LCIA!Z$32</f>
        <v>0.24149138702425352</v>
      </c>
      <c r="BE165" s="137">
        <f>$W165*AJ165+$L165*Summary_LCIA!AA$32</f>
        <v>1.2304264553673296</v>
      </c>
      <c r="BF165" s="137">
        <f>$W165*AK165+$L165*Summary_LCIA!AB$32</f>
        <v>5.9111363870080862E-2</v>
      </c>
      <c r="BG165" s="137">
        <f>$W165*AL165+$L165*Summary_LCIA!AC$32</f>
        <v>2.9218917349065922E-5</v>
      </c>
      <c r="BH165" s="137">
        <f>$W165*AM165+$L165*Summary_LCIA!AD$32</f>
        <v>9.8619041494501528E-2</v>
      </c>
      <c r="BI165" s="137">
        <f>$W165*AN165+$L165*Summary_LCIA!AE$32</f>
        <v>0.29228054150973726</v>
      </c>
      <c r="BJ165" s="137">
        <f>$W165*AO165+$L165*Summary_LCIA!AF$32</f>
        <v>1.3272308349165176E-2</v>
      </c>
      <c r="BK165" s="137">
        <f>$W165*AP165+$L165*Summary_LCIA!AG$32</f>
        <v>4.8126983441651745E-3</v>
      </c>
      <c r="BL165" s="137">
        <f>$W165*AQ165+$L165*Summary_LCIA!AH$32</f>
        <v>0.6998750191524421</v>
      </c>
      <c r="BM165" s="137">
        <f>$W165*AR165+$L165*Summary_LCIA!AI$32</f>
        <v>0.25501038746837235</v>
      </c>
    </row>
    <row r="166" spans="1:65" x14ac:dyDescent="0.25">
      <c r="A166" s="149">
        <v>113</v>
      </c>
      <c r="B166" s="149">
        <v>6</v>
      </c>
      <c r="C166" s="61">
        <v>38.899540000000002</v>
      </c>
      <c r="D166" s="61">
        <v>-77.003996000000001</v>
      </c>
      <c r="E166" s="61" t="s">
        <v>265</v>
      </c>
      <c r="F166" s="149">
        <v>86</v>
      </c>
      <c r="G166" s="61" t="s">
        <v>630</v>
      </c>
      <c r="H166" s="61" t="s">
        <v>644</v>
      </c>
      <c r="I166" s="61">
        <v>38.851241999999999</v>
      </c>
      <c r="J166" s="61">
        <v>-77.040232000000003</v>
      </c>
      <c r="K166" s="61">
        <v>8.4899752769999992</v>
      </c>
      <c r="L166" s="61">
        <v>10.651</v>
      </c>
      <c r="M166" s="61" t="s">
        <v>617</v>
      </c>
      <c r="N166" s="149">
        <v>5</v>
      </c>
      <c r="O166" s="149">
        <v>6</v>
      </c>
      <c r="P166" s="61" t="s">
        <v>565</v>
      </c>
      <c r="Q166" s="61" t="s">
        <v>564</v>
      </c>
      <c r="R166" s="61">
        <v>41.98028</v>
      </c>
      <c r="S166" s="61">
        <v>-87.908997900000003</v>
      </c>
      <c r="T166" s="61">
        <v>1158.9090000000001</v>
      </c>
      <c r="U166" s="61" t="s">
        <v>617</v>
      </c>
      <c r="V166" s="61" t="s">
        <v>569</v>
      </c>
      <c r="W166" s="61" cm="1">
        <f t="array" ref="W166">getDistance(I166,J166,R166,S166)*SA!$B$12</f>
        <v>985.09467660045368</v>
      </c>
      <c r="X166" s="61"/>
      <c r="Y166" s="137">
        <f>Transportation_LCIA!C$61*($W166^Transportation_LCIA!C$60)+Transportation_LCIA!C$62</f>
        <v>0.2370864199991472</v>
      </c>
      <c r="Z166" s="137">
        <f>Transportation_LCIA!D$61*($W166^Transportation_LCIA!D$60)+Transportation_LCIA!D$62</f>
        <v>2.4393058219490786</v>
      </c>
      <c r="AA166" s="137">
        <f>Transportation_LCIA!E$61*($W166^Transportation_LCIA!E$60)+Transportation_LCIA!E$62</f>
        <v>1.1533446585003482E-3</v>
      </c>
      <c r="AB166" s="137">
        <f>Transportation_LCIA!F$61*($W166^Transportation_LCIA!F$60)+Transportation_LCIA!F$62</f>
        <v>0.2370864199991472</v>
      </c>
      <c r="AC166" s="137">
        <f>Transportation_LCIA!G$61*($W166^Transportation_LCIA!G$60)+Transportation_LCIA!G$62</f>
        <v>5.7007420199112084E-2</v>
      </c>
      <c r="AD166" s="137">
        <f>Transportation_LCIA!H$61*($W166^Transportation_LCIA!H$60)+Transportation_LCIA!H$62</f>
        <v>2.7877818988371404E-4</v>
      </c>
      <c r="AE166" s="137">
        <f>Transportation_LCIA!I$61*($W166^Transportation_LCIA!I$60)+Transportation_LCIA!I$62</f>
        <v>5.969993290824604E-6</v>
      </c>
      <c r="AF166" s="137">
        <f>Transportation_LCIA!J$61*($W166^Transportation_LCIA!J$60)+Transportation_LCIA!J$62</f>
        <v>8.8363701400098228E-3</v>
      </c>
      <c r="AG166" s="137">
        <f>Transportation_LCIA!K$61*($W166^Transportation_LCIA!K$60)+Transportation_LCIA!K$62</f>
        <v>1.2131655681962131E-2</v>
      </c>
      <c r="AH166" s="137">
        <f>Transportation_LCIA!L$61*($W166^Transportation_LCIA!L$60)+Transportation_LCIA!L$62</f>
        <v>2.4170361336866051E-4</v>
      </c>
      <c r="AI166" s="137">
        <f>Transportation_LCIA!M$61*($W166^Transportation_LCIA!M$60)+Transportation_LCIA!M$62</f>
        <v>2.4470196204605344E-4</v>
      </c>
      <c r="AJ166" s="137">
        <f>Transportation_LCIA!N$61*($W166^Transportation_LCIA!N$60)+Transportation_LCIA!N$62</f>
        <v>9.9651507889072025E-4</v>
      </c>
      <c r="AK166" s="137">
        <f>Transportation_LCIA!O$61*($W166^Transportation_LCIA!O$60)+Transportation_LCIA!O$62</f>
        <v>6.0241723006640731E-5</v>
      </c>
      <c r="AL166" s="137">
        <f>Transportation_LCIA!P$61*($W166^Transportation_LCIA!P$60)+Transportation_LCIA!P$62</f>
        <v>2.9132482944789785E-8</v>
      </c>
      <c r="AM166" s="137">
        <f>Transportation_LCIA!Q$61*($W166^Transportation_LCIA!Q$60)+Transportation_LCIA!Q$62</f>
        <v>9.5667002058853797E-5</v>
      </c>
      <c r="AN166" s="137">
        <f>Transportation_LCIA!R$61*($W166^Transportation_LCIA!R$60)+Transportation_LCIA!R$62</f>
        <v>2.8712201740427817E-4</v>
      </c>
      <c r="AO166" s="137">
        <f>Transportation_LCIA!S$61*($W166^Transportation_LCIA!S$60)+Transportation_LCIA!S$62</f>
        <v>4.332314477521164E-6</v>
      </c>
      <c r="AP166" s="137">
        <f>Transportation_LCIA!T$61*($W166^Transportation_LCIA!T$60)+Transportation_LCIA!T$62</f>
        <v>4.332314477521164E-6</v>
      </c>
      <c r="AQ166" s="137">
        <f>Transportation_LCIA!U$61*($W166^Transportation_LCIA!U$60)+Transportation_LCIA!U$62</f>
        <v>6.1636002099593767E-4</v>
      </c>
      <c r="AR166" s="137">
        <f>Transportation_LCIA!V$61*($W166^Transportation_LCIA!V$60)+Transportation_LCIA!V$62</f>
        <v>2.4879684586680414E-4</v>
      </c>
      <c r="AT166" s="137">
        <f>$W166*Y166+$L166*Summary_LCIA!H$32</f>
        <v>237.17178003541923</v>
      </c>
      <c r="AU166" s="137">
        <f>$W166*Z166+$L166*Summary_LCIA!Q$32</f>
        <v>2455.7340729644147</v>
      </c>
      <c r="AV166" s="137">
        <f>$W166*AA166+$L166*Summary_LCIA!R$32</f>
        <v>1.1922375889742611</v>
      </c>
      <c r="AW166" s="137">
        <f>$W166*AB166+$L166*Summary_LCIA!S$32</f>
        <v>237.12470261541924</v>
      </c>
      <c r="AX166" s="137">
        <f>$W166*AC166+$L166*Summary_LCIA!T$32</f>
        <v>57.328251064870493</v>
      </c>
      <c r="AY166" s="137">
        <f>$W166*AD166+$L166*Summary_LCIA!U$32</f>
        <v>0.46542492480675712</v>
      </c>
      <c r="AZ166" s="137">
        <f>$W166*AE166+$L166*Summary_LCIA!V$32</f>
        <v>6.3897110211317415E-3</v>
      </c>
      <c r="BA166" s="137">
        <f>$W166*AF166+$L166*Summary_LCIA!W$32</f>
        <v>9.5244793063948805</v>
      </c>
      <c r="BB166" s="137">
        <f>$W166*AG166+$L166*Summary_LCIA!X$32</f>
        <v>12.193459210650541</v>
      </c>
      <c r="BC166" s="137">
        <f>$W166*AH166+$L166*Summary_LCIA!Y$32</f>
        <v>0.40406482484456174</v>
      </c>
      <c r="BD166" s="137">
        <f>$W166*AI166+$L166*Summary_LCIA!Z$32</f>
        <v>0.24149138702425352</v>
      </c>
      <c r="BE166" s="137">
        <f>$W166*AJ166+$L166*Summary_LCIA!AA$32</f>
        <v>1.2304264553673296</v>
      </c>
      <c r="BF166" s="137">
        <f>$W166*AK166+$L166*Summary_LCIA!AB$32</f>
        <v>5.9111363870080862E-2</v>
      </c>
      <c r="BG166" s="137">
        <f>$W166*AL166+$L166*Summary_LCIA!AC$32</f>
        <v>2.9218917349065922E-5</v>
      </c>
      <c r="BH166" s="137">
        <f>$W166*AM166+$L166*Summary_LCIA!AD$32</f>
        <v>9.8619041494501528E-2</v>
      </c>
      <c r="BI166" s="137">
        <f>$W166*AN166+$L166*Summary_LCIA!AE$32</f>
        <v>0.29228054150973726</v>
      </c>
      <c r="BJ166" s="137">
        <f>$W166*AO166+$L166*Summary_LCIA!AF$32</f>
        <v>1.3272308349165176E-2</v>
      </c>
      <c r="BK166" s="137">
        <f>$W166*AP166+$L166*Summary_LCIA!AG$32</f>
        <v>4.8126983441651745E-3</v>
      </c>
      <c r="BL166" s="137">
        <f>$W166*AQ166+$L166*Summary_LCIA!AH$32</f>
        <v>0.6998750191524421</v>
      </c>
      <c r="BM166" s="137">
        <f>$W166*AR166+$L166*Summary_LCIA!AI$32</f>
        <v>0.25501038746837235</v>
      </c>
    </row>
    <row r="167" spans="1:65" x14ac:dyDescent="0.25">
      <c r="A167" s="149">
        <v>144</v>
      </c>
      <c r="B167" s="149">
        <v>6</v>
      </c>
      <c r="C167" s="61">
        <v>39.332213000000003</v>
      </c>
      <c r="D167" s="61">
        <v>-76.600832999999994</v>
      </c>
      <c r="E167" s="61" t="s">
        <v>265</v>
      </c>
      <c r="F167" s="149">
        <v>82</v>
      </c>
      <c r="G167" s="61" t="s">
        <v>684</v>
      </c>
      <c r="H167" s="61" t="s">
        <v>685</v>
      </c>
      <c r="I167" s="61">
        <v>39.177404000000003</v>
      </c>
      <c r="J167" s="61">
        <v>-76.668391999999997</v>
      </c>
      <c r="K167" s="61">
        <v>25.47228264</v>
      </c>
      <c r="L167" s="61">
        <v>22.373000000000001</v>
      </c>
      <c r="M167" s="61" t="s">
        <v>617</v>
      </c>
      <c r="N167" s="149">
        <v>5</v>
      </c>
      <c r="O167" s="149">
        <v>6</v>
      </c>
      <c r="P167" s="61" t="s">
        <v>565</v>
      </c>
      <c r="Q167" s="61" t="s">
        <v>564</v>
      </c>
      <c r="R167" s="61">
        <v>41.98028</v>
      </c>
      <c r="S167" s="61">
        <v>-87.908997900000003</v>
      </c>
      <c r="T167" s="61">
        <v>1168.029</v>
      </c>
      <c r="U167" s="61" t="s">
        <v>617</v>
      </c>
      <c r="V167" s="61" t="s">
        <v>569</v>
      </c>
      <c r="W167" s="61" cm="1">
        <f t="array" ref="W167">getDistance(I167,J167,R167,S167)*SA!$B$12</f>
        <v>1000.6132088037757</v>
      </c>
      <c r="X167" s="61"/>
      <c r="Y167" s="137">
        <f>Transportation_LCIA!C$61*($W167^Transportation_LCIA!C$60)+Transportation_LCIA!C$62</f>
        <v>0.23545549201117222</v>
      </c>
      <c r="Z167" s="137">
        <f>Transportation_LCIA!D$61*($W167^Transportation_LCIA!D$60)+Transportation_LCIA!D$62</f>
        <v>2.4202706213242857</v>
      </c>
      <c r="AA167" s="137">
        <f>Transportation_LCIA!E$61*($W167^Transportation_LCIA!E$60)+Transportation_LCIA!E$62</f>
        <v>1.1408288746412865E-3</v>
      </c>
      <c r="AB167" s="137">
        <f>Transportation_LCIA!F$61*($W167^Transportation_LCIA!F$60)+Transportation_LCIA!F$62</f>
        <v>0.23545549201117222</v>
      </c>
      <c r="AC167" s="137">
        <f>Transportation_LCIA!G$61*($W167^Transportation_LCIA!G$60)+Transportation_LCIA!G$62</f>
        <v>5.6567029490067894E-2</v>
      </c>
      <c r="AD167" s="137">
        <f>Transportation_LCIA!H$61*($W167^Transportation_LCIA!H$60)+Transportation_LCIA!H$62</f>
        <v>2.7602605046665079E-4</v>
      </c>
      <c r="AE167" s="137">
        <f>Transportation_LCIA!I$61*($W167^Transportation_LCIA!I$60)+Transportation_LCIA!I$62</f>
        <v>5.9007051245170717E-6</v>
      </c>
      <c r="AF167" s="137">
        <f>Transportation_LCIA!J$61*($W167^Transportation_LCIA!J$60)+Transportation_LCIA!J$62</f>
        <v>8.7331748305765275E-3</v>
      </c>
      <c r="AG167" s="137">
        <f>Transportation_LCIA!K$61*($W167^Transportation_LCIA!K$60)+Transportation_LCIA!K$62</f>
        <v>1.202884789194781E-2</v>
      </c>
      <c r="AH167" s="137">
        <f>Transportation_LCIA!L$61*($W167^Transportation_LCIA!L$60)+Transportation_LCIA!L$62</f>
        <v>2.3917339407197619E-4</v>
      </c>
      <c r="AI167" s="137">
        <f>Transportation_LCIA!M$61*($W167^Transportation_LCIA!M$60)+Transportation_LCIA!M$62</f>
        <v>2.4318307597628473E-4</v>
      </c>
      <c r="AJ167" s="137">
        <f>Transportation_LCIA!N$61*($W167^Transportation_LCIA!N$60)+Transportation_LCIA!N$62</f>
        <v>9.8726200560057169E-4</v>
      </c>
      <c r="AK167" s="137">
        <f>Transportation_LCIA!O$61*($W167^Transportation_LCIA!O$60)+Transportation_LCIA!O$62</f>
        <v>5.9773749710491345E-5</v>
      </c>
      <c r="AL167" s="137">
        <f>Transportation_LCIA!P$61*($W167^Transportation_LCIA!P$60)+Transportation_LCIA!P$62</f>
        <v>2.8907488339561379E-8</v>
      </c>
      <c r="AM167" s="137">
        <f>Transportation_LCIA!Q$61*($W167^Transportation_LCIA!Q$60)+Transportation_LCIA!Q$62</f>
        <v>9.467766898012229E-5</v>
      </c>
      <c r="AN167" s="137">
        <f>Transportation_LCIA!R$61*($W167^Transportation_LCIA!R$60)+Transportation_LCIA!R$62</f>
        <v>2.8379943666853271E-4</v>
      </c>
      <c r="AO167" s="137">
        <f>Transportation_LCIA!S$61*($W167^Transportation_LCIA!S$60)+Transportation_LCIA!S$62</f>
        <v>4.2851602210115667E-6</v>
      </c>
      <c r="AP167" s="137">
        <f>Transportation_LCIA!T$61*($W167^Transportation_LCIA!T$60)+Transportation_LCIA!T$62</f>
        <v>4.2851602210115667E-6</v>
      </c>
      <c r="AQ167" s="137">
        <f>Transportation_LCIA!U$61*($W167^Transportation_LCIA!U$60)+Transportation_LCIA!U$62</f>
        <v>6.0907340462762602E-4</v>
      </c>
      <c r="AR167" s="137">
        <f>Transportation_LCIA!V$61*($W167^Transportation_LCIA!V$60)+Transportation_LCIA!V$62</f>
        <v>2.4622305360046668E-4</v>
      </c>
      <c r="AT167" s="137">
        <f>$W167*Y167+$L167*Summary_LCIA!H$32</f>
        <v>243.2022207917708</v>
      </c>
      <c r="AU167" s="137">
        <f>$W167*Z167+$L167*Summary_LCIA!Q$32</f>
        <v>2532.6364689143102</v>
      </c>
      <c r="AV167" s="137">
        <f>$W167*AA167+$L167*Summary_LCIA!R$32</f>
        <v>1.259335709750818</v>
      </c>
      <c r="AW167" s="137">
        <f>$W167*AB167+$L167*Summary_LCIA!S$32</f>
        <v>243.1033321317708</v>
      </c>
      <c r="AX167" s="137">
        <f>$W167*AC167+$L167*Summary_LCIA!T$32</f>
        <v>59.060509590554645</v>
      </c>
      <c r="AY167" s="137">
        <f>$W167*AD167+$L167*Summary_LCIA!U$32</f>
        <v>0.67698523407086841</v>
      </c>
      <c r="AZ167" s="137">
        <f>$W167*AE167+$L167*Summary_LCIA!V$32</f>
        <v>6.9728803418479101E-3</v>
      </c>
      <c r="BA167" s="137">
        <f>$W167*AF167+$L167*Summary_LCIA!W$32</f>
        <v>10.460602273267549</v>
      </c>
      <c r="BB167" s="137">
        <f>$W167*AG167+$L167*Summary_LCIA!X$32</f>
        <v>12.545881027374429</v>
      </c>
      <c r="BC167" s="137">
        <f>$W167*AH167+$L167*Summary_LCIA!Y$32</f>
        <v>0.58793614330285004</v>
      </c>
      <c r="BD167" s="137">
        <f>$W167*AI167+$L167*Summary_LCIA!Z$32</f>
        <v>0.24424969233640265</v>
      </c>
      <c r="BE167" s="137">
        <f>$W167*AJ167+$L167*Summary_LCIA!AA$32</f>
        <v>1.5104111913540392</v>
      </c>
      <c r="BF167" s="137">
        <f>$W167*AK167+$L167*Summary_LCIA!AB$32</f>
        <v>5.9322157521048503E-2</v>
      </c>
      <c r="BG167" s="137">
        <f>$W167*AL167+$L167*Summary_LCIA!AC$32</f>
        <v>3.001889639790624E-5</v>
      </c>
      <c r="BH167" s="137">
        <f>$W167*AM167+$L167*Summary_LCIA!AD$32</f>
        <v>0.10393192408026186</v>
      </c>
      <c r="BI167" s="137">
        <f>$W167*AN167+$L167*Summary_LCIA!AE$32</f>
        <v>0.3037988514716044</v>
      </c>
      <c r="BJ167" s="137">
        <f>$W167*AO167+$L167*Summary_LCIA!AF$32</f>
        <v>2.3202369578984684E-2</v>
      </c>
      <c r="BK167" s="137">
        <f>$W167*AP167+$L167*Summary_LCIA!AG$32</f>
        <v>5.4325024639846802E-3</v>
      </c>
      <c r="BL167" s="137">
        <f>$W167*AQ167+$L167*Summary_LCIA!AH$32</f>
        <v>0.80417253660148935</v>
      </c>
      <c r="BM167" s="137">
        <f>$W167*AR167+$L167*Summary_LCIA!AI$32</f>
        <v>0.26721560789462701</v>
      </c>
    </row>
    <row r="168" spans="1:65" x14ac:dyDescent="0.25">
      <c r="A168" s="149">
        <v>145</v>
      </c>
      <c r="B168" s="149">
        <v>6</v>
      </c>
      <c r="C168" s="61">
        <v>39.332213000000003</v>
      </c>
      <c r="D168" s="61">
        <v>-76.600832999999994</v>
      </c>
      <c r="E168" s="61" t="s">
        <v>265</v>
      </c>
      <c r="F168" s="149">
        <v>82</v>
      </c>
      <c r="G168" s="61" t="s">
        <v>684</v>
      </c>
      <c r="H168" s="61" t="s">
        <v>685</v>
      </c>
      <c r="I168" s="61">
        <v>39.177404000000003</v>
      </c>
      <c r="J168" s="61">
        <v>-76.668391999999997</v>
      </c>
      <c r="K168" s="61">
        <v>25.47228264</v>
      </c>
      <c r="L168" s="61">
        <v>22.373000000000001</v>
      </c>
      <c r="M168" s="61" t="s">
        <v>617</v>
      </c>
      <c r="N168" s="149">
        <v>5</v>
      </c>
      <c r="O168" s="149">
        <v>6</v>
      </c>
      <c r="P168" s="61" t="s">
        <v>565</v>
      </c>
      <c r="Q168" s="61" t="s">
        <v>564</v>
      </c>
      <c r="R168" s="61">
        <v>41.98028</v>
      </c>
      <c r="S168" s="61">
        <v>-87.908997900000003</v>
      </c>
      <c r="T168" s="61">
        <v>1168.029</v>
      </c>
      <c r="U168" s="61" t="s">
        <v>617</v>
      </c>
      <c r="V168" s="61" t="s">
        <v>569</v>
      </c>
      <c r="W168" s="61" cm="1">
        <f t="array" ref="W168">getDistance(I168,J168,R168,S168)*SA!$B$12</f>
        <v>1000.6132088037757</v>
      </c>
      <c r="X168" s="61"/>
      <c r="Y168" s="137">
        <f>Transportation_LCIA!C$61*($W168^Transportation_LCIA!C$60)+Transportation_LCIA!C$62</f>
        <v>0.23545549201117222</v>
      </c>
      <c r="Z168" s="137">
        <f>Transportation_LCIA!D$61*($W168^Transportation_LCIA!D$60)+Transportation_LCIA!D$62</f>
        <v>2.4202706213242857</v>
      </c>
      <c r="AA168" s="137">
        <f>Transportation_LCIA!E$61*($W168^Transportation_LCIA!E$60)+Transportation_LCIA!E$62</f>
        <v>1.1408288746412865E-3</v>
      </c>
      <c r="AB168" s="137">
        <f>Transportation_LCIA!F$61*($W168^Transportation_LCIA!F$60)+Transportation_LCIA!F$62</f>
        <v>0.23545549201117222</v>
      </c>
      <c r="AC168" s="137">
        <f>Transportation_LCIA!G$61*($W168^Transportation_LCIA!G$60)+Transportation_LCIA!G$62</f>
        <v>5.6567029490067894E-2</v>
      </c>
      <c r="AD168" s="137">
        <f>Transportation_LCIA!H$61*($W168^Transportation_LCIA!H$60)+Transportation_LCIA!H$62</f>
        <v>2.7602605046665079E-4</v>
      </c>
      <c r="AE168" s="137">
        <f>Transportation_LCIA!I$61*($W168^Transportation_LCIA!I$60)+Transportation_LCIA!I$62</f>
        <v>5.9007051245170717E-6</v>
      </c>
      <c r="AF168" s="137">
        <f>Transportation_LCIA!J$61*($W168^Transportation_LCIA!J$60)+Transportation_LCIA!J$62</f>
        <v>8.7331748305765275E-3</v>
      </c>
      <c r="AG168" s="137">
        <f>Transportation_LCIA!K$61*($W168^Transportation_LCIA!K$60)+Transportation_LCIA!K$62</f>
        <v>1.202884789194781E-2</v>
      </c>
      <c r="AH168" s="137">
        <f>Transportation_LCIA!L$61*($W168^Transportation_LCIA!L$60)+Transportation_LCIA!L$62</f>
        <v>2.3917339407197619E-4</v>
      </c>
      <c r="AI168" s="137">
        <f>Transportation_LCIA!M$61*($W168^Transportation_LCIA!M$60)+Transportation_LCIA!M$62</f>
        <v>2.4318307597628473E-4</v>
      </c>
      <c r="AJ168" s="137">
        <f>Transportation_LCIA!N$61*($W168^Transportation_LCIA!N$60)+Transportation_LCIA!N$62</f>
        <v>9.8726200560057169E-4</v>
      </c>
      <c r="AK168" s="137">
        <f>Transportation_LCIA!O$61*($W168^Transportation_LCIA!O$60)+Transportation_LCIA!O$62</f>
        <v>5.9773749710491345E-5</v>
      </c>
      <c r="AL168" s="137">
        <f>Transportation_LCIA!P$61*($W168^Transportation_LCIA!P$60)+Transportation_LCIA!P$62</f>
        <v>2.8907488339561379E-8</v>
      </c>
      <c r="AM168" s="137">
        <f>Transportation_LCIA!Q$61*($W168^Transportation_LCIA!Q$60)+Transportation_LCIA!Q$62</f>
        <v>9.467766898012229E-5</v>
      </c>
      <c r="AN168" s="137">
        <f>Transportation_LCIA!R$61*($W168^Transportation_LCIA!R$60)+Transportation_LCIA!R$62</f>
        <v>2.8379943666853271E-4</v>
      </c>
      <c r="AO168" s="137">
        <f>Transportation_LCIA!S$61*($W168^Transportation_LCIA!S$60)+Transportation_LCIA!S$62</f>
        <v>4.2851602210115667E-6</v>
      </c>
      <c r="AP168" s="137">
        <f>Transportation_LCIA!T$61*($W168^Transportation_LCIA!T$60)+Transportation_LCIA!T$62</f>
        <v>4.2851602210115667E-6</v>
      </c>
      <c r="AQ168" s="137">
        <f>Transportation_LCIA!U$61*($W168^Transportation_LCIA!U$60)+Transportation_LCIA!U$62</f>
        <v>6.0907340462762602E-4</v>
      </c>
      <c r="AR168" s="137">
        <f>Transportation_LCIA!V$61*($W168^Transportation_LCIA!V$60)+Transportation_LCIA!V$62</f>
        <v>2.4622305360046668E-4</v>
      </c>
      <c r="AT168" s="137">
        <f>$W168*Y168+$L168*Summary_LCIA!H$32</f>
        <v>243.2022207917708</v>
      </c>
      <c r="AU168" s="137">
        <f>$W168*Z168+$L168*Summary_LCIA!Q$32</f>
        <v>2532.6364689143102</v>
      </c>
      <c r="AV168" s="137">
        <f>$W168*AA168+$L168*Summary_LCIA!R$32</f>
        <v>1.259335709750818</v>
      </c>
      <c r="AW168" s="137">
        <f>$W168*AB168+$L168*Summary_LCIA!S$32</f>
        <v>243.1033321317708</v>
      </c>
      <c r="AX168" s="137">
        <f>$W168*AC168+$L168*Summary_LCIA!T$32</f>
        <v>59.060509590554645</v>
      </c>
      <c r="AY168" s="137">
        <f>$W168*AD168+$L168*Summary_LCIA!U$32</f>
        <v>0.67698523407086841</v>
      </c>
      <c r="AZ168" s="137">
        <f>$W168*AE168+$L168*Summary_LCIA!V$32</f>
        <v>6.9728803418479101E-3</v>
      </c>
      <c r="BA168" s="137">
        <f>$W168*AF168+$L168*Summary_LCIA!W$32</f>
        <v>10.460602273267549</v>
      </c>
      <c r="BB168" s="137">
        <f>$W168*AG168+$L168*Summary_LCIA!X$32</f>
        <v>12.545881027374429</v>
      </c>
      <c r="BC168" s="137">
        <f>$W168*AH168+$L168*Summary_LCIA!Y$32</f>
        <v>0.58793614330285004</v>
      </c>
      <c r="BD168" s="137">
        <f>$W168*AI168+$L168*Summary_LCIA!Z$32</f>
        <v>0.24424969233640265</v>
      </c>
      <c r="BE168" s="137">
        <f>$W168*AJ168+$L168*Summary_LCIA!AA$32</f>
        <v>1.5104111913540392</v>
      </c>
      <c r="BF168" s="137">
        <f>$W168*AK168+$L168*Summary_LCIA!AB$32</f>
        <v>5.9322157521048503E-2</v>
      </c>
      <c r="BG168" s="137">
        <f>$W168*AL168+$L168*Summary_LCIA!AC$32</f>
        <v>3.001889639790624E-5</v>
      </c>
      <c r="BH168" s="137">
        <f>$W168*AM168+$L168*Summary_LCIA!AD$32</f>
        <v>0.10393192408026186</v>
      </c>
      <c r="BI168" s="137">
        <f>$W168*AN168+$L168*Summary_LCIA!AE$32</f>
        <v>0.3037988514716044</v>
      </c>
      <c r="BJ168" s="137">
        <f>$W168*AO168+$L168*Summary_LCIA!AF$32</f>
        <v>2.3202369578984684E-2</v>
      </c>
      <c r="BK168" s="137">
        <f>$W168*AP168+$L168*Summary_LCIA!AG$32</f>
        <v>5.4325024639846802E-3</v>
      </c>
      <c r="BL168" s="137">
        <f>$W168*AQ168+$L168*Summary_LCIA!AH$32</f>
        <v>0.80417253660148935</v>
      </c>
      <c r="BM168" s="137">
        <f>$W168*AR168+$L168*Summary_LCIA!AI$32</f>
        <v>0.26721560789462701</v>
      </c>
    </row>
    <row r="169" spans="1:65" x14ac:dyDescent="0.25">
      <c r="A169" s="149">
        <v>146</v>
      </c>
      <c r="B169" s="149">
        <v>6</v>
      </c>
      <c r="C169" s="61">
        <v>39.332213000000003</v>
      </c>
      <c r="D169" s="61">
        <v>-76.600832999999994</v>
      </c>
      <c r="E169" s="61" t="s">
        <v>265</v>
      </c>
      <c r="F169" s="149">
        <v>82</v>
      </c>
      <c r="G169" s="61" t="s">
        <v>684</v>
      </c>
      <c r="H169" s="61" t="s">
        <v>685</v>
      </c>
      <c r="I169" s="61">
        <v>39.177404000000003</v>
      </c>
      <c r="J169" s="61">
        <v>-76.668391999999997</v>
      </c>
      <c r="K169" s="61">
        <v>25.47228264</v>
      </c>
      <c r="L169" s="61">
        <v>22.373000000000001</v>
      </c>
      <c r="M169" s="61" t="s">
        <v>617</v>
      </c>
      <c r="N169" s="149">
        <v>5</v>
      </c>
      <c r="O169" s="149">
        <v>6</v>
      </c>
      <c r="P169" s="61" t="s">
        <v>565</v>
      </c>
      <c r="Q169" s="61" t="s">
        <v>564</v>
      </c>
      <c r="R169" s="61">
        <v>41.98028</v>
      </c>
      <c r="S169" s="61">
        <v>-87.908997900000003</v>
      </c>
      <c r="T169" s="61">
        <v>1168.029</v>
      </c>
      <c r="U169" s="61" t="s">
        <v>617</v>
      </c>
      <c r="V169" s="61" t="s">
        <v>569</v>
      </c>
      <c r="W169" s="61" cm="1">
        <f t="array" ref="W169">getDistance(I169,J169,R169,S169)*SA!$B$12</f>
        <v>1000.6132088037757</v>
      </c>
      <c r="X169" s="61"/>
      <c r="Y169" s="137">
        <f>Transportation_LCIA!C$61*($W169^Transportation_LCIA!C$60)+Transportation_LCIA!C$62</f>
        <v>0.23545549201117222</v>
      </c>
      <c r="Z169" s="137">
        <f>Transportation_LCIA!D$61*($W169^Transportation_LCIA!D$60)+Transportation_LCIA!D$62</f>
        <v>2.4202706213242857</v>
      </c>
      <c r="AA169" s="137">
        <f>Transportation_LCIA!E$61*($W169^Transportation_LCIA!E$60)+Transportation_LCIA!E$62</f>
        <v>1.1408288746412865E-3</v>
      </c>
      <c r="AB169" s="137">
        <f>Transportation_LCIA!F$61*($W169^Transportation_LCIA!F$60)+Transportation_LCIA!F$62</f>
        <v>0.23545549201117222</v>
      </c>
      <c r="AC169" s="137">
        <f>Transportation_LCIA!G$61*($W169^Transportation_LCIA!G$60)+Transportation_LCIA!G$62</f>
        <v>5.6567029490067894E-2</v>
      </c>
      <c r="AD169" s="137">
        <f>Transportation_LCIA!H$61*($W169^Transportation_LCIA!H$60)+Transportation_LCIA!H$62</f>
        <v>2.7602605046665079E-4</v>
      </c>
      <c r="AE169" s="137">
        <f>Transportation_LCIA!I$61*($W169^Transportation_LCIA!I$60)+Transportation_LCIA!I$62</f>
        <v>5.9007051245170717E-6</v>
      </c>
      <c r="AF169" s="137">
        <f>Transportation_LCIA!J$61*($W169^Transportation_LCIA!J$60)+Transportation_LCIA!J$62</f>
        <v>8.7331748305765275E-3</v>
      </c>
      <c r="AG169" s="137">
        <f>Transportation_LCIA!K$61*($W169^Transportation_LCIA!K$60)+Transportation_LCIA!K$62</f>
        <v>1.202884789194781E-2</v>
      </c>
      <c r="AH169" s="137">
        <f>Transportation_LCIA!L$61*($W169^Transportation_LCIA!L$60)+Transportation_LCIA!L$62</f>
        <v>2.3917339407197619E-4</v>
      </c>
      <c r="AI169" s="137">
        <f>Transportation_LCIA!M$61*($W169^Transportation_LCIA!M$60)+Transportation_LCIA!M$62</f>
        <v>2.4318307597628473E-4</v>
      </c>
      <c r="AJ169" s="137">
        <f>Transportation_LCIA!N$61*($W169^Transportation_LCIA!N$60)+Transportation_LCIA!N$62</f>
        <v>9.8726200560057169E-4</v>
      </c>
      <c r="AK169" s="137">
        <f>Transportation_LCIA!O$61*($W169^Transportation_LCIA!O$60)+Transportation_LCIA!O$62</f>
        <v>5.9773749710491345E-5</v>
      </c>
      <c r="AL169" s="137">
        <f>Transportation_LCIA!P$61*($W169^Transportation_LCIA!P$60)+Transportation_LCIA!P$62</f>
        <v>2.8907488339561379E-8</v>
      </c>
      <c r="AM169" s="137">
        <f>Transportation_LCIA!Q$61*($W169^Transportation_LCIA!Q$60)+Transportation_LCIA!Q$62</f>
        <v>9.467766898012229E-5</v>
      </c>
      <c r="AN169" s="137">
        <f>Transportation_LCIA!R$61*($W169^Transportation_LCIA!R$60)+Transportation_LCIA!R$62</f>
        <v>2.8379943666853271E-4</v>
      </c>
      <c r="AO169" s="137">
        <f>Transportation_LCIA!S$61*($W169^Transportation_LCIA!S$60)+Transportation_LCIA!S$62</f>
        <v>4.2851602210115667E-6</v>
      </c>
      <c r="AP169" s="137">
        <f>Transportation_LCIA!T$61*($W169^Transportation_LCIA!T$60)+Transportation_LCIA!T$62</f>
        <v>4.2851602210115667E-6</v>
      </c>
      <c r="AQ169" s="137">
        <f>Transportation_LCIA!U$61*($W169^Transportation_LCIA!U$60)+Transportation_LCIA!U$62</f>
        <v>6.0907340462762602E-4</v>
      </c>
      <c r="AR169" s="137">
        <f>Transportation_LCIA!V$61*($W169^Transportation_LCIA!V$60)+Transportation_LCIA!V$62</f>
        <v>2.4622305360046668E-4</v>
      </c>
      <c r="AT169" s="137">
        <f>$W169*Y169+$L169*Summary_LCIA!H$32</f>
        <v>243.2022207917708</v>
      </c>
      <c r="AU169" s="137">
        <f>$W169*Z169+$L169*Summary_LCIA!Q$32</f>
        <v>2532.6364689143102</v>
      </c>
      <c r="AV169" s="137">
        <f>$W169*AA169+$L169*Summary_LCIA!R$32</f>
        <v>1.259335709750818</v>
      </c>
      <c r="AW169" s="137">
        <f>$W169*AB169+$L169*Summary_LCIA!S$32</f>
        <v>243.1033321317708</v>
      </c>
      <c r="AX169" s="137">
        <f>$W169*AC169+$L169*Summary_LCIA!T$32</f>
        <v>59.060509590554645</v>
      </c>
      <c r="AY169" s="137">
        <f>$W169*AD169+$L169*Summary_LCIA!U$32</f>
        <v>0.67698523407086841</v>
      </c>
      <c r="AZ169" s="137">
        <f>$W169*AE169+$L169*Summary_LCIA!V$32</f>
        <v>6.9728803418479101E-3</v>
      </c>
      <c r="BA169" s="137">
        <f>$W169*AF169+$L169*Summary_LCIA!W$32</f>
        <v>10.460602273267549</v>
      </c>
      <c r="BB169" s="137">
        <f>$W169*AG169+$L169*Summary_LCIA!X$32</f>
        <v>12.545881027374429</v>
      </c>
      <c r="BC169" s="137">
        <f>$W169*AH169+$L169*Summary_LCIA!Y$32</f>
        <v>0.58793614330285004</v>
      </c>
      <c r="BD169" s="137">
        <f>$W169*AI169+$L169*Summary_LCIA!Z$32</f>
        <v>0.24424969233640265</v>
      </c>
      <c r="BE169" s="137">
        <f>$W169*AJ169+$L169*Summary_LCIA!AA$32</f>
        <v>1.5104111913540392</v>
      </c>
      <c r="BF169" s="137">
        <f>$W169*AK169+$L169*Summary_LCIA!AB$32</f>
        <v>5.9322157521048503E-2</v>
      </c>
      <c r="BG169" s="137">
        <f>$W169*AL169+$L169*Summary_LCIA!AC$32</f>
        <v>3.001889639790624E-5</v>
      </c>
      <c r="BH169" s="137">
        <f>$W169*AM169+$L169*Summary_LCIA!AD$32</f>
        <v>0.10393192408026186</v>
      </c>
      <c r="BI169" s="137">
        <f>$W169*AN169+$L169*Summary_LCIA!AE$32</f>
        <v>0.3037988514716044</v>
      </c>
      <c r="BJ169" s="137">
        <f>$W169*AO169+$L169*Summary_LCIA!AF$32</f>
        <v>2.3202369578984684E-2</v>
      </c>
      <c r="BK169" s="137">
        <f>$W169*AP169+$L169*Summary_LCIA!AG$32</f>
        <v>5.4325024639846802E-3</v>
      </c>
      <c r="BL169" s="137">
        <f>$W169*AQ169+$L169*Summary_LCIA!AH$32</f>
        <v>0.80417253660148935</v>
      </c>
      <c r="BM169" s="137">
        <f>$W169*AR169+$L169*Summary_LCIA!AI$32</f>
        <v>0.26721560789462701</v>
      </c>
    </row>
    <row r="170" spans="1:65" x14ac:dyDescent="0.25">
      <c r="A170" s="149">
        <v>147</v>
      </c>
      <c r="B170" s="149">
        <v>6</v>
      </c>
      <c r="C170" s="61">
        <v>39.332213000000003</v>
      </c>
      <c r="D170" s="61">
        <v>-76.600832999999994</v>
      </c>
      <c r="E170" s="61" t="s">
        <v>265</v>
      </c>
      <c r="F170" s="149">
        <v>82</v>
      </c>
      <c r="G170" s="61" t="s">
        <v>684</v>
      </c>
      <c r="H170" s="61" t="s">
        <v>685</v>
      </c>
      <c r="I170" s="61">
        <v>39.177404000000003</v>
      </c>
      <c r="J170" s="61">
        <v>-76.668391999999997</v>
      </c>
      <c r="K170" s="61">
        <v>25.47228264</v>
      </c>
      <c r="L170" s="61">
        <v>22.373000000000001</v>
      </c>
      <c r="M170" s="61" t="s">
        <v>617</v>
      </c>
      <c r="N170" s="149">
        <v>5</v>
      </c>
      <c r="O170" s="149">
        <v>6</v>
      </c>
      <c r="P170" s="61" t="s">
        <v>565</v>
      </c>
      <c r="Q170" s="61" t="s">
        <v>564</v>
      </c>
      <c r="R170" s="61">
        <v>41.98028</v>
      </c>
      <c r="S170" s="61">
        <v>-87.908997900000003</v>
      </c>
      <c r="T170" s="61">
        <v>1168.029</v>
      </c>
      <c r="U170" s="61" t="s">
        <v>617</v>
      </c>
      <c r="V170" s="61" t="s">
        <v>569</v>
      </c>
      <c r="W170" s="61" cm="1">
        <f t="array" ref="W170">getDistance(I170,J170,R170,S170)*SA!$B$12</f>
        <v>1000.6132088037757</v>
      </c>
      <c r="X170" s="61"/>
      <c r="Y170" s="137">
        <f>Transportation_LCIA!C$61*($W170^Transportation_LCIA!C$60)+Transportation_LCIA!C$62</f>
        <v>0.23545549201117222</v>
      </c>
      <c r="Z170" s="137">
        <f>Transportation_LCIA!D$61*($W170^Transportation_LCIA!D$60)+Transportation_LCIA!D$62</f>
        <v>2.4202706213242857</v>
      </c>
      <c r="AA170" s="137">
        <f>Transportation_LCIA!E$61*($W170^Transportation_LCIA!E$60)+Transportation_LCIA!E$62</f>
        <v>1.1408288746412865E-3</v>
      </c>
      <c r="AB170" s="137">
        <f>Transportation_LCIA!F$61*($W170^Transportation_LCIA!F$60)+Transportation_LCIA!F$62</f>
        <v>0.23545549201117222</v>
      </c>
      <c r="AC170" s="137">
        <f>Transportation_LCIA!G$61*($W170^Transportation_LCIA!G$60)+Transportation_LCIA!G$62</f>
        <v>5.6567029490067894E-2</v>
      </c>
      <c r="AD170" s="137">
        <f>Transportation_LCIA!H$61*($W170^Transportation_LCIA!H$60)+Transportation_LCIA!H$62</f>
        <v>2.7602605046665079E-4</v>
      </c>
      <c r="AE170" s="137">
        <f>Transportation_LCIA!I$61*($W170^Transportation_LCIA!I$60)+Transportation_LCIA!I$62</f>
        <v>5.9007051245170717E-6</v>
      </c>
      <c r="AF170" s="137">
        <f>Transportation_LCIA!J$61*($W170^Transportation_LCIA!J$60)+Transportation_LCIA!J$62</f>
        <v>8.7331748305765275E-3</v>
      </c>
      <c r="AG170" s="137">
        <f>Transportation_LCIA!K$61*($W170^Transportation_LCIA!K$60)+Transportation_LCIA!K$62</f>
        <v>1.202884789194781E-2</v>
      </c>
      <c r="AH170" s="137">
        <f>Transportation_LCIA!L$61*($W170^Transportation_LCIA!L$60)+Transportation_LCIA!L$62</f>
        <v>2.3917339407197619E-4</v>
      </c>
      <c r="AI170" s="137">
        <f>Transportation_LCIA!M$61*($W170^Transportation_LCIA!M$60)+Transportation_LCIA!M$62</f>
        <v>2.4318307597628473E-4</v>
      </c>
      <c r="AJ170" s="137">
        <f>Transportation_LCIA!N$61*($W170^Transportation_LCIA!N$60)+Transportation_LCIA!N$62</f>
        <v>9.8726200560057169E-4</v>
      </c>
      <c r="AK170" s="137">
        <f>Transportation_LCIA!O$61*($W170^Transportation_LCIA!O$60)+Transportation_LCIA!O$62</f>
        <v>5.9773749710491345E-5</v>
      </c>
      <c r="AL170" s="137">
        <f>Transportation_LCIA!P$61*($W170^Transportation_LCIA!P$60)+Transportation_LCIA!P$62</f>
        <v>2.8907488339561379E-8</v>
      </c>
      <c r="AM170" s="137">
        <f>Transportation_LCIA!Q$61*($W170^Transportation_LCIA!Q$60)+Transportation_LCIA!Q$62</f>
        <v>9.467766898012229E-5</v>
      </c>
      <c r="AN170" s="137">
        <f>Transportation_LCIA!R$61*($W170^Transportation_LCIA!R$60)+Transportation_LCIA!R$62</f>
        <v>2.8379943666853271E-4</v>
      </c>
      <c r="AO170" s="137">
        <f>Transportation_LCIA!S$61*($W170^Transportation_LCIA!S$60)+Transportation_LCIA!S$62</f>
        <v>4.2851602210115667E-6</v>
      </c>
      <c r="AP170" s="137">
        <f>Transportation_LCIA!T$61*($W170^Transportation_LCIA!T$60)+Transportation_LCIA!T$62</f>
        <v>4.2851602210115667E-6</v>
      </c>
      <c r="AQ170" s="137">
        <f>Transportation_LCIA!U$61*($W170^Transportation_LCIA!U$60)+Transportation_LCIA!U$62</f>
        <v>6.0907340462762602E-4</v>
      </c>
      <c r="AR170" s="137">
        <f>Transportation_LCIA!V$61*($W170^Transportation_LCIA!V$60)+Transportation_LCIA!V$62</f>
        <v>2.4622305360046668E-4</v>
      </c>
      <c r="AT170" s="137">
        <f>$W170*Y170+$L170*Summary_LCIA!H$32</f>
        <v>243.2022207917708</v>
      </c>
      <c r="AU170" s="137">
        <f>$W170*Z170+$L170*Summary_LCIA!Q$32</f>
        <v>2532.6364689143102</v>
      </c>
      <c r="AV170" s="137">
        <f>$W170*AA170+$L170*Summary_LCIA!R$32</f>
        <v>1.259335709750818</v>
      </c>
      <c r="AW170" s="137">
        <f>$W170*AB170+$L170*Summary_LCIA!S$32</f>
        <v>243.1033321317708</v>
      </c>
      <c r="AX170" s="137">
        <f>$W170*AC170+$L170*Summary_LCIA!T$32</f>
        <v>59.060509590554645</v>
      </c>
      <c r="AY170" s="137">
        <f>$W170*AD170+$L170*Summary_LCIA!U$32</f>
        <v>0.67698523407086841</v>
      </c>
      <c r="AZ170" s="137">
        <f>$W170*AE170+$L170*Summary_LCIA!V$32</f>
        <v>6.9728803418479101E-3</v>
      </c>
      <c r="BA170" s="137">
        <f>$W170*AF170+$L170*Summary_LCIA!W$32</f>
        <v>10.460602273267549</v>
      </c>
      <c r="BB170" s="137">
        <f>$W170*AG170+$L170*Summary_LCIA!X$32</f>
        <v>12.545881027374429</v>
      </c>
      <c r="BC170" s="137">
        <f>$W170*AH170+$L170*Summary_LCIA!Y$32</f>
        <v>0.58793614330285004</v>
      </c>
      <c r="BD170" s="137">
        <f>$W170*AI170+$L170*Summary_LCIA!Z$32</f>
        <v>0.24424969233640265</v>
      </c>
      <c r="BE170" s="137">
        <f>$W170*AJ170+$L170*Summary_LCIA!AA$32</f>
        <v>1.5104111913540392</v>
      </c>
      <c r="BF170" s="137">
        <f>$W170*AK170+$L170*Summary_LCIA!AB$32</f>
        <v>5.9322157521048503E-2</v>
      </c>
      <c r="BG170" s="137">
        <f>$W170*AL170+$L170*Summary_LCIA!AC$32</f>
        <v>3.001889639790624E-5</v>
      </c>
      <c r="BH170" s="137">
        <f>$W170*AM170+$L170*Summary_LCIA!AD$32</f>
        <v>0.10393192408026186</v>
      </c>
      <c r="BI170" s="137">
        <f>$W170*AN170+$L170*Summary_LCIA!AE$32</f>
        <v>0.3037988514716044</v>
      </c>
      <c r="BJ170" s="137">
        <f>$W170*AO170+$L170*Summary_LCIA!AF$32</f>
        <v>2.3202369578984684E-2</v>
      </c>
      <c r="BK170" s="137">
        <f>$W170*AP170+$L170*Summary_LCIA!AG$32</f>
        <v>5.4325024639846802E-3</v>
      </c>
      <c r="BL170" s="137">
        <f>$W170*AQ170+$L170*Summary_LCIA!AH$32</f>
        <v>0.80417253660148935</v>
      </c>
      <c r="BM170" s="137">
        <f>$W170*AR170+$L170*Summary_LCIA!AI$32</f>
        <v>0.26721560789462701</v>
      </c>
    </row>
    <row r="171" spans="1:65" x14ac:dyDescent="0.25">
      <c r="A171" s="149">
        <v>148</v>
      </c>
      <c r="B171" s="149">
        <v>6</v>
      </c>
      <c r="C171" s="61">
        <v>39.332213000000003</v>
      </c>
      <c r="D171" s="61">
        <v>-76.600832999999994</v>
      </c>
      <c r="E171" s="61" t="s">
        <v>265</v>
      </c>
      <c r="F171" s="149">
        <v>82</v>
      </c>
      <c r="G171" s="61" t="s">
        <v>684</v>
      </c>
      <c r="H171" s="61" t="s">
        <v>685</v>
      </c>
      <c r="I171" s="61">
        <v>39.177404000000003</v>
      </c>
      <c r="J171" s="61">
        <v>-76.668391999999997</v>
      </c>
      <c r="K171" s="61">
        <v>25.47228264</v>
      </c>
      <c r="L171" s="61">
        <v>22.373000000000001</v>
      </c>
      <c r="M171" s="61" t="s">
        <v>617</v>
      </c>
      <c r="N171" s="149">
        <v>5</v>
      </c>
      <c r="O171" s="149">
        <v>6</v>
      </c>
      <c r="P171" s="61" t="s">
        <v>565</v>
      </c>
      <c r="Q171" s="61" t="s">
        <v>564</v>
      </c>
      <c r="R171" s="61">
        <v>41.98028</v>
      </c>
      <c r="S171" s="61">
        <v>-87.908997900000003</v>
      </c>
      <c r="T171" s="61">
        <v>1168.029</v>
      </c>
      <c r="U171" s="61" t="s">
        <v>617</v>
      </c>
      <c r="V171" s="61" t="s">
        <v>569</v>
      </c>
      <c r="W171" s="61" cm="1">
        <f t="array" ref="W171">getDistance(I171,J171,R171,S171)*SA!$B$12</f>
        <v>1000.6132088037757</v>
      </c>
      <c r="X171" s="61"/>
      <c r="Y171" s="137">
        <f>Transportation_LCIA!C$61*($W171^Transportation_LCIA!C$60)+Transportation_LCIA!C$62</f>
        <v>0.23545549201117222</v>
      </c>
      <c r="Z171" s="137">
        <f>Transportation_LCIA!D$61*($W171^Transportation_LCIA!D$60)+Transportation_LCIA!D$62</f>
        <v>2.4202706213242857</v>
      </c>
      <c r="AA171" s="137">
        <f>Transportation_LCIA!E$61*($W171^Transportation_LCIA!E$60)+Transportation_LCIA!E$62</f>
        <v>1.1408288746412865E-3</v>
      </c>
      <c r="AB171" s="137">
        <f>Transportation_LCIA!F$61*($W171^Transportation_LCIA!F$60)+Transportation_LCIA!F$62</f>
        <v>0.23545549201117222</v>
      </c>
      <c r="AC171" s="137">
        <f>Transportation_LCIA!G$61*($W171^Transportation_LCIA!G$60)+Transportation_LCIA!G$62</f>
        <v>5.6567029490067894E-2</v>
      </c>
      <c r="AD171" s="137">
        <f>Transportation_LCIA!H$61*($W171^Transportation_LCIA!H$60)+Transportation_LCIA!H$62</f>
        <v>2.7602605046665079E-4</v>
      </c>
      <c r="AE171" s="137">
        <f>Transportation_LCIA!I$61*($W171^Transportation_LCIA!I$60)+Transportation_LCIA!I$62</f>
        <v>5.9007051245170717E-6</v>
      </c>
      <c r="AF171" s="137">
        <f>Transportation_LCIA!J$61*($W171^Transportation_LCIA!J$60)+Transportation_LCIA!J$62</f>
        <v>8.7331748305765275E-3</v>
      </c>
      <c r="AG171" s="137">
        <f>Transportation_LCIA!K$61*($W171^Transportation_LCIA!K$60)+Transportation_LCIA!K$62</f>
        <v>1.202884789194781E-2</v>
      </c>
      <c r="AH171" s="137">
        <f>Transportation_LCIA!L$61*($W171^Transportation_LCIA!L$60)+Transportation_LCIA!L$62</f>
        <v>2.3917339407197619E-4</v>
      </c>
      <c r="AI171" s="137">
        <f>Transportation_LCIA!M$61*($W171^Transportation_LCIA!M$60)+Transportation_LCIA!M$62</f>
        <v>2.4318307597628473E-4</v>
      </c>
      <c r="AJ171" s="137">
        <f>Transportation_LCIA!N$61*($W171^Transportation_LCIA!N$60)+Transportation_LCIA!N$62</f>
        <v>9.8726200560057169E-4</v>
      </c>
      <c r="AK171" s="137">
        <f>Transportation_LCIA!O$61*($W171^Transportation_LCIA!O$60)+Transportation_LCIA!O$62</f>
        <v>5.9773749710491345E-5</v>
      </c>
      <c r="AL171" s="137">
        <f>Transportation_LCIA!P$61*($W171^Transportation_LCIA!P$60)+Transportation_LCIA!P$62</f>
        <v>2.8907488339561379E-8</v>
      </c>
      <c r="AM171" s="137">
        <f>Transportation_LCIA!Q$61*($W171^Transportation_LCIA!Q$60)+Transportation_LCIA!Q$62</f>
        <v>9.467766898012229E-5</v>
      </c>
      <c r="AN171" s="137">
        <f>Transportation_LCIA!R$61*($W171^Transportation_LCIA!R$60)+Transportation_LCIA!R$62</f>
        <v>2.8379943666853271E-4</v>
      </c>
      <c r="AO171" s="137">
        <f>Transportation_LCIA!S$61*($W171^Transportation_LCIA!S$60)+Transportation_LCIA!S$62</f>
        <v>4.2851602210115667E-6</v>
      </c>
      <c r="AP171" s="137">
        <f>Transportation_LCIA!T$61*($W171^Transportation_LCIA!T$60)+Transportation_LCIA!T$62</f>
        <v>4.2851602210115667E-6</v>
      </c>
      <c r="AQ171" s="137">
        <f>Transportation_LCIA!U$61*($W171^Transportation_LCIA!U$60)+Transportation_LCIA!U$62</f>
        <v>6.0907340462762602E-4</v>
      </c>
      <c r="AR171" s="137">
        <f>Transportation_LCIA!V$61*($W171^Transportation_LCIA!V$60)+Transportation_LCIA!V$62</f>
        <v>2.4622305360046668E-4</v>
      </c>
      <c r="AT171" s="137">
        <f>$W171*Y171+$L171*Summary_LCIA!H$32</f>
        <v>243.2022207917708</v>
      </c>
      <c r="AU171" s="137">
        <f>$W171*Z171+$L171*Summary_LCIA!Q$32</f>
        <v>2532.6364689143102</v>
      </c>
      <c r="AV171" s="137">
        <f>$W171*AA171+$L171*Summary_LCIA!R$32</f>
        <v>1.259335709750818</v>
      </c>
      <c r="AW171" s="137">
        <f>$W171*AB171+$L171*Summary_LCIA!S$32</f>
        <v>243.1033321317708</v>
      </c>
      <c r="AX171" s="137">
        <f>$W171*AC171+$L171*Summary_LCIA!T$32</f>
        <v>59.060509590554645</v>
      </c>
      <c r="AY171" s="137">
        <f>$W171*AD171+$L171*Summary_LCIA!U$32</f>
        <v>0.67698523407086841</v>
      </c>
      <c r="AZ171" s="137">
        <f>$W171*AE171+$L171*Summary_LCIA!V$32</f>
        <v>6.9728803418479101E-3</v>
      </c>
      <c r="BA171" s="137">
        <f>$W171*AF171+$L171*Summary_LCIA!W$32</f>
        <v>10.460602273267549</v>
      </c>
      <c r="BB171" s="137">
        <f>$W171*AG171+$L171*Summary_LCIA!X$32</f>
        <v>12.545881027374429</v>
      </c>
      <c r="BC171" s="137">
        <f>$W171*AH171+$L171*Summary_LCIA!Y$32</f>
        <v>0.58793614330285004</v>
      </c>
      <c r="BD171" s="137">
        <f>$W171*AI171+$L171*Summary_LCIA!Z$32</f>
        <v>0.24424969233640265</v>
      </c>
      <c r="BE171" s="137">
        <f>$W171*AJ171+$L171*Summary_LCIA!AA$32</f>
        <v>1.5104111913540392</v>
      </c>
      <c r="BF171" s="137">
        <f>$W171*AK171+$L171*Summary_LCIA!AB$32</f>
        <v>5.9322157521048503E-2</v>
      </c>
      <c r="BG171" s="137">
        <f>$W171*AL171+$L171*Summary_LCIA!AC$32</f>
        <v>3.001889639790624E-5</v>
      </c>
      <c r="BH171" s="137">
        <f>$W171*AM171+$L171*Summary_LCIA!AD$32</f>
        <v>0.10393192408026186</v>
      </c>
      <c r="BI171" s="137">
        <f>$W171*AN171+$L171*Summary_LCIA!AE$32</f>
        <v>0.3037988514716044</v>
      </c>
      <c r="BJ171" s="137">
        <f>$W171*AO171+$L171*Summary_LCIA!AF$32</f>
        <v>2.3202369578984684E-2</v>
      </c>
      <c r="BK171" s="137">
        <f>$W171*AP171+$L171*Summary_LCIA!AG$32</f>
        <v>5.4325024639846802E-3</v>
      </c>
      <c r="BL171" s="137">
        <f>$W171*AQ171+$L171*Summary_LCIA!AH$32</f>
        <v>0.80417253660148935</v>
      </c>
      <c r="BM171" s="137">
        <f>$W171*AR171+$L171*Summary_LCIA!AI$32</f>
        <v>0.26721560789462701</v>
      </c>
    </row>
    <row r="172" spans="1:65" x14ac:dyDescent="0.25">
      <c r="A172" s="149">
        <v>149</v>
      </c>
      <c r="B172" s="149">
        <v>6</v>
      </c>
      <c r="C172" s="61">
        <v>39.332213000000003</v>
      </c>
      <c r="D172" s="61">
        <v>-76.600832999999994</v>
      </c>
      <c r="E172" s="61" t="s">
        <v>265</v>
      </c>
      <c r="F172" s="149">
        <v>82</v>
      </c>
      <c r="G172" s="61" t="s">
        <v>684</v>
      </c>
      <c r="H172" s="61" t="s">
        <v>685</v>
      </c>
      <c r="I172" s="61">
        <v>39.177404000000003</v>
      </c>
      <c r="J172" s="61">
        <v>-76.668391999999997</v>
      </c>
      <c r="K172" s="61">
        <v>25.47228264</v>
      </c>
      <c r="L172" s="61">
        <v>22.373000000000001</v>
      </c>
      <c r="M172" s="61" t="s">
        <v>617</v>
      </c>
      <c r="N172" s="149">
        <v>5</v>
      </c>
      <c r="O172" s="149">
        <v>6</v>
      </c>
      <c r="P172" s="61" t="s">
        <v>565</v>
      </c>
      <c r="Q172" s="61" t="s">
        <v>564</v>
      </c>
      <c r="R172" s="61">
        <v>41.98028</v>
      </c>
      <c r="S172" s="61">
        <v>-87.908997900000003</v>
      </c>
      <c r="T172" s="61">
        <v>1168.029</v>
      </c>
      <c r="U172" s="61" t="s">
        <v>617</v>
      </c>
      <c r="V172" s="61" t="s">
        <v>569</v>
      </c>
      <c r="W172" s="61" cm="1">
        <f t="array" ref="W172">getDistance(I172,J172,R172,S172)*SA!$B$12</f>
        <v>1000.6132088037757</v>
      </c>
      <c r="X172" s="61"/>
      <c r="Y172" s="137">
        <f>Transportation_LCIA!C$61*($W172^Transportation_LCIA!C$60)+Transportation_LCIA!C$62</f>
        <v>0.23545549201117222</v>
      </c>
      <c r="Z172" s="137">
        <f>Transportation_LCIA!D$61*($W172^Transportation_LCIA!D$60)+Transportation_LCIA!D$62</f>
        <v>2.4202706213242857</v>
      </c>
      <c r="AA172" s="137">
        <f>Transportation_LCIA!E$61*($W172^Transportation_LCIA!E$60)+Transportation_LCIA!E$62</f>
        <v>1.1408288746412865E-3</v>
      </c>
      <c r="AB172" s="137">
        <f>Transportation_LCIA!F$61*($W172^Transportation_LCIA!F$60)+Transportation_LCIA!F$62</f>
        <v>0.23545549201117222</v>
      </c>
      <c r="AC172" s="137">
        <f>Transportation_LCIA!G$61*($W172^Transportation_LCIA!G$60)+Transportation_LCIA!G$62</f>
        <v>5.6567029490067894E-2</v>
      </c>
      <c r="AD172" s="137">
        <f>Transportation_LCIA!H$61*($W172^Transportation_LCIA!H$60)+Transportation_LCIA!H$62</f>
        <v>2.7602605046665079E-4</v>
      </c>
      <c r="AE172" s="137">
        <f>Transportation_LCIA!I$61*($W172^Transportation_LCIA!I$60)+Transportation_LCIA!I$62</f>
        <v>5.9007051245170717E-6</v>
      </c>
      <c r="AF172" s="137">
        <f>Transportation_LCIA!J$61*($W172^Transportation_LCIA!J$60)+Transportation_LCIA!J$62</f>
        <v>8.7331748305765275E-3</v>
      </c>
      <c r="AG172" s="137">
        <f>Transportation_LCIA!K$61*($W172^Transportation_LCIA!K$60)+Transportation_LCIA!K$62</f>
        <v>1.202884789194781E-2</v>
      </c>
      <c r="AH172" s="137">
        <f>Transportation_LCIA!L$61*($W172^Transportation_LCIA!L$60)+Transportation_LCIA!L$62</f>
        <v>2.3917339407197619E-4</v>
      </c>
      <c r="AI172" s="137">
        <f>Transportation_LCIA!M$61*($W172^Transportation_LCIA!M$60)+Transportation_LCIA!M$62</f>
        <v>2.4318307597628473E-4</v>
      </c>
      <c r="AJ172" s="137">
        <f>Transportation_LCIA!N$61*($W172^Transportation_LCIA!N$60)+Transportation_LCIA!N$62</f>
        <v>9.8726200560057169E-4</v>
      </c>
      <c r="AK172" s="137">
        <f>Transportation_LCIA!O$61*($W172^Transportation_LCIA!O$60)+Transportation_LCIA!O$62</f>
        <v>5.9773749710491345E-5</v>
      </c>
      <c r="AL172" s="137">
        <f>Transportation_LCIA!P$61*($W172^Transportation_LCIA!P$60)+Transportation_LCIA!P$62</f>
        <v>2.8907488339561379E-8</v>
      </c>
      <c r="AM172" s="137">
        <f>Transportation_LCIA!Q$61*($W172^Transportation_LCIA!Q$60)+Transportation_LCIA!Q$62</f>
        <v>9.467766898012229E-5</v>
      </c>
      <c r="AN172" s="137">
        <f>Transportation_LCIA!R$61*($W172^Transportation_LCIA!R$60)+Transportation_LCIA!R$62</f>
        <v>2.8379943666853271E-4</v>
      </c>
      <c r="AO172" s="137">
        <f>Transportation_LCIA!S$61*($W172^Transportation_LCIA!S$60)+Transportation_LCIA!S$62</f>
        <v>4.2851602210115667E-6</v>
      </c>
      <c r="AP172" s="137">
        <f>Transportation_LCIA!T$61*($W172^Transportation_LCIA!T$60)+Transportation_LCIA!T$62</f>
        <v>4.2851602210115667E-6</v>
      </c>
      <c r="AQ172" s="137">
        <f>Transportation_LCIA!U$61*($W172^Transportation_LCIA!U$60)+Transportation_LCIA!U$62</f>
        <v>6.0907340462762602E-4</v>
      </c>
      <c r="AR172" s="137">
        <f>Transportation_LCIA!V$61*($W172^Transportation_LCIA!V$60)+Transportation_LCIA!V$62</f>
        <v>2.4622305360046668E-4</v>
      </c>
      <c r="AT172" s="137">
        <f>$W172*Y172+$L172*Summary_LCIA!H$32</f>
        <v>243.2022207917708</v>
      </c>
      <c r="AU172" s="137">
        <f>$W172*Z172+$L172*Summary_LCIA!Q$32</f>
        <v>2532.6364689143102</v>
      </c>
      <c r="AV172" s="137">
        <f>$W172*AA172+$L172*Summary_LCIA!R$32</f>
        <v>1.259335709750818</v>
      </c>
      <c r="AW172" s="137">
        <f>$W172*AB172+$L172*Summary_LCIA!S$32</f>
        <v>243.1033321317708</v>
      </c>
      <c r="AX172" s="137">
        <f>$W172*AC172+$L172*Summary_LCIA!T$32</f>
        <v>59.060509590554645</v>
      </c>
      <c r="AY172" s="137">
        <f>$W172*AD172+$L172*Summary_LCIA!U$32</f>
        <v>0.67698523407086841</v>
      </c>
      <c r="AZ172" s="137">
        <f>$W172*AE172+$L172*Summary_LCIA!V$32</f>
        <v>6.9728803418479101E-3</v>
      </c>
      <c r="BA172" s="137">
        <f>$W172*AF172+$L172*Summary_LCIA!W$32</f>
        <v>10.460602273267549</v>
      </c>
      <c r="BB172" s="137">
        <f>$W172*AG172+$L172*Summary_LCIA!X$32</f>
        <v>12.545881027374429</v>
      </c>
      <c r="BC172" s="137">
        <f>$W172*AH172+$L172*Summary_LCIA!Y$32</f>
        <v>0.58793614330285004</v>
      </c>
      <c r="BD172" s="137">
        <f>$W172*AI172+$L172*Summary_LCIA!Z$32</f>
        <v>0.24424969233640265</v>
      </c>
      <c r="BE172" s="137">
        <f>$W172*AJ172+$L172*Summary_LCIA!AA$32</f>
        <v>1.5104111913540392</v>
      </c>
      <c r="BF172" s="137">
        <f>$W172*AK172+$L172*Summary_LCIA!AB$32</f>
        <v>5.9322157521048503E-2</v>
      </c>
      <c r="BG172" s="137">
        <f>$W172*AL172+$L172*Summary_LCIA!AC$32</f>
        <v>3.001889639790624E-5</v>
      </c>
      <c r="BH172" s="137">
        <f>$W172*AM172+$L172*Summary_LCIA!AD$32</f>
        <v>0.10393192408026186</v>
      </c>
      <c r="BI172" s="137">
        <f>$W172*AN172+$L172*Summary_LCIA!AE$32</f>
        <v>0.3037988514716044</v>
      </c>
      <c r="BJ172" s="137">
        <f>$W172*AO172+$L172*Summary_LCIA!AF$32</f>
        <v>2.3202369578984684E-2</v>
      </c>
      <c r="BK172" s="137">
        <f>$W172*AP172+$L172*Summary_LCIA!AG$32</f>
        <v>5.4325024639846802E-3</v>
      </c>
      <c r="BL172" s="137">
        <f>$W172*AQ172+$L172*Summary_LCIA!AH$32</f>
        <v>0.80417253660148935</v>
      </c>
      <c r="BM172" s="137">
        <f>$W172*AR172+$L172*Summary_LCIA!AI$32</f>
        <v>0.26721560789462701</v>
      </c>
    </row>
    <row r="173" spans="1:65" x14ac:dyDescent="0.25">
      <c r="A173" s="149">
        <v>150</v>
      </c>
      <c r="B173" s="149">
        <v>6</v>
      </c>
      <c r="C173" s="61">
        <v>39.332213000000003</v>
      </c>
      <c r="D173" s="61">
        <v>-76.600832999999994</v>
      </c>
      <c r="E173" s="61" t="s">
        <v>265</v>
      </c>
      <c r="F173" s="149">
        <v>82</v>
      </c>
      <c r="G173" s="61" t="s">
        <v>684</v>
      </c>
      <c r="H173" s="61" t="s">
        <v>685</v>
      </c>
      <c r="I173" s="61">
        <v>39.177404000000003</v>
      </c>
      <c r="J173" s="61">
        <v>-76.668391999999997</v>
      </c>
      <c r="K173" s="61">
        <v>25.47228264</v>
      </c>
      <c r="L173" s="61">
        <v>22.373000000000001</v>
      </c>
      <c r="M173" s="61" t="s">
        <v>617</v>
      </c>
      <c r="N173" s="149">
        <v>5</v>
      </c>
      <c r="O173" s="149">
        <v>6</v>
      </c>
      <c r="P173" s="61" t="s">
        <v>565</v>
      </c>
      <c r="Q173" s="61" t="s">
        <v>564</v>
      </c>
      <c r="R173" s="61">
        <v>41.98028</v>
      </c>
      <c r="S173" s="61">
        <v>-87.908997900000003</v>
      </c>
      <c r="T173" s="61">
        <v>1168.029</v>
      </c>
      <c r="U173" s="61" t="s">
        <v>617</v>
      </c>
      <c r="V173" s="61" t="s">
        <v>569</v>
      </c>
      <c r="W173" s="61" cm="1">
        <f t="array" ref="W173">getDistance(I173,J173,R173,S173)*SA!$B$12</f>
        <v>1000.6132088037757</v>
      </c>
      <c r="X173" s="61"/>
      <c r="Y173" s="137">
        <f>Transportation_LCIA!C$61*($W173^Transportation_LCIA!C$60)+Transportation_LCIA!C$62</f>
        <v>0.23545549201117222</v>
      </c>
      <c r="Z173" s="137">
        <f>Transportation_LCIA!D$61*($W173^Transportation_LCIA!D$60)+Transportation_LCIA!D$62</f>
        <v>2.4202706213242857</v>
      </c>
      <c r="AA173" s="137">
        <f>Transportation_LCIA!E$61*($W173^Transportation_LCIA!E$60)+Transportation_LCIA!E$62</f>
        <v>1.1408288746412865E-3</v>
      </c>
      <c r="AB173" s="137">
        <f>Transportation_LCIA!F$61*($W173^Transportation_LCIA!F$60)+Transportation_LCIA!F$62</f>
        <v>0.23545549201117222</v>
      </c>
      <c r="AC173" s="137">
        <f>Transportation_LCIA!G$61*($W173^Transportation_LCIA!G$60)+Transportation_LCIA!G$62</f>
        <v>5.6567029490067894E-2</v>
      </c>
      <c r="AD173" s="137">
        <f>Transportation_LCIA!H$61*($W173^Transportation_LCIA!H$60)+Transportation_LCIA!H$62</f>
        <v>2.7602605046665079E-4</v>
      </c>
      <c r="AE173" s="137">
        <f>Transportation_LCIA!I$61*($W173^Transportation_LCIA!I$60)+Transportation_LCIA!I$62</f>
        <v>5.9007051245170717E-6</v>
      </c>
      <c r="AF173" s="137">
        <f>Transportation_LCIA!J$61*($W173^Transportation_LCIA!J$60)+Transportation_LCIA!J$62</f>
        <v>8.7331748305765275E-3</v>
      </c>
      <c r="AG173" s="137">
        <f>Transportation_LCIA!K$61*($W173^Transportation_LCIA!K$60)+Transportation_LCIA!K$62</f>
        <v>1.202884789194781E-2</v>
      </c>
      <c r="AH173" s="137">
        <f>Transportation_LCIA!L$61*($W173^Transportation_LCIA!L$60)+Transportation_LCIA!L$62</f>
        <v>2.3917339407197619E-4</v>
      </c>
      <c r="AI173" s="137">
        <f>Transportation_LCIA!M$61*($W173^Transportation_LCIA!M$60)+Transportation_LCIA!M$62</f>
        <v>2.4318307597628473E-4</v>
      </c>
      <c r="AJ173" s="137">
        <f>Transportation_LCIA!N$61*($W173^Transportation_LCIA!N$60)+Transportation_LCIA!N$62</f>
        <v>9.8726200560057169E-4</v>
      </c>
      <c r="AK173" s="137">
        <f>Transportation_LCIA!O$61*($W173^Transportation_LCIA!O$60)+Transportation_LCIA!O$62</f>
        <v>5.9773749710491345E-5</v>
      </c>
      <c r="AL173" s="137">
        <f>Transportation_LCIA!P$61*($W173^Transportation_LCIA!P$60)+Transportation_LCIA!P$62</f>
        <v>2.8907488339561379E-8</v>
      </c>
      <c r="AM173" s="137">
        <f>Transportation_LCIA!Q$61*($W173^Transportation_LCIA!Q$60)+Transportation_LCIA!Q$62</f>
        <v>9.467766898012229E-5</v>
      </c>
      <c r="AN173" s="137">
        <f>Transportation_LCIA!R$61*($W173^Transportation_LCIA!R$60)+Transportation_LCIA!R$62</f>
        <v>2.8379943666853271E-4</v>
      </c>
      <c r="AO173" s="137">
        <f>Transportation_LCIA!S$61*($W173^Transportation_LCIA!S$60)+Transportation_LCIA!S$62</f>
        <v>4.2851602210115667E-6</v>
      </c>
      <c r="AP173" s="137">
        <f>Transportation_LCIA!T$61*($W173^Transportation_LCIA!T$60)+Transportation_LCIA!T$62</f>
        <v>4.2851602210115667E-6</v>
      </c>
      <c r="AQ173" s="137">
        <f>Transportation_LCIA!U$61*($W173^Transportation_LCIA!U$60)+Transportation_LCIA!U$62</f>
        <v>6.0907340462762602E-4</v>
      </c>
      <c r="AR173" s="137">
        <f>Transportation_LCIA!V$61*($W173^Transportation_LCIA!V$60)+Transportation_LCIA!V$62</f>
        <v>2.4622305360046668E-4</v>
      </c>
      <c r="AT173" s="137">
        <f>$W173*Y173+$L173*Summary_LCIA!H$32</f>
        <v>243.2022207917708</v>
      </c>
      <c r="AU173" s="137">
        <f>$W173*Z173+$L173*Summary_LCIA!Q$32</f>
        <v>2532.6364689143102</v>
      </c>
      <c r="AV173" s="137">
        <f>$W173*AA173+$L173*Summary_LCIA!R$32</f>
        <v>1.259335709750818</v>
      </c>
      <c r="AW173" s="137">
        <f>$W173*AB173+$L173*Summary_LCIA!S$32</f>
        <v>243.1033321317708</v>
      </c>
      <c r="AX173" s="137">
        <f>$W173*AC173+$L173*Summary_LCIA!T$32</f>
        <v>59.060509590554645</v>
      </c>
      <c r="AY173" s="137">
        <f>$W173*AD173+$L173*Summary_LCIA!U$32</f>
        <v>0.67698523407086841</v>
      </c>
      <c r="AZ173" s="137">
        <f>$W173*AE173+$L173*Summary_LCIA!V$32</f>
        <v>6.9728803418479101E-3</v>
      </c>
      <c r="BA173" s="137">
        <f>$W173*AF173+$L173*Summary_LCIA!W$32</f>
        <v>10.460602273267549</v>
      </c>
      <c r="BB173" s="137">
        <f>$W173*AG173+$L173*Summary_LCIA!X$32</f>
        <v>12.545881027374429</v>
      </c>
      <c r="BC173" s="137">
        <f>$W173*AH173+$L173*Summary_LCIA!Y$32</f>
        <v>0.58793614330285004</v>
      </c>
      <c r="BD173" s="137">
        <f>$W173*AI173+$L173*Summary_LCIA!Z$32</f>
        <v>0.24424969233640265</v>
      </c>
      <c r="BE173" s="137">
        <f>$W173*AJ173+$L173*Summary_LCIA!AA$32</f>
        <v>1.5104111913540392</v>
      </c>
      <c r="BF173" s="137">
        <f>$W173*AK173+$L173*Summary_LCIA!AB$32</f>
        <v>5.9322157521048503E-2</v>
      </c>
      <c r="BG173" s="137">
        <f>$W173*AL173+$L173*Summary_LCIA!AC$32</f>
        <v>3.001889639790624E-5</v>
      </c>
      <c r="BH173" s="137">
        <f>$W173*AM173+$L173*Summary_LCIA!AD$32</f>
        <v>0.10393192408026186</v>
      </c>
      <c r="BI173" s="137">
        <f>$W173*AN173+$L173*Summary_LCIA!AE$32</f>
        <v>0.3037988514716044</v>
      </c>
      <c r="BJ173" s="137">
        <f>$W173*AO173+$L173*Summary_LCIA!AF$32</f>
        <v>2.3202369578984684E-2</v>
      </c>
      <c r="BK173" s="137">
        <f>$W173*AP173+$L173*Summary_LCIA!AG$32</f>
        <v>5.4325024639846802E-3</v>
      </c>
      <c r="BL173" s="137">
        <f>$W173*AQ173+$L173*Summary_LCIA!AH$32</f>
        <v>0.80417253660148935</v>
      </c>
      <c r="BM173" s="137">
        <f>$W173*AR173+$L173*Summary_LCIA!AI$32</f>
        <v>0.26721560789462701</v>
      </c>
    </row>
    <row r="174" spans="1:65" x14ac:dyDescent="0.25">
      <c r="A174" s="149">
        <v>151</v>
      </c>
      <c r="B174" s="149">
        <v>6</v>
      </c>
      <c r="C174" s="61">
        <v>39.332213000000003</v>
      </c>
      <c r="D174" s="61">
        <v>-76.600832999999994</v>
      </c>
      <c r="E174" s="61" t="s">
        <v>265</v>
      </c>
      <c r="F174" s="149">
        <v>82</v>
      </c>
      <c r="G174" s="61" t="s">
        <v>684</v>
      </c>
      <c r="H174" s="61" t="s">
        <v>685</v>
      </c>
      <c r="I174" s="61">
        <v>39.177404000000003</v>
      </c>
      <c r="J174" s="61">
        <v>-76.668391999999997</v>
      </c>
      <c r="K174" s="61">
        <v>25.47228264</v>
      </c>
      <c r="L174" s="61">
        <v>22.373000000000001</v>
      </c>
      <c r="M174" s="61" t="s">
        <v>617</v>
      </c>
      <c r="N174" s="149">
        <v>5</v>
      </c>
      <c r="O174" s="149">
        <v>6</v>
      </c>
      <c r="P174" s="61" t="s">
        <v>565</v>
      </c>
      <c r="Q174" s="61" t="s">
        <v>564</v>
      </c>
      <c r="R174" s="61">
        <v>41.98028</v>
      </c>
      <c r="S174" s="61">
        <v>-87.908997900000003</v>
      </c>
      <c r="T174" s="61">
        <v>1168.029</v>
      </c>
      <c r="U174" s="61" t="s">
        <v>617</v>
      </c>
      <c r="V174" s="61" t="s">
        <v>569</v>
      </c>
      <c r="W174" s="61" cm="1">
        <f t="array" ref="W174">getDistance(I174,J174,R174,S174)*SA!$B$12</f>
        <v>1000.6132088037757</v>
      </c>
      <c r="X174" s="61"/>
      <c r="Y174" s="137">
        <f>Transportation_LCIA!C$61*($W174^Transportation_LCIA!C$60)+Transportation_LCIA!C$62</f>
        <v>0.23545549201117222</v>
      </c>
      <c r="Z174" s="137">
        <f>Transportation_LCIA!D$61*($W174^Transportation_LCIA!D$60)+Transportation_LCIA!D$62</f>
        <v>2.4202706213242857</v>
      </c>
      <c r="AA174" s="137">
        <f>Transportation_LCIA!E$61*($W174^Transportation_LCIA!E$60)+Transportation_LCIA!E$62</f>
        <v>1.1408288746412865E-3</v>
      </c>
      <c r="AB174" s="137">
        <f>Transportation_LCIA!F$61*($W174^Transportation_LCIA!F$60)+Transportation_LCIA!F$62</f>
        <v>0.23545549201117222</v>
      </c>
      <c r="AC174" s="137">
        <f>Transportation_LCIA!G$61*($W174^Transportation_LCIA!G$60)+Transportation_LCIA!G$62</f>
        <v>5.6567029490067894E-2</v>
      </c>
      <c r="AD174" s="137">
        <f>Transportation_LCIA!H$61*($W174^Transportation_LCIA!H$60)+Transportation_LCIA!H$62</f>
        <v>2.7602605046665079E-4</v>
      </c>
      <c r="AE174" s="137">
        <f>Transportation_LCIA!I$61*($W174^Transportation_LCIA!I$60)+Transportation_LCIA!I$62</f>
        <v>5.9007051245170717E-6</v>
      </c>
      <c r="AF174" s="137">
        <f>Transportation_LCIA!J$61*($W174^Transportation_LCIA!J$60)+Transportation_LCIA!J$62</f>
        <v>8.7331748305765275E-3</v>
      </c>
      <c r="AG174" s="137">
        <f>Transportation_LCIA!K$61*($W174^Transportation_LCIA!K$60)+Transportation_LCIA!K$62</f>
        <v>1.202884789194781E-2</v>
      </c>
      <c r="AH174" s="137">
        <f>Transportation_LCIA!L$61*($W174^Transportation_LCIA!L$60)+Transportation_LCIA!L$62</f>
        <v>2.3917339407197619E-4</v>
      </c>
      <c r="AI174" s="137">
        <f>Transportation_LCIA!M$61*($W174^Transportation_LCIA!M$60)+Transportation_LCIA!M$62</f>
        <v>2.4318307597628473E-4</v>
      </c>
      <c r="AJ174" s="137">
        <f>Transportation_LCIA!N$61*($W174^Transportation_LCIA!N$60)+Transportation_LCIA!N$62</f>
        <v>9.8726200560057169E-4</v>
      </c>
      <c r="AK174" s="137">
        <f>Transportation_LCIA!O$61*($W174^Transportation_LCIA!O$60)+Transportation_LCIA!O$62</f>
        <v>5.9773749710491345E-5</v>
      </c>
      <c r="AL174" s="137">
        <f>Transportation_LCIA!P$61*($W174^Transportation_LCIA!P$60)+Transportation_LCIA!P$62</f>
        <v>2.8907488339561379E-8</v>
      </c>
      <c r="AM174" s="137">
        <f>Transportation_LCIA!Q$61*($W174^Transportation_LCIA!Q$60)+Transportation_LCIA!Q$62</f>
        <v>9.467766898012229E-5</v>
      </c>
      <c r="AN174" s="137">
        <f>Transportation_LCIA!R$61*($W174^Transportation_LCIA!R$60)+Transportation_LCIA!R$62</f>
        <v>2.8379943666853271E-4</v>
      </c>
      <c r="AO174" s="137">
        <f>Transportation_LCIA!S$61*($W174^Transportation_LCIA!S$60)+Transportation_LCIA!S$62</f>
        <v>4.2851602210115667E-6</v>
      </c>
      <c r="AP174" s="137">
        <f>Transportation_LCIA!T$61*($W174^Transportation_LCIA!T$60)+Transportation_LCIA!T$62</f>
        <v>4.2851602210115667E-6</v>
      </c>
      <c r="AQ174" s="137">
        <f>Transportation_LCIA!U$61*($W174^Transportation_LCIA!U$60)+Transportation_LCIA!U$62</f>
        <v>6.0907340462762602E-4</v>
      </c>
      <c r="AR174" s="137">
        <f>Transportation_LCIA!V$61*($W174^Transportation_LCIA!V$60)+Transportation_LCIA!V$62</f>
        <v>2.4622305360046668E-4</v>
      </c>
      <c r="AT174" s="137">
        <f>$W174*Y174+$L174*Summary_LCIA!H$32</f>
        <v>243.2022207917708</v>
      </c>
      <c r="AU174" s="137">
        <f>$W174*Z174+$L174*Summary_LCIA!Q$32</f>
        <v>2532.6364689143102</v>
      </c>
      <c r="AV174" s="137">
        <f>$W174*AA174+$L174*Summary_LCIA!R$32</f>
        <v>1.259335709750818</v>
      </c>
      <c r="AW174" s="137">
        <f>$W174*AB174+$L174*Summary_LCIA!S$32</f>
        <v>243.1033321317708</v>
      </c>
      <c r="AX174" s="137">
        <f>$W174*AC174+$L174*Summary_LCIA!T$32</f>
        <v>59.060509590554645</v>
      </c>
      <c r="AY174" s="137">
        <f>$W174*AD174+$L174*Summary_LCIA!U$32</f>
        <v>0.67698523407086841</v>
      </c>
      <c r="AZ174" s="137">
        <f>$W174*AE174+$L174*Summary_LCIA!V$32</f>
        <v>6.9728803418479101E-3</v>
      </c>
      <c r="BA174" s="137">
        <f>$W174*AF174+$L174*Summary_LCIA!W$32</f>
        <v>10.460602273267549</v>
      </c>
      <c r="BB174" s="137">
        <f>$W174*AG174+$L174*Summary_LCIA!X$32</f>
        <v>12.545881027374429</v>
      </c>
      <c r="BC174" s="137">
        <f>$W174*AH174+$L174*Summary_LCIA!Y$32</f>
        <v>0.58793614330285004</v>
      </c>
      <c r="BD174" s="137">
        <f>$W174*AI174+$L174*Summary_LCIA!Z$32</f>
        <v>0.24424969233640265</v>
      </c>
      <c r="BE174" s="137">
        <f>$W174*AJ174+$L174*Summary_LCIA!AA$32</f>
        <v>1.5104111913540392</v>
      </c>
      <c r="BF174" s="137">
        <f>$W174*AK174+$L174*Summary_LCIA!AB$32</f>
        <v>5.9322157521048503E-2</v>
      </c>
      <c r="BG174" s="137">
        <f>$W174*AL174+$L174*Summary_LCIA!AC$32</f>
        <v>3.001889639790624E-5</v>
      </c>
      <c r="BH174" s="137">
        <f>$W174*AM174+$L174*Summary_LCIA!AD$32</f>
        <v>0.10393192408026186</v>
      </c>
      <c r="BI174" s="137">
        <f>$W174*AN174+$L174*Summary_LCIA!AE$32</f>
        <v>0.3037988514716044</v>
      </c>
      <c r="BJ174" s="137">
        <f>$W174*AO174+$L174*Summary_LCIA!AF$32</f>
        <v>2.3202369578984684E-2</v>
      </c>
      <c r="BK174" s="137">
        <f>$W174*AP174+$L174*Summary_LCIA!AG$32</f>
        <v>5.4325024639846802E-3</v>
      </c>
      <c r="BL174" s="137">
        <f>$W174*AQ174+$L174*Summary_LCIA!AH$32</f>
        <v>0.80417253660148935</v>
      </c>
      <c r="BM174" s="137">
        <f>$W174*AR174+$L174*Summary_LCIA!AI$32</f>
        <v>0.26721560789462701</v>
      </c>
    </row>
    <row r="175" spans="1:65" x14ac:dyDescent="0.25">
      <c r="A175" s="149">
        <v>35</v>
      </c>
      <c r="B175" s="149">
        <v>6</v>
      </c>
      <c r="C175" s="61">
        <v>38.805311000000003</v>
      </c>
      <c r="D175" s="61">
        <v>-77.055997000000005</v>
      </c>
      <c r="E175" s="61" t="s">
        <v>265</v>
      </c>
      <c r="F175" s="149">
        <v>86</v>
      </c>
      <c r="G175" s="61" t="s">
        <v>630</v>
      </c>
      <c r="H175" s="61" t="s">
        <v>644</v>
      </c>
      <c r="I175" s="61">
        <v>38.851241999999999</v>
      </c>
      <c r="J175" s="61">
        <v>-77.040232000000003</v>
      </c>
      <c r="K175" s="61">
        <v>7.4606559270000004</v>
      </c>
      <c r="L175" s="61">
        <v>8.0039999999999996</v>
      </c>
      <c r="M175" s="61" t="s">
        <v>617</v>
      </c>
      <c r="N175" s="149">
        <v>5</v>
      </c>
      <c r="O175" s="149">
        <v>6</v>
      </c>
      <c r="P175" s="61" t="s">
        <v>565</v>
      </c>
      <c r="Q175" s="61" t="s">
        <v>564</v>
      </c>
      <c r="R175" s="61">
        <v>41.98028</v>
      </c>
      <c r="S175" s="61">
        <v>-87.908997900000003</v>
      </c>
      <c r="T175" s="61">
        <v>1169.5609999999999</v>
      </c>
      <c r="U175" s="61" t="s">
        <v>617</v>
      </c>
      <c r="V175" s="61" t="s">
        <v>569</v>
      </c>
      <c r="W175" s="61" cm="1">
        <f t="array" ref="W175">getDistance(I175,J175,R175,S175)*SA!$B$12</f>
        <v>985.09467660045368</v>
      </c>
      <c r="X175" s="61"/>
      <c r="Y175" s="137">
        <f>Transportation_LCIA!C$61*($W175^Transportation_LCIA!C$60)+Transportation_LCIA!C$62</f>
        <v>0.2370864199991472</v>
      </c>
      <c r="Z175" s="137">
        <f>Transportation_LCIA!D$61*($W175^Transportation_LCIA!D$60)+Transportation_LCIA!D$62</f>
        <v>2.4393058219490786</v>
      </c>
      <c r="AA175" s="137">
        <f>Transportation_LCIA!E$61*($W175^Transportation_LCIA!E$60)+Transportation_LCIA!E$62</f>
        <v>1.1533446585003482E-3</v>
      </c>
      <c r="AB175" s="137">
        <f>Transportation_LCIA!F$61*($W175^Transportation_LCIA!F$60)+Transportation_LCIA!F$62</f>
        <v>0.2370864199991472</v>
      </c>
      <c r="AC175" s="137">
        <f>Transportation_LCIA!G$61*($W175^Transportation_LCIA!G$60)+Transportation_LCIA!G$62</f>
        <v>5.7007420199112084E-2</v>
      </c>
      <c r="AD175" s="137">
        <f>Transportation_LCIA!H$61*($W175^Transportation_LCIA!H$60)+Transportation_LCIA!H$62</f>
        <v>2.7877818988371404E-4</v>
      </c>
      <c r="AE175" s="137">
        <f>Transportation_LCIA!I$61*($W175^Transportation_LCIA!I$60)+Transportation_LCIA!I$62</f>
        <v>5.969993290824604E-6</v>
      </c>
      <c r="AF175" s="137">
        <f>Transportation_LCIA!J$61*($W175^Transportation_LCIA!J$60)+Transportation_LCIA!J$62</f>
        <v>8.8363701400098228E-3</v>
      </c>
      <c r="AG175" s="137">
        <f>Transportation_LCIA!K$61*($W175^Transportation_LCIA!K$60)+Transportation_LCIA!K$62</f>
        <v>1.2131655681962131E-2</v>
      </c>
      <c r="AH175" s="137">
        <f>Transportation_LCIA!L$61*($W175^Transportation_LCIA!L$60)+Transportation_LCIA!L$62</f>
        <v>2.4170361336866051E-4</v>
      </c>
      <c r="AI175" s="137">
        <f>Transportation_LCIA!M$61*($W175^Transportation_LCIA!M$60)+Transportation_LCIA!M$62</f>
        <v>2.4470196204605344E-4</v>
      </c>
      <c r="AJ175" s="137">
        <f>Transportation_LCIA!N$61*($W175^Transportation_LCIA!N$60)+Transportation_LCIA!N$62</f>
        <v>9.9651507889072025E-4</v>
      </c>
      <c r="AK175" s="137">
        <f>Transportation_LCIA!O$61*($W175^Transportation_LCIA!O$60)+Transportation_LCIA!O$62</f>
        <v>6.0241723006640731E-5</v>
      </c>
      <c r="AL175" s="137">
        <f>Transportation_LCIA!P$61*($W175^Transportation_LCIA!P$60)+Transportation_LCIA!P$62</f>
        <v>2.9132482944789785E-8</v>
      </c>
      <c r="AM175" s="137">
        <f>Transportation_LCIA!Q$61*($W175^Transportation_LCIA!Q$60)+Transportation_LCIA!Q$62</f>
        <v>9.5667002058853797E-5</v>
      </c>
      <c r="AN175" s="137">
        <f>Transportation_LCIA!R$61*($W175^Transportation_LCIA!R$60)+Transportation_LCIA!R$62</f>
        <v>2.8712201740427817E-4</v>
      </c>
      <c r="AO175" s="137">
        <f>Transportation_LCIA!S$61*($W175^Transportation_LCIA!S$60)+Transportation_LCIA!S$62</f>
        <v>4.332314477521164E-6</v>
      </c>
      <c r="AP175" s="137">
        <f>Transportation_LCIA!T$61*($W175^Transportation_LCIA!T$60)+Transportation_LCIA!T$62</f>
        <v>4.332314477521164E-6</v>
      </c>
      <c r="AQ175" s="137">
        <f>Transportation_LCIA!U$61*($W175^Transportation_LCIA!U$60)+Transportation_LCIA!U$62</f>
        <v>6.1636002099593767E-4</v>
      </c>
      <c r="AR175" s="137">
        <f>Transportation_LCIA!V$61*($W175^Transportation_LCIA!V$60)+Transportation_LCIA!V$62</f>
        <v>2.4879684586680414E-4</v>
      </c>
      <c r="AT175" s="137">
        <f>$W175*Y175+$L175*Summary_LCIA!H$32</f>
        <v>236.27232943541924</v>
      </c>
      <c r="AU175" s="137">
        <f>$W175*Z175+$L175*Summary_LCIA!Q$32</f>
        <v>2442.6154074682636</v>
      </c>
      <c r="AV175" s="137">
        <f>$W175*AA175+$L175*Summary_LCIA!R$32</f>
        <v>1.1782995457742611</v>
      </c>
      <c r="AW175" s="137">
        <f>$W175*AB175+$L175*Summary_LCIA!S$32</f>
        <v>236.23695175541923</v>
      </c>
      <c r="AX175" s="137">
        <f>$W175*AC175+$L175*Summary_LCIA!T$32</f>
        <v>57.037345764870487</v>
      </c>
      <c r="AY175" s="137">
        <f>$W175*AD175+$L175*Summary_LCIA!U$32</f>
        <v>0.41800656680675718</v>
      </c>
      <c r="AZ175" s="137">
        <f>$W175*AE175+$L175*Summary_LCIA!V$32</f>
        <v>6.2632876541317412E-3</v>
      </c>
      <c r="BA175" s="137">
        <f>$W175*AF175+$L175*Summary_LCIA!W$32</f>
        <v>9.3207370693948821</v>
      </c>
      <c r="BB175" s="137">
        <f>$W175*AG175+$L175*Summary_LCIA!X$32</f>
        <v>12.133160550650542</v>
      </c>
      <c r="BC175" s="137">
        <f>$W175*AH175+$L175*Summary_LCIA!Y$32</f>
        <v>0.36281927084456167</v>
      </c>
      <c r="BD175" s="137">
        <f>$W175*AI175+$L175*Summary_LCIA!Z$32</f>
        <v>0.2413828362012535</v>
      </c>
      <c r="BE175" s="137">
        <f>$W175*AJ175+$L175*Summary_LCIA!AA$32</f>
        <v>1.1686031233673295</v>
      </c>
      <c r="BF175" s="137">
        <f>$W175*AK175+$L175*Summary_LCIA!AB$32</f>
        <v>5.916912935108086E-2</v>
      </c>
      <c r="BG175" s="137">
        <f>$W175*AL175+$L175*Summary_LCIA!AC$32</f>
        <v>2.9089521401065924E-5</v>
      </c>
      <c r="BH175" s="137">
        <f>$W175*AM175+$L175*Summary_LCIA!AD$32</f>
        <v>9.753101861450153E-2</v>
      </c>
      <c r="BI175" s="137">
        <f>$W175*AN175+$L175*Summary_LCIA!AE$32</f>
        <v>0.28993495539973724</v>
      </c>
      <c r="BJ175" s="137">
        <f>$W175*AO175+$L175*Summary_LCIA!AF$32</f>
        <v>1.1034481609165175E-2</v>
      </c>
      <c r="BK175" s="137">
        <f>$W175*AP175+$L175*Summary_LCIA!AG$32</f>
        <v>4.6772645891651745E-3</v>
      </c>
      <c r="BL175" s="137">
        <f>$W175*AQ175+$L175*Summary_LCIA!AH$32</f>
        <v>0.67683658995244211</v>
      </c>
      <c r="BM175" s="137">
        <f>$W175*AR175+$L175*Summary_LCIA!AI$32</f>
        <v>0.25254457461837237</v>
      </c>
    </row>
    <row r="176" spans="1:65" x14ac:dyDescent="0.25">
      <c r="A176" s="149">
        <v>97</v>
      </c>
      <c r="B176" s="149">
        <v>6</v>
      </c>
      <c r="C176" s="61">
        <v>34.814366999999997</v>
      </c>
      <c r="D176" s="61">
        <v>-82.327129999999997</v>
      </c>
      <c r="E176" s="61" t="s">
        <v>265</v>
      </c>
      <c r="F176" s="149">
        <v>34</v>
      </c>
      <c r="G176" s="61" t="s">
        <v>565</v>
      </c>
      <c r="H176" s="61" t="s">
        <v>633</v>
      </c>
      <c r="I176" s="61">
        <v>35.214402999999997</v>
      </c>
      <c r="J176" s="61">
        <v>-80.947315000000003</v>
      </c>
      <c r="K176" s="61">
        <v>145.6865875</v>
      </c>
      <c r="L176" s="61">
        <v>156.35</v>
      </c>
      <c r="M176" s="61" t="s">
        <v>617</v>
      </c>
      <c r="N176" s="149">
        <v>5</v>
      </c>
      <c r="O176" s="149">
        <v>6</v>
      </c>
      <c r="P176" s="61" t="s">
        <v>565</v>
      </c>
      <c r="Q176" s="61" t="s">
        <v>564</v>
      </c>
      <c r="R176" s="61">
        <v>41.98028</v>
      </c>
      <c r="S176" s="61">
        <v>-87.908997900000003</v>
      </c>
      <c r="T176" s="61">
        <v>1170.24</v>
      </c>
      <c r="U176" s="61" t="s">
        <v>617</v>
      </c>
      <c r="V176" s="61" t="s">
        <v>569</v>
      </c>
      <c r="W176" s="61" cm="1">
        <f t="array" ref="W176">getDistance(I176,J176,R176,S176)*SA!$B$12</f>
        <v>965.81934331629839</v>
      </c>
      <c r="X176" s="61"/>
      <c r="Y176" s="137">
        <f>Transportation_LCIA!C$61*($W176^Transportation_LCIA!C$60)+Transportation_LCIA!C$62</f>
        <v>0.23917916746170043</v>
      </c>
      <c r="Z176" s="137">
        <f>Transportation_LCIA!D$61*($W176^Transportation_LCIA!D$60)+Transportation_LCIA!D$62</f>
        <v>2.4637498822292629</v>
      </c>
      <c r="AA176" s="137">
        <f>Transportation_LCIA!E$61*($W176^Transportation_LCIA!E$60)+Transportation_LCIA!E$62</f>
        <v>1.1694202797749105E-3</v>
      </c>
      <c r="AB176" s="137">
        <f>Transportation_LCIA!F$61*($W176^Transportation_LCIA!F$60)+Transportation_LCIA!F$62</f>
        <v>0.23917916746170043</v>
      </c>
      <c r="AC176" s="137">
        <f>Transportation_LCIA!G$61*($W176^Transportation_LCIA!G$60)+Transportation_LCIA!G$62</f>
        <v>5.7572922745648923E-2</v>
      </c>
      <c r="AD176" s="137">
        <f>Transportation_LCIA!H$61*($W176^Transportation_LCIA!H$60)+Transportation_LCIA!H$62</f>
        <v>2.8231462329926001E-4</v>
      </c>
      <c r="AE176" s="137">
        <f>Transportation_LCIA!I$61*($W176^Transportation_LCIA!I$60)+Transportation_LCIA!I$62</f>
        <v>6.0590881500882351E-6</v>
      </c>
      <c r="AF176" s="137">
        <f>Transportation_LCIA!J$61*($W176^Transportation_LCIA!J$60)+Transportation_LCIA!J$62</f>
        <v>8.9691244315593405E-3</v>
      </c>
      <c r="AG176" s="137">
        <f>Transportation_LCIA!K$61*($W176^Transportation_LCIA!K$60)+Transportation_LCIA!K$62</f>
        <v>1.2263721703450336E-2</v>
      </c>
      <c r="AH176" s="137">
        <f>Transportation_LCIA!L$61*($W176^Transportation_LCIA!L$60)+Transportation_LCIA!L$62</f>
        <v>2.449555211742904E-4</v>
      </c>
      <c r="AI176" s="137">
        <f>Transportation_LCIA!M$61*($W176^Transportation_LCIA!M$60)+Transportation_LCIA!M$62</f>
        <v>2.4665373974360274E-4</v>
      </c>
      <c r="AJ176" s="137">
        <f>Transportation_LCIA!N$61*($W176^Transportation_LCIA!N$60)+Transportation_LCIA!N$62</f>
        <v>1.0084044075747351E-3</v>
      </c>
      <c r="AK176" s="137">
        <f>Transportation_LCIA!O$61*($W176^Transportation_LCIA!O$60)+Transportation_LCIA!O$62</f>
        <v>6.0842656849062702E-5</v>
      </c>
      <c r="AL176" s="137">
        <f>Transportation_LCIA!P$61*($W176^Transportation_LCIA!P$60)+Transportation_LCIA!P$62</f>
        <v>2.9421386486163209E-8</v>
      </c>
      <c r="AM176" s="137">
        <f>Transportation_LCIA!Q$61*($W176^Transportation_LCIA!Q$60)+Transportation_LCIA!Q$62</f>
        <v>9.693865430446136E-5</v>
      </c>
      <c r="AN176" s="137">
        <f>Transportation_LCIA!R$61*($W176^Transportation_LCIA!R$60)+Transportation_LCIA!R$62</f>
        <v>2.9139446096429532E-4</v>
      </c>
      <c r="AO176" s="137">
        <f>Transportation_LCIA!S$61*($W176^Transportation_LCIA!S$60)+Transportation_LCIA!S$62</f>
        <v>4.3929473757171984E-6</v>
      </c>
      <c r="AP176" s="137">
        <f>Transportation_LCIA!T$61*($W176^Transportation_LCIA!T$60)+Transportation_LCIA!T$62</f>
        <v>4.3929473757171984E-6</v>
      </c>
      <c r="AQ176" s="137">
        <f>Transportation_LCIA!U$61*($W176^Transportation_LCIA!U$60)+Transportation_LCIA!U$62</f>
        <v>6.2573096450825355E-4</v>
      </c>
      <c r="AR176" s="137">
        <f>Transportation_LCIA!V$61*($W176^Transportation_LCIA!V$60)+Transportation_LCIA!V$62</f>
        <v>2.5210555325466699E-4</v>
      </c>
      <c r="AT176" s="137">
        <f>$W176*Y176+$L176*Summary_LCIA!H$32</f>
        <v>284.13159645279848</v>
      </c>
      <c r="AU176" s="137">
        <f>$W176*Z176+$L176*Summary_LCIA!Q$32</f>
        <v>3154.4157785498237</v>
      </c>
      <c r="AV176" s="137">
        <f>$W176*AA176+$L176*Summary_LCIA!R$32</f>
        <v>1.9527252866729659</v>
      </c>
      <c r="AW176" s="137">
        <f>$W176*AB176+$L176*Summary_LCIA!S$32</f>
        <v>283.44052945279844</v>
      </c>
      <c r="AX176" s="137">
        <f>$W176*AC176+$L176*Summary_LCIA!T$32</f>
        <v>72.787907439002623</v>
      </c>
      <c r="AY176" s="137">
        <f>$W176*AD176+$L176*Summary_LCIA!U$32</f>
        <v>3.0735188240834792</v>
      </c>
      <c r="AZ176" s="137">
        <f>$W176*AE176+$L176*Summary_LCIA!V$32</f>
        <v>1.3319416888213784E-2</v>
      </c>
      <c r="BA176" s="137">
        <f>$W176*AF176+$L176*Summary_LCIA!W$32</f>
        <v>20.696969718610809</v>
      </c>
      <c r="BB176" s="137">
        <f>$W176*AG176+$L176*Summary_LCIA!X$32</f>
        <v>15.40619264224024</v>
      </c>
      <c r="BC176" s="137">
        <f>$W176*AH176+$L176*Summary_LCIA!Y$32</f>
        <v>2.6728284806022549</v>
      </c>
      <c r="BD176" s="137">
        <f>$W176*AI176+$L176*Summary_LCIA!Z$32</f>
        <v>0.24463471009567558</v>
      </c>
      <c r="BE176" s="137">
        <f>$W176*AJ176+$L176*Summary_LCIA!AA$32</f>
        <v>4.6256470827210912</v>
      </c>
      <c r="BF176" s="137">
        <f>$W176*AK176+$L176*Summary_LCIA!AB$32</f>
        <v>5.5350988833580618E-2</v>
      </c>
      <c r="BG176" s="137">
        <f>$W176*AL176+$L176*Summary_LCIA!AC$32</f>
        <v>3.6058757575521168E-5</v>
      </c>
      <c r="BH176" s="137">
        <f>$W176*AM176+$L176*Summary_LCIA!AD$32</f>
        <v>0.15789133144230053</v>
      </c>
      <c r="BI176" s="137">
        <f>$W176*AN176+$L176*Summary_LCIA!AE$32</f>
        <v>0.41998083243454243</v>
      </c>
      <c r="BJ176" s="137">
        <f>$W176*AO176+$L176*Summary_LCIA!AF$32</f>
        <v>0.13642421054963824</v>
      </c>
      <c r="BK176" s="137">
        <f>$W176*AP176+$L176*Summary_LCIA!AG$32</f>
        <v>1.2242441299638241E-2</v>
      </c>
      <c r="BL176" s="137">
        <f>$W176*AQ176+$L176*Summary_LCIA!AH$32</f>
        <v>1.9651509292340354</v>
      </c>
      <c r="BM176" s="137">
        <f>$W176*AR176+$L176*Summary_LCIA!AI$32</f>
        <v>0.38913626239081456</v>
      </c>
    </row>
    <row r="177" spans="1:65" x14ac:dyDescent="0.25">
      <c r="A177" s="149">
        <v>358</v>
      </c>
      <c r="B177" s="149">
        <v>6</v>
      </c>
      <c r="C177" s="61">
        <v>33.812429000000002</v>
      </c>
      <c r="D177" s="61">
        <v>-84.420958999999996</v>
      </c>
      <c r="E177" s="61" t="s">
        <v>265</v>
      </c>
      <c r="F177" s="149">
        <v>1</v>
      </c>
      <c r="G177" s="61" t="s">
        <v>565</v>
      </c>
      <c r="H177" s="61" t="s">
        <v>681</v>
      </c>
      <c r="I177" s="61">
        <v>33.640728000000003</v>
      </c>
      <c r="J177" s="61">
        <v>-84.427700000000002</v>
      </c>
      <c r="K177" s="61">
        <v>28.524966559999999</v>
      </c>
      <c r="L177" s="61">
        <v>24.202000000000002</v>
      </c>
      <c r="M177" s="61" t="s">
        <v>617</v>
      </c>
      <c r="N177" s="149">
        <v>5</v>
      </c>
      <c r="O177" s="149">
        <v>6</v>
      </c>
      <c r="P177" s="61" t="s">
        <v>565</v>
      </c>
      <c r="Q177" s="61" t="s">
        <v>564</v>
      </c>
      <c r="R177" s="61">
        <v>41.98028</v>
      </c>
      <c r="S177" s="61">
        <v>-87.908997900000003</v>
      </c>
      <c r="T177" s="61">
        <v>1173.1790000000001</v>
      </c>
      <c r="U177" s="61" t="s">
        <v>617</v>
      </c>
      <c r="V177" s="61" t="s">
        <v>569</v>
      </c>
      <c r="W177" s="61" cm="1">
        <f t="array" ref="W177">getDistance(I177,J177,R177,S177)*SA!$B$12</f>
        <v>976.67906347990493</v>
      </c>
      <c r="X177" s="61"/>
      <c r="Y177" s="137">
        <f>Transportation_LCIA!C$61*($W177^Transportation_LCIA!C$60)+Transportation_LCIA!C$62</f>
        <v>0.23799077256655485</v>
      </c>
      <c r="Z177" s="137">
        <f>Transportation_LCIA!D$61*($W177^Transportation_LCIA!D$60)+Transportation_LCIA!D$62</f>
        <v>2.4498664186649894</v>
      </c>
      <c r="AA177" s="137">
        <f>Transportation_LCIA!E$61*($W177^Transportation_LCIA!E$60)+Transportation_LCIA!E$62</f>
        <v>1.1602893527513285E-3</v>
      </c>
      <c r="AB177" s="137">
        <f>Transportation_LCIA!F$61*($W177^Transportation_LCIA!F$60)+Transportation_LCIA!F$62</f>
        <v>0.23799077256655485</v>
      </c>
      <c r="AC177" s="137">
        <f>Transportation_LCIA!G$61*($W177^Transportation_LCIA!G$60)+Transportation_LCIA!G$62</f>
        <v>5.7251738416183251E-2</v>
      </c>
      <c r="AD177" s="137">
        <f>Transportation_LCIA!H$61*($W177^Transportation_LCIA!H$60)+Transportation_LCIA!H$62</f>
        <v>2.8030572808339046E-4</v>
      </c>
      <c r="AE177" s="137">
        <f>Transportation_LCIA!I$61*($W177^Transportation_LCIA!I$60)+Transportation_LCIA!I$62</f>
        <v>6.0084688172437592E-6</v>
      </c>
      <c r="AF177" s="137">
        <f>Transportation_LCIA!J$61*($W177^Transportation_LCIA!J$60)+Transportation_LCIA!J$62</f>
        <v>8.8936917837252362E-3</v>
      </c>
      <c r="AG177" s="137">
        <f>Transportation_LCIA!K$61*($W177^Transportation_LCIA!K$60)+Transportation_LCIA!K$62</f>
        <v>1.2188706109794917E-2</v>
      </c>
      <c r="AH177" s="137">
        <f>Transportation_LCIA!L$61*($W177^Transportation_LCIA!L$60)+Transportation_LCIA!L$62</f>
        <v>2.4310816549771977E-4</v>
      </c>
      <c r="AI177" s="137">
        <f>Transportation_LCIA!M$61*($W177^Transportation_LCIA!M$60)+Transportation_LCIA!M$62</f>
        <v>2.455450128432447E-4</v>
      </c>
      <c r="AJ177" s="137">
        <f>Transportation_LCIA!N$61*($W177^Transportation_LCIA!N$60)+Transportation_LCIA!N$62</f>
        <v>1.0016506819662974E-3</v>
      </c>
      <c r="AK177" s="137">
        <f>Transportation_LCIA!O$61*($W177^Transportation_LCIA!O$60)+Transportation_LCIA!O$62</f>
        <v>6.050134712780058E-5</v>
      </c>
      <c r="AL177" s="137">
        <f>Transportation_LCIA!P$61*($W177^Transportation_LCIA!P$60)+Transportation_LCIA!P$62</f>
        <v>2.9257301489528483E-8</v>
      </c>
      <c r="AM177" s="137">
        <f>Transportation_LCIA!Q$61*($W177^Transportation_LCIA!Q$60)+Transportation_LCIA!Q$62</f>
        <v>9.6216231090364335E-5</v>
      </c>
      <c r="AN177" s="137">
        <f>Transportation_LCIA!R$61*($W177^Transportation_LCIA!R$60)+Transportation_LCIA!R$62</f>
        <v>2.8896705818992006E-4</v>
      </c>
      <c r="AO177" s="137">
        <f>Transportation_LCIA!S$61*($W177^Transportation_LCIA!S$60)+Transportation_LCIA!S$62</f>
        <v>4.3584988519816731E-6</v>
      </c>
      <c r="AP177" s="137">
        <f>Transportation_LCIA!T$61*($W177^Transportation_LCIA!T$60)+Transportation_LCIA!T$62</f>
        <v>4.3584988519816731E-6</v>
      </c>
      <c r="AQ177" s="137">
        <f>Transportation_LCIA!U$61*($W177^Transportation_LCIA!U$60)+Transportation_LCIA!U$62</f>
        <v>6.204066649837317E-4</v>
      </c>
      <c r="AR177" s="137">
        <f>Transportation_LCIA!V$61*($W177^Transportation_LCIA!V$60)+Transportation_LCIA!V$62</f>
        <v>2.502258212971912E-4</v>
      </c>
      <c r="AT177" s="137">
        <f>$W177*Y177+$L177*Summary_LCIA!H$32</f>
        <v>240.66444446716184</v>
      </c>
      <c r="AU177" s="137">
        <f>$W177*Z177+$L177*Summary_LCIA!Q$32</f>
        <v>2512.6795720120563</v>
      </c>
      <c r="AV177" s="137">
        <f>$W177*AA177+$L177*Summary_LCIA!R$32</f>
        <v>1.2606683696108725</v>
      </c>
      <c r="AW177" s="137">
        <f>$W177*AB177+$L177*Summary_LCIA!S$32</f>
        <v>240.55747162716185</v>
      </c>
      <c r="AX177" s="137">
        <f>$W177*AC177+$L177*Summary_LCIA!T$32</f>
        <v>58.576374058914354</v>
      </c>
      <c r="AY177" s="137">
        <f>$W177*AD177+$L177*Summary_LCIA!U$32</f>
        <v>0.7073233639925387</v>
      </c>
      <c r="AZ177" s="137">
        <f>$W177*AE177+$L177*Summary_LCIA!V$32</f>
        <v>7.0242574193738472E-3</v>
      </c>
      <c r="BA177" s="137">
        <f>$W177*AF177+$L177*Summary_LCIA!W$32</f>
        <v>10.549134704207688</v>
      </c>
      <c r="BB177" s="137">
        <f>$W177*AG177+$L177*Summary_LCIA!X$32</f>
        <v>12.455775628346295</v>
      </c>
      <c r="BC177" s="137">
        <f>$W177*AH177+$L177*Summary_LCIA!Y$32</f>
        <v>0.61455421940263066</v>
      </c>
      <c r="BD177" s="137">
        <f>$W177*AI177+$L177*Summary_LCIA!Z$32</f>
        <v>0.24081117300390148</v>
      </c>
      <c r="BE177" s="137">
        <f>$W177*AJ177+$L177*Summary_LCIA!AA$32</f>
        <v>1.5435531619968514</v>
      </c>
      <c r="BF177" s="137">
        <f>$W177*AK177+$L177*Summary_LCIA!AB$32</f>
        <v>5.8562238806052908E-2</v>
      </c>
      <c r="BG177" s="137">
        <f>$W177*AL177+$L177*Summary_LCIA!AC$32</f>
        <v>2.9758084386741906E-5</v>
      </c>
      <c r="BH177" s="137">
        <f>$W177*AM177+$L177*Summary_LCIA!AD$32</f>
        <v>0.10392036855290315</v>
      </c>
      <c r="BI177" s="137">
        <f>$W177*AN177+$L177*Summary_LCIA!AE$32</f>
        <v>0.30367419402947432</v>
      </c>
      <c r="BJ177" s="137">
        <f>$W177*AO177+$L177*Summary_LCIA!AF$32</f>
        <v>2.4717709416931705E-2</v>
      </c>
      <c r="BK177" s="137">
        <f>$W177*AP177+$L177*Summary_LCIA!AG$32</f>
        <v>5.4951499069317011E-3</v>
      </c>
      <c r="BL177" s="137">
        <f>$W177*AQ177+$L177*Summary_LCIA!AH$32</f>
        <v>0.81658272773300222</v>
      </c>
      <c r="BM177" s="137">
        <f>$W177*AR177+$L177*Summary_LCIA!AI$32</f>
        <v>0.26693569390303074</v>
      </c>
    </row>
    <row r="178" spans="1:65" x14ac:dyDescent="0.25">
      <c r="A178" s="149">
        <v>359</v>
      </c>
      <c r="B178" s="149">
        <v>6</v>
      </c>
      <c r="C178" s="61">
        <v>33.812429000000002</v>
      </c>
      <c r="D178" s="61">
        <v>-84.420958999999996</v>
      </c>
      <c r="E178" s="61" t="s">
        <v>265</v>
      </c>
      <c r="F178" s="149">
        <v>1</v>
      </c>
      <c r="G178" s="61" t="s">
        <v>565</v>
      </c>
      <c r="H178" s="61" t="s">
        <v>681</v>
      </c>
      <c r="I178" s="61">
        <v>33.640728000000003</v>
      </c>
      <c r="J178" s="61">
        <v>-84.427700000000002</v>
      </c>
      <c r="K178" s="61">
        <v>28.524966559999999</v>
      </c>
      <c r="L178" s="61">
        <v>24.202000000000002</v>
      </c>
      <c r="M178" s="61" t="s">
        <v>617</v>
      </c>
      <c r="N178" s="149">
        <v>5</v>
      </c>
      <c r="O178" s="149">
        <v>6</v>
      </c>
      <c r="P178" s="61" t="s">
        <v>565</v>
      </c>
      <c r="Q178" s="61" t="s">
        <v>564</v>
      </c>
      <c r="R178" s="61">
        <v>41.98028</v>
      </c>
      <c r="S178" s="61">
        <v>-87.908997900000003</v>
      </c>
      <c r="T178" s="61">
        <v>1173.1790000000001</v>
      </c>
      <c r="U178" s="61" t="s">
        <v>617</v>
      </c>
      <c r="V178" s="61" t="s">
        <v>569</v>
      </c>
      <c r="W178" s="61" cm="1">
        <f t="array" ref="W178">getDistance(I178,J178,R178,S178)*SA!$B$12</f>
        <v>976.67906347990493</v>
      </c>
      <c r="X178" s="61"/>
      <c r="Y178" s="137">
        <f>Transportation_LCIA!C$61*($W178^Transportation_LCIA!C$60)+Transportation_LCIA!C$62</f>
        <v>0.23799077256655485</v>
      </c>
      <c r="Z178" s="137">
        <f>Transportation_LCIA!D$61*($W178^Transportation_LCIA!D$60)+Transportation_LCIA!D$62</f>
        <v>2.4498664186649894</v>
      </c>
      <c r="AA178" s="137">
        <f>Transportation_LCIA!E$61*($W178^Transportation_LCIA!E$60)+Transportation_LCIA!E$62</f>
        <v>1.1602893527513285E-3</v>
      </c>
      <c r="AB178" s="137">
        <f>Transportation_LCIA!F$61*($W178^Transportation_LCIA!F$60)+Transportation_LCIA!F$62</f>
        <v>0.23799077256655485</v>
      </c>
      <c r="AC178" s="137">
        <f>Transportation_LCIA!G$61*($W178^Transportation_LCIA!G$60)+Transportation_LCIA!G$62</f>
        <v>5.7251738416183251E-2</v>
      </c>
      <c r="AD178" s="137">
        <f>Transportation_LCIA!H$61*($W178^Transportation_LCIA!H$60)+Transportation_LCIA!H$62</f>
        <v>2.8030572808339046E-4</v>
      </c>
      <c r="AE178" s="137">
        <f>Transportation_LCIA!I$61*($W178^Transportation_LCIA!I$60)+Transportation_LCIA!I$62</f>
        <v>6.0084688172437592E-6</v>
      </c>
      <c r="AF178" s="137">
        <f>Transportation_LCIA!J$61*($W178^Transportation_LCIA!J$60)+Transportation_LCIA!J$62</f>
        <v>8.8936917837252362E-3</v>
      </c>
      <c r="AG178" s="137">
        <f>Transportation_LCIA!K$61*($W178^Transportation_LCIA!K$60)+Transportation_LCIA!K$62</f>
        <v>1.2188706109794917E-2</v>
      </c>
      <c r="AH178" s="137">
        <f>Transportation_LCIA!L$61*($W178^Transportation_LCIA!L$60)+Transportation_LCIA!L$62</f>
        <v>2.4310816549771977E-4</v>
      </c>
      <c r="AI178" s="137">
        <f>Transportation_LCIA!M$61*($W178^Transportation_LCIA!M$60)+Transportation_LCIA!M$62</f>
        <v>2.455450128432447E-4</v>
      </c>
      <c r="AJ178" s="137">
        <f>Transportation_LCIA!N$61*($W178^Transportation_LCIA!N$60)+Transportation_LCIA!N$62</f>
        <v>1.0016506819662974E-3</v>
      </c>
      <c r="AK178" s="137">
        <f>Transportation_LCIA!O$61*($W178^Transportation_LCIA!O$60)+Transportation_LCIA!O$62</f>
        <v>6.050134712780058E-5</v>
      </c>
      <c r="AL178" s="137">
        <f>Transportation_LCIA!P$61*($W178^Transportation_LCIA!P$60)+Transportation_LCIA!P$62</f>
        <v>2.9257301489528483E-8</v>
      </c>
      <c r="AM178" s="137">
        <f>Transportation_LCIA!Q$61*($W178^Transportation_LCIA!Q$60)+Transportation_LCIA!Q$62</f>
        <v>9.6216231090364335E-5</v>
      </c>
      <c r="AN178" s="137">
        <f>Transportation_LCIA!R$61*($W178^Transportation_LCIA!R$60)+Transportation_LCIA!R$62</f>
        <v>2.8896705818992006E-4</v>
      </c>
      <c r="AO178" s="137">
        <f>Transportation_LCIA!S$61*($W178^Transportation_LCIA!S$60)+Transportation_LCIA!S$62</f>
        <v>4.3584988519816731E-6</v>
      </c>
      <c r="AP178" s="137">
        <f>Transportation_LCIA!T$61*($W178^Transportation_LCIA!T$60)+Transportation_LCIA!T$62</f>
        <v>4.3584988519816731E-6</v>
      </c>
      <c r="AQ178" s="137">
        <f>Transportation_LCIA!U$61*($W178^Transportation_LCIA!U$60)+Transportation_LCIA!U$62</f>
        <v>6.204066649837317E-4</v>
      </c>
      <c r="AR178" s="137">
        <f>Transportation_LCIA!V$61*($W178^Transportation_LCIA!V$60)+Transportation_LCIA!V$62</f>
        <v>2.502258212971912E-4</v>
      </c>
      <c r="AT178" s="137">
        <f>$W178*Y178+$L178*Summary_LCIA!H$32</f>
        <v>240.66444446716184</v>
      </c>
      <c r="AU178" s="137">
        <f>$W178*Z178+$L178*Summary_LCIA!Q$32</f>
        <v>2512.6795720120563</v>
      </c>
      <c r="AV178" s="137">
        <f>$W178*AA178+$L178*Summary_LCIA!R$32</f>
        <v>1.2606683696108725</v>
      </c>
      <c r="AW178" s="137">
        <f>$W178*AB178+$L178*Summary_LCIA!S$32</f>
        <v>240.55747162716185</v>
      </c>
      <c r="AX178" s="137">
        <f>$W178*AC178+$L178*Summary_LCIA!T$32</f>
        <v>58.576374058914354</v>
      </c>
      <c r="AY178" s="137">
        <f>$W178*AD178+$L178*Summary_LCIA!U$32</f>
        <v>0.7073233639925387</v>
      </c>
      <c r="AZ178" s="137">
        <f>$W178*AE178+$L178*Summary_LCIA!V$32</f>
        <v>7.0242574193738472E-3</v>
      </c>
      <c r="BA178" s="137">
        <f>$W178*AF178+$L178*Summary_LCIA!W$32</f>
        <v>10.549134704207688</v>
      </c>
      <c r="BB178" s="137">
        <f>$W178*AG178+$L178*Summary_LCIA!X$32</f>
        <v>12.455775628346295</v>
      </c>
      <c r="BC178" s="137">
        <f>$W178*AH178+$L178*Summary_LCIA!Y$32</f>
        <v>0.61455421940263066</v>
      </c>
      <c r="BD178" s="137">
        <f>$W178*AI178+$L178*Summary_LCIA!Z$32</f>
        <v>0.24081117300390148</v>
      </c>
      <c r="BE178" s="137">
        <f>$W178*AJ178+$L178*Summary_LCIA!AA$32</f>
        <v>1.5435531619968514</v>
      </c>
      <c r="BF178" s="137">
        <f>$W178*AK178+$L178*Summary_LCIA!AB$32</f>
        <v>5.8562238806052908E-2</v>
      </c>
      <c r="BG178" s="137">
        <f>$W178*AL178+$L178*Summary_LCIA!AC$32</f>
        <v>2.9758084386741906E-5</v>
      </c>
      <c r="BH178" s="137">
        <f>$W178*AM178+$L178*Summary_LCIA!AD$32</f>
        <v>0.10392036855290315</v>
      </c>
      <c r="BI178" s="137">
        <f>$W178*AN178+$L178*Summary_LCIA!AE$32</f>
        <v>0.30367419402947432</v>
      </c>
      <c r="BJ178" s="137">
        <f>$W178*AO178+$L178*Summary_LCIA!AF$32</f>
        <v>2.4717709416931705E-2</v>
      </c>
      <c r="BK178" s="137">
        <f>$W178*AP178+$L178*Summary_LCIA!AG$32</f>
        <v>5.4951499069317011E-3</v>
      </c>
      <c r="BL178" s="137">
        <f>$W178*AQ178+$L178*Summary_LCIA!AH$32</f>
        <v>0.81658272773300222</v>
      </c>
      <c r="BM178" s="137">
        <f>$W178*AR178+$L178*Summary_LCIA!AI$32</f>
        <v>0.26693569390303074</v>
      </c>
    </row>
    <row r="179" spans="1:65" x14ac:dyDescent="0.25">
      <c r="A179" s="149">
        <v>286</v>
      </c>
      <c r="B179" s="149">
        <v>6</v>
      </c>
      <c r="C179" s="61">
        <v>33.771270999999999</v>
      </c>
      <c r="D179" s="61">
        <v>-84.389756000000006</v>
      </c>
      <c r="E179" s="61" t="s">
        <v>265</v>
      </c>
      <c r="F179" s="149">
        <v>1</v>
      </c>
      <c r="G179" s="61" t="s">
        <v>565</v>
      </c>
      <c r="H179" s="61" t="s">
        <v>681</v>
      </c>
      <c r="I179" s="61">
        <v>33.640728000000003</v>
      </c>
      <c r="J179" s="61">
        <v>-84.427700000000002</v>
      </c>
      <c r="K179" s="61">
        <v>22.091562750000001</v>
      </c>
      <c r="L179" s="61">
        <v>18.202999999999999</v>
      </c>
      <c r="M179" s="61" t="s">
        <v>617</v>
      </c>
      <c r="N179" s="149">
        <v>5</v>
      </c>
      <c r="O179" s="149">
        <v>6</v>
      </c>
      <c r="P179" s="61" t="s">
        <v>565</v>
      </c>
      <c r="Q179" s="61" t="s">
        <v>564</v>
      </c>
      <c r="R179" s="61">
        <v>41.98028</v>
      </c>
      <c r="S179" s="61">
        <v>-87.908997900000003</v>
      </c>
      <c r="T179" s="61">
        <v>1177.3019999999999</v>
      </c>
      <c r="U179" s="61" t="s">
        <v>617</v>
      </c>
      <c r="V179" s="61" t="s">
        <v>569</v>
      </c>
      <c r="W179" s="61" cm="1">
        <f t="array" ref="W179">getDistance(I179,J179,R179,S179)*SA!$B$12</f>
        <v>976.67906347990493</v>
      </c>
      <c r="X179" s="61"/>
      <c r="Y179" s="137">
        <f>Transportation_LCIA!C$61*($W179^Transportation_LCIA!C$60)+Transportation_LCIA!C$62</f>
        <v>0.23799077256655485</v>
      </c>
      <c r="Z179" s="137">
        <f>Transportation_LCIA!D$61*($W179^Transportation_LCIA!D$60)+Transportation_LCIA!D$62</f>
        <v>2.4498664186649894</v>
      </c>
      <c r="AA179" s="137">
        <f>Transportation_LCIA!E$61*($W179^Transportation_LCIA!E$60)+Transportation_LCIA!E$62</f>
        <v>1.1602893527513285E-3</v>
      </c>
      <c r="AB179" s="137">
        <f>Transportation_LCIA!F$61*($W179^Transportation_LCIA!F$60)+Transportation_LCIA!F$62</f>
        <v>0.23799077256655485</v>
      </c>
      <c r="AC179" s="137">
        <f>Transportation_LCIA!G$61*($W179^Transportation_LCIA!G$60)+Transportation_LCIA!G$62</f>
        <v>5.7251738416183251E-2</v>
      </c>
      <c r="AD179" s="137">
        <f>Transportation_LCIA!H$61*($W179^Transportation_LCIA!H$60)+Transportation_LCIA!H$62</f>
        <v>2.8030572808339046E-4</v>
      </c>
      <c r="AE179" s="137">
        <f>Transportation_LCIA!I$61*($W179^Transportation_LCIA!I$60)+Transportation_LCIA!I$62</f>
        <v>6.0084688172437592E-6</v>
      </c>
      <c r="AF179" s="137">
        <f>Transportation_LCIA!J$61*($W179^Transportation_LCIA!J$60)+Transportation_LCIA!J$62</f>
        <v>8.8936917837252362E-3</v>
      </c>
      <c r="AG179" s="137">
        <f>Transportation_LCIA!K$61*($W179^Transportation_LCIA!K$60)+Transportation_LCIA!K$62</f>
        <v>1.2188706109794917E-2</v>
      </c>
      <c r="AH179" s="137">
        <f>Transportation_LCIA!L$61*($W179^Transportation_LCIA!L$60)+Transportation_LCIA!L$62</f>
        <v>2.4310816549771977E-4</v>
      </c>
      <c r="AI179" s="137">
        <f>Transportation_LCIA!M$61*($W179^Transportation_LCIA!M$60)+Transportation_LCIA!M$62</f>
        <v>2.455450128432447E-4</v>
      </c>
      <c r="AJ179" s="137">
        <f>Transportation_LCIA!N$61*($W179^Transportation_LCIA!N$60)+Transportation_LCIA!N$62</f>
        <v>1.0016506819662974E-3</v>
      </c>
      <c r="AK179" s="137">
        <f>Transportation_LCIA!O$61*($W179^Transportation_LCIA!O$60)+Transportation_LCIA!O$62</f>
        <v>6.050134712780058E-5</v>
      </c>
      <c r="AL179" s="137">
        <f>Transportation_LCIA!P$61*($W179^Transportation_LCIA!P$60)+Transportation_LCIA!P$62</f>
        <v>2.9257301489528483E-8</v>
      </c>
      <c r="AM179" s="137">
        <f>Transportation_LCIA!Q$61*($W179^Transportation_LCIA!Q$60)+Transportation_LCIA!Q$62</f>
        <v>9.6216231090364335E-5</v>
      </c>
      <c r="AN179" s="137">
        <f>Transportation_LCIA!R$61*($W179^Transportation_LCIA!R$60)+Transportation_LCIA!R$62</f>
        <v>2.8896705818992006E-4</v>
      </c>
      <c r="AO179" s="137">
        <f>Transportation_LCIA!S$61*($W179^Transportation_LCIA!S$60)+Transportation_LCIA!S$62</f>
        <v>4.3584988519816731E-6</v>
      </c>
      <c r="AP179" s="137">
        <f>Transportation_LCIA!T$61*($W179^Transportation_LCIA!T$60)+Transportation_LCIA!T$62</f>
        <v>4.3584988519816731E-6</v>
      </c>
      <c r="AQ179" s="137">
        <f>Transportation_LCIA!U$61*($W179^Transportation_LCIA!U$60)+Transportation_LCIA!U$62</f>
        <v>6.204066649837317E-4</v>
      </c>
      <c r="AR179" s="137">
        <f>Transportation_LCIA!V$61*($W179^Transportation_LCIA!V$60)+Transportation_LCIA!V$62</f>
        <v>2.502258212971912E-4</v>
      </c>
      <c r="AT179" s="137">
        <f>$W179*Y179+$L179*Summary_LCIA!H$32</f>
        <v>238.62598426716184</v>
      </c>
      <c r="AU179" s="137">
        <f>$W179*Z179+$L179*Summary_LCIA!Q$32</f>
        <v>2482.9482254644895</v>
      </c>
      <c r="AV179" s="137">
        <f>$W179*AA179+$L179*Summary_LCIA!R$32</f>
        <v>1.2290800352108726</v>
      </c>
      <c r="AW179" s="137">
        <f>$W179*AB179+$L179*Summary_LCIA!S$32</f>
        <v>238.54552700716187</v>
      </c>
      <c r="AX179" s="137">
        <f>$W179*AC179+$L179*Summary_LCIA!T$32</f>
        <v>57.917083958914354</v>
      </c>
      <c r="AY179" s="137">
        <f>$W179*AD179+$L179*Summary_LCIA!U$32</f>
        <v>0.59985727799253863</v>
      </c>
      <c r="AZ179" s="137">
        <f>$W179*AE179+$L179*Summary_LCIA!V$32</f>
        <v>6.7377391803738465E-3</v>
      </c>
      <c r="BA179" s="137">
        <f>$W179*AF179+$L179*Summary_LCIA!W$32</f>
        <v>10.087385675207688</v>
      </c>
      <c r="BB179" s="137">
        <f>$W179*AG179+$L179*Summary_LCIA!X$32</f>
        <v>12.319118408346295</v>
      </c>
      <c r="BC179" s="137">
        <f>$W179*AH179+$L179*Summary_LCIA!Y$32</f>
        <v>0.52107780140263071</v>
      </c>
      <c r="BD179" s="137">
        <f>$W179*AI179+$L179*Summary_LCIA!Z$32</f>
        <v>0.24056516001290146</v>
      </c>
      <c r="BE179" s="137">
        <f>$W179*AJ179+$L179*Summary_LCIA!AA$32</f>
        <v>1.4034405179968514</v>
      </c>
      <c r="BF179" s="137">
        <f>$W179*AK179+$L179*Summary_LCIA!AB$32</f>
        <v>5.8693154983052907E-2</v>
      </c>
      <c r="BG179" s="137">
        <f>$W179*AL179+$L179*Summary_LCIA!AC$32</f>
        <v>2.9464829270741907E-5</v>
      </c>
      <c r="BH179" s="137">
        <f>$W179*AM179+$L179*Summary_LCIA!AD$32</f>
        <v>0.10145453959290315</v>
      </c>
      <c r="BI179" s="137">
        <f>$W179*AN179+$L179*Summary_LCIA!AE$32</f>
        <v>0.29835830015947434</v>
      </c>
      <c r="BJ179" s="137">
        <f>$W179*AO179+$L179*Summary_LCIA!AF$32</f>
        <v>1.9646034836931701E-2</v>
      </c>
      <c r="BK179" s="137">
        <f>$W179*AP179+$L179*Summary_LCIA!AG$32</f>
        <v>5.1882110719317009E-3</v>
      </c>
      <c r="BL179" s="137">
        <f>$W179*AQ179+$L179*Summary_LCIA!AH$32</f>
        <v>0.76436983133300218</v>
      </c>
      <c r="BM179" s="137">
        <f>$W179*AR179+$L179*Summary_LCIA!AI$32</f>
        <v>0.26134732545303074</v>
      </c>
    </row>
    <row r="180" spans="1:65" x14ac:dyDescent="0.25">
      <c r="A180" s="149">
        <v>137</v>
      </c>
      <c r="B180" s="149">
        <v>6</v>
      </c>
      <c r="C180" s="61">
        <v>33.748995000000001</v>
      </c>
      <c r="D180" s="61">
        <v>-84.387981999999994</v>
      </c>
      <c r="E180" s="61" t="s">
        <v>265</v>
      </c>
      <c r="F180" s="149">
        <v>1</v>
      </c>
      <c r="G180" s="61" t="s">
        <v>565</v>
      </c>
      <c r="H180" s="61" t="s">
        <v>681</v>
      </c>
      <c r="I180" s="61">
        <v>33.640728000000003</v>
      </c>
      <c r="J180" s="61">
        <v>-84.427700000000002</v>
      </c>
      <c r="K180" s="61">
        <v>18.49134737</v>
      </c>
      <c r="L180" s="61">
        <v>14.686999999999999</v>
      </c>
      <c r="M180" s="61" t="s">
        <v>617</v>
      </c>
      <c r="N180" s="149">
        <v>5</v>
      </c>
      <c r="O180" s="149">
        <v>6</v>
      </c>
      <c r="P180" s="61" t="s">
        <v>565</v>
      </c>
      <c r="Q180" s="61" t="s">
        <v>564</v>
      </c>
      <c r="R180" s="61">
        <v>41.98028</v>
      </c>
      <c r="S180" s="61">
        <v>-87.908997900000003</v>
      </c>
      <c r="T180" s="61">
        <v>1180.386</v>
      </c>
      <c r="U180" s="61" t="s">
        <v>617</v>
      </c>
      <c r="V180" s="61" t="s">
        <v>569</v>
      </c>
      <c r="W180" s="61" cm="1">
        <f t="array" ref="W180">getDistance(I180,J180,R180,S180)*SA!$B$12</f>
        <v>976.67906347990493</v>
      </c>
      <c r="X180" s="61"/>
      <c r="Y180" s="137">
        <f>Transportation_LCIA!C$61*($W180^Transportation_LCIA!C$60)+Transportation_LCIA!C$62</f>
        <v>0.23799077256655485</v>
      </c>
      <c r="Z180" s="137">
        <f>Transportation_LCIA!D$61*($W180^Transportation_LCIA!D$60)+Transportation_LCIA!D$62</f>
        <v>2.4498664186649894</v>
      </c>
      <c r="AA180" s="137">
        <f>Transportation_LCIA!E$61*($W180^Transportation_LCIA!E$60)+Transportation_LCIA!E$62</f>
        <v>1.1602893527513285E-3</v>
      </c>
      <c r="AB180" s="137">
        <f>Transportation_LCIA!F$61*($W180^Transportation_LCIA!F$60)+Transportation_LCIA!F$62</f>
        <v>0.23799077256655485</v>
      </c>
      <c r="AC180" s="137">
        <f>Transportation_LCIA!G$61*($W180^Transportation_LCIA!G$60)+Transportation_LCIA!G$62</f>
        <v>5.7251738416183251E-2</v>
      </c>
      <c r="AD180" s="137">
        <f>Transportation_LCIA!H$61*($W180^Transportation_LCIA!H$60)+Transportation_LCIA!H$62</f>
        <v>2.8030572808339046E-4</v>
      </c>
      <c r="AE180" s="137">
        <f>Transportation_LCIA!I$61*($W180^Transportation_LCIA!I$60)+Transportation_LCIA!I$62</f>
        <v>6.0084688172437592E-6</v>
      </c>
      <c r="AF180" s="137">
        <f>Transportation_LCIA!J$61*($W180^Transportation_LCIA!J$60)+Transportation_LCIA!J$62</f>
        <v>8.8936917837252362E-3</v>
      </c>
      <c r="AG180" s="137">
        <f>Transportation_LCIA!K$61*($W180^Transportation_LCIA!K$60)+Transportation_LCIA!K$62</f>
        <v>1.2188706109794917E-2</v>
      </c>
      <c r="AH180" s="137">
        <f>Transportation_LCIA!L$61*($W180^Transportation_LCIA!L$60)+Transportation_LCIA!L$62</f>
        <v>2.4310816549771977E-4</v>
      </c>
      <c r="AI180" s="137">
        <f>Transportation_LCIA!M$61*($W180^Transportation_LCIA!M$60)+Transportation_LCIA!M$62</f>
        <v>2.455450128432447E-4</v>
      </c>
      <c r="AJ180" s="137">
        <f>Transportation_LCIA!N$61*($W180^Transportation_LCIA!N$60)+Transportation_LCIA!N$62</f>
        <v>1.0016506819662974E-3</v>
      </c>
      <c r="AK180" s="137">
        <f>Transportation_LCIA!O$61*($W180^Transportation_LCIA!O$60)+Transportation_LCIA!O$62</f>
        <v>6.050134712780058E-5</v>
      </c>
      <c r="AL180" s="137">
        <f>Transportation_LCIA!P$61*($W180^Transportation_LCIA!P$60)+Transportation_LCIA!P$62</f>
        <v>2.9257301489528483E-8</v>
      </c>
      <c r="AM180" s="137">
        <f>Transportation_LCIA!Q$61*($W180^Transportation_LCIA!Q$60)+Transportation_LCIA!Q$62</f>
        <v>9.6216231090364335E-5</v>
      </c>
      <c r="AN180" s="137">
        <f>Transportation_LCIA!R$61*($W180^Transportation_LCIA!R$60)+Transportation_LCIA!R$62</f>
        <v>2.8896705818992006E-4</v>
      </c>
      <c r="AO180" s="137">
        <f>Transportation_LCIA!S$61*($W180^Transportation_LCIA!S$60)+Transportation_LCIA!S$62</f>
        <v>4.3584988519816731E-6</v>
      </c>
      <c r="AP180" s="137">
        <f>Transportation_LCIA!T$61*($W180^Transportation_LCIA!T$60)+Transportation_LCIA!T$62</f>
        <v>4.3584988519816731E-6</v>
      </c>
      <c r="AQ180" s="137">
        <f>Transportation_LCIA!U$61*($W180^Transportation_LCIA!U$60)+Transportation_LCIA!U$62</f>
        <v>6.204066649837317E-4</v>
      </c>
      <c r="AR180" s="137">
        <f>Transportation_LCIA!V$61*($W180^Transportation_LCIA!V$60)+Transportation_LCIA!V$62</f>
        <v>2.502258212971912E-4</v>
      </c>
      <c r="AT180" s="137">
        <f>$W180*Y180+$L180*Summary_LCIA!H$32</f>
        <v>237.43124746716185</v>
      </c>
      <c r="AU180" s="137">
        <f>$W180*Z180+$L180*Summary_LCIA!Q$32</f>
        <v>2465.5227521420616</v>
      </c>
      <c r="AV180" s="137">
        <f>$W180*AA180+$L180*Summary_LCIA!R$32</f>
        <v>1.2105661856108725</v>
      </c>
      <c r="AW180" s="137">
        <f>$W180*AB180+$L180*Summary_LCIA!S$32</f>
        <v>237.36633092716184</v>
      </c>
      <c r="AX180" s="137">
        <f>$W180*AC180+$L180*Summary_LCIA!T$32</f>
        <v>57.530675558914353</v>
      </c>
      <c r="AY180" s="137">
        <f>$W180*AD180+$L180*Summary_LCIA!U$32</f>
        <v>0.53687165399253867</v>
      </c>
      <c r="AZ180" s="137">
        <f>$W180*AE180+$L180*Summary_LCIA!V$32</f>
        <v>6.5698115043738466E-3</v>
      </c>
      <c r="BA180" s="137">
        <f>$W180*AF180+$L180*Summary_LCIA!W$32</f>
        <v>9.8167556392076882</v>
      </c>
      <c r="BB180" s="137">
        <f>$W180*AG180+$L180*Summary_LCIA!X$32</f>
        <v>12.239023928346295</v>
      </c>
      <c r="BC180" s="137">
        <f>$W180*AH180+$L180*Summary_LCIA!Y$32</f>
        <v>0.46629148940263065</v>
      </c>
      <c r="BD180" s="137">
        <f>$W180*AI180+$L180*Summary_LCIA!Z$32</f>
        <v>0.24042097236890148</v>
      </c>
      <c r="BE180" s="137">
        <f>$W180*AJ180+$L180*Summary_LCIA!AA$32</f>
        <v>1.3213208219968515</v>
      </c>
      <c r="BF180" s="137">
        <f>$W180*AK180+$L180*Summary_LCIA!AB$32</f>
        <v>5.8769884651052907E-2</v>
      </c>
      <c r="BG180" s="137">
        <f>$W180*AL180+$L180*Summary_LCIA!AC$32</f>
        <v>2.9292953126741906E-5</v>
      </c>
      <c r="BH180" s="137">
        <f>$W180*AM180+$L180*Summary_LCIA!AD$32</f>
        <v>0.10000932295290316</v>
      </c>
      <c r="BI180" s="137">
        <f>$W180*AN180+$L180*Summary_LCIA!AE$32</f>
        <v>0.29524266707947433</v>
      </c>
      <c r="BJ180" s="137">
        <f>$W180*AO180+$L180*Summary_LCIA!AF$32</f>
        <v>1.6673538116931702E-2</v>
      </c>
      <c r="BK180" s="137">
        <f>$W180*AP180+$L180*Summary_LCIA!AG$32</f>
        <v>5.0083149319317009E-3</v>
      </c>
      <c r="BL180" s="137">
        <f>$W180*AQ180+$L180*Summary_LCIA!AH$32</f>
        <v>0.73376797373300218</v>
      </c>
      <c r="BM180" s="137">
        <f>$W180*AR180+$L180*Summary_LCIA!AI$32</f>
        <v>0.25807199565303074</v>
      </c>
    </row>
    <row r="181" spans="1:65" x14ac:dyDescent="0.25">
      <c r="A181" s="149">
        <v>138</v>
      </c>
      <c r="B181" s="149">
        <v>6</v>
      </c>
      <c r="C181" s="61">
        <v>33.748995000000001</v>
      </c>
      <c r="D181" s="61">
        <v>-84.387981999999994</v>
      </c>
      <c r="E181" s="61" t="s">
        <v>265</v>
      </c>
      <c r="F181" s="149">
        <v>1</v>
      </c>
      <c r="G181" s="61" t="s">
        <v>565</v>
      </c>
      <c r="H181" s="61" t="s">
        <v>681</v>
      </c>
      <c r="I181" s="61">
        <v>33.640728000000003</v>
      </c>
      <c r="J181" s="61">
        <v>-84.427700000000002</v>
      </c>
      <c r="K181" s="61">
        <v>18.49134737</v>
      </c>
      <c r="L181" s="61">
        <v>14.686999999999999</v>
      </c>
      <c r="M181" s="61" t="s">
        <v>617</v>
      </c>
      <c r="N181" s="149">
        <v>5</v>
      </c>
      <c r="O181" s="149">
        <v>6</v>
      </c>
      <c r="P181" s="61" t="s">
        <v>565</v>
      </c>
      <c r="Q181" s="61" t="s">
        <v>564</v>
      </c>
      <c r="R181" s="61">
        <v>41.98028</v>
      </c>
      <c r="S181" s="61">
        <v>-87.908997900000003</v>
      </c>
      <c r="T181" s="61">
        <v>1180.386</v>
      </c>
      <c r="U181" s="61" t="s">
        <v>617</v>
      </c>
      <c r="V181" s="61" t="s">
        <v>569</v>
      </c>
      <c r="W181" s="61" cm="1">
        <f t="array" ref="W181">getDistance(I181,J181,R181,S181)*SA!$B$12</f>
        <v>976.67906347990493</v>
      </c>
      <c r="X181" s="61"/>
      <c r="Y181" s="137">
        <f>Transportation_LCIA!C$61*($W181^Transportation_LCIA!C$60)+Transportation_LCIA!C$62</f>
        <v>0.23799077256655485</v>
      </c>
      <c r="Z181" s="137">
        <f>Transportation_LCIA!D$61*($W181^Transportation_LCIA!D$60)+Transportation_LCIA!D$62</f>
        <v>2.4498664186649894</v>
      </c>
      <c r="AA181" s="137">
        <f>Transportation_LCIA!E$61*($W181^Transportation_LCIA!E$60)+Transportation_LCIA!E$62</f>
        <v>1.1602893527513285E-3</v>
      </c>
      <c r="AB181" s="137">
        <f>Transportation_LCIA!F$61*($W181^Transportation_LCIA!F$60)+Transportation_LCIA!F$62</f>
        <v>0.23799077256655485</v>
      </c>
      <c r="AC181" s="137">
        <f>Transportation_LCIA!G$61*($W181^Transportation_LCIA!G$60)+Transportation_LCIA!G$62</f>
        <v>5.7251738416183251E-2</v>
      </c>
      <c r="AD181" s="137">
        <f>Transportation_LCIA!H$61*($W181^Transportation_LCIA!H$60)+Transportation_LCIA!H$62</f>
        <v>2.8030572808339046E-4</v>
      </c>
      <c r="AE181" s="137">
        <f>Transportation_LCIA!I$61*($W181^Transportation_LCIA!I$60)+Transportation_LCIA!I$62</f>
        <v>6.0084688172437592E-6</v>
      </c>
      <c r="AF181" s="137">
        <f>Transportation_LCIA!J$61*($W181^Transportation_LCIA!J$60)+Transportation_LCIA!J$62</f>
        <v>8.8936917837252362E-3</v>
      </c>
      <c r="AG181" s="137">
        <f>Transportation_LCIA!K$61*($W181^Transportation_LCIA!K$60)+Transportation_LCIA!K$62</f>
        <v>1.2188706109794917E-2</v>
      </c>
      <c r="AH181" s="137">
        <f>Transportation_LCIA!L$61*($W181^Transportation_LCIA!L$60)+Transportation_LCIA!L$62</f>
        <v>2.4310816549771977E-4</v>
      </c>
      <c r="AI181" s="137">
        <f>Transportation_LCIA!M$61*($W181^Transportation_LCIA!M$60)+Transportation_LCIA!M$62</f>
        <v>2.455450128432447E-4</v>
      </c>
      <c r="AJ181" s="137">
        <f>Transportation_LCIA!N$61*($W181^Transportation_LCIA!N$60)+Transportation_LCIA!N$62</f>
        <v>1.0016506819662974E-3</v>
      </c>
      <c r="AK181" s="137">
        <f>Transportation_LCIA!O$61*($W181^Transportation_LCIA!O$60)+Transportation_LCIA!O$62</f>
        <v>6.050134712780058E-5</v>
      </c>
      <c r="AL181" s="137">
        <f>Transportation_LCIA!P$61*($W181^Transportation_LCIA!P$60)+Transportation_LCIA!P$62</f>
        <v>2.9257301489528483E-8</v>
      </c>
      <c r="AM181" s="137">
        <f>Transportation_LCIA!Q$61*($W181^Transportation_LCIA!Q$60)+Transportation_LCIA!Q$62</f>
        <v>9.6216231090364335E-5</v>
      </c>
      <c r="AN181" s="137">
        <f>Transportation_LCIA!R$61*($W181^Transportation_LCIA!R$60)+Transportation_LCIA!R$62</f>
        <v>2.8896705818992006E-4</v>
      </c>
      <c r="AO181" s="137">
        <f>Transportation_LCIA!S$61*($W181^Transportation_LCIA!S$60)+Transportation_LCIA!S$62</f>
        <v>4.3584988519816731E-6</v>
      </c>
      <c r="AP181" s="137">
        <f>Transportation_LCIA!T$61*($W181^Transportation_LCIA!T$60)+Transportation_LCIA!T$62</f>
        <v>4.3584988519816731E-6</v>
      </c>
      <c r="AQ181" s="137">
        <f>Transportation_LCIA!U$61*($W181^Transportation_LCIA!U$60)+Transportation_LCIA!U$62</f>
        <v>6.204066649837317E-4</v>
      </c>
      <c r="AR181" s="137">
        <f>Transportation_LCIA!V$61*($W181^Transportation_LCIA!V$60)+Transportation_LCIA!V$62</f>
        <v>2.502258212971912E-4</v>
      </c>
      <c r="AT181" s="137">
        <f>$W181*Y181+$L181*Summary_LCIA!H$32</f>
        <v>237.43124746716185</v>
      </c>
      <c r="AU181" s="137">
        <f>$W181*Z181+$L181*Summary_LCIA!Q$32</f>
        <v>2465.5227521420616</v>
      </c>
      <c r="AV181" s="137">
        <f>$W181*AA181+$L181*Summary_LCIA!R$32</f>
        <v>1.2105661856108725</v>
      </c>
      <c r="AW181" s="137">
        <f>$W181*AB181+$L181*Summary_LCIA!S$32</f>
        <v>237.36633092716184</v>
      </c>
      <c r="AX181" s="137">
        <f>$W181*AC181+$L181*Summary_LCIA!T$32</f>
        <v>57.530675558914353</v>
      </c>
      <c r="AY181" s="137">
        <f>$W181*AD181+$L181*Summary_LCIA!U$32</f>
        <v>0.53687165399253867</v>
      </c>
      <c r="AZ181" s="137">
        <f>$W181*AE181+$L181*Summary_LCIA!V$32</f>
        <v>6.5698115043738466E-3</v>
      </c>
      <c r="BA181" s="137">
        <f>$W181*AF181+$L181*Summary_LCIA!W$32</f>
        <v>9.8167556392076882</v>
      </c>
      <c r="BB181" s="137">
        <f>$W181*AG181+$L181*Summary_LCIA!X$32</f>
        <v>12.239023928346295</v>
      </c>
      <c r="BC181" s="137">
        <f>$W181*AH181+$L181*Summary_LCIA!Y$32</f>
        <v>0.46629148940263065</v>
      </c>
      <c r="BD181" s="137">
        <f>$W181*AI181+$L181*Summary_LCIA!Z$32</f>
        <v>0.24042097236890148</v>
      </c>
      <c r="BE181" s="137">
        <f>$W181*AJ181+$L181*Summary_LCIA!AA$32</f>
        <v>1.3213208219968515</v>
      </c>
      <c r="BF181" s="137">
        <f>$W181*AK181+$L181*Summary_LCIA!AB$32</f>
        <v>5.8769884651052907E-2</v>
      </c>
      <c r="BG181" s="137">
        <f>$W181*AL181+$L181*Summary_LCIA!AC$32</f>
        <v>2.9292953126741906E-5</v>
      </c>
      <c r="BH181" s="137">
        <f>$W181*AM181+$L181*Summary_LCIA!AD$32</f>
        <v>0.10000932295290316</v>
      </c>
      <c r="BI181" s="137">
        <f>$W181*AN181+$L181*Summary_LCIA!AE$32</f>
        <v>0.29524266707947433</v>
      </c>
      <c r="BJ181" s="137">
        <f>$W181*AO181+$L181*Summary_LCIA!AF$32</f>
        <v>1.6673538116931702E-2</v>
      </c>
      <c r="BK181" s="137">
        <f>$W181*AP181+$L181*Summary_LCIA!AG$32</f>
        <v>5.0083149319317009E-3</v>
      </c>
      <c r="BL181" s="137">
        <f>$W181*AQ181+$L181*Summary_LCIA!AH$32</f>
        <v>0.73376797373300218</v>
      </c>
      <c r="BM181" s="137">
        <f>$W181*AR181+$L181*Summary_LCIA!AI$32</f>
        <v>0.25807199565303074</v>
      </c>
    </row>
    <row r="182" spans="1:65" x14ac:dyDescent="0.25">
      <c r="A182" s="149">
        <v>139</v>
      </c>
      <c r="B182" s="149">
        <v>6</v>
      </c>
      <c r="C182" s="61">
        <v>33.748995000000001</v>
      </c>
      <c r="D182" s="61">
        <v>-84.387981999999994</v>
      </c>
      <c r="E182" s="61" t="s">
        <v>265</v>
      </c>
      <c r="F182" s="149">
        <v>1</v>
      </c>
      <c r="G182" s="61" t="s">
        <v>565</v>
      </c>
      <c r="H182" s="61" t="s">
        <v>681</v>
      </c>
      <c r="I182" s="61">
        <v>33.640728000000003</v>
      </c>
      <c r="J182" s="61">
        <v>-84.427700000000002</v>
      </c>
      <c r="K182" s="61">
        <v>18.49134737</v>
      </c>
      <c r="L182" s="61">
        <v>14.686999999999999</v>
      </c>
      <c r="M182" s="61" t="s">
        <v>617</v>
      </c>
      <c r="N182" s="149">
        <v>5</v>
      </c>
      <c r="O182" s="149">
        <v>6</v>
      </c>
      <c r="P182" s="61" t="s">
        <v>565</v>
      </c>
      <c r="Q182" s="61" t="s">
        <v>564</v>
      </c>
      <c r="R182" s="61">
        <v>41.98028</v>
      </c>
      <c r="S182" s="61">
        <v>-87.908997900000003</v>
      </c>
      <c r="T182" s="61">
        <v>1180.386</v>
      </c>
      <c r="U182" s="61" t="s">
        <v>617</v>
      </c>
      <c r="V182" s="61" t="s">
        <v>569</v>
      </c>
      <c r="W182" s="61" cm="1">
        <f t="array" ref="W182">getDistance(I182,J182,R182,S182)*SA!$B$12</f>
        <v>976.67906347990493</v>
      </c>
      <c r="X182" s="61"/>
      <c r="Y182" s="137">
        <f>Transportation_LCIA!C$61*($W182^Transportation_LCIA!C$60)+Transportation_LCIA!C$62</f>
        <v>0.23799077256655485</v>
      </c>
      <c r="Z182" s="137">
        <f>Transportation_LCIA!D$61*($W182^Transportation_LCIA!D$60)+Transportation_LCIA!D$62</f>
        <v>2.4498664186649894</v>
      </c>
      <c r="AA182" s="137">
        <f>Transportation_LCIA!E$61*($W182^Transportation_LCIA!E$60)+Transportation_LCIA!E$62</f>
        <v>1.1602893527513285E-3</v>
      </c>
      <c r="AB182" s="137">
        <f>Transportation_LCIA!F$61*($W182^Transportation_LCIA!F$60)+Transportation_LCIA!F$62</f>
        <v>0.23799077256655485</v>
      </c>
      <c r="AC182" s="137">
        <f>Transportation_LCIA!G$61*($W182^Transportation_LCIA!G$60)+Transportation_LCIA!G$62</f>
        <v>5.7251738416183251E-2</v>
      </c>
      <c r="AD182" s="137">
        <f>Transportation_LCIA!H$61*($W182^Transportation_LCIA!H$60)+Transportation_LCIA!H$62</f>
        <v>2.8030572808339046E-4</v>
      </c>
      <c r="AE182" s="137">
        <f>Transportation_LCIA!I$61*($W182^Transportation_LCIA!I$60)+Transportation_LCIA!I$62</f>
        <v>6.0084688172437592E-6</v>
      </c>
      <c r="AF182" s="137">
        <f>Transportation_LCIA!J$61*($W182^Transportation_LCIA!J$60)+Transportation_LCIA!J$62</f>
        <v>8.8936917837252362E-3</v>
      </c>
      <c r="AG182" s="137">
        <f>Transportation_LCIA!K$61*($W182^Transportation_LCIA!K$60)+Transportation_LCIA!K$62</f>
        <v>1.2188706109794917E-2</v>
      </c>
      <c r="AH182" s="137">
        <f>Transportation_LCIA!L$61*($W182^Transportation_LCIA!L$60)+Transportation_LCIA!L$62</f>
        <v>2.4310816549771977E-4</v>
      </c>
      <c r="AI182" s="137">
        <f>Transportation_LCIA!M$61*($W182^Transportation_LCIA!M$60)+Transportation_LCIA!M$62</f>
        <v>2.455450128432447E-4</v>
      </c>
      <c r="AJ182" s="137">
        <f>Transportation_LCIA!N$61*($W182^Transportation_LCIA!N$60)+Transportation_LCIA!N$62</f>
        <v>1.0016506819662974E-3</v>
      </c>
      <c r="AK182" s="137">
        <f>Transportation_LCIA!O$61*($W182^Transportation_LCIA!O$60)+Transportation_LCIA!O$62</f>
        <v>6.050134712780058E-5</v>
      </c>
      <c r="AL182" s="137">
        <f>Transportation_LCIA!P$61*($W182^Transportation_LCIA!P$60)+Transportation_LCIA!P$62</f>
        <v>2.9257301489528483E-8</v>
      </c>
      <c r="AM182" s="137">
        <f>Transportation_LCIA!Q$61*($W182^Transportation_LCIA!Q$60)+Transportation_LCIA!Q$62</f>
        <v>9.6216231090364335E-5</v>
      </c>
      <c r="AN182" s="137">
        <f>Transportation_LCIA!R$61*($W182^Transportation_LCIA!R$60)+Transportation_LCIA!R$62</f>
        <v>2.8896705818992006E-4</v>
      </c>
      <c r="AO182" s="137">
        <f>Transportation_LCIA!S$61*($W182^Transportation_LCIA!S$60)+Transportation_LCIA!S$62</f>
        <v>4.3584988519816731E-6</v>
      </c>
      <c r="AP182" s="137">
        <f>Transportation_LCIA!T$61*($W182^Transportation_LCIA!T$60)+Transportation_LCIA!T$62</f>
        <v>4.3584988519816731E-6</v>
      </c>
      <c r="AQ182" s="137">
        <f>Transportation_LCIA!U$61*($W182^Transportation_LCIA!U$60)+Transportation_LCIA!U$62</f>
        <v>6.204066649837317E-4</v>
      </c>
      <c r="AR182" s="137">
        <f>Transportation_LCIA!V$61*($W182^Transportation_LCIA!V$60)+Transportation_LCIA!V$62</f>
        <v>2.502258212971912E-4</v>
      </c>
      <c r="AT182" s="137">
        <f>$W182*Y182+$L182*Summary_LCIA!H$32</f>
        <v>237.43124746716185</v>
      </c>
      <c r="AU182" s="137">
        <f>$W182*Z182+$L182*Summary_LCIA!Q$32</f>
        <v>2465.5227521420616</v>
      </c>
      <c r="AV182" s="137">
        <f>$W182*AA182+$L182*Summary_LCIA!R$32</f>
        <v>1.2105661856108725</v>
      </c>
      <c r="AW182" s="137">
        <f>$W182*AB182+$L182*Summary_LCIA!S$32</f>
        <v>237.36633092716184</v>
      </c>
      <c r="AX182" s="137">
        <f>$W182*AC182+$L182*Summary_LCIA!T$32</f>
        <v>57.530675558914353</v>
      </c>
      <c r="AY182" s="137">
        <f>$W182*AD182+$L182*Summary_LCIA!U$32</f>
        <v>0.53687165399253867</v>
      </c>
      <c r="AZ182" s="137">
        <f>$W182*AE182+$L182*Summary_LCIA!V$32</f>
        <v>6.5698115043738466E-3</v>
      </c>
      <c r="BA182" s="137">
        <f>$W182*AF182+$L182*Summary_LCIA!W$32</f>
        <v>9.8167556392076882</v>
      </c>
      <c r="BB182" s="137">
        <f>$W182*AG182+$L182*Summary_LCIA!X$32</f>
        <v>12.239023928346295</v>
      </c>
      <c r="BC182" s="137">
        <f>$W182*AH182+$L182*Summary_LCIA!Y$32</f>
        <v>0.46629148940263065</v>
      </c>
      <c r="BD182" s="137">
        <f>$W182*AI182+$L182*Summary_LCIA!Z$32</f>
        <v>0.24042097236890148</v>
      </c>
      <c r="BE182" s="137">
        <f>$W182*AJ182+$L182*Summary_LCIA!AA$32</f>
        <v>1.3213208219968515</v>
      </c>
      <c r="BF182" s="137">
        <f>$W182*AK182+$L182*Summary_LCIA!AB$32</f>
        <v>5.8769884651052907E-2</v>
      </c>
      <c r="BG182" s="137">
        <f>$W182*AL182+$L182*Summary_LCIA!AC$32</f>
        <v>2.9292953126741906E-5</v>
      </c>
      <c r="BH182" s="137">
        <f>$W182*AM182+$L182*Summary_LCIA!AD$32</f>
        <v>0.10000932295290316</v>
      </c>
      <c r="BI182" s="137">
        <f>$W182*AN182+$L182*Summary_LCIA!AE$32</f>
        <v>0.29524266707947433</v>
      </c>
      <c r="BJ182" s="137">
        <f>$W182*AO182+$L182*Summary_LCIA!AF$32</f>
        <v>1.6673538116931702E-2</v>
      </c>
      <c r="BK182" s="137">
        <f>$W182*AP182+$L182*Summary_LCIA!AG$32</f>
        <v>5.0083149319317009E-3</v>
      </c>
      <c r="BL182" s="137">
        <f>$W182*AQ182+$L182*Summary_LCIA!AH$32</f>
        <v>0.73376797373300218</v>
      </c>
      <c r="BM182" s="137">
        <f>$W182*AR182+$L182*Summary_LCIA!AI$32</f>
        <v>0.25807199565303074</v>
      </c>
    </row>
    <row r="183" spans="1:65" x14ac:dyDescent="0.25">
      <c r="A183" s="149">
        <v>205</v>
      </c>
      <c r="B183" s="149">
        <v>6</v>
      </c>
      <c r="C183" s="61">
        <v>33.774827999999999</v>
      </c>
      <c r="D183" s="61">
        <v>-84.296312</v>
      </c>
      <c r="E183" s="61" t="s">
        <v>265</v>
      </c>
      <c r="F183" s="149">
        <v>1</v>
      </c>
      <c r="G183" s="61" t="s">
        <v>565</v>
      </c>
      <c r="H183" s="61" t="s">
        <v>681</v>
      </c>
      <c r="I183" s="61">
        <v>33.640728000000003</v>
      </c>
      <c r="J183" s="61">
        <v>-84.427700000000002</v>
      </c>
      <c r="K183" s="61">
        <v>25.823667189999998</v>
      </c>
      <c r="L183" s="61">
        <v>26.882999999999999</v>
      </c>
      <c r="M183" s="61" t="s">
        <v>617</v>
      </c>
      <c r="N183" s="149">
        <v>5</v>
      </c>
      <c r="O183" s="149">
        <v>6</v>
      </c>
      <c r="P183" s="61" t="s">
        <v>565</v>
      </c>
      <c r="Q183" s="61" t="s">
        <v>564</v>
      </c>
      <c r="R183" s="61">
        <v>41.98028</v>
      </c>
      <c r="S183" s="61">
        <v>-87.908997900000003</v>
      </c>
      <c r="T183" s="61">
        <v>1188.9960000000001</v>
      </c>
      <c r="U183" s="61" t="s">
        <v>617</v>
      </c>
      <c r="V183" s="61" t="s">
        <v>569</v>
      </c>
      <c r="W183" s="61" cm="1">
        <f t="array" ref="W183">getDistance(I183,J183,R183,S183)*SA!$B$12</f>
        <v>976.67906347990493</v>
      </c>
      <c r="X183" s="61"/>
      <c r="Y183" s="137">
        <f>Transportation_LCIA!C$61*($W183^Transportation_LCIA!C$60)+Transportation_LCIA!C$62</f>
        <v>0.23799077256655485</v>
      </c>
      <c r="Z183" s="137">
        <f>Transportation_LCIA!D$61*($W183^Transportation_LCIA!D$60)+Transportation_LCIA!D$62</f>
        <v>2.4498664186649894</v>
      </c>
      <c r="AA183" s="137">
        <f>Transportation_LCIA!E$61*($W183^Transportation_LCIA!E$60)+Transportation_LCIA!E$62</f>
        <v>1.1602893527513285E-3</v>
      </c>
      <c r="AB183" s="137">
        <f>Transportation_LCIA!F$61*($W183^Transportation_LCIA!F$60)+Transportation_LCIA!F$62</f>
        <v>0.23799077256655485</v>
      </c>
      <c r="AC183" s="137">
        <f>Transportation_LCIA!G$61*($W183^Transportation_LCIA!G$60)+Transportation_LCIA!G$62</f>
        <v>5.7251738416183251E-2</v>
      </c>
      <c r="AD183" s="137">
        <f>Transportation_LCIA!H$61*($W183^Transportation_LCIA!H$60)+Transportation_LCIA!H$62</f>
        <v>2.8030572808339046E-4</v>
      </c>
      <c r="AE183" s="137">
        <f>Transportation_LCIA!I$61*($W183^Transportation_LCIA!I$60)+Transportation_LCIA!I$62</f>
        <v>6.0084688172437592E-6</v>
      </c>
      <c r="AF183" s="137">
        <f>Transportation_LCIA!J$61*($W183^Transportation_LCIA!J$60)+Transportation_LCIA!J$62</f>
        <v>8.8936917837252362E-3</v>
      </c>
      <c r="AG183" s="137">
        <f>Transportation_LCIA!K$61*($W183^Transportation_LCIA!K$60)+Transportation_LCIA!K$62</f>
        <v>1.2188706109794917E-2</v>
      </c>
      <c r="AH183" s="137">
        <f>Transportation_LCIA!L$61*($W183^Transportation_LCIA!L$60)+Transportation_LCIA!L$62</f>
        <v>2.4310816549771977E-4</v>
      </c>
      <c r="AI183" s="137">
        <f>Transportation_LCIA!M$61*($W183^Transportation_LCIA!M$60)+Transportation_LCIA!M$62</f>
        <v>2.455450128432447E-4</v>
      </c>
      <c r="AJ183" s="137">
        <f>Transportation_LCIA!N$61*($W183^Transportation_LCIA!N$60)+Transportation_LCIA!N$62</f>
        <v>1.0016506819662974E-3</v>
      </c>
      <c r="AK183" s="137">
        <f>Transportation_LCIA!O$61*($W183^Transportation_LCIA!O$60)+Transportation_LCIA!O$62</f>
        <v>6.050134712780058E-5</v>
      </c>
      <c r="AL183" s="137">
        <f>Transportation_LCIA!P$61*($W183^Transportation_LCIA!P$60)+Transportation_LCIA!P$62</f>
        <v>2.9257301489528483E-8</v>
      </c>
      <c r="AM183" s="137">
        <f>Transportation_LCIA!Q$61*($W183^Transportation_LCIA!Q$60)+Transportation_LCIA!Q$62</f>
        <v>9.6216231090364335E-5</v>
      </c>
      <c r="AN183" s="137">
        <f>Transportation_LCIA!R$61*($W183^Transportation_LCIA!R$60)+Transportation_LCIA!R$62</f>
        <v>2.8896705818992006E-4</v>
      </c>
      <c r="AO183" s="137">
        <f>Transportation_LCIA!S$61*($W183^Transportation_LCIA!S$60)+Transportation_LCIA!S$62</f>
        <v>4.3584988519816731E-6</v>
      </c>
      <c r="AP183" s="137">
        <f>Transportation_LCIA!T$61*($W183^Transportation_LCIA!T$60)+Transportation_LCIA!T$62</f>
        <v>4.3584988519816731E-6</v>
      </c>
      <c r="AQ183" s="137">
        <f>Transportation_LCIA!U$61*($W183^Transportation_LCIA!U$60)+Transportation_LCIA!U$62</f>
        <v>6.204066649837317E-4</v>
      </c>
      <c r="AR183" s="137">
        <f>Transportation_LCIA!V$61*($W183^Transportation_LCIA!V$60)+Transportation_LCIA!V$62</f>
        <v>2.502258212971912E-4</v>
      </c>
      <c r="AT183" s="137">
        <f>$W183*Y183+$L183*Summary_LCIA!H$32</f>
        <v>241.57544826716185</v>
      </c>
      <c r="AU183" s="137">
        <f>$W183*Z183+$L183*Summary_LCIA!Q$32</f>
        <v>2525.9667432229294</v>
      </c>
      <c r="AV183" s="137">
        <f>$W183*AA183+$L183*Summary_LCIA!R$32</f>
        <v>1.2747854432108725</v>
      </c>
      <c r="AW183" s="137">
        <f>$W183*AB183+$L183*Summary_LCIA!S$32</f>
        <v>241.45662540716185</v>
      </c>
      <c r="AX183" s="137">
        <f>$W183*AC183+$L183*Summary_LCIA!T$32</f>
        <v>58.871015958914349</v>
      </c>
      <c r="AY183" s="137">
        <f>$W183*AD183+$L183*Summary_LCIA!U$32</f>
        <v>0.75535079799253868</v>
      </c>
      <c r="AZ183" s="137">
        <f>$W183*AE183+$L183*Summary_LCIA!V$32</f>
        <v>7.1523046603738467E-3</v>
      </c>
      <c r="BA183" s="137">
        <f>$W183*AF183+$L183*Summary_LCIA!W$32</f>
        <v>10.755493955207688</v>
      </c>
      <c r="BB183" s="137">
        <f>$W183*AG183+$L183*Summary_LCIA!X$32</f>
        <v>12.516848808346296</v>
      </c>
      <c r="BC183" s="137">
        <f>$W183*AH183+$L183*Summary_LCIA!Y$32</f>
        <v>0.65632956140263066</v>
      </c>
      <c r="BD183" s="137">
        <f>$W183*AI183+$L183*Summary_LCIA!Z$32</f>
        <v>0.24092111813290146</v>
      </c>
      <c r="BE183" s="137">
        <f>$W183*AJ183+$L183*Summary_LCIA!AA$32</f>
        <v>1.6061705979968512</v>
      </c>
      <c r="BF183" s="137">
        <f>$W183*AK183+$L183*Summary_LCIA!AB$32</f>
        <v>5.8503731343052909E-2</v>
      </c>
      <c r="BG183" s="137">
        <f>$W183*AL183+$L183*Summary_LCIA!AC$32</f>
        <v>2.9889142390741906E-5</v>
      </c>
      <c r="BH183" s="137">
        <f>$W183*AM183+$L183*Summary_LCIA!AD$32</f>
        <v>0.10502236679290315</v>
      </c>
      <c r="BI183" s="137">
        <f>$W183*AN183+$L183*Summary_LCIA!AE$32</f>
        <v>0.30604990855947434</v>
      </c>
      <c r="BJ183" s="137">
        <f>$W183*AO183+$L183*Summary_LCIA!AF$32</f>
        <v>2.6984280436931702E-2</v>
      </c>
      <c r="BK183" s="137">
        <f>$W183*AP183+$L183*Summary_LCIA!AG$32</f>
        <v>5.632323271931701E-3</v>
      </c>
      <c r="BL183" s="137">
        <f>$W183*AQ183+$L183*Summary_LCIA!AH$32</f>
        <v>0.83991707933300219</v>
      </c>
      <c r="BM183" s="137">
        <f>$W183*AR183+$L183*Summary_LCIA!AI$32</f>
        <v>0.26943317945303075</v>
      </c>
    </row>
    <row r="184" spans="1:65" x14ac:dyDescent="0.25">
      <c r="A184" s="149">
        <v>18</v>
      </c>
      <c r="B184" s="149">
        <v>6</v>
      </c>
      <c r="C184" s="61">
        <v>34.679338999999999</v>
      </c>
      <c r="D184" s="61">
        <v>-82.835136000000006</v>
      </c>
      <c r="E184" s="61" t="s">
        <v>265</v>
      </c>
      <c r="F184" s="149">
        <v>34</v>
      </c>
      <c r="G184" s="61" t="s">
        <v>565</v>
      </c>
      <c r="H184" s="61" t="s">
        <v>633</v>
      </c>
      <c r="I184" s="61">
        <v>35.214402999999997</v>
      </c>
      <c r="J184" s="61">
        <v>-80.947315000000003</v>
      </c>
      <c r="K184" s="61">
        <v>198.3898093</v>
      </c>
      <c r="L184" s="61">
        <v>211.65</v>
      </c>
      <c r="M184" s="61" t="s">
        <v>617</v>
      </c>
      <c r="N184" s="149">
        <v>5</v>
      </c>
      <c r="O184" s="149">
        <v>6</v>
      </c>
      <c r="P184" s="61" t="s">
        <v>565</v>
      </c>
      <c r="Q184" s="61" t="s">
        <v>564</v>
      </c>
      <c r="R184" s="61">
        <v>41.98028</v>
      </c>
      <c r="S184" s="61">
        <v>-87.908997900000003</v>
      </c>
      <c r="T184" s="61">
        <v>1203.3340000000001</v>
      </c>
      <c r="U184" s="61" t="s">
        <v>617</v>
      </c>
      <c r="V184" s="61" t="s">
        <v>569</v>
      </c>
      <c r="W184" s="61" cm="1">
        <f t="array" ref="W184">getDistance(I184,J184,R184,S184)*SA!$B$12</f>
        <v>965.81934331629839</v>
      </c>
      <c r="X184" s="61"/>
      <c r="Y184" s="137">
        <f>Transportation_LCIA!C$61*($W184^Transportation_LCIA!C$60)+Transportation_LCIA!C$62</f>
        <v>0.23917916746170043</v>
      </c>
      <c r="Z184" s="137">
        <f>Transportation_LCIA!D$61*($W184^Transportation_LCIA!D$60)+Transportation_LCIA!D$62</f>
        <v>2.4637498822292629</v>
      </c>
      <c r="AA184" s="137">
        <f>Transportation_LCIA!E$61*($W184^Transportation_LCIA!E$60)+Transportation_LCIA!E$62</f>
        <v>1.1694202797749105E-3</v>
      </c>
      <c r="AB184" s="137">
        <f>Transportation_LCIA!F$61*($W184^Transportation_LCIA!F$60)+Transportation_LCIA!F$62</f>
        <v>0.23917916746170043</v>
      </c>
      <c r="AC184" s="137">
        <f>Transportation_LCIA!G$61*($W184^Transportation_LCIA!G$60)+Transportation_LCIA!G$62</f>
        <v>5.7572922745648923E-2</v>
      </c>
      <c r="AD184" s="137">
        <f>Transportation_LCIA!H$61*($W184^Transportation_LCIA!H$60)+Transportation_LCIA!H$62</f>
        <v>2.8231462329926001E-4</v>
      </c>
      <c r="AE184" s="137">
        <f>Transportation_LCIA!I$61*($W184^Transportation_LCIA!I$60)+Transportation_LCIA!I$62</f>
        <v>6.0590881500882351E-6</v>
      </c>
      <c r="AF184" s="137">
        <f>Transportation_LCIA!J$61*($W184^Transportation_LCIA!J$60)+Transportation_LCIA!J$62</f>
        <v>8.9691244315593405E-3</v>
      </c>
      <c r="AG184" s="137">
        <f>Transportation_LCIA!K$61*($W184^Transportation_LCIA!K$60)+Transportation_LCIA!K$62</f>
        <v>1.2263721703450336E-2</v>
      </c>
      <c r="AH184" s="137">
        <f>Transportation_LCIA!L$61*($W184^Transportation_LCIA!L$60)+Transportation_LCIA!L$62</f>
        <v>2.449555211742904E-4</v>
      </c>
      <c r="AI184" s="137">
        <f>Transportation_LCIA!M$61*($W184^Transportation_LCIA!M$60)+Transportation_LCIA!M$62</f>
        <v>2.4665373974360274E-4</v>
      </c>
      <c r="AJ184" s="137">
        <f>Transportation_LCIA!N$61*($W184^Transportation_LCIA!N$60)+Transportation_LCIA!N$62</f>
        <v>1.0084044075747351E-3</v>
      </c>
      <c r="AK184" s="137">
        <f>Transportation_LCIA!O$61*($W184^Transportation_LCIA!O$60)+Transportation_LCIA!O$62</f>
        <v>6.0842656849062702E-5</v>
      </c>
      <c r="AL184" s="137">
        <f>Transportation_LCIA!P$61*($W184^Transportation_LCIA!P$60)+Transportation_LCIA!P$62</f>
        <v>2.9421386486163209E-8</v>
      </c>
      <c r="AM184" s="137">
        <f>Transportation_LCIA!Q$61*($W184^Transportation_LCIA!Q$60)+Transportation_LCIA!Q$62</f>
        <v>9.693865430446136E-5</v>
      </c>
      <c r="AN184" s="137">
        <f>Transportation_LCIA!R$61*($W184^Transportation_LCIA!R$60)+Transportation_LCIA!R$62</f>
        <v>2.9139446096429532E-4</v>
      </c>
      <c r="AO184" s="137">
        <f>Transportation_LCIA!S$61*($W184^Transportation_LCIA!S$60)+Transportation_LCIA!S$62</f>
        <v>4.3929473757171984E-6</v>
      </c>
      <c r="AP184" s="137">
        <f>Transportation_LCIA!T$61*($W184^Transportation_LCIA!T$60)+Transportation_LCIA!T$62</f>
        <v>4.3929473757171984E-6</v>
      </c>
      <c r="AQ184" s="137">
        <f>Transportation_LCIA!U$61*($W184^Transportation_LCIA!U$60)+Transportation_LCIA!U$62</f>
        <v>6.2573096450825355E-4</v>
      </c>
      <c r="AR184" s="137">
        <f>Transportation_LCIA!V$61*($W184^Transportation_LCIA!V$60)+Transportation_LCIA!V$62</f>
        <v>2.5210555325466699E-4</v>
      </c>
      <c r="AT184" s="137">
        <f>$W184*Y184+$L184*Summary_LCIA!H$32</f>
        <v>302.92253645279845</v>
      </c>
      <c r="AU184" s="137">
        <f>$W184*Z184+$L184*Summary_LCIA!Q$32</f>
        <v>3428.485367494724</v>
      </c>
      <c r="AV184" s="137">
        <f>$W184*AA184+$L184*Summary_LCIA!R$32</f>
        <v>2.243912966672966</v>
      </c>
      <c r="AW184" s="137">
        <f>$W184*AB184+$L184*Summary_LCIA!S$32</f>
        <v>301.98704345279845</v>
      </c>
      <c r="AX184" s="137">
        <f>$W184*AC184+$L184*Summary_LCIA!T$32</f>
        <v>78.865377439002629</v>
      </c>
      <c r="AY184" s="137">
        <f>$W184*AD184+$L184*Summary_LCIA!U$32</f>
        <v>4.0641630240834798</v>
      </c>
      <c r="AZ184" s="137">
        <f>$W184*AE184+$L184*Summary_LCIA!V$32</f>
        <v>1.5960600188213783E-2</v>
      </c>
      <c r="BA184" s="137">
        <f>$W184*AF184+$L184*Summary_LCIA!W$32</f>
        <v>24.953466018610811</v>
      </c>
      <c r="BB184" s="137">
        <f>$W184*AG184+$L184*Summary_LCIA!X$32</f>
        <v>16.66592664224024</v>
      </c>
      <c r="BC184" s="137">
        <f>$W184*AH184+$L184*Summary_LCIA!Y$32</f>
        <v>3.5345130806022547</v>
      </c>
      <c r="BD184" s="137">
        <f>$W184*AI184+$L184*Summary_LCIA!Z$32</f>
        <v>0.24690250779567557</v>
      </c>
      <c r="BE184" s="137">
        <f>$W184*AJ184+$L184*Summary_LCIA!AA$32</f>
        <v>5.9172338827210913</v>
      </c>
      <c r="BF184" s="137">
        <f>$W184*AK184+$L184*Summary_LCIA!AB$32</f>
        <v>5.4144176933580618E-2</v>
      </c>
      <c r="BG184" s="137">
        <f>$W184*AL184+$L184*Summary_LCIA!AC$32</f>
        <v>3.8762042775521168E-5</v>
      </c>
      <c r="BH184" s="137">
        <f>$W184*AM184+$L184*Summary_LCIA!AD$32</f>
        <v>0.18062184344230053</v>
      </c>
      <c r="BI184" s="137">
        <f>$W184*AN184+$L184*Summary_LCIA!AE$32</f>
        <v>0.46898382143454242</v>
      </c>
      <c r="BJ184" s="137">
        <f>$W184*AO184+$L184*Summary_LCIA!AF$32</f>
        <v>0.18317593654963826</v>
      </c>
      <c r="BK184" s="137">
        <f>$W184*AP184+$L184*Summary_LCIA!AG$32</f>
        <v>1.5071865799638241E-2</v>
      </c>
      <c r="BL184" s="137">
        <f>$W184*AQ184+$L184*Summary_LCIA!AH$32</f>
        <v>2.4464600092340358</v>
      </c>
      <c r="BM184" s="137">
        <f>$W184*AR184+$L184*Summary_LCIA!AI$32</f>
        <v>0.4406509773908146</v>
      </c>
    </row>
    <row r="185" spans="1:65" x14ac:dyDescent="0.25">
      <c r="A185" s="149">
        <v>45</v>
      </c>
      <c r="B185" s="149">
        <v>6</v>
      </c>
      <c r="C185" s="61">
        <v>40.698720999999999</v>
      </c>
      <c r="D185" s="61">
        <v>-75.211763000000005</v>
      </c>
      <c r="E185" s="61" t="s">
        <v>265</v>
      </c>
      <c r="F185" s="149">
        <v>43</v>
      </c>
      <c r="G185" s="61" t="s">
        <v>565</v>
      </c>
      <c r="H185" s="61" t="s">
        <v>632</v>
      </c>
      <c r="I185" s="61">
        <v>40.689531000000002</v>
      </c>
      <c r="J185" s="61">
        <v>-74.174462000000005</v>
      </c>
      <c r="K185" s="61">
        <v>88.768893129999995</v>
      </c>
      <c r="L185" s="61">
        <v>99.001999999999995</v>
      </c>
      <c r="M185" s="61" t="s">
        <v>617</v>
      </c>
      <c r="N185" s="149">
        <v>5</v>
      </c>
      <c r="O185" s="149">
        <v>6</v>
      </c>
      <c r="P185" s="61" t="s">
        <v>565</v>
      </c>
      <c r="Q185" s="61" t="s">
        <v>564</v>
      </c>
      <c r="R185" s="61">
        <v>41.98028</v>
      </c>
      <c r="S185" s="61">
        <v>-87.908997900000003</v>
      </c>
      <c r="T185" s="61">
        <v>1209.4459999999999</v>
      </c>
      <c r="U185" s="61" t="s">
        <v>617</v>
      </c>
      <c r="V185" s="61" t="s">
        <v>569</v>
      </c>
      <c r="W185" s="61" cm="1">
        <f t="array" ref="W185">getDistance(I185,J185,R185,S185)*SA!$B$12</f>
        <v>1157.3544072648172</v>
      </c>
      <c r="X185" s="61"/>
      <c r="Y185" s="137">
        <f>Transportation_LCIA!C$61*($W185^Transportation_LCIA!C$60)+Transportation_LCIA!C$62</f>
        <v>0.22125487054982909</v>
      </c>
      <c r="Z185" s="137">
        <f>Transportation_LCIA!D$61*($W185^Transportation_LCIA!D$60)+Transportation_LCIA!D$62</f>
        <v>2.2550976254597064</v>
      </c>
      <c r="AA185" s="137">
        <f>Transportation_LCIA!E$61*($W185^Transportation_LCIA!E$60)+Transportation_LCIA!E$62</f>
        <v>1.0323310860369151E-3</v>
      </c>
      <c r="AB185" s="137">
        <f>Transportation_LCIA!F$61*($W185^Transportation_LCIA!F$60)+Transportation_LCIA!F$62</f>
        <v>0.22125487054982909</v>
      </c>
      <c r="AC185" s="137">
        <f>Transportation_LCIA!G$61*($W185^Transportation_LCIA!G$60)+Transportation_LCIA!G$62</f>
        <v>5.2744888954963348E-2</v>
      </c>
      <c r="AD185" s="137">
        <f>Transportation_LCIA!H$61*($W185^Transportation_LCIA!H$60)+Transportation_LCIA!H$62</f>
        <v>2.5221347446689263E-4</v>
      </c>
      <c r="AE185" s="137">
        <f>Transportation_LCIA!I$61*($W185^Transportation_LCIA!I$60)+Transportation_LCIA!I$62</f>
        <v>5.3030314161226812E-6</v>
      </c>
      <c r="AF185" s="137">
        <f>Transportation_LCIA!J$61*($W185^Transportation_LCIA!J$60)+Transportation_LCIA!J$62</f>
        <v>7.8448001251838345E-3</v>
      </c>
      <c r="AG185" s="137">
        <f>Transportation_LCIA!K$61*($W185^Transportation_LCIA!K$60)+Transportation_LCIA!K$62</f>
        <v>1.1138126610856905E-2</v>
      </c>
      <c r="AH185" s="137">
        <f>Transportation_LCIA!L$61*($W185^Transportation_LCIA!L$60)+Transportation_LCIA!L$62</f>
        <v>2.173000581713352E-4</v>
      </c>
      <c r="AI185" s="137">
        <f>Transportation_LCIA!M$61*($W185^Transportation_LCIA!M$60)+Transportation_LCIA!M$62</f>
        <v>2.3004244817644541E-4</v>
      </c>
      <c r="AJ185" s="137">
        <f>Transportation_LCIA!N$61*($W185^Transportation_LCIA!N$60)+Transportation_LCIA!N$62</f>
        <v>9.0718132319716257E-4</v>
      </c>
      <c r="AK185" s="137">
        <f>Transportation_LCIA!O$61*($W185^Transportation_LCIA!O$60)+Transportation_LCIA!O$62</f>
        <v>5.5712603527285817E-5</v>
      </c>
      <c r="AL185" s="137">
        <f>Transportation_LCIA!P$61*($W185^Transportation_LCIA!P$60)+Transportation_LCIA!P$62</f>
        <v>2.6954451201708154E-8</v>
      </c>
      <c r="AM185" s="137">
        <f>Transportation_LCIA!Q$61*($W185^Transportation_LCIA!Q$60)+Transportation_LCIA!Q$62</f>
        <v>8.6129062862737627E-5</v>
      </c>
      <c r="AN185" s="137">
        <f>Transportation_LCIA!R$61*($W185^Transportation_LCIA!R$60)+Transportation_LCIA!R$62</f>
        <v>2.5514126484247728E-4</v>
      </c>
      <c r="AO185" s="137">
        <f>Transportation_LCIA!S$61*($W185^Transportation_LCIA!S$60)+Transportation_LCIA!S$62</f>
        <v>3.8783860198243708E-6</v>
      </c>
      <c r="AP185" s="137">
        <f>Transportation_LCIA!T$61*($W185^Transportation_LCIA!T$60)+Transportation_LCIA!T$62</f>
        <v>3.8783860198243708E-6</v>
      </c>
      <c r="AQ185" s="137">
        <f>Transportation_LCIA!U$61*($W185^Transportation_LCIA!U$60)+Transportation_LCIA!U$62</f>
        <v>5.4626083703188067E-4</v>
      </c>
      <c r="AR185" s="137">
        <f>Transportation_LCIA!V$61*($W185^Transportation_LCIA!V$60)+Transportation_LCIA!V$62</f>
        <v>2.2399696302769612E-4</v>
      </c>
      <c r="AT185" s="137">
        <f>$W185*Y185+$L185*Summary_LCIA!H$32</f>
        <v>289.71117915965129</v>
      </c>
      <c r="AU185" s="137">
        <f>$W185*Z185+$L185*Summary_LCIA!Q$32</f>
        <v>3100.6060806060809</v>
      </c>
      <c r="AV185" s="137">
        <f>$W185*AA185+$L185*Summary_LCIA!R$32</f>
        <v>1.7160778633812988</v>
      </c>
      <c r="AW185" s="137">
        <f>$W185*AB185+$L185*Summary_LCIA!S$32</f>
        <v>289.2735903196513</v>
      </c>
      <c r="AX185" s="137">
        <f>$W185*AC185+$L185*Summary_LCIA!T$32</f>
        <v>71.924849492720199</v>
      </c>
      <c r="AY185" s="137">
        <f>$W185*AD185+$L185*Summary_LCIA!U$32</f>
        <v>2.0654222042458303</v>
      </c>
      <c r="AZ185" s="137">
        <f>$W185*AE185+$L185*Summary_LCIA!V$32</f>
        <v>1.086592130331337E-2</v>
      </c>
      <c r="BA185" s="137">
        <f>$W185*AF185+$L185*Summary_LCIA!W$32</f>
        <v>16.6994969409931</v>
      </c>
      <c r="BB185" s="137">
        <f>$W185*AG185+$L185*Summary_LCIA!X$32</f>
        <v>15.146025481748779</v>
      </c>
      <c r="BC185" s="137">
        <f>$W185*AH185+$L185*Summary_LCIA!Y$32</f>
        <v>1.7941423440234958</v>
      </c>
      <c r="BD185" s="137">
        <f>$W185*AI185+$L185*Summary_LCIA!Z$32</f>
        <v>0.2703006142729974</v>
      </c>
      <c r="BE185" s="137">
        <f>$W185*AJ185+$L185*Summary_LCIA!AA$32</f>
        <v>3.3622210145905642</v>
      </c>
      <c r="BF185" s="137">
        <f>$W185*AK185+$L185*Summary_LCIA!AB$32</f>
        <v>6.231870658650164E-2</v>
      </c>
      <c r="BG185" s="137">
        <f>$W185*AL185+$L185*Summary_LCIA!AC$32</f>
        <v>3.6035466661701377E-5</v>
      </c>
      <c r="BH185" s="137">
        <f>$W185*AM185+$L185*Summary_LCIA!AD$32</f>
        <v>0.14037563257777788</v>
      </c>
      <c r="BI185" s="137">
        <f>$W185*AN185+$L185*Summary_LCIA!AE$32</f>
        <v>0.38301750960056102</v>
      </c>
      <c r="BJ185" s="137">
        <f>$W185*AO185+$L185*Summary_LCIA!AF$32</f>
        <v>8.8186937993117998E-2</v>
      </c>
      <c r="BK185" s="137">
        <f>$W185*AP185+$L185*Summary_LCIA!AG$32</f>
        <v>9.5541044831179874E-3</v>
      </c>
      <c r="BL185" s="137">
        <f>$W185*AQ185+$L185*Summary_LCIA!AH$32</f>
        <v>1.4938911944550151</v>
      </c>
      <c r="BM185" s="137">
        <f>$W185*AR185+$L185*Summary_LCIA!AI$32</f>
        <v>0.35146918547403838</v>
      </c>
    </row>
    <row r="186" spans="1:65" x14ac:dyDescent="0.25">
      <c r="A186" s="149">
        <v>76</v>
      </c>
      <c r="B186" s="149">
        <v>6</v>
      </c>
      <c r="C186" s="61">
        <v>40.606834999999997</v>
      </c>
      <c r="D186" s="61">
        <v>-75.380168999999995</v>
      </c>
      <c r="E186" s="61" t="s">
        <v>265</v>
      </c>
      <c r="F186" s="149">
        <v>43</v>
      </c>
      <c r="G186" s="61" t="s">
        <v>565</v>
      </c>
      <c r="H186" s="61" t="s">
        <v>632</v>
      </c>
      <c r="I186" s="61">
        <v>40.689531000000002</v>
      </c>
      <c r="J186" s="61">
        <v>-74.174462000000005</v>
      </c>
      <c r="K186" s="61">
        <v>105.6453843</v>
      </c>
      <c r="L186" s="61">
        <v>119.545</v>
      </c>
      <c r="M186" s="61" t="s">
        <v>617</v>
      </c>
      <c r="N186" s="149">
        <v>5</v>
      </c>
      <c r="O186" s="149">
        <v>6</v>
      </c>
      <c r="P186" s="61" t="s">
        <v>565</v>
      </c>
      <c r="Q186" s="61" t="s">
        <v>564</v>
      </c>
      <c r="R186" s="61">
        <v>41.98028</v>
      </c>
      <c r="S186" s="61">
        <v>-87.908997900000003</v>
      </c>
      <c r="T186" s="61">
        <v>1212.3969999999999</v>
      </c>
      <c r="U186" s="61" t="s">
        <v>617</v>
      </c>
      <c r="V186" s="61" t="s">
        <v>569</v>
      </c>
      <c r="W186" s="61" cm="1">
        <f t="array" ref="W186">getDistance(I186,J186,R186,S186)*SA!$B$12</f>
        <v>1157.3544072648172</v>
      </c>
      <c r="X186" s="61"/>
      <c r="Y186" s="137">
        <f>Transportation_LCIA!C$61*($W186^Transportation_LCIA!C$60)+Transportation_LCIA!C$62</f>
        <v>0.22125487054982909</v>
      </c>
      <c r="Z186" s="137">
        <f>Transportation_LCIA!D$61*($W186^Transportation_LCIA!D$60)+Transportation_LCIA!D$62</f>
        <v>2.2550976254597064</v>
      </c>
      <c r="AA186" s="137">
        <f>Transportation_LCIA!E$61*($W186^Transportation_LCIA!E$60)+Transportation_LCIA!E$62</f>
        <v>1.0323310860369151E-3</v>
      </c>
      <c r="AB186" s="137">
        <f>Transportation_LCIA!F$61*($W186^Transportation_LCIA!F$60)+Transportation_LCIA!F$62</f>
        <v>0.22125487054982909</v>
      </c>
      <c r="AC186" s="137">
        <f>Transportation_LCIA!G$61*($W186^Transportation_LCIA!G$60)+Transportation_LCIA!G$62</f>
        <v>5.2744888954963348E-2</v>
      </c>
      <c r="AD186" s="137">
        <f>Transportation_LCIA!H$61*($W186^Transportation_LCIA!H$60)+Transportation_LCIA!H$62</f>
        <v>2.5221347446689263E-4</v>
      </c>
      <c r="AE186" s="137">
        <f>Transportation_LCIA!I$61*($W186^Transportation_LCIA!I$60)+Transportation_LCIA!I$62</f>
        <v>5.3030314161226812E-6</v>
      </c>
      <c r="AF186" s="137">
        <f>Transportation_LCIA!J$61*($W186^Transportation_LCIA!J$60)+Transportation_LCIA!J$62</f>
        <v>7.8448001251838345E-3</v>
      </c>
      <c r="AG186" s="137">
        <f>Transportation_LCIA!K$61*($W186^Transportation_LCIA!K$60)+Transportation_LCIA!K$62</f>
        <v>1.1138126610856905E-2</v>
      </c>
      <c r="AH186" s="137">
        <f>Transportation_LCIA!L$61*($W186^Transportation_LCIA!L$60)+Transportation_LCIA!L$62</f>
        <v>2.173000581713352E-4</v>
      </c>
      <c r="AI186" s="137">
        <f>Transportation_LCIA!M$61*($W186^Transportation_LCIA!M$60)+Transportation_LCIA!M$62</f>
        <v>2.3004244817644541E-4</v>
      </c>
      <c r="AJ186" s="137">
        <f>Transportation_LCIA!N$61*($W186^Transportation_LCIA!N$60)+Transportation_LCIA!N$62</f>
        <v>9.0718132319716257E-4</v>
      </c>
      <c r="AK186" s="137">
        <f>Transportation_LCIA!O$61*($W186^Transportation_LCIA!O$60)+Transportation_LCIA!O$62</f>
        <v>5.5712603527285817E-5</v>
      </c>
      <c r="AL186" s="137">
        <f>Transportation_LCIA!P$61*($W186^Transportation_LCIA!P$60)+Transportation_LCIA!P$62</f>
        <v>2.6954451201708154E-8</v>
      </c>
      <c r="AM186" s="137">
        <f>Transportation_LCIA!Q$61*($W186^Transportation_LCIA!Q$60)+Transportation_LCIA!Q$62</f>
        <v>8.6129062862737627E-5</v>
      </c>
      <c r="AN186" s="137">
        <f>Transportation_LCIA!R$61*($W186^Transportation_LCIA!R$60)+Transportation_LCIA!R$62</f>
        <v>2.5514126484247728E-4</v>
      </c>
      <c r="AO186" s="137">
        <f>Transportation_LCIA!S$61*($W186^Transportation_LCIA!S$60)+Transportation_LCIA!S$62</f>
        <v>3.8783860198243708E-6</v>
      </c>
      <c r="AP186" s="137">
        <f>Transportation_LCIA!T$61*($W186^Transportation_LCIA!T$60)+Transportation_LCIA!T$62</f>
        <v>3.8783860198243708E-6</v>
      </c>
      <c r="AQ186" s="137">
        <f>Transportation_LCIA!U$61*($W186^Transportation_LCIA!U$60)+Transportation_LCIA!U$62</f>
        <v>5.4626083703188067E-4</v>
      </c>
      <c r="AR186" s="137">
        <f>Transportation_LCIA!V$61*($W186^Transportation_LCIA!V$60)+Transportation_LCIA!V$62</f>
        <v>2.2399696302769612E-4</v>
      </c>
      <c r="AT186" s="137">
        <f>$W186*Y186+$L186*Summary_LCIA!H$32</f>
        <v>296.69169055965131</v>
      </c>
      <c r="AU186" s="137">
        <f>$W186*Z186+$L186*Summary_LCIA!Q$32</f>
        <v>3202.4182246512</v>
      </c>
      <c r="AV186" s="137">
        <f>$W186*AA186+$L186*Summary_LCIA!R$32</f>
        <v>1.8242490841812988</v>
      </c>
      <c r="AW186" s="137">
        <f>$W186*AB186+$L186*Summary_LCIA!S$32</f>
        <v>296.16330165965127</v>
      </c>
      <c r="AX186" s="137">
        <f>$W186*AC186+$L186*Summary_LCIA!T$32</f>
        <v>74.182525192720206</v>
      </c>
      <c r="AY186" s="137">
        <f>$W186*AD186+$L186*Summary_LCIA!U$32</f>
        <v>2.4334295062458304</v>
      </c>
      <c r="AZ186" s="137">
        <f>$W186*AE186+$L186*Summary_LCIA!V$32</f>
        <v>1.184707552631337E-2</v>
      </c>
      <c r="BA186" s="137">
        <f>$W186*AF186+$L186*Summary_LCIA!W$32</f>
        <v>18.2807121939931</v>
      </c>
      <c r="BB186" s="137">
        <f>$W186*AG186+$L186*Summary_LCIA!X$32</f>
        <v>15.61399502174878</v>
      </c>
      <c r="BC186" s="137">
        <f>$W186*AH186+$L186*Summary_LCIA!Y$32</f>
        <v>2.1142433700234959</v>
      </c>
      <c r="BD186" s="137">
        <f>$W186*AI186+$L186*Summary_LCIA!Z$32</f>
        <v>0.27114306215999739</v>
      </c>
      <c r="BE186" s="137">
        <f>$W186*AJ186+$L186*Summary_LCIA!AA$32</f>
        <v>3.8420233225905642</v>
      </c>
      <c r="BF186" s="137">
        <f>$W186*AK186+$L186*Summary_LCIA!AB$32</f>
        <v>6.1870396697501641E-2</v>
      </c>
      <c r="BG186" s="137">
        <f>$W186*AL186+$L186*Summary_LCIA!AC$32</f>
        <v>3.703969067370138E-5</v>
      </c>
      <c r="BH186" s="137">
        <f>$W186*AM186+$L186*Summary_LCIA!AD$32</f>
        <v>0.14881962729777787</v>
      </c>
      <c r="BI186" s="137">
        <f>$W186*AN186+$L186*Summary_LCIA!AE$32</f>
        <v>0.40122127819056103</v>
      </c>
      <c r="BJ186" s="137">
        <f>$W186*AO186+$L186*Summary_LCIA!AF$32</f>
        <v>0.105554401053118</v>
      </c>
      <c r="BK186" s="137">
        <f>$W186*AP186+$L186*Summary_LCIA!AG$32</f>
        <v>1.0605187078117988E-2</v>
      </c>
      <c r="BL186" s="137">
        <f>$W186*AQ186+$L186*Summary_LCIA!AH$32</f>
        <v>1.6726892492550154</v>
      </c>
      <c r="BM186" s="137">
        <f>$W186*AR186+$L186*Summary_LCIA!AI$32</f>
        <v>0.3706060171240384</v>
      </c>
    </row>
    <row r="187" spans="1:65" x14ac:dyDescent="0.25">
      <c r="A187" s="149">
        <v>247</v>
      </c>
      <c r="B187" s="149">
        <v>6</v>
      </c>
      <c r="C187" s="61">
        <v>40.883676999999999</v>
      </c>
      <c r="D187" s="61">
        <v>-74.657272000000006</v>
      </c>
      <c r="E187" s="61" t="s">
        <v>265</v>
      </c>
      <c r="F187" s="149">
        <v>43</v>
      </c>
      <c r="G187" s="61" t="s">
        <v>565</v>
      </c>
      <c r="H187" s="61" t="s">
        <v>632</v>
      </c>
      <c r="I187" s="61">
        <v>40.689531000000002</v>
      </c>
      <c r="J187" s="61">
        <v>-74.174462000000005</v>
      </c>
      <c r="K187" s="61">
        <v>48.085556680000003</v>
      </c>
      <c r="L187" s="61">
        <v>63.673000000000002</v>
      </c>
      <c r="M187" s="61" t="s">
        <v>617</v>
      </c>
      <c r="N187" s="149">
        <v>5</v>
      </c>
      <c r="O187" s="149">
        <v>6</v>
      </c>
      <c r="P187" s="61" t="s">
        <v>565</v>
      </c>
      <c r="Q187" s="61" t="s">
        <v>564</v>
      </c>
      <c r="R187" s="61">
        <v>41.98028</v>
      </c>
      <c r="S187" s="61">
        <v>-87.908997900000003</v>
      </c>
      <c r="T187" s="61">
        <v>1233.18</v>
      </c>
      <c r="U187" s="61" t="s">
        <v>617</v>
      </c>
      <c r="V187" s="61" t="s">
        <v>569</v>
      </c>
      <c r="W187" s="61" cm="1">
        <f t="array" ref="W187">getDistance(I187,J187,R187,S187)*SA!$B$12</f>
        <v>1157.3544072648172</v>
      </c>
      <c r="X187" s="61"/>
      <c r="Y187" s="137">
        <f>Transportation_LCIA!C$61*($W187^Transportation_LCIA!C$60)+Transportation_LCIA!C$62</f>
        <v>0.22125487054982909</v>
      </c>
      <c r="Z187" s="137">
        <f>Transportation_LCIA!D$61*($W187^Transportation_LCIA!D$60)+Transportation_LCIA!D$62</f>
        <v>2.2550976254597064</v>
      </c>
      <c r="AA187" s="137">
        <f>Transportation_LCIA!E$61*($W187^Transportation_LCIA!E$60)+Transportation_LCIA!E$62</f>
        <v>1.0323310860369151E-3</v>
      </c>
      <c r="AB187" s="137">
        <f>Transportation_LCIA!F$61*($W187^Transportation_LCIA!F$60)+Transportation_LCIA!F$62</f>
        <v>0.22125487054982909</v>
      </c>
      <c r="AC187" s="137">
        <f>Transportation_LCIA!G$61*($W187^Transportation_LCIA!G$60)+Transportation_LCIA!G$62</f>
        <v>5.2744888954963348E-2</v>
      </c>
      <c r="AD187" s="137">
        <f>Transportation_LCIA!H$61*($W187^Transportation_LCIA!H$60)+Transportation_LCIA!H$62</f>
        <v>2.5221347446689263E-4</v>
      </c>
      <c r="AE187" s="137">
        <f>Transportation_LCIA!I$61*($W187^Transportation_LCIA!I$60)+Transportation_LCIA!I$62</f>
        <v>5.3030314161226812E-6</v>
      </c>
      <c r="AF187" s="137">
        <f>Transportation_LCIA!J$61*($W187^Transportation_LCIA!J$60)+Transportation_LCIA!J$62</f>
        <v>7.8448001251838345E-3</v>
      </c>
      <c r="AG187" s="137">
        <f>Transportation_LCIA!K$61*($W187^Transportation_LCIA!K$60)+Transportation_LCIA!K$62</f>
        <v>1.1138126610856905E-2</v>
      </c>
      <c r="AH187" s="137">
        <f>Transportation_LCIA!L$61*($W187^Transportation_LCIA!L$60)+Transportation_LCIA!L$62</f>
        <v>2.173000581713352E-4</v>
      </c>
      <c r="AI187" s="137">
        <f>Transportation_LCIA!M$61*($W187^Transportation_LCIA!M$60)+Transportation_LCIA!M$62</f>
        <v>2.3004244817644541E-4</v>
      </c>
      <c r="AJ187" s="137">
        <f>Transportation_LCIA!N$61*($W187^Transportation_LCIA!N$60)+Transportation_LCIA!N$62</f>
        <v>9.0718132319716257E-4</v>
      </c>
      <c r="AK187" s="137">
        <f>Transportation_LCIA!O$61*($W187^Transportation_LCIA!O$60)+Transportation_LCIA!O$62</f>
        <v>5.5712603527285817E-5</v>
      </c>
      <c r="AL187" s="137">
        <f>Transportation_LCIA!P$61*($W187^Transportation_LCIA!P$60)+Transportation_LCIA!P$62</f>
        <v>2.6954451201708154E-8</v>
      </c>
      <c r="AM187" s="137">
        <f>Transportation_LCIA!Q$61*($W187^Transportation_LCIA!Q$60)+Transportation_LCIA!Q$62</f>
        <v>8.6129062862737627E-5</v>
      </c>
      <c r="AN187" s="137">
        <f>Transportation_LCIA!R$61*($W187^Transportation_LCIA!R$60)+Transportation_LCIA!R$62</f>
        <v>2.5514126484247728E-4</v>
      </c>
      <c r="AO187" s="137">
        <f>Transportation_LCIA!S$61*($W187^Transportation_LCIA!S$60)+Transportation_LCIA!S$62</f>
        <v>3.8783860198243708E-6</v>
      </c>
      <c r="AP187" s="137">
        <f>Transportation_LCIA!T$61*($W187^Transportation_LCIA!T$60)+Transportation_LCIA!T$62</f>
        <v>3.8783860198243708E-6</v>
      </c>
      <c r="AQ187" s="137">
        <f>Transportation_LCIA!U$61*($W187^Transportation_LCIA!U$60)+Transportation_LCIA!U$62</f>
        <v>5.4626083703188067E-4</v>
      </c>
      <c r="AR187" s="137">
        <f>Transportation_LCIA!V$61*($W187^Transportation_LCIA!V$60)+Transportation_LCIA!V$62</f>
        <v>2.2399696302769612E-4</v>
      </c>
      <c r="AT187" s="137">
        <f>$W187*Y187+$L187*Summary_LCIA!H$32</f>
        <v>277.7063849596513</v>
      </c>
      <c r="AU187" s="137">
        <f>$W187*Z187+$L187*Summary_LCIA!Q$32</f>
        <v>2925.5137748586239</v>
      </c>
      <c r="AV187" s="137">
        <f>$W187*AA187+$L187*Summary_LCIA!R$32</f>
        <v>1.5300494809812988</v>
      </c>
      <c r="AW187" s="137">
        <f>$W187*AB187+$L187*Summary_LCIA!S$32</f>
        <v>277.4249502996513</v>
      </c>
      <c r="AX187" s="137">
        <f>$W187*AC187+$L187*Summary_LCIA!T$32</f>
        <v>68.04219239272021</v>
      </c>
      <c r="AY187" s="137">
        <f>$W187*AD187+$L187*Summary_LCIA!U$32</f>
        <v>1.4325384982458305</v>
      </c>
      <c r="AZ187" s="137">
        <f>$W187*AE187+$L187*Summary_LCIA!V$32</f>
        <v>9.1785729343133692E-3</v>
      </c>
      <c r="BA187" s="137">
        <f>$W187*AF187+$L187*Summary_LCIA!W$32</f>
        <v>13.9801884819931</v>
      </c>
      <c r="BB187" s="137">
        <f>$W187*AG187+$L187*Summary_LCIA!X$32</f>
        <v>14.34123086174878</v>
      </c>
      <c r="BC187" s="137">
        <f>$W187*AH187+$L187*Summary_LCIA!Y$32</f>
        <v>1.2436458660234959</v>
      </c>
      <c r="BD187" s="137">
        <f>$W187*AI187+$L187*Summary_LCIA!Z$32</f>
        <v>0.26885180731199743</v>
      </c>
      <c r="BE187" s="137">
        <f>$W187*AJ187+$L187*Summary_LCIA!AA$32</f>
        <v>2.5370768905905647</v>
      </c>
      <c r="BF187" s="137">
        <f>$W187*AK187+$L187*Summary_LCIA!AB$32</f>
        <v>6.3089691353501648E-2</v>
      </c>
      <c r="BG187" s="137">
        <f>$W187*AL187+$L187*Summary_LCIA!AC$32</f>
        <v>3.4308443825701381E-5</v>
      </c>
      <c r="BH187" s="137">
        <f>$W187*AM187+$L187*Summary_LCIA!AD$32</f>
        <v>0.12585400041777789</v>
      </c>
      <c r="BI187" s="137">
        <f>$W187*AN187+$L187*Summary_LCIA!AE$32</f>
        <v>0.351711422830561</v>
      </c>
      <c r="BJ187" s="137">
        <f>$W187*AO187+$L187*Summary_LCIA!AF$32</f>
        <v>5.8319094813117991E-2</v>
      </c>
      <c r="BK187" s="137">
        <f>$W187*AP187+$L187*Summary_LCIA!AG$32</f>
        <v>7.7464961981179876E-3</v>
      </c>
      <c r="BL187" s="137">
        <f>$W187*AQ187+$L187*Summary_LCIA!AH$32</f>
        <v>1.1864017100550153</v>
      </c>
      <c r="BM187" s="137">
        <f>$W187*AR187+$L187*Summary_LCIA!AI$32</f>
        <v>0.31855845552403839</v>
      </c>
    </row>
    <row r="188" spans="1:65" x14ac:dyDescent="0.25">
      <c r="A188" s="149">
        <v>132</v>
      </c>
      <c r="B188" s="149">
        <v>6</v>
      </c>
      <c r="C188" s="61">
        <v>40.640934999999999</v>
      </c>
      <c r="D188" s="61">
        <v>-74.881277999999995</v>
      </c>
      <c r="E188" s="61" t="s">
        <v>265</v>
      </c>
      <c r="F188" s="149">
        <v>43</v>
      </c>
      <c r="G188" s="61" t="s">
        <v>565</v>
      </c>
      <c r="H188" s="61" t="s">
        <v>632</v>
      </c>
      <c r="I188" s="61">
        <v>40.689531000000002</v>
      </c>
      <c r="J188" s="61">
        <v>-74.174462000000005</v>
      </c>
      <c r="K188" s="61">
        <v>61.95024781</v>
      </c>
      <c r="L188" s="61">
        <v>66.501000000000005</v>
      </c>
      <c r="M188" s="61" t="s">
        <v>617</v>
      </c>
      <c r="N188" s="149">
        <v>5</v>
      </c>
      <c r="O188" s="149">
        <v>6</v>
      </c>
      <c r="P188" s="61" t="s">
        <v>565</v>
      </c>
      <c r="Q188" s="61" t="s">
        <v>564</v>
      </c>
      <c r="R188" s="61">
        <v>41.98028</v>
      </c>
      <c r="S188" s="61">
        <v>-87.908997900000003</v>
      </c>
      <c r="T188" s="61">
        <v>1235.0840000000001</v>
      </c>
      <c r="U188" s="61" t="s">
        <v>617</v>
      </c>
      <c r="V188" s="61" t="s">
        <v>569</v>
      </c>
      <c r="W188" s="61" cm="1">
        <f t="array" ref="W188">getDistance(I188,J188,R188,S188)*SA!$B$12</f>
        <v>1157.3544072648172</v>
      </c>
      <c r="X188" s="61"/>
      <c r="Y188" s="137">
        <f>Transportation_LCIA!C$61*($W188^Transportation_LCIA!C$60)+Transportation_LCIA!C$62</f>
        <v>0.22125487054982909</v>
      </c>
      <c r="Z188" s="137">
        <f>Transportation_LCIA!D$61*($W188^Transportation_LCIA!D$60)+Transportation_LCIA!D$62</f>
        <v>2.2550976254597064</v>
      </c>
      <c r="AA188" s="137">
        <f>Transportation_LCIA!E$61*($W188^Transportation_LCIA!E$60)+Transportation_LCIA!E$62</f>
        <v>1.0323310860369151E-3</v>
      </c>
      <c r="AB188" s="137">
        <f>Transportation_LCIA!F$61*($W188^Transportation_LCIA!F$60)+Transportation_LCIA!F$62</f>
        <v>0.22125487054982909</v>
      </c>
      <c r="AC188" s="137">
        <f>Transportation_LCIA!G$61*($W188^Transportation_LCIA!G$60)+Transportation_LCIA!G$62</f>
        <v>5.2744888954963348E-2</v>
      </c>
      <c r="AD188" s="137">
        <f>Transportation_LCIA!H$61*($W188^Transportation_LCIA!H$60)+Transportation_LCIA!H$62</f>
        <v>2.5221347446689263E-4</v>
      </c>
      <c r="AE188" s="137">
        <f>Transportation_LCIA!I$61*($W188^Transportation_LCIA!I$60)+Transportation_LCIA!I$62</f>
        <v>5.3030314161226812E-6</v>
      </c>
      <c r="AF188" s="137">
        <f>Transportation_LCIA!J$61*($W188^Transportation_LCIA!J$60)+Transportation_LCIA!J$62</f>
        <v>7.8448001251838345E-3</v>
      </c>
      <c r="AG188" s="137">
        <f>Transportation_LCIA!K$61*($W188^Transportation_LCIA!K$60)+Transportation_LCIA!K$62</f>
        <v>1.1138126610856905E-2</v>
      </c>
      <c r="AH188" s="137">
        <f>Transportation_LCIA!L$61*($W188^Transportation_LCIA!L$60)+Transportation_LCIA!L$62</f>
        <v>2.173000581713352E-4</v>
      </c>
      <c r="AI188" s="137">
        <f>Transportation_LCIA!M$61*($W188^Transportation_LCIA!M$60)+Transportation_LCIA!M$62</f>
        <v>2.3004244817644541E-4</v>
      </c>
      <c r="AJ188" s="137">
        <f>Transportation_LCIA!N$61*($W188^Transportation_LCIA!N$60)+Transportation_LCIA!N$62</f>
        <v>9.0718132319716257E-4</v>
      </c>
      <c r="AK188" s="137">
        <f>Transportation_LCIA!O$61*($W188^Transportation_LCIA!O$60)+Transportation_LCIA!O$62</f>
        <v>5.5712603527285817E-5</v>
      </c>
      <c r="AL188" s="137">
        <f>Transportation_LCIA!P$61*($W188^Transportation_LCIA!P$60)+Transportation_LCIA!P$62</f>
        <v>2.6954451201708154E-8</v>
      </c>
      <c r="AM188" s="137">
        <f>Transportation_LCIA!Q$61*($W188^Transportation_LCIA!Q$60)+Transportation_LCIA!Q$62</f>
        <v>8.6129062862737627E-5</v>
      </c>
      <c r="AN188" s="137">
        <f>Transportation_LCIA!R$61*($W188^Transportation_LCIA!R$60)+Transportation_LCIA!R$62</f>
        <v>2.5514126484247728E-4</v>
      </c>
      <c r="AO188" s="137">
        <f>Transportation_LCIA!S$61*($W188^Transportation_LCIA!S$60)+Transportation_LCIA!S$62</f>
        <v>3.8783860198243708E-6</v>
      </c>
      <c r="AP188" s="137">
        <f>Transportation_LCIA!T$61*($W188^Transportation_LCIA!T$60)+Transportation_LCIA!T$62</f>
        <v>3.8783860198243708E-6</v>
      </c>
      <c r="AQ188" s="137">
        <f>Transportation_LCIA!U$61*($W188^Transportation_LCIA!U$60)+Transportation_LCIA!U$62</f>
        <v>5.4626083703188067E-4</v>
      </c>
      <c r="AR188" s="137">
        <f>Transportation_LCIA!V$61*($W188^Transportation_LCIA!V$60)+Transportation_LCIA!V$62</f>
        <v>2.2399696302769612E-4</v>
      </c>
      <c r="AT188" s="137">
        <f>$W188*Y188+$L188*Summary_LCIA!H$32</f>
        <v>278.66733935965129</v>
      </c>
      <c r="AU188" s="137">
        <f>$W188*Z188+$L188*Summary_LCIA!Q$32</f>
        <v>2939.5294854831482</v>
      </c>
      <c r="AV188" s="137">
        <f>$W188*AA188+$L188*Summary_LCIA!R$32</f>
        <v>1.5449405977812987</v>
      </c>
      <c r="AW188" s="137">
        <f>$W188*AB188+$L188*Summary_LCIA!S$32</f>
        <v>278.37340493965127</v>
      </c>
      <c r="AX188" s="137">
        <f>$W188*AC188+$L188*Summary_LCIA!T$32</f>
        <v>68.352989592720206</v>
      </c>
      <c r="AY188" s="137">
        <f>$W188*AD188+$L188*Summary_LCIA!U$32</f>
        <v>1.4831992902458306</v>
      </c>
      <c r="AZ188" s="137">
        <f>$W188*AE188+$L188*Summary_LCIA!V$32</f>
        <v>9.3136410423133708E-3</v>
      </c>
      <c r="BA188" s="137">
        <f>$W188*AF188+$L188*Summary_LCIA!W$32</f>
        <v>14.197862469993101</v>
      </c>
      <c r="BB188" s="137">
        <f>$W188*AG188+$L188*Summary_LCIA!X$32</f>
        <v>14.40565270174878</v>
      </c>
      <c r="BC188" s="137">
        <f>$W188*AH188+$L188*Summary_LCIA!Y$32</f>
        <v>1.2877117620234961</v>
      </c>
      <c r="BD188" s="137">
        <f>$W188*AI188+$L188*Summary_LCIA!Z$32</f>
        <v>0.26896778076399741</v>
      </c>
      <c r="BE188" s="137">
        <f>$W188*AJ188+$L188*Summary_LCIA!AA$32</f>
        <v>2.6031276585905649</v>
      </c>
      <c r="BF188" s="137">
        <f>$W188*AK188+$L188*Summary_LCIA!AB$32</f>
        <v>6.3027975909501641E-2</v>
      </c>
      <c r="BG188" s="137">
        <f>$W188*AL188+$L188*Summary_LCIA!AC$32</f>
        <v>3.4446687777701377E-5</v>
      </c>
      <c r="BH188" s="137">
        <f>$W188*AM188+$L188*Summary_LCIA!AD$32</f>
        <v>0.12701642153777787</v>
      </c>
      <c r="BI188" s="137">
        <f>$W188*AN188+$L188*Summary_LCIA!AE$32</f>
        <v>0.35421739847056105</v>
      </c>
      <c r="BJ188" s="137">
        <f>$W188*AO188+$L188*Summary_LCIA!AF$32</f>
        <v>6.0709942573117993E-2</v>
      </c>
      <c r="BK188" s="137">
        <f>$W188*AP188+$L188*Summary_LCIA!AG$32</f>
        <v>7.8911908181179893E-3</v>
      </c>
      <c r="BL188" s="137">
        <f>$W188*AQ188+$L188*Summary_LCIA!AH$32</f>
        <v>1.211015490855015</v>
      </c>
      <c r="BM188" s="137">
        <f>$W188*AR188+$L188*Summary_LCIA!AI$32</f>
        <v>0.32119287892403842</v>
      </c>
    </row>
    <row r="189" spans="1:65" x14ac:dyDescent="0.25">
      <c r="A189" s="149">
        <v>379</v>
      </c>
      <c r="B189" s="149">
        <v>6</v>
      </c>
      <c r="C189" s="61">
        <v>39.744655000000002</v>
      </c>
      <c r="D189" s="61">
        <v>-75.548390999999995</v>
      </c>
      <c r="E189" s="61" t="s">
        <v>265</v>
      </c>
      <c r="F189" s="149">
        <v>80</v>
      </c>
      <c r="G189" s="61" t="s">
        <v>284</v>
      </c>
      <c r="H189" s="61" t="s">
        <v>715</v>
      </c>
      <c r="I189" s="61">
        <v>39.872929999999997</v>
      </c>
      <c r="J189" s="61">
        <v>-75.243667000000002</v>
      </c>
      <c r="K189" s="61">
        <v>34.755050079999997</v>
      </c>
      <c r="L189" s="61">
        <v>33.222000000000001</v>
      </c>
      <c r="M189" s="61" t="s">
        <v>617</v>
      </c>
      <c r="N189" s="149">
        <v>5</v>
      </c>
      <c r="O189" s="149">
        <v>6</v>
      </c>
      <c r="P189" s="61" t="s">
        <v>565</v>
      </c>
      <c r="Q189" s="61" t="s">
        <v>564</v>
      </c>
      <c r="R189" s="61">
        <v>41.98028</v>
      </c>
      <c r="S189" s="61">
        <v>-87.908997900000003</v>
      </c>
      <c r="T189" s="61">
        <v>1237.0239999999999</v>
      </c>
      <c r="U189" s="61" t="s">
        <v>617</v>
      </c>
      <c r="V189" s="61" t="s">
        <v>569</v>
      </c>
      <c r="W189" s="61" cm="1">
        <f t="array" ref="W189">getDistance(I189,J189,R189,S189)*SA!$B$12</f>
        <v>1091.1454299338914</v>
      </c>
      <c r="X189" s="61"/>
      <c r="Y189" s="137">
        <f>Transportation_LCIA!C$61*($W189^Transportation_LCIA!C$60)+Transportation_LCIA!C$62</f>
        <v>0.22679540007688292</v>
      </c>
      <c r="Z189" s="137">
        <f>Transportation_LCIA!D$61*($W189^Transportation_LCIA!D$60)+Transportation_LCIA!D$62</f>
        <v>2.3194170983754927</v>
      </c>
      <c r="AA189" s="137">
        <f>Transportation_LCIA!E$61*($W189^Transportation_LCIA!E$60)+Transportation_LCIA!E$62</f>
        <v>1.0745578591765215E-3</v>
      </c>
      <c r="AB189" s="137">
        <f>Transportation_LCIA!F$61*($W189^Transportation_LCIA!F$60)+Transportation_LCIA!F$62</f>
        <v>0.22679540007688292</v>
      </c>
      <c r="AC189" s="137">
        <f>Transportation_LCIA!G$61*($W189^Transportation_LCIA!G$60)+Transportation_LCIA!G$62</f>
        <v>5.4233424239251052E-2</v>
      </c>
      <c r="AD189" s="137">
        <f>Transportation_LCIA!H$61*($W189^Transportation_LCIA!H$60)+Transportation_LCIA!H$62</f>
        <v>2.6147123784092907E-4</v>
      </c>
      <c r="AE189" s="137">
        <f>Transportation_LCIA!I$61*($W189^Transportation_LCIA!I$60)+Transportation_LCIA!I$62</f>
        <v>5.5349899787117434E-6</v>
      </c>
      <c r="AF189" s="137">
        <f>Transportation_LCIA!J$61*($W189^Transportation_LCIA!J$60)+Transportation_LCIA!J$62</f>
        <v>8.1891894553502362E-3</v>
      </c>
      <c r="AG189" s="137">
        <f>Transportation_LCIA!K$61*($W189^Transportation_LCIA!K$60)+Transportation_LCIA!K$62</f>
        <v>1.1484679317651958E-2</v>
      </c>
      <c r="AH189" s="137">
        <f>Transportation_LCIA!L$61*($W189^Transportation_LCIA!L$60)+Transportation_LCIA!L$62</f>
        <v>2.2579969304881948E-4</v>
      </c>
      <c r="AI189" s="137">
        <f>Transportation_LCIA!M$61*($W189^Transportation_LCIA!M$60)+Transportation_LCIA!M$62</f>
        <v>2.3515091224536556E-4</v>
      </c>
      <c r="AJ189" s="137">
        <f>Transportation_LCIA!N$61*($W189^Transportation_LCIA!N$60)+Transportation_LCIA!N$62</f>
        <v>9.3831907824717161E-4</v>
      </c>
      <c r="AK189" s="137">
        <f>Transportation_LCIA!O$61*($W189^Transportation_LCIA!O$60)+Transportation_LCIA!O$62</f>
        <v>5.7294135563696903E-5</v>
      </c>
      <c r="AL189" s="137">
        <f>Transportation_LCIA!P$61*($W189^Transportation_LCIA!P$60)+Transportation_LCIA!P$62</f>
        <v>2.7715131947176666E-8</v>
      </c>
      <c r="AM189" s="137">
        <f>Transportation_LCIA!Q$61*($W189^Transportation_LCIA!Q$60)+Transportation_LCIA!Q$62</f>
        <v>8.9450033628902037E-5</v>
      </c>
      <c r="AN189" s="137">
        <f>Transportation_LCIA!R$61*($W189^Transportation_LCIA!R$60)+Transportation_LCIA!R$62</f>
        <v>2.6626310173854796E-4</v>
      </c>
      <c r="AO189" s="137">
        <f>Transportation_LCIA!S$61*($W189^Transportation_LCIA!S$60)+Transportation_LCIA!S$62</f>
        <v>4.0362616855959915E-6</v>
      </c>
      <c r="AP189" s="137">
        <f>Transportation_LCIA!T$61*($W189^Transportation_LCIA!T$60)+Transportation_LCIA!T$62</f>
        <v>4.0362616855959915E-6</v>
      </c>
      <c r="AQ189" s="137">
        <f>Transportation_LCIA!U$61*($W189^Transportation_LCIA!U$60)+Transportation_LCIA!U$62</f>
        <v>5.7062949228125137E-4</v>
      </c>
      <c r="AR189" s="137">
        <f>Transportation_LCIA!V$61*($W189^Transportation_LCIA!V$60)+Transportation_LCIA!V$62</f>
        <v>2.3262841413724871E-4</v>
      </c>
      <c r="AT189" s="137">
        <f>$W189*Y189+$L189*Summary_LCIA!H$32</f>
        <v>258.75559992391931</v>
      </c>
      <c r="AU189" s="137">
        <f>$W189*Z189+$L189*Summary_LCIA!Q$32</f>
        <v>2695.4712744880717</v>
      </c>
      <c r="AV189" s="137">
        <f>$W189*AA189+$L189*Summary_LCIA!R$32</f>
        <v>1.3474326604400075</v>
      </c>
      <c r="AW189" s="137">
        <f>$W189*AB189+$L189*Summary_LCIA!S$32</f>
        <v>258.60875868391929</v>
      </c>
      <c r="AX189" s="137">
        <f>$W189*AC189+$L189*Summary_LCIA!T$32</f>
        <v>62.827650808324719</v>
      </c>
      <c r="AY189" s="137">
        <f>$W189*AD189+$L189*Summary_LCIA!U$32</f>
        <v>0.88044205422928734</v>
      </c>
      <c r="AZ189" s="137">
        <f>$W189*AE189+$L189*Summary_LCIA!V$32</f>
        <v>7.6261949620012055E-3</v>
      </c>
      <c r="BA189" s="137">
        <f>$W189*AF189+$L189*Summary_LCIA!W$32</f>
        <v>11.492727211068225</v>
      </c>
      <c r="BB189" s="137">
        <f>$W189*AG189+$L189*Summary_LCIA!X$32</f>
        <v>13.288252511712216</v>
      </c>
      <c r="BC189" s="137">
        <f>$W189*AH189+$L189*Summary_LCIA!Y$32</f>
        <v>0.76404550715069486</v>
      </c>
      <c r="BD189" s="137">
        <f>$W189*AI189+$L189*Summary_LCIA!Z$32</f>
        <v>0.25794624423931617</v>
      </c>
      <c r="BE189" s="137">
        <f>$W189*AJ189+$L189*Summary_LCIA!AA$32</f>
        <v>1.7997756060491827</v>
      </c>
      <c r="BF189" s="137">
        <f>$W189*AK189+$L189*Summary_LCIA!AB$32</f>
        <v>6.1791230476340712E-2</v>
      </c>
      <c r="BG189" s="137">
        <f>$W189*AL189+$L189*Summary_LCIA!AC$32</f>
        <v>3.1865263812176606E-5</v>
      </c>
      <c r="BH189" s="137">
        <f>$W189*AM189+$L189*Summary_LCIA!AD$32</f>
        <v>0.11125856628160935</v>
      </c>
      <c r="BI189" s="137">
        <f>$W189*AN189+$L189*Summary_LCIA!AE$32</f>
        <v>0.31997077748203939</v>
      </c>
      <c r="BJ189" s="137">
        <f>$W189*AO189+$L189*Summary_LCIA!AF$32</f>
        <v>3.2490691732255335E-2</v>
      </c>
      <c r="BK189" s="137">
        <f>$W189*AP189+$L189*Summary_LCIA!AG$32</f>
        <v>6.1039521222553319E-3</v>
      </c>
      <c r="BL189" s="137">
        <f>$W189*AQ189+$L189*Summary_LCIA!AH$32</f>
        <v>0.9117907618881842</v>
      </c>
      <c r="BM189" s="137">
        <f>$W189*AR189+$L189*Summary_LCIA!AI$32</f>
        <v>0.2847793850586276</v>
      </c>
    </row>
    <row r="190" spans="1:65" x14ac:dyDescent="0.25">
      <c r="A190" s="149">
        <v>291</v>
      </c>
      <c r="B190" s="149">
        <v>6</v>
      </c>
      <c r="C190" s="61">
        <v>39.958359000000002</v>
      </c>
      <c r="D190" s="61">
        <v>-75.195392999999996</v>
      </c>
      <c r="E190" s="61" t="s">
        <v>265</v>
      </c>
      <c r="F190" s="149">
        <v>80</v>
      </c>
      <c r="G190" s="61" t="s">
        <v>284</v>
      </c>
      <c r="H190" s="61" t="s">
        <v>715</v>
      </c>
      <c r="I190" s="61">
        <v>39.872929999999997</v>
      </c>
      <c r="J190" s="61">
        <v>-75.243667000000002</v>
      </c>
      <c r="K190" s="61">
        <v>14.292168419999999</v>
      </c>
      <c r="L190" s="61">
        <v>15.794</v>
      </c>
      <c r="M190" s="61" t="s">
        <v>617</v>
      </c>
      <c r="N190" s="149">
        <v>5</v>
      </c>
      <c r="O190" s="149">
        <v>6</v>
      </c>
      <c r="P190" s="61" t="s">
        <v>565</v>
      </c>
      <c r="Q190" s="61" t="s">
        <v>564</v>
      </c>
      <c r="R190" s="61">
        <v>41.98028</v>
      </c>
      <c r="S190" s="61">
        <v>-87.908997900000003</v>
      </c>
      <c r="T190" s="61">
        <v>1247.3900000000001</v>
      </c>
      <c r="U190" s="61" t="s">
        <v>617</v>
      </c>
      <c r="V190" s="61" t="s">
        <v>569</v>
      </c>
      <c r="W190" s="61" cm="1">
        <f t="array" ref="W190">getDistance(I190,J190,R190,S190)*SA!$B$12</f>
        <v>1091.1454299338914</v>
      </c>
      <c r="X190" s="61"/>
      <c r="Y190" s="137">
        <f>Transportation_LCIA!C$61*($W190^Transportation_LCIA!C$60)+Transportation_LCIA!C$62</f>
        <v>0.22679540007688292</v>
      </c>
      <c r="Z190" s="137">
        <f>Transportation_LCIA!D$61*($W190^Transportation_LCIA!D$60)+Transportation_LCIA!D$62</f>
        <v>2.3194170983754927</v>
      </c>
      <c r="AA190" s="137">
        <f>Transportation_LCIA!E$61*($W190^Transportation_LCIA!E$60)+Transportation_LCIA!E$62</f>
        <v>1.0745578591765215E-3</v>
      </c>
      <c r="AB190" s="137">
        <f>Transportation_LCIA!F$61*($W190^Transportation_LCIA!F$60)+Transportation_LCIA!F$62</f>
        <v>0.22679540007688292</v>
      </c>
      <c r="AC190" s="137">
        <f>Transportation_LCIA!G$61*($W190^Transportation_LCIA!G$60)+Transportation_LCIA!G$62</f>
        <v>5.4233424239251052E-2</v>
      </c>
      <c r="AD190" s="137">
        <f>Transportation_LCIA!H$61*($W190^Transportation_LCIA!H$60)+Transportation_LCIA!H$62</f>
        <v>2.6147123784092907E-4</v>
      </c>
      <c r="AE190" s="137">
        <f>Transportation_LCIA!I$61*($W190^Transportation_LCIA!I$60)+Transportation_LCIA!I$62</f>
        <v>5.5349899787117434E-6</v>
      </c>
      <c r="AF190" s="137">
        <f>Transportation_LCIA!J$61*($W190^Transportation_LCIA!J$60)+Transportation_LCIA!J$62</f>
        <v>8.1891894553502362E-3</v>
      </c>
      <c r="AG190" s="137">
        <f>Transportation_LCIA!K$61*($W190^Transportation_LCIA!K$60)+Transportation_LCIA!K$62</f>
        <v>1.1484679317651958E-2</v>
      </c>
      <c r="AH190" s="137">
        <f>Transportation_LCIA!L$61*($W190^Transportation_LCIA!L$60)+Transportation_LCIA!L$62</f>
        <v>2.2579969304881948E-4</v>
      </c>
      <c r="AI190" s="137">
        <f>Transportation_LCIA!M$61*($W190^Transportation_LCIA!M$60)+Transportation_LCIA!M$62</f>
        <v>2.3515091224536556E-4</v>
      </c>
      <c r="AJ190" s="137">
        <f>Transportation_LCIA!N$61*($W190^Transportation_LCIA!N$60)+Transportation_LCIA!N$62</f>
        <v>9.3831907824717161E-4</v>
      </c>
      <c r="AK190" s="137">
        <f>Transportation_LCIA!O$61*($W190^Transportation_LCIA!O$60)+Transportation_LCIA!O$62</f>
        <v>5.7294135563696903E-5</v>
      </c>
      <c r="AL190" s="137">
        <f>Transportation_LCIA!P$61*($W190^Transportation_LCIA!P$60)+Transportation_LCIA!P$62</f>
        <v>2.7715131947176666E-8</v>
      </c>
      <c r="AM190" s="137">
        <f>Transportation_LCIA!Q$61*($W190^Transportation_LCIA!Q$60)+Transportation_LCIA!Q$62</f>
        <v>8.9450033628902037E-5</v>
      </c>
      <c r="AN190" s="137">
        <f>Transportation_LCIA!R$61*($W190^Transportation_LCIA!R$60)+Transportation_LCIA!R$62</f>
        <v>2.6626310173854796E-4</v>
      </c>
      <c r="AO190" s="137">
        <f>Transportation_LCIA!S$61*($W190^Transportation_LCIA!S$60)+Transportation_LCIA!S$62</f>
        <v>4.0362616855959915E-6</v>
      </c>
      <c r="AP190" s="137">
        <f>Transportation_LCIA!T$61*($W190^Transportation_LCIA!T$60)+Transportation_LCIA!T$62</f>
        <v>4.0362616855959915E-6</v>
      </c>
      <c r="AQ190" s="137">
        <f>Transportation_LCIA!U$61*($W190^Transportation_LCIA!U$60)+Transportation_LCIA!U$62</f>
        <v>5.7062949228125137E-4</v>
      </c>
      <c r="AR190" s="137">
        <f>Transportation_LCIA!V$61*($W190^Transportation_LCIA!V$60)+Transportation_LCIA!V$62</f>
        <v>2.3262841413724871E-4</v>
      </c>
      <c r="AT190" s="137">
        <f>$W190*Y190+$L190*Summary_LCIA!H$32</f>
        <v>252.8335655239193</v>
      </c>
      <c r="AU190" s="137">
        <f>$W190*Z190+$L190*Summary_LCIA!Q$32</f>
        <v>2609.097227541748</v>
      </c>
      <c r="AV190" s="137">
        <f>$W190*AA190+$L190*Summary_LCIA!R$32</f>
        <v>1.2556637836400075</v>
      </c>
      <c r="AW190" s="137">
        <f>$W190*AB190+$L190*Summary_LCIA!S$32</f>
        <v>252.7637560439193</v>
      </c>
      <c r="AX190" s="137">
        <f>$W190*AC190+$L190*Summary_LCIA!T$32</f>
        <v>60.912313608324716</v>
      </c>
      <c r="AY190" s="137">
        <f>$W190*AD190+$L190*Summary_LCIA!U$32</f>
        <v>0.56823686222928727</v>
      </c>
      <c r="AZ190" s="137">
        <f>$W190*AE190+$L190*Summary_LCIA!V$32</f>
        <v>6.7938162540012049E-3</v>
      </c>
      <c r="BA190" s="137">
        <f>$W190*AF190+$L190*Summary_LCIA!W$32</f>
        <v>10.151276623068224</v>
      </c>
      <c r="BB190" s="137">
        <f>$W190*AG190+$L190*Summary_LCIA!X$32</f>
        <v>12.891242671712217</v>
      </c>
      <c r="BC190" s="137">
        <f>$W190*AH190+$L190*Summary_LCIA!Y$32</f>
        <v>0.49248241115069485</v>
      </c>
      <c r="BD190" s="137">
        <f>$W190*AI190+$L190*Summary_LCIA!Z$32</f>
        <v>0.25723153938731619</v>
      </c>
      <c r="BE190" s="137">
        <f>$W190*AJ190+$L190*Summary_LCIA!AA$32</f>
        <v>1.3927272380491829</v>
      </c>
      <c r="BF190" s="137">
        <f>$W190*AK190+$L190*Summary_LCIA!AB$32</f>
        <v>6.2171561720340718E-2</v>
      </c>
      <c r="BG190" s="137">
        <f>$W190*AL190+$L190*Summary_LCIA!AC$32</f>
        <v>3.1013313460176607E-5</v>
      </c>
      <c r="BH190" s="137">
        <f>$W190*AM190+$L190*Summary_LCIA!AD$32</f>
        <v>0.10409496116160935</v>
      </c>
      <c r="BI190" s="137">
        <f>$W190*AN190+$L190*Summary_LCIA!AE$32</f>
        <v>0.30452730384203941</v>
      </c>
      <c r="BJ190" s="137">
        <f>$W190*AO190+$L190*Summary_LCIA!AF$32</f>
        <v>1.7756711972255333E-2</v>
      </c>
      <c r="BK190" s="137">
        <f>$W190*AP190+$L190*Summary_LCIA!AG$32</f>
        <v>5.2122485022553311E-3</v>
      </c>
      <c r="BL190" s="137">
        <f>$W190*AQ190+$L190*Summary_LCIA!AH$32</f>
        <v>0.76010442108818421</v>
      </c>
      <c r="BM190" s="137">
        <f>$W190*AR190+$L190*Summary_LCIA!AI$32</f>
        <v>0.26854433165862757</v>
      </c>
    </row>
    <row r="191" spans="1:65" x14ac:dyDescent="0.25">
      <c r="A191" s="149">
        <v>287</v>
      </c>
      <c r="B191" s="149">
        <v>6</v>
      </c>
      <c r="C191" s="61">
        <v>45.421529999999997</v>
      </c>
      <c r="D191" s="61">
        <v>-75.697192999999999</v>
      </c>
      <c r="E191" s="61" t="s">
        <v>456</v>
      </c>
      <c r="F191" s="149">
        <v>127</v>
      </c>
      <c r="G191" s="61" t="s">
        <v>635</v>
      </c>
      <c r="H191" s="61" t="s">
        <v>636</v>
      </c>
      <c r="I191" s="61">
        <v>45.319212</v>
      </c>
      <c r="J191" s="61">
        <v>-75.669165000000007</v>
      </c>
      <c r="K191" s="61">
        <v>15.884900010000001</v>
      </c>
      <c r="L191" s="61">
        <v>14.090999999999999</v>
      </c>
      <c r="M191" s="61" t="s">
        <v>617</v>
      </c>
      <c r="N191" s="149">
        <v>5</v>
      </c>
      <c r="O191" s="149">
        <v>6</v>
      </c>
      <c r="P191" s="61" t="s">
        <v>565</v>
      </c>
      <c r="Q191" s="61" t="s">
        <v>564</v>
      </c>
      <c r="R191" s="61">
        <v>41.98028</v>
      </c>
      <c r="S191" s="61">
        <v>-87.908997900000003</v>
      </c>
      <c r="T191" s="61">
        <v>1247.521</v>
      </c>
      <c r="U191" s="61" t="s">
        <v>617</v>
      </c>
      <c r="V191" s="61" t="s">
        <v>569</v>
      </c>
      <c r="W191" s="61" cm="1">
        <f t="array" ref="W191">getDistance(I191,J191,R191,S191)*SA!$B$12</f>
        <v>1053.7578160300604</v>
      </c>
      <c r="X191" s="61"/>
      <c r="Y191" s="137">
        <f>Transportation_LCIA!C$61*($W191^Transportation_LCIA!C$60)+Transportation_LCIA!C$62</f>
        <v>0.2302058960384834</v>
      </c>
      <c r="Z191" s="137">
        <f>Transportation_LCIA!D$61*($W191^Transportation_LCIA!D$60)+Transportation_LCIA!D$62</f>
        <v>2.3590896144287434</v>
      </c>
      <c r="AA191" s="137">
        <f>Transportation_LCIA!E$61*($W191^Transportation_LCIA!E$60)+Transportation_LCIA!E$62</f>
        <v>1.1006183580262686E-3</v>
      </c>
      <c r="AB191" s="137">
        <f>Transportation_LCIA!F$61*($W191^Transportation_LCIA!F$60)+Transportation_LCIA!F$62</f>
        <v>0.2302058960384834</v>
      </c>
      <c r="AC191" s="137">
        <f>Transportation_LCIA!G$61*($W191^Transportation_LCIA!G$60)+Transportation_LCIA!G$62</f>
        <v>5.5151450331228188E-2</v>
      </c>
      <c r="AD191" s="137">
        <f>Transportation_LCIA!H$61*($W191^Transportation_LCIA!H$60)+Transportation_LCIA!H$62</f>
        <v>2.6719115721149958E-4</v>
      </c>
      <c r="AE191" s="137">
        <f>Transportation_LCIA!I$61*($W191^Transportation_LCIA!I$60)+Transportation_LCIA!I$62</f>
        <v>5.6785659396340384E-6</v>
      </c>
      <c r="AF191" s="137">
        <f>Transportation_LCIA!J$61*($W191^Transportation_LCIA!J$60)+Transportation_LCIA!J$62</f>
        <v>8.4026096067839791E-3</v>
      </c>
      <c r="AG191" s="137">
        <f>Transportation_LCIA!K$61*($W191^Transportation_LCIA!K$60)+Transportation_LCIA!K$62</f>
        <v>1.1698628282294296E-2</v>
      </c>
      <c r="AH191" s="137">
        <f>Transportation_LCIA!L$61*($W191^Transportation_LCIA!L$60)+Transportation_LCIA!L$62</f>
        <v>2.3105391430987529E-4</v>
      </c>
      <c r="AI191" s="137">
        <f>Transportation_LCIA!M$61*($W191^Transportation_LCIA!M$60)+Transportation_LCIA!M$62</f>
        <v>2.3830737603603661E-4</v>
      </c>
      <c r="AJ191" s="137">
        <f>Transportation_LCIA!N$61*($W191^Transportation_LCIA!N$60)+Transportation_LCIA!N$62</f>
        <v>9.5755480239030665E-4</v>
      </c>
      <c r="AK191" s="137">
        <f>Transportation_LCIA!O$61*($W191^Transportation_LCIA!O$60)+Transportation_LCIA!O$62</f>
        <v>5.8269570018605201E-5</v>
      </c>
      <c r="AL191" s="137">
        <f>Transportation_LCIA!P$61*($W191^Transportation_LCIA!P$60)+Transportation_LCIA!P$62</f>
        <v>2.8184222840597278E-8</v>
      </c>
      <c r="AM191" s="137">
        <f>Transportation_LCIA!Q$61*($W191^Transportation_LCIA!Q$60)+Transportation_LCIA!Q$62</f>
        <v>9.1503529748422762E-5</v>
      </c>
      <c r="AN191" s="137">
        <f>Transportation_LCIA!R$61*($W191^Transportation_LCIA!R$60)+Transportation_LCIA!R$62</f>
        <v>2.7314751403325591E-4</v>
      </c>
      <c r="AO191" s="137">
        <f>Transportation_LCIA!S$61*($W191^Transportation_LCIA!S$60)+Transportation_LCIA!S$62</f>
        <v>4.1339787226651879E-6</v>
      </c>
      <c r="AP191" s="137">
        <f>Transportation_LCIA!T$61*($W191^Transportation_LCIA!T$60)+Transportation_LCIA!T$62</f>
        <v>4.1339787226651879E-6</v>
      </c>
      <c r="AQ191" s="137">
        <f>Transportation_LCIA!U$61*($W191^Transportation_LCIA!U$60)+Transportation_LCIA!U$62</f>
        <v>5.8571886780824827E-4</v>
      </c>
      <c r="AR191" s="137">
        <f>Transportation_LCIA!V$61*($W191^Transportation_LCIA!V$60)+Transportation_LCIA!V$62</f>
        <v>2.3796751819823677E-4</v>
      </c>
      <c r="AT191" s="137">
        <f>$W191*Y191+$L191*Summary_LCIA!H$32</f>
        <v>247.36938404675541</v>
      </c>
      <c r="AU191" s="137">
        <f>$W191*Z191+$L191*Summary_LCIA!Q$32</f>
        <v>2555.7448265710332</v>
      </c>
      <c r="AV191" s="137">
        <f>$W191*AA191+$L191*Summary_LCIA!R$32</f>
        <v>1.2339827668363519</v>
      </c>
      <c r="AW191" s="137">
        <f>$W191*AB191+$L191*Summary_LCIA!S$32</f>
        <v>247.30710182675543</v>
      </c>
      <c r="AX191" s="137">
        <f>$W191*AC191+$L191*Summary_LCIA!T$32</f>
        <v>59.664872751925365</v>
      </c>
      <c r="AY191" s="137">
        <f>$W191*AD191+$L191*Summary_LCIA!U$32</f>
        <v>0.53398094428573439</v>
      </c>
      <c r="AZ191" s="137">
        <f>$W191*AE191+$L191*Summary_LCIA!V$32</f>
        <v>6.6568334937314524E-3</v>
      </c>
      <c r="BA191" s="137">
        <f>$W191*AF191+$L191*Summary_LCIA!W$32</f>
        <v>9.9389139091978898</v>
      </c>
      <c r="BB191" s="137">
        <f>$W191*AG191+$L191*Summary_LCIA!X$32</f>
        <v>12.648513969297936</v>
      </c>
      <c r="BC191" s="137">
        <f>$W191*AH191+$L191*Summary_LCIA!Y$32</f>
        <v>0.46304083012837094</v>
      </c>
      <c r="BD191" s="137">
        <f>$W191*AI191+$L191*Summary_LCIA!Z$32</f>
        <v>0.25169611793458829</v>
      </c>
      <c r="BE191" s="137">
        <f>$W191*AJ191+$L191*Summary_LCIA!AA$32</f>
        <v>1.3381402532959057</v>
      </c>
      <c r="BF191" s="137">
        <f>$W191*AK191+$L191*Summary_LCIA!AB$32</f>
        <v>6.1094506950816106E-2</v>
      </c>
      <c r="BG191" s="137">
        <f>$W191*AL191+$L191*Summary_LCIA!AC$32</f>
        <v>3.0388169551012334E-5</v>
      </c>
      <c r="BH191" s="137">
        <f>$W191*AM191+$L191*Summary_LCIA!AD$32</f>
        <v>0.10221452430673963</v>
      </c>
      <c r="BI191" s="137">
        <f>$W191*AN191+$L191*Summary_LCIA!AE$32</f>
        <v>0.30031778567172407</v>
      </c>
      <c r="BJ191" s="137">
        <f>$W191*AO191+$L191*Summary_LCIA!AF$32</f>
        <v>1.6269025610310406E-2</v>
      </c>
      <c r="BK191" s="137">
        <f>$W191*AP191+$L191*Summary_LCIA!AG$32</f>
        <v>5.0771784053104075E-3</v>
      </c>
      <c r="BL191" s="137">
        <f>$W191*AQ191+$L191*Summary_LCIA!AH$32</f>
        <v>0.73984826254921932</v>
      </c>
      <c r="BM191" s="137">
        <f>$W191*AR191+$L191*Summary_LCIA!AI$32</f>
        <v>0.26388660331266761</v>
      </c>
    </row>
    <row r="192" spans="1:65" x14ac:dyDescent="0.25">
      <c r="A192" s="149">
        <v>288</v>
      </c>
      <c r="B192" s="149">
        <v>6</v>
      </c>
      <c r="C192" s="61">
        <v>45.421529999999997</v>
      </c>
      <c r="D192" s="61">
        <v>-75.697192999999999</v>
      </c>
      <c r="E192" s="61" t="s">
        <v>456</v>
      </c>
      <c r="F192" s="149">
        <v>127</v>
      </c>
      <c r="G192" s="61" t="s">
        <v>635</v>
      </c>
      <c r="H192" s="61" t="s">
        <v>636</v>
      </c>
      <c r="I192" s="61">
        <v>45.319212</v>
      </c>
      <c r="J192" s="61">
        <v>-75.669165000000007</v>
      </c>
      <c r="K192" s="61">
        <v>15.884900010000001</v>
      </c>
      <c r="L192" s="61">
        <v>14.090999999999999</v>
      </c>
      <c r="M192" s="61" t="s">
        <v>617</v>
      </c>
      <c r="N192" s="149">
        <v>5</v>
      </c>
      <c r="O192" s="149">
        <v>6</v>
      </c>
      <c r="P192" s="61" t="s">
        <v>565</v>
      </c>
      <c r="Q192" s="61" t="s">
        <v>564</v>
      </c>
      <c r="R192" s="61">
        <v>41.98028</v>
      </c>
      <c r="S192" s="61">
        <v>-87.908997900000003</v>
      </c>
      <c r="T192" s="61">
        <v>1247.521</v>
      </c>
      <c r="U192" s="61" t="s">
        <v>617</v>
      </c>
      <c r="V192" s="61" t="s">
        <v>569</v>
      </c>
      <c r="W192" s="61" cm="1">
        <f t="array" ref="W192">getDistance(I192,J192,R192,S192)*SA!$B$12</f>
        <v>1053.7578160300604</v>
      </c>
      <c r="X192" s="61"/>
      <c r="Y192" s="137">
        <f>Transportation_LCIA!C$61*($W192^Transportation_LCIA!C$60)+Transportation_LCIA!C$62</f>
        <v>0.2302058960384834</v>
      </c>
      <c r="Z192" s="137">
        <f>Transportation_LCIA!D$61*($W192^Transportation_LCIA!D$60)+Transportation_LCIA!D$62</f>
        <v>2.3590896144287434</v>
      </c>
      <c r="AA192" s="137">
        <f>Transportation_LCIA!E$61*($W192^Transportation_LCIA!E$60)+Transportation_LCIA!E$62</f>
        <v>1.1006183580262686E-3</v>
      </c>
      <c r="AB192" s="137">
        <f>Transportation_LCIA!F$61*($W192^Transportation_LCIA!F$60)+Transportation_LCIA!F$62</f>
        <v>0.2302058960384834</v>
      </c>
      <c r="AC192" s="137">
        <f>Transportation_LCIA!G$61*($W192^Transportation_LCIA!G$60)+Transportation_LCIA!G$62</f>
        <v>5.5151450331228188E-2</v>
      </c>
      <c r="AD192" s="137">
        <f>Transportation_LCIA!H$61*($W192^Transportation_LCIA!H$60)+Transportation_LCIA!H$62</f>
        <v>2.6719115721149958E-4</v>
      </c>
      <c r="AE192" s="137">
        <f>Transportation_LCIA!I$61*($W192^Transportation_LCIA!I$60)+Transportation_LCIA!I$62</f>
        <v>5.6785659396340384E-6</v>
      </c>
      <c r="AF192" s="137">
        <f>Transportation_LCIA!J$61*($W192^Transportation_LCIA!J$60)+Transportation_LCIA!J$62</f>
        <v>8.4026096067839791E-3</v>
      </c>
      <c r="AG192" s="137">
        <f>Transportation_LCIA!K$61*($W192^Transportation_LCIA!K$60)+Transportation_LCIA!K$62</f>
        <v>1.1698628282294296E-2</v>
      </c>
      <c r="AH192" s="137">
        <f>Transportation_LCIA!L$61*($W192^Transportation_LCIA!L$60)+Transportation_LCIA!L$62</f>
        <v>2.3105391430987529E-4</v>
      </c>
      <c r="AI192" s="137">
        <f>Transportation_LCIA!M$61*($W192^Transportation_LCIA!M$60)+Transportation_LCIA!M$62</f>
        <v>2.3830737603603661E-4</v>
      </c>
      <c r="AJ192" s="137">
        <f>Transportation_LCIA!N$61*($W192^Transportation_LCIA!N$60)+Transportation_LCIA!N$62</f>
        <v>9.5755480239030665E-4</v>
      </c>
      <c r="AK192" s="137">
        <f>Transportation_LCIA!O$61*($W192^Transportation_LCIA!O$60)+Transportation_LCIA!O$62</f>
        <v>5.8269570018605201E-5</v>
      </c>
      <c r="AL192" s="137">
        <f>Transportation_LCIA!P$61*($W192^Transportation_LCIA!P$60)+Transportation_LCIA!P$62</f>
        <v>2.8184222840597278E-8</v>
      </c>
      <c r="AM192" s="137">
        <f>Transportation_LCIA!Q$61*($W192^Transportation_LCIA!Q$60)+Transportation_LCIA!Q$62</f>
        <v>9.1503529748422762E-5</v>
      </c>
      <c r="AN192" s="137">
        <f>Transportation_LCIA!R$61*($W192^Transportation_LCIA!R$60)+Transportation_LCIA!R$62</f>
        <v>2.7314751403325591E-4</v>
      </c>
      <c r="AO192" s="137">
        <f>Transportation_LCIA!S$61*($W192^Transportation_LCIA!S$60)+Transportation_LCIA!S$62</f>
        <v>4.1339787226651879E-6</v>
      </c>
      <c r="AP192" s="137">
        <f>Transportation_LCIA!T$61*($W192^Transportation_LCIA!T$60)+Transportation_LCIA!T$62</f>
        <v>4.1339787226651879E-6</v>
      </c>
      <c r="AQ192" s="137">
        <f>Transportation_LCIA!U$61*($W192^Transportation_LCIA!U$60)+Transportation_LCIA!U$62</f>
        <v>5.8571886780824827E-4</v>
      </c>
      <c r="AR192" s="137">
        <f>Transportation_LCIA!V$61*($W192^Transportation_LCIA!V$60)+Transportation_LCIA!V$62</f>
        <v>2.3796751819823677E-4</v>
      </c>
      <c r="AT192" s="137">
        <f>$W192*Y192+$L192*Summary_LCIA!H$32</f>
        <v>247.36938404675541</v>
      </c>
      <c r="AU192" s="137">
        <f>$W192*Z192+$L192*Summary_LCIA!Q$32</f>
        <v>2555.7448265710332</v>
      </c>
      <c r="AV192" s="137">
        <f>$W192*AA192+$L192*Summary_LCIA!R$32</f>
        <v>1.2339827668363519</v>
      </c>
      <c r="AW192" s="137">
        <f>$W192*AB192+$L192*Summary_LCIA!S$32</f>
        <v>247.30710182675543</v>
      </c>
      <c r="AX192" s="137">
        <f>$W192*AC192+$L192*Summary_LCIA!T$32</f>
        <v>59.664872751925365</v>
      </c>
      <c r="AY192" s="137">
        <f>$W192*AD192+$L192*Summary_LCIA!U$32</f>
        <v>0.53398094428573439</v>
      </c>
      <c r="AZ192" s="137">
        <f>$W192*AE192+$L192*Summary_LCIA!V$32</f>
        <v>6.6568334937314524E-3</v>
      </c>
      <c r="BA192" s="137">
        <f>$W192*AF192+$L192*Summary_LCIA!W$32</f>
        <v>9.9389139091978898</v>
      </c>
      <c r="BB192" s="137">
        <f>$W192*AG192+$L192*Summary_LCIA!X$32</f>
        <v>12.648513969297936</v>
      </c>
      <c r="BC192" s="137">
        <f>$W192*AH192+$L192*Summary_LCIA!Y$32</f>
        <v>0.46304083012837094</v>
      </c>
      <c r="BD192" s="137">
        <f>$W192*AI192+$L192*Summary_LCIA!Z$32</f>
        <v>0.25169611793458829</v>
      </c>
      <c r="BE192" s="137">
        <f>$W192*AJ192+$L192*Summary_LCIA!AA$32</f>
        <v>1.3381402532959057</v>
      </c>
      <c r="BF192" s="137">
        <f>$W192*AK192+$L192*Summary_LCIA!AB$32</f>
        <v>6.1094506950816106E-2</v>
      </c>
      <c r="BG192" s="137">
        <f>$W192*AL192+$L192*Summary_LCIA!AC$32</f>
        <v>3.0388169551012334E-5</v>
      </c>
      <c r="BH192" s="137">
        <f>$W192*AM192+$L192*Summary_LCIA!AD$32</f>
        <v>0.10221452430673963</v>
      </c>
      <c r="BI192" s="137">
        <f>$W192*AN192+$L192*Summary_LCIA!AE$32</f>
        <v>0.30031778567172407</v>
      </c>
      <c r="BJ192" s="137">
        <f>$W192*AO192+$L192*Summary_LCIA!AF$32</f>
        <v>1.6269025610310406E-2</v>
      </c>
      <c r="BK192" s="137">
        <f>$W192*AP192+$L192*Summary_LCIA!AG$32</f>
        <v>5.0771784053104075E-3</v>
      </c>
      <c r="BL192" s="137">
        <f>$W192*AQ192+$L192*Summary_LCIA!AH$32</f>
        <v>0.73984826254921932</v>
      </c>
      <c r="BM192" s="137">
        <f>$W192*AR192+$L192*Summary_LCIA!AI$32</f>
        <v>0.26388660331266761</v>
      </c>
    </row>
    <row r="193" spans="1:65" x14ac:dyDescent="0.25">
      <c r="A193" s="149">
        <v>20</v>
      </c>
      <c r="B193" s="149">
        <v>6</v>
      </c>
      <c r="C193" s="61">
        <v>45.421379000000002</v>
      </c>
      <c r="D193" s="61">
        <v>-75.696757000000005</v>
      </c>
      <c r="E193" s="61" t="s">
        <v>456</v>
      </c>
      <c r="F193" s="149">
        <v>127</v>
      </c>
      <c r="G193" s="61" t="s">
        <v>635</v>
      </c>
      <c r="H193" s="61" t="s">
        <v>636</v>
      </c>
      <c r="I193" s="61">
        <v>45.319212</v>
      </c>
      <c r="J193" s="61">
        <v>-75.669165000000007</v>
      </c>
      <c r="K193" s="61">
        <v>15.86100968</v>
      </c>
      <c r="L193" s="61">
        <v>14.111000000000001</v>
      </c>
      <c r="M193" s="61" t="s">
        <v>617</v>
      </c>
      <c r="N193" s="149">
        <v>5</v>
      </c>
      <c r="O193" s="149">
        <v>6</v>
      </c>
      <c r="P193" s="61" t="s">
        <v>565</v>
      </c>
      <c r="Q193" s="61" t="s">
        <v>564</v>
      </c>
      <c r="R193" s="61">
        <v>41.98028</v>
      </c>
      <c r="S193" s="61">
        <v>-87.908997900000003</v>
      </c>
      <c r="T193" s="61">
        <v>1247.5419999999999</v>
      </c>
      <c r="U193" s="61" t="s">
        <v>617</v>
      </c>
      <c r="V193" s="61" t="s">
        <v>569</v>
      </c>
      <c r="W193" s="61" cm="1">
        <f t="array" ref="W193">getDistance(I193,J193,R193,S193)*SA!$B$12</f>
        <v>1053.7578160300604</v>
      </c>
      <c r="X193" s="61"/>
      <c r="Y193" s="137">
        <f>Transportation_LCIA!C$61*($W193^Transportation_LCIA!C$60)+Transportation_LCIA!C$62</f>
        <v>0.2302058960384834</v>
      </c>
      <c r="Z193" s="137">
        <f>Transportation_LCIA!D$61*($W193^Transportation_LCIA!D$60)+Transportation_LCIA!D$62</f>
        <v>2.3590896144287434</v>
      </c>
      <c r="AA193" s="137">
        <f>Transportation_LCIA!E$61*($W193^Transportation_LCIA!E$60)+Transportation_LCIA!E$62</f>
        <v>1.1006183580262686E-3</v>
      </c>
      <c r="AB193" s="137">
        <f>Transportation_LCIA!F$61*($W193^Transportation_LCIA!F$60)+Transportation_LCIA!F$62</f>
        <v>0.2302058960384834</v>
      </c>
      <c r="AC193" s="137">
        <f>Transportation_LCIA!G$61*($W193^Transportation_LCIA!G$60)+Transportation_LCIA!G$62</f>
        <v>5.5151450331228188E-2</v>
      </c>
      <c r="AD193" s="137">
        <f>Transportation_LCIA!H$61*($W193^Transportation_LCIA!H$60)+Transportation_LCIA!H$62</f>
        <v>2.6719115721149958E-4</v>
      </c>
      <c r="AE193" s="137">
        <f>Transportation_LCIA!I$61*($W193^Transportation_LCIA!I$60)+Transportation_LCIA!I$62</f>
        <v>5.6785659396340384E-6</v>
      </c>
      <c r="AF193" s="137">
        <f>Transportation_LCIA!J$61*($W193^Transportation_LCIA!J$60)+Transportation_LCIA!J$62</f>
        <v>8.4026096067839791E-3</v>
      </c>
      <c r="AG193" s="137">
        <f>Transportation_LCIA!K$61*($W193^Transportation_LCIA!K$60)+Transportation_LCIA!K$62</f>
        <v>1.1698628282294296E-2</v>
      </c>
      <c r="AH193" s="137">
        <f>Transportation_LCIA!L$61*($W193^Transportation_LCIA!L$60)+Transportation_LCIA!L$62</f>
        <v>2.3105391430987529E-4</v>
      </c>
      <c r="AI193" s="137">
        <f>Transportation_LCIA!M$61*($W193^Transportation_LCIA!M$60)+Transportation_LCIA!M$62</f>
        <v>2.3830737603603661E-4</v>
      </c>
      <c r="AJ193" s="137">
        <f>Transportation_LCIA!N$61*($W193^Transportation_LCIA!N$60)+Transportation_LCIA!N$62</f>
        <v>9.5755480239030665E-4</v>
      </c>
      <c r="AK193" s="137">
        <f>Transportation_LCIA!O$61*($W193^Transportation_LCIA!O$60)+Transportation_LCIA!O$62</f>
        <v>5.8269570018605201E-5</v>
      </c>
      <c r="AL193" s="137">
        <f>Transportation_LCIA!P$61*($W193^Transportation_LCIA!P$60)+Transportation_LCIA!P$62</f>
        <v>2.8184222840597278E-8</v>
      </c>
      <c r="AM193" s="137">
        <f>Transportation_LCIA!Q$61*($W193^Transportation_LCIA!Q$60)+Transportation_LCIA!Q$62</f>
        <v>9.1503529748422762E-5</v>
      </c>
      <c r="AN193" s="137">
        <f>Transportation_LCIA!R$61*($W193^Transportation_LCIA!R$60)+Transportation_LCIA!R$62</f>
        <v>2.7314751403325591E-4</v>
      </c>
      <c r="AO193" s="137">
        <f>Transportation_LCIA!S$61*($W193^Transportation_LCIA!S$60)+Transportation_LCIA!S$62</f>
        <v>4.1339787226651879E-6</v>
      </c>
      <c r="AP193" s="137">
        <f>Transportation_LCIA!T$61*($W193^Transportation_LCIA!T$60)+Transportation_LCIA!T$62</f>
        <v>4.1339787226651879E-6</v>
      </c>
      <c r="AQ193" s="137">
        <f>Transportation_LCIA!U$61*($W193^Transportation_LCIA!U$60)+Transportation_LCIA!U$62</f>
        <v>5.8571886780824827E-4</v>
      </c>
      <c r="AR193" s="137">
        <f>Transportation_LCIA!V$61*($W193^Transportation_LCIA!V$60)+Transportation_LCIA!V$62</f>
        <v>2.3796751819823677E-4</v>
      </c>
      <c r="AT193" s="137">
        <f>$W193*Y193+$L193*Summary_LCIA!H$32</f>
        <v>247.37618004675542</v>
      </c>
      <c r="AU193" s="137">
        <f>$W193*Z193+$L193*Summary_LCIA!Q$32</f>
        <v>2555.8439475796931</v>
      </c>
      <c r="AV193" s="137">
        <f>$W193*AA193+$L193*Summary_LCIA!R$32</f>
        <v>1.234088078836352</v>
      </c>
      <c r="AW193" s="137">
        <f>$W193*AB193+$L193*Summary_LCIA!S$32</f>
        <v>247.31380942675543</v>
      </c>
      <c r="AX193" s="137">
        <f>$W193*AC193+$L193*Summary_LCIA!T$32</f>
        <v>59.667070751925365</v>
      </c>
      <c r="AY193" s="137">
        <f>$W193*AD193+$L193*Summary_LCIA!U$32</f>
        <v>0.53433922428573433</v>
      </c>
      <c r="AZ193" s="137">
        <f>$W193*AE193+$L193*Summary_LCIA!V$32</f>
        <v>6.657788713731452E-3</v>
      </c>
      <c r="BA193" s="137">
        <f>$W193*AF193+$L193*Summary_LCIA!W$32</f>
        <v>9.94045332919789</v>
      </c>
      <c r="BB193" s="137">
        <f>$W193*AG193+$L193*Summary_LCIA!X$32</f>
        <v>12.648969569297936</v>
      </c>
      <c r="BC193" s="137">
        <f>$W193*AH193+$L193*Summary_LCIA!Y$32</f>
        <v>0.46335247012837089</v>
      </c>
      <c r="BD193" s="137">
        <f>$W193*AI193+$L193*Summary_LCIA!Z$32</f>
        <v>0.25169693811458832</v>
      </c>
      <c r="BE193" s="137">
        <f>$W193*AJ193+$L193*Summary_LCIA!AA$32</f>
        <v>1.3386073732959056</v>
      </c>
      <c r="BF193" s="137">
        <f>$W193*AK193+$L193*Summary_LCIA!AB$32</f>
        <v>6.1094070490816103E-2</v>
      </c>
      <c r="BG193" s="137">
        <f>$W193*AL193+$L193*Summary_LCIA!AC$32</f>
        <v>3.0389147231012335E-5</v>
      </c>
      <c r="BH193" s="137">
        <f>$W193*AM193+$L193*Summary_LCIA!AD$32</f>
        <v>0.10222274510673963</v>
      </c>
      <c r="BI193" s="137">
        <f>$W193*AN193+$L193*Summary_LCIA!AE$32</f>
        <v>0.30033550827172406</v>
      </c>
      <c r="BJ193" s="137">
        <f>$W193*AO193+$L193*Summary_LCIA!AF$32</f>
        <v>1.6285934010310407E-2</v>
      </c>
      <c r="BK193" s="137">
        <f>$W193*AP193+$L193*Summary_LCIA!AG$32</f>
        <v>5.0782017053104074E-3</v>
      </c>
      <c r="BL193" s="137">
        <f>$W193*AQ193+$L193*Summary_LCIA!AH$32</f>
        <v>0.7400223345492194</v>
      </c>
      <c r="BM193" s="137">
        <f>$W193*AR193+$L193*Summary_LCIA!AI$32</f>
        <v>0.26390523431266766</v>
      </c>
    </row>
    <row r="194" spans="1:65" x14ac:dyDescent="0.25">
      <c r="A194" s="149">
        <v>53</v>
      </c>
      <c r="B194" s="149">
        <v>6</v>
      </c>
      <c r="C194" s="61">
        <v>35.227164999999999</v>
      </c>
      <c r="D194" s="61">
        <v>-80.846342000000007</v>
      </c>
      <c r="E194" s="61" t="s">
        <v>265</v>
      </c>
      <c r="F194" s="149">
        <v>34</v>
      </c>
      <c r="G194" s="61" t="s">
        <v>565</v>
      </c>
      <c r="H194" s="61" t="s">
        <v>633</v>
      </c>
      <c r="I194" s="61">
        <v>35.214402999999997</v>
      </c>
      <c r="J194" s="61">
        <v>-80.947315000000003</v>
      </c>
      <c r="K194" s="61">
        <v>9.5962039079999997</v>
      </c>
      <c r="L194" s="61">
        <v>11.887</v>
      </c>
      <c r="M194" s="61" t="s">
        <v>617</v>
      </c>
      <c r="N194" s="149">
        <v>5</v>
      </c>
      <c r="O194" s="149">
        <v>6</v>
      </c>
      <c r="P194" s="61" t="s">
        <v>565</v>
      </c>
      <c r="Q194" s="61" t="s">
        <v>564</v>
      </c>
      <c r="R194" s="61">
        <v>41.98028</v>
      </c>
      <c r="S194" s="61">
        <v>-87.908997900000003</v>
      </c>
      <c r="T194" s="61">
        <v>1259.9749999999999</v>
      </c>
      <c r="U194" s="61" t="s">
        <v>617</v>
      </c>
      <c r="V194" s="61" t="s">
        <v>569</v>
      </c>
      <c r="W194" s="61" cm="1">
        <f t="array" ref="W194">getDistance(I194,J194,R194,S194)*SA!$B$12</f>
        <v>965.81934331629839</v>
      </c>
      <c r="X194" s="61"/>
      <c r="Y194" s="137">
        <f>Transportation_LCIA!C$61*($W194^Transportation_LCIA!C$60)+Transportation_LCIA!C$62</f>
        <v>0.23917916746170043</v>
      </c>
      <c r="Z194" s="137">
        <f>Transportation_LCIA!D$61*($W194^Transportation_LCIA!D$60)+Transportation_LCIA!D$62</f>
        <v>2.4637498822292629</v>
      </c>
      <c r="AA194" s="137">
        <f>Transportation_LCIA!E$61*($W194^Transportation_LCIA!E$60)+Transportation_LCIA!E$62</f>
        <v>1.1694202797749105E-3</v>
      </c>
      <c r="AB194" s="137">
        <f>Transportation_LCIA!F$61*($W194^Transportation_LCIA!F$60)+Transportation_LCIA!F$62</f>
        <v>0.23917916746170043</v>
      </c>
      <c r="AC194" s="137">
        <f>Transportation_LCIA!G$61*($W194^Transportation_LCIA!G$60)+Transportation_LCIA!G$62</f>
        <v>5.7572922745648923E-2</v>
      </c>
      <c r="AD194" s="137">
        <f>Transportation_LCIA!H$61*($W194^Transportation_LCIA!H$60)+Transportation_LCIA!H$62</f>
        <v>2.8231462329926001E-4</v>
      </c>
      <c r="AE194" s="137">
        <f>Transportation_LCIA!I$61*($W194^Transportation_LCIA!I$60)+Transportation_LCIA!I$62</f>
        <v>6.0590881500882351E-6</v>
      </c>
      <c r="AF194" s="137">
        <f>Transportation_LCIA!J$61*($W194^Transportation_LCIA!J$60)+Transportation_LCIA!J$62</f>
        <v>8.9691244315593405E-3</v>
      </c>
      <c r="AG194" s="137">
        <f>Transportation_LCIA!K$61*($W194^Transportation_LCIA!K$60)+Transportation_LCIA!K$62</f>
        <v>1.2263721703450336E-2</v>
      </c>
      <c r="AH194" s="137">
        <f>Transportation_LCIA!L$61*($W194^Transportation_LCIA!L$60)+Transportation_LCIA!L$62</f>
        <v>2.449555211742904E-4</v>
      </c>
      <c r="AI194" s="137">
        <f>Transportation_LCIA!M$61*($W194^Transportation_LCIA!M$60)+Transportation_LCIA!M$62</f>
        <v>2.4665373974360274E-4</v>
      </c>
      <c r="AJ194" s="137">
        <f>Transportation_LCIA!N$61*($W194^Transportation_LCIA!N$60)+Transportation_LCIA!N$62</f>
        <v>1.0084044075747351E-3</v>
      </c>
      <c r="AK194" s="137">
        <f>Transportation_LCIA!O$61*($W194^Transportation_LCIA!O$60)+Transportation_LCIA!O$62</f>
        <v>6.0842656849062702E-5</v>
      </c>
      <c r="AL194" s="137">
        <f>Transportation_LCIA!P$61*($W194^Transportation_LCIA!P$60)+Transportation_LCIA!P$62</f>
        <v>2.9421386486163209E-8</v>
      </c>
      <c r="AM194" s="137">
        <f>Transportation_LCIA!Q$61*($W194^Transportation_LCIA!Q$60)+Transportation_LCIA!Q$62</f>
        <v>9.693865430446136E-5</v>
      </c>
      <c r="AN194" s="137">
        <f>Transportation_LCIA!R$61*($W194^Transportation_LCIA!R$60)+Transportation_LCIA!R$62</f>
        <v>2.9139446096429532E-4</v>
      </c>
      <c r="AO194" s="137">
        <f>Transportation_LCIA!S$61*($W194^Transportation_LCIA!S$60)+Transportation_LCIA!S$62</f>
        <v>4.3929473757171984E-6</v>
      </c>
      <c r="AP194" s="137">
        <f>Transportation_LCIA!T$61*($W194^Transportation_LCIA!T$60)+Transportation_LCIA!T$62</f>
        <v>4.3929473757171984E-6</v>
      </c>
      <c r="AQ194" s="137">
        <f>Transportation_LCIA!U$61*($W194^Transportation_LCIA!U$60)+Transportation_LCIA!U$62</f>
        <v>6.2573096450825355E-4</v>
      </c>
      <c r="AR194" s="137">
        <f>Transportation_LCIA!V$61*($W194^Transportation_LCIA!V$60)+Transportation_LCIA!V$62</f>
        <v>2.5210555325466699E-4</v>
      </c>
      <c r="AT194" s="137">
        <f>$W194*Y194+$L194*Summary_LCIA!H$32</f>
        <v>235.04306905279847</v>
      </c>
      <c r="AU194" s="137">
        <f>$W194*Z194+$L194*Summary_LCIA!Q$32</f>
        <v>2438.449864847345</v>
      </c>
      <c r="AV194" s="137">
        <f>$W194*AA194+$L194*Summary_LCIA!R$32</f>
        <v>1.192040913872966</v>
      </c>
      <c r="AW194" s="137">
        <f>$W194*AB194+$L194*Summary_LCIA!S$32</f>
        <v>234.99052851279845</v>
      </c>
      <c r="AX194" s="137">
        <f>$W194*AC194+$L194*Summary_LCIA!T$32</f>
        <v>56.911423739002622</v>
      </c>
      <c r="AY194" s="137">
        <f>$W194*AD194+$L194*Summary_LCIA!U$32</f>
        <v>0.48560864208347948</v>
      </c>
      <c r="AZ194" s="137">
        <f>$W194*AE194+$L194*Summary_LCIA!V$32</f>
        <v>6.4197195452137847E-3</v>
      </c>
      <c r="BA194" s="137">
        <f>$W194*AF194+$L194*Summary_LCIA!W$32</f>
        <v>9.5775081456108104</v>
      </c>
      <c r="BB194" s="137">
        <f>$W194*AG194+$L194*Summary_LCIA!X$32</f>
        <v>12.115325502240241</v>
      </c>
      <c r="BC194" s="137">
        <f>$W194*AH194+$L194*Summary_LCIA!Y$32</f>
        <v>0.42180601460225475</v>
      </c>
      <c r="BD194" s="137">
        <f>$W194*AI194+$L194*Summary_LCIA!Z$32</f>
        <v>0.23871042692867558</v>
      </c>
      <c r="BE194" s="137">
        <f>$W194*AJ194+$L194*Summary_LCIA!AA$32</f>
        <v>1.2515692547210915</v>
      </c>
      <c r="BF194" s="137">
        <f>$W194*AK194+$L194*Summary_LCIA!AB$32</f>
        <v>5.850360488258062E-2</v>
      </c>
      <c r="BG194" s="137">
        <f>$W194*AL194+$L194*Summary_LCIA!AC$32</f>
        <v>2.8996828283521165E-5</v>
      </c>
      <c r="BH194" s="137">
        <f>$W194*AM194+$L194*Summary_LCIA!AD$32</f>
        <v>9.8511259922300531E-2</v>
      </c>
      <c r="BI194" s="137">
        <f>$W194*AN194+$L194*Summary_LCIA!AE$32</f>
        <v>0.29196783424454248</v>
      </c>
      <c r="BJ194" s="137">
        <f>$W194*AO194+$L194*Summary_LCIA!AF$32</f>
        <v>1.4292301089638242E-2</v>
      </c>
      <c r="BK194" s="137">
        <f>$W194*AP194+$L194*Summary_LCIA!AG$32</f>
        <v>4.8509919046382409E-3</v>
      </c>
      <c r="BL194" s="137">
        <f>$W194*AQ194+$L194*Summary_LCIA!AH$32</f>
        <v>0.7078027624340355</v>
      </c>
      <c r="BM194" s="137">
        <f>$W194*AR194+$L194*Summary_LCIA!AI$32</f>
        <v>0.25456175474081455</v>
      </c>
    </row>
    <row r="195" spans="1:65" x14ac:dyDescent="0.25">
      <c r="A195" s="149">
        <v>187</v>
      </c>
      <c r="B195" s="149">
        <v>6</v>
      </c>
      <c r="C195" s="61">
        <v>35.227086999999997</v>
      </c>
      <c r="D195" s="61">
        <v>-80.843126999999996</v>
      </c>
      <c r="E195" s="61" t="s">
        <v>265</v>
      </c>
      <c r="F195" s="149">
        <v>34</v>
      </c>
      <c r="G195" s="61" t="s">
        <v>565</v>
      </c>
      <c r="H195" s="61" t="s">
        <v>633</v>
      </c>
      <c r="I195" s="61">
        <v>35.214402999999997</v>
      </c>
      <c r="J195" s="61">
        <v>-80.947315000000003</v>
      </c>
      <c r="K195" s="61">
        <v>9.8802151649999992</v>
      </c>
      <c r="L195" s="61">
        <v>12.212999999999999</v>
      </c>
      <c r="M195" s="61" t="s">
        <v>617</v>
      </c>
      <c r="N195" s="149">
        <v>5</v>
      </c>
      <c r="O195" s="149">
        <v>6</v>
      </c>
      <c r="P195" s="61" t="s">
        <v>565</v>
      </c>
      <c r="Q195" s="61" t="s">
        <v>564</v>
      </c>
      <c r="R195" s="61">
        <v>41.98028</v>
      </c>
      <c r="S195" s="61">
        <v>-87.908997900000003</v>
      </c>
      <c r="T195" s="61">
        <v>1262.7470000000001</v>
      </c>
      <c r="U195" s="61" t="s">
        <v>617</v>
      </c>
      <c r="V195" s="61" t="s">
        <v>569</v>
      </c>
      <c r="W195" s="61" cm="1">
        <f t="array" ref="W195">getDistance(I195,J195,R195,S195)*SA!$B$12</f>
        <v>965.81934331629839</v>
      </c>
      <c r="X195" s="61"/>
      <c r="Y195" s="137">
        <f>Transportation_LCIA!C$61*($W195^Transportation_LCIA!C$60)+Transportation_LCIA!C$62</f>
        <v>0.23917916746170043</v>
      </c>
      <c r="Z195" s="137">
        <f>Transportation_LCIA!D$61*($W195^Transportation_LCIA!D$60)+Transportation_LCIA!D$62</f>
        <v>2.4637498822292629</v>
      </c>
      <c r="AA195" s="137">
        <f>Transportation_LCIA!E$61*($W195^Transportation_LCIA!E$60)+Transportation_LCIA!E$62</f>
        <v>1.1694202797749105E-3</v>
      </c>
      <c r="AB195" s="137">
        <f>Transportation_LCIA!F$61*($W195^Transportation_LCIA!F$60)+Transportation_LCIA!F$62</f>
        <v>0.23917916746170043</v>
      </c>
      <c r="AC195" s="137">
        <f>Transportation_LCIA!G$61*($W195^Transportation_LCIA!G$60)+Transportation_LCIA!G$62</f>
        <v>5.7572922745648923E-2</v>
      </c>
      <c r="AD195" s="137">
        <f>Transportation_LCIA!H$61*($W195^Transportation_LCIA!H$60)+Transportation_LCIA!H$62</f>
        <v>2.8231462329926001E-4</v>
      </c>
      <c r="AE195" s="137">
        <f>Transportation_LCIA!I$61*($W195^Transportation_LCIA!I$60)+Transportation_LCIA!I$62</f>
        <v>6.0590881500882351E-6</v>
      </c>
      <c r="AF195" s="137">
        <f>Transportation_LCIA!J$61*($W195^Transportation_LCIA!J$60)+Transportation_LCIA!J$62</f>
        <v>8.9691244315593405E-3</v>
      </c>
      <c r="AG195" s="137">
        <f>Transportation_LCIA!K$61*($W195^Transportation_LCIA!K$60)+Transportation_LCIA!K$62</f>
        <v>1.2263721703450336E-2</v>
      </c>
      <c r="AH195" s="137">
        <f>Transportation_LCIA!L$61*($W195^Transportation_LCIA!L$60)+Transportation_LCIA!L$62</f>
        <v>2.449555211742904E-4</v>
      </c>
      <c r="AI195" s="137">
        <f>Transportation_LCIA!M$61*($W195^Transportation_LCIA!M$60)+Transportation_LCIA!M$62</f>
        <v>2.4665373974360274E-4</v>
      </c>
      <c r="AJ195" s="137">
        <f>Transportation_LCIA!N$61*($W195^Transportation_LCIA!N$60)+Transportation_LCIA!N$62</f>
        <v>1.0084044075747351E-3</v>
      </c>
      <c r="AK195" s="137">
        <f>Transportation_LCIA!O$61*($W195^Transportation_LCIA!O$60)+Transportation_LCIA!O$62</f>
        <v>6.0842656849062702E-5</v>
      </c>
      <c r="AL195" s="137">
        <f>Transportation_LCIA!P$61*($W195^Transportation_LCIA!P$60)+Transportation_LCIA!P$62</f>
        <v>2.9421386486163209E-8</v>
      </c>
      <c r="AM195" s="137">
        <f>Transportation_LCIA!Q$61*($W195^Transportation_LCIA!Q$60)+Transportation_LCIA!Q$62</f>
        <v>9.693865430446136E-5</v>
      </c>
      <c r="AN195" s="137">
        <f>Transportation_LCIA!R$61*($W195^Transportation_LCIA!R$60)+Transportation_LCIA!R$62</f>
        <v>2.9139446096429532E-4</v>
      </c>
      <c r="AO195" s="137">
        <f>Transportation_LCIA!S$61*($W195^Transportation_LCIA!S$60)+Transportation_LCIA!S$62</f>
        <v>4.3929473757171984E-6</v>
      </c>
      <c r="AP195" s="137">
        <f>Transportation_LCIA!T$61*($W195^Transportation_LCIA!T$60)+Transportation_LCIA!T$62</f>
        <v>4.3929473757171984E-6</v>
      </c>
      <c r="AQ195" s="137">
        <f>Transportation_LCIA!U$61*($W195^Transportation_LCIA!U$60)+Transportation_LCIA!U$62</f>
        <v>6.2573096450825355E-4</v>
      </c>
      <c r="AR195" s="137">
        <f>Transportation_LCIA!V$61*($W195^Transportation_LCIA!V$60)+Transportation_LCIA!V$62</f>
        <v>2.5210555325466699E-4</v>
      </c>
      <c r="AT195" s="137">
        <f>$W195*Y195+$L195*Summary_LCIA!H$32</f>
        <v>235.15384385279847</v>
      </c>
      <c r="AU195" s="137">
        <f>$W195*Z195+$L195*Summary_LCIA!Q$32</f>
        <v>2440.065537288503</v>
      </c>
      <c r="AV195" s="137">
        <f>$W195*AA195+$L195*Summary_LCIA!R$32</f>
        <v>1.1937574994729661</v>
      </c>
      <c r="AW195" s="137">
        <f>$W195*AB195+$L195*Summary_LCIA!S$32</f>
        <v>235.09986239279846</v>
      </c>
      <c r="AX195" s="137">
        <f>$W195*AC195+$L195*Summary_LCIA!T$32</f>
        <v>56.947251139002624</v>
      </c>
      <c r="AY195" s="137">
        <f>$W195*AD195+$L195*Summary_LCIA!U$32</f>
        <v>0.49144860608347946</v>
      </c>
      <c r="AZ195" s="137">
        <f>$W195*AE195+$L195*Summary_LCIA!V$32</f>
        <v>6.4352896312137847E-3</v>
      </c>
      <c r="BA195" s="137">
        <f>$W195*AF195+$L195*Summary_LCIA!W$32</f>
        <v>9.6026006916108102</v>
      </c>
      <c r="BB195" s="137">
        <f>$W195*AG195+$L195*Summary_LCIA!X$32</f>
        <v>12.122751782240242</v>
      </c>
      <c r="BC195" s="137">
        <f>$W195*AH195+$L195*Summary_LCIA!Y$32</f>
        <v>0.42688574660225476</v>
      </c>
      <c r="BD195" s="137">
        <f>$W195*AI195+$L195*Summary_LCIA!Z$32</f>
        <v>0.23872379586267559</v>
      </c>
      <c r="BE195" s="137">
        <f>$W195*AJ195+$L195*Summary_LCIA!AA$32</f>
        <v>1.2591833107210915</v>
      </c>
      <c r="BF195" s="137">
        <f>$W195*AK195+$L195*Summary_LCIA!AB$32</f>
        <v>5.8496490584580618E-2</v>
      </c>
      <c r="BG195" s="137">
        <f>$W195*AL195+$L195*Summary_LCIA!AC$32</f>
        <v>2.9012764467521166E-5</v>
      </c>
      <c r="BH195" s="137">
        <f>$W195*AM195+$L195*Summary_LCIA!AD$32</f>
        <v>9.864525896230053E-2</v>
      </c>
      <c r="BI195" s="137">
        <f>$W195*AN195+$L195*Summary_LCIA!AE$32</f>
        <v>0.29225671262454245</v>
      </c>
      <c r="BJ195" s="137">
        <f>$W195*AO195+$L195*Summary_LCIA!AF$32</f>
        <v>1.4567908009638241E-2</v>
      </c>
      <c r="BK195" s="137">
        <f>$W195*AP195+$L195*Summary_LCIA!AG$32</f>
        <v>4.8676716946382415E-3</v>
      </c>
      <c r="BL195" s="137">
        <f>$W195*AQ195+$L195*Summary_LCIA!AH$32</f>
        <v>0.71064013603403553</v>
      </c>
      <c r="BM195" s="137">
        <f>$W195*AR195+$L195*Summary_LCIA!AI$32</f>
        <v>0.25486544004081457</v>
      </c>
    </row>
    <row r="196" spans="1:65" x14ac:dyDescent="0.25">
      <c r="A196" s="149">
        <v>135</v>
      </c>
      <c r="B196" s="149">
        <v>6</v>
      </c>
      <c r="C196" s="61">
        <v>33.954258000000003</v>
      </c>
      <c r="D196" s="61">
        <v>-83.374932000000001</v>
      </c>
      <c r="E196" s="61" t="s">
        <v>265</v>
      </c>
      <c r="F196" s="149">
        <v>1</v>
      </c>
      <c r="G196" s="61" t="s">
        <v>565</v>
      </c>
      <c r="H196" s="61" t="s">
        <v>681</v>
      </c>
      <c r="I196" s="61">
        <v>33.640728000000003</v>
      </c>
      <c r="J196" s="61">
        <v>-84.427700000000002</v>
      </c>
      <c r="K196" s="61">
        <v>112.66856199999999</v>
      </c>
      <c r="L196" s="61">
        <v>131.636</v>
      </c>
      <c r="M196" s="61" t="s">
        <v>617</v>
      </c>
      <c r="N196" s="149">
        <v>5</v>
      </c>
      <c r="O196" s="149">
        <v>6</v>
      </c>
      <c r="P196" s="61" t="s">
        <v>565</v>
      </c>
      <c r="Q196" s="61" t="s">
        <v>564</v>
      </c>
      <c r="R196" s="61">
        <v>41.98028</v>
      </c>
      <c r="S196" s="61">
        <v>-87.908997900000003</v>
      </c>
      <c r="T196" s="61">
        <v>1275.8620000000001</v>
      </c>
      <c r="U196" s="61" t="s">
        <v>617</v>
      </c>
      <c r="V196" s="61" t="s">
        <v>569</v>
      </c>
      <c r="W196" s="61" cm="1">
        <f t="array" ref="W196">getDistance(I196,J196,R196,S196)*SA!$B$12</f>
        <v>976.67906347990493</v>
      </c>
      <c r="X196" s="61"/>
      <c r="Y196" s="137">
        <f>Transportation_LCIA!C$61*($W196^Transportation_LCIA!C$60)+Transportation_LCIA!C$62</f>
        <v>0.23799077256655485</v>
      </c>
      <c r="Z196" s="137">
        <f>Transportation_LCIA!D$61*($W196^Transportation_LCIA!D$60)+Transportation_LCIA!D$62</f>
        <v>2.4498664186649894</v>
      </c>
      <c r="AA196" s="137">
        <f>Transportation_LCIA!E$61*($W196^Transportation_LCIA!E$60)+Transportation_LCIA!E$62</f>
        <v>1.1602893527513285E-3</v>
      </c>
      <c r="AB196" s="137">
        <f>Transportation_LCIA!F$61*($W196^Transportation_LCIA!F$60)+Transportation_LCIA!F$62</f>
        <v>0.23799077256655485</v>
      </c>
      <c r="AC196" s="137">
        <f>Transportation_LCIA!G$61*($W196^Transportation_LCIA!G$60)+Transportation_LCIA!G$62</f>
        <v>5.7251738416183251E-2</v>
      </c>
      <c r="AD196" s="137">
        <f>Transportation_LCIA!H$61*($W196^Transportation_LCIA!H$60)+Transportation_LCIA!H$62</f>
        <v>2.8030572808339046E-4</v>
      </c>
      <c r="AE196" s="137">
        <f>Transportation_LCIA!I$61*($W196^Transportation_LCIA!I$60)+Transportation_LCIA!I$62</f>
        <v>6.0084688172437592E-6</v>
      </c>
      <c r="AF196" s="137">
        <f>Transportation_LCIA!J$61*($W196^Transportation_LCIA!J$60)+Transportation_LCIA!J$62</f>
        <v>8.8936917837252362E-3</v>
      </c>
      <c r="AG196" s="137">
        <f>Transportation_LCIA!K$61*($W196^Transportation_LCIA!K$60)+Transportation_LCIA!K$62</f>
        <v>1.2188706109794917E-2</v>
      </c>
      <c r="AH196" s="137">
        <f>Transportation_LCIA!L$61*($W196^Transportation_LCIA!L$60)+Transportation_LCIA!L$62</f>
        <v>2.4310816549771977E-4</v>
      </c>
      <c r="AI196" s="137">
        <f>Transportation_LCIA!M$61*($W196^Transportation_LCIA!M$60)+Transportation_LCIA!M$62</f>
        <v>2.455450128432447E-4</v>
      </c>
      <c r="AJ196" s="137">
        <f>Transportation_LCIA!N$61*($W196^Transportation_LCIA!N$60)+Transportation_LCIA!N$62</f>
        <v>1.0016506819662974E-3</v>
      </c>
      <c r="AK196" s="137">
        <f>Transportation_LCIA!O$61*($W196^Transportation_LCIA!O$60)+Transportation_LCIA!O$62</f>
        <v>6.050134712780058E-5</v>
      </c>
      <c r="AL196" s="137">
        <f>Transportation_LCIA!P$61*($W196^Transportation_LCIA!P$60)+Transportation_LCIA!P$62</f>
        <v>2.9257301489528483E-8</v>
      </c>
      <c r="AM196" s="137">
        <f>Transportation_LCIA!Q$61*($W196^Transportation_LCIA!Q$60)+Transportation_LCIA!Q$62</f>
        <v>9.6216231090364335E-5</v>
      </c>
      <c r="AN196" s="137">
        <f>Transportation_LCIA!R$61*($W196^Transportation_LCIA!R$60)+Transportation_LCIA!R$62</f>
        <v>2.8896705818992006E-4</v>
      </c>
      <c r="AO196" s="137">
        <f>Transportation_LCIA!S$61*($W196^Transportation_LCIA!S$60)+Transportation_LCIA!S$62</f>
        <v>4.3584988519816731E-6</v>
      </c>
      <c r="AP196" s="137">
        <f>Transportation_LCIA!T$61*($W196^Transportation_LCIA!T$60)+Transportation_LCIA!T$62</f>
        <v>4.3584988519816731E-6</v>
      </c>
      <c r="AQ196" s="137">
        <f>Transportation_LCIA!U$61*($W196^Transportation_LCIA!U$60)+Transportation_LCIA!U$62</f>
        <v>6.204066649837317E-4</v>
      </c>
      <c r="AR196" s="137">
        <f>Transportation_LCIA!V$61*($W196^Transportation_LCIA!V$60)+Transportation_LCIA!V$62</f>
        <v>2.502258212971912E-4</v>
      </c>
      <c r="AT196" s="137">
        <f>$W196*Y196+$L196*Summary_LCIA!H$32</f>
        <v>277.17051766716185</v>
      </c>
      <c r="AU196" s="137">
        <f>$W196*Z196+$L196*Summary_LCIA!Q$32</f>
        <v>3045.1278942309782</v>
      </c>
      <c r="AV196" s="137">
        <f>$W196*AA196+$L196*Summary_LCIA!R$32</f>
        <v>1.8263728400108725</v>
      </c>
      <c r="AW196" s="137">
        <f>$W196*AB196+$L196*Summary_LCIA!S$32</f>
        <v>276.58868654716184</v>
      </c>
      <c r="AX196" s="137">
        <f>$W196*AC196+$L196*Summary_LCIA!T$32</f>
        <v>70.383370658914345</v>
      </c>
      <c r="AY196" s="137">
        <f>$W196*AD196+$L196*Summary_LCIA!U$32</f>
        <v>2.6318960399925384</v>
      </c>
      <c r="AZ196" s="137">
        <f>$W196*AE196+$L196*Summary_LCIA!V$32</f>
        <v>1.2155412693373845E-2</v>
      </c>
      <c r="BA196" s="137">
        <f>$W196*AF196+$L196*Summary_LCIA!W$32</f>
        <v>18.81843711820769</v>
      </c>
      <c r="BB196" s="137">
        <f>$W196*AG196+$L196*Summary_LCIA!X$32</f>
        <v>14.903122148346295</v>
      </c>
      <c r="BC196" s="137">
        <f>$W196*AH196+$L196*Summary_LCIA!Y$32</f>
        <v>2.2885908074026307</v>
      </c>
      <c r="BD196" s="137">
        <f>$W196*AI196+$L196*Summary_LCIA!Z$32</f>
        <v>0.24521693390990146</v>
      </c>
      <c r="BE196" s="137">
        <f>$W196*AJ196+$L196*Summary_LCIA!AA$32</f>
        <v>4.052781665996851</v>
      </c>
      <c r="BF196" s="137">
        <f>$W196*AK196+$L196*Summary_LCIA!AB$32</f>
        <v>5.6217706624052906E-2</v>
      </c>
      <c r="BG196" s="137">
        <f>$W196*AL196+$L196*Summary_LCIA!AC$32</f>
        <v>3.5009888042741905E-5</v>
      </c>
      <c r="BH196" s="137">
        <f>$W196*AM196+$L196*Summary_LCIA!AD$32</f>
        <v>0.14808003991290314</v>
      </c>
      <c r="BI196" s="137">
        <f>$W196*AN196+$L196*Summary_LCIA!AE$32</f>
        <v>0.39887468444947433</v>
      </c>
      <c r="BJ196" s="137">
        <f>$W196*AO196+$L196*Summary_LCIA!AF$32</f>
        <v>0.1155445616969317</v>
      </c>
      <c r="BK196" s="137">
        <f>$W196*AP196+$L196*Summary_LCIA!AG$32</f>
        <v>1.0992010516931702E-2</v>
      </c>
      <c r="BL196" s="137">
        <f>$W196*AQ196+$L196*Summary_LCIA!AH$32</f>
        <v>1.7516452901330024</v>
      </c>
      <c r="BM196" s="137">
        <f>$W196*AR196+$L196*Summary_LCIA!AI$32</f>
        <v>0.36701583660303072</v>
      </c>
    </row>
    <row r="197" spans="1:65" x14ac:dyDescent="0.25">
      <c r="A197" s="149">
        <v>136</v>
      </c>
      <c r="B197" s="149">
        <v>6</v>
      </c>
      <c r="C197" s="61">
        <v>33.954258000000003</v>
      </c>
      <c r="D197" s="61">
        <v>-83.374932000000001</v>
      </c>
      <c r="E197" s="61" t="s">
        <v>265</v>
      </c>
      <c r="F197" s="149">
        <v>1</v>
      </c>
      <c r="G197" s="61" t="s">
        <v>565</v>
      </c>
      <c r="H197" s="61" t="s">
        <v>681</v>
      </c>
      <c r="I197" s="61">
        <v>33.640728000000003</v>
      </c>
      <c r="J197" s="61">
        <v>-84.427700000000002</v>
      </c>
      <c r="K197" s="61">
        <v>112.66856199999999</v>
      </c>
      <c r="L197" s="61">
        <v>131.636</v>
      </c>
      <c r="M197" s="61" t="s">
        <v>617</v>
      </c>
      <c r="N197" s="149">
        <v>5</v>
      </c>
      <c r="O197" s="149">
        <v>6</v>
      </c>
      <c r="P197" s="61" t="s">
        <v>565</v>
      </c>
      <c r="Q197" s="61" t="s">
        <v>564</v>
      </c>
      <c r="R197" s="61">
        <v>41.98028</v>
      </c>
      <c r="S197" s="61">
        <v>-87.908997900000003</v>
      </c>
      <c r="T197" s="61">
        <v>1275.8620000000001</v>
      </c>
      <c r="U197" s="61" t="s">
        <v>617</v>
      </c>
      <c r="V197" s="61" t="s">
        <v>569</v>
      </c>
      <c r="W197" s="61" cm="1">
        <f t="array" ref="W197">getDistance(I197,J197,R197,S197)*SA!$B$12</f>
        <v>976.67906347990493</v>
      </c>
      <c r="X197" s="61"/>
      <c r="Y197" s="137">
        <f>Transportation_LCIA!C$61*($W197^Transportation_LCIA!C$60)+Transportation_LCIA!C$62</f>
        <v>0.23799077256655485</v>
      </c>
      <c r="Z197" s="137">
        <f>Transportation_LCIA!D$61*($W197^Transportation_LCIA!D$60)+Transportation_LCIA!D$62</f>
        <v>2.4498664186649894</v>
      </c>
      <c r="AA197" s="137">
        <f>Transportation_LCIA!E$61*($W197^Transportation_LCIA!E$60)+Transportation_LCIA!E$62</f>
        <v>1.1602893527513285E-3</v>
      </c>
      <c r="AB197" s="137">
        <f>Transportation_LCIA!F$61*($W197^Transportation_LCIA!F$60)+Transportation_LCIA!F$62</f>
        <v>0.23799077256655485</v>
      </c>
      <c r="AC197" s="137">
        <f>Transportation_LCIA!G$61*($W197^Transportation_LCIA!G$60)+Transportation_LCIA!G$62</f>
        <v>5.7251738416183251E-2</v>
      </c>
      <c r="AD197" s="137">
        <f>Transportation_LCIA!H$61*($W197^Transportation_LCIA!H$60)+Transportation_LCIA!H$62</f>
        <v>2.8030572808339046E-4</v>
      </c>
      <c r="AE197" s="137">
        <f>Transportation_LCIA!I$61*($W197^Transportation_LCIA!I$60)+Transportation_LCIA!I$62</f>
        <v>6.0084688172437592E-6</v>
      </c>
      <c r="AF197" s="137">
        <f>Transportation_LCIA!J$61*($W197^Transportation_LCIA!J$60)+Transportation_LCIA!J$62</f>
        <v>8.8936917837252362E-3</v>
      </c>
      <c r="AG197" s="137">
        <f>Transportation_LCIA!K$61*($W197^Transportation_LCIA!K$60)+Transportation_LCIA!K$62</f>
        <v>1.2188706109794917E-2</v>
      </c>
      <c r="AH197" s="137">
        <f>Transportation_LCIA!L$61*($W197^Transportation_LCIA!L$60)+Transportation_LCIA!L$62</f>
        <v>2.4310816549771977E-4</v>
      </c>
      <c r="AI197" s="137">
        <f>Transportation_LCIA!M$61*($W197^Transportation_LCIA!M$60)+Transportation_LCIA!M$62</f>
        <v>2.455450128432447E-4</v>
      </c>
      <c r="AJ197" s="137">
        <f>Transportation_LCIA!N$61*($W197^Transportation_LCIA!N$60)+Transportation_LCIA!N$62</f>
        <v>1.0016506819662974E-3</v>
      </c>
      <c r="AK197" s="137">
        <f>Transportation_LCIA!O$61*($W197^Transportation_LCIA!O$60)+Transportation_LCIA!O$62</f>
        <v>6.050134712780058E-5</v>
      </c>
      <c r="AL197" s="137">
        <f>Transportation_LCIA!P$61*($W197^Transportation_LCIA!P$60)+Transportation_LCIA!P$62</f>
        <v>2.9257301489528483E-8</v>
      </c>
      <c r="AM197" s="137">
        <f>Transportation_LCIA!Q$61*($W197^Transportation_LCIA!Q$60)+Transportation_LCIA!Q$62</f>
        <v>9.6216231090364335E-5</v>
      </c>
      <c r="AN197" s="137">
        <f>Transportation_LCIA!R$61*($W197^Transportation_LCIA!R$60)+Transportation_LCIA!R$62</f>
        <v>2.8896705818992006E-4</v>
      </c>
      <c r="AO197" s="137">
        <f>Transportation_LCIA!S$61*($W197^Transportation_LCIA!S$60)+Transportation_LCIA!S$62</f>
        <v>4.3584988519816731E-6</v>
      </c>
      <c r="AP197" s="137">
        <f>Transportation_LCIA!T$61*($W197^Transportation_LCIA!T$60)+Transportation_LCIA!T$62</f>
        <v>4.3584988519816731E-6</v>
      </c>
      <c r="AQ197" s="137">
        <f>Transportation_LCIA!U$61*($W197^Transportation_LCIA!U$60)+Transportation_LCIA!U$62</f>
        <v>6.204066649837317E-4</v>
      </c>
      <c r="AR197" s="137">
        <f>Transportation_LCIA!V$61*($W197^Transportation_LCIA!V$60)+Transportation_LCIA!V$62</f>
        <v>2.502258212971912E-4</v>
      </c>
      <c r="AT197" s="137">
        <f>$W197*Y197+$L197*Summary_LCIA!H$32</f>
        <v>277.17051766716185</v>
      </c>
      <c r="AU197" s="137">
        <f>$W197*Z197+$L197*Summary_LCIA!Q$32</f>
        <v>3045.1278942309782</v>
      </c>
      <c r="AV197" s="137">
        <f>$W197*AA197+$L197*Summary_LCIA!R$32</f>
        <v>1.8263728400108725</v>
      </c>
      <c r="AW197" s="137">
        <f>$W197*AB197+$L197*Summary_LCIA!S$32</f>
        <v>276.58868654716184</v>
      </c>
      <c r="AX197" s="137">
        <f>$W197*AC197+$L197*Summary_LCIA!T$32</f>
        <v>70.383370658914345</v>
      </c>
      <c r="AY197" s="137">
        <f>$W197*AD197+$L197*Summary_LCIA!U$32</f>
        <v>2.6318960399925384</v>
      </c>
      <c r="AZ197" s="137">
        <f>$W197*AE197+$L197*Summary_LCIA!V$32</f>
        <v>1.2155412693373845E-2</v>
      </c>
      <c r="BA197" s="137">
        <f>$W197*AF197+$L197*Summary_LCIA!W$32</f>
        <v>18.81843711820769</v>
      </c>
      <c r="BB197" s="137">
        <f>$W197*AG197+$L197*Summary_LCIA!X$32</f>
        <v>14.903122148346295</v>
      </c>
      <c r="BC197" s="137">
        <f>$W197*AH197+$L197*Summary_LCIA!Y$32</f>
        <v>2.2885908074026307</v>
      </c>
      <c r="BD197" s="137">
        <f>$W197*AI197+$L197*Summary_LCIA!Z$32</f>
        <v>0.24521693390990146</v>
      </c>
      <c r="BE197" s="137">
        <f>$W197*AJ197+$L197*Summary_LCIA!AA$32</f>
        <v>4.052781665996851</v>
      </c>
      <c r="BF197" s="137">
        <f>$W197*AK197+$L197*Summary_LCIA!AB$32</f>
        <v>5.6217706624052906E-2</v>
      </c>
      <c r="BG197" s="137">
        <f>$W197*AL197+$L197*Summary_LCIA!AC$32</f>
        <v>3.5009888042741905E-5</v>
      </c>
      <c r="BH197" s="137">
        <f>$W197*AM197+$L197*Summary_LCIA!AD$32</f>
        <v>0.14808003991290314</v>
      </c>
      <c r="BI197" s="137">
        <f>$W197*AN197+$L197*Summary_LCIA!AE$32</f>
        <v>0.39887468444947433</v>
      </c>
      <c r="BJ197" s="137">
        <f>$W197*AO197+$L197*Summary_LCIA!AF$32</f>
        <v>0.1155445616969317</v>
      </c>
      <c r="BK197" s="137">
        <f>$W197*AP197+$L197*Summary_LCIA!AG$32</f>
        <v>1.0992010516931702E-2</v>
      </c>
      <c r="BL197" s="137">
        <f>$W197*AQ197+$L197*Summary_LCIA!AH$32</f>
        <v>1.7516452901330024</v>
      </c>
      <c r="BM197" s="137">
        <f>$W197*AR197+$L197*Summary_LCIA!AI$32</f>
        <v>0.36701583660303072</v>
      </c>
    </row>
    <row r="198" spans="1:65" x14ac:dyDescent="0.25">
      <c r="A198" s="149">
        <v>378</v>
      </c>
      <c r="B198" s="149">
        <v>6</v>
      </c>
      <c r="C198" s="61">
        <v>40.741002000000002</v>
      </c>
      <c r="D198" s="61">
        <v>-74.177420999999995</v>
      </c>
      <c r="E198" s="61" t="s">
        <v>265</v>
      </c>
      <c r="F198" s="149">
        <v>43</v>
      </c>
      <c r="G198" s="61" t="s">
        <v>565</v>
      </c>
      <c r="H198" s="61" t="s">
        <v>632</v>
      </c>
      <c r="I198" s="61">
        <v>40.689531000000002</v>
      </c>
      <c r="J198" s="61">
        <v>-74.174462000000005</v>
      </c>
      <c r="K198" s="61">
        <v>7.8777833389999996</v>
      </c>
      <c r="L198" s="61">
        <v>7.5250000000000004</v>
      </c>
      <c r="M198" s="61" t="s">
        <v>617</v>
      </c>
      <c r="N198" s="149">
        <v>5</v>
      </c>
      <c r="O198" s="149">
        <v>6</v>
      </c>
      <c r="P198" s="61" t="s">
        <v>565</v>
      </c>
      <c r="Q198" s="61" t="s">
        <v>564</v>
      </c>
      <c r="R198" s="61">
        <v>41.98028</v>
      </c>
      <c r="S198" s="61">
        <v>-87.908997900000003</v>
      </c>
      <c r="T198" s="61">
        <v>1280.73</v>
      </c>
      <c r="U198" s="61" t="s">
        <v>617</v>
      </c>
      <c r="V198" s="61" t="s">
        <v>569</v>
      </c>
      <c r="W198" s="61" cm="1">
        <f t="array" ref="W198">getDistance(I198,J198,R198,S198)*SA!$B$12</f>
        <v>1157.3544072648172</v>
      </c>
      <c r="X198" s="61"/>
      <c r="Y198" s="137">
        <f>Transportation_LCIA!C$61*($W198^Transportation_LCIA!C$60)+Transportation_LCIA!C$62</f>
        <v>0.22125487054982909</v>
      </c>
      <c r="Z198" s="137">
        <f>Transportation_LCIA!D$61*($W198^Transportation_LCIA!D$60)+Transportation_LCIA!D$62</f>
        <v>2.2550976254597064</v>
      </c>
      <c r="AA198" s="137">
        <f>Transportation_LCIA!E$61*($W198^Transportation_LCIA!E$60)+Transportation_LCIA!E$62</f>
        <v>1.0323310860369151E-3</v>
      </c>
      <c r="AB198" s="137">
        <f>Transportation_LCIA!F$61*($W198^Transportation_LCIA!F$60)+Transportation_LCIA!F$62</f>
        <v>0.22125487054982909</v>
      </c>
      <c r="AC198" s="137">
        <f>Transportation_LCIA!G$61*($W198^Transportation_LCIA!G$60)+Transportation_LCIA!G$62</f>
        <v>5.2744888954963348E-2</v>
      </c>
      <c r="AD198" s="137">
        <f>Transportation_LCIA!H$61*($W198^Transportation_LCIA!H$60)+Transportation_LCIA!H$62</f>
        <v>2.5221347446689263E-4</v>
      </c>
      <c r="AE198" s="137">
        <f>Transportation_LCIA!I$61*($W198^Transportation_LCIA!I$60)+Transportation_LCIA!I$62</f>
        <v>5.3030314161226812E-6</v>
      </c>
      <c r="AF198" s="137">
        <f>Transportation_LCIA!J$61*($W198^Transportation_LCIA!J$60)+Transportation_LCIA!J$62</f>
        <v>7.8448001251838345E-3</v>
      </c>
      <c r="AG198" s="137">
        <f>Transportation_LCIA!K$61*($W198^Transportation_LCIA!K$60)+Transportation_LCIA!K$62</f>
        <v>1.1138126610856905E-2</v>
      </c>
      <c r="AH198" s="137">
        <f>Transportation_LCIA!L$61*($W198^Transportation_LCIA!L$60)+Transportation_LCIA!L$62</f>
        <v>2.173000581713352E-4</v>
      </c>
      <c r="AI198" s="137">
        <f>Transportation_LCIA!M$61*($W198^Transportation_LCIA!M$60)+Transportation_LCIA!M$62</f>
        <v>2.3004244817644541E-4</v>
      </c>
      <c r="AJ198" s="137">
        <f>Transportation_LCIA!N$61*($W198^Transportation_LCIA!N$60)+Transportation_LCIA!N$62</f>
        <v>9.0718132319716257E-4</v>
      </c>
      <c r="AK198" s="137">
        <f>Transportation_LCIA!O$61*($W198^Transportation_LCIA!O$60)+Transportation_LCIA!O$62</f>
        <v>5.5712603527285817E-5</v>
      </c>
      <c r="AL198" s="137">
        <f>Transportation_LCIA!P$61*($W198^Transportation_LCIA!P$60)+Transportation_LCIA!P$62</f>
        <v>2.6954451201708154E-8</v>
      </c>
      <c r="AM198" s="137">
        <f>Transportation_LCIA!Q$61*($W198^Transportation_LCIA!Q$60)+Transportation_LCIA!Q$62</f>
        <v>8.6129062862737627E-5</v>
      </c>
      <c r="AN198" s="137">
        <f>Transportation_LCIA!R$61*($W198^Transportation_LCIA!R$60)+Transportation_LCIA!R$62</f>
        <v>2.5514126484247728E-4</v>
      </c>
      <c r="AO198" s="137">
        <f>Transportation_LCIA!S$61*($W198^Transportation_LCIA!S$60)+Transportation_LCIA!S$62</f>
        <v>3.8783860198243708E-6</v>
      </c>
      <c r="AP198" s="137">
        <f>Transportation_LCIA!T$61*($W198^Transportation_LCIA!T$60)+Transportation_LCIA!T$62</f>
        <v>3.8783860198243708E-6</v>
      </c>
      <c r="AQ198" s="137">
        <f>Transportation_LCIA!U$61*($W198^Transportation_LCIA!U$60)+Transportation_LCIA!U$62</f>
        <v>5.4626083703188067E-4</v>
      </c>
      <c r="AR198" s="137">
        <f>Transportation_LCIA!V$61*($W198^Transportation_LCIA!V$60)+Transportation_LCIA!V$62</f>
        <v>2.2399696302769612E-4</v>
      </c>
      <c r="AT198" s="137">
        <f>$W198*Y198+$L198*Summary_LCIA!H$32</f>
        <v>258.62729455965126</v>
      </c>
      <c r="AU198" s="137">
        <f>$W198*Z198+$L198*Summary_LCIA!Q$32</f>
        <v>2647.2414551465399</v>
      </c>
      <c r="AV198" s="137">
        <f>$W198*AA198+$L198*Summary_LCIA!R$32</f>
        <v>1.2343965721812988</v>
      </c>
      <c r="AW198" s="137">
        <f>$W198*AB198+$L198*Summary_LCIA!S$32</f>
        <v>258.59403405965128</v>
      </c>
      <c r="AX198" s="137">
        <f>$W198*AC198+$L198*Summary_LCIA!T$32</f>
        <v>61.871527192720201</v>
      </c>
      <c r="AY198" s="137">
        <f>$W198*AD198+$L198*Summary_LCIA!U$32</f>
        <v>0.42670322624583057</v>
      </c>
      <c r="AZ198" s="137">
        <f>$W198*AE198+$L198*Summary_LCIA!V$32</f>
        <v>6.4968883063133698E-3</v>
      </c>
      <c r="BA198" s="137">
        <f>$W198*AF198+$L198*Summary_LCIA!W$32</f>
        <v>9.6584207739931003</v>
      </c>
      <c r="BB198" s="137">
        <f>$W198*AG198+$L198*Summary_LCIA!X$32</f>
        <v>13.06217942174878</v>
      </c>
      <c r="BC198" s="137">
        <f>$W198*AH198+$L198*Summary_LCIA!Y$32</f>
        <v>0.36874773002349598</v>
      </c>
      <c r="BD198" s="137">
        <f>$W198*AI198+$L198*Summary_LCIA!Z$32</f>
        <v>0.26654923397999741</v>
      </c>
      <c r="BE198" s="137">
        <f>$W198*AJ198+$L198*Summary_LCIA!AA$32</f>
        <v>1.2256842025905645</v>
      </c>
      <c r="BF198" s="137">
        <f>$W198*AK198+$L198*Summary_LCIA!AB$32</f>
        <v>6.4315009157501643E-2</v>
      </c>
      <c r="BG198" s="137">
        <f>$W198*AL198+$L198*Summary_LCIA!AC$32</f>
        <v>3.1563704993701379E-5</v>
      </c>
      <c r="BH198" s="137">
        <f>$W198*AM198+$L198*Summary_LCIA!AD$32</f>
        <v>0.10277492649777788</v>
      </c>
      <c r="BI198" s="137">
        <f>$W198*AN198+$L198*Summary_LCIA!AE$32</f>
        <v>0.30195699559056105</v>
      </c>
      <c r="BJ198" s="137">
        <f>$W198*AO198+$L198*Summary_LCIA!AF$32</f>
        <v>1.0850452653117989E-2</v>
      </c>
      <c r="BK198" s="137">
        <f>$W198*AP198+$L198*Summary_LCIA!AG$32</f>
        <v>4.8736837781179878E-3</v>
      </c>
      <c r="BL198" s="137">
        <f>$W198*AQ198+$L198*Summary_LCIA!AH$32</f>
        <v>0.6977119772550151</v>
      </c>
      <c r="BM198" s="137">
        <f>$W198*AR198+$L198*Summary_LCIA!AI$32</f>
        <v>0.26625378612403838</v>
      </c>
    </row>
    <row r="199" spans="1:65" x14ac:dyDescent="0.25">
      <c r="A199" s="149">
        <v>15</v>
      </c>
      <c r="B199" s="149">
        <v>6</v>
      </c>
      <c r="C199" s="61">
        <v>40.676457999999997</v>
      </c>
      <c r="D199" s="61">
        <v>-74.228478999999993</v>
      </c>
      <c r="E199" s="61" t="s">
        <v>265</v>
      </c>
      <c r="F199" s="149">
        <v>43</v>
      </c>
      <c r="G199" s="61" t="s">
        <v>565</v>
      </c>
      <c r="H199" s="61" t="s">
        <v>632</v>
      </c>
      <c r="I199" s="61">
        <v>40.689531000000002</v>
      </c>
      <c r="J199" s="61">
        <v>-74.174462000000005</v>
      </c>
      <c r="K199" s="61">
        <v>5.2641184650000001</v>
      </c>
      <c r="L199" s="61">
        <v>7.0670000000000002</v>
      </c>
      <c r="M199" s="61" t="s">
        <v>617</v>
      </c>
      <c r="N199" s="149">
        <v>5</v>
      </c>
      <c r="O199" s="149">
        <v>6</v>
      </c>
      <c r="P199" s="61" t="s">
        <v>565</v>
      </c>
      <c r="Q199" s="61" t="s">
        <v>564</v>
      </c>
      <c r="R199" s="61">
        <v>41.98028</v>
      </c>
      <c r="S199" s="61">
        <v>-87.908997900000003</v>
      </c>
      <c r="T199" s="61">
        <v>1289.7370000000001</v>
      </c>
      <c r="U199" s="61" t="s">
        <v>617</v>
      </c>
      <c r="V199" s="61" t="s">
        <v>569</v>
      </c>
      <c r="W199" s="61" cm="1">
        <f t="array" ref="W199">getDistance(I199,J199,R199,S199)*SA!$B$12</f>
        <v>1157.3544072648172</v>
      </c>
      <c r="X199" s="61"/>
      <c r="Y199" s="137">
        <f>Transportation_LCIA!C$61*($W199^Transportation_LCIA!C$60)+Transportation_LCIA!C$62</f>
        <v>0.22125487054982909</v>
      </c>
      <c r="Z199" s="137">
        <f>Transportation_LCIA!D$61*($W199^Transportation_LCIA!D$60)+Transportation_LCIA!D$62</f>
        <v>2.2550976254597064</v>
      </c>
      <c r="AA199" s="137">
        <f>Transportation_LCIA!E$61*($W199^Transportation_LCIA!E$60)+Transportation_LCIA!E$62</f>
        <v>1.0323310860369151E-3</v>
      </c>
      <c r="AB199" s="137">
        <f>Transportation_LCIA!F$61*($W199^Transportation_LCIA!F$60)+Transportation_LCIA!F$62</f>
        <v>0.22125487054982909</v>
      </c>
      <c r="AC199" s="137">
        <f>Transportation_LCIA!G$61*($W199^Transportation_LCIA!G$60)+Transportation_LCIA!G$62</f>
        <v>5.2744888954963348E-2</v>
      </c>
      <c r="AD199" s="137">
        <f>Transportation_LCIA!H$61*($W199^Transportation_LCIA!H$60)+Transportation_LCIA!H$62</f>
        <v>2.5221347446689263E-4</v>
      </c>
      <c r="AE199" s="137">
        <f>Transportation_LCIA!I$61*($W199^Transportation_LCIA!I$60)+Transportation_LCIA!I$62</f>
        <v>5.3030314161226812E-6</v>
      </c>
      <c r="AF199" s="137">
        <f>Transportation_LCIA!J$61*($W199^Transportation_LCIA!J$60)+Transportation_LCIA!J$62</f>
        <v>7.8448001251838345E-3</v>
      </c>
      <c r="AG199" s="137">
        <f>Transportation_LCIA!K$61*($W199^Transportation_LCIA!K$60)+Transportation_LCIA!K$62</f>
        <v>1.1138126610856905E-2</v>
      </c>
      <c r="AH199" s="137">
        <f>Transportation_LCIA!L$61*($W199^Transportation_LCIA!L$60)+Transportation_LCIA!L$62</f>
        <v>2.173000581713352E-4</v>
      </c>
      <c r="AI199" s="137">
        <f>Transportation_LCIA!M$61*($W199^Transportation_LCIA!M$60)+Transportation_LCIA!M$62</f>
        <v>2.3004244817644541E-4</v>
      </c>
      <c r="AJ199" s="137">
        <f>Transportation_LCIA!N$61*($W199^Transportation_LCIA!N$60)+Transportation_LCIA!N$62</f>
        <v>9.0718132319716257E-4</v>
      </c>
      <c r="AK199" s="137">
        <f>Transportation_LCIA!O$61*($W199^Transportation_LCIA!O$60)+Transportation_LCIA!O$62</f>
        <v>5.5712603527285817E-5</v>
      </c>
      <c r="AL199" s="137">
        <f>Transportation_LCIA!P$61*($W199^Transportation_LCIA!P$60)+Transportation_LCIA!P$62</f>
        <v>2.6954451201708154E-8</v>
      </c>
      <c r="AM199" s="137">
        <f>Transportation_LCIA!Q$61*($W199^Transportation_LCIA!Q$60)+Transportation_LCIA!Q$62</f>
        <v>8.6129062862737627E-5</v>
      </c>
      <c r="AN199" s="137">
        <f>Transportation_LCIA!R$61*($W199^Transportation_LCIA!R$60)+Transportation_LCIA!R$62</f>
        <v>2.5514126484247728E-4</v>
      </c>
      <c r="AO199" s="137">
        <f>Transportation_LCIA!S$61*($W199^Transportation_LCIA!S$60)+Transportation_LCIA!S$62</f>
        <v>3.8783860198243708E-6</v>
      </c>
      <c r="AP199" s="137">
        <f>Transportation_LCIA!T$61*($W199^Transportation_LCIA!T$60)+Transportation_LCIA!T$62</f>
        <v>3.8783860198243708E-6</v>
      </c>
      <c r="AQ199" s="137">
        <f>Transportation_LCIA!U$61*($W199^Transportation_LCIA!U$60)+Transportation_LCIA!U$62</f>
        <v>5.4626083703188067E-4</v>
      </c>
      <c r="AR199" s="137">
        <f>Transportation_LCIA!V$61*($W199^Transportation_LCIA!V$60)+Transportation_LCIA!V$62</f>
        <v>2.2399696302769612E-4</v>
      </c>
      <c r="AT199" s="137">
        <f>$W199*Y199+$L199*Summary_LCIA!H$32</f>
        <v>258.47166615965131</v>
      </c>
      <c r="AU199" s="137">
        <f>$W199*Z199+$L199*Summary_LCIA!Q$32</f>
        <v>2644.9715840482258</v>
      </c>
      <c r="AV199" s="137">
        <f>$W199*AA199+$L199*Summary_LCIA!R$32</f>
        <v>1.2319849273812988</v>
      </c>
      <c r="AW199" s="137">
        <f>$W199*AB199+$L199*Summary_LCIA!S$32</f>
        <v>258.44043001965127</v>
      </c>
      <c r="AX199" s="137">
        <f>$W199*AC199+$L199*Summary_LCIA!T$32</f>
        <v>61.821192992720206</v>
      </c>
      <c r="AY199" s="137">
        <f>$W199*AD199+$L199*Summary_LCIA!U$32</f>
        <v>0.41849861424583057</v>
      </c>
      <c r="AZ199" s="137">
        <f>$W199*AE199+$L199*Summary_LCIA!V$32</f>
        <v>6.4750137683133703E-3</v>
      </c>
      <c r="BA199" s="137">
        <f>$W199*AF199+$L199*Summary_LCIA!W$32</f>
        <v>9.6231680559931014</v>
      </c>
      <c r="BB199" s="137">
        <f>$W199*AG199+$L199*Summary_LCIA!X$32</f>
        <v>13.051746181748779</v>
      </c>
      <c r="BC199" s="137">
        <f>$W199*AH199+$L199*Summary_LCIA!Y$32</f>
        <v>0.36161117402349596</v>
      </c>
      <c r="BD199" s="137">
        <f>$W199*AI199+$L199*Summary_LCIA!Z$32</f>
        <v>0.2665304518579974</v>
      </c>
      <c r="BE199" s="137">
        <f>$W199*AJ199+$L199*Summary_LCIA!AA$32</f>
        <v>1.2149871545905646</v>
      </c>
      <c r="BF199" s="137">
        <f>$W199*AK199+$L199*Summary_LCIA!AB$32</f>
        <v>6.4325004091501645E-2</v>
      </c>
      <c r="BG199" s="137">
        <f>$W199*AL199+$L199*Summary_LCIA!AC$32</f>
        <v>3.1541316121701382E-5</v>
      </c>
      <c r="BH199" s="137">
        <f>$W199*AM199+$L199*Summary_LCIA!AD$32</f>
        <v>0.10258667017777788</v>
      </c>
      <c r="BI199" s="137">
        <f>$W199*AN199+$L199*Summary_LCIA!AE$32</f>
        <v>0.30155114805056105</v>
      </c>
      <c r="BJ199" s="137">
        <f>$W199*AO199+$L199*Summary_LCIA!AF$32</f>
        <v>1.0463250293117989E-2</v>
      </c>
      <c r="BK199" s="137">
        <f>$W199*AP199+$L199*Summary_LCIA!AG$32</f>
        <v>4.8502502081179876E-3</v>
      </c>
      <c r="BL199" s="137">
        <f>$W199*AQ199+$L199*Summary_LCIA!AH$32</f>
        <v>0.69372572845501512</v>
      </c>
      <c r="BM199" s="137">
        <f>$W199*AR199+$L199*Summary_LCIA!AI$32</f>
        <v>0.26582713622403842</v>
      </c>
    </row>
    <row r="200" spans="1:65" x14ac:dyDescent="0.25">
      <c r="A200" s="149">
        <v>16</v>
      </c>
      <c r="B200" s="149">
        <v>6</v>
      </c>
      <c r="C200" s="61">
        <v>40.676457999999997</v>
      </c>
      <c r="D200" s="61">
        <v>-74.228478999999993</v>
      </c>
      <c r="E200" s="61" t="s">
        <v>265</v>
      </c>
      <c r="F200" s="149">
        <v>43</v>
      </c>
      <c r="G200" s="61" t="s">
        <v>565</v>
      </c>
      <c r="H200" s="61" t="s">
        <v>632</v>
      </c>
      <c r="I200" s="61">
        <v>40.689531000000002</v>
      </c>
      <c r="J200" s="61">
        <v>-74.174462000000005</v>
      </c>
      <c r="K200" s="61">
        <v>5.2641184650000001</v>
      </c>
      <c r="L200" s="61">
        <v>7.0670000000000002</v>
      </c>
      <c r="M200" s="61" t="s">
        <v>617</v>
      </c>
      <c r="N200" s="149">
        <v>5</v>
      </c>
      <c r="O200" s="149">
        <v>6</v>
      </c>
      <c r="P200" s="61" t="s">
        <v>565</v>
      </c>
      <c r="Q200" s="61" t="s">
        <v>564</v>
      </c>
      <c r="R200" s="61">
        <v>41.98028</v>
      </c>
      <c r="S200" s="61">
        <v>-87.908997900000003</v>
      </c>
      <c r="T200" s="61">
        <v>1289.7370000000001</v>
      </c>
      <c r="U200" s="61" t="s">
        <v>617</v>
      </c>
      <c r="V200" s="61" t="s">
        <v>569</v>
      </c>
      <c r="W200" s="61" cm="1">
        <f t="array" ref="W200">getDistance(I200,J200,R200,S200)*SA!$B$12</f>
        <v>1157.3544072648172</v>
      </c>
      <c r="X200" s="61"/>
      <c r="Y200" s="137">
        <f>Transportation_LCIA!C$61*($W200^Transportation_LCIA!C$60)+Transportation_LCIA!C$62</f>
        <v>0.22125487054982909</v>
      </c>
      <c r="Z200" s="137">
        <f>Transportation_LCIA!D$61*($W200^Transportation_LCIA!D$60)+Transportation_LCIA!D$62</f>
        <v>2.2550976254597064</v>
      </c>
      <c r="AA200" s="137">
        <f>Transportation_LCIA!E$61*($W200^Transportation_LCIA!E$60)+Transportation_LCIA!E$62</f>
        <v>1.0323310860369151E-3</v>
      </c>
      <c r="AB200" s="137">
        <f>Transportation_LCIA!F$61*($W200^Transportation_LCIA!F$60)+Transportation_LCIA!F$62</f>
        <v>0.22125487054982909</v>
      </c>
      <c r="AC200" s="137">
        <f>Transportation_LCIA!G$61*($W200^Transportation_LCIA!G$60)+Transportation_LCIA!G$62</f>
        <v>5.2744888954963348E-2</v>
      </c>
      <c r="AD200" s="137">
        <f>Transportation_LCIA!H$61*($W200^Transportation_LCIA!H$60)+Transportation_LCIA!H$62</f>
        <v>2.5221347446689263E-4</v>
      </c>
      <c r="AE200" s="137">
        <f>Transportation_LCIA!I$61*($W200^Transportation_LCIA!I$60)+Transportation_LCIA!I$62</f>
        <v>5.3030314161226812E-6</v>
      </c>
      <c r="AF200" s="137">
        <f>Transportation_LCIA!J$61*($W200^Transportation_LCIA!J$60)+Transportation_LCIA!J$62</f>
        <v>7.8448001251838345E-3</v>
      </c>
      <c r="AG200" s="137">
        <f>Transportation_LCIA!K$61*($W200^Transportation_LCIA!K$60)+Transportation_LCIA!K$62</f>
        <v>1.1138126610856905E-2</v>
      </c>
      <c r="AH200" s="137">
        <f>Transportation_LCIA!L$61*($W200^Transportation_LCIA!L$60)+Transportation_LCIA!L$62</f>
        <v>2.173000581713352E-4</v>
      </c>
      <c r="AI200" s="137">
        <f>Transportation_LCIA!M$61*($W200^Transportation_LCIA!M$60)+Transportation_LCIA!M$62</f>
        <v>2.3004244817644541E-4</v>
      </c>
      <c r="AJ200" s="137">
        <f>Transportation_LCIA!N$61*($W200^Transportation_LCIA!N$60)+Transportation_LCIA!N$62</f>
        <v>9.0718132319716257E-4</v>
      </c>
      <c r="AK200" s="137">
        <f>Transportation_LCIA!O$61*($W200^Transportation_LCIA!O$60)+Transportation_LCIA!O$62</f>
        <v>5.5712603527285817E-5</v>
      </c>
      <c r="AL200" s="137">
        <f>Transportation_LCIA!P$61*($W200^Transportation_LCIA!P$60)+Transportation_LCIA!P$62</f>
        <v>2.6954451201708154E-8</v>
      </c>
      <c r="AM200" s="137">
        <f>Transportation_LCIA!Q$61*($W200^Transportation_LCIA!Q$60)+Transportation_LCIA!Q$62</f>
        <v>8.6129062862737627E-5</v>
      </c>
      <c r="AN200" s="137">
        <f>Transportation_LCIA!R$61*($W200^Transportation_LCIA!R$60)+Transportation_LCIA!R$62</f>
        <v>2.5514126484247728E-4</v>
      </c>
      <c r="AO200" s="137">
        <f>Transportation_LCIA!S$61*($W200^Transportation_LCIA!S$60)+Transportation_LCIA!S$62</f>
        <v>3.8783860198243708E-6</v>
      </c>
      <c r="AP200" s="137">
        <f>Transportation_LCIA!T$61*($W200^Transportation_LCIA!T$60)+Transportation_LCIA!T$62</f>
        <v>3.8783860198243708E-6</v>
      </c>
      <c r="AQ200" s="137">
        <f>Transportation_LCIA!U$61*($W200^Transportation_LCIA!U$60)+Transportation_LCIA!U$62</f>
        <v>5.4626083703188067E-4</v>
      </c>
      <c r="AR200" s="137">
        <f>Transportation_LCIA!V$61*($W200^Transportation_LCIA!V$60)+Transportation_LCIA!V$62</f>
        <v>2.2399696302769612E-4</v>
      </c>
      <c r="AT200" s="137">
        <f>$W200*Y200+$L200*Summary_LCIA!H$32</f>
        <v>258.47166615965131</v>
      </c>
      <c r="AU200" s="137">
        <f>$W200*Z200+$L200*Summary_LCIA!Q$32</f>
        <v>2644.9715840482258</v>
      </c>
      <c r="AV200" s="137">
        <f>$W200*AA200+$L200*Summary_LCIA!R$32</f>
        <v>1.2319849273812988</v>
      </c>
      <c r="AW200" s="137">
        <f>$W200*AB200+$L200*Summary_LCIA!S$32</f>
        <v>258.44043001965127</v>
      </c>
      <c r="AX200" s="137">
        <f>$W200*AC200+$L200*Summary_LCIA!T$32</f>
        <v>61.821192992720206</v>
      </c>
      <c r="AY200" s="137">
        <f>$W200*AD200+$L200*Summary_LCIA!U$32</f>
        <v>0.41849861424583057</v>
      </c>
      <c r="AZ200" s="137">
        <f>$W200*AE200+$L200*Summary_LCIA!V$32</f>
        <v>6.4750137683133703E-3</v>
      </c>
      <c r="BA200" s="137">
        <f>$W200*AF200+$L200*Summary_LCIA!W$32</f>
        <v>9.6231680559931014</v>
      </c>
      <c r="BB200" s="137">
        <f>$W200*AG200+$L200*Summary_LCIA!X$32</f>
        <v>13.051746181748779</v>
      </c>
      <c r="BC200" s="137">
        <f>$W200*AH200+$L200*Summary_LCIA!Y$32</f>
        <v>0.36161117402349596</v>
      </c>
      <c r="BD200" s="137">
        <f>$W200*AI200+$L200*Summary_LCIA!Z$32</f>
        <v>0.2665304518579974</v>
      </c>
      <c r="BE200" s="137">
        <f>$W200*AJ200+$L200*Summary_LCIA!AA$32</f>
        <v>1.2149871545905646</v>
      </c>
      <c r="BF200" s="137">
        <f>$W200*AK200+$L200*Summary_LCIA!AB$32</f>
        <v>6.4325004091501645E-2</v>
      </c>
      <c r="BG200" s="137">
        <f>$W200*AL200+$L200*Summary_LCIA!AC$32</f>
        <v>3.1541316121701382E-5</v>
      </c>
      <c r="BH200" s="137">
        <f>$W200*AM200+$L200*Summary_LCIA!AD$32</f>
        <v>0.10258667017777788</v>
      </c>
      <c r="BI200" s="137">
        <f>$W200*AN200+$L200*Summary_LCIA!AE$32</f>
        <v>0.30155114805056105</v>
      </c>
      <c r="BJ200" s="137">
        <f>$W200*AO200+$L200*Summary_LCIA!AF$32</f>
        <v>1.0463250293117989E-2</v>
      </c>
      <c r="BK200" s="137">
        <f>$W200*AP200+$L200*Summary_LCIA!AG$32</f>
        <v>4.8502502081179876E-3</v>
      </c>
      <c r="BL200" s="137">
        <f>$W200*AQ200+$L200*Summary_LCIA!AH$32</f>
        <v>0.69372572845501512</v>
      </c>
      <c r="BM200" s="137">
        <f>$W200*AR200+$L200*Summary_LCIA!AI$32</f>
        <v>0.26582713622403842</v>
      </c>
    </row>
    <row r="201" spans="1:65" x14ac:dyDescent="0.25">
      <c r="A201" s="149">
        <v>17</v>
      </c>
      <c r="B201" s="149">
        <v>6</v>
      </c>
      <c r="C201" s="61">
        <v>40.676457999999997</v>
      </c>
      <c r="D201" s="61">
        <v>-74.228478999999993</v>
      </c>
      <c r="E201" s="61" t="s">
        <v>265</v>
      </c>
      <c r="F201" s="149">
        <v>43</v>
      </c>
      <c r="G201" s="61" t="s">
        <v>565</v>
      </c>
      <c r="H201" s="61" t="s">
        <v>632</v>
      </c>
      <c r="I201" s="61">
        <v>40.689531000000002</v>
      </c>
      <c r="J201" s="61">
        <v>-74.174462000000005</v>
      </c>
      <c r="K201" s="61">
        <v>5.2641184650000001</v>
      </c>
      <c r="L201" s="61">
        <v>7.0670000000000002</v>
      </c>
      <c r="M201" s="61" t="s">
        <v>617</v>
      </c>
      <c r="N201" s="149">
        <v>5</v>
      </c>
      <c r="O201" s="149">
        <v>6</v>
      </c>
      <c r="P201" s="61" t="s">
        <v>565</v>
      </c>
      <c r="Q201" s="61" t="s">
        <v>564</v>
      </c>
      <c r="R201" s="61">
        <v>41.98028</v>
      </c>
      <c r="S201" s="61">
        <v>-87.908997900000003</v>
      </c>
      <c r="T201" s="61">
        <v>1289.7370000000001</v>
      </c>
      <c r="U201" s="61" t="s">
        <v>617</v>
      </c>
      <c r="V201" s="61" t="s">
        <v>569</v>
      </c>
      <c r="W201" s="61" cm="1">
        <f t="array" ref="W201">getDistance(I201,J201,R201,S201)*SA!$B$12</f>
        <v>1157.3544072648172</v>
      </c>
      <c r="X201" s="61"/>
      <c r="Y201" s="137">
        <f>Transportation_LCIA!C$61*($W201^Transportation_LCIA!C$60)+Transportation_LCIA!C$62</f>
        <v>0.22125487054982909</v>
      </c>
      <c r="Z201" s="137">
        <f>Transportation_LCIA!D$61*($W201^Transportation_LCIA!D$60)+Transportation_LCIA!D$62</f>
        <v>2.2550976254597064</v>
      </c>
      <c r="AA201" s="137">
        <f>Transportation_LCIA!E$61*($W201^Transportation_LCIA!E$60)+Transportation_LCIA!E$62</f>
        <v>1.0323310860369151E-3</v>
      </c>
      <c r="AB201" s="137">
        <f>Transportation_LCIA!F$61*($W201^Transportation_LCIA!F$60)+Transportation_LCIA!F$62</f>
        <v>0.22125487054982909</v>
      </c>
      <c r="AC201" s="137">
        <f>Transportation_LCIA!G$61*($W201^Transportation_LCIA!G$60)+Transportation_LCIA!G$62</f>
        <v>5.2744888954963348E-2</v>
      </c>
      <c r="AD201" s="137">
        <f>Transportation_LCIA!H$61*($W201^Transportation_LCIA!H$60)+Transportation_LCIA!H$62</f>
        <v>2.5221347446689263E-4</v>
      </c>
      <c r="AE201" s="137">
        <f>Transportation_LCIA!I$61*($W201^Transportation_LCIA!I$60)+Transportation_LCIA!I$62</f>
        <v>5.3030314161226812E-6</v>
      </c>
      <c r="AF201" s="137">
        <f>Transportation_LCIA!J$61*($W201^Transportation_LCIA!J$60)+Transportation_LCIA!J$62</f>
        <v>7.8448001251838345E-3</v>
      </c>
      <c r="AG201" s="137">
        <f>Transportation_LCIA!K$61*($W201^Transportation_LCIA!K$60)+Transportation_LCIA!K$62</f>
        <v>1.1138126610856905E-2</v>
      </c>
      <c r="AH201" s="137">
        <f>Transportation_LCIA!L$61*($W201^Transportation_LCIA!L$60)+Transportation_LCIA!L$62</f>
        <v>2.173000581713352E-4</v>
      </c>
      <c r="AI201" s="137">
        <f>Transportation_LCIA!M$61*($W201^Transportation_LCIA!M$60)+Transportation_LCIA!M$62</f>
        <v>2.3004244817644541E-4</v>
      </c>
      <c r="AJ201" s="137">
        <f>Transportation_LCIA!N$61*($W201^Transportation_LCIA!N$60)+Transportation_LCIA!N$62</f>
        <v>9.0718132319716257E-4</v>
      </c>
      <c r="AK201" s="137">
        <f>Transportation_LCIA!O$61*($W201^Transportation_LCIA!O$60)+Transportation_LCIA!O$62</f>
        <v>5.5712603527285817E-5</v>
      </c>
      <c r="AL201" s="137">
        <f>Transportation_LCIA!P$61*($W201^Transportation_LCIA!P$60)+Transportation_LCIA!P$62</f>
        <v>2.6954451201708154E-8</v>
      </c>
      <c r="AM201" s="137">
        <f>Transportation_LCIA!Q$61*($W201^Transportation_LCIA!Q$60)+Transportation_LCIA!Q$62</f>
        <v>8.6129062862737627E-5</v>
      </c>
      <c r="AN201" s="137">
        <f>Transportation_LCIA!R$61*($W201^Transportation_LCIA!R$60)+Transportation_LCIA!R$62</f>
        <v>2.5514126484247728E-4</v>
      </c>
      <c r="AO201" s="137">
        <f>Transportation_LCIA!S$61*($W201^Transportation_LCIA!S$60)+Transportation_LCIA!S$62</f>
        <v>3.8783860198243708E-6</v>
      </c>
      <c r="AP201" s="137">
        <f>Transportation_LCIA!T$61*($W201^Transportation_LCIA!T$60)+Transportation_LCIA!T$62</f>
        <v>3.8783860198243708E-6</v>
      </c>
      <c r="AQ201" s="137">
        <f>Transportation_LCIA!U$61*($W201^Transportation_LCIA!U$60)+Transportation_LCIA!U$62</f>
        <v>5.4626083703188067E-4</v>
      </c>
      <c r="AR201" s="137">
        <f>Transportation_LCIA!V$61*($W201^Transportation_LCIA!V$60)+Transportation_LCIA!V$62</f>
        <v>2.2399696302769612E-4</v>
      </c>
      <c r="AT201" s="137">
        <f>$W201*Y201+$L201*Summary_LCIA!H$32</f>
        <v>258.47166615965131</v>
      </c>
      <c r="AU201" s="137">
        <f>$W201*Z201+$L201*Summary_LCIA!Q$32</f>
        <v>2644.9715840482258</v>
      </c>
      <c r="AV201" s="137">
        <f>$W201*AA201+$L201*Summary_LCIA!R$32</f>
        <v>1.2319849273812988</v>
      </c>
      <c r="AW201" s="137">
        <f>$W201*AB201+$L201*Summary_LCIA!S$32</f>
        <v>258.44043001965127</v>
      </c>
      <c r="AX201" s="137">
        <f>$W201*AC201+$L201*Summary_LCIA!T$32</f>
        <v>61.821192992720206</v>
      </c>
      <c r="AY201" s="137">
        <f>$W201*AD201+$L201*Summary_LCIA!U$32</f>
        <v>0.41849861424583057</v>
      </c>
      <c r="AZ201" s="137">
        <f>$W201*AE201+$L201*Summary_LCIA!V$32</f>
        <v>6.4750137683133703E-3</v>
      </c>
      <c r="BA201" s="137">
        <f>$W201*AF201+$L201*Summary_LCIA!W$32</f>
        <v>9.6231680559931014</v>
      </c>
      <c r="BB201" s="137">
        <f>$W201*AG201+$L201*Summary_LCIA!X$32</f>
        <v>13.051746181748779</v>
      </c>
      <c r="BC201" s="137">
        <f>$W201*AH201+$L201*Summary_LCIA!Y$32</f>
        <v>0.36161117402349596</v>
      </c>
      <c r="BD201" s="137">
        <f>$W201*AI201+$L201*Summary_LCIA!Z$32</f>
        <v>0.2665304518579974</v>
      </c>
      <c r="BE201" s="137">
        <f>$W201*AJ201+$L201*Summary_LCIA!AA$32</f>
        <v>1.2149871545905646</v>
      </c>
      <c r="BF201" s="137">
        <f>$W201*AK201+$L201*Summary_LCIA!AB$32</f>
        <v>6.4325004091501645E-2</v>
      </c>
      <c r="BG201" s="137">
        <f>$W201*AL201+$L201*Summary_LCIA!AC$32</f>
        <v>3.1541316121701382E-5</v>
      </c>
      <c r="BH201" s="137">
        <f>$W201*AM201+$L201*Summary_LCIA!AD$32</f>
        <v>0.10258667017777788</v>
      </c>
      <c r="BI201" s="137">
        <f>$W201*AN201+$L201*Summary_LCIA!AE$32</f>
        <v>0.30155114805056105</v>
      </c>
      <c r="BJ201" s="137">
        <f>$W201*AO201+$L201*Summary_LCIA!AF$32</f>
        <v>1.0463250293117989E-2</v>
      </c>
      <c r="BK201" s="137">
        <f>$W201*AP201+$L201*Summary_LCIA!AG$32</f>
        <v>4.8502502081179876E-3</v>
      </c>
      <c r="BL201" s="137">
        <f>$W201*AQ201+$L201*Summary_LCIA!AH$32</f>
        <v>0.69372572845501512</v>
      </c>
      <c r="BM201" s="137">
        <f>$W201*AR201+$L201*Summary_LCIA!AI$32</f>
        <v>0.26582713622403842</v>
      </c>
    </row>
    <row r="202" spans="1:65" x14ac:dyDescent="0.25">
      <c r="A202" s="149">
        <v>283</v>
      </c>
      <c r="B202" s="149">
        <v>6</v>
      </c>
      <c r="C202" s="61">
        <v>40.712775999999998</v>
      </c>
      <c r="D202" s="61">
        <v>-74.005954000000003</v>
      </c>
      <c r="E202" s="61" t="s">
        <v>265</v>
      </c>
      <c r="F202" s="149">
        <v>43</v>
      </c>
      <c r="G202" s="61" t="s">
        <v>565</v>
      </c>
      <c r="H202" s="61" t="s">
        <v>632</v>
      </c>
      <c r="I202" s="61">
        <v>40.689531000000002</v>
      </c>
      <c r="J202" s="61">
        <v>-74.174462000000005</v>
      </c>
      <c r="K202" s="61">
        <v>15.29610297</v>
      </c>
      <c r="L202" s="61">
        <v>21.715</v>
      </c>
      <c r="M202" s="61" t="s">
        <v>617</v>
      </c>
      <c r="N202" s="149">
        <v>5</v>
      </c>
      <c r="O202" s="149">
        <v>6</v>
      </c>
      <c r="P202" s="61" t="s">
        <v>565</v>
      </c>
      <c r="Q202" s="61" t="s">
        <v>564</v>
      </c>
      <c r="R202" s="61">
        <v>41.98028</v>
      </c>
      <c r="S202" s="61">
        <v>-87.908997900000003</v>
      </c>
      <c r="T202" s="61">
        <v>1298.6400000000001</v>
      </c>
      <c r="U202" s="61" t="s">
        <v>617</v>
      </c>
      <c r="V202" s="61" t="s">
        <v>569</v>
      </c>
      <c r="W202" s="61" cm="1">
        <f t="array" ref="W202">getDistance(I202,J202,R202,S202)*SA!$B$12</f>
        <v>1157.3544072648172</v>
      </c>
      <c r="X202" s="61"/>
      <c r="Y202" s="137">
        <f>Transportation_LCIA!C$61*($W202^Transportation_LCIA!C$60)+Transportation_LCIA!C$62</f>
        <v>0.22125487054982909</v>
      </c>
      <c r="Z202" s="137">
        <f>Transportation_LCIA!D$61*($W202^Transportation_LCIA!D$60)+Transportation_LCIA!D$62</f>
        <v>2.2550976254597064</v>
      </c>
      <c r="AA202" s="137">
        <f>Transportation_LCIA!E$61*($W202^Transportation_LCIA!E$60)+Transportation_LCIA!E$62</f>
        <v>1.0323310860369151E-3</v>
      </c>
      <c r="AB202" s="137">
        <f>Transportation_LCIA!F$61*($W202^Transportation_LCIA!F$60)+Transportation_LCIA!F$62</f>
        <v>0.22125487054982909</v>
      </c>
      <c r="AC202" s="137">
        <f>Transportation_LCIA!G$61*($W202^Transportation_LCIA!G$60)+Transportation_LCIA!G$62</f>
        <v>5.2744888954963348E-2</v>
      </c>
      <c r="AD202" s="137">
        <f>Transportation_LCIA!H$61*($W202^Transportation_LCIA!H$60)+Transportation_LCIA!H$62</f>
        <v>2.5221347446689263E-4</v>
      </c>
      <c r="AE202" s="137">
        <f>Transportation_LCIA!I$61*($W202^Transportation_LCIA!I$60)+Transportation_LCIA!I$62</f>
        <v>5.3030314161226812E-6</v>
      </c>
      <c r="AF202" s="137">
        <f>Transportation_LCIA!J$61*($W202^Transportation_LCIA!J$60)+Transportation_LCIA!J$62</f>
        <v>7.8448001251838345E-3</v>
      </c>
      <c r="AG202" s="137">
        <f>Transportation_LCIA!K$61*($W202^Transportation_LCIA!K$60)+Transportation_LCIA!K$62</f>
        <v>1.1138126610856905E-2</v>
      </c>
      <c r="AH202" s="137">
        <f>Transportation_LCIA!L$61*($W202^Transportation_LCIA!L$60)+Transportation_LCIA!L$62</f>
        <v>2.173000581713352E-4</v>
      </c>
      <c r="AI202" s="137">
        <f>Transportation_LCIA!M$61*($W202^Transportation_LCIA!M$60)+Transportation_LCIA!M$62</f>
        <v>2.3004244817644541E-4</v>
      </c>
      <c r="AJ202" s="137">
        <f>Transportation_LCIA!N$61*($W202^Transportation_LCIA!N$60)+Transportation_LCIA!N$62</f>
        <v>9.0718132319716257E-4</v>
      </c>
      <c r="AK202" s="137">
        <f>Transportation_LCIA!O$61*($W202^Transportation_LCIA!O$60)+Transportation_LCIA!O$62</f>
        <v>5.5712603527285817E-5</v>
      </c>
      <c r="AL202" s="137">
        <f>Transportation_LCIA!P$61*($W202^Transportation_LCIA!P$60)+Transportation_LCIA!P$62</f>
        <v>2.6954451201708154E-8</v>
      </c>
      <c r="AM202" s="137">
        <f>Transportation_LCIA!Q$61*($W202^Transportation_LCIA!Q$60)+Transportation_LCIA!Q$62</f>
        <v>8.6129062862737627E-5</v>
      </c>
      <c r="AN202" s="137">
        <f>Transportation_LCIA!R$61*($W202^Transportation_LCIA!R$60)+Transportation_LCIA!R$62</f>
        <v>2.5514126484247728E-4</v>
      </c>
      <c r="AO202" s="137">
        <f>Transportation_LCIA!S$61*($W202^Transportation_LCIA!S$60)+Transportation_LCIA!S$62</f>
        <v>3.8783860198243708E-6</v>
      </c>
      <c r="AP202" s="137">
        <f>Transportation_LCIA!T$61*($W202^Transportation_LCIA!T$60)+Transportation_LCIA!T$62</f>
        <v>3.8783860198243708E-6</v>
      </c>
      <c r="AQ202" s="137">
        <f>Transportation_LCIA!U$61*($W202^Transportation_LCIA!U$60)+Transportation_LCIA!U$62</f>
        <v>5.4626083703188067E-4</v>
      </c>
      <c r="AR202" s="137">
        <f>Transportation_LCIA!V$61*($W202^Transportation_LCIA!V$60)+Transportation_LCIA!V$62</f>
        <v>2.2399696302769612E-4</v>
      </c>
      <c r="AT202" s="137">
        <f>$W202*Y202+$L202*Summary_LCIA!H$32</f>
        <v>263.4490565596513</v>
      </c>
      <c r="AU202" s="137">
        <f>$W202*Z202+$L202*Summary_LCIA!Q$32</f>
        <v>2717.5678107908097</v>
      </c>
      <c r="AV202" s="137">
        <f>$W202*AA202+$L202*Summary_LCIA!R$32</f>
        <v>1.3091154361812987</v>
      </c>
      <c r="AW202" s="137">
        <f>$W202*AB202+$L202*Summary_LCIA!S$32</f>
        <v>263.35307625965129</v>
      </c>
      <c r="AX202" s="137">
        <f>$W202*AC202+$L202*Summary_LCIA!T$32</f>
        <v>63.431008192720206</v>
      </c>
      <c r="AY202" s="137">
        <f>$W202*AD202+$L202*Summary_LCIA!U$32</f>
        <v>0.68090288624583062</v>
      </c>
      <c r="AZ202" s="137">
        <f>$W202*AE202+$L202*Summary_LCIA!V$32</f>
        <v>7.1746168963133699E-3</v>
      </c>
      <c r="BA202" s="137">
        <f>$W202*AF202+$L202*Summary_LCIA!W$32</f>
        <v>10.750639263993101</v>
      </c>
      <c r="BB202" s="137">
        <f>$W202*AG202+$L202*Summary_LCIA!X$32</f>
        <v>13.38542762174878</v>
      </c>
      <c r="BC202" s="137">
        <f>$W202*AH202+$L202*Summary_LCIA!Y$32</f>
        <v>0.58985631002349592</v>
      </c>
      <c r="BD202" s="137">
        <f>$W202*AI202+$L202*Summary_LCIA!Z$32</f>
        <v>0.2671311516899974</v>
      </c>
      <c r="BE202" s="137">
        <f>$W202*AJ202+$L202*Summary_LCIA!AA$32</f>
        <v>1.5571058425905646</v>
      </c>
      <c r="BF202" s="137">
        <f>$W202*AK202+$L202*Summary_LCIA!AB$32</f>
        <v>6.4005340787501641E-2</v>
      </c>
      <c r="BG202" s="137">
        <f>$W202*AL202+$L202*Summary_LCIA!AC$32</f>
        <v>3.2257368953701378E-5</v>
      </c>
      <c r="BH202" s="137">
        <f>$W202*AM202+$L202*Summary_LCIA!AD$32</f>
        <v>0.10860758409777788</v>
      </c>
      <c r="BI202" s="137">
        <f>$W202*AN202+$L202*Summary_LCIA!AE$32</f>
        <v>0.31453118029056104</v>
      </c>
      <c r="BJ202" s="137">
        <f>$W202*AO202+$L202*Summary_LCIA!AF$32</f>
        <v>2.2846962453117989E-2</v>
      </c>
      <c r="BK202" s="137">
        <f>$W202*AP202+$L202*Summary_LCIA!AG$32</f>
        <v>5.5997151281179883E-3</v>
      </c>
      <c r="BL202" s="137">
        <f>$W202*AQ202+$L202*Summary_LCIA!AH$32</f>
        <v>0.82121606125501512</v>
      </c>
      <c r="BM202" s="137">
        <f>$W202*AR202+$L202*Summary_LCIA!AI$32</f>
        <v>0.2794724806240384</v>
      </c>
    </row>
    <row r="203" spans="1:65" x14ac:dyDescent="0.25">
      <c r="A203" s="149">
        <v>284</v>
      </c>
      <c r="B203" s="149">
        <v>6</v>
      </c>
      <c r="C203" s="61">
        <v>40.712775999999998</v>
      </c>
      <c r="D203" s="61">
        <v>-74.005954000000003</v>
      </c>
      <c r="E203" s="61" t="s">
        <v>265</v>
      </c>
      <c r="F203" s="149">
        <v>43</v>
      </c>
      <c r="G203" s="61" t="s">
        <v>565</v>
      </c>
      <c r="H203" s="61" t="s">
        <v>632</v>
      </c>
      <c r="I203" s="61">
        <v>40.689531000000002</v>
      </c>
      <c r="J203" s="61">
        <v>-74.174462000000005</v>
      </c>
      <c r="K203" s="61">
        <v>15.29610297</v>
      </c>
      <c r="L203" s="61">
        <v>21.715</v>
      </c>
      <c r="M203" s="61" t="s">
        <v>617</v>
      </c>
      <c r="N203" s="149">
        <v>5</v>
      </c>
      <c r="O203" s="149">
        <v>6</v>
      </c>
      <c r="P203" s="61" t="s">
        <v>565</v>
      </c>
      <c r="Q203" s="61" t="s">
        <v>564</v>
      </c>
      <c r="R203" s="61">
        <v>41.98028</v>
      </c>
      <c r="S203" s="61">
        <v>-87.908997900000003</v>
      </c>
      <c r="T203" s="61">
        <v>1298.6400000000001</v>
      </c>
      <c r="U203" s="61" t="s">
        <v>617</v>
      </c>
      <c r="V203" s="61" t="s">
        <v>569</v>
      </c>
      <c r="W203" s="61" cm="1">
        <f t="array" ref="W203">getDistance(I203,J203,R203,S203)*SA!$B$12</f>
        <v>1157.3544072648172</v>
      </c>
      <c r="X203" s="61"/>
      <c r="Y203" s="137">
        <f>Transportation_LCIA!C$61*($W203^Transportation_LCIA!C$60)+Transportation_LCIA!C$62</f>
        <v>0.22125487054982909</v>
      </c>
      <c r="Z203" s="137">
        <f>Transportation_LCIA!D$61*($W203^Transportation_LCIA!D$60)+Transportation_LCIA!D$62</f>
        <v>2.2550976254597064</v>
      </c>
      <c r="AA203" s="137">
        <f>Transportation_LCIA!E$61*($W203^Transportation_LCIA!E$60)+Transportation_LCIA!E$62</f>
        <v>1.0323310860369151E-3</v>
      </c>
      <c r="AB203" s="137">
        <f>Transportation_LCIA!F$61*($W203^Transportation_LCIA!F$60)+Transportation_LCIA!F$62</f>
        <v>0.22125487054982909</v>
      </c>
      <c r="AC203" s="137">
        <f>Transportation_LCIA!G$61*($W203^Transportation_LCIA!G$60)+Transportation_LCIA!G$62</f>
        <v>5.2744888954963348E-2</v>
      </c>
      <c r="AD203" s="137">
        <f>Transportation_LCIA!H$61*($W203^Transportation_LCIA!H$60)+Transportation_LCIA!H$62</f>
        <v>2.5221347446689263E-4</v>
      </c>
      <c r="AE203" s="137">
        <f>Transportation_LCIA!I$61*($W203^Transportation_LCIA!I$60)+Transportation_LCIA!I$62</f>
        <v>5.3030314161226812E-6</v>
      </c>
      <c r="AF203" s="137">
        <f>Transportation_LCIA!J$61*($W203^Transportation_LCIA!J$60)+Transportation_LCIA!J$62</f>
        <v>7.8448001251838345E-3</v>
      </c>
      <c r="AG203" s="137">
        <f>Transportation_LCIA!K$61*($W203^Transportation_LCIA!K$60)+Transportation_LCIA!K$62</f>
        <v>1.1138126610856905E-2</v>
      </c>
      <c r="AH203" s="137">
        <f>Transportation_LCIA!L$61*($W203^Transportation_LCIA!L$60)+Transportation_LCIA!L$62</f>
        <v>2.173000581713352E-4</v>
      </c>
      <c r="AI203" s="137">
        <f>Transportation_LCIA!M$61*($W203^Transportation_LCIA!M$60)+Transportation_LCIA!M$62</f>
        <v>2.3004244817644541E-4</v>
      </c>
      <c r="AJ203" s="137">
        <f>Transportation_LCIA!N$61*($W203^Transportation_LCIA!N$60)+Transportation_LCIA!N$62</f>
        <v>9.0718132319716257E-4</v>
      </c>
      <c r="AK203" s="137">
        <f>Transportation_LCIA!O$61*($W203^Transportation_LCIA!O$60)+Transportation_LCIA!O$62</f>
        <v>5.5712603527285817E-5</v>
      </c>
      <c r="AL203" s="137">
        <f>Transportation_LCIA!P$61*($W203^Transportation_LCIA!P$60)+Transportation_LCIA!P$62</f>
        <v>2.6954451201708154E-8</v>
      </c>
      <c r="AM203" s="137">
        <f>Transportation_LCIA!Q$61*($W203^Transportation_LCIA!Q$60)+Transportation_LCIA!Q$62</f>
        <v>8.6129062862737627E-5</v>
      </c>
      <c r="AN203" s="137">
        <f>Transportation_LCIA!R$61*($W203^Transportation_LCIA!R$60)+Transportation_LCIA!R$62</f>
        <v>2.5514126484247728E-4</v>
      </c>
      <c r="AO203" s="137">
        <f>Transportation_LCIA!S$61*($W203^Transportation_LCIA!S$60)+Transportation_LCIA!S$62</f>
        <v>3.8783860198243708E-6</v>
      </c>
      <c r="AP203" s="137">
        <f>Transportation_LCIA!T$61*($W203^Transportation_LCIA!T$60)+Transportation_LCIA!T$62</f>
        <v>3.8783860198243708E-6</v>
      </c>
      <c r="AQ203" s="137">
        <f>Transportation_LCIA!U$61*($W203^Transportation_LCIA!U$60)+Transportation_LCIA!U$62</f>
        <v>5.4626083703188067E-4</v>
      </c>
      <c r="AR203" s="137">
        <f>Transportation_LCIA!V$61*($W203^Transportation_LCIA!V$60)+Transportation_LCIA!V$62</f>
        <v>2.2399696302769612E-4</v>
      </c>
      <c r="AT203" s="137">
        <f>$W203*Y203+$L203*Summary_LCIA!H$32</f>
        <v>263.4490565596513</v>
      </c>
      <c r="AU203" s="137">
        <f>$W203*Z203+$L203*Summary_LCIA!Q$32</f>
        <v>2717.5678107908097</v>
      </c>
      <c r="AV203" s="137">
        <f>$W203*AA203+$L203*Summary_LCIA!R$32</f>
        <v>1.3091154361812987</v>
      </c>
      <c r="AW203" s="137">
        <f>$W203*AB203+$L203*Summary_LCIA!S$32</f>
        <v>263.35307625965129</v>
      </c>
      <c r="AX203" s="137">
        <f>$W203*AC203+$L203*Summary_LCIA!T$32</f>
        <v>63.431008192720206</v>
      </c>
      <c r="AY203" s="137">
        <f>$W203*AD203+$L203*Summary_LCIA!U$32</f>
        <v>0.68090288624583062</v>
      </c>
      <c r="AZ203" s="137">
        <f>$W203*AE203+$L203*Summary_LCIA!V$32</f>
        <v>7.1746168963133699E-3</v>
      </c>
      <c r="BA203" s="137">
        <f>$W203*AF203+$L203*Summary_LCIA!W$32</f>
        <v>10.750639263993101</v>
      </c>
      <c r="BB203" s="137">
        <f>$W203*AG203+$L203*Summary_LCIA!X$32</f>
        <v>13.38542762174878</v>
      </c>
      <c r="BC203" s="137">
        <f>$W203*AH203+$L203*Summary_LCIA!Y$32</f>
        <v>0.58985631002349592</v>
      </c>
      <c r="BD203" s="137">
        <f>$W203*AI203+$L203*Summary_LCIA!Z$32</f>
        <v>0.2671311516899974</v>
      </c>
      <c r="BE203" s="137">
        <f>$W203*AJ203+$L203*Summary_LCIA!AA$32</f>
        <v>1.5571058425905646</v>
      </c>
      <c r="BF203" s="137">
        <f>$W203*AK203+$L203*Summary_LCIA!AB$32</f>
        <v>6.4005340787501641E-2</v>
      </c>
      <c r="BG203" s="137">
        <f>$W203*AL203+$L203*Summary_LCIA!AC$32</f>
        <v>3.2257368953701378E-5</v>
      </c>
      <c r="BH203" s="137">
        <f>$W203*AM203+$L203*Summary_LCIA!AD$32</f>
        <v>0.10860758409777788</v>
      </c>
      <c r="BI203" s="137">
        <f>$W203*AN203+$L203*Summary_LCIA!AE$32</f>
        <v>0.31453118029056104</v>
      </c>
      <c r="BJ203" s="137">
        <f>$W203*AO203+$L203*Summary_LCIA!AF$32</f>
        <v>2.2846962453117989E-2</v>
      </c>
      <c r="BK203" s="137">
        <f>$W203*AP203+$L203*Summary_LCIA!AG$32</f>
        <v>5.5997151281179883E-3</v>
      </c>
      <c r="BL203" s="137">
        <f>$W203*AQ203+$L203*Summary_LCIA!AH$32</f>
        <v>0.82121606125501512</v>
      </c>
      <c r="BM203" s="137">
        <f>$W203*AR203+$L203*Summary_LCIA!AI$32</f>
        <v>0.2794724806240384</v>
      </c>
    </row>
    <row r="204" spans="1:65" x14ac:dyDescent="0.25">
      <c r="A204" s="149">
        <v>285</v>
      </c>
      <c r="B204" s="149">
        <v>6</v>
      </c>
      <c r="C204" s="61">
        <v>40.712775000000001</v>
      </c>
      <c r="D204" s="61">
        <v>-74.005972999999997</v>
      </c>
      <c r="E204" s="61" t="s">
        <v>265</v>
      </c>
      <c r="F204" s="149">
        <v>43</v>
      </c>
      <c r="G204" s="61" t="s">
        <v>565</v>
      </c>
      <c r="H204" s="61" t="s">
        <v>632</v>
      </c>
      <c r="I204" s="61">
        <v>40.689531000000002</v>
      </c>
      <c r="J204" s="61">
        <v>-74.174462000000005</v>
      </c>
      <c r="K204" s="61">
        <v>15.294524689999999</v>
      </c>
      <c r="L204" s="61">
        <v>21.716000000000001</v>
      </c>
      <c r="M204" s="61" t="s">
        <v>617</v>
      </c>
      <c r="N204" s="149">
        <v>5</v>
      </c>
      <c r="O204" s="149">
        <v>6</v>
      </c>
      <c r="P204" s="61" t="s">
        <v>565</v>
      </c>
      <c r="Q204" s="61" t="s">
        <v>564</v>
      </c>
      <c r="R204" s="61">
        <v>41.98028</v>
      </c>
      <c r="S204" s="61">
        <v>-87.908997900000003</v>
      </c>
      <c r="T204" s="61">
        <v>1298.6410000000001</v>
      </c>
      <c r="U204" s="61" t="s">
        <v>617</v>
      </c>
      <c r="V204" s="61" t="s">
        <v>569</v>
      </c>
      <c r="W204" s="61" cm="1">
        <f t="array" ref="W204">getDistance(I204,J204,R204,S204)*SA!$B$12</f>
        <v>1157.3544072648172</v>
      </c>
      <c r="X204" s="61"/>
      <c r="Y204" s="137">
        <f>Transportation_LCIA!C$61*($W204^Transportation_LCIA!C$60)+Transportation_LCIA!C$62</f>
        <v>0.22125487054982909</v>
      </c>
      <c r="Z204" s="137">
        <f>Transportation_LCIA!D$61*($W204^Transportation_LCIA!D$60)+Transportation_LCIA!D$62</f>
        <v>2.2550976254597064</v>
      </c>
      <c r="AA204" s="137">
        <f>Transportation_LCIA!E$61*($W204^Transportation_LCIA!E$60)+Transportation_LCIA!E$62</f>
        <v>1.0323310860369151E-3</v>
      </c>
      <c r="AB204" s="137">
        <f>Transportation_LCIA!F$61*($W204^Transportation_LCIA!F$60)+Transportation_LCIA!F$62</f>
        <v>0.22125487054982909</v>
      </c>
      <c r="AC204" s="137">
        <f>Transportation_LCIA!G$61*($W204^Transportation_LCIA!G$60)+Transportation_LCIA!G$62</f>
        <v>5.2744888954963348E-2</v>
      </c>
      <c r="AD204" s="137">
        <f>Transportation_LCIA!H$61*($W204^Transportation_LCIA!H$60)+Transportation_LCIA!H$62</f>
        <v>2.5221347446689263E-4</v>
      </c>
      <c r="AE204" s="137">
        <f>Transportation_LCIA!I$61*($W204^Transportation_LCIA!I$60)+Transportation_LCIA!I$62</f>
        <v>5.3030314161226812E-6</v>
      </c>
      <c r="AF204" s="137">
        <f>Transportation_LCIA!J$61*($W204^Transportation_LCIA!J$60)+Transportation_LCIA!J$62</f>
        <v>7.8448001251838345E-3</v>
      </c>
      <c r="AG204" s="137">
        <f>Transportation_LCIA!K$61*($W204^Transportation_LCIA!K$60)+Transportation_LCIA!K$62</f>
        <v>1.1138126610856905E-2</v>
      </c>
      <c r="AH204" s="137">
        <f>Transportation_LCIA!L$61*($W204^Transportation_LCIA!L$60)+Transportation_LCIA!L$62</f>
        <v>2.173000581713352E-4</v>
      </c>
      <c r="AI204" s="137">
        <f>Transportation_LCIA!M$61*($W204^Transportation_LCIA!M$60)+Transportation_LCIA!M$62</f>
        <v>2.3004244817644541E-4</v>
      </c>
      <c r="AJ204" s="137">
        <f>Transportation_LCIA!N$61*($W204^Transportation_LCIA!N$60)+Transportation_LCIA!N$62</f>
        <v>9.0718132319716257E-4</v>
      </c>
      <c r="AK204" s="137">
        <f>Transportation_LCIA!O$61*($W204^Transportation_LCIA!O$60)+Transportation_LCIA!O$62</f>
        <v>5.5712603527285817E-5</v>
      </c>
      <c r="AL204" s="137">
        <f>Transportation_LCIA!P$61*($W204^Transportation_LCIA!P$60)+Transportation_LCIA!P$62</f>
        <v>2.6954451201708154E-8</v>
      </c>
      <c r="AM204" s="137">
        <f>Transportation_LCIA!Q$61*($W204^Transportation_LCIA!Q$60)+Transportation_LCIA!Q$62</f>
        <v>8.6129062862737627E-5</v>
      </c>
      <c r="AN204" s="137">
        <f>Transportation_LCIA!R$61*($W204^Transportation_LCIA!R$60)+Transportation_LCIA!R$62</f>
        <v>2.5514126484247728E-4</v>
      </c>
      <c r="AO204" s="137">
        <f>Transportation_LCIA!S$61*($W204^Transportation_LCIA!S$60)+Transportation_LCIA!S$62</f>
        <v>3.8783860198243708E-6</v>
      </c>
      <c r="AP204" s="137">
        <f>Transportation_LCIA!T$61*($W204^Transportation_LCIA!T$60)+Transportation_LCIA!T$62</f>
        <v>3.8783860198243708E-6</v>
      </c>
      <c r="AQ204" s="137">
        <f>Transportation_LCIA!U$61*($W204^Transportation_LCIA!U$60)+Transportation_LCIA!U$62</f>
        <v>5.4626083703188067E-4</v>
      </c>
      <c r="AR204" s="137">
        <f>Transportation_LCIA!V$61*($W204^Transportation_LCIA!V$60)+Transportation_LCIA!V$62</f>
        <v>2.2399696302769612E-4</v>
      </c>
      <c r="AT204" s="137">
        <f>$W204*Y204+$L204*Summary_LCIA!H$32</f>
        <v>263.4493963596513</v>
      </c>
      <c r="AU204" s="137">
        <f>$W204*Z204+$L204*Summary_LCIA!Q$32</f>
        <v>2717.5727668412428</v>
      </c>
      <c r="AV204" s="137">
        <f>$W204*AA204+$L204*Summary_LCIA!R$32</f>
        <v>1.3091207017812987</v>
      </c>
      <c r="AW204" s="137">
        <f>$W204*AB204+$L204*Summary_LCIA!S$32</f>
        <v>263.35341163965131</v>
      </c>
      <c r="AX204" s="137">
        <f>$W204*AC204+$L204*Summary_LCIA!T$32</f>
        <v>63.431118092720205</v>
      </c>
      <c r="AY204" s="137">
        <f>$W204*AD204+$L204*Summary_LCIA!U$32</f>
        <v>0.68092080024583068</v>
      </c>
      <c r="AZ204" s="137">
        <f>$W204*AE204+$L204*Summary_LCIA!V$32</f>
        <v>7.1746646573133703E-3</v>
      </c>
      <c r="BA204" s="137">
        <f>$W204*AF204+$L204*Summary_LCIA!W$32</f>
        <v>10.750716234993101</v>
      </c>
      <c r="BB204" s="137">
        <f>$W204*AG204+$L204*Summary_LCIA!X$32</f>
        <v>13.385450401748781</v>
      </c>
      <c r="BC204" s="137">
        <f>$W204*AH204+$L204*Summary_LCIA!Y$32</f>
        <v>0.58987189202349599</v>
      </c>
      <c r="BD204" s="137">
        <f>$W204*AI204+$L204*Summary_LCIA!Z$32</f>
        <v>0.26713119269899743</v>
      </c>
      <c r="BE204" s="137">
        <f>$W204*AJ204+$L204*Summary_LCIA!AA$32</f>
        <v>1.5571291985905646</v>
      </c>
      <c r="BF204" s="137">
        <f>$W204*AK204+$L204*Summary_LCIA!AB$32</f>
        <v>6.4005318964501637E-2</v>
      </c>
      <c r="BG204" s="137">
        <f>$W204*AL204+$L204*Summary_LCIA!AC$32</f>
        <v>3.2257417837701382E-5</v>
      </c>
      <c r="BH204" s="137">
        <f>$W204*AM204+$L204*Summary_LCIA!AD$32</f>
        <v>0.10860799513777787</v>
      </c>
      <c r="BI204" s="137">
        <f>$W204*AN204+$L204*Summary_LCIA!AE$32</f>
        <v>0.31453206642056103</v>
      </c>
      <c r="BJ204" s="137">
        <f>$W204*AO204+$L204*Summary_LCIA!AF$32</f>
        <v>2.2847807873117992E-2</v>
      </c>
      <c r="BK204" s="137">
        <f>$W204*AP204+$L204*Summary_LCIA!AG$32</f>
        <v>5.5997662931179882E-3</v>
      </c>
      <c r="BL204" s="137">
        <f>$W204*AQ204+$L204*Summary_LCIA!AH$32</f>
        <v>0.82122476485501505</v>
      </c>
      <c r="BM204" s="137">
        <f>$W204*AR204+$L204*Summary_LCIA!AI$32</f>
        <v>0.27947341217403843</v>
      </c>
    </row>
    <row r="205" spans="1:65" x14ac:dyDescent="0.25">
      <c r="A205" s="149">
        <v>175</v>
      </c>
      <c r="B205" s="149">
        <v>6</v>
      </c>
      <c r="C205" s="61">
        <v>40.678178000000003</v>
      </c>
      <c r="D205" s="61">
        <v>-73.944158000000002</v>
      </c>
      <c r="E205" s="61" t="s">
        <v>265</v>
      </c>
      <c r="F205" s="149">
        <v>20</v>
      </c>
      <c r="G205" s="61" t="s">
        <v>565</v>
      </c>
      <c r="H205" s="61" t="s">
        <v>689</v>
      </c>
      <c r="I205" s="61">
        <v>40.641311000000002</v>
      </c>
      <c r="J205" s="61">
        <v>-73.778138999999996</v>
      </c>
      <c r="K205" s="61">
        <v>14.69230808</v>
      </c>
      <c r="L205" s="61">
        <v>17.010000000000002</v>
      </c>
      <c r="M205" s="61" t="s">
        <v>617</v>
      </c>
      <c r="N205" s="149">
        <v>5</v>
      </c>
      <c r="O205" s="149">
        <v>6</v>
      </c>
      <c r="P205" s="61" t="s">
        <v>565</v>
      </c>
      <c r="Q205" s="61" t="s">
        <v>564</v>
      </c>
      <c r="R205" s="61">
        <v>41.98028</v>
      </c>
      <c r="S205" s="61">
        <v>-87.908997900000003</v>
      </c>
      <c r="T205" s="61">
        <v>1305.0530000000001</v>
      </c>
      <c r="U205" s="61" t="s">
        <v>617</v>
      </c>
      <c r="V205" s="61" t="s">
        <v>569</v>
      </c>
      <c r="W205" s="61" cm="1">
        <f t="array" ref="W205">getDistance(I205,J205,R205,S205)*SA!$B$12</f>
        <v>1191.2583270224029</v>
      </c>
      <c r="X205" s="61"/>
      <c r="Y205" s="137">
        <f>Transportation_LCIA!C$61*($W205^Transportation_LCIA!C$60)+Transportation_LCIA!C$62</f>
        <v>0.21863760575480579</v>
      </c>
      <c r="Z205" s="137">
        <f>Transportation_LCIA!D$61*($W205^Transportation_LCIA!D$60)+Transportation_LCIA!D$62</f>
        <v>2.2247721415192618</v>
      </c>
      <c r="AA205" s="137">
        <f>Transportation_LCIA!E$61*($W205^Transportation_LCIA!E$60)+Transportation_LCIA!E$62</f>
        <v>1.0124326220698424E-3</v>
      </c>
      <c r="AB205" s="137">
        <f>Transportation_LCIA!F$61*($W205^Transportation_LCIA!F$60)+Transportation_LCIA!F$62</f>
        <v>0.21863760575480579</v>
      </c>
      <c r="AC205" s="137">
        <f>Transportation_LCIA!G$61*($W205^Transportation_LCIA!G$60)+Transportation_LCIA!G$62</f>
        <v>5.2042992782856796E-2</v>
      </c>
      <c r="AD205" s="137">
        <f>Transportation_LCIA!H$61*($W205^Transportation_LCIA!H$60)+Transportation_LCIA!H$62</f>
        <v>2.4785558485157749E-4</v>
      </c>
      <c r="AE205" s="137">
        <f>Transportation_LCIA!I$61*($W205^Transportation_LCIA!I$60)+Transportation_LCIA!I$62</f>
        <v>5.1940287477130187E-6</v>
      </c>
      <c r="AF205" s="137">
        <f>Transportation_LCIA!J$61*($W205^Transportation_LCIA!J$60)+Transportation_LCIA!J$62</f>
        <v>7.6831445680515149E-3</v>
      </c>
      <c r="AG205" s="137">
        <f>Transportation_LCIA!K$61*($W205^Transportation_LCIA!K$60)+Transportation_LCIA!K$62</f>
        <v>1.0974872881316308E-2</v>
      </c>
      <c r="AH205" s="137">
        <f>Transportation_LCIA!L$61*($W205^Transportation_LCIA!L$60)+Transportation_LCIA!L$62</f>
        <v>2.1330099064870145E-4</v>
      </c>
      <c r="AI205" s="137">
        <f>Transportation_LCIA!M$61*($W205^Transportation_LCIA!M$60)+Transportation_LCIA!M$62</f>
        <v>2.2763788966620224E-4</v>
      </c>
      <c r="AJ205" s="137">
        <f>Transportation_LCIA!N$61*($W205^Transportation_LCIA!N$60)+Transportation_LCIA!N$62</f>
        <v>8.9252191215842536E-4</v>
      </c>
      <c r="AK205" s="137">
        <f>Transportation_LCIA!O$61*($W205^Transportation_LCIA!O$60)+Transportation_LCIA!O$62</f>
        <v>5.4966895371136529E-5</v>
      </c>
      <c r="AL205" s="137">
        <f>Transportation_LCIA!P$61*($W205^Transportation_LCIA!P$60)+Transportation_LCIA!P$62</f>
        <v>2.6595731570892324E-8</v>
      </c>
      <c r="AM205" s="137">
        <f>Transportation_LCIA!Q$61*($W205^Transportation_LCIA!Q$60)+Transportation_LCIA!Q$62</f>
        <v>8.4566960334942566E-5</v>
      </c>
      <c r="AN205" s="137">
        <f>Transportation_LCIA!R$61*($W205^Transportation_LCIA!R$60)+Transportation_LCIA!R$62</f>
        <v>2.4991507384998816E-4</v>
      </c>
      <c r="AO205" s="137">
        <f>Transportation_LCIA!S$61*($W205^Transportation_LCIA!S$60)+Transportation_LCIA!S$62</f>
        <v>3.8041939925423753E-6</v>
      </c>
      <c r="AP205" s="137">
        <f>Transportation_LCIA!T$61*($W205^Transportation_LCIA!T$60)+Transportation_LCIA!T$62</f>
        <v>3.8041939925423753E-6</v>
      </c>
      <c r="AQ205" s="137">
        <f>Transportation_LCIA!U$61*($W205^Transportation_LCIA!U$60)+Transportation_LCIA!U$62</f>
        <v>5.3481363645835052E-4</v>
      </c>
      <c r="AR205" s="137">
        <f>Transportation_LCIA!V$61*($W205^Transportation_LCIA!V$60)+Transportation_LCIA!V$62</f>
        <v>2.1993831609500058E-4</v>
      </c>
      <c r="AT205" s="137">
        <f>$W205*Y205+$L205*Summary_LCIA!H$32</f>
        <v>266.23386645565358</v>
      </c>
      <c r="AU205" s="137">
        <f>$W205*Z205+$L205*Summary_LCIA!Q$32</f>
        <v>2734.5807571776145</v>
      </c>
      <c r="AV205" s="137">
        <f>$W205*AA205+$L205*Summary_LCIA!R$32</f>
        <v>1.2956366475898251</v>
      </c>
      <c r="AW205" s="137">
        <f>$W205*AB205+$L205*Summary_LCIA!S$32</f>
        <v>266.15868225565362</v>
      </c>
      <c r="AX205" s="137">
        <f>$W205*AC205+$L205*Summary_LCIA!T$32</f>
        <v>63.866047515744981</v>
      </c>
      <c r="AY205" s="137">
        <f>$W205*AD205+$L205*Summary_LCIA!U$32</f>
        <v>0.59997716935344947</v>
      </c>
      <c r="AZ205" s="137">
        <f>$W205*AE205+$L205*Summary_LCIA!V$32</f>
        <v>6.9998446065068776E-3</v>
      </c>
      <c r="BA205" s="137">
        <f>$W205*AF205+$L205*Summary_LCIA!W$32</f>
        <v>10.46188665440831</v>
      </c>
      <c r="BB205" s="137">
        <f>$W205*AG205+$L205*Summary_LCIA!X$32</f>
        <v>13.461396507880405</v>
      </c>
      <c r="BC205" s="137">
        <f>$W205*AH205+$L205*Summary_LCIA!Y$32</f>
        <v>0.51914640127239342</v>
      </c>
      <c r="BD205" s="137">
        <f>$W205*AI205+$L205*Summary_LCIA!Z$32</f>
        <v>0.27187309470067045</v>
      </c>
      <c r="BE205" s="137">
        <f>$W205*AJ205+$L205*Summary_LCIA!AA$32</f>
        <v>1.4605097199086818</v>
      </c>
      <c r="BF205" s="137">
        <f>$W205*AK205+$L205*Summary_LCIA!AB$32</f>
        <v>6.5108562591435562E-2</v>
      </c>
      <c r="BG205" s="137">
        <f>$W205*AL205+$L205*Summary_LCIA!AC$32</f>
        <v>3.2513903537078095E-5</v>
      </c>
      <c r="BH205" s="137">
        <f>$W205*AM205+$L205*Summary_LCIA!AD$32</f>
        <v>0.10773288608997358</v>
      </c>
      <c r="BI205" s="137">
        <f>$W205*AN205+$L205*Summary_LCIA!AE$32</f>
        <v>0.31278648407221721</v>
      </c>
      <c r="BJ205" s="137">
        <f>$W205*AO205+$L205*Summary_LCIA!AF$32</f>
        <v>1.8912371971224709E-2</v>
      </c>
      <c r="BK205" s="137">
        <f>$W205*AP205+$L205*Summary_LCIA!AG$32</f>
        <v>5.4020944212247058E-3</v>
      </c>
      <c r="BL205" s="137">
        <f>$W205*AQ205+$L205*Summary_LCIA!AH$32</f>
        <v>0.78514943383614233</v>
      </c>
      <c r="BM205" s="137">
        <f>$W205*AR205+$L205*Summary_LCIA!AI$32</f>
        <v>0.27784901597945483</v>
      </c>
    </row>
    <row r="206" spans="1:65" x14ac:dyDescent="0.25">
      <c r="A206" s="149">
        <v>140</v>
      </c>
      <c r="B206" s="149">
        <v>6</v>
      </c>
      <c r="C206" s="61">
        <v>32.590955999999998</v>
      </c>
      <c r="D206" s="61">
        <v>-85.492979000000005</v>
      </c>
      <c r="E206" s="61" t="s">
        <v>265</v>
      </c>
      <c r="F206" s="149">
        <v>1</v>
      </c>
      <c r="G206" s="61" t="s">
        <v>565</v>
      </c>
      <c r="H206" s="61" t="s">
        <v>681</v>
      </c>
      <c r="I206" s="61">
        <v>33.640728000000003</v>
      </c>
      <c r="J206" s="61">
        <v>-84.427700000000002</v>
      </c>
      <c r="K206" s="61">
        <v>204.5911443</v>
      </c>
      <c r="L206" s="61">
        <v>172.04300000000001</v>
      </c>
      <c r="M206" s="61" t="s">
        <v>617</v>
      </c>
      <c r="N206" s="149">
        <v>5</v>
      </c>
      <c r="O206" s="149">
        <v>6</v>
      </c>
      <c r="P206" s="61" t="s">
        <v>565</v>
      </c>
      <c r="Q206" s="61" t="s">
        <v>564</v>
      </c>
      <c r="R206" s="61">
        <v>41.98028</v>
      </c>
      <c r="S206" s="61">
        <v>-87.908997900000003</v>
      </c>
      <c r="T206" s="61">
        <v>1320.182</v>
      </c>
      <c r="U206" s="61" t="s">
        <v>617</v>
      </c>
      <c r="V206" s="61" t="s">
        <v>569</v>
      </c>
      <c r="W206" s="61" cm="1">
        <f t="array" ref="W206">getDistance(I206,J206,R206,S206)*SA!$B$12</f>
        <v>976.67906347990493</v>
      </c>
      <c r="X206" s="61"/>
      <c r="Y206" s="137">
        <f>Transportation_LCIA!C$61*($W206^Transportation_LCIA!C$60)+Transportation_LCIA!C$62</f>
        <v>0.23799077256655485</v>
      </c>
      <c r="Z206" s="137">
        <f>Transportation_LCIA!D$61*($W206^Transportation_LCIA!D$60)+Transportation_LCIA!D$62</f>
        <v>2.4498664186649894</v>
      </c>
      <c r="AA206" s="137">
        <f>Transportation_LCIA!E$61*($W206^Transportation_LCIA!E$60)+Transportation_LCIA!E$62</f>
        <v>1.1602893527513285E-3</v>
      </c>
      <c r="AB206" s="137">
        <f>Transportation_LCIA!F$61*($W206^Transportation_LCIA!F$60)+Transportation_LCIA!F$62</f>
        <v>0.23799077256655485</v>
      </c>
      <c r="AC206" s="137">
        <f>Transportation_LCIA!G$61*($W206^Transportation_LCIA!G$60)+Transportation_LCIA!G$62</f>
        <v>5.7251738416183251E-2</v>
      </c>
      <c r="AD206" s="137">
        <f>Transportation_LCIA!H$61*($W206^Transportation_LCIA!H$60)+Transportation_LCIA!H$62</f>
        <v>2.8030572808339046E-4</v>
      </c>
      <c r="AE206" s="137">
        <f>Transportation_LCIA!I$61*($W206^Transportation_LCIA!I$60)+Transportation_LCIA!I$62</f>
        <v>6.0084688172437592E-6</v>
      </c>
      <c r="AF206" s="137">
        <f>Transportation_LCIA!J$61*($W206^Transportation_LCIA!J$60)+Transportation_LCIA!J$62</f>
        <v>8.8936917837252362E-3</v>
      </c>
      <c r="AG206" s="137">
        <f>Transportation_LCIA!K$61*($W206^Transportation_LCIA!K$60)+Transportation_LCIA!K$62</f>
        <v>1.2188706109794917E-2</v>
      </c>
      <c r="AH206" s="137">
        <f>Transportation_LCIA!L$61*($W206^Transportation_LCIA!L$60)+Transportation_LCIA!L$62</f>
        <v>2.4310816549771977E-4</v>
      </c>
      <c r="AI206" s="137">
        <f>Transportation_LCIA!M$61*($W206^Transportation_LCIA!M$60)+Transportation_LCIA!M$62</f>
        <v>2.455450128432447E-4</v>
      </c>
      <c r="AJ206" s="137">
        <f>Transportation_LCIA!N$61*($W206^Transportation_LCIA!N$60)+Transportation_LCIA!N$62</f>
        <v>1.0016506819662974E-3</v>
      </c>
      <c r="AK206" s="137">
        <f>Transportation_LCIA!O$61*($W206^Transportation_LCIA!O$60)+Transportation_LCIA!O$62</f>
        <v>6.050134712780058E-5</v>
      </c>
      <c r="AL206" s="137">
        <f>Transportation_LCIA!P$61*($W206^Transportation_LCIA!P$60)+Transportation_LCIA!P$62</f>
        <v>2.9257301489528483E-8</v>
      </c>
      <c r="AM206" s="137">
        <f>Transportation_LCIA!Q$61*($W206^Transportation_LCIA!Q$60)+Transportation_LCIA!Q$62</f>
        <v>9.6216231090364335E-5</v>
      </c>
      <c r="AN206" s="137">
        <f>Transportation_LCIA!R$61*($W206^Transportation_LCIA!R$60)+Transportation_LCIA!R$62</f>
        <v>2.8896705818992006E-4</v>
      </c>
      <c r="AO206" s="137">
        <f>Transportation_LCIA!S$61*($W206^Transportation_LCIA!S$60)+Transportation_LCIA!S$62</f>
        <v>4.3584988519816731E-6</v>
      </c>
      <c r="AP206" s="137">
        <f>Transportation_LCIA!T$61*($W206^Transportation_LCIA!T$60)+Transportation_LCIA!T$62</f>
        <v>4.3584988519816731E-6</v>
      </c>
      <c r="AQ206" s="137">
        <f>Transportation_LCIA!U$61*($W206^Transportation_LCIA!U$60)+Transportation_LCIA!U$62</f>
        <v>6.204066649837317E-4</v>
      </c>
      <c r="AR206" s="137">
        <f>Transportation_LCIA!V$61*($W206^Transportation_LCIA!V$60)+Transportation_LCIA!V$62</f>
        <v>2.502258212971912E-4</v>
      </c>
      <c r="AT206" s="137">
        <f>$W206*Y206+$L206*Summary_LCIA!H$32</f>
        <v>290.90081626716187</v>
      </c>
      <c r="AU206" s="137">
        <f>$W206*Z206+$L206*Summary_LCIA!Q$32</f>
        <v>3245.3870240772094</v>
      </c>
      <c r="AV206" s="137">
        <f>$W206*AA206+$L206*Summary_LCIA!R$32</f>
        <v>2.0391399392108722</v>
      </c>
      <c r="AW206" s="137">
        <f>$W206*AB206+$L206*Summary_LCIA!S$32</f>
        <v>290.14038620716184</v>
      </c>
      <c r="AX206" s="137">
        <f>$W206*AC206+$L206*Summary_LCIA!T$32</f>
        <v>74.82409995891436</v>
      </c>
      <c r="AY206" s="137">
        <f>$W206*AD206+$L206*Summary_LCIA!U$32</f>
        <v>3.3557470379925389</v>
      </c>
      <c r="AZ206" s="137">
        <f>$W206*AE206+$L206*Summary_LCIA!V$32</f>
        <v>1.4085291420373847E-2</v>
      </c>
      <c r="BA206" s="137">
        <f>$W206*AF206+$L206*Summary_LCIA!W$32</f>
        <v>21.928604315207689</v>
      </c>
      <c r="BB206" s="137">
        <f>$W206*AG206+$L206*Summary_LCIA!X$32</f>
        <v>15.823593608346297</v>
      </c>
      <c r="BC206" s="137">
        <f>$W206*AH206+$L206*Summary_LCIA!Y$32</f>
        <v>2.9182126814026312</v>
      </c>
      <c r="BD206" s="137">
        <f>$W206*AI206+$L206*Summary_LCIA!Z$32</f>
        <v>0.24687398457290147</v>
      </c>
      <c r="BE206" s="137">
        <f>$W206*AJ206+$L206*Summary_LCIA!AA$32</f>
        <v>4.9965275579968509</v>
      </c>
      <c r="BF206" s="137">
        <f>$W206*AK206+$L206*Summary_LCIA!AB$32</f>
        <v>5.5335904663052903E-2</v>
      </c>
      <c r="BG206" s="137">
        <f>$W206*AL206+$L206*Summary_LCIA!AC$32</f>
        <v>3.6985143830741905E-5</v>
      </c>
      <c r="BH206" s="137">
        <f>$W206*AM206+$L206*Summary_LCIA!AD$32</f>
        <v>0.16468893319290318</v>
      </c>
      <c r="BI206" s="137">
        <f>$W206*AN206+$L206*Summary_LCIA!AE$32</f>
        <v>0.43468053935947437</v>
      </c>
      <c r="BJ206" s="137">
        <f>$W206*AO206+$L206*Summary_LCIA!AF$32</f>
        <v>0.14970544763693172</v>
      </c>
      <c r="BK206" s="137">
        <f>$W206*AP206+$L206*Summary_LCIA!AG$32</f>
        <v>1.3059434671931701E-2</v>
      </c>
      <c r="BL206" s="137">
        <f>$W206*AQ206+$L206*Summary_LCIA!AH$32</f>
        <v>2.1033316553330024</v>
      </c>
      <c r="BM206" s="137">
        <f>$W206*AR206+$L206*Summary_LCIA!AI$32</f>
        <v>0.40465697745303075</v>
      </c>
    </row>
    <row r="207" spans="1:65" x14ac:dyDescent="0.25">
      <c r="A207" s="149">
        <v>141</v>
      </c>
      <c r="B207" s="149">
        <v>6</v>
      </c>
      <c r="C207" s="61">
        <v>32.590955999999998</v>
      </c>
      <c r="D207" s="61">
        <v>-85.492979000000005</v>
      </c>
      <c r="E207" s="61" t="s">
        <v>265</v>
      </c>
      <c r="F207" s="149">
        <v>1</v>
      </c>
      <c r="G207" s="61" t="s">
        <v>565</v>
      </c>
      <c r="H207" s="61" t="s">
        <v>681</v>
      </c>
      <c r="I207" s="61">
        <v>33.640728000000003</v>
      </c>
      <c r="J207" s="61">
        <v>-84.427700000000002</v>
      </c>
      <c r="K207" s="61">
        <v>204.5911443</v>
      </c>
      <c r="L207" s="61">
        <v>172.04300000000001</v>
      </c>
      <c r="M207" s="61" t="s">
        <v>617</v>
      </c>
      <c r="N207" s="149">
        <v>5</v>
      </c>
      <c r="O207" s="149">
        <v>6</v>
      </c>
      <c r="P207" s="61" t="s">
        <v>565</v>
      </c>
      <c r="Q207" s="61" t="s">
        <v>564</v>
      </c>
      <c r="R207" s="61">
        <v>41.98028</v>
      </c>
      <c r="S207" s="61">
        <v>-87.908997900000003</v>
      </c>
      <c r="T207" s="61">
        <v>1320.182</v>
      </c>
      <c r="U207" s="61" t="s">
        <v>617</v>
      </c>
      <c r="V207" s="61" t="s">
        <v>569</v>
      </c>
      <c r="W207" s="61" cm="1">
        <f t="array" ref="W207">getDistance(I207,J207,R207,S207)*SA!$B$12</f>
        <v>976.67906347990493</v>
      </c>
      <c r="X207" s="61"/>
      <c r="Y207" s="137">
        <f>Transportation_LCIA!C$61*($W207^Transportation_LCIA!C$60)+Transportation_LCIA!C$62</f>
        <v>0.23799077256655485</v>
      </c>
      <c r="Z207" s="137">
        <f>Transportation_LCIA!D$61*($W207^Transportation_LCIA!D$60)+Transportation_LCIA!D$62</f>
        <v>2.4498664186649894</v>
      </c>
      <c r="AA207" s="137">
        <f>Transportation_LCIA!E$61*($W207^Transportation_LCIA!E$60)+Transportation_LCIA!E$62</f>
        <v>1.1602893527513285E-3</v>
      </c>
      <c r="AB207" s="137">
        <f>Transportation_LCIA!F$61*($W207^Transportation_LCIA!F$60)+Transportation_LCIA!F$62</f>
        <v>0.23799077256655485</v>
      </c>
      <c r="AC207" s="137">
        <f>Transportation_LCIA!G$61*($W207^Transportation_LCIA!G$60)+Transportation_LCIA!G$62</f>
        <v>5.7251738416183251E-2</v>
      </c>
      <c r="AD207" s="137">
        <f>Transportation_LCIA!H$61*($W207^Transportation_LCIA!H$60)+Transportation_LCIA!H$62</f>
        <v>2.8030572808339046E-4</v>
      </c>
      <c r="AE207" s="137">
        <f>Transportation_LCIA!I$61*($W207^Transportation_LCIA!I$60)+Transportation_LCIA!I$62</f>
        <v>6.0084688172437592E-6</v>
      </c>
      <c r="AF207" s="137">
        <f>Transportation_LCIA!J$61*($W207^Transportation_LCIA!J$60)+Transportation_LCIA!J$62</f>
        <v>8.8936917837252362E-3</v>
      </c>
      <c r="AG207" s="137">
        <f>Transportation_LCIA!K$61*($W207^Transportation_LCIA!K$60)+Transportation_LCIA!K$62</f>
        <v>1.2188706109794917E-2</v>
      </c>
      <c r="AH207" s="137">
        <f>Transportation_LCIA!L$61*($W207^Transportation_LCIA!L$60)+Transportation_LCIA!L$62</f>
        <v>2.4310816549771977E-4</v>
      </c>
      <c r="AI207" s="137">
        <f>Transportation_LCIA!M$61*($W207^Transportation_LCIA!M$60)+Transportation_LCIA!M$62</f>
        <v>2.455450128432447E-4</v>
      </c>
      <c r="AJ207" s="137">
        <f>Transportation_LCIA!N$61*($W207^Transportation_LCIA!N$60)+Transportation_LCIA!N$62</f>
        <v>1.0016506819662974E-3</v>
      </c>
      <c r="AK207" s="137">
        <f>Transportation_LCIA!O$61*($W207^Transportation_LCIA!O$60)+Transportation_LCIA!O$62</f>
        <v>6.050134712780058E-5</v>
      </c>
      <c r="AL207" s="137">
        <f>Transportation_LCIA!P$61*($W207^Transportation_LCIA!P$60)+Transportation_LCIA!P$62</f>
        <v>2.9257301489528483E-8</v>
      </c>
      <c r="AM207" s="137">
        <f>Transportation_LCIA!Q$61*($W207^Transportation_LCIA!Q$60)+Transportation_LCIA!Q$62</f>
        <v>9.6216231090364335E-5</v>
      </c>
      <c r="AN207" s="137">
        <f>Transportation_LCIA!R$61*($W207^Transportation_LCIA!R$60)+Transportation_LCIA!R$62</f>
        <v>2.8896705818992006E-4</v>
      </c>
      <c r="AO207" s="137">
        <f>Transportation_LCIA!S$61*($W207^Transportation_LCIA!S$60)+Transportation_LCIA!S$62</f>
        <v>4.3584988519816731E-6</v>
      </c>
      <c r="AP207" s="137">
        <f>Transportation_LCIA!T$61*($W207^Transportation_LCIA!T$60)+Transportation_LCIA!T$62</f>
        <v>4.3584988519816731E-6</v>
      </c>
      <c r="AQ207" s="137">
        <f>Transportation_LCIA!U$61*($W207^Transportation_LCIA!U$60)+Transportation_LCIA!U$62</f>
        <v>6.204066649837317E-4</v>
      </c>
      <c r="AR207" s="137">
        <f>Transportation_LCIA!V$61*($W207^Transportation_LCIA!V$60)+Transportation_LCIA!V$62</f>
        <v>2.502258212971912E-4</v>
      </c>
      <c r="AT207" s="137">
        <f>$W207*Y207+$L207*Summary_LCIA!H$32</f>
        <v>290.90081626716187</v>
      </c>
      <c r="AU207" s="137">
        <f>$W207*Z207+$L207*Summary_LCIA!Q$32</f>
        <v>3245.3870240772094</v>
      </c>
      <c r="AV207" s="137">
        <f>$W207*AA207+$L207*Summary_LCIA!R$32</f>
        <v>2.0391399392108722</v>
      </c>
      <c r="AW207" s="137">
        <f>$W207*AB207+$L207*Summary_LCIA!S$32</f>
        <v>290.14038620716184</v>
      </c>
      <c r="AX207" s="137">
        <f>$W207*AC207+$L207*Summary_LCIA!T$32</f>
        <v>74.82409995891436</v>
      </c>
      <c r="AY207" s="137">
        <f>$W207*AD207+$L207*Summary_LCIA!U$32</f>
        <v>3.3557470379925389</v>
      </c>
      <c r="AZ207" s="137">
        <f>$W207*AE207+$L207*Summary_LCIA!V$32</f>
        <v>1.4085291420373847E-2</v>
      </c>
      <c r="BA207" s="137">
        <f>$W207*AF207+$L207*Summary_LCIA!W$32</f>
        <v>21.928604315207689</v>
      </c>
      <c r="BB207" s="137">
        <f>$W207*AG207+$L207*Summary_LCIA!X$32</f>
        <v>15.823593608346297</v>
      </c>
      <c r="BC207" s="137">
        <f>$W207*AH207+$L207*Summary_LCIA!Y$32</f>
        <v>2.9182126814026312</v>
      </c>
      <c r="BD207" s="137">
        <f>$W207*AI207+$L207*Summary_LCIA!Z$32</f>
        <v>0.24687398457290147</v>
      </c>
      <c r="BE207" s="137">
        <f>$W207*AJ207+$L207*Summary_LCIA!AA$32</f>
        <v>4.9965275579968509</v>
      </c>
      <c r="BF207" s="137">
        <f>$W207*AK207+$L207*Summary_LCIA!AB$32</f>
        <v>5.5335904663052903E-2</v>
      </c>
      <c r="BG207" s="137">
        <f>$W207*AL207+$L207*Summary_LCIA!AC$32</f>
        <v>3.6985143830741905E-5</v>
      </c>
      <c r="BH207" s="137">
        <f>$W207*AM207+$L207*Summary_LCIA!AD$32</f>
        <v>0.16468893319290318</v>
      </c>
      <c r="BI207" s="137">
        <f>$W207*AN207+$L207*Summary_LCIA!AE$32</f>
        <v>0.43468053935947437</v>
      </c>
      <c r="BJ207" s="137">
        <f>$W207*AO207+$L207*Summary_LCIA!AF$32</f>
        <v>0.14970544763693172</v>
      </c>
      <c r="BK207" s="137">
        <f>$W207*AP207+$L207*Summary_LCIA!AG$32</f>
        <v>1.3059434671931701E-2</v>
      </c>
      <c r="BL207" s="137">
        <f>$W207*AQ207+$L207*Summary_LCIA!AH$32</f>
        <v>2.1033316553330024</v>
      </c>
      <c r="BM207" s="137">
        <f>$W207*AR207+$L207*Summary_LCIA!AI$32</f>
        <v>0.40465697745303075</v>
      </c>
    </row>
    <row r="208" spans="1:65" x14ac:dyDescent="0.25">
      <c r="A208" s="149">
        <v>310</v>
      </c>
      <c r="B208" s="149">
        <v>6</v>
      </c>
      <c r="C208" s="61">
        <v>35.785055</v>
      </c>
      <c r="D208" s="61">
        <v>-78.681944999999999</v>
      </c>
      <c r="E208" s="61" t="s">
        <v>265</v>
      </c>
      <c r="F208" s="149">
        <v>97</v>
      </c>
      <c r="G208" s="61" t="s">
        <v>286</v>
      </c>
      <c r="H208" s="61" t="s">
        <v>718</v>
      </c>
      <c r="I208" s="61">
        <v>35.880079000000002</v>
      </c>
      <c r="J208" s="61">
        <v>-78.787996000000007</v>
      </c>
      <c r="K208" s="61">
        <v>17.190043989999999</v>
      </c>
      <c r="L208" s="61">
        <v>19.38</v>
      </c>
      <c r="M208" s="61" t="s">
        <v>617</v>
      </c>
      <c r="N208" s="149">
        <v>5</v>
      </c>
      <c r="O208" s="149">
        <v>6</v>
      </c>
      <c r="P208" s="61" t="s">
        <v>565</v>
      </c>
      <c r="Q208" s="61" t="s">
        <v>564</v>
      </c>
      <c r="R208" s="61">
        <v>41.98028</v>
      </c>
      <c r="S208" s="61">
        <v>-87.908997900000003</v>
      </c>
      <c r="T208" s="61">
        <v>1325.5429999999999</v>
      </c>
      <c r="U208" s="61" t="s">
        <v>617</v>
      </c>
      <c r="V208" s="61" t="s">
        <v>569</v>
      </c>
      <c r="W208" s="61" cm="1">
        <f t="array" ref="W208">getDistance(I208,J208,R208,S208)*SA!$B$12</f>
        <v>1041.0239131701483</v>
      </c>
      <c r="X208" s="61"/>
      <c r="Y208" s="137">
        <f>Transportation_LCIA!C$61*($W208^Transportation_LCIA!C$60)+Transportation_LCIA!C$62</f>
        <v>0.23141881863452615</v>
      </c>
      <c r="Z208" s="137">
        <f>Transportation_LCIA!D$61*($W208^Transportation_LCIA!D$60)+Transportation_LCIA!D$62</f>
        <v>2.3732132712709442</v>
      </c>
      <c r="AA208" s="137">
        <f>Transportation_LCIA!E$61*($W208^Transportation_LCIA!E$60)+Transportation_LCIA!E$62</f>
        <v>1.1098987068913562E-3</v>
      </c>
      <c r="AB208" s="137">
        <f>Transportation_LCIA!F$61*($W208^Transportation_LCIA!F$60)+Transportation_LCIA!F$62</f>
        <v>0.23141881863452615</v>
      </c>
      <c r="AC208" s="137">
        <f>Transportation_LCIA!G$61*($W208^Transportation_LCIA!G$60)+Transportation_LCIA!G$62</f>
        <v>5.547825380889481E-2</v>
      </c>
      <c r="AD208" s="137">
        <f>Transportation_LCIA!H$61*($W208^Transportation_LCIA!H$60)+Transportation_LCIA!H$62</f>
        <v>2.6922921617757048E-4</v>
      </c>
      <c r="AE208" s="137">
        <f>Transportation_LCIA!I$61*($W208^Transportation_LCIA!I$60)+Transportation_LCIA!I$62</f>
        <v>5.7297698987622048E-6</v>
      </c>
      <c r="AF208" s="137">
        <f>Transportation_LCIA!J$61*($W208^Transportation_LCIA!J$60)+Transportation_LCIA!J$62</f>
        <v>8.4787675565588666E-3</v>
      </c>
      <c r="AG208" s="137">
        <f>Transportation_LCIA!K$61*($W208^Transportation_LCIA!K$60)+Transportation_LCIA!K$62</f>
        <v>1.1774830046439842E-2</v>
      </c>
      <c r="AH208" s="137">
        <f>Transportation_LCIA!L$61*($W208^Transportation_LCIA!L$60)+Transportation_LCIA!L$62</f>
        <v>2.3292652575284897E-4</v>
      </c>
      <c r="AI208" s="137">
        <f>Transportation_LCIA!M$61*($W208^Transportation_LCIA!M$60)+Transportation_LCIA!M$62</f>
        <v>2.3943208721087565E-4</v>
      </c>
      <c r="AJ208" s="137">
        <f>Transportation_LCIA!N$61*($W208^Transportation_LCIA!N$60)+Transportation_LCIA!N$62</f>
        <v>9.6440816935684163E-4</v>
      </c>
      <c r="AK208" s="137">
        <f>Transportation_LCIA!O$61*($W208^Transportation_LCIA!O$60)+Transportation_LCIA!O$62</f>
        <v>5.8616819717353033E-5</v>
      </c>
      <c r="AL208" s="137">
        <f>Transportation_LCIA!P$61*($W208^Transportation_LCIA!P$60)+Transportation_LCIA!P$62</f>
        <v>2.8351204174553839E-8</v>
      </c>
      <c r="AM208" s="137">
        <f>Transportation_LCIA!Q$61*($W208^Transportation_LCIA!Q$60)+Transportation_LCIA!Q$62</f>
        <v>9.2235500559770595E-5</v>
      </c>
      <c r="AN208" s="137">
        <f>Transportation_LCIA!R$61*($W208^Transportation_LCIA!R$60)+Transportation_LCIA!R$62</f>
        <v>2.7560277819865759E-4</v>
      </c>
      <c r="AO208" s="137">
        <f>Transportation_LCIA!S$61*($W208^Transportation_LCIA!S$60)+Transportation_LCIA!S$62</f>
        <v>4.1688272124088601E-6</v>
      </c>
      <c r="AP208" s="137">
        <f>Transportation_LCIA!T$61*($W208^Transportation_LCIA!T$60)+Transportation_LCIA!T$62</f>
        <v>4.1688272124088601E-6</v>
      </c>
      <c r="AQ208" s="137">
        <f>Transportation_LCIA!U$61*($W208^Transportation_LCIA!U$60)+Transportation_LCIA!U$62</f>
        <v>5.9110128714897269E-4</v>
      </c>
      <c r="AR208" s="137">
        <f>Transportation_LCIA!V$61*($W208^Transportation_LCIA!V$60)+Transportation_LCIA!V$62</f>
        <v>2.3987098967351165E-4</v>
      </c>
      <c r="AT208" s="137">
        <f>$W208*Y208+$L208*Summary_LCIA!H$32</f>
        <v>247.49784815612722</v>
      </c>
      <c r="AU208" s="137">
        <f>$W208*Z208+$L208*Summary_LCIA!Q$32</f>
        <v>2566.6200238373472</v>
      </c>
      <c r="AV208" s="137">
        <f>$W208*AA208+$L208*Summary_LCIA!R$32</f>
        <v>1.2574784230705272</v>
      </c>
      <c r="AW208" s="137">
        <f>$W208*AB208+$L208*Summary_LCIA!S$32</f>
        <v>247.41218855612723</v>
      </c>
      <c r="AX208" s="137">
        <f>$W208*AC208+$L208*Summary_LCIA!T$32</f>
        <v>59.884050875982361</v>
      </c>
      <c r="AY208" s="137">
        <f>$W208*AD208+$L208*Summary_LCIA!U$32</f>
        <v>0.62744737216490609</v>
      </c>
      <c r="AZ208" s="137">
        <f>$W208*AE208+$L208*Summary_LCIA!V$32</f>
        <v>6.8904356615739548E-3</v>
      </c>
      <c r="BA208" s="137">
        <f>$W208*AF208+$L208*Summary_LCIA!W$32</f>
        <v>10.318297760589008</v>
      </c>
      <c r="BB208" s="137">
        <f>$W208*AG208+$L208*Summary_LCIA!X$32</f>
        <v>12.699356051858242</v>
      </c>
      <c r="BC208" s="137">
        <f>$W208*AH208+$L208*Summary_LCIA!Y$32</f>
        <v>0.54446124332035817</v>
      </c>
      <c r="BD208" s="137">
        <f>$W208*AI208+$L208*Summary_LCIA!Z$32</f>
        <v>0.25004928278676197</v>
      </c>
      <c r="BE208" s="137">
        <f>$W208*AJ208+$L208*Summary_LCIA!AA$32</f>
        <v>1.4566112463571181</v>
      </c>
      <c r="BF208" s="137">
        <f>$W208*AK208+$L208*Summary_LCIA!AB$32</f>
        <v>6.0598581299747954E-2</v>
      </c>
      <c r="BG208" s="137">
        <f>$W208*AL208+$L208*Summary_LCIA!AC$32</f>
        <v>3.0461653432879879E-5</v>
      </c>
      <c r="BH208" s="137">
        <f>$W208*AM208+$L208*Summary_LCIA!AD$32</f>
        <v>0.10398531692593979</v>
      </c>
      <c r="BI208" s="137">
        <f>$W208*AN208+$L208*Summary_LCIA!AE$32</f>
        <v>0.30408228204093096</v>
      </c>
      <c r="BJ208" s="137">
        <f>$W208*AO208+$L208*Summary_LCIA!AF$32</f>
        <v>2.0724088417992073E-2</v>
      </c>
      <c r="BK208" s="137">
        <f>$W208*AP208+$L208*Summary_LCIA!AG$32</f>
        <v>5.3314265179920722E-3</v>
      </c>
      <c r="BL208" s="137">
        <f>$W208*AQ208+$L208*Summary_LCIA!AH$32</f>
        <v>0.784026343027735</v>
      </c>
      <c r="BM208" s="137">
        <f>$W208*AR208+$L208*Summary_LCIA!AI$32</f>
        <v>0.26776487532591531</v>
      </c>
    </row>
    <row r="209" spans="1:65" x14ac:dyDescent="0.25">
      <c r="A209" s="149">
        <v>311</v>
      </c>
      <c r="B209" s="149">
        <v>6</v>
      </c>
      <c r="C209" s="61">
        <v>35.785055</v>
      </c>
      <c r="D209" s="61">
        <v>-78.681944999999999</v>
      </c>
      <c r="E209" s="61" t="s">
        <v>265</v>
      </c>
      <c r="F209" s="149">
        <v>97</v>
      </c>
      <c r="G209" s="61" t="s">
        <v>286</v>
      </c>
      <c r="H209" s="61" t="s">
        <v>718</v>
      </c>
      <c r="I209" s="61">
        <v>35.880079000000002</v>
      </c>
      <c r="J209" s="61">
        <v>-78.787996000000007</v>
      </c>
      <c r="K209" s="61">
        <v>17.190043989999999</v>
      </c>
      <c r="L209" s="61">
        <v>19.38</v>
      </c>
      <c r="M209" s="61" t="s">
        <v>617</v>
      </c>
      <c r="N209" s="149">
        <v>5</v>
      </c>
      <c r="O209" s="149">
        <v>6</v>
      </c>
      <c r="P209" s="61" t="s">
        <v>565</v>
      </c>
      <c r="Q209" s="61" t="s">
        <v>564</v>
      </c>
      <c r="R209" s="61">
        <v>41.98028</v>
      </c>
      <c r="S209" s="61">
        <v>-87.908997900000003</v>
      </c>
      <c r="T209" s="61">
        <v>1325.5429999999999</v>
      </c>
      <c r="U209" s="61" t="s">
        <v>617</v>
      </c>
      <c r="V209" s="61" t="s">
        <v>569</v>
      </c>
      <c r="W209" s="61" cm="1">
        <f t="array" ref="W209">getDistance(I209,J209,R209,S209)*SA!$B$12</f>
        <v>1041.0239131701483</v>
      </c>
      <c r="X209" s="61"/>
      <c r="Y209" s="137">
        <f>Transportation_LCIA!C$61*($W209^Transportation_LCIA!C$60)+Transportation_LCIA!C$62</f>
        <v>0.23141881863452615</v>
      </c>
      <c r="Z209" s="137">
        <f>Transportation_LCIA!D$61*($W209^Transportation_LCIA!D$60)+Transportation_LCIA!D$62</f>
        <v>2.3732132712709442</v>
      </c>
      <c r="AA209" s="137">
        <f>Transportation_LCIA!E$61*($W209^Transportation_LCIA!E$60)+Transportation_LCIA!E$62</f>
        <v>1.1098987068913562E-3</v>
      </c>
      <c r="AB209" s="137">
        <f>Transportation_LCIA!F$61*($W209^Transportation_LCIA!F$60)+Transportation_LCIA!F$62</f>
        <v>0.23141881863452615</v>
      </c>
      <c r="AC209" s="137">
        <f>Transportation_LCIA!G$61*($W209^Transportation_LCIA!G$60)+Transportation_LCIA!G$62</f>
        <v>5.547825380889481E-2</v>
      </c>
      <c r="AD209" s="137">
        <f>Transportation_LCIA!H$61*($W209^Transportation_LCIA!H$60)+Transportation_LCIA!H$62</f>
        <v>2.6922921617757048E-4</v>
      </c>
      <c r="AE209" s="137">
        <f>Transportation_LCIA!I$61*($W209^Transportation_LCIA!I$60)+Transportation_LCIA!I$62</f>
        <v>5.7297698987622048E-6</v>
      </c>
      <c r="AF209" s="137">
        <f>Transportation_LCIA!J$61*($W209^Transportation_LCIA!J$60)+Transportation_LCIA!J$62</f>
        <v>8.4787675565588666E-3</v>
      </c>
      <c r="AG209" s="137">
        <f>Transportation_LCIA!K$61*($W209^Transportation_LCIA!K$60)+Transportation_LCIA!K$62</f>
        <v>1.1774830046439842E-2</v>
      </c>
      <c r="AH209" s="137">
        <f>Transportation_LCIA!L$61*($W209^Transportation_LCIA!L$60)+Transportation_LCIA!L$62</f>
        <v>2.3292652575284897E-4</v>
      </c>
      <c r="AI209" s="137">
        <f>Transportation_LCIA!M$61*($W209^Transportation_LCIA!M$60)+Transportation_LCIA!M$62</f>
        <v>2.3943208721087565E-4</v>
      </c>
      <c r="AJ209" s="137">
        <f>Transportation_LCIA!N$61*($W209^Transportation_LCIA!N$60)+Transportation_LCIA!N$62</f>
        <v>9.6440816935684163E-4</v>
      </c>
      <c r="AK209" s="137">
        <f>Transportation_LCIA!O$61*($W209^Transportation_LCIA!O$60)+Transportation_LCIA!O$62</f>
        <v>5.8616819717353033E-5</v>
      </c>
      <c r="AL209" s="137">
        <f>Transportation_LCIA!P$61*($W209^Transportation_LCIA!P$60)+Transportation_LCIA!P$62</f>
        <v>2.8351204174553839E-8</v>
      </c>
      <c r="AM209" s="137">
        <f>Transportation_LCIA!Q$61*($W209^Transportation_LCIA!Q$60)+Transportation_LCIA!Q$62</f>
        <v>9.2235500559770595E-5</v>
      </c>
      <c r="AN209" s="137">
        <f>Transportation_LCIA!R$61*($W209^Transportation_LCIA!R$60)+Transportation_LCIA!R$62</f>
        <v>2.7560277819865759E-4</v>
      </c>
      <c r="AO209" s="137">
        <f>Transportation_LCIA!S$61*($W209^Transportation_LCIA!S$60)+Transportation_LCIA!S$62</f>
        <v>4.1688272124088601E-6</v>
      </c>
      <c r="AP209" s="137">
        <f>Transportation_LCIA!T$61*($W209^Transportation_LCIA!T$60)+Transportation_LCIA!T$62</f>
        <v>4.1688272124088601E-6</v>
      </c>
      <c r="AQ209" s="137">
        <f>Transportation_LCIA!U$61*($W209^Transportation_LCIA!U$60)+Transportation_LCIA!U$62</f>
        <v>5.9110128714897269E-4</v>
      </c>
      <c r="AR209" s="137">
        <f>Transportation_LCIA!V$61*($W209^Transportation_LCIA!V$60)+Transportation_LCIA!V$62</f>
        <v>2.3987098967351165E-4</v>
      </c>
      <c r="AT209" s="137">
        <f>$W209*Y209+$L209*Summary_LCIA!H$32</f>
        <v>247.49784815612722</v>
      </c>
      <c r="AU209" s="137">
        <f>$W209*Z209+$L209*Summary_LCIA!Q$32</f>
        <v>2566.6200238373472</v>
      </c>
      <c r="AV209" s="137">
        <f>$W209*AA209+$L209*Summary_LCIA!R$32</f>
        <v>1.2574784230705272</v>
      </c>
      <c r="AW209" s="137">
        <f>$W209*AB209+$L209*Summary_LCIA!S$32</f>
        <v>247.41218855612723</v>
      </c>
      <c r="AX209" s="137">
        <f>$W209*AC209+$L209*Summary_LCIA!T$32</f>
        <v>59.884050875982361</v>
      </c>
      <c r="AY209" s="137">
        <f>$W209*AD209+$L209*Summary_LCIA!U$32</f>
        <v>0.62744737216490609</v>
      </c>
      <c r="AZ209" s="137">
        <f>$W209*AE209+$L209*Summary_LCIA!V$32</f>
        <v>6.8904356615739548E-3</v>
      </c>
      <c r="BA209" s="137">
        <f>$W209*AF209+$L209*Summary_LCIA!W$32</f>
        <v>10.318297760589008</v>
      </c>
      <c r="BB209" s="137">
        <f>$W209*AG209+$L209*Summary_LCIA!X$32</f>
        <v>12.699356051858242</v>
      </c>
      <c r="BC209" s="137">
        <f>$W209*AH209+$L209*Summary_LCIA!Y$32</f>
        <v>0.54446124332035817</v>
      </c>
      <c r="BD209" s="137">
        <f>$W209*AI209+$L209*Summary_LCIA!Z$32</f>
        <v>0.25004928278676197</v>
      </c>
      <c r="BE209" s="137">
        <f>$W209*AJ209+$L209*Summary_LCIA!AA$32</f>
        <v>1.4566112463571181</v>
      </c>
      <c r="BF209" s="137">
        <f>$W209*AK209+$L209*Summary_LCIA!AB$32</f>
        <v>6.0598581299747954E-2</v>
      </c>
      <c r="BG209" s="137">
        <f>$W209*AL209+$L209*Summary_LCIA!AC$32</f>
        <v>3.0461653432879879E-5</v>
      </c>
      <c r="BH209" s="137">
        <f>$W209*AM209+$L209*Summary_LCIA!AD$32</f>
        <v>0.10398531692593979</v>
      </c>
      <c r="BI209" s="137">
        <f>$W209*AN209+$L209*Summary_LCIA!AE$32</f>
        <v>0.30408228204093096</v>
      </c>
      <c r="BJ209" s="137">
        <f>$W209*AO209+$L209*Summary_LCIA!AF$32</f>
        <v>2.0724088417992073E-2</v>
      </c>
      <c r="BK209" s="137">
        <f>$W209*AP209+$L209*Summary_LCIA!AG$32</f>
        <v>5.3314265179920722E-3</v>
      </c>
      <c r="BL209" s="137">
        <f>$W209*AQ209+$L209*Summary_LCIA!AH$32</f>
        <v>0.784026343027735</v>
      </c>
      <c r="BM209" s="137">
        <f>$W209*AR209+$L209*Summary_LCIA!AI$32</f>
        <v>0.26776487532591531</v>
      </c>
    </row>
    <row r="210" spans="1:65" x14ac:dyDescent="0.25">
      <c r="A210" s="149">
        <v>312</v>
      </c>
      <c r="B210" s="149">
        <v>6</v>
      </c>
      <c r="C210" s="61">
        <v>35.779589999999999</v>
      </c>
      <c r="D210" s="61">
        <v>-78.638178999999994</v>
      </c>
      <c r="E210" s="61" t="s">
        <v>265</v>
      </c>
      <c r="F210" s="149">
        <v>97</v>
      </c>
      <c r="G210" s="61" t="s">
        <v>286</v>
      </c>
      <c r="H210" s="61" t="s">
        <v>718</v>
      </c>
      <c r="I210" s="61">
        <v>35.880079000000002</v>
      </c>
      <c r="J210" s="61">
        <v>-78.787996000000007</v>
      </c>
      <c r="K210" s="61">
        <v>20.075432370000001</v>
      </c>
      <c r="L210" s="61">
        <v>23.661999999999999</v>
      </c>
      <c r="M210" s="61" t="s">
        <v>617</v>
      </c>
      <c r="N210" s="149">
        <v>5</v>
      </c>
      <c r="O210" s="149">
        <v>6</v>
      </c>
      <c r="P210" s="61" t="s">
        <v>565</v>
      </c>
      <c r="Q210" s="61" t="s">
        <v>564</v>
      </c>
      <c r="R210" s="61">
        <v>41.98028</v>
      </c>
      <c r="S210" s="61">
        <v>-87.908997900000003</v>
      </c>
      <c r="T210" s="61">
        <v>1329.825</v>
      </c>
      <c r="U210" s="61" t="s">
        <v>617</v>
      </c>
      <c r="V210" s="61" t="s">
        <v>569</v>
      </c>
      <c r="W210" s="61" cm="1">
        <f t="array" ref="W210">getDistance(I210,J210,R210,S210)*SA!$B$12</f>
        <v>1041.0239131701483</v>
      </c>
      <c r="X210" s="61"/>
      <c r="Y210" s="137">
        <f>Transportation_LCIA!C$61*($W210^Transportation_LCIA!C$60)+Transportation_LCIA!C$62</f>
        <v>0.23141881863452615</v>
      </c>
      <c r="Z210" s="137">
        <f>Transportation_LCIA!D$61*($W210^Transportation_LCIA!D$60)+Transportation_LCIA!D$62</f>
        <v>2.3732132712709442</v>
      </c>
      <c r="AA210" s="137">
        <f>Transportation_LCIA!E$61*($W210^Transportation_LCIA!E$60)+Transportation_LCIA!E$62</f>
        <v>1.1098987068913562E-3</v>
      </c>
      <c r="AB210" s="137">
        <f>Transportation_LCIA!F$61*($W210^Transportation_LCIA!F$60)+Transportation_LCIA!F$62</f>
        <v>0.23141881863452615</v>
      </c>
      <c r="AC210" s="137">
        <f>Transportation_LCIA!G$61*($W210^Transportation_LCIA!G$60)+Transportation_LCIA!G$62</f>
        <v>5.547825380889481E-2</v>
      </c>
      <c r="AD210" s="137">
        <f>Transportation_LCIA!H$61*($W210^Transportation_LCIA!H$60)+Transportation_LCIA!H$62</f>
        <v>2.6922921617757048E-4</v>
      </c>
      <c r="AE210" s="137">
        <f>Transportation_LCIA!I$61*($W210^Transportation_LCIA!I$60)+Transportation_LCIA!I$62</f>
        <v>5.7297698987622048E-6</v>
      </c>
      <c r="AF210" s="137">
        <f>Transportation_LCIA!J$61*($W210^Transportation_LCIA!J$60)+Transportation_LCIA!J$62</f>
        <v>8.4787675565588666E-3</v>
      </c>
      <c r="AG210" s="137">
        <f>Transportation_LCIA!K$61*($W210^Transportation_LCIA!K$60)+Transportation_LCIA!K$62</f>
        <v>1.1774830046439842E-2</v>
      </c>
      <c r="AH210" s="137">
        <f>Transportation_LCIA!L$61*($W210^Transportation_LCIA!L$60)+Transportation_LCIA!L$62</f>
        <v>2.3292652575284897E-4</v>
      </c>
      <c r="AI210" s="137">
        <f>Transportation_LCIA!M$61*($W210^Transportation_LCIA!M$60)+Transportation_LCIA!M$62</f>
        <v>2.3943208721087565E-4</v>
      </c>
      <c r="AJ210" s="137">
        <f>Transportation_LCIA!N$61*($W210^Transportation_LCIA!N$60)+Transportation_LCIA!N$62</f>
        <v>9.6440816935684163E-4</v>
      </c>
      <c r="AK210" s="137">
        <f>Transportation_LCIA!O$61*($W210^Transportation_LCIA!O$60)+Transportation_LCIA!O$62</f>
        <v>5.8616819717353033E-5</v>
      </c>
      <c r="AL210" s="137">
        <f>Transportation_LCIA!P$61*($W210^Transportation_LCIA!P$60)+Transportation_LCIA!P$62</f>
        <v>2.8351204174553839E-8</v>
      </c>
      <c r="AM210" s="137">
        <f>Transportation_LCIA!Q$61*($W210^Transportation_LCIA!Q$60)+Transportation_LCIA!Q$62</f>
        <v>9.2235500559770595E-5</v>
      </c>
      <c r="AN210" s="137">
        <f>Transportation_LCIA!R$61*($W210^Transportation_LCIA!R$60)+Transportation_LCIA!R$62</f>
        <v>2.7560277819865759E-4</v>
      </c>
      <c r="AO210" s="137">
        <f>Transportation_LCIA!S$61*($W210^Transportation_LCIA!S$60)+Transportation_LCIA!S$62</f>
        <v>4.1688272124088601E-6</v>
      </c>
      <c r="AP210" s="137">
        <f>Transportation_LCIA!T$61*($W210^Transportation_LCIA!T$60)+Transportation_LCIA!T$62</f>
        <v>4.1688272124088601E-6</v>
      </c>
      <c r="AQ210" s="137">
        <f>Transportation_LCIA!U$61*($W210^Transportation_LCIA!U$60)+Transportation_LCIA!U$62</f>
        <v>5.9110128714897269E-4</v>
      </c>
      <c r="AR210" s="137">
        <f>Transportation_LCIA!V$61*($W210^Transportation_LCIA!V$60)+Transportation_LCIA!V$62</f>
        <v>2.3987098967351165E-4</v>
      </c>
      <c r="AT210" s="137">
        <f>$W210*Y210+$L210*Summary_LCIA!H$32</f>
        <v>248.95287175612722</v>
      </c>
      <c r="AU210" s="137">
        <f>$W210*Z210+$L210*Summary_LCIA!Q$32</f>
        <v>2587.8418317914529</v>
      </c>
      <c r="AV210" s="137">
        <f>$W210*AA210+$L210*Summary_LCIA!R$32</f>
        <v>1.2800257222705271</v>
      </c>
      <c r="AW210" s="137">
        <f>$W210*AB210+$L210*Summary_LCIA!S$32</f>
        <v>248.84828571612724</v>
      </c>
      <c r="AX210" s="137">
        <f>$W210*AC210+$L210*Summary_LCIA!T$32</f>
        <v>60.354642675982355</v>
      </c>
      <c r="AY210" s="137">
        <f>$W210*AD210+$L210*Summary_LCIA!U$32</f>
        <v>0.70415512016490611</v>
      </c>
      <c r="AZ210" s="137">
        <f>$W210*AE210+$L210*Summary_LCIA!V$32</f>
        <v>7.0949482635739546E-3</v>
      </c>
      <c r="BA210" s="137">
        <f>$W210*AF210+$L210*Summary_LCIA!W$32</f>
        <v>10.647887582589009</v>
      </c>
      <c r="BB210" s="137">
        <f>$W210*AG210+$L210*Summary_LCIA!X$32</f>
        <v>12.796900011858243</v>
      </c>
      <c r="BC210" s="137">
        <f>$W210*AH210+$L210*Summary_LCIA!Y$32</f>
        <v>0.61118336732035816</v>
      </c>
      <c r="BD210" s="137">
        <f>$W210*AI210+$L210*Summary_LCIA!Z$32</f>
        <v>0.250224883324762</v>
      </c>
      <c r="BE210" s="137">
        <f>$W210*AJ210+$L210*Summary_LCIA!AA$32</f>
        <v>1.5566216383571181</v>
      </c>
      <c r="BF210" s="137">
        <f>$W210*AK210+$L210*Summary_LCIA!AB$32</f>
        <v>6.0505135213747958E-2</v>
      </c>
      <c r="BG210" s="137">
        <f>$W210*AL210+$L210*Summary_LCIA!AC$32</f>
        <v>3.0670974720879879E-5</v>
      </c>
      <c r="BH210" s="137">
        <f>$W210*AM210+$L210*Summary_LCIA!AD$32</f>
        <v>0.10574539020593979</v>
      </c>
      <c r="BI210" s="137">
        <f>$W210*AN210+$L210*Summary_LCIA!AE$32</f>
        <v>0.30787669070093093</v>
      </c>
      <c r="BJ210" s="137">
        <f>$W210*AO210+$L210*Summary_LCIA!AF$32</f>
        <v>2.4344176857992075E-2</v>
      </c>
      <c r="BK210" s="137">
        <f>$W210*AP210+$L210*Summary_LCIA!AG$32</f>
        <v>5.5505150479920719E-3</v>
      </c>
      <c r="BL210" s="137">
        <f>$W210*AQ210+$L210*Summary_LCIA!AH$32</f>
        <v>0.82129515822773502</v>
      </c>
      <c r="BM210" s="137">
        <f>$W210*AR210+$L210*Summary_LCIA!AI$32</f>
        <v>0.27175377242591531</v>
      </c>
    </row>
    <row r="211" spans="1:65" x14ac:dyDescent="0.25">
      <c r="A211" s="149">
        <v>313</v>
      </c>
      <c r="B211" s="149">
        <v>6</v>
      </c>
      <c r="C211" s="61">
        <v>35.779589999999999</v>
      </c>
      <c r="D211" s="61">
        <v>-78.638178999999994</v>
      </c>
      <c r="E211" s="61" t="s">
        <v>265</v>
      </c>
      <c r="F211" s="149">
        <v>97</v>
      </c>
      <c r="G211" s="61" t="s">
        <v>286</v>
      </c>
      <c r="H211" s="61" t="s">
        <v>718</v>
      </c>
      <c r="I211" s="61">
        <v>35.880079000000002</v>
      </c>
      <c r="J211" s="61">
        <v>-78.787996000000007</v>
      </c>
      <c r="K211" s="61">
        <v>20.075432370000001</v>
      </c>
      <c r="L211" s="61">
        <v>23.661999999999999</v>
      </c>
      <c r="M211" s="61" t="s">
        <v>617</v>
      </c>
      <c r="N211" s="149">
        <v>5</v>
      </c>
      <c r="O211" s="149">
        <v>6</v>
      </c>
      <c r="P211" s="61" t="s">
        <v>565</v>
      </c>
      <c r="Q211" s="61" t="s">
        <v>564</v>
      </c>
      <c r="R211" s="61">
        <v>41.98028</v>
      </c>
      <c r="S211" s="61">
        <v>-87.908997900000003</v>
      </c>
      <c r="T211" s="61">
        <v>1329.825</v>
      </c>
      <c r="U211" s="61" t="s">
        <v>617</v>
      </c>
      <c r="V211" s="61" t="s">
        <v>569</v>
      </c>
      <c r="W211" s="61" cm="1">
        <f t="array" ref="W211">getDistance(I211,J211,R211,S211)*SA!$B$12</f>
        <v>1041.0239131701483</v>
      </c>
      <c r="X211" s="61"/>
      <c r="Y211" s="137">
        <f>Transportation_LCIA!C$61*($W211^Transportation_LCIA!C$60)+Transportation_LCIA!C$62</f>
        <v>0.23141881863452615</v>
      </c>
      <c r="Z211" s="137">
        <f>Transportation_LCIA!D$61*($W211^Transportation_LCIA!D$60)+Transportation_LCIA!D$62</f>
        <v>2.3732132712709442</v>
      </c>
      <c r="AA211" s="137">
        <f>Transportation_LCIA!E$61*($W211^Transportation_LCIA!E$60)+Transportation_LCIA!E$62</f>
        <v>1.1098987068913562E-3</v>
      </c>
      <c r="AB211" s="137">
        <f>Transportation_LCIA!F$61*($W211^Transportation_LCIA!F$60)+Transportation_LCIA!F$62</f>
        <v>0.23141881863452615</v>
      </c>
      <c r="AC211" s="137">
        <f>Transportation_LCIA!G$61*($W211^Transportation_LCIA!G$60)+Transportation_LCIA!G$62</f>
        <v>5.547825380889481E-2</v>
      </c>
      <c r="AD211" s="137">
        <f>Transportation_LCIA!H$61*($W211^Transportation_LCIA!H$60)+Transportation_LCIA!H$62</f>
        <v>2.6922921617757048E-4</v>
      </c>
      <c r="AE211" s="137">
        <f>Transportation_LCIA!I$61*($W211^Transportation_LCIA!I$60)+Transportation_LCIA!I$62</f>
        <v>5.7297698987622048E-6</v>
      </c>
      <c r="AF211" s="137">
        <f>Transportation_LCIA!J$61*($W211^Transportation_LCIA!J$60)+Transportation_LCIA!J$62</f>
        <v>8.4787675565588666E-3</v>
      </c>
      <c r="AG211" s="137">
        <f>Transportation_LCIA!K$61*($W211^Transportation_LCIA!K$60)+Transportation_LCIA!K$62</f>
        <v>1.1774830046439842E-2</v>
      </c>
      <c r="AH211" s="137">
        <f>Transportation_LCIA!L$61*($W211^Transportation_LCIA!L$60)+Transportation_LCIA!L$62</f>
        <v>2.3292652575284897E-4</v>
      </c>
      <c r="AI211" s="137">
        <f>Transportation_LCIA!M$61*($W211^Transportation_LCIA!M$60)+Transportation_LCIA!M$62</f>
        <v>2.3943208721087565E-4</v>
      </c>
      <c r="AJ211" s="137">
        <f>Transportation_LCIA!N$61*($W211^Transportation_LCIA!N$60)+Transportation_LCIA!N$62</f>
        <v>9.6440816935684163E-4</v>
      </c>
      <c r="AK211" s="137">
        <f>Transportation_LCIA!O$61*($W211^Transportation_LCIA!O$60)+Transportation_LCIA!O$62</f>
        <v>5.8616819717353033E-5</v>
      </c>
      <c r="AL211" s="137">
        <f>Transportation_LCIA!P$61*($W211^Transportation_LCIA!P$60)+Transportation_LCIA!P$62</f>
        <v>2.8351204174553839E-8</v>
      </c>
      <c r="AM211" s="137">
        <f>Transportation_LCIA!Q$61*($W211^Transportation_LCIA!Q$60)+Transportation_LCIA!Q$62</f>
        <v>9.2235500559770595E-5</v>
      </c>
      <c r="AN211" s="137">
        <f>Transportation_LCIA!R$61*($W211^Transportation_LCIA!R$60)+Transportation_LCIA!R$62</f>
        <v>2.7560277819865759E-4</v>
      </c>
      <c r="AO211" s="137">
        <f>Transportation_LCIA!S$61*($W211^Transportation_LCIA!S$60)+Transportation_LCIA!S$62</f>
        <v>4.1688272124088601E-6</v>
      </c>
      <c r="AP211" s="137">
        <f>Transportation_LCIA!T$61*($W211^Transportation_LCIA!T$60)+Transportation_LCIA!T$62</f>
        <v>4.1688272124088601E-6</v>
      </c>
      <c r="AQ211" s="137">
        <f>Transportation_LCIA!U$61*($W211^Transportation_LCIA!U$60)+Transportation_LCIA!U$62</f>
        <v>5.9110128714897269E-4</v>
      </c>
      <c r="AR211" s="137">
        <f>Transportation_LCIA!V$61*($W211^Transportation_LCIA!V$60)+Transportation_LCIA!V$62</f>
        <v>2.3987098967351165E-4</v>
      </c>
      <c r="AT211" s="137">
        <f>$W211*Y211+$L211*Summary_LCIA!H$32</f>
        <v>248.95287175612722</v>
      </c>
      <c r="AU211" s="137">
        <f>$W211*Z211+$L211*Summary_LCIA!Q$32</f>
        <v>2587.8418317914529</v>
      </c>
      <c r="AV211" s="137">
        <f>$W211*AA211+$L211*Summary_LCIA!R$32</f>
        <v>1.2800257222705271</v>
      </c>
      <c r="AW211" s="137">
        <f>$W211*AB211+$L211*Summary_LCIA!S$32</f>
        <v>248.84828571612724</v>
      </c>
      <c r="AX211" s="137">
        <f>$W211*AC211+$L211*Summary_LCIA!T$32</f>
        <v>60.354642675982355</v>
      </c>
      <c r="AY211" s="137">
        <f>$W211*AD211+$L211*Summary_LCIA!U$32</f>
        <v>0.70415512016490611</v>
      </c>
      <c r="AZ211" s="137">
        <f>$W211*AE211+$L211*Summary_LCIA!V$32</f>
        <v>7.0949482635739546E-3</v>
      </c>
      <c r="BA211" s="137">
        <f>$W211*AF211+$L211*Summary_LCIA!W$32</f>
        <v>10.647887582589009</v>
      </c>
      <c r="BB211" s="137">
        <f>$W211*AG211+$L211*Summary_LCIA!X$32</f>
        <v>12.796900011858243</v>
      </c>
      <c r="BC211" s="137">
        <f>$W211*AH211+$L211*Summary_LCIA!Y$32</f>
        <v>0.61118336732035816</v>
      </c>
      <c r="BD211" s="137">
        <f>$W211*AI211+$L211*Summary_LCIA!Z$32</f>
        <v>0.250224883324762</v>
      </c>
      <c r="BE211" s="137">
        <f>$W211*AJ211+$L211*Summary_LCIA!AA$32</f>
        <v>1.5566216383571181</v>
      </c>
      <c r="BF211" s="137">
        <f>$W211*AK211+$L211*Summary_LCIA!AB$32</f>
        <v>6.0505135213747958E-2</v>
      </c>
      <c r="BG211" s="137">
        <f>$W211*AL211+$L211*Summary_LCIA!AC$32</f>
        <v>3.0670974720879879E-5</v>
      </c>
      <c r="BH211" s="137">
        <f>$W211*AM211+$L211*Summary_LCIA!AD$32</f>
        <v>0.10574539020593979</v>
      </c>
      <c r="BI211" s="137">
        <f>$W211*AN211+$L211*Summary_LCIA!AE$32</f>
        <v>0.30787669070093093</v>
      </c>
      <c r="BJ211" s="137">
        <f>$W211*AO211+$L211*Summary_LCIA!AF$32</f>
        <v>2.4344176857992075E-2</v>
      </c>
      <c r="BK211" s="137">
        <f>$W211*AP211+$L211*Summary_LCIA!AG$32</f>
        <v>5.5505150479920719E-3</v>
      </c>
      <c r="BL211" s="137">
        <f>$W211*AQ211+$L211*Summary_LCIA!AH$32</f>
        <v>0.82129515822773502</v>
      </c>
      <c r="BM211" s="137">
        <f>$W211*AR211+$L211*Summary_LCIA!AI$32</f>
        <v>0.27175377242591531</v>
      </c>
    </row>
    <row r="212" spans="1:65" x14ac:dyDescent="0.25">
      <c r="A212" s="149">
        <v>314</v>
      </c>
      <c r="B212" s="149">
        <v>6</v>
      </c>
      <c r="C212" s="61">
        <v>35.779589999999999</v>
      </c>
      <c r="D212" s="61">
        <v>-78.638178999999994</v>
      </c>
      <c r="E212" s="61" t="s">
        <v>265</v>
      </c>
      <c r="F212" s="149">
        <v>97</v>
      </c>
      <c r="G212" s="61" t="s">
        <v>286</v>
      </c>
      <c r="H212" s="61" t="s">
        <v>718</v>
      </c>
      <c r="I212" s="61">
        <v>35.880079000000002</v>
      </c>
      <c r="J212" s="61">
        <v>-78.787996000000007</v>
      </c>
      <c r="K212" s="61">
        <v>20.075432370000001</v>
      </c>
      <c r="L212" s="61">
        <v>23.661999999999999</v>
      </c>
      <c r="M212" s="61" t="s">
        <v>617</v>
      </c>
      <c r="N212" s="149">
        <v>5</v>
      </c>
      <c r="O212" s="149">
        <v>6</v>
      </c>
      <c r="P212" s="61" t="s">
        <v>565</v>
      </c>
      <c r="Q212" s="61" t="s">
        <v>564</v>
      </c>
      <c r="R212" s="61">
        <v>41.98028</v>
      </c>
      <c r="S212" s="61">
        <v>-87.908997900000003</v>
      </c>
      <c r="T212" s="61">
        <v>1329.825</v>
      </c>
      <c r="U212" s="61" t="s">
        <v>617</v>
      </c>
      <c r="V212" s="61" t="s">
        <v>569</v>
      </c>
      <c r="W212" s="61" cm="1">
        <f t="array" ref="W212">getDistance(I212,J212,R212,S212)*SA!$B$12</f>
        <v>1041.0239131701483</v>
      </c>
      <c r="X212" s="61"/>
      <c r="Y212" s="137">
        <f>Transportation_LCIA!C$61*($W212^Transportation_LCIA!C$60)+Transportation_LCIA!C$62</f>
        <v>0.23141881863452615</v>
      </c>
      <c r="Z212" s="137">
        <f>Transportation_LCIA!D$61*($W212^Transportation_LCIA!D$60)+Transportation_LCIA!D$62</f>
        <v>2.3732132712709442</v>
      </c>
      <c r="AA212" s="137">
        <f>Transportation_LCIA!E$61*($W212^Transportation_LCIA!E$60)+Transportation_LCIA!E$62</f>
        <v>1.1098987068913562E-3</v>
      </c>
      <c r="AB212" s="137">
        <f>Transportation_LCIA!F$61*($W212^Transportation_LCIA!F$60)+Transportation_LCIA!F$62</f>
        <v>0.23141881863452615</v>
      </c>
      <c r="AC212" s="137">
        <f>Transportation_LCIA!G$61*($W212^Transportation_LCIA!G$60)+Transportation_LCIA!G$62</f>
        <v>5.547825380889481E-2</v>
      </c>
      <c r="AD212" s="137">
        <f>Transportation_LCIA!H$61*($W212^Transportation_LCIA!H$60)+Transportation_LCIA!H$62</f>
        <v>2.6922921617757048E-4</v>
      </c>
      <c r="AE212" s="137">
        <f>Transportation_LCIA!I$61*($W212^Transportation_LCIA!I$60)+Transportation_LCIA!I$62</f>
        <v>5.7297698987622048E-6</v>
      </c>
      <c r="AF212" s="137">
        <f>Transportation_LCIA!J$61*($W212^Transportation_LCIA!J$60)+Transportation_LCIA!J$62</f>
        <v>8.4787675565588666E-3</v>
      </c>
      <c r="AG212" s="137">
        <f>Transportation_LCIA!K$61*($W212^Transportation_LCIA!K$60)+Transportation_LCIA!K$62</f>
        <v>1.1774830046439842E-2</v>
      </c>
      <c r="AH212" s="137">
        <f>Transportation_LCIA!L$61*($W212^Transportation_LCIA!L$60)+Transportation_LCIA!L$62</f>
        <v>2.3292652575284897E-4</v>
      </c>
      <c r="AI212" s="137">
        <f>Transportation_LCIA!M$61*($W212^Transportation_LCIA!M$60)+Transportation_LCIA!M$62</f>
        <v>2.3943208721087565E-4</v>
      </c>
      <c r="AJ212" s="137">
        <f>Transportation_LCIA!N$61*($W212^Transportation_LCIA!N$60)+Transportation_LCIA!N$62</f>
        <v>9.6440816935684163E-4</v>
      </c>
      <c r="AK212" s="137">
        <f>Transportation_LCIA!O$61*($W212^Transportation_LCIA!O$60)+Transportation_LCIA!O$62</f>
        <v>5.8616819717353033E-5</v>
      </c>
      <c r="AL212" s="137">
        <f>Transportation_LCIA!P$61*($W212^Transportation_LCIA!P$60)+Transportation_LCIA!P$62</f>
        <v>2.8351204174553839E-8</v>
      </c>
      <c r="AM212" s="137">
        <f>Transportation_LCIA!Q$61*($W212^Transportation_LCIA!Q$60)+Transportation_LCIA!Q$62</f>
        <v>9.2235500559770595E-5</v>
      </c>
      <c r="AN212" s="137">
        <f>Transportation_LCIA!R$61*($W212^Transportation_LCIA!R$60)+Transportation_LCIA!R$62</f>
        <v>2.7560277819865759E-4</v>
      </c>
      <c r="AO212" s="137">
        <f>Transportation_LCIA!S$61*($W212^Transportation_LCIA!S$60)+Transportation_LCIA!S$62</f>
        <v>4.1688272124088601E-6</v>
      </c>
      <c r="AP212" s="137">
        <f>Transportation_LCIA!T$61*($W212^Transportation_LCIA!T$60)+Transportation_LCIA!T$62</f>
        <v>4.1688272124088601E-6</v>
      </c>
      <c r="AQ212" s="137">
        <f>Transportation_LCIA!U$61*($W212^Transportation_LCIA!U$60)+Transportation_LCIA!U$62</f>
        <v>5.9110128714897269E-4</v>
      </c>
      <c r="AR212" s="137">
        <f>Transportation_LCIA!V$61*($W212^Transportation_LCIA!V$60)+Transportation_LCIA!V$62</f>
        <v>2.3987098967351165E-4</v>
      </c>
      <c r="AT212" s="137">
        <f>$W212*Y212+$L212*Summary_LCIA!H$32</f>
        <v>248.95287175612722</v>
      </c>
      <c r="AU212" s="137">
        <f>$W212*Z212+$L212*Summary_LCIA!Q$32</f>
        <v>2587.8418317914529</v>
      </c>
      <c r="AV212" s="137">
        <f>$W212*AA212+$L212*Summary_LCIA!R$32</f>
        <v>1.2800257222705271</v>
      </c>
      <c r="AW212" s="137">
        <f>$W212*AB212+$L212*Summary_LCIA!S$32</f>
        <v>248.84828571612724</v>
      </c>
      <c r="AX212" s="137">
        <f>$W212*AC212+$L212*Summary_LCIA!T$32</f>
        <v>60.354642675982355</v>
      </c>
      <c r="AY212" s="137">
        <f>$W212*AD212+$L212*Summary_LCIA!U$32</f>
        <v>0.70415512016490611</v>
      </c>
      <c r="AZ212" s="137">
        <f>$W212*AE212+$L212*Summary_LCIA!V$32</f>
        <v>7.0949482635739546E-3</v>
      </c>
      <c r="BA212" s="137">
        <f>$W212*AF212+$L212*Summary_LCIA!W$32</f>
        <v>10.647887582589009</v>
      </c>
      <c r="BB212" s="137">
        <f>$W212*AG212+$L212*Summary_LCIA!X$32</f>
        <v>12.796900011858243</v>
      </c>
      <c r="BC212" s="137">
        <f>$W212*AH212+$L212*Summary_LCIA!Y$32</f>
        <v>0.61118336732035816</v>
      </c>
      <c r="BD212" s="137">
        <f>$W212*AI212+$L212*Summary_LCIA!Z$32</f>
        <v>0.250224883324762</v>
      </c>
      <c r="BE212" s="137">
        <f>$W212*AJ212+$L212*Summary_LCIA!AA$32</f>
        <v>1.5566216383571181</v>
      </c>
      <c r="BF212" s="137">
        <f>$W212*AK212+$L212*Summary_LCIA!AB$32</f>
        <v>6.0505135213747958E-2</v>
      </c>
      <c r="BG212" s="137">
        <f>$W212*AL212+$L212*Summary_LCIA!AC$32</f>
        <v>3.0670974720879879E-5</v>
      </c>
      <c r="BH212" s="137">
        <f>$W212*AM212+$L212*Summary_LCIA!AD$32</f>
        <v>0.10574539020593979</v>
      </c>
      <c r="BI212" s="137">
        <f>$W212*AN212+$L212*Summary_LCIA!AE$32</f>
        <v>0.30787669070093093</v>
      </c>
      <c r="BJ212" s="137">
        <f>$W212*AO212+$L212*Summary_LCIA!AF$32</f>
        <v>2.4344176857992075E-2</v>
      </c>
      <c r="BK212" s="137">
        <f>$W212*AP212+$L212*Summary_LCIA!AG$32</f>
        <v>5.5505150479920719E-3</v>
      </c>
      <c r="BL212" s="137">
        <f>$W212*AQ212+$L212*Summary_LCIA!AH$32</f>
        <v>0.82129515822773502</v>
      </c>
      <c r="BM212" s="137">
        <f>$W212*AR212+$L212*Summary_LCIA!AI$32</f>
        <v>0.27175377242591531</v>
      </c>
    </row>
    <row r="213" spans="1:65" x14ac:dyDescent="0.25">
      <c r="A213" s="149">
        <v>273</v>
      </c>
      <c r="B213" s="149">
        <v>6</v>
      </c>
      <c r="C213" s="61">
        <v>45.501688999999999</v>
      </c>
      <c r="D213" s="61">
        <v>-73.567256</v>
      </c>
      <c r="E213" s="61" t="s">
        <v>458</v>
      </c>
      <c r="F213" s="149">
        <v>124</v>
      </c>
      <c r="G213" s="61" t="s">
        <v>654</v>
      </c>
      <c r="H213" s="61" t="s">
        <v>655</v>
      </c>
      <c r="I213" s="61">
        <v>45.465685000000001</v>
      </c>
      <c r="J213" s="61">
        <v>-73.745480999999998</v>
      </c>
      <c r="K213" s="61">
        <v>15.92927869</v>
      </c>
      <c r="L213" s="61">
        <v>19.553999999999998</v>
      </c>
      <c r="M213" s="61" t="s">
        <v>617</v>
      </c>
      <c r="N213" s="149">
        <v>5</v>
      </c>
      <c r="O213" s="149">
        <v>6</v>
      </c>
      <c r="P213" s="61" t="s">
        <v>565</v>
      </c>
      <c r="Q213" s="61" t="s">
        <v>564</v>
      </c>
      <c r="R213" s="61">
        <v>41.98028</v>
      </c>
      <c r="S213" s="61">
        <v>-87.908997900000003</v>
      </c>
      <c r="T213" s="61">
        <v>1390.9929999999999</v>
      </c>
      <c r="U213" s="61" t="s">
        <v>617</v>
      </c>
      <c r="V213" s="61" t="s">
        <v>569</v>
      </c>
      <c r="W213" s="61" cm="1">
        <f t="array" ref="W213">getDistance(I213,J213,R213,S213)*SA!$B$12</f>
        <v>1203.4659634467887</v>
      </c>
      <c r="X213" s="61"/>
      <c r="Y213" s="137">
        <f>Transportation_LCIA!C$61*($W213^Transportation_LCIA!C$60)+Transportation_LCIA!C$62</f>
        <v>0.21772846046617148</v>
      </c>
      <c r="Z213" s="137">
        <f>Transportation_LCIA!D$61*($W213^Transportation_LCIA!D$60)+Transportation_LCIA!D$62</f>
        <v>2.2142470940859469</v>
      </c>
      <c r="AA213" s="137">
        <f>Transportation_LCIA!E$61*($W213^Transportation_LCIA!E$60)+Transportation_LCIA!E$62</f>
        <v>1.0055281245420159E-3</v>
      </c>
      <c r="AB213" s="137">
        <f>Transportation_LCIA!F$61*($W213^Transportation_LCIA!F$60)+Transportation_LCIA!F$62</f>
        <v>0.21772846046617148</v>
      </c>
      <c r="AC213" s="137">
        <f>Transportation_LCIA!G$61*($W213^Transportation_LCIA!G$60)+Transportation_LCIA!G$62</f>
        <v>5.1799374019000491E-2</v>
      </c>
      <c r="AD213" s="137">
        <f>Transportation_LCIA!H$61*($W213^Transportation_LCIA!H$60)+Transportation_LCIA!H$62</f>
        <v>2.4634416995171114E-4</v>
      </c>
      <c r="AE213" s="137">
        <f>Transportation_LCIA!I$61*($W213^Transportation_LCIA!I$60)+Transportation_LCIA!I$62</f>
        <v>5.1562528918712568E-6</v>
      </c>
      <c r="AF213" s="137">
        <f>Transportation_LCIA!J$61*($W213^Transportation_LCIA!J$60)+Transportation_LCIA!J$62</f>
        <v>7.6271492112845521E-3</v>
      </c>
      <c r="AG213" s="137">
        <f>Transportation_LCIA!K$61*($W213^Transportation_LCIA!K$60)+Transportation_LCIA!K$62</f>
        <v>1.0918234035860491E-2</v>
      </c>
      <c r="AH213" s="137">
        <f>Transportation_LCIA!L$61*($W213^Transportation_LCIA!L$60)+Transportation_LCIA!L$62</f>
        <v>2.1191432370679968E-4</v>
      </c>
      <c r="AI213" s="137">
        <f>Transportation_LCIA!M$61*($W213^Transportation_LCIA!M$60)+Transportation_LCIA!M$62</f>
        <v>2.2680395572104655E-4</v>
      </c>
      <c r="AJ213" s="137">
        <f>Transportation_LCIA!N$61*($W213^Transportation_LCIA!N$60)+Transportation_LCIA!N$62</f>
        <v>8.8743738884339729E-4</v>
      </c>
      <c r="AK213" s="137">
        <f>Transportation_LCIA!O$61*($W213^Transportation_LCIA!O$60)+Transportation_LCIA!O$62</f>
        <v>5.4708076102495621E-5</v>
      </c>
      <c r="AL213" s="137">
        <f>Transportation_LCIA!P$61*($W213^Transportation_LCIA!P$60)+Transportation_LCIA!P$62</f>
        <v>2.647121982427294E-8</v>
      </c>
      <c r="AM213" s="137">
        <f>Transportation_LCIA!Q$61*($W213^Transportation_LCIA!Q$60)+Transportation_LCIA!Q$62</f>
        <v>8.4025368237848467E-5</v>
      </c>
      <c r="AN213" s="137">
        <f>Transportation_LCIA!R$61*($W213^Transportation_LCIA!R$60)+Transportation_LCIA!R$62</f>
        <v>2.4810392360756592E-4</v>
      </c>
      <c r="AO213" s="137">
        <f>Transportation_LCIA!S$61*($W213^Transportation_LCIA!S$60)+Transportation_LCIA!S$62</f>
        <v>3.7784816746894015E-6</v>
      </c>
      <c r="AP213" s="137">
        <f>Transportation_LCIA!T$61*($W213^Transportation_LCIA!T$60)+Transportation_LCIA!T$62</f>
        <v>3.7784816746894015E-6</v>
      </c>
      <c r="AQ213" s="137">
        <f>Transportation_LCIA!U$61*($W213^Transportation_LCIA!U$60)+Transportation_LCIA!U$62</f>
        <v>5.3084715123251445E-4</v>
      </c>
      <c r="AR213" s="137">
        <f>Transportation_LCIA!V$61*($W213^Transportation_LCIA!V$60)+Transportation_LCIA!V$62</f>
        <v>2.1853136585972262E-4</v>
      </c>
      <c r="AT213" s="137">
        <f>$W213*Y213+$L213*Summary_LCIA!H$32</f>
        <v>268.67324064470711</v>
      </c>
      <c r="AU213" s="137">
        <f>$W213*Z213+$L213*Summary_LCIA!Q$32</f>
        <v>2761.6816225602784</v>
      </c>
      <c r="AV213" s="137">
        <f>$W213*AA213+$L213*Summary_LCIA!R$32</f>
        <v>1.3130824155747995</v>
      </c>
      <c r="AW213" s="137">
        <f>$W213*AB213+$L213*Summary_LCIA!S$32</f>
        <v>268.58681196470712</v>
      </c>
      <c r="AX213" s="137">
        <f>$W213*AC213+$L213*Summary_LCIA!T$32</f>
        <v>64.487768159716978</v>
      </c>
      <c r="AY213" s="137">
        <f>$W213*AD213+$L213*Summary_LCIA!U$32</f>
        <v>0.64675717983043546</v>
      </c>
      <c r="AZ213" s="137">
        <f>$W213*AE213+$L213*Summary_LCIA!V$32</f>
        <v>7.1392934482911322E-3</v>
      </c>
      <c r="BA213" s="137">
        <f>$W213*AF213+$L213*Summary_LCIA!W$32</f>
        <v>10.684105407910979</v>
      </c>
      <c r="BB213" s="137">
        <f>$W213*AG213+$L213*Summary_LCIA!X$32</f>
        <v>13.585163163104365</v>
      </c>
      <c r="BC213" s="137">
        <f>$W213*AH213+$L213*Summary_LCIA!Y$32</f>
        <v>0.55972210374797826</v>
      </c>
      <c r="BD213" s="137">
        <f>$W213*AI213+$L213*Summary_LCIA!Z$32</f>
        <v>0.2737527310713721</v>
      </c>
      <c r="BE213" s="137">
        <f>$W213*AJ213+$L213*Summary_LCIA!AA$32</f>
        <v>1.5247039161631215</v>
      </c>
      <c r="BF213" s="137">
        <f>$W213*AK213+$L213*Summary_LCIA!AB$32</f>
        <v>6.5412580573010137E-2</v>
      </c>
      <c r="BG213" s="137">
        <f>$W213*AL213+$L213*Summary_LCIA!AC$32</f>
        <v>3.2813089805430364E-5</v>
      </c>
      <c r="BH213" s="137">
        <f>$W213*AM213+$L213*Summary_LCIA!AD$32</f>
        <v>0.1091591469003335</v>
      </c>
      <c r="BI213" s="137">
        <f>$W213*AN213+$L213*Summary_LCIA!AE$32</f>
        <v>0.31591201347930781</v>
      </c>
      <c r="BJ213" s="137">
        <f>$W213*AO213+$L213*Summary_LCIA!AF$32</f>
        <v>2.1078616768996115E-2</v>
      </c>
      <c r="BK213" s="137">
        <f>$W213*AP213+$L213*Summary_LCIA!AG$32</f>
        <v>5.5477544989961164E-3</v>
      </c>
      <c r="BL213" s="137">
        <f>$W213*AQ213+$L213*Summary_LCIA!AH$32</f>
        <v>0.80904667270102104</v>
      </c>
      <c r="BM213" s="137">
        <f>$W213*AR213+$L213*Summary_LCIA!AI$32</f>
        <v>0.28121058945771371</v>
      </c>
    </row>
    <row r="214" spans="1:65" x14ac:dyDescent="0.25">
      <c r="A214" s="149">
        <v>274</v>
      </c>
      <c r="B214" s="149">
        <v>6</v>
      </c>
      <c r="C214" s="61">
        <v>45.501688999999999</v>
      </c>
      <c r="D214" s="61">
        <v>-73.567256</v>
      </c>
      <c r="E214" s="61" t="s">
        <v>458</v>
      </c>
      <c r="F214" s="149">
        <v>124</v>
      </c>
      <c r="G214" s="61" t="s">
        <v>654</v>
      </c>
      <c r="H214" s="61" t="s">
        <v>655</v>
      </c>
      <c r="I214" s="61">
        <v>45.465685000000001</v>
      </c>
      <c r="J214" s="61">
        <v>-73.745480999999998</v>
      </c>
      <c r="K214" s="61">
        <v>15.92927869</v>
      </c>
      <c r="L214" s="61">
        <v>19.553999999999998</v>
      </c>
      <c r="M214" s="61" t="s">
        <v>617</v>
      </c>
      <c r="N214" s="149">
        <v>5</v>
      </c>
      <c r="O214" s="149">
        <v>6</v>
      </c>
      <c r="P214" s="61" t="s">
        <v>565</v>
      </c>
      <c r="Q214" s="61" t="s">
        <v>564</v>
      </c>
      <c r="R214" s="61">
        <v>41.98028</v>
      </c>
      <c r="S214" s="61">
        <v>-87.908997900000003</v>
      </c>
      <c r="T214" s="61">
        <v>1390.9929999999999</v>
      </c>
      <c r="U214" s="61" t="s">
        <v>617</v>
      </c>
      <c r="V214" s="61" t="s">
        <v>569</v>
      </c>
      <c r="W214" s="61" cm="1">
        <f t="array" ref="W214">getDistance(I214,J214,R214,S214)*SA!$B$12</f>
        <v>1203.4659634467887</v>
      </c>
      <c r="X214" s="61"/>
      <c r="Y214" s="137">
        <f>Transportation_LCIA!C$61*($W214^Transportation_LCIA!C$60)+Transportation_LCIA!C$62</f>
        <v>0.21772846046617148</v>
      </c>
      <c r="Z214" s="137">
        <f>Transportation_LCIA!D$61*($W214^Transportation_LCIA!D$60)+Transportation_LCIA!D$62</f>
        <v>2.2142470940859469</v>
      </c>
      <c r="AA214" s="137">
        <f>Transportation_LCIA!E$61*($W214^Transportation_LCIA!E$60)+Transportation_LCIA!E$62</f>
        <v>1.0055281245420159E-3</v>
      </c>
      <c r="AB214" s="137">
        <f>Transportation_LCIA!F$61*($W214^Transportation_LCIA!F$60)+Transportation_LCIA!F$62</f>
        <v>0.21772846046617148</v>
      </c>
      <c r="AC214" s="137">
        <f>Transportation_LCIA!G$61*($W214^Transportation_LCIA!G$60)+Transportation_LCIA!G$62</f>
        <v>5.1799374019000491E-2</v>
      </c>
      <c r="AD214" s="137">
        <f>Transportation_LCIA!H$61*($W214^Transportation_LCIA!H$60)+Transportation_LCIA!H$62</f>
        <v>2.4634416995171114E-4</v>
      </c>
      <c r="AE214" s="137">
        <f>Transportation_LCIA!I$61*($W214^Transportation_LCIA!I$60)+Transportation_LCIA!I$62</f>
        <v>5.1562528918712568E-6</v>
      </c>
      <c r="AF214" s="137">
        <f>Transportation_LCIA!J$61*($W214^Transportation_LCIA!J$60)+Transportation_LCIA!J$62</f>
        <v>7.6271492112845521E-3</v>
      </c>
      <c r="AG214" s="137">
        <f>Transportation_LCIA!K$61*($W214^Transportation_LCIA!K$60)+Transportation_LCIA!K$62</f>
        <v>1.0918234035860491E-2</v>
      </c>
      <c r="AH214" s="137">
        <f>Transportation_LCIA!L$61*($W214^Transportation_LCIA!L$60)+Transportation_LCIA!L$62</f>
        <v>2.1191432370679968E-4</v>
      </c>
      <c r="AI214" s="137">
        <f>Transportation_LCIA!M$61*($W214^Transportation_LCIA!M$60)+Transportation_LCIA!M$62</f>
        <v>2.2680395572104655E-4</v>
      </c>
      <c r="AJ214" s="137">
        <f>Transportation_LCIA!N$61*($W214^Transportation_LCIA!N$60)+Transportation_LCIA!N$62</f>
        <v>8.8743738884339729E-4</v>
      </c>
      <c r="AK214" s="137">
        <f>Transportation_LCIA!O$61*($W214^Transportation_LCIA!O$60)+Transportation_LCIA!O$62</f>
        <v>5.4708076102495621E-5</v>
      </c>
      <c r="AL214" s="137">
        <f>Transportation_LCIA!P$61*($W214^Transportation_LCIA!P$60)+Transportation_LCIA!P$62</f>
        <v>2.647121982427294E-8</v>
      </c>
      <c r="AM214" s="137">
        <f>Transportation_LCIA!Q$61*($W214^Transportation_LCIA!Q$60)+Transportation_LCIA!Q$62</f>
        <v>8.4025368237848467E-5</v>
      </c>
      <c r="AN214" s="137">
        <f>Transportation_LCIA!R$61*($W214^Transportation_LCIA!R$60)+Transportation_LCIA!R$62</f>
        <v>2.4810392360756592E-4</v>
      </c>
      <c r="AO214" s="137">
        <f>Transportation_LCIA!S$61*($W214^Transportation_LCIA!S$60)+Transportation_LCIA!S$62</f>
        <v>3.7784816746894015E-6</v>
      </c>
      <c r="AP214" s="137">
        <f>Transportation_LCIA!T$61*($W214^Transportation_LCIA!T$60)+Transportation_LCIA!T$62</f>
        <v>3.7784816746894015E-6</v>
      </c>
      <c r="AQ214" s="137">
        <f>Transportation_LCIA!U$61*($W214^Transportation_LCIA!U$60)+Transportation_LCIA!U$62</f>
        <v>5.3084715123251445E-4</v>
      </c>
      <c r="AR214" s="137">
        <f>Transportation_LCIA!V$61*($W214^Transportation_LCIA!V$60)+Transportation_LCIA!V$62</f>
        <v>2.1853136585972262E-4</v>
      </c>
      <c r="AT214" s="137">
        <f>$W214*Y214+$L214*Summary_LCIA!H$32</f>
        <v>268.67324064470711</v>
      </c>
      <c r="AU214" s="137">
        <f>$W214*Z214+$L214*Summary_LCIA!Q$32</f>
        <v>2761.6816225602784</v>
      </c>
      <c r="AV214" s="137">
        <f>$W214*AA214+$L214*Summary_LCIA!R$32</f>
        <v>1.3130824155747995</v>
      </c>
      <c r="AW214" s="137">
        <f>$W214*AB214+$L214*Summary_LCIA!S$32</f>
        <v>268.58681196470712</v>
      </c>
      <c r="AX214" s="137">
        <f>$W214*AC214+$L214*Summary_LCIA!T$32</f>
        <v>64.487768159716978</v>
      </c>
      <c r="AY214" s="137">
        <f>$W214*AD214+$L214*Summary_LCIA!U$32</f>
        <v>0.64675717983043546</v>
      </c>
      <c r="AZ214" s="137">
        <f>$W214*AE214+$L214*Summary_LCIA!V$32</f>
        <v>7.1392934482911322E-3</v>
      </c>
      <c r="BA214" s="137">
        <f>$W214*AF214+$L214*Summary_LCIA!W$32</f>
        <v>10.684105407910979</v>
      </c>
      <c r="BB214" s="137">
        <f>$W214*AG214+$L214*Summary_LCIA!X$32</f>
        <v>13.585163163104365</v>
      </c>
      <c r="BC214" s="137">
        <f>$W214*AH214+$L214*Summary_LCIA!Y$32</f>
        <v>0.55972210374797826</v>
      </c>
      <c r="BD214" s="137">
        <f>$W214*AI214+$L214*Summary_LCIA!Z$32</f>
        <v>0.2737527310713721</v>
      </c>
      <c r="BE214" s="137">
        <f>$W214*AJ214+$L214*Summary_LCIA!AA$32</f>
        <v>1.5247039161631215</v>
      </c>
      <c r="BF214" s="137">
        <f>$W214*AK214+$L214*Summary_LCIA!AB$32</f>
        <v>6.5412580573010137E-2</v>
      </c>
      <c r="BG214" s="137">
        <f>$W214*AL214+$L214*Summary_LCIA!AC$32</f>
        <v>3.2813089805430364E-5</v>
      </c>
      <c r="BH214" s="137">
        <f>$W214*AM214+$L214*Summary_LCIA!AD$32</f>
        <v>0.1091591469003335</v>
      </c>
      <c r="BI214" s="137">
        <f>$W214*AN214+$L214*Summary_LCIA!AE$32</f>
        <v>0.31591201347930781</v>
      </c>
      <c r="BJ214" s="137">
        <f>$W214*AO214+$L214*Summary_LCIA!AF$32</f>
        <v>2.1078616768996115E-2</v>
      </c>
      <c r="BK214" s="137">
        <f>$W214*AP214+$L214*Summary_LCIA!AG$32</f>
        <v>5.5477544989961164E-3</v>
      </c>
      <c r="BL214" s="137">
        <f>$W214*AQ214+$L214*Summary_LCIA!AH$32</f>
        <v>0.80904667270102104</v>
      </c>
      <c r="BM214" s="137">
        <f>$W214*AR214+$L214*Summary_LCIA!AI$32</f>
        <v>0.28121058945771371</v>
      </c>
    </row>
    <row r="215" spans="1:65" x14ac:dyDescent="0.25">
      <c r="A215" s="149">
        <v>275</v>
      </c>
      <c r="B215" s="149">
        <v>6</v>
      </c>
      <c r="C215" s="61">
        <v>45.501688999999999</v>
      </c>
      <c r="D215" s="61">
        <v>-73.567256</v>
      </c>
      <c r="E215" s="61" t="s">
        <v>458</v>
      </c>
      <c r="F215" s="149">
        <v>124</v>
      </c>
      <c r="G215" s="61" t="s">
        <v>654</v>
      </c>
      <c r="H215" s="61" t="s">
        <v>655</v>
      </c>
      <c r="I215" s="61">
        <v>45.465685000000001</v>
      </c>
      <c r="J215" s="61">
        <v>-73.745480999999998</v>
      </c>
      <c r="K215" s="61">
        <v>15.92927869</v>
      </c>
      <c r="L215" s="61">
        <v>19.553999999999998</v>
      </c>
      <c r="M215" s="61" t="s">
        <v>617</v>
      </c>
      <c r="N215" s="149">
        <v>5</v>
      </c>
      <c r="O215" s="149">
        <v>6</v>
      </c>
      <c r="P215" s="61" t="s">
        <v>565</v>
      </c>
      <c r="Q215" s="61" t="s">
        <v>564</v>
      </c>
      <c r="R215" s="61">
        <v>41.98028</v>
      </c>
      <c r="S215" s="61">
        <v>-87.908997900000003</v>
      </c>
      <c r="T215" s="61">
        <v>1390.9929999999999</v>
      </c>
      <c r="U215" s="61" t="s">
        <v>617</v>
      </c>
      <c r="V215" s="61" t="s">
        <v>569</v>
      </c>
      <c r="W215" s="61" cm="1">
        <f t="array" ref="W215">getDistance(I215,J215,R215,S215)*SA!$B$12</f>
        <v>1203.4659634467887</v>
      </c>
      <c r="X215" s="61"/>
      <c r="Y215" s="137">
        <f>Transportation_LCIA!C$61*($W215^Transportation_LCIA!C$60)+Transportation_LCIA!C$62</f>
        <v>0.21772846046617148</v>
      </c>
      <c r="Z215" s="137">
        <f>Transportation_LCIA!D$61*($W215^Transportation_LCIA!D$60)+Transportation_LCIA!D$62</f>
        <v>2.2142470940859469</v>
      </c>
      <c r="AA215" s="137">
        <f>Transportation_LCIA!E$61*($W215^Transportation_LCIA!E$60)+Transportation_LCIA!E$62</f>
        <v>1.0055281245420159E-3</v>
      </c>
      <c r="AB215" s="137">
        <f>Transportation_LCIA!F$61*($W215^Transportation_LCIA!F$60)+Transportation_LCIA!F$62</f>
        <v>0.21772846046617148</v>
      </c>
      <c r="AC215" s="137">
        <f>Transportation_LCIA!G$61*($W215^Transportation_LCIA!G$60)+Transportation_LCIA!G$62</f>
        <v>5.1799374019000491E-2</v>
      </c>
      <c r="AD215" s="137">
        <f>Transportation_LCIA!H$61*($W215^Transportation_LCIA!H$60)+Transportation_LCIA!H$62</f>
        <v>2.4634416995171114E-4</v>
      </c>
      <c r="AE215" s="137">
        <f>Transportation_LCIA!I$61*($W215^Transportation_LCIA!I$60)+Transportation_LCIA!I$62</f>
        <v>5.1562528918712568E-6</v>
      </c>
      <c r="AF215" s="137">
        <f>Transportation_LCIA!J$61*($W215^Transportation_LCIA!J$60)+Transportation_LCIA!J$62</f>
        <v>7.6271492112845521E-3</v>
      </c>
      <c r="AG215" s="137">
        <f>Transportation_LCIA!K$61*($W215^Transportation_LCIA!K$60)+Transportation_LCIA!K$62</f>
        <v>1.0918234035860491E-2</v>
      </c>
      <c r="AH215" s="137">
        <f>Transportation_LCIA!L$61*($W215^Transportation_LCIA!L$60)+Transportation_LCIA!L$62</f>
        <v>2.1191432370679968E-4</v>
      </c>
      <c r="AI215" s="137">
        <f>Transportation_LCIA!M$61*($W215^Transportation_LCIA!M$60)+Transportation_LCIA!M$62</f>
        <v>2.2680395572104655E-4</v>
      </c>
      <c r="AJ215" s="137">
        <f>Transportation_LCIA!N$61*($W215^Transportation_LCIA!N$60)+Transportation_LCIA!N$62</f>
        <v>8.8743738884339729E-4</v>
      </c>
      <c r="AK215" s="137">
        <f>Transportation_LCIA!O$61*($W215^Transportation_LCIA!O$60)+Transportation_LCIA!O$62</f>
        <v>5.4708076102495621E-5</v>
      </c>
      <c r="AL215" s="137">
        <f>Transportation_LCIA!P$61*($W215^Transportation_LCIA!P$60)+Transportation_LCIA!P$62</f>
        <v>2.647121982427294E-8</v>
      </c>
      <c r="AM215" s="137">
        <f>Transportation_LCIA!Q$61*($W215^Transportation_LCIA!Q$60)+Transportation_LCIA!Q$62</f>
        <v>8.4025368237848467E-5</v>
      </c>
      <c r="AN215" s="137">
        <f>Transportation_LCIA!R$61*($W215^Transportation_LCIA!R$60)+Transportation_LCIA!R$62</f>
        <v>2.4810392360756592E-4</v>
      </c>
      <c r="AO215" s="137">
        <f>Transportation_LCIA!S$61*($W215^Transportation_LCIA!S$60)+Transportation_LCIA!S$62</f>
        <v>3.7784816746894015E-6</v>
      </c>
      <c r="AP215" s="137">
        <f>Transportation_LCIA!T$61*($W215^Transportation_LCIA!T$60)+Transportation_LCIA!T$62</f>
        <v>3.7784816746894015E-6</v>
      </c>
      <c r="AQ215" s="137">
        <f>Transportation_LCIA!U$61*($W215^Transportation_LCIA!U$60)+Transportation_LCIA!U$62</f>
        <v>5.3084715123251445E-4</v>
      </c>
      <c r="AR215" s="137">
        <f>Transportation_LCIA!V$61*($W215^Transportation_LCIA!V$60)+Transportation_LCIA!V$62</f>
        <v>2.1853136585972262E-4</v>
      </c>
      <c r="AT215" s="137">
        <f>$W215*Y215+$L215*Summary_LCIA!H$32</f>
        <v>268.67324064470711</v>
      </c>
      <c r="AU215" s="137">
        <f>$W215*Z215+$L215*Summary_LCIA!Q$32</f>
        <v>2761.6816225602784</v>
      </c>
      <c r="AV215" s="137">
        <f>$W215*AA215+$L215*Summary_LCIA!R$32</f>
        <v>1.3130824155747995</v>
      </c>
      <c r="AW215" s="137">
        <f>$W215*AB215+$L215*Summary_LCIA!S$32</f>
        <v>268.58681196470712</v>
      </c>
      <c r="AX215" s="137">
        <f>$W215*AC215+$L215*Summary_LCIA!T$32</f>
        <v>64.487768159716978</v>
      </c>
      <c r="AY215" s="137">
        <f>$W215*AD215+$L215*Summary_LCIA!U$32</f>
        <v>0.64675717983043546</v>
      </c>
      <c r="AZ215" s="137">
        <f>$W215*AE215+$L215*Summary_LCIA!V$32</f>
        <v>7.1392934482911322E-3</v>
      </c>
      <c r="BA215" s="137">
        <f>$W215*AF215+$L215*Summary_LCIA!W$32</f>
        <v>10.684105407910979</v>
      </c>
      <c r="BB215" s="137">
        <f>$W215*AG215+$L215*Summary_LCIA!X$32</f>
        <v>13.585163163104365</v>
      </c>
      <c r="BC215" s="137">
        <f>$W215*AH215+$L215*Summary_LCIA!Y$32</f>
        <v>0.55972210374797826</v>
      </c>
      <c r="BD215" s="137">
        <f>$W215*AI215+$L215*Summary_LCIA!Z$32</f>
        <v>0.2737527310713721</v>
      </c>
      <c r="BE215" s="137">
        <f>$W215*AJ215+$L215*Summary_LCIA!AA$32</f>
        <v>1.5247039161631215</v>
      </c>
      <c r="BF215" s="137">
        <f>$W215*AK215+$L215*Summary_LCIA!AB$32</f>
        <v>6.5412580573010137E-2</v>
      </c>
      <c r="BG215" s="137">
        <f>$W215*AL215+$L215*Summary_LCIA!AC$32</f>
        <v>3.2813089805430364E-5</v>
      </c>
      <c r="BH215" s="137">
        <f>$W215*AM215+$L215*Summary_LCIA!AD$32</f>
        <v>0.1091591469003335</v>
      </c>
      <c r="BI215" s="137">
        <f>$W215*AN215+$L215*Summary_LCIA!AE$32</f>
        <v>0.31591201347930781</v>
      </c>
      <c r="BJ215" s="137">
        <f>$W215*AO215+$L215*Summary_LCIA!AF$32</f>
        <v>2.1078616768996115E-2</v>
      </c>
      <c r="BK215" s="137">
        <f>$W215*AP215+$L215*Summary_LCIA!AG$32</f>
        <v>5.5477544989961164E-3</v>
      </c>
      <c r="BL215" s="137">
        <f>$W215*AQ215+$L215*Summary_LCIA!AH$32</f>
        <v>0.80904667270102104</v>
      </c>
      <c r="BM215" s="137">
        <f>$W215*AR215+$L215*Summary_LCIA!AI$32</f>
        <v>0.28121058945771371</v>
      </c>
    </row>
    <row r="216" spans="1:65" x14ac:dyDescent="0.25">
      <c r="A216" s="149">
        <v>276</v>
      </c>
      <c r="B216" s="149">
        <v>6</v>
      </c>
      <c r="C216" s="61">
        <v>45.501688999999999</v>
      </c>
      <c r="D216" s="61">
        <v>-73.567256</v>
      </c>
      <c r="E216" s="61" t="s">
        <v>458</v>
      </c>
      <c r="F216" s="149">
        <v>124</v>
      </c>
      <c r="G216" s="61" t="s">
        <v>654</v>
      </c>
      <c r="H216" s="61" t="s">
        <v>655</v>
      </c>
      <c r="I216" s="61">
        <v>45.465685000000001</v>
      </c>
      <c r="J216" s="61">
        <v>-73.745480999999998</v>
      </c>
      <c r="K216" s="61">
        <v>15.92927869</v>
      </c>
      <c r="L216" s="61">
        <v>19.553999999999998</v>
      </c>
      <c r="M216" s="61" t="s">
        <v>617</v>
      </c>
      <c r="N216" s="149">
        <v>5</v>
      </c>
      <c r="O216" s="149">
        <v>6</v>
      </c>
      <c r="P216" s="61" t="s">
        <v>565</v>
      </c>
      <c r="Q216" s="61" t="s">
        <v>564</v>
      </c>
      <c r="R216" s="61">
        <v>41.98028</v>
      </c>
      <c r="S216" s="61">
        <v>-87.908997900000003</v>
      </c>
      <c r="T216" s="61">
        <v>1390.9929999999999</v>
      </c>
      <c r="U216" s="61" t="s">
        <v>617</v>
      </c>
      <c r="V216" s="61" t="s">
        <v>569</v>
      </c>
      <c r="W216" s="61" cm="1">
        <f t="array" ref="W216">getDistance(I216,J216,R216,S216)*SA!$B$12</f>
        <v>1203.4659634467887</v>
      </c>
      <c r="X216" s="61"/>
      <c r="Y216" s="137">
        <f>Transportation_LCIA!C$61*($W216^Transportation_LCIA!C$60)+Transportation_LCIA!C$62</f>
        <v>0.21772846046617148</v>
      </c>
      <c r="Z216" s="137">
        <f>Transportation_LCIA!D$61*($W216^Transportation_LCIA!D$60)+Transportation_LCIA!D$62</f>
        <v>2.2142470940859469</v>
      </c>
      <c r="AA216" s="137">
        <f>Transportation_LCIA!E$61*($W216^Transportation_LCIA!E$60)+Transportation_LCIA!E$62</f>
        <v>1.0055281245420159E-3</v>
      </c>
      <c r="AB216" s="137">
        <f>Transportation_LCIA!F$61*($W216^Transportation_LCIA!F$60)+Transportation_LCIA!F$62</f>
        <v>0.21772846046617148</v>
      </c>
      <c r="AC216" s="137">
        <f>Transportation_LCIA!G$61*($W216^Transportation_LCIA!G$60)+Transportation_LCIA!G$62</f>
        <v>5.1799374019000491E-2</v>
      </c>
      <c r="AD216" s="137">
        <f>Transportation_LCIA!H$61*($W216^Transportation_LCIA!H$60)+Transportation_LCIA!H$62</f>
        <v>2.4634416995171114E-4</v>
      </c>
      <c r="AE216" s="137">
        <f>Transportation_LCIA!I$61*($W216^Transportation_LCIA!I$60)+Transportation_LCIA!I$62</f>
        <v>5.1562528918712568E-6</v>
      </c>
      <c r="AF216" s="137">
        <f>Transportation_LCIA!J$61*($W216^Transportation_LCIA!J$60)+Transportation_LCIA!J$62</f>
        <v>7.6271492112845521E-3</v>
      </c>
      <c r="AG216" s="137">
        <f>Transportation_LCIA!K$61*($W216^Transportation_LCIA!K$60)+Transportation_LCIA!K$62</f>
        <v>1.0918234035860491E-2</v>
      </c>
      <c r="AH216" s="137">
        <f>Transportation_LCIA!L$61*($W216^Transportation_LCIA!L$60)+Transportation_LCIA!L$62</f>
        <v>2.1191432370679968E-4</v>
      </c>
      <c r="AI216" s="137">
        <f>Transportation_LCIA!M$61*($W216^Transportation_LCIA!M$60)+Transportation_LCIA!M$62</f>
        <v>2.2680395572104655E-4</v>
      </c>
      <c r="AJ216" s="137">
        <f>Transportation_LCIA!N$61*($W216^Transportation_LCIA!N$60)+Transportation_LCIA!N$62</f>
        <v>8.8743738884339729E-4</v>
      </c>
      <c r="AK216" s="137">
        <f>Transportation_LCIA!O$61*($W216^Transportation_LCIA!O$60)+Transportation_LCIA!O$62</f>
        <v>5.4708076102495621E-5</v>
      </c>
      <c r="AL216" s="137">
        <f>Transportation_LCIA!P$61*($W216^Transportation_LCIA!P$60)+Transportation_LCIA!P$62</f>
        <v>2.647121982427294E-8</v>
      </c>
      <c r="AM216" s="137">
        <f>Transportation_LCIA!Q$61*($W216^Transportation_LCIA!Q$60)+Transportation_LCIA!Q$62</f>
        <v>8.4025368237848467E-5</v>
      </c>
      <c r="AN216" s="137">
        <f>Transportation_LCIA!R$61*($W216^Transportation_LCIA!R$60)+Transportation_LCIA!R$62</f>
        <v>2.4810392360756592E-4</v>
      </c>
      <c r="AO216" s="137">
        <f>Transportation_LCIA!S$61*($W216^Transportation_LCIA!S$60)+Transportation_LCIA!S$62</f>
        <v>3.7784816746894015E-6</v>
      </c>
      <c r="AP216" s="137">
        <f>Transportation_LCIA!T$61*($W216^Transportation_LCIA!T$60)+Transportation_LCIA!T$62</f>
        <v>3.7784816746894015E-6</v>
      </c>
      <c r="AQ216" s="137">
        <f>Transportation_LCIA!U$61*($W216^Transportation_LCIA!U$60)+Transportation_LCIA!U$62</f>
        <v>5.3084715123251445E-4</v>
      </c>
      <c r="AR216" s="137">
        <f>Transportation_LCIA!V$61*($W216^Transportation_LCIA!V$60)+Transportation_LCIA!V$62</f>
        <v>2.1853136585972262E-4</v>
      </c>
      <c r="AT216" s="137">
        <f>$W216*Y216+$L216*Summary_LCIA!H$32</f>
        <v>268.67324064470711</v>
      </c>
      <c r="AU216" s="137">
        <f>$W216*Z216+$L216*Summary_LCIA!Q$32</f>
        <v>2761.6816225602784</v>
      </c>
      <c r="AV216" s="137">
        <f>$W216*AA216+$L216*Summary_LCIA!R$32</f>
        <v>1.3130824155747995</v>
      </c>
      <c r="AW216" s="137">
        <f>$W216*AB216+$L216*Summary_LCIA!S$32</f>
        <v>268.58681196470712</v>
      </c>
      <c r="AX216" s="137">
        <f>$W216*AC216+$L216*Summary_LCIA!T$32</f>
        <v>64.487768159716978</v>
      </c>
      <c r="AY216" s="137">
        <f>$W216*AD216+$L216*Summary_LCIA!U$32</f>
        <v>0.64675717983043546</v>
      </c>
      <c r="AZ216" s="137">
        <f>$W216*AE216+$L216*Summary_LCIA!V$32</f>
        <v>7.1392934482911322E-3</v>
      </c>
      <c r="BA216" s="137">
        <f>$W216*AF216+$L216*Summary_LCIA!W$32</f>
        <v>10.684105407910979</v>
      </c>
      <c r="BB216" s="137">
        <f>$W216*AG216+$L216*Summary_LCIA!X$32</f>
        <v>13.585163163104365</v>
      </c>
      <c r="BC216" s="137">
        <f>$W216*AH216+$L216*Summary_LCIA!Y$32</f>
        <v>0.55972210374797826</v>
      </c>
      <c r="BD216" s="137">
        <f>$W216*AI216+$L216*Summary_LCIA!Z$32</f>
        <v>0.2737527310713721</v>
      </c>
      <c r="BE216" s="137">
        <f>$W216*AJ216+$L216*Summary_LCIA!AA$32</f>
        <v>1.5247039161631215</v>
      </c>
      <c r="BF216" s="137">
        <f>$W216*AK216+$L216*Summary_LCIA!AB$32</f>
        <v>6.5412580573010137E-2</v>
      </c>
      <c r="BG216" s="137">
        <f>$W216*AL216+$L216*Summary_LCIA!AC$32</f>
        <v>3.2813089805430364E-5</v>
      </c>
      <c r="BH216" s="137">
        <f>$W216*AM216+$L216*Summary_LCIA!AD$32</f>
        <v>0.1091591469003335</v>
      </c>
      <c r="BI216" s="137">
        <f>$W216*AN216+$L216*Summary_LCIA!AE$32</f>
        <v>0.31591201347930781</v>
      </c>
      <c r="BJ216" s="137">
        <f>$W216*AO216+$L216*Summary_LCIA!AF$32</f>
        <v>2.1078616768996115E-2</v>
      </c>
      <c r="BK216" s="137">
        <f>$W216*AP216+$L216*Summary_LCIA!AG$32</f>
        <v>5.5477544989961164E-3</v>
      </c>
      <c r="BL216" s="137">
        <f>$W216*AQ216+$L216*Summary_LCIA!AH$32</f>
        <v>0.80904667270102104</v>
      </c>
      <c r="BM216" s="137">
        <f>$W216*AR216+$L216*Summary_LCIA!AI$32</f>
        <v>0.28121058945771371</v>
      </c>
    </row>
    <row r="217" spans="1:65" x14ac:dyDescent="0.25">
      <c r="A217" s="149">
        <v>277</v>
      </c>
      <c r="B217" s="149">
        <v>6</v>
      </c>
      <c r="C217" s="61">
        <v>45.501688999999999</v>
      </c>
      <c r="D217" s="61">
        <v>-73.567256</v>
      </c>
      <c r="E217" s="61" t="s">
        <v>458</v>
      </c>
      <c r="F217" s="149">
        <v>124</v>
      </c>
      <c r="G217" s="61" t="s">
        <v>654</v>
      </c>
      <c r="H217" s="61" t="s">
        <v>655</v>
      </c>
      <c r="I217" s="61">
        <v>45.465685000000001</v>
      </c>
      <c r="J217" s="61">
        <v>-73.745480999999998</v>
      </c>
      <c r="K217" s="61">
        <v>15.92927869</v>
      </c>
      <c r="L217" s="61">
        <v>19.553999999999998</v>
      </c>
      <c r="M217" s="61" t="s">
        <v>617</v>
      </c>
      <c r="N217" s="149">
        <v>5</v>
      </c>
      <c r="O217" s="149">
        <v>6</v>
      </c>
      <c r="P217" s="61" t="s">
        <v>565</v>
      </c>
      <c r="Q217" s="61" t="s">
        <v>564</v>
      </c>
      <c r="R217" s="61">
        <v>41.98028</v>
      </c>
      <c r="S217" s="61">
        <v>-87.908997900000003</v>
      </c>
      <c r="T217" s="61">
        <v>1390.9929999999999</v>
      </c>
      <c r="U217" s="61" t="s">
        <v>617</v>
      </c>
      <c r="V217" s="61" t="s">
        <v>569</v>
      </c>
      <c r="W217" s="61" cm="1">
        <f t="array" ref="W217">getDistance(I217,J217,R217,S217)*SA!$B$12</f>
        <v>1203.4659634467887</v>
      </c>
      <c r="X217" s="61"/>
      <c r="Y217" s="137">
        <f>Transportation_LCIA!C$61*($W217^Transportation_LCIA!C$60)+Transportation_LCIA!C$62</f>
        <v>0.21772846046617148</v>
      </c>
      <c r="Z217" s="137">
        <f>Transportation_LCIA!D$61*($W217^Transportation_LCIA!D$60)+Transportation_LCIA!D$62</f>
        <v>2.2142470940859469</v>
      </c>
      <c r="AA217" s="137">
        <f>Transportation_LCIA!E$61*($W217^Transportation_LCIA!E$60)+Transportation_LCIA!E$62</f>
        <v>1.0055281245420159E-3</v>
      </c>
      <c r="AB217" s="137">
        <f>Transportation_LCIA!F$61*($W217^Transportation_LCIA!F$60)+Transportation_LCIA!F$62</f>
        <v>0.21772846046617148</v>
      </c>
      <c r="AC217" s="137">
        <f>Transportation_LCIA!G$61*($W217^Transportation_LCIA!G$60)+Transportation_LCIA!G$62</f>
        <v>5.1799374019000491E-2</v>
      </c>
      <c r="AD217" s="137">
        <f>Transportation_LCIA!H$61*($W217^Transportation_LCIA!H$60)+Transportation_LCIA!H$62</f>
        <v>2.4634416995171114E-4</v>
      </c>
      <c r="AE217" s="137">
        <f>Transportation_LCIA!I$61*($W217^Transportation_LCIA!I$60)+Transportation_LCIA!I$62</f>
        <v>5.1562528918712568E-6</v>
      </c>
      <c r="AF217" s="137">
        <f>Transportation_LCIA!J$61*($W217^Transportation_LCIA!J$60)+Transportation_LCIA!J$62</f>
        <v>7.6271492112845521E-3</v>
      </c>
      <c r="AG217" s="137">
        <f>Transportation_LCIA!K$61*($W217^Transportation_LCIA!K$60)+Transportation_LCIA!K$62</f>
        <v>1.0918234035860491E-2</v>
      </c>
      <c r="AH217" s="137">
        <f>Transportation_LCIA!L$61*($W217^Transportation_LCIA!L$60)+Transportation_LCIA!L$62</f>
        <v>2.1191432370679968E-4</v>
      </c>
      <c r="AI217" s="137">
        <f>Transportation_LCIA!M$61*($W217^Transportation_LCIA!M$60)+Transportation_LCIA!M$62</f>
        <v>2.2680395572104655E-4</v>
      </c>
      <c r="AJ217" s="137">
        <f>Transportation_LCIA!N$61*($W217^Transportation_LCIA!N$60)+Transportation_LCIA!N$62</f>
        <v>8.8743738884339729E-4</v>
      </c>
      <c r="AK217" s="137">
        <f>Transportation_LCIA!O$61*($W217^Transportation_LCIA!O$60)+Transportation_LCIA!O$62</f>
        <v>5.4708076102495621E-5</v>
      </c>
      <c r="AL217" s="137">
        <f>Transportation_LCIA!P$61*($W217^Transportation_LCIA!P$60)+Transportation_LCIA!P$62</f>
        <v>2.647121982427294E-8</v>
      </c>
      <c r="AM217" s="137">
        <f>Transportation_LCIA!Q$61*($W217^Transportation_LCIA!Q$60)+Transportation_LCIA!Q$62</f>
        <v>8.4025368237848467E-5</v>
      </c>
      <c r="AN217" s="137">
        <f>Transportation_LCIA!R$61*($W217^Transportation_LCIA!R$60)+Transportation_LCIA!R$62</f>
        <v>2.4810392360756592E-4</v>
      </c>
      <c r="AO217" s="137">
        <f>Transportation_LCIA!S$61*($W217^Transportation_LCIA!S$60)+Transportation_LCIA!S$62</f>
        <v>3.7784816746894015E-6</v>
      </c>
      <c r="AP217" s="137">
        <f>Transportation_LCIA!T$61*($W217^Transportation_LCIA!T$60)+Transportation_LCIA!T$62</f>
        <v>3.7784816746894015E-6</v>
      </c>
      <c r="AQ217" s="137">
        <f>Transportation_LCIA!U$61*($W217^Transportation_LCIA!U$60)+Transportation_LCIA!U$62</f>
        <v>5.3084715123251445E-4</v>
      </c>
      <c r="AR217" s="137">
        <f>Transportation_LCIA!V$61*($W217^Transportation_LCIA!V$60)+Transportation_LCIA!V$62</f>
        <v>2.1853136585972262E-4</v>
      </c>
      <c r="AT217" s="137">
        <f>$W217*Y217+$L217*Summary_LCIA!H$32</f>
        <v>268.67324064470711</v>
      </c>
      <c r="AU217" s="137">
        <f>$W217*Z217+$L217*Summary_LCIA!Q$32</f>
        <v>2761.6816225602784</v>
      </c>
      <c r="AV217" s="137">
        <f>$W217*AA217+$L217*Summary_LCIA!R$32</f>
        <v>1.3130824155747995</v>
      </c>
      <c r="AW217" s="137">
        <f>$W217*AB217+$L217*Summary_LCIA!S$32</f>
        <v>268.58681196470712</v>
      </c>
      <c r="AX217" s="137">
        <f>$W217*AC217+$L217*Summary_LCIA!T$32</f>
        <v>64.487768159716978</v>
      </c>
      <c r="AY217" s="137">
        <f>$W217*AD217+$L217*Summary_LCIA!U$32</f>
        <v>0.64675717983043546</v>
      </c>
      <c r="AZ217" s="137">
        <f>$W217*AE217+$L217*Summary_LCIA!V$32</f>
        <v>7.1392934482911322E-3</v>
      </c>
      <c r="BA217" s="137">
        <f>$W217*AF217+$L217*Summary_LCIA!W$32</f>
        <v>10.684105407910979</v>
      </c>
      <c r="BB217" s="137">
        <f>$W217*AG217+$L217*Summary_LCIA!X$32</f>
        <v>13.585163163104365</v>
      </c>
      <c r="BC217" s="137">
        <f>$W217*AH217+$L217*Summary_LCIA!Y$32</f>
        <v>0.55972210374797826</v>
      </c>
      <c r="BD217" s="137">
        <f>$W217*AI217+$L217*Summary_LCIA!Z$32</f>
        <v>0.2737527310713721</v>
      </c>
      <c r="BE217" s="137">
        <f>$W217*AJ217+$L217*Summary_LCIA!AA$32</f>
        <v>1.5247039161631215</v>
      </c>
      <c r="BF217" s="137">
        <f>$W217*AK217+$L217*Summary_LCIA!AB$32</f>
        <v>6.5412580573010137E-2</v>
      </c>
      <c r="BG217" s="137">
        <f>$W217*AL217+$L217*Summary_LCIA!AC$32</f>
        <v>3.2813089805430364E-5</v>
      </c>
      <c r="BH217" s="137">
        <f>$W217*AM217+$L217*Summary_LCIA!AD$32</f>
        <v>0.1091591469003335</v>
      </c>
      <c r="BI217" s="137">
        <f>$W217*AN217+$L217*Summary_LCIA!AE$32</f>
        <v>0.31591201347930781</v>
      </c>
      <c r="BJ217" s="137">
        <f>$W217*AO217+$L217*Summary_LCIA!AF$32</f>
        <v>2.1078616768996115E-2</v>
      </c>
      <c r="BK217" s="137">
        <f>$W217*AP217+$L217*Summary_LCIA!AG$32</f>
        <v>5.5477544989961164E-3</v>
      </c>
      <c r="BL217" s="137">
        <f>$W217*AQ217+$L217*Summary_LCIA!AH$32</f>
        <v>0.80904667270102104</v>
      </c>
      <c r="BM217" s="137">
        <f>$W217*AR217+$L217*Summary_LCIA!AI$32</f>
        <v>0.28121058945771371</v>
      </c>
    </row>
    <row r="218" spans="1:65" x14ac:dyDescent="0.25">
      <c r="A218" s="149">
        <v>278</v>
      </c>
      <c r="B218" s="149">
        <v>6</v>
      </c>
      <c r="C218" s="61">
        <v>45.501688999999999</v>
      </c>
      <c r="D218" s="61">
        <v>-73.567256</v>
      </c>
      <c r="E218" s="61" t="s">
        <v>458</v>
      </c>
      <c r="F218" s="149">
        <v>124</v>
      </c>
      <c r="G218" s="61" t="s">
        <v>654</v>
      </c>
      <c r="H218" s="61" t="s">
        <v>655</v>
      </c>
      <c r="I218" s="61">
        <v>45.465685000000001</v>
      </c>
      <c r="J218" s="61">
        <v>-73.745480999999998</v>
      </c>
      <c r="K218" s="61">
        <v>15.92927869</v>
      </c>
      <c r="L218" s="61">
        <v>19.553999999999998</v>
      </c>
      <c r="M218" s="61" t="s">
        <v>617</v>
      </c>
      <c r="N218" s="149">
        <v>5</v>
      </c>
      <c r="O218" s="149">
        <v>6</v>
      </c>
      <c r="P218" s="61" t="s">
        <v>565</v>
      </c>
      <c r="Q218" s="61" t="s">
        <v>564</v>
      </c>
      <c r="R218" s="61">
        <v>41.98028</v>
      </c>
      <c r="S218" s="61">
        <v>-87.908997900000003</v>
      </c>
      <c r="T218" s="61">
        <v>1390.9929999999999</v>
      </c>
      <c r="U218" s="61" t="s">
        <v>617</v>
      </c>
      <c r="V218" s="61" t="s">
        <v>569</v>
      </c>
      <c r="W218" s="61" cm="1">
        <f t="array" ref="W218">getDistance(I218,J218,R218,S218)*SA!$B$12</f>
        <v>1203.4659634467887</v>
      </c>
      <c r="X218" s="61"/>
      <c r="Y218" s="137">
        <f>Transportation_LCIA!C$61*($W218^Transportation_LCIA!C$60)+Transportation_LCIA!C$62</f>
        <v>0.21772846046617148</v>
      </c>
      <c r="Z218" s="137">
        <f>Transportation_LCIA!D$61*($W218^Transportation_LCIA!D$60)+Transportation_LCIA!D$62</f>
        <v>2.2142470940859469</v>
      </c>
      <c r="AA218" s="137">
        <f>Transportation_LCIA!E$61*($W218^Transportation_LCIA!E$60)+Transportation_LCIA!E$62</f>
        <v>1.0055281245420159E-3</v>
      </c>
      <c r="AB218" s="137">
        <f>Transportation_LCIA!F$61*($W218^Transportation_LCIA!F$60)+Transportation_LCIA!F$62</f>
        <v>0.21772846046617148</v>
      </c>
      <c r="AC218" s="137">
        <f>Transportation_LCIA!G$61*($W218^Transportation_LCIA!G$60)+Transportation_LCIA!G$62</f>
        <v>5.1799374019000491E-2</v>
      </c>
      <c r="AD218" s="137">
        <f>Transportation_LCIA!H$61*($W218^Transportation_LCIA!H$60)+Transportation_LCIA!H$62</f>
        <v>2.4634416995171114E-4</v>
      </c>
      <c r="AE218" s="137">
        <f>Transportation_LCIA!I$61*($W218^Transportation_LCIA!I$60)+Transportation_LCIA!I$62</f>
        <v>5.1562528918712568E-6</v>
      </c>
      <c r="AF218" s="137">
        <f>Transportation_LCIA!J$61*($W218^Transportation_LCIA!J$60)+Transportation_LCIA!J$62</f>
        <v>7.6271492112845521E-3</v>
      </c>
      <c r="AG218" s="137">
        <f>Transportation_LCIA!K$61*($W218^Transportation_LCIA!K$60)+Transportation_LCIA!K$62</f>
        <v>1.0918234035860491E-2</v>
      </c>
      <c r="AH218" s="137">
        <f>Transportation_LCIA!L$61*($W218^Transportation_LCIA!L$60)+Transportation_LCIA!L$62</f>
        <v>2.1191432370679968E-4</v>
      </c>
      <c r="AI218" s="137">
        <f>Transportation_LCIA!M$61*($W218^Transportation_LCIA!M$60)+Transportation_LCIA!M$62</f>
        <v>2.2680395572104655E-4</v>
      </c>
      <c r="AJ218" s="137">
        <f>Transportation_LCIA!N$61*($W218^Transportation_LCIA!N$60)+Transportation_LCIA!N$62</f>
        <v>8.8743738884339729E-4</v>
      </c>
      <c r="AK218" s="137">
        <f>Transportation_LCIA!O$61*($W218^Transportation_LCIA!O$60)+Transportation_LCIA!O$62</f>
        <v>5.4708076102495621E-5</v>
      </c>
      <c r="AL218" s="137">
        <f>Transportation_LCIA!P$61*($W218^Transportation_LCIA!P$60)+Transportation_LCIA!P$62</f>
        <v>2.647121982427294E-8</v>
      </c>
      <c r="AM218" s="137">
        <f>Transportation_LCIA!Q$61*($W218^Transportation_LCIA!Q$60)+Transportation_LCIA!Q$62</f>
        <v>8.4025368237848467E-5</v>
      </c>
      <c r="AN218" s="137">
        <f>Transportation_LCIA!R$61*($W218^Transportation_LCIA!R$60)+Transportation_LCIA!R$62</f>
        <v>2.4810392360756592E-4</v>
      </c>
      <c r="AO218" s="137">
        <f>Transportation_LCIA!S$61*($W218^Transportation_LCIA!S$60)+Transportation_LCIA!S$62</f>
        <v>3.7784816746894015E-6</v>
      </c>
      <c r="AP218" s="137">
        <f>Transportation_LCIA!T$61*($W218^Transportation_LCIA!T$60)+Transportation_LCIA!T$62</f>
        <v>3.7784816746894015E-6</v>
      </c>
      <c r="AQ218" s="137">
        <f>Transportation_LCIA!U$61*($W218^Transportation_LCIA!U$60)+Transportation_LCIA!U$62</f>
        <v>5.3084715123251445E-4</v>
      </c>
      <c r="AR218" s="137">
        <f>Transportation_LCIA!V$61*($W218^Transportation_LCIA!V$60)+Transportation_LCIA!V$62</f>
        <v>2.1853136585972262E-4</v>
      </c>
      <c r="AT218" s="137">
        <f>$W218*Y218+$L218*Summary_LCIA!H$32</f>
        <v>268.67324064470711</v>
      </c>
      <c r="AU218" s="137">
        <f>$W218*Z218+$L218*Summary_LCIA!Q$32</f>
        <v>2761.6816225602784</v>
      </c>
      <c r="AV218" s="137">
        <f>$W218*AA218+$L218*Summary_LCIA!R$32</f>
        <v>1.3130824155747995</v>
      </c>
      <c r="AW218" s="137">
        <f>$W218*AB218+$L218*Summary_LCIA!S$32</f>
        <v>268.58681196470712</v>
      </c>
      <c r="AX218" s="137">
        <f>$W218*AC218+$L218*Summary_LCIA!T$32</f>
        <v>64.487768159716978</v>
      </c>
      <c r="AY218" s="137">
        <f>$W218*AD218+$L218*Summary_LCIA!U$32</f>
        <v>0.64675717983043546</v>
      </c>
      <c r="AZ218" s="137">
        <f>$W218*AE218+$L218*Summary_LCIA!V$32</f>
        <v>7.1392934482911322E-3</v>
      </c>
      <c r="BA218" s="137">
        <f>$W218*AF218+$L218*Summary_LCIA!W$32</f>
        <v>10.684105407910979</v>
      </c>
      <c r="BB218" s="137">
        <f>$W218*AG218+$L218*Summary_LCIA!X$32</f>
        <v>13.585163163104365</v>
      </c>
      <c r="BC218" s="137">
        <f>$W218*AH218+$L218*Summary_LCIA!Y$32</f>
        <v>0.55972210374797826</v>
      </c>
      <c r="BD218" s="137">
        <f>$W218*AI218+$L218*Summary_LCIA!Z$32</f>
        <v>0.2737527310713721</v>
      </c>
      <c r="BE218" s="137">
        <f>$W218*AJ218+$L218*Summary_LCIA!AA$32</f>
        <v>1.5247039161631215</v>
      </c>
      <c r="BF218" s="137">
        <f>$W218*AK218+$L218*Summary_LCIA!AB$32</f>
        <v>6.5412580573010137E-2</v>
      </c>
      <c r="BG218" s="137">
        <f>$W218*AL218+$L218*Summary_LCIA!AC$32</f>
        <v>3.2813089805430364E-5</v>
      </c>
      <c r="BH218" s="137">
        <f>$W218*AM218+$L218*Summary_LCIA!AD$32</f>
        <v>0.1091591469003335</v>
      </c>
      <c r="BI218" s="137">
        <f>$W218*AN218+$L218*Summary_LCIA!AE$32</f>
        <v>0.31591201347930781</v>
      </c>
      <c r="BJ218" s="137">
        <f>$W218*AO218+$L218*Summary_LCIA!AF$32</f>
        <v>2.1078616768996115E-2</v>
      </c>
      <c r="BK218" s="137">
        <f>$W218*AP218+$L218*Summary_LCIA!AG$32</f>
        <v>5.5477544989961164E-3</v>
      </c>
      <c r="BL218" s="137">
        <f>$W218*AQ218+$L218*Summary_LCIA!AH$32</f>
        <v>0.80904667270102104</v>
      </c>
      <c r="BM218" s="137">
        <f>$W218*AR218+$L218*Summary_LCIA!AI$32</f>
        <v>0.28121058945771371</v>
      </c>
    </row>
    <row r="219" spans="1:65" x14ac:dyDescent="0.25">
      <c r="A219" s="149">
        <v>279</v>
      </c>
      <c r="B219" s="149">
        <v>6</v>
      </c>
      <c r="C219" s="61">
        <v>45.501688999999999</v>
      </c>
      <c r="D219" s="61">
        <v>-73.567256</v>
      </c>
      <c r="E219" s="61" t="s">
        <v>458</v>
      </c>
      <c r="F219" s="149">
        <v>124</v>
      </c>
      <c r="G219" s="61" t="s">
        <v>654</v>
      </c>
      <c r="H219" s="61" t="s">
        <v>655</v>
      </c>
      <c r="I219" s="61">
        <v>45.465685000000001</v>
      </c>
      <c r="J219" s="61">
        <v>-73.745480999999998</v>
      </c>
      <c r="K219" s="61">
        <v>15.92927869</v>
      </c>
      <c r="L219" s="61">
        <v>19.553999999999998</v>
      </c>
      <c r="M219" s="61" t="s">
        <v>617</v>
      </c>
      <c r="N219" s="149">
        <v>5</v>
      </c>
      <c r="O219" s="149">
        <v>6</v>
      </c>
      <c r="P219" s="61" t="s">
        <v>565</v>
      </c>
      <c r="Q219" s="61" t="s">
        <v>564</v>
      </c>
      <c r="R219" s="61">
        <v>41.98028</v>
      </c>
      <c r="S219" s="61">
        <v>-87.908997900000003</v>
      </c>
      <c r="T219" s="61">
        <v>1390.9929999999999</v>
      </c>
      <c r="U219" s="61" t="s">
        <v>617</v>
      </c>
      <c r="V219" s="61" t="s">
        <v>569</v>
      </c>
      <c r="W219" s="61" cm="1">
        <f t="array" ref="W219">getDistance(I219,J219,R219,S219)*SA!$B$12</f>
        <v>1203.4659634467887</v>
      </c>
      <c r="X219" s="61"/>
      <c r="Y219" s="137">
        <f>Transportation_LCIA!C$61*($W219^Transportation_LCIA!C$60)+Transportation_LCIA!C$62</f>
        <v>0.21772846046617148</v>
      </c>
      <c r="Z219" s="137">
        <f>Transportation_LCIA!D$61*($W219^Transportation_LCIA!D$60)+Transportation_LCIA!D$62</f>
        <v>2.2142470940859469</v>
      </c>
      <c r="AA219" s="137">
        <f>Transportation_LCIA!E$61*($W219^Transportation_LCIA!E$60)+Transportation_LCIA!E$62</f>
        <v>1.0055281245420159E-3</v>
      </c>
      <c r="AB219" s="137">
        <f>Transportation_LCIA!F$61*($W219^Transportation_LCIA!F$60)+Transportation_LCIA!F$62</f>
        <v>0.21772846046617148</v>
      </c>
      <c r="AC219" s="137">
        <f>Transportation_LCIA!G$61*($W219^Transportation_LCIA!G$60)+Transportation_LCIA!G$62</f>
        <v>5.1799374019000491E-2</v>
      </c>
      <c r="AD219" s="137">
        <f>Transportation_LCIA!H$61*($W219^Transportation_LCIA!H$60)+Transportation_LCIA!H$62</f>
        <v>2.4634416995171114E-4</v>
      </c>
      <c r="AE219" s="137">
        <f>Transportation_LCIA!I$61*($W219^Transportation_LCIA!I$60)+Transportation_LCIA!I$62</f>
        <v>5.1562528918712568E-6</v>
      </c>
      <c r="AF219" s="137">
        <f>Transportation_LCIA!J$61*($W219^Transportation_LCIA!J$60)+Transportation_LCIA!J$62</f>
        <v>7.6271492112845521E-3</v>
      </c>
      <c r="AG219" s="137">
        <f>Transportation_LCIA!K$61*($W219^Transportation_LCIA!K$60)+Transportation_LCIA!K$62</f>
        <v>1.0918234035860491E-2</v>
      </c>
      <c r="AH219" s="137">
        <f>Transportation_LCIA!L$61*($W219^Transportation_LCIA!L$60)+Transportation_LCIA!L$62</f>
        <v>2.1191432370679968E-4</v>
      </c>
      <c r="AI219" s="137">
        <f>Transportation_LCIA!M$61*($W219^Transportation_LCIA!M$60)+Transportation_LCIA!M$62</f>
        <v>2.2680395572104655E-4</v>
      </c>
      <c r="AJ219" s="137">
        <f>Transportation_LCIA!N$61*($W219^Transportation_LCIA!N$60)+Transportation_LCIA!N$62</f>
        <v>8.8743738884339729E-4</v>
      </c>
      <c r="AK219" s="137">
        <f>Transportation_LCIA!O$61*($W219^Transportation_LCIA!O$60)+Transportation_LCIA!O$62</f>
        <v>5.4708076102495621E-5</v>
      </c>
      <c r="AL219" s="137">
        <f>Transportation_LCIA!P$61*($W219^Transportation_LCIA!P$60)+Transportation_LCIA!P$62</f>
        <v>2.647121982427294E-8</v>
      </c>
      <c r="AM219" s="137">
        <f>Transportation_LCIA!Q$61*($W219^Transportation_LCIA!Q$60)+Transportation_LCIA!Q$62</f>
        <v>8.4025368237848467E-5</v>
      </c>
      <c r="AN219" s="137">
        <f>Transportation_LCIA!R$61*($W219^Transportation_LCIA!R$60)+Transportation_LCIA!R$62</f>
        <v>2.4810392360756592E-4</v>
      </c>
      <c r="AO219" s="137">
        <f>Transportation_LCIA!S$61*($W219^Transportation_LCIA!S$60)+Transportation_LCIA!S$62</f>
        <v>3.7784816746894015E-6</v>
      </c>
      <c r="AP219" s="137">
        <f>Transportation_LCIA!T$61*($W219^Transportation_LCIA!T$60)+Transportation_LCIA!T$62</f>
        <v>3.7784816746894015E-6</v>
      </c>
      <c r="AQ219" s="137">
        <f>Transportation_LCIA!U$61*($W219^Transportation_LCIA!U$60)+Transportation_LCIA!U$62</f>
        <v>5.3084715123251445E-4</v>
      </c>
      <c r="AR219" s="137">
        <f>Transportation_LCIA!V$61*($W219^Transportation_LCIA!V$60)+Transportation_LCIA!V$62</f>
        <v>2.1853136585972262E-4</v>
      </c>
      <c r="AT219" s="137">
        <f>$W219*Y219+$L219*Summary_LCIA!H$32</f>
        <v>268.67324064470711</v>
      </c>
      <c r="AU219" s="137">
        <f>$W219*Z219+$L219*Summary_LCIA!Q$32</f>
        <v>2761.6816225602784</v>
      </c>
      <c r="AV219" s="137">
        <f>$W219*AA219+$L219*Summary_LCIA!R$32</f>
        <v>1.3130824155747995</v>
      </c>
      <c r="AW219" s="137">
        <f>$W219*AB219+$L219*Summary_LCIA!S$32</f>
        <v>268.58681196470712</v>
      </c>
      <c r="AX219" s="137">
        <f>$W219*AC219+$L219*Summary_LCIA!T$32</f>
        <v>64.487768159716978</v>
      </c>
      <c r="AY219" s="137">
        <f>$W219*AD219+$L219*Summary_LCIA!U$32</f>
        <v>0.64675717983043546</v>
      </c>
      <c r="AZ219" s="137">
        <f>$W219*AE219+$L219*Summary_LCIA!V$32</f>
        <v>7.1392934482911322E-3</v>
      </c>
      <c r="BA219" s="137">
        <f>$W219*AF219+$L219*Summary_LCIA!W$32</f>
        <v>10.684105407910979</v>
      </c>
      <c r="BB219" s="137">
        <f>$W219*AG219+$L219*Summary_LCIA!X$32</f>
        <v>13.585163163104365</v>
      </c>
      <c r="BC219" s="137">
        <f>$W219*AH219+$L219*Summary_LCIA!Y$32</f>
        <v>0.55972210374797826</v>
      </c>
      <c r="BD219" s="137">
        <f>$W219*AI219+$L219*Summary_LCIA!Z$32</f>
        <v>0.2737527310713721</v>
      </c>
      <c r="BE219" s="137">
        <f>$W219*AJ219+$L219*Summary_LCIA!AA$32</f>
        <v>1.5247039161631215</v>
      </c>
      <c r="BF219" s="137">
        <f>$W219*AK219+$L219*Summary_LCIA!AB$32</f>
        <v>6.5412580573010137E-2</v>
      </c>
      <c r="BG219" s="137">
        <f>$W219*AL219+$L219*Summary_LCIA!AC$32</f>
        <v>3.2813089805430364E-5</v>
      </c>
      <c r="BH219" s="137">
        <f>$W219*AM219+$L219*Summary_LCIA!AD$32</f>
        <v>0.1091591469003335</v>
      </c>
      <c r="BI219" s="137">
        <f>$W219*AN219+$L219*Summary_LCIA!AE$32</f>
        <v>0.31591201347930781</v>
      </c>
      <c r="BJ219" s="137">
        <f>$W219*AO219+$L219*Summary_LCIA!AF$32</f>
        <v>2.1078616768996115E-2</v>
      </c>
      <c r="BK219" s="137">
        <f>$W219*AP219+$L219*Summary_LCIA!AG$32</f>
        <v>5.5477544989961164E-3</v>
      </c>
      <c r="BL219" s="137">
        <f>$W219*AQ219+$L219*Summary_LCIA!AH$32</f>
        <v>0.80904667270102104</v>
      </c>
      <c r="BM219" s="137">
        <f>$W219*AR219+$L219*Summary_LCIA!AI$32</f>
        <v>0.28121058945771371</v>
      </c>
    </row>
    <row r="220" spans="1:65" x14ac:dyDescent="0.25">
      <c r="A220" s="149">
        <v>280</v>
      </c>
      <c r="B220" s="149">
        <v>6</v>
      </c>
      <c r="C220" s="61">
        <v>45.501688999999999</v>
      </c>
      <c r="D220" s="61">
        <v>-73.567256</v>
      </c>
      <c r="E220" s="61" t="s">
        <v>458</v>
      </c>
      <c r="F220" s="149">
        <v>124</v>
      </c>
      <c r="G220" s="61" t="s">
        <v>654</v>
      </c>
      <c r="H220" s="61" t="s">
        <v>655</v>
      </c>
      <c r="I220" s="61">
        <v>45.465685000000001</v>
      </c>
      <c r="J220" s="61">
        <v>-73.745480999999998</v>
      </c>
      <c r="K220" s="61">
        <v>15.92927869</v>
      </c>
      <c r="L220" s="61">
        <v>19.553999999999998</v>
      </c>
      <c r="M220" s="61" t="s">
        <v>617</v>
      </c>
      <c r="N220" s="149">
        <v>5</v>
      </c>
      <c r="O220" s="149">
        <v>6</v>
      </c>
      <c r="P220" s="61" t="s">
        <v>565</v>
      </c>
      <c r="Q220" s="61" t="s">
        <v>564</v>
      </c>
      <c r="R220" s="61">
        <v>41.98028</v>
      </c>
      <c r="S220" s="61">
        <v>-87.908997900000003</v>
      </c>
      <c r="T220" s="61">
        <v>1390.9929999999999</v>
      </c>
      <c r="U220" s="61" t="s">
        <v>617</v>
      </c>
      <c r="V220" s="61" t="s">
        <v>569</v>
      </c>
      <c r="W220" s="61" cm="1">
        <f t="array" ref="W220">getDistance(I220,J220,R220,S220)*SA!$B$12</f>
        <v>1203.4659634467887</v>
      </c>
      <c r="X220" s="61"/>
      <c r="Y220" s="137">
        <f>Transportation_LCIA!C$61*($W220^Transportation_LCIA!C$60)+Transportation_LCIA!C$62</f>
        <v>0.21772846046617148</v>
      </c>
      <c r="Z220" s="137">
        <f>Transportation_LCIA!D$61*($W220^Transportation_LCIA!D$60)+Transportation_LCIA!D$62</f>
        <v>2.2142470940859469</v>
      </c>
      <c r="AA220" s="137">
        <f>Transportation_LCIA!E$61*($W220^Transportation_LCIA!E$60)+Transportation_LCIA!E$62</f>
        <v>1.0055281245420159E-3</v>
      </c>
      <c r="AB220" s="137">
        <f>Transportation_LCIA!F$61*($W220^Transportation_LCIA!F$60)+Transportation_LCIA!F$62</f>
        <v>0.21772846046617148</v>
      </c>
      <c r="AC220" s="137">
        <f>Transportation_LCIA!G$61*($W220^Transportation_LCIA!G$60)+Transportation_LCIA!G$62</f>
        <v>5.1799374019000491E-2</v>
      </c>
      <c r="AD220" s="137">
        <f>Transportation_LCIA!H$61*($W220^Transportation_LCIA!H$60)+Transportation_LCIA!H$62</f>
        <v>2.4634416995171114E-4</v>
      </c>
      <c r="AE220" s="137">
        <f>Transportation_LCIA!I$61*($W220^Transportation_LCIA!I$60)+Transportation_LCIA!I$62</f>
        <v>5.1562528918712568E-6</v>
      </c>
      <c r="AF220" s="137">
        <f>Transportation_LCIA!J$61*($W220^Transportation_LCIA!J$60)+Transportation_LCIA!J$62</f>
        <v>7.6271492112845521E-3</v>
      </c>
      <c r="AG220" s="137">
        <f>Transportation_LCIA!K$61*($W220^Transportation_LCIA!K$60)+Transportation_LCIA!K$62</f>
        <v>1.0918234035860491E-2</v>
      </c>
      <c r="AH220" s="137">
        <f>Transportation_LCIA!L$61*($W220^Transportation_LCIA!L$60)+Transportation_LCIA!L$62</f>
        <v>2.1191432370679968E-4</v>
      </c>
      <c r="AI220" s="137">
        <f>Transportation_LCIA!M$61*($W220^Transportation_LCIA!M$60)+Transportation_LCIA!M$62</f>
        <v>2.2680395572104655E-4</v>
      </c>
      <c r="AJ220" s="137">
        <f>Transportation_LCIA!N$61*($W220^Transportation_LCIA!N$60)+Transportation_LCIA!N$62</f>
        <v>8.8743738884339729E-4</v>
      </c>
      <c r="AK220" s="137">
        <f>Transportation_LCIA!O$61*($W220^Transportation_LCIA!O$60)+Transportation_LCIA!O$62</f>
        <v>5.4708076102495621E-5</v>
      </c>
      <c r="AL220" s="137">
        <f>Transportation_LCIA!P$61*($W220^Transportation_LCIA!P$60)+Transportation_LCIA!P$62</f>
        <v>2.647121982427294E-8</v>
      </c>
      <c r="AM220" s="137">
        <f>Transportation_LCIA!Q$61*($W220^Transportation_LCIA!Q$60)+Transportation_LCIA!Q$62</f>
        <v>8.4025368237848467E-5</v>
      </c>
      <c r="AN220" s="137">
        <f>Transportation_LCIA!R$61*($W220^Transportation_LCIA!R$60)+Transportation_LCIA!R$62</f>
        <v>2.4810392360756592E-4</v>
      </c>
      <c r="AO220" s="137">
        <f>Transportation_LCIA!S$61*($W220^Transportation_LCIA!S$60)+Transportation_LCIA!S$62</f>
        <v>3.7784816746894015E-6</v>
      </c>
      <c r="AP220" s="137">
        <f>Transportation_LCIA!T$61*($W220^Transportation_LCIA!T$60)+Transportation_LCIA!T$62</f>
        <v>3.7784816746894015E-6</v>
      </c>
      <c r="AQ220" s="137">
        <f>Transportation_LCIA!U$61*($W220^Transportation_LCIA!U$60)+Transportation_LCIA!U$62</f>
        <v>5.3084715123251445E-4</v>
      </c>
      <c r="AR220" s="137">
        <f>Transportation_LCIA!V$61*($W220^Transportation_LCIA!V$60)+Transportation_LCIA!V$62</f>
        <v>2.1853136585972262E-4</v>
      </c>
      <c r="AT220" s="137">
        <f>$W220*Y220+$L220*Summary_LCIA!H$32</f>
        <v>268.67324064470711</v>
      </c>
      <c r="AU220" s="137">
        <f>$W220*Z220+$L220*Summary_LCIA!Q$32</f>
        <v>2761.6816225602784</v>
      </c>
      <c r="AV220" s="137">
        <f>$W220*AA220+$L220*Summary_LCIA!R$32</f>
        <v>1.3130824155747995</v>
      </c>
      <c r="AW220" s="137">
        <f>$W220*AB220+$L220*Summary_LCIA!S$32</f>
        <v>268.58681196470712</v>
      </c>
      <c r="AX220" s="137">
        <f>$W220*AC220+$L220*Summary_LCIA!T$32</f>
        <v>64.487768159716978</v>
      </c>
      <c r="AY220" s="137">
        <f>$W220*AD220+$L220*Summary_LCIA!U$32</f>
        <v>0.64675717983043546</v>
      </c>
      <c r="AZ220" s="137">
        <f>$W220*AE220+$L220*Summary_LCIA!V$32</f>
        <v>7.1392934482911322E-3</v>
      </c>
      <c r="BA220" s="137">
        <f>$W220*AF220+$L220*Summary_LCIA!W$32</f>
        <v>10.684105407910979</v>
      </c>
      <c r="BB220" s="137">
        <f>$W220*AG220+$L220*Summary_LCIA!X$32</f>
        <v>13.585163163104365</v>
      </c>
      <c r="BC220" s="137">
        <f>$W220*AH220+$L220*Summary_LCIA!Y$32</f>
        <v>0.55972210374797826</v>
      </c>
      <c r="BD220" s="137">
        <f>$W220*AI220+$L220*Summary_LCIA!Z$32</f>
        <v>0.2737527310713721</v>
      </c>
      <c r="BE220" s="137">
        <f>$W220*AJ220+$L220*Summary_LCIA!AA$32</f>
        <v>1.5247039161631215</v>
      </c>
      <c r="BF220" s="137">
        <f>$W220*AK220+$L220*Summary_LCIA!AB$32</f>
        <v>6.5412580573010137E-2</v>
      </c>
      <c r="BG220" s="137">
        <f>$W220*AL220+$L220*Summary_LCIA!AC$32</f>
        <v>3.2813089805430364E-5</v>
      </c>
      <c r="BH220" s="137">
        <f>$W220*AM220+$L220*Summary_LCIA!AD$32</f>
        <v>0.1091591469003335</v>
      </c>
      <c r="BI220" s="137">
        <f>$W220*AN220+$L220*Summary_LCIA!AE$32</f>
        <v>0.31591201347930781</v>
      </c>
      <c r="BJ220" s="137">
        <f>$W220*AO220+$L220*Summary_LCIA!AF$32</f>
        <v>2.1078616768996115E-2</v>
      </c>
      <c r="BK220" s="137">
        <f>$W220*AP220+$L220*Summary_LCIA!AG$32</f>
        <v>5.5477544989961164E-3</v>
      </c>
      <c r="BL220" s="137">
        <f>$W220*AQ220+$L220*Summary_LCIA!AH$32</f>
        <v>0.80904667270102104</v>
      </c>
      <c r="BM220" s="137">
        <f>$W220*AR220+$L220*Summary_LCIA!AI$32</f>
        <v>0.28121058945771371</v>
      </c>
    </row>
    <row r="221" spans="1:65" x14ac:dyDescent="0.25">
      <c r="A221" s="149">
        <v>58</v>
      </c>
      <c r="B221" s="149">
        <v>6</v>
      </c>
      <c r="C221" s="61">
        <v>45.504741000000003</v>
      </c>
      <c r="D221" s="61">
        <v>-73.614750999999998</v>
      </c>
      <c r="E221" s="61" t="s">
        <v>458</v>
      </c>
      <c r="F221" s="149">
        <v>124</v>
      </c>
      <c r="G221" s="61" t="s">
        <v>654</v>
      </c>
      <c r="H221" s="61" t="s">
        <v>655</v>
      </c>
      <c r="I221" s="61">
        <v>45.465685000000001</v>
      </c>
      <c r="J221" s="61">
        <v>-73.745480999999998</v>
      </c>
      <c r="K221" s="61">
        <v>12.713174800000001</v>
      </c>
      <c r="L221" s="61">
        <v>14.117000000000001</v>
      </c>
      <c r="M221" s="61" t="s">
        <v>617</v>
      </c>
      <c r="N221" s="149">
        <v>5</v>
      </c>
      <c r="O221" s="149">
        <v>6</v>
      </c>
      <c r="P221" s="61" t="s">
        <v>565</v>
      </c>
      <c r="Q221" s="61" t="s">
        <v>564</v>
      </c>
      <c r="R221" s="61">
        <v>41.98028</v>
      </c>
      <c r="S221" s="61">
        <v>-87.908997900000003</v>
      </c>
      <c r="T221" s="61">
        <v>1391.5139999999999</v>
      </c>
      <c r="U221" s="61" t="s">
        <v>617</v>
      </c>
      <c r="V221" s="61" t="s">
        <v>569</v>
      </c>
      <c r="W221" s="61" cm="1">
        <f t="array" ref="W221">getDistance(I221,J221,R221,S221)*SA!$B$12</f>
        <v>1203.4659634467887</v>
      </c>
      <c r="X221" s="61"/>
      <c r="Y221" s="137">
        <f>Transportation_LCIA!C$61*($W221^Transportation_LCIA!C$60)+Transportation_LCIA!C$62</f>
        <v>0.21772846046617148</v>
      </c>
      <c r="Z221" s="137">
        <f>Transportation_LCIA!D$61*($W221^Transportation_LCIA!D$60)+Transportation_LCIA!D$62</f>
        <v>2.2142470940859469</v>
      </c>
      <c r="AA221" s="137">
        <f>Transportation_LCIA!E$61*($W221^Transportation_LCIA!E$60)+Transportation_LCIA!E$62</f>
        <v>1.0055281245420159E-3</v>
      </c>
      <c r="AB221" s="137">
        <f>Transportation_LCIA!F$61*($W221^Transportation_LCIA!F$60)+Transportation_LCIA!F$62</f>
        <v>0.21772846046617148</v>
      </c>
      <c r="AC221" s="137">
        <f>Transportation_LCIA!G$61*($W221^Transportation_LCIA!G$60)+Transportation_LCIA!G$62</f>
        <v>5.1799374019000491E-2</v>
      </c>
      <c r="AD221" s="137">
        <f>Transportation_LCIA!H$61*($W221^Transportation_LCIA!H$60)+Transportation_LCIA!H$62</f>
        <v>2.4634416995171114E-4</v>
      </c>
      <c r="AE221" s="137">
        <f>Transportation_LCIA!I$61*($W221^Transportation_LCIA!I$60)+Transportation_LCIA!I$62</f>
        <v>5.1562528918712568E-6</v>
      </c>
      <c r="AF221" s="137">
        <f>Transportation_LCIA!J$61*($W221^Transportation_LCIA!J$60)+Transportation_LCIA!J$62</f>
        <v>7.6271492112845521E-3</v>
      </c>
      <c r="AG221" s="137">
        <f>Transportation_LCIA!K$61*($W221^Transportation_LCIA!K$60)+Transportation_LCIA!K$62</f>
        <v>1.0918234035860491E-2</v>
      </c>
      <c r="AH221" s="137">
        <f>Transportation_LCIA!L$61*($W221^Transportation_LCIA!L$60)+Transportation_LCIA!L$62</f>
        <v>2.1191432370679968E-4</v>
      </c>
      <c r="AI221" s="137">
        <f>Transportation_LCIA!M$61*($W221^Transportation_LCIA!M$60)+Transportation_LCIA!M$62</f>
        <v>2.2680395572104655E-4</v>
      </c>
      <c r="AJ221" s="137">
        <f>Transportation_LCIA!N$61*($W221^Transportation_LCIA!N$60)+Transportation_LCIA!N$62</f>
        <v>8.8743738884339729E-4</v>
      </c>
      <c r="AK221" s="137">
        <f>Transportation_LCIA!O$61*($W221^Transportation_LCIA!O$60)+Transportation_LCIA!O$62</f>
        <v>5.4708076102495621E-5</v>
      </c>
      <c r="AL221" s="137">
        <f>Transportation_LCIA!P$61*($W221^Transportation_LCIA!P$60)+Transportation_LCIA!P$62</f>
        <v>2.647121982427294E-8</v>
      </c>
      <c r="AM221" s="137">
        <f>Transportation_LCIA!Q$61*($W221^Transportation_LCIA!Q$60)+Transportation_LCIA!Q$62</f>
        <v>8.4025368237848467E-5</v>
      </c>
      <c r="AN221" s="137">
        <f>Transportation_LCIA!R$61*($W221^Transportation_LCIA!R$60)+Transportation_LCIA!R$62</f>
        <v>2.4810392360756592E-4</v>
      </c>
      <c r="AO221" s="137">
        <f>Transportation_LCIA!S$61*($W221^Transportation_LCIA!S$60)+Transportation_LCIA!S$62</f>
        <v>3.7784816746894015E-6</v>
      </c>
      <c r="AP221" s="137">
        <f>Transportation_LCIA!T$61*($W221^Transportation_LCIA!T$60)+Transportation_LCIA!T$62</f>
        <v>3.7784816746894015E-6</v>
      </c>
      <c r="AQ221" s="137">
        <f>Transportation_LCIA!U$61*($W221^Transportation_LCIA!U$60)+Transportation_LCIA!U$62</f>
        <v>5.3084715123251445E-4</v>
      </c>
      <c r="AR221" s="137">
        <f>Transportation_LCIA!V$61*($W221^Transportation_LCIA!V$60)+Transportation_LCIA!V$62</f>
        <v>2.1853136585972262E-4</v>
      </c>
      <c r="AT221" s="137">
        <f>$W221*Y221+$L221*Summary_LCIA!H$32</f>
        <v>266.8257480447071</v>
      </c>
      <c r="AU221" s="137">
        <f>$W221*Z221+$L221*Summary_LCIA!Q$32</f>
        <v>2734.7355763560572</v>
      </c>
      <c r="AV221" s="137">
        <f>$W221*AA221+$L221*Summary_LCIA!R$32</f>
        <v>1.2844533483747995</v>
      </c>
      <c r="AW221" s="137">
        <f>$W221*AB221+$L221*Summary_LCIA!S$32</f>
        <v>266.76335090470712</v>
      </c>
      <c r="AX221" s="137">
        <f>$W221*AC221+$L221*Summary_LCIA!T$32</f>
        <v>63.89024185971698</v>
      </c>
      <c r="AY221" s="137">
        <f>$W221*AD221+$L221*Summary_LCIA!U$32</f>
        <v>0.54935876183043542</v>
      </c>
      <c r="AZ221" s="137">
        <f>$W221*AE221+$L221*Summary_LCIA!V$32</f>
        <v>6.8796168912911319E-3</v>
      </c>
      <c r="BA221" s="137">
        <f>$W221*AF221+$L221*Summary_LCIA!W$32</f>
        <v>10.265614080910979</v>
      </c>
      <c r="BB221" s="137">
        <f>$W221*AG221+$L221*Summary_LCIA!X$32</f>
        <v>13.461308303104365</v>
      </c>
      <c r="BC221" s="137">
        <f>$W221*AH221+$L221*Summary_LCIA!Y$32</f>
        <v>0.47500276974797828</v>
      </c>
      <c r="BD221" s="137">
        <f>$W221*AI221+$L221*Summary_LCIA!Z$32</f>
        <v>0.27352976513837207</v>
      </c>
      <c r="BE221" s="137">
        <f>$W221*AJ221+$L221*Summary_LCIA!AA$32</f>
        <v>1.3977173441631217</v>
      </c>
      <c r="BF221" s="137">
        <f>$W221*AK221+$L221*Summary_LCIA!AB$32</f>
        <v>6.5531232224010125E-2</v>
      </c>
      <c r="BG221" s="137">
        <f>$W221*AL221+$L221*Summary_LCIA!AC$32</f>
        <v>3.2547307497430363E-5</v>
      </c>
      <c r="BH221" s="137">
        <f>$W221*AM221+$L221*Summary_LCIA!AD$32</f>
        <v>0.10692432242033351</v>
      </c>
      <c r="BI221" s="137">
        <f>$W221*AN221+$L221*Summary_LCIA!AE$32</f>
        <v>0.3110941246693078</v>
      </c>
      <c r="BJ221" s="137">
        <f>$W221*AO221+$L221*Summary_LCIA!AF$32</f>
        <v>1.6482068228996116E-2</v>
      </c>
      <c r="BK221" s="137">
        <f>$W221*AP221+$L221*Summary_LCIA!AG$32</f>
        <v>5.2695703939961164E-3</v>
      </c>
      <c r="BL221" s="137">
        <f>$W221*AQ221+$L221*Summary_LCIA!AH$32</f>
        <v>0.76172519950102113</v>
      </c>
      <c r="BM221" s="137">
        <f>$W221*AR221+$L221*Summary_LCIA!AI$32</f>
        <v>0.27614575210771375</v>
      </c>
    </row>
    <row r="222" spans="1:65" x14ac:dyDescent="0.25">
      <c r="A222" s="149">
        <v>59</v>
      </c>
      <c r="B222" s="149">
        <v>6</v>
      </c>
      <c r="C222" s="61">
        <v>45.504741000000003</v>
      </c>
      <c r="D222" s="61">
        <v>-73.614750999999998</v>
      </c>
      <c r="E222" s="61" t="s">
        <v>458</v>
      </c>
      <c r="F222" s="149">
        <v>124</v>
      </c>
      <c r="G222" s="61" t="s">
        <v>654</v>
      </c>
      <c r="H222" s="61" t="s">
        <v>655</v>
      </c>
      <c r="I222" s="61">
        <v>45.465685000000001</v>
      </c>
      <c r="J222" s="61">
        <v>-73.745480999999998</v>
      </c>
      <c r="K222" s="61">
        <v>12.713174800000001</v>
      </c>
      <c r="L222" s="61">
        <v>14.117000000000001</v>
      </c>
      <c r="M222" s="61" t="s">
        <v>617</v>
      </c>
      <c r="N222" s="149">
        <v>5</v>
      </c>
      <c r="O222" s="149">
        <v>6</v>
      </c>
      <c r="P222" s="61" t="s">
        <v>565</v>
      </c>
      <c r="Q222" s="61" t="s">
        <v>564</v>
      </c>
      <c r="R222" s="61">
        <v>41.98028</v>
      </c>
      <c r="S222" s="61">
        <v>-87.908997900000003</v>
      </c>
      <c r="T222" s="61">
        <v>1391.5139999999999</v>
      </c>
      <c r="U222" s="61" t="s">
        <v>617</v>
      </c>
      <c r="V222" s="61" t="s">
        <v>569</v>
      </c>
      <c r="W222" s="61" cm="1">
        <f t="array" ref="W222">getDistance(I222,J222,R222,S222)*SA!$B$12</f>
        <v>1203.4659634467887</v>
      </c>
      <c r="X222" s="61"/>
      <c r="Y222" s="137">
        <f>Transportation_LCIA!C$61*($W222^Transportation_LCIA!C$60)+Transportation_LCIA!C$62</f>
        <v>0.21772846046617148</v>
      </c>
      <c r="Z222" s="137">
        <f>Transportation_LCIA!D$61*($W222^Transportation_LCIA!D$60)+Transportation_LCIA!D$62</f>
        <v>2.2142470940859469</v>
      </c>
      <c r="AA222" s="137">
        <f>Transportation_LCIA!E$61*($W222^Transportation_LCIA!E$60)+Transportation_LCIA!E$62</f>
        <v>1.0055281245420159E-3</v>
      </c>
      <c r="AB222" s="137">
        <f>Transportation_LCIA!F$61*($W222^Transportation_LCIA!F$60)+Transportation_LCIA!F$62</f>
        <v>0.21772846046617148</v>
      </c>
      <c r="AC222" s="137">
        <f>Transportation_LCIA!G$61*($W222^Transportation_LCIA!G$60)+Transportation_LCIA!G$62</f>
        <v>5.1799374019000491E-2</v>
      </c>
      <c r="AD222" s="137">
        <f>Transportation_LCIA!H$61*($W222^Transportation_LCIA!H$60)+Transportation_LCIA!H$62</f>
        <v>2.4634416995171114E-4</v>
      </c>
      <c r="AE222" s="137">
        <f>Transportation_LCIA!I$61*($W222^Transportation_LCIA!I$60)+Transportation_LCIA!I$62</f>
        <v>5.1562528918712568E-6</v>
      </c>
      <c r="AF222" s="137">
        <f>Transportation_LCIA!J$61*($W222^Transportation_LCIA!J$60)+Transportation_LCIA!J$62</f>
        <v>7.6271492112845521E-3</v>
      </c>
      <c r="AG222" s="137">
        <f>Transportation_LCIA!K$61*($W222^Transportation_LCIA!K$60)+Transportation_LCIA!K$62</f>
        <v>1.0918234035860491E-2</v>
      </c>
      <c r="AH222" s="137">
        <f>Transportation_LCIA!L$61*($W222^Transportation_LCIA!L$60)+Transportation_LCIA!L$62</f>
        <v>2.1191432370679968E-4</v>
      </c>
      <c r="AI222" s="137">
        <f>Transportation_LCIA!M$61*($W222^Transportation_LCIA!M$60)+Transportation_LCIA!M$62</f>
        <v>2.2680395572104655E-4</v>
      </c>
      <c r="AJ222" s="137">
        <f>Transportation_LCIA!N$61*($W222^Transportation_LCIA!N$60)+Transportation_LCIA!N$62</f>
        <v>8.8743738884339729E-4</v>
      </c>
      <c r="AK222" s="137">
        <f>Transportation_LCIA!O$61*($W222^Transportation_LCIA!O$60)+Transportation_LCIA!O$62</f>
        <v>5.4708076102495621E-5</v>
      </c>
      <c r="AL222" s="137">
        <f>Transportation_LCIA!P$61*($W222^Transportation_LCIA!P$60)+Transportation_LCIA!P$62</f>
        <v>2.647121982427294E-8</v>
      </c>
      <c r="AM222" s="137">
        <f>Transportation_LCIA!Q$61*($W222^Transportation_LCIA!Q$60)+Transportation_LCIA!Q$62</f>
        <v>8.4025368237848467E-5</v>
      </c>
      <c r="AN222" s="137">
        <f>Transportation_LCIA!R$61*($W222^Transportation_LCIA!R$60)+Transportation_LCIA!R$62</f>
        <v>2.4810392360756592E-4</v>
      </c>
      <c r="AO222" s="137">
        <f>Transportation_LCIA!S$61*($W222^Transportation_LCIA!S$60)+Transportation_LCIA!S$62</f>
        <v>3.7784816746894015E-6</v>
      </c>
      <c r="AP222" s="137">
        <f>Transportation_LCIA!T$61*($W222^Transportation_LCIA!T$60)+Transportation_LCIA!T$62</f>
        <v>3.7784816746894015E-6</v>
      </c>
      <c r="AQ222" s="137">
        <f>Transportation_LCIA!U$61*($W222^Transportation_LCIA!U$60)+Transportation_LCIA!U$62</f>
        <v>5.3084715123251445E-4</v>
      </c>
      <c r="AR222" s="137">
        <f>Transportation_LCIA!V$61*($W222^Transportation_LCIA!V$60)+Transportation_LCIA!V$62</f>
        <v>2.1853136585972262E-4</v>
      </c>
      <c r="AT222" s="137">
        <f>$W222*Y222+$L222*Summary_LCIA!H$32</f>
        <v>266.8257480447071</v>
      </c>
      <c r="AU222" s="137">
        <f>$W222*Z222+$L222*Summary_LCIA!Q$32</f>
        <v>2734.7355763560572</v>
      </c>
      <c r="AV222" s="137">
        <f>$W222*AA222+$L222*Summary_LCIA!R$32</f>
        <v>1.2844533483747995</v>
      </c>
      <c r="AW222" s="137">
        <f>$W222*AB222+$L222*Summary_LCIA!S$32</f>
        <v>266.76335090470712</v>
      </c>
      <c r="AX222" s="137">
        <f>$W222*AC222+$L222*Summary_LCIA!T$32</f>
        <v>63.89024185971698</v>
      </c>
      <c r="AY222" s="137">
        <f>$W222*AD222+$L222*Summary_LCIA!U$32</f>
        <v>0.54935876183043542</v>
      </c>
      <c r="AZ222" s="137">
        <f>$W222*AE222+$L222*Summary_LCIA!V$32</f>
        <v>6.8796168912911319E-3</v>
      </c>
      <c r="BA222" s="137">
        <f>$W222*AF222+$L222*Summary_LCIA!W$32</f>
        <v>10.265614080910979</v>
      </c>
      <c r="BB222" s="137">
        <f>$W222*AG222+$L222*Summary_LCIA!X$32</f>
        <v>13.461308303104365</v>
      </c>
      <c r="BC222" s="137">
        <f>$W222*AH222+$L222*Summary_LCIA!Y$32</f>
        <v>0.47500276974797828</v>
      </c>
      <c r="BD222" s="137">
        <f>$W222*AI222+$L222*Summary_LCIA!Z$32</f>
        <v>0.27352976513837207</v>
      </c>
      <c r="BE222" s="137">
        <f>$W222*AJ222+$L222*Summary_LCIA!AA$32</f>
        <v>1.3977173441631217</v>
      </c>
      <c r="BF222" s="137">
        <f>$W222*AK222+$L222*Summary_LCIA!AB$32</f>
        <v>6.5531232224010125E-2</v>
      </c>
      <c r="BG222" s="137">
        <f>$W222*AL222+$L222*Summary_LCIA!AC$32</f>
        <v>3.2547307497430363E-5</v>
      </c>
      <c r="BH222" s="137">
        <f>$W222*AM222+$L222*Summary_LCIA!AD$32</f>
        <v>0.10692432242033351</v>
      </c>
      <c r="BI222" s="137">
        <f>$W222*AN222+$L222*Summary_LCIA!AE$32</f>
        <v>0.3110941246693078</v>
      </c>
      <c r="BJ222" s="137">
        <f>$W222*AO222+$L222*Summary_LCIA!AF$32</f>
        <v>1.6482068228996116E-2</v>
      </c>
      <c r="BK222" s="137">
        <f>$W222*AP222+$L222*Summary_LCIA!AG$32</f>
        <v>5.2695703939961164E-3</v>
      </c>
      <c r="BL222" s="137">
        <f>$W222*AQ222+$L222*Summary_LCIA!AH$32</f>
        <v>0.76172519950102113</v>
      </c>
      <c r="BM222" s="137">
        <f>$W222*AR222+$L222*Summary_LCIA!AI$32</f>
        <v>0.27614575210771375</v>
      </c>
    </row>
    <row r="223" spans="1:65" x14ac:dyDescent="0.25">
      <c r="A223" s="149">
        <v>60</v>
      </c>
      <c r="B223" s="149">
        <v>6</v>
      </c>
      <c r="C223" s="61">
        <v>45.504741000000003</v>
      </c>
      <c r="D223" s="61">
        <v>-73.614750999999998</v>
      </c>
      <c r="E223" s="61" t="s">
        <v>458</v>
      </c>
      <c r="F223" s="149">
        <v>124</v>
      </c>
      <c r="G223" s="61" t="s">
        <v>654</v>
      </c>
      <c r="H223" s="61" t="s">
        <v>655</v>
      </c>
      <c r="I223" s="61">
        <v>45.465685000000001</v>
      </c>
      <c r="J223" s="61">
        <v>-73.745480999999998</v>
      </c>
      <c r="K223" s="61">
        <v>12.713174800000001</v>
      </c>
      <c r="L223" s="61">
        <v>14.117000000000001</v>
      </c>
      <c r="M223" s="61" t="s">
        <v>617</v>
      </c>
      <c r="N223" s="149">
        <v>5</v>
      </c>
      <c r="O223" s="149">
        <v>6</v>
      </c>
      <c r="P223" s="61" t="s">
        <v>565</v>
      </c>
      <c r="Q223" s="61" t="s">
        <v>564</v>
      </c>
      <c r="R223" s="61">
        <v>41.98028</v>
      </c>
      <c r="S223" s="61">
        <v>-87.908997900000003</v>
      </c>
      <c r="T223" s="61">
        <v>1391.5139999999999</v>
      </c>
      <c r="U223" s="61" t="s">
        <v>617</v>
      </c>
      <c r="V223" s="61" t="s">
        <v>569</v>
      </c>
      <c r="W223" s="61" cm="1">
        <f t="array" ref="W223">getDistance(I223,J223,R223,S223)*SA!$B$12</f>
        <v>1203.4659634467887</v>
      </c>
      <c r="X223" s="61"/>
      <c r="Y223" s="137">
        <f>Transportation_LCIA!C$61*($W223^Transportation_LCIA!C$60)+Transportation_LCIA!C$62</f>
        <v>0.21772846046617148</v>
      </c>
      <c r="Z223" s="137">
        <f>Transportation_LCIA!D$61*($W223^Transportation_LCIA!D$60)+Transportation_LCIA!D$62</f>
        <v>2.2142470940859469</v>
      </c>
      <c r="AA223" s="137">
        <f>Transportation_LCIA!E$61*($W223^Transportation_LCIA!E$60)+Transportation_LCIA!E$62</f>
        <v>1.0055281245420159E-3</v>
      </c>
      <c r="AB223" s="137">
        <f>Transportation_LCIA!F$61*($W223^Transportation_LCIA!F$60)+Transportation_LCIA!F$62</f>
        <v>0.21772846046617148</v>
      </c>
      <c r="AC223" s="137">
        <f>Transportation_LCIA!G$61*($W223^Transportation_LCIA!G$60)+Transportation_LCIA!G$62</f>
        <v>5.1799374019000491E-2</v>
      </c>
      <c r="AD223" s="137">
        <f>Transportation_LCIA!H$61*($W223^Transportation_LCIA!H$60)+Transportation_LCIA!H$62</f>
        <v>2.4634416995171114E-4</v>
      </c>
      <c r="AE223" s="137">
        <f>Transportation_LCIA!I$61*($W223^Transportation_LCIA!I$60)+Transportation_LCIA!I$62</f>
        <v>5.1562528918712568E-6</v>
      </c>
      <c r="AF223" s="137">
        <f>Transportation_LCIA!J$61*($W223^Transportation_LCIA!J$60)+Transportation_LCIA!J$62</f>
        <v>7.6271492112845521E-3</v>
      </c>
      <c r="AG223" s="137">
        <f>Transportation_LCIA!K$61*($W223^Transportation_LCIA!K$60)+Transportation_LCIA!K$62</f>
        <v>1.0918234035860491E-2</v>
      </c>
      <c r="AH223" s="137">
        <f>Transportation_LCIA!L$61*($W223^Transportation_LCIA!L$60)+Transportation_LCIA!L$62</f>
        <v>2.1191432370679968E-4</v>
      </c>
      <c r="AI223" s="137">
        <f>Transportation_LCIA!M$61*($W223^Transportation_LCIA!M$60)+Transportation_LCIA!M$62</f>
        <v>2.2680395572104655E-4</v>
      </c>
      <c r="AJ223" s="137">
        <f>Transportation_LCIA!N$61*($W223^Transportation_LCIA!N$60)+Transportation_LCIA!N$62</f>
        <v>8.8743738884339729E-4</v>
      </c>
      <c r="AK223" s="137">
        <f>Transportation_LCIA!O$61*($W223^Transportation_LCIA!O$60)+Transportation_LCIA!O$62</f>
        <v>5.4708076102495621E-5</v>
      </c>
      <c r="AL223" s="137">
        <f>Transportation_LCIA!P$61*($W223^Transportation_LCIA!P$60)+Transportation_LCIA!P$62</f>
        <v>2.647121982427294E-8</v>
      </c>
      <c r="AM223" s="137">
        <f>Transportation_LCIA!Q$61*($W223^Transportation_LCIA!Q$60)+Transportation_LCIA!Q$62</f>
        <v>8.4025368237848467E-5</v>
      </c>
      <c r="AN223" s="137">
        <f>Transportation_LCIA!R$61*($W223^Transportation_LCIA!R$60)+Transportation_LCIA!R$62</f>
        <v>2.4810392360756592E-4</v>
      </c>
      <c r="AO223" s="137">
        <f>Transportation_LCIA!S$61*($W223^Transportation_LCIA!S$60)+Transportation_LCIA!S$62</f>
        <v>3.7784816746894015E-6</v>
      </c>
      <c r="AP223" s="137">
        <f>Transportation_LCIA!T$61*($W223^Transportation_LCIA!T$60)+Transportation_LCIA!T$62</f>
        <v>3.7784816746894015E-6</v>
      </c>
      <c r="AQ223" s="137">
        <f>Transportation_LCIA!U$61*($W223^Transportation_LCIA!U$60)+Transportation_LCIA!U$62</f>
        <v>5.3084715123251445E-4</v>
      </c>
      <c r="AR223" s="137">
        <f>Transportation_LCIA!V$61*($W223^Transportation_LCIA!V$60)+Transportation_LCIA!V$62</f>
        <v>2.1853136585972262E-4</v>
      </c>
      <c r="AT223" s="137">
        <f>$W223*Y223+$L223*Summary_LCIA!H$32</f>
        <v>266.8257480447071</v>
      </c>
      <c r="AU223" s="137">
        <f>$W223*Z223+$L223*Summary_LCIA!Q$32</f>
        <v>2734.7355763560572</v>
      </c>
      <c r="AV223" s="137">
        <f>$W223*AA223+$L223*Summary_LCIA!R$32</f>
        <v>1.2844533483747995</v>
      </c>
      <c r="AW223" s="137">
        <f>$W223*AB223+$L223*Summary_LCIA!S$32</f>
        <v>266.76335090470712</v>
      </c>
      <c r="AX223" s="137">
        <f>$W223*AC223+$L223*Summary_LCIA!T$32</f>
        <v>63.89024185971698</v>
      </c>
      <c r="AY223" s="137">
        <f>$W223*AD223+$L223*Summary_LCIA!U$32</f>
        <v>0.54935876183043542</v>
      </c>
      <c r="AZ223" s="137">
        <f>$W223*AE223+$L223*Summary_LCIA!V$32</f>
        <v>6.8796168912911319E-3</v>
      </c>
      <c r="BA223" s="137">
        <f>$W223*AF223+$L223*Summary_LCIA!W$32</f>
        <v>10.265614080910979</v>
      </c>
      <c r="BB223" s="137">
        <f>$W223*AG223+$L223*Summary_LCIA!X$32</f>
        <v>13.461308303104365</v>
      </c>
      <c r="BC223" s="137">
        <f>$W223*AH223+$L223*Summary_LCIA!Y$32</f>
        <v>0.47500276974797828</v>
      </c>
      <c r="BD223" s="137">
        <f>$W223*AI223+$L223*Summary_LCIA!Z$32</f>
        <v>0.27352976513837207</v>
      </c>
      <c r="BE223" s="137">
        <f>$W223*AJ223+$L223*Summary_LCIA!AA$32</f>
        <v>1.3977173441631217</v>
      </c>
      <c r="BF223" s="137">
        <f>$W223*AK223+$L223*Summary_LCIA!AB$32</f>
        <v>6.5531232224010125E-2</v>
      </c>
      <c r="BG223" s="137">
        <f>$W223*AL223+$L223*Summary_LCIA!AC$32</f>
        <v>3.2547307497430363E-5</v>
      </c>
      <c r="BH223" s="137">
        <f>$W223*AM223+$L223*Summary_LCIA!AD$32</f>
        <v>0.10692432242033351</v>
      </c>
      <c r="BI223" s="137">
        <f>$W223*AN223+$L223*Summary_LCIA!AE$32</f>
        <v>0.3110941246693078</v>
      </c>
      <c r="BJ223" s="137">
        <f>$W223*AO223+$L223*Summary_LCIA!AF$32</f>
        <v>1.6482068228996116E-2</v>
      </c>
      <c r="BK223" s="137">
        <f>$W223*AP223+$L223*Summary_LCIA!AG$32</f>
        <v>5.2695703939961164E-3</v>
      </c>
      <c r="BL223" s="137">
        <f>$W223*AQ223+$L223*Summary_LCIA!AH$32</f>
        <v>0.76172519950102113</v>
      </c>
      <c r="BM223" s="137">
        <f>$W223*AR223+$L223*Summary_LCIA!AI$32</f>
        <v>0.27614575210771375</v>
      </c>
    </row>
    <row r="224" spans="1:65" x14ac:dyDescent="0.25">
      <c r="A224" s="149">
        <v>61</v>
      </c>
      <c r="B224" s="149">
        <v>6</v>
      </c>
      <c r="C224" s="61">
        <v>45.504741000000003</v>
      </c>
      <c r="D224" s="61">
        <v>-73.614750999999998</v>
      </c>
      <c r="E224" s="61" t="s">
        <v>458</v>
      </c>
      <c r="F224" s="149">
        <v>124</v>
      </c>
      <c r="G224" s="61" t="s">
        <v>654</v>
      </c>
      <c r="H224" s="61" t="s">
        <v>655</v>
      </c>
      <c r="I224" s="61">
        <v>45.465685000000001</v>
      </c>
      <c r="J224" s="61">
        <v>-73.745480999999998</v>
      </c>
      <c r="K224" s="61">
        <v>12.713174800000001</v>
      </c>
      <c r="L224" s="61">
        <v>14.117000000000001</v>
      </c>
      <c r="M224" s="61" t="s">
        <v>617</v>
      </c>
      <c r="N224" s="149">
        <v>5</v>
      </c>
      <c r="O224" s="149">
        <v>6</v>
      </c>
      <c r="P224" s="61" t="s">
        <v>565</v>
      </c>
      <c r="Q224" s="61" t="s">
        <v>564</v>
      </c>
      <c r="R224" s="61">
        <v>41.98028</v>
      </c>
      <c r="S224" s="61">
        <v>-87.908997900000003</v>
      </c>
      <c r="T224" s="61">
        <v>1391.5139999999999</v>
      </c>
      <c r="U224" s="61" t="s">
        <v>617</v>
      </c>
      <c r="V224" s="61" t="s">
        <v>569</v>
      </c>
      <c r="W224" s="61" cm="1">
        <f t="array" ref="W224">getDistance(I224,J224,R224,S224)*SA!$B$12</f>
        <v>1203.4659634467887</v>
      </c>
      <c r="X224" s="61"/>
      <c r="Y224" s="137">
        <f>Transportation_LCIA!C$61*($W224^Transportation_LCIA!C$60)+Transportation_LCIA!C$62</f>
        <v>0.21772846046617148</v>
      </c>
      <c r="Z224" s="137">
        <f>Transportation_LCIA!D$61*($W224^Transportation_LCIA!D$60)+Transportation_LCIA!D$62</f>
        <v>2.2142470940859469</v>
      </c>
      <c r="AA224" s="137">
        <f>Transportation_LCIA!E$61*($W224^Transportation_LCIA!E$60)+Transportation_LCIA!E$62</f>
        <v>1.0055281245420159E-3</v>
      </c>
      <c r="AB224" s="137">
        <f>Transportation_LCIA!F$61*($W224^Transportation_LCIA!F$60)+Transportation_LCIA!F$62</f>
        <v>0.21772846046617148</v>
      </c>
      <c r="AC224" s="137">
        <f>Transportation_LCIA!G$61*($W224^Transportation_LCIA!G$60)+Transportation_LCIA!G$62</f>
        <v>5.1799374019000491E-2</v>
      </c>
      <c r="AD224" s="137">
        <f>Transportation_LCIA!H$61*($W224^Transportation_LCIA!H$60)+Transportation_LCIA!H$62</f>
        <v>2.4634416995171114E-4</v>
      </c>
      <c r="AE224" s="137">
        <f>Transportation_LCIA!I$61*($W224^Transportation_LCIA!I$60)+Transportation_LCIA!I$62</f>
        <v>5.1562528918712568E-6</v>
      </c>
      <c r="AF224" s="137">
        <f>Transportation_LCIA!J$61*($W224^Transportation_LCIA!J$60)+Transportation_LCIA!J$62</f>
        <v>7.6271492112845521E-3</v>
      </c>
      <c r="AG224" s="137">
        <f>Transportation_LCIA!K$61*($W224^Transportation_LCIA!K$60)+Transportation_LCIA!K$62</f>
        <v>1.0918234035860491E-2</v>
      </c>
      <c r="AH224" s="137">
        <f>Transportation_LCIA!L$61*($W224^Transportation_LCIA!L$60)+Transportation_LCIA!L$62</f>
        <v>2.1191432370679968E-4</v>
      </c>
      <c r="AI224" s="137">
        <f>Transportation_LCIA!M$61*($W224^Transportation_LCIA!M$60)+Transportation_LCIA!M$62</f>
        <v>2.2680395572104655E-4</v>
      </c>
      <c r="AJ224" s="137">
        <f>Transportation_LCIA!N$61*($W224^Transportation_LCIA!N$60)+Transportation_LCIA!N$62</f>
        <v>8.8743738884339729E-4</v>
      </c>
      <c r="AK224" s="137">
        <f>Transportation_LCIA!O$61*($W224^Transportation_LCIA!O$60)+Transportation_LCIA!O$62</f>
        <v>5.4708076102495621E-5</v>
      </c>
      <c r="AL224" s="137">
        <f>Transportation_LCIA!P$61*($W224^Transportation_LCIA!P$60)+Transportation_LCIA!P$62</f>
        <v>2.647121982427294E-8</v>
      </c>
      <c r="AM224" s="137">
        <f>Transportation_LCIA!Q$61*($W224^Transportation_LCIA!Q$60)+Transportation_LCIA!Q$62</f>
        <v>8.4025368237848467E-5</v>
      </c>
      <c r="AN224" s="137">
        <f>Transportation_LCIA!R$61*($W224^Transportation_LCIA!R$60)+Transportation_LCIA!R$62</f>
        <v>2.4810392360756592E-4</v>
      </c>
      <c r="AO224" s="137">
        <f>Transportation_LCIA!S$61*($W224^Transportation_LCIA!S$60)+Transportation_LCIA!S$62</f>
        <v>3.7784816746894015E-6</v>
      </c>
      <c r="AP224" s="137">
        <f>Transportation_LCIA!T$61*($W224^Transportation_LCIA!T$60)+Transportation_LCIA!T$62</f>
        <v>3.7784816746894015E-6</v>
      </c>
      <c r="AQ224" s="137">
        <f>Transportation_LCIA!U$61*($W224^Transportation_LCIA!U$60)+Transportation_LCIA!U$62</f>
        <v>5.3084715123251445E-4</v>
      </c>
      <c r="AR224" s="137">
        <f>Transportation_LCIA!V$61*($W224^Transportation_LCIA!V$60)+Transportation_LCIA!V$62</f>
        <v>2.1853136585972262E-4</v>
      </c>
      <c r="AT224" s="137">
        <f>$W224*Y224+$L224*Summary_LCIA!H$32</f>
        <v>266.8257480447071</v>
      </c>
      <c r="AU224" s="137">
        <f>$W224*Z224+$L224*Summary_LCIA!Q$32</f>
        <v>2734.7355763560572</v>
      </c>
      <c r="AV224" s="137">
        <f>$W224*AA224+$L224*Summary_LCIA!R$32</f>
        <v>1.2844533483747995</v>
      </c>
      <c r="AW224" s="137">
        <f>$W224*AB224+$L224*Summary_LCIA!S$32</f>
        <v>266.76335090470712</v>
      </c>
      <c r="AX224" s="137">
        <f>$W224*AC224+$L224*Summary_LCIA!T$32</f>
        <v>63.89024185971698</v>
      </c>
      <c r="AY224" s="137">
        <f>$W224*AD224+$L224*Summary_LCIA!U$32</f>
        <v>0.54935876183043542</v>
      </c>
      <c r="AZ224" s="137">
        <f>$W224*AE224+$L224*Summary_LCIA!V$32</f>
        <v>6.8796168912911319E-3</v>
      </c>
      <c r="BA224" s="137">
        <f>$W224*AF224+$L224*Summary_LCIA!W$32</f>
        <v>10.265614080910979</v>
      </c>
      <c r="BB224" s="137">
        <f>$W224*AG224+$L224*Summary_LCIA!X$32</f>
        <v>13.461308303104365</v>
      </c>
      <c r="BC224" s="137">
        <f>$W224*AH224+$L224*Summary_LCIA!Y$32</f>
        <v>0.47500276974797828</v>
      </c>
      <c r="BD224" s="137">
        <f>$W224*AI224+$L224*Summary_LCIA!Z$32</f>
        <v>0.27352976513837207</v>
      </c>
      <c r="BE224" s="137">
        <f>$W224*AJ224+$L224*Summary_LCIA!AA$32</f>
        <v>1.3977173441631217</v>
      </c>
      <c r="BF224" s="137">
        <f>$W224*AK224+$L224*Summary_LCIA!AB$32</f>
        <v>6.5531232224010125E-2</v>
      </c>
      <c r="BG224" s="137">
        <f>$W224*AL224+$L224*Summary_LCIA!AC$32</f>
        <v>3.2547307497430363E-5</v>
      </c>
      <c r="BH224" s="137">
        <f>$W224*AM224+$L224*Summary_LCIA!AD$32</f>
        <v>0.10692432242033351</v>
      </c>
      <c r="BI224" s="137">
        <f>$W224*AN224+$L224*Summary_LCIA!AE$32</f>
        <v>0.3110941246693078</v>
      </c>
      <c r="BJ224" s="137">
        <f>$W224*AO224+$L224*Summary_LCIA!AF$32</f>
        <v>1.6482068228996116E-2</v>
      </c>
      <c r="BK224" s="137">
        <f>$W224*AP224+$L224*Summary_LCIA!AG$32</f>
        <v>5.2695703939961164E-3</v>
      </c>
      <c r="BL224" s="137">
        <f>$W224*AQ224+$L224*Summary_LCIA!AH$32</f>
        <v>0.76172519950102113</v>
      </c>
      <c r="BM224" s="137">
        <f>$W224*AR224+$L224*Summary_LCIA!AI$32</f>
        <v>0.27614575210771375</v>
      </c>
    </row>
    <row r="225" spans="1:65" x14ac:dyDescent="0.25">
      <c r="A225" s="149">
        <v>62</v>
      </c>
      <c r="B225" s="149">
        <v>6</v>
      </c>
      <c r="C225" s="61">
        <v>45.504741000000003</v>
      </c>
      <c r="D225" s="61">
        <v>-73.614750999999998</v>
      </c>
      <c r="E225" s="61" t="s">
        <v>458</v>
      </c>
      <c r="F225" s="149">
        <v>124</v>
      </c>
      <c r="G225" s="61" t="s">
        <v>654</v>
      </c>
      <c r="H225" s="61" t="s">
        <v>655</v>
      </c>
      <c r="I225" s="61">
        <v>45.465685000000001</v>
      </c>
      <c r="J225" s="61">
        <v>-73.745480999999998</v>
      </c>
      <c r="K225" s="61">
        <v>12.713174800000001</v>
      </c>
      <c r="L225" s="61">
        <v>14.117000000000001</v>
      </c>
      <c r="M225" s="61" t="s">
        <v>617</v>
      </c>
      <c r="N225" s="149">
        <v>5</v>
      </c>
      <c r="O225" s="149">
        <v>6</v>
      </c>
      <c r="P225" s="61" t="s">
        <v>565</v>
      </c>
      <c r="Q225" s="61" t="s">
        <v>564</v>
      </c>
      <c r="R225" s="61">
        <v>41.98028</v>
      </c>
      <c r="S225" s="61">
        <v>-87.908997900000003</v>
      </c>
      <c r="T225" s="61">
        <v>1391.5139999999999</v>
      </c>
      <c r="U225" s="61" t="s">
        <v>617</v>
      </c>
      <c r="V225" s="61" t="s">
        <v>569</v>
      </c>
      <c r="W225" s="61" cm="1">
        <f t="array" ref="W225">getDistance(I225,J225,R225,S225)*SA!$B$12</f>
        <v>1203.4659634467887</v>
      </c>
      <c r="X225" s="61"/>
      <c r="Y225" s="137">
        <f>Transportation_LCIA!C$61*($W225^Transportation_LCIA!C$60)+Transportation_LCIA!C$62</f>
        <v>0.21772846046617148</v>
      </c>
      <c r="Z225" s="137">
        <f>Transportation_LCIA!D$61*($W225^Transportation_LCIA!D$60)+Transportation_LCIA!D$62</f>
        <v>2.2142470940859469</v>
      </c>
      <c r="AA225" s="137">
        <f>Transportation_LCIA!E$61*($W225^Transportation_LCIA!E$60)+Transportation_LCIA!E$62</f>
        <v>1.0055281245420159E-3</v>
      </c>
      <c r="AB225" s="137">
        <f>Transportation_LCIA!F$61*($W225^Transportation_LCIA!F$60)+Transportation_LCIA!F$62</f>
        <v>0.21772846046617148</v>
      </c>
      <c r="AC225" s="137">
        <f>Transportation_LCIA!G$61*($W225^Transportation_LCIA!G$60)+Transportation_LCIA!G$62</f>
        <v>5.1799374019000491E-2</v>
      </c>
      <c r="AD225" s="137">
        <f>Transportation_LCIA!H$61*($W225^Transportation_LCIA!H$60)+Transportation_LCIA!H$62</f>
        <v>2.4634416995171114E-4</v>
      </c>
      <c r="AE225" s="137">
        <f>Transportation_LCIA!I$61*($W225^Transportation_LCIA!I$60)+Transportation_LCIA!I$62</f>
        <v>5.1562528918712568E-6</v>
      </c>
      <c r="AF225" s="137">
        <f>Transportation_LCIA!J$61*($W225^Transportation_LCIA!J$60)+Transportation_LCIA!J$62</f>
        <v>7.6271492112845521E-3</v>
      </c>
      <c r="AG225" s="137">
        <f>Transportation_LCIA!K$61*($W225^Transportation_LCIA!K$60)+Transportation_LCIA!K$62</f>
        <v>1.0918234035860491E-2</v>
      </c>
      <c r="AH225" s="137">
        <f>Transportation_LCIA!L$61*($W225^Transportation_LCIA!L$60)+Transportation_LCIA!L$62</f>
        <v>2.1191432370679968E-4</v>
      </c>
      <c r="AI225" s="137">
        <f>Transportation_LCIA!M$61*($W225^Transportation_LCIA!M$60)+Transportation_LCIA!M$62</f>
        <v>2.2680395572104655E-4</v>
      </c>
      <c r="AJ225" s="137">
        <f>Transportation_LCIA!N$61*($W225^Transportation_LCIA!N$60)+Transportation_LCIA!N$62</f>
        <v>8.8743738884339729E-4</v>
      </c>
      <c r="AK225" s="137">
        <f>Transportation_LCIA!O$61*($W225^Transportation_LCIA!O$60)+Transportation_LCIA!O$62</f>
        <v>5.4708076102495621E-5</v>
      </c>
      <c r="AL225" s="137">
        <f>Transportation_LCIA!P$61*($W225^Transportation_LCIA!P$60)+Transportation_LCIA!P$62</f>
        <v>2.647121982427294E-8</v>
      </c>
      <c r="AM225" s="137">
        <f>Transportation_LCIA!Q$61*($W225^Transportation_LCIA!Q$60)+Transportation_LCIA!Q$62</f>
        <v>8.4025368237848467E-5</v>
      </c>
      <c r="AN225" s="137">
        <f>Transportation_LCIA!R$61*($W225^Transportation_LCIA!R$60)+Transportation_LCIA!R$62</f>
        <v>2.4810392360756592E-4</v>
      </c>
      <c r="AO225" s="137">
        <f>Transportation_LCIA!S$61*($W225^Transportation_LCIA!S$60)+Transportation_LCIA!S$62</f>
        <v>3.7784816746894015E-6</v>
      </c>
      <c r="AP225" s="137">
        <f>Transportation_LCIA!T$61*($W225^Transportation_LCIA!T$60)+Transportation_LCIA!T$62</f>
        <v>3.7784816746894015E-6</v>
      </c>
      <c r="AQ225" s="137">
        <f>Transportation_LCIA!U$61*($W225^Transportation_LCIA!U$60)+Transportation_LCIA!U$62</f>
        <v>5.3084715123251445E-4</v>
      </c>
      <c r="AR225" s="137">
        <f>Transportation_LCIA!V$61*($W225^Transportation_LCIA!V$60)+Transportation_LCIA!V$62</f>
        <v>2.1853136585972262E-4</v>
      </c>
      <c r="AT225" s="137">
        <f>$W225*Y225+$L225*Summary_LCIA!H$32</f>
        <v>266.8257480447071</v>
      </c>
      <c r="AU225" s="137">
        <f>$W225*Z225+$L225*Summary_LCIA!Q$32</f>
        <v>2734.7355763560572</v>
      </c>
      <c r="AV225" s="137">
        <f>$W225*AA225+$L225*Summary_LCIA!R$32</f>
        <v>1.2844533483747995</v>
      </c>
      <c r="AW225" s="137">
        <f>$W225*AB225+$L225*Summary_LCIA!S$32</f>
        <v>266.76335090470712</v>
      </c>
      <c r="AX225" s="137">
        <f>$W225*AC225+$L225*Summary_LCIA!T$32</f>
        <v>63.89024185971698</v>
      </c>
      <c r="AY225" s="137">
        <f>$W225*AD225+$L225*Summary_LCIA!U$32</f>
        <v>0.54935876183043542</v>
      </c>
      <c r="AZ225" s="137">
        <f>$W225*AE225+$L225*Summary_LCIA!V$32</f>
        <v>6.8796168912911319E-3</v>
      </c>
      <c r="BA225" s="137">
        <f>$W225*AF225+$L225*Summary_LCIA!W$32</f>
        <v>10.265614080910979</v>
      </c>
      <c r="BB225" s="137">
        <f>$W225*AG225+$L225*Summary_LCIA!X$32</f>
        <v>13.461308303104365</v>
      </c>
      <c r="BC225" s="137">
        <f>$W225*AH225+$L225*Summary_LCIA!Y$32</f>
        <v>0.47500276974797828</v>
      </c>
      <c r="BD225" s="137">
        <f>$W225*AI225+$L225*Summary_LCIA!Z$32</f>
        <v>0.27352976513837207</v>
      </c>
      <c r="BE225" s="137">
        <f>$W225*AJ225+$L225*Summary_LCIA!AA$32</f>
        <v>1.3977173441631217</v>
      </c>
      <c r="BF225" s="137">
        <f>$W225*AK225+$L225*Summary_LCIA!AB$32</f>
        <v>6.5531232224010125E-2</v>
      </c>
      <c r="BG225" s="137">
        <f>$W225*AL225+$L225*Summary_LCIA!AC$32</f>
        <v>3.2547307497430363E-5</v>
      </c>
      <c r="BH225" s="137">
        <f>$W225*AM225+$L225*Summary_LCIA!AD$32</f>
        <v>0.10692432242033351</v>
      </c>
      <c r="BI225" s="137">
        <f>$W225*AN225+$L225*Summary_LCIA!AE$32</f>
        <v>0.3110941246693078</v>
      </c>
      <c r="BJ225" s="137">
        <f>$W225*AO225+$L225*Summary_LCIA!AF$32</f>
        <v>1.6482068228996116E-2</v>
      </c>
      <c r="BK225" s="137">
        <f>$W225*AP225+$L225*Summary_LCIA!AG$32</f>
        <v>5.2695703939961164E-3</v>
      </c>
      <c r="BL225" s="137">
        <f>$W225*AQ225+$L225*Summary_LCIA!AH$32</f>
        <v>0.76172519950102113</v>
      </c>
      <c r="BM225" s="137">
        <f>$W225*AR225+$L225*Summary_LCIA!AI$32</f>
        <v>0.27614575210771375</v>
      </c>
    </row>
    <row r="226" spans="1:65" x14ac:dyDescent="0.25">
      <c r="A226" s="149">
        <v>92</v>
      </c>
      <c r="B226" s="149">
        <v>6</v>
      </c>
      <c r="C226" s="61">
        <v>45.514125999999997</v>
      </c>
      <c r="D226" s="61">
        <v>-73.560551000000004</v>
      </c>
      <c r="E226" s="61" t="s">
        <v>458</v>
      </c>
      <c r="F226" s="149">
        <v>124</v>
      </c>
      <c r="G226" s="61" t="s">
        <v>654</v>
      </c>
      <c r="H226" s="61" t="s">
        <v>655</v>
      </c>
      <c r="I226" s="61">
        <v>45.465685000000001</v>
      </c>
      <c r="J226" s="61">
        <v>-73.745480999999998</v>
      </c>
      <c r="K226" s="61">
        <v>17.39246069</v>
      </c>
      <c r="L226" s="61">
        <v>21.344000000000001</v>
      </c>
      <c r="M226" s="61" t="s">
        <v>617</v>
      </c>
      <c r="N226" s="149">
        <v>5</v>
      </c>
      <c r="O226" s="149">
        <v>6</v>
      </c>
      <c r="P226" s="61" t="s">
        <v>565</v>
      </c>
      <c r="Q226" s="61" t="s">
        <v>564</v>
      </c>
      <c r="R226" s="61">
        <v>41.98028</v>
      </c>
      <c r="S226" s="61">
        <v>-87.908997900000003</v>
      </c>
      <c r="T226" s="61">
        <v>1392.616</v>
      </c>
      <c r="U226" s="61" t="s">
        <v>617</v>
      </c>
      <c r="V226" s="61" t="s">
        <v>569</v>
      </c>
      <c r="W226" s="61" cm="1">
        <f t="array" ref="W226">getDistance(I226,J226,R226,S226)*SA!$B$12</f>
        <v>1203.4659634467887</v>
      </c>
      <c r="X226" s="61"/>
      <c r="Y226" s="137">
        <f>Transportation_LCIA!C$61*($W226^Transportation_LCIA!C$60)+Transportation_LCIA!C$62</f>
        <v>0.21772846046617148</v>
      </c>
      <c r="Z226" s="137">
        <f>Transportation_LCIA!D$61*($W226^Transportation_LCIA!D$60)+Transportation_LCIA!D$62</f>
        <v>2.2142470940859469</v>
      </c>
      <c r="AA226" s="137">
        <f>Transportation_LCIA!E$61*($W226^Transportation_LCIA!E$60)+Transportation_LCIA!E$62</f>
        <v>1.0055281245420159E-3</v>
      </c>
      <c r="AB226" s="137">
        <f>Transportation_LCIA!F$61*($W226^Transportation_LCIA!F$60)+Transportation_LCIA!F$62</f>
        <v>0.21772846046617148</v>
      </c>
      <c r="AC226" s="137">
        <f>Transportation_LCIA!G$61*($W226^Transportation_LCIA!G$60)+Transportation_LCIA!G$62</f>
        <v>5.1799374019000491E-2</v>
      </c>
      <c r="AD226" s="137">
        <f>Transportation_LCIA!H$61*($W226^Transportation_LCIA!H$60)+Transportation_LCIA!H$62</f>
        <v>2.4634416995171114E-4</v>
      </c>
      <c r="AE226" s="137">
        <f>Transportation_LCIA!I$61*($W226^Transportation_LCIA!I$60)+Transportation_LCIA!I$62</f>
        <v>5.1562528918712568E-6</v>
      </c>
      <c r="AF226" s="137">
        <f>Transportation_LCIA!J$61*($W226^Transportation_LCIA!J$60)+Transportation_LCIA!J$62</f>
        <v>7.6271492112845521E-3</v>
      </c>
      <c r="AG226" s="137">
        <f>Transportation_LCIA!K$61*($W226^Transportation_LCIA!K$60)+Transportation_LCIA!K$62</f>
        <v>1.0918234035860491E-2</v>
      </c>
      <c r="AH226" s="137">
        <f>Transportation_LCIA!L$61*($W226^Transportation_LCIA!L$60)+Transportation_LCIA!L$62</f>
        <v>2.1191432370679968E-4</v>
      </c>
      <c r="AI226" s="137">
        <f>Transportation_LCIA!M$61*($W226^Transportation_LCIA!M$60)+Transportation_LCIA!M$62</f>
        <v>2.2680395572104655E-4</v>
      </c>
      <c r="AJ226" s="137">
        <f>Transportation_LCIA!N$61*($W226^Transportation_LCIA!N$60)+Transportation_LCIA!N$62</f>
        <v>8.8743738884339729E-4</v>
      </c>
      <c r="AK226" s="137">
        <f>Transportation_LCIA!O$61*($W226^Transportation_LCIA!O$60)+Transportation_LCIA!O$62</f>
        <v>5.4708076102495621E-5</v>
      </c>
      <c r="AL226" s="137">
        <f>Transportation_LCIA!P$61*($W226^Transportation_LCIA!P$60)+Transportation_LCIA!P$62</f>
        <v>2.647121982427294E-8</v>
      </c>
      <c r="AM226" s="137">
        <f>Transportation_LCIA!Q$61*($W226^Transportation_LCIA!Q$60)+Transportation_LCIA!Q$62</f>
        <v>8.4025368237848467E-5</v>
      </c>
      <c r="AN226" s="137">
        <f>Transportation_LCIA!R$61*($W226^Transportation_LCIA!R$60)+Transportation_LCIA!R$62</f>
        <v>2.4810392360756592E-4</v>
      </c>
      <c r="AO226" s="137">
        <f>Transportation_LCIA!S$61*($W226^Transportation_LCIA!S$60)+Transportation_LCIA!S$62</f>
        <v>3.7784816746894015E-6</v>
      </c>
      <c r="AP226" s="137">
        <f>Transportation_LCIA!T$61*($W226^Transportation_LCIA!T$60)+Transportation_LCIA!T$62</f>
        <v>3.7784816746894015E-6</v>
      </c>
      <c r="AQ226" s="137">
        <f>Transportation_LCIA!U$61*($W226^Transportation_LCIA!U$60)+Transportation_LCIA!U$62</f>
        <v>5.3084715123251445E-4</v>
      </c>
      <c r="AR226" s="137">
        <f>Transportation_LCIA!V$61*($W226^Transportation_LCIA!V$60)+Transportation_LCIA!V$62</f>
        <v>2.1853136585972262E-4</v>
      </c>
      <c r="AT226" s="137">
        <f>$W226*Y226+$L226*Summary_LCIA!H$32</f>
        <v>269.28148264470713</v>
      </c>
      <c r="AU226" s="137">
        <f>$W226*Z226+$L226*Summary_LCIA!Q$32</f>
        <v>2770.5529528353482</v>
      </c>
      <c r="AV226" s="137">
        <f>$W226*AA226+$L226*Summary_LCIA!R$32</f>
        <v>1.3225078395747996</v>
      </c>
      <c r="AW226" s="137">
        <f>$W226*AB226+$L226*Summary_LCIA!S$32</f>
        <v>269.1871421647071</v>
      </c>
      <c r="AX226" s="137">
        <f>$W226*AC226+$L226*Summary_LCIA!T$32</f>
        <v>64.684489159716975</v>
      </c>
      <c r="AY226" s="137">
        <f>$W226*AD226+$L226*Summary_LCIA!U$32</f>
        <v>0.67882323983043547</v>
      </c>
      <c r="AZ226" s="137">
        <f>$W226*AE226+$L226*Summary_LCIA!V$32</f>
        <v>7.2247856382911327E-3</v>
      </c>
      <c r="BA226" s="137">
        <f>$W226*AF226+$L226*Summary_LCIA!W$32</f>
        <v>10.821883497910978</v>
      </c>
      <c r="BB226" s="137">
        <f>$W226*AG226+$L226*Summary_LCIA!X$32</f>
        <v>13.625939363104365</v>
      </c>
      <c r="BC226" s="137">
        <f>$W226*AH226+$L226*Summary_LCIA!Y$32</f>
        <v>0.58761388374797829</v>
      </c>
      <c r="BD226" s="137">
        <f>$W226*AI226+$L226*Summary_LCIA!Z$32</f>
        <v>0.27382613718137211</v>
      </c>
      <c r="BE226" s="137">
        <f>$W226*AJ226+$L226*Summary_LCIA!AA$32</f>
        <v>1.5665111561631215</v>
      </c>
      <c r="BF226" s="137">
        <f>$W226*AK226+$L226*Summary_LCIA!AB$32</f>
        <v>6.5373517403010131E-2</v>
      </c>
      <c r="BG226" s="137">
        <f>$W226*AL226+$L226*Summary_LCIA!AC$32</f>
        <v>3.2900592165430366E-5</v>
      </c>
      <c r="BH226" s="137">
        <f>$W226*AM226+$L226*Summary_LCIA!AD$32</f>
        <v>0.1098949085003335</v>
      </c>
      <c r="BI226" s="137">
        <f>$W226*AN226+$L226*Summary_LCIA!AE$32</f>
        <v>0.31749818617930781</v>
      </c>
      <c r="BJ226" s="137">
        <f>$W226*AO226+$L226*Summary_LCIA!AF$32</f>
        <v>2.259191856899612E-2</v>
      </c>
      <c r="BK226" s="137">
        <f>$W226*AP226+$L226*Summary_LCIA!AG$32</f>
        <v>5.6393398489961166E-3</v>
      </c>
      <c r="BL226" s="137">
        <f>$W226*AQ226+$L226*Summary_LCIA!AH$32</f>
        <v>0.82462611670102115</v>
      </c>
      <c r="BM226" s="137">
        <f>$W226*AR226+$L226*Summary_LCIA!AI$32</f>
        <v>0.28287806395771375</v>
      </c>
    </row>
    <row r="227" spans="1:65" x14ac:dyDescent="0.25">
      <c r="A227" s="149">
        <v>290</v>
      </c>
      <c r="B227" s="149">
        <v>6</v>
      </c>
      <c r="C227" s="61">
        <v>30.421309000000001</v>
      </c>
      <c r="D227" s="61">
        <v>-87.216915</v>
      </c>
      <c r="E227" s="61" t="s">
        <v>265</v>
      </c>
      <c r="F227" s="149">
        <v>98</v>
      </c>
      <c r="G227" s="61" t="s">
        <v>713</v>
      </c>
      <c r="H227" s="61" t="s">
        <v>714</v>
      </c>
      <c r="I227" s="61">
        <v>29.991091000000001</v>
      </c>
      <c r="J227" s="61">
        <v>-90.259230000000002</v>
      </c>
      <c r="K227" s="61">
        <v>302.75969529999998</v>
      </c>
      <c r="L227" s="61">
        <v>342.399</v>
      </c>
      <c r="M227" s="61" t="s">
        <v>617</v>
      </c>
      <c r="N227" s="149">
        <v>5</v>
      </c>
      <c r="O227" s="149">
        <v>6</v>
      </c>
      <c r="P227" s="61" t="s">
        <v>565</v>
      </c>
      <c r="Q227" s="61" t="s">
        <v>564</v>
      </c>
      <c r="R227" s="61">
        <v>41.98028</v>
      </c>
      <c r="S227" s="61">
        <v>-87.908997900000003</v>
      </c>
      <c r="T227" s="61">
        <v>1495.1489999999999</v>
      </c>
      <c r="U227" s="61" t="s">
        <v>617</v>
      </c>
      <c r="V227" s="61" t="s">
        <v>569</v>
      </c>
      <c r="W227" s="61" cm="1">
        <f t="array" ref="W227">getDistance(I227,J227,R227,S227)*SA!$B$12</f>
        <v>1349.8306218678963</v>
      </c>
      <c r="X227" s="61"/>
      <c r="Y227" s="137">
        <f>Transportation_LCIA!C$61*($W227^Transportation_LCIA!C$60)+Transportation_LCIA!C$62</f>
        <v>0.20801288224603856</v>
      </c>
      <c r="Z227" s="137">
        <f>Transportation_LCIA!D$61*($W227^Transportation_LCIA!D$60)+Transportation_LCIA!D$62</f>
        <v>2.1020713520322163</v>
      </c>
      <c r="AA227" s="137">
        <f>Transportation_LCIA!E$61*($W227^Transportation_LCIA!E$60)+Transportation_LCIA!E$62</f>
        <v>9.3199534224582881E-4</v>
      </c>
      <c r="AB227" s="137">
        <f>Transportation_LCIA!F$61*($W227^Transportation_LCIA!F$60)+Transportation_LCIA!F$62</f>
        <v>0.20801288224603856</v>
      </c>
      <c r="AC227" s="137">
        <f>Transportation_LCIA!G$61*($W227^Transportation_LCIA!G$60)+Transportation_LCIA!G$62</f>
        <v>4.9202485658922233E-2</v>
      </c>
      <c r="AD227" s="137">
        <f>Transportation_LCIA!H$61*($W227^Transportation_LCIA!H$60)+Transportation_LCIA!H$62</f>
        <v>2.3027146754317382E-4</v>
      </c>
      <c r="AE227" s="137">
        <f>Transportation_LCIA!I$61*($W227^Transportation_LCIA!I$60)+Transportation_LCIA!I$62</f>
        <v>4.7554938620881842E-6</v>
      </c>
      <c r="AF227" s="137">
        <f>Transportation_LCIA!J$61*($W227^Transportation_LCIA!J$60)+Transportation_LCIA!J$62</f>
        <v>7.0340266547689436E-3</v>
      </c>
      <c r="AG227" s="137">
        <f>Transportation_LCIA!K$61*($W227^Transportation_LCIA!K$60)+Transportation_LCIA!K$62</f>
        <v>1.0315298317133719E-2</v>
      </c>
      <c r="AH227" s="137">
        <f>Transportation_LCIA!L$61*($W227^Transportation_LCIA!L$60)+Transportation_LCIA!L$62</f>
        <v>1.9717823496531628E-4</v>
      </c>
      <c r="AI227" s="137">
        <f>Transportation_LCIA!M$61*($W227^Transportation_LCIA!M$60)+Transportation_LCIA!M$62</f>
        <v>2.1793644347759404E-4</v>
      </c>
      <c r="AJ227" s="137">
        <f>Transportation_LCIA!N$61*($W227^Transportation_LCIA!N$60)+Transportation_LCIA!N$62</f>
        <v>8.3335724645946727E-4</v>
      </c>
      <c r="AK227" s="137">
        <f>Transportation_LCIA!O$61*($W227^Transportation_LCIA!O$60)+Transportation_LCIA!O$62</f>
        <v>5.1949358329612822E-5</v>
      </c>
      <c r="AL227" s="137">
        <f>Transportation_LCIA!P$61*($W227^Transportation_LCIA!P$60)+Transportation_LCIA!P$62</f>
        <v>2.5143803133458951E-8</v>
      </c>
      <c r="AM227" s="137">
        <f>Transportation_LCIA!Q$61*($W227^Transportation_LCIA!Q$60)+Transportation_LCIA!Q$62</f>
        <v>7.8271982505673888E-5</v>
      </c>
      <c r="AN227" s="137">
        <f>Transportation_LCIA!R$61*($W227^Transportation_LCIA!R$60)+Transportation_LCIA!R$62</f>
        <v>2.2889077892715784E-4</v>
      </c>
      <c r="AO227" s="137">
        <f>Transportation_LCIA!S$61*($W227^Transportation_LCIA!S$60)+Transportation_LCIA!S$62</f>
        <v>3.5056897062849549E-6</v>
      </c>
      <c r="AP227" s="137">
        <f>Transportation_LCIA!T$61*($W227^Transportation_LCIA!T$60)+Transportation_LCIA!T$62</f>
        <v>3.5056897062849549E-6</v>
      </c>
      <c r="AQ227" s="137">
        <f>Transportation_LCIA!U$61*($W227^Transportation_LCIA!U$60)+Transportation_LCIA!U$62</f>
        <v>4.8878869207367895E-4</v>
      </c>
      <c r="AR227" s="137">
        <f>Transportation_LCIA!V$61*($W227^Transportation_LCIA!V$60)+Transportation_LCIA!V$62</f>
        <v>2.0359224667631099E-4</v>
      </c>
      <c r="AT227" s="137">
        <f>$W227*Y227+$L227*Summary_LCIA!H$32</f>
        <v>397.12933839870368</v>
      </c>
      <c r="AU227" s="137">
        <f>$W227*Z227+$L227*Summary_LCIA!Q$32</f>
        <v>4534.3869925331028</v>
      </c>
      <c r="AV227" s="137">
        <f>$W227*AA227+$L227*Summary_LCIA!R$32</f>
        <v>3.0609720268016698</v>
      </c>
      <c r="AW227" s="137">
        <f>$W227*AB227+$L227*Summary_LCIA!S$32</f>
        <v>395.61593481870375</v>
      </c>
      <c r="AX227" s="137">
        <f>$W227*AC227+$L227*Summary_LCIA!T$32</f>
        <v>104.04467191442924</v>
      </c>
      <c r="AY227" s="137">
        <f>$W227*AD227+$L227*Summary_LCIA!U$32</f>
        <v>6.4445631642322354</v>
      </c>
      <c r="AZ227" s="137">
        <f>$W227*AE227+$L227*Summary_LCIA!V$32</f>
        <v>2.2772429876151457E-2</v>
      </c>
      <c r="BA227" s="137">
        <f>$W227*AF227+$L227*Summary_LCIA!W$32</f>
        <v>35.84953800264212</v>
      </c>
      <c r="BB227" s="137">
        <f>$W227*AG227+$L227*Summary_LCIA!X$32</f>
        <v>21.72375476216947</v>
      </c>
      <c r="BC227" s="137">
        <f>$W227*AH227+$L227*Summary_LCIA!Y$32</f>
        <v>5.6014184375220477</v>
      </c>
      <c r="BD227" s="137">
        <f>$W227*AI227+$L227*Summary_LCIA!Z$32</f>
        <v>0.30821872561803837</v>
      </c>
      <c r="BE227" s="137">
        <f>$W227*AJ227+$L227*Summary_LCIA!AA$32</f>
        <v>9.1219621742264998</v>
      </c>
      <c r="BF227" s="137">
        <f>$W227*AK227+$L227*Summary_LCIA!AB$32</f>
        <v>6.2650661282699457E-2</v>
      </c>
      <c r="BG227" s="137">
        <f>$W227*AL227+$L227*Summary_LCIA!AC$32</f>
        <v>5.0677708135760855E-5</v>
      </c>
      <c r="BH227" s="137">
        <f>$W227*AM227+$L227*Summary_LCIA!AD$32</f>
        <v>0.24639360378046687</v>
      </c>
      <c r="BI227" s="137">
        <f>$W227*AN227+$L227*Summary_LCIA!AE$32</f>
        <v>0.61237380832907262</v>
      </c>
      <c r="BJ227" s="137">
        <f>$W227*AO227+$L227*Summary_LCIA!AF$32</f>
        <v>0.29420304989631052</v>
      </c>
      <c r="BK227" s="137">
        <f>$W227*AP227+$L227*Summary_LCIA!AG$32</f>
        <v>2.2250932151310507E-2</v>
      </c>
      <c r="BL227" s="137">
        <f>$W227*AQ227+$L227*Summary_LCIA!AH$32</f>
        <v>3.6398858805838099</v>
      </c>
      <c r="BM227" s="137">
        <f>$W227*AR227+$L227*Summary_LCIA!AI$32</f>
        <v>0.59377683738856701</v>
      </c>
    </row>
    <row r="228" spans="1:65" x14ac:dyDescent="0.25">
      <c r="A228" s="149">
        <v>103</v>
      </c>
      <c r="B228" s="149">
        <v>6</v>
      </c>
      <c r="C228" s="61">
        <v>32.890006</v>
      </c>
      <c r="D228" s="61">
        <v>-96.949909000000005</v>
      </c>
      <c r="E228" s="61" t="s">
        <v>265</v>
      </c>
      <c r="F228" s="149">
        <v>10</v>
      </c>
      <c r="G228" s="61" t="s">
        <v>565</v>
      </c>
      <c r="H228" s="61" t="s">
        <v>670</v>
      </c>
      <c r="I228" s="61">
        <v>32.899808999999998</v>
      </c>
      <c r="J228" s="61">
        <v>-97.040334999999999</v>
      </c>
      <c r="K228" s="61">
        <v>8.8253574990000008</v>
      </c>
      <c r="L228" s="61">
        <v>16.529</v>
      </c>
      <c r="M228" s="61" t="s">
        <v>617</v>
      </c>
      <c r="N228" s="149">
        <v>5</v>
      </c>
      <c r="O228" s="149">
        <v>6</v>
      </c>
      <c r="P228" s="61" t="s">
        <v>565</v>
      </c>
      <c r="Q228" s="61" t="s">
        <v>564</v>
      </c>
      <c r="R228" s="61">
        <v>41.98028</v>
      </c>
      <c r="S228" s="61">
        <v>-87.908997900000003</v>
      </c>
      <c r="T228" s="61">
        <v>1496.624</v>
      </c>
      <c r="U228" s="61" t="s">
        <v>617</v>
      </c>
      <c r="V228" s="61" t="s">
        <v>569</v>
      </c>
      <c r="W228" s="61" cm="1">
        <f t="array" ref="W228">getDistance(I228,J228,R228,S228)*SA!$B$12</f>
        <v>1291.7872894344653</v>
      </c>
      <c r="X228" s="61"/>
      <c r="Y228" s="137">
        <f>Transportation_LCIA!C$61*($W228^Transportation_LCIA!C$60)+Transportation_LCIA!C$62</f>
        <v>0.21162337694705974</v>
      </c>
      <c r="Z228" s="137">
        <f>Transportation_LCIA!D$61*($W228^Transportation_LCIA!D$60)+Transportation_LCIA!D$62</f>
        <v>2.1436925093962591</v>
      </c>
      <c r="AA228" s="137">
        <f>Transportation_LCIA!E$61*($W228^Transportation_LCIA!E$60)+Transportation_LCIA!E$62</f>
        <v>9.5926653653794739E-4</v>
      </c>
      <c r="AB228" s="137">
        <f>Transportation_LCIA!F$61*($W228^Transportation_LCIA!F$60)+Transportation_LCIA!F$62</f>
        <v>0.21162337694705974</v>
      </c>
      <c r="AC228" s="137">
        <f>Transportation_LCIA!G$61*($W228^Transportation_LCIA!G$60)+Transportation_LCIA!G$62</f>
        <v>5.0166111254428214E-2</v>
      </c>
      <c r="AD228" s="137">
        <f>Transportation_LCIA!H$61*($W228^Transportation_LCIA!H$60)+Transportation_LCIA!H$62</f>
        <v>2.362271635301581E-4</v>
      </c>
      <c r="AE228" s="137">
        <f>Transportation_LCIA!I$61*($W228^Transportation_LCIA!I$60)+Transportation_LCIA!I$62</f>
        <v>4.9037849811358031E-6</v>
      </c>
      <c r="AF228" s="137">
        <f>Transportation_LCIA!J$61*($W228^Transportation_LCIA!J$60)+Transportation_LCIA!J$62</f>
        <v>7.2532951539258875E-3</v>
      </c>
      <c r="AG228" s="137">
        <f>Transportation_LCIA!K$61*($W228^Transportation_LCIA!K$60)+Transportation_LCIA!K$62</f>
        <v>1.0538851486483609E-2</v>
      </c>
      <c r="AH228" s="137">
        <f>Transportation_LCIA!L$61*($W228^Transportation_LCIA!L$60)+Transportation_LCIA!L$62</f>
        <v>2.0263646324956692E-4</v>
      </c>
      <c r="AI228" s="137">
        <f>Transportation_LCIA!M$61*($W228^Transportation_LCIA!M$60)+Transportation_LCIA!M$62</f>
        <v>2.2122211944254895E-4</v>
      </c>
      <c r="AJ228" s="137">
        <f>Transportation_LCIA!N$61*($W228^Transportation_LCIA!N$60)+Transportation_LCIA!N$62</f>
        <v>8.5339873787620762E-4</v>
      </c>
      <c r="AK228" s="137">
        <f>Transportation_LCIA!O$61*($W228^Transportation_LCIA!O$60)+Transportation_LCIA!O$62</f>
        <v>5.2972989604295252E-5</v>
      </c>
      <c r="AL228" s="137">
        <f>Transportation_LCIA!P$61*($W228^Transportation_LCIA!P$60)+Transportation_LCIA!P$62</f>
        <v>2.5636403079485934E-8</v>
      </c>
      <c r="AM228" s="137">
        <f>Transportation_LCIA!Q$61*($W228^Transportation_LCIA!Q$60)+Transportation_LCIA!Q$62</f>
        <v>8.0402568993147012E-5</v>
      </c>
      <c r="AN228" s="137">
        <f>Transportation_LCIA!R$61*($W228^Transportation_LCIA!R$60)+Transportation_LCIA!R$62</f>
        <v>2.3599989309131735E-4</v>
      </c>
      <c r="AO228" s="137">
        <f>Transportation_LCIA!S$61*($W228^Transportation_LCIA!S$60)+Transportation_LCIA!S$62</f>
        <v>3.6066326626138448E-6</v>
      </c>
      <c r="AP228" s="137">
        <f>Transportation_LCIA!T$61*($W228^Transportation_LCIA!T$60)+Transportation_LCIA!T$62</f>
        <v>3.6066326626138448E-6</v>
      </c>
      <c r="AQ228" s="137">
        <f>Transportation_LCIA!U$61*($W228^Transportation_LCIA!U$60)+Transportation_LCIA!U$62</f>
        <v>5.0434671044135519E-4</v>
      </c>
      <c r="AR228" s="137">
        <f>Transportation_LCIA!V$61*($W228^Transportation_LCIA!V$60)+Transportation_LCIA!V$62</f>
        <v>2.0912294122374305E-4</v>
      </c>
      <c r="AT228" s="137">
        <f>$W228*Y228+$L228*Summary_LCIA!H$32</f>
        <v>278.98894268741037</v>
      </c>
      <c r="AU228" s="137">
        <f>$W228*Z228+$L228*Summary_LCIA!Q$32</f>
        <v>2851.1132937010179</v>
      </c>
      <c r="AV228" s="137">
        <f>$W228*AA228+$L228*Summary_LCIA!R$32</f>
        <v>1.3262034214795424</v>
      </c>
      <c r="AW228" s="137">
        <f>$W228*AB228+$L228*Summary_LCIA!S$32</f>
        <v>278.9158845074104</v>
      </c>
      <c r="AX228" s="137">
        <f>$W228*AC228+$L228*Summary_LCIA!T$32</f>
        <v>66.620481978825651</v>
      </c>
      <c r="AY228" s="137">
        <f>$W228*AD228+$L228*Summary_LCIA!U$32</f>
        <v>0.60125575326741509</v>
      </c>
      <c r="AZ228" s="137">
        <f>$W228*AE228+$L228*Summary_LCIA!V$32</f>
        <v>7.1240886777508595E-3</v>
      </c>
      <c r="BA228" s="137">
        <f>$W228*AF228+$L228*Summary_LCIA!W$32</f>
        <v>10.641968145358065</v>
      </c>
      <c r="BB228" s="137">
        <f>$W228*AG228+$L228*Summary_LCIA!X$32</f>
        <v>13.990485015477047</v>
      </c>
      <c r="BC228" s="137">
        <f>$W228*AH228+$L228*Summary_LCIA!Y$32</f>
        <v>0.51931808560174475</v>
      </c>
      <c r="BD228" s="137">
        <f>$W228*AI228+$L228*Summary_LCIA!Z$32</f>
        <v>0.28644975979863785</v>
      </c>
      <c r="BE228" s="137">
        <f>$W228*AJ228+$L228*Summary_LCIA!AA$32</f>
        <v>1.4884609664078998</v>
      </c>
      <c r="BF228" s="137">
        <f>$W228*AK228+$L228*Summary_LCIA!AB$32</f>
        <v>6.806912228717267E-2</v>
      </c>
      <c r="BG228" s="137">
        <f>$W228*AL228+$L228*Summary_LCIA!AC$32</f>
        <v>3.3924783280898512E-5</v>
      </c>
      <c r="BH228" s="137">
        <f>$W228*AM228+$L228*Summary_LCIA!AD$32</f>
        <v>0.11065709682322497</v>
      </c>
      <c r="BI228" s="137">
        <f>$W228*AN228+$L228*Summary_LCIA!AE$32</f>
        <v>0.31950850497325645</v>
      </c>
      <c r="BJ228" s="137">
        <f>$W228*AO228+$L228*Summary_LCIA!AF$32</f>
        <v>1.8632949411223749E-2</v>
      </c>
      <c r="BK228" s="137">
        <f>$W228*AP228+$L228*Summary_LCIA!AG$32</f>
        <v>5.5047085162237466E-3</v>
      </c>
      <c r="BL228" s="137">
        <f>$W228*AQ228+$L228*Summary_LCIA!AH$32</f>
        <v>0.79537047441622732</v>
      </c>
      <c r="BM228" s="137">
        <f>$W228*AR228+$L228*Summary_LCIA!AI$32</f>
        <v>0.28553994735198207</v>
      </c>
    </row>
    <row r="229" spans="1:65" x14ac:dyDescent="0.25">
      <c r="A229" s="149">
        <v>185</v>
      </c>
      <c r="B229" s="149">
        <v>6</v>
      </c>
      <c r="C229" s="61">
        <v>45.376868000000002</v>
      </c>
      <c r="D229" s="61">
        <v>-71.930583999999996</v>
      </c>
      <c r="E229" s="61" t="s">
        <v>458</v>
      </c>
      <c r="F229" s="149">
        <v>124</v>
      </c>
      <c r="G229" s="61" t="s">
        <v>654</v>
      </c>
      <c r="H229" s="61" t="s">
        <v>655</v>
      </c>
      <c r="I229" s="61">
        <v>45.465685000000001</v>
      </c>
      <c r="J229" s="61">
        <v>-73.745480999999998</v>
      </c>
      <c r="K229" s="61">
        <v>143.76694309999999</v>
      </c>
      <c r="L229" s="61">
        <v>167.62799999999999</v>
      </c>
      <c r="M229" s="61" t="s">
        <v>617</v>
      </c>
      <c r="N229" s="149">
        <v>5</v>
      </c>
      <c r="O229" s="149">
        <v>6</v>
      </c>
      <c r="P229" s="61" t="s">
        <v>565</v>
      </c>
      <c r="Q229" s="61" t="s">
        <v>564</v>
      </c>
      <c r="R229" s="61">
        <v>41.98028</v>
      </c>
      <c r="S229" s="61">
        <v>-87.908997900000003</v>
      </c>
      <c r="T229" s="61">
        <v>1547.0340000000001</v>
      </c>
      <c r="U229" s="61" t="s">
        <v>617</v>
      </c>
      <c r="V229" s="61" t="s">
        <v>569</v>
      </c>
      <c r="W229" s="61" cm="1">
        <f t="array" ref="W229">getDistance(I229,J229,R229,S229)*SA!$B$12</f>
        <v>1203.4659634467887</v>
      </c>
      <c r="X229" s="61"/>
      <c r="Y229" s="137">
        <f>Transportation_LCIA!C$61*($W229^Transportation_LCIA!C$60)+Transportation_LCIA!C$62</f>
        <v>0.21772846046617148</v>
      </c>
      <c r="Z229" s="137">
        <f>Transportation_LCIA!D$61*($W229^Transportation_LCIA!D$60)+Transportation_LCIA!D$62</f>
        <v>2.2142470940859469</v>
      </c>
      <c r="AA229" s="137">
        <f>Transportation_LCIA!E$61*($W229^Transportation_LCIA!E$60)+Transportation_LCIA!E$62</f>
        <v>1.0055281245420159E-3</v>
      </c>
      <c r="AB229" s="137">
        <f>Transportation_LCIA!F$61*($W229^Transportation_LCIA!F$60)+Transportation_LCIA!F$62</f>
        <v>0.21772846046617148</v>
      </c>
      <c r="AC229" s="137">
        <f>Transportation_LCIA!G$61*($W229^Transportation_LCIA!G$60)+Transportation_LCIA!G$62</f>
        <v>5.1799374019000491E-2</v>
      </c>
      <c r="AD229" s="137">
        <f>Transportation_LCIA!H$61*($W229^Transportation_LCIA!H$60)+Transportation_LCIA!H$62</f>
        <v>2.4634416995171114E-4</v>
      </c>
      <c r="AE229" s="137">
        <f>Transportation_LCIA!I$61*($W229^Transportation_LCIA!I$60)+Transportation_LCIA!I$62</f>
        <v>5.1562528918712568E-6</v>
      </c>
      <c r="AF229" s="137">
        <f>Transportation_LCIA!J$61*($W229^Transportation_LCIA!J$60)+Transportation_LCIA!J$62</f>
        <v>7.6271492112845521E-3</v>
      </c>
      <c r="AG229" s="137">
        <f>Transportation_LCIA!K$61*($W229^Transportation_LCIA!K$60)+Transportation_LCIA!K$62</f>
        <v>1.0918234035860491E-2</v>
      </c>
      <c r="AH229" s="137">
        <f>Transportation_LCIA!L$61*($W229^Transportation_LCIA!L$60)+Transportation_LCIA!L$62</f>
        <v>2.1191432370679968E-4</v>
      </c>
      <c r="AI229" s="137">
        <f>Transportation_LCIA!M$61*($W229^Transportation_LCIA!M$60)+Transportation_LCIA!M$62</f>
        <v>2.2680395572104655E-4</v>
      </c>
      <c r="AJ229" s="137">
        <f>Transportation_LCIA!N$61*($W229^Transportation_LCIA!N$60)+Transportation_LCIA!N$62</f>
        <v>8.8743738884339729E-4</v>
      </c>
      <c r="AK229" s="137">
        <f>Transportation_LCIA!O$61*($W229^Transportation_LCIA!O$60)+Transportation_LCIA!O$62</f>
        <v>5.4708076102495621E-5</v>
      </c>
      <c r="AL229" s="137">
        <f>Transportation_LCIA!P$61*($W229^Transportation_LCIA!P$60)+Transportation_LCIA!P$62</f>
        <v>2.647121982427294E-8</v>
      </c>
      <c r="AM229" s="137">
        <f>Transportation_LCIA!Q$61*($W229^Transportation_LCIA!Q$60)+Transportation_LCIA!Q$62</f>
        <v>8.4025368237848467E-5</v>
      </c>
      <c r="AN229" s="137">
        <f>Transportation_LCIA!R$61*($W229^Transportation_LCIA!R$60)+Transportation_LCIA!R$62</f>
        <v>2.4810392360756592E-4</v>
      </c>
      <c r="AO229" s="137">
        <f>Transportation_LCIA!S$61*($W229^Transportation_LCIA!S$60)+Transportation_LCIA!S$62</f>
        <v>3.7784816746894015E-6</v>
      </c>
      <c r="AP229" s="137">
        <f>Transportation_LCIA!T$61*($W229^Transportation_LCIA!T$60)+Transportation_LCIA!T$62</f>
        <v>3.7784816746894015E-6</v>
      </c>
      <c r="AQ229" s="137">
        <f>Transportation_LCIA!U$61*($W229^Transportation_LCIA!U$60)+Transportation_LCIA!U$62</f>
        <v>5.3084715123251445E-4</v>
      </c>
      <c r="AR229" s="137">
        <f>Transportation_LCIA!V$61*($W229^Transportation_LCIA!V$60)+Transportation_LCIA!V$62</f>
        <v>2.1853136585972262E-4</v>
      </c>
      <c r="AT229" s="137">
        <f>$W229*Y229+$L229*Summary_LCIA!H$32</f>
        <v>318.98878584470708</v>
      </c>
      <c r="AU229" s="137">
        <f>$W229*Z229+$L229*Summary_LCIA!Q$32</f>
        <v>3495.5438343763199</v>
      </c>
      <c r="AV229" s="137">
        <f>$W229*AA229+$L229*Summary_LCIA!R$32</f>
        <v>2.0927808699747996</v>
      </c>
      <c r="AW229" s="137">
        <f>$W229*AB229+$L229*Summary_LCIA!S$32</f>
        <v>318.24787008470713</v>
      </c>
      <c r="AX229" s="137">
        <f>$W229*AC229+$L229*Summary_LCIA!T$32</f>
        <v>80.761100759716982</v>
      </c>
      <c r="AY229" s="137">
        <f>$W229*AD229+$L229*Summary_LCIA!U$32</f>
        <v>3.2993548158304353</v>
      </c>
      <c r="AZ229" s="137">
        <f>$W229*AE229+$L229*Summary_LCIA!V$32</f>
        <v>1.4211455762291131E-2</v>
      </c>
      <c r="BA229" s="137">
        <f>$W229*AF229+$L229*Summary_LCIA!W$32</f>
        <v>22.081509261910977</v>
      </c>
      <c r="BB229" s="137">
        <f>$W229*AG229+$L229*Summary_LCIA!X$32</f>
        <v>16.958288883104366</v>
      </c>
      <c r="BC229" s="137">
        <f>$W229*AH229+$L229*Summary_LCIA!Y$32</f>
        <v>2.8670111717479783</v>
      </c>
      <c r="BD229" s="137">
        <f>$W229*AI229+$L229*Summary_LCIA!Z$32</f>
        <v>0.27982509773737207</v>
      </c>
      <c r="BE229" s="137">
        <f>$W229*AJ229+$L229*Summary_LCIA!AA$32</f>
        <v>4.9831202601631208</v>
      </c>
      <c r="BF229" s="137">
        <f>$W229*AK229+$L229*Summary_LCIA!AB$32</f>
        <v>6.2181161671010135E-2</v>
      </c>
      <c r="BG229" s="137">
        <f>$W229*AL229+$L229*Summary_LCIA!AC$32</f>
        <v>4.0051539221430365E-5</v>
      </c>
      <c r="BH229" s="137">
        <f>$W229*AM229+$L229*Summary_LCIA!AD$32</f>
        <v>0.1700234838603335</v>
      </c>
      <c r="BI229" s="137">
        <f>$W229*AN229+$L229*Summary_LCIA!AE$32</f>
        <v>0.44712482709930779</v>
      </c>
      <c r="BJ229" s="137">
        <f>$W229*AO229+$L229*Summary_LCIA!AF$32</f>
        <v>0.14626333784899609</v>
      </c>
      <c r="BK229" s="137">
        <f>$W229*AP229+$L229*Summary_LCIA!AG$32</f>
        <v>1.3123960708996116E-2</v>
      </c>
      <c r="BL229" s="137">
        <f>$W229*AQ229+$L229*Summary_LCIA!AH$32</f>
        <v>2.0978235391010212</v>
      </c>
      <c r="BM229" s="137">
        <f>$W229*AR229+$L229*Summary_LCIA!AI$32</f>
        <v>0.41914892415771371</v>
      </c>
    </row>
    <row r="230" spans="1:65" x14ac:dyDescent="0.25">
      <c r="A230" s="149">
        <v>344</v>
      </c>
      <c r="B230" s="149">
        <v>6</v>
      </c>
      <c r="C230" s="61">
        <v>45.404172000000003</v>
      </c>
      <c r="D230" s="61">
        <v>-71.892910999999998</v>
      </c>
      <c r="E230" s="61" t="s">
        <v>458</v>
      </c>
      <c r="F230" s="149">
        <v>124</v>
      </c>
      <c r="G230" s="61" t="s">
        <v>654</v>
      </c>
      <c r="H230" s="61" t="s">
        <v>655</v>
      </c>
      <c r="I230" s="61">
        <v>45.465685000000001</v>
      </c>
      <c r="J230" s="61">
        <v>-73.745480999999998</v>
      </c>
      <c r="K230" s="61">
        <v>146.99097639999999</v>
      </c>
      <c r="L230" s="61">
        <v>171.571</v>
      </c>
      <c r="M230" s="61" t="s">
        <v>617</v>
      </c>
      <c r="N230" s="149">
        <v>5</v>
      </c>
      <c r="O230" s="149">
        <v>6</v>
      </c>
      <c r="P230" s="61" t="s">
        <v>565</v>
      </c>
      <c r="Q230" s="61" t="s">
        <v>564</v>
      </c>
      <c r="R230" s="61">
        <v>41.98028</v>
      </c>
      <c r="S230" s="61">
        <v>-87.908997900000003</v>
      </c>
      <c r="T230" s="61">
        <v>1550.9770000000001</v>
      </c>
      <c r="U230" s="61" t="s">
        <v>617</v>
      </c>
      <c r="V230" s="61" t="s">
        <v>569</v>
      </c>
      <c r="W230" s="61" cm="1">
        <f t="array" ref="W230">getDistance(I230,J230,R230,S230)*SA!$B$12</f>
        <v>1203.4659634467887</v>
      </c>
      <c r="X230" s="61"/>
      <c r="Y230" s="137">
        <f>Transportation_LCIA!C$61*($W230^Transportation_LCIA!C$60)+Transportation_LCIA!C$62</f>
        <v>0.21772846046617148</v>
      </c>
      <c r="Z230" s="137">
        <f>Transportation_LCIA!D$61*($W230^Transportation_LCIA!D$60)+Transportation_LCIA!D$62</f>
        <v>2.2142470940859469</v>
      </c>
      <c r="AA230" s="137">
        <f>Transportation_LCIA!E$61*($W230^Transportation_LCIA!E$60)+Transportation_LCIA!E$62</f>
        <v>1.0055281245420159E-3</v>
      </c>
      <c r="AB230" s="137">
        <f>Transportation_LCIA!F$61*($W230^Transportation_LCIA!F$60)+Transportation_LCIA!F$62</f>
        <v>0.21772846046617148</v>
      </c>
      <c r="AC230" s="137">
        <f>Transportation_LCIA!G$61*($W230^Transportation_LCIA!G$60)+Transportation_LCIA!G$62</f>
        <v>5.1799374019000491E-2</v>
      </c>
      <c r="AD230" s="137">
        <f>Transportation_LCIA!H$61*($W230^Transportation_LCIA!H$60)+Transportation_LCIA!H$62</f>
        <v>2.4634416995171114E-4</v>
      </c>
      <c r="AE230" s="137">
        <f>Transportation_LCIA!I$61*($W230^Transportation_LCIA!I$60)+Transportation_LCIA!I$62</f>
        <v>5.1562528918712568E-6</v>
      </c>
      <c r="AF230" s="137">
        <f>Transportation_LCIA!J$61*($W230^Transportation_LCIA!J$60)+Transportation_LCIA!J$62</f>
        <v>7.6271492112845521E-3</v>
      </c>
      <c r="AG230" s="137">
        <f>Transportation_LCIA!K$61*($W230^Transportation_LCIA!K$60)+Transportation_LCIA!K$62</f>
        <v>1.0918234035860491E-2</v>
      </c>
      <c r="AH230" s="137">
        <f>Transportation_LCIA!L$61*($W230^Transportation_LCIA!L$60)+Transportation_LCIA!L$62</f>
        <v>2.1191432370679968E-4</v>
      </c>
      <c r="AI230" s="137">
        <f>Transportation_LCIA!M$61*($W230^Transportation_LCIA!M$60)+Transportation_LCIA!M$62</f>
        <v>2.2680395572104655E-4</v>
      </c>
      <c r="AJ230" s="137">
        <f>Transportation_LCIA!N$61*($W230^Transportation_LCIA!N$60)+Transportation_LCIA!N$62</f>
        <v>8.8743738884339729E-4</v>
      </c>
      <c r="AK230" s="137">
        <f>Transportation_LCIA!O$61*($W230^Transportation_LCIA!O$60)+Transportation_LCIA!O$62</f>
        <v>5.4708076102495621E-5</v>
      </c>
      <c r="AL230" s="137">
        <f>Transportation_LCIA!P$61*($W230^Transportation_LCIA!P$60)+Transportation_LCIA!P$62</f>
        <v>2.647121982427294E-8</v>
      </c>
      <c r="AM230" s="137">
        <f>Transportation_LCIA!Q$61*($W230^Transportation_LCIA!Q$60)+Transportation_LCIA!Q$62</f>
        <v>8.4025368237848467E-5</v>
      </c>
      <c r="AN230" s="137">
        <f>Transportation_LCIA!R$61*($W230^Transportation_LCIA!R$60)+Transportation_LCIA!R$62</f>
        <v>2.4810392360756592E-4</v>
      </c>
      <c r="AO230" s="137">
        <f>Transportation_LCIA!S$61*($W230^Transportation_LCIA!S$60)+Transportation_LCIA!S$62</f>
        <v>3.7784816746894015E-6</v>
      </c>
      <c r="AP230" s="137">
        <f>Transportation_LCIA!T$61*($W230^Transportation_LCIA!T$60)+Transportation_LCIA!T$62</f>
        <v>3.7784816746894015E-6</v>
      </c>
      <c r="AQ230" s="137">
        <f>Transportation_LCIA!U$61*($W230^Transportation_LCIA!U$60)+Transportation_LCIA!U$62</f>
        <v>5.3084715123251445E-4</v>
      </c>
      <c r="AR230" s="137">
        <f>Transportation_LCIA!V$61*($W230^Transportation_LCIA!V$60)+Transportation_LCIA!V$62</f>
        <v>2.1853136585972262E-4</v>
      </c>
      <c r="AT230" s="137">
        <f>$W230*Y230+$L230*Summary_LCIA!H$32</f>
        <v>320.32861724470712</v>
      </c>
      <c r="AU230" s="137">
        <f>$W230*Z230+$L230*Summary_LCIA!Q$32</f>
        <v>3515.0855412336391</v>
      </c>
      <c r="AV230" s="137">
        <f>$W230*AA230+$L230*Summary_LCIA!R$32</f>
        <v>2.1135431307747994</v>
      </c>
      <c r="AW230" s="137">
        <f>$W230*AB230+$L230*Summary_LCIA!S$32</f>
        <v>319.57027342470712</v>
      </c>
      <c r="AX230" s="137">
        <f>$W230*AC230+$L230*Summary_LCIA!T$32</f>
        <v>81.194436459716982</v>
      </c>
      <c r="AY230" s="137">
        <f>$W230*AD230+$L230*Summary_LCIA!U$32</f>
        <v>3.3699897178304354</v>
      </c>
      <c r="AZ230" s="137">
        <f>$W230*AE230+$L230*Summary_LCIA!V$32</f>
        <v>1.4399777385291131E-2</v>
      </c>
      <c r="BA230" s="137">
        <f>$W230*AF230+$L230*Summary_LCIA!W$32</f>
        <v>22.385005914910977</v>
      </c>
      <c r="BB230" s="137">
        <f>$W230*AG230+$L230*Summary_LCIA!X$32</f>
        <v>17.048110423104365</v>
      </c>
      <c r="BC230" s="137">
        <f>$W230*AH230+$L230*Summary_LCIA!Y$32</f>
        <v>2.9284509977479782</v>
      </c>
      <c r="BD230" s="137">
        <f>$W230*AI230+$L230*Summary_LCIA!Z$32</f>
        <v>0.27998679622437211</v>
      </c>
      <c r="BE230" s="137">
        <f>$W230*AJ230+$L230*Summary_LCIA!AA$32</f>
        <v>5.0752129681631217</v>
      </c>
      <c r="BF230" s="137">
        <f>$W230*AK230+$L230*Summary_LCIA!AB$32</f>
        <v>6.2095113582010128E-2</v>
      </c>
      <c r="BG230" s="137">
        <f>$W230*AL230+$L230*Summary_LCIA!AC$32</f>
        <v>4.0244288833430368E-5</v>
      </c>
      <c r="BH230" s="137">
        <f>$W230*AM230+$L230*Summary_LCIA!AD$32</f>
        <v>0.17164421458033349</v>
      </c>
      <c r="BI230" s="137">
        <f>$W230*AN230+$L230*Summary_LCIA!AE$32</f>
        <v>0.45061883768930777</v>
      </c>
      <c r="BJ230" s="137">
        <f>$W230*AO230+$L230*Summary_LCIA!AF$32</f>
        <v>0.14959682890899612</v>
      </c>
      <c r="BK230" s="137">
        <f>$W230*AP230+$L230*Summary_LCIA!AG$32</f>
        <v>1.3325704303996117E-2</v>
      </c>
      <c r="BL230" s="137">
        <f>$W230*AQ230+$L230*Summary_LCIA!AH$32</f>
        <v>2.132141833901021</v>
      </c>
      <c r="BM230" s="137">
        <f>$W230*AR230+$L230*Summary_LCIA!AI$32</f>
        <v>0.42282202580771372</v>
      </c>
    </row>
    <row r="231" spans="1:65" x14ac:dyDescent="0.25">
      <c r="A231" s="149">
        <v>222</v>
      </c>
      <c r="B231" s="149">
        <v>6</v>
      </c>
      <c r="C231" s="61">
        <v>40.585259999999998</v>
      </c>
      <c r="D231" s="61">
        <v>-105.084423</v>
      </c>
      <c r="E231" s="61" t="s">
        <v>265</v>
      </c>
      <c r="F231" s="149">
        <v>16</v>
      </c>
      <c r="G231" s="61" t="s">
        <v>565</v>
      </c>
      <c r="H231" s="61" t="s">
        <v>645</v>
      </c>
      <c r="I231" s="61">
        <v>39.856096000000001</v>
      </c>
      <c r="J231" s="61">
        <v>-104.673738</v>
      </c>
      <c r="K231" s="61">
        <v>156.25087780000001</v>
      </c>
      <c r="L231" s="61">
        <v>114.667</v>
      </c>
      <c r="M231" s="61" t="s">
        <v>617</v>
      </c>
      <c r="N231" s="149">
        <v>5</v>
      </c>
      <c r="O231" s="149">
        <v>6</v>
      </c>
      <c r="P231" s="61" t="s">
        <v>565</v>
      </c>
      <c r="Q231" s="61" t="s">
        <v>564</v>
      </c>
      <c r="R231" s="61">
        <v>41.98028</v>
      </c>
      <c r="S231" s="61">
        <v>-87.908997900000003</v>
      </c>
      <c r="T231" s="61">
        <v>1576.604</v>
      </c>
      <c r="U231" s="61" t="s">
        <v>617</v>
      </c>
      <c r="V231" s="61" t="s">
        <v>569</v>
      </c>
      <c r="W231" s="61" cm="1">
        <f t="array" ref="W231">getDistance(I231,J231,R231,S231)*SA!$B$12</f>
        <v>1429.4950991616145</v>
      </c>
      <c r="X231" s="61"/>
      <c r="Y231" s="137">
        <f>Transportation_LCIA!C$61*($W231^Transportation_LCIA!C$60)+Transportation_LCIA!C$62</f>
        <v>0.20349821617970421</v>
      </c>
      <c r="Z231" s="137">
        <f>Transportation_LCIA!D$61*($W231^Transportation_LCIA!D$60)+Transportation_LCIA!D$62</f>
        <v>2.0501411564925682</v>
      </c>
      <c r="AA231" s="137">
        <f>Transportation_LCIA!E$61*($W231^Transportation_LCIA!E$60)+Transportation_LCIA!E$62</f>
        <v>8.9799039356792888E-4</v>
      </c>
      <c r="AB231" s="137">
        <f>Transportation_LCIA!F$61*($W231^Transportation_LCIA!F$60)+Transportation_LCIA!F$62</f>
        <v>0.20349821617970421</v>
      </c>
      <c r="AC231" s="137">
        <f>Transportation_LCIA!G$61*($W231^Transportation_LCIA!G$60)+Transportation_LCIA!G$62</f>
        <v>4.8000028211733513E-2</v>
      </c>
      <c r="AD231" s="137">
        <f>Transportation_LCIA!H$61*($W231^Transportation_LCIA!H$60)+Transportation_LCIA!H$62</f>
        <v>2.2285424318591637E-4</v>
      </c>
      <c r="AE231" s="137">
        <f>Transportation_LCIA!I$61*($W231^Transportation_LCIA!I$60)+Transportation_LCIA!I$62</f>
        <v>4.571174071441499E-6</v>
      </c>
      <c r="AF231" s="137">
        <f>Transportation_LCIA!J$61*($W231^Transportation_LCIA!J$60)+Transportation_LCIA!J$62</f>
        <v>6.7618339751164165E-3</v>
      </c>
      <c r="AG231" s="137">
        <f>Transportation_LCIA!K$61*($W231^Transportation_LCIA!K$60)+Transportation_LCIA!K$62</f>
        <v>1.0036647213890358E-2</v>
      </c>
      <c r="AH231" s="137">
        <f>Transportation_LCIA!L$61*($W231^Transportation_LCIA!L$60)+Transportation_LCIA!L$62</f>
        <v>1.9038435373879868E-4</v>
      </c>
      <c r="AI231" s="137">
        <f>Transportation_LCIA!M$61*($W231^Transportation_LCIA!M$60)+Transportation_LCIA!M$62</f>
        <v>2.1384473386264609E-4</v>
      </c>
      <c r="AJ231" s="137">
        <f>Transportation_LCIA!N$61*($W231^Transportation_LCIA!N$60)+Transportation_LCIA!N$62</f>
        <v>8.0839367892004054E-4</v>
      </c>
      <c r="AK231" s="137">
        <f>Transportation_LCIA!O$61*($W231^Transportation_LCIA!O$60)+Transportation_LCIA!O$62</f>
        <v>5.067209999252372E-5</v>
      </c>
      <c r="AL231" s="137">
        <f>Transportation_LCIA!P$61*($W231^Transportation_LCIA!P$60)+Transportation_LCIA!P$62</f>
        <v>2.4529050433273688E-8</v>
      </c>
      <c r="AM231" s="137">
        <f>Transportation_LCIA!Q$61*($W231^Transportation_LCIA!Q$60)+Transportation_LCIA!Q$62</f>
        <v>7.5620829602403238E-5</v>
      </c>
      <c r="AN231" s="137">
        <f>Transportation_LCIA!R$61*($W231^Transportation_LCIA!R$60)+Transportation_LCIA!R$62</f>
        <v>2.2005485991627286E-4</v>
      </c>
      <c r="AO231" s="137">
        <f>Transportation_LCIA!S$61*($W231^Transportation_LCIA!S$60)+Transportation_LCIA!S$62</f>
        <v>3.3802166707550345E-6</v>
      </c>
      <c r="AP231" s="137">
        <f>Transportation_LCIA!T$61*($W231^Transportation_LCIA!T$60)+Transportation_LCIA!T$62</f>
        <v>3.3802166707550345E-6</v>
      </c>
      <c r="AQ231" s="137">
        <f>Transportation_LCIA!U$61*($W231^Transportation_LCIA!U$60)+Transportation_LCIA!U$62</f>
        <v>4.6945882310058874E-4</v>
      </c>
      <c r="AR231" s="137">
        <f>Transportation_LCIA!V$61*($W231^Transportation_LCIA!V$60)+Transportation_LCIA!V$62</f>
        <v>1.9671290669076797E-4</v>
      </c>
      <c r="AT231" s="137">
        <f>$W231*Y231+$L231*Summary_LCIA!H$32</f>
        <v>329.86354931701794</v>
      </c>
      <c r="AU231" s="137">
        <f>$W231*Z231+$L231*Summary_LCIA!Q$32</f>
        <v>3498.9621707964616</v>
      </c>
      <c r="AV231" s="137">
        <f>$W231*AA231+$L231*Summary_LCIA!R$32</f>
        <v>1.8874634218995636</v>
      </c>
      <c r="AW231" s="137">
        <f>$W231*AB231+$L231*Summary_LCIA!S$32</f>
        <v>329.3567211770179</v>
      </c>
      <c r="AX231" s="137">
        <f>$W231*AC231+$L231*Summary_LCIA!T$32</f>
        <v>81.217708388292294</v>
      </c>
      <c r="AY231" s="137">
        <f>$W231*AD231+$L231*Summary_LCIA!U$32</f>
        <v>2.3727136864616378</v>
      </c>
      <c r="AZ231" s="137">
        <f>$W231*AE231+$L231*Summary_LCIA!V$32</f>
        <v>1.2011081519540267E-2</v>
      </c>
      <c r="BA231" s="137">
        <f>$W231*AF231+$L231*Summary_LCIA!W$32</f>
        <v>18.492042185773414</v>
      </c>
      <c r="BB231" s="137">
        <f>$W231*AG231+$L231*Summary_LCIA!X$32</f>
        <v>16.95945226427034</v>
      </c>
      <c r="BC231" s="137">
        <f>$W231*AH231+$L231*Summary_LCIA!Y$32</f>
        <v>2.0588946946266637</v>
      </c>
      <c r="BD231" s="137">
        <f>$W231*AI231+$L231*Summary_LCIA!Z$32</f>
        <v>0.31039237804117237</v>
      </c>
      <c r="BE231" s="137">
        <f>$W231*AJ231+$L231*Summary_LCIA!AA$32</f>
        <v>3.8337572542094258</v>
      </c>
      <c r="BF231" s="137">
        <f>$W231*AK231+$L231*Summary_LCIA!AB$32</f>
        <v>6.9933140662539944E-2</v>
      </c>
      <c r="BG231" s="137">
        <f>$W231*AL231+$L231*Summary_LCIA!AC$32</f>
        <v>4.0669539009452814E-5</v>
      </c>
      <c r="BH231" s="137">
        <f>$W231*AM231+$L231*Summary_LCIA!AD$32</f>
        <v>0.15523232899117095</v>
      </c>
      <c r="BI231" s="137">
        <f>$W231*AN231+$L231*Summary_LCIA!AE$32</f>
        <v>0.41617721250700768</v>
      </c>
      <c r="BJ231" s="137">
        <f>$W231*AO231+$L231*Summary_LCIA!AF$32</f>
        <v>0.10177377830494871</v>
      </c>
      <c r="BK231" s="137">
        <f>$W231*AP231+$L231*Summary_LCIA!AG$32</f>
        <v>1.0698940219948711E-2</v>
      </c>
      <c r="BL231" s="137">
        <f>$W231*AQ231+$L231*Summary_LCIA!AH$32</f>
        <v>1.669104788080471</v>
      </c>
      <c r="BM231" s="137">
        <f>$W231*AR231+$L231*Summary_LCIA!AI$32</f>
        <v>0.38801817990628873</v>
      </c>
    </row>
    <row r="232" spans="1:65" x14ac:dyDescent="0.25">
      <c r="A232" s="149">
        <v>219</v>
      </c>
      <c r="B232" s="149">
        <v>6</v>
      </c>
      <c r="C232" s="61">
        <v>40.570262999999997</v>
      </c>
      <c r="D232" s="61">
        <v>-105.090346</v>
      </c>
      <c r="E232" s="61" t="s">
        <v>265</v>
      </c>
      <c r="F232" s="149">
        <v>16</v>
      </c>
      <c r="G232" s="61" t="s">
        <v>565</v>
      </c>
      <c r="H232" s="61" t="s">
        <v>645</v>
      </c>
      <c r="I232" s="61">
        <v>39.856096000000001</v>
      </c>
      <c r="J232" s="61">
        <v>-104.673738</v>
      </c>
      <c r="K232" s="61">
        <v>153.5848848</v>
      </c>
      <c r="L232" s="61">
        <v>113.407</v>
      </c>
      <c r="M232" s="61" t="s">
        <v>617</v>
      </c>
      <c r="N232" s="149">
        <v>5</v>
      </c>
      <c r="O232" s="149">
        <v>6</v>
      </c>
      <c r="P232" s="61" t="s">
        <v>565</v>
      </c>
      <c r="Q232" s="61" t="s">
        <v>564</v>
      </c>
      <c r="R232" s="61">
        <v>41.98028</v>
      </c>
      <c r="S232" s="61">
        <v>-87.908997900000003</v>
      </c>
      <c r="T232" s="61">
        <v>1578.402</v>
      </c>
      <c r="U232" s="61" t="s">
        <v>617</v>
      </c>
      <c r="V232" s="61" t="s">
        <v>569</v>
      </c>
      <c r="W232" s="61" cm="1">
        <f t="array" ref="W232">getDistance(I232,J232,R232,S232)*SA!$B$12</f>
        <v>1429.4950991616145</v>
      </c>
      <c r="X232" s="61"/>
      <c r="Y232" s="137">
        <f>Transportation_LCIA!C$61*($W232^Transportation_LCIA!C$60)+Transportation_LCIA!C$62</f>
        <v>0.20349821617970421</v>
      </c>
      <c r="Z232" s="137">
        <f>Transportation_LCIA!D$61*($W232^Transportation_LCIA!D$60)+Transportation_LCIA!D$62</f>
        <v>2.0501411564925682</v>
      </c>
      <c r="AA232" s="137">
        <f>Transportation_LCIA!E$61*($W232^Transportation_LCIA!E$60)+Transportation_LCIA!E$62</f>
        <v>8.9799039356792888E-4</v>
      </c>
      <c r="AB232" s="137">
        <f>Transportation_LCIA!F$61*($W232^Transportation_LCIA!F$60)+Transportation_LCIA!F$62</f>
        <v>0.20349821617970421</v>
      </c>
      <c r="AC232" s="137">
        <f>Transportation_LCIA!G$61*($W232^Transportation_LCIA!G$60)+Transportation_LCIA!G$62</f>
        <v>4.8000028211733513E-2</v>
      </c>
      <c r="AD232" s="137">
        <f>Transportation_LCIA!H$61*($W232^Transportation_LCIA!H$60)+Transportation_LCIA!H$62</f>
        <v>2.2285424318591637E-4</v>
      </c>
      <c r="AE232" s="137">
        <f>Transportation_LCIA!I$61*($W232^Transportation_LCIA!I$60)+Transportation_LCIA!I$62</f>
        <v>4.571174071441499E-6</v>
      </c>
      <c r="AF232" s="137">
        <f>Transportation_LCIA!J$61*($W232^Transportation_LCIA!J$60)+Transportation_LCIA!J$62</f>
        <v>6.7618339751164165E-3</v>
      </c>
      <c r="AG232" s="137">
        <f>Transportation_LCIA!K$61*($W232^Transportation_LCIA!K$60)+Transportation_LCIA!K$62</f>
        <v>1.0036647213890358E-2</v>
      </c>
      <c r="AH232" s="137">
        <f>Transportation_LCIA!L$61*($W232^Transportation_LCIA!L$60)+Transportation_LCIA!L$62</f>
        <v>1.9038435373879868E-4</v>
      </c>
      <c r="AI232" s="137">
        <f>Transportation_LCIA!M$61*($W232^Transportation_LCIA!M$60)+Transportation_LCIA!M$62</f>
        <v>2.1384473386264609E-4</v>
      </c>
      <c r="AJ232" s="137">
        <f>Transportation_LCIA!N$61*($W232^Transportation_LCIA!N$60)+Transportation_LCIA!N$62</f>
        <v>8.0839367892004054E-4</v>
      </c>
      <c r="AK232" s="137">
        <f>Transportation_LCIA!O$61*($W232^Transportation_LCIA!O$60)+Transportation_LCIA!O$62</f>
        <v>5.067209999252372E-5</v>
      </c>
      <c r="AL232" s="137">
        <f>Transportation_LCIA!P$61*($W232^Transportation_LCIA!P$60)+Transportation_LCIA!P$62</f>
        <v>2.4529050433273688E-8</v>
      </c>
      <c r="AM232" s="137">
        <f>Transportation_LCIA!Q$61*($W232^Transportation_LCIA!Q$60)+Transportation_LCIA!Q$62</f>
        <v>7.5620829602403238E-5</v>
      </c>
      <c r="AN232" s="137">
        <f>Transportation_LCIA!R$61*($W232^Transportation_LCIA!R$60)+Transportation_LCIA!R$62</f>
        <v>2.2005485991627286E-4</v>
      </c>
      <c r="AO232" s="137">
        <f>Transportation_LCIA!S$61*($W232^Transportation_LCIA!S$60)+Transportation_LCIA!S$62</f>
        <v>3.3802166707550345E-6</v>
      </c>
      <c r="AP232" s="137">
        <f>Transportation_LCIA!T$61*($W232^Transportation_LCIA!T$60)+Transportation_LCIA!T$62</f>
        <v>3.3802166707550345E-6</v>
      </c>
      <c r="AQ232" s="137">
        <f>Transportation_LCIA!U$61*($W232^Transportation_LCIA!U$60)+Transportation_LCIA!U$62</f>
        <v>4.6945882310058874E-4</v>
      </c>
      <c r="AR232" s="137">
        <f>Transportation_LCIA!V$61*($W232^Transportation_LCIA!V$60)+Transportation_LCIA!V$62</f>
        <v>1.9671290669076797E-4</v>
      </c>
      <c r="AT232" s="137">
        <f>$W232*Y232+$L232*Summary_LCIA!H$32</f>
        <v>329.43540131701792</v>
      </c>
      <c r="AU232" s="137">
        <f>$W232*Z232+$L232*Summary_LCIA!Q$32</f>
        <v>3492.7175472508816</v>
      </c>
      <c r="AV232" s="137">
        <f>$W232*AA232+$L232*Summary_LCIA!R$32</f>
        <v>1.8808287658995635</v>
      </c>
      <c r="AW232" s="137">
        <f>$W232*AB232+$L232*Summary_LCIA!S$32</f>
        <v>328.93414237701791</v>
      </c>
      <c r="AX232" s="137">
        <f>$W232*AC232+$L232*Summary_LCIA!T$32</f>
        <v>81.079234388292292</v>
      </c>
      <c r="AY232" s="137">
        <f>$W232*AD232+$L232*Summary_LCIA!U$32</f>
        <v>2.3501420464616376</v>
      </c>
      <c r="AZ232" s="137">
        <f>$W232*AE232+$L232*Summary_LCIA!V$32</f>
        <v>1.1950902659540266E-2</v>
      </c>
      <c r="BA232" s="137">
        <f>$W232*AF232+$L232*Summary_LCIA!W$32</f>
        <v>18.395058725773417</v>
      </c>
      <c r="BB232" s="137">
        <f>$W232*AG232+$L232*Summary_LCIA!X$32</f>
        <v>16.930749464270338</v>
      </c>
      <c r="BC232" s="137">
        <f>$W232*AH232+$L232*Summary_LCIA!Y$32</f>
        <v>2.0392613746266637</v>
      </c>
      <c r="BD232" s="137">
        <f>$W232*AI232+$L232*Summary_LCIA!Z$32</f>
        <v>0.31034070670117236</v>
      </c>
      <c r="BE232" s="137">
        <f>$W232*AJ232+$L232*Summary_LCIA!AA$32</f>
        <v>3.8043286942094254</v>
      </c>
      <c r="BF232" s="137">
        <f>$W232*AK232+$L232*Summary_LCIA!AB$32</f>
        <v>6.9960637642539944E-2</v>
      </c>
      <c r="BG232" s="137">
        <f>$W232*AL232+$L232*Summary_LCIA!AC$32</f>
        <v>4.0607945169452815E-5</v>
      </c>
      <c r="BH232" s="137">
        <f>$W232*AM232+$L232*Summary_LCIA!AD$32</f>
        <v>0.15471441859117097</v>
      </c>
      <c r="BI232" s="137">
        <f>$W232*AN232+$L232*Summary_LCIA!AE$32</f>
        <v>0.41506068870700769</v>
      </c>
      <c r="BJ232" s="137">
        <f>$W232*AO232+$L232*Summary_LCIA!AF$32</f>
        <v>0.10070854910494871</v>
      </c>
      <c r="BK232" s="137">
        <f>$W232*AP232+$L232*Summary_LCIA!AG$32</f>
        <v>1.0634472319948711E-2</v>
      </c>
      <c r="BL232" s="137">
        <f>$W232*AQ232+$L232*Summary_LCIA!AH$32</f>
        <v>1.6581382520804708</v>
      </c>
      <c r="BM232" s="137">
        <f>$W232*AR232+$L232*Summary_LCIA!AI$32</f>
        <v>0.38684442690628873</v>
      </c>
    </row>
    <row r="233" spans="1:65" x14ac:dyDescent="0.25">
      <c r="A233" s="149">
        <v>220</v>
      </c>
      <c r="B233" s="149">
        <v>6</v>
      </c>
      <c r="C233" s="61">
        <v>40.570262999999997</v>
      </c>
      <c r="D233" s="61">
        <v>-105.090346</v>
      </c>
      <c r="E233" s="61" t="s">
        <v>265</v>
      </c>
      <c r="F233" s="149">
        <v>16</v>
      </c>
      <c r="G233" s="61" t="s">
        <v>565</v>
      </c>
      <c r="H233" s="61" t="s">
        <v>645</v>
      </c>
      <c r="I233" s="61">
        <v>39.856096000000001</v>
      </c>
      <c r="J233" s="61">
        <v>-104.673738</v>
      </c>
      <c r="K233" s="61">
        <v>153.5848848</v>
      </c>
      <c r="L233" s="61">
        <v>113.407</v>
      </c>
      <c r="M233" s="61" t="s">
        <v>617</v>
      </c>
      <c r="N233" s="149">
        <v>5</v>
      </c>
      <c r="O233" s="149">
        <v>6</v>
      </c>
      <c r="P233" s="61" t="s">
        <v>565</v>
      </c>
      <c r="Q233" s="61" t="s">
        <v>564</v>
      </c>
      <c r="R233" s="61">
        <v>41.98028</v>
      </c>
      <c r="S233" s="61">
        <v>-87.908997900000003</v>
      </c>
      <c r="T233" s="61">
        <v>1578.402</v>
      </c>
      <c r="U233" s="61" t="s">
        <v>617</v>
      </c>
      <c r="V233" s="61" t="s">
        <v>569</v>
      </c>
      <c r="W233" s="61" cm="1">
        <f t="array" ref="W233">getDistance(I233,J233,R233,S233)*SA!$B$12</f>
        <v>1429.4950991616145</v>
      </c>
      <c r="X233" s="61"/>
      <c r="Y233" s="137">
        <f>Transportation_LCIA!C$61*($W233^Transportation_LCIA!C$60)+Transportation_LCIA!C$62</f>
        <v>0.20349821617970421</v>
      </c>
      <c r="Z233" s="137">
        <f>Transportation_LCIA!D$61*($W233^Transportation_LCIA!D$60)+Transportation_LCIA!D$62</f>
        <v>2.0501411564925682</v>
      </c>
      <c r="AA233" s="137">
        <f>Transportation_LCIA!E$61*($W233^Transportation_LCIA!E$60)+Transportation_LCIA!E$62</f>
        <v>8.9799039356792888E-4</v>
      </c>
      <c r="AB233" s="137">
        <f>Transportation_LCIA!F$61*($W233^Transportation_LCIA!F$60)+Transportation_LCIA!F$62</f>
        <v>0.20349821617970421</v>
      </c>
      <c r="AC233" s="137">
        <f>Transportation_LCIA!G$61*($W233^Transportation_LCIA!G$60)+Transportation_LCIA!G$62</f>
        <v>4.8000028211733513E-2</v>
      </c>
      <c r="AD233" s="137">
        <f>Transportation_LCIA!H$61*($W233^Transportation_LCIA!H$60)+Transportation_LCIA!H$62</f>
        <v>2.2285424318591637E-4</v>
      </c>
      <c r="AE233" s="137">
        <f>Transportation_LCIA!I$61*($W233^Transportation_LCIA!I$60)+Transportation_LCIA!I$62</f>
        <v>4.571174071441499E-6</v>
      </c>
      <c r="AF233" s="137">
        <f>Transportation_LCIA!J$61*($W233^Transportation_LCIA!J$60)+Transportation_LCIA!J$62</f>
        <v>6.7618339751164165E-3</v>
      </c>
      <c r="AG233" s="137">
        <f>Transportation_LCIA!K$61*($W233^Transportation_LCIA!K$60)+Transportation_LCIA!K$62</f>
        <v>1.0036647213890358E-2</v>
      </c>
      <c r="AH233" s="137">
        <f>Transportation_LCIA!L$61*($W233^Transportation_LCIA!L$60)+Transportation_LCIA!L$62</f>
        <v>1.9038435373879868E-4</v>
      </c>
      <c r="AI233" s="137">
        <f>Transportation_LCIA!M$61*($W233^Transportation_LCIA!M$60)+Transportation_LCIA!M$62</f>
        <v>2.1384473386264609E-4</v>
      </c>
      <c r="AJ233" s="137">
        <f>Transportation_LCIA!N$61*($W233^Transportation_LCIA!N$60)+Transportation_LCIA!N$62</f>
        <v>8.0839367892004054E-4</v>
      </c>
      <c r="AK233" s="137">
        <f>Transportation_LCIA!O$61*($W233^Transportation_LCIA!O$60)+Transportation_LCIA!O$62</f>
        <v>5.067209999252372E-5</v>
      </c>
      <c r="AL233" s="137">
        <f>Transportation_LCIA!P$61*($W233^Transportation_LCIA!P$60)+Transportation_LCIA!P$62</f>
        <v>2.4529050433273688E-8</v>
      </c>
      <c r="AM233" s="137">
        <f>Transportation_LCIA!Q$61*($W233^Transportation_LCIA!Q$60)+Transportation_LCIA!Q$62</f>
        <v>7.5620829602403238E-5</v>
      </c>
      <c r="AN233" s="137">
        <f>Transportation_LCIA!R$61*($W233^Transportation_LCIA!R$60)+Transportation_LCIA!R$62</f>
        <v>2.2005485991627286E-4</v>
      </c>
      <c r="AO233" s="137">
        <f>Transportation_LCIA!S$61*($W233^Transportation_LCIA!S$60)+Transportation_LCIA!S$62</f>
        <v>3.3802166707550345E-6</v>
      </c>
      <c r="AP233" s="137">
        <f>Transportation_LCIA!T$61*($W233^Transportation_LCIA!T$60)+Transportation_LCIA!T$62</f>
        <v>3.3802166707550345E-6</v>
      </c>
      <c r="AQ233" s="137">
        <f>Transportation_LCIA!U$61*($W233^Transportation_LCIA!U$60)+Transportation_LCIA!U$62</f>
        <v>4.6945882310058874E-4</v>
      </c>
      <c r="AR233" s="137">
        <f>Transportation_LCIA!V$61*($W233^Transportation_LCIA!V$60)+Transportation_LCIA!V$62</f>
        <v>1.9671290669076797E-4</v>
      </c>
      <c r="AT233" s="137">
        <f>$W233*Y233+$L233*Summary_LCIA!H$32</f>
        <v>329.43540131701792</v>
      </c>
      <c r="AU233" s="137">
        <f>$W233*Z233+$L233*Summary_LCIA!Q$32</f>
        <v>3492.7175472508816</v>
      </c>
      <c r="AV233" s="137">
        <f>$W233*AA233+$L233*Summary_LCIA!R$32</f>
        <v>1.8808287658995635</v>
      </c>
      <c r="AW233" s="137">
        <f>$W233*AB233+$L233*Summary_LCIA!S$32</f>
        <v>328.93414237701791</v>
      </c>
      <c r="AX233" s="137">
        <f>$W233*AC233+$L233*Summary_LCIA!T$32</f>
        <v>81.079234388292292</v>
      </c>
      <c r="AY233" s="137">
        <f>$W233*AD233+$L233*Summary_LCIA!U$32</f>
        <v>2.3501420464616376</v>
      </c>
      <c r="AZ233" s="137">
        <f>$W233*AE233+$L233*Summary_LCIA!V$32</f>
        <v>1.1950902659540266E-2</v>
      </c>
      <c r="BA233" s="137">
        <f>$W233*AF233+$L233*Summary_LCIA!W$32</f>
        <v>18.395058725773417</v>
      </c>
      <c r="BB233" s="137">
        <f>$W233*AG233+$L233*Summary_LCIA!X$32</f>
        <v>16.930749464270338</v>
      </c>
      <c r="BC233" s="137">
        <f>$W233*AH233+$L233*Summary_LCIA!Y$32</f>
        <v>2.0392613746266637</v>
      </c>
      <c r="BD233" s="137">
        <f>$W233*AI233+$L233*Summary_LCIA!Z$32</f>
        <v>0.31034070670117236</v>
      </c>
      <c r="BE233" s="137">
        <f>$W233*AJ233+$L233*Summary_LCIA!AA$32</f>
        <v>3.8043286942094254</v>
      </c>
      <c r="BF233" s="137">
        <f>$W233*AK233+$L233*Summary_LCIA!AB$32</f>
        <v>6.9960637642539944E-2</v>
      </c>
      <c r="BG233" s="137">
        <f>$W233*AL233+$L233*Summary_LCIA!AC$32</f>
        <v>4.0607945169452815E-5</v>
      </c>
      <c r="BH233" s="137">
        <f>$W233*AM233+$L233*Summary_LCIA!AD$32</f>
        <v>0.15471441859117097</v>
      </c>
      <c r="BI233" s="137">
        <f>$W233*AN233+$L233*Summary_LCIA!AE$32</f>
        <v>0.41506068870700769</v>
      </c>
      <c r="BJ233" s="137">
        <f>$W233*AO233+$L233*Summary_LCIA!AF$32</f>
        <v>0.10070854910494871</v>
      </c>
      <c r="BK233" s="137">
        <f>$W233*AP233+$L233*Summary_LCIA!AG$32</f>
        <v>1.0634472319948711E-2</v>
      </c>
      <c r="BL233" s="137">
        <f>$W233*AQ233+$L233*Summary_LCIA!AH$32</f>
        <v>1.6581382520804708</v>
      </c>
      <c r="BM233" s="137">
        <f>$W233*AR233+$L233*Summary_LCIA!AI$32</f>
        <v>0.38684442690628873</v>
      </c>
    </row>
    <row r="234" spans="1:65" x14ac:dyDescent="0.25">
      <c r="A234" s="149">
        <v>221</v>
      </c>
      <c r="B234" s="149">
        <v>6</v>
      </c>
      <c r="C234" s="61">
        <v>40.570262999999997</v>
      </c>
      <c r="D234" s="61">
        <v>-105.090346</v>
      </c>
      <c r="E234" s="61" t="s">
        <v>265</v>
      </c>
      <c r="F234" s="149">
        <v>16</v>
      </c>
      <c r="G234" s="61" t="s">
        <v>565</v>
      </c>
      <c r="H234" s="61" t="s">
        <v>645</v>
      </c>
      <c r="I234" s="61">
        <v>39.856096000000001</v>
      </c>
      <c r="J234" s="61">
        <v>-104.673738</v>
      </c>
      <c r="K234" s="61">
        <v>153.5848848</v>
      </c>
      <c r="L234" s="61">
        <v>113.407</v>
      </c>
      <c r="M234" s="61" t="s">
        <v>617</v>
      </c>
      <c r="N234" s="149">
        <v>5</v>
      </c>
      <c r="O234" s="149">
        <v>6</v>
      </c>
      <c r="P234" s="61" t="s">
        <v>565</v>
      </c>
      <c r="Q234" s="61" t="s">
        <v>564</v>
      </c>
      <c r="R234" s="61">
        <v>41.98028</v>
      </c>
      <c r="S234" s="61">
        <v>-87.908997900000003</v>
      </c>
      <c r="T234" s="61">
        <v>1578.402</v>
      </c>
      <c r="U234" s="61" t="s">
        <v>617</v>
      </c>
      <c r="V234" s="61" t="s">
        <v>569</v>
      </c>
      <c r="W234" s="61" cm="1">
        <f t="array" ref="W234">getDistance(I234,J234,R234,S234)*SA!$B$12</f>
        <v>1429.4950991616145</v>
      </c>
      <c r="X234" s="61"/>
      <c r="Y234" s="137">
        <f>Transportation_LCIA!C$61*($W234^Transportation_LCIA!C$60)+Transportation_LCIA!C$62</f>
        <v>0.20349821617970421</v>
      </c>
      <c r="Z234" s="137">
        <f>Transportation_LCIA!D$61*($W234^Transportation_LCIA!D$60)+Transportation_LCIA!D$62</f>
        <v>2.0501411564925682</v>
      </c>
      <c r="AA234" s="137">
        <f>Transportation_LCIA!E$61*($W234^Transportation_LCIA!E$60)+Transportation_LCIA!E$62</f>
        <v>8.9799039356792888E-4</v>
      </c>
      <c r="AB234" s="137">
        <f>Transportation_LCIA!F$61*($W234^Transportation_LCIA!F$60)+Transportation_LCIA!F$62</f>
        <v>0.20349821617970421</v>
      </c>
      <c r="AC234" s="137">
        <f>Transportation_LCIA!G$61*($W234^Transportation_LCIA!G$60)+Transportation_LCIA!G$62</f>
        <v>4.8000028211733513E-2</v>
      </c>
      <c r="AD234" s="137">
        <f>Transportation_LCIA!H$61*($W234^Transportation_LCIA!H$60)+Transportation_LCIA!H$62</f>
        <v>2.2285424318591637E-4</v>
      </c>
      <c r="AE234" s="137">
        <f>Transportation_LCIA!I$61*($W234^Transportation_LCIA!I$60)+Transportation_LCIA!I$62</f>
        <v>4.571174071441499E-6</v>
      </c>
      <c r="AF234" s="137">
        <f>Transportation_LCIA!J$61*($W234^Transportation_LCIA!J$60)+Transportation_LCIA!J$62</f>
        <v>6.7618339751164165E-3</v>
      </c>
      <c r="AG234" s="137">
        <f>Transportation_LCIA!K$61*($W234^Transportation_LCIA!K$60)+Transportation_LCIA!K$62</f>
        <v>1.0036647213890358E-2</v>
      </c>
      <c r="AH234" s="137">
        <f>Transportation_LCIA!L$61*($W234^Transportation_LCIA!L$60)+Transportation_LCIA!L$62</f>
        <v>1.9038435373879868E-4</v>
      </c>
      <c r="AI234" s="137">
        <f>Transportation_LCIA!M$61*($W234^Transportation_LCIA!M$60)+Transportation_LCIA!M$62</f>
        <v>2.1384473386264609E-4</v>
      </c>
      <c r="AJ234" s="137">
        <f>Transportation_LCIA!N$61*($W234^Transportation_LCIA!N$60)+Transportation_LCIA!N$62</f>
        <v>8.0839367892004054E-4</v>
      </c>
      <c r="AK234" s="137">
        <f>Transportation_LCIA!O$61*($W234^Transportation_LCIA!O$60)+Transportation_LCIA!O$62</f>
        <v>5.067209999252372E-5</v>
      </c>
      <c r="AL234" s="137">
        <f>Transportation_LCIA!P$61*($W234^Transportation_LCIA!P$60)+Transportation_LCIA!P$62</f>
        <v>2.4529050433273688E-8</v>
      </c>
      <c r="AM234" s="137">
        <f>Transportation_LCIA!Q$61*($W234^Transportation_LCIA!Q$60)+Transportation_LCIA!Q$62</f>
        <v>7.5620829602403238E-5</v>
      </c>
      <c r="AN234" s="137">
        <f>Transportation_LCIA!R$61*($W234^Transportation_LCIA!R$60)+Transportation_LCIA!R$62</f>
        <v>2.2005485991627286E-4</v>
      </c>
      <c r="AO234" s="137">
        <f>Transportation_LCIA!S$61*($W234^Transportation_LCIA!S$60)+Transportation_LCIA!S$62</f>
        <v>3.3802166707550345E-6</v>
      </c>
      <c r="AP234" s="137">
        <f>Transportation_LCIA!T$61*($W234^Transportation_LCIA!T$60)+Transportation_LCIA!T$62</f>
        <v>3.3802166707550345E-6</v>
      </c>
      <c r="AQ234" s="137">
        <f>Transportation_LCIA!U$61*($W234^Transportation_LCIA!U$60)+Transportation_LCIA!U$62</f>
        <v>4.6945882310058874E-4</v>
      </c>
      <c r="AR234" s="137">
        <f>Transportation_LCIA!V$61*($W234^Transportation_LCIA!V$60)+Transportation_LCIA!V$62</f>
        <v>1.9671290669076797E-4</v>
      </c>
      <c r="AT234" s="137">
        <f>$W234*Y234+$L234*Summary_LCIA!H$32</f>
        <v>329.43540131701792</v>
      </c>
      <c r="AU234" s="137">
        <f>$W234*Z234+$L234*Summary_LCIA!Q$32</f>
        <v>3492.7175472508816</v>
      </c>
      <c r="AV234" s="137">
        <f>$W234*AA234+$L234*Summary_LCIA!R$32</f>
        <v>1.8808287658995635</v>
      </c>
      <c r="AW234" s="137">
        <f>$W234*AB234+$L234*Summary_LCIA!S$32</f>
        <v>328.93414237701791</v>
      </c>
      <c r="AX234" s="137">
        <f>$W234*AC234+$L234*Summary_LCIA!T$32</f>
        <v>81.079234388292292</v>
      </c>
      <c r="AY234" s="137">
        <f>$W234*AD234+$L234*Summary_LCIA!U$32</f>
        <v>2.3501420464616376</v>
      </c>
      <c r="AZ234" s="137">
        <f>$W234*AE234+$L234*Summary_LCIA!V$32</f>
        <v>1.1950902659540266E-2</v>
      </c>
      <c r="BA234" s="137">
        <f>$W234*AF234+$L234*Summary_LCIA!W$32</f>
        <v>18.395058725773417</v>
      </c>
      <c r="BB234" s="137">
        <f>$W234*AG234+$L234*Summary_LCIA!X$32</f>
        <v>16.930749464270338</v>
      </c>
      <c r="BC234" s="137">
        <f>$W234*AH234+$L234*Summary_LCIA!Y$32</f>
        <v>2.0392613746266637</v>
      </c>
      <c r="BD234" s="137">
        <f>$W234*AI234+$L234*Summary_LCIA!Z$32</f>
        <v>0.31034070670117236</v>
      </c>
      <c r="BE234" s="137">
        <f>$W234*AJ234+$L234*Summary_LCIA!AA$32</f>
        <v>3.8043286942094254</v>
      </c>
      <c r="BF234" s="137">
        <f>$W234*AK234+$L234*Summary_LCIA!AB$32</f>
        <v>6.9960637642539944E-2</v>
      </c>
      <c r="BG234" s="137">
        <f>$W234*AL234+$L234*Summary_LCIA!AC$32</f>
        <v>4.0607945169452815E-5</v>
      </c>
      <c r="BH234" s="137">
        <f>$W234*AM234+$L234*Summary_LCIA!AD$32</f>
        <v>0.15471441859117097</v>
      </c>
      <c r="BI234" s="137">
        <f>$W234*AN234+$L234*Summary_LCIA!AE$32</f>
        <v>0.41506068870700769</v>
      </c>
      <c r="BJ234" s="137">
        <f>$W234*AO234+$L234*Summary_LCIA!AF$32</f>
        <v>0.10070854910494871</v>
      </c>
      <c r="BK234" s="137">
        <f>$W234*AP234+$L234*Summary_LCIA!AG$32</f>
        <v>1.0634472319948711E-2</v>
      </c>
      <c r="BL234" s="137">
        <f>$W234*AQ234+$L234*Summary_LCIA!AH$32</f>
        <v>1.6581382520804708</v>
      </c>
      <c r="BM234" s="137">
        <f>$W234*AR234+$L234*Summary_LCIA!AI$32</f>
        <v>0.38684442690628873</v>
      </c>
    </row>
    <row r="235" spans="1:65" x14ac:dyDescent="0.25">
      <c r="A235" s="149">
        <v>307</v>
      </c>
      <c r="B235" s="149">
        <v>6</v>
      </c>
      <c r="C235" s="61">
        <v>41.888157999999997</v>
      </c>
      <c r="D235" s="61">
        <v>-71.477429000000001</v>
      </c>
      <c r="E235" s="61" t="s">
        <v>265</v>
      </c>
      <c r="F235" s="149">
        <v>53</v>
      </c>
      <c r="G235" s="61" t="s">
        <v>565</v>
      </c>
      <c r="H235" s="61" t="s">
        <v>634</v>
      </c>
      <c r="I235" s="61">
        <v>42.365613000000003</v>
      </c>
      <c r="J235" s="61">
        <v>-71.009559999999993</v>
      </c>
      <c r="K235" s="61">
        <v>86.564645630000001</v>
      </c>
      <c r="L235" s="61">
        <v>88.81</v>
      </c>
      <c r="M235" s="61" t="s">
        <v>617</v>
      </c>
      <c r="N235" s="149">
        <v>5</v>
      </c>
      <c r="O235" s="149">
        <v>6</v>
      </c>
      <c r="P235" s="61" t="s">
        <v>565</v>
      </c>
      <c r="Q235" s="61" t="s">
        <v>564</v>
      </c>
      <c r="R235" s="61">
        <v>41.98028</v>
      </c>
      <c r="S235" s="61">
        <v>-87.908997900000003</v>
      </c>
      <c r="T235" s="61">
        <v>1594.4960000000001</v>
      </c>
      <c r="U235" s="61" t="s">
        <v>617</v>
      </c>
      <c r="V235" s="61" t="s">
        <v>569</v>
      </c>
      <c r="W235" s="61" cm="1">
        <f t="array" ref="W235">getDistance(I235,J235,R235,S235)*SA!$B$12</f>
        <v>1394.7010754672544</v>
      </c>
      <c r="X235" s="61"/>
      <c r="Y235" s="137">
        <f>Transportation_LCIA!C$61*($W235^Transportation_LCIA!C$60)+Transportation_LCIA!C$62</f>
        <v>0.20541169071553828</v>
      </c>
      <c r="Z235" s="137">
        <f>Transportation_LCIA!D$61*($W235^Transportation_LCIA!D$60)+Transportation_LCIA!D$62</f>
        <v>2.0721352010636895</v>
      </c>
      <c r="AA235" s="137">
        <f>Transportation_LCIA!E$61*($W235^Transportation_LCIA!E$60)+Transportation_LCIA!E$62</f>
        <v>9.1238963377472367E-4</v>
      </c>
      <c r="AB235" s="137">
        <f>Transportation_LCIA!F$61*($W235^Transportation_LCIA!F$60)+Transportation_LCIA!F$62</f>
        <v>0.20541169071553828</v>
      </c>
      <c r="AC235" s="137">
        <f>Transportation_LCIA!G$61*($W235^Transportation_LCIA!G$60)+Transportation_LCIA!G$62</f>
        <v>4.8509327483629391E-2</v>
      </c>
      <c r="AD235" s="137">
        <f>Transportation_LCIA!H$61*($W235^Transportation_LCIA!H$60)+Transportation_LCIA!H$62</f>
        <v>2.2599378016231362E-4</v>
      </c>
      <c r="AE235" s="137">
        <f>Transportation_LCIA!I$61*($W235^Transportation_LCIA!I$60)+Transportation_LCIA!I$62</f>
        <v>4.6491421751201883E-6</v>
      </c>
      <c r="AF235" s="137">
        <f>Transportation_LCIA!J$61*($W235^Transportation_LCIA!J$60)+Transportation_LCIA!J$62</f>
        <v>6.8769243409976324E-3</v>
      </c>
      <c r="AG235" s="137">
        <f>Transportation_LCIA!K$61*($W235^Transportation_LCIA!K$60)+Transportation_LCIA!K$62</f>
        <v>1.0154626692609268E-2</v>
      </c>
      <c r="AH235" s="137">
        <f>Transportation_LCIA!L$61*($W235^Transportation_LCIA!L$60)+Transportation_LCIA!L$62</f>
        <v>1.9325951793727536E-4</v>
      </c>
      <c r="AI235" s="137">
        <f>Transportation_LCIA!M$61*($W235^Transportation_LCIA!M$60)+Transportation_LCIA!M$62</f>
        <v>2.1557662085587944E-4</v>
      </c>
      <c r="AJ235" s="137">
        <f>Transportation_LCIA!N$61*($W235^Transportation_LCIA!N$60)+Transportation_LCIA!N$62</f>
        <v>8.1896071080382658E-4</v>
      </c>
      <c r="AK235" s="137">
        <f>Transportation_LCIA!O$61*($W235^Transportation_LCIA!O$60)+Transportation_LCIA!O$62</f>
        <v>5.1213070403790544E-5</v>
      </c>
      <c r="AL235" s="137">
        <f>Transportation_LCIA!P$61*($W235^Transportation_LCIA!P$60)+Transportation_LCIA!P$62</f>
        <v>2.4789436903819814E-8</v>
      </c>
      <c r="AM235" s="137">
        <f>Transportation_LCIA!Q$61*($W235^Transportation_LCIA!Q$60)+Transportation_LCIA!Q$62</f>
        <v>7.6742684464983015E-5</v>
      </c>
      <c r="AN235" s="137">
        <f>Transportation_LCIA!R$61*($W235^Transportation_LCIA!R$60)+Transportation_LCIA!R$62</f>
        <v>2.2379243548062238E-4</v>
      </c>
      <c r="AO235" s="137">
        <f>Transportation_LCIA!S$61*($W235^Transportation_LCIA!S$60)+Transportation_LCIA!S$62</f>
        <v>3.4332930346487986E-6</v>
      </c>
      <c r="AP235" s="137">
        <f>Transportation_LCIA!T$61*($W235^Transportation_LCIA!T$60)+Transportation_LCIA!T$62</f>
        <v>3.4332930346487986E-6</v>
      </c>
      <c r="AQ235" s="137">
        <f>Transportation_LCIA!U$61*($W235^Transportation_LCIA!U$60)+Transportation_LCIA!U$62</f>
        <v>4.7763432067623047E-4</v>
      </c>
      <c r="AR235" s="137">
        <f>Transportation_LCIA!V$61*($W235^Transportation_LCIA!V$60)+Transportation_LCIA!V$62</f>
        <v>1.9962357996669805E-4</v>
      </c>
      <c r="AT235" s="137">
        <f>$W235*Y235+$L235*Summary_LCIA!H$32</f>
        <v>316.66554395450828</v>
      </c>
      <c r="AU235" s="137">
        <f>$W235*Z235+$L235*Summary_LCIA!Q$32</f>
        <v>3330.1560323918134</v>
      </c>
      <c r="AV235" s="137">
        <f>$W235*AA235+$L235*Summary_LCIA!R$32</f>
        <v>1.7401487394707815</v>
      </c>
      <c r="AW235" s="137">
        <f>$W235*AB235+$L235*Summary_LCIA!S$32</f>
        <v>316.2730037545083</v>
      </c>
      <c r="AX235" s="137">
        <f>$W235*AC235+$L235*Summary_LCIA!T$32</f>
        <v>77.41623021161115</v>
      </c>
      <c r="AY235" s="137">
        <f>$W235*AD235+$L235*Summary_LCIA!U$32</f>
        <v>1.9061361082412891</v>
      </c>
      <c r="AZ235" s="137">
        <f>$W235*AE235+$L235*Summary_LCIA!V$32</f>
        <v>1.0725818001640297E-2</v>
      </c>
      <c r="BA235" s="137">
        <f>$W235*AF235+$L235*Summary_LCIA!W$32</f>
        <v>16.427048284296337</v>
      </c>
      <c r="BB235" s="137">
        <f>$W235*AG235+$L235*Summary_LCIA!X$32</f>
        <v>16.185760569150638</v>
      </c>
      <c r="BC235" s="137">
        <f>$W235*AH235+$L235*Summary_LCIA!Y$32</f>
        <v>1.6533766775114012</v>
      </c>
      <c r="BD235" s="137">
        <f>$W235*AI235+$L235*Summary_LCIA!Z$32</f>
        <v>0.30430695424329163</v>
      </c>
      <c r="BE235" s="137">
        <f>$W235*AJ235+$L235*Summary_LCIA!AA$32</f>
        <v>3.2164517441235239</v>
      </c>
      <c r="BF235" s="137">
        <f>$W235*AK235+$L235*Summary_LCIA!AB$32</f>
        <v>6.9488823740146893E-2</v>
      </c>
      <c r="BG235" s="137">
        <f>$W235*AL235+$L235*Summary_LCIA!AC$32</f>
        <v>3.8915242349985142E-5</v>
      </c>
      <c r="BH235" s="137">
        <f>$W235*AM235+$L235*Summary_LCIA!AD$32</f>
        <v>0.14353756695755598</v>
      </c>
      <c r="BI235" s="137">
        <f>$W235*AN235+$L235*Summary_LCIA!AE$32</f>
        <v>0.39082075574626018</v>
      </c>
      <c r="BJ235" s="137">
        <f>$W235*AO235+$L235*Summary_LCIA!AF$32</f>
        <v>7.9870167687818919E-2</v>
      </c>
      <c r="BK235" s="137">
        <f>$W235*AP235+$L235*Summary_LCIA!AG$32</f>
        <v>9.3323811378189132E-3</v>
      </c>
      <c r="BL235" s="137">
        <f>$W235*AQ235+$L235*Summary_LCIA!AH$32</f>
        <v>1.4391238167272102</v>
      </c>
      <c r="BM235" s="137">
        <f>$W235*AR235+$L235*Summary_LCIA!AI$32</f>
        <v>0.36114617716817721</v>
      </c>
    </row>
    <row r="236" spans="1:65" x14ac:dyDescent="0.25">
      <c r="A236" s="149">
        <v>183</v>
      </c>
      <c r="B236" s="149">
        <v>6</v>
      </c>
      <c r="C236" s="61">
        <v>42.373615999999998</v>
      </c>
      <c r="D236" s="61">
        <v>-71.109734000000003</v>
      </c>
      <c r="E236" s="61" t="s">
        <v>265</v>
      </c>
      <c r="F236" s="149">
        <v>53</v>
      </c>
      <c r="G236" s="61" t="s">
        <v>565</v>
      </c>
      <c r="H236" s="61" t="s">
        <v>634</v>
      </c>
      <c r="I236" s="61">
        <v>42.365613000000003</v>
      </c>
      <c r="J236" s="61">
        <v>-71.009559999999993</v>
      </c>
      <c r="K236" s="61">
        <v>8.3485195930000007</v>
      </c>
      <c r="L236" s="61">
        <v>14.246</v>
      </c>
      <c r="M236" s="61" t="s">
        <v>617</v>
      </c>
      <c r="N236" s="149">
        <v>5</v>
      </c>
      <c r="O236" s="149">
        <v>6</v>
      </c>
      <c r="P236" s="61" t="s">
        <v>565</v>
      </c>
      <c r="Q236" s="61" t="s">
        <v>564</v>
      </c>
      <c r="R236" s="61">
        <v>41.98028</v>
      </c>
      <c r="S236" s="61">
        <v>-87.908997900000003</v>
      </c>
      <c r="T236" s="61">
        <v>1603.5260000000001</v>
      </c>
      <c r="U236" s="61" t="s">
        <v>617</v>
      </c>
      <c r="V236" s="61" t="s">
        <v>569</v>
      </c>
      <c r="W236" s="61" cm="1">
        <f t="array" ref="W236">getDistance(I236,J236,R236,S236)*SA!$B$12</f>
        <v>1394.7010754672544</v>
      </c>
      <c r="X236" s="61"/>
      <c r="Y236" s="137">
        <f>Transportation_LCIA!C$61*($W236^Transportation_LCIA!C$60)+Transportation_LCIA!C$62</f>
        <v>0.20541169071553828</v>
      </c>
      <c r="Z236" s="137">
        <f>Transportation_LCIA!D$61*($W236^Transportation_LCIA!D$60)+Transportation_LCIA!D$62</f>
        <v>2.0721352010636895</v>
      </c>
      <c r="AA236" s="137">
        <f>Transportation_LCIA!E$61*($W236^Transportation_LCIA!E$60)+Transportation_LCIA!E$62</f>
        <v>9.1238963377472367E-4</v>
      </c>
      <c r="AB236" s="137">
        <f>Transportation_LCIA!F$61*($W236^Transportation_LCIA!F$60)+Transportation_LCIA!F$62</f>
        <v>0.20541169071553828</v>
      </c>
      <c r="AC236" s="137">
        <f>Transportation_LCIA!G$61*($W236^Transportation_LCIA!G$60)+Transportation_LCIA!G$62</f>
        <v>4.8509327483629391E-2</v>
      </c>
      <c r="AD236" s="137">
        <f>Transportation_LCIA!H$61*($W236^Transportation_LCIA!H$60)+Transportation_LCIA!H$62</f>
        <v>2.2599378016231362E-4</v>
      </c>
      <c r="AE236" s="137">
        <f>Transportation_LCIA!I$61*($W236^Transportation_LCIA!I$60)+Transportation_LCIA!I$62</f>
        <v>4.6491421751201883E-6</v>
      </c>
      <c r="AF236" s="137">
        <f>Transportation_LCIA!J$61*($W236^Transportation_LCIA!J$60)+Transportation_LCIA!J$62</f>
        <v>6.8769243409976324E-3</v>
      </c>
      <c r="AG236" s="137">
        <f>Transportation_LCIA!K$61*($W236^Transportation_LCIA!K$60)+Transportation_LCIA!K$62</f>
        <v>1.0154626692609268E-2</v>
      </c>
      <c r="AH236" s="137">
        <f>Transportation_LCIA!L$61*($W236^Transportation_LCIA!L$60)+Transportation_LCIA!L$62</f>
        <v>1.9325951793727536E-4</v>
      </c>
      <c r="AI236" s="137">
        <f>Transportation_LCIA!M$61*($W236^Transportation_LCIA!M$60)+Transportation_LCIA!M$62</f>
        <v>2.1557662085587944E-4</v>
      </c>
      <c r="AJ236" s="137">
        <f>Transportation_LCIA!N$61*($W236^Transportation_LCIA!N$60)+Transportation_LCIA!N$62</f>
        <v>8.1896071080382658E-4</v>
      </c>
      <c r="AK236" s="137">
        <f>Transportation_LCIA!O$61*($W236^Transportation_LCIA!O$60)+Transportation_LCIA!O$62</f>
        <v>5.1213070403790544E-5</v>
      </c>
      <c r="AL236" s="137">
        <f>Transportation_LCIA!P$61*($W236^Transportation_LCIA!P$60)+Transportation_LCIA!P$62</f>
        <v>2.4789436903819814E-8</v>
      </c>
      <c r="AM236" s="137">
        <f>Transportation_LCIA!Q$61*($W236^Transportation_LCIA!Q$60)+Transportation_LCIA!Q$62</f>
        <v>7.6742684464983015E-5</v>
      </c>
      <c r="AN236" s="137">
        <f>Transportation_LCIA!R$61*($W236^Transportation_LCIA!R$60)+Transportation_LCIA!R$62</f>
        <v>2.2379243548062238E-4</v>
      </c>
      <c r="AO236" s="137">
        <f>Transportation_LCIA!S$61*($W236^Transportation_LCIA!S$60)+Transportation_LCIA!S$62</f>
        <v>3.4332930346487986E-6</v>
      </c>
      <c r="AP236" s="137">
        <f>Transportation_LCIA!T$61*($W236^Transportation_LCIA!T$60)+Transportation_LCIA!T$62</f>
        <v>3.4332930346487986E-6</v>
      </c>
      <c r="AQ236" s="137">
        <f>Transportation_LCIA!U$61*($W236^Transportation_LCIA!U$60)+Transportation_LCIA!U$62</f>
        <v>4.7763432067623047E-4</v>
      </c>
      <c r="AR236" s="137">
        <f>Transportation_LCIA!V$61*($W236^Transportation_LCIA!V$60)+Transportation_LCIA!V$62</f>
        <v>1.9962357996669805E-4</v>
      </c>
      <c r="AT236" s="137">
        <f>$W236*Y236+$L236*Summary_LCIA!H$32</f>
        <v>291.32869675450826</v>
      </c>
      <c r="AU236" s="137">
        <f>$W236*Z236+$L236*Summary_LCIA!Q$32</f>
        <v>2960.6130879056013</v>
      </c>
      <c r="AV236" s="137">
        <f>$W236*AA236+$L236*Summary_LCIA!R$32</f>
        <v>1.3475245410707815</v>
      </c>
      <c r="AW236" s="137">
        <f>$W236*AB236+$L236*Summary_LCIA!S$32</f>
        <v>291.26572943450827</v>
      </c>
      <c r="AX236" s="137">
        <f>$W236*AC236+$L236*Summary_LCIA!T$32</f>
        <v>69.221646611611163</v>
      </c>
      <c r="AY236" s="137">
        <f>$W236*AD236+$L236*Summary_LCIA!U$32</f>
        <v>0.57039661224128912</v>
      </c>
      <c r="AZ236" s="137">
        <f>$W236*AE236+$L236*Summary_LCIA!V$32</f>
        <v>7.1645667976402965E-3</v>
      </c>
      <c r="BA236" s="137">
        <f>$W236*AF236+$L236*Summary_LCIA!W$32</f>
        <v>10.687782640296337</v>
      </c>
      <c r="BB236" s="137">
        <f>$W236*AG236+$L236*Summary_LCIA!X$32</f>
        <v>14.487192649150636</v>
      </c>
      <c r="BC236" s="137">
        <f>$W236*AH236+$L236*Summary_LCIA!Y$32</f>
        <v>0.49152042951140107</v>
      </c>
      <c r="BD236" s="137">
        <f>$W236*AI236+$L236*Summary_LCIA!Z$32</f>
        <v>0.30124915916729161</v>
      </c>
      <c r="BE236" s="137">
        <f>$W236*AJ236+$L236*Summary_LCIA!AA$32</f>
        <v>1.474934960123524</v>
      </c>
      <c r="BF236" s="137">
        <f>$W236*AK236+$L236*Summary_LCIA!AB$32</f>
        <v>7.1116033912146895E-2</v>
      </c>
      <c r="BG236" s="137">
        <f>$W236*AL236+$L236*Summary_LCIA!AC$32</f>
        <v>3.5270255773985141E-5</v>
      </c>
      <c r="BH236" s="137">
        <f>$W236*AM236+$L236*Summary_LCIA!AD$32</f>
        <v>0.11288878039755598</v>
      </c>
      <c r="BI236" s="137">
        <f>$W236*AN236+$L236*Summary_LCIA!AE$32</f>
        <v>0.32474735842626018</v>
      </c>
      <c r="BJ236" s="137">
        <f>$W236*AO236+$L236*Summary_LCIA!AF$32</f>
        <v>1.6832270807818912E-2</v>
      </c>
      <c r="BK236" s="137">
        <f>$W236*AP236+$L236*Summary_LCIA!AG$32</f>
        <v>5.5173140778189134E-3</v>
      </c>
      <c r="BL236" s="137">
        <f>$W236*AQ236+$L236*Summary_LCIA!AH$32</f>
        <v>0.79014858632721019</v>
      </c>
      <c r="BM236" s="137">
        <f>$W236*AR236+$L236*Summary_LCIA!AI$32</f>
        <v>0.29168608296817722</v>
      </c>
    </row>
    <row r="237" spans="1:65" x14ac:dyDescent="0.25">
      <c r="A237" s="149">
        <v>81</v>
      </c>
      <c r="B237" s="149">
        <v>6</v>
      </c>
      <c r="C237" s="61">
        <v>42.339463000000002</v>
      </c>
      <c r="D237" s="61">
        <v>-71.088528999999994</v>
      </c>
      <c r="E237" s="61" t="s">
        <v>265</v>
      </c>
      <c r="F237" s="149">
        <v>53</v>
      </c>
      <c r="G237" s="61" t="s">
        <v>565</v>
      </c>
      <c r="H237" s="61" t="s">
        <v>634</v>
      </c>
      <c r="I237" s="61">
        <v>42.365613000000003</v>
      </c>
      <c r="J237" s="61">
        <v>-71.009559999999993</v>
      </c>
      <c r="K237" s="61">
        <v>8.1732109099999999</v>
      </c>
      <c r="L237" s="61">
        <v>10.691000000000001</v>
      </c>
      <c r="M237" s="61" t="s">
        <v>617</v>
      </c>
      <c r="N237" s="149">
        <v>5</v>
      </c>
      <c r="O237" s="149">
        <v>6</v>
      </c>
      <c r="P237" s="61" t="s">
        <v>565</v>
      </c>
      <c r="Q237" s="61" t="s">
        <v>564</v>
      </c>
      <c r="R237" s="61">
        <v>41.98028</v>
      </c>
      <c r="S237" s="61">
        <v>-87.908997900000003</v>
      </c>
      <c r="T237" s="61">
        <v>1605.4690000000001</v>
      </c>
      <c r="U237" s="61" t="s">
        <v>617</v>
      </c>
      <c r="V237" s="61" t="s">
        <v>569</v>
      </c>
      <c r="W237" s="61" cm="1">
        <f t="array" ref="W237">getDistance(I237,J237,R237,S237)*SA!$B$12</f>
        <v>1394.7010754672544</v>
      </c>
      <c r="X237" s="61"/>
      <c r="Y237" s="137">
        <f>Transportation_LCIA!C$61*($W237^Transportation_LCIA!C$60)+Transportation_LCIA!C$62</f>
        <v>0.20541169071553828</v>
      </c>
      <c r="Z237" s="137">
        <f>Transportation_LCIA!D$61*($W237^Transportation_LCIA!D$60)+Transportation_LCIA!D$62</f>
        <v>2.0721352010636895</v>
      </c>
      <c r="AA237" s="137">
        <f>Transportation_LCIA!E$61*($W237^Transportation_LCIA!E$60)+Transportation_LCIA!E$62</f>
        <v>9.1238963377472367E-4</v>
      </c>
      <c r="AB237" s="137">
        <f>Transportation_LCIA!F$61*($W237^Transportation_LCIA!F$60)+Transportation_LCIA!F$62</f>
        <v>0.20541169071553828</v>
      </c>
      <c r="AC237" s="137">
        <f>Transportation_LCIA!G$61*($W237^Transportation_LCIA!G$60)+Transportation_LCIA!G$62</f>
        <v>4.8509327483629391E-2</v>
      </c>
      <c r="AD237" s="137">
        <f>Transportation_LCIA!H$61*($W237^Transportation_LCIA!H$60)+Transportation_LCIA!H$62</f>
        <v>2.2599378016231362E-4</v>
      </c>
      <c r="AE237" s="137">
        <f>Transportation_LCIA!I$61*($W237^Transportation_LCIA!I$60)+Transportation_LCIA!I$62</f>
        <v>4.6491421751201883E-6</v>
      </c>
      <c r="AF237" s="137">
        <f>Transportation_LCIA!J$61*($W237^Transportation_LCIA!J$60)+Transportation_LCIA!J$62</f>
        <v>6.8769243409976324E-3</v>
      </c>
      <c r="AG237" s="137">
        <f>Transportation_LCIA!K$61*($W237^Transportation_LCIA!K$60)+Transportation_LCIA!K$62</f>
        <v>1.0154626692609268E-2</v>
      </c>
      <c r="AH237" s="137">
        <f>Transportation_LCIA!L$61*($W237^Transportation_LCIA!L$60)+Transportation_LCIA!L$62</f>
        <v>1.9325951793727536E-4</v>
      </c>
      <c r="AI237" s="137">
        <f>Transportation_LCIA!M$61*($W237^Transportation_LCIA!M$60)+Transportation_LCIA!M$62</f>
        <v>2.1557662085587944E-4</v>
      </c>
      <c r="AJ237" s="137">
        <f>Transportation_LCIA!N$61*($W237^Transportation_LCIA!N$60)+Transportation_LCIA!N$62</f>
        <v>8.1896071080382658E-4</v>
      </c>
      <c r="AK237" s="137">
        <f>Transportation_LCIA!O$61*($W237^Transportation_LCIA!O$60)+Transportation_LCIA!O$62</f>
        <v>5.1213070403790544E-5</v>
      </c>
      <c r="AL237" s="137">
        <f>Transportation_LCIA!P$61*($W237^Transportation_LCIA!P$60)+Transportation_LCIA!P$62</f>
        <v>2.4789436903819814E-8</v>
      </c>
      <c r="AM237" s="137">
        <f>Transportation_LCIA!Q$61*($W237^Transportation_LCIA!Q$60)+Transportation_LCIA!Q$62</f>
        <v>7.6742684464983015E-5</v>
      </c>
      <c r="AN237" s="137">
        <f>Transportation_LCIA!R$61*($W237^Transportation_LCIA!R$60)+Transportation_LCIA!R$62</f>
        <v>2.2379243548062238E-4</v>
      </c>
      <c r="AO237" s="137">
        <f>Transportation_LCIA!S$61*($W237^Transportation_LCIA!S$60)+Transportation_LCIA!S$62</f>
        <v>3.4332930346487986E-6</v>
      </c>
      <c r="AP237" s="137">
        <f>Transportation_LCIA!T$61*($W237^Transportation_LCIA!T$60)+Transportation_LCIA!T$62</f>
        <v>3.4332930346487986E-6</v>
      </c>
      <c r="AQ237" s="137">
        <f>Transportation_LCIA!U$61*($W237^Transportation_LCIA!U$60)+Transportation_LCIA!U$62</f>
        <v>4.7763432067623047E-4</v>
      </c>
      <c r="AR237" s="137">
        <f>Transportation_LCIA!V$61*($W237^Transportation_LCIA!V$60)+Transportation_LCIA!V$62</f>
        <v>1.9962357996669805E-4</v>
      </c>
      <c r="AT237" s="137">
        <f>$W237*Y237+$L237*Summary_LCIA!H$32</f>
        <v>290.12070775450826</v>
      </c>
      <c r="AU237" s="137">
        <f>$W237*Z237+$L237*Summary_LCIA!Q$32</f>
        <v>2942.9943286162866</v>
      </c>
      <c r="AV237" s="137">
        <f>$W237*AA237+$L237*Summary_LCIA!R$32</f>
        <v>1.3288053330707814</v>
      </c>
      <c r="AW237" s="137">
        <f>$W237*AB237+$L237*Summary_LCIA!S$32</f>
        <v>290.0734535345083</v>
      </c>
      <c r="AX237" s="137">
        <f>$W237*AC237+$L237*Summary_LCIA!T$32</f>
        <v>68.830952111611154</v>
      </c>
      <c r="AY237" s="137">
        <f>$W237*AD237+$L237*Summary_LCIA!U$32</f>
        <v>0.50671234224128914</v>
      </c>
      <c r="AZ237" s="137">
        <f>$W237*AE237+$L237*Summary_LCIA!V$32</f>
        <v>6.9947764426402971E-3</v>
      </c>
      <c r="BA237" s="137">
        <f>$W237*AF237+$L237*Summary_LCIA!W$32</f>
        <v>10.414150735296337</v>
      </c>
      <c r="BB237" s="137">
        <f>$W237*AG237+$L237*Summary_LCIA!X$32</f>
        <v>14.406209749150637</v>
      </c>
      <c r="BC237" s="137">
        <f>$W237*AH237+$L237*Summary_LCIA!Y$32</f>
        <v>0.43612641951140108</v>
      </c>
      <c r="BD237" s="137">
        <f>$W237*AI237+$L237*Summary_LCIA!Z$32</f>
        <v>0.30110337217229161</v>
      </c>
      <c r="BE237" s="137">
        <f>$W237*AJ237+$L237*Summary_LCIA!AA$32</f>
        <v>1.391904380123524</v>
      </c>
      <c r="BF237" s="137">
        <f>$W237*AK237+$L237*Summary_LCIA!AB$32</f>
        <v>7.1193614677146883E-2</v>
      </c>
      <c r="BG237" s="137">
        <f>$W237*AL237+$L237*Summary_LCIA!AC$32</f>
        <v>3.509647315398514E-5</v>
      </c>
      <c r="BH237" s="137">
        <f>$W237*AM237+$L237*Summary_LCIA!AD$32</f>
        <v>0.11142753319755598</v>
      </c>
      <c r="BI237" s="137">
        <f>$W237*AN237+$L237*Summary_LCIA!AE$32</f>
        <v>0.32159716627626017</v>
      </c>
      <c r="BJ237" s="137">
        <f>$W237*AO237+$L237*Summary_LCIA!AF$32</f>
        <v>1.3826802707818914E-2</v>
      </c>
      <c r="BK237" s="137">
        <f>$W237*AP237+$L237*Summary_LCIA!AG$32</f>
        <v>5.3354225028189135E-3</v>
      </c>
      <c r="BL237" s="137">
        <f>$W237*AQ237+$L237*Summary_LCIA!AH$32</f>
        <v>0.75920728832721018</v>
      </c>
      <c r="BM237" s="137">
        <f>$W237*AR237+$L237*Summary_LCIA!AI$32</f>
        <v>0.2883744227181772</v>
      </c>
    </row>
    <row r="238" spans="1:65" x14ac:dyDescent="0.25">
      <c r="A238" s="149">
        <v>82</v>
      </c>
      <c r="B238" s="149">
        <v>6</v>
      </c>
      <c r="C238" s="61">
        <v>42.339463000000002</v>
      </c>
      <c r="D238" s="61">
        <v>-71.088528999999994</v>
      </c>
      <c r="E238" s="61" t="s">
        <v>265</v>
      </c>
      <c r="F238" s="149">
        <v>53</v>
      </c>
      <c r="G238" s="61" t="s">
        <v>565</v>
      </c>
      <c r="H238" s="61" t="s">
        <v>634</v>
      </c>
      <c r="I238" s="61">
        <v>42.365613000000003</v>
      </c>
      <c r="J238" s="61">
        <v>-71.009559999999993</v>
      </c>
      <c r="K238" s="61">
        <v>8.1732109099999999</v>
      </c>
      <c r="L238" s="61">
        <v>10.691000000000001</v>
      </c>
      <c r="M238" s="61" t="s">
        <v>617</v>
      </c>
      <c r="N238" s="149">
        <v>5</v>
      </c>
      <c r="O238" s="149">
        <v>6</v>
      </c>
      <c r="P238" s="61" t="s">
        <v>565</v>
      </c>
      <c r="Q238" s="61" t="s">
        <v>564</v>
      </c>
      <c r="R238" s="61">
        <v>41.98028</v>
      </c>
      <c r="S238" s="61">
        <v>-87.908997900000003</v>
      </c>
      <c r="T238" s="61">
        <v>1605.4690000000001</v>
      </c>
      <c r="U238" s="61" t="s">
        <v>617</v>
      </c>
      <c r="V238" s="61" t="s">
        <v>569</v>
      </c>
      <c r="W238" s="61" cm="1">
        <f t="array" ref="W238">getDistance(I238,J238,R238,S238)*SA!$B$12</f>
        <v>1394.7010754672544</v>
      </c>
      <c r="X238" s="61"/>
      <c r="Y238" s="137">
        <f>Transportation_LCIA!C$61*($W238^Transportation_LCIA!C$60)+Transportation_LCIA!C$62</f>
        <v>0.20541169071553828</v>
      </c>
      <c r="Z238" s="137">
        <f>Transportation_LCIA!D$61*($W238^Transportation_LCIA!D$60)+Transportation_LCIA!D$62</f>
        <v>2.0721352010636895</v>
      </c>
      <c r="AA238" s="137">
        <f>Transportation_LCIA!E$61*($W238^Transportation_LCIA!E$60)+Transportation_LCIA!E$62</f>
        <v>9.1238963377472367E-4</v>
      </c>
      <c r="AB238" s="137">
        <f>Transportation_LCIA!F$61*($W238^Transportation_LCIA!F$60)+Transportation_LCIA!F$62</f>
        <v>0.20541169071553828</v>
      </c>
      <c r="AC238" s="137">
        <f>Transportation_LCIA!G$61*($W238^Transportation_LCIA!G$60)+Transportation_LCIA!G$62</f>
        <v>4.8509327483629391E-2</v>
      </c>
      <c r="AD238" s="137">
        <f>Transportation_LCIA!H$61*($W238^Transportation_LCIA!H$60)+Transportation_LCIA!H$62</f>
        <v>2.2599378016231362E-4</v>
      </c>
      <c r="AE238" s="137">
        <f>Transportation_LCIA!I$61*($W238^Transportation_LCIA!I$60)+Transportation_LCIA!I$62</f>
        <v>4.6491421751201883E-6</v>
      </c>
      <c r="AF238" s="137">
        <f>Transportation_LCIA!J$61*($W238^Transportation_LCIA!J$60)+Transportation_LCIA!J$62</f>
        <v>6.8769243409976324E-3</v>
      </c>
      <c r="AG238" s="137">
        <f>Transportation_LCIA!K$61*($W238^Transportation_LCIA!K$60)+Transportation_LCIA!K$62</f>
        <v>1.0154626692609268E-2</v>
      </c>
      <c r="AH238" s="137">
        <f>Transportation_LCIA!L$61*($W238^Transportation_LCIA!L$60)+Transportation_LCIA!L$62</f>
        <v>1.9325951793727536E-4</v>
      </c>
      <c r="AI238" s="137">
        <f>Transportation_LCIA!M$61*($W238^Transportation_LCIA!M$60)+Transportation_LCIA!M$62</f>
        <v>2.1557662085587944E-4</v>
      </c>
      <c r="AJ238" s="137">
        <f>Transportation_LCIA!N$61*($W238^Transportation_LCIA!N$60)+Transportation_LCIA!N$62</f>
        <v>8.1896071080382658E-4</v>
      </c>
      <c r="AK238" s="137">
        <f>Transportation_LCIA!O$61*($W238^Transportation_LCIA!O$60)+Transportation_LCIA!O$62</f>
        <v>5.1213070403790544E-5</v>
      </c>
      <c r="AL238" s="137">
        <f>Transportation_LCIA!P$61*($W238^Transportation_LCIA!P$60)+Transportation_LCIA!P$62</f>
        <v>2.4789436903819814E-8</v>
      </c>
      <c r="AM238" s="137">
        <f>Transportation_LCIA!Q$61*($W238^Transportation_LCIA!Q$60)+Transportation_LCIA!Q$62</f>
        <v>7.6742684464983015E-5</v>
      </c>
      <c r="AN238" s="137">
        <f>Transportation_LCIA!R$61*($W238^Transportation_LCIA!R$60)+Transportation_LCIA!R$62</f>
        <v>2.2379243548062238E-4</v>
      </c>
      <c r="AO238" s="137">
        <f>Transportation_LCIA!S$61*($W238^Transportation_LCIA!S$60)+Transportation_LCIA!S$62</f>
        <v>3.4332930346487986E-6</v>
      </c>
      <c r="AP238" s="137">
        <f>Transportation_LCIA!T$61*($W238^Transportation_LCIA!T$60)+Transportation_LCIA!T$62</f>
        <v>3.4332930346487986E-6</v>
      </c>
      <c r="AQ238" s="137">
        <f>Transportation_LCIA!U$61*($W238^Transportation_LCIA!U$60)+Transportation_LCIA!U$62</f>
        <v>4.7763432067623047E-4</v>
      </c>
      <c r="AR238" s="137">
        <f>Transportation_LCIA!V$61*($W238^Transportation_LCIA!V$60)+Transportation_LCIA!V$62</f>
        <v>1.9962357996669805E-4</v>
      </c>
      <c r="AT238" s="137">
        <f>$W238*Y238+$L238*Summary_LCIA!H$32</f>
        <v>290.12070775450826</v>
      </c>
      <c r="AU238" s="137">
        <f>$W238*Z238+$L238*Summary_LCIA!Q$32</f>
        <v>2942.9943286162866</v>
      </c>
      <c r="AV238" s="137">
        <f>$W238*AA238+$L238*Summary_LCIA!R$32</f>
        <v>1.3288053330707814</v>
      </c>
      <c r="AW238" s="137">
        <f>$W238*AB238+$L238*Summary_LCIA!S$32</f>
        <v>290.0734535345083</v>
      </c>
      <c r="AX238" s="137">
        <f>$W238*AC238+$L238*Summary_LCIA!T$32</f>
        <v>68.830952111611154</v>
      </c>
      <c r="AY238" s="137">
        <f>$W238*AD238+$L238*Summary_LCIA!U$32</f>
        <v>0.50671234224128914</v>
      </c>
      <c r="AZ238" s="137">
        <f>$W238*AE238+$L238*Summary_LCIA!V$32</f>
        <v>6.9947764426402971E-3</v>
      </c>
      <c r="BA238" s="137">
        <f>$W238*AF238+$L238*Summary_LCIA!W$32</f>
        <v>10.414150735296337</v>
      </c>
      <c r="BB238" s="137">
        <f>$W238*AG238+$L238*Summary_LCIA!X$32</f>
        <v>14.406209749150637</v>
      </c>
      <c r="BC238" s="137">
        <f>$W238*AH238+$L238*Summary_LCIA!Y$32</f>
        <v>0.43612641951140108</v>
      </c>
      <c r="BD238" s="137">
        <f>$W238*AI238+$L238*Summary_LCIA!Z$32</f>
        <v>0.30110337217229161</v>
      </c>
      <c r="BE238" s="137">
        <f>$W238*AJ238+$L238*Summary_LCIA!AA$32</f>
        <v>1.391904380123524</v>
      </c>
      <c r="BF238" s="137">
        <f>$W238*AK238+$L238*Summary_LCIA!AB$32</f>
        <v>7.1193614677146883E-2</v>
      </c>
      <c r="BG238" s="137">
        <f>$W238*AL238+$L238*Summary_LCIA!AC$32</f>
        <v>3.509647315398514E-5</v>
      </c>
      <c r="BH238" s="137">
        <f>$W238*AM238+$L238*Summary_LCIA!AD$32</f>
        <v>0.11142753319755598</v>
      </c>
      <c r="BI238" s="137">
        <f>$W238*AN238+$L238*Summary_LCIA!AE$32</f>
        <v>0.32159716627626017</v>
      </c>
      <c r="BJ238" s="137">
        <f>$W238*AO238+$L238*Summary_LCIA!AF$32</f>
        <v>1.3826802707818914E-2</v>
      </c>
      <c r="BK238" s="137">
        <f>$W238*AP238+$L238*Summary_LCIA!AG$32</f>
        <v>5.3354225028189135E-3</v>
      </c>
      <c r="BL238" s="137">
        <f>$W238*AQ238+$L238*Summary_LCIA!AH$32</f>
        <v>0.75920728832721018</v>
      </c>
      <c r="BM238" s="137">
        <f>$W238*AR238+$L238*Summary_LCIA!AI$32</f>
        <v>0.2883744227181772</v>
      </c>
    </row>
    <row r="239" spans="1:65" x14ac:dyDescent="0.25">
      <c r="A239" s="149">
        <v>114</v>
      </c>
      <c r="B239" s="149">
        <v>6</v>
      </c>
      <c r="C239" s="61">
        <v>42.359243999999997</v>
      </c>
      <c r="D239" s="61">
        <v>-71.093138999999994</v>
      </c>
      <c r="E239" s="61" t="s">
        <v>265</v>
      </c>
      <c r="F239" s="149">
        <v>53</v>
      </c>
      <c r="G239" s="61" t="s">
        <v>565</v>
      </c>
      <c r="H239" s="61" t="s">
        <v>634</v>
      </c>
      <c r="I239" s="61">
        <v>42.365613000000003</v>
      </c>
      <c r="J239" s="61">
        <v>-71.009559999999993</v>
      </c>
      <c r="K239" s="61">
        <v>7.2270388560000001</v>
      </c>
      <c r="L239" s="61">
        <v>8.6859999999999999</v>
      </c>
      <c r="M239" s="61" t="s">
        <v>617</v>
      </c>
      <c r="N239" s="149">
        <v>5</v>
      </c>
      <c r="O239" s="149">
        <v>6</v>
      </c>
      <c r="P239" s="61" t="s">
        <v>565</v>
      </c>
      <c r="Q239" s="61" t="s">
        <v>564</v>
      </c>
      <c r="R239" s="61">
        <v>41.98028</v>
      </c>
      <c r="S239" s="61">
        <v>-87.908997900000003</v>
      </c>
      <c r="T239" s="61">
        <v>1605.7339999999999</v>
      </c>
      <c r="U239" s="61" t="s">
        <v>617</v>
      </c>
      <c r="V239" s="61" t="s">
        <v>569</v>
      </c>
      <c r="W239" s="61" cm="1">
        <f t="array" ref="W239">getDistance(I239,J239,R239,S239)*SA!$B$12</f>
        <v>1394.7010754672544</v>
      </c>
      <c r="X239" s="61"/>
      <c r="Y239" s="137">
        <f>Transportation_LCIA!C$61*($W239^Transportation_LCIA!C$60)+Transportation_LCIA!C$62</f>
        <v>0.20541169071553828</v>
      </c>
      <c r="Z239" s="137">
        <f>Transportation_LCIA!D$61*($W239^Transportation_LCIA!D$60)+Transportation_LCIA!D$62</f>
        <v>2.0721352010636895</v>
      </c>
      <c r="AA239" s="137">
        <f>Transportation_LCIA!E$61*($W239^Transportation_LCIA!E$60)+Transportation_LCIA!E$62</f>
        <v>9.1238963377472367E-4</v>
      </c>
      <c r="AB239" s="137">
        <f>Transportation_LCIA!F$61*($W239^Transportation_LCIA!F$60)+Transportation_LCIA!F$62</f>
        <v>0.20541169071553828</v>
      </c>
      <c r="AC239" s="137">
        <f>Transportation_LCIA!G$61*($W239^Transportation_LCIA!G$60)+Transportation_LCIA!G$62</f>
        <v>4.8509327483629391E-2</v>
      </c>
      <c r="AD239" s="137">
        <f>Transportation_LCIA!H$61*($W239^Transportation_LCIA!H$60)+Transportation_LCIA!H$62</f>
        <v>2.2599378016231362E-4</v>
      </c>
      <c r="AE239" s="137">
        <f>Transportation_LCIA!I$61*($W239^Transportation_LCIA!I$60)+Transportation_LCIA!I$62</f>
        <v>4.6491421751201883E-6</v>
      </c>
      <c r="AF239" s="137">
        <f>Transportation_LCIA!J$61*($W239^Transportation_LCIA!J$60)+Transportation_LCIA!J$62</f>
        <v>6.8769243409976324E-3</v>
      </c>
      <c r="AG239" s="137">
        <f>Transportation_LCIA!K$61*($W239^Transportation_LCIA!K$60)+Transportation_LCIA!K$62</f>
        <v>1.0154626692609268E-2</v>
      </c>
      <c r="AH239" s="137">
        <f>Transportation_LCIA!L$61*($W239^Transportation_LCIA!L$60)+Transportation_LCIA!L$62</f>
        <v>1.9325951793727536E-4</v>
      </c>
      <c r="AI239" s="137">
        <f>Transportation_LCIA!M$61*($W239^Transportation_LCIA!M$60)+Transportation_LCIA!M$62</f>
        <v>2.1557662085587944E-4</v>
      </c>
      <c r="AJ239" s="137">
        <f>Transportation_LCIA!N$61*($W239^Transportation_LCIA!N$60)+Transportation_LCIA!N$62</f>
        <v>8.1896071080382658E-4</v>
      </c>
      <c r="AK239" s="137">
        <f>Transportation_LCIA!O$61*($W239^Transportation_LCIA!O$60)+Transportation_LCIA!O$62</f>
        <v>5.1213070403790544E-5</v>
      </c>
      <c r="AL239" s="137">
        <f>Transportation_LCIA!P$61*($W239^Transportation_LCIA!P$60)+Transportation_LCIA!P$62</f>
        <v>2.4789436903819814E-8</v>
      </c>
      <c r="AM239" s="137">
        <f>Transportation_LCIA!Q$61*($W239^Transportation_LCIA!Q$60)+Transportation_LCIA!Q$62</f>
        <v>7.6742684464983015E-5</v>
      </c>
      <c r="AN239" s="137">
        <f>Transportation_LCIA!R$61*($W239^Transportation_LCIA!R$60)+Transportation_LCIA!R$62</f>
        <v>2.2379243548062238E-4</v>
      </c>
      <c r="AO239" s="137">
        <f>Transportation_LCIA!S$61*($W239^Transportation_LCIA!S$60)+Transportation_LCIA!S$62</f>
        <v>3.4332930346487986E-6</v>
      </c>
      <c r="AP239" s="137">
        <f>Transportation_LCIA!T$61*($W239^Transportation_LCIA!T$60)+Transportation_LCIA!T$62</f>
        <v>3.4332930346487986E-6</v>
      </c>
      <c r="AQ239" s="137">
        <f>Transportation_LCIA!U$61*($W239^Transportation_LCIA!U$60)+Transportation_LCIA!U$62</f>
        <v>4.7763432067623047E-4</v>
      </c>
      <c r="AR239" s="137">
        <f>Transportation_LCIA!V$61*($W239^Transportation_LCIA!V$60)+Transportation_LCIA!V$62</f>
        <v>1.9962357996669805E-4</v>
      </c>
      <c r="AT239" s="137">
        <f>$W239*Y239+$L239*Summary_LCIA!H$32</f>
        <v>289.43940875450829</v>
      </c>
      <c r="AU239" s="137">
        <f>$W239*Z239+$L239*Summary_LCIA!Q$32</f>
        <v>2933.0574474981213</v>
      </c>
      <c r="AV239" s="137">
        <f>$W239*AA239+$L239*Summary_LCIA!R$32</f>
        <v>1.3182478050707815</v>
      </c>
      <c r="AW239" s="137">
        <f>$W239*AB239+$L239*Summary_LCIA!S$32</f>
        <v>289.40101663450827</v>
      </c>
      <c r="AX239" s="137">
        <f>$W239*AC239+$L239*Summary_LCIA!T$32</f>
        <v>68.610602611611156</v>
      </c>
      <c r="AY239" s="137">
        <f>$W239*AD239+$L239*Summary_LCIA!U$32</f>
        <v>0.47079477224128907</v>
      </c>
      <c r="AZ239" s="137">
        <f>$W239*AE239+$L239*Summary_LCIA!V$32</f>
        <v>6.899015637640297E-3</v>
      </c>
      <c r="BA239" s="137">
        <f>$W239*AF239+$L239*Summary_LCIA!W$32</f>
        <v>10.259823880296338</v>
      </c>
      <c r="BB239" s="137">
        <f>$W239*AG239+$L239*Summary_LCIA!X$32</f>
        <v>14.360535849150637</v>
      </c>
      <c r="BC239" s="137">
        <f>$W239*AH239+$L239*Summary_LCIA!Y$32</f>
        <v>0.40488450951140109</v>
      </c>
      <c r="BD239" s="137">
        <f>$W239*AI239+$L239*Summary_LCIA!Z$32</f>
        <v>0.30102114912729161</v>
      </c>
      <c r="BE239" s="137">
        <f>$W239*AJ239+$L239*Summary_LCIA!AA$32</f>
        <v>1.345075600123524</v>
      </c>
      <c r="BF239" s="137">
        <f>$W239*AK239+$L239*Summary_LCIA!AB$32</f>
        <v>7.1237369792146885E-2</v>
      </c>
      <c r="BG239" s="137">
        <f>$W239*AL239+$L239*Summary_LCIA!AC$32</f>
        <v>3.4998460733985143E-5</v>
      </c>
      <c r="BH239" s="137">
        <f>$W239*AM239+$L239*Summary_LCIA!AD$32</f>
        <v>0.11060339799755597</v>
      </c>
      <c r="BI239" s="137">
        <f>$W239*AN239+$L239*Summary_LCIA!AE$32</f>
        <v>0.31982047562626015</v>
      </c>
      <c r="BJ239" s="137">
        <f>$W239*AO239+$L239*Summary_LCIA!AF$32</f>
        <v>1.2131735607818914E-2</v>
      </c>
      <c r="BK239" s="137">
        <f>$W239*AP239+$L239*Summary_LCIA!AG$32</f>
        <v>5.2328366778189132E-3</v>
      </c>
      <c r="BL239" s="137">
        <f>$W239*AQ239+$L239*Summary_LCIA!AH$32</f>
        <v>0.7417565703272101</v>
      </c>
      <c r="BM239" s="137">
        <f>$W239*AR239+$L239*Summary_LCIA!AI$32</f>
        <v>0.28650666496817723</v>
      </c>
    </row>
    <row r="240" spans="1:65" x14ac:dyDescent="0.25">
      <c r="A240" s="149">
        <v>115</v>
      </c>
      <c r="B240" s="149">
        <v>6</v>
      </c>
      <c r="C240" s="61">
        <v>42.359243999999997</v>
      </c>
      <c r="D240" s="61">
        <v>-71.093138999999994</v>
      </c>
      <c r="E240" s="61" t="s">
        <v>265</v>
      </c>
      <c r="F240" s="149">
        <v>53</v>
      </c>
      <c r="G240" s="61" t="s">
        <v>565</v>
      </c>
      <c r="H240" s="61" t="s">
        <v>634</v>
      </c>
      <c r="I240" s="61">
        <v>42.365613000000003</v>
      </c>
      <c r="J240" s="61">
        <v>-71.009559999999993</v>
      </c>
      <c r="K240" s="61">
        <v>7.2270388560000001</v>
      </c>
      <c r="L240" s="61">
        <v>8.6859999999999999</v>
      </c>
      <c r="M240" s="61" t="s">
        <v>617</v>
      </c>
      <c r="N240" s="149">
        <v>5</v>
      </c>
      <c r="O240" s="149">
        <v>6</v>
      </c>
      <c r="P240" s="61" t="s">
        <v>565</v>
      </c>
      <c r="Q240" s="61" t="s">
        <v>564</v>
      </c>
      <c r="R240" s="61">
        <v>41.98028</v>
      </c>
      <c r="S240" s="61">
        <v>-87.908997900000003</v>
      </c>
      <c r="T240" s="61">
        <v>1605.7339999999999</v>
      </c>
      <c r="U240" s="61" t="s">
        <v>617</v>
      </c>
      <c r="V240" s="61" t="s">
        <v>569</v>
      </c>
      <c r="W240" s="61" cm="1">
        <f t="array" ref="W240">getDistance(I240,J240,R240,S240)*SA!$B$12</f>
        <v>1394.7010754672544</v>
      </c>
      <c r="X240" s="61"/>
      <c r="Y240" s="137">
        <f>Transportation_LCIA!C$61*($W240^Transportation_LCIA!C$60)+Transportation_LCIA!C$62</f>
        <v>0.20541169071553828</v>
      </c>
      <c r="Z240" s="137">
        <f>Transportation_LCIA!D$61*($W240^Transportation_LCIA!D$60)+Transportation_LCIA!D$62</f>
        <v>2.0721352010636895</v>
      </c>
      <c r="AA240" s="137">
        <f>Transportation_LCIA!E$61*($W240^Transportation_LCIA!E$60)+Transportation_LCIA!E$62</f>
        <v>9.1238963377472367E-4</v>
      </c>
      <c r="AB240" s="137">
        <f>Transportation_LCIA!F$61*($W240^Transportation_LCIA!F$60)+Transportation_LCIA!F$62</f>
        <v>0.20541169071553828</v>
      </c>
      <c r="AC240" s="137">
        <f>Transportation_LCIA!G$61*($W240^Transportation_LCIA!G$60)+Transportation_LCIA!G$62</f>
        <v>4.8509327483629391E-2</v>
      </c>
      <c r="AD240" s="137">
        <f>Transportation_LCIA!H$61*($W240^Transportation_LCIA!H$60)+Transportation_LCIA!H$62</f>
        <v>2.2599378016231362E-4</v>
      </c>
      <c r="AE240" s="137">
        <f>Transportation_LCIA!I$61*($W240^Transportation_LCIA!I$60)+Transportation_LCIA!I$62</f>
        <v>4.6491421751201883E-6</v>
      </c>
      <c r="AF240" s="137">
        <f>Transportation_LCIA!J$61*($W240^Transportation_LCIA!J$60)+Transportation_LCIA!J$62</f>
        <v>6.8769243409976324E-3</v>
      </c>
      <c r="AG240" s="137">
        <f>Transportation_LCIA!K$61*($W240^Transportation_LCIA!K$60)+Transportation_LCIA!K$62</f>
        <v>1.0154626692609268E-2</v>
      </c>
      <c r="AH240" s="137">
        <f>Transportation_LCIA!L$61*($W240^Transportation_LCIA!L$60)+Transportation_LCIA!L$62</f>
        <v>1.9325951793727536E-4</v>
      </c>
      <c r="AI240" s="137">
        <f>Transportation_LCIA!M$61*($W240^Transportation_LCIA!M$60)+Transportation_LCIA!M$62</f>
        <v>2.1557662085587944E-4</v>
      </c>
      <c r="AJ240" s="137">
        <f>Transportation_LCIA!N$61*($W240^Transportation_LCIA!N$60)+Transportation_LCIA!N$62</f>
        <v>8.1896071080382658E-4</v>
      </c>
      <c r="AK240" s="137">
        <f>Transportation_LCIA!O$61*($W240^Transportation_LCIA!O$60)+Transportation_LCIA!O$62</f>
        <v>5.1213070403790544E-5</v>
      </c>
      <c r="AL240" s="137">
        <f>Transportation_LCIA!P$61*($W240^Transportation_LCIA!P$60)+Transportation_LCIA!P$62</f>
        <v>2.4789436903819814E-8</v>
      </c>
      <c r="AM240" s="137">
        <f>Transportation_LCIA!Q$61*($W240^Transportation_LCIA!Q$60)+Transportation_LCIA!Q$62</f>
        <v>7.6742684464983015E-5</v>
      </c>
      <c r="AN240" s="137">
        <f>Transportation_LCIA!R$61*($W240^Transportation_LCIA!R$60)+Transportation_LCIA!R$62</f>
        <v>2.2379243548062238E-4</v>
      </c>
      <c r="AO240" s="137">
        <f>Transportation_LCIA!S$61*($W240^Transportation_LCIA!S$60)+Transportation_LCIA!S$62</f>
        <v>3.4332930346487986E-6</v>
      </c>
      <c r="AP240" s="137">
        <f>Transportation_LCIA!T$61*($W240^Transportation_LCIA!T$60)+Transportation_LCIA!T$62</f>
        <v>3.4332930346487986E-6</v>
      </c>
      <c r="AQ240" s="137">
        <f>Transportation_LCIA!U$61*($W240^Transportation_LCIA!U$60)+Transportation_LCIA!U$62</f>
        <v>4.7763432067623047E-4</v>
      </c>
      <c r="AR240" s="137">
        <f>Transportation_LCIA!V$61*($W240^Transportation_LCIA!V$60)+Transportation_LCIA!V$62</f>
        <v>1.9962357996669805E-4</v>
      </c>
      <c r="AT240" s="137">
        <f>$W240*Y240+$L240*Summary_LCIA!H$32</f>
        <v>289.43940875450829</v>
      </c>
      <c r="AU240" s="137">
        <f>$W240*Z240+$L240*Summary_LCIA!Q$32</f>
        <v>2933.0574474981213</v>
      </c>
      <c r="AV240" s="137">
        <f>$W240*AA240+$L240*Summary_LCIA!R$32</f>
        <v>1.3182478050707815</v>
      </c>
      <c r="AW240" s="137">
        <f>$W240*AB240+$L240*Summary_LCIA!S$32</f>
        <v>289.40101663450827</v>
      </c>
      <c r="AX240" s="137">
        <f>$W240*AC240+$L240*Summary_LCIA!T$32</f>
        <v>68.610602611611156</v>
      </c>
      <c r="AY240" s="137">
        <f>$W240*AD240+$L240*Summary_LCIA!U$32</f>
        <v>0.47079477224128907</v>
      </c>
      <c r="AZ240" s="137">
        <f>$W240*AE240+$L240*Summary_LCIA!V$32</f>
        <v>6.899015637640297E-3</v>
      </c>
      <c r="BA240" s="137">
        <f>$W240*AF240+$L240*Summary_LCIA!W$32</f>
        <v>10.259823880296338</v>
      </c>
      <c r="BB240" s="137">
        <f>$W240*AG240+$L240*Summary_LCIA!X$32</f>
        <v>14.360535849150637</v>
      </c>
      <c r="BC240" s="137">
        <f>$W240*AH240+$L240*Summary_LCIA!Y$32</f>
        <v>0.40488450951140109</v>
      </c>
      <c r="BD240" s="137">
        <f>$W240*AI240+$L240*Summary_LCIA!Z$32</f>
        <v>0.30102114912729161</v>
      </c>
      <c r="BE240" s="137">
        <f>$W240*AJ240+$L240*Summary_LCIA!AA$32</f>
        <v>1.345075600123524</v>
      </c>
      <c r="BF240" s="137">
        <f>$W240*AK240+$L240*Summary_LCIA!AB$32</f>
        <v>7.1237369792146885E-2</v>
      </c>
      <c r="BG240" s="137">
        <f>$W240*AL240+$L240*Summary_LCIA!AC$32</f>
        <v>3.4998460733985143E-5</v>
      </c>
      <c r="BH240" s="137">
        <f>$W240*AM240+$L240*Summary_LCIA!AD$32</f>
        <v>0.11060339799755597</v>
      </c>
      <c r="BI240" s="137">
        <f>$W240*AN240+$L240*Summary_LCIA!AE$32</f>
        <v>0.31982047562626015</v>
      </c>
      <c r="BJ240" s="137">
        <f>$W240*AO240+$L240*Summary_LCIA!AF$32</f>
        <v>1.2131735607818914E-2</v>
      </c>
      <c r="BK240" s="137">
        <f>$W240*AP240+$L240*Summary_LCIA!AG$32</f>
        <v>5.2328366778189132E-3</v>
      </c>
      <c r="BL240" s="137">
        <f>$W240*AQ240+$L240*Summary_LCIA!AH$32</f>
        <v>0.7417565703272101</v>
      </c>
      <c r="BM240" s="137">
        <f>$W240*AR240+$L240*Summary_LCIA!AI$32</f>
        <v>0.28650666496817723</v>
      </c>
    </row>
    <row r="241" spans="1:65" x14ac:dyDescent="0.25">
      <c r="A241" s="149">
        <v>116</v>
      </c>
      <c r="B241" s="149">
        <v>6</v>
      </c>
      <c r="C241" s="61">
        <v>42.359243999999997</v>
      </c>
      <c r="D241" s="61">
        <v>-71.093138999999994</v>
      </c>
      <c r="E241" s="61" t="s">
        <v>265</v>
      </c>
      <c r="F241" s="149">
        <v>53</v>
      </c>
      <c r="G241" s="61" t="s">
        <v>565</v>
      </c>
      <c r="H241" s="61" t="s">
        <v>634</v>
      </c>
      <c r="I241" s="61">
        <v>42.365613000000003</v>
      </c>
      <c r="J241" s="61">
        <v>-71.009559999999993</v>
      </c>
      <c r="K241" s="61">
        <v>7.2270388560000001</v>
      </c>
      <c r="L241" s="61">
        <v>8.6859999999999999</v>
      </c>
      <c r="M241" s="61" t="s">
        <v>617</v>
      </c>
      <c r="N241" s="149">
        <v>5</v>
      </c>
      <c r="O241" s="149">
        <v>6</v>
      </c>
      <c r="P241" s="61" t="s">
        <v>565</v>
      </c>
      <c r="Q241" s="61" t="s">
        <v>564</v>
      </c>
      <c r="R241" s="61">
        <v>41.98028</v>
      </c>
      <c r="S241" s="61">
        <v>-87.908997900000003</v>
      </c>
      <c r="T241" s="61">
        <v>1605.7339999999999</v>
      </c>
      <c r="U241" s="61" t="s">
        <v>617</v>
      </c>
      <c r="V241" s="61" t="s">
        <v>569</v>
      </c>
      <c r="W241" s="61" cm="1">
        <f t="array" ref="W241">getDistance(I241,J241,R241,S241)*SA!$B$12</f>
        <v>1394.7010754672544</v>
      </c>
      <c r="X241" s="61"/>
      <c r="Y241" s="137">
        <f>Transportation_LCIA!C$61*($W241^Transportation_LCIA!C$60)+Transportation_LCIA!C$62</f>
        <v>0.20541169071553828</v>
      </c>
      <c r="Z241" s="137">
        <f>Transportation_LCIA!D$61*($W241^Transportation_LCIA!D$60)+Transportation_LCIA!D$62</f>
        <v>2.0721352010636895</v>
      </c>
      <c r="AA241" s="137">
        <f>Transportation_LCIA!E$61*($W241^Transportation_LCIA!E$60)+Transportation_LCIA!E$62</f>
        <v>9.1238963377472367E-4</v>
      </c>
      <c r="AB241" s="137">
        <f>Transportation_LCIA!F$61*($W241^Transportation_LCIA!F$60)+Transportation_LCIA!F$62</f>
        <v>0.20541169071553828</v>
      </c>
      <c r="AC241" s="137">
        <f>Transportation_LCIA!G$61*($W241^Transportation_LCIA!G$60)+Transportation_LCIA!G$62</f>
        <v>4.8509327483629391E-2</v>
      </c>
      <c r="AD241" s="137">
        <f>Transportation_LCIA!H$61*($W241^Transportation_LCIA!H$60)+Transportation_LCIA!H$62</f>
        <v>2.2599378016231362E-4</v>
      </c>
      <c r="AE241" s="137">
        <f>Transportation_LCIA!I$61*($W241^Transportation_LCIA!I$60)+Transportation_LCIA!I$62</f>
        <v>4.6491421751201883E-6</v>
      </c>
      <c r="AF241" s="137">
        <f>Transportation_LCIA!J$61*($W241^Transportation_LCIA!J$60)+Transportation_LCIA!J$62</f>
        <v>6.8769243409976324E-3</v>
      </c>
      <c r="AG241" s="137">
        <f>Transportation_LCIA!K$61*($W241^Transportation_LCIA!K$60)+Transportation_LCIA!K$62</f>
        <v>1.0154626692609268E-2</v>
      </c>
      <c r="AH241" s="137">
        <f>Transportation_LCIA!L$61*($W241^Transportation_LCIA!L$60)+Transportation_LCIA!L$62</f>
        <v>1.9325951793727536E-4</v>
      </c>
      <c r="AI241" s="137">
        <f>Transportation_LCIA!M$61*($W241^Transportation_LCIA!M$60)+Transportation_LCIA!M$62</f>
        <v>2.1557662085587944E-4</v>
      </c>
      <c r="AJ241" s="137">
        <f>Transportation_LCIA!N$61*($W241^Transportation_LCIA!N$60)+Transportation_LCIA!N$62</f>
        <v>8.1896071080382658E-4</v>
      </c>
      <c r="AK241" s="137">
        <f>Transportation_LCIA!O$61*($W241^Transportation_LCIA!O$60)+Transportation_LCIA!O$62</f>
        <v>5.1213070403790544E-5</v>
      </c>
      <c r="AL241" s="137">
        <f>Transportation_LCIA!P$61*($W241^Transportation_LCIA!P$60)+Transportation_LCIA!P$62</f>
        <v>2.4789436903819814E-8</v>
      </c>
      <c r="AM241" s="137">
        <f>Transportation_LCIA!Q$61*($W241^Transportation_LCIA!Q$60)+Transportation_LCIA!Q$62</f>
        <v>7.6742684464983015E-5</v>
      </c>
      <c r="AN241" s="137">
        <f>Transportation_LCIA!R$61*($W241^Transportation_LCIA!R$60)+Transportation_LCIA!R$62</f>
        <v>2.2379243548062238E-4</v>
      </c>
      <c r="AO241" s="137">
        <f>Transportation_LCIA!S$61*($W241^Transportation_LCIA!S$60)+Transportation_LCIA!S$62</f>
        <v>3.4332930346487986E-6</v>
      </c>
      <c r="AP241" s="137">
        <f>Transportation_LCIA!T$61*($W241^Transportation_LCIA!T$60)+Transportation_LCIA!T$62</f>
        <v>3.4332930346487986E-6</v>
      </c>
      <c r="AQ241" s="137">
        <f>Transportation_LCIA!U$61*($W241^Transportation_LCIA!U$60)+Transportation_LCIA!U$62</f>
        <v>4.7763432067623047E-4</v>
      </c>
      <c r="AR241" s="137">
        <f>Transportation_LCIA!V$61*($W241^Transportation_LCIA!V$60)+Transportation_LCIA!V$62</f>
        <v>1.9962357996669805E-4</v>
      </c>
      <c r="AT241" s="137">
        <f>$W241*Y241+$L241*Summary_LCIA!H$32</f>
        <v>289.43940875450829</v>
      </c>
      <c r="AU241" s="137">
        <f>$W241*Z241+$L241*Summary_LCIA!Q$32</f>
        <v>2933.0574474981213</v>
      </c>
      <c r="AV241" s="137">
        <f>$W241*AA241+$L241*Summary_LCIA!R$32</f>
        <v>1.3182478050707815</v>
      </c>
      <c r="AW241" s="137">
        <f>$W241*AB241+$L241*Summary_LCIA!S$32</f>
        <v>289.40101663450827</v>
      </c>
      <c r="AX241" s="137">
        <f>$W241*AC241+$L241*Summary_LCIA!T$32</f>
        <v>68.610602611611156</v>
      </c>
      <c r="AY241" s="137">
        <f>$W241*AD241+$L241*Summary_LCIA!U$32</f>
        <v>0.47079477224128907</v>
      </c>
      <c r="AZ241" s="137">
        <f>$W241*AE241+$L241*Summary_LCIA!V$32</f>
        <v>6.899015637640297E-3</v>
      </c>
      <c r="BA241" s="137">
        <f>$W241*AF241+$L241*Summary_LCIA!W$32</f>
        <v>10.259823880296338</v>
      </c>
      <c r="BB241" s="137">
        <f>$W241*AG241+$L241*Summary_LCIA!X$32</f>
        <v>14.360535849150637</v>
      </c>
      <c r="BC241" s="137">
        <f>$W241*AH241+$L241*Summary_LCIA!Y$32</f>
        <v>0.40488450951140109</v>
      </c>
      <c r="BD241" s="137">
        <f>$W241*AI241+$L241*Summary_LCIA!Z$32</f>
        <v>0.30102114912729161</v>
      </c>
      <c r="BE241" s="137">
        <f>$W241*AJ241+$L241*Summary_LCIA!AA$32</f>
        <v>1.345075600123524</v>
      </c>
      <c r="BF241" s="137">
        <f>$W241*AK241+$L241*Summary_LCIA!AB$32</f>
        <v>7.1237369792146885E-2</v>
      </c>
      <c r="BG241" s="137">
        <f>$W241*AL241+$L241*Summary_LCIA!AC$32</f>
        <v>3.4998460733985143E-5</v>
      </c>
      <c r="BH241" s="137">
        <f>$W241*AM241+$L241*Summary_LCIA!AD$32</f>
        <v>0.11060339799755597</v>
      </c>
      <c r="BI241" s="137">
        <f>$W241*AN241+$L241*Summary_LCIA!AE$32</f>
        <v>0.31982047562626015</v>
      </c>
      <c r="BJ241" s="137">
        <f>$W241*AO241+$L241*Summary_LCIA!AF$32</f>
        <v>1.2131735607818914E-2</v>
      </c>
      <c r="BK241" s="137">
        <f>$W241*AP241+$L241*Summary_LCIA!AG$32</f>
        <v>5.2328366778189132E-3</v>
      </c>
      <c r="BL241" s="137">
        <f>$W241*AQ241+$L241*Summary_LCIA!AH$32</f>
        <v>0.7417565703272101</v>
      </c>
      <c r="BM241" s="137">
        <f>$W241*AR241+$L241*Summary_LCIA!AI$32</f>
        <v>0.28650666496817723</v>
      </c>
    </row>
    <row r="242" spans="1:65" x14ac:dyDescent="0.25">
      <c r="A242" s="149">
        <v>346</v>
      </c>
      <c r="B242" s="149">
        <v>6</v>
      </c>
      <c r="C242" s="61">
        <v>42.387597</v>
      </c>
      <c r="D242" s="61">
        <v>-71.099497</v>
      </c>
      <c r="E242" s="61" t="s">
        <v>265</v>
      </c>
      <c r="F242" s="149">
        <v>53</v>
      </c>
      <c r="G242" s="61" t="s">
        <v>565</v>
      </c>
      <c r="H242" s="61" t="s">
        <v>634</v>
      </c>
      <c r="I242" s="61">
        <v>42.365613000000003</v>
      </c>
      <c r="J242" s="61">
        <v>-71.009559999999993</v>
      </c>
      <c r="K242" s="61">
        <v>7.8292299280000002</v>
      </c>
      <c r="L242" s="61">
        <v>10.66</v>
      </c>
      <c r="M242" s="61" t="s">
        <v>617</v>
      </c>
      <c r="N242" s="149">
        <v>5</v>
      </c>
      <c r="O242" s="149">
        <v>6</v>
      </c>
      <c r="P242" s="61" t="s">
        <v>565</v>
      </c>
      <c r="Q242" s="61" t="s">
        <v>564</v>
      </c>
      <c r="R242" s="61">
        <v>41.98028</v>
      </c>
      <c r="S242" s="61">
        <v>-87.908997900000003</v>
      </c>
      <c r="T242" s="61">
        <v>1605.876</v>
      </c>
      <c r="U242" s="61" t="s">
        <v>617</v>
      </c>
      <c r="V242" s="61" t="s">
        <v>569</v>
      </c>
      <c r="W242" s="61" cm="1">
        <f t="array" ref="W242">getDistance(I242,J242,R242,S242)*SA!$B$12</f>
        <v>1394.7010754672544</v>
      </c>
      <c r="X242" s="61"/>
      <c r="Y242" s="137">
        <f>Transportation_LCIA!C$61*($W242^Transportation_LCIA!C$60)+Transportation_LCIA!C$62</f>
        <v>0.20541169071553828</v>
      </c>
      <c r="Z242" s="137">
        <f>Transportation_LCIA!D$61*($W242^Transportation_LCIA!D$60)+Transportation_LCIA!D$62</f>
        <v>2.0721352010636895</v>
      </c>
      <c r="AA242" s="137">
        <f>Transportation_LCIA!E$61*($W242^Transportation_LCIA!E$60)+Transportation_LCIA!E$62</f>
        <v>9.1238963377472367E-4</v>
      </c>
      <c r="AB242" s="137">
        <f>Transportation_LCIA!F$61*($W242^Transportation_LCIA!F$60)+Transportation_LCIA!F$62</f>
        <v>0.20541169071553828</v>
      </c>
      <c r="AC242" s="137">
        <f>Transportation_LCIA!G$61*($W242^Transportation_LCIA!G$60)+Transportation_LCIA!G$62</f>
        <v>4.8509327483629391E-2</v>
      </c>
      <c r="AD242" s="137">
        <f>Transportation_LCIA!H$61*($W242^Transportation_LCIA!H$60)+Transportation_LCIA!H$62</f>
        <v>2.2599378016231362E-4</v>
      </c>
      <c r="AE242" s="137">
        <f>Transportation_LCIA!I$61*($W242^Transportation_LCIA!I$60)+Transportation_LCIA!I$62</f>
        <v>4.6491421751201883E-6</v>
      </c>
      <c r="AF242" s="137">
        <f>Transportation_LCIA!J$61*($W242^Transportation_LCIA!J$60)+Transportation_LCIA!J$62</f>
        <v>6.8769243409976324E-3</v>
      </c>
      <c r="AG242" s="137">
        <f>Transportation_LCIA!K$61*($W242^Transportation_LCIA!K$60)+Transportation_LCIA!K$62</f>
        <v>1.0154626692609268E-2</v>
      </c>
      <c r="AH242" s="137">
        <f>Transportation_LCIA!L$61*($W242^Transportation_LCIA!L$60)+Transportation_LCIA!L$62</f>
        <v>1.9325951793727536E-4</v>
      </c>
      <c r="AI242" s="137">
        <f>Transportation_LCIA!M$61*($W242^Transportation_LCIA!M$60)+Transportation_LCIA!M$62</f>
        <v>2.1557662085587944E-4</v>
      </c>
      <c r="AJ242" s="137">
        <f>Transportation_LCIA!N$61*($W242^Transportation_LCIA!N$60)+Transportation_LCIA!N$62</f>
        <v>8.1896071080382658E-4</v>
      </c>
      <c r="AK242" s="137">
        <f>Transportation_LCIA!O$61*($W242^Transportation_LCIA!O$60)+Transportation_LCIA!O$62</f>
        <v>5.1213070403790544E-5</v>
      </c>
      <c r="AL242" s="137">
        <f>Transportation_LCIA!P$61*($W242^Transportation_LCIA!P$60)+Transportation_LCIA!P$62</f>
        <v>2.4789436903819814E-8</v>
      </c>
      <c r="AM242" s="137">
        <f>Transportation_LCIA!Q$61*($W242^Transportation_LCIA!Q$60)+Transportation_LCIA!Q$62</f>
        <v>7.6742684464983015E-5</v>
      </c>
      <c r="AN242" s="137">
        <f>Transportation_LCIA!R$61*($W242^Transportation_LCIA!R$60)+Transportation_LCIA!R$62</f>
        <v>2.2379243548062238E-4</v>
      </c>
      <c r="AO242" s="137">
        <f>Transportation_LCIA!S$61*($W242^Transportation_LCIA!S$60)+Transportation_LCIA!S$62</f>
        <v>3.4332930346487986E-6</v>
      </c>
      <c r="AP242" s="137">
        <f>Transportation_LCIA!T$61*($W242^Transportation_LCIA!T$60)+Transportation_LCIA!T$62</f>
        <v>3.4332930346487986E-6</v>
      </c>
      <c r="AQ242" s="137">
        <f>Transportation_LCIA!U$61*($W242^Transportation_LCIA!U$60)+Transportation_LCIA!U$62</f>
        <v>4.7763432067623047E-4</v>
      </c>
      <c r="AR242" s="137">
        <f>Transportation_LCIA!V$61*($W242^Transportation_LCIA!V$60)+Transportation_LCIA!V$62</f>
        <v>1.9962357996669805E-4</v>
      </c>
      <c r="AT242" s="137">
        <f>$W242*Y242+$L242*Summary_LCIA!H$32</f>
        <v>290.1101739545083</v>
      </c>
      <c r="AU242" s="137">
        <f>$W242*Z242+$L242*Summary_LCIA!Q$32</f>
        <v>2942.8406910528633</v>
      </c>
      <c r="AV242" s="137">
        <f>$W242*AA242+$L242*Summary_LCIA!R$32</f>
        <v>1.3286420994707815</v>
      </c>
      <c r="AW242" s="137">
        <f>$W242*AB242+$L242*Summary_LCIA!S$32</f>
        <v>290.0630567545083</v>
      </c>
      <c r="AX242" s="137">
        <f>$W242*AC242+$L242*Summary_LCIA!T$32</f>
        <v>68.827545211611152</v>
      </c>
      <c r="AY242" s="137">
        <f>$W242*AD242+$L242*Summary_LCIA!U$32</f>
        <v>0.50615700824128906</v>
      </c>
      <c r="AZ242" s="137">
        <f>$W242*AE242+$L242*Summary_LCIA!V$32</f>
        <v>6.9932958516402965E-3</v>
      </c>
      <c r="BA242" s="137">
        <f>$W242*AF242+$L242*Summary_LCIA!W$32</f>
        <v>10.411764634296338</v>
      </c>
      <c r="BB242" s="137">
        <f>$W242*AG242+$L242*Summary_LCIA!X$32</f>
        <v>14.405503569150637</v>
      </c>
      <c r="BC242" s="137">
        <f>$W242*AH242+$L242*Summary_LCIA!Y$32</f>
        <v>0.43564337751140103</v>
      </c>
      <c r="BD242" s="137">
        <f>$W242*AI242+$L242*Summary_LCIA!Z$32</f>
        <v>0.30110210089329159</v>
      </c>
      <c r="BE242" s="137">
        <f>$W242*AJ242+$L242*Summary_LCIA!AA$32</f>
        <v>1.391180344123524</v>
      </c>
      <c r="BF242" s="137">
        <f>$W242*AK242+$L242*Summary_LCIA!AB$32</f>
        <v>7.1194291190146891E-2</v>
      </c>
      <c r="BG242" s="137">
        <f>$W242*AL242+$L242*Summary_LCIA!AC$32</f>
        <v>3.5094957749985141E-5</v>
      </c>
      <c r="BH242" s="137">
        <f>$W242*AM242+$L242*Summary_LCIA!AD$32</f>
        <v>0.11141479095755598</v>
      </c>
      <c r="BI242" s="137">
        <f>$W242*AN242+$L242*Summary_LCIA!AE$32</f>
        <v>0.32156969624626019</v>
      </c>
      <c r="BJ242" s="137">
        <f>$W242*AO242+$L242*Summary_LCIA!AF$32</f>
        <v>1.3800594687818914E-2</v>
      </c>
      <c r="BK242" s="137">
        <f>$W242*AP242+$L242*Summary_LCIA!AG$32</f>
        <v>5.3338363878189139E-3</v>
      </c>
      <c r="BL242" s="137">
        <f>$W242*AQ242+$L242*Summary_LCIA!AH$32</f>
        <v>0.75893747672721013</v>
      </c>
      <c r="BM242" s="137">
        <f>$W242*AR242+$L242*Summary_LCIA!AI$32</f>
        <v>0.28834554466817724</v>
      </c>
    </row>
    <row r="243" spans="1:65" x14ac:dyDescent="0.25">
      <c r="A243" s="149">
        <v>100</v>
      </c>
      <c r="B243" s="149">
        <v>6</v>
      </c>
      <c r="C243" s="61">
        <v>42.362706000000003</v>
      </c>
      <c r="D243" s="61">
        <v>-71.068657999999999</v>
      </c>
      <c r="E243" s="61" t="s">
        <v>265</v>
      </c>
      <c r="F243" s="149">
        <v>53</v>
      </c>
      <c r="G243" s="61" t="s">
        <v>565</v>
      </c>
      <c r="H243" s="61" t="s">
        <v>634</v>
      </c>
      <c r="I243" s="61">
        <v>42.365613000000003</v>
      </c>
      <c r="J243" s="61">
        <v>-71.009559999999993</v>
      </c>
      <c r="K243" s="61">
        <v>5.0515925839999998</v>
      </c>
      <c r="L243" s="61">
        <v>6.5289999999999999</v>
      </c>
      <c r="M243" s="61" t="s">
        <v>617</v>
      </c>
      <c r="N243" s="149">
        <v>5</v>
      </c>
      <c r="O243" s="149">
        <v>6</v>
      </c>
      <c r="P243" s="61" t="s">
        <v>565</v>
      </c>
      <c r="Q243" s="61" t="s">
        <v>564</v>
      </c>
      <c r="R243" s="61">
        <v>41.98028</v>
      </c>
      <c r="S243" s="61">
        <v>-87.908997900000003</v>
      </c>
      <c r="T243" s="61">
        <v>1608.2449999999999</v>
      </c>
      <c r="U243" s="61" t="s">
        <v>617</v>
      </c>
      <c r="V243" s="61" t="s">
        <v>569</v>
      </c>
      <c r="W243" s="61" cm="1">
        <f t="array" ref="W243">getDistance(I243,J243,R243,S243)*SA!$B$12</f>
        <v>1394.7010754672544</v>
      </c>
      <c r="X243" s="61"/>
      <c r="Y243" s="137">
        <f>Transportation_LCIA!C$61*($W243^Transportation_LCIA!C$60)+Transportation_LCIA!C$62</f>
        <v>0.20541169071553828</v>
      </c>
      <c r="Z243" s="137">
        <f>Transportation_LCIA!D$61*($W243^Transportation_LCIA!D$60)+Transportation_LCIA!D$62</f>
        <v>2.0721352010636895</v>
      </c>
      <c r="AA243" s="137">
        <f>Transportation_LCIA!E$61*($W243^Transportation_LCIA!E$60)+Transportation_LCIA!E$62</f>
        <v>9.1238963377472367E-4</v>
      </c>
      <c r="AB243" s="137">
        <f>Transportation_LCIA!F$61*($W243^Transportation_LCIA!F$60)+Transportation_LCIA!F$62</f>
        <v>0.20541169071553828</v>
      </c>
      <c r="AC243" s="137">
        <f>Transportation_LCIA!G$61*($W243^Transportation_LCIA!G$60)+Transportation_LCIA!G$62</f>
        <v>4.8509327483629391E-2</v>
      </c>
      <c r="AD243" s="137">
        <f>Transportation_LCIA!H$61*($W243^Transportation_LCIA!H$60)+Transportation_LCIA!H$62</f>
        <v>2.2599378016231362E-4</v>
      </c>
      <c r="AE243" s="137">
        <f>Transportation_LCIA!I$61*($W243^Transportation_LCIA!I$60)+Transportation_LCIA!I$62</f>
        <v>4.6491421751201883E-6</v>
      </c>
      <c r="AF243" s="137">
        <f>Transportation_LCIA!J$61*($W243^Transportation_LCIA!J$60)+Transportation_LCIA!J$62</f>
        <v>6.8769243409976324E-3</v>
      </c>
      <c r="AG243" s="137">
        <f>Transportation_LCIA!K$61*($W243^Transportation_LCIA!K$60)+Transportation_LCIA!K$62</f>
        <v>1.0154626692609268E-2</v>
      </c>
      <c r="AH243" s="137">
        <f>Transportation_LCIA!L$61*($W243^Transportation_LCIA!L$60)+Transportation_LCIA!L$62</f>
        <v>1.9325951793727536E-4</v>
      </c>
      <c r="AI243" s="137">
        <f>Transportation_LCIA!M$61*($W243^Transportation_LCIA!M$60)+Transportation_LCIA!M$62</f>
        <v>2.1557662085587944E-4</v>
      </c>
      <c r="AJ243" s="137">
        <f>Transportation_LCIA!N$61*($W243^Transportation_LCIA!N$60)+Transportation_LCIA!N$62</f>
        <v>8.1896071080382658E-4</v>
      </c>
      <c r="AK243" s="137">
        <f>Transportation_LCIA!O$61*($W243^Transportation_LCIA!O$60)+Transportation_LCIA!O$62</f>
        <v>5.1213070403790544E-5</v>
      </c>
      <c r="AL243" s="137">
        <f>Transportation_LCIA!P$61*($W243^Transportation_LCIA!P$60)+Transportation_LCIA!P$62</f>
        <v>2.4789436903819814E-8</v>
      </c>
      <c r="AM243" s="137">
        <f>Transportation_LCIA!Q$61*($W243^Transportation_LCIA!Q$60)+Transportation_LCIA!Q$62</f>
        <v>7.6742684464983015E-5</v>
      </c>
      <c r="AN243" s="137">
        <f>Transportation_LCIA!R$61*($W243^Transportation_LCIA!R$60)+Transportation_LCIA!R$62</f>
        <v>2.2379243548062238E-4</v>
      </c>
      <c r="AO243" s="137">
        <f>Transportation_LCIA!S$61*($W243^Transportation_LCIA!S$60)+Transportation_LCIA!S$62</f>
        <v>3.4332930346487986E-6</v>
      </c>
      <c r="AP243" s="137">
        <f>Transportation_LCIA!T$61*($W243^Transportation_LCIA!T$60)+Transportation_LCIA!T$62</f>
        <v>3.4332930346487986E-6</v>
      </c>
      <c r="AQ243" s="137">
        <f>Transportation_LCIA!U$61*($W243^Transportation_LCIA!U$60)+Transportation_LCIA!U$62</f>
        <v>4.7763432067623047E-4</v>
      </c>
      <c r="AR243" s="137">
        <f>Transportation_LCIA!V$61*($W243^Transportation_LCIA!V$60)+Transportation_LCIA!V$62</f>
        <v>1.9962357996669805E-4</v>
      </c>
      <c r="AT243" s="137">
        <f>$W243*Y243+$L243*Summary_LCIA!H$32</f>
        <v>288.70646015450825</v>
      </c>
      <c r="AU243" s="137">
        <f>$W243*Z243+$L243*Summary_LCIA!Q$32</f>
        <v>2922.3672467141405</v>
      </c>
      <c r="AV243" s="137">
        <f>$W243*AA243+$L243*Summary_LCIA!R$32</f>
        <v>1.3068899058707815</v>
      </c>
      <c r="AW243" s="137">
        <f>$W243*AB243+$L243*Summary_LCIA!S$32</f>
        <v>288.67760197450826</v>
      </c>
      <c r="AX243" s="137">
        <f>$W243*AC243+$L243*Summary_LCIA!T$32</f>
        <v>68.37354831161116</v>
      </c>
      <c r="AY243" s="137">
        <f>$W243*AD243+$L243*Summary_LCIA!U$32</f>
        <v>0.43215427424128905</v>
      </c>
      <c r="AZ243" s="137">
        <f>$W243*AE243+$L243*Summary_LCIA!V$32</f>
        <v>6.7959951606402971E-3</v>
      </c>
      <c r="BA243" s="137">
        <f>$W243*AF243+$L243*Summary_LCIA!W$32</f>
        <v>10.093797433296338</v>
      </c>
      <c r="BB243" s="137">
        <f>$W243*AG243+$L243*Summary_LCIA!X$32</f>
        <v>14.311399389150637</v>
      </c>
      <c r="BC243" s="137">
        <f>$W243*AH243+$L243*Summary_LCIA!Y$32</f>
        <v>0.37127413551140109</v>
      </c>
      <c r="BD243" s="137">
        <f>$W243*AI243+$L243*Summary_LCIA!Z$32</f>
        <v>0.30093269271429163</v>
      </c>
      <c r="BE243" s="137">
        <f>$W243*AJ243+$L243*Summary_LCIA!AA$32</f>
        <v>1.2946967081235239</v>
      </c>
      <c r="BF243" s="137">
        <f>$W243*AK243+$L243*Summary_LCIA!AB$32</f>
        <v>7.1284442003146889E-2</v>
      </c>
      <c r="BG243" s="137">
        <f>$W243*AL243+$L243*Summary_LCIA!AC$32</f>
        <v>3.4893017945985145E-5</v>
      </c>
      <c r="BH243" s="137">
        <f>$W243*AM243+$L243*Summary_LCIA!AD$32</f>
        <v>0.10971678471755597</v>
      </c>
      <c r="BI243" s="137">
        <f>$W243*AN243+$L243*Summary_LCIA!AE$32</f>
        <v>0.31790909321626015</v>
      </c>
      <c r="BJ243" s="137">
        <f>$W243*AO243+$L243*Summary_LCIA!AF$32</f>
        <v>1.0308164667818913E-2</v>
      </c>
      <c r="BK243" s="137">
        <f>$W243*AP243+$L243*Summary_LCIA!AG$32</f>
        <v>5.1224737728189137E-3</v>
      </c>
      <c r="BL243" s="137">
        <f>$W243*AQ243+$L243*Summary_LCIA!AH$32</f>
        <v>0.72298290512721008</v>
      </c>
      <c r="BM243" s="137">
        <f>$W243*AR243+$L243*Summary_LCIA!AI$32</f>
        <v>0.28449731161817721</v>
      </c>
    </row>
    <row r="244" spans="1:65" x14ac:dyDescent="0.25">
      <c r="A244" s="149">
        <v>160</v>
      </c>
      <c r="B244" s="149">
        <v>6</v>
      </c>
      <c r="C244" s="61">
        <v>42.360081999999998</v>
      </c>
      <c r="D244" s="61">
        <v>-71.058880000000002</v>
      </c>
      <c r="E244" s="61" t="s">
        <v>265</v>
      </c>
      <c r="F244" s="149">
        <v>53</v>
      </c>
      <c r="G244" s="61" t="s">
        <v>565</v>
      </c>
      <c r="H244" s="61" t="s">
        <v>634</v>
      </c>
      <c r="I244" s="61">
        <v>42.365613000000003</v>
      </c>
      <c r="J244" s="61">
        <v>-71.009559999999993</v>
      </c>
      <c r="K244" s="61">
        <v>4.3433329829999998</v>
      </c>
      <c r="L244" s="61">
        <v>5.3479999999999999</v>
      </c>
      <c r="M244" s="61" t="s">
        <v>617</v>
      </c>
      <c r="N244" s="149">
        <v>5</v>
      </c>
      <c r="O244" s="149">
        <v>6</v>
      </c>
      <c r="P244" s="61" t="s">
        <v>565</v>
      </c>
      <c r="Q244" s="61" t="s">
        <v>564</v>
      </c>
      <c r="R244" s="61">
        <v>41.98028</v>
      </c>
      <c r="S244" s="61">
        <v>-87.908997900000003</v>
      </c>
      <c r="T244" s="61">
        <v>1609.3050000000001</v>
      </c>
      <c r="U244" s="61" t="s">
        <v>617</v>
      </c>
      <c r="V244" s="61" t="s">
        <v>569</v>
      </c>
      <c r="W244" s="61" cm="1">
        <f t="array" ref="W244">getDistance(I244,J244,R244,S244)*SA!$B$12</f>
        <v>1394.7010754672544</v>
      </c>
      <c r="X244" s="61"/>
      <c r="Y244" s="137">
        <f>Transportation_LCIA!C$61*($W244^Transportation_LCIA!C$60)+Transportation_LCIA!C$62</f>
        <v>0.20541169071553828</v>
      </c>
      <c r="Z244" s="137">
        <f>Transportation_LCIA!D$61*($W244^Transportation_LCIA!D$60)+Transportation_LCIA!D$62</f>
        <v>2.0721352010636895</v>
      </c>
      <c r="AA244" s="137">
        <f>Transportation_LCIA!E$61*($W244^Transportation_LCIA!E$60)+Transportation_LCIA!E$62</f>
        <v>9.1238963377472367E-4</v>
      </c>
      <c r="AB244" s="137">
        <f>Transportation_LCIA!F$61*($W244^Transportation_LCIA!F$60)+Transportation_LCIA!F$62</f>
        <v>0.20541169071553828</v>
      </c>
      <c r="AC244" s="137">
        <f>Transportation_LCIA!G$61*($W244^Transportation_LCIA!G$60)+Transportation_LCIA!G$62</f>
        <v>4.8509327483629391E-2</v>
      </c>
      <c r="AD244" s="137">
        <f>Transportation_LCIA!H$61*($W244^Transportation_LCIA!H$60)+Transportation_LCIA!H$62</f>
        <v>2.2599378016231362E-4</v>
      </c>
      <c r="AE244" s="137">
        <f>Transportation_LCIA!I$61*($W244^Transportation_LCIA!I$60)+Transportation_LCIA!I$62</f>
        <v>4.6491421751201883E-6</v>
      </c>
      <c r="AF244" s="137">
        <f>Transportation_LCIA!J$61*($W244^Transportation_LCIA!J$60)+Transportation_LCIA!J$62</f>
        <v>6.8769243409976324E-3</v>
      </c>
      <c r="AG244" s="137">
        <f>Transportation_LCIA!K$61*($W244^Transportation_LCIA!K$60)+Transportation_LCIA!K$62</f>
        <v>1.0154626692609268E-2</v>
      </c>
      <c r="AH244" s="137">
        <f>Transportation_LCIA!L$61*($W244^Transportation_LCIA!L$60)+Transportation_LCIA!L$62</f>
        <v>1.9325951793727536E-4</v>
      </c>
      <c r="AI244" s="137">
        <f>Transportation_LCIA!M$61*($W244^Transportation_LCIA!M$60)+Transportation_LCIA!M$62</f>
        <v>2.1557662085587944E-4</v>
      </c>
      <c r="AJ244" s="137">
        <f>Transportation_LCIA!N$61*($W244^Transportation_LCIA!N$60)+Transportation_LCIA!N$62</f>
        <v>8.1896071080382658E-4</v>
      </c>
      <c r="AK244" s="137">
        <f>Transportation_LCIA!O$61*($W244^Transportation_LCIA!O$60)+Transportation_LCIA!O$62</f>
        <v>5.1213070403790544E-5</v>
      </c>
      <c r="AL244" s="137">
        <f>Transportation_LCIA!P$61*($W244^Transportation_LCIA!P$60)+Transportation_LCIA!P$62</f>
        <v>2.4789436903819814E-8</v>
      </c>
      <c r="AM244" s="137">
        <f>Transportation_LCIA!Q$61*($W244^Transportation_LCIA!Q$60)+Transportation_LCIA!Q$62</f>
        <v>7.6742684464983015E-5</v>
      </c>
      <c r="AN244" s="137">
        <f>Transportation_LCIA!R$61*($W244^Transportation_LCIA!R$60)+Transportation_LCIA!R$62</f>
        <v>2.2379243548062238E-4</v>
      </c>
      <c r="AO244" s="137">
        <f>Transportation_LCIA!S$61*($W244^Transportation_LCIA!S$60)+Transportation_LCIA!S$62</f>
        <v>3.4332930346487986E-6</v>
      </c>
      <c r="AP244" s="137">
        <f>Transportation_LCIA!T$61*($W244^Transportation_LCIA!T$60)+Transportation_LCIA!T$62</f>
        <v>3.4332930346487986E-6</v>
      </c>
      <c r="AQ244" s="137">
        <f>Transportation_LCIA!U$61*($W244^Transportation_LCIA!U$60)+Transportation_LCIA!U$62</f>
        <v>4.7763432067623047E-4</v>
      </c>
      <c r="AR244" s="137">
        <f>Transportation_LCIA!V$61*($W244^Transportation_LCIA!V$60)+Transportation_LCIA!V$62</f>
        <v>1.9962357996669805E-4</v>
      </c>
      <c r="AT244" s="137">
        <f>$W244*Y244+$L244*Summary_LCIA!H$32</f>
        <v>288.30515635450826</v>
      </c>
      <c r="AU244" s="137">
        <f>$W244*Z244+$L244*Summary_LCIA!Q$32</f>
        <v>2916.5141511527677</v>
      </c>
      <c r="AV244" s="137">
        <f>$W244*AA244+$L244*Summary_LCIA!R$32</f>
        <v>1.3006712322707814</v>
      </c>
      <c r="AW244" s="137">
        <f>$W244*AB244+$L244*Summary_LCIA!S$32</f>
        <v>288.28151819450829</v>
      </c>
      <c r="AX244" s="137">
        <f>$W244*AC244+$L244*Summary_LCIA!T$32</f>
        <v>68.243756411611159</v>
      </c>
      <c r="AY244" s="137">
        <f>$W244*AD244+$L244*Summary_LCIA!U$32</f>
        <v>0.41099784024128905</v>
      </c>
      <c r="AZ244" s="137">
        <f>$W244*AE244+$L244*Summary_LCIA!V$32</f>
        <v>6.7395894196402972E-3</v>
      </c>
      <c r="BA244" s="137">
        <f>$W244*AF244+$L244*Summary_LCIA!W$32</f>
        <v>10.002894682296338</v>
      </c>
      <c r="BB244" s="137">
        <f>$W244*AG244+$L244*Summary_LCIA!X$32</f>
        <v>14.284496209150637</v>
      </c>
      <c r="BC244" s="137">
        <f>$W244*AH244+$L244*Summary_LCIA!Y$32</f>
        <v>0.35287179351140108</v>
      </c>
      <c r="BD244" s="137">
        <f>$W244*AI244+$L244*Summary_LCIA!Z$32</f>
        <v>0.30088426108529159</v>
      </c>
      <c r="BE244" s="137">
        <f>$W244*AJ244+$L244*Summary_LCIA!AA$32</f>
        <v>1.2671132721235241</v>
      </c>
      <c r="BF244" s="137">
        <f>$W244*AK244+$L244*Summary_LCIA!AB$32</f>
        <v>7.1310214966146881E-2</v>
      </c>
      <c r="BG244" s="137">
        <f>$W244*AL244+$L244*Summary_LCIA!AC$32</f>
        <v>3.4835285941985145E-5</v>
      </c>
      <c r="BH244" s="137">
        <f>$W244*AM244+$L244*Summary_LCIA!AD$32</f>
        <v>0.10923134647755597</v>
      </c>
      <c r="BI244" s="137">
        <f>$W244*AN244+$L244*Summary_LCIA!AE$32</f>
        <v>0.31686257368626014</v>
      </c>
      <c r="BJ244" s="137">
        <f>$W244*AO244+$L244*Summary_LCIA!AF$32</f>
        <v>9.3097236478189137E-3</v>
      </c>
      <c r="BK244" s="137">
        <f>$W244*AP244+$L244*Summary_LCIA!AG$32</f>
        <v>5.0620479078189139E-3</v>
      </c>
      <c r="BL244" s="137">
        <f>$W244*AQ244+$L244*Summary_LCIA!AH$32</f>
        <v>0.71270395352721017</v>
      </c>
      <c r="BM244" s="137">
        <f>$W244*AR244+$L244*Summary_LCIA!AI$32</f>
        <v>0.2833971510681772</v>
      </c>
    </row>
    <row r="245" spans="1:65" x14ac:dyDescent="0.25">
      <c r="A245" s="149">
        <v>161</v>
      </c>
      <c r="B245" s="149">
        <v>6</v>
      </c>
      <c r="C245" s="61">
        <v>42.360081999999998</v>
      </c>
      <c r="D245" s="61">
        <v>-71.058880000000002</v>
      </c>
      <c r="E245" s="61" t="s">
        <v>265</v>
      </c>
      <c r="F245" s="149">
        <v>53</v>
      </c>
      <c r="G245" s="61" t="s">
        <v>565</v>
      </c>
      <c r="H245" s="61" t="s">
        <v>634</v>
      </c>
      <c r="I245" s="61">
        <v>42.365613000000003</v>
      </c>
      <c r="J245" s="61">
        <v>-71.009559999999993</v>
      </c>
      <c r="K245" s="61">
        <v>4.3433329829999998</v>
      </c>
      <c r="L245" s="61">
        <v>5.3479999999999999</v>
      </c>
      <c r="M245" s="61" t="s">
        <v>617</v>
      </c>
      <c r="N245" s="149">
        <v>5</v>
      </c>
      <c r="O245" s="149">
        <v>6</v>
      </c>
      <c r="P245" s="61" t="s">
        <v>565</v>
      </c>
      <c r="Q245" s="61" t="s">
        <v>564</v>
      </c>
      <c r="R245" s="61">
        <v>41.98028</v>
      </c>
      <c r="S245" s="61">
        <v>-87.908997900000003</v>
      </c>
      <c r="T245" s="61">
        <v>1609.3050000000001</v>
      </c>
      <c r="U245" s="61" t="s">
        <v>617</v>
      </c>
      <c r="V245" s="61" t="s">
        <v>569</v>
      </c>
      <c r="W245" s="61" cm="1">
        <f t="array" ref="W245">getDistance(I245,J245,R245,S245)*SA!$B$12</f>
        <v>1394.7010754672544</v>
      </c>
      <c r="X245" s="61"/>
      <c r="Y245" s="137">
        <f>Transportation_LCIA!C$61*($W245^Transportation_LCIA!C$60)+Transportation_LCIA!C$62</f>
        <v>0.20541169071553828</v>
      </c>
      <c r="Z245" s="137">
        <f>Transportation_LCIA!D$61*($W245^Transportation_LCIA!D$60)+Transportation_LCIA!D$62</f>
        <v>2.0721352010636895</v>
      </c>
      <c r="AA245" s="137">
        <f>Transportation_LCIA!E$61*($W245^Transportation_LCIA!E$60)+Transportation_LCIA!E$62</f>
        <v>9.1238963377472367E-4</v>
      </c>
      <c r="AB245" s="137">
        <f>Transportation_LCIA!F$61*($W245^Transportation_LCIA!F$60)+Transportation_LCIA!F$62</f>
        <v>0.20541169071553828</v>
      </c>
      <c r="AC245" s="137">
        <f>Transportation_LCIA!G$61*($W245^Transportation_LCIA!G$60)+Transportation_LCIA!G$62</f>
        <v>4.8509327483629391E-2</v>
      </c>
      <c r="AD245" s="137">
        <f>Transportation_LCIA!H$61*($W245^Transportation_LCIA!H$60)+Transportation_LCIA!H$62</f>
        <v>2.2599378016231362E-4</v>
      </c>
      <c r="AE245" s="137">
        <f>Transportation_LCIA!I$61*($W245^Transportation_LCIA!I$60)+Transportation_LCIA!I$62</f>
        <v>4.6491421751201883E-6</v>
      </c>
      <c r="AF245" s="137">
        <f>Transportation_LCIA!J$61*($W245^Transportation_LCIA!J$60)+Transportation_LCIA!J$62</f>
        <v>6.8769243409976324E-3</v>
      </c>
      <c r="AG245" s="137">
        <f>Transportation_LCIA!K$61*($W245^Transportation_LCIA!K$60)+Transportation_LCIA!K$62</f>
        <v>1.0154626692609268E-2</v>
      </c>
      <c r="AH245" s="137">
        <f>Transportation_LCIA!L$61*($W245^Transportation_LCIA!L$60)+Transportation_LCIA!L$62</f>
        <v>1.9325951793727536E-4</v>
      </c>
      <c r="AI245" s="137">
        <f>Transportation_LCIA!M$61*($W245^Transportation_LCIA!M$60)+Transportation_LCIA!M$62</f>
        <v>2.1557662085587944E-4</v>
      </c>
      <c r="AJ245" s="137">
        <f>Transportation_LCIA!N$61*($W245^Transportation_LCIA!N$60)+Transportation_LCIA!N$62</f>
        <v>8.1896071080382658E-4</v>
      </c>
      <c r="AK245" s="137">
        <f>Transportation_LCIA!O$61*($W245^Transportation_LCIA!O$60)+Transportation_LCIA!O$62</f>
        <v>5.1213070403790544E-5</v>
      </c>
      <c r="AL245" s="137">
        <f>Transportation_LCIA!P$61*($W245^Transportation_LCIA!P$60)+Transportation_LCIA!P$62</f>
        <v>2.4789436903819814E-8</v>
      </c>
      <c r="AM245" s="137">
        <f>Transportation_LCIA!Q$61*($W245^Transportation_LCIA!Q$60)+Transportation_LCIA!Q$62</f>
        <v>7.6742684464983015E-5</v>
      </c>
      <c r="AN245" s="137">
        <f>Transportation_LCIA!R$61*($W245^Transportation_LCIA!R$60)+Transportation_LCIA!R$62</f>
        <v>2.2379243548062238E-4</v>
      </c>
      <c r="AO245" s="137">
        <f>Transportation_LCIA!S$61*($W245^Transportation_LCIA!S$60)+Transportation_LCIA!S$62</f>
        <v>3.4332930346487986E-6</v>
      </c>
      <c r="AP245" s="137">
        <f>Transportation_LCIA!T$61*($W245^Transportation_LCIA!T$60)+Transportation_LCIA!T$62</f>
        <v>3.4332930346487986E-6</v>
      </c>
      <c r="AQ245" s="137">
        <f>Transportation_LCIA!U$61*($W245^Transportation_LCIA!U$60)+Transportation_LCIA!U$62</f>
        <v>4.7763432067623047E-4</v>
      </c>
      <c r="AR245" s="137">
        <f>Transportation_LCIA!V$61*($W245^Transportation_LCIA!V$60)+Transportation_LCIA!V$62</f>
        <v>1.9962357996669805E-4</v>
      </c>
      <c r="AT245" s="137">
        <f>$W245*Y245+$L245*Summary_LCIA!H$32</f>
        <v>288.30515635450826</v>
      </c>
      <c r="AU245" s="137">
        <f>$W245*Z245+$L245*Summary_LCIA!Q$32</f>
        <v>2916.5141511527677</v>
      </c>
      <c r="AV245" s="137">
        <f>$W245*AA245+$L245*Summary_LCIA!R$32</f>
        <v>1.3006712322707814</v>
      </c>
      <c r="AW245" s="137">
        <f>$W245*AB245+$L245*Summary_LCIA!S$32</f>
        <v>288.28151819450829</v>
      </c>
      <c r="AX245" s="137">
        <f>$W245*AC245+$L245*Summary_LCIA!T$32</f>
        <v>68.243756411611159</v>
      </c>
      <c r="AY245" s="137">
        <f>$W245*AD245+$L245*Summary_LCIA!U$32</f>
        <v>0.41099784024128905</v>
      </c>
      <c r="AZ245" s="137">
        <f>$W245*AE245+$L245*Summary_LCIA!V$32</f>
        <v>6.7395894196402972E-3</v>
      </c>
      <c r="BA245" s="137">
        <f>$W245*AF245+$L245*Summary_LCIA!W$32</f>
        <v>10.002894682296338</v>
      </c>
      <c r="BB245" s="137">
        <f>$W245*AG245+$L245*Summary_LCIA!X$32</f>
        <v>14.284496209150637</v>
      </c>
      <c r="BC245" s="137">
        <f>$W245*AH245+$L245*Summary_LCIA!Y$32</f>
        <v>0.35287179351140108</v>
      </c>
      <c r="BD245" s="137">
        <f>$W245*AI245+$L245*Summary_LCIA!Z$32</f>
        <v>0.30088426108529159</v>
      </c>
      <c r="BE245" s="137">
        <f>$W245*AJ245+$L245*Summary_LCIA!AA$32</f>
        <v>1.2671132721235241</v>
      </c>
      <c r="BF245" s="137">
        <f>$W245*AK245+$L245*Summary_LCIA!AB$32</f>
        <v>7.1310214966146881E-2</v>
      </c>
      <c r="BG245" s="137">
        <f>$W245*AL245+$L245*Summary_LCIA!AC$32</f>
        <v>3.4835285941985145E-5</v>
      </c>
      <c r="BH245" s="137">
        <f>$W245*AM245+$L245*Summary_LCIA!AD$32</f>
        <v>0.10923134647755597</v>
      </c>
      <c r="BI245" s="137">
        <f>$W245*AN245+$L245*Summary_LCIA!AE$32</f>
        <v>0.31686257368626014</v>
      </c>
      <c r="BJ245" s="137">
        <f>$W245*AO245+$L245*Summary_LCIA!AF$32</f>
        <v>9.3097236478189137E-3</v>
      </c>
      <c r="BK245" s="137">
        <f>$W245*AP245+$L245*Summary_LCIA!AG$32</f>
        <v>5.0620479078189139E-3</v>
      </c>
      <c r="BL245" s="137">
        <f>$W245*AQ245+$L245*Summary_LCIA!AH$32</f>
        <v>0.71270395352721017</v>
      </c>
      <c r="BM245" s="137">
        <f>$W245*AR245+$L245*Summary_LCIA!AI$32</f>
        <v>0.2833971510681772</v>
      </c>
    </row>
    <row r="246" spans="1:65" x14ac:dyDescent="0.25">
      <c r="A246" s="149">
        <v>162</v>
      </c>
      <c r="B246" s="149">
        <v>6</v>
      </c>
      <c r="C246" s="61">
        <v>42.360081999999998</v>
      </c>
      <c r="D246" s="61">
        <v>-71.058880000000002</v>
      </c>
      <c r="E246" s="61" t="s">
        <v>265</v>
      </c>
      <c r="F246" s="149">
        <v>53</v>
      </c>
      <c r="G246" s="61" t="s">
        <v>565</v>
      </c>
      <c r="H246" s="61" t="s">
        <v>634</v>
      </c>
      <c r="I246" s="61">
        <v>42.365613000000003</v>
      </c>
      <c r="J246" s="61">
        <v>-71.009559999999993</v>
      </c>
      <c r="K246" s="61">
        <v>4.3433329829999998</v>
      </c>
      <c r="L246" s="61">
        <v>5.3479999999999999</v>
      </c>
      <c r="M246" s="61" t="s">
        <v>617</v>
      </c>
      <c r="N246" s="149">
        <v>5</v>
      </c>
      <c r="O246" s="149">
        <v>6</v>
      </c>
      <c r="P246" s="61" t="s">
        <v>565</v>
      </c>
      <c r="Q246" s="61" t="s">
        <v>564</v>
      </c>
      <c r="R246" s="61">
        <v>41.98028</v>
      </c>
      <c r="S246" s="61">
        <v>-87.908997900000003</v>
      </c>
      <c r="T246" s="61">
        <v>1609.3050000000001</v>
      </c>
      <c r="U246" s="61" t="s">
        <v>617</v>
      </c>
      <c r="V246" s="61" t="s">
        <v>569</v>
      </c>
      <c r="W246" s="61" cm="1">
        <f t="array" ref="W246">getDistance(I246,J246,R246,S246)*SA!$B$12</f>
        <v>1394.7010754672544</v>
      </c>
      <c r="X246" s="61"/>
      <c r="Y246" s="137">
        <f>Transportation_LCIA!C$61*($W246^Transportation_LCIA!C$60)+Transportation_LCIA!C$62</f>
        <v>0.20541169071553828</v>
      </c>
      <c r="Z246" s="137">
        <f>Transportation_LCIA!D$61*($W246^Transportation_LCIA!D$60)+Transportation_LCIA!D$62</f>
        <v>2.0721352010636895</v>
      </c>
      <c r="AA246" s="137">
        <f>Transportation_LCIA!E$61*($W246^Transportation_LCIA!E$60)+Transportation_LCIA!E$62</f>
        <v>9.1238963377472367E-4</v>
      </c>
      <c r="AB246" s="137">
        <f>Transportation_LCIA!F$61*($W246^Transportation_LCIA!F$60)+Transportation_LCIA!F$62</f>
        <v>0.20541169071553828</v>
      </c>
      <c r="AC246" s="137">
        <f>Transportation_LCIA!G$61*($W246^Transportation_LCIA!G$60)+Transportation_LCIA!G$62</f>
        <v>4.8509327483629391E-2</v>
      </c>
      <c r="AD246" s="137">
        <f>Transportation_LCIA!H$61*($W246^Transportation_LCIA!H$60)+Transportation_LCIA!H$62</f>
        <v>2.2599378016231362E-4</v>
      </c>
      <c r="AE246" s="137">
        <f>Transportation_LCIA!I$61*($W246^Transportation_LCIA!I$60)+Transportation_LCIA!I$62</f>
        <v>4.6491421751201883E-6</v>
      </c>
      <c r="AF246" s="137">
        <f>Transportation_LCIA!J$61*($W246^Transportation_LCIA!J$60)+Transportation_LCIA!J$62</f>
        <v>6.8769243409976324E-3</v>
      </c>
      <c r="AG246" s="137">
        <f>Transportation_LCIA!K$61*($W246^Transportation_LCIA!K$60)+Transportation_LCIA!K$62</f>
        <v>1.0154626692609268E-2</v>
      </c>
      <c r="AH246" s="137">
        <f>Transportation_LCIA!L$61*($W246^Transportation_LCIA!L$60)+Transportation_LCIA!L$62</f>
        <v>1.9325951793727536E-4</v>
      </c>
      <c r="AI246" s="137">
        <f>Transportation_LCIA!M$61*($W246^Transportation_LCIA!M$60)+Transportation_LCIA!M$62</f>
        <v>2.1557662085587944E-4</v>
      </c>
      <c r="AJ246" s="137">
        <f>Transportation_LCIA!N$61*($W246^Transportation_LCIA!N$60)+Transportation_LCIA!N$62</f>
        <v>8.1896071080382658E-4</v>
      </c>
      <c r="AK246" s="137">
        <f>Transportation_LCIA!O$61*($W246^Transportation_LCIA!O$60)+Transportation_LCIA!O$62</f>
        <v>5.1213070403790544E-5</v>
      </c>
      <c r="AL246" s="137">
        <f>Transportation_LCIA!P$61*($W246^Transportation_LCIA!P$60)+Transportation_LCIA!P$62</f>
        <v>2.4789436903819814E-8</v>
      </c>
      <c r="AM246" s="137">
        <f>Transportation_LCIA!Q$61*($W246^Transportation_LCIA!Q$60)+Transportation_LCIA!Q$62</f>
        <v>7.6742684464983015E-5</v>
      </c>
      <c r="AN246" s="137">
        <f>Transportation_LCIA!R$61*($W246^Transportation_LCIA!R$60)+Transportation_LCIA!R$62</f>
        <v>2.2379243548062238E-4</v>
      </c>
      <c r="AO246" s="137">
        <f>Transportation_LCIA!S$61*($W246^Transportation_LCIA!S$60)+Transportation_LCIA!S$62</f>
        <v>3.4332930346487986E-6</v>
      </c>
      <c r="AP246" s="137">
        <f>Transportation_LCIA!T$61*($W246^Transportation_LCIA!T$60)+Transportation_LCIA!T$62</f>
        <v>3.4332930346487986E-6</v>
      </c>
      <c r="AQ246" s="137">
        <f>Transportation_LCIA!U$61*($W246^Transportation_LCIA!U$60)+Transportation_LCIA!U$62</f>
        <v>4.7763432067623047E-4</v>
      </c>
      <c r="AR246" s="137">
        <f>Transportation_LCIA!V$61*($W246^Transportation_LCIA!V$60)+Transportation_LCIA!V$62</f>
        <v>1.9962357996669805E-4</v>
      </c>
      <c r="AT246" s="137">
        <f>$W246*Y246+$L246*Summary_LCIA!H$32</f>
        <v>288.30515635450826</v>
      </c>
      <c r="AU246" s="137">
        <f>$W246*Z246+$L246*Summary_LCIA!Q$32</f>
        <v>2916.5141511527677</v>
      </c>
      <c r="AV246" s="137">
        <f>$W246*AA246+$L246*Summary_LCIA!R$32</f>
        <v>1.3006712322707814</v>
      </c>
      <c r="AW246" s="137">
        <f>$W246*AB246+$L246*Summary_LCIA!S$32</f>
        <v>288.28151819450829</v>
      </c>
      <c r="AX246" s="137">
        <f>$W246*AC246+$L246*Summary_LCIA!T$32</f>
        <v>68.243756411611159</v>
      </c>
      <c r="AY246" s="137">
        <f>$W246*AD246+$L246*Summary_LCIA!U$32</f>
        <v>0.41099784024128905</v>
      </c>
      <c r="AZ246" s="137">
        <f>$W246*AE246+$L246*Summary_LCIA!V$32</f>
        <v>6.7395894196402972E-3</v>
      </c>
      <c r="BA246" s="137">
        <f>$W246*AF246+$L246*Summary_LCIA!W$32</f>
        <v>10.002894682296338</v>
      </c>
      <c r="BB246" s="137">
        <f>$W246*AG246+$L246*Summary_LCIA!X$32</f>
        <v>14.284496209150637</v>
      </c>
      <c r="BC246" s="137">
        <f>$W246*AH246+$L246*Summary_LCIA!Y$32</f>
        <v>0.35287179351140108</v>
      </c>
      <c r="BD246" s="137">
        <f>$W246*AI246+$L246*Summary_LCIA!Z$32</f>
        <v>0.30088426108529159</v>
      </c>
      <c r="BE246" s="137">
        <f>$W246*AJ246+$L246*Summary_LCIA!AA$32</f>
        <v>1.2671132721235241</v>
      </c>
      <c r="BF246" s="137">
        <f>$W246*AK246+$L246*Summary_LCIA!AB$32</f>
        <v>7.1310214966146881E-2</v>
      </c>
      <c r="BG246" s="137">
        <f>$W246*AL246+$L246*Summary_LCIA!AC$32</f>
        <v>3.4835285941985145E-5</v>
      </c>
      <c r="BH246" s="137">
        <f>$W246*AM246+$L246*Summary_LCIA!AD$32</f>
        <v>0.10923134647755597</v>
      </c>
      <c r="BI246" s="137">
        <f>$W246*AN246+$L246*Summary_LCIA!AE$32</f>
        <v>0.31686257368626014</v>
      </c>
      <c r="BJ246" s="137">
        <f>$W246*AO246+$L246*Summary_LCIA!AF$32</f>
        <v>9.3097236478189137E-3</v>
      </c>
      <c r="BK246" s="137">
        <f>$W246*AP246+$L246*Summary_LCIA!AG$32</f>
        <v>5.0620479078189139E-3</v>
      </c>
      <c r="BL246" s="137">
        <f>$W246*AQ246+$L246*Summary_LCIA!AH$32</f>
        <v>0.71270395352721017</v>
      </c>
      <c r="BM246" s="137">
        <f>$W246*AR246+$L246*Summary_LCIA!AI$32</f>
        <v>0.2833971510681772</v>
      </c>
    </row>
    <row r="247" spans="1:65" x14ac:dyDescent="0.25">
      <c r="A247" s="149">
        <v>163</v>
      </c>
      <c r="B247" s="149">
        <v>6</v>
      </c>
      <c r="C247" s="61">
        <v>42.360081999999998</v>
      </c>
      <c r="D247" s="61">
        <v>-71.058880000000002</v>
      </c>
      <c r="E247" s="61" t="s">
        <v>265</v>
      </c>
      <c r="F247" s="149">
        <v>53</v>
      </c>
      <c r="G247" s="61" t="s">
        <v>565</v>
      </c>
      <c r="H247" s="61" t="s">
        <v>634</v>
      </c>
      <c r="I247" s="61">
        <v>42.365613000000003</v>
      </c>
      <c r="J247" s="61">
        <v>-71.009559999999993</v>
      </c>
      <c r="K247" s="61">
        <v>4.3433329829999998</v>
      </c>
      <c r="L247" s="61">
        <v>5.3479999999999999</v>
      </c>
      <c r="M247" s="61" t="s">
        <v>617</v>
      </c>
      <c r="N247" s="149">
        <v>5</v>
      </c>
      <c r="O247" s="149">
        <v>6</v>
      </c>
      <c r="P247" s="61" t="s">
        <v>565</v>
      </c>
      <c r="Q247" s="61" t="s">
        <v>564</v>
      </c>
      <c r="R247" s="61">
        <v>41.98028</v>
      </c>
      <c r="S247" s="61">
        <v>-87.908997900000003</v>
      </c>
      <c r="T247" s="61">
        <v>1609.3050000000001</v>
      </c>
      <c r="U247" s="61" t="s">
        <v>617</v>
      </c>
      <c r="V247" s="61" t="s">
        <v>569</v>
      </c>
      <c r="W247" s="61" cm="1">
        <f t="array" ref="W247">getDistance(I247,J247,R247,S247)*SA!$B$12</f>
        <v>1394.7010754672544</v>
      </c>
      <c r="X247" s="61"/>
      <c r="Y247" s="137">
        <f>Transportation_LCIA!C$61*($W247^Transportation_LCIA!C$60)+Transportation_LCIA!C$62</f>
        <v>0.20541169071553828</v>
      </c>
      <c r="Z247" s="137">
        <f>Transportation_LCIA!D$61*($W247^Transportation_LCIA!D$60)+Transportation_LCIA!D$62</f>
        <v>2.0721352010636895</v>
      </c>
      <c r="AA247" s="137">
        <f>Transportation_LCIA!E$61*($W247^Transportation_LCIA!E$60)+Transportation_LCIA!E$62</f>
        <v>9.1238963377472367E-4</v>
      </c>
      <c r="AB247" s="137">
        <f>Transportation_LCIA!F$61*($W247^Transportation_LCIA!F$60)+Transportation_LCIA!F$62</f>
        <v>0.20541169071553828</v>
      </c>
      <c r="AC247" s="137">
        <f>Transportation_LCIA!G$61*($W247^Transportation_LCIA!G$60)+Transportation_LCIA!G$62</f>
        <v>4.8509327483629391E-2</v>
      </c>
      <c r="AD247" s="137">
        <f>Transportation_LCIA!H$61*($W247^Transportation_LCIA!H$60)+Transportation_LCIA!H$62</f>
        <v>2.2599378016231362E-4</v>
      </c>
      <c r="AE247" s="137">
        <f>Transportation_LCIA!I$61*($W247^Transportation_LCIA!I$60)+Transportation_LCIA!I$62</f>
        <v>4.6491421751201883E-6</v>
      </c>
      <c r="AF247" s="137">
        <f>Transportation_LCIA!J$61*($W247^Transportation_LCIA!J$60)+Transportation_LCIA!J$62</f>
        <v>6.8769243409976324E-3</v>
      </c>
      <c r="AG247" s="137">
        <f>Transportation_LCIA!K$61*($W247^Transportation_LCIA!K$60)+Transportation_LCIA!K$62</f>
        <v>1.0154626692609268E-2</v>
      </c>
      <c r="AH247" s="137">
        <f>Transportation_LCIA!L$61*($W247^Transportation_LCIA!L$60)+Transportation_LCIA!L$62</f>
        <v>1.9325951793727536E-4</v>
      </c>
      <c r="AI247" s="137">
        <f>Transportation_LCIA!M$61*($W247^Transportation_LCIA!M$60)+Transportation_LCIA!M$62</f>
        <v>2.1557662085587944E-4</v>
      </c>
      <c r="AJ247" s="137">
        <f>Transportation_LCIA!N$61*($W247^Transportation_LCIA!N$60)+Transportation_LCIA!N$62</f>
        <v>8.1896071080382658E-4</v>
      </c>
      <c r="AK247" s="137">
        <f>Transportation_LCIA!O$61*($W247^Transportation_LCIA!O$60)+Transportation_LCIA!O$62</f>
        <v>5.1213070403790544E-5</v>
      </c>
      <c r="AL247" s="137">
        <f>Transportation_LCIA!P$61*($W247^Transportation_LCIA!P$60)+Transportation_LCIA!P$62</f>
        <v>2.4789436903819814E-8</v>
      </c>
      <c r="AM247" s="137">
        <f>Transportation_LCIA!Q$61*($W247^Transportation_LCIA!Q$60)+Transportation_LCIA!Q$62</f>
        <v>7.6742684464983015E-5</v>
      </c>
      <c r="AN247" s="137">
        <f>Transportation_LCIA!R$61*($W247^Transportation_LCIA!R$60)+Transportation_LCIA!R$62</f>
        <v>2.2379243548062238E-4</v>
      </c>
      <c r="AO247" s="137">
        <f>Transportation_LCIA!S$61*($W247^Transportation_LCIA!S$60)+Transportation_LCIA!S$62</f>
        <v>3.4332930346487986E-6</v>
      </c>
      <c r="AP247" s="137">
        <f>Transportation_LCIA!T$61*($W247^Transportation_LCIA!T$60)+Transportation_LCIA!T$62</f>
        <v>3.4332930346487986E-6</v>
      </c>
      <c r="AQ247" s="137">
        <f>Transportation_LCIA!U$61*($W247^Transportation_LCIA!U$60)+Transportation_LCIA!U$62</f>
        <v>4.7763432067623047E-4</v>
      </c>
      <c r="AR247" s="137">
        <f>Transportation_LCIA!V$61*($W247^Transportation_LCIA!V$60)+Transportation_LCIA!V$62</f>
        <v>1.9962357996669805E-4</v>
      </c>
      <c r="AT247" s="137">
        <f>$W247*Y247+$L247*Summary_LCIA!H$32</f>
        <v>288.30515635450826</v>
      </c>
      <c r="AU247" s="137">
        <f>$W247*Z247+$L247*Summary_LCIA!Q$32</f>
        <v>2916.5141511527677</v>
      </c>
      <c r="AV247" s="137">
        <f>$W247*AA247+$L247*Summary_LCIA!R$32</f>
        <v>1.3006712322707814</v>
      </c>
      <c r="AW247" s="137">
        <f>$W247*AB247+$L247*Summary_LCIA!S$32</f>
        <v>288.28151819450829</v>
      </c>
      <c r="AX247" s="137">
        <f>$W247*AC247+$L247*Summary_LCIA!T$32</f>
        <v>68.243756411611159</v>
      </c>
      <c r="AY247" s="137">
        <f>$W247*AD247+$L247*Summary_LCIA!U$32</f>
        <v>0.41099784024128905</v>
      </c>
      <c r="AZ247" s="137">
        <f>$W247*AE247+$L247*Summary_LCIA!V$32</f>
        <v>6.7395894196402972E-3</v>
      </c>
      <c r="BA247" s="137">
        <f>$W247*AF247+$L247*Summary_LCIA!W$32</f>
        <v>10.002894682296338</v>
      </c>
      <c r="BB247" s="137">
        <f>$W247*AG247+$L247*Summary_LCIA!X$32</f>
        <v>14.284496209150637</v>
      </c>
      <c r="BC247" s="137">
        <f>$W247*AH247+$L247*Summary_LCIA!Y$32</f>
        <v>0.35287179351140108</v>
      </c>
      <c r="BD247" s="137">
        <f>$W247*AI247+$L247*Summary_LCIA!Z$32</f>
        <v>0.30088426108529159</v>
      </c>
      <c r="BE247" s="137">
        <f>$W247*AJ247+$L247*Summary_LCIA!AA$32</f>
        <v>1.2671132721235241</v>
      </c>
      <c r="BF247" s="137">
        <f>$W247*AK247+$L247*Summary_LCIA!AB$32</f>
        <v>7.1310214966146881E-2</v>
      </c>
      <c r="BG247" s="137">
        <f>$W247*AL247+$L247*Summary_LCIA!AC$32</f>
        <v>3.4835285941985145E-5</v>
      </c>
      <c r="BH247" s="137">
        <f>$W247*AM247+$L247*Summary_LCIA!AD$32</f>
        <v>0.10923134647755597</v>
      </c>
      <c r="BI247" s="137">
        <f>$W247*AN247+$L247*Summary_LCIA!AE$32</f>
        <v>0.31686257368626014</v>
      </c>
      <c r="BJ247" s="137">
        <f>$W247*AO247+$L247*Summary_LCIA!AF$32</f>
        <v>9.3097236478189137E-3</v>
      </c>
      <c r="BK247" s="137">
        <f>$W247*AP247+$L247*Summary_LCIA!AG$32</f>
        <v>5.0620479078189139E-3</v>
      </c>
      <c r="BL247" s="137">
        <f>$W247*AQ247+$L247*Summary_LCIA!AH$32</f>
        <v>0.71270395352721017</v>
      </c>
      <c r="BM247" s="137">
        <f>$W247*AR247+$L247*Summary_LCIA!AI$32</f>
        <v>0.2833971510681772</v>
      </c>
    </row>
    <row r="248" spans="1:65" x14ac:dyDescent="0.25">
      <c r="A248" s="149">
        <v>164</v>
      </c>
      <c r="B248" s="149">
        <v>6</v>
      </c>
      <c r="C248" s="61">
        <v>42.360081999999998</v>
      </c>
      <c r="D248" s="61">
        <v>-71.058880000000002</v>
      </c>
      <c r="E248" s="61" t="s">
        <v>265</v>
      </c>
      <c r="F248" s="149">
        <v>53</v>
      </c>
      <c r="G248" s="61" t="s">
        <v>565</v>
      </c>
      <c r="H248" s="61" t="s">
        <v>634</v>
      </c>
      <c r="I248" s="61">
        <v>42.365613000000003</v>
      </c>
      <c r="J248" s="61">
        <v>-71.009559999999993</v>
      </c>
      <c r="K248" s="61">
        <v>4.3433329829999998</v>
      </c>
      <c r="L248" s="61">
        <v>5.3479999999999999</v>
      </c>
      <c r="M248" s="61" t="s">
        <v>617</v>
      </c>
      <c r="N248" s="149">
        <v>5</v>
      </c>
      <c r="O248" s="149">
        <v>6</v>
      </c>
      <c r="P248" s="61" t="s">
        <v>565</v>
      </c>
      <c r="Q248" s="61" t="s">
        <v>564</v>
      </c>
      <c r="R248" s="61">
        <v>41.98028</v>
      </c>
      <c r="S248" s="61">
        <v>-87.908997900000003</v>
      </c>
      <c r="T248" s="61">
        <v>1609.3050000000001</v>
      </c>
      <c r="U248" s="61" t="s">
        <v>617</v>
      </c>
      <c r="V248" s="61" t="s">
        <v>569</v>
      </c>
      <c r="W248" s="61" cm="1">
        <f t="array" ref="W248">getDistance(I248,J248,R248,S248)*SA!$B$12</f>
        <v>1394.7010754672544</v>
      </c>
      <c r="X248" s="61"/>
      <c r="Y248" s="137">
        <f>Transportation_LCIA!C$61*($W248^Transportation_LCIA!C$60)+Transportation_LCIA!C$62</f>
        <v>0.20541169071553828</v>
      </c>
      <c r="Z248" s="137">
        <f>Transportation_LCIA!D$61*($W248^Transportation_LCIA!D$60)+Transportation_LCIA!D$62</f>
        <v>2.0721352010636895</v>
      </c>
      <c r="AA248" s="137">
        <f>Transportation_LCIA!E$61*($W248^Transportation_LCIA!E$60)+Transportation_LCIA!E$62</f>
        <v>9.1238963377472367E-4</v>
      </c>
      <c r="AB248" s="137">
        <f>Transportation_LCIA!F$61*($W248^Transportation_LCIA!F$60)+Transportation_LCIA!F$62</f>
        <v>0.20541169071553828</v>
      </c>
      <c r="AC248" s="137">
        <f>Transportation_LCIA!G$61*($W248^Transportation_LCIA!G$60)+Transportation_LCIA!G$62</f>
        <v>4.8509327483629391E-2</v>
      </c>
      <c r="AD248" s="137">
        <f>Transportation_LCIA!H$61*($W248^Transportation_LCIA!H$60)+Transportation_LCIA!H$62</f>
        <v>2.2599378016231362E-4</v>
      </c>
      <c r="AE248" s="137">
        <f>Transportation_LCIA!I$61*($W248^Transportation_LCIA!I$60)+Transportation_LCIA!I$62</f>
        <v>4.6491421751201883E-6</v>
      </c>
      <c r="AF248" s="137">
        <f>Transportation_LCIA!J$61*($W248^Transportation_LCIA!J$60)+Transportation_LCIA!J$62</f>
        <v>6.8769243409976324E-3</v>
      </c>
      <c r="AG248" s="137">
        <f>Transportation_LCIA!K$61*($W248^Transportation_LCIA!K$60)+Transportation_LCIA!K$62</f>
        <v>1.0154626692609268E-2</v>
      </c>
      <c r="AH248" s="137">
        <f>Transportation_LCIA!L$61*($W248^Transportation_LCIA!L$60)+Transportation_LCIA!L$62</f>
        <v>1.9325951793727536E-4</v>
      </c>
      <c r="AI248" s="137">
        <f>Transportation_LCIA!M$61*($W248^Transportation_LCIA!M$60)+Transportation_LCIA!M$62</f>
        <v>2.1557662085587944E-4</v>
      </c>
      <c r="AJ248" s="137">
        <f>Transportation_LCIA!N$61*($W248^Transportation_LCIA!N$60)+Transportation_LCIA!N$62</f>
        <v>8.1896071080382658E-4</v>
      </c>
      <c r="AK248" s="137">
        <f>Transportation_LCIA!O$61*($W248^Transportation_LCIA!O$60)+Transportation_LCIA!O$62</f>
        <v>5.1213070403790544E-5</v>
      </c>
      <c r="AL248" s="137">
        <f>Transportation_LCIA!P$61*($W248^Transportation_LCIA!P$60)+Transportation_LCIA!P$62</f>
        <v>2.4789436903819814E-8</v>
      </c>
      <c r="AM248" s="137">
        <f>Transportation_LCIA!Q$61*($W248^Transportation_LCIA!Q$60)+Transportation_LCIA!Q$62</f>
        <v>7.6742684464983015E-5</v>
      </c>
      <c r="AN248" s="137">
        <f>Transportation_LCIA!R$61*($W248^Transportation_LCIA!R$60)+Transportation_LCIA!R$62</f>
        <v>2.2379243548062238E-4</v>
      </c>
      <c r="AO248" s="137">
        <f>Transportation_LCIA!S$61*($W248^Transportation_LCIA!S$60)+Transportation_LCIA!S$62</f>
        <v>3.4332930346487986E-6</v>
      </c>
      <c r="AP248" s="137">
        <f>Transportation_LCIA!T$61*($W248^Transportation_LCIA!T$60)+Transportation_LCIA!T$62</f>
        <v>3.4332930346487986E-6</v>
      </c>
      <c r="AQ248" s="137">
        <f>Transportation_LCIA!U$61*($W248^Transportation_LCIA!U$60)+Transportation_LCIA!U$62</f>
        <v>4.7763432067623047E-4</v>
      </c>
      <c r="AR248" s="137">
        <f>Transportation_LCIA!V$61*($W248^Transportation_LCIA!V$60)+Transportation_LCIA!V$62</f>
        <v>1.9962357996669805E-4</v>
      </c>
      <c r="AT248" s="137">
        <f>$W248*Y248+$L248*Summary_LCIA!H$32</f>
        <v>288.30515635450826</v>
      </c>
      <c r="AU248" s="137">
        <f>$W248*Z248+$L248*Summary_LCIA!Q$32</f>
        <v>2916.5141511527677</v>
      </c>
      <c r="AV248" s="137">
        <f>$W248*AA248+$L248*Summary_LCIA!R$32</f>
        <v>1.3006712322707814</v>
      </c>
      <c r="AW248" s="137">
        <f>$W248*AB248+$L248*Summary_LCIA!S$32</f>
        <v>288.28151819450829</v>
      </c>
      <c r="AX248" s="137">
        <f>$W248*AC248+$L248*Summary_LCIA!T$32</f>
        <v>68.243756411611159</v>
      </c>
      <c r="AY248" s="137">
        <f>$W248*AD248+$L248*Summary_LCIA!U$32</f>
        <v>0.41099784024128905</v>
      </c>
      <c r="AZ248" s="137">
        <f>$W248*AE248+$L248*Summary_LCIA!V$32</f>
        <v>6.7395894196402972E-3</v>
      </c>
      <c r="BA248" s="137">
        <f>$W248*AF248+$L248*Summary_LCIA!W$32</f>
        <v>10.002894682296338</v>
      </c>
      <c r="BB248" s="137">
        <f>$W248*AG248+$L248*Summary_LCIA!X$32</f>
        <v>14.284496209150637</v>
      </c>
      <c r="BC248" s="137">
        <f>$W248*AH248+$L248*Summary_LCIA!Y$32</f>
        <v>0.35287179351140108</v>
      </c>
      <c r="BD248" s="137">
        <f>$W248*AI248+$L248*Summary_LCIA!Z$32</f>
        <v>0.30088426108529159</v>
      </c>
      <c r="BE248" s="137">
        <f>$W248*AJ248+$L248*Summary_LCIA!AA$32</f>
        <v>1.2671132721235241</v>
      </c>
      <c r="BF248" s="137">
        <f>$W248*AK248+$L248*Summary_LCIA!AB$32</f>
        <v>7.1310214966146881E-2</v>
      </c>
      <c r="BG248" s="137">
        <f>$W248*AL248+$L248*Summary_LCIA!AC$32</f>
        <v>3.4835285941985145E-5</v>
      </c>
      <c r="BH248" s="137">
        <f>$W248*AM248+$L248*Summary_LCIA!AD$32</f>
        <v>0.10923134647755597</v>
      </c>
      <c r="BI248" s="137">
        <f>$W248*AN248+$L248*Summary_LCIA!AE$32</f>
        <v>0.31686257368626014</v>
      </c>
      <c r="BJ248" s="137">
        <f>$W248*AO248+$L248*Summary_LCIA!AF$32</f>
        <v>9.3097236478189137E-3</v>
      </c>
      <c r="BK248" s="137">
        <f>$W248*AP248+$L248*Summary_LCIA!AG$32</f>
        <v>5.0620479078189139E-3</v>
      </c>
      <c r="BL248" s="137">
        <f>$W248*AQ248+$L248*Summary_LCIA!AH$32</f>
        <v>0.71270395352721017</v>
      </c>
      <c r="BM248" s="137">
        <f>$W248*AR248+$L248*Summary_LCIA!AI$32</f>
        <v>0.2833971510681772</v>
      </c>
    </row>
    <row r="249" spans="1:65" x14ac:dyDescent="0.25">
      <c r="A249" s="149">
        <v>165</v>
      </c>
      <c r="B249" s="149">
        <v>6</v>
      </c>
      <c r="C249" s="61">
        <v>42.360081999999998</v>
      </c>
      <c r="D249" s="61">
        <v>-71.058880000000002</v>
      </c>
      <c r="E249" s="61" t="s">
        <v>265</v>
      </c>
      <c r="F249" s="149">
        <v>53</v>
      </c>
      <c r="G249" s="61" t="s">
        <v>565</v>
      </c>
      <c r="H249" s="61" t="s">
        <v>634</v>
      </c>
      <c r="I249" s="61">
        <v>42.365613000000003</v>
      </c>
      <c r="J249" s="61">
        <v>-71.009559999999993</v>
      </c>
      <c r="K249" s="61">
        <v>4.3433329829999998</v>
      </c>
      <c r="L249" s="61">
        <v>5.3479999999999999</v>
      </c>
      <c r="M249" s="61" t="s">
        <v>617</v>
      </c>
      <c r="N249" s="149">
        <v>5</v>
      </c>
      <c r="O249" s="149">
        <v>6</v>
      </c>
      <c r="P249" s="61" t="s">
        <v>565</v>
      </c>
      <c r="Q249" s="61" t="s">
        <v>564</v>
      </c>
      <c r="R249" s="61">
        <v>41.98028</v>
      </c>
      <c r="S249" s="61">
        <v>-87.908997900000003</v>
      </c>
      <c r="T249" s="61">
        <v>1609.3050000000001</v>
      </c>
      <c r="U249" s="61" t="s">
        <v>617</v>
      </c>
      <c r="V249" s="61" t="s">
        <v>569</v>
      </c>
      <c r="W249" s="61" cm="1">
        <f t="array" ref="W249">getDistance(I249,J249,R249,S249)*SA!$B$12</f>
        <v>1394.7010754672544</v>
      </c>
      <c r="X249" s="61"/>
      <c r="Y249" s="137">
        <f>Transportation_LCIA!C$61*($W249^Transportation_LCIA!C$60)+Transportation_LCIA!C$62</f>
        <v>0.20541169071553828</v>
      </c>
      <c r="Z249" s="137">
        <f>Transportation_LCIA!D$61*($W249^Transportation_LCIA!D$60)+Transportation_LCIA!D$62</f>
        <v>2.0721352010636895</v>
      </c>
      <c r="AA249" s="137">
        <f>Transportation_LCIA!E$61*($W249^Transportation_LCIA!E$60)+Transportation_LCIA!E$62</f>
        <v>9.1238963377472367E-4</v>
      </c>
      <c r="AB249" s="137">
        <f>Transportation_LCIA!F$61*($W249^Transportation_LCIA!F$60)+Transportation_LCIA!F$62</f>
        <v>0.20541169071553828</v>
      </c>
      <c r="AC249" s="137">
        <f>Transportation_LCIA!G$61*($W249^Transportation_LCIA!G$60)+Transportation_LCIA!G$62</f>
        <v>4.8509327483629391E-2</v>
      </c>
      <c r="AD249" s="137">
        <f>Transportation_LCIA!H$61*($W249^Transportation_LCIA!H$60)+Transportation_LCIA!H$62</f>
        <v>2.2599378016231362E-4</v>
      </c>
      <c r="AE249" s="137">
        <f>Transportation_LCIA!I$61*($W249^Transportation_LCIA!I$60)+Transportation_LCIA!I$62</f>
        <v>4.6491421751201883E-6</v>
      </c>
      <c r="AF249" s="137">
        <f>Transportation_LCIA!J$61*($W249^Transportation_LCIA!J$60)+Transportation_LCIA!J$62</f>
        <v>6.8769243409976324E-3</v>
      </c>
      <c r="AG249" s="137">
        <f>Transportation_LCIA!K$61*($W249^Transportation_LCIA!K$60)+Transportation_LCIA!K$62</f>
        <v>1.0154626692609268E-2</v>
      </c>
      <c r="AH249" s="137">
        <f>Transportation_LCIA!L$61*($W249^Transportation_LCIA!L$60)+Transportation_LCIA!L$62</f>
        <v>1.9325951793727536E-4</v>
      </c>
      <c r="AI249" s="137">
        <f>Transportation_LCIA!M$61*($W249^Transportation_LCIA!M$60)+Transportation_LCIA!M$62</f>
        <v>2.1557662085587944E-4</v>
      </c>
      <c r="AJ249" s="137">
        <f>Transportation_LCIA!N$61*($W249^Transportation_LCIA!N$60)+Transportation_LCIA!N$62</f>
        <v>8.1896071080382658E-4</v>
      </c>
      <c r="AK249" s="137">
        <f>Transportation_LCIA!O$61*($W249^Transportation_LCIA!O$60)+Transportation_LCIA!O$62</f>
        <v>5.1213070403790544E-5</v>
      </c>
      <c r="AL249" s="137">
        <f>Transportation_LCIA!P$61*($W249^Transportation_LCIA!P$60)+Transportation_LCIA!P$62</f>
        <v>2.4789436903819814E-8</v>
      </c>
      <c r="AM249" s="137">
        <f>Transportation_LCIA!Q$61*($W249^Transportation_LCIA!Q$60)+Transportation_LCIA!Q$62</f>
        <v>7.6742684464983015E-5</v>
      </c>
      <c r="AN249" s="137">
        <f>Transportation_LCIA!R$61*($W249^Transportation_LCIA!R$60)+Transportation_LCIA!R$62</f>
        <v>2.2379243548062238E-4</v>
      </c>
      <c r="AO249" s="137">
        <f>Transportation_LCIA!S$61*($W249^Transportation_LCIA!S$60)+Transportation_LCIA!S$62</f>
        <v>3.4332930346487986E-6</v>
      </c>
      <c r="AP249" s="137">
        <f>Transportation_LCIA!T$61*($W249^Transportation_LCIA!T$60)+Transportation_LCIA!T$62</f>
        <v>3.4332930346487986E-6</v>
      </c>
      <c r="AQ249" s="137">
        <f>Transportation_LCIA!U$61*($W249^Transportation_LCIA!U$60)+Transportation_LCIA!U$62</f>
        <v>4.7763432067623047E-4</v>
      </c>
      <c r="AR249" s="137">
        <f>Transportation_LCIA!V$61*($W249^Transportation_LCIA!V$60)+Transportation_LCIA!V$62</f>
        <v>1.9962357996669805E-4</v>
      </c>
      <c r="AT249" s="137">
        <f>$W249*Y249+$L249*Summary_LCIA!H$32</f>
        <v>288.30515635450826</v>
      </c>
      <c r="AU249" s="137">
        <f>$W249*Z249+$L249*Summary_LCIA!Q$32</f>
        <v>2916.5141511527677</v>
      </c>
      <c r="AV249" s="137">
        <f>$W249*AA249+$L249*Summary_LCIA!R$32</f>
        <v>1.3006712322707814</v>
      </c>
      <c r="AW249" s="137">
        <f>$W249*AB249+$L249*Summary_LCIA!S$32</f>
        <v>288.28151819450829</v>
      </c>
      <c r="AX249" s="137">
        <f>$W249*AC249+$L249*Summary_LCIA!T$32</f>
        <v>68.243756411611159</v>
      </c>
      <c r="AY249" s="137">
        <f>$W249*AD249+$L249*Summary_LCIA!U$32</f>
        <v>0.41099784024128905</v>
      </c>
      <c r="AZ249" s="137">
        <f>$W249*AE249+$L249*Summary_LCIA!V$32</f>
        <v>6.7395894196402972E-3</v>
      </c>
      <c r="BA249" s="137">
        <f>$W249*AF249+$L249*Summary_LCIA!W$32</f>
        <v>10.002894682296338</v>
      </c>
      <c r="BB249" s="137">
        <f>$W249*AG249+$L249*Summary_LCIA!X$32</f>
        <v>14.284496209150637</v>
      </c>
      <c r="BC249" s="137">
        <f>$W249*AH249+$L249*Summary_LCIA!Y$32</f>
        <v>0.35287179351140108</v>
      </c>
      <c r="BD249" s="137">
        <f>$W249*AI249+$L249*Summary_LCIA!Z$32</f>
        <v>0.30088426108529159</v>
      </c>
      <c r="BE249" s="137">
        <f>$W249*AJ249+$L249*Summary_LCIA!AA$32</f>
        <v>1.2671132721235241</v>
      </c>
      <c r="BF249" s="137">
        <f>$W249*AK249+$L249*Summary_LCIA!AB$32</f>
        <v>7.1310214966146881E-2</v>
      </c>
      <c r="BG249" s="137">
        <f>$W249*AL249+$L249*Summary_LCIA!AC$32</f>
        <v>3.4835285941985145E-5</v>
      </c>
      <c r="BH249" s="137">
        <f>$W249*AM249+$L249*Summary_LCIA!AD$32</f>
        <v>0.10923134647755597</v>
      </c>
      <c r="BI249" s="137">
        <f>$W249*AN249+$L249*Summary_LCIA!AE$32</f>
        <v>0.31686257368626014</v>
      </c>
      <c r="BJ249" s="137">
        <f>$W249*AO249+$L249*Summary_LCIA!AF$32</f>
        <v>9.3097236478189137E-3</v>
      </c>
      <c r="BK249" s="137">
        <f>$W249*AP249+$L249*Summary_LCIA!AG$32</f>
        <v>5.0620479078189139E-3</v>
      </c>
      <c r="BL249" s="137">
        <f>$W249*AQ249+$L249*Summary_LCIA!AH$32</f>
        <v>0.71270395352721017</v>
      </c>
      <c r="BM249" s="137">
        <f>$W249*AR249+$L249*Summary_LCIA!AI$32</f>
        <v>0.2833971510681772</v>
      </c>
    </row>
    <row r="250" spans="1:65" x14ac:dyDescent="0.25">
      <c r="A250" s="149">
        <v>227</v>
      </c>
      <c r="B250" s="149">
        <v>6</v>
      </c>
      <c r="C250" s="61">
        <v>42.360070999999998</v>
      </c>
      <c r="D250" s="61">
        <v>-71.05883</v>
      </c>
      <c r="E250" s="61" t="s">
        <v>265</v>
      </c>
      <c r="F250" s="149">
        <v>53</v>
      </c>
      <c r="G250" s="61" t="s">
        <v>565</v>
      </c>
      <c r="H250" s="61" t="s">
        <v>634</v>
      </c>
      <c r="I250" s="61">
        <v>42.365613000000003</v>
      </c>
      <c r="J250" s="61">
        <v>-71.009559999999993</v>
      </c>
      <c r="K250" s="61">
        <v>4.3397988529999996</v>
      </c>
      <c r="L250" s="61">
        <v>5.351</v>
      </c>
      <c r="M250" s="61" t="s">
        <v>617</v>
      </c>
      <c r="N250" s="149">
        <v>5</v>
      </c>
      <c r="O250" s="149">
        <v>6</v>
      </c>
      <c r="P250" s="61" t="s">
        <v>565</v>
      </c>
      <c r="Q250" s="61" t="s">
        <v>564</v>
      </c>
      <c r="R250" s="61">
        <v>41.98028</v>
      </c>
      <c r="S250" s="61">
        <v>-87.908997900000003</v>
      </c>
      <c r="T250" s="61">
        <v>1609.307</v>
      </c>
      <c r="U250" s="61" t="s">
        <v>617</v>
      </c>
      <c r="V250" s="61" t="s">
        <v>569</v>
      </c>
      <c r="W250" s="61" cm="1">
        <f t="array" ref="W250">getDistance(I250,J250,R250,S250)*SA!$B$12</f>
        <v>1394.7010754672544</v>
      </c>
      <c r="X250" s="61"/>
      <c r="Y250" s="137">
        <f>Transportation_LCIA!C$61*($W250^Transportation_LCIA!C$60)+Transportation_LCIA!C$62</f>
        <v>0.20541169071553828</v>
      </c>
      <c r="Z250" s="137">
        <f>Transportation_LCIA!D$61*($W250^Transportation_LCIA!D$60)+Transportation_LCIA!D$62</f>
        <v>2.0721352010636895</v>
      </c>
      <c r="AA250" s="137">
        <f>Transportation_LCIA!E$61*($W250^Transportation_LCIA!E$60)+Transportation_LCIA!E$62</f>
        <v>9.1238963377472367E-4</v>
      </c>
      <c r="AB250" s="137">
        <f>Transportation_LCIA!F$61*($W250^Transportation_LCIA!F$60)+Transportation_LCIA!F$62</f>
        <v>0.20541169071553828</v>
      </c>
      <c r="AC250" s="137">
        <f>Transportation_LCIA!G$61*($W250^Transportation_LCIA!G$60)+Transportation_LCIA!G$62</f>
        <v>4.8509327483629391E-2</v>
      </c>
      <c r="AD250" s="137">
        <f>Transportation_LCIA!H$61*($W250^Transportation_LCIA!H$60)+Transportation_LCIA!H$62</f>
        <v>2.2599378016231362E-4</v>
      </c>
      <c r="AE250" s="137">
        <f>Transportation_LCIA!I$61*($W250^Transportation_LCIA!I$60)+Transportation_LCIA!I$62</f>
        <v>4.6491421751201883E-6</v>
      </c>
      <c r="AF250" s="137">
        <f>Transportation_LCIA!J$61*($W250^Transportation_LCIA!J$60)+Transportation_LCIA!J$62</f>
        <v>6.8769243409976324E-3</v>
      </c>
      <c r="AG250" s="137">
        <f>Transportation_LCIA!K$61*($W250^Transportation_LCIA!K$60)+Transportation_LCIA!K$62</f>
        <v>1.0154626692609268E-2</v>
      </c>
      <c r="AH250" s="137">
        <f>Transportation_LCIA!L$61*($W250^Transportation_LCIA!L$60)+Transportation_LCIA!L$62</f>
        <v>1.9325951793727536E-4</v>
      </c>
      <c r="AI250" s="137">
        <f>Transportation_LCIA!M$61*($W250^Transportation_LCIA!M$60)+Transportation_LCIA!M$62</f>
        <v>2.1557662085587944E-4</v>
      </c>
      <c r="AJ250" s="137">
        <f>Transportation_LCIA!N$61*($W250^Transportation_LCIA!N$60)+Transportation_LCIA!N$62</f>
        <v>8.1896071080382658E-4</v>
      </c>
      <c r="AK250" s="137">
        <f>Transportation_LCIA!O$61*($W250^Transportation_LCIA!O$60)+Transportation_LCIA!O$62</f>
        <v>5.1213070403790544E-5</v>
      </c>
      <c r="AL250" s="137">
        <f>Transportation_LCIA!P$61*($W250^Transportation_LCIA!P$60)+Transportation_LCIA!P$62</f>
        <v>2.4789436903819814E-8</v>
      </c>
      <c r="AM250" s="137">
        <f>Transportation_LCIA!Q$61*($W250^Transportation_LCIA!Q$60)+Transportation_LCIA!Q$62</f>
        <v>7.6742684464983015E-5</v>
      </c>
      <c r="AN250" s="137">
        <f>Transportation_LCIA!R$61*($W250^Transportation_LCIA!R$60)+Transportation_LCIA!R$62</f>
        <v>2.2379243548062238E-4</v>
      </c>
      <c r="AO250" s="137">
        <f>Transportation_LCIA!S$61*($W250^Transportation_LCIA!S$60)+Transportation_LCIA!S$62</f>
        <v>3.4332930346487986E-6</v>
      </c>
      <c r="AP250" s="137">
        <f>Transportation_LCIA!T$61*($W250^Transportation_LCIA!T$60)+Transportation_LCIA!T$62</f>
        <v>3.4332930346487986E-6</v>
      </c>
      <c r="AQ250" s="137">
        <f>Transportation_LCIA!U$61*($W250^Transportation_LCIA!U$60)+Transportation_LCIA!U$62</f>
        <v>4.7763432067623047E-4</v>
      </c>
      <c r="AR250" s="137">
        <f>Transportation_LCIA!V$61*($W250^Transportation_LCIA!V$60)+Transportation_LCIA!V$62</f>
        <v>1.9962357996669805E-4</v>
      </c>
      <c r="AT250" s="137">
        <f>$W250*Y250+$L250*Summary_LCIA!H$32</f>
        <v>288.30617575450827</v>
      </c>
      <c r="AU250" s="137">
        <f>$W250*Z250+$L250*Summary_LCIA!Q$32</f>
        <v>2916.5290193040664</v>
      </c>
      <c r="AV250" s="137">
        <f>$W250*AA250+$L250*Summary_LCIA!R$32</f>
        <v>1.3006870290707815</v>
      </c>
      <c r="AW250" s="137">
        <f>$W250*AB250+$L250*Summary_LCIA!S$32</f>
        <v>288.28252433450825</v>
      </c>
      <c r="AX250" s="137">
        <f>$W250*AC250+$L250*Summary_LCIA!T$32</f>
        <v>68.244086111611153</v>
      </c>
      <c r="AY250" s="137">
        <f>$W250*AD250+$L250*Summary_LCIA!U$32</f>
        <v>0.41105158224128907</v>
      </c>
      <c r="AZ250" s="137">
        <f>$W250*AE250+$L250*Summary_LCIA!V$32</f>
        <v>6.7397327026402967E-3</v>
      </c>
      <c r="BA250" s="137">
        <f>$W250*AF250+$L250*Summary_LCIA!W$32</f>
        <v>10.003125595296337</v>
      </c>
      <c r="BB250" s="137">
        <f>$W250*AG250+$L250*Summary_LCIA!X$32</f>
        <v>14.284564549150637</v>
      </c>
      <c r="BC250" s="137">
        <f>$W250*AH250+$L250*Summary_LCIA!Y$32</f>
        <v>0.35291853951140106</v>
      </c>
      <c r="BD250" s="137">
        <f>$W250*AI250+$L250*Summary_LCIA!Z$32</f>
        <v>0.30088438411229163</v>
      </c>
      <c r="BE250" s="137">
        <f>$W250*AJ250+$L250*Summary_LCIA!AA$32</f>
        <v>1.267183340123524</v>
      </c>
      <c r="BF250" s="137">
        <f>$W250*AK250+$L250*Summary_LCIA!AB$32</f>
        <v>7.1310149497146882E-2</v>
      </c>
      <c r="BG250" s="137">
        <f>$W250*AL250+$L250*Summary_LCIA!AC$32</f>
        <v>3.4835432593985144E-5</v>
      </c>
      <c r="BH250" s="137">
        <f>$W250*AM250+$L250*Summary_LCIA!AD$32</f>
        <v>0.10923257959755597</v>
      </c>
      <c r="BI250" s="137">
        <f>$W250*AN250+$L250*Summary_LCIA!AE$32</f>
        <v>0.31686523207626016</v>
      </c>
      <c r="BJ250" s="137">
        <f>$W250*AO250+$L250*Summary_LCIA!AF$32</f>
        <v>9.3122599078189136E-3</v>
      </c>
      <c r="BK250" s="137">
        <f>$W250*AP250+$L250*Summary_LCIA!AG$32</f>
        <v>5.0622014028189133E-3</v>
      </c>
      <c r="BL250" s="137">
        <f>$W250*AQ250+$L250*Summary_LCIA!AH$32</f>
        <v>0.71273006432721009</v>
      </c>
      <c r="BM250" s="137">
        <f>$W250*AR250+$L250*Summary_LCIA!AI$32</f>
        <v>0.28339994571817723</v>
      </c>
    </row>
    <row r="251" spans="1:65" x14ac:dyDescent="0.25">
      <c r="A251" s="149">
        <v>207</v>
      </c>
      <c r="B251" s="149">
        <v>6</v>
      </c>
      <c r="C251" s="61">
        <v>39.739235999999998</v>
      </c>
      <c r="D251" s="61">
        <v>-104.990251</v>
      </c>
      <c r="E251" s="61" t="s">
        <v>265</v>
      </c>
      <c r="F251" s="149">
        <v>16</v>
      </c>
      <c r="G251" s="61" t="s">
        <v>565</v>
      </c>
      <c r="H251" s="61" t="s">
        <v>645</v>
      </c>
      <c r="I251" s="61">
        <v>39.856096000000001</v>
      </c>
      <c r="J251" s="61">
        <v>-104.673738</v>
      </c>
      <c r="K251" s="61">
        <v>32.480303239999998</v>
      </c>
      <c r="L251" s="61">
        <v>43.084000000000003</v>
      </c>
      <c r="M251" s="61" t="s">
        <v>617</v>
      </c>
      <c r="N251" s="149">
        <v>5</v>
      </c>
      <c r="O251" s="149">
        <v>6</v>
      </c>
      <c r="P251" s="61" t="s">
        <v>565</v>
      </c>
      <c r="Q251" s="61" t="s">
        <v>564</v>
      </c>
      <c r="R251" s="61">
        <v>41.98028</v>
      </c>
      <c r="S251" s="61">
        <v>-87.908997900000003</v>
      </c>
      <c r="T251" s="61">
        <v>1611.23</v>
      </c>
      <c r="U251" s="61" t="s">
        <v>617</v>
      </c>
      <c r="V251" s="61" t="s">
        <v>569</v>
      </c>
      <c r="W251" s="61" cm="1">
        <f t="array" ref="W251">getDistance(I251,J251,R251,S251)*SA!$B$12</f>
        <v>1429.4950991616145</v>
      </c>
      <c r="X251" s="61"/>
      <c r="Y251" s="137">
        <f>Transportation_LCIA!C$61*($W251^Transportation_LCIA!C$60)+Transportation_LCIA!C$62</f>
        <v>0.20349821617970421</v>
      </c>
      <c r="Z251" s="137">
        <f>Transportation_LCIA!D$61*($W251^Transportation_LCIA!D$60)+Transportation_LCIA!D$62</f>
        <v>2.0501411564925682</v>
      </c>
      <c r="AA251" s="137">
        <f>Transportation_LCIA!E$61*($W251^Transportation_LCIA!E$60)+Transportation_LCIA!E$62</f>
        <v>8.9799039356792888E-4</v>
      </c>
      <c r="AB251" s="137">
        <f>Transportation_LCIA!F$61*($W251^Transportation_LCIA!F$60)+Transportation_LCIA!F$62</f>
        <v>0.20349821617970421</v>
      </c>
      <c r="AC251" s="137">
        <f>Transportation_LCIA!G$61*($W251^Transportation_LCIA!G$60)+Transportation_LCIA!G$62</f>
        <v>4.8000028211733513E-2</v>
      </c>
      <c r="AD251" s="137">
        <f>Transportation_LCIA!H$61*($W251^Transportation_LCIA!H$60)+Transportation_LCIA!H$62</f>
        <v>2.2285424318591637E-4</v>
      </c>
      <c r="AE251" s="137">
        <f>Transportation_LCIA!I$61*($W251^Transportation_LCIA!I$60)+Transportation_LCIA!I$62</f>
        <v>4.571174071441499E-6</v>
      </c>
      <c r="AF251" s="137">
        <f>Transportation_LCIA!J$61*($W251^Transportation_LCIA!J$60)+Transportation_LCIA!J$62</f>
        <v>6.7618339751164165E-3</v>
      </c>
      <c r="AG251" s="137">
        <f>Transportation_LCIA!K$61*($W251^Transportation_LCIA!K$60)+Transportation_LCIA!K$62</f>
        <v>1.0036647213890358E-2</v>
      </c>
      <c r="AH251" s="137">
        <f>Transportation_LCIA!L$61*($W251^Transportation_LCIA!L$60)+Transportation_LCIA!L$62</f>
        <v>1.9038435373879868E-4</v>
      </c>
      <c r="AI251" s="137">
        <f>Transportation_LCIA!M$61*($W251^Transportation_LCIA!M$60)+Transportation_LCIA!M$62</f>
        <v>2.1384473386264609E-4</v>
      </c>
      <c r="AJ251" s="137">
        <f>Transportation_LCIA!N$61*($W251^Transportation_LCIA!N$60)+Transportation_LCIA!N$62</f>
        <v>8.0839367892004054E-4</v>
      </c>
      <c r="AK251" s="137">
        <f>Transportation_LCIA!O$61*($W251^Transportation_LCIA!O$60)+Transportation_LCIA!O$62</f>
        <v>5.067209999252372E-5</v>
      </c>
      <c r="AL251" s="137">
        <f>Transportation_LCIA!P$61*($W251^Transportation_LCIA!P$60)+Transportation_LCIA!P$62</f>
        <v>2.4529050433273688E-8</v>
      </c>
      <c r="AM251" s="137">
        <f>Transportation_LCIA!Q$61*($W251^Transportation_LCIA!Q$60)+Transportation_LCIA!Q$62</f>
        <v>7.5620829602403238E-5</v>
      </c>
      <c r="AN251" s="137">
        <f>Transportation_LCIA!R$61*($W251^Transportation_LCIA!R$60)+Transportation_LCIA!R$62</f>
        <v>2.2005485991627286E-4</v>
      </c>
      <c r="AO251" s="137">
        <f>Transportation_LCIA!S$61*($W251^Transportation_LCIA!S$60)+Transportation_LCIA!S$62</f>
        <v>3.3802166707550345E-6</v>
      </c>
      <c r="AP251" s="137">
        <f>Transportation_LCIA!T$61*($W251^Transportation_LCIA!T$60)+Transportation_LCIA!T$62</f>
        <v>3.3802166707550345E-6</v>
      </c>
      <c r="AQ251" s="137">
        <f>Transportation_LCIA!U$61*($W251^Transportation_LCIA!U$60)+Transportation_LCIA!U$62</f>
        <v>4.6945882310058874E-4</v>
      </c>
      <c r="AR251" s="137">
        <f>Transportation_LCIA!V$61*($W251^Transportation_LCIA!V$60)+Transportation_LCIA!V$62</f>
        <v>1.9671290669076797E-4</v>
      </c>
      <c r="AT251" s="137">
        <f>$W251*Y251+$L251*Summary_LCIA!H$32</f>
        <v>305.53964591701794</v>
      </c>
      <c r="AU251" s="137">
        <f>$W251*Z251+$L251*Summary_LCIA!Q$32</f>
        <v>3144.1932126510228</v>
      </c>
      <c r="AV251" s="137">
        <f>$W251*AA251+$L251*Summary_LCIA!R$32</f>
        <v>1.5105359770995637</v>
      </c>
      <c r="AW251" s="137">
        <f>$W251*AB251+$L251*Summary_LCIA!S$32</f>
        <v>305.34921463701795</v>
      </c>
      <c r="AX251" s="137">
        <f>$W251*AC251+$L251*Summary_LCIA!T$32</f>
        <v>73.350736688292287</v>
      </c>
      <c r="AY251" s="137">
        <f>$W251*AD251+$L251*Summary_LCIA!U$32</f>
        <v>1.0903758244616382</v>
      </c>
      <c r="AZ251" s="137">
        <f>$W251*AE251+$L251*Summary_LCIA!V$32</f>
        <v>8.5922058565402679E-3</v>
      </c>
      <c r="BA251" s="137">
        <f>$W251*AF251+$L251*Summary_LCIA!W$32</f>
        <v>12.982227092773416</v>
      </c>
      <c r="BB251" s="137">
        <f>$W251*AG251+$L251*Summary_LCIA!X$32</f>
        <v>15.32879152427034</v>
      </c>
      <c r="BC251" s="137">
        <f>$W251*AH251+$L251*Summary_LCIA!Y$32</f>
        <v>0.94348838862666395</v>
      </c>
      <c r="BD251" s="137">
        <f>$W251*AI251+$L251*Summary_LCIA!Z$32</f>
        <v>0.30745683079417235</v>
      </c>
      <c r="BE251" s="137">
        <f>$W251*AJ251+$L251*Summary_LCIA!AA$32</f>
        <v>2.1618647062094256</v>
      </c>
      <c r="BF251" s="137">
        <f>$W251*AK251+$L251*Summary_LCIA!AB$32</f>
        <v>7.1495296471539946E-2</v>
      </c>
      <c r="BG251" s="137">
        <f>$W251*AL251+$L251*Summary_LCIA!AC$32</f>
        <v>3.7170275637452815E-5</v>
      </c>
      <c r="BH251" s="137">
        <f>$W251*AM251+$L251*Summary_LCIA!AD$32</f>
        <v>0.12580885267117098</v>
      </c>
      <c r="BI251" s="137">
        <f>$W251*AN251+$L251*Summary_LCIA!AE$32</f>
        <v>0.35274536871700768</v>
      </c>
      <c r="BJ251" s="137">
        <f>$W251*AO251+$L251*Summary_LCIA!AF$32</f>
        <v>4.1256078444948711E-2</v>
      </c>
      <c r="BK251" s="137">
        <f>$W251*AP251+$L251*Summary_LCIA!AG$32</f>
        <v>7.0363960249487109E-3</v>
      </c>
      <c r="BL251" s="137">
        <f>$W251*AQ251+$L251*Summary_LCIA!AH$32</f>
        <v>1.0460749892804708</v>
      </c>
      <c r="BM251" s="137">
        <f>$W251*AR251+$L251*Summary_LCIA!AI$32</f>
        <v>0.32133503625628873</v>
      </c>
    </row>
    <row r="252" spans="1:65" x14ac:dyDescent="0.25">
      <c r="A252" s="149">
        <v>208</v>
      </c>
      <c r="B252" s="149">
        <v>6</v>
      </c>
      <c r="C252" s="61">
        <v>39.739235999999998</v>
      </c>
      <c r="D252" s="61">
        <v>-104.990251</v>
      </c>
      <c r="E252" s="61" t="s">
        <v>265</v>
      </c>
      <c r="F252" s="149">
        <v>16</v>
      </c>
      <c r="G252" s="61" t="s">
        <v>565</v>
      </c>
      <c r="H252" s="61" t="s">
        <v>645</v>
      </c>
      <c r="I252" s="61">
        <v>39.856096000000001</v>
      </c>
      <c r="J252" s="61">
        <v>-104.673738</v>
      </c>
      <c r="K252" s="61">
        <v>32.480303239999998</v>
      </c>
      <c r="L252" s="61">
        <v>43.084000000000003</v>
      </c>
      <c r="M252" s="61" t="s">
        <v>617</v>
      </c>
      <c r="N252" s="149">
        <v>5</v>
      </c>
      <c r="O252" s="149">
        <v>6</v>
      </c>
      <c r="P252" s="61" t="s">
        <v>565</v>
      </c>
      <c r="Q252" s="61" t="s">
        <v>564</v>
      </c>
      <c r="R252" s="61">
        <v>41.98028</v>
      </c>
      <c r="S252" s="61">
        <v>-87.908997900000003</v>
      </c>
      <c r="T252" s="61">
        <v>1611.23</v>
      </c>
      <c r="U252" s="61" t="s">
        <v>617</v>
      </c>
      <c r="V252" s="61" t="s">
        <v>569</v>
      </c>
      <c r="W252" s="61" cm="1">
        <f t="array" ref="W252">getDistance(I252,J252,R252,S252)*SA!$B$12</f>
        <v>1429.4950991616145</v>
      </c>
      <c r="X252" s="61"/>
      <c r="Y252" s="137">
        <f>Transportation_LCIA!C$61*($W252^Transportation_LCIA!C$60)+Transportation_LCIA!C$62</f>
        <v>0.20349821617970421</v>
      </c>
      <c r="Z252" s="137">
        <f>Transportation_LCIA!D$61*($W252^Transportation_LCIA!D$60)+Transportation_LCIA!D$62</f>
        <v>2.0501411564925682</v>
      </c>
      <c r="AA252" s="137">
        <f>Transportation_LCIA!E$61*($W252^Transportation_LCIA!E$60)+Transportation_LCIA!E$62</f>
        <v>8.9799039356792888E-4</v>
      </c>
      <c r="AB252" s="137">
        <f>Transportation_LCIA!F$61*($W252^Transportation_LCIA!F$60)+Transportation_LCIA!F$62</f>
        <v>0.20349821617970421</v>
      </c>
      <c r="AC252" s="137">
        <f>Transportation_LCIA!G$61*($W252^Transportation_LCIA!G$60)+Transportation_LCIA!G$62</f>
        <v>4.8000028211733513E-2</v>
      </c>
      <c r="AD252" s="137">
        <f>Transportation_LCIA!H$61*($W252^Transportation_LCIA!H$60)+Transportation_LCIA!H$62</f>
        <v>2.2285424318591637E-4</v>
      </c>
      <c r="AE252" s="137">
        <f>Transportation_LCIA!I$61*($W252^Transportation_LCIA!I$60)+Transportation_LCIA!I$62</f>
        <v>4.571174071441499E-6</v>
      </c>
      <c r="AF252" s="137">
        <f>Transportation_LCIA!J$61*($W252^Transportation_LCIA!J$60)+Transportation_LCIA!J$62</f>
        <v>6.7618339751164165E-3</v>
      </c>
      <c r="AG252" s="137">
        <f>Transportation_LCIA!K$61*($W252^Transportation_LCIA!K$60)+Transportation_LCIA!K$62</f>
        <v>1.0036647213890358E-2</v>
      </c>
      <c r="AH252" s="137">
        <f>Transportation_LCIA!L$61*($W252^Transportation_LCIA!L$60)+Transportation_LCIA!L$62</f>
        <v>1.9038435373879868E-4</v>
      </c>
      <c r="AI252" s="137">
        <f>Transportation_LCIA!M$61*($W252^Transportation_LCIA!M$60)+Transportation_LCIA!M$62</f>
        <v>2.1384473386264609E-4</v>
      </c>
      <c r="AJ252" s="137">
        <f>Transportation_LCIA!N$61*($W252^Transportation_LCIA!N$60)+Transportation_LCIA!N$62</f>
        <v>8.0839367892004054E-4</v>
      </c>
      <c r="AK252" s="137">
        <f>Transportation_LCIA!O$61*($W252^Transportation_LCIA!O$60)+Transportation_LCIA!O$62</f>
        <v>5.067209999252372E-5</v>
      </c>
      <c r="AL252" s="137">
        <f>Transportation_LCIA!P$61*($W252^Transportation_LCIA!P$60)+Transportation_LCIA!P$62</f>
        <v>2.4529050433273688E-8</v>
      </c>
      <c r="AM252" s="137">
        <f>Transportation_LCIA!Q$61*($W252^Transportation_LCIA!Q$60)+Transportation_LCIA!Q$62</f>
        <v>7.5620829602403238E-5</v>
      </c>
      <c r="AN252" s="137">
        <f>Transportation_LCIA!R$61*($W252^Transportation_LCIA!R$60)+Transportation_LCIA!R$62</f>
        <v>2.2005485991627286E-4</v>
      </c>
      <c r="AO252" s="137">
        <f>Transportation_LCIA!S$61*($W252^Transportation_LCIA!S$60)+Transportation_LCIA!S$62</f>
        <v>3.3802166707550345E-6</v>
      </c>
      <c r="AP252" s="137">
        <f>Transportation_LCIA!T$61*($W252^Transportation_LCIA!T$60)+Transportation_LCIA!T$62</f>
        <v>3.3802166707550345E-6</v>
      </c>
      <c r="AQ252" s="137">
        <f>Transportation_LCIA!U$61*($W252^Transportation_LCIA!U$60)+Transportation_LCIA!U$62</f>
        <v>4.6945882310058874E-4</v>
      </c>
      <c r="AR252" s="137">
        <f>Transportation_LCIA!V$61*($W252^Transportation_LCIA!V$60)+Transportation_LCIA!V$62</f>
        <v>1.9671290669076797E-4</v>
      </c>
      <c r="AT252" s="137">
        <f>$W252*Y252+$L252*Summary_LCIA!H$32</f>
        <v>305.53964591701794</v>
      </c>
      <c r="AU252" s="137">
        <f>$W252*Z252+$L252*Summary_LCIA!Q$32</f>
        <v>3144.1932126510228</v>
      </c>
      <c r="AV252" s="137">
        <f>$W252*AA252+$L252*Summary_LCIA!R$32</f>
        <v>1.5105359770995637</v>
      </c>
      <c r="AW252" s="137">
        <f>$W252*AB252+$L252*Summary_LCIA!S$32</f>
        <v>305.34921463701795</v>
      </c>
      <c r="AX252" s="137">
        <f>$W252*AC252+$L252*Summary_LCIA!T$32</f>
        <v>73.350736688292287</v>
      </c>
      <c r="AY252" s="137">
        <f>$W252*AD252+$L252*Summary_LCIA!U$32</f>
        <v>1.0903758244616382</v>
      </c>
      <c r="AZ252" s="137">
        <f>$W252*AE252+$L252*Summary_LCIA!V$32</f>
        <v>8.5922058565402679E-3</v>
      </c>
      <c r="BA252" s="137">
        <f>$W252*AF252+$L252*Summary_LCIA!W$32</f>
        <v>12.982227092773416</v>
      </c>
      <c r="BB252" s="137">
        <f>$W252*AG252+$L252*Summary_LCIA!X$32</f>
        <v>15.32879152427034</v>
      </c>
      <c r="BC252" s="137">
        <f>$W252*AH252+$L252*Summary_LCIA!Y$32</f>
        <v>0.94348838862666395</v>
      </c>
      <c r="BD252" s="137">
        <f>$W252*AI252+$L252*Summary_LCIA!Z$32</f>
        <v>0.30745683079417235</v>
      </c>
      <c r="BE252" s="137">
        <f>$W252*AJ252+$L252*Summary_LCIA!AA$32</f>
        <v>2.1618647062094256</v>
      </c>
      <c r="BF252" s="137">
        <f>$W252*AK252+$L252*Summary_LCIA!AB$32</f>
        <v>7.1495296471539946E-2</v>
      </c>
      <c r="BG252" s="137">
        <f>$W252*AL252+$L252*Summary_LCIA!AC$32</f>
        <v>3.7170275637452815E-5</v>
      </c>
      <c r="BH252" s="137">
        <f>$W252*AM252+$L252*Summary_LCIA!AD$32</f>
        <v>0.12580885267117098</v>
      </c>
      <c r="BI252" s="137">
        <f>$W252*AN252+$L252*Summary_LCIA!AE$32</f>
        <v>0.35274536871700768</v>
      </c>
      <c r="BJ252" s="137">
        <f>$W252*AO252+$L252*Summary_LCIA!AF$32</f>
        <v>4.1256078444948711E-2</v>
      </c>
      <c r="BK252" s="137">
        <f>$W252*AP252+$L252*Summary_LCIA!AG$32</f>
        <v>7.0363960249487109E-3</v>
      </c>
      <c r="BL252" s="137">
        <f>$W252*AQ252+$L252*Summary_LCIA!AH$32</f>
        <v>1.0460749892804708</v>
      </c>
      <c r="BM252" s="137">
        <f>$W252*AR252+$L252*Summary_LCIA!AI$32</f>
        <v>0.32133503625628873</v>
      </c>
    </row>
    <row r="253" spans="1:65" x14ac:dyDescent="0.25">
      <c r="A253" s="149">
        <v>226</v>
      </c>
      <c r="B253" s="149">
        <v>6</v>
      </c>
      <c r="C253" s="61">
        <v>39.755543000000003</v>
      </c>
      <c r="D253" s="61">
        <v>-105.22110000000001</v>
      </c>
      <c r="E253" s="61" t="s">
        <v>265</v>
      </c>
      <c r="F253" s="149">
        <v>16</v>
      </c>
      <c r="G253" s="61" t="s">
        <v>565</v>
      </c>
      <c r="H253" s="61" t="s">
        <v>645</v>
      </c>
      <c r="I253" s="61">
        <v>39.856096000000001</v>
      </c>
      <c r="J253" s="61">
        <v>-104.673738</v>
      </c>
      <c r="K253" s="61">
        <v>48.393650190000002</v>
      </c>
      <c r="L253" s="61">
        <v>58.264000000000003</v>
      </c>
      <c r="M253" s="61" t="s">
        <v>617</v>
      </c>
      <c r="N253" s="149">
        <v>5</v>
      </c>
      <c r="O253" s="149">
        <v>6</v>
      </c>
      <c r="P253" s="61" t="s">
        <v>565</v>
      </c>
      <c r="Q253" s="61" t="s">
        <v>564</v>
      </c>
      <c r="R253" s="61">
        <v>41.98028</v>
      </c>
      <c r="S253" s="61">
        <v>-87.908997900000003</v>
      </c>
      <c r="T253" s="61">
        <v>1623.326</v>
      </c>
      <c r="U253" s="61" t="s">
        <v>617</v>
      </c>
      <c r="V253" s="61" t="s">
        <v>569</v>
      </c>
      <c r="W253" s="61" cm="1">
        <f t="array" ref="W253">getDistance(I253,J253,R253,S253)*SA!$B$12</f>
        <v>1429.4950991616145</v>
      </c>
      <c r="X253" s="61"/>
      <c r="Y253" s="137">
        <f>Transportation_LCIA!C$61*($W253^Transportation_LCIA!C$60)+Transportation_LCIA!C$62</f>
        <v>0.20349821617970421</v>
      </c>
      <c r="Z253" s="137">
        <f>Transportation_LCIA!D$61*($W253^Transportation_LCIA!D$60)+Transportation_LCIA!D$62</f>
        <v>2.0501411564925682</v>
      </c>
      <c r="AA253" s="137">
        <f>Transportation_LCIA!E$61*($W253^Transportation_LCIA!E$60)+Transportation_LCIA!E$62</f>
        <v>8.9799039356792888E-4</v>
      </c>
      <c r="AB253" s="137">
        <f>Transportation_LCIA!F$61*($W253^Transportation_LCIA!F$60)+Transportation_LCIA!F$62</f>
        <v>0.20349821617970421</v>
      </c>
      <c r="AC253" s="137">
        <f>Transportation_LCIA!G$61*($W253^Transportation_LCIA!G$60)+Transportation_LCIA!G$62</f>
        <v>4.8000028211733513E-2</v>
      </c>
      <c r="AD253" s="137">
        <f>Transportation_LCIA!H$61*($W253^Transportation_LCIA!H$60)+Transportation_LCIA!H$62</f>
        <v>2.2285424318591637E-4</v>
      </c>
      <c r="AE253" s="137">
        <f>Transportation_LCIA!I$61*($W253^Transportation_LCIA!I$60)+Transportation_LCIA!I$62</f>
        <v>4.571174071441499E-6</v>
      </c>
      <c r="AF253" s="137">
        <f>Transportation_LCIA!J$61*($W253^Transportation_LCIA!J$60)+Transportation_LCIA!J$62</f>
        <v>6.7618339751164165E-3</v>
      </c>
      <c r="AG253" s="137">
        <f>Transportation_LCIA!K$61*($W253^Transportation_LCIA!K$60)+Transportation_LCIA!K$62</f>
        <v>1.0036647213890358E-2</v>
      </c>
      <c r="AH253" s="137">
        <f>Transportation_LCIA!L$61*($W253^Transportation_LCIA!L$60)+Transportation_LCIA!L$62</f>
        <v>1.9038435373879868E-4</v>
      </c>
      <c r="AI253" s="137">
        <f>Transportation_LCIA!M$61*($W253^Transportation_LCIA!M$60)+Transportation_LCIA!M$62</f>
        <v>2.1384473386264609E-4</v>
      </c>
      <c r="AJ253" s="137">
        <f>Transportation_LCIA!N$61*($W253^Transportation_LCIA!N$60)+Transportation_LCIA!N$62</f>
        <v>8.0839367892004054E-4</v>
      </c>
      <c r="AK253" s="137">
        <f>Transportation_LCIA!O$61*($W253^Transportation_LCIA!O$60)+Transportation_LCIA!O$62</f>
        <v>5.067209999252372E-5</v>
      </c>
      <c r="AL253" s="137">
        <f>Transportation_LCIA!P$61*($W253^Transportation_LCIA!P$60)+Transportation_LCIA!P$62</f>
        <v>2.4529050433273688E-8</v>
      </c>
      <c r="AM253" s="137">
        <f>Transportation_LCIA!Q$61*($W253^Transportation_LCIA!Q$60)+Transportation_LCIA!Q$62</f>
        <v>7.5620829602403238E-5</v>
      </c>
      <c r="AN253" s="137">
        <f>Transportation_LCIA!R$61*($W253^Transportation_LCIA!R$60)+Transportation_LCIA!R$62</f>
        <v>2.2005485991627286E-4</v>
      </c>
      <c r="AO253" s="137">
        <f>Transportation_LCIA!S$61*($W253^Transportation_LCIA!S$60)+Transportation_LCIA!S$62</f>
        <v>3.3802166707550345E-6</v>
      </c>
      <c r="AP253" s="137">
        <f>Transportation_LCIA!T$61*($W253^Transportation_LCIA!T$60)+Transportation_LCIA!T$62</f>
        <v>3.3802166707550345E-6</v>
      </c>
      <c r="AQ253" s="137">
        <f>Transportation_LCIA!U$61*($W253^Transportation_LCIA!U$60)+Transportation_LCIA!U$62</f>
        <v>4.6945882310058874E-4</v>
      </c>
      <c r="AR253" s="137">
        <f>Transportation_LCIA!V$61*($W253^Transportation_LCIA!V$60)+Transportation_LCIA!V$62</f>
        <v>1.9671290669076797E-4</v>
      </c>
      <c r="AT253" s="137">
        <f>$W253*Y253+$L253*Summary_LCIA!H$32</f>
        <v>310.69780991701793</v>
      </c>
      <c r="AU253" s="137">
        <f>$W253*Z253+$L253*Summary_LCIA!Q$32</f>
        <v>3219.4260582239626</v>
      </c>
      <c r="AV253" s="137">
        <f>$W253*AA253+$L253*Summary_LCIA!R$32</f>
        <v>1.5904677850995637</v>
      </c>
      <c r="AW253" s="137">
        <f>$W253*AB253+$L253*Summary_LCIA!S$32</f>
        <v>310.44028303701793</v>
      </c>
      <c r="AX253" s="137">
        <f>$W253*AC253+$L253*Summary_LCIA!T$32</f>
        <v>75.019018688292292</v>
      </c>
      <c r="AY253" s="137">
        <f>$W253*AD253+$L253*Summary_LCIA!U$32</f>
        <v>1.3623103444616382</v>
      </c>
      <c r="AZ253" s="137">
        <f>$W253*AE253+$L253*Summary_LCIA!V$32</f>
        <v>9.3172178365402668E-3</v>
      </c>
      <c r="BA253" s="137">
        <f>$W253*AF253+$L253*Summary_LCIA!W$32</f>
        <v>14.150646872773416</v>
      </c>
      <c r="BB253" s="137">
        <f>$W253*AG253+$L253*Summary_LCIA!X$32</f>
        <v>15.67459192427034</v>
      </c>
      <c r="BC253" s="137">
        <f>$W253*AH253+$L253*Summary_LCIA!Y$32</f>
        <v>1.1800231486266639</v>
      </c>
      <c r="BD253" s="137">
        <f>$W253*AI253+$L253*Summary_LCIA!Z$32</f>
        <v>0.30807934741417237</v>
      </c>
      <c r="BE253" s="137">
        <f>$W253*AJ253+$L253*Summary_LCIA!AA$32</f>
        <v>2.5164087862094258</v>
      </c>
      <c r="BF253" s="137">
        <f>$W253*AK253+$L253*Summary_LCIA!AB$32</f>
        <v>7.1164023331539941E-2</v>
      </c>
      <c r="BG253" s="137">
        <f>$W253*AL253+$L253*Summary_LCIA!AC$32</f>
        <v>3.7912334757452815E-5</v>
      </c>
      <c r="BH253" s="137">
        <f>$W253*AM253+$L253*Summary_LCIA!AD$32</f>
        <v>0.13204843987117096</v>
      </c>
      <c r="BI253" s="137">
        <f>$W253*AN253+$L253*Summary_LCIA!AE$32</f>
        <v>0.36619682211700766</v>
      </c>
      <c r="BJ253" s="137">
        <f>$W253*AO253+$L253*Summary_LCIA!AF$32</f>
        <v>5.4089554044948716E-2</v>
      </c>
      <c r="BK253" s="137">
        <f>$W253*AP253+$L253*Summary_LCIA!AG$32</f>
        <v>7.8130807249487105E-3</v>
      </c>
      <c r="BL253" s="137">
        <f>$W253*AQ253+$L253*Summary_LCIA!AH$32</f>
        <v>1.1781956372804709</v>
      </c>
      <c r="BM253" s="137">
        <f>$W253*AR253+$L253*Summary_LCIA!AI$32</f>
        <v>0.33547596525628876</v>
      </c>
    </row>
    <row r="254" spans="1:65" x14ac:dyDescent="0.25">
      <c r="A254" s="149">
        <v>39</v>
      </c>
      <c r="B254" s="149">
        <v>6</v>
      </c>
      <c r="C254" s="61">
        <v>39.740726000000002</v>
      </c>
      <c r="D254" s="61">
        <v>-105.168615</v>
      </c>
      <c r="E254" s="61" t="s">
        <v>265</v>
      </c>
      <c r="F254" s="149">
        <v>16</v>
      </c>
      <c r="G254" s="61" t="s">
        <v>565</v>
      </c>
      <c r="H254" s="61" t="s">
        <v>645</v>
      </c>
      <c r="I254" s="61">
        <v>39.856096000000001</v>
      </c>
      <c r="J254" s="61">
        <v>-104.673738</v>
      </c>
      <c r="K254" s="61">
        <v>45.014100849999998</v>
      </c>
      <c r="L254" s="61">
        <v>58.618000000000002</v>
      </c>
      <c r="M254" s="61" t="s">
        <v>617</v>
      </c>
      <c r="N254" s="149">
        <v>5</v>
      </c>
      <c r="O254" s="149">
        <v>6</v>
      </c>
      <c r="P254" s="61" t="s">
        <v>565</v>
      </c>
      <c r="Q254" s="61" t="s">
        <v>564</v>
      </c>
      <c r="R254" s="61">
        <v>41.98028</v>
      </c>
      <c r="S254" s="61">
        <v>-87.908997900000003</v>
      </c>
      <c r="T254" s="61">
        <v>1623.68</v>
      </c>
      <c r="U254" s="61" t="s">
        <v>617</v>
      </c>
      <c r="V254" s="61" t="s">
        <v>569</v>
      </c>
      <c r="W254" s="61" cm="1">
        <f t="array" ref="W254">getDistance(I254,J254,R254,S254)*SA!$B$12</f>
        <v>1429.4950991616145</v>
      </c>
      <c r="X254" s="61"/>
      <c r="Y254" s="137">
        <f>Transportation_LCIA!C$61*($W254^Transportation_LCIA!C$60)+Transportation_LCIA!C$62</f>
        <v>0.20349821617970421</v>
      </c>
      <c r="Z254" s="137">
        <f>Transportation_LCIA!D$61*($W254^Transportation_LCIA!D$60)+Transportation_LCIA!D$62</f>
        <v>2.0501411564925682</v>
      </c>
      <c r="AA254" s="137">
        <f>Transportation_LCIA!E$61*($W254^Transportation_LCIA!E$60)+Transportation_LCIA!E$62</f>
        <v>8.9799039356792888E-4</v>
      </c>
      <c r="AB254" s="137">
        <f>Transportation_LCIA!F$61*($W254^Transportation_LCIA!F$60)+Transportation_LCIA!F$62</f>
        <v>0.20349821617970421</v>
      </c>
      <c r="AC254" s="137">
        <f>Transportation_LCIA!G$61*($W254^Transportation_LCIA!G$60)+Transportation_LCIA!G$62</f>
        <v>4.8000028211733513E-2</v>
      </c>
      <c r="AD254" s="137">
        <f>Transportation_LCIA!H$61*($W254^Transportation_LCIA!H$60)+Transportation_LCIA!H$62</f>
        <v>2.2285424318591637E-4</v>
      </c>
      <c r="AE254" s="137">
        <f>Transportation_LCIA!I$61*($W254^Transportation_LCIA!I$60)+Transportation_LCIA!I$62</f>
        <v>4.571174071441499E-6</v>
      </c>
      <c r="AF254" s="137">
        <f>Transportation_LCIA!J$61*($W254^Transportation_LCIA!J$60)+Transportation_LCIA!J$62</f>
        <v>6.7618339751164165E-3</v>
      </c>
      <c r="AG254" s="137">
        <f>Transportation_LCIA!K$61*($W254^Transportation_LCIA!K$60)+Transportation_LCIA!K$62</f>
        <v>1.0036647213890358E-2</v>
      </c>
      <c r="AH254" s="137">
        <f>Transportation_LCIA!L$61*($W254^Transportation_LCIA!L$60)+Transportation_LCIA!L$62</f>
        <v>1.9038435373879868E-4</v>
      </c>
      <c r="AI254" s="137">
        <f>Transportation_LCIA!M$61*($W254^Transportation_LCIA!M$60)+Transportation_LCIA!M$62</f>
        <v>2.1384473386264609E-4</v>
      </c>
      <c r="AJ254" s="137">
        <f>Transportation_LCIA!N$61*($W254^Transportation_LCIA!N$60)+Transportation_LCIA!N$62</f>
        <v>8.0839367892004054E-4</v>
      </c>
      <c r="AK254" s="137">
        <f>Transportation_LCIA!O$61*($W254^Transportation_LCIA!O$60)+Transportation_LCIA!O$62</f>
        <v>5.067209999252372E-5</v>
      </c>
      <c r="AL254" s="137">
        <f>Transportation_LCIA!P$61*($W254^Transportation_LCIA!P$60)+Transportation_LCIA!P$62</f>
        <v>2.4529050433273688E-8</v>
      </c>
      <c r="AM254" s="137">
        <f>Transportation_LCIA!Q$61*($W254^Transportation_LCIA!Q$60)+Transportation_LCIA!Q$62</f>
        <v>7.5620829602403238E-5</v>
      </c>
      <c r="AN254" s="137">
        <f>Transportation_LCIA!R$61*($W254^Transportation_LCIA!R$60)+Transportation_LCIA!R$62</f>
        <v>2.2005485991627286E-4</v>
      </c>
      <c r="AO254" s="137">
        <f>Transportation_LCIA!S$61*($W254^Transportation_LCIA!S$60)+Transportation_LCIA!S$62</f>
        <v>3.3802166707550345E-6</v>
      </c>
      <c r="AP254" s="137">
        <f>Transportation_LCIA!T$61*($W254^Transportation_LCIA!T$60)+Transportation_LCIA!T$62</f>
        <v>3.3802166707550345E-6</v>
      </c>
      <c r="AQ254" s="137">
        <f>Transportation_LCIA!U$61*($W254^Transportation_LCIA!U$60)+Transportation_LCIA!U$62</f>
        <v>4.6945882310058874E-4</v>
      </c>
      <c r="AR254" s="137">
        <f>Transportation_LCIA!V$61*($W254^Transportation_LCIA!V$60)+Transportation_LCIA!V$62</f>
        <v>1.9671290669076797E-4</v>
      </c>
      <c r="AT254" s="137">
        <f>$W254*Y254+$L254*Summary_LCIA!H$32</f>
        <v>310.81809911701794</v>
      </c>
      <c r="AU254" s="137">
        <f>$W254*Z254+$L254*Summary_LCIA!Q$32</f>
        <v>3221.1805000772447</v>
      </c>
      <c r="AV254" s="137">
        <f>$W254*AA254+$L254*Summary_LCIA!R$32</f>
        <v>1.5923318074995636</v>
      </c>
      <c r="AW254" s="137">
        <f>$W254*AB254+$L254*Summary_LCIA!S$32</f>
        <v>310.55900755701794</v>
      </c>
      <c r="AX254" s="137">
        <f>$W254*AC254+$L254*Summary_LCIA!T$32</f>
        <v>75.057923288292287</v>
      </c>
      <c r="AY254" s="137">
        <f>$W254*AD254+$L254*Summary_LCIA!U$32</f>
        <v>1.3686519004616382</v>
      </c>
      <c r="AZ254" s="137">
        <f>$W254*AE254+$L254*Summary_LCIA!V$32</f>
        <v>9.3341252305402661E-3</v>
      </c>
      <c r="BA254" s="137">
        <f>$W254*AF254+$L254*Summary_LCIA!W$32</f>
        <v>14.177894606773416</v>
      </c>
      <c r="BB254" s="137">
        <f>$W254*AG254+$L254*Summary_LCIA!X$32</f>
        <v>15.68265604427034</v>
      </c>
      <c r="BC254" s="137">
        <f>$W254*AH254+$L254*Summary_LCIA!Y$32</f>
        <v>1.1855391766266639</v>
      </c>
      <c r="BD254" s="137">
        <f>$W254*AI254+$L254*Summary_LCIA!Z$32</f>
        <v>0.30809386460017235</v>
      </c>
      <c r="BE254" s="137">
        <f>$W254*AJ254+$L254*Summary_LCIA!AA$32</f>
        <v>2.5246768102094257</v>
      </c>
      <c r="BF254" s="137">
        <f>$W254*AK254+$L254*Summary_LCIA!AB$32</f>
        <v>7.1156297989539943E-2</v>
      </c>
      <c r="BG254" s="137">
        <f>$W254*AL254+$L254*Summary_LCIA!AC$32</f>
        <v>3.7929639693452813E-5</v>
      </c>
      <c r="BH254" s="137">
        <f>$W254*AM254+$L254*Summary_LCIA!AD$32</f>
        <v>0.13219394803117096</v>
      </c>
      <c r="BI254" s="137">
        <f>$W254*AN254+$L254*Summary_LCIA!AE$32</f>
        <v>0.36651051213700769</v>
      </c>
      <c r="BJ254" s="137">
        <f>$W254*AO254+$L254*Summary_LCIA!AF$32</f>
        <v>5.438883272494871E-2</v>
      </c>
      <c r="BK254" s="137">
        <f>$W254*AP254+$L254*Summary_LCIA!AG$32</f>
        <v>7.8311931349487104E-3</v>
      </c>
      <c r="BL254" s="137">
        <f>$W254*AQ254+$L254*Summary_LCIA!AH$32</f>
        <v>1.181276711680471</v>
      </c>
      <c r="BM254" s="137">
        <f>$W254*AR254+$L254*Summary_LCIA!AI$32</f>
        <v>0.33580573395628877</v>
      </c>
    </row>
    <row r="255" spans="1:65" x14ac:dyDescent="0.25">
      <c r="A255" s="149">
        <v>40</v>
      </c>
      <c r="B255" s="149">
        <v>6</v>
      </c>
      <c r="C255" s="61">
        <v>39.740726000000002</v>
      </c>
      <c r="D255" s="61">
        <v>-105.168615</v>
      </c>
      <c r="E255" s="61" t="s">
        <v>265</v>
      </c>
      <c r="F255" s="149">
        <v>16</v>
      </c>
      <c r="G255" s="61" t="s">
        <v>565</v>
      </c>
      <c r="H255" s="61" t="s">
        <v>645</v>
      </c>
      <c r="I255" s="61">
        <v>39.856096000000001</v>
      </c>
      <c r="J255" s="61">
        <v>-104.673738</v>
      </c>
      <c r="K255" s="61">
        <v>45.014100849999998</v>
      </c>
      <c r="L255" s="61">
        <v>58.618000000000002</v>
      </c>
      <c r="M255" s="61" t="s">
        <v>617</v>
      </c>
      <c r="N255" s="149">
        <v>5</v>
      </c>
      <c r="O255" s="149">
        <v>6</v>
      </c>
      <c r="P255" s="61" t="s">
        <v>565</v>
      </c>
      <c r="Q255" s="61" t="s">
        <v>564</v>
      </c>
      <c r="R255" s="61">
        <v>41.98028</v>
      </c>
      <c r="S255" s="61">
        <v>-87.908997900000003</v>
      </c>
      <c r="T255" s="61">
        <v>1623.68</v>
      </c>
      <c r="U255" s="61" t="s">
        <v>617</v>
      </c>
      <c r="V255" s="61" t="s">
        <v>569</v>
      </c>
      <c r="W255" s="61" cm="1">
        <f t="array" ref="W255">getDistance(I255,J255,R255,S255)*SA!$B$12</f>
        <v>1429.4950991616145</v>
      </c>
      <c r="X255" s="61"/>
      <c r="Y255" s="137">
        <f>Transportation_LCIA!C$61*($W255^Transportation_LCIA!C$60)+Transportation_LCIA!C$62</f>
        <v>0.20349821617970421</v>
      </c>
      <c r="Z255" s="137">
        <f>Transportation_LCIA!D$61*($W255^Transportation_LCIA!D$60)+Transportation_LCIA!D$62</f>
        <v>2.0501411564925682</v>
      </c>
      <c r="AA255" s="137">
        <f>Transportation_LCIA!E$61*($W255^Transportation_LCIA!E$60)+Transportation_LCIA!E$62</f>
        <v>8.9799039356792888E-4</v>
      </c>
      <c r="AB255" s="137">
        <f>Transportation_LCIA!F$61*($W255^Transportation_LCIA!F$60)+Transportation_LCIA!F$62</f>
        <v>0.20349821617970421</v>
      </c>
      <c r="AC255" s="137">
        <f>Transportation_LCIA!G$61*($W255^Transportation_LCIA!G$60)+Transportation_LCIA!G$62</f>
        <v>4.8000028211733513E-2</v>
      </c>
      <c r="AD255" s="137">
        <f>Transportation_LCIA!H$61*($W255^Transportation_LCIA!H$60)+Transportation_LCIA!H$62</f>
        <v>2.2285424318591637E-4</v>
      </c>
      <c r="AE255" s="137">
        <f>Transportation_LCIA!I$61*($W255^Transportation_LCIA!I$60)+Transportation_LCIA!I$62</f>
        <v>4.571174071441499E-6</v>
      </c>
      <c r="AF255" s="137">
        <f>Transportation_LCIA!J$61*($W255^Transportation_LCIA!J$60)+Transportation_LCIA!J$62</f>
        <v>6.7618339751164165E-3</v>
      </c>
      <c r="AG255" s="137">
        <f>Transportation_LCIA!K$61*($W255^Transportation_LCIA!K$60)+Transportation_LCIA!K$62</f>
        <v>1.0036647213890358E-2</v>
      </c>
      <c r="AH255" s="137">
        <f>Transportation_LCIA!L$61*($W255^Transportation_LCIA!L$60)+Transportation_LCIA!L$62</f>
        <v>1.9038435373879868E-4</v>
      </c>
      <c r="AI255" s="137">
        <f>Transportation_LCIA!M$61*($W255^Transportation_LCIA!M$60)+Transportation_LCIA!M$62</f>
        <v>2.1384473386264609E-4</v>
      </c>
      <c r="AJ255" s="137">
        <f>Transportation_LCIA!N$61*($W255^Transportation_LCIA!N$60)+Transportation_LCIA!N$62</f>
        <v>8.0839367892004054E-4</v>
      </c>
      <c r="AK255" s="137">
        <f>Transportation_LCIA!O$61*($W255^Transportation_LCIA!O$60)+Transportation_LCIA!O$62</f>
        <v>5.067209999252372E-5</v>
      </c>
      <c r="AL255" s="137">
        <f>Transportation_LCIA!P$61*($W255^Transportation_LCIA!P$60)+Transportation_LCIA!P$62</f>
        <v>2.4529050433273688E-8</v>
      </c>
      <c r="AM255" s="137">
        <f>Transportation_LCIA!Q$61*($W255^Transportation_LCIA!Q$60)+Transportation_LCIA!Q$62</f>
        <v>7.5620829602403238E-5</v>
      </c>
      <c r="AN255" s="137">
        <f>Transportation_LCIA!R$61*($W255^Transportation_LCIA!R$60)+Transportation_LCIA!R$62</f>
        <v>2.2005485991627286E-4</v>
      </c>
      <c r="AO255" s="137">
        <f>Transportation_LCIA!S$61*($W255^Transportation_LCIA!S$60)+Transportation_LCIA!S$62</f>
        <v>3.3802166707550345E-6</v>
      </c>
      <c r="AP255" s="137">
        <f>Transportation_LCIA!T$61*($W255^Transportation_LCIA!T$60)+Transportation_LCIA!T$62</f>
        <v>3.3802166707550345E-6</v>
      </c>
      <c r="AQ255" s="137">
        <f>Transportation_LCIA!U$61*($W255^Transportation_LCIA!U$60)+Transportation_LCIA!U$62</f>
        <v>4.6945882310058874E-4</v>
      </c>
      <c r="AR255" s="137">
        <f>Transportation_LCIA!V$61*($W255^Transportation_LCIA!V$60)+Transportation_LCIA!V$62</f>
        <v>1.9671290669076797E-4</v>
      </c>
      <c r="AT255" s="137">
        <f>$W255*Y255+$L255*Summary_LCIA!H$32</f>
        <v>310.81809911701794</v>
      </c>
      <c r="AU255" s="137">
        <f>$W255*Z255+$L255*Summary_LCIA!Q$32</f>
        <v>3221.1805000772447</v>
      </c>
      <c r="AV255" s="137">
        <f>$W255*AA255+$L255*Summary_LCIA!R$32</f>
        <v>1.5923318074995636</v>
      </c>
      <c r="AW255" s="137">
        <f>$W255*AB255+$L255*Summary_LCIA!S$32</f>
        <v>310.55900755701794</v>
      </c>
      <c r="AX255" s="137">
        <f>$W255*AC255+$L255*Summary_LCIA!T$32</f>
        <v>75.057923288292287</v>
      </c>
      <c r="AY255" s="137">
        <f>$W255*AD255+$L255*Summary_LCIA!U$32</f>
        <v>1.3686519004616382</v>
      </c>
      <c r="AZ255" s="137">
        <f>$W255*AE255+$L255*Summary_LCIA!V$32</f>
        <v>9.3341252305402661E-3</v>
      </c>
      <c r="BA255" s="137">
        <f>$W255*AF255+$L255*Summary_LCIA!W$32</f>
        <v>14.177894606773416</v>
      </c>
      <c r="BB255" s="137">
        <f>$W255*AG255+$L255*Summary_LCIA!X$32</f>
        <v>15.68265604427034</v>
      </c>
      <c r="BC255" s="137">
        <f>$W255*AH255+$L255*Summary_LCIA!Y$32</f>
        <v>1.1855391766266639</v>
      </c>
      <c r="BD255" s="137">
        <f>$W255*AI255+$L255*Summary_LCIA!Z$32</f>
        <v>0.30809386460017235</v>
      </c>
      <c r="BE255" s="137">
        <f>$W255*AJ255+$L255*Summary_LCIA!AA$32</f>
        <v>2.5246768102094257</v>
      </c>
      <c r="BF255" s="137">
        <f>$W255*AK255+$L255*Summary_LCIA!AB$32</f>
        <v>7.1156297989539943E-2</v>
      </c>
      <c r="BG255" s="137">
        <f>$W255*AL255+$L255*Summary_LCIA!AC$32</f>
        <v>3.7929639693452813E-5</v>
      </c>
      <c r="BH255" s="137">
        <f>$W255*AM255+$L255*Summary_LCIA!AD$32</f>
        <v>0.13219394803117096</v>
      </c>
      <c r="BI255" s="137">
        <f>$W255*AN255+$L255*Summary_LCIA!AE$32</f>
        <v>0.36651051213700769</v>
      </c>
      <c r="BJ255" s="137">
        <f>$W255*AO255+$L255*Summary_LCIA!AF$32</f>
        <v>5.438883272494871E-2</v>
      </c>
      <c r="BK255" s="137">
        <f>$W255*AP255+$L255*Summary_LCIA!AG$32</f>
        <v>7.8311931349487104E-3</v>
      </c>
      <c r="BL255" s="137">
        <f>$W255*AQ255+$L255*Summary_LCIA!AH$32</f>
        <v>1.181276711680471</v>
      </c>
      <c r="BM255" s="137">
        <f>$W255*AR255+$L255*Summary_LCIA!AI$32</f>
        <v>0.33580573395628877</v>
      </c>
    </row>
    <row r="256" spans="1:65" x14ac:dyDescent="0.25">
      <c r="A256" s="149">
        <v>36</v>
      </c>
      <c r="B256" s="149">
        <v>6</v>
      </c>
      <c r="C256" s="61">
        <v>39.750858999999998</v>
      </c>
      <c r="D256" s="61">
        <v>-105.22386899999999</v>
      </c>
      <c r="E256" s="61" t="s">
        <v>265</v>
      </c>
      <c r="F256" s="149">
        <v>16</v>
      </c>
      <c r="G256" s="61" t="s">
        <v>565</v>
      </c>
      <c r="H256" s="61" t="s">
        <v>645</v>
      </c>
      <c r="I256" s="61">
        <v>39.856096000000001</v>
      </c>
      <c r="J256" s="61">
        <v>-104.673738</v>
      </c>
      <c r="K256" s="61">
        <v>48.817587850000002</v>
      </c>
      <c r="L256" s="61">
        <v>58.978000000000002</v>
      </c>
      <c r="M256" s="61" t="s">
        <v>617</v>
      </c>
      <c r="N256" s="149">
        <v>5</v>
      </c>
      <c r="O256" s="149">
        <v>6</v>
      </c>
      <c r="P256" s="61" t="s">
        <v>565</v>
      </c>
      <c r="Q256" s="61" t="s">
        <v>564</v>
      </c>
      <c r="R256" s="61">
        <v>41.98028</v>
      </c>
      <c r="S256" s="61">
        <v>-87.908997900000003</v>
      </c>
      <c r="T256" s="61">
        <v>1624.04</v>
      </c>
      <c r="U256" s="61" t="s">
        <v>617</v>
      </c>
      <c r="V256" s="61" t="s">
        <v>569</v>
      </c>
      <c r="W256" s="61" cm="1">
        <f t="array" ref="W256">getDistance(I256,J256,R256,S256)*SA!$B$12</f>
        <v>1429.4950991616145</v>
      </c>
      <c r="X256" s="61"/>
      <c r="Y256" s="137">
        <f>Transportation_LCIA!C$61*($W256^Transportation_LCIA!C$60)+Transportation_LCIA!C$62</f>
        <v>0.20349821617970421</v>
      </c>
      <c r="Z256" s="137">
        <f>Transportation_LCIA!D$61*($W256^Transportation_LCIA!D$60)+Transportation_LCIA!D$62</f>
        <v>2.0501411564925682</v>
      </c>
      <c r="AA256" s="137">
        <f>Transportation_LCIA!E$61*($W256^Transportation_LCIA!E$60)+Transportation_LCIA!E$62</f>
        <v>8.9799039356792888E-4</v>
      </c>
      <c r="AB256" s="137">
        <f>Transportation_LCIA!F$61*($W256^Transportation_LCIA!F$60)+Transportation_LCIA!F$62</f>
        <v>0.20349821617970421</v>
      </c>
      <c r="AC256" s="137">
        <f>Transportation_LCIA!G$61*($W256^Transportation_LCIA!G$60)+Transportation_LCIA!G$62</f>
        <v>4.8000028211733513E-2</v>
      </c>
      <c r="AD256" s="137">
        <f>Transportation_LCIA!H$61*($W256^Transportation_LCIA!H$60)+Transportation_LCIA!H$62</f>
        <v>2.2285424318591637E-4</v>
      </c>
      <c r="AE256" s="137">
        <f>Transportation_LCIA!I$61*($W256^Transportation_LCIA!I$60)+Transportation_LCIA!I$62</f>
        <v>4.571174071441499E-6</v>
      </c>
      <c r="AF256" s="137">
        <f>Transportation_LCIA!J$61*($W256^Transportation_LCIA!J$60)+Transportation_LCIA!J$62</f>
        <v>6.7618339751164165E-3</v>
      </c>
      <c r="AG256" s="137">
        <f>Transportation_LCIA!K$61*($W256^Transportation_LCIA!K$60)+Transportation_LCIA!K$62</f>
        <v>1.0036647213890358E-2</v>
      </c>
      <c r="AH256" s="137">
        <f>Transportation_LCIA!L$61*($W256^Transportation_LCIA!L$60)+Transportation_LCIA!L$62</f>
        <v>1.9038435373879868E-4</v>
      </c>
      <c r="AI256" s="137">
        <f>Transportation_LCIA!M$61*($W256^Transportation_LCIA!M$60)+Transportation_LCIA!M$62</f>
        <v>2.1384473386264609E-4</v>
      </c>
      <c r="AJ256" s="137">
        <f>Transportation_LCIA!N$61*($W256^Transportation_LCIA!N$60)+Transportation_LCIA!N$62</f>
        <v>8.0839367892004054E-4</v>
      </c>
      <c r="AK256" s="137">
        <f>Transportation_LCIA!O$61*($W256^Transportation_LCIA!O$60)+Transportation_LCIA!O$62</f>
        <v>5.067209999252372E-5</v>
      </c>
      <c r="AL256" s="137">
        <f>Transportation_LCIA!P$61*($W256^Transportation_LCIA!P$60)+Transportation_LCIA!P$62</f>
        <v>2.4529050433273688E-8</v>
      </c>
      <c r="AM256" s="137">
        <f>Transportation_LCIA!Q$61*($W256^Transportation_LCIA!Q$60)+Transportation_LCIA!Q$62</f>
        <v>7.5620829602403238E-5</v>
      </c>
      <c r="AN256" s="137">
        <f>Transportation_LCIA!R$61*($W256^Transportation_LCIA!R$60)+Transportation_LCIA!R$62</f>
        <v>2.2005485991627286E-4</v>
      </c>
      <c r="AO256" s="137">
        <f>Transportation_LCIA!S$61*($W256^Transportation_LCIA!S$60)+Transportation_LCIA!S$62</f>
        <v>3.3802166707550345E-6</v>
      </c>
      <c r="AP256" s="137">
        <f>Transportation_LCIA!T$61*($W256^Transportation_LCIA!T$60)+Transportation_LCIA!T$62</f>
        <v>3.3802166707550345E-6</v>
      </c>
      <c r="AQ256" s="137">
        <f>Transportation_LCIA!U$61*($W256^Transportation_LCIA!U$60)+Transportation_LCIA!U$62</f>
        <v>4.6945882310058874E-4</v>
      </c>
      <c r="AR256" s="137">
        <f>Transportation_LCIA!V$61*($W256^Transportation_LCIA!V$60)+Transportation_LCIA!V$62</f>
        <v>1.9671290669076797E-4</v>
      </c>
      <c r="AT256" s="137">
        <f>$W256*Y256+$L256*Summary_LCIA!H$32</f>
        <v>310.94042711701792</v>
      </c>
      <c r="AU256" s="137">
        <f>$W256*Z256+$L256*Summary_LCIA!Q$32</f>
        <v>3222.9646782331247</v>
      </c>
      <c r="AV256" s="137">
        <f>$W256*AA256+$L256*Summary_LCIA!R$32</f>
        <v>1.5942274234995635</v>
      </c>
      <c r="AW256" s="137">
        <f>$W256*AB256+$L256*Summary_LCIA!S$32</f>
        <v>310.67974435701791</v>
      </c>
      <c r="AX256" s="137">
        <f>$W256*AC256+$L256*Summary_LCIA!T$32</f>
        <v>75.097487288292285</v>
      </c>
      <c r="AY256" s="137">
        <f>$W256*AD256+$L256*Summary_LCIA!U$32</f>
        <v>1.3751009404616381</v>
      </c>
      <c r="AZ256" s="137">
        <f>$W256*AE256+$L256*Summary_LCIA!V$32</f>
        <v>9.3513191905402679E-3</v>
      </c>
      <c r="BA256" s="137">
        <f>$W256*AF256+$L256*Summary_LCIA!W$32</f>
        <v>14.205604166773416</v>
      </c>
      <c r="BB256" s="137">
        <f>$W256*AG256+$L256*Summary_LCIA!X$32</f>
        <v>15.690856844270339</v>
      </c>
      <c r="BC256" s="137">
        <f>$W256*AH256+$L256*Summary_LCIA!Y$32</f>
        <v>1.191148696626664</v>
      </c>
      <c r="BD256" s="137">
        <f>$W256*AI256+$L256*Summary_LCIA!Z$32</f>
        <v>0.30810862784017234</v>
      </c>
      <c r="BE256" s="137">
        <f>$W256*AJ256+$L256*Summary_LCIA!AA$32</f>
        <v>2.5330849702094258</v>
      </c>
      <c r="BF256" s="137">
        <f>$W256*AK256+$L256*Summary_LCIA!AB$32</f>
        <v>7.1148441709539947E-2</v>
      </c>
      <c r="BG256" s="137">
        <f>$W256*AL256+$L256*Summary_LCIA!AC$32</f>
        <v>3.7947237933452815E-5</v>
      </c>
      <c r="BH256" s="137">
        <f>$W256*AM256+$L256*Summary_LCIA!AD$32</f>
        <v>0.13234192243117096</v>
      </c>
      <c r="BI256" s="137">
        <f>$W256*AN256+$L256*Summary_LCIA!AE$32</f>
        <v>0.36682951893700766</v>
      </c>
      <c r="BJ256" s="137">
        <f>$W256*AO256+$L256*Summary_LCIA!AF$32</f>
        <v>5.4693183924948714E-2</v>
      </c>
      <c r="BK256" s="137">
        <f>$W256*AP256+$L256*Summary_LCIA!AG$32</f>
        <v>7.8496125349487109E-3</v>
      </c>
      <c r="BL256" s="137">
        <f>$W256*AQ256+$L256*Summary_LCIA!AH$32</f>
        <v>1.1844100076804709</v>
      </c>
      <c r="BM256" s="137">
        <f>$W256*AR256+$L256*Summary_LCIA!AI$32</f>
        <v>0.33614109195628872</v>
      </c>
    </row>
    <row r="257" spans="1:65" x14ac:dyDescent="0.25">
      <c r="A257" s="149">
        <v>37</v>
      </c>
      <c r="B257" s="149">
        <v>6</v>
      </c>
      <c r="C257" s="61">
        <v>39.750858999999998</v>
      </c>
      <c r="D257" s="61">
        <v>-105.22386899999999</v>
      </c>
      <c r="E257" s="61" t="s">
        <v>265</v>
      </c>
      <c r="F257" s="149">
        <v>16</v>
      </c>
      <c r="G257" s="61" t="s">
        <v>565</v>
      </c>
      <c r="H257" s="61" t="s">
        <v>645</v>
      </c>
      <c r="I257" s="61">
        <v>39.856096000000001</v>
      </c>
      <c r="J257" s="61">
        <v>-104.673738</v>
      </c>
      <c r="K257" s="61">
        <v>48.817587850000002</v>
      </c>
      <c r="L257" s="61">
        <v>58.978000000000002</v>
      </c>
      <c r="M257" s="61" t="s">
        <v>617</v>
      </c>
      <c r="N257" s="149">
        <v>5</v>
      </c>
      <c r="O257" s="149">
        <v>6</v>
      </c>
      <c r="P257" s="61" t="s">
        <v>565</v>
      </c>
      <c r="Q257" s="61" t="s">
        <v>564</v>
      </c>
      <c r="R257" s="61">
        <v>41.98028</v>
      </c>
      <c r="S257" s="61">
        <v>-87.908997900000003</v>
      </c>
      <c r="T257" s="61">
        <v>1624.04</v>
      </c>
      <c r="U257" s="61" t="s">
        <v>617</v>
      </c>
      <c r="V257" s="61" t="s">
        <v>569</v>
      </c>
      <c r="W257" s="61" cm="1">
        <f t="array" ref="W257">getDistance(I257,J257,R257,S257)*SA!$B$12</f>
        <v>1429.4950991616145</v>
      </c>
      <c r="X257" s="61"/>
      <c r="Y257" s="137">
        <f>Transportation_LCIA!C$61*($W257^Transportation_LCIA!C$60)+Transportation_LCIA!C$62</f>
        <v>0.20349821617970421</v>
      </c>
      <c r="Z257" s="137">
        <f>Transportation_LCIA!D$61*($W257^Transportation_LCIA!D$60)+Transportation_LCIA!D$62</f>
        <v>2.0501411564925682</v>
      </c>
      <c r="AA257" s="137">
        <f>Transportation_LCIA!E$61*($W257^Transportation_LCIA!E$60)+Transportation_LCIA!E$62</f>
        <v>8.9799039356792888E-4</v>
      </c>
      <c r="AB257" s="137">
        <f>Transportation_LCIA!F$61*($W257^Transportation_LCIA!F$60)+Transportation_LCIA!F$62</f>
        <v>0.20349821617970421</v>
      </c>
      <c r="AC257" s="137">
        <f>Transportation_LCIA!G$61*($W257^Transportation_LCIA!G$60)+Transportation_LCIA!G$62</f>
        <v>4.8000028211733513E-2</v>
      </c>
      <c r="AD257" s="137">
        <f>Transportation_LCIA!H$61*($W257^Transportation_LCIA!H$60)+Transportation_LCIA!H$62</f>
        <v>2.2285424318591637E-4</v>
      </c>
      <c r="AE257" s="137">
        <f>Transportation_LCIA!I$61*($W257^Transportation_LCIA!I$60)+Transportation_LCIA!I$62</f>
        <v>4.571174071441499E-6</v>
      </c>
      <c r="AF257" s="137">
        <f>Transportation_LCIA!J$61*($W257^Transportation_LCIA!J$60)+Transportation_LCIA!J$62</f>
        <v>6.7618339751164165E-3</v>
      </c>
      <c r="AG257" s="137">
        <f>Transportation_LCIA!K$61*($W257^Transportation_LCIA!K$60)+Transportation_LCIA!K$62</f>
        <v>1.0036647213890358E-2</v>
      </c>
      <c r="AH257" s="137">
        <f>Transportation_LCIA!L$61*($W257^Transportation_LCIA!L$60)+Transportation_LCIA!L$62</f>
        <v>1.9038435373879868E-4</v>
      </c>
      <c r="AI257" s="137">
        <f>Transportation_LCIA!M$61*($W257^Transportation_LCIA!M$60)+Transportation_LCIA!M$62</f>
        <v>2.1384473386264609E-4</v>
      </c>
      <c r="AJ257" s="137">
        <f>Transportation_LCIA!N$61*($W257^Transportation_LCIA!N$60)+Transportation_LCIA!N$62</f>
        <v>8.0839367892004054E-4</v>
      </c>
      <c r="AK257" s="137">
        <f>Transportation_LCIA!O$61*($W257^Transportation_LCIA!O$60)+Transportation_LCIA!O$62</f>
        <v>5.067209999252372E-5</v>
      </c>
      <c r="AL257" s="137">
        <f>Transportation_LCIA!P$61*($W257^Transportation_LCIA!P$60)+Transportation_LCIA!P$62</f>
        <v>2.4529050433273688E-8</v>
      </c>
      <c r="AM257" s="137">
        <f>Transportation_LCIA!Q$61*($W257^Transportation_LCIA!Q$60)+Transportation_LCIA!Q$62</f>
        <v>7.5620829602403238E-5</v>
      </c>
      <c r="AN257" s="137">
        <f>Transportation_LCIA!R$61*($W257^Transportation_LCIA!R$60)+Transportation_LCIA!R$62</f>
        <v>2.2005485991627286E-4</v>
      </c>
      <c r="AO257" s="137">
        <f>Transportation_LCIA!S$61*($W257^Transportation_LCIA!S$60)+Transportation_LCIA!S$62</f>
        <v>3.3802166707550345E-6</v>
      </c>
      <c r="AP257" s="137">
        <f>Transportation_LCIA!T$61*($W257^Transportation_LCIA!T$60)+Transportation_LCIA!T$62</f>
        <v>3.3802166707550345E-6</v>
      </c>
      <c r="AQ257" s="137">
        <f>Transportation_LCIA!U$61*($W257^Transportation_LCIA!U$60)+Transportation_LCIA!U$62</f>
        <v>4.6945882310058874E-4</v>
      </c>
      <c r="AR257" s="137">
        <f>Transportation_LCIA!V$61*($W257^Transportation_LCIA!V$60)+Transportation_LCIA!V$62</f>
        <v>1.9671290669076797E-4</v>
      </c>
      <c r="AT257" s="137">
        <f>$W257*Y257+$L257*Summary_LCIA!H$32</f>
        <v>310.94042711701792</v>
      </c>
      <c r="AU257" s="137">
        <f>$W257*Z257+$L257*Summary_LCIA!Q$32</f>
        <v>3222.9646782331247</v>
      </c>
      <c r="AV257" s="137">
        <f>$W257*AA257+$L257*Summary_LCIA!R$32</f>
        <v>1.5942274234995635</v>
      </c>
      <c r="AW257" s="137">
        <f>$W257*AB257+$L257*Summary_LCIA!S$32</f>
        <v>310.67974435701791</v>
      </c>
      <c r="AX257" s="137">
        <f>$W257*AC257+$L257*Summary_LCIA!T$32</f>
        <v>75.097487288292285</v>
      </c>
      <c r="AY257" s="137">
        <f>$W257*AD257+$L257*Summary_LCIA!U$32</f>
        <v>1.3751009404616381</v>
      </c>
      <c r="AZ257" s="137">
        <f>$W257*AE257+$L257*Summary_LCIA!V$32</f>
        <v>9.3513191905402679E-3</v>
      </c>
      <c r="BA257" s="137">
        <f>$W257*AF257+$L257*Summary_LCIA!W$32</f>
        <v>14.205604166773416</v>
      </c>
      <c r="BB257" s="137">
        <f>$W257*AG257+$L257*Summary_LCIA!X$32</f>
        <v>15.690856844270339</v>
      </c>
      <c r="BC257" s="137">
        <f>$W257*AH257+$L257*Summary_LCIA!Y$32</f>
        <v>1.191148696626664</v>
      </c>
      <c r="BD257" s="137">
        <f>$W257*AI257+$L257*Summary_LCIA!Z$32</f>
        <v>0.30810862784017234</v>
      </c>
      <c r="BE257" s="137">
        <f>$W257*AJ257+$L257*Summary_LCIA!AA$32</f>
        <v>2.5330849702094258</v>
      </c>
      <c r="BF257" s="137">
        <f>$W257*AK257+$L257*Summary_LCIA!AB$32</f>
        <v>7.1148441709539947E-2</v>
      </c>
      <c r="BG257" s="137">
        <f>$W257*AL257+$L257*Summary_LCIA!AC$32</f>
        <v>3.7947237933452815E-5</v>
      </c>
      <c r="BH257" s="137">
        <f>$W257*AM257+$L257*Summary_LCIA!AD$32</f>
        <v>0.13234192243117096</v>
      </c>
      <c r="BI257" s="137">
        <f>$W257*AN257+$L257*Summary_LCIA!AE$32</f>
        <v>0.36682951893700766</v>
      </c>
      <c r="BJ257" s="137">
        <f>$W257*AO257+$L257*Summary_LCIA!AF$32</f>
        <v>5.4693183924948714E-2</v>
      </c>
      <c r="BK257" s="137">
        <f>$W257*AP257+$L257*Summary_LCIA!AG$32</f>
        <v>7.8496125349487109E-3</v>
      </c>
      <c r="BL257" s="137">
        <f>$W257*AQ257+$L257*Summary_LCIA!AH$32</f>
        <v>1.1844100076804709</v>
      </c>
      <c r="BM257" s="137">
        <f>$W257*AR257+$L257*Summary_LCIA!AI$32</f>
        <v>0.33614109195628872</v>
      </c>
    </row>
    <row r="258" spans="1:65" x14ac:dyDescent="0.25">
      <c r="A258" s="149">
        <v>38</v>
      </c>
      <c r="B258" s="149">
        <v>6</v>
      </c>
      <c r="C258" s="61">
        <v>39.750858999999998</v>
      </c>
      <c r="D258" s="61">
        <v>-105.22386899999999</v>
      </c>
      <c r="E258" s="61" t="s">
        <v>265</v>
      </c>
      <c r="F258" s="149">
        <v>16</v>
      </c>
      <c r="G258" s="61" t="s">
        <v>565</v>
      </c>
      <c r="H258" s="61" t="s">
        <v>645</v>
      </c>
      <c r="I258" s="61">
        <v>39.856096000000001</v>
      </c>
      <c r="J258" s="61">
        <v>-104.673738</v>
      </c>
      <c r="K258" s="61">
        <v>48.817587850000002</v>
      </c>
      <c r="L258" s="61">
        <v>58.978000000000002</v>
      </c>
      <c r="M258" s="61" t="s">
        <v>617</v>
      </c>
      <c r="N258" s="149">
        <v>5</v>
      </c>
      <c r="O258" s="149">
        <v>6</v>
      </c>
      <c r="P258" s="61" t="s">
        <v>565</v>
      </c>
      <c r="Q258" s="61" t="s">
        <v>564</v>
      </c>
      <c r="R258" s="61">
        <v>41.98028</v>
      </c>
      <c r="S258" s="61">
        <v>-87.908997900000003</v>
      </c>
      <c r="T258" s="61">
        <v>1624.04</v>
      </c>
      <c r="U258" s="61" t="s">
        <v>617</v>
      </c>
      <c r="V258" s="61" t="s">
        <v>569</v>
      </c>
      <c r="W258" s="61" cm="1">
        <f t="array" ref="W258">getDistance(I258,J258,R258,S258)*SA!$B$12</f>
        <v>1429.4950991616145</v>
      </c>
      <c r="X258" s="61"/>
      <c r="Y258" s="137">
        <f>Transportation_LCIA!C$61*($W258^Transportation_LCIA!C$60)+Transportation_LCIA!C$62</f>
        <v>0.20349821617970421</v>
      </c>
      <c r="Z258" s="137">
        <f>Transportation_LCIA!D$61*($W258^Transportation_LCIA!D$60)+Transportation_LCIA!D$62</f>
        <v>2.0501411564925682</v>
      </c>
      <c r="AA258" s="137">
        <f>Transportation_LCIA!E$61*($W258^Transportation_LCIA!E$60)+Transportation_LCIA!E$62</f>
        <v>8.9799039356792888E-4</v>
      </c>
      <c r="AB258" s="137">
        <f>Transportation_LCIA!F$61*($W258^Transportation_LCIA!F$60)+Transportation_LCIA!F$62</f>
        <v>0.20349821617970421</v>
      </c>
      <c r="AC258" s="137">
        <f>Transportation_LCIA!G$61*($W258^Transportation_LCIA!G$60)+Transportation_LCIA!G$62</f>
        <v>4.8000028211733513E-2</v>
      </c>
      <c r="AD258" s="137">
        <f>Transportation_LCIA!H$61*($W258^Transportation_LCIA!H$60)+Transportation_LCIA!H$62</f>
        <v>2.2285424318591637E-4</v>
      </c>
      <c r="AE258" s="137">
        <f>Transportation_LCIA!I$61*($W258^Transportation_LCIA!I$60)+Transportation_LCIA!I$62</f>
        <v>4.571174071441499E-6</v>
      </c>
      <c r="AF258" s="137">
        <f>Transportation_LCIA!J$61*($W258^Transportation_LCIA!J$60)+Transportation_LCIA!J$62</f>
        <v>6.7618339751164165E-3</v>
      </c>
      <c r="AG258" s="137">
        <f>Transportation_LCIA!K$61*($W258^Transportation_LCIA!K$60)+Transportation_LCIA!K$62</f>
        <v>1.0036647213890358E-2</v>
      </c>
      <c r="AH258" s="137">
        <f>Transportation_LCIA!L$61*($W258^Transportation_LCIA!L$60)+Transportation_LCIA!L$62</f>
        <v>1.9038435373879868E-4</v>
      </c>
      <c r="AI258" s="137">
        <f>Transportation_LCIA!M$61*($W258^Transportation_LCIA!M$60)+Transportation_LCIA!M$62</f>
        <v>2.1384473386264609E-4</v>
      </c>
      <c r="AJ258" s="137">
        <f>Transportation_LCIA!N$61*($W258^Transportation_LCIA!N$60)+Transportation_LCIA!N$62</f>
        <v>8.0839367892004054E-4</v>
      </c>
      <c r="AK258" s="137">
        <f>Transportation_LCIA!O$61*($W258^Transportation_LCIA!O$60)+Transportation_LCIA!O$62</f>
        <v>5.067209999252372E-5</v>
      </c>
      <c r="AL258" s="137">
        <f>Transportation_LCIA!P$61*($W258^Transportation_LCIA!P$60)+Transportation_LCIA!P$62</f>
        <v>2.4529050433273688E-8</v>
      </c>
      <c r="AM258" s="137">
        <f>Transportation_LCIA!Q$61*($W258^Transportation_LCIA!Q$60)+Transportation_LCIA!Q$62</f>
        <v>7.5620829602403238E-5</v>
      </c>
      <c r="AN258" s="137">
        <f>Transportation_LCIA!R$61*($W258^Transportation_LCIA!R$60)+Transportation_LCIA!R$62</f>
        <v>2.2005485991627286E-4</v>
      </c>
      <c r="AO258" s="137">
        <f>Transportation_LCIA!S$61*($W258^Transportation_LCIA!S$60)+Transportation_LCIA!S$62</f>
        <v>3.3802166707550345E-6</v>
      </c>
      <c r="AP258" s="137">
        <f>Transportation_LCIA!T$61*($W258^Transportation_LCIA!T$60)+Transportation_LCIA!T$62</f>
        <v>3.3802166707550345E-6</v>
      </c>
      <c r="AQ258" s="137">
        <f>Transportation_LCIA!U$61*($W258^Transportation_LCIA!U$60)+Transportation_LCIA!U$62</f>
        <v>4.6945882310058874E-4</v>
      </c>
      <c r="AR258" s="137">
        <f>Transportation_LCIA!V$61*($W258^Transportation_LCIA!V$60)+Transportation_LCIA!V$62</f>
        <v>1.9671290669076797E-4</v>
      </c>
      <c r="AT258" s="137">
        <f>$W258*Y258+$L258*Summary_LCIA!H$32</f>
        <v>310.94042711701792</v>
      </c>
      <c r="AU258" s="137">
        <f>$W258*Z258+$L258*Summary_LCIA!Q$32</f>
        <v>3222.9646782331247</v>
      </c>
      <c r="AV258" s="137">
        <f>$W258*AA258+$L258*Summary_LCIA!R$32</f>
        <v>1.5942274234995635</v>
      </c>
      <c r="AW258" s="137">
        <f>$W258*AB258+$L258*Summary_LCIA!S$32</f>
        <v>310.67974435701791</v>
      </c>
      <c r="AX258" s="137">
        <f>$W258*AC258+$L258*Summary_LCIA!T$32</f>
        <v>75.097487288292285</v>
      </c>
      <c r="AY258" s="137">
        <f>$W258*AD258+$L258*Summary_LCIA!U$32</f>
        <v>1.3751009404616381</v>
      </c>
      <c r="AZ258" s="137">
        <f>$W258*AE258+$L258*Summary_LCIA!V$32</f>
        <v>9.3513191905402679E-3</v>
      </c>
      <c r="BA258" s="137">
        <f>$W258*AF258+$L258*Summary_LCIA!W$32</f>
        <v>14.205604166773416</v>
      </c>
      <c r="BB258" s="137">
        <f>$W258*AG258+$L258*Summary_LCIA!X$32</f>
        <v>15.690856844270339</v>
      </c>
      <c r="BC258" s="137">
        <f>$W258*AH258+$L258*Summary_LCIA!Y$32</f>
        <v>1.191148696626664</v>
      </c>
      <c r="BD258" s="137">
        <f>$W258*AI258+$L258*Summary_LCIA!Z$32</f>
        <v>0.30810862784017234</v>
      </c>
      <c r="BE258" s="137">
        <f>$W258*AJ258+$L258*Summary_LCIA!AA$32</f>
        <v>2.5330849702094258</v>
      </c>
      <c r="BF258" s="137">
        <f>$W258*AK258+$L258*Summary_LCIA!AB$32</f>
        <v>7.1148441709539947E-2</v>
      </c>
      <c r="BG258" s="137">
        <f>$W258*AL258+$L258*Summary_LCIA!AC$32</f>
        <v>3.7947237933452815E-5</v>
      </c>
      <c r="BH258" s="137">
        <f>$W258*AM258+$L258*Summary_LCIA!AD$32</f>
        <v>0.13234192243117096</v>
      </c>
      <c r="BI258" s="137">
        <f>$W258*AN258+$L258*Summary_LCIA!AE$32</f>
        <v>0.36682951893700766</v>
      </c>
      <c r="BJ258" s="137">
        <f>$W258*AO258+$L258*Summary_LCIA!AF$32</f>
        <v>5.4693183924948714E-2</v>
      </c>
      <c r="BK258" s="137">
        <f>$W258*AP258+$L258*Summary_LCIA!AG$32</f>
        <v>7.8496125349487109E-3</v>
      </c>
      <c r="BL258" s="137">
        <f>$W258*AQ258+$L258*Summary_LCIA!AH$32</f>
        <v>1.1844100076804709</v>
      </c>
      <c r="BM258" s="137">
        <f>$W258*AR258+$L258*Summary_LCIA!AI$32</f>
        <v>0.33614109195628872</v>
      </c>
    </row>
    <row r="259" spans="1:65" x14ac:dyDescent="0.25">
      <c r="A259" s="149">
        <v>355</v>
      </c>
      <c r="B259" s="149">
        <v>6</v>
      </c>
      <c r="C259" s="61">
        <v>42.470944000000003</v>
      </c>
      <c r="D259" s="61">
        <v>-70.917556000000005</v>
      </c>
      <c r="E259" s="61" t="s">
        <v>265</v>
      </c>
      <c r="F259" s="149">
        <v>53</v>
      </c>
      <c r="G259" s="61" t="s">
        <v>565</v>
      </c>
      <c r="H259" s="61" t="s">
        <v>634</v>
      </c>
      <c r="I259" s="61">
        <v>42.365613000000003</v>
      </c>
      <c r="J259" s="61">
        <v>-71.009559999999993</v>
      </c>
      <c r="K259" s="61">
        <v>18.548969249999999</v>
      </c>
      <c r="L259" s="61">
        <v>17.323</v>
      </c>
      <c r="M259" s="61" t="s">
        <v>617</v>
      </c>
      <c r="N259" s="149">
        <v>5</v>
      </c>
      <c r="O259" s="149">
        <v>6</v>
      </c>
      <c r="P259" s="61" t="s">
        <v>565</v>
      </c>
      <c r="Q259" s="61" t="s">
        <v>564</v>
      </c>
      <c r="R259" s="61">
        <v>41.98028</v>
      </c>
      <c r="S259" s="61">
        <v>-87.908997900000003</v>
      </c>
      <c r="T259" s="61">
        <v>1627.373</v>
      </c>
      <c r="U259" s="61" t="s">
        <v>617</v>
      </c>
      <c r="V259" s="61" t="s">
        <v>569</v>
      </c>
      <c r="W259" s="61" cm="1">
        <f t="array" ref="W259">getDistance(I259,J259,R259,S259)*SA!$B$12</f>
        <v>1394.7010754672544</v>
      </c>
      <c r="X259" s="61"/>
      <c r="Y259" s="137">
        <f>Transportation_LCIA!C$61*($W259^Transportation_LCIA!C$60)+Transportation_LCIA!C$62</f>
        <v>0.20541169071553828</v>
      </c>
      <c r="Z259" s="137">
        <f>Transportation_LCIA!D$61*($W259^Transportation_LCIA!D$60)+Transportation_LCIA!D$62</f>
        <v>2.0721352010636895</v>
      </c>
      <c r="AA259" s="137">
        <f>Transportation_LCIA!E$61*($W259^Transportation_LCIA!E$60)+Transportation_LCIA!E$62</f>
        <v>9.1238963377472367E-4</v>
      </c>
      <c r="AB259" s="137">
        <f>Transportation_LCIA!F$61*($W259^Transportation_LCIA!F$60)+Transportation_LCIA!F$62</f>
        <v>0.20541169071553828</v>
      </c>
      <c r="AC259" s="137">
        <f>Transportation_LCIA!G$61*($W259^Transportation_LCIA!G$60)+Transportation_LCIA!G$62</f>
        <v>4.8509327483629391E-2</v>
      </c>
      <c r="AD259" s="137">
        <f>Transportation_LCIA!H$61*($W259^Transportation_LCIA!H$60)+Transportation_LCIA!H$62</f>
        <v>2.2599378016231362E-4</v>
      </c>
      <c r="AE259" s="137">
        <f>Transportation_LCIA!I$61*($W259^Transportation_LCIA!I$60)+Transportation_LCIA!I$62</f>
        <v>4.6491421751201883E-6</v>
      </c>
      <c r="AF259" s="137">
        <f>Transportation_LCIA!J$61*($W259^Transportation_LCIA!J$60)+Transportation_LCIA!J$62</f>
        <v>6.8769243409976324E-3</v>
      </c>
      <c r="AG259" s="137">
        <f>Transportation_LCIA!K$61*($W259^Transportation_LCIA!K$60)+Transportation_LCIA!K$62</f>
        <v>1.0154626692609268E-2</v>
      </c>
      <c r="AH259" s="137">
        <f>Transportation_LCIA!L$61*($W259^Transportation_LCIA!L$60)+Transportation_LCIA!L$62</f>
        <v>1.9325951793727536E-4</v>
      </c>
      <c r="AI259" s="137">
        <f>Transportation_LCIA!M$61*($W259^Transportation_LCIA!M$60)+Transportation_LCIA!M$62</f>
        <v>2.1557662085587944E-4</v>
      </c>
      <c r="AJ259" s="137">
        <f>Transportation_LCIA!N$61*($W259^Transportation_LCIA!N$60)+Transportation_LCIA!N$62</f>
        <v>8.1896071080382658E-4</v>
      </c>
      <c r="AK259" s="137">
        <f>Transportation_LCIA!O$61*($W259^Transportation_LCIA!O$60)+Transportation_LCIA!O$62</f>
        <v>5.1213070403790544E-5</v>
      </c>
      <c r="AL259" s="137">
        <f>Transportation_LCIA!P$61*($W259^Transportation_LCIA!P$60)+Transportation_LCIA!P$62</f>
        <v>2.4789436903819814E-8</v>
      </c>
      <c r="AM259" s="137">
        <f>Transportation_LCIA!Q$61*($W259^Transportation_LCIA!Q$60)+Transportation_LCIA!Q$62</f>
        <v>7.6742684464983015E-5</v>
      </c>
      <c r="AN259" s="137">
        <f>Transportation_LCIA!R$61*($W259^Transportation_LCIA!R$60)+Transportation_LCIA!R$62</f>
        <v>2.2379243548062238E-4</v>
      </c>
      <c r="AO259" s="137">
        <f>Transportation_LCIA!S$61*($W259^Transportation_LCIA!S$60)+Transportation_LCIA!S$62</f>
        <v>3.4332930346487986E-6</v>
      </c>
      <c r="AP259" s="137">
        <f>Transportation_LCIA!T$61*($W259^Transportation_LCIA!T$60)+Transportation_LCIA!T$62</f>
        <v>3.4332930346487986E-6</v>
      </c>
      <c r="AQ259" s="137">
        <f>Transportation_LCIA!U$61*($W259^Transportation_LCIA!U$60)+Transportation_LCIA!U$62</f>
        <v>4.7763432067623047E-4</v>
      </c>
      <c r="AR259" s="137">
        <f>Transportation_LCIA!V$61*($W259^Transportation_LCIA!V$60)+Transportation_LCIA!V$62</f>
        <v>1.9962357996669805E-4</v>
      </c>
      <c r="AT259" s="137">
        <f>$W259*Y259+$L259*Summary_LCIA!H$32</f>
        <v>292.37426135450829</v>
      </c>
      <c r="AU259" s="137">
        <f>$W259*Z259+$L259*Summary_LCIA!Q$32</f>
        <v>2975.8628550879425</v>
      </c>
      <c r="AV259" s="137">
        <f>$W259*AA259+$L259*Summary_LCIA!R$32</f>
        <v>1.3637267922707814</v>
      </c>
      <c r="AW259" s="137">
        <f>$W259*AB259+$L259*Summary_LCIA!S$32</f>
        <v>292.29769369450827</v>
      </c>
      <c r="AX259" s="137">
        <f>$W259*AC259+$L259*Summary_LCIA!T$32</f>
        <v>69.559808911611157</v>
      </c>
      <c r="AY259" s="137">
        <f>$W259*AD259+$L259*Summary_LCIA!U$32</f>
        <v>0.62551799024128907</v>
      </c>
      <c r="AZ259" s="137">
        <f>$W259*AE259+$L259*Summary_LCIA!V$32</f>
        <v>7.311527394640297E-3</v>
      </c>
      <c r="BA259" s="137">
        <f>$W259*AF259+$L259*Summary_LCIA!W$32</f>
        <v>10.924622407296336</v>
      </c>
      <c r="BB259" s="137">
        <f>$W259*AG259+$L259*Summary_LCIA!X$32</f>
        <v>14.557286709150636</v>
      </c>
      <c r="BC259" s="137">
        <f>$W259*AH259+$L259*Summary_LCIA!Y$32</f>
        <v>0.53946624351140104</v>
      </c>
      <c r="BD259" s="137">
        <f>$W259*AI259+$L259*Summary_LCIA!Z$32</f>
        <v>0.30137534386029158</v>
      </c>
      <c r="BE259" s="137">
        <f>$W259*AJ259+$L259*Summary_LCIA!AA$32</f>
        <v>1.5468013721235239</v>
      </c>
      <c r="BF259" s="137">
        <f>$W259*AK259+$L259*Summary_LCIA!AB$32</f>
        <v>7.1048884541146884E-2</v>
      </c>
      <c r="BG259" s="137">
        <f>$W259*AL259+$L259*Summary_LCIA!AC$32</f>
        <v>3.5420671841985144E-5</v>
      </c>
      <c r="BH259" s="137">
        <f>$W259*AM259+$L259*Summary_LCIA!AD$32</f>
        <v>0.11415355047755597</v>
      </c>
      <c r="BI259" s="137">
        <f>$W259*AN259+$L259*Summary_LCIA!AE$32</f>
        <v>0.32747398043626019</v>
      </c>
      <c r="BJ259" s="137">
        <f>$W259*AO259+$L259*Summary_LCIA!AF$32</f>
        <v>1.9433628147818915E-2</v>
      </c>
      <c r="BK259" s="137">
        <f>$W259*AP259+$L259*Summary_LCIA!AG$32</f>
        <v>5.6747487828189133E-3</v>
      </c>
      <c r="BL259" s="137">
        <f>$W259*AQ259+$L259*Summary_LCIA!AH$32</f>
        <v>0.81692956352721013</v>
      </c>
      <c r="BM259" s="137">
        <f>$W259*AR259+$L259*Summary_LCIA!AI$32</f>
        <v>0.29455246231817722</v>
      </c>
    </row>
    <row r="260" spans="1:65" x14ac:dyDescent="0.25">
      <c r="A260" s="149">
        <v>166</v>
      </c>
      <c r="B260" s="149">
        <v>6</v>
      </c>
      <c r="C260" s="61">
        <v>40.014986</v>
      </c>
      <c r="D260" s="61">
        <v>-105.270546</v>
      </c>
      <c r="E260" s="61" t="s">
        <v>265</v>
      </c>
      <c r="F260" s="149">
        <v>16</v>
      </c>
      <c r="G260" s="61" t="s">
        <v>565</v>
      </c>
      <c r="H260" s="61" t="s">
        <v>645</v>
      </c>
      <c r="I260" s="61">
        <v>39.856096000000001</v>
      </c>
      <c r="J260" s="61">
        <v>-104.673738</v>
      </c>
      <c r="K260" s="61">
        <v>66.833860599999994</v>
      </c>
      <c r="L260" s="61">
        <v>70.700999999999993</v>
      </c>
      <c r="M260" s="61" t="s">
        <v>617</v>
      </c>
      <c r="N260" s="149">
        <v>5</v>
      </c>
      <c r="O260" s="149">
        <v>6</v>
      </c>
      <c r="P260" s="61" t="s">
        <v>565</v>
      </c>
      <c r="Q260" s="61" t="s">
        <v>564</v>
      </c>
      <c r="R260" s="61">
        <v>41.98028</v>
      </c>
      <c r="S260" s="61">
        <v>-87.908997900000003</v>
      </c>
      <c r="T260" s="61">
        <v>1634.5219999999999</v>
      </c>
      <c r="U260" s="61" t="s">
        <v>617</v>
      </c>
      <c r="V260" s="61" t="s">
        <v>569</v>
      </c>
      <c r="W260" s="61" cm="1">
        <f t="array" ref="W260">getDistance(I260,J260,R260,S260)*SA!$B$12</f>
        <v>1429.4950991616145</v>
      </c>
      <c r="X260" s="61"/>
      <c r="Y260" s="137">
        <f>Transportation_LCIA!C$61*($W260^Transportation_LCIA!C$60)+Transportation_LCIA!C$62</f>
        <v>0.20349821617970421</v>
      </c>
      <c r="Z260" s="137">
        <f>Transportation_LCIA!D$61*($W260^Transportation_LCIA!D$60)+Transportation_LCIA!D$62</f>
        <v>2.0501411564925682</v>
      </c>
      <c r="AA260" s="137">
        <f>Transportation_LCIA!E$61*($W260^Transportation_LCIA!E$60)+Transportation_LCIA!E$62</f>
        <v>8.9799039356792888E-4</v>
      </c>
      <c r="AB260" s="137">
        <f>Transportation_LCIA!F$61*($W260^Transportation_LCIA!F$60)+Transportation_LCIA!F$62</f>
        <v>0.20349821617970421</v>
      </c>
      <c r="AC260" s="137">
        <f>Transportation_LCIA!G$61*($W260^Transportation_LCIA!G$60)+Transportation_LCIA!G$62</f>
        <v>4.8000028211733513E-2</v>
      </c>
      <c r="AD260" s="137">
        <f>Transportation_LCIA!H$61*($W260^Transportation_LCIA!H$60)+Transportation_LCIA!H$62</f>
        <v>2.2285424318591637E-4</v>
      </c>
      <c r="AE260" s="137">
        <f>Transportation_LCIA!I$61*($W260^Transportation_LCIA!I$60)+Transportation_LCIA!I$62</f>
        <v>4.571174071441499E-6</v>
      </c>
      <c r="AF260" s="137">
        <f>Transportation_LCIA!J$61*($W260^Transportation_LCIA!J$60)+Transportation_LCIA!J$62</f>
        <v>6.7618339751164165E-3</v>
      </c>
      <c r="AG260" s="137">
        <f>Transportation_LCIA!K$61*($W260^Transportation_LCIA!K$60)+Transportation_LCIA!K$62</f>
        <v>1.0036647213890358E-2</v>
      </c>
      <c r="AH260" s="137">
        <f>Transportation_LCIA!L$61*($W260^Transportation_LCIA!L$60)+Transportation_LCIA!L$62</f>
        <v>1.9038435373879868E-4</v>
      </c>
      <c r="AI260" s="137">
        <f>Transportation_LCIA!M$61*($W260^Transportation_LCIA!M$60)+Transportation_LCIA!M$62</f>
        <v>2.1384473386264609E-4</v>
      </c>
      <c r="AJ260" s="137">
        <f>Transportation_LCIA!N$61*($W260^Transportation_LCIA!N$60)+Transportation_LCIA!N$62</f>
        <v>8.0839367892004054E-4</v>
      </c>
      <c r="AK260" s="137">
        <f>Transportation_LCIA!O$61*($W260^Transportation_LCIA!O$60)+Transportation_LCIA!O$62</f>
        <v>5.067209999252372E-5</v>
      </c>
      <c r="AL260" s="137">
        <f>Transportation_LCIA!P$61*($W260^Transportation_LCIA!P$60)+Transportation_LCIA!P$62</f>
        <v>2.4529050433273688E-8</v>
      </c>
      <c r="AM260" s="137">
        <f>Transportation_LCIA!Q$61*($W260^Transportation_LCIA!Q$60)+Transportation_LCIA!Q$62</f>
        <v>7.5620829602403238E-5</v>
      </c>
      <c r="AN260" s="137">
        <f>Transportation_LCIA!R$61*($W260^Transportation_LCIA!R$60)+Transportation_LCIA!R$62</f>
        <v>2.2005485991627286E-4</v>
      </c>
      <c r="AO260" s="137">
        <f>Transportation_LCIA!S$61*($W260^Transportation_LCIA!S$60)+Transportation_LCIA!S$62</f>
        <v>3.3802166707550345E-6</v>
      </c>
      <c r="AP260" s="137">
        <f>Transportation_LCIA!T$61*($W260^Transportation_LCIA!T$60)+Transportation_LCIA!T$62</f>
        <v>3.3802166707550345E-6</v>
      </c>
      <c r="AQ260" s="137">
        <f>Transportation_LCIA!U$61*($W260^Transportation_LCIA!U$60)+Transportation_LCIA!U$62</f>
        <v>4.6945882310058874E-4</v>
      </c>
      <c r="AR260" s="137">
        <f>Transportation_LCIA!V$61*($W260^Transportation_LCIA!V$60)+Transportation_LCIA!V$62</f>
        <v>1.9671290669076797E-4</v>
      </c>
      <c r="AT260" s="137">
        <f>$W260*Y260+$L260*Summary_LCIA!H$32</f>
        <v>314.92390251701795</v>
      </c>
      <c r="AU260" s="137">
        <f>$W260*Z260+$L260*Summary_LCIA!Q$32</f>
        <v>3281.0644574591838</v>
      </c>
      <c r="AV260" s="137">
        <f>$W260*AA260+$L260*Summary_LCIA!R$32</f>
        <v>1.6559560522995636</v>
      </c>
      <c r="AW260" s="137">
        <f>$W260*AB260+$L260*Summary_LCIA!S$32</f>
        <v>314.61140409701795</v>
      </c>
      <c r="AX260" s="137">
        <f>$W260*AC260+$L260*Summary_LCIA!T$32</f>
        <v>76.385844988292291</v>
      </c>
      <c r="AY260" s="137">
        <f>$W260*AD260+$L260*Summary_LCIA!U$32</f>
        <v>1.585106762461638</v>
      </c>
      <c r="AZ260" s="137">
        <f>$W260*AE260+$L260*Summary_LCIA!V$32</f>
        <v>9.9112213935402659E-3</v>
      </c>
      <c r="BA260" s="137">
        <f>$W260*AF260+$L260*Summary_LCIA!W$32</f>
        <v>15.107935199773415</v>
      </c>
      <c r="BB260" s="137">
        <f>$W260*AG260+$L260*Summary_LCIA!X$32</f>
        <v>15.957906784270339</v>
      </c>
      <c r="BC260" s="137">
        <f>$W260*AH260+$L260*Summary_LCIA!Y$32</f>
        <v>1.3738164826266637</v>
      </c>
      <c r="BD260" s="137">
        <f>$W260*AI260+$L260*Summary_LCIA!Z$32</f>
        <v>0.30858937634717232</v>
      </c>
      <c r="BE260" s="137">
        <f>$W260*AJ260+$L260*Summary_LCIA!AA$32</f>
        <v>2.8068873582094254</v>
      </c>
      <c r="BF260" s="137">
        <f>$W260*AK260+$L260*Summary_LCIA!AB$32</f>
        <v>7.0892610680539939E-2</v>
      </c>
      <c r="BG260" s="137">
        <f>$W260*AL260+$L260*Summary_LCIA!AC$32</f>
        <v>3.8520305065452816E-5</v>
      </c>
      <c r="BH260" s="137">
        <f>$W260*AM260+$L260*Summary_LCIA!AD$32</f>
        <v>0.13716054435117098</v>
      </c>
      <c r="BI260" s="137">
        <f>$W260*AN260+$L260*Summary_LCIA!AE$32</f>
        <v>0.37721762092700767</v>
      </c>
      <c r="BJ260" s="137">
        <f>$W260*AO260+$L260*Summary_LCIA!AF$32</f>
        <v>6.4604042584948715E-2</v>
      </c>
      <c r="BK260" s="137">
        <f>$W260*AP260+$L260*Summary_LCIA!AG$32</f>
        <v>8.4494198299487101E-3</v>
      </c>
      <c r="BL260" s="137">
        <f>$W260*AQ260+$L260*Summary_LCIA!AH$32</f>
        <v>1.2864423104804708</v>
      </c>
      <c r="BM260" s="137">
        <f>$W260*AR260+$L260*Summary_LCIA!AI$32</f>
        <v>0.34706165260628874</v>
      </c>
    </row>
    <row r="261" spans="1:65" x14ac:dyDescent="0.25">
      <c r="A261" s="149">
        <v>167</v>
      </c>
      <c r="B261" s="149">
        <v>6</v>
      </c>
      <c r="C261" s="61">
        <v>40.014986</v>
      </c>
      <c r="D261" s="61">
        <v>-105.270546</v>
      </c>
      <c r="E261" s="61" t="s">
        <v>265</v>
      </c>
      <c r="F261" s="149">
        <v>16</v>
      </c>
      <c r="G261" s="61" t="s">
        <v>565</v>
      </c>
      <c r="H261" s="61" t="s">
        <v>645</v>
      </c>
      <c r="I261" s="61">
        <v>39.856096000000001</v>
      </c>
      <c r="J261" s="61">
        <v>-104.673738</v>
      </c>
      <c r="K261" s="61">
        <v>66.833860599999994</v>
      </c>
      <c r="L261" s="61">
        <v>70.700999999999993</v>
      </c>
      <c r="M261" s="61" t="s">
        <v>617</v>
      </c>
      <c r="N261" s="149">
        <v>5</v>
      </c>
      <c r="O261" s="149">
        <v>6</v>
      </c>
      <c r="P261" s="61" t="s">
        <v>565</v>
      </c>
      <c r="Q261" s="61" t="s">
        <v>564</v>
      </c>
      <c r="R261" s="61">
        <v>41.98028</v>
      </c>
      <c r="S261" s="61">
        <v>-87.908997900000003</v>
      </c>
      <c r="T261" s="61">
        <v>1634.5219999999999</v>
      </c>
      <c r="U261" s="61" t="s">
        <v>617</v>
      </c>
      <c r="V261" s="61" t="s">
        <v>569</v>
      </c>
      <c r="W261" s="61" cm="1">
        <f t="array" ref="W261">getDistance(I261,J261,R261,S261)*SA!$B$12</f>
        <v>1429.4950991616145</v>
      </c>
      <c r="X261" s="61"/>
      <c r="Y261" s="137">
        <f>Transportation_LCIA!C$61*($W261^Transportation_LCIA!C$60)+Transportation_LCIA!C$62</f>
        <v>0.20349821617970421</v>
      </c>
      <c r="Z261" s="137">
        <f>Transportation_LCIA!D$61*($W261^Transportation_LCIA!D$60)+Transportation_LCIA!D$62</f>
        <v>2.0501411564925682</v>
      </c>
      <c r="AA261" s="137">
        <f>Transportation_LCIA!E$61*($W261^Transportation_LCIA!E$60)+Transportation_LCIA!E$62</f>
        <v>8.9799039356792888E-4</v>
      </c>
      <c r="AB261" s="137">
        <f>Transportation_LCIA!F$61*($W261^Transportation_LCIA!F$60)+Transportation_LCIA!F$62</f>
        <v>0.20349821617970421</v>
      </c>
      <c r="AC261" s="137">
        <f>Transportation_LCIA!G$61*($W261^Transportation_LCIA!G$60)+Transportation_LCIA!G$62</f>
        <v>4.8000028211733513E-2</v>
      </c>
      <c r="AD261" s="137">
        <f>Transportation_LCIA!H$61*($W261^Transportation_LCIA!H$60)+Transportation_LCIA!H$62</f>
        <v>2.2285424318591637E-4</v>
      </c>
      <c r="AE261" s="137">
        <f>Transportation_LCIA!I$61*($W261^Transportation_LCIA!I$60)+Transportation_LCIA!I$62</f>
        <v>4.571174071441499E-6</v>
      </c>
      <c r="AF261" s="137">
        <f>Transportation_LCIA!J$61*($W261^Transportation_LCIA!J$60)+Transportation_LCIA!J$62</f>
        <v>6.7618339751164165E-3</v>
      </c>
      <c r="AG261" s="137">
        <f>Transportation_LCIA!K$61*($W261^Transportation_LCIA!K$60)+Transportation_LCIA!K$62</f>
        <v>1.0036647213890358E-2</v>
      </c>
      <c r="AH261" s="137">
        <f>Transportation_LCIA!L$61*($W261^Transportation_LCIA!L$60)+Transportation_LCIA!L$62</f>
        <v>1.9038435373879868E-4</v>
      </c>
      <c r="AI261" s="137">
        <f>Transportation_LCIA!M$61*($W261^Transportation_LCIA!M$60)+Transportation_LCIA!M$62</f>
        <v>2.1384473386264609E-4</v>
      </c>
      <c r="AJ261" s="137">
        <f>Transportation_LCIA!N$61*($W261^Transportation_LCIA!N$60)+Transportation_LCIA!N$62</f>
        <v>8.0839367892004054E-4</v>
      </c>
      <c r="AK261" s="137">
        <f>Transportation_LCIA!O$61*($W261^Transportation_LCIA!O$60)+Transportation_LCIA!O$62</f>
        <v>5.067209999252372E-5</v>
      </c>
      <c r="AL261" s="137">
        <f>Transportation_LCIA!P$61*($W261^Transportation_LCIA!P$60)+Transportation_LCIA!P$62</f>
        <v>2.4529050433273688E-8</v>
      </c>
      <c r="AM261" s="137">
        <f>Transportation_LCIA!Q$61*($W261^Transportation_LCIA!Q$60)+Transportation_LCIA!Q$62</f>
        <v>7.5620829602403238E-5</v>
      </c>
      <c r="AN261" s="137">
        <f>Transportation_LCIA!R$61*($W261^Transportation_LCIA!R$60)+Transportation_LCIA!R$62</f>
        <v>2.2005485991627286E-4</v>
      </c>
      <c r="AO261" s="137">
        <f>Transportation_LCIA!S$61*($W261^Transportation_LCIA!S$60)+Transportation_LCIA!S$62</f>
        <v>3.3802166707550345E-6</v>
      </c>
      <c r="AP261" s="137">
        <f>Transportation_LCIA!T$61*($W261^Transportation_LCIA!T$60)+Transportation_LCIA!T$62</f>
        <v>3.3802166707550345E-6</v>
      </c>
      <c r="AQ261" s="137">
        <f>Transportation_LCIA!U$61*($W261^Transportation_LCIA!U$60)+Transportation_LCIA!U$62</f>
        <v>4.6945882310058874E-4</v>
      </c>
      <c r="AR261" s="137">
        <f>Transportation_LCIA!V$61*($W261^Transportation_LCIA!V$60)+Transportation_LCIA!V$62</f>
        <v>1.9671290669076797E-4</v>
      </c>
      <c r="AT261" s="137">
        <f>$W261*Y261+$L261*Summary_LCIA!H$32</f>
        <v>314.92390251701795</v>
      </c>
      <c r="AU261" s="137">
        <f>$W261*Z261+$L261*Summary_LCIA!Q$32</f>
        <v>3281.0644574591838</v>
      </c>
      <c r="AV261" s="137">
        <f>$W261*AA261+$L261*Summary_LCIA!R$32</f>
        <v>1.6559560522995636</v>
      </c>
      <c r="AW261" s="137">
        <f>$W261*AB261+$L261*Summary_LCIA!S$32</f>
        <v>314.61140409701795</v>
      </c>
      <c r="AX261" s="137">
        <f>$W261*AC261+$L261*Summary_LCIA!T$32</f>
        <v>76.385844988292291</v>
      </c>
      <c r="AY261" s="137">
        <f>$W261*AD261+$L261*Summary_LCIA!U$32</f>
        <v>1.585106762461638</v>
      </c>
      <c r="AZ261" s="137">
        <f>$W261*AE261+$L261*Summary_LCIA!V$32</f>
        <v>9.9112213935402659E-3</v>
      </c>
      <c r="BA261" s="137">
        <f>$W261*AF261+$L261*Summary_LCIA!W$32</f>
        <v>15.107935199773415</v>
      </c>
      <c r="BB261" s="137">
        <f>$W261*AG261+$L261*Summary_LCIA!X$32</f>
        <v>15.957906784270339</v>
      </c>
      <c r="BC261" s="137">
        <f>$W261*AH261+$L261*Summary_LCIA!Y$32</f>
        <v>1.3738164826266637</v>
      </c>
      <c r="BD261" s="137">
        <f>$W261*AI261+$L261*Summary_LCIA!Z$32</f>
        <v>0.30858937634717232</v>
      </c>
      <c r="BE261" s="137">
        <f>$W261*AJ261+$L261*Summary_LCIA!AA$32</f>
        <v>2.8068873582094254</v>
      </c>
      <c r="BF261" s="137">
        <f>$W261*AK261+$L261*Summary_LCIA!AB$32</f>
        <v>7.0892610680539939E-2</v>
      </c>
      <c r="BG261" s="137">
        <f>$W261*AL261+$L261*Summary_LCIA!AC$32</f>
        <v>3.8520305065452816E-5</v>
      </c>
      <c r="BH261" s="137">
        <f>$W261*AM261+$L261*Summary_LCIA!AD$32</f>
        <v>0.13716054435117098</v>
      </c>
      <c r="BI261" s="137">
        <f>$W261*AN261+$L261*Summary_LCIA!AE$32</f>
        <v>0.37721762092700767</v>
      </c>
      <c r="BJ261" s="137">
        <f>$W261*AO261+$L261*Summary_LCIA!AF$32</f>
        <v>6.4604042584948715E-2</v>
      </c>
      <c r="BK261" s="137">
        <f>$W261*AP261+$L261*Summary_LCIA!AG$32</f>
        <v>8.4494198299487101E-3</v>
      </c>
      <c r="BL261" s="137">
        <f>$W261*AQ261+$L261*Summary_LCIA!AH$32</f>
        <v>1.2864423104804708</v>
      </c>
      <c r="BM261" s="137">
        <f>$W261*AR261+$L261*Summary_LCIA!AI$32</f>
        <v>0.34706165260628874</v>
      </c>
    </row>
    <row r="262" spans="1:65" x14ac:dyDescent="0.25">
      <c r="A262" s="149">
        <v>168</v>
      </c>
      <c r="B262" s="149">
        <v>6</v>
      </c>
      <c r="C262" s="61">
        <v>40.014986</v>
      </c>
      <c r="D262" s="61">
        <v>-105.270546</v>
      </c>
      <c r="E262" s="61" t="s">
        <v>265</v>
      </c>
      <c r="F262" s="149">
        <v>16</v>
      </c>
      <c r="G262" s="61" t="s">
        <v>565</v>
      </c>
      <c r="H262" s="61" t="s">
        <v>645</v>
      </c>
      <c r="I262" s="61">
        <v>39.856096000000001</v>
      </c>
      <c r="J262" s="61">
        <v>-104.673738</v>
      </c>
      <c r="K262" s="61">
        <v>66.833860599999994</v>
      </c>
      <c r="L262" s="61">
        <v>70.700999999999993</v>
      </c>
      <c r="M262" s="61" t="s">
        <v>617</v>
      </c>
      <c r="N262" s="149">
        <v>5</v>
      </c>
      <c r="O262" s="149">
        <v>6</v>
      </c>
      <c r="P262" s="61" t="s">
        <v>565</v>
      </c>
      <c r="Q262" s="61" t="s">
        <v>564</v>
      </c>
      <c r="R262" s="61">
        <v>41.98028</v>
      </c>
      <c r="S262" s="61">
        <v>-87.908997900000003</v>
      </c>
      <c r="T262" s="61">
        <v>1634.5219999999999</v>
      </c>
      <c r="U262" s="61" t="s">
        <v>617</v>
      </c>
      <c r="V262" s="61" t="s">
        <v>569</v>
      </c>
      <c r="W262" s="61" cm="1">
        <f t="array" ref="W262">getDistance(I262,J262,R262,S262)*SA!$B$12</f>
        <v>1429.4950991616145</v>
      </c>
      <c r="X262" s="61"/>
      <c r="Y262" s="137">
        <f>Transportation_LCIA!C$61*($W262^Transportation_LCIA!C$60)+Transportation_LCIA!C$62</f>
        <v>0.20349821617970421</v>
      </c>
      <c r="Z262" s="137">
        <f>Transportation_LCIA!D$61*($W262^Transportation_LCIA!D$60)+Transportation_LCIA!D$62</f>
        <v>2.0501411564925682</v>
      </c>
      <c r="AA262" s="137">
        <f>Transportation_LCIA!E$61*($W262^Transportation_LCIA!E$60)+Transportation_LCIA!E$62</f>
        <v>8.9799039356792888E-4</v>
      </c>
      <c r="AB262" s="137">
        <f>Transportation_LCIA!F$61*($W262^Transportation_LCIA!F$60)+Transportation_LCIA!F$62</f>
        <v>0.20349821617970421</v>
      </c>
      <c r="AC262" s="137">
        <f>Transportation_LCIA!G$61*($W262^Transportation_LCIA!G$60)+Transportation_LCIA!G$62</f>
        <v>4.8000028211733513E-2</v>
      </c>
      <c r="AD262" s="137">
        <f>Transportation_LCIA!H$61*($W262^Transportation_LCIA!H$60)+Transportation_LCIA!H$62</f>
        <v>2.2285424318591637E-4</v>
      </c>
      <c r="AE262" s="137">
        <f>Transportation_LCIA!I$61*($W262^Transportation_LCIA!I$60)+Transportation_LCIA!I$62</f>
        <v>4.571174071441499E-6</v>
      </c>
      <c r="AF262" s="137">
        <f>Transportation_LCIA!J$61*($W262^Transportation_LCIA!J$60)+Transportation_LCIA!J$62</f>
        <v>6.7618339751164165E-3</v>
      </c>
      <c r="AG262" s="137">
        <f>Transportation_LCIA!K$61*($W262^Transportation_LCIA!K$60)+Transportation_LCIA!K$62</f>
        <v>1.0036647213890358E-2</v>
      </c>
      <c r="AH262" s="137">
        <f>Transportation_LCIA!L$61*($W262^Transportation_LCIA!L$60)+Transportation_LCIA!L$62</f>
        <v>1.9038435373879868E-4</v>
      </c>
      <c r="AI262" s="137">
        <f>Transportation_LCIA!M$61*($W262^Transportation_LCIA!M$60)+Transportation_LCIA!M$62</f>
        <v>2.1384473386264609E-4</v>
      </c>
      <c r="AJ262" s="137">
        <f>Transportation_LCIA!N$61*($W262^Transportation_LCIA!N$60)+Transportation_LCIA!N$62</f>
        <v>8.0839367892004054E-4</v>
      </c>
      <c r="AK262" s="137">
        <f>Transportation_LCIA!O$61*($W262^Transportation_LCIA!O$60)+Transportation_LCIA!O$62</f>
        <v>5.067209999252372E-5</v>
      </c>
      <c r="AL262" s="137">
        <f>Transportation_LCIA!P$61*($W262^Transportation_LCIA!P$60)+Transportation_LCIA!P$62</f>
        <v>2.4529050433273688E-8</v>
      </c>
      <c r="AM262" s="137">
        <f>Transportation_LCIA!Q$61*($W262^Transportation_LCIA!Q$60)+Transportation_LCIA!Q$62</f>
        <v>7.5620829602403238E-5</v>
      </c>
      <c r="AN262" s="137">
        <f>Transportation_LCIA!R$61*($W262^Transportation_LCIA!R$60)+Transportation_LCIA!R$62</f>
        <v>2.2005485991627286E-4</v>
      </c>
      <c r="AO262" s="137">
        <f>Transportation_LCIA!S$61*($W262^Transportation_LCIA!S$60)+Transportation_LCIA!S$62</f>
        <v>3.3802166707550345E-6</v>
      </c>
      <c r="AP262" s="137">
        <f>Transportation_LCIA!T$61*($W262^Transportation_LCIA!T$60)+Transportation_LCIA!T$62</f>
        <v>3.3802166707550345E-6</v>
      </c>
      <c r="AQ262" s="137">
        <f>Transportation_LCIA!U$61*($W262^Transportation_LCIA!U$60)+Transportation_LCIA!U$62</f>
        <v>4.6945882310058874E-4</v>
      </c>
      <c r="AR262" s="137">
        <f>Transportation_LCIA!V$61*($W262^Transportation_LCIA!V$60)+Transportation_LCIA!V$62</f>
        <v>1.9671290669076797E-4</v>
      </c>
      <c r="AT262" s="137">
        <f>$W262*Y262+$L262*Summary_LCIA!H$32</f>
        <v>314.92390251701795</v>
      </c>
      <c r="AU262" s="137">
        <f>$W262*Z262+$L262*Summary_LCIA!Q$32</f>
        <v>3281.0644574591838</v>
      </c>
      <c r="AV262" s="137">
        <f>$W262*AA262+$L262*Summary_LCIA!R$32</f>
        <v>1.6559560522995636</v>
      </c>
      <c r="AW262" s="137">
        <f>$W262*AB262+$L262*Summary_LCIA!S$32</f>
        <v>314.61140409701795</v>
      </c>
      <c r="AX262" s="137">
        <f>$W262*AC262+$L262*Summary_LCIA!T$32</f>
        <v>76.385844988292291</v>
      </c>
      <c r="AY262" s="137">
        <f>$W262*AD262+$L262*Summary_LCIA!U$32</f>
        <v>1.585106762461638</v>
      </c>
      <c r="AZ262" s="137">
        <f>$W262*AE262+$L262*Summary_LCIA!V$32</f>
        <v>9.9112213935402659E-3</v>
      </c>
      <c r="BA262" s="137">
        <f>$W262*AF262+$L262*Summary_LCIA!W$32</f>
        <v>15.107935199773415</v>
      </c>
      <c r="BB262" s="137">
        <f>$W262*AG262+$L262*Summary_LCIA!X$32</f>
        <v>15.957906784270339</v>
      </c>
      <c r="BC262" s="137">
        <f>$W262*AH262+$L262*Summary_LCIA!Y$32</f>
        <v>1.3738164826266637</v>
      </c>
      <c r="BD262" s="137">
        <f>$W262*AI262+$L262*Summary_LCIA!Z$32</f>
        <v>0.30858937634717232</v>
      </c>
      <c r="BE262" s="137">
        <f>$W262*AJ262+$L262*Summary_LCIA!AA$32</f>
        <v>2.8068873582094254</v>
      </c>
      <c r="BF262" s="137">
        <f>$W262*AK262+$L262*Summary_LCIA!AB$32</f>
        <v>7.0892610680539939E-2</v>
      </c>
      <c r="BG262" s="137">
        <f>$W262*AL262+$L262*Summary_LCIA!AC$32</f>
        <v>3.8520305065452816E-5</v>
      </c>
      <c r="BH262" s="137">
        <f>$W262*AM262+$L262*Summary_LCIA!AD$32</f>
        <v>0.13716054435117098</v>
      </c>
      <c r="BI262" s="137">
        <f>$W262*AN262+$L262*Summary_LCIA!AE$32</f>
        <v>0.37721762092700767</v>
      </c>
      <c r="BJ262" s="137">
        <f>$W262*AO262+$L262*Summary_LCIA!AF$32</f>
        <v>6.4604042584948715E-2</v>
      </c>
      <c r="BK262" s="137">
        <f>$W262*AP262+$L262*Summary_LCIA!AG$32</f>
        <v>8.4494198299487101E-3</v>
      </c>
      <c r="BL262" s="137">
        <f>$W262*AQ262+$L262*Summary_LCIA!AH$32</f>
        <v>1.2864423104804708</v>
      </c>
      <c r="BM262" s="137">
        <f>$W262*AR262+$L262*Summary_LCIA!AI$32</f>
        <v>0.34706165260628874</v>
      </c>
    </row>
    <row r="263" spans="1:65" x14ac:dyDescent="0.25">
      <c r="A263" s="149">
        <v>169</v>
      </c>
      <c r="B263" s="149">
        <v>6</v>
      </c>
      <c r="C263" s="61">
        <v>40.014986</v>
      </c>
      <c r="D263" s="61">
        <v>-105.270546</v>
      </c>
      <c r="E263" s="61" t="s">
        <v>265</v>
      </c>
      <c r="F263" s="149">
        <v>16</v>
      </c>
      <c r="G263" s="61" t="s">
        <v>565</v>
      </c>
      <c r="H263" s="61" t="s">
        <v>645</v>
      </c>
      <c r="I263" s="61">
        <v>39.856096000000001</v>
      </c>
      <c r="J263" s="61">
        <v>-104.673738</v>
      </c>
      <c r="K263" s="61">
        <v>66.833860599999994</v>
      </c>
      <c r="L263" s="61">
        <v>70.700999999999993</v>
      </c>
      <c r="M263" s="61" t="s">
        <v>617</v>
      </c>
      <c r="N263" s="149">
        <v>5</v>
      </c>
      <c r="O263" s="149">
        <v>6</v>
      </c>
      <c r="P263" s="61" t="s">
        <v>565</v>
      </c>
      <c r="Q263" s="61" t="s">
        <v>564</v>
      </c>
      <c r="R263" s="61">
        <v>41.98028</v>
      </c>
      <c r="S263" s="61">
        <v>-87.908997900000003</v>
      </c>
      <c r="T263" s="61">
        <v>1634.5219999999999</v>
      </c>
      <c r="U263" s="61" t="s">
        <v>617</v>
      </c>
      <c r="V263" s="61" t="s">
        <v>569</v>
      </c>
      <c r="W263" s="61" cm="1">
        <f t="array" ref="W263">getDistance(I263,J263,R263,S263)*SA!$B$12</f>
        <v>1429.4950991616145</v>
      </c>
      <c r="X263" s="61"/>
      <c r="Y263" s="137">
        <f>Transportation_LCIA!C$61*($W263^Transportation_LCIA!C$60)+Transportation_LCIA!C$62</f>
        <v>0.20349821617970421</v>
      </c>
      <c r="Z263" s="137">
        <f>Transportation_LCIA!D$61*($W263^Transportation_LCIA!D$60)+Transportation_LCIA!D$62</f>
        <v>2.0501411564925682</v>
      </c>
      <c r="AA263" s="137">
        <f>Transportation_LCIA!E$61*($W263^Transportation_LCIA!E$60)+Transportation_LCIA!E$62</f>
        <v>8.9799039356792888E-4</v>
      </c>
      <c r="AB263" s="137">
        <f>Transportation_LCIA!F$61*($W263^Transportation_LCIA!F$60)+Transportation_LCIA!F$62</f>
        <v>0.20349821617970421</v>
      </c>
      <c r="AC263" s="137">
        <f>Transportation_LCIA!G$61*($W263^Transportation_LCIA!G$60)+Transportation_LCIA!G$62</f>
        <v>4.8000028211733513E-2</v>
      </c>
      <c r="AD263" s="137">
        <f>Transportation_LCIA!H$61*($W263^Transportation_LCIA!H$60)+Transportation_LCIA!H$62</f>
        <v>2.2285424318591637E-4</v>
      </c>
      <c r="AE263" s="137">
        <f>Transportation_LCIA!I$61*($W263^Transportation_LCIA!I$60)+Transportation_LCIA!I$62</f>
        <v>4.571174071441499E-6</v>
      </c>
      <c r="AF263" s="137">
        <f>Transportation_LCIA!J$61*($W263^Transportation_LCIA!J$60)+Transportation_LCIA!J$62</f>
        <v>6.7618339751164165E-3</v>
      </c>
      <c r="AG263" s="137">
        <f>Transportation_LCIA!K$61*($W263^Transportation_LCIA!K$60)+Transportation_LCIA!K$62</f>
        <v>1.0036647213890358E-2</v>
      </c>
      <c r="AH263" s="137">
        <f>Transportation_LCIA!L$61*($W263^Transportation_LCIA!L$60)+Transportation_LCIA!L$62</f>
        <v>1.9038435373879868E-4</v>
      </c>
      <c r="AI263" s="137">
        <f>Transportation_LCIA!M$61*($W263^Transportation_LCIA!M$60)+Transportation_LCIA!M$62</f>
        <v>2.1384473386264609E-4</v>
      </c>
      <c r="AJ263" s="137">
        <f>Transportation_LCIA!N$61*($W263^Transportation_LCIA!N$60)+Transportation_LCIA!N$62</f>
        <v>8.0839367892004054E-4</v>
      </c>
      <c r="AK263" s="137">
        <f>Transportation_LCIA!O$61*($W263^Transportation_LCIA!O$60)+Transportation_LCIA!O$62</f>
        <v>5.067209999252372E-5</v>
      </c>
      <c r="AL263" s="137">
        <f>Transportation_LCIA!P$61*($W263^Transportation_LCIA!P$60)+Transportation_LCIA!P$62</f>
        <v>2.4529050433273688E-8</v>
      </c>
      <c r="AM263" s="137">
        <f>Transportation_LCIA!Q$61*($W263^Transportation_LCIA!Q$60)+Transportation_LCIA!Q$62</f>
        <v>7.5620829602403238E-5</v>
      </c>
      <c r="AN263" s="137">
        <f>Transportation_LCIA!R$61*($W263^Transportation_LCIA!R$60)+Transportation_LCIA!R$62</f>
        <v>2.2005485991627286E-4</v>
      </c>
      <c r="AO263" s="137">
        <f>Transportation_LCIA!S$61*($W263^Transportation_LCIA!S$60)+Transportation_LCIA!S$62</f>
        <v>3.3802166707550345E-6</v>
      </c>
      <c r="AP263" s="137">
        <f>Transportation_LCIA!T$61*($W263^Transportation_LCIA!T$60)+Transportation_LCIA!T$62</f>
        <v>3.3802166707550345E-6</v>
      </c>
      <c r="AQ263" s="137">
        <f>Transportation_LCIA!U$61*($W263^Transportation_LCIA!U$60)+Transportation_LCIA!U$62</f>
        <v>4.6945882310058874E-4</v>
      </c>
      <c r="AR263" s="137">
        <f>Transportation_LCIA!V$61*($W263^Transportation_LCIA!V$60)+Transportation_LCIA!V$62</f>
        <v>1.9671290669076797E-4</v>
      </c>
      <c r="AT263" s="137">
        <f>$W263*Y263+$L263*Summary_LCIA!H$32</f>
        <v>314.92390251701795</v>
      </c>
      <c r="AU263" s="137">
        <f>$W263*Z263+$L263*Summary_LCIA!Q$32</f>
        <v>3281.0644574591838</v>
      </c>
      <c r="AV263" s="137">
        <f>$W263*AA263+$L263*Summary_LCIA!R$32</f>
        <v>1.6559560522995636</v>
      </c>
      <c r="AW263" s="137">
        <f>$W263*AB263+$L263*Summary_LCIA!S$32</f>
        <v>314.61140409701795</v>
      </c>
      <c r="AX263" s="137">
        <f>$W263*AC263+$L263*Summary_LCIA!T$32</f>
        <v>76.385844988292291</v>
      </c>
      <c r="AY263" s="137">
        <f>$W263*AD263+$L263*Summary_LCIA!U$32</f>
        <v>1.585106762461638</v>
      </c>
      <c r="AZ263" s="137">
        <f>$W263*AE263+$L263*Summary_LCIA!V$32</f>
        <v>9.9112213935402659E-3</v>
      </c>
      <c r="BA263" s="137">
        <f>$W263*AF263+$L263*Summary_LCIA!W$32</f>
        <v>15.107935199773415</v>
      </c>
      <c r="BB263" s="137">
        <f>$W263*AG263+$L263*Summary_LCIA!X$32</f>
        <v>15.957906784270339</v>
      </c>
      <c r="BC263" s="137">
        <f>$W263*AH263+$L263*Summary_LCIA!Y$32</f>
        <v>1.3738164826266637</v>
      </c>
      <c r="BD263" s="137">
        <f>$W263*AI263+$L263*Summary_LCIA!Z$32</f>
        <v>0.30858937634717232</v>
      </c>
      <c r="BE263" s="137">
        <f>$W263*AJ263+$L263*Summary_LCIA!AA$32</f>
        <v>2.8068873582094254</v>
      </c>
      <c r="BF263" s="137">
        <f>$W263*AK263+$L263*Summary_LCIA!AB$32</f>
        <v>7.0892610680539939E-2</v>
      </c>
      <c r="BG263" s="137">
        <f>$W263*AL263+$L263*Summary_LCIA!AC$32</f>
        <v>3.8520305065452816E-5</v>
      </c>
      <c r="BH263" s="137">
        <f>$W263*AM263+$L263*Summary_LCIA!AD$32</f>
        <v>0.13716054435117098</v>
      </c>
      <c r="BI263" s="137">
        <f>$W263*AN263+$L263*Summary_LCIA!AE$32</f>
        <v>0.37721762092700767</v>
      </c>
      <c r="BJ263" s="137">
        <f>$W263*AO263+$L263*Summary_LCIA!AF$32</f>
        <v>6.4604042584948715E-2</v>
      </c>
      <c r="BK263" s="137">
        <f>$W263*AP263+$L263*Summary_LCIA!AG$32</f>
        <v>8.4494198299487101E-3</v>
      </c>
      <c r="BL263" s="137">
        <f>$W263*AQ263+$L263*Summary_LCIA!AH$32</f>
        <v>1.2864423104804708</v>
      </c>
      <c r="BM263" s="137">
        <f>$W263*AR263+$L263*Summary_LCIA!AI$32</f>
        <v>0.34706165260628874</v>
      </c>
    </row>
    <row r="264" spans="1:65" x14ac:dyDescent="0.25">
      <c r="A264" s="149">
        <v>170</v>
      </c>
      <c r="B264" s="149">
        <v>6</v>
      </c>
      <c r="C264" s="61">
        <v>40.014986</v>
      </c>
      <c r="D264" s="61">
        <v>-105.270546</v>
      </c>
      <c r="E264" s="61" t="s">
        <v>265</v>
      </c>
      <c r="F264" s="149">
        <v>16</v>
      </c>
      <c r="G264" s="61" t="s">
        <v>565</v>
      </c>
      <c r="H264" s="61" t="s">
        <v>645</v>
      </c>
      <c r="I264" s="61">
        <v>39.856096000000001</v>
      </c>
      <c r="J264" s="61">
        <v>-104.673738</v>
      </c>
      <c r="K264" s="61">
        <v>66.833860599999994</v>
      </c>
      <c r="L264" s="61">
        <v>70.700999999999993</v>
      </c>
      <c r="M264" s="61" t="s">
        <v>617</v>
      </c>
      <c r="N264" s="149">
        <v>5</v>
      </c>
      <c r="O264" s="149">
        <v>6</v>
      </c>
      <c r="P264" s="61" t="s">
        <v>565</v>
      </c>
      <c r="Q264" s="61" t="s">
        <v>564</v>
      </c>
      <c r="R264" s="61">
        <v>41.98028</v>
      </c>
      <c r="S264" s="61">
        <v>-87.908997900000003</v>
      </c>
      <c r="T264" s="61">
        <v>1634.5219999999999</v>
      </c>
      <c r="U264" s="61" t="s">
        <v>617</v>
      </c>
      <c r="V264" s="61" t="s">
        <v>569</v>
      </c>
      <c r="W264" s="61" cm="1">
        <f t="array" ref="W264">getDistance(I264,J264,R264,S264)*SA!$B$12</f>
        <v>1429.4950991616145</v>
      </c>
      <c r="X264" s="61"/>
      <c r="Y264" s="137">
        <f>Transportation_LCIA!C$61*($W264^Transportation_LCIA!C$60)+Transportation_LCIA!C$62</f>
        <v>0.20349821617970421</v>
      </c>
      <c r="Z264" s="137">
        <f>Transportation_LCIA!D$61*($W264^Transportation_LCIA!D$60)+Transportation_LCIA!D$62</f>
        <v>2.0501411564925682</v>
      </c>
      <c r="AA264" s="137">
        <f>Transportation_LCIA!E$61*($W264^Transportation_LCIA!E$60)+Transportation_LCIA!E$62</f>
        <v>8.9799039356792888E-4</v>
      </c>
      <c r="AB264" s="137">
        <f>Transportation_LCIA!F$61*($W264^Transportation_LCIA!F$60)+Transportation_LCIA!F$62</f>
        <v>0.20349821617970421</v>
      </c>
      <c r="AC264" s="137">
        <f>Transportation_LCIA!G$61*($W264^Transportation_LCIA!G$60)+Transportation_LCIA!G$62</f>
        <v>4.8000028211733513E-2</v>
      </c>
      <c r="AD264" s="137">
        <f>Transportation_LCIA!H$61*($W264^Transportation_LCIA!H$60)+Transportation_LCIA!H$62</f>
        <v>2.2285424318591637E-4</v>
      </c>
      <c r="AE264" s="137">
        <f>Transportation_LCIA!I$61*($W264^Transportation_LCIA!I$60)+Transportation_LCIA!I$62</f>
        <v>4.571174071441499E-6</v>
      </c>
      <c r="AF264" s="137">
        <f>Transportation_LCIA!J$61*($W264^Transportation_LCIA!J$60)+Transportation_LCIA!J$62</f>
        <v>6.7618339751164165E-3</v>
      </c>
      <c r="AG264" s="137">
        <f>Transportation_LCIA!K$61*($W264^Transportation_LCIA!K$60)+Transportation_LCIA!K$62</f>
        <v>1.0036647213890358E-2</v>
      </c>
      <c r="AH264" s="137">
        <f>Transportation_LCIA!L$61*($W264^Transportation_LCIA!L$60)+Transportation_LCIA!L$62</f>
        <v>1.9038435373879868E-4</v>
      </c>
      <c r="AI264" s="137">
        <f>Transportation_LCIA!M$61*($W264^Transportation_LCIA!M$60)+Transportation_LCIA!M$62</f>
        <v>2.1384473386264609E-4</v>
      </c>
      <c r="AJ264" s="137">
        <f>Transportation_LCIA!N$61*($W264^Transportation_LCIA!N$60)+Transportation_LCIA!N$62</f>
        <v>8.0839367892004054E-4</v>
      </c>
      <c r="AK264" s="137">
        <f>Transportation_LCIA!O$61*($W264^Transportation_LCIA!O$60)+Transportation_LCIA!O$62</f>
        <v>5.067209999252372E-5</v>
      </c>
      <c r="AL264" s="137">
        <f>Transportation_LCIA!P$61*($W264^Transportation_LCIA!P$60)+Transportation_LCIA!P$62</f>
        <v>2.4529050433273688E-8</v>
      </c>
      <c r="AM264" s="137">
        <f>Transportation_LCIA!Q$61*($W264^Transportation_LCIA!Q$60)+Transportation_LCIA!Q$62</f>
        <v>7.5620829602403238E-5</v>
      </c>
      <c r="AN264" s="137">
        <f>Transportation_LCIA!R$61*($W264^Transportation_LCIA!R$60)+Transportation_LCIA!R$62</f>
        <v>2.2005485991627286E-4</v>
      </c>
      <c r="AO264" s="137">
        <f>Transportation_LCIA!S$61*($W264^Transportation_LCIA!S$60)+Transportation_LCIA!S$62</f>
        <v>3.3802166707550345E-6</v>
      </c>
      <c r="AP264" s="137">
        <f>Transportation_LCIA!T$61*($W264^Transportation_LCIA!T$60)+Transportation_LCIA!T$62</f>
        <v>3.3802166707550345E-6</v>
      </c>
      <c r="AQ264" s="137">
        <f>Transportation_LCIA!U$61*($W264^Transportation_LCIA!U$60)+Transportation_LCIA!U$62</f>
        <v>4.6945882310058874E-4</v>
      </c>
      <c r="AR264" s="137">
        <f>Transportation_LCIA!V$61*($W264^Transportation_LCIA!V$60)+Transportation_LCIA!V$62</f>
        <v>1.9671290669076797E-4</v>
      </c>
      <c r="AT264" s="137">
        <f>$W264*Y264+$L264*Summary_LCIA!H$32</f>
        <v>314.92390251701795</v>
      </c>
      <c r="AU264" s="137">
        <f>$W264*Z264+$L264*Summary_LCIA!Q$32</f>
        <v>3281.0644574591838</v>
      </c>
      <c r="AV264" s="137">
        <f>$W264*AA264+$L264*Summary_LCIA!R$32</f>
        <v>1.6559560522995636</v>
      </c>
      <c r="AW264" s="137">
        <f>$W264*AB264+$L264*Summary_LCIA!S$32</f>
        <v>314.61140409701795</v>
      </c>
      <c r="AX264" s="137">
        <f>$W264*AC264+$L264*Summary_LCIA!T$32</f>
        <v>76.385844988292291</v>
      </c>
      <c r="AY264" s="137">
        <f>$W264*AD264+$L264*Summary_LCIA!U$32</f>
        <v>1.585106762461638</v>
      </c>
      <c r="AZ264" s="137">
        <f>$W264*AE264+$L264*Summary_LCIA!V$32</f>
        <v>9.9112213935402659E-3</v>
      </c>
      <c r="BA264" s="137">
        <f>$W264*AF264+$L264*Summary_LCIA!W$32</f>
        <v>15.107935199773415</v>
      </c>
      <c r="BB264" s="137">
        <f>$W264*AG264+$L264*Summary_LCIA!X$32</f>
        <v>15.957906784270339</v>
      </c>
      <c r="BC264" s="137">
        <f>$W264*AH264+$L264*Summary_LCIA!Y$32</f>
        <v>1.3738164826266637</v>
      </c>
      <c r="BD264" s="137">
        <f>$W264*AI264+$L264*Summary_LCIA!Z$32</f>
        <v>0.30858937634717232</v>
      </c>
      <c r="BE264" s="137">
        <f>$W264*AJ264+$L264*Summary_LCIA!AA$32</f>
        <v>2.8068873582094254</v>
      </c>
      <c r="BF264" s="137">
        <f>$W264*AK264+$L264*Summary_LCIA!AB$32</f>
        <v>7.0892610680539939E-2</v>
      </c>
      <c r="BG264" s="137">
        <f>$W264*AL264+$L264*Summary_LCIA!AC$32</f>
        <v>3.8520305065452816E-5</v>
      </c>
      <c r="BH264" s="137">
        <f>$W264*AM264+$L264*Summary_LCIA!AD$32</f>
        <v>0.13716054435117098</v>
      </c>
      <c r="BI264" s="137">
        <f>$W264*AN264+$L264*Summary_LCIA!AE$32</f>
        <v>0.37721762092700767</v>
      </c>
      <c r="BJ264" s="137">
        <f>$W264*AO264+$L264*Summary_LCIA!AF$32</f>
        <v>6.4604042584948715E-2</v>
      </c>
      <c r="BK264" s="137">
        <f>$W264*AP264+$L264*Summary_LCIA!AG$32</f>
        <v>8.4494198299487101E-3</v>
      </c>
      <c r="BL264" s="137">
        <f>$W264*AQ264+$L264*Summary_LCIA!AH$32</f>
        <v>1.2864423104804708</v>
      </c>
      <c r="BM264" s="137">
        <f>$W264*AR264+$L264*Summary_LCIA!AI$32</f>
        <v>0.34706165260628874</v>
      </c>
    </row>
    <row r="265" spans="1:65" x14ac:dyDescent="0.25">
      <c r="A265" s="149">
        <v>171</v>
      </c>
      <c r="B265" s="149">
        <v>6</v>
      </c>
      <c r="C265" s="61">
        <v>40.014986</v>
      </c>
      <c r="D265" s="61">
        <v>-105.270546</v>
      </c>
      <c r="E265" s="61" t="s">
        <v>265</v>
      </c>
      <c r="F265" s="149">
        <v>16</v>
      </c>
      <c r="G265" s="61" t="s">
        <v>565</v>
      </c>
      <c r="H265" s="61" t="s">
        <v>645</v>
      </c>
      <c r="I265" s="61">
        <v>39.856096000000001</v>
      </c>
      <c r="J265" s="61">
        <v>-104.673738</v>
      </c>
      <c r="K265" s="61">
        <v>66.833860599999994</v>
      </c>
      <c r="L265" s="61">
        <v>70.700999999999993</v>
      </c>
      <c r="M265" s="61" t="s">
        <v>617</v>
      </c>
      <c r="N265" s="149">
        <v>5</v>
      </c>
      <c r="O265" s="149">
        <v>6</v>
      </c>
      <c r="P265" s="61" t="s">
        <v>565</v>
      </c>
      <c r="Q265" s="61" t="s">
        <v>564</v>
      </c>
      <c r="R265" s="61">
        <v>41.98028</v>
      </c>
      <c r="S265" s="61">
        <v>-87.908997900000003</v>
      </c>
      <c r="T265" s="61">
        <v>1634.5219999999999</v>
      </c>
      <c r="U265" s="61" t="s">
        <v>617</v>
      </c>
      <c r="V265" s="61" t="s">
        <v>569</v>
      </c>
      <c r="W265" s="61" cm="1">
        <f t="array" ref="W265">getDistance(I265,J265,R265,S265)*SA!$B$12</f>
        <v>1429.4950991616145</v>
      </c>
      <c r="X265" s="61"/>
      <c r="Y265" s="137">
        <f>Transportation_LCIA!C$61*($W265^Transportation_LCIA!C$60)+Transportation_LCIA!C$62</f>
        <v>0.20349821617970421</v>
      </c>
      <c r="Z265" s="137">
        <f>Transportation_LCIA!D$61*($W265^Transportation_LCIA!D$60)+Transportation_LCIA!D$62</f>
        <v>2.0501411564925682</v>
      </c>
      <c r="AA265" s="137">
        <f>Transportation_LCIA!E$61*($W265^Transportation_LCIA!E$60)+Transportation_LCIA!E$62</f>
        <v>8.9799039356792888E-4</v>
      </c>
      <c r="AB265" s="137">
        <f>Transportation_LCIA!F$61*($W265^Transportation_LCIA!F$60)+Transportation_LCIA!F$62</f>
        <v>0.20349821617970421</v>
      </c>
      <c r="AC265" s="137">
        <f>Transportation_LCIA!G$61*($W265^Transportation_LCIA!G$60)+Transportation_LCIA!G$62</f>
        <v>4.8000028211733513E-2</v>
      </c>
      <c r="AD265" s="137">
        <f>Transportation_LCIA!H$61*($W265^Transportation_LCIA!H$60)+Transportation_LCIA!H$62</f>
        <v>2.2285424318591637E-4</v>
      </c>
      <c r="AE265" s="137">
        <f>Transportation_LCIA!I$61*($W265^Transportation_LCIA!I$60)+Transportation_LCIA!I$62</f>
        <v>4.571174071441499E-6</v>
      </c>
      <c r="AF265" s="137">
        <f>Transportation_LCIA!J$61*($W265^Transportation_LCIA!J$60)+Transportation_LCIA!J$62</f>
        <v>6.7618339751164165E-3</v>
      </c>
      <c r="AG265" s="137">
        <f>Transportation_LCIA!K$61*($W265^Transportation_LCIA!K$60)+Transportation_LCIA!K$62</f>
        <v>1.0036647213890358E-2</v>
      </c>
      <c r="AH265" s="137">
        <f>Transportation_LCIA!L$61*($W265^Transportation_LCIA!L$60)+Transportation_LCIA!L$62</f>
        <v>1.9038435373879868E-4</v>
      </c>
      <c r="AI265" s="137">
        <f>Transportation_LCIA!M$61*($W265^Transportation_LCIA!M$60)+Transportation_LCIA!M$62</f>
        <v>2.1384473386264609E-4</v>
      </c>
      <c r="AJ265" s="137">
        <f>Transportation_LCIA!N$61*($W265^Transportation_LCIA!N$60)+Transportation_LCIA!N$62</f>
        <v>8.0839367892004054E-4</v>
      </c>
      <c r="AK265" s="137">
        <f>Transportation_LCIA!O$61*($W265^Transportation_LCIA!O$60)+Transportation_LCIA!O$62</f>
        <v>5.067209999252372E-5</v>
      </c>
      <c r="AL265" s="137">
        <f>Transportation_LCIA!P$61*($W265^Transportation_LCIA!P$60)+Transportation_LCIA!P$62</f>
        <v>2.4529050433273688E-8</v>
      </c>
      <c r="AM265" s="137">
        <f>Transportation_LCIA!Q$61*($W265^Transportation_LCIA!Q$60)+Transportation_LCIA!Q$62</f>
        <v>7.5620829602403238E-5</v>
      </c>
      <c r="AN265" s="137">
        <f>Transportation_LCIA!R$61*($W265^Transportation_LCIA!R$60)+Transportation_LCIA!R$62</f>
        <v>2.2005485991627286E-4</v>
      </c>
      <c r="AO265" s="137">
        <f>Transportation_LCIA!S$61*($W265^Transportation_LCIA!S$60)+Transportation_LCIA!S$62</f>
        <v>3.3802166707550345E-6</v>
      </c>
      <c r="AP265" s="137">
        <f>Transportation_LCIA!T$61*($W265^Transportation_LCIA!T$60)+Transportation_LCIA!T$62</f>
        <v>3.3802166707550345E-6</v>
      </c>
      <c r="AQ265" s="137">
        <f>Transportation_LCIA!U$61*($W265^Transportation_LCIA!U$60)+Transportation_LCIA!U$62</f>
        <v>4.6945882310058874E-4</v>
      </c>
      <c r="AR265" s="137">
        <f>Transportation_LCIA!V$61*($W265^Transportation_LCIA!V$60)+Transportation_LCIA!V$62</f>
        <v>1.9671290669076797E-4</v>
      </c>
      <c r="AT265" s="137">
        <f>$W265*Y265+$L265*Summary_LCIA!H$32</f>
        <v>314.92390251701795</v>
      </c>
      <c r="AU265" s="137">
        <f>$W265*Z265+$L265*Summary_LCIA!Q$32</f>
        <v>3281.0644574591838</v>
      </c>
      <c r="AV265" s="137">
        <f>$W265*AA265+$L265*Summary_LCIA!R$32</f>
        <v>1.6559560522995636</v>
      </c>
      <c r="AW265" s="137">
        <f>$W265*AB265+$L265*Summary_LCIA!S$32</f>
        <v>314.61140409701795</v>
      </c>
      <c r="AX265" s="137">
        <f>$W265*AC265+$L265*Summary_LCIA!T$32</f>
        <v>76.385844988292291</v>
      </c>
      <c r="AY265" s="137">
        <f>$W265*AD265+$L265*Summary_LCIA!U$32</f>
        <v>1.585106762461638</v>
      </c>
      <c r="AZ265" s="137">
        <f>$W265*AE265+$L265*Summary_LCIA!V$32</f>
        <v>9.9112213935402659E-3</v>
      </c>
      <c r="BA265" s="137">
        <f>$W265*AF265+$L265*Summary_LCIA!W$32</f>
        <v>15.107935199773415</v>
      </c>
      <c r="BB265" s="137">
        <f>$W265*AG265+$L265*Summary_LCIA!X$32</f>
        <v>15.957906784270339</v>
      </c>
      <c r="BC265" s="137">
        <f>$W265*AH265+$L265*Summary_LCIA!Y$32</f>
        <v>1.3738164826266637</v>
      </c>
      <c r="BD265" s="137">
        <f>$W265*AI265+$L265*Summary_LCIA!Z$32</f>
        <v>0.30858937634717232</v>
      </c>
      <c r="BE265" s="137">
        <f>$W265*AJ265+$L265*Summary_LCIA!AA$32</f>
        <v>2.8068873582094254</v>
      </c>
      <c r="BF265" s="137">
        <f>$W265*AK265+$L265*Summary_LCIA!AB$32</f>
        <v>7.0892610680539939E-2</v>
      </c>
      <c r="BG265" s="137">
        <f>$W265*AL265+$L265*Summary_LCIA!AC$32</f>
        <v>3.8520305065452816E-5</v>
      </c>
      <c r="BH265" s="137">
        <f>$W265*AM265+$L265*Summary_LCIA!AD$32</f>
        <v>0.13716054435117098</v>
      </c>
      <c r="BI265" s="137">
        <f>$W265*AN265+$L265*Summary_LCIA!AE$32</f>
        <v>0.37721762092700767</v>
      </c>
      <c r="BJ265" s="137">
        <f>$W265*AO265+$L265*Summary_LCIA!AF$32</f>
        <v>6.4604042584948715E-2</v>
      </c>
      <c r="BK265" s="137">
        <f>$W265*AP265+$L265*Summary_LCIA!AG$32</f>
        <v>8.4494198299487101E-3</v>
      </c>
      <c r="BL265" s="137">
        <f>$W265*AQ265+$L265*Summary_LCIA!AH$32</f>
        <v>1.2864423104804708</v>
      </c>
      <c r="BM265" s="137">
        <f>$W265*AR265+$L265*Summary_LCIA!AI$32</f>
        <v>0.34706165260628874</v>
      </c>
    </row>
    <row r="266" spans="1:65" x14ac:dyDescent="0.25">
      <c r="A266" s="149">
        <v>172</v>
      </c>
      <c r="B266" s="149">
        <v>6</v>
      </c>
      <c r="C266" s="61">
        <v>40.014986</v>
      </c>
      <c r="D266" s="61">
        <v>-105.270546</v>
      </c>
      <c r="E266" s="61" t="s">
        <v>265</v>
      </c>
      <c r="F266" s="149">
        <v>16</v>
      </c>
      <c r="G266" s="61" t="s">
        <v>565</v>
      </c>
      <c r="H266" s="61" t="s">
        <v>645</v>
      </c>
      <c r="I266" s="61">
        <v>39.856096000000001</v>
      </c>
      <c r="J266" s="61">
        <v>-104.673738</v>
      </c>
      <c r="K266" s="61">
        <v>66.833860599999994</v>
      </c>
      <c r="L266" s="61">
        <v>70.700999999999993</v>
      </c>
      <c r="M266" s="61" t="s">
        <v>617</v>
      </c>
      <c r="N266" s="149">
        <v>5</v>
      </c>
      <c r="O266" s="149">
        <v>6</v>
      </c>
      <c r="P266" s="61" t="s">
        <v>565</v>
      </c>
      <c r="Q266" s="61" t="s">
        <v>564</v>
      </c>
      <c r="R266" s="61">
        <v>41.98028</v>
      </c>
      <c r="S266" s="61">
        <v>-87.908997900000003</v>
      </c>
      <c r="T266" s="61">
        <v>1634.5219999999999</v>
      </c>
      <c r="U266" s="61" t="s">
        <v>617</v>
      </c>
      <c r="V266" s="61" t="s">
        <v>569</v>
      </c>
      <c r="W266" s="61" cm="1">
        <f t="array" ref="W266">getDistance(I266,J266,R266,S266)*SA!$B$12</f>
        <v>1429.4950991616145</v>
      </c>
      <c r="X266" s="61"/>
      <c r="Y266" s="137">
        <f>Transportation_LCIA!C$61*($W266^Transportation_LCIA!C$60)+Transportation_LCIA!C$62</f>
        <v>0.20349821617970421</v>
      </c>
      <c r="Z266" s="137">
        <f>Transportation_LCIA!D$61*($W266^Transportation_LCIA!D$60)+Transportation_LCIA!D$62</f>
        <v>2.0501411564925682</v>
      </c>
      <c r="AA266" s="137">
        <f>Transportation_LCIA!E$61*($W266^Transportation_LCIA!E$60)+Transportation_LCIA!E$62</f>
        <v>8.9799039356792888E-4</v>
      </c>
      <c r="AB266" s="137">
        <f>Transportation_LCIA!F$61*($W266^Transportation_LCIA!F$60)+Transportation_LCIA!F$62</f>
        <v>0.20349821617970421</v>
      </c>
      <c r="AC266" s="137">
        <f>Transportation_LCIA!G$61*($W266^Transportation_LCIA!G$60)+Transportation_LCIA!G$62</f>
        <v>4.8000028211733513E-2</v>
      </c>
      <c r="AD266" s="137">
        <f>Transportation_LCIA!H$61*($W266^Transportation_LCIA!H$60)+Transportation_LCIA!H$62</f>
        <v>2.2285424318591637E-4</v>
      </c>
      <c r="AE266" s="137">
        <f>Transportation_LCIA!I$61*($W266^Transportation_LCIA!I$60)+Transportation_LCIA!I$62</f>
        <v>4.571174071441499E-6</v>
      </c>
      <c r="AF266" s="137">
        <f>Transportation_LCIA!J$61*($W266^Transportation_LCIA!J$60)+Transportation_LCIA!J$62</f>
        <v>6.7618339751164165E-3</v>
      </c>
      <c r="AG266" s="137">
        <f>Transportation_LCIA!K$61*($W266^Transportation_LCIA!K$60)+Transportation_LCIA!K$62</f>
        <v>1.0036647213890358E-2</v>
      </c>
      <c r="AH266" s="137">
        <f>Transportation_LCIA!L$61*($W266^Transportation_LCIA!L$60)+Transportation_LCIA!L$62</f>
        <v>1.9038435373879868E-4</v>
      </c>
      <c r="AI266" s="137">
        <f>Transportation_LCIA!M$61*($W266^Transportation_LCIA!M$60)+Transportation_LCIA!M$62</f>
        <v>2.1384473386264609E-4</v>
      </c>
      <c r="AJ266" s="137">
        <f>Transportation_LCIA!N$61*($W266^Transportation_LCIA!N$60)+Transportation_LCIA!N$62</f>
        <v>8.0839367892004054E-4</v>
      </c>
      <c r="AK266" s="137">
        <f>Transportation_LCIA!O$61*($W266^Transportation_LCIA!O$60)+Transportation_LCIA!O$62</f>
        <v>5.067209999252372E-5</v>
      </c>
      <c r="AL266" s="137">
        <f>Transportation_LCIA!P$61*($W266^Transportation_LCIA!P$60)+Transportation_LCIA!P$62</f>
        <v>2.4529050433273688E-8</v>
      </c>
      <c r="AM266" s="137">
        <f>Transportation_LCIA!Q$61*($W266^Transportation_LCIA!Q$60)+Transportation_LCIA!Q$62</f>
        <v>7.5620829602403238E-5</v>
      </c>
      <c r="AN266" s="137">
        <f>Transportation_LCIA!R$61*($W266^Transportation_LCIA!R$60)+Transportation_LCIA!R$62</f>
        <v>2.2005485991627286E-4</v>
      </c>
      <c r="AO266" s="137">
        <f>Transportation_LCIA!S$61*($W266^Transportation_LCIA!S$60)+Transportation_LCIA!S$62</f>
        <v>3.3802166707550345E-6</v>
      </c>
      <c r="AP266" s="137">
        <f>Transportation_LCIA!T$61*($W266^Transportation_LCIA!T$60)+Transportation_LCIA!T$62</f>
        <v>3.3802166707550345E-6</v>
      </c>
      <c r="AQ266" s="137">
        <f>Transportation_LCIA!U$61*($W266^Transportation_LCIA!U$60)+Transportation_LCIA!U$62</f>
        <v>4.6945882310058874E-4</v>
      </c>
      <c r="AR266" s="137">
        <f>Transportation_LCIA!V$61*($W266^Transportation_LCIA!V$60)+Transportation_LCIA!V$62</f>
        <v>1.9671290669076797E-4</v>
      </c>
      <c r="AT266" s="137">
        <f>$W266*Y266+$L266*Summary_LCIA!H$32</f>
        <v>314.92390251701795</v>
      </c>
      <c r="AU266" s="137">
        <f>$W266*Z266+$L266*Summary_LCIA!Q$32</f>
        <v>3281.0644574591838</v>
      </c>
      <c r="AV266" s="137">
        <f>$W266*AA266+$L266*Summary_LCIA!R$32</f>
        <v>1.6559560522995636</v>
      </c>
      <c r="AW266" s="137">
        <f>$W266*AB266+$L266*Summary_LCIA!S$32</f>
        <v>314.61140409701795</v>
      </c>
      <c r="AX266" s="137">
        <f>$W266*AC266+$L266*Summary_LCIA!T$32</f>
        <v>76.385844988292291</v>
      </c>
      <c r="AY266" s="137">
        <f>$W266*AD266+$L266*Summary_LCIA!U$32</f>
        <v>1.585106762461638</v>
      </c>
      <c r="AZ266" s="137">
        <f>$W266*AE266+$L266*Summary_LCIA!V$32</f>
        <v>9.9112213935402659E-3</v>
      </c>
      <c r="BA266" s="137">
        <f>$W266*AF266+$L266*Summary_LCIA!W$32</f>
        <v>15.107935199773415</v>
      </c>
      <c r="BB266" s="137">
        <f>$W266*AG266+$L266*Summary_LCIA!X$32</f>
        <v>15.957906784270339</v>
      </c>
      <c r="BC266" s="137">
        <f>$W266*AH266+$L266*Summary_LCIA!Y$32</f>
        <v>1.3738164826266637</v>
      </c>
      <c r="BD266" s="137">
        <f>$W266*AI266+$L266*Summary_LCIA!Z$32</f>
        <v>0.30858937634717232</v>
      </c>
      <c r="BE266" s="137">
        <f>$W266*AJ266+$L266*Summary_LCIA!AA$32</f>
        <v>2.8068873582094254</v>
      </c>
      <c r="BF266" s="137">
        <f>$W266*AK266+$L266*Summary_LCIA!AB$32</f>
        <v>7.0892610680539939E-2</v>
      </c>
      <c r="BG266" s="137">
        <f>$W266*AL266+$L266*Summary_LCIA!AC$32</f>
        <v>3.8520305065452816E-5</v>
      </c>
      <c r="BH266" s="137">
        <f>$W266*AM266+$L266*Summary_LCIA!AD$32</f>
        <v>0.13716054435117098</v>
      </c>
      <c r="BI266" s="137">
        <f>$W266*AN266+$L266*Summary_LCIA!AE$32</f>
        <v>0.37721762092700767</v>
      </c>
      <c r="BJ266" s="137">
        <f>$W266*AO266+$L266*Summary_LCIA!AF$32</f>
        <v>6.4604042584948715E-2</v>
      </c>
      <c r="BK266" s="137">
        <f>$W266*AP266+$L266*Summary_LCIA!AG$32</f>
        <v>8.4494198299487101E-3</v>
      </c>
      <c r="BL266" s="137">
        <f>$W266*AQ266+$L266*Summary_LCIA!AH$32</f>
        <v>1.2864423104804708</v>
      </c>
      <c r="BM266" s="137">
        <f>$W266*AR266+$L266*Summary_LCIA!AI$32</f>
        <v>0.34706165260628874</v>
      </c>
    </row>
    <row r="267" spans="1:65" x14ac:dyDescent="0.25">
      <c r="A267" s="149">
        <v>206</v>
      </c>
      <c r="B267" s="149">
        <v>6</v>
      </c>
      <c r="C267" s="61">
        <v>39.514285000000001</v>
      </c>
      <c r="D267" s="61">
        <v>-104.845462</v>
      </c>
      <c r="E267" s="61" t="s">
        <v>265</v>
      </c>
      <c r="F267" s="149">
        <v>16</v>
      </c>
      <c r="G267" s="61" t="s">
        <v>565</v>
      </c>
      <c r="H267" s="61" t="s">
        <v>645</v>
      </c>
      <c r="I267" s="61">
        <v>39.856096000000001</v>
      </c>
      <c r="J267" s="61">
        <v>-104.673738</v>
      </c>
      <c r="K267" s="61">
        <v>66.458705199999997</v>
      </c>
      <c r="L267" s="61">
        <v>55.151000000000003</v>
      </c>
      <c r="M267" s="61" t="s">
        <v>617</v>
      </c>
      <c r="N267" s="149">
        <v>5</v>
      </c>
      <c r="O267" s="149">
        <v>6</v>
      </c>
      <c r="P267" s="61" t="s">
        <v>565</v>
      </c>
      <c r="Q267" s="61" t="s">
        <v>564</v>
      </c>
      <c r="R267" s="61">
        <v>41.98028</v>
      </c>
      <c r="S267" s="61">
        <v>-87.908997900000003</v>
      </c>
      <c r="T267" s="61">
        <v>1638.0509999999999</v>
      </c>
      <c r="U267" s="61" t="s">
        <v>617</v>
      </c>
      <c r="V267" s="61" t="s">
        <v>569</v>
      </c>
      <c r="W267" s="61" cm="1">
        <f t="array" ref="W267">getDistance(I267,J267,R267,S267)*SA!$B$12</f>
        <v>1429.4950991616145</v>
      </c>
      <c r="X267" s="61"/>
      <c r="Y267" s="137">
        <f>Transportation_LCIA!C$61*($W267^Transportation_LCIA!C$60)+Transportation_LCIA!C$62</f>
        <v>0.20349821617970421</v>
      </c>
      <c r="Z267" s="137">
        <f>Transportation_LCIA!D$61*($W267^Transportation_LCIA!D$60)+Transportation_LCIA!D$62</f>
        <v>2.0501411564925682</v>
      </c>
      <c r="AA267" s="137">
        <f>Transportation_LCIA!E$61*($W267^Transportation_LCIA!E$60)+Transportation_LCIA!E$62</f>
        <v>8.9799039356792888E-4</v>
      </c>
      <c r="AB267" s="137">
        <f>Transportation_LCIA!F$61*($W267^Transportation_LCIA!F$60)+Transportation_LCIA!F$62</f>
        <v>0.20349821617970421</v>
      </c>
      <c r="AC267" s="137">
        <f>Transportation_LCIA!G$61*($W267^Transportation_LCIA!G$60)+Transportation_LCIA!G$62</f>
        <v>4.8000028211733513E-2</v>
      </c>
      <c r="AD267" s="137">
        <f>Transportation_LCIA!H$61*($W267^Transportation_LCIA!H$60)+Transportation_LCIA!H$62</f>
        <v>2.2285424318591637E-4</v>
      </c>
      <c r="AE267" s="137">
        <f>Transportation_LCIA!I$61*($W267^Transportation_LCIA!I$60)+Transportation_LCIA!I$62</f>
        <v>4.571174071441499E-6</v>
      </c>
      <c r="AF267" s="137">
        <f>Transportation_LCIA!J$61*($W267^Transportation_LCIA!J$60)+Transportation_LCIA!J$62</f>
        <v>6.7618339751164165E-3</v>
      </c>
      <c r="AG267" s="137">
        <f>Transportation_LCIA!K$61*($W267^Transportation_LCIA!K$60)+Transportation_LCIA!K$62</f>
        <v>1.0036647213890358E-2</v>
      </c>
      <c r="AH267" s="137">
        <f>Transportation_LCIA!L$61*($W267^Transportation_LCIA!L$60)+Transportation_LCIA!L$62</f>
        <v>1.9038435373879868E-4</v>
      </c>
      <c r="AI267" s="137">
        <f>Transportation_LCIA!M$61*($W267^Transportation_LCIA!M$60)+Transportation_LCIA!M$62</f>
        <v>2.1384473386264609E-4</v>
      </c>
      <c r="AJ267" s="137">
        <f>Transportation_LCIA!N$61*($W267^Transportation_LCIA!N$60)+Transportation_LCIA!N$62</f>
        <v>8.0839367892004054E-4</v>
      </c>
      <c r="AK267" s="137">
        <f>Transportation_LCIA!O$61*($W267^Transportation_LCIA!O$60)+Transportation_LCIA!O$62</f>
        <v>5.067209999252372E-5</v>
      </c>
      <c r="AL267" s="137">
        <f>Transportation_LCIA!P$61*($W267^Transportation_LCIA!P$60)+Transportation_LCIA!P$62</f>
        <v>2.4529050433273688E-8</v>
      </c>
      <c r="AM267" s="137">
        <f>Transportation_LCIA!Q$61*($W267^Transportation_LCIA!Q$60)+Transportation_LCIA!Q$62</f>
        <v>7.5620829602403238E-5</v>
      </c>
      <c r="AN267" s="137">
        <f>Transportation_LCIA!R$61*($W267^Transportation_LCIA!R$60)+Transportation_LCIA!R$62</f>
        <v>2.2005485991627286E-4</v>
      </c>
      <c r="AO267" s="137">
        <f>Transportation_LCIA!S$61*($W267^Transportation_LCIA!S$60)+Transportation_LCIA!S$62</f>
        <v>3.3802166707550345E-6</v>
      </c>
      <c r="AP267" s="137">
        <f>Transportation_LCIA!T$61*($W267^Transportation_LCIA!T$60)+Transportation_LCIA!T$62</f>
        <v>3.3802166707550345E-6</v>
      </c>
      <c r="AQ267" s="137">
        <f>Transportation_LCIA!U$61*($W267^Transportation_LCIA!U$60)+Transportation_LCIA!U$62</f>
        <v>4.6945882310058874E-4</v>
      </c>
      <c r="AR267" s="137">
        <f>Transportation_LCIA!V$61*($W267^Transportation_LCIA!V$60)+Transportation_LCIA!V$62</f>
        <v>1.9671290669076797E-4</v>
      </c>
      <c r="AT267" s="137">
        <f>$W267*Y267+$L267*Summary_LCIA!H$32</f>
        <v>309.64001251701791</v>
      </c>
      <c r="AU267" s="137">
        <f>$W267*Z267+$L267*Summary_LCIA!Q$32</f>
        <v>3203.9978732260338</v>
      </c>
      <c r="AV267" s="137">
        <f>$W267*AA267+$L267*Summary_LCIA!R$32</f>
        <v>1.5740759722995636</v>
      </c>
      <c r="AW267" s="137">
        <f>$W267*AB267+$L267*Summary_LCIA!S$32</f>
        <v>309.39624509701792</v>
      </c>
      <c r="AX267" s="137">
        <f>$W267*AC267+$L267*Summary_LCIA!T$32</f>
        <v>74.676899988292291</v>
      </c>
      <c r="AY267" s="137">
        <f>$W267*AD267+$L267*Summary_LCIA!U$32</f>
        <v>1.306544062461638</v>
      </c>
      <c r="AZ267" s="137">
        <f>$W267*AE267+$L267*Summary_LCIA!V$32</f>
        <v>9.1685378435402663E-3</v>
      </c>
      <c r="BA267" s="137">
        <f>$W267*AF267+$L267*Summary_LCIA!W$32</f>
        <v>13.911036149773416</v>
      </c>
      <c r="BB267" s="137">
        <f>$W267*AG267+$L267*Summary_LCIA!X$32</f>
        <v>15.603677784270339</v>
      </c>
      <c r="BC267" s="137">
        <f>$W267*AH267+$L267*Summary_LCIA!Y$32</f>
        <v>1.1315163826266641</v>
      </c>
      <c r="BD267" s="137">
        <f>$W267*AI267+$L267*Summary_LCIA!Z$32</f>
        <v>0.30795168639717235</v>
      </c>
      <c r="BE267" s="137">
        <f>$W267*AJ267+$L267*Summary_LCIA!AA$32</f>
        <v>2.4437015582094257</v>
      </c>
      <c r="BF267" s="137">
        <f>$W267*AK267+$L267*Summary_LCIA!AB$32</f>
        <v>7.1231958330539941E-2</v>
      </c>
      <c r="BG267" s="137">
        <f>$W267*AL267+$L267*Summary_LCIA!AC$32</f>
        <v>3.7760158865452814E-5</v>
      </c>
      <c r="BH267" s="137">
        <f>$W267*AM267+$L267*Summary_LCIA!AD$32</f>
        <v>0.13076887235117096</v>
      </c>
      <c r="BI267" s="137">
        <f>$W267*AN267+$L267*Summary_LCIA!AE$32</f>
        <v>0.36343829942700767</v>
      </c>
      <c r="BJ267" s="137">
        <f>$W267*AO267+$L267*Summary_LCIA!AF$32</f>
        <v>5.1457761584948712E-2</v>
      </c>
      <c r="BK267" s="137">
        <f>$W267*AP267+$L267*Summary_LCIA!AG$32</f>
        <v>7.653804079948711E-3</v>
      </c>
      <c r="BL267" s="137">
        <f>$W267*AQ267+$L267*Summary_LCIA!AH$32</f>
        <v>1.1511013304804709</v>
      </c>
      <c r="BM267" s="137">
        <f>$W267*AR267+$L267*Summary_LCIA!AI$32</f>
        <v>0.33257605010628877</v>
      </c>
    </row>
    <row r="268" spans="1:65" x14ac:dyDescent="0.25">
      <c r="A268" s="149">
        <v>83</v>
      </c>
      <c r="B268" s="149">
        <v>6</v>
      </c>
      <c r="C268" s="61">
        <v>43.110801000000002</v>
      </c>
      <c r="D268" s="61">
        <v>-70.750540000000001</v>
      </c>
      <c r="E268" s="61" t="s">
        <v>265</v>
      </c>
      <c r="F268" s="149">
        <v>53</v>
      </c>
      <c r="G268" s="61" t="s">
        <v>565</v>
      </c>
      <c r="H268" s="61" t="s">
        <v>634</v>
      </c>
      <c r="I268" s="61">
        <v>42.365613000000003</v>
      </c>
      <c r="J268" s="61">
        <v>-71.009559999999993</v>
      </c>
      <c r="K268" s="61">
        <v>116.9533083</v>
      </c>
      <c r="L268" s="61">
        <v>92.052999999999997</v>
      </c>
      <c r="M268" s="61" t="s">
        <v>617</v>
      </c>
      <c r="N268" s="149">
        <v>5</v>
      </c>
      <c r="O268" s="149">
        <v>6</v>
      </c>
      <c r="P268" s="61" t="s">
        <v>565</v>
      </c>
      <c r="Q268" s="61" t="s">
        <v>564</v>
      </c>
      <c r="R268" s="61">
        <v>41.98028</v>
      </c>
      <c r="S268" s="61">
        <v>-87.908997900000003</v>
      </c>
      <c r="T268" s="61">
        <v>1689.9570000000001</v>
      </c>
      <c r="U268" s="61" t="s">
        <v>617</v>
      </c>
      <c r="V268" s="61" t="s">
        <v>569</v>
      </c>
      <c r="W268" s="61" cm="1">
        <f t="array" ref="W268">getDistance(I268,J268,R268,S268)*SA!$B$12</f>
        <v>1394.7010754672544</v>
      </c>
      <c r="X268" s="61"/>
      <c r="Y268" s="137">
        <f>Transportation_LCIA!C$61*($W268^Transportation_LCIA!C$60)+Transportation_LCIA!C$62</f>
        <v>0.20541169071553828</v>
      </c>
      <c r="Z268" s="137">
        <f>Transportation_LCIA!D$61*($W268^Transportation_LCIA!D$60)+Transportation_LCIA!D$62</f>
        <v>2.0721352010636895</v>
      </c>
      <c r="AA268" s="137">
        <f>Transportation_LCIA!E$61*($W268^Transportation_LCIA!E$60)+Transportation_LCIA!E$62</f>
        <v>9.1238963377472367E-4</v>
      </c>
      <c r="AB268" s="137">
        <f>Transportation_LCIA!F$61*($W268^Transportation_LCIA!F$60)+Transportation_LCIA!F$62</f>
        <v>0.20541169071553828</v>
      </c>
      <c r="AC268" s="137">
        <f>Transportation_LCIA!G$61*($W268^Transportation_LCIA!G$60)+Transportation_LCIA!G$62</f>
        <v>4.8509327483629391E-2</v>
      </c>
      <c r="AD268" s="137">
        <f>Transportation_LCIA!H$61*($W268^Transportation_LCIA!H$60)+Transportation_LCIA!H$62</f>
        <v>2.2599378016231362E-4</v>
      </c>
      <c r="AE268" s="137">
        <f>Transportation_LCIA!I$61*($W268^Transportation_LCIA!I$60)+Transportation_LCIA!I$62</f>
        <v>4.6491421751201883E-6</v>
      </c>
      <c r="AF268" s="137">
        <f>Transportation_LCIA!J$61*($W268^Transportation_LCIA!J$60)+Transportation_LCIA!J$62</f>
        <v>6.8769243409976324E-3</v>
      </c>
      <c r="AG268" s="137">
        <f>Transportation_LCIA!K$61*($W268^Transportation_LCIA!K$60)+Transportation_LCIA!K$62</f>
        <v>1.0154626692609268E-2</v>
      </c>
      <c r="AH268" s="137">
        <f>Transportation_LCIA!L$61*($W268^Transportation_LCIA!L$60)+Transportation_LCIA!L$62</f>
        <v>1.9325951793727536E-4</v>
      </c>
      <c r="AI268" s="137">
        <f>Transportation_LCIA!M$61*($W268^Transportation_LCIA!M$60)+Transportation_LCIA!M$62</f>
        <v>2.1557662085587944E-4</v>
      </c>
      <c r="AJ268" s="137">
        <f>Transportation_LCIA!N$61*($W268^Transportation_LCIA!N$60)+Transportation_LCIA!N$62</f>
        <v>8.1896071080382658E-4</v>
      </c>
      <c r="AK268" s="137">
        <f>Transportation_LCIA!O$61*($W268^Transportation_LCIA!O$60)+Transportation_LCIA!O$62</f>
        <v>5.1213070403790544E-5</v>
      </c>
      <c r="AL268" s="137">
        <f>Transportation_LCIA!P$61*($W268^Transportation_LCIA!P$60)+Transportation_LCIA!P$62</f>
        <v>2.4789436903819814E-8</v>
      </c>
      <c r="AM268" s="137">
        <f>Transportation_LCIA!Q$61*($W268^Transportation_LCIA!Q$60)+Transportation_LCIA!Q$62</f>
        <v>7.6742684464983015E-5</v>
      </c>
      <c r="AN268" s="137">
        <f>Transportation_LCIA!R$61*($W268^Transportation_LCIA!R$60)+Transportation_LCIA!R$62</f>
        <v>2.2379243548062238E-4</v>
      </c>
      <c r="AO268" s="137">
        <f>Transportation_LCIA!S$61*($W268^Transportation_LCIA!S$60)+Transportation_LCIA!S$62</f>
        <v>3.4332930346487986E-6</v>
      </c>
      <c r="AP268" s="137">
        <f>Transportation_LCIA!T$61*($W268^Transportation_LCIA!T$60)+Transportation_LCIA!T$62</f>
        <v>3.4332930346487986E-6</v>
      </c>
      <c r="AQ268" s="137">
        <f>Transportation_LCIA!U$61*($W268^Transportation_LCIA!U$60)+Transportation_LCIA!U$62</f>
        <v>4.7763432067623047E-4</v>
      </c>
      <c r="AR268" s="137">
        <f>Transportation_LCIA!V$61*($W268^Transportation_LCIA!V$60)+Transportation_LCIA!V$62</f>
        <v>1.9962357996669805E-4</v>
      </c>
      <c r="AT268" s="137">
        <f>$W268*Y268+$L268*Summary_LCIA!H$32</f>
        <v>317.7675153545083</v>
      </c>
      <c r="AU268" s="137">
        <f>$W268*Z268+$L268*Summary_LCIA!Q$32</f>
        <v>3346.2285039460326</v>
      </c>
      <c r="AV268" s="137">
        <f>$W268*AA268+$L268*Summary_LCIA!R$32</f>
        <v>1.7572250802707814</v>
      </c>
      <c r="AW268" s="137">
        <f>$W268*AB268+$L268*Summary_LCIA!S$32</f>
        <v>317.36064109450825</v>
      </c>
      <c r="AX268" s="137">
        <f>$W268*AC268+$L268*Summary_LCIA!T$32</f>
        <v>77.772635911611161</v>
      </c>
      <c r="AY268" s="137">
        <f>$W268*AD268+$L268*Summary_LCIA!U$32</f>
        <v>1.9642312102412889</v>
      </c>
      <c r="AZ268" s="137">
        <f>$W268*AE268+$L268*Summary_LCIA!V$32</f>
        <v>1.0880706924640297E-2</v>
      </c>
      <c r="BA268" s="137">
        <f>$W268*AF268+$L268*Summary_LCIA!W$32</f>
        <v>16.676665237296337</v>
      </c>
      <c r="BB268" s="137">
        <f>$W268*AG268+$L268*Summary_LCIA!X$32</f>
        <v>16.259636109150637</v>
      </c>
      <c r="BC268" s="137">
        <f>$W268*AH268+$L268*Summary_LCIA!Y$32</f>
        <v>1.7039091035114011</v>
      </c>
      <c r="BD268" s="137">
        <f>$W268*AI268+$L268*Summary_LCIA!Z$32</f>
        <v>0.3044399464302916</v>
      </c>
      <c r="BE268" s="137">
        <f>$W268*AJ268+$L268*Summary_LCIA!AA$32</f>
        <v>3.2921952521235234</v>
      </c>
      <c r="BF268" s="137">
        <f>$W268*AK268+$L268*Summary_LCIA!AB$32</f>
        <v>6.9418051751146889E-2</v>
      </c>
      <c r="BG268" s="137">
        <f>$W268*AL268+$L268*Summary_LCIA!AC$32</f>
        <v>3.9073773161985142E-5</v>
      </c>
      <c r="BH268" s="137">
        <f>$W268*AM268+$L268*Summary_LCIA!AD$32</f>
        <v>0.14487056967755596</v>
      </c>
      <c r="BI268" s="137">
        <f>$W268*AN268+$L268*Summary_LCIA!AE$32</f>
        <v>0.39369447533626017</v>
      </c>
      <c r="BJ268" s="137">
        <f>$W268*AO268+$L268*Summary_LCIA!AF$32</f>
        <v>8.2611864747818911E-2</v>
      </c>
      <c r="BK268" s="137">
        <f>$W268*AP268+$L268*Summary_LCIA!AG$32</f>
        <v>9.4983092328189134E-3</v>
      </c>
      <c r="BL268" s="137">
        <f>$W268*AQ268+$L268*Summary_LCIA!AH$32</f>
        <v>1.4673495915272101</v>
      </c>
      <c r="BM268" s="137">
        <f>$W268*AR268+$L268*Summary_LCIA!AI$32</f>
        <v>0.36416719381817719</v>
      </c>
    </row>
    <row r="269" spans="1:65" x14ac:dyDescent="0.25">
      <c r="A269" s="149">
        <v>84</v>
      </c>
      <c r="B269" s="149">
        <v>6</v>
      </c>
      <c r="C269" s="61">
        <v>43.110801000000002</v>
      </c>
      <c r="D269" s="61">
        <v>-70.750540000000001</v>
      </c>
      <c r="E269" s="61" t="s">
        <v>265</v>
      </c>
      <c r="F269" s="149">
        <v>53</v>
      </c>
      <c r="G269" s="61" t="s">
        <v>565</v>
      </c>
      <c r="H269" s="61" t="s">
        <v>634</v>
      </c>
      <c r="I269" s="61">
        <v>42.365613000000003</v>
      </c>
      <c r="J269" s="61">
        <v>-71.009559999999993</v>
      </c>
      <c r="K269" s="61">
        <v>116.9533083</v>
      </c>
      <c r="L269" s="61">
        <v>92.052999999999997</v>
      </c>
      <c r="M269" s="61" t="s">
        <v>617</v>
      </c>
      <c r="N269" s="149">
        <v>5</v>
      </c>
      <c r="O269" s="149">
        <v>6</v>
      </c>
      <c r="P269" s="61" t="s">
        <v>565</v>
      </c>
      <c r="Q269" s="61" t="s">
        <v>564</v>
      </c>
      <c r="R269" s="61">
        <v>41.98028</v>
      </c>
      <c r="S269" s="61">
        <v>-87.908997900000003</v>
      </c>
      <c r="T269" s="61">
        <v>1689.9570000000001</v>
      </c>
      <c r="U269" s="61" t="s">
        <v>617</v>
      </c>
      <c r="V269" s="61" t="s">
        <v>569</v>
      </c>
      <c r="W269" s="61" cm="1">
        <f t="array" ref="W269">getDistance(I269,J269,R269,S269)*SA!$B$12</f>
        <v>1394.7010754672544</v>
      </c>
      <c r="X269" s="61"/>
      <c r="Y269" s="137">
        <f>Transportation_LCIA!C$61*($W269^Transportation_LCIA!C$60)+Transportation_LCIA!C$62</f>
        <v>0.20541169071553828</v>
      </c>
      <c r="Z269" s="137">
        <f>Transportation_LCIA!D$61*($W269^Transportation_LCIA!D$60)+Transportation_LCIA!D$62</f>
        <v>2.0721352010636895</v>
      </c>
      <c r="AA269" s="137">
        <f>Transportation_LCIA!E$61*($W269^Transportation_LCIA!E$60)+Transportation_LCIA!E$62</f>
        <v>9.1238963377472367E-4</v>
      </c>
      <c r="AB269" s="137">
        <f>Transportation_LCIA!F$61*($W269^Transportation_LCIA!F$60)+Transportation_LCIA!F$62</f>
        <v>0.20541169071553828</v>
      </c>
      <c r="AC269" s="137">
        <f>Transportation_LCIA!G$61*($W269^Transportation_LCIA!G$60)+Transportation_LCIA!G$62</f>
        <v>4.8509327483629391E-2</v>
      </c>
      <c r="AD269" s="137">
        <f>Transportation_LCIA!H$61*($W269^Transportation_LCIA!H$60)+Transportation_LCIA!H$62</f>
        <v>2.2599378016231362E-4</v>
      </c>
      <c r="AE269" s="137">
        <f>Transportation_LCIA!I$61*($W269^Transportation_LCIA!I$60)+Transportation_LCIA!I$62</f>
        <v>4.6491421751201883E-6</v>
      </c>
      <c r="AF269" s="137">
        <f>Transportation_LCIA!J$61*($W269^Transportation_LCIA!J$60)+Transportation_LCIA!J$62</f>
        <v>6.8769243409976324E-3</v>
      </c>
      <c r="AG269" s="137">
        <f>Transportation_LCIA!K$61*($W269^Transportation_LCIA!K$60)+Transportation_LCIA!K$62</f>
        <v>1.0154626692609268E-2</v>
      </c>
      <c r="AH269" s="137">
        <f>Transportation_LCIA!L$61*($W269^Transportation_LCIA!L$60)+Transportation_LCIA!L$62</f>
        <v>1.9325951793727536E-4</v>
      </c>
      <c r="AI269" s="137">
        <f>Transportation_LCIA!M$61*($W269^Transportation_LCIA!M$60)+Transportation_LCIA!M$62</f>
        <v>2.1557662085587944E-4</v>
      </c>
      <c r="AJ269" s="137">
        <f>Transportation_LCIA!N$61*($W269^Transportation_LCIA!N$60)+Transportation_LCIA!N$62</f>
        <v>8.1896071080382658E-4</v>
      </c>
      <c r="AK269" s="137">
        <f>Transportation_LCIA!O$61*($W269^Transportation_LCIA!O$60)+Transportation_LCIA!O$62</f>
        <v>5.1213070403790544E-5</v>
      </c>
      <c r="AL269" s="137">
        <f>Transportation_LCIA!P$61*($W269^Transportation_LCIA!P$60)+Transportation_LCIA!P$62</f>
        <v>2.4789436903819814E-8</v>
      </c>
      <c r="AM269" s="137">
        <f>Transportation_LCIA!Q$61*($W269^Transportation_LCIA!Q$60)+Transportation_LCIA!Q$62</f>
        <v>7.6742684464983015E-5</v>
      </c>
      <c r="AN269" s="137">
        <f>Transportation_LCIA!R$61*($W269^Transportation_LCIA!R$60)+Transportation_LCIA!R$62</f>
        <v>2.2379243548062238E-4</v>
      </c>
      <c r="AO269" s="137">
        <f>Transportation_LCIA!S$61*($W269^Transportation_LCIA!S$60)+Transportation_LCIA!S$62</f>
        <v>3.4332930346487986E-6</v>
      </c>
      <c r="AP269" s="137">
        <f>Transportation_LCIA!T$61*($W269^Transportation_LCIA!T$60)+Transportation_LCIA!T$62</f>
        <v>3.4332930346487986E-6</v>
      </c>
      <c r="AQ269" s="137">
        <f>Transportation_LCIA!U$61*($W269^Transportation_LCIA!U$60)+Transportation_LCIA!U$62</f>
        <v>4.7763432067623047E-4</v>
      </c>
      <c r="AR269" s="137">
        <f>Transportation_LCIA!V$61*($W269^Transportation_LCIA!V$60)+Transportation_LCIA!V$62</f>
        <v>1.9962357996669805E-4</v>
      </c>
      <c r="AT269" s="137">
        <f>$W269*Y269+$L269*Summary_LCIA!H$32</f>
        <v>317.7675153545083</v>
      </c>
      <c r="AU269" s="137">
        <f>$W269*Z269+$L269*Summary_LCIA!Q$32</f>
        <v>3346.2285039460326</v>
      </c>
      <c r="AV269" s="137">
        <f>$W269*AA269+$L269*Summary_LCIA!R$32</f>
        <v>1.7572250802707814</v>
      </c>
      <c r="AW269" s="137">
        <f>$W269*AB269+$L269*Summary_LCIA!S$32</f>
        <v>317.36064109450825</v>
      </c>
      <c r="AX269" s="137">
        <f>$W269*AC269+$L269*Summary_LCIA!T$32</f>
        <v>77.772635911611161</v>
      </c>
      <c r="AY269" s="137">
        <f>$W269*AD269+$L269*Summary_LCIA!U$32</f>
        <v>1.9642312102412889</v>
      </c>
      <c r="AZ269" s="137">
        <f>$W269*AE269+$L269*Summary_LCIA!V$32</f>
        <v>1.0880706924640297E-2</v>
      </c>
      <c r="BA269" s="137">
        <f>$W269*AF269+$L269*Summary_LCIA!W$32</f>
        <v>16.676665237296337</v>
      </c>
      <c r="BB269" s="137">
        <f>$W269*AG269+$L269*Summary_LCIA!X$32</f>
        <v>16.259636109150637</v>
      </c>
      <c r="BC269" s="137">
        <f>$W269*AH269+$L269*Summary_LCIA!Y$32</f>
        <v>1.7039091035114011</v>
      </c>
      <c r="BD269" s="137">
        <f>$W269*AI269+$L269*Summary_LCIA!Z$32</f>
        <v>0.3044399464302916</v>
      </c>
      <c r="BE269" s="137">
        <f>$W269*AJ269+$L269*Summary_LCIA!AA$32</f>
        <v>3.2921952521235234</v>
      </c>
      <c r="BF269" s="137">
        <f>$W269*AK269+$L269*Summary_LCIA!AB$32</f>
        <v>6.9418051751146889E-2</v>
      </c>
      <c r="BG269" s="137">
        <f>$W269*AL269+$L269*Summary_LCIA!AC$32</f>
        <v>3.9073773161985142E-5</v>
      </c>
      <c r="BH269" s="137">
        <f>$W269*AM269+$L269*Summary_LCIA!AD$32</f>
        <v>0.14487056967755596</v>
      </c>
      <c r="BI269" s="137">
        <f>$W269*AN269+$L269*Summary_LCIA!AE$32</f>
        <v>0.39369447533626017</v>
      </c>
      <c r="BJ269" s="137">
        <f>$W269*AO269+$L269*Summary_LCIA!AF$32</f>
        <v>8.2611864747818911E-2</v>
      </c>
      <c r="BK269" s="137">
        <f>$W269*AP269+$L269*Summary_LCIA!AG$32</f>
        <v>9.4983092328189134E-3</v>
      </c>
      <c r="BL269" s="137">
        <f>$W269*AQ269+$L269*Summary_LCIA!AH$32</f>
        <v>1.4673495915272101</v>
      </c>
      <c r="BM269" s="137">
        <f>$W269*AR269+$L269*Summary_LCIA!AI$32</f>
        <v>0.36416719381817719</v>
      </c>
    </row>
    <row r="270" spans="1:65" x14ac:dyDescent="0.25">
      <c r="A270" s="149">
        <v>85</v>
      </c>
      <c r="B270" s="149">
        <v>6</v>
      </c>
      <c r="C270" s="61">
        <v>43.110801000000002</v>
      </c>
      <c r="D270" s="61">
        <v>-70.750540000000001</v>
      </c>
      <c r="E270" s="61" t="s">
        <v>265</v>
      </c>
      <c r="F270" s="149">
        <v>53</v>
      </c>
      <c r="G270" s="61" t="s">
        <v>565</v>
      </c>
      <c r="H270" s="61" t="s">
        <v>634</v>
      </c>
      <c r="I270" s="61">
        <v>42.365613000000003</v>
      </c>
      <c r="J270" s="61">
        <v>-71.009559999999993</v>
      </c>
      <c r="K270" s="61">
        <v>116.9533083</v>
      </c>
      <c r="L270" s="61">
        <v>92.052999999999997</v>
      </c>
      <c r="M270" s="61" t="s">
        <v>617</v>
      </c>
      <c r="N270" s="149">
        <v>5</v>
      </c>
      <c r="O270" s="149">
        <v>6</v>
      </c>
      <c r="P270" s="61" t="s">
        <v>565</v>
      </c>
      <c r="Q270" s="61" t="s">
        <v>564</v>
      </c>
      <c r="R270" s="61">
        <v>41.98028</v>
      </c>
      <c r="S270" s="61">
        <v>-87.908997900000003</v>
      </c>
      <c r="T270" s="61">
        <v>1689.9570000000001</v>
      </c>
      <c r="U270" s="61" t="s">
        <v>617</v>
      </c>
      <c r="V270" s="61" t="s">
        <v>569</v>
      </c>
      <c r="W270" s="61" cm="1">
        <f t="array" ref="W270">getDistance(I270,J270,R270,S270)*SA!$B$12</f>
        <v>1394.7010754672544</v>
      </c>
      <c r="X270" s="61"/>
      <c r="Y270" s="137">
        <f>Transportation_LCIA!C$61*($W270^Transportation_LCIA!C$60)+Transportation_LCIA!C$62</f>
        <v>0.20541169071553828</v>
      </c>
      <c r="Z270" s="137">
        <f>Transportation_LCIA!D$61*($W270^Transportation_LCIA!D$60)+Transportation_LCIA!D$62</f>
        <v>2.0721352010636895</v>
      </c>
      <c r="AA270" s="137">
        <f>Transportation_LCIA!E$61*($W270^Transportation_LCIA!E$60)+Transportation_LCIA!E$62</f>
        <v>9.1238963377472367E-4</v>
      </c>
      <c r="AB270" s="137">
        <f>Transportation_LCIA!F$61*($W270^Transportation_LCIA!F$60)+Transportation_LCIA!F$62</f>
        <v>0.20541169071553828</v>
      </c>
      <c r="AC270" s="137">
        <f>Transportation_LCIA!G$61*($W270^Transportation_LCIA!G$60)+Transportation_LCIA!G$62</f>
        <v>4.8509327483629391E-2</v>
      </c>
      <c r="AD270" s="137">
        <f>Transportation_LCIA!H$61*($W270^Transportation_LCIA!H$60)+Transportation_LCIA!H$62</f>
        <v>2.2599378016231362E-4</v>
      </c>
      <c r="AE270" s="137">
        <f>Transportation_LCIA!I$61*($W270^Transportation_LCIA!I$60)+Transportation_LCIA!I$62</f>
        <v>4.6491421751201883E-6</v>
      </c>
      <c r="AF270" s="137">
        <f>Transportation_LCIA!J$61*($W270^Transportation_LCIA!J$60)+Transportation_LCIA!J$62</f>
        <v>6.8769243409976324E-3</v>
      </c>
      <c r="AG270" s="137">
        <f>Transportation_LCIA!K$61*($W270^Transportation_LCIA!K$60)+Transportation_LCIA!K$62</f>
        <v>1.0154626692609268E-2</v>
      </c>
      <c r="AH270" s="137">
        <f>Transportation_LCIA!L$61*($W270^Transportation_LCIA!L$60)+Transportation_LCIA!L$62</f>
        <v>1.9325951793727536E-4</v>
      </c>
      <c r="AI270" s="137">
        <f>Transportation_LCIA!M$61*($W270^Transportation_LCIA!M$60)+Transportation_LCIA!M$62</f>
        <v>2.1557662085587944E-4</v>
      </c>
      <c r="AJ270" s="137">
        <f>Transportation_LCIA!N$61*($W270^Transportation_LCIA!N$60)+Transportation_LCIA!N$62</f>
        <v>8.1896071080382658E-4</v>
      </c>
      <c r="AK270" s="137">
        <f>Transportation_LCIA!O$61*($W270^Transportation_LCIA!O$60)+Transportation_LCIA!O$62</f>
        <v>5.1213070403790544E-5</v>
      </c>
      <c r="AL270" s="137">
        <f>Transportation_LCIA!P$61*($W270^Transportation_LCIA!P$60)+Transportation_LCIA!P$62</f>
        <v>2.4789436903819814E-8</v>
      </c>
      <c r="AM270" s="137">
        <f>Transportation_LCIA!Q$61*($W270^Transportation_LCIA!Q$60)+Transportation_LCIA!Q$62</f>
        <v>7.6742684464983015E-5</v>
      </c>
      <c r="AN270" s="137">
        <f>Transportation_LCIA!R$61*($W270^Transportation_LCIA!R$60)+Transportation_LCIA!R$62</f>
        <v>2.2379243548062238E-4</v>
      </c>
      <c r="AO270" s="137">
        <f>Transportation_LCIA!S$61*($W270^Transportation_LCIA!S$60)+Transportation_LCIA!S$62</f>
        <v>3.4332930346487986E-6</v>
      </c>
      <c r="AP270" s="137">
        <f>Transportation_LCIA!T$61*($W270^Transportation_LCIA!T$60)+Transportation_LCIA!T$62</f>
        <v>3.4332930346487986E-6</v>
      </c>
      <c r="AQ270" s="137">
        <f>Transportation_LCIA!U$61*($W270^Transportation_LCIA!U$60)+Transportation_LCIA!U$62</f>
        <v>4.7763432067623047E-4</v>
      </c>
      <c r="AR270" s="137">
        <f>Transportation_LCIA!V$61*($W270^Transportation_LCIA!V$60)+Transportation_LCIA!V$62</f>
        <v>1.9962357996669805E-4</v>
      </c>
      <c r="AT270" s="137">
        <f>$W270*Y270+$L270*Summary_LCIA!H$32</f>
        <v>317.7675153545083</v>
      </c>
      <c r="AU270" s="137">
        <f>$W270*Z270+$L270*Summary_LCIA!Q$32</f>
        <v>3346.2285039460326</v>
      </c>
      <c r="AV270" s="137">
        <f>$W270*AA270+$L270*Summary_LCIA!R$32</f>
        <v>1.7572250802707814</v>
      </c>
      <c r="AW270" s="137">
        <f>$W270*AB270+$L270*Summary_LCIA!S$32</f>
        <v>317.36064109450825</v>
      </c>
      <c r="AX270" s="137">
        <f>$W270*AC270+$L270*Summary_LCIA!T$32</f>
        <v>77.772635911611161</v>
      </c>
      <c r="AY270" s="137">
        <f>$W270*AD270+$L270*Summary_LCIA!U$32</f>
        <v>1.9642312102412889</v>
      </c>
      <c r="AZ270" s="137">
        <f>$W270*AE270+$L270*Summary_LCIA!V$32</f>
        <v>1.0880706924640297E-2</v>
      </c>
      <c r="BA270" s="137">
        <f>$W270*AF270+$L270*Summary_LCIA!W$32</f>
        <v>16.676665237296337</v>
      </c>
      <c r="BB270" s="137">
        <f>$W270*AG270+$L270*Summary_LCIA!X$32</f>
        <v>16.259636109150637</v>
      </c>
      <c r="BC270" s="137">
        <f>$W270*AH270+$L270*Summary_LCIA!Y$32</f>
        <v>1.7039091035114011</v>
      </c>
      <c r="BD270" s="137">
        <f>$W270*AI270+$L270*Summary_LCIA!Z$32</f>
        <v>0.3044399464302916</v>
      </c>
      <c r="BE270" s="137">
        <f>$W270*AJ270+$L270*Summary_LCIA!AA$32</f>
        <v>3.2921952521235234</v>
      </c>
      <c r="BF270" s="137">
        <f>$W270*AK270+$L270*Summary_LCIA!AB$32</f>
        <v>6.9418051751146889E-2</v>
      </c>
      <c r="BG270" s="137">
        <f>$W270*AL270+$L270*Summary_LCIA!AC$32</f>
        <v>3.9073773161985142E-5</v>
      </c>
      <c r="BH270" s="137">
        <f>$W270*AM270+$L270*Summary_LCIA!AD$32</f>
        <v>0.14487056967755596</v>
      </c>
      <c r="BI270" s="137">
        <f>$W270*AN270+$L270*Summary_LCIA!AE$32</f>
        <v>0.39369447533626017</v>
      </c>
      <c r="BJ270" s="137">
        <f>$W270*AO270+$L270*Summary_LCIA!AF$32</f>
        <v>8.2611864747818911E-2</v>
      </c>
      <c r="BK270" s="137">
        <f>$W270*AP270+$L270*Summary_LCIA!AG$32</f>
        <v>9.4983092328189134E-3</v>
      </c>
      <c r="BL270" s="137">
        <f>$W270*AQ270+$L270*Summary_LCIA!AH$32</f>
        <v>1.4673495915272101</v>
      </c>
      <c r="BM270" s="137">
        <f>$W270*AR270+$L270*Summary_LCIA!AI$32</f>
        <v>0.36416719381817719</v>
      </c>
    </row>
    <row r="271" spans="1:65" x14ac:dyDescent="0.25">
      <c r="A271" s="149">
        <v>86</v>
      </c>
      <c r="B271" s="149">
        <v>6</v>
      </c>
      <c r="C271" s="61">
        <v>43.110801000000002</v>
      </c>
      <c r="D271" s="61">
        <v>-70.750540000000001</v>
      </c>
      <c r="E271" s="61" t="s">
        <v>265</v>
      </c>
      <c r="F271" s="149">
        <v>53</v>
      </c>
      <c r="G271" s="61" t="s">
        <v>565</v>
      </c>
      <c r="H271" s="61" t="s">
        <v>634</v>
      </c>
      <c r="I271" s="61">
        <v>42.365613000000003</v>
      </c>
      <c r="J271" s="61">
        <v>-71.009559999999993</v>
      </c>
      <c r="K271" s="61">
        <v>116.9533083</v>
      </c>
      <c r="L271" s="61">
        <v>92.052999999999997</v>
      </c>
      <c r="M271" s="61" t="s">
        <v>617</v>
      </c>
      <c r="N271" s="149">
        <v>5</v>
      </c>
      <c r="O271" s="149">
        <v>6</v>
      </c>
      <c r="P271" s="61" t="s">
        <v>565</v>
      </c>
      <c r="Q271" s="61" t="s">
        <v>564</v>
      </c>
      <c r="R271" s="61">
        <v>41.98028</v>
      </c>
      <c r="S271" s="61">
        <v>-87.908997900000003</v>
      </c>
      <c r="T271" s="61">
        <v>1689.9570000000001</v>
      </c>
      <c r="U271" s="61" t="s">
        <v>617</v>
      </c>
      <c r="V271" s="61" t="s">
        <v>569</v>
      </c>
      <c r="W271" s="61" cm="1">
        <f t="array" ref="W271">getDistance(I271,J271,R271,S271)*SA!$B$12</f>
        <v>1394.7010754672544</v>
      </c>
      <c r="X271" s="61"/>
      <c r="Y271" s="137">
        <f>Transportation_LCIA!C$61*($W271^Transportation_LCIA!C$60)+Transportation_LCIA!C$62</f>
        <v>0.20541169071553828</v>
      </c>
      <c r="Z271" s="137">
        <f>Transportation_LCIA!D$61*($W271^Transportation_LCIA!D$60)+Transportation_LCIA!D$62</f>
        <v>2.0721352010636895</v>
      </c>
      <c r="AA271" s="137">
        <f>Transportation_LCIA!E$61*($W271^Transportation_LCIA!E$60)+Transportation_LCIA!E$62</f>
        <v>9.1238963377472367E-4</v>
      </c>
      <c r="AB271" s="137">
        <f>Transportation_LCIA!F$61*($W271^Transportation_LCIA!F$60)+Transportation_LCIA!F$62</f>
        <v>0.20541169071553828</v>
      </c>
      <c r="AC271" s="137">
        <f>Transportation_LCIA!G$61*($W271^Transportation_LCIA!G$60)+Transportation_LCIA!G$62</f>
        <v>4.8509327483629391E-2</v>
      </c>
      <c r="AD271" s="137">
        <f>Transportation_LCIA!H$61*($W271^Transportation_LCIA!H$60)+Transportation_LCIA!H$62</f>
        <v>2.2599378016231362E-4</v>
      </c>
      <c r="AE271" s="137">
        <f>Transportation_LCIA!I$61*($W271^Transportation_LCIA!I$60)+Transportation_LCIA!I$62</f>
        <v>4.6491421751201883E-6</v>
      </c>
      <c r="AF271" s="137">
        <f>Transportation_LCIA!J$61*($W271^Transportation_LCIA!J$60)+Transportation_LCIA!J$62</f>
        <v>6.8769243409976324E-3</v>
      </c>
      <c r="AG271" s="137">
        <f>Transportation_LCIA!K$61*($W271^Transportation_LCIA!K$60)+Transportation_LCIA!K$62</f>
        <v>1.0154626692609268E-2</v>
      </c>
      <c r="AH271" s="137">
        <f>Transportation_LCIA!L$61*($W271^Transportation_LCIA!L$60)+Transportation_LCIA!L$62</f>
        <v>1.9325951793727536E-4</v>
      </c>
      <c r="AI271" s="137">
        <f>Transportation_LCIA!M$61*($W271^Transportation_LCIA!M$60)+Transportation_LCIA!M$62</f>
        <v>2.1557662085587944E-4</v>
      </c>
      <c r="AJ271" s="137">
        <f>Transportation_LCIA!N$61*($W271^Transportation_LCIA!N$60)+Transportation_LCIA!N$62</f>
        <v>8.1896071080382658E-4</v>
      </c>
      <c r="AK271" s="137">
        <f>Transportation_LCIA!O$61*($W271^Transportation_LCIA!O$60)+Transportation_LCIA!O$62</f>
        <v>5.1213070403790544E-5</v>
      </c>
      <c r="AL271" s="137">
        <f>Transportation_LCIA!P$61*($W271^Transportation_LCIA!P$60)+Transportation_LCIA!P$62</f>
        <v>2.4789436903819814E-8</v>
      </c>
      <c r="AM271" s="137">
        <f>Transportation_LCIA!Q$61*($W271^Transportation_LCIA!Q$60)+Transportation_LCIA!Q$62</f>
        <v>7.6742684464983015E-5</v>
      </c>
      <c r="AN271" s="137">
        <f>Transportation_LCIA!R$61*($W271^Transportation_LCIA!R$60)+Transportation_LCIA!R$62</f>
        <v>2.2379243548062238E-4</v>
      </c>
      <c r="AO271" s="137">
        <f>Transportation_LCIA!S$61*($W271^Transportation_LCIA!S$60)+Transportation_LCIA!S$62</f>
        <v>3.4332930346487986E-6</v>
      </c>
      <c r="AP271" s="137">
        <f>Transportation_LCIA!T$61*($W271^Transportation_LCIA!T$60)+Transportation_LCIA!T$62</f>
        <v>3.4332930346487986E-6</v>
      </c>
      <c r="AQ271" s="137">
        <f>Transportation_LCIA!U$61*($W271^Transportation_LCIA!U$60)+Transportation_LCIA!U$62</f>
        <v>4.7763432067623047E-4</v>
      </c>
      <c r="AR271" s="137">
        <f>Transportation_LCIA!V$61*($W271^Transportation_LCIA!V$60)+Transportation_LCIA!V$62</f>
        <v>1.9962357996669805E-4</v>
      </c>
      <c r="AT271" s="137">
        <f>$W271*Y271+$L271*Summary_LCIA!H$32</f>
        <v>317.7675153545083</v>
      </c>
      <c r="AU271" s="137">
        <f>$W271*Z271+$L271*Summary_LCIA!Q$32</f>
        <v>3346.2285039460326</v>
      </c>
      <c r="AV271" s="137">
        <f>$W271*AA271+$L271*Summary_LCIA!R$32</f>
        <v>1.7572250802707814</v>
      </c>
      <c r="AW271" s="137">
        <f>$W271*AB271+$L271*Summary_LCIA!S$32</f>
        <v>317.36064109450825</v>
      </c>
      <c r="AX271" s="137">
        <f>$W271*AC271+$L271*Summary_LCIA!T$32</f>
        <v>77.772635911611161</v>
      </c>
      <c r="AY271" s="137">
        <f>$W271*AD271+$L271*Summary_LCIA!U$32</f>
        <v>1.9642312102412889</v>
      </c>
      <c r="AZ271" s="137">
        <f>$W271*AE271+$L271*Summary_LCIA!V$32</f>
        <v>1.0880706924640297E-2</v>
      </c>
      <c r="BA271" s="137">
        <f>$W271*AF271+$L271*Summary_LCIA!W$32</f>
        <v>16.676665237296337</v>
      </c>
      <c r="BB271" s="137">
        <f>$W271*AG271+$L271*Summary_LCIA!X$32</f>
        <v>16.259636109150637</v>
      </c>
      <c r="BC271" s="137">
        <f>$W271*AH271+$L271*Summary_LCIA!Y$32</f>
        <v>1.7039091035114011</v>
      </c>
      <c r="BD271" s="137">
        <f>$W271*AI271+$L271*Summary_LCIA!Z$32</f>
        <v>0.3044399464302916</v>
      </c>
      <c r="BE271" s="137">
        <f>$W271*AJ271+$L271*Summary_LCIA!AA$32</f>
        <v>3.2921952521235234</v>
      </c>
      <c r="BF271" s="137">
        <f>$W271*AK271+$L271*Summary_LCIA!AB$32</f>
        <v>6.9418051751146889E-2</v>
      </c>
      <c r="BG271" s="137">
        <f>$W271*AL271+$L271*Summary_LCIA!AC$32</f>
        <v>3.9073773161985142E-5</v>
      </c>
      <c r="BH271" s="137">
        <f>$W271*AM271+$L271*Summary_LCIA!AD$32</f>
        <v>0.14487056967755596</v>
      </c>
      <c r="BI271" s="137">
        <f>$W271*AN271+$L271*Summary_LCIA!AE$32</f>
        <v>0.39369447533626017</v>
      </c>
      <c r="BJ271" s="137">
        <f>$W271*AO271+$L271*Summary_LCIA!AF$32</f>
        <v>8.2611864747818911E-2</v>
      </c>
      <c r="BK271" s="137">
        <f>$W271*AP271+$L271*Summary_LCIA!AG$32</f>
        <v>9.4983092328189134E-3</v>
      </c>
      <c r="BL271" s="137">
        <f>$W271*AQ271+$L271*Summary_LCIA!AH$32</f>
        <v>1.4673495915272101</v>
      </c>
      <c r="BM271" s="137">
        <f>$W271*AR271+$L271*Summary_LCIA!AI$32</f>
        <v>0.36416719381817719</v>
      </c>
    </row>
    <row r="272" spans="1:65" x14ac:dyDescent="0.25">
      <c r="A272" s="149">
        <v>87</v>
      </c>
      <c r="B272" s="149">
        <v>6</v>
      </c>
      <c r="C272" s="61">
        <v>43.110801000000002</v>
      </c>
      <c r="D272" s="61">
        <v>-70.750540000000001</v>
      </c>
      <c r="E272" s="61" t="s">
        <v>265</v>
      </c>
      <c r="F272" s="149">
        <v>53</v>
      </c>
      <c r="G272" s="61" t="s">
        <v>565</v>
      </c>
      <c r="H272" s="61" t="s">
        <v>634</v>
      </c>
      <c r="I272" s="61">
        <v>42.365613000000003</v>
      </c>
      <c r="J272" s="61">
        <v>-71.009559999999993</v>
      </c>
      <c r="K272" s="61">
        <v>116.9533083</v>
      </c>
      <c r="L272" s="61">
        <v>92.052999999999997</v>
      </c>
      <c r="M272" s="61" t="s">
        <v>617</v>
      </c>
      <c r="N272" s="149">
        <v>5</v>
      </c>
      <c r="O272" s="149">
        <v>6</v>
      </c>
      <c r="P272" s="61" t="s">
        <v>565</v>
      </c>
      <c r="Q272" s="61" t="s">
        <v>564</v>
      </c>
      <c r="R272" s="61">
        <v>41.98028</v>
      </c>
      <c r="S272" s="61">
        <v>-87.908997900000003</v>
      </c>
      <c r="T272" s="61">
        <v>1689.9570000000001</v>
      </c>
      <c r="U272" s="61" t="s">
        <v>617</v>
      </c>
      <c r="V272" s="61" t="s">
        <v>569</v>
      </c>
      <c r="W272" s="61" cm="1">
        <f t="array" ref="W272">getDistance(I272,J272,R272,S272)*SA!$B$12</f>
        <v>1394.7010754672544</v>
      </c>
      <c r="X272" s="61"/>
      <c r="Y272" s="137">
        <f>Transportation_LCIA!C$61*($W272^Transportation_LCIA!C$60)+Transportation_LCIA!C$62</f>
        <v>0.20541169071553828</v>
      </c>
      <c r="Z272" s="137">
        <f>Transportation_LCIA!D$61*($W272^Transportation_LCIA!D$60)+Transportation_LCIA!D$62</f>
        <v>2.0721352010636895</v>
      </c>
      <c r="AA272" s="137">
        <f>Transportation_LCIA!E$61*($W272^Transportation_LCIA!E$60)+Transportation_LCIA!E$62</f>
        <v>9.1238963377472367E-4</v>
      </c>
      <c r="AB272" s="137">
        <f>Transportation_LCIA!F$61*($W272^Transportation_LCIA!F$60)+Transportation_LCIA!F$62</f>
        <v>0.20541169071553828</v>
      </c>
      <c r="AC272" s="137">
        <f>Transportation_LCIA!G$61*($W272^Transportation_LCIA!G$60)+Transportation_LCIA!G$62</f>
        <v>4.8509327483629391E-2</v>
      </c>
      <c r="AD272" s="137">
        <f>Transportation_LCIA!H$61*($W272^Transportation_LCIA!H$60)+Transportation_LCIA!H$62</f>
        <v>2.2599378016231362E-4</v>
      </c>
      <c r="AE272" s="137">
        <f>Transportation_LCIA!I$61*($W272^Transportation_LCIA!I$60)+Transportation_LCIA!I$62</f>
        <v>4.6491421751201883E-6</v>
      </c>
      <c r="AF272" s="137">
        <f>Transportation_LCIA!J$61*($W272^Transportation_LCIA!J$60)+Transportation_LCIA!J$62</f>
        <v>6.8769243409976324E-3</v>
      </c>
      <c r="AG272" s="137">
        <f>Transportation_LCIA!K$61*($W272^Transportation_LCIA!K$60)+Transportation_LCIA!K$62</f>
        <v>1.0154626692609268E-2</v>
      </c>
      <c r="AH272" s="137">
        <f>Transportation_LCIA!L$61*($W272^Transportation_LCIA!L$60)+Transportation_LCIA!L$62</f>
        <v>1.9325951793727536E-4</v>
      </c>
      <c r="AI272" s="137">
        <f>Transportation_LCIA!M$61*($W272^Transportation_LCIA!M$60)+Transportation_LCIA!M$62</f>
        <v>2.1557662085587944E-4</v>
      </c>
      <c r="AJ272" s="137">
        <f>Transportation_LCIA!N$61*($W272^Transportation_LCIA!N$60)+Transportation_LCIA!N$62</f>
        <v>8.1896071080382658E-4</v>
      </c>
      <c r="AK272" s="137">
        <f>Transportation_LCIA!O$61*($W272^Transportation_LCIA!O$60)+Transportation_LCIA!O$62</f>
        <v>5.1213070403790544E-5</v>
      </c>
      <c r="AL272" s="137">
        <f>Transportation_LCIA!P$61*($W272^Transportation_LCIA!P$60)+Transportation_LCIA!P$62</f>
        <v>2.4789436903819814E-8</v>
      </c>
      <c r="AM272" s="137">
        <f>Transportation_LCIA!Q$61*($W272^Transportation_LCIA!Q$60)+Transportation_LCIA!Q$62</f>
        <v>7.6742684464983015E-5</v>
      </c>
      <c r="AN272" s="137">
        <f>Transportation_LCIA!R$61*($W272^Transportation_LCIA!R$60)+Transportation_LCIA!R$62</f>
        <v>2.2379243548062238E-4</v>
      </c>
      <c r="AO272" s="137">
        <f>Transportation_LCIA!S$61*($W272^Transportation_LCIA!S$60)+Transportation_LCIA!S$62</f>
        <v>3.4332930346487986E-6</v>
      </c>
      <c r="AP272" s="137">
        <f>Transportation_LCIA!T$61*($W272^Transportation_LCIA!T$60)+Transportation_LCIA!T$62</f>
        <v>3.4332930346487986E-6</v>
      </c>
      <c r="AQ272" s="137">
        <f>Transportation_LCIA!U$61*($W272^Transportation_LCIA!U$60)+Transportation_LCIA!U$62</f>
        <v>4.7763432067623047E-4</v>
      </c>
      <c r="AR272" s="137">
        <f>Transportation_LCIA!V$61*($W272^Transportation_LCIA!V$60)+Transportation_LCIA!V$62</f>
        <v>1.9962357996669805E-4</v>
      </c>
      <c r="AT272" s="137">
        <f>$W272*Y272+$L272*Summary_LCIA!H$32</f>
        <v>317.7675153545083</v>
      </c>
      <c r="AU272" s="137">
        <f>$W272*Z272+$L272*Summary_LCIA!Q$32</f>
        <v>3346.2285039460326</v>
      </c>
      <c r="AV272" s="137">
        <f>$W272*AA272+$L272*Summary_LCIA!R$32</f>
        <v>1.7572250802707814</v>
      </c>
      <c r="AW272" s="137">
        <f>$W272*AB272+$L272*Summary_LCIA!S$32</f>
        <v>317.36064109450825</v>
      </c>
      <c r="AX272" s="137">
        <f>$W272*AC272+$L272*Summary_LCIA!T$32</f>
        <v>77.772635911611161</v>
      </c>
      <c r="AY272" s="137">
        <f>$W272*AD272+$L272*Summary_LCIA!U$32</f>
        <v>1.9642312102412889</v>
      </c>
      <c r="AZ272" s="137">
        <f>$W272*AE272+$L272*Summary_LCIA!V$32</f>
        <v>1.0880706924640297E-2</v>
      </c>
      <c r="BA272" s="137">
        <f>$W272*AF272+$L272*Summary_LCIA!W$32</f>
        <v>16.676665237296337</v>
      </c>
      <c r="BB272" s="137">
        <f>$W272*AG272+$L272*Summary_LCIA!X$32</f>
        <v>16.259636109150637</v>
      </c>
      <c r="BC272" s="137">
        <f>$W272*AH272+$L272*Summary_LCIA!Y$32</f>
        <v>1.7039091035114011</v>
      </c>
      <c r="BD272" s="137">
        <f>$W272*AI272+$L272*Summary_LCIA!Z$32</f>
        <v>0.3044399464302916</v>
      </c>
      <c r="BE272" s="137">
        <f>$W272*AJ272+$L272*Summary_LCIA!AA$32</f>
        <v>3.2921952521235234</v>
      </c>
      <c r="BF272" s="137">
        <f>$W272*AK272+$L272*Summary_LCIA!AB$32</f>
        <v>6.9418051751146889E-2</v>
      </c>
      <c r="BG272" s="137">
        <f>$W272*AL272+$L272*Summary_LCIA!AC$32</f>
        <v>3.9073773161985142E-5</v>
      </c>
      <c r="BH272" s="137">
        <f>$W272*AM272+$L272*Summary_LCIA!AD$32</f>
        <v>0.14487056967755596</v>
      </c>
      <c r="BI272" s="137">
        <f>$W272*AN272+$L272*Summary_LCIA!AE$32</f>
        <v>0.39369447533626017</v>
      </c>
      <c r="BJ272" s="137">
        <f>$W272*AO272+$L272*Summary_LCIA!AF$32</f>
        <v>8.2611864747818911E-2</v>
      </c>
      <c r="BK272" s="137">
        <f>$W272*AP272+$L272*Summary_LCIA!AG$32</f>
        <v>9.4983092328189134E-3</v>
      </c>
      <c r="BL272" s="137">
        <f>$W272*AQ272+$L272*Summary_LCIA!AH$32</f>
        <v>1.4673495915272101</v>
      </c>
      <c r="BM272" s="137">
        <f>$W272*AR272+$L272*Summary_LCIA!AI$32</f>
        <v>0.36416719381817719</v>
      </c>
    </row>
    <row r="273" spans="1:65" x14ac:dyDescent="0.25">
      <c r="A273" s="149">
        <v>88</v>
      </c>
      <c r="B273" s="149">
        <v>6</v>
      </c>
      <c r="C273" s="61">
        <v>43.110801000000002</v>
      </c>
      <c r="D273" s="61">
        <v>-70.750540000000001</v>
      </c>
      <c r="E273" s="61" t="s">
        <v>265</v>
      </c>
      <c r="F273" s="149">
        <v>53</v>
      </c>
      <c r="G273" s="61" t="s">
        <v>565</v>
      </c>
      <c r="H273" s="61" t="s">
        <v>634</v>
      </c>
      <c r="I273" s="61">
        <v>42.365613000000003</v>
      </c>
      <c r="J273" s="61">
        <v>-71.009559999999993</v>
      </c>
      <c r="K273" s="61">
        <v>116.9533083</v>
      </c>
      <c r="L273" s="61">
        <v>92.052999999999997</v>
      </c>
      <c r="M273" s="61" t="s">
        <v>617</v>
      </c>
      <c r="N273" s="149">
        <v>5</v>
      </c>
      <c r="O273" s="149">
        <v>6</v>
      </c>
      <c r="P273" s="61" t="s">
        <v>565</v>
      </c>
      <c r="Q273" s="61" t="s">
        <v>564</v>
      </c>
      <c r="R273" s="61">
        <v>41.98028</v>
      </c>
      <c r="S273" s="61">
        <v>-87.908997900000003</v>
      </c>
      <c r="T273" s="61">
        <v>1689.9570000000001</v>
      </c>
      <c r="U273" s="61" t="s">
        <v>617</v>
      </c>
      <c r="V273" s="61" t="s">
        <v>569</v>
      </c>
      <c r="W273" s="61" cm="1">
        <f t="array" ref="W273">getDistance(I273,J273,R273,S273)*SA!$B$12</f>
        <v>1394.7010754672544</v>
      </c>
      <c r="X273" s="61"/>
      <c r="Y273" s="137">
        <f>Transportation_LCIA!C$61*($W273^Transportation_LCIA!C$60)+Transportation_LCIA!C$62</f>
        <v>0.20541169071553828</v>
      </c>
      <c r="Z273" s="137">
        <f>Transportation_LCIA!D$61*($W273^Transportation_LCIA!D$60)+Transportation_LCIA!D$62</f>
        <v>2.0721352010636895</v>
      </c>
      <c r="AA273" s="137">
        <f>Transportation_LCIA!E$61*($W273^Transportation_LCIA!E$60)+Transportation_LCIA!E$62</f>
        <v>9.1238963377472367E-4</v>
      </c>
      <c r="AB273" s="137">
        <f>Transportation_LCIA!F$61*($W273^Transportation_LCIA!F$60)+Transportation_LCIA!F$62</f>
        <v>0.20541169071553828</v>
      </c>
      <c r="AC273" s="137">
        <f>Transportation_LCIA!G$61*($W273^Transportation_LCIA!G$60)+Transportation_LCIA!G$62</f>
        <v>4.8509327483629391E-2</v>
      </c>
      <c r="AD273" s="137">
        <f>Transportation_LCIA!H$61*($W273^Transportation_LCIA!H$60)+Transportation_LCIA!H$62</f>
        <v>2.2599378016231362E-4</v>
      </c>
      <c r="AE273" s="137">
        <f>Transportation_LCIA!I$61*($W273^Transportation_LCIA!I$60)+Transportation_LCIA!I$62</f>
        <v>4.6491421751201883E-6</v>
      </c>
      <c r="AF273" s="137">
        <f>Transportation_LCIA!J$61*($W273^Transportation_LCIA!J$60)+Transportation_LCIA!J$62</f>
        <v>6.8769243409976324E-3</v>
      </c>
      <c r="AG273" s="137">
        <f>Transportation_LCIA!K$61*($W273^Transportation_LCIA!K$60)+Transportation_LCIA!K$62</f>
        <v>1.0154626692609268E-2</v>
      </c>
      <c r="AH273" s="137">
        <f>Transportation_LCIA!L$61*($W273^Transportation_LCIA!L$60)+Transportation_LCIA!L$62</f>
        <v>1.9325951793727536E-4</v>
      </c>
      <c r="AI273" s="137">
        <f>Transportation_LCIA!M$61*($W273^Transportation_LCIA!M$60)+Transportation_LCIA!M$62</f>
        <v>2.1557662085587944E-4</v>
      </c>
      <c r="AJ273" s="137">
        <f>Transportation_LCIA!N$61*($W273^Transportation_LCIA!N$60)+Transportation_LCIA!N$62</f>
        <v>8.1896071080382658E-4</v>
      </c>
      <c r="AK273" s="137">
        <f>Transportation_LCIA!O$61*($W273^Transportation_LCIA!O$60)+Transportation_LCIA!O$62</f>
        <v>5.1213070403790544E-5</v>
      </c>
      <c r="AL273" s="137">
        <f>Transportation_LCIA!P$61*($W273^Transportation_LCIA!P$60)+Transportation_LCIA!P$62</f>
        <v>2.4789436903819814E-8</v>
      </c>
      <c r="AM273" s="137">
        <f>Transportation_LCIA!Q$61*($W273^Transportation_LCIA!Q$60)+Transportation_LCIA!Q$62</f>
        <v>7.6742684464983015E-5</v>
      </c>
      <c r="AN273" s="137">
        <f>Transportation_LCIA!R$61*($W273^Transportation_LCIA!R$60)+Transportation_LCIA!R$62</f>
        <v>2.2379243548062238E-4</v>
      </c>
      <c r="AO273" s="137">
        <f>Transportation_LCIA!S$61*($W273^Transportation_LCIA!S$60)+Transportation_LCIA!S$62</f>
        <v>3.4332930346487986E-6</v>
      </c>
      <c r="AP273" s="137">
        <f>Transportation_LCIA!T$61*($W273^Transportation_LCIA!T$60)+Transportation_LCIA!T$62</f>
        <v>3.4332930346487986E-6</v>
      </c>
      <c r="AQ273" s="137">
        <f>Transportation_LCIA!U$61*($W273^Transportation_LCIA!U$60)+Transportation_LCIA!U$62</f>
        <v>4.7763432067623047E-4</v>
      </c>
      <c r="AR273" s="137">
        <f>Transportation_LCIA!V$61*($W273^Transportation_LCIA!V$60)+Transportation_LCIA!V$62</f>
        <v>1.9962357996669805E-4</v>
      </c>
      <c r="AT273" s="137">
        <f>$W273*Y273+$L273*Summary_LCIA!H$32</f>
        <v>317.7675153545083</v>
      </c>
      <c r="AU273" s="137">
        <f>$W273*Z273+$L273*Summary_LCIA!Q$32</f>
        <v>3346.2285039460326</v>
      </c>
      <c r="AV273" s="137">
        <f>$W273*AA273+$L273*Summary_LCIA!R$32</f>
        <v>1.7572250802707814</v>
      </c>
      <c r="AW273" s="137">
        <f>$W273*AB273+$L273*Summary_LCIA!S$32</f>
        <v>317.36064109450825</v>
      </c>
      <c r="AX273" s="137">
        <f>$W273*AC273+$L273*Summary_LCIA!T$32</f>
        <v>77.772635911611161</v>
      </c>
      <c r="AY273" s="137">
        <f>$W273*AD273+$L273*Summary_LCIA!U$32</f>
        <v>1.9642312102412889</v>
      </c>
      <c r="AZ273" s="137">
        <f>$W273*AE273+$L273*Summary_LCIA!V$32</f>
        <v>1.0880706924640297E-2</v>
      </c>
      <c r="BA273" s="137">
        <f>$W273*AF273+$L273*Summary_LCIA!W$32</f>
        <v>16.676665237296337</v>
      </c>
      <c r="BB273" s="137">
        <f>$W273*AG273+$L273*Summary_LCIA!X$32</f>
        <v>16.259636109150637</v>
      </c>
      <c r="BC273" s="137">
        <f>$W273*AH273+$L273*Summary_LCIA!Y$32</f>
        <v>1.7039091035114011</v>
      </c>
      <c r="BD273" s="137">
        <f>$W273*AI273+$L273*Summary_LCIA!Z$32</f>
        <v>0.3044399464302916</v>
      </c>
      <c r="BE273" s="137">
        <f>$W273*AJ273+$L273*Summary_LCIA!AA$32</f>
        <v>3.2921952521235234</v>
      </c>
      <c r="BF273" s="137">
        <f>$W273*AK273+$L273*Summary_LCIA!AB$32</f>
        <v>6.9418051751146889E-2</v>
      </c>
      <c r="BG273" s="137">
        <f>$W273*AL273+$L273*Summary_LCIA!AC$32</f>
        <v>3.9073773161985142E-5</v>
      </c>
      <c r="BH273" s="137">
        <f>$W273*AM273+$L273*Summary_LCIA!AD$32</f>
        <v>0.14487056967755596</v>
      </c>
      <c r="BI273" s="137">
        <f>$W273*AN273+$L273*Summary_LCIA!AE$32</f>
        <v>0.39369447533626017</v>
      </c>
      <c r="BJ273" s="137">
        <f>$W273*AO273+$L273*Summary_LCIA!AF$32</f>
        <v>8.2611864747818911E-2</v>
      </c>
      <c r="BK273" s="137">
        <f>$W273*AP273+$L273*Summary_LCIA!AG$32</f>
        <v>9.4983092328189134E-3</v>
      </c>
      <c r="BL273" s="137">
        <f>$W273*AQ273+$L273*Summary_LCIA!AH$32</f>
        <v>1.4673495915272101</v>
      </c>
      <c r="BM273" s="137">
        <f>$W273*AR273+$L273*Summary_LCIA!AI$32</f>
        <v>0.36416719381817719</v>
      </c>
    </row>
    <row r="274" spans="1:65" x14ac:dyDescent="0.25">
      <c r="A274" s="149">
        <v>211</v>
      </c>
      <c r="B274" s="149">
        <v>6</v>
      </c>
      <c r="C274" s="61">
        <v>43.197862000000001</v>
      </c>
      <c r="D274" s="61">
        <v>-70.873670000000004</v>
      </c>
      <c r="E274" s="61" t="s">
        <v>265</v>
      </c>
      <c r="F274" s="149">
        <v>53</v>
      </c>
      <c r="G274" s="61" t="s">
        <v>565</v>
      </c>
      <c r="H274" s="61" t="s">
        <v>634</v>
      </c>
      <c r="I274" s="61">
        <v>42.365613000000003</v>
      </c>
      <c r="J274" s="61">
        <v>-71.009559999999993</v>
      </c>
      <c r="K274" s="61">
        <v>127.17130450000001</v>
      </c>
      <c r="L274" s="61">
        <v>104.06699999999999</v>
      </c>
      <c r="M274" s="61" t="s">
        <v>617</v>
      </c>
      <c r="N274" s="149">
        <v>5</v>
      </c>
      <c r="O274" s="149">
        <v>6</v>
      </c>
      <c r="P274" s="61" t="s">
        <v>565</v>
      </c>
      <c r="Q274" s="61" t="s">
        <v>564</v>
      </c>
      <c r="R274" s="61">
        <v>41.98028</v>
      </c>
      <c r="S274" s="61">
        <v>-87.908997900000003</v>
      </c>
      <c r="T274" s="61">
        <v>1701.971</v>
      </c>
      <c r="U274" s="61" t="s">
        <v>617</v>
      </c>
      <c r="V274" s="61" t="s">
        <v>569</v>
      </c>
      <c r="W274" s="61" cm="1">
        <f t="array" ref="W274">getDistance(I274,J274,R274,S274)*SA!$B$12</f>
        <v>1394.7010754672544</v>
      </c>
      <c r="X274" s="61"/>
      <c r="Y274" s="137">
        <f>Transportation_LCIA!C$61*($W274^Transportation_LCIA!C$60)+Transportation_LCIA!C$62</f>
        <v>0.20541169071553828</v>
      </c>
      <c r="Z274" s="137">
        <f>Transportation_LCIA!D$61*($W274^Transportation_LCIA!D$60)+Transportation_LCIA!D$62</f>
        <v>2.0721352010636895</v>
      </c>
      <c r="AA274" s="137">
        <f>Transportation_LCIA!E$61*($W274^Transportation_LCIA!E$60)+Transportation_LCIA!E$62</f>
        <v>9.1238963377472367E-4</v>
      </c>
      <c r="AB274" s="137">
        <f>Transportation_LCIA!F$61*($W274^Transportation_LCIA!F$60)+Transportation_LCIA!F$62</f>
        <v>0.20541169071553828</v>
      </c>
      <c r="AC274" s="137">
        <f>Transportation_LCIA!G$61*($W274^Transportation_LCIA!G$60)+Transportation_LCIA!G$62</f>
        <v>4.8509327483629391E-2</v>
      </c>
      <c r="AD274" s="137">
        <f>Transportation_LCIA!H$61*($W274^Transportation_LCIA!H$60)+Transportation_LCIA!H$62</f>
        <v>2.2599378016231362E-4</v>
      </c>
      <c r="AE274" s="137">
        <f>Transportation_LCIA!I$61*($W274^Transportation_LCIA!I$60)+Transportation_LCIA!I$62</f>
        <v>4.6491421751201883E-6</v>
      </c>
      <c r="AF274" s="137">
        <f>Transportation_LCIA!J$61*($W274^Transportation_LCIA!J$60)+Transportation_LCIA!J$62</f>
        <v>6.8769243409976324E-3</v>
      </c>
      <c r="AG274" s="137">
        <f>Transportation_LCIA!K$61*($W274^Transportation_LCIA!K$60)+Transportation_LCIA!K$62</f>
        <v>1.0154626692609268E-2</v>
      </c>
      <c r="AH274" s="137">
        <f>Transportation_LCIA!L$61*($W274^Transportation_LCIA!L$60)+Transportation_LCIA!L$62</f>
        <v>1.9325951793727536E-4</v>
      </c>
      <c r="AI274" s="137">
        <f>Transportation_LCIA!M$61*($W274^Transportation_LCIA!M$60)+Transportation_LCIA!M$62</f>
        <v>2.1557662085587944E-4</v>
      </c>
      <c r="AJ274" s="137">
        <f>Transportation_LCIA!N$61*($W274^Transportation_LCIA!N$60)+Transportation_LCIA!N$62</f>
        <v>8.1896071080382658E-4</v>
      </c>
      <c r="AK274" s="137">
        <f>Transportation_LCIA!O$61*($W274^Transportation_LCIA!O$60)+Transportation_LCIA!O$62</f>
        <v>5.1213070403790544E-5</v>
      </c>
      <c r="AL274" s="137">
        <f>Transportation_LCIA!P$61*($W274^Transportation_LCIA!P$60)+Transportation_LCIA!P$62</f>
        <v>2.4789436903819814E-8</v>
      </c>
      <c r="AM274" s="137">
        <f>Transportation_LCIA!Q$61*($W274^Transportation_LCIA!Q$60)+Transportation_LCIA!Q$62</f>
        <v>7.6742684464983015E-5</v>
      </c>
      <c r="AN274" s="137">
        <f>Transportation_LCIA!R$61*($W274^Transportation_LCIA!R$60)+Transportation_LCIA!R$62</f>
        <v>2.2379243548062238E-4</v>
      </c>
      <c r="AO274" s="137">
        <f>Transportation_LCIA!S$61*($W274^Transportation_LCIA!S$60)+Transportation_LCIA!S$62</f>
        <v>3.4332930346487986E-6</v>
      </c>
      <c r="AP274" s="137">
        <f>Transportation_LCIA!T$61*($W274^Transportation_LCIA!T$60)+Transportation_LCIA!T$62</f>
        <v>3.4332930346487986E-6</v>
      </c>
      <c r="AQ274" s="137">
        <f>Transportation_LCIA!U$61*($W274^Transportation_LCIA!U$60)+Transportation_LCIA!U$62</f>
        <v>4.7763432067623047E-4</v>
      </c>
      <c r="AR274" s="137">
        <f>Transportation_LCIA!V$61*($W274^Transportation_LCIA!V$60)+Transportation_LCIA!V$62</f>
        <v>1.9962357996669805E-4</v>
      </c>
      <c r="AT274" s="137">
        <f>$W274*Y274+$L274*Summary_LCIA!H$32</f>
        <v>321.84987255450829</v>
      </c>
      <c r="AU274" s="137">
        <f>$W274*Z274+$L274*Summary_LCIA!Q$32</f>
        <v>3405.7704938480942</v>
      </c>
      <c r="AV274" s="137">
        <f>$W274*AA274+$L274*Summary_LCIA!R$32</f>
        <v>1.8204859986707813</v>
      </c>
      <c r="AW274" s="137">
        <f>$W274*AB274+$L274*Summary_LCIA!S$32</f>
        <v>321.38989641450826</v>
      </c>
      <c r="AX274" s="137">
        <f>$W274*AC274+$L274*Summary_LCIA!T$32</f>
        <v>79.09297451161116</v>
      </c>
      <c r="AY274" s="137">
        <f>$W274*AD274+$L274*Summary_LCIA!U$32</f>
        <v>2.1794500062412889</v>
      </c>
      <c r="AZ274" s="137">
        <f>$W274*AE274+$L274*Summary_LCIA!V$32</f>
        <v>1.1454507578640296E-2</v>
      </c>
      <c r="BA274" s="137">
        <f>$W274*AF274+$L274*Summary_LCIA!W$32</f>
        <v>17.601394831296336</v>
      </c>
      <c r="BB274" s="137">
        <f>$W274*AG274+$L274*Summary_LCIA!X$32</f>
        <v>16.533315029150636</v>
      </c>
      <c r="BC274" s="137">
        <f>$W274*AH274+$L274*Summary_LCIA!Y$32</f>
        <v>1.891111251511401</v>
      </c>
      <c r="BD274" s="137">
        <f>$W274*AI274+$L274*Summary_LCIA!Z$32</f>
        <v>0.30493262855629161</v>
      </c>
      <c r="BE274" s="137">
        <f>$W274*AJ274+$L274*Summary_LCIA!AA$32</f>
        <v>3.5727942361235234</v>
      </c>
      <c r="BF274" s="137">
        <f>$W274*AK274+$L274*Summary_LCIA!AB$32</f>
        <v>6.915587022914689E-2</v>
      </c>
      <c r="BG274" s="137">
        <f>$W274*AL274+$L274*Summary_LCIA!AC$32</f>
        <v>3.9661065537985139E-5</v>
      </c>
      <c r="BH274" s="137">
        <f>$W274*AM274+$L274*Summary_LCIA!AD$32</f>
        <v>0.14980880423755596</v>
      </c>
      <c r="BI274" s="137">
        <f>$W274*AN274+$L274*Summary_LCIA!AE$32</f>
        <v>0.40434044115626017</v>
      </c>
      <c r="BJ274" s="137">
        <f>$W274*AO274+$L274*Summary_LCIA!AF$32</f>
        <v>9.276874062781891E-2</v>
      </c>
      <c r="BK274" s="137">
        <f>$W274*AP274+$L274*Summary_LCIA!AG$32</f>
        <v>1.0113005542818913E-2</v>
      </c>
      <c r="BL274" s="137">
        <f>$W274*AQ274+$L274*Summary_LCIA!AH$32</f>
        <v>1.5719146419272101</v>
      </c>
      <c r="BM274" s="137">
        <f>$W274*AR274+$L274*Summary_LCIA!AI$32</f>
        <v>0.37535883551817723</v>
      </c>
    </row>
    <row r="275" spans="1:65" x14ac:dyDescent="0.25">
      <c r="A275" s="149">
        <v>19</v>
      </c>
      <c r="B275" s="149">
        <v>6</v>
      </c>
      <c r="C275" s="61">
        <v>43.183446000000004</v>
      </c>
      <c r="D275" s="61">
        <v>-70.608591000000004</v>
      </c>
      <c r="E275" s="61" t="s">
        <v>265</v>
      </c>
      <c r="F275" s="149">
        <v>53</v>
      </c>
      <c r="G275" s="61" t="s">
        <v>565</v>
      </c>
      <c r="H275" s="61" t="s">
        <v>634</v>
      </c>
      <c r="I275" s="61">
        <v>42.365613000000003</v>
      </c>
      <c r="J275" s="61">
        <v>-71.009559999999993</v>
      </c>
      <c r="K275" s="61">
        <v>131.74496160000001</v>
      </c>
      <c r="L275" s="61">
        <v>107.55800000000001</v>
      </c>
      <c r="M275" s="61" t="s">
        <v>617</v>
      </c>
      <c r="N275" s="149">
        <v>5</v>
      </c>
      <c r="O275" s="149">
        <v>6</v>
      </c>
      <c r="P275" s="61" t="s">
        <v>565</v>
      </c>
      <c r="Q275" s="61" t="s">
        <v>564</v>
      </c>
      <c r="R275" s="61">
        <v>41.98028</v>
      </c>
      <c r="S275" s="61">
        <v>-87.908997900000003</v>
      </c>
      <c r="T275" s="61">
        <v>1705.462</v>
      </c>
      <c r="U275" s="61" t="s">
        <v>617</v>
      </c>
      <c r="V275" s="61" t="s">
        <v>569</v>
      </c>
      <c r="W275" s="61" cm="1">
        <f t="array" ref="W275">getDistance(I275,J275,R275,S275)*SA!$B$12</f>
        <v>1394.7010754672544</v>
      </c>
      <c r="X275" s="61"/>
      <c r="Y275" s="137">
        <f>Transportation_LCIA!C$61*($W275^Transportation_LCIA!C$60)+Transportation_LCIA!C$62</f>
        <v>0.20541169071553828</v>
      </c>
      <c r="Z275" s="137">
        <f>Transportation_LCIA!D$61*($W275^Transportation_LCIA!D$60)+Transportation_LCIA!D$62</f>
        <v>2.0721352010636895</v>
      </c>
      <c r="AA275" s="137">
        <f>Transportation_LCIA!E$61*($W275^Transportation_LCIA!E$60)+Transportation_LCIA!E$62</f>
        <v>9.1238963377472367E-4</v>
      </c>
      <c r="AB275" s="137">
        <f>Transportation_LCIA!F$61*($W275^Transportation_LCIA!F$60)+Transportation_LCIA!F$62</f>
        <v>0.20541169071553828</v>
      </c>
      <c r="AC275" s="137">
        <f>Transportation_LCIA!G$61*($W275^Transportation_LCIA!G$60)+Transportation_LCIA!G$62</f>
        <v>4.8509327483629391E-2</v>
      </c>
      <c r="AD275" s="137">
        <f>Transportation_LCIA!H$61*($W275^Transportation_LCIA!H$60)+Transportation_LCIA!H$62</f>
        <v>2.2599378016231362E-4</v>
      </c>
      <c r="AE275" s="137">
        <f>Transportation_LCIA!I$61*($W275^Transportation_LCIA!I$60)+Transportation_LCIA!I$62</f>
        <v>4.6491421751201883E-6</v>
      </c>
      <c r="AF275" s="137">
        <f>Transportation_LCIA!J$61*($W275^Transportation_LCIA!J$60)+Transportation_LCIA!J$62</f>
        <v>6.8769243409976324E-3</v>
      </c>
      <c r="AG275" s="137">
        <f>Transportation_LCIA!K$61*($W275^Transportation_LCIA!K$60)+Transportation_LCIA!K$62</f>
        <v>1.0154626692609268E-2</v>
      </c>
      <c r="AH275" s="137">
        <f>Transportation_LCIA!L$61*($W275^Transportation_LCIA!L$60)+Transportation_LCIA!L$62</f>
        <v>1.9325951793727536E-4</v>
      </c>
      <c r="AI275" s="137">
        <f>Transportation_LCIA!M$61*($W275^Transportation_LCIA!M$60)+Transportation_LCIA!M$62</f>
        <v>2.1557662085587944E-4</v>
      </c>
      <c r="AJ275" s="137">
        <f>Transportation_LCIA!N$61*($W275^Transportation_LCIA!N$60)+Transportation_LCIA!N$62</f>
        <v>8.1896071080382658E-4</v>
      </c>
      <c r="AK275" s="137">
        <f>Transportation_LCIA!O$61*($W275^Transportation_LCIA!O$60)+Transportation_LCIA!O$62</f>
        <v>5.1213070403790544E-5</v>
      </c>
      <c r="AL275" s="137">
        <f>Transportation_LCIA!P$61*($W275^Transportation_LCIA!P$60)+Transportation_LCIA!P$62</f>
        <v>2.4789436903819814E-8</v>
      </c>
      <c r="AM275" s="137">
        <f>Transportation_LCIA!Q$61*($W275^Transportation_LCIA!Q$60)+Transportation_LCIA!Q$62</f>
        <v>7.6742684464983015E-5</v>
      </c>
      <c r="AN275" s="137">
        <f>Transportation_LCIA!R$61*($W275^Transportation_LCIA!R$60)+Transportation_LCIA!R$62</f>
        <v>2.2379243548062238E-4</v>
      </c>
      <c r="AO275" s="137">
        <f>Transportation_LCIA!S$61*($W275^Transportation_LCIA!S$60)+Transportation_LCIA!S$62</f>
        <v>3.4332930346487986E-6</v>
      </c>
      <c r="AP275" s="137">
        <f>Transportation_LCIA!T$61*($W275^Transportation_LCIA!T$60)+Transportation_LCIA!T$62</f>
        <v>3.4332930346487986E-6</v>
      </c>
      <c r="AQ275" s="137">
        <f>Transportation_LCIA!U$61*($W275^Transportation_LCIA!U$60)+Transportation_LCIA!U$62</f>
        <v>4.7763432067623047E-4</v>
      </c>
      <c r="AR275" s="137">
        <f>Transportation_LCIA!V$61*($W275^Transportation_LCIA!V$60)+Transportation_LCIA!V$62</f>
        <v>1.9962357996669805E-4</v>
      </c>
      <c r="AT275" s="137">
        <f>$W275*Y275+$L275*Summary_LCIA!H$32</f>
        <v>323.0361143545083</v>
      </c>
      <c r="AU275" s="137">
        <f>$W275*Z275+$L275*Summary_LCIA!Q$32</f>
        <v>3423.0720659096974</v>
      </c>
      <c r="AV275" s="137">
        <f>$W275*AA275+$L275*Summary_LCIA!R$32</f>
        <v>1.8388682082707815</v>
      </c>
      <c r="AW275" s="137">
        <f>$W275*AB275+$L275*Summary_LCIA!S$32</f>
        <v>322.56070799450828</v>
      </c>
      <c r="AX275" s="137">
        <f>$W275*AC275+$L275*Summary_LCIA!T$32</f>
        <v>79.476635411611156</v>
      </c>
      <c r="AY275" s="137">
        <f>$W275*AD275+$L275*Summary_LCIA!U$32</f>
        <v>2.2419877802412893</v>
      </c>
      <c r="AZ275" s="137">
        <f>$W275*AE275+$L275*Summary_LCIA!V$32</f>
        <v>1.1621241229640297E-2</v>
      </c>
      <c r="BA275" s="137">
        <f>$W275*AF275+$L275*Summary_LCIA!W$32</f>
        <v>17.870100592296339</v>
      </c>
      <c r="BB275" s="137">
        <f>$W275*AG275+$L275*Summary_LCIA!X$32</f>
        <v>16.612840009150638</v>
      </c>
      <c r="BC275" s="137">
        <f>$W275*AH275+$L275*Summary_LCIA!Y$32</f>
        <v>1.9455080135114011</v>
      </c>
      <c r="BD275" s="137">
        <f>$W275*AI275+$L275*Summary_LCIA!Z$32</f>
        <v>0.30507579097529158</v>
      </c>
      <c r="BE275" s="137">
        <f>$W275*AJ275+$L275*Summary_LCIA!AA$32</f>
        <v>3.6543300321235241</v>
      </c>
      <c r="BF275" s="137">
        <f>$W275*AK275+$L275*Summary_LCIA!AB$32</f>
        <v>6.9079686136146887E-2</v>
      </c>
      <c r="BG275" s="137">
        <f>$W275*AL275+$L275*Summary_LCIA!AC$32</f>
        <v>3.9831719581985142E-5</v>
      </c>
      <c r="BH275" s="137">
        <f>$W275*AM275+$L275*Summary_LCIA!AD$32</f>
        <v>0.15124374487755599</v>
      </c>
      <c r="BI275" s="137">
        <f>$W275*AN275+$L275*Summary_LCIA!AE$32</f>
        <v>0.40743392098626019</v>
      </c>
      <c r="BJ275" s="137">
        <f>$W275*AO275+$L275*Summary_LCIA!AF$32</f>
        <v>9.5720101847818928E-2</v>
      </c>
      <c r="BK275" s="137">
        <f>$W275*AP275+$L275*Summary_LCIA!AG$32</f>
        <v>1.0291622557818913E-2</v>
      </c>
      <c r="BL275" s="137">
        <f>$W275*AQ275+$L275*Summary_LCIA!AH$32</f>
        <v>1.6022989095272102</v>
      </c>
      <c r="BM275" s="137">
        <f>$W275*AR275+$L275*Summary_LCIA!AI$32</f>
        <v>0.37861087656817721</v>
      </c>
    </row>
    <row r="276" spans="1:65" x14ac:dyDescent="0.25">
      <c r="A276" s="149">
        <v>173</v>
      </c>
      <c r="B276" s="149">
        <v>6</v>
      </c>
      <c r="C276" s="61">
        <v>39.481653999999999</v>
      </c>
      <c r="D276" s="61">
        <v>-106.038352</v>
      </c>
      <c r="E276" s="61" t="s">
        <v>265</v>
      </c>
      <c r="F276" s="149">
        <v>16</v>
      </c>
      <c r="G276" s="61" t="s">
        <v>565</v>
      </c>
      <c r="H276" s="61" t="s">
        <v>645</v>
      </c>
      <c r="I276" s="61">
        <v>39.856096000000001</v>
      </c>
      <c r="J276" s="61">
        <v>-104.673738</v>
      </c>
      <c r="K276" s="61">
        <v>128.04936520000001</v>
      </c>
      <c r="L276" s="61">
        <v>168.03800000000001</v>
      </c>
      <c r="M276" s="61" t="s">
        <v>617</v>
      </c>
      <c r="N276" s="149">
        <v>5</v>
      </c>
      <c r="O276" s="149">
        <v>6</v>
      </c>
      <c r="P276" s="61" t="s">
        <v>565</v>
      </c>
      <c r="Q276" s="61" t="s">
        <v>564</v>
      </c>
      <c r="R276" s="61">
        <v>41.98028</v>
      </c>
      <c r="S276" s="61">
        <v>-87.908997900000003</v>
      </c>
      <c r="T276" s="61">
        <v>1733.1</v>
      </c>
      <c r="U276" s="61" t="s">
        <v>617</v>
      </c>
      <c r="V276" s="61" t="s">
        <v>569</v>
      </c>
      <c r="W276" s="61" cm="1">
        <f t="array" ref="W276">getDistance(I276,J276,R276,S276)*SA!$B$12</f>
        <v>1429.4950991616145</v>
      </c>
      <c r="X276" s="61"/>
      <c r="Y276" s="137">
        <f>Transportation_LCIA!C$61*($W276^Transportation_LCIA!C$60)+Transportation_LCIA!C$62</f>
        <v>0.20349821617970421</v>
      </c>
      <c r="Z276" s="137">
        <f>Transportation_LCIA!D$61*($W276^Transportation_LCIA!D$60)+Transportation_LCIA!D$62</f>
        <v>2.0501411564925682</v>
      </c>
      <c r="AA276" s="137">
        <f>Transportation_LCIA!E$61*($W276^Transportation_LCIA!E$60)+Transportation_LCIA!E$62</f>
        <v>8.9799039356792888E-4</v>
      </c>
      <c r="AB276" s="137">
        <f>Transportation_LCIA!F$61*($W276^Transportation_LCIA!F$60)+Transportation_LCIA!F$62</f>
        <v>0.20349821617970421</v>
      </c>
      <c r="AC276" s="137">
        <f>Transportation_LCIA!G$61*($W276^Transportation_LCIA!G$60)+Transportation_LCIA!G$62</f>
        <v>4.8000028211733513E-2</v>
      </c>
      <c r="AD276" s="137">
        <f>Transportation_LCIA!H$61*($W276^Transportation_LCIA!H$60)+Transportation_LCIA!H$62</f>
        <v>2.2285424318591637E-4</v>
      </c>
      <c r="AE276" s="137">
        <f>Transportation_LCIA!I$61*($W276^Transportation_LCIA!I$60)+Transportation_LCIA!I$62</f>
        <v>4.571174071441499E-6</v>
      </c>
      <c r="AF276" s="137">
        <f>Transportation_LCIA!J$61*($W276^Transportation_LCIA!J$60)+Transportation_LCIA!J$62</f>
        <v>6.7618339751164165E-3</v>
      </c>
      <c r="AG276" s="137">
        <f>Transportation_LCIA!K$61*($W276^Transportation_LCIA!K$60)+Transportation_LCIA!K$62</f>
        <v>1.0036647213890358E-2</v>
      </c>
      <c r="AH276" s="137">
        <f>Transportation_LCIA!L$61*($W276^Transportation_LCIA!L$60)+Transportation_LCIA!L$62</f>
        <v>1.9038435373879868E-4</v>
      </c>
      <c r="AI276" s="137">
        <f>Transportation_LCIA!M$61*($W276^Transportation_LCIA!M$60)+Transportation_LCIA!M$62</f>
        <v>2.1384473386264609E-4</v>
      </c>
      <c r="AJ276" s="137">
        <f>Transportation_LCIA!N$61*($W276^Transportation_LCIA!N$60)+Transportation_LCIA!N$62</f>
        <v>8.0839367892004054E-4</v>
      </c>
      <c r="AK276" s="137">
        <f>Transportation_LCIA!O$61*($W276^Transportation_LCIA!O$60)+Transportation_LCIA!O$62</f>
        <v>5.067209999252372E-5</v>
      </c>
      <c r="AL276" s="137">
        <f>Transportation_LCIA!P$61*($W276^Transportation_LCIA!P$60)+Transportation_LCIA!P$62</f>
        <v>2.4529050433273688E-8</v>
      </c>
      <c r="AM276" s="137">
        <f>Transportation_LCIA!Q$61*($W276^Transportation_LCIA!Q$60)+Transportation_LCIA!Q$62</f>
        <v>7.5620829602403238E-5</v>
      </c>
      <c r="AN276" s="137">
        <f>Transportation_LCIA!R$61*($W276^Transportation_LCIA!R$60)+Transportation_LCIA!R$62</f>
        <v>2.2005485991627286E-4</v>
      </c>
      <c r="AO276" s="137">
        <f>Transportation_LCIA!S$61*($W276^Transportation_LCIA!S$60)+Transportation_LCIA!S$62</f>
        <v>3.3802166707550345E-6</v>
      </c>
      <c r="AP276" s="137">
        <f>Transportation_LCIA!T$61*($W276^Transportation_LCIA!T$60)+Transportation_LCIA!T$62</f>
        <v>3.3802166707550345E-6</v>
      </c>
      <c r="AQ276" s="137">
        <f>Transportation_LCIA!U$61*($W276^Transportation_LCIA!U$60)+Transportation_LCIA!U$62</f>
        <v>4.6945882310058874E-4</v>
      </c>
      <c r="AR276" s="137">
        <f>Transportation_LCIA!V$61*($W276^Transportation_LCIA!V$60)+Transportation_LCIA!V$62</f>
        <v>1.9671290669076797E-4</v>
      </c>
      <c r="AT276" s="137">
        <f>$W276*Y276+$L276*Summary_LCIA!H$32</f>
        <v>347.99901511701796</v>
      </c>
      <c r="AU276" s="137">
        <f>$W276*Z276+$L276*Summary_LCIA!Q$32</f>
        <v>3763.471538456105</v>
      </c>
      <c r="AV276" s="137">
        <f>$W276*AA276+$L276*Summary_LCIA!R$32</f>
        <v>2.1684937594995635</v>
      </c>
      <c r="AW276" s="137">
        <f>$W276*AB276+$L276*Summary_LCIA!S$32</f>
        <v>347.25628715701794</v>
      </c>
      <c r="AX276" s="137">
        <f>$W276*AC276+$L276*Summary_LCIA!T$32</f>
        <v>87.083181288292295</v>
      </c>
      <c r="AY276" s="137">
        <f>$W276*AD276+$L276*Summary_LCIA!U$32</f>
        <v>3.3288017804616379</v>
      </c>
      <c r="AZ276" s="137">
        <f>$W276*AE276+$L276*Summary_LCIA!V$32</f>
        <v>1.4560133850540266E-2</v>
      </c>
      <c r="BA276" s="137">
        <f>$W276*AF276+$L276*Summary_LCIA!W$32</f>
        <v>22.600061426773415</v>
      </c>
      <c r="BB276" s="137">
        <f>$W276*AG276+$L276*Summary_LCIA!X$32</f>
        <v>18.175243644270338</v>
      </c>
      <c r="BC276" s="137">
        <f>$W276*AH276+$L276*Summary_LCIA!Y$32</f>
        <v>2.8905216166266641</v>
      </c>
      <c r="BD276" s="137">
        <f>$W276*AI276+$L276*Summary_LCIA!Z$32</f>
        <v>0.31258106938017233</v>
      </c>
      <c r="BE276" s="137">
        <f>$W276*AJ276+$L276*Summary_LCIA!AA$32</f>
        <v>5.0802903302094258</v>
      </c>
      <c r="BF276" s="137">
        <f>$W276*AK276+$L276*Summary_LCIA!AB$32</f>
        <v>6.8768425329539945E-2</v>
      </c>
      <c r="BG276" s="137">
        <f>$W276*AL276+$L276*Summary_LCIA!AC$32</f>
        <v>4.3278526973452818E-5</v>
      </c>
      <c r="BH276" s="137">
        <f>$W276*AM276+$L276*Summary_LCIA!AD$32</f>
        <v>0.17716994483117099</v>
      </c>
      <c r="BI276" s="137">
        <f>$W276*AN276+$L276*Summary_LCIA!AE$32</f>
        <v>0.46347085673700772</v>
      </c>
      <c r="BJ276" s="137">
        <f>$W276*AO276+$L276*Summary_LCIA!AF$32</f>
        <v>0.14689468912494874</v>
      </c>
      <c r="BK276" s="137">
        <f>$W276*AP276+$L276*Summary_LCIA!AG$32</f>
        <v>1.3429667434948712E-2</v>
      </c>
      <c r="BL276" s="137">
        <f>$W276*AQ276+$L276*Summary_LCIA!AH$32</f>
        <v>2.133624623680471</v>
      </c>
      <c r="BM276" s="137">
        <f>$W276*AR276+$L276*Summary_LCIA!AI$32</f>
        <v>0.43773593495628871</v>
      </c>
    </row>
    <row r="277" spans="1:65" x14ac:dyDescent="0.25">
      <c r="A277" s="149">
        <v>174</v>
      </c>
      <c r="B277" s="149">
        <v>6</v>
      </c>
      <c r="C277" s="61">
        <v>39.481653999999999</v>
      </c>
      <c r="D277" s="61">
        <v>-106.038352</v>
      </c>
      <c r="E277" s="61" t="s">
        <v>265</v>
      </c>
      <c r="F277" s="149">
        <v>16</v>
      </c>
      <c r="G277" s="61" t="s">
        <v>565</v>
      </c>
      <c r="H277" s="61" t="s">
        <v>645</v>
      </c>
      <c r="I277" s="61">
        <v>39.856096000000001</v>
      </c>
      <c r="J277" s="61">
        <v>-104.673738</v>
      </c>
      <c r="K277" s="61">
        <v>128.04936520000001</v>
      </c>
      <c r="L277" s="61">
        <v>168.03800000000001</v>
      </c>
      <c r="M277" s="61" t="s">
        <v>617</v>
      </c>
      <c r="N277" s="149">
        <v>5</v>
      </c>
      <c r="O277" s="149">
        <v>6</v>
      </c>
      <c r="P277" s="61" t="s">
        <v>565</v>
      </c>
      <c r="Q277" s="61" t="s">
        <v>564</v>
      </c>
      <c r="R277" s="61">
        <v>41.98028</v>
      </c>
      <c r="S277" s="61">
        <v>-87.908997900000003</v>
      </c>
      <c r="T277" s="61">
        <v>1733.1</v>
      </c>
      <c r="U277" s="61" t="s">
        <v>617</v>
      </c>
      <c r="V277" s="61" t="s">
        <v>569</v>
      </c>
      <c r="W277" s="61" cm="1">
        <f t="array" ref="W277">getDistance(I277,J277,R277,S277)*SA!$B$12</f>
        <v>1429.4950991616145</v>
      </c>
      <c r="X277" s="61"/>
      <c r="Y277" s="137">
        <f>Transportation_LCIA!C$61*($W277^Transportation_LCIA!C$60)+Transportation_LCIA!C$62</f>
        <v>0.20349821617970421</v>
      </c>
      <c r="Z277" s="137">
        <f>Transportation_LCIA!D$61*($W277^Transportation_LCIA!D$60)+Transportation_LCIA!D$62</f>
        <v>2.0501411564925682</v>
      </c>
      <c r="AA277" s="137">
        <f>Transportation_LCIA!E$61*($W277^Transportation_LCIA!E$60)+Transportation_LCIA!E$62</f>
        <v>8.9799039356792888E-4</v>
      </c>
      <c r="AB277" s="137">
        <f>Transportation_LCIA!F$61*($W277^Transportation_LCIA!F$60)+Transportation_LCIA!F$62</f>
        <v>0.20349821617970421</v>
      </c>
      <c r="AC277" s="137">
        <f>Transportation_LCIA!G$61*($W277^Transportation_LCIA!G$60)+Transportation_LCIA!G$62</f>
        <v>4.8000028211733513E-2</v>
      </c>
      <c r="AD277" s="137">
        <f>Transportation_LCIA!H$61*($W277^Transportation_LCIA!H$60)+Transportation_LCIA!H$62</f>
        <v>2.2285424318591637E-4</v>
      </c>
      <c r="AE277" s="137">
        <f>Transportation_LCIA!I$61*($W277^Transportation_LCIA!I$60)+Transportation_LCIA!I$62</f>
        <v>4.571174071441499E-6</v>
      </c>
      <c r="AF277" s="137">
        <f>Transportation_LCIA!J$61*($W277^Transportation_LCIA!J$60)+Transportation_LCIA!J$62</f>
        <v>6.7618339751164165E-3</v>
      </c>
      <c r="AG277" s="137">
        <f>Transportation_LCIA!K$61*($W277^Transportation_LCIA!K$60)+Transportation_LCIA!K$62</f>
        <v>1.0036647213890358E-2</v>
      </c>
      <c r="AH277" s="137">
        <f>Transportation_LCIA!L$61*($W277^Transportation_LCIA!L$60)+Transportation_LCIA!L$62</f>
        <v>1.9038435373879868E-4</v>
      </c>
      <c r="AI277" s="137">
        <f>Transportation_LCIA!M$61*($W277^Transportation_LCIA!M$60)+Transportation_LCIA!M$62</f>
        <v>2.1384473386264609E-4</v>
      </c>
      <c r="AJ277" s="137">
        <f>Transportation_LCIA!N$61*($W277^Transportation_LCIA!N$60)+Transportation_LCIA!N$62</f>
        <v>8.0839367892004054E-4</v>
      </c>
      <c r="AK277" s="137">
        <f>Transportation_LCIA!O$61*($W277^Transportation_LCIA!O$60)+Transportation_LCIA!O$62</f>
        <v>5.067209999252372E-5</v>
      </c>
      <c r="AL277" s="137">
        <f>Transportation_LCIA!P$61*($W277^Transportation_LCIA!P$60)+Transportation_LCIA!P$62</f>
        <v>2.4529050433273688E-8</v>
      </c>
      <c r="AM277" s="137">
        <f>Transportation_LCIA!Q$61*($W277^Transportation_LCIA!Q$60)+Transportation_LCIA!Q$62</f>
        <v>7.5620829602403238E-5</v>
      </c>
      <c r="AN277" s="137">
        <f>Transportation_LCIA!R$61*($W277^Transportation_LCIA!R$60)+Transportation_LCIA!R$62</f>
        <v>2.2005485991627286E-4</v>
      </c>
      <c r="AO277" s="137">
        <f>Transportation_LCIA!S$61*($W277^Transportation_LCIA!S$60)+Transportation_LCIA!S$62</f>
        <v>3.3802166707550345E-6</v>
      </c>
      <c r="AP277" s="137">
        <f>Transportation_LCIA!T$61*($W277^Transportation_LCIA!T$60)+Transportation_LCIA!T$62</f>
        <v>3.3802166707550345E-6</v>
      </c>
      <c r="AQ277" s="137">
        <f>Transportation_LCIA!U$61*($W277^Transportation_LCIA!U$60)+Transportation_LCIA!U$62</f>
        <v>4.6945882310058874E-4</v>
      </c>
      <c r="AR277" s="137">
        <f>Transportation_LCIA!V$61*($W277^Transportation_LCIA!V$60)+Transportation_LCIA!V$62</f>
        <v>1.9671290669076797E-4</v>
      </c>
      <c r="AT277" s="137">
        <f>$W277*Y277+$L277*Summary_LCIA!H$32</f>
        <v>347.99901511701796</v>
      </c>
      <c r="AU277" s="137">
        <f>$W277*Z277+$L277*Summary_LCIA!Q$32</f>
        <v>3763.471538456105</v>
      </c>
      <c r="AV277" s="137">
        <f>$W277*AA277+$L277*Summary_LCIA!R$32</f>
        <v>2.1684937594995635</v>
      </c>
      <c r="AW277" s="137">
        <f>$W277*AB277+$L277*Summary_LCIA!S$32</f>
        <v>347.25628715701794</v>
      </c>
      <c r="AX277" s="137">
        <f>$W277*AC277+$L277*Summary_LCIA!T$32</f>
        <v>87.083181288292295</v>
      </c>
      <c r="AY277" s="137">
        <f>$W277*AD277+$L277*Summary_LCIA!U$32</f>
        <v>3.3288017804616379</v>
      </c>
      <c r="AZ277" s="137">
        <f>$W277*AE277+$L277*Summary_LCIA!V$32</f>
        <v>1.4560133850540266E-2</v>
      </c>
      <c r="BA277" s="137">
        <f>$W277*AF277+$L277*Summary_LCIA!W$32</f>
        <v>22.600061426773415</v>
      </c>
      <c r="BB277" s="137">
        <f>$W277*AG277+$L277*Summary_LCIA!X$32</f>
        <v>18.175243644270338</v>
      </c>
      <c r="BC277" s="137">
        <f>$W277*AH277+$L277*Summary_LCIA!Y$32</f>
        <v>2.8905216166266641</v>
      </c>
      <c r="BD277" s="137">
        <f>$W277*AI277+$L277*Summary_LCIA!Z$32</f>
        <v>0.31258106938017233</v>
      </c>
      <c r="BE277" s="137">
        <f>$W277*AJ277+$L277*Summary_LCIA!AA$32</f>
        <v>5.0802903302094258</v>
      </c>
      <c r="BF277" s="137">
        <f>$W277*AK277+$L277*Summary_LCIA!AB$32</f>
        <v>6.8768425329539945E-2</v>
      </c>
      <c r="BG277" s="137">
        <f>$W277*AL277+$L277*Summary_LCIA!AC$32</f>
        <v>4.3278526973452818E-5</v>
      </c>
      <c r="BH277" s="137">
        <f>$W277*AM277+$L277*Summary_LCIA!AD$32</f>
        <v>0.17716994483117099</v>
      </c>
      <c r="BI277" s="137">
        <f>$W277*AN277+$L277*Summary_LCIA!AE$32</f>
        <v>0.46347085673700772</v>
      </c>
      <c r="BJ277" s="137">
        <f>$W277*AO277+$L277*Summary_LCIA!AF$32</f>
        <v>0.14689468912494874</v>
      </c>
      <c r="BK277" s="137">
        <f>$W277*AP277+$L277*Summary_LCIA!AG$32</f>
        <v>1.3429667434948712E-2</v>
      </c>
      <c r="BL277" s="137">
        <f>$W277*AQ277+$L277*Summary_LCIA!AH$32</f>
        <v>2.133624623680471</v>
      </c>
      <c r="BM277" s="137">
        <f>$W277*AR277+$L277*Summary_LCIA!AI$32</f>
        <v>0.43773593495628871</v>
      </c>
    </row>
    <row r="278" spans="1:65" x14ac:dyDescent="0.25">
      <c r="A278" s="149">
        <v>91</v>
      </c>
      <c r="B278" s="149">
        <v>6</v>
      </c>
      <c r="C278" s="61">
        <v>30.618675</v>
      </c>
      <c r="D278" s="61">
        <v>-96.336455000000001</v>
      </c>
      <c r="E278" s="61" t="s">
        <v>265</v>
      </c>
      <c r="F278" s="149">
        <v>92</v>
      </c>
      <c r="G278" s="61" t="s">
        <v>666</v>
      </c>
      <c r="H278" s="61" t="s">
        <v>667</v>
      </c>
      <c r="I278" s="61">
        <v>30.197471</v>
      </c>
      <c r="J278" s="61">
        <v>-97.666353000000001</v>
      </c>
      <c r="K278" s="61">
        <v>145.74323620000001</v>
      </c>
      <c r="L278" s="61">
        <v>167.483</v>
      </c>
      <c r="M278" s="61" t="s">
        <v>617</v>
      </c>
      <c r="N278" s="149">
        <v>5</v>
      </c>
      <c r="O278" s="149">
        <v>6</v>
      </c>
      <c r="P278" s="61" t="s">
        <v>565</v>
      </c>
      <c r="Q278" s="61" t="s">
        <v>564</v>
      </c>
      <c r="R278" s="61">
        <v>41.98028</v>
      </c>
      <c r="S278" s="61">
        <v>-87.908997900000003</v>
      </c>
      <c r="T278" s="61">
        <v>1736.712</v>
      </c>
      <c r="U278" s="61" t="s">
        <v>617</v>
      </c>
      <c r="V278" s="61" t="s">
        <v>569</v>
      </c>
      <c r="W278" s="61" cm="1">
        <f t="array" ref="W278">getDistance(I278,J278,R278,S278)*SA!$B$12</f>
        <v>1575.2575220458498</v>
      </c>
      <c r="X278" s="61"/>
      <c r="Y278" s="137">
        <f>Transportation_LCIA!C$61*($W278^Transportation_LCIA!C$60)+Transportation_LCIA!C$62</f>
        <v>0.19633171878830921</v>
      </c>
      <c r="Z278" s="137">
        <f>Transportation_LCIA!D$61*($W278^Transportation_LCIA!D$60)+Transportation_LCIA!D$62</f>
        <v>1.9679824485164779</v>
      </c>
      <c r="AA278" s="137">
        <f>Transportation_LCIA!E$61*($W278^Transportation_LCIA!E$60)+Transportation_LCIA!E$62</f>
        <v>8.4424156539261459E-4</v>
      </c>
      <c r="AB278" s="137">
        <f>Transportation_LCIA!F$61*($W278^Transportation_LCIA!F$60)+Transportation_LCIA!F$62</f>
        <v>0.19633171878830921</v>
      </c>
      <c r="AC278" s="137">
        <f>Transportation_LCIA!G$61*($W278^Transportation_LCIA!G$60)+Transportation_LCIA!G$62</f>
        <v>4.6097251719088815E-2</v>
      </c>
      <c r="AD278" s="137">
        <f>Transportation_LCIA!H$61*($W278^Transportation_LCIA!H$60)+Transportation_LCIA!H$62</f>
        <v>2.1115211481011876E-4</v>
      </c>
      <c r="AE278" s="137">
        <f>Transportation_LCIA!I$61*($W278^Transportation_LCIA!I$60)+Transportation_LCIA!I$62</f>
        <v>4.2812383937410747E-6</v>
      </c>
      <c r="AF278" s="137">
        <f>Transportation_LCIA!J$61*($W278^Transportation_LCIA!J$60)+Transportation_LCIA!J$62</f>
        <v>6.3345062329674112E-3</v>
      </c>
      <c r="AG278" s="137">
        <f>Transportation_LCIA!K$61*($W278^Transportation_LCIA!K$60)+Transportation_LCIA!K$62</f>
        <v>9.5964496315269782E-3</v>
      </c>
      <c r="AH278" s="137">
        <f>Transportation_LCIA!L$61*($W278^Transportation_LCIA!L$60)+Transportation_LCIA!L$62</f>
        <v>1.7967476106705156E-4</v>
      </c>
      <c r="AI278" s="137">
        <f>Transportation_LCIA!M$61*($W278^Transportation_LCIA!M$60)+Transportation_LCIA!M$62</f>
        <v>2.0738990871772508E-4</v>
      </c>
      <c r="AJ278" s="137">
        <f>Transportation_LCIA!N$61*($W278^Transportation_LCIA!N$60)+Transportation_LCIA!N$62</f>
        <v>7.6899942106649333E-4</v>
      </c>
      <c r="AK278" s="137">
        <f>Transportation_LCIA!O$61*($W278^Transportation_LCIA!O$60)+Transportation_LCIA!O$62</f>
        <v>4.8651143184579487E-5</v>
      </c>
      <c r="AL278" s="137">
        <f>Transportation_LCIA!P$61*($W278^Transportation_LCIA!P$60)+Transportation_LCIA!P$62</f>
        <v>2.3556109695339234E-8</v>
      </c>
      <c r="AM278" s="137">
        <f>Transportation_LCIA!Q$61*($W278^Transportation_LCIA!Q$60)+Transportation_LCIA!Q$62</f>
        <v>7.1443570584843764E-5</v>
      </c>
      <c r="AN278" s="137">
        <f>Transportation_LCIA!R$61*($W278^Transportation_LCIA!R$60)+Transportation_LCIA!R$62</f>
        <v>2.0615692860190515E-4</v>
      </c>
      <c r="AO278" s="137">
        <f>Transportation_LCIA!S$61*($W278^Transportation_LCIA!S$60)+Transportation_LCIA!S$62</f>
        <v>3.1828350296720298E-6</v>
      </c>
      <c r="AP278" s="137">
        <f>Transportation_LCIA!T$61*($W278^Transportation_LCIA!T$60)+Transportation_LCIA!T$62</f>
        <v>3.1828350296720298E-6</v>
      </c>
      <c r="AQ278" s="137">
        <f>Transportation_LCIA!U$61*($W278^Transportation_LCIA!U$60)+Transportation_LCIA!U$62</f>
        <v>4.3907223131125399E-4</v>
      </c>
      <c r="AR278" s="137">
        <f>Transportation_LCIA!V$61*($W278^Transportation_LCIA!V$60)+Transportation_LCIA!V$62</f>
        <v>1.8587993651001495E-4</v>
      </c>
      <c r="AT278" s="137">
        <f>$W278*Y278+$L278*Summary_LCIA!H$32</f>
        <v>366.18374023747458</v>
      </c>
      <c r="AU278" s="137">
        <f>$W278*Z278+$L278*Summary_LCIA!Q$32</f>
        <v>3930.1333499499297</v>
      </c>
      <c r="AV278" s="137">
        <f>$W278*AA278+$L278*Summary_LCIA!R$32</f>
        <v>2.2117963611084792</v>
      </c>
      <c r="AW278" s="137">
        <f>$W278*AB278+$L278*Summary_LCIA!S$32</f>
        <v>365.44346537747458</v>
      </c>
      <c r="AX278" s="137">
        <f>$W278*AC278+$L278*Summary_LCIA!T$32</f>
        <v>91.021424216135628</v>
      </c>
      <c r="AY278" s="137">
        <f>$W278*AD278+$L278*Summary_LCIA!U$32</f>
        <v>3.3329094191505284</v>
      </c>
      <c r="AZ278" s="137">
        <f>$W278*AE278+$L278*Summary_LCIA!V$32</f>
        <v>1.4743208546412119E-2</v>
      </c>
      <c r="BA278" s="137">
        <f>$W278*AF278+$L278*Summary_LCIA!W$32</f>
        <v>22.869812584928233</v>
      </c>
      <c r="BB278" s="137">
        <f>$W278*AG278+$L278*Summary_LCIA!X$32</f>
        <v>18.932142206996996</v>
      </c>
      <c r="BC278" s="137">
        <f>$W278*AH278+$L278*Summary_LCIA!Y$32</f>
        <v>2.8927541248926638</v>
      </c>
      <c r="BD278" s="137">
        <f>$W278*AI278+$L278*Summary_LCIA!Z$32</f>
        <v>0.33356082405099857</v>
      </c>
      <c r="BE278" s="137">
        <f>$W278*AJ278+$L278*Summary_LCIA!AA$32</f>
        <v>5.1231050704838967</v>
      </c>
      <c r="BF278" s="137">
        <f>$W278*AK278+$L278*Summary_LCIA!AB$32</f>
        <v>7.2983097748638523E-2</v>
      </c>
      <c r="BG278" s="137">
        <f>$W278*AL278+$L278*Summary_LCIA!AC$32</f>
        <v>4.5294177959720301E-5</v>
      </c>
      <c r="BH278" s="137">
        <f>$W278*AM278+$L278*Summary_LCIA!AD$32</f>
        <v>0.18138423428558875</v>
      </c>
      <c r="BI278" s="137">
        <f>$W278*AN278+$L278*Summary_LCIA!AE$32</f>
        <v>0.47316196329202026</v>
      </c>
      <c r="BJ278" s="137">
        <f>$W278*AO278+$L278*Summary_LCIA!AF$32</f>
        <v>0.1466072626819219</v>
      </c>
      <c r="BK278" s="137">
        <f>$W278*AP278+$L278*Summary_LCIA!AG$32</f>
        <v>1.3583052516921891E-2</v>
      </c>
      <c r="BL278" s="137">
        <f>$W278*AQ278+$L278*Summary_LCIA!AH$32</f>
        <v>2.1493568738945084</v>
      </c>
      <c r="BM278" s="137">
        <f>$W278*AR278+$L278*Summary_LCIA!AI$32</f>
        <v>0.44882755683480602</v>
      </c>
    </row>
    <row r="279" spans="1:65" x14ac:dyDescent="0.25">
      <c r="A279" s="149">
        <v>348</v>
      </c>
      <c r="B279" s="149">
        <v>6</v>
      </c>
      <c r="C279" s="61">
        <v>30.079940000000001</v>
      </c>
      <c r="D279" s="61">
        <v>-95.417159999999996</v>
      </c>
      <c r="E279" s="61" t="s">
        <v>265</v>
      </c>
      <c r="F279" s="149">
        <v>47</v>
      </c>
      <c r="G279" s="61" t="s">
        <v>565</v>
      </c>
      <c r="H279" s="61" t="s">
        <v>688</v>
      </c>
      <c r="I279" s="61">
        <v>29.990220000000001</v>
      </c>
      <c r="J279" s="61">
        <v>-95.336782999999997</v>
      </c>
      <c r="K279" s="61">
        <v>18.611022930000001</v>
      </c>
      <c r="L279" s="61">
        <v>20.567</v>
      </c>
      <c r="M279" s="61" t="s">
        <v>617</v>
      </c>
      <c r="N279" s="149">
        <v>5</v>
      </c>
      <c r="O279" s="149">
        <v>6</v>
      </c>
      <c r="P279" s="61" t="s">
        <v>565</v>
      </c>
      <c r="Q279" s="61" t="s">
        <v>564</v>
      </c>
      <c r="R279" s="61">
        <v>41.98028</v>
      </c>
      <c r="S279" s="61">
        <v>-87.908997900000003</v>
      </c>
      <c r="T279" s="61">
        <v>1742.0730000000001</v>
      </c>
      <c r="U279" s="61" t="s">
        <v>617</v>
      </c>
      <c r="V279" s="61" t="s">
        <v>569</v>
      </c>
      <c r="W279" s="61" cm="1">
        <f t="array" ref="W279">getDistance(I279,J279,R279,S279)*SA!$B$12</f>
        <v>1490.6516068471742</v>
      </c>
      <c r="X279" s="61"/>
      <c r="Y279" s="137">
        <f>Transportation_LCIA!C$61*($W279^Transportation_LCIA!C$60)+Transportation_LCIA!C$62</f>
        <v>0.20033456701279334</v>
      </c>
      <c r="Z279" s="137">
        <f>Transportation_LCIA!D$61*($W279^Transportation_LCIA!D$60)+Transportation_LCIA!D$62</f>
        <v>2.0138295851147205</v>
      </c>
      <c r="AA279" s="137">
        <f>Transportation_LCIA!E$61*($W279^Transportation_LCIA!E$60)+Transportation_LCIA!E$62</f>
        <v>8.742272607546299E-4</v>
      </c>
      <c r="AB279" s="137">
        <f>Transportation_LCIA!F$61*($W279^Transportation_LCIA!F$60)+Transportation_LCIA!F$62</f>
        <v>0.20033456701279334</v>
      </c>
      <c r="AC279" s="137">
        <f>Transportation_LCIA!G$61*($W279^Transportation_LCIA!G$60)+Transportation_LCIA!G$62</f>
        <v>4.7159118271410991E-2</v>
      </c>
      <c r="AD279" s="137">
        <f>Transportation_LCIA!H$61*($W279^Transportation_LCIA!H$60)+Transportation_LCIA!H$62</f>
        <v>2.1767719252658522E-4</v>
      </c>
      <c r="AE279" s="137">
        <f>Transportation_LCIA!I$61*($W279^Transportation_LCIA!I$60)+Transportation_LCIA!I$62</f>
        <v>4.4427712820296799E-6</v>
      </c>
      <c r="AF279" s="137">
        <f>Transportation_LCIA!J$61*($W279^Transportation_LCIA!J$60)+Transportation_LCIA!J$62</f>
        <v>6.5724552990164518E-3</v>
      </c>
      <c r="AG279" s="137">
        <f>Transportation_LCIA!K$61*($W279^Transportation_LCIA!K$60)+Transportation_LCIA!K$62</f>
        <v>9.8419916362103219E-3</v>
      </c>
      <c r="AH279" s="137">
        <f>Transportation_LCIA!L$61*($W279^Transportation_LCIA!L$60)+Transportation_LCIA!L$62</f>
        <v>1.856449884239458E-4</v>
      </c>
      <c r="AI279" s="137">
        <f>Transportation_LCIA!M$61*($W279^Transportation_LCIA!M$60)+Transportation_LCIA!M$62</f>
        <v>2.1098900189273081E-4</v>
      </c>
      <c r="AJ279" s="137">
        <f>Transportation_LCIA!N$61*($W279^Transportation_LCIA!N$60)+Transportation_LCIA!N$62</f>
        <v>7.9096701389764698E-4</v>
      </c>
      <c r="AK279" s="137">
        <f>Transportation_LCIA!O$61*($W279^Transportation_LCIA!O$60)+Transportation_LCIA!O$62</f>
        <v>4.9778932824492302E-5</v>
      </c>
      <c r="AL279" s="137">
        <f>Transportation_LCIA!P$61*($W279^Transportation_LCIA!P$60)+Transportation_LCIA!P$62</f>
        <v>2.4099094262166891E-8</v>
      </c>
      <c r="AM279" s="137">
        <f>Transportation_LCIA!Q$61*($W279^Transportation_LCIA!Q$60)+Transportation_LCIA!Q$62</f>
        <v>7.3771950781714518E-5</v>
      </c>
      <c r="AN279" s="137">
        <f>Transportation_LCIA!R$61*($W279^Transportation_LCIA!R$60)+Transportation_LCIA!R$62</f>
        <v>2.1389977634216263E-4</v>
      </c>
      <c r="AO279" s="137">
        <f>Transportation_LCIA!S$61*($W279^Transportation_LCIA!S$60)+Transportation_LCIA!S$62</f>
        <v>3.2928048480826389E-6</v>
      </c>
      <c r="AP279" s="137">
        <f>Transportation_LCIA!T$61*($W279^Transportation_LCIA!T$60)+Transportation_LCIA!T$62</f>
        <v>3.2928048480826389E-6</v>
      </c>
      <c r="AQ279" s="137">
        <f>Transportation_LCIA!U$61*($W279^Transportation_LCIA!U$60)+Transportation_LCIA!U$62</f>
        <v>4.559986054108007E-4</v>
      </c>
      <c r="AR279" s="137">
        <f>Transportation_LCIA!V$61*($W279^Transportation_LCIA!V$60)+Transportation_LCIA!V$62</f>
        <v>1.9191717787183445E-4</v>
      </c>
      <c r="AT279" s="137">
        <f>$W279*Y279+$L279*Summary_LCIA!H$32</f>
        <v>305.61771082465327</v>
      </c>
      <c r="AU279" s="137">
        <f>$W279*Z279+$L279*Summary_LCIA!Q$32</f>
        <v>3103.8493962231473</v>
      </c>
      <c r="AV279" s="137">
        <f>$W279*AA279+$L279*Summary_LCIA!R$32</f>
        <v>1.4114658661934927</v>
      </c>
      <c r="AW279" s="137">
        <f>$W279*AB279+$L279*Summary_LCIA!S$32</f>
        <v>305.52680468465326</v>
      </c>
      <c r="AX279" s="137">
        <f>$W279*AC279+$L279*Summary_LCIA!T$32</f>
        <v>72.558128728774733</v>
      </c>
      <c r="AY279" s="137">
        <f>$W279*AD279+$L279*Summary_LCIA!U$32</f>
        <v>0.6929180948137359</v>
      </c>
      <c r="AZ279" s="137">
        <f>$W279*AE279+$L279*Summary_LCIA!V$32</f>
        <v>7.6049246374120232E-3</v>
      </c>
      <c r="BA279" s="137">
        <f>$W279*AF279+$L279*Summary_LCIA!W$32</f>
        <v>11.380303609410099</v>
      </c>
      <c r="BB279" s="137">
        <f>$W279*AG279+$L279*Summary_LCIA!X$32</f>
        <v>15.139496907093365</v>
      </c>
      <c r="BC279" s="137">
        <f>$W279*AH279+$L279*Summary_LCIA!Y$32</f>
        <v>0.59720699429727986</v>
      </c>
      <c r="BD279" s="137">
        <f>$W279*AI279+$L279*Summary_LCIA!Z$32</f>
        <v>0.31535452680148063</v>
      </c>
      <c r="BE279" s="137">
        <f>$W279*AJ279+$L279*Summary_LCIA!AA$32</f>
        <v>1.6594191022296387</v>
      </c>
      <c r="BF279" s="137">
        <f>$W279*AK279+$L279*Summary_LCIA!AB$32</f>
        <v>7.3754212560966995E-2</v>
      </c>
      <c r="BG279" s="137">
        <f>$W279*AL279+$L279*Summary_LCIA!AC$32</f>
        <v>3.6928750813460594E-5</v>
      </c>
      <c r="BH279" s="137">
        <f>$W279*AM279+$L279*Summary_LCIA!AD$32</f>
        <v>0.11842213665301339</v>
      </c>
      <c r="BI279" s="137">
        <f>$W279*AN279+$L279*Summary_LCIA!AE$32</f>
        <v>0.33707508101869588</v>
      </c>
      <c r="BJ279" s="137">
        <f>$W279*AO279+$L279*Summary_LCIA!AF$32</f>
        <v>2.2296177977828551E-2</v>
      </c>
      <c r="BK279" s="137">
        <f>$W279*AP279+$L279*Summary_LCIA!AG$32</f>
        <v>5.9607353928285509E-3</v>
      </c>
      <c r="BL279" s="137">
        <f>$W279*AQ279+$L279*Summary_LCIA!AH$32</f>
        <v>0.85874199507568061</v>
      </c>
      <c r="BM279" s="137">
        <f>$W279*AR279+$L279*Summary_LCIA!AI$32</f>
        <v>0.30524083842622496</v>
      </c>
    </row>
    <row r="280" spans="1:65" x14ac:dyDescent="0.25">
      <c r="A280" s="149">
        <v>232</v>
      </c>
      <c r="B280" s="149">
        <v>6</v>
      </c>
      <c r="C280" s="61">
        <v>29.760427</v>
      </c>
      <c r="D280" s="61">
        <v>-95.369803000000005</v>
      </c>
      <c r="E280" s="61" t="s">
        <v>265</v>
      </c>
      <c r="F280" s="149">
        <v>96</v>
      </c>
      <c r="G280" s="61" t="s">
        <v>267</v>
      </c>
      <c r="H280" s="61" t="s">
        <v>703</v>
      </c>
      <c r="I280" s="61">
        <v>29.645907999999999</v>
      </c>
      <c r="J280" s="61">
        <v>-95.276904999999999</v>
      </c>
      <c r="K280" s="61">
        <v>23.33220326</v>
      </c>
      <c r="L280" s="61">
        <v>20.425999999999998</v>
      </c>
      <c r="M280" s="61" t="s">
        <v>617</v>
      </c>
      <c r="N280" s="149">
        <v>5</v>
      </c>
      <c r="O280" s="149">
        <v>6</v>
      </c>
      <c r="P280" s="61" t="s">
        <v>565</v>
      </c>
      <c r="Q280" s="61" t="s">
        <v>564</v>
      </c>
      <c r="R280" s="61">
        <v>41.98028</v>
      </c>
      <c r="S280" s="61">
        <v>-87.908997900000003</v>
      </c>
      <c r="T280" s="61">
        <v>1766.3979999999999</v>
      </c>
      <c r="U280" s="61" t="s">
        <v>617</v>
      </c>
      <c r="V280" s="61" t="s">
        <v>569</v>
      </c>
      <c r="W280" s="61" cm="1">
        <f t="array" ref="W280">getDistance(I280,J280,R280,S280)*SA!$B$12</f>
        <v>1523.1879893303537</v>
      </c>
      <c r="X280" s="61"/>
      <c r="Y280" s="137">
        <f>Transportation_LCIA!C$61*($W280^Transportation_LCIA!C$60)+Transportation_LCIA!C$62</f>
        <v>0.19874685022197358</v>
      </c>
      <c r="Z280" s="137">
        <f>Transportation_LCIA!D$61*($W280^Transportation_LCIA!D$60)+Transportation_LCIA!D$62</f>
        <v>1.9956313392456919</v>
      </c>
      <c r="AA280" s="137">
        <f>Transportation_LCIA!E$61*($W280^Transportation_LCIA!E$60)+Transportation_LCIA!E$62</f>
        <v>8.6232253270463887E-4</v>
      </c>
      <c r="AB280" s="137">
        <f>Transportation_LCIA!F$61*($W280^Transportation_LCIA!F$60)+Transportation_LCIA!F$62</f>
        <v>0.19874685022197358</v>
      </c>
      <c r="AC280" s="137">
        <f>Transportation_LCIA!G$61*($W280^Transportation_LCIA!G$60)+Transportation_LCIA!G$62</f>
        <v>4.6737646026981994E-2</v>
      </c>
      <c r="AD280" s="137">
        <f>Transportation_LCIA!H$61*($W280^Transportation_LCIA!H$60)+Transportation_LCIA!H$62</f>
        <v>2.1508561071549695E-4</v>
      </c>
      <c r="AE280" s="137">
        <f>Transportation_LCIA!I$61*($W280^Transportation_LCIA!I$60)+Transportation_LCIA!I$62</f>
        <v>4.3785734839236551E-6</v>
      </c>
      <c r="AF280" s="137">
        <f>Transportation_LCIA!J$61*($W280^Transportation_LCIA!J$60)+Transportation_LCIA!J$62</f>
        <v>6.4778477065107216E-3</v>
      </c>
      <c r="AG280" s="137">
        <f>Transportation_LCIA!K$61*($W280^Transportation_LCIA!K$60)+Transportation_LCIA!K$62</f>
        <v>9.7444964678929345E-3</v>
      </c>
      <c r="AH280" s="137">
        <f>Transportation_LCIA!L$61*($W280^Transportation_LCIA!L$60)+Transportation_LCIA!L$62</f>
        <v>1.8327334259515365E-4</v>
      </c>
      <c r="AI280" s="137">
        <f>Transportation_LCIA!M$61*($W280^Transportation_LCIA!M$60)+Transportation_LCIA!M$62</f>
        <v>2.0955950967481058E-4</v>
      </c>
      <c r="AJ280" s="137">
        <f>Transportation_LCIA!N$61*($W280^Transportation_LCIA!N$60)+Transportation_LCIA!N$62</f>
        <v>7.822425359019264E-4</v>
      </c>
      <c r="AK280" s="137">
        <f>Transportation_LCIA!O$61*($W280^Transportation_LCIA!O$60)+Transportation_LCIA!O$62</f>
        <v>4.9331285751507294E-5</v>
      </c>
      <c r="AL280" s="137">
        <f>Transportation_LCIA!P$61*($W280^Transportation_LCIA!P$60)+Transportation_LCIA!P$62</f>
        <v>2.388358207675034E-8</v>
      </c>
      <c r="AM280" s="137">
        <f>Transportation_LCIA!Q$61*($W280^Transportation_LCIA!Q$60)+Transportation_LCIA!Q$62</f>
        <v>7.2846920849463197E-5</v>
      </c>
      <c r="AN280" s="137">
        <f>Transportation_LCIA!R$61*($W280^Transportation_LCIA!R$60)+Transportation_LCIA!R$62</f>
        <v>2.1082249888221342E-4</v>
      </c>
      <c r="AO280" s="137">
        <f>Transportation_LCIA!S$61*($W280^Transportation_LCIA!S$60)+Transportation_LCIA!S$62</f>
        <v>3.2491002717784391E-6</v>
      </c>
      <c r="AP280" s="137">
        <f>Transportation_LCIA!T$61*($W280^Transportation_LCIA!T$60)+Transportation_LCIA!T$62</f>
        <v>3.2491002717784391E-6</v>
      </c>
      <c r="AQ280" s="137">
        <f>Transportation_LCIA!U$61*($W280^Transportation_LCIA!U$60)+Transportation_LCIA!U$62</f>
        <v>4.4927065234843784E-4</v>
      </c>
      <c r="AR280" s="137">
        <f>Transportation_LCIA!V$61*($W280^Transportation_LCIA!V$60)+Transportation_LCIA!V$62</f>
        <v>1.8951836821366741E-4</v>
      </c>
      <c r="AT280" s="137">
        <f>$W280*Y280+$L280*Summary_LCIA!H$32</f>
        <v>309.66956997534891</v>
      </c>
      <c r="AU280" s="137">
        <f>$W280*Z280+$L280*Summary_LCIA!Q$32</f>
        <v>3140.9539732147446</v>
      </c>
      <c r="AV280" s="137">
        <f>$W280*AA280+$L280*Summary_LCIA!R$32</f>
        <v>1.4210344703446369</v>
      </c>
      <c r="AW280" s="137">
        <f>$W280*AB280+$L280*Summary_LCIA!S$32</f>
        <v>309.57928705534891</v>
      </c>
      <c r="AX280" s="137">
        <f>$W280*AC280+$L280*Summary_LCIA!T$32</f>
        <v>73.435038477872496</v>
      </c>
      <c r="AY280" s="137">
        <f>$W280*AD280+$L280*Summary_LCIA!U$32</f>
        <v>0.693527182919629</v>
      </c>
      <c r="AZ280" s="137">
        <f>$W280*AE280+$L280*Summary_LCIA!V$32</f>
        <v>7.6449567271128739E-3</v>
      </c>
      <c r="BA280" s="137">
        <f>$W280*AF280+$L280*Summary_LCIA!W$32</f>
        <v>11.439189469268308</v>
      </c>
      <c r="BB280" s="137">
        <f>$W280*AG280+$L280*Summary_LCIA!X$32</f>
        <v>15.308004261966573</v>
      </c>
      <c r="BC280" s="137">
        <f>$W280*AH280+$L280*Summary_LCIA!Y$32</f>
        <v>0.59743768620536519</v>
      </c>
      <c r="BD280" s="137">
        <f>$W280*AI280+$L280*Summary_LCIA!Z$32</f>
        <v>0.3200361780206295</v>
      </c>
      <c r="BE280" s="137">
        <f>$W280*AJ280+$L280*Summary_LCIA!AA$32</f>
        <v>1.6685720914291324</v>
      </c>
      <c r="BF280" s="137">
        <f>$W280*AK280+$L280*Summary_LCIA!AB$32</f>
        <v>7.4695065356919527E-2</v>
      </c>
      <c r="BG280" s="137">
        <f>$W280*AL280+$L280*Summary_LCIA!AC$32</f>
        <v>3.737768994549183E-5</v>
      </c>
      <c r="BH280" s="137">
        <f>$W280*AM280+$L280*Summary_LCIA!AD$32</f>
        <v>0.11935545793760127</v>
      </c>
      <c r="BI280" s="137">
        <f>$W280*AN280+$L280*Summary_LCIA!AE$32</f>
        <v>0.33922238955799944</v>
      </c>
      <c r="BJ280" s="137">
        <f>$W280*AO280+$L280*Summary_LCIA!AF$32</f>
        <v>2.2217539430102906E-2</v>
      </c>
      <c r="BK280" s="137">
        <f>$W280*AP280+$L280*Summary_LCIA!AG$32</f>
        <v>5.9940868001029067E-3</v>
      </c>
      <c r="BL280" s="137">
        <f>$W280*AQ280+$L280*Summary_LCIA!AH$32</f>
        <v>0.86210339521575341</v>
      </c>
      <c r="BM280" s="137">
        <f>$W280*AR280+$L280*Summary_LCIA!AI$32</f>
        <v>0.30769994252054567</v>
      </c>
    </row>
    <row r="281" spans="1:65" x14ac:dyDescent="0.25">
      <c r="A281" s="149">
        <v>155</v>
      </c>
      <c r="B281" s="149">
        <v>6</v>
      </c>
      <c r="C281" s="61">
        <v>30.080174</v>
      </c>
      <c r="D281" s="61">
        <v>-94.126555999999994</v>
      </c>
      <c r="E281" s="61" t="s">
        <v>265</v>
      </c>
      <c r="F281" s="149">
        <v>47</v>
      </c>
      <c r="G281" s="61" t="s">
        <v>565</v>
      </c>
      <c r="H281" s="61" t="s">
        <v>688</v>
      </c>
      <c r="I281" s="61">
        <v>29.990220000000001</v>
      </c>
      <c r="J281" s="61">
        <v>-95.336782999999997</v>
      </c>
      <c r="K281" s="61">
        <v>117.32741729999999</v>
      </c>
      <c r="L281" s="61">
        <v>153.17099999999999</v>
      </c>
      <c r="M281" s="61" t="s">
        <v>617</v>
      </c>
      <c r="N281" s="149">
        <v>5</v>
      </c>
      <c r="O281" s="149">
        <v>6</v>
      </c>
      <c r="P281" s="61" t="s">
        <v>565</v>
      </c>
      <c r="Q281" s="61" t="s">
        <v>564</v>
      </c>
      <c r="R281" s="61">
        <v>41.98028</v>
      </c>
      <c r="S281" s="61">
        <v>-87.908997900000003</v>
      </c>
      <c r="T281" s="61">
        <v>1791.9670000000001</v>
      </c>
      <c r="U281" s="61" t="s">
        <v>617</v>
      </c>
      <c r="V281" s="61" t="s">
        <v>569</v>
      </c>
      <c r="W281" s="61" cm="1">
        <f t="array" ref="W281">getDistance(I281,J281,R281,S281)*SA!$B$12</f>
        <v>1490.6516068471742</v>
      </c>
      <c r="X281" s="61"/>
      <c r="Y281" s="137">
        <f>Transportation_LCIA!C$61*($W281^Transportation_LCIA!C$60)+Transportation_LCIA!C$62</f>
        <v>0.20033456701279334</v>
      </c>
      <c r="Z281" s="137">
        <f>Transportation_LCIA!D$61*($W281^Transportation_LCIA!D$60)+Transportation_LCIA!D$62</f>
        <v>2.0138295851147205</v>
      </c>
      <c r="AA281" s="137">
        <f>Transportation_LCIA!E$61*($W281^Transportation_LCIA!E$60)+Transportation_LCIA!E$62</f>
        <v>8.742272607546299E-4</v>
      </c>
      <c r="AB281" s="137">
        <f>Transportation_LCIA!F$61*($W281^Transportation_LCIA!F$60)+Transportation_LCIA!F$62</f>
        <v>0.20033456701279334</v>
      </c>
      <c r="AC281" s="137">
        <f>Transportation_LCIA!G$61*($W281^Transportation_LCIA!G$60)+Transportation_LCIA!G$62</f>
        <v>4.7159118271410991E-2</v>
      </c>
      <c r="AD281" s="137">
        <f>Transportation_LCIA!H$61*($W281^Transportation_LCIA!H$60)+Transportation_LCIA!H$62</f>
        <v>2.1767719252658522E-4</v>
      </c>
      <c r="AE281" s="137">
        <f>Transportation_LCIA!I$61*($W281^Transportation_LCIA!I$60)+Transportation_LCIA!I$62</f>
        <v>4.4427712820296799E-6</v>
      </c>
      <c r="AF281" s="137">
        <f>Transportation_LCIA!J$61*($W281^Transportation_LCIA!J$60)+Transportation_LCIA!J$62</f>
        <v>6.5724552990164518E-3</v>
      </c>
      <c r="AG281" s="137">
        <f>Transportation_LCIA!K$61*($W281^Transportation_LCIA!K$60)+Transportation_LCIA!K$62</f>
        <v>9.8419916362103219E-3</v>
      </c>
      <c r="AH281" s="137">
        <f>Transportation_LCIA!L$61*($W281^Transportation_LCIA!L$60)+Transportation_LCIA!L$62</f>
        <v>1.856449884239458E-4</v>
      </c>
      <c r="AI281" s="137">
        <f>Transportation_LCIA!M$61*($W281^Transportation_LCIA!M$60)+Transportation_LCIA!M$62</f>
        <v>2.1098900189273081E-4</v>
      </c>
      <c r="AJ281" s="137">
        <f>Transportation_LCIA!N$61*($W281^Transportation_LCIA!N$60)+Transportation_LCIA!N$62</f>
        <v>7.9096701389764698E-4</v>
      </c>
      <c r="AK281" s="137">
        <f>Transportation_LCIA!O$61*($W281^Transportation_LCIA!O$60)+Transportation_LCIA!O$62</f>
        <v>4.9778932824492302E-5</v>
      </c>
      <c r="AL281" s="137">
        <f>Transportation_LCIA!P$61*($W281^Transportation_LCIA!P$60)+Transportation_LCIA!P$62</f>
        <v>2.4099094262166891E-8</v>
      </c>
      <c r="AM281" s="137">
        <f>Transportation_LCIA!Q$61*($W281^Transportation_LCIA!Q$60)+Transportation_LCIA!Q$62</f>
        <v>7.3771950781714518E-5</v>
      </c>
      <c r="AN281" s="137">
        <f>Transportation_LCIA!R$61*($W281^Transportation_LCIA!R$60)+Transportation_LCIA!R$62</f>
        <v>2.1389977634216263E-4</v>
      </c>
      <c r="AO281" s="137">
        <f>Transportation_LCIA!S$61*($W281^Transportation_LCIA!S$60)+Transportation_LCIA!S$62</f>
        <v>3.2928048480826389E-6</v>
      </c>
      <c r="AP281" s="137">
        <f>Transportation_LCIA!T$61*($W281^Transportation_LCIA!T$60)+Transportation_LCIA!T$62</f>
        <v>3.2928048480826389E-6</v>
      </c>
      <c r="AQ281" s="137">
        <f>Transportation_LCIA!U$61*($W281^Transportation_LCIA!U$60)+Transportation_LCIA!U$62</f>
        <v>4.559986054108007E-4</v>
      </c>
      <c r="AR281" s="137">
        <f>Transportation_LCIA!V$61*($W281^Transportation_LCIA!V$60)+Transportation_LCIA!V$62</f>
        <v>1.9191717787183445E-4</v>
      </c>
      <c r="AT281" s="137">
        <f>$W281*Y281+$L281*Summary_LCIA!H$32</f>
        <v>350.6765500246533</v>
      </c>
      <c r="AU281" s="137">
        <f>$W281*Z281+$L281*Summary_LCIA!Q$32</f>
        <v>3761.0415078406795</v>
      </c>
      <c r="AV281" s="137">
        <f>$W281*AA281+$L281*Summary_LCIA!R$32</f>
        <v>2.1097054885934927</v>
      </c>
      <c r="AW281" s="137">
        <f>$W281*AB281+$L281*Summary_LCIA!S$32</f>
        <v>349.99953420465329</v>
      </c>
      <c r="AX281" s="137">
        <f>$W281*AC281+$L281*Summary_LCIA!T$32</f>
        <v>87.131308328774722</v>
      </c>
      <c r="AY281" s="137">
        <f>$W281*AD281+$L281*Summary_LCIA!U$32</f>
        <v>3.0683861508137356</v>
      </c>
      <c r="AZ281" s="137">
        <f>$W281*AE281+$L281*Summary_LCIA!V$32</f>
        <v>1.3938224281412021E-2</v>
      </c>
      <c r="BA281" s="137">
        <f>$W281*AF281+$L281*Summary_LCIA!W$32</f>
        <v>21.586966093410098</v>
      </c>
      <c r="BB281" s="137">
        <f>$W281*AG281+$L281*Summary_LCIA!X$32</f>
        <v>18.160216027093366</v>
      </c>
      <c r="BC281" s="137">
        <f>$W281*AH281+$L281*Summary_LCIA!Y$32</f>
        <v>2.66344252229728</v>
      </c>
      <c r="BD281" s="137">
        <f>$W281*AI281+$L281*Summary_LCIA!Z$32</f>
        <v>0.32079248423748064</v>
      </c>
      <c r="BE281" s="137">
        <f>$W281*AJ281+$L281*Summary_LCIA!AA$32</f>
        <v>4.7565181262296381</v>
      </c>
      <c r="BF281" s="137">
        <f>$W281*AK281+$L281*Summary_LCIA!AB$32</f>
        <v>7.0860395468966997E-2</v>
      </c>
      <c r="BG281" s="137">
        <f>$W281*AL281+$L281*Summary_LCIA!AC$32</f>
        <v>4.3410964749460596E-5</v>
      </c>
      <c r="BH281" s="137">
        <f>$W281*AM281+$L281*Summary_LCIA!AD$32</f>
        <v>0.1729276848130134</v>
      </c>
      <c r="BI281" s="137">
        <f>$W281*AN281+$L281*Summary_LCIA!AE$32</f>
        <v>0.45457946353869583</v>
      </c>
      <c r="BJ281" s="137">
        <f>$W281*AO281+$L281*Summary_LCIA!AF$32</f>
        <v>0.13440225165782854</v>
      </c>
      <c r="BK281" s="137">
        <f>$W281*AP281+$L281*Summary_LCIA!AG$32</f>
        <v>1.2745419052828551E-2</v>
      </c>
      <c r="BL281" s="137">
        <f>$W281*AQ281+$L281*Summary_LCIA!AH$32</f>
        <v>2.0128741694756807</v>
      </c>
      <c r="BM281" s="137">
        <f>$W281*AR281+$L281*Summary_LCIA!AI$32</f>
        <v>0.42876809462622495</v>
      </c>
    </row>
    <row r="282" spans="1:65" x14ac:dyDescent="0.25">
      <c r="A282" s="149">
        <v>156</v>
      </c>
      <c r="B282" s="149">
        <v>6</v>
      </c>
      <c r="C282" s="61">
        <v>30.080174</v>
      </c>
      <c r="D282" s="61">
        <v>-94.126555999999994</v>
      </c>
      <c r="E282" s="61" t="s">
        <v>265</v>
      </c>
      <c r="F282" s="149">
        <v>47</v>
      </c>
      <c r="G282" s="61" t="s">
        <v>565</v>
      </c>
      <c r="H282" s="61" t="s">
        <v>688</v>
      </c>
      <c r="I282" s="61">
        <v>29.990220000000001</v>
      </c>
      <c r="J282" s="61">
        <v>-95.336782999999997</v>
      </c>
      <c r="K282" s="61">
        <v>117.32741729999999</v>
      </c>
      <c r="L282" s="61">
        <v>153.17099999999999</v>
      </c>
      <c r="M282" s="61" t="s">
        <v>617</v>
      </c>
      <c r="N282" s="149">
        <v>5</v>
      </c>
      <c r="O282" s="149">
        <v>6</v>
      </c>
      <c r="P282" s="61" t="s">
        <v>565</v>
      </c>
      <c r="Q282" s="61" t="s">
        <v>564</v>
      </c>
      <c r="R282" s="61">
        <v>41.98028</v>
      </c>
      <c r="S282" s="61">
        <v>-87.908997900000003</v>
      </c>
      <c r="T282" s="61">
        <v>1791.9670000000001</v>
      </c>
      <c r="U282" s="61" t="s">
        <v>617</v>
      </c>
      <c r="V282" s="61" t="s">
        <v>569</v>
      </c>
      <c r="W282" s="61" cm="1">
        <f t="array" ref="W282">getDistance(I282,J282,R282,S282)*SA!$B$12</f>
        <v>1490.6516068471742</v>
      </c>
      <c r="X282" s="61"/>
      <c r="Y282" s="137">
        <f>Transportation_LCIA!C$61*($W282^Transportation_LCIA!C$60)+Transportation_LCIA!C$62</f>
        <v>0.20033456701279334</v>
      </c>
      <c r="Z282" s="137">
        <f>Transportation_LCIA!D$61*($W282^Transportation_LCIA!D$60)+Transportation_LCIA!D$62</f>
        <v>2.0138295851147205</v>
      </c>
      <c r="AA282" s="137">
        <f>Transportation_LCIA!E$61*($W282^Transportation_LCIA!E$60)+Transportation_LCIA!E$62</f>
        <v>8.742272607546299E-4</v>
      </c>
      <c r="AB282" s="137">
        <f>Transportation_LCIA!F$61*($W282^Transportation_LCIA!F$60)+Transportation_LCIA!F$62</f>
        <v>0.20033456701279334</v>
      </c>
      <c r="AC282" s="137">
        <f>Transportation_LCIA!G$61*($W282^Transportation_LCIA!G$60)+Transportation_LCIA!G$62</f>
        <v>4.7159118271410991E-2</v>
      </c>
      <c r="AD282" s="137">
        <f>Transportation_LCIA!H$61*($W282^Transportation_LCIA!H$60)+Transportation_LCIA!H$62</f>
        <v>2.1767719252658522E-4</v>
      </c>
      <c r="AE282" s="137">
        <f>Transportation_LCIA!I$61*($W282^Transportation_LCIA!I$60)+Transportation_LCIA!I$62</f>
        <v>4.4427712820296799E-6</v>
      </c>
      <c r="AF282" s="137">
        <f>Transportation_LCIA!J$61*($W282^Transportation_LCIA!J$60)+Transportation_LCIA!J$62</f>
        <v>6.5724552990164518E-3</v>
      </c>
      <c r="AG282" s="137">
        <f>Transportation_LCIA!K$61*($W282^Transportation_LCIA!K$60)+Transportation_LCIA!K$62</f>
        <v>9.8419916362103219E-3</v>
      </c>
      <c r="AH282" s="137">
        <f>Transportation_LCIA!L$61*($W282^Transportation_LCIA!L$60)+Transportation_LCIA!L$62</f>
        <v>1.856449884239458E-4</v>
      </c>
      <c r="AI282" s="137">
        <f>Transportation_LCIA!M$61*($W282^Transportation_LCIA!M$60)+Transportation_LCIA!M$62</f>
        <v>2.1098900189273081E-4</v>
      </c>
      <c r="AJ282" s="137">
        <f>Transportation_LCIA!N$61*($W282^Transportation_LCIA!N$60)+Transportation_LCIA!N$62</f>
        <v>7.9096701389764698E-4</v>
      </c>
      <c r="AK282" s="137">
        <f>Transportation_LCIA!O$61*($W282^Transportation_LCIA!O$60)+Transportation_LCIA!O$62</f>
        <v>4.9778932824492302E-5</v>
      </c>
      <c r="AL282" s="137">
        <f>Transportation_LCIA!P$61*($W282^Transportation_LCIA!P$60)+Transportation_LCIA!P$62</f>
        <v>2.4099094262166891E-8</v>
      </c>
      <c r="AM282" s="137">
        <f>Transportation_LCIA!Q$61*($W282^Transportation_LCIA!Q$60)+Transportation_LCIA!Q$62</f>
        <v>7.3771950781714518E-5</v>
      </c>
      <c r="AN282" s="137">
        <f>Transportation_LCIA!R$61*($W282^Transportation_LCIA!R$60)+Transportation_LCIA!R$62</f>
        <v>2.1389977634216263E-4</v>
      </c>
      <c r="AO282" s="137">
        <f>Transportation_LCIA!S$61*($W282^Transportation_LCIA!S$60)+Transportation_LCIA!S$62</f>
        <v>3.2928048480826389E-6</v>
      </c>
      <c r="AP282" s="137">
        <f>Transportation_LCIA!T$61*($W282^Transportation_LCIA!T$60)+Transportation_LCIA!T$62</f>
        <v>3.2928048480826389E-6</v>
      </c>
      <c r="AQ282" s="137">
        <f>Transportation_LCIA!U$61*($W282^Transportation_LCIA!U$60)+Transportation_LCIA!U$62</f>
        <v>4.559986054108007E-4</v>
      </c>
      <c r="AR282" s="137">
        <f>Transportation_LCIA!V$61*($W282^Transportation_LCIA!V$60)+Transportation_LCIA!V$62</f>
        <v>1.9191717787183445E-4</v>
      </c>
      <c r="AT282" s="137">
        <f>$W282*Y282+$L282*Summary_LCIA!H$32</f>
        <v>350.6765500246533</v>
      </c>
      <c r="AU282" s="137">
        <f>$W282*Z282+$L282*Summary_LCIA!Q$32</f>
        <v>3761.0415078406795</v>
      </c>
      <c r="AV282" s="137">
        <f>$W282*AA282+$L282*Summary_LCIA!R$32</f>
        <v>2.1097054885934927</v>
      </c>
      <c r="AW282" s="137">
        <f>$W282*AB282+$L282*Summary_LCIA!S$32</f>
        <v>349.99953420465329</v>
      </c>
      <c r="AX282" s="137">
        <f>$W282*AC282+$L282*Summary_LCIA!T$32</f>
        <v>87.131308328774722</v>
      </c>
      <c r="AY282" s="137">
        <f>$W282*AD282+$L282*Summary_LCIA!U$32</f>
        <v>3.0683861508137356</v>
      </c>
      <c r="AZ282" s="137">
        <f>$W282*AE282+$L282*Summary_LCIA!V$32</f>
        <v>1.3938224281412021E-2</v>
      </c>
      <c r="BA282" s="137">
        <f>$W282*AF282+$L282*Summary_LCIA!W$32</f>
        <v>21.586966093410098</v>
      </c>
      <c r="BB282" s="137">
        <f>$W282*AG282+$L282*Summary_LCIA!X$32</f>
        <v>18.160216027093366</v>
      </c>
      <c r="BC282" s="137">
        <f>$W282*AH282+$L282*Summary_LCIA!Y$32</f>
        <v>2.66344252229728</v>
      </c>
      <c r="BD282" s="137">
        <f>$W282*AI282+$L282*Summary_LCIA!Z$32</f>
        <v>0.32079248423748064</v>
      </c>
      <c r="BE282" s="137">
        <f>$W282*AJ282+$L282*Summary_LCIA!AA$32</f>
        <v>4.7565181262296381</v>
      </c>
      <c r="BF282" s="137">
        <f>$W282*AK282+$L282*Summary_LCIA!AB$32</f>
        <v>7.0860395468966997E-2</v>
      </c>
      <c r="BG282" s="137">
        <f>$W282*AL282+$L282*Summary_LCIA!AC$32</f>
        <v>4.3410964749460596E-5</v>
      </c>
      <c r="BH282" s="137">
        <f>$W282*AM282+$L282*Summary_LCIA!AD$32</f>
        <v>0.1729276848130134</v>
      </c>
      <c r="BI282" s="137">
        <f>$W282*AN282+$L282*Summary_LCIA!AE$32</f>
        <v>0.45457946353869583</v>
      </c>
      <c r="BJ282" s="137">
        <f>$W282*AO282+$L282*Summary_LCIA!AF$32</f>
        <v>0.13440225165782854</v>
      </c>
      <c r="BK282" s="137">
        <f>$W282*AP282+$L282*Summary_LCIA!AG$32</f>
        <v>1.2745419052828551E-2</v>
      </c>
      <c r="BL282" s="137">
        <f>$W282*AQ282+$L282*Summary_LCIA!AH$32</f>
        <v>2.0128741694756807</v>
      </c>
      <c r="BM282" s="137">
        <f>$W282*AR282+$L282*Summary_LCIA!AI$32</f>
        <v>0.42876809462622495</v>
      </c>
    </row>
    <row r="283" spans="1:65" x14ac:dyDescent="0.25">
      <c r="A283" s="149">
        <v>238</v>
      </c>
      <c r="B283" s="149">
        <v>6</v>
      </c>
      <c r="C283" s="61">
        <v>29.785777</v>
      </c>
      <c r="D283" s="61">
        <v>-95.824509000000006</v>
      </c>
      <c r="E283" s="61" t="s">
        <v>265</v>
      </c>
      <c r="F283" s="149">
        <v>47</v>
      </c>
      <c r="G283" s="61" t="s">
        <v>565</v>
      </c>
      <c r="H283" s="61" t="s">
        <v>688</v>
      </c>
      <c r="I283" s="61">
        <v>29.990220000000001</v>
      </c>
      <c r="J283" s="61">
        <v>-95.336782999999997</v>
      </c>
      <c r="K283" s="61">
        <v>58.812302199999998</v>
      </c>
      <c r="L283" s="61">
        <v>71.41</v>
      </c>
      <c r="M283" s="61" t="s">
        <v>617</v>
      </c>
      <c r="N283" s="149">
        <v>5</v>
      </c>
      <c r="O283" s="149">
        <v>6</v>
      </c>
      <c r="P283" s="61" t="s">
        <v>565</v>
      </c>
      <c r="Q283" s="61" t="s">
        <v>564</v>
      </c>
      <c r="R283" s="61">
        <v>41.98028</v>
      </c>
      <c r="S283" s="61">
        <v>-87.908997900000003</v>
      </c>
      <c r="T283" s="61">
        <v>1810.3689999999999</v>
      </c>
      <c r="U283" s="61" t="s">
        <v>617</v>
      </c>
      <c r="V283" s="61" t="s">
        <v>569</v>
      </c>
      <c r="W283" s="61" cm="1">
        <f t="array" ref="W283">getDistance(I283,J283,R283,S283)*SA!$B$12</f>
        <v>1490.6516068471742</v>
      </c>
      <c r="X283" s="61"/>
      <c r="Y283" s="137">
        <f>Transportation_LCIA!C$61*($W283^Transportation_LCIA!C$60)+Transportation_LCIA!C$62</f>
        <v>0.20033456701279334</v>
      </c>
      <c r="Z283" s="137">
        <f>Transportation_LCIA!D$61*($W283^Transportation_LCIA!D$60)+Transportation_LCIA!D$62</f>
        <v>2.0138295851147205</v>
      </c>
      <c r="AA283" s="137">
        <f>Transportation_LCIA!E$61*($W283^Transportation_LCIA!E$60)+Transportation_LCIA!E$62</f>
        <v>8.742272607546299E-4</v>
      </c>
      <c r="AB283" s="137">
        <f>Transportation_LCIA!F$61*($W283^Transportation_LCIA!F$60)+Transportation_LCIA!F$62</f>
        <v>0.20033456701279334</v>
      </c>
      <c r="AC283" s="137">
        <f>Transportation_LCIA!G$61*($W283^Transportation_LCIA!G$60)+Transportation_LCIA!G$62</f>
        <v>4.7159118271410991E-2</v>
      </c>
      <c r="AD283" s="137">
        <f>Transportation_LCIA!H$61*($W283^Transportation_LCIA!H$60)+Transportation_LCIA!H$62</f>
        <v>2.1767719252658522E-4</v>
      </c>
      <c r="AE283" s="137">
        <f>Transportation_LCIA!I$61*($W283^Transportation_LCIA!I$60)+Transportation_LCIA!I$62</f>
        <v>4.4427712820296799E-6</v>
      </c>
      <c r="AF283" s="137">
        <f>Transportation_LCIA!J$61*($W283^Transportation_LCIA!J$60)+Transportation_LCIA!J$62</f>
        <v>6.5724552990164518E-3</v>
      </c>
      <c r="AG283" s="137">
        <f>Transportation_LCIA!K$61*($W283^Transportation_LCIA!K$60)+Transportation_LCIA!K$62</f>
        <v>9.8419916362103219E-3</v>
      </c>
      <c r="AH283" s="137">
        <f>Transportation_LCIA!L$61*($W283^Transportation_LCIA!L$60)+Transportation_LCIA!L$62</f>
        <v>1.856449884239458E-4</v>
      </c>
      <c r="AI283" s="137">
        <f>Transportation_LCIA!M$61*($W283^Transportation_LCIA!M$60)+Transportation_LCIA!M$62</f>
        <v>2.1098900189273081E-4</v>
      </c>
      <c r="AJ283" s="137">
        <f>Transportation_LCIA!N$61*($W283^Transportation_LCIA!N$60)+Transportation_LCIA!N$62</f>
        <v>7.9096701389764698E-4</v>
      </c>
      <c r="AK283" s="137">
        <f>Transportation_LCIA!O$61*($W283^Transportation_LCIA!O$60)+Transportation_LCIA!O$62</f>
        <v>4.9778932824492302E-5</v>
      </c>
      <c r="AL283" s="137">
        <f>Transportation_LCIA!P$61*($W283^Transportation_LCIA!P$60)+Transportation_LCIA!P$62</f>
        <v>2.4099094262166891E-8</v>
      </c>
      <c r="AM283" s="137">
        <f>Transportation_LCIA!Q$61*($W283^Transportation_LCIA!Q$60)+Transportation_LCIA!Q$62</f>
        <v>7.3771950781714518E-5</v>
      </c>
      <c r="AN283" s="137">
        <f>Transportation_LCIA!R$61*($W283^Transportation_LCIA!R$60)+Transportation_LCIA!R$62</f>
        <v>2.1389977634216263E-4</v>
      </c>
      <c r="AO283" s="137">
        <f>Transportation_LCIA!S$61*($W283^Transportation_LCIA!S$60)+Transportation_LCIA!S$62</f>
        <v>3.2928048480826389E-6</v>
      </c>
      <c r="AP283" s="137">
        <f>Transportation_LCIA!T$61*($W283^Transportation_LCIA!T$60)+Transportation_LCIA!T$62</f>
        <v>3.2928048480826389E-6</v>
      </c>
      <c r="AQ283" s="137">
        <f>Transportation_LCIA!U$61*($W283^Transportation_LCIA!U$60)+Transportation_LCIA!U$62</f>
        <v>4.559986054108007E-4</v>
      </c>
      <c r="AR283" s="137">
        <f>Transportation_LCIA!V$61*($W283^Transportation_LCIA!V$60)+Transportation_LCIA!V$62</f>
        <v>1.9191717787183445E-4</v>
      </c>
      <c r="AT283" s="137">
        <f>$W283*Y283+$L283*Summary_LCIA!H$32</f>
        <v>322.89416222465326</v>
      </c>
      <c r="AU283" s="137">
        <f>$W283*Z283+$L283*Summary_LCIA!Q$32</f>
        <v>3355.8298683881662</v>
      </c>
      <c r="AV283" s="137">
        <f>$W283*AA283+$L283*Summary_LCIA!R$32</f>
        <v>1.6791847669934925</v>
      </c>
      <c r="AW283" s="137">
        <f>$W283*AB283+$L283*Summary_LCIA!S$32</f>
        <v>322.57853002465328</v>
      </c>
      <c r="AX283" s="137">
        <f>$W283*AC283+$L283*Summary_LCIA!T$32</f>
        <v>78.145774428774729</v>
      </c>
      <c r="AY283" s="137">
        <f>$W283*AD283+$L283*Summary_LCIA!U$32</f>
        <v>1.6037195968137357</v>
      </c>
      <c r="AZ283" s="137">
        <f>$W283*AE283+$L283*Summary_LCIA!V$32</f>
        <v>1.0033237160412023E-2</v>
      </c>
      <c r="BA283" s="137">
        <f>$W283*AF283+$L283*Summary_LCIA!W$32</f>
        <v>15.293740162410099</v>
      </c>
      <c r="BB283" s="137">
        <f>$W283*AG283+$L283*Summary_LCIA!X$32</f>
        <v>16.297700447093366</v>
      </c>
      <c r="BC283" s="137">
        <f>$W283*AH283+$L283*Summary_LCIA!Y$32</f>
        <v>1.3894426202972796</v>
      </c>
      <c r="BD283" s="137">
        <f>$W283*AI283+$L283*Summary_LCIA!Z$32</f>
        <v>0.31743954738848068</v>
      </c>
      <c r="BE283" s="137">
        <f>$W283*AJ283+$L283*Summary_LCIA!AA$32</f>
        <v>2.8469082102296381</v>
      </c>
      <c r="BF283" s="137">
        <f>$W283*AK283+$L283*Summary_LCIA!AB$32</f>
        <v>7.2644665771966987E-2</v>
      </c>
      <c r="BG283" s="137">
        <f>$W283*AL283+$L283*Summary_LCIA!AC$32</f>
        <v>3.9414160025460594E-5</v>
      </c>
      <c r="BH283" s="137">
        <f>$W283*AM283+$L283*Summary_LCIA!AD$32</f>
        <v>0.13932064337301339</v>
      </c>
      <c r="BI283" s="137">
        <f>$W283*AN283+$L283*Summary_LCIA!AE$32</f>
        <v>0.38212858860869586</v>
      </c>
      <c r="BJ283" s="137">
        <f>$W283*AO283+$L283*Summary_LCIA!AF$32</f>
        <v>6.5279867037828551E-2</v>
      </c>
      <c r="BK283" s="137">
        <f>$W283*AP283+$L283*Summary_LCIA!AG$32</f>
        <v>8.5621174878285512E-3</v>
      </c>
      <c r="BL283" s="137">
        <f>$W283*AQ283+$L283*Summary_LCIA!AH$32</f>
        <v>1.3012591298756806</v>
      </c>
      <c r="BM283" s="137">
        <f>$W283*AR283+$L283*Summary_LCIA!AI$32</f>
        <v>0.35260363507622494</v>
      </c>
    </row>
    <row r="284" spans="1:65" x14ac:dyDescent="0.25">
      <c r="A284" s="149">
        <v>320</v>
      </c>
      <c r="B284" s="149">
        <v>6</v>
      </c>
      <c r="C284" s="61">
        <v>50.445211</v>
      </c>
      <c r="D284" s="61">
        <v>-104.618894</v>
      </c>
      <c r="E284" s="61" t="s">
        <v>457</v>
      </c>
      <c r="F284" s="149">
        <v>136</v>
      </c>
      <c r="G284" s="61" t="s">
        <v>720</v>
      </c>
      <c r="H284" s="61" t="s">
        <v>721</v>
      </c>
      <c r="I284" s="61">
        <v>50.432102999999998</v>
      </c>
      <c r="J284" s="61">
        <v>-104.66394099999999</v>
      </c>
      <c r="K284" s="61">
        <v>3.6963417160000001</v>
      </c>
      <c r="L284" s="61">
        <v>4.2089999999999996</v>
      </c>
      <c r="M284" s="61" t="s">
        <v>617</v>
      </c>
      <c r="N284" s="149">
        <v>5</v>
      </c>
      <c r="O284" s="149">
        <v>6</v>
      </c>
      <c r="P284" s="61" t="s">
        <v>565</v>
      </c>
      <c r="Q284" s="61" t="s">
        <v>564</v>
      </c>
      <c r="R284" s="61">
        <v>41.98028</v>
      </c>
      <c r="S284" s="61">
        <v>-87.908997900000003</v>
      </c>
      <c r="T284" s="61">
        <v>1829.7280000000001</v>
      </c>
      <c r="U284" s="61" t="s">
        <v>617</v>
      </c>
      <c r="V284" s="61" t="s">
        <v>569</v>
      </c>
      <c r="W284" s="61" cm="1">
        <f t="array" ref="W284">getDistance(I284,J284,R284,S284)*SA!$B$12</f>
        <v>1593.20995403908</v>
      </c>
      <c r="X284" s="61"/>
      <c r="Y284" s="137">
        <f>Transportation_LCIA!C$61*($W284^Transportation_LCIA!C$60)+Transportation_LCIA!C$62</f>
        <v>0.19553273234299895</v>
      </c>
      <c r="Z284" s="137">
        <f>Transportation_LCIA!D$61*($W284^Transportation_LCIA!D$60)+Transportation_LCIA!D$62</f>
        <v>1.9588444458659575</v>
      </c>
      <c r="AA284" s="137">
        <f>Transportation_LCIA!E$61*($W284^Transportation_LCIA!E$60)+Transportation_LCIA!E$62</f>
        <v>8.3826742042325975E-4</v>
      </c>
      <c r="AB284" s="137">
        <f>Transportation_LCIA!F$61*($W284^Transportation_LCIA!F$60)+Transportation_LCIA!F$62</f>
        <v>0.19553273234299895</v>
      </c>
      <c r="AC284" s="137">
        <f>Transportation_LCIA!G$61*($W284^Transportation_LCIA!G$60)+Transportation_LCIA!G$62</f>
        <v>4.5885588292221682E-2</v>
      </c>
      <c r="AD284" s="137">
        <f>Transportation_LCIA!H$61*($W284^Transportation_LCIA!H$60)+Transportation_LCIA!H$62</f>
        <v>2.0985315182102659E-4</v>
      </c>
      <c r="AE284" s="137">
        <f>Transportation_LCIA!I$61*($W284^Transportation_LCIA!I$60)+Transportation_LCIA!I$62</f>
        <v>4.2491234380754133E-6</v>
      </c>
      <c r="AF284" s="137">
        <f>Transportation_LCIA!J$61*($W284^Transportation_LCIA!J$60)+Transportation_LCIA!J$62</f>
        <v>6.2872388728940614E-3</v>
      </c>
      <c r="AG284" s="137">
        <f>Transportation_LCIA!K$61*($W284^Transportation_LCIA!K$60)+Transportation_LCIA!K$62</f>
        <v>9.5475413129355487E-3</v>
      </c>
      <c r="AH284" s="137">
        <f>Transportation_LCIA!L$61*($W284^Transportation_LCIA!L$60)+Transportation_LCIA!L$62</f>
        <v>1.7848669342834998E-4</v>
      </c>
      <c r="AI284" s="137">
        <f>Transportation_LCIA!M$61*($W284^Transportation_LCIA!M$60)+Transportation_LCIA!M$62</f>
        <v>2.0667346004888095E-4</v>
      </c>
      <c r="AJ284" s="137">
        <f>Transportation_LCIA!N$61*($W284^Transportation_LCIA!N$60)+Transportation_LCIA!N$62</f>
        <v>7.6462582741013705E-4</v>
      </c>
      <c r="AK284" s="137">
        <f>Transportation_LCIA!O$61*($W284^Transportation_LCIA!O$60)+Transportation_LCIA!O$62</f>
        <v>4.842634819101181E-5</v>
      </c>
      <c r="AL284" s="137">
        <f>Transportation_LCIA!P$61*($W284^Transportation_LCIA!P$60)+Transportation_LCIA!P$62</f>
        <v>2.3447868401759165E-8</v>
      </c>
      <c r="AM284" s="137">
        <f>Transportation_LCIA!Q$61*($W284^Transportation_LCIA!Q$60)+Transportation_LCIA!Q$62</f>
        <v>7.0980318257585326E-5</v>
      </c>
      <c r="AN284" s="137">
        <f>Transportation_LCIA!R$61*($W284^Transportation_LCIA!R$60)+Transportation_LCIA!R$62</f>
        <v>2.0461759255352533E-4</v>
      </c>
      <c r="AO284" s="137">
        <f>Transportation_LCIA!S$61*($W284^Transportation_LCIA!S$60)+Transportation_LCIA!S$62</f>
        <v>3.1609709341635757E-6</v>
      </c>
      <c r="AP284" s="137">
        <f>Transportation_LCIA!T$61*($W284^Transportation_LCIA!T$60)+Transportation_LCIA!T$62</f>
        <v>3.1609709341635757E-6</v>
      </c>
      <c r="AQ284" s="137">
        <f>Transportation_LCIA!U$61*($W284^Transportation_LCIA!U$60)+Transportation_LCIA!U$62</f>
        <v>4.3570797152885934E-4</v>
      </c>
      <c r="AR284" s="137">
        <f>Transportation_LCIA!V$61*($W284^Transportation_LCIA!V$60)+Transportation_LCIA!V$62</f>
        <v>1.8467908151412432E-4</v>
      </c>
      <c r="AT284" s="137">
        <f>$W284*Y284+$L284*Summary_LCIA!H$32</f>
        <v>312.95491370932513</v>
      </c>
      <c r="AU284" s="137">
        <f>$W284*Z284+$L284*Summary_LCIA!Q$32</f>
        <v>3141.7104858403063</v>
      </c>
      <c r="AV284" s="137">
        <f>$W284*AA284+$L284*Summary_LCIA!R$32</f>
        <v>1.357698908765</v>
      </c>
      <c r="AW284" s="137">
        <f>$W284*AB284+$L284*Summary_LCIA!S$32</f>
        <v>312.93630992932509</v>
      </c>
      <c r="AX284" s="137">
        <f>$W284*AC284+$L284*Summary_LCIA!T$32</f>
        <v>73.567945114106649</v>
      </c>
      <c r="AY284" s="137">
        <f>$W284*AD284+$L284*Summary_LCIA!U$32</f>
        <v>0.40974015636773387</v>
      </c>
      <c r="AZ284" s="137">
        <f>$W284*AE284+$L284*Summary_LCIA!V$32</f>
        <v>6.9707718064825073E-3</v>
      </c>
      <c r="BA284" s="137">
        <f>$W284*AF284+$L284*Summary_LCIA!W$32</f>
        <v>10.340862494716266</v>
      </c>
      <c r="BB284" s="137">
        <f>$W284*AG284+$L284*Summary_LCIA!X$32</f>
        <v>15.307118876368262</v>
      </c>
      <c r="BC284" s="137">
        <f>$W284*AH284+$L284*Summary_LCIA!Y$32</f>
        <v>0.34995141463356882</v>
      </c>
      <c r="BD284" s="137">
        <f>$W284*AI284+$L284*Summary_LCIA!Z$32</f>
        <v>0.32944682066657527</v>
      </c>
      <c r="BE284" s="137">
        <f>$W284*AJ284+$L284*Summary_LCIA!AA$32</f>
        <v>1.3165148833451978</v>
      </c>
      <c r="BF284" s="137">
        <f>$W284*AK284+$L284*Summary_LCIA!AB$32</f>
        <v>7.7061486968682411E-2</v>
      </c>
      <c r="BG284" s="137">
        <f>$W284*AL284+$L284*Summary_LCIA!AC$32</f>
        <v>3.7563130094681114E-5</v>
      </c>
      <c r="BH284" s="137">
        <f>$W284*AM284+$L284*Summary_LCIA!AD$32</f>
        <v>0.11481661694884679</v>
      </c>
      <c r="BI284" s="137">
        <f>$W284*AN284+$L284*Summary_LCIA!AE$32</f>
        <v>0.32972850639778928</v>
      </c>
      <c r="BJ284" s="137">
        <f>$W284*AO284+$L284*Summary_LCIA!AF$32</f>
        <v>8.5944631367376179E-3</v>
      </c>
      <c r="BK284" s="137">
        <f>$W284*AP284+$L284*Summary_LCIA!AG$32</f>
        <v>5.2514438417376186E-3</v>
      </c>
      <c r="BL284" s="137">
        <f>$W284*AQ284+$L284*Summary_LCIA!AH$32</f>
        <v>0.7308077296939548</v>
      </c>
      <c r="BM284" s="137">
        <f>$W284*AR284+$L284*Summary_LCIA!AI$32</f>
        <v>0.29815344492109752</v>
      </c>
    </row>
    <row r="285" spans="1:65" x14ac:dyDescent="0.25">
      <c r="A285" s="149">
        <v>142</v>
      </c>
      <c r="B285" s="149">
        <v>6</v>
      </c>
      <c r="C285" s="61">
        <v>30.122962999999999</v>
      </c>
      <c r="D285" s="61">
        <v>-97.611422000000005</v>
      </c>
      <c r="E285" s="61" t="s">
        <v>265</v>
      </c>
      <c r="F285" s="149">
        <v>92</v>
      </c>
      <c r="G285" s="61" t="s">
        <v>666</v>
      </c>
      <c r="H285" s="61" t="s">
        <v>667</v>
      </c>
      <c r="I285" s="61">
        <v>30.197471</v>
      </c>
      <c r="J285" s="61">
        <v>-97.666353000000001</v>
      </c>
      <c r="K285" s="61">
        <v>15.382665169999999</v>
      </c>
      <c r="L285" s="61">
        <v>15.595000000000001</v>
      </c>
      <c r="M285" s="61" t="s">
        <v>617</v>
      </c>
      <c r="N285" s="149">
        <v>5</v>
      </c>
      <c r="O285" s="149">
        <v>6</v>
      </c>
      <c r="P285" s="61" t="s">
        <v>565</v>
      </c>
      <c r="Q285" s="61" t="s">
        <v>564</v>
      </c>
      <c r="R285" s="61">
        <v>41.98028</v>
      </c>
      <c r="S285" s="61">
        <v>-87.908997900000003</v>
      </c>
      <c r="T285" s="61">
        <v>1830.2260000000001</v>
      </c>
      <c r="U285" s="61" t="s">
        <v>617</v>
      </c>
      <c r="V285" s="61" t="s">
        <v>569</v>
      </c>
      <c r="W285" s="61" cm="1">
        <f t="array" ref="W285">getDistance(I285,J285,R285,S285)*SA!$B$12</f>
        <v>1575.2575220458498</v>
      </c>
      <c r="X285" s="61"/>
      <c r="Y285" s="137">
        <f>Transportation_LCIA!C$61*($W285^Transportation_LCIA!C$60)+Transportation_LCIA!C$62</f>
        <v>0.19633171878830921</v>
      </c>
      <c r="Z285" s="137">
        <f>Transportation_LCIA!D$61*($W285^Transportation_LCIA!D$60)+Transportation_LCIA!D$62</f>
        <v>1.9679824485164779</v>
      </c>
      <c r="AA285" s="137">
        <f>Transportation_LCIA!E$61*($W285^Transportation_LCIA!E$60)+Transportation_LCIA!E$62</f>
        <v>8.4424156539261459E-4</v>
      </c>
      <c r="AB285" s="137">
        <f>Transportation_LCIA!F$61*($W285^Transportation_LCIA!F$60)+Transportation_LCIA!F$62</f>
        <v>0.19633171878830921</v>
      </c>
      <c r="AC285" s="137">
        <f>Transportation_LCIA!G$61*($W285^Transportation_LCIA!G$60)+Transportation_LCIA!G$62</f>
        <v>4.6097251719088815E-2</v>
      </c>
      <c r="AD285" s="137">
        <f>Transportation_LCIA!H$61*($W285^Transportation_LCIA!H$60)+Transportation_LCIA!H$62</f>
        <v>2.1115211481011876E-4</v>
      </c>
      <c r="AE285" s="137">
        <f>Transportation_LCIA!I$61*($W285^Transportation_LCIA!I$60)+Transportation_LCIA!I$62</f>
        <v>4.2812383937410747E-6</v>
      </c>
      <c r="AF285" s="137">
        <f>Transportation_LCIA!J$61*($W285^Transportation_LCIA!J$60)+Transportation_LCIA!J$62</f>
        <v>6.3345062329674112E-3</v>
      </c>
      <c r="AG285" s="137">
        <f>Transportation_LCIA!K$61*($W285^Transportation_LCIA!K$60)+Transportation_LCIA!K$62</f>
        <v>9.5964496315269782E-3</v>
      </c>
      <c r="AH285" s="137">
        <f>Transportation_LCIA!L$61*($W285^Transportation_LCIA!L$60)+Transportation_LCIA!L$62</f>
        <v>1.7967476106705156E-4</v>
      </c>
      <c r="AI285" s="137">
        <f>Transportation_LCIA!M$61*($W285^Transportation_LCIA!M$60)+Transportation_LCIA!M$62</f>
        <v>2.0738990871772508E-4</v>
      </c>
      <c r="AJ285" s="137">
        <f>Transportation_LCIA!N$61*($W285^Transportation_LCIA!N$60)+Transportation_LCIA!N$62</f>
        <v>7.6899942106649333E-4</v>
      </c>
      <c r="AK285" s="137">
        <f>Transportation_LCIA!O$61*($W285^Transportation_LCIA!O$60)+Transportation_LCIA!O$62</f>
        <v>4.8651143184579487E-5</v>
      </c>
      <c r="AL285" s="137">
        <f>Transportation_LCIA!P$61*($W285^Transportation_LCIA!P$60)+Transportation_LCIA!P$62</f>
        <v>2.3556109695339234E-8</v>
      </c>
      <c r="AM285" s="137">
        <f>Transportation_LCIA!Q$61*($W285^Transportation_LCIA!Q$60)+Transportation_LCIA!Q$62</f>
        <v>7.1443570584843764E-5</v>
      </c>
      <c r="AN285" s="137">
        <f>Transportation_LCIA!R$61*($W285^Transportation_LCIA!R$60)+Transportation_LCIA!R$62</f>
        <v>2.0615692860190515E-4</v>
      </c>
      <c r="AO285" s="137">
        <f>Transportation_LCIA!S$61*($W285^Transportation_LCIA!S$60)+Transportation_LCIA!S$62</f>
        <v>3.1828350296720298E-6</v>
      </c>
      <c r="AP285" s="137">
        <f>Transportation_LCIA!T$61*($W285^Transportation_LCIA!T$60)+Transportation_LCIA!T$62</f>
        <v>3.1828350296720298E-6</v>
      </c>
      <c r="AQ285" s="137">
        <f>Transportation_LCIA!U$61*($W285^Transportation_LCIA!U$60)+Transportation_LCIA!U$62</f>
        <v>4.3907223131125399E-4</v>
      </c>
      <c r="AR285" s="137">
        <f>Transportation_LCIA!V$61*($W285^Transportation_LCIA!V$60)+Transportation_LCIA!V$62</f>
        <v>1.8587993651001495E-4</v>
      </c>
      <c r="AT285" s="137">
        <f>$W285*Y285+$L285*Summary_LCIA!H$32</f>
        <v>314.57219783747456</v>
      </c>
      <c r="AU285" s="137">
        <f>$W285*Z285+$L285*Summary_LCIA!Q$32</f>
        <v>3177.3687617824257</v>
      </c>
      <c r="AV285" s="137">
        <f>$W285*AA285+$L285*Summary_LCIA!R$32</f>
        <v>1.4120149083084792</v>
      </c>
      <c r="AW285" s="137">
        <f>$W285*AB285+$L285*Summary_LCIA!S$32</f>
        <v>314.50326793747456</v>
      </c>
      <c r="AX285" s="137">
        <f>$W285*AC285+$L285*Summary_LCIA!T$32</f>
        <v>74.328933016135636</v>
      </c>
      <c r="AY285" s="137">
        <f>$W285*AD285+$L285*Summary_LCIA!U$32</f>
        <v>0.61198778715052848</v>
      </c>
      <c r="AZ285" s="137">
        <f>$W285*AE285+$L285*Summary_LCIA!V$32</f>
        <v>7.4888857784121193E-3</v>
      </c>
      <c r="BA285" s="137">
        <f>$W285*AF285+$L285*Summary_LCIA!W$32</f>
        <v>11.178841336928235</v>
      </c>
      <c r="BB285" s="137">
        <f>$W285*AG285+$L285*Summary_LCIA!X$32</f>
        <v>15.472133566996996</v>
      </c>
      <c r="BC285" s="137">
        <f>$W285*AH285+$L285*Summary_LCIA!Y$32</f>
        <v>0.52603530889266381</v>
      </c>
      <c r="BD285" s="137">
        <f>$W285*AI285+$L285*Summary_LCIA!Z$32</f>
        <v>0.3273320490589986</v>
      </c>
      <c r="BE285" s="137">
        <f>$W285*AJ285+$L285*Summary_LCIA!AA$32</f>
        <v>1.5756089424838973</v>
      </c>
      <c r="BF285" s="137">
        <f>$W285*AK285+$L285*Summary_LCIA!AB$32</f>
        <v>7.6297749572638518E-2</v>
      </c>
      <c r="BG285" s="137">
        <f>$W285*AL285+$L285*Summary_LCIA!AC$32</f>
        <v>3.7869284967720298E-5</v>
      </c>
      <c r="BH285" s="137">
        <f>$W285*AM285+$L285*Summary_LCIA!AD$32</f>
        <v>0.11895219076558876</v>
      </c>
      <c r="BI285" s="137">
        <f>$W285*AN285+$L285*Summary_LCIA!AE$32</f>
        <v>0.33856944985202025</v>
      </c>
      <c r="BJ285" s="137">
        <f>$W285*AO285+$L285*Summary_LCIA!AF$32</f>
        <v>1.8198109721921891E-2</v>
      </c>
      <c r="BK285" s="137">
        <f>$W285*AP285+$L285*Summary_LCIA!AG$32</f>
        <v>5.8117029969218907E-3</v>
      </c>
      <c r="BL285" s="137">
        <f>$W285*AQ285+$L285*Summary_LCIA!AH$32</f>
        <v>0.82738447709450813</v>
      </c>
      <c r="BM285" s="137">
        <f>$W285*AR285+$L285*Summary_LCIA!AI$32</f>
        <v>0.30733629043480604</v>
      </c>
    </row>
    <row r="286" spans="1:65" x14ac:dyDescent="0.25">
      <c r="A286" s="149">
        <v>44</v>
      </c>
      <c r="B286" s="149">
        <v>6</v>
      </c>
      <c r="C286" s="61">
        <v>44.895567</v>
      </c>
      <c r="D286" s="61">
        <v>-68.673552999999998</v>
      </c>
      <c r="E286" s="61" t="s">
        <v>265</v>
      </c>
      <c r="F286" s="149">
        <v>133</v>
      </c>
      <c r="G286" s="61" t="s">
        <v>649</v>
      </c>
      <c r="H286" s="61" t="s">
        <v>650</v>
      </c>
      <c r="I286" s="61">
        <v>46.790733000000003</v>
      </c>
      <c r="J286" s="61">
        <v>-71.388600999999994</v>
      </c>
      <c r="K286" s="61">
        <v>330.02700069999997</v>
      </c>
      <c r="L286" s="61">
        <v>380.17899999999997</v>
      </c>
      <c r="M286" s="61" t="s">
        <v>617</v>
      </c>
      <c r="N286" s="149">
        <v>5</v>
      </c>
      <c r="O286" s="149">
        <v>6</v>
      </c>
      <c r="P286" s="61" t="s">
        <v>565</v>
      </c>
      <c r="Q286" s="61" t="s">
        <v>564</v>
      </c>
      <c r="R286" s="61">
        <v>41.98028</v>
      </c>
      <c r="S286" s="61">
        <v>-87.908997900000003</v>
      </c>
      <c r="T286" s="61">
        <v>1988.038</v>
      </c>
      <c r="U286" s="61" t="s">
        <v>617</v>
      </c>
      <c r="V286" s="61" t="s">
        <v>569</v>
      </c>
      <c r="W286" s="61" cm="1">
        <f t="array" ref="W286">getDistance(I286,J286,R286,S286)*SA!$B$12</f>
        <v>1417.7032437478433</v>
      </c>
      <c r="X286" s="61"/>
      <c r="Y286" s="137">
        <f>Transportation_LCIA!C$61*($W286^Transportation_LCIA!C$60)+Transportation_LCIA!C$62</f>
        <v>0.2041370257711092</v>
      </c>
      <c r="Z286" s="137">
        <f>Transportation_LCIA!D$61*($W286^Transportation_LCIA!D$60)+Transportation_LCIA!D$62</f>
        <v>2.0574812044828477</v>
      </c>
      <c r="AA286" s="137">
        <f>Transportation_LCIA!E$61*($W286^Transportation_LCIA!E$60)+Transportation_LCIA!E$62</f>
        <v>9.0279535410081276E-4</v>
      </c>
      <c r="AB286" s="137">
        <f>Transportation_LCIA!F$61*($W286^Transportation_LCIA!F$60)+Transportation_LCIA!F$62</f>
        <v>0.2041370257711092</v>
      </c>
      <c r="AC286" s="137">
        <f>Transportation_LCIA!G$61*($W286^Transportation_LCIA!G$60)+Transportation_LCIA!G$62</f>
        <v>4.8169999627272815E-2</v>
      </c>
      <c r="AD286" s="137">
        <f>Transportation_LCIA!H$61*($W286^Transportation_LCIA!H$60)+Transportation_LCIA!H$62</f>
        <v>2.2390168477088099E-4</v>
      </c>
      <c r="AE286" s="137">
        <f>Transportation_LCIA!I$61*($W286^Transportation_LCIA!I$60)+Transportation_LCIA!I$62</f>
        <v>4.597178216654961E-6</v>
      </c>
      <c r="AF286" s="137">
        <f>Transportation_LCIA!J$61*($W286^Transportation_LCIA!J$60)+Transportation_LCIA!J$62</f>
        <v>6.8002112398043739E-3</v>
      </c>
      <c r="AG286" s="137">
        <f>Transportation_LCIA!K$61*($W286^Transportation_LCIA!K$60)+Transportation_LCIA!K$62</f>
        <v>1.0076014096352344E-2</v>
      </c>
      <c r="AH286" s="137">
        <f>Transportation_LCIA!L$61*($W286^Transportation_LCIA!L$60)+Transportation_LCIA!L$62</f>
        <v>1.9134350565243861E-4</v>
      </c>
      <c r="AI286" s="137">
        <f>Transportation_LCIA!M$61*($W286^Transportation_LCIA!M$60)+Transportation_LCIA!M$62</f>
        <v>2.1442253590527068E-4</v>
      </c>
      <c r="AJ286" s="137">
        <f>Transportation_LCIA!N$61*($W286^Transportation_LCIA!N$60)+Transportation_LCIA!N$62</f>
        <v>8.119192399808114E-4</v>
      </c>
      <c r="AK286" s="137">
        <f>Transportation_LCIA!O$61*($W286^Transportation_LCIA!O$60)+Transportation_LCIA!O$62</f>
        <v>5.0852639431925371E-5</v>
      </c>
      <c r="AL286" s="137">
        <f>Transportation_LCIA!P$61*($W286^Transportation_LCIA!P$60)+Transportation_LCIA!P$62</f>
        <v>2.4615952182396549E-8</v>
      </c>
      <c r="AM286" s="137">
        <f>Transportation_LCIA!Q$61*($W286^Transportation_LCIA!Q$60)+Transportation_LCIA!Q$62</f>
        <v>7.5995060955657209E-5</v>
      </c>
      <c r="AN286" s="137">
        <f>Transportation_LCIA!R$61*($W286^Transportation_LCIA!R$60)+Transportation_LCIA!R$62</f>
        <v>2.2130141720788209E-4</v>
      </c>
      <c r="AO286" s="137">
        <f>Transportation_LCIA!S$61*($W286^Transportation_LCIA!S$60)+Transportation_LCIA!S$62</f>
        <v>3.3979189680714746E-6</v>
      </c>
      <c r="AP286" s="137">
        <f>Transportation_LCIA!T$61*($W286^Transportation_LCIA!T$60)+Transportation_LCIA!T$62</f>
        <v>3.3979189680714746E-6</v>
      </c>
      <c r="AQ286" s="137">
        <f>Transportation_LCIA!U$61*($W286^Transportation_LCIA!U$60)+Transportation_LCIA!U$62</f>
        <v>4.7218535236601616E-4</v>
      </c>
      <c r="AR286" s="137">
        <f>Transportation_LCIA!V$61*($W286^Transportation_LCIA!V$60)+Transportation_LCIA!V$62</f>
        <v>1.9768379560843296E-4</v>
      </c>
      <c r="AT286" s="137">
        <f>$W286*Y286+$L286*Summary_LCIA!H$32</f>
        <v>418.59054780473861</v>
      </c>
      <c r="AU286" s="137">
        <f>$W286*Z286+$L286*Summary_LCIA!Q$32</f>
        <v>4801.08407511306</v>
      </c>
      <c r="AV286" s="137">
        <f>$W286*AA286+$L286*Summary_LCIA!R$32</f>
        <v>3.2817664443492047</v>
      </c>
      <c r="AW286" s="137">
        <f>$W286*AB286+$L286*Summary_LCIA!S$32</f>
        <v>416.91015662473865</v>
      </c>
      <c r="AX286" s="137">
        <f>$W286*AC286+$L286*Summary_LCIA!T$32</f>
        <v>110.07243682291707</v>
      </c>
      <c r="AY286" s="137">
        <f>$W286*AD286+$L286*Summary_LCIA!U$32</f>
        <v>7.1279527507802838</v>
      </c>
      <c r="AZ286" s="137">
        <f>$W286*AE286+$L286*Summary_LCIA!V$32</f>
        <v>2.4675163688838663E-2</v>
      </c>
      <c r="BA286" s="137">
        <f>$W286*AF286+$L286*Summary_LCIA!W$32</f>
        <v>38.903439341841199</v>
      </c>
      <c r="BB286" s="137">
        <f>$W286*AG286+$L286*Summary_LCIA!X$32</f>
        <v>22.945275488447713</v>
      </c>
      <c r="BC286" s="137">
        <f>$W286*AH286+$L286*Summary_LCIA!Y$32</f>
        <v>6.1952174866335463</v>
      </c>
      <c r="BD286" s="137">
        <f>$W286*AI286+$L286*Summary_LCIA!Z$32</f>
        <v>0.31957828529654064</v>
      </c>
      <c r="BE286" s="137">
        <f>$W286*AJ286+$L286*Summary_LCIA!AA$32</f>
        <v>10.030521264182079</v>
      </c>
      <c r="BF286" s="137">
        <f>$W286*AK286+$L286*Summary_LCIA!AB$32</f>
        <v>6.3797305558780076E-2</v>
      </c>
      <c r="BG286" s="137">
        <f>$W286*AL286+$L286*Summary_LCIA!AC$32</f>
        <v>5.3482785492925397E-5</v>
      </c>
      <c r="BH286" s="137">
        <f>$W286*AM286+$L286*Summary_LCIA!AD$32</f>
        <v>0.26400722058565029</v>
      </c>
      <c r="BI286" s="137">
        <f>$W286*AN286+$L286*Summary_LCIA!AE$32</f>
        <v>0.65062775429160924</v>
      </c>
      <c r="BJ286" s="137">
        <f>$W286*AO286+$L286*Summary_LCIA!AF$32</f>
        <v>0.32622817092302725</v>
      </c>
      <c r="BK286" s="137">
        <f>$W286*AP286+$L286*Summary_LCIA!AG$32</f>
        <v>2.4269099278027253E-2</v>
      </c>
      <c r="BL286" s="137">
        <f>$W286*AQ286+$L286*Summary_LCIA!AH$32</f>
        <v>3.9783446500995194</v>
      </c>
      <c r="BM286" s="137">
        <f>$W286*AR286+$L286*Summary_LCIA!AI$32</f>
        <v>0.63441270572046105</v>
      </c>
    </row>
    <row r="287" spans="1:65" x14ac:dyDescent="0.25">
      <c r="A287" s="149">
        <v>128</v>
      </c>
      <c r="B287" s="149">
        <v>6</v>
      </c>
      <c r="C287" s="61">
        <v>35.686974999999997</v>
      </c>
      <c r="D287" s="61">
        <v>-105.937799</v>
      </c>
      <c r="E287" s="61" t="s">
        <v>265</v>
      </c>
      <c r="F287" s="149">
        <v>119</v>
      </c>
      <c r="G287" s="61" t="s">
        <v>676</v>
      </c>
      <c r="H287" s="61" t="s">
        <v>677</v>
      </c>
      <c r="I287" s="61">
        <v>35.043332999999997</v>
      </c>
      <c r="J287" s="61">
        <v>-106.612909</v>
      </c>
      <c r="K287" s="61">
        <v>132.83882500000001</v>
      </c>
      <c r="L287" s="61">
        <v>108.321</v>
      </c>
      <c r="M287" s="61" t="s">
        <v>617</v>
      </c>
      <c r="N287" s="149">
        <v>5</v>
      </c>
      <c r="O287" s="149">
        <v>6</v>
      </c>
      <c r="P287" s="61" t="s">
        <v>565</v>
      </c>
      <c r="Q287" s="61" t="s">
        <v>564</v>
      </c>
      <c r="R287" s="61">
        <v>41.98028</v>
      </c>
      <c r="S287" s="61">
        <v>-87.908997900000003</v>
      </c>
      <c r="T287" s="61">
        <v>2036.2829999999999</v>
      </c>
      <c r="U287" s="61" t="s">
        <v>617</v>
      </c>
      <c r="V287" s="61" t="s">
        <v>569</v>
      </c>
      <c r="W287" s="61" cm="1">
        <f t="array" ref="W287">getDistance(I287,J287,R287,S287)*SA!$B$12</f>
        <v>1799.4552047865864</v>
      </c>
      <c r="X287" s="61"/>
      <c r="Y287" s="137">
        <f>Transportation_LCIA!C$61*($W287^Transportation_LCIA!C$60)+Transportation_LCIA!C$62</f>
        <v>0.18741210952832638</v>
      </c>
      <c r="Z287" s="137">
        <f>Transportation_LCIA!D$61*($W287^Transportation_LCIA!D$60)+Transportation_LCIA!D$62</f>
        <v>1.8662325870477474</v>
      </c>
      <c r="AA287" s="137">
        <f>Transportation_LCIA!E$61*($W287^Transportation_LCIA!E$60)+Transportation_LCIA!E$62</f>
        <v>7.7776896386688699E-4</v>
      </c>
      <c r="AB287" s="137">
        <f>Transportation_LCIA!F$61*($W287^Transportation_LCIA!F$60)+Transportation_LCIA!F$62</f>
        <v>0.18741210952832638</v>
      </c>
      <c r="AC287" s="137">
        <f>Transportation_LCIA!G$61*($W287^Transportation_LCIA!G$60)+Transportation_LCIA!G$62</f>
        <v>4.3740065560254671E-2</v>
      </c>
      <c r="AD287" s="137">
        <f>Transportation_LCIA!H$61*($W287^Transportation_LCIA!H$60)+Transportation_LCIA!H$62</f>
        <v>1.9671965094143705E-4</v>
      </c>
      <c r="AE287" s="137">
        <f>Transportation_LCIA!I$61*($W287^Transportation_LCIA!I$60)+Transportation_LCIA!I$62</f>
        <v>3.9252399959835717E-6</v>
      </c>
      <c r="AF287" s="137">
        <f>Transportation_LCIA!J$61*($W287^Transportation_LCIA!J$60)+Transportation_LCIA!J$62</f>
        <v>5.8113308310632269E-3</v>
      </c>
      <c r="AG287" s="137">
        <f>Transportation_LCIA!K$61*($W287^Transportation_LCIA!K$60)+Transportation_LCIA!K$62</f>
        <v>9.0524940156651544E-3</v>
      </c>
      <c r="AH287" s="137">
        <f>Transportation_LCIA!L$61*($W287^Transportation_LCIA!L$60)+Transportation_LCIA!L$62</f>
        <v>1.6648310975722405E-4</v>
      </c>
      <c r="AI287" s="137">
        <f>Transportation_LCIA!M$61*($W287^Transportation_LCIA!M$60)+Transportation_LCIA!M$62</f>
        <v>1.994302427678964E-4</v>
      </c>
      <c r="AJ287" s="137">
        <f>Transportation_LCIA!N$61*($W287^Transportation_LCIA!N$60)+Transportation_LCIA!N$62</f>
        <v>7.2039655470773395E-4</v>
      </c>
      <c r="AK287" s="137">
        <f>Transportation_LCIA!O$61*($W287^Transportation_LCIA!O$60)+Transportation_LCIA!O$62</f>
        <v>4.6147895482909169E-5</v>
      </c>
      <c r="AL287" s="137">
        <f>Transportation_LCIA!P$61*($W287^Transportation_LCIA!P$60)+Transportation_LCIA!P$62</f>
        <v>2.2350536135057485E-8</v>
      </c>
      <c r="AM287" s="137">
        <f>Transportation_LCIA!Q$61*($W287^Transportation_LCIA!Q$60)+Transportation_LCIA!Q$62</f>
        <v>6.6301692188873318E-5</v>
      </c>
      <c r="AN287" s="137">
        <f>Transportation_LCIA!R$61*($W287^Transportation_LCIA!R$60)+Transportation_LCIA!R$62</f>
        <v>1.8909414304345409E-4</v>
      </c>
      <c r="AO287" s="137">
        <f>Transportation_LCIA!S$61*($W287^Transportation_LCIA!S$60)+Transportation_LCIA!S$62</f>
        <v>2.9404571998212598E-6</v>
      </c>
      <c r="AP287" s="137">
        <f>Transportation_LCIA!T$61*($W287^Transportation_LCIA!T$60)+Transportation_LCIA!T$62</f>
        <v>2.9404571998212598E-6</v>
      </c>
      <c r="AQ287" s="137">
        <f>Transportation_LCIA!U$61*($W287^Transportation_LCIA!U$60)+Transportation_LCIA!U$62</f>
        <v>4.0179738274225436E-4</v>
      </c>
      <c r="AR287" s="137">
        <f>Transportation_LCIA!V$61*($W287^Transportation_LCIA!V$60)+Transportation_LCIA!V$62</f>
        <v>1.7255710874272521E-4</v>
      </c>
      <c r="AT287" s="137">
        <f>$W287*Y287+$L287*Summary_LCIA!H$32</f>
        <v>374.04717173078069</v>
      </c>
      <c r="AU287" s="137">
        <f>$W287*Z287+$L287*Summary_LCIA!Q$32</f>
        <v>3895.0462810583981</v>
      </c>
      <c r="AV287" s="137">
        <f>$W287*AA287+$L287*Summary_LCIA!R$32</f>
        <v>1.9699354677517402</v>
      </c>
      <c r="AW287" s="137">
        <f>$W287*AB287+$L287*Summary_LCIA!S$32</f>
        <v>373.56839291078069</v>
      </c>
      <c r="AX287" s="137">
        <f>$W287*AC287+$L287*Summary_LCIA!T$32</f>
        <v>90.612766530106782</v>
      </c>
      <c r="AY287" s="137">
        <f>$W287*AD287+$L287*Summary_LCIA!U$32</f>
        <v>2.2944505937703692</v>
      </c>
      <c r="AZ287" s="137">
        <f>$W287*AE287+$L287*Summary_LCIA!V$32</f>
        <v>1.2236812821809117E-2</v>
      </c>
      <c r="BA287" s="137">
        <f>$W287*AF287+$L287*Summary_LCIA!W$32</f>
        <v>18.794805201693482</v>
      </c>
      <c r="BB287" s="137">
        <f>$W287*AG287+$L287*Summary_LCIA!X$32</f>
        <v>18.757109852788087</v>
      </c>
      <c r="BC287" s="137">
        <f>$W287*AH287+$L287*Summary_LCIA!Y$32</f>
        <v>1.9874367203616934</v>
      </c>
      <c r="BD287" s="137">
        <f>$W287*AI287+$L287*Summary_LCIA!Z$32</f>
        <v>0.36330792422954367</v>
      </c>
      <c r="BE287" s="137">
        <f>$W287*AJ287+$L287*Summary_LCIA!AA$32</f>
        <v>3.8262666058791566</v>
      </c>
      <c r="BF287" s="137">
        <f>$W287*AK287+$L287*Summary_LCIA!AB$32</f>
        <v>8.0677181533668305E-2</v>
      </c>
      <c r="BG287" s="137">
        <f>$W287*AL287+$L287*Summary_LCIA!AC$32</f>
        <v>4.5513952341999866E-5</v>
      </c>
      <c r="BH287" s="137">
        <f>$W287*AM287+$L287*Summary_LCIA!AD$32</f>
        <v>0.16383118893542625</v>
      </c>
      <c r="BI287" s="137">
        <f>$W287*AN287+$L287*Summary_LCIA!AE$32</f>
        <v>0.43625292762420276</v>
      </c>
      <c r="BJ287" s="137">
        <f>$W287*AO287+$L287*Summary_LCIA!AF$32</f>
        <v>9.686796083267056E-2</v>
      </c>
      <c r="BK287" s="137">
        <f>$W287*AP287+$L287*Summary_LCIA!AG$32</f>
        <v>1.0833464977670557E-2</v>
      </c>
      <c r="BL287" s="137">
        <f>$W287*AQ287+$L287*Summary_LCIA!AH$32</f>
        <v>1.6657990472451778</v>
      </c>
      <c r="BM287" s="137">
        <f>$W287*AR287+$L287*Summary_LCIA!AI$32</f>
        <v>0.41141521500002187</v>
      </c>
    </row>
    <row r="288" spans="1:65" x14ac:dyDescent="0.25">
      <c r="A288" s="149">
        <v>127</v>
      </c>
      <c r="B288" s="149">
        <v>6</v>
      </c>
      <c r="C288" s="61">
        <v>35.084386000000002</v>
      </c>
      <c r="D288" s="61">
        <v>-106.65042200000001</v>
      </c>
      <c r="E288" s="61" t="s">
        <v>265</v>
      </c>
      <c r="F288" s="149">
        <v>119</v>
      </c>
      <c r="G288" s="61" t="s">
        <v>676</v>
      </c>
      <c r="H288" s="61" t="s">
        <v>677</v>
      </c>
      <c r="I288" s="61">
        <v>35.043332999999997</v>
      </c>
      <c r="J288" s="61">
        <v>-106.612909</v>
      </c>
      <c r="K288" s="61">
        <v>9.8032842630000001</v>
      </c>
      <c r="L288" s="61">
        <v>7.4539999999999997</v>
      </c>
      <c r="M288" s="61" t="s">
        <v>617</v>
      </c>
      <c r="N288" s="149">
        <v>5</v>
      </c>
      <c r="O288" s="149">
        <v>6</v>
      </c>
      <c r="P288" s="61" t="s">
        <v>565</v>
      </c>
      <c r="Q288" s="61" t="s">
        <v>564</v>
      </c>
      <c r="R288" s="61">
        <v>41.98028</v>
      </c>
      <c r="S288" s="61">
        <v>-87.908997900000003</v>
      </c>
      <c r="T288" s="61">
        <v>2154.0100000000002</v>
      </c>
      <c r="U288" s="61" t="s">
        <v>617</v>
      </c>
      <c r="V288" s="61" t="s">
        <v>569</v>
      </c>
      <c r="W288" s="61" cm="1">
        <f t="array" ref="W288">getDistance(I288,J288,R288,S288)*SA!$B$12</f>
        <v>1799.4552047865864</v>
      </c>
      <c r="X288" s="61"/>
      <c r="Y288" s="137">
        <f>Transportation_LCIA!C$61*($W288^Transportation_LCIA!C$60)+Transportation_LCIA!C$62</f>
        <v>0.18741210952832638</v>
      </c>
      <c r="Z288" s="137">
        <f>Transportation_LCIA!D$61*($W288^Transportation_LCIA!D$60)+Transportation_LCIA!D$62</f>
        <v>1.8662325870477474</v>
      </c>
      <c r="AA288" s="137">
        <f>Transportation_LCIA!E$61*($W288^Transportation_LCIA!E$60)+Transportation_LCIA!E$62</f>
        <v>7.7776896386688699E-4</v>
      </c>
      <c r="AB288" s="137">
        <f>Transportation_LCIA!F$61*($W288^Transportation_LCIA!F$60)+Transportation_LCIA!F$62</f>
        <v>0.18741210952832638</v>
      </c>
      <c r="AC288" s="137">
        <f>Transportation_LCIA!G$61*($W288^Transportation_LCIA!G$60)+Transportation_LCIA!G$62</f>
        <v>4.3740065560254671E-2</v>
      </c>
      <c r="AD288" s="137">
        <f>Transportation_LCIA!H$61*($W288^Transportation_LCIA!H$60)+Transportation_LCIA!H$62</f>
        <v>1.9671965094143705E-4</v>
      </c>
      <c r="AE288" s="137">
        <f>Transportation_LCIA!I$61*($W288^Transportation_LCIA!I$60)+Transportation_LCIA!I$62</f>
        <v>3.9252399959835717E-6</v>
      </c>
      <c r="AF288" s="137">
        <f>Transportation_LCIA!J$61*($W288^Transportation_LCIA!J$60)+Transportation_LCIA!J$62</f>
        <v>5.8113308310632269E-3</v>
      </c>
      <c r="AG288" s="137">
        <f>Transportation_LCIA!K$61*($W288^Transportation_LCIA!K$60)+Transportation_LCIA!K$62</f>
        <v>9.0524940156651544E-3</v>
      </c>
      <c r="AH288" s="137">
        <f>Transportation_LCIA!L$61*($W288^Transportation_LCIA!L$60)+Transportation_LCIA!L$62</f>
        <v>1.6648310975722405E-4</v>
      </c>
      <c r="AI288" s="137">
        <f>Transportation_LCIA!M$61*($W288^Transportation_LCIA!M$60)+Transportation_LCIA!M$62</f>
        <v>1.994302427678964E-4</v>
      </c>
      <c r="AJ288" s="137">
        <f>Transportation_LCIA!N$61*($W288^Transportation_LCIA!N$60)+Transportation_LCIA!N$62</f>
        <v>7.2039655470773395E-4</v>
      </c>
      <c r="AK288" s="137">
        <f>Transportation_LCIA!O$61*($W288^Transportation_LCIA!O$60)+Transportation_LCIA!O$62</f>
        <v>4.6147895482909169E-5</v>
      </c>
      <c r="AL288" s="137">
        <f>Transportation_LCIA!P$61*($W288^Transportation_LCIA!P$60)+Transportation_LCIA!P$62</f>
        <v>2.2350536135057485E-8</v>
      </c>
      <c r="AM288" s="137">
        <f>Transportation_LCIA!Q$61*($W288^Transportation_LCIA!Q$60)+Transportation_LCIA!Q$62</f>
        <v>6.6301692188873318E-5</v>
      </c>
      <c r="AN288" s="137">
        <f>Transportation_LCIA!R$61*($W288^Transportation_LCIA!R$60)+Transportation_LCIA!R$62</f>
        <v>1.8909414304345409E-4</v>
      </c>
      <c r="AO288" s="137">
        <f>Transportation_LCIA!S$61*($W288^Transportation_LCIA!S$60)+Transportation_LCIA!S$62</f>
        <v>2.9404571998212598E-6</v>
      </c>
      <c r="AP288" s="137">
        <f>Transportation_LCIA!T$61*($W288^Transportation_LCIA!T$60)+Transportation_LCIA!T$62</f>
        <v>2.9404571998212598E-6</v>
      </c>
      <c r="AQ288" s="137">
        <f>Transportation_LCIA!U$61*($W288^Transportation_LCIA!U$60)+Transportation_LCIA!U$62</f>
        <v>4.0179738274225436E-4</v>
      </c>
      <c r="AR288" s="137">
        <f>Transportation_LCIA!V$61*($W288^Transportation_LCIA!V$60)+Transportation_LCIA!V$62</f>
        <v>1.7255710874272521E-4</v>
      </c>
      <c r="AT288" s="137">
        <f>$W288*Y288+$L288*Summary_LCIA!H$32</f>
        <v>339.77256513078066</v>
      </c>
      <c r="AU288" s="137">
        <f>$W288*Z288+$L288*Summary_LCIA!Q$32</f>
        <v>3395.144342032987</v>
      </c>
      <c r="AV288" s="137">
        <f>$W288*AA288+$L288*Summary_LCIA!R$32</f>
        <v>1.4388101925517403</v>
      </c>
      <c r="AW288" s="137">
        <f>$W288*AB288+$L288*Summary_LCIA!S$32</f>
        <v>339.73961845078065</v>
      </c>
      <c r="AX288" s="137">
        <f>$W288*AC288+$L288*Summary_LCIA!T$32</f>
        <v>79.527483230106782</v>
      </c>
      <c r="AY288" s="137">
        <f>$W288*AD288+$L288*Summary_LCIA!U$32</f>
        <v>0.48751915577036936</v>
      </c>
      <c r="AZ288" s="137">
        <f>$W288*AE288+$L288*Summary_LCIA!V$32</f>
        <v>7.4193040348091172E-3</v>
      </c>
      <c r="BA288" s="137">
        <f>$W288*AF288+$L288*Summary_LCIA!W$32</f>
        <v>11.030971344693482</v>
      </c>
      <c r="BB288" s="137">
        <f>$W288*AG288+$L288*Summary_LCIA!X$32</f>
        <v>16.459359592788086</v>
      </c>
      <c r="BC288" s="137">
        <f>$W288*AH288+$L288*Summary_LCIA!Y$32</f>
        <v>0.41572712636169329</v>
      </c>
      <c r="BD288" s="137">
        <f>$W288*AI288+$L288*Summary_LCIA!Z$32</f>
        <v>0.35917146942654365</v>
      </c>
      <c r="BE288" s="137">
        <f>$W288*AJ288+$L288*Summary_LCIA!AA$32</f>
        <v>1.4704169538791567</v>
      </c>
      <c r="BF288" s="137">
        <f>$W288*AK288+$L288*Summary_LCIA!AB$32</f>
        <v>8.2878402074668303E-2</v>
      </c>
      <c r="BG288" s="137">
        <f>$W288*AL288+$L288*Summary_LCIA!AC$32</f>
        <v>4.0583169913999863E-5</v>
      </c>
      <c r="BH288" s="137">
        <f>$W288*AM288+$L288*Summary_LCIA!AD$32</f>
        <v>0.12237081725542624</v>
      </c>
      <c r="BI288" s="137">
        <f>$W288*AN288+$L288*Summary_LCIA!AE$32</f>
        <v>0.34687165291420274</v>
      </c>
      <c r="BJ288" s="137">
        <f>$W288*AO288+$L288*Summary_LCIA!AF$32</f>
        <v>1.1592981692670557E-2</v>
      </c>
      <c r="BK288" s="137">
        <f>$W288*AP288+$L288*Summary_LCIA!AG$32</f>
        <v>5.6726049226705566E-3</v>
      </c>
      <c r="BL288" s="137">
        <f>$W288*AQ288+$L288*Summary_LCIA!AH$32</f>
        <v>0.78789302604517775</v>
      </c>
      <c r="BM288" s="137">
        <f>$W288*AR288+$L288*Summary_LCIA!AI$32</f>
        <v>0.31745256115002185</v>
      </c>
    </row>
    <row r="289" spans="1:65" x14ac:dyDescent="0.25">
      <c r="A289" s="149">
        <v>267</v>
      </c>
      <c r="B289" s="149">
        <v>6</v>
      </c>
      <c r="C289" s="61">
        <v>26.301392</v>
      </c>
      <c r="D289" s="61">
        <v>-80.632692000000006</v>
      </c>
      <c r="E289" s="61" t="s">
        <v>265</v>
      </c>
      <c r="F289" s="149">
        <v>79</v>
      </c>
      <c r="G289" s="61" t="s">
        <v>711</v>
      </c>
      <c r="H289" s="61" t="s">
        <v>712</v>
      </c>
      <c r="I289" s="61">
        <v>26.074234000000001</v>
      </c>
      <c r="J289" s="61">
        <v>-80.150602000000006</v>
      </c>
      <c r="K289" s="61">
        <v>58.788354300000002</v>
      </c>
      <c r="L289" s="61">
        <v>65.929000000000002</v>
      </c>
      <c r="M289" s="61" t="s">
        <v>617</v>
      </c>
      <c r="N289" s="149">
        <v>5</v>
      </c>
      <c r="O289" s="149">
        <v>6</v>
      </c>
      <c r="P289" s="61" t="s">
        <v>565</v>
      </c>
      <c r="Q289" s="61" t="s">
        <v>564</v>
      </c>
      <c r="R289" s="61">
        <v>41.98028</v>
      </c>
      <c r="S289" s="61">
        <v>-87.908997900000003</v>
      </c>
      <c r="T289" s="61">
        <v>2172.9690000000001</v>
      </c>
      <c r="U289" s="61" t="s">
        <v>617</v>
      </c>
      <c r="V289" s="61" t="s">
        <v>569</v>
      </c>
      <c r="W289" s="61" cm="1">
        <f t="array" ref="W289">getDistance(I289,J289,R289,S289)*SA!$B$12</f>
        <v>1905.9794580989128</v>
      </c>
      <c r="X289" s="61"/>
      <c r="Y289" s="137">
        <f>Transportation_LCIA!C$61*($W289^Transportation_LCIA!C$60)+Transportation_LCIA!C$62</f>
        <v>0.18385461454506022</v>
      </c>
      <c r="Z289" s="137">
        <f>Transportation_LCIA!D$61*($W289^Transportation_LCIA!D$60)+Transportation_LCIA!D$62</f>
        <v>1.8258200446826822</v>
      </c>
      <c r="AA289" s="137">
        <f>Transportation_LCIA!E$61*($W289^Transportation_LCIA!E$60)+Transportation_LCIA!E$62</f>
        <v>7.5139870106735859E-4</v>
      </c>
      <c r="AB289" s="137">
        <f>Transportation_LCIA!F$61*($W289^Transportation_LCIA!F$60)+Transportation_LCIA!F$62</f>
        <v>0.18385461454506022</v>
      </c>
      <c r="AC289" s="137">
        <f>Transportation_LCIA!G$61*($W289^Transportation_LCIA!G$60)+Transportation_LCIA!G$62</f>
        <v>4.2803620780021097E-2</v>
      </c>
      <c r="AD289" s="137">
        <f>Transportation_LCIA!H$61*($W289^Transportation_LCIA!H$60)+Transportation_LCIA!H$62</f>
        <v>1.9100745024241633E-4</v>
      </c>
      <c r="AE289" s="137">
        <f>Transportation_LCIA!I$61*($W289^Transportation_LCIA!I$60)+Transportation_LCIA!I$62</f>
        <v>3.7848663450329125E-6</v>
      </c>
      <c r="AF289" s="137">
        <f>Transportation_LCIA!J$61*($W289^Transportation_LCIA!J$60)+Transportation_LCIA!J$62</f>
        <v>5.6055416538454564E-3</v>
      </c>
      <c r="AG289" s="137">
        <f>Transportation_LCIA!K$61*($W289^Transportation_LCIA!K$60)+Transportation_LCIA!K$62</f>
        <v>8.8368517132322941E-3</v>
      </c>
      <c r="AH289" s="137">
        <f>Transportation_LCIA!L$61*($W289^Transportation_LCIA!L$60)+Transportation_LCIA!L$62</f>
        <v>1.6126756868514925E-4</v>
      </c>
      <c r="AI289" s="137">
        <f>Transportation_LCIA!M$61*($W289^Transportation_LCIA!M$60)+Transportation_LCIA!M$62</f>
        <v>1.9628029860217349E-4</v>
      </c>
      <c r="AJ289" s="137">
        <f>Transportation_LCIA!N$61*($W289^Transportation_LCIA!N$60)+Transportation_LCIA!N$62</f>
        <v>7.0115438666789351E-4</v>
      </c>
      <c r="AK289" s="137">
        <f>Transportation_LCIA!O$61*($W289^Transportation_LCIA!O$60)+Transportation_LCIA!O$62</f>
        <v>4.5153538793819462E-5</v>
      </c>
      <c r="AL289" s="137">
        <f>Transportation_LCIA!P$61*($W289^Transportation_LCIA!P$60)+Transportation_LCIA!P$62</f>
        <v>2.1871501191856296E-8</v>
      </c>
      <c r="AM289" s="137">
        <f>Transportation_LCIA!Q$61*($W289^Transportation_LCIA!Q$60)+Transportation_LCIA!Q$62</f>
        <v>6.4269930331819656E-5</v>
      </c>
      <c r="AN289" s="137">
        <f>Transportation_LCIA!R$61*($W289^Transportation_LCIA!R$60)+Transportation_LCIA!R$62</f>
        <v>1.8236672835213652E-4</v>
      </c>
      <c r="AO289" s="137">
        <f>Transportation_LCIA!S$61*($W289^Transportation_LCIA!S$60)+Transportation_LCIA!S$62</f>
        <v>2.8448778767569763E-6</v>
      </c>
      <c r="AP289" s="137">
        <f>Transportation_LCIA!T$61*($W289^Transportation_LCIA!T$60)+Transportation_LCIA!T$62</f>
        <v>2.8448778767569763E-6</v>
      </c>
      <c r="AQ289" s="137">
        <f>Transportation_LCIA!U$61*($W289^Transportation_LCIA!U$60)+Transportation_LCIA!U$62</f>
        <v>3.8711130715384683E-4</v>
      </c>
      <c r="AR289" s="137">
        <f>Transportation_LCIA!V$61*($W289^Transportation_LCIA!V$60)+Transportation_LCIA!V$62</f>
        <v>1.6729662166238449E-4</v>
      </c>
      <c r="AT289" s="137">
        <f>$W289*Y289+$L289*Summary_LCIA!H$32</f>
        <v>372.82579279957832</v>
      </c>
      <c r="AU289" s="137">
        <f>$W289*Z289+$L289*Summary_LCIA!Q$32</f>
        <v>3806.7229483476885</v>
      </c>
      <c r="AV289" s="137">
        <f>$W289*AA289+$L289*Summary_LCIA!R$32</f>
        <v>1.7793062314765911</v>
      </c>
      <c r="AW289" s="137">
        <f>$W289*AB289+$L289*Summary_LCIA!S$32</f>
        <v>372.53438661957836</v>
      </c>
      <c r="AX289" s="137">
        <f>$W289*AC289+$L289*Summary_LCIA!T$32</f>
        <v>88.828419038975966</v>
      </c>
      <c r="AY289" s="137">
        <f>$W289*AD289+$L289*Summary_LCIA!U$32</f>
        <v>1.5451083825058958</v>
      </c>
      <c r="AZ289" s="137">
        <f>$W289*AE289+$L289*Summary_LCIA!V$32</f>
        <v>1.0362712474282644E-2</v>
      </c>
      <c r="BA289" s="137">
        <f>$W289*AF289+$L289*Summary_LCIA!W$32</f>
        <v>15.758668302747246</v>
      </c>
      <c r="BB289" s="137">
        <f>$W289*AG289+$L289*Summary_LCIA!X$32</f>
        <v>18.344720459686936</v>
      </c>
      <c r="BC289" s="137">
        <f>$W289*AH289+$L289*Summary_LCIA!Y$32</f>
        <v>1.33467835117145</v>
      </c>
      <c r="BD289" s="137">
        <f>$W289*AI289+$L289*Summary_LCIA!Z$32</f>
        <v>0.37680989952626343</v>
      </c>
      <c r="BE289" s="137">
        <f>$W289*AJ289+$L289*Summary_LCIA!AA$32</f>
        <v>2.8762235819449469</v>
      </c>
      <c r="BF289" s="137">
        <f>$W289*AK289+$L289*Summary_LCIA!AB$32</f>
        <v>8.4622948834492256E-2</v>
      </c>
      <c r="BG289" s="137">
        <f>$W289*AL289+$L289*Summary_LCIA!AC$32</f>
        <v>4.490950522546399E-5</v>
      </c>
      <c r="BH289" s="137">
        <f>$W289*AM289+$L289*Summary_LCIA!AD$32</f>
        <v>0.1495966231458965</v>
      </c>
      <c r="BI289" s="137">
        <f>$W289*AN289+$L289*Summary_LCIA!AE$32</f>
        <v>0.40600890284987678</v>
      </c>
      <c r="BJ289" s="137">
        <f>$W289*AO289+$L289*Summary_LCIA!AF$32</f>
        <v>6.115997397389885E-2</v>
      </c>
      <c r="BK289" s="137">
        <f>$W289*AP289+$L289*Summary_LCIA!AG$32</f>
        <v>8.7955360788988472E-3</v>
      </c>
      <c r="BL289" s="137">
        <f>$W289*AQ289+$L289*Summary_LCIA!AH$32</f>
        <v>1.3116458438330509</v>
      </c>
      <c r="BM289" s="137">
        <f>$W289*AR289+$L289*Summary_LCIA!AI$32</f>
        <v>0.38028008424785043</v>
      </c>
    </row>
    <row r="290" spans="1:65" x14ac:dyDescent="0.25">
      <c r="A290" s="149">
        <v>80</v>
      </c>
      <c r="B290" s="149">
        <v>6</v>
      </c>
      <c r="C290" s="61">
        <v>45.948258000000003</v>
      </c>
      <c r="D290" s="61">
        <v>-66.641317999999998</v>
      </c>
      <c r="E290" s="61" t="s">
        <v>460</v>
      </c>
      <c r="F290" s="149">
        <v>141</v>
      </c>
      <c r="G290" s="61" t="s">
        <v>661</v>
      </c>
      <c r="H290" s="61" t="s">
        <v>662</v>
      </c>
      <c r="I290" s="61">
        <v>46.116180999999997</v>
      </c>
      <c r="J290" s="61">
        <v>-64.688446999999996</v>
      </c>
      <c r="K290" s="61">
        <v>162.62382070000001</v>
      </c>
      <c r="L290" s="61">
        <v>184.447</v>
      </c>
      <c r="M290" s="61" t="s">
        <v>617</v>
      </c>
      <c r="N290" s="149">
        <v>5</v>
      </c>
      <c r="O290" s="149">
        <v>6</v>
      </c>
      <c r="P290" s="61" t="s">
        <v>565</v>
      </c>
      <c r="Q290" s="61" t="s">
        <v>564</v>
      </c>
      <c r="R290" s="61">
        <v>41.98028</v>
      </c>
      <c r="S290" s="61">
        <v>-87.908997900000003</v>
      </c>
      <c r="T290" s="61">
        <v>2207.288</v>
      </c>
      <c r="U290" s="61" t="s">
        <v>617</v>
      </c>
      <c r="V290" s="61" t="s">
        <v>569</v>
      </c>
      <c r="W290" s="61" cm="1">
        <f t="array" ref="W290">getDistance(I290,J290,R290,S290)*SA!$B$12</f>
        <v>1909.5208119954598</v>
      </c>
      <c r="X290" s="61"/>
      <c r="Y290" s="137">
        <f>Transportation_LCIA!C$61*($W290^Transportation_LCIA!C$60)+Transportation_LCIA!C$62</f>
        <v>0.18374262499796468</v>
      </c>
      <c r="Z290" s="137">
        <f>Transportation_LCIA!D$61*($W290^Transportation_LCIA!D$60)+Transportation_LCIA!D$62</f>
        <v>1.8245495138601728</v>
      </c>
      <c r="AA290" s="137">
        <f>Transportation_LCIA!E$61*($W290^Transportation_LCIA!E$60)+Transportation_LCIA!E$62</f>
        <v>7.5056994846928963E-4</v>
      </c>
      <c r="AB290" s="137">
        <f>Transportation_LCIA!F$61*($W290^Transportation_LCIA!F$60)+Transportation_LCIA!F$62</f>
        <v>0.18374262499796468</v>
      </c>
      <c r="AC290" s="137">
        <f>Transportation_LCIA!G$61*($W290^Transportation_LCIA!G$60)+Transportation_LCIA!G$62</f>
        <v>4.277417764069337E-2</v>
      </c>
      <c r="AD290" s="137">
        <f>Transportation_LCIA!H$61*($W290^Transportation_LCIA!H$60)+Transportation_LCIA!H$62</f>
        <v>1.908280592736083E-4</v>
      </c>
      <c r="AE290" s="137">
        <f>Transportation_LCIA!I$61*($W290^Transportation_LCIA!I$60)+Transportation_LCIA!I$62</f>
        <v>3.7804630486656199E-6</v>
      </c>
      <c r="AF290" s="137">
        <f>Transportation_LCIA!J$61*($W290^Transportation_LCIA!J$60)+Transportation_LCIA!J$62</f>
        <v>5.5990912788291157E-3</v>
      </c>
      <c r="AG290" s="137">
        <f>Transportation_LCIA!K$61*($W290^Transportation_LCIA!K$60)+Transportation_LCIA!K$62</f>
        <v>8.8300760654045594E-3</v>
      </c>
      <c r="AH290" s="137">
        <f>Transportation_LCIA!L$61*($W290^Transportation_LCIA!L$60)+Transportation_LCIA!L$62</f>
        <v>1.6110382944863424E-4</v>
      </c>
      <c r="AI290" s="137">
        <f>Transportation_LCIA!M$61*($W290^Transportation_LCIA!M$60)+Transportation_LCIA!M$62</f>
        <v>1.9618137887680623E-4</v>
      </c>
      <c r="AJ290" s="137">
        <f>Transportation_LCIA!N$61*($W290^Transportation_LCIA!N$60)+Transportation_LCIA!N$62</f>
        <v>7.0055003290662283E-4</v>
      </c>
      <c r="AK290" s="137">
        <f>Transportation_LCIA!O$61*($W290^Transportation_LCIA!O$60)+Transportation_LCIA!O$62</f>
        <v>4.5122275938906157E-5</v>
      </c>
      <c r="AL290" s="137">
        <f>Transportation_LCIA!P$61*($W290^Transportation_LCIA!P$60)+Transportation_LCIA!P$62</f>
        <v>2.1856438742614208E-8</v>
      </c>
      <c r="AM290" s="137">
        <f>Transportation_LCIA!Q$61*($W290^Transportation_LCIA!Q$60)+Transportation_LCIA!Q$62</f>
        <v>6.4206155576780288E-5</v>
      </c>
      <c r="AN290" s="137">
        <f>Transportation_LCIA!R$61*($W290^Transportation_LCIA!R$60)+Transportation_LCIA!R$62</f>
        <v>1.8215570606736664E-4</v>
      </c>
      <c r="AO290" s="137">
        <f>Transportation_LCIA!S$61*($W290^Transportation_LCIA!S$60)+Transportation_LCIA!S$62</f>
        <v>2.8418796348046858E-6</v>
      </c>
      <c r="AP290" s="137">
        <f>Transportation_LCIA!T$61*($W290^Transportation_LCIA!T$60)+Transportation_LCIA!T$62</f>
        <v>2.8418796348046858E-6</v>
      </c>
      <c r="AQ290" s="137">
        <f>Transportation_LCIA!U$61*($W290^Transportation_LCIA!U$60)+Transportation_LCIA!U$62</f>
        <v>3.8665074302226258E-4</v>
      </c>
      <c r="AR290" s="137">
        <f>Transportation_LCIA!V$61*($W290^Transportation_LCIA!V$60)+Transportation_LCIA!V$62</f>
        <v>1.6713153874972118E-4</v>
      </c>
      <c r="AT290" s="137">
        <f>$W290*Y290+$L290*Summary_LCIA!H$32</f>
        <v>413.53545708429073</v>
      </c>
      <c r="AU290" s="137">
        <f>$W290*Z290+$L290*Summary_LCIA!Q$32</f>
        <v>4398.1439034477498</v>
      </c>
      <c r="AV290" s="137">
        <f>$W290*AA290+$L290*Summary_LCIA!R$32</f>
        <v>2.4044530606604684</v>
      </c>
      <c r="AW290" s="137">
        <f>$W290*AB290+$L290*Summary_LCIA!S$32</f>
        <v>412.72020134429079</v>
      </c>
      <c r="AX290" s="137">
        <f>$W290*AC290+$L290*Summary_LCIA!T$32</f>
        <v>101.94890772089484</v>
      </c>
      <c r="AY290" s="137">
        <f>$W290*AD290+$L290*Summary_LCIA!U$32</f>
        <v>3.6685737086956585</v>
      </c>
      <c r="AZ290" s="137">
        <f>$W290*AE290+$L290*Summary_LCIA!V$32</f>
        <v>1.6028246037406806E-2</v>
      </c>
      <c r="BA290" s="137">
        <f>$W290*AF290+$L290*Summary_LCIA!W$32</f>
        <v>24.888651362186472</v>
      </c>
      <c r="BB290" s="137">
        <f>$W290*AG290+$L290*Summary_LCIA!X$32</f>
        <v>21.062916678392988</v>
      </c>
      <c r="BC290" s="137">
        <f>$W290*AH290+$L290*Summary_LCIA!Y$32</f>
        <v>3.1816842692243346</v>
      </c>
      <c r="BD290" s="137">
        <f>$W290*AI290+$L290*Summary_LCIA!Z$32</f>
        <v>0.38217641291422794</v>
      </c>
      <c r="BE290" s="137">
        <f>$W290*AJ290+$L290*Summary_LCIA!AA$32</f>
        <v>5.6456589996793003</v>
      </c>
      <c r="BF290" s="137">
        <f>$W290*AK290+$L290*Summary_LCIA!AB$32</f>
        <v>8.2136738108943286E-2</v>
      </c>
      <c r="BG290" s="137">
        <f>$W290*AL290+$L290*Summary_LCIA!AC$32</f>
        <v>5.0751831803125703E-5</v>
      </c>
      <c r="BH290" s="137">
        <f>$W290*AM290+$L290*Summary_LCIA!AD$32</f>
        <v>0.19841808521208032</v>
      </c>
      <c r="BI290" s="137">
        <f>$W290*AN290+$L290*Summary_LCIA!AE$32</f>
        <v>0.51127413186936421</v>
      </c>
      <c r="BJ290" s="137">
        <f>$W290*AO290+$L290*Summary_LCIA!AF$32</f>
        <v>0.16136181104784561</v>
      </c>
      <c r="BK290" s="137">
        <f>$W290*AP290+$L290*Summary_LCIA!AG$32</f>
        <v>1.4863859062845606E-2</v>
      </c>
      <c r="BL290" s="137">
        <f>$W290*AQ290+$L290*Summary_LCIA!AH$32</f>
        <v>2.3436705499745187</v>
      </c>
      <c r="BM290" s="137">
        <f>$W290*AR290+$L290*Summary_LCIA!AI$32</f>
        <v>0.4909627544334183</v>
      </c>
    </row>
    <row r="291" spans="1:65" x14ac:dyDescent="0.25">
      <c r="A291" s="149">
        <v>101</v>
      </c>
      <c r="B291" s="149">
        <v>6</v>
      </c>
      <c r="C291" s="61">
        <v>46.256036000000002</v>
      </c>
      <c r="D291" s="61">
        <v>-63.137495000000001</v>
      </c>
      <c r="E291" s="61" t="s">
        <v>461</v>
      </c>
      <c r="F291" s="149">
        <v>141</v>
      </c>
      <c r="G291" s="61" t="s">
        <v>661</v>
      </c>
      <c r="H291" s="61" t="s">
        <v>662</v>
      </c>
      <c r="I291" s="61">
        <v>46.116180999999997</v>
      </c>
      <c r="J291" s="61">
        <v>-64.688446999999996</v>
      </c>
      <c r="K291" s="61">
        <v>129.61196319999999</v>
      </c>
      <c r="L291" s="61">
        <v>158.78800000000001</v>
      </c>
      <c r="M291" s="61" t="s">
        <v>617</v>
      </c>
      <c r="N291" s="149">
        <v>5</v>
      </c>
      <c r="O291" s="149">
        <v>6</v>
      </c>
      <c r="P291" s="61" t="s">
        <v>565</v>
      </c>
      <c r="Q291" s="61" t="s">
        <v>564</v>
      </c>
      <c r="R291" s="61">
        <v>41.98028</v>
      </c>
      <c r="S291" s="61">
        <v>-87.908997900000003</v>
      </c>
      <c r="T291" s="61">
        <v>2535.893</v>
      </c>
      <c r="U291" s="61" t="s">
        <v>617</v>
      </c>
      <c r="V291" s="61" t="s">
        <v>569</v>
      </c>
      <c r="W291" s="61" cm="1">
        <f t="array" ref="W291">getDistance(I291,J291,R291,S291)*SA!$B$12</f>
        <v>1909.5208119954598</v>
      </c>
      <c r="X291" s="61"/>
      <c r="Y291" s="137">
        <f>Transportation_LCIA!C$61*($W291^Transportation_LCIA!C$60)+Transportation_LCIA!C$62</f>
        <v>0.18374262499796468</v>
      </c>
      <c r="Z291" s="137">
        <f>Transportation_LCIA!D$61*($W291^Transportation_LCIA!D$60)+Transportation_LCIA!D$62</f>
        <v>1.8245495138601728</v>
      </c>
      <c r="AA291" s="137">
        <f>Transportation_LCIA!E$61*($W291^Transportation_LCIA!E$60)+Transportation_LCIA!E$62</f>
        <v>7.5056994846928963E-4</v>
      </c>
      <c r="AB291" s="137">
        <f>Transportation_LCIA!F$61*($W291^Transportation_LCIA!F$60)+Transportation_LCIA!F$62</f>
        <v>0.18374262499796468</v>
      </c>
      <c r="AC291" s="137">
        <f>Transportation_LCIA!G$61*($W291^Transportation_LCIA!G$60)+Transportation_LCIA!G$62</f>
        <v>4.277417764069337E-2</v>
      </c>
      <c r="AD291" s="137">
        <f>Transportation_LCIA!H$61*($W291^Transportation_LCIA!H$60)+Transportation_LCIA!H$62</f>
        <v>1.908280592736083E-4</v>
      </c>
      <c r="AE291" s="137">
        <f>Transportation_LCIA!I$61*($W291^Transportation_LCIA!I$60)+Transportation_LCIA!I$62</f>
        <v>3.7804630486656199E-6</v>
      </c>
      <c r="AF291" s="137">
        <f>Transportation_LCIA!J$61*($W291^Transportation_LCIA!J$60)+Transportation_LCIA!J$62</f>
        <v>5.5990912788291157E-3</v>
      </c>
      <c r="AG291" s="137">
        <f>Transportation_LCIA!K$61*($W291^Transportation_LCIA!K$60)+Transportation_LCIA!K$62</f>
        <v>8.8300760654045594E-3</v>
      </c>
      <c r="AH291" s="137">
        <f>Transportation_LCIA!L$61*($W291^Transportation_LCIA!L$60)+Transportation_LCIA!L$62</f>
        <v>1.6110382944863424E-4</v>
      </c>
      <c r="AI291" s="137">
        <f>Transportation_LCIA!M$61*($W291^Transportation_LCIA!M$60)+Transportation_LCIA!M$62</f>
        <v>1.9618137887680623E-4</v>
      </c>
      <c r="AJ291" s="137">
        <f>Transportation_LCIA!N$61*($W291^Transportation_LCIA!N$60)+Transportation_LCIA!N$62</f>
        <v>7.0055003290662283E-4</v>
      </c>
      <c r="AK291" s="137">
        <f>Transportation_LCIA!O$61*($W291^Transportation_LCIA!O$60)+Transportation_LCIA!O$62</f>
        <v>4.5122275938906157E-5</v>
      </c>
      <c r="AL291" s="137">
        <f>Transportation_LCIA!P$61*($W291^Transportation_LCIA!P$60)+Transportation_LCIA!P$62</f>
        <v>2.1856438742614208E-8</v>
      </c>
      <c r="AM291" s="137">
        <f>Transportation_LCIA!Q$61*($W291^Transportation_LCIA!Q$60)+Transportation_LCIA!Q$62</f>
        <v>6.4206155576780288E-5</v>
      </c>
      <c r="AN291" s="137">
        <f>Transportation_LCIA!R$61*($W291^Transportation_LCIA!R$60)+Transportation_LCIA!R$62</f>
        <v>1.8215570606736664E-4</v>
      </c>
      <c r="AO291" s="137">
        <f>Transportation_LCIA!S$61*($W291^Transportation_LCIA!S$60)+Transportation_LCIA!S$62</f>
        <v>2.8418796348046858E-6</v>
      </c>
      <c r="AP291" s="137">
        <f>Transportation_LCIA!T$61*($W291^Transportation_LCIA!T$60)+Transportation_LCIA!T$62</f>
        <v>2.8418796348046858E-6</v>
      </c>
      <c r="AQ291" s="137">
        <f>Transportation_LCIA!U$61*($W291^Transportation_LCIA!U$60)+Transportation_LCIA!U$62</f>
        <v>3.8665074302226258E-4</v>
      </c>
      <c r="AR291" s="137">
        <f>Transportation_LCIA!V$61*($W291^Transportation_LCIA!V$60)+Transportation_LCIA!V$62</f>
        <v>1.6713153874972118E-4</v>
      </c>
      <c r="AT291" s="137">
        <f>$W291*Y291+$L291*Summary_LCIA!H$32</f>
        <v>404.81652888429073</v>
      </c>
      <c r="AU291" s="137">
        <f>$W291*Z291+$L291*Summary_LCIA!Q$32</f>
        <v>4270.9766053874027</v>
      </c>
      <c r="AV291" s="137">
        <f>$W291*AA291+$L291*Summary_LCIA!R$32</f>
        <v>2.2693430302604685</v>
      </c>
      <c r="AW291" s="137">
        <f>$W291*AB291+$L291*Summary_LCIA!S$32</f>
        <v>404.11468592429077</v>
      </c>
      <c r="AX291" s="137">
        <f>$W291*AC291+$L291*Summary_LCIA!T$32</f>
        <v>99.128983620894843</v>
      </c>
      <c r="AY291" s="137">
        <f>$W291*AD291+$L291*Summary_LCIA!U$32</f>
        <v>3.2089183826956584</v>
      </c>
      <c r="AZ291" s="137">
        <f>$W291*AE291+$L291*Summary_LCIA!V$32</f>
        <v>1.4802746538406807E-2</v>
      </c>
      <c r="BA291" s="137">
        <f>$W291*AF291+$L291*Summary_LCIA!W$32</f>
        <v>22.913652473186474</v>
      </c>
      <c r="BB291" s="137">
        <f>$W291*AG291+$L291*Summary_LCIA!X$32</f>
        <v>20.478404658392989</v>
      </c>
      <c r="BC291" s="137">
        <f>$W291*AH291+$L291*Summary_LCIA!Y$32</f>
        <v>2.7818657312243347</v>
      </c>
      <c r="BD291" s="137">
        <f>$W291*AI291+$L291*Summary_LCIA!Z$32</f>
        <v>0.38112416298322793</v>
      </c>
      <c r="BE291" s="137">
        <f>$W291*AJ291+$L291*Summary_LCIA!AA$32</f>
        <v>5.0463673956793009</v>
      </c>
      <c r="BF291" s="137">
        <f>$W291*AK291+$L291*Summary_LCIA!AB$32</f>
        <v>8.2696694465943285E-2</v>
      </c>
      <c r="BG291" s="137">
        <f>$W291*AL291+$L291*Summary_LCIA!AC$32</f>
        <v>4.9497517247125709E-5</v>
      </c>
      <c r="BH291" s="137">
        <f>$W291*AM291+$L291*Summary_LCIA!AD$32</f>
        <v>0.18787120985208033</v>
      </c>
      <c r="BI291" s="137">
        <f>$W291*AN291+$L291*Summary_LCIA!AE$32</f>
        <v>0.48853692219936423</v>
      </c>
      <c r="BJ291" s="137">
        <f>$W291*AO291+$L291*Summary_LCIA!AF$32</f>
        <v>0.13966917926784561</v>
      </c>
      <c r="BK291" s="137">
        <f>$W291*AP291+$L291*Summary_LCIA!AG$32</f>
        <v>1.3551016327845606E-2</v>
      </c>
      <c r="BL291" s="137">
        <f>$W291*AQ291+$L291*Summary_LCIA!AH$32</f>
        <v>2.1203448775745191</v>
      </c>
      <c r="BM291" s="137">
        <f>$W291*AR291+$L291*Summary_LCIA!AI$32</f>
        <v>0.46706011298341826</v>
      </c>
    </row>
    <row r="292" spans="1:65" x14ac:dyDescent="0.25">
      <c r="A292" s="149">
        <v>102</v>
      </c>
      <c r="B292" s="149">
        <v>6</v>
      </c>
      <c r="C292" s="61">
        <v>46.256036000000002</v>
      </c>
      <c r="D292" s="61">
        <v>-63.137495000000001</v>
      </c>
      <c r="E292" s="61" t="s">
        <v>461</v>
      </c>
      <c r="F292" s="149">
        <v>141</v>
      </c>
      <c r="G292" s="61" t="s">
        <v>661</v>
      </c>
      <c r="H292" s="61" t="s">
        <v>662</v>
      </c>
      <c r="I292" s="61">
        <v>46.116180999999997</v>
      </c>
      <c r="J292" s="61">
        <v>-64.688446999999996</v>
      </c>
      <c r="K292" s="61">
        <v>129.61196319999999</v>
      </c>
      <c r="L292" s="61">
        <v>158.78800000000001</v>
      </c>
      <c r="M292" s="61" t="s">
        <v>617</v>
      </c>
      <c r="N292" s="149">
        <v>5</v>
      </c>
      <c r="O292" s="149">
        <v>6</v>
      </c>
      <c r="P292" s="61" t="s">
        <v>565</v>
      </c>
      <c r="Q292" s="61" t="s">
        <v>564</v>
      </c>
      <c r="R292" s="61">
        <v>41.98028</v>
      </c>
      <c r="S292" s="61">
        <v>-87.908997900000003</v>
      </c>
      <c r="T292" s="61">
        <v>2535.893</v>
      </c>
      <c r="U292" s="61" t="s">
        <v>617</v>
      </c>
      <c r="V292" s="61" t="s">
        <v>569</v>
      </c>
      <c r="W292" s="61" cm="1">
        <f t="array" ref="W292">getDistance(I292,J292,R292,S292)*SA!$B$12</f>
        <v>1909.5208119954598</v>
      </c>
      <c r="X292" s="61"/>
      <c r="Y292" s="137">
        <f>Transportation_LCIA!C$61*($W292^Transportation_LCIA!C$60)+Transportation_LCIA!C$62</f>
        <v>0.18374262499796468</v>
      </c>
      <c r="Z292" s="137">
        <f>Transportation_LCIA!D$61*($W292^Transportation_LCIA!D$60)+Transportation_LCIA!D$62</f>
        <v>1.8245495138601728</v>
      </c>
      <c r="AA292" s="137">
        <f>Transportation_LCIA!E$61*($W292^Transportation_LCIA!E$60)+Transportation_LCIA!E$62</f>
        <v>7.5056994846928963E-4</v>
      </c>
      <c r="AB292" s="137">
        <f>Transportation_LCIA!F$61*($W292^Transportation_LCIA!F$60)+Transportation_LCIA!F$62</f>
        <v>0.18374262499796468</v>
      </c>
      <c r="AC292" s="137">
        <f>Transportation_LCIA!G$61*($W292^Transportation_LCIA!G$60)+Transportation_LCIA!G$62</f>
        <v>4.277417764069337E-2</v>
      </c>
      <c r="AD292" s="137">
        <f>Transportation_LCIA!H$61*($W292^Transportation_LCIA!H$60)+Transportation_LCIA!H$62</f>
        <v>1.908280592736083E-4</v>
      </c>
      <c r="AE292" s="137">
        <f>Transportation_LCIA!I$61*($W292^Transportation_LCIA!I$60)+Transportation_LCIA!I$62</f>
        <v>3.7804630486656199E-6</v>
      </c>
      <c r="AF292" s="137">
        <f>Transportation_LCIA!J$61*($W292^Transportation_LCIA!J$60)+Transportation_LCIA!J$62</f>
        <v>5.5990912788291157E-3</v>
      </c>
      <c r="AG292" s="137">
        <f>Transportation_LCIA!K$61*($W292^Transportation_LCIA!K$60)+Transportation_LCIA!K$62</f>
        <v>8.8300760654045594E-3</v>
      </c>
      <c r="AH292" s="137">
        <f>Transportation_LCIA!L$61*($W292^Transportation_LCIA!L$60)+Transportation_LCIA!L$62</f>
        <v>1.6110382944863424E-4</v>
      </c>
      <c r="AI292" s="137">
        <f>Transportation_LCIA!M$61*($W292^Transportation_LCIA!M$60)+Transportation_LCIA!M$62</f>
        <v>1.9618137887680623E-4</v>
      </c>
      <c r="AJ292" s="137">
        <f>Transportation_LCIA!N$61*($W292^Transportation_LCIA!N$60)+Transportation_LCIA!N$62</f>
        <v>7.0055003290662283E-4</v>
      </c>
      <c r="AK292" s="137">
        <f>Transportation_LCIA!O$61*($W292^Transportation_LCIA!O$60)+Transportation_LCIA!O$62</f>
        <v>4.5122275938906157E-5</v>
      </c>
      <c r="AL292" s="137">
        <f>Transportation_LCIA!P$61*($W292^Transportation_LCIA!P$60)+Transportation_LCIA!P$62</f>
        <v>2.1856438742614208E-8</v>
      </c>
      <c r="AM292" s="137">
        <f>Transportation_LCIA!Q$61*($W292^Transportation_LCIA!Q$60)+Transportation_LCIA!Q$62</f>
        <v>6.4206155576780288E-5</v>
      </c>
      <c r="AN292" s="137">
        <f>Transportation_LCIA!R$61*($W292^Transportation_LCIA!R$60)+Transportation_LCIA!R$62</f>
        <v>1.8215570606736664E-4</v>
      </c>
      <c r="AO292" s="137">
        <f>Transportation_LCIA!S$61*($W292^Transportation_LCIA!S$60)+Transportation_LCIA!S$62</f>
        <v>2.8418796348046858E-6</v>
      </c>
      <c r="AP292" s="137">
        <f>Transportation_LCIA!T$61*($W292^Transportation_LCIA!T$60)+Transportation_LCIA!T$62</f>
        <v>2.8418796348046858E-6</v>
      </c>
      <c r="AQ292" s="137">
        <f>Transportation_LCIA!U$61*($W292^Transportation_LCIA!U$60)+Transportation_LCIA!U$62</f>
        <v>3.8665074302226258E-4</v>
      </c>
      <c r="AR292" s="137">
        <f>Transportation_LCIA!V$61*($W292^Transportation_LCIA!V$60)+Transportation_LCIA!V$62</f>
        <v>1.6713153874972118E-4</v>
      </c>
      <c r="AT292" s="137">
        <f>$W292*Y292+$L292*Summary_LCIA!H$32</f>
        <v>404.81652888429073</v>
      </c>
      <c r="AU292" s="137">
        <f>$W292*Z292+$L292*Summary_LCIA!Q$32</f>
        <v>4270.9766053874027</v>
      </c>
      <c r="AV292" s="137">
        <f>$W292*AA292+$L292*Summary_LCIA!R$32</f>
        <v>2.2693430302604685</v>
      </c>
      <c r="AW292" s="137">
        <f>$W292*AB292+$L292*Summary_LCIA!S$32</f>
        <v>404.11468592429077</v>
      </c>
      <c r="AX292" s="137">
        <f>$W292*AC292+$L292*Summary_LCIA!T$32</f>
        <v>99.128983620894843</v>
      </c>
      <c r="AY292" s="137">
        <f>$W292*AD292+$L292*Summary_LCIA!U$32</f>
        <v>3.2089183826956584</v>
      </c>
      <c r="AZ292" s="137">
        <f>$W292*AE292+$L292*Summary_LCIA!V$32</f>
        <v>1.4802746538406807E-2</v>
      </c>
      <c r="BA292" s="137">
        <f>$W292*AF292+$L292*Summary_LCIA!W$32</f>
        <v>22.913652473186474</v>
      </c>
      <c r="BB292" s="137">
        <f>$W292*AG292+$L292*Summary_LCIA!X$32</f>
        <v>20.478404658392989</v>
      </c>
      <c r="BC292" s="137">
        <f>$W292*AH292+$L292*Summary_LCIA!Y$32</f>
        <v>2.7818657312243347</v>
      </c>
      <c r="BD292" s="137">
        <f>$W292*AI292+$L292*Summary_LCIA!Z$32</f>
        <v>0.38112416298322793</v>
      </c>
      <c r="BE292" s="137">
        <f>$W292*AJ292+$L292*Summary_LCIA!AA$32</f>
        <v>5.0463673956793009</v>
      </c>
      <c r="BF292" s="137">
        <f>$W292*AK292+$L292*Summary_LCIA!AB$32</f>
        <v>8.2696694465943285E-2</v>
      </c>
      <c r="BG292" s="137">
        <f>$W292*AL292+$L292*Summary_LCIA!AC$32</f>
        <v>4.9497517247125709E-5</v>
      </c>
      <c r="BH292" s="137">
        <f>$W292*AM292+$L292*Summary_LCIA!AD$32</f>
        <v>0.18787120985208033</v>
      </c>
      <c r="BI292" s="137">
        <f>$W292*AN292+$L292*Summary_LCIA!AE$32</f>
        <v>0.48853692219936423</v>
      </c>
      <c r="BJ292" s="137">
        <f>$W292*AO292+$L292*Summary_LCIA!AF$32</f>
        <v>0.13966917926784561</v>
      </c>
      <c r="BK292" s="137">
        <f>$W292*AP292+$L292*Summary_LCIA!AG$32</f>
        <v>1.3551016327845606E-2</v>
      </c>
      <c r="BL292" s="137">
        <f>$W292*AQ292+$L292*Summary_LCIA!AH$32</f>
        <v>2.1203448775745191</v>
      </c>
      <c r="BM292" s="137">
        <f>$W292*AR292+$L292*Summary_LCIA!AI$32</f>
        <v>0.46706011298341826</v>
      </c>
    </row>
    <row r="293" spans="1:65" x14ac:dyDescent="0.25">
      <c r="A293" s="149">
        <v>63</v>
      </c>
      <c r="B293" s="149">
        <v>6</v>
      </c>
      <c r="C293" s="61">
        <v>51.075544999999998</v>
      </c>
      <c r="D293" s="61">
        <v>-114.12975400000001</v>
      </c>
      <c r="E293" s="61" t="s">
        <v>462</v>
      </c>
      <c r="F293" s="149">
        <v>125</v>
      </c>
      <c r="G293" s="61" t="s">
        <v>656</v>
      </c>
      <c r="H293" s="61" t="s">
        <v>657</v>
      </c>
      <c r="I293" s="61">
        <v>51.121502999999997</v>
      </c>
      <c r="J293" s="61">
        <v>-114.007616</v>
      </c>
      <c r="K293" s="61">
        <v>10.47008467</v>
      </c>
      <c r="L293" s="61">
        <v>15.291</v>
      </c>
      <c r="M293" s="61" t="s">
        <v>617</v>
      </c>
      <c r="N293" s="149">
        <v>5</v>
      </c>
      <c r="O293" s="149">
        <v>6</v>
      </c>
      <c r="P293" s="61" t="s">
        <v>565</v>
      </c>
      <c r="Q293" s="61" t="s">
        <v>564</v>
      </c>
      <c r="R293" s="61">
        <v>41.98028</v>
      </c>
      <c r="S293" s="61">
        <v>-87.908997900000003</v>
      </c>
      <c r="T293" s="61">
        <v>2552.1120000000001</v>
      </c>
      <c r="U293" s="61" t="s">
        <v>617</v>
      </c>
      <c r="V293" s="61" t="s">
        <v>569</v>
      </c>
      <c r="W293" s="61" cm="1">
        <f t="array" ref="W293">getDistance(I293,J293,R293,S293)*SA!$B$12</f>
        <v>2229.0088809488861</v>
      </c>
      <c r="X293" s="61"/>
      <c r="Y293" s="137">
        <f>Transportation_LCIA!C$61*($W293^Transportation_LCIA!C$60)+Transportation_LCIA!C$62</f>
        <v>0.17499639639248199</v>
      </c>
      <c r="Z293" s="137">
        <f>Transportation_LCIA!D$61*($W293^Transportation_LCIA!D$60)+Transportation_LCIA!D$62</f>
        <v>1.7256521041625139</v>
      </c>
      <c r="AA293" s="137">
        <f>Transportation_LCIA!E$61*($W293^Transportation_LCIA!E$60)+Transportation_LCIA!E$62</f>
        <v>6.8612050027821081E-4</v>
      </c>
      <c r="AB293" s="137">
        <f>Transportation_LCIA!F$61*($W293^Transportation_LCIA!F$60)+Transportation_LCIA!F$62</f>
        <v>0.17499639639248199</v>
      </c>
      <c r="AC293" s="137">
        <f>Transportation_LCIA!G$61*($W293^Transportation_LCIA!G$60)+Transportation_LCIA!G$62</f>
        <v>4.0481896009759488E-2</v>
      </c>
      <c r="AD293" s="137">
        <f>Transportation_LCIA!H$61*($W293^Transportation_LCIA!H$60)+Transportation_LCIA!H$62</f>
        <v>1.7690308503275038E-4</v>
      </c>
      <c r="AE293" s="137">
        <f>Transportation_LCIA!I$61*($W293^Transportation_LCIA!I$60)+Transportation_LCIA!I$62</f>
        <v>3.4396756380258186E-6</v>
      </c>
      <c r="AF293" s="137">
        <f>Transportation_LCIA!J$61*($W293^Transportation_LCIA!J$60)+Transportation_LCIA!J$62</f>
        <v>5.1008385388865325E-3</v>
      </c>
      <c r="AG293" s="137">
        <f>Transportation_LCIA!K$61*($W293^Transportation_LCIA!K$60)+Transportation_LCIA!K$62</f>
        <v>8.3034455995642971E-3</v>
      </c>
      <c r="AH293" s="137">
        <f>Transportation_LCIA!L$61*($W293^Transportation_LCIA!L$60)+Transportation_LCIA!L$62</f>
        <v>1.4840453394545598E-4</v>
      </c>
      <c r="AI293" s="137">
        <f>Transportation_LCIA!M$61*($W293^Transportation_LCIA!M$60)+Transportation_LCIA!M$62</f>
        <v>1.8850364359360649E-4</v>
      </c>
      <c r="AJ293" s="137">
        <f>Transportation_LCIA!N$61*($W293^Transportation_LCIA!N$60)+Transportation_LCIA!N$62</f>
        <v>6.5362684764447309E-4</v>
      </c>
      <c r="AK293" s="137">
        <f>Transportation_LCIA!O$61*($W293^Transportation_LCIA!O$60)+Transportation_LCIA!O$62</f>
        <v>4.2688543413009031E-5</v>
      </c>
      <c r="AL293" s="137">
        <f>Transportation_LCIA!P$61*($W293^Transportation_LCIA!P$60)+Transportation_LCIA!P$62</f>
        <v>2.0683576176856233E-8</v>
      </c>
      <c r="AM293" s="137">
        <f>Transportation_LCIA!Q$61*($W293^Transportation_LCIA!Q$60)+Transportation_LCIA!Q$62</f>
        <v>5.9262159428738185E-5</v>
      </c>
      <c r="AN293" s="137">
        <f>Transportation_LCIA!R$61*($W293^Transportation_LCIA!R$60)+Transportation_LCIA!R$62</f>
        <v>1.6582507996865508E-4</v>
      </c>
      <c r="AO293" s="137">
        <f>Transportation_LCIA!S$61*($W293^Transportation_LCIA!S$60)+Transportation_LCIA!S$62</f>
        <v>2.6098204100650336E-6</v>
      </c>
      <c r="AP293" s="137">
        <f>Transportation_LCIA!T$61*($W293^Transportation_LCIA!T$60)+Transportation_LCIA!T$62</f>
        <v>2.6098204100650336E-6</v>
      </c>
      <c r="AQ293" s="137">
        <f>Transportation_LCIA!U$61*($W293^Transportation_LCIA!U$60)+Transportation_LCIA!U$62</f>
        <v>3.510285673903872E-4</v>
      </c>
      <c r="AR293" s="137">
        <f>Transportation_LCIA!V$61*($W293^Transportation_LCIA!V$60)+Transportation_LCIA!V$62</f>
        <v>1.5434135754289162E-4</v>
      </c>
      <c r="AT293" s="137">
        <f>$W293*Y293+$L293*Summary_LCIA!H$32</f>
        <v>395.26440349289396</v>
      </c>
      <c r="AU293" s="137">
        <f>$W293*Z293+$L293*Summary_LCIA!Q$32</f>
        <v>3922.2768327773788</v>
      </c>
      <c r="AV293" s="137">
        <f>$W293*AA293+$L293*Summary_LCIA!R$32</f>
        <v>1.6098849781212246</v>
      </c>
      <c r="AW293" s="137">
        <f>$W293*AB293+$L293*Summary_LCIA!S$32</f>
        <v>395.19681727289395</v>
      </c>
      <c r="AX293" s="137">
        <f>$W293*AC293+$L293*Summary_LCIA!T$32</f>
        <v>91.91498662340318</v>
      </c>
      <c r="AY293" s="137">
        <f>$W293*AD293+$L293*Summary_LCIA!U$32</f>
        <v>0.66824152160525663</v>
      </c>
      <c r="AZ293" s="137">
        <f>$W293*AE293+$L293*Summary_LCIA!V$32</f>
        <v>8.397380995743076E-3</v>
      </c>
      <c r="BA293" s="137">
        <f>$W293*AF293+$L293*Summary_LCIA!W$32</f>
        <v>12.546777964464422</v>
      </c>
      <c r="BB293" s="137">
        <f>$W293*AG293+$L293*Summary_LCIA!X$32</f>
        <v>18.85678296390477</v>
      </c>
      <c r="BC293" s="137">
        <f>$W293*AH293+$L293*Summary_LCIA!Y$32</f>
        <v>0.56905938613750184</v>
      </c>
      <c r="BD293" s="137">
        <f>$W293*AI293+$L293*Summary_LCIA!Z$32</f>
        <v>0.42080336428037252</v>
      </c>
      <c r="BE293" s="137">
        <f>$W293*AJ293+$L293*Summary_LCIA!AA$32</f>
        <v>1.8140766442261549</v>
      </c>
      <c r="BF293" s="137">
        <f>$W293*AK293+$L293*Summary_LCIA!AB$32</f>
        <v>9.4819446889369205E-2</v>
      </c>
      <c r="BG293" s="137">
        <f>$W293*AL293+$L293*Summary_LCIA!AC$32</f>
        <v>4.6851360231995352E-5</v>
      </c>
      <c r="BH293" s="137">
        <f>$W293*AM293+$L293*Summary_LCIA!AD$32</f>
        <v>0.1383810923108662</v>
      </c>
      <c r="BI293" s="137">
        <f>$W293*AN293+$L293*Summary_LCIA!AE$32</f>
        <v>0.38317538976419141</v>
      </c>
      <c r="BJ293" s="137">
        <f>$W293*AO293+$L293*Summary_LCIA!AF$32</f>
        <v>1.8744630091716626E-2</v>
      </c>
      <c r="BK293" s="137">
        <f>$W293*AP293+$L293*Summary_LCIA!AG$32</f>
        <v>6.5996768867166242E-3</v>
      </c>
      <c r="BL293" s="137">
        <f>$W293*AQ293+$L293*Summary_LCIA!AH$32</f>
        <v>0.91553254177993759</v>
      </c>
      <c r="BM293" s="137">
        <f>$W293*AR293+$L293*Summary_LCIA!AI$32</f>
        <v>0.35827258771081277</v>
      </c>
    </row>
    <row r="294" spans="1:65" x14ac:dyDescent="0.25">
      <c r="A294" s="149">
        <v>64</v>
      </c>
      <c r="B294" s="149">
        <v>6</v>
      </c>
      <c r="C294" s="61">
        <v>51.075544999999998</v>
      </c>
      <c r="D294" s="61">
        <v>-114.12975400000001</v>
      </c>
      <c r="E294" s="61" t="s">
        <v>462</v>
      </c>
      <c r="F294" s="149">
        <v>125</v>
      </c>
      <c r="G294" s="61" t="s">
        <v>656</v>
      </c>
      <c r="H294" s="61" t="s">
        <v>657</v>
      </c>
      <c r="I294" s="61">
        <v>51.121502999999997</v>
      </c>
      <c r="J294" s="61">
        <v>-114.007616</v>
      </c>
      <c r="K294" s="61">
        <v>10.47008467</v>
      </c>
      <c r="L294" s="61">
        <v>15.291</v>
      </c>
      <c r="M294" s="61" t="s">
        <v>617</v>
      </c>
      <c r="N294" s="149">
        <v>5</v>
      </c>
      <c r="O294" s="149">
        <v>6</v>
      </c>
      <c r="P294" s="61" t="s">
        <v>565</v>
      </c>
      <c r="Q294" s="61" t="s">
        <v>564</v>
      </c>
      <c r="R294" s="61">
        <v>41.98028</v>
      </c>
      <c r="S294" s="61">
        <v>-87.908997900000003</v>
      </c>
      <c r="T294" s="61">
        <v>2552.1120000000001</v>
      </c>
      <c r="U294" s="61" t="s">
        <v>617</v>
      </c>
      <c r="V294" s="61" t="s">
        <v>569</v>
      </c>
      <c r="W294" s="61" cm="1">
        <f t="array" ref="W294">getDistance(I294,J294,R294,S294)*SA!$B$12</f>
        <v>2229.0088809488861</v>
      </c>
      <c r="X294" s="61"/>
      <c r="Y294" s="137">
        <f>Transportation_LCIA!C$61*($W294^Transportation_LCIA!C$60)+Transportation_LCIA!C$62</f>
        <v>0.17499639639248199</v>
      </c>
      <c r="Z294" s="137">
        <f>Transportation_LCIA!D$61*($W294^Transportation_LCIA!D$60)+Transportation_LCIA!D$62</f>
        <v>1.7256521041625139</v>
      </c>
      <c r="AA294" s="137">
        <f>Transportation_LCIA!E$61*($W294^Transportation_LCIA!E$60)+Transportation_LCIA!E$62</f>
        <v>6.8612050027821081E-4</v>
      </c>
      <c r="AB294" s="137">
        <f>Transportation_LCIA!F$61*($W294^Transportation_LCIA!F$60)+Transportation_LCIA!F$62</f>
        <v>0.17499639639248199</v>
      </c>
      <c r="AC294" s="137">
        <f>Transportation_LCIA!G$61*($W294^Transportation_LCIA!G$60)+Transportation_LCIA!G$62</f>
        <v>4.0481896009759488E-2</v>
      </c>
      <c r="AD294" s="137">
        <f>Transportation_LCIA!H$61*($W294^Transportation_LCIA!H$60)+Transportation_LCIA!H$62</f>
        <v>1.7690308503275038E-4</v>
      </c>
      <c r="AE294" s="137">
        <f>Transportation_LCIA!I$61*($W294^Transportation_LCIA!I$60)+Transportation_LCIA!I$62</f>
        <v>3.4396756380258186E-6</v>
      </c>
      <c r="AF294" s="137">
        <f>Transportation_LCIA!J$61*($W294^Transportation_LCIA!J$60)+Transportation_LCIA!J$62</f>
        <v>5.1008385388865325E-3</v>
      </c>
      <c r="AG294" s="137">
        <f>Transportation_LCIA!K$61*($W294^Transportation_LCIA!K$60)+Transportation_LCIA!K$62</f>
        <v>8.3034455995642971E-3</v>
      </c>
      <c r="AH294" s="137">
        <f>Transportation_LCIA!L$61*($W294^Transportation_LCIA!L$60)+Transportation_LCIA!L$62</f>
        <v>1.4840453394545598E-4</v>
      </c>
      <c r="AI294" s="137">
        <f>Transportation_LCIA!M$61*($W294^Transportation_LCIA!M$60)+Transportation_LCIA!M$62</f>
        <v>1.8850364359360649E-4</v>
      </c>
      <c r="AJ294" s="137">
        <f>Transportation_LCIA!N$61*($W294^Transportation_LCIA!N$60)+Transportation_LCIA!N$62</f>
        <v>6.5362684764447309E-4</v>
      </c>
      <c r="AK294" s="137">
        <f>Transportation_LCIA!O$61*($W294^Transportation_LCIA!O$60)+Transportation_LCIA!O$62</f>
        <v>4.2688543413009031E-5</v>
      </c>
      <c r="AL294" s="137">
        <f>Transportation_LCIA!P$61*($W294^Transportation_LCIA!P$60)+Transportation_LCIA!P$62</f>
        <v>2.0683576176856233E-8</v>
      </c>
      <c r="AM294" s="137">
        <f>Transportation_LCIA!Q$61*($W294^Transportation_LCIA!Q$60)+Transportation_LCIA!Q$62</f>
        <v>5.9262159428738185E-5</v>
      </c>
      <c r="AN294" s="137">
        <f>Transportation_LCIA!R$61*($W294^Transportation_LCIA!R$60)+Transportation_LCIA!R$62</f>
        <v>1.6582507996865508E-4</v>
      </c>
      <c r="AO294" s="137">
        <f>Transportation_LCIA!S$61*($W294^Transportation_LCIA!S$60)+Transportation_LCIA!S$62</f>
        <v>2.6098204100650336E-6</v>
      </c>
      <c r="AP294" s="137">
        <f>Transportation_LCIA!T$61*($W294^Transportation_LCIA!T$60)+Transportation_LCIA!T$62</f>
        <v>2.6098204100650336E-6</v>
      </c>
      <c r="AQ294" s="137">
        <f>Transportation_LCIA!U$61*($W294^Transportation_LCIA!U$60)+Transportation_LCIA!U$62</f>
        <v>3.510285673903872E-4</v>
      </c>
      <c r="AR294" s="137">
        <f>Transportation_LCIA!V$61*($W294^Transportation_LCIA!V$60)+Transportation_LCIA!V$62</f>
        <v>1.5434135754289162E-4</v>
      </c>
      <c r="AT294" s="137">
        <f>$W294*Y294+$L294*Summary_LCIA!H$32</f>
        <v>395.26440349289396</v>
      </c>
      <c r="AU294" s="137">
        <f>$W294*Z294+$L294*Summary_LCIA!Q$32</f>
        <v>3922.2768327773788</v>
      </c>
      <c r="AV294" s="137">
        <f>$W294*AA294+$L294*Summary_LCIA!R$32</f>
        <v>1.6098849781212246</v>
      </c>
      <c r="AW294" s="137">
        <f>$W294*AB294+$L294*Summary_LCIA!S$32</f>
        <v>395.19681727289395</v>
      </c>
      <c r="AX294" s="137">
        <f>$W294*AC294+$L294*Summary_LCIA!T$32</f>
        <v>91.91498662340318</v>
      </c>
      <c r="AY294" s="137">
        <f>$W294*AD294+$L294*Summary_LCIA!U$32</f>
        <v>0.66824152160525663</v>
      </c>
      <c r="AZ294" s="137">
        <f>$W294*AE294+$L294*Summary_LCIA!V$32</f>
        <v>8.397380995743076E-3</v>
      </c>
      <c r="BA294" s="137">
        <f>$W294*AF294+$L294*Summary_LCIA!W$32</f>
        <v>12.546777964464422</v>
      </c>
      <c r="BB294" s="137">
        <f>$W294*AG294+$L294*Summary_LCIA!X$32</f>
        <v>18.85678296390477</v>
      </c>
      <c r="BC294" s="137">
        <f>$W294*AH294+$L294*Summary_LCIA!Y$32</f>
        <v>0.56905938613750184</v>
      </c>
      <c r="BD294" s="137">
        <f>$W294*AI294+$L294*Summary_LCIA!Z$32</f>
        <v>0.42080336428037252</v>
      </c>
      <c r="BE294" s="137">
        <f>$W294*AJ294+$L294*Summary_LCIA!AA$32</f>
        <v>1.8140766442261549</v>
      </c>
      <c r="BF294" s="137">
        <f>$W294*AK294+$L294*Summary_LCIA!AB$32</f>
        <v>9.4819446889369205E-2</v>
      </c>
      <c r="BG294" s="137">
        <f>$W294*AL294+$L294*Summary_LCIA!AC$32</f>
        <v>4.6851360231995352E-5</v>
      </c>
      <c r="BH294" s="137">
        <f>$W294*AM294+$L294*Summary_LCIA!AD$32</f>
        <v>0.1383810923108662</v>
      </c>
      <c r="BI294" s="137">
        <f>$W294*AN294+$L294*Summary_LCIA!AE$32</f>
        <v>0.38317538976419141</v>
      </c>
      <c r="BJ294" s="137">
        <f>$W294*AO294+$L294*Summary_LCIA!AF$32</f>
        <v>1.8744630091716626E-2</v>
      </c>
      <c r="BK294" s="137">
        <f>$W294*AP294+$L294*Summary_LCIA!AG$32</f>
        <v>6.5996768867166242E-3</v>
      </c>
      <c r="BL294" s="137">
        <f>$W294*AQ294+$L294*Summary_LCIA!AH$32</f>
        <v>0.91553254177993759</v>
      </c>
      <c r="BM294" s="137">
        <f>$W294*AR294+$L294*Summary_LCIA!AI$32</f>
        <v>0.35827258771081277</v>
      </c>
    </row>
    <row r="295" spans="1:65" x14ac:dyDescent="0.25">
      <c r="A295" s="149">
        <v>65</v>
      </c>
      <c r="B295" s="149">
        <v>6</v>
      </c>
      <c r="C295" s="61">
        <v>51.075544999999998</v>
      </c>
      <c r="D295" s="61">
        <v>-114.12975400000001</v>
      </c>
      <c r="E295" s="61" t="s">
        <v>462</v>
      </c>
      <c r="F295" s="149">
        <v>125</v>
      </c>
      <c r="G295" s="61" t="s">
        <v>656</v>
      </c>
      <c r="H295" s="61" t="s">
        <v>657</v>
      </c>
      <c r="I295" s="61">
        <v>51.121502999999997</v>
      </c>
      <c r="J295" s="61">
        <v>-114.007616</v>
      </c>
      <c r="K295" s="61">
        <v>10.47008467</v>
      </c>
      <c r="L295" s="61">
        <v>15.291</v>
      </c>
      <c r="M295" s="61" t="s">
        <v>617</v>
      </c>
      <c r="N295" s="149">
        <v>5</v>
      </c>
      <c r="O295" s="149">
        <v>6</v>
      </c>
      <c r="P295" s="61" t="s">
        <v>565</v>
      </c>
      <c r="Q295" s="61" t="s">
        <v>564</v>
      </c>
      <c r="R295" s="61">
        <v>41.98028</v>
      </c>
      <c r="S295" s="61">
        <v>-87.908997900000003</v>
      </c>
      <c r="T295" s="61">
        <v>2552.1120000000001</v>
      </c>
      <c r="U295" s="61" t="s">
        <v>617</v>
      </c>
      <c r="V295" s="61" t="s">
        <v>569</v>
      </c>
      <c r="W295" s="61" cm="1">
        <f t="array" ref="W295">getDistance(I295,J295,R295,S295)*SA!$B$12</f>
        <v>2229.0088809488861</v>
      </c>
      <c r="X295" s="61"/>
      <c r="Y295" s="137">
        <f>Transportation_LCIA!C$61*($W295^Transportation_LCIA!C$60)+Transportation_LCIA!C$62</f>
        <v>0.17499639639248199</v>
      </c>
      <c r="Z295" s="137">
        <f>Transportation_LCIA!D$61*($W295^Transportation_LCIA!D$60)+Transportation_LCIA!D$62</f>
        <v>1.7256521041625139</v>
      </c>
      <c r="AA295" s="137">
        <f>Transportation_LCIA!E$61*($W295^Transportation_LCIA!E$60)+Transportation_LCIA!E$62</f>
        <v>6.8612050027821081E-4</v>
      </c>
      <c r="AB295" s="137">
        <f>Transportation_LCIA!F$61*($W295^Transportation_LCIA!F$60)+Transportation_LCIA!F$62</f>
        <v>0.17499639639248199</v>
      </c>
      <c r="AC295" s="137">
        <f>Transportation_LCIA!G$61*($W295^Transportation_LCIA!G$60)+Transportation_LCIA!G$62</f>
        <v>4.0481896009759488E-2</v>
      </c>
      <c r="AD295" s="137">
        <f>Transportation_LCIA!H$61*($W295^Transportation_LCIA!H$60)+Transportation_LCIA!H$62</f>
        <v>1.7690308503275038E-4</v>
      </c>
      <c r="AE295" s="137">
        <f>Transportation_LCIA!I$61*($W295^Transportation_LCIA!I$60)+Transportation_LCIA!I$62</f>
        <v>3.4396756380258186E-6</v>
      </c>
      <c r="AF295" s="137">
        <f>Transportation_LCIA!J$61*($W295^Transportation_LCIA!J$60)+Transportation_LCIA!J$62</f>
        <v>5.1008385388865325E-3</v>
      </c>
      <c r="AG295" s="137">
        <f>Transportation_LCIA!K$61*($W295^Transportation_LCIA!K$60)+Transportation_LCIA!K$62</f>
        <v>8.3034455995642971E-3</v>
      </c>
      <c r="AH295" s="137">
        <f>Transportation_LCIA!L$61*($W295^Transportation_LCIA!L$60)+Transportation_LCIA!L$62</f>
        <v>1.4840453394545598E-4</v>
      </c>
      <c r="AI295" s="137">
        <f>Transportation_LCIA!M$61*($W295^Transportation_LCIA!M$60)+Transportation_LCIA!M$62</f>
        <v>1.8850364359360649E-4</v>
      </c>
      <c r="AJ295" s="137">
        <f>Transportation_LCIA!N$61*($W295^Transportation_LCIA!N$60)+Transportation_LCIA!N$62</f>
        <v>6.5362684764447309E-4</v>
      </c>
      <c r="AK295" s="137">
        <f>Transportation_LCIA!O$61*($W295^Transportation_LCIA!O$60)+Transportation_LCIA!O$62</f>
        <v>4.2688543413009031E-5</v>
      </c>
      <c r="AL295" s="137">
        <f>Transportation_LCIA!P$61*($W295^Transportation_LCIA!P$60)+Transportation_LCIA!P$62</f>
        <v>2.0683576176856233E-8</v>
      </c>
      <c r="AM295" s="137">
        <f>Transportation_LCIA!Q$61*($W295^Transportation_LCIA!Q$60)+Transportation_LCIA!Q$62</f>
        <v>5.9262159428738185E-5</v>
      </c>
      <c r="AN295" s="137">
        <f>Transportation_LCIA!R$61*($W295^Transportation_LCIA!R$60)+Transportation_LCIA!R$62</f>
        <v>1.6582507996865508E-4</v>
      </c>
      <c r="AO295" s="137">
        <f>Transportation_LCIA!S$61*($W295^Transportation_LCIA!S$60)+Transportation_LCIA!S$62</f>
        <v>2.6098204100650336E-6</v>
      </c>
      <c r="AP295" s="137">
        <f>Transportation_LCIA!T$61*($W295^Transportation_LCIA!T$60)+Transportation_LCIA!T$62</f>
        <v>2.6098204100650336E-6</v>
      </c>
      <c r="AQ295" s="137">
        <f>Transportation_LCIA!U$61*($W295^Transportation_LCIA!U$60)+Transportation_LCIA!U$62</f>
        <v>3.510285673903872E-4</v>
      </c>
      <c r="AR295" s="137">
        <f>Transportation_LCIA!V$61*($W295^Transportation_LCIA!V$60)+Transportation_LCIA!V$62</f>
        <v>1.5434135754289162E-4</v>
      </c>
      <c r="AT295" s="137">
        <f>$W295*Y295+$L295*Summary_LCIA!H$32</f>
        <v>395.26440349289396</v>
      </c>
      <c r="AU295" s="137">
        <f>$W295*Z295+$L295*Summary_LCIA!Q$32</f>
        <v>3922.2768327773788</v>
      </c>
      <c r="AV295" s="137">
        <f>$W295*AA295+$L295*Summary_LCIA!R$32</f>
        <v>1.6098849781212246</v>
      </c>
      <c r="AW295" s="137">
        <f>$W295*AB295+$L295*Summary_LCIA!S$32</f>
        <v>395.19681727289395</v>
      </c>
      <c r="AX295" s="137">
        <f>$W295*AC295+$L295*Summary_LCIA!T$32</f>
        <v>91.91498662340318</v>
      </c>
      <c r="AY295" s="137">
        <f>$W295*AD295+$L295*Summary_LCIA!U$32</f>
        <v>0.66824152160525663</v>
      </c>
      <c r="AZ295" s="137">
        <f>$W295*AE295+$L295*Summary_LCIA!V$32</f>
        <v>8.397380995743076E-3</v>
      </c>
      <c r="BA295" s="137">
        <f>$W295*AF295+$L295*Summary_LCIA!W$32</f>
        <v>12.546777964464422</v>
      </c>
      <c r="BB295" s="137">
        <f>$W295*AG295+$L295*Summary_LCIA!X$32</f>
        <v>18.85678296390477</v>
      </c>
      <c r="BC295" s="137">
        <f>$W295*AH295+$L295*Summary_LCIA!Y$32</f>
        <v>0.56905938613750184</v>
      </c>
      <c r="BD295" s="137">
        <f>$W295*AI295+$L295*Summary_LCIA!Z$32</f>
        <v>0.42080336428037252</v>
      </c>
      <c r="BE295" s="137">
        <f>$W295*AJ295+$L295*Summary_LCIA!AA$32</f>
        <v>1.8140766442261549</v>
      </c>
      <c r="BF295" s="137">
        <f>$W295*AK295+$L295*Summary_LCIA!AB$32</f>
        <v>9.4819446889369205E-2</v>
      </c>
      <c r="BG295" s="137">
        <f>$W295*AL295+$L295*Summary_LCIA!AC$32</f>
        <v>4.6851360231995352E-5</v>
      </c>
      <c r="BH295" s="137">
        <f>$W295*AM295+$L295*Summary_LCIA!AD$32</f>
        <v>0.1383810923108662</v>
      </c>
      <c r="BI295" s="137">
        <f>$W295*AN295+$L295*Summary_LCIA!AE$32</f>
        <v>0.38317538976419141</v>
      </c>
      <c r="BJ295" s="137">
        <f>$W295*AO295+$L295*Summary_LCIA!AF$32</f>
        <v>1.8744630091716626E-2</v>
      </c>
      <c r="BK295" s="137">
        <f>$W295*AP295+$L295*Summary_LCIA!AG$32</f>
        <v>6.5996768867166242E-3</v>
      </c>
      <c r="BL295" s="137">
        <f>$W295*AQ295+$L295*Summary_LCIA!AH$32</f>
        <v>0.91553254177993759</v>
      </c>
      <c r="BM295" s="137">
        <f>$W295*AR295+$L295*Summary_LCIA!AI$32</f>
        <v>0.35827258771081277</v>
      </c>
    </row>
    <row r="296" spans="1:65" x14ac:dyDescent="0.25">
      <c r="A296" s="149">
        <v>66</v>
      </c>
      <c r="B296" s="149">
        <v>6</v>
      </c>
      <c r="C296" s="61">
        <v>51.075544999999998</v>
      </c>
      <c r="D296" s="61">
        <v>-114.12975400000001</v>
      </c>
      <c r="E296" s="61" t="s">
        <v>462</v>
      </c>
      <c r="F296" s="149">
        <v>125</v>
      </c>
      <c r="G296" s="61" t="s">
        <v>656</v>
      </c>
      <c r="H296" s="61" t="s">
        <v>657</v>
      </c>
      <c r="I296" s="61">
        <v>51.121502999999997</v>
      </c>
      <c r="J296" s="61">
        <v>-114.007616</v>
      </c>
      <c r="K296" s="61">
        <v>10.47008467</v>
      </c>
      <c r="L296" s="61">
        <v>15.291</v>
      </c>
      <c r="M296" s="61" t="s">
        <v>617</v>
      </c>
      <c r="N296" s="149">
        <v>5</v>
      </c>
      <c r="O296" s="149">
        <v>6</v>
      </c>
      <c r="P296" s="61" t="s">
        <v>565</v>
      </c>
      <c r="Q296" s="61" t="s">
        <v>564</v>
      </c>
      <c r="R296" s="61">
        <v>41.98028</v>
      </c>
      <c r="S296" s="61">
        <v>-87.908997900000003</v>
      </c>
      <c r="T296" s="61">
        <v>2552.1120000000001</v>
      </c>
      <c r="U296" s="61" t="s">
        <v>617</v>
      </c>
      <c r="V296" s="61" t="s">
        <v>569</v>
      </c>
      <c r="W296" s="61" cm="1">
        <f t="array" ref="W296">getDistance(I296,J296,R296,S296)*SA!$B$12</f>
        <v>2229.0088809488861</v>
      </c>
      <c r="X296" s="61"/>
      <c r="Y296" s="137">
        <f>Transportation_LCIA!C$61*($W296^Transportation_LCIA!C$60)+Transportation_LCIA!C$62</f>
        <v>0.17499639639248199</v>
      </c>
      <c r="Z296" s="137">
        <f>Transportation_LCIA!D$61*($W296^Transportation_LCIA!D$60)+Transportation_LCIA!D$62</f>
        <v>1.7256521041625139</v>
      </c>
      <c r="AA296" s="137">
        <f>Transportation_LCIA!E$61*($W296^Transportation_LCIA!E$60)+Transportation_LCIA!E$62</f>
        <v>6.8612050027821081E-4</v>
      </c>
      <c r="AB296" s="137">
        <f>Transportation_LCIA!F$61*($W296^Transportation_LCIA!F$60)+Transportation_LCIA!F$62</f>
        <v>0.17499639639248199</v>
      </c>
      <c r="AC296" s="137">
        <f>Transportation_LCIA!G$61*($W296^Transportation_LCIA!G$60)+Transportation_LCIA!G$62</f>
        <v>4.0481896009759488E-2</v>
      </c>
      <c r="AD296" s="137">
        <f>Transportation_LCIA!H$61*($W296^Transportation_LCIA!H$60)+Transportation_LCIA!H$62</f>
        <v>1.7690308503275038E-4</v>
      </c>
      <c r="AE296" s="137">
        <f>Transportation_LCIA!I$61*($W296^Transportation_LCIA!I$60)+Transportation_LCIA!I$62</f>
        <v>3.4396756380258186E-6</v>
      </c>
      <c r="AF296" s="137">
        <f>Transportation_LCIA!J$61*($W296^Transportation_LCIA!J$60)+Transportation_LCIA!J$62</f>
        <v>5.1008385388865325E-3</v>
      </c>
      <c r="AG296" s="137">
        <f>Transportation_LCIA!K$61*($W296^Transportation_LCIA!K$60)+Transportation_LCIA!K$62</f>
        <v>8.3034455995642971E-3</v>
      </c>
      <c r="AH296" s="137">
        <f>Transportation_LCIA!L$61*($W296^Transportation_LCIA!L$60)+Transportation_LCIA!L$62</f>
        <v>1.4840453394545598E-4</v>
      </c>
      <c r="AI296" s="137">
        <f>Transportation_LCIA!M$61*($W296^Transportation_LCIA!M$60)+Transportation_LCIA!M$62</f>
        <v>1.8850364359360649E-4</v>
      </c>
      <c r="AJ296" s="137">
        <f>Transportation_LCIA!N$61*($W296^Transportation_LCIA!N$60)+Transportation_LCIA!N$62</f>
        <v>6.5362684764447309E-4</v>
      </c>
      <c r="AK296" s="137">
        <f>Transportation_LCIA!O$61*($W296^Transportation_LCIA!O$60)+Transportation_LCIA!O$62</f>
        <v>4.2688543413009031E-5</v>
      </c>
      <c r="AL296" s="137">
        <f>Transportation_LCIA!P$61*($W296^Transportation_LCIA!P$60)+Transportation_LCIA!P$62</f>
        <v>2.0683576176856233E-8</v>
      </c>
      <c r="AM296" s="137">
        <f>Transportation_LCIA!Q$61*($W296^Transportation_LCIA!Q$60)+Transportation_LCIA!Q$62</f>
        <v>5.9262159428738185E-5</v>
      </c>
      <c r="AN296" s="137">
        <f>Transportation_LCIA!R$61*($W296^Transportation_LCIA!R$60)+Transportation_LCIA!R$62</f>
        <v>1.6582507996865508E-4</v>
      </c>
      <c r="AO296" s="137">
        <f>Transportation_LCIA!S$61*($W296^Transportation_LCIA!S$60)+Transportation_LCIA!S$62</f>
        <v>2.6098204100650336E-6</v>
      </c>
      <c r="AP296" s="137">
        <f>Transportation_LCIA!T$61*($W296^Transportation_LCIA!T$60)+Transportation_LCIA!T$62</f>
        <v>2.6098204100650336E-6</v>
      </c>
      <c r="AQ296" s="137">
        <f>Transportation_LCIA!U$61*($W296^Transportation_LCIA!U$60)+Transportation_LCIA!U$62</f>
        <v>3.510285673903872E-4</v>
      </c>
      <c r="AR296" s="137">
        <f>Transportation_LCIA!V$61*($W296^Transportation_LCIA!V$60)+Transportation_LCIA!V$62</f>
        <v>1.5434135754289162E-4</v>
      </c>
      <c r="AT296" s="137">
        <f>$W296*Y296+$L296*Summary_LCIA!H$32</f>
        <v>395.26440349289396</v>
      </c>
      <c r="AU296" s="137">
        <f>$W296*Z296+$L296*Summary_LCIA!Q$32</f>
        <v>3922.2768327773788</v>
      </c>
      <c r="AV296" s="137">
        <f>$W296*AA296+$L296*Summary_LCIA!R$32</f>
        <v>1.6098849781212246</v>
      </c>
      <c r="AW296" s="137">
        <f>$W296*AB296+$L296*Summary_LCIA!S$32</f>
        <v>395.19681727289395</v>
      </c>
      <c r="AX296" s="137">
        <f>$W296*AC296+$L296*Summary_LCIA!T$32</f>
        <v>91.91498662340318</v>
      </c>
      <c r="AY296" s="137">
        <f>$W296*AD296+$L296*Summary_LCIA!U$32</f>
        <v>0.66824152160525663</v>
      </c>
      <c r="AZ296" s="137">
        <f>$W296*AE296+$L296*Summary_LCIA!V$32</f>
        <v>8.397380995743076E-3</v>
      </c>
      <c r="BA296" s="137">
        <f>$W296*AF296+$L296*Summary_LCIA!W$32</f>
        <v>12.546777964464422</v>
      </c>
      <c r="BB296" s="137">
        <f>$W296*AG296+$L296*Summary_LCIA!X$32</f>
        <v>18.85678296390477</v>
      </c>
      <c r="BC296" s="137">
        <f>$W296*AH296+$L296*Summary_LCIA!Y$32</f>
        <v>0.56905938613750184</v>
      </c>
      <c r="BD296" s="137">
        <f>$W296*AI296+$L296*Summary_LCIA!Z$32</f>
        <v>0.42080336428037252</v>
      </c>
      <c r="BE296" s="137">
        <f>$W296*AJ296+$L296*Summary_LCIA!AA$32</f>
        <v>1.8140766442261549</v>
      </c>
      <c r="BF296" s="137">
        <f>$W296*AK296+$L296*Summary_LCIA!AB$32</f>
        <v>9.4819446889369205E-2</v>
      </c>
      <c r="BG296" s="137">
        <f>$W296*AL296+$L296*Summary_LCIA!AC$32</f>
        <v>4.6851360231995352E-5</v>
      </c>
      <c r="BH296" s="137">
        <f>$W296*AM296+$L296*Summary_LCIA!AD$32</f>
        <v>0.1383810923108662</v>
      </c>
      <c r="BI296" s="137">
        <f>$W296*AN296+$L296*Summary_LCIA!AE$32</f>
        <v>0.38317538976419141</v>
      </c>
      <c r="BJ296" s="137">
        <f>$W296*AO296+$L296*Summary_LCIA!AF$32</f>
        <v>1.8744630091716626E-2</v>
      </c>
      <c r="BK296" s="137">
        <f>$W296*AP296+$L296*Summary_LCIA!AG$32</f>
        <v>6.5996768867166242E-3</v>
      </c>
      <c r="BL296" s="137">
        <f>$W296*AQ296+$L296*Summary_LCIA!AH$32</f>
        <v>0.91553254177993759</v>
      </c>
      <c r="BM296" s="137">
        <f>$W296*AR296+$L296*Summary_LCIA!AI$32</f>
        <v>0.35827258771081277</v>
      </c>
    </row>
    <row r="297" spans="1:65" x14ac:dyDescent="0.25">
      <c r="A297" s="149">
        <v>67</v>
      </c>
      <c r="B297" s="149">
        <v>6</v>
      </c>
      <c r="C297" s="61">
        <v>51.075544999999998</v>
      </c>
      <c r="D297" s="61">
        <v>-114.12975400000001</v>
      </c>
      <c r="E297" s="61" t="s">
        <v>462</v>
      </c>
      <c r="F297" s="149">
        <v>125</v>
      </c>
      <c r="G297" s="61" t="s">
        <v>656</v>
      </c>
      <c r="H297" s="61" t="s">
        <v>657</v>
      </c>
      <c r="I297" s="61">
        <v>51.121502999999997</v>
      </c>
      <c r="J297" s="61">
        <v>-114.007616</v>
      </c>
      <c r="K297" s="61">
        <v>10.47008467</v>
      </c>
      <c r="L297" s="61">
        <v>15.291</v>
      </c>
      <c r="M297" s="61" t="s">
        <v>617</v>
      </c>
      <c r="N297" s="149">
        <v>5</v>
      </c>
      <c r="O297" s="149">
        <v>6</v>
      </c>
      <c r="P297" s="61" t="s">
        <v>565</v>
      </c>
      <c r="Q297" s="61" t="s">
        <v>564</v>
      </c>
      <c r="R297" s="61">
        <v>41.98028</v>
      </c>
      <c r="S297" s="61">
        <v>-87.908997900000003</v>
      </c>
      <c r="T297" s="61">
        <v>2552.1120000000001</v>
      </c>
      <c r="U297" s="61" t="s">
        <v>617</v>
      </c>
      <c r="V297" s="61" t="s">
        <v>569</v>
      </c>
      <c r="W297" s="61" cm="1">
        <f t="array" ref="W297">getDistance(I297,J297,R297,S297)*SA!$B$12</f>
        <v>2229.0088809488861</v>
      </c>
      <c r="X297" s="61"/>
      <c r="Y297" s="137">
        <f>Transportation_LCIA!C$61*($W297^Transportation_LCIA!C$60)+Transportation_LCIA!C$62</f>
        <v>0.17499639639248199</v>
      </c>
      <c r="Z297" s="137">
        <f>Transportation_LCIA!D$61*($W297^Transportation_LCIA!D$60)+Transportation_LCIA!D$62</f>
        <v>1.7256521041625139</v>
      </c>
      <c r="AA297" s="137">
        <f>Transportation_LCIA!E$61*($W297^Transportation_LCIA!E$60)+Transportation_LCIA!E$62</f>
        <v>6.8612050027821081E-4</v>
      </c>
      <c r="AB297" s="137">
        <f>Transportation_LCIA!F$61*($W297^Transportation_LCIA!F$60)+Transportation_LCIA!F$62</f>
        <v>0.17499639639248199</v>
      </c>
      <c r="AC297" s="137">
        <f>Transportation_LCIA!G$61*($W297^Transportation_LCIA!G$60)+Transportation_LCIA!G$62</f>
        <v>4.0481896009759488E-2</v>
      </c>
      <c r="AD297" s="137">
        <f>Transportation_LCIA!H$61*($W297^Transportation_LCIA!H$60)+Transportation_LCIA!H$62</f>
        <v>1.7690308503275038E-4</v>
      </c>
      <c r="AE297" s="137">
        <f>Transportation_LCIA!I$61*($W297^Transportation_LCIA!I$60)+Transportation_LCIA!I$62</f>
        <v>3.4396756380258186E-6</v>
      </c>
      <c r="AF297" s="137">
        <f>Transportation_LCIA!J$61*($W297^Transportation_LCIA!J$60)+Transportation_LCIA!J$62</f>
        <v>5.1008385388865325E-3</v>
      </c>
      <c r="AG297" s="137">
        <f>Transportation_LCIA!K$61*($W297^Transportation_LCIA!K$60)+Transportation_LCIA!K$62</f>
        <v>8.3034455995642971E-3</v>
      </c>
      <c r="AH297" s="137">
        <f>Transportation_LCIA!L$61*($W297^Transportation_LCIA!L$60)+Transportation_LCIA!L$62</f>
        <v>1.4840453394545598E-4</v>
      </c>
      <c r="AI297" s="137">
        <f>Transportation_LCIA!M$61*($W297^Transportation_LCIA!M$60)+Transportation_LCIA!M$62</f>
        <v>1.8850364359360649E-4</v>
      </c>
      <c r="AJ297" s="137">
        <f>Transportation_LCIA!N$61*($W297^Transportation_LCIA!N$60)+Transportation_LCIA!N$62</f>
        <v>6.5362684764447309E-4</v>
      </c>
      <c r="AK297" s="137">
        <f>Transportation_LCIA!O$61*($W297^Transportation_LCIA!O$60)+Transportation_LCIA!O$62</f>
        <v>4.2688543413009031E-5</v>
      </c>
      <c r="AL297" s="137">
        <f>Transportation_LCIA!P$61*($W297^Transportation_LCIA!P$60)+Transportation_LCIA!P$62</f>
        <v>2.0683576176856233E-8</v>
      </c>
      <c r="AM297" s="137">
        <f>Transportation_LCIA!Q$61*($W297^Transportation_LCIA!Q$60)+Transportation_LCIA!Q$62</f>
        <v>5.9262159428738185E-5</v>
      </c>
      <c r="AN297" s="137">
        <f>Transportation_LCIA!R$61*($W297^Transportation_LCIA!R$60)+Transportation_LCIA!R$62</f>
        <v>1.6582507996865508E-4</v>
      </c>
      <c r="AO297" s="137">
        <f>Transportation_LCIA!S$61*($W297^Transportation_LCIA!S$60)+Transportation_LCIA!S$62</f>
        <v>2.6098204100650336E-6</v>
      </c>
      <c r="AP297" s="137">
        <f>Transportation_LCIA!T$61*($W297^Transportation_LCIA!T$60)+Transportation_LCIA!T$62</f>
        <v>2.6098204100650336E-6</v>
      </c>
      <c r="AQ297" s="137">
        <f>Transportation_LCIA!U$61*($W297^Transportation_LCIA!U$60)+Transportation_LCIA!U$62</f>
        <v>3.510285673903872E-4</v>
      </c>
      <c r="AR297" s="137">
        <f>Transportation_LCIA!V$61*($W297^Transportation_LCIA!V$60)+Transportation_LCIA!V$62</f>
        <v>1.5434135754289162E-4</v>
      </c>
      <c r="AT297" s="137">
        <f>$W297*Y297+$L297*Summary_LCIA!H$32</f>
        <v>395.26440349289396</v>
      </c>
      <c r="AU297" s="137">
        <f>$W297*Z297+$L297*Summary_LCIA!Q$32</f>
        <v>3922.2768327773788</v>
      </c>
      <c r="AV297" s="137">
        <f>$W297*AA297+$L297*Summary_LCIA!R$32</f>
        <v>1.6098849781212246</v>
      </c>
      <c r="AW297" s="137">
        <f>$W297*AB297+$L297*Summary_LCIA!S$32</f>
        <v>395.19681727289395</v>
      </c>
      <c r="AX297" s="137">
        <f>$W297*AC297+$L297*Summary_LCIA!T$32</f>
        <v>91.91498662340318</v>
      </c>
      <c r="AY297" s="137">
        <f>$W297*AD297+$L297*Summary_LCIA!U$32</f>
        <v>0.66824152160525663</v>
      </c>
      <c r="AZ297" s="137">
        <f>$W297*AE297+$L297*Summary_LCIA!V$32</f>
        <v>8.397380995743076E-3</v>
      </c>
      <c r="BA297" s="137">
        <f>$W297*AF297+$L297*Summary_LCIA!W$32</f>
        <v>12.546777964464422</v>
      </c>
      <c r="BB297" s="137">
        <f>$W297*AG297+$L297*Summary_LCIA!X$32</f>
        <v>18.85678296390477</v>
      </c>
      <c r="BC297" s="137">
        <f>$W297*AH297+$L297*Summary_LCIA!Y$32</f>
        <v>0.56905938613750184</v>
      </c>
      <c r="BD297" s="137">
        <f>$W297*AI297+$L297*Summary_LCIA!Z$32</f>
        <v>0.42080336428037252</v>
      </c>
      <c r="BE297" s="137">
        <f>$W297*AJ297+$L297*Summary_LCIA!AA$32</f>
        <v>1.8140766442261549</v>
      </c>
      <c r="BF297" s="137">
        <f>$W297*AK297+$L297*Summary_LCIA!AB$32</f>
        <v>9.4819446889369205E-2</v>
      </c>
      <c r="BG297" s="137">
        <f>$W297*AL297+$L297*Summary_LCIA!AC$32</f>
        <v>4.6851360231995352E-5</v>
      </c>
      <c r="BH297" s="137">
        <f>$W297*AM297+$L297*Summary_LCIA!AD$32</f>
        <v>0.1383810923108662</v>
      </c>
      <c r="BI297" s="137">
        <f>$W297*AN297+$L297*Summary_LCIA!AE$32</f>
        <v>0.38317538976419141</v>
      </c>
      <c r="BJ297" s="137">
        <f>$W297*AO297+$L297*Summary_LCIA!AF$32</f>
        <v>1.8744630091716626E-2</v>
      </c>
      <c r="BK297" s="137">
        <f>$W297*AP297+$L297*Summary_LCIA!AG$32</f>
        <v>6.5996768867166242E-3</v>
      </c>
      <c r="BL297" s="137">
        <f>$W297*AQ297+$L297*Summary_LCIA!AH$32</f>
        <v>0.91553254177993759</v>
      </c>
      <c r="BM297" s="137">
        <f>$W297*AR297+$L297*Summary_LCIA!AI$32</f>
        <v>0.35827258771081277</v>
      </c>
    </row>
    <row r="298" spans="1:65" x14ac:dyDescent="0.25">
      <c r="A298" s="149">
        <v>68</v>
      </c>
      <c r="B298" s="149">
        <v>6</v>
      </c>
      <c r="C298" s="61">
        <v>51.075544999999998</v>
      </c>
      <c r="D298" s="61">
        <v>-114.12975400000001</v>
      </c>
      <c r="E298" s="61" t="s">
        <v>462</v>
      </c>
      <c r="F298" s="149">
        <v>125</v>
      </c>
      <c r="G298" s="61" t="s">
        <v>656</v>
      </c>
      <c r="H298" s="61" t="s">
        <v>657</v>
      </c>
      <c r="I298" s="61">
        <v>51.121502999999997</v>
      </c>
      <c r="J298" s="61">
        <v>-114.007616</v>
      </c>
      <c r="K298" s="61">
        <v>10.47008467</v>
      </c>
      <c r="L298" s="61">
        <v>15.291</v>
      </c>
      <c r="M298" s="61" t="s">
        <v>617</v>
      </c>
      <c r="N298" s="149">
        <v>5</v>
      </c>
      <c r="O298" s="149">
        <v>6</v>
      </c>
      <c r="P298" s="61" t="s">
        <v>565</v>
      </c>
      <c r="Q298" s="61" t="s">
        <v>564</v>
      </c>
      <c r="R298" s="61">
        <v>41.98028</v>
      </c>
      <c r="S298" s="61">
        <v>-87.908997900000003</v>
      </c>
      <c r="T298" s="61">
        <v>2552.1120000000001</v>
      </c>
      <c r="U298" s="61" t="s">
        <v>617</v>
      </c>
      <c r="V298" s="61" t="s">
        <v>569</v>
      </c>
      <c r="W298" s="61" cm="1">
        <f t="array" ref="W298">getDistance(I298,J298,R298,S298)*SA!$B$12</f>
        <v>2229.0088809488861</v>
      </c>
      <c r="X298" s="61"/>
      <c r="Y298" s="137">
        <f>Transportation_LCIA!C$61*($W298^Transportation_LCIA!C$60)+Transportation_LCIA!C$62</f>
        <v>0.17499639639248199</v>
      </c>
      <c r="Z298" s="137">
        <f>Transportation_LCIA!D$61*($W298^Transportation_LCIA!D$60)+Transportation_LCIA!D$62</f>
        <v>1.7256521041625139</v>
      </c>
      <c r="AA298" s="137">
        <f>Transportation_LCIA!E$61*($W298^Transportation_LCIA!E$60)+Transportation_LCIA!E$62</f>
        <v>6.8612050027821081E-4</v>
      </c>
      <c r="AB298" s="137">
        <f>Transportation_LCIA!F$61*($W298^Transportation_LCIA!F$60)+Transportation_LCIA!F$62</f>
        <v>0.17499639639248199</v>
      </c>
      <c r="AC298" s="137">
        <f>Transportation_LCIA!G$61*($W298^Transportation_LCIA!G$60)+Transportation_LCIA!G$62</f>
        <v>4.0481896009759488E-2</v>
      </c>
      <c r="AD298" s="137">
        <f>Transportation_LCIA!H$61*($W298^Transportation_LCIA!H$60)+Transportation_LCIA!H$62</f>
        <v>1.7690308503275038E-4</v>
      </c>
      <c r="AE298" s="137">
        <f>Transportation_LCIA!I$61*($W298^Transportation_LCIA!I$60)+Transportation_LCIA!I$62</f>
        <v>3.4396756380258186E-6</v>
      </c>
      <c r="AF298" s="137">
        <f>Transportation_LCIA!J$61*($W298^Transportation_LCIA!J$60)+Transportation_LCIA!J$62</f>
        <v>5.1008385388865325E-3</v>
      </c>
      <c r="AG298" s="137">
        <f>Transportation_LCIA!K$61*($W298^Transportation_LCIA!K$60)+Transportation_LCIA!K$62</f>
        <v>8.3034455995642971E-3</v>
      </c>
      <c r="AH298" s="137">
        <f>Transportation_LCIA!L$61*($W298^Transportation_LCIA!L$60)+Transportation_LCIA!L$62</f>
        <v>1.4840453394545598E-4</v>
      </c>
      <c r="AI298" s="137">
        <f>Transportation_LCIA!M$61*($W298^Transportation_LCIA!M$60)+Transportation_LCIA!M$62</f>
        <v>1.8850364359360649E-4</v>
      </c>
      <c r="AJ298" s="137">
        <f>Transportation_LCIA!N$61*($W298^Transportation_LCIA!N$60)+Transportation_LCIA!N$62</f>
        <v>6.5362684764447309E-4</v>
      </c>
      <c r="AK298" s="137">
        <f>Transportation_LCIA!O$61*($W298^Transportation_LCIA!O$60)+Transportation_LCIA!O$62</f>
        <v>4.2688543413009031E-5</v>
      </c>
      <c r="AL298" s="137">
        <f>Transportation_LCIA!P$61*($W298^Transportation_LCIA!P$60)+Transportation_LCIA!P$62</f>
        <v>2.0683576176856233E-8</v>
      </c>
      <c r="AM298" s="137">
        <f>Transportation_LCIA!Q$61*($W298^Transportation_LCIA!Q$60)+Transportation_LCIA!Q$62</f>
        <v>5.9262159428738185E-5</v>
      </c>
      <c r="AN298" s="137">
        <f>Transportation_LCIA!R$61*($W298^Transportation_LCIA!R$60)+Transportation_LCIA!R$62</f>
        <v>1.6582507996865508E-4</v>
      </c>
      <c r="AO298" s="137">
        <f>Transportation_LCIA!S$61*($W298^Transportation_LCIA!S$60)+Transportation_LCIA!S$62</f>
        <v>2.6098204100650336E-6</v>
      </c>
      <c r="AP298" s="137">
        <f>Transportation_LCIA!T$61*($W298^Transportation_LCIA!T$60)+Transportation_LCIA!T$62</f>
        <v>2.6098204100650336E-6</v>
      </c>
      <c r="AQ298" s="137">
        <f>Transportation_LCIA!U$61*($W298^Transportation_LCIA!U$60)+Transportation_LCIA!U$62</f>
        <v>3.510285673903872E-4</v>
      </c>
      <c r="AR298" s="137">
        <f>Transportation_LCIA!V$61*($W298^Transportation_LCIA!V$60)+Transportation_LCIA!V$62</f>
        <v>1.5434135754289162E-4</v>
      </c>
      <c r="AT298" s="137">
        <f>$W298*Y298+$L298*Summary_LCIA!H$32</f>
        <v>395.26440349289396</v>
      </c>
      <c r="AU298" s="137">
        <f>$W298*Z298+$L298*Summary_LCIA!Q$32</f>
        <v>3922.2768327773788</v>
      </c>
      <c r="AV298" s="137">
        <f>$W298*AA298+$L298*Summary_LCIA!R$32</f>
        <v>1.6098849781212246</v>
      </c>
      <c r="AW298" s="137">
        <f>$W298*AB298+$L298*Summary_LCIA!S$32</f>
        <v>395.19681727289395</v>
      </c>
      <c r="AX298" s="137">
        <f>$W298*AC298+$L298*Summary_LCIA!T$32</f>
        <v>91.91498662340318</v>
      </c>
      <c r="AY298" s="137">
        <f>$W298*AD298+$L298*Summary_LCIA!U$32</f>
        <v>0.66824152160525663</v>
      </c>
      <c r="AZ298" s="137">
        <f>$W298*AE298+$L298*Summary_LCIA!V$32</f>
        <v>8.397380995743076E-3</v>
      </c>
      <c r="BA298" s="137">
        <f>$W298*AF298+$L298*Summary_LCIA!W$32</f>
        <v>12.546777964464422</v>
      </c>
      <c r="BB298" s="137">
        <f>$W298*AG298+$L298*Summary_LCIA!X$32</f>
        <v>18.85678296390477</v>
      </c>
      <c r="BC298" s="137">
        <f>$W298*AH298+$L298*Summary_LCIA!Y$32</f>
        <v>0.56905938613750184</v>
      </c>
      <c r="BD298" s="137">
        <f>$W298*AI298+$L298*Summary_LCIA!Z$32</f>
        <v>0.42080336428037252</v>
      </c>
      <c r="BE298" s="137">
        <f>$W298*AJ298+$L298*Summary_LCIA!AA$32</f>
        <v>1.8140766442261549</v>
      </c>
      <c r="BF298" s="137">
        <f>$W298*AK298+$L298*Summary_LCIA!AB$32</f>
        <v>9.4819446889369205E-2</v>
      </c>
      <c r="BG298" s="137">
        <f>$W298*AL298+$L298*Summary_LCIA!AC$32</f>
        <v>4.6851360231995352E-5</v>
      </c>
      <c r="BH298" s="137">
        <f>$W298*AM298+$L298*Summary_LCIA!AD$32</f>
        <v>0.1383810923108662</v>
      </c>
      <c r="BI298" s="137">
        <f>$W298*AN298+$L298*Summary_LCIA!AE$32</f>
        <v>0.38317538976419141</v>
      </c>
      <c r="BJ298" s="137">
        <f>$W298*AO298+$L298*Summary_LCIA!AF$32</f>
        <v>1.8744630091716626E-2</v>
      </c>
      <c r="BK298" s="137">
        <f>$W298*AP298+$L298*Summary_LCIA!AG$32</f>
        <v>6.5996768867166242E-3</v>
      </c>
      <c r="BL298" s="137">
        <f>$W298*AQ298+$L298*Summary_LCIA!AH$32</f>
        <v>0.91553254177993759</v>
      </c>
      <c r="BM298" s="137">
        <f>$W298*AR298+$L298*Summary_LCIA!AI$32</f>
        <v>0.35827258771081277</v>
      </c>
    </row>
    <row r="299" spans="1:65" x14ac:dyDescent="0.25">
      <c r="A299" s="149">
        <v>69</v>
      </c>
      <c r="B299" s="149">
        <v>6</v>
      </c>
      <c r="C299" s="61">
        <v>51.075544999999998</v>
      </c>
      <c r="D299" s="61">
        <v>-114.12975400000001</v>
      </c>
      <c r="E299" s="61" t="s">
        <v>462</v>
      </c>
      <c r="F299" s="149">
        <v>125</v>
      </c>
      <c r="G299" s="61" t="s">
        <v>656</v>
      </c>
      <c r="H299" s="61" t="s">
        <v>657</v>
      </c>
      <c r="I299" s="61">
        <v>51.121502999999997</v>
      </c>
      <c r="J299" s="61">
        <v>-114.007616</v>
      </c>
      <c r="K299" s="61">
        <v>10.47008467</v>
      </c>
      <c r="L299" s="61">
        <v>15.291</v>
      </c>
      <c r="M299" s="61" t="s">
        <v>617</v>
      </c>
      <c r="N299" s="149">
        <v>5</v>
      </c>
      <c r="O299" s="149">
        <v>6</v>
      </c>
      <c r="P299" s="61" t="s">
        <v>565</v>
      </c>
      <c r="Q299" s="61" t="s">
        <v>564</v>
      </c>
      <c r="R299" s="61">
        <v>41.98028</v>
      </c>
      <c r="S299" s="61">
        <v>-87.908997900000003</v>
      </c>
      <c r="T299" s="61">
        <v>2552.1120000000001</v>
      </c>
      <c r="U299" s="61" t="s">
        <v>617</v>
      </c>
      <c r="V299" s="61" t="s">
        <v>569</v>
      </c>
      <c r="W299" s="61" cm="1">
        <f t="array" ref="W299">getDistance(I299,J299,R299,S299)*SA!$B$12</f>
        <v>2229.0088809488861</v>
      </c>
      <c r="X299" s="61"/>
      <c r="Y299" s="137">
        <f>Transportation_LCIA!C$61*($W299^Transportation_LCIA!C$60)+Transportation_LCIA!C$62</f>
        <v>0.17499639639248199</v>
      </c>
      <c r="Z299" s="137">
        <f>Transportation_LCIA!D$61*($W299^Transportation_LCIA!D$60)+Transportation_LCIA!D$62</f>
        <v>1.7256521041625139</v>
      </c>
      <c r="AA299" s="137">
        <f>Transportation_LCIA!E$61*($W299^Transportation_LCIA!E$60)+Transportation_LCIA!E$62</f>
        <v>6.8612050027821081E-4</v>
      </c>
      <c r="AB299" s="137">
        <f>Transportation_LCIA!F$61*($W299^Transportation_LCIA!F$60)+Transportation_LCIA!F$62</f>
        <v>0.17499639639248199</v>
      </c>
      <c r="AC299" s="137">
        <f>Transportation_LCIA!G$61*($W299^Transportation_LCIA!G$60)+Transportation_LCIA!G$62</f>
        <v>4.0481896009759488E-2</v>
      </c>
      <c r="AD299" s="137">
        <f>Transportation_LCIA!H$61*($W299^Transportation_LCIA!H$60)+Transportation_LCIA!H$62</f>
        <v>1.7690308503275038E-4</v>
      </c>
      <c r="AE299" s="137">
        <f>Transportation_LCIA!I$61*($W299^Transportation_LCIA!I$60)+Transportation_LCIA!I$62</f>
        <v>3.4396756380258186E-6</v>
      </c>
      <c r="AF299" s="137">
        <f>Transportation_LCIA!J$61*($W299^Transportation_LCIA!J$60)+Transportation_LCIA!J$62</f>
        <v>5.1008385388865325E-3</v>
      </c>
      <c r="AG299" s="137">
        <f>Transportation_LCIA!K$61*($W299^Transportation_LCIA!K$60)+Transportation_LCIA!K$62</f>
        <v>8.3034455995642971E-3</v>
      </c>
      <c r="AH299" s="137">
        <f>Transportation_LCIA!L$61*($W299^Transportation_LCIA!L$60)+Transportation_LCIA!L$62</f>
        <v>1.4840453394545598E-4</v>
      </c>
      <c r="AI299" s="137">
        <f>Transportation_LCIA!M$61*($W299^Transportation_LCIA!M$60)+Transportation_LCIA!M$62</f>
        <v>1.8850364359360649E-4</v>
      </c>
      <c r="AJ299" s="137">
        <f>Transportation_LCIA!N$61*($W299^Transportation_LCIA!N$60)+Transportation_LCIA!N$62</f>
        <v>6.5362684764447309E-4</v>
      </c>
      <c r="AK299" s="137">
        <f>Transportation_LCIA!O$61*($W299^Transportation_LCIA!O$60)+Transportation_LCIA!O$62</f>
        <v>4.2688543413009031E-5</v>
      </c>
      <c r="AL299" s="137">
        <f>Transportation_LCIA!P$61*($W299^Transportation_LCIA!P$60)+Transportation_LCIA!P$62</f>
        <v>2.0683576176856233E-8</v>
      </c>
      <c r="AM299" s="137">
        <f>Transportation_LCIA!Q$61*($W299^Transportation_LCIA!Q$60)+Transportation_LCIA!Q$62</f>
        <v>5.9262159428738185E-5</v>
      </c>
      <c r="AN299" s="137">
        <f>Transportation_LCIA!R$61*($W299^Transportation_LCIA!R$60)+Transportation_LCIA!R$62</f>
        <v>1.6582507996865508E-4</v>
      </c>
      <c r="AO299" s="137">
        <f>Transportation_LCIA!S$61*($W299^Transportation_LCIA!S$60)+Transportation_LCIA!S$62</f>
        <v>2.6098204100650336E-6</v>
      </c>
      <c r="AP299" s="137">
        <f>Transportation_LCIA!T$61*($W299^Transportation_LCIA!T$60)+Transportation_LCIA!T$62</f>
        <v>2.6098204100650336E-6</v>
      </c>
      <c r="AQ299" s="137">
        <f>Transportation_LCIA!U$61*($W299^Transportation_LCIA!U$60)+Transportation_LCIA!U$62</f>
        <v>3.510285673903872E-4</v>
      </c>
      <c r="AR299" s="137">
        <f>Transportation_LCIA!V$61*($W299^Transportation_LCIA!V$60)+Transportation_LCIA!V$62</f>
        <v>1.5434135754289162E-4</v>
      </c>
      <c r="AT299" s="137">
        <f>$W299*Y299+$L299*Summary_LCIA!H$32</f>
        <v>395.26440349289396</v>
      </c>
      <c r="AU299" s="137">
        <f>$W299*Z299+$L299*Summary_LCIA!Q$32</f>
        <v>3922.2768327773788</v>
      </c>
      <c r="AV299" s="137">
        <f>$W299*AA299+$L299*Summary_LCIA!R$32</f>
        <v>1.6098849781212246</v>
      </c>
      <c r="AW299" s="137">
        <f>$W299*AB299+$L299*Summary_LCIA!S$32</f>
        <v>395.19681727289395</v>
      </c>
      <c r="AX299" s="137">
        <f>$W299*AC299+$L299*Summary_LCIA!T$32</f>
        <v>91.91498662340318</v>
      </c>
      <c r="AY299" s="137">
        <f>$W299*AD299+$L299*Summary_LCIA!U$32</f>
        <v>0.66824152160525663</v>
      </c>
      <c r="AZ299" s="137">
        <f>$W299*AE299+$L299*Summary_LCIA!V$32</f>
        <v>8.397380995743076E-3</v>
      </c>
      <c r="BA299" s="137">
        <f>$W299*AF299+$L299*Summary_LCIA!W$32</f>
        <v>12.546777964464422</v>
      </c>
      <c r="BB299" s="137">
        <f>$W299*AG299+$L299*Summary_LCIA!X$32</f>
        <v>18.85678296390477</v>
      </c>
      <c r="BC299" s="137">
        <f>$W299*AH299+$L299*Summary_LCIA!Y$32</f>
        <v>0.56905938613750184</v>
      </c>
      <c r="BD299" s="137">
        <f>$W299*AI299+$L299*Summary_LCIA!Z$32</f>
        <v>0.42080336428037252</v>
      </c>
      <c r="BE299" s="137">
        <f>$W299*AJ299+$L299*Summary_LCIA!AA$32</f>
        <v>1.8140766442261549</v>
      </c>
      <c r="BF299" s="137">
        <f>$W299*AK299+$L299*Summary_LCIA!AB$32</f>
        <v>9.4819446889369205E-2</v>
      </c>
      <c r="BG299" s="137">
        <f>$W299*AL299+$L299*Summary_LCIA!AC$32</f>
        <v>4.6851360231995352E-5</v>
      </c>
      <c r="BH299" s="137">
        <f>$W299*AM299+$L299*Summary_LCIA!AD$32</f>
        <v>0.1383810923108662</v>
      </c>
      <c r="BI299" s="137">
        <f>$W299*AN299+$L299*Summary_LCIA!AE$32</f>
        <v>0.38317538976419141</v>
      </c>
      <c r="BJ299" s="137">
        <f>$W299*AO299+$L299*Summary_LCIA!AF$32</f>
        <v>1.8744630091716626E-2</v>
      </c>
      <c r="BK299" s="137">
        <f>$W299*AP299+$L299*Summary_LCIA!AG$32</f>
        <v>6.5996768867166242E-3</v>
      </c>
      <c r="BL299" s="137">
        <f>$W299*AQ299+$L299*Summary_LCIA!AH$32</f>
        <v>0.91553254177993759</v>
      </c>
      <c r="BM299" s="137">
        <f>$W299*AR299+$L299*Summary_LCIA!AI$32</f>
        <v>0.35827258771081277</v>
      </c>
    </row>
    <row r="300" spans="1:65" x14ac:dyDescent="0.25">
      <c r="A300" s="149">
        <v>70</v>
      </c>
      <c r="B300" s="149">
        <v>6</v>
      </c>
      <c r="C300" s="61">
        <v>51.075544999999998</v>
      </c>
      <c r="D300" s="61">
        <v>-114.12975400000001</v>
      </c>
      <c r="E300" s="61" t="s">
        <v>462</v>
      </c>
      <c r="F300" s="149">
        <v>125</v>
      </c>
      <c r="G300" s="61" t="s">
        <v>656</v>
      </c>
      <c r="H300" s="61" t="s">
        <v>657</v>
      </c>
      <c r="I300" s="61">
        <v>51.121502999999997</v>
      </c>
      <c r="J300" s="61">
        <v>-114.007616</v>
      </c>
      <c r="K300" s="61">
        <v>10.47008467</v>
      </c>
      <c r="L300" s="61">
        <v>15.291</v>
      </c>
      <c r="M300" s="61" t="s">
        <v>617</v>
      </c>
      <c r="N300" s="149">
        <v>5</v>
      </c>
      <c r="O300" s="149">
        <v>6</v>
      </c>
      <c r="P300" s="61" t="s">
        <v>565</v>
      </c>
      <c r="Q300" s="61" t="s">
        <v>564</v>
      </c>
      <c r="R300" s="61">
        <v>41.98028</v>
      </c>
      <c r="S300" s="61">
        <v>-87.908997900000003</v>
      </c>
      <c r="T300" s="61">
        <v>2552.1120000000001</v>
      </c>
      <c r="U300" s="61" t="s">
        <v>617</v>
      </c>
      <c r="V300" s="61" t="s">
        <v>569</v>
      </c>
      <c r="W300" s="61" cm="1">
        <f t="array" ref="W300">getDistance(I300,J300,R300,S300)*SA!$B$12</f>
        <v>2229.0088809488861</v>
      </c>
      <c r="X300" s="61"/>
      <c r="Y300" s="137">
        <f>Transportation_LCIA!C$61*($W300^Transportation_LCIA!C$60)+Transportation_LCIA!C$62</f>
        <v>0.17499639639248199</v>
      </c>
      <c r="Z300" s="137">
        <f>Transportation_LCIA!D$61*($W300^Transportation_LCIA!D$60)+Transportation_LCIA!D$62</f>
        <v>1.7256521041625139</v>
      </c>
      <c r="AA300" s="137">
        <f>Transportation_LCIA!E$61*($W300^Transportation_LCIA!E$60)+Transportation_LCIA!E$62</f>
        <v>6.8612050027821081E-4</v>
      </c>
      <c r="AB300" s="137">
        <f>Transportation_LCIA!F$61*($W300^Transportation_LCIA!F$60)+Transportation_LCIA!F$62</f>
        <v>0.17499639639248199</v>
      </c>
      <c r="AC300" s="137">
        <f>Transportation_LCIA!G$61*($W300^Transportation_LCIA!G$60)+Transportation_LCIA!G$62</f>
        <v>4.0481896009759488E-2</v>
      </c>
      <c r="AD300" s="137">
        <f>Transportation_LCIA!H$61*($W300^Transportation_LCIA!H$60)+Transportation_LCIA!H$62</f>
        <v>1.7690308503275038E-4</v>
      </c>
      <c r="AE300" s="137">
        <f>Transportation_LCIA!I$61*($W300^Transportation_LCIA!I$60)+Transportation_LCIA!I$62</f>
        <v>3.4396756380258186E-6</v>
      </c>
      <c r="AF300" s="137">
        <f>Transportation_LCIA!J$61*($W300^Transportation_LCIA!J$60)+Transportation_LCIA!J$62</f>
        <v>5.1008385388865325E-3</v>
      </c>
      <c r="AG300" s="137">
        <f>Transportation_LCIA!K$61*($W300^Transportation_LCIA!K$60)+Transportation_LCIA!K$62</f>
        <v>8.3034455995642971E-3</v>
      </c>
      <c r="AH300" s="137">
        <f>Transportation_LCIA!L$61*($W300^Transportation_LCIA!L$60)+Transportation_LCIA!L$62</f>
        <v>1.4840453394545598E-4</v>
      </c>
      <c r="AI300" s="137">
        <f>Transportation_LCIA!M$61*($W300^Transportation_LCIA!M$60)+Transportation_LCIA!M$62</f>
        <v>1.8850364359360649E-4</v>
      </c>
      <c r="AJ300" s="137">
        <f>Transportation_LCIA!N$61*($W300^Transportation_LCIA!N$60)+Transportation_LCIA!N$62</f>
        <v>6.5362684764447309E-4</v>
      </c>
      <c r="AK300" s="137">
        <f>Transportation_LCIA!O$61*($W300^Transportation_LCIA!O$60)+Transportation_LCIA!O$62</f>
        <v>4.2688543413009031E-5</v>
      </c>
      <c r="AL300" s="137">
        <f>Transportation_LCIA!P$61*($W300^Transportation_LCIA!P$60)+Transportation_LCIA!P$62</f>
        <v>2.0683576176856233E-8</v>
      </c>
      <c r="AM300" s="137">
        <f>Transportation_LCIA!Q$61*($W300^Transportation_LCIA!Q$60)+Transportation_LCIA!Q$62</f>
        <v>5.9262159428738185E-5</v>
      </c>
      <c r="AN300" s="137">
        <f>Transportation_LCIA!R$61*($W300^Transportation_LCIA!R$60)+Transportation_LCIA!R$62</f>
        <v>1.6582507996865508E-4</v>
      </c>
      <c r="AO300" s="137">
        <f>Transportation_LCIA!S$61*($W300^Transportation_LCIA!S$60)+Transportation_LCIA!S$62</f>
        <v>2.6098204100650336E-6</v>
      </c>
      <c r="AP300" s="137">
        <f>Transportation_LCIA!T$61*($W300^Transportation_LCIA!T$60)+Transportation_LCIA!T$62</f>
        <v>2.6098204100650336E-6</v>
      </c>
      <c r="AQ300" s="137">
        <f>Transportation_LCIA!U$61*($W300^Transportation_LCIA!U$60)+Transportation_LCIA!U$62</f>
        <v>3.510285673903872E-4</v>
      </c>
      <c r="AR300" s="137">
        <f>Transportation_LCIA!V$61*($W300^Transportation_LCIA!V$60)+Transportation_LCIA!V$62</f>
        <v>1.5434135754289162E-4</v>
      </c>
      <c r="AT300" s="137">
        <f>$W300*Y300+$L300*Summary_LCIA!H$32</f>
        <v>395.26440349289396</v>
      </c>
      <c r="AU300" s="137">
        <f>$W300*Z300+$L300*Summary_LCIA!Q$32</f>
        <v>3922.2768327773788</v>
      </c>
      <c r="AV300" s="137">
        <f>$W300*AA300+$L300*Summary_LCIA!R$32</f>
        <v>1.6098849781212246</v>
      </c>
      <c r="AW300" s="137">
        <f>$W300*AB300+$L300*Summary_LCIA!S$32</f>
        <v>395.19681727289395</v>
      </c>
      <c r="AX300" s="137">
        <f>$W300*AC300+$L300*Summary_LCIA!T$32</f>
        <v>91.91498662340318</v>
      </c>
      <c r="AY300" s="137">
        <f>$W300*AD300+$L300*Summary_LCIA!U$32</f>
        <v>0.66824152160525663</v>
      </c>
      <c r="AZ300" s="137">
        <f>$W300*AE300+$L300*Summary_LCIA!V$32</f>
        <v>8.397380995743076E-3</v>
      </c>
      <c r="BA300" s="137">
        <f>$W300*AF300+$L300*Summary_LCIA!W$32</f>
        <v>12.546777964464422</v>
      </c>
      <c r="BB300" s="137">
        <f>$W300*AG300+$L300*Summary_LCIA!X$32</f>
        <v>18.85678296390477</v>
      </c>
      <c r="BC300" s="137">
        <f>$W300*AH300+$L300*Summary_LCIA!Y$32</f>
        <v>0.56905938613750184</v>
      </c>
      <c r="BD300" s="137">
        <f>$W300*AI300+$L300*Summary_LCIA!Z$32</f>
        <v>0.42080336428037252</v>
      </c>
      <c r="BE300" s="137">
        <f>$W300*AJ300+$L300*Summary_LCIA!AA$32</f>
        <v>1.8140766442261549</v>
      </c>
      <c r="BF300" s="137">
        <f>$W300*AK300+$L300*Summary_LCIA!AB$32</f>
        <v>9.4819446889369205E-2</v>
      </c>
      <c r="BG300" s="137">
        <f>$W300*AL300+$L300*Summary_LCIA!AC$32</f>
        <v>4.6851360231995352E-5</v>
      </c>
      <c r="BH300" s="137">
        <f>$W300*AM300+$L300*Summary_LCIA!AD$32</f>
        <v>0.1383810923108662</v>
      </c>
      <c r="BI300" s="137">
        <f>$W300*AN300+$L300*Summary_LCIA!AE$32</f>
        <v>0.38317538976419141</v>
      </c>
      <c r="BJ300" s="137">
        <f>$W300*AO300+$L300*Summary_LCIA!AF$32</f>
        <v>1.8744630091716626E-2</v>
      </c>
      <c r="BK300" s="137">
        <f>$W300*AP300+$L300*Summary_LCIA!AG$32</f>
        <v>6.5996768867166242E-3</v>
      </c>
      <c r="BL300" s="137">
        <f>$W300*AQ300+$L300*Summary_LCIA!AH$32</f>
        <v>0.91553254177993759</v>
      </c>
      <c r="BM300" s="137">
        <f>$W300*AR300+$L300*Summary_LCIA!AI$32</f>
        <v>0.35827258771081277</v>
      </c>
    </row>
    <row r="301" spans="1:65" x14ac:dyDescent="0.25">
      <c r="A301" s="149">
        <v>71</v>
      </c>
      <c r="B301" s="149">
        <v>6</v>
      </c>
      <c r="C301" s="61">
        <v>51.075544999999998</v>
      </c>
      <c r="D301" s="61">
        <v>-114.12975400000001</v>
      </c>
      <c r="E301" s="61" t="s">
        <v>462</v>
      </c>
      <c r="F301" s="149">
        <v>125</v>
      </c>
      <c r="G301" s="61" t="s">
        <v>656</v>
      </c>
      <c r="H301" s="61" t="s">
        <v>657</v>
      </c>
      <c r="I301" s="61">
        <v>51.121502999999997</v>
      </c>
      <c r="J301" s="61">
        <v>-114.007616</v>
      </c>
      <c r="K301" s="61">
        <v>10.47008467</v>
      </c>
      <c r="L301" s="61">
        <v>15.291</v>
      </c>
      <c r="M301" s="61" t="s">
        <v>617</v>
      </c>
      <c r="N301" s="149">
        <v>5</v>
      </c>
      <c r="O301" s="149">
        <v>6</v>
      </c>
      <c r="P301" s="61" t="s">
        <v>565</v>
      </c>
      <c r="Q301" s="61" t="s">
        <v>564</v>
      </c>
      <c r="R301" s="61">
        <v>41.98028</v>
      </c>
      <c r="S301" s="61">
        <v>-87.908997900000003</v>
      </c>
      <c r="T301" s="61">
        <v>2552.1120000000001</v>
      </c>
      <c r="U301" s="61" t="s">
        <v>617</v>
      </c>
      <c r="V301" s="61" t="s">
        <v>569</v>
      </c>
      <c r="W301" s="61" cm="1">
        <f t="array" ref="W301">getDistance(I301,J301,R301,S301)*SA!$B$12</f>
        <v>2229.0088809488861</v>
      </c>
      <c r="X301" s="61"/>
      <c r="Y301" s="137">
        <f>Transportation_LCIA!C$61*($W301^Transportation_LCIA!C$60)+Transportation_LCIA!C$62</f>
        <v>0.17499639639248199</v>
      </c>
      <c r="Z301" s="137">
        <f>Transportation_LCIA!D$61*($W301^Transportation_LCIA!D$60)+Transportation_LCIA!D$62</f>
        <v>1.7256521041625139</v>
      </c>
      <c r="AA301" s="137">
        <f>Transportation_LCIA!E$61*($W301^Transportation_LCIA!E$60)+Transportation_LCIA!E$62</f>
        <v>6.8612050027821081E-4</v>
      </c>
      <c r="AB301" s="137">
        <f>Transportation_LCIA!F$61*($W301^Transportation_LCIA!F$60)+Transportation_LCIA!F$62</f>
        <v>0.17499639639248199</v>
      </c>
      <c r="AC301" s="137">
        <f>Transportation_LCIA!G$61*($W301^Transportation_LCIA!G$60)+Transportation_LCIA!G$62</f>
        <v>4.0481896009759488E-2</v>
      </c>
      <c r="AD301" s="137">
        <f>Transportation_LCIA!H$61*($W301^Transportation_LCIA!H$60)+Transportation_LCIA!H$62</f>
        <v>1.7690308503275038E-4</v>
      </c>
      <c r="AE301" s="137">
        <f>Transportation_LCIA!I$61*($W301^Transportation_LCIA!I$60)+Transportation_LCIA!I$62</f>
        <v>3.4396756380258186E-6</v>
      </c>
      <c r="AF301" s="137">
        <f>Transportation_LCIA!J$61*($W301^Transportation_LCIA!J$60)+Transportation_LCIA!J$62</f>
        <v>5.1008385388865325E-3</v>
      </c>
      <c r="AG301" s="137">
        <f>Transportation_LCIA!K$61*($W301^Transportation_LCIA!K$60)+Transportation_LCIA!K$62</f>
        <v>8.3034455995642971E-3</v>
      </c>
      <c r="AH301" s="137">
        <f>Transportation_LCIA!L$61*($W301^Transportation_LCIA!L$60)+Transportation_LCIA!L$62</f>
        <v>1.4840453394545598E-4</v>
      </c>
      <c r="AI301" s="137">
        <f>Transportation_LCIA!M$61*($W301^Transportation_LCIA!M$60)+Transportation_LCIA!M$62</f>
        <v>1.8850364359360649E-4</v>
      </c>
      <c r="AJ301" s="137">
        <f>Transportation_LCIA!N$61*($W301^Transportation_LCIA!N$60)+Transportation_LCIA!N$62</f>
        <v>6.5362684764447309E-4</v>
      </c>
      <c r="AK301" s="137">
        <f>Transportation_LCIA!O$61*($W301^Transportation_LCIA!O$60)+Transportation_LCIA!O$62</f>
        <v>4.2688543413009031E-5</v>
      </c>
      <c r="AL301" s="137">
        <f>Transportation_LCIA!P$61*($W301^Transportation_LCIA!P$60)+Transportation_LCIA!P$62</f>
        <v>2.0683576176856233E-8</v>
      </c>
      <c r="AM301" s="137">
        <f>Transportation_LCIA!Q$61*($W301^Transportation_LCIA!Q$60)+Transportation_LCIA!Q$62</f>
        <v>5.9262159428738185E-5</v>
      </c>
      <c r="AN301" s="137">
        <f>Transportation_LCIA!R$61*($W301^Transportation_LCIA!R$60)+Transportation_LCIA!R$62</f>
        <v>1.6582507996865508E-4</v>
      </c>
      <c r="AO301" s="137">
        <f>Transportation_LCIA!S$61*($W301^Transportation_LCIA!S$60)+Transportation_LCIA!S$62</f>
        <v>2.6098204100650336E-6</v>
      </c>
      <c r="AP301" s="137">
        <f>Transportation_LCIA!T$61*($W301^Transportation_LCIA!T$60)+Transportation_LCIA!T$62</f>
        <v>2.6098204100650336E-6</v>
      </c>
      <c r="AQ301" s="137">
        <f>Transportation_LCIA!U$61*($W301^Transportation_LCIA!U$60)+Transportation_LCIA!U$62</f>
        <v>3.510285673903872E-4</v>
      </c>
      <c r="AR301" s="137">
        <f>Transportation_LCIA!V$61*($W301^Transportation_LCIA!V$60)+Transportation_LCIA!V$62</f>
        <v>1.5434135754289162E-4</v>
      </c>
      <c r="AT301" s="137">
        <f>$W301*Y301+$L301*Summary_LCIA!H$32</f>
        <v>395.26440349289396</v>
      </c>
      <c r="AU301" s="137">
        <f>$W301*Z301+$L301*Summary_LCIA!Q$32</f>
        <v>3922.2768327773788</v>
      </c>
      <c r="AV301" s="137">
        <f>$W301*AA301+$L301*Summary_LCIA!R$32</f>
        <v>1.6098849781212246</v>
      </c>
      <c r="AW301" s="137">
        <f>$W301*AB301+$L301*Summary_LCIA!S$32</f>
        <v>395.19681727289395</v>
      </c>
      <c r="AX301" s="137">
        <f>$W301*AC301+$L301*Summary_LCIA!T$32</f>
        <v>91.91498662340318</v>
      </c>
      <c r="AY301" s="137">
        <f>$W301*AD301+$L301*Summary_LCIA!U$32</f>
        <v>0.66824152160525663</v>
      </c>
      <c r="AZ301" s="137">
        <f>$W301*AE301+$L301*Summary_LCIA!V$32</f>
        <v>8.397380995743076E-3</v>
      </c>
      <c r="BA301" s="137">
        <f>$W301*AF301+$L301*Summary_LCIA!W$32</f>
        <v>12.546777964464422</v>
      </c>
      <c r="BB301" s="137">
        <f>$W301*AG301+$L301*Summary_LCIA!X$32</f>
        <v>18.85678296390477</v>
      </c>
      <c r="BC301" s="137">
        <f>$W301*AH301+$L301*Summary_LCIA!Y$32</f>
        <v>0.56905938613750184</v>
      </c>
      <c r="BD301" s="137">
        <f>$W301*AI301+$L301*Summary_LCIA!Z$32</f>
        <v>0.42080336428037252</v>
      </c>
      <c r="BE301" s="137">
        <f>$W301*AJ301+$L301*Summary_LCIA!AA$32</f>
        <v>1.8140766442261549</v>
      </c>
      <c r="BF301" s="137">
        <f>$W301*AK301+$L301*Summary_LCIA!AB$32</f>
        <v>9.4819446889369205E-2</v>
      </c>
      <c r="BG301" s="137">
        <f>$W301*AL301+$L301*Summary_LCIA!AC$32</f>
        <v>4.6851360231995352E-5</v>
      </c>
      <c r="BH301" s="137">
        <f>$W301*AM301+$L301*Summary_LCIA!AD$32</f>
        <v>0.1383810923108662</v>
      </c>
      <c r="BI301" s="137">
        <f>$W301*AN301+$L301*Summary_LCIA!AE$32</f>
        <v>0.38317538976419141</v>
      </c>
      <c r="BJ301" s="137">
        <f>$W301*AO301+$L301*Summary_LCIA!AF$32</f>
        <v>1.8744630091716626E-2</v>
      </c>
      <c r="BK301" s="137">
        <f>$W301*AP301+$L301*Summary_LCIA!AG$32</f>
        <v>6.5996768867166242E-3</v>
      </c>
      <c r="BL301" s="137">
        <f>$W301*AQ301+$L301*Summary_LCIA!AH$32</f>
        <v>0.91553254177993759</v>
      </c>
      <c r="BM301" s="137">
        <f>$W301*AR301+$L301*Summary_LCIA!AI$32</f>
        <v>0.35827258771081277</v>
      </c>
    </row>
    <row r="302" spans="1:65" x14ac:dyDescent="0.25">
      <c r="A302" s="149">
        <v>72</v>
      </c>
      <c r="B302" s="149">
        <v>6</v>
      </c>
      <c r="C302" s="61">
        <v>51.075544999999998</v>
      </c>
      <c r="D302" s="61">
        <v>-114.12975400000001</v>
      </c>
      <c r="E302" s="61" t="s">
        <v>462</v>
      </c>
      <c r="F302" s="149">
        <v>125</v>
      </c>
      <c r="G302" s="61" t="s">
        <v>656</v>
      </c>
      <c r="H302" s="61" t="s">
        <v>657</v>
      </c>
      <c r="I302" s="61">
        <v>51.121502999999997</v>
      </c>
      <c r="J302" s="61">
        <v>-114.007616</v>
      </c>
      <c r="K302" s="61">
        <v>10.47008467</v>
      </c>
      <c r="L302" s="61">
        <v>15.291</v>
      </c>
      <c r="M302" s="61" t="s">
        <v>617</v>
      </c>
      <c r="N302" s="149">
        <v>5</v>
      </c>
      <c r="O302" s="149">
        <v>6</v>
      </c>
      <c r="P302" s="61" t="s">
        <v>565</v>
      </c>
      <c r="Q302" s="61" t="s">
        <v>564</v>
      </c>
      <c r="R302" s="61">
        <v>41.98028</v>
      </c>
      <c r="S302" s="61">
        <v>-87.908997900000003</v>
      </c>
      <c r="T302" s="61">
        <v>2552.1120000000001</v>
      </c>
      <c r="U302" s="61" t="s">
        <v>617</v>
      </c>
      <c r="V302" s="61" t="s">
        <v>569</v>
      </c>
      <c r="W302" s="61" cm="1">
        <f t="array" ref="W302">getDistance(I302,J302,R302,S302)*SA!$B$12</f>
        <v>2229.0088809488861</v>
      </c>
      <c r="X302" s="61"/>
      <c r="Y302" s="137">
        <f>Transportation_LCIA!C$61*($W302^Transportation_LCIA!C$60)+Transportation_LCIA!C$62</f>
        <v>0.17499639639248199</v>
      </c>
      <c r="Z302" s="137">
        <f>Transportation_LCIA!D$61*($W302^Transportation_LCIA!D$60)+Transportation_LCIA!D$62</f>
        <v>1.7256521041625139</v>
      </c>
      <c r="AA302" s="137">
        <f>Transportation_LCIA!E$61*($W302^Transportation_LCIA!E$60)+Transportation_LCIA!E$62</f>
        <v>6.8612050027821081E-4</v>
      </c>
      <c r="AB302" s="137">
        <f>Transportation_LCIA!F$61*($W302^Transportation_LCIA!F$60)+Transportation_LCIA!F$62</f>
        <v>0.17499639639248199</v>
      </c>
      <c r="AC302" s="137">
        <f>Transportation_LCIA!G$61*($W302^Transportation_LCIA!G$60)+Transportation_LCIA!G$62</f>
        <v>4.0481896009759488E-2</v>
      </c>
      <c r="AD302" s="137">
        <f>Transportation_LCIA!H$61*($W302^Transportation_LCIA!H$60)+Transportation_LCIA!H$62</f>
        <v>1.7690308503275038E-4</v>
      </c>
      <c r="AE302" s="137">
        <f>Transportation_LCIA!I$61*($W302^Transportation_LCIA!I$60)+Transportation_LCIA!I$62</f>
        <v>3.4396756380258186E-6</v>
      </c>
      <c r="AF302" s="137">
        <f>Transportation_LCIA!J$61*($W302^Transportation_LCIA!J$60)+Transportation_LCIA!J$62</f>
        <v>5.1008385388865325E-3</v>
      </c>
      <c r="AG302" s="137">
        <f>Transportation_LCIA!K$61*($W302^Transportation_LCIA!K$60)+Transportation_LCIA!K$62</f>
        <v>8.3034455995642971E-3</v>
      </c>
      <c r="AH302" s="137">
        <f>Transportation_LCIA!L$61*($W302^Transportation_LCIA!L$60)+Transportation_LCIA!L$62</f>
        <v>1.4840453394545598E-4</v>
      </c>
      <c r="AI302" s="137">
        <f>Transportation_LCIA!M$61*($W302^Transportation_LCIA!M$60)+Transportation_LCIA!M$62</f>
        <v>1.8850364359360649E-4</v>
      </c>
      <c r="AJ302" s="137">
        <f>Transportation_LCIA!N$61*($W302^Transportation_LCIA!N$60)+Transportation_LCIA!N$62</f>
        <v>6.5362684764447309E-4</v>
      </c>
      <c r="AK302" s="137">
        <f>Transportation_LCIA!O$61*($W302^Transportation_LCIA!O$60)+Transportation_LCIA!O$62</f>
        <v>4.2688543413009031E-5</v>
      </c>
      <c r="AL302" s="137">
        <f>Transportation_LCIA!P$61*($W302^Transportation_LCIA!P$60)+Transportation_LCIA!P$62</f>
        <v>2.0683576176856233E-8</v>
      </c>
      <c r="AM302" s="137">
        <f>Transportation_LCIA!Q$61*($W302^Transportation_LCIA!Q$60)+Transportation_LCIA!Q$62</f>
        <v>5.9262159428738185E-5</v>
      </c>
      <c r="AN302" s="137">
        <f>Transportation_LCIA!R$61*($W302^Transportation_LCIA!R$60)+Transportation_LCIA!R$62</f>
        <v>1.6582507996865508E-4</v>
      </c>
      <c r="AO302" s="137">
        <f>Transportation_LCIA!S$61*($W302^Transportation_LCIA!S$60)+Transportation_LCIA!S$62</f>
        <v>2.6098204100650336E-6</v>
      </c>
      <c r="AP302" s="137">
        <f>Transportation_LCIA!T$61*($W302^Transportation_LCIA!T$60)+Transportation_LCIA!T$62</f>
        <v>2.6098204100650336E-6</v>
      </c>
      <c r="AQ302" s="137">
        <f>Transportation_LCIA!U$61*($W302^Transportation_LCIA!U$60)+Transportation_LCIA!U$62</f>
        <v>3.510285673903872E-4</v>
      </c>
      <c r="AR302" s="137">
        <f>Transportation_LCIA!V$61*($W302^Transportation_LCIA!V$60)+Transportation_LCIA!V$62</f>
        <v>1.5434135754289162E-4</v>
      </c>
      <c r="AT302" s="137">
        <f>$W302*Y302+$L302*Summary_LCIA!H$32</f>
        <v>395.26440349289396</v>
      </c>
      <c r="AU302" s="137">
        <f>$W302*Z302+$L302*Summary_LCIA!Q$32</f>
        <v>3922.2768327773788</v>
      </c>
      <c r="AV302" s="137">
        <f>$W302*AA302+$L302*Summary_LCIA!R$32</f>
        <v>1.6098849781212246</v>
      </c>
      <c r="AW302" s="137">
        <f>$W302*AB302+$L302*Summary_LCIA!S$32</f>
        <v>395.19681727289395</v>
      </c>
      <c r="AX302" s="137">
        <f>$W302*AC302+$L302*Summary_LCIA!T$32</f>
        <v>91.91498662340318</v>
      </c>
      <c r="AY302" s="137">
        <f>$W302*AD302+$L302*Summary_LCIA!U$32</f>
        <v>0.66824152160525663</v>
      </c>
      <c r="AZ302" s="137">
        <f>$W302*AE302+$L302*Summary_LCIA!V$32</f>
        <v>8.397380995743076E-3</v>
      </c>
      <c r="BA302" s="137">
        <f>$W302*AF302+$L302*Summary_LCIA!W$32</f>
        <v>12.546777964464422</v>
      </c>
      <c r="BB302" s="137">
        <f>$W302*AG302+$L302*Summary_LCIA!X$32</f>
        <v>18.85678296390477</v>
      </c>
      <c r="BC302" s="137">
        <f>$W302*AH302+$L302*Summary_LCIA!Y$32</f>
        <v>0.56905938613750184</v>
      </c>
      <c r="BD302" s="137">
        <f>$W302*AI302+$L302*Summary_LCIA!Z$32</f>
        <v>0.42080336428037252</v>
      </c>
      <c r="BE302" s="137">
        <f>$W302*AJ302+$L302*Summary_LCIA!AA$32</f>
        <v>1.8140766442261549</v>
      </c>
      <c r="BF302" s="137">
        <f>$W302*AK302+$L302*Summary_LCIA!AB$32</f>
        <v>9.4819446889369205E-2</v>
      </c>
      <c r="BG302" s="137">
        <f>$W302*AL302+$L302*Summary_LCIA!AC$32</f>
        <v>4.6851360231995352E-5</v>
      </c>
      <c r="BH302" s="137">
        <f>$W302*AM302+$L302*Summary_LCIA!AD$32</f>
        <v>0.1383810923108662</v>
      </c>
      <c r="BI302" s="137">
        <f>$W302*AN302+$L302*Summary_LCIA!AE$32</f>
        <v>0.38317538976419141</v>
      </c>
      <c r="BJ302" s="137">
        <f>$W302*AO302+$L302*Summary_LCIA!AF$32</f>
        <v>1.8744630091716626E-2</v>
      </c>
      <c r="BK302" s="137">
        <f>$W302*AP302+$L302*Summary_LCIA!AG$32</f>
        <v>6.5996768867166242E-3</v>
      </c>
      <c r="BL302" s="137">
        <f>$W302*AQ302+$L302*Summary_LCIA!AH$32</f>
        <v>0.91553254177993759</v>
      </c>
      <c r="BM302" s="137">
        <f>$W302*AR302+$L302*Summary_LCIA!AI$32</f>
        <v>0.35827258771081277</v>
      </c>
    </row>
    <row r="303" spans="1:65" x14ac:dyDescent="0.25">
      <c r="A303" s="149">
        <v>21</v>
      </c>
      <c r="B303" s="149">
        <v>6</v>
      </c>
      <c r="C303" s="61">
        <v>53.523218999999997</v>
      </c>
      <c r="D303" s="61">
        <v>-113.526319</v>
      </c>
      <c r="E303" s="61" t="s">
        <v>462</v>
      </c>
      <c r="F303" s="149">
        <v>126</v>
      </c>
      <c r="G303" s="61" t="s">
        <v>637</v>
      </c>
      <c r="H303" s="61" t="s">
        <v>638</v>
      </c>
      <c r="I303" s="61">
        <v>53.305436999999998</v>
      </c>
      <c r="J303" s="61">
        <v>-113.577381</v>
      </c>
      <c r="K303" s="61">
        <v>42.053707780000003</v>
      </c>
      <c r="L303" s="61">
        <v>28.959</v>
      </c>
      <c r="M303" s="61" t="s">
        <v>617</v>
      </c>
      <c r="N303" s="149">
        <v>5</v>
      </c>
      <c r="O303" s="149">
        <v>6</v>
      </c>
      <c r="P303" s="61" t="s">
        <v>565</v>
      </c>
      <c r="Q303" s="61" t="s">
        <v>564</v>
      </c>
      <c r="R303" s="61">
        <v>41.98028</v>
      </c>
      <c r="S303" s="61">
        <v>-87.908997900000003</v>
      </c>
      <c r="T303" s="61">
        <v>2613.2240000000002</v>
      </c>
      <c r="U303" s="61" t="s">
        <v>617</v>
      </c>
      <c r="V303" s="61" t="s">
        <v>569</v>
      </c>
      <c r="W303" s="61" cm="1">
        <f t="array" ref="W303">getDistance(I303,J303,R303,S303)*SA!$B$12</f>
        <v>2284.809206922941</v>
      </c>
      <c r="X303" s="61"/>
      <c r="Y303" s="137">
        <f>Transportation_LCIA!C$61*($W303^Transportation_LCIA!C$60)+Transportation_LCIA!C$62</f>
        <v>0.17370076104859375</v>
      </c>
      <c r="Z303" s="137">
        <f>Transportation_LCIA!D$61*($W303^Transportation_LCIA!D$60)+Transportation_LCIA!D$62</f>
        <v>1.7110598029344377</v>
      </c>
      <c r="AA303" s="137">
        <f>Transportation_LCIA!E$61*($W303^Transportation_LCIA!E$60)+Transportation_LCIA!E$62</f>
        <v>6.766215953143296E-4</v>
      </c>
      <c r="AB303" s="137">
        <f>Transportation_LCIA!F$61*($W303^Transportation_LCIA!F$60)+Transportation_LCIA!F$62</f>
        <v>0.17370076104859375</v>
      </c>
      <c r="AC303" s="137">
        <f>Transportation_LCIA!G$61*($W303^Transportation_LCIA!G$60)+Transportation_LCIA!G$62</f>
        <v>4.0143591817554516E-2</v>
      </c>
      <c r="AD303" s="137">
        <f>Transportation_LCIA!H$61*($W303^Transportation_LCIA!H$60)+Transportation_LCIA!H$62</f>
        <v>1.7485526765416166E-4</v>
      </c>
      <c r="AE303" s="137">
        <f>Transportation_LCIA!I$61*($W303^Transportation_LCIA!I$60)+Transportation_LCIA!I$62</f>
        <v>3.3897369475654049E-6</v>
      </c>
      <c r="AF303" s="137">
        <f>Transportation_LCIA!J$61*($W303^Transportation_LCIA!J$60)+Transportation_LCIA!J$62</f>
        <v>5.0279944339823943E-3</v>
      </c>
      <c r="AG303" s="137">
        <f>Transportation_LCIA!K$61*($W303^Transportation_LCIA!K$60)+Transportation_LCIA!K$62</f>
        <v>8.2258790682048534E-3</v>
      </c>
      <c r="AH303" s="137">
        <f>Transportation_LCIA!L$61*($W303^Transportation_LCIA!L$60)+Transportation_LCIA!L$62</f>
        <v>1.4653885401519389E-4</v>
      </c>
      <c r="AI303" s="137">
        <f>Transportation_LCIA!M$61*($W303^Transportation_LCIA!M$60)+Transportation_LCIA!M$62</f>
        <v>1.8737468560358418E-4</v>
      </c>
      <c r="AJ303" s="137">
        <f>Transportation_LCIA!N$61*($W303^Transportation_LCIA!N$60)+Transportation_LCIA!N$62</f>
        <v>6.4672433999938953E-4</v>
      </c>
      <c r="AK303" s="137">
        <f>Transportation_LCIA!O$61*($W303^Transportation_LCIA!O$60)+Transportation_LCIA!O$62</f>
        <v>4.2329402499574503E-5</v>
      </c>
      <c r="AL303" s="137">
        <f>Transportation_LCIA!P$61*($W303^Transportation_LCIA!P$60)+Transportation_LCIA!P$62</f>
        <v>2.0510448154475738E-8</v>
      </c>
      <c r="AM303" s="137">
        <f>Transportation_LCIA!Q$61*($W303^Transportation_LCIA!Q$60)+Transportation_LCIA!Q$62</f>
        <v>5.8536222241073739E-5</v>
      </c>
      <c r="AN303" s="137">
        <f>Transportation_LCIA!R$61*($W303^Transportation_LCIA!R$60)+Transportation_LCIA!R$62</f>
        <v>1.6343220978997251E-4</v>
      </c>
      <c r="AO303" s="137">
        <f>Transportation_LCIA!S$61*($W303^Transportation_LCIA!S$60)+Transportation_LCIA!S$62</f>
        <v>2.5758121619735229E-6</v>
      </c>
      <c r="AP303" s="137">
        <f>Transportation_LCIA!T$61*($W303^Transportation_LCIA!T$60)+Transportation_LCIA!T$62</f>
        <v>2.5758121619735229E-6</v>
      </c>
      <c r="AQ303" s="137">
        <f>Transportation_LCIA!U$61*($W303^Transportation_LCIA!U$60)+Transportation_LCIA!U$62</f>
        <v>3.4581249171739144E-4</v>
      </c>
      <c r="AR303" s="137">
        <f>Transportation_LCIA!V$61*($W303^Transportation_LCIA!V$60)+Transportation_LCIA!V$62</f>
        <v>1.5246466807646979E-4</v>
      </c>
      <c r="AT303" s="137">
        <f>$W303*Y303+$L303*Summary_LCIA!H$32</f>
        <v>406.71336629334877</v>
      </c>
      <c r="AU303" s="137">
        <f>$W303*Z303+$L303*Summary_LCIA!Q$32</f>
        <v>4052.9674558296033</v>
      </c>
      <c r="AV303" s="137">
        <f>$W303*AA303+$L303*Summary_LCIA!R$32</f>
        <v>1.6984377609770684</v>
      </c>
      <c r="AW303" s="137">
        <f>$W303*AB303+$L303*Summary_LCIA!S$32</f>
        <v>406.58536751334873</v>
      </c>
      <c r="AX303" s="137">
        <f>$W303*AC303+$L303*Summary_LCIA!T$32</f>
        <v>94.903042283705005</v>
      </c>
      <c r="AY303" s="137">
        <f>$W303*AD303+$L303*Summary_LCIA!U$32</f>
        <v>0.9182824514152037</v>
      </c>
      <c r="AZ303" s="137">
        <f>$W303*AE303+$L303*Summary_LCIA!V$32</f>
        <v>9.1280129858443033E-3</v>
      </c>
      <c r="BA303" s="137">
        <f>$W303*AF303+$L303*Summary_LCIA!W$32</f>
        <v>13.717011164120276</v>
      </c>
      <c r="BB303" s="137">
        <f>$W303*AG303+$L303*Summary_LCIA!X$32</f>
        <v>19.454250250069151</v>
      </c>
      <c r="BC303" s="137">
        <f>$W303*AH303+$L303*Summary_LCIA!Y$32</f>
        <v>0.78605246082585178</v>
      </c>
      <c r="BD303" s="137">
        <f>$W303*AI303+$L303*Summary_LCIA!Z$32</f>
        <v>0.42930298644236065</v>
      </c>
      <c r="BE303" s="137">
        <f>$W303*AJ303+$L303*Summary_LCIA!AA$32</f>
        <v>2.1540081303717677</v>
      </c>
      <c r="BF303" s="137">
        <f>$W303*AK303+$L303*Summary_LCIA!AB$32</f>
        <v>9.6082636297574783E-2</v>
      </c>
      <c r="BG303" s="137">
        <f>$W303*AL303+$L303*Summary_LCIA!AC$32</f>
        <v>4.8278092537461811E-5</v>
      </c>
      <c r="BH303" s="137">
        <f>$W303*AM303+$L303*Summary_LCIA!AD$32</f>
        <v>0.14564740687489272</v>
      </c>
      <c r="BI303" s="137">
        <f>$W303*AN303+$L303*Summary_LCIA!AE$32</f>
        <v>0.39907285630589079</v>
      </c>
      <c r="BJ303" s="137">
        <f>$W303*AO303+$L303*Summary_LCIA!AF$32</f>
        <v>3.036775712298119E-2</v>
      </c>
      <c r="BK303" s="137">
        <f>$W303*AP303+$L303*Summary_LCIA!AG$32</f>
        <v>7.3669265779811909E-3</v>
      </c>
      <c r="BL303" s="137">
        <f>$W303*AQ303+$L303*Summary_LCIA!AH$32</f>
        <v>1.0421631173448591</v>
      </c>
      <c r="BM303" s="137">
        <f>$W303*AR303+$L303*Summary_LCIA!AI$32</f>
        <v>0.37532943380156836</v>
      </c>
    </row>
    <row r="304" spans="1:65" x14ac:dyDescent="0.25">
      <c r="A304" s="149">
        <v>22</v>
      </c>
      <c r="B304" s="149">
        <v>6</v>
      </c>
      <c r="C304" s="61">
        <v>53.523218999999997</v>
      </c>
      <c r="D304" s="61">
        <v>-113.526319</v>
      </c>
      <c r="E304" s="61" t="s">
        <v>462</v>
      </c>
      <c r="F304" s="149">
        <v>126</v>
      </c>
      <c r="G304" s="61" t="s">
        <v>637</v>
      </c>
      <c r="H304" s="61" t="s">
        <v>638</v>
      </c>
      <c r="I304" s="61">
        <v>53.305436999999998</v>
      </c>
      <c r="J304" s="61">
        <v>-113.577381</v>
      </c>
      <c r="K304" s="61">
        <v>42.053707780000003</v>
      </c>
      <c r="L304" s="61">
        <v>28.959</v>
      </c>
      <c r="M304" s="61" t="s">
        <v>617</v>
      </c>
      <c r="N304" s="149">
        <v>5</v>
      </c>
      <c r="O304" s="149">
        <v>6</v>
      </c>
      <c r="P304" s="61" t="s">
        <v>565</v>
      </c>
      <c r="Q304" s="61" t="s">
        <v>564</v>
      </c>
      <c r="R304" s="61">
        <v>41.98028</v>
      </c>
      <c r="S304" s="61">
        <v>-87.908997900000003</v>
      </c>
      <c r="T304" s="61">
        <v>2613.2240000000002</v>
      </c>
      <c r="U304" s="61" t="s">
        <v>617</v>
      </c>
      <c r="V304" s="61" t="s">
        <v>569</v>
      </c>
      <c r="W304" s="61" cm="1">
        <f t="array" ref="W304">getDistance(I304,J304,R304,S304)*SA!$B$12</f>
        <v>2284.809206922941</v>
      </c>
      <c r="X304" s="61"/>
      <c r="Y304" s="137">
        <f>Transportation_LCIA!C$61*($W304^Transportation_LCIA!C$60)+Transportation_LCIA!C$62</f>
        <v>0.17370076104859375</v>
      </c>
      <c r="Z304" s="137">
        <f>Transportation_LCIA!D$61*($W304^Transportation_LCIA!D$60)+Transportation_LCIA!D$62</f>
        <v>1.7110598029344377</v>
      </c>
      <c r="AA304" s="137">
        <f>Transportation_LCIA!E$61*($W304^Transportation_LCIA!E$60)+Transportation_LCIA!E$62</f>
        <v>6.766215953143296E-4</v>
      </c>
      <c r="AB304" s="137">
        <f>Transportation_LCIA!F$61*($W304^Transportation_LCIA!F$60)+Transportation_LCIA!F$62</f>
        <v>0.17370076104859375</v>
      </c>
      <c r="AC304" s="137">
        <f>Transportation_LCIA!G$61*($W304^Transportation_LCIA!G$60)+Transportation_LCIA!G$62</f>
        <v>4.0143591817554516E-2</v>
      </c>
      <c r="AD304" s="137">
        <f>Transportation_LCIA!H$61*($W304^Transportation_LCIA!H$60)+Transportation_LCIA!H$62</f>
        <v>1.7485526765416166E-4</v>
      </c>
      <c r="AE304" s="137">
        <f>Transportation_LCIA!I$61*($W304^Transportation_LCIA!I$60)+Transportation_LCIA!I$62</f>
        <v>3.3897369475654049E-6</v>
      </c>
      <c r="AF304" s="137">
        <f>Transportation_LCIA!J$61*($W304^Transportation_LCIA!J$60)+Transportation_LCIA!J$62</f>
        <v>5.0279944339823943E-3</v>
      </c>
      <c r="AG304" s="137">
        <f>Transportation_LCIA!K$61*($W304^Transportation_LCIA!K$60)+Transportation_LCIA!K$62</f>
        <v>8.2258790682048534E-3</v>
      </c>
      <c r="AH304" s="137">
        <f>Transportation_LCIA!L$61*($W304^Transportation_LCIA!L$60)+Transportation_LCIA!L$62</f>
        <v>1.4653885401519389E-4</v>
      </c>
      <c r="AI304" s="137">
        <f>Transportation_LCIA!M$61*($W304^Transportation_LCIA!M$60)+Transportation_LCIA!M$62</f>
        <v>1.8737468560358418E-4</v>
      </c>
      <c r="AJ304" s="137">
        <f>Transportation_LCIA!N$61*($W304^Transportation_LCIA!N$60)+Transportation_LCIA!N$62</f>
        <v>6.4672433999938953E-4</v>
      </c>
      <c r="AK304" s="137">
        <f>Transportation_LCIA!O$61*($W304^Transportation_LCIA!O$60)+Transportation_LCIA!O$62</f>
        <v>4.2329402499574503E-5</v>
      </c>
      <c r="AL304" s="137">
        <f>Transportation_LCIA!P$61*($W304^Transportation_LCIA!P$60)+Transportation_LCIA!P$62</f>
        <v>2.0510448154475738E-8</v>
      </c>
      <c r="AM304" s="137">
        <f>Transportation_LCIA!Q$61*($W304^Transportation_LCIA!Q$60)+Transportation_LCIA!Q$62</f>
        <v>5.8536222241073739E-5</v>
      </c>
      <c r="AN304" s="137">
        <f>Transportation_LCIA!R$61*($W304^Transportation_LCIA!R$60)+Transportation_LCIA!R$62</f>
        <v>1.6343220978997251E-4</v>
      </c>
      <c r="AO304" s="137">
        <f>Transportation_LCIA!S$61*($W304^Transportation_LCIA!S$60)+Transportation_LCIA!S$62</f>
        <v>2.5758121619735229E-6</v>
      </c>
      <c r="AP304" s="137">
        <f>Transportation_LCIA!T$61*($W304^Transportation_LCIA!T$60)+Transportation_LCIA!T$62</f>
        <v>2.5758121619735229E-6</v>
      </c>
      <c r="AQ304" s="137">
        <f>Transportation_LCIA!U$61*($W304^Transportation_LCIA!U$60)+Transportation_LCIA!U$62</f>
        <v>3.4581249171739144E-4</v>
      </c>
      <c r="AR304" s="137">
        <f>Transportation_LCIA!V$61*($W304^Transportation_LCIA!V$60)+Transportation_LCIA!V$62</f>
        <v>1.5246466807646979E-4</v>
      </c>
      <c r="AT304" s="137">
        <f>$W304*Y304+$L304*Summary_LCIA!H$32</f>
        <v>406.71336629334877</v>
      </c>
      <c r="AU304" s="137">
        <f>$W304*Z304+$L304*Summary_LCIA!Q$32</f>
        <v>4052.9674558296033</v>
      </c>
      <c r="AV304" s="137">
        <f>$W304*AA304+$L304*Summary_LCIA!R$32</f>
        <v>1.6984377609770684</v>
      </c>
      <c r="AW304" s="137">
        <f>$W304*AB304+$L304*Summary_LCIA!S$32</f>
        <v>406.58536751334873</v>
      </c>
      <c r="AX304" s="137">
        <f>$W304*AC304+$L304*Summary_LCIA!T$32</f>
        <v>94.903042283705005</v>
      </c>
      <c r="AY304" s="137">
        <f>$W304*AD304+$L304*Summary_LCIA!U$32</f>
        <v>0.9182824514152037</v>
      </c>
      <c r="AZ304" s="137">
        <f>$W304*AE304+$L304*Summary_LCIA!V$32</f>
        <v>9.1280129858443033E-3</v>
      </c>
      <c r="BA304" s="137">
        <f>$W304*AF304+$L304*Summary_LCIA!W$32</f>
        <v>13.717011164120276</v>
      </c>
      <c r="BB304" s="137">
        <f>$W304*AG304+$L304*Summary_LCIA!X$32</f>
        <v>19.454250250069151</v>
      </c>
      <c r="BC304" s="137">
        <f>$W304*AH304+$L304*Summary_LCIA!Y$32</f>
        <v>0.78605246082585178</v>
      </c>
      <c r="BD304" s="137">
        <f>$W304*AI304+$L304*Summary_LCIA!Z$32</f>
        <v>0.42930298644236065</v>
      </c>
      <c r="BE304" s="137">
        <f>$W304*AJ304+$L304*Summary_LCIA!AA$32</f>
        <v>2.1540081303717677</v>
      </c>
      <c r="BF304" s="137">
        <f>$W304*AK304+$L304*Summary_LCIA!AB$32</f>
        <v>9.6082636297574783E-2</v>
      </c>
      <c r="BG304" s="137">
        <f>$W304*AL304+$L304*Summary_LCIA!AC$32</f>
        <v>4.8278092537461811E-5</v>
      </c>
      <c r="BH304" s="137">
        <f>$W304*AM304+$L304*Summary_LCIA!AD$32</f>
        <v>0.14564740687489272</v>
      </c>
      <c r="BI304" s="137">
        <f>$W304*AN304+$L304*Summary_LCIA!AE$32</f>
        <v>0.39907285630589079</v>
      </c>
      <c r="BJ304" s="137">
        <f>$W304*AO304+$L304*Summary_LCIA!AF$32</f>
        <v>3.036775712298119E-2</v>
      </c>
      <c r="BK304" s="137">
        <f>$W304*AP304+$L304*Summary_LCIA!AG$32</f>
        <v>7.3669265779811909E-3</v>
      </c>
      <c r="BL304" s="137">
        <f>$W304*AQ304+$L304*Summary_LCIA!AH$32</f>
        <v>1.0421631173448591</v>
      </c>
      <c r="BM304" s="137">
        <f>$W304*AR304+$L304*Summary_LCIA!AI$32</f>
        <v>0.37532943380156836</v>
      </c>
    </row>
    <row r="305" spans="1:65" x14ac:dyDescent="0.25">
      <c r="A305" s="149">
        <v>357</v>
      </c>
      <c r="B305" s="149">
        <v>6</v>
      </c>
      <c r="C305" s="61">
        <v>33.436664999999998</v>
      </c>
      <c r="D305" s="61">
        <v>-111.940325</v>
      </c>
      <c r="E305" s="61" t="s">
        <v>265</v>
      </c>
      <c r="F305" s="149">
        <v>44</v>
      </c>
      <c r="G305" s="61" t="s">
        <v>565</v>
      </c>
      <c r="H305" s="61" t="s">
        <v>668</v>
      </c>
      <c r="I305" s="61">
        <v>33.437269000000001</v>
      </c>
      <c r="J305" s="61">
        <v>-112.00778800000001</v>
      </c>
      <c r="K305" s="61">
        <v>6.7490779520000004</v>
      </c>
      <c r="L305" s="61">
        <v>9.0399999999999991</v>
      </c>
      <c r="M305" s="61" t="s">
        <v>617</v>
      </c>
      <c r="N305" s="149">
        <v>5</v>
      </c>
      <c r="O305" s="149">
        <v>6</v>
      </c>
      <c r="P305" s="61" t="s">
        <v>565</v>
      </c>
      <c r="Q305" s="61" t="s">
        <v>564</v>
      </c>
      <c r="R305" s="61">
        <v>41.98028</v>
      </c>
      <c r="S305" s="61">
        <v>-87.908997900000003</v>
      </c>
      <c r="T305" s="61">
        <v>2808.0079999999998</v>
      </c>
      <c r="U305" s="61" t="s">
        <v>617</v>
      </c>
      <c r="V305" s="61" t="s">
        <v>569</v>
      </c>
      <c r="W305" s="61" cm="1">
        <f t="array" ref="W305">getDistance(I305,J305,R305,S305)*SA!$B$12</f>
        <v>2317.3403894753578</v>
      </c>
      <c r="X305" s="61"/>
      <c r="Y305" s="137">
        <f>Transportation_LCIA!C$61*($W305^Transportation_LCIA!C$60)+Transportation_LCIA!C$62</f>
        <v>0.17297192414790741</v>
      </c>
      <c r="Z305" s="137">
        <f>Transportation_LCIA!D$61*($W305^Transportation_LCIA!D$60)+Transportation_LCIA!D$62</f>
        <v>1.7028580928081674</v>
      </c>
      <c r="AA305" s="137">
        <f>Transportation_LCIA!E$61*($W305^Transportation_LCIA!E$60)+Transportation_LCIA!E$62</f>
        <v>6.7128393359391328E-4</v>
      </c>
      <c r="AB305" s="137">
        <f>Transportation_LCIA!F$61*($W305^Transportation_LCIA!F$60)+Transportation_LCIA!F$62</f>
        <v>0.17297192414790741</v>
      </c>
      <c r="AC305" s="137">
        <f>Transportation_LCIA!G$61*($W305^Transportation_LCIA!G$60)+Transportation_LCIA!G$62</f>
        <v>3.9953436090434051E-2</v>
      </c>
      <c r="AD305" s="137">
        <f>Transportation_LCIA!H$61*($W305^Transportation_LCIA!H$60)+Transportation_LCIA!H$62</f>
        <v>1.7370508978856376E-4</v>
      </c>
      <c r="AE305" s="137">
        <f>Transportation_LCIA!I$61*($W305^Transportation_LCIA!I$60)+Transportation_LCIA!I$62</f>
        <v>3.3617095486646463E-6</v>
      </c>
      <c r="AF305" s="137">
        <f>Transportation_LCIA!J$61*($W305^Transportation_LCIA!J$60)+Transportation_LCIA!J$62</f>
        <v>4.9871318648924412E-3</v>
      </c>
      <c r="AG305" s="137">
        <f>Transportation_LCIA!K$61*($W305^Transportation_LCIA!K$60)+Transportation_LCIA!K$62</f>
        <v>8.1822986868652289E-3</v>
      </c>
      <c r="AH305" s="137">
        <f>Transportation_LCIA!L$61*($W305^Transportation_LCIA!L$60)+Transportation_LCIA!L$62</f>
        <v>1.4549120095940624E-4</v>
      </c>
      <c r="AI305" s="137">
        <f>Transportation_LCIA!M$61*($W305^Transportation_LCIA!M$60)+Transportation_LCIA!M$62</f>
        <v>1.8674061084571433E-4</v>
      </c>
      <c r="AJ305" s="137">
        <f>Transportation_LCIA!N$61*($W305^Transportation_LCIA!N$60)+Transportation_LCIA!N$62</f>
        <v>6.4284724221781698E-4</v>
      </c>
      <c r="AK305" s="137">
        <f>Transportation_LCIA!O$61*($W305^Transportation_LCIA!O$60)+Transportation_LCIA!O$62</f>
        <v>4.2127539449943745E-5</v>
      </c>
      <c r="AL305" s="137">
        <f>Transportation_LCIA!P$61*($W305^Transportation_LCIA!P$60)+Transportation_LCIA!P$62</f>
        <v>2.0413131626222143E-8</v>
      </c>
      <c r="AM305" s="137">
        <f>Transportation_LCIA!Q$61*($W305^Transportation_LCIA!Q$60)+Transportation_LCIA!Q$62</f>
        <v>5.8128627025713208E-5</v>
      </c>
      <c r="AN305" s="137">
        <f>Transportation_LCIA!R$61*($W305^Transportation_LCIA!R$60)+Transportation_LCIA!R$62</f>
        <v>1.6208926903711222E-4</v>
      </c>
      <c r="AO305" s="137">
        <f>Transportation_LCIA!S$61*($W305^Transportation_LCIA!S$60)+Transportation_LCIA!S$62</f>
        <v>2.5567252061749023E-6</v>
      </c>
      <c r="AP305" s="137">
        <f>Transportation_LCIA!T$61*($W305^Transportation_LCIA!T$60)+Transportation_LCIA!T$62</f>
        <v>2.5567252061749023E-6</v>
      </c>
      <c r="AQ305" s="137">
        <f>Transportation_LCIA!U$61*($W305^Transportation_LCIA!U$60)+Transportation_LCIA!U$62</f>
        <v>3.4288551439769682E-4</v>
      </c>
      <c r="AR305" s="137">
        <f>Transportation_LCIA!V$61*($W305^Transportation_LCIA!V$60)+Transportation_LCIA!V$62</f>
        <v>1.514111122448554E-4</v>
      </c>
      <c r="AT305" s="137">
        <f>$W305*Y305+$L305*Summary_LCIA!H$32</f>
        <v>403.90661807321379</v>
      </c>
      <c r="AU305" s="137">
        <f>$W305*Z305+$L305*Summary_LCIA!Q$32</f>
        <v>3990.9045319236634</v>
      </c>
      <c r="AV305" s="137">
        <f>$W305*AA305+$L305*Summary_LCIA!R$32</f>
        <v>1.6031943961230692</v>
      </c>
      <c r="AW305" s="137">
        <f>$W305*AB305+$L305*Summary_LCIA!S$32</f>
        <v>403.86666127321377</v>
      </c>
      <c r="AX305" s="137">
        <f>$W305*AC305+$L305*Summary_LCIA!T$32</f>
        <v>93.579207150685249</v>
      </c>
      <c r="AY305" s="137">
        <f>$W305*AD305+$L305*Summary_LCIA!U$32</f>
        <v>0.56447638042448234</v>
      </c>
      <c r="AZ305" s="137">
        <f>$W305*AE305+$L305*Summary_LCIA!V$32</f>
        <v>8.22198475480556E-3</v>
      </c>
      <c r="BA305" s="137">
        <f>$W305*AF305+$L305*Summary_LCIA!W$32</f>
        <v>12.252699938154818</v>
      </c>
      <c r="BB305" s="137">
        <f>$W305*AG305+$L305*Summary_LCIA!X$32</f>
        <v>19.167102425823977</v>
      </c>
      <c r="BC305" s="137">
        <f>$W305*AH305+$L305*Summary_LCIA!Y$32</f>
        <v>0.47801391629650797</v>
      </c>
      <c r="BD305" s="137">
        <f>$W305*AI305+$L305*Summary_LCIA!Z$32</f>
        <v>0.43311228122807388</v>
      </c>
      <c r="BE305" s="137">
        <f>$W305*AJ305+$L305*Summary_LCIA!AA$32</f>
        <v>1.7008341186541955</v>
      </c>
      <c r="BF305" s="137">
        <f>$W305*AK305+$L305*Summary_LCIA!AB$32</f>
        <v>9.7426568756571144E-2</v>
      </c>
      <c r="BG305" s="137">
        <f>$W305*AL305+$L305*Summary_LCIA!AC$32</f>
        <v>4.774608575312136E-5</v>
      </c>
      <c r="BH305" s="137">
        <f>$W305*AM305+$L305*Summary_LCIA!AD$32</f>
        <v>0.13841961679143408</v>
      </c>
      <c r="BI305" s="137">
        <f>$W305*AN305+$L305*Summary_LCIA!AE$32</f>
        <v>0.3836266250402377</v>
      </c>
      <c r="BJ305" s="137">
        <f>$W305*AO305+$L305*Summary_LCIA!AF$32</f>
        <v>1.3567399385058812E-2</v>
      </c>
      <c r="BK305" s="137">
        <f>$W305*AP305+$L305*Summary_LCIA!AG$32</f>
        <v>6.3873341850588126E-3</v>
      </c>
      <c r="BL305" s="137">
        <f>$W305*AQ305+$L305*Summary_LCIA!AH$32</f>
        <v>0.87326299547981723</v>
      </c>
      <c r="BM305" s="137">
        <f>$W305*AR305+$L305*Summary_LCIA!AI$32</f>
        <v>0.35929229782039035</v>
      </c>
    </row>
    <row r="306" spans="1:65" x14ac:dyDescent="0.25">
      <c r="A306" s="149">
        <v>364</v>
      </c>
      <c r="B306" s="149">
        <v>6</v>
      </c>
      <c r="C306" s="61">
        <v>32.233283999999998</v>
      </c>
      <c r="D306" s="61">
        <v>-110.948801</v>
      </c>
      <c r="E306" s="61" t="s">
        <v>265</v>
      </c>
      <c r="F306" s="149">
        <v>44</v>
      </c>
      <c r="G306" s="61" t="s">
        <v>565</v>
      </c>
      <c r="H306" s="61" t="s">
        <v>668</v>
      </c>
      <c r="I306" s="61">
        <v>33.437269000000001</v>
      </c>
      <c r="J306" s="61">
        <v>-112.00778800000001</v>
      </c>
      <c r="K306" s="61">
        <v>308.37148159999998</v>
      </c>
      <c r="L306" s="61">
        <v>180.36</v>
      </c>
      <c r="M306" s="61" t="s">
        <v>617</v>
      </c>
      <c r="N306" s="149">
        <v>5</v>
      </c>
      <c r="O306" s="149">
        <v>6</v>
      </c>
      <c r="P306" s="61" t="s">
        <v>565</v>
      </c>
      <c r="Q306" s="61" t="s">
        <v>564</v>
      </c>
      <c r="R306" s="61">
        <v>41.98028</v>
      </c>
      <c r="S306" s="61">
        <v>-87.908997900000003</v>
      </c>
      <c r="T306" s="61">
        <v>2812.6280000000002</v>
      </c>
      <c r="U306" s="61" t="s">
        <v>617</v>
      </c>
      <c r="V306" s="61" t="s">
        <v>569</v>
      </c>
      <c r="W306" s="61" cm="1">
        <f t="array" ref="W306">getDistance(I306,J306,R306,S306)*SA!$B$12</f>
        <v>2317.3403894753578</v>
      </c>
      <c r="X306" s="61"/>
      <c r="Y306" s="137">
        <f>Transportation_LCIA!C$61*($W306^Transportation_LCIA!C$60)+Transportation_LCIA!C$62</f>
        <v>0.17297192414790741</v>
      </c>
      <c r="Z306" s="137">
        <f>Transportation_LCIA!D$61*($W306^Transportation_LCIA!D$60)+Transportation_LCIA!D$62</f>
        <v>1.7028580928081674</v>
      </c>
      <c r="AA306" s="137">
        <f>Transportation_LCIA!E$61*($W306^Transportation_LCIA!E$60)+Transportation_LCIA!E$62</f>
        <v>6.7128393359391328E-4</v>
      </c>
      <c r="AB306" s="137">
        <f>Transportation_LCIA!F$61*($W306^Transportation_LCIA!F$60)+Transportation_LCIA!F$62</f>
        <v>0.17297192414790741</v>
      </c>
      <c r="AC306" s="137">
        <f>Transportation_LCIA!G$61*($W306^Transportation_LCIA!G$60)+Transportation_LCIA!G$62</f>
        <v>3.9953436090434051E-2</v>
      </c>
      <c r="AD306" s="137">
        <f>Transportation_LCIA!H$61*($W306^Transportation_LCIA!H$60)+Transportation_LCIA!H$62</f>
        <v>1.7370508978856376E-4</v>
      </c>
      <c r="AE306" s="137">
        <f>Transportation_LCIA!I$61*($W306^Transportation_LCIA!I$60)+Transportation_LCIA!I$62</f>
        <v>3.3617095486646463E-6</v>
      </c>
      <c r="AF306" s="137">
        <f>Transportation_LCIA!J$61*($W306^Transportation_LCIA!J$60)+Transportation_LCIA!J$62</f>
        <v>4.9871318648924412E-3</v>
      </c>
      <c r="AG306" s="137">
        <f>Transportation_LCIA!K$61*($W306^Transportation_LCIA!K$60)+Transportation_LCIA!K$62</f>
        <v>8.1822986868652289E-3</v>
      </c>
      <c r="AH306" s="137">
        <f>Transportation_LCIA!L$61*($W306^Transportation_LCIA!L$60)+Transportation_LCIA!L$62</f>
        <v>1.4549120095940624E-4</v>
      </c>
      <c r="AI306" s="137">
        <f>Transportation_LCIA!M$61*($W306^Transportation_LCIA!M$60)+Transportation_LCIA!M$62</f>
        <v>1.8674061084571433E-4</v>
      </c>
      <c r="AJ306" s="137">
        <f>Transportation_LCIA!N$61*($W306^Transportation_LCIA!N$60)+Transportation_LCIA!N$62</f>
        <v>6.4284724221781698E-4</v>
      </c>
      <c r="AK306" s="137">
        <f>Transportation_LCIA!O$61*($W306^Transportation_LCIA!O$60)+Transportation_LCIA!O$62</f>
        <v>4.2127539449943745E-5</v>
      </c>
      <c r="AL306" s="137">
        <f>Transportation_LCIA!P$61*($W306^Transportation_LCIA!P$60)+Transportation_LCIA!P$62</f>
        <v>2.0413131626222143E-8</v>
      </c>
      <c r="AM306" s="137">
        <f>Transportation_LCIA!Q$61*($W306^Transportation_LCIA!Q$60)+Transportation_LCIA!Q$62</f>
        <v>5.8128627025713208E-5</v>
      </c>
      <c r="AN306" s="137">
        <f>Transportation_LCIA!R$61*($W306^Transportation_LCIA!R$60)+Transportation_LCIA!R$62</f>
        <v>1.6208926903711222E-4</v>
      </c>
      <c r="AO306" s="137">
        <f>Transportation_LCIA!S$61*($W306^Transportation_LCIA!S$60)+Transportation_LCIA!S$62</f>
        <v>2.5567252061749023E-6</v>
      </c>
      <c r="AP306" s="137">
        <f>Transportation_LCIA!T$61*($W306^Transportation_LCIA!T$60)+Transportation_LCIA!T$62</f>
        <v>2.5567252061749023E-6</v>
      </c>
      <c r="AQ306" s="137">
        <f>Transportation_LCIA!U$61*($W306^Transportation_LCIA!U$60)+Transportation_LCIA!U$62</f>
        <v>3.4288551439769682E-4</v>
      </c>
      <c r="AR306" s="137">
        <f>Transportation_LCIA!V$61*($W306^Transportation_LCIA!V$60)+Transportation_LCIA!V$62</f>
        <v>1.514111122448554E-4</v>
      </c>
      <c r="AT306" s="137">
        <f>$W306*Y306+$L306*Summary_LCIA!H$32</f>
        <v>462.1211540732138</v>
      </c>
      <c r="AU306" s="137">
        <f>$W306*Z306+$L306*Summary_LCIA!Q$32</f>
        <v>4839.9750921052237</v>
      </c>
      <c r="AV306" s="137">
        <f>$W306*AA306+$L306*Summary_LCIA!R$32</f>
        <v>2.5052969881230691</v>
      </c>
      <c r="AW306" s="137">
        <f>$W306*AB306+$L306*Summary_LCIA!S$32</f>
        <v>461.32396287321376</v>
      </c>
      <c r="AX306" s="137">
        <f>$W306*AC306+$L306*Summary_LCIA!T$32</f>
        <v>112.40727515068525</v>
      </c>
      <c r="AY306" s="137">
        <f>$W306*AD306+$L306*Summary_LCIA!U$32</f>
        <v>3.6335028604244823</v>
      </c>
      <c r="AZ306" s="137">
        <f>$W306*AE306+$L306*Summary_LCIA!V$32</f>
        <v>1.640439927480556E-2</v>
      </c>
      <c r="BA306" s="137">
        <f>$W306*AF306+$L306*Summary_LCIA!W$32</f>
        <v>25.439371658154819</v>
      </c>
      <c r="BB306" s="137">
        <f>$W306*AG306+$L306*Summary_LCIA!X$32</f>
        <v>23.06977202582398</v>
      </c>
      <c r="BC306" s="137">
        <f>$W306*AH306+$L306*Summary_LCIA!Y$32</f>
        <v>3.1475221562965081</v>
      </c>
      <c r="BD306" s="137">
        <f>$W306*AI306+$L306*Summary_LCIA!Z$32</f>
        <v>0.44013794310807391</v>
      </c>
      <c r="BE306" s="137">
        <f>$W306*AJ306+$L306*Summary_LCIA!AA$32</f>
        <v>5.7021840386541962</v>
      </c>
      <c r="BF306" s="137">
        <f>$W306*AK306+$L306*Summary_LCIA!AB$32</f>
        <v>9.3687852396571139E-2</v>
      </c>
      <c r="BG306" s="137">
        <f>$W306*AL306+$L306*Summary_LCIA!AC$32</f>
        <v>5.6120892633121361E-5</v>
      </c>
      <c r="BH306" s="137">
        <f>$W306*AM306+$L306*Summary_LCIA!AD$32</f>
        <v>0.20883898959143407</v>
      </c>
      <c r="BI306" s="137">
        <f>$W306*AN306+$L306*Summary_LCIA!AE$32</f>
        <v>0.53543841664023772</v>
      </c>
      <c r="BJ306" s="137">
        <f>$W306*AO306+$L306*Summary_LCIA!AF$32</f>
        <v>0.15840475378505883</v>
      </c>
      <c r="BK306" s="137">
        <f>$W306*AP306+$L306*Summary_LCIA!AG$32</f>
        <v>1.5152921985058816E-2</v>
      </c>
      <c r="BL306" s="137">
        <f>$W306*AQ306+$L306*Summary_LCIA!AH$32</f>
        <v>2.3643637474798176</v>
      </c>
      <c r="BM306" s="137">
        <f>$W306*AR306+$L306*Summary_LCIA!AI$32</f>
        <v>0.51888544382039037</v>
      </c>
    </row>
    <row r="307" spans="1:65" x14ac:dyDescent="0.25">
      <c r="A307" s="149">
        <v>93</v>
      </c>
      <c r="B307" s="149">
        <v>6</v>
      </c>
      <c r="C307" s="61">
        <v>33.452956999999998</v>
      </c>
      <c r="D307" s="61">
        <v>-112.07345100000001</v>
      </c>
      <c r="E307" s="61" t="s">
        <v>265</v>
      </c>
      <c r="F307" s="149">
        <v>44</v>
      </c>
      <c r="G307" s="61" t="s">
        <v>565</v>
      </c>
      <c r="H307" s="61" t="s">
        <v>668</v>
      </c>
      <c r="I307" s="61">
        <v>33.437269000000001</v>
      </c>
      <c r="J307" s="61">
        <v>-112.00778800000001</v>
      </c>
      <c r="K307" s="61">
        <v>8.2391779819999993</v>
      </c>
      <c r="L307" s="61">
        <v>9.9589999999999996</v>
      </c>
      <c r="M307" s="61" t="s">
        <v>617</v>
      </c>
      <c r="N307" s="149">
        <v>5</v>
      </c>
      <c r="O307" s="149">
        <v>6</v>
      </c>
      <c r="P307" s="61" t="s">
        <v>565</v>
      </c>
      <c r="Q307" s="61" t="s">
        <v>564</v>
      </c>
      <c r="R307" s="61">
        <v>41.98028</v>
      </c>
      <c r="S307" s="61">
        <v>-87.908997900000003</v>
      </c>
      <c r="T307" s="61">
        <v>2822.0709999999999</v>
      </c>
      <c r="U307" s="61" t="s">
        <v>617</v>
      </c>
      <c r="V307" s="61" t="s">
        <v>569</v>
      </c>
      <c r="W307" s="61" cm="1">
        <f t="array" ref="W307">getDistance(I307,J307,R307,S307)*SA!$B$12</f>
        <v>2317.3403894753578</v>
      </c>
      <c r="X307" s="61"/>
      <c r="Y307" s="137">
        <f>Transportation_LCIA!C$61*($W307^Transportation_LCIA!C$60)+Transportation_LCIA!C$62</f>
        <v>0.17297192414790741</v>
      </c>
      <c r="Z307" s="137">
        <f>Transportation_LCIA!D$61*($W307^Transportation_LCIA!D$60)+Transportation_LCIA!D$62</f>
        <v>1.7028580928081674</v>
      </c>
      <c r="AA307" s="137">
        <f>Transportation_LCIA!E$61*($W307^Transportation_LCIA!E$60)+Transportation_LCIA!E$62</f>
        <v>6.7128393359391328E-4</v>
      </c>
      <c r="AB307" s="137">
        <f>Transportation_LCIA!F$61*($W307^Transportation_LCIA!F$60)+Transportation_LCIA!F$62</f>
        <v>0.17297192414790741</v>
      </c>
      <c r="AC307" s="137">
        <f>Transportation_LCIA!G$61*($W307^Transportation_LCIA!G$60)+Transportation_LCIA!G$62</f>
        <v>3.9953436090434051E-2</v>
      </c>
      <c r="AD307" s="137">
        <f>Transportation_LCIA!H$61*($W307^Transportation_LCIA!H$60)+Transportation_LCIA!H$62</f>
        <v>1.7370508978856376E-4</v>
      </c>
      <c r="AE307" s="137">
        <f>Transportation_LCIA!I$61*($W307^Transportation_LCIA!I$60)+Transportation_LCIA!I$62</f>
        <v>3.3617095486646463E-6</v>
      </c>
      <c r="AF307" s="137">
        <f>Transportation_LCIA!J$61*($W307^Transportation_LCIA!J$60)+Transportation_LCIA!J$62</f>
        <v>4.9871318648924412E-3</v>
      </c>
      <c r="AG307" s="137">
        <f>Transportation_LCIA!K$61*($W307^Transportation_LCIA!K$60)+Transportation_LCIA!K$62</f>
        <v>8.1822986868652289E-3</v>
      </c>
      <c r="AH307" s="137">
        <f>Transportation_LCIA!L$61*($W307^Transportation_LCIA!L$60)+Transportation_LCIA!L$62</f>
        <v>1.4549120095940624E-4</v>
      </c>
      <c r="AI307" s="137">
        <f>Transportation_LCIA!M$61*($W307^Transportation_LCIA!M$60)+Transportation_LCIA!M$62</f>
        <v>1.8674061084571433E-4</v>
      </c>
      <c r="AJ307" s="137">
        <f>Transportation_LCIA!N$61*($W307^Transportation_LCIA!N$60)+Transportation_LCIA!N$62</f>
        <v>6.4284724221781698E-4</v>
      </c>
      <c r="AK307" s="137">
        <f>Transportation_LCIA!O$61*($W307^Transportation_LCIA!O$60)+Transportation_LCIA!O$62</f>
        <v>4.2127539449943745E-5</v>
      </c>
      <c r="AL307" s="137">
        <f>Transportation_LCIA!P$61*($W307^Transportation_LCIA!P$60)+Transportation_LCIA!P$62</f>
        <v>2.0413131626222143E-8</v>
      </c>
      <c r="AM307" s="137">
        <f>Transportation_LCIA!Q$61*($W307^Transportation_LCIA!Q$60)+Transportation_LCIA!Q$62</f>
        <v>5.8128627025713208E-5</v>
      </c>
      <c r="AN307" s="137">
        <f>Transportation_LCIA!R$61*($W307^Transportation_LCIA!R$60)+Transportation_LCIA!R$62</f>
        <v>1.6208926903711222E-4</v>
      </c>
      <c r="AO307" s="137">
        <f>Transportation_LCIA!S$61*($W307^Transportation_LCIA!S$60)+Transportation_LCIA!S$62</f>
        <v>2.5567252061749023E-6</v>
      </c>
      <c r="AP307" s="137">
        <f>Transportation_LCIA!T$61*($W307^Transportation_LCIA!T$60)+Transportation_LCIA!T$62</f>
        <v>2.5567252061749023E-6</v>
      </c>
      <c r="AQ307" s="137">
        <f>Transportation_LCIA!U$61*($W307^Transportation_LCIA!U$60)+Transportation_LCIA!U$62</f>
        <v>3.4288551439769682E-4</v>
      </c>
      <c r="AR307" s="137">
        <f>Transportation_LCIA!V$61*($W307^Transportation_LCIA!V$60)+Transportation_LCIA!V$62</f>
        <v>1.514111122448554E-4</v>
      </c>
      <c r="AT307" s="137">
        <f>$W307*Y307+$L307*Summary_LCIA!H$32</f>
        <v>404.21889427321378</v>
      </c>
      <c r="AU307" s="137">
        <f>$W307*Z307+$L307*Summary_LCIA!Q$32</f>
        <v>3995.4591422715903</v>
      </c>
      <c r="AV307" s="137">
        <f>$W307*AA307+$L307*Summary_LCIA!R$32</f>
        <v>1.6080334825230693</v>
      </c>
      <c r="AW307" s="137">
        <f>$W307*AB307+$L307*Summary_LCIA!S$32</f>
        <v>404.17487549321379</v>
      </c>
      <c r="AX307" s="137">
        <f>$W307*AC307+$L307*Summary_LCIA!T$32</f>
        <v>93.680205250685262</v>
      </c>
      <c r="AY307" s="137">
        <f>$W307*AD307+$L307*Summary_LCIA!U$32</f>
        <v>0.58093934642448231</v>
      </c>
      <c r="AZ307" s="137">
        <f>$W307*AE307+$L307*Summary_LCIA!V$32</f>
        <v>8.2658771138055601E-3</v>
      </c>
      <c r="BA307" s="137">
        <f>$W307*AF307+$L307*Summary_LCIA!W$32</f>
        <v>12.323436287154818</v>
      </c>
      <c r="BB307" s="137">
        <f>$W307*AG307+$L307*Summary_LCIA!X$32</f>
        <v>19.188037245823978</v>
      </c>
      <c r="BC307" s="137">
        <f>$W307*AH307+$L307*Summary_LCIA!Y$32</f>
        <v>0.49233377429650799</v>
      </c>
      <c r="BD307" s="137">
        <f>$W307*AI307+$L307*Summary_LCIA!Z$32</f>
        <v>0.43314996849907389</v>
      </c>
      <c r="BE307" s="137">
        <f>$W307*AJ307+$L307*Summary_LCIA!AA$32</f>
        <v>1.7222982826541955</v>
      </c>
      <c r="BF307" s="137">
        <f>$W307*AK307+$L307*Summary_LCIA!AB$32</f>
        <v>9.7406513419571142E-2</v>
      </c>
      <c r="BG307" s="137">
        <f>$W307*AL307+$L307*Summary_LCIA!AC$32</f>
        <v>4.7791010149121361E-5</v>
      </c>
      <c r="BH307" s="137">
        <f>$W307*AM307+$L307*Summary_LCIA!AD$32</f>
        <v>0.13879736255143407</v>
      </c>
      <c r="BI307" s="137">
        <f>$W307*AN307+$L307*Summary_LCIA!AE$32</f>
        <v>0.38444097851023767</v>
      </c>
      <c r="BJ307" s="137">
        <f>$W307*AO307+$L307*Summary_LCIA!AF$32</f>
        <v>1.4344340365058814E-2</v>
      </c>
      <c r="BK307" s="137">
        <f>$W307*AP307+$L307*Summary_LCIA!AG$32</f>
        <v>6.4343548200588132E-3</v>
      </c>
      <c r="BL307" s="137">
        <f>$W307*AQ307+$L307*Summary_LCIA!AH$32</f>
        <v>0.88126160387981722</v>
      </c>
      <c r="BM307" s="137">
        <f>$W307*AR307+$L307*Summary_LCIA!AI$32</f>
        <v>0.36014839227039036</v>
      </c>
    </row>
    <row r="308" spans="1:65" x14ac:dyDescent="0.25">
      <c r="A308" s="149">
        <v>94</v>
      </c>
      <c r="B308" s="149">
        <v>6</v>
      </c>
      <c r="C308" s="61">
        <v>33.452956999999998</v>
      </c>
      <c r="D308" s="61">
        <v>-112.07345100000001</v>
      </c>
      <c r="E308" s="61" t="s">
        <v>265</v>
      </c>
      <c r="F308" s="149">
        <v>44</v>
      </c>
      <c r="G308" s="61" t="s">
        <v>565</v>
      </c>
      <c r="H308" s="61" t="s">
        <v>668</v>
      </c>
      <c r="I308" s="61">
        <v>33.437269000000001</v>
      </c>
      <c r="J308" s="61">
        <v>-112.00778800000001</v>
      </c>
      <c r="K308" s="61">
        <v>8.2391779819999993</v>
      </c>
      <c r="L308" s="61">
        <v>9.9589999999999996</v>
      </c>
      <c r="M308" s="61" t="s">
        <v>617</v>
      </c>
      <c r="N308" s="149">
        <v>5</v>
      </c>
      <c r="O308" s="149">
        <v>6</v>
      </c>
      <c r="P308" s="61" t="s">
        <v>565</v>
      </c>
      <c r="Q308" s="61" t="s">
        <v>564</v>
      </c>
      <c r="R308" s="61">
        <v>41.98028</v>
      </c>
      <c r="S308" s="61">
        <v>-87.908997900000003</v>
      </c>
      <c r="T308" s="61">
        <v>2822.0709999999999</v>
      </c>
      <c r="U308" s="61" t="s">
        <v>617</v>
      </c>
      <c r="V308" s="61" t="s">
        <v>569</v>
      </c>
      <c r="W308" s="61" cm="1">
        <f t="array" ref="W308">getDistance(I308,J308,R308,S308)*SA!$B$12</f>
        <v>2317.3403894753578</v>
      </c>
      <c r="X308" s="61"/>
      <c r="Y308" s="137">
        <f>Transportation_LCIA!C$61*($W308^Transportation_LCIA!C$60)+Transportation_LCIA!C$62</f>
        <v>0.17297192414790741</v>
      </c>
      <c r="Z308" s="137">
        <f>Transportation_LCIA!D$61*($W308^Transportation_LCIA!D$60)+Transportation_LCIA!D$62</f>
        <v>1.7028580928081674</v>
      </c>
      <c r="AA308" s="137">
        <f>Transportation_LCIA!E$61*($W308^Transportation_LCIA!E$60)+Transportation_LCIA!E$62</f>
        <v>6.7128393359391328E-4</v>
      </c>
      <c r="AB308" s="137">
        <f>Transportation_LCIA!F$61*($W308^Transportation_LCIA!F$60)+Transportation_LCIA!F$62</f>
        <v>0.17297192414790741</v>
      </c>
      <c r="AC308" s="137">
        <f>Transportation_LCIA!G$61*($W308^Transportation_LCIA!G$60)+Transportation_LCIA!G$62</f>
        <v>3.9953436090434051E-2</v>
      </c>
      <c r="AD308" s="137">
        <f>Transportation_LCIA!H$61*($W308^Transportation_LCIA!H$60)+Transportation_LCIA!H$62</f>
        <v>1.7370508978856376E-4</v>
      </c>
      <c r="AE308" s="137">
        <f>Transportation_LCIA!I$61*($W308^Transportation_LCIA!I$60)+Transportation_LCIA!I$62</f>
        <v>3.3617095486646463E-6</v>
      </c>
      <c r="AF308" s="137">
        <f>Transportation_LCIA!J$61*($W308^Transportation_LCIA!J$60)+Transportation_LCIA!J$62</f>
        <v>4.9871318648924412E-3</v>
      </c>
      <c r="AG308" s="137">
        <f>Transportation_LCIA!K$61*($W308^Transportation_LCIA!K$60)+Transportation_LCIA!K$62</f>
        <v>8.1822986868652289E-3</v>
      </c>
      <c r="AH308" s="137">
        <f>Transportation_LCIA!L$61*($W308^Transportation_LCIA!L$60)+Transportation_LCIA!L$62</f>
        <v>1.4549120095940624E-4</v>
      </c>
      <c r="AI308" s="137">
        <f>Transportation_LCIA!M$61*($W308^Transportation_LCIA!M$60)+Transportation_LCIA!M$62</f>
        <v>1.8674061084571433E-4</v>
      </c>
      <c r="AJ308" s="137">
        <f>Transportation_LCIA!N$61*($W308^Transportation_LCIA!N$60)+Transportation_LCIA!N$62</f>
        <v>6.4284724221781698E-4</v>
      </c>
      <c r="AK308" s="137">
        <f>Transportation_LCIA!O$61*($W308^Transportation_LCIA!O$60)+Transportation_LCIA!O$62</f>
        <v>4.2127539449943745E-5</v>
      </c>
      <c r="AL308" s="137">
        <f>Transportation_LCIA!P$61*($W308^Transportation_LCIA!P$60)+Transportation_LCIA!P$62</f>
        <v>2.0413131626222143E-8</v>
      </c>
      <c r="AM308" s="137">
        <f>Transportation_LCIA!Q$61*($W308^Transportation_LCIA!Q$60)+Transportation_LCIA!Q$62</f>
        <v>5.8128627025713208E-5</v>
      </c>
      <c r="AN308" s="137">
        <f>Transportation_LCIA!R$61*($W308^Transportation_LCIA!R$60)+Transportation_LCIA!R$62</f>
        <v>1.6208926903711222E-4</v>
      </c>
      <c r="AO308" s="137">
        <f>Transportation_LCIA!S$61*($W308^Transportation_LCIA!S$60)+Transportation_LCIA!S$62</f>
        <v>2.5567252061749023E-6</v>
      </c>
      <c r="AP308" s="137">
        <f>Transportation_LCIA!T$61*($W308^Transportation_LCIA!T$60)+Transportation_LCIA!T$62</f>
        <v>2.5567252061749023E-6</v>
      </c>
      <c r="AQ308" s="137">
        <f>Transportation_LCIA!U$61*($W308^Transportation_LCIA!U$60)+Transportation_LCIA!U$62</f>
        <v>3.4288551439769682E-4</v>
      </c>
      <c r="AR308" s="137">
        <f>Transportation_LCIA!V$61*($W308^Transportation_LCIA!V$60)+Transportation_LCIA!V$62</f>
        <v>1.514111122448554E-4</v>
      </c>
      <c r="AT308" s="137">
        <f>$W308*Y308+$L308*Summary_LCIA!H$32</f>
        <v>404.21889427321378</v>
      </c>
      <c r="AU308" s="137">
        <f>$W308*Z308+$L308*Summary_LCIA!Q$32</f>
        <v>3995.4591422715903</v>
      </c>
      <c r="AV308" s="137">
        <f>$W308*AA308+$L308*Summary_LCIA!R$32</f>
        <v>1.6080334825230693</v>
      </c>
      <c r="AW308" s="137">
        <f>$W308*AB308+$L308*Summary_LCIA!S$32</f>
        <v>404.17487549321379</v>
      </c>
      <c r="AX308" s="137">
        <f>$W308*AC308+$L308*Summary_LCIA!T$32</f>
        <v>93.680205250685262</v>
      </c>
      <c r="AY308" s="137">
        <f>$W308*AD308+$L308*Summary_LCIA!U$32</f>
        <v>0.58093934642448231</v>
      </c>
      <c r="AZ308" s="137">
        <f>$W308*AE308+$L308*Summary_LCIA!V$32</f>
        <v>8.2658771138055601E-3</v>
      </c>
      <c r="BA308" s="137">
        <f>$W308*AF308+$L308*Summary_LCIA!W$32</f>
        <v>12.323436287154818</v>
      </c>
      <c r="BB308" s="137">
        <f>$W308*AG308+$L308*Summary_LCIA!X$32</f>
        <v>19.188037245823978</v>
      </c>
      <c r="BC308" s="137">
        <f>$W308*AH308+$L308*Summary_LCIA!Y$32</f>
        <v>0.49233377429650799</v>
      </c>
      <c r="BD308" s="137">
        <f>$W308*AI308+$L308*Summary_LCIA!Z$32</f>
        <v>0.43314996849907389</v>
      </c>
      <c r="BE308" s="137">
        <f>$W308*AJ308+$L308*Summary_LCIA!AA$32</f>
        <v>1.7222982826541955</v>
      </c>
      <c r="BF308" s="137">
        <f>$W308*AK308+$L308*Summary_LCIA!AB$32</f>
        <v>9.7406513419571142E-2</v>
      </c>
      <c r="BG308" s="137">
        <f>$W308*AL308+$L308*Summary_LCIA!AC$32</f>
        <v>4.7791010149121361E-5</v>
      </c>
      <c r="BH308" s="137">
        <f>$W308*AM308+$L308*Summary_LCIA!AD$32</f>
        <v>0.13879736255143407</v>
      </c>
      <c r="BI308" s="137">
        <f>$W308*AN308+$L308*Summary_LCIA!AE$32</f>
        <v>0.38444097851023767</v>
      </c>
      <c r="BJ308" s="137">
        <f>$W308*AO308+$L308*Summary_LCIA!AF$32</f>
        <v>1.4344340365058814E-2</v>
      </c>
      <c r="BK308" s="137">
        <f>$W308*AP308+$L308*Summary_LCIA!AG$32</f>
        <v>6.4343548200588132E-3</v>
      </c>
      <c r="BL308" s="137">
        <f>$W308*AQ308+$L308*Summary_LCIA!AH$32</f>
        <v>0.88126160387981722</v>
      </c>
      <c r="BM308" s="137">
        <f>$W308*AR308+$L308*Summary_LCIA!AI$32</f>
        <v>0.36014839227039036</v>
      </c>
    </row>
    <row r="309" spans="1:65" x14ac:dyDescent="0.25">
      <c r="A309" s="149">
        <v>323</v>
      </c>
      <c r="B309" s="149">
        <v>6</v>
      </c>
      <c r="C309" s="61">
        <v>46.280419999999999</v>
      </c>
      <c r="D309" s="61">
        <v>-119.2752</v>
      </c>
      <c r="E309" s="61" t="s">
        <v>265</v>
      </c>
      <c r="F309" s="149">
        <v>90</v>
      </c>
      <c r="G309" s="61" t="s">
        <v>277</v>
      </c>
      <c r="H309" s="61" t="s">
        <v>697</v>
      </c>
      <c r="I309" s="61">
        <v>45.589768999999997</v>
      </c>
      <c r="J309" s="61">
        <v>-122.595094</v>
      </c>
      <c r="K309" s="61">
        <v>274.9193128</v>
      </c>
      <c r="L309" s="61">
        <v>348.00400000000002</v>
      </c>
      <c r="M309" s="61" t="s">
        <v>617</v>
      </c>
      <c r="N309" s="149">
        <v>5</v>
      </c>
      <c r="O309" s="149">
        <v>6</v>
      </c>
      <c r="P309" s="61" t="s">
        <v>565</v>
      </c>
      <c r="Q309" s="61" t="s">
        <v>564</v>
      </c>
      <c r="R309" s="61">
        <v>41.98028</v>
      </c>
      <c r="S309" s="61">
        <v>-87.908997900000003</v>
      </c>
      <c r="T309" s="61">
        <v>3083.8040000000001</v>
      </c>
      <c r="U309" s="61" t="s">
        <v>617</v>
      </c>
      <c r="V309" s="61" t="s">
        <v>569</v>
      </c>
      <c r="W309" s="61" cm="1">
        <f t="array" ref="W309">getDistance(I309,J309,R309,S309)*SA!$B$12</f>
        <v>2798.6158815682211</v>
      </c>
      <c r="X309" s="61"/>
      <c r="Y309" s="137">
        <f>Transportation_LCIA!C$61*($W309^Transportation_LCIA!C$60)+Transportation_LCIA!C$62</f>
        <v>0.16402773628837225</v>
      </c>
      <c r="Z309" s="137">
        <f>Transportation_LCIA!D$61*($W309^Transportation_LCIA!D$60)+Transportation_LCIA!D$62</f>
        <v>1.6026389821027962</v>
      </c>
      <c r="AA309" s="137">
        <f>Transportation_LCIA!E$61*($W309^Transportation_LCIA!E$60)+Transportation_LCIA!E$62</f>
        <v>6.0614005012291691E-4</v>
      </c>
      <c r="AB309" s="137">
        <f>Transportation_LCIA!F$61*($W309^Transportation_LCIA!F$60)+Transportation_LCIA!F$62</f>
        <v>0.16402773628837225</v>
      </c>
      <c r="AC309" s="137">
        <f>Transportation_LCIA!G$61*($W309^Transportation_LCIA!G$60)+Transportation_LCIA!G$62</f>
        <v>3.7629285801758547E-2</v>
      </c>
      <c r="AD309" s="137">
        <f>Transportation_LCIA!H$61*($W309^Transportation_LCIA!H$60)+Transportation_LCIA!H$62</f>
        <v>1.5970102936839448E-4</v>
      </c>
      <c r="AE309" s="137">
        <f>Transportation_LCIA!I$61*($W309^Transportation_LCIA!I$60)+Transportation_LCIA!I$62</f>
        <v>3.0217646312907641E-6</v>
      </c>
      <c r="AF309" s="137">
        <f>Transportation_LCIA!J$61*($W309^Transportation_LCIA!J$60)+Transportation_LCIA!J$62</f>
        <v>4.4927462034704841E-3</v>
      </c>
      <c r="AG309" s="137">
        <f>Transportation_LCIA!K$61*($W309^Transportation_LCIA!K$60)+Transportation_LCIA!K$62</f>
        <v>7.6507967965960943E-3</v>
      </c>
      <c r="AH309" s="137">
        <f>Transportation_LCIA!L$61*($W309^Transportation_LCIA!L$60)+Transportation_LCIA!L$62</f>
        <v>1.3274934633632592E-4</v>
      </c>
      <c r="AI309" s="137">
        <f>Transportation_LCIA!M$61*($W309^Transportation_LCIA!M$60)+Transportation_LCIA!M$62</f>
        <v>1.7902139566772907E-4</v>
      </c>
      <c r="AJ309" s="137">
        <f>Transportation_LCIA!N$61*($W309^Transportation_LCIA!N$60)+Transportation_LCIA!N$62</f>
        <v>5.9562702452397752E-4</v>
      </c>
      <c r="AK309" s="137">
        <f>Transportation_LCIA!O$61*($W309^Transportation_LCIA!O$60)+Transportation_LCIA!O$62</f>
        <v>3.9660589006869174E-5</v>
      </c>
      <c r="AL309" s="137">
        <f>Transportation_LCIA!P$61*($W309^Transportation_LCIA!P$60)+Transportation_LCIA!P$62</f>
        <v>1.9223455374200001E-8</v>
      </c>
      <c r="AM309" s="137">
        <f>Transportation_LCIA!Q$61*($W309^Transportation_LCIA!Q$60)+Transportation_LCIA!Q$62</f>
        <v>5.3174248522355442E-5</v>
      </c>
      <c r="AN309" s="137">
        <f>Transportation_LCIA!R$61*($W309^Transportation_LCIA!R$60)+Transportation_LCIA!R$62</f>
        <v>1.4580221843549912E-4</v>
      </c>
      <c r="AO309" s="137">
        <f>Transportation_LCIA!S$61*($W309^Transportation_LCIA!S$60)+Transportation_LCIA!S$62</f>
        <v>2.3252008516030942E-6</v>
      </c>
      <c r="AP309" s="137">
        <f>Transportation_LCIA!T$61*($W309^Transportation_LCIA!T$60)+Transportation_LCIA!T$62</f>
        <v>2.3252008516030942E-6</v>
      </c>
      <c r="AQ309" s="137">
        <f>Transportation_LCIA!U$61*($W309^Transportation_LCIA!U$60)+Transportation_LCIA!U$62</f>
        <v>3.0741318521569562E-4</v>
      </c>
      <c r="AR309" s="137">
        <f>Transportation_LCIA!V$61*($W309^Transportation_LCIA!V$60)+Transportation_LCIA!V$62</f>
        <v>1.3861468442791629E-4</v>
      </c>
      <c r="AT309" s="137">
        <f>$W309*Y309+$L309*Summary_LCIA!H$32</f>
        <v>577.30238699432255</v>
      </c>
      <c r="AU309" s="137">
        <f>$W309*Z309+$L309*Summary_LCIA!Q$32</f>
        <v>6209.8962826189454</v>
      </c>
      <c r="AV309" s="137">
        <f>$W309*AA309+$L309*Summary_LCIA!R$32</f>
        <v>3.5288030331285531</v>
      </c>
      <c r="AW309" s="137">
        <f>$W309*AB309+$L309*Summary_LCIA!S$32</f>
        <v>575.76420931432256</v>
      </c>
      <c r="AX309" s="137">
        <f>$W309*AC309+$L309*Summary_LCIA!T$32</f>
        <v>143.55555645687105</v>
      </c>
      <c r="AY309" s="137">
        <f>$W309*AD309+$L309*Summary_LCIA!U$32</f>
        <v>6.6810854930931818</v>
      </c>
      <c r="AZ309" s="137">
        <f>$W309*AE309+$L309*Summary_LCIA!V$32</f>
        <v>2.5077777531491471E-2</v>
      </c>
      <c r="BA309" s="137">
        <f>$W309*AF309+$L309*Summary_LCIA!W$32</f>
        <v>39.359686760887826</v>
      </c>
      <c r="BB309" s="137">
        <f>$W309*AG309+$L309*Summary_LCIA!X$32</f>
        <v>29.339172541605102</v>
      </c>
      <c r="BC309" s="137">
        <f>$W309*AH309+$L309*Summary_LCIA!Y$32</f>
        <v>5.7941127569246422</v>
      </c>
      <c r="BD309" s="137">
        <f>$W309*AI309+$L309*Summary_LCIA!Z$32</f>
        <v>0.51528341709221492</v>
      </c>
      <c r="BE309" s="137">
        <f>$W309*AJ309+$L309*Summary_LCIA!AA$32</f>
        <v>9.7949126743240278</v>
      </c>
      <c r="BF309" s="137">
        <f>$W309*AK309+$L309*Summary_LCIA!AB$32</f>
        <v>0.10340026297497407</v>
      </c>
      <c r="BG309" s="137">
        <f>$W309*AL309+$L309*Summary_LCIA!AC$32</f>
        <v>7.0810895044854104E-5</v>
      </c>
      <c r="BH309" s="137">
        <f>$W309*AM309+$L309*Summary_LCIA!AD$32</f>
        <v>0.29185786056511942</v>
      </c>
      <c r="BI309" s="137">
        <f>$W309*AN309+$L309*Summary_LCIA!AE$32</f>
        <v>0.71642118860146664</v>
      </c>
      <c r="BJ309" s="137">
        <f>$W309*AO309+$L309*Summary_LCIA!AF$32</f>
        <v>0.30071688571113236</v>
      </c>
      <c r="BK309" s="137">
        <f>$W309*AP309+$L309*Summary_LCIA!AG$32</f>
        <v>2.4312968691132374E-2</v>
      </c>
      <c r="BL309" s="137">
        <f>$W309*AQ309+$L309*Summary_LCIA!AH$32</f>
        <v>3.889219036748119</v>
      </c>
      <c r="BM309" s="137">
        <f>$W309*AR309+$L309*Summary_LCIA!AI$32</f>
        <v>0.71211238345853367</v>
      </c>
    </row>
    <row r="310" spans="1:65" x14ac:dyDescent="0.25">
      <c r="A310" s="149">
        <v>250</v>
      </c>
      <c r="B310" s="149">
        <v>6</v>
      </c>
      <c r="C310" s="61">
        <v>34.048347</v>
      </c>
      <c r="D310" s="61">
        <v>-117.26115299999999</v>
      </c>
      <c r="E310" s="61" t="s">
        <v>265</v>
      </c>
      <c r="F310" s="149">
        <v>117</v>
      </c>
      <c r="G310" s="61" t="s">
        <v>708</v>
      </c>
      <c r="H310" s="61" t="s">
        <v>709</v>
      </c>
      <c r="I310" s="61">
        <v>34.060307000000002</v>
      </c>
      <c r="J310" s="61">
        <v>-117.597893</v>
      </c>
      <c r="K310" s="61">
        <v>36.386226209999997</v>
      </c>
      <c r="L310" s="61">
        <v>34.886000000000003</v>
      </c>
      <c r="M310" s="61" t="s">
        <v>617</v>
      </c>
      <c r="N310" s="149">
        <v>5</v>
      </c>
      <c r="O310" s="149">
        <v>6</v>
      </c>
      <c r="P310" s="61" t="s">
        <v>565</v>
      </c>
      <c r="Q310" s="61" t="s">
        <v>564</v>
      </c>
      <c r="R310" s="61">
        <v>41.98028</v>
      </c>
      <c r="S310" s="61">
        <v>-87.908997900000003</v>
      </c>
      <c r="T310" s="61">
        <v>3176.2669999999998</v>
      </c>
      <c r="U310" s="61" t="s">
        <v>617</v>
      </c>
      <c r="V310" s="61" t="s">
        <v>569</v>
      </c>
      <c r="W310" s="61" cm="1">
        <f t="array" ref="W310">getDistance(I310,J310,R310,S310)*SA!$B$12</f>
        <v>2735.5394913131204</v>
      </c>
      <c r="X310" s="61"/>
      <c r="Y310" s="137">
        <f>Transportation_LCIA!C$61*($W310^Transportation_LCIA!C$60)+Transportation_LCIA!C$62</f>
        <v>0.16503456602603378</v>
      </c>
      <c r="Z310" s="137">
        <f>Transportation_LCIA!D$61*($W310^Transportation_LCIA!D$60)+Transportation_LCIA!D$62</f>
        <v>1.6138786673514018</v>
      </c>
      <c r="AA310" s="137">
        <f>Transportation_LCIA!E$61*($W310^Transportation_LCIA!E$60)+Transportation_LCIA!E$62</f>
        <v>6.1343838743917536E-4</v>
      </c>
      <c r="AB310" s="137">
        <f>Transportation_LCIA!F$61*($W310^Transportation_LCIA!F$60)+Transportation_LCIA!F$62</f>
        <v>0.16503456602603378</v>
      </c>
      <c r="AC310" s="137">
        <f>Transportation_LCIA!G$61*($W310^Transportation_LCIA!G$60)+Transportation_LCIA!G$62</f>
        <v>3.7889998307315279E-2</v>
      </c>
      <c r="AD310" s="137">
        <f>Transportation_LCIA!H$61*($W310^Transportation_LCIA!H$60)+Transportation_LCIA!H$62</f>
        <v>1.6126672816659389E-4</v>
      </c>
      <c r="AE310" s="137">
        <f>Transportation_LCIA!I$61*($W310^Transportation_LCIA!I$60)+Transportation_LCIA!I$62</f>
        <v>3.0596453373243373E-6</v>
      </c>
      <c r="AF310" s="137">
        <f>Transportation_LCIA!J$61*($W310^Transportation_LCIA!J$60)+Transportation_LCIA!J$62</f>
        <v>4.5477168044510928E-3</v>
      </c>
      <c r="AG310" s="137">
        <f>Transportation_LCIA!K$61*($W310^Transportation_LCIA!K$60)+Transportation_LCIA!K$62</f>
        <v>7.7103064661759018E-3</v>
      </c>
      <c r="AH310" s="137">
        <f>Transportation_LCIA!L$61*($W310^Transportation_LCIA!L$60)+Transportation_LCIA!L$62</f>
        <v>1.3417257828792257E-4</v>
      </c>
      <c r="AI310" s="137">
        <f>Transportation_LCIA!M$61*($W310^Transportation_LCIA!M$60)+Transportation_LCIA!M$62</f>
        <v>1.7988433160338288E-4</v>
      </c>
      <c r="AJ310" s="137">
        <f>Transportation_LCIA!N$61*($W310^Transportation_LCIA!N$60)+Transportation_LCIA!N$62</f>
        <v>6.0090779096724247E-4</v>
      </c>
      <c r="AK310" s="137">
        <f>Transportation_LCIA!O$61*($W310^Transportation_LCIA!O$60)+Transportation_LCIA!O$62</f>
        <v>3.9937291943403318E-5</v>
      </c>
      <c r="AL310" s="137">
        <f>Transportation_LCIA!P$61*($W310^Transportation_LCIA!P$60)+Transportation_LCIA!P$62</f>
        <v>1.9356931031732277E-8</v>
      </c>
      <c r="AM310" s="137">
        <f>Transportation_LCIA!Q$61*($W310^Transportation_LCIA!Q$60)+Transportation_LCIA!Q$62</f>
        <v>5.3727357549542758E-5</v>
      </c>
      <c r="AN310" s="137">
        <f>Transportation_LCIA!R$61*($W310^Transportation_LCIA!R$60)+Transportation_LCIA!R$62</f>
        <v>1.4761696935475143E-4</v>
      </c>
      <c r="AO310" s="137">
        <f>Transportation_LCIA!S$61*($W310^Transportation_LCIA!S$60)+Transportation_LCIA!S$62</f>
        <v>2.3510018188699059E-6</v>
      </c>
      <c r="AP310" s="137">
        <f>Transportation_LCIA!T$61*($W310^Transportation_LCIA!T$60)+Transportation_LCIA!T$62</f>
        <v>2.3510018188699059E-6</v>
      </c>
      <c r="AQ310" s="137">
        <f>Transportation_LCIA!U$61*($W310^Transportation_LCIA!U$60)+Transportation_LCIA!U$62</f>
        <v>3.1136312096887613E-4</v>
      </c>
      <c r="AR310" s="137">
        <f>Transportation_LCIA!V$61*($W310^Transportation_LCIA!V$60)+Transportation_LCIA!V$62</f>
        <v>1.400423437507103E-4</v>
      </c>
      <c r="AT310" s="137">
        <f>$W310*Y310+$L310*Summary_LCIA!H$32</f>
        <v>463.31283559593805</v>
      </c>
      <c r="AU310" s="137">
        <f>$W310*Z310+$L310*Summary_LCIA!Q$32</f>
        <v>4587.7256041331884</v>
      </c>
      <c r="AV310" s="137">
        <f>$W310*AA310+$L310*Summary_LCIA!R$32</f>
        <v>1.8617806559273025</v>
      </c>
      <c r="AW310" s="137">
        <f>$W310*AB310+$L310*Summary_LCIA!S$32</f>
        <v>463.15863947593806</v>
      </c>
      <c r="AX310" s="137">
        <f>$W310*AC310+$L310*Summary_LCIA!T$32</f>
        <v>107.48355809544823</v>
      </c>
      <c r="AY310" s="137">
        <f>$W310*AD310+$L310*Summary_LCIA!U$32</f>
        <v>1.0660993075345755</v>
      </c>
      <c r="AZ310" s="137">
        <f>$W310*AE310+$L310*Summary_LCIA!V$32</f>
        <v>1.0035970895662778E-2</v>
      </c>
      <c r="BA310" s="137">
        <f>$W310*AF310+$L310*Summary_LCIA!W$32</f>
        <v>15.125669219884271</v>
      </c>
      <c r="BB310" s="137">
        <f>$W310*AG310+$L310*Summary_LCIA!X$32</f>
        <v>21.88655090835109</v>
      </c>
      <c r="BC310" s="137">
        <f>$W310*AH310+$L310*Summary_LCIA!Y$32</f>
        <v>0.91062803855791363</v>
      </c>
      <c r="BD310" s="137">
        <f>$W310*AI310+$L310*Summary_LCIA!Z$32</f>
        <v>0.49351133294351868</v>
      </c>
      <c r="BE310" s="137">
        <f>$W310*AJ310+$L310*Summary_LCIA!AA$32</f>
        <v>2.4586044088286214</v>
      </c>
      <c r="BF310" s="137">
        <f>$W310*AK310+$L310*Summary_LCIA!AB$32</f>
        <v>0.10848872210928109</v>
      </c>
      <c r="BG310" s="137">
        <f>$W310*AL310+$L310*Summary_LCIA!AC$32</f>
        <v>5.4657016491928064E-5</v>
      </c>
      <c r="BH310" s="137">
        <f>$W310*AM310+$L310*Summary_LCIA!AD$32</f>
        <v>0.16131284978067431</v>
      </c>
      <c r="BI310" s="137">
        <f>$W310*AN310+$L310*Summary_LCIA!AE$32</f>
        <v>0.43472558043788123</v>
      </c>
      <c r="BJ310" s="137">
        <f>$W310*AO310+$L310*Summary_LCIA!AF$32</f>
        <v>3.5924580439667606E-2</v>
      </c>
      <c r="BK310" s="137">
        <f>$W310*AP310+$L310*Summary_LCIA!AG$32</f>
        <v>8.2162005096676032E-3</v>
      </c>
      <c r="BL310" s="137">
        <f>$W310*AQ310+$L310*Summary_LCIA!AH$32</f>
        <v>1.155379903148865</v>
      </c>
      <c r="BM310" s="137">
        <f>$W310*AR310+$L310*Summary_LCIA!AI$32</f>
        <v>0.41558941508611519</v>
      </c>
    </row>
    <row r="311" spans="1:65" x14ac:dyDescent="0.25">
      <c r="A311" s="149">
        <v>198</v>
      </c>
      <c r="B311" s="149">
        <v>6</v>
      </c>
      <c r="C311" s="61">
        <v>33.875292999999999</v>
      </c>
      <c r="D311" s="61">
        <v>-117.56643800000001</v>
      </c>
      <c r="E311" s="61" t="s">
        <v>265</v>
      </c>
      <c r="F311" s="149">
        <v>102</v>
      </c>
      <c r="G311" s="61" t="s">
        <v>695</v>
      </c>
      <c r="H311" s="61" t="s">
        <v>696</v>
      </c>
      <c r="I311" s="61">
        <v>33.676189999999998</v>
      </c>
      <c r="J311" s="61">
        <v>-117.867476</v>
      </c>
      <c r="K311" s="61">
        <v>43.554003680000001</v>
      </c>
      <c r="L311" s="61">
        <v>47.546999999999997</v>
      </c>
      <c r="M311" s="61" t="s">
        <v>617</v>
      </c>
      <c r="N311" s="149">
        <v>5</v>
      </c>
      <c r="O311" s="149">
        <v>6</v>
      </c>
      <c r="P311" s="61" t="s">
        <v>565</v>
      </c>
      <c r="Q311" s="61" t="s">
        <v>564</v>
      </c>
      <c r="R311" s="61">
        <v>41.98028</v>
      </c>
      <c r="S311" s="61">
        <v>-87.908997900000003</v>
      </c>
      <c r="T311" s="61">
        <v>3195.7080000000001</v>
      </c>
      <c r="U311" s="61" t="s">
        <v>617</v>
      </c>
      <c r="V311" s="61" t="s">
        <v>569</v>
      </c>
      <c r="W311" s="61" cm="1">
        <f t="array" ref="W311">getDistance(I311,J311,R311,S311)*SA!$B$12</f>
        <v>2777.5537009183854</v>
      </c>
      <c r="X311" s="61"/>
      <c r="Y311" s="137">
        <f>Transportation_LCIA!C$61*($W311^Transportation_LCIA!C$60)+Transportation_LCIA!C$62</f>
        <v>0.16435925575514754</v>
      </c>
      <c r="Z311" s="137">
        <f>Transportation_LCIA!D$61*($W311^Transportation_LCIA!D$60)+Transportation_LCIA!D$62</f>
        <v>1.6063386507801596</v>
      </c>
      <c r="AA311" s="137">
        <f>Transportation_LCIA!E$61*($W311^Transportation_LCIA!E$60)+Transportation_LCIA!E$62</f>
        <v>6.0854215547765061E-4</v>
      </c>
      <c r="AB311" s="137">
        <f>Transportation_LCIA!F$61*($W311^Transportation_LCIA!F$60)+Transportation_LCIA!F$62</f>
        <v>0.16435925575514754</v>
      </c>
      <c r="AC311" s="137">
        <f>Transportation_LCIA!G$61*($W311^Transportation_LCIA!G$60)+Transportation_LCIA!G$62</f>
        <v>3.7715103915396994E-2</v>
      </c>
      <c r="AD311" s="137">
        <f>Transportation_LCIA!H$61*($W311^Transportation_LCIA!H$60)+Transportation_LCIA!H$62</f>
        <v>1.6021625350563768E-4</v>
      </c>
      <c r="AE311" s="137">
        <f>Transportation_LCIA!I$61*($W311^Transportation_LCIA!I$60)+Transportation_LCIA!I$62</f>
        <v>3.0342263216830281E-6</v>
      </c>
      <c r="AF311" s="137">
        <f>Transportation_LCIA!J$61*($W311^Transportation_LCIA!J$60)+Transportation_LCIA!J$62</f>
        <v>4.5108264782745058E-3</v>
      </c>
      <c r="AG311" s="137">
        <f>Transportation_LCIA!K$61*($W311^Transportation_LCIA!K$60)+Transportation_LCIA!K$62</f>
        <v>7.6703821640210102E-3</v>
      </c>
      <c r="AH311" s="137">
        <f>Transportation_LCIA!L$61*($W311^Transportation_LCIA!L$60)+Transportation_LCIA!L$62</f>
        <v>1.3321764930482175E-4</v>
      </c>
      <c r="AI311" s="137">
        <f>Transportation_LCIA!M$61*($W311^Transportation_LCIA!M$60)+Transportation_LCIA!M$62</f>
        <v>1.7930535893954832E-4</v>
      </c>
      <c r="AJ311" s="137">
        <f>Transportation_LCIA!N$61*($W311^Transportation_LCIA!N$60)+Transportation_LCIA!N$62</f>
        <v>5.9736480614746212E-4</v>
      </c>
      <c r="AK311" s="137">
        <f>Transportation_LCIA!O$61*($W311^Transportation_LCIA!O$60)+Transportation_LCIA!O$62</f>
        <v>3.9751669820754878E-5</v>
      </c>
      <c r="AL311" s="137">
        <f>Transportation_LCIA!P$61*($W311^Transportation_LCIA!P$60)+Transportation_LCIA!P$62</f>
        <v>1.9267391922797763E-8</v>
      </c>
      <c r="AM311" s="137">
        <f>Transportation_LCIA!Q$61*($W311^Transportation_LCIA!Q$60)+Transportation_LCIA!Q$62</f>
        <v>5.335623628242909E-5</v>
      </c>
      <c r="AN311" s="137">
        <f>Transportation_LCIA!R$61*($W311^Transportation_LCIA!R$60)+Transportation_LCIA!R$62</f>
        <v>1.4639921632753349E-4</v>
      </c>
      <c r="AO311" s="137">
        <f>Transportation_LCIA!S$61*($W311^Transportation_LCIA!S$60)+Transportation_LCIA!S$62</f>
        <v>2.3336886985656923E-6</v>
      </c>
      <c r="AP311" s="137">
        <f>Transportation_LCIA!T$61*($W311^Transportation_LCIA!T$60)+Transportation_LCIA!T$62</f>
        <v>2.3336886985656923E-6</v>
      </c>
      <c r="AQ311" s="137">
        <f>Transportation_LCIA!U$61*($W311^Transportation_LCIA!U$60)+Transportation_LCIA!U$62</f>
        <v>3.0871252075136092E-4</v>
      </c>
      <c r="AR311" s="137">
        <f>Transportation_LCIA!V$61*($W311^Transportation_LCIA!V$60)+Transportation_LCIA!V$62</f>
        <v>1.3908439516650909E-4</v>
      </c>
      <c r="AT311" s="137">
        <f>$W311*Y311+$L311*Summary_LCIA!H$32</f>
        <v>472.67312970290146</v>
      </c>
      <c r="AU311" s="137">
        <f>$W311*Z311+$L311*Summary_LCIA!Q$32</f>
        <v>4697.3371943405291</v>
      </c>
      <c r="AV311" s="137">
        <f>$W311*AA311+$L311*Summary_LCIA!R$32</f>
        <v>1.9406219993117999</v>
      </c>
      <c r="AW311" s="137">
        <f>$W311*AB311+$L311*Summary_LCIA!S$32</f>
        <v>472.46297196290146</v>
      </c>
      <c r="AX311" s="137">
        <f>$W311*AC311+$L311*Summary_LCIA!T$32</f>
        <v>109.9811417607324</v>
      </c>
      <c r="AY311" s="137">
        <f>$W311*AD311+$L311*Summary_LCIA!U$32</f>
        <v>1.2967662058718621</v>
      </c>
      <c r="AZ311" s="137">
        <f>$W311*AE311+$L311*Summary_LCIA!V$32</f>
        <v>1.0698618816214674E-2</v>
      </c>
      <c r="BA311" s="137">
        <f>$W311*AF311+$L311*Summary_LCIA!W$32</f>
        <v>16.188802915932001</v>
      </c>
      <c r="BB311" s="137">
        <f>$W311*AG311+$L311*Summary_LCIA!X$32</f>
        <v>22.388019027134931</v>
      </c>
      <c r="BC311" s="137">
        <f>$W311*AH311+$L311*Summary_LCIA!Y$32</f>
        <v>1.1108965288542552</v>
      </c>
      <c r="BD311" s="137">
        <f>$W311*AI311+$L311*Summary_LCIA!Z$32</f>
        <v>0.4999801182400419</v>
      </c>
      <c r="BE311" s="137">
        <f>$W311*AJ311+$L311*Summary_LCIA!AA$32</f>
        <v>2.7697205601132771</v>
      </c>
      <c r="BF311" s="137">
        <f>$W311*AK311+$L311*Summary_LCIA!AB$32</f>
        <v>0.10937477944732341</v>
      </c>
      <c r="BG311" s="137">
        <f>$W311*AL311+$L311*Summary_LCIA!AC$32</f>
        <v>5.5840503290211929E-5</v>
      </c>
      <c r="BH311" s="137">
        <f>$W311*AM311+$L311*Summary_LCIA!AD$32</f>
        <v>0.16774353043333676</v>
      </c>
      <c r="BI311" s="137">
        <f>$W311*AN311+$L311*Summary_LCIA!AE$32</f>
        <v>0.44876450823209196</v>
      </c>
      <c r="BJ311" s="137">
        <f>$W311*AO311+$L311*Summary_LCIA!AF$32</f>
        <v>4.6679130421492548E-2</v>
      </c>
      <c r="BK311" s="137">
        <f>$W311*AP311+$L311*Summary_LCIA!AG$32</f>
        <v>8.9146879364925494E-3</v>
      </c>
      <c r="BL311" s="137">
        <f>$W311*AQ311+$L311*Summary_LCIA!AH$32</f>
        <v>1.2712956737327863</v>
      </c>
      <c r="BM311" s="137">
        <f>$W311*AR311+$L311*Summary_LCIA!AI$32</f>
        <v>0.43060678438473249</v>
      </c>
    </row>
    <row r="312" spans="1:65" x14ac:dyDescent="0.25">
      <c r="A312" s="149">
        <v>252</v>
      </c>
      <c r="B312" s="149">
        <v>6</v>
      </c>
      <c r="C312" s="61">
        <v>34.029510999999999</v>
      </c>
      <c r="D312" s="61">
        <v>-118.28482</v>
      </c>
      <c r="E312" s="61" t="s">
        <v>265</v>
      </c>
      <c r="F312" s="149">
        <v>3</v>
      </c>
      <c r="G312" s="61" t="s">
        <v>565</v>
      </c>
      <c r="H312" s="61" t="s">
        <v>710</v>
      </c>
      <c r="I312" s="61">
        <v>33.941589</v>
      </c>
      <c r="J312" s="61">
        <v>-118.40853</v>
      </c>
      <c r="K312" s="61">
        <v>18.890506299999998</v>
      </c>
      <c r="L312" s="61">
        <v>28.658000000000001</v>
      </c>
      <c r="M312" s="61" t="s">
        <v>617</v>
      </c>
      <c r="N312" s="149">
        <v>5</v>
      </c>
      <c r="O312" s="149">
        <v>6</v>
      </c>
      <c r="P312" s="61" t="s">
        <v>565</v>
      </c>
      <c r="Q312" s="61" t="s">
        <v>564</v>
      </c>
      <c r="R312" s="61">
        <v>41.98028</v>
      </c>
      <c r="S312" s="61">
        <v>-87.908997900000003</v>
      </c>
      <c r="T312" s="61">
        <v>3245.636</v>
      </c>
      <c r="U312" s="61" t="s">
        <v>617</v>
      </c>
      <c r="V312" s="61" t="s">
        <v>569</v>
      </c>
      <c r="W312" s="61" cm="1">
        <f t="array" ref="W312">getDistance(I312,J312,R312,S312)*SA!$B$12</f>
        <v>2808.044346009553</v>
      </c>
      <c r="X312" s="61"/>
      <c r="Y312" s="137">
        <f>Transportation_LCIA!C$61*($W312^Transportation_LCIA!C$60)+Transportation_LCIA!C$62</f>
        <v>0.16388081404345767</v>
      </c>
      <c r="Z312" s="137">
        <f>Transportation_LCIA!D$61*($W312^Transportation_LCIA!D$60)+Transportation_LCIA!D$62</f>
        <v>1.6009997578719011</v>
      </c>
      <c r="AA312" s="137">
        <f>Transportation_LCIA!E$61*($W312^Transportation_LCIA!E$60)+Transportation_LCIA!E$62</f>
        <v>6.0507581242083726E-4</v>
      </c>
      <c r="AB312" s="137">
        <f>Transportation_LCIA!F$61*($W312^Transportation_LCIA!F$60)+Transportation_LCIA!F$62</f>
        <v>0.16388081404345767</v>
      </c>
      <c r="AC312" s="137">
        <f>Transportation_LCIA!G$61*($W312^Transportation_LCIA!G$60)+Transportation_LCIA!G$62</f>
        <v>3.7591261565214959E-2</v>
      </c>
      <c r="AD312" s="137">
        <f>Transportation_LCIA!H$61*($W312^Transportation_LCIA!H$60)+Transportation_LCIA!H$62</f>
        <v>1.5947279259780371E-4</v>
      </c>
      <c r="AE312" s="137">
        <f>Transportation_LCIA!I$61*($W312^Transportation_LCIA!I$60)+Transportation_LCIA!I$62</f>
        <v>3.0162454548293477E-6</v>
      </c>
      <c r="AF312" s="137">
        <f>Transportation_LCIA!J$61*($W312^Transportation_LCIA!J$60)+Transportation_LCIA!J$62</f>
        <v>4.4847397131231427E-3</v>
      </c>
      <c r="AG312" s="137">
        <f>Transportation_LCIA!K$61*($W312^Transportation_LCIA!K$60)+Transportation_LCIA!K$62</f>
        <v>7.6421199636790994E-3</v>
      </c>
      <c r="AH312" s="137">
        <f>Transportation_LCIA!L$61*($W312^Transportation_LCIA!L$60)+Transportation_LCIA!L$62</f>
        <v>1.3254190748420889E-4</v>
      </c>
      <c r="AI312" s="137">
        <f>Transportation_LCIA!M$61*($W312^Transportation_LCIA!M$60)+Transportation_LCIA!M$62</f>
        <v>1.7889560498632459E-4</v>
      </c>
      <c r="AJ312" s="137">
        <f>Transportation_LCIA!N$61*($W312^Transportation_LCIA!N$60)+Transportation_LCIA!N$62</f>
        <v>5.9485719966369515E-4</v>
      </c>
      <c r="AK312" s="137">
        <f>Transportation_LCIA!O$61*($W312^Transportation_LCIA!O$60)+Transportation_LCIA!O$62</f>
        <v>3.962023323934112E-5</v>
      </c>
      <c r="AL312" s="137">
        <f>Transportation_LCIA!P$61*($W312^Transportation_LCIA!P$60)+Transportation_LCIA!P$62</f>
        <v>1.9203987779009763E-8</v>
      </c>
      <c r="AM312" s="137">
        <f>Transportation_LCIA!Q$61*($W312^Transportation_LCIA!Q$60)+Transportation_LCIA!Q$62</f>
        <v>5.3093638090161033E-5</v>
      </c>
      <c r="AN312" s="137">
        <f>Transportation_LCIA!R$61*($W312^Transportation_LCIA!R$60)+Transportation_LCIA!R$62</f>
        <v>1.4553781451220551E-4</v>
      </c>
      <c r="AO312" s="137">
        <f>Transportation_LCIA!S$61*($W312^Transportation_LCIA!S$60)+Transportation_LCIA!S$62</f>
        <v>2.3214416400991475E-6</v>
      </c>
      <c r="AP312" s="137">
        <f>Transportation_LCIA!T$61*($W312^Transportation_LCIA!T$60)+Transportation_LCIA!T$62</f>
        <v>2.3214416400991475E-6</v>
      </c>
      <c r="AQ312" s="137">
        <f>Transportation_LCIA!U$61*($W312^Transportation_LCIA!U$60)+Transportation_LCIA!U$62</f>
        <v>3.0683774667491137E-4</v>
      </c>
      <c r="AR312" s="137">
        <f>Transportation_LCIA!V$61*($W312^Transportation_LCIA!V$60)+Transportation_LCIA!V$62</f>
        <v>1.3840663748097273E-4</v>
      </c>
      <c r="AT312" s="137">
        <f>$W312*Y312+$L312*Summary_LCIA!H$32</f>
        <v>469.92258169417426</v>
      </c>
      <c r="AU312" s="137">
        <f>$W312*Z312+$L312*Summary_LCIA!Q$32</f>
        <v>4637.7088113637692</v>
      </c>
      <c r="AV312" s="137">
        <f>$W312*AA312+$L312*Summary_LCIA!R$32</f>
        <v>1.849981278775469</v>
      </c>
      <c r="AW312" s="137">
        <f>$W312*AB312+$L312*Summary_LCIA!S$32</f>
        <v>469.79591333417426</v>
      </c>
      <c r="AX312" s="137">
        <f>$W312*AC312+$L312*Summary_LCIA!T$32</f>
        <v>108.70744369756808</v>
      </c>
      <c r="AY312" s="137">
        <f>$W312*AD312+$L312*Summary_LCIA!U$32</f>
        <v>0.96118608559661678</v>
      </c>
      <c r="AZ312" s="137">
        <f>$W312*AE312+$L312*Summary_LCIA!V$32</f>
        <v>9.8384857336105622E-3</v>
      </c>
      <c r="BA312" s="137">
        <f>$W312*AF312+$L312*Summary_LCIA!W$32</f>
        <v>14.799182912759946</v>
      </c>
      <c r="BB312" s="137">
        <f>$W312*AG312+$L312*Summary_LCIA!X$32</f>
        <v>22.112240995535824</v>
      </c>
      <c r="BC312" s="137">
        <f>$W312*AH312+$L312*Summary_LCIA!Y$32</f>
        <v>0.81873250992035407</v>
      </c>
      <c r="BD312" s="137">
        <f>$W312*AI312+$L312*Summary_LCIA!Z$32</f>
        <v>0.50352202802980717</v>
      </c>
      <c r="BE312" s="137">
        <f>$W312*AJ312+$L312*Summary_LCIA!AA$32</f>
        <v>2.3397216441987148</v>
      </c>
      <c r="BF312" s="137">
        <f>$W312*AK312+$L312*Summary_LCIA!AB$32</f>
        <v>0.11062996840131159</v>
      </c>
      <c r="BG312" s="137">
        <f>$W312*AL312+$L312*Summary_LCIA!AC$32</f>
        <v>5.5326566975684919E-5</v>
      </c>
      <c r="BH312" s="137">
        <f>$W312*AM312+$L312*Summary_LCIA!AD$32</f>
        <v>0.16086887456815413</v>
      </c>
      <c r="BI312" s="137">
        <f>$W312*AN312+$L312*Summary_LCIA!AE$32</f>
        <v>0.43407135071158576</v>
      </c>
      <c r="BJ312" s="137">
        <f>$W312*AO312+$L312*Summary_LCIA!AF$32</f>
        <v>3.0746757432071555E-2</v>
      </c>
      <c r="BK312" s="137">
        <f>$W312*AP312+$L312*Summary_LCIA!AG$32</f>
        <v>7.9849976420715545E-3</v>
      </c>
      <c r="BL312" s="137">
        <f>$W312*AQ312+$L312*Summary_LCIA!AH$32</f>
        <v>1.1110417684927965</v>
      </c>
      <c r="BM312" s="137">
        <f>$W312*AR312+$L312*Summary_LCIA!AI$32</f>
        <v>0.41534833572863938</v>
      </c>
    </row>
    <row r="313" spans="1:65" x14ac:dyDescent="0.25">
      <c r="A313" s="149">
        <v>325</v>
      </c>
      <c r="B313" s="149">
        <v>6</v>
      </c>
      <c r="C313" s="61">
        <v>38.581572000000001</v>
      </c>
      <c r="D313" s="61">
        <v>-121.4944</v>
      </c>
      <c r="E313" s="61" t="s">
        <v>265</v>
      </c>
      <c r="F313" s="149">
        <v>100</v>
      </c>
      <c r="G313" s="61" t="s">
        <v>280</v>
      </c>
      <c r="H313" s="61" t="s">
        <v>627</v>
      </c>
      <c r="I313" s="61">
        <v>38.695084999999999</v>
      </c>
      <c r="J313" s="61">
        <v>-121.590065</v>
      </c>
      <c r="K313" s="61">
        <v>32.424409709999999</v>
      </c>
      <c r="L313" s="61">
        <v>18.324999999999999</v>
      </c>
      <c r="M313" s="61" t="s">
        <v>617</v>
      </c>
      <c r="N313" s="149">
        <v>5</v>
      </c>
      <c r="O313" s="149">
        <v>6</v>
      </c>
      <c r="P313" s="61" t="s">
        <v>565</v>
      </c>
      <c r="Q313" s="61" t="s">
        <v>564</v>
      </c>
      <c r="R313" s="61">
        <v>41.98028</v>
      </c>
      <c r="S313" s="61">
        <v>-87.908997900000003</v>
      </c>
      <c r="T313" s="61">
        <v>3282.3829999999998</v>
      </c>
      <c r="U313" s="61" t="s">
        <v>617</v>
      </c>
      <c r="V313" s="61" t="s">
        <v>569</v>
      </c>
      <c r="W313" s="61" cm="1">
        <f t="array" ref="W313">getDistance(I313,J313,R313,S313)*SA!$B$12</f>
        <v>2866.5708095408991</v>
      </c>
      <c r="X313" s="61"/>
      <c r="Y313" s="137">
        <f>Transportation_LCIA!C$61*($W313^Transportation_LCIA!C$60)+Transportation_LCIA!C$62</f>
        <v>0.16298870690602826</v>
      </c>
      <c r="Z313" s="137">
        <f>Transportation_LCIA!D$61*($W313^Transportation_LCIA!D$60)+Transportation_LCIA!D$62</f>
        <v>1.5910516106221975</v>
      </c>
      <c r="AA313" s="137">
        <f>Transportation_LCIA!E$61*($W313^Transportation_LCIA!E$60)+Transportation_LCIA!E$62</f>
        <v>5.9861809437385593E-4</v>
      </c>
      <c r="AB313" s="137">
        <f>Transportation_LCIA!F$61*($W313^Transportation_LCIA!F$60)+Transportation_LCIA!F$62</f>
        <v>0.16298870690602826</v>
      </c>
      <c r="AC313" s="137">
        <f>Transportation_LCIA!G$61*($W313^Transportation_LCIA!G$60)+Transportation_LCIA!G$62</f>
        <v>3.7360492548125707E-2</v>
      </c>
      <c r="AD313" s="137">
        <f>Transportation_LCIA!H$61*($W313^Transportation_LCIA!H$60)+Transportation_LCIA!H$62</f>
        <v>1.5808826755310093E-4</v>
      </c>
      <c r="AE313" s="137">
        <f>Transportation_LCIA!I$61*($W313^Transportation_LCIA!I$60)+Transportation_LCIA!I$62</f>
        <v>2.9827806887960309E-6</v>
      </c>
      <c r="AF313" s="137">
        <f>Transportation_LCIA!J$61*($W313^Transportation_LCIA!J$60)+Transportation_LCIA!J$62</f>
        <v>4.4362081875416477E-3</v>
      </c>
      <c r="AG313" s="137">
        <f>Transportation_LCIA!K$61*($W313^Transportation_LCIA!K$60)+Transportation_LCIA!K$62</f>
        <v>7.5894740986676233E-3</v>
      </c>
      <c r="AH313" s="137">
        <f>Transportation_LCIA!L$61*($W313^Transportation_LCIA!L$60)+Transportation_LCIA!L$62</f>
        <v>1.3128371273567904E-4</v>
      </c>
      <c r="AI313" s="137">
        <f>Transportation_LCIA!M$61*($W313^Transportation_LCIA!M$60)+Transportation_LCIA!M$62</f>
        <v>1.7813254821628225E-4</v>
      </c>
      <c r="AJ313" s="137">
        <f>Transportation_LCIA!N$61*($W313^Transportation_LCIA!N$60)+Transportation_LCIA!N$62</f>
        <v>5.9018713209969017E-4</v>
      </c>
      <c r="AK313" s="137">
        <f>Transportation_LCIA!O$61*($W313^Transportation_LCIA!O$60)+Transportation_LCIA!O$62</f>
        <v>3.9375317661392519E-5</v>
      </c>
      <c r="AL313" s="137">
        <f>Transportation_LCIA!P$61*($W313^Transportation_LCIA!P$60)+Transportation_LCIA!P$62</f>
        <v>1.9085836103610033E-8</v>
      </c>
      <c r="AM313" s="137">
        <f>Transportation_LCIA!Q$61*($W313^Transportation_LCIA!Q$60)+Transportation_LCIA!Q$62</f>
        <v>5.2604740279553396E-5</v>
      </c>
      <c r="AN313" s="137">
        <f>Transportation_LCIA!R$61*($W313^Transportation_LCIA!R$60)+Transportation_LCIA!R$62</f>
        <v>1.4393465574244195E-4</v>
      </c>
      <c r="AO313" s="137">
        <f>Transportation_LCIA!S$61*($W313^Transportation_LCIA!S$60)+Transportation_LCIA!S$62</f>
        <v>2.2986479609562805E-6</v>
      </c>
      <c r="AP313" s="137">
        <f>Transportation_LCIA!T$61*($W313^Transportation_LCIA!T$60)+Transportation_LCIA!T$62</f>
        <v>2.2986479609562805E-6</v>
      </c>
      <c r="AQ313" s="137">
        <f>Transportation_LCIA!U$61*($W313^Transportation_LCIA!U$60)+Transportation_LCIA!U$62</f>
        <v>3.03349000821717E-4</v>
      </c>
      <c r="AR313" s="137">
        <f>Transportation_LCIA!V$61*($W313^Transportation_LCIA!V$60)+Transportation_LCIA!V$62</f>
        <v>1.3714496014112509E-4</v>
      </c>
      <c r="AT313" s="137">
        <f>$W313*Y313+$L313*Summary_LCIA!H$32</f>
        <v>473.44550450163774</v>
      </c>
      <c r="AU313" s="137">
        <f>$W313*Z313+$L313*Summary_LCIA!Q$32</f>
        <v>4651.6817276673492</v>
      </c>
      <c r="AV313" s="137">
        <f>$W313*AA313+$L313*Summary_LCIA!R$32</f>
        <v>1.8124732753950945</v>
      </c>
      <c r="AW313" s="137">
        <f>$W313*AB313+$L313*Summary_LCIA!S$32</f>
        <v>473.36450800163777</v>
      </c>
      <c r="AX313" s="137">
        <f>$W313*AC313+$L313*Summary_LCIA!T$32</f>
        <v>109.11041486852744</v>
      </c>
      <c r="AY313" s="137">
        <f>$W313*AD313+$L313*Summary_LCIA!U$32</f>
        <v>0.78144526309861073</v>
      </c>
      <c r="AZ313" s="137">
        <f>$W313*AE313+$L313*Summary_LCIA!V$32</f>
        <v>9.4255723787649986E-3</v>
      </c>
      <c r="BA313" s="137">
        <f>$W313*AF313+$L313*Summary_LCIA!W$32</f>
        <v>14.127198470453227</v>
      </c>
      <c r="BB313" s="137">
        <f>$W313*AG313+$L313*Summary_LCIA!X$32</f>
        <v>22.173208411007334</v>
      </c>
      <c r="BC313" s="137">
        <f>$W313*AH313+$L313*Summary_LCIA!Y$32</f>
        <v>0.66187420869625035</v>
      </c>
      <c r="BD313" s="137">
        <f>$W313*AI313+$L313*Summary_LCIA!Z$32</f>
        <v>0.51138105287093139</v>
      </c>
      <c r="BE313" s="137">
        <f>$W313*AJ313+$L313*Summary_LCIA!AA$32</f>
        <v>2.1198119050436302</v>
      </c>
      <c r="BF313" s="137">
        <f>$W313*AK313+$L313*Summary_LCIA!AB$32</f>
        <v>0.11247222974954801</v>
      </c>
      <c r="BG313" s="137">
        <f>$W313*AL313+$L313*Summary_LCIA!AC$32</f>
        <v>5.5606699950290331E-5</v>
      </c>
      <c r="BH313" s="137">
        <f>$W313*AM313+$L313*Summary_LCIA!AD$32</f>
        <v>0.15832752092884811</v>
      </c>
      <c r="BI313" s="137">
        <f>$W313*AN313+$L313*Summary_LCIA!AE$32</f>
        <v>0.4288372148826024</v>
      </c>
      <c r="BJ313" s="137">
        <f>$W313*AO313+$L313*Summary_LCIA!AF$32</f>
        <v>2.2081558646287983E-2</v>
      </c>
      <c r="BK313" s="137">
        <f>$W313*AP313+$L313*Summary_LCIA!AG$32</f>
        <v>7.5268357712879822E-3</v>
      </c>
      <c r="BL313" s="137">
        <f>$W313*AQ313+$L313*Summary_LCIA!AH$32</f>
        <v>1.0290648608589321</v>
      </c>
      <c r="BM313" s="137">
        <f>$W313*AR313+$L313*Summary_LCIA!AI$32</f>
        <v>0.41020639316619928</v>
      </c>
    </row>
    <row r="314" spans="1:65" x14ac:dyDescent="0.25">
      <c r="A314" s="149">
        <v>322</v>
      </c>
      <c r="B314" s="149">
        <v>6</v>
      </c>
      <c r="C314" s="61">
        <v>47.479692999999997</v>
      </c>
      <c r="D314" s="61">
        <v>-122.207922</v>
      </c>
      <c r="E314" s="61" t="s">
        <v>265</v>
      </c>
      <c r="F314" s="149">
        <v>29</v>
      </c>
      <c r="G314" s="61" t="s">
        <v>565</v>
      </c>
      <c r="H314" s="61" t="s">
        <v>719</v>
      </c>
      <c r="I314" s="61">
        <v>47.450249999999997</v>
      </c>
      <c r="J314" s="61">
        <v>-122.308817</v>
      </c>
      <c r="K314" s="61">
        <v>8.295129287</v>
      </c>
      <c r="L314" s="61">
        <v>11.608000000000001</v>
      </c>
      <c r="M314" s="61" t="s">
        <v>617</v>
      </c>
      <c r="N314" s="149">
        <v>5</v>
      </c>
      <c r="O314" s="149">
        <v>6</v>
      </c>
      <c r="P314" s="61" t="s">
        <v>565</v>
      </c>
      <c r="Q314" s="61" t="s">
        <v>564</v>
      </c>
      <c r="R314" s="61">
        <v>41.98028</v>
      </c>
      <c r="S314" s="61">
        <v>-87.908997900000003</v>
      </c>
      <c r="T314" s="61">
        <v>3297.9360000000001</v>
      </c>
      <c r="U314" s="61" t="s">
        <v>617</v>
      </c>
      <c r="V314" s="61" t="s">
        <v>569</v>
      </c>
      <c r="W314" s="61" cm="1">
        <f t="array" ref="W314">getDistance(I314,J314,R314,S314)*SA!$B$12</f>
        <v>2768.8687134525744</v>
      </c>
      <c r="X314" s="61"/>
      <c r="Y314" s="137">
        <f>Transportation_LCIA!C$61*($W314^Transportation_LCIA!C$60)+Transportation_LCIA!C$62</f>
        <v>0.16449730754705144</v>
      </c>
      <c r="Z314" s="137">
        <f>Transportation_LCIA!D$61*($W314^Transportation_LCIA!D$60)+Transportation_LCIA!D$62</f>
        <v>1.607879629086141</v>
      </c>
      <c r="AA314" s="137">
        <f>Transportation_LCIA!E$61*($W314^Transportation_LCIA!E$60)+Transportation_LCIA!E$62</f>
        <v>6.0954274059017775E-4</v>
      </c>
      <c r="AB314" s="137">
        <f>Transportation_LCIA!F$61*($W314^Transportation_LCIA!F$60)+Transportation_LCIA!F$62</f>
        <v>0.16449730754705144</v>
      </c>
      <c r="AC314" s="137">
        <f>Transportation_LCIA!G$61*($W314^Transportation_LCIA!G$60)+Transportation_LCIA!G$62</f>
        <v>3.7750848214414753E-2</v>
      </c>
      <c r="AD314" s="137">
        <f>Transportation_LCIA!H$61*($W314^Transportation_LCIA!H$60)+Transportation_LCIA!H$62</f>
        <v>1.6043089519440367E-4</v>
      </c>
      <c r="AE314" s="137">
        <f>Transportation_LCIA!I$61*($W314^Transportation_LCIA!I$60)+Transportation_LCIA!I$62</f>
        <v>3.0394189214429766E-6</v>
      </c>
      <c r="AF314" s="137">
        <f>Transportation_LCIA!J$61*($W314^Transportation_LCIA!J$60)+Transportation_LCIA!J$62</f>
        <v>4.5183612782229779E-3</v>
      </c>
      <c r="AG314" s="137">
        <f>Transportation_LCIA!K$61*($W314^Transportation_LCIA!K$60)+Transportation_LCIA!K$62</f>
        <v>7.678540665617406E-3</v>
      </c>
      <c r="AH314" s="137">
        <f>Transportation_LCIA!L$61*($W314^Transportation_LCIA!L$60)+Transportation_LCIA!L$62</f>
        <v>1.334127552124456E-4</v>
      </c>
      <c r="AI314" s="137">
        <f>Transportation_LCIA!M$61*($W314^Transportation_LCIA!M$60)+Transportation_LCIA!M$62</f>
        <v>1.7942365848941578E-4</v>
      </c>
      <c r="AJ314" s="137">
        <f>Transportation_LCIA!N$61*($W314^Transportation_LCIA!N$60)+Transportation_LCIA!N$62</f>
        <v>5.9808875173019706E-4</v>
      </c>
      <c r="AK314" s="137">
        <f>Transportation_LCIA!O$61*($W314^Transportation_LCIA!O$60)+Transportation_LCIA!O$62</f>
        <v>3.9789606340763481E-5</v>
      </c>
      <c r="AL314" s="137">
        <f>Transportation_LCIA!P$61*($W314^Transportation_LCIA!P$60)+Transportation_LCIA!P$62</f>
        <v>1.928569183631254E-8</v>
      </c>
      <c r="AM314" s="137">
        <f>Transportation_LCIA!Q$61*($W314^Transportation_LCIA!Q$60)+Transportation_LCIA!Q$62</f>
        <v>5.3432059025234691E-5</v>
      </c>
      <c r="AN314" s="137">
        <f>Transportation_LCIA!R$61*($W314^Transportation_LCIA!R$60)+Transportation_LCIA!R$62</f>
        <v>1.4664797765435097E-4</v>
      </c>
      <c r="AO314" s="137">
        <f>Transportation_LCIA!S$61*($W314^Transportation_LCIA!S$60)+Transportation_LCIA!S$62</f>
        <v>2.337225442173834E-6</v>
      </c>
      <c r="AP314" s="137">
        <f>Transportation_LCIA!T$61*($W314^Transportation_LCIA!T$60)+Transportation_LCIA!T$62</f>
        <v>2.337225442173834E-6</v>
      </c>
      <c r="AQ314" s="137">
        <f>Transportation_LCIA!U$61*($W314^Transportation_LCIA!U$60)+Transportation_LCIA!U$62</f>
        <v>3.0925395840693005E-4</v>
      </c>
      <c r="AR314" s="137">
        <f>Transportation_LCIA!V$61*($W314^Transportation_LCIA!V$60)+Transportation_LCIA!V$62</f>
        <v>1.3928010182503176E-4</v>
      </c>
      <c r="AT314" s="137">
        <f>$W314*Y314+$L314*Summary_LCIA!H$32</f>
        <v>459.4158467142168</v>
      </c>
      <c r="AU314" s="137">
        <f>$W314*Z314+$L314*Summary_LCIA!Q$32</f>
        <v>4509.5374334006101</v>
      </c>
      <c r="AV314" s="137">
        <f>$W314*AA314+$L314*Summary_LCIA!R$32</f>
        <v>1.7488669087322817</v>
      </c>
      <c r="AW314" s="137">
        <f>$W314*AB314+$L314*Summary_LCIA!S$32</f>
        <v>459.36453935421679</v>
      </c>
      <c r="AX314" s="137">
        <f>$W314*AC314+$L314*Summary_LCIA!T$32</f>
        <v>105.80286172718999</v>
      </c>
      <c r="AY314" s="137">
        <f>$W314*AD314+$L314*Summary_LCIA!U$32</f>
        <v>0.65215779837497334</v>
      </c>
      <c r="AZ314" s="137">
        <f>$W314*AE314+$L314*Summary_LCIA!V$32</f>
        <v>8.9701616466592252E-3</v>
      </c>
      <c r="BA314" s="137">
        <f>$W314*AF314+$L314*Summary_LCIA!W$32</f>
        <v>13.404228547347186</v>
      </c>
      <c r="BB314" s="137">
        <f>$W314*AG314+$L314*Summary_LCIA!X$32</f>
        <v>21.525301254001342</v>
      </c>
      <c r="BC314" s="137">
        <f>$W314*AH314+$L314*Summary_LCIA!Y$32</f>
        <v>0.55027825988324752</v>
      </c>
      <c r="BD314" s="137">
        <f>$W314*AI314+$L314*Summary_LCIA!Z$32</f>
        <v>0.49727658691654275</v>
      </c>
      <c r="BE314" s="137">
        <f>$W314*AJ314+$L314*Summary_LCIA!AA$32</f>
        <v>1.9271456805336471</v>
      </c>
      <c r="BF314" s="137">
        <f>$W314*AK314+$L314*Summary_LCIA!AB$32</f>
        <v>0.10991887473353418</v>
      </c>
      <c r="BG314" s="137">
        <f>$W314*AL314+$L314*Summary_LCIA!AC$32</f>
        <v>5.3966994214853523E-5</v>
      </c>
      <c r="BH314" s="137">
        <f>$W314*AM314+$L314*Summary_LCIA!AD$32</f>
        <v>0.1527177088503236</v>
      </c>
      <c r="BI314" s="137">
        <f>$W314*AN314+$L314*Summary_LCIA!AE$32</f>
        <v>0.41633519425822463</v>
      </c>
      <c r="BJ314" s="137">
        <f>$W314*AO314+$L314*Summary_LCIA!AF$32</f>
        <v>1.6285105763120492E-2</v>
      </c>
      <c r="BK314" s="137">
        <f>$W314*AP314+$L314*Summary_LCIA!AG$32</f>
        <v>7.0653937231204885E-3</v>
      </c>
      <c r="BL314" s="137">
        <f>$W314*AQ314+$L314*Summary_LCIA!AH$32</f>
        <v>0.95731499874431236</v>
      </c>
      <c r="BM314" s="137">
        <f>$W314*AR314+$L314*Summary_LCIA!AI$32</f>
        <v>0.39646174874981921</v>
      </c>
    </row>
    <row r="315" spans="1:65" x14ac:dyDescent="0.25">
      <c r="A315" s="149">
        <v>336</v>
      </c>
      <c r="B315" s="149">
        <v>6</v>
      </c>
      <c r="C315" s="61">
        <v>47.606209</v>
      </c>
      <c r="D315" s="61">
        <v>-122.332071</v>
      </c>
      <c r="E315" s="61" t="s">
        <v>265</v>
      </c>
      <c r="F315" s="149">
        <v>29</v>
      </c>
      <c r="G315" s="61" t="s">
        <v>565</v>
      </c>
      <c r="H315" s="61" t="s">
        <v>719</v>
      </c>
      <c r="I315" s="61">
        <v>47.450249999999997</v>
      </c>
      <c r="J315" s="61">
        <v>-122.308817</v>
      </c>
      <c r="K315" s="61">
        <v>34.697320689999998</v>
      </c>
      <c r="L315" s="61">
        <v>22.074999999999999</v>
      </c>
      <c r="M315" s="61" t="s">
        <v>617</v>
      </c>
      <c r="N315" s="149">
        <v>5</v>
      </c>
      <c r="O315" s="149">
        <v>6</v>
      </c>
      <c r="P315" s="61" t="s">
        <v>565</v>
      </c>
      <c r="Q315" s="61" t="s">
        <v>564</v>
      </c>
      <c r="R315" s="61">
        <v>41.98028</v>
      </c>
      <c r="S315" s="61">
        <v>-87.908997900000003</v>
      </c>
      <c r="T315" s="61">
        <v>3299.4989999999998</v>
      </c>
      <c r="U315" s="61" t="s">
        <v>617</v>
      </c>
      <c r="V315" s="61" t="s">
        <v>569</v>
      </c>
      <c r="W315" s="61" cm="1">
        <f t="array" ref="W315">getDistance(I315,J315,R315,S315)*SA!$B$12</f>
        <v>2768.8687134525744</v>
      </c>
      <c r="X315" s="61"/>
      <c r="Y315" s="137">
        <f>Transportation_LCIA!C$61*($W315^Transportation_LCIA!C$60)+Transportation_LCIA!C$62</f>
        <v>0.16449730754705144</v>
      </c>
      <c r="Z315" s="137">
        <f>Transportation_LCIA!D$61*($W315^Transportation_LCIA!D$60)+Transportation_LCIA!D$62</f>
        <v>1.607879629086141</v>
      </c>
      <c r="AA315" s="137">
        <f>Transportation_LCIA!E$61*($W315^Transportation_LCIA!E$60)+Transportation_LCIA!E$62</f>
        <v>6.0954274059017775E-4</v>
      </c>
      <c r="AB315" s="137">
        <f>Transportation_LCIA!F$61*($W315^Transportation_LCIA!F$60)+Transportation_LCIA!F$62</f>
        <v>0.16449730754705144</v>
      </c>
      <c r="AC315" s="137">
        <f>Transportation_LCIA!G$61*($W315^Transportation_LCIA!G$60)+Transportation_LCIA!G$62</f>
        <v>3.7750848214414753E-2</v>
      </c>
      <c r="AD315" s="137">
        <f>Transportation_LCIA!H$61*($W315^Transportation_LCIA!H$60)+Transportation_LCIA!H$62</f>
        <v>1.6043089519440367E-4</v>
      </c>
      <c r="AE315" s="137">
        <f>Transportation_LCIA!I$61*($W315^Transportation_LCIA!I$60)+Transportation_LCIA!I$62</f>
        <v>3.0394189214429766E-6</v>
      </c>
      <c r="AF315" s="137">
        <f>Transportation_LCIA!J$61*($W315^Transportation_LCIA!J$60)+Transportation_LCIA!J$62</f>
        <v>4.5183612782229779E-3</v>
      </c>
      <c r="AG315" s="137">
        <f>Transportation_LCIA!K$61*($W315^Transportation_LCIA!K$60)+Transportation_LCIA!K$62</f>
        <v>7.678540665617406E-3</v>
      </c>
      <c r="AH315" s="137">
        <f>Transportation_LCIA!L$61*($W315^Transportation_LCIA!L$60)+Transportation_LCIA!L$62</f>
        <v>1.334127552124456E-4</v>
      </c>
      <c r="AI315" s="137">
        <f>Transportation_LCIA!M$61*($W315^Transportation_LCIA!M$60)+Transportation_LCIA!M$62</f>
        <v>1.7942365848941578E-4</v>
      </c>
      <c r="AJ315" s="137">
        <f>Transportation_LCIA!N$61*($W315^Transportation_LCIA!N$60)+Transportation_LCIA!N$62</f>
        <v>5.9808875173019706E-4</v>
      </c>
      <c r="AK315" s="137">
        <f>Transportation_LCIA!O$61*($W315^Transportation_LCIA!O$60)+Transportation_LCIA!O$62</f>
        <v>3.9789606340763481E-5</v>
      </c>
      <c r="AL315" s="137">
        <f>Transportation_LCIA!P$61*($W315^Transportation_LCIA!P$60)+Transportation_LCIA!P$62</f>
        <v>1.928569183631254E-8</v>
      </c>
      <c r="AM315" s="137">
        <f>Transportation_LCIA!Q$61*($W315^Transportation_LCIA!Q$60)+Transportation_LCIA!Q$62</f>
        <v>5.3432059025234691E-5</v>
      </c>
      <c r="AN315" s="137">
        <f>Transportation_LCIA!R$61*($W315^Transportation_LCIA!R$60)+Transportation_LCIA!R$62</f>
        <v>1.4664797765435097E-4</v>
      </c>
      <c r="AO315" s="137">
        <f>Transportation_LCIA!S$61*($W315^Transportation_LCIA!S$60)+Transportation_LCIA!S$62</f>
        <v>2.337225442173834E-6</v>
      </c>
      <c r="AP315" s="137">
        <f>Transportation_LCIA!T$61*($W315^Transportation_LCIA!T$60)+Transportation_LCIA!T$62</f>
        <v>2.337225442173834E-6</v>
      </c>
      <c r="AQ315" s="137">
        <f>Transportation_LCIA!U$61*($W315^Transportation_LCIA!U$60)+Transportation_LCIA!U$62</f>
        <v>3.0925395840693005E-4</v>
      </c>
      <c r="AR315" s="137">
        <f>Transportation_LCIA!V$61*($W315^Transportation_LCIA!V$60)+Transportation_LCIA!V$62</f>
        <v>1.3928010182503176E-4</v>
      </c>
      <c r="AT315" s="137">
        <f>$W315*Y315+$L315*Summary_LCIA!H$32</f>
        <v>462.97253331421678</v>
      </c>
      <c r="AU315" s="137">
        <f>$W315*Z315+$L315*Summary_LCIA!Q$32</f>
        <v>4561.412413282821</v>
      </c>
      <c r="AV315" s="137">
        <f>$W315*AA315+$L315*Summary_LCIA!R$32</f>
        <v>1.8039819439322817</v>
      </c>
      <c r="AW315" s="137">
        <f>$W315*AB315+$L315*Summary_LCIA!S$32</f>
        <v>462.87496181421676</v>
      </c>
      <c r="AX315" s="137">
        <f>$W315*AC315+$L315*Summary_LCIA!T$32</f>
        <v>106.95318502718999</v>
      </c>
      <c r="AY315" s="137">
        <f>$W315*AD315+$L315*Summary_LCIA!U$32</f>
        <v>0.83966363637497321</v>
      </c>
      <c r="AZ315" s="137">
        <f>$W315*AE315+$L315*Summary_LCIA!V$32</f>
        <v>9.4700760336592256E-3</v>
      </c>
      <c r="BA315" s="137">
        <f>$W315*AF315+$L315*Summary_LCIA!W$32</f>
        <v>14.209884004347186</v>
      </c>
      <c r="BB315" s="137">
        <f>$W315*AG315+$L315*Summary_LCIA!X$32</f>
        <v>21.763739514001344</v>
      </c>
      <c r="BC315" s="137">
        <f>$W315*AH315+$L315*Summary_LCIA!Y$32</f>
        <v>0.71337505388324751</v>
      </c>
      <c r="BD315" s="137">
        <f>$W315*AI315+$L315*Summary_LCIA!Z$32</f>
        <v>0.49770582811954273</v>
      </c>
      <c r="BE315" s="137">
        <f>$W315*AJ315+$L315*Summary_LCIA!AA$32</f>
        <v>2.1716129325336468</v>
      </c>
      <c r="BF315" s="137">
        <f>$W315*AK315+$L315*Summary_LCIA!AB$32</f>
        <v>0.10969045339253418</v>
      </c>
      <c r="BG315" s="137">
        <f>$W315*AL315+$L315*Summary_LCIA!AC$32</f>
        <v>5.4478663042853521E-5</v>
      </c>
      <c r="BH315" s="137">
        <f>$W315*AM315+$L315*Summary_LCIA!AD$32</f>
        <v>0.15702006453032358</v>
      </c>
      <c r="BI315" s="137">
        <f>$W315*AN315+$L315*Summary_LCIA!AE$32</f>
        <v>0.4256103169682246</v>
      </c>
      <c r="BJ315" s="137">
        <f>$W315*AO315+$L315*Summary_LCIA!AF$32</f>
        <v>2.513411690312049E-2</v>
      </c>
      <c r="BK315" s="137">
        <f>$W315*AP315+$L315*Summary_LCIA!AG$32</f>
        <v>7.6009377781204885E-3</v>
      </c>
      <c r="BL315" s="137">
        <f>$W315*AQ315+$L315*Summary_LCIA!AH$32</f>
        <v>1.0484155799443124</v>
      </c>
      <c r="BM315" s="137">
        <f>$W315*AR315+$L315*Summary_LCIA!AI$32</f>
        <v>0.40621228259981923</v>
      </c>
    </row>
    <row r="316" spans="1:65" x14ac:dyDescent="0.25">
      <c r="A316" s="149">
        <v>340</v>
      </c>
      <c r="B316" s="149">
        <v>6</v>
      </c>
      <c r="C316" s="61">
        <v>47.606209</v>
      </c>
      <c r="D316" s="61">
        <v>-122.332071</v>
      </c>
      <c r="E316" s="61" t="s">
        <v>265</v>
      </c>
      <c r="F316" s="149">
        <v>29</v>
      </c>
      <c r="G316" s="61" t="s">
        <v>565</v>
      </c>
      <c r="H316" s="61" t="s">
        <v>719</v>
      </c>
      <c r="I316" s="61">
        <v>47.450249999999997</v>
      </c>
      <c r="J316" s="61">
        <v>-122.308817</v>
      </c>
      <c r="K316" s="61">
        <v>34.697320689999998</v>
      </c>
      <c r="L316" s="61">
        <v>22.074999999999999</v>
      </c>
      <c r="M316" s="61" t="s">
        <v>617</v>
      </c>
      <c r="N316" s="149">
        <v>5</v>
      </c>
      <c r="O316" s="149">
        <v>6</v>
      </c>
      <c r="P316" s="61" t="s">
        <v>565</v>
      </c>
      <c r="Q316" s="61" t="s">
        <v>564</v>
      </c>
      <c r="R316" s="61">
        <v>41.98028</v>
      </c>
      <c r="S316" s="61">
        <v>-87.908997900000003</v>
      </c>
      <c r="T316" s="61">
        <v>3299.4989999999998</v>
      </c>
      <c r="U316" s="61" t="s">
        <v>617</v>
      </c>
      <c r="V316" s="61" t="s">
        <v>569</v>
      </c>
      <c r="W316" s="61" cm="1">
        <f t="array" ref="W316">getDistance(I316,J316,R316,S316)*SA!$B$12</f>
        <v>2768.8687134525744</v>
      </c>
      <c r="X316" s="61"/>
      <c r="Y316" s="137">
        <f>Transportation_LCIA!C$61*($W316^Transportation_LCIA!C$60)+Transportation_LCIA!C$62</f>
        <v>0.16449730754705144</v>
      </c>
      <c r="Z316" s="137">
        <f>Transportation_LCIA!D$61*($W316^Transportation_LCIA!D$60)+Transportation_LCIA!D$62</f>
        <v>1.607879629086141</v>
      </c>
      <c r="AA316" s="137">
        <f>Transportation_LCIA!E$61*($W316^Transportation_LCIA!E$60)+Transportation_LCIA!E$62</f>
        <v>6.0954274059017775E-4</v>
      </c>
      <c r="AB316" s="137">
        <f>Transportation_LCIA!F$61*($W316^Transportation_LCIA!F$60)+Transportation_LCIA!F$62</f>
        <v>0.16449730754705144</v>
      </c>
      <c r="AC316" s="137">
        <f>Transportation_LCIA!G$61*($W316^Transportation_LCIA!G$60)+Transportation_LCIA!G$62</f>
        <v>3.7750848214414753E-2</v>
      </c>
      <c r="AD316" s="137">
        <f>Transportation_LCIA!H$61*($W316^Transportation_LCIA!H$60)+Transportation_LCIA!H$62</f>
        <v>1.6043089519440367E-4</v>
      </c>
      <c r="AE316" s="137">
        <f>Transportation_LCIA!I$61*($W316^Transportation_LCIA!I$60)+Transportation_LCIA!I$62</f>
        <v>3.0394189214429766E-6</v>
      </c>
      <c r="AF316" s="137">
        <f>Transportation_LCIA!J$61*($W316^Transportation_LCIA!J$60)+Transportation_LCIA!J$62</f>
        <v>4.5183612782229779E-3</v>
      </c>
      <c r="AG316" s="137">
        <f>Transportation_LCIA!K$61*($W316^Transportation_LCIA!K$60)+Transportation_LCIA!K$62</f>
        <v>7.678540665617406E-3</v>
      </c>
      <c r="AH316" s="137">
        <f>Transportation_LCIA!L$61*($W316^Transportation_LCIA!L$60)+Transportation_LCIA!L$62</f>
        <v>1.334127552124456E-4</v>
      </c>
      <c r="AI316" s="137">
        <f>Transportation_LCIA!M$61*($W316^Transportation_LCIA!M$60)+Transportation_LCIA!M$62</f>
        <v>1.7942365848941578E-4</v>
      </c>
      <c r="AJ316" s="137">
        <f>Transportation_LCIA!N$61*($W316^Transportation_LCIA!N$60)+Transportation_LCIA!N$62</f>
        <v>5.9808875173019706E-4</v>
      </c>
      <c r="AK316" s="137">
        <f>Transportation_LCIA!O$61*($W316^Transportation_LCIA!O$60)+Transportation_LCIA!O$62</f>
        <v>3.9789606340763481E-5</v>
      </c>
      <c r="AL316" s="137">
        <f>Transportation_LCIA!P$61*($W316^Transportation_LCIA!P$60)+Transportation_LCIA!P$62</f>
        <v>1.928569183631254E-8</v>
      </c>
      <c r="AM316" s="137">
        <f>Transportation_LCIA!Q$61*($W316^Transportation_LCIA!Q$60)+Transportation_LCIA!Q$62</f>
        <v>5.3432059025234691E-5</v>
      </c>
      <c r="AN316" s="137">
        <f>Transportation_LCIA!R$61*($W316^Transportation_LCIA!R$60)+Transportation_LCIA!R$62</f>
        <v>1.4664797765435097E-4</v>
      </c>
      <c r="AO316" s="137">
        <f>Transportation_LCIA!S$61*($W316^Transportation_LCIA!S$60)+Transportation_LCIA!S$62</f>
        <v>2.337225442173834E-6</v>
      </c>
      <c r="AP316" s="137">
        <f>Transportation_LCIA!T$61*($W316^Transportation_LCIA!T$60)+Transportation_LCIA!T$62</f>
        <v>2.337225442173834E-6</v>
      </c>
      <c r="AQ316" s="137">
        <f>Transportation_LCIA!U$61*($W316^Transportation_LCIA!U$60)+Transportation_LCIA!U$62</f>
        <v>3.0925395840693005E-4</v>
      </c>
      <c r="AR316" s="137">
        <f>Transportation_LCIA!V$61*($W316^Transportation_LCIA!V$60)+Transportation_LCIA!V$62</f>
        <v>1.3928010182503176E-4</v>
      </c>
      <c r="AT316" s="137">
        <f>$W316*Y316+$L316*Summary_LCIA!H$32</f>
        <v>462.97253331421678</v>
      </c>
      <c r="AU316" s="137">
        <f>$W316*Z316+$L316*Summary_LCIA!Q$32</f>
        <v>4561.412413282821</v>
      </c>
      <c r="AV316" s="137">
        <f>$W316*AA316+$L316*Summary_LCIA!R$32</f>
        <v>1.8039819439322817</v>
      </c>
      <c r="AW316" s="137">
        <f>$W316*AB316+$L316*Summary_LCIA!S$32</f>
        <v>462.87496181421676</v>
      </c>
      <c r="AX316" s="137">
        <f>$W316*AC316+$L316*Summary_LCIA!T$32</f>
        <v>106.95318502718999</v>
      </c>
      <c r="AY316" s="137">
        <f>$W316*AD316+$L316*Summary_LCIA!U$32</f>
        <v>0.83966363637497321</v>
      </c>
      <c r="AZ316" s="137">
        <f>$W316*AE316+$L316*Summary_LCIA!V$32</f>
        <v>9.4700760336592256E-3</v>
      </c>
      <c r="BA316" s="137">
        <f>$W316*AF316+$L316*Summary_LCIA!W$32</f>
        <v>14.209884004347186</v>
      </c>
      <c r="BB316" s="137">
        <f>$W316*AG316+$L316*Summary_LCIA!X$32</f>
        <v>21.763739514001344</v>
      </c>
      <c r="BC316" s="137">
        <f>$W316*AH316+$L316*Summary_LCIA!Y$32</f>
        <v>0.71337505388324751</v>
      </c>
      <c r="BD316" s="137">
        <f>$W316*AI316+$L316*Summary_LCIA!Z$32</f>
        <v>0.49770582811954273</v>
      </c>
      <c r="BE316" s="137">
        <f>$W316*AJ316+$L316*Summary_LCIA!AA$32</f>
        <v>2.1716129325336468</v>
      </c>
      <c r="BF316" s="137">
        <f>$W316*AK316+$L316*Summary_LCIA!AB$32</f>
        <v>0.10969045339253418</v>
      </c>
      <c r="BG316" s="137">
        <f>$W316*AL316+$L316*Summary_LCIA!AC$32</f>
        <v>5.4478663042853521E-5</v>
      </c>
      <c r="BH316" s="137">
        <f>$W316*AM316+$L316*Summary_LCIA!AD$32</f>
        <v>0.15702006453032358</v>
      </c>
      <c r="BI316" s="137">
        <f>$W316*AN316+$L316*Summary_LCIA!AE$32</f>
        <v>0.4256103169682246</v>
      </c>
      <c r="BJ316" s="137">
        <f>$W316*AO316+$L316*Summary_LCIA!AF$32</f>
        <v>2.513411690312049E-2</v>
      </c>
      <c r="BK316" s="137">
        <f>$W316*AP316+$L316*Summary_LCIA!AG$32</f>
        <v>7.6009377781204885E-3</v>
      </c>
      <c r="BL316" s="137">
        <f>$W316*AQ316+$L316*Summary_LCIA!AH$32</f>
        <v>1.0484155799443124</v>
      </c>
      <c r="BM316" s="137">
        <f>$W316*AR316+$L316*Summary_LCIA!AI$32</f>
        <v>0.40621228259981923</v>
      </c>
    </row>
    <row r="317" spans="1:65" x14ac:dyDescent="0.25">
      <c r="A317" s="149">
        <v>341</v>
      </c>
      <c r="B317" s="149">
        <v>6</v>
      </c>
      <c r="C317" s="61">
        <v>47.606209</v>
      </c>
      <c r="D317" s="61">
        <v>-122.332071</v>
      </c>
      <c r="E317" s="61" t="s">
        <v>265</v>
      </c>
      <c r="F317" s="149">
        <v>29</v>
      </c>
      <c r="G317" s="61" t="s">
        <v>565</v>
      </c>
      <c r="H317" s="61" t="s">
        <v>719</v>
      </c>
      <c r="I317" s="61">
        <v>47.450249999999997</v>
      </c>
      <c r="J317" s="61">
        <v>-122.308817</v>
      </c>
      <c r="K317" s="61">
        <v>34.697320689999998</v>
      </c>
      <c r="L317" s="61">
        <v>22.074999999999999</v>
      </c>
      <c r="M317" s="61" t="s">
        <v>617</v>
      </c>
      <c r="N317" s="149">
        <v>5</v>
      </c>
      <c r="O317" s="149">
        <v>6</v>
      </c>
      <c r="P317" s="61" t="s">
        <v>565</v>
      </c>
      <c r="Q317" s="61" t="s">
        <v>564</v>
      </c>
      <c r="R317" s="61">
        <v>41.98028</v>
      </c>
      <c r="S317" s="61">
        <v>-87.908997900000003</v>
      </c>
      <c r="T317" s="61">
        <v>3299.4989999999998</v>
      </c>
      <c r="U317" s="61" t="s">
        <v>617</v>
      </c>
      <c r="V317" s="61" t="s">
        <v>569</v>
      </c>
      <c r="W317" s="61" cm="1">
        <f t="array" ref="W317">getDistance(I317,J317,R317,S317)*SA!$B$12</f>
        <v>2768.8687134525744</v>
      </c>
      <c r="X317" s="61"/>
      <c r="Y317" s="137">
        <f>Transportation_LCIA!C$61*($W317^Transportation_LCIA!C$60)+Transportation_LCIA!C$62</f>
        <v>0.16449730754705144</v>
      </c>
      <c r="Z317" s="137">
        <f>Transportation_LCIA!D$61*($W317^Transportation_LCIA!D$60)+Transportation_LCIA!D$62</f>
        <v>1.607879629086141</v>
      </c>
      <c r="AA317" s="137">
        <f>Transportation_LCIA!E$61*($W317^Transportation_LCIA!E$60)+Transportation_LCIA!E$62</f>
        <v>6.0954274059017775E-4</v>
      </c>
      <c r="AB317" s="137">
        <f>Transportation_LCIA!F$61*($W317^Transportation_LCIA!F$60)+Transportation_LCIA!F$62</f>
        <v>0.16449730754705144</v>
      </c>
      <c r="AC317" s="137">
        <f>Transportation_LCIA!G$61*($W317^Transportation_LCIA!G$60)+Transportation_LCIA!G$62</f>
        <v>3.7750848214414753E-2</v>
      </c>
      <c r="AD317" s="137">
        <f>Transportation_LCIA!H$61*($W317^Transportation_LCIA!H$60)+Transportation_LCIA!H$62</f>
        <v>1.6043089519440367E-4</v>
      </c>
      <c r="AE317" s="137">
        <f>Transportation_LCIA!I$61*($W317^Transportation_LCIA!I$60)+Transportation_LCIA!I$62</f>
        <v>3.0394189214429766E-6</v>
      </c>
      <c r="AF317" s="137">
        <f>Transportation_LCIA!J$61*($W317^Transportation_LCIA!J$60)+Transportation_LCIA!J$62</f>
        <v>4.5183612782229779E-3</v>
      </c>
      <c r="AG317" s="137">
        <f>Transportation_LCIA!K$61*($W317^Transportation_LCIA!K$60)+Transportation_LCIA!K$62</f>
        <v>7.678540665617406E-3</v>
      </c>
      <c r="AH317" s="137">
        <f>Transportation_LCIA!L$61*($W317^Transportation_LCIA!L$60)+Transportation_LCIA!L$62</f>
        <v>1.334127552124456E-4</v>
      </c>
      <c r="AI317" s="137">
        <f>Transportation_LCIA!M$61*($W317^Transportation_LCIA!M$60)+Transportation_LCIA!M$62</f>
        <v>1.7942365848941578E-4</v>
      </c>
      <c r="AJ317" s="137">
        <f>Transportation_LCIA!N$61*($W317^Transportation_LCIA!N$60)+Transportation_LCIA!N$62</f>
        <v>5.9808875173019706E-4</v>
      </c>
      <c r="AK317" s="137">
        <f>Transportation_LCIA!O$61*($W317^Transportation_LCIA!O$60)+Transportation_LCIA!O$62</f>
        <v>3.9789606340763481E-5</v>
      </c>
      <c r="AL317" s="137">
        <f>Transportation_LCIA!P$61*($W317^Transportation_LCIA!P$60)+Transportation_LCIA!P$62</f>
        <v>1.928569183631254E-8</v>
      </c>
      <c r="AM317" s="137">
        <f>Transportation_LCIA!Q$61*($W317^Transportation_LCIA!Q$60)+Transportation_LCIA!Q$62</f>
        <v>5.3432059025234691E-5</v>
      </c>
      <c r="AN317" s="137">
        <f>Transportation_LCIA!R$61*($W317^Transportation_LCIA!R$60)+Transportation_LCIA!R$62</f>
        <v>1.4664797765435097E-4</v>
      </c>
      <c r="AO317" s="137">
        <f>Transportation_LCIA!S$61*($W317^Transportation_LCIA!S$60)+Transportation_LCIA!S$62</f>
        <v>2.337225442173834E-6</v>
      </c>
      <c r="AP317" s="137">
        <f>Transportation_LCIA!T$61*($W317^Transportation_LCIA!T$60)+Transportation_LCIA!T$62</f>
        <v>2.337225442173834E-6</v>
      </c>
      <c r="AQ317" s="137">
        <f>Transportation_LCIA!U$61*($W317^Transportation_LCIA!U$60)+Transportation_LCIA!U$62</f>
        <v>3.0925395840693005E-4</v>
      </c>
      <c r="AR317" s="137">
        <f>Transportation_LCIA!V$61*($W317^Transportation_LCIA!V$60)+Transportation_LCIA!V$62</f>
        <v>1.3928010182503176E-4</v>
      </c>
      <c r="AT317" s="137">
        <f>$W317*Y317+$L317*Summary_LCIA!H$32</f>
        <v>462.97253331421678</v>
      </c>
      <c r="AU317" s="137">
        <f>$W317*Z317+$L317*Summary_LCIA!Q$32</f>
        <v>4561.412413282821</v>
      </c>
      <c r="AV317" s="137">
        <f>$W317*AA317+$L317*Summary_LCIA!R$32</f>
        <v>1.8039819439322817</v>
      </c>
      <c r="AW317" s="137">
        <f>$W317*AB317+$L317*Summary_LCIA!S$32</f>
        <v>462.87496181421676</v>
      </c>
      <c r="AX317" s="137">
        <f>$W317*AC317+$L317*Summary_LCIA!T$32</f>
        <v>106.95318502718999</v>
      </c>
      <c r="AY317" s="137">
        <f>$W317*AD317+$L317*Summary_LCIA!U$32</f>
        <v>0.83966363637497321</v>
      </c>
      <c r="AZ317" s="137">
        <f>$W317*AE317+$L317*Summary_LCIA!V$32</f>
        <v>9.4700760336592256E-3</v>
      </c>
      <c r="BA317" s="137">
        <f>$W317*AF317+$L317*Summary_LCIA!W$32</f>
        <v>14.209884004347186</v>
      </c>
      <c r="BB317" s="137">
        <f>$W317*AG317+$L317*Summary_LCIA!X$32</f>
        <v>21.763739514001344</v>
      </c>
      <c r="BC317" s="137">
        <f>$W317*AH317+$L317*Summary_LCIA!Y$32</f>
        <v>0.71337505388324751</v>
      </c>
      <c r="BD317" s="137">
        <f>$W317*AI317+$L317*Summary_LCIA!Z$32</f>
        <v>0.49770582811954273</v>
      </c>
      <c r="BE317" s="137">
        <f>$W317*AJ317+$L317*Summary_LCIA!AA$32</f>
        <v>2.1716129325336468</v>
      </c>
      <c r="BF317" s="137">
        <f>$W317*AK317+$L317*Summary_LCIA!AB$32</f>
        <v>0.10969045339253418</v>
      </c>
      <c r="BG317" s="137">
        <f>$W317*AL317+$L317*Summary_LCIA!AC$32</f>
        <v>5.4478663042853521E-5</v>
      </c>
      <c r="BH317" s="137">
        <f>$W317*AM317+$L317*Summary_LCIA!AD$32</f>
        <v>0.15702006453032358</v>
      </c>
      <c r="BI317" s="137">
        <f>$W317*AN317+$L317*Summary_LCIA!AE$32</f>
        <v>0.4256103169682246</v>
      </c>
      <c r="BJ317" s="137">
        <f>$W317*AO317+$L317*Summary_LCIA!AF$32</f>
        <v>2.513411690312049E-2</v>
      </c>
      <c r="BK317" s="137">
        <f>$W317*AP317+$L317*Summary_LCIA!AG$32</f>
        <v>7.6009377781204885E-3</v>
      </c>
      <c r="BL317" s="137">
        <f>$W317*AQ317+$L317*Summary_LCIA!AH$32</f>
        <v>1.0484155799443124</v>
      </c>
      <c r="BM317" s="137">
        <f>$W317*AR317+$L317*Summary_LCIA!AI$32</f>
        <v>0.40621228259981923</v>
      </c>
    </row>
    <row r="318" spans="1:65" x14ac:dyDescent="0.25">
      <c r="A318" s="149">
        <v>342</v>
      </c>
      <c r="B318" s="149">
        <v>6</v>
      </c>
      <c r="C318" s="61">
        <v>47.606209</v>
      </c>
      <c r="D318" s="61">
        <v>-122.332071</v>
      </c>
      <c r="E318" s="61" t="s">
        <v>265</v>
      </c>
      <c r="F318" s="149">
        <v>29</v>
      </c>
      <c r="G318" s="61" t="s">
        <v>565</v>
      </c>
      <c r="H318" s="61" t="s">
        <v>719</v>
      </c>
      <c r="I318" s="61">
        <v>47.450249999999997</v>
      </c>
      <c r="J318" s="61">
        <v>-122.308817</v>
      </c>
      <c r="K318" s="61">
        <v>34.697320689999998</v>
      </c>
      <c r="L318" s="61">
        <v>22.074999999999999</v>
      </c>
      <c r="M318" s="61" t="s">
        <v>617</v>
      </c>
      <c r="N318" s="149">
        <v>5</v>
      </c>
      <c r="O318" s="149">
        <v>6</v>
      </c>
      <c r="P318" s="61" t="s">
        <v>565</v>
      </c>
      <c r="Q318" s="61" t="s">
        <v>564</v>
      </c>
      <c r="R318" s="61">
        <v>41.98028</v>
      </c>
      <c r="S318" s="61">
        <v>-87.908997900000003</v>
      </c>
      <c r="T318" s="61">
        <v>3299.4989999999998</v>
      </c>
      <c r="U318" s="61" t="s">
        <v>617</v>
      </c>
      <c r="V318" s="61" t="s">
        <v>569</v>
      </c>
      <c r="W318" s="61" cm="1">
        <f t="array" ref="W318">getDistance(I318,J318,R318,S318)*SA!$B$12</f>
        <v>2768.8687134525744</v>
      </c>
      <c r="X318" s="61"/>
      <c r="Y318" s="137">
        <f>Transportation_LCIA!C$61*($W318^Transportation_LCIA!C$60)+Transportation_LCIA!C$62</f>
        <v>0.16449730754705144</v>
      </c>
      <c r="Z318" s="137">
        <f>Transportation_LCIA!D$61*($W318^Transportation_LCIA!D$60)+Transportation_LCIA!D$62</f>
        <v>1.607879629086141</v>
      </c>
      <c r="AA318" s="137">
        <f>Transportation_LCIA!E$61*($W318^Transportation_LCIA!E$60)+Transportation_LCIA!E$62</f>
        <v>6.0954274059017775E-4</v>
      </c>
      <c r="AB318" s="137">
        <f>Transportation_LCIA!F$61*($W318^Transportation_LCIA!F$60)+Transportation_LCIA!F$62</f>
        <v>0.16449730754705144</v>
      </c>
      <c r="AC318" s="137">
        <f>Transportation_LCIA!G$61*($W318^Transportation_LCIA!G$60)+Transportation_LCIA!G$62</f>
        <v>3.7750848214414753E-2</v>
      </c>
      <c r="AD318" s="137">
        <f>Transportation_LCIA!H$61*($W318^Transportation_LCIA!H$60)+Transportation_LCIA!H$62</f>
        <v>1.6043089519440367E-4</v>
      </c>
      <c r="AE318" s="137">
        <f>Transportation_LCIA!I$61*($W318^Transportation_LCIA!I$60)+Transportation_LCIA!I$62</f>
        <v>3.0394189214429766E-6</v>
      </c>
      <c r="AF318" s="137">
        <f>Transportation_LCIA!J$61*($W318^Transportation_LCIA!J$60)+Transportation_LCIA!J$62</f>
        <v>4.5183612782229779E-3</v>
      </c>
      <c r="AG318" s="137">
        <f>Transportation_LCIA!K$61*($W318^Transportation_LCIA!K$60)+Transportation_LCIA!K$62</f>
        <v>7.678540665617406E-3</v>
      </c>
      <c r="AH318" s="137">
        <f>Transportation_LCIA!L$61*($W318^Transportation_LCIA!L$60)+Transportation_LCIA!L$62</f>
        <v>1.334127552124456E-4</v>
      </c>
      <c r="AI318" s="137">
        <f>Transportation_LCIA!M$61*($W318^Transportation_LCIA!M$60)+Transportation_LCIA!M$62</f>
        <v>1.7942365848941578E-4</v>
      </c>
      <c r="AJ318" s="137">
        <f>Transportation_LCIA!N$61*($W318^Transportation_LCIA!N$60)+Transportation_LCIA!N$62</f>
        <v>5.9808875173019706E-4</v>
      </c>
      <c r="AK318" s="137">
        <f>Transportation_LCIA!O$61*($W318^Transportation_LCIA!O$60)+Transportation_LCIA!O$62</f>
        <v>3.9789606340763481E-5</v>
      </c>
      <c r="AL318" s="137">
        <f>Transportation_LCIA!P$61*($W318^Transportation_LCIA!P$60)+Transportation_LCIA!P$62</f>
        <v>1.928569183631254E-8</v>
      </c>
      <c r="AM318" s="137">
        <f>Transportation_LCIA!Q$61*($W318^Transportation_LCIA!Q$60)+Transportation_LCIA!Q$62</f>
        <v>5.3432059025234691E-5</v>
      </c>
      <c r="AN318" s="137">
        <f>Transportation_LCIA!R$61*($W318^Transportation_LCIA!R$60)+Transportation_LCIA!R$62</f>
        <v>1.4664797765435097E-4</v>
      </c>
      <c r="AO318" s="137">
        <f>Transportation_LCIA!S$61*($W318^Transportation_LCIA!S$60)+Transportation_LCIA!S$62</f>
        <v>2.337225442173834E-6</v>
      </c>
      <c r="AP318" s="137">
        <f>Transportation_LCIA!T$61*($W318^Transportation_LCIA!T$60)+Transportation_LCIA!T$62</f>
        <v>2.337225442173834E-6</v>
      </c>
      <c r="AQ318" s="137">
        <f>Transportation_LCIA!U$61*($W318^Transportation_LCIA!U$60)+Transportation_LCIA!U$62</f>
        <v>3.0925395840693005E-4</v>
      </c>
      <c r="AR318" s="137">
        <f>Transportation_LCIA!V$61*($W318^Transportation_LCIA!V$60)+Transportation_LCIA!V$62</f>
        <v>1.3928010182503176E-4</v>
      </c>
      <c r="AT318" s="137">
        <f>$W318*Y318+$L318*Summary_LCIA!H$32</f>
        <v>462.97253331421678</v>
      </c>
      <c r="AU318" s="137">
        <f>$W318*Z318+$L318*Summary_LCIA!Q$32</f>
        <v>4561.412413282821</v>
      </c>
      <c r="AV318" s="137">
        <f>$W318*AA318+$L318*Summary_LCIA!R$32</f>
        <v>1.8039819439322817</v>
      </c>
      <c r="AW318" s="137">
        <f>$W318*AB318+$L318*Summary_LCIA!S$32</f>
        <v>462.87496181421676</v>
      </c>
      <c r="AX318" s="137">
        <f>$W318*AC318+$L318*Summary_LCIA!T$32</f>
        <v>106.95318502718999</v>
      </c>
      <c r="AY318" s="137">
        <f>$W318*AD318+$L318*Summary_LCIA!U$32</f>
        <v>0.83966363637497321</v>
      </c>
      <c r="AZ318" s="137">
        <f>$W318*AE318+$L318*Summary_LCIA!V$32</f>
        <v>9.4700760336592256E-3</v>
      </c>
      <c r="BA318" s="137">
        <f>$W318*AF318+$L318*Summary_LCIA!W$32</f>
        <v>14.209884004347186</v>
      </c>
      <c r="BB318" s="137">
        <f>$W318*AG318+$L318*Summary_LCIA!X$32</f>
        <v>21.763739514001344</v>
      </c>
      <c r="BC318" s="137">
        <f>$W318*AH318+$L318*Summary_LCIA!Y$32</f>
        <v>0.71337505388324751</v>
      </c>
      <c r="BD318" s="137">
        <f>$W318*AI318+$L318*Summary_LCIA!Z$32</f>
        <v>0.49770582811954273</v>
      </c>
      <c r="BE318" s="137">
        <f>$W318*AJ318+$L318*Summary_LCIA!AA$32</f>
        <v>2.1716129325336468</v>
      </c>
      <c r="BF318" s="137">
        <f>$W318*AK318+$L318*Summary_LCIA!AB$32</f>
        <v>0.10969045339253418</v>
      </c>
      <c r="BG318" s="137">
        <f>$W318*AL318+$L318*Summary_LCIA!AC$32</f>
        <v>5.4478663042853521E-5</v>
      </c>
      <c r="BH318" s="137">
        <f>$W318*AM318+$L318*Summary_LCIA!AD$32</f>
        <v>0.15702006453032358</v>
      </c>
      <c r="BI318" s="137">
        <f>$W318*AN318+$L318*Summary_LCIA!AE$32</f>
        <v>0.4256103169682246</v>
      </c>
      <c r="BJ318" s="137">
        <f>$W318*AO318+$L318*Summary_LCIA!AF$32</f>
        <v>2.513411690312049E-2</v>
      </c>
      <c r="BK318" s="137">
        <f>$W318*AP318+$L318*Summary_LCIA!AG$32</f>
        <v>7.6009377781204885E-3</v>
      </c>
      <c r="BL318" s="137">
        <f>$W318*AQ318+$L318*Summary_LCIA!AH$32</f>
        <v>1.0484155799443124</v>
      </c>
      <c r="BM318" s="137">
        <f>$W318*AR318+$L318*Summary_LCIA!AI$32</f>
        <v>0.40621228259981923</v>
      </c>
    </row>
    <row r="319" spans="1:65" x14ac:dyDescent="0.25">
      <c r="A319" s="149">
        <v>343</v>
      </c>
      <c r="B319" s="149">
        <v>6</v>
      </c>
      <c r="C319" s="61">
        <v>47.606209</v>
      </c>
      <c r="D319" s="61">
        <v>-122.332071</v>
      </c>
      <c r="E319" s="61" t="s">
        <v>265</v>
      </c>
      <c r="F319" s="149">
        <v>29</v>
      </c>
      <c r="G319" s="61" t="s">
        <v>565</v>
      </c>
      <c r="H319" s="61" t="s">
        <v>719</v>
      </c>
      <c r="I319" s="61">
        <v>47.450249999999997</v>
      </c>
      <c r="J319" s="61">
        <v>-122.308817</v>
      </c>
      <c r="K319" s="61">
        <v>34.697320689999998</v>
      </c>
      <c r="L319" s="61">
        <v>22.074999999999999</v>
      </c>
      <c r="M319" s="61" t="s">
        <v>617</v>
      </c>
      <c r="N319" s="149">
        <v>5</v>
      </c>
      <c r="O319" s="149">
        <v>6</v>
      </c>
      <c r="P319" s="61" t="s">
        <v>565</v>
      </c>
      <c r="Q319" s="61" t="s">
        <v>564</v>
      </c>
      <c r="R319" s="61">
        <v>41.98028</v>
      </c>
      <c r="S319" s="61">
        <v>-87.908997900000003</v>
      </c>
      <c r="T319" s="61">
        <v>3299.4989999999998</v>
      </c>
      <c r="U319" s="61" t="s">
        <v>617</v>
      </c>
      <c r="V319" s="61" t="s">
        <v>569</v>
      </c>
      <c r="W319" s="61" cm="1">
        <f t="array" ref="W319">getDistance(I319,J319,R319,S319)*SA!$B$12</f>
        <v>2768.8687134525744</v>
      </c>
      <c r="X319" s="61"/>
      <c r="Y319" s="137">
        <f>Transportation_LCIA!C$61*($W319^Transportation_LCIA!C$60)+Transportation_LCIA!C$62</f>
        <v>0.16449730754705144</v>
      </c>
      <c r="Z319" s="137">
        <f>Transportation_LCIA!D$61*($W319^Transportation_LCIA!D$60)+Transportation_LCIA!D$62</f>
        <v>1.607879629086141</v>
      </c>
      <c r="AA319" s="137">
        <f>Transportation_LCIA!E$61*($W319^Transportation_LCIA!E$60)+Transportation_LCIA!E$62</f>
        <v>6.0954274059017775E-4</v>
      </c>
      <c r="AB319" s="137">
        <f>Transportation_LCIA!F$61*($W319^Transportation_LCIA!F$60)+Transportation_LCIA!F$62</f>
        <v>0.16449730754705144</v>
      </c>
      <c r="AC319" s="137">
        <f>Transportation_LCIA!G$61*($W319^Transportation_LCIA!G$60)+Transportation_LCIA!G$62</f>
        <v>3.7750848214414753E-2</v>
      </c>
      <c r="AD319" s="137">
        <f>Transportation_LCIA!H$61*($W319^Transportation_LCIA!H$60)+Transportation_LCIA!H$62</f>
        <v>1.6043089519440367E-4</v>
      </c>
      <c r="AE319" s="137">
        <f>Transportation_LCIA!I$61*($W319^Transportation_LCIA!I$60)+Transportation_LCIA!I$62</f>
        <v>3.0394189214429766E-6</v>
      </c>
      <c r="AF319" s="137">
        <f>Transportation_LCIA!J$61*($W319^Transportation_LCIA!J$60)+Transportation_LCIA!J$62</f>
        <v>4.5183612782229779E-3</v>
      </c>
      <c r="AG319" s="137">
        <f>Transportation_LCIA!K$61*($W319^Transportation_LCIA!K$60)+Transportation_LCIA!K$62</f>
        <v>7.678540665617406E-3</v>
      </c>
      <c r="AH319" s="137">
        <f>Transportation_LCIA!L$61*($W319^Transportation_LCIA!L$60)+Transportation_LCIA!L$62</f>
        <v>1.334127552124456E-4</v>
      </c>
      <c r="AI319" s="137">
        <f>Transportation_LCIA!M$61*($W319^Transportation_LCIA!M$60)+Transportation_LCIA!M$62</f>
        <v>1.7942365848941578E-4</v>
      </c>
      <c r="AJ319" s="137">
        <f>Transportation_LCIA!N$61*($W319^Transportation_LCIA!N$60)+Transportation_LCIA!N$62</f>
        <v>5.9808875173019706E-4</v>
      </c>
      <c r="AK319" s="137">
        <f>Transportation_LCIA!O$61*($W319^Transportation_LCIA!O$60)+Transportation_LCIA!O$62</f>
        <v>3.9789606340763481E-5</v>
      </c>
      <c r="AL319" s="137">
        <f>Transportation_LCIA!P$61*($W319^Transportation_LCIA!P$60)+Transportation_LCIA!P$62</f>
        <v>1.928569183631254E-8</v>
      </c>
      <c r="AM319" s="137">
        <f>Transportation_LCIA!Q$61*($W319^Transportation_LCIA!Q$60)+Transportation_LCIA!Q$62</f>
        <v>5.3432059025234691E-5</v>
      </c>
      <c r="AN319" s="137">
        <f>Transportation_LCIA!R$61*($W319^Transportation_LCIA!R$60)+Transportation_LCIA!R$62</f>
        <v>1.4664797765435097E-4</v>
      </c>
      <c r="AO319" s="137">
        <f>Transportation_LCIA!S$61*($W319^Transportation_LCIA!S$60)+Transportation_LCIA!S$62</f>
        <v>2.337225442173834E-6</v>
      </c>
      <c r="AP319" s="137">
        <f>Transportation_LCIA!T$61*($W319^Transportation_LCIA!T$60)+Transportation_LCIA!T$62</f>
        <v>2.337225442173834E-6</v>
      </c>
      <c r="AQ319" s="137">
        <f>Transportation_LCIA!U$61*($W319^Transportation_LCIA!U$60)+Transportation_LCIA!U$62</f>
        <v>3.0925395840693005E-4</v>
      </c>
      <c r="AR319" s="137">
        <f>Transportation_LCIA!V$61*($W319^Transportation_LCIA!V$60)+Transportation_LCIA!V$62</f>
        <v>1.3928010182503176E-4</v>
      </c>
      <c r="AT319" s="137">
        <f>$W319*Y319+$L319*Summary_LCIA!H$32</f>
        <v>462.97253331421678</v>
      </c>
      <c r="AU319" s="137">
        <f>$W319*Z319+$L319*Summary_LCIA!Q$32</f>
        <v>4561.412413282821</v>
      </c>
      <c r="AV319" s="137">
        <f>$W319*AA319+$L319*Summary_LCIA!R$32</f>
        <v>1.8039819439322817</v>
      </c>
      <c r="AW319" s="137">
        <f>$W319*AB319+$L319*Summary_LCIA!S$32</f>
        <v>462.87496181421676</v>
      </c>
      <c r="AX319" s="137">
        <f>$W319*AC319+$L319*Summary_LCIA!T$32</f>
        <v>106.95318502718999</v>
      </c>
      <c r="AY319" s="137">
        <f>$W319*AD319+$L319*Summary_LCIA!U$32</f>
        <v>0.83966363637497321</v>
      </c>
      <c r="AZ319" s="137">
        <f>$W319*AE319+$L319*Summary_LCIA!V$32</f>
        <v>9.4700760336592256E-3</v>
      </c>
      <c r="BA319" s="137">
        <f>$W319*AF319+$L319*Summary_LCIA!W$32</f>
        <v>14.209884004347186</v>
      </c>
      <c r="BB319" s="137">
        <f>$W319*AG319+$L319*Summary_LCIA!X$32</f>
        <v>21.763739514001344</v>
      </c>
      <c r="BC319" s="137">
        <f>$W319*AH319+$L319*Summary_LCIA!Y$32</f>
        <v>0.71337505388324751</v>
      </c>
      <c r="BD319" s="137">
        <f>$W319*AI319+$L319*Summary_LCIA!Z$32</f>
        <v>0.49770582811954273</v>
      </c>
      <c r="BE319" s="137">
        <f>$W319*AJ319+$L319*Summary_LCIA!AA$32</f>
        <v>2.1716129325336468</v>
      </c>
      <c r="BF319" s="137">
        <f>$W319*AK319+$L319*Summary_LCIA!AB$32</f>
        <v>0.10969045339253418</v>
      </c>
      <c r="BG319" s="137">
        <f>$W319*AL319+$L319*Summary_LCIA!AC$32</f>
        <v>5.4478663042853521E-5</v>
      </c>
      <c r="BH319" s="137">
        <f>$W319*AM319+$L319*Summary_LCIA!AD$32</f>
        <v>0.15702006453032358</v>
      </c>
      <c r="BI319" s="137">
        <f>$W319*AN319+$L319*Summary_LCIA!AE$32</f>
        <v>0.4256103169682246</v>
      </c>
      <c r="BJ319" s="137">
        <f>$W319*AO319+$L319*Summary_LCIA!AF$32</f>
        <v>2.513411690312049E-2</v>
      </c>
      <c r="BK319" s="137">
        <f>$W319*AP319+$L319*Summary_LCIA!AG$32</f>
        <v>7.6009377781204885E-3</v>
      </c>
      <c r="BL319" s="137">
        <f>$W319*AQ319+$L319*Summary_LCIA!AH$32</f>
        <v>1.0484155799443124</v>
      </c>
      <c r="BM319" s="137">
        <f>$W319*AR319+$L319*Summary_LCIA!AI$32</f>
        <v>0.40621228259981923</v>
      </c>
    </row>
    <row r="320" spans="1:65" x14ac:dyDescent="0.25">
      <c r="A320" s="149">
        <v>316</v>
      </c>
      <c r="B320" s="149">
        <v>6</v>
      </c>
      <c r="C320" s="61">
        <v>47.673988000000001</v>
      </c>
      <c r="D320" s="61">
        <v>-122.121512</v>
      </c>
      <c r="E320" s="61" t="s">
        <v>265</v>
      </c>
      <c r="F320" s="149">
        <v>29</v>
      </c>
      <c r="G320" s="61" t="s">
        <v>565</v>
      </c>
      <c r="H320" s="61" t="s">
        <v>719</v>
      </c>
      <c r="I320" s="61">
        <v>47.450249999999997</v>
      </c>
      <c r="J320" s="61">
        <v>-122.308817</v>
      </c>
      <c r="K320" s="61">
        <v>41.554973830000002</v>
      </c>
      <c r="L320" s="61">
        <v>37.302999999999997</v>
      </c>
      <c r="M320" s="61" t="s">
        <v>617</v>
      </c>
      <c r="N320" s="149">
        <v>5</v>
      </c>
      <c r="O320" s="149">
        <v>6</v>
      </c>
      <c r="P320" s="61" t="s">
        <v>565</v>
      </c>
      <c r="Q320" s="61" t="s">
        <v>564</v>
      </c>
      <c r="R320" s="61">
        <v>41.98028</v>
      </c>
      <c r="S320" s="61">
        <v>-87.908997900000003</v>
      </c>
      <c r="T320" s="61">
        <v>3300.998</v>
      </c>
      <c r="U320" s="61" t="s">
        <v>617</v>
      </c>
      <c r="V320" s="61" t="s">
        <v>569</v>
      </c>
      <c r="W320" s="61" cm="1">
        <f t="array" ref="W320">getDistance(I320,J320,R320,S320)*SA!$B$12</f>
        <v>2768.8687134525744</v>
      </c>
      <c r="X320" s="61"/>
      <c r="Y320" s="137">
        <f>Transportation_LCIA!C$61*($W320^Transportation_LCIA!C$60)+Transportation_LCIA!C$62</f>
        <v>0.16449730754705144</v>
      </c>
      <c r="Z320" s="137">
        <f>Transportation_LCIA!D$61*($W320^Transportation_LCIA!D$60)+Transportation_LCIA!D$62</f>
        <v>1.607879629086141</v>
      </c>
      <c r="AA320" s="137">
        <f>Transportation_LCIA!E$61*($W320^Transportation_LCIA!E$60)+Transportation_LCIA!E$62</f>
        <v>6.0954274059017775E-4</v>
      </c>
      <c r="AB320" s="137">
        <f>Transportation_LCIA!F$61*($W320^Transportation_LCIA!F$60)+Transportation_LCIA!F$62</f>
        <v>0.16449730754705144</v>
      </c>
      <c r="AC320" s="137">
        <f>Transportation_LCIA!G$61*($W320^Transportation_LCIA!G$60)+Transportation_LCIA!G$62</f>
        <v>3.7750848214414753E-2</v>
      </c>
      <c r="AD320" s="137">
        <f>Transportation_LCIA!H$61*($W320^Transportation_LCIA!H$60)+Transportation_LCIA!H$62</f>
        <v>1.6043089519440367E-4</v>
      </c>
      <c r="AE320" s="137">
        <f>Transportation_LCIA!I$61*($W320^Transportation_LCIA!I$60)+Transportation_LCIA!I$62</f>
        <v>3.0394189214429766E-6</v>
      </c>
      <c r="AF320" s="137">
        <f>Transportation_LCIA!J$61*($W320^Transportation_LCIA!J$60)+Transportation_LCIA!J$62</f>
        <v>4.5183612782229779E-3</v>
      </c>
      <c r="AG320" s="137">
        <f>Transportation_LCIA!K$61*($W320^Transportation_LCIA!K$60)+Transportation_LCIA!K$62</f>
        <v>7.678540665617406E-3</v>
      </c>
      <c r="AH320" s="137">
        <f>Transportation_LCIA!L$61*($W320^Transportation_LCIA!L$60)+Transportation_LCIA!L$62</f>
        <v>1.334127552124456E-4</v>
      </c>
      <c r="AI320" s="137">
        <f>Transportation_LCIA!M$61*($W320^Transportation_LCIA!M$60)+Transportation_LCIA!M$62</f>
        <v>1.7942365848941578E-4</v>
      </c>
      <c r="AJ320" s="137">
        <f>Transportation_LCIA!N$61*($W320^Transportation_LCIA!N$60)+Transportation_LCIA!N$62</f>
        <v>5.9808875173019706E-4</v>
      </c>
      <c r="AK320" s="137">
        <f>Transportation_LCIA!O$61*($W320^Transportation_LCIA!O$60)+Transportation_LCIA!O$62</f>
        <v>3.9789606340763481E-5</v>
      </c>
      <c r="AL320" s="137">
        <f>Transportation_LCIA!P$61*($W320^Transportation_LCIA!P$60)+Transportation_LCIA!P$62</f>
        <v>1.928569183631254E-8</v>
      </c>
      <c r="AM320" s="137">
        <f>Transportation_LCIA!Q$61*($W320^Transportation_LCIA!Q$60)+Transportation_LCIA!Q$62</f>
        <v>5.3432059025234691E-5</v>
      </c>
      <c r="AN320" s="137">
        <f>Transportation_LCIA!R$61*($W320^Transportation_LCIA!R$60)+Transportation_LCIA!R$62</f>
        <v>1.4664797765435097E-4</v>
      </c>
      <c r="AO320" s="137">
        <f>Transportation_LCIA!S$61*($W320^Transportation_LCIA!S$60)+Transportation_LCIA!S$62</f>
        <v>2.337225442173834E-6</v>
      </c>
      <c r="AP320" s="137">
        <f>Transportation_LCIA!T$61*($W320^Transportation_LCIA!T$60)+Transportation_LCIA!T$62</f>
        <v>2.337225442173834E-6</v>
      </c>
      <c r="AQ320" s="137">
        <f>Transportation_LCIA!U$61*($W320^Transportation_LCIA!U$60)+Transportation_LCIA!U$62</f>
        <v>3.0925395840693005E-4</v>
      </c>
      <c r="AR320" s="137">
        <f>Transportation_LCIA!V$61*($W320^Transportation_LCIA!V$60)+Transportation_LCIA!V$62</f>
        <v>1.3928010182503176E-4</v>
      </c>
      <c r="AT320" s="137">
        <f>$W320*Y320+$L320*Summary_LCIA!H$32</f>
        <v>468.14700771421678</v>
      </c>
      <c r="AU320" s="137">
        <f>$W320*Z320+$L320*Summary_LCIA!Q$32</f>
        <v>4636.8831492765448</v>
      </c>
      <c r="AV320" s="137">
        <f>$W320*AA320+$L320*Summary_LCIA!R$32</f>
        <v>1.8841665007322816</v>
      </c>
      <c r="AW320" s="137">
        <f>$W320*AB320+$L320*Summary_LCIA!S$32</f>
        <v>467.98212845421676</v>
      </c>
      <c r="AX320" s="137">
        <f>$W320*AC320+$L320*Summary_LCIA!T$32</f>
        <v>108.62674222718999</v>
      </c>
      <c r="AY320" s="137">
        <f>$W320*AD320+$L320*Summary_LCIA!U$32</f>
        <v>1.1124580283749732</v>
      </c>
      <c r="AZ320" s="137">
        <f>$W320*AE320+$L320*Summary_LCIA!V$32</f>
        <v>1.0197380541659225E-2</v>
      </c>
      <c r="BA320" s="137">
        <f>$W320*AF320+$L320*Summary_LCIA!W$32</f>
        <v>15.381998392347185</v>
      </c>
      <c r="BB320" s="137">
        <f>$W320*AG320+$L320*Summary_LCIA!X$32</f>
        <v>22.110633354001344</v>
      </c>
      <c r="BC320" s="137">
        <f>$W320*AH320+$L320*Summary_LCIA!Y$32</f>
        <v>0.95065774988324747</v>
      </c>
      <c r="BD320" s="137">
        <f>$W320*AI320+$L320*Summary_LCIA!Z$32</f>
        <v>0.49833031317154275</v>
      </c>
      <c r="BE320" s="137">
        <f>$W320*AJ320+$L320*Summary_LCIA!AA$32</f>
        <v>2.5272781005336471</v>
      </c>
      <c r="BF320" s="137">
        <f>$W320*AK320+$L320*Summary_LCIA!AB$32</f>
        <v>0.10935813274853418</v>
      </c>
      <c r="BG320" s="137">
        <f>$W320*AL320+$L320*Summary_LCIA!AC$32</f>
        <v>5.5223068594853521E-5</v>
      </c>
      <c r="BH320" s="137">
        <f>$W320*AM320+$L320*Summary_LCIA!AD$32</f>
        <v>0.1632793816503236</v>
      </c>
      <c r="BI320" s="137">
        <f>$W320*AN320+$L320*Summary_LCIA!AE$32</f>
        <v>0.43910430460822464</v>
      </c>
      <c r="BJ320" s="137">
        <f>$W320*AO320+$L320*Summary_LCIA!AF$32</f>
        <v>3.8008172663120489E-2</v>
      </c>
      <c r="BK320" s="137">
        <f>$W320*AP320+$L320*Summary_LCIA!AG$32</f>
        <v>8.3800783981204888E-3</v>
      </c>
      <c r="BL320" s="137">
        <f>$W320*AQ320+$L320*Summary_LCIA!AH$32</f>
        <v>1.1809540007443124</v>
      </c>
      <c r="BM320" s="137">
        <f>$W320*AR320+$L320*Summary_LCIA!AI$32</f>
        <v>0.42039792599981923</v>
      </c>
    </row>
    <row r="321" spans="1:65" x14ac:dyDescent="0.25">
      <c r="A321" s="149">
        <v>317</v>
      </c>
      <c r="B321" s="149">
        <v>6</v>
      </c>
      <c r="C321" s="61">
        <v>47.673988000000001</v>
      </c>
      <c r="D321" s="61">
        <v>-122.121512</v>
      </c>
      <c r="E321" s="61" t="s">
        <v>265</v>
      </c>
      <c r="F321" s="149">
        <v>29</v>
      </c>
      <c r="G321" s="61" t="s">
        <v>565</v>
      </c>
      <c r="H321" s="61" t="s">
        <v>719</v>
      </c>
      <c r="I321" s="61">
        <v>47.450249999999997</v>
      </c>
      <c r="J321" s="61">
        <v>-122.308817</v>
      </c>
      <c r="K321" s="61">
        <v>41.554973830000002</v>
      </c>
      <c r="L321" s="61">
        <v>37.302999999999997</v>
      </c>
      <c r="M321" s="61" t="s">
        <v>617</v>
      </c>
      <c r="N321" s="149">
        <v>5</v>
      </c>
      <c r="O321" s="149">
        <v>6</v>
      </c>
      <c r="P321" s="61" t="s">
        <v>565</v>
      </c>
      <c r="Q321" s="61" t="s">
        <v>564</v>
      </c>
      <c r="R321" s="61">
        <v>41.98028</v>
      </c>
      <c r="S321" s="61">
        <v>-87.908997900000003</v>
      </c>
      <c r="T321" s="61">
        <v>3300.998</v>
      </c>
      <c r="U321" s="61" t="s">
        <v>617</v>
      </c>
      <c r="V321" s="61" t="s">
        <v>569</v>
      </c>
      <c r="W321" s="61" cm="1">
        <f t="array" ref="W321">getDistance(I321,J321,R321,S321)*SA!$B$12</f>
        <v>2768.8687134525744</v>
      </c>
      <c r="X321" s="61"/>
      <c r="Y321" s="137">
        <f>Transportation_LCIA!C$61*($W321^Transportation_LCIA!C$60)+Transportation_LCIA!C$62</f>
        <v>0.16449730754705144</v>
      </c>
      <c r="Z321" s="137">
        <f>Transportation_LCIA!D$61*($W321^Transportation_LCIA!D$60)+Transportation_LCIA!D$62</f>
        <v>1.607879629086141</v>
      </c>
      <c r="AA321" s="137">
        <f>Transportation_LCIA!E$61*($W321^Transportation_LCIA!E$60)+Transportation_LCIA!E$62</f>
        <v>6.0954274059017775E-4</v>
      </c>
      <c r="AB321" s="137">
        <f>Transportation_LCIA!F$61*($W321^Transportation_LCIA!F$60)+Transportation_LCIA!F$62</f>
        <v>0.16449730754705144</v>
      </c>
      <c r="AC321" s="137">
        <f>Transportation_LCIA!G$61*($W321^Transportation_LCIA!G$60)+Transportation_LCIA!G$62</f>
        <v>3.7750848214414753E-2</v>
      </c>
      <c r="AD321" s="137">
        <f>Transportation_LCIA!H$61*($W321^Transportation_LCIA!H$60)+Transportation_LCIA!H$62</f>
        <v>1.6043089519440367E-4</v>
      </c>
      <c r="AE321" s="137">
        <f>Transportation_LCIA!I$61*($W321^Transportation_LCIA!I$60)+Transportation_LCIA!I$62</f>
        <v>3.0394189214429766E-6</v>
      </c>
      <c r="AF321" s="137">
        <f>Transportation_LCIA!J$61*($W321^Transportation_LCIA!J$60)+Transportation_LCIA!J$62</f>
        <v>4.5183612782229779E-3</v>
      </c>
      <c r="AG321" s="137">
        <f>Transportation_LCIA!K$61*($W321^Transportation_LCIA!K$60)+Transportation_LCIA!K$62</f>
        <v>7.678540665617406E-3</v>
      </c>
      <c r="AH321" s="137">
        <f>Transportation_LCIA!L$61*($W321^Transportation_LCIA!L$60)+Transportation_LCIA!L$62</f>
        <v>1.334127552124456E-4</v>
      </c>
      <c r="AI321" s="137">
        <f>Transportation_LCIA!M$61*($W321^Transportation_LCIA!M$60)+Transportation_LCIA!M$62</f>
        <v>1.7942365848941578E-4</v>
      </c>
      <c r="AJ321" s="137">
        <f>Transportation_LCIA!N$61*($W321^Transportation_LCIA!N$60)+Transportation_LCIA!N$62</f>
        <v>5.9808875173019706E-4</v>
      </c>
      <c r="AK321" s="137">
        <f>Transportation_LCIA!O$61*($W321^Transportation_LCIA!O$60)+Transportation_LCIA!O$62</f>
        <v>3.9789606340763481E-5</v>
      </c>
      <c r="AL321" s="137">
        <f>Transportation_LCIA!P$61*($W321^Transportation_LCIA!P$60)+Transportation_LCIA!P$62</f>
        <v>1.928569183631254E-8</v>
      </c>
      <c r="AM321" s="137">
        <f>Transportation_LCIA!Q$61*($W321^Transportation_LCIA!Q$60)+Transportation_LCIA!Q$62</f>
        <v>5.3432059025234691E-5</v>
      </c>
      <c r="AN321" s="137">
        <f>Transportation_LCIA!R$61*($W321^Transportation_LCIA!R$60)+Transportation_LCIA!R$62</f>
        <v>1.4664797765435097E-4</v>
      </c>
      <c r="AO321" s="137">
        <f>Transportation_LCIA!S$61*($W321^Transportation_LCIA!S$60)+Transportation_LCIA!S$62</f>
        <v>2.337225442173834E-6</v>
      </c>
      <c r="AP321" s="137">
        <f>Transportation_LCIA!T$61*($W321^Transportation_LCIA!T$60)+Transportation_LCIA!T$62</f>
        <v>2.337225442173834E-6</v>
      </c>
      <c r="AQ321" s="137">
        <f>Transportation_LCIA!U$61*($W321^Transportation_LCIA!U$60)+Transportation_LCIA!U$62</f>
        <v>3.0925395840693005E-4</v>
      </c>
      <c r="AR321" s="137">
        <f>Transportation_LCIA!V$61*($W321^Transportation_LCIA!V$60)+Transportation_LCIA!V$62</f>
        <v>1.3928010182503176E-4</v>
      </c>
      <c r="AT321" s="137">
        <f>$W321*Y321+$L321*Summary_LCIA!H$32</f>
        <v>468.14700771421678</v>
      </c>
      <c r="AU321" s="137">
        <f>$W321*Z321+$L321*Summary_LCIA!Q$32</f>
        <v>4636.8831492765448</v>
      </c>
      <c r="AV321" s="137">
        <f>$W321*AA321+$L321*Summary_LCIA!R$32</f>
        <v>1.8841665007322816</v>
      </c>
      <c r="AW321" s="137">
        <f>$W321*AB321+$L321*Summary_LCIA!S$32</f>
        <v>467.98212845421676</v>
      </c>
      <c r="AX321" s="137">
        <f>$W321*AC321+$L321*Summary_LCIA!T$32</f>
        <v>108.62674222718999</v>
      </c>
      <c r="AY321" s="137">
        <f>$W321*AD321+$L321*Summary_LCIA!U$32</f>
        <v>1.1124580283749732</v>
      </c>
      <c r="AZ321" s="137">
        <f>$W321*AE321+$L321*Summary_LCIA!V$32</f>
        <v>1.0197380541659225E-2</v>
      </c>
      <c r="BA321" s="137">
        <f>$W321*AF321+$L321*Summary_LCIA!W$32</f>
        <v>15.381998392347185</v>
      </c>
      <c r="BB321" s="137">
        <f>$W321*AG321+$L321*Summary_LCIA!X$32</f>
        <v>22.110633354001344</v>
      </c>
      <c r="BC321" s="137">
        <f>$W321*AH321+$L321*Summary_LCIA!Y$32</f>
        <v>0.95065774988324747</v>
      </c>
      <c r="BD321" s="137">
        <f>$W321*AI321+$L321*Summary_LCIA!Z$32</f>
        <v>0.49833031317154275</v>
      </c>
      <c r="BE321" s="137">
        <f>$W321*AJ321+$L321*Summary_LCIA!AA$32</f>
        <v>2.5272781005336471</v>
      </c>
      <c r="BF321" s="137">
        <f>$W321*AK321+$L321*Summary_LCIA!AB$32</f>
        <v>0.10935813274853418</v>
      </c>
      <c r="BG321" s="137">
        <f>$W321*AL321+$L321*Summary_LCIA!AC$32</f>
        <v>5.5223068594853521E-5</v>
      </c>
      <c r="BH321" s="137">
        <f>$W321*AM321+$L321*Summary_LCIA!AD$32</f>
        <v>0.1632793816503236</v>
      </c>
      <c r="BI321" s="137">
        <f>$W321*AN321+$L321*Summary_LCIA!AE$32</f>
        <v>0.43910430460822464</v>
      </c>
      <c r="BJ321" s="137">
        <f>$W321*AO321+$L321*Summary_LCIA!AF$32</f>
        <v>3.8008172663120489E-2</v>
      </c>
      <c r="BK321" s="137">
        <f>$W321*AP321+$L321*Summary_LCIA!AG$32</f>
        <v>8.3800783981204888E-3</v>
      </c>
      <c r="BL321" s="137">
        <f>$W321*AQ321+$L321*Summary_LCIA!AH$32</f>
        <v>1.1809540007443124</v>
      </c>
      <c r="BM321" s="137">
        <f>$W321*AR321+$L321*Summary_LCIA!AI$32</f>
        <v>0.42039792599981923</v>
      </c>
    </row>
    <row r="322" spans="1:65" x14ac:dyDescent="0.25">
      <c r="A322" s="149">
        <v>318</v>
      </c>
      <c r="B322" s="149">
        <v>6</v>
      </c>
      <c r="C322" s="61">
        <v>47.673988000000001</v>
      </c>
      <c r="D322" s="61">
        <v>-122.121512</v>
      </c>
      <c r="E322" s="61" t="s">
        <v>265</v>
      </c>
      <c r="F322" s="149">
        <v>29</v>
      </c>
      <c r="G322" s="61" t="s">
        <v>565</v>
      </c>
      <c r="H322" s="61" t="s">
        <v>719</v>
      </c>
      <c r="I322" s="61">
        <v>47.450249999999997</v>
      </c>
      <c r="J322" s="61">
        <v>-122.308817</v>
      </c>
      <c r="K322" s="61">
        <v>41.554973830000002</v>
      </c>
      <c r="L322" s="61">
        <v>37.302999999999997</v>
      </c>
      <c r="M322" s="61" t="s">
        <v>617</v>
      </c>
      <c r="N322" s="149">
        <v>5</v>
      </c>
      <c r="O322" s="149">
        <v>6</v>
      </c>
      <c r="P322" s="61" t="s">
        <v>565</v>
      </c>
      <c r="Q322" s="61" t="s">
        <v>564</v>
      </c>
      <c r="R322" s="61">
        <v>41.98028</v>
      </c>
      <c r="S322" s="61">
        <v>-87.908997900000003</v>
      </c>
      <c r="T322" s="61">
        <v>3300.998</v>
      </c>
      <c r="U322" s="61" t="s">
        <v>617</v>
      </c>
      <c r="V322" s="61" t="s">
        <v>569</v>
      </c>
      <c r="W322" s="61" cm="1">
        <f t="array" ref="W322">getDistance(I322,J322,R322,S322)*SA!$B$12</f>
        <v>2768.8687134525744</v>
      </c>
      <c r="X322" s="61"/>
      <c r="Y322" s="137">
        <f>Transportation_LCIA!C$61*($W322^Transportation_LCIA!C$60)+Transportation_LCIA!C$62</f>
        <v>0.16449730754705144</v>
      </c>
      <c r="Z322" s="137">
        <f>Transportation_LCIA!D$61*($W322^Transportation_LCIA!D$60)+Transportation_LCIA!D$62</f>
        <v>1.607879629086141</v>
      </c>
      <c r="AA322" s="137">
        <f>Transportation_LCIA!E$61*($W322^Transportation_LCIA!E$60)+Transportation_LCIA!E$62</f>
        <v>6.0954274059017775E-4</v>
      </c>
      <c r="AB322" s="137">
        <f>Transportation_LCIA!F$61*($W322^Transportation_LCIA!F$60)+Transportation_LCIA!F$62</f>
        <v>0.16449730754705144</v>
      </c>
      <c r="AC322" s="137">
        <f>Transportation_LCIA!G$61*($W322^Transportation_LCIA!G$60)+Transportation_LCIA!G$62</f>
        <v>3.7750848214414753E-2</v>
      </c>
      <c r="AD322" s="137">
        <f>Transportation_LCIA!H$61*($W322^Transportation_LCIA!H$60)+Transportation_LCIA!H$62</f>
        <v>1.6043089519440367E-4</v>
      </c>
      <c r="AE322" s="137">
        <f>Transportation_LCIA!I$61*($W322^Transportation_LCIA!I$60)+Transportation_LCIA!I$62</f>
        <v>3.0394189214429766E-6</v>
      </c>
      <c r="AF322" s="137">
        <f>Transportation_LCIA!J$61*($W322^Transportation_LCIA!J$60)+Transportation_LCIA!J$62</f>
        <v>4.5183612782229779E-3</v>
      </c>
      <c r="AG322" s="137">
        <f>Transportation_LCIA!K$61*($W322^Transportation_LCIA!K$60)+Transportation_LCIA!K$62</f>
        <v>7.678540665617406E-3</v>
      </c>
      <c r="AH322" s="137">
        <f>Transportation_LCIA!L$61*($W322^Transportation_LCIA!L$60)+Transportation_LCIA!L$62</f>
        <v>1.334127552124456E-4</v>
      </c>
      <c r="AI322" s="137">
        <f>Transportation_LCIA!M$61*($W322^Transportation_LCIA!M$60)+Transportation_LCIA!M$62</f>
        <v>1.7942365848941578E-4</v>
      </c>
      <c r="AJ322" s="137">
        <f>Transportation_LCIA!N$61*($W322^Transportation_LCIA!N$60)+Transportation_LCIA!N$62</f>
        <v>5.9808875173019706E-4</v>
      </c>
      <c r="AK322" s="137">
        <f>Transportation_LCIA!O$61*($W322^Transportation_LCIA!O$60)+Transportation_LCIA!O$62</f>
        <v>3.9789606340763481E-5</v>
      </c>
      <c r="AL322" s="137">
        <f>Transportation_LCIA!P$61*($W322^Transportation_LCIA!P$60)+Transportation_LCIA!P$62</f>
        <v>1.928569183631254E-8</v>
      </c>
      <c r="AM322" s="137">
        <f>Transportation_LCIA!Q$61*($W322^Transportation_LCIA!Q$60)+Transportation_LCIA!Q$62</f>
        <v>5.3432059025234691E-5</v>
      </c>
      <c r="AN322" s="137">
        <f>Transportation_LCIA!R$61*($W322^Transportation_LCIA!R$60)+Transportation_LCIA!R$62</f>
        <v>1.4664797765435097E-4</v>
      </c>
      <c r="AO322" s="137">
        <f>Transportation_LCIA!S$61*($W322^Transportation_LCIA!S$60)+Transportation_LCIA!S$62</f>
        <v>2.337225442173834E-6</v>
      </c>
      <c r="AP322" s="137">
        <f>Transportation_LCIA!T$61*($W322^Transportation_LCIA!T$60)+Transportation_LCIA!T$62</f>
        <v>2.337225442173834E-6</v>
      </c>
      <c r="AQ322" s="137">
        <f>Transportation_LCIA!U$61*($W322^Transportation_LCIA!U$60)+Transportation_LCIA!U$62</f>
        <v>3.0925395840693005E-4</v>
      </c>
      <c r="AR322" s="137">
        <f>Transportation_LCIA!V$61*($W322^Transportation_LCIA!V$60)+Transportation_LCIA!V$62</f>
        <v>1.3928010182503176E-4</v>
      </c>
      <c r="AT322" s="137">
        <f>$W322*Y322+$L322*Summary_LCIA!H$32</f>
        <v>468.14700771421678</v>
      </c>
      <c r="AU322" s="137">
        <f>$W322*Z322+$L322*Summary_LCIA!Q$32</f>
        <v>4636.8831492765448</v>
      </c>
      <c r="AV322" s="137">
        <f>$W322*AA322+$L322*Summary_LCIA!R$32</f>
        <v>1.8841665007322816</v>
      </c>
      <c r="AW322" s="137">
        <f>$W322*AB322+$L322*Summary_LCIA!S$32</f>
        <v>467.98212845421676</v>
      </c>
      <c r="AX322" s="137">
        <f>$W322*AC322+$L322*Summary_LCIA!T$32</f>
        <v>108.62674222718999</v>
      </c>
      <c r="AY322" s="137">
        <f>$W322*AD322+$L322*Summary_LCIA!U$32</f>
        <v>1.1124580283749732</v>
      </c>
      <c r="AZ322" s="137">
        <f>$W322*AE322+$L322*Summary_LCIA!V$32</f>
        <v>1.0197380541659225E-2</v>
      </c>
      <c r="BA322" s="137">
        <f>$W322*AF322+$L322*Summary_LCIA!W$32</f>
        <v>15.381998392347185</v>
      </c>
      <c r="BB322" s="137">
        <f>$W322*AG322+$L322*Summary_LCIA!X$32</f>
        <v>22.110633354001344</v>
      </c>
      <c r="BC322" s="137">
        <f>$W322*AH322+$L322*Summary_LCIA!Y$32</f>
        <v>0.95065774988324747</v>
      </c>
      <c r="BD322" s="137">
        <f>$W322*AI322+$L322*Summary_LCIA!Z$32</f>
        <v>0.49833031317154275</v>
      </c>
      <c r="BE322" s="137">
        <f>$W322*AJ322+$L322*Summary_LCIA!AA$32</f>
        <v>2.5272781005336471</v>
      </c>
      <c r="BF322" s="137">
        <f>$W322*AK322+$L322*Summary_LCIA!AB$32</f>
        <v>0.10935813274853418</v>
      </c>
      <c r="BG322" s="137">
        <f>$W322*AL322+$L322*Summary_LCIA!AC$32</f>
        <v>5.5223068594853521E-5</v>
      </c>
      <c r="BH322" s="137">
        <f>$W322*AM322+$L322*Summary_LCIA!AD$32</f>
        <v>0.1632793816503236</v>
      </c>
      <c r="BI322" s="137">
        <f>$W322*AN322+$L322*Summary_LCIA!AE$32</f>
        <v>0.43910430460822464</v>
      </c>
      <c r="BJ322" s="137">
        <f>$W322*AO322+$L322*Summary_LCIA!AF$32</f>
        <v>3.8008172663120489E-2</v>
      </c>
      <c r="BK322" s="137">
        <f>$W322*AP322+$L322*Summary_LCIA!AG$32</f>
        <v>8.3800783981204888E-3</v>
      </c>
      <c r="BL322" s="137">
        <f>$W322*AQ322+$L322*Summary_LCIA!AH$32</f>
        <v>1.1809540007443124</v>
      </c>
      <c r="BM322" s="137">
        <f>$W322*AR322+$L322*Summary_LCIA!AI$32</f>
        <v>0.42039792599981923</v>
      </c>
    </row>
    <row r="323" spans="1:65" x14ac:dyDescent="0.25">
      <c r="A323" s="149">
        <v>337</v>
      </c>
      <c r="B323" s="149">
        <v>6</v>
      </c>
      <c r="C323" s="61">
        <v>47.650888000000002</v>
      </c>
      <c r="D323" s="61">
        <v>-122.308402</v>
      </c>
      <c r="E323" s="61" t="s">
        <v>265</v>
      </c>
      <c r="F323" s="149">
        <v>29</v>
      </c>
      <c r="G323" s="61" t="s">
        <v>565</v>
      </c>
      <c r="H323" s="61" t="s">
        <v>719</v>
      </c>
      <c r="I323" s="61">
        <v>47.450249999999997</v>
      </c>
      <c r="J323" s="61">
        <v>-122.308817</v>
      </c>
      <c r="K323" s="61">
        <v>43.043934999999998</v>
      </c>
      <c r="L323" s="61">
        <v>27.890999999999998</v>
      </c>
      <c r="M323" s="61" t="s">
        <v>617</v>
      </c>
      <c r="N323" s="149">
        <v>5</v>
      </c>
      <c r="O323" s="149">
        <v>6</v>
      </c>
      <c r="P323" s="61" t="s">
        <v>565</v>
      </c>
      <c r="Q323" s="61" t="s">
        <v>564</v>
      </c>
      <c r="R323" s="61">
        <v>41.98028</v>
      </c>
      <c r="S323" s="61">
        <v>-87.908997900000003</v>
      </c>
      <c r="T323" s="61">
        <v>3302.3719999999998</v>
      </c>
      <c r="U323" s="61" t="s">
        <v>617</v>
      </c>
      <c r="V323" s="61" t="s">
        <v>569</v>
      </c>
      <c r="W323" s="61" cm="1">
        <f t="array" ref="W323">getDistance(I323,J323,R323,S323)*SA!$B$12</f>
        <v>2768.8687134525744</v>
      </c>
      <c r="X323" s="61"/>
      <c r="Y323" s="137">
        <f>Transportation_LCIA!C$61*($W323^Transportation_LCIA!C$60)+Transportation_LCIA!C$62</f>
        <v>0.16449730754705144</v>
      </c>
      <c r="Z323" s="137">
        <f>Transportation_LCIA!D$61*($W323^Transportation_LCIA!D$60)+Transportation_LCIA!D$62</f>
        <v>1.607879629086141</v>
      </c>
      <c r="AA323" s="137">
        <f>Transportation_LCIA!E$61*($W323^Transportation_LCIA!E$60)+Transportation_LCIA!E$62</f>
        <v>6.0954274059017775E-4</v>
      </c>
      <c r="AB323" s="137">
        <f>Transportation_LCIA!F$61*($W323^Transportation_LCIA!F$60)+Transportation_LCIA!F$62</f>
        <v>0.16449730754705144</v>
      </c>
      <c r="AC323" s="137">
        <f>Transportation_LCIA!G$61*($W323^Transportation_LCIA!G$60)+Transportation_LCIA!G$62</f>
        <v>3.7750848214414753E-2</v>
      </c>
      <c r="AD323" s="137">
        <f>Transportation_LCIA!H$61*($W323^Transportation_LCIA!H$60)+Transportation_LCIA!H$62</f>
        <v>1.6043089519440367E-4</v>
      </c>
      <c r="AE323" s="137">
        <f>Transportation_LCIA!I$61*($W323^Transportation_LCIA!I$60)+Transportation_LCIA!I$62</f>
        <v>3.0394189214429766E-6</v>
      </c>
      <c r="AF323" s="137">
        <f>Transportation_LCIA!J$61*($W323^Transportation_LCIA!J$60)+Transportation_LCIA!J$62</f>
        <v>4.5183612782229779E-3</v>
      </c>
      <c r="AG323" s="137">
        <f>Transportation_LCIA!K$61*($W323^Transportation_LCIA!K$60)+Transportation_LCIA!K$62</f>
        <v>7.678540665617406E-3</v>
      </c>
      <c r="AH323" s="137">
        <f>Transportation_LCIA!L$61*($W323^Transportation_LCIA!L$60)+Transportation_LCIA!L$62</f>
        <v>1.334127552124456E-4</v>
      </c>
      <c r="AI323" s="137">
        <f>Transportation_LCIA!M$61*($W323^Transportation_LCIA!M$60)+Transportation_LCIA!M$62</f>
        <v>1.7942365848941578E-4</v>
      </c>
      <c r="AJ323" s="137">
        <f>Transportation_LCIA!N$61*($W323^Transportation_LCIA!N$60)+Transportation_LCIA!N$62</f>
        <v>5.9808875173019706E-4</v>
      </c>
      <c r="AK323" s="137">
        <f>Transportation_LCIA!O$61*($W323^Transportation_LCIA!O$60)+Transportation_LCIA!O$62</f>
        <v>3.9789606340763481E-5</v>
      </c>
      <c r="AL323" s="137">
        <f>Transportation_LCIA!P$61*($W323^Transportation_LCIA!P$60)+Transportation_LCIA!P$62</f>
        <v>1.928569183631254E-8</v>
      </c>
      <c r="AM323" s="137">
        <f>Transportation_LCIA!Q$61*($W323^Transportation_LCIA!Q$60)+Transportation_LCIA!Q$62</f>
        <v>5.3432059025234691E-5</v>
      </c>
      <c r="AN323" s="137">
        <f>Transportation_LCIA!R$61*($W323^Transportation_LCIA!R$60)+Transportation_LCIA!R$62</f>
        <v>1.4664797765435097E-4</v>
      </c>
      <c r="AO323" s="137">
        <f>Transportation_LCIA!S$61*($W323^Transportation_LCIA!S$60)+Transportation_LCIA!S$62</f>
        <v>2.337225442173834E-6</v>
      </c>
      <c r="AP323" s="137">
        <f>Transportation_LCIA!T$61*($W323^Transportation_LCIA!T$60)+Transportation_LCIA!T$62</f>
        <v>2.337225442173834E-6</v>
      </c>
      <c r="AQ323" s="137">
        <f>Transportation_LCIA!U$61*($W323^Transportation_LCIA!U$60)+Transportation_LCIA!U$62</f>
        <v>3.0925395840693005E-4</v>
      </c>
      <c r="AR323" s="137">
        <f>Transportation_LCIA!V$61*($W323^Transportation_LCIA!V$60)+Transportation_LCIA!V$62</f>
        <v>1.3928010182503176E-4</v>
      </c>
      <c r="AT323" s="137">
        <f>$W323*Y323+$L323*Summary_LCIA!H$32</f>
        <v>464.94881011421677</v>
      </c>
      <c r="AU323" s="137">
        <f>$W323*Z323+$L323*Summary_LCIA!Q$32</f>
        <v>4590.2368026011491</v>
      </c>
      <c r="AV323" s="137">
        <f>$W323*AA323+$L323*Summary_LCIA!R$32</f>
        <v>1.8346066735322817</v>
      </c>
      <c r="AW323" s="137">
        <f>$W323*AB323+$L323*Summary_LCIA!S$32</f>
        <v>464.82553189421679</v>
      </c>
      <c r="AX323" s="137">
        <f>$W323*AC323+$L323*Summary_LCIA!T$32</f>
        <v>107.59236342718999</v>
      </c>
      <c r="AY323" s="137">
        <f>$W323*AD323+$L323*Summary_LCIA!U$32</f>
        <v>0.94385146037497325</v>
      </c>
      <c r="AZ323" s="137">
        <f>$W323*AE323+$L323*Summary_LCIA!V$32</f>
        <v>9.747854009659225E-3</v>
      </c>
      <c r="BA323" s="137">
        <f>$W323*AF323+$L323*Summary_LCIA!W$32</f>
        <v>14.657547340347186</v>
      </c>
      <c r="BB323" s="137">
        <f>$W323*AG323+$L323*Summary_LCIA!X$32</f>
        <v>21.896227994001343</v>
      </c>
      <c r="BC323" s="137">
        <f>$W323*AH323+$L323*Summary_LCIA!Y$32</f>
        <v>0.80399996588324751</v>
      </c>
      <c r="BD323" s="137">
        <f>$W323*AI323+$L323*Summary_LCIA!Z$32</f>
        <v>0.49794433646354275</v>
      </c>
      <c r="BE323" s="137">
        <f>$W323*AJ323+$L323*Summary_LCIA!AA$32</f>
        <v>2.3074514285336472</v>
      </c>
      <c r="BF323" s="137">
        <f>$W323*AK323+$L323*Summary_LCIA!AB$32</f>
        <v>0.10956353082453418</v>
      </c>
      <c r="BG323" s="137">
        <f>$W323*AL323+$L323*Summary_LCIA!AC$32</f>
        <v>5.4762972386853521E-5</v>
      </c>
      <c r="BH323" s="137">
        <f>$W323*AM323+$L323*Summary_LCIA!AD$32</f>
        <v>0.15941067317032359</v>
      </c>
      <c r="BI323" s="137">
        <f>$W323*AN323+$L323*Summary_LCIA!AE$32</f>
        <v>0.43076404904822463</v>
      </c>
      <c r="BJ323" s="137">
        <f>$W323*AO323+$L323*Summary_LCIA!AF$32</f>
        <v>3.0051079623120487E-2</v>
      </c>
      <c r="BK323" s="137">
        <f>$W323*AP323+$L323*Summary_LCIA!AG$32</f>
        <v>7.898513418120489E-3</v>
      </c>
      <c r="BL323" s="137">
        <f>$W323*AQ323+$L323*Summary_LCIA!AH$32</f>
        <v>1.0990357175443124</v>
      </c>
      <c r="BM323" s="137">
        <f>$W323*AR323+$L323*Summary_LCIA!AI$32</f>
        <v>0.41163017739981922</v>
      </c>
    </row>
    <row r="324" spans="1:65" x14ac:dyDescent="0.25">
      <c r="A324" s="149">
        <v>338</v>
      </c>
      <c r="B324" s="149">
        <v>6</v>
      </c>
      <c r="C324" s="61">
        <v>47.650888000000002</v>
      </c>
      <c r="D324" s="61">
        <v>-122.308402</v>
      </c>
      <c r="E324" s="61" t="s">
        <v>265</v>
      </c>
      <c r="F324" s="149">
        <v>29</v>
      </c>
      <c r="G324" s="61" t="s">
        <v>565</v>
      </c>
      <c r="H324" s="61" t="s">
        <v>719</v>
      </c>
      <c r="I324" s="61">
        <v>47.450249999999997</v>
      </c>
      <c r="J324" s="61">
        <v>-122.308817</v>
      </c>
      <c r="K324" s="61">
        <v>43.043934999999998</v>
      </c>
      <c r="L324" s="61">
        <v>27.890999999999998</v>
      </c>
      <c r="M324" s="61" t="s">
        <v>617</v>
      </c>
      <c r="N324" s="149">
        <v>5</v>
      </c>
      <c r="O324" s="149">
        <v>6</v>
      </c>
      <c r="P324" s="61" t="s">
        <v>565</v>
      </c>
      <c r="Q324" s="61" t="s">
        <v>564</v>
      </c>
      <c r="R324" s="61">
        <v>41.98028</v>
      </c>
      <c r="S324" s="61">
        <v>-87.908997900000003</v>
      </c>
      <c r="T324" s="61">
        <v>3302.3719999999998</v>
      </c>
      <c r="U324" s="61" t="s">
        <v>617</v>
      </c>
      <c r="V324" s="61" t="s">
        <v>569</v>
      </c>
      <c r="W324" s="61" cm="1">
        <f t="array" ref="W324">getDistance(I324,J324,R324,S324)*SA!$B$12</f>
        <v>2768.8687134525744</v>
      </c>
      <c r="X324" s="61"/>
      <c r="Y324" s="137">
        <f>Transportation_LCIA!C$61*($W324^Transportation_LCIA!C$60)+Transportation_LCIA!C$62</f>
        <v>0.16449730754705144</v>
      </c>
      <c r="Z324" s="137">
        <f>Transportation_LCIA!D$61*($W324^Transportation_LCIA!D$60)+Transportation_LCIA!D$62</f>
        <v>1.607879629086141</v>
      </c>
      <c r="AA324" s="137">
        <f>Transportation_LCIA!E$61*($W324^Transportation_LCIA!E$60)+Transportation_LCIA!E$62</f>
        <v>6.0954274059017775E-4</v>
      </c>
      <c r="AB324" s="137">
        <f>Transportation_LCIA!F$61*($W324^Transportation_LCIA!F$60)+Transportation_LCIA!F$62</f>
        <v>0.16449730754705144</v>
      </c>
      <c r="AC324" s="137">
        <f>Transportation_LCIA!G$61*($W324^Transportation_LCIA!G$60)+Transportation_LCIA!G$62</f>
        <v>3.7750848214414753E-2</v>
      </c>
      <c r="AD324" s="137">
        <f>Transportation_LCIA!H$61*($W324^Transportation_LCIA!H$60)+Transportation_LCIA!H$62</f>
        <v>1.6043089519440367E-4</v>
      </c>
      <c r="AE324" s="137">
        <f>Transportation_LCIA!I$61*($W324^Transportation_LCIA!I$60)+Transportation_LCIA!I$62</f>
        <v>3.0394189214429766E-6</v>
      </c>
      <c r="AF324" s="137">
        <f>Transportation_LCIA!J$61*($W324^Transportation_LCIA!J$60)+Transportation_LCIA!J$62</f>
        <v>4.5183612782229779E-3</v>
      </c>
      <c r="AG324" s="137">
        <f>Transportation_LCIA!K$61*($W324^Transportation_LCIA!K$60)+Transportation_LCIA!K$62</f>
        <v>7.678540665617406E-3</v>
      </c>
      <c r="AH324" s="137">
        <f>Transportation_LCIA!L$61*($W324^Transportation_LCIA!L$60)+Transportation_LCIA!L$62</f>
        <v>1.334127552124456E-4</v>
      </c>
      <c r="AI324" s="137">
        <f>Transportation_LCIA!M$61*($W324^Transportation_LCIA!M$60)+Transportation_LCIA!M$62</f>
        <v>1.7942365848941578E-4</v>
      </c>
      <c r="AJ324" s="137">
        <f>Transportation_LCIA!N$61*($W324^Transportation_LCIA!N$60)+Transportation_LCIA!N$62</f>
        <v>5.9808875173019706E-4</v>
      </c>
      <c r="AK324" s="137">
        <f>Transportation_LCIA!O$61*($W324^Transportation_LCIA!O$60)+Transportation_LCIA!O$62</f>
        <v>3.9789606340763481E-5</v>
      </c>
      <c r="AL324" s="137">
        <f>Transportation_LCIA!P$61*($W324^Transportation_LCIA!P$60)+Transportation_LCIA!P$62</f>
        <v>1.928569183631254E-8</v>
      </c>
      <c r="AM324" s="137">
        <f>Transportation_LCIA!Q$61*($W324^Transportation_LCIA!Q$60)+Transportation_LCIA!Q$62</f>
        <v>5.3432059025234691E-5</v>
      </c>
      <c r="AN324" s="137">
        <f>Transportation_LCIA!R$61*($W324^Transportation_LCIA!R$60)+Transportation_LCIA!R$62</f>
        <v>1.4664797765435097E-4</v>
      </c>
      <c r="AO324" s="137">
        <f>Transportation_LCIA!S$61*($W324^Transportation_LCIA!S$60)+Transportation_LCIA!S$62</f>
        <v>2.337225442173834E-6</v>
      </c>
      <c r="AP324" s="137">
        <f>Transportation_LCIA!T$61*($W324^Transportation_LCIA!T$60)+Transportation_LCIA!T$62</f>
        <v>2.337225442173834E-6</v>
      </c>
      <c r="AQ324" s="137">
        <f>Transportation_LCIA!U$61*($W324^Transportation_LCIA!U$60)+Transportation_LCIA!U$62</f>
        <v>3.0925395840693005E-4</v>
      </c>
      <c r="AR324" s="137">
        <f>Transportation_LCIA!V$61*($W324^Transportation_LCIA!V$60)+Transportation_LCIA!V$62</f>
        <v>1.3928010182503176E-4</v>
      </c>
      <c r="AT324" s="137">
        <f>$W324*Y324+$L324*Summary_LCIA!H$32</f>
        <v>464.94881011421677</v>
      </c>
      <c r="AU324" s="137">
        <f>$W324*Z324+$L324*Summary_LCIA!Q$32</f>
        <v>4590.2368026011491</v>
      </c>
      <c r="AV324" s="137">
        <f>$W324*AA324+$L324*Summary_LCIA!R$32</f>
        <v>1.8346066735322817</v>
      </c>
      <c r="AW324" s="137">
        <f>$W324*AB324+$L324*Summary_LCIA!S$32</f>
        <v>464.82553189421679</v>
      </c>
      <c r="AX324" s="137">
        <f>$W324*AC324+$L324*Summary_LCIA!T$32</f>
        <v>107.59236342718999</v>
      </c>
      <c r="AY324" s="137">
        <f>$W324*AD324+$L324*Summary_LCIA!U$32</f>
        <v>0.94385146037497325</v>
      </c>
      <c r="AZ324" s="137">
        <f>$W324*AE324+$L324*Summary_LCIA!V$32</f>
        <v>9.747854009659225E-3</v>
      </c>
      <c r="BA324" s="137">
        <f>$W324*AF324+$L324*Summary_LCIA!W$32</f>
        <v>14.657547340347186</v>
      </c>
      <c r="BB324" s="137">
        <f>$W324*AG324+$L324*Summary_LCIA!X$32</f>
        <v>21.896227994001343</v>
      </c>
      <c r="BC324" s="137">
        <f>$W324*AH324+$L324*Summary_LCIA!Y$32</f>
        <v>0.80399996588324751</v>
      </c>
      <c r="BD324" s="137">
        <f>$W324*AI324+$L324*Summary_LCIA!Z$32</f>
        <v>0.49794433646354275</v>
      </c>
      <c r="BE324" s="137">
        <f>$W324*AJ324+$L324*Summary_LCIA!AA$32</f>
        <v>2.3074514285336472</v>
      </c>
      <c r="BF324" s="137">
        <f>$W324*AK324+$L324*Summary_LCIA!AB$32</f>
        <v>0.10956353082453418</v>
      </c>
      <c r="BG324" s="137">
        <f>$W324*AL324+$L324*Summary_LCIA!AC$32</f>
        <v>5.4762972386853521E-5</v>
      </c>
      <c r="BH324" s="137">
        <f>$W324*AM324+$L324*Summary_LCIA!AD$32</f>
        <v>0.15941067317032359</v>
      </c>
      <c r="BI324" s="137">
        <f>$W324*AN324+$L324*Summary_LCIA!AE$32</f>
        <v>0.43076404904822463</v>
      </c>
      <c r="BJ324" s="137">
        <f>$W324*AO324+$L324*Summary_LCIA!AF$32</f>
        <v>3.0051079623120487E-2</v>
      </c>
      <c r="BK324" s="137">
        <f>$W324*AP324+$L324*Summary_LCIA!AG$32</f>
        <v>7.898513418120489E-3</v>
      </c>
      <c r="BL324" s="137">
        <f>$W324*AQ324+$L324*Summary_LCIA!AH$32</f>
        <v>1.0990357175443124</v>
      </c>
      <c r="BM324" s="137">
        <f>$W324*AR324+$L324*Summary_LCIA!AI$32</f>
        <v>0.41163017739981922</v>
      </c>
    </row>
    <row r="325" spans="1:65" x14ac:dyDescent="0.25">
      <c r="A325" s="149">
        <v>339</v>
      </c>
      <c r="B325" s="149">
        <v>6</v>
      </c>
      <c r="C325" s="61">
        <v>47.650888000000002</v>
      </c>
      <c r="D325" s="61">
        <v>-122.308402</v>
      </c>
      <c r="E325" s="61" t="s">
        <v>265</v>
      </c>
      <c r="F325" s="149">
        <v>29</v>
      </c>
      <c r="G325" s="61" t="s">
        <v>565</v>
      </c>
      <c r="H325" s="61" t="s">
        <v>719</v>
      </c>
      <c r="I325" s="61">
        <v>47.450249999999997</v>
      </c>
      <c r="J325" s="61">
        <v>-122.308817</v>
      </c>
      <c r="K325" s="61">
        <v>43.043934999999998</v>
      </c>
      <c r="L325" s="61">
        <v>27.890999999999998</v>
      </c>
      <c r="M325" s="61" t="s">
        <v>617</v>
      </c>
      <c r="N325" s="149">
        <v>5</v>
      </c>
      <c r="O325" s="149">
        <v>6</v>
      </c>
      <c r="P325" s="61" t="s">
        <v>565</v>
      </c>
      <c r="Q325" s="61" t="s">
        <v>564</v>
      </c>
      <c r="R325" s="61">
        <v>41.98028</v>
      </c>
      <c r="S325" s="61">
        <v>-87.908997900000003</v>
      </c>
      <c r="T325" s="61">
        <v>3302.3719999999998</v>
      </c>
      <c r="U325" s="61" t="s">
        <v>617</v>
      </c>
      <c r="V325" s="61" t="s">
        <v>569</v>
      </c>
      <c r="W325" s="61" cm="1">
        <f t="array" ref="W325">getDistance(I325,J325,R325,S325)*SA!$B$12</f>
        <v>2768.8687134525744</v>
      </c>
      <c r="X325" s="61"/>
      <c r="Y325" s="137">
        <f>Transportation_LCIA!C$61*($W325^Transportation_LCIA!C$60)+Transportation_LCIA!C$62</f>
        <v>0.16449730754705144</v>
      </c>
      <c r="Z325" s="137">
        <f>Transportation_LCIA!D$61*($W325^Transportation_LCIA!D$60)+Transportation_LCIA!D$62</f>
        <v>1.607879629086141</v>
      </c>
      <c r="AA325" s="137">
        <f>Transportation_LCIA!E$61*($W325^Transportation_LCIA!E$60)+Transportation_LCIA!E$62</f>
        <v>6.0954274059017775E-4</v>
      </c>
      <c r="AB325" s="137">
        <f>Transportation_LCIA!F$61*($W325^Transportation_LCIA!F$60)+Transportation_LCIA!F$62</f>
        <v>0.16449730754705144</v>
      </c>
      <c r="AC325" s="137">
        <f>Transportation_LCIA!G$61*($W325^Transportation_LCIA!G$60)+Transportation_LCIA!G$62</f>
        <v>3.7750848214414753E-2</v>
      </c>
      <c r="AD325" s="137">
        <f>Transportation_LCIA!H$61*($W325^Transportation_LCIA!H$60)+Transportation_LCIA!H$62</f>
        <v>1.6043089519440367E-4</v>
      </c>
      <c r="AE325" s="137">
        <f>Transportation_LCIA!I$61*($W325^Transportation_LCIA!I$60)+Transportation_LCIA!I$62</f>
        <v>3.0394189214429766E-6</v>
      </c>
      <c r="AF325" s="137">
        <f>Transportation_LCIA!J$61*($W325^Transportation_LCIA!J$60)+Transportation_LCIA!J$62</f>
        <v>4.5183612782229779E-3</v>
      </c>
      <c r="AG325" s="137">
        <f>Transportation_LCIA!K$61*($W325^Transportation_LCIA!K$60)+Transportation_LCIA!K$62</f>
        <v>7.678540665617406E-3</v>
      </c>
      <c r="AH325" s="137">
        <f>Transportation_LCIA!L$61*($W325^Transportation_LCIA!L$60)+Transportation_LCIA!L$62</f>
        <v>1.334127552124456E-4</v>
      </c>
      <c r="AI325" s="137">
        <f>Transportation_LCIA!M$61*($W325^Transportation_LCIA!M$60)+Transportation_LCIA!M$62</f>
        <v>1.7942365848941578E-4</v>
      </c>
      <c r="AJ325" s="137">
        <f>Transportation_LCIA!N$61*($W325^Transportation_LCIA!N$60)+Transportation_LCIA!N$62</f>
        <v>5.9808875173019706E-4</v>
      </c>
      <c r="AK325" s="137">
        <f>Transportation_LCIA!O$61*($W325^Transportation_LCIA!O$60)+Transportation_LCIA!O$62</f>
        <v>3.9789606340763481E-5</v>
      </c>
      <c r="AL325" s="137">
        <f>Transportation_LCIA!P$61*($W325^Transportation_LCIA!P$60)+Transportation_LCIA!P$62</f>
        <v>1.928569183631254E-8</v>
      </c>
      <c r="AM325" s="137">
        <f>Transportation_LCIA!Q$61*($W325^Transportation_LCIA!Q$60)+Transportation_LCIA!Q$62</f>
        <v>5.3432059025234691E-5</v>
      </c>
      <c r="AN325" s="137">
        <f>Transportation_LCIA!R$61*($W325^Transportation_LCIA!R$60)+Transportation_LCIA!R$62</f>
        <v>1.4664797765435097E-4</v>
      </c>
      <c r="AO325" s="137">
        <f>Transportation_LCIA!S$61*($W325^Transportation_LCIA!S$60)+Transportation_LCIA!S$62</f>
        <v>2.337225442173834E-6</v>
      </c>
      <c r="AP325" s="137">
        <f>Transportation_LCIA!T$61*($W325^Transportation_LCIA!T$60)+Transportation_LCIA!T$62</f>
        <v>2.337225442173834E-6</v>
      </c>
      <c r="AQ325" s="137">
        <f>Transportation_LCIA!U$61*($W325^Transportation_LCIA!U$60)+Transportation_LCIA!U$62</f>
        <v>3.0925395840693005E-4</v>
      </c>
      <c r="AR325" s="137">
        <f>Transportation_LCIA!V$61*($W325^Transportation_LCIA!V$60)+Transportation_LCIA!V$62</f>
        <v>1.3928010182503176E-4</v>
      </c>
      <c r="AT325" s="137">
        <f>$W325*Y325+$L325*Summary_LCIA!H$32</f>
        <v>464.94881011421677</v>
      </c>
      <c r="AU325" s="137">
        <f>$W325*Z325+$L325*Summary_LCIA!Q$32</f>
        <v>4590.2368026011491</v>
      </c>
      <c r="AV325" s="137">
        <f>$W325*AA325+$L325*Summary_LCIA!R$32</f>
        <v>1.8346066735322817</v>
      </c>
      <c r="AW325" s="137">
        <f>$W325*AB325+$L325*Summary_LCIA!S$32</f>
        <v>464.82553189421679</v>
      </c>
      <c r="AX325" s="137">
        <f>$W325*AC325+$L325*Summary_LCIA!T$32</f>
        <v>107.59236342718999</v>
      </c>
      <c r="AY325" s="137">
        <f>$W325*AD325+$L325*Summary_LCIA!U$32</f>
        <v>0.94385146037497325</v>
      </c>
      <c r="AZ325" s="137">
        <f>$W325*AE325+$L325*Summary_LCIA!V$32</f>
        <v>9.747854009659225E-3</v>
      </c>
      <c r="BA325" s="137">
        <f>$W325*AF325+$L325*Summary_LCIA!W$32</f>
        <v>14.657547340347186</v>
      </c>
      <c r="BB325" s="137">
        <f>$W325*AG325+$L325*Summary_LCIA!X$32</f>
        <v>21.896227994001343</v>
      </c>
      <c r="BC325" s="137">
        <f>$W325*AH325+$L325*Summary_LCIA!Y$32</f>
        <v>0.80399996588324751</v>
      </c>
      <c r="BD325" s="137">
        <f>$W325*AI325+$L325*Summary_LCIA!Z$32</f>
        <v>0.49794433646354275</v>
      </c>
      <c r="BE325" s="137">
        <f>$W325*AJ325+$L325*Summary_LCIA!AA$32</f>
        <v>2.3074514285336472</v>
      </c>
      <c r="BF325" s="137">
        <f>$W325*AK325+$L325*Summary_LCIA!AB$32</f>
        <v>0.10956353082453418</v>
      </c>
      <c r="BG325" s="137">
        <f>$W325*AL325+$L325*Summary_LCIA!AC$32</f>
        <v>5.4762972386853521E-5</v>
      </c>
      <c r="BH325" s="137">
        <f>$W325*AM325+$L325*Summary_LCIA!AD$32</f>
        <v>0.15941067317032359</v>
      </c>
      <c r="BI325" s="137">
        <f>$W325*AN325+$L325*Summary_LCIA!AE$32</f>
        <v>0.43076404904822463</v>
      </c>
      <c r="BJ325" s="137">
        <f>$W325*AO325+$L325*Summary_LCIA!AF$32</f>
        <v>3.0051079623120487E-2</v>
      </c>
      <c r="BK325" s="137">
        <f>$W325*AP325+$L325*Summary_LCIA!AG$32</f>
        <v>7.898513418120489E-3</v>
      </c>
      <c r="BL325" s="137">
        <f>$W325*AQ325+$L325*Summary_LCIA!AH$32</f>
        <v>1.0990357175443124</v>
      </c>
      <c r="BM325" s="137">
        <f>$W325*AR325+$L325*Summary_LCIA!AI$32</f>
        <v>0.41163017739981922</v>
      </c>
    </row>
    <row r="326" spans="1:65" x14ac:dyDescent="0.25">
      <c r="A326" s="149">
        <v>203</v>
      </c>
      <c r="B326" s="149">
        <v>6</v>
      </c>
      <c r="C326" s="61">
        <v>38.544907000000002</v>
      </c>
      <c r="D326" s="61">
        <v>-121.740517</v>
      </c>
      <c r="E326" s="61" t="s">
        <v>265</v>
      </c>
      <c r="F326" s="149">
        <v>100</v>
      </c>
      <c r="G326" s="61" t="s">
        <v>280</v>
      </c>
      <c r="H326" s="61" t="s">
        <v>627</v>
      </c>
      <c r="I326" s="61">
        <v>38.695084999999999</v>
      </c>
      <c r="J326" s="61">
        <v>-121.590065</v>
      </c>
      <c r="K326" s="61">
        <v>29.866794039999998</v>
      </c>
      <c r="L326" s="61">
        <v>36.277000000000001</v>
      </c>
      <c r="M326" s="61" t="s">
        <v>617</v>
      </c>
      <c r="N326" s="149">
        <v>5</v>
      </c>
      <c r="O326" s="149">
        <v>6</v>
      </c>
      <c r="P326" s="61" t="s">
        <v>565</v>
      </c>
      <c r="Q326" s="61" t="s">
        <v>564</v>
      </c>
      <c r="R326" s="61">
        <v>41.98028</v>
      </c>
      <c r="S326" s="61">
        <v>-87.908997900000003</v>
      </c>
      <c r="T326" s="61">
        <v>3304.8339999999998</v>
      </c>
      <c r="U326" s="61" t="s">
        <v>617</v>
      </c>
      <c r="V326" s="61" t="s">
        <v>569</v>
      </c>
      <c r="W326" s="61" cm="1">
        <f t="array" ref="W326">getDistance(I326,J326,R326,S326)*SA!$B$12</f>
        <v>2866.5708095408991</v>
      </c>
      <c r="X326" s="61"/>
      <c r="Y326" s="137">
        <f>Transportation_LCIA!C$61*($W326^Transportation_LCIA!C$60)+Transportation_LCIA!C$62</f>
        <v>0.16298870690602826</v>
      </c>
      <c r="Z326" s="137">
        <f>Transportation_LCIA!D$61*($W326^Transportation_LCIA!D$60)+Transportation_LCIA!D$62</f>
        <v>1.5910516106221975</v>
      </c>
      <c r="AA326" s="137">
        <f>Transportation_LCIA!E$61*($W326^Transportation_LCIA!E$60)+Transportation_LCIA!E$62</f>
        <v>5.9861809437385593E-4</v>
      </c>
      <c r="AB326" s="137">
        <f>Transportation_LCIA!F$61*($W326^Transportation_LCIA!F$60)+Transportation_LCIA!F$62</f>
        <v>0.16298870690602826</v>
      </c>
      <c r="AC326" s="137">
        <f>Transportation_LCIA!G$61*($W326^Transportation_LCIA!G$60)+Transportation_LCIA!G$62</f>
        <v>3.7360492548125707E-2</v>
      </c>
      <c r="AD326" s="137">
        <f>Transportation_LCIA!H$61*($W326^Transportation_LCIA!H$60)+Transportation_LCIA!H$62</f>
        <v>1.5808826755310093E-4</v>
      </c>
      <c r="AE326" s="137">
        <f>Transportation_LCIA!I$61*($W326^Transportation_LCIA!I$60)+Transportation_LCIA!I$62</f>
        <v>2.9827806887960309E-6</v>
      </c>
      <c r="AF326" s="137">
        <f>Transportation_LCIA!J$61*($W326^Transportation_LCIA!J$60)+Transportation_LCIA!J$62</f>
        <v>4.4362081875416477E-3</v>
      </c>
      <c r="AG326" s="137">
        <f>Transportation_LCIA!K$61*($W326^Transportation_LCIA!K$60)+Transportation_LCIA!K$62</f>
        <v>7.5894740986676233E-3</v>
      </c>
      <c r="AH326" s="137">
        <f>Transportation_LCIA!L$61*($W326^Transportation_LCIA!L$60)+Transportation_LCIA!L$62</f>
        <v>1.3128371273567904E-4</v>
      </c>
      <c r="AI326" s="137">
        <f>Transportation_LCIA!M$61*($W326^Transportation_LCIA!M$60)+Transportation_LCIA!M$62</f>
        <v>1.7813254821628225E-4</v>
      </c>
      <c r="AJ326" s="137">
        <f>Transportation_LCIA!N$61*($W326^Transportation_LCIA!N$60)+Transportation_LCIA!N$62</f>
        <v>5.9018713209969017E-4</v>
      </c>
      <c r="AK326" s="137">
        <f>Transportation_LCIA!O$61*($W326^Transportation_LCIA!O$60)+Transportation_LCIA!O$62</f>
        <v>3.9375317661392519E-5</v>
      </c>
      <c r="AL326" s="137">
        <f>Transportation_LCIA!P$61*($W326^Transportation_LCIA!P$60)+Transportation_LCIA!P$62</f>
        <v>1.9085836103610033E-8</v>
      </c>
      <c r="AM326" s="137">
        <f>Transportation_LCIA!Q$61*($W326^Transportation_LCIA!Q$60)+Transportation_LCIA!Q$62</f>
        <v>5.2604740279553396E-5</v>
      </c>
      <c r="AN326" s="137">
        <f>Transportation_LCIA!R$61*($W326^Transportation_LCIA!R$60)+Transportation_LCIA!R$62</f>
        <v>1.4393465574244195E-4</v>
      </c>
      <c r="AO326" s="137">
        <f>Transportation_LCIA!S$61*($W326^Transportation_LCIA!S$60)+Transportation_LCIA!S$62</f>
        <v>2.2986479609562805E-6</v>
      </c>
      <c r="AP326" s="137">
        <f>Transportation_LCIA!T$61*($W326^Transportation_LCIA!T$60)+Transportation_LCIA!T$62</f>
        <v>2.2986479609562805E-6</v>
      </c>
      <c r="AQ326" s="137">
        <f>Transportation_LCIA!U$61*($W326^Transportation_LCIA!U$60)+Transportation_LCIA!U$62</f>
        <v>3.03349000821717E-4</v>
      </c>
      <c r="AR326" s="137">
        <f>Transportation_LCIA!V$61*($W326^Transportation_LCIA!V$60)+Transportation_LCIA!V$62</f>
        <v>1.3714496014112509E-4</v>
      </c>
      <c r="AT326" s="137">
        <f>$W326*Y326+$L326*Summary_LCIA!H$32</f>
        <v>479.54559410163773</v>
      </c>
      <c r="AU326" s="137">
        <f>$W326*Z326+$L326*Summary_LCIA!Q$32</f>
        <v>4740.6527450405647</v>
      </c>
      <c r="AV326" s="137">
        <f>$W326*AA326+$L326*Summary_LCIA!R$32</f>
        <v>1.9070013265950945</v>
      </c>
      <c r="AW326" s="137">
        <f>$W326*AB326+$L326*Summary_LCIA!S$32</f>
        <v>479.38524976163774</v>
      </c>
      <c r="AX326" s="137">
        <f>$W326*AC326+$L326*Summary_LCIA!T$32</f>
        <v>111.08333966852744</v>
      </c>
      <c r="AY326" s="137">
        <f>$W326*AD326+$L326*Summary_LCIA!U$32</f>
        <v>1.1030373910986109</v>
      </c>
      <c r="AZ326" s="137">
        <f>$W326*AE326+$L326*Summary_LCIA!V$32</f>
        <v>1.0282977850764999E-2</v>
      </c>
      <c r="BA326" s="137">
        <f>$W326*AF326+$L326*Summary_LCIA!W$32</f>
        <v>15.508981862453226</v>
      </c>
      <c r="BB326" s="137">
        <f>$W326*AG326+$L326*Summary_LCIA!X$32</f>
        <v>22.582154971007334</v>
      </c>
      <c r="BC326" s="137">
        <f>$W326*AH326+$L326*Summary_LCIA!Y$32</f>
        <v>0.9416022726962503</v>
      </c>
      <c r="BD326" s="137">
        <f>$W326*AI326+$L326*Summary_LCIA!Z$32</f>
        <v>0.51211724643893142</v>
      </c>
      <c r="BE326" s="137">
        <f>$W326*AJ326+$L326*Summary_LCIA!AA$32</f>
        <v>2.5390988170436302</v>
      </c>
      <c r="BF326" s="137">
        <f>$W326*AK326+$L326*Summary_LCIA!AB$32</f>
        <v>0.11208046325354802</v>
      </c>
      <c r="BG326" s="137">
        <f>$W326*AL326+$L326*Summary_LCIA!AC$32</f>
        <v>5.6484265518290334E-5</v>
      </c>
      <c r="BH326" s="137">
        <f>$W326*AM326+$L326*Summary_LCIA!AD$32</f>
        <v>0.16570651100884812</v>
      </c>
      <c r="BI326" s="137">
        <f>$W326*AN326+$L326*Summary_LCIA!AE$32</f>
        <v>0.44474502064260241</v>
      </c>
      <c r="BJ326" s="137">
        <f>$W326*AO326+$L326*Summary_LCIA!AF$32</f>
        <v>3.7258538486287983E-2</v>
      </c>
      <c r="BK326" s="137">
        <f>$W326*AP326+$L326*Summary_LCIA!AG$32</f>
        <v>8.4453498512879824E-3</v>
      </c>
      <c r="BL326" s="137">
        <f>$W326*AQ326+$L326*Summary_LCIA!AH$32</f>
        <v>1.1853118880589322</v>
      </c>
      <c r="BM326" s="137">
        <f>$W326*AR326+$L326*Summary_LCIA!AI$32</f>
        <v>0.4269295787661993</v>
      </c>
    </row>
    <row r="327" spans="1:65" x14ac:dyDescent="0.25">
      <c r="A327" s="149">
        <v>12</v>
      </c>
      <c r="B327" s="149">
        <v>6</v>
      </c>
      <c r="C327" s="61">
        <v>38.538727999999999</v>
      </c>
      <c r="D327" s="61">
        <v>-121.75308200000001</v>
      </c>
      <c r="E327" s="61" t="s">
        <v>265</v>
      </c>
      <c r="F327" s="149">
        <v>100</v>
      </c>
      <c r="G327" s="61" t="s">
        <v>280</v>
      </c>
      <c r="H327" s="61" t="s">
        <v>627</v>
      </c>
      <c r="I327" s="61">
        <v>38.695084999999999</v>
      </c>
      <c r="J327" s="61">
        <v>-121.590065</v>
      </c>
      <c r="K327" s="61">
        <v>31.070852179999999</v>
      </c>
      <c r="L327" s="61">
        <v>34.07</v>
      </c>
      <c r="M327" s="61" t="s">
        <v>617</v>
      </c>
      <c r="N327" s="149">
        <v>5</v>
      </c>
      <c r="O327" s="149">
        <v>6</v>
      </c>
      <c r="P327" s="61" t="s">
        <v>565</v>
      </c>
      <c r="Q327" s="61" t="s">
        <v>564</v>
      </c>
      <c r="R327" s="61">
        <v>41.98028</v>
      </c>
      <c r="S327" s="61">
        <v>-87.908997900000003</v>
      </c>
      <c r="T327" s="61">
        <v>3310.239</v>
      </c>
      <c r="U327" s="61" t="s">
        <v>617</v>
      </c>
      <c r="V327" s="61" t="s">
        <v>569</v>
      </c>
      <c r="W327" s="61" cm="1">
        <f t="array" ref="W327">getDistance(I327,J327,R327,S327)*SA!$B$12</f>
        <v>2866.5708095408991</v>
      </c>
      <c r="X327" s="61"/>
      <c r="Y327" s="137">
        <f>Transportation_LCIA!C$61*($W327^Transportation_LCIA!C$60)+Transportation_LCIA!C$62</f>
        <v>0.16298870690602826</v>
      </c>
      <c r="Z327" s="137">
        <f>Transportation_LCIA!D$61*($W327^Transportation_LCIA!D$60)+Transportation_LCIA!D$62</f>
        <v>1.5910516106221975</v>
      </c>
      <c r="AA327" s="137">
        <f>Transportation_LCIA!E$61*($W327^Transportation_LCIA!E$60)+Transportation_LCIA!E$62</f>
        <v>5.9861809437385593E-4</v>
      </c>
      <c r="AB327" s="137">
        <f>Transportation_LCIA!F$61*($W327^Transportation_LCIA!F$60)+Transportation_LCIA!F$62</f>
        <v>0.16298870690602826</v>
      </c>
      <c r="AC327" s="137">
        <f>Transportation_LCIA!G$61*($W327^Transportation_LCIA!G$60)+Transportation_LCIA!G$62</f>
        <v>3.7360492548125707E-2</v>
      </c>
      <c r="AD327" s="137">
        <f>Transportation_LCIA!H$61*($W327^Transportation_LCIA!H$60)+Transportation_LCIA!H$62</f>
        <v>1.5808826755310093E-4</v>
      </c>
      <c r="AE327" s="137">
        <f>Transportation_LCIA!I$61*($W327^Transportation_LCIA!I$60)+Transportation_LCIA!I$62</f>
        <v>2.9827806887960309E-6</v>
      </c>
      <c r="AF327" s="137">
        <f>Transportation_LCIA!J$61*($W327^Transportation_LCIA!J$60)+Transportation_LCIA!J$62</f>
        <v>4.4362081875416477E-3</v>
      </c>
      <c r="AG327" s="137">
        <f>Transportation_LCIA!K$61*($W327^Transportation_LCIA!K$60)+Transportation_LCIA!K$62</f>
        <v>7.5894740986676233E-3</v>
      </c>
      <c r="AH327" s="137">
        <f>Transportation_LCIA!L$61*($W327^Transportation_LCIA!L$60)+Transportation_LCIA!L$62</f>
        <v>1.3128371273567904E-4</v>
      </c>
      <c r="AI327" s="137">
        <f>Transportation_LCIA!M$61*($W327^Transportation_LCIA!M$60)+Transportation_LCIA!M$62</f>
        <v>1.7813254821628225E-4</v>
      </c>
      <c r="AJ327" s="137">
        <f>Transportation_LCIA!N$61*($W327^Transportation_LCIA!N$60)+Transportation_LCIA!N$62</f>
        <v>5.9018713209969017E-4</v>
      </c>
      <c r="AK327" s="137">
        <f>Transportation_LCIA!O$61*($W327^Transportation_LCIA!O$60)+Transportation_LCIA!O$62</f>
        <v>3.9375317661392519E-5</v>
      </c>
      <c r="AL327" s="137">
        <f>Transportation_LCIA!P$61*($W327^Transportation_LCIA!P$60)+Transportation_LCIA!P$62</f>
        <v>1.9085836103610033E-8</v>
      </c>
      <c r="AM327" s="137">
        <f>Transportation_LCIA!Q$61*($W327^Transportation_LCIA!Q$60)+Transportation_LCIA!Q$62</f>
        <v>5.2604740279553396E-5</v>
      </c>
      <c r="AN327" s="137">
        <f>Transportation_LCIA!R$61*($W327^Transportation_LCIA!R$60)+Transportation_LCIA!R$62</f>
        <v>1.4393465574244195E-4</v>
      </c>
      <c r="AO327" s="137">
        <f>Transportation_LCIA!S$61*($W327^Transportation_LCIA!S$60)+Transportation_LCIA!S$62</f>
        <v>2.2986479609562805E-6</v>
      </c>
      <c r="AP327" s="137">
        <f>Transportation_LCIA!T$61*($W327^Transportation_LCIA!T$60)+Transportation_LCIA!T$62</f>
        <v>2.2986479609562805E-6</v>
      </c>
      <c r="AQ327" s="137">
        <f>Transportation_LCIA!U$61*($W327^Transportation_LCIA!U$60)+Transportation_LCIA!U$62</f>
        <v>3.03349000821717E-4</v>
      </c>
      <c r="AR327" s="137">
        <f>Transportation_LCIA!V$61*($W327^Transportation_LCIA!V$60)+Transportation_LCIA!V$62</f>
        <v>1.3714496014112509E-4</v>
      </c>
      <c r="AT327" s="137">
        <f>$W327*Y327+$L327*Summary_LCIA!H$32</f>
        <v>478.79565550163773</v>
      </c>
      <c r="AU327" s="137">
        <f>$W327*Z327+$L327*Summary_LCIA!Q$32</f>
        <v>4729.7147417349333</v>
      </c>
      <c r="AV327" s="137">
        <f>$W327*AA327+$L327*Summary_LCIA!R$32</f>
        <v>1.8953801473950946</v>
      </c>
      <c r="AW327" s="137">
        <f>$W327*AB327+$L327*Summary_LCIA!S$32</f>
        <v>478.64506610163772</v>
      </c>
      <c r="AX327" s="137">
        <f>$W327*AC327+$L327*Summary_LCIA!T$32</f>
        <v>110.84079036852744</v>
      </c>
      <c r="AY327" s="137">
        <f>$W327*AD327+$L327*Summary_LCIA!U$32</f>
        <v>1.0635011930986107</v>
      </c>
      <c r="AZ327" s="137">
        <f>$W327*AE327+$L327*Summary_LCIA!V$32</f>
        <v>1.0177569323764998E-2</v>
      </c>
      <c r="BA327" s="137">
        <f>$W327*AF327+$L327*Summary_LCIA!W$32</f>
        <v>15.339106865453227</v>
      </c>
      <c r="BB327" s="137">
        <f>$W327*AG327+$L327*Summary_LCIA!X$32</f>
        <v>22.531879511007332</v>
      </c>
      <c r="BC327" s="137">
        <f>$W327*AH327+$L327*Summary_LCIA!Y$32</f>
        <v>0.90721279869625038</v>
      </c>
      <c r="BD327" s="137">
        <f>$W327*AI327+$L327*Summary_LCIA!Z$32</f>
        <v>0.51202673957593148</v>
      </c>
      <c r="BE327" s="137">
        <f>$W327*AJ327+$L327*Summary_LCIA!AA$32</f>
        <v>2.4875521250436301</v>
      </c>
      <c r="BF327" s="137">
        <f>$W327*AK327+$L327*Summary_LCIA!AB$32</f>
        <v>0.11212862661454802</v>
      </c>
      <c r="BG327" s="137">
        <f>$W327*AL327+$L327*Summary_LCIA!AC$32</f>
        <v>5.6376378530290334E-5</v>
      </c>
      <c r="BH327" s="137">
        <f>$W327*AM327+$L327*Summary_LCIA!AD$32</f>
        <v>0.16479934572884813</v>
      </c>
      <c r="BI327" s="137">
        <f>$W327*AN327+$L327*Summary_LCIA!AE$32</f>
        <v>0.44278933173260243</v>
      </c>
      <c r="BJ327" s="137">
        <f>$W327*AO327+$L327*Summary_LCIA!AF$32</f>
        <v>3.5392696546287981E-2</v>
      </c>
      <c r="BK327" s="137">
        <f>$W327*AP327+$L327*Summary_LCIA!AG$32</f>
        <v>8.3324286962879815E-3</v>
      </c>
      <c r="BL327" s="137">
        <f>$W327*AQ327+$L327*Summary_LCIA!AH$32</f>
        <v>1.1661030428589323</v>
      </c>
      <c r="BM327" s="137">
        <f>$W327*AR327+$L327*Summary_LCIA!AI$32</f>
        <v>0.4248736479161993</v>
      </c>
    </row>
    <row r="328" spans="1:65" x14ac:dyDescent="0.25">
      <c r="A328" s="149">
        <v>333</v>
      </c>
      <c r="B328" s="149">
        <v>6</v>
      </c>
      <c r="C328" s="61">
        <v>34.420831</v>
      </c>
      <c r="D328" s="61">
        <v>-119.69819</v>
      </c>
      <c r="E328" s="61" t="s">
        <v>265</v>
      </c>
      <c r="F328" s="149">
        <v>116</v>
      </c>
      <c r="G328" s="61" t="s">
        <v>663</v>
      </c>
      <c r="H328" s="61" t="s">
        <v>664</v>
      </c>
      <c r="I328" s="61">
        <v>34.198312000000001</v>
      </c>
      <c r="J328" s="61">
        <v>-118.357404</v>
      </c>
      <c r="K328" s="61">
        <v>171.82591690000001</v>
      </c>
      <c r="L328" s="61">
        <v>142.99199999999999</v>
      </c>
      <c r="M328" s="61" t="s">
        <v>617</v>
      </c>
      <c r="N328" s="149">
        <v>5</v>
      </c>
      <c r="O328" s="149">
        <v>6</v>
      </c>
      <c r="P328" s="61" t="s">
        <v>565</v>
      </c>
      <c r="Q328" s="61" t="s">
        <v>564</v>
      </c>
      <c r="R328" s="61">
        <v>41.98028</v>
      </c>
      <c r="S328" s="61">
        <v>-87.908997900000003</v>
      </c>
      <c r="T328" s="61">
        <v>3381.8220000000001</v>
      </c>
      <c r="U328" s="61" t="s">
        <v>617</v>
      </c>
      <c r="V328" s="61" t="s">
        <v>569</v>
      </c>
      <c r="W328" s="61" cm="1">
        <f t="array" ref="W328">getDistance(I328,J328,R328,S328)*SA!$B$12</f>
        <v>2790.7541476573592</v>
      </c>
      <c r="X328" s="61"/>
      <c r="Y328" s="137">
        <f>Transportation_LCIA!C$61*($W328^Transportation_LCIA!C$60)+Transportation_LCIA!C$62</f>
        <v>0.16415094208602343</v>
      </c>
      <c r="Z328" s="137">
        <f>Transportation_LCIA!D$61*($W328^Transportation_LCIA!D$60)+Transportation_LCIA!D$62</f>
        <v>1.6040137841734128</v>
      </c>
      <c r="AA328" s="137">
        <f>Transportation_LCIA!E$61*($W328^Transportation_LCIA!E$60)+Transportation_LCIA!E$62</f>
        <v>6.0703264998479057E-4</v>
      </c>
      <c r="AB328" s="137">
        <f>Transportation_LCIA!F$61*($W328^Transportation_LCIA!F$60)+Transportation_LCIA!F$62</f>
        <v>0.16415094208602343</v>
      </c>
      <c r="AC328" s="137">
        <f>Transportation_LCIA!G$61*($W328^Transportation_LCIA!G$60)+Transportation_LCIA!G$62</f>
        <v>3.766117612488866E-2</v>
      </c>
      <c r="AD328" s="137">
        <f>Transportation_LCIA!H$61*($W328^Transportation_LCIA!H$60)+Transportation_LCIA!H$62</f>
        <v>1.5989247087850008E-4</v>
      </c>
      <c r="AE328" s="137">
        <f>Transportation_LCIA!I$61*($W328^Transportation_LCIA!I$60)+Transportation_LCIA!I$62</f>
        <v>3.0263945870013352E-6</v>
      </c>
      <c r="AF328" s="137">
        <f>Transportation_LCIA!J$61*($W328^Transportation_LCIA!J$60)+Transportation_LCIA!J$62</f>
        <v>4.4994632561177195E-3</v>
      </c>
      <c r="AG328" s="137">
        <f>Transportation_LCIA!K$61*($W328^Transportation_LCIA!K$60)+Transportation_LCIA!K$62</f>
        <v>7.6580744113821306E-3</v>
      </c>
      <c r="AH328" s="137">
        <f>Transportation_LCIA!L$61*($W328^Transportation_LCIA!L$60)+Transportation_LCIA!L$62</f>
        <v>1.3292334881004532E-4</v>
      </c>
      <c r="AI328" s="137">
        <f>Transportation_LCIA!M$61*($W328^Transportation_LCIA!M$60)+Transportation_LCIA!M$62</f>
        <v>1.7912690739391247E-4</v>
      </c>
      <c r="AJ328" s="137">
        <f>Transportation_LCIA!N$61*($W328^Transportation_LCIA!N$60)+Transportation_LCIA!N$62</f>
        <v>5.9627273568366233E-4</v>
      </c>
      <c r="AK328" s="137">
        <f>Transportation_LCIA!O$61*($W328^Transportation_LCIA!O$60)+Transportation_LCIA!O$62</f>
        <v>3.9694434872682633E-5</v>
      </c>
      <c r="AL328" s="137">
        <f>Transportation_LCIA!P$61*($W328^Transportation_LCIA!P$60)+Transportation_LCIA!P$62</f>
        <v>1.9239782434370862E-8</v>
      </c>
      <c r="AM328" s="137">
        <f>Transportation_LCIA!Q$61*($W328^Transportation_LCIA!Q$60)+Transportation_LCIA!Q$62</f>
        <v>5.3241866869961461E-5</v>
      </c>
      <c r="AN328" s="137">
        <f>Transportation_LCIA!R$61*($W328^Transportation_LCIA!R$60)+Transportation_LCIA!R$62</f>
        <v>1.4602402362852521E-4</v>
      </c>
      <c r="AO328" s="137">
        <f>Transportation_LCIA!S$61*($W328^Transportation_LCIA!S$60)+Transportation_LCIA!S$62</f>
        <v>2.3283543908847741E-6</v>
      </c>
      <c r="AP328" s="137">
        <f>Transportation_LCIA!T$61*($W328^Transportation_LCIA!T$60)+Transportation_LCIA!T$62</f>
        <v>2.3283543908847741E-6</v>
      </c>
      <c r="AQ328" s="137">
        <f>Transportation_LCIA!U$61*($W328^Transportation_LCIA!U$60)+Transportation_LCIA!U$62</f>
        <v>3.0789592449214579E-4</v>
      </c>
      <c r="AR328" s="137">
        <f>Transportation_LCIA!V$61*($W328^Transportation_LCIA!V$60)+Transportation_LCIA!V$62</f>
        <v>1.387892043242952E-4</v>
      </c>
      <c r="AT328" s="137">
        <f>$W328*Y328+$L328*Summary_LCIA!H$32</f>
        <v>506.69360406843282</v>
      </c>
      <c r="AU328" s="137">
        <f>$W328*Z328+$L328*Summary_LCIA!Q$32</f>
        <v>5185.0836845970634</v>
      </c>
      <c r="AV328" s="137">
        <f>$W328*AA328+$L328*Summary_LCIA!R$32</f>
        <v>2.4470175609084923</v>
      </c>
      <c r="AW328" s="137">
        <f>$W328*AB328+$L328*Summary_LCIA!S$32</f>
        <v>506.06157942843282</v>
      </c>
      <c r="AX328" s="137">
        <f>$W328*AC328+$L328*Summary_LCIA!T$32</f>
        <v>120.81790427618733</v>
      </c>
      <c r="AY328" s="137">
        <f>$W328*AD328+$L328*Summary_LCIA!U$32</f>
        <v>3.0077792642833576</v>
      </c>
      <c r="AZ328" s="137">
        <f>$W328*AE328+$L328*Summary_LCIA!V$32</f>
        <v>1.5275364158121757E-2</v>
      </c>
      <c r="BA328" s="137">
        <f>$W328*AF328+$L328*Summary_LCIA!W$32</f>
        <v>23.563132976242411</v>
      </c>
      <c r="BB328" s="137">
        <f>$W328*AG328+$L328*Summary_LCIA!X$32</f>
        <v>24.629160686633373</v>
      </c>
      <c r="BC328" s="137">
        <f>$W328*AH328+$L328*Summary_LCIA!Y$32</f>
        <v>2.5990577310121394</v>
      </c>
      <c r="BD328" s="137">
        <f>$W328*AI328+$L328*Summary_LCIA!Z$32</f>
        <v>0.50576311869459689</v>
      </c>
      <c r="BE328" s="137">
        <f>$W328*AJ328+$L328*Summary_LCIA!AA$32</f>
        <v>5.0037717622441811</v>
      </c>
      <c r="BF328" s="137">
        <f>$W328*AK328+$L328*Summary_LCIA!AB$32</f>
        <v>0.10765689434385398</v>
      </c>
      <c r="BG328" s="137">
        <f>$W328*AL328+$L328*Summary_LCIA!AC$32</f>
        <v>6.0683523556745688E-5</v>
      </c>
      <c r="BH328" s="137">
        <f>$W328*AM328+$L328*Summary_LCIA!AD$32</f>
        <v>0.20736039247636587</v>
      </c>
      <c r="BI328" s="137">
        <f>$W328*AN328+$L328*Summary_LCIA!AE$32</f>
        <v>0.53422665055892293</v>
      </c>
      <c r="BJ328" s="137">
        <f>$W328*AO328+$L328*Summary_LCIA!AF$32</f>
        <v>0.12738616131357791</v>
      </c>
      <c r="BK328" s="137">
        <f>$W328*AP328+$L328*Summary_LCIA!AG$32</f>
        <v>1.3814050353577908E-2</v>
      </c>
      <c r="BL328" s="137">
        <f>$W328*AQ328+$L328*Summary_LCIA!AH$32</f>
        <v>2.1038069995232531</v>
      </c>
      <c r="BM328" s="137">
        <f>$W328*AR328+$L328*Summary_LCIA!AI$32</f>
        <v>0.52053074521809151</v>
      </c>
    </row>
    <row r="329" spans="1:65" x14ac:dyDescent="0.25">
      <c r="A329" s="149">
        <v>329</v>
      </c>
      <c r="B329" s="149">
        <v>6</v>
      </c>
      <c r="C329" s="61">
        <v>34.413587</v>
      </c>
      <c r="D329" s="61">
        <v>-119.849698</v>
      </c>
      <c r="E329" s="61" t="s">
        <v>265</v>
      </c>
      <c r="F329" s="149">
        <v>116</v>
      </c>
      <c r="G329" s="61" t="s">
        <v>663</v>
      </c>
      <c r="H329" s="61" t="s">
        <v>664</v>
      </c>
      <c r="I329" s="61">
        <v>34.198312000000001</v>
      </c>
      <c r="J329" s="61">
        <v>-118.357404</v>
      </c>
      <c r="K329" s="61">
        <v>186.5655932</v>
      </c>
      <c r="L329" s="61">
        <v>160.434</v>
      </c>
      <c r="M329" s="61" t="s">
        <v>617</v>
      </c>
      <c r="N329" s="149">
        <v>5</v>
      </c>
      <c r="O329" s="149">
        <v>6</v>
      </c>
      <c r="P329" s="61" t="s">
        <v>565</v>
      </c>
      <c r="Q329" s="61" t="s">
        <v>564</v>
      </c>
      <c r="R329" s="61">
        <v>41.98028</v>
      </c>
      <c r="S329" s="61">
        <v>-87.908997900000003</v>
      </c>
      <c r="T329" s="61">
        <v>3399.2629999999999</v>
      </c>
      <c r="U329" s="61" t="s">
        <v>617</v>
      </c>
      <c r="V329" s="61" t="s">
        <v>569</v>
      </c>
      <c r="W329" s="61" cm="1">
        <f t="array" ref="W329">getDistance(I329,J329,R329,S329)*SA!$B$12</f>
        <v>2790.7541476573592</v>
      </c>
      <c r="X329" s="61"/>
      <c r="Y329" s="137">
        <f>Transportation_LCIA!C$61*($W329^Transportation_LCIA!C$60)+Transportation_LCIA!C$62</f>
        <v>0.16415094208602343</v>
      </c>
      <c r="Z329" s="137">
        <f>Transportation_LCIA!D$61*($W329^Transportation_LCIA!D$60)+Transportation_LCIA!D$62</f>
        <v>1.6040137841734128</v>
      </c>
      <c r="AA329" s="137">
        <f>Transportation_LCIA!E$61*($W329^Transportation_LCIA!E$60)+Transportation_LCIA!E$62</f>
        <v>6.0703264998479057E-4</v>
      </c>
      <c r="AB329" s="137">
        <f>Transportation_LCIA!F$61*($W329^Transportation_LCIA!F$60)+Transportation_LCIA!F$62</f>
        <v>0.16415094208602343</v>
      </c>
      <c r="AC329" s="137">
        <f>Transportation_LCIA!G$61*($W329^Transportation_LCIA!G$60)+Transportation_LCIA!G$62</f>
        <v>3.766117612488866E-2</v>
      </c>
      <c r="AD329" s="137">
        <f>Transportation_LCIA!H$61*($W329^Transportation_LCIA!H$60)+Transportation_LCIA!H$62</f>
        <v>1.5989247087850008E-4</v>
      </c>
      <c r="AE329" s="137">
        <f>Transportation_LCIA!I$61*($W329^Transportation_LCIA!I$60)+Transportation_LCIA!I$62</f>
        <v>3.0263945870013352E-6</v>
      </c>
      <c r="AF329" s="137">
        <f>Transportation_LCIA!J$61*($W329^Transportation_LCIA!J$60)+Transportation_LCIA!J$62</f>
        <v>4.4994632561177195E-3</v>
      </c>
      <c r="AG329" s="137">
        <f>Transportation_LCIA!K$61*($W329^Transportation_LCIA!K$60)+Transportation_LCIA!K$62</f>
        <v>7.6580744113821306E-3</v>
      </c>
      <c r="AH329" s="137">
        <f>Transportation_LCIA!L$61*($W329^Transportation_LCIA!L$60)+Transportation_LCIA!L$62</f>
        <v>1.3292334881004532E-4</v>
      </c>
      <c r="AI329" s="137">
        <f>Transportation_LCIA!M$61*($W329^Transportation_LCIA!M$60)+Transportation_LCIA!M$62</f>
        <v>1.7912690739391247E-4</v>
      </c>
      <c r="AJ329" s="137">
        <f>Transportation_LCIA!N$61*($W329^Transportation_LCIA!N$60)+Transportation_LCIA!N$62</f>
        <v>5.9627273568366233E-4</v>
      </c>
      <c r="AK329" s="137">
        <f>Transportation_LCIA!O$61*($W329^Transportation_LCIA!O$60)+Transportation_LCIA!O$62</f>
        <v>3.9694434872682633E-5</v>
      </c>
      <c r="AL329" s="137">
        <f>Transportation_LCIA!P$61*($W329^Transportation_LCIA!P$60)+Transportation_LCIA!P$62</f>
        <v>1.9239782434370862E-8</v>
      </c>
      <c r="AM329" s="137">
        <f>Transportation_LCIA!Q$61*($W329^Transportation_LCIA!Q$60)+Transportation_LCIA!Q$62</f>
        <v>5.3241866869961461E-5</v>
      </c>
      <c r="AN329" s="137">
        <f>Transportation_LCIA!R$61*($W329^Transportation_LCIA!R$60)+Transportation_LCIA!R$62</f>
        <v>1.4602402362852521E-4</v>
      </c>
      <c r="AO329" s="137">
        <f>Transportation_LCIA!S$61*($W329^Transportation_LCIA!S$60)+Transportation_LCIA!S$62</f>
        <v>2.3283543908847741E-6</v>
      </c>
      <c r="AP329" s="137">
        <f>Transportation_LCIA!T$61*($W329^Transportation_LCIA!T$60)+Transportation_LCIA!T$62</f>
        <v>2.3283543908847741E-6</v>
      </c>
      <c r="AQ329" s="137">
        <f>Transportation_LCIA!U$61*($W329^Transportation_LCIA!U$60)+Transportation_LCIA!U$62</f>
        <v>3.0789592449214579E-4</v>
      </c>
      <c r="AR329" s="137">
        <f>Transportation_LCIA!V$61*($W329^Transportation_LCIA!V$60)+Transportation_LCIA!V$62</f>
        <v>1.387892043242952E-4</v>
      </c>
      <c r="AT329" s="137">
        <f>$W329*Y329+$L329*Summary_LCIA!H$32</f>
        <v>512.62039566843282</v>
      </c>
      <c r="AU329" s="137">
        <f>$W329*Z329+$L329*Summary_LCIA!Q$32</f>
        <v>5271.5271162494491</v>
      </c>
      <c r="AV329" s="137">
        <f>$W329*AA329+$L329*Summary_LCIA!R$32</f>
        <v>2.538860156108492</v>
      </c>
      <c r="AW329" s="137">
        <f>$W329*AB329+$L329*Summary_LCIA!S$32</f>
        <v>511.91127738843284</v>
      </c>
      <c r="AX329" s="137">
        <f>$W329*AC329+$L329*Summary_LCIA!T$32</f>
        <v>122.73478007618733</v>
      </c>
      <c r="AY329" s="137">
        <f>$W329*AD329+$L329*Summary_LCIA!U$32</f>
        <v>3.3202352522833576</v>
      </c>
      <c r="AZ329" s="137">
        <f>$W329*AE329+$L329*Summary_LCIA!V$32</f>
        <v>1.6108411520121758E-2</v>
      </c>
      <c r="BA329" s="137">
        <f>$W329*AF329+$L329*Summary_LCIA!W$32</f>
        <v>24.90566115824241</v>
      </c>
      <c r="BB329" s="137">
        <f>$W329*AG329+$L329*Summary_LCIA!X$32</f>
        <v>25.02648944663337</v>
      </c>
      <c r="BC329" s="137">
        <f>$W329*AH329+$L329*Summary_LCIA!Y$32</f>
        <v>2.8708389750121399</v>
      </c>
      <c r="BD329" s="137">
        <f>$W329*AI329+$L329*Summary_LCIA!Z$32</f>
        <v>0.50647839767259695</v>
      </c>
      <c r="BE329" s="137">
        <f>$W329*AJ329+$L329*Summary_LCIA!AA$32</f>
        <v>5.41114711424418</v>
      </c>
      <c r="BF329" s="137">
        <f>$W329*AK329+$L329*Summary_LCIA!AB$32</f>
        <v>0.10727625757785397</v>
      </c>
      <c r="BG329" s="137">
        <f>$W329*AL329+$L329*Summary_LCIA!AC$32</f>
        <v>6.1536158284745691E-5</v>
      </c>
      <c r="BH329" s="137">
        <f>$W329*AM329+$L329*Summary_LCIA!AD$32</f>
        <v>0.21452975215636588</v>
      </c>
      <c r="BI329" s="137">
        <f>$W329*AN329+$L329*Summary_LCIA!AE$32</f>
        <v>0.54968253001892298</v>
      </c>
      <c r="BJ329" s="137">
        <f>$W329*AO329+$L329*Summary_LCIA!AF$32</f>
        <v>0.1421319769535779</v>
      </c>
      <c r="BK329" s="137">
        <f>$W329*AP329+$L329*Summary_LCIA!AG$32</f>
        <v>1.4706470283577909E-2</v>
      </c>
      <c r="BL329" s="137">
        <f>$W329*AQ329+$L329*Summary_LCIA!AH$32</f>
        <v>2.2556151907232529</v>
      </c>
      <c r="BM329" s="137">
        <f>$W329*AR329+$L329*Summary_LCIA!AI$32</f>
        <v>0.53677884031809153</v>
      </c>
    </row>
    <row r="330" spans="1:65" x14ac:dyDescent="0.25">
      <c r="A330" s="149">
        <v>330</v>
      </c>
      <c r="B330" s="149">
        <v>6</v>
      </c>
      <c r="C330" s="61">
        <v>34.413587</v>
      </c>
      <c r="D330" s="61">
        <v>-119.849698</v>
      </c>
      <c r="E330" s="61" t="s">
        <v>265</v>
      </c>
      <c r="F330" s="149">
        <v>116</v>
      </c>
      <c r="G330" s="61" t="s">
        <v>663</v>
      </c>
      <c r="H330" s="61" t="s">
        <v>664</v>
      </c>
      <c r="I330" s="61">
        <v>34.198312000000001</v>
      </c>
      <c r="J330" s="61">
        <v>-118.357404</v>
      </c>
      <c r="K330" s="61">
        <v>186.5655932</v>
      </c>
      <c r="L330" s="61">
        <v>160.434</v>
      </c>
      <c r="M330" s="61" t="s">
        <v>617</v>
      </c>
      <c r="N330" s="149">
        <v>5</v>
      </c>
      <c r="O330" s="149">
        <v>6</v>
      </c>
      <c r="P330" s="61" t="s">
        <v>565</v>
      </c>
      <c r="Q330" s="61" t="s">
        <v>564</v>
      </c>
      <c r="R330" s="61">
        <v>41.98028</v>
      </c>
      <c r="S330" s="61">
        <v>-87.908997900000003</v>
      </c>
      <c r="T330" s="61">
        <v>3399.2629999999999</v>
      </c>
      <c r="U330" s="61" t="s">
        <v>617</v>
      </c>
      <c r="V330" s="61" t="s">
        <v>569</v>
      </c>
      <c r="W330" s="61" cm="1">
        <f t="array" ref="W330">getDistance(I330,J330,R330,S330)*SA!$B$12</f>
        <v>2790.7541476573592</v>
      </c>
      <c r="X330" s="61"/>
      <c r="Y330" s="137">
        <f>Transportation_LCIA!C$61*($W330^Transportation_LCIA!C$60)+Transportation_LCIA!C$62</f>
        <v>0.16415094208602343</v>
      </c>
      <c r="Z330" s="137">
        <f>Transportation_LCIA!D$61*($W330^Transportation_LCIA!D$60)+Transportation_LCIA!D$62</f>
        <v>1.6040137841734128</v>
      </c>
      <c r="AA330" s="137">
        <f>Transportation_LCIA!E$61*($W330^Transportation_LCIA!E$60)+Transportation_LCIA!E$62</f>
        <v>6.0703264998479057E-4</v>
      </c>
      <c r="AB330" s="137">
        <f>Transportation_LCIA!F$61*($W330^Transportation_LCIA!F$60)+Transportation_LCIA!F$62</f>
        <v>0.16415094208602343</v>
      </c>
      <c r="AC330" s="137">
        <f>Transportation_LCIA!G$61*($W330^Transportation_LCIA!G$60)+Transportation_LCIA!G$62</f>
        <v>3.766117612488866E-2</v>
      </c>
      <c r="AD330" s="137">
        <f>Transportation_LCIA!H$61*($W330^Transportation_LCIA!H$60)+Transportation_LCIA!H$62</f>
        <v>1.5989247087850008E-4</v>
      </c>
      <c r="AE330" s="137">
        <f>Transportation_LCIA!I$61*($W330^Transportation_LCIA!I$60)+Transportation_LCIA!I$62</f>
        <v>3.0263945870013352E-6</v>
      </c>
      <c r="AF330" s="137">
        <f>Transportation_LCIA!J$61*($W330^Transportation_LCIA!J$60)+Transportation_LCIA!J$62</f>
        <v>4.4994632561177195E-3</v>
      </c>
      <c r="AG330" s="137">
        <f>Transportation_LCIA!K$61*($W330^Transportation_LCIA!K$60)+Transportation_LCIA!K$62</f>
        <v>7.6580744113821306E-3</v>
      </c>
      <c r="AH330" s="137">
        <f>Transportation_LCIA!L$61*($W330^Transportation_LCIA!L$60)+Transportation_LCIA!L$62</f>
        <v>1.3292334881004532E-4</v>
      </c>
      <c r="AI330" s="137">
        <f>Transportation_LCIA!M$61*($W330^Transportation_LCIA!M$60)+Transportation_LCIA!M$62</f>
        <v>1.7912690739391247E-4</v>
      </c>
      <c r="AJ330" s="137">
        <f>Transportation_LCIA!N$61*($W330^Transportation_LCIA!N$60)+Transportation_LCIA!N$62</f>
        <v>5.9627273568366233E-4</v>
      </c>
      <c r="AK330" s="137">
        <f>Transportation_LCIA!O$61*($W330^Transportation_LCIA!O$60)+Transportation_LCIA!O$62</f>
        <v>3.9694434872682633E-5</v>
      </c>
      <c r="AL330" s="137">
        <f>Transportation_LCIA!P$61*($W330^Transportation_LCIA!P$60)+Transportation_LCIA!P$62</f>
        <v>1.9239782434370862E-8</v>
      </c>
      <c r="AM330" s="137">
        <f>Transportation_LCIA!Q$61*($W330^Transportation_LCIA!Q$60)+Transportation_LCIA!Q$62</f>
        <v>5.3241866869961461E-5</v>
      </c>
      <c r="AN330" s="137">
        <f>Transportation_LCIA!R$61*($W330^Transportation_LCIA!R$60)+Transportation_LCIA!R$62</f>
        <v>1.4602402362852521E-4</v>
      </c>
      <c r="AO330" s="137">
        <f>Transportation_LCIA!S$61*($W330^Transportation_LCIA!S$60)+Transportation_LCIA!S$62</f>
        <v>2.3283543908847741E-6</v>
      </c>
      <c r="AP330" s="137">
        <f>Transportation_LCIA!T$61*($W330^Transportation_LCIA!T$60)+Transportation_LCIA!T$62</f>
        <v>2.3283543908847741E-6</v>
      </c>
      <c r="AQ330" s="137">
        <f>Transportation_LCIA!U$61*($W330^Transportation_LCIA!U$60)+Transportation_LCIA!U$62</f>
        <v>3.0789592449214579E-4</v>
      </c>
      <c r="AR330" s="137">
        <f>Transportation_LCIA!V$61*($W330^Transportation_LCIA!V$60)+Transportation_LCIA!V$62</f>
        <v>1.387892043242952E-4</v>
      </c>
      <c r="AT330" s="137">
        <f>$W330*Y330+$L330*Summary_LCIA!H$32</f>
        <v>512.62039566843282</v>
      </c>
      <c r="AU330" s="137">
        <f>$W330*Z330+$L330*Summary_LCIA!Q$32</f>
        <v>5271.5271162494491</v>
      </c>
      <c r="AV330" s="137">
        <f>$W330*AA330+$L330*Summary_LCIA!R$32</f>
        <v>2.538860156108492</v>
      </c>
      <c r="AW330" s="137">
        <f>$W330*AB330+$L330*Summary_LCIA!S$32</f>
        <v>511.91127738843284</v>
      </c>
      <c r="AX330" s="137">
        <f>$W330*AC330+$L330*Summary_LCIA!T$32</f>
        <v>122.73478007618733</v>
      </c>
      <c r="AY330" s="137">
        <f>$W330*AD330+$L330*Summary_LCIA!U$32</f>
        <v>3.3202352522833576</v>
      </c>
      <c r="AZ330" s="137">
        <f>$W330*AE330+$L330*Summary_LCIA!V$32</f>
        <v>1.6108411520121758E-2</v>
      </c>
      <c r="BA330" s="137">
        <f>$W330*AF330+$L330*Summary_LCIA!W$32</f>
        <v>24.90566115824241</v>
      </c>
      <c r="BB330" s="137">
        <f>$W330*AG330+$L330*Summary_LCIA!X$32</f>
        <v>25.02648944663337</v>
      </c>
      <c r="BC330" s="137">
        <f>$W330*AH330+$L330*Summary_LCIA!Y$32</f>
        <v>2.8708389750121399</v>
      </c>
      <c r="BD330" s="137">
        <f>$W330*AI330+$L330*Summary_LCIA!Z$32</f>
        <v>0.50647839767259695</v>
      </c>
      <c r="BE330" s="137">
        <f>$W330*AJ330+$L330*Summary_LCIA!AA$32</f>
        <v>5.41114711424418</v>
      </c>
      <c r="BF330" s="137">
        <f>$W330*AK330+$L330*Summary_LCIA!AB$32</f>
        <v>0.10727625757785397</v>
      </c>
      <c r="BG330" s="137">
        <f>$W330*AL330+$L330*Summary_LCIA!AC$32</f>
        <v>6.1536158284745691E-5</v>
      </c>
      <c r="BH330" s="137">
        <f>$W330*AM330+$L330*Summary_LCIA!AD$32</f>
        <v>0.21452975215636588</v>
      </c>
      <c r="BI330" s="137">
        <f>$W330*AN330+$L330*Summary_LCIA!AE$32</f>
        <v>0.54968253001892298</v>
      </c>
      <c r="BJ330" s="137">
        <f>$W330*AO330+$L330*Summary_LCIA!AF$32</f>
        <v>0.1421319769535779</v>
      </c>
      <c r="BK330" s="137">
        <f>$W330*AP330+$L330*Summary_LCIA!AG$32</f>
        <v>1.4706470283577909E-2</v>
      </c>
      <c r="BL330" s="137">
        <f>$W330*AQ330+$L330*Summary_LCIA!AH$32</f>
        <v>2.2556151907232529</v>
      </c>
      <c r="BM330" s="137">
        <f>$W330*AR330+$L330*Summary_LCIA!AI$32</f>
        <v>0.53677884031809153</v>
      </c>
    </row>
    <row r="331" spans="1:65" x14ac:dyDescent="0.25">
      <c r="A331" s="149">
        <v>331</v>
      </c>
      <c r="B331" s="149">
        <v>6</v>
      </c>
      <c r="C331" s="61">
        <v>34.413587</v>
      </c>
      <c r="D331" s="61">
        <v>-119.849698</v>
      </c>
      <c r="E331" s="61" t="s">
        <v>265</v>
      </c>
      <c r="F331" s="149">
        <v>116</v>
      </c>
      <c r="G331" s="61" t="s">
        <v>663</v>
      </c>
      <c r="H331" s="61" t="s">
        <v>664</v>
      </c>
      <c r="I331" s="61">
        <v>34.198312000000001</v>
      </c>
      <c r="J331" s="61">
        <v>-118.357404</v>
      </c>
      <c r="K331" s="61">
        <v>186.5655932</v>
      </c>
      <c r="L331" s="61">
        <v>160.434</v>
      </c>
      <c r="M331" s="61" t="s">
        <v>617</v>
      </c>
      <c r="N331" s="149">
        <v>5</v>
      </c>
      <c r="O331" s="149">
        <v>6</v>
      </c>
      <c r="P331" s="61" t="s">
        <v>565</v>
      </c>
      <c r="Q331" s="61" t="s">
        <v>564</v>
      </c>
      <c r="R331" s="61">
        <v>41.98028</v>
      </c>
      <c r="S331" s="61">
        <v>-87.908997900000003</v>
      </c>
      <c r="T331" s="61">
        <v>3399.2629999999999</v>
      </c>
      <c r="U331" s="61" t="s">
        <v>617</v>
      </c>
      <c r="V331" s="61" t="s">
        <v>569</v>
      </c>
      <c r="W331" s="61" cm="1">
        <f t="array" ref="W331">getDistance(I331,J331,R331,S331)*SA!$B$12</f>
        <v>2790.7541476573592</v>
      </c>
      <c r="X331" s="61"/>
      <c r="Y331" s="137">
        <f>Transportation_LCIA!C$61*($W331^Transportation_LCIA!C$60)+Transportation_LCIA!C$62</f>
        <v>0.16415094208602343</v>
      </c>
      <c r="Z331" s="137">
        <f>Transportation_LCIA!D$61*($W331^Transportation_LCIA!D$60)+Transportation_LCIA!D$62</f>
        <v>1.6040137841734128</v>
      </c>
      <c r="AA331" s="137">
        <f>Transportation_LCIA!E$61*($W331^Transportation_LCIA!E$60)+Transportation_LCIA!E$62</f>
        <v>6.0703264998479057E-4</v>
      </c>
      <c r="AB331" s="137">
        <f>Transportation_LCIA!F$61*($W331^Transportation_LCIA!F$60)+Transportation_LCIA!F$62</f>
        <v>0.16415094208602343</v>
      </c>
      <c r="AC331" s="137">
        <f>Transportation_LCIA!G$61*($W331^Transportation_LCIA!G$60)+Transportation_LCIA!G$62</f>
        <v>3.766117612488866E-2</v>
      </c>
      <c r="AD331" s="137">
        <f>Transportation_LCIA!H$61*($W331^Transportation_LCIA!H$60)+Transportation_LCIA!H$62</f>
        <v>1.5989247087850008E-4</v>
      </c>
      <c r="AE331" s="137">
        <f>Transportation_LCIA!I$61*($W331^Transportation_LCIA!I$60)+Transportation_LCIA!I$62</f>
        <v>3.0263945870013352E-6</v>
      </c>
      <c r="AF331" s="137">
        <f>Transportation_LCIA!J$61*($W331^Transportation_LCIA!J$60)+Transportation_LCIA!J$62</f>
        <v>4.4994632561177195E-3</v>
      </c>
      <c r="AG331" s="137">
        <f>Transportation_LCIA!K$61*($W331^Transportation_LCIA!K$60)+Transportation_LCIA!K$62</f>
        <v>7.6580744113821306E-3</v>
      </c>
      <c r="AH331" s="137">
        <f>Transportation_LCIA!L$61*($W331^Transportation_LCIA!L$60)+Transportation_LCIA!L$62</f>
        <v>1.3292334881004532E-4</v>
      </c>
      <c r="AI331" s="137">
        <f>Transportation_LCIA!M$61*($W331^Transportation_LCIA!M$60)+Transportation_LCIA!M$62</f>
        <v>1.7912690739391247E-4</v>
      </c>
      <c r="AJ331" s="137">
        <f>Transportation_LCIA!N$61*($W331^Transportation_LCIA!N$60)+Transportation_LCIA!N$62</f>
        <v>5.9627273568366233E-4</v>
      </c>
      <c r="AK331" s="137">
        <f>Transportation_LCIA!O$61*($W331^Transportation_LCIA!O$60)+Transportation_LCIA!O$62</f>
        <v>3.9694434872682633E-5</v>
      </c>
      <c r="AL331" s="137">
        <f>Transportation_LCIA!P$61*($W331^Transportation_LCIA!P$60)+Transportation_LCIA!P$62</f>
        <v>1.9239782434370862E-8</v>
      </c>
      <c r="AM331" s="137">
        <f>Transportation_LCIA!Q$61*($W331^Transportation_LCIA!Q$60)+Transportation_LCIA!Q$62</f>
        <v>5.3241866869961461E-5</v>
      </c>
      <c r="AN331" s="137">
        <f>Transportation_LCIA!R$61*($W331^Transportation_LCIA!R$60)+Transportation_LCIA!R$62</f>
        <v>1.4602402362852521E-4</v>
      </c>
      <c r="AO331" s="137">
        <f>Transportation_LCIA!S$61*($W331^Transportation_LCIA!S$60)+Transportation_LCIA!S$62</f>
        <v>2.3283543908847741E-6</v>
      </c>
      <c r="AP331" s="137">
        <f>Transportation_LCIA!T$61*($W331^Transportation_LCIA!T$60)+Transportation_LCIA!T$62</f>
        <v>2.3283543908847741E-6</v>
      </c>
      <c r="AQ331" s="137">
        <f>Transportation_LCIA!U$61*($W331^Transportation_LCIA!U$60)+Transportation_LCIA!U$62</f>
        <v>3.0789592449214579E-4</v>
      </c>
      <c r="AR331" s="137">
        <f>Transportation_LCIA!V$61*($W331^Transportation_LCIA!V$60)+Transportation_LCIA!V$62</f>
        <v>1.387892043242952E-4</v>
      </c>
      <c r="AT331" s="137">
        <f>$W331*Y331+$L331*Summary_LCIA!H$32</f>
        <v>512.62039566843282</v>
      </c>
      <c r="AU331" s="137">
        <f>$W331*Z331+$L331*Summary_LCIA!Q$32</f>
        <v>5271.5271162494491</v>
      </c>
      <c r="AV331" s="137">
        <f>$W331*AA331+$L331*Summary_LCIA!R$32</f>
        <v>2.538860156108492</v>
      </c>
      <c r="AW331" s="137">
        <f>$W331*AB331+$L331*Summary_LCIA!S$32</f>
        <v>511.91127738843284</v>
      </c>
      <c r="AX331" s="137">
        <f>$W331*AC331+$L331*Summary_LCIA!T$32</f>
        <v>122.73478007618733</v>
      </c>
      <c r="AY331" s="137">
        <f>$W331*AD331+$L331*Summary_LCIA!U$32</f>
        <v>3.3202352522833576</v>
      </c>
      <c r="AZ331" s="137">
        <f>$W331*AE331+$L331*Summary_LCIA!V$32</f>
        <v>1.6108411520121758E-2</v>
      </c>
      <c r="BA331" s="137">
        <f>$W331*AF331+$L331*Summary_LCIA!W$32</f>
        <v>24.90566115824241</v>
      </c>
      <c r="BB331" s="137">
        <f>$W331*AG331+$L331*Summary_LCIA!X$32</f>
        <v>25.02648944663337</v>
      </c>
      <c r="BC331" s="137">
        <f>$W331*AH331+$L331*Summary_LCIA!Y$32</f>
        <v>2.8708389750121399</v>
      </c>
      <c r="BD331" s="137">
        <f>$W331*AI331+$L331*Summary_LCIA!Z$32</f>
        <v>0.50647839767259695</v>
      </c>
      <c r="BE331" s="137">
        <f>$W331*AJ331+$L331*Summary_LCIA!AA$32</f>
        <v>5.41114711424418</v>
      </c>
      <c r="BF331" s="137">
        <f>$W331*AK331+$L331*Summary_LCIA!AB$32</f>
        <v>0.10727625757785397</v>
      </c>
      <c r="BG331" s="137">
        <f>$W331*AL331+$L331*Summary_LCIA!AC$32</f>
        <v>6.1536158284745691E-5</v>
      </c>
      <c r="BH331" s="137">
        <f>$W331*AM331+$L331*Summary_LCIA!AD$32</f>
        <v>0.21452975215636588</v>
      </c>
      <c r="BI331" s="137">
        <f>$W331*AN331+$L331*Summary_LCIA!AE$32</f>
        <v>0.54968253001892298</v>
      </c>
      <c r="BJ331" s="137">
        <f>$W331*AO331+$L331*Summary_LCIA!AF$32</f>
        <v>0.1421319769535779</v>
      </c>
      <c r="BK331" s="137">
        <f>$W331*AP331+$L331*Summary_LCIA!AG$32</f>
        <v>1.4706470283577909E-2</v>
      </c>
      <c r="BL331" s="137">
        <f>$W331*AQ331+$L331*Summary_LCIA!AH$32</f>
        <v>2.2556151907232529</v>
      </c>
      <c r="BM331" s="137">
        <f>$W331*AR331+$L331*Summary_LCIA!AI$32</f>
        <v>0.53677884031809153</v>
      </c>
    </row>
    <row r="332" spans="1:65" x14ac:dyDescent="0.25">
      <c r="A332" s="149">
        <v>332</v>
      </c>
      <c r="B332" s="149">
        <v>6</v>
      </c>
      <c r="C332" s="61">
        <v>34.413587</v>
      </c>
      <c r="D332" s="61">
        <v>-119.849698</v>
      </c>
      <c r="E332" s="61" t="s">
        <v>265</v>
      </c>
      <c r="F332" s="149">
        <v>116</v>
      </c>
      <c r="G332" s="61" t="s">
        <v>663</v>
      </c>
      <c r="H332" s="61" t="s">
        <v>664</v>
      </c>
      <c r="I332" s="61">
        <v>34.198312000000001</v>
      </c>
      <c r="J332" s="61">
        <v>-118.357404</v>
      </c>
      <c r="K332" s="61">
        <v>186.5655932</v>
      </c>
      <c r="L332" s="61">
        <v>160.434</v>
      </c>
      <c r="M332" s="61" t="s">
        <v>617</v>
      </c>
      <c r="N332" s="149">
        <v>5</v>
      </c>
      <c r="O332" s="149">
        <v>6</v>
      </c>
      <c r="P332" s="61" t="s">
        <v>565</v>
      </c>
      <c r="Q332" s="61" t="s">
        <v>564</v>
      </c>
      <c r="R332" s="61">
        <v>41.98028</v>
      </c>
      <c r="S332" s="61">
        <v>-87.908997900000003</v>
      </c>
      <c r="T332" s="61">
        <v>3399.2629999999999</v>
      </c>
      <c r="U332" s="61" t="s">
        <v>617</v>
      </c>
      <c r="V332" s="61" t="s">
        <v>569</v>
      </c>
      <c r="W332" s="61" cm="1">
        <f t="array" ref="W332">getDistance(I332,J332,R332,S332)*SA!$B$12</f>
        <v>2790.7541476573592</v>
      </c>
      <c r="X332" s="61"/>
      <c r="Y332" s="137">
        <f>Transportation_LCIA!C$61*($W332^Transportation_LCIA!C$60)+Transportation_LCIA!C$62</f>
        <v>0.16415094208602343</v>
      </c>
      <c r="Z332" s="137">
        <f>Transportation_LCIA!D$61*($W332^Transportation_LCIA!D$60)+Transportation_LCIA!D$62</f>
        <v>1.6040137841734128</v>
      </c>
      <c r="AA332" s="137">
        <f>Transportation_LCIA!E$61*($W332^Transportation_LCIA!E$60)+Transportation_LCIA!E$62</f>
        <v>6.0703264998479057E-4</v>
      </c>
      <c r="AB332" s="137">
        <f>Transportation_LCIA!F$61*($W332^Transportation_LCIA!F$60)+Transportation_LCIA!F$62</f>
        <v>0.16415094208602343</v>
      </c>
      <c r="AC332" s="137">
        <f>Transportation_LCIA!G$61*($W332^Transportation_LCIA!G$60)+Transportation_LCIA!G$62</f>
        <v>3.766117612488866E-2</v>
      </c>
      <c r="AD332" s="137">
        <f>Transportation_LCIA!H$61*($W332^Transportation_LCIA!H$60)+Transportation_LCIA!H$62</f>
        <v>1.5989247087850008E-4</v>
      </c>
      <c r="AE332" s="137">
        <f>Transportation_LCIA!I$61*($W332^Transportation_LCIA!I$60)+Transportation_LCIA!I$62</f>
        <v>3.0263945870013352E-6</v>
      </c>
      <c r="AF332" s="137">
        <f>Transportation_LCIA!J$61*($W332^Transportation_LCIA!J$60)+Transportation_LCIA!J$62</f>
        <v>4.4994632561177195E-3</v>
      </c>
      <c r="AG332" s="137">
        <f>Transportation_LCIA!K$61*($W332^Transportation_LCIA!K$60)+Transportation_LCIA!K$62</f>
        <v>7.6580744113821306E-3</v>
      </c>
      <c r="AH332" s="137">
        <f>Transportation_LCIA!L$61*($W332^Transportation_LCIA!L$60)+Transportation_LCIA!L$62</f>
        <v>1.3292334881004532E-4</v>
      </c>
      <c r="AI332" s="137">
        <f>Transportation_LCIA!M$61*($W332^Transportation_LCIA!M$60)+Transportation_LCIA!M$62</f>
        <v>1.7912690739391247E-4</v>
      </c>
      <c r="AJ332" s="137">
        <f>Transportation_LCIA!N$61*($W332^Transportation_LCIA!N$60)+Transportation_LCIA!N$62</f>
        <v>5.9627273568366233E-4</v>
      </c>
      <c r="AK332" s="137">
        <f>Transportation_LCIA!O$61*($W332^Transportation_LCIA!O$60)+Transportation_LCIA!O$62</f>
        <v>3.9694434872682633E-5</v>
      </c>
      <c r="AL332" s="137">
        <f>Transportation_LCIA!P$61*($W332^Transportation_LCIA!P$60)+Transportation_LCIA!P$62</f>
        <v>1.9239782434370862E-8</v>
      </c>
      <c r="AM332" s="137">
        <f>Transportation_LCIA!Q$61*($W332^Transportation_LCIA!Q$60)+Transportation_LCIA!Q$62</f>
        <v>5.3241866869961461E-5</v>
      </c>
      <c r="AN332" s="137">
        <f>Transportation_LCIA!R$61*($W332^Transportation_LCIA!R$60)+Transportation_LCIA!R$62</f>
        <v>1.4602402362852521E-4</v>
      </c>
      <c r="AO332" s="137">
        <f>Transportation_LCIA!S$61*($W332^Transportation_LCIA!S$60)+Transportation_LCIA!S$62</f>
        <v>2.3283543908847741E-6</v>
      </c>
      <c r="AP332" s="137">
        <f>Transportation_LCIA!T$61*($W332^Transportation_LCIA!T$60)+Transportation_LCIA!T$62</f>
        <v>2.3283543908847741E-6</v>
      </c>
      <c r="AQ332" s="137">
        <f>Transportation_LCIA!U$61*($W332^Transportation_LCIA!U$60)+Transportation_LCIA!U$62</f>
        <v>3.0789592449214579E-4</v>
      </c>
      <c r="AR332" s="137">
        <f>Transportation_LCIA!V$61*($W332^Transportation_LCIA!V$60)+Transportation_LCIA!V$62</f>
        <v>1.387892043242952E-4</v>
      </c>
      <c r="AT332" s="137">
        <f>$W332*Y332+$L332*Summary_LCIA!H$32</f>
        <v>512.62039566843282</v>
      </c>
      <c r="AU332" s="137">
        <f>$W332*Z332+$L332*Summary_LCIA!Q$32</f>
        <v>5271.5271162494491</v>
      </c>
      <c r="AV332" s="137">
        <f>$W332*AA332+$L332*Summary_LCIA!R$32</f>
        <v>2.538860156108492</v>
      </c>
      <c r="AW332" s="137">
        <f>$W332*AB332+$L332*Summary_LCIA!S$32</f>
        <v>511.91127738843284</v>
      </c>
      <c r="AX332" s="137">
        <f>$W332*AC332+$L332*Summary_LCIA!T$32</f>
        <v>122.73478007618733</v>
      </c>
      <c r="AY332" s="137">
        <f>$W332*AD332+$L332*Summary_LCIA!U$32</f>
        <v>3.3202352522833576</v>
      </c>
      <c r="AZ332" s="137">
        <f>$W332*AE332+$L332*Summary_LCIA!V$32</f>
        <v>1.6108411520121758E-2</v>
      </c>
      <c r="BA332" s="137">
        <f>$W332*AF332+$L332*Summary_LCIA!W$32</f>
        <v>24.90566115824241</v>
      </c>
      <c r="BB332" s="137">
        <f>$W332*AG332+$L332*Summary_LCIA!X$32</f>
        <v>25.02648944663337</v>
      </c>
      <c r="BC332" s="137">
        <f>$W332*AH332+$L332*Summary_LCIA!Y$32</f>
        <v>2.8708389750121399</v>
      </c>
      <c r="BD332" s="137">
        <f>$W332*AI332+$L332*Summary_LCIA!Z$32</f>
        <v>0.50647839767259695</v>
      </c>
      <c r="BE332" s="137">
        <f>$W332*AJ332+$L332*Summary_LCIA!AA$32</f>
        <v>5.41114711424418</v>
      </c>
      <c r="BF332" s="137">
        <f>$W332*AK332+$L332*Summary_LCIA!AB$32</f>
        <v>0.10727625757785397</v>
      </c>
      <c r="BG332" s="137">
        <f>$W332*AL332+$L332*Summary_LCIA!AC$32</f>
        <v>6.1536158284745691E-5</v>
      </c>
      <c r="BH332" s="137">
        <f>$W332*AM332+$L332*Summary_LCIA!AD$32</f>
        <v>0.21452975215636588</v>
      </c>
      <c r="BI332" s="137">
        <f>$W332*AN332+$L332*Summary_LCIA!AE$32</f>
        <v>0.54968253001892298</v>
      </c>
      <c r="BJ332" s="137">
        <f>$W332*AO332+$L332*Summary_LCIA!AF$32</f>
        <v>0.1421319769535779</v>
      </c>
      <c r="BK332" s="137">
        <f>$W332*AP332+$L332*Summary_LCIA!AG$32</f>
        <v>1.4706470283577909E-2</v>
      </c>
      <c r="BL332" s="137">
        <f>$W332*AQ332+$L332*Summary_LCIA!AH$32</f>
        <v>2.2556151907232529</v>
      </c>
      <c r="BM332" s="137">
        <f>$W332*AR332+$L332*Summary_LCIA!AI$32</f>
        <v>0.53677884031809153</v>
      </c>
    </row>
    <row r="333" spans="1:65" x14ac:dyDescent="0.25">
      <c r="A333" s="149">
        <v>158</v>
      </c>
      <c r="B333" s="149">
        <v>6</v>
      </c>
      <c r="C333" s="61">
        <v>37.871523000000003</v>
      </c>
      <c r="D333" s="61">
        <v>-122.273042</v>
      </c>
      <c r="E333" s="61" t="s">
        <v>265</v>
      </c>
      <c r="F333" s="149">
        <v>99</v>
      </c>
      <c r="G333" s="61" t="s">
        <v>623</v>
      </c>
      <c r="H333" s="61" t="s">
        <v>624</v>
      </c>
      <c r="I333" s="61">
        <v>37.712569000000002</v>
      </c>
      <c r="J333" s="61">
        <v>-122.21974299999999</v>
      </c>
      <c r="K333" s="61">
        <v>40.270393179999999</v>
      </c>
      <c r="L333" s="61">
        <v>24.324000000000002</v>
      </c>
      <c r="M333" s="61" t="s">
        <v>617</v>
      </c>
      <c r="N333" s="149">
        <v>5</v>
      </c>
      <c r="O333" s="149">
        <v>6</v>
      </c>
      <c r="P333" s="61" t="s">
        <v>565</v>
      </c>
      <c r="Q333" s="61" t="s">
        <v>564</v>
      </c>
      <c r="R333" s="61">
        <v>41.98028</v>
      </c>
      <c r="S333" s="61">
        <v>-87.908997900000003</v>
      </c>
      <c r="T333" s="61">
        <v>3405.1320000000001</v>
      </c>
      <c r="U333" s="61" t="s">
        <v>617</v>
      </c>
      <c r="V333" s="61" t="s">
        <v>569</v>
      </c>
      <c r="W333" s="61" cm="1">
        <f t="array" ref="W333">getDistance(I333,J333,R333,S333)*SA!$B$12</f>
        <v>2954.4739870823373</v>
      </c>
      <c r="X333" s="61"/>
      <c r="Y333" s="137">
        <f>Transportation_LCIA!C$61*($W333^Transportation_LCIA!C$60)+Transportation_LCIA!C$62</f>
        <v>0.16171000383695877</v>
      </c>
      <c r="Z333" s="137">
        <f>Transportation_LCIA!D$61*($W333^Transportation_LCIA!D$60)+Transportation_LCIA!D$62</f>
        <v>1.5768081231698678</v>
      </c>
      <c r="AA333" s="137">
        <f>Transportation_LCIA!E$61*($W333^Transportation_LCIA!E$60)+Transportation_LCIA!E$62</f>
        <v>5.8937497149571638E-4</v>
      </c>
      <c r="AB333" s="137">
        <f>Transportation_LCIA!F$61*($W333^Transportation_LCIA!F$60)+Transportation_LCIA!F$62</f>
        <v>0.16171000383695877</v>
      </c>
      <c r="AC333" s="137">
        <f>Transportation_LCIA!G$61*($W333^Transportation_LCIA!G$60)+Transportation_LCIA!G$62</f>
        <v>3.7030062493754762E-2</v>
      </c>
      <c r="AD333" s="137">
        <f>Transportation_LCIA!H$61*($W333^Transportation_LCIA!H$60)+Transportation_LCIA!H$62</f>
        <v>1.561077677297297E-4</v>
      </c>
      <c r="AE333" s="137">
        <f>Transportation_LCIA!I$61*($W333^Transportation_LCIA!I$60)+Transportation_LCIA!I$62</f>
        <v>2.9349580057496198E-6</v>
      </c>
      <c r="AF333" s="137">
        <f>Transportation_LCIA!J$61*($W333^Transportation_LCIA!J$60)+Transportation_LCIA!J$62</f>
        <v>4.3668990356380832E-3</v>
      </c>
      <c r="AG333" s="137">
        <f>Transportation_LCIA!K$61*($W333^Transportation_LCIA!K$60)+Transportation_LCIA!K$62</f>
        <v>7.514134281168993E-3</v>
      </c>
      <c r="AH333" s="137">
        <f>Transportation_LCIA!L$61*($W333^Transportation_LCIA!L$60)+Transportation_LCIA!L$62</f>
        <v>1.2948442746469057E-4</v>
      </c>
      <c r="AI333" s="137">
        <f>Transportation_LCIA!M$61*($W333^Transportation_LCIA!M$60)+Transportation_LCIA!M$62</f>
        <v>1.7704106673904082E-4</v>
      </c>
      <c r="AJ333" s="137">
        <f>Transportation_LCIA!N$61*($W333^Transportation_LCIA!N$60)+Transportation_LCIA!N$62</f>
        <v>5.8350629075465312E-4</v>
      </c>
      <c r="AK333" s="137">
        <f>Transportation_LCIA!O$61*($W333^Transportation_LCIA!O$60)+Transportation_LCIA!O$62</f>
        <v>3.9024642261370346E-5</v>
      </c>
      <c r="AL333" s="137">
        <f>Transportation_LCIA!P$61*($W333^Transportation_LCIA!P$60)+Transportation_LCIA!P$62</f>
        <v>1.8916650124927199E-8</v>
      </c>
      <c r="AM333" s="137">
        <f>Transportation_LCIA!Q$61*($W333^Transportation_LCIA!Q$60)+Transportation_LCIA!Q$62</f>
        <v>5.1905696061339208E-5</v>
      </c>
      <c r="AN333" s="137">
        <f>Transportation_LCIA!R$61*($W333^Transportation_LCIA!R$60)+Transportation_LCIA!R$62</f>
        <v>1.4164372298406882E-4</v>
      </c>
      <c r="AO333" s="137">
        <f>Transportation_LCIA!S$61*($W333^Transportation_LCIA!S$60)+Transportation_LCIA!S$62</f>
        <v>2.2660740884116371E-6</v>
      </c>
      <c r="AP333" s="137">
        <f>Transportation_LCIA!T$61*($W333^Transportation_LCIA!T$60)+Transportation_LCIA!T$62</f>
        <v>2.2660740884116371E-6</v>
      </c>
      <c r="AQ333" s="137">
        <f>Transportation_LCIA!U$61*($W333^Transportation_LCIA!U$60)+Transportation_LCIA!U$62</f>
        <v>2.9836447337514829E-4</v>
      </c>
      <c r="AR333" s="137">
        <f>Transportation_LCIA!V$61*($W333^Transportation_LCIA!V$60)+Transportation_LCIA!V$62</f>
        <v>1.3534131853002178E-4</v>
      </c>
      <c r="AT333" s="137">
        <f>$W333*Y333+$L333*Summary_LCIA!H$32</f>
        <v>486.03329498727965</v>
      </c>
      <c r="AU333" s="137">
        <f>$W333*Z333+$L333*Summary_LCIA!Q$32</f>
        <v>4779.1895532577882</v>
      </c>
      <c r="AV333" s="137">
        <f>$W333*AA333+$L333*Summary_LCIA!R$32</f>
        <v>1.8693734763214882</v>
      </c>
      <c r="AW333" s="137">
        <f>$W333*AB333+$L333*Summary_LCIA!S$32</f>
        <v>485.9257829072796</v>
      </c>
      <c r="AX333" s="137">
        <f>$W333*AC333+$L333*Summary_LCIA!T$32</f>
        <v>112.07756397783174</v>
      </c>
      <c r="AY333" s="137">
        <f>$W333*AD333+$L333*Summary_LCIA!U$32</f>
        <v>0.89695647493897801</v>
      </c>
      <c r="AZ333" s="137">
        <f>$W333*AE333+$L333*Summary_LCIA!V$32</f>
        <v>9.8329956451663047E-3</v>
      </c>
      <c r="BA333" s="137">
        <f>$W333*AF333+$L333*Summary_LCIA!W$32</f>
        <v>14.774132209007663</v>
      </c>
      <c r="BB333" s="137">
        <f>$W333*AG333+$L333*Summary_LCIA!X$32</f>
        <v>22.754414989157429</v>
      </c>
      <c r="BC333" s="137">
        <f>$W333*AH333+$L333*Summary_LCIA!Y$32</f>
        <v>0.76157494067667808</v>
      </c>
      <c r="BD333" s="137">
        <f>$W333*AI333+$L333*Summary_LCIA!Z$32</f>
        <v>0.52406072924180414</v>
      </c>
      <c r="BE333" s="137">
        <f>$W333*AJ333+$L333*Summary_LCIA!AA$32</f>
        <v>2.2920655013335254</v>
      </c>
      <c r="BF333" s="137">
        <f>$W333*AK333+$L333*Summary_LCIA!AB$32</f>
        <v>0.11476646776441272</v>
      </c>
      <c r="BG333" s="137">
        <f>$W333*AL333+$L333*Summary_LCIA!AC$32</f>
        <v>5.7077805132835255E-5</v>
      </c>
      <c r="BH333" s="137">
        <f>$W333*AM333+$L333*Summary_LCIA!AD$32</f>
        <v>0.1633521657546288</v>
      </c>
      <c r="BI333" s="137">
        <f>$W333*AN333+$L333*Summary_LCIA!AE$32</f>
        <v>0.44003692110992793</v>
      </c>
      <c r="BJ333" s="137">
        <f>$W333*AO333+$L333*Summary_LCIA!AF$32</f>
        <v>2.7259053027013508E-2</v>
      </c>
      <c r="BK333" s="137">
        <f>$W333*AP333+$L333*Summary_LCIA!AG$32</f>
        <v>7.9395944070135022E-3</v>
      </c>
      <c r="BL333" s="137">
        <f>$W333*AQ333+$L333*Summary_LCIA!AH$32</f>
        <v>1.0932164416563963</v>
      </c>
      <c r="BM333" s="137">
        <f>$W333*AR333+$L333*Summary_LCIA!AI$32</f>
        <v>0.42252142717437408</v>
      </c>
    </row>
    <row r="334" spans="1:65" x14ac:dyDescent="0.25">
      <c r="A334" s="149">
        <v>159</v>
      </c>
      <c r="B334" s="149">
        <v>6</v>
      </c>
      <c r="C334" s="61">
        <v>37.871523000000003</v>
      </c>
      <c r="D334" s="61">
        <v>-122.273042</v>
      </c>
      <c r="E334" s="61" t="s">
        <v>265</v>
      </c>
      <c r="F334" s="149">
        <v>99</v>
      </c>
      <c r="G334" s="61" t="s">
        <v>623</v>
      </c>
      <c r="H334" s="61" t="s">
        <v>624</v>
      </c>
      <c r="I334" s="61">
        <v>37.712569000000002</v>
      </c>
      <c r="J334" s="61">
        <v>-122.21974299999999</v>
      </c>
      <c r="K334" s="61">
        <v>40.270393179999999</v>
      </c>
      <c r="L334" s="61">
        <v>24.324000000000002</v>
      </c>
      <c r="M334" s="61" t="s">
        <v>617</v>
      </c>
      <c r="N334" s="149">
        <v>5</v>
      </c>
      <c r="O334" s="149">
        <v>6</v>
      </c>
      <c r="P334" s="61" t="s">
        <v>565</v>
      </c>
      <c r="Q334" s="61" t="s">
        <v>564</v>
      </c>
      <c r="R334" s="61">
        <v>41.98028</v>
      </c>
      <c r="S334" s="61">
        <v>-87.908997900000003</v>
      </c>
      <c r="T334" s="61">
        <v>3405.1320000000001</v>
      </c>
      <c r="U334" s="61" t="s">
        <v>617</v>
      </c>
      <c r="V334" s="61" t="s">
        <v>569</v>
      </c>
      <c r="W334" s="61" cm="1">
        <f t="array" ref="W334">getDistance(I334,J334,R334,S334)*SA!$B$12</f>
        <v>2954.4739870823373</v>
      </c>
      <c r="X334" s="61"/>
      <c r="Y334" s="137">
        <f>Transportation_LCIA!C$61*($W334^Transportation_LCIA!C$60)+Transportation_LCIA!C$62</f>
        <v>0.16171000383695877</v>
      </c>
      <c r="Z334" s="137">
        <f>Transportation_LCIA!D$61*($W334^Transportation_LCIA!D$60)+Transportation_LCIA!D$62</f>
        <v>1.5768081231698678</v>
      </c>
      <c r="AA334" s="137">
        <f>Transportation_LCIA!E$61*($W334^Transportation_LCIA!E$60)+Transportation_LCIA!E$62</f>
        <v>5.8937497149571638E-4</v>
      </c>
      <c r="AB334" s="137">
        <f>Transportation_LCIA!F$61*($W334^Transportation_LCIA!F$60)+Transportation_LCIA!F$62</f>
        <v>0.16171000383695877</v>
      </c>
      <c r="AC334" s="137">
        <f>Transportation_LCIA!G$61*($W334^Transportation_LCIA!G$60)+Transportation_LCIA!G$62</f>
        <v>3.7030062493754762E-2</v>
      </c>
      <c r="AD334" s="137">
        <f>Transportation_LCIA!H$61*($W334^Transportation_LCIA!H$60)+Transportation_LCIA!H$62</f>
        <v>1.561077677297297E-4</v>
      </c>
      <c r="AE334" s="137">
        <f>Transportation_LCIA!I$61*($W334^Transportation_LCIA!I$60)+Transportation_LCIA!I$62</f>
        <v>2.9349580057496198E-6</v>
      </c>
      <c r="AF334" s="137">
        <f>Transportation_LCIA!J$61*($W334^Transportation_LCIA!J$60)+Transportation_LCIA!J$62</f>
        <v>4.3668990356380832E-3</v>
      </c>
      <c r="AG334" s="137">
        <f>Transportation_LCIA!K$61*($W334^Transportation_LCIA!K$60)+Transportation_LCIA!K$62</f>
        <v>7.514134281168993E-3</v>
      </c>
      <c r="AH334" s="137">
        <f>Transportation_LCIA!L$61*($W334^Transportation_LCIA!L$60)+Transportation_LCIA!L$62</f>
        <v>1.2948442746469057E-4</v>
      </c>
      <c r="AI334" s="137">
        <f>Transportation_LCIA!M$61*($W334^Transportation_LCIA!M$60)+Transportation_LCIA!M$62</f>
        <v>1.7704106673904082E-4</v>
      </c>
      <c r="AJ334" s="137">
        <f>Transportation_LCIA!N$61*($W334^Transportation_LCIA!N$60)+Transportation_LCIA!N$62</f>
        <v>5.8350629075465312E-4</v>
      </c>
      <c r="AK334" s="137">
        <f>Transportation_LCIA!O$61*($W334^Transportation_LCIA!O$60)+Transportation_LCIA!O$62</f>
        <v>3.9024642261370346E-5</v>
      </c>
      <c r="AL334" s="137">
        <f>Transportation_LCIA!P$61*($W334^Transportation_LCIA!P$60)+Transportation_LCIA!P$62</f>
        <v>1.8916650124927199E-8</v>
      </c>
      <c r="AM334" s="137">
        <f>Transportation_LCIA!Q$61*($W334^Transportation_LCIA!Q$60)+Transportation_LCIA!Q$62</f>
        <v>5.1905696061339208E-5</v>
      </c>
      <c r="AN334" s="137">
        <f>Transportation_LCIA!R$61*($W334^Transportation_LCIA!R$60)+Transportation_LCIA!R$62</f>
        <v>1.4164372298406882E-4</v>
      </c>
      <c r="AO334" s="137">
        <f>Transportation_LCIA!S$61*($W334^Transportation_LCIA!S$60)+Transportation_LCIA!S$62</f>
        <v>2.2660740884116371E-6</v>
      </c>
      <c r="AP334" s="137">
        <f>Transportation_LCIA!T$61*($W334^Transportation_LCIA!T$60)+Transportation_LCIA!T$62</f>
        <v>2.2660740884116371E-6</v>
      </c>
      <c r="AQ334" s="137">
        <f>Transportation_LCIA!U$61*($W334^Transportation_LCIA!U$60)+Transportation_LCIA!U$62</f>
        <v>2.9836447337514829E-4</v>
      </c>
      <c r="AR334" s="137">
        <f>Transportation_LCIA!V$61*($W334^Transportation_LCIA!V$60)+Transportation_LCIA!V$62</f>
        <v>1.3534131853002178E-4</v>
      </c>
      <c r="AT334" s="137">
        <f>$W334*Y334+$L334*Summary_LCIA!H$32</f>
        <v>486.03329498727965</v>
      </c>
      <c r="AU334" s="137">
        <f>$W334*Z334+$L334*Summary_LCIA!Q$32</f>
        <v>4779.1895532577882</v>
      </c>
      <c r="AV334" s="137">
        <f>$W334*AA334+$L334*Summary_LCIA!R$32</f>
        <v>1.8693734763214882</v>
      </c>
      <c r="AW334" s="137">
        <f>$W334*AB334+$L334*Summary_LCIA!S$32</f>
        <v>485.9257829072796</v>
      </c>
      <c r="AX334" s="137">
        <f>$W334*AC334+$L334*Summary_LCIA!T$32</f>
        <v>112.07756397783174</v>
      </c>
      <c r="AY334" s="137">
        <f>$W334*AD334+$L334*Summary_LCIA!U$32</f>
        <v>0.89695647493897801</v>
      </c>
      <c r="AZ334" s="137">
        <f>$W334*AE334+$L334*Summary_LCIA!V$32</f>
        <v>9.8329956451663047E-3</v>
      </c>
      <c r="BA334" s="137">
        <f>$W334*AF334+$L334*Summary_LCIA!W$32</f>
        <v>14.774132209007663</v>
      </c>
      <c r="BB334" s="137">
        <f>$W334*AG334+$L334*Summary_LCIA!X$32</f>
        <v>22.754414989157429</v>
      </c>
      <c r="BC334" s="137">
        <f>$W334*AH334+$L334*Summary_LCIA!Y$32</f>
        <v>0.76157494067667808</v>
      </c>
      <c r="BD334" s="137">
        <f>$W334*AI334+$L334*Summary_LCIA!Z$32</f>
        <v>0.52406072924180414</v>
      </c>
      <c r="BE334" s="137">
        <f>$W334*AJ334+$L334*Summary_LCIA!AA$32</f>
        <v>2.2920655013335254</v>
      </c>
      <c r="BF334" s="137">
        <f>$W334*AK334+$L334*Summary_LCIA!AB$32</f>
        <v>0.11476646776441272</v>
      </c>
      <c r="BG334" s="137">
        <f>$W334*AL334+$L334*Summary_LCIA!AC$32</f>
        <v>5.7077805132835255E-5</v>
      </c>
      <c r="BH334" s="137">
        <f>$W334*AM334+$L334*Summary_LCIA!AD$32</f>
        <v>0.1633521657546288</v>
      </c>
      <c r="BI334" s="137">
        <f>$W334*AN334+$L334*Summary_LCIA!AE$32</f>
        <v>0.44003692110992793</v>
      </c>
      <c r="BJ334" s="137">
        <f>$W334*AO334+$L334*Summary_LCIA!AF$32</f>
        <v>2.7259053027013508E-2</v>
      </c>
      <c r="BK334" s="137">
        <f>$W334*AP334+$L334*Summary_LCIA!AG$32</f>
        <v>7.9395944070135022E-3</v>
      </c>
      <c r="BL334" s="137">
        <f>$W334*AQ334+$L334*Summary_LCIA!AH$32</f>
        <v>1.0932164416563963</v>
      </c>
      <c r="BM334" s="137">
        <f>$W334*AR334+$L334*Summary_LCIA!AI$32</f>
        <v>0.42252142717437408</v>
      </c>
    </row>
    <row r="335" spans="1:65" x14ac:dyDescent="0.25">
      <c r="A335" s="149">
        <v>360</v>
      </c>
      <c r="B335" s="149">
        <v>6</v>
      </c>
      <c r="C335" s="61">
        <v>37.92633</v>
      </c>
      <c r="D335" s="61">
        <v>-122.38489</v>
      </c>
      <c r="E335" s="61" t="s">
        <v>265</v>
      </c>
      <c r="F335" s="149">
        <v>99</v>
      </c>
      <c r="G335" s="61" t="s">
        <v>623</v>
      </c>
      <c r="H335" s="61" t="s">
        <v>624</v>
      </c>
      <c r="I335" s="61">
        <v>37.712569000000002</v>
      </c>
      <c r="J335" s="61">
        <v>-122.21974299999999</v>
      </c>
      <c r="K335" s="61">
        <v>60.952904539999999</v>
      </c>
      <c r="L335" s="61">
        <v>37.832000000000001</v>
      </c>
      <c r="M335" s="61" t="s">
        <v>617</v>
      </c>
      <c r="N335" s="149">
        <v>5</v>
      </c>
      <c r="O335" s="149">
        <v>6</v>
      </c>
      <c r="P335" s="61" t="s">
        <v>565</v>
      </c>
      <c r="Q335" s="61" t="s">
        <v>564</v>
      </c>
      <c r="R335" s="61">
        <v>41.98028</v>
      </c>
      <c r="S335" s="61">
        <v>-87.908997900000003</v>
      </c>
      <c r="T335" s="61">
        <v>3405.1880000000001</v>
      </c>
      <c r="U335" s="61" t="s">
        <v>617</v>
      </c>
      <c r="V335" s="61" t="s">
        <v>569</v>
      </c>
      <c r="W335" s="61" cm="1">
        <f t="array" ref="W335">getDistance(I335,J335,R335,S335)*SA!$B$12</f>
        <v>2954.4739870823373</v>
      </c>
      <c r="X335" s="61"/>
      <c r="Y335" s="137">
        <f>Transportation_LCIA!C$61*($W335^Transportation_LCIA!C$60)+Transportation_LCIA!C$62</f>
        <v>0.16171000383695877</v>
      </c>
      <c r="Z335" s="137">
        <f>Transportation_LCIA!D$61*($W335^Transportation_LCIA!D$60)+Transportation_LCIA!D$62</f>
        <v>1.5768081231698678</v>
      </c>
      <c r="AA335" s="137">
        <f>Transportation_LCIA!E$61*($W335^Transportation_LCIA!E$60)+Transportation_LCIA!E$62</f>
        <v>5.8937497149571638E-4</v>
      </c>
      <c r="AB335" s="137">
        <f>Transportation_LCIA!F$61*($W335^Transportation_LCIA!F$60)+Transportation_LCIA!F$62</f>
        <v>0.16171000383695877</v>
      </c>
      <c r="AC335" s="137">
        <f>Transportation_LCIA!G$61*($W335^Transportation_LCIA!G$60)+Transportation_LCIA!G$62</f>
        <v>3.7030062493754762E-2</v>
      </c>
      <c r="AD335" s="137">
        <f>Transportation_LCIA!H$61*($W335^Transportation_LCIA!H$60)+Transportation_LCIA!H$62</f>
        <v>1.561077677297297E-4</v>
      </c>
      <c r="AE335" s="137">
        <f>Transportation_LCIA!I$61*($W335^Transportation_LCIA!I$60)+Transportation_LCIA!I$62</f>
        <v>2.9349580057496198E-6</v>
      </c>
      <c r="AF335" s="137">
        <f>Transportation_LCIA!J$61*($W335^Transportation_LCIA!J$60)+Transportation_LCIA!J$62</f>
        <v>4.3668990356380832E-3</v>
      </c>
      <c r="AG335" s="137">
        <f>Transportation_LCIA!K$61*($W335^Transportation_LCIA!K$60)+Transportation_LCIA!K$62</f>
        <v>7.514134281168993E-3</v>
      </c>
      <c r="AH335" s="137">
        <f>Transportation_LCIA!L$61*($W335^Transportation_LCIA!L$60)+Transportation_LCIA!L$62</f>
        <v>1.2948442746469057E-4</v>
      </c>
      <c r="AI335" s="137">
        <f>Transportation_LCIA!M$61*($W335^Transportation_LCIA!M$60)+Transportation_LCIA!M$62</f>
        <v>1.7704106673904082E-4</v>
      </c>
      <c r="AJ335" s="137">
        <f>Transportation_LCIA!N$61*($W335^Transportation_LCIA!N$60)+Transportation_LCIA!N$62</f>
        <v>5.8350629075465312E-4</v>
      </c>
      <c r="AK335" s="137">
        <f>Transportation_LCIA!O$61*($W335^Transportation_LCIA!O$60)+Transportation_LCIA!O$62</f>
        <v>3.9024642261370346E-5</v>
      </c>
      <c r="AL335" s="137">
        <f>Transportation_LCIA!P$61*($W335^Transportation_LCIA!P$60)+Transportation_LCIA!P$62</f>
        <v>1.8916650124927199E-8</v>
      </c>
      <c r="AM335" s="137">
        <f>Transportation_LCIA!Q$61*($W335^Transportation_LCIA!Q$60)+Transportation_LCIA!Q$62</f>
        <v>5.1905696061339208E-5</v>
      </c>
      <c r="AN335" s="137">
        <f>Transportation_LCIA!R$61*($W335^Transportation_LCIA!R$60)+Transportation_LCIA!R$62</f>
        <v>1.4164372298406882E-4</v>
      </c>
      <c r="AO335" s="137">
        <f>Transportation_LCIA!S$61*($W335^Transportation_LCIA!S$60)+Transportation_LCIA!S$62</f>
        <v>2.2660740884116371E-6</v>
      </c>
      <c r="AP335" s="137">
        <f>Transportation_LCIA!T$61*($W335^Transportation_LCIA!T$60)+Transportation_LCIA!T$62</f>
        <v>2.2660740884116371E-6</v>
      </c>
      <c r="AQ335" s="137">
        <f>Transportation_LCIA!U$61*($W335^Transportation_LCIA!U$60)+Transportation_LCIA!U$62</f>
        <v>2.9836447337514829E-4</v>
      </c>
      <c r="AR335" s="137">
        <f>Transportation_LCIA!V$61*($W335^Transportation_LCIA!V$60)+Transportation_LCIA!V$62</f>
        <v>1.3534131853002178E-4</v>
      </c>
      <c r="AT335" s="137">
        <f>$W335*Y335+$L335*Summary_LCIA!H$32</f>
        <v>490.62331338727961</v>
      </c>
      <c r="AU335" s="137">
        <f>$W335*Z335+$L335*Summary_LCIA!Q$32</f>
        <v>4846.1358825067528</v>
      </c>
      <c r="AV335" s="137">
        <f>$W335*AA335+$L335*Summary_LCIA!R$32</f>
        <v>1.9405012011214882</v>
      </c>
      <c r="AW335" s="137">
        <f>$W335*AB335+$L335*Summary_LCIA!S$32</f>
        <v>490.45609594727961</v>
      </c>
      <c r="AX335" s="137">
        <f>$W335*AC335+$L335*Summary_LCIA!T$32</f>
        <v>113.56209317783174</v>
      </c>
      <c r="AY335" s="137">
        <f>$W335*AD335+$L335*Summary_LCIA!U$32</f>
        <v>1.138938786938978</v>
      </c>
      <c r="AZ335" s="137">
        <f>$W335*AE335+$L335*Summary_LCIA!V$32</f>
        <v>1.0478151233166304E-2</v>
      </c>
      <c r="BA335" s="137">
        <f>$W335*AF335+$L335*Summary_LCIA!W$32</f>
        <v>15.813856477007661</v>
      </c>
      <c r="BB335" s="137">
        <f>$W335*AG335+$L335*Summary_LCIA!X$32</f>
        <v>23.062127229157429</v>
      </c>
      <c r="BC335" s="137">
        <f>$W335*AH335+$L335*Summary_LCIA!Y$32</f>
        <v>0.9720565966766781</v>
      </c>
      <c r="BD335" s="137">
        <f>$W335*AI335+$L335*Summary_LCIA!Z$32</f>
        <v>0.52461467881380419</v>
      </c>
      <c r="BE335" s="137">
        <f>$W335*AJ335+$L335*Summary_LCIA!AA$32</f>
        <v>2.6075583493335257</v>
      </c>
      <c r="BF335" s="137">
        <f>$W335*AK335+$L335*Summary_LCIA!AB$32</f>
        <v>0.11447168268041272</v>
      </c>
      <c r="BG335" s="137">
        <f>$W335*AL335+$L335*Summary_LCIA!AC$32</f>
        <v>5.7738130204835258E-5</v>
      </c>
      <c r="BH335" s="137">
        <f>$W335*AM335+$L335*Summary_LCIA!AD$32</f>
        <v>0.16890449407462882</v>
      </c>
      <c r="BI335" s="137">
        <f>$W335*AN335+$L335*Summary_LCIA!AE$32</f>
        <v>0.45200676514992788</v>
      </c>
      <c r="BJ335" s="137">
        <f>$W335*AO335+$L335*Summary_LCIA!AF$32</f>
        <v>3.8678986387013503E-2</v>
      </c>
      <c r="BK335" s="137">
        <f>$W335*AP335+$L335*Summary_LCIA!AG$32</f>
        <v>8.6307312270135026E-3</v>
      </c>
      <c r="BL335" s="137">
        <f>$W335*AQ335+$L335*Summary_LCIA!AH$32</f>
        <v>1.2107846704563963</v>
      </c>
      <c r="BM335" s="137">
        <f>$W335*AR335+$L335*Summary_LCIA!AI$32</f>
        <v>0.43510480457437406</v>
      </c>
    </row>
    <row r="336" spans="1:65" x14ac:dyDescent="0.25">
      <c r="A336" s="149">
        <v>326</v>
      </c>
      <c r="B336" s="149">
        <v>6</v>
      </c>
      <c r="C336" s="61">
        <v>37.827178000000004</v>
      </c>
      <c r="D336" s="61">
        <v>-122.291308</v>
      </c>
      <c r="E336" s="61" t="s">
        <v>265</v>
      </c>
      <c r="F336" s="149">
        <v>99</v>
      </c>
      <c r="G336" s="61" t="s">
        <v>623</v>
      </c>
      <c r="H336" s="61" t="s">
        <v>624</v>
      </c>
      <c r="I336" s="61">
        <v>37.712569000000002</v>
      </c>
      <c r="J336" s="61">
        <v>-122.21974299999999</v>
      </c>
      <c r="K336" s="61">
        <v>31.383945929999999</v>
      </c>
      <c r="L336" s="61">
        <v>20.917000000000002</v>
      </c>
      <c r="M336" s="61" t="s">
        <v>617</v>
      </c>
      <c r="N336" s="149">
        <v>5</v>
      </c>
      <c r="O336" s="149">
        <v>6</v>
      </c>
      <c r="P336" s="61" t="s">
        <v>565</v>
      </c>
      <c r="Q336" s="61" t="s">
        <v>564</v>
      </c>
      <c r="R336" s="61">
        <v>41.98028</v>
      </c>
      <c r="S336" s="61">
        <v>-87.908997900000003</v>
      </c>
      <c r="T336" s="61">
        <v>3406.99</v>
      </c>
      <c r="U336" s="61" t="s">
        <v>617</v>
      </c>
      <c r="V336" s="61" t="s">
        <v>569</v>
      </c>
      <c r="W336" s="61" cm="1">
        <f t="array" ref="W336">getDistance(I336,J336,R336,S336)*SA!$B$12</f>
        <v>2954.4739870823373</v>
      </c>
      <c r="X336" s="61"/>
      <c r="Y336" s="137">
        <f>Transportation_LCIA!C$61*($W336^Transportation_LCIA!C$60)+Transportation_LCIA!C$62</f>
        <v>0.16171000383695877</v>
      </c>
      <c r="Z336" s="137">
        <f>Transportation_LCIA!D$61*($W336^Transportation_LCIA!D$60)+Transportation_LCIA!D$62</f>
        <v>1.5768081231698678</v>
      </c>
      <c r="AA336" s="137">
        <f>Transportation_LCIA!E$61*($W336^Transportation_LCIA!E$60)+Transportation_LCIA!E$62</f>
        <v>5.8937497149571638E-4</v>
      </c>
      <c r="AB336" s="137">
        <f>Transportation_LCIA!F$61*($W336^Transportation_LCIA!F$60)+Transportation_LCIA!F$62</f>
        <v>0.16171000383695877</v>
      </c>
      <c r="AC336" s="137">
        <f>Transportation_LCIA!G$61*($W336^Transportation_LCIA!G$60)+Transportation_LCIA!G$62</f>
        <v>3.7030062493754762E-2</v>
      </c>
      <c r="AD336" s="137">
        <f>Transportation_LCIA!H$61*($W336^Transportation_LCIA!H$60)+Transportation_LCIA!H$62</f>
        <v>1.561077677297297E-4</v>
      </c>
      <c r="AE336" s="137">
        <f>Transportation_LCIA!I$61*($W336^Transportation_LCIA!I$60)+Transportation_LCIA!I$62</f>
        <v>2.9349580057496198E-6</v>
      </c>
      <c r="AF336" s="137">
        <f>Transportation_LCIA!J$61*($W336^Transportation_LCIA!J$60)+Transportation_LCIA!J$62</f>
        <v>4.3668990356380832E-3</v>
      </c>
      <c r="AG336" s="137">
        <f>Transportation_LCIA!K$61*($W336^Transportation_LCIA!K$60)+Transportation_LCIA!K$62</f>
        <v>7.514134281168993E-3</v>
      </c>
      <c r="AH336" s="137">
        <f>Transportation_LCIA!L$61*($W336^Transportation_LCIA!L$60)+Transportation_LCIA!L$62</f>
        <v>1.2948442746469057E-4</v>
      </c>
      <c r="AI336" s="137">
        <f>Transportation_LCIA!M$61*($W336^Transportation_LCIA!M$60)+Transportation_LCIA!M$62</f>
        <v>1.7704106673904082E-4</v>
      </c>
      <c r="AJ336" s="137">
        <f>Transportation_LCIA!N$61*($W336^Transportation_LCIA!N$60)+Transportation_LCIA!N$62</f>
        <v>5.8350629075465312E-4</v>
      </c>
      <c r="AK336" s="137">
        <f>Transportation_LCIA!O$61*($W336^Transportation_LCIA!O$60)+Transportation_LCIA!O$62</f>
        <v>3.9024642261370346E-5</v>
      </c>
      <c r="AL336" s="137">
        <f>Transportation_LCIA!P$61*($W336^Transportation_LCIA!P$60)+Transportation_LCIA!P$62</f>
        <v>1.8916650124927199E-8</v>
      </c>
      <c r="AM336" s="137">
        <f>Transportation_LCIA!Q$61*($W336^Transportation_LCIA!Q$60)+Transportation_LCIA!Q$62</f>
        <v>5.1905696061339208E-5</v>
      </c>
      <c r="AN336" s="137">
        <f>Transportation_LCIA!R$61*($W336^Transportation_LCIA!R$60)+Transportation_LCIA!R$62</f>
        <v>1.4164372298406882E-4</v>
      </c>
      <c r="AO336" s="137">
        <f>Transportation_LCIA!S$61*($W336^Transportation_LCIA!S$60)+Transportation_LCIA!S$62</f>
        <v>2.2660740884116371E-6</v>
      </c>
      <c r="AP336" s="137">
        <f>Transportation_LCIA!T$61*($W336^Transportation_LCIA!T$60)+Transportation_LCIA!T$62</f>
        <v>2.2660740884116371E-6</v>
      </c>
      <c r="AQ336" s="137">
        <f>Transportation_LCIA!U$61*($W336^Transportation_LCIA!U$60)+Transportation_LCIA!U$62</f>
        <v>2.9836447337514829E-4</v>
      </c>
      <c r="AR336" s="137">
        <f>Transportation_LCIA!V$61*($W336^Transportation_LCIA!V$60)+Transportation_LCIA!V$62</f>
        <v>1.3534131853002178E-4</v>
      </c>
      <c r="AT336" s="137">
        <f>$W336*Y336+$L336*Summary_LCIA!H$32</f>
        <v>484.87559638727964</v>
      </c>
      <c r="AU336" s="137">
        <f>$W336*Z336+$L336*Summary_LCIA!Q$32</f>
        <v>4762.3042894325572</v>
      </c>
      <c r="AV336" s="137">
        <f>$W336*AA336+$L336*Summary_LCIA!R$32</f>
        <v>1.8514335771214883</v>
      </c>
      <c r="AW336" s="137">
        <f>$W336*AB336+$L336*Summary_LCIA!S$32</f>
        <v>484.78314324727961</v>
      </c>
      <c r="AX336" s="137">
        <f>$W336*AC336+$L336*Summary_LCIA!T$32</f>
        <v>111.70313467783174</v>
      </c>
      <c r="AY336" s="137">
        <f>$W336*AD336+$L336*Summary_LCIA!U$32</f>
        <v>0.83592347693897795</v>
      </c>
      <c r="AZ336" s="137">
        <f>$W336*AE336+$L336*Summary_LCIA!V$32</f>
        <v>9.6702739181663052E-3</v>
      </c>
      <c r="BA336" s="137">
        <f>$W336*AF336+$L336*Summary_LCIA!W$32</f>
        <v>14.511892012007662</v>
      </c>
      <c r="BB336" s="137">
        <f>$W336*AG336+$L336*Summary_LCIA!X$32</f>
        <v>22.676803529157429</v>
      </c>
      <c r="BC336" s="137">
        <f>$W336*AH336+$L336*Summary_LCIA!Y$32</f>
        <v>0.70848706667667805</v>
      </c>
      <c r="BD336" s="137">
        <f>$W336*AI336+$L336*Summary_LCIA!Z$32</f>
        <v>0.52392101157880411</v>
      </c>
      <c r="BE336" s="137">
        <f>$W336*AJ336+$L336*Summary_LCIA!AA$32</f>
        <v>2.2124916093335254</v>
      </c>
      <c r="BF336" s="137">
        <f>$W336*AK336+$L336*Summary_LCIA!AB$32</f>
        <v>0.11484081872541273</v>
      </c>
      <c r="BG336" s="137">
        <f>$W336*AL336+$L336*Summary_LCIA!AC$32</f>
        <v>5.6911257344835259E-5</v>
      </c>
      <c r="BH336" s="137">
        <f>$W336*AM336+$L336*Summary_LCIA!AD$32</f>
        <v>0.16195175247462881</v>
      </c>
      <c r="BI336" s="137">
        <f>$W336*AN336+$L336*Summary_LCIA!AE$32</f>
        <v>0.43701787619992793</v>
      </c>
      <c r="BJ336" s="137">
        <f>$W336*AO336+$L336*Summary_LCIA!AF$32</f>
        <v>2.4378707087013507E-2</v>
      </c>
      <c r="BK336" s="137">
        <f>$W336*AP336+$L336*Summary_LCIA!AG$32</f>
        <v>7.7652752520135024E-3</v>
      </c>
      <c r="BL336" s="137">
        <f>$W336*AQ336+$L336*Summary_LCIA!AH$32</f>
        <v>1.0635632764563963</v>
      </c>
      <c r="BM336" s="137">
        <f>$W336*AR336+$L336*Summary_LCIA!AI$32</f>
        <v>0.41934763632437411</v>
      </c>
    </row>
    <row r="337" spans="1:65" x14ac:dyDescent="0.25">
      <c r="A337" s="149">
        <v>327</v>
      </c>
      <c r="B337" s="149">
        <v>6</v>
      </c>
      <c r="C337" s="61">
        <v>37.827178000000004</v>
      </c>
      <c r="D337" s="61">
        <v>-122.291308</v>
      </c>
      <c r="E337" s="61" t="s">
        <v>265</v>
      </c>
      <c r="F337" s="149">
        <v>99</v>
      </c>
      <c r="G337" s="61" t="s">
        <v>623</v>
      </c>
      <c r="H337" s="61" t="s">
        <v>624</v>
      </c>
      <c r="I337" s="61">
        <v>37.712569000000002</v>
      </c>
      <c r="J337" s="61">
        <v>-122.21974299999999</v>
      </c>
      <c r="K337" s="61">
        <v>31.383945929999999</v>
      </c>
      <c r="L337" s="61">
        <v>20.917000000000002</v>
      </c>
      <c r="M337" s="61" t="s">
        <v>617</v>
      </c>
      <c r="N337" s="149">
        <v>5</v>
      </c>
      <c r="O337" s="149">
        <v>6</v>
      </c>
      <c r="P337" s="61" t="s">
        <v>565</v>
      </c>
      <c r="Q337" s="61" t="s">
        <v>564</v>
      </c>
      <c r="R337" s="61">
        <v>41.98028</v>
      </c>
      <c r="S337" s="61">
        <v>-87.908997900000003</v>
      </c>
      <c r="T337" s="61">
        <v>3406.99</v>
      </c>
      <c r="U337" s="61" t="s">
        <v>617</v>
      </c>
      <c r="V337" s="61" t="s">
        <v>569</v>
      </c>
      <c r="W337" s="61" cm="1">
        <f t="array" ref="W337">getDistance(I337,J337,R337,S337)*SA!$B$12</f>
        <v>2954.4739870823373</v>
      </c>
      <c r="X337" s="61"/>
      <c r="Y337" s="137">
        <f>Transportation_LCIA!C$61*($W337^Transportation_LCIA!C$60)+Transportation_LCIA!C$62</f>
        <v>0.16171000383695877</v>
      </c>
      <c r="Z337" s="137">
        <f>Transportation_LCIA!D$61*($W337^Transportation_LCIA!D$60)+Transportation_LCIA!D$62</f>
        <v>1.5768081231698678</v>
      </c>
      <c r="AA337" s="137">
        <f>Transportation_LCIA!E$61*($W337^Transportation_LCIA!E$60)+Transportation_LCIA!E$62</f>
        <v>5.8937497149571638E-4</v>
      </c>
      <c r="AB337" s="137">
        <f>Transportation_LCIA!F$61*($W337^Transportation_LCIA!F$60)+Transportation_LCIA!F$62</f>
        <v>0.16171000383695877</v>
      </c>
      <c r="AC337" s="137">
        <f>Transportation_LCIA!G$61*($W337^Transportation_LCIA!G$60)+Transportation_LCIA!G$62</f>
        <v>3.7030062493754762E-2</v>
      </c>
      <c r="AD337" s="137">
        <f>Transportation_LCIA!H$61*($W337^Transportation_LCIA!H$60)+Transportation_LCIA!H$62</f>
        <v>1.561077677297297E-4</v>
      </c>
      <c r="AE337" s="137">
        <f>Transportation_LCIA!I$61*($W337^Transportation_LCIA!I$60)+Transportation_LCIA!I$62</f>
        <v>2.9349580057496198E-6</v>
      </c>
      <c r="AF337" s="137">
        <f>Transportation_LCIA!J$61*($W337^Transportation_LCIA!J$60)+Transportation_LCIA!J$62</f>
        <v>4.3668990356380832E-3</v>
      </c>
      <c r="AG337" s="137">
        <f>Transportation_LCIA!K$61*($W337^Transportation_LCIA!K$60)+Transportation_LCIA!K$62</f>
        <v>7.514134281168993E-3</v>
      </c>
      <c r="AH337" s="137">
        <f>Transportation_LCIA!L$61*($W337^Transportation_LCIA!L$60)+Transportation_LCIA!L$62</f>
        <v>1.2948442746469057E-4</v>
      </c>
      <c r="AI337" s="137">
        <f>Transportation_LCIA!M$61*($W337^Transportation_LCIA!M$60)+Transportation_LCIA!M$62</f>
        <v>1.7704106673904082E-4</v>
      </c>
      <c r="AJ337" s="137">
        <f>Transportation_LCIA!N$61*($W337^Transportation_LCIA!N$60)+Transportation_LCIA!N$62</f>
        <v>5.8350629075465312E-4</v>
      </c>
      <c r="AK337" s="137">
        <f>Transportation_LCIA!O$61*($W337^Transportation_LCIA!O$60)+Transportation_LCIA!O$62</f>
        <v>3.9024642261370346E-5</v>
      </c>
      <c r="AL337" s="137">
        <f>Transportation_LCIA!P$61*($W337^Transportation_LCIA!P$60)+Transportation_LCIA!P$62</f>
        <v>1.8916650124927199E-8</v>
      </c>
      <c r="AM337" s="137">
        <f>Transportation_LCIA!Q$61*($W337^Transportation_LCIA!Q$60)+Transportation_LCIA!Q$62</f>
        <v>5.1905696061339208E-5</v>
      </c>
      <c r="AN337" s="137">
        <f>Transportation_LCIA!R$61*($W337^Transportation_LCIA!R$60)+Transportation_LCIA!R$62</f>
        <v>1.4164372298406882E-4</v>
      </c>
      <c r="AO337" s="137">
        <f>Transportation_LCIA!S$61*($W337^Transportation_LCIA!S$60)+Transportation_LCIA!S$62</f>
        <v>2.2660740884116371E-6</v>
      </c>
      <c r="AP337" s="137">
        <f>Transportation_LCIA!T$61*($W337^Transportation_LCIA!T$60)+Transportation_LCIA!T$62</f>
        <v>2.2660740884116371E-6</v>
      </c>
      <c r="AQ337" s="137">
        <f>Transportation_LCIA!U$61*($W337^Transportation_LCIA!U$60)+Transportation_LCIA!U$62</f>
        <v>2.9836447337514829E-4</v>
      </c>
      <c r="AR337" s="137">
        <f>Transportation_LCIA!V$61*($W337^Transportation_LCIA!V$60)+Transportation_LCIA!V$62</f>
        <v>1.3534131853002178E-4</v>
      </c>
      <c r="AT337" s="137">
        <f>$W337*Y337+$L337*Summary_LCIA!H$32</f>
        <v>484.87559638727964</v>
      </c>
      <c r="AU337" s="137">
        <f>$W337*Z337+$L337*Summary_LCIA!Q$32</f>
        <v>4762.3042894325572</v>
      </c>
      <c r="AV337" s="137">
        <f>$W337*AA337+$L337*Summary_LCIA!R$32</f>
        <v>1.8514335771214883</v>
      </c>
      <c r="AW337" s="137">
        <f>$W337*AB337+$L337*Summary_LCIA!S$32</f>
        <v>484.78314324727961</v>
      </c>
      <c r="AX337" s="137">
        <f>$W337*AC337+$L337*Summary_LCIA!T$32</f>
        <v>111.70313467783174</v>
      </c>
      <c r="AY337" s="137">
        <f>$W337*AD337+$L337*Summary_LCIA!U$32</f>
        <v>0.83592347693897795</v>
      </c>
      <c r="AZ337" s="137">
        <f>$W337*AE337+$L337*Summary_LCIA!V$32</f>
        <v>9.6702739181663052E-3</v>
      </c>
      <c r="BA337" s="137">
        <f>$W337*AF337+$L337*Summary_LCIA!W$32</f>
        <v>14.511892012007662</v>
      </c>
      <c r="BB337" s="137">
        <f>$W337*AG337+$L337*Summary_LCIA!X$32</f>
        <v>22.676803529157429</v>
      </c>
      <c r="BC337" s="137">
        <f>$W337*AH337+$L337*Summary_LCIA!Y$32</f>
        <v>0.70848706667667805</v>
      </c>
      <c r="BD337" s="137">
        <f>$W337*AI337+$L337*Summary_LCIA!Z$32</f>
        <v>0.52392101157880411</v>
      </c>
      <c r="BE337" s="137">
        <f>$W337*AJ337+$L337*Summary_LCIA!AA$32</f>
        <v>2.2124916093335254</v>
      </c>
      <c r="BF337" s="137">
        <f>$W337*AK337+$L337*Summary_LCIA!AB$32</f>
        <v>0.11484081872541273</v>
      </c>
      <c r="BG337" s="137">
        <f>$W337*AL337+$L337*Summary_LCIA!AC$32</f>
        <v>5.6911257344835259E-5</v>
      </c>
      <c r="BH337" s="137">
        <f>$W337*AM337+$L337*Summary_LCIA!AD$32</f>
        <v>0.16195175247462881</v>
      </c>
      <c r="BI337" s="137">
        <f>$W337*AN337+$L337*Summary_LCIA!AE$32</f>
        <v>0.43701787619992793</v>
      </c>
      <c r="BJ337" s="137">
        <f>$W337*AO337+$L337*Summary_LCIA!AF$32</f>
        <v>2.4378707087013507E-2</v>
      </c>
      <c r="BK337" s="137">
        <f>$W337*AP337+$L337*Summary_LCIA!AG$32</f>
        <v>7.7652752520135024E-3</v>
      </c>
      <c r="BL337" s="137">
        <f>$W337*AQ337+$L337*Summary_LCIA!AH$32</f>
        <v>1.0635632764563963</v>
      </c>
      <c r="BM337" s="137">
        <f>$W337*AR337+$L337*Summary_LCIA!AI$32</f>
        <v>0.41934763632437411</v>
      </c>
    </row>
    <row r="338" spans="1:65" x14ac:dyDescent="0.25">
      <c r="A338" s="149">
        <v>4</v>
      </c>
      <c r="B338" s="149">
        <v>6</v>
      </c>
      <c r="C338" s="61">
        <v>37.875985</v>
      </c>
      <c r="D338" s="61">
        <v>-122.25001399999999</v>
      </c>
      <c r="E338" s="61" t="s">
        <v>265</v>
      </c>
      <c r="F338" s="149">
        <v>99</v>
      </c>
      <c r="G338" s="61" t="s">
        <v>623</v>
      </c>
      <c r="H338" s="61" t="s">
        <v>624</v>
      </c>
      <c r="I338" s="61">
        <v>37.712569000000002</v>
      </c>
      <c r="J338" s="61">
        <v>-122.21974299999999</v>
      </c>
      <c r="K338" s="61">
        <v>39.814875569999998</v>
      </c>
      <c r="L338" s="61">
        <v>26.879000000000001</v>
      </c>
      <c r="M338" s="61" t="s">
        <v>617</v>
      </c>
      <c r="N338" s="149">
        <v>5</v>
      </c>
      <c r="O338" s="149">
        <v>6</v>
      </c>
      <c r="P338" s="61" t="s">
        <v>565</v>
      </c>
      <c r="Q338" s="61" t="s">
        <v>564</v>
      </c>
      <c r="R338" s="61">
        <v>41.98028</v>
      </c>
      <c r="S338" s="61">
        <v>-87.908997900000003</v>
      </c>
      <c r="T338" s="61">
        <v>3408.1619999999998</v>
      </c>
      <c r="U338" s="61" t="s">
        <v>617</v>
      </c>
      <c r="V338" s="61" t="s">
        <v>569</v>
      </c>
      <c r="W338" s="61" cm="1">
        <f t="array" ref="W338">getDistance(I338,J338,R338,S338)*SA!$B$12</f>
        <v>2954.4739870823373</v>
      </c>
      <c r="X338" s="61"/>
      <c r="Y338" s="137">
        <f>Transportation_LCIA!C$61*($W338^Transportation_LCIA!C$60)+Transportation_LCIA!C$62</f>
        <v>0.16171000383695877</v>
      </c>
      <c r="Z338" s="137">
        <f>Transportation_LCIA!D$61*($W338^Transportation_LCIA!D$60)+Transportation_LCIA!D$62</f>
        <v>1.5768081231698678</v>
      </c>
      <c r="AA338" s="137">
        <f>Transportation_LCIA!E$61*($W338^Transportation_LCIA!E$60)+Transportation_LCIA!E$62</f>
        <v>5.8937497149571638E-4</v>
      </c>
      <c r="AB338" s="137">
        <f>Transportation_LCIA!F$61*($W338^Transportation_LCIA!F$60)+Transportation_LCIA!F$62</f>
        <v>0.16171000383695877</v>
      </c>
      <c r="AC338" s="137">
        <f>Transportation_LCIA!G$61*($W338^Transportation_LCIA!G$60)+Transportation_LCIA!G$62</f>
        <v>3.7030062493754762E-2</v>
      </c>
      <c r="AD338" s="137">
        <f>Transportation_LCIA!H$61*($W338^Transportation_LCIA!H$60)+Transportation_LCIA!H$62</f>
        <v>1.561077677297297E-4</v>
      </c>
      <c r="AE338" s="137">
        <f>Transportation_LCIA!I$61*($W338^Transportation_LCIA!I$60)+Transportation_LCIA!I$62</f>
        <v>2.9349580057496198E-6</v>
      </c>
      <c r="AF338" s="137">
        <f>Transportation_LCIA!J$61*($W338^Transportation_LCIA!J$60)+Transportation_LCIA!J$62</f>
        <v>4.3668990356380832E-3</v>
      </c>
      <c r="AG338" s="137">
        <f>Transportation_LCIA!K$61*($W338^Transportation_LCIA!K$60)+Transportation_LCIA!K$62</f>
        <v>7.514134281168993E-3</v>
      </c>
      <c r="AH338" s="137">
        <f>Transportation_LCIA!L$61*($W338^Transportation_LCIA!L$60)+Transportation_LCIA!L$62</f>
        <v>1.2948442746469057E-4</v>
      </c>
      <c r="AI338" s="137">
        <f>Transportation_LCIA!M$61*($W338^Transportation_LCIA!M$60)+Transportation_LCIA!M$62</f>
        <v>1.7704106673904082E-4</v>
      </c>
      <c r="AJ338" s="137">
        <f>Transportation_LCIA!N$61*($W338^Transportation_LCIA!N$60)+Transportation_LCIA!N$62</f>
        <v>5.8350629075465312E-4</v>
      </c>
      <c r="AK338" s="137">
        <f>Transportation_LCIA!O$61*($W338^Transportation_LCIA!O$60)+Transportation_LCIA!O$62</f>
        <v>3.9024642261370346E-5</v>
      </c>
      <c r="AL338" s="137">
        <f>Transportation_LCIA!P$61*($W338^Transportation_LCIA!P$60)+Transportation_LCIA!P$62</f>
        <v>1.8916650124927199E-8</v>
      </c>
      <c r="AM338" s="137">
        <f>Transportation_LCIA!Q$61*($W338^Transportation_LCIA!Q$60)+Transportation_LCIA!Q$62</f>
        <v>5.1905696061339208E-5</v>
      </c>
      <c r="AN338" s="137">
        <f>Transportation_LCIA!R$61*($W338^Transportation_LCIA!R$60)+Transportation_LCIA!R$62</f>
        <v>1.4164372298406882E-4</v>
      </c>
      <c r="AO338" s="137">
        <f>Transportation_LCIA!S$61*($W338^Transportation_LCIA!S$60)+Transportation_LCIA!S$62</f>
        <v>2.2660740884116371E-6</v>
      </c>
      <c r="AP338" s="137">
        <f>Transportation_LCIA!T$61*($W338^Transportation_LCIA!T$60)+Transportation_LCIA!T$62</f>
        <v>2.2660740884116371E-6</v>
      </c>
      <c r="AQ338" s="137">
        <f>Transportation_LCIA!U$61*($W338^Transportation_LCIA!U$60)+Transportation_LCIA!U$62</f>
        <v>2.9836447337514829E-4</v>
      </c>
      <c r="AR338" s="137">
        <f>Transportation_LCIA!V$61*($W338^Transportation_LCIA!V$60)+Transportation_LCIA!V$62</f>
        <v>1.3534131853002178E-4</v>
      </c>
      <c r="AT338" s="137">
        <f>$W338*Y338+$L338*Summary_LCIA!H$32</f>
        <v>486.90148398727962</v>
      </c>
      <c r="AU338" s="137">
        <f>$W338*Z338+$L338*Summary_LCIA!Q$32</f>
        <v>4791.8522621141037</v>
      </c>
      <c r="AV338" s="137">
        <f>$W338*AA338+$L338*Summary_LCIA!R$32</f>
        <v>1.8828270843214883</v>
      </c>
      <c r="AW338" s="137">
        <f>$W338*AB338+$L338*Summary_LCIA!S$32</f>
        <v>486.78267880727964</v>
      </c>
      <c r="AX338" s="137">
        <f>$W338*AC338+$L338*Summary_LCIA!T$32</f>
        <v>112.35835847783174</v>
      </c>
      <c r="AY338" s="137">
        <f>$W338*AD338+$L338*Summary_LCIA!U$32</f>
        <v>0.94272674493897801</v>
      </c>
      <c r="AZ338" s="137">
        <f>$W338*AE338+$L338*Summary_LCIA!V$32</f>
        <v>9.9550250001663038E-3</v>
      </c>
      <c r="BA338" s="137">
        <f>$W338*AF338+$L338*Summary_LCIA!W$32</f>
        <v>14.970793114007662</v>
      </c>
      <c r="BB338" s="137">
        <f>$W338*AG338+$L338*Summary_LCIA!X$32</f>
        <v>22.812617889157426</v>
      </c>
      <c r="BC338" s="137">
        <f>$W338*AH338+$L338*Summary_LCIA!Y$32</f>
        <v>0.80138695067667798</v>
      </c>
      <c r="BD338" s="137">
        <f>$W338*AI338+$L338*Summary_LCIA!Z$32</f>
        <v>0.52416550723680411</v>
      </c>
      <c r="BE338" s="137">
        <f>$W338*AJ338+$L338*Summary_LCIA!AA$32</f>
        <v>2.3517400813335256</v>
      </c>
      <c r="BF338" s="137">
        <f>$W338*AK338+$L338*Summary_LCIA!AB$32</f>
        <v>0.11471070999941273</v>
      </c>
      <c r="BG338" s="137">
        <f>$W338*AL338+$L338*Summary_LCIA!AC$32</f>
        <v>5.7202703752835255E-5</v>
      </c>
      <c r="BH338" s="137">
        <f>$W338*AM338+$L338*Summary_LCIA!AD$32</f>
        <v>0.16440237295462881</v>
      </c>
      <c r="BI338" s="137">
        <f>$W338*AN338+$L338*Summary_LCIA!AE$32</f>
        <v>0.44230098325992789</v>
      </c>
      <c r="BJ338" s="137">
        <f>$W338*AO338+$L338*Summary_LCIA!AF$32</f>
        <v>2.9419101127013507E-2</v>
      </c>
      <c r="BK338" s="137">
        <f>$W338*AP338+$L338*Summary_LCIA!AG$32</f>
        <v>8.0703209820135024E-3</v>
      </c>
      <c r="BL338" s="137">
        <f>$W338*AQ338+$L338*Summary_LCIA!AH$32</f>
        <v>1.1154541396563964</v>
      </c>
      <c r="BM338" s="137">
        <f>$W338*AR338+$L338*Summary_LCIA!AI$32</f>
        <v>0.42490153742437409</v>
      </c>
    </row>
    <row r="339" spans="1:65" x14ac:dyDescent="0.25">
      <c r="A339" s="149">
        <v>5</v>
      </c>
      <c r="B339" s="149">
        <v>6</v>
      </c>
      <c r="C339" s="61">
        <v>37.875985</v>
      </c>
      <c r="D339" s="61">
        <v>-122.25001399999999</v>
      </c>
      <c r="E339" s="61" t="s">
        <v>265</v>
      </c>
      <c r="F339" s="149">
        <v>99</v>
      </c>
      <c r="G339" s="61" t="s">
        <v>623</v>
      </c>
      <c r="H339" s="61" t="s">
        <v>624</v>
      </c>
      <c r="I339" s="61">
        <v>37.712569000000002</v>
      </c>
      <c r="J339" s="61">
        <v>-122.21974299999999</v>
      </c>
      <c r="K339" s="61">
        <v>39.814875569999998</v>
      </c>
      <c r="L339" s="61">
        <v>26.879000000000001</v>
      </c>
      <c r="M339" s="61" t="s">
        <v>617</v>
      </c>
      <c r="N339" s="149">
        <v>5</v>
      </c>
      <c r="O339" s="149">
        <v>6</v>
      </c>
      <c r="P339" s="61" t="s">
        <v>565</v>
      </c>
      <c r="Q339" s="61" t="s">
        <v>564</v>
      </c>
      <c r="R339" s="61">
        <v>41.98028</v>
      </c>
      <c r="S339" s="61">
        <v>-87.908997900000003</v>
      </c>
      <c r="T339" s="61">
        <v>3408.1619999999998</v>
      </c>
      <c r="U339" s="61" t="s">
        <v>617</v>
      </c>
      <c r="V339" s="61" t="s">
        <v>569</v>
      </c>
      <c r="W339" s="61" cm="1">
        <f t="array" ref="W339">getDistance(I339,J339,R339,S339)*SA!$B$12</f>
        <v>2954.4739870823373</v>
      </c>
      <c r="X339" s="61"/>
      <c r="Y339" s="137">
        <f>Transportation_LCIA!C$61*($W339^Transportation_LCIA!C$60)+Transportation_LCIA!C$62</f>
        <v>0.16171000383695877</v>
      </c>
      <c r="Z339" s="137">
        <f>Transportation_LCIA!D$61*($W339^Transportation_LCIA!D$60)+Transportation_LCIA!D$62</f>
        <v>1.5768081231698678</v>
      </c>
      <c r="AA339" s="137">
        <f>Transportation_LCIA!E$61*($W339^Transportation_LCIA!E$60)+Transportation_LCIA!E$62</f>
        <v>5.8937497149571638E-4</v>
      </c>
      <c r="AB339" s="137">
        <f>Transportation_LCIA!F$61*($W339^Transportation_LCIA!F$60)+Transportation_LCIA!F$62</f>
        <v>0.16171000383695877</v>
      </c>
      <c r="AC339" s="137">
        <f>Transportation_LCIA!G$61*($W339^Transportation_LCIA!G$60)+Transportation_LCIA!G$62</f>
        <v>3.7030062493754762E-2</v>
      </c>
      <c r="AD339" s="137">
        <f>Transportation_LCIA!H$61*($W339^Transportation_LCIA!H$60)+Transportation_LCIA!H$62</f>
        <v>1.561077677297297E-4</v>
      </c>
      <c r="AE339" s="137">
        <f>Transportation_LCIA!I$61*($W339^Transportation_LCIA!I$60)+Transportation_LCIA!I$62</f>
        <v>2.9349580057496198E-6</v>
      </c>
      <c r="AF339" s="137">
        <f>Transportation_LCIA!J$61*($W339^Transportation_LCIA!J$60)+Transportation_LCIA!J$62</f>
        <v>4.3668990356380832E-3</v>
      </c>
      <c r="AG339" s="137">
        <f>Transportation_LCIA!K$61*($W339^Transportation_LCIA!K$60)+Transportation_LCIA!K$62</f>
        <v>7.514134281168993E-3</v>
      </c>
      <c r="AH339" s="137">
        <f>Transportation_LCIA!L$61*($W339^Transportation_LCIA!L$60)+Transportation_LCIA!L$62</f>
        <v>1.2948442746469057E-4</v>
      </c>
      <c r="AI339" s="137">
        <f>Transportation_LCIA!M$61*($W339^Transportation_LCIA!M$60)+Transportation_LCIA!M$62</f>
        <v>1.7704106673904082E-4</v>
      </c>
      <c r="AJ339" s="137">
        <f>Transportation_LCIA!N$61*($W339^Transportation_LCIA!N$60)+Transportation_LCIA!N$62</f>
        <v>5.8350629075465312E-4</v>
      </c>
      <c r="AK339" s="137">
        <f>Transportation_LCIA!O$61*($W339^Transportation_LCIA!O$60)+Transportation_LCIA!O$62</f>
        <v>3.9024642261370346E-5</v>
      </c>
      <c r="AL339" s="137">
        <f>Transportation_LCIA!P$61*($W339^Transportation_LCIA!P$60)+Transportation_LCIA!P$62</f>
        <v>1.8916650124927199E-8</v>
      </c>
      <c r="AM339" s="137">
        <f>Transportation_LCIA!Q$61*($W339^Transportation_LCIA!Q$60)+Transportation_LCIA!Q$62</f>
        <v>5.1905696061339208E-5</v>
      </c>
      <c r="AN339" s="137">
        <f>Transportation_LCIA!R$61*($W339^Transportation_LCIA!R$60)+Transportation_LCIA!R$62</f>
        <v>1.4164372298406882E-4</v>
      </c>
      <c r="AO339" s="137">
        <f>Transportation_LCIA!S$61*($W339^Transportation_LCIA!S$60)+Transportation_LCIA!S$62</f>
        <v>2.2660740884116371E-6</v>
      </c>
      <c r="AP339" s="137">
        <f>Transportation_LCIA!T$61*($W339^Transportation_LCIA!T$60)+Transportation_LCIA!T$62</f>
        <v>2.2660740884116371E-6</v>
      </c>
      <c r="AQ339" s="137">
        <f>Transportation_LCIA!U$61*($W339^Transportation_LCIA!U$60)+Transportation_LCIA!U$62</f>
        <v>2.9836447337514829E-4</v>
      </c>
      <c r="AR339" s="137">
        <f>Transportation_LCIA!V$61*($W339^Transportation_LCIA!V$60)+Transportation_LCIA!V$62</f>
        <v>1.3534131853002178E-4</v>
      </c>
      <c r="AT339" s="137">
        <f>$W339*Y339+$L339*Summary_LCIA!H$32</f>
        <v>486.90148398727962</v>
      </c>
      <c r="AU339" s="137">
        <f>$W339*Z339+$L339*Summary_LCIA!Q$32</f>
        <v>4791.8522621141037</v>
      </c>
      <c r="AV339" s="137">
        <f>$W339*AA339+$L339*Summary_LCIA!R$32</f>
        <v>1.8828270843214883</v>
      </c>
      <c r="AW339" s="137">
        <f>$W339*AB339+$L339*Summary_LCIA!S$32</f>
        <v>486.78267880727964</v>
      </c>
      <c r="AX339" s="137">
        <f>$W339*AC339+$L339*Summary_LCIA!T$32</f>
        <v>112.35835847783174</v>
      </c>
      <c r="AY339" s="137">
        <f>$W339*AD339+$L339*Summary_LCIA!U$32</f>
        <v>0.94272674493897801</v>
      </c>
      <c r="AZ339" s="137">
        <f>$W339*AE339+$L339*Summary_LCIA!V$32</f>
        <v>9.9550250001663038E-3</v>
      </c>
      <c r="BA339" s="137">
        <f>$W339*AF339+$L339*Summary_LCIA!W$32</f>
        <v>14.970793114007662</v>
      </c>
      <c r="BB339" s="137">
        <f>$W339*AG339+$L339*Summary_LCIA!X$32</f>
        <v>22.812617889157426</v>
      </c>
      <c r="BC339" s="137">
        <f>$W339*AH339+$L339*Summary_LCIA!Y$32</f>
        <v>0.80138695067667798</v>
      </c>
      <c r="BD339" s="137">
        <f>$W339*AI339+$L339*Summary_LCIA!Z$32</f>
        <v>0.52416550723680411</v>
      </c>
      <c r="BE339" s="137">
        <f>$W339*AJ339+$L339*Summary_LCIA!AA$32</f>
        <v>2.3517400813335256</v>
      </c>
      <c r="BF339" s="137">
        <f>$W339*AK339+$L339*Summary_LCIA!AB$32</f>
        <v>0.11471070999941273</v>
      </c>
      <c r="BG339" s="137">
        <f>$W339*AL339+$L339*Summary_LCIA!AC$32</f>
        <v>5.7202703752835255E-5</v>
      </c>
      <c r="BH339" s="137">
        <f>$W339*AM339+$L339*Summary_LCIA!AD$32</f>
        <v>0.16440237295462881</v>
      </c>
      <c r="BI339" s="137">
        <f>$W339*AN339+$L339*Summary_LCIA!AE$32</f>
        <v>0.44230098325992789</v>
      </c>
      <c r="BJ339" s="137">
        <f>$W339*AO339+$L339*Summary_LCIA!AF$32</f>
        <v>2.9419101127013507E-2</v>
      </c>
      <c r="BK339" s="137">
        <f>$W339*AP339+$L339*Summary_LCIA!AG$32</f>
        <v>8.0703209820135024E-3</v>
      </c>
      <c r="BL339" s="137">
        <f>$W339*AQ339+$L339*Summary_LCIA!AH$32</f>
        <v>1.1154541396563964</v>
      </c>
      <c r="BM339" s="137">
        <f>$W339*AR339+$L339*Summary_LCIA!AI$32</f>
        <v>0.42490153742437409</v>
      </c>
    </row>
    <row r="340" spans="1:65" x14ac:dyDescent="0.25">
      <c r="A340" s="149">
        <v>6</v>
      </c>
      <c r="B340" s="149">
        <v>6</v>
      </c>
      <c r="C340" s="61">
        <v>37.875985</v>
      </c>
      <c r="D340" s="61">
        <v>-122.25001399999999</v>
      </c>
      <c r="E340" s="61" t="s">
        <v>265</v>
      </c>
      <c r="F340" s="149">
        <v>99</v>
      </c>
      <c r="G340" s="61" t="s">
        <v>623</v>
      </c>
      <c r="H340" s="61" t="s">
        <v>624</v>
      </c>
      <c r="I340" s="61">
        <v>37.712569000000002</v>
      </c>
      <c r="J340" s="61">
        <v>-122.21974299999999</v>
      </c>
      <c r="K340" s="61">
        <v>39.814875569999998</v>
      </c>
      <c r="L340" s="61">
        <v>26.879000000000001</v>
      </c>
      <c r="M340" s="61" t="s">
        <v>617</v>
      </c>
      <c r="N340" s="149">
        <v>5</v>
      </c>
      <c r="O340" s="149">
        <v>6</v>
      </c>
      <c r="P340" s="61" t="s">
        <v>565</v>
      </c>
      <c r="Q340" s="61" t="s">
        <v>564</v>
      </c>
      <c r="R340" s="61">
        <v>41.98028</v>
      </c>
      <c r="S340" s="61">
        <v>-87.908997900000003</v>
      </c>
      <c r="T340" s="61">
        <v>3408.1619999999998</v>
      </c>
      <c r="U340" s="61" t="s">
        <v>617</v>
      </c>
      <c r="V340" s="61" t="s">
        <v>569</v>
      </c>
      <c r="W340" s="61" cm="1">
        <f t="array" ref="W340">getDistance(I340,J340,R340,S340)*SA!$B$12</f>
        <v>2954.4739870823373</v>
      </c>
      <c r="X340" s="61"/>
      <c r="Y340" s="137">
        <f>Transportation_LCIA!C$61*($W340^Transportation_LCIA!C$60)+Transportation_LCIA!C$62</f>
        <v>0.16171000383695877</v>
      </c>
      <c r="Z340" s="137">
        <f>Transportation_LCIA!D$61*($W340^Transportation_LCIA!D$60)+Transportation_LCIA!D$62</f>
        <v>1.5768081231698678</v>
      </c>
      <c r="AA340" s="137">
        <f>Transportation_LCIA!E$61*($W340^Transportation_LCIA!E$60)+Transportation_LCIA!E$62</f>
        <v>5.8937497149571638E-4</v>
      </c>
      <c r="AB340" s="137">
        <f>Transportation_LCIA!F$61*($W340^Transportation_LCIA!F$60)+Transportation_LCIA!F$62</f>
        <v>0.16171000383695877</v>
      </c>
      <c r="AC340" s="137">
        <f>Transportation_LCIA!G$61*($W340^Transportation_LCIA!G$60)+Transportation_LCIA!G$62</f>
        <v>3.7030062493754762E-2</v>
      </c>
      <c r="AD340" s="137">
        <f>Transportation_LCIA!H$61*($W340^Transportation_LCIA!H$60)+Transportation_LCIA!H$62</f>
        <v>1.561077677297297E-4</v>
      </c>
      <c r="AE340" s="137">
        <f>Transportation_LCIA!I$61*($W340^Transportation_LCIA!I$60)+Transportation_LCIA!I$62</f>
        <v>2.9349580057496198E-6</v>
      </c>
      <c r="AF340" s="137">
        <f>Transportation_LCIA!J$61*($W340^Transportation_LCIA!J$60)+Transportation_LCIA!J$62</f>
        <v>4.3668990356380832E-3</v>
      </c>
      <c r="AG340" s="137">
        <f>Transportation_LCIA!K$61*($W340^Transportation_LCIA!K$60)+Transportation_LCIA!K$62</f>
        <v>7.514134281168993E-3</v>
      </c>
      <c r="AH340" s="137">
        <f>Transportation_LCIA!L$61*($W340^Transportation_LCIA!L$60)+Transportation_LCIA!L$62</f>
        <v>1.2948442746469057E-4</v>
      </c>
      <c r="AI340" s="137">
        <f>Transportation_LCIA!M$61*($W340^Transportation_LCIA!M$60)+Transportation_LCIA!M$62</f>
        <v>1.7704106673904082E-4</v>
      </c>
      <c r="AJ340" s="137">
        <f>Transportation_LCIA!N$61*($W340^Transportation_LCIA!N$60)+Transportation_LCIA!N$62</f>
        <v>5.8350629075465312E-4</v>
      </c>
      <c r="AK340" s="137">
        <f>Transportation_LCIA!O$61*($W340^Transportation_LCIA!O$60)+Transportation_LCIA!O$62</f>
        <v>3.9024642261370346E-5</v>
      </c>
      <c r="AL340" s="137">
        <f>Transportation_LCIA!P$61*($W340^Transportation_LCIA!P$60)+Transportation_LCIA!P$62</f>
        <v>1.8916650124927199E-8</v>
      </c>
      <c r="AM340" s="137">
        <f>Transportation_LCIA!Q$61*($W340^Transportation_LCIA!Q$60)+Transportation_LCIA!Q$62</f>
        <v>5.1905696061339208E-5</v>
      </c>
      <c r="AN340" s="137">
        <f>Transportation_LCIA!R$61*($W340^Transportation_LCIA!R$60)+Transportation_LCIA!R$62</f>
        <v>1.4164372298406882E-4</v>
      </c>
      <c r="AO340" s="137">
        <f>Transportation_LCIA!S$61*($W340^Transportation_LCIA!S$60)+Transportation_LCIA!S$62</f>
        <v>2.2660740884116371E-6</v>
      </c>
      <c r="AP340" s="137">
        <f>Transportation_LCIA!T$61*($W340^Transportation_LCIA!T$60)+Transportation_LCIA!T$62</f>
        <v>2.2660740884116371E-6</v>
      </c>
      <c r="AQ340" s="137">
        <f>Transportation_LCIA!U$61*($W340^Transportation_LCIA!U$60)+Transportation_LCIA!U$62</f>
        <v>2.9836447337514829E-4</v>
      </c>
      <c r="AR340" s="137">
        <f>Transportation_LCIA!V$61*($W340^Transportation_LCIA!V$60)+Transportation_LCIA!V$62</f>
        <v>1.3534131853002178E-4</v>
      </c>
      <c r="AT340" s="137">
        <f>$W340*Y340+$L340*Summary_LCIA!H$32</f>
        <v>486.90148398727962</v>
      </c>
      <c r="AU340" s="137">
        <f>$W340*Z340+$L340*Summary_LCIA!Q$32</f>
        <v>4791.8522621141037</v>
      </c>
      <c r="AV340" s="137">
        <f>$W340*AA340+$L340*Summary_LCIA!R$32</f>
        <v>1.8828270843214883</v>
      </c>
      <c r="AW340" s="137">
        <f>$W340*AB340+$L340*Summary_LCIA!S$32</f>
        <v>486.78267880727964</v>
      </c>
      <c r="AX340" s="137">
        <f>$W340*AC340+$L340*Summary_LCIA!T$32</f>
        <v>112.35835847783174</v>
      </c>
      <c r="AY340" s="137">
        <f>$W340*AD340+$L340*Summary_LCIA!U$32</f>
        <v>0.94272674493897801</v>
      </c>
      <c r="AZ340" s="137">
        <f>$W340*AE340+$L340*Summary_LCIA!V$32</f>
        <v>9.9550250001663038E-3</v>
      </c>
      <c r="BA340" s="137">
        <f>$W340*AF340+$L340*Summary_LCIA!W$32</f>
        <v>14.970793114007662</v>
      </c>
      <c r="BB340" s="137">
        <f>$W340*AG340+$L340*Summary_LCIA!X$32</f>
        <v>22.812617889157426</v>
      </c>
      <c r="BC340" s="137">
        <f>$W340*AH340+$L340*Summary_LCIA!Y$32</f>
        <v>0.80138695067667798</v>
      </c>
      <c r="BD340" s="137">
        <f>$W340*AI340+$L340*Summary_LCIA!Z$32</f>
        <v>0.52416550723680411</v>
      </c>
      <c r="BE340" s="137">
        <f>$W340*AJ340+$L340*Summary_LCIA!AA$32</f>
        <v>2.3517400813335256</v>
      </c>
      <c r="BF340" s="137">
        <f>$W340*AK340+$L340*Summary_LCIA!AB$32</f>
        <v>0.11471070999941273</v>
      </c>
      <c r="BG340" s="137">
        <f>$W340*AL340+$L340*Summary_LCIA!AC$32</f>
        <v>5.7202703752835255E-5</v>
      </c>
      <c r="BH340" s="137">
        <f>$W340*AM340+$L340*Summary_LCIA!AD$32</f>
        <v>0.16440237295462881</v>
      </c>
      <c r="BI340" s="137">
        <f>$W340*AN340+$L340*Summary_LCIA!AE$32</f>
        <v>0.44230098325992789</v>
      </c>
      <c r="BJ340" s="137">
        <f>$W340*AO340+$L340*Summary_LCIA!AF$32</f>
        <v>2.9419101127013507E-2</v>
      </c>
      <c r="BK340" s="137">
        <f>$W340*AP340+$L340*Summary_LCIA!AG$32</f>
        <v>8.0703209820135024E-3</v>
      </c>
      <c r="BL340" s="137">
        <f>$W340*AQ340+$L340*Summary_LCIA!AH$32</f>
        <v>1.1154541396563964</v>
      </c>
      <c r="BM340" s="137">
        <f>$W340*AR340+$L340*Summary_LCIA!AI$32</f>
        <v>0.42490153742437409</v>
      </c>
    </row>
    <row r="341" spans="1:65" x14ac:dyDescent="0.25">
      <c r="A341" s="149">
        <v>7</v>
      </c>
      <c r="B341" s="149">
        <v>6</v>
      </c>
      <c r="C341" s="61">
        <v>37.875985</v>
      </c>
      <c r="D341" s="61">
        <v>-122.25001399999999</v>
      </c>
      <c r="E341" s="61" t="s">
        <v>265</v>
      </c>
      <c r="F341" s="149">
        <v>99</v>
      </c>
      <c r="G341" s="61" t="s">
        <v>623</v>
      </c>
      <c r="H341" s="61" t="s">
        <v>624</v>
      </c>
      <c r="I341" s="61">
        <v>37.712569000000002</v>
      </c>
      <c r="J341" s="61">
        <v>-122.21974299999999</v>
      </c>
      <c r="K341" s="61">
        <v>39.814875569999998</v>
      </c>
      <c r="L341" s="61">
        <v>26.879000000000001</v>
      </c>
      <c r="M341" s="61" t="s">
        <v>617</v>
      </c>
      <c r="N341" s="149">
        <v>5</v>
      </c>
      <c r="O341" s="149">
        <v>6</v>
      </c>
      <c r="P341" s="61" t="s">
        <v>565</v>
      </c>
      <c r="Q341" s="61" t="s">
        <v>564</v>
      </c>
      <c r="R341" s="61">
        <v>41.98028</v>
      </c>
      <c r="S341" s="61">
        <v>-87.908997900000003</v>
      </c>
      <c r="T341" s="61">
        <v>3408.1619999999998</v>
      </c>
      <c r="U341" s="61" t="s">
        <v>617</v>
      </c>
      <c r="V341" s="61" t="s">
        <v>569</v>
      </c>
      <c r="W341" s="61" cm="1">
        <f t="array" ref="W341">getDistance(I341,J341,R341,S341)*SA!$B$12</f>
        <v>2954.4739870823373</v>
      </c>
      <c r="X341" s="61"/>
      <c r="Y341" s="137">
        <f>Transportation_LCIA!C$61*($W341^Transportation_LCIA!C$60)+Transportation_LCIA!C$62</f>
        <v>0.16171000383695877</v>
      </c>
      <c r="Z341" s="137">
        <f>Transportation_LCIA!D$61*($W341^Transportation_LCIA!D$60)+Transportation_LCIA!D$62</f>
        <v>1.5768081231698678</v>
      </c>
      <c r="AA341" s="137">
        <f>Transportation_LCIA!E$61*($W341^Transportation_LCIA!E$60)+Transportation_LCIA!E$62</f>
        <v>5.8937497149571638E-4</v>
      </c>
      <c r="AB341" s="137">
        <f>Transportation_LCIA!F$61*($W341^Transportation_LCIA!F$60)+Transportation_LCIA!F$62</f>
        <v>0.16171000383695877</v>
      </c>
      <c r="AC341" s="137">
        <f>Transportation_LCIA!G$61*($W341^Transportation_LCIA!G$60)+Transportation_LCIA!G$62</f>
        <v>3.7030062493754762E-2</v>
      </c>
      <c r="AD341" s="137">
        <f>Transportation_LCIA!H$61*($W341^Transportation_LCIA!H$60)+Transportation_LCIA!H$62</f>
        <v>1.561077677297297E-4</v>
      </c>
      <c r="AE341" s="137">
        <f>Transportation_LCIA!I$61*($W341^Transportation_LCIA!I$60)+Transportation_LCIA!I$62</f>
        <v>2.9349580057496198E-6</v>
      </c>
      <c r="AF341" s="137">
        <f>Transportation_LCIA!J$61*($W341^Transportation_LCIA!J$60)+Transportation_LCIA!J$62</f>
        <v>4.3668990356380832E-3</v>
      </c>
      <c r="AG341" s="137">
        <f>Transportation_LCIA!K$61*($W341^Transportation_LCIA!K$60)+Transportation_LCIA!K$62</f>
        <v>7.514134281168993E-3</v>
      </c>
      <c r="AH341" s="137">
        <f>Transportation_LCIA!L$61*($W341^Transportation_LCIA!L$60)+Transportation_LCIA!L$62</f>
        <v>1.2948442746469057E-4</v>
      </c>
      <c r="AI341" s="137">
        <f>Transportation_LCIA!M$61*($W341^Transportation_LCIA!M$60)+Transportation_LCIA!M$62</f>
        <v>1.7704106673904082E-4</v>
      </c>
      <c r="AJ341" s="137">
        <f>Transportation_LCIA!N$61*($W341^Transportation_LCIA!N$60)+Transportation_LCIA!N$62</f>
        <v>5.8350629075465312E-4</v>
      </c>
      <c r="AK341" s="137">
        <f>Transportation_LCIA!O$61*($W341^Transportation_LCIA!O$60)+Transportation_LCIA!O$62</f>
        <v>3.9024642261370346E-5</v>
      </c>
      <c r="AL341" s="137">
        <f>Transportation_LCIA!P$61*($W341^Transportation_LCIA!P$60)+Transportation_LCIA!P$62</f>
        <v>1.8916650124927199E-8</v>
      </c>
      <c r="AM341" s="137">
        <f>Transportation_LCIA!Q$61*($W341^Transportation_LCIA!Q$60)+Transportation_LCIA!Q$62</f>
        <v>5.1905696061339208E-5</v>
      </c>
      <c r="AN341" s="137">
        <f>Transportation_LCIA!R$61*($W341^Transportation_LCIA!R$60)+Transportation_LCIA!R$62</f>
        <v>1.4164372298406882E-4</v>
      </c>
      <c r="AO341" s="137">
        <f>Transportation_LCIA!S$61*($W341^Transportation_LCIA!S$60)+Transportation_LCIA!S$62</f>
        <v>2.2660740884116371E-6</v>
      </c>
      <c r="AP341" s="137">
        <f>Transportation_LCIA!T$61*($W341^Transportation_LCIA!T$60)+Transportation_LCIA!T$62</f>
        <v>2.2660740884116371E-6</v>
      </c>
      <c r="AQ341" s="137">
        <f>Transportation_LCIA!U$61*($W341^Transportation_LCIA!U$60)+Transportation_LCIA!U$62</f>
        <v>2.9836447337514829E-4</v>
      </c>
      <c r="AR341" s="137">
        <f>Transportation_LCIA!V$61*($W341^Transportation_LCIA!V$60)+Transportation_LCIA!V$62</f>
        <v>1.3534131853002178E-4</v>
      </c>
      <c r="AT341" s="137">
        <f>$W341*Y341+$L341*Summary_LCIA!H$32</f>
        <v>486.90148398727962</v>
      </c>
      <c r="AU341" s="137">
        <f>$W341*Z341+$L341*Summary_LCIA!Q$32</f>
        <v>4791.8522621141037</v>
      </c>
      <c r="AV341" s="137">
        <f>$W341*AA341+$L341*Summary_LCIA!R$32</f>
        <v>1.8828270843214883</v>
      </c>
      <c r="AW341" s="137">
        <f>$W341*AB341+$L341*Summary_LCIA!S$32</f>
        <v>486.78267880727964</v>
      </c>
      <c r="AX341" s="137">
        <f>$W341*AC341+$L341*Summary_LCIA!T$32</f>
        <v>112.35835847783174</v>
      </c>
      <c r="AY341" s="137">
        <f>$W341*AD341+$L341*Summary_LCIA!U$32</f>
        <v>0.94272674493897801</v>
      </c>
      <c r="AZ341" s="137">
        <f>$W341*AE341+$L341*Summary_LCIA!V$32</f>
        <v>9.9550250001663038E-3</v>
      </c>
      <c r="BA341" s="137">
        <f>$W341*AF341+$L341*Summary_LCIA!W$32</f>
        <v>14.970793114007662</v>
      </c>
      <c r="BB341" s="137">
        <f>$W341*AG341+$L341*Summary_LCIA!X$32</f>
        <v>22.812617889157426</v>
      </c>
      <c r="BC341" s="137">
        <f>$W341*AH341+$L341*Summary_LCIA!Y$32</f>
        <v>0.80138695067667798</v>
      </c>
      <c r="BD341" s="137">
        <f>$W341*AI341+$L341*Summary_LCIA!Z$32</f>
        <v>0.52416550723680411</v>
      </c>
      <c r="BE341" s="137">
        <f>$W341*AJ341+$L341*Summary_LCIA!AA$32</f>
        <v>2.3517400813335256</v>
      </c>
      <c r="BF341" s="137">
        <f>$W341*AK341+$L341*Summary_LCIA!AB$32</f>
        <v>0.11471070999941273</v>
      </c>
      <c r="BG341" s="137">
        <f>$W341*AL341+$L341*Summary_LCIA!AC$32</f>
        <v>5.7202703752835255E-5</v>
      </c>
      <c r="BH341" s="137">
        <f>$W341*AM341+$L341*Summary_LCIA!AD$32</f>
        <v>0.16440237295462881</v>
      </c>
      <c r="BI341" s="137">
        <f>$W341*AN341+$L341*Summary_LCIA!AE$32</f>
        <v>0.44230098325992789</v>
      </c>
      <c r="BJ341" s="137">
        <f>$W341*AO341+$L341*Summary_LCIA!AF$32</f>
        <v>2.9419101127013507E-2</v>
      </c>
      <c r="BK341" s="137">
        <f>$W341*AP341+$L341*Summary_LCIA!AG$32</f>
        <v>8.0703209820135024E-3</v>
      </c>
      <c r="BL341" s="137">
        <f>$W341*AQ341+$L341*Summary_LCIA!AH$32</f>
        <v>1.1154541396563964</v>
      </c>
      <c r="BM341" s="137">
        <f>$W341*AR341+$L341*Summary_LCIA!AI$32</f>
        <v>0.42490153742437409</v>
      </c>
    </row>
    <row r="342" spans="1:65" x14ac:dyDescent="0.25">
      <c r="A342" s="149">
        <v>8</v>
      </c>
      <c r="B342" s="149">
        <v>6</v>
      </c>
      <c r="C342" s="61">
        <v>37.875985</v>
      </c>
      <c r="D342" s="61">
        <v>-122.25001399999999</v>
      </c>
      <c r="E342" s="61" t="s">
        <v>265</v>
      </c>
      <c r="F342" s="149">
        <v>99</v>
      </c>
      <c r="G342" s="61" t="s">
        <v>623</v>
      </c>
      <c r="H342" s="61" t="s">
        <v>624</v>
      </c>
      <c r="I342" s="61">
        <v>37.712569000000002</v>
      </c>
      <c r="J342" s="61">
        <v>-122.21974299999999</v>
      </c>
      <c r="K342" s="61">
        <v>39.814875569999998</v>
      </c>
      <c r="L342" s="61">
        <v>26.879000000000001</v>
      </c>
      <c r="M342" s="61" t="s">
        <v>617</v>
      </c>
      <c r="N342" s="149">
        <v>5</v>
      </c>
      <c r="O342" s="149">
        <v>6</v>
      </c>
      <c r="P342" s="61" t="s">
        <v>565</v>
      </c>
      <c r="Q342" s="61" t="s">
        <v>564</v>
      </c>
      <c r="R342" s="61">
        <v>41.98028</v>
      </c>
      <c r="S342" s="61">
        <v>-87.908997900000003</v>
      </c>
      <c r="T342" s="61">
        <v>3408.1619999999998</v>
      </c>
      <c r="U342" s="61" t="s">
        <v>617</v>
      </c>
      <c r="V342" s="61" t="s">
        <v>569</v>
      </c>
      <c r="W342" s="61" cm="1">
        <f t="array" ref="W342">getDistance(I342,J342,R342,S342)*SA!$B$12</f>
        <v>2954.4739870823373</v>
      </c>
      <c r="X342" s="61"/>
      <c r="Y342" s="137">
        <f>Transportation_LCIA!C$61*($W342^Transportation_LCIA!C$60)+Transportation_LCIA!C$62</f>
        <v>0.16171000383695877</v>
      </c>
      <c r="Z342" s="137">
        <f>Transportation_LCIA!D$61*($W342^Transportation_LCIA!D$60)+Transportation_LCIA!D$62</f>
        <v>1.5768081231698678</v>
      </c>
      <c r="AA342" s="137">
        <f>Transportation_LCIA!E$61*($W342^Transportation_LCIA!E$60)+Transportation_LCIA!E$62</f>
        <v>5.8937497149571638E-4</v>
      </c>
      <c r="AB342" s="137">
        <f>Transportation_LCIA!F$61*($W342^Transportation_LCIA!F$60)+Transportation_LCIA!F$62</f>
        <v>0.16171000383695877</v>
      </c>
      <c r="AC342" s="137">
        <f>Transportation_LCIA!G$61*($W342^Transportation_LCIA!G$60)+Transportation_LCIA!G$62</f>
        <v>3.7030062493754762E-2</v>
      </c>
      <c r="AD342" s="137">
        <f>Transportation_LCIA!H$61*($W342^Transportation_LCIA!H$60)+Transportation_LCIA!H$62</f>
        <v>1.561077677297297E-4</v>
      </c>
      <c r="AE342" s="137">
        <f>Transportation_LCIA!I$61*($W342^Transportation_LCIA!I$60)+Transportation_LCIA!I$62</f>
        <v>2.9349580057496198E-6</v>
      </c>
      <c r="AF342" s="137">
        <f>Transportation_LCIA!J$61*($W342^Transportation_LCIA!J$60)+Transportation_LCIA!J$62</f>
        <v>4.3668990356380832E-3</v>
      </c>
      <c r="AG342" s="137">
        <f>Transportation_LCIA!K$61*($W342^Transportation_LCIA!K$60)+Transportation_LCIA!K$62</f>
        <v>7.514134281168993E-3</v>
      </c>
      <c r="AH342" s="137">
        <f>Transportation_LCIA!L$61*($W342^Transportation_LCIA!L$60)+Transportation_LCIA!L$62</f>
        <v>1.2948442746469057E-4</v>
      </c>
      <c r="AI342" s="137">
        <f>Transportation_LCIA!M$61*($W342^Transportation_LCIA!M$60)+Transportation_LCIA!M$62</f>
        <v>1.7704106673904082E-4</v>
      </c>
      <c r="AJ342" s="137">
        <f>Transportation_LCIA!N$61*($W342^Transportation_LCIA!N$60)+Transportation_LCIA!N$62</f>
        <v>5.8350629075465312E-4</v>
      </c>
      <c r="AK342" s="137">
        <f>Transportation_LCIA!O$61*($W342^Transportation_LCIA!O$60)+Transportation_LCIA!O$62</f>
        <v>3.9024642261370346E-5</v>
      </c>
      <c r="AL342" s="137">
        <f>Transportation_LCIA!P$61*($W342^Transportation_LCIA!P$60)+Transportation_LCIA!P$62</f>
        <v>1.8916650124927199E-8</v>
      </c>
      <c r="AM342" s="137">
        <f>Transportation_LCIA!Q$61*($W342^Transportation_LCIA!Q$60)+Transportation_LCIA!Q$62</f>
        <v>5.1905696061339208E-5</v>
      </c>
      <c r="AN342" s="137">
        <f>Transportation_LCIA!R$61*($W342^Transportation_LCIA!R$60)+Transportation_LCIA!R$62</f>
        <v>1.4164372298406882E-4</v>
      </c>
      <c r="AO342" s="137">
        <f>Transportation_LCIA!S$61*($W342^Transportation_LCIA!S$60)+Transportation_LCIA!S$62</f>
        <v>2.2660740884116371E-6</v>
      </c>
      <c r="AP342" s="137">
        <f>Transportation_LCIA!T$61*($W342^Transportation_LCIA!T$60)+Transportation_LCIA!T$62</f>
        <v>2.2660740884116371E-6</v>
      </c>
      <c r="AQ342" s="137">
        <f>Transportation_LCIA!U$61*($W342^Transportation_LCIA!U$60)+Transportation_LCIA!U$62</f>
        <v>2.9836447337514829E-4</v>
      </c>
      <c r="AR342" s="137">
        <f>Transportation_LCIA!V$61*($W342^Transportation_LCIA!V$60)+Transportation_LCIA!V$62</f>
        <v>1.3534131853002178E-4</v>
      </c>
      <c r="AT342" s="137">
        <f>$W342*Y342+$L342*Summary_LCIA!H$32</f>
        <v>486.90148398727962</v>
      </c>
      <c r="AU342" s="137">
        <f>$W342*Z342+$L342*Summary_LCIA!Q$32</f>
        <v>4791.8522621141037</v>
      </c>
      <c r="AV342" s="137">
        <f>$W342*AA342+$L342*Summary_LCIA!R$32</f>
        <v>1.8828270843214883</v>
      </c>
      <c r="AW342" s="137">
        <f>$W342*AB342+$L342*Summary_LCIA!S$32</f>
        <v>486.78267880727964</v>
      </c>
      <c r="AX342" s="137">
        <f>$W342*AC342+$L342*Summary_LCIA!T$32</f>
        <v>112.35835847783174</v>
      </c>
      <c r="AY342" s="137">
        <f>$W342*AD342+$L342*Summary_LCIA!U$32</f>
        <v>0.94272674493897801</v>
      </c>
      <c r="AZ342" s="137">
        <f>$W342*AE342+$L342*Summary_LCIA!V$32</f>
        <v>9.9550250001663038E-3</v>
      </c>
      <c r="BA342" s="137">
        <f>$W342*AF342+$L342*Summary_LCIA!W$32</f>
        <v>14.970793114007662</v>
      </c>
      <c r="BB342" s="137">
        <f>$W342*AG342+$L342*Summary_LCIA!X$32</f>
        <v>22.812617889157426</v>
      </c>
      <c r="BC342" s="137">
        <f>$W342*AH342+$L342*Summary_LCIA!Y$32</f>
        <v>0.80138695067667798</v>
      </c>
      <c r="BD342" s="137">
        <f>$W342*AI342+$L342*Summary_LCIA!Z$32</f>
        <v>0.52416550723680411</v>
      </c>
      <c r="BE342" s="137">
        <f>$W342*AJ342+$L342*Summary_LCIA!AA$32</f>
        <v>2.3517400813335256</v>
      </c>
      <c r="BF342" s="137">
        <f>$W342*AK342+$L342*Summary_LCIA!AB$32</f>
        <v>0.11471070999941273</v>
      </c>
      <c r="BG342" s="137">
        <f>$W342*AL342+$L342*Summary_LCIA!AC$32</f>
        <v>5.7202703752835255E-5</v>
      </c>
      <c r="BH342" s="137">
        <f>$W342*AM342+$L342*Summary_LCIA!AD$32</f>
        <v>0.16440237295462881</v>
      </c>
      <c r="BI342" s="137">
        <f>$W342*AN342+$L342*Summary_LCIA!AE$32</f>
        <v>0.44230098325992789</v>
      </c>
      <c r="BJ342" s="137">
        <f>$W342*AO342+$L342*Summary_LCIA!AF$32</f>
        <v>2.9419101127013507E-2</v>
      </c>
      <c r="BK342" s="137">
        <f>$W342*AP342+$L342*Summary_LCIA!AG$32</f>
        <v>8.0703209820135024E-3</v>
      </c>
      <c r="BL342" s="137">
        <f>$W342*AQ342+$L342*Summary_LCIA!AH$32</f>
        <v>1.1154541396563964</v>
      </c>
      <c r="BM342" s="137">
        <f>$W342*AR342+$L342*Summary_LCIA!AI$32</f>
        <v>0.42490153742437409</v>
      </c>
    </row>
    <row r="343" spans="1:65" x14ac:dyDescent="0.25">
      <c r="A343" s="149">
        <v>9</v>
      </c>
      <c r="B343" s="149">
        <v>6</v>
      </c>
      <c r="C343" s="61">
        <v>37.875985</v>
      </c>
      <c r="D343" s="61">
        <v>-122.25001399999999</v>
      </c>
      <c r="E343" s="61" t="s">
        <v>265</v>
      </c>
      <c r="F343" s="149">
        <v>99</v>
      </c>
      <c r="G343" s="61" t="s">
        <v>623</v>
      </c>
      <c r="H343" s="61" t="s">
        <v>624</v>
      </c>
      <c r="I343" s="61">
        <v>37.712569000000002</v>
      </c>
      <c r="J343" s="61">
        <v>-122.21974299999999</v>
      </c>
      <c r="K343" s="61">
        <v>39.814875569999998</v>
      </c>
      <c r="L343" s="61">
        <v>26.879000000000001</v>
      </c>
      <c r="M343" s="61" t="s">
        <v>617</v>
      </c>
      <c r="N343" s="149">
        <v>5</v>
      </c>
      <c r="O343" s="149">
        <v>6</v>
      </c>
      <c r="P343" s="61" t="s">
        <v>565</v>
      </c>
      <c r="Q343" s="61" t="s">
        <v>564</v>
      </c>
      <c r="R343" s="61">
        <v>41.98028</v>
      </c>
      <c r="S343" s="61">
        <v>-87.908997900000003</v>
      </c>
      <c r="T343" s="61">
        <v>3408.1619999999998</v>
      </c>
      <c r="U343" s="61" t="s">
        <v>617</v>
      </c>
      <c r="V343" s="61" t="s">
        <v>569</v>
      </c>
      <c r="W343" s="61" cm="1">
        <f t="array" ref="W343">getDistance(I343,J343,R343,S343)*SA!$B$12</f>
        <v>2954.4739870823373</v>
      </c>
      <c r="X343" s="61"/>
      <c r="Y343" s="137">
        <f>Transportation_LCIA!C$61*($W343^Transportation_LCIA!C$60)+Transportation_LCIA!C$62</f>
        <v>0.16171000383695877</v>
      </c>
      <c r="Z343" s="137">
        <f>Transportation_LCIA!D$61*($W343^Transportation_LCIA!D$60)+Transportation_LCIA!D$62</f>
        <v>1.5768081231698678</v>
      </c>
      <c r="AA343" s="137">
        <f>Transportation_LCIA!E$61*($W343^Transportation_LCIA!E$60)+Transportation_LCIA!E$62</f>
        <v>5.8937497149571638E-4</v>
      </c>
      <c r="AB343" s="137">
        <f>Transportation_LCIA!F$61*($W343^Transportation_LCIA!F$60)+Transportation_LCIA!F$62</f>
        <v>0.16171000383695877</v>
      </c>
      <c r="AC343" s="137">
        <f>Transportation_LCIA!G$61*($W343^Transportation_LCIA!G$60)+Transportation_LCIA!G$62</f>
        <v>3.7030062493754762E-2</v>
      </c>
      <c r="AD343" s="137">
        <f>Transportation_LCIA!H$61*($W343^Transportation_LCIA!H$60)+Transportation_LCIA!H$62</f>
        <v>1.561077677297297E-4</v>
      </c>
      <c r="AE343" s="137">
        <f>Transportation_LCIA!I$61*($W343^Transportation_LCIA!I$60)+Transportation_LCIA!I$62</f>
        <v>2.9349580057496198E-6</v>
      </c>
      <c r="AF343" s="137">
        <f>Transportation_LCIA!J$61*($W343^Transportation_LCIA!J$60)+Transportation_LCIA!J$62</f>
        <v>4.3668990356380832E-3</v>
      </c>
      <c r="AG343" s="137">
        <f>Transportation_LCIA!K$61*($W343^Transportation_LCIA!K$60)+Transportation_LCIA!K$62</f>
        <v>7.514134281168993E-3</v>
      </c>
      <c r="AH343" s="137">
        <f>Transportation_LCIA!L$61*($W343^Transportation_LCIA!L$60)+Transportation_LCIA!L$62</f>
        <v>1.2948442746469057E-4</v>
      </c>
      <c r="AI343" s="137">
        <f>Transportation_LCIA!M$61*($W343^Transportation_LCIA!M$60)+Transportation_LCIA!M$62</f>
        <v>1.7704106673904082E-4</v>
      </c>
      <c r="AJ343" s="137">
        <f>Transportation_LCIA!N$61*($W343^Transportation_LCIA!N$60)+Transportation_LCIA!N$62</f>
        <v>5.8350629075465312E-4</v>
      </c>
      <c r="AK343" s="137">
        <f>Transportation_LCIA!O$61*($W343^Transportation_LCIA!O$60)+Transportation_LCIA!O$62</f>
        <v>3.9024642261370346E-5</v>
      </c>
      <c r="AL343" s="137">
        <f>Transportation_LCIA!P$61*($W343^Transportation_LCIA!P$60)+Transportation_LCIA!P$62</f>
        <v>1.8916650124927199E-8</v>
      </c>
      <c r="AM343" s="137">
        <f>Transportation_LCIA!Q$61*($W343^Transportation_LCIA!Q$60)+Transportation_LCIA!Q$62</f>
        <v>5.1905696061339208E-5</v>
      </c>
      <c r="AN343" s="137">
        <f>Transportation_LCIA!R$61*($W343^Transportation_LCIA!R$60)+Transportation_LCIA!R$62</f>
        <v>1.4164372298406882E-4</v>
      </c>
      <c r="AO343" s="137">
        <f>Transportation_LCIA!S$61*($W343^Transportation_LCIA!S$60)+Transportation_LCIA!S$62</f>
        <v>2.2660740884116371E-6</v>
      </c>
      <c r="AP343" s="137">
        <f>Transportation_LCIA!T$61*($W343^Transportation_LCIA!T$60)+Transportation_LCIA!T$62</f>
        <v>2.2660740884116371E-6</v>
      </c>
      <c r="AQ343" s="137">
        <f>Transportation_LCIA!U$61*($W343^Transportation_LCIA!U$60)+Transportation_LCIA!U$62</f>
        <v>2.9836447337514829E-4</v>
      </c>
      <c r="AR343" s="137">
        <f>Transportation_LCIA!V$61*($W343^Transportation_LCIA!V$60)+Transportation_LCIA!V$62</f>
        <v>1.3534131853002178E-4</v>
      </c>
      <c r="AT343" s="137">
        <f>$W343*Y343+$L343*Summary_LCIA!H$32</f>
        <v>486.90148398727962</v>
      </c>
      <c r="AU343" s="137">
        <f>$W343*Z343+$L343*Summary_LCIA!Q$32</f>
        <v>4791.8522621141037</v>
      </c>
      <c r="AV343" s="137">
        <f>$W343*AA343+$L343*Summary_LCIA!R$32</f>
        <v>1.8828270843214883</v>
      </c>
      <c r="AW343" s="137">
        <f>$W343*AB343+$L343*Summary_LCIA!S$32</f>
        <v>486.78267880727964</v>
      </c>
      <c r="AX343" s="137">
        <f>$W343*AC343+$L343*Summary_LCIA!T$32</f>
        <v>112.35835847783174</v>
      </c>
      <c r="AY343" s="137">
        <f>$W343*AD343+$L343*Summary_LCIA!U$32</f>
        <v>0.94272674493897801</v>
      </c>
      <c r="AZ343" s="137">
        <f>$W343*AE343+$L343*Summary_LCIA!V$32</f>
        <v>9.9550250001663038E-3</v>
      </c>
      <c r="BA343" s="137">
        <f>$W343*AF343+$L343*Summary_LCIA!W$32</f>
        <v>14.970793114007662</v>
      </c>
      <c r="BB343" s="137">
        <f>$W343*AG343+$L343*Summary_LCIA!X$32</f>
        <v>22.812617889157426</v>
      </c>
      <c r="BC343" s="137">
        <f>$W343*AH343+$L343*Summary_LCIA!Y$32</f>
        <v>0.80138695067667798</v>
      </c>
      <c r="BD343" s="137">
        <f>$W343*AI343+$L343*Summary_LCIA!Z$32</f>
        <v>0.52416550723680411</v>
      </c>
      <c r="BE343" s="137">
        <f>$W343*AJ343+$L343*Summary_LCIA!AA$32</f>
        <v>2.3517400813335256</v>
      </c>
      <c r="BF343" s="137">
        <f>$W343*AK343+$L343*Summary_LCIA!AB$32</f>
        <v>0.11471070999941273</v>
      </c>
      <c r="BG343" s="137">
        <f>$W343*AL343+$L343*Summary_LCIA!AC$32</f>
        <v>5.7202703752835255E-5</v>
      </c>
      <c r="BH343" s="137">
        <f>$W343*AM343+$L343*Summary_LCIA!AD$32</f>
        <v>0.16440237295462881</v>
      </c>
      <c r="BI343" s="137">
        <f>$W343*AN343+$L343*Summary_LCIA!AE$32</f>
        <v>0.44230098325992789</v>
      </c>
      <c r="BJ343" s="137">
        <f>$W343*AO343+$L343*Summary_LCIA!AF$32</f>
        <v>2.9419101127013507E-2</v>
      </c>
      <c r="BK343" s="137">
        <f>$W343*AP343+$L343*Summary_LCIA!AG$32</f>
        <v>8.0703209820135024E-3</v>
      </c>
      <c r="BL343" s="137">
        <f>$W343*AQ343+$L343*Summary_LCIA!AH$32</f>
        <v>1.1154541396563964</v>
      </c>
      <c r="BM343" s="137">
        <f>$W343*AR343+$L343*Summary_LCIA!AI$32</f>
        <v>0.42490153742437409</v>
      </c>
    </row>
    <row r="344" spans="1:65" x14ac:dyDescent="0.25">
      <c r="A344" s="149">
        <v>303</v>
      </c>
      <c r="B344" s="149">
        <v>6</v>
      </c>
      <c r="C344" s="61">
        <v>45.505105999999998</v>
      </c>
      <c r="D344" s="61">
        <v>-122.675026</v>
      </c>
      <c r="E344" s="61" t="s">
        <v>265</v>
      </c>
      <c r="F344" s="149">
        <v>90</v>
      </c>
      <c r="G344" s="61" t="s">
        <v>277</v>
      </c>
      <c r="H344" s="61" t="s">
        <v>697</v>
      </c>
      <c r="I344" s="61">
        <v>45.589768999999997</v>
      </c>
      <c r="J344" s="61">
        <v>-122.595094</v>
      </c>
      <c r="K344" s="61">
        <v>15.812124730000001</v>
      </c>
      <c r="L344" s="61">
        <v>25.564</v>
      </c>
      <c r="M344" s="61" t="s">
        <v>617</v>
      </c>
      <c r="N344" s="149">
        <v>5</v>
      </c>
      <c r="O344" s="149">
        <v>6</v>
      </c>
      <c r="P344" s="61" t="s">
        <v>565</v>
      </c>
      <c r="Q344" s="61" t="s">
        <v>564</v>
      </c>
      <c r="R344" s="61">
        <v>41.98028</v>
      </c>
      <c r="S344" s="61">
        <v>-87.908997900000003</v>
      </c>
      <c r="T344" s="61">
        <v>3414.4940000000001</v>
      </c>
      <c r="U344" s="61" t="s">
        <v>617</v>
      </c>
      <c r="V344" s="61" t="s">
        <v>569</v>
      </c>
      <c r="W344" s="61" cm="1">
        <f t="array" ref="W344">getDistance(I344,J344,R344,S344)*SA!$B$12</f>
        <v>2798.6158815682211</v>
      </c>
      <c r="X344" s="61"/>
      <c r="Y344" s="137">
        <f>Transportation_LCIA!C$61*($W344^Transportation_LCIA!C$60)+Transportation_LCIA!C$62</f>
        <v>0.16402773628837225</v>
      </c>
      <c r="Z344" s="137">
        <f>Transportation_LCIA!D$61*($W344^Transportation_LCIA!D$60)+Transportation_LCIA!D$62</f>
        <v>1.6026389821027962</v>
      </c>
      <c r="AA344" s="137">
        <f>Transportation_LCIA!E$61*($W344^Transportation_LCIA!E$60)+Transportation_LCIA!E$62</f>
        <v>6.0614005012291691E-4</v>
      </c>
      <c r="AB344" s="137">
        <f>Transportation_LCIA!F$61*($W344^Transportation_LCIA!F$60)+Transportation_LCIA!F$62</f>
        <v>0.16402773628837225</v>
      </c>
      <c r="AC344" s="137">
        <f>Transportation_LCIA!G$61*($W344^Transportation_LCIA!G$60)+Transportation_LCIA!G$62</f>
        <v>3.7629285801758547E-2</v>
      </c>
      <c r="AD344" s="137">
        <f>Transportation_LCIA!H$61*($W344^Transportation_LCIA!H$60)+Transportation_LCIA!H$62</f>
        <v>1.5970102936839448E-4</v>
      </c>
      <c r="AE344" s="137">
        <f>Transportation_LCIA!I$61*($W344^Transportation_LCIA!I$60)+Transportation_LCIA!I$62</f>
        <v>3.0217646312907641E-6</v>
      </c>
      <c r="AF344" s="137">
        <f>Transportation_LCIA!J$61*($W344^Transportation_LCIA!J$60)+Transportation_LCIA!J$62</f>
        <v>4.4927462034704841E-3</v>
      </c>
      <c r="AG344" s="137">
        <f>Transportation_LCIA!K$61*($W344^Transportation_LCIA!K$60)+Transportation_LCIA!K$62</f>
        <v>7.6507967965960943E-3</v>
      </c>
      <c r="AH344" s="137">
        <f>Transportation_LCIA!L$61*($W344^Transportation_LCIA!L$60)+Transportation_LCIA!L$62</f>
        <v>1.3274934633632592E-4</v>
      </c>
      <c r="AI344" s="137">
        <f>Transportation_LCIA!M$61*($W344^Transportation_LCIA!M$60)+Transportation_LCIA!M$62</f>
        <v>1.7902139566772907E-4</v>
      </c>
      <c r="AJ344" s="137">
        <f>Transportation_LCIA!N$61*($W344^Transportation_LCIA!N$60)+Transportation_LCIA!N$62</f>
        <v>5.9562702452397752E-4</v>
      </c>
      <c r="AK344" s="137">
        <f>Transportation_LCIA!O$61*($W344^Transportation_LCIA!O$60)+Transportation_LCIA!O$62</f>
        <v>3.9660589006869174E-5</v>
      </c>
      <c r="AL344" s="137">
        <f>Transportation_LCIA!P$61*($W344^Transportation_LCIA!P$60)+Transportation_LCIA!P$62</f>
        <v>1.9223455374200001E-8</v>
      </c>
      <c r="AM344" s="137">
        <f>Transportation_LCIA!Q$61*($W344^Transportation_LCIA!Q$60)+Transportation_LCIA!Q$62</f>
        <v>5.3174248522355442E-5</v>
      </c>
      <c r="AN344" s="137">
        <f>Transportation_LCIA!R$61*($W344^Transportation_LCIA!R$60)+Transportation_LCIA!R$62</f>
        <v>1.4580221843549912E-4</v>
      </c>
      <c r="AO344" s="137">
        <f>Transportation_LCIA!S$61*($W344^Transportation_LCIA!S$60)+Transportation_LCIA!S$62</f>
        <v>2.3252008516030942E-6</v>
      </c>
      <c r="AP344" s="137">
        <f>Transportation_LCIA!T$61*($W344^Transportation_LCIA!T$60)+Transportation_LCIA!T$62</f>
        <v>2.3252008516030942E-6</v>
      </c>
      <c r="AQ344" s="137">
        <f>Transportation_LCIA!U$61*($W344^Transportation_LCIA!U$60)+Transportation_LCIA!U$62</f>
        <v>3.0741318521569562E-4</v>
      </c>
      <c r="AR344" s="137">
        <f>Transportation_LCIA!V$61*($W344^Transportation_LCIA!V$60)+Transportation_LCIA!V$62</f>
        <v>1.3861468442791629E-4</v>
      </c>
      <c r="AT344" s="137">
        <f>$W344*Y344+$L344*Summary_LCIA!H$32</f>
        <v>467.73727499432255</v>
      </c>
      <c r="AU344" s="137">
        <f>$W344*Z344+$L344*Summary_LCIA!Q$32</f>
        <v>4611.8673810024256</v>
      </c>
      <c r="AV344" s="137">
        <f>$W344*AA344+$L344*Summary_LCIA!R$32</f>
        <v>1.8309629691285529</v>
      </c>
      <c r="AW344" s="137">
        <f>$W344*AB344+$L344*Summary_LCIA!S$32</f>
        <v>467.62428211432257</v>
      </c>
      <c r="AX344" s="137">
        <f>$W344*AC344+$L344*Summary_LCIA!T$32</f>
        <v>108.11940045687103</v>
      </c>
      <c r="AY344" s="137">
        <f>$W344*AD344+$L344*Summary_LCIA!U$32</f>
        <v>0.90489533309318171</v>
      </c>
      <c r="AZ344" s="137">
        <f>$W344*AE344+$L344*Summary_LCIA!V$32</f>
        <v>9.6777206914914725E-3</v>
      </c>
      <c r="BA344" s="137">
        <f>$W344*AF344+$L344*Summary_LCIA!W$32</f>
        <v>14.541157520887827</v>
      </c>
      <c r="BB344" s="137">
        <f>$W344*AG344+$L344*Summary_LCIA!X$32</f>
        <v>21.993989341605101</v>
      </c>
      <c r="BC344" s="137">
        <f>$W344*AH344+$L344*Summary_LCIA!Y$32</f>
        <v>0.76985267692464188</v>
      </c>
      <c r="BD344" s="137">
        <f>$W344*AI344+$L344*Summary_LCIA!Z$32</f>
        <v>0.50206047513221497</v>
      </c>
      <c r="BE344" s="137">
        <f>$W344*AJ344+$L344*Summary_LCIA!AA$32</f>
        <v>2.2640040343240275</v>
      </c>
      <c r="BF344" s="137">
        <f>$W344*AK344+$L344*Summary_LCIA!AB$32</f>
        <v>0.11043687109497406</v>
      </c>
      <c r="BG344" s="137">
        <f>$W344*AL344+$L344*Summary_LCIA!AC$32</f>
        <v>5.5048738084854098E-5</v>
      </c>
      <c r="BH344" s="137">
        <f>$W344*AM344+$L344*Summary_LCIA!AD$32</f>
        <v>0.15932212296511944</v>
      </c>
      <c r="BI344" s="137">
        <f>$W344*AN344+$L344*Summary_LCIA!AE$32</f>
        <v>0.43069743140146671</v>
      </c>
      <c r="BJ344" s="137">
        <f>$W344*AO344+$L344*Summary_LCIA!AF$32</f>
        <v>2.8119660911132376E-2</v>
      </c>
      <c r="BK344" s="137">
        <f>$W344*AP344+$L344*Summary_LCIA!AG$32</f>
        <v>7.8153260911323717E-3</v>
      </c>
      <c r="BL344" s="137">
        <f>$W344*AQ344+$L344*Summary_LCIA!AH$32</f>
        <v>1.0828302527481188</v>
      </c>
      <c r="BM344" s="137">
        <f>$W344*AR344+$L344*Summary_LCIA!AI$32</f>
        <v>0.41174340145853372</v>
      </c>
    </row>
    <row r="345" spans="1:65" x14ac:dyDescent="0.25">
      <c r="A345" s="149">
        <v>304</v>
      </c>
      <c r="B345" s="149">
        <v>6</v>
      </c>
      <c r="C345" s="61">
        <v>45.505105999999998</v>
      </c>
      <c r="D345" s="61">
        <v>-122.675026</v>
      </c>
      <c r="E345" s="61" t="s">
        <v>265</v>
      </c>
      <c r="F345" s="149">
        <v>90</v>
      </c>
      <c r="G345" s="61" t="s">
        <v>277</v>
      </c>
      <c r="H345" s="61" t="s">
        <v>697</v>
      </c>
      <c r="I345" s="61">
        <v>45.589768999999997</v>
      </c>
      <c r="J345" s="61">
        <v>-122.595094</v>
      </c>
      <c r="K345" s="61">
        <v>15.812124730000001</v>
      </c>
      <c r="L345" s="61">
        <v>25.564</v>
      </c>
      <c r="M345" s="61" t="s">
        <v>617</v>
      </c>
      <c r="N345" s="149">
        <v>5</v>
      </c>
      <c r="O345" s="149">
        <v>6</v>
      </c>
      <c r="P345" s="61" t="s">
        <v>565</v>
      </c>
      <c r="Q345" s="61" t="s">
        <v>564</v>
      </c>
      <c r="R345" s="61">
        <v>41.98028</v>
      </c>
      <c r="S345" s="61">
        <v>-87.908997900000003</v>
      </c>
      <c r="T345" s="61">
        <v>3414.4940000000001</v>
      </c>
      <c r="U345" s="61" t="s">
        <v>617</v>
      </c>
      <c r="V345" s="61" t="s">
        <v>569</v>
      </c>
      <c r="W345" s="61" cm="1">
        <f t="array" ref="W345">getDistance(I345,J345,R345,S345)*SA!$B$12</f>
        <v>2798.6158815682211</v>
      </c>
      <c r="X345" s="61"/>
      <c r="Y345" s="137">
        <f>Transportation_LCIA!C$61*($W345^Transportation_LCIA!C$60)+Transportation_LCIA!C$62</f>
        <v>0.16402773628837225</v>
      </c>
      <c r="Z345" s="137">
        <f>Transportation_LCIA!D$61*($W345^Transportation_LCIA!D$60)+Transportation_LCIA!D$62</f>
        <v>1.6026389821027962</v>
      </c>
      <c r="AA345" s="137">
        <f>Transportation_LCIA!E$61*($W345^Transportation_LCIA!E$60)+Transportation_LCIA!E$62</f>
        <v>6.0614005012291691E-4</v>
      </c>
      <c r="AB345" s="137">
        <f>Transportation_LCIA!F$61*($W345^Transportation_LCIA!F$60)+Transportation_LCIA!F$62</f>
        <v>0.16402773628837225</v>
      </c>
      <c r="AC345" s="137">
        <f>Transportation_LCIA!G$61*($W345^Transportation_LCIA!G$60)+Transportation_LCIA!G$62</f>
        <v>3.7629285801758547E-2</v>
      </c>
      <c r="AD345" s="137">
        <f>Transportation_LCIA!H$61*($W345^Transportation_LCIA!H$60)+Transportation_LCIA!H$62</f>
        <v>1.5970102936839448E-4</v>
      </c>
      <c r="AE345" s="137">
        <f>Transportation_LCIA!I$61*($W345^Transportation_LCIA!I$60)+Transportation_LCIA!I$62</f>
        <v>3.0217646312907641E-6</v>
      </c>
      <c r="AF345" s="137">
        <f>Transportation_LCIA!J$61*($W345^Transportation_LCIA!J$60)+Transportation_LCIA!J$62</f>
        <v>4.4927462034704841E-3</v>
      </c>
      <c r="AG345" s="137">
        <f>Transportation_LCIA!K$61*($W345^Transportation_LCIA!K$60)+Transportation_LCIA!K$62</f>
        <v>7.6507967965960943E-3</v>
      </c>
      <c r="AH345" s="137">
        <f>Transportation_LCIA!L$61*($W345^Transportation_LCIA!L$60)+Transportation_LCIA!L$62</f>
        <v>1.3274934633632592E-4</v>
      </c>
      <c r="AI345" s="137">
        <f>Transportation_LCIA!M$61*($W345^Transportation_LCIA!M$60)+Transportation_LCIA!M$62</f>
        <v>1.7902139566772907E-4</v>
      </c>
      <c r="AJ345" s="137">
        <f>Transportation_LCIA!N$61*($W345^Transportation_LCIA!N$60)+Transportation_LCIA!N$62</f>
        <v>5.9562702452397752E-4</v>
      </c>
      <c r="AK345" s="137">
        <f>Transportation_LCIA!O$61*($W345^Transportation_LCIA!O$60)+Transportation_LCIA!O$62</f>
        <v>3.9660589006869174E-5</v>
      </c>
      <c r="AL345" s="137">
        <f>Transportation_LCIA!P$61*($W345^Transportation_LCIA!P$60)+Transportation_LCIA!P$62</f>
        <v>1.9223455374200001E-8</v>
      </c>
      <c r="AM345" s="137">
        <f>Transportation_LCIA!Q$61*($W345^Transportation_LCIA!Q$60)+Transportation_LCIA!Q$62</f>
        <v>5.3174248522355442E-5</v>
      </c>
      <c r="AN345" s="137">
        <f>Transportation_LCIA!R$61*($W345^Transportation_LCIA!R$60)+Transportation_LCIA!R$62</f>
        <v>1.4580221843549912E-4</v>
      </c>
      <c r="AO345" s="137">
        <f>Transportation_LCIA!S$61*($W345^Transportation_LCIA!S$60)+Transportation_LCIA!S$62</f>
        <v>2.3252008516030942E-6</v>
      </c>
      <c r="AP345" s="137">
        <f>Transportation_LCIA!T$61*($W345^Transportation_LCIA!T$60)+Transportation_LCIA!T$62</f>
        <v>2.3252008516030942E-6</v>
      </c>
      <c r="AQ345" s="137">
        <f>Transportation_LCIA!U$61*($W345^Transportation_LCIA!U$60)+Transportation_LCIA!U$62</f>
        <v>3.0741318521569562E-4</v>
      </c>
      <c r="AR345" s="137">
        <f>Transportation_LCIA!V$61*($W345^Transportation_LCIA!V$60)+Transportation_LCIA!V$62</f>
        <v>1.3861468442791629E-4</v>
      </c>
      <c r="AT345" s="137">
        <f>$W345*Y345+$L345*Summary_LCIA!H$32</f>
        <v>467.73727499432255</v>
      </c>
      <c r="AU345" s="137">
        <f>$W345*Z345+$L345*Summary_LCIA!Q$32</f>
        <v>4611.8673810024256</v>
      </c>
      <c r="AV345" s="137">
        <f>$W345*AA345+$L345*Summary_LCIA!R$32</f>
        <v>1.8309629691285529</v>
      </c>
      <c r="AW345" s="137">
        <f>$W345*AB345+$L345*Summary_LCIA!S$32</f>
        <v>467.62428211432257</v>
      </c>
      <c r="AX345" s="137">
        <f>$W345*AC345+$L345*Summary_LCIA!T$32</f>
        <v>108.11940045687103</v>
      </c>
      <c r="AY345" s="137">
        <f>$W345*AD345+$L345*Summary_LCIA!U$32</f>
        <v>0.90489533309318171</v>
      </c>
      <c r="AZ345" s="137">
        <f>$W345*AE345+$L345*Summary_LCIA!V$32</f>
        <v>9.6777206914914725E-3</v>
      </c>
      <c r="BA345" s="137">
        <f>$W345*AF345+$L345*Summary_LCIA!W$32</f>
        <v>14.541157520887827</v>
      </c>
      <c r="BB345" s="137">
        <f>$W345*AG345+$L345*Summary_LCIA!X$32</f>
        <v>21.993989341605101</v>
      </c>
      <c r="BC345" s="137">
        <f>$W345*AH345+$L345*Summary_LCIA!Y$32</f>
        <v>0.76985267692464188</v>
      </c>
      <c r="BD345" s="137">
        <f>$W345*AI345+$L345*Summary_LCIA!Z$32</f>
        <v>0.50206047513221497</v>
      </c>
      <c r="BE345" s="137">
        <f>$W345*AJ345+$L345*Summary_LCIA!AA$32</f>
        <v>2.2640040343240275</v>
      </c>
      <c r="BF345" s="137">
        <f>$W345*AK345+$L345*Summary_LCIA!AB$32</f>
        <v>0.11043687109497406</v>
      </c>
      <c r="BG345" s="137">
        <f>$W345*AL345+$L345*Summary_LCIA!AC$32</f>
        <v>5.5048738084854098E-5</v>
      </c>
      <c r="BH345" s="137">
        <f>$W345*AM345+$L345*Summary_LCIA!AD$32</f>
        <v>0.15932212296511944</v>
      </c>
      <c r="BI345" s="137">
        <f>$W345*AN345+$L345*Summary_LCIA!AE$32</f>
        <v>0.43069743140146671</v>
      </c>
      <c r="BJ345" s="137">
        <f>$W345*AO345+$L345*Summary_LCIA!AF$32</f>
        <v>2.8119660911132376E-2</v>
      </c>
      <c r="BK345" s="137">
        <f>$W345*AP345+$L345*Summary_LCIA!AG$32</f>
        <v>7.8153260911323717E-3</v>
      </c>
      <c r="BL345" s="137">
        <f>$W345*AQ345+$L345*Summary_LCIA!AH$32</f>
        <v>1.0828302527481188</v>
      </c>
      <c r="BM345" s="137">
        <f>$W345*AR345+$L345*Summary_LCIA!AI$32</f>
        <v>0.41174340145853372</v>
      </c>
    </row>
    <row r="346" spans="1:65" x14ac:dyDescent="0.25">
      <c r="A346" s="149">
        <v>305</v>
      </c>
      <c r="B346" s="149">
        <v>6</v>
      </c>
      <c r="C346" s="61">
        <v>45.505105999999998</v>
      </c>
      <c r="D346" s="61">
        <v>-122.675026</v>
      </c>
      <c r="E346" s="61" t="s">
        <v>265</v>
      </c>
      <c r="F346" s="149">
        <v>90</v>
      </c>
      <c r="G346" s="61" t="s">
        <v>277</v>
      </c>
      <c r="H346" s="61" t="s">
        <v>697</v>
      </c>
      <c r="I346" s="61">
        <v>45.589768999999997</v>
      </c>
      <c r="J346" s="61">
        <v>-122.595094</v>
      </c>
      <c r="K346" s="61">
        <v>15.812124730000001</v>
      </c>
      <c r="L346" s="61">
        <v>25.564</v>
      </c>
      <c r="M346" s="61" t="s">
        <v>617</v>
      </c>
      <c r="N346" s="149">
        <v>5</v>
      </c>
      <c r="O346" s="149">
        <v>6</v>
      </c>
      <c r="P346" s="61" t="s">
        <v>565</v>
      </c>
      <c r="Q346" s="61" t="s">
        <v>564</v>
      </c>
      <c r="R346" s="61">
        <v>41.98028</v>
      </c>
      <c r="S346" s="61">
        <v>-87.908997900000003</v>
      </c>
      <c r="T346" s="61">
        <v>3414.4940000000001</v>
      </c>
      <c r="U346" s="61" t="s">
        <v>617</v>
      </c>
      <c r="V346" s="61" t="s">
        <v>569</v>
      </c>
      <c r="W346" s="61" cm="1">
        <f t="array" ref="W346">getDistance(I346,J346,R346,S346)*SA!$B$12</f>
        <v>2798.6158815682211</v>
      </c>
      <c r="X346" s="61"/>
      <c r="Y346" s="137">
        <f>Transportation_LCIA!C$61*($W346^Transportation_LCIA!C$60)+Transportation_LCIA!C$62</f>
        <v>0.16402773628837225</v>
      </c>
      <c r="Z346" s="137">
        <f>Transportation_LCIA!D$61*($W346^Transportation_LCIA!D$60)+Transportation_LCIA!D$62</f>
        <v>1.6026389821027962</v>
      </c>
      <c r="AA346" s="137">
        <f>Transportation_LCIA!E$61*($W346^Transportation_LCIA!E$60)+Transportation_LCIA!E$62</f>
        <v>6.0614005012291691E-4</v>
      </c>
      <c r="AB346" s="137">
        <f>Transportation_LCIA!F$61*($W346^Transportation_LCIA!F$60)+Transportation_LCIA!F$62</f>
        <v>0.16402773628837225</v>
      </c>
      <c r="AC346" s="137">
        <f>Transportation_LCIA!G$61*($W346^Transportation_LCIA!G$60)+Transportation_LCIA!G$62</f>
        <v>3.7629285801758547E-2</v>
      </c>
      <c r="AD346" s="137">
        <f>Transportation_LCIA!H$61*($W346^Transportation_LCIA!H$60)+Transportation_LCIA!H$62</f>
        <v>1.5970102936839448E-4</v>
      </c>
      <c r="AE346" s="137">
        <f>Transportation_LCIA!I$61*($W346^Transportation_LCIA!I$60)+Transportation_LCIA!I$62</f>
        <v>3.0217646312907641E-6</v>
      </c>
      <c r="AF346" s="137">
        <f>Transportation_LCIA!J$61*($W346^Transportation_LCIA!J$60)+Transportation_LCIA!J$62</f>
        <v>4.4927462034704841E-3</v>
      </c>
      <c r="AG346" s="137">
        <f>Transportation_LCIA!K$61*($W346^Transportation_LCIA!K$60)+Transportation_LCIA!K$62</f>
        <v>7.6507967965960943E-3</v>
      </c>
      <c r="AH346" s="137">
        <f>Transportation_LCIA!L$61*($W346^Transportation_LCIA!L$60)+Transportation_LCIA!L$62</f>
        <v>1.3274934633632592E-4</v>
      </c>
      <c r="AI346" s="137">
        <f>Transportation_LCIA!M$61*($W346^Transportation_LCIA!M$60)+Transportation_LCIA!M$62</f>
        <v>1.7902139566772907E-4</v>
      </c>
      <c r="AJ346" s="137">
        <f>Transportation_LCIA!N$61*($W346^Transportation_LCIA!N$60)+Transportation_LCIA!N$62</f>
        <v>5.9562702452397752E-4</v>
      </c>
      <c r="AK346" s="137">
        <f>Transportation_LCIA!O$61*($W346^Transportation_LCIA!O$60)+Transportation_LCIA!O$62</f>
        <v>3.9660589006869174E-5</v>
      </c>
      <c r="AL346" s="137">
        <f>Transportation_LCIA!P$61*($W346^Transportation_LCIA!P$60)+Transportation_LCIA!P$62</f>
        <v>1.9223455374200001E-8</v>
      </c>
      <c r="AM346" s="137">
        <f>Transportation_LCIA!Q$61*($W346^Transportation_LCIA!Q$60)+Transportation_LCIA!Q$62</f>
        <v>5.3174248522355442E-5</v>
      </c>
      <c r="AN346" s="137">
        <f>Transportation_LCIA!R$61*($W346^Transportation_LCIA!R$60)+Transportation_LCIA!R$62</f>
        <v>1.4580221843549912E-4</v>
      </c>
      <c r="AO346" s="137">
        <f>Transportation_LCIA!S$61*($W346^Transportation_LCIA!S$60)+Transportation_LCIA!S$62</f>
        <v>2.3252008516030942E-6</v>
      </c>
      <c r="AP346" s="137">
        <f>Transportation_LCIA!T$61*($W346^Transportation_LCIA!T$60)+Transportation_LCIA!T$62</f>
        <v>2.3252008516030942E-6</v>
      </c>
      <c r="AQ346" s="137">
        <f>Transportation_LCIA!U$61*($W346^Transportation_LCIA!U$60)+Transportation_LCIA!U$62</f>
        <v>3.0741318521569562E-4</v>
      </c>
      <c r="AR346" s="137">
        <f>Transportation_LCIA!V$61*($W346^Transportation_LCIA!V$60)+Transportation_LCIA!V$62</f>
        <v>1.3861468442791629E-4</v>
      </c>
      <c r="AT346" s="137">
        <f>$W346*Y346+$L346*Summary_LCIA!H$32</f>
        <v>467.73727499432255</v>
      </c>
      <c r="AU346" s="137">
        <f>$W346*Z346+$L346*Summary_LCIA!Q$32</f>
        <v>4611.8673810024256</v>
      </c>
      <c r="AV346" s="137">
        <f>$W346*AA346+$L346*Summary_LCIA!R$32</f>
        <v>1.8309629691285529</v>
      </c>
      <c r="AW346" s="137">
        <f>$W346*AB346+$L346*Summary_LCIA!S$32</f>
        <v>467.62428211432257</v>
      </c>
      <c r="AX346" s="137">
        <f>$W346*AC346+$L346*Summary_LCIA!T$32</f>
        <v>108.11940045687103</v>
      </c>
      <c r="AY346" s="137">
        <f>$W346*AD346+$L346*Summary_LCIA!U$32</f>
        <v>0.90489533309318171</v>
      </c>
      <c r="AZ346" s="137">
        <f>$W346*AE346+$L346*Summary_LCIA!V$32</f>
        <v>9.6777206914914725E-3</v>
      </c>
      <c r="BA346" s="137">
        <f>$W346*AF346+$L346*Summary_LCIA!W$32</f>
        <v>14.541157520887827</v>
      </c>
      <c r="BB346" s="137">
        <f>$W346*AG346+$L346*Summary_LCIA!X$32</f>
        <v>21.993989341605101</v>
      </c>
      <c r="BC346" s="137">
        <f>$W346*AH346+$L346*Summary_LCIA!Y$32</f>
        <v>0.76985267692464188</v>
      </c>
      <c r="BD346" s="137">
        <f>$W346*AI346+$L346*Summary_LCIA!Z$32</f>
        <v>0.50206047513221497</v>
      </c>
      <c r="BE346" s="137">
        <f>$W346*AJ346+$L346*Summary_LCIA!AA$32</f>
        <v>2.2640040343240275</v>
      </c>
      <c r="BF346" s="137">
        <f>$W346*AK346+$L346*Summary_LCIA!AB$32</f>
        <v>0.11043687109497406</v>
      </c>
      <c r="BG346" s="137">
        <f>$W346*AL346+$L346*Summary_LCIA!AC$32</f>
        <v>5.5048738084854098E-5</v>
      </c>
      <c r="BH346" s="137">
        <f>$W346*AM346+$L346*Summary_LCIA!AD$32</f>
        <v>0.15932212296511944</v>
      </c>
      <c r="BI346" s="137">
        <f>$W346*AN346+$L346*Summary_LCIA!AE$32</f>
        <v>0.43069743140146671</v>
      </c>
      <c r="BJ346" s="137">
        <f>$W346*AO346+$L346*Summary_LCIA!AF$32</f>
        <v>2.8119660911132376E-2</v>
      </c>
      <c r="BK346" s="137">
        <f>$W346*AP346+$L346*Summary_LCIA!AG$32</f>
        <v>7.8153260911323717E-3</v>
      </c>
      <c r="BL346" s="137">
        <f>$W346*AQ346+$L346*Summary_LCIA!AH$32</f>
        <v>1.0828302527481188</v>
      </c>
      <c r="BM346" s="137">
        <f>$W346*AR346+$L346*Summary_LCIA!AI$32</f>
        <v>0.41174340145853372</v>
      </c>
    </row>
    <row r="347" spans="1:65" x14ac:dyDescent="0.25">
      <c r="A347" s="149">
        <v>306</v>
      </c>
      <c r="B347" s="149">
        <v>6</v>
      </c>
      <c r="C347" s="61">
        <v>45.505105999999998</v>
      </c>
      <c r="D347" s="61">
        <v>-122.675026</v>
      </c>
      <c r="E347" s="61" t="s">
        <v>265</v>
      </c>
      <c r="F347" s="149">
        <v>90</v>
      </c>
      <c r="G347" s="61" t="s">
        <v>277</v>
      </c>
      <c r="H347" s="61" t="s">
        <v>697</v>
      </c>
      <c r="I347" s="61">
        <v>45.589768999999997</v>
      </c>
      <c r="J347" s="61">
        <v>-122.595094</v>
      </c>
      <c r="K347" s="61">
        <v>15.812124730000001</v>
      </c>
      <c r="L347" s="61">
        <v>25.564</v>
      </c>
      <c r="M347" s="61" t="s">
        <v>617</v>
      </c>
      <c r="N347" s="149">
        <v>5</v>
      </c>
      <c r="O347" s="149">
        <v>6</v>
      </c>
      <c r="P347" s="61" t="s">
        <v>565</v>
      </c>
      <c r="Q347" s="61" t="s">
        <v>564</v>
      </c>
      <c r="R347" s="61">
        <v>41.98028</v>
      </c>
      <c r="S347" s="61">
        <v>-87.908997900000003</v>
      </c>
      <c r="T347" s="61">
        <v>3414.4940000000001</v>
      </c>
      <c r="U347" s="61" t="s">
        <v>617</v>
      </c>
      <c r="V347" s="61" t="s">
        <v>569</v>
      </c>
      <c r="W347" s="61" cm="1">
        <f t="array" ref="W347">getDistance(I347,J347,R347,S347)*SA!$B$12</f>
        <v>2798.6158815682211</v>
      </c>
      <c r="X347" s="61"/>
      <c r="Y347" s="137">
        <f>Transportation_LCIA!C$61*($W347^Transportation_LCIA!C$60)+Transportation_LCIA!C$62</f>
        <v>0.16402773628837225</v>
      </c>
      <c r="Z347" s="137">
        <f>Transportation_LCIA!D$61*($W347^Transportation_LCIA!D$60)+Transportation_LCIA!D$62</f>
        <v>1.6026389821027962</v>
      </c>
      <c r="AA347" s="137">
        <f>Transportation_LCIA!E$61*($W347^Transportation_LCIA!E$60)+Transportation_LCIA!E$62</f>
        <v>6.0614005012291691E-4</v>
      </c>
      <c r="AB347" s="137">
        <f>Transportation_LCIA!F$61*($W347^Transportation_LCIA!F$60)+Transportation_LCIA!F$62</f>
        <v>0.16402773628837225</v>
      </c>
      <c r="AC347" s="137">
        <f>Transportation_LCIA!G$61*($W347^Transportation_LCIA!G$60)+Transportation_LCIA!G$62</f>
        <v>3.7629285801758547E-2</v>
      </c>
      <c r="AD347" s="137">
        <f>Transportation_LCIA!H$61*($W347^Transportation_LCIA!H$60)+Transportation_LCIA!H$62</f>
        <v>1.5970102936839448E-4</v>
      </c>
      <c r="AE347" s="137">
        <f>Transportation_LCIA!I$61*($W347^Transportation_LCIA!I$60)+Transportation_LCIA!I$62</f>
        <v>3.0217646312907641E-6</v>
      </c>
      <c r="AF347" s="137">
        <f>Transportation_LCIA!J$61*($W347^Transportation_LCIA!J$60)+Transportation_LCIA!J$62</f>
        <v>4.4927462034704841E-3</v>
      </c>
      <c r="AG347" s="137">
        <f>Transportation_LCIA!K$61*($W347^Transportation_LCIA!K$60)+Transportation_LCIA!K$62</f>
        <v>7.6507967965960943E-3</v>
      </c>
      <c r="AH347" s="137">
        <f>Transportation_LCIA!L$61*($W347^Transportation_LCIA!L$60)+Transportation_LCIA!L$62</f>
        <v>1.3274934633632592E-4</v>
      </c>
      <c r="AI347" s="137">
        <f>Transportation_LCIA!M$61*($W347^Transportation_LCIA!M$60)+Transportation_LCIA!M$62</f>
        <v>1.7902139566772907E-4</v>
      </c>
      <c r="AJ347" s="137">
        <f>Transportation_LCIA!N$61*($W347^Transportation_LCIA!N$60)+Transportation_LCIA!N$62</f>
        <v>5.9562702452397752E-4</v>
      </c>
      <c r="AK347" s="137">
        <f>Transportation_LCIA!O$61*($W347^Transportation_LCIA!O$60)+Transportation_LCIA!O$62</f>
        <v>3.9660589006869174E-5</v>
      </c>
      <c r="AL347" s="137">
        <f>Transportation_LCIA!P$61*($W347^Transportation_LCIA!P$60)+Transportation_LCIA!P$62</f>
        <v>1.9223455374200001E-8</v>
      </c>
      <c r="AM347" s="137">
        <f>Transportation_LCIA!Q$61*($W347^Transportation_LCIA!Q$60)+Transportation_LCIA!Q$62</f>
        <v>5.3174248522355442E-5</v>
      </c>
      <c r="AN347" s="137">
        <f>Transportation_LCIA!R$61*($W347^Transportation_LCIA!R$60)+Transportation_LCIA!R$62</f>
        <v>1.4580221843549912E-4</v>
      </c>
      <c r="AO347" s="137">
        <f>Transportation_LCIA!S$61*($W347^Transportation_LCIA!S$60)+Transportation_LCIA!S$62</f>
        <v>2.3252008516030942E-6</v>
      </c>
      <c r="AP347" s="137">
        <f>Transportation_LCIA!T$61*($W347^Transportation_LCIA!T$60)+Transportation_LCIA!T$62</f>
        <v>2.3252008516030942E-6</v>
      </c>
      <c r="AQ347" s="137">
        <f>Transportation_LCIA!U$61*($W347^Transportation_LCIA!U$60)+Transportation_LCIA!U$62</f>
        <v>3.0741318521569562E-4</v>
      </c>
      <c r="AR347" s="137">
        <f>Transportation_LCIA!V$61*($W347^Transportation_LCIA!V$60)+Transportation_LCIA!V$62</f>
        <v>1.3861468442791629E-4</v>
      </c>
      <c r="AT347" s="137">
        <f>$W347*Y347+$L347*Summary_LCIA!H$32</f>
        <v>467.73727499432255</v>
      </c>
      <c r="AU347" s="137">
        <f>$W347*Z347+$L347*Summary_LCIA!Q$32</f>
        <v>4611.8673810024256</v>
      </c>
      <c r="AV347" s="137">
        <f>$W347*AA347+$L347*Summary_LCIA!R$32</f>
        <v>1.8309629691285529</v>
      </c>
      <c r="AW347" s="137">
        <f>$W347*AB347+$L347*Summary_LCIA!S$32</f>
        <v>467.62428211432257</v>
      </c>
      <c r="AX347" s="137">
        <f>$W347*AC347+$L347*Summary_LCIA!T$32</f>
        <v>108.11940045687103</v>
      </c>
      <c r="AY347" s="137">
        <f>$W347*AD347+$L347*Summary_LCIA!U$32</f>
        <v>0.90489533309318171</v>
      </c>
      <c r="AZ347" s="137">
        <f>$W347*AE347+$L347*Summary_LCIA!V$32</f>
        <v>9.6777206914914725E-3</v>
      </c>
      <c r="BA347" s="137">
        <f>$W347*AF347+$L347*Summary_LCIA!W$32</f>
        <v>14.541157520887827</v>
      </c>
      <c r="BB347" s="137">
        <f>$W347*AG347+$L347*Summary_LCIA!X$32</f>
        <v>21.993989341605101</v>
      </c>
      <c r="BC347" s="137">
        <f>$W347*AH347+$L347*Summary_LCIA!Y$32</f>
        <v>0.76985267692464188</v>
      </c>
      <c r="BD347" s="137">
        <f>$W347*AI347+$L347*Summary_LCIA!Z$32</f>
        <v>0.50206047513221497</v>
      </c>
      <c r="BE347" s="137">
        <f>$W347*AJ347+$L347*Summary_LCIA!AA$32</f>
        <v>2.2640040343240275</v>
      </c>
      <c r="BF347" s="137">
        <f>$W347*AK347+$L347*Summary_LCIA!AB$32</f>
        <v>0.11043687109497406</v>
      </c>
      <c r="BG347" s="137">
        <f>$W347*AL347+$L347*Summary_LCIA!AC$32</f>
        <v>5.5048738084854098E-5</v>
      </c>
      <c r="BH347" s="137">
        <f>$W347*AM347+$L347*Summary_LCIA!AD$32</f>
        <v>0.15932212296511944</v>
      </c>
      <c r="BI347" s="137">
        <f>$W347*AN347+$L347*Summary_LCIA!AE$32</f>
        <v>0.43069743140146671</v>
      </c>
      <c r="BJ347" s="137">
        <f>$W347*AO347+$L347*Summary_LCIA!AF$32</f>
        <v>2.8119660911132376E-2</v>
      </c>
      <c r="BK347" s="137">
        <f>$W347*AP347+$L347*Summary_LCIA!AG$32</f>
        <v>7.8153260911323717E-3</v>
      </c>
      <c r="BL347" s="137">
        <f>$W347*AQ347+$L347*Summary_LCIA!AH$32</f>
        <v>1.0828302527481188</v>
      </c>
      <c r="BM347" s="137">
        <f>$W347*AR347+$L347*Summary_LCIA!AI$32</f>
        <v>0.41174340145853372</v>
      </c>
    </row>
    <row r="348" spans="1:65" x14ac:dyDescent="0.25">
      <c r="A348" s="149">
        <v>328</v>
      </c>
      <c r="B348" s="149">
        <v>6</v>
      </c>
      <c r="C348" s="61">
        <v>37.774929</v>
      </c>
      <c r="D348" s="61">
        <v>-122.419415</v>
      </c>
      <c r="E348" s="61" t="s">
        <v>265</v>
      </c>
      <c r="F348" s="149">
        <v>99</v>
      </c>
      <c r="G348" s="61" t="s">
        <v>623</v>
      </c>
      <c r="H348" s="61" t="s">
        <v>624</v>
      </c>
      <c r="I348" s="61">
        <v>37.712569000000002</v>
      </c>
      <c r="J348" s="61">
        <v>-122.21974299999999</v>
      </c>
      <c r="K348" s="61">
        <v>31.718590620000001</v>
      </c>
      <c r="L348" s="61">
        <v>34.848999999999997</v>
      </c>
      <c r="M348" s="61" t="s">
        <v>617</v>
      </c>
      <c r="N348" s="149">
        <v>5</v>
      </c>
      <c r="O348" s="149">
        <v>6</v>
      </c>
      <c r="P348" s="61" t="s">
        <v>565</v>
      </c>
      <c r="Q348" s="61" t="s">
        <v>564</v>
      </c>
      <c r="R348" s="61">
        <v>41.98028</v>
      </c>
      <c r="S348" s="61">
        <v>-87.908997900000003</v>
      </c>
      <c r="T348" s="61">
        <v>3421.5639999999999</v>
      </c>
      <c r="U348" s="61" t="s">
        <v>617</v>
      </c>
      <c r="V348" s="61" t="s">
        <v>569</v>
      </c>
      <c r="W348" s="61" cm="1">
        <f t="array" ref="W348">getDistance(I348,J348,R348,S348)*SA!$B$12</f>
        <v>2954.4739870823373</v>
      </c>
      <c r="X348" s="61"/>
      <c r="Y348" s="137">
        <f>Transportation_LCIA!C$61*($W348^Transportation_LCIA!C$60)+Transportation_LCIA!C$62</f>
        <v>0.16171000383695877</v>
      </c>
      <c r="Z348" s="137">
        <f>Transportation_LCIA!D$61*($W348^Transportation_LCIA!D$60)+Transportation_LCIA!D$62</f>
        <v>1.5768081231698678</v>
      </c>
      <c r="AA348" s="137">
        <f>Transportation_LCIA!E$61*($W348^Transportation_LCIA!E$60)+Transportation_LCIA!E$62</f>
        <v>5.8937497149571638E-4</v>
      </c>
      <c r="AB348" s="137">
        <f>Transportation_LCIA!F$61*($W348^Transportation_LCIA!F$60)+Transportation_LCIA!F$62</f>
        <v>0.16171000383695877</v>
      </c>
      <c r="AC348" s="137">
        <f>Transportation_LCIA!G$61*($W348^Transportation_LCIA!G$60)+Transportation_LCIA!G$62</f>
        <v>3.7030062493754762E-2</v>
      </c>
      <c r="AD348" s="137">
        <f>Transportation_LCIA!H$61*($W348^Transportation_LCIA!H$60)+Transportation_LCIA!H$62</f>
        <v>1.561077677297297E-4</v>
      </c>
      <c r="AE348" s="137">
        <f>Transportation_LCIA!I$61*($W348^Transportation_LCIA!I$60)+Transportation_LCIA!I$62</f>
        <v>2.9349580057496198E-6</v>
      </c>
      <c r="AF348" s="137">
        <f>Transportation_LCIA!J$61*($W348^Transportation_LCIA!J$60)+Transportation_LCIA!J$62</f>
        <v>4.3668990356380832E-3</v>
      </c>
      <c r="AG348" s="137">
        <f>Transportation_LCIA!K$61*($W348^Transportation_LCIA!K$60)+Transportation_LCIA!K$62</f>
        <v>7.514134281168993E-3</v>
      </c>
      <c r="AH348" s="137">
        <f>Transportation_LCIA!L$61*($W348^Transportation_LCIA!L$60)+Transportation_LCIA!L$62</f>
        <v>1.2948442746469057E-4</v>
      </c>
      <c r="AI348" s="137">
        <f>Transportation_LCIA!M$61*($W348^Transportation_LCIA!M$60)+Transportation_LCIA!M$62</f>
        <v>1.7704106673904082E-4</v>
      </c>
      <c r="AJ348" s="137">
        <f>Transportation_LCIA!N$61*($W348^Transportation_LCIA!N$60)+Transportation_LCIA!N$62</f>
        <v>5.8350629075465312E-4</v>
      </c>
      <c r="AK348" s="137">
        <f>Transportation_LCIA!O$61*($W348^Transportation_LCIA!O$60)+Transportation_LCIA!O$62</f>
        <v>3.9024642261370346E-5</v>
      </c>
      <c r="AL348" s="137">
        <f>Transportation_LCIA!P$61*($W348^Transportation_LCIA!P$60)+Transportation_LCIA!P$62</f>
        <v>1.8916650124927199E-8</v>
      </c>
      <c r="AM348" s="137">
        <f>Transportation_LCIA!Q$61*($W348^Transportation_LCIA!Q$60)+Transportation_LCIA!Q$62</f>
        <v>5.1905696061339208E-5</v>
      </c>
      <c r="AN348" s="137">
        <f>Transportation_LCIA!R$61*($W348^Transportation_LCIA!R$60)+Transportation_LCIA!R$62</f>
        <v>1.4164372298406882E-4</v>
      </c>
      <c r="AO348" s="137">
        <f>Transportation_LCIA!S$61*($W348^Transportation_LCIA!S$60)+Transportation_LCIA!S$62</f>
        <v>2.2660740884116371E-6</v>
      </c>
      <c r="AP348" s="137">
        <f>Transportation_LCIA!T$61*($W348^Transportation_LCIA!T$60)+Transportation_LCIA!T$62</f>
        <v>2.2660740884116371E-6</v>
      </c>
      <c r="AQ348" s="137">
        <f>Transportation_LCIA!U$61*($W348^Transportation_LCIA!U$60)+Transportation_LCIA!U$62</f>
        <v>2.9836447337514829E-4</v>
      </c>
      <c r="AR348" s="137">
        <f>Transportation_LCIA!V$61*($W348^Transportation_LCIA!V$60)+Transportation_LCIA!V$62</f>
        <v>1.3534131853002178E-4</v>
      </c>
      <c r="AT348" s="137">
        <f>$W348*Y348+$L348*Summary_LCIA!H$32</f>
        <v>489.60968998727964</v>
      </c>
      <c r="AU348" s="137">
        <f>$W348*Z348+$L348*Summary_LCIA!Q$32</f>
        <v>4831.3519840651134</v>
      </c>
      <c r="AV348" s="137">
        <f>$W348*AA348+$L348*Summary_LCIA!R$32</f>
        <v>1.9247939163214882</v>
      </c>
      <c r="AW348" s="137">
        <f>$W348*AB348+$L348*Summary_LCIA!S$32</f>
        <v>489.4556574072796</v>
      </c>
      <c r="AX348" s="137">
        <f>$W348*AC348+$L348*Summary_LCIA!T$32</f>
        <v>113.23426147783175</v>
      </c>
      <c r="AY348" s="137">
        <f>$W348*AD348+$L348*Summary_LCIA!U$32</f>
        <v>1.0855013249389778</v>
      </c>
      <c r="AZ348" s="137">
        <f>$W348*AE348+$L348*Summary_LCIA!V$32</f>
        <v>1.0335680170166305E-2</v>
      </c>
      <c r="BA348" s="137">
        <f>$W348*AF348+$L348*Summary_LCIA!W$32</f>
        <v>15.584251984007661</v>
      </c>
      <c r="BB348" s="137">
        <f>$W348*AG348+$L348*Summary_LCIA!X$32</f>
        <v>22.994174489157427</v>
      </c>
      <c r="BC348" s="137">
        <f>$W348*AH348+$L348*Summary_LCIA!Y$32</f>
        <v>0.92557549067667799</v>
      </c>
      <c r="BD348" s="137">
        <f>$W348*AI348+$L348*Summary_LCIA!Z$32</f>
        <v>0.52449234896680419</v>
      </c>
      <c r="BE348" s="137">
        <f>$W348*AJ348+$L348*Summary_LCIA!AA$32</f>
        <v>2.5378874013335255</v>
      </c>
      <c r="BF348" s="137">
        <f>$W348*AK348+$L348*Summary_LCIA!AB$32</f>
        <v>0.11453678068941273</v>
      </c>
      <c r="BG348" s="137">
        <f>$W348*AL348+$L348*Summary_LCIA!AC$32</f>
        <v>5.7592309232835261E-5</v>
      </c>
      <c r="BH348" s="137">
        <f>$W348*AM348+$L348*Summary_LCIA!AD$32</f>
        <v>0.1676783617546288</v>
      </c>
      <c r="BI348" s="137">
        <f>$W348*AN348+$L348*Summary_LCIA!AE$32</f>
        <v>0.4493634393599279</v>
      </c>
      <c r="BJ348" s="137">
        <f>$W348*AO348+$L348*Summary_LCIA!AF$32</f>
        <v>3.6157098527013501E-2</v>
      </c>
      <c r="BK348" s="137">
        <f>$W348*AP348+$L348*Summary_LCIA!AG$32</f>
        <v>8.4781060320135021E-3</v>
      </c>
      <c r="BL348" s="137">
        <f>$W348*AQ348+$L348*Summary_LCIA!AH$32</f>
        <v>1.1848218316563961</v>
      </c>
      <c r="BM348" s="137">
        <f>$W348*AR348+$L348*Summary_LCIA!AI$32</f>
        <v>0.43232599092437407</v>
      </c>
    </row>
    <row r="349" spans="1:65" x14ac:dyDescent="0.25">
      <c r="A349" s="149">
        <v>201</v>
      </c>
      <c r="B349" s="149">
        <v>6</v>
      </c>
      <c r="C349" s="61">
        <v>44.564565999999999</v>
      </c>
      <c r="D349" s="61">
        <v>-123.262044</v>
      </c>
      <c r="E349" s="61" t="s">
        <v>265</v>
      </c>
      <c r="F349" s="149">
        <v>90</v>
      </c>
      <c r="G349" s="61" t="s">
        <v>277</v>
      </c>
      <c r="H349" s="61" t="s">
        <v>697</v>
      </c>
      <c r="I349" s="61">
        <v>45.589768999999997</v>
      </c>
      <c r="J349" s="61">
        <v>-122.595094</v>
      </c>
      <c r="K349" s="61">
        <v>197.87946479999999</v>
      </c>
      <c r="L349" s="61">
        <v>153.494</v>
      </c>
      <c r="M349" s="61" t="s">
        <v>617</v>
      </c>
      <c r="N349" s="149">
        <v>5</v>
      </c>
      <c r="O349" s="149">
        <v>6</v>
      </c>
      <c r="P349" s="61" t="s">
        <v>565</v>
      </c>
      <c r="Q349" s="61" t="s">
        <v>564</v>
      </c>
      <c r="R349" s="61">
        <v>41.98028</v>
      </c>
      <c r="S349" s="61">
        <v>-87.908997900000003</v>
      </c>
      <c r="T349" s="61">
        <v>3432.0349999999999</v>
      </c>
      <c r="U349" s="61" t="s">
        <v>617</v>
      </c>
      <c r="V349" s="61" t="s">
        <v>569</v>
      </c>
      <c r="W349" s="61" cm="1">
        <f t="array" ref="W349">getDistance(I349,J349,R349,S349)*SA!$B$12</f>
        <v>2798.6158815682211</v>
      </c>
      <c r="X349" s="61"/>
      <c r="Y349" s="137">
        <f>Transportation_LCIA!C$61*($W349^Transportation_LCIA!C$60)+Transportation_LCIA!C$62</f>
        <v>0.16402773628837225</v>
      </c>
      <c r="Z349" s="137">
        <f>Transportation_LCIA!D$61*($W349^Transportation_LCIA!D$60)+Transportation_LCIA!D$62</f>
        <v>1.6026389821027962</v>
      </c>
      <c r="AA349" s="137">
        <f>Transportation_LCIA!E$61*($W349^Transportation_LCIA!E$60)+Transportation_LCIA!E$62</f>
        <v>6.0614005012291691E-4</v>
      </c>
      <c r="AB349" s="137">
        <f>Transportation_LCIA!F$61*($W349^Transportation_LCIA!F$60)+Transportation_LCIA!F$62</f>
        <v>0.16402773628837225</v>
      </c>
      <c r="AC349" s="137">
        <f>Transportation_LCIA!G$61*($W349^Transportation_LCIA!G$60)+Transportation_LCIA!G$62</f>
        <v>3.7629285801758547E-2</v>
      </c>
      <c r="AD349" s="137">
        <f>Transportation_LCIA!H$61*($W349^Transportation_LCIA!H$60)+Transportation_LCIA!H$62</f>
        <v>1.5970102936839448E-4</v>
      </c>
      <c r="AE349" s="137">
        <f>Transportation_LCIA!I$61*($W349^Transportation_LCIA!I$60)+Transportation_LCIA!I$62</f>
        <v>3.0217646312907641E-6</v>
      </c>
      <c r="AF349" s="137">
        <f>Transportation_LCIA!J$61*($W349^Transportation_LCIA!J$60)+Transportation_LCIA!J$62</f>
        <v>4.4927462034704841E-3</v>
      </c>
      <c r="AG349" s="137">
        <f>Transportation_LCIA!K$61*($W349^Transportation_LCIA!K$60)+Transportation_LCIA!K$62</f>
        <v>7.6507967965960943E-3</v>
      </c>
      <c r="AH349" s="137">
        <f>Transportation_LCIA!L$61*($W349^Transportation_LCIA!L$60)+Transportation_LCIA!L$62</f>
        <v>1.3274934633632592E-4</v>
      </c>
      <c r="AI349" s="137">
        <f>Transportation_LCIA!M$61*($W349^Transportation_LCIA!M$60)+Transportation_LCIA!M$62</f>
        <v>1.7902139566772907E-4</v>
      </c>
      <c r="AJ349" s="137">
        <f>Transportation_LCIA!N$61*($W349^Transportation_LCIA!N$60)+Transportation_LCIA!N$62</f>
        <v>5.9562702452397752E-4</v>
      </c>
      <c r="AK349" s="137">
        <f>Transportation_LCIA!O$61*($W349^Transportation_LCIA!O$60)+Transportation_LCIA!O$62</f>
        <v>3.9660589006869174E-5</v>
      </c>
      <c r="AL349" s="137">
        <f>Transportation_LCIA!P$61*($W349^Transportation_LCIA!P$60)+Transportation_LCIA!P$62</f>
        <v>1.9223455374200001E-8</v>
      </c>
      <c r="AM349" s="137">
        <f>Transportation_LCIA!Q$61*($W349^Transportation_LCIA!Q$60)+Transportation_LCIA!Q$62</f>
        <v>5.3174248522355442E-5</v>
      </c>
      <c r="AN349" s="137">
        <f>Transportation_LCIA!R$61*($W349^Transportation_LCIA!R$60)+Transportation_LCIA!R$62</f>
        <v>1.4580221843549912E-4</v>
      </c>
      <c r="AO349" s="137">
        <f>Transportation_LCIA!S$61*($W349^Transportation_LCIA!S$60)+Transportation_LCIA!S$62</f>
        <v>2.3252008516030942E-6</v>
      </c>
      <c r="AP349" s="137">
        <f>Transportation_LCIA!T$61*($W349^Transportation_LCIA!T$60)+Transportation_LCIA!T$62</f>
        <v>2.3252008516030942E-6</v>
      </c>
      <c r="AQ349" s="137">
        <f>Transportation_LCIA!U$61*($W349^Transportation_LCIA!U$60)+Transportation_LCIA!U$62</f>
        <v>3.0741318521569562E-4</v>
      </c>
      <c r="AR349" s="137">
        <f>Transportation_LCIA!V$61*($W349^Transportation_LCIA!V$60)+Transportation_LCIA!V$62</f>
        <v>1.3861468442791629E-4</v>
      </c>
      <c r="AT349" s="137">
        <f>$W349*Y349+$L349*Summary_LCIA!H$32</f>
        <v>511.20788899432256</v>
      </c>
      <c r="AU349" s="137">
        <f>$W349*Z349+$L349*Summary_LCIA!Q$32</f>
        <v>5245.8949128961158</v>
      </c>
      <c r="AV349" s="137">
        <f>$W349*AA349+$L349*Summary_LCIA!R$32</f>
        <v>2.5045911771285527</v>
      </c>
      <c r="AW349" s="137">
        <f>$W349*AB349+$L349*Summary_LCIA!S$32</f>
        <v>510.52944551432256</v>
      </c>
      <c r="AX349" s="137">
        <f>$W349*AC349+$L349*Summary_LCIA!T$32</f>
        <v>122.17890745687104</v>
      </c>
      <c r="AY349" s="137">
        <f>$W349*AD349+$L349*Summary_LCIA!U$32</f>
        <v>3.1966333530931816</v>
      </c>
      <c r="AZ349" s="137">
        <f>$W349*AE349+$L349*Summary_LCIA!V$32</f>
        <v>1.5787785421491472E-2</v>
      </c>
      <c r="BA349" s="137">
        <f>$W349*AF349+$L349*Summary_LCIA!W$32</f>
        <v>24.388057550887826</v>
      </c>
      <c r="BB349" s="137">
        <f>$W349*AG349+$L349*Summary_LCIA!X$32</f>
        <v>24.908234741605099</v>
      </c>
      <c r="BC349" s="137">
        <f>$W349*AH349+$L349*Summary_LCIA!Y$32</f>
        <v>2.7632579369246422</v>
      </c>
      <c r="BD349" s="137">
        <f>$W349*AI349+$L349*Summary_LCIA!Z$32</f>
        <v>0.50730675650221491</v>
      </c>
      <c r="BE349" s="137">
        <f>$W349*AJ349+$L349*Summary_LCIA!AA$32</f>
        <v>5.2519371143240274</v>
      </c>
      <c r="BF349" s="137">
        <f>$W349*AK349+$L349*Summary_LCIA!AB$32</f>
        <v>0.10764505470497407</v>
      </c>
      <c r="BG349" s="137">
        <f>$W349*AL349+$L349*Summary_LCIA!AC$32</f>
        <v>6.1302468204854095E-5</v>
      </c>
      <c r="BH349" s="137">
        <f>$W349*AM349+$L349*Summary_LCIA!AD$32</f>
        <v>0.21190647016511943</v>
      </c>
      <c r="BI349" s="137">
        <f>$W349*AN349+$L349*Summary_LCIA!AE$32</f>
        <v>0.54406004230146665</v>
      </c>
      <c r="BJ349" s="137">
        <f>$W349*AO349+$L349*Summary_LCIA!AF$32</f>
        <v>0.13627424151113238</v>
      </c>
      <c r="BK349" s="137">
        <f>$W349*AP349+$L349*Summary_LCIA!AG$32</f>
        <v>1.4360864541132373E-2</v>
      </c>
      <c r="BL349" s="137">
        <f>$W349*AQ349+$L349*Summary_LCIA!AH$32</f>
        <v>2.1962818007481193</v>
      </c>
      <c r="BM349" s="137">
        <f>$W349*AR349+$L349*Summary_LCIA!AI$32</f>
        <v>0.53091659295853377</v>
      </c>
    </row>
    <row r="350" spans="1:65" x14ac:dyDescent="0.25">
      <c r="A350" s="149">
        <v>202</v>
      </c>
      <c r="B350" s="149">
        <v>6</v>
      </c>
      <c r="C350" s="61">
        <v>44.564565999999999</v>
      </c>
      <c r="D350" s="61">
        <v>-123.262044</v>
      </c>
      <c r="E350" s="61" t="s">
        <v>265</v>
      </c>
      <c r="F350" s="149">
        <v>90</v>
      </c>
      <c r="G350" s="61" t="s">
        <v>277</v>
      </c>
      <c r="H350" s="61" t="s">
        <v>697</v>
      </c>
      <c r="I350" s="61">
        <v>45.589768999999997</v>
      </c>
      <c r="J350" s="61">
        <v>-122.595094</v>
      </c>
      <c r="K350" s="61">
        <v>197.87946479999999</v>
      </c>
      <c r="L350" s="61">
        <v>153.494</v>
      </c>
      <c r="M350" s="61" t="s">
        <v>617</v>
      </c>
      <c r="N350" s="149">
        <v>5</v>
      </c>
      <c r="O350" s="149">
        <v>6</v>
      </c>
      <c r="P350" s="61" t="s">
        <v>565</v>
      </c>
      <c r="Q350" s="61" t="s">
        <v>564</v>
      </c>
      <c r="R350" s="61">
        <v>41.98028</v>
      </c>
      <c r="S350" s="61">
        <v>-87.908997900000003</v>
      </c>
      <c r="T350" s="61">
        <v>3432.0349999999999</v>
      </c>
      <c r="U350" s="61" t="s">
        <v>617</v>
      </c>
      <c r="V350" s="61" t="s">
        <v>569</v>
      </c>
      <c r="W350" s="61" cm="1">
        <f t="array" ref="W350">getDistance(I350,J350,R350,S350)*SA!$B$12</f>
        <v>2798.6158815682211</v>
      </c>
      <c r="X350" s="61"/>
      <c r="Y350" s="137">
        <f>Transportation_LCIA!C$61*($W350^Transportation_LCIA!C$60)+Transportation_LCIA!C$62</f>
        <v>0.16402773628837225</v>
      </c>
      <c r="Z350" s="137">
        <f>Transportation_LCIA!D$61*($W350^Transportation_LCIA!D$60)+Transportation_LCIA!D$62</f>
        <v>1.6026389821027962</v>
      </c>
      <c r="AA350" s="137">
        <f>Transportation_LCIA!E$61*($W350^Transportation_LCIA!E$60)+Transportation_LCIA!E$62</f>
        <v>6.0614005012291691E-4</v>
      </c>
      <c r="AB350" s="137">
        <f>Transportation_LCIA!F$61*($W350^Transportation_LCIA!F$60)+Transportation_LCIA!F$62</f>
        <v>0.16402773628837225</v>
      </c>
      <c r="AC350" s="137">
        <f>Transportation_LCIA!G$61*($W350^Transportation_LCIA!G$60)+Transportation_LCIA!G$62</f>
        <v>3.7629285801758547E-2</v>
      </c>
      <c r="AD350" s="137">
        <f>Transportation_LCIA!H$61*($W350^Transportation_LCIA!H$60)+Transportation_LCIA!H$62</f>
        <v>1.5970102936839448E-4</v>
      </c>
      <c r="AE350" s="137">
        <f>Transportation_LCIA!I$61*($W350^Transportation_LCIA!I$60)+Transportation_LCIA!I$62</f>
        <v>3.0217646312907641E-6</v>
      </c>
      <c r="AF350" s="137">
        <f>Transportation_LCIA!J$61*($W350^Transportation_LCIA!J$60)+Transportation_LCIA!J$62</f>
        <v>4.4927462034704841E-3</v>
      </c>
      <c r="AG350" s="137">
        <f>Transportation_LCIA!K$61*($W350^Transportation_LCIA!K$60)+Transportation_LCIA!K$62</f>
        <v>7.6507967965960943E-3</v>
      </c>
      <c r="AH350" s="137">
        <f>Transportation_LCIA!L$61*($W350^Transportation_LCIA!L$60)+Transportation_LCIA!L$62</f>
        <v>1.3274934633632592E-4</v>
      </c>
      <c r="AI350" s="137">
        <f>Transportation_LCIA!M$61*($W350^Transportation_LCIA!M$60)+Transportation_LCIA!M$62</f>
        <v>1.7902139566772907E-4</v>
      </c>
      <c r="AJ350" s="137">
        <f>Transportation_LCIA!N$61*($W350^Transportation_LCIA!N$60)+Transportation_LCIA!N$62</f>
        <v>5.9562702452397752E-4</v>
      </c>
      <c r="AK350" s="137">
        <f>Transportation_LCIA!O$61*($W350^Transportation_LCIA!O$60)+Transportation_LCIA!O$62</f>
        <v>3.9660589006869174E-5</v>
      </c>
      <c r="AL350" s="137">
        <f>Transportation_LCIA!P$61*($W350^Transportation_LCIA!P$60)+Transportation_LCIA!P$62</f>
        <v>1.9223455374200001E-8</v>
      </c>
      <c r="AM350" s="137">
        <f>Transportation_LCIA!Q$61*($W350^Transportation_LCIA!Q$60)+Transportation_LCIA!Q$62</f>
        <v>5.3174248522355442E-5</v>
      </c>
      <c r="AN350" s="137">
        <f>Transportation_LCIA!R$61*($W350^Transportation_LCIA!R$60)+Transportation_LCIA!R$62</f>
        <v>1.4580221843549912E-4</v>
      </c>
      <c r="AO350" s="137">
        <f>Transportation_LCIA!S$61*($W350^Transportation_LCIA!S$60)+Transportation_LCIA!S$62</f>
        <v>2.3252008516030942E-6</v>
      </c>
      <c r="AP350" s="137">
        <f>Transportation_LCIA!T$61*($W350^Transportation_LCIA!T$60)+Transportation_LCIA!T$62</f>
        <v>2.3252008516030942E-6</v>
      </c>
      <c r="AQ350" s="137">
        <f>Transportation_LCIA!U$61*($W350^Transportation_LCIA!U$60)+Transportation_LCIA!U$62</f>
        <v>3.0741318521569562E-4</v>
      </c>
      <c r="AR350" s="137">
        <f>Transportation_LCIA!V$61*($W350^Transportation_LCIA!V$60)+Transportation_LCIA!V$62</f>
        <v>1.3861468442791629E-4</v>
      </c>
      <c r="AT350" s="137">
        <f>$W350*Y350+$L350*Summary_LCIA!H$32</f>
        <v>511.20788899432256</v>
      </c>
      <c r="AU350" s="137">
        <f>$W350*Z350+$L350*Summary_LCIA!Q$32</f>
        <v>5245.8949128961158</v>
      </c>
      <c r="AV350" s="137">
        <f>$W350*AA350+$L350*Summary_LCIA!R$32</f>
        <v>2.5045911771285527</v>
      </c>
      <c r="AW350" s="137">
        <f>$W350*AB350+$L350*Summary_LCIA!S$32</f>
        <v>510.52944551432256</v>
      </c>
      <c r="AX350" s="137">
        <f>$W350*AC350+$L350*Summary_LCIA!T$32</f>
        <v>122.17890745687104</v>
      </c>
      <c r="AY350" s="137">
        <f>$W350*AD350+$L350*Summary_LCIA!U$32</f>
        <v>3.1966333530931816</v>
      </c>
      <c r="AZ350" s="137">
        <f>$W350*AE350+$L350*Summary_LCIA!V$32</f>
        <v>1.5787785421491472E-2</v>
      </c>
      <c r="BA350" s="137">
        <f>$W350*AF350+$L350*Summary_LCIA!W$32</f>
        <v>24.388057550887826</v>
      </c>
      <c r="BB350" s="137">
        <f>$W350*AG350+$L350*Summary_LCIA!X$32</f>
        <v>24.908234741605099</v>
      </c>
      <c r="BC350" s="137">
        <f>$W350*AH350+$L350*Summary_LCIA!Y$32</f>
        <v>2.7632579369246422</v>
      </c>
      <c r="BD350" s="137">
        <f>$W350*AI350+$L350*Summary_LCIA!Z$32</f>
        <v>0.50730675650221491</v>
      </c>
      <c r="BE350" s="137">
        <f>$W350*AJ350+$L350*Summary_LCIA!AA$32</f>
        <v>5.2519371143240274</v>
      </c>
      <c r="BF350" s="137">
        <f>$W350*AK350+$L350*Summary_LCIA!AB$32</f>
        <v>0.10764505470497407</v>
      </c>
      <c r="BG350" s="137">
        <f>$W350*AL350+$L350*Summary_LCIA!AC$32</f>
        <v>6.1302468204854095E-5</v>
      </c>
      <c r="BH350" s="137">
        <f>$W350*AM350+$L350*Summary_LCIA!AD$32</f>
        <v>0.21190647016511943</v>
      </c>
      <c r="BI350" s="137">
        <f>$W350*AN350+$L350*Summary_LCIA!AE$32</f>
        <v>0.54406004230146665</v>
      </c>
      <c r="BJ350" s="137">
        <f>$W350*AO350+$L350*Summary_LCIA!AF$32</f>
        <v>0.13627424151113238</v>
      </c>
      <c r="BK350" s="137">
        <f>$W350*AP350+$L350*Summary_LCIA!AG$32</f>
        <v>1.4360864541132373E-2</v>
      </c>
      <c r="BL350" s="137">
        <f>$W350*AQ350+$L350*Summary_LCIA!AH$32</f>
        <v>2.1962818007481193</v>
      </c>
      <c r="BM350" s="137">
        <f>$W350*AR350+$L350*Summary_LCIA!AI$32</f>
        <v>0.53091659295853377</v>
      </c>
    </row>
    <row r="351" spans="1:65" x14ac:dyDescent="0.25">
      <c r="A351" s="149">
        <v>199</v>
      </c>
      <c r="B351" s="149">
        <v>6</v>
      </c>
      <c r="C351" s="61">
        <v>44.564272000000003</v>
      </c>
      <c r="D351" s="61">
        <v>-123.278594</v>
      </c>
      <c r="E351" s="61" t="s">
        <v>265</v>
      </c>
      <c r="F351" s="149">
        <v>90</v>
      </c>
      <c r="G351" s="61" t="s">
        <v>277</v>
      </c>
      <c r="H351" s="61" t="s">
        <v>697</v>
      </c>
      <c r="I351" s="61">
        <v>45.589768999999997</v>
      </c>
      <c r="J351" s="61">
        <v>-122.595094</v>
      </c>
      <c r="K351" s="61">
        <v>197.4951184</v>
      </c>
      <c r="L351" s="61">
        <v>155.84200000000001</v>
      </c>
      <c r="M351" s="61" t="s">
        <v>617</v>
      </c>
      <c r="N351" s="149">
        <v>5</v>
      </c>
      <c r="O351" s="149">
        <v>6</v>
      </c>
      <c r="P351" s="61" t="s">
        <v>565</v>
      </c>
      <c r="Q351" s="61" t="s">
        <v>564</v>
      </c>
      <c r="R351" s="61">
        <v>41.98028</v>
      </c>
      <c r="S351" s="61">
        <v>-87.908997900000003</v>
      </c>
      <c r="T351" s="61">
        <v>3434.384</v>
      </c>
      <c r="U351" s="61" t="s">
        <v>617</v>
      </c>
      <c r="V351" s="61" t="s">
        <v>569</v>
      </c>
      <c r="W351" s="61" cm="1">
        <f t="array" ref="W351">getDistance(I351,J351,R351,S351)*SA!$B$12</f>
        <v>2798.6158815682211</v>
      </c>
      <c r="X351" s="61"/>
      <c r="Y351" s="137">
        <f>Transportation_LCIA!C$61*($W351^Transportation_LCIA!C$60)+Transportation_LCIA!C$62</f>
        <v>0.16402773628837225</v>
      </c>
      <c r="Z351" s="137">
        <f>Transportation_LCIA!D$61*($W351^Transportation_LCIA!D$60)+Transportation_LCIA!D$62</f>
        <v>1.6026389821027962</v>
      </c>
      <c r="AA351" s="137">
        <f>Transportation_LCIA!E$61*($W351^Transportation_LCIA!E$60)+Transportation_LCIA!E$62</f>
        <v>6.0614005012291691E-4</v>
      </c>
      <c r="AB351" s="137">
        <f>Transportation_LCIA!F$61*($W351^Transportation_LCIA!F$60)+Transportation_LCIA!F$62</f>
        <v>0.16402773628837225</v>
      </c>
      <c r="AC351" s="137">
        <f>Transportation_LCIA!G$61*($W351^Transportation_LCIA!G$60)+Transportation_LCIA!G$62</f>
        <v>3.7629285801758547E-2</v>
      </c>
      <c r="AD351" s="137">
        <f>Transportation_LCIA!H$61*($W351^Transportation_LCIA!H$60)+Transportation_LCIA!H$62</f>
        <v>1.5970102936839448E-4</v>
      </c>
      <c r="AE351" s="137">
        <f>Transportation_LCIA!I$61*($W351^Transportation_LCIA!I$60)+Transportation_LCIA!I$62</f>
        <v>3.0217646312907641E-6</v>
      </c>
      <c r="AF351" s="137">
        <f>Transportation_LCIA!J$61*($W351^Transportation_LCIA!J$60)+Transportation_LCIA!J$62</f>
        <v>4.4927462034704841E-3</v>
      </c>
      <c r="AG351" s="137">
        <f>Transportation_LCIA!K$61*($W351^Transportation_LCIA!K$60)+Transportation_LCIA!K$62</f>
        <v>7.6507967965960943E-3</v>
      </c>
      <c r="AH351" s="137">
        <f>Transportation_LCIA!L$61*($W351^Transportation_LCIA!L$60)+Transportation_LCIA!L$62</f>
        <v>1.3274934633632592E-4</v>
      </c>
      <c r="AI351" s="137">
        <f>Transportation_LCIA!M$61*($W351^Transportation_LCIA!M$60)+Transportation_LCIA!M$62</f>
        <v>1.7902139566772907E-4</v>
      </c>
      <c r="AJ351" s="137">
        <f>Transportation_LCIA!N$61*($W351^Transportation_LCIA!N$60)+Transportation_LCIA!N$62</f>
        <v>5.9562702452397752E-4</v>
      </c>
      <c r="AK351" s="137">
        <f>Transportation_LCIA!O$61*($W351^Transportation_LCIA!O$60)+Transportation_LCIA!O$62</f>
        <v>3.9660589006869174E-5</v>
      </c>
      <c r="AL351" s="137">
        <f>Transportation_LCIA!P$61*($W351^Transportation_LCIA!P$60)+Transportation_LCIA!P$62</f>
        <v>1.9223455374200001E-8</v>
      </c>
      <c r="AM351" s="137">
        <f>Transportation_LCIA!Q$61*($W351^Transportation_LCIA!Q$60)+Transportation_LCIA!Q$62</f>
        <v>5.3174248522355442E-5</v>
      </c>
      <c r="AN351" s="137">
        <f>Transportation_LCIA!R$61*($W351^Transportation_LCIA!R$60)+Transportation_LCIA!R$62</f>
        <v>1.4580221843549912E-4</v>
      </c>
      <c r="AO351" s="137">
        <f>Transportation_LCIA!S$61*($W351^Transportation_LCIA!S$60)+Transportation_LCIA!S$62</f>
        <v>2.3252008516030942E-6</v>
      </c>
      <c r="AP351" s="137">
        <f>Transportation_LCIA!T$61*($W351^Transportation_LCIA!T$60)+Transportation_LCIA!T$62</f>
        <v>2.3252008516030942E-6</v>
      </c>
      <c r="AQ351" s="137">
        <f>Transportation_LCIA!U$61*($W351^Transportation_LCIA!U$60)+Transportation_LCIA!U$62</f>
        <v>3.0741318521569562E-4</v>
      </c>
      <c r="AR351" s="137">
        <f>Transportation_LCIA!V$61*($W351^Transportation_LCIA!V$60)+Transportation_LCIA!V$62</f>
        <v>1.3861468442791629E-4</v>
      </c>
      <c r="AT351" s="137">
        <f>$W351*Y351+$L351*Summary_LCIA!H$32</f>
        <v>512.00573939432252</v>
      </c>
      <c r="AU351" s="137">
        <f>$W351*Z351+$L351*Summary_LCIA!Q$32</f>
        <v>5257.5317193127994</v>
      </c>
      <c r="AV351" s="137">
        <f>$W351*AA351+$L351*Summary_LCIA!R$32</f>
        <v>2.5169548059285529</v>
      </c>
      <c r="AW351" s="137">
        <f>$W351*AB351+$L351*Summary_LCIA!S$32</f>
        <v>511.31691775432256</v>
      </c>
      <c r="AX351" s="137">
        <f>$W351*AC351+$L351*Summary_LCIA!T$32</f>
        <v>122.43695265687104</v>
      </c>
      <c r="AY351" s="137">
        <f>$W351*AD351+$L351*Summary_LCIA!U$32</f>
        <v>3.2386954250931819</v>
      </c>
      <c r="AZ351" s="137">
        <f>$W351*AE351+$L351*Summary_LCIA!V$32</f>
        <v>1.5899928249491473E-2</v>
      </c>
      <c r="BA351" s="137">
        <f>$W351*AF351+$L351*Summary_LCIA!W$32</f>
        <v>24.568785458887827</v>
      </c>
      <c r="BB351" s="137">
        <f>$W351*AG351+$L351*Summary_LCIA!X$32</f>
        <v>24.961722181605101</v>
      </c>
      <c r="BC351" s="137">
        <f>$W351*AH351+$L351*Summary_LCIA!Y$32</f>
        <v>2.7998444729246423</v>
      </c>
      <c r="BD351" s="137">
        <f>$W351*AI351+$L351*Summary_LCIA!Z$32</f>
        <v>0.5074030456342149</v>
      </c>
      <c r="BE351" s="137">
        <f>$W351*AJ351+$L351*Summary_LCIA!AA$32</f>
        <v>5.3067770023240275</v>
      </c>
      <c r="BF351" s="137">
        <f>$W351*AK351+$L351*Summary_LCIA!AB$32</f>
        <v>0.10759381430097407</v>
      </c>
      <c r="BG351" s="137">
        <f>$W351*AL351+$L351*Summary_LCIA!AC$32</f>
        <v>6.1417247836854092E-5</v>
      </c>
      <c r="BH351" s="137">
        <f>$W351*AM351+$L351*Summary_LCIA!AD$32</f>
        <v>0.21287159208511947</v>
      </c>
      <c r="BI351" s="137">
        <f>$W351*AN351+$L351*Summary_LCIA!AE$32</f>
        <v>0.54614067554146672</v>
      </c>
      <c r="BJ351" s="137">
        <f>$W351*AO351+$L351*Summary_LCIA!AF$32</f>
        <v>0.13825928767113238</v>
      </c>
      <c r="BK351" s="137">
        <f>$W351*AP351+$L351*Summary_LCIA!AG$32</f>
        <v>1.4480999961132373E-2</v>
      </c>
      <c r="BL351" s="137">
        <f>$W351*AQ351+$L351*Summary_LCIA!AH$32</f>
        <v>2.2167178535481193</v>
      </c>
      <c r="BM351" s="137">
        <f>$W351*AR351+$L351*Summary_LCIA!AI$32</f>
        <v>0.53310387235853374</v>
      </c>
    </row>
    <row r="352" spans="1:65" x14ac:dyDescent="0.25">
      <c r="A352" s="149">
        <v>200</v>
      </c>
      <c r="B352" s="149">
        <v>6</v>
      </c>
      <c r="C352" s="61">
        <v>44.564272000000003</v>
      </c>
      <c r="D352" s="61">
        <v>-123.278594</v>
      </c>
      <c r="E352" s="61" t="s">
        <v>265</v>
      </c>
      <c r="F352" s="149">
        <v>90</v>
      </c>
      <c r="G352" s="61" t="s">
        <v>277</v>
      </c>
      <c r="H352" s="61" t="s">
        <v>697</v>
      </c>
      <c r="I352" s="61">
        <v>45.589768999999997</v>
      </c>
      <c r="J352" s="61">
        <v>-122.595094</v>
      </c>
      <c r="K352" s="61">
        <v>197.4951184</v>
      </c>
      <c r="L352" s="61">
        <v>155.84200000000001</v>
      </c>
      <c r="M352" s="61" t="s">
        <v>617</v>
      </c>
      <c r="N352" s="149">
        <v>5</v>
      </c>
      <c r="O352" s="149">
        <v>6</v>
      </c>
      <c r="P352" s="61" t="s">
        <v>565</v>
      </c>
      <c r="Q352" s="61" t="s">
        <v>564</v>
      </c>
      <c r="R352" s="61">
        <v>41.98028</v>
      </c>
      <c r="S352" s="61">
        <v>-87.908997900000003</v>
      </c>
      <c r="T352" s="61">
        <v>3434.384</v>
      </c>
      <c r="U352" s="61" t="s">
        <v>617</v>
      </c>
      <c r="V352" s="61" t="s">
        <v>569</v>
      </c>
      <c r="W352" s="61" cm="1">
        <f t="array" ref="W352">getDistance(I352,J352,R352,S352)*SA!$B$12</f>
        <v>2798.6158815682211</v>
      </c>
      <c r="X352" s="61"/>
      <c r="Y352" s="137">
        <f>Transportation_LCIA!C$61*($W352^Transportation_LCIA!C$60)+Transportation_LCIA!C$62</f>
        <v>0.16402773628837225</v>
      </c>
      <c r="Z352" s="137">
        <f>Transportation_LCIA!D$61*($W352^Transportation_LCIA!D$60)+Transportation_LCIA!D$62</f>
        <v>1.6026389821027962</v>
      </c>
      <c r="AA352" s="137">
        <f>Transportation_LCIA!E$61*($W352^Transportation_LCIA!E$60)+Transportation_LCIA!E$62</f>
        <v>6.0614005012291691E-4</v>
      </c>
      <c r="AB352" s="137">
        <f>Transportation_LCIA!F$61*($W352^Transportation_LCIA!F$60)+Transportation_LCIA!F$62</f>
        <v>0.16402773628837225</v>
      </c>
      <c r="AC352" s="137">
        <f>Transportation_LCIA!G$61*($W352^Transportation_LCIA!G$60)+Transportation_LCIA!G$62</f>
        <v>3.7629285801758547E-2</v>
      </c>
      <c r="AD352" s="137">
        <f>Transportation_LCIA!H$61*($W352^Transportation_LCIA!H$60)+Transportation_LCIA!H$62</f>
        <v>1.5970102936839448E-4</v>
      </c>
      <c r="AE352" s="137">
        <f>Transportation_LCIA!I$61*($W352^Transportation_LCIA!I$60)+Transportation_LCIA!I$62</f>
        <v>3.0217646312907641E-6</v>
      </c>
      <c r="AF352" s="137">
        <f>Transportation_LCIA!J$61*($W352^Transportation_LCIA!J$60)+Transportation_LCIA!J$62</f>
        <v>4.4927462034704841E-3</v>
      </c>
      <c r="AG352" s="137">
        <f>Transportation_LCIA!K$61*($W352^Transportation_LCIA!K$60)+Transportation_LCIA!K$62</f>
        <v>7.6507967965960943E-3</v>
      </c>
      <c r="AH352" s="137">
        <f>Transportation_LCIA!L$61*($W352^Transportation_LCIA!L$60)+Transportation_LCIA!L$62</f>
        <v>1.3274934633632592E-4</v>
      </c>
      <c r="AI352" s="137">
        <f>Transportation_LCIA!M$61*($W352^Transportation_LCIA!M$60)+Transportation_LCIA!M$62</f>
        <v>1.7902139566772907E-4</v>
      </c>
      <c r="AJ352" s="137">
        <f>Transportation_LCIA!N$61*($W352^Transportation_LCIA!N$60)+Transportation_LCIA!N$62</f>
        <v>5.9562702452397752E-4</v>
      </c>
      <c r="AK352" s="137">
        <f>Transportation_LCIA!O$61*($W352^Transportation_LCIA!O$60)+Transportation_LCIA!O$62</f>
        <v>3.9660589006869174E-5</v>
      </c>
      <c r="AL352" s="137">
        <f>Transportation_LCIA!P$61*($W352^Transportation_LCIA!P$60)+Transportation_LCIA!P$62</f>
        <v>1.9223455374200001E-8</v>
      </c>
      <c r="AM352" s="137">
        <f>Transportation_LCIA!Q$61*($W352^Transportation_LCIA!Q$60)+Transportation_LCIA!Q$62</f>
        <v>5.3174248522355442E-5</v>
      </c>
      <c r="AN352" s="137">
        <f>Transportation_LCIA!R$61*($W352^Transportation_LCIA!R$60)+Transportation_LCIA!R$62</f>
        <v>1.4580221843549912E-4</v>
      </c>
      <c r="AO352" s="137">
        <f>Transportation_LCIA!S$61*($W352^Transportation_LCIA!S$60)+Transportation_LCIA!S$62</f>
        <v>2.3252008516030942E-6</v>
      </c>
      <c r="AP352" s="137">
        <f>Transportation_LCIA!T$61*($W352^Transportation_LCIA!T$60)+Transportation_LCIA!T$62</f>
        <v>2.3252008516030942E-6</v>
      </c>
      <c r="AQ352" s="137">
        <f>Transportation_LCIA!U$61*($W352^Transportation_LCIA!U$60)+Transportation_LCIA!U$62</f>
        <v>3.0741318521569562E-4</v>
      </c>
      <c r="AR352" s="137">
        <f>Transportation_LCIA!V$61*($W352^Transportation_LCIA!V$60)+Transportation_LCIA!V$62</f>
        <v>1.3861468442791629E-4</v>
      </c>
      <c r="AT352" s="137">
        <f>$W352*Y352+$L352*Summary_LCIA!H$32</f>
        <v>512.00573939432252</v>
      </c>
      <c r="AU352" s="137">
        <f>$W352*Z352+$L352*Summary_LCIA!Q$32</f>
        <v>5257.5317193127994</v>
      </c>
      <c r="AV352" s="137">
        <f>$W352*AA352+$L352*Summary_LCIA!R$32</f>
        <v>2.5169548059285529</v>
      </c>
      <c r="AW352" s="137">
        <f>$W352*AB352+$L352*Summary_LCIA!S$32</f>
        <v>511.31691775432256</v>
      </c>
      <c r="AX352" s="137">
        <f>$W352*AC352+$L352*Summary_LCIA!T$32</f>
        <v>122.43695265687104</v>
      </c>
      <c r="AY352" s="137">
        <f>$W352*AD352+$L352*Summary_LCIA!U$32</f>
        <v>3.2386954250931819</v>
      </c>
      <c r="AZ352" s="137">
        <f>$W352*AE352+$L352*Summary_LCIA!V$32</f>
        <v>1.5899928249491473E-2</v>
      </c>
      <c r="BA352" s="137">
        <f>$W352*AF352+$L352*Summary_LCIA!W$32</f>
        <v>24.568785458887827</v>
      </c>
      <c r="BB352" s="137">
        <f>$W352*AG352+$L352*Summary_LCIA!X$32</f>
        <v>24.961722181605101</v>
      </c>
      <c r="BC352" s="137">
        <f>$W352*AH352+$L352*Summary_LCIA!Y$32</f>
        <v>2.7998444729246423</v>
      </c>
      <c r="BD352" s="137">
        <f>$W352*AI352+$L352*Summary_LCIA!Z$32</f>
        <v>0.5074030456342149</v>
      </c>
      <c r="BE352" s="137">
        <f>$W352*AJ352+$L352*Summary_LCIA!AA$32</f>
        <v>5.3067770023240275</v>
      </c>
      <c r="BF352" s="137">
        <f>$W352*AK352+$L352*Summary_LCIA!AB$32</f>
        <v>0.10759381430097407</v>
      </c>
      <c r="BG352" s="137">
        <f>$W352*AL352+$L352*Summary_LCIA!AC$32</f>
        <v>6.1417247836854092E-5</v>
      </c>
      <c r="BH352" s="137">
        <f>$W352*AM352+$L352*Summary_LCIA!AD$32</f>
        <v>0.21287159208511947</v>
      </c>
      <c r="BI352" s="137">
        <f>$W352*AN352+$L352*Summary_LCIA!AE$32</f>
        <v>0.54614067554146672</v>
      </c>
      <c r="BJ352" s="137">
        <f>$W352*AO352+$L352*Summary_LCIA!AF$32</f>
        <v>0.13825928767113238</v>
      </c>
      <c r="BK352" s="137">
        <f>$W352*AP352+$L352*Summary_LCIA!AG$32</f>
        <v>1.4480999961132373E-2</v>
      </c>
      <c r="BL352" s="137">
        <f>$W352*AQ352+$L352*Summary_LCIA!AH$32</f>
        <v>2.2167178535481193</v>
      </c>
      <c r="BM352" s="137">
        <f>$W352*AR352+$L352*Summary_LCIA!AI$32</f>
        <v>0.53310387235853374</v>
      </c>
    </row>
    <row r="353" spans="1:65" x14ac:dyDescent="0.25">
      <c r="A353" s="149">
        <v>89</v>
      </c>
      <c r="B353" s="149">
        <v>6</v>
      </c>
      <c r="C353" s="61">
        <v>35.244402000000001</v>
      </c>
      <c r="D353" s="61">
        <v>-120.672275</v>
      </c>
      <c r="E353" s="61" t="s">
        <v>265</v>
      </c>
      <c r="F353" s="149">
        <v>116</v>
      </c>
      <c r="G353" s="61" t="s">
        <v>663</v>
      </c>
      <c r="H353" s="61" t="s">
        <v>664</v>
      </c>
      <c r="I353" s="61">
        <v>34.198312000000001</v>
      </c>
      <c r="J353" s="61">
        <v>-118.357404</v>
      </c>
      <c r="K353" s="61">
        <v>417.80808230000002</v>
      </c>
      <c r="L353" s="61">
        <v>289.17599999999999</v>
      </c>
      <c r="M353" s="61" t="s">
        <v>617</v>
      </c>
      <c r="N353" s="149">
        <v>5</v>
      </c>
      <c r="O353" s="149">
        <v>6</v>
      </c>
      <c r="P353" s="61" t="s">
        <v>565</v>
      </c>
      <c r="Q353" s="61" t="s">
        <v>564</v>
      </c>
      <c r="R353" s="61">
        <v>41.98028</v>
      </c>
      <c r="S353" s="61">
        <v>-87.908997900000003</v>
      </c>
      <c r="T353" s="61">
        <v>3474.6970000000001</v>
      </c>
      <c r="U353" s="61" t="s">
        <v>617</v>
      </c>
      <c r="V353" s="61" t="s">
        <v>569</v>
      </c>
      <c r="W353" s="61" cm="1">
        <f t="array" ref="W353">getDistance(I353,J353,R353,S353)*SA!$B$12</f>
        <v>2790.7541476573592</v>
      </c>
      <c r="X353" s="61"/>
      <c r="Y353" s="137">
        <f>Transportation_LCIA!C$61*($W353^Transportation_LCIA!C$60)+Transportation_LCIA!C$62</f>
        <v>0.16415094208602343</v>
      </c>
      <c r="Z353" s="137">
        <f>Transportation_LCIA!D$61*($W353^Transportation_LCIA!D$60)+Transportation_LCIA!D$62</f>
        <v>1.6040137841734128</v>
      </c>
      <c r="AA353" s="137">
        <f>Transportation_LCIA!E$61*($W353^Transportation_LCIA!E$60)+Transportation_LCIA!E$62</f>
        <v>6.0703264998479057E-4</v>
      </c>
      <c r="AB353" s="137">
        <f>Transportation_LCIA!F$61*($W353^Transportation_LCIA!F$60)+Transportation_LCIA!F$62</f>
        <v>0.16415094208602343</v>
      </c>
      <c r="AC353" s="137">
        <f>Transportation_LCIA!G$61*($W353^Transportation_LCIA!G$60)+Transportation_LCIA!G$62</f>
        <v>3.766117612488866E-2</v>
      </c>
      <c r="AD353" s="137">
        <f>Transportation_LCIA!H$61*($W353^Transportation_LCIA!H$60)+Transportation_LCIA!H$62</f>
        <v>1.5989247087850008E-4</v>
      </c>
      <c r="AE353" s="137">
        <f>Transportation_LCIA!I$61*($W353^Transportation_LCIA!I$60)+Transportation_LCIA!I$62</f>
        <v>3.0263945870013352E-6</v>
      </c>
      <c r="AF353" s="137">
        <f>Transportation_LCIA!J$61*($W353^Transportation_LCIA!J$60)+Transportation_LCIA!J$62</f>
        <v>4.4994632561177195E-3</v>
      </c>
      <c r="AG353" s="137">
        <f>Transportation_LCIA!K$61*($W353^Transportation_LCIA!K$60)+Transportation_LCIA!K$62</f>
        <v>7.6580744113821306E-3</v>
      </c>
      <c r="AH353" s="137">
        <f>Transportation_LCIA!L$61*($W353^Transportation_LCIA!L$60)+Transportation_LCIA!L$62</f>
        <v>1.3292334881004532E-4</v>
      </c>
      <c r="AI353" s="137">
        <f>Transportation_LCIA!M$61*($W353^Transportation_LCIA!M$60)+Transportation_LCIA!M$62</f>
        <v>1.7912690739391247E-4</v>
      </c>
      <c r="AJ353" s="137">
        <f>Transportation_LCIA!N$61*($W353^Transportation_LCIA!N$60)+Transportation_LCIA!N$62</f>
        <v>5.9627273568366233E-4</v>
      </c>
      <c r="AK353" s="137">
        <f>Transportation_LCIA!O$61*($W353^Transportation_LCIA!O$60)+Transportation_LCIA!O$62</f>
        <v>3.9694434872682633E-5</v>
      </c>
      <c r="AL353" s="137">
        <f>Transportation_LCIA!P$61*($W353^Transportation_LCIA!P$60)+Transportation_LCIA!P$62</f>
        <v>1.9239782434370862E-8</v>
      </c>
      <c r="AM353" s="137">
        <f>Transportation_LCIA!Q$61*($W353^Transportation_LCIA!Q$60)+Transportation_LCIA!Q$62</f>
        <v>5.3241866869961461E-5</v>
      </c>
      <c r="AN353" s="137">
        <f>Transportation_LCIA!R$61*($W353^Transportation_LCIA!R$60)+Transportation_LCIA!R$62</f>
        <v>1.4602402362852521E-4</v>
      </c>
      <c r="AO353" s="137">
        <f>Transportation_LCIA!S$61*($W353^Transportation_LCIA!S$60)+Transportation_LCIA!S$62</f>
        <v>2.3283543908847741E-6</v>
      </c>
      <c r="AP353" s="137">
        <f>Transportation_LCIA!T$61*($W353^Transportation_LCIA!T$60)+Transportation_LCIA!T$62</f>
        <v>2.3283543908847741E-6</v>
      </c>
      <c r="AQ353" s="137">
        <f>Transportation_LCIA!U$61*($W353^Transportation_LCIA!U$60)+Transportation_LCIA!U$62</f>
        <v>3.0789592449214579E-4</v>
      </c>
      <c r="AR353" s="137">
        <f>Transportation_LCIA!V$61*($W353^Transportation_LCIA!V$60)+Transportation_LCIA!V$62</f>
        <v>1.387892043242952E-4</v>
      </c>
      <c r="AT353" s="137">
        <f>$W353*Y353+$L353*Summary_LCIA!H$32</f>
        <v>556.36692726843285</v>
      </c>
      <c r="AU353" s="137">
        <f>$W353*Z353+$L353*Summary_LCIA!Q$32</f>
        <v>5909.5789610947359</v>
      </c>
      <c r="AV353" s="137">
        <f>$W353*AA353+$L353*Summary_LCIA!R$32</f>
        <v>3.2167640313084922</v>
      </c>
      <c r="AW353" s="137">
        <f>$W353*AB353+$L353*Summary_LCIA!S$32</f>
        <v>555.08876934843283</v>
      </c>
      <c r="AX353" s="137">
        <f>$W353*AC353+$L353*Summary_LCIA!T$32</f>
        <v>136.88352587618732</v>
      </c>
      <c r="AY353" s="137">
        <f>$W353*AD353+$L353*Summary_LCIA!U$32</f>
        <v>5.6265194402833565</v>
      </c>
      <c r="AZ353" s="137">
        <f>$W353*AE353+$L353*Summary_LCIA!V$32</f>
        <v>2.2257258182121757E-2</v>
      </c>
      <c r="BA353" s="137">
        <f>$W353*AF353+$L353*Summary_LCIA!W$32</f>
        <v>34.815061640242412</v>
      </c>
      <c r="BB353" s="137">
        <f>$W353*AG353+$L353*Summary_LCIA!X$32</f>
        <v>27.959232206633374</v>
      </c>
      <c r="BC353" s="137">
        <f>$W353*AH353+$L353*Summary_LCIA!Y$32</f>
        <v>4.8768968190121402</v>
      </c>
      <c r="BD353" s="137">
        <f>$W353*AI353+$L353*Summary_LCIA!Z$32</f>
        <v>0.51175797835059689</v>
      </c>
      <c r="BE353" s="137">
        <f>$W353*AJ353+$L353*Summary_LCIA!AA$32</f>
        <v>8.4180452662441798</v>
      </c>
      <c r="BF353" s="137">
        <f>$W353*AK353+$L353*Summary_LCIA!AB$32</f>
        <v>0.10446672091185398</v>
      </c>
      <c r="BG353" s="137">
        <f>$W353*AL353+$L353*Summary_LCIA!AC$32</f>
        <v>6.7829582212745683E-5</v>
      </c>
      <c r="BH353" s="137">
        <f>$W353*AM353+$L353*Summary_LCIA!AD$32</f>
        <v>0.26744786383636587</v>
      </c>
      <c r="BI353" s="137">
        <f>$W353*AN353+$L353*Summary_LCIA!AE$32</f>
        <v>0.66376467847892295</v>
      </c>
      <c r="BJ353" s="137">
        <f>$W353*AO353+$L353*Summary_LCIA!AF$32</f>
        <v>0.25097303859357789</v>
      </c>
      <c r="BK353" s="137">
        <f>$W353*AP353+$L353*Summary_LCIA!AG$32</f>
        <v>2.1293554713577908E-2</v>
      </c>
      <c r="BL353" s="137">
        <f>$W353*AQ353+$L353*Summary_LCIA!AH$32</f>
        <v>3.3761340619232527</v>
      </c>
      <c r="BM353" s="137">
        <f>$W353*AR353+$L353*Summary_LCIA!AI$32</f>
        <v>0.65670845041809156</v>
      </c>
    </row>
    <row r="354" spans="1:65" x14ac:dyDescent="0.25">
      <c r="A354" s="149">
        <v>334</v>
      </c>
      <c r="B354" s="149">
        <v>6</v>
      </c>
      <c r="C354" s="61">
        <v>36.974117</v>
      </c>
      <c r="D354" s="61">
        <v>-122.030796</v>
      </c>
      <c r="E354" s="61" t="s">
        <v>265</v>
      </c>
      <c r="F354" s="149">
        <v>95</v>
      </c>
      <c r="G354" s="61" t="s">
        <v>723</v>
      </c>
      <c r="H354" s="61" t="s">
        <v>724</v>
      </c>
      <c r="I354" s="61">
        <v>37.363947000000003</v>
      </c>
      <c r="J354" s="61">
        <v>-121.928938</v>
      </c>
      <c r="K354" s="61">
        <v>85.919231850000003</v>
      </c>
      <c r="L354" s="61">
        <v>54.384999999999998</v>
      </c>
      <c r="M354" s="61" t="s">
        <v>617</v>
      </c>
      <c r="N354" s="149">
        <v>5</v>
      </c>
      <c r="O354" s="149">
        <v>6</v>
      </c>
      <c r="P354" s="61" t="s">
        <v>565</v>
      </c>
      <c r="Q354" s="61" t="s">
        <v>564</v>
      </c>
      <c r="R354" s="61">
        <v>41.98028</v>
      </c>
      <c r="S354" s="61">
        <v>-87.908997900000003</v>
      </c>
      <c r="T354" s="61">
        <v>3516.1460000000002</v>
      </c>
      <c r="U354" s="61" t="s">
        <v>617</v>
      </c>
      <c r="V354" s="61" t="s">
        <v>569</v>
      </c>
      <c r="W354" s="61" cm="1">
        <f t="array" ref="W354">getDistance(I354,J354,R354,S354)*SA!$B$12</f>
        <v>2943.9038691467049</v>
      </c>
      <c r="X354" s="61"/>
      <c r="Y354" s="137">
        <f>Transportation_LCIA!C$61*($W354^Transportation_LCIA!C$60)+Transportation_LCIA!C$62</f>
        <v>0.16186004851259922</v>
      </c>
      <c r="Z354" s="137">
        <f>Transportation_LCIA!D$61*($W354^Transportation_LCIA!D$60)+Transportation_LCIA!D$62</f>
        <v>1.578478502254324</v>
      </c>
      <c r="AA354" s="137">
        <f>Transportation_LCIA!E$61*($W354^Transportation_LCIA!E$60)+Transportation_LCIA!E$62</f>
        <v>5.9045876502121812E-4</v>
      </c>
      <c r="AB354" s="137">
        <f>Transportation_LCIA!F$61*($W354^Transportation_LCIA!F$60)+Transportation_LCIA!F$62</f>
        <v>0.16186004851259922</v>
      </c>
      <c r="AC354" s="137">
        <f>Transportation_LCIA!G$61*($W354^Transportation_LCIA!G$60)+Transportation_LCIA!G$62</f>
        <v>3.7068814389818974E-2</v>
      </c>
      <c r="AD354" s="137">
        <f>Transportation_LCIA!H$61*($W354^Transportation_LCIA!H$60)+Transportation_LCIA!H$62</f>
        <v>1.563399144762241E-4</v>
      </c>
      <c r="AE354" s="137">
        <f>Transportation_LCIA!I$61*($W354^Transportation_LCIA!I$60)+Transportation_LCIA!I$62</f>
        <v>2.9405606900832309E-6</v>
      </c>
      <c r="AF354" s="137">
        <f>Transportation_LCIA!J$61*($W354^Transportation_LCIA!J$60)+Transportation_LCIA!J$62</f>
        <v>4.3750162198359869E-3</v>
      </c>
      <c r="AG354" s="137">
        <f>Transportation_LCIA!K$61*($W354^Transportation_LCIA!K$60)+Transportation_LCIA!K$62</f>
        <v>7.5229673286596188E-3</v>
      </c>
      <c r="AH354" s="137">
        <f>Transportation_LCIA!L$61*($W354^Transportation_LCIA!L$60)+Transportation_LCIA!L$62</f>
        <v>1.2969530173286459E-4</v>
      </c>
      <c r="AI354" s="137">
        <f>Transportation_LCIA!M$61*($W354^Transportation_LCIA!M$60)+Transportation_LCIA!M$62</f>
        <v>1.7716900384853829E-4</v>
      </c>
      <c r="AJ354" s="137">
        <f>Transportation_LCIA!N$61*($W354^Transportation_LCIA!N$60)+Transportation_LCIA!N$62</f>
        <v>5.8428942619230626E-4</v>
      </c>
      <c r="AK354" s="137">
        <f>Transportation_LCIA!O$61*($W354^Transportation_LCIA!O$60)+Transportation_LCIA!O$62</f>
        <v>3.9065767817665493E-5</v>
      </c>
      <c r="AL354" s="137">
        <f>Transportation_LCIA!P$61*($W354^Transportation_LCIA!P$60)+Transportation_LCIA!P$62</f>
        <v>1.8936492315207293E-8</v>
      </c>
      <c r="AM354" s="137">
        <f>Transportation_LCIA!Q$61*($W354^Transportation_LCIA!Q$60)+Transportation_LCIA!Q$62</f>
        <v>5.1987616755851843E-5</v>
      </c>
      <c r="AN354" s="137">
        <f>Transportation_LCIA!R$61*($W354^Transportation_LCIA!R$60)+Transportation_LCIA!R$62</f>
        <v>1.4191211470001826E-4</v>
      </c>
      <c r="AO354" s="137">
        <f>Transportation_LCIA!S$61*($W354^Transportation_LCIA!S$60)+Transportation_LCIA!S$62</f>
        <v>2.2698903334971237E-6</v>
      </c>
      <c r="AP354" s="137">
        <f>Transportation_LCIA!T$61*($W354^Transportation_LCIA!T$60)+Transportation_LCIA!T$62</f>
        <v>2.2698903334971237E-6</v>
      </c>
      <c r="AQ354" s="137">
        <f>Transportation_LCIA!U$61*($W354^Transportation_LCIA!U$60)+Transportation_LCIA!U$62</f>
        <v>2.9894837268803142E-4</v>
      </c>
      <c r="AR354" s="137">
        <f>Transportation_LCIA!V$61*($W354^Transportation_LCIA!V$60)+Transportation_LCIA!V$62</f>
        <v>1.3555266481207935E-4</v>
      </c>
      <c r="AT354" s="137">
        <f>$W354*Y354+$L354*Summary_LCIA!H$32</f>
        <v>494.98044607651423</v>
      </c>
      <c r="AU354" s="137">
        <f>$W354*Z354+$L354*Summary_LCIA!Q$32</f>
        <v>4916.4237729501046</v>
      </c>
      <c r="AV354" s="137">
        <f>$W354*AA354+$L354*Summary_LCIA!R$32</f>
        <v>2.0246234989175491</v>
      </c>
      <c r="AW354" s="137">
        <f>$W354*AB354+$L354*Summary_LCIA!S$32</f>
        <v>494.74006437651423</v>
      </c>
      <c r="AX354" s="137">
        <f>$W354*AC354+$L354*Summary_LCIA!T$32</f>
        <v>115.10393760686912</v>
      </c>
      <c r="AY354" s="137">
        <f>$W354*AD354+$L354*Summary_LCIA!U$32</f>
        <v>1.4345025691286211</v>
      </c>
      <c r="AZ354" s="137">
        <f>$W354*AE354+$L354*Summary_LCIA!V$32</f>
        <v>1.1254209977996728E-2</v>
      </c>
      <c r="BA354" s="137">
        <f>$W354*AF354+$L354*Summary_LCIA!W$32</f>
        <v>17.065695012154752</v>
      </c>
      <c r="BB354" s="137">
        <f>$W354*AG354+$L354*Summary_LCIA!X$32</f>
        <v>23.385782926305303</v>
      </c>
      <c r="BC354" s="137">
        <f>$W354*AH354+$L354*Summary_LCIA!Y$32</f>
        <v>1.2292375705815293</v>
      </c>
      <c r="BD354" s="137">
        <f>$W354*AI354+$L354*Summary_LCIA!Z$32</f>
        <v>0.52379879038757937</v>
      </c>
      <c r="BE354" s="137">
        <f>$W354*AJ354+$L354*Summary_LCIA!AA$32</f>
        <v>2.9903079624690383</v>
      </c>
      <c r="BF354" s="137">
        <f>$W354*AK354+$L354*Summary_LCIA!AB$32</f>
        <v>0.11381902117461228</v>
      </c>
      <c r="BG354" s="137">
        <f>$W354*AL354+$L354*Summary_LCIA!AC$32</f>
        <v>5.8405769334805599E-5</v>
      </c>
      <c r="BH354" s="137">
        <f>$W354*AM354+$L354*Summary_LCIA!AD$32</f>
        <v>0.1754009565152683</v>
      </c>
      <c r="BI354" s="137">
        <f>$W354*AN354+$L354*Summary_LCIA!AE$32</f>
        <v>0.46596780359417472</v>
      </c>
      <c r="BJ354" s="137">
        <f>$W354*AO354+$L354*Summary_LCIA!AF$32</f>
        <v>5.2660505635320889E-2</v>
      </c>
      <c r="BK354" s="137">
        <f>$W354*AP354+$L354*Summary_LCIA!AG$32</f>
        <v>9.4649474603208869E-3</v>
      </c>
      <c r="BL354" s="137">
        <f>$W354*AQ354+$L354*Summary_LCIA!AH$32</f>
        <v>1.3534205570314068</v>
      </c>
      <c r="BM354" s="137">
        <f>$W354*AR354+$L354*Summary_LCIA!AI$32</f>
        <v>0.44971636116342678</v>
      </c>
    </row>
    <row r="355" spans="1:65" x14ac:dyDescent="0.25">
      <c r="A355" s="149">
        <v>366</v>
      </c>
      <c r="B355" s="149">
        <v>6</v>
      </c>
      <c r="C355" s="61">
        <v>49.261045000000003</v>
      </c>
      <c r="D355" s="61">
        <v>-123.248794</v>
      </c>
      <c r="E355" s="61" t="s">
        <v>459</v>
      </c>
      <c r="F355" s="149">
        <v>123</v>
      </c>
      <c r="G355" s="61" t="s">
        <v>728</v>
      </c>
      <c r="H355" s="61" t="s">
        <v>729</v>
      </c>
      <c r="I355" s="61">
        <v>49.196691000000001</v>
      </c>
      <c r="J355" s="61">
        <v>-123.181512</v>
      </c>
      <c r="K355" s="61">
        <v>17.860732670000001</v>
      </c>
      <c r="L355" s="61">
        <v>15.871</v>
      </c>
      <c r="M355" s="61" t="s">
        <v>617</v>
      </c>
      <c r="N355" s="149">
        <v>5</v>
      </c>
      <c r="O355" s="149">
        <v>6</v>
      </c>
      <c r="P355" s="61" t="s">
        <v>565</v>
      </c>
      <c r="Q355" s="61" t="s">
        <v>564</v>
      </c>
      <c r="R355" s="61">
        <v>41.98028</v>
      </c>
      <c r="S355" s="61">
        <v>-87.908997900000003</v>
      </c>
      <c r="T355" s="61">
        <v>3520.38</v>
      </c>
      <c r="U355" s="61" t="s">
        <v>617</v>
      </c>
      <c r="V355" s="61" t="s">
        <v>569</v>
      </c>
      <c r="W355" s="61" cm="1">
        <f t="array" ref="W355">getDistance(I355,J355,R355,S355)*SA!$B$12</f>
        <v>2838.5465962750654</v>
      </c>
      <c r="X355" s="61"/>
      <c r="Y355" s="137">
        <f>Transportation_LCIA!C$61*($W355^Transportation_LCIA!C$60)+Transportation_LCIA!C$62</f>
        <v>0.16341165396982271</v>
      </c>
      <c r="Z355" s="137">
        <f>Transportation_LCIA!D$61*($W355^Transportation_LCIA!D$60)+Transportation_LCIA!D$62</f>
        <v>1.595766906045522</v>
      </c>
      <c r="AA355" s="137">
        <f>Transportation_LCIA!E$61*($W355^Transportation_LCIA!E$60)+Transportation_LCIA!E$62</f>
        <v>6.0167876805224032E-4</v>
      </c>
      <c r="AB355" s="137">
        <f>Transportation_LCIA!F$61*($W355^Transportation_LCIA!F$60)+Transportation_LCIA!F$62</f>
        <v>0.16341165396982271</v>
      </c>
      <c r="AC355" s="137">
        <f>Transportation_LCIA!G$61*($W355^Transportation_LCIA!G$60)+Transportation_LCIA!G$62</f>
        <v>3.7469875633516794E-2</v>
      </c>
      <c r="AD355" s="137">
        <f>Transportation_LCIA!H$61*($W355^Transportation_LCIA!H$60)+Transportation_LCIA!H$62</f>
        <v>1.5874438556661178E-4</v>
      </c>
      <c r="AE355" s="137">
        <f>Transportation_LCIA!I$61*($W355^Transportation_LCIA!I$60)+Transportation_LCIA!I$62</f>
        <v>2.9986360972356475E-6</v>
      </c>
      <c r="AF355" s="137">
        <f>Transportation_LCIA!J$61*($W355^Transportation_LCIA!J$60)+Transportation_LCIA!J$62</f>
        <v>4.459198972211878E-3</v>
      </c>
      <c r="AG355" s="137">
        <f>Transportation_LCIA!K$61*($W355^Transportation_LCIA!K$60)+Transportation_LCIA!K$62</f>
        <v>7.6144249431488262E-3</v>
      </c>
      <c r="AH355" s="137">
        <f>Transportation_LCIA!L$61*($W355^Transportation_LCIA!L$60)+Transportation_LCIA!L$62</f>
        <v>1.318799278188965E-4</v>
      </c>
      <c r="AI355" s="137">
        <f>Transportation_LCIA!M$61*($W355^Transportation_LCIA!M$60)+Transportation_LCIA!M$62</f>
        <v>1.7849415361049055E-4</v>
      </c>
      <c r="AJ355" s="137">
        <f>Transportation_LCIA!N$61*($W355^Transportation_LCIA!N$60)+Transportation_LCIA!N$62</f>
        <v>5.9240028582074541E-4</v>
      </c>
      <c r="AK355" s="137">
        <f>Transportation_LCIA!O$61*($W355^Transportation_LCIA!O$60)+Transportation_LCIA!O$62</f>
        <v>3.9491405377574545E-5</v>
      </c>
      <c r="AL355" s="137">
        <f>Transportation_LCIA!P$61*($W355^Transportation_LCIA!P$60)+Transportation_LCIA!P$62</f>
        <v>1.9141839884955845E-8</v>
      </c>
      <c r="AM355" s="137">
        <f>Transportation_LCIA!Q$61*($W355^Transportation_LCIA!Q$60)+Transportation_LCIA!Q$62</f>
        <v>5.2836404600946049E-5</v>
      </c>
      <c r="AN355" s="137">
        <f>Transportation_LCIA!R$61*($W355^Transportation_LCIA!R$60)+Transportation_LCIA!R$62</f>
        <v>1.4469421902878936E-4</v>
      </c>
      <c r="AO355" s="137">
        <f>Transportation_LCIA!S$61*($W355^Transportation_LCIA!S$60)+Transportation_LCIA!S$62</f>
        <v>2.3094475183684916E-6</v>
      </c>
      <c r="AP355" s="137">
        <f>Transportation_LCIA!T$61*($W355^Transportation_LCIA!T$60)+Transportation_LCIA!T$62</f>
        <v>2.3094475183684916E-6</v>
      </c>
      <c r="AQ355" s="137">
        <f>Transportation_LCIA!U$61*($W355^Transportation_LCIA!U$60)+Transportation_LCIA!U$62</f>
        <v>3.0500187351507977E-4</v>
      </c>
      <c r="AR355" s="137">
        <f>Transportation_LCIA!V$61*($W355^Transportation_LCIA!V$60)+Transportation_LCIA!V$62</f>
        <v>1.3774278127999306E-4</v>
      </c>
      <c r="AT355" s="137">
        <f>$W355*Y355+$L355*Summary_LCIA!H$32</f>
        <v>469.24455996771906</v>
      </c>
      <c r="AU355" s="137">
        <f>$W355*Z355+$L355*Summary_LCIA!Q$32</f>
        <v>4608.3161960260513</v>
      </c>
      <c r="AV355" s="137">
        <f>$W355*AA355+$L355*Summary_LCIA!R$32</f>
        <v>1.7914635567056614</v>
      </c>
      <c r="AW355" s="137">
        <f>$W355*AB355+$L355*Summary_LCIA!S$32</f>
        <v>469.17441014771902</v>
      </c>
      <c r="AX355" s="137">
        <f>$W355*AC355+$L355*Summary_LCIA!T$32</f>
        <v>108.1042108423691</v>
      </c>
      <c r="AY355" s="137">
        <f>$W355*AD355+$L355*Summary_LCIA!U$32</f>
        <v>0.73491642932788248</v>
      </c>
      <c r="AZ355" s="137">
        <f>$W355*AE355+$L355*Summary_LCIA!V$32</f>
        <v>9.2697831182757921E-3</v>
      </c>
      <c r="BA355" s="137">
        <f>$W355*AF355+$L355*Summary_LCIA!W$32</f>
        <v>13.879250805685297</v>
      </c>
      <c r="BB355" s="137">
        <f>$W355*AG355+$L355*Summary_LCIA!X$32</f>
        <v>21.975441384967059</v>
      </c>
      <c r="BC355" s="137">
        <f>$W355*AH355+$L355*Summary_LCIA!Y$32</f>
        <v>0.62164924222732998</v>
      </c>
      <c r="BD355" s="137">
        <f>$W355*AI355+$L355*Summary_LCIA!Z$32</f>
        <v>0.50731482602505662</v>
      </c>
      <c r="BE355" s="137">
        <f>$W355*AJ355+$L355*Summary_LCIA!AA$32</f>
        <v>2.0522388909488529</v>
      </c>
      <c r="BF355" s="137">
        <f>$W355*AK355+$L355*Summary_LCIA!AB$32</f>
        <v>0.11175184148363304</v>
      </c>
      <c r="BG355" s="137">
        <f>$W355*AL355+$L355*Summary_LCIA!AC$32</f>
        <v>5.5110842415883706E-5</v>
      </c>
      <c r="BH355" s="137">
        <f>$W355*AM355+$L355*Summary_LCIA!AD$32</f>
        <v>0.15650221227942762</v>
      </c>
      <c r="BI355" s="137">
        <f>$W355*AN355+$L355*Summary_LCIA!AE$32</f>
        <v>0.42478505215484885</v>
      </c>
      <c r="BJ355" s="137">
        <f>$W355*AO355+$L355*Summary_LCIA!AF$32</f>
        <v>1.997313521254078E-2</v>
      </c>
      <c r="BK355" s="137">
        <f>$W355*AP355+$L355*Summary_LCIA!AG$32</f>
        <v>7.3675141075407787E-3</v>
      </c>
      <c r="BL355" s="137">
        <f>$W355*AQ355+$L355*Summary_LCIA!AH$32</f>
        <v>1.0038968655237477</v>
      </c>
      <c r="BM355" s="137">
        <f>$W355*AR355+$L355*Summary_LCIA!AI$32</f>
        <v>0.40577393301378512</v>
      </c>
    </row>
    <row r="356" spans="1:65" x14ac:dyDescent="0.25">
      <c r="A356" s="149">
        <v>367</v>
      </c>
      <c r="B356" s="149">
        <v>6</v>
      </c>
      <c r="C356" s="61">
        <v>49.261045000000003</v>
      </c>
      <c r="D356" s="61">
        <v>-123.248794</v>
      </c>
      <c r="E356" s="61" t="s">
        <v>459</v>
      </c>
      <c r="F356" s="149">
        <v>123</v>
      </c>
      <c r="G356" s="61" t="s">
        <v>728</v>
      </c>
      <c r="H356" s="61" t="s">
        <v>729</v>
      </c>
      <c r="I356" s="61">
        <v>49.196691000000001</v>
      </c>
      <c r="J356" s="61">
        <v>-123.181512</v>
      </c>
      <c r="K356" s="61">
        <v>17.860732670000001</v>
      </c>
      <c r="L356" s="61">
        <v>15.871</v>
      </c>
      <c r="M356" s="61" t="s">
        <v>617</v>
      </c>
      <c r="N356" s="149">
        <v>5</v>
      </c>
      <c r="O356" s="149">
        <v>6</v>
      </c>
      <c r="P356" s="61" t="s">
        <v>565</v>
      </c>
      <c r="Q356" s="61" t="s">
        <v>564</v>
      </c>
      <c r="R356" s="61">
        <v>41.98028</v>
      </c>
      <c r="S356" s="61">
        <v>-87.908997900000003</v>
      </c>
      <c r="T356" s="61">
        <v>3520.38</v>
      </c>
      <c r="U356" s="61" t="s">
        <v>617</v>
      </c>
      <c r="V356" s="61" t="s">
        <v>569</v>
      </c>
      <c r="W356" s="61" cm="1">
        <f t="array" ref="W356">getDistance(I356,J356,R356,S356)*SA!$B$12</f>
        <v>2838.5465962750654</v>
      </c>
      <c r="X356" s="61"/>
      <c r="Y356" s="137">
        <f>Transportation_LCIA!C$61*($W356^Transportation_LCIA!C$60)+Transportation_LCIA!C$62</f>
        <v>0.16341165396982271</v>
      </c>
      <c r="Z356" s="137">
        <f>Transportation_LCIA!D$61*($W356^Transportation_LCIA!D$60)+Transportation_LCIA!D$62</f>
        <v>1.595766906045522</v>
      </c>
      <c r="AA356" s="137">
        <f>Transportation_LCIA!E$61*($W356^Transportation_LCIA!E$60)+Transportation_LCIA!E$62</f>
        <v>6.0167876805224032E-4</v>
      </c>
      <c r="AB356" s="137">
        <f>Transportation_LCIA!F$61*($W356^Transportation_LCIA!F$60)+Transportation_LCIA!F$62</f>
        <v>0.16341165396982271</v>
      </c>
      <c r="AC356" s="137">
        <f>Transportation_LCIA!G$61*($W356^Transportation_LCIA!G$60)+Transportation_LCIA!G$62</f>
        <v>3.7469875633516794E-2</v>
      </c>
      <c r="AD356" s="137">
        <f>Transportation_LCIA!H$61*($W356^Transportation_LCIA!H$60)+Transportation_LCIA!H$62</f>
        <v>1.5874438556661178E-4</v>
      </c>
      <c r="AE356" s="137">
        <f>Transportation_LCIA!I$61*($W356^Transportation_LCIA!I$60)+Transportation_LCIA!I$62</f>
        <v>2.9986360972356475E-6</v>
      </c>
      <c r="AF356" s="137">
        <f>Transportation_LCIA!J$61*($W356^Transportation_LCIA!J$60)+Transportation_LCIA!J$62</f>
        <v>4.459198972211878E-3</v>
      </c>
      <c r="AG356" s="137">
        <f>Transportation_LCIA!K$61*($W356^Transportation_LCIA!K$60)+Transportation_LCIA!K$62</f>
        <v>7.6144249431488262E-3</v>
      </c>
      <c r="AH356" s="137">
        <f>Transportation_LCIA!L$61*($W356^Transportation_LCIA!L$60)+Transportation_LCIA!L$62</f>
        <v>1.318799278188965E-4</v>
      </c>
      <c r="AI356" s="137">
        <f>Transportation_LCIA!M$61*($W356^Transportation_LCIA!M$60)+Transportation_LCIA!M$62</f>
        <v>1.7849415361049055E-4</v>
      </c>
      <c r="AJ356" s="137">
        <f>Transportation_LCIA!N$61*($W356^Transportation_LCIA!N$60)+Transportation_LCIA!N$62</f>
        <v>5.9240028582074541E-4</v>
      </c>
      <c r="AK356" s="137">
        <f>Transportation_LCIA!O$61*($W356^Transportation_LCIA!O$60)+Transportation_LCIA!O$62</f>
        <v>3.9491405377574545E-5</v>
      </c>
      <c r="AL356" s="137">
        <f>Transportation_LCIA!P$61*($W356^Transportation_LCIA!P$60)+Transportation_LCIA!P$62</f>
        <v>1.9141839884955845E-8</v>
      </c>
      <c r="AM356" s="137">
        <f>Transportation_LCIA!Q$61*($W356^Transportation_LCIA!Q$60)+Transportation_LCIA!Q$62</f>
        <v>5.2836404600946049E-5</v>
      </c>
      <c r="AN356" s="137">
        <f>Transportation_LCIA!R$61*($W356^Transportation_LCIA!R$60)+Transportation_LCIA!R$62</f>
        <v>1.4469421902878936E-4</v>
      </c>
      <c r="AO356" s="137">
        <f>Transportation_LCIA!S$61*($W356^Transportation_LCIA!S$60)+Transportation_LCIA!S$62</f>
        <v>2.3094475183684916E-6</v>
      </c>
      <c r="AP356" s="137">
        <f>Transportation_LCIA!T$61*($W356^Transportation_LCIA!T$60)+Transportation_LCIA!T$62</f>
        <v>2.3094475183684916E-6</v>
      </c>
      <c r="AQ356" s="137">
        <f>Transportation_LCIA!U$61*($W356^Transportation_LCIA!U$60)+Transportation_LCIA!U$62</f>
        <v>3.0500187351507977E-4</v>
      </c>
      <c r="AR356" s="137">
        <f>Transportation_LCIA!V$61*($W356^Transportation_LCIA!V$60)+Transportation_LCIA!V$62</f>
        <v>1.3774278127999306E-4</v>
      </c>
      <c r="AT356" s="137">
        <f>$W356*Y356+$L356*Summary_LCIA!H$32</f>
        <v>469.24455996771906</v>
      </c>
      <c r="AU356" s="137">
        <f>$W356*Z356+$L356*Summary_LCIA!Q$32</f>
        <v>4608.3161960260513</v>
      </c>
      <c r="AV356" s="137">
        <f>$W356*AA356+$L356*Summary_LCIA!R$32</f>
        <v>1.7914635567056614</v>
      </c>
      <c r="AW356" s="137">
        <f>$W356*AB356+$L356*Summary_LCIA!S$32</f>
        <v>469.17441014771902</v>
      </c>
      <c r="AX356" s="137">
        <f>$W356*AC356+$L356*Summary_LCIA!T$32</f>
        <v>108.1042108423691</v>
      </c>
      <c r="AY356" s="137">
        <f>$W356*AD356+$L356*Summary_LCIA!U$32</f>
        <v>0.73491642932788248</v>
      </c>
      <c r="AZ356" s="137">
        <f>$W356*AE356+$L356*Summary_LCIA!V$32</f>
        <v>9.2697831182757921E-3</v>
      </c>
      <c r="BA356" s="137">
        <f>$W356*AF356+$L356*Summary_LCIA!W$32</f>
        <v>13.879250805685297</v>
      </c>
      <c r="BB356" s="137">
        <f>$W356*AG356+$L356*Summary_LCIA!X$32</f>
        <v>21.975441384967059</v>
      </c>
      <c r="BC356" s="137">
        <f>$W356*AH356+$L356*Summary_LCIA!Y$32</f>
        <v>0.62164924222732998</v>
      </c>
      <c r="BD356" s="137">
        <f>$W356*AI356+$L356*Summary_LCIA!Z$32</f>
        <v>0.50731482602505662</v>
      </c>
      <c r="BE356" s="137">
        <f>$W356*AJ356+$L356*Summary_LCIA!AA$32</f>
        <v>2.0522388909488529</v>
      </c>
      <c r="BF356" s="137">
        <f>$W356*AK356+$L356*Summary_LCIA!AB$32</f>
        <v>0.11175184148363304</v>
      </c>
      <c r="BG356" s="137">
        <f>$W356*AL356+$L356*Summary_LCIA!AC$32</f>
        <v>5.5110842415883706E-5</v>
      </c>
      <c r="BH356" s="137">
        <f>$W356*AM356+$L356*Summary_LCIA!AD$32</f>
        <v>0.15650221227942762</v>
      </c>
      <c r="BI356" s="137">
        <f>$W356*AN356+$L356*Summary_LCIA!AE$32</f>
        <v>0.42478505215484885</v>
      </c>
      <c r="BJ356" s="137">
        <f>$W356*AO356+$L356*Summary_LCIA!AF$32</f>
        <v>1.997313521254078E-2</v>
      </c>
      <c r="BK356" s="137">
        <f>$W356*AP356+$L356*Summary_LCIA!AG$32</f>
        <v>7.3675141075407787E-3</v>
      </c>
      <c r="BL356" s="137">
        <f>$W356*AQ356+$L356*Summary_LCIA!AH$32</f>
        <v>1.0038968655237477</v>
      </c>
      <c r="BM356" s="137">
        <f>$W356*AR356+$L356*Summary_LCIA!AI$32</f>
        <v>0.40577393301378512</v>
      </c>
    </row>
    <row r="357" spans="1:65" x14ac:dyDescent="0.25">
      <c r="A357" s="149">
        <v>217</v>
      </c>
      <c r="B357" s="149">
        <v>15</v>
      </c>
      <c r="C357" s="61">
        <v>35.791117999999997</v>
      </c>
      <c r="D357" s="61">
        <v>51.316220999999999</v>
      </c>
      <c r="E357" s="61" t="s">
        <v>278</v>
      </c>
      <c r="F357" s="149">
        <v>58</v>
      </c>
      <c r="G357" s="61" t="s">
        <v>279</v>
      </c>
      <c r="H357" s="61" t="s">
        <v>701</v>
      </c>
      <c r="I357" s="61">
        <v>35.743532000000002</v>
      </c>
      <c r="J357" s="61">
        <v>51.271971000000001</v>
      </c>
      <c r="K357" s="61">
        <v>1364.8377740000001</v>
      </c>
      <c r="L357" s="61">
        <v>16.777000000000001</v>
      </c>
      <c r="M357" s="61" t="s">
        <v>617</v>
      </c>
      <c r="N357" s="149">
        <v>14</v>
      </c>
      <c r="O357" s="149">
        <v>15</v>
      </c>
      <c r="P357" s="61" t="s">
        <v>567</v>
      </c>
      <c r="Q357" s="61" t="s">
        <v>566</v>
      </c>
      <c r="R357" s="61">
        <v>50.037932599999998</v>
      </c>
      <c r="S357" s="61">
        <v>8.5621518000000005</v>
      </c>
      <c r="T357" s="61">
        <v>4728.7700000000004</v>
      </c>
      <c r="U357" s="61" t="s">
        <v>617</v>
      </c>
      <c r="V357" s="61" t="s">
        <v>569</v>
      </c>
      <c r="W357" s="61" cm="1">
        <f t="array" ref="W357">getDistance(I357,J357,R357,S357)*SA!$B$12</f>
        <v>3769.587752024554</v>
      </c>
      <c r="X357" s="61"/>
      <c r="Y357" s="137">
        <f>Transportation_LCIA!C$61*($W357^Transportation_LCIA!C$60)+Transportation_LCIA!C$62</f>
        <v>0.15249863555666499</v>
      </c>
      <c r="Z357" s="137">
        <f>Transportation_LCIA!D$61*($W357^Transportation_LCIA!D$60)+Transportation_LCIA!D$62</f>
        <v>1.4747921801268353</v>
      </c>
      <c r="AA357" s="137">
        <f>Transportation_LCIA!E$61*($W357^Transportation_LCIA!E$60)+Transportation_LCIA!E$62</f>
        <v>5.232800931325712E-4</v>
      </c>
      <c r="AB357" s="137">
        <f>Transportation_LCIA!F$61*($W357^Transportation_LCIA!F$60)+Transportation_LCIA!F$62</f>
        <v>0.15249863555666499</v>
      </c>
      <c r="AC357" s="137">
        <f>Transportation_LCIA!G$61*($W357^Transportation_LCIA!G$60)+Transportation_LCIA!G$62</f>
        <v>3.4662632720672305E-2</v>
      </c>
      <c r="AD357" s="137">
        <f>Transportation_LCIA!H$61*($W357^Transportation_LCIA!H$60)+Transportation_LCIA!H$62</f>
        <v>1.4199094931638254E-4</v>
      </c>
      <c r="AE357" s="137">
        <f>Transportation_LCIA!I$61*($W357^Transportation_LCIA!I$60)+Transportation_LCIA!I$62</f>
        <v>2.5958293277099199E-6</v>
      </c>
      <c r="AF357" s="137">
        <f>Transportation_LCIA!J$61*($W357^Transportation_LCIA!J$60)+Transportation_LCIA!J$62</f>
        <v>3.8770468522408815E-3</v>
      </c>
      <c r="AG357" s="137">
        <f>Transportation_LCIA!K$61*($W357^Transportation_LCIA!K$60)+Transportation_LCIA!K$62</f>
        <v>6.9759150433585052E-3</v>
      </c>
      <c r="AH357" s="137">
        <f>Transportation_LCIA!L$61*($W357^Transportation_LCIA!L$60)+Transportation_LCIA!L$62</f>
        <v>1.1667804990051856E-4</v>
      </c>
      <c r="AI357" s="137">
        <f>Transportation_LCIA!M$61*($W357^Transportation_LCIA!M$60)+Transportation_LCIA!M$62</f>
        <v>1.6926244124032327E-4</v>
      </c>
      <c r="AJ357" s="137">
        <f>Transportation_LCIA!N$61*($W357^Transportation_LCIA!N$60)+Transportation_LCIA!N$62</f>
        <v>5.3586641163412769E-4</v>
      </c>
      <c r="AK357" s="137">
        <f>Transportation_LCIA!O$61*($W357^Transportation_LCIA!O$60)+Transportation_LCIA!O$62</f>
        <v>3.6512558352428148E-5</v>
      </c>
      <c r="AL357" s="137">
        <f>Transportation_LCIA!P$61*($W357^Transportation_LCIA!P$60)+Transportation_LCIA!P$62</f>
        <v>1.7704157176186822E-8</v>
      </c>
      <c r="AM357" s="137">
        <f>Transportation_LCIA!Q$61*($W357^Transportation_LCIA!Q$60)+Transportation_LCIA!Q$62</f>
        <v>4.693418148344128E-5</v>
      </c>
      <c r="AN357" s="137">
        <f>Transportation_LCIA!R$61*($W357^Transportation_LCIA!R$60)+Transportation_LCIA!R$62</f>
        <v>1.2539987033783506E-4</v>
      </c>
      <c r="AO357" s="137">
        <f>Transportation_LCIA!S$61*($W357^Transportation_LCIA!S$60)+Transportation_LCIA!S$62</f>
        <v>2.0350560318419809E-6</v>
      </c>
      <c r="AP357" s="137">
        <f>Transportation_LCIA!T$61*($W357^Transportation_LCIA!T$60)+Transportation_LCIA!T$62</f>
        <v>2.0350560318419809E-6</v>
      </c>
      <c r="AQ357" s="137">
        <f>Transportation_LCIA!U$61*($W357^Transportation_LCIA!U$60)+Transportation_LCIA!U$62</f>
        <v>2.630560915151498E-4</v>
      </c>
      <c r="AR357" s="137">
        <f>Transportation_LCIA!V$61*($W357^Transportation_LCIA!V$60)+Transportation_LCIA!V$62</f>
        <v>1.2252707303670829E-4</v>
      </c>
      <c r="AT357" s="137">
        <f>$W357*Y357+$L357*Summary_LCIA!H$32</f>
        <v>580.55781339486055</v>
      </c>
      <c r="AU357" s="137">
        <f>$W357*Z357+$L357*Summary_LCIA!Q$32</f>
        <v>5642.5061971021487</v>
      </c>
      <c r="AV357" s="137">
        <f>$W357*AA357+$L357*Summary_LCIA!R$32</f>
        <v>2.0608912011508083</v>
      </c>
      <c r="AW357" s="137">
        <f>$W357*AB357+$L357*Summary_LCIA!S$32</f>
        <v>580.48365905486048</v>
      </c>
      <c r="AX357" s="137">
        <f>$W357*AC357+$L357*Summary_LCIA!T$32</f>
        <v>132.50762805677186</v>
      </c>
      <c r="AY357" s="137">
        <f>$W357*AD357+$L357*Summary_LCIA!U$32</f>
        <v>0.83579052144137478</v>
      </c>
      <c r="AZ357" s="137">
        <f>$W357*AE357+$L357*Summary_LCIA!V$32</f>
        <v>1.0586492737081446E-2</v>
      </c>
      <c r="BA357" s="137">
        <f>$W357*AF357+$L357*Summary_LCIA!W$32</f>
        <v>15.906210795232578</v>
      </c>
      <c r="BB357" s="137">
        <f>$W357*AG357+$L357*Summary_LCIA!X$32</f>
        <v>26.678503966608055</v>
      </c>
      <c r="BC357" s="137">
        <f>$W357*AH357+$L357*Summary_LCIA!Y$32</f>
        <v>0.7012473618351045</v>
      </c>
      <c r="BD357" s="137">
        <f>$W357*AI357+$L357*Summary_LCIA!Z$32</f>
        <v>0.63873763337029832</v>
      </c>
      <c r="BE357" s="137">
        <f>$W357*AJ357+$L357*Summary_LCIA!AA$32</f>
        <v>2.4118390740173559</v>
      </c>
      <c r="BF357" s="137">
        <f>$W357*AK357+$L357*Summary_LCIA!AB$32</f>
        <v>0.13727116828939495</v>
      </c>
      <c r="BG357" s="137">
        <f>$W357*AL357+$L357*Summary_LCIA!AC$32</f>
        <v>6.7557500919271452E-5</v>
      </c>
      <c r="BH357" s="137">
        <f>$W357*AM357+$L357*Summary_LCIA!AD$32</f>
        <v>0.18381853375127788</v>
      </c>
      <c r="BI357" s="137">
        <f>$W357*AN357+$L357*Summary_LCIA!AE$32</f>
        <v>0.48757241834097015</v>
      </c>
      <c r="BJ357" s="137">
        <f>$W357*AO357+$L357*Summary_LCIA!AF$32</f>
        <v>2.1854933632315221E-2</v>
      </c>
      <c r="BK357" s="137">
        <f>$W357*AP357+$L357*Summary_LCIA!AG$32</f>
        <v>8.5297174973152229E-3</v>
      </c>
      <c r="BL357" s="137">
        <f>$W357*AQ357+$L357*Summary_LCIA!AH$32</f>
        <v>1.137633317870959</v>
      </c>
      <c r="BM357" s="137">
        <f>$W357*AR357+$L357*Summary_LCIA!AI$32</f>
        <v>0.47750516816059357</v>
      </c>
    </row>
    <row r="358" spans="1:65" x14ac:dyDescent="0.25">
      <c r="A358" s="149">
        <v>181</v>
      </c>
      <c r="B358" s="149">
        <v>15</v>
      </c>
      <c r="C358" s="61">
        <v>30.022765</v>
      </c>
      <c r="D358" s="61">
        <v>31.207319999999999</v>
      </c>
      <c r="E358" s="61" t="s">
        <v>269</v>
      </c>
      <c r="F358" s="149">
        <v>60</v>
      </c>
      <c r="G358" s="61" t="s">
        <v>270</v>
      </c>
      <c r="H358" s="61" t="s">
        <v>690</v>
      </c>
      <c r="I358" s="61">
        <v>30.112831</v>
      </c>
      <c r="J358" s="61">
        <v>31.397601999999999</v>
      </c>
      <c r="K358" s="61">
        <v>1340.507924</v>
      </c>
      <c r="L358" s="61">
        <v>25.734999999999999</v>
      </c>
      <c r="M358" s="61" t="s">
        <v>617</v>
      </c>
      <c r="N358" s="149">
        <v>14</v>
      </c>
      <c r="O358" s="149">
        <v>15</v>
      </c>
      <c r="P358" s="61" t="s">
        <v>567</v>
      </c>
      <c r="Q358" s="61" t="s">
        <v>566</v>
      </c>
      <c r="R358" s="61">
        <v>50.037932599999998</v>
      </c>
      <c r="S358" s="61">
        <v>8.5621518000000005</v>
      </c>
      <c r="T358" s="61">
        <v>4860.4089999999997</v>
      </c>
      <c r="U358" s="61" t="s">
        <v>617</v>
      </c>
      <c r="V358" s="61" t="s">
        <v>569</v>
      </c>
      <c r="W358" s="61" cm="1">
        <f t="array" ref="W358">getDistance(I358,J358,R358,S358)*SA!$B$12</f>
        <v>2926.96660487086</v>
      </c>
      <c r="X358" s="61"/>
      <c r="Y358" s="137">
        <f>Transportation_LCIA!C$61*($W358^Transportation_LCIA!C$60)+Transportation_LCIA!C$62</f>
        <v>0.16210255251242142</v>
      </c>
      <c r="Z358" s="137">
        <f>Transportation_LCIA!D$61*($W358^Transportation_LCIA!D$60)+Transportation_LCIA!D$62</f>
        <v>1.5811787373200161</v>
      </c>
      <c r="AA358" s="137">
        <f>Transportation_LCIA!E$61*($W358^Transportation_LCIA!E$60)+Transportation_LCIA!E$62</f>
        <v>5.9221086091727044E-4</v>
      </c>
      <c r="AB358" s="137">
        <f>Transportation_LCIA!F$61*($W358^Transportation_LCIA!F$60)+Transportation_LCIA!F$62</f>
        <v>0.16210255251242142</v>
      </c>
      <c r="AC358" s="137">
        <f>Transportation_LCIA!G$61*($W358^Transportation_LCIA!G$60)+Transportation_LCIA!G$62</f>
        <v>3.7131457648489574E-2</v>
      </c>
      <c r="AD358" s="137">
        <f>Transportation_LCIA!H$61*($W358^Transportation_LCIA!H$60)+Transportation_LCIA!H$62</f>
        <v>1.567152527858557E-4</v>
      </c>
      <c r="AE358" s="137">
        <f>Transportation_LCIA!I$61*($W358^Transportation_LCIA!I$60)+Transportation_LCIA!I$62</f>
        <v>2.9496208387207946E-6</v>
      </c>
      <c r="AF358" s="137">
        <f>Transportation_LCIA!J$61*($W358^Transportation_LCIA!J$60)+Transportation_LCIA!J$62</f>
        <v>4.3881441452681405E-3</v>
      </c>
      <c r="AG358" s="137">
        <f>Transportation_LCIA!K$61*($W358^Transportation_LCIA!K$60)+Transportation_LCIA!K$62</f>
        <v>7.5372476017549449E-3</v>
      </c>
      <c r="AH358" s="137">
        <f>Transportation_LCIA!L$61*($W358^Transportation_LCIA!L$60)+Transportation_LCIA!L$62</f>
        <v>1.300362640165528E-4</v>
      </c>
      <c r="AI358" s="137">
        <f>Transportation_LCIA!M$61*($W358^Transportation_LCIA!M$60)+Transportation_LCIA!M$62</f>
        <v>1.7737585573911126E-4</v>
      </c>
      <c r="AJ358" s="137">
        <f>Transportation_LCIA!N$61*($W358^Transportation_LCIA!N$60)+Transportation_LCIA!N$62</f>
        <v>5.8555559293073259E-4</v>
      </c>
      <c r="AK358" s="137">
        <f>Transportation_LCIA!O$61*($W358^Transportation_LCIA!O$60)+Transportation_LCIA!O$62</f>
        <v>3.913224851930483E-5</v>
      </c>
      <c r="AL358" s="137">
        <f>Transportation_LCIA!P$61*($W358^Transportation_LCIA!P$60)+Transportation_LCIA!P$62</f>
        <v>1.8968567329456026E-8</v>
      </c>
      <c r="AM358" s="137">
        <f>Transportation_LCIA!Q$61*($W358^Transportation_LCIA!Q$60)+Transportation_LCIA!Q$62</f>
        <v>5.2120077890892584E-5</v>
      </c>
      <c r="AN358" s="137">
        <f>Transportation_LCIA!R$61*($W358^Transportation_LCIA!R$60)+Transportation_LCIA!R$62</f>
        <v>1.4234613513850302E-4</v>
      </c>
      <c r="AO358" s="137">
        <f>Transportation_LCIA!S$61*($W358^Transportation_LCIA!S$60)+Transportation_LCIA!S$62</f>
        <v>2.2760615928862299E-6</v>
      </c>
      <c r="AP358" s="137">
        <f>Transportation_LCIA!T$61*($W358^Transportation_LCIA!T$60)+Transportation_LCIA!T$62</f>
        <v>2.2760615928862299E-6</v>
      </c>
      <c r="AQ358" s="137">
        <f>Transportation_LCIA!U$61*($W358^Transportation_LCIA!U$60)+Transportation_LCIA!U$62</f>
        <v>2.9989263792086528E-4</v>
      </c>
      <c r="AR358" s="137">
        <f>Transportation_LCIA!V$61*($W358^Transportation_LCIA!V$60)+Transportation_LCIA!V$62</f>
        <v>1.3589441208504177E-4</v>
      </c>
      <c r="AT358" s="137">
        <f>$W358*Y358+$L358*Summary_LCIA!H$32</f>
        <v>483.2135107681824</v>
      </c>
      <c r="AU358" s="137">
        <f>$W358*Z358+$L358*Summary_LCIA!Q$32</f>
        <v>4755.6013183608156</v>
      </c>
      <c r="AV358" s="137">
        <f>$W358*AA358+$L358*Summary_LCIA!R$32</f>
        <v>1.8688916289466722</v>
      </c>
      <c r="AW358" s="137">
        <f>$W358*AB358+$L358*Summary_LCIA!S$32</f>
        <v>483.09976206818237</v>
      </c>
      <c r="AX358" s="137">
        <f>$W358*AC358+$L358*Summary_LCIA!T$32</f>
        <v>111.51081302730566</v>
      </c>
      <c r="AY358" s="137">
        <f>$W358*AD358+$L358*Summary_LCIA!U$32</f>
        <v>0.91971710137809459</v>
      </c>
      <c r="AZ358" s="137">
        <f>$W358*AE358+$L358*Summary_LCIA!V$32</f>
        <v>9.8625710269669431E-3</v>
      </c>
      <c r="BA358" s="137">
        <f>$W358*AF358+$L358*Summary_LCIA!W$32</f>
        <v>14.824800055559431</v>
      </c>
      <c r="BB358" s="137">
        <f>$W358*AG358+$L358*Summary_LCIA!X$32</f>
        <v>22.647515322979704</v>
      </c>
      <c r="BC358" s="137">
        <f>$W358*AH358+$L358*Summary_LCIA!Y$32</f>
        <v>0.78161457219862029</v>
      </c>
      <c r="BD358" s="137">
        <f>$W358*AI358+$L358*Summary_LCIA!Z$32</f>
        <v>0.52022857287377</v>
      </c>
      <c r="BE358" s="137">
        <f>$W358*AJ358+$L358*Summary_LCIA!AA$32</f>
        <v>2.3149683258036098</v>
      </c>
      <c r="BF358" s="137">
        <f>$W358*AK358+$L358*Summary_LCIA!AB$32</f>
        <v>0.11397716968451241</v>
      </c>
      <c r="BG358" s="137">
        <f>$W358*AL358+$L358*Summary_LCIA!AC$32</f>
        <v>5.677839285556222E-5</v>
      </c>
      <c r="BH358" s="137">
        <f>$W358*AM358+$L358*Summary_LCIA!AD$32</f>
        <v>0.16313184182991064</v>
      </c>
      <c r="BI358" s="137">
        <f>$W358*AN358+$L358*Summary_LCIA!AE$32</f>
        <v>0.43944693943283281</v>
      </c>
      <c r="BJ358" s="137">
        <f>$W358*AO358+$L358*Summary_LCIA!AF$32</f>
        <v>2.8418839973007169E-2</v>
      </c>
      <c r="BK358" s="137">
        <f>$W358*AP358+$L358*Summary_LCIA!AG$32</f>
        <v>7.9786875480071691E-3</v>
      </c>
      <c r="BL358" s="137">
        <f>$W358*AQ358+$L358*Summary_LCIA!AH$32</f>
        <v>1.1017628822410011</v>
      </c>
      <c r="BM358" s="137">
        <f>$W358*AR358+$L358*Summary_LCIA!AI$32</f>
        <v>0.42173184521147628</v>
      </c>
    </row>
    <row r="359" spans="1:65" x14ac:dyDescent="0.25">
      <c r="A359" s="149">
        <v>235</v>
      </c>
      <c r="B359" s="149">
        <v>15</v>
      </c>
      <c r="C359" s="61">
        <v>29.351009000000001</v>
      </c>
      <c r="D359" s="61">
        <v>47.944330999999998</v>
      </c>
      <c r="E359" s="61" t="s">
        <v>282</v>
      </c>
      <c r="F359" s="149">
        <v>58</v>
      </c>
      <c r="G359" s="61" t="s">
        <v>283</v>
      </c>
      <c r="H359" s="61" t="s">
        <v>706</v>
      </c>
      <c r="I359" s="61">
        <v>29.240445999999999</v>
      </c>
      <c r="J359" s="61">
        <v>47.968857</v>
      </c>
      <c r="K359" s="61">
        <v>672.29659430000004</v>
      </c>
      <c r="L359" s="61">
        <v>18.744</v>
      </c>
      <c r="M359" s="61" t="s">
        <v>617</v>
      </c>
      <c r="N359" s="149">
        <v>14</v>
      </c>
      <c r="O359" s="149">
        <v>15</v>
      </c>
      <c r="P359" s="61" t="s">
        <v>567</v>
      </c>
      <c r="Q359" s="61" t="s">
        <v>566</v>
      </c>
      <c r="R359" s="61">
        <v>50.037932599999998</v>
      </c>
      <c r="S359" s="61">
        <v>8.5621518000000005</v>
      </c>
      <c r="T359" s="61">
        <v>5118.5919999999996</v>
      </c>
      <c r="U359" s="61" t="s">
        <v>617</v>
      </c>
      <c r="V359" s="61" t="s">
        <v>569</v>
      </c>
      <c r="W359" s="61" cm="1">
        <f t="array" ref="W359">getDistance(I359,J359,R359,S359)*SA!$B$12</f>
        <v>4027.6455522727247</v>
      </c>
      <c r="X359" s="61"/>
      <c r="Y359" s="137">
        <f>Transportation_LCIA!C$61*($W359^Transportation_LCIA!C$60)+Transportation_LCIA!C$62</f>
        <v>0.15030384980311071</v>
      </c>
      <c r="Z359" s="137">
        <f>Transportation_LCIA!D$61*($W359^Transportation_LCIA!D$60)+Transportation_LCIA!D$62</f>
        <v>1.4506519972075935</v>
      </c>
      <c r="AA359" s="137">
        <f>Transportation_LCIA!E$61*($W359^Transportation_LCIA!E$60)+Transportation_LCIA!E$62</f>
        <v>5.0767027593173471E-4</v>
      </c>
      <c r="AB359" s="137">
        <f>Transportation_LCIA!F$61*($W359^Transportation_LCIA!F$60)+Transportation_LCIA!F$62</f>
        <v>0.15030384980311071</v>
      </c>
      <c r="AC359" s="137">
        <f>Transportation_LCIA!G$61*($W359^Transportation_LCIA!G$60)+Transportation_LCIA!G$62</f>
        <v>3.4102198798369163E-2</v>
      </c>
      <c r="AD359" s="137">
        <f>Transportation_LCIA!H$61*($W359^Transportation_LCIA!H$60)+Transportation_LCIA!H$62</f>
        <v>1.3866969839146159E-4</v>
      </c>
      <c r="AE359" s="137">
        <f>Transportation_LCIA!I$61*($W359^Transportation_LCIA!I$60)+Transportation_LCIA!I$62</f>
        <v>2.5165344668096448E-6</v>
      </c>
      <c r="AF359" s="137">
        <f>Transportation_LCIA!J$61*($W359^Transportation_LCIA!J$60)+Transportation_LCIA!J$62</f>
        <v>3.7629719135529221E-3</v>
      </c>
      <c r="AG359" s="137">
        <f>Transportation_LCIA!K$61*($W359^Transportation_LCIA!K$60)+Transportation_LCIA!K$62</f>
        <v>6.8489477137590208E-3</v>
      </c>
      <c r="AH359" s="137">
        <f>Transportation_LCIA!L$61*($W359^Transportation_LCIA!L$60)+Transportation_LCIA!L$62</f>
        <v>1.1367040138470175E-4</v>
      </c>
      <c r="AI359" s="137">
        <f>Transportation_LCIA!M$61*($W359^Transportation_LCIA!M$60)+Transportation_LCIA!M$62</f>
        <v>1.6743275350147188E-4</v>
      </c>
      <c r="AJ359" s="137">
        <f>Transportation_LCIA!N$61*($W359^Transportation_LCIA!N$60)+Transportation_LCIA!N$62</f>
        <v>5.2465271738618194E-4</v>
      </c>
      <c r="AK359" s="137">
        <f>Transportation_LCIA!O$61*($W359^Transportation_LCIA!O$60)+Transportation_LCIA!O$62</f>
        <v>3.5917993692540506E-5</v>
      </c>
      <c r="AL359" s="137">
        <f>Transportation_LCIA!P$61*($W359^Transportation_LCIA!P$60)+Transportation_LCIA!P$62</f>
        <v>1.741703477237647E-8</v>
      </c>
      <c r="AM359" s="137">
        <f>Transportation_LCIA!Q$61*($W359^Transportation_LCIA!Q$60)+Transportation_LCIA!Q$62</f>
        <v>4.576769964967199E-5</v>
      </c>
      <c r="AN359" s="137">
        <f>Transportation_LCIA!R$61*($W359^Transportation_LCIA!R$60)+Transportation_LCIA!R$62</f>
        <v>1.216023101469281E-4</v>
      </c>
      <c r="AO359" s="137">
        <f>Transportation_LCIA!S$61*($W359^Transportation_LCIA!S$60)+Transportation_LCIA!S$62</f>
        <v>1.9810326458284998E-6</v>
      </c>
      <c r="AP359" s="137">
        <f>Transportation_LCIA!T$61*($W359^Transportation_LCIA!T$60)+Transportation_LCIA!T$62</f>
        <v>1.9810326458284998E-6</v>
      </c>
      <c r="AQ359" s="137">
        <f>Transportation_LCIA!U$61*($W359^Transportation_LCIA!U$60)+Transportation_LCIA!U$62</f>
        <v>2.5481121914906741E-4</v>
      </c>
      <c r="AR359" s="137">
        <f>Transportation_LCIA!V$61*($W359^Transportation_LCIA!V$60)+Transportation_LCIA!V$62</f>
        <v>1.1952410011835198E-4</v>
      </c>
      <c r="AT359" s="137">
        <f>$W359*Y359+$L359*Summary_LCIA!H$32</f>
        <v>611.73984334896647</v>
      </c>
      <c r="AU359" s="137">
        <f>$W359*Z359+$L359*Summary_LCIA!Q$32</f>
        <v>5935.6082737648612</v>
      </c>
      <c r="AV359" s="137">
        <f>$W359*AA359+$L359*Summary_LCIA!R$32</f>
        <v>2.1434143352775181</v>
      </c>
      <c r="AW359" s="137">
        <f>$W359*AB359+$L359*Summary_LCIA!S$32</f>
        <v>611.65699486896654</v>
      </c>
      <c r="AX359" s="137">
        <f>$W359*AC359+$L359*Summary_LCIA!T$32</f>
        <v>139.4115349129718</v>
      </c>
      <c r="AY359" s="137">
        <f>$W359*AD359+$L359*Summary_LCIA!U$32</f>
        <v>0.89429240996137038</v>
      </c>
      <c r="AZ359" s="137">
        <f>$W359*AE359+$L359*Summary_LCIA!V$32</f>
        <v>1.1030941036386879E-2</v>
      </c>
      <c r="BA359" s="137">
        <f>$W359*AF359+$L359*Summary_LCIA!W$32</f>
        <v>16.59866151494861</v>
      </c>
      <c r="BB359" s="137">
        <f>$W359*AG359+$L359*Summary_LCIA!X$32</f>
        <v>28.012122117069968</v>
      </c>
      <c r="BC359" s="137">
        <f>$W359*AH359+$L359*Summary_LCIA!Y$32</f>
        <v>0.74989309456214936</v>
      </c>
      <c r="BD359" s="137">
        <f>$W359*AI359+$L359*Summary_LCIA!Z$32</f>
        <v>0.67512845764097862</v>
      </c>
      <c r="BE359" s="137">
        <f>$W359*AJ359+$L359*Summary_LCIA!AA$32</f>
        <v>2.5509000476682546</v>
      </c>
      <c r="BF359" s="137">
        <f>$W359*AK359+$L359*Summary_LCIA!AB$32</f>
        <v>0.14425589723032053</v>
      </c>
      <c r="BG359" s="137">
        <f>$W359*AL359+$L359*Summary_LCIA!AC$32</f>
        <v>7.1065924330741476E-5</v>
      </c>
      <c r="BH359" s="137">
        <f>$W359*AM359+$L359*Summary_LCIA!AD$32</f>
        <v>0.19204060569175532</v>
      </c>
      <c r="BI359" s="137">
        <f>$W359*AN359+$L359*Summary_LCIA!AE$32</f>
        <v>0.50638062432936337</v>
      </c>
      <c r="BJ359" s="137">
        <f>$W359*AO359+$L359*Summary_LCIA!AF$32</f>
        <v>2.3825449804878225E-2</v>
      </c>
      <c r="BK359" s="137">
        <f>$W359*AP359+$L359*Summary_LCIA!AG$32</f>
        <v>8.9379340848782258E-3</v>
      </c>
      <c r="BL359" s="137">
        <f>$W359*AQ359+$L359*Summary_LCIA!AH$32</f>
        <v>1.1894295518749318</v>
      </c>
      <c r="BM359" s="137">
        <f>$W359*AR359+$L359*Summary_LCIA!AI$32</f>
        <v>0.49886168343108023</v>
      </c>
    </row>
    <row r="360" spans="1:65" x14ac:dyDescent="0.25">
      <c r="A360" s="149">
        <v>182</v>
      </c>
      <c r="B360" s="149">
        <v>6</v>
      </c>
      <c r="C360" s="61">
        <v>9.8572469999999992</v>
      </c>
      <c r="D360" s="61">
        <v>-83.912312999999997</v>
      </c>
      <c r="E360" s="61" t="s">
        <v>467</v>
      </c>
      <c r="F360" s="149">
        <v>33</v>
      </c>
      <c r="G360" s="61" t="s">
        <v>691</v>
      </c>
      <c r="H360" s="61" t="s">
        <v>692</v>
      </c>
      <c r="I360" s="61">
        <v>9.7998569999999994</v>
      </c>
      <c r="J360" s="61">
        <v>-84.044955999999999</v>
      </c>
      <c r="K360" s="61">
        <v>2361.9992550000002</v>
      </c>
      <c r="L360" s="61">
        <v>21.867999999999999</v>
      </c>
      <c r="M360" s="61" t="s">
        <v>617</v>
      </c>
      <c r="N360" s="149">
        <v>5</v>
      </c>
      <c r="O360" s="149">
        <v>6</v>
      </c>
      <c r="P360" s="61" t="s">
        <v>565</v>
      </c>
      <c r="Q360" s="61" t="s">
        <v>564</v>
      </c>
      <c r="R360" s="61">
        <v>41.98028</v>
      </c>
      <c r="S360" s="61">
        <v>-87.908997900000003</v>
      </c>
      <c r="T360" s="61">
        <v>5616.73</v>
      </c>
      <c r="U360" s="61" t="s">
        <v>617</v>
      </c>
      <c r="V360" s="61" t="s">
        <v>569</v>
      </c>
      <c r="W360" s="61" cm="1">
        <f t="array" ref="W360">getDistance(I360,J360,R360,S360)*SA!$B$12</f>
        <v>3595.2058790218221</v>
      </c>
      <c r="X360" s="61"/>
      <c r="Y360" s="137">
        <f>Transportation_LCIA!C$61*($W360^Transportation_LCIA!C$60)+Transportation_LCIA!C$62</f>
        <v>0.15414505284652216</v>
      </c>
      <c r="Z360" s="137">
        <f>Transportation_LCIA!D$61*($W360^Transportation_LCIA!D$60)+Transportation_LCIA!D$62</f>
        <v>1.4929455068291377</v>
      </c>
      <c r="AA360" s="137">
        <f>Transportation_LCIA!E$61*($W360^Transportation_LCIA!E$60)+Transportation_LCIA!E$62</f>
        <v>5.3502673063546779E-4</v>
      </c>
      <c r="AB360" s="137">
        <f>Transportation_LCIA!F$61*($W360^Transportation_LCIA!F$60)+Transportation_LCIA!F$62</f>
        <v>0.15414505284652216</v>
      </c>
      <c r="AC360" s="137">
        <f>Transportation_LCIA!G$61*($W360^Transportation_LCIA!G$60)+Transportation_LCIA!G$62</f>
        <v>3.5084016492273155E-2</v>
      </c>
      <c r="AD360" s="137">
        <f>Transportation_LCIA!H$61*($W360^Transportation_LCIA!H$60)+Transportation_LCIA!H$62</f>
        <v>1.4449365736565731E-4</v>
      </c>
      <c r="AE360" s="137">
        <f>Transportation_LCIA!I$61*($W360^Transportation_LCIA!I$60)+Transportation_LCIA!I$62</f>
        <v>2.6557129612621738E-6</v>
      </c>
      <c r="AF360" s="137">
        <f>Transportation_LCIA!J$61*($W360^Transportation_LCIA!J$60)+Transportation_LCIA!J$62</f>
        <v>3.9633202569427581E-3</v>
      </c>
      <c r="AG360" s="137">
        <f>Transportation_LCIA!K$61*($W360^Transportation_LCIA!K$60)+Transportation_LCIA!K$62</f>
        <v>7.0714989525552229E-3</v>
      </c>
      <c r="AH360" s="137">
        <f>Transportation_LCIA!L$61*($W360^Transportation_LCIA!L$60)+Transportation_LCIA!L$62</f>
        <v>1.1894586386528629E-4</v>
      </c>
      <c r="AI360" s="137">
        <f>Transportation_LCIA!M$61*($W360^Transportation_LCIA!M$60)+Transportation_LCIA!M$62</f>
        <v>1.7064129360991036E-4</v>
      </c>
      <c r="AJ360" s="137">
        <f>Transportation_LCIA!N$61*($W360^Transportation_LCIA!N$60)+Transportation_LCIA!N$62</f>
        <v>5.4431494539880043E-4</v>
      </c>
      <c r="AK360" s="137">
        <f>Transportation_LCIA!O$61*($W360^Transportation_LCIA!O$60)+Transportation_LCIA!O$62</f>
        <v>3.6959634835137661E-5</v>
      </c>
      <c r="AL360" s="137">
        <f>Transportation_LCIA!P$61*($W360^Transportation_LCIA!P$60)+Transportation_LCIA!P$62</f>
        <v>1.7920016293016641E-8</v>
      </c>
      <c r="AM360" s="137">
        <f>Transportation_LCIA!Q$61*($W360^Transportation_LCIA!Q$60)+Transportation_LCIA!Q$62</f>
        <v>4.7814023487817716E-5</v>
      </c>
      <c r="AN360" s="137">
        <f>Transportation_LCIA!R$61*($W360^Transportation_LCIA!R$60)+Transportation_LCIA!R$62</f>
        <v>1.2826794751491304E-4</v>
      </c>
      <c r="AO360" s="137">
        <f>Transportation_LCIA!S$61*($W360^Transportation_LCIA!S$60)+Transportation_LCIA!S$62</f>
        <v>2.0758527503304824E-6</v>
      </c>
      <c r="AP360" s="137">
        <f>Transportation_LCIA!T$61*($W360^Transportation_LCIA!T$60)+Transportation_LCIA!T$62</f>
        <v>2.0758527503304824E-6</v>
      </c>
      <c r="AQ360" s="137">
        <f>Transportation_LCIA!U$61*($W360^Transportation_LCIA!U$60)+Transportation_LCIA!U$62</f>
        <v>2.6928556231917893E-4</v>
      </c>
      <c r="AR360" s="137">
        <f>Transportation_LCIA!V$61*($W360^Transportation_LCIA!V$60)+Transportation_LCIA!V$62</f>
        <v>1.247931095963834E-4</v>
      </c>
      <c r="AT360" s="137">
        <f>$W360*Y360+$L360*Summary_LCIA!H$32</f>
        <v>561.61394661594591</v>
      </c>
      <c r="AU360" s="137">
        <f>$W360*Z360+$L360*Summary_LCIA!Q$32</f>
        <v>5475.8253740801738</v>
      </c>
      <c r="AV360" s="137">
        <f>$W360*AA360+$L360*Summary_LCIA!R$32</f>
        <v>2.0386793882144585</v>
      </c>
      <c r="AW360" s="137">
        <f>$W360*AB360+$L360*Summary_LCIA!S$32</f>
        <v>561.51729005594598</v>
      </c>
      <c r="AX360" s="137">
        <f>$W360*AC360+$L360*Summary_LCIA!T$32</f>
        <v>128.537555552719</v>
      </c>
      <c r="AY360" s="137">
        <f>$W360*AD360+$L360*Summary_LCIA!U$32</f>
        <v>0.911227798442376</v>
      </c>
      <c r="AZ360" s="137">
        <f>$W360*AE360+$L360*Summary_LCIA!V$32</f>
        <v>1.0592272399324219E-2</v>
      </c>
      <c r="BA360" s="137">
        <f>$W360*AF360+$L360*Summary_LCIA!W$32</f>
        <v>15.932154116206881</v>
      </c>
      <c r="BB360" s="137">
        <f>$W360*AG360+$L360*Summary_LCIA!X$32</f>
        <v>25.921647647723191</v>
      </c>
      <c r="BC360" s="137">
        <f>$W360*AH360+$L360*Summary_LCIA!Y$32</f>
        <v>0.76838204505380658</v>
      </c>
      <c r="BD360" s="137">
        <f>$W360*AI360+$L360*Summary_LCIA!Z$32</f>
        <v>0.6143873668022386</v>
      </c>
      <c r="BE360" s="137">
        <f>$W360*AJ360+$L360*Summary_LCIA!AA$32</f>
        <v>2.4676732997372093</v>
      </c>
      <c r="BF360" s="137">
        <f>$W360*AK360+$L360*Summary_LCIA!AB$32</f>
        <v>0.13240027108178665</v>
      </c>
      <c r="BG360" s="137">
        <f>$W360*AL360+$L360*Summary_LCIA!AC$32</f>
        <v>6.5495143240820269E-5</v>
      </c>
      <c r="BH360" s="137">
        <f>$W360*AM360+$L360*Summary_LCIA!AD$32</f>
        <v>0.18088988106308973</v>
      </c>
      <c r="BI360" s="137">
        <f>$W360*AN360+$L360*Summary_LCIA!AE$32</f>
        <v>0.4805275698356779</v>
      </c>
      <c r="BJ360" s="137">
        <f>$W360*AO360+$L360*Summary_LCIA!AF$32</f>
        <v>2.5950762571971767E-2</v>
      </c>
      <c r="BK360" s="137">
        <f>$W360*AP360+$L360*Summary_LCIA!AG$32</f>
        <v>8.581994231971769E-3</v>
      </c>
      <c r="BL360" s="137">
        <f>$W360*AQ360+$L360*Summary_LCIA!AH$32</f>
        <v>1.1584673615856094</v>
      </c>
      <c r="BM360" s="137">
        <f>$W360*AR360+$L360*Summary_LCIA!AI$32</f>
        <v>0.46902805668233216</v>
      </c>
    </row>
    <row r="361" spans="1:65" x14ac:dyDescent="0.25">
      <c r="A361" s="149">
        <v>3</v>
      </c>
      <c r="B361" s="149">
        <v>15</v>
      </c>
      <c r="C361" s="61">
        <v>35.597613000000003</v>
      </c>
      <c r="D361" s="61">
        <v>139.65054000000001</v>
      </c>
      <c r="E361" s="61" t="s">
        <v>272</v>
      </c>
      <c r="F361" s="149">
        <v>5</v>
      </c>
      <c r="G361" s="61" t="s">
        <v>620</v>
      </c>
      <c r="H361" s="61" t="s">
        <v>621</v>
      </c>
      <c r="I361" s="61">
        <v>35.549393000000002</v>
      </c>
      <c r="J361" s="61">
        <v>139.77983900000001</v>
      </c>
      <c r="K361" s="61">
        <v>14.24610406</v>
      </c>
      <c r="L361" s="61">
        <v>17.181999999999999</v>
      </c>
      <c r="M361" s="61" t="s">
        <v>617</v>
      </c>
      <c r="N361" s="149">
        <v>14</v>
      </c>
      <c r="O361" s="149">
        <v>15</v>
      </c>
      <c r="P361" s="61" t="s">
        <v>567</v>
      </c>
      <c r="Q361" s="61" t="s">
        <v>566</v>
      </c>
      <c r="R361" s="61">
        <v>50.037932599999998</v>
      </c>
      <c r="S361" s="61">
        <v>8.5621518000000005</v>
      </c>
      <c r="T361" s="61"/>
      <c r="U361" s="61" t="s">
        <v>622</v>
      </c>
      <c r="V361" s="61" t="s">
        <v>569</v>
      </c>
      <c r="W361" s="61" cm="1">
        <f t="array" ref="W361">getDistance(I361,J361,R361,S361)*SA!$B$12</f>
        <v>9388.7209301824769</v>
      </c>
      <c r="X361" s="61"/>
      <c r="Y361" s="137">
        <f>Transportation_LCIA!C$61*($W361^Transportation_LCIA!C$60)+Transportation_LCIA!C$62</f>
        <v>0.13077055862201187</v>
      </c>
      <c r="Z361" s="137">
        <f>Transportation_LCIA!D$61*($W361^Transportation_LCIA!D$60)+Transportation_LCIA!D$62</f>
        <v>1.2395584485890772</v>
      </c>
      <c r="AA361" s="137">
        <f>Transportation_LCIA!E$61*($W361^Transportation_LCIA!E$60)+Transportation_LCIA!E$62</f>
        <v>3.718417001369967E-4</v>
      </c>
      <c r="AB361" s="137">
        <f>Transportation_LCIA!F$61*($W361^Transportation_LCIA!F$60)+Transportation_LCIA!F$62</f>
        <v>0.13077055862201187</v>
      </c>
      <c r="AC361" s="137">
        <f>Transportation_LCIA!G$61*($W361^Transportation_LCIA!G$60)+Transportation_LCIA!G$62</f>
        <v>2.919646915560583E-2</v>
      </c>
      <c r="AD361" s="137">
        <f>Transportation_LCIA!H$61*($W361^Transportation_LCIA!H$60)+Transportation_LCIA!H$62</f>
        <v>1.1004924790456731E-4</v>
      </c>
      <c r="AE361" s="137">
        <f>Transportation_LCIA!I$61*($W361^Transportation_LCIA!I$60)+Transportation_LCIA!I$62</f>
        <v>1.8437810963692531E-6</v>
      </c>
      <c r="AF361" s="137">
        <f>Transportation_LCIA!J$61*($W361^Transportation_LCIA!J$60)+Transportation_LCIA!J$62</f>
        <v>2.804890514475464E-3</v>
      </c>
      <c r="AG361" s="137">
        <f>Transportation_LCIA!K$61*($W361^Transportation_LCIA!K$60)+Transportation_LCIA!K$62</f>
        <v>5.747348143106408E-3</v>
      </c>
      <c r="AH361" s="137">
        <f>Transportation_LCIA!L$61*($W361^Transportation_LCIA!L$60)+Transportation_LCIA!L$62</f>
        <v>8.7867297837448813E-5</v>
      </c>
      <c r="AI361" s="137">
        <f>Transportation_LCIA!M$61*($W361^Transportation_LCIA!M$60)+Transportation_LCIA!M$62</f>
        <v>1.516739819878321E-4</v>
      </c>
      <c r="AJ361" s="137">
        <f>Transportation_LCIA!N$61*($W361^Transportation_LCIA!N$60)+Transportation_LCIA!N$62</f>
        <v>4.2790011806758782E-4</v>
      </c>
      <c r="AK361" s="137">
        <f>Transportation_LCIA!O$61*($W361^Transportation_LCIA!O$60)+Transportation_LCIA!O$62</f>
        <v>3.0716013485428596E-5</v>
      </c>
      <c r="AL361" s="137">
        <f>Transportation_LCIA!P$61*($W361^Transportation_LCIA!P$60)+Transportation_LCIA!P$62</f>
        <v>1.4901652164871375E-8</v>
      </c>
      <c r="AM361" s="137">
        <f>Transportation_LCIA!Q$61*($W361^Transportation_LCIA!Q$60)+Transportation_LCIA!Q$62</f>
        <v>3.5784150731225754E-5</v>
      </c>
      <c r="AN361" s="137">
        <f>Transportation_LCIA!R$61*($W361^Transportation_LCIA!R$60)+Transportation_LCIA!R$62</f>
        <v>8.9395142627455996E-5</v>
      </c>
      <c r="AO361" s="137">
        <f>Transportation_LCIA!S$61*($W361^Transportation_LCIA!S$60)+Transportation_LCIA!S$62</f>
        <v>1.5225407576916907E-6</v>
      </c>
      <c r="AP361" s="137">
        <f>Transportation_LCIA!T$61*($W361^Transportation_LCIA!T$60)+Transportation_LCIA!T$62</f>
        <v>1.5225407576916907E-6</v>
      </c>
      <c r="AQ361" s="137">
        <f>Transportation_LCIA!U$61*($W361^Transportation_LCIA!U$60)+Transportation_LCIA!U$62</f>
        <v>1.8509187919733144E-4</v>
      </c>
      <c r="AR361" s="137">
        <f>Transportation_LCIA!V$61*($W361^Transportation_LCIA!V$60)+Transportation_LCIA!V$62</f>
        <v>9.3901629779835372E-5</v>
      </c>
      <c r="AT361" s="137">
        <f>$W361*Y361+$L361*Summary_LCIA!H$32</f>
        <v>1233.6067243861373</v>
      </c>
      <c r="AU361" s="137">
        <f>$W361*Z361+$L361*Summary_LCIA!Q$32</f>
        <v>11723.023208992596</v>
      </c>
      <c r="AV361" s="137">
        <f>$W361*AA361+$L361*Summary_LCIA!R$32</f>
        <v>3.5815914919908574</v>
      </c>
      <c r="AW361" s="137">
        <f>$W361*AB361+$L361*Summary_LCIA!S$32</f>
        <v>1233.5307799461375</v>
      </c>
      <c r="AX361" s="137">
        <f>$W361*AC361+$L361*Summary_LCIA!T$32</f>
        <v>276.00580284866356</v>
      </c>
      <c r="AY361" s="137">
        <f>$W361*AD361+$L361*Summary_LCIA!U$32</f>
        <v>1.3410200251524511</v>
      </c>
      <c r="AZ361" s="137">
        <f>$W361*AE361+$L361*Summary_LCIA!V$32</f>
        <v>1.8131375672156801E-2</v>
      </c>
      <c r="BA361" s="137">
        <f>$W361*AF361+$L361*Summary_LCIA!W$32</f>
        <v>27.656850002126081</v>
      </c>
      <c r="BB361" s="137">
        <f>$W361*AG361+$L361*Summary_LCIA!X$32</f>
        <v>54.351653764228523</v>
      </c>
      <c r="BC361" s="137">
        <f>$W361*AH361+$L361*Summary_LCIA!Y$32</f>
        <v>1.0926914622850332</v>
      </c>
      <c r="BD361" s="137">
        <f>$W361*AI361+$L361*Summary_LCIA!Z$32</f>
        <v>1.4247293058912793</v>
      </c>
      <c r="BE361" s="137">
        <f>$W361*AJ361+$L361*Summary_LCIA!AA$32</f>
        <v>4.4187375865287146</v>
      </c>
      <c r="BF361" s="137">
        <f>$W361*AK361+$L361*Summary_LCIA!AB$32</f>
        <v>0.28800911591641065</v>
      </c>
      <c r="BG361" s="137">
        <f>$W361*AL361+$L361*Summary_LCIA!AC$32</f>
        <v>1.4074737846262689E-4</v>
      </c>
      <c r="BH361" s="137">
        <f>$W361*AM361+$L361*Summary_LCIA!AD$32</f>
        <v>0.34302989421906377</v>
      </c>
      <c r="BI361" s="137">
        <f>$W361*AN361+$L361*Summary_LCIA!AE$32</f>
        <v>0.85453153230304391</v>
      </c>
      <c r="BJ361" s="137">
        <f>$W361*AO361+$L361*Summary_LCIA!AF$32</f>
        <v>2.8820716718795863E-2</v>
      </c>
      <c r="BK361" s="137">
        <f>$W361*AP361+$L361*Summary_LCIA!AG$32</f>
        <v>1.5173827308795863E-2</v>
      </c>
      <c r="BL361" s="137">
        <f>$W361*AQ361+$L361*Summary_LCIA!AH$32</f>
        <v>1.8873212554267924</v>
      </c>
      <c r="BM361" s="137">
        <f>$W361*AR361+$L361*Summary_LCIA!AI$32</f>
        <v>0.89762208899218654</v>
      </c>
    </row>
    <row r="362" spans="1:65" x14ac:dyDescent="0.25">
      <c r="A362" s="149">
        <v>13</v>
      </c>
      <c r="B362" s="149">
        <v>15</v>
      </c>
      <c r="C362" s="61">
        <v>51.378222999999998</v>
      </c>
      <c r="D362" s="61">
        <v>-2.3263989999999999</v>
      </c>
      <c r="E362" s="61" t="s">
        <v>463</v>
      </c>
      <c r="F362" s="149">
        <v>7</v>
      </c>
      <c r="G362" s="61" t="s">
        <v>628</v>
      </c>
      <c r="H362" s="61" t="s">
        <v>629</v>
      </c>
      <c r="I362" s="61">
        <v>51.470022</v>
      </c>
      <c r="J362" s="61">
        <v>-0.45429599999999998</v>
      </c>
      <c r="K362" s="61">
        <v>149.81618209999999</v>
      </c>
      <c r="L362" s="61">
        <v>198.58</v>
      </c>
      <c r="M362" s="61" t="s">
        <v>589</v>
      </c>
      <c r="N362" s="149">
        <v>14</v>
      </c>
      <c r="O362" s="149">
        <v>15</v>
      </c>
      <c r="P362" s="61" t="s">
        <v>567</v>
      </c>
      <c r="Q362" s="61" t="s">
        <v>566</v>
      </c>
      <c r="R362" s="61">
        <v>50.037932599999998</v>
      </c>
      <c r="S362" s="61">
        <v>8.5621518000000005</v>
      </c>
      <c r="T362" s="61"/>
      <c r="U362" s="61" t="s">
        <v>622</v>
      </c>
      <c r="V362" s="61" t="s">
        <v>569</v>
      </c>
      <c r="W362" s="61" cm="1">
        <f t="array" ref="W362">getDistance(I362,J362,R362,S362)*SA!$B$12</f>
        <v>655.49865109245718</v>
      </c>
      <c r="X362" s="61"/>
      <c r="Y362" s="137">
        <f>Transportation_LCIA!C$61*($W362^Transportation_LCIA!C$60)+Transportation_LCIA!C$62</f>
        <v>0.28808630932385726</v>
      </c>
      <c r="Z362" s="137">
        <f>Transportation_LCIA!D$61*($W362^Transportation_LCIA!D$60)+Transportation_LCIA!D$62</f>
        <v>3.0403453180333315</v>
      </c>
      <c r="AA362" s="137">
        <f>Transportation_LCIA!E$61*($W362^Transportation_LCIA!E$60)+Transportation_LCIA!E$62</f>
        <v>1.5496127326841335E-3</v>
      </c>
      <c r="AB362" s="137">
        <f>Transportation_LCIA!F$61*($W362^Transportation_LCIA!F$60)+Transportation_LCIA!F$62</f>
        <v>0.28808630932385726</v>
      </c>
      <c r="AC362" s="137">
        <f>Transportation_LCIA!G$61*($W362^Transportation_LCIA!G$60)+Transportation_LCIA!G$62</f>
        <v>7.0904955875308692E-2</v>
      </c>
      <c r="AD362" s="137">
        <f>Transportation_LCIA!H$61*($W362^Transportation_LCIA!H$60)+Transportation_LCIA!H$62</f>
        <v>3.6638661442350167E-4</v>
      </c>
      <c r="AE362" s="137">
        <f>Transportation_LCIA!I$61*($W362^Transportation_LCIA!I$60)+Transportation_LCIA!I$62</f>
        <v>8.1949302872625628E-6</v>
      </c>
      <c r="AF362" s="137">
        <f>Transportation_LCIA!J$61*($W362^Transportation_LCIA!J$60)+Transportation_LCIA!J$62</f>
        <v>1.216906133974993E-2</v>
      </c>
      <c r="AG362" s="137">
        <f>Transportation_LCIA!K$61*($W362^Transportation_LCIA!K$60)+Transportation_LCIA!K$62</f>
        <v>1.5391950999787709E-2</v>
      </c>
      <c r="AH362" s="137">
        <f>Transportation_LCIA!L$61*($W362^Transportation_LCIA!L$60)+Transportation_LCIA!L$62</f>
        <v>3.224475626051792E-4</v>
      </c>
      <c r="AI362" s="137">
        <f>Transportation_LCIA!M$61*($W362^Transportation_LCIA!M$60)+Transportation_LCIA!M$62</f>
        <v>2.9306665716547056E-4</v>
      </c>
      <c r="AJ362" s="137">
        <f>Transportation_LCIA!N$61*($W362^Transportation_LCIA!N$60)+Transportation_LCIA!N$62</f>
        <v>1.2908631335785605E-3</v>
      </c>
      <c r="AK362" s="137">
        <f>Transportation_LCIA!O$61*($W362^Transportation_LCIA!O$60)+Transportation_LCIA!O$62</f>
        <v>7.5013630480399058E-5</v>
      </c>
      <c r="AL362" s="137">
        <f>Transportation_LCIA!P$61*($W362^Transportation_LCIA!P$60)+Transportation_LCIA!P$62</f>
        <v>3.622947059126279E-8</v>
      </c>
      <c r="AM362" s="137">
        <f>Transportation_LCIA!Q$61*($W362^Transportation_LCIA!Q$60)+Transportation_LCIA!Q$62</f>
        <v>1.2728062224719001E-4</v>
      </c>
      <c r="AN362" s="137">
        <f>Transportation_LCIA!R$61*($W362^Transportation_LCIA!R$60)+Transportation_LCIA!R$62</f>
        <v>3.9383707879712856E-4</v>
      </c>
      <c r="AO362" s="137">
        <f>Transportation_LCIA!S$61*($W362^Transportation_LCIA!S$60)+Transportation_LCIA!S$62</f>
        <v>5.8462294863061377E-6</v>
      </c>
      <c r="AP362" s="137">
        <f>Transportation_LCIA!T$61*($W362^Transportation_LCIA!T$60)+Transportation_LCIA!T$62</f>
        <v>5.8462294863061377E-6</v>
      </c>
      <c r="AQ362" s="137">
        <f>Transportation_LCIA!U$61*($W362^Transportation_LCIA!U$60)+Transportation_LCIA!U$62</f>
        <v>8.5078004970210494E-4</v>
      </c>
      <c r="AR362" s="137">
        <f>Transportation_LCIA!V$61*($W362^Transportation_LCIA!V$60)+Transportation_LCIA!V$62</f>
        <v>3.311828503124549E-4</v>
      </c>
      <c r="AT362" s="137">
        <f>$W362*Y362+$L362*Summary_LCIA!H$34</f>
        <v>203.62685111999281</v>
      </c>
      <c r="AU362" s="137">
        <f ca="1">$W362*Z362+$L362*Summary_LCIA!Q$34</f>
        <v>2238.2062741195168</v>
      </c>
      <c r="AV362" s="137">
        <f ca="1">$W362*AA362+$L362*Summary_LCIA!R$34</f>
        <v>1.5234586839901461</v>
      </c>
      <c r="AW362" s="137">
        <f ca="1">$W362*AB362+$L362*Summary_LCIA!S$34</f>
        <v>203.4235051999928</v>
      </c>
      <c r="AX362" s="137">
        <f ca="1">$W362*AC362+$L362*Summary_LCIA!T$34</f>
        <v>50.597247872035041</v>
      </c>
      <c r="AY362" s="137">
        <f ca="1">$W362*AD362+$L362*Summary_LCIA!U$34</f>
        <v>0.60547369953293761</v>
      </c>
      <c r="AZ362" s="137">
        <f ca="1">$W362*AE362+$L362*Summary_LCIA!V$34</f>
        <v>2.1475213689097335E-2</v>
      </c>
      <c r="BA362" s="137">
        <f ca="1">$W362*AF362+$L362*Summary_LCIA!W$34</f>
        <v>18.01482371326745</v>
      </c>
      <c r="BB362" s="137">
        <f ca="1">$W362*AG362+$L362*Summary_LCIA!X$34</f>
        <v>12.19911703804204</v>
      </c>
      <c r="BC362" s="137">
        <f ca="1">$W362*AH362+$L362*Summary_LCIA!Y$34</f>
        <v>0.55165063033574557</v>
      </c>
      <c r="BD362" s="137">
        <f ca="1">$W362*AI362+$L362*Summary_LCIA!Z$34</f>
        <v>0.19776532135214156</v>
      </c>
      <c r="BE362" s="137">
        <f ca="1">$W362*AJ362+$L362*Summary_LCIA!AA$34</f>
        <v>1.2557501508057287</v>
      </c>
      <c r="BF362" s="137">
        <f ca="1">$W362*AK362+$L362*Summary_LCIA!AB$34</f>
        <v>4.7793406831449614E-2</v>
      </c>
      <c r="BG362" s="137">
        <f ca="1">$W362*AL362+$L362*Summary_LCIA!AC$34</f>
        <v>2.4479560520366606E-5</v>
      </c>
      <c r="BH362" s="137">
        <f ca="1">$W362*AM362+$L362*Summary_LCIA!AD$34</f>
        <v>0.10551040059324165</v>
      </c>
      <c r="BI362" s="137">
        <f ca="1">$W362*AN362+$L362*Summary_LCIA!AE$34</f>
        <v>0.31772175910171152</v>
      </c>
      <c r="BJ362" s="137">
        <f ca="1">$W362*AO362+$L362*Summary_LCIA!AF$34</f>
        <v>5.1066434342250625E-2</v>
      </c>
      <c r="BK362" s="137">
        <f ca="1">$W362*AP362+$L362*Summary_LCIA!AG$34</f>
        <v>4.3759274402506224E-3</v>
      </c>
      <c r="BL362" s="137">
        <f ca="1">$W362*AQ362+$L362*Summary_LCIA!AH$34</f>
        <v>1.0101099889561036</v>
      </c>
      <c r="BM362" s="137">
        <f ca="1">$W362*AR362+$L362*Summary_LCIA!AI$34</f>
        <v>0.27284124664476933</v>
      </c>
    </row>
    <row r="363" spans="1:65" x14ac:dyDescent="0.25">
      <c r="A363" s="149">
        <v>143</v>
      </c>
      <c r="B363" s="149">
        <v>6</v>
      </c>
      <c r="C363" s="61">
        <v>-23.586715000000002</v>
      </c>
      <c r="D363" s="61">
        <v>-46.681919999999998</v>
      </c>
      <c r="E363" s="61" t="s">
        <v>465</v>
      </c>
      <c r="F363" s="149">
        <v>52</v>
      </c>
      <c r="G363" s="61" t="s">
        <v>682</v>
      </c>
      <c r="H363" s="61" t="s">
        <v>683</v>
      </c>
      <c r="I363" s="61">
        <v>-23.430572999999999</v>
      </c>
      <c r="J363" s="61">
        <v>-46.473042999999997</v>
      </c>
      <c r="K363" s="61">
        <v>27.890101319999999</v>
      </c>
      <c r="L363" s="61">
        <v>35.286999999999999</v>
      </c>
      <c r="M363" s="61" t="s">
        <v>617</v>
      </c>
      <c r="N363" s="149">
        <v>5</v>
      </c>
      <c r="O363" s="149">
        <v>6</v>
      </c>
      <c r="P363" s="61" t="s">
        <v>565</v>
      </c>
      <c r="Q363" s="61" t="s">
        <v>564</v>
      </c>
      <c r="R363" s="61">
        <v>41.98028</v>
      </c>
      <c r="S363" s="61">
        <v>-87.908997900000003</v>
      </c>
      <c r="T363" s="61"/>
      <c r="U363" s="61" t="s">
        <v>622</v>
      </c>
      <c r="V363" s="61" t="s">
        <v>569</v>
      </c>
      <c r="W363" s="61" cm="1">
        <f t="array" ref="W363">getDistance(I363,J363,R363,S363)*SA!$B$12</f>
        <v>8422.5070302481017</v>
      </c>
      <c r="X363" s="61"/>
      <c r="Y363" s="137">
        <f>Transportation_LCIA!C$61*($W363^Transportation_LCIA!C$60)+Transportation_LCIA!C$62</f>
        <v>0.13257261459336128</v>
      </c>
      <c r="Z363" s="137">
        <f>Transportation_LCIA!D$61*($W363^Transportation_LCIA!D$60)+Transportation_LCIA!D$62</f>
        <v>1.2586820151780742</v>
      </c>
      <c r="AA363" s="137">
        <f>Transportation_LCIA!E$61*($W363^Transportation_LCIA!E$60)+Transportation_LCIA!E$62</f>
        <v>3.8408382526349319E-4</v>
      </c>
      <c r="AB363" s="137">
        <f>Transportation_LCIA!F$61*($W363^Transportation_LCIA!F$60)+Transportation_LCIA!F$62</f>
        <v>0.13257261459336128</v>
      </c>
      <c r="AC363" s="137">
        <f>Transportation_LCIA!G$61*($W363^Transportation_LCIA!G$60)+Transportation_LCIA!G$62</f>
        <v>2.9641366176938799E-2</v>
      </c>
      <c r="AD363" s="137">
        <f>Transportation_LCIA!H$61*($W363^Transportation_LCIA!H$60)+Transportation_LCIA!H$62</f>
        <v>1.126027108406742E-4</v>
      </c>
      <c r="AE363" s="137">
        <f>Transportation_LCIA!I$61*($W363^Transportation_LCIA!I$60)+Transportation_LCIA!I$62</f>
        <v>1.9028245607617693E-6</v>
      </c>
      <c r="AF363" s="137">
        <f>Transportation_LCIA!J$61*($W363^Transportation_LCIA!J$60)+Transportation_LCIA!J$62</f>
        <v>2.8880736872192096E-3</v>
      </c>
      <c r="AG363" s="137">
        <f>Transportation_LCIA!K$61*($W363^Transportation_LCIA!K$60)+Transportation_LCIA!K$62</f>
        <v>5.8463339537824059E-3</v>
      </c>
      <c r="AH363" s="137">
        <f>Transportation_LCIA!L$61*($W363^Transportation_LCIA!L$60)+Transportation_LCIA!L$62</f>
        <v>9.0158674441413538E-5</v>
      </c>
      <c r="AI363" s="137">
        <f>Transportation_LCIA!M$61*($W363^Transportation_LCIA!M$60)+Transportation_LCIA!M$62</f>
        <v>1.5307917071161358E-4</v>
      </c>
      <c r="AJ363" s="137">
        <f>Transportation_LCIA!N$61*($W363^Transportation_LCIA!N$60)+Transportation_LCIA!N$62</f>
        <v>4.3654345287238349E-4</v>
      </c>
      <c r="AK363" s="137">
        <f>Transportation_LCIA!O$61*($W363^Transportation_LCIA!O$60)+Transportation_LCIA!O$62</f>
        <v>3.1187540895566968E-5</v>
      </c>
      <c r="AL363" s="137">
        <f>Transportation_LCIA!P$61*($W363^Transportation_LCIA!P$60)+Transportation_LCIA!P$62</f>
        <v>1.5129965505407241E-8</v>
      </c>
      <c r="AM363" s="137">
        <f>Transportation_LCIA!Q$61*($W363^Transportation_LCIA!Q$60)+Transportation_LCIA!Q$62</f>
        <v>3.6668483978999491E-5</v>
      </c>
      <c r="AN363" s="137">
        <f>Transportation_LCIA!R$61*($W363^Transportation_LCIA!R$60)+Transportation_LCIA!R$62</f>
        <v>9.2220644267511622E-5</v>
      </c>
      <c r="AO363" s="137">
        <f>Transportation_LCIA!S$61*($W363^Transportation_LCIA!S$60)+Transportation_LCIA!S$62</f>
        <v>1.5627934623745161E-6</v>
      </c>
      <c r="AP363" s="137">
        <f>Transportation_LCIA!T$61*($W363^Transportation_LCIA!T$60)+Transportation_LCIA!T$62</f>
        <v>1.5627934623745161E-6</v>
      </c>
      <c r="AQ363" s="137">
        <f>Transportation_LCIA!U$61*($W363^Transportation_LCIA!U$60)+Transportation_LCIA!U$62</f>
        <v>1.9118918802464308E-4</v>
      </c>
      <c r="AR363" s="137">
        <f>Transportation_LCIA!V$61*($W363^Transportation_LCIA!V$60)+Transportation_LCIA!V$62</f>
        <v>9.6163878021168E-5</v>
      </c>
      <c r="AT363" s="137">
        <f>$W363*Y363+$L363*Summary_LCIA!H$32</f>
        <v>1128.5843010309575</v>
      </c>
      <c r="AU363" s="137">
        <f>$W363*Z363+$L363*Summary_LCIA!Q$32</f>
        <v>10776.142273313448</v>
      </c>
      <c r="AV363" s="137">
        <f>$W363*AA363+$L363*Summary_LCIA!R$32</f>
        <v>3.4207559456863548</v>
      </c>
      <c r="AW363" s="137">
        <f>$W363*AB363+$L363*Summary_LCIA!S$32</f>
        <v>1128.4283324909575</v>
      </c>
      <c r="AX363" s="137">
        <f>$W363*AC363+$L363*Summary_LCIA!T$32</f>
        <v>253.53265631142534</v>
      </c>
      <c r="AY363" s="137">
        <f>$W363*AD363+$L363*Summary_LCIA!U$32</f>
        <v>1.5805284416805725</v>
      </c>
      <c r="AZ363" s="137">
        <f>$W363*AE363+$L363*Summary_LCIA!V$32</f>
        <v>1.7711895647344756E-2</v>
      </c>
      <c r="BA363" s="137">
        <f>$W363*AF363+$L363*Summary_LCIA!W$32</f>
        <v>27.040896611478349</v>
      </c>
      <c r="BB363" s="137">
        <f>$W363*AG363+$L363*Summary_LCIA!X$32</f>
        <v>50.044626686910497</v>
      </c>
      <c r="BC363" s="137">
        <f>$W363*AH363+$L363*Summary_LCIA!Y$32</f>
        <v>1.3092041033206554</v>
      </c>
      <c r="BD363" s="137">
        <f>$W363*AI363+$L363*Summary_LCIA!Z$32</f>
        <v>1.2907574760861145</v>
      </c>
      <c r="BE363" s="137">
        <f>$W363*AJ363+$L363*Summary_LCIA!AA$32</f>
        <v>4.5009534728264304</v>
      </c>
      <c r="BF363" s="137">
        <f>$W363*AK363+$L363*Summary_LCIA!AB$32</f>
        <v>0.26190721424806296</v>
      </c>
      <c r="BG363" s="137">
        <f>$W363*AL363+$L363*Summary_LCIA!AC$32</f>
        <v>1.2915721054470377E-4</v>
      </c>
      <c r="BH363" s="137">
        <f>$W363*AM363+$L363*Summary_LCIA!AD$32</f>
        <v>0.32334493258166308</v>
      </c>
      <c r="BI363" s="137">
        <f>$W363*AN363+$L363*Summary_LCIA!AE$32</f>
        <v>0.80799789398712585</v>
      </c>
      <c r="BJ363" s="137">
        <f>$W363*AO363+$L363*Summary_LCIA!AF$32</f>
        <v>4.2994974463675131E-2</v>
      </c>
      <c r="BK363" s="137">
        <f>$W363*AP363+$L363*Summary_LCIA!AG$32</f>
        <v>1.4968098278675134E-2</v>
      </c>
      <c r="BL363" s="137">
        <f>$W363*AQ363+$L363*Summary_LCIA!AH$32</f>
        <v>1.9174162134449826</v>
      </c>
      <c r="BM363" s="137">
        <f>$W363*AR363+$L363*Summary_LCIA!AI$32</f>
        <v>0.84281254353920831</v>
      </c>
    </row>
    <row r="364" spans="1:65" x14ac:dyDescent="0.25">
      <c r="A364" s="149">
        <v>152</v>
      </c>
      <c r="B364" s="149">
        <v>15</v>
      </c>
      <c r="C364" s="61">
        <v>41.385064</v>
      </c>
      <c r="D364" s="61">
        <v>2.1734040000000001</v>
      </c>
      <c r="E364" s="61" t="s">
        <v>466</v>
      </c>
      <c r="F364" s="149">
        <v>27</v>
      </c>
      <c r="G364" s="61" t="s">
        <v>686</v>
      </c>
      <c r="H364" s="61" t="s">
        <v>687</v>
      </c>
      <c r="I364" s="61">
        <v>41.297445000000003</v>
      </c>
      <c r="J364" s="61">
        <v>2.083294</v>
      </c>
      <c r="K364" s="61">
        <v>12.686920199999999</v>
      </c>
      <c r="L364" s="61">
        <v>16.001000000000001</v>
      </c>
      <c r="M364" s="61" t="s">
        <v>617</v>
      </c>
      <c r="N364" s="149">
        <v>14</v>
      </c>
      <c r="O364" s="149">
        <v>15</v>
      </c>
      <c r="P364" s="61" t="s">
        <v>567</v>
      </c>
      <c r="Q364" s="61" t="s">
        <v>566</v>
      </c>
      <c r="R364" s="61">
        <v>50.037932599999998</v>
      </c>
      <c r="S364" s="61">
        <v>8.5621518000000005</v>
      </c>
      <c r="T364" s="61"/>
      <c r="U364" s="61" t="s">
        <v>622</v>
      </c>
      <c r="V364" s="61" t="s">
        <v>569</v>
      </c>
      <c r="W364" s="61" cm="1">
        <f t="array" ref="W364">getDistance(I364,J364,R364,S364)*SA!$B$12</f>
        <v>1095.2369023856284</v>
      </c>
      <c r="X364" s="61"/>
      <c r="Y364" s="137">
        <f>Transportation_LCIA!C$61*($W364^Transportation_LCIA!C$60)+Transportation_LCIA!C$62</f>
        <v>0.2264351866011447</v>
      </c>
      <c r="Z364" s="137">
        <f>Transportation_LCIA!D$61*($W364^Transportation_LCIA!D$60)+Transportation_LCIA!D$62</f>
        <v>2.3152304492897451</v>
      </c>
      <c r="AA364" s="137">
        <f>Transportation_LCIA!E$61*($W364^Transportation_LCIA!E$60)+Transportation_LCIA!E$62</f>
        <v>1.0718083398219423E-3</v>
      </c>
      <c r="AB364" s="137">
        <f>Transportation_LCIA!F$61*($W364^Transportation_LCIA!F$60)+Transportation_LCIA!F$62</f>
        <v>0.2264351866011447</v>
      </c>
      <c r="AC364" s="137">
        <f>Transportation_LCIA!G$61*($W364^Transportation_LCIA!G$60)+Transportation_LCIA!G$62</f>
        <v>5.4136539992836324E-2</v>
      </c>
      <c r="AD364" s="137">
        <f>Transportation_LCIA!H$61*($W364^Transportation_LCIA!H$60)+Transportation_LCIA!H$62</f>
        <v>2.608680383712866E-4</v>
      </c>
      <c r="AE364" s="137">
        <f>Transportation_LCIA!I$61*($W364^Transportation_LCIA!I$60)+Transportation_LCIA!I$62</f>
        <v>5.5198604378627698E-6</v>
      </c>
      <c r="AF364" s="137">
        <f>Transportation_LCIA!J$61*($W364^Transportation_LCIA!J$60)+Transportation_LCIA!J$62</f>
        <v>8.1667110368101141E-3</v>
      </c>
      <c r="AG364" s="137">
        <f>Transportation_LCIA!K$61*($W364^Transportation_LCIA!K$60)+Transportation_LCIA!K$62</f>
        <v>1.1462109730720352E-2</v>
      </c>
      <c r="AH364" s="137">
        <f>Transportation_LCIA!L$61*($W364^Transportation_LCIA!L$60)+Transportation_LCIA!L$62</f>
        <v>2.2524572299985693E-4</v>
      </c>
      <c r="AI364" s="137">
        <f>Transportation_LCIA!M$61*($W364^Transportation_LCIA!M$60)+Transportation_LCIA!M$62</f>
        <v>2.3481805286866631E-4</v>
      </c>
      <c r="AJ364" s="137">
        <f>Transportation_LCIA!N$61*($W364^Transportation_LCIA!N$60)+Transportation_LCIA!N$62</f>
        <v>9.3629043550798872E-4</v>
      </c>
      <c r="AK364" s="137">
        <f>Transportation_LCIA!O$61*($W364^Transportation_LCIA!O$60)+Transportation_LCIA!O$62</f>
        <v>5.7191195084553182E-5</v>
      </c>
      <c r="AL364" s="137">
        <f>Transportation_LCIA!P$61*($W364^Transportation_LCIA!P$60)+Transportation_LCIA!P$62</f>
        <v>2.7665624299729673E-8</v>
      </c>
      <c r="AM364" s="137">
        <f>Transportation_LCIA!Q$61*($W364^Transportation_LCIA!Q$60)+Transportation_LCIA!Q$62</f>
        <v>8.9233551687982669E-5</v>
      </c>
      <c r="AN364" s="137">
        <f>Transportation_LCIA!R$61*($W364^Transportation_LCIA!R$60)+Transportation_LCIA!R$62</f>
        <v>2.6553765925496408E-4</v>
      </c>
      <c r="AO364" s="137">
        <f>Transportation_LCIA!S$61*($W364^Transportation_LCIA!S$60)+Transportation_LCIA!S$62</f>
        <v>4.0259644405735335E-6</v>
      </c>
      <c r="AP364" s="137">
        <f>Transportation_LCIA!T$61*($W364^Transportation_LCIA!T$60)+Transportation_LCIA!T$62</f>
        <v>4.0259644405735335E-6</v>
      </c>
      <c r="AQ364" s="137">
        <f>Transportation_LCIA!U$61*($W364^Transportation_LCIA!U$60)+Transportation_LCIA!U$62</f>
        <v>5.6903968184353771E-4</v>
      </c>
      <c r="AR364" s="137">
        <f>Transportation_LCIA!V$61*($W364^Transportation_LCIA!V$60)+Transportation_LCIA!V$62</f>
        <v>2.320656434126541E-4</v>
      </c>
      <c r="AT364" s="137">
        <f>$W364*Y364+$L364*Summary_LCIA!H$32</f>
        <v>253.43731216414946</v>
      </c>
      <c r="AU364" s="137">
        <f>$W364*Z364+$L364*Summary_LCIA!Q$32</f>
        <v>2615.02758856742</v>
      </c>
      <c r="AV364" s="137">
        <f>$W364*AA364+$L364*Summary_LCIA!R$32</f>
        <v>1.2581389116576669</v>
      </c>
      <c r="AW364" s="137">
        <f>$W364*AB364+$L364*Summary_LCIA!S$32</f>
        <v>253.36658774414946</v>
      </c>
      <c r="AX364" s="137">
        <f>$W364*AC364+$L364*Summary_LCIA!T$32</f>
        <v>61.050846267629744</v>
      </c>
      <c r="AY364" s="137">
        <f>$W364*AD364+$L364*Summary_LCIA!U$32</f>
        <v>0.57235421627718319</v>
      </c>
      <c r="AZ364" s="137">
        <f>$W364*AE364+$L364*Summary_LCIA!V$32</f>
        <v>6.8097786085657974E-3</v>
      </c>
      <c r="BA364" s="137">
        <f>$W364*AF364+$L364*Summary_LCIA!W$32</f>
        <v>10.176096269634433</v>
      </c>
      <c r="BB364" s="137">
        <f>$W364*AG364+$L364*Summary_LCIA!X$32</f>
        <v>12.918228336278327</v>
      </c>
      <c r="BC364" s="137">
        <f>$W364*AH364+$L364*Summary_LCIA!Y$32</f>
        <v>0.49602500993397458</v>
      </c>
      <c r="BD364" s="137">
        <f>$W364*AI364+$L364*Summary_LCIA!Z$32</f>
        <v>0.25783758185710282</v>
      </c>
      <c r="BE364" s="137">
        <f>$W364*AJ364+$L364*Summary_LCIA!AA$32</f>
        <v>1.3991791923190606</v>
      </c>
      <c r="BF364" s="137">
        <f>$W364*AK364+$L364*Summary_LCIA!AB$32</f>
        <v>6.2288717525138204E-2</v>
      </c>
      <c r="BG364" s="137">
        <f>$W364*AL364+$L364*Summary_LCIA!AC$32</f>
        <v>3.1082605544600497E-5</v>
      </c>
      <c r="BH364" s="137">
        <f>$W364*AM364+$L364*Summary_LCIA!AD$32</f>
        <v>0.10430892977961401</v>
      </c>
      <c r="BI364" s="137">
        <f>$W364*AN364+$L364*Summary_LCIA!AE$32</f>
        <v>0.30500560951913736</v>
      </c>
      <c r="BJ364" s="137">
        <f>$W364*AO364+$L364*Summary_LCIA!AF$32</f>
        <v>1.7936950243008447E-2</v>
      </c>
      <c r="BK364" s="137">
        <f>$W364*AP364+$L364*Summary_LCIA!AG$32</f>
        <v>5.2280759880084463E-3</v>
      </c>
      <c r="BL364" s="137">
        <f>$W364*AQ364+$L364*Summary_LCIA!AH$32</f>
        <v>0.76249956207681979</v>
      </c>
      <c r="BM364" s="137">
        <f>$W364*AR364+$L364*Summary_LCIA!AI$32</f>
        <v>0.2690725879914031</v>
      </c>
    </row>
    <row r="365" spans="1:65" x14ac:dyDescent="0.25">
      <c r="A365" s="149">
        <v>180</v>
      </c>
      <c r="B365" s="149">
        <v>6</v>
      </c>
      <c r="C365" s="61">
        <v>-23.563486999999999</v>
      </c>
      <c r="D365" s="61">
        <v>-46.72101</v>
      </c>
      <c r="E365" s="61" t="s">
        <v>465</v>
      </c>
      <c r="F365" s="149">
        <v>52</v>
      </c>
      <c r="G365" s="61" t="s">
        <v>682</v>
      </c>
      <c r="H365" s="61" t="s">
        <v>683</v>
      </c>
      <c r="I365" s="61">
        <v>-23.430572999999999</v>
      </c>
      <c r="J365" s="61">
        <v>-46.473042999999997</v>
      </c>
      <c r="K365" s="61">
        <v>29.423486180000001</v>
      </c>
      <c r="L365" s="61">
        <v>47.289000000000001</v>
      </c>
      <c r="M365" s="61" t="s">
        <v>617</v>
      </c>
      <c r="N365" s="149">
        <v>5</v>
      </c>
      <c r="O365" s="149">
        <v>6</v>
      </c>
      <c r="P365" s="61" t="s">
        <v>565</v>
      </c>
      <c r="Q365" s="61" t="s">
        <v>564</v>
      </c>
      <c r="R365" s="61">
        <v>41.98028</v>
      </c>
      <c r="S365" s="61">
        <v>-87.908997900000003</v>
      </c>
      <c r="T365" s="61"/>
      <c r="U365" s="61" t="s">
        <v>622</v>
      </c>
      <c r="V365" s="61" t="s">
        <v>569</v>
      </c>
      <c r="W365" s="61" cm="1">
        <f t="array" ref="W365">getDistance(I365,J365,R365,S365)*SA!$B$12</f>
        <v>8422.5070302481017</v>
      </c>
      <c r="X365" s="61"/>
      <c r="Y365" s="137">
        <f>Transportation_LCIA!C$61*($W365^Transportation_LCIA!C$60)+Transportation_LCIA!C$62</f>
        <v>0.13257261459336128</v>
      </c>
      <c r="Z365" s="137">
        <f>Transportation_LCIA!D$61*($W365^Transportation_LCIA!D$60)+Transportation_LCIA!D$62</f>
        <v>1.2586820151780742</v>
      </c>
      <c r="AA365" s="137">
        <f>Transportation_LCIA!E$61*($W365^Transportation_LCIA!E$60)+Transportation_LCIA!E$62</f>
        <v>3.8408382526349319E-4</v>
      </c>
      <c r="AB365" s="137">
        <f>Transportation_LCIA!F$61*($W365^Transportation_LCIA!F$60)+Transportation_LCIA!F$62</f>
        <v>0.13257261459336128</v>
      </c>
      <c r="AC365" s="137">
        <f>Transportation_LCIA!G$61*($W365^Transportation_LCIA!G$60)+Transportation_LCIA!G$62</f>
        <v>2.9641366176938799E-2</v>
      </c>
      <c r="AD365" s="137">
        <f>Transportation_LCIA!H$61*($W365^Transportation_LCIA!H$60)+Transportation_LCIA!H$62</f>
        <v>1.126027108406742E-4</v>
      </c>
      <c r="AE365" s="137">
        <f>Transportation_LCIA!I$61*($W365^Transportation_LCIA!I$60)+Transportation_LCIA!I$62</f>
        <v>1.9028245607617693E-6</v>
      </c>
      <c r="AF365" s="137">
        <f>Transportation_LCIA!J$61*($W365^Transportation_LCIA!J$60)+Transportation_LCIA!J$62</f>
        <v>2.8880736872192096E-3</v>
      </c>
      <c r="AG365" s="137">
        <f>Transportation_LCIA!K$61*($W365^Transportation_LCIA!K$60)+Transportation_LCIA!K$62</f>
        <v>5.8463339537824059E-3</v>
      </c>
      <c r="AH365" s="137">
        <f>Transportation_LCIA!L$61*($W365^Transportation_LCIA!L$60)+Transportation_LCIA!L$62</f>
        <v>9.0158674441413538E-5</v>
      </c>
      <c r="AI365" s="137">
        <f>Transportation_LCIA!M$61*($W365^Transportation_LCIA!M$60)+Transportation_LCIA!M$62</f>
        <v>1.5307917071161358E-4</v>
      </c>
      <c r="AJ365" s="137">
        <f>Transportation_LCIA!N$61*($W365^Transportation_LCIA!N$60)+Transportation_LCIA!N$62</f>
        <v>4.3654345287238349E-4</v>
      </c>
      <c r="AK365" s="137">
        <f>Transportation_LCIA!O$61*($W365^Transportation_LCIA!O$60)+Transportation_LCIA!O$62</f>
        <v>3.1187540895566968E-5</v>
      </c>
      <c r="AL365" s="137">
        <f>Transportation_LCIA!P$61*($W365^Transportation_LCIA!P$60)+Transportation_LCIA!P$62</f>
        <v>1.5129965505407241E-8</v>
      </c>
      <c r="AM365" s="137">
        <f>Transportation_LCIA!Q$61*($W365^Transportation_LCIA!Q$60)+Transportation_LCIA!Q$62</f>
        <v>3.6668483978999491E-5</v>
      </c>
      <c r="AN365" s="137">
        <f>Transportation_LCIA!R$61*($W365^Transportation_LCIA!R$60)+Transportation_LCIA!R$62</f>
        <v>9.2220644267511622E-5</v>
      </c>
      <c r="AO365" s="137">
        <f>Transportation_LCIA!S$61*($W365^Transportation_LCIA!S$60)+Transportation_LCIA!S$62</f>
        <v>1.5627934623745161E-6</v>
      </c>
      <c r="AP365" s="137">
        <f>Transportation_LCIA!T$61*($W365^Transportation_LCIA!T$60)+Transportation_LCIA!T$62</f>
        <v>1.5627934623745161E-6</v>
      </c>
      <c r="AQ365" s="137">
        <f>Transportation_LCIA!U$61*($W365^Transportation_LCIA!U$60)+Transportation_LCIA!U$62</f>
        <v>1.9118918802464308E-4</v>
      </c>
      <c r="AR365" s="137">
        <f>Transportation_LCIA!V$61*($W365^Transportation_LCIA!V$60)+Transportation_LCIA!V$62</f>
        <v>9.6163878021168E-5</v>
      </c>
      <c r="AT365" s="137">
        <f>$W365*Y365+$L365*Summary_LCIA!H$32</f>
        <v>1132.6625806309573</v>
      </c>
      <c r="AU365" s="137">
        <f>$W365*Z365+$L365*Summary_LCIA!Q$32</f>
        <v>10835.624790610314</v>
      </c>
      <c r="AV365" s="137">
        <f>$W365*AA365+$L365*Summary_LCIA!R$32</f>
        <v>3.483953676886355</v>
      </c>
      <c r="AW365" s="137">
        <f>$W365*AB365+$L365*Summary_LCIA!S$32</f>
        <v>1132.4535632509574</v>
      </c>
      <c r="AX365" s="137">
        <f>$W365*AC365+$L365*Summary_LCIA!T$32</f>
        <v>254.85167611142535</v>
      </c>
      <c r="AY365" s="137">
        <f>$W365*AD365+$L365*Summary_LCIA!U$32</f>
        <v>1.7955322696805724</v>
      </c>
      <c r="AZ365" s="137">
        <f>$W365*AE365+$L365*Summary_LCIA!V$32</f>
        <v>1.8285123169344757E-2</v>
      </c>
      <c r="BA365" s="137">
        <f>$W365*AF365+$L365*Summary_LCIA!W$32</f>
        <v>27.96470255347835</v>
      </c>
      <c r="BB365" s="137">
        <f>$W365*AG365+$L365*Summary_LCIA!X$32</f>
        <v>50.318032246910498</v>
      </c>
      <c r="BC365" s="137">
        <f>$W365*AH365+$L365*Summary_LCIA!Y$32</f>
        <v>1.4962192673206554</v>
      </c>
      <c r="BD365" s="137">
        <f>$W365*AI365+$L365*Summary_LCIA!Z$32</f>
        <v>1.2912496661041146</v>
      </c>
      <c r="BE365" s="137">
        <f>$W365*AJ365+$L365*Summary_LCIA!AA$32</f>
        <v>4.781272184826431</v>
      </c>
      <c r="BF365" s="137">
        <f>$W365*AK365+$L365*Summary_LCIA!AB$32</f>
        <v>0.26164529460206298</v>
      </c>
      <c r="BG365" s="137">
        <f>$W365*AL365+$L365*Summary_LCIA!AC$32</f>
        <v>1.2974391631270375E-4</v>
      </c>
      <c r="BH365" s="137">
        <f>$W365*AM365+$L365*Summary_LCIA!AD$32</f>
        <v>0.32827823466166312</v>
      </c>
      <c r="BI365" s="137">
        <f>$W365*AN365+$L365*Summary_LCIA!AE$32</f>
        <v>0.81863322624712587</v>
      </c>
      <c r="BJ365" s="137">
        <f>$W365*AO365+$L365*Summary_LCIA!AF$32</f>
        <v>5.3141705303675138E-2</v>
      </c>
      <c r="BK365" s="137">
        <f>$W365*AP365+$L365*Summary_LCIA!AG$32</f>
        <v>1.5582180608675134E-2</v>
      </c>
      <c r="BL365" s="137">
        <f>$W365*AQ365+$L365*Summary_LCIA!AH$32</f>
        <v>2.0218768206449829</v>
      </c>
      <c r="BM365" s="137">
        <f>$W365*AR365+$L365*Summary_LCIA!AI$32</f>
        <v>0.85399300663920841</v>
      </c>
    </row>
    <row r="366" spans="1:65" x14ac:dyDescent="0.25">
      <c r="A366" s="149">
        <v>184</v>
      </c>
      <c r="B366" s="149">
        <v>15</v>
      </c>
      <c r="C366" s="61">
        <v>41.598080000000003</v>
      </c>
      <c r="D366" s="61">
        <v>2.0106459999999999</v>
      </c>
      <c r="E366" s="61" t="s">
        <v>466</v>
      </c>
      <c r="F366" s="149">
        <v>27</v>
      </c>
      <c r="G366" s="61" t="s">
        <v>686</v>
      </c>
      <c r="H366" s="61" t="s">
        <v>687</v>
      </c>
      <c r="I366" s="61">
        <v>41.297445000000003</v>
      </c>
      <c r="J366" s="61">
        <v>2.083294</v>
      </c>
      <c r="K366" s="61">
        <v>34.112855140000001</v>
      </c>
      <c r="L366" s="61">
        <v>46.094000000000001</v>
      </c>
      <c r="M366" s="61" t="s">
        <v>617</v>
      </c>
      <c r="N366" s="149">
        <v>14</v>
      </c>
      <c r="O366" s="149">
        <v>15</v>
      </c>
      <c r="P366" s="61" t="s">
        <v>567</v>
      </c>
      <c r="Q366" s="61" t="s">
        <v>566</v>
      </c>
      <c r="R366" s="61">
        <v>50.037932599999998</v>
      </c>
      <c r="S366" s="61">
        <v>8.5621518000000005</v>
      </c>
      <c r="T366" s="61"/>
      <c r="U366" s="61" t="s">
        <v>622</v>
      </c>
      <c r="V366" s="61" t="s">
        <v>569</v>
      </c>
      <c r="W366" s="61" cm="1">
        <f t="array" ref="W366">getDistance(I366,J366,R366,S366)*SA!$B$12</f>
        <v>1095.2369023856284</v>
      </c>
      <c r="X366" s="61"/>
      <c r="Y366" s="137">
        <f>Transportation_LCIA!C$61*($W366^Transportation_LCIA!C$60)+Transportation_LCIA!C$62</f>
        <v>0.2264351866011447</v>
      </c>
      <c r="Z366" s="137">
        <f>Transportation_LCIA!D$61*($W366^Transportation_LCIA!D$60)+Transportation_LCIA!D$62</f>
        <v>2.3152304492897451</v>
      </c>
      <c r="AA366" s="137">
        <f>Transportation_LCIA!E$61*($W366^Transportation_LCIA!E$60)+Transportation_LCIA!E$62</f>
        <v>1.0718083398219423E-3</v>
      </c>
      <c r="AB366" s="137">
        <f>Transportation_LCIA!F$61*($W366^Transportation_LCIA!F$60)+Transportation_LCIA!F$62</f>
        <v>0.2264351866011447</v>
      </c>
      <c r="AC366" s="137">
        <f>Transportation_LCIA!G$61*($W366^Transportation_LCIA!G$60)+Transportation_LCIA!G$62</f>
        <v>5.4136539992836324E-2</v>
      </c>
      <c r="AD366" s="137">
        <f>Transportation_LCIA!H$61*($W366^Transportation_LCIA!H$60)+Transportation_LCIA!H$62</f>
        <v>2.608680383712866E-4</v>
      </c>
      <c r="AE366" s="137">
        <f>Transportation_LCIA!I$61*($W366^Transportation_LCIA!I$60)+Transportation_LCIA!I$62</f>
        <v>5.5198604378627698E-6</v>
      </c>
      <c r="AF366" s="137">
        <f>Transportation_LCIA!J$61*($W366^Transportation_LCIA!J$60)+Transportation_LCIA!J$62</f>
        <v>8.1667110368101141E-3</v>
      </c>
      <c r="AG366" s="137">
        <f>Transportation_LCIA!K$61*($W366^Transportation_LCIA!K$60)+Transportation_LCIA!K$62</f>
        <v>1.1462109730720352E-2</v>
      </c>
      <c r="AH366" s="137">
        <f>Transportation_LCIA!L$61*($W366^Transportation_LCIA!L$60)+Transportation_LCIA!L$62</f>
        <v>2.2524572299985693E-4</v>
      </c>
      <c r="AI366" s="137">
        <f>Transportation_LCIA!M$61*($W366^Transportation_LCIA!M$60)+Transportation_LCIA!M$62</f>
        <v>2.3481805286866631E-4</v>
      </c>
      <c r="AJ366" s="137">
        <f>Transportation_LCIA!N$61*($W366^Transportation_LCIA!N$60)+Transportation_LCIA!N$62</f>
        <v>9.3629043550798872E-4</v>
      </c>
      <c r="AK366" s="137">
        <f>Transportation_LCIA!O$61*($W366^Transportation_LCIA!O$60)+Transportation_LCIA!O$62</f>
        <v>5.7191195084553182E-5</v>
      </c>
      <c r="AL366" s="137">
        <f>Transportation_LCIA!P$61*($W366^Transportation_LCIA!P$60)+Transportation_LCIA!P$62</f>
        <v>2.7665624299729673E-8</v>
      </c>
      <c r="AM366" s="137">
        <f>Transportation_LCIA!Q$61*($W366^Transportation_LCIA!Q$60)+Transportation_LCIA!Q$62</f>
        <v>8.9233551687982669E-5</v>
      </c>
      <c r="AN366" s="137">
        <f>Transportation_LCIA!R$61*($W366^Transportation_LCIA!R$60)+Transportation_LCIA!R$62</f>
        <v>2.6553765925496408E-4</v>
      </c>
      <c r="AO366" s="137">
        <f>Transportation_LCIA!S$61*($W366^Transportation_LCIA!S$60)+Transportation_LCIA!S$62</f>
        <v>4.0259644405735335E-6</v>
      </c>
      <c r="AP366" s="137">
        <f>Transportation_LCIA!T$61*($W366^Transportation_LCIA!T$60)+Transportation_LCIA!T$62</f>
        <v>4.0259644405735335E-6</v>
      </c>
      <c r="AQ366" s="137">
        <f>Transportation_LCIA!U$61*($W366^Transportation_LCIA!U$60)+Transportation_LCIA!U$62</f>
        <v>5.6903968184353771E-4</v>
      </c>
      <c r="AR366" s="137">
        <f>Transportation_LCIA!V$61*($W366^Transportation_LCIA!V$60)+Transportation_LCIA!V$62</f>
        <v>2.320656434126541E-4</v>
      </c>
      <c r="AT366" s="137">
        <f>$W366*Y366+$L366*Summary_LCIA!H$32</f>
        <v>263.66291356414945</v>
      </c>
      <c r="AU366" s="137">
        <f>$W366*Z366+$L366*Summary_LCIA!Q$32</f>
        <v>2764.1700142476889</v>
      </c>
      <c r="AV366" s="137">
        <f>$W366*AA366+$L366*Summary_LCIA!R$32</f>
        <v>1.416596612457667</v>
      </c>
      <c r="AW366" s="137">
        <f>$W366*AB366+$L366*Summary_LCIA!S$32</f>
        <v>263.45917808414947</v>
      </c>
      <c r="AX366" s="137">
        <f>$W366*AC366+$L366*Summary_LCIA!T$32</f>
        <v>64.358066967629739</v>
      </c>
      <c r="AY366" s="137">
        <f>$W366*AD366+$L366*Summary_LCIA!U$32</f>
        <v>1.1114402182771832</v>
      </c>
      <c r="AZ366" s="137">
        <f>$W366*AE366+$L366*Summary_LCIA!V$32</f>
        <v>8.2470503815657986E-3</v>
      </c>
      <c r="BA366" s="137">
        <f>$W366*AF366+$L366*Summary_LCIA!W$32</f>
        <v>12.492384572634432</v>
      </c>
      <c r="BB366" s="137">
        <f>$W366*AG366+$L366*Summary_LCIA!X$32</f>
        <v>13.603746876278327</v>
      </c>
      <c r="BC366" s="137">
        <f>$W366*AH366+$L366*Summary_LCIA!Y$32</f>
        <v>0.9649341359339747</v>
      </c>
      <c r="BD366" s="137">
        <f>$W366*AI366+$L366*Summary_LCIA!Z$32</f>
        <v>0.25907166569410284</v>
      </c>
      <c r="BE366" s="137">
        <f>$W366*AJ366+$L366*Summary_LCIA!AA$32</f>
        <v>2.1020313003190605</v>
      </c>
      <c r="BF366" s="137">
        <f>$W366*AK366+$L366*Summary_LCIA!AB$32</f>
        <v>6.1631997986138207E-2</v>
      </c>
      <c r="BG366" s="137">
        <f>$W366*AL366+$L366*Summary_LCIA!AC$32</f>
        <v>3.2553671756600498E-5</v>
      </c>
      <c r="BH366" s="137">
        <f>$W366*AM366+$L366*Summary_LCIA!AD$32</f>
        <v>0.116678356499614</v>
      </c>
      <c r="BI366" s="137">
        <f>$W366*AN366+$L366*Summary_LCIA!AE$32</f>
        <v>0.33167191960913733</v>
      </c>
      <c r="BJ366" s="137">
        <f>$W366*AO366+$L366*Summary_LCIA!AF$32</f>
        <v>4.337817430300845E-2</v>
      </c>
      <c r="BK366" s="137">
        <f>$W366*AP366+$L366*Summary_LCIA!AG$32</f>
        <v>6.7677843330084461E-3</v>
      </c>
      <c r="BL366" s="137">
        <f>$W366*AQ366+$L366*Summary_LCIA!AH$32</f>
        <v>1.0244169968768198</v>
      </c>
      <c r="BM366" s="137">
        <f>$W366*AR366+$L366*Summary_LCIA!AI$32</f>
        <v>0.29710572214140307</v>
      </c>
    </row>
    <row r="367" spans="1:65" x14ac:dyDescent="0.25">
      <c r="A367" s="149">
        <v>191</v>
      </c>
      <c r="B367" s="149">
        <v>15</v>
      </c>
      <c r="C367" s="61">
        <v>51.379922000000001</v>
      </c>
      <c r="D367" s="61">
        <v>-2.3322959999999999</v>
      </c>
      <c r="E367" s="61" t="s">
        <v>463</v>
      </c>
      <c r="F367" s="149">
        <v>7</v>
      </c>
      <c r="G367" s="61" t="s">
        <v>628</v>
      </c>
      <c r="H367" s="61" t="s">
        <v>629</v>
      </c>
      <c r="I367" s="61">
        <v>51.470022</v>
      </c>
      <c r="J367" s="61">
        <v>-0.45429599999999998</v>
      </c>
      <c r="K367" s="61">
        <v>150.26940870000001</v>
      </c>
      <c r="L367" s="61">
        <v>198.47900000000001</v>
      </c>
      <c r="M367" s="61" t="s">
        <v>589</v>
      </c>
      <c r="N367" s="149">
        <v>14</v>
      </c>
      <c r="O367" s="149">
        <v>15</v>
      </c>
      <c r="P367" s="61" t="s">
        <v>567</v>
      </c>
      <c r="Q367" s="61" t="s">
        <v>566</v>
      </c>
      <c r="R367" s="61">
        <v>50.037932599999998</v>
      </c>
      <c r="S367" s="61">
        <v>8.5621518000000005</v>
      </c>
      <c r="T367" s="61"/>
      <c r="U367" s="61" t="s">
        <v>622</v>
      </c>
      <c r="V367" s="61" t="s">
        <v>569</v>
      </c>
      <c r="W367" s="61" cm="1">
        <f t="array" ref="W367">getDistance(I367,J367,R367,S367)*SA!$B$12</f>
        <v>655.49865109245718</v>
      </c>
      <c r="X367" s="61"/>
      <c r="Y367" s="137">
        <f>Transportation_LCIA!C$61*($W367^Transportation_LCIA!C$60)+Transportation_LCIA!C$62</f>
        <v>0.28808630932385726</v>
      </c>
      <c r="Z367" s="137">
        <f>Transportation_LCIA!D$61*($W367^Transportation_LCIA!D$60)+Transportation_LCIA!D$62</f>
        <v>3.0403453180333315</v>
      </c>
      <c r="AA367" s="137">
        <f>Transportation_LCIA!E$61*($W367^Transportation_LCIA!E$60)+Transportation_LCIA!E$62</f>
        <v>1.5496127326841335E-3</v>
      </c>
      <c r="AB367" s="137">
        <f>Transportation_LCIA!F$61*($W367^Transportation_LCIA!F$60)+Transportation_LCIA!F$62</f>
        <v>0.28808630932385726</v>
      </c>
      <c r="AC367" s="137">
        <f>Transportation_LCIA!G$61*($W367^Transportation_LCIA!G$60)+Transportation_LCIA!G$62</f>
        <v>7.0904955875308692E-2</v>
      </c>
      <c r="AD367" s="137">
        <f>Transportation_LCIA!H$61*($W367^Transportation_LCIA!H$60)+Transportation_LCIA!H$62</f>
        <v>3.6638661442350167E-4</v>
      </c>
      <c r="AE367" s="137">
        <f>Transportation_LCIA!I$61*($W367^Transportation_LCIA!I$60)+Transportation_LCIA!I$62</f>
        <v>8.1949302872625628E-6</v>
      </c>
      <c r="AF367" s="137">
        <f>Transportation_LCIA!J$61*($W367^Transportation_LCIA!J$60)+Transportation_LCIA!J$62</f>
        <v>1.216906133974993E-2</v>
      </c>
      <c r="AG367" s="137">
        <f>Transportation_LCIA!K$61*($W367^Transportation_LCIA!K$60)+Transportation_LCIA!K$62</f>
        <v>1.5391950999787709E-2</v>
      </c>
      <c r="AH367" s="137">
        <f>Transportation_LCIA!L$61*($W367^Transportation_LCIA!L$60)+Transportation_LCIA!L$62</f>
        <v>3.224475626051792E-4</v>
      </c>
      <c r="AI367" s="137">
        <f>Transportation_LCIA!M$61*($W367^Transportation_LCIA!M$60)+Transportation_LCIA!M$62</f>
        <v>2.9306665716547056E-4</v>
      </c>
      <c r="AJ367" s="137">
        <f>Transportation_LCIA!N$61*($W367^Transportation_LCIA!N$60)+Transportation_LCIA!N$62</f>
        <v>1.2908631335785605E-3</v>
      </c>
      <c r="AK367" s="137">
        <f>Transportation_LCIA!O$61*($W367^Transportation_LCIA!O$60)+Transportation_LCIA!O$62</f>
        <v>7.5013630480399058E-5</v>
      </c>
      <c r="AL367" s="137">
        <f>Transportation_LCIA!P$61*($W367^Transportation_LCIA!P$60)+Transportation_LCIA!P$62</f>
        <v>3.622947059126279E-8</v>
      </c>
      <c r="AM367" s="137">
        <f>Transportation_LCIA!Q$61*($W367^Transportation_LCIA!Q$60)+Transportation_LCIA!Q$62</f>
        <v>1.2728062224719001E-4</v>
      </c>
      <c r="AN367" s="137">
        <f>Transportation_LCIA!R$61*($W367^Transportation_LCIA!R$60)+Transportation_LCIA!R$62</f>
        <v>3.9383707879712856E-4</v>
      </c>
      <c r="AO367" s="137">
        <f>Transportation_LCIA!S$61*($W367^Transportation_LCIA!S$60)+Transportation_LCIA!S$62</f>
        <v>5.8462294863061377E-6</v>
      </c>
      <c r="AP367" s="137">
        <f>Transportation_LCIA!T$61*($W367^Transportation_LCIA!T$60)+Transportation_LCIA!T$62</f>
        <v>5.8462294863061377E-6</v>
      </c>
      <c r="AQ367" s="137">
        <f>Transportation_LCIA!U$61*($W367^Transportation_LCIA!U$60)+Transportation_LCIA!U$62</f>
        <v>8.5078004970210494E-4</v>
      </c>
      <c r="AR367" s="137">
        <f>Transportation_LCIA!V$61*($W367^Transportation_LCIA!V$60)+Transportation_LCIA!V$62</f>
        <v>3.311828503124549E-4</v>
      </c>
      <c r="AT367" s="137">
        <f>$W367*Y367+$L367*Summary_LCIA!H$34</f>
        <v>203.61933045799282</v>
      </c>
      <c r="AU367" s="137">
        <f ca="1">$W367*Z367+$L367*Summary_LCIA!Q$34</f>
        <v>2238.0815301072867</v>
      </c>
      <c r="AV367" s="137">
        <f ca="1">$W367*AA367+$L367*Summary_LCIA!R$34</f>
        <v>1.523200467390146</v>
      </c>
      <c r="AW367" s="137">
        <f ca="1">$W367*AB367+$L367*Summary_LCIA!S$34</f>
        <v>203.41608796199282</v>
      </c>
      <c r="AX367" s="137">
        <f ca="1">$W367*AC367+$L367*Summary_LCIA!T$34</f>
        <v>50.595152829035044</v>
      </c>
      <c r="AY367" s="137">
        <f ca="1">$W367*AD367+$L367*Summary_LCIA!U$34</f>
        <v>0.60528789993293763</v>
      </c>
      <c r="AZ367" s="137">
        <f ca="1">$W367*AE367+$L367*Summary_LCIA!V$34</f>
        <v>2.1467023296097336E-2</v>
      </c>
      <c r="BA367" s="137">
        <f ca="1">$W367*AF367+$L367*Summary_LCIA!W$34</f>
        <v>18.009718264267448</v>
      </c>
      <c r="BB367" s="137">
        <f ca="1">$W367*AG367+$L367*Summary_LCIA!X$34</f>
        <v>12.198044014042042</v>
      </c>
      <c r="BC367" s="137">
        <f ca="1">$W367*AH367+$L367*Summary_LCIA!Y$34</f>
        <v>0.55147755673574561</v>
      </c>
      <c r="BD367" s="137">
        <f ca="1">$W367*AI367+$L367*Summary_LCIA!Z$34</f>
        <v>0.19776244234714158</v>
      </c>
      <c r="BE367" s="137">
        <f ca="1">$W367*AJ367+$L367*Summary_LCIA!AA$34</f>
        <v>1.2555418282057287</v>
      </c>
      <c r="BF367" s="137">
        <f ca="1">$W367*AK367+$L367*Summary_LCIA!AB$34</f>
        <v>4.7794107660349611E-2</v>
      </c>
      <c r="BG367" s="137">
        <f ca="1">$W367*AL367+$L367*Summary_LCIA!AC$34</f>
        <v>2.4479188628266605E-5</v>
      </c>
      <c r="BH367" s="137">
        <f ca="1">$W367*AM367+$L367*Summary_LCIA!AD$34</f>
        <v>0.10549917141324164</v>
      </c>
      <c r="BI367" s="137">
        <f ca="1">$W367*AN367+$L367*Summary_LCIA!AE$34</f>
        <v>0.31769146516171154</v>
      </c>
      <c r="BJ367" s="137">
        <f ca="1">$W367*AO367+$L367*Summary_LCIA!AF$34</f>
        <v>5.1042410482250625E-2</v>
      </c>
      <c r="BK367" s="137">
        <f ca="1">$W367*AP367+$L367*Summary_LCIA!AG$34</f>
        <v>4.3756508921506225E-3</v>
      </c>
      <c r="BL367" s="137">
        <f ca="1">$W367*AQ367+$L367*Summary_LCIA!AH$34</f>
        <v>1.0098798806561036</v>
      </c>
      <c r="BM367" s="137">
        <f ca="1">$W367*AR367+$L367*Summary_LCIA!AI$34</f>
        <v>0.27281289089476934</v>
      </c>
    </row>
    <row r="368" spans="1:65" x14ac:dyDescent="0.25">
      <c r="A368" s="149">
        <v>192</v>
      </c>
      <c r="B368" s="149">
        <v>15</v>
      </c>
      <c r="C368" s="61">
        <v>51.379922000000001</v>
      </c>
      <c r="D368" s="61">
        <v>-2.3322959999999999</v>
      </c>
      <c r="E368" s="61" t="s">
        <v>463</v>
      </c>
      <c r="F368" s="149">
        <v>7</v>
      </c>
      <c r="G368" s="61" t="s">
        <v>628</v>
      </c>
      <c r="H368" s="61" t="s">
        <v>629</v>
      </c>
      <c r="I368" s="61">
        <v>51.470022</v>
      </c>
      <c r="J368" s="61">
        <v>-0.45429599999999998</v>
      </c>
      <c r="K368" s="61">
        <v>150.26940870000001</v>
      </c>
      <c r="L368" s="61">
        <v>198.47900000000001</v>
      </c>
      <c r="M368" s="61" t="s">
        <v>589</v>
      </c>
      <c r="N368" s="149">
        <v>14</v>
      </c>
      <c r="O368" s="149">
        <v>15</v>
      </c>
      <c r="P368" s="61" t="s">
        <v>567</v>
      </c>
      <c r="Q368" s="61" t="s">
        <v>566</v>
      </c>
      <c r="R368" s="61">
        <v>50.037932599999998</v>
      </c>
      <c r="S368" s="61">
        <v>8.5621518000000005</v>
      </c>
      <c r="T368" s="61"/>
      <c r="U368" s="61" t="s">
        <v>622</v>
      </c>
      <c r="V368" s="61" t="s">
        <v>569</v>
      </c>
      <c r="W368" s="61" cm="1">
        <f t="array" ref="W368">getDistance(I368,J368,R368,S368)*SA!$B$12</f>
        <v>655.49865109245718</v>
      </c>
      <c r="X368" s="61"/>
      <c r="Y368" s="137">
        <f>Transportation_LCIA!C$61*($W368^Transportation_LCIA!C$60)+Transportation_LCIA!C$62</f>
        <v>0.28808630932385726</v>
      </c>
      <c r="Z368" s="137">
        <f>Transportation_LCIA!D$61*($W368^Transportation_LCIA!D$60)+Transportation_LCIA!D$62</f>
        <v>3.0403453180333315</v>
      </c>
      <c r="AA368" s="137">
        <f>Transportation_LCIA!E$61*($W368^Transportation_LCIA!E$60)+Transportation_LCIA!E$62</f>
        <v>1.5496127326841335E-3</v>
      </c>
      <c r="AB368" s="137">
        <f>Transportation_LCIA!F$61*($W368^Transportation_LCIA!F$60)+Transportation_LCIA!F$62</f>
        <v>0.28808630932385726</v>
      </c>
      <c r="AC368" s="137">
        <f>Transportation_LCIA!G$61*($W368^Transportation_LCIA!G$60)+Transportation_LCIA!G$62</f>
        <v>7.0904955875308692E-2</v>
      </c>
      <c r="AD368" s="137">
        <f>Transportation_LCIA!H$61*($W368^Transportation_LCIA!H$60)+Transportation_LCIA!H$62</f>
        <v>3.6638661442350167E-4</v>
      </c>
      <c r="AE368" s="137">
        <f>Transportation_LCIA!I$61*($W368^Transportation_LCIA!I$60)+Transportation_LCIA!I$62</f>
        <v>8.1949302872625628E-6</v>
      </c>
      <c r="AF368" s="137">
        <f>Transportation_LCIA!J$61*($W368^Transportation_LCIA!J$60)+Transportation_LCIA!J$62</f>
        <v>1.216906133974993E-2</v>
      </c>
      <c r="AG368" s="137">
        <f>Transportation_LCIA!K$61*($W368^Transportation_LCIA!K$60)+Transportation_LCIA!K$62</f>
        <v>1.5391950999787709E-2</v>
      </c>
      <c r="AH368" s="137">
        <f>Transportation_LCIA!L$61*($W368^Transportation_LCIA!L$60)+Transportation_LCIA!L$62</f>
        <v>3.224475626051792E-4</v>
      </c>
      <c r="AI368" s="137">
        <f>Transportation_LCIA!M$61*($W368^Transportation_LCIA!M$60)+Transportation_LCIA!M$62</f>
        <v>2.9306665716547056E-4</v>
      </c>
      <c r="AJ368" s="137">
        <f>Transportation_LCIA!N$61*($W368^Transportation_LCIA!N$60)+Transportation_LCIA!N$62</f>
        <v>1.2908631335785605E-3</v>
      </c>
      <c r="AK368" s="137">
        <f>Transportation_LCIA!O$61*($W368^Transportation_LCIA!O$60)+Transportation_LCIA!O$62</f>
        <v>7.5013630480399058E-5</v>
      </c>
      <c r="AL368" s="137">
        <f>Transportation_LCIA!P$61*($W368^Transportation_LCIA!P$60)+Transportation_LCIA!P$62</f>
        <v>3.622947059126279E-8</v>
      </c>
      <c r="AM368" s="137">
        <f>Transportation_LCIA!Q$61*($W368^Transportation_LCIA!Q$60)+Transportation_LCIA!Q$62</f>
        <v>1.2728062224719001E-4</v>
      </c>
      <c r="AN368" s="137">
        <f>Transportation_LCIA!R$61*($W368^Transportation_LCIA!R$60)+Transportation_LCIA!R$62</f>
        <v>3.9383707879712856E-4</v>
      </c>
      <c r="AO368" s="137">
        <f>Transportation_LCIA!S$61*($W368^Transportation_LCIA!S$60)+Transportation_LCIA!S$62</f>
        <v>5.8462294863061377E-6</v>
      </c>
      <c r="AP368" s="137">
        <f>Transportation_LCIA!T$61*($W368^Transportation_LCIA!T$60)+Transportation_LCIA!T$62</f>
        <v>5.8462294863061377E-6</v>
      </c>
      <c r="AQ368" s="137">
        <f>Transportation_LCIA!U$61*($W368^Transportation_LCIA!U$60)+Transportation_LCIA!U$62</f>
        <v>8.5078004970210494E-4</v>
      </c>
      <c r="AR368" s="137">
        <f>Transportation_LCIA!V$61*($W368^Transportation_LCIA!V$60)+Transportation_LCIA!V$62</f>
        <v>3.311828503124549E-4</v>
      </c>
      <c r="AT368" s="137">
        <f>$W368*Y368+$L368*Summary_LCIA!H$34</f>
        <v>203.61933045799282</v>
      </c>
      <c r="AU368" s="137">
        <f ca="1">$W368*Z368+$L368*Summary_LCIA!Q$34</f>
        <v>2238.0815301072867</v>
      </c>
      <c r="AV368" s="137">
        <f ca="1">$W368*AA368+$L368*Summary_LCIA!R$34</f>
        <v>1.523200467390146</v>
      </c>
      <c r="AW368" s="137">
        <f ca="1">$W368*AB368+$L368*Summary_LCIA!S$34</f>
        <v>203.41608796199282</v>
      </c>
      <c r="AX368" s="137">
        <f ca="1">$W368*AC368+$L368*Summary_LCIA!T$34</f>
        <v>50.595152829035044</v>
      </c>
      <c r="AY368" s="137">
        <f ca="1">$W368*AD368+$L368*Summary_LCIA!U$34</f>
        <v>0.60528789993293763</v>
      </c>
      <c r="AZ368" s="137">
        <f ca="1">$W368*AE368+$L368*Summary_LCIA!V$34</f>
        <v>2.1467023296097336E-2</v>
      </c>
      <c r="BA368" s="137">
        <f ca="1">$W368*AF368+$L368*Summary_LCIA!W$34</f>
        <v>18.009718264267448</v>
      </c>
      <c r="BB368" s="137">
        <f ca="1">$W368*AG368+$L368*Summary_LCIA!X$34</f>
        <v>12.198044014042042</v>
      </c>
      <c r="BC368" s="137">
        <f ca="1">$W368*AH368+$L368*Summary_LCIA!Y$34</f>
        <v>0.55147755673574561</v>
      </c>
      <c r="BD368" s="137">
        <f ca="1">$W368*AI368+$L368*Summary_LCIA!Z$34</f>
        <v>0.19776244234714158</v>
      </c>
      <c r="BE368" s="137">
        <f ca="1">$W368*AJ368+$L368*Summary_LCIA!AA$34</f>
        <v>1.2555418282057287</v>
      </c>
      <c r="BF368" s="137">
        <f ca="1">$W368*AK368+$L368*Summary_LCIA!AB$34</f>
        <v>4.7794107660349611E-2</v>
      </c>
      <c r="BG368" s="137">
        <f ca="1">$W368*AL368+$L368*Summary_LCIA!AC$34</f>
        <v>2.4479188628266605E-5</v>
      </c>
      <c r="BH368" s="137">
        <f ca="1">$W368*AM368+$L368*Summary_LCIA!AD$34</f>
        <v>0.10549917141324164</v>
      </c>
      <c r="BI368" s="137">
        <f ca="1">$W368*AN368+$L368*Summary_LCIA!AE$34</f>
        <v>0.31769146516171154</v>
      </c>
      <c r="BJ368" s="137">
        <f ca="1">$W368*AO368+$L368*Summary_LCIA!AF$34</f>
        <v>5.1042410482250625E-2</v>
      </c>
      <c r="BK368" s="137">
        <f ca="1">$W368*AP368+$L368*Summary_LCIA!AG$34</f>
        <v>4.3756508921506225E-3</v>
      </c>
      <c r="BL368" s="137">
        <f ca="1">$W368*AQ368+$L368*Summary_LCIA!AH$34</f>
        <v>1.0098798806561036</v>
      </c>
      <c r="BM368" s="137">
        <f ca="1">$W368*AR368+$L368*Summary_LCIA!AI$34</f>
        <v>0.27281289089476934</v>
      </c>
    </row>
    <row r="369" spans="1:65" x14ac:dyDescent="0.25">
      <c r="A369" s="149">
        <v>210</v>
      </c>
      <c r="B369" s="149">
        <v>15</v>
      </c>
      <c r="C369" s="61">
        <v>45.434493000000003</v>
      </c>
      <c r="D369" s="61">
        <v>12.326169</v>
      </c>
      <c r="E369" s="61" t="s">
        <v>421</v>
      </c>
      <c r="F369" s="149">
        <v>38</v>
      </c>
      <c r="G369" s="61" t="s">
        <v>698</v>
      </c>
      <c r="H369" s="61" t="s">
        <v>699</v>
      </c>
      <c r="I369" s="61">
        <v>45.434497</v>
      </c>
      <c r="J369" s="61">
        <v>12.323981</v>
      </c>
      <c r="K369" s="61">
        <v>334.31596839999997</v>
      </c>
      <c r="L369" s="61">
        <v>0.29699999999999999</v>
      </c>
      <c r="M369" s="61" t="s">
        <v>589</v>
      </c>
      <c r="N369" s="149">
        <v>14</v>
      </c>
      <c r="O369" s="149">
        <v>15</v>
      </c>
      <c r="P369" s="61" t="s">
        <v>567</v>
      </c>
      <c r="Q369" s="61" t="s">
        <v>566</v>
      </c>
      <c r="R369" s="61">
        <v>50.037932599999998</v>
      </c>
      <c r="S369" s="61">
        <v>8.5621518000000005</v>
      </c>
      <c r="T369" s="61"/>
      <c r="U369" s="61" t="s">
        <v>622</v>
      </c>
      <c r="V369" s="61" t="s">
        <v>569</v>
      </c>
      <c r="W369" s="61" cm="1">
        <f t="array" ref="W369">getDistance(I369,J369,R369,S369)*SA!$B$12</f>
        <v>584.95313949846002</v>
      </c>
      <c r="X369" s="61"/>
      <c r="Y369" s="137">
        <f>Transportation_LCIA!C$61*($W369^Transportation_LCIA!C$60)+Transportation_LCIA!C$62</f>
        <v>0.30574623046614952</v>
      </c>
      <c r="Z369" s="137">
        <f>Transportation_LCIA!D$61*($W369^Transportation_LCIA!D$60)+Transportation_LCIA!D$62</f>
        <v>3.2507376071015406</v>
      </c>
      <c r="AA369" s="137">
        <f>Transportation_LCIA!E$61*($W369^Transportation_LCIA!E$60)+Transportation_LCIA!E$62</f>
        <v>1.6887479023184712E-3</v>
      </c>
      <c r="AB369" s="137">
        <f>Transportation_LCIA!F$61*($W369^Transportation_LCIA!F$60)+Transportation_LCIA!F$62</f>
        <v>0.30574623046614952</v>
      </c>
      <c r="AC369" s="137">
        <f>Transportation_LCIA!G$61*($W369^Transportation_LCIA!G$60)+Transportation_LCIA!G$62</f>
        <v>7.5766680505384543E-2</v>
      </c>
      <c r="AD369" s="137">
        <f>Transportation_LCIA!H$61*($W369^Transportation_LCIA!H$60)+Transportation_LCIA!H$62</f>
        <v>3.9733235517551955E-4</v>
      </c>
      <c r="AE369" s="137">
        <f>Transportation_LCIA!I$61*($W369^Transportation_LCIA!I$60)+Transportation_LCIA!I$62</f>
        <v>8.9884636137525969E-6</v>
      </c>
      <c r="AF369" s="137">
        <f>Transportation_LCIA!J$61*($W369^Transportation_LCIA!J$60)+Transportation_LCIA!J$62</f>
        <v>1.3365187640031041E-2</v>
      </c>
      <c r="AG369" s="137">
        <f>Transportation_LCIA!K$61*($W369^Transportation_LCIA!K$60)+Transportation_LCIA!K$62</f>
        <v>1.6538740865555596E-2</v>
      </c>
      <c r="AH369" s="137">
        <f>Transportation_LCIA!L$61*($W369^Transportation_LCIA!L$60)+Transportation_LCIA!L$62</f>
        <v>3.5104714365999959E-4</v>
      </c>
      <c r="AI369" s="137">
        <f>Transportation_LCIA!M$61*($W369^Transportation_LCIA!M$60)+Transportation_LCIA!M$62</f>
        <v>3.1015600170514814E-4</v>
      </c>
      <c r="AJ369" s="137">
        <f>Transportation_LCIA!N$61*($W369^Transportation_LCIA!N$60)+Transportation_LCIA!N$62</f>
        <v>1.3947552630796185E-3</v>
      </c>
      <c r="AK369" s="137">
        <f>Transportation_LCIA!O$61*($W369^Transportation_LCIA!O$60)+Transportation_LCIA!O$62</f>
        <v>8.0182771249620618E-5</v>
      </c>
      <c r="AL369" s="137">
        <f>Transportation_LCIA!P$61*($W369^Transportation_LCIA!P$60)+Transportation_LCIA!P$62</f>
        <v>3.8710923614024024E-8</v>
      </c>
      <c r="AM369" s="137">
        <f>Transportation_LCIA!Q$61*($W369^Transportation_LCIA!Q$60)+Transportation_LCIA!Q$62</f>
        <v>1.3849478631109845E-4</v>
      </c>
      <c r="AN369" s="137">
        <f>Transportation_LCIA!R$61*($W369^Transportation_LCIA!R$60)+Transportation_LCIA!R$62</f>
        <v>4.3190633337534618E-4</v>
      </c>
      <c r="AO369" s="137">
        <f>Transportation_LCIA!S$61*($W369^Transportation_LCIA!S$60)+Transportation_LCIA!S$62</f>
        <v>6.3860664665247732E-6</v>
      </c>
      <c r="AP369" s="137">
        <f>Transportation_LCIA!T$61*($W369^Transportation_LCIA!T$60)+Transportation_LCIA!T$62</f>
        <v>6.3860664665247732E-6</v>
      </c>
      <c r="AQ369" s="137">
        <f>Transportation_LCIA!U$61*($W369^Transportation_LCIA!U$60)+Transportation_LCIA!U$62</f>
        <v>9.3455951796051785E-4</v>
      </c>
      <c r="AR369" s="137">
        <f>Transportation_LCIA!V$61*($W369^Transportation_LCIA!V$60)+Transportation_LCIA!V$62</f>
        <v>3.6046312647041275E-4</v>
      </c>
      <c r="AT369" s="137">
        <f>$W369*Y369+$L369*Summary_LCIA!H$34</f>
        <v>178.86933261499385</v>
      </c>
      <c r="AU369" s="137">
        <f ca="1">$W369*Z369+$L369*Summary_LCIA!Q$34</f>
        <v>1901.8959904610674</v>
      </c>
      <c r="AV369" s="137">
        <f ca="1">$W369*AA369+$L369*Summary_LCIA!R$34</f>
        <v>0.98859769748262838</v>
      </c>
      <c r="AW369" s="137">
        <f ca="1">$W369*AB369+$L369*Summary_LCIA!S$34</f>
        <v>178.86902848699387</v>
      </c>
      <c r="AX369" s="137">
        <f ca="1">$W369*AC369+$L369*Summary_LCIA!T$34</f>
        <v>44.326118302001461</v>
      </c>
      <c r="AY369" s="137">
        <f ca="1">$W369*AD369+$L369*Summary_LCIA!U$34</f>
        <v>0.23296716978423737</v>
      </c>
      <c r="AZ369" s="137">
        <f ca="1">$W369*AE369+$L369*Summary_LCIA!V$34</f>
        <v>5.2819146311322554E-3</v>
      </c>
      <c r="BA369" s="137">
        <f ca="1">$W369*AF369+$L369*Summary_LCIA!W$34</f>
        <v>7.8330215230221709</v>
      </c>
      <c r="BB369" s="137">
        <f ca="1">$W369*AG369+$L369*Summary_LCIA!X$34</f>
        <v>9.6775437206582247</v>
      </c>
      <c r="BC369" s="137">
        <f ca="1">$W369*AH369+$L369*Summary_LCIA!Y$34</f>
        <v>0.20585506799588368</v>
      </c>
      <c r="BD369" s="137">
        <f ca="1">$W369*AI369+$L369*Summary_LCIA!Z$34</f>
        <v>0.18143519291671614</v>
      </c>
      <c r="BE369" s="137">
        <f ca="1">$W369*AJ369+$L369*Summary_LCIA!AA$34</f>
        <v>0.81647906217042343</v>
      </c>
      <c r="BF369" s="137">
        <f ca="1">$W369*AK369+$L369*Summary_LCIA!AB$34</f>
        <v>4.690110292285244E-2</v>
      </c>
      <c r="BG369" s="137">
        <f ca="1">$W369*AL369+$L369*Summary_LCIA!AC$34</f>
        <v>2.2645169884608423E-5</v>
      </c>
      <c r="BH369" s="137">
        <f ca="1">$W369*AM369+$L369*Summary_LCIA!AD$34</f>
        <v>8.104598051684539E-2</v>
      </c>
      <c r="BI369" s="137">
        <f ca="1">$W369*AN369+$L369*Summary_LCIA!AE$34</f>
        <v>0.25273404785717724</v>
      </c>
      <c r="BJ369" s="137">
        <f ca="1">$W369*AO369+$L369*Summary_LCIA!AF$34</f>
        <v>3.8061940486395032E-3</v>
      </c>
      <c r="BK369" s="137">
        <f ca="1">$W369*AP369+$L369*Summary_LCIA!AG$34</f>
        <v>3.7363628443395033E-3</v>
      </c>
      <c r="BL369" s="137">
        <f ca="1">$W369*AQ369+$L369*Summary_LCIA!AH$34</f>
        <v>0.54735017917917239</v>
      </c>
      <c r="BM369" s="137">
        <f ca="1">$W369*AR369+$L369*Summary_LCIA!AI$34</f>
        <v>0.21093742025229839</v>
      </c>
    </row>
    <row r="370" spans="1:65" x14ac:dyDescent="0.25">
      <c r="A370" s="149">
        <v>212</v>
      </c>
      <c r="B370" s="149">
        <v>15</v>
      </c>
      <c r="C370" s="61">
        <v>50.908388000000002</v>
      </c>
      <c r="D370" s="61">
        <v>-1.4015599999999999</v>
      </c>
      <c r="E370" s="61" t="s">
        <v>463</v>
      </c>
      <c r="F370" s="149">
        <v>7</v>
      </c>
      <c r="G370" s="61" t="s">
        <v>628</v>
      </c>
      <c r="H370" s="61" t="s">
        <v>629</v>
      </c>
      <c r="I370" s="61">
        <v>51.470022</v>
      </c>
      <c r="J370" s="61">
        <v>-0.45429599999999998</v>
      </c>
      <c r="K370" s="61">
        <v>98.568014770000005</v>
      </c>
      <c r="L370" s="61">
        <v>158.30799999999999</v>
      </c>
      <c r="M370" s="61" t="s">
        <v>589</v>
      </c>
      <c r="N370" s="149">
        <v>14</v>
      </c>
      <c r="O370" s="149">
        <v>15</v>
      </c>
      <c r="P370" s="61" t="s">
        <v>567</v>
      </c>
      <c r="Q370" s="61" t="s">
        <v>566</v>
      </c>
      <c r="R370" s="61">
        <v>50.037932599999998</v>
      </c>
      <c r="S370" s="61">
        <v>8.5621518000000005</v>
      </c>
      <c r="T370" s="61"/>
      <c r="U370" s="61" t="s">
        <v>622</v>
      </c>
      <c r="V370" s="61" t="s">
        <v>569</v>
      </c>
      <c r="W370" s="61" cm="1">
        <f t="array" ref="W370">getDistance(I370,J370,R370,S370)*SA!$B$12</f>
        <v>655.49865109245718</v>
      </c>
      <c r="X370" s="61"/>
      <c r="Y370" s="137">
        <f>Transportation_LCIA!C$61*($W370^Transportation_LCIA!C$60)+Transportation_LCIA!C$62</f>
        <v>0.28808630932385726</v>
      </c>
      <c r="Z370" s="137">
        <f>Transportation_LCIA!D$61*($W370^Transportation_LCIA!D$60)+Transportation_LCIA!D$62</f>
        <v>3.0403453180333315</v>
      </c>
      <c r="AA370" s="137">
        <f>Transportation_LCIA!E$61*($W370^Transportation_LCIA!E$60)+Transportation_LCIA!E$62</f>
        <v>1.5496127326841335E-3</v>
      </c>
      <c r="AB370" s="137">
        <f>Transportation_LCIA!F$61*($W370^Transportation_LCIA!F$60)+Transportation_LCIA!F$62</f>
        <v>0.28808630932385726</v>
      </c>
      <c r="AC370" s="137">
        <f>Transportation_LCIA!G$61*($W370^Transportation_LCIA!G$60)+Transportation_LCIA!G$62</f>
        <v>7.0904955875308692E-2</v>
      </c>
      <c r="AD370" s="137">
        <f>Transportation_LCIA!H$61*($W370^Transportation_LCIA!H$60)+Transportation_LCIA!H$62</f>
        <v>3.6638661442350167E-4</v>
      </c>
      <c r="AE370" s="137">
        <f>Transportation_LCIA!I$61*($W370^Transportation_LCIA!I$60)+Transportation_LCIA!I$62</f>
        <v>8.1949302872625628E-6</v>
      </c>
      <c r="AF370" s="137">
        <f>Transportation_LCIA!J$61*($W370^Transportation_LCIA!J$60)+Transportation_LCIA!J$62</f>
        <v>1.216906133974993E-2</v>
      </c>
      <c r="AG370" s="137">
        <f>Transportation_LCIA!K$61*($W370^Transportation_LCIA!K$60)+Transportation_LCIA!K$62</f>
        <v>1.5391950999787709E-2</v>
      </c>
      <c r="AH370" s="137">
        <f>Transportation_LCIA!L$61*($W370^Transportation_LCIA!L$60)+Transportation_LCIA!L$62</f>
        <v>3.224475626051792E-4</v>
      </c>
      <c r="AI370" s="137">
        <f>Transportation_LCIA!M$61*($W370^Transportation_LCIA!M$60)+Transportation_LCIA!M$62</f>
        <v>2.9306665716547056E-4</v>
      </c>
      <c r="AJ370" s="137">
        <f>Transportation_LCIA!N$61*($W370^Transportation_LCIA!N$60)+Transportation_LCIA!N$62</f>
        <v>1.2908631335785605E-3</v>
      </c>
      <c r="AK370" s="137">
        <f>Transportation_LCIA!O$61*($W370^Transportation_LCIA!O$60)+Transportation_LCIA!O$62</f>
        <v>7.5013630480399058E-5</v>
      </c>
      <c r="AL370" s="137">
        <f>Transportation_LCIA!P$61*($W370^Transportation_LCIA!P$60)+Transportation_LCIA!P$62</f>
        <v>3.622947059126279E-8</v>
      </c>
      <c r="AM370" s="137">
        <f>Transportation_LCIA!Q$61*($W370^Transportation_LCIA!Q$60)+Transportation_LCIA!Q$62</f>
        <v>1.2728062224719001E-4</v>
      </c>
      <c r="AN370" s="137">
        <f>Transportation_LCIA!R$61*($W370^Transportation_LCIA!R$60)+Transportation_LCIA!R$62</f>
        <v>3.9383707879712856E-4</v>
      </c>
      <c r="AO370" s="137">
        <f>Transportation_LCIA!S$61*($W370^Transportation_LCIA!S$60)+Transportation_LCIA!S$62</f>
        <v>5.8462294863061377E-6</v>
      </c>
      <c r="AP370" s="137">
        <f>Transportation_LCIA!T$61*($W370^Transportation_LCIA!T$60)+Transportation_LCIA!T$62</f>
        <v>5.8462294863061377E-6</v>
      </c>
      <c r="AQ370" s="137">
        <f>Transportation_LCIA!U$61*($W370^Transportation_LCIA!U$60)+Transportation_LCIA!U$62</f>
        <v>8.5078004970210494E-4</v>
      </c>
      <c r="AR370" s="137">
        <f>Transportation_LCIA!V$61*($W370^Transportation_LCIA!V$60)+Transportation_LCIA!V$62</f>
        <v>3.311828503124549E-4</v>
      </c>
      <c r="AT370" s="137">
        <f>$W370*Y370+$L370*Summary_LCIA!H$34</f>
        <v>200.62811745599282</v>
      </c>
      <c r="AU370" s="137">
        <f ca="1">$W370*Z370+$L370*Summary_LCIA!Q$34</f>
        <v>2188.4667606489566</v>
      </c>
      <c r="AV370" s="137">
        <f ca="1">$W370*AA370+$L370*Summary_LCIA!R$34</f>
        <v>1.420499288790146</v>
      </c>
      <c r="AW370" s="137">
        <f ca="1">$W370*AB370+$L370*Summary_LCIA!S$34</f>
        <v>200.4660100639928</v>
      </c>
      <c r="AX370" s="137">
        <f ca="1">$W370*AC370+$L370*Summary_LCIA!T$34</f>
        <v>49.761885776035044</v>
      </c>
      <c r="AY370" s="137">
        <f ca="1">$W370*AD370+$L370*Summary_LCIA!U$34</f>
        <v>0.53138932833293751</v>
      </c>
      <c r="AZ370" s="137">
        <f ca="1">$W370*AE370+$L370*Summary_LCIA!V$34</f>
        <v>1.8209436393097331E-2</v>
      </c>
      <c r="BA370" s="137">
        <f ca="1">$W370*AF370+$L370*Summary_LCIA!W$34</f>
        <v>15.979114385267447</v>
      </c>
      <c r="BB370" s="137">
        <f ca="1">$W370*AG370+$L370*Summary_LCIA!X$34</f>
        <v>11.771267310042042</v>
      </c>
      <c r="BC370" s="137">
        <f ca="1">$W370*AH370+$L370*Summary_LCIA!Y$34</f>
        <v>0.48264053113574557</v>
      </c>
      <c r="BD370" s="137">
        <f ca="1">$W370*AI370+$L370*Summary_LCIA!Z$34</f>
        <v>0.19661736799214158</v>
      </c>
      <c r="BE370" s="137">
        <f ca="1">$W370*AJ370+$L370*Summary_LCIA!AA$34</f>
        <v>1.1726851236057287</v>
      </c>
      <c r="BF370" s="137">
        <f ca="1">$W370*AK370+$L370*Summary_LCIA!AB$34</f>
        <v>4.8072850212249614E-2</v>
      </c>
      <c r="BG370" s="137">
        <f ca="1">$W370*AL370+$L370*Summary_LCIA!AC$34</f>
        <v>2.4331274989166605E-5</v>
      </c>
      <c r="BH370" s="137">
        <f ca="1">$W370*AM370+$L370*Summary_LCIA!AD$34</f>
        <v>0.10103295963324165</v>
      </c>
      <c r="BI370" s="137">
        <f ca="1">$W370*AN370+$L370*Summary_LCIA!AE$34</f>
        <v>0.30564257542171153</v>
      </c>
      <c r="BJ370" s="137">
        <f ca="1">$W370*AO370+$L370*Summary_LCIA!AF$34</f>
        <v>4.1487336422250623E-2</v>
      </c>
      <c r="BK370" s="137">
        <f ca="1">$W370*AP370+$L370*Summary_LCIA!AG$34</f>
        <v>4.2656586770506225E-3</v>
      </c>
      <c r="BL370" s="137">
        <f ca="1">$W370*AQ370+$L370*Summary_LCIA!AH$34</f>
        <v>0.91835829135610347</v>
      </c>
      <c r="BM370" s="137">
        <f ca="1">$W370*AR370+$L370*Summary_LCIA!AI$34</f>
        <v>0.26153488264476932</v>
      </c>
    </row>
    <row r="371" spans="1:65" x14ac:dyDescent="0.25">
      <c r="A371" s="149">
        <v>213</v>
      </c>
      <c r="B371" s="149">
        <v>15</v>
      </c>
      <c r="C371" s="61">
        <v>50.908388000000002</v>
      </c>
      <c r="D371" s="61">
        <v>-1.4015599999999999</v>
      </c>
      <c r="E371" s="61" t="s">
        <v>463</v>
      </c>
      <c r="F371" s="149">
        <v>7</v>
      </c>
      <c r="G371" s="61" t="s">
        <v>628</v>
      </c>
      <c r="H371" s="61" t="s">
        <v>629</v>
      </c>
      <c r="I371" s="61">
        <v>51.470022</v>
      </c>
      <c r="J371" s="61">
        <v>-0.45429599999999998</v>
      </c>
      <c r="K371" s="61">
        <v>98.568014770000005</v>
      </c>
      <c r="L371" s="61">
        <v>158.30799999999999</v>
      </c>
      <c r="M371" s="61" t="s">
        <v>589</v>
      </c>
      <c r="N371" s="149">
        <v>14</v>
      </c>
      <c r="O371" s="149">
        <v>15</v>
      </c>
      <c r="P371" s="61" t="s">
        <v>567</v>
      </c>
      <c r="Q371" s="61" t="s">
        <v>566</v>
      </c>
      <c r="R371" s="61">
        <v>50.037932599999998</v>
      </c>
      <c r="S371" s="61">
        <v>8.5621518000000005</v>
      </c>
      <c r="T371" s="61"/>
      <c r="U371" s="61" t="s">
        <v>622</v>
      </c>
      <c r="V371" s="61" t="s">
        <v>569</v>
      </c>
      <c r="W371" s="61" cm="1">
        <f t="array" ref="W371">getDistance(I371,J371,R371,S371)*SA!$B$12</f>
        <v>655.49865109245718</v>
      </c>
      <c r="X371" s="61"/>
      <c r="Y371" s="137">
        <f>Transportation_LCIA!C$61*($W371^Transportation_LCIA!C$60)+Transportation_LCIA!C$62</f>
        <v>0.28808630932385726</v>
      </c>
      <c r="Z371" s="137">
        <f>Transportation_LCIA!D$61*($W371^Transportation_LCIA!D$60)+Transportation_LCIA!D$62</f>
        <v>3.0403453180333315</v>
      </c>
      <c r="AA371" s="137">
        <f>Transportation_LCIA!E$61*($W371^Transportation_LCIA!E$60)+Transportation_LCIA!E$62</f>
        <v>1.5496127326841335E-3</v>
      </c>
      <c r="AB371" s="137">
        <f>Transportation_LCIA!F$61*($W371^Transportation_LCIA!F$60)+Transportation_LCIA!F$62</f>
        <v>0.28808630932385726</v>
      </c>
      <c r="AC371" s="137">
        <f>Transportation_LCIA!G$61*($W371^Transportation_LCIA!G$60)+Transportation_LCIA!G$62</f>
        <v>7.0904955875308692E-2</v>
      </c>
      <c r="AD371" s="137">
        <f>Transportation_LCIA!H$61*($W371^Transportation_LCIA!H$60)+Transportation_LCIA!H$62</f>
        <v>3.6638661442350167E-4</v>
      </c>
      <c r="AE371" s="137">
        <f>Transportation_LCIA!I$61*($W371^Transportation_LCIA!I$60)+Transportation_LCIA!I$62</f>
        <v>8.1949302872625628E-6</v>
      </c>
      <c r="AF371" s="137">
        <f>Transportation_LCIA!J$61*($W371^Transportation_LCIA!J$60)+Transportation_LCIA!J$62</f>
        <v>1.216906133974993E-2</v>
      </c>
      <c r="AG371" s="137">
        <f>Transportation_LCIA!K$61*($W371^Transportation_LCIA!K$60)+Transportation_LCIA!K$62</f>
        <v>1.5391950999787709E-2</v>
      </c>
      <c r="AH371" s="137">
        <f>Transportation_LCIA!L$61*($W371^Transportation_LCIA!L$60)+Transportation_LCIA!L$62</f>
        <v>3.224475626051792E-4</v>
      </c>
      <c r="AI371" s="137">
        <f>Transportation_LCIA!M$61*($W371^Transportation_LCIA!M$60)+Transportation_LCIA!M$62</f>
        <v>2.9306665716547056E-4</v>
      </c>
      <c r="AJ371" s="137">
        <f>Transportation_LCIA!N$61*($W371^Transportation_LCIA!N$60)+Transportation_LCIA!N$62</f>
        <v>1.2908631335785605E-3</v>
      </c>
      <c r="AK371" s="137">
        <f>Transportation_LCIA!O$61*($W371^Transportation_LCIA!O$60)+Transportation_LCIA!O$62</f>
        <v>7.5013630480399058E-5</v>
      </c>
      <c r="AL371" s="137">
        <f>Transportation_LCIA!P$61*($W371^Transportation_LCIA!P$60)+Transportation_LCIA!P$62</f>
        <v>3.622947059126279E-8</v>
      </c>
      <c r="AM371" s="137">
        <f>Transportation_LCIA!Q$61*($W371^Transportation_LCIA!Q$60)+Transportation_LCIA!Q$62</f>
        <v>1.2728062224719001E-4</v>
      </c>
      <c r="AN371" s="137">
        <f>Transportation_LCIA!R$61*($W371^Transportation_LCIA!R$60)+Transportation_LCIA!R$62</f>
        <v>3.9383707879712856E-4</v>
      </c>
      <c r="AO371" s="137">
        <f>Transportation_LCIA!S$61*($W371^Transportation_LCIA!S$60)+Transportation_LCIA!S$62</f>
        <v>5.8462294863061377E-6</v>
      </c>
      <c r="AP371" s="137">
        <f>Transportation_LCIA!T$61*($W371^Transportation_LCIA!T$60)+Transportation_LCIA!T$62</f>
        <v>5.8462294863061377E-6</v>
      </c>
      <c r="AQ371" s="137">
        <f>Transportation_LCIA!U$61*($W371^Transportation_LCIA!U$60)+Transportation_LCIA!U$62</f>
        <v>8.5078004970210494E-4</v>
      </c>
      <c r="AR371" s="137">
        <f>Transportation_LCIA!V$61*($W371^Transportation_LCIA!V$60)+Transportation_LCIA!V$62</f>
        <v>3.311828503124549E-4</v>
      </c>
      <c r="AT371" s="137">
        <f>$W371*Y371+$L371*Summary_LCIA!H$34</f>
        <v>200.62811745599282</v>
      </c>
      <c r="AU371" s="137">
        <f ca="1">$W371*Z371+$L371*Summary_LCIA!Q$34</f>
        <v>2188.4667606489566</v>
      </c>
      <c r="AV371" s="137">
        <f ca="1">$W371*AA371+$L371*Summary_LCIA!R$34</f>
        <v>1.420499288790146</v>
      </c>
      <c r="AW371" s="137">
        <f ca="1">$W371*AB371+$L371*Summary_LCIA!S$34</f>
        <v>200.4660100639928</v>
      </c>
      <c r="AX371" s="137">
        <f ca="1">$W371*AC371+$L371*Summary_LCIA!T$34</f>
        <v>49.761885776035044</v>
      </c>
      <c r="AY371" s="137">
        <f ca="1">$W371*AD371+$L371*Summary_LCIA!U$34</f>
        <v>0.53138932833293751</v>
      </c>
      <c r="AZ371" s="137">
        <f ca="1">$W371*AE371+$L371*Summary_LCIA!V$34</f>
        <v>1.8209436393097331E-2</v>
      </c>
      <c r="BA371" s="137">
        <f ca="1">$W371*AF371+$L371*Summary_LCIA!W$34</f>
        <v>15.979114385267447</v>
      </c>
      <c r="BB371" s="137">
        <f ca="1">$W371*AG371+$L371*Summary_LCIA!X$34</f>
        <v>11.771267310042042</v>
      </c>
      <c r="BC371" s="137">
        <f ca="1">$W371*AH371+$L371*Summary_LCIA!Y$34</f>
        <v>0.48264053113574557</v>
      </c>
      <c r="BD371" s="137">
        <f ca="1">$W371*AI371+$L371*Summary_LCIA!Z$34</f>
        <v>0.19661736799214158</v>
      </c>
      <c r="BE371" s="137">
        <f ca="1">$W371*AJ371+$L371*Summary_LCIA!AA$34</f>
        <v>1.1726851236057287</v>
      </c>
      <c r="BF371" s="137">
        <f ca="1">$W371*AK371+$L371*Summary_LCIA!AB$34</f>
        <v>4.8072850212249614E-2</v>
      </c>
      <c r="BG371" s="137">
        <f ca="1">$W371*AL371+$L371*Summary_LCIA!AC$34</f>
        <v>2.4331274989166605E-5</v>
      </c>
      <c r="BH371" s="137">
        <f ca="1">$W371*AM371+$L371*Summary_LCIA!AD$34</f>
        <v>0.10103295963324165</v>
      </c>
      <c r="BI371" s="137">
        <f ca="1">$W371*AN371+$L371*Summary_LCIA!AE$34</f>
        <v>0.30564257542171153</v>
      </c>
      <c r="BJ371" s="137">
        <f ca="1">$W371*AO371+$L371*Summary_LCIA!AF$34</f>
        <v>4.1487336422250623E-2</v>
      </c>
      <c r="BK371" s="137">
        <f ca="1">$W371*AP371+$L371*Summary_LCIA!AG$34</f>
        <v>4.2656586770506225E-3</v>
      </c>
      <c r="BL371" s="137">
        <f ca="1">$W371*AQ371+$L371*Summary_LCIA!AH$34</f>
        <v>0.91835829135610347</v>
      </c>
      <c r="BM371" s="137">
        <f ca="1">$W371*AR371+$L371*Summary_LCIA!AI$34</f>
        <v>0.26153488264476932</v>
      </c>
    </row>
    <row r="372" spans="1:65" x14ac:dyDescent="0.25">
      <c r="A372" s="149">
        <v>225</v>
      </c>
      <c r="B372" s="149">
        <v>15</v>
      </c>
      <c r="C372" s="61">
        <v>55.864237000000003</v>
      </c>
      <c r="D372" s="61">
        <v>-4.2518060000000002</v>
      </c>
      <c r="E372" s="61" t="s">
        <v>463</v>
      </c>
      <c r="F372" s="149">
        <v>7</v>
      </c>
      <c r="G372" s="61" t="s">
        <v>628</v>
      </c>
      <c r="H372" s="61" t="s">
        <v>702</v>
      </c>
      <c r="I372" s="61">
        <v>53.358806000000001</v>
      </c>
      <c r="J372" s="61">
        <v>-2.2749190000000001</v>
      </c>
      <c r="K372" s="61">
        <v>565.56637360000002</v>
      </c>
      <c r="L372" s="61">
        <v>391.911</v>
      </c>
      <c r="M372" s="61" t="s">
        <v>589</v>
      </c>
      <c r="N372" s="149">
        <v>14</v>
      </c>
      <c r="O372" s="149">
        <v>15</v>
      </c>
      <c r="P372" s="61" t="s">
        <v>567</v>
      </c>
      <c r="Q372" s="61" t="s">
        <v>566</v>
      </c>
      <c r="R372" s="61">
        <v>50.037932599999998</v>
      </c>
      <c r="S372" s="61">
        <v>8.5621518000000005</v>
      </c>
      <c r="T372" s="61"/>
      <c r="U372" s="61" t="s">
        <v>622</v>
      </c>
      <c r="V372" s="61" t="s">
        <v>569</v>
      </c>
      <c r="W372" s="61" cm="1">
        <f t="array" ref="W372">getDistance(I372,J372,R372,S372)*SA!$B$12</f>
        <v>834.45951356708247</v>
      </c>
      <c r="X372" s="61"/>
      <c r="Y372" s="137">
        <f>Transportation_LCIA!C$61*($W372^Transportation_LCIA!C$60)+Transportation_LCIA!C$62</f>
        <v>0.25578761515395765</v>
      </c>
      <c r="Z372" s="137">
        <f>Transportation_LCIA!D$61*($W372^Transportation_LCIA!D$60)+Transportation_LCIA!D$62</f>
        <v>2.6584554831640039</v>
      </c>
      <c r="AA372" s="137">
        <f>Transportation_LCIA!E$61*($W372^Transportation_LCIA!E$60)+Transportation_LCIA!E$62</f>
        <v>1.2976004287997794E-3</v>
      </c>
      <c r="AB372" s="137">
        <f>Transportation_LCIA!F$61*($W372^Transportation_LCIA!F$60)+Transportation_LCIA!F$62</f>
        <v>0.25578761515395765</v>
      </c>
      <c r="AC372" s="137">
        <f>Transportation_LCIA!G$61*($W372^Transportation_LCIA!G$60)+Transportation_LCIA!G$62</f>
        <v>6.2076387065224892E-2</v>
      </c>
      <c r="AD372" s="137">
        <f>Transportation_LCIA!H$61*($W372^Transportation_LCIA!H$60)+Transportation_LCIA!H$62</f>
        <v>3.1057016417771567E-4</v>
      </c>
      <c r="AE372" s="137">
        <f>Transportation_LCIA!I$61*($W372^Transportation_LCIA!I$60)+Transportation_LCIA!I$62</f>
        <v>6.773283996403457E-6</v>
      </c>
      <c r="AF372" s="137">
        <f>Transportation_LCIA!J$61*($W372^Transportation_LCIA!J$60)+Transportation_LCIA!J$62</f>
        <v>1.0035587537395835E-2</v>
      </c>
      <c r="AG372" s="137">
        <f>Transportation_LCIA!K$61*($W372^Transportation_LCIA!K$60)+Transportation_LCIA!K$62</f>
        <v>1.3317400969705059E-2</v>
      </c>
      <c r="AH372" s="137">
        <f>Transportation_LCIA!L$61*($W372^Transportation_LCIA!L$60)+Transportation_LCIA!L$62</f>
        <v>2.7096205446478584E-4</v>
      </c>
      <c r="AI372" s="137">
        <f>Transportation_LCIA!M$61*($W372^Transportation_LCIA!M$60)+Transportation_LCIA!M$62</f>
        <v>2.622498652937841E-4</v>
      </c>
      <c r="AJ372" s="137">
        <f>Transportation_LCIA!N$61*($W372^Transportation_LCIA!N$60)+Transportation_LCIA!N$62</f>
        <v>1.1033734706359408E-3</v>
      </c>
      <c r="AK372" s="137">
        <f>Transportation_LCIA!O$61*($W372^Transportation_LCIA!O$60)+Transportation_LCIA!O$62</f>
        <v>6.5628766150605593E-5</v>
      </c>
      <c r="AL372" s="137">
        <f>Transportation_LCIA!P$61*($W372^Transportation_LCIA!P$60)+Transportation_LCIA!P$62</f>
        <v>3.1721717308493248E-8</v>
      </c>
      <c r="AM372" s="137">
        <f>Transportation_LCIA!Q$61*($W372^Transportation_LCIA!Q$60)+Transportation_LCIA!Q$62</f>
        <v>1.0711358134759958E-4</v>
      </c>
      <c r="AN372" s="137">
        <f>Transportation_LCIA!R$61*($W372^Transportation_LCIA!R$60)+Transportation_LCIA!R$62</f>
        <v>3.2564563735062877E-4</v>
      </c>
      <c r="AO372" s="137">
        <f>Transportation_LCIA!S$61*($W372^Transportation_LCIA!S$60)+Transportation_LCIA!S$62</f>
        <v>4.8789555695481221E-6</v>
      </c>
      <c r="AP372" s="137">
        <f>Transportation_LCIA!T$61*($W372^Transportation_LCIA!T$60)+Transportation_LCIA!T$62</f>
        <v>4.8789555695481221E-6</v>
      </c>
      <c r="AQ372" s="137">
        <f>Transportation_LCIA!U$61*($W372^Transportation_LCIA!U$60)+Transportation_LCIA!U$62</f>
        <v>7.0090245999337509E-4</v>
      </c>
      <c r="AR372" s="137">
        <f>Transportation_LCIA!V$61*($W372^Transportation_LCIA!V$60)+Transportation_LCIA!V$62</f>
        <v>2.7859686284207273E-4</v>
      </c>
      <c r="AT372" s="137">
        <f>$W372*Y372+$L372*Summary_LCIA!H$34</f>
        <v>242.62688579985559</v>
      </c>
      <c r="AU372" s="137">
        <f ca="1">$W372*Z372+$L372*Summary_LCIA!Q$34</f>
        <v>2702.4185245393082</v>
      </c>
      <c r="AV372" s="137">
        <f ca="1">$W372*AA372+$L372*Summary_LCIA!R$34</f>
        <v>2.0847546852207017</v>
      </c>
      <c r="AW372" s="137">
        <f ca="1">$W372*AB372+$L372*Summary_LCIA!S$34</f>
        <v>242.22556893585559</v>
      </c>
      <c r="AX372" s="137">
        <f ca="1">$W372*AC372+$L372*Summary_LCIA!T$34</f>
        <v>59.929641627449492</v>
      </c>
      <c r="AY372" s="137">
        <f ca="1">$W372*AD372+$L372*Summary_LCIA!U$34</f>
        <v>0.98011770372818563</v>
      </c>
      <c r="AZ372" s="137">
        <f ca="1">$W372*AE372+$L372*Summary_LCIA!V$34</f>
        <v>3.7433269991890533E-2</v>
      </c>
      <c r="BA372" s="137">
        <f ca="1">$W372*AF372+$L372*Summary_LCIA!W$34</f>
        <v>28.185000633815203</v>
      </c>
      <c r="BB372" s="137">
        <f ca="1">$W372*AG372+$L372*Summary_LCIA!X$34</f>
        <v>15.276494399157876</v>
      </c>
      <c r="BC372" s="137">
        <f ca="1">$W372*AH372+$L372*Summary_LCIA!Y$34</f>
        <v>0.89768555376382253</v>
      </c>
      <c r="BD372" s="137">
        <f ca="1">$W372*AI372+$L372*Summary_LCIA!Z$34</f>
        <v>0.23000831808108396</v>
      </c>
      <c r="BE372" s="137">
        <f ca="1">$W372*AJ372+$L372*Summary_LCIA!AA$34</f>
        <v>1.7290761181896905</v>
      </c>
      <c r="BF372" s="137">
        <f ca="1">$W372*AK372+$L372*Summary_LCIA!AB$34</f>
        <v>5.2045117040142148E-2</v>
      </c>
      <c r="BG372" s="137">
        <f ca="1">$W372*AL372+$L372*Summary_LCIA!AC$34</f>
        <v>2.7913544287857777E-5</v>
      </c>
      <c r="BH372" s="137">
        <f ca="1">$W372*AM372+$L372*Summary_LCIA!AD$34</f>
        <v>0.13295461196774608</v>
      </c>
      <c r="BI372" s="137">
        <f ca="1">$W372*AN372+$L372*Summary_LCIA!AE$34</f>
        <v>0.38928788547884824</v>
      </c>
      <c r="BJ372" s="137">
        <f ca="1">$W372*AO372+$L372*Summary_LCIA!AF$34</f>
        <v>9.7291241351280533E-2</v>
      </c>
      <c r="BK372" s="137">
        <f ca="1">$W372*AP372+$L372*Summary_LCIA!AG$34</f>
        <v>5.1443824003805337E-3</v>
      </c>
      <c r="BL372" s="137">
        <f ca="1">$W372*AQ372+$L372*Summary_LCIA!AH$34</f>
        <v>1.4777655571240431</v>
      </c>
      <c r="BM372" s="137">
        <f ca="1">$W372*AR372+$L372*Summary_LCIA!AI$34</f>
        <v>0.34250681589851117</v>
      </c>
    </row>
    <row r="373" spans="1:65" x14ac:dyDescent="0.25">
      <c r="A373" s="149">
        <v>233</v>
      </c>
      <c r="B373" s="149">
        <v>15</v>
      </c>
      <c r="C373" s="61">
        <v>20.593684</v>
      </c>
      <c r="D373" s="61">
        <v>78.962879999999998</v>
      </c>
      <c r="E373" s="61" t="s">
        <v>268</v>
      </c>
      <c r="F373" s="149">
        <v>41</v>
      </c>
      <c r="G373" s="61" t="s">
        <v>704</v>
      </c>
      <c r="H373" s="61" t="s">
        <v>705</v>
      </c>
      <c r="I373" s="61">
        <v>21.090667</v>
      </c>
      <c r="J373" s="61">
        <v>79.051494000000005</v>
      </c>
      <c r="K373" s="61">
        <v>668.6216369</v>
      </c>
      <c r="L373" s="61">
        <v>61.351999999999997</v>
      </c>
      <c r="M373" s="61" t="s">
        <v>617</v>
      </c>
      <c r="N373" s="149">
        <v>14</v>
      </c>
      <c r="O373" s="149">
        <v>15</v>
      </c>
      <c r="P373" s="61" t="s">
        <v>567</v>
      </c>
      <c r="Q373" s="61" t="s">
        <v>566</v>
      </c>
      <c r="R373" s="61">
        <v>50.037932599999998</v>
      </c>
      <c r="S373" s="61">
        <v>8.5621518000000005</v>
      </c>
      <c r="T373" s="61"/>
      <c r="U373" s="61" t="s">
        <v>622</v>
      </c>
      <c r="V373" s="61" t="s">
        <v>569</v>
      </c>
      <c r="W373" s="61" cm="1">
        <f t="array" ref="W373">getDistance(I373,J373,R373,S373)*SA!$B$12</f>
        <v>6860.0261895692247</v>
      </c>
      <c r="X373" s="61"/>
      <c r="Y373" s="137">
        <f>Transportation_LCIA!C$61*($W373^Transportation_LCIA!C$60)+Transportation_LCIA!C$62</f>
        <v>0.13645988213436686</v>
      </c>
      <c r="Z373" s="137">
        <f>Transportation_LCIA!D$61*($W373^Transportation_LCIA!D$60)+Transportation_LCIA!D$62</f>
        <v>1.3002198941689636</v>
      </c>
      <c r="AA373" s="137">
        <f>Transportation_LCIA!E$61*($W373^Transportation_LCIA!E$60)+Transportation_LCIA!E$62</f>
        <v>4.1072635750497347E-4</v>
      </c>
      <c r="AB373" s="137">
        <f>Transportation_LCIA!F$61*($W373^Transportation_LCIA!F$60)+Transportation_LCIA!F$62</f>
        <v>0.13645988213436686</v>
      </c>
      <c r="AC373" s="137">
        <f>Transportation_LCIA!G$61*($W373^Transportation_LCIA!G$60)+Transportation_LCIA!G$62</f>
        <v>3.0607327963128941E-2</v>
      </c>
      <c r="AD373" s="137">
        <f>Transportation_LCIA!H$61*($W373^Transportation_LCIA!H$60)+Transportation_LCIA!H$62</f>
        <v>1.1818117326373138E-4</v>
      </c>
      <c r="AE373" s="137">
        <f>Transportation_LCIA!I$61*($W373^Transportation_LCIA!I$60)+Transportation_LCIA!I$62</f>
        <v>2.0326147408223427E-6</v>
      </c>
      <c r="AF373" s="137">
        <f>Transportation_LCIA!J$61*($W373^Transportation_LCIA!J$60)+Transportation_LCIA!J$62</f>
        <v>3.0716685628491593E-3</v>
      </c>
      <c r="AG373" s="137">
        <f>Transportation_LCIA!K$61*($W373^Transportation_LCIA!K$60)+Transportation_LCIA!K$62</f>
        <v>6.0620037158523338E-3</v>
      </c>
      <c r="AH373" s="137">
        <f>Transportation_LCIA!L$61*($W373^Transportation_LCIA!L$60)+Transportation_LCIA!L$62</f>
        <v>9.5173384730676345E-5</v>
      </c>
      <c r="AI373" s="137">
        <f>Transportation_LCIA!M$61*($W373^Transportation_LCIA!M$60)+Transportation_LCIA!M$62</f>
        <v>1.5614967989661672E-4</v>
      </c>
      <c r="AJ373" s="137">
        <f>Transportation_LCIA!N$61*($W373^Transportation_LCIA!N$60)+Transportation_LCIA!N$62</f>
        <v>4.554169759156334E-4</v>
      </c>
      <c r="AK373" s="137">
        <f>Transportation_LCIA!O$61*($W373^Transportation_LCIA!O$60)+Transportation_LCIA!O$62</f>
        <v>3.2211517028364594E-5</v>
      </c>
      <c r="AL373" s="137">
        <f>Transportation_LCIA!P$61*($W373^Transportation_LCIA!P$60)+Transportation_LCIA!P$62</f>
        <v>1.5625519568579795E-8</v>
      </c>
      <c r="AM373" s="137">
        <f>Transportation_LCIA!Q$61*($W373^Transportation_LCIA!Q$60)+Transportation_LCIA!Q$62</f>
        <v>3.8605695227967373E-5</v>
      </c>
      <c r="AN373" s="137">
        <f>Transportation_LCIA!R$61*($W373^Transportation_LCIA!R$60)+Transportation_LCIA!R$62</f>
        <v>9.8432630251078101E-5</v>
      </c>
      <c r="AO373" s="137">
        <f>Transportation_LCIA!S$61*($W373^Transportation_LCIA!S$60)+Transportation_LCIA!S$62</f>
        <v>1.651266251491079E-6</v>
      </c>
      <c r="AP373" s="137">
        <f>Transportation_LCIA!T$61*($W373^Transportation_LCIA!T$60)+Transportation_LCIA!T$62</f>
        <v>1.651266251491079E-6</v>
      </c>
      <c r="AQ373" s="137">
        <f>Transportation_LCIA!U$61*($W373^Transportation_LCIA!U$60)+Transportation_LCIA!U$62</f>
        <v>2.0461011695863471E-4</v>
      </c>
      <c r="AR373" s="137">
        <f>Transportation_LCIA!V$61*($W373^Transportation_LCIA!V$60)+Transportation_LCIA!V$62</f>
        <v>1.0112559863672152E-4</v>
      </c>
      <c r="AT373" s="137">
        <f>$W373*Y373+$L373*Summary_LCIA!H$32</f>
        <v>956.9657748672862</v>
      </c>
      <c r="AU373" s="137">
        <f>$W373*Z373+$L373*Summary_LCIA!Q$32</f>
        <v>9223.6061323634331</v>
      </c>
      <c r="AV373" s="137">
        <f>$W373*AA373+$L373*Summary_LCIA!R$32</f>
        <v>3.1406486604304904</v>
      </c>
      <c r="AW373" s="137">
        <f>$W373*AB373+$L373*Summary_LCIA!S$32</f>
        <v>956.69459902728624</v>
      </c>
      <c r="AX373" s="137">
        <f>$W373*AC373+$L373*Summary_LCIA!T$32</f>
        <v>216.709656219799</v>
      </c>
      <c r="AY373" s="137">
        <f>$W373*AD373+$L373*Summary_LCIA!U$32</f>
        <v>1.9097856717032153</v>
      </c>
      <c r="AZ373" s="137">
        <f>$W373*AE373+$L373*Summary_LCIA!V$32</f>
        <v>1.6874023227345734E-2</v>
      </c>
      <c r="BA373" s="137">
        <f>$W373*AF373+$L373*Summary_LCIA!W$32</f>
        <v>25.794051578821694</v>
      </c>
      <c r="BB373" s="137">
        <f>$W373*AG373+$L373*Summary_LCIA!X$32</f>
        <v>42.983102812012966</v>
      </c>
      <c r="BC373" s="137">
        <f>$W373*AH373+$L373*Summary_LCIA!Y$32</f>
        <v>1.6088787758023875</v>
      </c>
      <c r="BD373" s="137">
        <f>$W373*AI373+$L373*Summary_LCIA!Z$32</f>
        <v>1.0737068777516419</v>
      </c>
      <c r="BE373" s="137">
        <f>$W373*AJ373+$L373*Summary_LCIA!AA$32</f>
        <v>4.5571096939556615</v>
      </c>
      <c r="BF373" s="137">
        <f>$W373*AK373+$L373*Summary_LCIA!AB$32</f>
        <v>0.21963296572433616</v>
      </c>
      <c r="BG373" s="137">
        <f>$W373*AL373+$L373*Summary_LCIA!AC$32</f>
        <v>1.1019060463408381E-4</v>
      </c>
      <c r="BH373" s="137">
        <f>$W373*AM373+$L373*Summary_LCIA!AD$32</f>
        <v>0.29005420641038382</v>
      </c>
      <c r="BI373" s="137">
        <f>$W373*AN373+$L373*Summary_LCIA!AE$32</f>
        <v>0.72961626919057965</v>
      </c>
      <c r="BJ373" s="137">
        <f>$W373*AO373+$L373*Summary_LCIA!AF$32</f>
        <v>6.319593757118061E-2</v>
      </c>
      <c r="BK373" s="137">
        <f>$W373*AP373+$L373*Summary_LCIA!AG$32</f>
        <v>1.4466804811180603E-2</v>
      </c>
      <c r="BL373" s="137">
        <f>$W373*AQ373+$L373*Summary_LCIA!AH$32</f>
        <v>1.9376140281870562</v>
      </c>
      <c r="BM373" s="137">
        <f>$W373*AR373+$L373*Summary_LCIA!AI$32</f>
        <v>0.75087671068377559</v>
      </c>
    </row>
    <row r="374" spans="1:65" x14ac:dyDescent="0.25">
      <c r="A374" s="149">
        <v>251</v>
      </c>
      <c r="B374" s="149">
        <v>15</v>
      </c>
      <c r="C374" s="61">
        <v>51.507351</v>
      </c>
      <c r="D374" s="61">
        <v>-0.12775800000000001</v>
      </c>
      <c r="E374" s="61" t="s">
        <v>463</v>
      </c>
      <c r="F374" s="149">
        <v>7</v>
      </c>
      <c r="G374" s="61" t="s">
        <v>628</v>
      </c>
      <c r="H374" s="61" t="s">
        <v>629</v>
      </c>
      <c r="I374" s="61">
        <v>51.470022</v>
      </c>
      <c r="J374" s="61">
        <v>-0.45429599999999998</v>
      </c>
      <c r="K374" s="61">
        <v>26.365709819999999</v>
      </c>
      <c r="L374" s="61">
        <v>29.34</v>
      </c>
      <c r="M374" s="61" t="s">
        <v>589</v>
      </c>
      <c r="N374" s="149">
        <v>14</v>
      </c>
      <c r="O374" s="149">
        <v>15</v>
      </c>
      <c r="P374" s="61" t="s">
        <v>567</v>
      </c>
      <c r="Q374" s="61" t="s">
        <v>566</v>
      </c>
      <c r="R374" s="61">
        <v>50.037932599999998</v>
      </c>
      <c r="S374" s="61">
        <v>8.5621518000000005</v>
      </c>
      <c r="T374" s="61"/>
      <c r="U374" s="61" t="s">
        <v>622</v>
      </c>
      <c r="V374" s="61" t="s">
        <v>569</v>
      </c>
      <c r="W374" s="61" cm="1">
        <f t="array" ref="W374">getDistance(I374,J374,R374,S374)*SA!$B$12</f>
        <v>655.49865109245718</v>
      </c>
      <c r="X374" s="61"/>
      <c r="Y374" s="137">
        <f>Transportation_LCIA!C$61*($W374^Transportation_LCIA!C$60)+Transportation_LCIA!C$62</f>
        <v>0.28808630932385726</v>
      </c>
      <c r="Z374" s="137">
        <f>Transportation_LCIA!D$61*($W374^Transportation_LCIA!D$60)+Transportation_LCIA!D$62</f>
        <v>3.0403453180333315</v>
      </c>
      <c r="AA374" s="137">
        <f>Transportation_LCIA!E$61*($W374^Transportation_LCIA!E$60)+Transportation_LCIA!E$62</f>
        <v>1.5496127326841335E-3</v>
      </c>
      <c r="AB374" s="137">
        <f>Transportation_LCIA!F$61*($W374^Transportation_LCIA!F$60)+Transportation_LCIA!F$62</f>
        <v>0.28808630932385726</v>
      </c>
      <c r="AC374" s="137">
        <f>Transportation_LCIA!G$61*($W374^Transportation_LCIA!G$60)+Transportation_LCIA!G$62</f>
        <v>7.0904955875308692E-2</v>
      </c>
      <c r="AD374" s="137">
        <f>Transportation_LCIA!H$61*($W374^Transportation_LCIA!H$60)+Transportation_LCIA!H$62</f>
        <v>3.6638661442350167E-4</v>
      </c>
      <c r="AE374" s="137">
        <f>Transportation_LCIA!I$61*($W374^Transportation_LCIA!I$60)+Transportation_LCIA!I$62</f>
        <v>8.1949302872625628E-6</v>
      </c>
      <c r="AF374" s="137">
        <f>Transportation_LCIA!J$61*($W374^Transportation_LCIA!J$60)+Transportation_LCIA!J$62</f>
        <v>1.216906133974993E-2</v>
      </c>
      <c r="AG374" s="137">
        <f>Transportation_LCIA!K$61*($W374^Transportation_LCIA!K$60)+Transportation_LCIA!K$62</f>
        <v>1.5391950999787709E-2</v>
      </c>
      <c r="AH374" s="137">
        <f>Transportation_LCIA!L$61*($W374^Transportation_LCIA!L$60)+Transportation_LCIA!L$62</f>
        <v>3.224475626051792E-4</v>
      </c>
      <c r="AI374" s="137">
        <f>Transportation_LCIA!M$61*($W374^Transportation_LCIA!M$60)+Transportation_LCIA!M$62</f>
        <v>2.9306665716547056E-4</v>
      </c>
      <c r="AJ374" s="137">
        <f>Transportation_LCIA!N$61*($W374^Transportation_LCIA!N$60)+Transportation_LCIA!N$62</f>
        <v>1.2908631335785605E-3</v>
      </c>
      <c r="AK374" s="137">
        <f>Transportation_LCIA!O$61*($W374^Transportation_LCIA!O$60)+Transportation_LCIA!O$62</f>
        <v>7.5013630480399058E-5</v>
      </c>
      <c r="AL374" s="137">
        <f>Transportation_LCIA!P$61*($W374^Transportation_LCIA!P$60)+Transportation_LCIA!P$62</f>
        <v>3.622947059126279E-8</v>
      </c>
      <c r="AM374" s="137">
        <f>Transportation_LCIA!Q$61*($W374^Transportation_LCIA!Q$60)+Transportation_LCIA!Q$62</f>
        <v>1.2728062224719001E-4</v>
      </c>
      <c r="AN374" s="137">
        <f>Transportation_LCIA!R$61*($W374^Transportation_LCIA!R$60)+Transportation_LCIA!R$62</f>
        <v>3.9383707879712856E-4</v>
      </c>
      <c r="AO374" s="137">
        <f>Transportation_LCIA!S$61*($W374^Transportation_LCIA!S$60)+Transportation_LCIA!S$62</f>
        <v>5.8462294863061377E-6</v>
      </c>
      <c r="AP374" s="137">
        <f>Transportation_LCIA!T$61*($W374^Transportation_LCIA!T$60)+Transportation_LCIA!T$62</f>
        <v>5.8462294863061377E-6</v>
      </c>
      <c r="AQ374" s="137">
        <f>Transportation_LCIA!U$61*($W374^Transportation_LCIA!U$60)+Transportation_LCIA!U$62</f>
        <v>8.5078004970210494E-4</v>
      </c>
      <c r="AR374" s="137">
        <f>Transportation_LCIA!V$61*($W374^Transportation_LCIA!V$60)+Transportation_LCIA!V$62</f>
        <v>3.311828503124549E-4</v>
      </c>
      <c r="AT374" s="137">
        <f>$W374*Y374+$L374*Summary_LCIA!H$34</f>
        <v>191.0249022399928</v>
      </c>
      <c r="AU374" s="137">
        <f ca="1">$W374*Z374+$L374*Summary_LCIA!Q$34</f>
        <v>2029.1797728343165</v>
      </c>
      <c r="AV374" s="137">
        <f ca="1">$W374*AA374+$L374*Summary_LCIA!R$34</f>
        <v>1.090779699990146</v>
      </c>
      <c r="AW374" s="137">
        <f ca="1">$W374*AB374+$L374*Summary_LCIA!S$34</f>
        <v>190.99485807999281</v>
      </c>
      <c r="AX374" s="137">
        <f ca="1">$W374*AC374+$L374*Summary_LCIA!T$34</f>
        <v>47.086702552035042</v>
      </c>
      <c r="AY374" s="137">
        <f ca="1">$W374*AD374+$L374*Summary_LCIA!U$34</f>
        <v>0.29413979553293756</v>
      </c>
      <c r="AZ374" s="137">
        <f ca="1">$W374*AE374+$L374*Summary_LCIA!V$34</f>
        <v>7.751034369097333E-3</v>
      </c>
      <c r="BA374" s="137">
        <f ca="1">$W374*AF374+$L374*Summary_LCIA!W$34</f>
        <v>9.4599109532674497</v>
      </c>
      <c r="BB374" s="137">
        <f ca="1">$W374*AG374+$L374*Summary_LCIA!X$34</f>
        <v>10.401111278042041</v>
      </c>
      <c r="BC374" s="137">
        <f ca="1">$W374*AH374+$L374*Summary_LCIA!Y$34</f>
        <v>0.26164096633574563</v>
      </c>
      <c r="BD374" s="137">
        <f ca="1">$W374*AI374+$L374*Summary_LCIA!Z$34</f>
        <v>0.19294113515214156</v>
      </c>
      <c r="BE374" s="137">
        <f ca="1">$W374*AJ374+$L374*Summary_LCIA!AA$34</f>
        <v>0.90667572680572872</v>
      </c>
      <c r="BF374" s="137">
        <f ca="1">$W374*AK374+$L374*Summary_LCIA!AB$34</f>
        <v>4.8967746267449611E-2</v>
      </c>
      <c r="BG374" s="137">
        <f ca="1">$W374*AL374+$L374*Summary_LCIA!AC$34</f>
        <v>2.3856401916366606E-5</v>
      </c>
      <c r="BH374" s="137">
        <f ca="1">$W374*AM374+$L374*Summary_LCIA!AD$34</f>
        <v>8.6694297393241651E-2</v>
      </c>
      <c r="BI374" s="137">
        <f ca="1">$W374*AN374+$L374*Summary_LCIA!AE$34</f>
        <v>0.2669599135017115</v>
      </c>
      <c r="BJ374" s="137">
        <f ca="1">$W374*AO374+$L374*Summary_LCIA!AF$34</f>
        <v>1.0811007942250622E-2</v>
      </c>
      <c r="BK374" s="137">
        <f ca="1">$W374*AP374+$L374*Summary_LCIA!AG$34</f>
        <v>3.9125313962506221E-3</v>
      </c>
      <c r="BL374" s="137">
        <f ca="1">$W374*AQ374+$L374*Summary_LCIA!AH$34</f>
        <v>0.62453049695610352</v>
      </c>
      <c r="BM374" s="137">
        <f ca="1">$W374*AR374+$L374*Summary_LCIA!AI$34</f>
        <v>0.22532711664476934</v>
      </c>
    </row>
    <row r="375" spans="1:65" x14ac:dyDescent="0.25">
      <c r="A375" s="149">
        <v>289</v>
      </c>
      <c r="B375" s="149">
        <v>15</v>
      </c>
      <c r="C375" s="61">
        <v>53.466729999999998</v>
      </c>
      <c r="D375" s="61">
        <v>-2.2341760000000002</v>
      </c>
      <c r="E375" s="61" t="s">
        <v>463</v>
      </c>
      <c r="F375" s="149">
        <v>7</v>
      </c>
      <c r="G375" s="61" t="s">
        <v>628</v>
      </c>
      <c r="H375" s="61" t="s">
        <v>629</v>
      </c>
      <c r="I375" s="61">
        <v>51.470022</v>
      </c>
      <c r="J375" s="61">
        <v>-0.45429599999999998</v>
      </c>
      <c r="K375" s="61">
        <v>261.38947339999999</v>
      </c>
      <c r="L375" s="61">
        <v>334.10500000000002</v>
      </c>
      <c r="M375" s="61" t="s">
        <v>589</v>
      </c>
      <c r="N375" s="149">
        <v>14</v>
      </c>
      <c r="O375" s="149">
        <v>15</v>
      </c>
      <c r="P375" s="61" t="s">
        <v>567</v>
      </c>
      <c r="Q375" s="61" t="s">
        <v>566</v>
      </c>
      <c r="R375" s="61">
        <v>50.037932599999998</v>
      </c>
      <c r="S375" s="61">
        <v>8.5621518000000005</v>
      </c>
      <c r="T375" s="61"/>
      <c r="U375" s="61" t="s">
        <v>622</v>
      </c>
      <c r="V375" s="61" t="s">
        <v>569</v>
      </c>
      <c r="W375" s="61" cm="1">
        <f t="array" ref="W375">getDistance(I375,J375,R375,S375)*SA!$B$12</f>
        <v>655.49865109245718</v>
      </c>
      <c r="X375" s="61"/>
      <c r="Y375" s="137">
        <f>Transportation_LCIA!C$61*($W375^Transportation_LCIA!C$60)+Transportation_LCIA!C$62</f>
        <v>0.28808630932385726</v>
      </c>
      <c r="Z375" s="137">
        <f>Transportation_LCIA!D$61*($W375^Transportation_LCIA!D$60)+Transportation_LCIA!D$62</f>
        <v>3.0403453180333315</v>
      </c>
      <c r="AA375" s="137">
        <f>Transportation_LCIA!E$61*($W375^Transportation_LCIA!E$60)+Transportation_LCIA!E$62</f>
        <v>1.5496127326841335E-3</v>
      </c>
      <c r="AB375" s="137">
        <f>Transportation_LCIA!F$61*($W375^Transportation_LCIA!F$60)+Transportation_LCIA!F$62</f>
        <v>0.28808630932385726</v>
      </c>
      <c r="AC375" s="137">
        <f>Transportation_LCIA!G$61*($W375^Transportation_LCIA!G$60)+Transportation_LCIA!G$62</f>
        <v>7.0904955875308692E-2</v>
      </c>
      <c r="AD375" s="137">
        <f>Transportation_LCIA!H$61*($W375^Transportation_LCIA!H$60)+Transportation_LCIA!H$62</f>
        <v>3.6638661442350167E-4</v>
      </c>
      <c r="AE375" s="137">
        <f>Transportation_LCIA!I$61*($W375^Transportation_LCIA!I$60)+Transportation_LCIA!I$62</f>
        <v>8.1949302872625628E-6</v>
      </c>
      <c r="AF375" s="137">
        <f>Transportation_LCIA!J$61*($W375^Transportation_LCIA!J$60)+Transportation_LCIA!J$62</f>
        <v>1.216906133974993E-2</v>
      </c>
      <c r="AG375" s="137">
        <f>Transportation_LCIA!K$61*($W375^Transportation_LCIA!K$60)+Transportation_LCIA!K$62</f>
        <v>1.5391950999787709E-2</v>
      </c>
      <c r="AH375" s="137">
        <f>Transportation_LCIA!L$61*($W375^Transportation_LCIA!L$60)+Transportation_LCIA!L$62</f>
        <v>3.224475626051792E-4</v>
      </c>
      <c r="AI375" s="137">
        <f>Transportation_LCIA!M$61*($W375^Transportation_LCIA!M$60)+Transportation_LCIA!M$62</f>
        <v>2.9306665716547056E-4</v>
      </c>
      <c r="AJ375" s="137">
        <f>Transportation_LCIA!N$61*($W375^Transportation_LCIA!N$60)+Transportation_LCIA!N$62</f>
        <v>1.2908631335785605E-3</v>
      </c>
      <c r="AK375" s="137">
        <f>Transportation_LCIA!O$61*($W375^Transportation_LCIA!O$60)+Transportation_LCIA!O$62</f>
        <v>7.5013630480399058E-5</v>
      </c>
      <c r="AL375" s="137">
        <f>Transportation_LCIA!P$61*($W375^Transportation_LCIA!P$60)+Transportation_LCIA!P$62</f>
        <v>3.622947059126279E-8</v>
      </c>
      <c r="AM375" s="137">
        <f>Transportation_LCIA!Q$61*($W375^Transportation_LCIA!Q$60)+Transportation_LCIA!Q$62</f>
        <v>1.2728062224719001E-4</v>
      </c>
      <c r="AN375" s="137">
        <f>Transportation_LCIA!R$61*($W375^Transportation_LCIA!R$60)+Transportation_LCIA!R$62</f>
        <v>3.9383707879712856E-4</v>
      </c>
      <c r="AO375" s="137">
        <f>Transportation_LCIA!S$61*($W375^Transportation_LCIA!S$60)+Transportation_LCIA!S$62</f>
        <v>5.8462294863061377E-6</v>
      </c>
      <c r="AP375" s="137">
        <f>Transportation_LCIA!T$61*($W375^Transportation_LCIA!T$60)+Transportation_LCIA!T$62</f>
        <v>5.8462294863061377E-6</v>
      </c>
      <c r="AQ375" s="137">
        <f>Transportation_LCIA!U$61*($W375^Transportation_LCIA!U$60)+Transportation_LCIA!U$62</f>
        <v>8.5078004970210494E-4</v>
      </c>
      <c r="AR375" s="137">
        <f>Transportation_LCIA!V$61*($W375^Transportation_LCIA!V$60)+Transportation_LCIA!V$62</f>
        <v>3.311828503124549E-4</v>
      </c>
      <c r="AT375" s="137">
        <f>$W375*Y375+$L375*Summary_LCIA!H$34</f>
        <v>213.71831366999282</v>
      </c>
      <c r="AU375" s="137">
        <f ca="1">$W375*Z375+$L375*Summary_LCIA!Q$34</f>
        <v>2405.5917420152664</v>
      </c>
      <c r="AV375" s="137">
        <f ca="1">$W375*AA375+$L375*Summary_LCIA!R$34</f>
        <v>1.8699418989901462</v>
      </c>
      <c r="AW375" s="137">
        <f ca="1">$W375*AB375+$L375*Summary_LCIA!S$34</f>
        <v>213.37619014999282</v>
      </c>
      <c r="AX375" s="137">
        <f ca="1">$W375*AC375+$L375*Summary_LCIA!T$34</f>
        <v>53.408442947035041</v>
      </c>
      <c r="AY375" s="137">
        <f ca="1">$W375*AD375+$L375*Summary_LCIA!U$34</f>
        <v>0.85478548953293754</v>
      </c>
      <c r="AZ375" s="137">
        <f ca="1">$W375*AE375+$L375*Summary_LCIA!V$34</f>
        <v>3.2465342514097335E-2</v>
      </c>
      <c r="BA375" s="137">
        <f ca="1">$W375*AF375+$L375*Summary_LCIA!W$34</f>
        <v>24.865476938267449</v>
      </c>
      <c r="BB375" s="137">
        <f ca="1">$W375*AG375+$L375*Summary_LCIA!X$34</f>
        <v>13.638934638042041</v>
      </c>
      <c r="BC375" s="137">
        <f ca="1">$W375*AH375+$L375*Summary_LCIA!Y$34</f>
        <v>0.78388627033574565</v>
      </c>
      <c r="BD375" s="137">
        <f ca="1">$W375*AI375+$L375*Summary_LCIA!Z$34</f>
        <v>0.20162846147714156</v>
      </c>
      <c r="BE375" s="137">
        <f ca="1">$W375*AJ375+$L375*Summary_LCIA!AA$34</f>
        <v>1.5352840158057286</v>
      </c>
      <c r="BF375" s="137">
        <f ca="1">$W375*AK375+$L375*Summary_LCIA!AB$34</f>
        <v>4.6853012408949617E-2</v>
      </c>
      <c r="BG375" s="137">
        <f ca="1">$W375*AL375+$L375*Summary_LCIA!AC$34</f>
        <v>2.4978577122866603E-5</v>
      </c>
      <c r="BH375" s="137">
        <f ca="1">$W375*AM375+$L375*Summary_LCIA!AD$34</f>
        <v>0.12057807009324165</v>
      </c>
      <c r="BI375" s="137">
        <f ca="1">$W375*AN375+$L375*Summary_LCIA!AE$34</f>
        <v>0.35837112760171153</v>
      </c>
      <c r="BJ375" s="137">
        <f ca="1">$W375*AO375+$L375*Summary_LCIA!AF$34</f>
        <v>8.3302410842250624E-2</v>
      </c>
      <c r="BK375" s="137">
        <f ca="1">$W375*AP375+$L375*Summary_LCIA!AG$34</f>
        <v>4.7470084427506222E-3</v>
      </c>
      <c r="BL375" s="137">
        <f ca="1">$W375*AQ375+$L375*Summary_LCIA!AH$34</f>
        <v>1.3188765964561036</v>
      </c>
      <c r="BM375" s="137">
        <f ca="1">$W375*AR375+$L375*Summary_LCIA!AI$34</f>
        <v>0.31088989039476933</v>
      </c>
    </row>
    <row r="376" spans="1:65" x14ac:dyDescent="0.25">
      <c r="A376" s="149">
        <v>292</v>
      </c>
      <c r="B376" s="149">
        <v>15</v>
      </c>
      <c r="C376" s="61">
        <v>43.719819000000001</v>
      </c>
      <c r="D376" s="61">
        <v>10.402931000000001</v>
      </c>
      <c r="E376" s="61" t="s">
        <v>421</v>
      </c>
      <c r="F376" s="149">
        <v>51</v>
      </c>
      <c r="G376" s="61" t="s">
        <v>698</v>
      </c>
      <c r="H376" s="61" t="s">
        <v>716</v>
      </c>
      <c r="I376" s="61">
        <v>41.799886999999998</v>
      </c>
      <c r="J376" s="61">
        <v>12.246238</v>
      </c>
      <c r="K376" s="61">
        <v>278.4546272</v>
      </c>
      <c r="L376" s="61">
        <v>329.53500000000003</v>
      </c>
      <c r="M376" s="61" t="s">
        <v>617</v>
      </c>
      <c r="N376" s="149">
        <v>14</v>
      </c>
      <c r="O376" s="149">
        <v>15</v>
      </c>
      <c r="P376" s="61" t="s">
        <v>567</v>
      </c>
      <c r="Q376" s="61" t="s">
        <v>566</v>
      </c>
      <c r="R376" s="61">
        <v>50.037932599999998</v>
      </c>
      <c r="S376" s="61">
        <v>8.5621518000000005</v>
      </c>
      <c r="T376" s="61"/>
      <c r="U376" s="61" t="s">
        <v>622</v>
      </c>
      <c r="V376" s="61" t="s">
        <v>569</v>
      </c>
      <c r="W376" s="61" cm="1">
        <f t="array" ref="W376">getDistance(I376,J376,R376,S376)*SA!$B$12</f>
        <v>960.33096396061467</v>
      </c>
      <c r="X376" s="61"/>
      <c r="Y376" s="137">
        <f>Transportation_LCIA!C$61*($W376^Transportation_LCIA!C$60)+Transportation_LCIA!C$62</f>
        <v>0.23978916330242275</v>
      </c>
      <c r="Z376" s="137">
        <f>Transportation_LCIA!D$61*($W376^Transportation_LCIA!D$60)+Transportation_LCIA!D$62</f>
        <v>2.4708787889542601</v>
      </c>
      <c r="AA376" s="137">
        <f>Transportation_LCIA!E$61*($W376^Transportation_LCIA!E$60)+Transportation_LCIA!E$62</f>
        <v>1.174109327635068E-3</v>
      </c>
      <c r="AB376" s="137">
        <f>Transportation_LCIA!F$61*($W376^Transportation_LCIA!F$60)+Transportation_LCIA!F$62</f>
        <v>0.23978916330242275</v>
      </c>
      <c r="AC376" s="137">
        <f>Transportation_LCIA!G$61*($W376^Transportation_LCIA!G$60)+Transportation_LCIA!G$62</f>
        <v>5.7737841551702487E-2</v>
      </c>
      <c r="AD376" s="137">
        <f>Transportation_LCIA!H$61*($W376^Transportation_LCIA!H$60)+Transportation_LCIA!H$62</f>
        <v>2.8334647040481186E-4</v>
      </c>
      <c r="AE376" s="137">
        <f>Transportation_LCIA!I$61*($W376^Transportation_LCIA!I$60)+Transportation_LCIA!I$62</f>
        <v>6.0850967306403664E-6</v>
      </c>
      <c r="AF376" s="137">
        <f>Transportation_LCIA!J$61*($W376^Transportation_LCIA!J$60)+Transportation_LCIA!J$62</f>
        <v>9.0078905630086234E-3</v>
      </c>
      <c r="AG376" s="137">
        <f>Transportation_LCIA!K$61*($W376^Transportation_LCIA!K$60)+Transportation_LCIA!K$62</f>
        <v>1.230224715256964E-2</v>
      </c>
      <c r="AH376" s="137">
        <f>Transportation_LCIA!L$61*($W376^Transportation_LCIA!L$60)+Transportation_LCIA!L$62</f>
        <v>2.4590448371425308E-4</v>
      </c>
      <c r="AI376" s="137">
        <f>Transportation_LCIA!M$61*($W376^Transportation_LCIA!M$60)+Transportation_LCIA!M$62</f>
        <v>2.4722323152264391E-4</v>
      </c>
      <c r="AJ376" s="137">
        <f>Transportation_LCIA!N$61*($W376^Transportation_LCIA!N$60)+Transportation_LCIA!N$62</f>
        <v>1.0118732947864647E-3</v>
      </c>
      <c r="AK376" s="137">
        <f>Transportation_LCIA!O$61*($W376^Transportation_LCIA!O$60)+Transportation_LCIA!O$62</f>
        <v>6.1017911221320582E-5</v>
      </c>
      <c r="AL376" s="137">
        <f>Transportation_LCIA!P$61*($W376^Transportation_LCIA!P$60)+Transportation_LCIA!P$62</f>
        <v>2.9505637910099093E-8</v>
      </c>
      <c r="AM376" s="137">
        <f>Transportation_LCIA!Q$61*($W376^Transportation_LCIA!Q$60)+Transportation_LCIA!Q$62</f>
        <v>9.7309772323205714E-5</v>
      </c>
      <c r="AN376" s="137">
        <f>Transportation_LCIA!R$61*($W376^Transportation_LCIA!R$60)+Transportation_LCIA!R$62</f>
        <v>2.926416879903948E-4</v>
      </c>
      <c r="AO376" s="137">
        <f>Transportation_LCIA!S$61*($W376^Transportation_LCIA!S$60)+Transportation_LCIA!S$62</f>
        <v>4.4106471577943657E-6</v>
      </c>
      <c r="AP376" s="137">
        <f>Transportation_LCIA!T$61*($W376^Transportation_LCIA!T$60)+Transportation_LCIA!T$62</f>
        <v>4.4106471577943657E-6</v>
      </c>
      <c r="AQ376" s="137">
        <f>Transportation_LCIA!U$61*($W376^Transportation_LCIA!U$60)+Transportation_LCIA!U$62</f>
        <v>6.284668197431289E-4</v>
      </c>
      <c r="AR376" s="137">
        <f>Transportation_LCIA!V$61*($W376^Transportation_LCIA!V$60)+Transportation_LCIA!V$62</f>
        <v>2.5307125805150313E-4</v>
      </c>
      <c r="AT376" s="137">
        <f>$W376*Y376+$L376*Summary_LCIA!H$32</f>
        <v>342.25295134152492</v>
      </c>
      <c r="AU376" s="137">
        <f>$W376*Z376+$L376*Summary_LCIA!Q$32</f>
        <v>4006.0534886649357</v>
      </c>
      <c r="AV376" s="137">
        <f>$W376*AA376+$L376*Summary_LCIA!R$32</f>
        <v>2.8627330384029337</v>
      </c>
      <c r="AW376" s="137">
        <f>$W376*AB376+$L376*Summary_LCIA!S$32</f>
        <v>340.79640664152492</v>
      </c>
      <c r="AX376" s="137">
        <f>$W376*AC376+$L376*Summary_LCIA!T$32</f>
        <v>91.663333534351679</v>
      </c>
      <c r="AY376" s="137">
        <f>$W376*AD376+$L376*Summary_LCIA!U$32</f>
        <v>6.1753963790586912</v>
      </c>
      <c r="AZ376" s="137">
        <f>$W376*AE376+$L376*Summary_LCIA!V$32</f>
        <v>2.1582627944129448E-2</v>
      </c>
      <c r="BA376" s="137">
        <f>$W376*AF376+$L376*Summary_LCIA!W$32</f>
        <v>34.015194712625799</v>
      </c>
      <c r="BB376" s="137">
        <f>$W376*AG376+$L376*Summary_LCIA!X$32</f>
        <v>19.321036166908929</v>
      </c>
      <c r="BC376" s="137">
        <f>$W376*AH376+$L376*Summary_LCIA!Y$32</f>
        <v>5.3709640598875463</v>
      </c>
      <c r="BD376" s="137">
        <f>$W376*AI376+$L376*Summary_LCIA!Z$32</f>
        <v>0.25093002505659884</v>
      </c>
      <c r="BE376" s="137">
        <f>$W376*AJ376+$L376*Summary_LCIA!AA$32</f>
        <v>8.6683527165882897</v>
      </c>
      <c r="BF376" s="137">
        <f>$W376*AK376+$L376*Summary_LCIA!AB$32</f>
        <v>5.1405947197034001E-2</v>
      </c>
      <c r="BG376" s="137">
        <f>$W376*AL376+$L376*Summary_LCIA!AC$32</f>
        <v>4.4444166636478321E-5</v>
      </c>
      <c r="BH376" s="137">
        <f>$W376*AM376+$L376*Summary_LCIA!AD$32</f>
        <v>0.2289016538579321</v>
      </c>
      <c r="BI376" s="137">
        <f>$W376*AN376+$L376*Summary_LCIA!AE$32</f>
        <v>0.57304372387287728</v>
      </c>
      <c r="BJ376" s="137">
        <f>$W376*AO376+$L376*Summary_LCIA!AF$32</f>
        <v>0.28283116073673487</v>
      </c>
      <c r="BK376" s="137">
        <f>$W376*AP376+$L376*Summary_LCIA!AG$32</f>
        <v>2.109633931173481E-2</v>
      </c>
      <c r="BL376" s="137">
        <f>$W376*AQ376+$L376*Summary_LCIA!AH$32</f>
        <v>3.4716769728211814</v>
      </c>
      <c r="BM376" s="137">
        <f>$W376*AR376+$L376*Summary_LCIA!AI$32</f>
        <v>0.55001049444532546</v>
      </c>
    </row>
    <row r="377" spans="1:65" x14ac:dyDescent="0.25">
      <c r="A377" s="149">
        <v>308</v>
      </c>
      <c r="B377" s="149">
        <v>15</v>
      </c>
      <c r="C377" s="61">
        <v>18.520430000000001</v>
      </c>
      <c r="D377" s="61">
        <v>73.856744000000006</v>
      </c>
      <c r="E377" s="61" t="s">
        <v>268</v>
      </c>
      <c r="F377" s="149">
        <v>41</v>
      </c>
      <c r="G377" s="61" t="s">
        <v>704</v>
      </c>
      <c r="H377" s="61" t="s">
        <v>717</v>
      </c>
      <c r="I377" s="61">
        <v>19.089559999999999</v>
      </c>
      <c r="J377" s="61">
        <v>72.865613999999994</v>
      </c>
      <c r="K377" s="61">
        <v>138.57053590000001</v>
      </c>
      <c r="L377" s="61">
        <v>150.84200000000001</v>
      </c>
      <c r="M377" s="61" t="s">
        <v>617</v>
      </c>
      <c r="N377" s="149">
        <v>14</v>
      </c>
      <c r="O377" s="149">
        <v>15</v>
      </c>
      <c r="P377" s="61" t="s">
        <v>567</v>
      </c>
      <c r="Q377" s="61" t="s">
        <v>566</v>
      </c>
      <c r="R377" s="61">
        <v>50.037932599999998</v>
      </c>
      <c r="S377" s="61">
        <v>8.5621518000000005</v>
      </c>
      <c r="T377" s="61"/>
      <c r="U377" s="61" t="s">
        <v>622</v>
      </c>
      <c r="V377" s="61" t="s">
        <v>569</v>
      </c>
      <c r="W377" s="61" cm="1">
        <f t="array" ref="W377">getDistance(I377,J377,R377,S377)*SA!$B$12</f>
        <v>6580.2744353943472</v>
      </c>
      <c r="X377" s="61"/>
      <c r="Y377" s="137">
        <f>Transportation_LCIA!C$61*($W377^Transportation_LCIA!C$60)+Transportation_LCIA!C$62</f>
        <v>0.13733361124554672</v>
      </c>
      <c r="Z377" s="137">
        <f>Transportation_LCIA!D$61*($W377^Transportation_LCIA!D$60)+Transportation_LCIA!D$62</f>
        <v>1.3096052149503097</v>
      </c>
      <c r="AA377" s="137">
        <f>Transportation_LCIA!E$61*($W377^Transportation_LCIA!E$60)+Transportation_LCIA!E$62</f>
        <v>4.167549847883517E-4</v>
      </c>
      <c r="AB377" s="137">
        <f>Transportation_LCIA!F$61*($W377^Transportation_LCIA!F$60)+Transportation_LCIA!F$62</f>
        <v>0.13733361124554672</v>
      </c>
      <c r="AC377" s="137">
        <f>Transportation_LCIA!G$61*($W377^Transportation_LCIA!G$60)+Transportation_LCIA!G$62</f>
        <v>3.0825516683626344E-2</v>
      </c>
      <c r="AD377" s="137">
        <f>Transportation_LCIA!H$61*($W377^Transportation_LCIA!H$60)+Transportation_LCIA!H$62</f>
        <v>1.1944712567135815E-4</v>
      </c>
      <c r="AE377" s="137">
        <f>Transportation_LCIA!I$61*($W377^Transportation_LCIA!I$60)+Transportation_LCIA!I$62</f>
        <v>2.0622065954474047E-6</v>
      </c>
      <c r="AF377" s="137">
        <f>Transportation_LCIA!J$61*($W377^Transportation_LCIA!J$60)+Transportation_LCIA!J$62</f>
        <v>3.1136555102907462E-3</v>
      </c>
      <c r="AG377" s="137">
        <f>Transportation_LCIA!K$61*($W377^Transportation_LCIA!K$60)+Transportation_LCIA!K$62</f>
        <v>6.1108474220744136E-3</v>
      </c>
      <c r="AH377" s="137">
        <f>Transportation_LCIA!L$61*($W377^Transportation_LCIA!L$60)+Transportation_LCIA!L$62</f>
        <v>9.6312916085844412E-5</v>
      </c>
      <c r="AI377" s="137">
        <f>Transportation_LCIA!M$61*($W377^Transportation_LCIA!M$60)+Transportation_LCIA!M$62</f>
        <v>1.5684659821607017E-4</v>
      </c>
      <c r="AJ377" s="137">
        <f>Transportation_LCIA!N$61*($W377^Transportation_LCIA!N$60)+Transportation_LCIA!N$62</f>
        <v>4.5969846283624706E-4</v>
      </c>
      <c r="AK377" s="137">
        <f>Transportation_LCIA!O$61*($W377^Transportation_LCIA!O$60)+Transportation_LCIA!O$62</f>
        <v>3.2442843105639033E-5</v>
      </c>
      <c r="AL377" s="137">
        <f>Transportation_LCIA!P$61*($W377^Transportation_LCIA!P$60)+Transportation_LCIA!P$62</f>
        <v>1.5737426471474715E-8</v>
      </c>
      <c r="AM377" s="137">
        <f>Transportation_LCIA!Q$61*($W377^Transportation_LCIA!Q$60)+Transportation_LCIA!Q$62</f>
        <v>3.9046217964547763E-5</v>
      </c>
      <c r="AN377" s="137">
        <f>Transportation_LCIA!R$61*($W377^Transportation_LCIA!R$60)+Transportation_LCIA!R$62</f>
        <v>9.9849108078312195E-5</v>
      </c>
      <c r="AO377" s="137">
        <f>Transportation_LCIA!S$61*($W377^Transportation_LCIA!S$60)+Transportation_LCIA!S$62</f>
        <v>1.6714358989519649E-6</v>
      </c>
      <c r="AP377" s="137">
        <f>Transportation_LCIA!T$61*($W377^Transportation_LCIA!T$60)+Transportation_LCIA!T$62</f>
        <v>1.6714358989519649E-6</v>
      </c>
      <c r="AQ377" s="137">
        <f>Transportation_LCIA!U$61*($W377^Transportation_LCIA!U$60)+Transportation_LCIA!U$62</f>
        <v>2.0767311130637152E-4</v>
      </c>
      <c r="AR377" s="137">
        <f>Transportation_LCIA!V$61*($W377^Transportation_LCIA!V$60)+Transportation_LCIA!V$62</f>
        <v>1.0225493834790514E-4</v>
      </c>
      <c r="AT377" s="137">
        <f>$W377*Y377+$L377*Summary_LCIA!H$32</f>
        <v>954.94896279945669</v>
      </c>
      <c r="AU377" s="137">
        <f>$W377*Z377+$L377*Summary_LCIA!Q$32</f>
        <v>9365.1422758112276</v>
      </c>
      <c r="AV377" s="137">
        <f>$W377*AA377+$L377*Summary_LCIA!R$32</f>
        <v>3.536635807425951</v>
      </c>
      <c r="AW377" s="137">
        <f>$W377*AB377+$L377*Summary_LCIA!S$32</f>
        <v>954.28224115945659</v>
      </c>
      <c r="AX377" s="137">
        <f>$W377*AC377+$L377*Summary_LCIA!T$32</f>
        <v>219.41789519108835</v>
      </c>
      <c r="AY377" s="137">
        <f>$W377*AD377+$L377*Summary_LCIA!U$32</f>
        <v>3.4881784554365738</v>
      </c>
      <c r="AZ377" s="137">
        <f>$W377*AE377+$L377*Summary_LCIA!V$32</f>
        <v>2.0774250102524171E-2</v>
      </c>
      <c r="BA377" s="137">
        <f>$W377*AF377+$L377*Summary_LCIA!W$32</f>
        <v>32.099167336990938</v>
      </c>
      <c r="BB377" s="137">
        <f>$W377*AG377+$L377*Summary_LCIA!X$32</f>
        <v>43.647233830071713</v>
      </c>
      <c r="BC377" s="137">
        <f>$W377*AH377+$L377*Summary_LCIA!Y$32</f>
        <v>2.9841854635179632</v>
      </c>
      <c r="BD377" s="137">
        <f>$W377*AI377+$L377*Summary_LCIA!Z$32</f>
        <v>1.0382795400977753</v>
      </c>
      <c r="BE377" s="137">
        <f>$W377*AJ377+$L377*Summary_LCIA!AA$32</f>
        <v>6.5480077949914346</v>
      </c>
      <c r="BF377" s="137">
        <f>$W377*AK377+$L377*Summary_LCIA!AB$32</f>
        <v>0.21019098613354628</v>
      </c>
      <c r="BG377" s="137">
        <f>$W377*AL377+$L377*Summary_LCIA!AC$32</f>
        <v>1.1093034541714334E-4</v>
      </c>
      <c r="BH377" s="137">
        <f>$W377*AM377+$L377*Summary_LCIA!AD$32</f>
        <v>0.3189369255509491</v>
      </c>
      <c r="BI377" s="137">
        <f>$W377*AN377+$L377*Summary_LCIA!AE$32</f>
        <v>0.79070015474464483</v>
      </c>
      <c r="BJ377" s="137">
        <f>$W377*AO377+$L377*Summary_LCIA!AF$32</f>
        <v>0.13852335055627402</v>
      </c>
      <c r="BK377" s="137">
        <f>$W377*AP377+$L377*Summary_LCIA!AG$32</f>
        <v>1.8716337846273984E-2</v>
      </c>
      <c r="BL377" s="137">
        <f>$W377*AQ377+$L377*Summary_LCIA!AH$32</f>
        <v>2.6794144964481217</v>
      </c>
      <c r="BM377" s="137">
        <f>$W377*AR377+$L377*Summary_LCIA!AI$32</f>
        <v>0.81338242180354525</v>
      </c>
    </row>
    <row r="378" spans="1:65" x14ac:dyDescent="0.25">
      <c r="A378" s="149">
        <v>309</v>
      </c>
      <c r="B378" s="149">
        <v>6</v>
      </c>
      <c r="C378" s="61">
        <v>-22.912496000000001</v>
      </c>
      <c r="D378" s="61">
        <v>-43.224753999999997</v>
      </c>
      <c r="E378" s="61" t="s">
        <v>465</v>
      </c>
      <c r="F378" s="149">
        <v>52</v>
      </c>
      <c r="G378" s="61" t="s">
        <v>682</v>
      </c>
      <c r="H378" s="61" t="s">
        <v>683</v>
      </c>
      <c r="I378" s="61">
        <v>-23.430572999999999</v>
      </c>
      <c r="J378" s="61">
        <v>-46.473042999999997</v>
      </c>
      <c r="K378" s="61">
        <v>339.4912473</v>
      </c>
      <c r="L378" s="61">
        <v>415.65699999999998</v>
      </c>
      <c r="M378" s="61" t="s">
        <v>617</v>
      </c>
      <c r="N378" s="149">
        <v>5</v>
      </c>
      <c r="O378" s="149">
        <v>6</v>
      </c>
      <c r="P378" s="61" t="s">
        <v>565</v>
      </c>
      <c r="Q378" s="61" t="s">
        <v>564</v>
      </c>
      <c r="R378" s="61">
        <v>41.98028</v>
      </c>
      <c r="S378" s="61">
        <v>-87.908997900000003</v>
      </c>
      <c r="T378" s="61"/>
      <c r="U378" s="61" t="s">
        <v>622</v>
      </c>
      <c r="V378" s="61" t="s">
        <v>569</v>
      </c>
      <c r="W378" s="61" cm="1">
        <f t="array" ref="W378">getDistance(I378,J378,R378,S378)*SA!$B$12</f>
        <v>8422.5070302481017</v>
      </c>
      <c r="X378" s="61"/>
      <c r="Y378" s="137">
        <f>Transportation_LCIA!C$61*($W378^Transportation_LCIA!C$60)+Transportation_LCIA!C$62</f>
        <v>0.13257261459336128</v>
      </c>
      <c r="Z378" s="137">
        <f>Transportation_LCIA!D$61*($W378^Transportation_LCIA!D$60)+Transportation_LCIA!D$62</f>
        <v>1.2586820151780742</v>
      </c>
      <c r="AA378" s="137">
        <f>Transportation_LCIA!E$61*($W378^Transportation_LCIA!E$60)+Transportation_LCIA!E$62</f>
        <v>3.8408382526349319E-4</v>
      </c>
      <c r="AB378" s="137">
        <f>Transportation_LCIA!F$61*($W378^Transportation_LCIA!F$60)+Transportation_LCIA!F$62</f>
        <v>0.13257261459336128</v>
      </c>
      <c r="AC378" s="137">
        <f>Transportation_LCIA!G$61*($W378^Transportation_LCIA!G$60)+Transportation_LCIA!G$62</f>
        <v>2.9641366176938799E-2</v>
      </c>
      <c r="AD378" s="137">
        <f>Transportation_LCIA!H$61*($W378^Transportation_LCIA!H$60)+Transportation_LCIA!H$62</f>
        <v>1.126027108406742E-4</v>
      </c>
      <c r="AE378" s="137">
        <f>Transportation_LCIA!I$61*($W378^Transportation_LCIA!I$60)+Transportation_LCIA!I$62</f>
        <v>1.9028245607617693E-6</v>
      </c>
      <c r="AF378" s="137">
        <f>Transportation_LCIA!J$61*($W378^Transportation_LCIA!J$60)+Transportation_LCIA!J$62</f>
        <v>2.8880736872192096E-3</v>
      </c>
      <c r="AG378" s="137">
        <f>Transportation_LCIA!K$61*($W378^Transportation_LCIA!K$60)+Transportation_LCIA!K$62</f>
        <v>5.8463339537824059E-3</v>
      </c>
      <c r="AH378" s="137">
        <f>Transportation_LCIA!L$61*($W378^Transportation_LCIA!L$60)+Transportation_LCIA!L$62</f>
        <v>9.0158674441413538E-5</v>
      </c>
      <c r="AI378" s="137">
        <f>Transportation_LCIA!M$61*($W378^Transportation_LCIA!M$60)+Transportation_LCIA!M$62</f>
        <v>1.5307917071161358E-4</v>
      </c>
      <c r="AJ378" s="137">
        <f>Transportation_LCIA!N$61*($W378^Transportation_LCIA!N$60)+Transportation_LCIA!N$62</f>
        <v>4.3654345287238349E-4</v>
      </c>
      <c r="AK378" s="137">
        <f>Transportation_LCIA!O$61*($W378^Transportation_LCIA!O$60)+Transportation_LCIA!O$62</f>
        <v>3.1187540895566968E-5</v>
      </c>
      <c r="AL378" s="137">
        <f>Transportation_LCIA!P$61*($W378^Transportation_LCIA!P$60)+Transportation_LCIA!P$62</f>
        <v>1.5129965505407241E-8</v>
      </c>
      <c r="AM378" s="137">
        <f>Transportation_LCIA!Q$61*($W378^Transportation_LCIA!Q$60)+Transportation_LCIA!Q$62</f>
        <v>3.6668483978999491E-5</v>
      </c>
      <c r="AN378" s="137">
        <f>Transportation_LCIA!R$61*($W378^Transportation_LCIA!R$60)+Transportation_LCIA!R$62</f>
        <v>9.2220644267511622E-5</v>
      </c>
      <c r="AO378" s="137">
        <f>Transportation_LCIA!S$61*($W378^Transportation_LCIA!S$60)+Transportation_LCIA!S$62</f>
        <v>1.5627934623745161E-6</v>
      </c>
      <c r="AP378" s="137">
        <f>Transportation_LCIA!T$61*($W378^Transportation_LCIA!T$60)+Transportation_LCIA!T$62</f>
        <v>1.5627934623745161E-6</v>
      </c>
      <c r="AQ378" s="137">
        <f>Transportation_LCIA!U$61*($W378^Transportation_LCIA!U$60)+Transportation_LCIA!U$62</f>
        <v>1.9118918802464308E-4</v>
      </c>
      <c r="AR378" s="137">
        <f>Transportation_LCIA!V$61*($W378^Transportation_LCIA!V$60)+Transportation_LCIA!V$62</f>
        <v>9.6163878021168E-5</v>
      </c>
      <c r="AT378" s="137">
        <f>$W378*Y378+$L378*Summary_LCIA!H$32</f>
        <v>1257.8340270309575</v>
      </c>
      <c r="AU378" s="137">
        <f>$W378*Z378+$L378*Summary_LCIA!Q$32</f>
        <v>12661.275176513658</v>
      </c>
      <c r="AV378" s="137">
        <f>$W378*AA378+$L378*Summary_LCIA!R$32</f>
        <v>5.4236322176863547</v>
      </c>
      <c r="AW378" s="137">
        <f>$W378*AB378+$L378*Summary_LCIA!S$32</f>
        <v>1255.9968230909574</v>
      </c>
      <c r="AX378" s="137">
        <f>$W378*AC378+$L378*Summary_LCIA!T$32</f>
        <v>295.33531931142534</v>
      </c>
      <c r="AY378" s="137">
        <f>$W378*AD378+$L378*Summary_LCIA!U$32</f>
        <v>8.3944766216805728</v>
      </c>
      <c r="AZ378" s="137">
        <f>$W378*AE378+$L378*Summary_LCIA!V$32</f>
        <v>3.5878747217344756E-2</v>
      </c>
      <c r="BA378" s="137">
        <f>$W378*AF378+$L378*Summary_LCIA!W$32</f>
        <v>56.318355881478347</v>
      </c>
      <c r="BB378" s="137">
        <f>$W378*AG378+$L378*Summary_LCIA!X$32</f>
        <v>58.709455286910497</v>
      </c>
      <c r="BC378" s="137">
        <f>$W378*AH378+$L378*Summary_LCIA!Y$32</f>
        <v>7.2361294433206549</v>
      </c>
      <c r="BD378" s="137">
        <f>$W378*AI378+$L378*Summary_LCIA!Z$32</f>
        <v>1.3063560694161145</v>
      </c>
      <c r="BE378" s="137">
        <f>$W378*AJ378+$L378*Summary_LCIA!AA$32</f>
        <v>13.38487519282643</v>
      </c>
      <c r="BF378" s="137">
        <f>$W378*AK378+$L378*Summary_LCIA!AB$32</f>
        <v>0.25360639973806298</v>
      </c>
      <c r="BG378" s="137">
        <f>$W378*AL378+$L378*Summary_LCIA!AC$32</f>
        <v>1.4775121762470377E-4</v>
      </c>
      <c r="BH378" s="137">
        <f>$W378*AM378+$L378*Summary_LCIA!AD$32</f>
        <v>0.47969221738166312</v>
      </c>
      <c r="BI378" s="137">
        <f>$W378*AN378+$L378*Summary_LCIA!AE$32</f>
        <v>1.1450551620871259</v>
      </c>
      <c r="BJ378" s="137">
        <f>$W378*AO378+$L378*Summary_LCIA!AF$32</f>
        <v>0.36456737986367516</v>
      </c>
      <c r="BK378" s="137">
        <f>$W378*AP378+$L378*Summary_LCIA!AG$32</f>
        <v>3.4429729328675135E-2</v>
      </c>
      <c r="BL378" s="137">
        <f>$W378*AQ378+$L378*Summary_LCIA!AH$32</f>
        <v>5.2280045454449828</v>
      </c>
      <c r="BM378" s="137">
        <f>$W378*AR378+$L378*Summary_LCIA!AI$32</f>
        <v>1.1971462170392084</v>
      </c>
    </row>
    <row r="379" spans="1:65" x14ac:dyDescent="0.25">
      <c r="A379" s="149">
        <v>335</v>
      </c>
      <c r="B379" s="149">
        <v>6</v>
      </c>
      <c r="C379" s="61">
        <v>-23.550519999999999</v>
      </c>
      <c r="D379" s="61">
        <v>-46.633308999999997</v>
      </c>
      <c r="E379" s="61" t="s">
        <v>465</v>
      </c>
      <c r="F379" s="149">
        <v>52</v>
      </c>
      <c r="G379" s="61" t="s">
        <v>682</v>
      </c>
      <c r="H379" s="61" t="s">
        <v>683</v>
      </c>
      <c r="I379" s="61">
        <v>-23.430572999999999</v>
      </c>
      <c r="J379" s="61">
        <v>-46.473042999999997</v>
      </c>
      <c r="K379" s="61">
        <v>21.411766369999999</v>
      </c>
      <c r="L379" s="61">
        <v>29.187000000000001</v>
      </c>
      <c r="M379" s="61" t="s">
        <v>617</v>
      </c>
      <c r="N379" s="149">
        <v>5</v>
      </c>
      <c r="O379" s="149">
        <v>6</v>
      </c>
      <c r="P379" s="61" t="s">
        <v>565</v>
      </c>
      <c r="Q379" s="61" t="s">
        <v>564</v>
      </c>
      <c r="R379" s="61">
        <v>41.98028</v>
      </c>
      <c r="S379" s="61">
        <v>-87.908997900000003</v>
      </c>
      <c r="T379" s="61"/>
      <c r="U379" s="61" t="s">
        <v>622</v>
      </c>
      <c r="V379" s="61" t="s">
        <v>569</v>
      </c>
      <c r="W379" s="61" cm="1">
        <f t="array" ref="W379">getDistance(I379,J379,R379,S379)*SA!$B$12</f>
        <v>8422.5070302481017</v>
      </c>
      <c r="X379" s="61"/>
      <c r="Y379" s="137">
        <f>Transportation_LCIA!C$61*($W379^Transportation_LCIA!C$60)+Transportation_LCIA!C$62</f>
        <v>0.13257261459336128</v>
      </c>
      <c r="Z379" s="137">
        <f>Transportation_LCIA!D$61*($W379^Transportation_LCIA!D$60)+Transportation_LCIA!D$62</f>
        <v>1.2586820151780742</v>
      </c>
      <c r="AA379" s="137">
        <f>Transportation_LCIA!E$61*($W379^Transportation_LCIA!E$60)+Transportation_LCIA!E$62</f>
        <v>3.8408382526349319E-4</v>
      </c>
      <c r="AB379" s="137">
        <f>Transportation_LCIA!F$61*($W379^Transportation_LCIA!F$60)+Transportation_LCIA!F$62</f>
        <v>0.13257261459336128</v>
      </c>
      <c r="AC379" s="137">
        <f>Transportation_LCIA!G$61*($W379^Transportation_LCIA!G$60)+Transportation_LCIA!G$62</f>
        <v>2.9641366176938799E-2</v>
      </c>
      <c r="AD379" s="137">
        <f>Transportation_LCIA!H$61*($W379^Transportation_LCIA!H$60)+Transportation_LCIA!H$62</f>
        <v>1.126027108406742E-4</v>
      </c>
      <c r="AE379" s="137">
        <f>Transportation_LCIA!I$61*($W379^Transportation_LCIA!I$60)+Transportation_LCIA!I$62</f>
        <v>1.9028245607617693E-6</v>
      </c>
      <c r="AF379" s="137">
        <f>Transportation_LCIA!J$61*($W379^Transportation_LCIA!J$60)+Transportation_LCIA!J$62</f>
        <v>2.8880736872192096E-3</v>
      </c>
      <c r="AG379" s="137">
        <f>Transportation_LCIA!K$61*($W379^Transportation_LCIA!K$60)+Transportation_LCIA!K$62</f>
        <v>5.8463339537824059E-3</v>
      </c>
      <c r="AH379" s="137">
        <f>Transportation_LCIA!L$61*($W379^Transportation_LCIA!L$60)+Transportation_LCIA!L$62</f>
        <v>9.0158674441413538E-5</v>
      </c>
      <c r="AI379" s="137">
        <f>Transportation_LCIA!M$61*($W379^Transportation_LCIA!M$60)+Transportation_LCIA!M$62</f>
        <v>1.5307917071161358E-4</v>
      </c>
      <c r="AJ379" s="137">
        <f>Transportation_LCIA!N$61*($W379^Transportation_LCIA!N$60)+Transportation_LCIA!N$62</f>
        <v>4.3654345287238349E-4</v>
      </c>
      <c r="AK379" s="137">
        <f>Transportation_LCIA!O$61*($W379^Transportation_LCIA!O$60)+Transportation_LCIA!O$62</f>
        <v>3.1187540895566968E-5</v>
      </c>
      <c r="AL379" s="137">
        <f>Transportation_LCIA!P$61*($W379^Transportation_LCIA!P$60)+Transportation_LCIA!P$62</f>
        <v>1.5129965505407241E-8</v>
      </c>
      <c r="AM379" s="137">
        <f>Transportation_LCIA!Q$61*($W379^Transportation_LCIA!Q$60)+Transportation_LCIA!Q$62</f>
        <v>3.6668483978999491E-5</v>
      </c>
      <c r="AN379" s="137">
        <f>Transportation_LCIA!R$61*($W379^Transportation_LCIA!R$60)+Transportation_LCIA!R$62</f>
        <v>9.2220644267511622E-5</v>
      </c>
      <c r="AO379" s="137">
        <f>Transportation_LCIA!S$61*($W379^Transportation_LCIA!S$60)+Transportation_LCIA!S$62</f>
        <v>1.5627934623745161E-6</v>
      </c>
      <c r="AP379" s="137">
        <f>Transportation_LCIA!T$61*($W379^Transportation_LCIA!T$60)+Transportation_LCIA!T$62</f>
        <v>1.5627934623745161E-6</v>
      </c>
      <c r="AQ379" s="137">
        <f>Transportation_LCIA!U$61*($W379^Transportation_LCIA!U$60)+Transportation_LCIA!U$62</f>
        <v>1.9118918802464308E-4</v>
      </c>
      <c r="AR379" s="137">
        <f>Transportation_LCIA!V$61*($W379^Transportation_LCIA!V$60)+Transportation_LCIA!V$62</f>
        <v>9.6163878021168E-5</v>
      </c>
      <c r="AT379" s="137">
        <f>$W379*Y379+$L379*Summary_LCIA!H$32</f>
        <v>1126.5115210309575</v>
      </c>
      <c r="AU379" s="137">
        <f>$W379*Z379+$L379*Summary_LCIA!Q$32</f>
        <v>10745.910365672149</v>
      </c>
      <c r="AV379" s="137">
        <f>$W379*AA379+$L379*Summary_LCIA!R$32</f>
        <v>3.3886357856863549</v>
      </c>
      <c r="AW379" s="137">
        <f>$W379*AB379+$L379*Summary_LCIA!S$32</f>
        <v>1126.3825144909574</v>
      </c>
      <c r="AX379" s="137">
        <f>$W379*AC379+$L379*Summary_LCIA!T$32</f>
        <v>252.86226631142534</v>
      </c>
      <c r="AY379" s="137">
        <f>$W379*AD379+$L379*Summary_LCIA!U$32</f>
        <v>1.4712530416805725</v>
      </c>
      <c r="AZ379" s="137">
        <f>$W379*AE379+$L379*Summary_LCIA!V$32</f>
        <v>1.7420553547344758E-2</v>
      </c>
      <c r="BA379" s="137">
        <f>$W379*AF379+$L379*Summary_LCIA!W$32</f>
        <v>26.571373511478349</v>
      </c>
      <c r="BB379" s="137">
        <f>$W379*AG379+$L379*Summary_LCIA!X$32</f>
        <v>49.905668686910495</v>
      </c>
      <c r="BC379" s="137">
        <f>$W379*AH379+$L379*Summary_LCIA!Y$32</f>
        <v>1.2141539033206554</v>
      </c>
      <c r="BD379" s="137">
        <f>$W379*AI379+$L379*Summary_LCIA!Z$32</f>
        <v>1.2905073211861144</v>
      </c>
      <c r="BE379" s="137">
        <f>$W379*AJ379+$L379*Summary_LCIA!AA$32</f>
        <v>4.358481872826431</v>
      </c>
      <c r="BF379" s="137">
        <f>$W379*AK379+$L379*Summary_LCIA!AB$32</f>
        <v>0.26204033454806297</v>
      </c>
      <c r="BG379" s="137">
        <f>$W379*AL379+$L379*Summary_LCIA!AC$32</f>
        <v>1.2885901814470378E-4</v>
      </c>
      <c r="BH379" s="137">
        <f>$W379*AM379+$L379*Summary_LCIA!AD$32</f>
        <v>0.32083758858166311</v>
      </c>
      <c r="BI379" s="137">
        <f>$W379*AN379+$L379*Summary_LCIA!AE$32</f>
        <v>0.80259250098712587</v>
      </c>
      <c r="BJ379" s="137">
        <f>$W379*AO379+$L379*Summary_LCIA!AF$32</f>
        <v>3.7837912463675141E-2</v>
      </c>
      <c r="BK379" s="137">
        <f>$W379*AP379+$L379*Summary_LCIA!AG$32</f>
        <v>1.4655991778675133E-2</v>
      </c>
      <c r="BL379" s="137">
        <f>$W379*AQ379+$L379*Summary_LCIA!AH$32</f>
        <v>1.8643242534449826</v>
      </c>
      <c r="BM379" s="137">
        <f>$W379*AR379+$L379*Summary_LCIA!AI$32</f>
        <v>0.83713008853920834</v>
      </c>
    </row>
    <row r="380" spans="1:65" x14ac:dyDescent="0.25">
      <c r="A380" s="149">
        <v>347</v>
      </c>
      <c r="B380" s="149">
        <v>15</v>
      </c>
      <c r="C380" s="61">
        <v>40.463667000000001</v>
      </c>
      <c r="D380" s="61">
        <v>-3.7492200000000002</v>
      </c>
      <c r="E380" s="61" t="s">
        <v>466</v>
      </c>
      <c r="F380" s="149">
        <v>22</v>
      </c>
      <c r="G380" s="61" t="s">
        <v>686</v>
      </c>
      <c r="H380" s="61" t="s">
        <v>725</v>
      </c>
      <c r="I380" s="61">
        <v>40.498331999999998</v>
      </c>
      <c r="J380" s="61">
        <v>-3.5675979999999998</v>
      </c>
      <c r="K380" s="61">
        <v>17.248889810000001</v>
      </c>
      <c r="L380" s="61">
        <v>33.814999999999998</v>
      </c>
      <c r="M380" s="61" t="s">
        <v>617</v>
      </c>
      <c r="N380" s="149">
        <v>14</v>
      </c>
      <c r="O380" s="149">
        <v>15</v>
      </c>
      <c r="P380" s="61" t="s">
        <v>567</v>
      </c>
      <c r="Q380" s="61" t="s">
        <v>566</v>
      </c>
      <c r="R380" s="61">
        <v>50.037932599999998</v>
      </c>
      <c r="S380" s="61">
        <v>8.5621518000000005</v>
      </c>
      <c r="T380" s="61"/>
      <c r="U380" s="61" t="s">
        <v>622</v>
      </c>
      <c r="V380" s="61" t="s">
        <v>569</v>
      </c>
      <c r="W380" s="61" cm="1">
        <f t="array" ref="W380">getDistance(I380,J380,R380,S380)*SA!$B$12</f>
        <v>1422.5775061630379</v>
      </c>
      <c r="X380" s="61"/>
      <c r="Y380" s="137">
        <f>Transportation_LCIA!C$61*($W380^Transportation_LCIA!C$60)+Transportation_LCIA!C$62</f>
        <v>0.20387178795923749</v>
      </c>
      <c r="Z380" s="137">
        <f>Transportation_LCIA!D$61*($W380^Transportation_LCIA!D$60)+Transportation_LCIA!D$62</f>
        <v>2.0544332493991768</v>
      </c>
      <c r="AA380" s="137">
        <f>Transportation_LCIA!E$61*($W380^Transportation_LCIA!E$60)+Transportation_LCIA!E$62</f>
        <v>9.0080003519318777E-4</v>
      </c>
      <c r="AB380" s="137">
        <f>Transportation_LCIA!F$61*($W380^Transportation_LCIA!F$60)+Transportation_LCIA!F$62</f>
        <v>0.20387178795923749</v>
      </c>
      <c r="AC380" s="137">
        <f>Transportation_LCIA!G$61*($W380^Transportation_LCIA!G$60)+Transportation_LCIA!G$62</f>
        <v>4.8099419426073042E-2</v>
      </c>
      <c r="AD380" s="137">
        <f>Transportation_LCIA!H$61*($W380^Transportation_LCIA!H$60)+Transportation_LCIA!H$62</f>
        <v>2.2346669639805041E-4</v>
      </c>
      <c r="AE380" s="137">
        <f>Transportation_LCIA!I$61*($W380^Transportation_LCIA!I$60)+Transportation_LCIA!I$62</f>
        <v>4.5863780306586757E-6</v>
      </c>
      <c r="AF380" s="137">
        <f>Transportation_LCIA!J$61*($W380^Transportation_LCIA!J$60)+Transportation_LCIA!J$62</f>
        <v>6.7842712024970423E-3</v>
      </c>
      <c r="AG380" s="137">
        <f>Transportation_LCIA!K$61*($W380^Transportation_LCIA!K$60)+Transportation_LCIA!K$62</f>
        <v>1.0059666229699251E-2</v>
      </c>
      <c r="AH380" s="137">
        <f>Transportation_LCIA!L$61*($W380^Transportation_LCIA!L$60)+Transportation_LCIA!L$62</f>
        <v>1.9094517212979147E-4</v>
      </c>
      <c r="AI380" s="137">
        <f>Transportation_LCIA!M$61*($W380^Transportation_LCIA!M$60)+Transportation_LCIA!M$62</f>
        <v>2.1418258174178348E-4</v>
      </c>
      <c r="AJ380" s="137">
        <f>Transportation_LCIA!N$61*($W380^Transportation_LCIA!N$60)+Transportation_LCIA!N$62</f>
        <v>8.1045513292544438E-4</v>
      </c>
      <c r="AK380" s="137">
        <f>Transportation_LCIA!O$61*($W380^Transportation_LCIA!O$60)+Transportation_LCIA!O$62</f>
        <v>5.07776706689413E-5</v>
      </c>
      <c r="AL380" s="137">
        <f>Transportation_LCIA!P$61*($W380^Transportation_LCIA!P$60)+Transportation_LCIA!P$62</f>
        <v>2.4579866628356082E-8</v>
      </c>
      <c r="AM380" s="137">
        <f>Transportation_LCIA!Q$61*($W380^Transportation_LCIA!Q$60)+Transportation_LCIA!Q$62</f>
        <v>7.583964131960341E-5</v>
      </c>
      <c r="AN380" s="137">
        <f>Transportation_LCIA!R$61*($W380^Transportation_LCIA!R$60)+Transportation_LCIA!R$62</f>
        <v>2.2078368893547546E-4</v>
      </c>
      <c r="AO380" s="137">
        <f>Transportation_LCIA!S$61*($W380^Transportation_LCIA!S$60)+Transportation_LCIA!S$62</f>
        <v>3.390566765884979E-6</v>
      </c>
      <c r="AP380" s="137">
        <f>Transportation_LCIA!T$61*($W380^Transportation_LCIA!T$60)+Transportation_LCIA!T$62</f>
        <v>3.390566765884979E-6</v>
      </c>
      <c r="AQ380" s="137">
        <f>Transportation_LCIA!U$61*($W380^Transportation_LCIA!U$60)+Transportation_LCIA!U$62</f>
        <v>4.7105293233365268E-4</v>
      </c>
      <c r="AR380" s="137">
        <f>Transportation_LCIA!V$61*($W380^Transportation_LCIA!V$60)+Transportation_LCIA!V$62</f>
        <v>1.9728057443119194E-4</v>
      </c>
      <c r="AT380" s="137">
        <f>$W380*Y380+$L380*Summary_LCIA!H$32</f>
        <v>301.51375669205174</v>
      </c>
      <c r="AU380" s="137">
        <f>$W380*Z380+$L380*Summary_LCIA!Q$32</f>
        <v>3090.1793739006025</v>
      </c>
      <c r="AV380" s="137">
        <f>$W380*AA380+$L380*Summary_LCIA!R$32</f>
        <v>1.459514131616702</v>
      </c>
      <c r="AW380" s="137">
        <f>$W380*AB380+$L380*Summary_LCIA!S$32</f>
        <v>301.3642943920517</v>
      </c>
      <c r="AX380" s="137">
        <f>$W380*AC380+$L380*Summary_LCIA!T$32</f>
        <v>72.141420635032972</v>
      </c>
      <c r="AY380" s="137">
        <f>$W380*AD380+$L380*Summary_LCIA!U$32</f>
        <v>0.92366060567243125</v>
      </c>
      <c r="AZ380" s="137">
        <f>$W380*AE380+$L380*Summary_LCIA!V$32</f>
        <v>8.1395164361753643E-3</v>
      </c>
      <c r="BA380" s="137">
        <f>$W380*AF380+$L380*Summary_LCIA!W$32</f>
        <v>12.253925973381957</v>
      </c>
      <c r="BB380" s="137">
        <f>$W380*AG380+$L380*Summary_LCIA!X$32</f>
        <v>15.080960597878091</v>
      </c>
      <c r="BC380" s="137">
        <f>$W380*AH380+$L380*Summary_LCIA!Y$32</f>
        <v>0.79853963678227069</v>
      </c>
      <c r="BD380" s="137">
        <f>$W380*AI380+$L380*Summary_LCIA!Z$32</f>
        <v>0.30607804233278735</v>
      </c>
      <c r="BE380" s="137">
        <f>$W380*AJ380+$L380*Summary_LCIA!AA$32</f>
        <v>1.9427183818541121</v>
      </c>
      <c r="BF380" s="137">
        <f>$W380*AK380+$L380*Summary_LCIA!AB$32</f>
        <v>7.1497227363990556E-2</v>
      </c>
      <c r="BG380" s="137">
        <f>$W380*AL380+$L380*Summary_LCIA!AC$32</f>
        <v>3.6619777829986872E-5</v>
      </c>
      <c r="BH380" s="137">
        <f>$W380*AM380+$L380*Summary_LCIA!AD$32</f>
        <v>0.12178708541674071</v>
      </c>
      <c r="BI380" s="137">
        <f>$W380*AN380+$L380*Summary_LCIA!AE$32</f>
        <v>0.3440463955573046</v>
      </c>
      <c r="BJ380" s="137">
        <f>$W380*AO380+$L380*Summary_LCIA!AF$32</f>
        <v>3.3411221314291931E-2</v>
      </c>
      <c r="BK380" s="137">
        <f>$W380*AP380+$L380*Summary_LCIA!AG$32</f>
        <v>6.5534884892919296E-3</v>
      </c>
      <c r="BL380" s="137">
        <f>$W380*AQ380+$L380*Summary_LCIA!AH$32</f>
        <v>0.96442153974999378</v>
      </c>
      <c r="BM380" s="137">
        <f>$W380*AR380+$L380*Summary_LCIA!AI$32</f>
        <v>0.31214727083873661</v>
      </c>
    </row>
    <row r="381" spans="1:65" x14ac:dyDescent="0.25">
      <c r="A381" s="149">
        <v>350</v>
      </c>
      <c r="B381" s="149">
        <v>15</v>
      </c>
      <c r="C381" s="61">
        <v>53.750993000000001</v>
      </c>
      <c r="D381" s="61">
        <v>-2.367264</v>
      </c>
      <c r="E381" s="61" t="s">
        <v>463</v>
      </c>
      <c r="F381" s="149">
        <v>7</v>
      </c>
      <c r="G381" s="61" t="s">
        <v>628</v>
      </c>
      <c r="H381" s="61" t="s">
        <v>629</v>
      </c>
      <c r="I381" s="61">
        <v>51.470022</v>
      </c>
      <c r="J381" s="61">
        <v>-0.45429599999999998</v>
      </c>
      <c r="K381" s="61">
        <v>293.50665629999997</v>
      </c>
      <c r="L381" s="61">
        <v>394.161</v>
      </c>
      <c r="M381" s="61" t="s">
        <v>589</v>
      </c>
      <c r="N381" s="149">
        <v>14</v>
      </c>
      <c r="O381" s="149">
        <v>15</v>
      </c>
      <c r="P381" s="61" t="s">
        <v>567</v>
      </c>
      <c r="Q381" s="61" t="s">
        <v>566</v>
      </c>
      <c r="R381" s="61">
        <v>50.037932599999998</v>
      </c>
      <c r="S381" s="61">
        <v>8.5621518000000005</v>
      </c>
      <c r="T381" s="61"/>
      <c r="U381" s="61" t="s">
        <v>622</v>
      </c>
      <c r="V381" s="61" t="s">
        <v>569</v>
      </c>
      <c r="W381" s="61" cm="1">
        <f t="array" ref="W381">getDistance(I381,J381,R381,S381)*SA!$B$12</f>
        <v>655.49865109245718</v>
      </c>
      <c r="X381" s="61"/>
      <c r="Y381" s="137">
        <f>Transportation_LCIA!C$61*($W381^Transportation_LCIA!C$60)+Transportation_LCIA!C$62</f>
        <v>0.28808630932385726</v>
      </c>
      <c r="Z381" s="137">
        <f>Transportation_LCIA!D$61*($W381^Transportation_LCIA!D$60)+Transportation_LCIA!D$62</f>
        <v>3.0403453180333315</v>
      </c>
      <c r="AA381" s="137">
        <f>Transportation_LCIA!E$61*($W381^Transportation_LCIA!E$60)+Transportation_LCIA!E$62</f>
        <v>1.5496127326841335E-3</v>
      </c>
      <c r="AB381" s="137">
        <f>Transportation_LCIA!F$61*($W381^Transportation_LCIA!F$60)+Transportation_LCIA!F$62</f>
        <v>0.28808630932385726</v>
      </c>
      <c r="AC381" s="137">
        <f>Transportation_LCIA!G$61*($W381^Transportation_LCIA!G$60)+Transportation_LCIA!G$62</f>
        <v>7.0904955875308692E-2</v>
      </c>
      <c r="AD381" s="137">
        <f>Transportation_LCIA!H$61*($W381^Transportation_LCIA!H$60)+Transportation_LCIA!H$62</f>
        <v>3.6638661442350167E-4</v>
      </c>
      <c r="AE381" s="137">
        <f>Transportation_LCIA!I$61*($W381^Transportation_LCIA!I$60)+Transportation_LCIA!I$62</f>
        <v>8.1949302872625628E-6</v>
      </c>
      <c r="AF381" s="137">
        <f>Transportation_LCIA!J$61*($W381^Transportation_LCIA!J$60)+Transportation_LCIA!J$62</f>
        <v>1.216906133974993E-2</v>
      </c>
      <c r="AG381" s="137">
        <f>Transportation_LCIA!K$61*($W381^Transportation_LCIA!K$60)+Transportation_LCIA!K$62</f>
        <v>1.5391950999787709E-2</v>
      </c>
      <c r="AH381" s="137">
        <f>Transportation_LCIA!L$61*($W381^Transportation_LCIA!L$60)+Transportation_LCIA!L$62</f>
        <v>3.224475626051792E-4</v>
      </c>
      <c r="AI381" s="137">
        <f>Transportation_LCIA!M$61*($W381^Transportation_LCIA!M$60)+Transportation_LCIA!M$62</f>
        <v>2.9306665716547056E-4</v>
      </c>
      <c r="AJ381" s="137">
        <f>Transportation_LCIA!N$61*($W381^Transportation_LCIA!N$60)+Transportation_LCIA!N$62</f>
        <v>1.2908631335785605E-3</v>
      </c>
      <c r="AK381" s="137">
        <f>Transportation_LCIA!O$61*($W381^Transportation_LCIA!O$60)+Transportation_LCIA!O$62</f>
        <v>7.5013630480399058E-5</v>
      </c>
      <c r="AL381" s="137">
        <f>Transportation_LCIA!P$61*($W381^Transportation_LCIA!P$60)+Transportation_LCIA!P$62</f>
        <v>3.622947059126279E-8</v>
      </c>
      <c r="AM381" s="137">
        <f>Transportation_LCIA!Q$61*($W381^Transportation_LCIA!Q$60)+Transportation_LCIA!Q$62</f>
        <v>1.2728062224719001E-4</v>
      </c>
      <c r="AN381" s="137">
        <f>Transportation_LCIA!R$61*($W381^Transportation_LCIA!R$60)+Transportation_LCIA!R$62</f>
        <v>3.9383707879712856E-4</v>
      </c>
      <c r="AO381" s="137">
        <f>Transportation_LCIA!S$61*($W381^Transportation_LCIA!S$60)+Transportation_LCIA!S$62</f>
        <v>5.8462294863061377E-6</v>
      </c>
      <c r="AP381" s="137">
        <f>Transportation_LCIA!T$61*($W381^Transportation_LCIA!T$60)+Transportation_LCIA!T$62</f>
        <v>5.8462294863061377E-6</v>
      </c>
      <c r="AQ381" s="137">
        <f>Transportation_LCIA!U$61*($W381^Transportation_LCIA!U$60)+Transportation_LCIA!U$62</f>
        <v>8.5078004970210494E-4</v>
      </c>
      <c r="AR381" s="137">
        <f>Transportation_LCIA!V$61*($W381^Transportation_LCIA!V$60)+Transportation_LCIA!V$62</f>
        <v>3.311828503124549E-4</v>
      </c>
      <c r="AT381" s="137">
        <f>$W381*Y381+$L381*Summary_LCIA!H$34</f>
        <v>218.19020354199282</v>
      </c>
      <c r="AU381" s="137">
        <f ca="1">$W381*Z381+$L381*Summary_LCIA!Q$34</f>
        <v>2479.7662608121468</v>
      </c>
      <c r="AV381" s="137">
        <f ca="1">$W381*AA381+$L381*Summary_LCIA!R$34</f>
        <v>2.0234810685901463</v>
      </c>
      <c r="AW381" s="137">
        <f ca="1">$W381*AB381+$L381*Summary_LCIA!S$34</f>
        <v>217.78658267799281</v>
      </c>
      <c r="AX381" s="137">
        <f ca="1">$W381*AC381+$L381*Summary_LCIA!T$34</f>
        <v>54.654184555035044</v>
      </c>
      <c r="AY381" s="137">
        <f ca="1">$W381*AD381+$L381*Summary_LCIA!U$34</f>
        <v>0.96526450713293754</v>
      </c>
      <c r="AZ381" s="137">
        <f ca="1">$W381*AE381+$L381*Summary_LCIA!V$34</f>
        <v>3.7335463722097333E-2</v>
      </c>
      <c r="BA381" s="137">
        <f ca="1">$W381*AF381+$L381*Summary_LCIA!W$34</f>
        <v>27.901247682267446</v>
      </c>
      <c r="BB381" s="137">
        <f ca="1">$W381*AG381+$L381*Summary_LCIA!X$34</f>
        <v>14.276969582042041</v>
      </c>
      <c r="BC381" s="137">
        <f ca="1">$W381*AH381+$L381*Summary_LCIA!Y$34</f>
        <v>0.88679823193574558</v>
      </c>
      <c r="BD381" s="137">
        <f ca="1">$W381*AI381+$L381*Summary_LCIA!Z$34</f>
        <v>0.20334035775714157</v>
      </c>
      <c r="BE381" s="137">
        <f ca="1">$W381*AJ381+$L381*Summary_LCIA!AA$34</f>
        <v>1.6591555214057288</v>
      </c>
      <c r="BF381" s="137">
        <f ca="1">$W381*AK381+$L381*Summary_LCIA!AB$34</f>
        <v>4.6436289830549614E-2</v>
      </c>
      <c r="BG381" s="137">
        <f ca="1">$W381*AL381+$L381*Summary_LCIA!AC$34</f>
        <v>2.5199709320466604E-5</v>
      </c>
      <c r="BH381" s="137">
        <f ca="1">$W381*AM381+$L381*Summary_LCIA!AD$34</f>
        <v>0.12725509617324166</v>
      </c>
      <c r="BI381" s="137">
        <f ca="1">$W381*AN381+$L381*Summary_LCIA!AE$34</f>
        <v>0.37638432424171153</v>
      </c>
      <c r="BJ381" s="137">
        <f ca="1">$W381*AO381+$L381*Summary_LCIA!AF$34</f>
        <v>9.7587331002250616E-2</v>
      </c>
      <c r="BK381" s="137">
        <f ca="1">$W381*AP381+$L381*Summary_LCIA!AG$34</f>
        <v>4.911447776350622E-3</v>
      </c>
      <c r="BL381" s="137">
        <f ca="1">$W381*AQ381+$L381*Summary_LCIA!AH$34</f>
        <v>1.4557021812561035</v>
      </c>
      <c r="BM381" s="137">
        <f ca="1">$W381*AR381+$L381*Summary_LCIA!AI$34</f>
        <v>0.32775061239476933</v>
      </c>
    </row>
    <row r="382" spans="1:65" x14ac:dyDescent="0.25">
      <c r="A382" s="149">
        <v>356</v>
      </c>
      <c r="B382" s="149">
        <v>15</v>
      </c>
      <c r="C382" s="61">
        <v>60.128160999999999</v>
      </c>
      <c r="D382" s="61">
        <v>18.643501000000001</v>
      </c>
      <c r="E382" s="61" t="s">
        <v>469</v>
      </c>
      <c r="F382" s="149">
        <v>12</v>
      </c>
      <c r="G382" s="61" t="s">
        <v>726</v>
      </c>
      <c r="H382" s="61" t="s">
        <v>727</v>
      </c>
      <c r="I382" s="61">
        <v>59.649765000000002</v>
      </c>
      <c r="J382" s="61">
        <v>17.921592</v>
      </c>
      <c r="K382" s="61">
        <v>1283.369737</v>
      </c>
      <c r="L382" s="61">
        <v>109.205</v>
      </c>
      <c r="M382" s="61" t="s">
        <v>589</v>
      </c>
      <c r="N382" s="149">
        <v>14</v>
      </c>
      <c r="O382" s="149">
        <v>15</v>
      </c>
      <c r="P382" s="61" t="s">
        <v>567</v>
      </c>
      <c r="Q382" s="61" t="s">
        <v>566</v>
      </c>
      <c r="R382" s="61">
        <v>50.037932599999998</v>
      </c>
      <c r="S382" s="61">
        <v>8.5621518000000005</v>
      </c>
      <c r="T382" s="61"/>
      <c r="U382" s="61" t="s">
        <v>622</v>
      </c>
      <c r="V382" s="61" t="s">
        <v>569</v>
      </c>
      <c r="W382" s="61" cm="1">
        <f t="array" ref="W382">getDistance(I382,J382,R382,S382)*SA!$B$12</f>
        <v>1225.7422833871608</v>
      </c>
      <c r="X382" s="61"/>
      <c r="Y382" s="137">
        <f>Transportation_LCIA!C$61*($W382^Transportation_LCIA!C$60)+Transportation_LCIA!C$62</f>
        <v>0.21611243011549416</v>
      </c>
      <c r="Z382" s="137">
        <f>Transportation_LCIA!D$61*($W382^Transportation_LCIA!D$60)+Transportation_LCIA!D$62</f>
        <v>2.1955501094668679</v>
      </c>
      <c r="AA382" s="137">
        <f>Transportation_LCIA!E$61*($W382^Transportation_LCIA!E$60)+Transportation_LCIA!E$62</f>
        <v>9.9326491712689916E-4</v>
      </c>
      <c r="AB382" s="137">
        <f>Transportation_LCIA!F$61*($W382^Transportation_LCIA!F$60)+Transportation_LCIA!F$62</f>
        <v>0.21611243011549416</v>
      </c>
      <c r="AC382" s="137">
        <f>Transportation_LCIA!G$61*($W382^Transportation_LCIA!G$60)+Transportation_LCIA!G$62</f>
        <v>5.1366587309719325E-2</v>
      </c>
      <c r="AD382" s="137">
        <f>Transportation_LCIA!H$61*($W382^Transportation_LCIA!H$60)+Transportation_LCIA!H$62</f>
        <v>2.4366063950068589E-4</v>
      </c>
      <c r="AE382" s="137">
        <f>Transportation_LCIA!I$61*($W382^Transportation_LCIA!I$60)+Transportation_LCIA!I$62</f>
        <v>5.0892186192930228E-6</v>
      </c>
      <c r="AF382" s="137">
        <f>Transportation_LCIA!J$61*($W382^Transportation_LCIA!J$60)+Transportation_LCIA!J$62</f>
        <v>7.5278198462194945E-3</v>
      </c>
      <c r="AG382" s="137">
        <f>Transportation_LCIA!K$61*($W382^Transportation_LCIA!K$60)+Transportation_LCIA!K$62</f>
        <v>1.0817647041235409E-2</v>
      </c>
      <c r="AH382" s="137">
        <f>Transportation_LCIA!L$61*($W382^Transportation_LCIA!L$60)+Transportation_LCIA!L$62</f>
        <v>2.0945267214998465E-4</v>
      </c>
      <c r="AI382" s="137">
        <f>Transportation_LCIA!M$61*($W382^Transportation_LCIA!M$60)+Transportation_LCIA!M$62</f>
        <v>2.2532332636909986E-4</v>
      </c>
      <c r="AJ382" s="137">
        <f>Transportation_LCIA!N$61*($W382^Transportation_LCIA!N$60)+Transportation_LCIA!N$62</f>
        <v>8.7840937608092359E-4</v>
      </c>
      <c r="AK382" s="137">
        <f>Transportation_LCIA!O$61*($W382^Transportation_LCIA!O$60)+Transportation_LCIA!O$62</f>
        <v>5.424829363992001E-5</v>
      </c>
      <c r="AL382" s="137">
        <f>Transportation_LCIA!P$61*($W382^Transportation_LCIA!P$60)+Transportation_LCIA!P$62</f>
        <v>2.6250019323080147E-8</v>
      </c>
      <c r="AM382" s="137">
        <f>Transportation_LCIA!Q$61*($W382^Transportation_LCIA!Q$60)+Transportation_LCIA!Q$62</f>
        <v>8.3063999711193088E-5</v>
      </c>
      <c r="AN382" s="137">
        <f>Transportation_LCIA!R$61*($W382^Transportation_LCIA!R$60)+Transportation_LCIA!R$62</f>
        <v>2.4489003172983539E-4</v>
      </c>
      <c r="AO382" s="137">
        <f>Transportation_LCIA!S$61*($W382^Transportation_LCIA!S$60)+Transportation_LCIA!S$62</f>
        <v>3.7328539547090719E-6</v>
      </c>
      <c r="AP382" s="137">
        <f>Transportation_LCIA!T$61*($W382^Transportation_LCIA!T$60)+Transportation_LCIA!T$62</f>
        <v>3.7328539547090719E-6</v>
      </c>
      <c r="AQ382" s="137">
        <f>Transportation_LCIA!U$61*($W382^Transportation_LCIA!U$60)+Transportation_LCIA!U$62</f>
        <v>5.2380934900005875E-4</v>
      </c>
      <c r="AR382" s="137">
        <f>Transportation_LCIA!V$61*($W382^Transportation_LCIA!V$60)+Transportation_LCIA!V$62</f>
        <v>2.1603419184371147E-4</v>
      </c>
      <c r="AT382" s="137">
        <f>$W382*Y382+$L382*Summary_LCIA!H$34</f>
        <v>273.02976626811403</v>
      </c>
      <c r="AU382" s="137">
        <f ca="1">$W382*Z382+$L382*Summary_LCIA!Q$34</f>
        <v>2826.0565238309996</v>
      </c>
      <c r="AV382" s="137">
        <f ca="1">$W382*AA382+$L382*Summary_LCIA!R$34</f>
        <v>1.4966803105274846</v>
      </c>
      <c r="AW382" s="137">
        <f ca="1">$W382*AB382+$L382*Summary_LCIA!S$34</f>
        <v>272.91794034811403</v>
      </c>
      <c r="AX382" s="137">
        <f ca="1">$W382*AC382+$L382*Summary_LCIA!T$34</f>
        <v>65.227437333821328</v>
      </c>
      <c r="AY382" s="137">
        <f ca="1">$W382*AD382+$L382*Summary_LCIA!U$34</f>
        <v>0.49955866663314658</v>
      </c>
      <c r="AZ382" s="137">
        <f ca="1">$W382*AE382+$L382*Summary_LCIA!V$34</f>
        <v>1.5093831516068683E-2</v>
      </c>
      <c r="BA382" s="137">
        <f ca="1">$W382*AF382+$L382*Summary_LCIA!W$34</f>
        <v>14.747370632232268</v>
      </c>
      <c r="BB382" s="137">
        <f ca="1">$W382*AG382+$L382*Summary_LCIA!X$34</f>
        <v>14.419841305200253</v>
      </c>
      <c r="BC382" s="137">
        <f ca="1">$W382*AH382+$L382*Summary_LCIA!Y$34</f>
        <v>0.4438686846226646</v>
      </c>
      <c r="BD382" s="137">
        <f ca="1">$W382*AI382+$L382*Summary_LCIA!Z$34</f>
        <v>0.27930121708905092</v>
      </c>
      <c r="BE382" s="137">
        <f ca="1">$W382*AJ382+$L382*Summary_LCIA!AA$34</f>
        <v>1.3019497473861226</v>
      </c>
      <c r="BF382" s="137">
        <f ca="1">$W382*AK382+$L382*Summary_LCIA!AB$34</f>
        <v>6.573666474155275E-2</v>
      </c>
      <c r="BG382" s="137">
        <f ca="1">$W382*AL382+$L382*Summary_LCIA!AC$34</f>
        <v>3.2577862354529355E-5</v>
      </c>
      <c r="BH382" s="137">
        <f ca="1">$W382*AM382+$L382*Summary_LCIA!AD$34</f>
        <v>0.11395646857326827</v>
      </c>
      <c r="BI382" s="137">
        <f ca="1">$W382*AN382+$L382*Summary_LCIA!AE$34</f>
        <v>0.33292701437128269</v>
      </c>
      <c r="BJ382" s="137">
        <f ca="1">$W382*AO382+$L382*Summary_LCIA!AF$34</f>
        <v>3.055101822999589E-2</v>
      </c>
      <c r="BK382" s="137">
        <f ca="1">$W382*AP382+$L382*Summary_LCIA!AG$34</f>
        <v>4.8745311404958906E-3</v>
      </c>
      <c r="BL382" s="137">
        <f ca="1">$W382*AQ382+$L382*Summary_LCIA!AH$34</f>
        <v>0.89085701900287417</v>
      </c>
      <c r="BM382" s="137">
        <f ca="1">$W382*AR382+$L382*Summary_LCIA!AI$34</f>
        <v>0.29546154735021085</v>
      </c>
    </row>
    <row r="383" spans="1:65" x14ac:dyDescent="0.25">
      <c r="A383" s="149">
        <v>368</v>
      </c>
      <c r="B383" s="149">
        <v>6</v>
      </c>
      <c r="C383" s="61">
        <v>-2.1458900000000001</v>
      </c>
      <c r="D383" s="61">
        <v>-79.945836</v>
      </c>
      <c r="E383" s="61" t="s">
        <v>470</v>
      </c>
      <c r="F383" s="149">
        <v>108</v>
      </c>
      <c r="G383" s="61" t="s">
        <v>730</v>
      </c>
      <c r="H383" s="61" t="s">
        <v>731</v>
      </c>
      <c r="I383" s="61">
        <v>-2.1481880000000002</v>
      </c>
      <c r="J383" s="61">
        <v>-79.886499000000001</v>
      </c>
      <c r="K383" s="61">
        <v>3436.2375189999998</v>
      </c>
      <c r="L383" s="61">
        <v>12.827</v>
      </c>
      <c r="M383" s="61" t="s">
        <v>617</v>
      </c>
      <c r="N383" s="149">
        <v>5</v>
      </c>
      <c r="O383" s="149">
        <v>6</v>
      </c>
      <c r="P383" s="61" t="s">
        <v>565</v>
      </c>
      <c r="Q383" s="61" t="s">
        <v>564</v>
      </c>
      <c r="R383" s="61">
        <v>41.98028</v>
      </c>
      <c r="S383" s="61">
        <v>-87.908997900000003</v>
      </c>
      <c r="T383" s="61"/>
      <c r="U383" s="61" t="s">
        <v>622</v>
      </c>
      <c r="V383" s="61" t="s">
        <v>569</v>
      </c>
      <c r="W383" s="61" cm="1">
        <f t="array" ref="W383">getDistance(I383,J383,R383,S383)*SA!$B$12</f>
        <v>4967.3723878653318</v>
      </c>
      <c r="X383" s="61"/>
      <c r="Y383" s="137">
        <f>Transportation_LCIA!C$61*($W383^Transportation_LCIA!C$60)+Transportation_LCIA!C$62</f>
        <v>0.14410530752817013</v>
      </c>
      <c r="Z383" s="137">
        <f>Transportation_LCIA!D$61*($W383^Transportation_LCIA!D$60)+Transportation_LCIA!D$62</f>
        <v>1.3828737675314033</v>
      </c>
      <c r="AA383" s="137">
        <f>Transportation_LCIA!E$61*($W383^Transportation_LCIA!E$60)+Transportation_LCIA!E$62</f>
        <v>4.6391484530744985E-4</v>
      </c>
      <c r="AB383" s="137">
        <f>Transportation_LCIA!F$61*($W383^Transportation_LCIA!F$60)+Transportation_LCIA!F$62</f>
        <v>0.14410530752817013</v>
      </c>
      <c r="AC383" s="137">
        <f>Transportation_LCIA!G$61*($W383^Transportation_LCIA!G$60)+Transportation_LCIA!G$62</f>
        <v>3.2528134048261471E-2</v>
      </c>
      <c r="AD383" s="137">
        <f>Transportation_LCIA!H$61*($W383^Transportation_LCIA!H$60)+Transportation_LCIA!H$62</f>
        <v>1.2939023178054013E-4</v>
      </c>
      <c r="AE383" s="137">
        <f>Transportation_LCIA!I$61*($W383^Transportation_LCIA!I$60)+Transportation_LCIA!I$62</f>
        <v>2.2961441006360745E-6</v>
      </c>
      <c r="AF383" s="137">
        <f>Transportation_LCIA!J$61*($W383^Transportation_LCIA!J$60)+Transportation_LCIA!J$62</f>
        <v>3.4469963530553262E-3</v>
      </c>
      <c r="AG383" s="137">
        <f>Transportation_LCIA!K$61*($W383^Transportation_LCIA!K$60)+Transportation_LCIA!K$62</f>
        <v>6.4933949572726982E-3</v>
      </c>
      <c r="AH383" s="137">
        <f>Transportation_LCIA!L$61*($W383^Transportation_LCIA!L$60)+Transportation_LCIA!L$62</f>
        <v>1.0527965262921036E-4</v>
      </c>
      <c r="AI383" s="137">
        <f>Transportation_LCIA!M$61*($W383^Transportation_LCIA!M$60)+Transportation_LCIA!M$62</f>
        <v>1.6232157132352212E-4</v>
      </c>
      <c r="AJ383" s="137">
        <f>Transportation_LCIA!N$61*($W383^Transportation_LCIA!N$60)+Transportation_LCIA!N$62</f>
        <v>4.9330897661227524E-4</v>
      </c>
      <c r="AK383" s="137">
        <f>Transportation_LCIA!O$61*($W383^Transportation_LCIA!O$60)+Transportation_LCIA!O$62</f>
        <v>3.4248336571519083E-5</v>
      </c>
      <c r="AL383" s="137">
        <f>Transportation_LCIA!P$61*($W383^Transportation_LCIA!P$60)+Transportation_LCIA!P$62</f>
        <v>1.6610385608571092E-8</v>
      </c>
      <c r="AM383" s="137">
        <f>Transportation_LCIA!Q$61*($W383^Transportation_LCIA!Q$60)+Transportation_LCIA!Q$62</f>
        <v>4.2516056031881796E-5</v>
      </c>
      <c r="AN383" s="137">
        <f>Transportation_LCIA!R$61*($W383^Transportation_LCIA!R$60)+Transportation_LCIA!R$62</f>
        <v>1.1104879067446812E-4</v>
      </c>
      <c r="AO383" s="137">
        <f>Transportation_LCIA!S$61*($W383^Transportation_LCIA!S$60)+Transportation_LCIA!S$62</f>
        <v>1.8308650586696873E-6</v>
      </c>
      <c r="AP383" s="137">
        <f>Transportation_LCIA!T$61*($W383^Transportation_LCIA!T$60)+Transportation_LCIA!T$62</f>
        <v>1.8308650586696873E-6</v>
      </c>
      <c r="AQ383" s="137">
        <f>Transportation_LCIA!U$61*($W383^Transportation_LCIA!U$60)+Transportation_LCIA!U$62</f>
        <v>2.3192123121129962E-4</v>
      </c>
      <c r="AR383" s="137">
        <f>Transportation_LCIA!V$61*($W383^Transportation_LCIA!V$60)+Transportation_LCIA!V$62</f>
        <v>1.1116178123956946E-4</v>
      </c>
      <c r="AT383" s="137">
        <f>$W383*Y383+$L383*Summary_LCIA!H$32</f>
        <v>720.1833401602745</v>
      </c>
      <c r="AU383" s="137">
        <f>$W383*Z383+$L383*Summary_LCIA!Q$32</f>
        <v>6932.8202276428865</v>
      </c>
      <c r="AV383" s="137">
        <f>$W383*AA383+$L383*Summary_LCIA!R$32</f>
        <v>2.3719796441010432</v>
      </c>
      <c r="AW383" s="137">
        <f>$W383*AB383+$L383*Summary_LCIA!S$32</f>
        <v>720.12664482027446</v>
      </c>
      <c r="AX383" s="137">
        <f>$W383*AC383+$L383*Summary_LCIA!T$32</f>
        <v>162.98904220011619</v>
      </c>
      <c r="AY383" s="137">
        <f>$W383*AD383+$L383*Summary_LCIA!U$32</f>
        <v>0.8725123426061504</v>
      </c>
      <c r="AZ383" s="137">
        <f>$W383*AE383+$L383*Summary_LCIA!V$32</f>
        <v>1.2018433151059512E-2</v>
      </c>
      <c r="BA383" s="137">
        <f>$W383*AF383+$L383*Summary_LCIA!W$32</f>
        <v>18.109821522239525</v>
      </c>
      <c r="BB383" s="137">
        <f>$W383*AG383+$L383*Summary_LCIA!X$32</f>
        <v>32.547309874260385</v>
      </c>
      <c r="BC383" s="137">
        <f>$W383*AH383+$L383*Summary_LCIA!Y$32</f>
        <v>0.72283355347439338</v>
      </c>
      <c r="BD383" s="137">
        <f>$W383*AI383+$L383*Summary_LCIA!Z$32</f>
        <v>0.80683771379037694</v>
      </c>
      <c r="BE383" s="137">
        <f>$W383*AJ383+$L383*Summary_LCIA!AA$32</f>
        <v>2.7500368011099208</v>
      </c>
      <c r="BF383" s="137">
        <f>$W383*AK383+$L383*Summary_LCIA!AB$32</f>
        <v>0.16984431779468234</v>
      </c>
      <c r="BG383" s="137">
        <f>$W383*AL383+$L383*Summary_LCIA!AC$32</f>
        <v>8.3137005891811724E-5</v>
      </c>
      <c r="BH383" s="137">
        <f>$W383*AM383+$L383*Summary_LCIA!AD$32</f>
        <v>0.21646549285370492</v>
      </c>
      <c r="BI383" s="137">
        <f>$W383*AN383+$L383*Summary_LCIA!AE$32</f>
        <v>0.56298708601219005</v>
      </c>
      <c r="BJ383" s="137">
        <f>$W383*AO383+$L383*Summary_LCIA!AF$32</f>
        <v>1.9938790878343247E-2</v>
      </c>
      <c r="BK383" s="137">
        <f>$W383*AP383+$L383*Summary_LCIA!AG$32</f>
        <v>9.7508819933432456E-3</v>
      </c>
      <c r="BL383" s="137">
        <f>$W383*AQ383+$L383*Summary_LCIA!AH$32</f>
        <v>1.2636801972787413</v>
      </c>
      <c r="BM383" s="137">
        <f>$W383*AR383+$L383*Summary_LCIA!AI$32</f>
        <v>0.56413095456536377</v>
      </c>
    </row>
    <row r="384" spans="1:65" x14ac:dyDescent="0.25">
      <c r="A384" s="149">
        <v>382</v>
      </c>
      <c r="B384" s="149">
        <v>15</v>
      </c>
      <c r="C384" s="61">
        <v>35.679470000000002</v>
      </c>
      <c r="D384" s="61">
        <v>139.77990500000001</v>
      </c>
      <c r="E384" s="61" t="s">
        <v>272</v>
      </c>
      <c r="F384" s="149">
        <v>5</v>
      </c>
      <c r="G384" s="61" t="s">
        <v>620</v>
      </c>
      <c r="H384" s="61" t="s">
        <v>621</v>
      </c>
      <c r="I384" s="61">
        <v>35.549393000000002</v>
      </c>
      <c r="J384" s="61">
        <v>139.77983900000001</v>
      </c>
      <c r="K384" s="61">
        <v>34.915987389999998</v>
      </c>
      <c r="L384" s="61">
        <v>20.963999999999999</v>
      </c>
      <c r="M384" s="61" t="s">
        <v>617</v>
      </c>
      <c r="N384" s="149">
        <v>14</v>
      </c>
      <c r="O384" s="149">
        <v>15</v>
      </c>
      <c r="P384" s="61" t="s">
        <v>567</v>
      </c>
      <c r="Q384" s="61" t="s">
        <v>566</v>
      </c>
      <c r="R384" s="61">
        <v>50.037932599999998</v>
      </c>
      <c r="S384" s="61">
        <v>8.5621518000000005</v>
      </c>
      <c r="T384" s="61"/>
      <c r="U384" s="61" t="s">
        <v>622</v>
      </c>
      <c r="V384" s="61" t="s">
        <v>569</v>
      </c>
      <c r="W384" s="61" cm="1">
        <f t="array" ref="W384">getDistance(I384,J384,R384,S384)*SA!$B$12</f>
        <v>9388.7209301824769</v>
      </c>
      <c r="X384" s="61"/>
      <c r="Y384" s="137">
        <f>Transportation_LCIA!C$61*($W384^Transportation_LCIA!C$60)+Transportation_LCIA!C$62</f>
        <v>0.13077055862201187</v>
      </c>
      <c r="Z384" s="137">
        <f>Transportation_LCIA!D$61*($W384^Transportation_LCIA!D$60)+Transportation_LCIA!D$62</f>
        <v>1.2395584485890772</v>
      </c>
      <c r="AA384" s="137">
        <f>Transportation_LCIA!E$61*($W384^Transportation_LCIA!E$60)+Transportation_LCIA!E$62</f>
        <v>3.718417001369967E-4</v>
      </c>
      <c r="AB384" s="137">
        <f>Transportation_LCIA!F$61*($W384^Transportation_LCIA!F$60)+Transportation_LCIA!F$62</f>
        <v>0.13077055862201187</v>
      </c>
      <c r="AC384" s="137">
        <f>Transportation_LCIA!G$61*($W384^Transportation_LCIA!G$60)+Transportation_LCIA!G$62</f>
        <v>2.919646915560583E-2</v>
      </c>
      <c r="AD384" s="137">
        <f>Transportation_LCIA!H$61*($W384^Transportation_LCIA!H$60)+Transportation_LCIA!H$62</f>
        <v>1.1004924790456731E-4</v>
      </c>
      <c r="AE384" s="137">
        <f>Transportation_LCIA!I$61*($W384^Transportation_LCIA!I$60)+Transportation_LCIA!I$62</f>
        <v>1.8437810963692531E-6</v>
      </c>
      <c r="AF384" s="137">
        <f>Transportation_LCIA!J$61*($W384^Transportation_LCIA!J$60)+Transportation_LCIA!J$62</f>
        <v>2.804890514475464E-3</v>
      </c>
      <c r="AG384" s="137">
        <f>Transportation_LCIA!K$61*($W384^Transportation_LCIA!K$60)+Transportation_LCIA!K$62</f>
        <v>5.747348143106408E-3</v>
      </c>
      <c r="AH384" s="137">
        <f>Transportation_LCIA!L$61*($W384^Transportation_LCIA!L$60)+Transportation_LCIA!L$62</f>
        <v>8.7867297837448813E-5</v>
      </c>
      <c r="AI384" s="137">
        <f>Transportation_LCIA!M$61*($W384^Transportation_LCIA!M$60)+Transportation_LCIA!M$62</f>
        <v>1.516739819878321E-4</v>
      </c>
      <c r="AJ384" s="137">
        <f>Transportation_LCIA!N$61*($W384^Transportation_LCIA!N$60)+Transportation_LCIA!N$62</f>
        <v>4.2790011806758782E-4</v>
      </c>
      <c r="AK384" s="137">
        <f>Transportation_LCIA!O$61*($W384^Transportation_LCIA!O$60)+Transportation_LCIA!O$62</f>
        <v>3.0716013485428596E-5</v>
      </c>
      <c r="AL384" s="137">
        <f>Transportation_LCIA!P$61*($W384^Transportation_LCIA!P$60)+Transportation_LCIA!P$62</f>
        <v>1.4901652164871375E-8</v>
      </c>
      <c r="AM384" s="137">
        <f>Transportation_LCIA!Q$61*($W384^Transportation_LCIA!Q$60)+Transportation_LCIA!Q$62</f>
        <v>3.5784150731225754E-5</v>
      </c>
      <c r="AN384" s="137">
        <f>Transportation_LCIA!R$61*($W384^Transportation_LCIA!R$60)+Transportation_LCIA!R$62</f>
        <v>8.9395142627455996E-5</v>
      </c>
      <c r="AO384" s="137">
        <f>Transportation_LCIA!S$61*($W384^Transportation_LCIA!S$60)+Transportation_LCIA!S$62</f>
        <v>1.5225407576916907E-6</v>
      </c>
      <c r="AP384" s="137">
        <f>Transportation_LCIA!T$61*($W384^Transportation_LCIA!T$60)+Transportation_LCIA!T$62</f>
        <v>1.5225407576916907E-6</v>
      </c>
      <c r="AQ384" s="137">
        <f>Transportation_LCIA!U$61*($W384^Transportation_LCIA!U$60)+Transportation_LCIA!U$62</f>
        <v>1.8509187919733144E-4</v>
      </c>
      <c r="AR384" s="137">
        <f>Transportation_LCIA!V$61*($W384^Transportation_LCIA!V$60)+Transportation_LCIA!V$62</f>
        <v>9.3901629779835372E-5</v>
      </c>
      <c r="AT384" s="137">
        <f>$W384*Y384+$L384*Summary_LCIA!H$32</f>
        <v>1234.8918479861375</v>
      </c>
      <c r="AU384" s="137">
        <f>$W384*Z384+$L384*Summary_LCIA!Q$32</f>
        <v>11741.766991730201</v>
      </c>
      <c r="AV384" s="137">
        <f>$W384*AA384+$L384*Summary_LCIA!R$32</f>
        <v>3.6015059911908573</v>
      </c>
      <c r="AW384" s="137">
        <f>$W384*AB384+$L384*Summary_LCIA!S$32</f>
        <v>1234.7991871061374</v>
      </c>
      <c r="AX384" s="137">
        <f>$W384*AC384+$L384*Summary_LCIA!T$32</f>
        <v>276.42144464866357</v>
      </c>
      <c r="AY384" s="137">
        <f>$W384*AD384+$L384*Summary_LCIA!U$32</f>
        <v>1.408770773152451</v>
      </c>
      <c r="AZ384" s="137">
        <f>$W384*AE384+$L384*Summary_LCIA!V$32</f>
        <v>1.8312007774156799E-2</v>
      </c>
      <c r="BA384" s="137">
        <f>$W384*AF384+$L384*Summary_LCIA!W$32</f>
        <v>27.947954324126083</v>
      </c>
      <c r="BB384" s="137">
        <f>$W384*AG384+$L384*Summary_LCIA!X$32</f>
        <v>54.43780772422852</v>
      </c>
      <c r="BC384" s="137">
        <f>$W384*AH384+$L384*Summary_LCIA!Y$32</f>
        <v>1.1516225862850331</v>
      </c>
      <c r="BD384" s="137">
        <f>$W384*AI384+$L384*Summary_LCIA!Z$32</f>
        <v>1.4248844019292792</v>
      </c>
      <c r="BE384" s="137">
        <f>$W384*AJ384+$L384*Summary_LCIA!AA$32</f>
        <v>4.5070699785287145</v>
      </c>
      <c r="BF384" s="137">
        <f>$W384*AK384+$L384*Summary_LCIA!AB$32</f>
        <v>0.28792658133041066</v>
      </c>
      <c r="BG384" s="137">
        <f>$W384*AL384+$L384*Summary_LCIA!AC$32</f>
        <v>1.4093225775062691E-4</v>
      </c>
      <c r="BH384" s="137">
        <f>$W384*AM384+$L384*Summary_LCIA!AD$32</f>
        <v>0.34458444749906381</v>
      </c>
      <c r="BI384" s="137">
        <f>$W384*AN384+$L384*Summary_LCIA!AE$32</f>
        <v>0.85788287596304391</v>
      </c>
      <c r="BJ384" s="137">
        <f>$W384*AO384+$L384*Summary_LCIA!AF$32</f>
        <v>3.2018095158795862E-2</v>
      </c>
      <c r="BK384" s="137">
        <f>$W384*AP384+$L384*Summary_LCIA!AG$32</f>
        <v>1.5367333338795863E-2</v>
      </c>
      <c r="BL384" s="137">
        <f>$W384*AQ384+$L384*Summary_LCIA!AH$32</f>
        <v>1.9202382706267924</v>
      </c>
      <c r="BM384" s="137">
        <f>$W384*AR384+$L384*Summary_LCIA!AI$32</f>
        <v>0.90114521109218648</v>
      </c>
    </row>
    <row r="385" spans="22:65" x14ac:dyDescent="0.25">
      <c r="AT385" s="137"/>
      <c r="AU385" s="137"/>
      <c r="AV385" s="137"/>
      <c r="AW385" s="137"/>
      <c r="AX385" s="137"/>
      <c r="AY385" s="137"/>
      <c r="AZ385" s="137"/>
      <c r="BA385" s="137"/>
      <c r="BB385" s="137"/>
      <c r="BC385" s="137"/>
      <c r="BD385" s="137"/>
      <c r="BE385" s="137"/>
      <c r="BF385" s="137"/>
      <c r="BG385" s="137"/>
      <c r="BH385" s="137"/>
      <c r="BI385" s="137"/>
      <c r="BJ385" s="137"/>
      <c r="BK385" s="137"/>
      <c r="BL385" s="137"/>
      <c r="BM385" s="137"/>
    </row>
    <row r="386" spans="22:65" x14ac:dyDescent="0.25">
      <c r="V386" s="76" t="str">
        <f>Q378</f>
        <v>O'Hare International Airport</v>
      </c>
      <c r="W386" s="61">
        <f>COUNTIF(B2:B384,6)</f>
        <v>344</v>
      </c>
      <c r="AO386" s="76" t="s">
        <v>575</v>
      </c>
      <c r="AP386" s="137">
        <f>SUM(T2:T13,L83,L362,L367:L372,L374:L375,L381:L382)</f>
        <v>7885.3320000000003</v>
      </c>
      <c r="AQ386" s="76" t="s">
        <v>292</v>
      </c>
      <c r="AS386" s="76" t="s">
        <v>581</v>
      </c>
      <c r="AT386" s="137">
        <f>SUM(AT2:AT13)+SUM($L$362,$L$367:$L$372,$L$374:$L$375,$L$381:$L$382,$L$83)*Summary_LCIA!H$34</f>
        <v>587.15759138399994</v>
      </c>
      <c r="AU386" s="137">
        <f ca="1">SUM(AU2:AU13)+SUM($L$362,$L$367:$L$372,$L$374:$L$375,$L$381:$L$382,$L$83)*Summary_LCIA!Q$34</f>
        <v>9739.0886281743587</v>
      </c>
      <c r="AV386" s="137">
        <f ca="1">SUM(AV2:AV13)+SUM($L$362,$L$367:$L$372,$L$374:$L$375,$L$381:$L$382,$L$83)*Summary_LCIA!R$34</f>
        <v>20.159639791199996</v>
      </c>
      <c r="AW386" s="137">
        <f ca="1">SUM(AW2:AW13)+SUM($L$362,$L$367:$L$372,$L$374:$L$375,$L$381:$L$382,$L$83)*Summary_LCIA!S$34</f>
        <v>579.08301141599998</v>
      </c>
      <c r="AX386" s="137">
        <f ca="1">SUM(AX2:AX13)+SUM($L$362,$L$367:$L$372,$L$374:$L$375,$L$381:$L$382,$L$83)*Summary_LCIA!T$34</f>
        <v>163.56544167599998</v>
      </c>
      <c r="AY386" s="137">
        <f ca="1">SUM(AY2:AY13)+SUM($L$362,$L$367:$L$372,$L$374:$L$375,$L$381:$L$382,$L$83)*Summary_LCIA!U$34</f>
        <v>14.505856747199999</v>
      </c>
      <c r="AZ386" s="137">
        <f ca="1">SUM(AZ2:AZ13)+SUM($L$362,$L$367:$L$372,$L$374:$L$375,$L$381:$L$382,$L$83)*Summary_LCIA!V$34</f>
        <v>0.639445227876</v>
      </c>
      <c r="BA386" s="137">
        <f ca="1">SUM(BA2:BA13)+SUM($L$362,$L$367:$L$372,$L$374:$L$375,$L$381:$L$382,$L$83)*Summary_LCIA!W$34</f>
        <v>398.59564726799999</v>
      </c>
      <c r="BB386" s="137">
        <f ca="1">SUM(BB2:BB13)+SUM($L$362,$L$367:$L$372,$L$374:$L$375,$L$381:$L$382,$L$83)*Summary_LCIA!X$34</f>
        <v>83.773767167999992</v>
      </c>
      <c r="BC386" s="137">
        <f ca="1">SUM(BC2:BC13)+SUM($L$362,$L$367:$L$372,$L$374:$L$375,$L$381:$L$382,$L$83)*Summary_LCIA!Y$34</f>
        <v>13.512304915199998</v>
      </c>
      <c r="BD386" s="137">
        <f ca="1">SUM(BD2:BD13)+SUM($L$362,$L$367:$L$372,$L$374:$L$375,$L$381:$L$382,$L$83)*Summary_LCIA!Z$34</f>
        <v>0.22477138865999996</v>
      </c>
      <c r="BE386" s="137">
        <f ca="1">SUM(BE2:BE13)+SUM($L$362,$L$367:$L$372,$L$374:$L$375,$L$381:$L$382,$L$83)*Summary_LCIA!AA$34</f>
        <v>16.264285783200002</v>
      </c>
      <c r="BF386" s="137">
        <f ca="1">SUM(BF2:BF13)+SUM($L$362,$L$367:$L$372,$L$374:$L$375,$L$381:$L$382,$L$83)*Summary_LCIA!AB$34</f>
        <v>-5.4715530214800003E-2</v>
      </c>
      <c r="BG386" s="137">
        <f ca="1">SUM(BG2:BG13)+SUM($L$362,$L$367:$L$372,$L$374:$L$375,$L$381:$L$382,$L$83)*Summary_LCIA!AC$34</f>
        <v>2.9034580957199997E-5</v>
      </c>
      <c r="BH386" s="137">
        <f ca="1">SUM(BH2:BH13)+SUM($L$362,$L$367:$L$372,$L$374:$L$375,$L$381:$L$382,$L$83)*Summary_LCIA!AD$34</f>
        <v>0.87669121175999987</v>
      </c>
      <c r="BI386" s="137">
        <f ca="1">SUM(BI2:BI13)+SUM($L$362,$L$367:$L$372,$L$374:$L$375,$L$381:$L$382,$L$83)*Summary_LCIA!AE$34</f>
        <v>2.3651264800800003</v>
      </c>
      <c r="BJ386" s="137">
        <f ca="1">SUM(BJ2:BJ13)+SUM($L$362,$L$367:$L$372,$L$374:$L$375,$L$381:$L$382,$L$83)*Summary_LCIA!AF$34</f>
        <v>1.8756050695199997</v>
      </c>
      <c r="BK386" s="137">
        <f ca="1">SUM(BK2:BK13)+SUM($L$362,$L$367:$L$372,$L$374:$L$375,$L$381:$L$382,$L$83)*Summary_LCIA!AG$34</f>
        <v>2.1590827549199998E-2</v>
      </c>
      <c r="BL386" s="137">
        <f ca="1">SUM(BL2:BL13)+SUM($L$362,$L$367:$L$372,$L$374:$L$375,$L$381:$L$382,$L$83)*Summary_LCIA!AH$34</f>
        <v>17.965151895600002</v>
      </c>
      <c r="BM386" s="137">
        <f ca="1">SUM(BM2:BM13)+SUM($L$362,$L$367:$L$372,$L$374:$L$375,$L$381:$L$382,$L$83)*Summary_LCIA!AI$34</f>
        <v>2.2138069590000002</v>
      </c>
    </row>
    <row r="387" spans="22:65" x14ac:dyDescent="0.25">
      <c r="V387" s="76" t="str">
        <f>Q377</f>
        <v>Flughafen Frankfurt/Main</v>
      </c>
      <c r="W387" s="61">
        <f>COUNTIF(B2:B384,15)</f>
        <v>39</v>
      </c>
      <c r="AO387" s="76" t="s">
        <v>574</v>
      </c>
      <c r="AP387" s="137">
        <f>SUM(T14:T62,L63:L82,L84:L361,L363:L366,L373,L376:L380,L383:L384)</f>
        <v>33047.411000000007</v>
      </c>
      <c r="AQ387" s="76" t="s">
        <v>292</v>
      </c>
      <c r="AS387" s="76" t="s">
        <v>580</v>
      </c>
      <c r="AT387" s="137">
        <f>SUM(AT14:AT62)+SUM($L$63:$L$82,$L$84:$L$361,$L$363:$L$366,$L$373,$L$376:$L$380,$L$383:$L$384)*Summary_LCIA!H$32</f>
        <v>11229.510257799999</v>
      </c>
      <c r="AU387" s="137">
        <f>SUM(AU14:AU62)+SUM($L$63:$L$82,$L$84:$L$361,$L$363:$L$366,$L$373,$L$376:$L$380,$L$383:$L$384)*Summary_LCIA!Q$32</f>
        <v>163784.63559607894</v>
      </c>
      <c r="AV387" s="137">
        <f>SUM(AV14:AV62)+SUM($L$63:$L$82,$L$84:$L$361,$L$363:$L$366,$L$373,$L$376:$L$380,$L$383:$L$384)*Summary_LCIA!R$32</f>
        <v>174.01444736159999</v>
      </c>
      <c r="AW387" s="137">
        <f>SUM(AW14:AW62)+SUM($L$63:$L$82,$L$84:$L$361,$L$363:$L$366,$L$373,$L$376:$L$380,$L$383:$L$384)*Summary_LCIA!S$32</f>
        <v>11083.440701179999</v>
      </c>
      <c r="AX387" s="137">
        <f>SUM(AX14:AX62)+SUM($L$63:$L$82,$L$84:$L$361,$L$363:$L$366,$L$373,$L$376:$L$380,$L$383:$L$384)*Summary_LCIA!T$32</f>
        <v>3631.9104688999996</v>
      </c>
      <c r="AY387" s="137">
        <f>SUM(AY14:AY62)+SUM($L$63:$L$82,$L$84:$L$361,$L$363:$L$366,$L$373,$L$376:$L$380,$L$383:$L$384)*Summary_LCIA!U$32</f>
        <v>592.01132065399997</v>
      </c>
      <c r="AZ387" s="137">
        <f>SUM(AZ14:AZ62)+SUM($L$63:$L$82,$L$84:$L$361,$L$363:$L$366,$L$373,$L$376:$L$380,$L$383:$L$384)*Summary_LCIA!V$32</f>
        <v>1.5783773967710002</v>
      </c>
      <c r="BA387" s="137">
        <f>SUM(BA14:BA62)+SUM($L$63:$L$82,$L$84:$L$361,$L$363:$L$366,$L$373,$L$376:$L$380,$L$383:$L$384)*Summary_LCIA!W$32</f>
        <v>2543.6922720809998</v>
      </c>
      <c r="BB387" s="137">
        <f>SUM(BB14:BB62)+SUM($L$63:$L$82,$L$84:$L$361,$L$363:$L$366,$L$373,$L$376:$L$380,$L$383:$L$384)*Summary_LCIA!X$32</f>
        <v>752.82002258</v>
      </c>
      <c r="BC387" s="137">
        <f>SUM(BC14:BC62)+SUM($L$63:$L$82,$L$84:$L$361,$L$363:$L$366,$L$373,$L$376:$L$380,$L$383:$L$384)*Summary_LCIA!Y$32</f>
        <v>514.94475820199989</v>
      </c>
      <c r="BD387" s="137">
        <f>SUM(BD14:BD62)+SUM($L$63:$L$82,$L$84:$L$361,$L$363:$L$366,$L$373,$L$376:$L$380,$L$383:$L$384)*Summary_LCIA!Z$32</f>
        <v>1.3552412776990002</v>
      </c>
      <c r="BE387" s="137">
        <f>SUM(BE14:BE62)+SUM($L$63:$L$82,$L$84:$L$361,$L$363:$L$366,$L$373,$L$376:$L$380,$L$383:$L$384)*Summary_LCIA!AA$32</f>
        <v>771.85533131599982</v>
      </c>
      <c r="BF387" s="137">
        <f>SUM(BF14:BF62)+SUM($L$63:$L$82,$L$84:$L$361,$L$363:$L$366,$L$373,$L$376:$L$380,$L$383:$L$384)*Summary_LCIA!AB$32</f>
        <v>-0.72119365025300008</v>
      </c>
      <c r="BG387" s="137">
        <f>SUM(BG14:BG62)+SUM($L$63:$L$82,$L$84:$L$361,$L$363:$L$366,$L$373,$L$376:$L$380,$L$383:$L$384)*Summary_LCIA!AC$32</f>
        <v>1.6154896393239999E-3</v>
      </c>
      <c r="BH387" s="137">
        <f>SUM(BH14:BH62)+SUM($L$63:$L$82,$L$84:$L$361,$L$363:$L$366,$L$373,$L$376:$L$380,$L$383:$L$384)*Summary_LCIA!AD$32</f>
        <v>13.583807817439997</v>
      </c>
      <c r="BI387" s="137">
        <f>SUM(BI14:BI62)+SUM($L$63:$L$82,$L$84:$L$361,$L$363:$L$366,$L$373,$L$376:$L$380,$L$383:$L$384)*Summary_LCIA!AE$32</f>
        <v>29.284302309429989</v>
      </c>
      <c r="BJ387" s="137">
        <f>SUM(BJ14:BJ62)+SUM($L$63:$L$82,$L$84:$L$361,$L$363:$L$366,$L$373,$L$376:$L$380,$L$383:$L$384)*Summary_LCIA!AF$32</f>
        <v>27.938942207619995</v>
      </c>
      <c r="BK387" s="137">
        <f>SUM(BK14:BK62)+SUM($L$63:$L$82,$L$84:$L$361,$L$363:$L$366,$L$373,$L$376:$L$380,$L$383:$L$384)*Summary_LCIA!AG$32</f>
        <v>1.6908707838150001</v>
      </c>
      <c r="BL387" s="137">
        <f>SUM(BL14:BL62)+SUM($L$63:$L$82,$L$84:$L$361,$L$363:$L$366,$L$373,$L$376:$L$380,$L$383:$L$384)*Summary_LCIA!AH$32</f>
        <v>287.63144637959999</v>
      </c>
      <c r="BM387" s="137">
        <f>SUM(BM14:BM62)+SUM($L$63:$L$82,$L$84:$L$361,$L$363:$L$366,$L$373,$L$376:$L$380,$L$383:$L$384)*Summary_LCIA!AI$32</f>
        <v>30.785315717049997</v>
      </c>
    </row>
    <row r="388" spans="22:65" x14ac:dyDescent="0.25">
      <c r="AO388" s="76" t="s">
        <v>573</v>
      </c>
      <c r="AP388" s="137">
        <f>SUM(W63:W384)</f>
        <v>507696.47707280488</v>
      </c>
      <c r="AQ388" s="76" t="s">
        <v>292</v>
      </c>
      <c r="AS388" s="76" t="s">
        <v>582</v>
      </c>
      <c r="AT388" s="137">
        <f>SUM(AT63:AT384)-SUM($L$362,$L$367:$L$372,$L$374:$L$375,$L$381:$L$382,$L$83)*Summary_LCIA!H$34-SUM($L$63:$L$82,$L$84:$L$361,$L$363:$L$366,$L$373,$L$376:$L$380,$L$383:$L$384)*Summary_LCIA!H$32</f>
        <v>98384.31548135409</v>
      </c>
      <c r="AU388" s="137">
        <f ca="1">SUM(AU63:AU384)-SUM($L$362,$L$367:$L$372,$L$374:$L$375,$L$381:$L$382,$L$83)*Summary_LCIA!Q$34-SUM($L$63:$L$82,$L$84:$L$361,$L$363:$L$366,$L$373,$L$376:$L$380,$L$383:$L$384)*Summary_LCIA!Q$32</f>
        <v>988258.08022883302</v>
      </c>
      <c r="AV388" s="137">
        <f ca="1">SUM(AV63:AV384)-SUM($L$362,$L$367:$L$372,$L$374:$L$375,$L$381:$L$382,$L$83)*Summary_LCIA!R$34-SUM($L$63:$L$82,$L$84:$L$361,$L$363:$L$366,$L$373,$L$376:$L$380,$L$383:$L$384)*Summary_LCIA!R$32</f>
        <v>422.22048035547209</v>
      </c>
      <c r="AW388" s="137">
        <f ca="1">SUM(AW63:AW384)-SUM($L$362,$L$367:$L$372,$L$374:$L$375,$L$381:$L$382,$L$83)*Summary_LCIA!S$34-SUM($L$63:$L$82,$L$84:$L$361,$L$363:$L$366,$L$373,$L$376:$L$380,$L$383:$L$384)*Summary_LCIA!S$32</f>
        <v>98384.315481354075</v>
      </c>
      <c r="AX388" s="137">
        <f ca="1">SUM(AX63:AX384)-SUM($L$362,$L$367:$L$372,$L$374:$L$375,$L$381:$L$382,$L$83)*Summary_LCIA!T$34-SUM($L$63:$L$82,$L$84:$L$361,$L$363:$L$366,$L$373,$L$376:$L$380,$L$383:$L$384)*Summary_LCIA!T$32</f>
        <v>23146.146409839781</v>
      </c>
      <c r="AY388" s="137">
        <f ca="1">SUM(AY63:AY384)-SUM($L$362,$L$367:$L$372,$L$374:$L$375,$L$381:$L$382,$L$83)*Summary_LCIA!U$34-SUM($L$63:$L$82,$L$84:$L$361,$L$363:$L$366,$L$373,$L$376:$L$380,$L$383:$L$384)*Summary_LCIA!U$32</f>
        <v>106.11649201827646</v>
      </c>
      <c r="AZ388" s="137">
        <f ca="1">SUM(AZ63:AZ384)-SUM($L$362,$L$367:$L$372,$L$374:$L$375,$L$381:$L$382,$L$83)*Summary_LCIA!V$34-SUM($L$63:$L$82,$L$84:$L$361,$L$363:$L$366,$L$373,$L$376:$L$380,$L$383:$L$384)*Summary_LCIA!V$32</f>
        <v>2.1589189405175997</v>
      </c>
      <c r="BA388" s="137">
        <f ca="1">SUM(BA63:BA384)-SUM($L$362,$L$367:$L$372,$L$374:$L$375,$L$381:$L$382,$L$83)*Summary_LCIA!W$34-SUM($L$63:$L$82,$L$84:$L$361,$L$363:$L$366,$L$373,$L$376:$L$380,$L$383:$L$384)*Summary_LCIA!W$32</f>
        <v>3206.1144983834615</v>
      </c>
      <c r="BB388" s="137">
        <f ca="1">SUM(BB63:BB384)-SUM($L$362,$L$367:$L$372,$L$374:$L$375,$L$381:$L$382,$L$83)*Summary_LCIA!X$34-SUM($L$63:$L$82,$L$84:$L$361,$L$363:$L$366,$L$373,$L$376:$L$380,$L$383:$L$384)*Summary_LCIA!X$32</f>
        <v>4823.1546190364161</v>
      </c>
      <c r="BC388" s="137">
        <f ca="1">SUM(BC63:BC384)-SUM($L$362,$L$367:$L$372,$L$374:$L$375,$L$381:$L$382,$L$83)*Summary_LCIA!Y$34-SUM($L$63:$L$82,$L$84:$L$361,$L$363:$L$366,$L$373,$L$376:$L$380,$L$383:$L$384)*Summary_LCIA!Y$32</f>
        <v>90.356472963735143</v>
      </c>
      <c r="BD388" s="137">
        <f ca="1">SUM(BD63:BD384)-SUM($L$362,$L$367:$L$372,$L$374:$L$375,$L$381:$L$382,$L$83)*Summary_LCIA!Z$34-SUM($L$63:$L$82,$L$84:$L$361,$L$363:$L$366,$L$373,$L$376:$L$380,$L$383:$L$384)*Summary_LCIA!Z$32</f>
        <v>104.70205458676959</v>
      </c>
      <c r="BE388" s="137">
        <f ca="1">SUM(BE63:BE384)-SUM($L$362,$L$367:$L$372,$L$374:$L$375,$L$381:$L$382,$L$83)*Summary_LCIA!AA$34-SUM($L$63:$L$82,$L$84:$L$361,$L$363:$L$366,$L$373,$L$376:$L$380,$L$383:$L$384)*Summary_LCIA!AA$32</f>
        <v>386.63422785475001</v>
      </c>
      <c r="BF388" s="137">
        <f ca="1">SUM(BF63:BF384)-SUM($L$362,$L$367:$L$372,$L$374:$L$375,$L$381:$L$382,$L$83)*Summary_LCIA!AB$34-SUM($L$63:$L$82,$L$84:$L$361,$L$363:$L$366,$L$373,$L$376:$L$380,$L$383:$L$384)*Summary_LCIA!AB$32</f>
        <v>24.429419741723169</v>
      </c>
      <c r="BG388" s="137">
        <f ca="1">SUM(BG63:BG384)-SUM($L$362,$L$367:$L$372,$L$374:$L$375,$L$381:$L$382,$L$83)*Summary_LCIA!AC$34-SUM($L$63:$L$82,$L$84:$L$361,$L$363:$L$366,$L$373,$L$376:$L$380,$L$383:$L$384)*Summary_LCIA!AC$32</f>
        <v>1.1825628659525411E-2</v>
      </c>
      <c r="BH388" s="137">
        <f ca="1">SUM(BH63:BH384)-SUM($L$362,$L$367:$L$372,$L$374:$L$375,$L$381:$L$382,$L$83)*Summary_LCIA!AD$34-SUM($L$63:$L$82,$L$84:$L$361,$L$363:$L$366,$L$373,$L$376:$L$380,$L$383:$L$384)*Summary_LCIA!AD$32</f>
        <v>35.961767675405952</v>
      </c>
      <c r="BI388" s="137">
        <f ca="1">SUM(BI63:BI384)-SUM($L$362,$L$367:$L$372,$L$374:$L$375,$L$381:$L$382,$L$83)*Summary_LCIA!AE$34-SUM($L$63:$L$82,$L$84:$L$361,$L$363:$L$366,$L$373,$L$376:$L$380,$L$383:$L$384)*Summary_LCIA!AE$32</f>
        <v>103.97697704616616</v>
      </c>
      <c r="BJ388" s="137">
        <f ca="1">SUM(BJ63:BJ384)-SUM($L$362,$L$367:$L$372,$L$374:$L$375,$L$381:$L$382,$L$83)*Summary_LCIA!AF$34-SUM($L$63:$L$82,$L$84:$L$361,$L$363:$L$366,$L$373,$L$376:$L$380,$L$383:$L$384)*Summary_LCIA!AF$32</f>
        <v>1.6057693757924021</v>
      </c>
      <c r="BK388" s="137">
        <f ca="1">SUM(BK63:BK384)-SUM($L$362,$L$367:$L$372,$L$374:$L$375,$L$381:$L$382,$L$83)*Summary_LCIA!AG$34-SUM($L$63:$L$82,$L$84:$L$361,$L$363:$L$366,$L$373,$L$376:$L$380,$L$383:$L$384)*Summary_LCIA!AG$32</f>
        <v>1.6057693757924076</v>
      </c>
      <c r="BL388" s="137">
        <f ca="1">SUM(BL63:BL384)-SUM($L$362,$L$367:$L$372,$L$374:$L$375,$L$381:$L$382,$L$83)*Summary_LCIA!AH$34-SUM($L$63:$L$82,$L$84:$L$361,$L$363:$L$366,$L$373,$L$376:$L$380,$L$383:$L$384)*Summary_LCIA!AH$32</f>
        <v>221.65271276924952</v>
      </c>
      <c r="BM388" s="137">
        <f ca="1">SUM(BM63:BM384)-SUM($L$362,$L$367:$L$372,$L$374:$L$375,$L$381:$L$382,$L$83)*Summary_LCIA!AI$34-SUM($L$63:$L$82,$L$84:$L$361,$L$363:$L$366,$L$373,$L$376:$L$380,$L$383:$L$384)*Summary_LCIA!AI$32</f>
        <v>93.657263479037752</v>
      </c>
    </row>
    <row r="389" spans="22:65" x14ac:dyDescent="0.25"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37"/>
      <c r="BE389" s="137"/>
      <c r="BF389" s="137"/>
      <c r="BG389" s="137"/>
      <c r="BH389" s="137"/>
      <c r="BI389" s="137"/>
      <c r="BJ389" s="137"/>
      <c r="BK389" s="137"/>
      <c r="BL389" s="137"/>
      <c r="BM389" s="137"/>
    </row>
    <row r="390" spans="22:65" x14ac:dyDescent="0.25">
      <c r="AO390" s="76" t="str">
        <f>'ACLCA_raw data'!I2</f>
        <v>total number of participants (w. location &amp; w/o duplication)</v>
      </c>
      <c r="AP390" s="76">
        <f>'ACLCA_raw data'!J2</f>
        <v>383</v>
      </c>
      <c r="AQ390" s="76" t="s">
        <v>291</v>
      </c>
      <c r="AS390" s="76" t="s">
        <v>583</v>
      </c>
      <c r="AT390" s="137">
        <f>AT386/$AP$390</f>
        <v>1.5330485414725847</v>
      </c>
      <c r="AU390" s="137">
        <f t="shared" ref="AU390:BM392" ca="1" si="22">AU386/$AP$390</f>
        <v>25.428429838575351</v>
      </c>
      <c r="AV390" s="137">
        <f t="shared" ca="1" si="22"/>
        <v>5.2636135225065266E-2</v>
      </c>
      <c r="AW390" s="137">
        <f t="shared" ca="1" si="22"/>
        <v>1.5119660872480418</v>
      </c>
      <c r="AX390" s="137">
        <f t="shared" ca="1" si="22"/>
        <v>0.42706381638642293</v>
      </c>
      <c r="AY390" s="137">
        <f t="shared" ca="1" si="22"/>
        <v>3.7874299601044388E-2</v>
      </c>
      <c r="AZ390" s="137">
        <f t="shared" ca="1" si="22"/>
        <v>1.6695697855770234E-3</v>
      </c>
      <c r="BA390" s="137">
        <f t="shared" ca="1" si="22"/>
        <v>1.0407197056605744</v>
      </c>
      <c r="BB390" s="137">
        <f t="shared" ca="1" si="22"/>
        <v>0.21873046257963444</v>
      </c>
      <c r="BC390" s="137">
        <f t="shared" ca="1" si="22"/>
        <v>3.5280169491383809E-2</v>
      </c>
      <c r="BD390" s="137">
        <f t="shared" ca="1" si="22"/>
        <v>5.8687046647519568E-4</v>
      </c>
      <c r="BE390" s="137">
        <f t="shared" ca="1" si="22"/>
        <v>4.2465498128459532E-2</v>
      </c>
      <c r="BF390" s="137">
        <f t="shared" ca="1" si="22"/>
        <v>-1.4286039220574414E-4</v>
      </c>
      <c r="BG390" s="137">
        <f t="shared" ca="1" si="22"/>
        <v>7.5808305371279364E-8</v>
      </c>
      <c r="BH390" s="137">
        <f t="shared" ca="1" si="22"/>
        <v>2.2890109967624015E-3</v>
      </c>
      <c r="BI390" s="137">
        <f t="shared" ca="1" si="22"/>
        <v>6.1752649610443871E-3</v>
      </c>
      <c r="BJ390" s="137">
        <f t="shared" ca="1" si="22"/>
        <v>4.8971411736814614E-3</v>
      </c>
      <c r="BK390" s="137">
        <f t="shared" ca="1" si="22"/>
        <v>5.6372917883028714E-5</v>
      </c>
      <c r="BL390" s="137">
        <f t="shared" ca="1" si="22"/>
        <v>4.6906401816187993E-2</v>
      </c>
      <c r="BM390" s="137">
        <f t="shared" ca="1" si="22"/>
        <v>5.7801748276762408E-3</v>
      </c>
    </row>
    <row r="391" spans="22:65" x14ac:dyDescent="0.25">
      <c r="AO391" s="76" t="str">
        <f>'ACLCA_raw data'!I3</f>
        <v>total number of participants (w/o duplication)</v>
      </c>
      <c r="AP391" s="76">
        <f>'ACLCA_raw data'!J3</f>
        <v>536</v>
      </c>
      <c r="AQ391" s="76" t="s">
        <v>291</v>
      </c>
      <c r="AS391" s="76" t="s">
        <v>584</v>
      </c>
      <c r="AT391" s="137">
        <f>AT387/$AP$390</f>
        <v>29.319870124804176</v>
      </c>
      <c r="AU391" s="137">
        <f t="shared" ref="AU391:BI391" si="23">AU387/$AP$390</f>
        <v>427.63612427174655</v>
      </c>
      <c r="AV391" s="137">
        <f t="shared" si="23"/>
        <v>0.45434581556553522</v>
      </c>
      <c r="AW391" s="137">
        <f t="shared" si="23"/>
        <v>28.938487470443864</v>
      </c>
      <c r="AX391" s="137">
        <f t="shared" si="23"/>
        <v>9.4827949579634456</v>
      </c>
      <c r="AY391" s="137">
        <f t="shared" si="23"/>
        <v>1.5457214638485639</v>
      </c>
      <c r="AZ391" s="137">
        <f t="shared" si="23"/>
        <v>4.121089808801567E-3</v>
      </c>
      <c r="BA391" s="137">
        <f t="shared" si="23"/>
        <v>6.6414941829791116</v>
      </c>
      <c r="BB391" s="137">
        <f t="shared" si="23"/>
        <v>1.9655875263185378</v>
      </c>
      <c r="BC391" s="137">
        <f t="shared" si="23"/>
        <v>1.3445032851227152</v>
      </c>
      <c r="BD391" s="137">
        <f t="shared" si="23"/>
        <v>3.538488975715405E-3</v>
      </c>
      <c r="BE391" s="137">
        <f t="shared" si="23"/>
        <v>2.0152880713211485</v>
      </c>
      <c r="BF391" s="137">
        <f t="shared" si="23"/>
        <v>-1.8830121416527417E-3</v>
      </c>
      <c r="BG391" s="137">
        <f t="shared" si="23"/>
        <v>4.2179886144229766E-6</v>
      </c>
      <c r="BH391" s="137">
        <f t="shared" si="23"/>
        <v>3.5466861142140982E-2</v>
      </c>
      <c r="BI391" s="137">
        <f t="shared" si="23"/>
        <v>7.6460319345770203E-2</v>
      </c>
      <c r="BJ391" s="137">
        <f t="shared" si="22"/>
        <v>7.2947629784908596E-2</v>
      </c>
      <c r="BK391" s="137">
        <f t="shared" si="22"/>
        <v>4.4148062240600529E-3</v>
      </c>
      <c r="BL391" s="137">
        <f t="shared" si="22"/>
        <v>0.75099594354986943</v>
      </c>
      <c r="BM391" s="137">
        <f t="shared" si="22"/>
        <v>8.0379414404830277E-2</v>
      </c>
    </row>
    <row r="392" spans="22:65" x14ac:dyDescent="0.25">
      <c r="AN392" s="76" t="s">
        <v>589</v>
      </c>
      <c r="AO392" s="76" t="s">
        <v>578</v>
      </c>
      <c r="AP392" s="61">
        <f>AP386/$AP$390</f>
        <v>20.588334203655354</v>
      </c>
      <c r="AQ392" s="76" t="s">
        <v>292</v>
      </c>
      <c r="AS392" s="76" t="s">
        <v>585</v>
      </c>
      <c r="AT392" s="137">
        <f>AT388/$AP$390*IF(SA!$B$9="-", 1,0)+IF(SA!$B$9&lt;&gt;"-", $AP$388*SA!$B$9/$AP$390,0)</f>
        <v>256.87810830640757</v>
      </c>
      <c r="AU392" s="137">
        <f t="shared" ca="1" si="22"/>
        <v>2580.3083034695378</v>
      </c>
      <c r="AV392" s="137">
        <f t="shared" ca="1" si="22"/>
        <v>1.1024033429646791</v>
      </c>
      <c r="AW392" s="137">
        <f t="shared" ca="1" si="22"/>
        <v>256.87810830640751</v>
      </c>
      <c r="AX392" s="137">
        <f t="shared" ca="1" si="22"/>
        <v>60.43380263665739</v>
      </c>
      <c r="AY392" s="137">
        <f t="shared" ca="1" si="22"/>
        <v>0.27706655879445552</v>
      </c>
      <c r="AZ392" s="137">
        <f t="shared" ca="1" si="22"/>
        <v>5.6368640744584846E-3</v>
      </c>
      <c r="BA392" s="137">
        <f t="shared" ca="1" si="22"/>
        <v>8.3710561315495085</v>
      </c>
      <c r="BB392" s="137">
        <f t="shared" ca="1" si="22"/>
        <v>12.593093000095081</v>
      </c>
      <c r="BC392" s="137">
        <f t="shared" ca="1" si="22"/>
        <v>0.23591768397842075</v>
      </c>
      <c r="BD392" s="137">
        <f t="shared" ca="1" si="22"/>
        <v>0.27337351067041671</v>
      </c>
      <c r="BE392" s="137">
        <f t="shared" ca="1" si="22"/>
        <v>1.0094888455737598</v>
      </c>
      <c r="BF392" s="137">
        <f t="shared" ca="1" si="22"/>
        <v>6.3784385748624467E-2</v>
      </c>
      <c r="BG392" s="137">
        <f t="shared" ca="1" si="22"/>
        <v>3.0876315037925354E-5</v>
      </c>
      <c r="BH392" s="137">
        <f t="shared" ca="1" si="22"/>
        <v>9.3894954766072986E-2</v>
      </c>
      <c r="BI392" s="137">
        <f t="shared" ca="1" si="22"/>
        <v>0.27148035782288815</v>
      </c>
      <c r="BJ392" s="137">
        <f t="shared" ca="1" si="22"/>
        <v>4.1926093362725904E-3</v>
      </c>
      <c r="BK392" s="137">
        <f t="shared" ca="1" si="22"/>
        <v>4.1926093362726052E-3</v>
      </c>
      <c r="BL392" s="137">
        <f t="shared" ca="1" si="22"/>
        <v>0.57872770958028596</v>
      </c>
      <c r="BM392" s="137">
        <f t="shared" ca="1" si="22"/>
        <v>0.24453593597659987</v>
      </c>
    </row>
    <row r="393" spans="22:65" x14ac:dyDescent="0.25">
      <c r="AN393" s="76" t="s">
        <v>590</v>
      </c>
      <c r="AO393" s="76" t="s">
        <v>577</v>
      </c>
      <c r="AP393" s="61">
        <f>AP387/$AP$390</f>
        <v>86.285668407310723</v>
      </c>
      <c r="AQ393" s="76" t="s">
        <v>292</v>
      </c>
      <c r="AT393" s="137"/>
      <c r="AU393" s="137"/>
      <c r="AV393" s="137"/>
      <c r="AW393" s="137"/>
      <c r="AX393" s="137"/>
      <c r="AY393" s="137"/>
      <c r="AZ393" s="137"/>
      <c r="BA393" s="137"/>
      <c r="BB393" s="137"/>
      <c r="BC393" s="137"/>
      <c r="BD393" s="137"/>
      <c r="BE393" s="137"/>
      <c r="BF393" s="137"/>
      <c r="BG393" s="137"/>
      <c r="BH393" s="137"/>
      <c r="BI393" s="137"/>
      <c r="BJ393" s="137"/>
      <c r="BK393" s="137"/>
      <c r="BL393" s="137"/>
      <c r="BM393" s="137"/>
    </row>
    <row r="394" spans="22:65" x14ac:dyDescent="0.25">
      <c r="AN394" s="76" t="s">
        <v>591</v>
      </c>
      <c r="AO394" s="76" t="s">
        <v>576</v>
      </c>
      <c r="AP394" s="61">
        <f>AP388/$AP$390</f>
        <v>1325.578269119595</v>
      </c>
      <c r="AQ394" s="76" t="s">
        <v>292</v>
      </c>
      <c r="AS394" s="76" t="s">
        <v>588</v>
      </c>
      <c r="AT394" s="137">
        <f>AT386/$AP$386</f>
        <v>7.4461999999999987E-2</v>
      </c>
      <c r="AU394" s="137">
        <f t="shared" ref="AU394:BM394" ca="1" si="24">AU386/$AP$386</f>
        <v>1.2350892299999998</v>
      </c>
      <c r="AV394" s="137">
        <f t="shared" ca="1" si="24"/>
        <v>2.5565999999999996E-3</v>
      </c>
      <c r="AW394" s="137">
        <f t="shared" ca="1" si="24"/>
        <v>7.3437999999999989E-2</v>
      </c>
      <c r="AX394" s="137">
        <f t="shared" ca="1" si="24"/>
        <v>2.0742999999999998E-2</v>
      </c>
      <c r="AY394" s="137">
        <f t="shared" ca="1" si="24"/>
        <v>1.8395999999999998E-3</v>
      </c>
      <c r="AZ394" s="137">
        <f t="shared" ca="1" si="24"/>
        <v>8.1092999999999991E-5</v>
      </c>
      <c r="BA394" s="137">
        <f t="shared" ca="1" si="24"/>
        <v>5.0548999999999997E-2</v>
      </c>
      <c r="BB394" s="137">
        <f t="shared" ca="1" si="24"/>
        <v>1.0623999999999998E-2</v>
      </c>
      <c r="BC394" s="137">
        <f t="shared" ca="1" si="24"/>
        <v>1.7135999999999996E-3</v>
      </c>
      <c r="BD394" s="137">
        <f t="shared" ca="1" si="24"/>
        <v>2.8504999999999992E-5</v>
      </c>
      <c r="BE394" s="137">
        <f t="shared" ca="1" si="24"/>
        <v>2.0625999999999999E-3</v>
      </c>
      <c r="BF394" s="137">
        <f t="shared" ca="1" si="24"/>
        <v>-6.9388999999999998E-6</v>
      </c>
      <c r="BG394" s="137">
        <f t="shared" ca="1" si="24"/>
        <v>3.6820999999999995E-9</v>
      </c>
      <c r="BH394" s="137">
        <f t="shared" ca="1" si="24"/>
        <v>1.1117999999999998E-4</v>
      </c>
      <c r="BI394" s="137">
        <f t="shared" ca="1" si="24"/>
        <v>2.9994E-4</v>
      </c>
      <c r="BJ394" s="137">
        <f t="shared" ca="1" si="24"/>
        <v>2.3785999999999995E-4</v>
      </c>
      <c r="BK394" s="137">
        <f t="shared" ca="1" si="24"/>
        <v>2.7380999999999997E-6</v>
      </c>
      <c r="BL394" s="137">
        <f t="shared" ca="1" si="24"/>
        <v>2.2783E-3</v>
      </c>
      <c r="BM394" s="137">
        <f t="shared" ca="1" si="24"/>
        <v>2.8075000000000002E-4</v>
      </c>
    </row>
    <row r="395" spans="22:65" x14ac:dyDescent="0.25">
      <c r="AS395" s="76" t="s">
        <v>587</v>
      </c>
      <c r="AT395" s="137">
        <f>AT387/$AP$387</f>
        <v>0.33979999999999988</v>
      </c>
      <c r="AU395" s="137">
        <f t="shared" ref="AU395:BM395" si="25">AU387/$AP$387</f>
        <v>4.9560504329999979</v>
      </c>
      <c r="AV395" s="137">
        <f t="shared" si="25"/>
        <v>5.2655999999999988E-3</v>
      </c>
      <c r="AW395" s="137">
        <f t="shared" si="25"/>
        <v>0.3353799999999999</v>
      </c>
      <c r="AX395" s="137">
        <f t="shared" si="25"/>
        <v>0.10989999999999997</v>
      </c>
      <c r="AY395" s="137">
        <f t="shared" si="25"/>
        <v>1.7913999999999996E-2</v>
      </c>
      <c r="AZ395" s="137">
        <f t="shared" si="25"/>
        <v>4.7760999999999992E-5</v>
      </c>
      <c r="BA395" s="137">
        <f t="shared" si="25"/>
        <v>7.6970999999999984E-2</v>
      </c>
      <c r="BB395" s="137">
        <f t="shared" si="25"/>
        <v>2.2779999999999995E-2</v>
      </c>
      <c r="BC395" s="137">
        <f t="shared" si="25"/>
        <v>1.5581999999999993E-2</v>
      </c>
      <c r="BD395" s="137">
        <f t="shared" si="25"/>
        <v>4.1008999999999993E-5</v>
      </c>
      <c r="BE395" s="137">
        <f t="shared" si="25"/>
        <v>2.3355999999999988E-2</v>
      </c>
      <c r="BF395" s="137">
        <f t="shared" si="25"/>
        <v>-2.1822999999999998E-5</v>
      </c>
      <c r="BG395" s="137">
        <f t="shared" si="25"/>
        <v>4.8883999999999983E-8</v>
      </c>
      <c r="BH395" s="137">
        <f t="shared" si="25"/>
        <v>4.1103999999999983E-4</v>
      </c>
      <c r="BI395" s="137">
        <f t="shared" si="25"/>
        <v>8.8612999999999951E-4</v>
      </c>
      <c r="BJ395" s="137">
        <f t="shared" si="25"/>
        <v>8.4541999999999961E-4</v>
      </c>
      <c r="BK395" s="137">
        <f t="shared" si="25"/>
        <v>5.1164999999999989E-5</v>
      </c>
      <c r="BL395" s="137">
        <f t="shared" si="25"/>
        <v>8.7035999999999971E-3</v>
      </c>
      <c r="BM395" s="137">
        <f t="shared" si="25"/>
        <v>9.3154999999999974E-4</v>
      </c>
    </row>
    <row r="396" spans="22:65" x14ac:dyDescent="0.25">
      <c r="AS396" s="76" t="s">
        <v>586</v>
      </c>
      <c r="AT396" s="137">
        <f>AT388/$AP$388</f>
        <v>0.19378569662055298</v>
      </c>
      <c r="AU396" s="137">
        <f t="shared" ref="AU396:BM396" ca="1" si="26">AU388/$AP$388</f>
        <v>1.946552960002349</v>
      </c>
      <c r="AV396" s="137">
        <f t="shared" ca="1" si="26"/>
        <v>8.3163957092994493E-4</v>
      </c>
      <c r="AW396" s="137">
        <f t="shared" ca="1" si="26"/>
        <v>0.19378569662055295</v>
      </c>
      <c r="AX396" s="137">
        <f t="shared" ca="1" si="26"/>
        <v>4.559052003530166E-2</v>
      </c>
      <c r="AY396" s="137">
        <f t="shared" ca="1" si="26"/>
        <v>2.090156162400534E-4</v>
      </c>
      <c r="AZ396" s="137">
        <f t="shared" ca="1" si="26"/>
        <v>4.2523811726351723E-6</v>
      </c>
      <c r="BA396" s="137">
        <f t="shared" ca="1" si="26"/>
        <v>6.3150221503776496E-3</v>
      </c>
      <c r="BB396" s="137">
        <f t="shared" ca="1" si="26"/>
        <v>9.5000750189266417E-3</v>
      </c>
      <c r="BC396" s="137">
        <f t="shared" ca="1" si="26"/>
        <v>1.779734093974771E-4</v>
      </c>
      <c r="BD396" s="137">
        <f t="shared" ca="1" si="26"/>
        <v>2.0622962599709958E-4</v>
      </c>
      <c r="BE396" s="137">
        <f t="shared" ca="1" si="26"/>
        <v>7.6154601285386846E-4</v>
      </c>
      <c r="BF396" s="137">
        <f t="shared" ca="1" si="26"/>
        <v>4.8118158870383363E-5</v>
      </c>
      <c r="BG396" s="137">
        <f t="shared" ca="1" si="26"/>
        <v>2.3292713645971562E-8</v>
      </c>
      <c r="BH396" s="137">
        <f t="shared" ca="1" si="26"/>
        <v>7.0833203103453778E-5</v>
      </c>
      <c r="BI396" s="137">
        <f t="shared" ca="1" si="26"/>
        <v>2.0480145469131472E-4</v>
      </c>
      <c r="BJ396" s="137">
        <f t="shared" ca="1" si="26"/>
        <v>3.1628530988646806E-6</v>
      </c>
      <c r="BK396" s="137">
        <f t="shared" ca="1" si="26"/>
        <v>3.1628530988646912E-6</v>
      </c>
      <c r="BL396" s="137">
        <f t="shared" ca="1" si="26"/>
        <v>4.3658509124825778E-4</v>
      </c>
      <c r="BM396" s="137">
        <f t="shared" ca="1" si="26"/>
        <v>1.8447491308001943E-4</v>
      </c>
    </row>
  </sheetData>
  <sortState xmlns:xlrd2="http://schemas.microsoft.com/office/spreadsheetml/2017/richdata2" ref="A2:W398">
    <sortCondition descending="1" ref="V1:V39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9E573-A2B4-4D1A-8EE8-56ED82797D9F}">
  <sheetPr codeName="Sheet21"/>
  <dimension ref="A1:BM396"/>
  <sheetViews>
    <sheetView topLeftCell="L328" zoomScale="60" zoomScaleNormal="60" workbookViewId="0">
      <selection activeCell="AH381" sqref="AH380:AH381"/>
    </sheetView>
  </sheetViews>
  <sheetFormatPr defaultRowHeight="15" x14ac:dyDescent="0.25"/>
  <cols>
    <col min="1" max="2" width="9.28515625" style="149" bestFit="1" customWidth="1"/>
    <col min="3" max="4" width="9.28515625" style="76" bestFit="1" customWidth="1"/>
    <col min="5" max="5" width="9.140625" style="76"/>
    <col min="6" max="6" width="9.28515625" style="149" bestFit="1" customWidth="1"/>
    <col min="7" max="8" width="9.140625" style="76"/>
    <col min="9" max="12" width="9.28515625" style="76" bestFit="1" customWidth="1"/>
    <col min="13" max="13" width="9.140625" style="76"/>
    <col min="14" max="15" width="9.28515625" style="149" bestFit="1" customWidth="1"/>
    <col min="16" max="17" width="9.140625" style="76"/>
    <col min="18" max="20" width="9.28515625" style="76" bestFit="1" customWidth="1"/>
    <col min="21" max="22" width="9.140625" style="76"/>
    <col min="23" max="23" width="9.28515625" style="76" bestFit="1" customWidth="1"/>
    <col min="24" max="24" width="9.140625" style="76"/>
    <col min="25" max="44" width="10.7109375" style="76" customWidth="1"/>
    <col min="45" max="45" width="9.140625" style="76"/>
    <col min="46" max="65" width="10.7109375" style="76" customWidth="1"/>
    <col min="66" max="16384" width="9.140625" style="76"/>
  </cols>
  <sheetData>
    <row r="1" spans="1:65" x14ac:dyDescent="0.25">
      <c r="A1" s="149" t="s">
        <v>562</v>
      </c>
      <c r="B1" s="149" t="s">
        <v>601</v>
      </c>
      <c r="C1" s="61" t="s">
        <v>602</v>
      </c>
      <c r="D1" s="61" t="s">
        <v>603</v>
      </c>
      <c r="E1" s="61" t="s">
        <v>604</v>
      </c>
      <c r="F1" s="149" t="s">
        <v>605</v>
      </c>
      <c r="G1" s="61" t="s">
        <v>606</v>
      </c>
      <c r="H1" s="61" t="s">
        <v>607</v>
      </c>
      <c r="I1" s="61" t="s">
        <v>608</v>
      </c>
      <c r="J1" s="61" t="s">
        <v>609</v>
      </c>
      <c r="K1" s="61" t="s">
        <v>563</v>
      </c>
      <c r="L1" s="61" t="s">
        <v>610</v>
      </c>
      <c r="M1" s="61" t="s">
        <v>568</v>
      </c>
      <c r="N1" s="149" t="s">
        <v>611</v>
      </c>
      <c r="O1" s="149" t="s">
        <v>560</v>
      </c>
      <c r="P1" s="61" t="s">
        <v>612</v>
      </c>
      <c r="Q1" s="61" t="s">
        <v>317</v>
      </c>
      <c r="R1" s="61" t="s">
        <v>288</v>
      </c>
      <c r="S1" s="61" t="s">
        <v>289</v>
      </c>
      <c r="T1" s="61" t="s">
        <v>613</v>
      </c>
      <c r="U1" s="61" t="s">
        <v>614</v>
      </c>
      <c r="V1" s="61" t="s">
        <v>732</v>
      </c>
      <c r="W1" s="61" t="s">
        <v>733</v>
      </c>
      <c r="Y1" s="137" t="s">
        <v>0</v>
      </c>
      <c r="Z1" s="137" t="s">
        <v>156</v>
      </c>
      <c r="AA1" s="137" t="s">
        <v>164</v>
      </c>
      <c r="AB1" s="137" t="s">
        <v>165</v>
      </c>
      <c r="AC1" s="137" t="s">
        <v>166</v>
      </c>
      <c r="AD1" s="137" t="s">
        <v>167</v>
      </c>
      <c r="AE1" s="137" t="s">
        <v>168</v>
      </c>
      <c r="AF1" s="137" t="s">
        <v>169</v>
      </c>
      <c r="AG1" s="137" t="s">
        <v>170</v>
      </c>
      <c r="AH1" s="137" t="s">
        <v>171</v>
      </c>
      <c r="AI1" s="137" t="s">
        <v>172</v>
      </c>
      <c r="AJ1" s="137" t="s">
        <v>173</v>
      </c>
      <c r="AK1" s="137" t="s">
        <v>174</v>
      </c>
      <c r="AL1" s="137" t="s">
        <v>175</v>
      </c>
      <c r="AM1" s="137" t="s">
        <v>176</v>
      </c>
      <c r="AN1" s="137" t="s">
        <v>177</v>
      </c>
      <c r="AO1" s="137" t="s">
        <v>178</v>
      </c>
      <c r="AP1" s="137" t="s">
        <v>179</v>
      </c>
      <c r="AQ1" s="137" t="s">
        <v>180</v>
      </c>
      <c r="AR1" s="137" t="s">
        <v>181</v>
      </c>
      <c r="AT1" s="137" t="str">
        <f>Y1</f>
        <v>GWP</v>
      </c>
      <c r="AU1" s="137" t="str">
        <f t="shared" ref="AU1:BK1" si="0">Z1</f>
        <v>CED</v>
      </c>
      <c r="AV1" s="137" t="str">
        <f t="shared" si="0"/>
        <v>ALOP</v>
      </c>
      <c r="AW1" s="137" t="str">
        <f t="shared" si="0"/>
        <v>GWP100</v>
      </c>
      <c r="AX1" s="137" t="str">
        <f t="shared" si="0"/>
        <v>FDP</v>
      </c>
      <c r="AY1" s="137" t="str">
        <f t="shared" si="0"/>
        <v>FETPinf</v>
      </c>
      <c r="AZ1" s="137" t="str">
        <f t="shared" si="0"/>
        <v>FEP</v>
      </c>
      <c r="BA1" s="137" t="str">
        <f t="shared" si="0"/>
        <v>HTPinf</v>
      </c>
      <c r="BB1" s="137" t="str">
        <f t="shared" si="0"/>
        <v>IRP_HE</v>
      </c>
      <c r="BC1" s="137" t="str">
        <f t="shared" si="0"/>
        <v>METPinf</v>
      </c>
      <c r="BD1" s="137" t="str">
        <f t="shared" si="0"/>
        <v>MEP</v>
      </c>
      <c r="BE1" s="137" t="str">
        <f t="shared" si="0"/>
        <v>MDP</v>
      </c>
      <c r="BF1" s="137" t="str">
        <f t="shared" si="0"/>
        <v>NLTP</v>
      </c>
      <c r="BG1" s="137" t="str">
        <f t="shared" si="0"/>
        <v>ODPinf</v>
      </c>
      <c r="BH1" s="137" t="str">
        <f t="shared" si="0"/>
        <v>PMFP</v>
      </c>
      <c r="BI1" s="137" t="str">
        <f t="shared" si="0"/>
        <v>POFP</v>
      </c>
      <c r="BJ1" s="137" t="str">
        <f t="shared" si="0"/>
        <v>TAP100</v>
      </c>
      <c r="BK1" s="137" t="str">
        <f t="shared" si="0"/>
        <v>TETPinf</v>
      </c>
      <c r="BL1" s="137" t="str">
        <f>AQ1</f>
        <v>ULOP</v>
      </c>
      <c r="BM1" s="137" t="str">
        <f t="shared" ref="BM1" si="1">AR1</f>
        <v>WDP</v>
      </c>
    </row>
    <row r="2" spans="1:65" x14ac:dyDescent="0.25">
      <c r="A2" s="149">
        <v>381</v>
      </c>
      <c r="B2" s="149">
        <v>15</v>
      </c>
      <c r="C2" s="61">
        <v>47.376887000000004</v>
      </c>
      <c r="D2" s="61">
        <v>8.5416939999999997</v>
      </c>
      <c r="E2" s="61" t="s">
        <v>271</v>
      </c>
      <c r="F2" s="149">
        <v>38</v>
      </c>
      <c r="G2" s="61" t="s">
        <v>567</v>
      </c>
      <c r="H2" s="61" t="s">
        <v>678</v>
      </c>
      <c r="I2" s="61">
        <v>48.353696999999997</v>
      </c>
      <c r="J2" s="61">
        <v>11.775111000000001</v>
      </c>
      <c r="K2" s="61">
        <v>287.26130230000001</v>
      </c>
      <c r="L2" s="61">
        <v>387.93700000000001</v>
      </c>
      <c r="M2" s="61" t="s">
        <v>589</v>
      </c>
      <c r="N2" s="149">
        <v>14</v>
      </c>
      <c r="O2" s="149">
        <v>15</v>
      </c>
      <c r="P2" s="61" t="s">
        <v>567</v>
      </c>
      <c r="Q2" s="61" t="s">
        <v>566</v>
      </c>
      <c r="R2" s="61">
        <v>50.037932599999998</v>
      </c>
      <c r="S2" s="61">
        <v>8.5621518000000005</v>
      </c>
      <c r="T2" s="61">
        <f>Transport_2_Hubs!T2</f>
        <v>417.82600000000002</v>
      </c>
      <c r="U2" s="61" t="s">
        <v>589</v>
      </c>
      <c r="V2" s="61" t="s">
        <v>589</v>
      </c>
      <c r="W2" s="61"/>
      <c r="Y2" s="137">
        <f>Summary_LCIA!H$34</f>
        <v>7.4462E-2</v>
      </c>
      <c r="Z2" s="137">
        <f>Summary_LCIA!I$34</f>
        <v>7.4462E-2</v>
      </c>
      <c r="AA2" s="137">
        <f ca="1">Summary_LCIA!J$34</f>
        <v>0.87446999999999997</v>
      </c>
      <c r="AB2" s="137">
        <f ca="1">Summary_LCIA!K$34</f>
        <v>4.2768999999999999E-4</v>
      </c>
      <c r="AC2" s="137">
        <f ca="1">Summary_LCIA!L$34</f>
        <v>0.18787999999999999</v>
      </c>
      <c r="AD2" s="137">
        <f ca="1">Summary_LCIA!M$34</f>
        <v>2.0060000000000001E-5</v>
      </c>
      <c r="AE2" s="137">
        <f ca="1">Summary_LCIA!N$34</f>
        <v>2.8479999999999998E-5</v>
      </c>
      <c r="AF2" s="137">
        <f ca="1">Summary_LCIA!O$34</f>
        <v>2.4888E-2</v>
      </c>
      <c r="AG2" s="137">
        <f ca="1">Summary_LCIA!P$34</f>
        <v>7.2913000000000006E-2</v>
      </c>
      <c r="AH2" s="137">
        <f ca="1">Summary_LCIA!Q$34</f>
        <v>1.23508923</v>
      </c>
      <c r="AI2" s="137">
        <f ca="1">Summary_LCIA!R$34</f>
        <v>2.5566E-3</v>
      </c>
      <c r="AJ2" s="137">
        <f ca="1">Summary_LCIA!S$34</f>
        <v>7.3438000000000003E-2</v>
      </c>
      <c r="AK2" s="137">
        <f ca="1">Summary_LCIA!T$34</f>
        <v>2.0743000000000001E-2</v>
      </c>
      <c r="AL2" s="137">
        <f ca="1">Summary_LCIA!U$34</f>
        <v>1.8396E-3</v>
      </c>
      <c r="AM2" s="137">
        <f ca="1">Summary_LCIA!V$34</f>
        <v>8.1093000000000004E-5</v>
      </c>
      <c r="AN2" s="137">
        <f ca="1">Summary_LCIA!W$34</f>
        <v>5.0548999999999997E-2</v>
      </c>
      <c r="AO2" s="137">
        <f ca="1">Summary_LCIA!X$34</f>
        <v>1.0624E-2</v>
      </c>
      <c r="AP2" s="137">
        <f ca="1">Summary_LCIA!Y$34</f>
        <v>1.7136E-3</v>
      </c>
      <c r="AQ2" s="137">
        <f ca="1">Summary_LCIA!Z$34</f>
        <v>2.8504999999999999E-5</v>
      </c>
      <c r="AR2" s="137">
        <f ca="1">Summary_LCIA!AA$34</f>
        <v>2.0625999999999999E-3</v>
      </c>
      <c r="AT2" s="137">
        <f>$T2*Y2</f>
        <v>31.112159612000003</v>
      </c>
      <c r="AU2" s="137">
        <f t="shared" ref="AU2:BM15" si="2">$T2*Z2</f>
        <v>31.112159612000003</v>
      </c>
      <c r="AV2" s="137">
        <f t="shared" ca="1" si="2"/>
        <v>365.37630222000001</v>
      </c>
      <c r="AW2" s="137">
        <f t="shared" ca="1" si="2"/>
        <v>0.17870000194000002</v>
      </c>
      <c r="AX2" s="137">
        <f t="shared" ca="1" si="2"/>
        <v>78.501148880000002</v>
      </c>
      <c r="AY2" s="137">
        <f t="shared" ca="1" si="2"/>
        <v>8.3815895600000013E-3</v>
      </c>
      <c r="AZ2" s="137">
        <f t="shared" ca="1" si="2"/>
        <v>1.189968448E-2</v>
      </c>
      <c r="BA2" s="137">
        <f t="shared" ca="1" si="2"/>
        <v>10.398853488</v>
      </c>
      <c r="BB2" s="137">
        <f t="shared" ca="1" si="2"/>
        <v>30.464947138000003</v>
      </c>
      <c r="BC2" s="137">
        <f t="shared" ca="1" si="2"/>
        <v>516.05239261398003</v>
      </c>
      <c r="BD2" s="137">
        <f t="shared" ca="1" si="2"/>
        <v>1.0682139516</v>
      </c>
      <c r="BE2" s="137">
        <f t="shared" ca="1" si="2"/>
        <v>30.684305788000003</v>
      </c>
      <c r="BF2" s="137">
        <f t="shared" ca="1" si="2"/>
        <v>8.6669647180000009</v>
      </c>
      <c r="BG2" s="137">
        <f t="shared" ca="1" si="2"/>
        <v>0.76863270960000007</v>
      </c>
      <c r="BH2" s="137">
        <f t="shared" ca="1" si="2"/>
        <v>3.3882763818000004E-2</v>
      </c>
      <c r="BI2" s="137">
        <f t="shared" ca="1" si="2"/>
        <v>21.120686473999999</v>
      </c>
      <c r="BJ2" s="137">
        <f t="shared" ca="1" si="2"/>
        <v>4.4389834239999999</v>
      </c>
      <c r="BK2" s="137">
        <f t="shared" ca="1" si="2"/>
        <v>0.71598663360000003</v>
      </c>
      <c r="BL2" s="137">
        <f t="shared" ca="1" si="2"/>
        <v>1.191013013E-2</v>
      </c>
      <c r="BM2" s="137">
        <f t="shared" ca="1" si="2"/>
        <v>0.86180790760000003</v>
      </c>
    </row>
    <row r="3" spans="1:65" x14ac:dyDescent="0.25">
      <c r="A3" s="149">
        <v>153</v>
      </c>
      <c r="B3" s="149">
        <v>15</v>
      </c>
      <c r="C3" s="61">
        <v>48.790447</v>
      </c>
      <c r="D3" s="61">
        <v>11.497889000000001</v>
      </c>
      <c r="E3" s="61" t="s">
        <v>281</v>
      </c>
      <c r="F3" s="149">
        <v>38</v>
      </c>
      <c r="G3" s="61" t="s">
        <v>567</v>
      </c>
      <c r="H3" s="61" t="s">
        <v>678</v>
      </c>
      <c r="I3" s="61">
        <v>48.353696999999997</v>
      </c>
      <c r="J3" s="61">
        <v>11.775111000000001</v>
      </c>
      <c r="K3" s="61">
        <v>55.559302189999997</v>
      </c>
      <c r="L3" s="61">
        <v>128.94999999999999</v>
      </c>
      <c r="M3" s="61" t="s">
        <v>589</v>
      </c>
      <c r="N3" s="149">
        <v>14</v>
      </c>
      <c r="O3" s="149">
        <v>15</v>
      </c>
      <c r="P3" s="61" t="s">
        <v>567</v>
      </c>
      <c r="Q3" s="61" t="s">
        <v>566</v>
      </c>
      <c r="R3" s="61">
        <v>50.037932599999998</v>
      </c>
      <c r="S3" s="61">
        <v>8.5621518000000005</v>
      </c>
      <c r="T3" s="61">
        <f>Transport_2_Hubs!T3</f>
        <v>379.20299999999997</v>
      </c>
      <c r="U3" s="61" t="s">
        <v>589</v>
      </c>
      <c r="V3" s="61" t="s">
        <v>589</v>
      </c>
      <c r="W3" s="61"/>
      <c r="Y3" s="137">
        <f>Summary_LCIA!H$34</f>
        <v>7.4462E-2</v>
      </c>
      <c r="Z3" s="137">
        <f>Summary_LCIA!I$34</f>
        <v>7.4462E-2</v>
      </c>
      <c r="AA3" s="137">
        <f ca="1">Summary_LCIA!J$34</f>
        <v>0.87446999999999997</v>
      </c>
      <c r="AB3" s="137">
        <f ca="1">Summary_LCIA!K$34</f>
        <v>4.2768999999999999E-4</v>
      </c>
      <c r="AC3" s="137">
        <f ca="1">Summary_LCIA!L$34</f>
        <v>0.18787999999999999</v>
      </c>
      <c r="AD3" s="137">
        <f ca="1">Summary_LCIA!M$34</f>
        <v>2.0060000000000001E-5</v>
      </c>
      <c r="AE3" s="137">
        <f ca="1">Summary_LCIA!N$34</f>
        <v>2.8479999999999998E-5</v>
      </c>
      <c r="AF3" s="137">
        <f ca="1">Summary_LCIA!O$34</f>
        <v>2.4888E-2</v>
      </c>
      <c r="AG3" s="137">
        <f ca="1">Summary_LCIA!P$34</f>
        <v>7.2913000000000006E-2</v>
      </c>
      <c r="AH3" s="137">
        <f ca="1">Summary_LCIA!Q$34</f>
        <v>1.23508923</v>
      </c>
      <c r="AI3" s="137">
        <f ca="1">Summary_LCIA!R$34</f>
        <v>2.5566E-3</v>
      </c>
      <c r="AJ3" s="137">
        <f ca="1">Summary_LCIA!S$34</f>
        <v>7.3438000000000003E-2</v>
      </c>
      <c r="AK3" s="137">
        <f ca="1">Summary_LCIA!T$34</f>
        <v>2.0743000000000001E-2</v>
      </c>
      <c r="AL3" s="137">
        <f ca="1">Summary_LCIA!U$34</f>
        <v>1.8396E-3</v>
      </c>
      <c r="AM3" s="137">
        <f ca="1">Summary_LCIA!V$34</f>
        <v>8.1093000000000004E-5</v>
      </c>
      <c r="AN3" s="137">
        <f ca="1">Summary_LCIA!W$34</f>
        <v>5.0548999999999997E-2</v>
      </c>
      <c r="AO3" s="137">
        <f ca="1">Summary_LCIA!X$34</f>
        <v>1.0624E-2</v>
      </c>
      <c r="AP3" s="137">
        <f ca="1">Summary_LCIA!Y$34</f>
        <v>1.7136E-3</v>
      </c>
      <c r="AQ3" s="137">
        <f ca="1">Summary_LCIA!Z$34</f>
        <v>2.8504999999999999E-5</v>
      </c>
      <c r="AR3" s="137">
        <f ca="1">Summary_LCIA!AA$34</f>
        <v>2.0625999999999999E-3</v>
      </c>
      <c r="AT3" s="137">
        <f t="shared" ref="AT3:AT66" si="3">$T3*Y3</f>
        <v>28.236213785999997</v>
      </c>
      <c r="AU3" s="137">
        <f t="shared" si="2"/>
        <v>28.236213785999997</v>
      </c>
      <c r="AV3" s="137">
        <f t="shared" ca="1" si="2"/>
        <v>331.60164740999994</v>
      </c>
      <c r="AW3" s="137">
        <f t="shared" ca="1" si="2"/>
        <v>0.16218133106999999</v>
      </c>
      <c r="AX3" s="137">
        <f t="shared" ca="1" si="2"/>
        <v>71.244659639999995</v>
      </c>
      <c r="AY3" s="137">
        <f t="shared" ca="1" si="2"/>
        <v>7.6068121800000003E-3</v>
      </c>
      <c r="AZ3" s="137">
        <f t="shared" ca="1" si="2"/>
        <v>1.0799701439999998E-2</v>
      </c>
      <c r="BA3" s="137">
        <f t="shared" ca="1" si="2"/>
        <v>9.4376042639999991</v>
      </c>
      <c r="BB3" s="137">
        <f t="shared" ca="1" si="2"/>
        <v>27.648828339000001</v>
      </c>
      <c r="BC3" s="137">
        <f t="shared" ca="1" si="2"/>
        <v>468.34954128368997</v>
      </c>
      <c r="BD3" s="137">
        <f t="shared" ca="1" si="2"/>
        <v>0.96947038979999989</v>
      </c>
      <c r="BE3" s="137">
        <f t="shared" ca="1" si="2"/>
        <v>27.847909913999999</v>
      </c>
      <c r="BF3" s="137">
        <f t="shared" ca="1" si="2"/>
        <v>7.8658078289999995</v>
      </c>
      <c r="BG3" s="137">
        <f t="shared" ca="1" si="2"/>
        <v>0.69758183880000002</v>
      </c>
      <c r="BH3" s="137">
        <f t="shared" ca="1" si="2"/>
        <v>3.0750708878999999E-2</v>
      </c>
      <c r="BI3" s="137">
        <f t="shared" ca="1" si="2"/>
        <v>19.168332446999997</v>
      </c>
      <c r="BJ3" s="137">
        <f t="shared" ca="1" si="2"/>
        <v>4.0286526719999998</v>
      </c>
      <c r="BK3" s="137">
        <f t="shared" ca="1" si="2"/>
        <v>0.64980226079999992</v>
      </c>
      <c r="BL3" s="137">
        <f t="shared" ca="1" si="2"/>
        <v>1.0809181514999999E-2</v>
      </c>
      <c r="BM3" s="137">
        <f t="shared" ca="1" si="2"/>
        <v>0.78214410779999988</v>
      </c>
    </row>
    <row r="4" spans="1:65" x14ac:dyDescent="0.25">
      <c r="A4" s="149">
        <v>154</v>
      </c>
      <c r="B4" s="149">
        <v>15</v>
      </c>
      <c r="C4" s="61">
        <v>48.790447</v>
      </c>
      <c r="D4" s="61">
        <v>11.497889000000001</v>
      </c>
      <c r="E4" s="61" t="s">
        <v>281</v>
      </c>
      <c r="F4" s="149">
        <v>38</v>
      </c>
      <c r="G4" s="61" t="s">
        <v>567</v>
      </c>
      <c r="H4" s="61" t="s">
        <v>678</v>
      </c>
      <c r="I4" s="61">
        <v>48.353696999999997</v>
      </c>
      <c r="J4" s="61">
        <v>11.775111000000001</v>
      </c>
      <c r="K4" s="61">
        <v>55.559302189999997</v>
      </c>
      <c r="L4" s="61">
        <v>128.94999999999999</v>
      </c>
      <c r="M4" s="61" t="s">
        <v>589</v>
      </c>
      <c r="N4" s="149">
        <v>14</v>
      </c>
      <c r="O4" s="149">
        <v>15</v>
      </c>
      <c r="P4" s="61" t="s">
        <v>567</v>
      </c>
      <c r="Q4" s="61" t="s">
        <v>566</v>
      </c>
      <c r="R4" s="61">
        <v>50.037932599999998</v>
      </c>
      <c r="S4" s="61">
        <v>8.5621518000000005</v>
      </c>
      <c r="T4" s="61">
        <f>Transport_2_Hubs!T4</f>
        <v>379.20299999999997</v>
      </c>
      <c r="U4" s="61" t="s">
        <v>589</v>
      </c>
      <c r="V4" s="61" t="s">
        <v>589</v>
      </c>
      <c r="W4" s="61"/>
      <c r="Y4" s="137">
        <f>Summary_LCIA!H$34</f>
        <v>7.4462E-2</v>
      </c>
      <c r="Z4" s="137">
        <f>Summary_LCIA!I$34</f>
        <v>7.4462E-2</v>
      </c>
      <c r="AA4" s="137">
        <f ca="1">Summary_LCIA!J$34</f>
        <v>0.87446999999999997</v>
      </c>
      <c r="AB4" s="137">
        <f ca="1">Summary_LCIA!K$34</f>
        <v>4.2768999999999999E-4</v>
      </c>
      <c r="AC4" s="137">
        <f ca="1">Summary_LCIA!L$34</f>
        <v>0.18787999999999999</v>
      </c>
      <c r="AD4" s="137">
        <f ca="1">Summary_LCIA!M$34</f>
        <v>2.0060000000000001E-5</v>
      </c>
      <c r="AE4" s="137">
        <f ca="1">Summary_LCIA!N$34</f>
        <v>2.8479999999999998E-5</v>
      </c>
      <c r="AF4" s="137">
        <f ca="1">Summary_LCIA!O$34</f>
        <v>2.4888E-2</v>
      </c>
      <c r="AG4" s="137">
        <f ca="1">Summary_LCIA!P$34</f>
        <v>7.2913000000000006E-2</v>
      </c>
      <c r="AH4" s="137">
        <f ca="1">Summary_LCIA!Q$34</f>
        <v>1.23508923</v>
      </c>
      <c r="AI4" s="137">
        <f ca="1">Summary_LCIA!R$34</f>
        <v>2.5566E-3</v>
      </c>
      <c r="AJ4" s="137">
        <f ca="1">Summary_LCIA!S$34</f>
        <v>7.3438000000000003E-2</v>
      </c>
      <c r="AK4" s="137">
        <f ca="1">Summary_LCIA!T$34</f>
        <v>2.0743000000000001E-2</v>
      </c>
      <c r="AL4" s="137">
        <f ca="1">Summary_LCIA!U$34</f>
        <v>1.8396E-3</v>
      </c>
      <c r="AM4" s="137">
        <f ca="1">Summary_LCIA!V$34</f>
        <v>8.1093000000000004E-5</v>
      </c>
      <c r="AN4" s="137">
        <f ca="1">Summary_LCIA!W$34</f>
        <v>5.0548999999999997E-2</v>
      </c>
      <c r="AO4" s="137">
        <f ca="1">Summary_LCIA!X$34</f>
        <v>1.0624E-2</v>
      </c>
      <c r="AP4" s="137">
        <f ca="1">Summary_LCIA!Y$34</f>
        <v>1.7136E-3</v>
      </c>
      <c r="AQ4" s="137">
        <f ca="1">Summary_LCIA!Z$34</f>
        <v>2.8504999999999999E-5</v>
      </c>
      <c r="AR4" s="137">
        <f ca="1">Summary_LCIA!AA$34</f>
        <v>2.0625999999999999E-3</v>
      </c>
      <c r="AT4" s="137">
        <f t="shared" si="3"/>
        <v>28.236213785999997</v>
      </c>
      <c r="AU4" s="137">
        <f t="shared" si="2"/>
        <v>28.236213785999997</v>
      </c>
      <c r="AV4" s="137">
        <f t="shared" ca="1" si="2"/>
        <v>331.60164740999994</v>
      </c>
      <c r="AW4" s="137">
        <f t="shared" ca="1" si="2"/>
        <v>0.16218133106999999</v>
      </c>
      <c r="AX4" s="137">
        <f t="shared" ca="1" si="2"/>
        <v>71.244659639999995</v>
      </c>
      <c r="AY4" s="137">
        <f t="shared" ca="1" si="2"/>
        <v>7.6068121800000003E-3</v>
      </c>
      <c r="AZ4" s="137">
        <f t="shared" ca="1" si="2"/>
        <v>1.0799701439999998E-2</v>
      </c>
      <c r="BA4" s="137">
        <f t="shared" ca="1" si="2"/>
        <v>9.4376042639999991</v>
      </c>
      <c r="BB4" s="137">
        <f t="shared" ca="1" si="2"/>
        <v>27.648828339000001</v>
      </c>
      <c r="BC4" s="137">
        <f t="shared" ca="1" si="2"/>
        <v>468.34954128368997</v>
      </c>
      <c r="BD4" s="137">
        <f t="shared" ca="1" si="2"/>
        <v>0.96947038979999989</v>
      </c>
      <c r="BE4" s="137">
        <f t="shared" ca="1" si="2"/>
        <v>27.847909913999999</v>
      </c>
      <c r="BF4" s="137">
        <f t="shared" ca="1" si="2"/>
        <v>7.8658078289999995</v>
      </c>
      <c r="BG4" s="137">
        <f t="shared" ca="1" si="2"/>
        <v>0.69758183880000002</v>
      </c>
      <c r="BH4" s="137">
        <f t="shared" ca="1" si="2"/>
        <v>3.0750708878999999E-2</v>
      </c>
      <c r="BI4" s="137">
        <f t="shared" ca="1" si="2"/>
        <v>19.168332446999997</v>
      </c>
      <c r="BJ4" s="137">
        <f t="shared" ca="1" si="2"/>
        <v>4.0286526719999998</v>
      </c>
      <c r="BK4" s="137">
        <f t="shared" ca="1" si="2"/>
        <v>0.64980226079999992</v>
      </c>
      <c r="BL4" s="137">
        <f t="shared" ca="1" si="2"/>
        <v>1.0809181514999999E-2</v>
      </c>
      <c r="BM4" s="137">
        <f t="shared" ca="1" si="2"/>
        <v>0.78214410779999988</v>
      </c>
    </row>
    <row r="5" spans="1:65" x14ac:dyDescent="0.25">
      <c r="A5" s="149">
        <v>176</v>
      </c>
      <c r="B5" s="149">
        <v>15</v>
      </c>
      <c r="C5" s="61">
        <v>50.850346000000002</v>
      </c>
      <c r="D5" s="61">
        <v>4.3517210000000004</v>
      </c>
      <c r="E5" s="61" t="s">
        <v>464</v>
      </c>
      <c r="F5" s="149">
        <v>12</v>
      </c>
      <c r="G5" s="61" t="s">
        <v>679</v>
      </c>
      <c r="H5" s="61" t="s">
        <v>680</v>
      </c>
      <c r="I5" s="61">
        <v>52.310538999999999</v>
      </c>
      <c r="J5" s="61">
        <v>4.7682739999999999</v>
      </c>
      <c r="K5" s="61">
        <v>165.15017539999999</v>
      </c>
      <c r="L5" s="61">
        <v>197.702</v>
      </c>
      <c r="M5" s="61" t="s">
        <v>589</v>
      </c>
      <c r="N5" s="149">
        <v>14</v>
      </c>
      <c r="O5" s="149">
        <v>15</v>
      </c>
      <c r="P5" s="61" t="s">
        <v>567</v>
      </c>
      <c r="Q5" s="61" t="s">
        <v>566</v>
      </c>
      <c r="R5" s="61">
        <v>50.037932599999998</v>
      </c>
      <c r="S5" s="61">
        <v>8.5621518000000005</v>
      </c>
      <c r="T5" s="61">
        <f>Transport_2_Hubs!T5</f>
        <v>389.27199999999999</v>
      </c>
      <c r="U5" s="61" t="s">
        <v>589</v>
      </c>
      <c r="V5" s="61" t="s">
        <v>589</v>
      </c>
      <c r="W5" s="61"/>
      <c r="Y5" s="137">
        <f>Summary_LCIA!H$34</f>
        <v>7.4462E-2</v>
      </c>
      <c r="Z5" s="137">
        <f>Summary_LCIA!I$34</f>
        <v>7.4462E-2</v>
      </c>
      <c r="AA5" s="137">
        <f ca="1">Summary_LCIA!J$34</f>
        <v>0.87446999999999997</v>
      </c>
      <c r="AB5" s="137">
        <f ca="1">Summary_LCIA!K$34</f>
        <v>4.2768999999999999E-4</v>
      </c>
      <c r="AC5" s="137">
        <f ca="1">Summary_LCIA!L$34</f>
        <v>0.18787999999999999</v>
      </c>
      <c r="AD5" s="137">
        <f ca="1">Summary_LCIA!M$34</f>
        <v>2.0060000000000001E-5</v>
      </c>
      <c r="AE5" s="137">
        <f ca="1">Summary_LCIA!N$34</f>
        <v>2.8479999999999998E-5</v>
      </c>
      <c r="AF5" s="137">
        <f ca="1">Summary_LCIA!O$34</f>
        <v>2.4888E-2</v>
      </c>
      <c r="AG5" s="137">
        <f ca="1">Summary_LCIA!P$34</f>
        <v>7.2913000000000006E-2</v>
      </c>
      <c r="AH5" s="137">
        <f ca="1">Summary_LCIA!Q$34</f>
        <v>1.23508923</v>
      </c>
      <c r="AI5" s="137">
        <f ca="1">Summary_LCIA!R$34</f>
        <v>2.5566E-3</v>
      </c>
      <c r="AJ5" s="137">
        <f ca="1">Summary_LCIA!S$34</f>
        <v>7.3438000000000003E-2</v>
      </c>
      <c r="AK5" s="137">
        <f ca="1">Summary_LCIA!T$34</f>
        <v>2.0743000000000001E-2</v>
      </c>
      <c r="AL5" s="137">
        <f ca="1">Summary_LCIA!U$34</f>
        <v>1.8396E-3</v>
      </c>
      <c r="AM5" s="137">
        <f ca="1">Summary_LCIA!V$34</f>
        <v>8.1093000000000004E-5</v>
      </c>
      <c r="AN5" s="137">
        <f ca="1">Summary_LCIA!W$34</f>
        <v>5.0548999999999997E-2</v>
      </c>
      <c r="AO5" s="137">
        <f ca="1">Summary_LCIA!X$34</f>
        <v>1.0624E-2</v>
      </c>
      <c r="AP5" s="137">
        <f ca="1">Summary_LCIA!Y$34</f>
        <v>1.7136E-3</v>
      </c>
      <c r="AQ5" s="137">
        <f ca="1">Summary_LCIA!Z$34</f>
        <v>2.8504999999999999E-5</v>
      </c>
      <c r="AR5" s="137">
        <f ca="1">Summary_LCIA!AA$34</f>
        <v>2.0625999999999999E-3</v>
      </c>
      <c r="AT5" s="137">
        <f t="shared" si="3"/>
        <v>28.985971664000001</v>
      </c>
      <c r="AU5" s="137">
        <f t="shared" si="2"/>
        <v>28.985971664000001</v>
      </c>
      <c r="AV5" s="137">
        <f t="shared" ca="1" si="2"/>
        <v>340.40668583999997</v>
      </c>
      <c r="AW5" s="137">
        <f t="shared" ca="1" si="2"/>
        <v>0.16648774168</v>
      </c>
      <c r="AX5" s="137">
        <f t="shared" ca="1" si="2"/>
        <v>73.136423359999995</v>
      </c>
      <c r="AY5" s="137">
        <f t="shared" ca="1" si="2"/>
        <v>7.8087963200000002E-3</v>
      </c>
      <c r="AZ5" s="137">
        <f t="shared" ca="1" si="2"/>
        <v>1.1086466559999999E-2</v>
      </c>
      <c r="BA5" s="137">
        <f t="shared" ca="1" si="2"/>
        <v>9.6882015359999993</v>
      </c>
      <c r="BB5" s="137">
        <f t="shared" ca="1" si="2"/>
        <v>28.382989336000001</v>
      </c>
      <c r="BC5" s="137">
        <f t="shared" ca="1" si="2"/>
        <v>480.78565474056001</v>
      </c>
      <c r="BD5" s="137">
        <f t="shared" ca="1" si="2"/>
        <v>0.99521279519999994</v>
      </c>
      <c r="BE5" s="137">
        <f t="shared" ca="1" si="2"/>
        <v>28.587357136000001</v>
      </c>
      <c r="BF5" s="137">
        <f t="shared" ca="1" si="2"/>
        <v>8.0746690960000009</v>
      </c>
      <c r="BG5" s="137">
        <f t="shared" ca="1" si="2"/>
        <v>0.71610477120000005</v>
      </c>
      <c r="BH5" s="137">
        <f t="shared" ca="1" si="2"/>
        <v>3.1567234296000002E-2</v>
      </c>
      <c r="BI5" s="137">
        <f t="shared" ca="1" si="2"/>
        <v>19.677310327999997</v>
      </c>
      <c r="BJ5" s="137">
        <f t="shared" ca="1" si="2"/>
        <v>4.1356257279999999</v>
      </c>
      <c r="BK5" s="137">
        <f t="shared" ca="1" si="2"/>
        <v>0.66705649919999999</v>
      </c>
      <c r="BL5" s="137">
        <f t="shared" ca="1" si="2"/>
        <v>1.109619836E-2</v>
      </c>
      <c r="BM5" s="137">
        <f t="shared" ca="1" si="2"/>
        <v>0.8029124272</v>
      </c>
    </row>
    <row r="6" spans="1:65" x14ac:dyDescent="0.25">
      <c r="A6" s="149">
        <v>244</v>
      </c>
      <c r="B6" s="149">
        <v>15</v>
      </c>
      <c r="C6" s="61">
        <v>46.519652999999998</v>
      </c>
      <c r="D6" s="61">
        <v>6.6322729999999996</v>
      </c>
      <c r="E6" s="61" t="s">
        <v>271</v>
      </c>
      <c r="F6" s="149">
        <v>15</v>
      </c>
      <c r="G6" s="61" t="s">
        <v>567</v>
      </c>
      <c r="H6" s="61" t="s">
        <v>707</v>
      </c>
      <c r="I6" s="61">
        <v>50.037933000000002</v>
      </c>
      <c r="J6" s="61">
        <v>8.5621519999999993</v>
      </c>
      <c r="K6" s="61">
        <v>418.30834149999998</v>
      </c>
      <c r="L6" s="61">
        <v>541.53899999999999</v>
      </c>
      <c r="M6" s="61" t="s">
        <v>589</v>
      </c>
      <c r="N6" s="149">
        <v>14</v>
      </c>
      <c r="O6" s="149">
        <v>15</v>
      </c>
      <c r="P6" s="61" t="s">
        <v>567</v>
      </c>
      <c r="Q6" s="61" t="s">
        <v>566</v>
      </c>
      <c r="R6" s="61">
        <v>50.037932599999998</v>
      </c>
      <c r="S6" s="61">
        <v>8.5621518000000005</v>
      </c>
      <c r="T6" s="61">
        <f>Transport_2_Hubs!T6</f>
        <v>538.97799999999995</v>
      </c>
      <c r="U6" s="61" t="s">
        <v>589</v>
      </c>
      <c r="V6" s="61" t="s">
        <v>589</v>
      </c>
      <c r="W6" s="61"/>
      <c r="Y6" s="137">
        <f>Summary_LCIA!H$34</f>
        <v>7.4462E-2</v>
      </c>
      <c r="Z6" s="137">
        <f>Summary_LCIA!I$34</f>
        <v>7.4462E-2</v>
      </c>
      <c r="AA6" s="137">
        <f ca="1">Summary_LCIA!J$34</f>
        <v>0.87446999999999997</v>
      </c>
      <c r="AB6" s="137">
        <f ca="1">Summary_LCIA!K$34</f>
        <v>4.2768999999999999E-4</v>
      </c>
      <c r="AC6" s="137">
        <f ca="1">Summary_LCIA!L$34</f>
        <v>0.18787999999999999</v>
      </c>
      <c r="AD6" s="137">
        <f ca="1">Summary_LCIA!M$34</f>
        <v>2.0060000000000001E-5</v>
      </c>
      <c r="AE6" s="137">
        <f ca="1">Summary_LCIA!N$34</f>
        <v>2.8479999999999998E-5</v>
      </c>
      <c r="AF6" s="137">
        <f ca="1">Summary_LCIA!O$34</f>
        <v>2.4888E-2</v>
      </c>
      <c r="AG6" s="137">
        <f ca="1">Summary_LCIA!P$34</f>
        <v>7.2913000000000006E-2</v>
      </c>
      <c r="AH6" s="137">
        <f ca="1">Summary_LCIA!Q$34</f>
        <v>1.23508923</v>
      </c>
      <c r="AI6" s="137">
        <f ca="1">Summary_LCIA!R$34</f>
        <v>2.5566E-3</v>
      </c>
      <c r="AJ6" s="137">
        <f ca="1">Summary_LCIA!S$34</f>
        <v>7.3438000000000003E-2</v>
      </c>
      <c r="AK6" s="137">
        <f ca="1">Summary_LCIA!T$34</f>
        <v>2.0743000000000001E-2</v>
      </c>
      <c r="AL6" s="137">
        <f ca="1">Summary_LCIA!U$34</f>
        <v>1.8396E-3</v>
      </c>
      <c r="AM6" s="137">
        <f ca="1">Summary_LCIA!V$34</f>
        <v>8.1093000000000004E-5</v>
      </c>
      <c r="AN6" s="137">
        <f ca="1">Summary_LCIA!W$34</f>
        <v>5.0548999999999997E-2</v>
      </c>
      <c r="AO6" s="137">
        <f ca="1">Summary_LCIA!X$34</f>
        <v>1.0624E-2</v>
      </c>
      <c r="AP6" s="137">
        <f ca="1">Summary_LCIA!Y$34</f>
        <v>1.7136E-3</v>
      </c>
      <c r="AQ6" s="137">
        <f ca="1">Summary_LCIA!Z$34</f>
        <v>2.8504999999999999E-5</v>
      </c>
      <c r="AR6" s="137">
        <f ca="1">Summary_LCIA!AA$34</f>
        <v>2.0625999999999999E-3</v>
      </c>
      <c r="AT6" s="137">
        <f t="shared" si="3"/>
        <v>40.133379835999996</v>
      </c>
      <c r="AU6" s="137">
        <f t="shared" si="2"/>
        <v>40.133379835999996</v>
      </c>
      <c r="AV6" s="137">
        <f t="shared" ca="1" si="2"/>
        <v>471.32009165999995</v>
      </c>
      <c r="AW6" s="137">
        <f t="shared" ca="1" si="2"/>
        <v>0.23051550081999997</v>
      </c>
      <c r="AX6" s="137">
        <f t="shared" ca="1" si="2"/>
        <v>101.26318663999999</v>
      </c>
      <c r="AY6" s="137">
        <f t="shared" ca="1" si="2"/>
        <v>1.0811898679999999E-2</v>
      </c>
      <c r="AZ6" s="137">
        <f t="shared" ca="1" si="2"/>
        <v>1.5350093439999997E-2</v>
      </c>
      <c r="BA6" s="137">
        <f t="shared" ca="1" si="2"/>
        <v>13.414084463999998</v>
      </c>
      <c r="BB6" s="137">
        <f t="shared" ca="1" si="2"/>
        <v>39.298502913999997</v>
      </c>
      <c r="BC6" s="137">
        <f t="shared" ca="1" si="2"/>
        <v>665.68592300694002</v>
      </c>
      <c r="BD6" s="137">
        <f t="shared" ca="1" si="2"/>
        <v>1.3779511547999999</v>
      </c>
      <c r="BE6" s="137">
        <f t="shared" ca="1" si="2"/>
        <v>39.581466364000001</v>
      </c>
      <c r="BF6" s="137">
        <f t="shared" ca="1" si="2"/>
        <v>11.180020654</v>
      </c>
      <c r="BG6" s="137">
        <f t="shared" ca="1" si="2"/>
        <v>0.99150392879999993</v>
      </c>
      <c r="BH6" s="137">
        <f t="shared" ca="1" si="2"/>
        <v>4.3707342954E-2</v>
      </c>
      <c r="BI6" s="137">
        <f t="shared" ca="1" si="2"/>
        <v>27.244798921999998</v>
      </c>
      <c r="BJ6" s="137">
        <f t="shared" ca="1" si="2"/>
        <v>5.7261022719999994</v>
      </c>
      <c r="BK6" s="137">
        <f t="shared" ca="1" si="2"/>
        <v>0.92359270079999989</v>
      </c>
      <c r="BL6" s="137">
        <f t="shared" ca="1" si="2"/>
        <v>1.5363567889999999E-2</v>
      </c>
      <c r="BM6" s="137">
        <f t="shared" ca="1" si="2"/>
        <v>1.1116960227999999</v>
      </c>
    </row>
    <row r="7" spans="1:65" x14ac:dyDescent="0.25">
      <c r="A7" s="149">
        <v>245</v>
      </c>
      <c r="B7" s="149">
        <v>15</v>
      </c>
      <c r="C7" s="61">
        <v>46.519652999999998</v>
      </c>
      <c r="D7" s="61">
        <v>6.6322729999999996</v>
      </c>
      <c r="E7" s="61" t="s">
        <v>271</v>
      </c>
      <c r="F7" s="149">
        <v>15</v>
      </c>
      <c r="G7" s="61" t="s">
        <v>567</v>
      </c>
      <c r="H7" s="61" t="s">
        <v>707</v>
      </c>
      <c r="I7" s="61">
        <v>50.037933000000002</v>
      </c>
      <c r="J7" s="61">
        <v>8.5621519999999993</v>
      </c>
      <c r="K7" s="61">
        <v>418.30834149999998</v>
      </c>
      <c r="L7" s="61">
        <v>541.53899999999999</v>
      </c>
      <c r="M7" s="61" t="s">
        <v>589</v>
      </c>
      <c r="N7" s="149">
        <v>14</v>
      </c>
      <c r="O7" s="149">
        <v>15</v>
      </c>
      <c r="P7" s="61" t="s">
        <v>567</v>
      </c>
      <c r="Q7" s="61" t="s">
        <v>566</v>
      </c>
      <c r="R7" s="61">
        <v>50.037932599999998</v>
      </c>
      <c r="S7" s="61">
        <v>8.5621518000000005</v>
      </c>
      <c r="T7" s="61">
        <f>Transport_2_Hubs!T7</f>
        <v>538.97799999999995</v>
      </c>
      <c r="U7" s="61" t="s">
        <v>589</v>
      </c>
      <c r="V7" s="61" t="s">
        <v>589</v>
      </c>
      <c r="W7" s="61"/>
      <c r="Y7" s="137">
        <f>Summary_LCIA!H$34</f>
        <v>7.4462E-2</v>
      </c>
      <c r="Z7" s="137">
        <f>Summary_LCIA!I$34</f>
        <v>7.4462E-2</v>
      </c>
      <c r="AA7" s="137">
        <f ca="1">Summary_LCIA!J$34</f>
        <v>0.87446999999999997</v>
      </c>
      <c r="AB7" s="137">
        <f ca="1">Summary_LCIA!K$34</f>
        <v>4.2768999999999999E-4</v>
      </c>
      <c r="AC7" s="137">
        <f ca="1">Summary_LCIA!L$34</f>
        <v>0.18787999999999999</v>
      </c>
      <c r="AD7" s="137">
        <f ca="1">Summary_LCIA!M$34</f>
        <v>2.0060000000000001E-5</v>
      </c>
      <c r="AE7" s="137">
        <f ca="1">Summary_LCIA!N$34</f>
        <v>2.8479999999999998E-5</v>
      </c>
      <c r="AF7" s="137">
        <f ca="1">Summary_LCIA!O$34</f>
        <v>2.4888E-2</v>
      </c>
      <c r="AG7" s="137">
        <f ca="1">Summary_LCIA!P$34</f>
        <v>7.2913000000000006E-2</v>
      </c>
      <c r="AH7" s="137">
        <f ca="1">Summary_LCIA!Q$34</f>
        <v>1.23508923</v>
      </c>
      <c r="AI7" s="137">
        <f ca="1">Summary_LCIA!R$34</f>
        <v>2.5566E-3</v>
      </c>
      <c r="AJ7" s="137">
        <f ca="1">Summary_LCIA!S$34</f>
        <v>7.3438000000000003E-2</v>
      </c>
      <c r="AK7" s="137">
        <f ca="1">Summary_LCIA!T$34</f>
        <v>2.0743000000000001E-2</v>
      </c>
      <c r="AL7" s="137">
        <f ca="1">Summary_LCIA!U$34</f>
        <v>1.8396E-3</v>
      </c>
      <c r="AM7" s="137">
        <f ca="1">Summary_LCIA!V$34</f>
        <v>8.1093000000000004E-5</v>
      </c>
      <c r="AN7" s="137">
        <f ca="1">Summary_LCIA!W$34</f>
        <v>5.0548999999999997E-2</v>
      </c>
      <c r="AO7" s="137">
        <f ca="1">Summary_LCIA!X$34</f>
        <v>1.0624E-2</v>
      </c>
      <c r="AP7" s="137">
        <f ca="1">Summary_LCIA!Y$34</f>
        <v>1.7136E-3</v>
      </c>
      <c r="AQ7" s="137">
        <f ca="1">Summary_LCIA!Z$34</f>
        <v>2.8504999999999999E-5</v>
      </c>
      <c r="AR7" s="137">
        <f ca="1">Summary_LCIA!AA$34</f>
        <v>2.0625999999999999E-3</v>
      </c>
      <c r="AT7" s="137">
        <f t="shared" si="3"/>
        <v>40.133379835999996</v>
      </c>
      <c r="AU7" s="137">
        <f t="shared" si="2"/>
        <v>40.133379835999996</v>
      </c>
      <c r="AV7" s="137">
        <f t="shared" ca="1" si="2"/>
        <v>471.32009165999995</v>
      </c>
      <c r="AW7" s="137">
        <f t="shared" ca="1" si="2"/>
        <v>0.23051550081999997</v>
      </c>
      <c r="AX7" s="137">
        <f t="shared" ca="1" si="2"/>
        <v>101.26318663999999</v>
      </c>
      <c r="AY7" s="137">
        <f t="shared" ca="1" si="2"/>
        <v>1.0811898679999999E-2</v>
      </c>
      <c r="AZ7" s="137">
        <f t="shared" ca="1" si="2"/>
        <v>1.5350093439999997E-2</v>
      </c>
      <c r="BA7" s="137">
        <f t="shared" ca="1" si="2"/>
        <v>13.414084463999998</v>
      </c>
      <c r="BB7" s="137">
        <f t="shared" ca="1" si="2"/>
        <v>39.298502913999997</v>
      </c>
      <c r="BC7" s="137">
        <f t="shared" ca="1" si="2"/>
        <v>665.68592300694002</v>
      </c>
      <c r="BD7" s="137">
        <f t="shared" ca="1" si="2"/>
        <v>1.3779511547999999</v>
      </c>
      <c r="BE7" s="137">
        <f t="shared" ca="1" si="2"/>
        <v>39.581466364000001</v>
      </c>
      <c r="BF7" s="137">
        <f t="shared" ca="1" si="2"/>
        <v>11.180020654</v>
      </c>
      <c r="BG7" s="137">
        <f t="shared" ca="1" si="2"/>
        <v>0.99150392879999993</v>
      </c>
      <c r="BH7" s="137">
        <f t="shared" ca="1" si="2"/>
        <v>4.3707342954E-2</v>
      </c>
      <c r="BI7" s="137">
        <f t="shared" ca="1" si="2"/>
        <v>27.244798921999998</v>
      </c>
      <c r="BJ7" s="137">
        <f t="shared" ca="1" si="2"/>
        <v>5.7261022719999994</v>
      </c>
      <c r="BK7" s="137">
        <f t="shared" ca="1" si="2"/>
        <v>0.92359270079999989</v>
      </c>
      <c r="BL7" s="137">
        <f t="shared" ca="1" si="2"/>
        <v>1.5363567889999999E-2</v>
      </c>
      <c r="BM7" s="137">
        <f t="shared" ca="1" si="2"/>
        <v>1.1116960227999999</v>
      </c>
    </row>
    <row r="8" spans="1:65" x14ac:dyDescent="0.25">
      <c r="A8" s="149">
        <v>246</v>
      </c>
      <c r="B8" s="149">
        <v>15</v>
      </c>
      <c r="C8" s="61">
        <v>46.519652999999998</v>
      </c>
      <c r="D8" s="61">
        <v>6.6322729999999996</v>
      </c>
      <c r="E8" s="61" t="s">
        <v>271</v>
      </c>
      <c r="F8" s="149">
        <v>15</v>
      </c>
      <c r="G8" s="61" t="s">
        <v>567</v>
      </c>
      <c r="H8" s="61" t="s">
        <v>707</v>
      </c>
      <c r="I8" s="61">
        <v>50.037933000000002</v>
      </c>
      <c r="J8" s="61">
        <v>8.5621519999999993</v>
      </c>
      <c r="K8" s="61">
        <v>418.30834149999998</v>
      </c>
      <c r="L8" s="61">
        <v>541.53899999999999</v>
      </c>
      <c r="M8" s="61" t="s">
        <v>589</v>
      </c>
      <c r="N8" s="149">
        <v>14</v>
      </c>
      <c r="O8" s="149">
        <v>15</v>
      </c>
      <c r="P8" s="61" t="s">
        <v>567</v>
      </c>
      <c r="Q8" s="61" t="s">
        <v>566</v>
      </c>
      <c r="R8" s="61">
        <v>50.037932599999998</v>
      </c>
      <c r="S8" s="61">
        <v>8.5621518000000005</v>
      </c>
      <c r="T8" s="61">
        <f>Transport_2_Hubs!T8</f>
        <v>538.97799999999995</v>
      </c>
      <c r="U8" s="61" t="s">
        <v>589</v>
      </c>
      <c r="V8" s="61" t="s">
        <v>589</v>
      </c>
      <c r="W8" s="61"/>
      <c r="Y8" s="137">
        <f>Summary_LCIA!H$34</f>
        <v>7.4462E-2</v>
      </c>
      <c r="Z8" s="137">
        <f>Summary_LCIA!I$34</f>
        <v>7.4462E-2</v>
      </c>
      <c r="AA8" s="137">
        <f ca="1">Summary_LCIA!J$34</f>
        <v>0.87446999999999997</v>
      </c>
      <c r="AB8" s="137">
        <f ca="1">Summary_LCIA!K$34</f>
        <v>4.2768999999999999E-4</v>
      </c>
      <c r="AC8" s="137">
        <f ca="1">Summary_LCIA!L$34</f>
        <v>0.18787999999999999</v>
      </c>
      <c r="AD8" s="137">
        <f ca="1">Summary_LCIA!M$34</f>
        <v>2.0060000000000001E-5</v>
      </c>
      <c r="AE8" s="137">
        <f ca="1">Summary_LCIA!N$34</f>
        <v>2.8479999999999998E-5</v>
      </c>
      <c r="AF8" s="137">
        <f ca="1">Summary_LCIA!O$34</f>
        <v>2.4888E-2</v>
      </c>
      <c r="AG8" s="137">
        <f ca="1">Summary_LCIA!P$34</f>
        <v>7.2913000000000006E-2</v>
      </c>
      <c r="AH8" s="137">
        <f ca="1">Summary_LCIA!Q$34</f>
        <v>1.23508923</v>
      </c>
      <c r="AI8" s="137">
        <f ca="1">Summary_LCIA!R$34</f>
        <v>2.5566E-3</v>
      </c>
      <c r="AJ8" s="137">
        <f ca="1">Summary_LCIA!S$34</f>
        <v>7.3438000000000003E-2</v>
      </c>
      <c r="AK8" s="137">
        <f ca="1">Summary_LCIA!T$34</f>
        <v>2.0743000000000001E-2</v>
      </c>
      <c r="AL8" s="137">
        <f ca="1">Summary_LCIA!U$34</f>
        <v>1.8396E-3</v>
      </c>
      <c r="AM8" s="137">
        <f ca="1">Summary_LCIA!V$34</f>
        <v>8.1093000000000004E-5</v>
      </c>
      <c r="AN8" s="137">
        <f ca="1">Summary_LCIA!W$34</f>
        <v>5.0548999999999997E-2</v>
      </c>
      <c r="AO8" s="137">
        <f ca="1">Summary_LCIA!X$34</f>
        <v>1.0624E-2</v>
      </c>
      <c r="AP8" s="137">
        <f ca="1">Summary_LCIA!Y$34</f>
        <v>1.7136E-3</v>
      </c>
      <c r="AQ8" s="137">
        <f ca="1">Summary_LCIA!Z$34</f>
        <v>2.8504999999999999E-5</v>
      </c>
      <c r="AR8" s="137">
        <f ca="1">Summary_LCIA!AA$34</f>
        <v>2.0625999999999999E-3</v>
      </c>
      <c r="AT8" s="137">
        <f t="shared" si="3"/>
        <v>40.133379835999996</v>
      </c>
      <c r="AU8" s="137">
        <f t="shared" si="2"/>
        <v>40.133379835999996</v>
      </c>
      <c r="AV8" s="137">
        <f t="shared" ca="1" si="2"/>
        <v>471.32009165999995</v>
      </c>
      <c r="AW8" s="137">
        <f t="shared" ca="1" si="2"/>
        <v>0.23051550081999997</v>
      </c>
      <c r="AX8" s="137">
        <f t="shared" ca="1" si="2"/>
        <v>101.26318663999999</v>
      </c>
      <c r="AY8" s="137">
        <f t="shared" ca="1" si="2"/>
        <v>1.0811898679999999E-2</v>
      </c>
      <c r="AZ8" s="137">
        <f t="shared" ca="1" si="2"/>
        <v>1.5350093439999997E-2</v>
      </c>
      <c r="BA8" s="137">
        <f t="shared" ca="1" si="2"/>
        <v>13.414084463999998</v>
      </c>
      <c r="BB8" s="137">
        <f t="shared" ca="1" si="2"/>
        <v>39.298502913999997</v>
      </c>
      <c r="BC8" s="137">
        <f t="shared" ca="1" si="2"/>
        <v>665.68592300694002</v>
      </c>
      <c r="BD8" s="137">
        <f t="shared" ca="1" si="2"/>
        <v>1.3779511547999999</v>
      </c>
      <c r="BE8" s="137">
        <f t="shared" ca="1" si="2"/>
        <v>39.581466364000001</v>
      </c>
      <c r="BF8" s="137">
        <f t="shared" ca="1" si="2"/>
        <v>11.180020654</v>
      </c>
      <c r="BG8" s="137">
        <f t="shared" ca="1" si="2"/>
        <v>0.99150392879999993</v>
      </c>
      <c r="BH8" s="137">
        <f t="shared" ca="1" si="2"/>
        <v>4.3707342954E-2</v>
      </c>
      <c r="BI8" s="137">
        <f t="shared" ca="1" si="2"/>
        <v>27.244798921999998</v>
      </c>
      <c r="BJ8" s="137">
        <f t="shared" ca="1" si="2"/>
        <v>5.7261022719999994</v>
      </c>
      <c r="BK8" s="137">
        <f t="shared" ca="1" si="2"/>
        <v>0.92359270079999989</v>
      </c>
      <c r="BL8" s="137">
        <f t="shared" ca="1" si="2"/>
        <v>1.5363567889999999E-2</v>
      </c>
      <c r="BM8" s="137">
        <f t="shared" ca="1" si="2"/>
        <v>1.1116960227999999</v>
      </c>
    </row>
    <row r="9" spans="1:65" x14ac:dyDescent="0.25">
      <c r="A9" s="149">
        <v>133</v>
      </c>
      <c r="B9" s="149">
        <v>15</v>
      </c>
      <c r="C9" s="61">
        <v>51.219448</v>
      </c>
      <c r="D9" s="61">
        <v>4.4024640000000002</v>
      </c>
      <c r="E9" s="61" t="s">
        <v>464</v>
      </c>
      <c r="F9" s="149">
        <v>12</v>
      </c>
      <c r="G9" s="61" t="s">
        <v>679</v>
      </c>
      <c r="H9" s="61" t="s">
        <v>680</v>
      </c>
      <c r="I9" s="61">
        <v>52.310538999999999</v>
      </c>
      <c r="J9" s="61">
        <v>4.7682739999999999</v>
      </c>
      <c r="K9" s="61">
        <v>124.20814900000001</v>
      </c>
      <c r="L9" s="61">
        <v>149.38800000000001</v>
      </c>
      <c r="M9" s="61" t="s">
        <v>589</v>
      </c>
      <c r="N9" s="149">
        <v>14</v>
      </c>
      <c r="O9" s="149">
        <v>15</v>
      </c>
      <c r="P9" s="61" t="s">
        <v>567</v>
      </c>
      <c r="Q9" s="61" t="s">
        <v>566</v>
      </c>
      <c r="R9" s="61">
        <v>50.037932599999998</v>
      </c>
      <c r="S9" s="61">
        <v>8.5621518000000005</v>
      </c>
      <c r="T9" s="61">
        <f>Transport_2_Hubs!T9</f>
        <v>443.28300000000002</v>
      </c>
      <c r="U9" s="61" t="s">
        <v>589</v>
      </c>
      <c r="V9" s="61" t="s">
        <v>589</v>
      </c>
      <c r="W9" s="61"/>
      <c r="Y9" s="137">
        <f>Summary_LCIA!H$34</f>
        <v>7.4462E-2</v>
      </c>
      <c r="Z9" s="137">
        <f>Summary_LCIA!I$34</f>
        <v>7.4462E-2</v>
      </c>
      <c r="AA9" s="137">
        <f ca="1">Summary_LCIA!J$34</f>
        <v>0.87446999999999997</v>
      </c>
      <c r="AB9" s="137">
        <f ca="1">Summary_LCIA!K$34</f>
        <v>4.2768999999999999E-4</v>
      </c>
      <c r="AC9" s="137">
        <f ca="1">Summary_LCIA!L$34</f>
        <v>0.18787999999999999</v>
      </c>
      <c r="AD9" s="137">
        <f ca="1">Summary_LCIA!M$34</f>
        <v>2.0060000000000001E-5</v>
      </c>
      <c r="AE9" s="137">
        <f ca="1">Summary_LCIA!N$34</f>
        <v>2.8479999999999998E-5</v>
      </c>
      <c r="AF9" s="137">
        <f ca="1">Summary_LCIA!O$34</f>
        <v>2.4888E-2</v>
      </c>
      <c r="AG9" s="137">
        <f ca="1">Summary_LCIA!P$34</f>
        <v>7.2913000000000006E-2</v>
      </c>
      <c r="AH9" s="137">
        <f ca="1">Summary_LCIA!Q$34</f>
        <v>1.23508923</v>
      </c>
      <c r="AI9" s="137">
        <f ca="1">Summary_LCIA!R$34</f>
        <v>2.5566E-3</v>
      </c>
      <c r="AJ9" s="137">
        <f ca="1">Summary_LCIA!S$34</f>
        <v>7.3438000000000003E-2</v>
      </c>
      <c r="AK9" s="137">
        <f ca="1">Summary_LCIA!T$34</f>
        <v>2.0743000000000001E-2</v>
      </c>
      <c r="AL9" s="137">
        <f ca="1">Summary_LCIA!U$34</f>
        <v>1.8396E-3</v>
      </c>
      <c r="AM9" s="137">
        <f ca="1">Summary_LCIA!V$34</f>
        <v>8.1093000000000004E-5</v>
      </c>
      <c r="AN9" s="137">
        <f ca="1">Summary_LCIA!W$34</f>
        <v>5.0548999999999997E-2</v>
      </c>
      <c r="AO9" s="137">
        <f ca="1">Summary_LCIA!X$34</f>
        <v>1.0624E-2</v>
      </c>
      <c r="AP9" s="137">
        <f ca="1">Summary_LCIA!Y$34</f>
        <v>1.7136E-3</v>
      </c>
      <c r="AQ9" s="137">
        <f ca="1">Summary_LCIA!Z$34</f>
        <v>2.8504999999999999E-5</v>
      </c>
      <c r="AR9" s="137">
        <f ca="1">Summary_LCIA!AA$34</f>
        <v>2.0625999999999999E-3</v>
      </c>
      <c r="AT9" s="137">
        <f t="shared" si="3"/>
        <v>33.007738746000001</v>
      </c>
      <c r="AU9" s="137">
        <f t="shared" si="2"/>
        <v>33.007738746000001</v>
      </c>
      <c r="AV9" s="137">
        <f t="shared" ca="1" si="2"/>
        <v>387.63768500999998</v>
      </c>
      <c r="AW9" s="137">
        <f t="shared" ca="1" si="2"/>
        <v>0.18958770627000002</v>
      </c>
      <c r="AX9" s="137">
        <f t="shared" ca="1" si="2"/>
        <v>83.284010039999998</v>
      </c>
      <c r="AY9" s="137">
        <f t="shared" ca="1" si="2"/>
        <v>8.8922569800000007E-3</v>
      </c>
      <c r="AZ9" s="137">
        <f t="shared" ca="1" si="2"/>
        <v>1.262469984E-2</v>
      </c>
      <c r="BA9" s="137">
        <f t="shared" ca="1" si="2"/>
        <v>11.032427304</v>
      </c>
      <c r="BB9" s="137">
        <f t="shared" ca="1" si="2"/>
        <v>32.321093379000004</v>
      </c>
      <c r="BC9" s="137">
        <f t="shared" ca="1" si="2"/>
        <v>547.49405914209001</v>
      </c>
      <c r="BD9" s="137">
        <f t="shared" ca="1" si="2"/>
        <v>1.1332973178000001</v>
      </c>
      <c r="BE9" s="137">
        <f t="shared" ca="1" si="2"/>
        <v>32.553816954000006</v>
      </c>
      <c r="BF9" s="137">
        <f t="shared" ca="1" si="2"/>
        <v>9.1950192690000012</v>
      </c>
      <c r="BG9" s="137">
        <f t="shared" ca="1" si="2"/>
        <v>0.81546340680000007</v>
      </c>
      <c r="BH9" s="137">
        <f t="shared" ca="1" si="2"/>
        <v>3.5947148319000005E-2</v>
      </c>
      <c r="BI9" s="137">
        <f t="shared" ca="1" si="2"/>
        <v>22.407512366999999</v>
      </c>
      <c r="BJ9" s="137">
        <f t="shared" ca="1" si="2"/>
        <v>4.7094385919999997</v>
      </c>
      <c r="BK9" s="137">
        <f t="shared" ca="1" si="2"/>
        <v>0.75960974879999998</v>
      </c>
      <c r="BL9" s="137">
        <f t="shared" ca="1" si="2"/>
        <v>1.2635781915E-2</v>
      </c>
      <c r="BM9" s="137">
        <f t="shared" ca="1" si="2"/>
        <v>0.91431551580000003</v>
      </c>
    </row>
    <row r="10" spans="1:65" x14ac:dyDescent="0.25">
      <c r="A10" s="149">
        <v>365</v>
      </c>
      <c r="B10" s="149">
        <v>15</v>
      </c>
      <c r="C10" s="61">
        <v>52.090736999999997</v>
      </c>
      <c r="D10" s="61">
        <v>5.1214199999999996</v>
      </c>
      <c r="E10" s="61" t="s">
        <v>285</v>
      </c>
      <c r="F10" s="149">
        <v>12</v>
      </c>
      <c r="G10" s="61" t="s">
        <v>679</v>
      </c>
      <c r="H10" s="61" t="s">
        <v>680</v>
      </c>
      <c r="I10" s="61">
        <v>52.310538999999999</v>
      </c>
      <c r="J10" s="61">
        <v>4.7682739999999999</v>
      </c>
      <c r="K10" s="61">
        <v>37.628635809999999</v>
      </c>
      <c r="L10" s="61">
        <v>45.201000000000001</v>
      </c>
      <c r="M10" s="61" t="s">
        <v>589</v>
      </c>
      <c r="N10" s="149">
        <v>14</v>
      </c>
      <c r="O10" s="149">
        <v>15</v>
      </c>
      <c r="P10" s="61" t="s">
        <v>567</v>
      </c>
      <c r="Q10" s="61" t="s">
        <v>566</v>
      </c>
      <c r="R10" s="61">
        <v>50.037932599999998</v>
      </c>
      <c r="S10" s="61">
        <v>8.5621518000000005</v>
      </c>
      <c r="T10" s="61">
        <f>Transport_2_Hubs!T10</f>
        <v>388.09</v>
      </c>
      <c r="U10" s="61" t="s">
        <v>589</v>
      </c>
      <c r="V10" s="61" t="s">
        <v>589</v>
      </c>
      <c r="W10" s="61"/>
      <c r="Y10" s="137">
        <f>Summary_LCIA!H$34</f>
        <v>7.4462E-2</v>
      </c>
      <c r="Z10" s="137">
        <f>Summary_LCIA!I$34</f>
        <v>7.4462E-2</v>
      </c>
      <c r="AA10" s="137">
        <f ca="1">Summary_LCIA!J$34</f>
        <v>0.87446999999999997</v>
      </c>
      <c r="AB10" s="137">
        <f ca="1">Summary_LCIA!K$34</f>
        <v>4.2768999999999999E-4</v>
      </c>
      <c r="AC10" s="137">
        <f ca="1">Summary_LCIA!L$34</f>
        <v>0.18787999999999999</v>
      </c>
      <c r="AD10" s="137">
        <f ca="1">Summary_LCIA!M$34</f>
        <v>2.0060000000000001E-5</v>
      </c>
      <c r="AE10" s="137">
        <f ca="1">Summary_LCIA!N$34</f>
        <v>2.8479999999999998E-5</v>
      </c>
      <c r="AF10" s="137">
        <f ca="1">Summary_LCIA!O$34</f>
        <v>2.4888E-2</v>
      </c>
      <c r="AG10" s="137">
        <f ca="1">Summary_LCIA!P$34</f>
        <v>7.2913000000000006E-2</v>
      </c>
      <c r="AH10" s="137">
        <f ca="1">Summary_LCIA!Q$34</f>
        <v>1.23508923</v>
      </c>
      <c r="AI10" s="137">
        <f ca="1">Summary_LCIA!R$34</f>
        <v>2.5566E-3</v>
      </c>
      <c r="AJ10" s="137">
        <f ca="1">Summary_LCIA!S$34</f>
        <v>7.3438000000000003E-2</v>
      </c>
      <c r="AK10" s="137">
        <f ca="1">Summary_LCIA!T$34</f>
        <v>2.0743000000000001E-2</v>
      </c>
      <c r="AL10" s="137">
        <f ca="1">Summary_LCIA!U$34</f>
        <v>1.8396E-3</v>
      </c>
      <c r="AM10" s="137">
        <f ca="1">Summary_LCIA!V$34</f>
        <v>8.1093000000000004E-5</v>
      </c>
      <c r="AN10" s="137">
        <f ca="1">Summary_LCIA!W$34</f>
        <v>5.0548999999999997E-2</v>
      </c>
      <c r="AO10" s="137">
        <f ca="1">Summary_LCIA!X$34</f>
        <v>1.0624E-2</v>
      </c>
      <c r="AP10" s="137">
        <f ca="1">Summary_LCIA!Y$34</f>
        <v>1.7136E-3</v>
      </c>
      <c r="AQ10" s="137">
        <f ca="1">Summary_LCIA!Z$34</f>
        <v>2.8504999999999999E-5</v>
      </c>
      <c r="AR10" s="137">
        <f ca="1">Summary_LCIA!AA$34</f>
        <v>2.0625999999999999E-3</v>
      </c>
      <c r="AT10" s="137">
        <f t="shared" si="3"/>
        <v>28.89795758</v>
      </c>
      <c r="AU10" s="137">
        <f t="shared" si="2"/>
        <v>28.89795758</v>
      </c>
      <c r="AV10" s="137">
        <f t="shared" ca="1" si="2"/>
        <v>339.37306229999996</v>
      </c>
      <c r="AW10" s="137">
        <f t="shared" ca="1" si="2"/>
        <v>0.1659822121</v>
      </c>
      <c r="AX10" s="137">
        <f t="shared" ca="1" si="2"/>
        <v>72.91434919999999</v>
      </c>
      <c r="AY10" s="137">
        <f t="shared" ca="1" si="2"/>
        <v>7.7850853999999999E-3</v>
      </c>
      <c r="AZ10" s="137">
        <f t="shared" ca="1" si="2"/>
        <v>1.1052803199999999E-2</v>
      </c>
      <c r="BA10" s="137">
        <f t="shared" ca="1" si="2"/>
        <v>9.6587839199999994</v>
      </c>
      <c r="BB10" s="137">
        <f t="shared" ca="1" si="2"/>
        <v>28.29680617</v>
      </c>
      <c r="BC10" s="137">
        <f t="shared" ca="1" si="2"/>
        <v>479.32577927069997</v>
      </c>
      <c r="BD10" s="137">
        <f t="shared" ca="1" si="2"/>
        <v>0.99219089399999993</v>
      </c>
      <c r="BE10" s="137">
        <f t="shared" ca="1" si="2"/>
        <v>28.500553419999999</v>
      </c>
      <c r="BF10" s="137">
        <f t="shared" ca="1" si="2"/>
        <v>8.0501508699999995</v>
      </c>
      <c r="BG10" s="137">
        <f t="shared" ca="1" si="2"/>
        <v>0.71393036399999998</v>
      </c>
      <c r="BH10" s="137">
        <f t="shared" ca="1" si="2"/>
        <v>3.1471382370000002E-2</v>
      </c>
      <c r="BI10" s="137">
        <f t="shared" ca="1" si="2"/>
        <v>19.617561409999997</v>
      </c>
      <c r="BJ10" s="137">
        <f t="shared" ca="1" si="2"/>
        <v>4.1230681599999999</v>
      </c>
      <c r="BK10" s="137">
        <f t="shared" ca="1" si="2"/>
        <v>0.66503102399999992</v>
      </c>
      <c r="BL10" s="137">
        <f t="shared" ca="1" si="2"/>
        <v>1.1062505449999999E-2</v>
      </c>
      <c r="BM10" s="137">
        <f t="shared" ca="1" si="2"/>
        <v>0.80047443399999996</v>
      </c>
    </row>
    <row r="11" spans="1:65" x14ac:dyDescent="0.25">
      <c r="A11" s="149">
        <v>223</v>
      </c>
      <c r="B11" s="149">
        <v>15</v>
      </c>
      <c r="C11" s="61">
        <v>46.204391000000001</v>
      </c>
      <c r="D11" s="61">
        <v>6.1431579999999997</v>
      </c>
      <c r="E11" s="61" t="s">
        <v>271</v>
      </c>
      <c r="F11" s="149">
        <v>9</v>
      </c>
      <c r="G11" s="61" t="s">
        <v>567</v>
      </c>
      <c r="H11" s="61" t="s">
        <v>566</v>
      </c>
      <c r="I11" s="61">
        <v>50.037933000000002</v>
      </c>
      <c r="J11" s="61">
        <v>8.5621519999999993</v>
      </c>
      <c r="K11" s="61">
        <v>440.90853509999999</v>
      </c>
      <c r="L11" s="61">
        <v>589.53800000000001</v>
      </c>
      <c r="M11" s="61" t="s">
        <v>589</v>
      </c>
      <c r="N11" s="149">
        <v>14</v>
      </c>
      <c r="O11" s="149">
        <v>15</v>
      </c>
      <c r="P11" s="61" t="s">
        <v>567</v>
      </c>
      <c r="Q11" s="61" t="s">
        <v>566</v>
      </c>
      <c r="R11" s="61">
        <v>50.037932599999998</v>
      </c>
      <c r="S11" s="61">
        <v>8.5621518000000005</v>
      </c>
      <c r="T11" s="61">
        <f>Transport_2_Hubs!T11</f>
        <v>596.91700000000003</v>
      </c>
      <c r="U11" s="61" t="s">
        <v>589</v>
      </c>
      <c r="V11" s="61" t="s">
        <v>589</v>
      </c>
      <c r="W11" s="61"/>
      <c r="Y11" s="137">
        <f>Summary_LCIA!H$34</f>
        <v>7.4462E-2</v>
      </c>
      <c r="Z11" s="137">
        <f>Summary_LCIA!I$34</f>
        <v>7.4462E-2</v>
      </c>
      <c r="AA11" s="137">
        <f ca="1">Summary_LCIA!J$34</f>
        <v>0.87446999999999997</v>
      </c>
      <c r="AB11" s="137">
        <f ca="1">Summary_LCIA!K$34</f>
        <v>4.2768999999999999E-4</v>
      </c>
      <c r="AC11" s="137">
        <f ca="1">Summary_LCIA!L$34</f>
        <v>0.18787999999999999</v>
      </c>
      <c r="AD11" s="137">
        <f ca="1">Summary_LCIA!M$34</f>
        <v>2.0060000000000001E-5</v>
      </c>
      <c r="AE11" s="137">
        <f ca="1">Summary_LCIA!N$34</f>
        <v>2.8479999999999998E-5</v>
      </c>
      <c r="AF11" s="137">
        <f ca="1">Summary_LCIA!O$34</f>
        <v>2.4888E-2</v>
      </c>
      <c r="AG11" s="137">
        <f ca="1">Summary_LCIA!P$34</f>
        <v>7.2913000000000006E-2</v>
      </c>
      <c r="AH11" s="137">
        <f ca="1">Summary_LCIA!Q$34</f>
        <v>1.23508923</v>
      </c>
      <c r="AI11" s="137">
        <f ca="1">Summary_LCIA!R$34</f>
        <v>2.5566E-3</v>
      </c>
      <c r="AJ11" s="137">
        <f ca="1">Summary_LCIA!S$34</f>
        <v>7.3438000000000003E-2</v>
      </c>
      <c r="AK11" s="137">
        <f ca="1">Summary_LCIA!T$34</f>
        <v>2.0743000000000001E-2</v>
      </c>
      <c r="AL11" s="137">
        <f ca="1">Summary_LCIA!U$34</f>
        <v>1.8396E-3</v>
      </c>
      <c r="AM11" s="137">
        <f ca="1">Summary_LCIA!V$34</f>
        <v>8.1093000000000004E-5</v>
      </c>
      <c r="AN11" s="137">
        <f ca="1">Summary_LCIA!W$34</f>
        <v>5.0548999999999997E-2</v>
      </c>
      <c r="AO11" s="137">
        <f ca="1">Summary_LCIA!X$34</f>
        <v>1.0624E-2</v>
      </c>
      <c r="AP11" s="137">
        <f ca="1">Summary_LCIA!Y$34</f>
        <v>1.7136E-3</v>
      </c>
      <c r="AQ11" s="137">
        <f ca="1">Summary_LCIA!Z$34</f>
        <v>2.8504999999999999E-5</v>
      </c>
      <c r="AR11" s="137">
        <f ca="1">Summary_LCIA!AA$34</f>
        <v>2.0625999999999999E-3</v>
      </c>
      <c r="AT11" s="137">
        <f t="shared" si="3"/>
        <v>44.447633654000001</v>
      </c>
      <c r="AU11" s="137">
        <f t="shared" si="2"/>
        <v>44.447633654000001</v>
      </c>
      <c r="AV11" s="137">
        <f t="shared" ca="1" si="2"/>
        <v>521.98600898999996</v>
      </c>
      <c r="AW11" s="137">
        <f t="shared" ca="1" si="2"/>
        <v>0.25529543173000002</v>
      </c>
      <c r="AX11" s="137">
        <f t="shared" ca="1" si="2"/>
        <v>112.14876596000001</v>
      </c>
      <c r="AY11" s="137">
        <f t="shared" ca="1" si="2"/>
        <v>1.1974155020000002E-2</v>
      </c>
      <c r="AZ11" s="137">
        <f t="shared" ca="1" si="2"/>
        <v>1.7000196160000001E-2</v>
      </c>
      <c r="BA11" s="137">
        <f t="shared" ca="1" si="2"/>
        <v>14.856070296</v>
      </c>
      <c r="BB11" s="137">
        <f t="shared" ca="1" si="2"/>
        <v>43.523009221000002</v>
      </c>
      <c r="BC11" s="137">
        <f t="shared" ca="1" si="2"/>
        <v>737.24575790391009</v>
      </c>
      <c r="BD11" s="137">
        <f t="shared" ca="1" si="2"/>
        <v>1.5260780022</v>
      </c>
      <c r="BE11" s="137">
        <f t="shared" ca="1" si="2"/>
        <v>43.836390646000005</v>
      </c>
      <c r="BF11" s="137">
        <f t="shared" ca="1" si="2"/>
        <v>12.381849331000002</v>
      </c>
      <c r="BG11" s="137">
        <f t="shared" ca="1" si="2"/>
        <v>1.0980885132</v>
      </c>
      <c r="BH11" s="137">
        <f t="shared" ca="1" si="2"/>
        <v>4.8405790281000005E-2</v>
      </c>
      <c r="BI11" s="137">
        <f t="shared" ca="1" si="2"/>
        <v>30.173557432999999</v>
      </c>
      <c r="BJ11" s="137">
        <f t="shared" ca="1" si="2"/>
        <v>6.3416462080000002</v>
      </c>
      <c r="BK11" s="137">
        <f t="shared" ca="1" si="2"/>
        <v>1.0228769712000001</v>
      </c>
      <c r="BL11" s="137">
        <f t="shared" ca="1" si="2"/>
        <v>1.7015119084999999E-2</v>
      </c>
      <c r="BM11" s="137">
        <f t="shared" ca="1" si="2"/>
        <v>1.2312010042000001</v>
      </c>
    </row>
    <row r="12" spans="1:65" x14ac:dyDescent="0.25">
      <c r="A12" s="149">
        <v>376</v>
      </c>
      <c r="B12" s="149">
        <v>15</v>
      </c>
      <c r="C12" s="61">
        <v>52.541156000000001</v>
      </c>
      <c r="D12" s="61">
        <v>13.390912999999999</v>
      </c>
      <c r="E12" s="61" t="s">
        <v>281</v>
      </c>
      <c r="F12" s="149">
        <v>15</v>
      </c>
      <c r="G12" s="61" t="s">
        <v>567</v>
      </c>
      <c r="H12" s="61" t="s">
        <v>707</v>
      </c>
      <c r="I12" s="61">
        <v>50.037933000000002</v>
      </c>
      <c r="J12" s="61">
        <v>8.5621519999999993</v>
      </c>
      <c r="K12" s="61">
        <v>461.40119850000002</v>
      </c>
      <c r="L12" s="61">
        <v>636.84400000000005</v>
      </c>
      <c r="M12" s="61" t="s">
        <v>589</v>
      </c>
      <c r="N12" s="149">
        <v>14</v>
      </c>
      <c r="O12" s="149">
        <v>15</v>
      </c>
      <c r="P12" s="61" t="s">
        <v>567</v>
      </c>
      <c r="Q12" s="61" t="s">
        <v>566</v>
      </c>
      <c r="R12" s="61">
        <v>50.037932599999998</v>
      </c>
      <c r="S12" s="61">
        <v>8.5621518000000005</v>
      </c>
      <c r="T12" s="61">
        <f>Transport_2_Hubs!T12</f>
        <v>530.98199999999997</v>
      </c>
      <c r="U12" s="61" t="s">
        <v>589</v>
      </c>
      <c r="V12" s="61" t="s">
        <v>589</v>
      </c>
      <c r="W12" s="61"/>
      <c r="Y12" s="137">
        <f>Summary_LCIA!H$34</f>
        <v>7.4462E-2</v>
      </c>
      <c r="Z12" s="137">
        <f>Summary_LCIA!I$34</f>
        <v>7.4462E-2</v>
      </c>
      <c r="AA12" s="137">
        <f ca="1">Summary_LCIA!J$34</f>
        <v>0.87446999999999997</v>
      </c>
      <c r="AB12" s="137">
        <f ca="1">Summary_LCIA!K$34</f>
        <v>4.2768999999999999E-4</v>
      </c>
      <c r="AC12" s="137">
        <f ca="1">Summary_LCIA!L$34</f>
        <v>0.18787999999999999</v>
      </c>
      <c r="AD12" s="137">
        <f ca="1">Summary_LCIA!M$34</f>
        <v>2.0060000000000001E-5</v>
      </c>
      <c r="AE12" s="137">
        <f ca="1">Summary_LCIA!N$34</f>
        <v>2.8479999999999998E-5</v>
      </c>
      <c r="AF12" s="137">
        <f ca="1">Summary_LCIA!O$34</f>
        <v>2.4888E-2</v>
      </c>
      <c r="AG12" s="137">
        <f ca="1">Summary_LCIA!P$34</f>
        <v>7.2913000000000006E-2</v>
      </c>
      <c r="AH12" s="137">
        <f ca="1">Summary_LCIA!Q$34</f>
        <v>1.23508923</v>
      </c>
      <c r="AI12" s="137">
        <f ca="1">Summary_LCIA!R$34</f>
        <v>2.5566E-3</v>
      </c>
      <c r="AJ12" s="137">
        <f ca="1">Summary_LCIA!S$34</f>
        <v>7.3438000000000003E-2</v>
      </c>
      <c r="AK12" s="137">
        <f ca="1">Summary_LCIA!T$34</f>
        <v>2.0743000000000001E-2</v>
      </c>
      <c r="AL12" s="137">
        <f ca="1">Summary_LCIA!U$34</f>
        <v>1.8396E-3</v>
      </c>
      <c r="AM12" s="137">
        <f ca="1">Summary_LCIA!V$34</f>
        <v>8.1093000000000004E-5</v>
      </c>
      <c r="AN12" s="137">
        <f ca="1">Summary_LCIA!W$34</f>
        <v>5.0548999999999997E-2</v>
      </c>
      <c r="AO12" s="137">
        <f ca="1">Summary_LCIA!X$34</f>
        <v>1.0624E-2</v>
      </c>
      <c r="AP12" s="137">
        <f ca="1">Summary_LCIA!Y$34</f>
        <v>1.7136E-3</v>
      </c>
      <c r="AQ12" s="137">
        <f ca="1">Summary_LCIA!Z$34</f>
        <v>2.8504999999999999E-5</v>
      </c>
      <c r="AR12" s="137">
        <f ca="1">Summary_LCIA!AA$34</f>
        <v>2.0625999999999999E-3</v>
      </c>
      <c r="AT12" s="137">
        <f t="shared" si="3"/>
        <v>39.537981683999995</v>
      </c>
      <c r="AU12" s="137">
        <f t="shared" si="2"/>
        <v>39.537981683999995</v>
      </c>
      <c r="AV12" s="137">
        <f t="shared" ca="1" si="2"/>
        <v>464.32782953999998</v>
      </c>
      <c r="AW12" s="137">
        <f t="shared" ca="1" si="2"/>
        <v>0.22709569157999998</v>
      </c>
      <c r="AX12" s="137">
        <f t="shared" ca="1" si="2"/>
        <v>99.760898159999996</v>
      </c>
      <c r="AY12" s="137">
        <f t="shared" ca="1" si="2"/>
        <v>1.065149892E-2</v>
      </c>
      <c r="AZ12" s="137">
        <f t="shared" ca="1" si="2"/>
        <v>1.5122367359999998E-2</v>
      </c>
      <c r="BA12" s="137">
        <f t="shared" ca="1" si="2"/>
        <v>13.215080016</v>
      </c>
      <c r="BB12" s="137">
        <f t="shared" ca="1" si="2"/>
        <v>38.715490566</v>
      </c>
      <c r="BC12" s="137">
        <f t="shared" ca="1" si="2"/>
        <v>655.81014952385999</v>
      </c>
      <c r="BD12" s="137">
        <f t="shared" ca="1" si="2"/>
        <v>1.3575085811999998</v>
      </c>
      <c r="BE12" s="137">
        <f t="shared" ca="1" si="2"/>
        <v>38.994256116000003</v>
      </c>
      <c r="BF12" s="137">
        <f t="shared" ca="1" si="2"/>
        <v>11.014159626</v>
      </c>
      <c r="BG12" s="137">
        <f t="shared" ca="1" si="2"/>
        <v>0.97679448719999995</v>
      </c>
      <c r="BH12" s="137">
        <f t="shared" ca="1" si="2"/>
        <v>4.3058923325999997E-2</v>
      </c>
      <c r="BI12" s="137">
        <f t="shared" ca="1" si="2"/>
        <v>26.840609117999996</v>
      </c>
      <c r="BJ12" s="137">
        <f t="shared" ca="1" si="2"/>
        <v>5.6411527679999995</v>
      </c>
      <c r="BK12" s="137">
        <f t="shared" ca="1" si="2"/>
        <v>0.90989075519999996</v>
      </c>
      <c r="BL12" s="137">
        <f t="shared" ca="1" si="2"/>
        <v>1.5135641909999999E-2</v>
      </c>
      <c r="BM12" s="137">
        <f t="shared" ca="1" si="2"/>
        <v>1.0952034732</v>
      </c>
    </row>
    <row r="13" spans="1:65" x14ac:dyDescent="0.25">
      <c r="A13" s="149">
        <v>377</v>
      </c>
      <c r="B13" s="149">
        <v>15</v>
      </c>
      <c r="C13" s="61">
        <v>52.541156000000001</v>
      </c>
      <c r="D13" s="61">
        <v>13.390912999999999</v>
      </c>
      <c r="E13" s="61" t="s">
        <v>281</v>
      </c>
      <c r="F13" s="149">
        <v>15</v>
      </c>
      <c r="G13" s="61" t="s">
        <v>567</v>
      </c>
      <c r="H13" s="61" t="s">
        <v>707</v>
      </c>
      <c r="I13" s="61">
        <v>50.037933000000002</v>
      </c>
      <c r="J13" s="61">
        <v>8.5621519999999993</v>
      </c>
      <c r="K13" s="61">
        <v>461.40119850000002</v>
      </c>
      <c r="L13" s="61">
        <v>636.84400000000005</v>
      </c>
      <c r="M13" s="61" t="s">
        <v>589</v>
      </c>
      <c r="N13" s="149">
        <v>14</v>
      </c>
      <c r="O13" s="149">
        <v>15</v>
      </c>
      <c r="P13" s="61" t="s">
        <v>567</v>
      </c>
      <c r="Q13" s="61" t="s">
        <v>566</v>
      </c>
      <c r="R13" s="61">
        <v>50.037932599999998</v>
      </c>
      <c r="S13" s="61">
        <v>8.5621518000000005</v>
      </c>
      <c r="T13" s="61">
        <f>Transport_2_Hubs!T13</f>
        <v>530.98199999999997</v>
      </c>
      <c r="U13" s="61" t="s">
        <v>589</v>
      </c>
      <c r="V13" s="61" t="s">
        <v>589</v>
      </c>
      <c r="W13" s="61"/>
      <c r="Y13" s="137">
        <f>Summary_LCIA!H$34</f>
        <v>7.4462E-2</v>
      </c>
      <c r="Z13" s="137">
        <f>Summary_LCIA!I$34</f>
        <v>7.4462E-2</v>
      </c>
      <c r="AA13" s="137">
        <f ca="1">Summary_LCIA!J$34</f>
        <v>0.87446999999999997</v>
      </c>
      <c r="AB13" s="137">
        <f ca="1">Summary_LCIA!K$34</f>
        <v>4.2768999999999999E-4</v>
      </c>
      <c r="AC13" s="137">
        <f ca="1">Summary_LCIA!L$34</f>
        <v>0.18787999999999999</v>
      </c>
      <c r="AD13" s="137">
        <f ca="1">Summary_LCIA!M$34</f>
        <v>2.0060000000000001E-5</v>
      </c>
      <c r="AE13" s="137">
        <f ca="1">Summary_LCIA!N$34</f>
        <v>2.8479999999999998E-5</v>
      </c>
      <c r="AF13" s="137">
        <f ca="1">Summary_LCIA!O$34</f>
        <v>2.4888E-2</v>
      </c>
      <c r="AG13" s="137">
        <f ca="1">Summary_LCIA!P$34</f>
        <v>7.2913000000000006E-2</v>
      </c>
      <c r="AH13" s="137">
        <f ca="1">Summary_LCIA!Q$34</f>
        <v>1.23508923</v>
      </c>
      <c r="AI13" s="137">
        <f ca="1">Summary_LCIA!R$34</f>
        <v>2.5566E-3</v>
      </c>
      <c r="AJ13" s="137">
        <f ca="1">Summary_LCIA!S$34</f>
        <v>7.3438000000000003E-2</v>
      </c>
      <c r="AK13" s="137">
        <f ca="1">Summary_LCIA!T$34</f>
        <v>2.0743000000000001E-2</v>
      </c>
      <c r="AL13" s="137">
        <f ca="1">Summary_LCIA!U$34</f>
        <v>1.8396E-3</v>
      </c>
      <c r="AM13" s="137">
        <f ca="1">Summary_LCIA!V$34</f>
        <v>8.1093000000000004E-5</v>
      </c>
      <c r="AN13" s="137">
        <f ca="1">Summary_LCIA!W$34</f>
        <v>5.0548999999999997E-2</v>
      </c>
      <c r="AO13" s="137">
        <f ca="1">Summary_LCIA!X$34</f>
        <v>1.0624E-2</v>
      </c>
      <c r="AP13" s="137">
        <f ca="1">Summary_LCIA!Y$34</f>
        <v>1.7136E-3</v>
      </c>
      <c r="AQ13" s="137">
        <f ca="1">Summary_LCIA!Z$34</f>
        <v>2.8504999999999999E-5</v>
      </c>
      <c r="AR13" s="137">
        <f ca="1">Summary_LCIA!AA$34</f>
        <v>2.0625999999999999E-3</v>
      </c>
      <c r="AT13" s="137">
        <f t="shared" si="3"/>
        <v>39.537981683999995</v>
      </c>
      <c r="AU13" s="137">
        <f t="shared" si="2"/>
        <v>39.537981683999995</v>
      </c>
      <c r="AV13" s="137">
        <f t="shared" ca="1" si="2"/>
        <v>464.32782953999998</v>
      </c>
      <c r="AW13" s="137">
        <f t="shared" ca="1" si="2"/>
        <v>0.22709569157999998</v>
      </c>
      <c r="AX13" s="137">
        <f t="shared" ca="1" si="2"/>
        <v>99.760898159999996</v>
      </c>
      <c r="AY13" s="137">
        <f t="shared" ca="1" si="2"/>
        <v>1.065149892E-2</v>
      </c>
      <c r="AZ13" s="137">
        <f t="shared" ca="1" si="2"/>
        <v>1.5122367359999998E-2</v>
      </c>
      <c r="BA13" s="137">
        <f t="shared" ca="1" si="2"/>
        <v>13.215080016</v>
      </c>
      <c r="BB13" s="137">
        <f t="shared" ca="1" si="2"/>
        <v>38.715490566</v>
      </c>
      <c r="BC13" s="137">
        <f t="shared" ca="1" si="2"/>
        <v>655.81014952385999</v>
      </c>
      <c r="BD13" s="137">
        <f t="shared" ca="1" si="2"/>
        <v>1.3575085811999998</v>
      </c>
      <c r="BE13" s="137">
        <f t="shared" ca="1" si="2"/>
        <v>38.994256116000003</v>
      </c>
      <c r="BF13" s="137">
        <f t="shared" ca="1" si="2"/>
        <v>11.014159626</v>
      </c>
      <c r="BG13" s="137">
        <f t="shared" ca="1" si="2"/>
        <v>0.97679448719999995</v>
      </c>
      <c r="BH13" s="137">
        <f t="shared" ca="1" si="2"/>
        <v>4.3058923325999997E-2</v>
      </c>
      <c r="BI13" s="137">
        <f t="shared" ca="1" si="2"/>
        <v>26.840609117999996</v>
      </c>
      <c r="BJ13" s="137">
        <f t="shared" ca="1" si="2"/>
        <v>5.6411527679999995</v>
      </c>
      <c r="BK13" s="137">
        <f t="shared" ca="1" si="2"/>
        <v>0.90989075519999996</v>
      </c>
      <c r="BL13" s="137">
        <f t="shared" ca="1" si="2"/>
        <v>1.5135641909999999E-2</v>
      </c>
      <c r="BM13" s="137">
        <f t="shared" ca="1" si="2"/>
        <v>1.0952034732</v>
      </c>
    </row>
    <row r="14" spans="1:65" x14ac:dyDescent="0.25">
      <c r="A14" s="149">
        <v>15</v>
      </c>
      <c r="B14" s="149">
        <v>43</v>
      </c>
      <c r="C14" s="61">
        <v>40.676457999999997</v>
      </c>
      <c r="D14" s="61">
        <v>-74.228478999999993</v>
      </c>
      <c r="E14" s="61" t="s">
        <v>265</v>
      </c>
      <c r="F14" s="149">
        <v>43</v>
      </c>
      <c r="G14" s="61" t="s">
        <v>565</v>
      </c>
      <c r="H14" s="61" t="s">
        <v>632</v>
      </c>
      <c r="I14" s="61">
        <v>40.689531000000002</v>
      </c>
      <c r="J14" s="61">
        <v>-74.174462000000005</v>
      </c>
      <c r="K14" s="61">
        <v>5.2641184650000001</v>
      </c>
      <c r="L14" s="61">
        <v>7.0670000000000002</v>
      </c>
      <c r="M14" s="61" t="s">
        <v>617</v>
      </c>
      <c r="N14" s="149">
        <v>42</v>
      </c>
      <c r="O14" s="149">
        <v>43</v>
      </c>
      <c r="P14" s="61" t="s">
        <v>565</v>
      </c>
      <c r="Q14" s="61" t="s">
        <v>555</v>
      </c>
      <c r="R14" s="61">
        <v>40.6895314</v>
      </c>
      <c r="S14" s="61">
        <v>-74.174462399999996</v>
      </c>
      <c r="T14" s="61">
        <v>7.0670000000000002</v>
      </c>
      <c r="U14" s="61" t="s">
        <v>617</v>
      </c>
      <c r="V14" s="61" t="s">
        <v>617</v>
      </c>
      <c r="W14" s="61"/>
      <c r="Y14" s="137">
        <f>Summary_LCIA!H$32</f>
        <v>0.33979999999999999</v>
      </c>
      <c r="Z14" s="137">
        <f>Summary_LCIA!Q$32</f>
        <v>4.9560504329999997</v>
      </c>
      <c r="AA14" s="137">
        <f>Summary_LCIA!R$32</f>
        <v>5.2655999999999996E-3</v>
      </c>
      <c r="AB14" s="137">
        <f>Summary_LCIA!S$32</f>
        <v>0.33538000000000001</v>
      </c>
      <c r="AC14" s="137">
        <f>Summary_LCIA!T$32</f>
        <v>0.1099</v>
      </c>
      <c r="AD14" s="137">
        <f>Summary_LCIA!U$32</f>
        <v>1.7913999999999999E-2</v>
      </c>
      <c r="AE14" s="137">
        <f>Summary_LCIA!V$32</f>
        <v>4.7760999999999999E-5</v>
      </c>
      <c r="AF14" s="137">
        <f>Summary_LCIA!W$32</f>
        <v>7.6970999999999998E-2</v>
      </c>
      <c r="AG14" s="137">
        <f>Summary_LCIA!X$32</f>
        <v>2.2780000000000002E-2</v>
      </c>
      <c r="AH14" s="137">
        <f>Summary_LCIA!Y$32</f>
        <v>1.5582E-2</v>
      </c>
      <c r="AI14" s="137">
        <f>Summary_LCIA!Z$32</f>
        <v>4.1009E-5</v>
      </c>
      <c r="AJ14" s="137">
        <f>Summary_LCIA!AA$32</f>
        <v>2.3355999999999998E-2</v>
      </c>
      <c r="AK14" s="137">
        <f>Summary_LCIA!AB$32</f>
        <v>-2.1823000000000001E-5</v>
      </c>
      <c r="AL14" s="137">
        <f>Summary_LCIA!AC$32</f>
        <v>4.8884000000000003E-8</v>
      </c>
      <c r="AM14" s="137">
        <f>Summary_LCIA!AD$32</f>
        <v>4.1103999999999999E-4</v>
      </c>
      <c r="AN14" s="137">
        <f>Summary_LCIA!AE$32</f>
        <v>8.8612999999999995E-4</v>
      </c>
      <c r="AO14" s="137">
        <f>Summary_LCIA!AF$32</f>
        <v>8.4542000000000005E-4</v>
      </c>
      <c r="AP14" s="137">
        <f>Summary_LCIA!AG$32</f>
        <v>5.1165000000000002E-5</v>
      </c>
      <c r="AQ14" s="137">
        <f>Summary_LCIA!AH$32</f>
        <v>8.7036000000000006E-3</v>
      </c>
      <c r="AR14" s="137">
        <f>Summary_LCIA!AI$32</f>
        <v>9.3154999999999996E-4</v>
      </c>
      <c r="AT14" s="137">
        <f t="shared" si="3"/>
        <v>2.4013665999999998</v>
      </c>
      <c r="AU14" s="137">
        <f t="shared" si="2"/>
        <v>35.024408410010999</v>
      </c>
      <c r="AV14" s="137">
        <f t="shared" si="2"/>
        <v>3.72119952E-2</v>
      </c>
      <c r="AW14" s="137">
        <f t="shared" si="2"/>
        <v>2.3701304599999999</v>
      </c>
      <c r="AX14" s="137">
        <f t="shared" si="2"/>
        <v>0.77666330000000006</v>
      </c>
      <c r="AY14" s="137">
        <f t="shared" si="2"/>
        <v>0.126598238</v>
      </c>
      <c r="AZ14" s="137">
        <f t="shared" si="2"/>
        <v>3.3752698700000001E-4</v>
      </c>
      <c r="BA14" s="137">
        <f t="shared" si="2"/>
        <v>0.54395405699999999</v>
      </c>
      <c r="BB14" s="137">
        <f t="shared" si="2"/>
        <v>0.16098626000000002</v>
      </c>
      <c r="BC14" s="137">
        <f t="shared" si="2"/>
        <v>0.11011799400000001</v>
      </c>
      <c r="BD14" s="137">
        <f t="shared" si="2"/>
        <v>2.8981060300000002E-4</v>
      </c>
      <c r="BE14" s="137">
        <f t="shared" si="2"/>
        <v>0.165056852</v>
      </c>
      <c r="BF14" s="137">
        <f t="shared" si="2"/>
        <v>-1.5422314100000002E-4</v>
      </c>
      <c r="BG14" s="137">
        <f t="shared" si="2"/>
        <v>3.4546322800000003E-7</v>
      </c>
      <c r="BH14" s="137">
        <f t="shared" si="2"/>
        <v>2.9048196800000002E-3</v>
      </c>
      <c r="BI14" s="137">
        <f t="shared" si="2"/>
        <v>6.26228071E-3</v>
      </c>
      <c r="BJ14" s="137">
        <f t="shared" si="2"/>
        <v>5.9745831400000006E-3</v>
      </c>
      <c r="BK14" s="137">
        <f t="shared" si="2"/>
        <v>3.6158305500000001E-4</v>
      </c>
      <c r="BL14" s="137">
        <f t="shared" si="2"/>
        <v>6.1508341200000004E-2</v>
      </c>
      <c r="BM14" s="137">
        <f t="shared" si="2"/>
        <v>6.5832638499999999E-3</v>
      </c>
    </row>
    <row r="15" spans="1:65" x14ac:dyDescent="0.25">
      <c r="A15" s="149">
        <v>16</v>
      </c>
      <c r="B15" s="149">
        <v>43</v>
      </c>
      <c r="C15" s="61">
        <v>40.676457999999997</v>
      </c>
      <c r="D15" s="61">
        <v>-74.228478999999993</v>
      </c>
      <c r="E15" s="61" t="s">
        <v>265</v>
      </c>
      <c r="F15" s="149">
        <v>43</v>
      </c>
      <c r="G15" s="61" t="s">
        <v>565</v>
      </c>
      <c r="H15" s="61" t="s">
        <v>632</v>
      </c>
      <c r="I15" s="61">
        <v>40.689531000000002</v>
      </c>
      <c r="J15" s="61">
        <v>-74.174462000000005</v>
      </c>
      <c r="K15" s="61">
        <v>5.2641184650000001</v>
      </c>
      <c r="L15" s="61">
        <v>7.0670000000000002</v>
      </c>
      <c r="M15" s="61" t="s">
        <v>617</v>
      </c>
      <c r="N15" s="149">
        <v>42</v>
      </c>
      <c r="O15" s="149">
        <v>43</v>
      </c>
      <c r="P15" s="61" t="s">
        <v>565</v>
      </c>
      <c r="Q15" s="61" t="s">
        <v>555</v>
      </c>
      <c r="R15" s="61">
        <v>40.6895314</v>
      </c>
      <c r="S15" s="61">
        <v>-74.174462399999996</v>
      </c>
      <c r="T15" s="61">
        <v>7.0670000000000002</v>
      </c>
      <c r="U15" s="61" t="s">
        <v>617</v>
      </c>
      <c r="V15" s="61" t="s">
        <v>617</v>
      </c>
      <c r="W15" s="61"/>
      <c r="Y15" s="137">
        <f>Summary_LCIA!H$32</f>
        <v>0.33979999999999999</v>
      </c>
      <c r="Z15" s="137">
        <f>Summary_LCIA!Q$32</f>
        <v>4.9560504329999997</v>
      </c>
      <c r="AA15" s="137">
        <f>Summary_LCIA!R$32</f>
        <v>5.2655999999999996E-3</v>
      </c>
      <c r="AB15" s="137">
        <f>Summary_LCIA!S$32</f>
        <v>0.33538000000000001</v>
      </c>
      <c r="AC15" s="137">
        <f>Summary_LCIA!T$32</f>
        <v>0.1099</v>
      </c>
      <c r="AD15" s="137">
        <f>Summary_LCIA!U$32</f>
        <v>1.7913999999999999E-2</v>
      </c>
      <c r="AE15" s="137">
        <f>Summary_LCIA!V$32</f>
        <v>4.7760999999999999E-5</v>
      </c>
      <c r="AF15" s="137">
        <f>Summary_LCIA!W$32</f>
        <v>7.6970999999999998E-2</v>
      </c>
      <c r="AG15" s="137">
        <f>Summary_LCIA!X$32</f>
        <v>2.2780000000000002E-2</v>
      </c>
      <c r="AH15" s="137">
        <f>Summary_LCIA!Y$32</f>
        <v>1.5582E-2</v>
      </c>
      <c r="AI15" s="137">
        <f>Summary_LCIA!Z$32</f>
        <v>4.1009E-5</v>
      </c>
      <c r="AJ15" s="137">
        <f>Summary_LCIA!AA$32</f>
        <v>2.3355999999999998E-2</v>
      </c>
      <c r="AK15" s="137">
        <f>Summary_LCIA!AB$32</f>
        <v>-2.1823000000000001E-5</v>
      </c>
      <c r="AL15" s="137">
        <f>Summary_LCIA!AC$32</f>
        <v>4.8884000000000003E-8</v>
      </c>
      <c r="AM15" s="137">
        <f>Summary_LCIA!AD$32</f>
        <v>4.1103999999999999E-4</v>
      </c>
      <c r="AN15" s="137">
        <f>Summary_LCIA!AE$32</f>
        <v>8.8612999999999995E-4</v>
      </c>
      <c r="AO15" s="137">
        <f>Summary_LCIA!AF$32</f>
        <v>8.4542000000000005E-4</v>
      </c>
      <c r="AP15" s="137">
        <f>Summary_LCIA!AG$32</f>
        <v>5.1165000000000002E-5</v>
      </c>
      <c r="AQ15" s="137">
        <f>Summary_LCIA!AH$32</f>
        <v>8.7036000000000006E-3</v>
      </c>
      <c r="AR15" s="137">
        <f>Summary_LCIA!AI$32</f>
        <v>9.3154999999999996E-4</v>
      </c>
      <c r="AT15" s="137">
        <f t="shared" si="3"/>
        <v>2.4013665999999998</v>
      </c>
      <c r="AU15" s="137">
        <f t="shared" si="2"/>
        <v>35.024408410010999</v>
      </c>
      <c r="AV15" s="137">
        <f t="shared" si="2"/>
        <v>3.72119952E-2</v>
      </c>
      <c r="AW15" s="137">
        <f t="shared" si="2"/>
        <v>2.3701304599999999</v>
      </c>
      <c r="AX15" s="137">
        <f t="shared" si="2"/>
        <v>0.77666330000000006</v>
      </c>
      <c r="AY15" s="137">
        <f t="shared" si="2"/>
        <v>0.126598238</v>
      </c>
      <c r="AZ15" s="137">
        <f t="shared" si="2"/>
        <v>3.3752698700000001E-4</v>
      </c>
      <c r="BA15" s="137">
        <f t="shared" si="2"/>
        <v>0.54395405699999999</v>
      </c>
      <c r="BB15" s="137">
        <f t="shared" si="2"/>
        <v>0.16098626000000002</v>
      </c>
      <c r="BC15" s="137">
        <f t="shared" ref="BC15:BC78" si="4">$T15*AH15</f>
        <v>0.11011799400000001</v>
      </c>
      <c r="BD15" s="137">
        <f t="shared" ref="BD15:BD78" si="5">$T15*AI15</f>
        <v>2.8981060300000002E-4</v>
      </c>
      <c r="BE15" s="137">
        <f t="shared" ref="BE15:BE78" si="6">$T15*AJ15</f>
        <v>0.165056852</v>
      </c>
      <c r="BF15" s="137">
        <f t="shared" ref="BF15:BF78" si="7">$T15*AK15</f>
        <v>-1.5422314100000002E-4</v>
      </c>
      <c r="BG15" s="137">
        <f t="shared" ref="BG15:BG78" si="8">$T15*AL15</f>
        <v>3.4546322800000003E-7</v>
      </c>
      <c r="BH15" s="137">
        <f t="shared" ref="BH15:BH78" si="9">$T15*AM15</f>
        <v>2.9048196800000002E-3</v>
      </c>
      <c r="BI15" s="137">
        <f t="shared" ref="BI15:BI78" si="10">$T15*AN15</f>
        <v>6.26228071E-3</v>
      </c>
      <c r="BJ15" s="137">
        <f t="shared" ref="BJ15:BJ78" si="11">$T15*AO15</f>
        <v>5.9745831400000006E-3</v>
      </c>
      <c r="BK15" s="137">
        <f t="shared" ref="BK15:BK78" si="12">$T15*AP15</f>
        <v>3.6158305500000001E-4</v>
      </c>
      <c r="BL15" s="137">
        <f t="shared" ref="BL15:BL78" si="13">$T15*AQ15</f>
        <v>6.1508341200000004E-2</v>
      </c>
      <c r="BM15" s="137">
        <f t="shared" ref="BM15:BM78" si="14">$T15*AR15</f>
        <v>6.5832638499999999E-3</v>
      </c>
    </row>
    <row r="16" spans="1:65" x14ac:dyDescent="0.25">
      <c r="A16" s="149">
        <v>17</v>
      </c>
      <c r="B16" s="149">
        <v>43</v>
      </c>
      <c r="C16" s="61">
        <v>40.676457999999997</v>
      </c>
      <c r="D16" s="61">
        <v>-74.228478999999993</v>
      </c>
      <c r="E16" s="61" t="s">
        <v>265</v>
      </c>
      <c r="F16" s="149">
        <v>43</v>
      </c>
      <c r="G16" s="61" t="s">
        <v>565</v>
      </c>
      <c r="H16" s="61" t="s">
        <v>632</v>
      </c>
      <c r="I16" s="61">
        <v>40.689531000000002</v>
      </c>
      <c r="J16" s="61">
        <v>-74.174462000000005</v>
      </c>
      <c r="K16" s="61">
        <v>5.2641184650000001</v>
      </c>
      <c r="L16" s="61">
        <v>7.0670000000000002</v>
      </c>
      <c r="M16" s="61" t="s">
        <v>617</v>
      </c>
      <c r="N16" s="149">
        <v>42</v>
      </c>
      <c r="O16" s="149">
        <v>43</v>
      </c>
      <c r="P16" s="61" t="s">
        <v>565</v>
      </c>
      <c r="Q16" s="61" t="s">
        <v>555</v>
      </c>
      <c r="R16" s="61">
        <v>40.6895314</v>
      </c>
      <c r="S16" s="61">
        <v>-74.174462399999996</v>
      </c>
      <c r="T16" s="61">
        <v>7.0670000000000002</v>
      </c>
      <c r="U16" s="61" t="s">
        <v>617</v>
      </c>
      <c r="V16" s="61" t="s">
        <v>617</v>
      </c>
      <c r="W16" s="61"/>
      <c r="Y16" s="137">
        <f>Summary_LCIA!H$32</f>
        <v>0.33979999999999999</v>
      </c>
      <c r="Z16" s="137">
        <f>Summary_LCIA!Q$32</f>
        <v>4.9560504329999997</v>
      </c>
      <c r="AA16" s="137">
        <f>Summary_LCIA!R$32</f>
        <v>5.2655999999999996E-3</v>
      </c>
      <c r="AB16" s="137">
        <f>Summary_LCIA!S$32</f>
        <v>0.33538000000000001</v>
      </c>
      <c r="AC16" s="137">
        <f>Summary_LCIA!T$32</f>
        <v>0.1099</v>
      </c>
      <c r="AD16" s="137">
        <f>Summary_LCIA!U$32</f>
        <v>1.7913999999999999E-2</v>
      </c>
      <c r="AE16" s="137">
        <f>Summary_LCIA!V$32</f>
        <v>4.7760999999999999E-5</v>
      </c>
      <c r="AF16" s="137">
        <f>Summary_LCIA!W$32</f>
        <v>7.6970999999999998E-2</v>
      </c>
      <c r="AG16" s="137">
        <f>Summary_LCIA!X$32</f>
        <v>2.2780000000000002E-2</v>
      </c>
      <c r="AH16" s="137">
        <f>Summary_LCIA!Y$32</f>
        <v>1.5582E-2</v>
      </c>
      <c r="AI16" s="137">
        <f>Summary_LCIA!Z$32</f>
        <v>4.1009E-5</v>
      </c>
      <c r="AJ16" s="137">
        <f>Summary_LCIA!AA$32</f>
        <v>2.3355999999999998E-2</v>
      </c>
      <c r="AK16" s="137">
        <f>Summary_LCIA!AB$32</f>
        <v>-2.1823000000000001E-5</v>
      </c>
      <c r="AL16" s="137">
        <f>Summary_LCIA!AC$32</f>
        <v>4.8884000000000003E-8</v>
      </c>
      <c r="AM16" s="137">
        <f>Summary_LCIA!AD$32</f>
        <v>4.1103999999999999E-4</v>
      </c>
      <c r="AN16" s="137">
        <f>Summary_LCIA!AE$32</f>
        <v>8.8612999999999995E-4</v>
      </c>
      <c r="AO16" s="137">
        <f>Summary_LCIA!AF$32</f>
        <v>8.4542000000000005E-4</v>
      </c>
      <c r="AP16" s="137">
        <f>Summary_LCIA!AG$32</f>
        <v>5.1165000000000002E-5</v>
      </c>
      <c r="AQ16" s="137">
        <f>Summary_LCIA!AH$32</f>
        <v>8.7036000000000006E-3</v>
      </c>
      <c r="AR16" s="137">
        <f>Summary_LCIA!AI$32</f>
        <v>9.3154999999999996E-4</v>
      </c>
      <c r="AT16" s="137">
        <f t="shared" si="3"/>
        <v>2.4013665999999998</v>
      </c>
      <c r="AU16" s="137">
        <f t="shared" ref="AU16:AU79" si="15">$T16*Z16</f>
        <v>35.024408410010999</v>
      </c>
      <c r="AV16" s="137">
        <f t="shared" ref="AV16:AV79" si="16">$T16*AA16</f>
        <v>3.72119952E-2</v>
      </c>
      <c r="AW16" s="137">
        <f t="shared" ref="AW16:AW79" si="17">$T16*AB16</f>
        <v>2.3701304599999999</v>
      </c>
      <c r="AX16" s="137">
        <f t="shared" ref="AX16:AX79" si="18">$T16*AC16</f>
        <v>0.77666330000000006</v>
      </c>
      <c r="AY16" s="137">
        <f t="shared" ref="AY16:AY79" si="19">$T16*AD16</f>
        <v>0.126598238</v>
      </c>
      <c r="AZ16" s="137">
        <f t="shared" ref="AZ16:AZ79" si="20">$T16*AE16</f>
        <v>3.3752698700000001E-4</v>
      </c>
      <c r="BA16" s="137">
        <f t="shared" ref="BA16:BA79" si="21">$T16*AF16</f>
        <v>0.54395405699999999</v>
      </c>
      <c r="BB16" s="137">
        <f t="shared" ref="BB16:BB79" si="22">$T16*AG16</f>
        <v>0.16098626000000002</v>
      </c>
      <c r="BC16" s="137">
        <f t="shared" si="4"/>
        <v>0.11011799400000001</v>
      </c>
      <c r="BD16" s="137">
        <f t="shared" si="5"/>
        <v>2.8981060300000002E-4</v>
      </c>
      <c r="BE16" s="137">
        <f t="shared" si="6"/>
        <v>0.165056852</v>
      </c>
      <c r="BF16" s="137">
        <f t="shared" si="7"/>
        <v>-1.5422314100000002E-4</v>
      </c>
      <c r="BG16" s="137">
        <f t="shared" si="8"/>
        <v>3.4546322800000003E-7</v>
      </c>
      <c r="BH16" s="137">
        <f t="shared" si="9"/>
        <v>2.9048196800000002E-3</v>
      </c>
      <c r="BI16" s="137">
        <f t="shared" si="10"/>
        <v>6.26228071E-3</v>
      </c>
      <c r="BJ16" s="137">
        <f t="shared" si="11"/>
        <v>5.9745831400000006E-3</v>
      </c>
      <c r="BK16" s="137">
        <f t="shared" si="12"/>
        <v>3.6158305500000001E-4</v>
      </c>
      <c r="BL16" s="137">
        <f t="shared" si="13"/>
        <v>6.1508341200000004E-2</v>
      </c>
      <c r="BM16" s="137">
        <f t="shared" si="14"/>
        <v>6.5832638499999999E-3</v>
      </c>
    </row>
    <row r="17" spans="1:65" x14ac:dyDescent="0.25">
      <c r="A17" s="149">
        <v>378</v>
      </c>
      <c r="B17" s="149">
        <v>43</v>
      </c>
      <c r="C17" s="61">
        <v>40.741002000000002</v>
      </c>
      <c r="D17" s="61">
        <v>-74.177420999999995</v>
      </c>
      <c r="E17" s="61" t="s">
        <v>265</v>
      </c>
      <c r="F17" s="149">
        <v>43</v>
      </c>
      <c r="G17" s="61" t="s">
        <v>565</v>
      </c>
      <c r="H17" s="61" t="s">
        <v>632</v>
      </c>
      <c r="I17" s="61">
        <v>40.689531000000002</v>
      </c>
      <c r="J17" s="61">
        <v>-74.174462000000005</v>
      </c>
      <c r="K17" s="61">
        <v>7.8777833389999996</v>
      </c>
      <c r="L17" s="61">
        <v>7.5250000000000004</v>
      </c>
      <c r="M17" s="61" t="s">
        <v>617</v>
      </c>
      <c r="N17" s="149">
        <v>42</v>
      </c>
      <c r="O17" s="149">
        <v>43</v>
      </c>
      <c r="P17" s="61" t="s">
        <v>565</v>
      </c>
      <c r="Q17" s="61" t="s">
        <v>555</v>
      </c>
      <c r="R17" s="61">
        <v>40.6895314</v>
      </c>
      <c r="S17" s="61">
        <v>-74.174462399999996</v>
      </c>
      <c r="T17" s="61">
        <v>7.5250000000000004</v>
      </c>
      <c r="U17" s="61" t="s">
        <v>617</v>
      </c>
      <c r="V17" s="61" t="s">
        <v>617</v>
      </c>
      <c r="W17" s="61"/>
      <c r="Y17" s="137">
        <f>Summary_LCIA!H$32</f>
        <v>0.33979999999999999</v>
      </c>
      <c r="Z17" s="137">
        <f>Summary_LCIA!Q$32</f>
        <v>4.9560504329999997</v>
      </c>
      <c r="AA17" s="137">
        <f>Summary_LCIA!R$32</f>
        <v>5.2655999999999996E-3</v>
      </c>
      <c r="AB17" s="137">
        <f>Summary_LCIA!S$32</f>
        <v>0.33538000000000001</v>
      </c>
      <c r="AC17" s="137">
        <f>Summary_LCIA!T$32</f>
        <v>0.1099</v>
      </c>
      <c r="AD17" s="137">
        <f>Summary_LCIA!U$32</f>
        <v>1.7913999999999999E-2</v>
      </c>
      <c r="AE17" s="137">
        <f>Summary_LCIA!V$32</f>
        <v>4.7760999999999999E-5</v>
      </c>
      <c r="AF17" s="137">
        <f>Summary_LCIA!W$32</f>
        <v>7.6970999999999998E-2</v>
      </c>
      <c r="AG17" s="137">
        <f>Summary_LCIA!X$32</f>
        <v>2.2780000000000002E-2</v>
      </c>
      <c r="AH17" s="137">
        <f>Summary_LCIA!Y$32</f>
        <v>1.5582E-2</v>
      </c>
      <c r="AI17" s="137">
        <f>Summary_LCIA!Z$32</f>
        <v>4.1009E-5</v>
      </c>
      <c r="AJ17" s="137">
        <f>Summary_LCIA!AA$32</f>
        <v>2.3355999999999998E-2</v>
      </c>
      <c r="AK17" s="137">
        <f>Summary_LCIA!AB$32</f>
        <v>-2.1823000000000001E-5</v>
      </c>
      <c r="AL17" s="137">
        <f>Summary_LCIA!AC$32</f>
        <v>4.8884000000000003E-8</v>
      </c>
      <c r="AM17" s="137">
        <f>Summary_LCIA!AD$32</f>
        <v>4.1103999999999999E-4</v>
      </c>
      <c r="AN17" s="137">
        <f>Summary_LCIA!AE$32</f>
        <v>8.8612999999999995E-4</v>
      </c>
      <c r="AO17" s="137">
        <f>Summary_LCIA!AF$32</f>
        <v>8.4542000000000005E-4</v>
      </c>
      <c r="AP17" s="137">
        <f>Summary_LCIA!AG$32</f>
        <v>5.1165000000000002E-5</v>
      </c>
      <c r="AQ17" s="137">
        <f>Summary_LCIA!AH$32</f>
        <v>8.7036000000000006E-3</v>
      </c>
      <c r="AR17" s="137">
        <f>Summary_LCIA!AI$32</f>
        <v>9.3154999999999996E-4</v>
      </c>
      <c r="AT17" s="137">
        <f t="shared" si="3"/>
        <v>2.5569950000000001</v>
      </c>
      <c r="AU17" s="137">
        <f t="shared" si="15"/>
        <v>37.294279508324998</v>
      </c>
      <c r="AV17" s="137">
        <f t="shared" si="16"/>
        <v>3.9623640000000002E-2</v>
      </c>
      <c r="AW17" s="137">
        <f t="shared" si="17"/>
        <v>2.5237345000000002</v>
      </c>
      <c r="AX17" s="137">
        <f t="shared" si="18"/>
        <v>0.82699750000000005</v>
      </c>
      <c r="AY17" s="137">
        <f t="shared" si="19"/>
        <v>0.13480285</v>
      </c>
      <c r="AZ17" s="137">
        <f t="shared" si="20"/>
        <v>3.5940152499999999E-4</v>
      </c>
      <c r="BA17" s="137">
        <f t="shared" si="21"/>
        <v>0.57920677500000006</v>
      </c>
      <c r="BB17" s="137">
        <f t="shared" si="22"/>
        <v>0.17141950000000003</v>
      </c>
      <c r="BC17" s="137">
        <f t="shared" si="4"/>
        <v>0.11725455000000001</v>
      </c>
      <c r="BD17" s="137">
        <f t="shared" si="5"/>
        <v>3.0859272500000003E-4</v>
      </c>
      <c r="BE17" s="137">
        <f t="shared" si="6"/>
        <v>0.17575389999999999</v>
      </c>
      <c r="BF17" s="137">
        <f t="shared" si="7"/>
        <v>-1.6421807500000002E-4</v>
      </c>
      <c r="BG17" s="137">
        <f t="shared" si="8"/>
        <v>3.6785210000000005E-7</v>
      </c>
      <c r="BH17" s="137">
        <f t="shared" si="9"/>
        <v>3.0930760000000002E-3</v>
      </c>
      <c r="BI17" s="137">
        <f t="shared" si="10"/>
        <v>6.6681282499999996E-3</v>
      </c>
      <c r="BJ17" s="137">
        <f t="shared" si="11"/>
        <v>6.3617855000000006E-3</v>
      </c>
      <c r="BK17" s="137">
        <f t="shared" si="12"/>
        <v>3.8501662500000001E-4</v>
      </c>
      <c r="BL17" s="137">
        <f t="shared" si="13"/>
        <v>6.5494590000000005E-2</v>
      </c>
      <c r="BM17" s="137">
        <f t="shared" si="14"/>
        <v>7.00991375E-3</v>
      </c>
    </row>
    <row r="18" spans="1:65" x14ac:dyDescent="0.25">
      <c r="A18" s="149">
        <v>283</v>
      </c>
      <c r="B18" s="149">
        <v>43</v>
      </c>
      <c r="C18" s="61">
        <v>40.712775999999998</v>
      </c>
      <c r="D18" s="61">
        <v>-74.005954000000003</v>
      </c>
      <c r="E18" s="61" t="s">
        <v>265</v>
      </c>
      <c r="F18" s="149">
        <v>43</v>
      </c>
      <c r="G18" s="61" t="s">
        <v>565</v>
      </c>
      <c r="H18" s="61" t="s">
        <v>632</v>
      </c>
      <c r="I18" s="61">
        <v>40.689531000000002</v>
      </c>
      <c r="J18" s="61">
        <v>-74.174462000000005</v>
      </c>
      <c r="K18" s="61">
        <v>15.29610297</v>
      </c>
      <c r="L18" s="61">
        <v>21.715</v>
      </c>
      <c r="M18" s="61" t="s">
        <v>617</v>
      </c>
      <c r="N18" s="149">
        <v>42</v>
      </c>
      <c r="O18" s="149">
        <v>43</v>
      </c>
      <c r="P18" s="61" t="s">
        <v>565</v>
      </c>
      <c r="Q18" s="61" t="s">
        <v>555</v>
      </c>
      <c r="R18" s="61">
        <v>40.6895314</v>
      </c>
      <c r="S18" s="61">
        <v>-74.174462399999996</v>
      </c>
      <c r="T18" s="61">
        <v>21.715</v>
      </c>
      <c r="U18" s="61" t="s">
        <v>617</v>
      </c>
      <c r="V18" s="61" t="s">
        <v>617</v>
      </c>
      <c r="W18" s="61"/>
      <c r="Y18" s="137">
        <f>Summary_LCIA!H$32</f>
        <v>0.33979999999999999</v>
      </c>
      <c r="Z18" s="137">
        <f>Summary_LCIA!Q$32</f>
        <v>4.9560504329999997</v>
      </c>
      <c r="AA18" s="137">
        <f>Summary_LCIA!R$32</f>
        <v>5.2655999999999996E-3</v>
      </c>
      <c r="AB18" s="137">
        <f>Summary_LCIA!S$32</f>
        <v>0.33538000000000001</v>
      </c>
      <c r="AC18" s="137">
        <f>Summary_LCIA!T$32</f>
        <v>0.1099</v>
      </c>
      <c r="AD18" s="137">
        <f>Summary_LCIA!U$32</f>
        <v>1.7913999999999999E-2</v>
      </c>
      <c r="AE18" s="137">
        <f>Summary_LCIA!V$32</f>
        <v>4.7760999999999999E-5</v>
      </c>
      <c r="AF18" s="137">
        <f>Summary_LCIA!W$32</f>
        <v>7.6970999999999998E-2</v>
      </c>
      <c r="AG18" s="137">
        <f>Summary_LCIA!X$32</f>
        <v>2.2780000000000002E-2</v>
      </c>
      <c r="AH18" s="137">
        <f>Summary_LCIA!Y$32</f>
        <v>1.5582E-2</v>
      </c>
      <c r="AI18" s="137">
        <f>Summary_LCIA!Z$32</f>
        <v>4.1009E-5</v>
      </c>
      <c r="AJ18" s="137">
        <f>Summary_LCIA!AA$32</f>
        <v>2.3355999999999998E-2</v>
      </c>
      <c r="AK18" s="137">
        <f>Summary_LCIA!AB$32</f>
        <v>-2.1823000000000001E-5</v>
      </c>
      <c r="AL18" s="137">
        <f>Summary_LCIA!AC$32</f>
        <v>4.8884000000000003E-8</v>
      </c>
      <c r="AM18" s="137">
        <f>Summary_LCIA!AD$32</f>
        <v>4.1103999999999999E-4</v>
      </c>
      <c r="AN18" s="137">
        <f>Summary_LCIA!AE$32</f>
        <v>8.8612999999999995E-4</v>
      </c>
      <c r="AO18" s="137">
        <f>Summary_LCIA!AF$32</f>
        <v>8.4542000000000005E-4</v>
      </c>
      <c r="AP18" s="137">
        <f>Summary_LCIA!AG$32</f>
        <v>5.1165000000000002E-5</v>
      </c>
      <c r="AQ18" s="137">
        <f>Summary_LCIA!AH$32</f>
        <v>8.7036000000000006E-3</v>
      </c>
      <c r="AR18" s="137">
        <f>Summary_LCIA!AI$32</f>
        <v>9.3154999999999996E-4</v>
      </c>
      <c r="AT18" s="137">
        <f t="shared" si="3"/>
        <v>7.3787569999999993</v>
      </c>
      <c r="AU18" s="137">
        <f t="shared" si="15"/>
        <v>107.620635152595</v>
      </c>
      <c r="AV18" s="137">
        <f t="shared" si="16"/>
        <v>0.114342504</v>
      </c>
      <c r="AW18" s="137">
        <f t="shared" si="17"/>
        <v>7.2827767000000003</v>
      </c>
      <c r="AX18" s="137">
        <f t="shared" si="18"/>
        <v>2.3864784999999999</v>
      </c>
      <c r="AY18" s="137">
        <f t="shared" si="19"/>
        <v>0.38900250999999997</v>
      </c>
      <c r="AZ18" s="137">
        <f t="shared" si="20"/>
        <v>1.037130115E-3</v>
      </c>
      <c r="BA18" s="137">
        <f t="shared" si="21"/>
        <v>1.6714252649999999</v>
      </c>
      <c r="BB18" s="137">
        <f t="shared" si="22"/>
        <v>0.49466770000000004</v>
      </c>
      <c r="BC18" s="137">
        <f t="shared" si="4"/>
        <v>0.33836313000000001</v>
      </c>
      <c r="BD18" s="137">
        <f t="shared" si="5"/>
        <v>8.9051043499999995E-4</v>
      </c>
      <c r="BE18" s="137">
        <f t="shared" si="6"/>
        <v>0.50717553999999998</v>
      </c>
      <c r="BF18" s="137">
        <f t="shared" si="7"/>
        <v>-4.7388644500000003E-4</v>
      </c>
      <c r="BG18" s="137">
        <f t="shared" si="8"/>
        <v>1.0615160600000002E-6</v>
      </c>
      <c r="BH18" s="137">
        <f t="shared" si="9"/>
        <v>8.9257335999999993E-3</v>
      </c>
      <c r="BI18" s="137">
        <f t="shared" si="10"/>
        <v>1.924231295E-2</v>
      </c>
      <c r="BJ18" s="137">
        <f t="shared" si="11"/>
        <v>1.8358295300000001E-2</v>
      </c>
      <c r="BK18" s="137">
        <f t="shared" si="12"/>
        <v>1.111047975E-3</v>
      </c>
      <c r="BL18" s="137">
        <f t="shared" si="13"/>
        <v>0.18899867400000001</v>
      </c>
      <c r="BM18" s="137">
        <f t="shared" si="14"/>
        <v>2.0228608249999998E-2</v>
      </c>
    </row>
    <row r="19" spans="1:65" x14ac:dyDescent="0.25">
      <c r="A19" s="149">
        <v>284</v>
      </c>
      <c r="B19" s="149">
        <v>43</v>
      </c>
      <c r="C19" s="61">
        <v>40.712775999999998</v>
      </c>
      <c r="D19" s="61">
        <v>-74.005954000000003</v>
      </c>
      <c r="E19" s="61" t="s">
        <v>265</v>
      </c>
      <c r="F19" s="149">
        <v>43</v>
      </c>
      <c r="G19" s="61" t="s">
        <v>565</v>
      </c>
      <c r="H19" s="61" t="s">
        <v>632</v>
      </c>
      <c r="I19" s="61">
        <v>40.689531000000002</v>
      </c>
      <c r="J19" s="61">
        <v>-74.174462000000005</v>
      </c>
      <c r="K19" s="61">
        <v>15.29610297</v>
      </c>
      <c r="L19" s="61">
        <v>21.715</v>
      </c>
      <c r="M19" s="61" t="s">
        <v>617</v>
      </c>
      <c r="N19" s="149">
        <v>42</v>
      </c>
      <c r="O19" s="149">
        <v>43</v>
      </c>
      <c r="P19" s="61" t="s">
        <v>565</v>
      </c>
      <c r="Q19" s="61" t="s">
        <v>555</v>
      </c>
      <c r="R19" s="61">
        <v>40.6895314</v>
      </c>
      <c r="S19" s="61">
        <v>-74.174462399999996</v>
      </c>
      <c r="T19" s="61">
        <v>21.715</v>
      </c>
      <c r="U19" s="61" t="s">
        <v>617</v>
      </c>
      <c r="V19" s="61" t="s">
        <v>617</v>
      </c>
      <c r="W19" s="61"/>
      <c r="Y19" s="137">
        <f>Summary_LCIA!H$32</f>
        <v>0.33979999999999999</v>
      </c>
      <c r="Z19" s="137">
        <f>Summary_LCIA!Q$32</f>
        <v>4.9560504329999997</v>
      </c>
      <c r="AA19" s="137">
        <f>Summary_LCIA!R$32</f>
        <v>5.2655999999999996E-3</v>
      </c>
      <c r="AB19" s="137">
        <f>Summary_LCIA!S$32</f>
        <v>0.33538000000000001</v>
      </c>
      <c r="AC19" s="137">
        <f>Summary_LCIA!T$32</f>
        <v>0.1099</v>
      </c>
      <c r="AD19" s="137">
        <f>Summary_LCIA!U$32</f>
        <v>1.7913999999999999E-2</v>
      </c>
      <c r="AE19" s="137">
        <f>Summary_LCIA!V$32</f>
        <v>4.7760999999999999E-5</v>
      </c>
      <c r="AF19" s="137">
        <f>Summary_LCIA!W$32</f>
        <v>7.6970999999999998E-2</v>
      </c>
      <c r="AG19" s="137">
        <f>Summary_LCIA!X$32</f>
        <v>2.2780000000000002E-2</v>
      </c>
      <c r="AH19" s="137">
        <f>Summary_LCIA!Y$32</f>
        <v>1.5582E-2</v>
      </c>
      <c r="AI19" s="137">
        <f>Summary_LCIA!Z$32</f>
        <v>4.1009E-5</v>
      </c>
      <c r="AJ19" s="137">
        <f>Summary_LCIA!AA$32</f>
        <v>2.3355999999999998E-2</v>
      </c>
      <c r="AK19" s="137">
        <f>Summary_LCIA!AB$32</f>
        <v>-2.1823000000000001E-5</v>
      </c>
      <c r="AL19" s="137">
        <f>Summary_LCIA!AC$32</f>
        <v>4.8884000000000003E-8</v>
      </c>
      <c r="AM19" s="137">
        <f>Summary_LCIA!AD$32</f>
        <v>4.1103999999999999E-4</v>
      </c>
      <c r="AN19" s="137">
        <f>Summary_LCIA!AE$32</f>
        <v>8.8612999999999995E-4</v>
      </c>
      <c r="AO19" s="137">
        <f>Summary_LCIA!AF$32</f>
        <v>8.4542000000000005E-4</v>
      </c>
      <c r="AP19" s="137">
        <f>Summary_LCIA!AG$32</f>
        <v>5.1165000000000002E-5</v>
      </c>
      <c r="AQ19" s="137">
        <f>Summary_LCIA!AH$32</f>
        <v>8.7036000000000006E-3</v>
      </c>
      <c r="AR19" s="137">
        <f>Summary_LCIA!AI$32</f>
        <v>9.3154999999999996E-4</v>
      </c>
      <c r="AT19" s="137">
        <f t="shared" si="3"/>
        <v>7.3787569999999993</v>
      </c>
      <c r="AU19" s="137">
        <f t="shared" si="15"/>
        <v>107.620635152595</v>
      </c>
      <c r="AV19" s="137">
        <f t="shared" si="16"/>
        <v>0.114342504</v>
      </c>
      <c r="AW19" s="137">
        <f t="shared" si="17"/>
        <v>7.2827767000000003</v>
      </c>
      <c r="AX19" s="137">
        <f t="shared" si="18"/>
        <v>2.3864784999999999</v>
      </c>
      <c r="AY19" s="137">
        <f t="shared" si="19"/>
        <v>0.38900250999999997</v>
      </c>
      <c r="AZ19" s="137">
        <f t="shared" si="20"/>
        <v>1.037130115E-3</v>
      </c>
      <c r="BA19" s="137">
        <f t="shared" si="21"/>
        <v>1.6714252649999999</v>
      </c>
      <c r="BB19" s="137">
        <f t="shared" si="22"/>
        <v>0.49466770000000004</v>
      </c>
      <c r="BC19" s="137">
        <f t="shared" si="4"/>
        <v>0.33836313000000001</v>
      </c>
      <c r="BD19" s="137">
        <f t="shared" si="5"/>
        <v>8.9051043499999995E-4</v>
      </c>
      <c r="BE19" s="137">
        <f t="shared" si="6"/>
        <v>0.50717553999999998</v>
      </c>
      <c r="BF19" s="137">
        <f t="shared" si="7"/>
        <v>-4.7388644500000003E-4</v>
      </c>
      <c r="BG19" s="137">
        <f t="shared" si="8"/>
        <v>1.0615160600000002E-6</v>
      </c>
      <c r="BH19" s="137">
        <f t="shared" si="9"/>
        <v>8.9257335999999993E-3</v>
      </c>
      <c r="BI19" s="137">
        <f t="shared" si="10"/>
        <v>1.924231295E-2</v>
      </c>
      <c r="BJ19" s="137">
        <f t="shared" si="11"/>
        <v>1.8358295300000001E-2</v>
      </c>
      <c r="BK19" s="137">
        <f t="shared" si="12"/>
        <v>1.111047975E-3</v>
      </c>
      <c r="BL19" s="137">
        <f t="shared" si="13"/>
        <v>0.18899867400000001</v>
      </c>
      <c r="BM19" s="137">
        <f t="shared" si="14"/>
        <v>2.0228608249999998E-2</v>
      </c>
    </row>
    <row r="20" spans="1:65" x14ac:dyDescent="0.25">
      <c r="A20" s="149">
        <v>285</v>
      </c>
      <c r="B20" s="149">
        <v>43</v>
      </c>
      <c r="C20" s="61">
        <v>40.712775000000001</v>
      </c>
      <c r="D20" s="61">
        <v>-74.005972999999997</v>
      </c>
      <c r="E20" s="61" t="s">
        <v>265</v>
      </c>
      <c r="F20" s="149">
        <v>43</v>
      </c>
      <c r="G20" s="61" t="s">
        <v>565</v>
      </c>
      <c r="H20" s="61" t="s">
        <v>632</v>
      </c>
      <c r="I20" s="61">
        <v>40.689531000000002</v>
      </c>
      <c r="J20" s="61">
        <v>-74.174462000000005</v>
      </c>
      <c r="K20" s="61">
        <v>15.294524689999999</v>
      </c>
      <c r="L20" s="61">
        <v>21.716000000000001</v>
      </c>
      <c r="M20" s="61" t="s">
        <v>617</v>
      </c>
      <c r="N20" s="149">
        <v>42</v>
      </c>
      <c r="O20" s="149">
        <v>43</v>
      </c>
      <c r="P20" s="61" t="s">
        <v>565</v>
      </c>
      <c r="Q20" s="61" t="s">
        <v>555</v>
      </c>
      <c r="R20" s="61">
        <v>40.6895314</v>
      </c>
      <c r="S20" s="61">
        <v>-74.174462399999996</v>
      </c>
      <c r="T20" s="61">
        <v>21.716999999999999</v>
      </c>
      <c r="U20" s="61" t="s">
        <v>617</v>
      </c>
      <c r="V20" s="61" t="s">
        <v>617</v>
      </c>
      <c r="W20" s="61"/>
      <c r="Y20" s="137">
        <f>Summary_LCIA!H$32</f>
        <v>0.33979999999999999</v>
      </c>
      <c r="Z20" s="137">
        <f>Summary_LCIA!Q$32</f>
        <v>4.9560504329999997</v>
      </c>
      <c r="AA20" s="137">
        <f>Summary_LCIA!R$32</f>
        <v>5.2655999999999996E-3</v>
      </c>
      <c r="AB20" s="137">
        <f>Summary_LCIA!S$32</f>
        <v>0.33538000000000001</v>
      </c>
      <c r="AC20" s="137">
        <f>Summary_LCIA!T$32</f>
        <v>0.1099</v>
      </c>
      <c r="AD20" s="137">
        <f>Summary_LCIA!U$32</f>
        <v>1.7913999999999999E-2</v>
      </c>
      <c r="AE20" s="137">
        <f>Summary_LCIA!V$32</f>
        <v>4.7760999999999999E-5</v>
      </c>
      <c r="AF20" s="137">
        <f>Summary_LCIA!W$32</f>
        <v>7.6970999999999998E-2</v>
      </c>
      <c r="AG20" s="137">
        <f>Summary_LCIA!X$32</f>
        <v>2.2780000000000002E-2</v>
      </c>
      <c r="AH20" s="137">
        <f>Summary_LCIA!Y$32</f>
        <v>1.5582E-2</v>
      </c>
      <c r="AI20" s="137">
        <f>Summary_LCIA!Z$32</f>
        <v>4.1009E-5</v>
      </c>
      <c r="AJ20" s="137">
        <f>Summary_LCIA!AA$32</f>
        <v>2.3355999999999998E-2</v>
      </c>
      <c r="AK20" s="137">
        <f>Summary_LCIA!AB$32</f>
        <v>-2.1823000000000001E-5</v>
      </c>
      <c r="AL20" s="137">
        <f>Summary_LCIA!AC$32</f>
        <v>4.8884000000000003E-8</v>
      </c>
      <c r="AM20" s="137">
        <f>Summary_LCIA!AD$32</f>
        <v>4.1103999999999999E-4</v>
      </c>
      <c r="AN20" s="137">
        <f>Summary_LCIA!AE$32</f>
        <v>8.8612999999999995E-4</v>
      </c>
      <c r="AO20" s="137">
        <f>Summary_LCIA!AF$32</f>
        <v>8.4542000000000005E-4</v>
      </c>
      <c r="AP20" s="137">
        <f>Summary_LCIA!AG$32</f>
        <v>5.1165000000000002E-5</v>
      </c>
      <c r="AQ20" s="137">
        <f>Summary_LCIA!AH$32</f>
        <v>8.7036000000000006E-3</v>
      </c>
      <c r="AR20" s="137">
        <f>Summary_LCIA!AI$32</f>
        <v>9.3154999999999996E-4</v>
      </c>
      <c r="AT20" s="137">
        <f t="shared" si="3"/>
        <v>7.3794365999999991</v>
      </c>
      <c r="AU20" s="137">
        <f t="shared" si="15"/>
        <v>107.63054725346099</v>
      </c>
      <c r="AV20" s="137">
        <f t="shared" si="16"/>
        <v>0.11435303519999998</v>
      </c>
      <c r="AW20" s="137">
        <f t="shared" si="17"/>
        <v>7.2834474599999997</v>
      </c>
      <c r="AX20" s="137">
        <f t="shared" si="18"/>
        <v>2.3866982999999999</v>
      </c>
      <c r="AY20" s="137">
        <f t="shared" si="19"/>
        <v>0.38903833799999998</v>
      </c>
      <c r="AZ20" s="137">
        <f t="shared" si="20"/>
        <v>1.037225637E-3</v>
      </c>
      <c r="BA20" s="137">
        <f t="shared" si="21"/>
        <v>1.671579207</v>
      </c>
      <c r="BB20" s="137">
        <f t="shared" si="22"/>
        <v>0.49471325999999999</v>
      </c>
      <c r="BC20" s="137">
        <f t="shared" si="4"/>
        <v>0.33839429399999998</v>
      </c>
      <c r="BD20" s="137">
        <f t="shared" si="5"/>
        <v>8.9059245299999998E-4</v>
      </c>
      <c r="BE20" s="137">
        <f t="shared" si="6"/>
        <v>0.50722225199999993</v>
      </c>
      <c r="BF20" s="137">
        <f t="shared" si="7"/>
        <v>-4.7393009099999997E-4</v>
      </c>
      <c r="BG20" s="137">
        <f t="shared" si="8"/>
        <v>1.0616138279999999E-6</v>
      </c>
      <c r="BH20" s="137">
        <f t="shared" si="9"/>
        <v>8.92655568E-3</v>
      </c>
      <c r="BI20" s="137">
        <f t="shared" si="10"/>
        <v>1.9244085209999998E-2</v>
      </c>
      <c r="BJ20" s="137">
        <f t="shared" si="11"/>
        <v>1.8359986139999999E-2</v>
      </c>
      <c r="BK20" s="137">
        <f t="shared" si="12"/>
        <v>1.1111503050000001E-3</v>
      </c>
      <c r="BL20" s="137">
        <f t="shared" si="13"/>
        <v>0.18901608119999999</v>
      </c>
      <c r="BM20" s="137">
        <f t="shared" si="14"/>
        <v>2.0230471349999998E-2</v>
      </c>
    </row>
    <row r="21" spans="1:65" x14ac:dyDescent="0.25">
      <c r="A21" s="149">
        <v>175</v>
      </c>
      <c r="B21" s="149">
        <v>43</v>
      </c>
      <c r="C21" s="61">
        <v>40.678178000000003</v>
      </c>
      <c r="D21" s="61">
        <v>-73.944158000000002</v>
      </c>
      <c r="E21" s="61" t="s">
        <v>265</v>
      </c>
      <c r="F21" s="149">
        <v>20</v>
      </c>
      <c r="G21" s="61" t="s">
        <v>565</v>
      </c>
      <c r="H21" s="61" t="s">
        <v>689</v>
      </c>
      <c r="I21" s="61">
        <v>40.641311000000002</v>
      </c>
      <c r="J21" s="61">
        <v>-73.778138999999996</v>
      </c>
      <c r="K21" s="61">
        <v>14.69230808</v>
      </c>
      <c r="L21" s="61">
        <v>17.010000000000002</v>
      </c>
      <c r="M21" s="61" t="s">
        <v>617</v>
      </c>
      <c r="N21" s="149">
        <v>42</v>
      </c>
      <c r="O21" s="149">
        <v>43</v>
      </c>
      <c r="P21" s="61" t="s">
        <v>565</v>
      </c>
      <c r="Q21" s="61" t="s">
        <v>555</v>
      </c>
      <c r="R21" s="61">
        <v>40.6895314</v>
      </c>
      <c r="S21" s="61">
        <v>-74.174462399999996</v>
      </c>
      <c r="T21" s="61">
        <v>28.129000000000001</v>
      </c>
      <c r="U21" s="61" t="s">
        <v>617</v>
      </c>
      <c r="V21" s="61" t="s">
        <v>617</v>
      </c>
      <c r="W21" s="61"/>
      <c r="Y21" s="137">
        <f>Summary_LCIA!H$32</f>
        <v>0.33979999999999999</v>
      </c>
      <c r="Z21" s="137">
        <f>Summary_LCIA!Q$32</f>
        <v>4.9560504329999997</v>
      </c>
      <c r="AA21" s="137">
        <f>Summary_LCIA!R$32</f>
        <v>5.2655999999999996E-3</v>
      </c>
      <c r="AB21" s="137">
        <f>Summary_LCIA!S$32</f>
        <v>0.33538000000000001</v>
      </c>
      <c r="AC21" s="137">
        <f>Summary_LCIA!T$32</f>
        <v>0.1099</v>
      </c>
      <c r="AD21" s="137">
        <f>Summary_LCIA!U$32</f>
        <v>1.7913999999999999E-2</v>
      </c>
      <c r="AE21" s="137">
        <f>Summary_LCIA!V$32</f>
        <v>4.7760999999999999E-5</v>
      </c>
      <c r="AF21" s="137">
        <f>Summary_LCIA!W$32</f>
        <v>7.6970999999999998E-2</v>
      </c>
      <c r="AG21" s="137">
        <f>Summary_LCIA!X$32</f>
        <v>2.2780000000000002E-2</v>
      </c>
      <c r="AH21" s="137">
        <f>Summary_LCIA!Y$32</f>
        <v>1.5582E-2</v>
      </c>
      <c r="AI21" s="137">
        <f>Summary_LCIA!Z$32</f>
        <v>4.1009E-5</v>
      </c>
      <c r="AJ21" s="137">
        <f>Summary_LCIA!AA$32</f>
        <v>2.3355999999999998E-2</v>
      </c>
      <c r="AK21" s="137">
        <f>Summary_LCIA!AB$32</f>
        <v>-2.1823000000000001E-5</v>
      </c>
      <c r="AL21" s="137">
        <f>Summary_LCIA!AC$32</f>
        <v>4.8884000000000003E-8</v>
      </c>
      <c r="AM21" s="137">
        <f>Summary_LCIA!AD$32</f>
        <v>4.1103999999999999E-4</v>
      </c>
      <c r="AN21" s="137">
        <f>Summary_LCIA!AE$32</f>
        <v>8.8612999999999995E-4</v>
      </c>
      <c r="AO21" s="137">
        <f>Summary_LCIA!AF$32</f>
        <v>8.4542000000000005E-4</v>
      </c>
      <c r="AP21" s="137">
        <f>Summary_LCIA!AG$32</f>
        <v>5.1165000000000002E-5</v>
      </c>
      <c r="AQ21" s="137">
        <f>Summary_LCIA!AH$32</f>
        <v>8.7036000000000006E-3</v>
      </c>
      <c r="AR21" s="137">
        <f>Summary_LCIA!AI$32</f>
        <v>9.3154999999999996E-4</v>
      </c>
      <c r="AT21" s="137">
        <f t="shared" si="3"/>
        <v>9.5582341999999993</v>
      </c>
      <c r="AU21" s="137">
        <f t="shared" si="15"/>
        <v>139.40874262985699</v>
      </c>
      <c r="AV21" s="137">
        <f t="shared" si="16"/>
        <v>0.1481160624</v>
      </c>
      <c r="AW21" s="137">
        <f t="shared" si="17"/>
        <v>9.4339040199999999</v>
      </c>
      <c r="AX21" s="137">
        <f t="shared" si="18"/>
        <v>3.0913770999999999</v>
      </c>
      <c r="AY21" s="137">
        <f t="shared" si="19"/>
        <v>0.50390290599999998</v>
      </c>
      <c r="AZ21" s="137">
        <f t="shared" si="20"/>
        <v>1.3434691690000001E-3</v>
      </c>
      <c r="BA21" s="137">
        <f t="shared" si="21"/>
        <v>2.1651172590000001</v>
      </c>
      <c r="BB21" s="137">
        <f t="shared" si="22"/>
        <v>0.64077862000000008</v>
      </c>
      <c r="BC21" s="137">
        <f t="shared" si="4"/>
        <v>0.43830607800000004</v>
      </c>
      <c r="BD21" s="137">
        <f t="shared" si="5"/>
        <v>1.153542161E-3</v>
      </c>
      <c r="BE21" s="137">
        <f t="shared" si="6"/>
        <v>0.65698092399999997</v>
      </c>
      <c r="BF21" s="137">
        <f t="shared" si="7"/>
        <v>-6.13859167E-4</v>
      </c>
      <c r="BG21" s="137">
        <f t="shared" si="8"/>
        <v>1.3750580360000002E-6</v>
      </c>
      <c r="BH21" s="137">
        <f t="shared" si="9"/>
        <v>1.1562144160000001E-2</v>
      </c>
      <c r="BI21" s="137">
        <f t="shared" si="10"/>
        <v>2.492595077E-2</v>
      </c>
      <c r="BJ21" s="137">
        <f t="shared" si="11"/>
        <v>2.3780819180000003E-2</v>
      </c>
      <c r="BK21" s="137">
        <f t="shared" si="12"/>
        <v>1.4392202850000001E-3</v>
      </c>
      <c r="BL21" s="137">
        <f t="shared" si="13"/>
        <v>0.24482356440000003</v>
      </c>
      <c r="BM21" s="137">
        <f t="shared" si="14"/>
        <v>2.6203569949999998E-2</v>
      </c>
    </row>
    <row r="22" spans="1:65" x14ac:dyDescent="0.25">
      <c r="A22" s="149">
        <v>207</v>
      </c>
      <c r="B22" s="149">
        <v>16</v>
      </c>
      <c r="C22" s="61">
        <v>39.739235999999998</v>
      </c>
      <c r="D22" s="61">
        <v>-104.990251</v>
      </c>
      <c r="E22" s="61" t="s">
        <v>265</v>
      </c>
      <c r="F22" s="149">
        <v>16</v>
      </c>
      <c r="G22" s="61" t="s">
        <v>565</v>
      </c>
      <c r="H22" s="61" t="s">
        <v>645</v>
      </c>
      <c r="I22" s="61">
        <v>39.856096000000001</v>
      </c>
      <c r="J22" s="61">
        <v>-104.673738</v>
      </c>
      <c r="K22" s="61">
        <v>32.480303239999998</v>
      </c>
      <c r="L22" s="61">
        <v>43.084000000000003</v>
      </c>
      <c r="M22" s="61" t="s">
        <v>617</v>
      </c>
      <c r="N22" s="149">
        <v>15</v>
      </c>
      <c r="O22" s="149">
        <v>16</v>
      </c>
      <c r="P22" s="61" t="s">
        <v>565</v>
      </c>
      <c r="Q22" s="61" t="s">
        <v>556</v>
      </c>
      <c r="R22" s="61">
        <v>39.856096299999997</v>
      </c>
      <c r="S22" s="61">
        <v>-104.6737376</v>
      </c>
      <c r="T22" s="61">
        <v>43.084000000000003</v>
      </c>
      <c r="U22" s="61" t="s">
        <v>617</v>
      </c>
      <c r="V22" s="61" t="s">
        <v>617</v>
      </c>
      <c r="W22" s="61"/>
      <c r="Y22" s="137">
        <f>Summary_LCIA!H$32</f>
        <v>0.33979999999999999</v>
      </c>
      <c r="Z22" s="137">
        <f>Summary_LCIA!Q$32</f>
        <v>4.9560504329999997</v>
      </c>
      <c r="AA22" s="137">
        <f>Summary_LCIA!R$32</f>
        <v>5.2655999999999996E-3</v>
      </c>
      <c r="AB22" s="137">
        <f>Summary_LCIA!S$32</f>
        <v>0.33538000000000001</v>
      </c>
      <c r="AC22" s="137">
        <f>Summary_LCIA!T$32</f>
        <v>0.1099</v>
      </c>
      <c r="AD22" s="137">
        <f>Summary_LCIA!U$32</f>
        <v>1.7913999999999999E-2</v>
      </c>
      <c r="AE22" s="137">
        <f>Summary_LCIA!V$32</f>
        <v>4.7760999999999999E-5</v>
      </c>
      <c r="AF22" s="137">
        <f>Summary_LCIA!W$32</f>
        <v>7.6970999999999998E-2</v>
      </c>
      <c r="AG22" s="137">
        <f>Summary_LCIA!X$32</f>
        <v>2.2780000000000002E-2</v>
      </c>
      <c r="AH22" s="137">
        <f>Summary_LCIA!Y$32</f>
        <v>1.5582E-2</v>
      </c>
      <c r="AI22" s="137">
        <f>Summary_LCIA!Z$32</f>
        <v>4.1009E-5</v>
      </c>
      <c r="AJ22" s="137">
        <f>Summary_LCIA!AA$32</f>
        <v>2.3355999999999998E-2</v>
      </c>
      <c r="AK22" s="137">
        <f>Summary_LCIA!AB$32</f>
        <v>-2.1823000000000001E-5</v>
      </c>
      <c r="AL22" s="137">
        <f>Summary_LCIA!AC$32</f>
        <v>4.8884000000000003E-8</v>
      </c>
      <c r="AM22" s="137">
        <f>Summary_LCIA!AD$32</f>
        <v>4.1103999999999999E-4</v>
      </c>
      <c r="AN22" s="137">
        <f>Summary_LCIA!AE$32</f>
        <v>8.8612999999999995E-4</v>
      </c>
      <c r="AO22" s="137">
        <f>Summary_LCIA!AF$32</f>
        <v>8.4542000000000005E-4</v>
      </c>
      <c r="AP22" s="137">
        <f>Summary_LCIA!AG$32</f>
        <v>5.1165000000000002E-5</v>
      </c>
      <c r="AQ22" s="137">
        <f>Summary_LCIA!AH$32</f>
        <v>8.7036000000000006E-3</v>
      </c>
      <c r="AR22" s="137">
        <f>Summary_LCIA!AI$32</f>
        <v>9.3154999999999996E-4</v>
      </c>
      <c r="AT22" s="137">
        <f t="shared" si="3"/>
        <v>14.639943200000001</v>
      </c>
      <c r="AU22" s="137">
        <f t="shared" si="15"/>
        <v>213.52647685537201</v>
      </c>
      <c r="AV22" s="137">
        <f t="shared" si="16"/>
        <v>0.22686311040000001</v>
      </c>
      <c r="AW22" s="137">
        <f t="shared" si="17"/>
        <v>14.449511920000001</v>
      </c>
      <c r="AX22" s="137">
        <f t="shared" si="18"/>
        <v>4.7349316000000004</v>
      </c>
      <c r="AY22" s="137">
        <f t="shared" si="19"/>
        <v>0.77180677600000003</v>
      </c>
      <c r="AZ22" s="137">
        <f t="shared" si="20"/>
        <v>2.0577349240000001E-3</v>
      </c>
      <c r="BA22" s="137">
        <f t="shared" si="21"/>
        <v>3.3162185640000001</v>
      </c>
      <c r="BB22" s="137">
        <f t="shared" si="22"/>
        <v>0.98145352000000019</v>
      </c>
      <c r="BC22" s="137">
        <f t="shared" si="4"/>
        <v>0.67133488800000007</v>
      </c>
      <c r="BD22" s="137">
        <f t="shared" si="5"/>
        <v>1.7668317560000002E-3</v>
      </c>
      <c r="BE22" s="137">
        <f t="shared" si="6"/>
        <v>1.006269904</v>
      </c>
      <c r="BF22" s="137">
        <f t="shared" si="7"/>
        <v>-9.4022213200000012E-4</v>
      </c>
      <c r="BG22" s="137">
        <f t="shared" si="8"/>
        <v>2.1061182560000002E-6</v>
      </c>
      <c r="BH22" s="137">
        <f t="shared" si="9"/>
        <v>1.7709247359999999E-2</v>
      </c>
      <c r="BI22" s="137">
        <f t="shared" si="10"/>
        <v>3.8178024919999998E-2</v>
      </c>
      <c r="BJ22" s="137">
        <f t="shared" si="11"/>
        <v>3.6424075280000003E-2</v>
      </c>
      <c r="BK22" s="137">
        <f t="shared" si="12"/>
        <v>2.2043928600000004E-3</v>
      </c>
      <c r="BL22" s="137">
        <f t="shared" si="13"/>
        <v>0.37498590240000007</v>
      </c>
      <c r="BM22" s="137">
        <f t="shared" si="14"/>
        <v>4.0134900200000004E-2</v>
      </c>
    </row>
    <row r="23" spans="1:65" x14ac:dyDescent="0.25">
      <c r="A23" s="149">
        <v>208</v>
      </c>
      <c r="B23" s="149">
        <v>16</v>
      </c>
      <c r="C23" s="61">
        <v>39.739235999999998</v>
      </c>
      <c r="D23" s="61">
        <v>-104.990251</v>
      </c>
      <c r="E23" s="61" t="s">
        <v>265</v>
      </c>
      <c r="F23" s="149">
        <v>16</v>
      </c>
      <c r="G23" s="61" t="s">
        <v>565</v>
      </c>
      <c r="H23" s="61" t="s">
        <v>645</v>
      </c>
      <c r="I23" s="61">
        <v>39.856096000000001</v>
      </c>
      <c r="J23" s="61">
        <v>-104.673738</v>
      </c>
      <c r="K23" s="61">
        <v>32.480303239999998</v>
      </c>
      <c r="L23" s="61">
        <v>43.084000000000003</v>
      </c>
      <c r="M23" s="61" t="s">
        <v>617</v>
      </c>
      <c r="N23" s="149">
        <v>15</v>
      </c>
      <c r="O23" s="149">
        <v>16</v>
      </c>
      <c r="P23" s="61" t="s">
        <v>565</v>
      </c>
      <c r="Q23" s="61" t="s">
        <v>556</v>
      </c>
      <c r="R23" s="61">
        <v>39.856096299999997</v>
      </c>
      <c r="S23" s="61">
        <v>-104.6737376</v>
      </c>
      <c r="T23" s="61">
        <v>43.084000000000003</v>
      </c>
      <c r="U23" s="61" t="s">
        <v>617</v>
      </c>
      <c r="V23" s="61" t="s">
        <v>617</v>
      </c>
      <c r="W23" s="61"/>
      <c r="Y23" s="137">
        <f>Summary_LCIA!H$32</f>
        <v>0.33979999999999999</v>
      </c>
      <c r="Z23" s="137">
        <f>Summary_LCIA!Q$32</f>
        <v>4.9560504329999997</v>
      </c>
      <c r="AA23" s="137">
        <f>Summary_LCIA!R$32</f>
        <v>5.2655999999999996E-3</v>
      </c>
      <c r="AB23" s="137">
        <f>Summary_LCIA!S$32</f>
        <v>0.33538000000000001</v>
      </c>
      <c r="AC23" s="137">
        <f>Summary_LCIA!T$32</f>
        <v>0.1099</v>
      </c>
      <c r="AD23" s="137">
        <f>Summary_LCIA!U$32</f>
        <v>1.7913999999999999E-2</v>
      </c>
      <c r="AE23" s="137">
        <f>Summary_LCIA!V$32</f>
        <v>4.7760999999999999E-5</v>
      </c>
      <c r="AF23" s="137">
        <f>Summary_LCIA!W$32</f>
        <v>7.6970999999999998E-2</v>
      </c>
      <c r="AG23" s="137">
        <f>Summary_LCIA!X$32</f>
        <v>2.2780000000000002E-2</v>
      </c>
      <c r="AH23" s="137">
        <f>Summary_LCIA!Y$32</f>
        <v>1.5582E-2</v>
      </c>
      <c r="AI23" s="137">
        <f>Summary_LCIA!Z$32</f>
        <v>4.1009E-5</v>
      </c>
      <c r="AJ23" s="137">
        <f>Summary_LCIA!AA$32</f>
        <v>2.3355999999999998E-2</v>
      </c>
      <c r="AK23" s="137">
        <f>Summary_LCIA!AB$32</f>
        <v>-2.1823000000000001E-5</v>
      </c>
      <c r="AL23" s="137">
        <f>Summary_LCIA!AC$32</f>
        <v>4.8884000000000003E-8</v>
      </c>
      <c r="AM23" s="137">
        <f>Summary_LCIA!AD$32</f>
        <v>4.1103999999999999E-4</v>
      </c>
      <c r="AN23" s="137">
        <f>Summary_LCIA!AE$32</f>
        <v>8.8612999999999995E-4</v>
      </c>
      <c r="AO23" s="137">
        <f>Summary_LCIA!AF$32</f>
        <v>8.4542000000000005E-4</v>
      </c>
      <c r="AP23" s="137">
        <f>Summary_LCIA!AG$32</f>
        <v>5.1165000000000002E-5</v>
      </c>
      <c r="AQ23" s="137">
        <f>Summary_LCIA!AH$32</f>
        <v>8.7036000000000006E-3</v>
      </c>
      <c r="AR23" s="137">
        <f>Summary_LCIA!AI$32</f>
        <v>9.3154999999999996E-4</v>
      </c>
      <c r="AT23" s="137">
        <f t="shared" si="3"/>
        <v>14.639943200000001</v>
      </c>
      <c r="AU23" s="137">
        <f t="shared" si="15"/>
        <v>213.52647685537201</v>
      </c>
      <c r="AV23" s="137">
        <f t="shared" si="16"/>
        <v>0.22686311040000001</v>
      </c>
      <c r="AW23" s="137">
        <f t="shared" si="17"/>
        <v>14.449511920000001</v>
      </c>
      <c r="AX23" s="137">
        <f t="shared" si="18"/>
        <v>4.7349316000000004</v>
      </c>
      <c r="AY23" s="137">
        <f t="shared" si="19"/>
        <v>0.77180677600000003</v>
      </c>
      <c r="AZ23" s="137">
        <f t="shared" si="20"/>
        <v>2.0577349240000001E-3</v>
      </c>
      <c r="BA23" s="137">
        <f t="shared" si="21"/>
        <v>3.3162185640000001</v>
      </c>
      <c r="BB23" s="137">
        <f t="shared" si="22"/>
        <v>0.98145352000000019</v>
      </c>
      <c r="BC23" s="137">
        <f t="shared" si="4"/>
        <v>0.67133488800000007</v>
      </c>
      <c r="BD23" s="137">
        <f t="shared" si="5"/>
        <v>1.7668317560000002E-3</v>
      </c>
      <c r="BE23" s="137">
        <f t="shared" si="6"/>
        <v>1.006269904</v>
      </c>
      <c r="BF23" s="137">
        <f t="shared" si="7"/>
        <v>-9.4022213200000012E-4</v>
      </c>
      <c r="BG23" s="137">
        <f t="shared" si="8"/>
        <v>2.1061182560000002E-6</v>
      </c>
      <c r="BH23" s="137">
        <f t="shared" si="9"/>
        <v>1.7709247359999999E-2</v>
      </c>
      <c r="BI23" s="137">
        <f t="shared" si="10"/>
        <v>3.8178024919999998E-2</v>
      </c>
      <c r="BJ23" s="137">
        <f t="shared" si="11"/>
        <v>3.6424075280000003E-2</v>
      </c>
      <c r="BK23" s="137">
        <f t="shared" si="12"/>
        <v>2.2043928600000004E-3</v>
      </c>
      <c r="BL23" s="137">
        <f t="shared" si="13"/>
        <v>0.37498590240000007</v>
      </c>
      <c r="BM23" s="137">
        <f t="shared" si="14"/>
        <v>4.0134900200000004E-2</v>
      </c>
    </row>
    <row r="24" spans="1:65" x14ac:dyDescent="0.25">
      <c r="A24" s="149">
        <v>206</v>
      </c>
      <c r="B24" s="149">
        <v>16</v>
      </c>
      <c r="C24" s="61">
        <v>39.514285000000001</v>
      </c>
      <c r="D24" s="61">
        <v>-104.845462</v>
      </c>
      <c r="E24" s="61" t="s">
        <v>265</v>
      </c>
      <c r="F24" s="149">
        <v>16</v>
      </c>
      <c r="G24" s="61" t="s">
        <v>565</v>
      </c>
      <c r="H24" s="61" t="s">
        <v>645</v>
      </c>
      <c r="I24" s="61">
        <v>39.856096000000001</v>
      </c>
      <c r="J24" s="61">
        <v>-104.673738</v>
      </c>
      <c r="K24" s="61">
        <v>66.458705199999997</v>
      </c>
      <c r="L24" s="61">
        <v>55.151000000000003</v>
      </c>
      <c r="M24" s="61" t="s">
        <v>617</v>
      </c>
      <c r="N24" s="149">
        <v>15</v>
      </c>
      <c r="O24" s="149">
        <v>16</v>
      </c>
      <c r="P24" s="61" t="s">
        <v>565</v>
      </c>
      <c r="Q24" s="61" t="s">
        <v>556</v>
      </c>
      <c r="R24" s="61">
        <v>39.856096299999997</v>
      </c>
      <c r="S24" s="61">
        <v>-104.6737376</v>
      </c>
      <c r="T24" s="61">
        <v>55.151000000000003</v>
      </c>
      <c r="U24" s="61" t="s">
        <v>617</v>
      </c>
      <c r="V24" s="61" t="s">
        <v>617</v>
      </c>
      <c r="W24" s="61"/>
      <c r="Y24" s="137">
        <f>Summary_LCIA!H$32</f>
        <v>0.33979999999999999</v>
      </c>
      <c r="Z24" s="137">
        <f>Summary_LCIA!Q$32</f>
        <v>4.9560504329999997</v>
      </c>
      <c r="AA24" s="137">
        <f>Summary_LCIA!R$32</f>
        <v>5.2655999999999996E-3</v>
      </c>
      <c r="AB24" s="137">
        <f>Summary_LCIA!S$32</f>
        <v>0.33538000000000001</v>
      </c>
      <c r="AC24" s="137">
        <f>Summary_LCIA!T$32</f>
        <v>0.1099</v>
      </c>
      <c r="AD24" s="137">
        <f>Summary_LCIA!U$32</f>
        <v>1.7913999999999999E-2</v>
      </c>
      <c r="AE24" s="137">
        <f>Summary_LCIA!V$32</f>
        <v>4.7760999999999999E-5</v>
      </c>
      <c r="AF24" s="137">
        <f>Summary_LCIA!W$32</f>
        <v>7.6970999999999998E-2</v>
      </c>
      <c r="AG24" s="137">
        <f>Summary_LCIA!X$32</f>
        <v>2.2780000000000002E-2</v>
      </c>
      <c r="AH24" s="137">
        <f>Summary_LCIA!Y$32</f>
        <v>1.5582E-2</v>
      </c>
      <c r="AI24" s="137">
        <f>Summary_LCIA!Z$32</f>
        <v>4.1009E-5</v>
      </c>
      <c r="AJ24" s="137">
        <f>Summary_LCIA!AA$32</f>
        <v>2.3355999999999998E-2</v>
      </c>
      <c r="AK24" s="137">
        <f>Summary_LCIA!AB$32</f>
        <v>-2.1823000000000001E-5</v>
      </c>
      <c r="AL24" s="137">
        <f>Summary_LCIA!AC$32</f>
        <v>4.8884000000000003E-8</v>
      </c>
      <c r="AM24" s="137">
        <f>Summary_LCIA!AD$32</f>
        <v>4.1103999999999999E-4</v>
      </c>
      <c r="AN24" s="137">
        <f>Summary_LCIA!AE$32</f>
        <v>8.8612999999999995E-4</v>
      </c>
      <c r="AO24" s="137">
        <f>Summary_LCIA!AF$32</f>
        <v>8.4542000000000005E-4</v>
      </c>
      <c r="AP24" s="137">
        <f>Summary_LCIA!AG$32</f>
        <v>5.1165000000000002E-5</v>
      </c>
      <c r="AQ24" s="137">
        <f>Summary_LCIA!AH$32</f>
        <v>8.7036000000000006E-3</v>
      </c>
      <c r="AR24" s="137">
        <f>Summary_LCIA!AI$32</f>
        <v>9.3154999999999996E-4</v>
      </c>
      <c r="AT24" s="137">
        <f t="shared" si="3"/>
        <v>18.740309800000002</v>
      </c>
      <c r="AU24" s="137">
        <f t="shared" si="15"/>
        <v>273.33113743038302</v>
      </c>
      <c r="AV24" s="137">
        <f t="shared" si="16"/>
        <v>0.29040310559999999</v>
      </c>
      <c r="AW24" s="137">
        <f t="shared" si="17"/>
        <v>18.496542380000001</v>
      </c>
      <c r="AX24" s="137">
        <f t="shared" si="18"/>
        <v>6.0610949000000005</v>
      </c>
      <c r="AY24" s="137">
        <f t="shared" si="19"/>
        <v>0.98797501399999998</v>
      </c>
      <c r="AZ24" s="137">
        <f t="shared" si="20"/>
        <v>2.6340669110000003E-3</v>
      </c>
      <c r="BA24" s="137">
        <f t="shared" si="21"/>
        <v>4.2450276210000002</v>
      </c>
      <c r="BB24" s="137">
        <f t="shared" si="22"/>
        <v>1.2563397800000002</v>
      </c>
      <c r="BC24" s="137">
        <f t="shared" si="4"/>
        <v>0.85936288200000011</v>
      </c>
      <c r="BD24" s="137">
        <f t="shared" si="5"/>
        <v>2.2616873589999999E-3</v>
      </c>
      <c r="BE24" s="137">
        <f t="shared" si="6"/>
        <v>1.2881067559999999</v>
      </c>
      <c r="BF24" s="137">
        <f t="shared" si="7"/>
        <v>-1.2035602730000002E-3</v>
      </c>
      <c r="BG24" s="137">
        <f t="shared" si="8"/>
        <v>2.6960014840000004E-6</v>
      </c>
      <c r="BH24" s="137">
        <f t="shared" si="9"/>
        <v>2.266926704E-2</v>
      </c>
      <c r="BI24" s="137">
        <f t="shared" si="10"/>
        <v>4.8870955629999997E-2</v>
      </c>
      <c r="BJ24" s="137">
        <f t="shared" si="11"/>
        <v>4.6625758420000003E-2</v>
      </c>
      <c r="BK24" s="137">
        <f t="shared" si="12"/>
        <v>2.8218009150000004E-3</v>
      </c>
      <c r="BL24" s="137">
        <f t="shared" si="13"/>
        <v>0.48001224360000005</v>
      </c>
      <c r="BM24" s="137">
        <f t="shared" si="14"/>
        <v>5.1375914049999999E-2</v>
      </c>
    </row>
    <row r="25" spans="1:65" x14ac:dyDescent="0.25">
      <c r="A25" s="149">
        <v>226</v>
      </c>
      <c r="B25" s="149">
        <v>16</v>
      </c>
      <c r="C25" s="61">
        <v>39.755543000000003</v>
      </c>
      <c r="D25" s="61">
        <v>-105.22110000000001</v>
      </c>
      <c r="E25" s="61" t="s">
        <v>265</v>
      </c>
      <c r="F25" s="149">
        <v>16</v>
      </c>
      <c r="G25" s="61" t="s">
        <v>565</v>
      </c>
      <c r="H25" s="61" t="s">
        <v>645</v>
      </c>
      <c r="I25" s="61">
        <v>39.856096000000001</v>
      </c>
      <c r="J25" s="61">
        <v>-104.673738</v>
      </c>
      <c r="K25" s="61">
        <v>48.393650190000002</v>
      </c>
      <c r="L25" s="61">
        <v>58.264000000000003</v>
      </c>
      <c r="M25" s="61" t="s">
        <v>617</v>
      </c>
      <c r="N25" s="149">
        <v>15</v>
      </c>
      <c r="O25" s="149">
        <v>16</v>
      </c>
      <c r="P25" s="61" t="s">
        <v>565</v>
      </c>
      <c r="Q25" s="61" t="s">
        <v>556</v>
      </c>
      <c r="R25" s="61">
        <v>39.856096299999997</v>
      </c>
      <c r="S25" s="61">
        <v>-104.6737376</v>
      </c>
      <c r="T25" s="61">
        <v>58.264000000000003</v>
      </c>
      <c r="U25" s="61" t="s">
        <v>617</v>
      </c>
      <c r="V25" s="61" t="s">
        <v>617</v>
      </c>
      <c r="W25" s="61"/>
      <c r="Y25" s="137">
        <f>Summary_LCIA!H$32</f>
        <v>0.33979999999999999</v>
      </c>
      <c r="Z25" s="137">
        <f>Summary_LCIA!Q$32</f>
        <v>4.9560504329999997</v>
      </c>
      <c r="AA25" s="137">
        <f>Summary_LCIA!R$32</f>
        <v>5.2655999999999996E-3</v>
      </c>
      <c r="AB25" s="137">
        <f>Summary_LCIA!S$32</f>
        <v>0.33538000000000001</v>
      </c>
      <c r="AC25" s="137">
        <f>Summary_LCIA!T$32</f>
        <v>0.1099</v>
      </c>
      <c r="AD25" s="137">
        <f>Summary_LCIA!U$32</f>
        <v>1.7913999999999999E-2</v>
      </c>
      <c r="AE25" s="137">
        <f>Summary_LCIA!V$32</f>
        <v>4.7760999999999999E-5</v>
      </c>
      <c r="AF25" s="137">
        <f>Summary_LCIA!W$32</f>
        <v>7.6970999999999998E-2</v>
      </c>
      <c r="AG25" s="137">
        <f>Summary_LCIA!X$32</f>
        <v>2.2780000000000002E-2</v>
      </c>
      <c r="AH25" s="137">
        <f>Summary_LCIA!Y$32</f>
        <v>1.5582E-2</v>
      </c>
      <c r="AI25" s="137">
        <f>Summary_LCIA!Z$32</f>
        <v>4.1009E-5</v>
      </c>
      <c r="AJ25" s="137">
        <f>Summary_LCIA!AA$32</f>
        <v>2.3355999999999998E-2</v>
      </c>
      <c r="AK25" s="137">
        <f>Summary_LCIA!AB$32</f>
        <v>-2.1823000000000001E-5</v>
      </c>
      <c r="AL25" s="137">
        <f>Summary_LCIA!AC$32</f>
        <v>4.8884000000000003E-8</v>
      </c>
      <c r="AM25" s="137">
        <f>Summary_LCIA!AD$32</f>
        <v>4.1103999999999999E-4</v>
      </c>
      <c r="AN25" s="137">
        <f>Summary_LCIA!AE$32</f>
        <v>8.8612999999999995E-4</v>
      </c>
      <c r="AO25" s="137">
        <f>Summary_LCIA!AF$32</f>
        <v>8.4542000000000005E-4</v>
      </c>
      <c r="AP25" s="137">
        <f>Summary_LCIA!AG$32</f>
        <v>5.1165000000000002E-5</v>
      </c>
      <c r="AQ25" s="137">
        <f>Summary_LCIA!AH$32</f>
        <v>8.7036000000000006E-3</v>
      </c>
      <c r="AR25" s="137">
        <f>Summary_LCIA!AI$32</f>
        <v>9.3154999999999996E-4</v>
      </c>
      <c r="AT25" s="137">
        <f t="shared" si="3"/>
        <v>19.7981072</v>
      </c>
      <c r="AU25" s="137">
        <f t="shared" si="15"/>
        <v>288.75932242831198</v>
      </c>
      <c r="AV25" s="137">
        <f t="shared" si="16"/>
        <v>0.30679491840000001</v>
      </c>
      <c r="AW25" s="137">
        <f t="shared" si="17"/>
        <v>19.54058032</v>
      </c>
      <c r="AX25" s="137">
        <f t="shared" si="18"/>
        <v>6.4032135999999999</v>
      </c>
      <c r="AY25" s="137">
        <f t="shared" si="19"/>
        <v>1.0437412960000001</v>
      </c>
      <c r="AZ25" s="137">
        <f t="shared" si="20"/>
        <v>2.7827469039999999E-3</v>
      </c>
      <c r="BA25" s="137">
        <f t="shared" si="21"/>
        <v>4.4846383440000004</v>
      </c>
      <c r="BB25" s="137">
        <f t="shared" si="22"/>
        <v>1.3272539200000002</v>
      </c>
      <c r="BC25" s="137">
        <f t="shared" si="4"/>
        <v>0.90786964800000003</v>
      </c>
      <c r="BD25" s="137">
        <f t="shared" si="5"/>
        <v>2.3893483760000001E-3</v>
      </c>
      <c r="BE25" s="137">
        <f t="shared" si="6"/>
        <v>1.360813984</v>
      </c>
      <c r="BF25" s="137">
        <f t="shared" si="7"/>
        <v>-1.2714952720000001E-3</v>
      </c>
      <c r="BG25" s="137">
        <f t="shared" si="8"/>
        <v>2.8481773760000002E-6</v>
      </c>
      <c r="BH25" s="137">
        <f t="shared" si="9"/>
        <v>2.394883456E-2</v>
      </c>
      <c r="BI25" s="137">
        <f t="shared" si="10"/>
        <v>5.1629478319999998E-2</v>
      </c>
      <c r="BJ25" s="137">
        <f t="shared" si="11"/>
        <v>4.9257550880000008E-2</v>
      </c>
      <c r="BK25" s="137">
        <f t="shared" si="12"/>
        <v>2.9810775600000003E-3</v>
      </c>
      <c r="BL25" s="137">
        <f t="shared" si="13"/>
        <v>0.50710655040000008</v>
      </c>
      <c r="BM25" s="137">
        <f t="shared" si="14"/>
        <v>5.42758292E-2</v>
      </c>
    </row>
    <row r="26" spans="1:65" x14ac:dyDescent="0.25">
      <c r="A26" s="149">
        <v>39</v>
      </c>
      <c r="B26" s="149">
        <v>16</v>
      </c>
      <c r="C26" s="61">
        <v>39.740726000000002</v>
      </c>
      <c r="D26" s="61">
        <v>-105.168615</v>
      </c>
      <c r="E26" s="61" t="s">
        <v>265</v>
      </c>
      <c r="F26" s="149">
        <v>16</v>
      </c>
      <c r="G26" s="61" t="s">
        <v>565</v>
      </c>
      <c r="H26" s="61" t="s">
        <v>645</v>
      </c>
      <c r="I26" s="61">
        <v>39.856096000000001</v>
      </c>
      <c r="J26" s="61">
        <v>-104.673738</v>
      </c>
      <c r="K26" s="61">
        <v>45.014100849999998</v>
      </c>
      <c r="L26" s="61">
        <v>58.618000000000002</v>
      </c>
      <c r="M26" s="61" t="s">
        <v>617</v>
      </c>
      <c r="N26" s="149">
        <v>15</v>
      </c>
      <c r="O26" s="149">
        <v>16</v>
      </c>
      <c r="P26" s="61" t="s">
        <v>565</v>
      </c>
      <c r="Q26" s="61" t="s">
        <v>556</v>
      </c>
      <c r="R26" s="61">
        <v>39.856096299999997</v>
      </c>
      <c r="S26" s="61">
        <v>-104.6737376</v>
      </c>
      <c r="T26" s="61">
        <v>58.618000000000002</v>
      </c>
      <c r="U26" s="61" t="s">
        <v>617</v>
      </c>
      <c r="V26" s="61" t="s">
        <v>617</v>
      </c>
      <c r="W26" s="61"/>
      <c r="Y26" s="137">
        <f>Summary_LCIA!H$32</f>
        <v>0.33979999999999999</v>
      </c>
      <c r="Z26" s="137">
        <f>Summary_LCIA!Q$32</f>
        <v>4.9560504329999997</v>
      </c>
      <c r="AA26" s="137">
        <f>Summary_LCIA!R$32</f>
        <v>5.2655999999999996E-3</v>
      </c>
      <c r="AB26" s="137">
        <f>Summary_LCIA!S$32</f>
        <v>0.33538000000000001</v>
      </c>
      <c r="AC26" s="137">
        <f>Summary_LCIA!T$32</f>
        <v>0.1099</v>
      </c>
      <c r="AD26" s="137">
        <f>Summary_LCIA!U$32</f>
        <v>1.7913999999999999E-2</v>
      </c>
      <c r="AE26" s="137">
        <f>Summary_LCIA!V$32</f>
        <v>4.7760999999999999E-5</v>
      </c>
      <c r="AF26" s="137">
        <f>Summary_LCIA!W$32</f>
        <v>7.6970999999999998E-2</v>
      </c>
      <c r="AG26" s="137">
        <f>Summary_LCIA!X$32</f>
        <v>2.2780000000000002E-2</v>
      </c>
      <c r="AH26" s="137">
        <f>Summary_LCIA!Y$32</f>
        <v>1.5582E-2</v>
      </c>
      <c r="AI26" s="137">
        <f>Summary_LCIA!Z$32</f>
        <v>4.1009E-5</v>
      </c>
      <c r="AJ26" s="137">
        <f>Summary_LCIA!AA$32</f>
        <v>2.3355999999999998E-2</v>
      </c>
      <c r="AK26" s="137">
        <f>Summary_LCIA!AB$32</f>
        <v>-2.1823000000000001E-5</v>
      </c>
      <c r="AL26" s="137">
        <f>Summary_LCIA!AC$32</f>
        <v>4.8884000000000003E-8</v>
      </c>
      <c r="AM26" s="137">
        <f>Summary_LCIA!AD$32</f>
        <v>4.1103999999999999E-4</v>
      </c>
      <c r="AN26" s="137">
        <f>Summary_LCIA!AE$32</f>
        <v>8.8612999999999995E-4</v>
      </c>
      <c r="AO26" s="137">
        <f>Summary_LCIA!AF$32</f>
        <v>8.4542000000000005E-4</v>
      </c>
      <c r="AP26" s="137">
        <f>Summary_LCIA!AG$32</f>
        <v>5.1165000000000002E-5</v>
      </c>
      <c r="AQ26" s="137">
        <f>Summary_LCIA!AH$32</f>
        <v>8.7036000000000006E-3</v>
      </c>
      <c r="AR26" s="137">
        <f>Summary_LCIA!AI$32</f>
        <v>9.3154999999999996E-4</v>
      </c>
      <c r="AT26" s="137">
        <f t="shared" si="3"/>
        <v>19.918396399999999</v>
      </c>
      <c r="AU26" s="137">
        <f t="shared" si="15"/>
        <v>290.51376428159398</v>
      </c>
      <c r="AV26" s="137">
        <f t="shared" si="16"/>
        <v>0.3086589408</v>
      </c>
      <c r="AW26" s="137">
        <f t="shared" si="17"/>
        <v>19.659304840000001</v>
      </c>
      <c r="AX26" s="137">
        <f t="shared" si="18"/>
        <v>6.4421182000000003</v>
      </c>
      <c r="AY26" s="137">
        <f t="shared" si="19"/>
        <v>1.0500828520000001</v>
      </c>
      <c r="AZ26" s="137">
        <f t="shared" si="20"/>
        <v>2.7996542980000001E-3</v>
      </c>
      <c r="BA26" s="137">
        <f t="shared" si="21"/>
        <v>4.5118860779999999</v>
      </c>
      <c r="BB26" s="137">
        <f t="shared" si="22"/>
        <v>1.3353180400000002</v>
      </c>
      <c r="BC26" s="137">
        <f t="shared" si="4"/>
        <v>0.91338567600000009</v>
      </c>
      <c r="BD26" s="137">
        <f t="shared" si="5"/>
        <v>2.4038655620000002E-3</v>
      </c>
      <c r="BE26" s="137">
        <f t="shared" si="6"/>
        <v>1.3690820079999999</v>
      </c>
      <c r="BF26" s="137">
        <f t="shared" si="7"/>
        <v>-1.2792206140000001E-3</v>
      </c>
      <c r="BG26" s="137">
        <f t="shared" si="8"/>
        <v>2.8654823120000001E-6</v>
      </c>
      <c r="BH26" s="137">
        <f t="shared" si="9"/>
        <v>2.4094342720000002E-2</v>
      </c>
      <c r="BI26" s="137">
        <f t="shared" si="10"/>
        <v>5.1943168339999998E-2</v>
      </c>
      <c r="BJ26" s="137">
        <f t="shared" si="11"/>
        <v>4.9556829560000001E-2</v>
      </c>
      <c r="BK26" s="137">
        <f t="shared" si="12"/>
        <v>2.9991899700000002E-3</v>
      </c>
      <c r="BL26" s="137">
        <f t="shared" si="13"/>
        <v>0.51018762480000002</v>
      </c>
      <c r="BM26" s="137">
        <f t="shared" si="14"/>
        <v>5.4605597899999997E-2</v>
      </c>
    </row>
    <row r="27" spans="1:65" x14ac:dyDescent="0.25">
      <c r="A27" s="149">
        <v>40</v>
      </c>
      <c r="B27" s="149">
        <v>16</v>
      </c>
      <c r="C27" s="61">
        <v>39.740726000000002</v>
      </c>
      <c r="D27" s="61">
        <v>-105.168615</v>
      </c>
      <c r="E27" s="61" t="s">
        <v>265</v>
      </c>
      <c r="F27" s="149">
        <v>16</v>
      </c>
      <c r="G27" s="61" t="s">
        <v>565</v>
      </c>
      <c r="H27" s="61" t="s">
        <v>645</v>
      </c>
      <c r="I27" s="61">
        <v>39.856096000000001</v>
      </c>
      <c r="J27" s="61">
        <v>-104.673738</v>
      </c>
      <c r="K27" s="61">
        <v>45.014100849999998</v>
      </c>
      <c r="L27" s="61">
        <v>58.618000000000002</v>
      </c>
      <c r="M27" s="61" t="s">
        <v>617</v>
      </c>
      <c r="N27" s="149">
        <v>15</v>
      </c>
      <c r="O27" s="149">
        <v>16</v>
      </c>
      <c r="P27" s="61" t="s">
        <v>565</v>
      </c>
      <c r="Q27" s="61" t="s">
        <v>556</v>
      </c>
      <c r="R27" s="61">
        <v>39.856096299999997</v>
      </c>
      <c r="S27" s="61">
        <v>-104.6737376</v>
      </c>
      <c r="T27" s="61">
        <v>58.618000000000002</v>
      </c>
      <c r="U27" s="61" t="s">
        <v>617</v>
      </c>
      <c r="V27" s="61" t="s">
        <v>617</v>
      </c>
      <c r="W27" s="61"/>
      <c r="Y27" s="137">
        <f>Summary_LCIA!H$32</f>
        <v>0.33979999999999999</v>
      </c>
      <c r="Z27" s="137">
        <f>Summary_LCIA!Q$32</f>
        <v>4.9560504329999997</v>
      </c>
      <c r="AA27" s="137">
        <f>Summary_LCIA!R$32</f>
        <v>5.2655999999999996E-3</v>
      </c>
      <c r="AB27" s="137">
        <f>Summary_LCIA!S$32</f>
        <v>0.33538000000000001</v>
      </c>
      <c r="AC27" s="137">
        <f>Summary_LCIA!T$32</f>
        <v>0.1099</v>
      </c>
      <c r="AD27" s="137">
        <f>Summary_LCIA!U$32</f>
        <v>1.7913999999999999E-2</v>
      </c>
      <c r="AE27" s="137">
        <f>Summary_LCIA!V$32</f>
        <v>4.7760999999999999E-5</v>
      </c>
      <c r="AF27" s="137">
        <f>Summary_LCIA!W$32</f>
        <v>7.6970999999999998E-2</v>
      </c>
      <c r="AG27" s="137">
        <f>Summary_LCIA!X$32</f>
        <v>2.2780000000000002E-2</v>
      </c>
      <c r="AH27" s="137">
        <f>Summary_LCIA!Y$32</f>
        <v>1.5582E-2</v>
      </c>
      <c r="AI27" s="137">
        <f>Summary_LCIA!Z$32</f>
        <v>4.1009E-5</v>
      </c>
      <c r="AJ27" s="137">
        <f>Summary_LCIA!AA$32</f>
        <v>2.3355999999999998E-2</v>
      </c>
      <c r="AK27" s="137">
        <f>Summary_LCIA!AB$32</f>
        <v>-2.1823000000000001E-5</v>
      </c>
      <c r="AL27" s="137">
        <f>Summary_LCIA!AC$32</f>
        <v>4.8884000000000003E-8</v>
      </c>
      <c r="AM27" s="137">
        <f>Summary_LCIA!AD$32</f>
        <v>4.1103999999999999E-4</v>
      </c>
      <c r="AN27" s="137">
        <f>Summary_LCIA!AE$32</f>
        <v>8.8612999999999995E-4</v>
      </c>
      <c r="AO27" s="137">
        <f>Summary_LCIA!AF$32</f>
        <v>8.4542000000000005E-4</v>
      </c>
      <c r="AP27" s="137">
        <f>Summary_LCIA!AG$32</f>
        <v>5.1165000000000002E-5</v>
      </c>
      <c r="AQ27" s="137">
        <f>Summary_LCIA!AH$32</f>
        <v>8.7036000000000006E-3</v>
      </c>
      <c r="AR27" s="137">
        <f>Summary_LCIA!AI$32</f>
        <v>9.3154999999999996E-4</v>
      </c>
      <c r="AT27" s="137">
        <f t="shared" si="3"/>
        <v>19.918396399999999</v>
      </c>
      <c r="AU27" s="137">
        <f t="shared" si="15"/>
        <v>290.51376428159398</v>
      </c>
      <c r="AV27" s="137">
        <f t="shared" si="16"/>
        <v>0.3086589408</v>
      </c>
      <c r="AW27" s="137">
        <f t="shared" si="17"/>
        <v>19.659304840000001</v>
      </c>
      <c r="AX27" s="137">
        <f t="shared" si="18"/>
        <v>6.4421182000000003</v>
      </c>
      <c r="AY27" s="137">
        <f t="shared" si="19"/>
        <v>1.0500828520000001</v>
      </c>
      <c r="AZ27" s="137">
        <f t="shared" si="20"/>
        <v>2.7996542980000001E-3</v>
      </c>
      <c r="BA27" s="137">
        <f t="shared" si="21"/>
        <v>4.5118860779999999</v>
      </c>
      <c r="BB27" s="137">
        <f t="shared" si="22"/>
        <v>1.3353180400000002</v>
      </c>
      <c r="BC27" s="137">
        <f t="shared" si="4"/>
        <v>0.91338567600000009</v>
      </c>
      <c r="BD27" s="137">
        <f t="shared" si="5"/>
        <v>2.4038655620000002E-3</v>
      </c>
      <c r="BE27" s="137">
        <f t="shared" si="6"/>
        <v>1.3690820079999999</v>
      </c>
      <c r="BF27" s="137">
        <f t="shared" si="7"/>
        <v>-1.2792206140000001E-3</v>
      </c>
      <c r="BG27" s="137">
        <f t="shared" si="8"/>
        <v>2.8654823120000001E-6</v>
      </c>
      <c r="BH27" s="137">
        <f t="shared" si="9"/>
        <v>2.4094342720000002E-2</v>
      </c>
      <c r="BI27" s="137">
        <f t="shared" si="10"/>
        <v>5.1943168339999998E-2</v>
      </c>
      <c r="BJ27" s="137">
        <f t="shared" si="11"/>
        <v>4.9556829560000001E-2</v>
      </c>
      <c r="BK27" s="137">
        <f t="shared" si="12"/>
        <v>2.9991899700000002E-3</v>
      </c>
      <c r="BL27" s="137">
        <f t="shared" si="13"/>
        <v>0.51018762480000002</v>
      </c>
      <c r="BM27" s="137">
        <f t="shared" si="14"/>
        <v>5.4605597899999997E-2</v>
      </c>
    </row>
    <row r="28" spans="1:65" x14ac:dyDescent="0.25">
      <c r="A28" s="149">
        <v>36</v>
      </c>
      <c r="B28" s="149">
        <v>16</v>
      </c>
      <c r="C28" s="61">
        <v>39.750858999999998</v>
      </c>
      <c r="D28" s="61">
        <v>-105.22386899999999</v>
      </c>
      <c r="E28" s="61" t="s">
        <v>265</v>
      </c>
      <c r="F28" s="149">
        <v>16</v>
      </c>
      <c r="G28" s="61" t="s">
        <v>565</v>
      </c>
      <c r="H28" s="61" t="s">
        <v>645</v>
      </c>
      <c r="I28" s="61">
        <v>39.856096000000001</v>
      </c>
      <c r="J28" s="61">
        <v>-104.673738</v>
      </c>
      <c r="K28" s="61">
        <v>48.817587850000002</v>
      </c>
      <c r="L28" s="61">
        <v>58.978000000000002</v>
      </c>
      <c r="M28" s="61" t="s">
        <v>617</v>
      </c>
      <c r="N28" s="149">
        <v>15</v>
      </c>
      <c r="O28" s="149">
        <v>16</v>
      </c>
      <c r="P28" s="61" t="s">
        <v>565</v>
      </c>
      <c r="Q28" s="61" t="s">
        <v>556</v>
      </c>
      <c r="R28" s="61">
        <v>39.856096299999997</v>
      </c>
      <c r="S28" s="61">
        <v>-104.6737376</v>
      </c>
      <c r="T28" s="61">
        <v>58.978000000000002</v>
      </c>
      <c r="U28" s="61" t="s">
        <v>617</v>
      </c>
      <c r="V28" s="61" t="s">
        <v>617</v>
      </c>
      <c r="W28" s="61"/>
      <c r="Y28" s="137">
        <f>Summary_LCIA!H$32</f>
        <v>0.33979999999999999</v>
      </c>
      <c r="Z28" s="137">
        <f>Summary_LCIA!Q$32</f>
        <v>4.9560504329999997</v>
      </c>
      <c r="AA28" s="137">
        <f>Summary_LCIA!R$32</f>
        <v>5.2655999999999996E-3</v>
      </c>
      <c r="AB28" s="137">
        <f>Summary_LCIA!S$32</f>
        <v>0.33538000000000001</v>
      </c>
      <c r="AC28" s="137">
        <f>Summary_LCIA!T$32</f>
        <v>0.1099</v>
      </c>
      <c r="AD28" s="137">
        <f>Summary_LCIA!U$32</f>
        <v>1.7913999999999999E-2</v>
      </c>
      <c r="AE28" s="137">
        <f>Summary_LCIA!V$32</f>
        <v>4.7760999999999999E-5</v>
      </c>
      <c r="AF28" s="137">
        <f>Summary_LCIA!W$32</f>
        <v>7.6970999999999998E-2</v>
      </c>
      <c r="AG28" s="137">
        <f>Summary_LCIA!X$32</f>
        <v>2.2780000000000002E-2</v>
      </c>
      <c r="AH28" s="137">
        <f>Summary_LCIA!Y$32</f>
        <v>1.5582E-2</v>
      </c>
      <c r="AI28" s="137">
        <f>Summary_LCIA!Z$32</f>
        <v>4.1009E-5</v>
      </c>
      <c r="AJ28" s="137">
        <f>Summary_LCIA!AA$32</f>
        <v>2.3355999999999998E-2</v>
      </c>
      <c r="AK28" s="137">
        <f>Summary_LCIA!AB$32</f>
        <v>-2.1823000000000001E-5</v>
      </c>
      <c r="AL28" s="137">
        <f>Summary_LCIA!AC$32</f>
        <v>4.8884000000000003E-8</v>
      </c>
      <c r="AM28" s="137">
        <f>Summary_LCIA!AD$32</f>
        <v>4.1103999999999999E-4</v>
      </c>
      <c r="AN28" s="137">
        <f>Summary_LCIA!AE$32</f>
        <v>8.8612999999999995E-4</v>
      </c>
      <c r="AO28" s="137">
        <f>Summary_LCIA!AF$32</f>
        <v>8.4542000000000005E-4</v>
      </c>
      <c r="AP28" s="137">
        <f>Summary_LCIA!AG$32</f>
        <v>5.1165000000000002E-5</v>
      </c>
      <c r="AQ28" s="137">
        <f>Summary_LCIA!AH$32</f>
        <v>8.7036000000000006E-3</v>
      </c>
      <c r="AR28" s="137">
        <f>Summary_LCIA!AI$32</f>
        <v>9.3154999999999996E-4</v>
      </c>
      <c r="AT28" s="137">
        <f t="shared" si="3"/>
        <v>20.040724399999998</v>
      </c>
      <c r="AU28" s="137">
        <f t="shared" si="15"/>
        <v>292.29794243747398</v>
      </c>
      <c r="AV28" s="137">
        <f t="shared" si="16"/>
        <v>0.31055455679999999</v>
      </c>
      <c r="AW28" s="137">
        <f t="shared" si="17"/>
        <v>19.78004164</v>
      </c>
      <c r="AX28" s="137">
        <f t="shared" si="18"/>
        <v>6.4816821999999998</v>
      </c>
      <c r="AY28" s="137">
        <f t="shared" si="19"/>
        <v>1.056531892</v>
      </c>
      <c r="AZ28" s="137">
        <f t="shared" si="20"/>
        <v>2.8168482580000001E-3</v>
      </c>
      <c r="BA28" s="137">
        <f t="shared" si="21"/>
        <v>4.5395956379999998</v>
      </c>
      <c r="BB28" s="137">
        <f t="shared" si="22"/>
        <v>1.3435188400000002</v>
      </c>
      <c r="BC28" s="137">
        <f t="shared" si="4"/>
        <v>0.91899519600000001</v>
      </c>
      <c r="BD28" s="137">
        <f t="shared" si="5"/>
        <v>2.4186288020000002E-3</v>
      </c>
      <c r="BE28" s="137">
        <f t="shared" si="6"/>
        <v>1.377490168</v>
      </c>
      <c r="BF28" s="137">
        <f t="shared" si="7"/>
        <v>-1.2870768940000002E-3</v>
      </c>
      <c r="BG28" s="137">
        <f t="shared" si="8"/>
        <v>2.8830805520000002E-6</v>
      </c>
      <c r="BH28" s="137">
        <f t="shared" si="9"/>
        <v>2.4242317119999999E-2</v>
      </c>
      <c r="BI28" s="137">
        <f t="shared" si="10"/>
        <v>5.2262175139999999E-2</v>
      </c>
      <c r="BJ28" s="137">
        <f t="shared" si="11"/>
        <v>4.9861180760000005E-2</v>
      </c>
      <c r="BK28" s="137">
        <f t="shared" si="12"/>
        <v>3.0176093700000003E-3</v>
      </c>
      <c r="BL28" s="137">
        <f t="shared" si="13"/>
        <v>0.51332092080000002</v>
      </c>
      <c r="BM28" s="137">
        <f t="shared" si="14"/>
        <v>5.4940955899999998E-2</v>
      </c>
    </row>
    <row r="29" spans="1:65" x14ac:dyDescent="0.25">
      <c r="A29" s="149">
        <v>37</v>
      </c>
      <c r="B29" s="149">
        <v>16</v>
      </c>
      <c r="C29" s="61">
        <v>39.750858999999998</v>
      </c>
      <c r="D29" s="61">
        <v>-105.22386899999999</v>
      </c>
      <c r="E29" s="61" t="s">
        <v>265</v>
      </c>
      <c r="F29" s="149">
        <v>16</v>
      </c>
      <c r="G29" s="61" t="s">
        <v>565</v>
      </c>
      <c r="H29" s="61" t="s">
        <v>645</v>
      </c>
      <c r="I29" s="61">
        <v>39.856096000000001</v>
      </c>
      <c r="J29" s="61">
        <v>-104.673738</v>
      </c>
      <c r="K29" s="61">
        <v>48.817587850000002</v>
      </c>
      <c r="L29" s="61">
        <v>58.978000000000002</v>
      </c>
      <c r="M29" s="61" t="s">
        <v>617</v>
      </c>
      <c r="N29" s="149">
        <v>15</v>
      </c>
      <c r="O29" s="149">
        <v>16</v>
      </c>
      <c r="P29" s="61" t="s">
        <v>565</v>
      </c>
      <c r="Q29" s="61" t="s">
        <v>556</v>
      </c>
      <c r="R29" s="61">
        <v>39.856096299999997</v>
      </c>
      <c r="S29" s="61">
        <v>-104.6737376</v>
      </c>
      <c r="T29" s="61">
        <v>58.978000000000002</v>
      </c>
      <c r="U29" s="61" t="s">
        <v>617</v>
      </c>
      <c r="V29" s="61" t="s">
        <v>617</v>
      </c>
      <c r="W29" s="61"/>
      <c r="Y29" s="137">
        <f>Summary_LCIA!H$32</f>
        <v>0.33979999999999999</v>
      </c>
      <c r="Z29" s="137">
        <f>Summary_LCIA!Q$32</f>
        <v>4.9560504329999997</v>
      </c>
      <c r="AA29" s="137">
        <f>Summary_LCIA!R$32</f>
        <v>5.2655999999999996E-3</v>
      </c>
      <c r="AB29" s="137">
        <f>Summary_LCIA!S$32</f>
        <v>0.33538000000000001</v>
      </c>
      <c r="AC29" s="137">
        <f>Summary_LCIA!T$32</f>
        <v>0.1099</v>
      </c>
      <c r="AD29" s="137">
        <f>Summary_LCIA!U$32</f>
        <v>1.7913999999999999E-2</v>
      </c>
      <c r="AE29" s="137">
        <f>Summary_LCIA!V$32</f>
        <v>4.7760999999999999E-5</v>
      </c>
      <c r="AF29" s="137">
        <f>Summary_LCIA!W$32</f>
        <v>7.6970999999999998E-2</v>
      </c>
      <c r="AG29" s="137">
        <f>Summary_LCIA!X$32</f>
        <v>2.2780000000000002E-2</v>
      </c>
      <c r="AH29" s="137">
        <f>Summary_LCIA!Y$32</f>
        <v>1.5582E-2</v>
      </c>
      <c r="AI29" s="137">
        <f>Summary_LCIA!Z$32</f>
        <v>4.1009E-5</v>
      </c>
      <c r="AJ29" s="137">
        <f>Summary_LCIA!AA$32</f>
        <v>2.3355999999999998E-2</v>
      </c>
      <c r="AK29" s="137">
        <f>Summary_LCIA!AB$32</f>
        <v>-2.1823000000000001E-5</v>
      </c>
      <c r="AL29" s="137">
        <f>Summary_LCIA!AC$32</f>
        <v>4.8884000000000003E-8</v>
      </c>
      <c r="AM29" s="137">
        <f>Summary_LCIA!AD$32</f>
        <v>4.1103999999999999E-4</v>
      </c>
      <c r="AN29" s="137">
        <f>Summary_LCIA!AE$32</f>
        <v>8.8612999999999995E-4</v>
      </c>
      <c r="AO29" s="137">
        <f>Summary_LCIA!AF$32</f>
        <v>8.4542000000000005E-4</v>
      </c>
      <c r="AP29" s="137">
        <f>Summary_LCIA!AG$32</f>
        <v>5.1165000000000002E-5</v>
      </c>
      <c r="AQ29" s="137">
        <f>Summary_LCIA!AH$32</f>
        <v>8.7036000000000006E-3</v>
      </c>
      <c r="AR29" s="137">
        <f>Summary_LCIA!AI$32</f>
        <v>9.3154999999999996E-4</v>
      </c>
      <c r="AT29" s="137">
        <f t="shared" si="3"/>
        <v>20.040724399999998</v>
      </c>
      <c r="AU29" s="137">
        <f t="shared" si="15"/>
        <v>292.29794243747398</v>
      </c>
      <c r="AV29" s="137">
        <f t="shared" si="16"/>
        <v>0.31055455679999999</v>
      </c>
      <c r="AW29" s="137">
        <f t="shared" si="17"/>
        <v>19.78004164</v>
      </c>
      <c r="AX29" s="137">
        <f t="shared" si="18"/>
        <v>6.4816821999999998</v>
      </c>
      <c r="AY29" s="137">
        <f t="shared" si="19"/>
        <v>1.056531892</v>
      </c>
      <c r="AZ29" s="137">
        <f t="shared" si="20"/>
        <v>2.8168482580000001E-3</v>
      </c>
      <c r="BA29" s="137">
        <f t="shared" si="21"/>
        <v>4.5395956379999998</v>
      </c>
      <c r="BB29" s="137">
        <f t="shared" si="22"/>
        <v>1.3435188400000002</v>
      </c>
      <c r="BC29" s="137">
        <f t="shared" si="4"/>
        <v>0.91899519600000001</v>
      </c>
      <c r="BD29" s="137">
        <f t="shared" si="5"/>
        <v>2.4186288020000002E-3</v>
      </c>
      <c r="BE29" s="137">
        <f t="shared" si="6"/>
        <v>1.377490168</v>
      </c>
      <c r="BF29" s="137">
        <f t="shared" si="7"/>
        <v>-1.2870768940000002E-3</v>
      </c>
      <c r="BG29" s="137">
        <f t="shared" si="8"/>
        <v>2.8830805520000002E-6</v>
      </c>
      <c r="BH29" s="137">
        <f t="shared" si="9"/>
        <v>2.4242317119999999E-2</v>
      </c>
      <c r="BI29" s="137">
        <f t="shared" si="10"/>
        <v>5.2262175139999999E-2</v>
      </c>
      <c r="BJ29" s="137">
        <f t="shared" si="11"/>
        <v>4.9861180760000005E-2</v>
      </c>
      <c r="BK29" s="137">
        <f t="shared" si="12"/>
        <v>3.0176093700000003E-3</v>
      </c>
      <c r="BL29" s="137">
        <f t="shared" si="13"/>
        <v>0.51332092080000002</v>
      </c>
      <c r="BM29" s="137">
        <f t="shared" si="14"/>
        <v>5.4940955899999998E-2</v>
      </c>
    </row>
    <row r="30" spans="1:65" x14ac:dyDescent="0.25">
      <c r="A30" s="149">
        <v>38</v>
      </c>
      <c r="B30" s="149">
        <v>16</v>
      </c>
      <c r="C30" s="61">
        <v>39.750858999999998</v>
      </c>
      <c r="D30" s="61">
        <v>-105.22386899999999</v>
      </c>
      <c r="E30" s="61" t="s">
        <v>265</v>
      </c>
      <c r="F30" s="149">
        <v>16</v>
      </c>
      <c r="G30" s="61" t="s">
        <v>565</v>
      </c>
      <c r="H30" s="61" t="s">
        <v>645</v>
      </c>
      <c r="I30" s="61">
        <v>39.856096000000001</v>
      </c>
      <c r="J30" s="61">
        <v>-104.673738</v>
      </c>
      <c r="K30" s="61">
        <v>48.817587850000002</v>
      </c>
      <c r="L30" s="61">
        <v>58.978000000000002</v>
      </c>
      <c r="M30" s="61" t="s">
        <v>617</v>
      </c>
      <c r="N30" s="149">
        <v>15</v>
      </c>
      <c r="O30" s="149">
        <v>16</v>
      </c>
      <c r="P30" s="61" t="s">
        <v>565</v>
      </c>
      <c r="Q30" s="61" t="s">
        <v>556</v>
      </c>
      <c r="R30" s="61">
        <v>39.856096299999997</v>
      </c>
      <c r="S30" s="61">
        <v>-104.6737376</v>
      </c>
      <c r="T30" s="61">
        <v>58.978000000000002</v>
      </c>
      <c r="U30" s="61" t="s">
        <v>617</v>
      </c>
      <c r="V30" s="61" t="s">
        <v>617</v>
      </c>
      <c r="W30" s="61"/>
      <c r="Y30" s="137">
        <f>Summary_LCIA!H$32</f>
        <v>0.33979999999999999</v>
      </c>
      <c r="Z30" s="137">
        <f>Summary_LCIA!Q$32</f>
        <v>4.9560504329999997</v>
      </c>
      <c r="AA30" s="137">
        <f>Summary_LCIA!R$32</f>
        <v>5.2655999999999996E-3</v>
      </c>
      <c r="AB30" s="137">
        <f>Summary_LCIA!S$32</f>
        <v>0.33538000000000001</v>
      </c>
      <c r="AC30" s="137">
        <f>Summary_LCIA!T$32</f>
        <v>0.1099</v>
      </c>
      <c r="AD30" s="137">
        <f>Summary_LCIA!U$32</f>
        <v>1.7913999999999999E-2</v>
      </c>
      <c r="AE30" s="137">
        <f>Summary_LCIA!V$32</f>
        <v>4.7760999999999999E-5</v>
      </c>
      <c r="AF30" s="137">
        <f>Summary_LCIA!W$32</f>
        <v>7.6970999999999998E-2</v>
      </c>
      <c r="AG30" s="137">
        <f>Summary_LCIA!X$32</f>
        <v>2.2780000000000002E-2</v>
      </c>
      <c r="AH30" s="137">
        <f>Summary_LCIA!Y$32</f>
        <v>1.5582E-2</v>
      </c>
      <c r="AI30" s="137">
        <f>Summary_LCIA!Z$32</f>
        <v>4.1009E-5</v>
      </c>
      <c r="AJ30" s="137">
        <f>Summary_LCIA!AA$32</f>
        <v>2.3355999999999998E-2</v>
      </c>
      <c r="AK30" s="137">
        <f>Summary_LCIA!AB$32</f>
        <v>-2.1823000000000001E-5</v>
      </c>
      <c r="AL30" s="137">
        <f>Summary_LCIA!AC$32</f>
        <v>4.8884000000000003E-8</v>
      </c>
      <c r="AM30" s="137">
        <f>Summary_LCIA!AD$32</f>
        <v>4.1103999999999999E-4</v>
      </c>
      <c r="AN30" s="137">
        <f>Summary_LCIA!AE$32</f>
        <v>8.8612999999999995E-4</v>
      </c>
      <c r="AO30" s="137">
        <f>Summary_LCIA!AF$32</f>
        <v>8.4542000000000005E-4</v>
      </c>
      <c r="AP30" s="137">
        <f>Summary_LCIA!AG$32</f>
        <v>5.1165000000000002E-5</v>
      </c>
      <c r="AQ30" s="137">
        <f>Summary_LCIA!AH$32</f>
        <v>8.7036000000000006E-3</v>
      </c>
      <c r="AR30" s="137">
        <f>Summary_LCIA!AI$32</f>
        <v>9.3154999999999996E-4</v>
      </c>
      <c r="AT30" s="137">
        <f t="shared" si="3"/>
        <v>20.040724399999998</v>
      </c>
      <c r="AU30" s="137">
        <f t="shared" si="15"/>
        <v>292.29794243747398</v>
      </c>
      <c r="AV30" s="137">
        <f t="shared" si="16"/>
        <v>0.31055455679999999</v>
      </c>
      <c r="AW30" s="137">
        <f t="shared" si="17"/>
        <v>19.78004164</v>
      </c>
      <c r="AX30" s="137">
        <f t="shared" si="18"/>
        <v>6.4816821999999998</v>
      </c>
      <c r="AY30" s="137">
        <f t="shared" si="19"/>
        <v>1.056531892</v>
      </c>
      <c r="AZ30" s="137">
        <f t="shared" si="20"/>
        <v>2.8168482580000001E-3</v>
      </c>
      <c r="BA30" s="137">
        <f t="shared" si="21"/>
        <v>4.5395956379999998</v>
      </c>
      <c r="BB30" s="137">
        <f t="shared" si="22"/>
        <v>1.3435188400000002</v>
      </c>
      <c r="BC30" s="137">
        <f t="shared" si="4"/>
        <v>0.91899519600000001</v>
      </c>
      <c r="BD30" s="137">
        <f t="shared" si="5"/>
        <v>2.4186288020000002E-3</v>
      </c>
      <c r="BE30" s="137">
        <f t="shared" si="6"/>
        <v>1.377490168</v>
      </c>
      <c r="BF30" s="137">
        <f t="shared" si="7"/>
        <v>-1.2870768940000002E-3</v>
      </c>
      <c r="BG30" s="137">
        <f t="shared" si="8"/>
        <v>2.8830805520000002E-6</v>
      </c>
      <c r="BH30" s="137">
        <f t="shared" si="9"/>
        <v>2.4242317119999999E-2</v>
      </c>
      <c r="BI30" s="137">
        <f t="shared" si="10"/>
        <v>5.2262175139999999E-2</v>
      </c>
      <c r="BJ30" s="137">
        <f t="shared" si="11"/>
        <v>4.9861180760000005E-2</v>
      </c>
      <c r="BK30" s="137">
        <f t="shared" si="12"/>
        <v>3.0176093700000003E-3</v>
      </c>
      <c r="BL30" s="137">
        <f t="shared" si="13"/>
        <v>0.51332092080000002</v>
      </c>
      <c r="BM30" s="137">
        <f t="shared" si="14"/>
        <v>5.4940955899999998E-2</v>
      </c>
    </row>
    <row r="31" spans="1:65" x14ac:dyDescent="0.25">
      <c r="A31" s="149">
        <v>247</v>
      </c>
      <c r="B31" s="149">
        <v>43</v>
      </c>
      <c r="C31" s="61">
        <v>40.883676999999999</v>
      </c>
      <c r="D31" s="61">
        <v>-74.657272000000006</v>
      </c>
      <c r="E31" s="61" t="s">
        <v>265</v>
      </c>
      <c r="F31" s="149">
        <v>43</v>
      </c>
      <c r="G31" s="61" t="s">
        <v>565</v>
      </c>
      <c r="H31" s="61" t="s">
        <v>632</v>
      </c>
      <c r="I31" s="61">
        <v>40.689531000000002</v>
      </c>
      <c r="J31" s="61">
        <v>-74.174462000000005</v>
      </c>
      <c r="K31" s="61">
        <v>48.085556680000003</v>
      </c>
      <c r="L31" s="61">
        <v>63.673000000000002</v>
      </c>
      <c r="M31" s="61" t="s">
        <v>617</v>
      </c>
      <c r="N31" s="149">
        <v>42</v>
      </c>
      <c r="O31" s="149">
        <v>43</v>
      </c>
      <c r="P31" s="61" t="s">
        <v>565</v>
      </c>
      <c r="Q31" s="61" t="s">
        <v>555</v>
      </c>
      <c r="R31" s="61">
        <v>40.6895314</v>
      </c>
      <c r="S31" s="61">
        <v>-74.174462399999996</v>
      </c>
      <c r="T31" s="61">
        <v>63.67</v>
      </c>
      <c r="U31" s="61" t="s">
        <v>617</v>
      </c>
      <c r="V31" s="61" t="s">
        <v>617</v>
      </c>
      <c r="W31" s="61"/>
      <c r="Y31" s="137">
        <f>Summary_LCIA!H$32</f>
        <v>0.33979999999999999</v>
      </c>
      <c r="Z31" s="137">
        <f>Summary_LCIA!Q$32</f>
        <v>4.9560504329999997</v>
      </c>
      <c r="AA31" s="137">
        <f>Summary_LCIA!R$32</f>
        <v>5.2655999999999996E-3</v>
      </c>
      <c r="AB31" s="137">
        <f>Summary_LCIA!S$32</f>
        <v>0.33538000000000001</v>
      </c>
      <c r="AC31" s="137">
        <f>Summary_LCIA!T$32</f>
        <v>0.1099</v>
      </c>
      <c r="AD31" s="137">
        <f>Summary_LCIA!U$32</f>
        <v>1.7913999999999999E-2</v>
      </c>
      <c r="AE31" s="137">
        <f>Summary_LCIA!V$32</f>
        <v>4.7760999999999999E-5</v>
      </c>
      <c r="AF31" s="137">
        <f>Summary_LCIA!W$32</f>
        <v>7.6970999999999998E-2</v>
      </c>
      <c r="AG31" s="137">
        <f>Summary_LCIA!X$32</f>
        <v>2.2780000000000002E-2</v>
      </c>
      <c r="AH31" s="137">
        <f>Summary_LCIA!Y$32</f>
        <v>1.5582E-2</v>
      </c>
      <c r="AI31" s="137">
        <f>Summary_LCIA!Z$32</f>
        <v>4.1009E-5</v>
      </c>
      <c r="AJ31" s="137">
        <f>Summary_LCIA!AA$32</f>
        <v>2.3355999999999998E-2</v>
      </c>
      <c r="AK31" s="137">
        <f>Summary_LCIA!AB$32</f>
        <v>-2.1823000000000001E-5</v>
      </c>
      <c r="AL31" s="137">
        <f>Summary_LCIA!AC$32</f>
        <v>4.8884000000000003E-8</v>
      </c>
      <c r="AM31" s="137">
        <f>Summary_LCIA!AD$32</f>
        <v>4.1103999999999999E-4</v>
      </c>
      <c r="AN31" s="137">
        <f>Summary_LCIA!AE$32</f>
        <v>8.8612999999999995E-4</v>
      </c>
      <c r="AO31" s="137">
        <f>Summary_LCIA!AF$32</f>
        <v>8.4542000000000005E-4</v>
      </c>
      <c r="AP31" s="137">
        <f>Summary_LCIA!AG$32</f>
        <v>5.1165000000000002E-5</v>
      </c>
      <c r="AQ31" s="137">
        <f>Summary_LCIA!AH$32</f>
        <v>8.7036000000000006E-3</v>
      </c>
      <c r="AR31" s="137">
        <f>Summary_LCIA!AI$32</f>
        <v>9.3154999999999996E-4</v>
      </c>
      <c r="AT31" s="137">
        <f t="shared" si="3"/>
        <v>21.635065999999998</v>
      </c>
      <c r="AU31" s="137">
        <f t="shared" si="15"/>
        <v>315.55173106910996</v>
      </c>
      <c r="AV31" s="137">
        <f t="shared" si="16"/>
        <v>0.335260752</v>
      </c>
      <c r="AW31" s="137">
        <f t="shared" si="17"/>
        <v>21.353644600000003</v>
      </c>
      <c r="AX31" s="137">
        <f t="shared" si="18"/>
        <v>6.9973330000000002</v>
      </c>
      <c r="AY31" s="137">
        <f t="shared" si="19"/>
        <v>1.14058438</v>
      </c>
      <c r="AZ31" s="137">
        <f t="shared" si="20"/>
        <v>3.04094287E-3</v>
      </c>
      <c r="BA31" s="137">
        <f t="shared" si="21"/>
        <v>4.9007435700000004</v>
      </c>
      <c r="BB31" s="137">
        <f t="shared" si="22"/>
        <v>1.4504026000000001</v>
      </c>
      <c r="BC31" s="137">
        <f t="shared" si="4"/>
        <v>0.99210594000000007</v>
      </c>
      <c r="BD31" s="137">
        <f t="shared" si="5"/>
        <v>2.6110430300000003E-3</v>
      </c>
      <c r="BE31" s="137">
        <f t="shared" si="6"/>
        <v>1.48707652</v>
      </c>
      <c r="BF31" s="137">
        <f t="shared" si="7"/>
        <v>-1.3894704100000002E-3</v>
      </c>
      <c r="BG31" s="137">
        <f t="shared" si="8"/>
        <v>3.1124442800000002E-6</v>
      </c>
      <c r="BH31" s="137">
        <f t="shared" si="9"/>
        <v>2.6170916799999999E-2</v>
      </c>
      <c r="BI31" s="137">
        <f t="shared" si="10"/>
        <v>5.6419897099999998E-2</v>
      </c>
      <c r="BJ31" s="137">
        <f t="shared" si="11"/>
        <v>5.3827891400000001E-2</v>
      </c>
      <c r="BK31" s="137">
        <f t="shared" si="12"/>
        <v>3.2576755500000002E-3</v>
      </c>
      <c r="BL31" s="137">
        <f t="shared" si="13"/>
        <v>0.55415821200000004</v>
      </c>
      <c r="BM31" s="137">
        <f t="shared" si="14"/>
        <v>5.9311788499999997E-2</v>
      </c>
    </row>
    <row r="32" spans="1:65" x14ac:dyDescent="0.25">
      <c r="A32" s="149">
        <v>132</v>
      </c>
      <c r="B32" s="149">
        <v>43</v>
      </c>
      <c r="C32" s="61">
        <v>40.640934999999999</v>
      </c>
      <c r="D32" s="61">
        <v>-74.881277999999995</v>
      </c>
      <c r="E32" s="61" t="s">
        <v>265</v>
      </c>
      <c r="F32" s="149">
        <v>43</v>
      </c>
      <c r="G32" s="61" t="s">
        <v>565</v>
      </c>
      <c r="H32" s="61" t="s">
        <v>632</v>
      </c>
      <c r="I32" s="61">
        <v>40.689531000000002</v>
      </c>
      <c r="J32" s="61">
        <v>-74.174462000000005</v>
      </c>
      <c r="K32" s="61">
        <v>61.95024781</v>
      </c>
      <c r="L32" s="61">
        <v>66.501000000000005</v>
      </c>
      <c r="M32" s="61" t="s">
        <v>617</v>
      </c>
      <c r="N32" s="149">
        <v>42</v>
      </c>
      <c r="O32" s="149">
        <v>43</v>
      </c>
      <c r="P32" s="61" t="s">
        <v>565</v>
      </c>
      <c r="Q32" s="61" t="s">
        <v>555</v>
      </c>
      <c r="R32" s="61">
        <v>40.6895314</v>
      </c>
      <c r="S32" s="61">
        <v>-74.174462399999996</v>
      </c>
      <c r="T32" s="61">
        <v>66.501000000000005</v>
      </c>
      <c r="U32" s="61" t="s">
        <v>617</v>
      </c>
      <c r="V32" s="61" t="s">
        <v>617</v>
      </c>
      <c r="W32" s="61"/>
      <c r="Y32" s="137">
        <f>Summary_LCIA!H$32</f>
        <v>0.33979999999999999</v>
      </c>
      <c r="Z32" s="137">
        <f>Summary_LCIA!Q$32</f>
        <v>4.9560504329999997</v>
      </c>
      <c r="AA32" s="137">
        <f>Summary_LCIA!R$32</f>
        <v>5.2655999999999996E-3</v>
      </c>
      <c r="AB32" s="137">
        <f>Summary_LCIA!S$32</f>
        <v>0.33538000000000001</v>
      </c>
      <c r="AC32" s="137">
        <f>Summary_LCIA!T$32</f>
        <v>0.1099</v>
      </c>
      <c r="AD32" s="137">
        <f>Summary_LCIA!U$32</f>
        <v>1.7913999999999999E-2</v>
      </c>
      <c r="AE32" s="137">
        <f>Summary_LCIA!V$32</f>
        <v>4.7760999999999999E-5</v>
      </c>
      <c r="AF32" s="137">
        <f>Summary_LCIA!W$32</f>
        <v>7.6970999999999998E-2</v>
      </c>
      <c r="AG32" s="137">
        <f>Summary_LCIA!X$32</f>
        <v>2.2780000000000002E-2</v>
      </c>
      <c r="AH32" s="137">
        <f>Summary_LCIA!Y$32</f>
        <v>1.5582E-2</v>
      </c>
      <c r="AI32" s="137">
        <f>Summary_LCIA!Z$32</f>
        <v>4.1009E-5</v>
      </c>
      <c r="AJ32" s="137">
        <f>Summary_LCIA!AA$32</f>
        <v>2.3355999999999998E-2</v>
      </c>
      <c r="AK32" s="137">
        <f>Summary_LCIA!AB$32</f>
        <v>-2.1823000000000001E-5</v>
      </c>
      <c r="AL32" s="137">
        <f>Summary_LCIA!AC$32</f>
        <v>4.8884000000000003E-8</v>
      </c>
      <c r="AM32" s="137">
        <f>Summary_LCIA!AD$32</f>
        <v>4.1103999999999999E-4</v>
      </c>
      <c r="AN32" s="137">
        <f>Summary_LCIA!AE$32</f>
        <v>8.8612999999999995E-4</v>
      </c>
      <c r="AO32" s="137">
        <f>Summary_LCIA!AF$32</f>
        <v>8.4542000000000005E-4</v>
      </c>
      <c r="AP32" s="137">
        <f>Summary_LCIA!AG$32</f>
        <v>5.1165000000000002E-5</v>
      </c>
      <c r="AQ32" s="137">
        <f>Summary_LCIA!AH$32</f>
        <v>8.7036000000000006E-3</v>
      </c>
      <c r="AR32" s="137">
        <f>Summary_LCIA!AI$32</f>
        <v>9.3154999999999996E-4</v>
      </c>
      <c r="AT32" s="137">
        <f t="shared" si="3"/>
        <v>22.597039800000001</v>
      </c>
      <c r="AU32" s="137">
        <f t="shared" si="15"/>
        <v>329.58230984493298</v>
      </c>
      <c r="AV32" s="137">
        <f t="shared" si="16"/>
        <v>0.35016766560000001</v>
      </c>
      <c r="AW32" s="137">
        <f t="shared" si="17"/>
        <v>22.303105380000002</v>
      </c>
      <c r="AX32" s="137">
        <f t="shared" si="18"/>
        <v>7.3084599000000008</v>
      </c>
      <c r="AY32" s="137">
        <f t="shared" si="19"/>
        <v>1.1912989140000001</v>
      </c>
      <c r="AZ32" s="137">
        <f t="shared" si="20"/>
        <v>3.1761542610000003E-3</v>
      </c>
      <c r="BA32" s="137">
        <f t="shared" si="21"/>
        <v>5.1186484710000002</v>
      </c>
      <c r="BB32" s="137">
        <f t="shared" si="22"/>
        <v>1.5148927800000003</v>
      </c>
      <c r="BC32" s="137">
        <f t="shared" si="4"/>
        <v>1.0362185820000001</v>
      </c>
      <c r="BD32" s="137">
        <f t="shared" si="5"/>
        <v>2.7271395090000001E-3</v>
      </c>
      <c r="BE32" s="137">
        <f t="shared" si="6"/>
        <v>1.5531973560000001</v>
      </c>
      <c r="BF32" s="137">
        <f t="shared" si="7"/>
        <v>-1.4512513230000002E-3</v>
      </c>
      <c r="BG32" s="137">
        <f t="shared" si="8"/>
        <v>3.2508348840000006E-6</v>
      </c>
      <c r="BH32" s="137">
        <f t="shared" si="9"/>
        <v>2.7334571040000002E-2</v>
      </c>
      <c r="BI32" s="137">
        <f t="shared" si="10"/>
        <v>5.8928531130000003E-2</v>
      </c>
      <c r="BJ32" s="137">
        <f t="shared" si="11"/>
        <v>5.6221275420000008E-2</v>
      </c>
      <c r="BK32" s="137">
        <f t="shared" si="12"/>
        <v>3.4025236650000006E-3</v>
      </c>
      <c r="BL32" s="137">
        <f t="shared" si="13"/>
        <v>0.57879810360000006</v>
      </c>
      <c r="BM32" s="137">
        <f t="shared" si="14"/>
        <v>6.1949006550000005E-2</v>
      </c>
    </row>
    <row r="33" spans="1:65" x14ac:dyDescent="0.25">
      <c r="A33" s="149">
        <v>166</v>
      </c>
      <c r="B33" s="149">
        <v>16</v>
      </c>
      <c r="C33" s="61">
        <v>40.014986</v>
      </c>
      <c r="D33" s="61">
        <v>-105.270546</v>
      </c>
      <c r="E33" s="61" t="s">
        <v>265</v>
      </c>
      <c r="F33" s="149">
        <v>16</v>
      </c>
      <c r="G33" s="61" t="s">
        <v>565</v>
      </c>
      <c r="H33" s="61" t="s">
        <v>645</v>
      </c>
      <c r="I33" s="61">
        <v>39.856096000000001</v>
      </c>
      <c r="J33" s="61">
        <v>-104.673738</v>
      </c>
      <c r="K33" s="61">
        <v>66.833860599999994</v>
      </c>
      <c r="L33" s="61">
        <v>70.700999999999993</v>
      </c>
      <c r="M33" s="61" t="s">
        <v>617</v>
      </c>
      <c r="N33" s="149">
        <v>15</v>
      </c>
      <c r="O33" s="149">
        <v>16</v>
      </c>
      <c r="P33" s="61" t="s">
        <v>565</v>
      </c>
      <c r="Q33" s="61" t="s">
        <v>556</v>
      </c>
      <c r="R33" s="61">
        <v>39.856096299999997</v>
      </c>
      <c r="S33" s="61">
        <v>-104.6737376</v>
      </c>
      <c r="T33" s="61">
        <v>70.700999999999993</v>
      </c>
      <c r="U33" s="61" t="s">
        <v>617</v>
      </c>
      <c r="V33" s="61" t="s">
        <v>617</v>
      </c>
      <c r="W33" s="61"/>
      <c r="Y33" s="137">
        <f>Summary_LCIA!H$32</f>
        <v>0.33979999999999999</v>
      </c>
      <c r="Z33" s="137">
        <f>Summary_LCIA!Q$32</f>
        <v>4.9560504329999997</v>
      </c>
      <c r="AA33" s="137">
        <f>Summary_LCIA!R$32</f>
        <v>5.2655999999999996E-3</v>
      </c>
      <c r="AB33" s="137">
        <f>Summary_LCIA!S$32</f>
        <v>0.33538000000000001</v>
      </c>
      <c r="AC33" s="137">
        <f>Summary_LCIA!T$32</f>
        <v>0.1099</v>
      </c>
      <c r="AD33" s="137">
        <f>Summary_LCIA!U$32</f>
        <v>1.7913999999999999E-2</v>
      </c>
      <c r="AE33" s="137">
        <f>Summary_LCIA!V$32</f>
        <v>4.7760999999999999E-5</v>
      </c>
      <c r="AF33" s="137">
        <f>Summary_LCIA!W$32</f>
        <v>7.6970999999999998E-2</v>
      </c>
      <c r="AG33" s="137">
        <f>Summary_LCIA!X$32</f>
        <v>2.2780000000000002E-2</v>
      </c>
      <c r="AH33" s="137">
        <f>Summary_LCIA!Y$32</f>
        <v>1.5582E-2</v>
      </c>
      <c r="AI33" s="137">
        <f>Summary_LCIA!Z$32</f>
        <v>4.1009E-5</v>
      </c>
      <c r="AJ33" s="137">
        <f>Summary_LCIA!AA$32</f>
        <v>2.3355999999999998E-2</v>
      </c>
      <c r="AK33" s="137">
        <f>Summary_LCIA!AB$32</f>
        <v>-2.1823000000000001E-5</v>
      </c>
      <c r="AL33" s="137">
        <f>Summary_LCIA!AC$32</f>
        <v>4.8884000000000003E-8</v>
      </c>
      <c r="AM33" s="137">
        <f>Summary_LCIA!AD$32</f>
        <v>4.1103999999999999E-4</v>
      </c>
      <c r="AN33" s="137">
        <f>Summary_LCIA!AE$32</f>
        <v>8.8612999999999995E-4</v>
      </c>
      <c r="AO33" s="137">
        <f>Summary_LCIA!AF$32</f>
        <v>8.4542000000000005E-4</v>
      </c>
      <c r="AP33" s="137">
        <f>Summary_LCIA!AG$32</f>
        <v>5.1165000000000002E-5</v>
      </c>
      <c r="AQ33" s="137">
        <f>Summary_LCIA!AH$32</f>
        <v>8.7036000000000006E-3</v>
      </c>
      <c r="AR33" s="137">
        <f>Summary_LCIA!AI$32</f>
        <v>9.3154999999999996E-4</v>
      </c>
      <c r="AT33" s="137">
        <f t="shared" si="3"/>
        <v>24.024199799999998</v>
      </c>
      <c r="AU33" s="137">
        <f t="shared" si="15"/>
        <v>350.39772166353293</v>
      </c>
      <c r="AV33" s="137">
        <f t="shared" si="16"/>
        <v>0.37228318559999996</v>
      </c>
      <c r="AW33" s="137">
        <f t="shared" si="17"/>
        <v>23.711701379999997</v>
      </c>
      <c r="AX33" s="137">
        <f t="shared" si="18"/>
        <v>7.7700398999999996</v>
      </c>
      <c r="AY33" s="137">
        <f t="shared" si="19"/>
        <v>1.2665377139999998</v>
      </c>
      <c r="AZ33" s="137">
        <f t="shared" si="20"/>
        <v>3.3767504609999994E-3</v>
      </c>
      <c r="BA33" s="137">
        <f t="shared" si="21"/>
        <v>5.4419266709999992</v>
      </c>
      <c r="BB33" s="137">
        <f t="shared" si="22"/>
        <v>1.6105687799999999</v>
      </c>
      <c r="BC33" s="137">
        <f t="shared" si="4"/>
        <v>1.1016629819999999</v>
      </c>
      <c r="BD33" s="137">
        <f t="shared" si="5"/>
        <v>2.8993773089999999E-3</v>
      </c>
      <c r="BE33" s="137">
        <f t="shared" si="6"/>
        <v>1.6512925559999998</v>
      </c>
      <c r="BF33" s="137">
        <f t="shared" si="7"/>
        <v>-1.5429079229999998E-3</v>
      </c>
      <c r="BG33" s="137">
        <f t="shared" si="8"/>
        <v>3.456147684E-6</v>
      </c>
      <c r="BH33" s="137">
        <f t="shared" si="9"/>
        <v>2.9060939039999997E-2</v>
      </c>
      <c r="BI33" s="137">
        <f t="shared" si="10"/>
        <v>6.2650277129999987E-2</v>
      </c>
      <c r="BJ33" s="137">
        <f t="shared" si="11"/>
        <v>5.9772039419999999E-2</v>
      </c>
      <c r="BK33" s="137">
        <f t="shared" si="12"/>
        <v>3.617416665E-3</v>
      </c>
      <c r="BL33" s="137">
        <f t="shared" si="13"/>
        <v>0.6153532236</v>
      </c>
      <c r="BM33" s="137">
        <f t="shared" si="14"/>
        <v>6.5861516549999985E-2</v>
      </c>
    </row>
    <row r="34" spans="1:65" x14ac:dyDescent="0.25">
      <c r="A34" s="149">
        <v>167</v>
      </c>
      <c r="B34" s="149">
        <v>16</v>
      </c>
      <c r="C34" s="61">
        <v>40.014986</v>
      </c>
      <c r="D34" s="61">
        <v>-105.270546</v>
      </c>
      <c r="E34" s="61" t="s">
        <v>265</v>
      </c>
      <c r="F34" s="149">
        <v>16</v>
      </c>
      <c r="G34" s="61" t="s">
        <v>565</v>
      </c>
      <c r="H34" s="61" t="s">
        <v>645</v>
      </c>
      <c r="I34" s="61">
        <v>39.856096000000001</v>
      </c>
      <c r="J34" s="61">
        <v>-104.673738</v>
      </c>
      <c r="K34" s="61">
        <v>66.833860599999994</v>
      </c>
      <c r="L34" s="61">
        <v>70.700999999999993</v>
      </c>
      <c r="M34" s="61" t="s">
        <v>617</v>
      </c>
      <c r="N34" s="149">
        <v>15</v>
      </c>
      <c r="O34" s="149">
        <v>16</v>
      </c>
      <c r="P34" s="61" t="s">
        <v>565</v>
      </c>
      <c r="Q34" s="61" t="s">
        <v>556</v>
      </c>
      <c r="R34" s="61">
        <v>39.856096299999997</v>
      </c>
      <c r="S34" s="61">
        <v>-104.6737376</v>
      </c>
      <c r="T34" s="61">
        <v>70.700999999999993</v>
      </c>
      <c r="U34" s="61" t="s">
        <v>617</v>
      </c>
      <c r="V34" s="61" t="s">
        <v>617</v>
      </c>
      <c r="W34" s="61"/>
      <c r="Y34" s="137">
        <f>Summary_LCIA!H$32</f>
        <v>0.33979999999999999</v>
      </c>
      <c r="Z34" s="137">
        <f>Summary_LCIA!Q$32</f>
        <v>4.9560504329999997</v>
      </c>
      <c r="AA34" s="137">
        <f>Summary_LCIA!R$32</f>
        <v>5.2655999999999996E-3</v>
      </c>
      <c r="AB34" s="137">
        <f>Summary_LCIA!S$32</f>
        <v>0.33538000000000001</v>
      </c>
      <c r="AC34" s="137">
        <f>Summary_LCIA!T$32</f>
        <v>0.1099</v>
      </c>
      <c r="AD34" s="137">
        <f>Summary_LCIA!U$32</f>
        <v>1.7913999999999999E-2</v>
      </c>
      <c r="AE34" s="137">
        <f>Summary_LCIA!V$32</f>
        <v>4.7760999999999999E-5</v>
      </c>
      <c r="AF34" s="137">
        <f>Summary_LCIA!W$32</f>
        <v>7.6970999999999998E-2</v>
      </c>
      <c r="AG34" s="137">
        <f>Summary_LCIA!X$32</f>
        <v>2.2780000000000002E-2</v>
      </c>
      <c r="AH34" s="137">
        <f>Summary_LCIA!Y$32</f>
        <v>1.5582E-2</v>
      </c>
      <c r="AI34" s="137">
        <f>Summary_LCIA!Z$32</f>
        <v>4.1009E-5</v>
      </c>
      <c r="AJ34" s="137">
        <f>Summary_LCIA!AA$32</f>
        <v>2.3355999999999998E-2</v>
      </c>
      <c r="AK34" s="137">
        <f>Summary_LCIA!AB$32</f>
        <v>-2.1823000000000001E-5</v>
      </c>
      <c r="AL34" s="137">
        <f>Summary_LCIA!AC$32</f>
        <v>4.8884000000000003E-8</v>
      </c>
      <c r="AM34" s="137">
        <f>Summary_LCIA!AD$32</f>
        <v>4.1103999999999999E-4</v>
      </c>
      <c r="AN34" s="137">
        <f>Summary_LCIA!AE$32</f>
        <v>8.8612999999999995E-4</v>
      </c>
      <c r="AO34" s="137">
        <f>Summary_LCIA!AF$32</f>
        <v>8.4542000000000005E-4</v>
      </c>
      <c r="AP34" s="137">
        <f>Summary_LCIA!AG$32</f>
        <v>5.1165000000000002E-5</v>
      </c>
      <c r="AQ34" s="137">
        <f>Summary_LCIA!AH$32</f>
        <v>8.7036000000000006E-3</v>
      </c>
      <c r="AR34" s="137">
        <f>Summary_LCIA!AI$32</f>
        <v>9.3154999999999996E-4</v>
      </c>
      <c r="AT34" s="137">
        <f t="shared" si="3"/>
        <v>24.024199799999998</v>
      </c>
      <c r="AU34" s="137">
        <f t="shared" si="15"/>
        <v>350.39772166353293</v>
      </c>
      <c r="AV34" s="137">
        <f t="shared" si="16"/>
        <v>0.37228318559999996</v>
      </c>
      <c r="AW34" s="137">
        <f t="shared" si="17"/>
        <v>23.711701379999997</v>
      </c>
      <c r="AX34" s="137">
        <f t="shared" si="18"/>
        <v>7.7700398999999996</v>
      </c>
      <c r="AY34" s="137">
        <f t="shared" si="19"/>
        <v>1.2665377139999998</v>
      </c>
      <c r="AZ34" s="137">
        <f t="shared" si="20"/>
        <v>3.3767504609999994E-3</v>
      </c>
      <c r="BA34" s="137">
        <f t="shared" si="21"/>
        <v>5.4419266709999992</v>
      </c>
      <c r="BB34" s="137">
        <f t="shared" si="22"/>
        <v>1.6105687799999999</v>
      </c>
      <c r="BC34" s="137">
        <f t="shared" si="4"/>
        <v>1.1016629819999999</v>
      </c>
      <c r="BD34" s="137">
        <f t="shared" si="5"/>
        <v>2.8993773089999999E-3</v>
      </c>
      <c r="BE34" s="137">
        <f t="shared" si="6"/>
        <v>1.6512925559999998</v>
      </c>
      <c r="BF34" s="137">
        <f t="shared" si="7"/>
        <v>-1.5429079229999998E-3</v>
      </c>
      <c r="BG34" s="137">
        <f t="shared" si="8"/>
        <v>3.456147684E-6</v>
      </c>
      <c r="BH34" s="137">
        <f t="shared" si="9"/>
        <v>2.9060939039999997E-2</v>
      </c>
      <c r="BI34" s="137">
        <f t="shared" si="10"/>
        <v>6.2650277129999987E-2</v>
      </c>
      <c r="BJ34" s="137">
        <f t="shared" si="11"/>
        <v>5.9772039419999999E-2</v>
      </c>
      <c r="BK34" s="137">
        <f t="shared" si="12"/>
        <v>3.617416665E-3</v>
      </c>
      <c r="BL34" s="137">
        <f t="shared" si="13"/>
        <v>0.6153532236</v>
      </c>
      <c r="BM34" s="137">
        <f t="shared" si="14"/>
        <v>6.5861516549999985E-2</v>
      </c>
    </row>
    <row r="35" spans="1:65" x14ac:dyDescent="0.25">
      <c r="A35" s="149">
        <v>168</v>
      </c>
      <c r="B35" s="149">
        <v>16</v>
      </c>
      <c r="C35" s="61">
        <v>40.014986</v>
      </c>
      <c r="D35" s="61">
        <v>-105.270546</v>
      </c>
      <c r="E35" s="61" t="s">
        <v>265</v>
      </c>
      <c r="F35" s="149">
        <v>16</v>
      </c>
      <c r="G35" s="61" t="s">
        <v>565</v>
      </c>
      <c r="H35" s="61" t="s">
        <v>645</v>
      </c>
      <c r="I35" s="61">
        <v>39.856096000000001</v>
      </c>
      <c r="J35" s="61">
        <v>-104.673738</v>
      </c>
      <c r="K35" s="61">
        <v>66.833860599999994</v>
      </c>
      <c r="L35" s="61">
        <v>70.700999999999993</v>
      </c>
      <c r="M35" s="61" t="s">
        <v>617</v>
      </c>
      <c r="N35" s="149">
        <v>15</v>
      </c>
      <c r="O35" s="149">
        <v>16</v>
      </c>
      <c r="P35" s="61" t="s">
        <v>565</v>
      </c>
      <c r="Q35" s="61" t="s">
        <v>556</v>
      </c>
      <c r="R35" s="61">
        <v>39.856096299999997</v>
      </c>
      <c r="S35" s="61">
        <v>-104.6737376</v>
      </c>
      <c r="T35" s="61">
        <v>70.700999999999993</v>
      </c>
      <c r="U35" s="61" t="s">
        <v>617</v>
      </c>
      <c r="V35" s="61" t="s">
        <v>617</v>
      </c>
      <c r="W35" s="61"/>
      <c r="Y35" s="137">
        <f>Summary_LCIA!H$32</f>
        <v>0.33979999999999999</v>
      </c>
      <c r="Z35" s="137">
        <f>Summary_LCIA!Q$32</f>
        <v>4.9560504329999997</v>
      </c>
      <c r="AA35" s="137">
        <f>Summary_LCIA!R$32</f>
        <v>5.2655999999999996E-3</v>
      </c>
      <c r="AB35" s="137">
        <f>Summary_LCIA!S$32</f>
        <v>0.33538000000000001</v>
      </c>
      <c r="AC35" s="137">
        <f>Summary_LCIA!T$32</f>
        <v>0.1099</v>
      </c>
      <c r="AD35" s="137">
        <f>Summary_LCIA!U$32</f>
        <v>1.7913999999999999E-2</v>
      </c>
      <c r="AE35" s="137">
        <f>Summary_LCIA!V$32</f>
        <v>4.7760999999999999E-5</v>
      </c>
      <c r="AF35" s="137">
        <f>Summary_LCIA!W$32</f>
        <v>7.6970999999999998E-2</v>
      </c>
      <c r="AG35" s="137">
        <f>Summary_LCIA!X$32</f>
        <v>2.2780000000000002E-2</v>
      </c>
      <c r="AH35" s="137">
        <f>Summary_LCIA!Y$32</f>
        <v>1.5582E-2</v>
      </c>
      <c r="AI35" s="137">
        <f>Summary_LCIA!Z$32</f>
        <v>4.1009E-5</v>
      </c>
      <c r="AJ35" s="137">
        <f>Summary_LCIA!AA$32</f>
        <v>2.3355999999999998E-2</v>
      </c>
      <c r="AK35" s="137">
        <f>Summary_LCIA!AB$32</f>
        <v>-2.1823000000000001E-5</v>
      </c>
      <c r="AL35" s="137">
        <f>Summary_LCIA!AC$32</f>
        <v>4.8884000000000003E-8</v>
      </c>
      <c r="AM35" s="137">
        <f>Summary_LCIA!AD$32</f>
        <v>4.1103999999999999E-4</v>
      </c>
      <c r="AN35" s="137">
        <f>Summary_LCIA!AE$32</f>
        <v>8.8612999999999995E-4</v>
      </c>
      <c r="AO35" s="137">
        <f>Summary_LCIA!AF$32</f>
        <v>8.4542000000000005E-4</v>
      </c>
      <c r="AP35" s="137">
        <f>Summary_LCIA!AG$32</f>
        <v>5.1165000000000002E-5</v>
      </c>
      <c r="AQ35" s="137">
        <f>Summary_LCIA!AH$32</f>
        <v>8.7036000000000006E-3</v>
      </c>
      <c r="AR35" s="137">
        <f>Summary_LCIA!AI$32</f>
        <v>9.3154999999999996E-4</v>
      </c>
      <c r="AT35" s="137">
        <f t="shared" si="3"/>
        <v>24.024199799999998</v>
      </c>
      <c r="AU35" s="137">
        <f t="shared" si="15"/>
        <v>350.39772166353293</v>
      </c>
      <c r="AV35" s="137">
        <f t="shared" si="16"/>
        <v>0.37228318559999996</v>
      </c>
      <c r="AW35" s="137">
        <f t="shared" si="17"/>
        <v>23.711701379999997</v>
      </c>
      <c r="AX35" s="137">
        <f t="shared" si="18"/>
        <v>7.7700398999999996</v>
      </c>
      <c r="AY35" s="137">
        <f t="shared" si="19"/>
        <v>1.2665377139999998</v>
      </c>
      <c r="AZ35" s="137">
        <f t="shared" si="20"/>
        <v>3.3767504609999994E-3</v>
      </c>
      <c r="BA35" s="137">
        <f t="shared" si="21"/>
        <v>5.4419266709999992</v>
      </c>
      <c r="BB35" s="137">
        <f t="shared" si="22"/>
        <v>1.6105687799999999</v>
      </c>
      <c r="BC35" s="137">
        <f t="shared" si="4"/>
        <v>1.1016629819999999</v>
      </c>
      <c r="BD35" s="137">
        <f t="shared" si="5"/>
        <v>2.8993773089999999E-3</v>
      </c>
      <c r="BE35" s="137">
        <f t="shared" si="6"/>
        <v>1.6512925559999998</v>
      </c>
      <c r="BF35" s="137">
        <f t="shared" si="7"/>
        <v>-1.5429079229999998E-3</v>
      </c>
      <c r="BG35" s="137">
        <f t="shared" si="8"/>
        <v>3.456147684E-6</v>
      </c>
      <c r="BH35" s="137">
        <f t="shared" si="9"/>
        <v>2.9060939039999997E-2</v>
      </c>
      <c r="BI35" s="137">
        <f t="shared" si="10"/>
        <v>6.2650277129999987E-2</v>
      </c>
      <c r="BJ35" s="137">
        <f t="shared" si="11"/>
        <v>5.9772039419999999E-2</v>
      </c>
      <c r="BK35" s="137">
        <f t="shared" si="12"/>
        <v>3.617416665E-3</v>
      </c>
      <c r="BL35" s="137">
        <f t="shared" si="13"/>
        <v>0.6153532236</v>
      </c>
      <c r="BM35" s="137">
        <f t="shared" si="14"/>
        <v>6.5861516549999985E-2</v>
      </c>
    </row>
    <row r="36" spans="1:65" x14ac:dyDescent="0.25">
      <c r="A36" s="149">
        <v>169</v>
      </c>
      <c r="B36" s="149">
        <v>16</v>
      </c>
      <c r="C36" s="61">
        <v>40.014986</v>
      </c>
      <c r="D36" s="61">
        <v>-105.270546</v>
      </c>
      <c r="E36" s="61" t="s">
        <v>265</v>
      </c>
      <c r="F36" s="149">
        <v>16</v>
      </c>
      <c r="G36" s="61" t="s">
        <v>565</v>
      </c>
      <c r="H36" s="61" t="s">
        <v>645</v>
      </c>
      <c r="I36" s="61">
        <v>39.856096000000001</v>
      </c>
      <c r="J36" s="61">
        <v>-104.673738</v>
      </c>
      <c r="K36" s="61">
        <v>66.833860599999994</v>
      </c>
      <c r="L36" s="61">
        <v>70.700999999999993</v>
      </c>
      <c r="M36" s="61" t="s">
        <v>617</v>
      </c>
      <c r="N36" s="149">
        <v>15</v>
      </c>
      <c r="O36" s="149">
        <v>16</v>
      </c>
      <c r="P36" s="61" t="s">
        <v>565</v>
      </c>
      <c r="Q36" s="61" t="s">
        <v>556</v>
      </c>
      <c r="R36" s="61">
        <v>39.856096299999997</v>
      </c>
      <c r="S36" s="61">
        <v>-104.6737376</v>
      </c>
      <c r="T36" s="61">
        <v>70.700999999999993</v>
      </c>
      <c r="U36" s="61" t="s">
        <v>617</v>
      </c>
      <c r="V36" s="61" t="s">
        <v>617</v>
      </c>
      <c r="W36" s="61"/>
      <c r="Y36" s="137">
        <f>Summary_LCIA!H$32</f>
        <v>0.33979999999999999</v>
      </c>
      <c r="Z36" s="137">
        <f>Summary_LCIA!Q$32</f>
        <v>4.9560504329999997</v>
      </c>
      <c r="AA36" s="137">
        <f>Summary_LCIA!R$32</f>
        <v>5.2655999999999996E-3</v>
      </c>
      <c r="AB36" s="137">
        <f>Summary_LCIA!S$32</f>
        <v>0.33538000000000001</v>
      </c>
      <c r="AC36" s="137">
        <f>Summary_LCIA!T$32</f>
        <v>0.1099</v>
      </c>
      <c r="AD36" s="137">
        <f>Summary_LCIA!U$32</f>
        <v>1.7913999999999999E-2</v>
      </c>
      <c r="AE36" s="137">
        <f>Summary_LCIA!V$32</f>
        <v>4.7760999999999999E-5</v>
      </c>
      <c r="AF36" s="137">
        <f>Summary_LCIA!W$32</f>
        <v>7.6970999999999998E-2</v>
      </c>
      <c r="AG36" s="137">
        <f>Summary_LCIA!X$32</f>
        <v>2.2780000000000002E-2</v>
      </c>
      <c r="AH36" s="137">
        <f>Summary_LCIA!Y$32</f>
        <v>1.5582E-2</v>
      </c>
      <c r="AI36" s="137">
        <f>Summary_LCIA!Z$32</f>
        <v>4.1009E-5</v>
      </c>
      <c r="AJ36" s="137">
        <f>Summary_LCIA!AA$32</f>
        <v>2.3355999999999998E-2</v>
      </c>
      <c r="AK36" s="137">
        <f>Summary_LCIA!AB$32</f>
        <v>-2.1823000000000001E-5</v>
      </c>
      <c r="AL36" s="137">
        <f>Summary_LCIA!AC$32</f>
        <v>4.8884000000000003E-8</v>
      </c>
      <c r="AM36" s="137">
        <f>Summary_LCIA!AD$32</f>
        <v>4.1103999999999999E-4</v>
      </c>
      <c r="AN36" s="137">
        <f>Summary_LCIA!AE$32</f>
        <v>8.8612999999999995E-4</v>
      </c>
      <c r="AO36" s="137">
        <f>Summary_LCIA!AF$32</f>
        <v>8.4542000000000005E-4</v>
      </c>
      <c r="AP36" s="137">
        <f>Summary_LCIA!AG$32</f>
        <v>5.1165000000000002E-5</v>
      </c>
      <c r="AQ36" s="137">
        <f>Summary_LCIA!AH$32</f>
        <v>8.7036000000000006E-3</v>
      </c>
      <c r="AR36" s="137">
        <f>Summary_LCIA!AI$32</f>
        <v>9.3154999999999996E-4</v>
      </c>
      <c r="AT36" s="137">
        <f t="shared" si="3"/>
        <v>24.024199799999998</v>
      </c>
      <c r="AU36" s="137">
        <f t="shared" si="15"/>
        <v>350.39772166353293</v>
      </c>
      <c r="AV36" s="137">
        <f t="shared" si="16"/>
        <v>0.37228318559999996</v>
      </c>
      <c r="AW36" s="137">
        <f t="shared" si="17"/>
        <v>23.711701379999997</v>
      </c>
      <c r="AX36" s="137">
        <f t="shared" si="18"/>
        <v>7.7700398999999996</v>
      </c>
      <c r="AY36" s="137">
        <f t="shared" si="19"/>
        <v>1.2665377139999998</v>
      </c>
      <c r="AZ36" s="137">
        <f t="shared" si="20"/>
        <v>3.3767504609999994E-3</v>
      </c>
      <c r="BA36" s="137">
        <f t="shared" si="21"/>
        <v>5.4419266709999992</v>
      </c>
      <c r="BB36" s="137">
        <f t="shared" si="22"/>
        <v>1.6105687799999999</v>
      </c>
      <c r="BC36" s="137">
        <f t="shared" si="4"/>
        <v>1.1016629819999999</v>
      </c>
      <c r="BD36" s="137">
        <f t="shared" si="5"/>
        <v>2.8993773089999999E-3</v>
      </c>
      <c r="BE36" s="137">
        <f t="shared" si="6"/>
        <v>1.6512925559999998</v>
      </c>
      <c r="BF36" s="137">
        <f t="shared" si="7"/>
        <v>-1.5429079229999998E-3</v>
      </c>
      <c r="BG36" s="137">
        <f t="shared" si="8"/>
        <v>3.456147684E-6</v>
      </c>
      <c r="BH36" s="137">
        <f t="shared" si="9"/>
        <v>2.9060939039999997E-2</v>
      </c>
      <c r="BI36" s="137">
        <f t="shared" si="10"/>
        <v>6.2650277129999987E-2</v>
      </c>
      <c r="BJ36" s="137">
        <f t="shared" si="11"/>
        <v>5.9772039419999999E-2</v>
      </c>
      <c r="BK36" s="137">
        <f t="shared" si="12"/>
        <v>3.617416665E-3</v>
      </c>
      <c r="BL36" s="137">
        <f t="shared" si="13"/>
        <v>0.6153532236</v>
      </c>
      <c r="BM36" s="137">
        <f t="shared" si="14"/>
        <v>6.5861516549999985E-2</v>
      </c>
    </row>
    <row r="37" spans="1:65" x14ac:dyDescent="0.25">
      <c r="A37" s="149">
        <v>170</v>
      </c>
      <c r="B37" s="149">
        <v>16</v>
      </c>
      <c r="C37" s="61">
        <v>40.014986</v>
      </c>
      <c r="D37" s="61">
        <v>-105.270546</v>
      </c>
      <c r="E37" s="61" t="s">
        <v>265</v>
      </c>
      <c r="F37" s="149">
        <v>16</v>
      </c>
      <c r="G37" s="61" t="s">
        <v>565</v>
      </c>
      <c r="H37" s="61" t="s">
        <v>645</v>
      </c>
      <c r="I37" s="61">
        <v>39.856096000000001</v>
      </c>
      <c r="J37" s="61">
        <v>-104.673738</v>
      </c>
      <c r="K37" s="61">
        <v>66.833860599999994</v>
      </c>
      <c r="L37" s="61">
        <v>70.700999999999993</v>
      </c>
      <c r="M37" s="61" t="s">
        <v>617</v>
      </c>
      <c r="N37" s="149">
        <v>15</v>
      </c>
      <c r="O37" s="149">
        <v>16</v>
      </c>
      <c r="P37" s="61" t="s">
        <v>565</v>
      </c>
      <c r="Q37" s="61" t="s">
        <v>556</v>
      </c>
      <c r="R37" s="61">
        <v>39.856096299999997</v>
      </c>
      <c r="S37" s="61">
        <v>-104.6737376</v>
      </c>
      <c r="T37" s="61">
        <v>70.700999999999993</v>
      </c>
      <c r="U37" s="61" t="s">
        <v>617</v>
      </c>
      <c r="V37" s="61" t="s">
        <v>617</v>
      </c>
      <c r="W37" s="61"/>
      <c r="Y37" s="137">
        <f>Summary_LCIA!H$32</f>
        <v>0.33979999999999999</v>
      </c>
      <c r="Z37" s="137">
        <f>Summary_LCIA!Q$32</f>
        <v>4.9560504329999997</v>
      </c>
      <c r="AA37" s="137">
        <f>Summary_LCIA!R$32</f>
        <v>5.2655999999999996E-3</v>
      </c>
      <c r="AB37" s="137">
        <f>Summary_LCIA!S$32</f>
        <v>0.33538000000000001</v>
      </c>
      <c r="AC37" s="137">
        <f>Summary_LCIA!T$32</f>
        <v>0.1099</v>
      </c>
      <c r="AD37" s="137">
        <f>Summary_LCIA!U$32</f>
        <v>1.7913999999999999E-2</v>
      </c>
      <c r="AE37" s="137">
        <f>Summary_LCIA!V$32</f>
        <v>4.7760999999999999E-5</v>
      </c>
      <c r="AF37" s="137">
        <f>Summary_LCIA!W$32</f>
        <v>7.6970999999999998E-2</v>
      </c>
      <c r="AG37" s="137">
        <f>Summary_LCIA!X$32</f>
        <v>2.2780000000000002E-2</v>
      </c>
      <c r="AH37" s="137">
        <f>Summary_LCIA!Y$32</f>
        <v>1.5582E-2</v>
      </c>
      <c r="AI37" s="137">
        <f>Summary_LCIA!Z$32</f>
        <v>4.1009E-5</v>
      </c>
      <c r="AJ37" s="137">
        <f>Summary_LCIA!AA$32</f>
        <v>2.3355999999999998E-2</v>
      </c>
      <c r="AK37" s="137">
        <f>Summary_LCIA!AB$32</f>
        <v>-2.1823000000000001E-5</v>
      </c>
      <c r="AL37" s="137">
        <f>Summary_LCIA!AC$32</f>
        <v>4.8884000000000003E-8</v>
      </c>
      <c r="AM37" s="137">
        <f>Summary_LCIA!AD$32</f>
        <v>4.1103999999999999E-4</v>
      </c>
      <c r="AN37" s="137">
        <f>Summary_LCIA!AE$32</f>
        <v>8.8612999999999995E-4</v>
      </c>
      <c r="AO37" s="137">
        <f>Summary_LCIA!AF$32</f>
        <v>8.4542000000000005E-4</v>
      </c>
      <c r="AP37" s="137">
        <f>Summary_LCIA!AG$32</f>
        <v>5.1165000000000002E-5</v>
      </c>
      <c r="AQ37" s="137">
        <f>Summary_LCIA!AH$32</f>
        <v>8.7036000000000006E-3</v>
      </c>
      <c r="AR37" s="137">
        <f>Summary_LCIA!AI$32</f>
        <v>9.3154999999999996E-4</v>
      </c>
      <c r="AT37" s="137">
        <f t="shared" si="3"/>
        <v>24.024199799999998</v>
      </c>
      <c r="AU37" s="137">
        <f t="shared" si="15"/>
        <v>350.39772166353293</v>
      </c>
      <c r="AV37" s="137">
        <f t="shared" si="16"/>
        <v>0.37228318559999996</v>
      </c>
      <c r="AW37" s="137">
        <f t="shared" si="17"/>
        <v>23.711701379999997</v>
      </c>
      <c r="AX37" s="137">
        <f t="shared" si="18"/>
        <v>7.7700398999999996</v>
      </c>
      <c r="AY37" s="137">
        <f t="shared" si="19"/>
        <v>1.2665377139999998</v>
      </c>
      <c r="AZ37" s="137">
        <f t="shared" si="20"/>
        <v>3.3767504609999994E-3</v>
      </c>
      <c r="BA37" s="137">
        <f t="shared" si="21"/>
        <v>5.4419266709999992</v>
      </c>
      <c r="BB37" s="137">
        <f t="shared" si="22"/>
        <v>1.6105687799999999</v>
      </c>
      <c r="BC37" s="137">
        <f t="shared" si="4"/>
        <v>1.1016629819999999</v>
      </c>
      <c r="BD37" s="137">
        <f t="shared" si="5"/>
        <v>2.8993773089999999E-3</v>
      </c>
      <c r="BE37" s="137">
        <f t="shared" si="6"/>
        <v>1.6512925559999998</v>
      </c>
      <c r="BF37" s="137">
        <f t="shared" si="7"/>
        <v>-1.5429079229999998E-3</v>
      </c>
      <c r="BG37" s="137">
        <f t="shared" si="8"/>
        <v>3.456147684E-6</v>
      </c>
      <c r="BH37" s="137">
        <f t="shared" si="9"/>
        <v>2.9060939039999997E-2</v>
      </c>
      <c r="BI37" s="137">
        <f t="shared" si="10"/>
        <v>6.2650277129999987E-2</v>
      </c>
      <c r="BJ37" s="137">
        <f t="shared" si="11"/>
        <v>5.9772039419999999E-2</v>
      </c>
      <c r="BK37" s="137">
        <f t="shared" si="12"/>
        <v>3.617416665E-3</v>
      </c>
      <c r="BL37" s="137">
        <f t="shared" si="13"/>
        <v>0.6153532236</v>
      </c>
      <c r="BM37" s="137">
        <f t="shared" si="14"/>
        <v>6.5861516549999985E-2</v>
      </c>
    </row>
    <row r="38" spans="1:65" x14ac:dyDescent="0.25">
      <c r="A38" s="149">
        <v>171</v>
      </c>
      <c r="B38" s="149">
        <v>16</v>
      </c>
      <c r="C38" s="61">
        <v>40.014986</v>
      </c>
      <c r="D38" s="61">
        <v>-105.270546</v>
      </c>
      <c r="E38" s="61" t="s">
        <v>265</v>
      </c>
      <c r="F38" s="149">
        <v>16</v>
      </c>
      <c r="G38" s="61" t="s">
        <v>565</v>
      </c>
      <c r="H38" s="61" t="s">
        <v>645</v>
      </c>
      <c r="I38" s="61">
        <v>39.856096000000001</v>
      </c>
      <c r="J38" s="61">
        <v>-104.673738</v>
      </c>
      <c r="K38" s="61">
        <v>66.833860599999994</v>
      </c>
      <c r="L38" s="61">
        <v>70.700999999999993</v>
      </c>
      <c r="M38" s="61" t="s">
        <v>617</v>
      </c>
      <c r="N38" s="149">
        <v>15</v>
      </c>
      <c r="O38" s="149">
        <v>16</v>
      </c>
      <c r="P38" s="61" t="s">
        <v>565</v>
      </c>
      <c r="Q38" s="61" t="s">
        <v>556</v>
      </c>
      <c r="R38" s="61">
        <v>39.856096299999997</v>
      </c>
      <c r="S38" s="61">
        <v>-104.6737376</v>
      </c>
      <c r="T38" s="61">
        <v>70.700999999999993</v>
      </c>
      <c r="U38" s="61" t="s">
        <v>617</v>
      </c>
      <c r="V38" s="61" t="s">
        <v>617</v>
      </c>
      <c r="W38" s="61"/>
      <c r="Y38" s="137">
        <f>Summary_LCIA!H$32</f>
        <v>0.33979999999999999</v>
      </c>
      <c r="Z38" s="137">
        <f>Summary_LCIA!Q$32</f>
        <v>4.9560504329999997</v>
      </c>
      <c r="AA38" s="137">
        <f>Summary_LCIA!R$32</f>
        <v>5.2655999999999996E-3</v>
      </c>
      <c r="AB38" s="137">
        <f>Summary_LCIA!S$32</f>
        <v>0.33538000000000001</v>
      </c>
      <c r="AC38" s="137">
        <f>Summary_LCIA!T$32</f>
        <v>0.1099</v>
      </c>
      <c r="AD38" s="137">
        <f>Summary_LCIA!U$32</f>
        <v>1.7913999999999999E-2</v>
      </c>
      <c r="AE38" s="137">
        <f>Summary_LCIA!V$32</f>
        <v>4.7760999999999999E-5</v>
      </c>
      <c r="AF38" s="137">
        <f>Summary_LCIA!W$32</f>
        <v>7.6970999999999998E-2</v>
      </c>
      <c r="AG38" s="137">
        <f>Summary_LCIA!X$32</f>
        <v>2.2780000000000002E-2</v>
      </c>
      <c r="AH38" s="137">
        <f>Summary_LCIA!Y$32</f>
        <v>1.5582E-2</v>
      </c>
      <c r="AI38" s="137">
        <f>Summary_LCIA!Z$32</f>
        <v>4.1009E-5</v>
      </c>
      <c r="AJ38" s="137">
        <f>Summary_LCIA!AA$32</f>
        <v>2.3355999999999998E-2</v>
      </c>
      <c r="AK38" s="137">
        <f>Summary_LCIA!AB$32</f>
        <v>-2.1823000000000001E-5</v>
      </c>
      <c r="AL38" s="137">
        <f>Summary_LCIA!AC$32</f>
        <v>4.8884000000000003E-8</v>
      </c>
      <c r="AM38" s="137">
        <f>Summary_LCIA!AD$32</f>
        <v>4.1103999999999999E-4</v>
      </c>
      <c r="AN38" s="137">
        <f>Summary_LCIA!AE$32</f>
        <v>8.8612999999999995E-4</v>
      </c>
      <c r="AO38" s="137">
        <f>Summary_LCIA!AF$32</f>
        <v>8.4542000000000005E-4</v>
      </c>
      <c r="AP38" s="137">
        <f>Summary_LCIA!AG$32</f>
        <v>5.1165000000000002E-5</v>
      </c>
      <c r="AQ38" s="137">
        <f>Summary_LCIA!AH$32</f>
        <v>8.7036000000000006E-3</v>
      </c>
      <c r="AR38" s="137">
        <f>Summary_LCIA!AI$32</f>
        <v>9.3154999999999996E-4</v>
      </c>
      <c r="AT38" s="137">
        <f t="shared" si="3"/>
        <v>24.024199799999998</v>
      </c>
      <c r="AU38" s="137">
        <f t="shared" si="15"/>
        <v>350.39772166353293</v>
      </c>
      <c r="AV38" s="137">
        <f t="shared" si="16"/>
        <v>0.37228318559999996</v>
      </c>
      <c r="AW38" s="137">
        <f t="shared" si="17"/>
        <v>23.711701379999997</v>
      </c>
      <c r="AX38" s="137">
        <f t="shared" si="18"/>
        <v>7.7700398999999996</v>
      </c>
      <c r="AY38" s="137">
        <f t="shared" si="19"/>
        <v>1.2665377139999998</v>
      </c>
      <c r="AZ38" s="137">
        <f t="shared" si="20"/>
        <v>3.3767504609999994E-3</v>
      </c>
      <c r="BA38" s="137">
        <f t="shared" si="21"/>
        <v>5.4419266709999992</v>
      </c>
      <c r="BB38" s="137">
        <f t="shared" si="22"/>
        <v>1.6105687799999999</v>
      </c>
      <c r="BC38" s="137">
        <f t="shared" si="4"/>
        <v>1.1016629819999999</v>
      </c>
      <c r="BD38" s="137">
        <f t="shared" si="5"/>
        <v>2.8993773089999999E-3</v>
      </c>
      <c r="BE38" s="137">
        <f t="shared" si="6"/>
        <v>1.6512925559999998</v>
      </c>
      <c r="BF38" s="137">
        <f t="shared" si="7"/>
        <v>-1.5429079229999998E-3</v>
      </c>
      <c r="BG38" s="137">
        <f t="shared" si="8"/>
        <v>3.456147684E-6</v>
      </c>
      <c r="BH38" s="137">
        <f t="shared" si="9"/>
        <v>2.9060939039999997E-2</v>
      </c>
      <c r="BI38" s="137">
        <f t="shared" si="10"/>
        <v>6.2650277129999987E-2</v>
      </c>
      <c r="BJ38" s="137">
        <f t="shared" si="11"/>
        <v>5.9772039419999999E-2</v>
      </c>
      <c r="BK38" s="137">
        <f t="shared" si="12"/>
        <v>3.617416665E-3</v>
      </c>
      <c r="BL38" s="137">
        <f t="shared" si="13"/>
        <v>0.6153532236</v>
      </c>
      <c r="BM38" s="137">
        <f t="shared" si="14"/>
        <v>6.5861516549999985E-2</v>
      </c>
    </row>
    <row r="39" spans="1:65" x14ac:dyDescent="0.25">
      <c r="A39" s="149">
        <v>172</v>
      </c>
      <c r="B39" s="149">
        <v>16</v>
      </c>
      <c r="C39" s="61">
        <v>40.014986</v>
      </c>
      <c r="D39" s="61">
        <v>-105.270546</v>
      </c>
      <c r="E39" s="61" t="s">
        <v>265</v>
      </c>
      <c r="F39" s="149">
        <v>16</v>
      </c>
      <c r="G39" s="61" t="s">
        <v>565</v>
      </c>
      <c r="H39" s="61" t="s">
        <v>645</v>
      </c>
      <c r="I39" s="61">
        <v>39.856096000000001</v>
      </c>
      <c r="J39" s="61">
        <v>-104.673738</v>
      </c>
      <c r="K39" s="61">
        <v>66.833860599999994</v>
      </c>
      <c r="L39" s="61">
        <v>70.700999999999993</v>
      </c>
      <c r="M39" s="61" t="s">
        <v>617</v>
      </c>
      <c r="N39" s="149">
        <v>15</v>
      </c>
      <c r="O39" s="149">
        <v>16</v>
      </c>
      <c r="P39" s="61" t="s">
        <v>565</v>
      </c>
      <c r="Q39" s="61" t="s">
        <v>556</v>
      </c>
      <c r="R39" s="61">
        <v>39.856096299999997</v>
      </c>
      <c r="S39" s="61">
        <v>-104.6737376</v>
      </c>
      <c r="T39" s="61">
        <v>70.700999999999993</v>
      </c>
      <c r="U39" s="61" t="s">
        <v>617</v>
      </c>
      <c r="V39" s="61" t="s">
        <v>617</v>
      </c>
      <c r="W39" s="61"/>
      <c r="Y39" s="137">
        <f>Summary_LCIA!H$32</f>
        <v>0.33979999999999999</v>
      </c>
      <c r="Z39" s="137">
        <f>Summary_LCIA!Q$32</f>
        <v>4.9560504329999997</v>
      </c>
      <c r="AA39" s="137">
        <f>Summary_LCIA!R$32</f>
        <v>5.2655999999999996E-3</v>
      </c>
      <c r="AB39" s="137">
        <f>Summary_LCIA!S$32</f>
        <v>0.33538000000000001</v>
      </c>
      <c r="AC39" s="137">
        <f>Summary_LCIA!T$32</f>
        <v>0.1099</v>
      </c>
      <c r="AD39" s="137">
        <f>Summary_LCIA!U$32</f>
        <v>1.7913999999999999E-2</v>
      </c>
      <c r="AE39" s="137">
        <f>Summary_LCIA!V$32</f>
        <v>4.7760999999999999E-5</v>
      </c>
      <c r="AF39" s="137">
        <f>Summary_LCIA!W$32</f>
        <v>7.6970999999999998E-2</v>
      </c>
      <c r="AG39" s="137">
        <f>Summary_LCIA!X$32</f>
        <v>2.2780000000000002E-2</v>
      </c>
      <c r="AH39" s="137">
        <f>Summary_LCIA!Y$32</f>
        <v>1.5582E-2</v>
      </c>
      <c r="AI39" s="137">
        <f>Summary_LCIA!Z$32</f>
        <v>4.1009E-5</v>
      </c>
      <c r="AJ39" s="137">
        <f>Summary_LCIA!AA$32</f>
        <v>2.3355999999999998E-2</v>
      </c>
      <c r="AK39" s="137">
        <f>Summary_LCIA!AB$32</f>
        <v>-2.1823000000000001E-5</v>
      </c>
      <c r="AL39" s="137">
        <f>Summary_LCIA!AC$32</f>
        <v>4.8884000000000003E-8</v>
      </c>
      <c r="AM39" s="137">
        <f>Summary_LCIA!AD$32</f>
        <v>4.1103999999999999E-4</v>
      </c>
      <c r="AN39" s="137">
        <f>Summary_LCIA!AE$32</f>
        <v>8.8612999999999995E-4</v>
      </c>
      <c r="AO39" s="137">
        <f>Summary_LCIA!AF$32</f>
        <v>8.4542000000000005E-4</v>
      </c>
      <c r="AP39" s="137">
        <f>Summary_LCIA!AG$32</f>
        <v>5.1165000000000002E-5</v>
      </c>
      <c r="AQ39" s="137">
        <f>Summary_LCIA!AH$32</f>
        <v>8.7036000000000006E-3</v>
      </c>
      <c r="AR39" s="137">
        <f>Summary_LCIA!AI$32</f>
        <v>9.3154999999999996E-4</v>
      </c>
      <c r="AT39" s="137">
        <f t="shared" si="3"/>
        <v>24.024199799999998</v>
      </c>
      <c r="AU39" s="137">
        <f t="shared" si="15"/>
        <v>350.39772166353293</v>
      </c>
      <c r="AV39" s="137">
        <f t="shared" si="16"/>
        <v>0.37228318559999996</v>
      </c>
      <c r="AW39" s="137">
        <f t="shared" si="17"/>
        <v>23.711701379999997</v>
      </c>
      <c r="AX39" s="137">
        <f t="shared" si="18"/>
        <v>7.7700398999999996</v>
      </c>
      <c r="AY39" s="137">
        <f t="shared" si="19"/>
        <v>1.2665377139999998</v>
      </c>
      <c r="AZ39" s="137">
        <f t="shared" si="20"/>
        <v>3.3767504609999994E-3</v>
      </c>
      <c r="BA39" s="137">
        <f t="shared" si="21"/>
        <v>5.4419266709999992</v>
      </c>
      <c r="BB39" s="137">
        <f t="shared" si="22"/>
        <v>1.6105687799999999</v>
      </c>
      <c r="BC39" s="137">
        <f t="shared" si="4"/>
        <v>1.1016629819999999</v>
      </c>
      <c r="BD39" s="137">
        <f t="shared" si="5"/>
        <v>2.8993773089999999E-3</v>
      </c>
      <c r="BE39" s="137">
        <f t="shared" si="6"/>
        <v>1.6512925559999998</v>
      </c>
      <c r="BF39" s="137">
        <f t="shared" si="7"/>
        <v>-1.5429079229999998E-3</v>
      </c>
      <c r="BG39" s="137">
        <f t="shared" si="8"/>
        <v>3.456147684E-6</v>
      </c>
      <c r="BH39" s="137">
        <f t="shared" si="9"/>
        <v>2.9060939039999997E-2</v>
      </c>
      <c r="BI39" s="137">
        <f t="shared" si="10"/>
        <v>6.2650277129999987E-2</v>
      </c>
      <c r="BJ39" s="137">
        <f t="shared" si="11"/>
        <v>5.9772039419999999E-2</v>
      </c>
      <c r="BK39" s="137">
        <f t="shared" si="12"/>
        <v>3.617416665E-3</v>
      </c>
      <c r="BL39" s="137">
        <f t="shared" si="13"/>
        <v>0.6153532236</v>
      </c>
      <c r="BM39" s="137">
        <f t="shared" si="14"/>
        <v>6.5861516549999985E-2</v>
      </c>
    </row>
    <row r="40" spans="1:65" x14ac:dyDescent="0.25">
      <c r="A40" s="149">
        <v>45</v>
      </c>
      <c r="B40" s="149">
        <v>43</v>
      </c>
      <c r="C40" s="61">
        <v>40.698720999999999</v>
      </c>
      <c r="D40" s="61">
        <v>-75.211763000000005</v>
      </c>
      <c r="E40" s="61" t="s">
        <v>265</v>
      </c>
      <c r="F40" s="149">
        <v>43</v>
      </c>
      <c r="G40" s="61" t="s">
        <v>565</v>
      </c>
      <c r="H40" s="61" t="s">
        <v>632</v>
      </c>
      <c r="I40" s="61">
        <v>40.689531000000002</v>
      </c>
      <c r="J40" s="61">
        <v>-74.174462000000005</v>
      </c>
      <c r="K40" s="61">
        <v>88.768893129999995</v>
      </c>
      <c r="L40" s="61">
        <v>99.001999999999995</v>
      </c>
      <c r="M40" s="61" t="s">
        <v>617</v>
      </c>
      <c r="N40" s="149">
        <v>42</v>
      </c>
      <c r="O40" s="149">
        <v>43</v>
      </c>
      <c r="P40" s="61" t="s">
        <v>565</v>
      </c>
      <c r="Q40" s="61" t="s">
        <v>555</v>
      </c>
      <c r="R40" s="61">
        <v>40.6895314</v>
      </c>
      <c r="S40" s="61">
        <v>-74.174462399999996</v>
      </c>
      <c r="T40" s="61">
        <v>99.001999999999995</v>
      </c>
      <c r="U40" s="61" t="s">
        <v>617</v>
      </c>
      <c r="V40" s="61" t="s">
        <v>617</v>
      </c>
      <c r="W40" s="61"/>
      <c r="Y40" s="137">
        <f>Summary_LCIA!H$32</f>
        <v>0.33979999999999999</v>
      </c>
      <c r="Z40" s="137">
        <f>Summary_LCIA!Q$32</f>
        <v>4.9560504329999997</v>
      </c>
      <c r="AA40" s="137">
        <f>Summary_LCIA!R$32</f>
        <v>5.2655999999999996E-3</v>
      </c>
      <c r="AB40" s="137">
        <f>Summary_LCIA!S$32</f>
        <v>0.33538000000000001</v>
      </c>
      <c r="AC40" s="137">
        <f>Summary_LCIA!T$32</f>
        <v>0.1099</v>
      </c>
      <c r="AD40" s="137">
        <f>Summary_LCIA!U$32</f>
        <v>1.7913999999999999E-2</v>
      </c>
      <c r="AE40" s="137">
        <f>Summary_LCIA!V$32</f>
        <v>4.7760999999999999E-5</v>
      </c>
      <c r="AF40" s="137">
        <f>Summary_LCIA!W$32</f>
        <v>7.6970999999999998E-2</v>
      </c>
      <c r="AG40" s="137">
        <f>Summary_LCIA!X$32</f>
        <v>2.2780000000000002E-2</v>
      </c>
      <c r="AH40" s="137">
        <f>Summary_LCIA!Y$32</f>
        <v>1.5582E-2</v>
      </c>
      <c r="AI40" s="137">
        <f>Summary_LCIA!Z$32</f>
        <v>4.1009E-5</v>
      </c>
      <c r="AJ40" s="137">
        <f>Summary_LCIA!AA$32</f>
        <v>2.3355999999999998E-2</v>
      </c>
      <c r="AK40" s="137">
        <f>Summary_LCIA!AB$32</f>
        <v>-2.1823000000000001E-5</v>
      </c>
      <c r="AL40" s="137">
        <f>Summary_LCIA!AC$32</f>
        <v>4.8884000000000003E-8</v>
      </c>
      <c r="AM40" s="137">
        <f>Summary_LCIA!AD$32</f>
        <v>4.1103999999999999E-4</v>
      </c>
      <c r="AN40" s="137">
        <f>Summary_LCIA!AE$32</f>
        <v>8.8612999999999995E-4</v>
      </c>
      <c r="AO40" s="137">
        <f>Summary_LCIA!AF$32</f>
        <v>8.4542000000000005E-4</v>
      </c>
      <c r="AP40" s="137">
        <f>Summary_LCIA!AG$32</f>
        <v>5.1165000000000002E-5</v>
      </c>
      <c r="AQ40" s="137">
        <f>Summary_LCIA!AH$32</f>
        <v>8.7036000000000006E-3</v>
      </c>
      <c r="AR40" s="137">
        <f>Summary_LCIA!AI$32</f>
        <v>9.3154999999999996E-4</v>
      </c>
      <c r="AT40" s="137">
        <f t="shared" si="3"/>
        <v>33.640879599999998</v>
      </c>
      <c r="AU40" s="137">
        <f t="shared" si="15"/>
        <v>490.65890496786596</v>
      </c>
      <c r="AV40" s="137">
        <f t="shared" si="16"/>
        <v>0.52130493119999999</v>
      </c>
      <c r="AW40" s="137">
        <f t="shared" si="17"/>
        <v>33.203290760000002</v>
      </c>
      <c r="AX40" s="137">
        <f t="shared" si="18"/>
        <v>10.880319799999999</v>
      </c>
      <c r="AY40" s="137">
        <f t="shared" si="19"/>
        <v>1.7735218279999998</v>
      </c>
      <c r="AZ40" s="137">
        <f t="shared" si="20"/>
        <v>4.7284345219999998E-3</v>
      </c>
      <c r="BA40" s="137">
        <f t="shared" si="21"/>
        <v>7.6202829419999993</v>
      </c>
      <c r="BB40" s="137">
        <f t="shared" si="22"/>
        <v>2.2552655600000002</v>
      </c>
      <c r="BC40" s="137">
        <f t="shared" si="4"/>
        <v>1.542649164</v>
      </c>
      <c r="BD40" s="137">
        <f t="shared" si="5"/>
        <v>4.0599730179999996E-3</v>
      </c>
      <c r="BE40" s="137">
        <f t="shared" si="6"/>
        <v>2.3122907119999998</v>
      </c>
      <c r="BF40" s="137">
        <f t="shared" si="7"/>
        <v>-2.160520646E-3</v>
      </c>
      <c r="BG40" s="137">
        <f t="shared" si="8"/>
        <v>4.8396137680000002E-6</v>
      </c>
      <c r="BH40" s="137">
        <f t="shared" si="9"/>
        <v>4.0693782079999997E-2</v>
      </c>
      <c r="BI40" s="137">
        <f t="shared" si="10"/>
        <v>8.7728642259999989E-2</v>
      </c>
      <c r="BJ40" s="137">
        <f t="shared" si="11"/>
        <v>8.3698270840000005E-2</v>
      </c>
      <c r="BK40" s="137">
        <f t="shared" si="12"/>
        <v>5.0654373300000003E-3</v>
      </c>
      <c r="BL40" s="137">
        <f t="shared" si="13"/>
        <v>0.86167380719999997</v>
      </c>
      <c r="BM40" s="137">
        <f t="shared" si="14"/>
        <v>9.2225313099999998E-2</v>
      </c>
    </row>
    <row r="41" spans="1:65" x14ac:dyDescent="0.25">
      <c r="A41" s="149">
        <v>219</v>
      </c>
      <c r="B41" s="149">
        <v>16</v>
      </c>
      <c r="C41" s="61">
        <v>40.570262999999997</v>
      </c>
      <c r="D41" s="61">
        <v>-105.090346</v>
      </c>
      <c r="E41" s="61" t="s">
        <v>265</v>
      </c>
      <c r="F41" s="149">
        <v>16</v>
      </c>
      <c r="G41" s="61" t="s">
        <v>565</v>
      </c>
      <c r="H41" s="61" t="s">
        <v>645</v>
      </c>
      <c r="I41" s="61">
        <v>39.856096000000001</v>
      </c>
      <c r="J41" s="61">
        <v>-104.673738</v>
      </c>
      <c r="K41" s="61">
        <v>153.5848848</v>
      </c>
      <c r="L41" s="61">
        <v>113.407</v>
      </c>
      <c r="M41" s="61" t="s">
        <v>617</v>
      </c>
      <c r="N41" s="149">
        <v>15</v>
      </c>
      <c r="O41" s="149">
        <v>16</v>
      </c>
      <c r="P41" s="61" t="s">
        <v>565</v>
      </c>
      <c r="Q41" s="61" t="s">
        <v>556</v>
      </c>
      <c r="R41" s="61">
        <v>39.856096299999997</v>
      </c>
      <c r="S41" s="61">
        <v>-104.6737376</v>
      </c>
      <c r="T41" s="61">
        <v>113.407</v>
      </c>
      <c r="U41" s="61" t="s">
        <v>617</v>
      </c>
      <c r="V41" s="61" t="s">
        <v>617</v>
      </c>
      <c r="W41" s="61"/>
      <c r="Y41" s="137">
        <f>Summary_LCIA!H$32</f>
        <v>0.33979999999999999</v>
      </c>
      <c r="Z41" s="137">
        <f>Summary_LCIA!Q$32</f>
        <v>4.9560504329999997</v>
      </c>
      <c r="AA41" s="137">
        <f>Summary_LCIA!R$32</f>
        <v>5.2655999999999996E-3</v>
      </c>
      <c r="AB41" s="137">
        <f>Summary_LCIA!S$32</f>
        <v>0.33538000000000001</v>
      </c>
      <c r="AC41" s="137">
        <f>Summary_LCIA!T$32</f>
        <v>0.1099</v>
      </c>
      <c r="AD41" s="137">
        <f>Summary_LCIA!U$32</f>
        <v>1.7913999999999999E-2</v>
      </c>
      <c r="AE41" s="137">
        <f>Summary_LCIA!V$32</f>
        <v>4.7760999999999999E-5</v>
      </c>
      <c r="AF41" s="137">
        <f>Summary_LCIA!W$32</f>
        <v>7.6970999999999998E-2</v>
      </c>
      <c r="AG41" s="137">
        <f>Summary_LCIA!X$32</f>
        <v>2.2780000000000002E-2</v>
      </c>
      <c r="AH41" s="137">
        <f>Summary_LCIA!Y$32</f>
        <v>1.5582E-2</v>
      </c>
      <c r="AI41" s="137">
        <f>Summary_LCIA!Z$32</f>
        <v>4.1009E-5</v>
      </c>
      <c r="AJ41" s="137">
        <f>Summary_LCIA!AA$32</f>
        <v>2.3355999999999998E-2</v>
      </c>
      <c r="AK41" s="137">
        <f>Summary_LCIA!AB$32</f>
        <v>-2.1823000000000001E-5</v>
      </c>
      <c r="AL41" s="137">
        <f>Summary_LCIA!AC$32</f>
        <v>4.8884000000000003E-8</v>
      </c>
      <c r="AM41" s="137">
        <f>Summary_LCIA!AD$32</f>
        <v>4.1103999999999999E-4</v>
      </c>
      <c r="AN41" s="137">
        <f>Summary_LCIA!AE$32</f>
        <v>8.8612999999999995E-4</v>
      </c>
      <c r="AO41" s="137">
        <f>Summary_LCIA!AF$32</f>
        <v>8.4542000000000005E-4</v>
      </c>
      <c r="AP41" s="137">
        <f>Summary_LCIA!AG$32</f>
        <v>5.1165000000000002E-5</v>
      </c>
      <c r="AQ41" s="137">
        <f>Summary_LCIA!AH$32</f>
        <v>8.7036000000000006E-3</v>
      </c>
      <c r="AR41" s="137">
        <f>Summary_LCIA!AI$32</f>
        <v>9.3154999999999996E-4</v>
      </c>
      <c r="AT41" s="137">
        <f t="shared" si="3"/>
        <v>38.535698599999996</v>
      </c>
      <c r="AU41" s="137">
        <f t="shared" si="15"/>
        <v>562.05081145523093</v>
      </c>
      <c r="AV41" s="137">
        <f t="shared" si="16"/>
        <v>0.5971558991999999</v>
      </c>
      <c r="AW41" s="137">
        <f t="shared" si="17"/>
        <v>38.034439659999997</v>
      </c>
      <c r="AX41" s="137">
        <f t="shared" si="18"/>
        <v>12.4634293</v>
      </c>
      <c r="AY41" s="137">
        <f t="shared" si="19"/>
        <v>2.0315729979999997</v>
      </c>
      <c r="AZ41" s="137">
        <f t="shared" si="20"/>
        <v>5.4164317269999995E-3</v>
      </c>
      <c r="BA41" s="137">
        <f t="shared" si="21"/>
        <v>8.7290501969999994</v>
      </c>
      <c r="BB41" s="137">
        <f t="shared" si="22"/>
        <v>2.5834114600000002</v>
      </c>
      <c r="BC41" s="137">
        <f t="shared" si="4"/>
        <v>1.7671078739999999</v>
      </c>
      <c r="BD41" s="137">
        <f t="shared" si="5"/>
        <v>4.650707663E-3</v>
      </c>
      <c r="BE41" s="137">
        <f t="shared" si="6"/>
        <v>2.6487338919999996</v>
      </c>
      <c r="BF41" s="137">
        <f t="shared" si="7"/>
        <v>-2.4748809610000001E-3</v>
      </c>
      <c r="BG41" s="137">
        <f t="shared" si="8"/>
        <v>5.5437877880000004E-6</v>
      </c>
      <c r="BH41" s="137">
        <f t="shared" si="9"/>
        <v>4.661481328E-2</v>
      </c>
      <c r="BI41" s="137">
        <f t="shared" si="10"/>
        <v>0.10049334490999999</v>
      </c>
      <c r="BJ41" s="137">
        <f t="shared" si="11"/>
        <v>9.5876545940000002E-2</v>
      </c>
      <c r="BK41" s="137">
        <f t="shared" si="12"/>
        <v>5.802469155E-3</v>
      </c>
      <c r="BL41" s="137">
        <f t="shared" si="13"/>
        <v>0.98704916520000008</v>
      </c>
      <c r="BM41" s="137">
        <f t="shared" si="14"/>
        <v>0.10564429084999999</v>
      </c>
    </row>
    <row r="42" spans="1:65" x14ac:dyDescent="0.25">
      <c r="A42" s="149">
        <v>220</v>
      </c>
      <c r="B42" s="149">
        <v>16</v>
      </c>
      <c r="C42" s="61">
        <v>40.570262999999997</v>
      </c>
      <c r="D42" s="61">
        <v>-105.090346</v>
      </c>
      <c r="E42" s="61" t="s">
        <v>265</v>
      </c>
      <c r="F42" s="149">
        <v>16</v>
      </c>
      <c r="G42" s="61" t="s">
        <v>565</v>
      </c>
      <c r="H42" s="61" t="s">
        <v>645</v>
      </c>
      <c r="I42" s="61">
        <v>39.856096000000001</v>
      </c>
      <c r="J42" s="61">
        <v>-104.673738</v>
      </c>
      <c r="K42" s="61">
        <v>153.5848848</v>
      </c>
      <c r="L42" s="61">
        <v>113.407</v>
      </c>
      <c r="M42" s="61" t="s">
        <v>617</v>
      </c>
      <c r="N42" s="149">
        <v>15</v>
      </c>
      <c r="O42" s="149">
        <v>16</v>
      </c>
      <c r="P42" s="61" t="s">
        <v>565</v>
      </c>
      <c r="Q42" s="61" t="s">
        <v>556</v>
      </c>
      <c r="R42" s="61">
        <v>39.856096299999997</v>
      </c>
      <c r="S42" s="61">
        <v>-104.6737376</v>
      </c>
      <c r="T42" s="61">
        <v>113.407</v>
      </c>
      <c r="U42" s="61" t="s">
        <v>617</v>
      </c>
      <c r="V42" s="61" t="s">
        <v>617</v>
      </c>
      <c r="W42" s="61"/>
      <c r="Y42" s="137">
        <f>Summary_LCIA!H$32</f>
        <v>0.33979999999999999</v>
      </c>
      <c r="Z42" s="137">
        <f>Summary_LCIA!Q$32</f>
        <v>4.9560504329999997</v>
      </c>
      <c r="AA42" s="137">
        <f>Summary_LCIA!R$32</f>
        <v>5.2655999999999996E-3</v>
      </c>
      <c r="AB42" s="137">
        <f>Summary_LCIA!S$32</f>
        <v>0.33538000000000001</v>
      </c>
      <c r="AC42" s="137">
        <f>Summary_LCIA!T$32</f>
        <v>0.1099</v>
      </c>
      <c r="AD42" s="137">
        <f>Summary_LCIA!U$32</f>
        <v>1.7913999999999999E-2</v>
      </c>
      <c r="AE42" s="137">
        <f>Summary_LCIA!V$32</f>
        <v>4.7760999999999999E-5</v>
      </c>
      <c r="AF42" s="137">
        <f>Summary_LCIA!W$32</f>
        <v>7.6970999999999998E-2</v>
      </c>
      <c r="AG42" s="137">
        <f>Summary_LCIA!X$32</f>
        <v>2.2780000000000002E-2</v>
      </c>
      <c r="AH42" s="137">
        <f>Summary_LCIA!Y$32</f>
        <v>1.5582E-2</v>
      </c>
      <c r="AI42" s="137">
        <f>Summary_LCIA!Z$32</f>
        <v>4.1009E-5</v>
      </c>
      <c r="AJ42" s="137">
        <f>Summary_LCIA!AA$32</f>
        <v>2.3355999999999998E-2</v>
      </c>
      <c r="AK42" s="137">
        <f>Summary_LCIA!AB$32</f>
        <v>-2.1823000000000001E-5</v>
      </c>
      <c r="AL42" s="137">
        <f>Summary_LCIA!AC$32</f>
        <v>4.8884000000000003E-8</v>
      </c>
      <c r="AM42" s="137">
        <f>Summary_LCIA!AD$32</f>
        <v>4.1103999999999999E-4</v>
      </c>
      <c r="AN42" s="137">
        <f>Summary_LCIA!AE$32</f>
        <v>8.8612999999999995E-4</v>
      </c>
      <c r="AO42" s="137">
        <f>Summary_LCIA!AF$32</f>
        <v>8.4542000000000005E-4</v>
      </c>
      <c r="AP42" s="137">
        <f>Summary_LCIA!AG$32</f>
        <v>5.1165000000000002E-5</v>
      </c>
      <c r="AQ42" s="137">
        <f>Summary_LCIA!AH$32</f>
        <v>8.7036000000000006E-3</v>
      </c>
      <c r="AR42" s="137">
        <f>Summary_LCIA!AI$32</f>
        <v>9.3154999999999996E-4</v>
      </c>
      <c r="AT42" s="137">
        <f t="shared" si="3"/>
        <v>38.535698599999996</v>
      </c>
      <c r="AU42" s="137">
        <f t="shared" si="15"/>
        <v>562.05081145523093</v>
      </c>
      <c r="AV42" s="137">
        <f t="shared" si="16"/>
        <v>0.5971558991999999</v>
      </c>
      <c r="AW42" s="137">
        <f t="shared" si="17"/>
        <v>38.034439659999997</v>
      </c>
      <c r="AX42" s="137">
        <f t="shared" si="18"/>
        <v>12.4634293</v>
      </c>
      <c r="AY42" s="137">
        <f t="shared" si="19"/>
        <v>2.0315729979999997</v>
      </c>
      <c r="AZ42" s="137">
        <f t="shared" si="20"/>
        <v>5.4164317269999995E-3</v>
      </c>
      <c r="BA42" s="137">
        <f t="shared" si="21"/>
        <v>8.7290501969999994</v>
      </c>
      <c r="BB42" s="137">
        <f t="shared" si="22"/>
        <v>2.5834114600000002</v>
      </c>
      <c r="BC42" s="137">
        <f t="shared" si="4"/>
        <v>1.7671078739999999</v>
      </c>
      <c r="BD42" s="137">
        <f t="shared" si="5"/>
        <v>4.650707663E-3</v>
      </c>
      <c r="BE42" s="137">
        <f t="shared" si="6"/>
        <v>2.6487338919999996</v>
      </c>
      <c r="BF42" s="137">
        <f t="shared" si="7"/>
        <v>-2.4748809610000001E-3</v>
      </c>
      <c r="BG42" s="137">
        <f t="shared" si="8"/>
        <v>5.5437877880000004E-6</v>
      </c>
      <c r="BH42" s="137">
        <f t="shared" si="9"/>
        <v>4.661481328E-2</v>
      </c>
      <c r="BI42" s="137">
        <f t="shared" si="10"/>
        <v>0.10049334490999999</v>
      </c>
      <c r="BJ42" s="137">
        <f t="shared" si="11"/>
        <v>9.5876545940000002E-2</v>
      </c>
      <c r="BK42" s="137">
        <f t="shared" si="12"/>
        <v>5.802469155E-3</v>
      </c>
      <c r="BL42" s="137">
        <f t="shared" si="13"/>
        <v>0.98704916520000008</v>
      </c>
      <c r="BM42" s="137">
        <f t="shared" si="14"/>
        <v>0.10564429084999999</v>
      </c>
    </row>
    <row r="43" spans="1:65" x14ac:dyDescent="0.25">
      <c r="A43" s="149">
        <v>221</v>
      </c>
      <c r="B43" s="149">
        <v>16</v>
      </c>
      <c r="C43" s="61">
        <v>40.570262999999997</v>
      </c>
      <c r="D43" s="61">
        <v>-105.090346</v>
      </c>
      <c r="E43" s="61" t="s">
        <v>265</v>
      </c>
      <c r="F43" s="149">
        <v>16</v>
      </c>
      <c r="G43" s="61" t="s">
        <v>565</v>
      </c>
      <c r="H43" s="61" t="s">
        <v>645</v>
      </c>
      <c r="I43" s="61">
        <v>39.856096000000001</v>
      </c>
      <c r="J43" s="61">
        <v>-104.673738</v>
      </c>
      <c r="K43" s="61">
        <v>153.5848848</v>
      </c>
      <c r="L43" s="61">
        <v>113.407</v>
      </c>
      <c r="M43" s="61" t="s">
        <v>617</v>
      </c>
      <c r="N43" s="149">
        <v>15</v>
      </c>
      <c r="O43" s="149">
        <v>16</v>
      </c>
      <c r="P43" s="61" t="s">
        <v>565</v>
      </c>
      <c r="Q43" s="61" t="s">
        <v>556</v>
      </c>
      <c r="R43" s="61">
        <v>39.856096299999997</v>
      </c>
      <c r="S43" s="61">
        <v>-104.6737376</v>
      </c>
      <c r="T43" s="61">
        <v>113.407</v>
      </c>
      <c r="U43" s="61" t="s">
        <v>617</v>
      </c>
      <c r="V43" s="61" t="s">
        <v>617</v>
      </c>
      <c r="W43" s="61"/>
      <c r="Y43" s="137">
        <f>Summary_LCIA!H$32</f>
        <v>0.33979999999999999</v>
      </c>
      <c r="Z43" s="137">
        <f>Summary_LCIA!Q$32</f>
        <v>4.9560504329999997</v>
      </c>
      <c r="AA43" s="137">
        <f>Summary_LCIA!R$32</f>
        <v>5.2655999999999996E-3</v>
      </c>
      <c r="AB43" s="137">
        <f>Summary_LCIA!S$32</f>
        <v>0.33538000000000001</v>
      </c>
      <c r="AC43" s="137">
        <f>Summary_LCIA!T$32</f>
        <v>0.1099</v>
      </c>
      <c r="AD43" s="137">
        <f>Summary_LCIA!U$32</f>
        <v>1.7913999999999999E-2</v>
      </c>
      <c r="AE43" s="137">
        <f>Summary_LCIA!V$32</f>
        <v>4.7760999999999999E-5</v>
      </c>
      <c r="AF43" s="137">
        <f>Summary_LCIA!W$32</f>
        <v>7.6970999999999998E-2</v>
      </c>
      <c r="AG43" s="137">
        <f>Summary_LCIA!X$32</f>
        <v>2.2780000000000002E-2</v>
      </c>
      <c r="AH43" s="137">
        <f>Summary_LCIA!Y$32</f>
        <v>1.5582E-2</v>
      </c>
      <c r="AI43" s="137">
        <f>Summary_LCIA!Z$32</f>
        <v>4.1009E-5</v>
      </c>
      <c r="AJ43" s="137">
        <f>Summary_LCIA!AA$32</f>
        <v>2.3355999999999998E-2</v>
      </c>
      <c r="AK43" s="137">
        <f>Summary_LCIA!AB$32</f>
        <v>-2.1823000000000001E-5</v>
      </c>
      <c r="AL43" s="137">
        <f>Summary_LCIA!AC$32</f>
        <v>4.8884000000000003E-8</v>
      </c>
      <c r="AM43" s="137">
        <f>Summary_LCIA!AD$32</f>
        <v>4.1103999999999999E-4</v>
      </c>
      <c r="AN43" s="137">
        <f>Summary_LCIA!AE$32</f>
        <v>8.8612999999999995E-4</v>
      </c>
      <c r="AO43" s="137">
        <f>Summary_LCIA!AF$32</f>
        <v>8.4542000000000005E-4</v>
      </c>
      <c r="AP43" s="137">
        <f>Summary_LCIA!AG$32</f>
        <v>5.1165000000000002E-5</v>
      </c>
      <c r="AQ43" s="137">
        <f>Summary_LCIA!AH$32</f>
        <v>8.7036000000000006E-3</v>
      </c>
      <c r="AR43" s="137">
        <f>Summary_LCIA!AI$32</f>
        <v>9.3154999999999996E-4</v>
      </c>
      <c r="AT43" s="137">
        <f t="shared" si="3"/>
        <v>38.535698599999996</v>
      </c>
      <c r="AU43" s="137">
        <f t="shared" si="15"/>
        <v>562.05081145523093</v>
      </c>
      <c r="AV43" s="137">
        <f t="shared" si="16"/>
        <v>0.5971558991999999</v>
      </c>
      <c r="AW43" s="137">
        <f t="shared" si="17"/>
        <v>38.034439659999997</v>
      </c>
      <c r="AX43" s="137">
        <f t="shared" si="18"/>
        <v>12.4634293</v>
      </c>
      <c r="AY43" s="137">
        <f t="shared" si="19"/>
        <v>2.0315729979999997</v>
      </c>
      <c r="AZ43" s="137">
        <f t="shared" si="20"/>
        <v>5.4164317269999995E-3</v>
      </c>
      <c r="BA43" s="137">
        <f t="shared" si="21"/>
        <v>8.7290501969999994</v>
      </c>
      <c r="BB43" s="137">
        <f t="shared" si="22"/>
        <v>2.5834114600000002</v>
      </c>
      <c r="BC43" s="137">
        <f t="shared" si="4"/>
        <v>1.7671078739999999</v>
      </c>
      <c r="BD43" s="137">
        <f t="shared" si="5"/>
        <v>4.650707663E-3</v>
      </c>
      <c r="BE43" s="137">
        <f t="shared" si="6"/>
        <v>2.6487338919999996</v>
      </c>
      <c r="BF43" s="137">
        <f t="shared" si="7"/>
        <v>-2.4748809610000001E-3</v>
      </c>
      <c r="BG43" s="137">
        <f t="shared" si="8"/>
        <v>5.5437877880000004E-6</v>
      </c>
      <c r="BH43" s="137">
        <f t="shared" si="9"/>
        <v>4.661481328E-2</v>
      </c>
      <c r="BI43" s="137">
        <f t="shared" si="10"/>
        <v>0.10049334490999999</v>
      </c>
      <c r="BJ43" s="137">
        <f t="shared" si="11"/>
        <v>9.5876545940000002E-2</v>
      </c>
      <c r="BK43" s="137">
        <f t="shared" si="12"/>
        <v>5.802469155E-3</v>
      </c>
      <c r="BL43" s="137">
        <f t="shared" si="13"/>
        <v>0.98704916520000008</v>
      </c>
      <c r="BM43" s="137">
        <f t="shared" si="14"/>
        <v>0.10564429084999999</v>
      </c>
    </row>
    <row r="44" spans="1:65" x14ac:dyDescent="0.25">
      <c r="A44" s="149">
        <v>222</v>
      </c>
      <c r="B44" s="149">
        <v>16</v>
      </c>
      <c r="C44" s="61">
        <v>40.585259999999998</v>
      </c>
      <c r="D44" s="61">
        <v>-105.084423</v>
      </c>
      <c r="E44" s="61" t="s">
        <v>265</v>
      </c>
      <c r="F44" s="149">
        <v>16</v>
      </c>
      <c r="G44" s="61" t="s">
        <v>565</v>
      </c>
      <c r="H44" s="61" t="s">
        <v>645</v>
      </c>
      <c r="I44" s="61">
        <v>39.856096000000001</v>
      </c>
      <c r="J44" s="61">
        <v>-104.673738</v>
      </c>
      <c r="K44" s="61">
        <v>156.25087780000001</v>
      </c>
      <c r="L44" s="61">
        <v>114.667</v>
      </c>
      <c r="M44" s="61" t="s">
        <v>617</v>
      </c>
      <c r="N44" s="149">
        <v>15</v>
      </c>
      <c r="O44" s="149">
        <v>16</v>
      </c>
      <c r="P44" s="61" t="s">
        <v>565</v>
      </c>
      <c r="Q44" s="61" t="s">
        <v>556</v>
      </c>
      <c r="R44" s="61">
        <v>39.856096299999997</v>
      </c>
      <c r="S44" s="61">
        <v>-104.6737376</v>
      </c>
      <c r="T44" s="61">
        <v>114.667</v>
      </c>
      <c r="U44" s="61" t="s">
        <v>617</v>
      </c>
      <c r="V44" s="61" t="s">
        <v>617</v>
      </c>
      <c r="W44" s="61"/>
      <c r="Y44" s="137">
        <f>Summary_LCIA!H$32</f>
        <v>0.33979999999999999</v>
      </c>
      <c r="Z44" s="137">
        <f>Summary_LCIA!Q$32</f>
        <v>4.9560504329999997</v>
      </c>
      <c r="AA44" s="137">
        <f>Summary_LCIA!R$32</f>
        <v>5.2655999999999996E-3</v>
      </c>
      <c r="AB44" s="137">
        <f>Summary_LCIA!S$32</f>
        <v>0.33538000000000001</v>
      </c>
      <c r="AC44" s="137">
        <f>Summary_LCIA!T$32</f>
        <v>0.1099</v>
      </c>
      <c r="AD44" s="137">
        <f>Summary_LCIA!U$32</f>
        <v>1.7913999999999999E-2</v>
      </c>
      <c r="AE44" s="137">
        <f>Summary_LCIA!V$32</f>
        <v>4.7760999999999999E-5</v>
      </c>
      <c r="AF44" s="137">
        <f>Summary_LCIA!W$32</f>
        <v>7.6970999999999998E-2</v>
      </c>
      <c r="AG44" s="137">
        <f>Summary_LCIA!X$32</f>
        <v>2.2780000000000002E-2</v>
      </c>
      <c r="AH44" s="137">
        <f>Summary_LCIA!Y$32</f>
        <v>1.5582E-2</v>
      </c>
      <c r="AI44" s="137">
        <f>Summary_LCIA!Z$32</f>
        <v>4.1009E-5</v>
      </c>
      <c r="AJ44" s="137">
        <f>Summary_LCIA!AA$32</f>
        <v>2.3355999999999998E-2</v>
      </c>
      <c r="AK44" s="137">
        <f>Summary_LCIA!AB$32</f>
        <v>-2.1823000000000001E-5</v>
      </c>
      <c r="AL44" s="137">
        <f>Summary_LCIA!AC$32</f>
        <v>4.8884000000000003E-8</v>
      </c>
      <c r="AM44" s="137">
        <f>Summary_LCIA!AD$32</f>
        <v>4.1103999999999999E-4</v>
      </c>
      <c r="AN44" s="137">
        <f>Summary_LCIA!AE$32</f>
        <v>8.8612999999999995E-4</v>
      </c>
      <c r="AO44" s="137">
        <f>Summary_LCIA!AF$32</f>
        <v>8.4542000000000005E-4</v>
      </c>
      <c r="AP44" s="137">
        <f>Summary_LCIA!AG$32</f>
        <v>5.1165000000000002E-5</v>
      </c>
      <c r="AQ44" s="137">
        <f>Summary_LCIA!AH$32</f>
        <v>8.7036000000000006E-3</v>
      </c>
      <c r="AR44" s="137">
        <f>Summary_LCIA!AI$32</f>
        <v>9.3154999999999996E-4</v>
      </c>
      <c r="AT44" s="137">
        <f t="shared" si="3"/>
        <v>38.963846599999997</v>
      </c>
      <c r="AU44" s="137">
        <f t="shared" si="15"/>
        <v>568.29543500081093</v>
      </c>
      <c r="AV44" s="137">
        <f t="shared" si="16"/>
        <v>0.60379055519999991</v>
      </c>
      <c r="AW44" s="137">
        <f t="shared" si="17"/>
        <v>38.45701846</v>
      </c>
      <c r="AX44" s="137">
        <f t="shared" si="18"/>
        <v>12.6019033</v>
      </c>
      <c r="AY44" s="137">
        <f t="shared" si="19"/>
        <v>2.0541446379999999</v>
      </c>
      <c r="AZ44" s="137">
        <f t="shared" si="20"/>
        <v>5.4766105869999996E-3</v>
      </c>
      <c r="BA44" s="137">
        <f t="shared" si="21"/>
        <v>8.826033657</v>
      </c>
      <c r="BB44" s="137">
        <f t="shared" si="22"/>
        <v>2.6121142600000002</v>
      </c>
      <c r="BC44" s="137">
        <f t="shared" si="4"/>
        <v>1.786741194</v>
      </c>
      <c r="BD44" s="137">
        <f t="shared" si="5"/>
        <v>4.702379003E-3</v>
      </c>
      <c r="BE44" s="137">
        <f t="shared" si="6"/>
        <v>2.678162452</v>
      </c>
      <c r="BF44" s="137">
        <f t="shared" si="7"/>
        <v>-2.5023779410000002E-3</v>
      </c>
      <c r="BG44" s="137">
        <f t="shared" si="8"/>
        <v>5.6053816280000004E-6</v>
      </c>
      <c r="BH44" s="137">
        <f t="shared" si="9"/>
        <v>4.7132723680000002E-2</v>
      </c>
      <c r="BI44" s="137">
        <f t="shared" si="10"/>
        <v>0.10160986871</v>
      </c>
      <c r="BJ44" s="137">
        <f t="shared" si="11"/>
        <v>9.6941775140000006E-2</v>
      </c>
      <c r="BK44" s="137">
        <f t="shared" si="12"/>
        <v>5.8669370550000002E-3</v>
      </c>
      <c r="BL44" s="137">
        <f t="shared" si="13"/>
        <v>0.99801570120000005</v>
      </c>
      <c r="BM44" s="137">
        <f t="shared" si="14"/>
        <v>0.10681804385</v>
      </c>
    </row>
    <row r="45" spans="1:65" x14ac:dyDescent="0.25">
      <c r="A45" s="149">
        <v>76</v>
      </c>
      <c r="B45" s="149">
        <v>43</v>
      </c>
      <c r="C45" s="61">
        <v>40.606834999999997</v>
      </c>
      <c r="D45" s="61">
        <v>-75.380168999999995</v>
      </c>
      <c r="E45" s="61" t="s">
        <v>265</v>
      </c>
      <c r="F45" s="149">
        <v>43</v>
      </c>
      <c r="G45" s="61" t="s">
        <v>565</v>
      </c>
      <c r="H45" s="61" t="s">
        <v>632</v>
      </c>
      <c r="I45" s="61">
        <v>40.689531000000002</v>
      </c>
      <c r="J45" s="61">
        <v>-74.174462000000005</v>
      </c>
      <c r="K45" s="61">
        <v>105.6453843</v>
      </c>
      <c r="L45" s="61">
        <v>119.545</v>
      </c>
      <c r="M45" s="61" t="s">
        <v>617</v>
      </c>
      <c r="N45" s="149">
        <v>42</v>
      </c>
      <c r="O45" s="149">
        <v>43</v>
      </c>
      <c r="P45" s="61" t="s">
        <v>565</v>
      </c>
      <c r="Q45" s="61" t="s">
        <v>555</v>
      </c>
      <c r="R45" s="61">
        <v>40.6895314</v>
      </c>
      <c r="S45" s="61">
        <v>-74.174462399999996</v>
      </c>
      <c r="T45" s="61">
        <v>119.545</v>
      </c>
      <c r="U45" s="61" t="s">
        <v>617</v>
      </c>
      <c r="V45" s="61" t="s">
        <v>617</v>
      </c>
      <c r="W45" s="61"/>
      <c r="Y45" s="137">
        <f>Summary_LCIA!H$32</f>
        <v>0.33979999999999999</v>
      </c>
      <c r="Z45" s="137">
        <f>Summary_LCIA!Q$32</f>
        <v>4.9560504329999997</v>
      </c>
      <c r="AA45" s="137">
        <f>Summary_LCIA!R$32</f>
        <v>5.2655999999999996E-3</v>
      </c>
      <c r="AB45" s="137">
        <f>Summary_LCIA!S$32</f>
        <v>0.33538000000000001</v>
      </c>
      <c r="AC45" s="137">
        <f>Summary_LCIA!T$32</f>
        <v>0.1099</v>
      </c>
      <c r="AD45" s="137">
        <f>Summary_LCIA!U$32</f>
        <v>1.7913999999999999E-2</v>
      </c>
      <c r="AE45" s="137">
        <f>Summary_LCIA!V$32</f>
        <v>4.7760999999999999E-5</v>
      </c>
      <c r="AF45" s="137">
        <f>Summary_LCIA!W$32</f>
        <v>7.6970999999999998E-2</v>
      </c>
      <c r="AG45" s="137">
        <f>Summary_LCIA!X$32</f>
        <v>2.2780000000000002E-2</v>
      </c>
      <c r="AH45" s="137">
        <f>Summary_LCIA!Y$32</f>
        <v>1.5582E-2</v>
      </c>
      <c r="AI45" s="137">
        <f>Summary_LCIA!Z$32</f>
        <v>4.1009E-5</v>
      </c>
      <c r="AJ45" s="137">
        <f>Summary_LCIA!AA$32</f>
        <v>2.3355999999999998E-2</v>
      </c>
      <c r="AK45" s="137">
        <f>Summary_LCIA!AB$32</f>
        <v>-2.1823000000000001E-5</v>
      </c>
      <c r="AL45" s="137">
        <f>Summary_LCIA!AC$32</f>
        <v>4.8884000000000003E-8</v>
      </c>
      <c r="AM45" s="137">
        <f>Summary_LCIA!AD$32</f>
        <v>4.1103999999999999E-4</v>
      </c>
      <c r="AN45" s="137">
        <f>Summary_LCIA!AE$32</f>
        <v>8.8612999999999995E-4</v>
      </c>
      <c r="AO45" s="137">
        <f>Summary_LCIA!AF$32</f>
        <v>8.4542000000000005E-4</v>
      </c>
      <c r="AP45" s="137">
        <f>Summary_LCIA!AG$32</f>
        <v>5.1165000000000002E-5</v>
      </c>
      <c r="AQ45" s="137">
        <f>Summary_LCIA!AH$32</f>
        <v>8.7036000000000006E-3</v>
      </c>
      <c r="AR45" s="137">
        <f>Summary_LCIA!AI$32</f>
        <v>9.3154999999999996E-4</v>
      </c>
      <c r="AT45" s="137">
        <f t="shared" si="3"/>
        <v>40.621391000000003</v>
      </c>
      <c r="AU45" s="137">
        <f t="shared" si="15"/>
        <v>592.47104901298496</v>
      </c>
      <c r="AV45" s="137">
        <f t="shared" si="16"/>
        <v>0.62947615199999996</v>
      </c>
      <c r="AW45" s="137">
        <f t="shared" si="17"/>
        <v>40.0930021</v>
      </c>
      <c r="AX45" s="137">
        <f t="shared" si="18"/>
        <v>13.137995500000001</v>
      </c>
      <c r="AY45" s="137">
        <f t="shared" si="19"/>
        <v>2.1415291299999999</v>
      </c>
      <c r="AZ45" s="137">
        <f t="shared" si="20"/>
        <v>5.7095887449999999E-3</v>
      </c>
      <c r="BA45" s="137">
        <f t="shared" si="21"/>
        <v>9.2014981949999992</v>
      </c>
      <c r="BB45" s="137">
        <f t="shared" si="22"/>
        <v>2.7232351000000001</v>
      </c>
      <c r="BC45" s="137">
        <f t="shared" si="4"/>
        <v>1.8627501900000001</v>
      </c>
      <c r="BD45" s="137">
        <f t="shared" si="5"/>
        <v>4.9024209049999996E-3</v>
      </c>
      <c r="BE45" s="137">
        <f t="shared" si="6"/>
        <v>2.7920930199999998</v>
      </c>
      <c r="BF45" s="137">
        <f t="shared" si="7"/>
        <v>-2.6088305349999999E-3</v>
      </c>
      <c r="BG45" s="137">
        <f t="shared" si="8"/>
        <v>5.8438377800000001E-6</v>
      </c>
      <c r="BH45" s="137">
        <f t="shared" si="9"/>
        <v>4.9137776799999998E-2</v>
      </c>
      <c r="BI45" s="137">
        <f t="shared" si="10"/>
        <v>0.10593241084999999</v>
      </c>
      <c r="BJ45" s="137">
        <f t="shared" si="11"/>
        <v>0.10106573390000001</v>
      </c>
      <c r="BK45" s="137">
        <f t="shared" si="12"/>
        <v>6.1165199250000002E-3</v>
      </c>
      <c r="BL45" s="137">
        <f t="shared" si="13"/>
        <v>1.0404718620000002</v>
      </c>
      <c r="BM45" s="137">
        <f t="shared" si="14"/>
        <v>0.11136214475</v>
      </c>
    </row>
    <row r="46" spans="1:65" x14ac:dyDescent="0.25">
      <c r="A46" s="149">
        <v>291</v>
      </c>
      <c r="B46" s="149">
        <v>43</v>
      </c>
      <c r="C46" s="61">
        <v>39.958359000000002</v>
      </c>
      <c r="D46" s="61">
        <v>-75.195392999999996</v>
      </c>
      <c r="E46" s="61" t="s">
        <v>265</v>
      </c>
      <c r="F46" s="149">
        <v>80</v>
      </c>
      <c r="G46" s="61" t="s">
        <v>284</v>
      </c>
      <c r="H46" s="61" t="s">
        <v>715</v>
      </c>
      <c r="I46" s="61">
        <v>39.872929999999997</v>
      </c>
      <c r="J46" s="61">
        <v>-75.243667000000002</v>
      </c>
      <c r="K46" s="61">
        <v>14.292168419999999</v>
      </c>
      <c r="L46" s="61">
        <v>15.794</v>
      </c>
      <c r="M46" s="61" t="s">
        <v>617</v>
      </c>
      <c r="N46" s="149">
        <v>42</v>
      </c>
      <c r="O46" s="149">
        <v>43</v>
      </c>
      <c r="P46" s="61" t="s">
        <v>565</v>
      </c>
      <c r="Q46" s="61" t="s">
        <v>555</v>
      </c>
      <c r="R46" s="61">
        <v>40.6895314</v>
      </c>
      <c r="S46" s="61">
        <v>-74.174462399999996</v>
      </c>
      <c r="T46" s="61">
        <v>136.09700000000001</v>
      </c>
      <c r="U46" s="61" t="s">
        <v>617</v>
      </c>
      <c r="V46" s="61" t="s">
        <v>617</v>
      </c>
      <c r="W46" s="61"/>
      <c r="Y46" s="137">
        <f>Summary_LCIA!H$32</f>
        <v>0.33979999999999999</v>
      </c>
      <c r="Z46" s="137">
        <f>Summary_LCIA!Q$32</f>
        <v>4.9560504329999997</v>
      </c>
      <c r="AA46" s="137">
        <f>Summary_LCIA!R$32</f>
        <v>5.2655999999999996E-3</v>
      </c>
      <c r="AB46" s="137">
        <f>Summary_LCIA!S$32</f>
        <v>0.33538000000000001</v>
      </c>
      <c r="AC46" s="137">
        <f>Summary_LCIA!T$32</f>
        <v>0.1099</v>
      </c>
      <c r="AD46" s="137">
        <f>Summary_LCIA!U$32</f>
        <v>1.7913999999999999E-2</v>
      </c>
      <c r="AE46" s="137">
        <f>Summary_LCIA!V$32</f>
        <v>4.7760999999999999E-5</v>
      </c>
      <c r="AF46" s="137">
        <f>Summary_LCIA!W$32</f>
        <v>7.6970999999999998E-2</v>
      </c>
      <c r="AG46" s="137">
        <f>Summary_LCIA!X$32</f>
        <v>2.2780000000000002E-2</v>
      </c>
      <c r="AH46" s="137">
        <f>Summary_LCIA!Y$32</f>
        <v>1.5582E-2</v>
      </c>
      <c r="AI46" s="137">
        <f>Summary_LCIA!Z$32</f>
        <v>4.1009E-5</v>
      </c>
      <c r="AJ46" s="137">
        <f>Summary_LCIA!AA$32</f>
        <v>2.3355999999999998E-2</v>
      </c>
      <c r="AK46" s="137">
        <f>Summary_LCIA!AB$32</f>
        <v>-2.1823000000000001E-5</v>
      </c>
      <c r="AL46" s="137">
        <f>Summary_LCIA!AC$32</f>
        <v>4.8884000000000003E-8</v>
      </c>
      <c r="AM46" s="137">
        <f>Summary_LCIA!AD$32</f>
        <v>4.1103999999999999E-4</v>
      </c>
      <c r="AN46" s="137">
        <f>Summary_LCIA!AE$32</f>
        <v>8.8612999999999995E-4</v>
      </c>
      <c r="AO46" s="137">
        <f>Summary_LCIA!AF$32</f>
        <v>8.4542000000000005E-4</v>
      </c>
      <c r="AP46" s="137">
        <f>Summary_LCIA!AG$32</f>
        <v>5.1165000000000002E-5</v>
      </c>
      <c r="AQ46" s="137">
        <f>Summary_LCIA!AH$32</f>
        <v>8.7036000000000006E-3</v>
      </c>
      <c r="AR46" s="137">
        <f>Summary_LCIA!AI$32</f>
        <v>9.3154999999999996E-4</v>
      </c>
      <c r="AT46" s="137">
        <f t="shared" si="3"/>
        <v>46.245760600000004</v>
      </c>
      <c r="AU46" s="137">
        <f t="shared" si="15"/>
        <v>674.50359578000098</v>
      </c>
      <c r="AV46" s="137">
        <f t="shared" si="16"/>
        <v>0.71663236320000001</v>
      </c>
      <c r="AW46" s="137">
        <f t="shared" si="17"/>
        <v>45.644211860000006</v>
      </c>
      <c r="AX46" s="137">
        <f t="shared" si="18"/>
        <v>14.9570603</v>
      </c>
      <c r="AY46" s="137">
        <f t="shared" si="19"/>
        <v>2.4380416579999999</v>
      </c>
      <c r="AZ46" s="137">
        <f t="shared" si="20"/>
        <v>6.5001288170000006E-3</v>
      </c>
      <c r="BA46" s="137">
        <f t="shared" si="21"/>
        <v>10.475522187000001</v>
      </c>
      <c r="BB46" s="137">
        <f t="shared" si="22"/>
        <v>3.1002896600000005</v>
      </c>
      <c r="BC46" s="137">
        <f t="shared" si="4"/>
        <v>2.1206634540000002</v>
      </c>
      <c r="BD46" s="137">
        <f t="shared" si="5"/>
        <v>5.5812018730000005E-3</v>
      </c>
      <c r="BE46" s="137">
        <f t="shared" si="6"/>
        <v>3.1786815320000001</v>
      </c>
      <c r="BF46" s="137">
        <f t="shared" si="7"/>
        <v>-2.9700448310000004E-3</v>
      </c>
      <c r="BG46" s="137">
        <f t="shared" si="8"/>
        <v>6.6529657480000012E-6</v>
      </c>
      <c r="BH46" s="137">
        <f t="shared" si="9"/>
        <v>5.5941310880000004E-2</v>
      </c>
      <c r="BI46" s="137">
        <f t="shared" si="10"/>
        <v>0.12059963461000001</v>
      </c>
      <c r="BJ46" s="137">
        <f t="shared" si="11"/>
        <v>0.11505912574000002</v>
      </c>
      <c r="BK46" s="137">
        <f t="shared" si="12"/>
        <v>6.9634030050000004E-3</v>
      </c>
      <c r="BL46" s="137">
        <f t="shared" si="13"/>
        <v>1.1845338492000002</v>
      </c>
      <c r="BM46" s="137">
        <f t="shared" si="14"/>
        <v>0.12678116035000001</v>
      </c>
    </row>
    <row r="47" spans="1:65" x14ac:dyDescent="0.25">
      <c r="A47" s="149">
        <v>173</v>
      </c>
      <c r="B47" s="149">
        <v>16</v>
      </c>
      <c r="C47" s="61">
        <v>39.481653999999999</v>
      </c>
      <c r="D47" s="61">
        <v>-106.038352</v>
      </c>
      <c r="E47" s="61" t="s">
        <v>265</v>
      </c>
      <c r="F47" s="149">
        <v>16</v>
      </c>
      <c r="G47" s="61" t="s">
        <v>565</v>
      </c>
      <c r="H47" s="61" t="s">
        <v>645</v>
      </c>
      <c r="I47" s="61">
        <v>39.856096000000001</v>
      </c>
      <c r="J47" s="61">
        <v>-104.673738</v>
      </c>
      <c r="K47" s="61">
        <v>128.04936520000001</v>
      </c>
      <c r="L47" s="61">
        <v>168.03800000000001</v>
      </c>
      <c r="M47" s="61" t="s">
        <v>617</v>
      </c>
      <c r="N47" s="149">
        <v>15</v>
      </c>
      <c r="O47" s="149">
        <v>16</v>
      </c>
      <c r="P47" s="61" t="s">
        <v>565</v>
      </c>
      <c r="Q47" s="61" t="s">
        <v>556</v>
      </c>
      <c r="R47" s="61">
        <v>39.856096299999997</v>
      </c>
      <c r="S47" s="61">
        <v>-104.6737376</v>
      </c>
      <c r="T47" s="61">
        <v>168.03800000000001</v>
      </c>
      <c r="U47" s="61" t="s">
        <v>617</v>
      </c>
      <c r="V47" s="61" t="s">
        <v>617</v>
      </c>
      <c r="W47" s="61"/>
      <c r="Y47" s="137">
        <f>Summary_LCIA!H$32</f>
        <v>0.33979999999999999</v>
      </c>
      <c r="Z47" s="137">
        <f>Summary_LCIA!Q$32</f>
        <v>4.9560504329999997</v>
      </c>
      <c r="AA47" s="137">
        <f>Summary_LCIA!R$32</f>
        <v>5.2655999999999996E-3</v>
      </c>
      <c r="AB47" s="137">
        <f>Summary_LCIA!S$32</f>
        <v>0.33538000000000001</v>
      </c>
      <c r="AC47" s="137">
        <f>Summary_LCIA!T$32</f>
        <v>0.1099</v>
      </c>
      <c r="AD47" s="137">
        <f>Summary_LCIA!U$32</f>
        <v>1.7913999999999999E-2</v>
      </c>
      <c r="AE47" s="137">
        <f>Summary_LCIA!V$32</f>
        <v>4.7760999999999999E-5</v>
      </c>
      <c r="AF47" s="137">
        <f>Summary_LCIA!W$32</f>
        <v>7.6970999999999998E-2</v>
      </c>
      <c r="AG47" s="137">
        <f>Summary_LCIA!X$32</f>
        <v>2.2780000000000002E-2</v>
      </c>
      <c r="AH47" s="137">
        <f>Summary_LCIA!Y$32</f>
        <v>1.5582E-2</v>
      </c>
      <c r="AI47" s="137">
        <f>Summary_LCIA!Z$32</f>
        <v>4.1009E-5</v>
      </c>
      <c r="AJ47" s="137">
        <f>Summary_LCIA!AA$32</f>
        <v>2.3355999999999998E-2</v>
      </c>
      <c r="AK47" s="137">
        <f>Summary_LCIA!AB$32</f>
        <v>-2.1823000000000001E-5</v>
      </c>
      <c r="AL47" s="137">
        <f>Summary_LCIA!AC$32</f>
        <v>4.8884000000000003E-8</v>
      </c>
      <c r="AM47" s="137">
        <f>Summary_LCIA!AD$32</f>
        <v>4.1103999999999999E-4</v>
      </c>
      <c r="AN47" s="137">
        <f>Summary_LCIA!AE$32</f>
        <v>8.8612999999999995E-4</v>
      </c>
      <c r="AO47" s="137">
        <f>Summary_LCIA!AF$32</f>
        <v>8.4542000000000005E-4</v>
      </c>
      <c r="AP47" s="137">
        <f>Summary_LCIA!AG$32</f>
        <v>5.1165000000000002E-5</v>
      </c>
      <c r="AQ47" s="137">
        <f>Summary_LCIA!AH$32</f>
        <v>8.7036000000000006E-3</v>
      </c>
      <c r="AR47" s="137">
        <f>Summary_LCIA!AI$32</f>
        <v>9.3154999999999996E-4</v>
      </c>
      <c r="AT47" s="137">
        <f t="shared" si="3"/>
        <v>57.099312400000002</v>
      </c>
      <c r="AU47" s="137">
        <f t="shared" si="15"/>
        <v>832.80480266045402</v>
      </c>
      <c r="AV47" s="137">
        <f t="shared" si="16"/>
        <v>0.88482089279999998</v>
      </c>
      <c r="AW47" s="137">
        <f t="shared" si="17"/>
        <v>56.356584440000006</v>
      </c>
      <c r="AX47" s="137">
        <f t="shared" si="18"/>
        <v>18.4673762</v>
      </c>
      <c r="AY47" s="137">
        <f t="shared" si="19"/>
        <v>3.010232732</v>
      </c>
      <c r="AZ47" s="137">
        <f t="shared" si="20"/>
        <v>8.025662918E-3</v>
      </c>
      <c r="BA47" s="137">
        <f t="shared" si="21"/>
        <v>12.934052898000001</v>
      </c>
      <c r="BB47" s="137">
        <f t="shared" si="22"/>
        <v>3.8279056400000004</v>
      </c>
      <c r="BC47" s="137">
        <f t="shared" si="4"/>
        <v>2.6183681160000001</v>
      </c>
      <c r="BD47" s="137">
        <f t="shared" si="5"/>
        <v>6.8910703420000004E-3</v>
      </c>
      <c r="BE47" s="137">
        <f t="shared" si="6"/>
        <v>3.924695528</v>
      </c>
      <c r="BF47" s="137">
        <f t="shared" si="7"/>
        <v>-3.6670932740000004E-3</v>
      </c>
      <c r="BG47" s="137">
        <f t="shared" si="8"/>
        <v>8.2143695920000012E-6</v>
      </c>
      <c r="BH47" s="137">
        <f t="shared" si="9"/>
        <v>6.907033952000001E-2</v>
      </c>
      <c r="BI47" s="137">
        <f t="shared" si="10"/>
        <v>0.14890351294000001</v>
      </c>
      <c r="BJ47" s="137">
        <f t="shared" si="11"/>
        <v>0.14206268596000002</v>
      </c>
      <c r="BK47" s="137">
        <f t="shared" si="12"/>
        <v>8.5976642700000012E-3</v>
      </c>
      <c r="BL47" s="137">
        <f t="shared" si="13"/>
        <v>1.4625355368000001</v>
      </c>
      <c r="BM47" s="137">
        <f t="shared" si="14"/>
        <v>0.15653579889999999</v>
      </c>
    </row>
    <row r="48" spans="1:65" x14ac:dyDescent="0.25">
      <c r="A48" s="149">
        <v>174</v>
      </c>
      <c r="B48" s="149">
        <v>16</v>
      </c>
      <c r="C48" s="61">
        <v>39.481653999999999</v>
      </c>
      <c r="D48" s="61">
        <v>-106.038352</v>
      </c>
      <c r="E48" s="61" t="s">
        <v>265</v>
      </c>
      <c r="F48" s="149">
        <v>16</v>
      </c>
      <c r="G48" s="61" t="s">
        <v>565</v>
      </c>
      <c r="H48" s="61" t="s">
        <v>645</v>
      </c>
      <c r="I48" s="61">
        <v>39.856096000000001</v>
      </c>
      <c r="J48" s="61">
        <v>-104.673738</v>
      </c>
      <c r="K48" s="61">
        <v>128.04936520000001</v>
      </c>
      <c r="L48" s="61">
        <v>168.03800000000001</v>
      </c>
      <c r="M48" s="61" t="s">
        <v>617</v>
      </c>
      <c r="N48" s="149">
        <v>15</v>
      </c>
      <c r="O48" s="149">
        <v>16</v>
      </c>
      <c r="P48" s="61" t="s">
        <v>565</v>
      </c>
      <c r="Q48" s="61" t="s">
        <v>556</v>
      </c>
      <c r="R48" s="61">
        <v>39.856096299999997</v>
      </c>
      <c r="S48" s="61">
        <v>-104.6737376</v>
      </c>
      <c r="T48" s="61">
        <v>168.03800000000001</v>
      </c>
      <c r="U48" s="61" t="s">
        <v>617</v>
      </c>
      <c r="V48" s="61" t="s">
        <v>617</v>
      </c>
      <c r="W48" s="61"/>
      <c r="Y48" s="137">
        <f>Summary_LCIA!H$32</f>
        <v>0.33979999999999999</v>
      </c>
      <c r="Z48" s="137">
        <f>Summary_LCIA!Q$32</f>
        <v>4.9560504329999997</v>
      </c>
      <c r="AA48" s="137">
        <f>Summary_LCIA!R$32</f>
        <v>5.2655999999999996E-3</v>
      </c>
      <c r="AB48" s="137">
        <f>Summary_LCIA!S$32</f>
        <v>0.33538000000000001</v>
      </c>
      <c r="AC48" s="137">
        <f>Summary_LCIA!T$32</f>
        <v>0.1099</v>
      </c>
      <c r="AD48" s="137">
        <f>Summary_LCIA!U$32</f>
        <v>1.7913999999999999E-2</v>
      </c>
      <c r="AE48" s="137">
        <f>Summary_LCIA!V$32</f>
        <v>4.7760999999999999E-5</v>
      </c>
      <c r="AF48" s="137">
        <f>Summary_LCIA!W$32</f>
        <v>7.6970999999999998E-2</v>
      </c>
      <c r="AG48" s="137">
        <f>Summary_LCIA!X$32</f>
        <v>2.2780000000000002E-2</v>
      </c>
      <c r="AH48" s="137">
        <f>Summary_LCIA!Y$32</f>
        <v>1.5582E-2</v>
      </c>
      <c r="AI48" s="137">
        <f>Summary_LCIA!Z$32</f>
        <v>4.1009E-5</v>
      </c>
      <c r="AJ48" s="137">
        <f>Summary_LCIA!AA$32</f>
        <v>2.3355999999999998E-2</v>
      </c>
      <c r="AK48" s="137">
        <f>Summary_LCIA!AB$32</f>
        <v>-2.1823000000000001E-5</v>
      </c>
      <c r="AL48" s="137">
        <f>Summary_LCIA!AC$32</f>
        <v>4.8884000000000003E-8</v>
      </c>
      <c r="AM48" s="137">
        <f>Summary_LCIA!AD$32</f>
        <v>4.1103999999999999E-4</v>
      </c>
      <c r="AN48" s="137">
        <f>Summary_LCIA!AE$32</f>
        <v>8.8612999999999995E-4</v>
      </c>
      <c r="AO48" s="137">
        <f>Summary_LCIA!AF$32</f>
        <v>8.4542000000000005E-4</v>
      </c>
      <c r="AP48" s="137">
        <f>Summary_LCIA!AG$32</f>
        <v>5.1165000000000002E-5</v>
      </c>
      <c r="AQ48" s="137">
        <f>Summary_LCIA!AH$32</f>
        <v>8.7036000000000006E-3</v>
      </c>
      <c r="AR48" s="137">
        <f>Summary_LCIA!AI$32</f>
        <v>9.3154999999999996E-4</v>
      </c>
      <c r="AT48" s="137">
        <f t="shared" si="3"/>
        <v>57.099312400000002</v>
      </c>
      <c r="AU48" s="137">
        <f t="shared" si="15"/>
        <v>832.80480266045402</v>
      </c>
      <c r="AV48" s="137">
        <f t="shared" si="16"/>
        <v>0.88482089279999998</v>
      </c>
      <c r="AW48" s="137">
        <f t="shared" si="17"/>
        <v>56.356584440000006</v>
      </c>
      <c r="AX48" s="137">
        <f t="shared" si="18"/>
        <v>18.4673762</v>
      </c>
      <c r="AY48" s="137">
        <f t="shared" si="19"/>
        <v>3.010232732</v>
      </c>
      <c r="AZ48" s="137">
        <f t="shared" si="20"/>
        <v>8.025662918E-3</v>
      </c>
      <c r="BA48" s="137">
        <f t="shared" si="21"/>
        <v>12.934052898000001</v>
      </c>
      <c r="BB48" s="137">
        <f t="shared" si="22"/>
        <v>3.8279056400000004</v>
      </c>
      <c r="BC48" s="137">
        <f t="shared" si="4"/>
        <v>2.6183681160000001</v>
      </c>
      <c r="BD48" s="137">
        <f t="shared" si="5"/>
        <v>6.8910703420000004E-3</v>
      </c>
      <c r="BE48" s="137">
        <f t="shared" si="6"/>
        <v>3.924695528</v>
      </c>
      <c r="BF48" s="137">
        <f t="shared" si="7"/>
        <v>-3.6670932740000004E-3</v>
      </c>
      <c r="BG48" s="137">
        <f t="shared" si="8"/>
        <v>8.2143695920000012E-6</v>
      </c>
      <c r="BH48" s="137">
        <f t="shared" si="9"/>
        <v>6.907033952000001E-2</v>
      </c>
      <c r="BI48" s="137">
        <f t="shared" si="10"/>
        <v>0.14890351294000001</v>
      </c>
      <c r="BJ48" s="137">
        <f t="shared" si="11"/>
        <v>0.14206268596000002</v>
      </c>
      <c r="BK48" s="137">
        <f t="shared" si="12"/>
        <v>8.5976642700000012E-3</v>
      </c>
      <c r="BL48" s="137">
        <f t="shared" si="13"/>
        <v>1.4625355368000001</v>
      </c>
      <c r="BM48" s="137">
        <f t="shared" si="14"/>
        <v>0.15653579889999999</v>
      </c>
    </row>
    <row r="49" spans="1:65" x14ac:dyDescent="0.25">
      <c r="A49" s="149">
        <v>379</v>
      </c>
      <c r="B49" s="149">
        <v>43</v>
      </c>
      <c r="C49" s="61">
        <v>39.744655000000002</v>
      </c>
      <c r="D49" s="61">
        <v>-75.548390999999995</v>
      </c>
      <c r="E49" s="61" t="s">
        <v>265</v>
      </c>
      <c r="F49" s="149">
        <v>80</v>
      </c>
      <c r="G49" s="61" t="s">
        <v>284</v>
      </c>
      <c r="H49" s="61" t="s">
        <v>715</v>
      </c>
      <c r="I49" s="61">
        <v>39.872929999999997</v>
      </c>
      <c r="J49" s="61">
        <v>-75.243667000000002</v>
      </c>
      <c r="K49" s="61">
        <v>34.755050079999997</v>
      </c>
      <c r="L49" s="61">
        <v>33.222000000000001</v>
      </c>
      <c r="M49" s="61" t="s">
        <v>617</v>
      </c>
      <c r="N49" s="149">
        <v>42</v>
      </c>
      <c r="O49" s="149">
        <v>43</v>
      </c>
      <c r="P49" s="61" t="s">
        <v>565</v>
      </c>
      <c r="Q49" s="61" t="s">
        <v>555</v>
      </c>
      <c r="R49" s="61">
        <v>40.6895314</v>
      </c>
      <c r="S49" s="61">
        <v>-74.174462399999996</v>
      </c>
      <c r="T49" s="61">
        <v>184.57</v>
      </c>
      <c r="U49" s="61" t="s">
        <v>617</v>
      </c>
      <c r="V49" s="61" t="s">
        <v>617</v>
      </c>
      <c r="W49" s="61"/>
      <c r="Y49" s="137">
        <f>Summary_LCIA!H$32</f>
        <v>0.33979999999999999</v>
      </c>
      <c r="Z49" s="137">
        <f>Summary_LCIA!Q$32</f>
        <v>4.9560504329999997</v>
      </c>
      <c r="AA49" s="137">
        <f>Summary_LCIA!R$32</f>
        <v>5.2655999999999996E-3</v>
      </c>
      <c r="AB49" s="137">
        <f>Summary_LCIA!S$32</f>
        <v>0.33538000000000001</v>
      </c>
      <c r="AC49" s="137">
        <f>Summary_LCIA!T$32</f>
        <v>0.1099</v>
      </c>
      <c r="AD49" s="137">
        <f>Summary_LCIA!U$32</f>
        <v>1.7913999999999999E-2</v>
      </c>
      <c r="AE49" s="137">
        <f>Summary_LCIA!V$32</f>
        <v>4.7760999999999999E-5</v>
      </c>
      <c r="AF49" s="137">
        <f>Summary_LCIA!W$32</f>
        <v>7.6970999999999998E-2</v>
      </c>
      <c r="AG49" s="137">
        <f>Summary_LCIA!X$32</f>
        <v>2.2780000000000002E-2</v>
      </c>
      <c r="AH49" s="137">
        <f>Summary_LCIA!Y$32</f>
        <v>1.5582E-2</v>
      </c>
      <c r="AI49" s="137">
        <f>Summary_LCIA!Z$32</f>
        <v>4.1009E-5</v>
      </c>
      <c r="AJ49" s="137">
        <f>Summary_LCIA!AA$32</f>
        <v>2.3355999999999998E-2</v>
      </c>
      <c r="AK49" s="137">
        <f>Summary_LCIA!AB$32</f>
        <v>-2.1823000000000001E-5</v>
      </c>
      <c r="AL49" s="137">
        <f>Summary_LCIA!AC$32</f>
        <v>4.8884000000000003E-8</v>
      </c>
      <c r="AM49" s="137">
        <f>Summary_LCIA!AD$32</f>
        <v>4.1103999999999999E-4</v>
      </c>
      <c r="AN49" s="137">
        <f>Summary_LCIA!AE$32</f>
        <v>8.8612999999999995E-4</v>
      </c>
      <c r="AO49" s="137">
        <f>Summary_LCIA!AF$32</f>
        <v>8.4542000000000005E-4</v>
      </c>
      <c r="AP49" s="137">
        <f>Summary_LCIA!AG$32</f>
        <v>5.1165000000000002E-5</v>
      </c>
      <c r="AQ49" s="137">
        <f>Summary_LCIA!AH$32</f>
        <v>8.7036000000000006E-3</v>
      </c>
      <c r="AR49" s="137">
        <f>Summary_LCIA!AI$32</f>
        <v>9.3154999999999996E-4</v>
      </c>
      <c r="AT49" s="137">
        <f t="shared" si="3"/>
        <v>62.716885999999995</v>
      </c>
      <c r="AU49" s="137">
        <f t="shared" si="15"/>
        <v>914.73822841880997</v>
      </c>
      <c r="AV49" s="137">
        <f t="shared" si="16"/>
        <v>0.97187179199999985</v>
      </c>
      <c r="AW49" s="137">
        <f t="shared" si="17"/>
        <v>61.901086599999999</v>
      </c>
      <c r="AX49" s="137">
        <f t="shared" si="18"/>
        <v>20.284243</v>
      </c>
      <c r="AY49" s="137">
        <f t="shared" si="19"/>
        <v>3.3063869799999996</v>
      </c>
      <c r="AZ49" s="137">
        <f t="shared" si="20"/>
        <v>8.8152477699999995E-3</v>
      </c>
      <c r="BA49" s="137">
        <f t="shared" si="21"/>
        <v>14.206537469999999</v>
      </c>
      <c r="BB49" s="137">
        <f t="shared" si="22"/>
        <v>4.2045045999999999</v>
      </c>
      <c r="BC49" s="137">
        <f t="shared" si="4"/>
        <v>2.8759697399999999</v>
      </c>
      <c r="BD49" s="137">
        <f t="shared" si="5"/>
        <v>7.5690311299999999E-3</v>
      </c>
      <c r="BE49" s="137">
        <f t="shared" si="6"/>
        <v>4.3108169199999997</v>
      </c>
      <c r="BF49" s="137">
        <f t="shared" si="7"/>
        <v>-4.0278711100000001E-3</v>
      </c>
      <c r="BG49" s="137">
        <f t="shared" si="8"/>
        <v>9.0225198800000006E-6</v>
      </c>
      <c r="BH49" s="137">
        <f t="shared" si="9"/>
        <v>7.5865652800000002E-2</v>
      </c>
      <c r="BI49" s="137">
        <f t="shared" si="10"/>
        <v>0.16355301409999998</v>
      </c>
      <c r="BJ49" s="137">
        <f t="shared" si="11"/>
        <v>0.15603916940000001</v>
      </c>
      <c r="BK49" s="137">
        <f t="shared" si="12"/>
        <v>9.4435240500000007E-3</v>
      </c>
      <c r="BL49" s="137">
        <f t="shared" si="13"/>
        <v>1.606423452</v>
      </c>
      <c r="BM49" s="137">
        <f t="shared" si="14"/>
        <v>0.17193618349999998</v>
      </c>
    </row>
    <row r="50" spans="1:65" x14ac:dyDescent="0.25">
      <c r="A50" s="149">
        <v>144</v>
      </c>
      <c r="B50" s="149">
        <v>43</v>
      </c>
      <c r="C50" s="61">
        <v>39.332213000000003</v>
      </c>
      <c r="D50" s="61">
        <v>-76.600832999999994</v>
      </c>
      <c r="E50" s="61" t="s">
        <v>265</v>
      </c>
      <c r="F50" s="149">
        <v>82</v>
      </c>
      <c r="G50" s="61" t="s">
        <v>684</v>
      </c>
      <c r="H50" s="61" t="s">
        <v>685</v>
      </c>
      <c r="I50" s="61">
        <v>39.177404000000003</v>
      </c>
      <c r="J50" s="61">
        <v>-76.668391999999997</v>
      </c>
      <c r="K50" s="61">
        <v>25.47228264</v>
      </c>
      <c r="L50" s="61">
        <v>22.373000000000001</v>
      </c>
      <c r="M50" s="61" t="s">
        <v>617</v>
      </c>
      <c r="N50" s="149">
        <v>42</v>
      </c>
      <c r="O50" s="149">
        <v>43</v>
      </c>
      <c r="P50" s="61" t="s">
        <v>565</v>
      </c>
      <c r="Q50" s="61" t="s">
        <v>555</v>
      </c>
      <c r="R50" s="61">
        <v>40.6895314</v>
      </c>
      <c r="S50" s="61">
        <v>-74.174462399999996</v>
      </c>
      <c r="T50" s="61">
        <v>285.99299999999999</v>
      </c>
      <c r="U50" s="61" t="s">
        <v>617</v>
      </c>
      <c r="V50" s="61" t="s">
        <v>617</v>
      </c>
      <c r="W50" s="61"/>
      <c r="Y50" s="137">
        <f>Summary_LCIA!H$32</f>
        <v>0.33979999999999999</v>
      </c>
      <c r="Z50" s="137">
        <f>Summary_LCIA!Q$32</f>
        <v>4.9560504329999997</v>
      </c>
      <c r="AA50" s="137">
        <f>Summary_LCIA!R$32</f>
        <v>5.2655999999999996E-3</v>
      </c>
      <c r="AB50" s="137">
        <f>Summary_LCIA!S$32</f>
        <v>0.33538000000000001</v>
      </c>
      <c r="AC50" s="137">
        <f>Summary_LCIA!T$32</f>
        <v>0.1099</v>
      </c>
      <c r="AD50" s="137">
        <f>Summary_LCIA!U$32</f>
        <v>1.7913999999999999E-2</v>
      </c>
      <c r="AE50" s="137">
        <f>Summary_LCIA!V$32</f>
        <v>4.7760999999999999E-5</v>
      </c>
      <c r="AF50" s="137">
        <f>Summary_LCIA!W$32</f>
        <v>7.6970999999999998E-2</v>
      </c>
      <c r="AG50" s="137">
        <f>Summary_LCIA!X$32</f>
        <v>2.2780000000000002E-2</v>
      </c>
      <c r="AH50" s="137">
        <f>Summary_LCIA!Y$32</f>
        <v>1.5582E-2</v>
      </c>
      <c r="AI50" s="137">
        <f>Summary_LCIA!Z$32</f>
        <v>4.1009E-5</v>
      </c>
      <c r="AJ50" s="137">
        <f>Summary_LCIA!AA$32</f>
        <v>2.3355999999999998E-2</v>
      </c>
      <c r="AK50" s="137">
        <f>Summary_LCIA!AB$32</f>
        <v>-2.1823000000000001E-5</v>
      </c>
      <c r="AL50" s="137">
        <f>Summary_LCIA!AC$32</f>
        <v>4.8884000000000003E-8</v>
      </c>
      <c r="AM50" s="137">
        <f>Summary_LCIA!AD$32</f>
        <v>4.1103999999999999E-4</v>
      </c>
      <c r="AN50" s="137">
        <f>Summary_LCIA!AE$32</f>
        <v>8.8612999999999995E-4</v>
      </c>
      <c r="AO50" s="137">
        <f>Summary_LCIA!AF$32</f>
        <v>8.4542000000000005E-4</v>
      </c>
      <c r="AP50" s="137">
        <f>Summary_LCIA!AG$32</f>
        <v>5.1165000000000002E-5</v>
      </c>
      <c r="AQ50" s="137">
        <f>Summary_LCIA!AH$32</f>
        <v>8.7036000000000006E-3</v>
      </c>
      <c r="AR50" s="137">
        <f>Summary_LCIA!AI$32</f>
        <v>9.3154999999999996E-4</v>
      </c>
      <c r="AT50" s="137">
        <f t="shared" si="3"/>
        <v>97.1804214</v>
      </c>
      <c r="AU50" s="137">
        <f t="shared" si="15"/>
        <v>1417.3957314849688</v>
      </c>
      <c r="AV50" s="137">
        <f t="shared" si="16"/>
        <v>1.5059247407999998</v>
      </c>
      <c r="AW50" s="137">
        <f t="shared" si="17"/>
        <v>95.916332339999997</v>
      </c>
      <c r="AX50" s="137">
        <f t="shared" si="18"/>
        <v>31.430630699999998</v>
      </c>
      <c r="AY50" s="137">
        <f t="shared" si="19"/>
        <v>5.1232786020000001</v>
      </c>
      <c r="AZ50" s="137">
        <f t="shared" si="20"/>
        <v>1.3659311673E-2</v>
      </c>
      <c r="BA50" s="137">
        <f t="shared" si="21"/>
        <v>22.013167202999998</v>
      </c>
      <c r="BB50" s="137">
        <f t="shared" si="22"/>
        <v>6.5149205400000003</v>
      </c>
      <c r="BC50" s="137">
        <f t="shared" si="4"/>
        <v>4.4563429259999996</v>
      </c>
      <c r="BD50" s="137">
        <f t="shared" si="5"/>
        <v>1.1728286936999999E-2</v>
      </c>
      <c r="BE50" s="137">
        <f t="shared" si="6"/>
        <v>6.6796525079999993</v>
      </c>
      <c r="BF50" s="137">
        <f t="shared" si="7"/>
        <v>-6.2412252389999999E-3</v>
      </c>
      <c r="BG50" s="137">
        <f t="shared" si="8"/>
        <v>1.3980481812000001E-5</v>
      </c>
      <c r="BH50" s="137">
        <f t="shared" si="9"/>
        <v>0.11755456271999999</v>
      </c>
      <c r="BI50" s="137">
        <f t="shared" si="10"/>
        <v>0.25342697709000001</v>
      </c>
      <c r="BJ50" s="137">
        <f t="shared" si="11"/>
        <v>0.24178420206000001</v>
      </c>
      <c r="BK50" s="137">
        <f t="shared" si="12"/>
        <v>1.4632831845000001E-2</v>
      </c>
      <c r="BL50" s="137">
        <f t="shared" si="13"/>
        <v>2.4891686748000001</v>
      </c>
      <c r="BM50" s="137">
        <f t="shared" si="14"/>
        <v>0.26641677915</v>
      </c>
    </row>
    <row r="51" spans="1:65" x14ac:dyDescent="0.25">
      <c r="A51" s="149">
        <v>145</v>
      </c>
      <c r="B51" s="149">
        <v>43</v>
      </c>
      <c r="C51" s="61">
        <v>39.332213000000003</v>
      </c>
      <c r="D51" s="61">
        <v>-76.600832999999994</v>
      </c>
      <c r="E51" s="61" t="s">
        <v>265</v>
      </c>
      <c r="F51" s="149">
        <v>82</v>
      </c>
      <c r="G51" s="61" t="s">
        <v>684</v>
      </c>
      <c r="H51" s="61" t="s">
        <v>685</v>
      </c>
      <c r="I51" s="61">
        <v>39.177404000000003</v>
      </c>
      <c r="J51" s="61">
        <v>-76.668391999999997</v>
      </c>
      <c r="K51" s="61">
        <v>25.47228264</v>
      </c>
      <c r="L51" s="61">
        <v>22.373000000000001</v>
      </c>
      <c r="M51" s="61" t="s">
        <v>617</v>
      </c>
      <c r="N51" s="149">
        <v>42</v>
      </c>
      <c r="O51" s="149">
        <v>43</v>
      </c>
      <c r="P51" s="61" t="s">
        <v>565</v>
      </c>
      <c r="Q51" s="61" t="s">
        <v>555</v>
      </c>
      <c r="R51" s="61">
        <v>40.6895314</v>
      </c>
      <c r="S51" s="61">
        <v>-74.174462399999996</v>
      </c>
      <c r="T51" s="61">
        <v>285.99299999999999</v>
      </c>
      <c r="U51" s="61" t="s">
        <v>617</v>
      </c>
      <c r="V51" s="61" t="s">
        <v>617</v>
      </c>
      <c r="W51" s="61"/>
      <c r="Y51" s="137">
        <f>Summary_LCIA!H$32</f>
        <v>0.33979999999999999</v>
      </c>
      <c r="Z51" s="137">
        <f>Summary_LCIA!Q$32</f>
        <v>4.9560504329999997</v>
      </c>
      <c r="AA51" s="137">
        <f>Summary_LCIA!R$32</f>
        <v>5.2655999999999996E-3</v>
      </c>
      <c r="AB51" s="137">
        <f>Summary_LCIA!S$32</f>
        <v>0.33538000000000001</v>
      </c>
      <c r="AC51" s="137">
        <f>Summary_LCIA!T$32</f>
        <v>0.1099</v>
      </c>
      <c r="AD51" s="137">
        <f>Summary_LCIA!U$32</f>
        <v>1.7913999999999999E-2</v>
      </c>
      <c r="AE51" s="137">
        <f>Summary_LCIA!V$32</f>
        <v>4.7760999999999999E-5</v>
      </c>
      <c r="AF51" s="137">
        <f>Summary_LCIA!W$32</f>
        <v>7.6970999999999998E-2</v>
      </c>
      <c r="AG51" s="137">
        <f>Summary_LCIA!X$32</f>
        <v>2.2780000000000002E-2</v>
      </c>
      <c r="AH51" s="137">
        <f>Summary_LCIA!Y$32</f>
        <v>1.5582E-2</v>
      </c>
      <c r="AI51" s="137">
        <f>Summary_LCIA!Z$32</f>
        <v>4.1009E-5</v>
      </c>
      <c r="AJ51" s="137">
        <f>Summary_LCIA!AA$32</f>
        <v>2.3355999999999998E-2</v>
      </c>
      <c r="AK51" s="137">
        <f>Summary_LCIA!AB$32</f>
        <v>-2.1823000000000001E-5</v>
      </c>
      <c r="AL51" s="137">
        <f>Summary_LCIA!AC$32</f>
        <v>4.8884000000000003E-8</v>
      </c>
      <c r="AM51" s="137">
        <f>Summary_LCIA!AD$32</f>
        <v>4.1103999999999999E-4</v>
      </c>
      <c r="AN51" s="137">
        <f>Summary_LCIA!AE$32</f>
        <v>8.8612999999999995E-4</v>
      </c>
      <c r="AO51" s="137">
        <f>Summary_LCIA!AF$32</f>
        <v>8.4542000000000005E-4</v>
      </c>
      <c r="AP51" s="137">
        <f>Summary_LCIA!AG$32</f>
        <v>5.1165000000000002E-5</v>
      </c>
      <c r="AQ51" s="137">
        <f>Summary_LCIA!AH$32</f>
        <v>8.7036000000000006E-3</v>
      </c>
      <c r="AR51" s="137">
        <f>Summary_LCIA!AI$32</f>
        <v>9.3154999999999996E-4</v>
      </c>
      <c r="AT51" s="137">
        <f t="shared" si="3"/>
        <v>97.1804214</v>
      </c>
      <c r="AU51" s="137">
        <f t="shared" si="15"/>
        <v>1417.3957314849688</v>
      </c>
      <c r="AV51" s="137">
        <f t="shared" si="16"/>
        <v>1.5059247407999998</v>
      </c>
      <c r="AW51" s="137">
        <f t="shared" si="17"/>
        <v>95.916332339999997</v>
      </c>
      <c r="AX51" s="137">
        <f t="shared" si="18"/>
        <v>31.430630699999998</v>
      </c>
      <c r="AY51" s="137">
        <f t="shared" si="19"/>
        <v>5.1232786020000001</v>
      </c>
      <c r="AZ51" s="137">
        <f t="shared" si="20"/>
        <v>1.3659311673E-2</v>
      </c>
      <c r="BA51" s="137">
        <f t="shared" si="21"/>
        <v>22.013167202999998</v>
      </c>
      <c r="BB51" s="137">
        <f t="shared" si="22"/>
        <v>6.5149205400000003</v>
      </c>
      <c r="BC51" s="137">
        <f t="shared" si="4"/>
        <v>4.4563429259999996</v>
      </c>
      <c r="BD51" s="137">
        <f t="shared" si="5"/>
        <v>1.1728286936999999E-2</v>
      </c>
      <c r="BE51" s="137">
        <f t="shared" si="6"/>
        <v>6.6796525079999993</v>
      </c>
      <c r="BF51" s="137">
        <f t="shared" si="7"/>
        <v>-6.2412252389999999E-3</v>
      </c>
      <c r="BG51" s="137">
        <f t="shared" si="8"/>
        <v>1.3980481812000001E-5</v>
      </c>
      <c r="BH51" s="137">
        <f t="shared" si="9"/>
        <v>0.11755456271999999</v>
      </c>
      <c r="BI51" s="137">
        <f t="shared" si="10"/>
        <v>0.25342697709000001</v>
      </c>
      <c r="BJ51" s="137">
        <f t="shared" si="11"/>
        <v>0.24178420206000001</v>
      </c>
      <c r="BK51" s="137">
        <f t="shared" si="12"/>
        <v>1.4632831845000001E-2</v>
      </c>
      <c r="BL51" s="137">
        <f t="shared" si="13"/>
        <v>2.4891686748000001</v>
      </c>
      <c r="BM51" s="137">
        <f t="shared" si="14"/>
        <v>0.26641677915</v>
      </c>
    </row>
    <row r="52" spans="1:65" x14ac:dyDescent="0.25">
      <c r="A52" s="149">
        <v>146</v>
      </c>
      <c r="B52" s="149">
        <v>43</v>
      </c>
      <c r="C52" s="61">
        <v>39.332213000000003</v>
      </c>
      <c r="D52" s="61">
        <v>-76.600832999999994</v>
      </c>
      <c r="E52" s="61" t="s">
        <v>265</v>
      </c>
      <c r="F52" s="149">
        <v>82</v>
      </c>
      <c r="G52" s="61" t="s">
        <v>684</v>
      </c>
      <c r="H52" s="61" t="s">
        <v>685</v>
      </c>
      <c r="I52" s="61">
        <v>39.177404000000003</v>
      </c>
      <c r="J52" s="61">
        <v>-76.668391999999997</v>
      </c>
      <c r="K52" s="61">
        <v>25.47228264</v>
      </c>
      <c r="L52" s="61">
        <v>22.373000000000001</v>
      </c>
      <c r="M52" s="61" t="s">
        <v>617</v>
      </c>
      <c r="N52" s="149">
        <v>42</v>
      </c>
      <c r="O52" s="149">
        <v>43</v>
      </c>
      <c r="P52" s="61" t="s">
        <v>565</v>
      </c>
      <c r="Q52" s="61" t="s">
        <v>555</v>
      </c>
      <c r="R52" s="61">
        <v>40.6895314</v>
      </c>
      <c r="S52" s="61">
        <v>-74.174462399999996</v>
      </c>
      <c r="T52" s="61">
        <v>285.99299999999999</v>
      </c>
      <c r="U52" s="61" t="s">
        <v>617</v>
      </c>
      <c r="V52" s="61" t="s">
        <v>617</v>
      </c>
      <c r="W52" s="61"/>
      <c r="Y52" s="137">
        <f>Summary_LCIA!H$32</f>
        <v>0.33979999999999999</v>
      </c>
      <c r="Z52" s="137">
        <f>Summary_LCIA!Q$32</f>
        <v>4.9560504329999997</v>
      </c>
      <c r="AA52" s="137">
        <f>Summary_LCIA!R$32</f>
        <v>5.2655999999999996E-3</v>
      </c>
      <c r="AB52" s="137">
        <f>Summary_LCIA!S$32</f>
        <v>0.33538000000000001</v>
      </c>
      <c r="AC52" s="137">
        <f>Summary_LCIA!T$32</f>
        <v>0.1099</v>
      </c>
      <c r="AD52" s="137">
        <f>Summary_LCIA!U$32</f>
        <v>1.7913999999999999E-2</v>
      </c>
      <c r="AE52" s="137">
        <f>Summary_LCIA!V$32</f>
        <v>4.7760999999999999E-5</v>
      </c>
      <c r="AF52" s="137">
        <f>Summary_LCIA!W$32</f>
        <v>7.6970999999999998E-2</v>
      </c>
      <c r="AG52" s="137">
        <f>Summary_LCIA!X$32</f>
        <v>2.2780000000000002E-2</v>
      </c>
      <c r="AH52" s="137">
        <f>Summary_LCIA!Y$32</f>
        <v>1.5582E-2</v>
      </c>
      <c r="AI52" s="137">
        <f>Summary_LCIA!Z$32</f>
        <v>4.1009E-5</v>
      </c>
      <c r="AJ52" s="137">
        <f>Summary_LCIA!AA$32</f>
        <v>2.3355999999999998E-2</v>
      </c>
      <c r="AK52" s="137">
        <f>Summary_LCIA!AB$32</f>
        <v>-2.1823000000000001E-5</v>
      </c>
      <c r="AL52" s="137">
        <f>Summary_LCIA!AC$32</f>
        <v>4.8884000000000003E-8</v>
      </c>
      <c r="AM52" s="137">
        <f>Summary_LCIA!AD$32</f>
        <v>4.1103999999999999E-4</v>
      </c>
      <c r="AN52" s="137">
        <f>Summary_LCIA!AE$32</f>
        <v>8.8612999999999995E-4</v>
      </c>
      <c r="AO52" s="137">
        <f>Summary_LCIA!AF$32</f>
        <v>8.4542000000000005E-4</v>
      </c>
      <c r="AP52" s="137">
        <f>Summary_LCIA!AG$32</f>
        <v>5.1165000000000002E-5</v>
      </c>
      <c r="AQ52" s="137">
        <f>Summary_LCIA!AH$32</f>
        <v>8.7036000000000006E-3</v>
      </c>
      <c r="AR52" s="137">
        <f>Summary_LCIA!AI$32</f>
        <v>9.3154999999999996E-4</v>
      </c>
      <c r="AT52" s="137">
        <f t="shared" si="3"/>
        <v>97.1804214</v>
      </c>
      <c r="AU52" s="137">
        <f t="shared" si="15"/>
        <v>1417.3957314849688</v>
      </c>
      <c r="AV52" s="137">
        <f t="shared" si="16"/>
        <v>1.5059247407999998</v>
      </c>
      <c r="AW52" s="137">
        <f t="shared" si="17"/>
        <v>95.916332339999997</v>
      </c>
      <c r="AX52" s="137">
        <f t="shared" si="18"/>
        <v>31.430630699999998</v>
      </c>
      <c r="AY52" s="137">
        <f t="shared" si="19"/>
        <v>5.1232786020000001</v>
      </c>
      <c r="AZ52" s="137">
        <f t="shared" si="20"/>
        <v>1.3659311673E-2</v>
      </c>
      <c r="BA52" s="137">
        <f t="shared" si="21"/>
        <v>22.013167202999998</v>
      </c>
      <c r="BB52" s="137">
        <f t="shared" si="22"/>
        <v>6.5149205400000003</v>
      </c>
      <c r="BC52" s="137">
        <f t="shared" si="4"/>
        <v>4.4563429259999996</v>
      </c>
      <c r="BD52" s="137">
        <f t="shared" si="5"/>
        <v>1.1728286936999999E-2</v>
      </c>
      <c r="BE52" s="137">
        <f t="shared" si="6"/>
        <v>6.6796525079999993</v>
      </c>
      <c r="BF52" s="137">
        <f t="shared" si="7"/>
        <v>-6.2412252389999999E-3</v>
      </c>
      <c r="BG52" s="137">
        <f t="shared" si="8"/>
        <v>1.3980481812000001E-5</v>
      </c>
      <c r="BH52" s="137">
        <f t="shared" si="9"/>
        <v>0.11755456271999999</v>
      </c>
      <c r="BI52" s="137">
        <f t="shared" si="10"/>
        <v>0.25342697709000001</v>
      </c>
      <c r="BJ52" s="137">
        <f t="shared" si="11"/>
        <v>0.24178420206000001</v>
      </c>
      <c r="BK52" s="137">
        <f t="shared" si="12"/>
        <v>1.4632831845000001E-2</v>
      </c>
      <c r="BL52" s="137">
        <f t="shared" si="13"/>
        <v>2.4891686748000001</v>
      </c>
      <c r="BM52" s="137">
        <f t="shared" si="14"/>
        <v>0.26641677915</v>
      </c>
    </row>
    <row r="53" spans="1:65" x14ac:dyDescent="0.25">
      <c r="A53" s="149">
        <v>147</v>
      </c>
      <c r="B53" s="149">
        <v>43</v>
      </c>
      <c r="C53" s="61">
        <v>39.332213000000003</v>
      </c>
      <c r="D53" s="61">
        <v>-76.600832999999994</v>
      </c>
      <c r="E53" s="61" t="s">
        <v>265</v>
      </c>
      <c r="F53" s="149">
        <v>82</v>
      </c>
      <c r="G53" s="61" t="s">
        <v>684</v>
      </c>
      <c r="H53" s="61" t="s">
        <v>685</v>
      </c>
      <c r="I53" s="61">
        <v>39.177404000000003</v>
      </c>
      <c r="J53" s="61">
        <v>-76.668391999999997</v>
      </c>
      <c r="K53" s="61">
        <v>25.47228264</v>
      </c>
      <c r="L53" s="61">
        <v>22.373000000000001</v>
      </c>
      <c r="M53" s="61" t="s">
        <v>617</v>
      </c>
      <c r="N53" s="149">
        <v>42</v>
      </c>
      <c r="O53" s="149">
        <v>43</v>
      </c>
      <c r="P53" s="61" t="s">
        <v>565</v>
      </c>
      <c r="Q53" s="61" t="s">
        <v>555</v>
      </c>
      <c r="R53" s="61">
        <v>40.6895314</v>
      </c>
      <c r="S53" s="61">
        <v>-74.174462399999996</v>
      </c>
      <c r="T53" s="61">
        <v>285.99299999999999</v>
      </c>
      <c r="U53" s="61" t="s">
        <v>617</v>
      </c>
      <c r="V53" s="61" t="s">
        <v>617</v>
      </c>
      <c r="W53" s="61"/>
      <c r="Y53" s="137">
        <f>Summary_LCIA!H$32</f>
        <v>0.33979999999999999</v>
      </c>
      <c r="Z53" s="137">
        <f>Summary_LCIA!Q$32</f>
        <v>4.9560504329999997</v>
      </c>
      <c r="AA53" s="137">
        <f>Summary_LCIA!R$32</f>
        <v>5.2655999999999996E-3</v>
      </c>
      <c r="AB53" s="137">
        <f>Summary_LCIA!S$32</f>
        <v>0.33538000000000001</v>
      </c>
      <c r="AC53" s="137">
        <f>Summary_LCIA!T$32</f>
        <v>0.1099</v>
      </c>
      <c r="AD53" s="137">
        <f>Summary_LCIA!U$32</f>
        <v>1.7913999999999999E-2</v>
      </c>
      <c r="AE53" s="137">
        <f>Summary_LCIA!V$32</f>
        <v>4.7760999999999999E-5</v>
      </c>
      <c r="AF53" s="137">
        <f>Summary_LCIA!W$32</f>
        <v>7.6970999999999998E-2</v>
      </c>
      <c r="AG53" s="137">
        <f>Summary_LCIA!X$32</f>
        <v>2.2780000000000002E-2</v>
      </c>
      <c r="AH53" s="137">
        <f>Summary_LCIA!Y$32</f>
        <v>1.5582E-2</v>
      </c>
      <c r="AI53" s="137">
        <f>Summary_LCIA!Z$32</f>
        <v>4.1009E-5</v>
      </c>
      <c r="AJ53" s="137">
        <f>Summary_LCIA!AA$32</f>
        <v>2.3355999999999998E-2</v>
      </c>
      <c r="AK53" s="137">
        <f>Summary_LCIA!AB$32</f>
        <v>-2.1823000000000001E-5</v>
      </c>
      <c r="AL53" s="137">
        <f>Summary_LCIA!AC$32</f>
        <v>4.8884000000000003E-8</v>
      </c>
      <c r="AM53" s="137">
        <f>Summary_LCIA!AD$32</f>
        <v>4.1103999999999999E-4</v>
      </c>
      <c r="AN53" s="137">
        <f>Summary_LCIA!AE$32</f>
        <v>8.8612999999999995E-4</v>
      </c>
      <c r="AO53" s="137">
        <f>Summary_LCIA!AF$32</f>
        <v>8.4542000000000005E-4</v>
      </c>
      <c r="AP53" s="137">
        <f>Summary_LCIA!AG$32</f>
        <v>5.1165000000000002E-5</v>
      </c>
      <c r="AQ53" s="137">
        <f>Summary_LCIA!AH$32</f>
        <v>8.7036000000000006E-3</v>
      </c>
      <c r="AR53" s="137">
        <f>Summary_LCIA!AI$32</f>
        <v>9.3154999999999996E-4</v>
      </c>
      <c r="AT53" s="137">
        <f t="shared" si="3"/>
        <v>97.1804214</v>
      </c>
      <c r="AU53" s="137">
        <f t="shared" si="15"/>
        <v>1417.3957314849688</v>
      </c>
      <c r="AV53" s="137">
        <f t="shared" si="16"/>
        <v>1.5059247407999998</v>
      </c>
      <c r="AW53" s="137">
        <f t="shared" si="17"/>
        <v>95.916332339999997</v>
      </c>
      <c r="AX53" s="137">
        <f t="shared" si="18"/>
        <v>31.430630699999998</v>
      </c>
      <c r="AY53" s="137">
        <f t="shared" si="19"/>
        <v>5.1232786020000001</v>
      </c>
      <c r="AZ53" s="137">
        <f t="shared" si="20"/>
        <v>1.3659311673E-2</v>
      </c>
      <c r="BA53" s="137">
        <f t="shared" si="21"/>
        <v>22.013167202999998</v>
      </c>
      <c r="BB53" s="137">
        <f t="shared" si="22"/>
        <v>6.5149205400000003</v>
      </c>
      <c r="BC53" s="137">
        <f t="shared" si="4"/>
        <v>4.4563429259999996</v>
      </c>
      <c r="BD53" s="137">
        <f t="shared" si="5"/>
        <v>1.1728286936999999E-2</v>
      </c>
      <c r="BE53" s="137">
        <f t="shared" si="6"/>
        <v>6.6796525079999993</v>
      </c>
      <c r="BF53" s="137">
        <f t="shared" si="7"/>
        <v>-6.2412252389999999E-3</v>
      </c>
      <c r="BG53" s="137">
        <f t="shared" si="8"/>
        <v>1.3980481812000001E-5</v>
      </c>
      <c r="BH53" s="137">
        <f t="shared" si="9"/>
        <v>0.11755456271999999</v>
      </c>
      <c r="BI53" s="137">
        <f t="shared" si="10"/>
        <v>0.25342697709000001</v>
      </c>
      <c r="BJ53" s="137">
        <f t="shared" si="11"/>
        <v>0.24178420206000001</v>
      </c>
      <c r="BK53" s="137">
        <f t="shared" si="12"/>
        <v>1.4632831845000001E-2</v>
      </c>
      <c r="BL53" s="137">
        <f t="shared" si="13"/>
        <v>2.4891686748000001</v>
      </c>
      <c r="BM53" s="137">
        <f t="shared" si="14"/>
        <v>0.26641677915</v>
      </c>
    </row>
    <row r="54" spans="1:65" x14ac:dyDescent="0.25">
      <c r="A54" s="149">
        <v>148</v>
      </c>
      <c r="B54" s="149">
        <v>43</v>
      </c>
      <c r="C54" s="61">
        <v>39.332213000000003</v>
      </c>
      <c r="D54" s="61">
        <v>-76.600832999999994</v>
      </c>
      <c r="E54" s="61" t="s">
        <v>265</v>
      </c>
      <c r="F54" s="149">
        <v>82</v>
      </c>
      <c r="G54" s="61" t="s">
        <v>684</v>
      </c>
      <c r="H54" s="61" t="s">
        <v>685</v>
      </c>
      <c r="I54" s="61">
        <v>39.177404000000003</v>
      </c>
      <c r="J54" s="61">
        <v>-76.668391999999997</v>
      </c>
      <c r="K54" s="61">
        <v>25.47228264</v>
      </c>
      <c r="L54" s="61">
        <v>22.373000000000001</v>
      </c>
      <c r="M54" s="61" t="s">
        <v>617</v>
      </c>
      <c r="N54" s="149">
        <v>42</v>
      </c>
      <c r="O54" s="149">
        <v>43</v>
      </c>
      <c r="P54" s="61" t="s">
        <v>565</v>
      </c>
      <c r="Q54" s="61" t="s">
        <v>555</v>
      </c>
      <c r="R54" s="61">
        <v>40.6895314</v>
      </c>
      <c r="S54" s="61">
        <v>-74.174462399999996</v>
      </c>
      <c r="T54" s="61">
        <v>285.99299999999999</v>
      </c>
      <c r="U54" s="61" t="s">
        <v>617</v>
      </c>
      <c r="V54" s="61" t="s">
        <v>617</v>
      </c>
      <c r="W54" s="61"/>
      <c r="Y54" s="137">
        <f>Summary_LCIA!H$32</f>
        <v>0.33979999999999999</v>
      </c>
      <c r="Z54" s="137">
        <f>Summary_LCIA!Q$32</f>
        <v>4.9560504329999997</v>
      </c>
      <c r="AA54" s="137">
        <f>Summary_LCIA!R$32</f>
        <v>5.2655999999999996E-3</v>
      </c>
      <c r="AB54" s="137">
        <f>Summary_LCIA!S$32</f>
        <v>0.33538000000000001</v>
      </c>
      <c r="AC54" s="137">
        <f>Summary_LCIA!T$32</f>
        <v>0.1099</v>
      </c>
      <c r="AD54" s="137">
        <f>Summary_LCIA!U$32</f>
        <v>1.7913999999999999E-2</v>
      </c>
      <c r="AE54" s="137">
        <f>Summary_LCIA!V$32</f>
        <v>4.7760999999999999E-5</v>
      </c>
      <c r="AF54" s="137">
        <f>Summary_LCIA!W$32</f>
        <v>7.6970999999999998E-2</v>
      </c>
      <c r="AG54" s="137">
        <f>Summary_LCIA!X$32</f>
        <v>2.2780000000000002E-2</v>
      </c>
      <c r="AH54" s="137">
        <f>Summary_LCIA!Y$32</f>
        <v>1.5582E-2</v>
      </c>
      <c r="AI54" s="137">
        <f>Summary_LCIA!Z$32</f>
        <v>4.1009E-5</v>
      </c>
      <c r="AJ54" s="137">
        <f>Summary_LCIA!AA$32</f>
        <v>2.3355999999999998E-2</v>
      </c>
      <c r="AK54" s="137">
        <f>Summary_LCIA!AB$32</f>
        <v>-2.1823000000000001E-5</v>
      </c>
      <c r="AL54" s="137">
        <f>Summary_LCIA!AC$32</f>
        <v>4.8884000000000003E-8</v>
      </c>
      <c r="AM54" s="137">
        <f>Summary_LCIA!AD$32</f>
        <v>4.1103999999999999E-4</v>
      </c>
      <c r="AN54" s="137">
        <f>Summary_LCIA!AE$32</f>
        <v>8.8612999999999995E-4</v>
      </c>
      <c r="AO54" s="137">
        <f>Summary_LCIA!AF$32</f>
        <v>8.4542000000000005E-4</v>
      </c>
      <c r="AP54" s="137">
        <f>Summary_LCIA!AG$32</f>
        <v>5.1165000000000002E-5</v>
      </c>
      <c r="AQ54" s="137">
        <f>Summary_LCIA!AH$32</f>
        <v>8.7036000000000006E-3</v>
      </c>
      <c r="AR54" s="137">
        <f>Summary_LCIA!AI$32</f>
        <v>9.3154999999999996E-4</v>
      </c>
      <c r="AT54" s="137">
        <f t="shared" si="3"/>
        <v>97.1804214</v>
      </c>
      <c r="AU54" s="137">
        <f t="shared" si="15"/>
        <v>1417.3957314849688</v>
      </c>
      <c r="AV54" s="137">
        <f t="shared" si="16"/>
        <v>1.5059247407999998</v>
      </c>
      <c r="AW54" s="137">
        <f t="shared" si="17"/>
        <v>95.916332339999997</v>
      </c>
      <c r="AX54" s="137">
        <f t="shared" si="18"/>
        <v>31.430630699999998</v>
      </c>
      <c r="AY54" s="137">
        <f t="shared" si="19"/>
        <v>5.1232786020000001</v>
      </c>
      <c r="AZ54" s="137">
        <f t="shared" si="20"/>
        <v>1.3659311673E-2</v>
      </c>
      <c r="BA54" s="137">
        <f t="shared" si="21"/>
        <v>22.013167202999998</v>
      </c>
      <c r="BB54" s="137">
        <f t="shared" si="22"/>
        <v>6.5149205400000003</v>
      </c>
      <c r="BC54" s="137">
        <f t="shared" si="4"/>
        <v>4.4563429259999996</v>
      </c>
      <c r="BD54" s="137">
        <f t="shared" si="5"/>
        <v>1.1728286936999999E-2</v>
      </c>
      <c r="BE54" s="137">
        <f t="shared" si="6"/>
        <v>6.6796525079999993</v>
      </c>
      <c r="BF54" s="137">
        <f t="shared" si="7"/>
        <v>-6.2412252389999999E-3</v>
      </c>
      <c r="BG54" s="137">
        <f t="shared" si="8"/>
        <v>1.3980481812000001E-5</v>
      </c>
      <c r="BH54" s="137">
        <f t="shared" si="9"/>
        <v>0.11755456271999999</v>
      </c>
      <c r="BI54" s="137">
        <f t="shared" si="10"/>
        <v>0.25342697709000001</v>
      </c>
      <c r="BJ54" s="137">
        <f t="shared" si="11"/>
        <v>0.24178420206000001</v>
      </c>
      <c r="BK54" s="137">
        <f t="shared" si="12"/>
        <v>1.4632831845000001E-2</v>
      </c>
      <c r="BL54" s="137">
        <f t="shared" si="13"/>
        <v>2.4891686748000001</v>
      </c>
      <c r="BM54" s="137">
        <f t="shared" si="14"/>
        <v>0.26641677915</v>
      </c>
    </row>
    <row r="55" spans="1:65" x14ac:dyDescent="0.25">
      <c r="A55" s="149">
        <v>149</v>
      </c>
      <c r="B55" s="149">
        <v>43</v>
      </c>
      <c r="C55" s="61">
        <v>39.332213000000003</v>
      </c>
      <c r="D55" s="61">
        <v>-76.600832999999994</v>
      </c>
      <c r="E55" s="61" t="s">
        <v>265</v>
      </c>
      <c r="F55" s="149">
        <v>82</v>
      </c>
      <c r="G55" s="61" t="s">
        <v>684</v>
      </c>
      <c r="H55" s="61" t="s">
        <v>685</v>
      </c>
      <c r="I55" s="61">
        <v>39.177404000000003</v>
      </c>
      <c r="J55" s="61">
        <v>-76.668391999999997</v>
      </c>
      <c r="K55" s="61">
        <v>25.47228264</v>
      </c>
      <c r="L55" s="61">
        <v>22.373000000000001</v>
      </c>
      <c r="M55" s="61" t="s">
        <v>617</v>
      </c>
      <c r="N55" s="149">
        <v>42</v>
      </c>
      <c r="O55" s="149">
        <v>43</v>
      </c>
      <c r="P55" s="61" t="s">
        <v>565</v>
      </c>
      <c r="Q55" s="61" t="s">
        <v>555</v>
      </c>
      <c r="R55" s="61">
        <v>40.6895314</v>
      </c>
      <c r="S55" s="61">
        <v>-74.174462399999996</v>
      </c>
      <c r="T55" s="61">
        <v>285.99299999999999</v>
      </c>
      <c r="U55" s="61" t="s">
        <v>617</v>
      </c>
      <c r="V55" s="61" t="s">
        <v>617</v>
      </c>
      <c r="W55" s="61"/>
      <c r="Y55" s="137">
        <f>Summary_LCIA!H$32</f>
        <v>0.33979999999999999</v>
      </c>
      <c r="Z55" s="137">
        <f>Summary_LCIA!Q$32</f>
        <v>4.9560504329999997</v>
      </c>
      <c r="AA55" s="137">
        <f>Summary_LCIA!R$32</f>
        <v>5.2655999999999996E-3</v>
      </c>
      <c r="AB55" s="137">
        <f>Summary_LCIA!S$32</f>
        <v>0.33538000000000001</v>
      </c>
      <c r="AC55" s="137">
        <f>Summary_LCIA!T$32</f>
        <v>0.1099</v>
      </c>
      <c r="AD55" s="137">
        <f>Summary_LCIA!U$32</f>
        <v>1.7913999999999999E-2</v>
      </c>
      <c r="AE55" s="137">
        <f>Summary_LCIA!V$32</f>
        <v>4.7760999999999999E-5</v>
      </c>
      <c r="AF55" s="137">
        <f>Summary_LCIA!W$32</f>
        <v>7.6970999999999998E-2</v>
      </c>
      <c r="AG55" s="137">
        <f>Summary_LCIA!X$32</f>
        <v>2.2780000000000002E-2</v>
      </c>
      <c r="AH55" s="137">
        <f>Summary_LCIA!Y$32</f>
        <v>1.5582E-2</v>
      </c>
      <c r="AI55" s="137">
        <f>Summary_LCIA!Z$32</f>
        <v>4.1009E-5</v>
      </c>
      <c r="AJ55" s="137">
        <f>Summary_LCIA!AA$32</f>
        <v>2.3355999999999998E-2</v>
      </c>
      <c r="AK55" s="137">
        <f>Summary_LCIA!AB$32</f>
        <v>-2.1823000000000001E-5</v>
      </c>
      <c r="AL55" s="137">
        <f>Summary_LCIA!AC$32</f>
        <v>4.8884000000000003E-8</v>
      </c>
      <c r="AM55" s="137">
        <f>Summary_LCIA!AD$32</f>
        <v>4.1103999999999999E-4</v>
      </c>
      <c r="AN55" s="137">
        <f>Summary_LCIA!AE$32</f>
        <v>8.8612999999999995E-4</v>
      </c>
      <c r="AO55" s="137">
        <f>Summary_LCIA!AF$32</f>
        <v>8.4542000000000005E-4</v>
      </c>
      <c r="AP55" s="137">
        <f>Summary_LCIA!AG$32</f>
        <v>5.1165000000000002E-5</v>
      </c>
      <c r="AQ55" s="137">
        <f>Summary_LCIA!AH$32</f>
        <v>8.7036000000000006E-3</v>
      </c>
      <c r="AR55" s="137">
        <f>Summary_LCIA!AI$32</f>
        <v>9.3154999999999996E-4</v>
      </c>
      <c r="AT55" s="137">
        <f t="shared" si="3"/>
        <v>97.1804214</v>
      </c>
      <c r="AU55" s="137">
        <f t="shared" si="15"/>
        <v>1417.3957314849688</v>
      </c>
      <c r="AV55" s="137">
        <f t="shared" si="16"/>
        <v>1.5059247407999998</v>
      </c>
      <c r="AW55" s="137">
        <f t="shared" si="17"/>
        <v>95.916332339999997</v>
      </c>
      <c r="AX55" s="137">
        <f t="shared" si="18"/>
        <v>31.430630699999998</v>
      </c>
      <c r="AY55" s="137">
        <f t="shared" si="19"/>
        <v>5.1232786020000001</v>
      </c>
      <c r="AZ55" s="137">
        <f t="shared" si="20"/>
        <v>1.3659311673E-2</v>
      </c>
      <c r="BA55" s="137">
        <f t="shared" si="21"/>
        <v>22.013167202999998</v>
      </c>
      <c r="BB55" s="137">
        <f t="shared" si="22"/>
        <v>6.5149205400000003</v>
      </c>
      <c r="BC55" s="137">
        <f t="shared" si="4"/>
        <v>4.4563429259999996</v>
      </c>
      <c r="BD55" s="137">
        <f t="shared" si="5"/>
        <v>1.1728286936999999E-2</v>
      </c>
      <c r="BE55" s="137">
        <f t="shared" si="6"/>
        <v>6.6796525079999993</v>
      </c>
      <c r="BF55" s="137">
        <f t="shared" si="7"/>
        <v>-6.2412252389999999E-3</v>
      </c>
      <c r="BG55" s="137">
        <f t="shared" si="8"/>
        <v>1.3980481812000001E-5</v>
      </c>
      <c r="BH55" s="137">
        <f t="shared" si="9"/>
        <v>0.11755456271999999</v>
      </c>
      <c r="BI55" s="137">
        <f t="shared" si="10"/>
        <v>0.25342697709000001</v>
      </c>
      <c r="BJ55" s="137">
        <f t="shared" si="11"/>
        <v>0.24178420206000001</v>
      </c>
      <c r="BK55" s="137">
        <f t="shared" si="12"/>
        <v>1.4632831845000001E-2</v>
      </c>
      <c r="BL55" s="137">
        <f t="shared" si="13"/>
        <v>2.4891686748000001</v>
      </c>
      <c r="BM55" s="137">
        <f t="shared" si="14"/>
        <v>0.26641677915</v>
      </c>
    </row>
    <row r="56" spans="1:65" x14ac:dyDescent="0.25">
      <c r="A56" s="149">
        <v>150</v>
      </c>
      <c r="B56" s="149">
        <v>43</v>
      </c>
      <c r="C56" s="61">
        <v>39.332213000000003</v>
      </c>
      <c r="D56" s="61">
        <v>-76.600832999999994</v>
      </c>
      <c r="E56" s="61" t="s">
        <v>265</v>
      </c>
      <c r="F56" s="149">
        <v>82</v>
      </c>
      <c r="G56" s="61" t="s">
        <v>684</v>
      </c>
      <c r="H56" s="61" t="s">
        <v>685</v>
      </c>
      <c r="I56" s="61">
        <v>39.177404000000003</v>
      </c>
      <c r="J56" s="61">
        <v>-76.668391999999997</v>
      </c>
      <c r="K56" s="61">
        <v>25.47228264</v>
      </c>
      <c r="L56" s="61">
        <v>22.373000000000001</v>
      </c>
      <c r="M56" s="61" t="s">
        <v>617</v>
      </c>
      <c r="N56" s="149">
        <v>42</v>
      </c>
      <c r="O56" s="149">
        <v>43</v>
      </c>
      <c r="P56" s="61" t="s">
        <v>565</v>
      </c>
      <c r="Q56" s="61" t="s">
        <v>555</v>
      </c>
      <c r="R56" s="61">
        <v>40.6895314</v>
      </c>
      <c r="S56" s="61">
        <v>-74.174462399999996</v>
      </c>
      <c r="T56" s="61">
        <v>285.99299999999999</v>
      </c>
      <c r="U56" s="61" t="s">
        <v>617</v>
      </c>
      <c r="V56" s="61" t="s">
        <v>617</v>
      </c>
      <c r="W56" s="61"/>
      <c r="Y56" s="137">
        <f>Summary_LCIA!H$32</f>
        <v>0.33979999999999999</v>
      </c>
      <c r="Z56" s="137">
        <f>Summary_LCIA!Q$32</f>
        <v>4.9560504329999997</v>
      </c>
      <c r="AA56" s="137">
        <f>Summary_LCIA!R$32</f>
        <v>5.2655999999999996E-3</v>
      </c>
      <c r="AB56" s="137">
        <f>Summary_LCIA!S$32</f>
        <v>0.33538000000000001</v>
      </c>
      <c r="AC56" s="137">
        <f>Summary_LCIA!T$32</f>
        <v>0.1099</v>
      </c>
      <c r="AD56" s="137">
        <f>Summary_LCIA!U$32</f>
        <v>1.7913999999999999E-2</v>
      </c>
      <c r="AE56" s="137">
        <f>Summary_LCIA!V$32</f>
        <v>4.7760999999999999E-5</v>
      </c>
      <c r="AF56" s="137">
        <f>Summary_LCIA!W$32</f>
        <v>7.6970999999999998E-2</v>
      </c>
      <c r="AG56" s="137">
        <f>Summary_LCIA!X$32</f>
        <v>2.2780000000000002E-2</v>
      </c>
      <c r="AH56" s="137">
        <f>Summary_LCIA!Y$32</f>
        <v>1.5582E-2</v>
      </c>
      <c r="AI56" s="137">
        <f>Summary_LCIA!Z$32</f>
        <v>4.1009E-5</v>
      </c>
      <c r="AJ56" s="137">
        <f>Summary_LCIA!AA$32</f>
        <v>2.3355999999999998E-2</v>
      </c>
      <c r="AK56" s="137">
        <f>Summary_LCIA!AB$32</f>
        <v>-2.1823000000000001E-5</v>
      </c>
      <c r="AL56" s="137">
        <f>Summary_LCIA!AC$32</f>
        <v>4.8884000000000003E-8</v>
      </c>
      <c r="AM56" s="137">
        <f>Summary_LCIA!AD$32</f>
        <v>4.1103999999999999E-4</v>
      </c>
      <c r="AN56" s="137">
        <f>Summary_LCIA!AE$32</f>
        <v>8.8612999999999995E-4</v>
      </c>
      <c r="AO56" s="137">
        <f>Summary_LCIA!AF$32</f>
        <v>8.4542000000000005E-4</v>
      </c>
      <c r="AP56" s="137">
        <f>Summary_LCIA!AG$32</f>
        <v>5.1165000000000002E-5</v>
      </c>
      <c r="AQ56" s="137">
        <f>Summary_LCIA!AH$32</f>
        <v>8.7036000000000006E-3</v>
      </c>
      <c r="AR56" s="137">
        <f>Summary_LCIA!AI$32</f>
        <v>9.3154999999999996E-4</v>
      </c>
      <c r="AT56" s="137">
        <f t="shared" si="3"/>
        <v>97.1804214</v>
      </c>
      <c r="AU56" s="137">
        <f t="shared" si="15"/>
        <v>1417.3957314849688</v>
      </c>
      <c r="AV56" s="137">
        <f t="shared" si="16"/>
        <v>1.5059247407999998</v>
      </c>
      <c r="AW56" s="137">
        <f t="shared" si="17"/>
        <v>95.916332339999997</v>
      </c>
      <c r="AX56" s="137">
        <f t="shared" si="18"/>
        <v>31.430630699999998</v>
      </c>
      <c r="AY56" s="137">
        <f t="shared" si="19"/>
        <v>5.1232786020000001</v>
      </c>
      <c r="AZ56" s="137">
        <f t="shared" si="20"/>
        <v>1.3659311673E-2</v>
      </c>
      <c r="BA56" s="137">
        <f t="shared" si="21"/>
        <v>22.013167202999998</v>
      </c>
      <c r="BB56" s="137">
        <f t="shared" si="22"/>
        <v>6.5149205400000003</v>
      </c>
      <c r="BC56" s="137">
        <f t="shared" si="4"/>
        <v>4.4563429259999996</v>
      </c>
      <c r="BD56" s="137">
        <f t="shared" si="5"/>
        <v>1.1728286936999999E-2</v>
      </c>
      <c r="BE56" s="137">
        <f t="shared" si="6"/>
        <v>6.6796525079999993</v>
      </c>
      <c r="BF56" s="137">
        <f t="shared" si="7"/>
        <v>-6.2412252389999999E-3</v>
      </c>
      <c r="BG56" s="137">
        <f t="shared" si="8"/>
        <v>1.3980481812000001E-5</v>
      </c>
      <c r="BH56" s="137">
        <f t="shared" si="9"/>
        <v>0.11755456271999999</v>
      </c>
      <c r="BI56" s="137">
        <f t="shared" si="10"/>
        <v>0.25342697709000001</v>
      </c>
      <c r="BJ56" s="137">
        <f t="shared" si="11"/>
        <v>0.24178420206000001</v>
      </c>
      <c r="BK56" s="137">
        <f t="shared" si="12"/>
        <v>1.4632831845000001E-2</v>
      </c>
      <c r="BL56" s="137">
        <f t="shared" si="13"/>
        <v>2.4891686748000001</v>
      </c>
      <c r="BM56" s="137">
        <f t="shared" si="14"/>
        <v>0.26641677915</v>
      </c>
    </row>
    <row r="57" spans="1:65" x14ac:dyDescent="0.25">
      <c r="A57" s="149">
        <v>151</v>
      </c>
      <c r="B57" s="149">
        <v>43</v>
      </c>
      <c r="C57" s="61">
        <v>39.332213000000003</v>
      </c>
      <c r="D57" s="61">
        <v>-76.600832999999994</v>
      </c>
      <c r="E57" s="61" t="s">
        <v>265</v>
      </c>
      <c r="F57" s="149">
        <v>82</v>
      </c>
      <c r="G57" s="61" t="s">
        <v>684</v>
      </c>
      <c r="H57" s="61" t="s">
        <v>685</v>
      </c>
      <c r="I57" s="61">
        <v>39.177404000000003</v>
      </c>
      <c r="J57" s="61">
        <v>-76.668391999999997</v>
      </c>
      <c r="K57" s="61">
        <v>25.47228264</v>
      </c>
      <c r="L57" s="61">
        <v>22.373000000000001</v>
      </c>
      <c r="M57" s="61" t="s">
        <v>617</v>
      </c>
      <c r="N57" s="149">
        <v>42</v>
      </c>
      <c r="O57" s="149">
        <v>43</v>
      </c>
      <c r="P57" s="61" t="s">
        <v>565</v>
      </c>
      <c r="Q57" s="61" t="s">
        <v>555</v>
      </c>
      <c r="R57" s="61">
        <v>40.6895314</v>
      </c>
      <c r="S57" s="61">
        <v>-74.174462399999996</v>
      </c>
      <c r="T57" s="61">
        <v>285.99299999999999</v>
      </c>
      <c r="U57" s="61" t="s">
        <v>617</v>
      </c>
      <c r="V57" s="61" t="s">
        <v>617</v>
      </c>
      <c r="W57" s="61"/>
      <c r="Y57" s="137">
        <f>Summary_LCIA!H$32</f>
        <v>0.33979999999999999</v>
      </c>
      <c r="Z57" s="137">
        <f>Summary_LCIA!Q$32</f>
        <v>4.9560504329999997</v>
      </c>
      <c r="AA57" s="137">
        <f>Summary_LCIA!R$32</f>
        <v>5.2655999999999996E-3</v>
      </c>
      <c r="AB57" s="137">
        <f>Summary_LCIA!S$32</f>
        <v>0.33538000000000001</v>
      </c>
      <c r="AC57" s="137">
        <f>Summary_LCIA!T$32</f>
        <v>0.1099</v>
      </c>
      <c r="AD57" s="137">
        <f>Summary_LCIA!U$32</f>
        <v>1.7913999999999999E-2</v>
      </c>
      <c r="AE57" s="137">
        <f>Summary_LCIA!V$32</f>
        <v>4.7760999999999999E-5</v>
      </c>
      <c r="AF57" s="137">
        <f>Summary_LCIA!W$32</f>
        <v>7.6970999999999998E-2</v>
      </c>
      <c r="AG57" s="137">
        <f>Summary_LCIA!X$32</f>
        <v>2.2780000000000002E-2</v>
      </c>
      <c r="AH57" s="137">
        <f>Summary_LCIA!Y$32</f>
        <v>1.5582E-2</v>
      </c>
      <c r="AI57" s="137">
        <f>Summary_LCIA!Z$32</f>
        <v>4.1009E-5</v>
      </c>
      <c r="AJ57" s="137">
        <f>Summary_LCIA!AA$32</f>
        <v>2.3355999999999998E-2</v>
      </c>
      <c r="AK57" s="137">
        <f>Summary_LCIA!AB$32</f>
        <v>-2.1823000000000001E-5</v>
      </c>
      <c r="AL57" s="137">
        <f>Summary_LCIA!AC$32</f>
        <v>4.8884000000000003E-8</v>
      </c>
      <c r="AM57" s="137">
        <f>Summary_LCIA!AD$32</f>
        <v>4.1103999999999999E-4</v>
      </c>
      <c r="AN57" s="137">
        <f>Summary_LCIA!AE$32</f>
        <v>8.8612999999999995E-4</v>
      </c>
      <c r="AO57" s="137">
        <f>Summary_LCIA!AF$32</f>
        <v>8.4542000000000005E-4</v>
      </c>
      <c r="AP57" s="137">
        <f>Summary_LCIA!AG$32</f>
        <v>5.1165000000000002E-5</v>
      </c>
      <c r="AQ57" s="137">
        <f>Summary_LCIA!AH$32</f>
        <v>8.7036000000000006E-3</v>
      </c>
      <c r="AR57" s="137">
        <f>Summary_LCIA!AI$32</f>
        <v>9.3154999999999996E-4</v>
      </c>
      <c r="AT57" s="137">
        <f t="shared" si="3"/>
        <v>97.1804214</v>
      </c>
      <c r="AU57" s="137">
        <f t="shared" si="15"/>
        <v>1417.3957314849688</v>
      </c>
      <c r="AV57" s="137">
        <f t="shared" si="16"/>
        <v>1.5059247407999998</v>
      </c>
      <c r="AW57" s="137">
        <f t="shared" si="17"/>
        <v>95.916332339999997</v>
      </c>
      <c r="AX57" s="137">
        <f t="shared" si="18"/>
        <v>31.430630699999998</v>
      </c>
      <c r="AY57" s="137">
        <f t="shared" si="19"/>
        <v>5.1232786020000001</v>
      </c>
      <c r="AZ57" s="137">
        <f t="shared" si="20"/>
        <v>1.3659311673E-2</v>
      </c>
      <c r="BA57" s="137">
        <f t="shared" si="21"/>
        <v>22.013167202999998</v>
      </c>
      <c r="BB57" s="137">
        <f t="shared" si="22"/>
        <v>6.5149205400000003</v>
      </c>
      <c r="BC57" s="137">
        <f t="shared" si="4"/>
        <v>4.4563429259999996</v>
      </c>
      <c r="BD57" s="137">
        <f t="shared" si="5"/>
        <v>1.1728286936999999E-2</v>
      </c>
      <c r="BE57" s="137">
        <f t="shared" si="6"/>
        <v>6.6796525079999993</v>
      </c>
      <c r="BF57" s="137">
        <f t="shared" si="7"/>
        <v>-6.2412252389999999E-3</v>
      </c>
      <c r="BG57" s="137">
        <f t="shared" si="8"/>
        <v>1.3980481812000001E-5</v>
      </c>
      <c r="BH57" s="137">
        <f t="shared" si="9"/>
        <v>0.11755456271999999</v>
      </c>
      <c r="BI57" s="137">
        <f t="shared" si="10"/>
        <v>0.25342697709000001</v>
      </c>
      <c r="BJ57" s="137">
        <f t="shared" si="11"/>
        <v>0.24178420206000001</v>
      </c>
      <c r="BK57" s="137">
        <f t="shared" si="12"/>
        <v>1.4632831845000001E-2</v>
      </c>
      <c r="BL57" s="137">
        <f t="shared" si="13"/>
        <v>2.4891686748000001</v>
      </c>
      <c r="BM57" s="137">
        <f t="shared" si="14"/>
        <v>0.26641677915</v>
      </c>
    </row>
    <row r="58" spans="1:65" x14ac:dyDescent="0.25">
      <c r="A58" s="149">
        <v>307</v>
      </c>
      <c r="B58" s="149">
        <v>43</v>
      </c>
      <c r="C58" s="61">
        <v>41.888157999999997</v>
      </c>
      <c r="D58" s="61">
        <v>-71.477429000000001</v>
      </c>
      <c r="E58" s="61" t="s">
        <v>265</v>
      </c>
      <c r="F58" s="149">
        <v>53</v>
      </c>
      <c r="G58" s="61" t="s">
        <v>565</v>
      </c>
      <c r="H58" s="61" t="s">
        <v>634</v>
      </c>
      <c r="I58" s="61">
        <v>42.365613000000003</v>
      </c>
      <c r="J58" s="61">
        <v>-71.009559999999993</v>
      </c>
      <c r="K58" s="61">
        <v>86.564645630000001</v>
      </c>
      <c r="L58" s="61">
        <v>88.81</v>
      </c>
      <c r="M58" s="61" t="s">
        <v>617</v>
      </c>
      <c r="N58" s="149">
        <v>42</v>
      </c>
      <c r="O58" s="149">
        <v>43</v>
      </c>
      <c r="P58" s="61" t="s">
        <v>565</v>
      </c>
      <c r="Q58" s="61" t="s">
        <v>555</v>
      </c>
      <c r="R58" s="61">
        <v>40.6895314</v>
      </c>
      <c r="S58" s="61">
        <v>-74.174462399999996</v>
      </c>
      <c r="T58" s="61">
        <v>325.79700000000003</v>
      </c>
      <c r="U58" s="61" t="s">
        <v>617</v>
      </c>
      <c r="V58" s="61" t="s">
        <v>617</v>
      </c>
      <c r="W58" s="61"/>
      <c r="Y58" s="137">
        <f>Summary_LCIA!H$32</f>
        <v>0.33979999999999999</v>
      </c>
      <c r="Z58" s="137">
        <f>Summary_LCIA!Q$32</f>
        <v>4.9560504329999997</v>
      </c>
      <c r="AA58" s="137">
        <f>Summary_LCIA!R$32</f>
        <v>5.2655999999999996E-3</v>
      </c>
      <c r="AB58" s="137">
        <f>Summary_LCIA!S$32</f>
        <v>0.33538000000000001</v>
      </c>
      <c r="AC58" s="137">
        <f>Summary_LCIA!T$32</f>
        <v>0.1099</v>
      </c>
      <c r="AD58" s="137">
        <f>Summary_LCIA!U$32</f>
        <v>1.7913999999999999E-2</v>
      </c>
      <c r="AE58" s="137">
        <f>Summary_LCIA!V$32</f>
        <v>4.7760999999999999E-5</v>
      </c>
      <c r="AF58" s="137">
        <f>Summary_LCIA!W$32</f>
        <v>7.6970999999999998E-2</v>
      </c>
      <c r="AG58" s="137">
        <f>Summary_LCIA!X$32</f>
        <v>2.2780000000000002E-2</v>
      </c>
      <c r="AH58" s="137">
        <f>Summary_LCIA!Y$32</f>
        <v>1.5582E-2</v>
      </c>
      <c r="AI58" s="137">
        <f>Summary_LCIA!Z$32</f>
        <v>4.1009E-5</v>
      </c>
      <c r="AJ58" s="137">
        <f>Summary_LCIA!AA$32</f>
        <v>2.3355999999999998E-2</v>
      </c>
      <c r="AK58" s="137">
        <f>Summary_LCIA!AB$32</f>
        <v>-2.1823000000000001E-5</v>
      </c>
      <c r="AL58" s="137">
        <f>Summary_LCIA!AC$32</f>
        <v>4.8884000000000003E-8</v>
      </c>
      <c r="AM58" s="137">
        <f>Summary_LCIA!AD$32</f>
        <v>4.1103999999999999E-4</v>
      </c>
      <c r="AN58" s="137">
        <f>Summary_LCIA!AE$32</f>
        <v>8.8612999999999995E-4</v>
      </c>
      <c r="AO58" s="137">
        <f>Summary_LCIA!AF$32</f>
        <v>8.4542000000000005E-4</v>
      </c>
      <c r="AP58" s="137">
        <f>Summary_LCIA!AG$32</f>
        <v>5.1165000000000002E-5</v>
      </c>
      <c r="AQ58" s="137">
        <f>Summary_LCIA!AH$32</f>
        <v>8.7036000000000006E-3</v>
      </c>
      <c r="AR58" s="137">
        <f>Summary_LCIA!AI$32</f>
        <v>9.3154999999999996E-4</v>
      </c>
      <c r="AT58" s="137">
        <f t="shared" si="3"/>
        <v>110.70582060000001</v>
      </c>
      <c r="AU58" s="137">
        <f t="shared" si="15"/>
        <v>1614.6663629201009</v>
      </c>
      <c r="AV58" s="137">
        <f t="shared" si="16"/>
        <v>1.7155166831999999</v>
      </c>
      <c r="AW58" s="137">
        <f t="shared" si="17"/>
        <v>109.26579786000001</v>
      </c>
      <c r="AX58" s="137">
        <f t="shared" si="18"/>
        <v>35.805090300000003</v>
      </c>
      <c r="AY58" s="137">
        <f t="shared" si="19"/>
        <v>5.8363274580000004</v>
      </c>
      <c r="AZ58" s="137">
        <f t="shared" si="20"/>
        <v>1.5560390517E-2</v>
      </c>
      <c r="BA58" s="137">
        <f t="shared" si="21"/>
        <v>25.076920887</v>
      </c>
      <c r="BB58" s="137">
        <f t="shared" si="22"/>
        <v>7.4216556600000008</v>
      </c>
      <c r="BC58" s="137">
        <f t="shared" si="4"/>
        <v>5.0765688540000005</v>
      </c>
      <c r="BD58" s="137">
        <f t="shared" si="5"/>
        <v>1.3360609173E-2</v>
      </c>
      <c r="BE58" s="137">
        <f t="shared" si="6"/>
        <v>7.6093147319999996</v>
      </c>
      <c r="BF58" s="137">
        <f t="shared" si="7"/>
        <v>-7.1098679310000008E-3</v>
      </c>
      <c r="BG58" s="137">
        <f t="shared" si="8"/>
        <v>1.5926260548000001E-5</v>
      </c>
      <c r="BH58" s="137">
        <f t="shared" si="9"/>
        <v>0.13391559888000001</v>
      </c>
      <c r="BI58" s="137">
        <f t="shared" si="10"/>
        <v>0.28869849560999999</v>
      </c>
      <c r="BJ58" s="137">
        <f t="shared" si="11"/>
        <v>0.27543529974000003</v>
      </c>
      <c r="BK58" s="137">
        <f t="shared" si="12"/>
        <v>1.6669403505000003E-2</v>
      </c>
      <c r="BL58" s="137">
        <f t="shared" si="13"/>
        <v>2.8356067692000004</v>
      </c>
      <c r="BM58" s="137">
        <f t="shared" si="14"/>
        <v>0.30349619535</v>
      </c>
    </row>
    <row r="59" spans="1:65" x14ac:dyDescent="0.25">
      <c r="A59" s="149">
        <v>157</v>
      </c>
      <c r="B59" s="149">
        <v>43</v>
      </c>
      <c r="C59" s="61">
        <v>39.034832000000002</v>
      </c>
      <c r="D59" s="61">
        <v>-76.907473999999993</v>
      </c>
      <c r="E59" s="61" t="s">
        <v>265</v>
      </c>
      <c r="F59" s="149">
        <v>82</v>
      </c>
      <c r="G59" s="61" t="s">
        <v>684</v>
      </c>
      <c r="H59" s="61" t="s">
        <v>685</v>
      </c>
      <c r="I59" s="61">
        <v>39.177404000000003</v>
      </c>
      <c r="J59" s="61">
        <v>-76.668391999999997</v>
      </c>
      <c r="K59" s="61">
        <v>32.055941840000003</v>
      </c>
      <c r="L59" s="61">
        <v>31.834</v>
      </c>
      <c r="M59" s="61" t="s">
        <v>617</v>
      </c>
      <c r="N59" s="149">
        <v>42</v>
      </c>
      <c r="O59" s="149">
        <v>43</v>
      </c>
      <c r="P59" s="61" t="s">
        <v>565</v>
      </c>
      <c r="Q59" s="61" t="s">
        <v>555</v>
      </c>
      <c r="R59" s="61">
        <v>40.6895314</v>
      </c>
      <c r="S59" s="61">
        <v>-74.174462399999996</v>
      </c>
      <c r="T59" s="61">
        <v>328.17399999999998</v>
      </c>
      <c r="U59" s="61" t="s">
        <v>617</v>
      </c>
      <c r="V59" s="61" t="s">
        <v>617</v>
      </c>
      <c r="W59" s="61"/>
      <c r="Y59" s="137">
        <f>Summary_LCIA!H$32</f>
        <v>0.33979999999999999</v>
      </c>
      <c r="Z59" s="137">
        <f>Summary_LCIA!Q$32</f>
        <v>4.9560504329999997</v>
      </c>
      <c r="AA59" s="137">
        <f>Summary_LCIA!R$32</f>
        <v>5.2655999999999996E-3</v>
      </c>
      <c r="AB59" s="137">
        <f>Summary_LCIA!S$32</f>
        <v>0.33538000000000001</v>
      </c>
      <c r="AC59" s="137">
        <f>Summary_LCIA!T$32</f>
        <v>0.1099</v>
      </c>
      <c r="AD59" s="137">
        <f>Summary_LCIA!U$32</f>
        <v>1.7913999999999999E-2</v>
      </c>
      <c r="AE59" s="137">
        <f>Summary_LCIA!V$32</f>
        <v>4.7760999999999999E-5</v>
      </c>
      <c r="AF59" s="137">
        <f>Summary_LCIA!W$32</f>
        <v>7.6970999999999998E-2</v>
      </c>
      <c r="AG59" s="137">
        <f>Summary_LCIA!X$32</f>
        <v>2.2780000000000002E-2</v>
      </c>
      <c r="AH59" s="137">
        <f>Summary_LCIA!Y$32</f>
        <v>1.5582E-2</v>
      </c>
      <c r="AI59" s="137">
        <f>Summary_LCIA!Z$32</f>
        <v>4.1009E-5</v>
      </c>
      <c r="AJ59" s="137">
        <f>Summary_LCIA!AA$32</f>
        <v>2.3355999999999998E-2</v>
      </c>
      <c r="AK59" s="137">
        <f>Summary_LCIA!AB$32</f>
        <v>-2.1823000000000001E-5</v>
      </c>
      <c r="AL59" s="137">
        <f>Summary_LCIA!AC$32</f>
        <v>4.8884000000000003E-8</v>
      </c>
      <c r="AM59" s="137">
        <f>Summary_LCIA!AD$32</f>
        <v>4.1103999999999999E-4</v>
      </c>
      <c r="AN59" s="137">
        <f>Summary_LCIA!AE$32</f>
        <v>8.8612999999999995E-4</v>
      </c>
      <c r="AO59" s="137">
        <f>Summary_LCIA!AF$32</f>
        <v>8.4542000000000005E-4</v>
      </c>
      <c r="AP59" s="137">
        <f>Summary_LCIA!AG$32</f>
        <v>5.1165000000000002E-5</v>
      </c>
      <c r="AQ59" s="137">
        <f>Summary_LCIA!AH$32</f>
        <v>8.7036000000000006E-3</v>
      </c>
      <c r="AR59" s="137">
        <f>Summary_LCIA!AI$32</f>
        <v>9.3154999999999996E-4</v>
      </c>
      <c r="AT59" s="137">
        <f t="shared" si="3"/>
        <v>111.51352519999999</v>
      </c>
      <c r="AU59" s="137">
        <f t="shared" si="15"/>
        <v>1626.4468947993419</v>
      </c>
      <c r="AV59" s="137">
        <f t="shared" si="16"/>
        <v>1.7280330143999998</v>
      </c>
      <c r="AW59" s="137">
        <f t="shared" si="17"/>
        <v>110.06299611999999</v>
      </c>
      <c r="AX59" s="137">
        <f t="shared" si="18"/>
        <v>36.066322599999999</v>
      </c>
      <c r="AY59" s="137">
        <f t="shared" si="19"/>
        <v>5.8789090359999996</v>
      </c>
      <c r="AZ59" s="137">
        <f t="shared" si="20"/>
        <v>1.5673918413999999E-2</v>
      </c>
      <c r="BA59" s="137">
        <f t="shared" si="21"/>
        <v>25.259880953999996</v>
      </c>
      <c r="BB59" s="137">
        <f t="shared" si="22"/>
        <v>7.47580372</v>
      </c>
      <c r="BC59" s="137">
        <f t="shared" si="4"/>
        <v>5.113607268</v>
      </c>
      <c r="BD59" s="137">
        <f t="shared" si="5"/>
        <v>1.3458087565999999E-2</v>
      </c>
      <c r="BE59" s="137">
        <f t="shared" si="6"/>
        <v>7.6648319439999986</v>
      </c>
      <c r="BF59" s="137">
        <f t="shared" si="7"/>
        <v>-7.1617412020000002E-3</v>
      </c>
      <c r="BG59" s="137">
        <f t="shared" si="8"/>
        <v>1.6042457816000001E-5</v>
      </c>
      <c r="BH59" s="137">
        <f t="shared" si="9"/>
        <v>0.13489264095999998</v>
      </c>
      <c r="BI59" s="137">
        <f t="shared" si="10"/>
        <v>0.29080482661999996</v>
      </c>
      <c r="BJ59" s="137">
        <f t="shared" si="11"/>
        <v>0.27744486307999999</v>
      </c>
      <c r="BK59" s="137">
        <f t="shared" si="12"/>
        <v>1.6791022709999999E-2</v>
      </c>
      <c r="BL59" s="137">
        <f t="shared" si="13"/>
        <v>2.8562952263999999</v>
      </c>
      <c r="BM59" s="137">
        <f t="shared" si="14"/>
        <v>0.30571048969999998</v>
      </c>
    </row>
    <row r="60" spans="1:65" x14ac:dyDescent="0.25">
      <c r="A60" s="149">
        <v>111</v>
      </c>
      <c r="B60" s="149">
        <v>43</v>
      </c>
      <c r="C60" s="61">
        <v>39.008927</v>
      </c>
      <c r="D60" s="61">
        <v>-76.895245000000003</v>
      </c>
      <c r="E60" s="61" t="s">
        <v>265</v>
      </c>
      <c r="F60" s="149">
        <v>86</v>
      </c>
      <c r="G60" s="61" t="s">
        <v>630</v>
      </c>
      <c r="H60" s="61" t="s">
        <v>644</v>
      </c>
      <c r="I60" s="61">
        <v>38.851241999999999</v>
      </c>
      <c r="J60" s="61">
        <v>-77.040232000000003</v>
      </c>
      <c r="K60" s="61">
        <v>28.86541089</v>
      </c>
      <c r="L60" s="61">
        <v>30.018999999999998</v>
      </c>
      <c r="M60" s="61" t="s">
        <v>617</v>
      </c>
      <c r="N60" s="149">
        <v>42</v>
      </c>
      <c r="O60" s="149">
        <v>43</v>
      </c>
      <c r="P60" s="61" t="s">
        <v>565</v>
      </c>
      <c r="Q60" s="61" t="s">
        <v>555</v>
      </c>
      <c r="R60" s="61">
        <v>40.6895314</v>
      </c>
      <c r="S60" s="61">
        <v>-74.174462399999996</v>
      </c>
      <c r="T60" s="61">
        <v>329.06599999999997</v>
      </c>
      <c r="U60" s="61" t="s">
        <v>617</v>
      </c>
      <c r="V60" s="61" t="s">
        <v>617</v>
      </c>
      <c r="W60" s="61"/>
      <c r="Y60" s="137">
        <f>Summary_LCIA!H$32</f>
        <v>0.33979999999999999</v>
      </c>
      <c r="Z60" s="137">
        <f>Summary_LCIA!Q$32</f>
        <v>4.9560504329999997</v>
      </c>
      <c r="AA60" s="137">
        <f>Summary_LCIA!R$32</f>
        <v>5.2655999999999996E-3</v>
      </c>
      <c r="AB60" s="137">
        <f>Summary_LCIA!S$32</f>
        <v>0.33538000000000001</v>
      </c>
      <c r="AC60" s="137">
        <f>Summary_LCIA!T$32</f>
        <v>0.1099</v>
      </c>
      <c r="AD60" s="137">
        <f>Summary_LCIA!U$32</f>
        <v>1.7913999999999999E-2</v>
      </c>
      <c r="AE60" s="137">
        <f>Summary_LCIA!V$32</f>
        <v>4.7760999999999999E-5</v>
      </c>
      <c r="AF60" s="137">
        <f>Summary_LCIA!W$32</f>
        <v>7.6970999999999998E-2</v>
      </c>
      <c r="AG60" s="137">
        <f>Summary_LCIA!X$32</f>
        <v>2.2780000000000002E-2</v>
      </c>
      <c r="AH60" s="137">
        <f>Summary_LCIA!Y$32</f>
        <v>1.5582E-2</v>
      </c>
      <c r="AI60" s="137">
        <f>Summary_LCIA!Z$32</f>
        <v>4.1009E-5</v>
      </c>
      <c r="AJ60" s="137">
        <f>Summary_LCIA!AA$32</f>
        <v>2.3355999999999998E-2</v>
      </c>
      <c r="AK60" s="137">
        <f>Summary_LCIA!AB$32</f>
        <v>-2.1823000000000001E-5</v>
      </c>
      <c r="AL60" s="137">
        <f>Summary_LCIA!AC$32</f>
        <v>4.8884000000000003E-8</v>
      </c>
      <c r="AM60" s="137">
        <f>Summary_LCIA!AD$32</f>
        <v>4.1103999999999999E-4</v>
      </c>
      <c r="AN60" s="137">
        <f>Summary_LCIA!AE$32</f>
        <v>8.8612999999999995E-4</v>
      </c>
      <c r="AO60" s="137">
        <f>Summary_LCIA!AF$32</f>
        <v>8.4542000000000005E-4</v>
      </c>
      <c r="AP60" s="137">
        <f>Summary_LCIA!AG$32</f>
        <v>5.1165000000000002E-5</v>
      </c>
      <c r="AQ60" s="137">
        <f>Summary_LCIA!AH$32</f>
        <v>8.7036000000000006E-3</v>
      </c>
      <c r="AR60" s="137">
        <f>Summary_LCIA!AI$32</f>
        <v>9.3154999999999996E-4</v>
      </c>
      <c r="AT60" s="137">
        <f t="shared" si="3"/>
        <v>111.81662679999999</v>
      </c>
      <c r="AU60" s="137">
        <f t="shared" si="15"/>
        <v>1630.8676917855778</v>
      </c>
      <c r="AV60" s="137">
        <f t="shared" si="16"/>
        <v>1.7327299295999998</v>
      </c>
      <c r="AW60" s="137">
        <f t="shared" si="17"/>
        <v>110.36215507999999</v>
      </c>
      <c r="AX60" s="137">
        <f t="shared" si="18"/>
        <v>36.164353399999996</v>
      </c>
      <c r="AY60" s="137">
        <f t="shared" si="19"/>
        <v>5.8948883239999992</v>
      </c>
      <c r="AZ60" s="137">
        <f t="shared" si="20"/>
        <v>1.5716521225999997E-2</v>
      </c>
      <c r="BA60" s="137">
        <f t="shared" si="21"/>
        <v>25.328539085999996</v>
      </c>
      <c r="BB60" s="137">
        <f t="shared" si="22"/>
        <v>7.4961234799999996</v>
      </c>
      <c r="BC60" s="137">
        <f t="shared" si="4"/>
        <v>5.1275064119999998</v>
      </c>
      <c r="BD60" s="137">
        <f t="shared" si="5"/>
        <v>1.3494667593999999E-2</v>
      </c>
      <c r="BE60" s="137">
        <f t="shared" si="6"/>
        <v>7.6856654959999986</v>
      </c>
      <c r="BF60" s="137">
        <f t="shared" si="7"/>
        <v>-7.1812073179999998E-3</v>
      </c>
      <c r="BG60" s="137">
        <f t="shared" si="8"/>
        <v>1.6086062344E-5</v>
      </c>
      <c r="BH60" s="137">
        <f t="shared" si="9"/>
        <v>0.13525928863999997</v>
      </c>
      <c r="BI60" s="137">
        <f t="shared" si="10"/>
        <v>0.29159525457999996</v>
      </c>
      <c r="BJ60" s="137">
        <f t="shared" si="11"/>
        <v>0.27819897772000002</v>
      </c>
      <c r="BK60" s="137">
        <f t="shared" si="12"/>
        <v>1.683666189E-2</v>
      </c>
      <c r="BL60" s="137">
        <f t="shared" si="13"/>
        <v>2.8640588376</v>
      </c>
      <c r="BM60" s="137">
        <f t="shared" si="14"/>
        <v>0.30654143229999997</v>
      </c>
    </row>
    <row r="61" spans="1:65" x14ac:dyDescent="0.25">
      <c r="A61" s="149">
        <v>194</v>
      </c>
      <c r="B61" s="149">
        <v>43</v>
      </c>
      <c r="C61" s="61">
        <v>38.990848999999997</v>
      </c>
      <c r="D61" s="61">
        <v>-76.944141000000002</v>
      </c>
      <c r="E61" s="61" t="s">
        <v>265</v>
      </c>
      <c r="F61" s="149">
        <v>86</v>
      </c>
      <c r="G61" s="61" t="s">
        <v>630</v>
      </c>
      <c r="H61" s="61" t="s">
        <v>644</v>
      </c>
      <c r="I61" s="61">
        <v>38.851241999999999</v>
      </c>
      <c r="J61" s="61">
        <v>-77.040232000000003</v>
      </c>
      <c r="K61" s="61">
        <v>24.195713640000001</v>
      </c>
      <c r="L61" s="61">
        <v>33.975999999999999</v>
      </c>
      <c r="M61" s="61" t="s">
        <v>617</v>
      </c>
      <c r="N61" s="149">
        <v>42</v>
      </c>
      <c r="O61" s="149">
        <v>43</v>
      </c>
      <c r="P61" s="61" t="s">
        <v>565</v>
      </c>
      <c r="Q61" s="61" t="s">
        <v>555</v>
      </c>
      <c r="R61" s="61">
        <v>40.6895314</v>
      </c>
      <c r="S61" s="61">
        <v>-74.174462399999996</v>
      </c>
      <c r="T61" s="61">
        <v>336.69600000000003</v>
      </c>
      <c r="U61" s="61" t="s">
        <v>617</v>
      </c>
      <c r="V61" s="61" t="s">
        <v>617</v>
      </c>
      <c r="W61" s="61"/>
      <c r="Y61" s="137">
        <f>Summary_LCIA!H$32</f>
        <v>0.33979999999999999</v>
      </c>
      <c r="Z61" s="137">
        <f>Summary_LCIA!Q$32</f>
        <v>4.9560504329999997</v>
      </c>
      <c r="AA61" s="137">
        <f>Summary_LCIA!R$32</f>
        <v>5.2655999999999996E-3</v>
      </c>
      <c r="AB61" s="137">
        <f>Summary_LCIA!S$32</f>
        <v>0.33538000000000001</v>
      </c>
      <c r="AC61" s="137">
        <f>Summary_LCIA!T$32</f>
        <v>0.1099</v>
      </c>
      <c r="AD61" s="137">
        <f>Summary_LCIA!U$32</f>
        <v>1.7913999999999999E-2</v>
      </c>
      <c r="AE61" s="137">
        <f>Summary_LCIA!V$32</f>
        <v>4.7760999999999999E-5</v>
      </c>
      <c r="AF61" s="137">
        <f>Summary_LCIA!W$32</f>
        <v>7.6970999999999998E-2</v>
      </c>
      <c r="AG61" s="137">
        <f>Summary_LCIA!X$32</f>
        <v>2.2780000000000002E-2</v>
      </c>
      <c r="AH61" s="137">
        <f>Summary_LCIA!Y$32</f>
        <v>1.5582E-2</v>
      </c>
      <c r="AI61" s="137">
        <f>Summary_LCIA!Z$32</f>
        <v>4.1009E-5</v>
      </c>
      <c r="AJ61" s="137">
        <f>Summary_LCIA!AA$32</f>
        <v>2.3355999999999998E-2</v>
      </c>
      <c r="AK61" s="137">
        <f>Summary_LCIA!AB$32</f>
        <v>-2.1823000000000001E-5</v>
      </c>
      <c r="AL61" s="137">
        <f>Summary_LCIA!AC$32</f>
        <v>4.8884000000000003E-8</v>
      </c>
      <c r="AM61" s="137">
        <f>Summary_LCIA!AD$32</f>
        <v>4.1103999999999999E-4</v>
      </c>
      <c r="AN61" s="137">
        <f>Summary_LCIA!AE$32</f>
        <v>8.8612999999999995E-4</v>
      </c>
      <c r="AO61" s="137">
        <f>Summary_LCIA!AF$32</f>
        <v>8.4542000000000005E-4</v>
      </c>
      <c r="AP61" s="137">
        <f>Summary_LCIA!AG$32</f>
        <v>5.1165000000000002E-5</v>
      </c>
      <c r="AQ61" s="137">
        <f>Summary_LCIA!AH$32</f>
        <v>8.7036000000000006E-3</v>
      </c>
      <c r="AR61" s="137">
        <f>Summary_LCIA!AI$32</f>
        <v>9.3154999999999996E-4</v>
      </c>
      <c r="AT61" s="137">
        <f t="shared" si="3"/>
        <v>114.40930080000001</v>
      </c>
      <c r="AU61" s="137">
        <f t="shared" si="15"/>
        <v>1668.6823565893681</v>
      </c>
      <c r="AV61" s="137">
        <f t="shared" si="16"/>
        <v>1.7729064576</v>
      </c>
      <c r="AW61" s="137">
        <f t="shared" si="17"/>
        <v>112.92110448000001</v>
      </c>
      <c r="AX61" s="137">
        <f t="shared" si="18"/>
        <v>37.002890400000005</v>
      </c>
      <c r="AY61" s="137">
        <f t="shared" si="19"/>
        <v>6.0315721440000001</v>
      </c>
      <c r="AZ61" s="137">
        <f t="shared" si="20"/>
        <v>1.6080937656000001E-2</v>
      </c>
      <c r="BA61" s="137">
        <f t="shared" si="21"/>
        <v>25.915827816</v>
      </c>
      <c r="BB61" s="137">
        <f t="shared" si="22"/>
        <v>7.6699348800000013</v>
      </c>
      <c r="BC61" s="137">
        <f t="shared" si="4"/>
        <v>5.2463970720000006</v>
      </c>
      <c r="BD61" s="137">
        <f t="shared" si="5"/>
        <v>1.3807566264000001E-2</v>
      </c>
      <c r="BE61" s="137">
        <f t="shared" si="6"/>
        <v>7.8638717759999999</v>
      </c>
      <c r="BF61" s="137">
        <f t="shared" si="7"/>
        <v>-7.3477168080000009E-3</v>
      </c>
      <c r="BG61" s="137">
        <f t="shared" si="8"/>
        <v>1.6459047264000001E-5</v>
      </c>
      <c r="BH61" s="137">
        <f t="shared" si="9"/>
        <v>0.13839552384000001</v>
      </c>
      <c r="BI61" s="137">
        <f t="shared" si="10"/>
        <v>0.29835642647999999</v>
      </c>
      <c r="BJ61" s="137">
        <f t="shared" si="11"/>
        <v>0.28464953232000006</v>
      </c>
      <c r="BK61" s="137">
        <f t="shared" si="12"/>
        <v>1.7227050840000001E-2</v>
      </c>
      <c r="BL61" s="137">
        <f t="shared" si="13"/>
        <v>2.9304673056000006</v>
      </c>
      <c r="BM61" s="137">
        <f t="shared" si="14"/>
        <v>0.31364915879999999</v>
      </c>
    </row>
    <row r="62" spans="1:65" x14ac:dyDescent="0.25">
      <c r="A62" s="149">
        <v>195</v>
      </c>
      <c r="B62" s="149">
        <v>43</v>
      </c>
      <c r="C62" s="61">
        <v>38.990848999999997</v>
      </c>
      <c r="D62" s="61">
        <v>-76.944141000000002</v>
      </c>
      <c r="E62" s="61" t="s">
        <v>265</v>
      </c>
      <c r="F62" s="149">
        <v>86</v>
      </c>
      <c r="G62" s="61" t="s">
        <v>630</v>
      </c>
      <c r="H62" s="61" t="s">
        <v>644</v>
      </c>
      <c r="I62" s="61">
        <v>38.851241999999999</v>
      </c>
      <c r="J62" s="61">
        <v>-77.040232000000003</v>
      </c>
      <c r="K62" s="61">
        <v>24.195713640000001</v>
      </c>
      <c r="L62" s="61">
        <v>33.975999999999999</v>
      </c>
      <c r="M62" s="61" t="s">
        <v>617</v>
      </c>
      <c r="N62" s="149">
        <v>42</v>
      </c>
      <c r="O62" s="149">
        <v>43</v>
      </c>
      <c r="P62" s="61" t="s">
        <v>565</v>
      </c>
      <c r="Q62" s="61" t="s">
        <v>555</v>
      </c>
      <c r="R62" s="61">
        <v>40.6895314</v>
      </c>
      <c r="S62" s="61">
        <v>-74.174462399999996</v>
      </c>
      <c r="T62" s="61">
        <v>336.69600000000003</v>
      </c>
      <c r="U62" s="61" t="s">
        <v>617</v>
      </c>
      <c r="V62" s="61" t="s">
        <v>617</v>
      </c>
      <c r="W62" s="61"/>
      <c r="Y62" s="137">
        <f>Summary_LCIA!H$32</f>
        <v>0.33979999999999999</v>
      </c>
      <c r="Z62" s="137">
        <f>Summary_LCIA!Q$32</f>
        <v>4.9560504329999997</v>
      </c>
      <c r="AA62" s="137">
        <f>Summary_LCIA!R$32</f>
        <v>5.2655999999999996E-3</v>
      </c>
      <c r="AB62" s="137">
        <f>Summary_LCIA!S$32</f>
        <v>0.33538000000000001</v>
      </c>
      <c r="AC62" s="137">
        <f>Summary_LCIA!T$32</f>
        <v>0.1099</v>
      </c>
      <c r="AD62" s="137">
        <f>Summary_LCIA!U$32</f>
        <v>1.7913999999999999E-2</v>
      </c>
      <c r="AE62" s="137">
        <f>Summary_LCIA!V$32</f>
        <v>4.7760999999999999E-5</v>
      </c>
      <c r="AF62" s="137">
        <f>Summary_LCIA!W$32</f>
        <v>7.6970999999999998E-2</v>
      </c>
      <c r="AG62" s="137">
        <f>Summary_LCIA!X$32</f>
        <v>2.2780000000000002E-2</v>
      </c>
      <c r="AH62" s="137">
        <f>Summary_LCIA!Y$32</f>
        <v>1.5582E-2</v>
      </c>
      <c r="AI62" s="137">
        <f>Summary_LCIA!Z$32</f>
        <v>4.1009E-5</v>
      </c>
      <c r="AJ62" s="137">
        <f>Summary_LCIA!AA$32</f>
        <v>2.3355999999999998E-2</v>
      </c>
      <c r="AK62" s="137">
        <f>Summary_LCIA!AB$32</f>
        <v>-2.1823000000000001E-5</v>
      </c>
      <c r="AL62" s="137">
        <f>Summary_LCIA!AC$32</f>
        <v>4.8884000000000003E-8</v>
      </c>
      <c r="AM62" s="137">
        <f>Summary_LCIA!AD$32</f>
        <v>4.1103999999999999E-4</v>
      </c>
      <c r="AN62" s="137">
        <f>Summary_LCIA!AE$32</f>
        <v>8.8612999999999995E-4</v>
      </c>
      <c r="AO62" s="137">
        <f>Summary_LCIA!AF$32</f>
        <v>8.4542000000000005E-4</v>
      </c>
      <c r="AP62" s="137">
        <f>Summary_LCIA!AG$32</f>
        <v>5.1165000000000002E-5</v>
      </c>
      <c r="AQ62" s="137">
        <f>Summary_LCIA!AH$32</f>
        <v>8.7036000000000006E-3</v>
      </c>
      <c r="AR62" s="137">
        <f>Summary_LCIA!AI$32</f>
        <v>9.3154999999999996E-4</v>
      </c>
      <c r="AT62" s="137">
        <f t="shared" si="3"/>
        <v>114.40930080000001</v>
      </c>
      <c r="AU62" s="137">
        <f t="shared" si="15"/>
        <v>1668.6823565893681</v>
      </c>
      <c r="AV62" s="137">
        <f t="shared" si="16"/>
        <v>1.7729064576</v>
      </c>
      <c r="AW62" s="137">
        <f t="shared" si="17"/>
        <v>112.92110448000001</v>
      </c>
      <c r="AX62" s="137">
        <f t="shared" si="18"/>
        <v>37.002890400000005</v>
      </c>
      <c r="AY62" s="137">
        <f t="shared" si="19"/>
        <v>6.0315721440000001</v>
      </c>
      <c r="AZ62" s="137">
        <f t="shared" si="20"/>
        <v>1.6080937656000001E-2</v>
      </c>
      <c r="BA62" s="137">
        <f t="shared" si="21"/>
        <v>25.915827816</v>
      </c>
      <c r="BB62" s="137">
        <f t="shared" si="22"/>
        <v>7.6699348800000013</v>
      </c>
      <c r="BC62" s="137">
        <f t="shared" si="4"/>
        <v>5.2463970720000006</v>
      </c>
      <c r="BD62" s="137">
        <f t="shared" si="5"/>
        <v>1.3807566264000001E-2</v>
      </c>
      <c r="BE62" s="137">
        <f t="shared" si="6"/>
        <v>7.8638717759999999</v>
      </c>
      <c r="BF62" s="137">
        <f t="shared" si="7"/>
        <v>-7.3477168080000009E-3</v>
      </c>
      <c r="BG62" s="137">
        <f t="shared" si="8"/>
        <v>1.6459047264000001E-5</v>
      </c>
      <c r="BH62" s="137">
        <f t="shared" si="9"/>
        <v>0.13839552384000001</v>
      </c>
      <c r="BI62" s="137">
        <f t="shared" si="10"/>
        <v>0.29835642647999999</v>
      </c>
      <c r="BJ62" s="137">
        <f t="shared" si="11"/>
        <v>0.28464953232000006</v>
      </c>
      <c r="BK62" s="137">
        <f t="shared" si="12"/>
        <v>1.7227050840000001E-2</v>
      </c>
      <c r="BL62" s="137">
        <f t="shared" si="13"/>
        <v>2.9304673056000006</v>
      </c>
      <c r="BM62" s="137">
        <f t="shared" si="14"/>
        <v>0.31364915879999999</v>
      </c>
    </row>
    <row r="63" spans="1:65" x14ac:dyDescent="0.25">
      <c r="A63" s="149">
        <v>345</v>
      </c>
      <c r="B63" s="149">
        <v>43</v>
      </c>
      <c r="C63" s="61">
        <v>38.990665999999997</v>
      </c>
      <c r="D63" s="61">
        <v>-77.026088000000001</v>
      </c>
      <c r="E63" s="61" t="s">
        <v>265</v>
      </c>
      <c r="F63" s="149">
        <v>86</v>
      </c>
      <c r="G63" s="61" t="s">
        <v>630</v>
      </c>
      <c r="H63" s="61" t="s">
        <v>644</v>
      </c>
      <c r="I63" s="61">
        <v>38.851241999999999</v>
      </c>
      <c r="J63" s="61">
        <v>-77.040232000000003</v>
      </c>
      <c r="K63" s="61">
        <v>22.001929870000001</v>
      </c>
      <c r="L63" s="61">
        <v>20.452000000000002</v>
      </c>
      <c r="M63" s="61" t="s">
        <v>617</v>
      </c>
      <c r="N63" s="149">
        <v>42</v>
      </c>
      <c r="O63" s="149">
        <v>43</v>
      </c>
      <c r="P63" s="61" t="s">
        <v>565</v>
      </c>
      <c r="Q63" s="61" t="s">
        <v>555</v>
      </c>
      <c r="R63" s="61">
        <v>40.6895314</v>
      </c>
      <c r="S63" s="61">
        <v>-74.174462399999996</v>
      </c>
      <c r="T63" s="61">
        <v>338.21699999999998</v>
      </c>
      <c r="U63" s="61" t="s">
        <v>617</v>
      </c>
      <c r="V63" s="61" t="s">
        <v>617</v>
      </c>
      <c r="W63" s="61"/>
      <c r="Y63" s="137">
        <f>Summary_LCIA!H$32</f>
        <v>0.33979999999999999</v>
      </c>
      <c r="Z63" s="137">
        <f>Summary_LCIA!Q$32</f>
        <v>4.9560504329999997</v>
      </c>
      <c r="AA63" s="137">
        <f>Summary_LCIA!R$32</f>
        <v>5.2655999999999996E-3</v>
      </c>
      <c r="AB63" s="137">
        <f>Summary_LCIA!S$32</f>
        <v>0.33538000000000001</v>
      </c>
      <c r="AC63" s="137">
        <f>Summary_LCIA!T$32</f>
        <v>0.1099</v>
      </c>
      <c r="AD63" s="137">
        <f>Summary_LCIA!U$32</f>
        <v>1.7913999999999999E-2</v>
      </c>
      <c r="AE63" s="137">
        <f>Summary_LCIA!V$32</f>
        <v>4.7760999999999999E-5</v>
      </c>
      <c r="AF63" s="137">
        <f>Summary_LCIA!W$32</f>
        <v>7.6970999999999998E-2</v>
      </c>
      <c r="AG63" s="137">
        <f>Summary_LCIA!X$32</f>
        <v>2.2780000000000002E-2</v>
      </c>
      <c r="AH63" s="137">
        <f>Summary_LCIA!Y$32</f>
        <v>1.5582E-2</v>
      </c>
      <c r="AI63" s="137">
        <f>Summary_LCIA!Z$32</f>
        <v>4.1009E-5</v>
      </c>
      <c r="AJ63" s="137">
        <f>Summary_LCIA!AA$32</f>
        <v>2.3355999999999998E-2</v>
      </c>
      <c r="AK63" s="137">
        <f>Summary_LCIA!AB$32</f>
        <v>-2.1823000000000001E-5</v>
      </c>
      <c r="AL63" s="137">
        <f>Summary_LCIA!AC$32</f>
        <v>4.8884000000000003E-8</v>
      </c>
      <c r="AM63" s="137">
        <f>Summary_LCIA!AD$32</f>
        <v>4.1103999999999999E-4</v>
      </c>
      <c r="AN63" s="137">
        <f>Summary_LCIA!AE$32</f>
        <v>8.8612999999999995E-4</v>
      </c>
      <c r="AO63" s="137">
        <f>Summary_LCIA!AF$32</f>
        <v>8.4542000000000005E-4</v>
      </c>
      <c r="AP63" s="137">
        <f>Summary_LCIA!AG$32</f>
        <v>5.1165000000000002E-5</v>
      </c>
      <c r="AQ63" s="137">
        <f>Summary_LCIA!AH$32</f>
        <v>8.7036000000000006E-3</v>
      </c>
      <c r="AR63" s="137">
        <f>Summary_LCIA!AI$32</f>
        <v>9.3154999999999996E-4</v>
      </c>
      <c r="AT63" s="137">
        <f t="shared" si="3"/>
        <v>114.92613659999999</v>
      </c>
      <c r="AU63" s="137">
        <f t="shared" si="15"/>
        <v>1676.2205092979609</v>
      </c>
      <c r="AV63" s="137">
        <f t="shared" si="16"/>
        <v>1.7809154351999998</v>
      </c>
      <c r="AW63" s="137">
        <f t="shared" si="17"/>
        <v>113.43121746</v>
      </c>
      <c r="AX63" s="137">
        <f t="shared" si="18"/>
        <v>37.170048299999998</v>
      </c>
      <c r="AY63" s="137">
        <f t="shared" si="19"/>
        <v>6.0588193379999993</v>
      </c>
      <c r="AZ63" s="137">
        <f t="shared" si="20"/>
        <v>1.6153582136999998E-2</v>
      </c>
      <c r="BA63" s="137">
        <f t="shared" si="21"/>
        <v>26.032900707</v>
      </c>
      <c r="BB63" s="137">
        <f t="shared" si="22"/>
        <v>7.7045832600000006</v>
      </c>
      <c r="BC63" s="137">
        <f t="shared" si="4"/>
        <v>5.2700972940000002</v>
      </c>
      <c r="BD63" s="137">
        <f t="shared" si="5"/>
        <v>1.3869940952999999E-2</v>
      </c>
      <c r="BE63" s="137">
        <f t="shared" si="6"/>
        <v>7.899396251999999</v>
      </c>
      <c r="BF63" s="137">
        <f t="shared" si="7"/>
        <v>-7.3809095910000004E-3</v>
      </c>
      <c r="BG63" s="137">
        <f t="shared" si="8"/>
        <v>1.6533399827999999E-5</v>
      </c>
      <c r="BH63" s="137">
        <f t="shared" si="9"/>
        <v>0.13902071567999999</v>
      </c>
      <c r="BI63" s="137">
        <f t="shared" si="10"/>
        <v>0.29970423020999998</v>
      </c>
      <c r="BJ63" s="137">
        <f t="shared" si="11"/>
        <v>0.28593541614000001</v>
      </c>
      <c r="BK63" s="137">
        <f t="shared" si="12"/>
        <v>1.7304872805E-2</v>
      </c>
      <c r="BL63" s="137">
        <f t="shared" si="13"/>
        <v>2.9437054811999999</v>
      </c>
      <c r="BM63" s="137">
        <f t="shared" si="14"/>
        <v>0.31506604634999996</v>
      </c>
    </row>
    <row r="64" spans="1:65" x14ac:dyDescent="0.25">
      <c r="A64" s="149">
        <v>112</v>
      </c>
      <c r="B64" s="149">
        <v>43</v>
      </c>
      <c r="C64" s="61">
        <v>38.899540000000002</v>
      </c>
      <c r="D64" s="61">
        <v>-77.003996000000001</v>
      </c>
      <c r="E64" s="61" t="s">
        <v>265</v>
      </c>
      <c r="F64" s="149">
        <v>86</v>
      </c>
      <c r="G64" s="61" t="s">
        <v>630</v>
      </c>
      <c r="H64" s="61" t="s">
        <v>644</v>
      </c>
      <c r="I64" s="61">
        <v>38.851241999999999</v>
      </c>
      <c r="J64" s="61">
        <v>-77.040232000000003</v>
      </c>
      <c r="K64" s="61">
        <v>8.4899752769999992</v>
      </c>
      <c r="L64" s="61">
        <v>10.651</v>
      </c>
      <c r="M64" s="61" t="s">
        <v>617</v>
      </c>
      <c r="N64" s="149">
        <v>42</v>
      </c>
      <c r="O64" s="149">
        <v>43</v>
      </c>
      <c r="P64" s="61" t="s">
        <v>565</v>
      </c>
      <c r="Q64" s="61" t="s">
        <v>555</v>
      </c>
      <c r="R64" s="61">
        <v>40.6895314</v>
      </c>
      <c r="S64" s="61">
        <v>-74.174462399999996</v>
      </c>
      <c r="T64" s="61">
        <v>341.99299999999999</v>
      </c>
      <c r="U64" s="61" t="s">
        <v>617</v>
      </c>
      <c r="V64" s="61" t="s">
        <v>617</v>
      </c>
      <c r="W64" s="61"/>
      <c r="Y64" s="137">
        <f>Summary_LCIA!H$32</f>
        <v>0.33979999999999999</v>
      </c>
      <c r="Z64" s="137">
        <f>Summary_LCIA!Q$32</f>
        <v>4.9560504329999997</v>
      </c>
      <c r="AA64" s="137">
        <f>Summary_LCIA!R$32</f>
        <v>5.2655999999999996E-3</v>
      </c>
      <c r="AB64" s="137">
        <f>Summary_LCIA!S$32</f>
        <v>0.33538000000000001</v>
      </c>
      <c r="AC64" s="137">
        <f>Summary_LCIA!T$32</f>
        <v>0.1099</v>
      </c>
      <c r="AD64" s="137">
        <f>Summary_LCIA!U$32</f>
        <v>1.7913999999999999E-2</v>
      </c>
      <c r="AE64" s="137">
        <f>Summary_LCIA!V$32</f>
        <v>4.7760999999999999E-5</v>
      </c>
      <c r="AF64" s="137">
        <f>Summary_LCIA!W$32</f>
        <v>7.6970999999999998E-2</v>
      </c>
      <c r="AG64" s="137">
        <f>Summary_LCIA!X$32</f>
        <v>2.2780000000000002E-2</v>
      </c>
      <c r="AH64" s="137">
        <f>Summary_LCIA!Y$32</f>
        <v>1.5582E-2</v>
      </c>
      <c r="AI64" s="137">
        <f>Summary_LCIA!Z$32</f>
        <v>4.1009E-5</v>
      </c>
      <c r="AJ64" s="137">
        <f>Summary_LCIA!AA$32</f>
        <v>2.3355999999999998E-2</v>
      </c>
      <c r="AK64" s="137">
        <f>Summary_LCIA!AB$32</f>
        <v>-2.1823000000000001E-5</v>
      </c>
      <c r="AL64" s="137">
        <f>Summary_LCIA!AC$32</f>
        <v>4.8884000000000003E-8</v>
      </c>
      <c r="AM64" s="137">
        <f>Summary_LCIA!AD$32</f>
        <v>4.1103999999999999E-4</v>
      </c>
      <c r="AN64" s="137">
        <f>Summary_LCIA!AE$32</f>
        <v>8.8612999999999995E-4</v>
      </c>
      <c r="AO64" s="137">
        <f>Summary_LCIA!AF$32</f>
        <v>8.4542000000000005E-4</v>
      </c>
      <c r="AP64" s="137">
        <f>Summary_LCIA!AG$32</f>
        <v>5.1165000000000002E-5</v>
      </c>
      <c r="AQ64" s="137">
        <f>Summary_LCIA!AH$32</f>
        <v>8.7036000000000006E-3</v>
      </c>
      <c r="AR64" s="137">
        <f>Summary_LCIA!AI$32</f>
        <v>9.3154999999999996E-4</v>
      </c>
      <c r="AT64" s="137">
        <f t="shared" si="3"/>
        <v>116.20922139999999</v>
      </c>
      <c r="AU64" s="137">
        <f t="shared" si="15"/>
        <v>1694.9345557329689</v>
      </c>
      <c r="AV64" s="137">
        <f t="shared" si="16"/>
        <v>1.8007983407999999</v>
      </c>
      <c r="AW64" s="137">
        <f t="shared" si="17"/>
        <v>114.69761234000001</v>
      </c>
      <c r="AX64" s="137">
        <f t="shared" si="18"/>
        <v>37.585030699999997</v>
      </c>
      <c r="AY64" s="137">
        <f t="shared" si="19"/>
        <v>6.1264626019999993</v>
      </c>
      <c r="AZ64" s="137">
        <f t="shared" si="20"/>
        <v>1.6333927673000001E-2</v>
      </c>
      <c r="BA64" s="137">
        <f t="shared" si="21"/>
        <v>26.323543203</v>
      </c>
      <c r="BB64" s="137">
        <f t="shared" si="22"/>
        <v>7.7906005400000007</v>
      </c>
      <c r="BC64" s="137">
        <f t="shared" si="4"/>
        <v>5.3289349259999996</v>
      </c>
      <c r="BD64" s="137">
        <f t="shared" si="5"/>
        <v>1.4024790936999999E-2</v>
      </c>
      <c r="BE64" s="137">
        <f t="shared" si="6"/>
        <v>7.9875885079999991</v>
      </c>
      <c r="BF64" s="137">
        <f t="shared" si="7"/>
        <v>-7.4633132390000004E-3</v>
      </c>
      <c r="BG64" s="137">
        <f t="shared" si="8"/>
        <v>1.6717985812E-5</v>
      </c>
      <c r="BH64" s="137">
        <f t="shared" si="9"/>
        <v>0.14057280272</v>
      </c>
      <c r="BI64" s="137">
        <f t="shared" si="10"/>
        <v>0.30305025709</v>
      </c>
      <c r="BJ64" s="137">
        <f t="shared" si="11"/>
        <v>0.28912772206000004</v>
      </c>
      <c r="BK64" s="137">
        <f t="shared" si="12"/>
        <v>1.7498071845000001E-2</v>
      </c>
      <c r="BL64" s="137">
        <f t="shared" si="13"/>
        <v>2.9765702748000002</v>
      </c>
      <c r="BM64" s="137">
        <f t="shared" si="14"/>
        <v>0.31858357914999996</v>
      </c>
    </row>
    <row r="65" spans="1:65" x14ac:dyDescent="0.25">
      <c r="A65" s="149">
        <v>113</v>
      </c>
      <c r="B65" s="149">
        <v>43</v>
      </c>
      <c r="C65" s="61">
        <v>38.899540000000002</v>
      </c>
      <c r="D65" s="61">
        <v>-77.003996000000001</v>
      </c>
      <c r="E65" s="61" t="s">
        <v>265</v>
      </c>
      <c r="F65" s="149">
        <v>86</v>
      </c>
      <c r="G65" s="61" t="s">
        <v>630</v>
      </c>
      <c r="H65" s="61" t="s">
        <v>644</v>
      </c>
      <c r="I65" s="61">
        <v>38.851241999999999</v>
      </c>
      <c r="J65" s="61">
        <v>-77.040232000000003</v>
      </c>
      <c r="K65" s="61">
        <v>8.4899752769999992</v>
      </c>
      <c r="L65" s="61">
        <v>10.651</v>
      </c>
      <c r="M65" s="61" t="s">
        <v>617</v>
      </c>
      <c r="N65" s="149">
        <v>42</v>
      </c>
      <c r="O65" s="149">
        <v>43</v>
      </c>
      <c r="P65" s="61" t="s">
        <v>565</v>
      </c>
      <c r="Q65" s="61" t="s">
        <v>555</v>
      </c>
      <c r="R65" s="61">
        <v>40.6895314</v>
      </c>
      <c r="S65" s="61">
        <v>-74.174462399999996</v>
      </c>
      <c r="T65" s="61">
        <v>341.99299999999999</v>
      </c>
      <c r="U65" s="61" t="s">
        <v>617</v>
      </c>
      <c r="V65" s="61" t="s">
        <v>617</v>
      </c>
      <c r="W65" s="61"/>
      <c r="Y65" s="137">
        <f>Summary_LCIA!H$32</f>
        <v>0.33979999999999999</v>
      </c>
      <c r="Z65" s="137">
        <f>Summary_LCIA!Q$32</f>
        <v>4.9560504329999997</v>
      </c>
      <c r="AA65" s="137">
        <f>Summary_LCIA!R$32</f>
        <v>5.2655999999999996E-3</v>
      </c>
      <c r="AB65" s="137">
        <f>Summary_LCIA!S$32</f>
        <v>0.33538000000000001</v>
      </c>
      <c r="AC65" s="137">
        <f>Summary_LCIA!T$32</f>
        <v>0.1099</v>
      </c>
      <c r="AD65" s="137">
        <f>Summary_LCIA!U$32</f>
        <v>1.7913999999999999E-2</v>
      </c>
      <c r="AE65" s="137">
        <f>Summary_LCIA!V$32</f>
        <v>4.7760999999999999E-5</v>
      </c>
      <c r="AF65" s="137">
        <f>Summary_LCIA!W$32</f>
        <v>7.6970999999999998E-2</v>
      </c>
      <c r="AG65" s="137">
        <f>Summary_LCIA!X$32</f>
        <v>2.2780000000000002E-2</v>
      </c>
      <c r="AH65" s="137">
        <f>Summary_LCIA!Y$32</f>
        <v>1.5582E-2</v>
      </c>
      <c r="AI65" s="137">
        <f>Summary_LCIA!Z$32</f>
        <v>4.1009E-5</v>
      </c>
      <c r="AJ65" s="137">
        <f>Summary_LCIA!AA$32</f>
        <v>2.3355999999999998E-2</v>
      </c>
      <c r="AK65" s="137">
        <f>Summary_LCIA!AB$32</f>
        <v>-2.1823000000000001E-5</v>
      </c>
      <c r="AL65" s="137">
        <f>Summary_LCIA!AC$32</f>
        <v>4.8884000000000003E-8</v>
      </c>
      <c r="AM65" s="137">
        <f>Summary_LCIA!AD$32</f>
        <v>4.1103999999999999E-4</v>
      </c>
      <c r="AN65" s="137">
        <f>Summary_LCIA!AE$32</f>
        <v>8.8612999999999995E-4</v>
      </c>
      <c r="AO65" s="137">
        <f>Summary_LCIA!AF$32</f>
        <v>8.4542000000000005E-4</v>
      </c>
      <c r="AP65" s="137">
        <f>Summary_LCIA!AG$32</f>
        <v>5.1165000000000002E-5</v>
      </c>
      <c r="AQ65" s="137">
        <f>Summary_LCIA!AH$32</f>
        <v>8.7036000000000006E-3</v>
      </c>
      <c r="AR65" s="137">
        <f>Summary_LCIA!AI$32</f>
        <v>9.3154999999999996E-4</v>
      </c>
      <c r="AT65" s="137">
        <f t="shared" si="3"/>
        <v>116.20922139999999</v>
      </c>
      <c r="AU65" s="137">
        <f t="shared" si="15"/>
        <v>1694.9345557329689</v>
      </c>
      <c r="AV65" s="137">
        <f t="shared" si="16"/>
        <v>1.8007983407999999</v>
      </c>
      <c r="AW65" s="137">
        <f t="shared" si="17"/>
        <v>114.69761234000001</v>
      </c>
      <c r="AX65" s="137">
        <f t="shared" si="18"/>
        <v>37.585030699999997</v>
      </c>
      <c r="AY65" s="137">
        <f t="shared" si="19"/>
        <v>6.1264626019999993</v>
      </c>
      <c r="AZ65" s="137">
        <f t="shared" si="20"/>
        <v>1.6333927673000001E-2</v>
      </c>
      <c r="BA65" s="137">
        <f t="shared" si="21"/>
        <v>26.323543203</v>
      </c>
      <c r="BB65" s="137">
        <f t="shared" si="22"/>
        <v>7.7906005400000007</v>
      </c>
      <c r="BC65" s="137">
        <f t="shared" si="4"/>
        <v>5.3289349259999996</v>
      </c>
      <c r="BD65" s="137">
        <f t="shared" si="5"/>
        <v>1.4024790936999999E-2</v>
      </c>
      <c r="BE65" s="137">
        <f t="shared" si="6"/>
        <v>7.9875885079999991</v>
      </c>
      <c r="BF65" s="137">
        <f t="shared" si="7"/>
        <v>-7.4633132390000004E-3</v>
      </c>
      <c r="BG65" s="137">
        <f t="shared" si="8"/>
        <v>1.6717985812E-5</v>
      </c>
      <c r="BH65" s="137">
        <f t="shared" si="9"/>
        <v>0.14057280272</v>
      </c>
      <c r="BI65" s="137">
        <f t="shared" si="10"/>
        <v>0.30305025709</v>
      </c>
      <c r="BJ65" s="137">
        <f t="shared" si="11"/>
        <v>0.28912772206000004</v>
      </c>
      <c r="BK65" s="137">
        <f t="shared" si="12"/>
        <v>1.7498071845000001E-2</v>
      </c>
      <c r="BL65" s="137">
        <f t="shared" si="13"/>
        <v>2.9765702748000002</v>
      </c>
      <c r="BM65" s="137">
        <f t="shared" si="14"/>
        <v>0.31858357914999996</v>
      </c>
    </row>
    <row r="66" spans="1:65" x14ac:dyDescent="0.25">
      <c r="A66" s="149">
        <v>57</v>
      </c>
      <c r="B66" s="149">
        <v>43</v>
      </c>
      <c r="C66" s="61">
        <v>38.898505</v>
      </c>
      <c r="D66" s="61">
        <v>-77.010475</v>
      </c>
      <c r="E66" s="61" t="s">
        <v>265</v>
      </c>
      <c r="F66" s="149">
        <v>86</v>
      </c>
      <c r="G66" s="61" t="s">
        <v>630</v>
      </c>
      <c r="H66" s="61" t="s">
        <v>644</v>
      </c>
      <c r="I66" s="61">
        <v>38.851241999999999</v>
      </c>
      <c r="J66" s="61">
        <v>-77.040232000000003</v>
      </c>
      <c r="K66" s="61">
        <v>8.0893784039999996</v>
      </c>
      <c r="L66" s="61">
        <v>9.125</v>
      </c>
      <c r="M66" s="61" t="s">
        <v>617</v>
      </c>
      <c r="N66" s="149">
        <v>42</v>
      </c>
      <c r="O66" s="149">
        <v>43</v>
      </c>
      <c r="P66" s="61" t="s">
        <v>565</v>
      </c>
      <c r="Q66" s="61" t="s">
        <v>555</v>
      </c>
      <c r="R66" s="61">
        <v>40.6895314</v>
      </c>
      <c r="S66" s="61">
        <v>-74.174462399999996</v>
      </c>
      <c r="T66" s="61">
        <v>342.65800000000002</v>
      </c>
      <c r="U66" s="61" t="s">
        <v>617</v>
      </c>
      <c r="V66" s="61" t="s">
        <v>617</v>
      </c>
      <c r="W66" s="61"/>
      <c r="Y66" s="137">
        <f>Summary_LCIA!H$32</f>
        <v>0.33979999999999999</v>
      </c>
      <c r="Z66" s="137">
        <f>Summary_LCIA!Q$32</f>
        <v>4.9560504329999997</v>
      </c>
      <c r="AA66" s="137">
        <f>Summary_LCIA!R$32</f>
        <v>5.2655999999999996E-3</v>
      </c>
      <c r="AB66" s="137">
        <f>Summary_LCIA!S$32</f>
        <v>0.33538000000000001</v>
      </c>
      <c r="AC66" s="137">
        <f>Summary_LCIA!T$32</f>
        <v>0.1099</v>
      </c>
      <c r="AD66" s="137">
        <f>Summary_LCIA!U$32</f>
        <v>1.7913999999999999E-2</v>
      </c>
      <c r="AE66" s="137">
        <f>Summary_LCIA!V$32</f>
        <v>4.7760999999999999E-5</v>
      </c>
      <c r="AF66" s="137">
        <f>Summary_LCIA!W$32</f>
        <v>7.6970999999999998E-2</v>
      </c>
      <c r="AG66" s="137">
        <f>Summary_LCIA!X$32</f>
        <v>2.2780000000000002E-2</v>
      </c>
      <c r="AH66" s="137">
        <f>Summary_LCIA!Y$32</f>
        <v>1.5582E-2</v>
      </c>
      <c r="AI66" s="137">
        <f>Summary_LCIA!Z$32</f>
        <v>4.1009E-5</v>
      </c>
      <c r="AJ66" s="137">
        <f>Summary_LCIA!AA$32</f>
        <v>2.3355999999999998E-2</v>
      </c>
      <c r="AK66" s="137">
        <f>Summary_LCIA!AB$32</f>
        <v>-2.1823000000000001E-5</v>
      </c>
      <c r="AL66" s="137">
        <f>Summary_LCIA!AC$32</f>
        <v>4.8884000000000003E-8</v>
      </c>
      <c r="AM66" s="137">
        <f>Summary_LCIA!AD$32</f>
        <v>4.1103999999999999E-4</v>
      </c>
      <c r="AN66" s="137">
        <f>Summary_LCIA!AE$32</f>
        <v>8.8612999999999995E-4</v>
      </c>
      <c r="AO66" s="137">
        <f>Summary_LCIA!AF$32</f>
        <v>8.4542000000000005E-4</v>
      </c>
      <c r="AP66" s="137">
        <f>Summary_LCIA!AG$32</f>
        <v>5.1165000000000002E-5</v>
      </c>
      <c r="AQ66" s="137">
        <f>Summary_LCIA!AH$32</f>
        <v>8.7036000000000006E-3</v>
      </c>
      <c r="AR66" s="137">
        <f>Summary_LCIA!AI$32</f>
        <v>9.3154999999999996E-4</v>
      </c>
      <c r="AT66" s="137">
        <f t="shared" si="3"/>
        <v>116.4351884</v>
      </c>
      <c r="AU66" s="137">
        <f t="shared" si="15"/>
        <v>1698.2303292709139</v>
      </c>
      <c r="AV66" s="137">
        <f t="shared" si="16"/>
        <v>1.8042999648</v>
      </c>
      <c r="AW66" s="137">
        <f t="shared" si="17"/>
        <v>114.92064004000001</v>
      </c>
      <c r="AX66" s="137">
        <f t="shared" si="18"/>
        <v>37.6581142</v>
      </c>
      <c r="AY66" s="137">
        <f t="shared" si="19"/>
        <v>6.1383754120000003</v>
      </c>
      <c r="AZ66" s="137">
        <f t="shared" si="20"/>
        <v>1.6365688738000001E-2</v>
      </c>
      <c r="BA66" s="137">
        <f t="shared" si="21"/>
        <v>26.374728917999999</v>
      </c>
      <c r="BB66" s="137">
        <f t="shared" si="22"/>
        <v>7.8057492400000008</v>
      </c>
      <c r="BC66" s="137">
        <f t="shared" si="4"/>
        <v>5.3392969560000001</v>
      </c>
      <c r="BD66" s="137">
        <f t="shared" si="5"/>
        <v>1.4052061922E-2</v>
      </c>
      <c r="BE66" s="137">
        <f t="shared" si="6"/>
        <v>8.0031202480000001</v>
      </c>
      <c r="BF66" s="137">
        <f t="shared" si="7"/>
        <v>-7.4778255340000009E-3</v>
      </c>
      <c r="BG66" s="137">
        <f t="shared" si="8"/>
        <v>1.6750493672000002E-5</v>
      </c>
      <c r="BH66" s="137">
        <f t="shared" si="9"/>
        <v>0.14084614432000001</v>
      </c>
      <c r="BI66" s="137">
        <f t="shared" si="10"/>
        <v>0.30363953354000001</v>
      </c>
      <c r="BJ66" s="137">
        <f t="shared" si="11"/>
        <v>0.28968992636000002</v>
      </c>
      <c r="BK66" s="137">
        <f t="shared" si="12"/>
        <v>1.7532096570000003E-2</v>
      </c>
      <c r="BL66" s="137">
        <f t="shared" si="13"/>
        <v>2.9823581688000003</v>
      </c>
      <c r="BM66" s="137">
        <f t="shared" si="14"/>
        <v>0.31920305989999997</v>
      </c>
    </row>
    <row r="67" spans="1:65" x14ac:dyDescent="0.25">
      <c r="A67" s="149">
        <v>370</v>
      </c>
      <c r="B67" s="149">
        <v>43</v>
      </c>
      <c r="C67" s="61">
        <v>38.907192000000002</v>
      </c>
      <c r="D67" s="61">
        <v>-77.036871000000005</v>
      </c>
      <c r="E67" s="61" t="s">
        <v>265</v>
      </c>
      <c r="F67" s="149">
        <v>86</v>
      </c>
      <c r="G67" s="61" t="s">
        <v>630</v>
      </c>
      <c r="H67" s="61" t="s">
        <v>644</v>
      </c>
      <c r="I67" s="61">
        <v>38.851241999999999</v>
      </c>
      <c r="J67" s="61">
        <v>-77.040232000000003</v>
      </c>
      <c r="K67" s="61">
        <v>8.800194329</v>
      </c>
      <c r="L67" s="61">
        <v>8.4060000000000006</v>
      </c>
      <c r="M67" s="61" t="s">
        <v>617</v>
      </c>
      <c r="N67" s="149">
        <v>42</v>
      </c>
      <c r="O67" s="149">
        <v>43</v>
      </c>
      <c r="P67" s="61" t="s">
        <v>565</v>
      </c>
      <c r="Q67" s="61" t="s">
        <v>555</v>
      </c>
      <c r="R67" s="61">
        <v>40.6895314</v>
      </c>
      <c r="S67" s="61">
        <v>-74.174462399999996</v>
      </c>
      <c r="T67" s="61">
        <v>344.01499999999999</v>
      </c>
      <c r="U67" s="61" t="s">
        <v>617</v>
      </c>
      <c r="V67" s="61" t="s">
        <v>617</v>
      </c>
      <c r="W67" s="61"/>
      <c r="Y67" s="137">
        <f>Summary_LCIA!H$32</f>
        <v>0.33979999999999999</v>
      </c>
      <c r="Z67" s="137">
        <f>Summary_LCIA!Q$32</f>
        <v>4.9560504329999997</v>
      </c>
      <c r="AA67" s="137">
        <f>Summary_LCIA!R$32</f>
        <v>5.2655999999999996E-3</v>
      </c>
      <c r="AB67" s="137">
        <f>Summary_LCIA!S$32</f>
        <v>0.33538000000000001</v>
      </c>
      <c r="AC67" s="137">
        <f>Summary_LCIA!T$32</f>
        <v>0.1099</v>
      </c>
      <c r="AD67" s="137">
        <f>Summary_LCIA!U$32</f>
        <v>1.7913999999999999E-2</v>
      </c>
      <c r="AE67" s="137">
        <f>Summary_LCIA!V$32</f>
        <v>4.7760999999999999E-5</v>
      </c>
      <c r="AF67" s="137">
        <f>Summary_LCIA!W$32</f>
        <v>7.6970999999999998E-2</v>
      </c>
      <c r="AG67" s="137">
        <f>Summary_LCIA!X$32</f>
        <v>2.2780000000000002E-2</v>
      </c>
      <c r="AH67" s="137">
        <f>Summary_LCIA!Y$32</f>
        <v>1.5582E-2</v>
      </c>
      <c r="AI67" s="137">
        <f>Summary_LCIA!Z$32</f>
        <v>4.1009E-5</v>
      </c>
      <c r="AJ67" s="137">
        <f>Summary_LCIA!AA$32</f>
        <v>2.3355999999999998E-2</v>
      </c>
      <c r="AK67" s="137">
        <f>Summary_LCIA!AB$32</f>
        <v>-2.1823000000000001E-5</v>
      </c>
      <c r="AL67" s="137">
        <f>Summary_LCIA!AC$32</f>
        <v>4.8884000000000003E-8</v>
      </c>
      <c r="AM67" s="137">
        <f>Summary_LCIA!AD$32</f>
        <v>4.1103999999999999E-4</v>
      </c>
      <c r="AN67" s="137">
        <f>Summary_LCIA!AE$32</f>
        <v>8.8612999999999995E-4</v>
      </c>
      <c r="AO67" s="137">
        <f>Summary_LCIA!AF$32</f>
        <v>8.4542000000000005E-4</v>
      </c>
      <c r="AP67" s="137">
        <f>Summary_LCIA!AG$32</f>
        <v>5.1165000000000002E-5</v>
      </c>
      <c r="AQ67" s="137">
        <f>Summary_LCIA!AH$32</f>
        <v>8.7036000000000006E-3</v>
      </c>
      <c r="AR67" s="137">
        <f>Summary_LCIA!AI$32</f>
        <v>9.3154999999999996E-4</v>
      </c>
      <c r="AT67" s="137">
        <f t="shared" ref="AT67:AT112" si="23">$T67*Y67</f>
        <v>116.89629699999999</v>
      </c>
      <c r="AU67" s="137">
        <f t="shared" si="15"/>
        <v>1704.9556897084949</v>
      </c>
      <c r="AV67" s="137">
        <f t="shared" si="16"/>
        <v>1.8114453839999998</v>
      </c>
      <c r="AW67" s="137">
        <f t="shared" si="17"/>
        <v>115.3757507</v>
      </c>
      <c r="AX67" s="137">
        <f t="shared" si="18"/>
        <v>37.8072485</v>
      </c>
      <c r="AY67" s="137">
        <f t="shared" si="19"/>
        <v>6.1626847099999997</v>
      </c>
      <c r="AZ67" s="137">
        <f t="shared" si="20"/>
        <v>1.6430500415E-2</v>
      </c>
      <c r="BA67" s="137">
        <f t="shared" si="21"/>
        <v>26.479178564999998</v>
      </c>
      <c r="BB67" s="137">
        <f t="shared" si="22"/>
        <v>7.8366617000000005</v>
      </c>
      <c r="BC67" s="137">
        <f t="shared" si="4"/>
        <v>5.3604417299999998</v>
      </c>
      <c r="BD67" s="137">
        <f t="shared" si="5"/>
        <v>1.4107711134999999E-2</v>
      </c>
      <c r="BE67" s="137">
        <f t="shared" si="6"/>
        <v>8.0348143399999987</v>
      </c>
      <c r="BF67" s="137">
        <f t="shared" si="7"/>
        <v>-7.5074393450000002E-3</v>
      </c>
      <c r="BG67" s="137">
        <f t="shared" si="8"/>
        <v>1.6816829259999999E-5</v>
      </c>
      <c r="BH67" s="137">
        <f t="shared" si="9"/>
        <v>0.14140392559999998</v>
      </c>
      <c r="BI67" s="137">
        <f t="shared" si="10"/>
        <v>0.30484201194999999</v>
      </c>
      <c r="BJ67" s="137">
        <f t="shared" si="11"/>
        <v>0.29083716129999998</v>
      </c>
      <c r="BK67" s="137">
        <f t="shared" si="12"/>
        <v>1.7601527475E-2</v>
      </c>
      <c r="BL67" s="137">
        <f t="shared" si="13"/>
        <v>2.994168954</v>
      </c>
      <c r="BM67" s="137">
        <f t="shared" si="14"/>
        <v>0.32046717324999996</v>
      </c>
    </row>
    <row r="68" spans="1:65" x14ac:dyDescent="0.25">
      <c r="A68" s="149">
        <v>371</v>
      </c>
      <c r="B68" s="149">
        <v>43</v>
      </c>
      <c r="C68" s="61">
        <v>38.907192000000002</v>
      </c>
      <c r="D68" s="61">
        <v>-77.036871000000005</v>
      </c>
      <c r="E68" s="61" t="s">
        <v>265</v>
      </c>
      <c r="F68" s="149">
        <v>86</v>
      </c>
      <c r="G68" s="61" t="s">
        <v>630</v>
      </c>
      <c r="H68" s="61" t="s">
        <v>644</v>
      </c>
      <c r="I68" s="61">
        <v>38.851241999999999</v>
      </c>
      <c r="J68" s="61">
        <v>-77.040232000000003</v>
      </c>
      <c r="K68" s="61">
        <v>8.800194329</v>
      </c>
      <c r="L68" s="61">
        <v>8.4060000000000006</v>
      </c>
      <c r="M68" s="61" t="s">
        <v>617</v>
      </c>
      <c r="N68" s="149">
        <v>42</v>
      </c>
      <c r="O68" s="149">
        <v>43</v>
      </c>
      <c r="P68" s="61" t="s">
        <v>565</v>
      </c>
      <c r="Q68" s="61" t="s">
        <v>555</v>
      </c>
      <c r="R68" s="61">
        <v>40.6895314</v>
      </c>
      <c r="S68" s="61">
        <v>-74.174462399999996</v>
      </c>
      <c r="T68" s="61">
        <v>344.01499999999999</v>
      </c>
      <c r="U68" s="61" t="s">
        <v>617</v>
      </c>
      <c r="V68" s="61" t="s">
        <v>617</v>
      </c>
      <c r="W68" s="61"/>
      <c r="Y68" s="137">
        <f>Summary_LCIA!H$32</f>
        <v>0.33979999999999999</v>
      </c>
      <c r="Z68" s="137">
        <f>Summary_LCIA!Q$32</f>
        <v>4.9560504329999997</v>
      </c>
      <c r="AA68" s="137">
        <f>Summary_LCIA!R$32</f>
        <v>5.2655999999999996E-3</v>
      </c>
      <c r="AB68" s="137">
        <f>Summary_LCIA!S$32</f>
        <v>0.33538000000000001</v>
      </c>
      <c r="AC68" s="137">
        <f>Summary_LCIA!T$32</f>
        <v>0.1099</v>
      </c>
      <c r="AD68" s="137">
        <f>Summary_LCIA!U$32</f>
        <v>1.7913999999999999E-2</v>
      </c>
      <c r="AE68" s="137">
        <f>Summary_LCIA!V$32</f>
        <v>4.7760999999999999E-5</v>
      </c>
      <c r="AF68" s="137">
        <f>Summary_LCIA!W$32</f>
        <v>7.6970999999999998E-2</v>
      </c>
      <c r="AG68" s="137">
        <f>Summary_LCIA!X$32</f>
        <v>2.2780000000000002E-2</v>
      </c>
      <c r="AH68" s="137">
        <f>Summary_LCIA!Y$32</f>
        <v>1.5582E-2</v>
      </c>
      <c r="AI68" s="137">
        <f>Summary_LCIA!Z$32</f>
        <v>4.1009E-5</v>
      </c>
      <c r="AJ68" s="137">
        <f>Summary_LCIA!AA$32</f>
        <v>2.3355999999999998E-2</v>
      </c>
      <c r="AK68" s="137">
        <f>Summary_LCIA!AB$32</f>
        <v>-2.1823000000000001E-5</v>
      </c>
      <c r="AL68" s="137">
        <f>Summary_LCIA!AC$32</f>
        <v>4.8884000000000003E-8</v>
      </c>
      <c r="AM68" s="137">
        <f>Summary_LCIA!AD$32</f>
        <v>4.1103999999999999E-4</v>
      </c>
      <c r="AN68" s="137">
        <f>Summary_LCIA!AE$32</f>
        <v>8.8612999999999995E-4</v>
      </c>
      <c r="AO68" s="137">
        <f>Summary_LCIA!AF$32</f>
        <v>8.4542000000000005E-4</v>
      </c>
      <c r="AP68" s="137">
        <f>Summary_LCIA!AG$32</f>
        <v>5.1165000000000002E-5</v>
      </c>
      <c r="AQ68" s="137">
        <f>Summary_LCIA!AH$32</f>
        <v>8.7036000000000006E-3</v>
      </c>
      <c r="AR68" s="137">
        <f>Summary_LCIA!AI$32</f>
        <v>9.3154999999999996E-4</v>
      </c>
      <c r="AT68" s="137">
        <f t="shared" si="23"/>
        <v>116.89629699999999</v>
      </c>
      <c r="AU68" s="137">
        <f t="shared" si="15"/>
        <v>1704.9556897084949</v>
      </c>
      <c r="AV68" s="137">
        <f t="shared" si="16"/>
        <v>1.8114453839999998</v>
      </c>
      <c r="AW68" s="137">
        <f t="shared" si="17"/>
        <v>115.3757507</v>
      </c>
      <c r="AX68" s="137">
        <f t="shared" si="18"/>
        <v>37.8072485</v>
      </c>
      <c r="AY68" s="137">
        <f t="shared" si="19"/>
        <v>6.1626847099999997</v>
      </c>
      <c r="AZ68" s="137">
        <f t="shared" si="20"/>
        <v>1.6430500415E-2</v>
      </c>
      <c r="BA68" s="137">
        <f t="shared" si="21"/>
        <v>26.479178564999998</v>
      </c>
      <c r="BB68" s="137">
        <f t="shared" si="22"/>
        <v>7.8366617000000005</v>
      </c>
      <c r="BC68" s="137">
        <f t="shared" si="4"/>
        <v>5.3604417299999998</v>
      </c>
      <c r="BD68" s="137">
        <f t="shared" si="5"/>
        <v>1.4107711134999999E-2</v>
      </c>
      <c r="BE68" s="137">
        <f t="shared" si="6"/>
        <v>8.0348143399999987</v>
      </c>
      <c r="BF68" s="137">
        <f t="shared" si="7"/>
        <v>-7.5074393450000002E-3</v>
      </c>
      <c r="BG68" s="137">
        <f t="shared" si="8"/>
        <v>1.6816829259999999E-5</v>
      </c>
      <c r="BH68" s="137">
        <f t="shared" si="9"/>
        <v>0.14140392559999998</v>
      </c>
      <c r="BI68" s="137">
        <f t="shared" si="10"/>
        <v>0.30484201194999999</v>
      </c>
      <c r="BJ68" s="137">
        <f t="shared" si="11"/>
        <v>0.29083716129999998</v>
      </c>
      <c r="BK68" s="137">
        <f t="shared" si="12"/>
        <v>1.7601527475E-2</v>
      </c>
      <c r="BL68" s="137">
        <f t="shared" si="13"/>
        <v>2.994168954</v>
      </c>
      <c r="BM68" s="137">
        <f t="shared" si="14"/>
        <v>0.32046717324999996</v>
      </c>
    </row>
    <row r="69" spans="1:65" x14ac:dyDescent="0.25">
      <c r="A69" s="149">
        <v>372</v>
      </c>
      <c r="B69" s="149">
        <v>43</v>
      </c>
      <c r="C69" s="61">
        <v>38.907192000000002</v>
      </c>
      <c r="D69" s="61">
        <v>-77.036871000000005</v>
      </c>
      <c r="E69" s="61" t="s">
        <v>265</v>
      </c>
      <c r="F69" s="149">
        <v>86</v>
      </c>
      <c r="G69" s="61" t="s">
        <v>630</v>
      </c>
      <c r="H69" s="61" t="s">
        <v>644</v>
      </c>
      <c r="I69" s="61">
        <v>38.851241999999999</v>
      </c>
      <c r="J69" s="61">
        <v>-77.040232000000003</v>
      </c>
      <c r="K69" s="61">
        <v>8.800194329</v>
      </c>
      <c r="L69" s="61">
        <v>8.4060000000000006</v>
      </c>
      <c r="M69" s="61" t="s">
        <v>617</v>
      </c>
      <c r="N69" s="149">
        <v>42</v>
      </c>
      <c r="O69" s="149">
        <v>43</v>
      </c>
      <c r="P69" s="61" t="s">
        <v>565</v>
      </c>
      <c r="Q69" s="61" t="s">
        <v>555</v>
      </c>
      <c r="R69" s="61">
        <v>40.6895314</v>
      </c>
      <c r="S69" s="61">
        <v>-74.174462399999996</v>
      </c>
      <c r="T69" s="61">
        <v>344.01499999999999</v>
      </c>
      <c r="U69" s="61" t="s">
        <v>617</v>
      </c>
      <c r="V69" s="61" t="s">
        <v>617</v>
      </c>
      <c r="W69" s="61"/>
      <c r="Y69" s="137">
        <f>Summary_LCIA!H$32</f>
        <v>0.33979999999999999</v>
      </c>
      <c r="Z69" s="137">
        <f>Summary_LCIA!Q$32</f>
        <v>4.9560504329999997</v>
      </c>
      <c r="AA69" s="137">
        <f>Summary_LCIA!R$32</f>
        <v>5.2655999999999996E-3</v>
      </c>
      <c r="AB69" s="137">
        <f>Summary_LCIA!S$32</f>
        <v>0.33538000000000001</v>
      </c>
      <c r="AC69" s="137">
        <f>Summary_LCIA!T$32</f>
        <v>0.1099</v>
      </c>
      <c r="AD69" s="137">
        <f>Summary_LCIA!U$32</f>
        <v>1.7913999999999999E-2</v>
      </c>
      <c r="AE69" s="137">
        <f>Summary_LCIA!V$32</f>
        <v>4.7760999999999999E-5</v>
      </c>
      <c r="AF69" s="137">
        <f>Summary_LCIA!W$32</f>
        <v>7.6970999999999998E-2</v>
      </c>
      <c r="AG69" s="137">
        <f>Summary_LCIA!X$32</f>
        <v>2.2780000000000002E-2</v>
      </c>
      <c r="AH69" s="137">
        <f>Summary_LCIA!Y$32</f>
        <v>1.5582E-2</v>
      </c>
      <c r="AI69" s="137">
        <f>Summary_LCIA!Z$32</f>
        <v>4.1009E-5</v>
      </c>
      <c r="AJ69" s="137">
        <f>Summary_LCIA!AA$32</f>
        <v>2.3355999999999998E-2</v>
      </c>
      <c r="AK69" s="137">
        <f>Summary_LCIA!AB$32</f>
        <v>-2.1823000000000001E-5</v>
      </c>
      <c r="AL69" s="137">
        <f>Summary_LCIA!AC$32</f>
        <v>4.8884000000000003E-8</v>
      </c>
      <c r="AM69" s="137">
        <f>Summary_LCIA!AD$32</f>
        <v>4.1103999999999999E-4</v>
      </c>
      <c r="AN69" s="137">
        <f>Summary_LCIA!AE$32</f>
        <v>8.8612999999999995E-4</v>
      </c>
      <c r="AO69" s="137">
        <f>Summary_LCIA!AF$32</f>
        <v>8.4542000000000005E-4</v>
      </c>
      <c r="AP69" s="137">
        <f>Summary_LCIA!AG$32</f>
        <v>5.1165000000000002E-5</v>
      </c>
      <c r="AQ69" s="137">
        <f>Summary_LCIA!AH$32</f>
        <v>8.7036000000000006E-3</v>
      </c>
      <c r="AR69" s="137">
        <f>Summary_LCIA!AI$32</f>
        <v>9.3154999999999996E-4</v>
      </c>
      <c r="AT69" s="137">
        <f t="shared" si="23"/>
        <v>116.89629699999999</v>
      </c>
      <c r="AU69" s="137">
        <f t="shared" si="15"/>
        <v>1704.9556897084949</v>
      </c>
      <c r="AV69" s="137">
        <f t="shared" si="16"/>
        <v>1.8114453839999998</v>
      </c>
      <c r="AW69" s="137">
        <f t="shared" si="17"/>
        <v>115.3757507</v>
      </c>
      <c r="AX69" s="137">
        <f t="shared" si="18"/>
        <v>37.8072485</v>
      </c>
      <c r="AY69" s="137">
        <f t="shared" si="19"/>
        <v>6.1626847099999997</v>
      </c>
      <c r="AZ69" s="137">
        <f t="shared" si="20"/>
        <v>1.6430500415E-2</v>
      </c>
      <c r="BA69" s="137">
        <f t="shared" si="21"/>
        <v>26.479178564999998</v>
      </c>
      <c r="BB69" s="137">
        <f t="shared" si="22"/>
        <v>7.8366617000000005</v>
      </c>
      <c r="BC69" s="137">
        <f t="shared" si="4"/>
        <v>5.3604417299999998</v>
      </c>
      <c r="BD69" s="137">
        <f t="shared" si="5"/>
        <v>1.4107711134999999E-2</v>
      </c>
      <c r="BE69" s="137">
        <f t="shared" si="6"/>
        <v>8.0348143399999987</v>
      </c>
      <c r="BF69" s="137">
        <f t="shared" si="7"/>
        <v>-7.5074393450000002E-3</v>
      </c>
      <c r="BG69" s="137">
        <f t="shared" si="8"/>
        <v>1.6816829259999999E-5</v>
      </c>
      <c r="BH69" s="137">
        <f t="shared" si="9"/>
        <v>0.14140392559999998</v>
      </c>
      <c r="BI69" s="137">
        <f t="shared" si="10"/>
        <v>0.30484201194999999</v>
      </c>
      <c r="BJ69" s="137">
        <f t="shared" si="11"/>
        <v>0.29083716129999998</v>
      </c>
      <c r="BK69" s="137">
        <f t="shared" si="12"/>
        <v>1.7601527475E-2</v>
      </c>
      <c r="BL69" s="137">
        <f t="shared" si="13"/>
        <v>2.994168954</v>
      </c>
      <c r="BM69" s="137">
        <f t="shared" si="14"/>
        <v>0.32046717324999996</v>
      </c>
    </row>
    <row r="70" spans="1:65" x14ac:dyDescent="0.25">
      <c r="A70" s="149">
        <v>373</v>
      </c>
      <c r="B70" s="149">
        <v>43</v>
      </c>
      <c r="C70" s="61">
        <v>38.907192000000002</v>
      </c>
      <c r="D70" s="61">
        <v>-77.036871000000005</v>
      </c>
      <c r="E70" s="61" t="s">
        <v>265</v>
      </c>
      <c r="F70" s="149">
        <v>86</v>
      </c>
      <c r="G70" s="61" t="s">
        <v>630</v>
      </c>
      <c r="H70" s="61" t="s">
        <v>644</v>
      </c>
      <c r="I70" s="61">
        <v>38.851241999999999</v>
      </c>
      <c r="J70" s="61">
        <v>-77.040232000000003</v>
      </c>
      <c r="K70" s="61">
        <v>8.800194329</v>
      </c>
      <c r="L70" s="61">
        <v>8.4060000000000006</v>
      </c>
      <c r="M70" s="61" t="s">
        <v>617</v>
      </c>
      <c r="N70" s="149">
        <v>42</v>
      </c>
      <c r="O70" s="149">
        <v>43</v>
      </c>
      <c r="P70" s="61" t="s">
        <v>565</v>
      </c>
      <c r="Q70" s="61" t="s">
        <v>555</v>
      </c>
      <c r="R70" s="61">
        <v>40.6895314</v>
      </c>
      <c r="S70" s="61">
        <v>-74.174462399999996</v>
      </c>
      <c r="T70" s="61">
        <v>344.01499999999999</v>
      </c>
      <c r="U70" s="61" t="s">
        <v>617</v>
      </c>
      <c r="V70" s="61" t="s">
        <v>617</v>
      </c>
      <c r="W70" s="61"/>
      <c r="Y70" s="137">
        <f>Summary_LCIA!H$32</f>
        <v>0.33979999999999999</v>
      </c>
      <c r="Z70" s="137">
        <f>Summary_LCIA!Q$32</f>
        <v>4.9560504329999997</v>
      </c>
      <c r="AA70" s="137">
        <f>Summary_LCIA!R$32</f>
        <v>5.2655999999999996E-3</v>
      </c>
      <c r="AB70" s="137">
        <f>Summary_LCIA!S$32</f>
        <v>0.33538000000000001</v>
      </c>
      <c r="AC70" s="137">
        <f>Summary_LCIA!T$32</f>
        <v>0.1099</v>
      </c>
      <c r="AD70" s="137">
        <f>Summary_LCIA!U$32</f>
        <v>1.7913999999999999E-2</v>
      </c>
      <c r="AE70" s="137">
        <f>Summary_LCIA!V$32</f>
        <v>4.7760999999999999E-5</v>
      </c>
      <c r="AF70" s="137">
        <f>Summary_LCIA!W$32</f>
        <v>7.6970999999999998E-2</v>
      </c>
      <c r="AG70" s="137">
        <f>Summary_LCIA!X$32</f>
        <v>2.2780000000000002E-2</v>
      </c>
      <c r="AH70" s="137">
        <f>Summary_LCIA!Y$32</f>
        <v>1.5582E-2</v>
      </c>
      <c r="AI70" s="137">
        <f>Summary_LCIA!Z$32</f>
        <v>4.1009E-5</v>
      </c>
      <c r="AJ70" s="137">
        <f>Summary_LCIA!AA$32</f>
        <v>2.3355999999999998E-2</v>
      </c>
      <c r="AK70" s="137">
        <f>Summary_LCIA!AB$32</f>
        <v>-2.1823000000000001E-5</v>
      </c>
      <c r="AL70" s="137">
        <f>Summary_LCIA!AC$32</f>
        <v>4.8884000000000003E-8</v>
      </c>
      <c r="AM70" s="137">
        <f>Summary_LCIA!AD$32</f>
        <v>4.1103999999999999E-4</v>
      </c>
      <c r="AN70" s="137">
        <f>Summary_LCIA!AE$32</f>
        <v>8.8612999999999995E-4</v>
      </c>
      <c r="AO70" s="137">
        <f>Summary_LCIA!AF$32</f>
        <v>8.4542000000000005E-4</v>
      </c>
      <c r="AP70" s="137">
        <f>Summary_LCIA!AG$32</f>
        <v>5.1165000000000002E-5</v>
      </c>
      <c r="AQ70" s="137">
        <f>Summary_LCIA!AH$32</f>
        <v>8.7036000000000006E-3</v>
      </c>
      <c r="AR70" s="137">
        <f>Summary_LCIA!AI$32</f>
        <v>9.3154999999999996E-4</v>
      </c>
      <c r="AT70" s="137">
        <f t="shared" si="23"/>
        <v>116.89629699999999</v>
      </c>
      <c r="AU70" s="137">
        <f t="shared" si="15"/>
        <v>1704.9556897084949</v>
      </c>
      <c r="AV70" s="137">
        <f t="shared" si="16"/>
        <v>1.8114453839999998</v>
      </c>
      <c r="AW70" s="137">
        <f t="shared" si="17"/>
        <v>115.3757507</v>
      </c>
      <c r="AX70" s="137">
        <f t="shared" si="18"/>
        <v>37.8072485</v>
      </c>
      <c r="AY70" s="137">
        <f t="shared" si="19"/>
        <v>6.1626847099999997</v>
      </c>
      <c r="AZ70" s="137">
        <f t="shared" si="20"/>
        <v>1.6430500415E-2</v>
      </c>
      <c r="BA70" s="137">
        <f t="shared" si="21"/>
        <v>26.479178564999998</v>
      </c>
      <c r="BB70" s="137">
        <f t="shared" si="22"/>
        <v>7.8366617000000005</v>
      </c>
      <c r="BC70" s="137">
        <f t="shared" si="4"/>
        <v>5.3604417299999998</v>
      </c>
      <c r="BD70" s="137">
        <f t="shared" si="5"/>
        <v>1.4107711134999999E-2</v>
      </c>
      <c r="BE70" s="137">
        <f t="shared" si="6"/>
        <v>8.0348143399999987</v>
      </c>
      <c r="BF70" s="137">
        <f t="shared" si="7"/>
        <v>-7.5074393450000002E-3</v>
      </c>
      <c r="BG70" s="137">
        <f t="shared" si="8"/>
        <v>1.6816829259999999E-5</v>
      </c>
      <c r="BH70" s="137">
        <f t="shared" si="9"/>
        <v>0.14140392559999998</v>
      </c>
      <c r="BI70" s="137">
        <f t="shared" si="10"/>
        <v>0.30484201194999999</v>
      </c>
      <c r="BJ70" s="137">
        <f t="shared" si="11"/>
        <v>0.29083716129999998</v>
      </c>
      <c r="BK70" s="137">
        <f t="shared" si="12"/>
        <v>1.7601527475E-2</v>
      </c>
      <c r="BL70" s="137">
        <f t="shared" si="13"/>
        <v>2.994168954</v>
      </c>
      <c r="BM70" s="137">
        <f t="shared" si="14"/>
        <v>0.32046717324999996</v>
      </c>
    </row>
    <row r="71" spans="1:65" x14ac:dyDescent="0.25">
      <c r="A71" s="149">
        <v>374</v>
      </c>
      <c r="B71" s="149">
        <v>43</v>
      </c>
      <c r="C71" s="61">
        <v>38.907192000000002</v>
      </c>
      <c r="D71" s="61">
        <v>-77.036871000000005</v>
      </c>
      <c r="E71" s="61" t="s">
        <v>265</v>
      </c>
      <c r="F71" s="149">
        <v>86</v>
      </c>
      <c r="G71" s="61" t="s">
        <v>630</v>
      </c>
      <c r="H71" s="61" t="s">
        <v>644</v>
      </c>
      <c r="I71" s="61">
        <v>38.851241999999999</v>
      </c>
      <c r="J71" s="61">
        <v>-77.040232000000003</v>
      </c>
      <c r="K71" s="61">
        <v>8.800194329</v>
      </c>
      <c r="L71" s="61">
        <v>8.4060000000000006</v>
      </c>
      <c r="M71" s="61" t="s">
        <v>617</v>
      </c>
      <c r="N71" s="149">
        <v>42</v>
      </c>
      <c r="O71" s="149">
        <v>43</v>
      </c>
      <c r="P71" s="61" t="s">
        <v>565</v>
      </c>
      <c r="Q71" s="61" t="s">
        <v>555</v>
      </c>
      <c r="R71" s="61">
        <v>40.6895314</v>
      </c>
      <c r="S71" s="61">
        <v>-74.174462399999996</v>
      </c>
      <c r="T71" s="61">
        <v>344.01499999999999</v>
      </c>
      <c r="U71" s="61" t="s">
        <v>617</v>
      </c>
      <c r="V71" s="61" t="s">
        <v>617</v>
      </c>
      <c r="W71" s="61"/>
      <c r="Y71" s="137">
        <f>Summary_LCIA!H$32</f>
        <v>0.33979999999999999</v>
      </c>
      <c r="Z71" s="137">
        <f>Summary_LCIA!Q$32</f>
        <v>4.9560504329999997</v>
      </c>
      <c r="AA71" s="137">
        <f>Summary_LCIA!R$32</f>
        <v>5.2655999999999996E-3</v>
      </c>
      <c r="AB71" s="137">
        <f>Summary_LCIA!S$32</f>
        <v>0.33538000000000001</v>
      </c>
      <c r="AC71" s="137">
        <f>Summary_LCIA!T$32</f>
        <v>0.1099</v>
      </c>
      <c r="AD71" s="137">
        <f>Summary_LCIA!U$32</f>
        <v>1.7913999999999999E-2</v>
      </c>
      <c r="AE71" s="137">
        <f>Summary_LCIA!V$32</f>
        <v>4.7760999999999999E-5</v>
      </c>
      <c r="AF71" s="137">
        <f>Summary_LCIA!W$32</f>
        <v>7.6970999999999998E-2</v>
      </c>
      <c r="AG71" s="137">
        <f>Summary_LCIA!X$32</f>
        <v>2.2780000000000002E-2</v>
      </c>
      <c r="AH71" s="137">
        <f>Summary_LCIA!Y$32</f>
        <v>1.5582E-2</v>
      </c>
      <c r="AI71" s="137">
        <f>Summary_LCIA!Z$32</f>
        <v>4.1009E-5</v>
      </c>
      <c r="AJ71" s="137">
        <f>Summary_LCIA!AA$32</f>
        <v>2.3355999999999998E-2</v>
      </c>
      <c r="AK71" s="137">
        <f>Summary_LCIA!AB$32</f>
        <v>-2.1823000000000001E-5</v>
      </c>
      <c r="AL71" s="137">
        <f>Summary_LCIA!AC$32</f>
        <v>4.8884000000000003E-8</v>
      </c>
      <c r="AM71" s="137">
        <f>Summary_LCIA!AD$32</f>
        <v>4.1103999999999999E-4</v>
      </c>
      <c r="AN71" s="137">
        <f>Summary_LCIA!AE$32</f>
        <v>8.8612999999999995E-4</v>
      </c>
      <c r="AO71" s="137">
        <f>Summary_LCIA!AF$32</f>
        <v>8.4542000000000005E-4</v>
      </c>
      <c r="AP71" s="137">
        <f>Summary_LCIA!AG$32</f>
        <v>5.1165000000000002E-5</v>
      </c>
      <c r="AQ71" s="137">
        <f>Summary_LCIA!AH$32</f>
        <v>8.7036000000000006E-3</v>
      </c>
      <c r="AR71" s="137">
        <f>Summary_LCIA!AI$32</f>
        <v>9.3154999999999996E-4</v>
      </c>
      <c r="AT71" s="137">
        <f t="shared" si="23"/>
        <v>116.89629699999999</v>
      </c>
      <c r="AU71" s="137">
        <f t="shared" si="15"/>
        <v>1704.9556897084949</v>
      </c>
      <c r="AV71" s="137">
        <f t="shared" si="16"/>
        <v>1.8114453839999998</v>
      </c>
      <c r="AW71" s="137">
        <f t="shared" si="17"/>
        <v>115.3757507</v>
      </c>
      <c r="AX71" s="137">
        <f t="shared" si="18"/>
        <v>37.8072485</v>
      </c>
      <c r="AY71" s="137">
        <f t="shared" si="19"/>
        <v>6.1626847099999997</v>
      </c>
      <c r="AZ71" s="137">
        <f t="shared" si="20"/>
        <v>1.6430500415E-2</v>
      </c>
      <c r="BA71" s="137">
        <f t="shared" si="21"/>
        <v>26.479178564999998</v>
      </c>
      <c r="BB71" s="137">
        <f t="shared" si="22"/>
        <v>7.8366617000000005</v>
      </c>
      <c r="BC71" s="137">
        <f t="shared" si="4"/>
        <v>5.3604417299999998</v>
      </c>
      <c r="BD71" s="137">
        <f t="shared" si="5"/>
        <v>1.4107711134999999E-2</v>
      </c>
      <c r="BE71" s="137">
        <f t="shared" si="6"/>
        <v>8.0348143399999987</v>
      </c>
      <c r="BF71" s="137">
        <f t="shared" si="7"/>
        <v>-7.5074393450000002E-3</v>
      </c>
      <c r="BG71" s="137">
        <f t="shared" si="8"/>
        <v>1.6816829259999999E-5</v>
      </c>
      <c r="BH71" s="137">
        <f t="shared" si="9"/>
        <v>0.14140392559999998</v>
      </c>
      <c r="BI71" s="137">
        <f t="shared" si="10"/>
        <v>0.30484201194999999</v>
      </c>
      <c r="BJ71" s="137">
        <f t="shared" si="11"/>
        <v>0.29083716129999998</v>
      </c>
      <c r="BK71" s="137">
        <f t="shared" si="12"/>
        <v>1.7601527475E-2</v>
      </c>
      <c r="BL71" s="137">
        <f t="shared" si="13"/>
        <v>2.994168954</v>
      </c>
      <c r="BM71" s="137">
        <f t="shared" si="14"/>
        <v>0.32046717324999996</v>
      </c>
    </row>
    <row r="72" spans="1:65" x14ac:dyDescent="0.25">
      <c r="A72" s="149">
        <v>375</v>
      </c>
      <c r="B72" s="149">
        <v>43</v>
      </c>
      <c r="C72" s="61">
        <v>38.907192000000002</v>
      </c>
      <c r="D72" s="61">
        <v>-77.036871000000005</v>
      </c>
      <c r="E72" s="61" t="s">
        <v>265</v>
      </c>
      <c r="F72" s="149">
        <v>86</v>
      </c>
      <c r="G72" s="61" t="s">
        <v>630</v>
      </c>
      <c r="H72" s="61" t="s">
        <v>644</v>
      </c>
      <c r="I72" s="61">
        <v>38.851241999999999</v>
      </c>
      <c r="J72" s="61">
        <v>-77.040232000000003</v>
      </c>
      <c r="K72" s="61">
        <v>8.800194329</v>
      </c>
      <c r="L72" s="61">
        <v>8.4060000000000006</v>
      </c>
      <c r="M72" s="61" t="s">
        <v>617</v>
      </c>
      <c r="N72" s="149">
        <v>42</v>
      </c>
      <c r="O72" s="149">
        <v>43</v>
      </c>
      <c r="P72" s="61" t="s">
        <v>565</v>
      </c>
      <c r="Q72" s="61" t="s">
        <v>555</v>
      </c>
      <c r="R72" s="61">
        <v>40.6895314</v>
      </c>
      <c r="S72" s="61">
        <v>-74.174462399999996</v>
      </c>
      <c r="T72" s="61">
        <v>344.01499999999999</v>
      </c>
      <c r="U72" s="61" t="s">
        <v>617</v>
      </c>
      <c r="V72" s="61" t="s">
        <v>617</v>
      </c>
      <c r="W72" s="61"/>
      <c r="Y72" s="137">
        <f>Summary_LCIA!H$32</f>
        <v>0.33979999999999999</v>
      </c>
      <c r="Z72" s="137">
        <f>Summary_LCIA!Q$32</f>
        <v>4.9560504329999997</v>
      </c>
      <c r="AA72" s="137">
        <f>Summary_LCIA!R$32</f>
        <v>5.2655999999999996E-3</v>
      </c>
      <c r="AB72" s="137">
        <f>Summary_LCIA!S$32</f>
        <v>0.33538000000000001</v>
      </c>
      <c r="AC72" s="137">
        <f>Summary_LCIA!T$32</f>
        <v>0.1099</v>
      </c>
      <c r="AD72" s="137">
        <f>Summary_LCIA!U$32</f>
        <v>1.7913999999999999E-2</v>
      </c>
      <c r="AE72" s="137">
        <f>Summary_LCIA!V$32</f>
        <v>4.7760999999999999E-5</v>
      </c>
      <c r="AF72" s="137">
        <f>Summary_LCIA!W$32</f>
        <v>7.6970999999999998E-2</v>
      </c>
      <c r="AG72" s="137">
        <f>Summary_LCIA!X$32</f>
        <v>2.2780000000000002E-2</v>
      </c>
      <c r="AH72" s="137">
        <f>Summary_LCIA!Y$32</f>
        <v>1.5582E-2</v>
      </c>
      <c r="AI72" s="137">
        <f>Summary_LCIA!Z$32</f>
        <v>4.1009E-5</v>
      </c>
      <c r="AJ72" s="137">
        <f>Summary_LCIA!AA$32</f>
        <v>2.3355999999999998E-2</v>
      </c>
      <c r="AK72" s="137">
        <f>Summary_LCIA!AB$32</f>
        <v>-2.1823000000000001E-5</v>
      </c>
      <c r="AL72" s="137">
        <f>Summary_LCIA!AC$32</f>
        <v>4.8884000000000003E-8</v>
      </c>
      <c r="AM72" s="137">
        <f>Summary_LCIA!AD$32</f>
        <v>4.1103999999999999E-4</v>
      </c>
      <c r="AN72" s="137">
        <f>Summary_LCIA!AE$32</f>
        <v>8.8612999999999995E-4</v>
      </c>
      <c r="AO72" s="137">
        <f>Summary_LCIA!AF$32</f>
        <v>8.4542000000000005E-4</v>
      </c>
      <c r="AP72" s="137">
        <f>Summary_LCIA!AG$32</f>
        <v>5.1165000000000002E-5</v>
      </c>
      <c r="AQ72" s="137">
        <f>Summary_LCIA!AH$32</f>
        <v>8.7036000000000006E-3</v>
      </c>
      <c r="AR72" s="137">
        <f>Summary_LCIA!AI$32</f>
        <v>9.3154999999999996E-4</v>
      </c>
      <c r="AT72" s="137">
        <f t="shared" si="23"/>
        <v>116.89629699999999</v>
      </c>
      <c r="AU72" s="137">
        <f t="shared" si="15"/>
        <v>1704.9556897084949</v>
      </c>
      <c r="AV72" s="137">
        <f t="shared" si="16"/>
        <v>1.8114453839999998</v>
      </c>
      <c r="AW72" s="137">
        <f t="shared" si="17"/>
        <v>115.3757507</v>
      </c>
      <c r="AX72" s="137">
        <f t="shared" si="18"/>
        <v>37.8072485</v>
      </c>
      <c r="AY72" s="137">
        <f t="shared" si="19"/>
        <v>6.1626847099999997</v>
      </c>
      <c r="AZ72" s="137">
        <f t="shared" si="20"/>
        <v>1.6430500415E-2</v>
      </c>
      <c r="BA72" s="137">
        <f t="shared" si="21"/>
        <v>26.479178564999998</v>
      </c>
      <c r="BB72" s="137">
        <f t="shared" si="22"/>
        <v>7.8366617000000005</v>
      </c>
      <c r="BC72" s="137">
        <f t="shared" si="4"/>
        <v>5.3604417299999998</v>
      </c>
      <c r="BD72" s="137">
        <f t="shared" si="5"/>
        <v>1.4107711134999999E-2</v>
      </c>
      <c r="BE72" s="137">
        <f t="shared" si="6"/>
        <v>8.0348143399999987</v>
      </c>
      <c r="BF72" s="137">
        <f t="shared" si="7"/>
        <v>-7.5074393450000002E-3</v>
      </c>
      <c r="BG72" s="137">
        <f t="shared" si="8"/>
        <v>1.6816829259999999E-5</v>
      </c>
      <c r="BH72" s="137">
        <f t="shared" si="9"/>
        <v>0.14140392559999998</v>
      </c>
      <c r="BI72" s="137">
        <f t="shared" si="10"/>
        <v>0.30484201194999999</v>
      </c>
      <c r="BJ72" s="137">
        <f t="shared" si="11"/>
        <v>0.29083716129999998</v>
      </c>
      <c r="BK72" s="137">
        <f t="shared" si="12"/>
        <v>1.7601527475E-2</v>
      </c>
      <c r="BL72" s="137">
        <f t="shared" si="13"/>
        <v>2.994168954</v>
      </c>
      <c r="BM72" s="137">
        <f t="shared" si="14"/>
        <v>0.32046717324999996</v>
      </c>
    </row>
    <row r="73" spans="1:65" x14ac:dyDescent="0.25">
      <c r="A73" s="149">
        <v>46</v>
      </c>
      <c r="B73" s="149">
        <v>43</v>
      </c>
      <c r="C73" s="61">
        <v>38.90813</v>
      </c>
      <c r="D73" s="61">
        <v>-77.040278999999998</v>
      </c>
      <c r="E73" s="61" t="s">
        <v>265</v>
      </c>
      <c r="F73" s="149">
        <v>86</v>
      </c>
      <c r="G73" s="61" t="s">
        <v>630</v>
      </c>
      <c r="H73" s="61" t="s">
        <v>644</v>
      </c>
      <c r="I73" s="61">
        <v>38.851241999999999</v>
      </c>
      <c r="J73" s="61">
        <v>-77.040232000000003</v>
      </c>
      <c r="K73" s="61">
        <v>8.9128861770000007</v>
      </c>
      <c r="L73" s="61">
        <v>8.7949999999999999</v>
      </c>
      <c r="M73" s="61" t="s">
        <v>617</v>
      </c>
      <c r="N73" s="149">
        <v>42</v>
      </c>
      <c r="O73" s="149">
        <v>43</v>
      </c>
      <c r="P73" s="61" t="s">
        <v>565</v>
      </c>
      <c r="Q73" s="61" t="s">
        <v>555</v>
      </c>
      <c r="R73" s="61">
        <v>40.6895314</v>
      </c>
      <c r="S73" s="61">
        <v>-74.174462399999996</v>
      </c>
      <c r="T73" s="61">
        <v>344.404</v>
      </c>
      <c r="U73" s="61" t="s">
        <v>617</v>
      </c>
      <c r="V73" s="61" t="s">
        <v>617</v>
      </c>
      <c r="W73" s="61"/>
      <c r="Y73" s="137">
        <f>Summary_LCIA!H$32</f>
        <v>0.33979999999999999</v>
      </c>
      <c r="Z73" s="137">
        <f>Summary_LCIA!Q$32</f>
        <v>4.9560504329999997</v>
      </c>
      <c r="AA73" s="137">
        <f>Summary_LCIA!R$32</f>
        <v>5.2655999999999996E-3</v>
      </c>
      <c r="AB73" s="137">
        <f>Summary_LCIA!S$32</f>
        <v>0.33538000000000001</v>
      </c>
      <c r="AC73" s="137">
        <f>Summary_LCIA!T$32</f>
        <v>0.1099</v>
      </c>
      <c r="AD73" s="137">
        <f>Summary_LCIA!U$32</f>
        <v>1.7913999999999999E-2</v>
      </c>
      <c r="AE73" s="137">
        <f>Summary_LCIA!V$32</f>
        <v>4.7760999999999999E-5</v>
      </c>
      <c r="AF73" s="137">
        <f>Summary_LCIA!W$32</f>
        <v>7.6970999999999998E-2</v>
      </c>
      <c r="AG73" s="137">
        <f>Summary_LCIA!X$32</f>
        <v>2.2780000000000002E-2</v>
      </c>
      <c r="AH73" s="137">
        <f>Summary_LCIA!Y$32</f>
        <v>1.5582E-2</v>
      </c>
      <c r="AI73" s="137">
        <f>Summary_LCIA!Z$32</f>
        <v>4.1009E-5</v>
      </c>
      <c r="AJ73" s="137">
        <f>Summary_LCIA!AA$32</f>
        <v>2.3355999999999998E-2</v>
      </c>
      <c r="AK73" s="137">
        <f>Summary_LCIA!AB$32</f>
        <v>-2.1823000000000001E-5</v>
      </c>
      <c r="AL73" s="137">
        <f>Summary_LCIA!AC$32</f>
        <v>4.8884000000000003E-8</v>
      </c>
      <c r="AM73" s="137">
        <f>Summary_LCIA!AD$32</f>
        <v>4.1103999999999999E-4</v>
      </c>
      <c r="AN73" s="137">
        <f>Summary_LCIA!AE$32</f>
        <v>8.8612999999999995E-4</v>
      </c>
      <c r="AO73" s="137">
        <f>Summary_LCIA!AF$32</f>
        <v>8.4542000000000005E-4</v>
      </c>
      <c r="AP73" s="137">
        <f>Summary_LCIA!AG$32</f>
        <v>5.1165000000000002E-5</v>
      </c>
      <c r="AQ73" s="137">
        <f>Summary_LCIA!AH$32</f>
        <v>8.7036000000000006E-3</v>
      </c>
      <c r="AR73" s="137">
        <f>Summary_LCIA!AI$32</f>
        <v>9.3154999999999996E-4</v>
      </c>
      <c r="AT73" s="137">
        <f t="shared" si="23"/>
        <v>117.02847919999999</v>
      </c>
      <c r="AU73" s="137">
        <f t="shared" si="15"/>
        <v>1706.883593326932</v>
      </c>
      <c r="AV73" s="137">
        <f t="shared" si="16"/>
        <v>1.8134937023999997</v>
      </c>
      <c r="AW73" s="137">
        <f t="shared" si="17"/>
        <v>115.50621352</v>
      </c>
      <c r="AX73" s="137">
        <f t="shared" si="18"/>
        <v>37.849999599999997</v>
      </c>
      <c r="AY73" s="137">
        <f t="shared" si="19"/>
        <v>6.1696532560000001</v>
      </c>
      <c r="AZ73" s="137">
        <f t="shared" si="20"/>
        <v>1.6449079443999998E-2</v>
      </c>
      <c r="BA73" s="137">
        <f t="shared" si="21"/>
        <v>26.509120283999998</v>
      </c>
      <c r="BB73" s="137">
        <f t="shared" si="22"/>
        <v>7.8455231200000002</v>
      </c>
      <c r="BC73" s="137">
        <f t="shared" si="4"/>
        <v>5.3665031279999997</v>
      </c>
      <c r="BD73" s="137">
        <f t="shared" si="5"/>
        <v>1.4123663635999999E-2</v>
      </c>
      <c r="BE73" s="137">
        <f t="shared" si="6"/>
        <v>8.0438998239999986</v>
      </c>
      <c r="BF73" s="137">
        <f t="shared" si="7"/>
        <v>-7.5159284920000005E-3</v>
      </c>
      <c r="BG73" s="137">
        <f t="shared" si="8"/>
        <v>1.6835845136000002E-5</v>
      </c>
      <c r="BH73" s="137">
        <f t="shared" si="9"/>
        <v>0.14156382015999999</v>
      </c>
      <c r="BI73" s="137">
        <f t="shared" si="10"/>
        <v>0.30518671651999996</v>
      </c>
      <c r="BJ73" s="137">
        <f t="shared" si="11"/>
        <v>0.29116602967999999</v>
      </c>
      <c r="BK73" s="137">
        <f t="shared" si="12"/>
        <v>1.762143066E-2</v>
      </c>
      <c r="BL73" s="137">
        <f t="shared" si="13"/>
        <v>2.9975546544</v>
      </c>
      <c r="BM73" s="137">
        <f t="shared" si="14"/>
        <v>0.32082954619999998</v>
      </c>
    </row>
    <row r="74" spans="1:65" x14ac:dyDescent="0.25">
      <c r="A74" s="149">
        <v>119</v>
      </c>
      <c r="B74" s="149">
        <v>43</v>
      </c>
      <c r="C74" s="61">
        <v>38.883254999999998</v>
      </c>
      <c r="D74" s="61">
        <v>-77.025096000000005</v>
      </c>
      <c r="E74" s="61" t="s">
        <v>265</v>
      </c>
      <c r="F74" s="149">
        <v>86</v>
      </c>
      <c r="G74" s="61" t="s">
        <v>630</v>
      </c>
      <c r="H74" s="61" t="s">
        <v>644</v>
      </c>
      <c r="I74" s="61">
        <v>38.851241999999999</v>
      </c>
      <c r="J74" s="61">
        <v>-77.040232000000003</v>
      </c>
      <c r="K74" s="61">
        <v>5.3130254810000004</v>
      </c>
      <c r="L74" s="61">
        <v>7.0659999999999998</v>
      </c>
      <c r="M74" s="61" t="s">
        <v>617</v>
      </c>
      <c r="N74" s="149">
        <v>42</v>
      </c>
      <c r="O74" s="149">
        <v>43</v>
      </c>
      <c r="P74" s="61" t="s">
        <v>565</v>
      </c>
      <c r="Q74" s="61" t="s">
        <v>555</v>
      </c>
      <c r="R74" s="61">
        <v>40.6895314</v>
      </c>
      <c r="S74" s="61">
        <v>-74.174462399999996</v>
      </c>
      <c r="T74" s="61">
        <v>347.41399999999999</v>
      </c>
      <c r="U74" s="61" t="s">
        <v>617</v>
      </c>
      <c r="V74" s="61" t="s">
        <v>617</v>
      </c>
      <c r="W74" s="61"/>
      <c r="Y74" s="137">
        <f>Summary_LCIA!H$32</f>
        <v>0.33979999999999999</v>
      </c>
      <c r="Z74" s="137">
        <f>Summary_LCIA!Q$32</f>
        <v>4.9560504329999997</v>
      </c>
      <c r="AA74" s="137">
        <f>Summary_LCIA!R$32</f>
        <v>5.2655999999999996E-3</v>
      </c>
      <c r="AB74" s="137">
        <f>Summary_LCIA!S$32</f>
        <v>0.33538000000000001</v>
      </c>
      <c r="AC74" s="137">
        <f>Summary_LCIA!T$32</f>
        <v>0.1099</v>
      </c>
      <c r="AD74" s="137">
        <f>Summary_LCIA!U$32</f>
        <v>1.7913999999999999E-2</v>
      </c>
      <c r="AE74" s="137">
        <f>Summary_LCIA!V$32</f>
        <v>4.7760999999999999E-5</v>
      </c>
      <c r="AF74" s="137">
        <f>Summary_LCIA!W$32</f>
        <v>7.6970999999999998E-2</v>
      </c>
      <c r="AG74" s="137">
        <f>Summary_LCIA!X$32</f>
        <v>2.2780000000000002E-2</v>
      </c>
      <c r="AH74" s="137">
        <f>Summary_LCIA!Y$32</f>
        <v>1.5582E-2</v>
      </c>
      <c r="AI74" s="137">
        <f>Summary_LCIA!Z$32</f>
        <v>4.1009E-5</v>
      </c>
      <c r="AJ74" s="137">
        <f>Summary_LCIA!AA$32</f>
        <v>2.3355999999999998E-2</v>
      </c>
      <c r="AK74" s="137">
        <f>Summary_LCIA!AB$32</f>
        <v>-2.1823000000000001E-5</v>
      </c>
      <c r="AL74" s="137">
        <f>Summary_LCIA!AC$32</f>
        <v>4.8884000000000003E-8</v>
      </c>
      <c r="AM74" s="137">
        <f>Summary_LCIA!AD$32</f>
        <v>4.1103999999999999E-4</v>
      </c>
      <c r="AN74" s="137">
        <f>Summary_LCIA!AE$32</f>
        <v>8.8612999999999995E-4</v>
      </c>
      <c r="AO74" s="137">
        <f>Summary_LCIA!AF$32</f>
        <v>8.4542000000000005E-4</v>
      </c>
      <c r="AP74" s="137">
        <f>Summary_LCIA!AG$32</f>
        <v>5.1165000000000002E-5</v>
      </c>
      <c r="AQ74" s="137">
        <f>Summary_LCIA!AH$32</f>
        <v>8.7036000000000006E-3</v>
      </c>
      <c r="AR74" s="137">
        <f>Summary_LCIA!AI$32</f>
        <v>9.3154999999999996E-4</v>
      </c>
      <c r="AT74" s="137">
        <f t="shared" si="23"/>
        <v>118.05127719999999</v>
      </c>
      <c r="AU74" s="137">
        <f t="shared" si="15"/>
        <v>1721.8013051302619</v>
      </c>
      <c r="AV74" s="137">
        <f t="shared" si="16"/>
        <v>1.8293431583999997</v>
      </c>
      <c r="AW74" s="137">
        <f t="shared" si="17"/>
        <v>116.51570732</v>
      </c>
      <c r="AX74" s="137">
        <f t="shared" si="18"/>
        <v>38.180798599999996</v>
      </c>
      <c r="AY74" s="137">
        <f t="shared" si="19"/>
        <v>6.2235743959999992</v>
      </c>
      <c r="AZ74" s="137">
        <f t="shared" si="20"/>
        <v>1.6592840054E-2</v>
      </c>
      <c r="BA74" s="137">
        <f t="shared" si="21"/>
        <v>26.740802993999999</v>
      </c>
      <c r="BB74" s="137">
        <f t="shared" si="22"/>
        <v>7.9140909200000005</v>
      </c>
      <c r="BC74" s="137">
        <f t="shared" si="4"/>
        <v>5.4134049480000002</v>
      </c>
      <c r="BD74" s="137">
        <f t="shared" si="5"/>
        <v>1.4247100726E-2</v>
      </c>
      <c r="BE74" s="137">
        <f t="shared" si="6"/>
        <v>8.1142013839999994</v>
      </c>
      <c r="BF74" s="137">
        <f t="shared" si="7"/>
        <v>-7.5816157220000005E-3</v>
      </c>
      <c r="BG74" s="137">
        <f t="shared" si="8"/>
        <v>1.6982985976000001E-5</v>
      </c>
      <c r="BH74" s="137">
        <f t="shared" si="9"/>
        <v>0.14280105056</v>
      </c>
      <c r="BI74" s="137">
        <f t="shared" si="10"/>
        <v>0.30785396781999996</v>
      </c>
      <c r="BJ74" s="137">
        <f t="shared" si="11"/>
        <v>0.29371074388000001</v>
      </c>
      <c r="BK74" s="137">
        <f t="shared" si="12"/>
        <v>1.7775437309999999E-2</v>
      </c>
      <c r="BL74" s="137">
        <f t="shared" si="13"/>
        <v>3.0237524904000002</v>
      </c>
      <c r="BM74" s="137">
        <f t="shared" si="14"/>
        <v>0.32363351169999999</v>
      </c>
    </row>
    <row r="75" spans="1:65" x14ac:dyDescent="0.25">
      <c r="A75" s="149">
        <v>120</v>
      </c>
      <c r="B75" s="149">
        <v>43</v>
      </c>
      <c r="C75" s="61">
        <v>38.883254999999998</v>
      </c>
      <c r="D75" s="61">
        <v>-77.025096000000005</v>
      </c>
      <c r="E75" s="61" t="s">
        <v>265</v>
      </c>
      <c r="F75" s="149">
        <v>86</v>
      </c>
      <c r="G75" s="61" t="s">
        <v>630</v>
      </c>
      <c r="H75" s="61" t="s">
        <v>644</v>
      </c>
      <c r="I75" s="61">
        <v>38.851241999999999</v>
      </c>
      <c r="J75" s="61">
        <v>-77.040232000000003</v>
      </c>
      <c r="K75" s="61">
        <v>5.3130254810000004</v>
      </c>
      <c r="L75" s="61">
        <v>7.0659999999999998</v>
      </c>
      <c r="M75" s="61" t="s">
        <v>617</v>
      </c>
      <c r="N75" s="149">
        <v>42</v>
      </c>
      <c r="O75" s="149">
        <v>43</v>
      </c>
      <c r="P75" s="61" t="s">
        <v>565</v>
      </c>
      <c r="Q75" s="61" t="s">
        <v>555</v>
      </c>
      <c r="R75" s="61">
        <v>40.6895314</v>
      </c>
      <c r="S75" s="61">
        <v>-74.174462399999996</v>
      </c>
      <c r="T75" s="61">
        <v>347.41399999999999</v>
      </c>
      <c r="U75" s="61" t="s">
        <v>617</v>
      </c>
      <c r="V75" s="61" t="s">
        <v>617</v>
      </c>
      <c r="W75" s="61"/>
      <c r="Y75" s="137">
        <f>Summary_LCIA!H$32</f>
        <v>0.33979999999999999</v>
      </c>
      <c r="Z75" s="137">
        <f>Summary_LCIA!Q$32</f>
        <v>4.9560504329999997</v>
      </c>
      <c r="AA75" s="137">
        <f>Summary_LCIA!R$32</f>
        <v>5.2655999999999996E-3</v>
      </c>
      <c r="AB75" s="137">
        <f>Summary_LCIA!S$32</f>
        <v>0.33538000000000001</v>
      </c>
      <c r="AC75" s="137">
        <f>Summary_LCIA!T$32</f>
        <v>0.1099</v>
      </c>
      <c r="AD75" s="137">
        <f>Summary_LCIA!U$32</f>
        <v>1.7913999999999999E-2</v>
      </c>
      <c r="AE75" s="137">
        <f>Summary_LCIA!V$32</f>
        <v>4.7760999999999999E-5</v>
      </c>
      <c r="AF75" s="137">
        <f>Summary_LCIA!W$32</f>
        <v>7.6970999999999998E-2</v>
      </c>
      <c r="AG75" s="137">
        <f>Summary_LCIA!X$32</f>
        <v>2.2780000000000002E-2</v>
      </c>
      <c r="AH75" s="137">
        <f>Summary_LCIA!Y$32</f>
        <v>1.5582E-2</v>
      </c>
      <c r="AI75" s="137">
        <f>Summary_LCIA!Z$32</f>
        <v>4.1009E-5</v>
      </c>
      <c r="AJ75" s="137">
        <f>Summary_LCIA!AA$32</f>
        <v>2.3355999999999998E-2</v>
      </c>
      <c r="AK75" s="137">
        <f>Summary_LCIA!AB$32</f>
        <v>-2.1823000000000001E-5</v>
      </c>
      <c r="AL75" s="137">
        <f>Summary_LCIA!AC$32</f>
        <v>4.8884000000000003E-8</v>
      </c>
      <c r="AM75" s="137">
        <f>Summary_LCIA!AD$32</f>
        <v>4.1103999999999999E-4</v>
      </c>
      <c r="AN75" s="137">
        <f>Summary_LCIA!AE$32</f>
        <v>8.8612999999999995E-4</v>
      </c>
      <c r="AO75" s="137">
        <f>Summary_LCIA!AF$32</f>
        <v>8.4542000000000005E-4</v>
      </c>
      <c r="AP75" s="137">
        <f>Summary_LCIA!AG$32</f>
        <v>5.1165000000000002E-5</v>
      </c>
      <c r="AQ75" s="137">
        <f>Summary_LCIA!AH$32</f>
        <v>8.7036000000000006E-3</v>
      </c>
      <c r="AR75" s="137">
        <f>Summary_LCIA!AI$32</f>
        <v>9.3154999999999996E-4</v>
      </c>
      <c r="AT75" s="137">
        <f t="shared" si="23"/>
        <v>118.05127719999999</v>
      </c>
      <c r="AU75" s="137">
        <f t="shared" si="15"/>
        <v>1721.8013051302619</v>
      </c>
      <c r="AV75" s="137">
        <f t="shared" si="16"/>
        <v>1.8293431583999997</v>
      </c>
      <c r="AW75" s="137">
        <f t="shared" si="17"/>
        <v>116.51570732</v>
      </c>
      <c r="AX75" s="137">
        <f t="shared" si="18"/>
        <v>38.180798599999996</v>
      </c>
      <c r="AY75" s="137">
        <f t="shared" si="19"/>
        <v>6.2235743959999992</v>
      </c>
      <c r="AZ75" s="137">
        <f t="shared" si="20"/>
        <v>1.6592840054E-2</v>
      </c>
      <c r="BA75" s="137">
        <f t="shared" si="21"/>
        <v>26.740802993999999</v>
      </c>
      <c r="BB75" s="137">
        <f t="shared" si="22"/>
        <v>7.9140909200000005</v>
      </c>
      <c r="BC75" s="137">
        <f t="shared" si="4"/>
        <v>5.4134049480000002</v>
      </c>
      <c r="BD75" s="137">
        <f t="shared" si="5"/>
        <v>1.4247100726E-2</v>
      </c>
      <c r="BE75" s="137">
        <f t="shared" si="6"/>
        <v>8.1142013839999994</v>
      </c>
      <c r="BF75" s="137">
        <f t="shared" si="7"/>
        <v>-7.5816157220000005E-3</v>
      </c>
      <c r="BG75" s="137">
        <f t="shared" si="8"/>
        <v>1.6982985976000001E-5</v>
      </c>
      <c r="BH75" s="137">
        <f t="shared" si="9"/>
        <v>0.14280105056</v>
      </c>
      <c r="BI75" s="137">
        <f t="shared" si="10"/>
        <v>0.30785396781999996</v>
      </c>
      <c r="BJ75" s="137">
        <f t="shared" si="11"/>
        <v>0.29371074388000001</v>
      </c>
      <c r="BK75" s="137">
        <f t="shared" si="12"/>
        <v>1.7775437309999999E-2</v>
      </c>
      <c r="BL75" s="137">
        <f t="shared" si="13"/>
        <v>3.0237524904000002</v>
      </c>
      <c r="BM75" s="137">
        <f t="shared" si="14"/>
        <v>0.32363351169999999</v>
      </c>
    </row>
    <row r="76" spans="1:65" x14ac:dyDescent="0.25">
      <c r="A76" s="149">
        <v>51</v>
      </c>
      <c r="B76" s="149">
        <v>43</v>
      </c>
      <c r="C76" s="61">
        <v>38.892378999999998</v>
      </c>
      <c r="D76" s="61">
        <v>-77.048395999999997</v>
      </c>
      <c r="E76" s="61" t="s">
        <v>265</v>
      </c>
      <c r="F76" s="149">
        <v>86</v>
      </c>
      <c r="G76" s="61" t="s">
        <v>630</v>
      </c>
      <c r="H76" s="61" t="s">
        <v>644</v>
      </c>
      <c r="I76" s="61">
        <v>38.851241999999999</v>
      </c>
      <c r="J76" s="61">
        <v>-77.040232000000003</v>
      </c>
      <c r="K76" s="61">
        <v>6.4145804120000003</v>
      </c>
      <c r="L76" s="61">
        <v>7.7</v>
      </c>
      <c r="M76" s="61" t="s">
        <v>617</v>
      </c>
      <c r="N76" s="149">
        <v>42</v>
      </c>
      <c r="O76" s="149">
        <v>43</v>
      </c>
      <c r="P76" s="61" t="s">
        <v>565</v>
      </c>
      <c r="Q76" s="61" t="s">
        <v>555</v>
      </c>
      <c r="R76" s="61">
        <v>40.6895314</v>
      </c>
      <c r="S76" s="61">
        <v>-74.174462399999996</v>
      </c>
      <c r="T76" s="61">
        <v>349.28899999999999</v>
      </c>
      <c r="U76" s="61" t="s">
        <v>617</v>
      </c>
      <c r="V76" s="61" t="s">
        <v>617</v>
      </c>
      <c r="W76" s="61"/>
      <c r="Y76" s="137">
        <f>Summary_LCIA!H$32</f>
        <v>0.33979999999999999</v>
      </c>
      <c r="Z76" s="137">
        <f>Summary_LCIA!Q$32</f>
        <v>4.9560504329999997</v>
      </c>
      <c r="AA76" s="137">
        <f>Summary_LCIA!R$32</f>
        <v>5.2655999999999996E-3</v>
      </c>
      <c r="AB76" s="137">
        <f>Summary_LCIA!S$32</f>
        <v>0.33538000000000001</v>
      </c>
      <c r="AC76" s="137">
        <f>Summary_LCIA!T$32</f>
        <v>0.1099</v>
      </c>
      <c r="AD76" s="137">
        <f>Summary_LCIA!U$32</f>
        <v>1.7913999999999999E-2</v>
      </c>
      <c r="AE76" s="137">
        <f>Summary_LCIA!V$32</f>
        <v>4.7760999999999999E-5</v>
      </c>
      <c r="AF76" s="137">
        <f>Summary_LCIA!W$32</f>
        <v>7.6970999999999998E-2</v>
      </c>
      <c r="AG76" s="137">
        <f>Summary_LCIA!X$32</f>
        <v>2.2780000000000002E-2</v>
      </c>
      <c r="AH76" s="137">
        <f>Summary_LCIA!Y$32</f>
        <v>1.5582E-2</v>
      </c>
      <c r="AI76" s="137">
        <f>Summary_LCIA!Z$32</f>
        <v>4.1009E-5</v>
      </c>
      <c r="AJ76" s="137">
        <f>Summary_LCIA!AA$32</f>
        <v>2.3355999999999998E-2</v>
      </c>
      <c r="AK76" s="137">
        <f>Summary_LCIA!AB$32</f>
        <v>-2.1823000000000001E-5</v>
      </c>
      <c r="AL76" s="137">
        <f>Summary_LCIA!AC$32</f>
        <v>4.8884000000000003E-8</v>
      </c>
      <c r="AM76" s="137">
        <f>Summary_LCIA!AD$32</f>
        <v>4.1103999999999999E-4</v>
      </c>
      <c r="AN76" s="137">
        <f>Summary_LCIA!AE$32</f>
        <v>8.8612999999999995E-4</v>
      </c>
      <c r="AO76" s="137">
        <f>Summary_LCIA!AF$32</f>
        <v>8.4542000000000005E-4</v>
      </c>
      <c r="AP76" s="137">
        <f>Summary_LCIA!AG$32</f>
        <v>5.1165000000000002E-5</v>
      </c>
      <c r="AQ76" s="137">
        <f>Summary_LCIA!AH$32</f>
        <v>8.7036000000000006E-3</v>
      </c>
      <c r="AR76" s="137">
        <f>Summary_LCIA!AI$32</f>
        <v>9.3154999999999996E-4</v>
      </c>
      <c r="AT76" s="137">
        <f t="shared" si="23"/>
        <v>118.6884022</v>
      </c>
      <c r="AU76" s="137">
        <f t="shared" si="15"/>
        <v>1731.0938996921368</v>
      </c>
      <c r="AV76" s="137">
        <f t="shared" si="16"/>
        <v>1.8392161583999997</v>
      </c>
      <c r="AW76" s="137">
        <f t="shared" si="17"/>
        <v>117.14454481999999</v>
      </c>
      <c r="AX76" s="137">
        <f t="shared" si="18"/>
        <v>38.386861099999997</v>
      </c>
      <c r="AY76" s="137">
        <f t="shared" si="19"/>
        <v>6.2571631459999999</v>
      </c>
      <c r="AZ76" s="137">
        <f t="shared" si="20"/>
        <v>1.6682391929E-2</v>
      </c>
      <c r="BA76" s="137">
        <f t="shared" si="21"/>
        <v>26.885123618999998</v>
      </c>
      <c r="BB76" s="137">
        <f t="shared" si="22"/>
        <v>7.95680342</v>
      </c>
      <c r="BC76" s="137">
        <f t="shared" si="4"/>
        <v>5.4426211980000003</v>
      </c>
      <c r="BD76" s="137">
        <f t="shared" si="5"/>
        <v>1.4323992600999999E-2</v>
      </c>
      <c r="BE76" s="137">
        <f t="shared" si="6"/>
        <v>8.1579938839999997</v>
      </c>
      <c r="BF76" s="137">
        <f t="shared" si="7"/>
        <v>-7.6225338470000004E-3</v>
      </c>
      <c r="BG76" s="137">
        <f t="shared" si="8"/>
        <v>1.7074643475999999E-5</v>
      </c>
      <c r="BH76" s="137">
        <f t="shared" si="9"/>
        <v>0.14357175055999999</v>
      </c>
      <c r="BI76" s="137">
        <f t="shared" si="10"/>
        <v>0.30951546156999998</v>
      </c>
      <c r="BJ76" s="137">
        <f t="shared" si="11"/>
        <v>0.29529590638000003</v>
      </c>
      <c r="BK76" s="137">
        <f t="shared" si="12"/>
        <v>1.7871371685000002E-2</v>
      </c>
      <c r="BL76" s="137">
        <f t="shared" si="13"/>
        <v>3.0400717404000002</v>
      </c>
      <c r="BM76" s="137">
        <f t="shared" si="14"/>
        <v>0.32538016794999997</v>
      </c>
    </row>
    <row r="77" spans="1:65" x14ac:dyDescent="0.25">
      <c r="A77" s="149">
        <v>55</v>
      </c>
      <c r="B77" s="149">
        <v>43</v>
      </c>
      <c r="C77" s="61">
        <v>38.892918999999999</v>
      </c>
      <c r="D77" s="61">
        <v>-77.050562999999997</v>
      </c>
      <c r="E77" s="61" t="s">
        <v>265</v>
      </c>
      <c r="F77" s="149">
        <v>86</v>
      </c>
      <c r="G77" s="61" t="s">
        <v>630</v>
      </c>
      <c r="H77" s="61" t="s">
        <v>644</v>
      </c>
      <c r="I77" s="61">
        <v>38.851241999999999</v>
      </c>
      <c r="J77" s="61">
        <v>-77.040232000000003</v>
      </c>
      <c r="K77" s="61">
        <v>6.5036477030000004</v>
      </c>
      <c r="L77" s="61">
        <v>7.6310000000000002</v>
      </c>
      <c r="M77" s="61" t="s">
        <v>617</v>
      </c>
      <c r="N77" s="149">
        <v>42</v>
      </c>
      <c r="O77" s="149">
        <v>43</v>
      </c>
      <c r="P77" s="61" t="s">
        <v>565</v>
      </c>
      <c r="Q77" s="61" t="s">
        <v>555</v>
      </c>
      <c r="R77" s="61">
        <v>40.6895314</v>
      </c>
      <c r="S77" s="61">
        <v>-74.174462399999996</v>
      </c>
      <c r="T77" s="61">
        <v>349.54</v>
      </c>
      <c r="U77" s="61" t="s">
        <v>617</v>
      </c>
      <c r="V77" s="61" t="s">
        <v>617</v>
      </c>
      <c r="W77" s="61"/>
      <c r="Y77" s="137">
        <f>Summary_LCIA!H$32</f>
        <v>0.33979999999999999</v>
      </c>
      <c r="Z77" s="137">
        <f>Summary_LCIA!Q$32</f>
        <v>4.9560504329999997</v>
      </c>
      <c r="AA77" s="137">
        <f>Summary_LCIA!R$32</f>
        <v>5.2655999999999996E-3</v>
      </c>
      <c r="AB77" s="137">
        <f>Summary_LCIA!S$32</f>
        <v>0.33538000000000001</v>
      </c>
      <c r="AC77" s="137">
        <f>Summary_LCIA!T$32</f>
        <v>0.1099</v>
      </c>
      <c r="AD77" s="137">
        <f>Summary_LCIA!U$32</f>
        <v>1.7913999999999999E-2</v>
      </c>
      <c r="AE77" s="137">
        <f>Summary_LCIA!V$32</f>
        <v>4.7760999999999999E-5</v>
      </c>
      <c r="AF77" s="137">
        <f>Summary_LCIA!W$32</f>
        <v>7.6970999999999998E-2</v>
      </c>
      <c r="AG77" s="137">
        <f>Summary_LCIA!X$32</f>
        <v>2.2780000000000002E-2</v>
      </c>
      <c r="AH77" s="137">
        <f>Summary_LCIA!Y$32</f>
        <v>1.5582E-2</v>
      </c>
      <c r="AI77" s="137">
        <f>Summary_LCIA!Z$32</f>
        <v>4.1009E-5</v>
      </c>
      <c r="AJ77" s="137">
        <f>Summary_LCIA!AA$32</f>
        <v>2.3355999999999998E-2</v>
      </c>
      <c r="AK77" s="137">
        <f>Summary_LCIA!AB$32</f>
        <v>-2.1823000000000001E-5</v>
      </c>
      <c r="AL77" s="137">
        <f>Summary_LCIA!AC$32</f>
        <v>4.8884000000000003E-8</v>
      </c>
      <c r="AM77" s="137">
        <f>Summary_LCIA!AD$32</f>
        <v>4.1103999999999999E-4</v>
      </c>
      <c r="AN77" s="137">
        <f>Summary_LCIA!AE$32</f>
        <v>8.8612999999999995E-4</v>
      </c>
      <c r="AO77" s="137">
        <f>Summary_LCIA!AF$32</f>
        <v>8.4542000000000005E-4</v>
      </c>
      <c r="AP77" s="137">
        <f>Summary_LCIA!AG$32</f>
        <v>5.1165000000000002E-5</v>
      </c>
      <c r="AQ77" s="137">
        <f>Summary_LCIA!AH$32</f>
        <v>8.7036000000000006E-3</v>
      </c>
      <c r="AR77" s="137">
        <f>Summary_LCIA!AI$32</f>
        <v>9.3154999999999996E-4</v>
      </c>
      <c r="AT77" s="137">
        <f t="shared" si="23"/>
        <v>118.773692</v>
      </c>
      <c r="AU77" s="137">
        <f t="shared" si="15"/>
        <v>1732.3378683508199</v>
      </c>
      <c r="AV77" s="137">
        <f t="shared" si="16"/>
        <v>1.8405378239999999</v>
      </c>
      <c r="AW77" s="137">
        <f t="shared" si="17"/>
        <v>117.22872520000001</v>
      </c>
      <c r="AX77" s="137">
        <f t="shared" si="18"/>
        <v>38.414445999999998</v>
      </c>
      <c r="AY77" s="137">
        <f t="shared" si="19"/>
        <v>6.26165956</v>
      </c>
      <c r="AZ77" s="137">
        <f t="shared" si="20"/>
        <v>1.669437994E-2</v>
      </c>
      <c r="BA77" s="137">
        <f t="shared" si="21"/>
        <v>26.90444334</v>
      </c>
      <c r="BB77" s="137">
        <f t="shared" si="22"/>
        <v>7.9625212000000012</v>
      </c>
      <c r="BC77" s="137">
        <f t="shared" si="4"/>
        <v>5.4465322800000004</v>
      </c>
      <c r="BD77" s="137">
        <f t="shared" si="5"/>
        <v>1.433428586E-2</v>
      </c>
      <c r="BE77" s="137">
        <f t="shared" si="6"/>
        <v>8.1638562399999994</v>
      </c>
      <c r="BF77" s="137">
        <f t="shared" si="7"/>
        <v>-7.6280114200000006E-3</v>
      </c>
      <c r="BG77" s="137">
        <f t="shared" si="8"/>
        <v>1.7086913360000003E-5</v>
      </c>
      <c r="BH77" s="137">
        <f t="shared" si="9"/>
        <v>0.14367492160000001</v>
      </c>
      <c r="BI77" s="137">
        <f t="shared" si="10"/>
        <v>0.30973788019999998</v>
      </c>
      <c r="BJ77" s="137">
        <f t="shared" si="11"/>
        <v>0.29550810680000006</v>
      </c>
      <c r="BK77" s="137">
        <f t="shared" si="12"/>
        <v>1.78842141E-2</v>
      </c>
      <c r="BL77" s="137">
        <f t="shared" si="13"/>
        <v>3.0422563440000006</v>
      </c>
      <c r="BM77" s="137">
        <f t="shared" si="14"/>
        <v>0.32561398699999999</v>
      </c>
    </row>
    <row r="78" spans="1:65" x14ac:dyDescent="0.25">
      <c r="A78" s="149">
        <v>56</v>
      </c>
      <c r="B78" s="149">
        <v>43</v>
      </c>
      <c r="C78" s="61">
        <v>38.892918999999999</v>
      </c>
      <c r="D78" s="61">
        <v>-77.050562999999997</v>
      </c>
      <c r="E78" s="61" t="s">
        <v>265</v>
      </c>
      <c r="F78" s="149">
        <v>86</v>
      </c>
      <c r="G78" s="61" t="s">
        <v>630</v>
      </c>
      <c r="H78" s="61" t="s">
        <v>644</v>
      </c>
      <c r="I78" s="61">
        <v>38.851241999999999</v>
      </c>
      <c r="J78" s="61">
        <v>-77.040232000000003</v>
      </c>
      <c r="K78" s="61">
        <v>6.5036477030000004</v>
      </c>
      <c r="L78" s="61">
        <v>7.6310000000000002</v>
      </c>
      <c r="M78" s="61" t="s">
        <v>617</v>
      </c>
      <c r="N78" s="149">
        <v>42</v>
      </c>
      <c r="O78" s="149">
        <v>43</v>
      </c>
      <c r="P78" s="61" t="s">
        <v>565</v>
      </c>
      <c r="Q78" s="61" t="s">
        <v>555</v>
      </c>
      <c r="R78" s="61">
        <v>40.6895314</v>
      </c>
      <c r="S78" s="61">
        <v>-74.174462399999996</v>
      </c>
      <c r="T78" s="61">
        <v>349.54</v>
      </c>
      <c r="U78" s="61" t="s">
        <v>617</v>
      </c>
      <c r="V78" s="61" t="s">
        <v>617</v>
      </c>
      <c r="W78" s="61"/>
      <c r="Y78" s="137">
        <f>Summary_LCIA!H$32</f>
        <v>0.33979999999999999</v>
      </c>
      <c r="Z78" s="137">
        <f>Summary_LCIA!Q$32</f>
        <v>4.9560504329999997</v>
      </c>
      <c r="AA78" s="137">
        <f>Summary_LCIA!R$32</f>
        <v>5.2655999999999996E-3</v>
      </c>
      <c r="AB78" s="137">
        <f>Summary_LCIA!S$32</f>
        <v>0.33538000000000001</v>
      </c>
      <c r="AC78" s="137">
        <f>Summary_LCIA!T$32</f>
        <v>0.1099</v>
      </c>
      <c r="AD78" s="137">
        <f>Summary_LCIA!U$32</f>
        <v>1.7913999999999999E-2</v>
      </c>
      <c r="AE78" s="137">
        <f>Summary_LCIA!V$32</f>
        <v>4.7760999999999999E-5</v>
      </c>
      <c r="AF78" s="137">
        <f>Summary_LCIA!W$32</f>
        <v>7.6970999999999998E-2</v>
      </c>
      <c r="AG78" s="137">
        <f>Summary_LCIA!X$32</f>
        <v>2.2780000000000002E-2</v>
      </c>
      <c r="AH78" s="137">
        <f>Summary_LCIA!Y$32</f>
        <v>1.5582E-2</v>
      </c>
      <c r="AI78" s="137">
        <f>Summary_LCIA!Z$32</f>
        <v>4.1009E-5</v>
      </c>
      <c r="AJ78" s="137">
        <f>Summary_LCIA!AA$32</f>
        <v>2.3355999999999998E-2</v>
      </c>
      <c r="AK78" s="137">
        <f>Summary_LCIA!AB$32</f>
        <v>-2.1823000000000001E-5</v>
      </c>
      <c r="AL78" s="137">
        <f>Summary_LCIA!AC$32</f>
        <v>4.8884000000000003E-8</v>
      </c>
      <c r="AM78" s="137">
        <f>Summary_LCIA!AD$32</f>
        <v>4.1103999999999999E-4</v>
      </c>
      <c r="AN78" s="137">
        <f>Summary_LCIA!AE$32</f>
        <v>8.8612999999999995E-4</v>
      </c>
      <c r="AO78" s="137">
        <f>Summary_LCIA!AF$32</f>
        <v>8.4542000000000005E-4</v>
      </c>
      <c r="AP78" s="137">
        <f>Summary_LCIA!AG$32</f>
        <v>5.1165000000000002E-5</v>
      </c>
      <c r="AQ78" s="137">
        <f>Summary_LCIA!AH$32</f>
        <v>8.7036000000000006E-3</v>
      </c>
      <c r="AR78" s="137">
        <f>Summary_LCIA!AI$32</f>
        <v>9.3154999999999996E-4</v>
      </c>
      <c r="AT78" s="137">
        <f t="shared" si="23"/>
        <v>118.773692</v>
      </c>
      <c r="AU78" s="137">
        <f t="shared" si="15"/>
        <v>1732.3378683508199</v>
      </c>
      <c r="AV78" s="137">
        <f t="shared" si="16"/>
        <v>1.8405378239999999</v>
      </c>
      <c r="AW78" s="137">
        <f t="shared" si="17"/>
        <v>117.22872520000001</v>
      </c>
      <c r="AX78" s="137">
        <f t="shared" si="18"/>
        <v>38.414445999999998</v>
      </c>
      <c r="AY78" s="137">
        <f t="shared" si="19"/>
        <v>6.26165956</v>
      </c>
      <c r="AZ78" s="137">
        <f t="shared" si="20"/>
        <v>1.669437994E-2</v>
      </c>
      <c r="BA78" s="137">
        <f t="shared" si="21"/>
        <v>26.90444334</v>
      </c>
      <c r="BB78" s="137">
        <f t="shared" si="22"/>
        <v>7.9625212000000012</v>
      </c>
      <c r="BC78" s="137">
        <f t="shared" si="4"/>
        <v>5.4465322800000004</v>
      </c>
      <c r="BD78" s="137">
        <f t="shared" si="5"/>
        <v>1.433428586E-2</v>
      </c>
      <c r="BE78" s="137">
        <f t="shared" si="6"/>
        <v>8.1638562399999994</v>
      </c>
      <c r="BF78" s="137">
        <f t="shared" si="7"/>
        <v>-7.6280114200000006E-3</v>
      </c>
      <c r="BG78" s="137">
        <f t="shared" si="8"/>
        <v>1.7086913360000003E-5</v>
      </c>
      <c r="BH78" s="137">
        <f t="shared" si="9"/>
        <v>0.14367492160000001</v>
      </c>
      <c r="BI78" s="137">
        <f t="shared" si="10"/>
        <v>0.30973788019999998</v>
      </c>
      <c r="BJ78" s="137">
        <f t="shared" si="11"/>
        <v>0.29550810680000006</v>
      </c>
      <c r="BK78" s="137">
        <f t="shared" si="12"/>
        <v>1.78842141E-2</v>
      </c>
      <c r="BL78" s="137">
        <f t="shared" si="13"/>
        <v>3.0422563440000006</v>
      </c>
      <c r="BM78" s="137">
        <f t="shared" si="14"/>
        <v>0.32561398699999999</v>
      </c>
    </row>
    <row r="79" spans="1:65" x14ac:dyDescent="0.25">
      <c r="A79" s="149">
        <v>134</v>
      </c>
      <c r="B79" s="149">
        <v>43</v>
      </c>
      <c r="C79" s="61">
        <v>38.881621000000003</v>
      </c>
      <c r="D79" s="61">
        <v>-77.090980999999999</v>
      </c>
      <c r="E79" s="61" t="s">
        <v>265</v>
      </c>
      <c r="F79" s="149">
        <v>86</v>
      </c>
      <c r="G79" s="61" t="s">
        <v>630</v>
      </c>
      <c r="H79" s="61" t="s">
        <v>644</v>
      </c>
      <c r="I79" s="61">
        <v>38.851241999999999</v>
      </c>
      <c r="J79" s="61">
        <v>-77.040232000000003</v>
      </c>
      <c r="K79" s="61">
        <v>6.1868912390000004</v>
      </c>
      <c r="L79" s="61">
        <v>8.6340000000000003</v>
      </c>
      <c r="M79" s="61" t="s">
        <v>617</v>
      </c>
      <c r="N79" s="149">
        <v>42</v>
      </c>
      <c r="O79" s="149">
        <v>43</v>
      </c>
      <c r="P79" s="61" t="s">
        <v>565</v>
      </c>
      <c r="Q79" s="61" t="s">
        <v>555</v>
      </c>
      <c r="R79" s="61">
        <v>40.6895314</v>
      </c>
      <c r="S79" s="61">
        <v>-74.174462399999996</v>
      </c>
      <c r="T79" s="61">
        <v>353.63499999999999</v>
      </c>
      <c r="U79" s="61" t="s">
        <v>617</v>
      </c>
      <c r="V79" s="61" t="s">
        <v>617</v>
      </c>
      <c r="W79" s="61"/>
      <c r="Y79" s="137">
        <f>Summary_LCIA!H$32</f>
        <v>0.33979999999999999</v>
      </c>
      <c r="Z79" s="137">
        <f>Summary_LCIA!Q$32</f>
        <v>4.9560504329999997</v>
      </c>
      <c r="AA79" s="137">
        <f>Summary_LCIA!R$32</f>
        <v>5.2655999999999996E-3</v>
      </c>
      <c r="AB79" s="137">
        <f>Summary_LCIA!S$32</f>
        <v>0.33538000000000001</v>
      </c>
      <c r="AC79" s="137">
        <f>Summary_LCIA!T$32</f>
        <v>0.1099</v>
      </c>
      <c r="AD79" s="137">
        <f>Summary_LCIA!U$32</f>
        <v>1.7913999999999999E-2</v>
      </c>
      <c r="AE79" s="137">
        <f>Summary_LCIA!V$32</f>
        <v>4.7760999999999999E-5</v>
      </c>
      <c r="AF79" s="137">
        <f>Summary_LCIA!W$32</f>
        <v>7.6970999999999998E-2</v>
      </c>
      <c r="AG79" s="137">
        <f>Summary_LCIA!X$32</f>
        <v>2.2780000000000002E-2</v>
      </c>
      <c r="AH79" s="137">
        <f>Summary_LCIA!Y$32</f>
        <v>1.5582E-2</v>
      </c>
      <c r="AI79" s="137">
        <f>Summary_LCIA!Z$32</f>
        <v>4.1009E-5</v>
      </c>
      <c r="AJ79" s="137">
        <f>Summary_LCIA!AA$32</f>
        <v>2.3355999999999998E-2</v>
      </c>
      <c r="AK79" s="137">
        <f>Summary_LCIA!AB$32</f>
        <v>-2.1823000000000001E-5</v>
      </c>
      <c r="AL79" s="137">
        <f>Summary_LCIA!AC$32</f>
        <v>4.8884000000000003E-8</v>
      </c>
      <c r="AM79" s="137">
        <f>Summary_LCIA!AD$32</f>
        <v>4.1103999999999999E-4</v>
      </c>
      <c r="AN79" s="137">
        <f>Summary_LCIA!AE$32</f>
        <v>8.8612999999999995E-4</v>
      </c>
      <c r="AO79" s="137">
        <f>Summary_LCIA!AF$32</f>
        <v>8.4542000000000005E-4</v>
      </c>
      <c r="AP79" s="137">
        <f>Summary_LCIA!AG$32</f>
        <v>5.1165000000000002E-5</v>
      </c>
      <c r="AQ79" s="137">
        <f>Summary_LCIA!AH$32</f>
        <v>8.7036000000000006E-3</v>
      </c>
      <c r="AR79" s="137">
        <f>Summary_LCIA!AI$32</f>
        <v>9.3154999999999996E-4</v>
      </c>
      <c r="AT79" s="137">
        <f t="shared" si="23"/>
        <v>120.165173</v>
      </c>
      <c r="AU79" s="137">
        <f t="shared" si="15"/>
        <v>1752.6328948739549</v>
      </c>
      <c r="AV79" s="137">
        <f t="shared" si="16"/>
        <v>1.8621004559999998</v>
      </c>
      <c r="AW79" s="137">
        <f t="shared" si="17"/>
        <v>118.6021063</v>
      </c>
      <c r="AX79" s="137">
        <f t="shared" si="18"/>
        <v>38.864486499999998</v>
      </c>
      <c r="AY79" s="137">
        <f t="shared" si="19"/>
        <v>6.33501739</v>
      </c>
      <c r="AZ79" s="137">
        <f t="shared" si="20"/>
        <v>1.6889961235000001E-2</v>
      </c>
      <c r="BA79" s="137">
        <f t="shared" si="21"/>
        <v>27.219639584999999</v>
      </c>
      <c r="BB79" s="137">
        <f t="shared" si="22"/>
        <v>8.0558053000000012</v>
      </c>
      <c r="BC79" s="137">
        <f t="shared" ref="BC79:BC112" si="24">$T79*AH79</f>
        <v>5.5103405700000003</v>
      </c>
      <c r="BD79" s="137">
        <f t="shared" ref="BD79:BD112" si="25">$T79*AI79</f>
        <v>1.4502217715E-2</v>
      </c>
      <c r="BE79" s="137">
        <f t="shared" ref="BE79:BE112" si="26">$T79*AJ79</f>
        <v>8.2594990599999996</v>
      </c>
      <c r="BF79" s="137">
        <f t="shared" ref="BF79:BF112" si="27">$T79*AK79</f>
        <v>-7.7173766050000004E-3</v>
      </c>
      <c r="BG79" s="137">
        <f t="shared" ref="BG79:BG112" si="28">$T79*AL79</f>
        <v>1.7287093340000001E-5</v>
      </c>
      <c r="BH79" s="137">
        <f t="shared" ref="BH79:BH112" si="29">$T79*AM79</f>
        <v>0.14535813040000001</v>
      </c>
      <c r="BI79" s="137">
        <f t="shared" ref="BI79:BI112" si="30">$T79*AN79</f>
        <v>0.31336658254999999</v>
      </c>
      <c r="BJ79" s="137">
        <f t="shared" ref="BJ79:BJ112" si="31">$T79*AO79</f>
        <v>0.29897010169999999</v>
      </c>
      <c r="BK79" s="137">
        <f t="shared" ref="BK79:BK112" si="32">$T79*AP79</f>
        <v>1.8093734775000002E-2</v>
      </c>
      <c r="BL79" s="137">
        <f t="shared" ref="BL79:BL112" si="33">$T79*AQ79</f>
        <v>3.0778975860000002</v>
      </c>
      <c r="BM79" s="137">
        <f t="shared" ref="BM79:BM112" si="34">$T79*AR79</f>
        <v>0.32942868424999999</v>
      </c>
    </row>
    <row r="80" spans="1:65" x14ac:dyDescent="0.25">
      <c r="A80" s="149">
        <v>14</v>
      </c>
      <c r="B80" s="149">
        <v>43</v>
      </c>
      <c r="C80" s="61">
        <v>39.144460000000002</v>
      </c>
      <c r="D80" s="61">
        <v>-77.216469000000004</v>
      </c>
      <c r="E80" s="61" t="s">
        <v>265</v>
      </c>
      <c r="F80" s="149">
        <v>85</v>
      </c>
      <c r="G80" s="61" t="s">
        <v>630</v>
      </c>
      <c r="H80" s="61" t="s">
        <v>631</v>
      </c>
      <c r="I80" s="61">
        <v>38.953116000000001</v>
      </c>
      <c r="J80" s="61">
        <v>-77.456539000000006</v>
      </c>
      <c r="K80" s="61">
        <v>38.295953089999998</v>
      </c>
      <c r="L80" s="61">
        <v>52.948</v>
      </c>
      <c r="M80" s="61" t="s">
        <v>617</v>
      </c>
      <c r="N80" s="149">
        <v>42</v>
      </c>
      <c r="O80" s="149">
        <v>43</v>
      </c>
      <c r="P80" s="61" t="s">
        <v>565</v>
      </c>
      <c r="Q80" s="61" t="s">
        <v>555</v>
      </c>
      <c r="R80" s="61">
        <v>40.6895314</v>
      </c>
      <c r="S80" s="61">
        <v>-74.174462399999996</v>
      </c>
      <c r="T80" s="61">
        <v>354.65100000000001</v>
      </c>
      <c r="U80" s="61" t="s">
        <v>617</v>
      </c>
      <c r="V80" s="61" t="s">
        <v>617</v>
      </c>
      <c r="W80" s="61"/>
      <c r="Y80" s="137">
        <f>Summary_LCIA!H$32</f>
        <v>0.33979999999999999</v>
      </c>
      <c r="Z80" s="137">
        <f>Summary_LCIA!Q$32</f>
        <v>4.9560504329999997</v>
      </c>
      <c r="AA80" s="137">
        <f>Summary_LCIA!R$32</f>
        <v>5.2655999999999996E-3</v>
      </c>
      <c r="AB80" s="137">
        <f>Summary_LCIA!S$32</f>
        <v>0.33538000000000001</v>
      </c>
      <c r="AC80" s="137">
        <f>Summary_LCIA!T$32</f>
        <v>0.1099</v>
      </c>
      <c r="AD80" s="137">
        <f>Summary_LCIA!U$32</f>
        <v>1.7913999999999999E-2</v>
      </c>
      <c r="AE80" s="137">
        <f>Summary_LCIA!V$32</f>
        <v>4.7760999999999999E-5</v>
      </c>
      <c r="AF80" s="137">
        <f>Summary_LCIA!W$32</f>
        <v>7.6970999999999998E-2</v>
      </c>
      <c r="AG80" s="137">
        <f>Summary_LCIA!X$32</f>
        <v>2.2780000000000002E-2</v>
      </c>
      <c r="AH80" s="137">
        <f>Summary_LCIA!Y$32</f>
        <v>1.5582E-2</v>
      </c>
      <c r="AI80" s="137">
        <f>Summary_LCIA!Z$32</f>
        <v>4.1009E-5</v>
      </c>
      <c r="AJ80" s="137">
        <f>Summary_LCIA!AA$32</f>
        <v>2.3355999999999998E-2</v>
      </c>
      <c r="AK80" s="137">
        <f>Summary_LCIA!AB$32</f>
        <v>-2.1823000000000001E-5</v>
      </c>
      <c r="AL80" s="137">
        <f>Summary_LCIA!AC$32</f>
        <v>4.8884000000000003E-8</v>
      </c>
      <c r="AM80" s="137">
        <f>Summary_LCIA!AD$32</f>
        <v>4.1103999999999999E-4</v>
      </c>
      <c r="AN80" s="137">
        <f>Summary_LCIA!AE$32</f>
        <v>8.8612999999999995E-4</v>
      </c>
      <c r="AO80" s="137">
        <f>Summary_LCIA!AF$32</f>
        <v>8.4542000000000005E-4</v>
      </c>
      <c r="AP80" s="137">
        <f>Summary_LCIA!AG$32</f>
        <v>5.1165000000000002E-5</v>
      </c>
      <c r="AQ80" s="137">
        <f>Summary_LCIA!AH$32</f>
        <v>8.7036000000000006E-3</v>
      </c>
      <c r="AR80" s="137">
        <f>Summary_LCIA!AI$32</f>
        <v>9.3154999999999996E-4</v>
      </c>
      <c r="AT80" s="137">
        <f t="shared" si="23"/>
        <v>120.51040980000001</v>
      </c>
      <c r="AU80" s="137">
        <f t="shared" ref="AU80:AU111" si="35">$T80*Z80</f>
        <v>1757.668242113883</v>
      </c>
      <c r="AV80" s="137">
        <f t="shared" ref="AV80:AV112" si="36">$T80*AA80</f>
        <v>1.8674503056</v>
      </c>
      <c r="AW80" s="137">
        <f t="shared" ref="AW80:AW112" si="37">$T80*AB80</f>
        <v>118.94285238000001</v>
      </c>
      <c r="AX80" s="137">
        <f t="shared" ref="AX80:AX112" si="38">$T80*AC80</f>
        <v>38.976144900000001</v>
      </c>
      <c r="AY80" s="137">
        <f t="shared" ref="AY80:AY112" si="39">$T80*AD80</f>
        <v>6.3532180140000003</v>
      </c>
      <c r="AZ80" s="137">
        <f t="shared" ref="AZ80:AZ112" si="40">$T80*AE80</f>
        <v>1.6938486411000001E-2</v>
      </c>
      <c r="BA80" s="137">
        <f t="shared" ref="BA80:BA112" si="41">$T80*AF80</f>
        <v>27.297842120999999</v>
      </c>
      <c r="BB80" s="137">
        <f t="shared" ref="BB80:BB112" si="42">$T80*AG80</f>
        <v>8.0789497800000003</v>
      </c>
      <c r="BC80" s="137">
        <f t="shared" si="24"/>
        <v>5.5261718819999999</v>
      </c>
      <c r="BD80" s="137">
        <f t="shared" si="25"/>
        <v>1.4543882859000001E-2</v>
      </c>
      <c r="BE80" s="137">
        <f t="shared" si="26"/>
        <v>8.2832287559999997</v>
      </c>
      <c r="BF80" s="137">
        <f t="shared" si="27"/>
        <v>-7.7395487730000006E-3</v>
      </c>
      <c r="BG80" s="137">
        <f t="shared" si="28"/>
        <v>1.7336759484000001E-5</v>
      </c>
      <c r="BH80" s="137">
        <f t="shared" si="29"/>
        <v>0.14577574704000001</v>
      </c>
      <c r="BI80" s="137">
        <f t="shared" si="30"/>
        <v>0.31426689063000002</v>
      </c>
      <c r="BJ80" s="137">
        <f t="shared" si="31"/>
        <v>0.29982904842000002</v>
      </c>
      <c r="BK80" s="137">
        <f t="shared" si="32"/>
        <v>1.8145718415000001E-2</v>
      </c>
      <c r="BL80" s="137">
        <f t="shared" si="33"/>
        <v>3.0867404436000001</v>
      </c>
      <c r="BM80" s="137">
        <f t="shared" si="34"/>
        <v>0.33037513904999999</v>
      </c>
    </row>
    <row r="81" spans="1:65" x14ac:dyDescent="0.25">
      <c r="A81" s="149">
        <v>35</v>
      </c>
      <c r="B81" s="149">
        <v>43</v>
      </c>
      <c r="C81" s="61">
        <v>38.805311000000003</v>
      </c>
      <c r="D81" s="61">
        <v>-77.055997000000005</v>
      </c>
      <c r="E81" s="61" t="s">
        <v>265</v>
      </c>
      <c r="F81" s="149">
        <v>86</v>
      </c>
      <c r="G81" s="61" t="s">
        <v>630</v>
      </c>
      <c r="H81" s="61" t="s">
        <v>644</v>
      </c>
      <c r="I81" s="61">
        <v>38.851241999999999</v>
      </c>
      <c r="J81" s="61">
        <v>-77.040232000000003</v>
      </c>
      <c r="K81" s="61">
        <v>7.4606559270000004</v>
      </c>
      <c r="L81" s="61">
        <v>8.0039999999999996</v>
      </c>
      <c r="M81" s="61" t="s">
        <v>617</v>
      </c>
      <c r="N81" s="149">
        <v>42</v>
      </c>
      <c r="O81" s="149">
        <v>43</v>
      </c>
      <c r="P81" s="61" t="s">
        <v>565</v>
      </c>
      <c r="Q81" s="61" t="s">
        <v>555</v>
      </c>
      <c r="R81" s="61">
        <v>40.6895314</v>
      </c>
      <c r="S81" s="61">
        <v>-74.174462399999996</v>
      </c>
      <c r="T81" s="61">
        <v>358.142</v>
      </c>
      <c r="U81" s="61" t="s">
        <v>617</v>
      </c>
      <c r="V81" s="61" t="s">
        <v>617</v>
      </c>
      <c r="W81" s="61"/>
      <c r="Y81" s="137">
        <f>Summary_LCIA!H$32</f>
        <v>0.33979999999999999</v>
      </c>
      <c r="Z81" s="137">
        <f>Summary_LCIA!Q$32</f>
        <v>4.9560504329999997</v>
      </c>
      <c r="AA81" s="137">
        <f>Summary_LCIA!R$32</f>
        <v>5.2655999999999996E-3</v>
      </c>
      <c r="AB81" s="137">
        <f>Summary_LCIA!S$32</f>
        <v>0.33538000000000001</v>
      </c>
      <c r="AC81" s="137">
        <f>Summary_LCIA!T$32</f>
        <v>0.1099</v>
      </c>
      <c r="AD81" s="137">
        <f>Summary_LCIA!U$32</f>
        <v>1.7913999999999999E-2</v>
      </c>
      <c r="AE81" s="137">
        <f>Summary_LCIA!V$32</f>
        <v>4.7760999999999999E-5</v>
      </c>
      <c r="AF81" s="137">
        <f>Summary_LCIA!W$32</f>
        <v>7.6970999999999998E-2</v>
      </c>
      <c r="AG81" s="137">
        <f>Summary_LCIA!X$32</f>
        <v>2.2780000000000002E-2</v>
      </c>
      <c r="AH81" s="137">
        <f>Summary_LCIA!Y$32</f>
        <v>1.5582E-2</v>
      </c>
      <c r="AI81" s="137">
        <f>Summary_LCIA!Z$32</f>
        <v>4.1009E-5</v>
      </c>
      <c r="AJ81" s="137">
        <f>Summary_LCIA!AA$32</f>
        <v>2.3355999999999998E-2</v>
      </c>
      <c r="AK81" s="137">
        <f>Summary_LCIA!AB$32</f>
        <v>-2.1823000000000001E-5</v>
      </c>
      <c r="AL81" s="137">
        <f>Summary_LCIA!AC$32</f>
        <v>4.8884000000000003E-8</v>
      </c>
      <c r="AM81" s="137">
        <f>Summary_LCIA!AD$32</f>
        <v>4.1103999999999999E-4</v>
      </c>
      <c r="AN81" s="137">
        <f>Summary_LCIA!AE$32</f>
        <v>8.8612999999999995E-4</v>
      </c>
      <c r="AO81" s="137">
        <f>Summary_LCIA!AF$32</f>
        <v>8.4542000000000005E-4</v>
      </c>
      <c r="AP81" s="137">
        <f>Summary_LCIA!AG$32</f>
        <v>5.1165000000000002E-5</v>
      </c>
      <c r="AQ81" s="137">
        <f>Summary_LCIA!AH$32</f>
        <v>8.7036000000000006E-3</v>
      </c>
      <c r="AR81" s="137">
        <f>Summary_LCIA!AI$32</f>
        <v>9.3154999999999996E-4</v>
      </c>
      <c r="AT81" s="137">
        <f t="shared" si="23"/>
        <v>121.6966516</v>
      </c>
      <c r="AU81" s="137">
        <f t="shared" si="35"/>
        <v>1774.9698141754859</v>
      </c>
      <c r="AV81" s="137">
        <f t="shared" si="36"/>
        <v>1.8858325151999999</v>
      </c>
      <c r="AW81" s="137">
        <f t="shared" si="37"/>
        <v>120.11366396</v>
      </c>
      <c r="AX81" s="137">
        <f t="shared" si="38"/>
        <v>39.359805799999997</v>
      </c>
      <c r="AY81" s="137">
        <f t="shared" si="39"/>
        <v>6.4157557879999993</v>
      </c>
      <c r="AZ81" s="137">
        <f t="shared" si="40"/>
        <v>1.7105220062E-2</v>
      </c>
      <c r="BA81" s="137">
        <f t="shared" si="41"/>
        <v>27.566547881999998</v>
      </c>
      <c r="BB81" s="137">
        <f t="shared" si="42"/>
        <v>8.1584747600000007</v>
      </c>
      <c r="BC81" s="137">
        <f t="shared" si="24"/>
        <v>5.5805686440000004</v>
      </c>
      <c r="BD81" s="137">
        <f t="shared" si="25"/>
        <v>1.4687045277999999E-2</v>
      </c>
      <c r="BE81" s="137">
        <f t="shared" si="26"/>
        <v>8.3647645519999987</v>
      </c>
      <c r="BF81" s="137">
        <f t="shared" si="27"/>
        <v>-7.8157328659999997E-3</v>
      </c>
      <c r="BG81" s="137">
        <f t="shared" si="28"/>
        <v>1.7507413528E-5</v>
      </c>
      <c r="BH81" s="137">
        <f t="shared" si="29"/>
        <v>0.14721068768000001</v>
      </c>
      <c r="BI81" s="137">
        <f t="shared" si="30"/>
        <v>0.31736037045999999</v>
      </c>
      <c r="BJ81" s="137">
        <f t="shared" si="31"/>
        <v>0.30278040964000003</v>
      </c>
      <c r="BK81" s="137">
        <f t="shared" si="32"/>
        <v>1.8324335430000002E-2</v>
      </c>
      <c r="BL81" s="137">
        <f t="shared" si="33"/>
        <v>3.1171247112000002</v>
      </c>
      <c r="BM81" s="137">
        <f t="shared" si="34"/>
        <v>0.33362718009999998</v>
      </c>
    </row>
    <row r="82" spans="1:65" x14ac:dyDescent="0.25">
      <c r="A82" s="149">
        <v>183</v>
      </c>
      <c r="B82" s="149">
        <v>43</v>
      </c>
      <c r="C82" s="61">
        <v>42.373615999999998</v>
      </c>
      <c r="D82" s="61">
        <v>-71.109734000000003</v>
      </c>
      <c r="E82" s="61" t="s">
        <v>265</v>
      </c>
      <c r="F82" s="149">
        <v>53</v>
      </c>
      <c r="G82" s="61" t="s">
        <v>565</v>
      </c>
      <c r="H82" s="61" t="s">
        <v>634</v>
      </c>
      <c r="I82" s="61">
        <v>42.365613000000003</v>
      </c>
      <c r="J82" s="61">
        <v>-71.009559999999993</v>
      </c>
      <c r="K82" s="61">
        <v>8.3485195930000007</v>
      </c>
      <c r="L82" s="61">
        <v>14.246</v>
      </c>
      <c r="M82" s="61" t="s">
        <v>617</v>
      </c>
      <c r="N82" s="149">
        <v>42</v>
      </c>
      <c r="O82" s="149">
        <v>43</v>
      </c>
      <c r="P82" s="61" t="s">
        <v>565</v>
      </c>
      <c r="Q82" s="61" t="s">
        <v>555</v>
      </c>
      <c r="R82" s="61">
        <v>40.6895314</v>
      </c>
      <c r="S82" s="61">
        <v>-74.174462399999996</v>
      </c>
      <c r="T82" s="61">
        <v>361.38499999999999</v>
      </c>
      <c r="U82" s="61" t="s">
        <v>617</v>
      </c>
      <c r="V82" s="61" t="s">
        <v>617</v>
      </c>
      <c r="W82" s="61"/>
      <c r="Y82" s="137">
        <f>Summary_LCIA!H$32</f>
        <v>0.33979999999999999</v>
      </c>
      <c r="Z82" s="137">
        <f>Summary_LCIA!Q$32</f>
        <v>4.9560504329999997</v>
      </c>
      <c r="AA82" s="137">
        <f>Summary_LCIA!R$32</f>
        <v>5.2655999999999996E-3</v>
      </c>
      <c r="AB82" s="137">
        <f>Summary_LCIA!S$32</f>
        <v>0.33538000000000001</v>
      </c>
      <c r="AC82" s="137">
        <f>Summary_LCIA!T$32</f>
        <v>0.1099</v>
      </c>
      <c r="AD82" s="137">
        <f>Summary_LCIA!U$32</f>
        <v>1.7913999999999999E-2</v>
      </c>
      <c r="AE82" s="137">
        <f>Summary_LCIA!V$32</f>
        <v>4.7760999999999999E-5</v>
      </c>
      <c r="AF82" s="137">
        <f>Summary_LCIA!W$32</f>
        <v>7.6970999999999998E-2</v>
      </c>
      <c r="AG82" s="137">
        <f>Summary_LCIA!X$32</f>
        <v>2.2780000000000002E-2</v>
      </c>
      <c r="AH82" s="137">
        <f>Summary_LCIA!Y$32</f>
        <v>1.5582E-2</v>
      </c>
      <c r="AI82" s="137">
        <f>Summary_LCIA!Z$32</f>
        <v>4.1009E-5</v>
      </c>
      <c r="AJ82" s="137">
        <f>Summary_LCIA!AA$32</f>
        <v>2.3355999999999998E-2</v>
      </c>
      <c r="AK82" s="137">
        <f>Summary_LCIA!AB$32</f>
        <v>-2.1823000000000001E-5</v>
      </c>
      <c r="AL82" s="137">
        <f>Summary_LCIA!AC$32</f>
        <v>4.8884000000000003E-8</v>
      </c>
      <c r="AM82" s="137">
        <f>Summary_LCIA!AD$32</f>
        <v>4.1103999999999999E-4</v>
      </c>
      <c r="AN82" s="137">
        <f>Summary_LCIA!AE$32</f>
        <v>8.8612999999999995E-4</v>
      </c>
      <c r="AO82" s="137">
        <f>Summary_LCIA!AF$32</f>
        <v>8.4542000000000005E-4</v>
      </c>
      <c r="AP82" s="137">
        <f>Summary_LCIA!AG$32</f>
        <v>5.1165000000000002E-5</v>
      </c>
      <c r="AQ82" s="137">
        <f>Summary_LCIA!AH$32</f>
        <v>8.7036000000000006E-3</v>
      </c>
      <c r="AR82" s="137">
        <f>Summary_LCIA!AI$32</f>
        <v>9.3154999999999996E-4</v>
      </c>
      <c r="AT82" s="137">
        <f t="shared" si="23"/>
        <v>122.79862299999999</v>
      </c>
      <c r="AU82" s="137">
        <f t="shared" si="35"/>
        <v>1791.0422857297049</v>
      </c>
      <c r="AV82" s="137">
        <f t="shared" si="36"/>
        <v>1.9029088559999998</v>
      </c>
      <c r="AW82" s="137">
        <f t="shared" si="37"/>
        <v>121.2013013</v>
      </c>
      <c r="AX82" s="137">
        <f t="shared" si="38"/>
        <v>39.7162115</v>
      </c>
      <c r="AY82" s="137">
        <f t="shared" si="39"/>
        <v>6.4738508899999996</v>
      </c>
      <c r="AZ82" s="137">
        <f t="shared" si="40"/>
        <v>1.7260108984999998E-2</v>
      </c>
      <c r="BA82" s="137">
        <f t="shared" si="41"/>
        <v>27.816164834999999</v>
      </c>
      <c r="BB82" s="137">
        <f t="shared" si="42"/>
        <v>8.2323503000000002</v>
      </c>
      <c r="BC82" s="137">
        <f t="shared" si="24"/>
        <v>5.6311010699999997</v>
      </c>
      <c r="BD82" s="137">
        <f t="shared" si="25"/>
        <v>1.4820037465E-2</v>
      </c>
      <c r="BE82" s="137">
        <f t="shared" si="26"/>
        <v>8.4405080599999991</v>
      </c>
      <c r="BF82" s="137">
        <f t="shared" si="27"/>
        <v>-7.8865048550000004E-3</v>
      </c>
      <c r="BG82" s="137">
        <f t="shared" si="28"/>
        <v>1.7665944340000001E-5</v>
      </c>
      <c r="BH82" s="137">
        <f t="shared" si="29"/>
        <v>0.14854369039999998</v>
      </c>
      <c r="BI82" s="137">
        <f t="shared" si="30"/>
        <v>0.32023409004999998</v>
      </c>
      <c r="BJ82" s="137">
        <f t="shared" si="31"/>
        <v>0.30552210670000002</v>
      </c>
      <c r="BK82" s="137">
        <f t="shared" si="32"/>
        <v>1.8490263525000002E-2</v>
      </c>
      <c r="BL82" s="137">
        <f t="shared" si="33"/>
        <v>3.1453504860000003</v>
      </c>
      <c r="BM82" s="137">
        <f t="shared" si="34"/>
        <v>0.33664819674999996</v>
      </c>
    </row>
    <row r="83" spans="1:65" x14ac:dyDescent="0.25">
      <c r="A83" s="149">
        <v>81</v>
      </c>
      <c r="B83" s="149">
        <v>43</v>
      </c>
      <c r="C83" s="61">
        <v>42.339463000000002</v>
      </c>
      <c r="D83" s="61">
        <v>-71.088528999999994</v>
      </c>
      <c r="E83" s="61" t="s">
        <v>265</v>
      </c>
      <c r="F83" s="149">
        <v>53</v>
      </c>
      <c r="G83" s="61" t="s">
        <v>565</v>
      </c>
      <c r="H83" s="61" t="s">
        <v>634</v>
      </c>
      <c r="I83" s="61">
        <v>42.365613000000003</v>
      </c>
      <c r="J83" s="61">
        <v>-71.009559999999993</v>
      </c>
      <c r="K83" s="61">
        <v>8.1732109099999999</v>
      </c>
      <c r="L83" s="61">
        <v>10.691000000000001</v>
      </c>
      <c r="M83" s="61" t="s">
        <v>617</v>
      </c>
      <c r="N83" s="149">
        <v>42</v>
      </c>
      <c r="O83" s="149">
        <v>43</v>
      </c>
      <c r="P83" s="61" t="s">
        <v>565</v>
      </c>
      <c r="Q83" s="61" t="s">
        <v>555</v>
      </c>
      <c r="R83" s="61">
        <v>40.6895314</v>
      </c>
      <c r="S83" s="61">
        <v>-74.174462399999996</v>
      </c>
      <c r="T83" s="61">
        <v>363.32900000000001</v>
      </c>
      <c r="U83" s="61" t="s">
        <v>617</v>
      </c>
      <c r="V83" s="61" t="s">
        <v>617</v>
      </c>
      <c r="W83" s="61"/>
      <c r="Y83" s="137">
        <f>Summary_LCIA!H$32</f>
        <v>0.33979999999999999</v>
      </c>
      <c r="Z83" s="137">
        <f>Summary_LCIA!Q$32</f>
        <v>4.9560504329999997</v>
      </c>
      <c r="AA83" s="137">
        <f>Summary_LCIA!R$32</f>
        <v>5.2655999999999996E-3</v>
      </c>
      <c r="AB83" s="137">
        <f>Summary_LCIA!S$32</f>
        <v>0.33538000000000001</v>
      </c>
      <c r="AC83" s="137">
        <f>Summary_LCIA!T$32</f>
        <v>0.1099</v>
      </c>
      <c r="AD83" s="137">
        <f>Summary_LCIA!U$32</f>
        <v>1.7913999999999999E-2</v>
      </c>
      <c r="AE83" s="137">
        <f>Summary_LCIA!V$32</f>
        <v>4.7760999999999999E-5</v>
      </c>
      <c r="AF83" s="137">
        <f>Summary_LCIA!W$32</f>
        <v>7.6970999999999998E-2</v>
      </c>
      <c r="AG83" s="137">
        <f>Summary_LCIA!X$32</f>
        <v>2.2780000000000002E-2</v>
      </c>
      <c r="AH83" s="137">
        <f>Summary_LCIA!Y$32</f>
        <v>1.5582E-2</v>
      </c>
      <c r="AI83" s="137">
        <f>Summary_LCIA!Z$32</f>
        <v>4.1009E-5</v>
      </c>
      <c r="AJ83" s="137">
        <f>Summary_LCIA!AA$32</f>
        <v>2.3355999999999998E-2</v>
      </c>
      <c r="AK83" s="137">
        <f>Summary_LCIA!AB$32</f>
        <v>-2.1823000000000001E-5</v>
      </c>
      <c r="AL83" s="137">
        <f>Summary_LCIA!AC$32</f>
        <v>4.8884000000000003E-8</v>
      </c>
      <c r="AM83" s="137">
        <f>Summary_LCIA!AD$32</f>
        <v>4.1103999999999999E-4</v>
      </c>
      <c r="AN83" s="137">
        <f>Summary_LCIA!AE$32</f>
        <v>8.8612999999999995E-4</v>
      </c>
      <c r="AO83" s="137">
        <f>Summary_LCIA!AF$32</f>
        <v>8.4542000000000005E-4</v>
      </c>
      <c r="AP83" s="137">
        <f>Summary_LCIA!AG$32</f>
        <v>5.1165000000000002E-5</v>
      </c>
      <c r="AQ83" s="137">
        <f>Summary_LCIA!AH$32</f>
        <v>8.7036000000000006E-3</v>
      </c>
      <c r="AR83" s="137">
        <f>Summary_LCIA!AI$32</f>
        <v>9.3154999999999996E-4</v>
      </c>
      <c r="AT83" s="137">
        <f t="shared" si="23"/>
        <v>123.4591942</v>
      </c>
      <c r="AU83" s="137">
        <f t="shared" si="35"/>
        <v>1800.676847771457</v>
      </c>
      <c r="AV83" s="137">
        <f t="shared" si="36"/>
        <v>1.9131451823999999</v>
      </c>
      <c r="AW83" s="137">
        <f t="shared" si="37"/>
        <v>121.85328002</v>
      </c>
      <c r="AX83" s="137">
        <f t="shared" si="38"/>
        <v>39.9298571</v>
      </c>
      <c r="AY83" s="137">
        <f t="shared" si="39"/>
        <v>6.508675706</v>
      </c>
      <c r="AZ83" s="137">
        <f t="shared" si="40"/>
        <v>1.7352956369E-2</v>
      </c>
      <c r="BA83" s="137">
        <f t="shared" si="41"/>
        <v>27.965796459</v>
      </c>
      <c r="BB83" s="137">
        <f t="shared" si="42"/>
        <v>8.2766346200000012</v>
      </c>
      <c r="BC83" s="137">
        <f t="shared" si="24"/>
        <v>5.6613924780000007</v>
      </c>
      <c r="BD83" s="137">
        <f t="shared" si="25"/>
        <v>1.4899758961000001E-2</v>
      </c>
      <c r="BE83" s="137">
        <f t="shared" si="26"/>
        <v>8.4859121240000004</v>
      </c>
      <c r="BF83" s="137">
        <f t="shared" si="27"/>
        <v>-7.928928767E-3</v>
      </c>
      <c r="BG83" s="137">
        <f t="shared" si="28"/>
        <v>1.7760974836000001E-5</v>
      </c>
      <c r="BH83" s="137">
        <f t="shared" si="29"/>
        <v>0.14934275216000001</v>
      </c>
      <c r="BI83" s="137">
        <f t="shared" si="30"/>
        <v>0.32195672676999998</v>
      </c>
      <c r="BJ83" s="137">
        <f t="shared" si="31"/>
        <v>0.30716560318000002</v>
      </c>
      <c r="BK83" s="137">
        <f t="shared" si="32"/>
        <v>1.8589728285000003E-2</v>
      </c>
      <c r="BL83" s="137">
        <f t="shared" si="33"/>
        <v>3.1622702844000004</v>
      </c>
      <c r="BM83" s="137">
        <f t="shared" si="34"/>
        <v>0.33845912994999999</v>
      </c>
    </row>
    <row r="84" spans="1:65" x14ac:dyDescent="0.25">
      <c r="A84" s="149">
        <v>82</v>
      </c>
      <c r="B84" s="149">
        <v>43</v>
      </c>
      <c r="C84" s="61">
        <v>42.339463000000002</v>
      </c>
      <c r="D84" s="61">
        <v>-71.088528999999994</v>
      </c>
      <c r="E84" s="61" t="s">
        <v>265</v>
      </c>
      <c r="F84" s="149">
        <v>53</v>
      </c>
      <c r="G84" s="61" t="s">
        <v>565</v>
      </c>
      <c r="H84" s="61" t="s">
        <v>634</v>
      </c>
      <c r="I84" s="61">
        <v>42.365613000000003</v>
      </c>
      <c r="J84" s="61">
        <v>-71.009559999999993</v>
      </c>
      <c r="K84" s="61">
        <v>8.1732109099999999</v>
      </c>
      <c r="L84" s="61">
        <v>10.691000000000001</v>
      </c>
      <c r="M84" s="61" t="s">
        <v>617</v>
      </c>
      <c r="N84" s="149">
        <v>42</v>
      </c>
      <c r="O84" s="149">
        <v>43</v>
      </c>
      <c r="P84" s="61" t="s">
        <v>565</v>
      </c>
      <c r="Q84" s="61" t="s">
        <v>555</v>
      </c>
      <c r="R84" s="61">
        <v>40.6895314</v>
      </c>
      <c r="S84" s="61">
        <v>-74.174462399999996</v>
      </c>
      <c r="T84" s="61">
        <v>363.32900000000001</v>
      </c>
      <c r="U84" s="61" t="s">
        <v>617</v>
      </c>
      <c r="V84" s="61" t="s">
        <v>617</v>
      </c>
      <c r="W84" s="61"/>
      <c r="Y84" s="137">
        <f>Summary_LCIA!H$32</f>
        <v>0.33979999999999999</v>
      </c>
      <c r="Z84" s="137">
        <f>Summary_LCIA!Q$32</f>
        <v>4.9560504329999997</v>
      </c>
      <c r="AA84" s="137">
        <f>Summary_LCIA!R$32</f>
        <v>5.2655999999999996E-3</v>
      </c>
      <c r="AB84" s="137">
        <f>Summary_LCIA!S$32</f>
        <v>0.33538000000000001</v>
      </c>
      <c r="AC84" s="137">
        <f>Summary_LCIA!T$32</f>
        <v>0.1099</v>
      </c>
      <c r="AD84" s="137">
        <f>Summary_LCIA!U$32</f>
        <v>1.7913999999999999E-2</v>
      </c>
      <c r="AE84" s="137">
        <f>Summary_LCIA!V$32</f>
        <v>4.7760999999999999E-5</v>
      </c>
      <c r="AF84" s="137">
        <f>Summary_LCIA!W$32</f>
        <v>7.6970999999999998E-2</v>
      </c>
      <c r="AG84" s="137">
        <f>Summary_LCIA!X$32</f>
        <v>2.2780000000000002E-2</v>
      </c>
      <c r="AH84" s="137">
        <f>Summary_LCIA!Y$32</f>
        <v>1.5582E-2</v>
      </c>
      <c r="AI84" s="137">
        <f>Summary_LCIA!Z$32</f>
        <v>4.1009E-5</v>
      </c>
      <c r="AJ84" s="137">
        <f>Summary_LCIA!AA$32</f>
        <v>2.3355999999999998E-2</v>
      </c>
      <c r="AK84" s="137">
        <f>Summary_LCIA!AB$32</f>
        <v>-2.1823000000000001E-5</v>
      </c>
      <c r="AL84" s="137">
        <f>Summary_LCIA!AC$32</f>
        <v>4.8884000000000003E-8</v>
      </c>
      <c r="AM84" s="137">
        <f>Summary_LCIA!AD$32</f>
        <v>4.1103999999999999E-4</v>
      </c>
      <c r="AN84" s="137">
        <f>Summary_LCIA!AE$32</f>
        <v>8.8612999999999995E-4</v>
      </c>
      <c r="AO84" s="137">
        <f>Summary_LCIA!AF$32</f>
        <v>8.4542000000000005E-4</v>
      </c>
      <c r="AP84" s="137">
        <f>Summary_LCIA!AG$32</f>
        <v>5.1165000000000002E-5</v>
      </c>
      <c r="AQ84" s="137">
        <f>Summary_LCIA!AH$32</f>
        <v>8.7036000000000006E-3</v>
      </c>
      <c r="AR84" s="137">
        <f>Summary_LCIA!AI$32</f>
        <v>9.3154999999999996E-4</v>
      </c>
      <c r="AT84" s="137">
        <f t="shared" si="23"/>
        <v>123.4591942</v>
      </c>
      <c r="AU84" s="137">
        <f t="shared" si="35"/>
        <v>1800.676847771457</v>
      </c>
      <c r="AV84" s="137">
        <f t="shared" si="36"/>
        <v>1.9131451823999999</v>
      </c>
      <c r="AW84" s="137">
        <f t="shared" si="37"/>
        <v>121.85328002</v>
      </c>
      <c r="AX84" s="137">
        <f t="shared" si="38"/>
        <v>39.9298571</v>
      </c>
      <c r="AY84" s="137">
        <f t="shared" si="39"/>
        <v>6.508675706</v>
      </c>
      <c r="AZ84" s="137">
        <f t="shared" si="40"/>
        <v>1.7352956369E-2</v>
      </c>
      <c r="BA84" s="137">
        <f t="shared" si="41"/>
        <v>27.965796459</v>
      </c>
      <c r="BB84" s="137">
        <f t="shared" si="42"/>
        <v>8.2766346200000012</v>
      </c>
      <c r="BC84" s="137">
        <f t="shared" si="24"/>
        <v>5.6613924780000007</v>
      </c>
      <c r="BD84" s="137">
        <f t="shared" si="25"/>
        <v>1.4899758961000001E-2</v>
      </c>
      <c r="BE84" s="137">
        <f t="shared" si="26"/>
        <v>8.4859121240000004</v>
      </c>
      <c r="BF84" s="137">
        <f t="shared" si="27"/>
        <v>-7.928928767E-3</v>
      </c>
      <c r="BG84" s="137">
        <f t="shared" si="28"/>
        <v>1.7760974836000001E-5</v>
      </c>
      <c r="BH84" s="137">
        <f t="shared" si="29"/>
        <v>0.14934275216000001</v>
      </c>
      <c r="BI84" s="137">
        <f t="shared" si="30"/>
        <v>0.32195672676999998</v>
      </c>
      <c r="BJ84" s="137">
        <f t="shared" si="31"/>
        <v>0.30716560318000002</v>
      </c>
      <c r="BK84" s="137">
        <f t="shared" si="32"/>
        <v>1.8589728285000003E-2</v>
      </c>
      <c r="BL84" s="137">
        <f t="shared" si="33"/>
        <v>3.1622702844000004</v>
      </c>
      <c r="BM84" s="137">
        <f t="shared" si="34"/>
        <v>0.33845912994999999</v>
      </c>
    </row>
    <row r="85" spans="1:65" x14ac:dyDescent="0.25">
      <c r="A85" s="149">
        <v>114</v>
      </c>
      <c r="B85" s="149">
        <v>43</v>
      </c>
      <c r="C85" s="61">
        <v>42.359243999999997</v>
      </c>
      <c r="D85" s="61">
        <v>-71.093138999999994</v>
      </c>
      <c r="E85" s="61" t="s">
        <v>265</v>
      </c>
      <c r="F85" s="149">
        <v>53</v>
      </c>
      <c r="G85" s="61" t="s">
        <v>565</v>
      </c>
      <c r="H85" s="61" t="s">
        <v>634</v>
      </c>
      <c r="I85" s="61">
        <v>42.365613000000003</v>
      </c>
      <c r="J85" s="61">
        <v>-71.009559999999993</v>
      </c>
      <c r="K85" s="61">
        <v>7.2270388560000001</v>
      </c>
      <c r="L85" s="61">
        <v>8.6859999999999999</v>
      </c>
      <c r="M85" s="61" t="s">
        <v>617</v>
      </c>
      <c r="N85" s="149">
        <v>42</v>
      </c>
      <c r="O85" s="149">
        <v>43</v>
      </c>
      <c r="P85" s="61" t="s">
        <v>565</v>
      </c>
      <c r="Q85" s="61" t="s">
        <v>555</v>
      </c>
      <c r="R85" s="61">
        <v>40.6895314</v>
      </c>
      <c r="S85" s="61">
        <v>-74.174462399999996</v>
      </c>
      <c r="T85" s="61">
        <v>363.59300000000002</v>
      </c>
      <c r="U85" s="61" t="s">
        <v>617</v>
      </c>
      <c r="V85" s="61" t="s">
        <v>617</v>
      </c>
      <c r="W85" s="61"/>
      <c r="Y85" s="137">
        <f>Summary_LCIA!H$32</f>
        <v>0.33979999999999999</v>
      </c>
      <c r="Z85" s="137">
        <f>Summary_LCIA!Q$32</f>
        <v>4.9560504329999997</v>
      </c>
      <c r="AA85" s="137">
        <f>Summary_LCIA!R$32</f>
        <v>5.2655999999999996E-3</v>
      </c>
      <c r="AB85" s="137">
        <f>Summary_LCIA!S$32</f>
        <v>0.33538000000000001</v>
      </c>
      <c r="AC85" s="137">
        <f>Summary_LCIA!T$32</f>
        <v>0.1099</v>
      </c>
      <c r="AD85" s="137">
        <f>Summary_LCIA!U$32</f>
        <v>1.7913999999999999E-2</v>
      </c>
      <c r="AE85" s="137">
        <f>Summary_LCIA!V$32</f>
        <v>4.7760999999999999E-5</v>
      </c>
      <c r="AF85" s="137">
        <f>Summary_LCIA!W$32</f>
        <v>7.6970999999999998E-2</v>
      </c>
      <c r="AG85" s="137">
        <f>Summary_LCIA!X$32</f>
        <v>2.2780000000000002E-2</v>
      </c>
      <c r="AH85" s="137">
        <f>Summary_LCIA!Y$32</f>
        <v>1.5582E-2</v>
      </c>
      <c r="AI85" s="137">
        <f>Summary_LCIA!Z$32</f>
        <v>4.1009E-5</v>
      </c>
      <c r="AJ85" s="137">
        <f>Summary_LCIA!AA$32</f>
        <v>2.3355999999999998E-2</v>
      </c>
      <c r="AK85" s="137">
        <f>Summary_LCIA!AB$32</f>
        <v>-2.1823000000000001E-5</v>
      </c>
      <c r="AL85" s="137">
        <f>Summary_LCIA!AC$32</f>
        <v>4.8884000000000003E-8</v>
      </c>
      <c r="AM85" s="137">
        <f>Summary_LCIA!AD$32</f>
        <v>4.1103999999999999E-4</v>
      </c>
      <c r="AN85" s="137">
        <f>Summary_LCIA!AE$32</f>
        <v>8.8612999999999995E-4</v>
      </c>
      <c r="AO85" s="137">
        <f>Summary_LCIA!AF$32</f>
        <v>8.4542000000000005E-4</v>
      </c>
      <c r="AP85" s="137">
        <f>Summary_LCIA!AG$32</f>
        <v>5.1165000000000002E-5</v>
      </c>
      <c r="AQ85" s="137">
        <f>Summary_LCIA!AH$32</f>
        <v>8.7036000000000006E-3</v>
      </c>
      <c r="AR85" s="137">
        <f>Summary_LCIA!AI$32</f>
        <v>9.3154999999999996E-4</v>
      </c>
      <c r="AT85" s="137">
        <f t="shared" si="23"/>
        <v>123.54890140000001</v>
      </c>
      <c r="AU85" s="137">
        <f t="shared" si="35"/>
        <v>1801.9852450857691</v>
      </c>
      <c r="AV85" s="137">
        <f t="shared" si="36"/>
        <v>1.9145353007999999</v>
      </c>
      <c r="AW85" s="137">
        <f t="shared" si="37"/>
        <v>121.94182034000001</v>
      </c>
      <c r="AX85" s="137">
        <f t="shared" si="38"/>
        <v>39.958870699999999</v>
      </c>
      <c r="AY85" s="137">
        <f t="shared" si="39"/>
        <v>6.5134050019999998</v>
      </c>
      <c r="AZ85" s="137">
        <f t="shared" si="40"/>
        <v>1.7365565273000001E-2</v>
      </c>
      <c r="BA85" s="137">
        <f t="shared" si="41"/>
        <v>27.986116803000002</v>
      </c>
      <c r="BB85" s="137">
        <f t="shared" si="42"/>
        <v>8.2826485400000003</v>
      </c>
      <c r="BC85" s="137">
        <f t="shared" si="24"/>
        <v>5.6655061260000004</v>
      </c>
      <c r="BD85" s="137">
        <f t="shared" si="25"/>
        <v>1.4910585337000001E-2</v>
      </c>
      <c r="BE85" s="137">
        <f t="shared" si="26"/>
        <v>8.4920781079999994</v>
      </c>
      <c r="BF85" s="137">
        <f t="shared" si="27"/>
        <v>-7.9346900390000006E-3</v>
      </c>
      <c r="BG85" s="137">
        <f t="shared" si="28"/>
        <v>1.7773880212000002E-5</v>
      </c>
      <c r="BH85" s="137">
        <f t="shared" si="29"/>
        <v>0.14945126672</v>
      </c>
      <c r="BI85" s="137">
        <f t="shared" si="30"/>
        <v>0.32219066508999999</v>
      </c>
      <c r="BJ85" s="137">
        <f t="shared" si="31"/>
        <v>0.30738879406000003</v>
      </c>
      <c r="BK85" s="137">
        <f t="shared" si="32"/>
        <v>1.8603235845000003E-2</v>
      </c>
      <c r="BL85" s="137">
        <f t="shared" si="33"/>
        <v>3.1645680348000003</v>
      </c>
      <c r="BM85" s="137">
        <f t="shared" si="34"/>
        <v>0.33870505914999999</v>
      </c>
    </row>
    <row r="86" spans="1:65" x14ac:dyDescent="0.25">
      <c r="A86" s="149">
        <v>115</v>
      </c>
      <c r="B86" s="149">
        <v>43</v>
      </c>
      <c r="C86" s="61">
        <v>42.359243999999997</v>
      </c>
      <c r="D86" s="61">
        <v>-71.093138999999994</v>
      </c>
      <c r="E86" s="61" t="s">
        <v>265</v>
      </c>
      <c r="F86" s="149">
        <v>53</v>
      </c>
      <c r="G86" s="61" t="s">
        <v>565</v>
      </c>
      <c r="H86" s="61" t="s">
        <v>634</v>
      </c>
      <c r="I86" s="61">
        <v>42.365613000000003</v>
      </c>
      <c r="J86" s="61">
        <v>-71.009559999999993</v>
      </c>
      <c r="K86" s="61">
        <v>7.2270388560000001</v>
      </c>
      <c r="L86" s="61">
        <v>8.6859999999999999</v>
      </c>
      <c r="M86" s="61" t="s">
        <v>617</v>
      </c>
      <c r="N86" s="149">
        <v>42</v>
      </c>
      <c r="O86" s="149">
        <v>43</v>
      </c>
      <c r="P86" s="61" t="s">
        <v>565</v>
      </c>
      <c r="Q86" s="61" t="s">
        <v>555</v>
      </c>
      <c r="R86" s="61">
        <v>40.6895314</v>
      </c>
      <c r="S86" s="61">
        <v>-74.174462399999996</v>
      </c>
      <c r="T86" s="61">
        <v>363.59300000000002</v>
      </c>
      <c r="U86" s="61" t="s">
        <v>617</v>
      </c>
      <c r="V86" s="61" t="s">
        <v>617</v>
      </c>
      <c r="W86" s="61"/>
      <c r="Y86" s="137">
        <f>Summary_LCIA!H$32</f>
        <v>0.33979999999999999</v>
      </c>
      <c r="Z86" s="137">
        <f>Summary_LCIA!Q$32</f>
        <v>4.9560504329999997</v>
      </c>
      <c r="AA86" s="137">
        <f>Summary_LCIA!R$32</f>
        <v>5.2655999999999996E-3</v>
      </c>
      <c r="AB86" s="137">
        <f>Summary_LCIA!S$32</f>
        <v>0.33538000000000001</v>
      </c>
      <c r="AC86" s="137">
        <f>Summary_LCIA!T$32</f>
        <v>0.1099</v>
      </c>
      <c r="AD86" s="137">
        <f>Summary_LCIA!U$32</f>
        <v>1.7913999999999999E-2</v>
      </c>
      <c r="AE86" s="137">
        <f>Summary_LCIA!V$32</f>
        <v>4.7760999999999999E-5</v>
      </c>
      <c r="AF86" s="137">
        <f>Summary_LCIA!W$32</f>
        <v>7.6970999999999998E-2</v>
      </c>
      <c r="AG86" s="137">
        <f>Summary_LCIA!X$32</f>
        <v>2.2780000000000002E-2</v>
      </c>
      <c r="AH86" s="137">
        <f>Summary_LCIA!Y$32</f>
        <v>1.5582E-2</v>
      </c>
      <c r="AI86" s="137">
        <f>Summary_LCIA!Z$32</f>
        <v>4.1009E-5</v>
      </c>
      <c r="AJ86" s="137">
        <f>Summary_LCIA!AA$32</f>
        <v>2.3355999999999998E-2</v>
      </c>
      <c r="AK86" s="137">
        <f>Summary_LCIA!AB$32</f>
        <v>-2.1823000000000001E-5</v>
      </c>
      <c r="AL86" s="137">
        <f>Summary_LCIA!AC$32</f>
        <v>4.8884000000000003E-8</v>
      </c>
      <c r="AM86" s="137">
        <f>Summary_LCIA!AD$32</f>
        <v>4.1103999999999999E-4</v>
      </c>
      <c r="AN86" s="137">
        <f>Summary_LCIA!AE$32</f>
        <v>8.8612999999999995E-4</v>
      </c>
      <c r="AO86" s="137">
        <f>Summary_LCIA!AF$32</f>
        <v>8.4542000000000005E-4</v>
      </c>
      <c r="AP86" s="137">
        <f>Summary_LCIA!AG$32</f>
        <v>5.1165000000000002E-5</v>
      </c>
      <c r="AQ86" s="137">
        <f>Summary_LCIA!AH$32</f>
        <v>8.7036000000000006E-3</v>
      </c>
      <c r="AR86" s="137">
        <f>Summary_LCIA!AI$32</f>
        <v>9.3154999999999996E-4</v>
      </c>
      <c r="AT86" s="137">
        <f t="shared" si="23"/>
        <v>123.54890140000001</v>
      </c>
      <c r="AU86" s="137">
        <f t="shared" si="35"/>
        <v>1801.9852450857691</v>
      </c>
      <c r="AV86" s="137">
        <f t="shared" si="36"/>
        <v>1.9145353007999999</v>
      </c>
      <c r="AW86" s="137">
        <f t="shared" si="37"/>
        <v>121.94182034000001</v>
      </c>
      <c r="AX86" s="137">
        <f t="shared" si="38"/>
        <v>39.958870699999999</v>
      </c>
      <c r="AY86" s="137">
        <f t="shared" si="39"/>
        <v>6.5134050019999998</v>
      </c>
      <c r="AZ86" s="137">
        <f t="shared" si="40"/>
        <v>1.7365565273000001E-2</v>
      </c>
      <c r="BA86" s="137">
        <f t="shared" si="41"/>
        <v>27.986116803000002</v>
      </c>
      <c r="BB86" s="137">
        <f t="shared" si="42"/>
        <v>8.2826485400000003</v>
      </c>
      <c r="BC86" s="137">
        <f t="shared" si="24"/>
        <v>5.6655061260000004</v>
      </c>
      <c r="BD86" s="137">
        <f t="shared" si="25"/>
        <v>1.4910585337000001E-2</v>
      </c>
      <c r="BE86" s="137">
        <f t="shared" si="26"/>
        <v>8.4920781079999994</v>
      </c>
      <c r="BF86" s="137">
        <f t="shared" si="27"/>
        <v>-7.9346900390000006E-3</v>
      </c>
      <c r="BG86" s="137">
        <f t="shared" si="28"/>
        <v>1.7773880212000002E-5</v>
      </c>
      <c r="BH86" s="137">
        <f t="shared" si="29"/>
        <v>0.14945126672</v>
      </c>
      <c r="BI86" s="137">
        <f t="shared" si="30"/>
        <v>0.32219066508999999</v>
      </c>
      <c r="BJ86" s="137">
        <f t="shared" si="31"/>
        <v>0.30738879406000003</v>
      </c>
      <c r="BK86" s="137">
        <f t="shared" si="32"/>
        <v>1.8603235845000003E-2</v>
      </c>
      <c r="BL86" s="137">
        <f t="shared" si="33"/>
        <v>3.1645680348000003</v>
      </c>
      <c r="BM86" s="137">
        <f t="shared" si="34"/>
        <v>0.33870505914999999</v>
      </c>
    </row>
    <row r="87" spans="1:65" x14ac:dyDescent="0.25">
      <c r="A87" s="149">
        <v>116</v>
      </c>
      <c r="B87" s="149">
        <v>43</v>
      </c>
      <c r="C87" s="61">
        <v>42.359243999999997</v>
      </c>
      <c r="D87" s="61">
        <v>-71.093138999999994</v>
      </c>
      <c r="E87" s="61" t="s">
        <v>265</v>
      </c>
      <c r="F87" s="149">
        <v>53</v>
      </c>
      <c r="G87" s="61" t="s">
        <v>565</v>
      </c>
      <c r="H87" s="61" t="s">
        <v>634</v>
      </c>
      <c r="I87" s="61">
        <v>42.365613000000003</v>
      </c>
      <c r="J87" s="61">
        <v>-71.009559999999993</v>
      </c>
      <c r="K87" s="61">
        <v>7.2270388560000001</v>
      </c>
      <c r="L87" s="61">
        <v>8.6859999999999999</v>
      </c>
      <c r="M87" s="61" t="s">
        <v>617</v>
      </c>
      <c r="N87" s="149">
        <v>42</v>
      </c>
      <c r="O87" s="149">
        <v>43</v>
      </c>
      <c r="P87" s="61" t="s">
        <v>565</v>
      </c>
      <c r="Q87" s="61" t="s">
        <v>555</v>
      </c>
      <c r="R87" s="61">
        <v>40.6895314</v>
      </c>
      <c r="S87" s="61">
        <v>-74.174462399999996</v>
      </c>
      <c r="T87" s="61">
        <v>363.59300000000002</v>
      </c>
      <c r="U87" s="61" t="s">
        <v>617</v>
      </c>
      <c r="V87" s="61" t="s">
        <v>617</v>
      </c>
      <c r="W87" s="61"/>
      <c r="Y87" s="137">
        <f>Summary_LCIA!H$32</f>
        <v>0.33979999999999999</v>
      </c>
      <c r="Z87" s="137">
        <f>Summary_LCIA!Q$32</f>
        <v>4.9560504329999997</v>
      </c>
      <c r="AA87" s="137">
        <f>Summary_LCIA!R$32</f>
        <v>5.2655999999999996E-3</v>
      </c>
      <c r="AB87" s="137">
        <f>Summary_LCIA!S$32</f>
        <v>0.33538000000000001</v>
      </c>
      <c r="AC87" s="137">
        <f>Summary_LCIA!T$32</f>
        <v>0.1099</v>
      </c>
      <c r="AD87" s="137">
        <f>Summary_LCIA!U$32</f>
        <v>1.7913999999999999E-2</v>
      </c>
      <c r="AE87" s="137">
        <f>Summary_LCIA!V$32</f>
        <v>4.7760999999999999E-5</v>
      </c>
      <c r="AF87" s="137">
        <f>Summary_LCIA!W$32</f>
        <v>7.6970999999999998E-2</v>
      </c>
      <c r="AG87" s="137">
        <f>Summary_LCIA!X$32</f>
        <v>2.2780000000000002E-2</v>
      </c>
      <c r="AH87" s="137">
        <f>Summary_LCIA!Y$32</f>
        <v>1.5582E-2</v>
      </c>
      <c r="AI87" s="137">
        <f>Summary_LCIA!Z$32</f>
        <v>4.1009E-5</v>
      </c>
      <c r="AJ87" s="137">
        <f>Summary_LCIA!AA$32</f>
        <v>2.3355999999999998E-2</v>
      </c>
      <c r="AK87" s="137">
        <f>Summary_LCIA!AB$32</f>
        <v>-2.1823000000000001E-5</v>
      </c>
      <c r="AL87" s="137">
        <f>Summary_LCIA!AC$32</f>
        <v>4.8884000000000003E-8</v>
      </c>
      <c r="AM87" s="137">
        <f>Summary_LCIA!AD$32</f>
        <v>4.1103999999999999E-4</v>
      </c>
      <c r="AN87" s="137">
        <f>Summary_LCIA!AE$32</f>
        <v>8.8612999999999995E-4</v>
      </c>
      <c r="AO87" s="137">
        <f>Summary_LCIA!AF$32</f>
        <v>8.4542000000000005E-4</v>
      </c>
      <c r="AP87" s="137">
        <f>Summary_LCIA!AG$32</f>
        <v>5.1165000000000002E-5</v>
      </c>
      <c r="AQ87" s="137">
        <f>Summary_LCIA!AH$32</f>
        <v>8.7036000000000006E-3</v>
      </c>
      <c r="AR87" s="137">
        <f>Summary_LCIA!AI$32</f>
        <v>9.3154999999999996E-4</v>
      </c>
      <c r="AT87" s="137">
        <f t="shared" si="23"/>
        <v>123.54890140000001</v>
      </c>
      <c r="AU87" s="137">
        <f t="shared" si="35"/>
        <v>1801.9852450857691</v>
      </c>
      <c r="AV87" s="137">
        <f t="shared" si="36"/>
        <v>1.9145353007999999</v>
      </c>
      <c r="AW87" s="137">
        <f t="shared" si="37"/>
        <v>121.94182034000001</v>
      </c>
      <c r="AX87" s="137">
        <f t="shared" si="38"/>
        <v>39.958870699999999</v>
      </c>
      <c r="AY87" s="137">
        <f t="shared" si="39"/>
        <v>6.5134050019999998</v>
      </c>
      <c r="AZ87" s="137">
        <f t="shared" si="40"/>
        <v>1.7365565273000001E-2</v>
      </c>
      <c r="BA87" s="137">
        <f t="shared" si="41"/>
        <v>27.986116803000002</v>
      </c>
      <c r="BB87" s="137">
        <f t="shared" si="42"/>
        <v>8.2826485400000003</v>
      </c>
      <c r="BC87" s="137">
        <f t="shared" si="24"/>
        <v>5.6655061260000004</v>
      </c>
      <c r="BD87" s="137">
        <f t="shared" si="25"/>
        <v>1.4910585337000001E-2</v>
      </c>
      <c r="BE87" s="137">
        <f t="shared" si="26"/>
        <v>8.4920781079999994</v>
      </c>
      <c r="BF87" s="137">
        <f t="shared" si="27"/>
        <v>-7.9346900390000006E-3</v>
      </c>
      <c r="BG87" s="137">
        <f t="shared" si="28"/>
        <v>1.7773880212000002E-5</v>
      </c>
      <c r="BH87" s="137">
        <f t="shared" si="29"/>
        <v>0.14945126672</v>
      </c>
      <c r="BI87" s="137">
        <f t="shared" si="30"/>
        <v>0.32219066508999999</v>
      </c>
      <c r="BJ87" s="137">
        <f t="shared" si="31"/>
        <v>0.30738879406000003</v>
      </c>
      <c r="BK87" s="137">
        <f t="shared" si="32"/>
        <v>1.8603235845000003E-2</v>
      </c>
      <c r="BL87" s="137">
        <f t="shared" si="33"/>
        <v>3.1645680348000003</v>
      </c>
      <c r="BM87" s="137">
        <f t="shared" si="34"/>
        <v>0.33870505914999999</v>
      </c>
    </row>
    <row r="88" spans="1:65" x14ac:dyDescent="0.25">
      <c r="A88" s="149">
        <v>346</v>
      </c>
      <c r="B88" s="149">
        <v>43</v>
      </c>
      <c r="C88" s="61">
        <v>42.387597</v>
      </c>
      <c r="D88" s="61">
        <v>-71.099497</v>
      </c>
      <c r="E88" s="61" t="s">
        <v>265</v>
      </c>
      <c r="F88" s="149">
        <v>53</v>
      </c>
      <c r="G88" s="61" t="s">
        <v>565</v>
      </c>
      <c r="H88" s="61" t="s">
        <v>634</v>
      </c>
      <c r="I88" s="61">
        <v>42.365613000000003</v>
      </c>
      <c r="J88" s="61">
        <v>-71.009559999999993</v>
      </c>
      <c r="K88" s="61">
        <v>7.8292299280000002</v>
      </c>
      <c r="L88" s="61">
        <v>10.66</v>
      </c>
      <c r="M88" s="61" t="s">
        <v>617</v>
      </c>
      <c r="N88" s="149">
        <v>42</v>
      </c>
      <c r="O88" s="149">
        <v>43</v>
      </c>
      <c r="P88" s="61" t="s">
        <v>565</v>
      </c>
      <c r="Q88" s="61" t="s">
        <v>555</v>
      </c>
      <c r="R88" s="61">
        <v>40.6895314</v>
      </c>
      <c r="S88" s="61">
        <v>-74.174462399999996</v>
      </c>
      <c r="T88" s="61">
        <v>363.73599999999999</v>
      </c>
      <c r="U88" s="61" t="s">
        <v>617</v>
      </c>
      <c r="V88" s="61" t="s">
        <v>617</v>
      </c>
      <c r="W88" s="61"/>
      <c r="Y88" s="137">
        <f>Summary_LCIA!H$32</f>
        <v>0.33979999999999999</v>
      </c>
      <c r="Z88" s="137">
        <f>Summary_LCIA!Q$32</f>
        <v>4.9560504329999997</v>
      </c>
      <c r="AA88" s="137">
        <f>Summary_LCIA!R$32</f>
        <v>5.2655999999999996E-3</v>
      </c>
      <c r="AB88" s="137">
        <f>Summary_LCIA!S$32</f>
        <v>0.33538000000000001</v>
      </c>
      <c r="AC88" s="137">
        <f>Summary_LCIA!T$32</f>
        <v>0.1099</v>
      </c>
      <c r="AD88" s="137">
        <f>Summary_LCIA!U$32</f>
        <v>1.7913999999999999E-2</v>
      </c>
      <c r="AE88" s="137">
        <f>Summary_LCIA!V$32</f>
        <v>4.7760999999999999E-5</v>
      </c>
      <c r="AF88" s="137">
        <f>Summary_LCIA!W$32</f>
        <v>7.6970999999999998E-2</v>
      </c>
      <c r="AG88" s="137">
        <f>Summary_LCIA!X$32</f>
        <v>2.2780000000000002E-2</v>
      </c>
      <c r="AH88" s="137">
        <f>Summary_LCIA!Y$32</f>
        <v>1.5582E-2</v>
      </c>
      <c r="AI88" s="137">
        <f>Summary_LCIA!Z$32</f>
        <v>4.1009E-5</v>
      </c>
      <c r="AJ88" s="137">
        <f>Summary_LCIA!AA$32</f>
        <v>2.3355999999999998E-2</v>
      </c>
      <c r="AK88" s="137">
        <f>Summary_LCIA!AB$32</f>
        <v>-2.1823000000000001E-5</v>
      </c>
      <c r="AL88" s="137">
        <f>Summary_LCIA!AC$32</f>
        <v>4.8884000000000003E-8</v>
      </c>
      <c r="AM88" s="137">
        <f>Summary_LCIA!AD$32</f>
        <v>4.1103999999999999E-4</v>
      </c>
      <c r="AN88" s="137">
        <f>Summary_LCIA!AE$32</f>
        <v>8.8612999999999995E-4</v>
      </c>
      <c r="AO88" s="137">
        <f>Summary_LCIA!AF$32</f>
        <v>8.4542000000000005E-4</v>
      </c>
      <c r="AP88" s="137">
        <f>Summary_LCIA!AG$32</f>
        <v>5.1165000000000002E-5</v>
      </c>
      <c r="AQ88" s="137">
        <f>Summary_LCIA!AH$32</f>
        <v>8.7036000000000006E-3</v>
      </c>
      <c r="AR88" s="137">
        <f>Summary_LCIA!AI$32</f>
        <v>9.3154999999999996E-4</v>
      </c>
      <c r="AT88" s="137">
        <f t="shared" si="23"/>
        <v>123.5974928</v>
      </c>
      <c r="AU88" s="137">
        <f t="shared" si="35"/>
        <v>1802.6939602976879</v>
      </c>
      <c r="AV88" s="137">
        <f t="shared" si="36"/>
        <v>1.9152882815999999</v>
      </c>
      <c r="AW88" s="137">
        <f t="shared" si="37"/>
        <v>121.98977968</v>
      </c>
      <c r="AX88" s="137">
        <f t="shared" si="38"/>
        <v>39.9745864</v>
      </c>
      <c r="AY88" s="137">
        <f t="shared" si="39"/>
        <v>6.5159667039999993</v>
      </c>
      <c r="AZ88" s="137">
        <f t="shared" si="40"/>
        <v>1.7372395095999998E-2</v>
      </c>
      <c r="BA88" s="137">
        <f t="shared" si="41"/>
        <v>27.997123655999999</v>
      </c>
      <c r="BB88" s="137">
        <f t="shared" si="42"/>
        <v>8.2859060800000002</v>
      </c>
      <c r="BC88" s="137">
        <f t="shared" si="24"/>
        <v>5.6677343520000001</v>
      </c>
      <c r="BD88" s="137">
        <f t="shared" si="25"/>
        <v>1.4916449623999999E-2</v>
      </c>
      <c r="BE88" s="137">
        <f t="shared" si="26"/>
        <v>8.4954180159999986</v>
      </c>
      <c r="BF88" s="137">
        <f t="shared" si="27"/>
        <v>-7.9378107280000006E-3</v>
      </c>
      <c r="BG88" s="137">
        <f t="shared" si="28"/>
        <v>1.7780870624E-5</v>
      </c>
      <c r="BH88" s="137">
        <f t="shared" si="29"/>
        <v>0.14951004543999999</v>
      </c>
      <c r="BI88" s="137">
        <f t="shared" si="30"/>
        <v>0.32231738167999996</v>
      </c>
      <c r="BJ88" s="137">
        <f t="shared" si="31"/>
        <v>0.30750968911999998</v>
      </c>
      <c r="BK88" s="137">
        <f t="shared" si="32"/>
        <v>1.8610552440000001E-2</v>
      </c>
      <c r="BL88" s="137">
        <f t="shared" si="33"/>
        <v>3.1658126496000003</v>
      </c>
      <c r="BM88" s="137">
        <f t="shared" si="34"/>
        <v>0.33883827079999995</v>
      </c>
    </row>
    <row r="89" spans="1:65" x14ac:dyDescent="0.25">
      <c r="A89" s="149">
        <v>160</v>
      </c>
      <c r="B89" s="149">
        <v>43</v>
      </c>
      <c r="C89" s="61">
        <v>42.360081999999998</v>
      </c>
      <c r="D89" s="61">
        <v>-71.058880000000002</v>
      </c>
      <c r="E89" s="61" t="s">
        <v>265</v>
      </c>
      <c r="F89" s="149">
        <v>53</v>
      </c>
      <c r="G89" s="61" t="s">
        <v>565</v>
      </c>
      <c r="H89" s="61" t="s">
        <v>634</v>
      </c>
      <c r="I89" s="61">
        <v>42.365613000000003</v>
      </c>
      <c r="J89" s="61">
        <v>-71.009559999999993</v>
      </c>
      <c r="K89" s="61">
        <v>4.3433329829999998</v>
      </c>
      <c r="L89" s="61">
        <v>5.3479999999999999</v>
      </c>
      <c r="M89" s="61" t="s">
        <v>617</v>
      </c>
      <c r="N89" s="149">
        <v>42</v>
      </c>
      <c r="O89" s="149">
        <v>43</v>
      </c>
      <c r="P89" s="61" t="s">
        <v>565</v>
      </c>
      <c r="Q89" s="61" t="s">
        <v>555</v>
      </c>
      <c r="R89" s="61">
        <v>40.6895314</v>
      </c>
      <c r="S89" s="61">
        <v>-74.174462399999996</v>
      </c>
      <c r="T89" s="61">
        <v>367.16399999999999</v>
      </c>
      <c r="U89" s="61" t="s">
        <v>617</v>
      </c>
      <c r="V89" s="61" t="s">
        <v>617</v>
      </c>
      <c r="W89" s="61"/>
      <c r="Y89" s="137">
        <f>Summary_LCIA!H$32</f>
        <v>0.33979999999999999</v>
      </c>
      <c r="Z89" s="137">
        <f>Summary_LCIA!Q$32</f>
        <v>4.9560504329999997</v>
      </c>
      <c r="AA89" s="137">
        <f>Summary_LCIA!R$32</f>
        <v>5.2655999999999996E-3</v>
      </c>
      <c r="AB89" s="137">
        <f>Summary_LCIA!S$32</f>
        <v>0.33538000000000001</v>
      </c>
      <c r="AC89" s="137">
        <f>Summary_LCIA!T$32</f>
        <v>0.1099</v>
      </c>
      <c r="AD89" s="137">
        <f>Summary_LCIA!U$32</f>
        <v>1.7913999999999999E-2</v>
      </c>
      <c r="AE89" s="137">
        <f>Summary_LCIA!V$32</f>
        <v>4.7760999999999999E-5</v>
      </c>
      <c r="AF89" s="137">
        <f>Summary_LCIA!W$32</f>
        <v>7.6970999999999998E-2</v>
      </c>
      <c r="AG89" s="137">
        <f>Summary_LCIA!X$32</f>
        <v>2.2780000000000002E-2</v>
      </c>
      <c r="AH89" s="137">
        <f>Summary_LCIA!Y$32</f>
        <v>1.5582E-2</v>
      </c>
      <c r="AI89" s="137">
        <f>Summary_LCIA!Z$32</f>
        <v>4.1009E-5</v>
      </c>
      <c r="AJ89" s="137">
        <f>Summary_LCIA!AA$32</f>
        <v>2.3355999999999998E-2</v>
      </c>
      <c r="AK89" s="137">
        <f>Summary_LCIA!AB$32</f>
        <v>-2.1823000000000001E-5</v>
      </c>
      <c r="AL89" s="137">
        <f>Summary_LCIA!AC$32</f>
        <v>4.8884000000000003E-8</v>
      </c>
      <c r="AM89" s="137">
        <f>Summary_LCIA!AD$32</f>
        <v>4.1103999999999999E-4</v>
      </c>
      <c r="AN89" s="137">
        <f>Summary_LCIA!AE$32</f>
        <v>8.8612999999999995E-4</v>
      </c>
      <c r="AO89" s="137">
        <f>Summary_LCIA!AF$32</f>
        <v>8.4542000000000005E-4</v>
      </c>
      <c r="AP89" s="137">
        <f>Summary_LCIA!AG$32</f>
        <v>5.1165000000000002E-5</v>
      </c>
      <c r="AQ89" s="137">
        <f>Summary_LCIA!AH$32</f>
        <v>8.7036000000000006E-3</v>
      </c>
      <c r="AR89" s="137">
        <f>Summary_LCIA!AI$32</f>
        <v>9.3154999999999996E-4</v>
      </c>
      <c r="AT89" s="137">
        <f t="shared" si="23"/>
        <v>124.76232719999999</v>
      </c>
      <c r="AU89" s="137">
        <f t="shared" si="35"/>
        <v>1819.6833011820117</v>
      </c>
      <c r="AV89" s="137">
        <f t="shared" si="36"/>
        <v>1.9333387583999997</v>
      </c>
      <c r="AW89" s="137">
        <f t="shared" si="37"/>
        <v>123.13946232000001</v>
      </c>
      <c r="AX89" s="137">
        <f t="shared" si="38"/>
        <v>40.351323600000001</v>
      </c>
      <c r="AY89" s="137">
        <f t="shared" si="39"/>
        <v>6.5773758959999995</v>
      </c>
      <c r="AZ89" s="137">
        <f t="shared" si="40"/>
        <v>1.7536119803999998E-2</v>
      </c>
      <c r="BA89" s="137">
        <f t="shared" si="41"/>
        <v>28.260980243999999</v>
      </c>
      <c r="BB89" s="137">
        <f t="shared" si="42"/>
        <v>8.3639959200000007</v>
      </c>
      <c r="BC89" s="137">
        <f t="shared" si="24"/>
        <v>5.7211494480000002</v>
      </c>
      <c r="BD89" s="137">
        <f t="shared" si="25"/>
        <v>1.5057028476E-2</v>
      </c>
      <c r="BE89" s="137">
        <f t="shared" si="26"/>
        <v>8.575482383999999</v>
      </c>
      <c r="BF89" s="137">
        <f t="shared" si="27"/>
        <v>-8.0126199719999999E-3</v>
      </c>
      <c r="BG89" s="137">
        <f t="shared" si="28"/>
        <v>1.7948444976000001E-5</v>
      </c>
      <c r="BH89" s="137">
        <f t="shared" si="29"/>
        <v>0.15091909056</v>
      </c>
      <c r="BI89" s="137">
        <f t="shared" si="30"/>
        <v>0.32535503531999999</v>
      </c>
      <c r="BJ89" s="137">
        <f t="shared" si="31"/>
        <v>0.31040778887999998</v>
      </c>
      <c r="BK89" s="137">
        <f t="shared" si="32"/>
        <v>1.8785946059999999E-2</v>
      </c>
      <c r="BL89" s="137">
        <f t="shared" si="33"/>
        <v>3.1956485904000003</v>
      </c>
      <c r="BM89" s="137">
        <f t="shared" si="34"/>
        <v>0.3420316242</v>
      </c>
    </row>
    <row r="90" spans="1:65" x14ac:dyDescent="0.25">
      <c r="A90" s="149">
        <v>161</v>
      </c>
      <c r="B90" s="149">
        <v>43</v>
      </c>
      <c r="C90" s="61">
        <v>42.360081999999998</v>
      </c>
      <c r="D90" s="61">
        <v>-71.058880000000002</v>
      </c>
      <c r="E90" s="61" t="s">
        <v>265</v>
      </c>
      <c r="F90" s="149">
        <v>53</v>
      </c>
      <c r="G90" s="61" t="s">
        <v>565</v>
      </c>
      <c r="H90" s="61" t="s">
        <v>634</v>
      </c>
      <c r="I90" s="61">
        <v>42.365613000000003</v>
      </c>
      <c r="J90" s="61">
        <v>-71.009559999999993</v>
      </c>
      <c r="K90" s="61">
        <v>4.3433329829999998</v>
      </c>
      <c r="L90" s="61">
        <v>5.3479999999999999</v>
      </c>
      <c r="M90" s="61" t="s">
        <v>617</v>
      </c>
      <c r="N90" s="149">
        <v>42</v>
      </c>
      <c r="O90" s="149">
        <v>43</v>
      </c>
      <c r="P90" s="61" t="s">
        <v>565</v>
      </c>
      <c r="Q90" s="61" t="s">
        <v>555</v>
      </c>
      <c r="R90" s="61">
        <v>40.6895314</v>
      </c>
      <c r="S90" s="61">
        <v>-74.174462399999996</v>
      </c>
      <c r="T90" s="61">
        <v>367.16399999999999</v>
      </c>
      <c r="U90" s="61" t="s">
        <v>617</v>
      </c>
      <c r="V90" s="61" t="s">
        <v>617</v>
      </c>
      <c r="W90" s="61"/>
      <c r="Y90" s="137">
        <f>Summary_LCIA!H$32</f>
        <v>0.33979999999999999</v>
      </c>
      <c r="Z90" s="137">
        <f>Summary_LCIA!Q$32</f>
        <v>4.9560504329999997</v>
      </c>
      <c r="AA90" s="137">
        <f>Summary_LCIA!R$32</f>
        <v>5.2655999999999996E-3</v>
      </c>
      <c r="AB90" s="137">
        <f>Summary_LCIA!S$32</f>
        <v>0.33538000000000001</v>
      </c>
      <c r="AC90" s="137">
        <f>Summary_LCIA!T$32</f>
        <v>0.1099</v>
      </c>
      <c r="AD90" s="137">
        <f>Summary_LCIA!U$32</f>
        <v>1.7913999999999999E-2</v>
      </c>
      <c r="AE90" s="137">
        <f>Summary_LCIA!V$32</f>
        <v>4.7760999999999999E-5</v>
      </c>
      <c r="AF90" s="137">
        <f>Summary_LCIA!W$32</f>
        <v>7.6970999999999998E-2</v>
      </c>
      <c r="AG90" s="137">
        <f>Summary_LCIA!X$32</f>
        <v>2.2780000000000002E-2</v>
      </c>
      <c r="AH90" s="137">
        <f>Summary_LCIA!Y$32</f>
        <v>1.5582E-2</v>
      </c>
      <c r="AI90" s="137">
        <f>Summary_LCIA!Z$32</f>
        <v>4.1009E-5</v>
      </c>
      <c r="AJ90" s="137">
        <f>Summary_LCIA!AA$32</f>
        <v>2.3355999999999998E-2</v>
      </c>
      <c r="AK90" s="137">
        <f>Summary_LCIA!AB$32</f>
        <v>-2.1823000000000001E-5</v>
      </c>
      <c r="AL90" s="137">
        <f>Summary_LCIA!AC$32</f>
        <v>4.8884000000000003E-8</v>
      </c>
      <c r="AM90" s="137">
        <f>Summary_LCIA!AD$32</f>
        <v>4.1103999999999999E-4</v>
      </c>
      <c r="AN90" s="137">
        <f>Summary_LCIA!AE$32</f>
        <v>8.8612999999999995E-4</v>
      </c>
      <c r="AO90" s="137">
        <f>Summary_LCIA!AF$32</f>
        <v>8.4542000000000005E-4</v>
      </c>
      <c r="AP90" s="137">
        <f>Summary_LCIA!AG$32</f>
        <v>5.1165000000000002E-5</v>
      </c>
      <c r="AQ90" s="137">
        <f>Summary_LCIA!AH$32</f>
        <v>8.7036000000000006E-3</v>
      </c>
      <c r="AR90" s="137">
        <f>Summary_LCIA!AI$32</f>
        <v>9.3154999999999996E-4</v>
      </c>
      <c r="AT90" s="137">
        <f t="shared" si="23"/>
        <v>124.76232719999999</v>
      </c>
      <c r="AU90" s="137">
        <f t="shared" si="35"/>
        <v>1819.6833011820117</v>
      </c>
      <c r="AV90" s="137">
        <f t="shared" si="36"/>
        <v>1.9333387583999997</v>
      </c>
      <c r="AW90" s="137">
        <f t="shared" si="37"/>
        <v>123.13946232000001</v>
      </c>
      <c r="AX90" s="137">
        <f t="shared" si="38"/>
        <v>40.351323600000001</v>
      </c>
      <c r="AY90" s="137">
        <f t="shared" si="39"/>
        <v>6.5773758959999995</v>
      </c>
      <c r="AZ90" s="137">
        <f t="shared" si="40"/>
        <v>1.7536119803999998E-2</v>
      </c>
      <c r="BA90" s="137">
        <f t="shared" si="41"/>
        <v>28.260980243999999</v>
      </c>
      <c r="BB90" s="137">
        <f t="shared" si="42"/>
        <v>8.3639959200000007</v>
      </c>
      <c r="BC90" s="137">
        <f t="shared" si="24"/>
        <v>5.7211494480000002</v>
      </c>
      <c r="BD90" s="137">
        <f t="shared" si="25"/>
        <v>1.5057028476E-2</v>
      </c>
      <c r="BE90" s="137">
        <f t="shared" si="26"/>
        <v>8.575482383999999</v>
      </c>
      <c r="BF90" s="137">
        <f t="shared" si="27"/>
        <v>-8.0126199719999999E-3</v>
      </c>
      <c r="BG90" s="137">
        <f t="shared" si="28"/>
        <v>1.7948444976000001E-5</v>
      </c>
      <c r="BH90" s="137">
        <f t="shared" si="29"/>
        <v>0.15091909056</v>
      </c>
      <c r="BI90" s="137">
        <f t="shared" si="30"/>
        <v>0.32535503531999999</v>
      </c>
      <c r="BJ90" s="137">
        <f t="shared" si="31"/>
        <v>0.31040778887999998</v>
      </c>
      <c r="BK90" s="137">
        <f t="shared" si="32"/>
        <v>1.8785946059999999E-2</v>
      </c>
      <c r="BL90" s="137">
        <f t="shared" si="33"/>
        <v>3.1956485904000003</v>
      </c>
      <c r="BM90" s="137">
        <f t="shared" si="34"/>
        <v>0.3420316242</v>
      </c>
    </row>
    <row r="91" spans="1:65" x14ac:dyDescent="0.25">
      <c r="A91" s="149">
        <v>162</v>
      </c>
      <c r="B91" s="149">
        <v>43</v>
      </c>
      <c r="C91" s="61">
        <v>42.360081999999998</v>
      </c>
      <c r="D91" s="61">
        <v>-71.058880000000002</v>
      </c>
      <c r="E91" s="61" t="s">
        <v>265</v>
      </c>
      <c r="F91" s="149">
        <v>53</v>
      </c>
      <c r="G91" s="61" t="s">
        <v>565</v>
      </c>
      <c r="H91" s="61" t="s">
        <v>634</v>
      </c>
      <c r="I91" s="61">
        <v>42.365613000000003</v>
      </c>
      <c r="J91" s="61">
        <v>-71.009559999999993</v>
      </c>
      <c r="K91" s="61">
        <v>4.3433329829999998</v>
      </c>
      <c r="L91" s="61">
        <v>5.3479999999999999</v>
      </c>
      <c r="M91" s="61" t="s">
        <v>617</v>
      </c>
      <c r="N91" s="149">
        <v>42</v>
      </c>
      <c r="O91" s="149">
        <v>43</v>
      </c>
      <c r="P91" s="61" t="s">
        <v>565</v>
      </c>
      <c r="Q91" s="61" t="s">
        <v>555</v>
      </c>
      <c r="R91" s="61">
        <v>40.6895314</v>
      </c>
      <c r="S91" s="61">
        <v>-74.174462399999996</v>
      </c>
      <c r="T91" s="61">
        <v>367.16399999999999</v>
      </c>
      <c r="U91" s="61" t="s">
        <v>617</v>
      </c>
      <c r="V91" s="61" t="s">
        <v>617</v>
      </c>
      <c r="W91" s="61"/>
      <c r="Y91" s="137">
        <f>Summary_LCIA!H$32</f>
        <v>0.33979999999999999</v>
      </c>
      <c r="Z91" s="137">
        <f>Summary_LCIA!Q$32</f>
        <v>4.9560504329999997</v>
      </c>
      <c r="AA91" s="137">
        <f>Summary_LCIA!R$32</f>
        <v>5.2655999999999996E-3</v>
      </c>
      <c r="AB91" s="137">
        <f>Summary_LCIA!S$32</f>
        <v>0.33538000000000001</v>
      </c>
      <c r="AC91" s="137">
        <f>Summary_LCIA!T$32</f>
        <v>0.1099</v>
      </c>
      <c r="AD91" s="137">
        <f>Summary_LCIA!U$32</f>
        <v>1.7913999999999999E-2</v>
      </c>
      <c r="AE91" s="137">
        <f>Summary_LCIA!V$32</f>
        <v>4.7760999999999999E-5</v>
      </c>
      <c r="AF91" s="137">
        <f>Summary_LCIA!W$32</f>
        <v>7.6970999999999998E-2</v>
      </c>
      <c r="AG91" s="137">
        <f>Summary_LCIA!X$32</f>
        <v>2.2780000000000002E-2</v>
      </c>
      <c r="AH91" s="137">
        <f>Summary_LCIA!Y$32</f>
        <v>1.5582E-2</v>
      </c>
      <c r="AI91" s="137">
        <f>Summary_LCIA!Z$32</f>
        <v>4.1009E-5</v>
      </c>
      <c r="AJ91" s="137">
        <f>Summary_LCIA!AA$32</f>
        <v>2.3355999999999998E-2</v>
      </c>
      <c r="AK91" s="137">
        <f>Summary_LCIA!AB$32</f>
        <v>-2.1823000000000001E-5</v>
      </c>
      <c r="AL91" s="137">
        <f>Summary_LCIA!AC$32</f>
        <v>4.8884000000000003E-8</v>
      </c>
      <c r="AM91" s="137">
        <f>Summary_LCIA!AD$32</f>
        <v>4.1103999999999999E-4</v>
      </c>
      <c r="AN91" s="137">
        <f>Summary_LCIA!AE$32</f>
        <v>8.8612999999999995E-4</v>
      </c>
      <c r="AO91" s="137">
        <f>Summary_LCIA!AF$32</f>
        <v>8.4542000000000005E-4</v>
      </c>
      <c r="AP91" s="137">
        <f>Summary_LCIA!AG$32</f>
        <v>5.1165000000000002E-5</v>
      </c>
      <c r="AQ91" s="137">
        <f>Summary_LCIA!AH$32</f>
        <v>8.7036000000000006E-3</v>
      </c>
      <c r="AR91" s="137">
        <f>Summary_LCIA!AI$32</f>
        <v>9.3154999999999996E-4</v>
      </c>
      <c r="AT91" s="137">
        <f t="shared" si="23"/>
        <v>124.76232719999999</v>
      </c>
      <c r="AU91" s="137">
        <f t="shared" si="35"/>
        <v>1819.6833011820117</v>
      </c>
      <c r="AV91" s="137">
        <f t="shared" si="36"/>
        <v>1.9333387583999997</v>
      </c>
      <c r="AW91" s="137">
        <f t="shared" si="37"/>
        <v>123.13946232000001</v>
      </c>
      <c r="AX91" s="137">
        <f t="shared" si="38"/>
        <v>40.351323600000001</v>
      </c>
      <c r="AY91" s="137">
        <f t="shared" si="39"/>
        <v>6.5773758959999995</v>
      </c>
      <c r="AZ91" s="137">
        <f t="shared" si="40"/>
        <v>1.7536119803999998E-2</v>
      </c>
      <c r="BA91" s="137">
        <f t="shared" si="41"/>
        <v>28.260980243999999</v>
      </c>
      <c r="BB91" s="137">
        <f t="shared" si="42"/>
        <v>8.3639959200000007</v>
      </c>
      <c r="BC91" s="137">
        <f t="shared" si="24"/>
        <v>5.7211494480000002</v>
      </c>
      <c r="BD91" s="137">
        <f t="shared" si="25"/>
        <v>1.5057028476E-2</v>
      </c>
      <c r="BE91" s="137">
        <f t="shared" si="26"/>
        <v>8.575482383999999</v>
      </c>
      <c r="BF91" s="137">
        <f t="shared" si="27"/>
        <v>-8.0126199719999999E-3</v>
      </c>
      <c r="BG91" s="137">
        <f t="shared" si="28"/>
        <v>1.7948444976000001E-5</v>
      </c>
      <c r="BH91" s="137">
        <f t="shared" si="29"/>
        <v>0.15091909056</v>
      </c>
      <c r="BI91" s="137">
        <f t="shared" si="30"/>
        <v>0.32535503531999999</v>
      </c>
      <c r="BJ91" s="137">
        <f t="shared" si="31"/>
        <v>0.31040778887999998</v>
      </c>
      <c r="BK91" s="137">
        <f t="shared" si="32"/>
        <v>1.8785946059999999E-2</v>
      </c>
      <c r="BL91" s="137">
        <f t="shared" si="33"/>
        <v>3.1956485904000003</v>
      </c>
      <c r="BM91" s="137">
        <f t="shared" si="34"/>
        <v>0.3420316242</v>
      </c>
    </row>
    <row r="92" spans="1:65" x14ac:dyDescent="0.25">
      <c r="A92" s="149">
        <v>163</v>
      </c>
      <c r="B92" s="149">
        <v>43</v>
      </c>
      <c r="C92" s="61">
        <v>42.360081999999998</v>
      </c>
      <c r="D92" s="61">
        <v>-71.058880000000002</v>
      </c>
      <c r="E92" s="61" t="s">
        <v>265</v>
      </c>
      <c r="F92" s="149">
        <v>53</v>
      </c>
      <c r="G92" s="61" t="s">
        <v>565</v>
      </c>
      <c r="H92" s="61" t="s">
        <v>634</v>
      </c>
      <c r="I92" s="61">
        <v>42.365613000000003</v>
      </c>
      <c r="J92" s="61">
        <v>-71.009559999999993</v>
      </c>
      <c r="K92" s="61">
        <v>4.3433329829999998</v>
      </c>
      <c r="L92" s="61">
        <v>5.3479999999999999</v>
      </c>
      <c r="M92" s="61" t="s">
        <v>617</v>
      </c>
      <c r="N92" s="149">
        <v>42</v>
      </c>
      <c r="O92" s="149">
        <v>43</v>
      </c>
      <c r="P92" s="61" t="s">
        <v>565</v>
      </c>
      <c r="Q92" s="61" t="s">
        <v>555</v>
      </c>
      <c r="R92" s="61">
        <v>40.6895314</v>
      </c>
      <c r="S92" s="61">
        <v>-74.174462399999996</v>
      </c>
      <c r="T92" s="61">
        <v>367.16399999999999</v>
      </c>
      <c r="U92" s="61" t="s">
        <v>617</v>
      </c>
      <c r="V92" s="61" t="s">
        <v>617</v>
      </c>
      <c r="W92" s="61"/>
      <c r="Y92" s="137">
        <f>Summary_LCIA!H$32</f>
        <v>0.33979999999999999</v>
      </c>
      <c r="Z92" s="137">
        <f>Summary_LCIA!Q$32</f>
        <v>4.9560504329999997</v>
      </c>
      <c r="AA92" s="137">
        <f>Summary_LCIA!R$32</f>
        <v>5.2655999999999996E-3</v>
      </c>
      <c r="AB92" s="137">
        <f>Summary_LCIA!S$32</f>
        <v>0.33538000000000001</v>
      </c>
      <c r="AC92" s="137">
        <f>Summary_LCIA!T$32</f>
        <v>0.1099</v>
      </c>
      <c r="AD92" s="137">
        <f>Summary_LCIA!U$32</f>
        <v>1.7913999999999999E-2</v>
      </c>
      <c r="AE92" s="137">
        <f>Summary_LCIA!V$32</f>
        <v>4.7760999999999999E-5</v>
      </c>
      <c r="AF92" s="137">
        <f>Summary_LCIA!W$32</f>
        <v>7.6970999999999998E-2</v>
      </c>
      <c r="AG92" s="137">
        <f>Summary_LCIA!X$32</f>
        <v>2.2780000000000002E-2</v>
      </c>
      <c r="AH92" s="137">
        <f>Summary_LCIA!Y$32</f>
        <v>1.5582E-2</v>
      </c>
      <c r="AI92" s="137">
        <f>Summary_LCIA!Z$32</f>
        <v>4.1009E-5</v>
      </c>
      <c r="AJ92" s="137">
        <f>Summary_LCIA!AA$32</f>
        <v>2.3355999999999998E-2</v>
      </c>
      <c r="AK92" s="137">
        <f>Summary_LCIA!AB$32</f>
        <v>-2.1823000000000001E-5</v>
      </c>
      <c r="AL92" s="137">
        <f>Summary_LCIA!AC$32</f>
        <v>4.8884000000000003E-8</v>
      </c>
      <c r="AM92" s="137">
        <f>Summary_LCIA!AD$32</f>
        <v>4.1103999999999999E-4</v>
      </c>
      <c r="AN92" s="137">
        <f>Summary_LCIA!AE$32</f>
        <v>8.8612999999999995E-4</v>
      </c>
      <c r="AO92" s="137">
        <f>Summary_LCIA!AF$32</f>
        <v>8.4542000000000005E-4</v>
      </c>
      <c r="AP92" s="137">
        <f>Summary_LCIA!AG$32</f>
        <v>5.1165000000000002E-5</v>
      </c>
      <c r="AQ92" s="137">
        <f>Summary_LCIA!AH$32</f>
        <v>8.7036000000000006E-3</v>
      </c>
      <c r="AR92" s="137">
        <f>Summary_LCIA!AI$32</f>
        <v>9.3154999999999996E-4</v>
      </c>
      <c r="AT92" s="137">
        <f t="shared" si="23"/>
        <v>124.76232719999999</v>
      </c>
      <c r="AU92" s="137">
        <f t="shared" si="35"/>
        <v>1819.6833011820117</v>
      </c>
      <c r="AV92" s="137">
        <f t="shared" si="36"/>
        <v>1.9333387583999997</v>
      </c>
      <c r="AW92" s="137">
        <f t="shared" si="37"/>
        <v>123.13946232000001</v>
      </c>
      <c r="AX92" s="137">
        <f t="shared" si="38"/>
        <v>40.351323600000001</v>
      </c>
      <c r="AY92" s="137">
        <f t="shared" si="39"/>
        <v>6.5773758959999995</v>
      </c>
      <c r="AZ92" s="137">
        <f t="shared" si="40"/>
        <v>1.7536119803999998E-2</v>
      </c>
      <c r="BA92" s="137">
        <f t="shared" si="41"/>
        <v>28.260980243999999</v>
      </c>
      <c r="BB92" s="137">
        <f t="shared" si="42"/>
        <v>8.3639959200000007</v>
      </c>
      <c r="BC92" s="137">
        <f t="shared" si="24"/>
        <v>5.7211494480000002</v>
      </c>
      <c r="BD92" s="137">
        <f t="shared" si="25"/>
        <v>1.5057028476E-2</v>
      </c>
      <c r="BE92" s="137">
        <f t="shared" si="26"/>
        <v>8.575482383999999</v>
      </c>
      <c r="BF92" s="137">
        <f t="shared" si="27"/>
        <v>-8.0126199719999999E-3</v>
      </c>
      <c r="BG92" s="137">
        <f t="shared" si="28"/>
        <v>1.7948444976000001E-5</v>
      </c>
      <c r="BH92" s="137">
        <f t="shared" si="29"/>
        <v>0.15091909056</v>
      </c>
      <c r="BI92" s="137">
        <f t="shared" si="30"/>
        <v>0.32535503531999999</v>
      </c>
      <c r="BJ92" s="137">
        <f t="shared" si="31"/>
        <v>0.31040778887999998</v>
      </c>
      <c r="BK92" s="137">
        <f t="shared" si="32"/>
        <v>1.8785946059999999E-2</v>
      </c>
      <c r="BL92" s="137">
        <f t="shared" si="33"/>
        <v>3.1956485904000003</v>
      </c>
      <c r="BM92" s="137">
        <f t="shared" si="34"/>
        <v>0.3420316242</v>
      </c>
    </row>
    <row r="93" spans="1:65" x14ac:dyDescent="0.25">
      <c r="A93" s="149">
        <v>164</v>
      </c>
      <c r="B93" s="149">
        <v>43</v>
      </c>
      <c r="C93" s="61">
        <v>42.360081999999998</v>
      </c>
      <c r="D93" s="61">
        <v>-71.058880000000002</v>
      </c>
      <c r="E93" s="61" t="s">
        <v>265</v>
      </c>
      <c r="F93" s="149">
        <v>53</v>
      </c>
      <c r="G93" s="61" t="s">
        <v>565</v>
      </c>
      <c r="H93" s="61" t="s">
        <v>634</v>
      </c>
      <c r="I93" s="61">
        <v>42.365613000000003</v>
      </c>
      <c r="J93" s="61">
        <v>-71.009559999999993</v>
      </c>
      <c r="K93" s="61">
        <v>4.3433329829999998</v>
      </c>
      <c r="L93" s="61">
        <v>5.3479999999999999</v>
      </c>
      <c r="M93" s="61" t="s">
        <v>617</v>
      </c>
      <c r="N93" s="149">
        <v>42</v>
      </c>
      <c r="O93" s="149">
        <v>43</v>
      </c>
      <c r="P93" s="61" t="s">
        <v>565</v>
      </c>
      <c r="Q93" s="61" t="s">
        <v>555</v>
      </c>
      <c r="R93" s="61">
        <v>40.6895314</v>
      </c>
      <c r="S93" s="61">
        <v>-74.174462399999996</v>
      </c>
      <c r="T93" s="61">
        <v>367.16399999999999</v>
      </c>
      <c r="U93" s="61" t="s">
        <v>617</v>
      </c>
      <c r="V93" s="61" t="s">
        <v>617</v>
      </c>
      <c r="W93" s="61"/>
      <c r="Y93" s="137">
        <f>Summary_LCIA!H$32</f>
        <v>0.33979999999999999</v>
      </c>
      <c r="Z93" s="137">
        <f>Summary_LCIA!Q$32</f>
        <v>4.9560504329999997</v>
      </c>
      <c r="AA93" s="137">
        <f>Summary_LCIA!R$32</f>
        <v>5.2655999999999996E-3</v>
      </c>
      <c r="AB93" s="137">
        <f>Summary_LCIA!S$32</f>
        <v>0.33538000000000001</v>
      </c>
      <c r="AC93" s="137">
        <f>Summary_LCIA!T$32</f>
        <v>0.1099</v>
      </c>
      <c r="AD93" s="137">
        <f>Summary_LCIA!U$32</f>
        <v>1.7913999999999999E-2</v>
      </c>
      <c r="AE93" s="137">
        <f>Summary_LCIA!V$32</f>
        <v>4.7760999999999999E-5</v>
      </c>
      <c r="AF93" s="137">
        <f>Summary_LCIA!W$32</f>
        <v>7.6970999999999998E-2</v>
      </c>
      <c r="AG93" s="137">
        <f>Summary_LCIA!X$32</f>
        <v>2.2780000000000002E-2</v>
      </c>
      <c r="AH93" s="137">
        <f>Summary_LCIA!Y$32</f>
        <v>1.5582E-2</v>
      </c>
      <c r="AI93" s="137">
        <f>Summary_LCIA!Z$32</f>
        <v>4.1009E-5</v>
      </c>
      <c r="AJ93" s="137">
        <f>Summary_LCIA!AA$32</f>
        <v>2.3355999999999998E-2</v>
      </c>
      <c r="AK93" s="137">
        <f>Summary_LCIA!AB$32</f>
        <v>-2.1823000000000001E-5</v>
      </c>
      <c r="AL93" s="137">
        <f>Summary_LCIA!AC$32</f>
        <v>4.8884000000000003E-8</v>
      </c>
      <c r="AM93" s="137">
        <f>Summary_LCIA!AD$32</f>
        <v>4.1103999999999999E-4</v>
      </c>
      <c r="AN93" s="137">
        <f>Summary_LCIA!AE$32</f>
        <v>8.8612999999999995E-4</v>
      </c>
      <c r="AO93" s="137">
        <f>Summary_LCIA!AF$32</f>
        <v>8.4542000000000005E-4</v>
      </c>
      <c r="AP93" s="137">
        <f>Summary_LCIA!AG$32</f>
        <v>5.1165000000000002E-5</v>
      </c>
      <c r="AQ93" s="137">
        <f>Summary_LCIA!AH$32</f>
        <v>8.7036000000000006E-3</v>
      </c>
      <c r="AR93" s="137">
        <f>Summary_LCIA!AI$32</f>
        <v>9.3154999999999996E-4</v>
      </c>
      <c r="AT93" s="137">
        <f t="shared" si="23"/>
        <v>124.76232719999999</v>
      </c>
      <c r="AU93" s="137">
        <f t="shared" si="35"/>
        <v>1819.6833011820117</v>
      </c>
      <c r="AV93" s="137">
        <f t="shared" si="36"/>
        <v>1.9333387583999997</v>
      </c>
      <c r="AW93" s="137">
        <f t="shared" si="37"/>
        <v>123.13946232000001</v>
      </c>
      <c r="AX93" s="137">
        <f t="shared" si="38"/>
        <v>40.351323600000001</v>
      </c>
      <c r="AY93" s="137">
        <f t="shared" si="39"/>
        <v>6.5773758959999995</v>
      </c>
      <c r="AZ93" s="137">
        <f t="shared" si="40"/>
        <v>1.7536119803999998E-2</v>
      </c>
      <c r="BA93" s="137">
        <f t="shared" si="41"/>
        <v>28.260980243999999</v>
      </c>
      <c r="BB93" s="137">
        <f t="shared" si="42"/>
        <v>8.3639959200000007</v>
      </c>
      <c r="BC93" s="137">
        <f t="shared" si="24"/>
        <v>5.7211494480000002</v>
      </c>
      <c r="BD93" s="137">
        <f t="shared" si="25"/>
        <v>1.5057028476E-2</v>
      </c>
      <c r="BE93" s="137">
        <f t="shared" si="26"/>
        <v>8.575482383999999</v>
      </c>
      <c r="BF93" s="137">
        <f t="shared" si="27"/>
        <v>-8.0126199719999999E-3</v>
      </c>
      <c r="BG93" s="137">
        <f t="shared" si="28"/>
        <v>1.7948444976000001E-5</v>
      </c>
      <c r="BH93" s="137">
        <f t="shared" si="29"/>
        <v>0.15091909056</v>
      </c>
      <c r="BI93" s="137">
        <f t="shared" si="30"/>
        <v>0.32535503531999999</v>
      </c>
      <c r="BJ93" s="137">
        <f t="shared" si="31"/>
        <v>0.31040778887999998</v>
      </c>
      <c r="BK93" s="137">
        <f t="shared" si="32"/>
        <v>1.8785946059999999E-2</v>
      </c>
      <c r="BL93" s="137">
        <f t="shared" si="33"/>
        <v>3.1956485904000003</v>
      </c>
      <c r="BM93" s="137">
        <f t="shared" si="34"/>
        <v>0.3420316242</v>
      </c>
    </row>
    <row r="94" spans="1:65" x14ac:dyDescent="0.25">
      <c r="A94" s="149">
        <v>165</v>
      </c>
      <c r="B94" s="149">
        <v>43</v>
      </c>
      <c r="C94" s="61">
        <v>42.360081999999998</v>
      </c>
      <c r="D94" s="61">
        <v>-71.058880000000002</v>
      </c>
      <c r="E94" s="61" t="s">
        <v>265</v>
      </c>
      <c r="F94" s="149">
        <v>53</v>
      </c>
      <c r="G94" s="61" t="s">
        <v>565</v>
      </c>
      <c r="H94" s="61" t="s">
        <v>634</v>
      </c>
      <c r="I94" s="61">
        <v>42.365613000000003</v>
      </c>
      <c r="J94" s="61">
        <v>-71.009559999999993</v>
      </c>
      <c r="K94" s="61">
        <v>4.3433329829999998</v>
      </c>
      <c r="L94" s="61">
        <v>5.3479999999999999</v>
      </c>
      <c r="M94" s="61" t="s">
        <v>617</v>
      </c>
      <c r="N94" s="149">
        <v>42</v>
      </c>
      <c r="O94" s="149">
        <v>43</v>
      </c>
      <c r="P94" s="61" t="s">
        <v>565</v>
      </c>
      <c r="Q94" s="61" t="s">
        <v>555</v>
      </c>
      <c r="R94" s="61">
        <v>40.6895314</v>
      </c>
      <c r="S94" s="61">
        <v>-74.174462399999996</v>
      </c>
      <c r="T94" s="61">
        <v>367.16399999999999</v>
      </c>
      <c r="U94" s="61" t="s">
        <v>617</v>
      </c>
      <c r="V94" s="61" t="s">
        <v>617</v>
      </c>
      <c r="W94" s="61"/>
      <c r="Y94" s="137">
        <f>Summary_LCIA!H$32</f>
        <v>0.33979999999999999</v>
      </c>
      <c r="Z94" s="137">
        <f>Summary_LCIA!Q$32</f>
        <v>4.9560504329999997</v>
      </c>
      <c r="AA94" s="137">
        <f>Summary_LCIA!R$32</f>
        <v>5.2655999999999996E-3</v>
      </c>
      <c r="AB94" s="137">
        <f>Summary_LCIA!S$32</f>
        <v>0.33538000000000001</v>
      </c>
      <c r="AC94" s="137">
        <f>Summary_LCIA!T$32</f>
        <v>0.1099</v>
      </c>
      <c r="AD94" s="137">
        <f>Summary_LCIA!U$32</f>
        <v>1.7913999999999999E-2</v>
      </c>
      <c r="AE94" s="137">
        <f>Summary_LCIA!V$32</f>
        <v>4.7760999999999999E-5</v>
      </c>
      <c r="AF94" s="137">
        <f>Summary_LCIA!W$32</f>
        <v>7.6970999999999998E-2</v>
      </c>
      <c r="AG94" s="137">
        <f>Summary_LCIA!X$32</f>
        <v>2.2780000000000002E-2</v>
      </c>
      <c r="AH94" s="137">
        <f>Summary_LCIA!Y$32</f>
        <v>1.5582E-2</v>
      </c>
      <c r="AI94" s="137">
        <f>Summary_LCIA!Z$32</f>
        <v>4.1009E-5</v>
      </c>
      <c r="AJ94" s="137">
        <f>Summary_LCIA!AA$32</f>
        <v>2.3355999999999998E-2</v>
      </c>
      <c r="AK94" s="137">
        <f>Summary_LCIA!AB$32</f>
        <v>-2.1823000000000001E-5</v>
      </c>
      <c r="AL94" s="137">
        <f>Summary_LCIA!AC$32</f>
        <v>4.8884000000000003E-8</v>
      </c>
      <c r="AM94" s="137">
        <f>Summary_LCIA!AD$32</f>
        <v>4.1103999999999999E-4</v>
      </c>
      <c r="AN94" s="137">
        <f>Summary_LCIA!AE$32</f>
        <v>8.8612999999999995E-4</v>
      </c>
      <c r="AO94" s="137">
        <f>Summary_LCIA!AF$32</f>
        <v>8.4542000000000005E-4</v>
      </c>
      <c r="AP94" s="137">
        <f>Summary_LCIA!AG$32</f>
        <v>5.1165000000000002E-5</v>
      </c>
      <c r="AQ94" s="137">
        <f>Summary_LCIA!AH$32</f>
        <v>8.7036000000000006E-3</v>
      </c>
      <c r="AR94" s="137">
        <f>Summary_LCIA!AI$32</f>
        <v>9.3154999999999996E-4</v>
      </c>
      <c r="AT94" s="137">
        <f t="shared" si="23"/>
        <v>124.76232719999999</v>
      </c>
      <c r="AU94" s="137">
        <f t="shared" si="35"/>
        <v>1819.6833011820117</v>
      </c>
      <c r="AV94" s="137">
        <f t="shared" si="36"/>
        <v>1.9333387583999997</v>
      </c>
      <c r="AW94" s="137">
        <f t="shared" si="37"/>
        <v>123.13946232000001</v>
      </c>
      <c r="AX94" s="137">
        <f t="shared" si="38"/>
        <v>40.351323600000001</v>
      </c>
      <c r="AY94" s="137">
        <f t="shared" si="39"/>
        <v>6.5773758959999995</v>
      </c>
      <c r="AZ94" s="137">
        <f t="shared" si="40"/>
        <v>1.7536119803999998E-2</v>
      </c>
      <c r="BA94" s="137">
        <f t="shared" si="41"/>
        <v>28.260980243999999</v>
      </c>
      <c r="BB94" s="137">
        <f t="shared" si="42"/>
        <v>8.3639959200000007</v>
      </c>
      <c r="BC94" s="137">
        <f t="shared" si="24"/>
        <v>5.7211494480000002</v>
      </c>
      <c r="BD94" s="137">
        <f t="shared" si="25"/>
        <v>1.5057028476E-2</v>
      </c>
      <c r="BE94" s="137">
        <f t="shared" si="26"/>
        <v>8.575482383999999</v>
      </c>
      <c r="BF94" s="137">
        <f t="shared" si="27"/>
        <v>-8.0126199719999999E-3</v>
      </c>
      <c r="BG94" s="137">
        <f t="shared" si="28"/>
        <v>1.7948444976000001E-5</v>
      </c>
      <c r="BH94" s="137">
        <f t="shared" si="29"/>
        <v>0.15091909056</v>
      </c>
      <c r="BI94" s="137">
        <f t="shared" si="30"/>
        <v>0.32535503531999999</v>
      </c>
      <c r="BJ94" s="137">
        <f t="shared" si="31"/>
        <v>0.31040778887999998</v>
      </c>
      <c r="BK94" s="137">
        <f t="shared" si="32"/>
        <v>1.8785946059999999E-2</v>
      </c>
      <c r="BL94" s="137">
        <f t="shared" si="33"/>
        <v>3.1956485904000003</v>
      </c>
      <c r="BM94" s="137">
        <f t="shared" si="34"/>
        <v>0.3420316242</v>
      </c>
    </row>
    <row r="95" spans="1:65" x14ac:dyDescent="0.25">
      <c r="A95" s="149">
        <v>227</v>
      </c>
      <c r="B95" s="149">
        <v>43</v>
      </c>
      <c r="C95" s="61">
        <v>42.360070999999998</v>
      </c>
      <c r="D95" s="61">
        <v>-71.05883</v>
      </c>
      <c r="E95" s="61" t="s">
        <v>265</v>
      </c>
      <c r="F95" s="149">
        <v>53</v>
      </c>
      <c r="G95" s="61" t="s">
        <v>565</v>
      </c>
      <c r="H95" s="61" t="s">
        <v>634</v>
      </c>
      <c r="I95" s="61">
        <v>42.365613000000003</v>
      </c>
      <c r="J95" s="61">
        <v>-71.009559999999993</v>
      </c>
      <c r="K95" s="61">
        <v>4.3397988529999996</v>
      </c>
      <c r="L95" s="61">
        <v>5.351</v>
      </c>
      <c r="M95" s="61" t="s">
        <v>617</v>
      </c>
      <c r="N95" s="149">
        <v>42</v>
      </c>
      <c r="O95" s="149">
        <v>43</v>
      </c>
      <c r="P95" s="61" t="s">
        <v>565</v>
      </c>
      <c r="Q95" s="61" t="s">
        <v>555</v>
      </c>
      <c r="R95" s="61">
        <v>40.6895314</v>
      </c>
      <c r="S95" s="61">
        <v>-74.174462399999996</v>
      </c>
      <c r="T95" s="61">
        <v>367.16699999999997</v>
      </c>
      <c r="U95" s="61" t="s">
        <v>617</v>
      </c>
      <c r="V95" s="61" t="s">
        <v>617</v>
      </c>
      <c r="W95" s="61"/>
      <c r="Y95" s="137">
        <f>Summary_LCIA!H$32</f>
        <v>0.33979999999999999</v>
      </c>
      <c r="Z95" s="137">
        <f>Summary_LCIA!Q$32</f>
        <v>4.9560504329999997</v>
      </c>
      <c r="AA95" s="137">
        <f>Summary_LCIA!R$32</f>
        <v>5.2655999999999996E-3</v>
      </c>
      <c r="AB95" s="137">
        <f>Summary_LCIA!S$32</f>
        <v>0.33538000000000001</v>
      </c>
      <c r="AC95" s="137">
        <f>Summary_LCIA!T$32</f>
        <v>0.1099</v>
      </c>
      <c r="AD95" s="137">
        <f>Summary_LCIA!U$32</f>
        <v>1.7913999999999999E-2</v>
      </c>
      <c r="AE95" s="137">
        <f>Summary_LCIA!V$32</f>
        <v>4.7760999999999999E-5</v>
      </c>
      <c r="AF95" s="137">
        <f>Summary_LCIA!W$32</f>
        <v>7.6970999999999998E-2</v>
      </c>
      <c r="AG95" s="137">
        <f>Summary_LCIA!X$32</f>
        <v>2.2780000000000002E-2</v>
      </c>
      <c r="AH95" s="137">
        <f>Summary_LCIA!Y$32</f>
        <v>1.5582E-2</v>
      </c>
      <c r="AI95" s="137">
        <f>Summary_LCIA!Z$32</f>
        <v>4.1009E-5</v>
      </c>
      <c r="AJ95" s="137">
        <f>Summary_LCIA!AA$32</f>
        <v>2.3355999999999998E-2</v>
      </c>
      <c r="AK95" s="137">
        <f>Summary_LCIA!AB$32</f>
        <v>-2.1823000000000001E-5</v>
      </c>
      <c r="AL95" s="137">
        <f>Summary_LCIA!AC$32</f>
        <v>4.8884000000000003E-8</v>
      </c>
      <c r="AM95" s="137">
        <f>Summary_LCIA!AD$32</f>
        <v>4.1103999999999999E-4</v>
      </c>
      <c r="AN95" s="137">
        <f>Summary_LCIA!AE$32</f>
        <v>8.8612999999999995E-4</v>
      </c>
      <c r="AO95" s="137">
        <f>Summary_LCIA!AF$32</f>
        <v>8.4542000000000005E-4</v>
      </c>
      <c r="AP95" s="137">
        <f>Summary_LCIA!AG$32</f>
        <v>5.1165000000000002E-5</v>
      </c>
      <c r="AQ95" s="137">
        <f>Summary_LCIA!AH$32</f>
        <v>8.7036000000000006E-3</v>
      </c>
      <c r="AR95" s="137">
        <f>Summary_LCIA!AI$32</f>
        <v>9.3154999999999996E-4</v>
      </c>
      <c r="AT95" s="137">
        <f t="shared" si="23"/>
        <v>124.76334659999999</v>
      </c>
      <c r="AU95" s="137">
        <f t="shared" si="35"/>
        <v>1819.6981693333107</v>
      </c>
      <c r="AV95" s="137">
        <f t="shared" si="36"/>
        <v>1.9333545551999998</v>
      </c>
      <c r="AW95" s="137">
        <f t="shared" si="37"/>
        <v>123.14046845999999</v>
      </c>
      <c r="AX95" s="137">
        <f t="shared" si="38"/>
        <v>40.351653299999995</v>
      </c>
      <c r="AY95" s="137">
        <f t="shared" si="39"/>
        <v>6.577429637999999</v>
      </c>
      <c r="AZ95" s="137">
        <f t="shared" si="40"/>
        <v>1.7536263086999997E-2</v>
      </c>
      <c r="BA95" s="137">
        <f t="shared" si="41"/>
        <v>28.261211156999998</v>
      </c>
      <c r="BB95" s="137">
        <f t="shared" si="42"/>
        <v>8.3640642599999993</v>
      </c>
      <c r="BC95" s="137">
        <f t="shared" si="24"/>
        <v>5.721196194</v>
      </c>
      <c r="BD95" s="137">
        <f t="shared" si="25"/>
        <v>1.5057151502999999E-2</v>
      </c>
      <c r="BE95" s="137">
        <f t="shared" si="26"/>
        <v>8.5755524519999984</v>
      </c>
      <c r="BF95" s="137">
        <f t="shared" si="27"/>
        <v>-8.012685440999999E-3</v>
      </c>
      <c r="BG95" s="137">
        <f t="shared" si="28"/>
        <v>1.7948591628E-5</v>
      </c>
      <c r="BH95" s="137">
        <f t="shared" si="29"/>
        <v>0.15092032368</v>
      </c>
      <c r="BI95" s="137">
        <f t="shared" si="30"/>
        <v>0.32535769370999995</v>
      </c>
      <c r="BJ95" s="137">
        <f t="shared" si="31"/>
        <v>0.31041032514</v>
      </c>
      <c r="BK95" s="137">
        <f t="shared" si="32"/>
        <v>1.8786099554999998E-2</v>
      </c>
      <c r="BL95" s="137">
        <f t="shared" si="33"/>
        <v>3.1956747012000002</v>
      </c>
      <c r="BM95" s="137">
        <f t="shared" si="34"/>
        <v>0.34203441884999997</v>
      </c>
    </row>
    <row r="96" spans="1:65" x14ac:dyDescent="0.25">
      <c r="A96" s="149">
        <v>100</v>
      </c>
      <c r="B96" s="149">
        <v>43</v>
      </c>
      <c r="C96" s="61">
        <v>42.362706000000003</v>
      </c>
      <c r="D96" s="61">
        <v>-71.068657999999999</v>
      </c>
      <c r="E96" s="61" t="s">
        <v>265</v>
      </c>
      <c r="F96" s="149">
        <v>53</v>
      </c>
      <c r="G96" s="61" t="s">
        <v>565</v>
      </c>
      <c r="H96" s="61" t="s">
        <v>634</v>
      </c>
      <c r="I96" s="61">
        <v>42.365613000000003</v>
      </c>
      <c r="J96" s="61">
        <v>-71.009559999999993</v>
      </c>
      <c r="K96" s="61">
        <v>5.0515925839999998</v>
      </c>
      <c r="L96" s="61">
        <v>6.5289999999999999</v>
      </c>
      <c r="M96" s="61" t="s">
        <v>617</v>
      </c>
      <c r="N96" s="149">
        <v>42</v>
      </c>
      <c r="O96" s="149">
        <v>43</v>
      </c>
      <c r="P96" s="61" t="s">
        <v>565</v>
      </c>
      <c r="Q96" s="61" t="s">
        <v>555</v>
      </c>
      <c r="R96" s="61">
        <v>40.6895314</v>
      </c>
      <c r="S96" s="61">
        <v>-74.174462399999996</v>
      </c>
      <c r="T96" s="61">
        <v>368.303</v>
      </c>
      <c r="U96" s="61" t="s">
        <v>617</v>
      </c>
      <c r="V96" s="61" t="s">
        <v>617</v>
      </c>
      <c r="W96" s="61"/>
      <c r="Y96" s="137">
        <f>Summary_LCIA!H$32</f>
        <v>0.33979999999999999</v>
      </c>
      <c r="Z96" s="137">
        <f>Summary_LCIA!Q$32</f>
        <v>4.9560504329999997</v>
      </c>
      <c r="AA96" s="137">
        <f>Summary_LCIA!R$32</f>
        <v>5.2655999999999996E-3</v>
      </c>
      <c r="AB96" s="137">
        <f>Summary_LCIA!S$32</f>
        <v>0.33538000000000001</v>
      </c>
      <c r="AC96" s="137">
        <f>Summary_LCIA!T$32</f>
        <v>0.1099</v>
      </c>
      <c r="AD96" s="137">
        <f>Summary_LCIA!U$32</f>
        <v>1.7913999999999999E-2</v>
      </c>
      <c r="AE96" s="137">
        <f>Summary_LCIA!V$32</f>
        <v>4.7760999999999999E-5</v>
      </c>
      <c r="AF96" s="137">
        <f>Summary_LCIA!W$32</f>
        <v>7.6970999999999998E-2</v>
      </c>
      <c r="AG96" s="137">
        <f>Summary_LCIA!X$32</f>
        <v>2.2780000000000002E-2</v>
      </c>
      <c r="AH96" s="137">
        <f>Summary_LCIA!Y$32</f>
        <v>1.5582E-2</v>
      </c>
      <c r="AI96" s="137">
        <f>Summary_LCIA!Z$32</f>
        <v>4.1009E-5</v>
      </c>
      <c r="AJ96" s="137">
        <f>Summary_LCIA!AA$32</f>
        <v>2.3355999999999998E-2</v>
      </c>
      <c r="AK96" s="137">
        <f>Summary_LCIA!AB$32</f>
        <v>-2.1823000000000001E-5</v>
      </c>
      <c r="AL96" s="137">
        <f>Summary_LCIA!AC$32</f>
        <v>4.8884000000000003E-8</v>
      </c>
      <c r="AM96" s="137">
        <f>Summary_LCIA!AD$32</f>
        <v>4.1103999999999999E-4</v>
      </c>
      <c r="AN96" s="137">
        <f>Summary_LCIA!AE$32</f>
        <v>8.8612999999999995E-4</v>
      </c>
      <c r="AO96" s="137">
        <f>Summary_LCIA!AF$32</f>
        <v>8.4542000000000005E-4</v>
      </c>
      <c r="AP96" s="137">
        <f>Summary_LCIA!AG$32</f>
        <v>5.1165000000000002E-5</v>
      </c>
      <c r="AQ96" s="137">
        <f>Summary_LCIA!AH$32</f>
        <v>8.7036000000000006E-3</v>
      </c>
      <c r="AR96" s="137">
        <f>Summary_LCIA!AI$32</f>
        <v>9.3154999999999996E-4</v>
      </c>
      <c r="AT96" s="137">
        <f t="shared" si="23"/>
        <v>125.14935939999999</v>
      </c>
      <c r="AU96" s="137">
        <f t="shared" si="35"/>
        <v>1825.328242625199</v>
      </c>
      <c r="AV96" s="137">
        <f t="shared" si="36"/>
        <v>1.9393362767999998</v>
      </c>
      <c r="AW96" s="137">
        <f t="shared" si="37"/>
        <v>123.52146014</v>
      </c>
      <c r="AX96" s="137">
        <f t="shared" si="38"/>
        <v>40.476499699999998</v>
      </c>
      <c r="AY96" s="137">
        <f t="shared" si="39"/>
        <v>6.5977799419999998</v>
      </c>
      <c r="AZ96" s="137">
        <f t="shared" si="40"/>
        <v>1.7590519582999998E-2</v>
      </c>
      <c r="BA96" s="137">
        <f t="shared" si="41"/>
        <v>28.348650212999999</v>
      </c>
      <c r="BB96" s="137">
        <f t="shared" si="42"/>
        <v>8.3899423400000011</v>
      </c>
      <c r="BC96" s="137">
        <f t="shared" si="24"/>
        <v>5.7388973459999999</v>
      </c>
      <c r="BD96" s="137">
        <f t="shared" si="25"/>
        <v>1.5103737726999999E-2</v>
      </c>
      <c r="BE96" s="137">
        <f t="shared" si="26"/>
        <v>8.6020848679999986</v>
      </c>
      <c r="BF96" s="137">
        <f t="shared" si="27"/>
        <v>-8.0374763690000007E-3</v>
      </c>
      <c r="BG96" s="137">
        <f t="shared" si="28"/>
        <v>1.8004123852000002E-5</v>
      </c>
      <c r="BH96" s="137">
        <f t="shared" si="29"/>
        <v>0.15138726512</v>
      </c>
      <c r="BI96" s="137">
        <f t="shared" si="30"/>
        <v>0.32636433738999998</v>
      </c>
      <c r="BJ96" s="137">
        <f t="shared" si="31"/>
        <v>0.31137072226000001</v>
      </c>
      <c r="BK96" s="137">
        <f t="shared" si="32"/>
        <v>1.8844222995E-2</v>
      </c>
      <c r="BL96" s="137">
        <f t="shared" si="33"/>
        <v>3.2055619908000001</v>
      </c>
      <c r="BM96" s="137">
        <f t="shared" si="34"/>
        <v>0.34309265964999996</v>
      </c>
    </row>
    <row r="97" spans="1:65" x14ac:dyDescent="0.25">
      <c r="A97" s="149">
        <v>352</v>
      </c>
      <c r="B97" s="149">
        <v>43</v>
      </c>
      <c r="C97" s="61">
        <v>40.793394999999997</v>
      </c>
      <c r="D97" s="61">
        <v>-77.860000999999997</v>
      </c>
      <c r="E97" s="61" t="s">
        <v>265</v>
      </c>
      <c r="F97" s="149">
        <v>106</v>
      </c>
      <c r="G97" s="61" t="s">
        <v>266</v>
      </c>
      <c r="H97" s="61" t="s">
        <v>669</v>
      </c>
      <c r="I97" s="61">
        <v>40.491920999999998</v>
      </c>
      <c r="J97" s="61">
        <v>-80.235223000000005</v>
      </c>
      <c r="K97" s="61">
        <v>212.3657571</v>
      </c>
      <c r="L97" s="61">
        <v>245.108</v>
      </c>
      <c r="M97" s="61" t="s">
        <v>617</v>
      </c>
      <c r="N97" s="149">
        <v>42</v>
      </c>
      <c r="O97" s="149">
        <v>43</v>
      </c>
      <c r="P97" s="61" t="s">
        <v>565</v>
      </c>
      <c r="Q97" s="61" t="s">
        <v>555</v>
      </c>
      <c r="R97" s="61">
        <v>40.6895314</v>
      </c>
      <c r="S97" s="61">
        <v>-74.174462399999996</v>
      </c>
      <c r="T97" s="61">
        <v>375.66</v>
      </c>
      <c r="U97" s="61" t="s">
        <v>617</v>
      </c>
      <c r="V97" s="61" t="s">
        <v>617</v>
      </c>
      <c r="W97" s="61"/>
      <c r="Y97" s="137">
        <f>Summary_LCIA!H$32</f>
        <v>0.33979999999999999</v>
      </c>
      <c r="Z97" s="137">
        <f>Summary_LCIA!Q$32</f>
        <v>4.9560504329999997</v>
      </c>
      <c r="AA97" s="137">
        <f>Summary_LCIA!R$32</f>
        <v>5.2655999999999996E-3</v>
      </c>
      <c r="AB97" s="137">
        <f>Summary_LCIA!S$32</f>
        <v>0.33538000000000001</v>
      </c>
      <c r="AC97" s="137">
        <f>Summary_LCIA!T$32</f>
        <v>0.1099</v>
      </c>
      <c r="AD97" s="137">
        <f>Summary_LCIA!U$32</f>
        <v>1.7913999999999999E-2</v>
      </c>
      <c r="AE97" s="137">
        <f>Summary_LCIA!V$32</f>
        <v>4.7760999999999999E-5</v>
      </c>
      <c r="AF97" s="137">
        <f>Summary_LCIA!W$32</f>
        <v>7.6970999999999998E-2</v>
      </c>
      <c r="AG97" s="137">
        <f>Summary_LCIA!X$32</f>
        <v>2.2780000000000002E-2</v>
      </c>
      <c r="AH97" s="137">
        <f>Summary_LCIA!Y$32</f>
        <v>1.5582E-2</v>
      </c>
      <c r="AI97" s="137">
        <f>Summary_LCIA!Z$32</f>
        <v>4.1009E-5</v>
      </c>
      <c r="AJ97" s="137">
        <f>Summary_LCIA!AA$32</f>
        <v>2.3355999999999998E-2</v>
      </c>
      <c r="AK97" s="137">
        <f>Summary_LCIA!AB$32</f>
        <v>-2.1823000000000001E-5</v>
      </c>
      <c r="AL97" s="137">
        <f>Summary_LCIA!AC$32</f>
        <v>4.8884000000000003E-8</v>
      </c>
      <c r="AM97" s="137">
        <f>Summary_LCIA!AD$32</f>
        <v>4.1103999999999999E-4</v>
      </c>
      <c r="AN97" s="137">
        <f>Summary_LCIA!AE$32</f>
        <v>8.8612999999999995E-4</v>
      </c>
      <c r="AO97" s="137">
        <f>Summary_LCIA!AF$32</f>
        <v>8.4542000000000005E-4</v>
      </c>
      <c r="AP97" s="137">
        <f>Summary_LCIA!AG$32</f>
        <v>5.1165000000000002E-5</v>
      </c>
      <c r="AQ97" s="137">
        <f>Summary_LCIA!AH$32</f>
        <v>8.7036000000000006E-3</v>
      </c>
      <c r="AR97" s="137">
        <f>Summary_LCIA!AI$32</f>
        <v>9.3154999999999996E-4</v>
      </c>
      <c r="AT97" s="137">
        <f t="shared" si="23"/>
        <v>127.64926800000001</v>
      </c>
      <c r="AU97" s="137">
        <f t="shared" si="35"/>
        <v>1861.7899056607801</v>
      </c>
      <c r="AV97" s="137">
        <f t="shared" si="36"/>
        <v>1.9780752960000001</v>
      </c>
      <c r="AW97" s="137">
        <f t="shared" si="37"/>
        <v>125.98885080000001</v>
      </c>
      <c r="AX97" s="137">
        <f t="shared" si="38"/>
        <v>41.285034000000003</v>
      </c>
      <c r="AY97" s="137">
        <f t="shared" si="39"/>
        <v>6.7295732400000006</v>
      </c>
      <c r="AZ97" s="137">
        <f t="shared" si="40"/>
        <v>1.7941897260000002E-2</v>
      </c>
      <c r="BA97" s="137">
        <f t="shared" si="41"/>
        <v>28.91492586</v>
      </c>
      <c r="BB97" s="137">
        <f t="shared" si="42"/>
        <v>8.5575348000000009</v>
      </c>
      <c r="BC97" s="137">
        <f t="shared" si="24"/>
        <v>5.8535341200000008</v>
      </c>
      <c r="BD97" s="137">
        <f t="shared" si="25"/>
        <v>1.5405440940000001E-2</v>
      </c>
      <c r="BE97" s="137">
        <f t="shared" si="26"/>
        <v>8.7739149600000008</v>
      </c>
      <c r="BF97" s="137">
        <f t="shared" si="27"/>
        <v>-8.1980281800000006E-3</v>
      </c>
      <c r="BG97" s="137">
        <f t="shared" si="28"/>
        <v>1.8363763440000003E-5</v>
      </c>
      <c r="BH97" s="137">
        <f t="shared" si="29"/>
        <v>0.15441128640000001</v>
      </c>
      <c r="BI97" s="137">
        <f t="shared" si="30"/>
        <v>0.33288359579999999</v>
      </c>
      <c r="BJ97" s="137">
        <f t="shared" si="31"/>
        <v>0.31759047720000005</v>
      </c>
      <c r="BK97" s="137">
        <f t="shared" si="32"/>
        <v>1.9220643900000001E-2</v>
      </c>
      <c r="BL97" s="137">
        <f t="shared" si="33"/>
        <v>3.2695943760000006</v>
      </c>
      <c r="BM97" s="137">
        <f t="shared" si="34"/>
        <v>0.34994607300000002</v>
      </c>
    </row>
    <row r="98" spans="1:65" x14ac:dyDescent="0.25">
      <c r="A98" s="149">
        <v>353</v>
      </c>
      <c r="B98" s="149">
        <v>43</v>
      </c>
      <c r="C98" s="61">
        <v>40.793394999999997</v>
      </c>
      <c r="D98" s="61">
        <v>-77.860000999999997</v>
      </c>
      <c r="E98" s="61" t="s">
        <v>265</v>
      </c>
      <c r="F98" s="149">
        <v>106</v>
      </c>
      <c r="G98" s="61" t="s">
        <v>266</v>
      </c>
      <c r="H98" s="61" t="s">
        <v>669</v>
      </c>
      <c r="I98" s="61">
        <v>40.491920999999998</v>
      </c>
      <c r="J98" s="61">
        <v>-80.235223000000005</v>
      </c>
      <c r="K98" s="61">
        <v>212.3657571</v>
      </c>
      <c r="L98" s="61">
        <v>245.108</v>
      </c>
      <c r="M98" s="61" t="s">
        <v>617</v>
      </c>
      <c r="N98" s="149">
        <v>42</v>
      </c>
      <c r="O98" s="149">
        <v>43</v>
      </c>
      <c r="P98" s="61" t="s">
        <v>565</v>
      </c>
      <c r="Q98" s="61" t="s">
        <v>555</v>
      </c>
      <c r="R98" s="61">
        <v>40.6895314</v>
      </c>
      <c r="S98" s="61">
        <v>-74.174462399999996</v>
      </c>
      <c r="T98" s="61">
        <v>375.66</v>
      </c>
      <c r="U98" s="61" t="s">
        <v>617</v>
      </c>
      <c r="V98" s="61" t="s">
        <v>617</v>
      </c>
      <c r="W98" s="61"/>
      <c r="Y98" s="137">
        <f>Summary_LCIA!H$32</f>
        <v>0.33979999999999999</v>
      </c>
      <c r="Z98" s="137">
        <f>Summary_LCIA!Q$32</f>
        <v>4.9560504329999997</v>
      </c>
      <c r="AA98" s="137">
        <f>Summary_LCIA!R$32</f>
        <v>5.2655999999999996E-3</v>
      </c>
      <c r="AB98" s="137">
        <f>Summary_LCIA!S$32</f>
        <v>0.33538000000000001</v>
      </c>
      <c r="AC98" s="137">
        <f>Summary_LCIA!T$32</f>
        <v>0.1099</v>
      </c>
      <c r="AD98" s="137">
        <f>Summary_LCIA!U$32</f>
        <v>1.7913999999999999E-2</v>
      </c>
      <c r="AE98" s="137">
        <f>Summary_LCIA!V$32</f>
        <v>4.7760999999999999E-5</v>
      </c>
      <c r="AF98" s="137">
        <f>Summary_LCIA!W$32</f>
        <v>7.6970999999999998E-2</v>
      </c>
      <c r="AG98" s="137">
        <f>Summary_LCIA!X$32</f>
        <v>2.2780000000000002E-2</v>
      </c>
      <c r="AH98" s="137">
        <f>Summary_LCIA!Y$32</f>
        <v>1.5582E-2</v>
      </c>
      <c r="AI98" s="137">
        <f>Summary_LCIA!Z$32</f>
        <v>4.1009E-5</v>
      </c>
      <c r="AJ98" s="137">
        <f>Summary_LCIA!AA$32</f>
        <v>2.3355999999999998E-2</v>
      </c>
      <c r="AK98" s="137">
        <f>Summary_LCIA!AB$32</f>
        <v>-2.1823000000000001E-5</v>
      </c>
      <c r="AL98" s="137">
        <f>Summary_LCIA!AC$32</f>
        <v>4.8884000000000003E-8</v>
      </c>
      <c r="AM98" s="137">
        <f>Summary_LCIA!AD$32</f>
        <v>4.1103999999999999E-4</v>
      </c>
      <c r="AN98" s="137">
        <f>Summary_LCIA!AE$32</f>
        <v>8.8612999999999995E-4</v>
      </c>
      <c r="AO98" s="137">
        <f>Summary_LCIA!AF$32</f>
        <v>8.4542000000000005E-4</v>
      </c>
      <c r="AP98" s="137">
        <f>Summary_LCIA!AG$32</f>
        <v>5.1165000000000002E-5</v>
      </c>
      <c r="AQ98" s="137">
        <f>Summary_LCIA!AH$32</f>
        <v>8.7036000000000006E-3</v>
      </c>
      <c r="AR98" s="137">
        <f>Summary_LCIA!AI$32</f>
        <v>9.3154999999999996E-4</v>
      </c>
      <c r="AT98" s="137">
        <f t="shared" si="23"/>
        <v>127.64926800000001</v>
      </c>
      <c r="AU98" s="137">
        <f t="shared" si="35"/>
        <v>1861.7899056607801</v>
      </c>
      <c r="AV98" s="137">
        <f t="shared" si="36"/>
        <v>1.9780752960000001</v>
      </c>
      <c r="AW98" s="137">
        <f t="shared" si="37"/>
        <v>125.98885080000001</v>
      </c>
      <c r="AX98" s="137">
        <f t="shared" si="38"/>
        <v>41.285034000000003</v>
      </c>
      <c r="AY98" s="137">
        <f t="shared" si="39"/>
        <v>6.7295732400000006</v>
      </c>
      <c r="AZ98" s="137">
        <f t="shared" si="40"/>
        <v>1.7941897260000002E-2</v>
      </c>
      <c r="BA98" s="137">
        <f t="shared" si="41"/>
        <v>28.91492586</v>
      </c>
      <c r="BB98" s="137">
        <f t="shared" si="42"/>
        <v>8.5575348000000009</v>
      </c>
      <c r="BC98" s="137">
        <f t="shared" si="24"/>
        <v>5.8535341200000008</v>
      </c>
      <c r="BD98" s="137">
        <f t="shared" si="25"/>
        <v>1.5405440940000001E-2</v>
      </c>
      <c r="BE98" s="137">
        <f t="shared" si="26"/>
        <v>8.7739149600000008</v>
      </c>
      <c r="BF98" s="137">
        <f t="shared" si="27"/>
        <v>-8.1980281800000006E-3</v>
      </c>
      <c r="BG98" s="137">
        <f t="shared" si="28"/>
        <v>1.8363763440000003E-5</v>
      </c>
      <c r="BH98" s="137">
        <f t="shared" si="29"/>
        <v>0.15441128640000001</v>
      </c>
      <c r="BI98" s="137">
        <f t="shared" si="30"/>
        <v>0.33288359579999999</v>
      </c>
      <c r="BJ98" s="137">
        <f t="shared" si="31"/>
        <v>0.31759047720000005</v>
      </c>
      <c r="BK98" s="137">
        <f t="shared" si="32"/>
        <v>1.9220643900000001E-2</v>
      </c>
      <c r="BL98" s="137">
        <f t="shared" si="33"/>
        <v>3.2695943760000006</v>
      </c>
      <c r="BM98" s="137">
        <f t="shared" si="34"/>
        <v>0.34994607300000002</v>
      </c>
    </row>
    <row r="99" spans="1:65" x14ac:dyDescent="0.25">
      <c r="A99" s="149">
        <v>354</v>
      </c>
      <c r="B99" s="149">
        <v>43</v>
      </c>
      <c r="C99" s="61">
        <v>40.793394999999997</v>
      </c>
      <c r="D99" s="61">
        <v>-77.860000999999997</v>
      </c>
      <c r="E99" s="61" t="s">
        <v>265</v>
      </c>
      <c r="F99" s="149">
        <v>106</v>
      </c>
      <c r="G99" s="61" t="s">
        <v>266</v>
      </c>
      <c r="H99" s="61" t="s">
        <v>669</v>
      </c>
      <c r="I99" s="61">
        <v>40.491920999999998</v>
      </c>
      <c r="J99" s="61">
        <v>-80.235223000000005</v>
      </c>
      <c r="K99" s="61">
        <v>212.3657571</v>
      </c>
      <c r="L99" s="61">
        <v>245.108</v>
      </c>
      <c r="M99" s="61" t="s">
        <v>617</v>
      </c>
      <c r="N99" s="149">
        <v>42</v>
      </c>
      <c r="O99" s="149">
        <v>43</v>
      </c>
      <c r="P99" s="61" t="s">
        <v>565</v>
      </c>
      <c r="Q99" s="61" t="s">
        <v>555</v>
      </c>
      <c r="R99" s="61">
        <v>40.6895314</v>
      </c>
      <c r="S99" s="61">
        <v>-74.174462399999996</v>
      </c>
      <c r="T99" s="61">
        <v>375.66</v>
      </c>
      <c r="U99" s="61" t="s">
        <v>617</v>
      </c>
      <c r="V99" s="61" t="s">
        <v>617</v>
      </c>
      <c r="W99" s="61"/>
      <c r="Y99" s="137">
        <f>Summary_LCIA!H$32</f>
        <v>0.33979999999999999</v>
      </c>
      <c r="Z99" s="137">
        <f>Summary_LCIA!Q$32</f>
        <v>4.9560504329999997</v>
      </c>
      <c r="AA99" s="137">
        <f>Summary_LCIA!R$32</f>
        <v>5.2655999999999996E-3</v>
      </c>
      <c r="AB99" s="137">
        <f>Summary_LCIA!S$32</f>
        <v>0.33538000000000001</v>
      </c>
      <c r="AC99" s="137">
        <f>Summary_LCIA!T$32</f>
        <v>0.1099</v>
      </c>
      <c r="AD99" s="137">
        <f>Summary_LCIA!U$32</f>
        <v>1.7913999999999999E-2</v>
      </c>
      <c r="AE99" s="137">
        <f>Summary_LCIA!V$32</f>
        <v>4.7760999999999999E-5</v>
      </c>
      <c r="AF99" s="137">
        <f>Summary_LCIA!W$32</f>
        <v>7.6970999999999998E-2</v>
      </c>
      <c r="AG99" s="137">
        <f>Summary_LCIA!X$32</f>
        <v>2.2780000000000002E-2</v>
      </c>
      <c r="AH99" s="137">
        <f>Summary_LCIA!Y$32</f>
        <v>1.5582E-2</v>
      </c>
      <c r="AI99" s="137">
        <f>Summary_LCIA!Z$32</f>
        <v>4.1009E-5</v>
      </c>
      <c r="AJ99" s="137">
        <f>Summary_LCIA!AA$32</f>
        <v>2.3355999999999998E-2</v>
      </c>
      <c r="AK99" s="137">
        <f>Summary_LCIA!AB$32</f>
        <v>-2.1823000000000001E-5</v>
      </c>
      <c r="AL99" s="137">
        <f>Summary_LCIA!AC$32</f>
        <v>4.8884000000000003E-8</v>
      </c>
      <c r="AM99" s="137">
        <f>Summary_LCIA!AD$32</f>
        <v>4.1103999999999999E-4</v>
      </c>
      <c r="AN99" s="137">
        <f>Summary_LCIA!AE$32</f>
        <v>8.8612999999999995E-4</v>
      </c>
      <c r="AO99" s="137">
        <f>Summary_LCIA!AF$32</f>
        <v>8.4542000000000005E-4</v>
      </c>
      <c r="AP99" s="137">
        <f>Summary_LCIA!AG$32</f>
        <v>5.1165000000000002E-5</v>
      </c>
      <c r="AQ99" s="137">
        <f>Summary_LCIA!AH$32</f>
        <v>8.7036000000000006E-3</v>
      </c>
      <c r="AR99" s="137">
        <f>Summary_LCIA!AI$32</f>
        <v>9.3154999999999996E-4</v>
      </c>
      <c r="AT99" s="137">
        <f t="shared" si="23"/>
        <v>127.64926800000001</v>
      </c>
      <c r="AU99" s="137">
        <f t="shared" si="35"/>
        <v>1861.7899056607801</v>
      </c>
      <c r="AV99" s="137">
        <f t="shared" si="36"/>
        <v>1.9780752960000001</v>
      </c>
      <c r="AW99" s="137">
        <f t="shared" si="37"/>
        <v>125.98885080000001</v>
      </c>
      <c r="AX99" s="137">
        <f t="shared" si="38"/>
        <v>41.285034000000003</v>
      </c>
      <c r="AY99" s="137">
        <f t="shared" si="39"/>
        <v>6.7295732400000006</v>
      </c>
      <c r="AZ99" s="137">
        <f t="shared" si="40"/>
        <v>1.7941897260000002E-2</v>
      </c>
      <c r="BA99" s="137">
        <f t="shared" si="41"/>
        <v>28.91492586</v>
      </c>
      <c r="BB99" s="137">
        <f t="shared" si="42"/>
        <v>8.5575348000000009</v>
      </c>
      <c r="BC99" s="137">
        <f t="shared" si="24"/>
        <v>5.8535341200000008</v>
      </c>
      <c r="BD99" s="137">
        <f t="shared" si="25"/>
        <v>1.5405440940000001E-2</v>
      </c>
      <c r="BE99" s="137">
        <f t="shared" si="26"/>
        <v>8.7739149600000008</v>
      </c>
      <c r="BF99" s="137">
        <f t="shared" si="27"/>
        <v>-8.1980281800000006E-3</v>
      </c>
      <c r="BG99" s="137">
        <f t="shared" si="28"/>
        <v>1.8363763440000003E-5</v>
      </c>
      <c r="BH99" s="137">
        <f t="shared" si="29"/>
        <v>0.15441128640000001</v>
      </c>
      <c r="BI99" s="137">
        <f t="shared" si="30"/>
        <v>0.33288359579999999</v>
      </c>
      <c r="BJ99" s="137">
        <f t="shared" si="31"/>
        <v>0.31759047720000005</v>
      </c>
      <c r="BK99" s="137">
        <f t="shared" si="32"/>
        <v>1.9220643900000001E-2</v>
      </c>
      <c r="BL99" s="137">
        <f t="shared" si="33"/>
        <v>3.2695943760000006</v>
      </c>
      <c r="BM99" s="137">
        <f t="shared" si="34"/>
        <v>0.34994607300000002</v>
      </c>
    </row>
    <row r="100" spans="1:65" x14ac:dyDescent="0.25">
      <c r="A100" s="149">
        <v>355</v>
      </c>
      <c r="B100" s="149">
        <v>43</v>
      </c>
      <c r="C100" s="61">
        <v>42.470944000000003</v>
      </c>
      <c r="D100" s="61">
        <v>-70.917556000000005</v>
      </c>
      <c r="E100" s="61" t="s">
        <v>265</v>
      </c>
      <c r="F100" s="149">
        <v>53</v>
      </c>
      <c r="G100" s="61" t="s">
        <v>565</v>
      </c>
      <c r="H100" s="61" t="s">
        <v>634</v>
      </c>
      <c r="I100" s="61">
        <v>42.365613000000003</v>
      </c>
      <c r="J100" s="61">
        <v>-71.009559999999993</v>
      </c>
      <c r="K100" s="61">
        <v>18.548969249999999</v>
      </c>
      <c r="L100" s="61">
        <v>17.323</v>
      </c>
      <c r="M100" s="61" t="s">
        <v>617</v>
      </c>
      <c r="N100" s="149">
        <v>42</v>
      </c>
      <c r="O100" s="149">
        <v>43</v>
      </c>
      <c r="P100" s="61" t="s">
        <v>565</v>
      </c>
      <c r="Q100" s="61" t="s">
        <v>555</v>
      </c>
      <c r="R100" s="61">
        <v>40.6895314</v>
      </c>
      <c r="S100" s="61">
        <v>-74.174462399999996</v>
      </c>
      <c r="T100" s="61">
        <v>385.233</v>
      </c>
      <c r="U100" s="61" t="s">
        <v>617</v>
      </c>
      <c r="V100" s="61" t="s">
        <v>617</v>
      </c>
      <c r="W100" s="61"/>
      <c r="Y100" s="137">
        <f>Summary_LCIA!H$32</f>
        <v>0.33979999999999999</v>
      </c>
      <c r="Z100" s="137">
        <f>Summary_LCIA!Q$32</f>
        <v>4.9560504329999997</v>
      </c>
      <c r="AA100" s="137">
        <f>Summary_LCIA!R$32</f>
        <v>5.2655999999999996E-3</v>
      </c>
      <c r="AB100" s="137">
        <f>Summary_LCIA!S$32</f>
        <v>0.33538000000000001</v>
      </c>
      <c r="AC100" s="137">
        <f>Summary_LCIA!T$32</f>
        <v>0.1099</v>
      </c>
      <c r="AD100" s="137">
        <f>Summary_LCIA!U$32</f>
        <v>1.7913999999999999E-2</v>
      </c>
      <c r="AE100" s="137">
        <f>Summary_LCIA!V$32</f>
        <v>4.7760999999999999E-5</v>
      </c>
      <c r="AF100" s="137">
        <f>Summary_LCIA!W$32</f>
        <v>7.6970999999999998E-2</v>
      </c>
      <c r="AG100" s="137">
        <f>Summary_LCIA!X$32</f>
        <v>2.2780000000000002E-2</v>
      </c>
      <c r="AH100" s="137">
        <f>Summary_LCIA!Y$32</f>
        <v>1.5582E-2</v>
      </c>
      <c r="AI100" s="137">
        <f>Summary_LCIA!Z$32</f>
        <v>4.1009E-5</v>
      </c>
      <c r="AJ100" s="137">
        <f>Summary_LCIA!AA$32</f>
        <v>2.3355999999999998E-2</v>
      </c>
      <c r="AK100" s="137">
        <f>Summary_LCIA!AB$32</f>
        <v>-2.1823000000000001E-5</v>
      </c>
      <c r="AL100" s="137">
        <f>Summary_LCIA!AC$32</f>
        <v>4.8884000000000003E-8</v>
      </c>
      <c r="AM100" s="137">
        <f>Summary_LCIA!AD$32</f>
        <v>4.1103999999999999E-4</v>
      </c>
      <c r="AN100" s="137">
        <f>Summary_LCIA!AE$32</f>
        <v>8.8612999999999995E-4</v>
      </c>
      <c r="AO100" s="137">
        <f>Summary_LCIA!AF$32</f>
        <v>8.4542000000000005E-4</v>
      </c>
      <c r="AP100" s="137">
        <f>Summary_LCIA!AG$32</f>
        <v>5.1165000000000002E-5</v>
      </c>
      <c r="AQ100" s="137">
        <f>Summary_LCIA!AH$32</f>
        <v>8.7036000000000006E-3</v>
      </c>
      <c r="AR100" s="137">
        <f>Summary_LCIA!AI$32</f>
        <v>9.3154999999999996E-4</v>
      </c>
      <c r="AT100" s="137">
        <f t="shared" si="23"/>
        <v>130.90217340000001</v>
      </c>
      <c r="AU100" s="137">
        <f t="shared" si="35"/>
        <v>1909.2341764558889</v>
      </c>
      <c r="AV100" s="137">
        <f t="shared" si="36"/>
        <v>2.0284828847999998</v>
      </c>
      <c r="AW100" s="137">
        <f t="shared" si="37"/>
        <v>129.19944354</v>
      </c>
      <c r="AX100" s="137">
        <f t="shared" si="38"/>
        <v>42.3371067</v>
      </c>
      <c r="AY100" s="137">
        <f t="shared" si="39"/>
        <v>6.9010639620000003</v>
      </c>
      <c r="AZ100" s="137">
        <f t="shared" si="40"/>
        <v>1.8399113312999999E-2</v>
      </c>
      <c r="BA100" s="137">
        <f t="shared" si="41"/>
        <v>29.651769243</v>
      </c>
      <c r="BB100" s="137">
        <f t="shared" si="42"/>
        <v>8.7756077399999999</v>
      </c>
      <c r="BC100" s="137">
        <f t="shared" si="24"/>
        <v>6.0027006060000003</v>
      </c>
      <c r="BD100" s="137">
        <f t="shared" si="25"/>
        <v>1.5798020097000001E-2</v>
      </c>
      <c r="BE100" s="137">
        <f t="shared" si="26"/>
        <v>8.997501948</v>
      </c>
      <c r="BF100" s="137">
        <f t="shared" si="27"/>
        <v>-8.4069397590000004E-3</v>
      </c>
      <c r="BG100" s="137">
        <f t="shared" si="28"/>
        <v>1.8831729972000001E-5</v>
      </c>
      <c r="BH100" s="137">
        <f t="shared" si="29"/>
        <v>0.15834617232000001</v>
      </c>
      <c r="BI100" s="137">
        <f t="shared" si="30"/>
        <v>0.34136651828999998</v>
      </c>
      <c r="BJ100" s="137">
        <f t="shared" si="31"/>
        <v>0.32568368286000005</v>
      </c>
      <c r="BK100" s="137">
        <f t="shared" si="32"/>
        <v>1.9710446445000002E-2</v>
      </c>
      <c r="BL100" s="137">
        <f t="shared" si="33"/>
        <v>3.3529139388000004</v>
      </c>
      <c r="BM100" s="137">
        <f t="shared" si="34"/>
        <v>0.35886380114999999</v>
      </c>
    </row>
    <row r="101" spans="1:65" x14ac:dyDescent="0.25">
      <c r="A101" s="149">
        <v>186</v>
      </c>
      <c r="B101" s="149">
        <v>43</v>
      </c>
      <c r="C101" s="61">
        <v>38.894278999999997</v>
      </c>
      <c r="D101" s="61">
        <v>-77.431099000000003</v>
      </c>
      <c r="E101" s="61" t="s">
        <v>265</v>
      </c>
      <c r="F101" s="149">
        <v>85</v>
      </c>
      <c r="G101" s="61" t="s">
        <v>630</v>
      </c>
      <c r="H101" s="61" t="s">
        <v>631</v>
      </c>
      <c r="I101" s="61">
        <v>38.953116000000001</v>
      </c>
      <c r="J101" s="61">
        <v>-77.456539000000006</v>
      </c>
      <c r="K101" s="61">
        <v>9.3021399710000008</v>
      </c>
      <c r="L101" s="61">
        <v>12.042999999999999</v>
      </c>
      <c r="M101" s="61" t="s">
        <v>617</v>
      </c>
      <c r="N101" s="149">
        <v>42</v>
      </c>
      <c r="O101" s="149">
        <v>43</v>
      </c>
      <c r="P101" s="61" t="s">
        <v>565</v>
      </c>
      <c r="Q101" s="61" t="s">
        <v>555</v>
      </c>
      <c r="R101" s="61">
        <v>40.6895314</v>
      </c>
      <c r="S101" s="61">
        <v>-74.174462399999996</v>
      </c>
      <c r="T101" s="61">
        <v>387.10199999999998</v>
      </c>
      <c r="U101" s="61" t="s">
        <v>617</v>
      </c>
      <c r="V101" s="61" t="s">
        <v>617</v>
      </c>
      <c r="W101" s="61"/>
      <c r="Y101" s="137">
        <f>Summary_LCIA!H$32</f>
        <v>0.33979999999999999</v>
      </c>
      <c r="Z101" s="137">
        <f>Summary_LCIA!Q$32</f>
        <v>4.9560504329999997</v>
      </c>
      <c r="AA101" s="137">
        <f>Summary_LCIA!R$32</f>
        <v>5.2655999999999996E-3</v>
      </c>
      <c r="AB101" s="137">
        <f>Summary_LCIA!S$32</f>
        <v>0.33538000000000001</v>
      </c>
      <c r="AC101" s="137">
        <f>Summary_LCIA!T$32</f>
        <v>0.1099</v>
      </c>
      <c r="AD101" s="137">
        <f>Summary_LCIA!U$32</f>
        <v>1.7913999999999999E-2</v>
      </c>
      <c r="AE101" s="137">
        <f>Summary_LCIA!V$32</f>
        <v>4.7760999999999999E-5</v>
      </c>
      <c r="AF101" s="137">
        <f>Summary_LCIA!W$32</f>
        <v>7.6970999999999998E-2</v>
      </c>
      <c r="AG101" s="137">
        <f>Summary_LCIA!X$32</f>
        <v>2.2780000000000002E-2</v>
      </c>
      <c r="AH101" s="137">
        <f>Summary_LCIA!Y$32</f>
        <v>1.5582E-2</v>
      </c>
      <c r="AI101" s="137">
        <f>Summary_LCIA!Z$32</f>
        <v>4.1009E-5</v>
      </c>
      <c r="AJ101" s="137">
        <f>Summary_LCIA!AA$32</f>
        <v>2.3355999999999998E-2</v>
      </c>
      <c r="AK101" s="137">
        <f>Summary_LCIA!AB$32</f>
        <v>-2.1823000000000001E-5</v>
      </c>
      <c r="AL101" s="137">
        <f>Summary_LCIA!AC$32</f>
        <v>4.8884000000000003E-8</v>
      </c>
      <c r="AM101" s="137">
        <f>Summary_LCIA!AD$32</f>
        <v>4.1103999999999999E-4</v>
      </c>
      <c r="AN101" s="137">
        <f>Summary_LCIA!AE$32</f>
        <v>8.8612999999999995E-4</v>
      </c>
      <c r="AO101" s="137">
        <f>Summary_LCIA!AF$32</f>
        <v>8.4542000000000005E-4</v>
      </c>
      <c r="AP101" s="137">
        <f>Summary_LCIA!AG$32</f>
        <v>5.1165000000000002E-5</v>
      </c>
      <c r="AQ101" s="137">
        <f>Summary_LCIA!AH$32</f>
        <v>8.7036000000000006E-3</v>
      </c>
      <c r="AR101" s="137">
        <f>Summary_LCIA!AI$32</f>
        <v>9.3154999999999996E-4</v>
      </c>
      <c r="AT101" s="137">
        <f t="shared" si="23"/>
        <v>131.5372596</v>
      </c>
      <c r="AU101" s="137">
        <f t="shared" si="35"/>
        <v>1918.4970347151657</v>
      </c>
      <c r="AV101" s="137">
        <f t="shared" si="36"/>
        <v>2.0383242911999999</v>
      </c>
      <c r="AW101" s="137">
        <f t="shared" si="37"/>
        <v>129.82626876</v>
      </c>
      <c r="AX101" s="137">
        <f t="shared" si="38"/>
        <v>42.542509799999998</v>
      </c>
      <c r="AY101" s="137">
        <f t="shared" si="39"/>
        <v>6.9345452279999993</v>
      </c>
      <c r="AZ101" s="137">
        <f t="shared" si="40"/>
        <v>1.8488378622E-2</v>
      </c>
      <c r="BA101" s="137">
        <f t="shared" si="41"/>
        <v>29.795628041999997</v>
      </c>
      <c r="BB101" s="137">
        <f t="shared" si="42"/>
        <v>8.8181835599999996</v>
      </c>
      <c r="BC101" s="137">
        <f t="shared" si="24"/>
        <v>6.0318233640000001</v>
      </c>
      <c r="BD101" s="137">
        <f t="shared" si="25"/>
        <v>1.5874665917999999E-2</v>
      </c>
      <c r="BE101" s="137">
        <f t="shared" si="26"/>
        <v>9.041154311999998</v>
      </c>
      <c r="BF101" s="137">
        <f t="shared" si="27"/>
        <v>-8.4477269459999997E-3</v>
      </c>
      <c r="BG101" s="137">
        <f t="shared" si="28"/>
        <v>1.8923094167999998E-5</v>
      </c>
      <c r="BH101" s="137">
        <f t="shared" si="29"/>
        <v>0.15911440607999999</v>
      </c>
      <c r="BI101" s="137">
        <f t="shared" si="30"/>
        <v>0.34302269525999995</v>
      </c>
      <c r="BJ101" s="137">
        <f t="shared" si="31"/>
        <v>0.32726377284000002</v>
      </c>
      <c r="BK101" s="137">
        <f t="shared" si="32"/>
        <v>1.980607383E-2</v>
      </c>
      <c r="BL101" s="137">
        <f t="shared" si="33"/>
        <v>3.3691809672000002</v>
      </c>
      <c r="BM101" s="137">
        <f t="shared" si="34"/>
        <v>0.36060486809999998</v>
      </c>
    </row>
    <row r="102" spans="1:65" x14ac:dyDescent="0.25">
      <c r="A102" s="149">
        <v>52</v>
      </c>
      <c r="B102" s="149">
        <v>43</v>
      </c>
      <c r="C102" s="61">
        <v>39.109959000000003</v>
      </c>
      <c r="D102" s="61">
        <v>-77.556522999999999</v>
      </c>
      <c r="E102" s="61" t="s">
        <v>265</v>
      </c>
      <c r="F102" s="149">
        <v>85</v>
      </c>
      <c r="G102" s="61" t="s">
        <v>630</v>
      </c>
      <c r="H102" s="61" t="s">
        <v>631</v>
      </c>
      <c r="I102" s="61">
        <v>38.953116000000001</v>
      </c>
      <c r="J102" s="61">
        <v>-77.456539000000006</v>
      </c>
      <c r="K102" s="61">
        <v>25.36634257</v>
      </c>
      <c r="L102" s="61">
        <v>25.824000000000002</v>
      </c>
      <c r="M102" s="61" t="s">
        <v>617</v>
      </c>
      <c r="N102" s="149">
        <v>42</v>
      </c>
      <c r="O102" s="149">
        <v>43</v>
      </c>
      <c r="P102" s="61" t="s">
        <v>565</v>
      </c>
      <c r="Q102" s="61" t="s">
        <v>555</v>
      </c>
      <c r="R102" s="61">
        <v>40.6895314</v>
      </c>
      <c r="S102" s="61">
        <v>-74.174462399999996</v>
      </c>
      <c r="T102" s="61">
        <v>404.02199999999999</v>
      </c>
      <c r="U102" s="61" t="s">
        <v>617</v>
      </c>
      <c r="V102" s="61" t="s">
        <v>617</v>
      </c>
      <c r="W102" s="61"/>
      <c r="Y102" s="137">
        <f>Summary_LCIA!H$32</f>
        <v>0.33979999999999999</v>
      </c>
      <c r="Z102" s="137">
        <f>Summary_LCIA!Q$32</f>
        <v>4.9560504329999997</v>
      </c>
      <c r="AA102" s="137">
        <f>Summary_LCIA!R$32</f>
        <v>5.2655999999999996E-3</v>
      </c>
      <c r="AB102" s="137">
        <f>Summary_LCIA!S$32</f>
        <v>0.33538000000000001</v>
      </c>
      <c r="AC102" s="137">
        <f>Summary_LCIA!T$32</f>
        <v>0.1099</v>
      </c>
      <c r="AD102" s="137">
        <f>Summary_LCIA!U$32</f>
        <v>1.7913999999999999E-2</v>
      </c>
      <c r="AE102" s="137">
        <f>Summary_LCIA!V$32</f>
        <v>4.7760999999999999E-5</v>
      </c>
      <c r="AF102" s="137">
        <f>Summary_LCIA!W$32</f>
        <v>7.6970999999999998E-2</v>
      </c>
      <c r="AG102" s="137">
        <f>Summary_LCIA!X$32</f>
        <v>2.2780000000000002E-2</v>
      </c>
      <c r="AH102" s="137">
        <f>Summary_LCIA!Y$32</f>
        <v>1.5582E-2</v>
      </c>
      <c r="AI102" s="137">
        <f>Summary_LCIA!Z$32</f>
        <v>4.1009E-5</v>
      </c>
      <c r="AJ102" s="137">
        <f>Summary_LCIA!AA$32</f>
        <v>2.3355999999999998E-2</v>
      </c>
      <c r="AK102" s="137">
        <f>Summary_LCIA!AB$32</f>
        <v>-2.1823000000000001E-5</v>
      </c>
      <c r="AL102" s="137">
        <f>Summary_LCIA!AC$32</f>
        <v>4.8884000000000003E-8</v>
      </c>
      <c r="AM102" s="137">
        <f>Summary_LCIA!AD$32</f>
        <v>4.1103999999999999E-4</v>
      </c>
      <c r="AN102" s="137">
        <f>Summary_LCIA!AE$32</f>
        <v>8.8612999999999995E-4</v>
      </c>
      <c r="AO102" s="137">
        <f>Summary_LCIA!AF$32</f>
        <v>8.4542000000000005E-4</v>
      </c>
      <c r="AP102" s="137">
        <f>Summary_LCIA!AG$32</f>
        <v>5.1165000000000002E-5</v>
      </c>
      <c r="AQ102" s="137">
        <f>Summary_LCIA!AH$32</f>
        <v>8.7036000000000006E-3</v>
      </c>
      <c r="AR102" s="137">
        <f>Summary_LCIA!AI$32</f>
        <v>9.3154999999999996E-4</v>
      </c>
      <c r="AT102" s="137">
        <f t="shared" si="23"/>
        <v>137.2866756</v>
      </c>
      <c r="AU102" s="137">
        <f t="shared" si="35"/>
        <v>2002.3534080415259</v>
      </c>
      <c r="AV102" s="137">
        <f t="shared" si="36"/>
        <v>2.1274182431999997</v>
      </c>
      <c r="AW102" s="137">
        <f t="shared" si="37"/>
        <v>135.50089836000001</v>
      </c>
      <c r="AX102" s="137">
        <f t="shared" si="38"/>
        <v>44.402017799999996</v>
      </c>
      <c r="AY102" s="137">
        <f t="shared" si="39"/>
        <v>7.2376501079999995</v>
      </c>
      <c r="AZ102" s="137">
        <f t="shared" si="40"/>
        <v>1.9296494742E-2</v>
      </c>
      <c r="BA102" s="137">
        <f t="shared" si="41"/>
        <v>31.097977361999998</v>
      </c>
      <c r="BB102" s="137">
        <f t="shared" si="42"/>
        <v>9.2036211600000009</v>
      </c>
      <c r="BC102" s="137">
        <f t="shared" si="24"/>
        <v>6.2954708039999998</v>
      </c>
      <c r="BD102" s="137">
        <f t="shared" si="25"/>
        <v>1.6568538197999999E-2</v>
      </c>
      <c r="BE102" s="137">
        <f t="shared" si="26"/>
        <v>9.4363378319999995</v>
      </c>
      <c r="BF102" s="137">
        <f t="shared" si="27"/>
        <v>-8.8169721059999998E-3</v>
      </c>
      <c r="BG102" s="137">
        <f t="shared" si="28"/>
        <v>1.9750211448000001E-5</v>
      </c>
      <c r="BH102" s="137">
        <f t="shared" si="29"/>
        <v>0.16606920287999999</v>
      </c>
      <c r="BI102" s="137">
        <f t="shared" si="30"/>
        <v>0.35801601485999995</v>
      </c>
      <c r="BJ102" s="137">
        <f t="shared" si="31"/>
        <v>0.34156827923999999</v>
      </c>
      <c r="BK102" s="137">
        <f t="shared" si="32"/>
        <v>2.0671785630000002E-2</v>
      </c>
      <c r="BL102" s="137">
        <f t="shared" si="33"/>
        <v>3.5164458792</v>
      </c>
      <c r="BM102" s="137">
        <f t="shared" si="34"/>
        <v>0.37636669409999995</v>
      </c>
    </row>
    <row r="103" spans="1:65" x14ac:dyDescent="0.25">
      <c r="A103" s="149">
        <v>315</v>
      </c>
      <c r="B103" s="149">
        <v>15</v>
      </c>
      <c r="C103" s="61">
        <v>52.156661999999997</v>
      </c>
      <c r="D103" s="61">
        <v>4.4867590000000002</v>
      </c>
      <c r="E103" s="61" t="s">
        <v>285</v>
      </c>
      <c r="F103" s="149">
        <v>12</v>
      </c>
      <c r="G103" s="61" t="s">
        <v>679</v>
      </c>
      <c r="H103" s="61" t="s">
        <v>680</v>
      </c>
      <c r="I103" s="61">
        <v>52.310538999999999</v>
      </c>
      <c r="J103" s="61">
        <v>4.7682739999999999</v>
      </c>
      <c r="K103" s="61">
        <v>27.619618039999999</v>
      </c>
      <c r="L103" s="61">
        <v>28.559000000000001</v>
      </c>
      <c r="M103" s="61" t="s">
        <v>589</v>
      </c>
      <c r="N103" s="149">
        <v>14</v>
      </c>
      <c r="O103" s="149">
        <v>15</v>
      </c>
      <c r="P103" s="61" t="s">
        <v>567</v>
      </c>
      <c r="Q103" s="61" t="s">
        <v>566</v>
      </c>
      <c r="R103" s="61">
        <v>50.037932599999998</v>
      </c>
      <c r="S103" s="61">
        <v>8.5621518000000005</v>
      </c>
      <c r="T103" s="61">
        <v>439.27699999999999</v>
      </c>
      <c r="U103" s="61" t="s">
        <v>617</v>
      </c>
      <c r="V103" s="61" t="s">
        <v>617</v>
      </c>
      <c r="W103" s="61"/>
      <c r="Y103" s="137">
        <f>Summary_LCIA!H$32</f>
        <v>0.33979999999999999</v>
      </c>
      <c r="Z103" s="137">
        <f>Summary_LCIA!Q$32</f>
        <v>4.9560504329999997</v>
      </c>
      <c r="AA103" s="137">
        <f>Summary_LCIA!R$32</f>
        <v>5.2655999999999996E-3</v>
      </c>
      <c r="AB103" s="137">
        <f>Summary_LCIA!S$32</f>
        <v>0.33538000000000001</v>
      </c>
      <c r="AC103" s="137">
        <f>Summary_LCIA!T$32</f>
        <v>0.1099</v>
      </c>
      <c r="AD103" s="137">
        <f>Summary_LCIA!U$32</f>
        <v>1.7913999999999999E-2</v>
      </c>
      <c r="AE103" s="137">
        <f>Summary_LCIA!V$32</f>
        <v>4.7760999999999999E-5</v>
      </c>
      <c r="AF103" s="137">
        <f>Summary_LCIA!W$32</f>
        <v>7.6970999999999998E-2</v>
      </c>
      <c r="AG103" s="137">
        <f>Summary_LCIA!X$32</f>
        <v>2.2780000000000002E-2</v>
      </c>
      <c r="AH103" s="137">
        <f>Summary_LCIA!Y$32</f>
        <v>1.5582E-2</v>
      </c>
      <c r="AI103" s="137">
        <f>Summary_LCIA!Z$32</f>
        <v>4.1009E-5</v>
      </c>
      <c r="AJ103" s="137">
        <f>Summary_LCIA!AA$32</f>
        <v>2.3355999999999998E-2</v>
      </c>
      <c r="AK103" s="137">
        <f>Summary_LCIA!AB$32</f>
        <v>-2.1823000000000001E-5</v>
      </c>
      <c r="AL103" s="137">
        <f>Summary_LCIA!AC$32</f>
        <v>4.8884000000000003E-8</v>
      </c>
      <c r="AM103" s="137">
        <f>Summary_LCIA!AD$32</f>
        <v>4.1103999999999999E-4</v>
      </c>
      <c r="AN103" s="137">
        <f>Summary_LCIA!AE$32</f>
        <v>8.8612999999999995E-4</v>
      </c>
      <c r="AO103" s="137">
        <f>Summary_LCIA!AF$32</f>
        <v>8.4542000000000005E-4</v>
      </c>
      <c r="AP103" s="137">
        <f>Summary_LCIA!AG$32</f>
        <v>5.1165000000000002E-5</v>
      </c>
      <c r="AQ103" s="137">
        <f>Summary_LCIA!AH$32</f>
        <v>8.7036000000000006E-3</v>
      </c>
      <c r="AR103" s="137">
        <f>Summary_LCIA!AI$32</f>
        <v>9.3154999999999996E-4</v>
      </c>
      <c r="AT103" s="137">
        <f t="shared" si="23"/>
        <v>149.26632459999999</v>
      </c>
      <c r="AU103" s="137">
        <f t="shared" si="35"/>
        <v>2177.0789660569408</v>
      </c>
      <c r="AV103" s="137">
        <f t="shared" si="36"/>
        <v>2.3130569712</v>
      </c>
      <c r="AW103" s="137">
        <f t="shared" si="37"/>
        <v>147.32472025999999</v>
      </c>
      <c r="AX103" s="137">
        <f t="shared" si="38"/>
        <v>48.276542299999996</v>
      </c>
      <c r="AY103" s="137">
        <f t="shared" si="39"/>
        <v>7.8692081779999992</v>
      </c>
      <c r="AZ103" s="137">
        <f t="shared" si="40"/>
        <v>2.0980308797E-2</v>
      </c>
      <c r="BA103" s="137">
        <f t="shared" si="41"/>
        <v>33.811589966999996</v>
      </c>
      <c r="BB103" s="137">
        <f t="shared" si="42"/>
        <v>10.006730060000001</v>
      </c>
      <c r="BC103" s="137">
        <f t="shared" si="24"/>
        <v>6.8448142140000003</v>
      </c>
      <c r="BD103" s="137">
        <f t="shared" si="25"/>
        <v>1.8014310493000001E-2</v>
      </c>
      <c r="BE103" s="137">
        <f t="shared" si="26"/>
        <v>10.259753611999999</v>
      </c>
      <c r="BF103" s="137">
        <f t="shared" si="27"/>
        <v>-9.5863419710000009E-3</v>
      </c>
      <c r="BG103" s="137">
        <f t="shared" si="28"/>
        <v>2.1473616868000002E-5</v>
      </c>
      <c r="BH103" s="137">
        <f t="shared" si="29"/>
        <v>0.18056041807999998</v>
      </c>
      <c r="BI103" s="137">
        <f t="shared" si="30"/>
        <v>0.38925652800999999</v>
      </c>
      <c r="BJ103" s="137">
        <f t="shared" si="31"/>
        <v>0.37137356133999999</v>
      </c>
      <c r="BK103" s="137">
        <f t="shared" si="32"/>
        <v>2.2475607705000001E-2</v>
      </c>
      <c r="BL103" s="137">
        <f t="shared" si="33"/>
        <v>3.8232912971999999</v>
      </c>
      <c r="BM103" s="137">
        <f t="shared" si="34"/>
        <v>0.40920848934999998</v>
      </c>
    </row>
    <row r="104" spans="1:65" x14ac:dyDescent="0.25">
      <c r="A104" s="149">
        <v>83</v>
      </c>
      <c r="B104" s="149">
        <v>43</v>
      </c>
      <c r="C104" s="61">
        <v>43.110801000000002</v>
      </c>
      <c r="D104" s="61">
        <v>-70.750540000000001</v>
      </c>
      <c r="E104" s="61" t="s">
        <v>265</v>
      </c>
      <c r="F104" s="149">
        <v>53</v>
      </c>
      <c r="G104" s="61" t="s">
        <v>565</v>
      </c>
      <c r="H104" s="61" t="s">
        <v>634</v>
      </c>
      <c r="I104" s="61">
        <v>42.365613000000003</v>
      </c>
      <c r="J104" s="61">
        <v>-71.009559999999993</v>
      </c>
      <c r="K104" s="61">
        <v>116.9533083</v>
      </c>
      <c r="L104" s="61">
        <v>92.052999999999997</v>
      </c>
      <c r="M104" s="61" t="s">
        <v>617</v>
      </c>
      <c r="N104" s="149">
        <v>42</v>
      </c>
      <c r="O104" s="149">
        <v>43</v>
      </c>
      <c r="P104" s="61" t="s">
        <v>565</v>
      </c>
      <c r="Q104" s="61" t="s">
        <v>555</v>
      </c>
      <c r="R104" s="61">
        <v>40.6895314</v>
      </c>
      <c r="S104" s="61">
        <v>-74.174462399999996</v>
      </c>
      <c r="T104" s="61">
        <v>447.81700000000001</v>
      </c>
      <c r="U104" s="61" t="s">
        <v>617</v>
      </c>
      <c r="V104" s="61" t="s">
        <v>617</v>
      </c>
      <c r="W104" s="61"/>
      <c r="Y104" s="137">
        <f>Summary_LCIA!H$32</f>
        <v>0.33979999999999999</v>
      </c>
      <c r="Z104" s="137">
        <f>Summary_LCIA!Q$32</f>
        <v>4.9560504329999997</v>
      </c>
      <c r="AA104" s="137">
        <f>Summary_LCIA!R$32</f>
        <v>5.2655999999999996E-3</v>
      </c>
      <c r="AB104" s="137">
        <f>Summary_LCIA!S$32</f>
        <v>0.33538000000000001</v>
      </c>
      <c r="AC104" s="137">
        <f>Summary_LCIA!T$32</f>
        <v>0.1099</v>
      </c>
      <c r="AD104" s="137">
        <f>Summary_LCIA!U$32</f>
        <v>1.7913999999999999E-2</v>
      </c>
      <c r="AE104" s="137">
        <f>Summary_LCIA!V$32</f>
        <v>4.7760999999999999E-5</v>
      </c>
      <c r="AF104" s="137">
        <f>Summary_LCIA!W$32</f>
        <v>7.6970999999999998E-2</v>
      </c>
      <c r="AG104" s="137">
        <f>Summary_LCIA!X$32</f>
        <v>2.2780000000000002E-2</v>
      </c>
      <c r="AH104" s="137">
        <f>Summary_LCIA!Y$32</f>
        <v>1.5582E-2</v>
      </c>
      <c r="AI104" s="137">
        <f>Summary_LCIA!Z$32</f>
        <v>4.1009E-5</v>
      </c>
      <c r="AJ104" s="137">
        <f>Summary_LCIA!AA$32</f>
        <v>2.3355999999999998E-2</v>
      </c>
      <c r="AK104" s="137">
        <f>Summary_LCIA!AB$32</f>
        <v>-2.1823000000000001E-5</v>
      </c>
      <c r="AL104" s="137">
        <f>Summary_LCIA!AC$32</f>
        <v>4.8884000000000003E-8</v>
      </c>
      <c r="AM104" s="137">
        <f>Summary_LCIA!AD$32</f>
        <v>4.1103999999999999E-4</v>
      </c>
      <c r="AN104" s="137">
        <f>Summary_LCIA!AE$32</f>
        <v>8.8612999999999995E-4</v>
      </c>
      <c r="AO104" s="137">
        <f>Summary_LCIA!AF$32</f>
        <v>8.4542000000000005E-4</v>
      </c>
      <c r="AP104" s="137">
        <f>Summary_LCIA!AG$32</f>
        <v>5.1165000000000002E-5</v>
      </c>
      <c r="AQ104" s="137">
        <f>Summary_LCIA!AH$32</f>
        <v>8.7036000000000006E-3</v>
      </c>
      <c r="AR104" s="137">
        <f>Summary_LCIA!AI$32</f>
        <v>9.3154999999999996E-4</v>
      </c>
      <c r="AT104" s="137">
        <f t="shared" si="23"/>
        <v>152.16821659999999</v>
      </c>
      <c r="AU104" s="137">
        <f t="shared" si="35"/>
        <v>2219.403636754761</v>
      </c>
      <c r="AV104" s="137">
        <f t="shared" si="36"/>
        <v>2.3580251951999998</v>
      </c>
      <c r="AW104" s="137">
        <f t="shared" si="37"/>
        <v>150.18886546000002</v>
      </c>
      <c r="AX104" s="137">
        <f t="shared" si="38"/>
        <v>49.215088299999998</v>
      </c>
      <c r="AY104" s="137">
        <f t="shared" si="39"/>
        <v>8.0221937380000004</v>
      </c>
      <c r="AZ104" s="137">
        <f t="shared" si="40"/>
        <v>2.1388187736999999E-2</v>
      </c>
      <c r="BA104" s="137">
        <f t="shared" si="41"/>
        <v>34.468922307</v>
      </c>
      <c r="BB104" s="137">
        <f t="shared" si="42"/>
        <v>10.20127126</v>
      </c>
      <c r="BC104" s="137">
        <f t="shared" si="24"/>
        <v>6.9778844940000004</v>
      </c>
      <c r="BD104" s="137">
        <f t="shared" si="25"/>
        <v>1.8364527352999999E-2</v>
      </c>
      <c r="BE104" s="137">
        <f t="shared" si="26"/>
        <v>10.459213852</v>
      </c>
      <c r="BF104" s="137">
        <f t="shared" si="27"/>
        <v>-9.7727103910000002E-3</v>
      </c>
      <c r="BG104" s="137">
        <f t="shared" si="28"/>
        <v>2.1891086228000002E-5</v>
      </c>
      <c r="BH104" s="137">
        <f t="shared" si="29"/>
        <v>0.18407069968000001</v>
      </c>
      <c r="BI104" s="137">
        <f t="shared" si="30"/>
        <v>0.39682407820999999</v>
      </c>
      <c r="BJ104" s="137">
        <f t="shared" si="31"/>
        <v>0.37859344814000001</v>
      </c>
      <c r="BK104" s="137">
        <f t="shared" si="32"/>
        <v>2.2912556805000001E-2</v>
      </c>
      <c r="BL104" s="137">
        <f t="shared" si="33"/>
        <v>3.8976200412000002</v>
      </c>
      <c r="BM104" s="137">
        <f t="shared" si="34"/>
        <v>0.41716392634999999</v>
      </c>
    </row>
    <row r="105" spans="1:65" x14ac:dyDescent="0.25">
      <c r="A105" s="149">
        <v>84</v>
      </c>
      <c r="B105" s="149">
        <v>43</v>
      </c>
      <c r="C105" s="61">
        <v>43.110801000000002</v>
      </c>
      <c r="D105" s="61">
        <v>-70.750540000000001</v>
      </c>
      <c r="E105" s="61" t="s">
        <v>265</v>
      </c>
      <c r="F105" s="149">
        <v>53</v>
      </c>
      <c r="G105" s="61" t="s">
        <v>565</v>
      </c>
      <c r="H105" s="61" t="s">
        <v>634</v>
      </c>
      <c r="I105" s="61">
        <v>42.365613000000003</v>
      </c>
      <c r="J105" s="61">
        <v>-71.009559999999993</v>
      </c>
      <c r="K105" s="61">
        <v>116.9533083</v>
      </c>
      <c r="L105" s="61">
        <v>92.052999999999997</v>
      </c>
      <c r="M105" s="61" t="s">
        <v>617</v>
      </c>
      <c r="N105" s="149">
        <v>42</v>
      </c>
      <c r="O105" s="149">
        <v>43</v>
      </c>
      <c r="P105" s="61" t="s">
        <v>565</v>
      </c>
      <c r="Q105" s="61" t="s">
        <v>555</v>
      </c>
      <c r="R105" s="61">
        <v>40.6895314</v>
      </c>
      <c r="S105" s="61">
        <v>-74.174462399999996</v>
      </c>
      <c r="T105" s="61">
        <v>447.81700000000001</v>
      </c>
      <c r="U105" s="61" t="s">
        <v>617</v>
      </c>
      <c r="V105" s="61" t="s">
        <v>617</v>
      </c>
      <c r="W105" s="61"/>
      <c r="Y105" s="137">
        <f>Summary_LCIA!H$32</f>
        <v>0.33979999999999999</v>
      </c>
      <c r="Z105" s="137">
        <f>Summary_LCIA!Q$32</f>
        <v>4.9560504329999997</v>
      </c>
      <c r="AA105" s="137">
        <f>Summary_LCIA!R$32</f>
        <v>5.2655999999999996E-3</v>
      </c>
      <c r="AB105" s="137">
        <f>Summary_LCIA!S$32</f>
        <v>0.33538000000000001</v>
      </c>
      <c r="AC105" s="137">
        <f>Summary_LCIA!T$32</f>
        <v>0.1099</v>
      </c>
      <c r="AD105" s="137">
        <f>Summary_LCIA!U$32</f>
        <v>1.7913999999999999E-2</v>
      </c>
      <c r="AE105" s="137">
        <f>Summary_LCIA!V$32</f>
        <v>4.7760999999999999E-5</v>
      </c>
      <c r="AF105" s="137">
        <f>Summary_LCIA!W$32</f>
        <v>7.6970999999999998E-2</v>
      </c>
      <c r="AG105" s="137">
        <f>Summary_LCIA!X$32</f>
        <v>2.2780000000000002E-2</v>
      </c>
      <c r="AH105" s="137">
        <f>Summary_LCIA!Y$32</f>
        <v>1.5582E-2</v>
      </c>
      <c r="AI105" s="137">
        <f>Summary_LCIA!Z$32</f>
        <v>4.1009E-5</v>
      </c>
      <c r="AJ105" s="137">
        <f>Summary_LCIA!AA$32</f>
        <v>2.3355999999999998E-2</v>
      </c>
      <c r="AK105" s="137">
        <f>Summary_LCIA!AB$32</f>
        <v>-2.1823000000000001E-5</v>
      </c>
      <c r="AL105" s="137">
        <f>Summary_LCIA!AC$32</f>
        <v>4.8884000000000003E-8</v>
      </c>
      <c r="AM105" s="137">
        <f>Summary_LCIA!AD$32</f>
        <v>4.1103999999999999E-4</v>
      </c>
      <c r="AN105" s="137">
        <f>Summary_LCIA!AE$32</f>
        <v>8.8612999999999995E-4</v>
      </c>
      <c r="AO105" s="137">
        <f>Summary_LCIA!AF$32</f>
        <v>8.4542000000000005E-4</v>
      </c>
      <c r="AP105" s="137">
        <f>Summary_LCIA!AG$32</f>
        <v>5.1165000000000002E-5</v>
      </c>
      <c r="AQ105" s="137">
        <f>Summary_LCIA!AH$32</f>
        <v>8.7036000000000006E-3</v>
      </c>
      <c r="AR105" s="137">
        <f>Summary_LCIA!AI$32</f>
        <v>9.3154999999999996E-4</v>
      </c>
      <c r="AT105" s="137">
        <f t="shared" si="23"/>
        <v>152.16821659999999</v>
      </c>
      <c r="AU105" s="137">
        <f t="shared" si="35"/>
        <v>2219.403636754761</v>
      </c>
      <c r="AV105" s="137">
        <f t="shared" si="36"/>
        <v>2.3580251951999998</v>
      </c>
      <c r="AW105" s="137">
        <f t="shared" si="37"/>
        <v>150.18886546000002</v>
      </c>
      <c r="AX105" s="137">
        <f t="shared" si="38"/>
        <v>49.215088299999998</v>
      </c>
      <c r="AY105" s="137">
        <f t="shared" si="39"/>
        <v>8.0221937380000004</v>
      </c>
      <c r="AZ105" s="137">
        <f t="shared" si="40"/>
        <v>2.1388187736999999E-2</v>
      </c>
      <c r="BA105" s="137">
        <f t="shared" si="41"/>
        <v>34.468922307</v>
      </c>
      <c r="BB105" s="137">
        <f t="shared" si="42"/>
        <v>10.20127126</v>
      </c>
      <c r="BC105" s="137">
        <f t="shared" si="24"/>
        <v>6.9778844940000004</v>
      </c>
      <c r="BD105" s="137">
        <f t="shared" si="25"/>
        <v>1.8364527352999999E-2</v>
      </c>
      <c r="BE105" s="137">
        <f t="shared" si="26"/>
        <v>10.459213852</v>
      </c>
      <c r="BF105" s="137">
        <f t="shared" si="27"/>
        <v>-9.7727103910000002E-3</v>
      </c>
      <c r="BG105" s="137">
        <f t="shared" si="28"/>
        <v>2.1891086228000002E-5</v>
      </c>
      <c r="BH105" s="137">
        <f t="shared" si="29"/>
        <v>0.18407069968000001</v>
      </c>
      <c r="BI105" s="137">
        <f t="shared" si="30"/>
        <v>0.39682407820999999</v>
      </c>
      <c r="BJ105" s="137">
        <f t="shared" si="31"/>
        <v>0.37859344814000001</v>
      </c>
      <c r="BK105" s="137">
        <f t="shared" si="32"/>
        <v>2.2912556805000001E-2</v>
      </c>
      <c r="BL105" s="137">
        <f t="shared" si="33"/>
        <v>3.8976200412000002</v>
      </c>
      <c r="BM105" s="137">
        <f t="shared" si="34"/>
        <v>0.41716392634999999</v>
      </c>
    </row>
    <row r="106" spans="1:65" x14ac:dyDescent="0.25">
      <c r="A106" s="149">
        <v>85</v>
      </c>
      <c r="B106" s="149">
        <v>43</v>
      </c>
      <c r="C106" s="61">
        <v>43.110801000000002</v>
      </c>
      <c r="D106" s="61">
        <v>-70.750540000000001</v>
      </c>
      <c r="E106" s="61" t="s">
        <v>265</v>
      </c>
      <c r="F106" s="149">
        <v>53</v>
      </c>
      <c r="G106" s="61" t="s">
        <v>565</v>
      </c>
      <c r="H106" s="61" t="s">
        <v>634</v>
      </c>
      <c r="I106" s="61">
        <v>42.365613000000003</v>
      </c>
      <c r="J106" s="61">
        <v>-71.009559999999993</v>
      </c>
      <c r="K106" s="61">
        <v>116.9533083</v>
      </c>
      <c r="L106" s="61">
        <v>92.052999999999997</v>
      </c>
      <c r="M106" s="61" t="s">
        <v>617</v>
      </c>
      <c r="N106" s="149">
        <v>42</v>
      </c>
      <c r="O106" s="149">
        <v>43</v>
      </c>
      <c r="P106" s="61" t="s">
        <v>565</v>
      </c>
      <c r="Q106" s="61" t="s">
        <v>555</v>
      </c>
      <c r="R106" s="61">
        <v>40.6895314</v>
      </c>
      <c r="S106" s="61">
        <v>-74.174462399999996</v>
      </c>
      <c r="T106" s="61">
        <v>447.81700000000001</v>
      </c>
      <c r="U106" s="61" t="s">
        <v>617</v>
      </c>
      <c r="V106" s="61" t="s">
        <v>617</v>
      </c>
      <c r="W106" s="61"/>
      <c r="Y106" s="137">
        <f>Summary_LCIA!H$32</f>
        <v>0.33979999999999999</v>
      </c>
      <c r="Z106" s="137">
        <f>Summary_LCIA!Q$32</f>
        <v>4.9560504329999997</v>
      </c>
      <c r="AA106" s="137">
        <f>Summary_LCIA!R$32</f>
        <v>5.2655999999999996E-3</v>
      </c>
      <c r="AB106" s="137">
        <f>Summary_LCIA!S$32</f>
        <v>0.33538000000000001</v>
      </c>
      <c r="AC106" s="137">
        <f>Summary_LCIA!T$32</f>
        <v>0.1099</v>
      </c>
      <c r="AD106" s="137">
        <f>Summary_LCIA!U$32</f>
        <v>1.7913999999999999E-2</v>
      </c>
      <c r="AE106" s="137">
        <f>Summary_LCIA!V$32</f>
        <v>4.7760999999999999E-5</v>
      </c>
      <c r="AF106" s="137">
        <f>Summary_LCIA!W$32</f>
        <v>7.6970999999999998E-2</v>
      </c>
      <c r="AG106" s="137">
        <f>Summary_LCIA!X$32</f>
        <v>2.2780000000000002E-2</v>
      </c>
      <c r="AH106" s="137">
        <f>Summary_LCIA!Y$32</f>
        <v>1.5582E-2</v>
      </c>
      <c r="AI106" s="137">
        <f>Summary_LCIA!Z$32</f>
        <v>4.1009E-5</v>
      </c>
      <c r="AJ106" s="137">
        <f>Summary_LCIA!AA$32</f>
        <v>2.3355999999999998E-2</v>
      </c>
      <c r="AK106" s="137">
        <f>Summary_LCIA!AB$32</f>
        <v>-2.1823000000000001E-5</v>
      </c>
      <c r="AL106" s="137">
        <f>Summary_LCIA!AC$32</f>
        <v>4.8884000000000003E-8</v>
      </c>
      <c r="AM106" s="137">
        <f>Summary_LCIA!AD$32</f>
        <v>4.1103999999999999E-4</v>
      </c>
      <c r="AN106" s="137">
        <f>Summary_LCIA!AE$32</f>
        <v>8.8612999999999995E-4</v>
      </c>
      <c r="AO106" s="137">
        <f>Summary_LCIA!AF$32</f>
        <v>8.4542000000000005E-4</v>
      </c>
      <c r="AP106" s="137">
        <f>Summary_LCIA!AG$32</f>
        <v>5.1165000000000002E-5</v>
      </c>
      <c r="AQ106" s="137">
        <f>Summary_LCIA!AH$32</f>
        <v>8.7036000000000006E-3</v>
      </c>
      <c r="AR106" s="137">
        <f>Summary_LCIA!AI$32</f>
        <v>9.3154999999999996E-4</v>
      </c>
      <c r="AT106" s="137">
        <f t="shared" si="23"/>
        <v>152.16821659999999</v>
      </c>
      <c r="AU106" s="137">
        <f t="shared" si="35"/>
        <v>2219.403636754761</v>
      </c>
      <c r="AV106" s="137">
        <f t="shared" si="36"/>
        <v>2.3580251951999998</v>
      </c>
      <c r="AW106" s="137">
        <f t="shared" si="37"/>
        <v>150.18886546000002</v>
      </c>
      <c r="AX106" s="137">
        <f t="shared" si="38"/>
        <v>49.215088299999998</v>
      </c>
      <c r="AY106" s="137">
        <f t="shared" si="39"/>
        <v>8.0221937380000004</v>
      </c>
      <c r="AZ106" s="137">
        <f t="shared" si="40"/>
        <v>2.1388187736999999E-2</v>
      </c>
      <c r="BA106" s="137">
        <f t="shared" si="41"/>
        <v>34.468922307</v>
      </c>
      <c r="BB106" s="137">
        <f t="shared" si="42"/>
        <v>10.20127126</v>
      </c>
      <c r="BC106" s="137">
        <f t="shared" si="24"/>
        <v>6.9778844940000004</v>
      </c>
      <c r="BD106" s="137">
        <f t="shared" si="25"/>
        <v>1.8364527352999999E-2</v>
      </c>
      <c r="BE106" s="137">
        <f t="shared" si="26"/>
        <v>10.459213852</v>
      </c>
      <c r="BF106" s="137">
        <f t="shared" si="27"/>
        <v>-9.7727103910000002E-3</v>
      </c>
      <c r="BG106" s="137">
        <f t="shared" si="28"/>
        <v>2.1891086228000002E-5</v>
      </c>
      <c r="BH106" s="137">
        <f t="shared" si="29"/>
        <v>0.18407069968000001</v>
      </c>
      <c r="BI106" s="137">
        <f t="shared" si="30"/>
        <v>0.39682407820999999</v>
      </c>
      <c r="BJ106" s="137">
        <f t="shared" si="31"/>
        <v>0.37859344814000001</v>
      </c>
      <c r="BK106" s="137">
        <f t="shared" si="32"/>
        <v>2.2912556805000001E-2</v>
      </c>
      <c r="BL106" s="137">
        <f t="shared" si="33"/>
        <v>3.8976200412000002</v>
      </c>
      <c r="BM106" s="137">
        <f t="shared" si="34"/>
        <v>0.41716392634999999</v>
      </c>
    </row>
    <row r="107" spans="1:65" x14ac:dyDescent="0.25">
      <c r="A107" s="149">
        <v>86</v>
      </c>
      <c r="B107" s="149">
        <v>43</v>
      </c>
      <c r="C107" s="61">
        <v>43.110801000000002</v>
      </c>
      <c r="D107" s="61">
        <v>-70.750540000000001</v>
      </c>
      <c r="E107" s="61" t="s">
        <v>265</v>
      </c>
      <c r="F107" s="149">
        <v>53</v>
      </c>
      <c r="G107" s="61" t="s">
        <v>565</v>
      </c>
      <c r="H107" s="61" t="s">
        <v>634</v>
      </c>
      <c r="I107" s="61">
        <v>42.365613000000003</v>
      </c>
      <c r="J107" s="61">
        <v>-71.009559999999993</v>
      </c>
      <c r="K107" s="61">
        <v>116.9533083</v>
      </c>
      <c r="L107" s="61">
        <v>92.052999999999997</v>
      </c>
      <c r="M107" s="61" t="s">
        <v>617</v>
      </c>
      <c r="N107" s="149">
        <v>42</v>
      </c>
      <c r="O107" s="149">
        <v>43</v>
      </c>
      <c r="P107" s="61" t="s">
        <v>565</v>
      </c>
      <c r="Q107" s="61" t="s">
        <v>555</v>
      </c>
      <c r="R107" s="61">
        <v>40.6895314</v>
      </c>
      <c r="S107" s="61">
        <v>-74.174462399999996</v>
      </c>
      <c r="T107" s="61">
        <v>447.81700000000001</v>
      </c>
      <c r="U107" s="61" t="s">
        <v>617</v>
      </c>
      <c r="V107" s="61" t="s">
        <v>617</v>
      </c>
      <c r="W107" s="61"/>
      <c r="Y107" s="137">
        <f>Summary_LCIA!H$32</f>
        <v>0.33979999999999999</v>
      </c>
      <c r="Z107" s="137">
        <f>Summary_LCIA!Q$32</f>
        <v>4.9560504329999997</v>
      </c>
      <c r="AA107" s="137">
        <f>Summary_LCIA!R$32</f>
        <v>5.2655999999999996E-3</v>
      </c>
      <c r="AB107" s="137">
        <f>Summary_LCIA!S$32</f>
        <v>0.33538000000000001</v>
      </c>
      <c r="AC107" s="137">
        <f>Summary_LCIA!T$32</f>
        <v>0.1099</v>
      </c>
      <c r="AD107" s="137">
        <f>Summary_LCIA!U$32</f>
        <v>1.7913999999999999E-2</v>
      </c>
      <c r="AE107" s="137">
        <f>Summary_LCIA!V$32</f>
        <v>4.7760999999999999E-5</v>
      </c>
      <c r="AF107" s="137">
        <f>Summary_LCIA!W$32</f>
        <v>7.6970999999999998E-2</v>
      </c>
      <c r="AG107" s="137">
        <f>Summary_LCIA!X$32</f>
        <v>2.2780000000000002E-2</v>
      </c>
      <c r="AH107" s="137">
        <f>Summary_LCIA!Y$32</f>
        <v>1.5582E-2</v>
      </c>
      <c r="AI107" s="137">
        <f>Summary_LCIA!Z$32</f>
        <v>4.1009E-5</v>
      </c>
      <c r="AJ107" s="137">
        <f>Summary_LCIA!AA$32</f>
        <v>2.3355999999999998E-2</v>
      </c>
      <c r="AK107" s="137">
        <f>Summary_LCIA!AB$32</f>
        <v>-2.1823000000000001E-5</v>
      </c>
      <c r="AL107" s="137">
        <f>Summary_LCIA!AC$32</f>
        <v>4.8884000000000003E-8</v>
      </c>
      <c r="AM107" s="137">
        <f>Summary_LCIA!AD$32</f>
        <v>4.1103999999999999E-4</v>
      </c>
      <c r="AN107" s="137">
        <f>Summary_LCIA!AE$32</f>
        <v>8.8612999999999995E-4</v>
      </c>
      <c r="AO107" s="137">
        <f>Summary_LCIA!AF$32</f>
        <v>8.4542000000000005E-4</v>
      </c>
      <c r="AP107" s="137">
        <f>Summary_LCIA!AG$32</f>
        <v>5.1165000000000002E-5</v>
      </c>
      <c r="AQ107" s="137">
        <f>Summary_LCIA!AH$32</f>
        <v>8.7036000000000006E-3</v>
      </c>
      <c r="AR107" s="137">
        <f>Summary_LCIA!AI$32</f>
        <v>9.3154999999999996E-4</v>
      </c>
      <c r="AT107" s="137">
        <f t="shared" si="23"/>
        <v>152.16821659999999</v>
      </c>
      <c r="AU107" s="137">
        <f t="shared" si="35"/>
        <v>2219.403636754761</v>
      </c>
      <c r="AV107" s="137">
        <f t="shared" si="36"/>
        <v>2.3580251951999998</v>
      </c>
      <c r="AW107" s="137">
        <f t="shared" si="37"/>
        <v>150.18886546000002</v>
      </c>
      <c r="AX107" s="137">
        <f t="shared" si="38"/>
        <v>49.215088299999998</v>
      </c>
      <c r="AY107" s="137">
        <f t="shared" si="39"/>
        <v>8.0221937380000004</v>
      </c>
      <c r="AZ107" s="137">
        <f t="shared" si="40"/>
        <v>2.1388187736999999E-2</v>
      </c>
      <c r="BA107" s="137">
        <f t="shared" si="41"/>
        <v>34.468922307</v>
      </c>
      <c r="BB107" s="137">
        <f t="shared" si="42"/>
        <v>10.20127126</v>
      </c>
      <c r="BC107" s="137">
        <f t="shared" si="24"/>
        <v>6.9778844940000004</v>
      </c>
      <c r="BD107" s="137">
        <f t="shared" si="25"/>
        <v>1.8364527352999999E-2</v>
      </c>
      <c r="BE107" s="137">
        <f t="shared" si="26"/>
        <v>10.459213852</v>
      </c>
      <c r="BF107" s="137">
        <f t="shared" si="27"/>
        <v>-9.7727103910000002E-3</v>
      </c>
      <c r="BG107" s="137">
        <f t="shared" si="28"/>
        <v>2.1891086228000002E-5</v>
      </c>
      <c r="BH107" s="137">
        <f t="shared" si="29"/>
        <v>0.18407069968000001</v>
      </c>
      <c r="BI107" s="137">
        <f t="shared" si="30"/>
        <v>0.39682407820999999</v>
      </c>
      <c r="BJ107" s="137">
        <f t="shared" si="31"/>
        <v>0.37859344814000001</v>
      </c>
      <c r="BK107" s="137">
        <f t="shared" si="32"/>
        <v>2.2912556805000001E-2</v>
      </c>
      <c r="BL107" s="137">
        <f t="shared" si="33"/>
        <v>3.8976200412000002</v>
      </c>
      <c r="BM107" s="137">
        <f t="shared" si="34"/>
        <v>0.41716392634999999</v>
      </c>
    </row>
    <row r="108" spans="1:65" x14ac:dyDescent="0.25">
      <c r="A108" s="149">
        <v>87</v>
      </c>
      <c r="B108" s="149">
        <v>43</v>
      </c>
      <c r="C108" s="61">
        <v>43.110801000000002</v>
      </c>
      <c r="D108" s="61">
        <v>-70.750540000000001</v>
      </c>
      <c r="E108" s="61" t="s">
        <v>265</v>
      </c>
      <c r="F108" s="149">
        <v>53</v>
      </c>
      <c r="G108" s="61" t="s">
        <v>565</v>
      </c>
      <c r="H108" s="61" t="s">
        <v>634</v>
      </c>
      <c r="I108" s="61">
        <v>42.365613000000003</v>
      </c>
      <c r="J108" s="61">
        <v>-71.009559999999993</v>
      </c>
      <c r="K108" s="61">
        <v>116.9533083</v>
      </c>
      <c r="L108" s="61">
        <v>92.052999999999997</v>
      </c>
      <c r="M108" s="61" t="s">
        <v>617</v>
      </c>
      <c r="N108" s="149">
        <v>42</v>
      </c>
      <c r="O108" s="149">
        <v>43</v>
      </c>
      <c r="P108" s="61" t="s">
        <v>565</v>
      </c>
      <c r="Q108" s="61" t="s">
        <v>555</v>
      </c>
      <c r="R108" s="61">
        <v>40.6895314</v>
      </c>
      <c r="S108" s="61">
        <v>-74.174462399999996</v>
      </c>
      <c r="T108" s="61">
        <v>447.81700000000001</v>
      </c>
      <c r="U108" s="61" t="s">
        <v>617</v>
      </c>
      <c r="V108" s="61" t="s">
        <v>617</v>
      </c>
      <c r="W108" s="61"/>
      <c r="Y108" s="137">
        <f>Summary_LCIA!H$32</f>
        <v>0.33979999999999999</v>
      </c>
      <c r="Z108" s="137">
        <f>Summary_LCIA!Q$32</f>
        <v>4.9560504329999997</v>
      </c>
      <c r="AA108" s="137">
        <f>Summary_LCIA!R$32</f>
        <v>5.2655999999999996E-3</v>
      </c>
      <c r="AB108" s="137">
        <f>Summary_LCIA!S$32</f>
        <v>0.33538000000000001</v>
      </c>
      <c r="AC108" s="137">
        <f>Summary_LCIA!T$32</f>
        <v>0.1099</v>
      </c>
      <c r="AD108" s="137">
        <f>Summary_LCIA!U$32</f>
        <v>1.7913999999999999E-2</v>
      </c>
      <c r="AE108" s="137">
        <f>Summary_LCIA!V$32</f>
        <v>4.7760999999999999E-5</v>
      </c>
      <c r="AF108" s="137">
        <f>Summary_LCIA!W$32</f>
        <v>7.6970999999999998E-2</v>
      </c>
      <c r="AG108" s="137">
        <f>Summary_LCIA!X$32</f>
        <v>2.2780000000000002E-2</v>
      </c>
      <c r="AH108" s="137">
        <f>Summary_LCIA!Y$32</f>
        <v>1.5582E-2</v>
      </c>
      <c r="AI108" s="137">
        <f>Summary_LCIA!Z$32</f>
        <v>4.1009E-5</v>
      </c>
      <c r="AJ108" s="137">
        <f>Summary_LCIA!AA$32</f>
        <v>2.3355999999999998E-2</v>
      </c>
      <c r="AK108" s="137">
        <f>Summary_LCIA!AB$32</f>
        <v>-2.1823000000000001E-5</v>
      </c>
      <c r="AL108" s="137">
        <f>Summary_LCIA!AC$32</f>
        <v>4.8884000000000003E-8</v>
      </c>
      <c r="AM108" s="137">
        <f>Summary_LCIA!AD$32</f>
        <v>4.1103999999999999E-4</v>
      </c>
      <c r="AN108" s="137">
        <f>Summary_LCIA!AE$32</f>
        <v>8.8612999999999995E-4</v>
      </c>
      <c r="AO108" s="137">
        <f>Summary_LCIA!AF$32</f>
        <v>8.4542000000000005E-4</v>
      </c>
      <c r="AP108" s="137">
        <f>Summary_LCIA!AG$32</f>
        <v>5.1165000000000002E-5</v>
      </c>
      <c r="AQ108" s="137">
        <f>Summary_LCIA!AH$32</f>
        <v>8.7036000000000006E-3</v>
      </c>
      <c r="AR108" s="137">
        <f>Summary_LCIA!AI$32</f>
        <v>9.3154999999999996E-4</v>
      </c>
      <c r="AT108" s="137">
        <f t="shared" si="23"/>
        <v>152.16821659999999</v>
      </c>
      <c r="AU108" s="137">
        <f t="shared" si="35"/>
        <v>2219.403636754761</v>
      </c>
      <c r="AV108" s="137">
        <f t="shared" si="36"/>
        <v>2.3580251951999998</v>
      </c>
      <c r="AW108" s="137">
        <f t="shared" si="37"/>
        <v>150.18886546000002</v>
      </c>
      <c r="AX108" s="137">
        <f t="shared" si="38"/>
        <v>49.215088299999998</v>
      </c>
      <c r="AY108" s="137">
        <f t="shared" si="39"/>
        <v>8.0221937380000004</v>
      </c>
      <c r="AZ108" s="137">
        <f t="shared" si="40"/>
        <v>2.1388187736999999E-2</v>
      </c>
      <c r="BA108" s="137">
        <f t="shared" si="41"/>
        <v>34.468922307</v>
      </c>
      <c r="BB108" s="137">
        <f t="shared" si="42"/>
        <v>10.20127126</v>
      </c>
      <c r="BC108" s="137">
        <f t="shared" si="24"/>
        <v>6.9778844940000004</v>
      </c>
      <c r="BD108" s="137">
        <f t="shared" si="25"/>
        <v>1.8364527352999999E-2</v>
      </c>
      <c r="BE108" s="137">
        <f t="shared" si="26"/>
        <v>10.459213852</v>
      </c>
      <c r="BF108" s="137">
        <f t="shared" si="27"/>
        <v>-9.7727103910000002E-3</v>
      </c>
      <c r="BG108" s="137">
        <f t="shared" si="28"/>
        <v>2.1891086228000002E-5</v>
      </c>
      <c r="BH108" s="137">
        <f t="shared" si="29"/>
        <v>0.18407069968000001</v>
      </c>
      <c r="BI108" s="137">
        <f t="shared" si="30"/>
        <v>0.39682407820999999</v>
      </c>
      <c r="BJ108" s="137">
        <f t="shared" si="31"/>
        <v>0.37859344814000001</v>
      </c>
      <c r="BK108" s="137">
        <f t="shared" si="32"/>
        <v>2.2912556805000001E-2</v>
      </c>
      <c r="BL108" s="137">
        <f t="shared" si="33"/>
        <v>3.8976200412000002</v>
      </c>
      <c r="BM108" s="137">
        <f t="shared" si="34"/>
        <v>0.41716392634999999</v>
      </c>
    </row>
    <row r="109" spans="1:65" x14ac:dyDescent="0.25">
      <c r="A109" s="149">
        <v>88</v>
      </c>
      <c r="B109" s="149">
        <v>43</v>
      </c>
      <c r="C109" s="61">
        <v>43.110801000000002</v>
      </c>
      <c r="D109" s="61">
        <v>-70.750540000000001</v>
      </c>
      <c r="E109" s="61" t="s">
        <v>265</v>
      </c>
      <c r="F109" s="149">
        <v>53</v>
      </c>
      <c r="G109" s="61" t="s">
        <v>565</v>
      </c>
      <c r="H109" s="61" t="s">
        <v>634</v>
      </c>
      <c r="I109" s="61">
        <v>42.365613000000003</v>
      </c>
      <c r="J109" s="61">
        <v>-71.009559999999993</v>
      </c>
      <c r="K109" s="61">
        <v>116.9533083</v>
      </c>
      <c r="L109" s="61">
        <v>92.052999999999997</v>
      </c>
      <c r="M109" s="61" t="s">
        <v>617</v>
      </c>
      <c r="N109" s="149">
        <v>42</v>
      </c>
      <c r="O109" s="149">
        <v>43</v>
      </c>
      <c r="P109" s="61" t="s">
        <v>565</v>
      </c>
      <c r="Q109" s="61" t="s">
        <v>555</v>
      </c>
      <c r="R109" s="61">
        <v>40.6895314</v>
      </c>
      <c r="S109" s="61">
        <v>-74.174462399999996</v>
      </c>
      <c r="T109" s="61">
        <v>447.81700000000001</v>
      </c>
      <c r="U109" s="61" t="s">
        <v>617</v>
      </c>
      <c r="V109" s="61" t="s">
        <v>617</v>
      </c>
      <c r="W109" s="61"/>
      <c r="Y109" s="137">
        <f>Summary_LCIA!H$32</f>
        <v>0.33979999999999999</v>
      </c>
      <c r="Z109" s="137">
        <f>Summary_LCIA!Q$32</f>
        <v>4.9560504329999997</v>
      </c>
      <c r="AA109" s="137">
        <f>Summary_LCIA!R$32</f>
        <v>5.2655999999999996E-3</v>
      </c>
      <c r="AB109" s="137">
        <f>Summary_LCIA!S$32</f>
        <v>0.33538000000000001</v>
      </c>
      <c r="AC109" s="137">
        <f>Summary_LCIA!T$32</f>
        <v>0.1099</v>
      </c>
      <c r="AD109" s="137">
        <f>Summary_LCIA!U$32</f>
        <v>1.7913999999999999E-2</v>
      </c>
      <c r="AE109" s="137">
        <f>Summary_LCIA!V$32</f>
        <v>4.7760999999999999E-5</v>
      </c>
      <c r="AF109" s="137">
        <f>Summary_LCIA!W$32</f>
        <v>7.6970999999999998E-2</v>
      </c>
      <c r="AG109" s="137">
        <f>Summary_LCIA!X$32</f>
        <v>2.2780000000000002E-2</v>
      </c>
      <c r="AH109" s="137">
        <f>Summary_LCIA!Y$32</f>
        <v>1.5582E-2</v>
      </c>
      <c r="AI109" s="137">
        <f>Summary_LCIA!Z$32</f>
        <v>4.1009E-5</v>
      </c>
      <c r="AJ109" s="137">
        <f>Summary_LCIA!AA$32</f>
        <v>2.3355999999999998E-2</v>
      </c>
      <c r="AK109" s="137">
        <f>Summary_LCIA!AB$32</f>
        <v>-2.1823000000000001E-5</v>
      </c>
      <c r="AL109" s="137">
        <f>Summary_LCIA!AC$32</f>
        <v>4.8884000000000003E-8</v>
      </c>
      <c r="AM109" s="137">
        <f>Summary_LCIA!AD$32</f>
        <v>4.1103999999999999E-4</v>
      </c>
      <c r="AN109" s="137">
        <f>Summary_LCIA!AE$32</f>
        <v>8.8612999999999995E-4</v>
      </c>
      <c r="AO109" s="137">
        <f>Summary_LCIA!AF$32</f>
        <v>8.4542000000000005E-4</v>
      </c>
      <c r="AP109" s="137">
        <f>Summary_LCIA!AG$32</f>
        <v>5.1165000000000002E-5</v>
      </c>
      <c r="AQ109" s="137">
        <f>Summary_LCIA!AH$32</f>
        <v>8.7036000000000006E-3</v>
      </c>
      <c r="AR109" s="137">
        <f>Summary_LCIA!AI$32</f>
        <v>9.3154999999999996E-4</v>
      </c>
      <c r="AT109" s="137">
        <f t="shared" si="23"/>
        <v>152.16821659999999</v>
      </c>
      <c r="AU109" s="137">
        <f t="shared" si="35"/>
        <v>2219.403636754761</v>
      </c>
      <c r="AV109" s="137">
        <f t="shared" si="36"/>
        <v>2.3580251951999998</v>
      </c>
      <c r="AW109" s="137">
        <f t="shared" si="37"/>
        <v>150.18886546000002</v>
      </c>
      <c r="AX109" s="137">
        <f t="shared" si="38"/>
        <v>49.215088299999998</v>
      </c>
      <c r="AY109" s="137">
        <f t="shared" si="39"/>
        <v>8.0221937380000004</v>
      </c>
      <c r="AZ109" s="137">
        <f t="shared" si="40"/>
        <v>2.1388187736999999E-2</v>
      </c>
      <c r="BA109" s="137">
        <f t="shared" si="41"/>
        <v>34.468922307</v>
      </c>
      <c r="BB109" s="137">
        <f t="shared" si="42"/>
        <v>10.20127126</v>
      </c>
      <c r="BC109" s="137">
        <f t="shared" si="24"/>
        <v>6.9778844940000004</v>
      </c>
      <c r="BD109" s="137">
        <f t="shared" si="25"/>
        <v>1.8364527352999999E-2</v>
      </c>
      <c r="BE109" s="137">
        <f t="shared" si="26"/>
        <v>10.459213852</v>
      </c>
      <c r="BF109" s="137">
        <f t="shared" si="27"/>
        <v>-9.7727103910000002E-3</v>
      </c>
      <c r="BG109" s="137">
        <f t="shared" si="28"/>
        <v>2.1891086228000002E-5</v>
      </c>
      <c r="BH109" s="137">
        <f t="shared" si="29"/>
        <v>0.18407069968000001</v>
      </c>
      <c r="BI109" s="137">
        <f t="shared" si="30"/>
        <v>0.39682407820999999</v>
      </c>
      <c r="BJ109" s="137">
        <f t="shared" si="31"/>
        <v>0.37859344814000001</v>
      </c>
      <c r="BK109" s="137">
        <f t="shared" si="32"/>
        <v>2.2912556805000001E-2</v>
      </c>
      <c r="BL109" s="137">
        <f t="shared" si="33"/>
        <v>3.8976200412000002</v>
      </c>
      <c r="BM109" s="137">
        <f t="shared" si="34"/>
        <v>0.41716392634999999</v>
      </c>
    </row>
    <row r="110" spans="1:65" x14ac:dyDescent="0.25">
      <c r="A110" s="149">
        <v>211</v>
      </c>
      <c r="B110" s="149">
        <v>43</v>
      </c>
      <c r="C110" s="61">
        <v>43.197862000000001</v>
      </c>
      <c r="D110" s="61">
        <v>-70.873670000000004</v>
      </c>
      <c r="E110" s="61" t="s">
        <v>265</v>
      </c>
      <c r="F110" s="149">
        <v>53</v>
      </c>
      <c r="G110" s="61" t="s">
        <v>565</v>
      </c>
      <c r="H110" s="61" t="s">
        <v>634</v>
      </c>
      <c r="I110" s="61">
        <v>42.365613000000003</v>
      </c>
      <c r="J110" s="61">
        <v>-71.009559999999993</v>
      </c>
      <c r="K110" s="61">
        <v>127.17130450000001</v>
      </c>
      <c r="L110" s="61">
        <v>104.06699999999999</v>
      </c>
      <c r="M110" s="61" t="s">
        <v>617</v>
      </c>
      <c r="N110" s="149">
        <v>42</v>
      </c>
      <c r="O110" s="149">
        <v>43</v>
      </c>
      <c r="P110" s="61" t="s">
        <v>565</v>
      </c>
      <c r="Q110" s="61" t="s">
        <v>555</v>
      </c>
      <c r="R110" s="61">
        <v>40.6895314</v>
      </c>
      <c r="S110" s="61">
        <v>-74.174462399999996</v>
      </c>
      <c r="T110" s="61">
        <v>459.83100000000002</v>
      </c>
      <c r="U110" s="61" t="s">
        <v>617</v>
      </c>
      <c r="V110" s="61" t="s">
        <v>617</v>
      </c>
      <c r="W110" s="61"/>
      <c r="Y110" s="137">
        <f>Summary_LCIA!H$32</f>
        <v>0.33979999999999999</v>
      </c>
      <c r="Z110" s="137">
        <f>Summary_LCIA!Q$32</f>
        <v>4.9560504329999997</v>
      </c>
      <c r="AA110" s="137">
        <f>Summary_LCIA!R$32</f>
        <v>5.2655999999999996E-3</v>
      </c>
      <c r="AB110" s="137">
        <f>Summary_LCIA!S$32</f>
        <v>0.33538000000000001</v>
      </c>
      <c r="AC110" s="137">
        <f>Summary_LCIA!T$32</f>
        <v>0.1099</v>
      </c>
      <c r="AD110" s="137">
        <f>Summary_LCIA!U$32</f>
        <v>1.7913999999999999E-2</v>
      </c>
      <c r="AE110" s="137">
        <f>Summary_LCIA!V$32</f>
        <v>4.7760999999999999E-5</v>
      </c>
      <c r="AF110" s="137">
        <f>Summary_LCIA!W$32</f>
        <v>7.6970999999999998E-2</v>
      </c>
      <c r="AG110" s="137">
        <f>Summary_LCIA!X$32</f>
        <v>2.2780000000000002E-2</v>
      </c>
      <c r="AH110" s="137">
        <f>Summary_LCIA!Y$32</f>
        <v>1.5582E-2</v>
      </c>
      <c r="AI110" s="137">
        <f>Summary_LCIA!Z$32</f>
        <v>4.1009E-5</v>
      </c>
      <c r="AJ110" s="137">
        <f>Summary_LCIA!AA$32</f>
        <v>2.3355999999999998E-2</v>
      </c>
      <c r="AK110" s="137">
        <f>Summary_LCIA!AB$32</f>
        <v>-2.1823000000000001E-5</v>
      </c>
      <c r="AL110" s="137">
        <f>Summary_LCIA!AC$32</f>
        <v>4.8884000000000003E-8</v>
      </c>
      <c r="AM110" s="137">
        <f>Summary_LCIA!AD$32</f>
        <v>4.1103999999999999E-4</v>
      </c>
      <c r="AN110" s="137">
        <f>Summary_LCIA!AE$32</f>
        <v>8.8612999999999995E-4</v>
      </c>
      <c r="AO110" s="137">
        <f>Summary_LCIA!AF$32</f>
        <v>8.4542000000000005E-4</v>
      </c>
      <c r="AP110" s="137">
        <f>Summary_LCIA!AG$32</f>
        <v>5.1165000000000002E-5</v>
      </c>
      <c r="AQ110" s="137">
        <f>Summary_LCIA!AH$32</f>
        <v>8.7036000000000006E-3</v>
      </c>
      <c r="AR110" s="137">
        <f>Summary_LCIA!AI$32</f>
        <v>9.3154999999999996E-4</v>
      </c>
      <c r="AT110" s="137">
        <f t="shared" si="23"/>
        <v>156.25057380000001</v>
      </c>
      <c r="AU110" s="137">
        <f t="shared" si="35"/>
        <v>2278.9456266568232</v>
      </c>
      <c r="AV110" s="137">
        <f t="shared" si="36"/>
        <v>2.4212861135999999</v>
      </c>
      <c r="AW110" s="137">
        <f t="shared" si="37"/>
        <v>154.21812078000002</v>
      </c>
      <c r="AX110" s="137">
        <f t="shared" si="38"/>
        <v>50.535426899999997</v>
      </c>
      <c r="AY110" s="137">
        <f t="shared" si="39"/>
        <v>8.2374125340000006</v>
      </c>
      <c r="AZ110" s="137">
        <f t="shared" si="40"/>
        <v>2.1961988391000001E-2</v>
      </c>
      <c r="BA110" s="137">
        <f t="shared" si="41"/>
        <v>35.393651900999998</v>
      </c>
      <c r="BB110" s="137">
        <f t="shared" si="42"/>
        <v>10.47495018</v>
      </c>
      <c r="BC110" s="137">
        <f t="shared" si="24"/>
        <v>7.1650866420000003</v>
      </c>
      <c r="BD110" s="137">
        <f t="shared" si="25"/>
        <v>1.8857209478999999E-2</v>
      </c>
      <c r="BE110" s="137">
        <f t="shared" si="26"/>
        <v>10.739812836</v>
      </c>
      <c r="BF110" s="137">
        <f t="shared" si="27"/>
        <v>-1.0034891913000001E-2</v>
      </c>
      <c r="BG110" s="137">
        <f t="shared" si="28"/>
        <v>2.2478378604000002E-5</v>
      </c>
      <c r="BH110" s="137">
        <f t="shared" si="29"/>
        <v>0.18900893424000001</v>
      </c>
      <c r="BI110" s="137">
        <f t="shared" si="30"/>
        <v>0.40747004402999998</v>
      </c>
      <c r="BJ110" s="137">
        <f t="shared" si="31"/>
        <v>0.38875032402000004</v>
      </c>
      <c r="BK110" s="137">
        <f t="shared" si="32"/>
        <v>2.3527253115000001E-2</v>
      </c>
      <c r="BL110" s="137">
        <f t="shared" si="33"/>
        <v>4.0021850916000004</v>
      </c>
      <c r="BM110" s="137">
        <f t="shared" si="34"/>
        <v>0.42835556804999997</v>
      </c>
    </row>
    <row r="111" spans="1:65" x14ac:dyDescent="0.25">
      <c r="A111" s="149">
        <v>19</v>
      </c>
      <c r="B111" s="149">
        <v>43</v>
      </c>
      <c r="C111" s="61">
        <v>43.183446000000004</v>
      </c>
      <c r="D111" s="61">
        <v>-70.608591000000004</v>
      </c>
      <c r="E111" s="61" t="s">
        <v>265</v>
      </c>
      <c r="F111" s="149">
        <v>53</v>
      </c>
      <c r="G111" s="61" t="s">
        <v>565</v>
      </c>
      <c r="H111" s="61" t="s">
        <v>634</v>
      </c>
      <c r="I111" s="61">
        <v>42.365613000000003</v>
      </c>
      <c r="J111" s="61">
        <v>-71.009559999999993</v>
      </c>
      <c r="K111" s="61">
        <v>131.74496160000001</v>
      </c>
      <c r="L111" s="61">
        <v>107.55800000000001</v>
      </c>
      <c r="M111" s="61" t="s">
        <v>617</v>
      </c>
      <c r="N111" s="149">
        <v>42</v>
      </c>
      <c r="O111" s="149">
        <v>43</v>
      </c>
      <c r="P111" s="61" t="s">
        <v>565</v>
      </c>
      <c r="Q111" s="61" t="s">
        <v>555</v>
      </c>
      <c r="R111" s="61">
        <v>40.6895314</v>
      </c>
      <c r="S111" s="61">
        <v>-74.174462399999996</v>
      </c>
      <c r="T111" s="61">
        <v>463.322</v>
      </c>
      <c r="U111" s="61" t="s">
        <v>617</v>
      </c>
      <c r="V111" s="61" t="s">
        <v>617</v>
      </c>
      <c r="W111" s="61"/>
      <c r="Y111" s="137">
        <f>Summary_LCIA!H$32</f>
        <v>0.33979999999999999</v>
      </c>
      <c r="Z111" s="137">
        <f>Summary_LCIA!Q$32</f>
        <v>4.9560504329999997</v>
      </c>
      <c r="AA111" s="137">
        <f>Summary_LCIA!R$32</f>
        <v>5.2655999999999996E-3</v>
      </c>
      <c r="AB111" s="137">
        <f>Summary_LCIA!S$32</f>
        <v>0.33538000000000001</v>
      </c>
      <c r="AC111" s="137">
        <f>Summary_LCIA!T$32</f>
        <v>0.1099</v>
      </c>
      <c r="AD111" s="137">
        <f>Summary_LCIA!U$32</f>
        <v>1.7913999999999999E-2</v>
      </c>
      <c r="AE111" s="137">
        <f>Summary_LCIA!V$32</f>
        <v>4.7760999999999999E-5</v>
      </c>
      <c r="AF111" s="137">
        <f>Summary_LCIA!W$32</f>
        <v>7.6970999999999998E-2</v>
      </c>
      <c r="AG111" s="137">
        <f>Summary_LCIA!X$32</f>
        <v>2.2780000000000002E-2</v>
      </c>
      <c r="AH111" s="137">
        <f>Summary_LCIA!Y$32</f>
        <v>1.5582E-2</v>
      </c>
      <c r="AI111" s="137">
        <f>Summary_LCIA!Z$32</f>
        <v>4.1009E-5</v>
      </c>
      <c r="AJ111" s="137">
        <f>Summary_LCIA!AA$32</f>
        <v>2.3355999999999998E-2</v>
      </c>
      <c r="AK111" s="137">
        <f>Summary_LCIA!AB$32</f>
        <v>-2.1823000000000001E-5</v>
      </c>
      <c r="AL111" s="137">
        <f>Summary_LCIA!AC$32</f>
        <v>4.8884000000000003E-8</v>
      </c>
      <c r="AM111" s="137">
        <f>Summary_LCIA!AD$32</f>
        <v>4.1103999999999999E-4</v>
      </c>
      <c r="AN111" s="137">
        <f>Summary_LCIA!AE$32</f>
        <v>8.8612999999999995E-4</v>
      </c>
      <c r="AO111" s="137">
        <f>Summary_LCIA!AF$32</f>
        <v>8.4542000000000005E-4</v>
      </c>
      <c r="AP111" s="137">
        <f>Summary_LCIA!AG$32</f>
        <v>5.1165000000000002E-5</v>
      </c>
      <c r="AQ111" s="137">
        <f>Summary_LCIA!AH$32</f>
        <v>8.7036000000000006E-3</v>
      </c>
      <c r="AR111" s="137">
        <f>Summary_LCIA!AI$32</f>
        <v>9.3154999999999996E-4</v>
      </c>
      <c r="AT111" s="137">
        <f t="shared" si="23"/>
        <v>157.43681559999999</v>
      </c>
      <c r="AU111" s="137">
        <f t="shared" si="35"/>
        <v>2296.2471987184258</v>
      </c>
      <c r="AV111" s="137">
        <f t="shared" si="36"/>
        <v>2.4396683231999998</v>
      </c>
      <c r="AW111" s="137">
        <f t="shared" si="37"/>
        <v>155.38893236000001</v>
      </c>
      <c r="AX111" s="137">
        <f t="shared" si="38"/>
        <v>50.9190878</v>
      </c>
      <c r="AY111" s="137">
        <f t="shared" si="39"/>
        <v>8.2999503079999997</v>
      </c>
      <c r="AZ111" s="137">
        <f t="shared" si="40"/>
        <v>2.2128722042000001E-2</v>
      </c>
      <c r="BA111" s="137">
        <f t="shared" si="41"/>
        <v>35.662357661999998</v>
      </c>
      <c r="BB111" s="137">
        <f t="shared" si="42"/>
        <v>10.554475160000001</v>
      </c>
      <c r="BC111" s="137">
        <f t="shared" si="24"/>
        <v>7.219483404</v>
      </c>
      <c r="BD111" s="137">
        <f t="shared" si="25"/>
        <v>1.9000371897999999E-2</v>
      </c>
      <c r="BE111" s="137">
        <f t="shared" si="26"/>
        <v>10.821348631999999</v>
      </c>
      <c r="BF111" s="137">
        <f t="shared" si="27"/>
        <v>-1.0111076006000001E-2</v>
      </c>
      <c r="BG111" s="137">
        <f t="shared" si="28"/>
        <v>2.2649032648000002E-5</v>
      </c>
      <c r="BH111" s="137">
        <f t="shared" si="29"/>
        <v>0.19044387488</v>
      </c>
      <c r="BI111" s="137">
        <f t="shared" si="30"/>
        <v>0.41056352386</v>
      </c>
      <c r="BJ111" s="137">
        <f t="shared" si="31"/>
        <v>0.39170168524000004</v>
      </c>
      <c r="BK111" s="137">
        <f t="shared" si="32"/>
        <v>2.3705870130000001E-2</v>
      </c>
      <c r="BL111" s="137">
        <f t="shared" si="33"/>
        <v>4.0325693592</v>
      </c>
      <c r="BM111" s="137">
        <f t="shared" si="34"/>
        <v>0.43160760909999996</v>
      </c>
    </row>
    <row r="112" spans="1:65" x14ac:dyDescent="0.25">
      <c r="A112" s="149">
        <v>130</v>
      </c>
      <c r="B112" s="149">
        <v>15</v>
      </c>
      <c r="C112" s="61">
        <v>51.048797</v>
      </c>
      <c r="D112" s="61">
        <v>13.721128999999999</v>
      </c>
      <c r="E112" s="61" t="s">
        <v>281</v>
      </c>
      <c r="F112" s="149">
        <v>38</v>
      </c>
      <c r="G112" s="61" t="s">
        <v>567</v>
      </c>
      <c r="H112" s="61" t="s">
        <v>678</v>
      </c>
      <c r="I112" s="61">
        <v>48.353696999999997</v>
      </c>
      <c r="J112" s="61">
        <v>11.775111000000001</v>
      </c>
      <c r="K112" s="61">
        <v>332.0913797</v>
      </c>
      <c r="L112" s="61">
        <v>445.78</v>
      </c>
      <c r="M112" s="61" t="s">
        <v>617</v>
      </c>
      <c r="N112" s="149">
        <v>14</v>
      </c>
      <c r="O112" s="149">
        <v>15</v>
      </c>
      <c r="P112" s="61" t="s">
        <v>567</v>
      </c>
      <c r="Q112" s="61" t="s">
        <v>566</v>
      </c>
      <c r="R112" s="61">
        <v>50.037932599999998</v>
      </c>
      <c r="S112" s="61">
        <v>8.5621518000000005</v>
      </c>
      <c r="T112" s="61">
        <v>467.15100000000001</v>
      </c>
      <c r="U112" s="61" t="s">
        <v>617</v>
      </c>
      <c r="V112" s="61" t="s">
        <v>617</v>
      </c>
      <c r="W112" s="61"/>
      <c r="Y112" s="137">
        <f>Summary_LCIA!H$32</f>
        <v>0.33979999999999999</v>
      </c>
      <c r="Z112" s="137">
        <f>Summary_LCIA!Q$32</f>
        <v>4.9560504329999997</v>
      </c>
      <c r="AA112" s="137">
        <f>Summary_LCIA!R$32</f>
        <v>5.2655999999999996E-3</v>
      </c>
      <c r="AB112" s="137">
        <f>Summary_LCIA!S$32</f>
        <v>0.33538000000000001</v>
      </c>
      <c r="AC112" s="137">
        <f>Summary_LCIA!T$32</f>
        <v>0.1099</v>
      </c>
      <c r="AD112" s="137">
        <f>Summary_LCIA!U$32</f>
        <v>1.7913999999999999E-2</v>
      </c>
      <c r="AE112" s="137">
        <f>Summary_LCIA!V$32</f>
        <v>4.7760999999999999E-5</v>
      </c>
      <c r="AF112" s="137">
        <f>Summary_LCIA!W$32</f>
        <v>7.6970999999999998E-2</v>
      </c>
      <c r="AG112" s="137">
        <f>Summary_LCIA!X$32</f>
        <v>2.2780000000000002E-2</v>
      </c>
      <c r="AH112" s="137">
        <f>Summary_LCIA!Y$32</f>
        <v>1.5582E-2</v>
      </c>
      <c r="AI112" s="137">
        <f>Summary_LCIA!Z$32</f>
        <v>4.1009E-5</v>
      </c>
      <c r="AJ112" s="137">
        <f>Summary_LCIA!AA$32</f>
        <v>2.3355999999999998E-2</v>
      </c>
      <c r="AK112" s="137">
        <f>Summary_LCIA!AB$32</f>
        <v>-2.1823000000000001E-5</v>
      </c>
      <c r="AL112" s="137">
        <f>Summary_LCIA!AC$32</f>
        <v>4.8884000000000003E-8</v>
      </c>
      <c r="AM112" s="137">
        <f>Summary_LCIA!AD$32</f>
        <v>4.1103999999999999E-4</v>
      </c>
      <c r="AN112" s="137">
        <f>Summary_LCIA!AE$32</f>
        <v>8.8612999999999995E-4</v>
      </c>
      <c r="AO112" s="137">
        <f>Summary_LCIA!AF$32</f>
        <v>8.4542000000000005E-4</v>
      </c>
      <c r="AP112" s="137">
        <f>Summary_LCIA!AG$32</f>
        <v>5.1165000000000002E-5</v>
      </c>
      <c r="AQ112" s="137">
        <f>Summary_LCIA!AH$32</f>
        <v>8.7036000000000006E-3</v>
      </c>
      <c r="AR112" s="137">
        <f>Summary_LCIA!AI$32</f>
        <v>9.3154999999999996E-4</v>
      </c>
      <c r="AT112" s="137">
        <f t="shared" si="23"/>
        <v>158.73790980000001</v>
      </c>
      <c r="AU112" s="137">
        <f>$T112*Z112</f>
        <v>2315.2239158263828</v>
      </c>
      <c r="AV112" s="137">
        <f t="shared" si="36"/>
        <v>2.4598303055999997</v>
      </c>
      <c r="AW112" s="137">
        <f t="shared" si="37"/>
        <v>156.67310238000002</v>
      </c>
      <c r="AX112" s="137">
        <f t="shared" si="38"/>
        <v>51.339894899999997</v>
      </c>
      <c r="AY112" s="137">
        <f t="shared" si="39"/>
        <v>8.3685430140000001</v>
      </c>
      <c r="AZ112" s="137">
        <f t="shared" si="40"/>
        <v>2.2311598911E-2</v>
      </c>
      <c r="BA112" s="137">
        <f t="shared" si="41"/>
        <v>35.957079620999998</v>
      </c>
      <c r="BB112" s="137">
        <f t="shared" si="42"/>
        <v>10.641699780000001</v>
      </c>
      <c r="BC112" s="137">
        <f t="shared" si="24"/>
        <v>7.279146882</v>
      </c>
      <c r="BD112" s="137">
        <f t="shared" si="25"/>
        <v>1.9157395359000001E-2</v>
      </c>
      <c r="BE112" s="137">
        <f t="shared" si="26"/>
        <v>10.910778755999999</v>
      </c>
      <c r="BF112" s="137">
        <f t="shared" si="27"/>
        <v>-1.0194636273000001E-2</v>
      </c>
      <c r="BG112" s="137">
        <f t="shared" si="28"/>
        <v>2.2836209484000001E-5</v>
      </c>
      <c r="BH112" s="137">
        <f t="shared" si="29"/>
        <v>0.19201774703999999</v>
      </c>
      <c r="BI112" s="137">
        <f t="shared" si="30"/>
        <v>0.41395651562999997</v>
      </c>
      <c r="BJ112" s="137">
        <f t="shared" si="31"/>
        <v>0.39493879842000001</v>
      </c>
      <c r="BK112" s="137">
        <f t="shared" si="32"/>
        <v>2.3901780915E-2</v>
      </c>
      <c r="BL112" s="137">
        <f t="shared" si="33"/>
        <v>4.0658954436000005</v>
      </c>
      <c r="BM112" s="137">
        <f t="shared" si="34"/>
        <v>0.43517451405000002</v>
      </c>
    </row>
    <row r="113" spans="1:65" x14ac:dyDescent="0.25">
      <c r="A113" s="149">
        <v>324</v>
      </c>
      <c r="B113" s="149">
        <v>43</v>
      </c>
      <c r="C113" s="61">
        <v>43.142994000000002</v>
      </c>
      <c r="D113" s="61">
        <v>-77.544745000000006</v>
      </c>
      <c r="E113" s="61" t="s">
        <v>265</v>
      </c>
      <c r="F113" s="149">
        <v>120</v>
      </c>
      <c r="G113" s="61" t="s">
        <v>625</v>
      </c>
      <c r="H113" s="61" t="s">
        <v>626</v>
      </c>
      <c r="I113" s="61">
        <v>42.939706000000001</v>
      </c>
      <c r="J113" s="61">
        <v>-78.729506999999998</v>
      </c>
      <c r="K113" s="61">
        <v>105.8161415</v>
      </c>
      <c r="L113" s="61">
        <v>109.876</v>
      </c>
      <c r="M113" s="61" t="s">
        <v>617</v>
      </c>
      <c r="N113" s="149">
        <v>42</v>
      </c>
      <c r="O113" s="149">
        <v>43</v>
      </c>
      <c r="P113" s="61" t="s">
        <v>565</v>
      </c>
      <c r="Q113" s="61" t="s">
        <v>555</v>
      </c>
      <c r="R113" s="61">
        <v>40.6895314</v>
      </c>
      <c r="S113" s="61">
        <v>-74.174462399999996</v>
      </c>
      <c r="T113" s="61">
        <v>527.03300000000002</v>
      </c>
      <c r="U113" s="61" t="s">
        <v>617</v>
      </c>
      <c r="V113" s="61" t="s">
        <v>569</v>
      </c>
      <c r="W113" s="61" cm="1">
        <f t="array" ref="W113">getDistance(I113,J113,R113,S113)*SA!$B$12</f>
        <v>453.70669460993366</v>
      </c>
      <c r="Y113" s="137">
        <f>Transportation_LCIA!C$61*($W113^Transportation_LCIA!C$60)+Transportation_LCIA!C$62</f>
        <v>0.35179822030380453</v>
      </c>
      <c r="Z113" s="137">
        <f>Transportation_LCIA!D$61*($W113^Transportation_LCIA!D$60)+Transportation_LCIA!D$62</f>
        <v>3.8038685240383758</v>
      </c>
      <c r="AA113" s="137">
        <f>Transportation_LCIA!E$61*($W113^Transportation_LCIA!E$60)+Transportation_LCIA!E$62</f>
        <v>2.0553796700765819E-3</v>
      </c>
      <c r="AB113" s="137">
        <f>Transportation_LCIA!F$61*($W113^Transportation_LCIA!F$60)+Transportation_LCIA!F$62</f>
        <v>0.35179822030380453</v>
      </c>
      <c r="AC113" s="137">
        <f>Transportation_LCIA!G$61*($W113^Transportation_LCIA!G$60)+Transportation_LCIA!G$62</f>
        <v>8.8542301175389054E-2</v>
      </c>
      <c r="AD113" s="137">
        <f>Transportation_LCIA!H$61*($W113^Transportation_LCIA!H$60)+Transportation_LCIA!H$62</f>
        <v>4.7924680402862424E-4</v>
      </c>
      <c r="AE113" s="137">
        <f>Transportation_LCIA!I$61*($W113^Transportation_LCIA!I$60)+Transportation_LCIA!I$62</f>
        <v>1.1104359431323201E-5</v>
      </c>
      <c r="AF113" s="137">
        <f>Transportation_LCIA!J$61*($W113^Transportation_LCIA!J$60)+Transportation_LCIA!J$62</f>
        <v>1.6569820845191208E-2</v>
      </c>
      <c r="AG113" s="137">
        <f>Transportation_LCIA!K$61*($W113^Transportation_LCIA!K$60)+Transportation_LCIA!K$62</f>
        <v>1.9564708397539259E-2</v>
      </c>
      <c r="AH113" s="137">
        <f>Transportation_LCIA!L$61*($W113^Transportation_LCIA!L$60)+Transportation_LCIA!L$62</f>
        <v>4.2690866521771174E-4</v>
      </c>
      <c r="AI113" s="137">
        <f>Transportation_LCIA!M$61*($W113^Transportation_LCIA!M$60)+Transportation_LCIA!M$62</f>
        <v>3.5540325219174092E-4</v>
      </c>
      <c r="AJ113" s="137">
        <f>Transportation_LCIA!N$61*($W113^Transportation_LCIA!N$60)+Transportation_LCIA!N$62</f>
        <v>1.6696019563166051E-3</v>
      </c>
      <c r="AK113" s="137">
        <f>Transportation_LCIA!O$61*($W113^Transportation_LCIA!O$60)+Transportation_LCIA!O$62</f>
        <v>9.376926172545552E-5</v>
      </c>
      <c r="AL113" s="137">
        <f>Transportation_LCIA!P$61*($W113^Transportation_LCIA!P$60)+Transportation_LCIA!P$62</f>
        <v>4.5229183914951175E-8</v>
      </c>
      <c r="AM113" s="137">
        <f>Transportation_LCIA!Q$61*($W113^Transportation_LCIA!Q$60)+Transportation_LCIA!Q$62</f>
        <v>1.6827410039877645E-4</v>
      </c>
      <c r="AN113" s="137">
        <f>Transportation_LCIA!R$61*($W113^Transportation_LCIA!R$60)+Transportation_LCIA!R$62</f>
        <v>5.3343299418952066E-4</v>
      </c>
      <c r="AO113" s="137">
        <f>Transportation_LCIA!S$61*($W113^Transportation_LCIA!S$60)+Transportation_LCIA!S$62</f>
        <v>7.8252838449889344E-6</v>
      </c>
      <c r="AP113" s="137">
        <f>Transportation_LCIA!T$61*($W113^Transportation_LCIA!T$60)+Transportation_LCIA!T$62</f>
        <v>7.8252838449889344E-6</v>
      </c>
      <c r="AQ113" s="137">
        <f>Transportation_LCIA!U$61*($W113^Transportation_LCIA!U$60)+Transportation_LCIA!U$62</f>
        <v>1.1583001340676898E-3</v>
      </c>
      <c r="AR113" s="137">
        <f>Transportation_LCIA!V$61*($W113^Transportation_LCIA!V$60)+Transportation_LCIA!V$62</f>
        <v>4.3832947018607746E-4</v>
      </c>
      <c r="AT113" s="137">
        <f>$W113*Y113+$L113*Summary_LCIA!H$32</f>
        <v>196.94907250369641</v>
      </c>
      <c r="AU113" s="137">
        <f>$W113*Z113+$L113*Summary_LCIA!Q$32</f>
        <v>2270.3916121485263</v>
      </c>
      <c r="AV113" s="137">
        <f>$W113*AA113+$L113*Summary_LCIA!R$32</f>
        <v>1.5111025818789021</v>
      </c>
      <c r="AW113" s="137">
        <f>$W113*AB113+$L113*Summary_LCIA!S$32</f>
        <v>196.4634205836964</v>
      </c>
      <c r="AX113" s="137">
        <f>$W113*AC113+$L113*Summary_LCIA!T$32</f>
        <v>52.24760719944301</v>
      </c>
      <c r="AY113" s="137">
        <f>$W113*AD113+$L113*Summary_LCIA!U$32</f>
        <v>2.1857561473582017</v>
      </c>
      <c r="AZ113" s="137">
        <f>$W113*AE113+$L113*Summary_LCIA!V$32</f>
        <v>1.0285909849346292E-2</v>
      </c>
      <c r="BA113" s="137">
        <f>$W113*AF113+$L113*Summary_LCIA!W$32</f>
        <v>15.975104241950481</v>
      </c>
      <c r="BB113" s="137">
        <f>$W113*AG113+$L113*Summary_LCIA!X$32</f>
        <v>11.37961445805475</v>
      </c>
      <c r="BC113" s="137">
        <f>$W113*AH113+$L113*Summary_LCIA!Y$32</f>
        <v>1.905779151396267</v>
      </c>
      <c r="BD113" s="137">
        <f>$W113*AI113+$L113*Summary_LCIA!Z$32</f>
        <v>0.16575473968953541</v>
      </c>
      <c r="BE113" s="137">
        <f>$W113*AJ113+$L113*Summary_LCIA!AA$32</f>
        <v>3.3237734409146857</v>
      </c>
      <c r="BF113" s="137">
        <f>$W113*AK113+$L113*Summary_LCIA!AB$32</f>
        <v>4.014591784547019E-2</v>
      </c>
      <c r="BG113" s="137">
        <f>$W113*AL113+$L113*Summary_LCIA!AC$32</f>
        <v>2.5891961917957278E-5</v>
      </c>
      <c r="BH113" s="137">
        <f>$W113*AM113+$L113*Summary_LCIA!AD$32</f>
        <v>0.12151051692038897</v>
      </c>
      <c r="BI113" s="137">
        <f>$W113*AN113+$L113*Summary_LCIA!AE$32</f>
        <v>0.33938654046960737</v>
      </c>
      <c r="BJ113" s="137">
        <f>$W113*AO113+$L113*Summary_LCIA!AF$32</f>
        <v>9.6441751587694455E-2</v>
      </c>
      <c r="BK113" s="137">
        <f>$W113*AP113+$L113*Summary_LCIA!AG$32</f>
        <v>9.1721892076944422E-3</v>
      </c>
      <c r="BL113" s="137">
        <f>$W113*AQ113+$L113*Summary_LCIA!AH$32</f>
        <v>1.4818452787940948</v>
      </c>
      <c r="BM113" s="137">
        <f>$W113*AR113+$L113*Summary_LCIA!AI$32</f>
        <v>0.30122800286824869</v>
      </c>
    </row>
    <row r="114" spans="1:65" x14ac:dyDescent="0.25">
      <c r="A114" s="149">
        <v>10</v>
      </c>
      <c r="B114" s="149">
        <v>43</v>
      </c>
      <c r="C114" s="61">
        <v>43.083925000000001</v>
      </c>
      <c r="D114" s="61">
        <v>-77.674614000000005</v>
      </c>
      <c r="E114" s="61" t="s">
        <v>265</v>
      </c>
      <c r="F114" s="149">
        <v>120</v>
      </c>
      <c r="G114" s="61" t="s">
        <v>625</v>
      </c>
      <c r="H114" s="61" t="s">
        <v>626</v>
      </c>
      <c r="I114" s="61">
        <v>42.939706000000001</v>
      </c>
      <c r="J114" s="61">
        <v>-78.729506999999998</v>
      </c>
      <c r="K114" s="61">
        <v>92.065719849999994</v>
      </c>
      <c r="L114" s="61">
        <v>101.642</v>
      </c>
      <c r="M114" s="61" t="s">
        <v>617</v>
      </c>
      <c r="N114" s="149">
        <v>42</v>
      </c>
      <c r="O114" s="149">
        <v>43</v>
      </c>
      <c r="P114" s="61" t="s">
        <v>565</v>
      </c>
      <c r="Q114" s="61" t="s">
        <v>555</v>
      </c>
      <c r="R114" s="61">
        <v>40.6895314</v>
      </c>
      <c r="S114" s="61">
        <v>-74.174462399999996</v>
      </c>
      <c r="T114" s="61">
        <v>534.476</v>
      </c>
      <c r="U114" s="61" t="s">
        <v>617</v>
      </c>
      <c r="V114" s="61" t="s">
        <v>569</v>
      </c>
      <c r="W114" s="61" cm="1">
        <f t="array" ref="W114">getDistance(I114,J114,R114,S114)*SA!$B$12</f>
        <v>453.70669460993366</v>
      </c>
      <c r="Y114" s="137">
        <f>Transportation_LCIA!C$61*($W114^Transportation_LCIA!C$60)+Transportation_LCIA!C$62</f>
        <v>0.35179822030380453</v>
      </c>
      <c r="Z114" s="137">
        <f>Transportation_LCIA!D$61*($W114^Transportation_LCIA!D$60)+Transportation_LCIA!D$62</f>
        <v>3.8038685240383758</v>
      </c>
      <c r="AA114" s="137">
        <f>Transportation_LCIA!E$61*($W114^Transportation_LCIA!E$60)+Transportation_LCIA!E$62</f>
        <v>2.0553796700765819E-3</v>
      </c>
      <c r="AB114" s="137">
        <f>Transportation_LCIA!F$61*($W114^Transportation_LCIA!F$60)+Transportation_LCIA!F$62</f>
        <v>0.35179822030380453</v>
      </c>
      <c r="AC114" s="137">
        <f>Transportation_LCIA!G$61*($W114^Transportation_LCIA!G$60)+Transportation_LCIA!G$62</f>
        <v>8.8542301175389054E-2</v>
      </c>
      <c r="AD114" s="137">
        <f>Transportation_LCIA!H$61*($W114^Transportation_LCIA!H$60)+Transportation_LCIA!H$62</f>
        <v>4.7924680402862424E-4</v>
      </c>
      <c r="AE114" s="137">
        <f>Transportation_LCIA!I$61*($W114^Transportation_LCIA!I$60)+Transportation_LCIA!I$62</f>
        <v>1.1104359431323201E-5</v>
      </c>
      <c r="AF114" s="137">
        <f>Transportation_LCIA!J$61*($W114^Transportation_LCIA!J$60)+Transportation_LCIA!J$62</f>
        <v>1.6569820845191208E-2</v>
      </c>
      <c r="AG114" s="137">
        <f>Transportation_LCIA!K$61*($W114^Transportation_LCIA!K$60)+Transportation_LCIA!K$62</f>
        <v>1.9564708397539259E-2</v>
      </c>
      <c r="AH114" s="137">
        <f>Transportation_LCIA!L$61*($W114^Transportation_LCIA!L$60)+Transportation_LCIA!L$62</f>
        <v>4.2690866521771174E-4</v>
      </c>
      <c r="AI114" s="137">
        <f>Transportation_LCIA!M$61*($W114^Transportation_LCIA!M$60)+Transportation_LCIA!M$62</f>
        <v>3.5540325219174092E-4</v>
      </c>
      <c r="AJ114" s="137">
        <f>Transportation_LCIA!N$61*($W114^Transportation_LCIA!N$60)+Transportation_LCIA!N$62</f>
        <v>1.6696019563166051E-3</v>
      </c>
      <c r="AK114" s="137">
        <f>Transportation_LCIA!O$61*($W114^Transportation_LCIA!O$60)+Transportation_LCIA!O$62</f>
        <v>9.376926172545552E-5</v>
      </c>
      <c r="AL114" s="137">
        <f>Transportation_LCIA!P$61*($W114^Transportation_LCIA!P$60)+Transportation_LCIA!P$62</f>
        <v>4.5229183914951175E-8</v>
      </c>
      <c r="AM114" s="137">
        <f>Transportation_LCIA!Q$61*($W114^Transportation_LCIA!Q$60)+Transportation_LCIA!Q$62</f>
        <v>1.6827410039877645E-4</v>
      </c>
      <c r="AN114" s="137">
        <f>Transportation_LCIA!R$61*($W114^Transportation_LCIA!R$60)+Transportation_LCIA!R$62</f>
        <v>5.3343299418952066E-4</v>
      </c>
      <c r="AO114" s="137">
        <f>Transportation_LCIA!S$61*($W114^Transportation_LCIA!S$60)+Transportation_LCIA!S$62</f>
        <v>7.8252838449889344E-6</v>
      </c>
      <c r="AP114" s="137">
        <f>Transportation_LCIA!T$61*($W114^Transportation_LCIA!T$60)+Transportation_LCIA!T$62</f>
        <v>7.8252838449889344E-6</v>
      </c>
      <c r="AQ114" s="137">
        <f>Transportation_LCIA!U$61*($W114^Transportation_LCIA!U$60)+Transportation_LCIA!U$62</f>
        <v>1.1583001340676898E-3</v>
      </c>
      <c r="AR114" s="137">
        <f>Transportation_LCIA!V$61*($W114^Transportation_LCIA!V$60)+Transportation_LCIA!V$62</f>
        <v>4.3832947018607746E-4</v>
      </c>
      <c r="AT114" s="137">
        <f>$W114*Y114+$L114*Summary_LCIA!H$32</f>
        <v>194.15115930369643</v>
      </c>
      <c r="AU114" s="137">
        <f>$W114*Z114+$L114*Summary_LCIA!Q$32</f>
        <v>2229.5834928832046</v>
      </c>
      <c r="AV114" s="137">
        <f>$W114*AA114+$L114*Summary_LCIA!R$32</f>
        <v>1.4677456314789019</v>
      </c>
      <c r="AW114" s="137">
        <f>$W114*AB114+$L114*Summary_LCIA!S$32</f>
        <v>193.70190166369642</v>
      </c>
      <c r="AX114" s="137">
        <f>$W114*AC114+$L114*Summary_LCIA!T$32</f>
        <v>51.34269059944301</v>
      </c>
      <c r="AY114" s="137">
        <f>$W114*AD114+$L114*Summary_LCIA!U$32</f>
        <v>2.0382522713582016</v>
      </c>
      <c r="AZ114" s="137">
        <f>$W114*AE114+$L114*Summary_LCIA!V$32</f>
        <v>9.8926457753462926E-3</v>
      </c>
      <c r="BA114" s="137">
        <f>$W114*AF114+$L114*Summary_LCIA!W$32</f>
        <v>15.341325027950479</v>
      </c>
      <c r="BB114" s="137">
        <f>$W114*AG114+$L114*Summary_LCIA!X$32</f>
        <v>11.192043938054749</v>
      </c>
      <c r="BC114" s="137">
        <f>$W114*AH114+$L114*Summary_LCIA!Y$32</f>
        <v>1.7774769633962668</v>
      </c>
      <c r="BD114" s="137">
        <f>$W114*AI114+$L114*Summary_LCIA!Z$32</f>
        <v>0.16541707158353541</v>
      </c>
      <c r="BE114" s="137">
        <f>$W114*AJ114+$L114*Summary_LCIA!AA$32</f>
        <v>3.1314601369146855</v>
      </c>
      <c r="BF114" s="137">
        <f>$W114*AK114+$L114*Summary_LCIA!AB$32</f>
        <v>4.032560842747019E-2</v>
      </c>
      <c r="BG114" s="137">
        <f>$W114*AL114+$L114*Summary_LCIA!AC$32</f>
        <v>2.5489451061957275E-5</v>
      </c>
      <c r="BH114" s="137">
        <f>$W114*AM114+$L114*Summary_LCIA!AD$32</f>
        <v>0.11812601356038899</v>
      </c>
      <c r="BI114" s="137">
        <f>$W114*AN114+$L114*Summary_LCIA!AE$32</f>
        <v>0.33209014604960735</v>
      </c>
      <c r="BJ114" s="137">
        <f>$W114*AO114+$L114*Summary_LCIA!AF$32</f>
        <v>8.9480563307694452E-2</v>
      </c>
      <c r="BK114" s="137">
        <f>$W114*AP114+$L114*Summary_LCIA!AG$32</f>
        <v>8.7508965976944419E-3</v>
      </c>
      <c r="BL114" s="137">
        <f>$W114*AQ114+$L114*Summary_LCIA!AH$32</f>
        <v>1.4101798363940947</v>
      </c>
      <c r="BM114" s="137">
        <f>$W114*AR114+$L114*Summary_LCIA!AI$32</f>
        <v>0.29355762016824866</v>
      </c>
    </row>
    <row r="115" spans="1:65" x14ac:dyDescent="0.25">
      <c r="A115" s="149">
        <v>11</v>
      </c>
      <c r="B115" s="149">
        <v>43</v>
      </c>
      <c r="C115" s="61">
        <v>43.083925000000001</v>
      </c>
      <c r="D115" s="61">
        <v>-77.674614000000005</v>
      </c>
      <c r="E115" s="61" t="s">
        <v>265</v>
      </c>
      <c r="F115" s="149">
        <v>120</v>
      </c>
      <c r="G115" s="61" t="s">
        <v>625</v>
      </c>
      <c r="H115" s="61" t="s">
        <v>626</v>
      </c>
      <c r="I115" s="61">
        <v>42.939706000000001</v>
      </c>
      <c r="J115" s="61">
        <v>-78.729506999999998</v>
      </c>
      <c r="K115" s="61">
        <v>92.065719849999994</v>
      </c>
      <c r="L115" s="61">
        <v>101.642</v>
      </c>
      <c r="M115" s="61" t="s">
        <v>617</v>
      </c>
      <c r="N115" s="149">
        <v>42</v>
      </c>
      <c r="O115" s="149">
        <v>43</v>
      </c>
      <c r="P115" s="61" t="s">
        <v>565</v>
      </c>
      <c r="Q115" s="61" t="s">
        <v>555</v>
      </c>
      <c r="R115" s="61">
        <v>40.6895314</v>
      </c>
      <c r="S115" s="61">
        <v>-74.174462399999996</v>
      </c>
      <c r="T115" s="61">
        <v>534.476</v>
      </c>
      <c r="U115" s="61" t="s">
        <v>617</v>
      </c>
      <c r="V115" s="61" t="s">
        <v>569</v>
      </c>
      <c r="W115" s="61" cm="1">
        <f t="array" ref="W115">getDistance(I115,J115,R115,S115)*SA!$B$12</f>
        <v>453.70669460993366</v>
      </c>
      <c r="Y115" s="137">
        <f>Transportation_LCIA!C$61*($W115^Transportation_LCIA!C$60)+Transportation_LCIA!C$62</f>
        <v>0.35179822030380453</v>
      </c>
      <c r="Z115" s="137">
        <f>Transportation_LCIA!D$61*($W115^Transportation_LCIA!D$60)+Transportation_LCIA!D$62</f>
        <v>3.8038685240383758</v>
      </c>
      <c r="AA115" s="137">
        <f>Transportation_LCIA!E$61*($W115^Transportation_LCIA!E$60)+Transportation_LCIA!E$62</f>
        <v>2.0553796700765819E-3</v>
      </c>
      <c r="AB115" s="137">
        <f>Transportation_LCIA!F$61*($W115^Transportation_LCIA!F$60)+Transportation_LCIA!F$62</f>
        <v>0.35179822030380453</v>
      </c>
      <c r="AC115" s="137">
        <f>Transportation_LCIA!G$61*($W115^Transportation_LCIA!G$60)+Transportation_LCIA!G$62</f>
        <v>8.8542301175389054E-2</v>
      </c>
      <c r="AD115" s="137">
        <f>Transportation_LCIA!H$61*($W115^Transportation_LCIA!H$60)+Transportation_LCIA!H$62</f>
        <v>4.7924680402862424E-4</v>
      </c>
      <c r="AE115" s="137">
        <f>Transportation_LCIA!I$61*($W115^Transportation_LCIA!I$60)+Transportation_LCIA!I$62</f>
        <v>1.1104359431323201E-5</v>
      </c>
      <c r="AF115" s="137">
        <f>Transportation_LCIA!J$61*($W115^Transportation_LCIA!J$60)+Transportation_LCIA!J$62</f>
        <v>1.6569820845191208E-2</v>
      </c>
      <c r="AG115" s="137">
        <f>Transportation_LCIA!K$61*($W115^Transportation_LCIA!K$60)+Transportation_LCIA!K$62</f>
        <v>1.9564708397539259E-2</v>
      </c>
      <c r="AH115" s="137">
        <f>Transportation_LCIA!L$61*($W115^Transportation_LCIA!L$60)+Transportation_LCIA!L$62</f>
        <v>4.2690866521771174E-4</v>
      </c>
      <c r="AI115" s="137">
        <f>Transportation_LCIA!M$61*($W115^Transportation_LCIA!M$60)+Transportation_LCIA!M$62</f>
        <v>3.5540325219174092E-4</v>
      </c>
      <c r="AJ115" s="137">
        <f>Transportation_LCIA!N$61*($W115^Transportation_LCIA!N$60)+Transportation_LCIA!N$62</f>
        <v>1.6696019563166051E-3</v>
      </c>
      <c r="AK115" s="137">
        <f>Transportation_LCIA!O$61*($W115^Transportation_LCIA!O$60)+Transportation_LCIA!O$62</f>
        <v>9.376926172545552E-5</v>
      </c>
      <c r="AL115" s="137">
        <f>Transportation_LCIA!P$61*($W115^Transportation_LCIA!P$60)+Transportation_LCIA!P$62</f>
        <v>4.5229183914951175E-8</v>
      </c>
      <c r="AM115" s="137">
        <f>Transportation_LCIA!Q$61*($W115^Transportation_LCIA!Q$60)+Transportation_LCIA!Q$62</f>
        <v>1.6827410039877645E-4</v>
      </c>
      <c r="AN115" s="137">
        <f>Transportation_LCIA!R$61*($W115^Transportation_LCIA!R$60)+Transportation_LCIA!R$62</f>
        <v>5.3343299418952066E-4</v>
      </c>
      <c r="AO115" s="137">
        <f>Transportation_LCIA!S$61*($W115^Transportation_LCIA!S$60)+Transportation_LCIA!S$62</f>
        <v>7.8252838449889344E-6</v>
      </c>
      <c r="AP115" s="137">
        <f>Transportation_LCIA!T$61*($W115^Transportation_LCIA!T$60)+Transportation_LCIA!T$62</f>
        <v>7.8252838449889344E-6</v>
      </c>
      <c r="AQ115" s="137">
        <f>Transportation_LCIA!U$61*($W115^Transportation_LCIA!U$60)+Transportation_LCIA!U$62</f>
        <v>1.1583001340676898E-3</v>
      </c>
      <c r="AR115" s="137">
        <f>Transportation_LCIA!V$61*($W115^Transportation_LCIA!V$60)+Transportation_LCIA!V$62</f>
        <v>4.3832947018607746E-4</v>
      </c>
      <c r="AT115" s="137">
        <f>$W115*Y115+$L115*Summary_LCIA!H$32</f>
        <v>194.15115930369643</v>
      </c>
      <c r="AU115" s="137">
        <f>$W115*Z115+$L115*Summary_LCIA!Q$32</f>
        <v>2229.5834928832046</v>
      </c>
      <c r="AV115" s="137">
        <f>$W115*AA115+$L115*Summary_LCIA!R$32</f>
        <v>1.4677456314789019</v>
      </c>
      <c r="AW115" s="137">
        <f>$W115*AB115+$L115*Summary_LCIA!S$32</f>
        <v>193.70190166369642</v>
      </c>
      <c r="AX115" s="137">
        <f>$W115*AC115+$L115*Summary_LCIA!T$32</f>
        <v>51.34269059944301</v>
      </c>
      <c r="AY115" s="137">
        <f>$W115*AD115+$L115*Summary_LCIA!U$32</f>
        <v>2.0382522713582016</v>
      </c>
      <c r="AZ115" s="137">
        <f>$W115*AE115+$L115*Summary_LCIA!V$32</f>
        <v>9.8926457753462926E-3</v>
      </c>
      <c r="BA115" s="137">
        <f>$W115*AF115+$L115*Summary_LCIA!W$32</f>
        <v>15.341325027950479</v>
      </c>
      <c r="BB115" s="137">
        <f>$W115*AG115+$L115*Summary_LCIA!X$32</f>
        <v>11.192043938054749</v>
      </c>
      <c r="BC115" s="137">
        <f>$W115*AH115+$L115*Summary_LCIA!Y$32</f>
        <v>1.7774769633962668</v>
      </c>
      <c r="BD115" s="137">
        <f>$W115*AI115+$L115*Summary_LCIA!Z$32</f>
        <v>0.16541707158353541</v>
      </c>
      <c r="BE115" s="137">
        <f>$W115*AJ115+$L115*Summary_LCIA!AA$32</f>
        <v>3.1314601369146855</v>
      </c>
      <c r="BF115" s="137">
        <f>$W115*AK115+$L115*Summary_LCIA!AB$32</f>
        <v>4.032560842747019E-2</v>
      </c>
      <c r="BG115" s="137">
        <f>$W115*AL115+$L115*Summary_LCIA!AC$32</f>
        <v>2.5489451061957275E-5</v>
      </c>
      <c r="BH115" s="137">
        <f>$W115*AM115+$L115*Summary_LCIA!AD$32</f>
        <v>0.11812601356038899</v>
      </c>
      <c r="BI115" s="137">
        <f>$W115*AN115+$L115*Summary_LCIA!AE$32</f>
        <v>0.33209014604960735</v>
      </c>
      <c r="BJ115" s="137">
        <f>$W115*AO115+$L115*Summary_LCIA!AF$32</f>
        <v>8.9480563307694452E-2</v>
      </c>
      <c r="BK115" s="137">
        <f>$W115*AP115+$L115*Summary_LCIA!AG$32</f>
        <v>8.7508965976944419E-3</v>
      </c>
      <c r="BL115" s="137">
        <f>$W115*AQ115+$L115*Summary_LCIA!AH$32</f>
        <v>1.4101798363940947</v>
      </c>
      <c r="BM115" s="137">
        <f>$W115*AR115+$L115*Summary_LCIA!AI$32</f>
        <v>0.29355762016824866</v>
      </c>
    </row>
    <row r="116" spans="1:65" x14ac:dyDescent="0.25">
      <c r="A116" s="149">
        <v>234</v>
      </c>
      <c r="B116" s="149">
        <v>43</v>
      </c>
      <c r="C116" s="61">
        <v>40.324514000000001</v>
      </c>
      <c r="D116" s="61">
        <v>-79.701155</v>
      </c>
      <c r="E116" s="61" t="s">
        <v>265</v>
      </c>
      <c r="F116" s="149">
        <v>106</v>
      </c>
      <c r="G116" s="61" t="s">
        <v>266</v>
      </c>
      <c r="H116" s="61" t="s">
        <v>669</v>
      </c>
      <c r="I116" s="61">
        <v>40.491920999999998</v>
      </c>
      <c r="J116" s="61">
        <v>-80.235223000000005</v>
      </c>
      <c r="K116" s="61">
        <v>50.994779719999997</v>
      </c>
      <c r="L116" s="61">
        <v>71.013000000000005</v>
      </c>
      <c r="M116" s="61" t="s">
        <v>617</v>
      </c>
      <c r="N116" s="149">
        <v>42</v>
      </c>
      <c r="O116" s="149">
        <v>43</v>
      </c>
      <c r="P116" s="61" t="s">
        <v>565</v>
      </c>
      <c r="Q116" s="61" t="s">
        <v>555</v>
      </c>
      <c r="R116" s="61">
        <v>40.6895314</v>
      </c>
      <c r="S116" s="61">
        <v>-74.174462399999996</v>
      </c>
      <c r="T116" s="61">
        <v>542.74</v>
      </c>
      <c r="U116" s="61" t="s">
        <v>617</v>
      </c>
      <c r="V116" s="61" t="s">
        <v>569</v>
      </c>
      <c r="W116" s="61" cm="1">
        <f t="array" ref="W116">getDistance(I116,J116,R116,S116)*SA!$B$12</f>
        <v>513.433583839015</v>
      </c>
      <c r="Y116" s="137">
        <f>Transportation_LCIA!C$61*($W116^Transportation_LCIA!C$60)+Transportation_LCIA!C$62</f>
        <v>0.32815716511039528</v>
      </c>
      <c r="Z116" s="137">
        <f>Transportation_LCIA!D$61*($W116^Transportation_LCIA!D$60)+Transportation_LCIA!D$62</f>
        <v>3.5191542163843881</v>
      </c>
      <c r="AA116" s="137">
        <f>Transportation_LCIA!E$61*($W116^Transportation_LCIA!E$60)+Transportation_LCIA!E$62</f>
        <v>1.8665206810453132E-3</v>
      </c>
      <c r="AB116" s="137">
        <f>Transportation_LCIA!F$61*($W116^Transportation_LCIA!F$60)+Transportation_LCIA!F$62</f>
        <v>0.32815716511039528</v>
      </c>
      <c r="AC116" s="137">
        <f>Transportation_LCIA!G$61*($W116^Transportation_LCIA!G$60)+Transportation_LCIA!G$62</f>
        <v>8.1967302989677859E-2</v>
      </c>
      <c r="AD116" s="137">
        <f>Transportation_LCIA!H$61*($W116^Transportation_LCIA!H$60)+Transportation_LCIA!H$62</f>
        <v>4.3698853519291556E-4</v>
      </c>
      <c r="AE116" s="137">
        <f>Transportation_LCIA!I$61*($W116^Transportation_LCIA!I$60)+Transportation_LCIA!I$62</f>
        <v>1.0010201729396875E-5</v>
      </c>
      <c r="AF116" s="137">
        <f>Transportation_LCIA!J$61*($W116^Transportation_LCIA!J$60)+Transportation_LCIA!J$62</f>
        <v>1.4910087392935532E-2</v>
      </c>
      <c r="AG116" s="137">
        <f>Transportation_LCIA!K$61*($W116^Transportation_LCIA!K$60)+Transportation_LCIA!K$62</f>
        <v>1.8005284512120634E-2</v>
      </c>
      <c r="AH116" s="137">
        <f>Transportation_LCIA!L$61*($W116^Transportation_LCIA!L$60)+Transportation_LCIA!L$62</f>
        <v>3.8774642038002372E-4</v>
      </c>
      <c r="AI116" s="137">
        <f>Transportation_LCIA!M$61*($W116^Transportation_LCIA!M$60)+Transportation_LCIA!M$62</f>
        <v>3.3205908340433346E-4</v>
      </c>
      <c r="AJ116" s="137">
        <f>Transportation_LCIA!N$61*($W116^Transportation_LCIA!N$60)+Transportation_LCIA!N$62</f>
        <v>1.5278401037459809E-3</v>
      </c>
      <c r="AK116" s="137">
        <f>Transportation_LCIA!O$61*($W116^Transportation_LCIA!O$60)+Transportation_LCIA!O$62</f>
        <v>8.6776433969231709E-5</v>
      </c>
      <c r="AL116" s="137">
        <f>Transportation_LCIA!P$61*($W116^Transportation_LCIA!P$60)+Transportation_LCIA!P$62</f>
        <v>4.187496920977748E-8</v>
      </c>
      <c r="AM116" s="137">
        <f>Transportation_LCIA!Q$61*($W116^Transportation_LCIA!Q$60)+Transportation_LCIA!Q$62</f>
        <v>1.5289540886279419E-4</v>
      </c>
      <c r="AN116" s="137">
        <f>Transportation_LCIA!R$61*($W116^Transportation_LCIA!R$60)+Transportation_LCIA!R$62</f>
        <v>4.8092919779996581E-4</v>
      </c>
      <c r="AO116" s="137">
        <f>Transportation_LCIA!S$61*($W116^Transportation_LCIA!S$60)+Transportation_LCIA!S$62</f>
        <v>7.081081996143308E-6</v>
      </c>
      <c r="AP116" s="137">
        <f>Transportation_LCIA!T$61*($W116^Transportation_LCIA!T$60)+Transportation_LCIA!T$62</f>
        <v>7.081081996143308E-6</v>
      </c>
      <c r="AQ116" s="137">
        <f>Transportation_LCIA!U$61*($W116^Transportation_LCIA!U$60)+Transportation_LCIA!U$62</f>
        <v>1.0425420500377758E-3</v>
      </c>
      <c r="AR116" s="137">
        <f>Transportation_LCIA!V$61*($W116^Transportation_LCIA!V$60)+Transportation_LCIA!V$62</f>
        <v>3.9809863614409633E-4</v>
      </c>
      <c r="AT116" s="137">
        <f>$W116*Y116+$L116*Summary_LCIA!H$32</f>
        <v>192.61712674508161</v>
      </c>
      <c r="AU116" s="137">
        <f>$W116*Z116+$L116*Summary_LCIA!Q$32</f>
        <v>2158.7959707990458</v>
      </c>
      <c r="AV116" s="137">
        <f>$W116*AA116+$L116*Summary_LCIA!R$32</f>
        <v>1.3322604553787343</v>
      </c>
      <c r="AW116" s="137">
        <f>$W116*AB116+$L116*Summary_LCIA!S$32</f>
        <v>192.30324928508162</v>
      </c>
      <c r="AX116" s="137">
        <f>$W116*AC116+$L116*Summary_LCIA!T$32</f>
        <v>49.889094831608709</v>
      </c>
      <c r="AY116" s="137">
        <f>$W116*AD116+$L116*Summary_LCIA!U$32</f>
        <v>1.4964914717206601</v>
      </c>
      <c r="AZ116" s="137">
        <f>$W116*AE116+$L116*Summary_LCIA!V$32</f>
        <v>8.5312256418757434E-3</v>
      </c>
      <c r="BA116" s="137">
        <f>$W116*AF116+$L116*Summary_LCIA!W$32</f>
        <v>13.121281228507806</v>
      </c>
      <c r="BB116" s="137">
        <f>$W116*AG116+$L116*Summary_LCIA!X$32</f>
        <v>10.862193895099209</v>
      </c>
      <c r="BC116" s="137">
        <f>$W116*AH116+$L116*Summary_LCIA!Y$32</f>
        <v>1.305606600236465</v>
      </c>
      <c r="BD116" s="137">
        <f>$W116*AI116+$L116*Summary_LCIA!Z$32</f>
        <v>0.17340245735558532</v>
      </c>
      <c r="BE116" s="137">
        <f>$W116*AJ116+$L116*Summary_LCIA!AA$32</f>
        <v>2.4430240479992715</v>
      </c>
      <c r="BF116" s="137">
        <f>$W116*AK116+$L116*Summary_LCIA!AB$32</f>
        <v>4.3004218786592274E-2</v>
      </c>
      <c r="BG116" s="137">
        <f>$W116*AL116+$L116*Summary_LCIA!AC$32</f>
        <v>2.4971415006524458E-5</v>
      </c>
      <c r="BH116" s="137">
        <f>$W116*AM116+$L116*Summary_LCIA!AD$32</f>
        <v>0.10769082124495591</v>
      </c>
      <c r="BI116" s="137">
        <f>$W116*AN116+$L116*Summary_LCIA!AE$32</f>
        <v>0.30985195128925902</v>
      </c>
      <c r="BJ116" s="137">
        <f>$W116*AO116+$L116*Summary_LCIA!AF$32</f>
        <v>6.367147576673779E-2</v>
      </c>
      <c r="BK116" s="137">
        <f>$W116*AP116+$L116*Summary_LCIA!AG$32</f>
        <v>7.2690454517377852E-3</v>
      </c>
      <c r="BL116" s="137">
        <f>$W116*AQ116+$L116*Summary_LCIA!AH$32</f>
        <v>1.1533448478537691</v>
      </c>
      <c r="BM116" s="137">
        <f>$W116*AR116+$L116*Summary_LCIA!AI$32</f>
        <v>0.27054936962688741</v>
      </c>
    </row>
    <row r="117" spans="1:65" x14ac:dyDescent="0.25">
      <c r="A117" s="149">
        <v>231</v>
      </c>
      <c r="B117" s="149">
        <v>43</v>
      </c>
      <c r="C117" s="61">
        <v>40.356509000000003</v>
      </c>
      <c r="D117" s="61">
        <v>-79.919269999999997</v>
      </c>
      <c r="E117" s="61" t="s">
        <v>265</v>
      </c>
      <c r="F117" s="149">
        <v>106</v>
      </c>
      <c r="G117" s="61" t="s">
        <v>266</v>
      </c>
      <c r="H117" s="61" t="s">
        <v>669</v>
      </c>
      <c r="I117" s="61">
        <v>40.491920999999998</v>
      </c>
      <c r="J117" s="61">
        <v>-80.235223000000005</v>
      </c>
      <c r="K117" s="61">
        <v>33.240134609999998</v>
      </c>
      <c r="L117" s="61">
        <v>45.319000000000003</v>
      </c>
      <c r="M117" s="61" t="s">
        <v>617</v>
      </c>
      <c r="N117" s="149">
        <v>42</v>
      </c>
      <c r="O117" s="149">
        <v>43</v>
      </c>
      <c r="P117" s="61" t="s">
        <v>565</v>
      </c>
      <c r="Q117" s="61" t="s">
        <v>555</v>
      </c>
      <c r="R117" s="61">
        <v>40.6895314</v>
      </c>
      <c r="S117" s="61">
        <v>-74.174462399999996</v>
      </c>
      <c r="T117" s="61">
        <v>565.14300000000003</v>
      </c>
      <c r="U117" s="61" t="s">
        <v>617</v>
      </c>
      <c r="V117" s="61" t="s">
        <v>569</v>
      </c>
      <c r="W117" s="61" cm="1">
        <f t="array" ref="W117">getDistance(I117,J117,R117,S117)*SA!$B$12</f>
        <v>513.433583839015</v>
      </c>
      <c r="Y117" s="137">
        <f>Transportation_LCIA!C$61*($W117^Transportation_LCIA!C$60)+Transportation_LCIA!C$62</f>
        <v>0.32815716511039528</v>
      </c>
      <c r="Z117" s="137">
        <f>Transportation_LCIA!D$61*($W117^Transportation_LCIA!D$60)+Transportation_LCIA!D$62</f>
        <v>3.5191542163843881</v>
      </c>
      <c r="AA117" s="137">
        <f>Transportation_LCIA!E$61*($W117^Transportation_LCIA!E$60)+Transportation_LCIA!E$62</f>
        <v>1.8665206810453132E-3</v>
      </c>
      <c r="AB117" s="137">
        <f>Transportation_LCIA!F$61*($W117^Transportation_LCIA!F$60)+Transportation_LCIA!F$62</f>
        <v>0.32815716511039528</v>
      </c>
      <c r="AC117" s="137">
        <f>Transportation_LCIA!G$61*($W117^Transportation_LCIA!G$60)+Transportation_LCIA!G$62</f>
        <v>8.1967302989677859E-2</v>
      </c>
      <c r="AD117" s="137">
        <f>Transportation_LCIA!H$61*($W117^Transportation_LCIA!H$60)+Transportation_LCIA!H$62</f>
        <v>4.3698853519291556E-4</v>
      </c>
      <c r="AE117" s="137">
        <f>Transportation_LCIA!I$61*($W117^Transportation_LCIA!I$60)+Transportation_LCIA!I$62</f>
        <v>1.0010201729396875E-5</v>
      </c>
      <c r="AF117" s="137">
        <f>Transportation_LCIA!J$61*($W117^Transportation_LCIA!J$60)+Transportation_LCIA!J$62</f>
        <v>1.4910087392935532E-2</v>
      </c>
      <c r="AG117" s="137">
        <f>Transportation_LCIA!K$61*($W117^Transportation_LCIA!K$60)+Transportation_LCIA!K$62</f>
        <v>1.8005284512120634E-2</v>
      </c>
      <c r="AH117" s="137">
        <f>Transportation_LCIA!L$61*($W117^Transportation_LCIA!L$60)+Transportation_LCIA!L$62</f>
        <v>3.8774642038002372E-4</v>
      </c>
      <c r="AI117" s="137">
        <f>Transportation_LCIA!M$61*($W117^Transportation_LCIA!M$60)+Transportation_LCIA!M$62</f>
        <v>3.3205908340433346E-4</v>
      </c>
      <c r="AJ117" s="137">
        <f>Transportation_LCIA!N$61*($W117^Transportation_LCIA!N$60)+Transportation_LCIA!N$62</f>
        <v>1.5278401037459809E-3</v>
      </c>
      <c r="AK117" s="137">
        <f>Transportation_LCIA!O$61*($W117^Transportation_LCIA!O$60)+Transportation_LCIA!O$62</f>
        <v>8.6776433969231709E-5</v>
      </c>
      <c r="AL117" s="137">
        <f>Transportation_LCIA!P$61*($W117^Transportation_LCIA!P$60)+Transportation_LCIA!P$62</f>
        <v>4.187496920977748E-8</v>
      </c>
      <c r="AM117" s="137">
        <f>Transportation_LCIA!Q$61*($W117^Transportation_LCIA!Q$60)+Transportation_LCIA!Q$62</f>
        <v>1.5289540886279419E-4</v>
      </c>
      <c r="AN117" s="137">
        <f>Transportation_LCIA!R$61*($W117^Transportation_LCIA!R$60)+Transportation_LCIA!R$62</f>
        <v>4.8092919779996581E-4</v>
      </c>
      <c r="AO117" s="137">
        <f>Transportation_LCIA!S$61*($W117^Transportation_LCIA!S$60)+Transportation_LCIA!S$62</f>
        <v>7.081081996143308E-6</v>
      </c>
      <c r="AP117" s="137">
        <f>Transportation_LCIA!T$61*($W117^Transportation_LCIA!T$60)+Transportation_LCIA!T$62</f>
        <v>7.081081996143308E-6</v>
      </c>
      <c r="AQ117" s="137">
        <f>Transportation_LCIA!U$61*($W117^Transportation_LCIA!U$60)+Transportation_LCIA!U$62</f>
        <v>1.0425420500377758E-3</v>
      </c>
      <c r="AR117" s="137">
        <f>Transportation_LCIA!V$61*($W117^Transportation_LCIA!V$60)+Transportation_LCIA!V$62</f>
        <v>3.9809863614409633E-4</v>
      </c>
      <c r="AT117" s="137">
        <f>$W117*Y117+$L117*Summary_LCIA!H$32</f>
        <v>183.88630554508163</v>
      </c>
      <c r="AU117" s="137">
        <f>$W117*Z117+$L117*Summary_LCIA!Q$32</f>
        <v>2031.4552109735439</v>
      </c>
      <c r="AV117" s="137">
        <f>$W117*AA117+$L117*Summary_LCIA!R$32</f>
        <v>1.1969661289787343</v>
      </c>
      <c r="AW117" s="137">
        <f>$W117*AB117+$L117*Summary_LCIA!S$32</f>
        <v>183.68599556508161</v>
      </c>
      <c r="AX117" s="137">
        <f>$W117*AC117+$L117*Summary_LCIA!T$32</f>
        <v>47.065324231608713</v>
      </c>
      <c r="AY117" s="137">
        <f>$W117*AD117+$L117*Summary_LCIA!U$32</f>
        <v>1.0362091557206601</v>
      </c>
      <c r="AZ117" s="137">
        <f>$W117*AE117+$L117*Summary_LCIA!V$32</f>
        <v>7.3040545078757431E-3</v>
      </c>
      <c r="BA117" s="137">
        <f>$W117*AF117+$L117*Summary_LCIA!W$32</f>
        <v>11.143588354507806</v>
      </c>
      <c r="BB117" s="137">
        <f>$W117*AG117+$L117*Summary_LCIA!X$32</f>
        <v>10.276884575099208</v>
      </c>
      <c r="BC117" s="137">
        <f>$W117*AH117+$L117*Summary_LCIA!Y$32</f>
        <v>0.90524269223646492</v>
      </c>
      <c r="BD117" s="137">
        <f>$W117*AI117+$L117*Summary_LCIA!Z$32</f>
        <v>0.1723487721095853</v>
      </c>
      <c r="BE117" s="137">
        <f>$W117*AJ117+$L117*Summary_LCIA!AA$32</f>
        <v>1.8429149839992716</v>
      </c>
      <c r="BF117" s="137">
        <f>$W117*AK117+$L117*Summary_LCIA!AB$32</f>
        <v>4.3564938948592279E-2</v>
      </c>
      <c r="BG117" s="137">
        <f>$W117*AL117+$L117*Summary_LCIA!AC$32</f>
        <v>2.3715389510524457E-5</v>
      </c>
      <c r="BH117" s="137">
        <f>$W117*AM117+$L117*Summary_LCIA!AD$32</f>
        <v>9.7129559484955913E-2</v>
      </c>
      <c r="BI117" s="137">
        <f>$W117*AN117+$L117*Summary_LCIA!AE$32</f>
        <v>0.287083727069259</v>
      </c>
      <c r="BJ117" s="137">
        <f>$W117*AO117+$L117*Summary_LCIA!AF$32</f>
        <v>4.1949254286737792E-2</v>
      </c>
      <c r="BK117" s="137">
        <f>$W117*AP117+$L117*Summary_LCIA!AG$32</f>
        <v>5.9544119417377847E-3</v>
      </c>
      <c r="BL117" s="137">
        <f>$W117*AQ117+$L117*Summary_LCIA!AH$32</f>
        <v>0.92971454945376908</v>
      </c>
      <c r="BM117" s="137">
        <f>$W117*AR117+$L117*Summary_LCIA!AI$32</f>
        <v>0.24661412392688742</v>
      </c>
    </row>
    <row r="118" spans="1:65" x14ac:dyDescent="0.25">
      <c r="A118" s="149">
        <v>105</v>
      </c>
      <c r="B118" s="149">
        <v>43</v>
      </c>
      <c r="C118" s="61">
        <v>40.299481</v>
      </c>
      <c r="D118" s="61">
        <v>-79.976793999999998</v>
      </c>
      <c r="E118" s="61" t="s">
        <v>265</v>
      </c>
      <c r="F118" s="149">
        <v>106</v>
      </c>
      <c r="G118" s="61" t="s">
        <v>266</v>
      </c>
      <c r="H118" s="61" t="s">
        <v>669</v>
      </c>
      <c r="I118" s="61">
        <v>40.491920999999998</v>
      </c>
      <c r="J118" s="61">
        <v>-80.235223000000005</v>
      </c>
      <c r="K118" s="61">
        <v>36.504344930000002</v>
      </c>
      <c r="L118" s="61">
        <v>41.466000000000001</v>
      </c>
      <c r="M118" s="61" t="s">
        <v>617</v>
      </c>
      <c r="N118" s="149">
        <v>42</v>
      </c>
      <c r="O118" s="149">
        <v>43</v>
      </c>
      <c r="P118" s="61" t="s">
        <v>565</v>
      </c>
      <c r="Q118" s="61" t="s">
        <v>555</v>
      </c>
      <c r="R118" s="61">
        <v>40.6895314</v>
      </c>
      <c r="S118" s="61">
        <v>-74.174462399999996</v>
      </c>
      <c r="T118" s="61">
        <v>576.21100000000001</v>
      </c>
      <c r="U118" s="61" t="s">
        <v>617</v>
      </c>
      <c r="V118" s="61" t="s">
        <v>569</v>
      </c>
      <c r="W118" s="61" cm="1">
        <f t="array" ref="W118">getDistance(I118,J118,R118,S118)*SA!$B$12</f>
        <v>513.433583839015</v>
      </c>
      <c r="Y118" s="137">
        <f>Transportation_LCIA!C$61*($W118^Transportation_LCIA!C$60)+Transportation_LCIA!C$62</f>
        <v>0.32815716511039528</v>
      </c>
      <c r="Z118" s="137">
        <f>Transportation_LCIA!D$61*($W118^Transportation_LCIA!D$60)+Transportation_LCIA!D$62</f>
        <v>3.5191542163843881</v>
      </c>
      <c r="AA118" s="137">
        <f>Transportation_LCIA!E$61*($W118^Transportation_LCIA!E$60)+Transportation_LCIA!E$62</f>
        <v>1.8665206810453132E-3</v>
      </c>
      <c r="AB118" s="137">
        <f>Transportation_LCIA!F$61*($W118^Transportation_LCIA!F$60)+Transportation_LCIA!F$62</f>
        <v>0.32815716511039528</v>
      </c>
      <c r="AC118" s="137">
        <f>Transportation_LCIA!G$61*($W118^Transportation_LCIA!G$60)+Transportation_LCIA!G$62</f>
        <v>8.1967302989677859E-2</v>
      </c>
      <c r="AD118" s="137">
        <f>Transportation_LCIA!H$61*($W118^Transportation_LCIA!H$60)+Transportation_LCIA!H$62</f>
        <v>4.3698853519291556E-4</v>
      </c>
      <c r="AE118" s="137">
        <f>Transportation_LCIA!I$61*($W118^Transportation_LCIA!I$60)+Transportation_LCIA!I$62</f>
        <v>1.0010201729396875E-5</v>
      </c>
      <c r="AF118" s="137">
        <f>Transportation_LCIA!J$61*($W118^Transportation_LCIA!J$60)+Transportation_LCIA!J$62</f>
        <v>1.4910087392935532E-2</v>
      </c>
      <c r="AG118" s="137">
        <f>Transportation_LCIA!K$61*($W118^Transportation_LCIA!K$60)+Transportation_LCIA!K$62</f>
        <v>1.8005284512120634E-2</v>
      </c>
      <c r="AH118" s="137">
        <f>Transportation_LCIA!L$61*($W118^Transportation_LCIA!L$60)+Transportation_LCIA!L$62</f>
        <v>3.8774642038002372E-4</v>
      </c>
      <c r="AI118" s="137">
        <f>Transportation_LCIA!M$61*($W118^Transportation_LCIA!M$60)+Transportation_LCIA!M$62</f>
        <v>3.3205908340433346E-4</v>
      </c>
      <c r="AJ118" s="137">
        <f>Transportation_LCIA!N$61*($W118^Transportation_LCIA!N$60)+Transportation_LCIA!N$62</f>
        <v>1.5278401037459809E-3</v>
      </c>
      <c r="AK118" s="137">
        <f>Transportation_LCIA!O$61*($W118^Transportation_LCIA!O$60)+Transportation_LCIA!O$62</f>
        <v>8.6776433969231709E-5</v>
      </c>
      <c r="AL118" s="137">
        <f>Transportation_LCIA!P$61*($W118^Transportation_LCIA!P$60)+Transportation_LCIA!P$62</f>
        <v>4.187496920977748E-8</v>
      </c>
      <c r="AM118" s="137">
        <f>Transportation_LCIA!Q$61*($W118^Transportation_LCIA!Q$60)+Transportation_LCIA!Q$62</f>
        <v>1.5289540886279419E-4</v>
      </c>
      <c r="AN118" s="137">
        <f>Transportation_LCIA!R$61*($W118^Transportation_LCIA!R$60)+Transportation_LCIA!R$62</f>
        <v>4.8092919779996581E-4</v>
      </c>
      <c r="AO118" s="137">
        <f>Transportation_LCIA!S$61*($W118^Transportation_LCIA!S$60)+Transportation_LCIA!S$62</f>
        <v>7.081081996143308E-6</v>
      </c>
      <c r="AP118" s="137">
        <f>Transportation_LCIA!T$61*($W118^Transportation_LCIA!T$60)+Transportation_LCIA!T$62</f>
        <v>7.081081996143308E-6</v>
      </c>
      <c r="AQ118" s="137">
        <f>Transportation_LCIA!U$61*($W118^Transportation_LCIA!U$60)+Transportation_LCIA!U$62</f>
        <v>1.0425420500377758E-3</v>
      </c>
      <c r="AR118" s="137">
        <f>Transportation_LCIA!V$61*($W118^Transportation_LCIA!V$60)+Transportation_LCIA!V$62</f>
        <v>3.9809863614409633E-4</v>
      </c>
      <c r="AT118" s="137">
        <f>$W118*Y118+$L118*Summary_LCIA!H$32</f>
        <v>182.5770561450816</v>
      </c>
      <c r="AU118" s="137">
        <f>$W118*Z118+$L118*Summary_LCIA!Q$32</f>
        <v>2012.3595486551949</v>
      </c>
      <c r="AV118" s="137">
        <f>$W118*AA118+$L118*Summary_LCIA!R$32</f>
        <v>1.1766777721787343</v>
      </c>
      <c r="AW118" s="137">
        <f>$W118*AB118+$L118*Summary_LCIA!S$32</f>
        <v>182.39377642508163</v>
      </c>
      <c r="AX118" s="137">
        <f>$W118*AC118+$L118*Summary_LCIA!T$32</f>
        <v>46.641879531608708</v>
      </c>
      <c r="AY118" s="137">
        <f>$W118*AD118+$L118*Summary_LCIA!U$32</f>
        <v>0.96718651372066022</v>
      </c>
      <c r="AZ118" s="137">
        <f>$W118*AE118+$L118*Summary_LCIA!V$32</f>
        <v>7.1200313748757431E-3</v>
      </c>
      <c r="BA118" s="137">
        <f>$W118*AF118+$L118*Summary_LCIA!W$32</f>
        <v>10.847019091507807</v>
      </c>
      <c r="BB118" s="137">
        <f>$W118*AG118+$L118*Summary_LCIA!X$32</f>
        <v>10.189113235099208</v>
      </c>
      <c r="BC118" s="137">
        <f>$W118*AH118+$L118*Summary_LCIA!Y$32</f>
        <v>0.84520524623646487</v>
      </c>
      <c r="BD118" s="137">
        <f>$W118*AI118+$L118*Summary_LCIA!Z$32</f>
        <v>0.1721907644325853</v>
      </c>
      <c r="BE118" s="137">
        <f>$W118*AJ118+$L118*Summary_LCIA!AA$32</f>
        <v>1.7529243159992713</v>
      </c>
      <c r="BF118" s="137">
        <f>$W118*AK118+$L118*Summary_LCIA!AB$32</f>
        <v>4.364902296759228E-2</v>
      </c>
      <c r="BG118" s="137">
        <f>$W118*AL118+$L118*Summary_LCIA!AC$32</f>
        <v>2.3527039458524457E-5</v>
      </c>
      <c r="BH118" s="137">
        <f>$W118*AM118+$L118*Summary_LCIA!AD$32</f>
        <v>9.5545822364955915E-2</v>
      </c>
      <c r="BI118" s="137">
        <f>$W118*AN118+$L118*Summary_LCIA!AE$32</f>
        <v>0.28366946817925898</v>
      </c>
      <c r="BJ118" s="137">
        <f>$W118*AO118+$L118*Summary_LCIA!AF$32</f>
        <v>3.8691851026737785E-2</v>
      </c>
      <c r="BK118" s="137">
        <f>$W118*AP118+$L118*Summary_LCIA!AG$32</f>
        <v>5.7572731967377843E-3</v>
      </c>
      <c r="BL118" s="137">
        <f>$W118*AQ118+$L118*Summary_LCIA!AH$32</f>
        <v>0.89617957865376896</v>
      </c>
      <c r="BM118" s="137">
        <f>$W118*AR118+$L118*Summary_LCIA!AI$32</f>
        <v>0.24302486177688742</v>
      </c>
    </row>
    <row r="119" spans="1:65" x14ac:dyDescent="0.25">
      <c r="A119" s="149">
        <v>106</v>
      </c>
      <c r="B119" s="149">
        <v>43</v>
      </c>
      <c r="C119" s="61">
        <v>40.299481</v>
      </c>
      <c r="D119" s="61">
        <v>-79.976793999999998</v>
      </c>
      <c r="E119" s="61" t="s">
        <v>265</v>
      </c>
      <c r="F119" s="149">
        <v>106</v>
      </c>
      <c r="G119" s="61" t="s">
        <v>266</v>
      </c>
      <c r="H119" s="61" t="s">
        <v>669</v>
      </c>
      <c r="I119" s="61">
        <v>40.491920999999998</v>
      </c>
      <c r="J119" s="61">
        <v>-80.235223000000005</v>
      </c>
      <c r="K119" s="61">
        <v>36.504344930000002</v>
      </c>
      <c r="L119" s="61">
        <v>41.466000000000001</v>
      </c>
      <c r="M119" s="61" t="s">
        <v>617</v>
      </c>
      <c r="N119" s="149">
        <v>42</v>
      </c>
      <c r="O119" s="149">
        <v>43</v>
      </c>
      <c r="P119" s="61" t="s">
        <v>565</v>
      </c>
      <c r="Q119" s="61" t="s">
        <v>555</v>
      </c>
      <c r="R119" s="61">
        <v>40.6895314</v>
      </c>
      <c r="S119" s="61">
        <v>-74.174462399999996</v>
      </c>
      <c r="T119" s="61">
        <v>576.21100000000001</v>
      </c>
      <c r="U119" s="61" t="s">
        <v>617</v>
      </c>
      <c r="V119" s="61" t="s">
        <v>569</v>
      </c>
      <c r="W119" s="61" cm="1">
        <f t="array" ref="W119">getDistance(I119,J119,R119,S119)*SA!$B$12</f>
        <v>513.433583839015</v>
      </c>
      <c r="Y119" s="137">
        <f>Transportation_LCIA!C$61*($W119^Transportation_LCIA!C$60)+Transportation_LCIA!C$62</f>
        <v>0.32815716511039528</v>
      </c>
      <c r="Z119" s="137">
        <f>Transportation_LCIA!D$61*($W119^Transportation_LCIA!D$60)+Transportation_LCIA!D$62</f>
        <v>3.5191542163843881</v>
      </c>
      <c r="AA119" s="137">
        <f>Transportation_LCIA!E$61*($W119^Transportation_LCIA!E$60)+Transportation_LCIA!E$62</f>
        <v>1.8665206810453132E-3</v>
      </c>
      <c r="AB119" s="137">
        <f>Transportation_LCIA!F$61*($W119^Transportation_LCIA!F$60)+Transportation_LCIA!F$62</f>
        <v>0.32815716511039528</v>
      </c>
      <c r="AC119" s="137">
        <f>Transportation_LCIA!G$61*($W119^Transportation_LCIA!G$60)+Transportation_LCIA!G$62</f>
        <v>8.1967302989677859E-2</v>
      </c>
      <c r="AD119" s="137">
        <f>Transportation_LCIA!H$61*($W119^Transportation_LCIA!H$60)+Transportation_LCIA!H$62</f>
        <v>4.3698853519291556E-4</v>
      </c>
      <c r="AE119" s="137">
        <f>Transportation_LCIA!I$61*($W119^Transportation_LCIA!I$60)+Transportation_LCIA!I$62</f>
        <v>1.0010201729396875E-5</v>
      </c>
      <c r="AF119" s="137">
        <f>Transportation_LCIA!J$61*($W119^Transportation_LCIA!J$60)+Transportation_LCIA!J$62</f>
        <v>1.4910087392935532E-2</v>
      </c>
      <c r="AG119" s="137">
        <f>Transportation_LCIA!K$61*($W119^Transportation_LCIA!K$60)+Transportation_LCIA!K$62</f>
        <v>1.8005284512120634E-2</v>
      </c>
      <c r="AH119" s="137">
        <f>Transportation_LCIA!L$61*($W119^Transportation_LCIA!L$60)+Transportation_LCIA!L$62</f>
        <v>3.8774642038002372E-4</v>
      </c>
      <c r="AI119" s="137">
        <f>Transportation_LCIA!M$61*($W119^Transportation_LCIA!M$60)+Transportation_LCIA!M$62</f>
        <v>3.3205908340433346E-4</v>
      </c>
      <c r="AJ119" s="137">
        <f>Transportation_LCIA!N$61*($W119^Transportation_LCIA!N$60)+Transportation_LCIA!N$62</f>
        <v>1.5278401037459809E-3</v>
      </c>
      <c r="AK119" s="137">
        <f>Transportation_LCIA!O$61*($W119^Transportation_LCIA!O$60)+Transportation_LCIA!O$62</f>
        <v>8.6776433969231709E-5</v>
      </c>
      <c r="AL119" s="137">
        <f>Transportation_LCIA!P$61*($W119^Transportation_LCIA!P$60)+Transportation_LCIA!P$62</f>
        <v>4.187496920977748E-8</v>
      </c>
      <c r="AM119" s="137">
        <f>Transportation_LCIA!Q$61*($W119^Transportation_LCIA!Q$60)+Transportation_LCIA!Q$62</f>
        <v>1.5289540886279419E-4</v>
      </c>
      <c r="AN119" s="137">
        <f>Transportation_LCIA!R$61*($W119^Transportation_LCIA!R$60)+Transportation_LCIA!R$62</f>
        <v>4.8092919779996581E-4</v>
      </c>
      <c r="AO119" s="137">
        <f>Transportation_LCIA!S$61*($W119^Transportation_LCIA!S$60)+Transportation_LCIA!S$62</f>
        <v>7.081081996143308E-6</v>
      </c>
      <c r="AP119" s="137">
        <f>Transportation_LCIA!T$61*($W119^Transportation_LCIA!T$60)+Transportation_LCIA!T$62</f>
        <v>7.081081996143308E-6</v>
      </c>
      <c r="AQ119" s="137">
        <f>Transportation_LCIA!U$61*($W119^Transportation_LCIA!U$60)+Transportation_LCIA!U$62</f>
        <v>1.0425420500377758E-3</v>
      </c>
      <c r="AR119" s="137">
        <f>Transportation_LCIA!V$61*($W119^Transportation_LCIA!V$60)+Transportation_LCIA!V$62</f>
        <v>3.9809863614409633E-4</v>
      </c>
      <c r="AT119" s="137">
        <f>$W119*Y119+$L119*Summary_LCIA!H$32</f>
        <v>182.5770561450816</v>
      </c>
      <c r="AU119" s="137">
        <f>$W119*Z119+$L119*Summary_LCIA!Q$32</f>
        <v>2012.3595486551949</v>
      </c>
      <c r="AV119" s="137">
        <f>$W119*AA119+$L119*Summary_LCIA!R$32</f>
        <v>1.1766777721787343</v>
      </c>
      <c r="AW119" s="137">
        <f>$W119*AB119+$L119*Summary_LCIA!S$32</f>
        <v>182.39377642508163</v>
      </c>
      <c r="AX119" s="137">
        <f>$W119*AC119+$L119*Summary_LCIA!T$32</f>
        <v>46.641879531608708</v>
      </c>
      <c r="AY119" s="137">
        <f>$W119*AD119+$L119*Summary_LCIA!U$32</f>
        <v>0.96718651372066022</v>
      </c>
      <c r="AZ119" s="137">
        <f>$W119*AE119+$L119*Summary_LCIA!V$32</f>
        <v>7.1200313748757431E-3</v>
      </c>
      <c r="BA119" s="137">
        <f>$W119*AF119+$L119*Summary_LCIA!W$32</f>
        <v>10.847019091507807</v>
      </c>
      <c r="BB119" s="137">
        <f>$W119*AG119+$L119*Summary_LCIA!X$32</f>
        <v>10.189113235099208</v>
      </c>
      <c r="BC119" s="137">
        <f>$W119*AH119+$L119*Summary_LCIA!Y$32</f>
        <v>0.84520524623646487</v>
      </c>
      <c r="BD119" s="137">
        <f>$W119*AI119+$L119*Summary_LCIA!Z$32</f>
        <v>0.1721907644325853</v>
      </c>
      <c r="BE119" s="137">
        <f>$W119*AJ119+$L119*Summary_LCIA!AA$32</f>
        <v>1.7529243159992713</v>
      </c>
      <c r="BF119" s="137">
        <f>$W119*AK119+$L119*Summary_LCIA!AB$32</f>
        <v>4.364902296759228E-2</v>
      </c>
      <c r="BG119" s="137">
        <f>$W119*AL119+$L119*Summary_LCIA!AC$32</f>
        <v>2.3527039458524457E-5</v>
      </c>
      <c r="BH119" s="137">
        <f>$W119*AM119+$L119*Summary_LCIA!AD$32</f>
        <v>9.5545822364955915E-2</v>
      </c>
      <c r="BI119" s="137">
        <f>$W119*AN119+$L119*Summary_LCIA!AE$32</f>
        <v>0.28366946817925898</v>
      </c>
      <c r="BJ119" s="137">
        <f>$W119*AO119+$L119*Summary_LCIA!AF$32</f>
        <v>3.8691851026737785E-2</v>
      </c>
      <c r="BK119" s="137">
        <f>$W119*AP119+$L119*Summary_LCIA!AG$32</f>
        <v>5.7572731967377843E-3</v>
      </c>
      <c r="BL119" s="137">
        <f>$W119*AQ119+$L119*Summary_LCIA!AH$32</f>
        <v>0.89617957865376896</v>
      </c>
      <c r="BM119" s="137">
        <f>$W119*AR119+$L119*Summary_LCIA!AI$32</f>
        <v>0.24302486177688742</v>
      </c>
    </row>
    <row r="120" spans="1:65" x14ac:dyDescent="0.25">
      <c r="A120" s="149">
        <v>107</v>
      </c>
      <c r="B120" s="149">
        <v>43</v>
      </c>
      <c r="C120" s="61">
        <v>40.299481</v>
      </c>
      <c r="D120" s="61">
        <v>-79.976793999999998</v>
      </c>
      <c r="E120" s="61" t="s">
        <v>265</v>
      </c>
      <c r="F120" s="149">
        <v>106</v>
      </c>
      <c r="G120" s="61" t="s">
        <v>266</v>
      </c>
      <c r="H120" s="61" t="s">
        <v>669</v>
      </c>
      <c r="I120" s="61">
        <v>40.491920999999998</v>
      </c>
      <c r="J120" s="61">
        <v>-80.235223000000005</v>
      </c>
      <c r="K120" s="61">
        <v>36.504344930000002</v>
      </c>
      <c r="L120" s="61">
        <v>41.466000000000001</v>
      </c>
      <c r="M120" s="61" t="s">
        <v>617</v>
      </c>
      <c r="N120" s="149">
        <v>42</v>
      </c>
      <c r="O120" s="149">
        <v>43</v>
      </c>
      <c r="P120" s="61" t="s">
        <v>565</v>
      </c>
      <c r="Q120" s="61" t="s">
        <v>555</v>
      </c>
      <c r="R120" s="61">
        <v>40.6895314</v>
      </c>
      <c r="S120" s="61">
        <v>-74.174462399999996</v>
      </c>
      <c r="T120" s="61">
        <v>576.21100000000001</v>
      </c>
      <c r="U120" s="61" t="s">
        <v>617</v>
      </c>
      <c r="V120" s="61" t="s">
        <v>569</v>
      </c>
      <c r="W120" s="61" cm="1">
        <f t="array" ref="W120">getDistance(I120,J120,R120,S120)*SA!$B$12</f>
        <v>513.433583839015</v>
      </c>
      <c r="Y120" s="137">
        <f>Transportation_LCIA!C$61*($W120^Transportation_LCIA!C$60)+Transportation_LCIA!C$62</f>
        <v>0.32815716511039528</v>
      </c>
      <c r="Z120" s="137">
        <f>Transportation_LCIA!D$61*($W120^Transportation_LCIA!D$60)+Transportation_LCIA!D$62</f>
        <v>3.5191542163843881</v>
      </c>
      <c r="AA120" s="137">
        <f>Transportation_LCIA!E$61*($W120^Transportation_LCIA!E$60)+Transportation_LCIA!E$62</f>
        <v>1.8665206810453132E-3</v>
      </c>
      <c r="AB120" s="137">
        <f>Transportation_LCIA!F$61*($W120^Transportation_LCIA!F$60)+Transportation_LCIA!F$62</f>
        <v>0.32815716511039528</v>
      </c>
      <c r="AC120" s="137">
        <f>Transportation_LCIA!G$61*($W120^Transportation_LCIA!G$60)+Transportation_LCIA!G$62</f>
        <v>8.1967302989677859E-2</v>
      </c>
      <c r="AD120" s="137">
        <f>Transportation_LCIA!H$61*($W120^Transportation_LCIA!H$60)+Transportation_LCIA!H$62</f>
        <v>4.3698853519291556E-4</v>
      </c>
      <c r="AE120" s="137">
        <f>Transportation_LCIA!I$61*($W120^Transportation_LCIA!I$60)+Transportation_LCIA!I$62</f>
        <v>1.0010201729396875E-5</v>
      </c>
      <c r="AF120" s="137">
        <f>Transportation_LCIA!J$61*($W120^Transportation_LCIA!J$60)+Transportation_LCIA!J$62</f>
        <v>1.4910087392935532E-2</v>
      </c>
      <c r="AG120" s="137">
        <f>Transportation_LCIA!K$61*($W120^Transportation_LCIA!K$60)+Transportation_LCIA!K$62</f>
        <v>1.8005284512120634E-2</v>
      </c>
      <c r="AH120" s="137">
        <f>Transportation_LCIA!L$61*($W120^Transportation_LCIA!L$60)+Transportation_LCIA!L$62</f>
        <v>3.8774642038002372E-4</v>
      </c>
      <c r="AI120" s="137">
        <f>Transportation_LCIA!M$61*($W120^Transportation_LCIA!M$60)+Transportation_LCIA!M$62</f>
        <v>3.3205908340433346E-4</v>
      </c>
      <c r="AJ120" s="137">
        <f>Transportation_LCIA!N$61*($W120^Transportation_LCIA!N$60)+Transportation_LCIA!N$62</f>
        <v>1.5278401037459809E-3</v>
      </c>
      <c r="AK120" s="137">
        <f>Transportation_LCIA!O$61*($W120^Transportation_LCIA!O$60)+Transportation_LCIA!O$62</f>
        <v>8.6776433969231709E-5</v>
      </c>
      <c r="AL120" s="137">
        <f>Transportation_LCIA!P$61*($W120^Transportation_LCIA!P$60)+Transportation_LCIA!P$62</f>
        <v>4.187496920977748E-8</v>
      </c>
      <c r="AM120" s="137">
        <f>Transportation_LCIA!Q$61*($W120^Transportation_LCIA!Q$60)+Transportation_LCIA!Q$62</f>
        <v>1.5289540886279419E-4</v>
      </c>
      <c r="AN120" s="137">
        <f>Transportation_LCIA!R$61*($W120^Transportation_LCIA!R$60)+Transportation_LCIA!R$62</f>
        <v>4.8092919779996581E-4</v>
      </c>
      <c r="AO120" s="137">
        <f>Transportation_LCIA!S$61*($W120^Transportation_LCIA!S$60)+Transportation_LCIA!S$62</f>
        <v>7.081081996143308E-6</v>
      </c>
      <c r="AP120" s="137">
        <f>Transportation_LCIA!T$61*($W120^Transportation_LCIA!T$60)+Transportation_LCIA!T$62</f>
        <v>7.081081996143308E-6</v>
      </c>
      <c r="AQ120" s="137">
        <f>Transportation_LCIA!U$61*($W120^Transportation_LCIA!U$60)+Transportation_LCIA!U$62</f>
        <v>1.0425420500377758E-3</v>
      </c>
      <c r="AR120" s="137">
        <f>Transportation_LCIA!V$61*($W120^Transportation_LCIA!V$60)+Transportation_LCIA!V$62</f>
        <v>3.9809863614409633E-4</v>
      </c>
      <c r="AT120" s="137">
        <f>$W120*Y120+$L120*Summary_LCIA!H$32</f>
        <v>182.5770561450816</v>
      </c>
      <c r="AU120" s="137">
        <f>$W120*Z120+$L120*Summary_LCIA!Q$32</f>
        <v>2012.3595486551949</v>
      </c>
      <c r="AV120" s="137">
        <f>$W120*AA120+$L120*Summary_LCIA!R$32</f>
        <v>1.1766777721787343</v>
      </c>
      <c r="AW120" s="137">
        <f>$W120*AB120+$L120*Summary_LCIA!S$32</f>
        <v>182.39377642508163</v>
      </c>
      <c r="AX120" s="137">
        <f>$W120*AC120+$L120*Summary_LCIA!T$32</f>
        <v>46.641879531608708</v>
      </c>
      <c r="AY120" s="137">
        <f>$W120*AD120+$L120*Summary_LCIA!U$32</f>
        <v>0.96718651372066022</v>
      </c>
      <c r="AZ120" s="137">
        <f>$W120*AE120+$L120*Summary_LCIA!V$32</f>
        <v>7.1200313748757431E-3</v>
      </c>
      <c r="BA120" s="137">
        <f>$W120*AF120+$L120*Summary_LCIA!W$32</f>
        <v>10.847019091507807</v>
      </c>
      <c r="BB120" s="137">
        <f>$W120*AG120+$L120*Summary_LCIA!X$32</f>
        <v>10.189113235099208</v>
      </c>
      <c r="BC120" s="137">
        <f>$W120*AH120+$L120*Summary_LCIA!Y$32</f>
        <v>0.84520524623646487</v>
      </c>
      <c r="BD120" s="137">
        <f>$W120*AI120+$L120*Summary_LCIA!Z$32</f>
        <v>0.1721907644325853</v>
      </c>
      <c r="BE120" s="137">
        <f>$W120*AJ120+$L120*Summary_LCIA!AA$32</f>
        <v>1.7529243159992713</v>
      </c>
      <c r="BF120" s="137">
        <f>$W120*AK120+$L120*Summary_LCIA!AB$32</f>
        <v>4.364902296759228E-2</v>
      </c>
      <c r="BG120" s="137">
        <f>$W120*AL120+$L120*Summary_LCIA!AC$32</f>
        <v>2.3527039458524457E-5</v>
      </c>
      <c r="BH120" s="137">
        <f>$W120*AM120+$L120*Summary_LCIA!AD$32</f>
        <v>9.5545822364955915E-2</v>
      </c>
      <c r="BI120" s="137">
        <f>$W120*AN120+$L120*Summary_LCIA!AE$32</f>
        <v>0.28366946817925898</v>
      </c>
      <c r="BJ120" s="137">
        <f>$W120*AO120+$L120*Summary_LCIA!AF$32</f>
        <v>3.8691851026737785E-2</v>
      </c>
      <c r="BK120" s="137">
        <f>$W120*AP120+$L120*Summary_LCIA!AG$32</f>
        <v>5.7572731967377843E-3</v>
      </c>
      <c r="BL120" s="137">
        <f>$W120*AQ120+$L120*Summary_LCIA!AH$32</f>
        <v>0.89617957865376896</v>
      </c>
      <c r="BM120" s="137">
        <f>$W120*AR120+$L120*Summary_LCIA!AI$32</f>
        <v>0.24302486177688742</v>
      </c>
    </row>
    <row r="121" spans="1:65" x14ac:dyDescent="0.25">
      <c r="A121" s="149">
        <v>99</v>
      </c>
      <c r="B121" s="149">
        <v>43</v>
      </c>
      <c r="C121" s="61">
        <v>40.444164999999998</v>
      </c>
      <c r="D121" s="61">
        <v>-79.943371999999997</v>
      </c>
      <c r="E121" s="61" t="s">
        <v>265</v>
      </c>
      <c r="F121" s="149">
        <v>106</v>
      </c>
      <c r="G121" s="61" t="s">
        <v>266</v>
      </c>
      <c r="H121" s="61" t="s">
        <v>669</v>
      </c>
      <c r="I121" s="61">
        <v>40.491920999999998</v>
      </c>
      <c r="J121" s="61">
        <v>-80.235223000000005</v>
      </c>
      <c r="K121" s="61">
        <v>25.455054860000001</v>
      </c>
      <c r="L121" s="61">
        <v>32.761000000000003</v>
      </c>
      <c r="M121" s="61" t="s">
        <v>617</v>
      </c>
      <c r="N121" s="149">
        <v>42</v>
      </c>
      <c r="O121" s="149">
        <v>43</v>
      </c>
      <c r="P121" s="61" t="s">
        <v>565</v>
      </c>
      <c r="Q121" s="61" t="s">
        <v>555</v>
      </c>
      <c r="R121" s="61">
        <v>40.6895314</v>
      </c>
      <c r="S121" s="61">
        <v>-74.174462399999996</v>
      </c>
      <c r="T121" s="61">
        <v>578.36400000000003</v>
      </c>
      <c r="U121" s="61" t="s">
        <v>617</v>
      </c>
      <c r="V121" s="61" t="s">
        <v>569</v>
      </c>
      <c r="W121" s="61" cm="1">
        <f t="array" ref="W121">getDistance(I121,J121,R121,S121)*SA!$B$12</f>
        <v>513.433583839015</v>
      </c>
      <c r="Y121" s="137">
        <f>Transportation_LCIA!C$61*($W121^Transportation_LCIA!C$60)+Transportation_LCIA!C$62</f>
        <v>0.32815716511039528</v>
      </c>
      <c r="Z121" s="137">
        <f>Transportation_LCIA!D$61*($W121^Transportation_LCIA!D$60)+Transportation_LCIA!D$62</f>
        <v>3.5191542163843881</v>
      </c>
      <c r="AA121" s="137">
        <f>Transportation_LCIA!E$61*($W121^Transportation_LCIA!E$60)+Transportation_LCIA!E$62</f>
        <v>1.8665206810453132E-3</v>
      </c>
      <c r="AB121" s="137">
        <f>Transportation_LCIA!F$61*($W121^Transportation_LCIA!F$60)+Transportation_LCIA!F$62</f>
        <v>0.32815716511039528</v>
      </c>
      <c r="AC121" s="137">
        <f>Transportation_LCIA!G$61*($W121^Transportation_LCIA!G$60)+Transportation_LCIA!G$62</f>
        <v>8.1967302989677859E-2</v>
      </c>
      <c r="AD121" s="137">
        <f>Transportation_LCIA!H$61*($W121^Transportation_LCIA!H$60)+Transportation_LCIA!H$62</f>
        <v>4.3698853519291556E-4</v>
      </c>
      <c r="AE121" s="137">
        <f>Transportation_LCIA!I$61*($W121^Transportation_LCIA!I$60)+Transportation_LCIA!I$62</f>
        <v>1.0010201729396875E-5</v>
      </c>
      <c r="AF121" s="137">
        <f>Transportation_LCIA!J$61*($W121^Transportation_LCIA!J$60)+Transportation_LCIA!J$62</f>
        <v>1.4910087392935532E-2</v>
      </c>
      <c r="AG121" s="137">
        <f>Transportation_LCIA!K$61*($W121^Transportation_LCIA!K$60)+Transportation_LCIA!K$62</f>
        <v>1.8005284512120634E-2</v>
      </c>
      <c r="AH121" s="137">
        <f>Transportation_LCIA!L$61*($W121^Transportation_LCIA!L$60)+Transportation_LCIA!L$62</f>
        <v>3.8774642038002372E-4</v>
      </c>
      <c r="AI121" s="137">
        <f>Transportation_LCIA!M$61*($W121^Transportation_LCIA!M$60)+Transportation_LCIA!M$62</f>
        <v>3.3205908340433346E-4</v>
      </c>
      <c r="AJ121" s="137">
        <f>Transportation_LCIA!N$61*($W121^Transportation_LCIA!N$60)+Transportation_LCIA!N$62</f>
        <v>1.5278401037459809E-3</v>
      </c>
      <c r="AK121" s="137">
        <f>Transportation_LCIA!O$61*($W121^Transportation_LCIA!O$60)+Transportation_LCIA!O$62</f>
        <v>8.6776433969231709E-5</v>
      </c>
      <c r="AL121" s="137">
        <f>Transportation_LCIA!P$61*($W121^Transportation_LCIA!P$60)+Transportation_LCIA!P$62</f>
        <v>4.187496920977748E-8</v>
      </c>
      <c r="AM121" s="137">
        <f>Transportation_LCIA!Q$61*($W121^Transportation_LCIA!Q$60)+Transportation_LCIA!Q$62</f>
        <v>1.5289540886279419E-4</v>
      </c>
      <c r="AN121" s="137">
        <f>Transportation_LCIA!R$61*($W121^Transportation_LCIA!R$60)+Transportation_LCIA!R$62</f>
        <v>4.8092919779996581E-4</v>
      </c>
      <c r="AO121" s="137">
        <f>Transportation_LCIA!S$61*($W121^Transportation_LCIA!S$60)+Transportation_LCIA!S$62</f>
        <v>7.081081996143308E-6</v>
      </c>
      <c r="AP121" s="137">
        <f>Transportation_LCIA!T$61*($W121^Transportation_LCIA!T$60)+Transportation_LCIA!T$62</f>
        <v>7.081081996143308E-6</v>
      </c>
      <c r="AQ121" s="137">
        <f>Transportation_LCIA!U$61*($W121^Transportation_LCIA!U$60)+Transportation_LCIA!U$62</f>
        <v>1.0425420500377758E-3</v>
      </c>
      <c r="AR121" s="137">
        <f>Transportation_LCIA!V$61*($W121^Transportation_LCIA!V$60)+Transportation_LCIA!V$62</f>
        <v>3.9809863614409633E-4</v>
      </c>
      <c r="AT121" s="137">
        <f>$W121*Y121+$L121*Summary_LCIA!H$32</f>
        <v>179.61909714508161</v>
      </c>
      <c r="AU121" s="137">
        <f>$W121*Z121+$L121*Summary_LCIA!Q$32</f>
        <v>1969.21712963593</v>
      </c>
      <c r="AV121" s="137">
        <f>$W121*AA121+$L121*Summary_LCIA!R$32</f>
        <v>1.1308407241787344</v>
      </c>
      <c r="AW121" s="137">
        <f>$W121*AB121+$L121*Summary_LCIA!S$32</f>
        <v>179.47429352508161</v>
      </c>
      <c r="AX121" s="137">
        <f>$W121*AC121+$L121*Summary_LCIA!T$32</f>
        <v>45.685200031608709</v>
      </c>
      <c r="AY121" s="137">
        <f>$W121*AD121+$L121*Summary_LCIA!U$32</f>
        <v>0.81124514372066026</v>
      </c>
      <c r="AZ121" s="137">
        <f>$W121*AE121+$L121*Summary_LCIA!V$32</f>
        <v>6.7042718698757438E-3</v>
      </c>
      <c r="BA121" s="137">
        <f>$W121*AF121+$L121*Summary_LCIA!W$32</f>
        <v>10.176986536507806</v>
      </c>
      <c r="BB121" s="137">
        <f>$W121*AG121+$L121*Summary_LCIA!X$32</f>
        <v>9.9908133350992081</v>
      </c>
      <c r="BC121" s="137">
        <f>$W121*AH121+$L121*Summary_LCIA!Y$32</f>
        <v>0.70956393623646496</v>
      </c>
      <c r="BD121" s="137">
        <f>$W121*AI121+$L121*Summary_LCIA!Z$32</f>
        <v>0.17183378108758532</v>
      </c>
      <c r="BE121" s="137">
        <f>$W121*AJ121+$L121*Summary_LCIA!AA$32</f>
        <v>1.5496103359992714</v>
      </c>
      <c r="BF121" s="137">
        <f>$W121*AK121+$L121*Summary_LCIA!AB$32</f>
        <v>4.3838992182592275E-2</v>
      </c>
      <c r="BG121" s="137">
        <f>$W121*AL121+$L121*Summary_LCIA!AC$32</f>
        <v>2.3101504238524458E-5</v>
      </c>
      <c r="BH121" s="137">
        <f>$W121*AM121+$L121*Summary_LCIA!AD$32</f>
        <v>9.1967719164955913E-2</v>
      </c>
      <c r="BI121" s="137">
        <f>$W121*AN121+$L121*Summary_LCIA!AE$32</f>
        <v>0.27595570652925899</v>
      </c>
      <c r="BJ121" s="137">
        <f>$W121*AO121+$L121*Summary_LCIA!AF$32</f>
        <v>3.1332469926737792E-2</v>
      </c>
      <c r="BK121" s="137">
        <f>$W121*AP121+$L121*Summary_LCIA!AG$32</f>
        <v>5.3118818717377853E-3</v>
      </c>
      <c r="BL121" s="137">
        <f>$W121*AQ121+$L121*Summary_LCIA!AH$32</f>
        <v>0.82041474065376896</v>
      </c>
      <c r="BM121" s="137">
        <f>$W121*AR121+$L121*Summary_LCIA!AI$32</f>
        <v>0.2349157190268874</v>
      </c>
    </row>
    <row r="122" spans="1:65" x14ac:dyDescent="0.25">
      <c r="A122" s="149">
        <v>95</v>
      </c>
      <c r="B122" s="149">
        <v>43</v>
      </c>
      <c r="C122" s="61">
        <v>40.444389999999999</v>
      </c>
      <c r="D122" s="61">
        <v>-79.953412999999998</v>
      </c>
      <c r="E122" s="61" t="s">
        <v>265</v>
      </c>
      <c r="F122" s="149">
        <v>106</v>
      </c>
      <c r="G122" s="61" t="s">
        <v>266</v>
      </c>
      <c r="H122" s="61" t="s">
        <v>669</v>
      </c>
      <c r="I122" s="61">
        <v>40.491920999999998</v>
      </c>
      <c r="J122" s="61">
        <v>-80.235223000000005</v>
      </c>
      <c r="K122" s="61">
        <v>24.630663819999999</v>
      </c>
      <c r="L122" s="61">
        <v>31.443999999999999</v>
      </c>
      <c r="M122" s="61" t="s">
        <v>617</v>
      </c>
      <c r="N122" s="149">
        <v>42</v>
      </c>
      <c r="O122" s="149">
        <v>43</v>
      </c>
      <c r="P122" s="61" t="s">
        <v>565</v>
      </c>
      <c r="Q122" s="61" t="s">
        <v>555</v>
      </c>
      <c r="R122" s="61">
        <v>40.6895314</v>
      </c>
      <c r="S122" s="61">
        <v>-74.174462399999996</v>
      </c>
      <c r="T122" s="61">
        <v>578.75699999999995</v>
      </c>
      <c r="U122" s="61" t="s">
        <v>617</v>
      </c>
      <c r="V122" s="61" t="s">
        <v>569</v>
      </c>
      <c r="W122" s="61" cm="1">
        <f t="array" ref="W122">getDistance(I122,J122,R122,S122)*SA!$B$12</f>
        <v>513.433583839015</v>
      </c>
      <c r="Y122" s="137">
        <f>Transportation_LCIA!C$61*($W122^Transportation_LCIA!C$60)+Transportation_LCIA!C$62</f>
        <v>0.32815716511039528</v>
      </c>
      <c r="Z122" s="137">
        <f>Transportation_LCIA!D$61*($W122^Transportation_LCIA!D$60)+Transportation_LCIA!D$62</f>
        <v>3.5191542163843881</v>
      </c>
      <c r="AA122" s="137">
        <f>Transportation_LCIA!E$61*($W122^Transportation_LCIA!E$60)+Transportation_LCIA!E$62</f>
        <v>1.8665206810453132E-3</v>
      </c>
      <c r="AB122" s="137">
        <f>Transportation_LCIA!F$61*($W122^Transportation_LCIA!F$60)+Transportation_LCIA!F$62</f>
        <v>0.32815716511039528</v>
      </c>
      <c r="AC122" s="137">
        <f>Transportation_LCIA!G$61*($W122^Transportation_LCIA!G$60)+Transportation_LCIA!G$62</f>
        <v>8.1967302989677859E-2</v>
      </c>
      <c r="AD122" s="137">
        <f>Transportation_LCIA!H$61*($W122^Transportation_LCIA!H$60)+Transportation_LCIA!H$62</f>
        <v>4.3698853519291556E-4</v>
      </c>
      <c r="AE122" s="137">
        <f>Transportation_LCIA!I$61*($W122^Transportation_LCIA!I$60)+Transportation_LCIA!I$62</f>
        <v>1.0010201729396875E-5</v>
      </c>
      <c r="AF122" s="137">
        <f>Transportation_LCIA!J$61*($W122^Transportation_LCIA!J$60)+Transportation_LCIA!J$62</f>
        <v>1.4910087392935532E-2</v>
      </c>
      <c r="AG122" s="137">
        <f>Transportation_LCIA!K$61*($W122^Transportation_LCIA!K$60)+Transportation_LCIA!K$62</f>
        <v>1.8005284512120634E-2</v>
      </c>
      <c r="AH122" s="137">
        <f>Transportation_LCIA!L$61*($W122^Transportation_LCIA!L$60)+Transportation_LCIA!L$62</f>
        <v>3.8774642038002372E-4</v>
      </c>
      <c r="AI122" s="137">
        <f>Transportation_LCIA!M$61*($W122^Transportation_LCIA!M$60)+Transportation_LCIA!M$62</f>
        <v>3.3205908340433346E-4</v>
      </c>
      <c r="AJ122" s="137">
        <f>Transportation_LCIA!N$61*($W122^Transportation_LCIA!N$60)+Transportation_LCIA!N$62</f>
        <v>1.5278401037459809E-3</v>
      </c>
      <c r="AK122" s="137">
        <f>Transportation_LCIA!O$61*($W122^Transportation_LCIA!O$60)+Transportation_LCIA!O$62</f>
        <v>8.6776433969231709E-5</v>
      </c>
      <c r="AL122" s="137">
        <f>Transportation_LCIA!P$61*($W122^Transportation_LCIA!P$60)+Transportation_LCIA!P$62</f>
        <v>4.187496920977748E-8</v>
      </c>
      <c r="AM122" s="137">
        <f>Transportation_LCIA!Q$61*($W122^Transportation_LCIA!Q$60)+Transportation_LCIA!Q$62</f>
        <v>1.5289540886279419E-4</v>
      </c>
      <c r="AN122" s="137">
        <f>Transportation_LCIA!R$61*($W122^Transportation_LCIA!R$60)+Transportation_LCIA!R$62</f>
        <v>4.8092919779996581E-4</v>
      </c>
      <c r="AO122" s="137">
        <f>Transportation_LCIA!S$61*($W122^Transportation_LCIA!S$60)+Transportation_LCIA!S$62</f>
        <v>7.081081996143308E-6</v>
      </c>
      <c r="AP122" s="137">
        <f>Transportation_LCIA!T$61*($W122^Transportation_LCIA!T$60)+Transportation_LCIA!T$62</f>
        <v>7.081081996143308E-6</v>
      </c>
      <c r="AQ122" s="137">
        <f>Transportation_LCIA!U$61*($W122^Transportation_LCIA!U$60)+Transportation_LCIA!U$62</f>
        <v>1.0425420500377758E-3</v>
      </c>
      <c r="AR122" s="137">
        <f>Transportation_LCIA!V$61*($W122^Transportation_LCIA!V$60)+Transportation_LCIA!V$62</f>
        <v>3.9809863614409633E-4</v>
      </c>
      <c r="AT122" s="137">
        <f>$W122*Y122+$L122*Summary_LCIA!H$32</f>
        <v>179.17158054508161</v>
      </c>
      <c r="AU122" s="137">
        <f>$W122*Z122+$L122*Summary_LCIA!Q$32</f>
        <v>1962.6900112156688</v>
      </c>
      <c r="AV122" s="137">
        <f>$W122*AA122+$L122*Summary_LCIA!R$32</f>
        <v>1.1239059289787343</v>
      </c>
      <c r="AW122" s="137">
        <f>$W122*AB122+$L122*Summary_LCIA!S$32</f>
        <v>179.0325980650816</v>
      </c>
      <c r="AX122" s="137">
        <f>$W122*AC122+$L122*Summary_LCIA!T$32</f>
        <v>45.540461731608708</v>
      </c>
      <c r="AY122" s="137">
        <f>$W122*AD122+$L122*Summary_LCIA!U$32</f>
        <v>0.7876524057206602</v>
      </c>
      <c r="AZ122" s="137">
        <f>$W122*AE122+$L122*Summary_LCIA!V$32</f>
        <v>6.6413706328757429E-3</v>
      </c>
      <c r="BA122" s="137">
        <f>$W122*AF122+$L122*Summary_LCIA!W$32</f>
        <v>10.075615729507806</v>
      </c>
      <c r="BB122" s="137">
        <f>$W122*AG122+$L122*Summary_LCIA!X$32</f>
        <v>9.9608120750992075</v>
      </c>
      <c r="BC122" s="137">
        <f>$W122*AH122+$L122*Summary_LCIA!Y$32</f>
        <v>0.68904244223646494</v>
      </c>
      <c r="BD122" s="137">
        <f>$W122*AI122+$L122*Summary_LCIA!Z$32</f>
        <v>0.17177977223458532</v>
      </c>
      <c r="BE122" s="137">
        <f>$W122*AJ122+$L122*Summary_LCIA!AA$32</f>
        <v>1.5188504839992714</v>
      </c>
      <c r="BF122" s="137">
        <f>$W122*AK122+$L122*Summary_LCIA!AB$32</f>
        <v>4.3867733073592277E-2</v>
      </c>
      <c r="BG122" s="137">
        <f>$W122*AL122+$L122*Summary_LCIA!AC$32</f>
        <v>2.3037124010524458E-5</v>
      </c>
      <c r="BH122" s="137">
        <f>$W122*AM122+$L122*Summary_LCIA!AD$32</f>
        <v>9.1426379484955911E-2</v>
      </c>
      <c r="BI122" s="137">
        <f>$W122*AN122+$L122*Summary_LCIA!AE$32</f>
        <v>0.27478867331925899</v>
      </c>
      <c r="BJ122" s="137">
        <f>$W122*AO122+$L122*Summary_LCIA!AF$32</f>
        <v>3.0219051786737786E-2</v>
      </c>
      <c r="BK122" s="137">
        <f>$W122*AP122+$L122*Summary_LCIA!AG$32</f>
        <v>5.2444975667377842E-3</v>
      </c>
      <c r="BL122" s="137">
        <f>$W122*AQ122+$L122*Summary_LCIA!AH$32</f>
        <v>0.808952099453769</v>
      </c>
      <c r="BM122" s="137">
        <f>$W122*AR122+$L122*Summary_LCIA!AI$32</f>
        <v>0.2336888676768874</v>
      </c>
    </row>
    <row r="123" spans="1:65" x14ac:dyDescent="0.25">
      <c r="A123" s="149">
        <v>96</v>
      </c>
      <c r="B123" s="149">
        <v>43</v>
      </c>
      <c r="C123" s="61">
        <v>40.444389999999999</v>
      </c>
      <c r="D123" s="61">
        <v>-79.953412999999998</v>
      </c>
      <c r="E123" s="61" t="s">
        <v>265</v>
      </c>
      <c r="F123" s="149">
        <v>106</v>
      </c>
      <c r="G123" s="61" t="s">
        <v>266</v>
      </c>
      <c r="H123" s="61" t="s">
        <v>669</v>
      </c>
      <c r="I123" s="61">
        <v>40.491920999999998</v>
      </c>
      <c r="J123" s="61">
        <v>-80.235223000000005</v>
      </c>
      <c r="K123" s="61">
        <v>24.630663819999999</v>
      </c>
      <c r="L123" s="61">
        <v>31.443999999999999</v>
      </c>
      <c r="M123" s="61" t="s">
        <v>617</v>
      </c>
      <c r="N123" s="149">
        <v>42</v>
      </c>
      <c r="O123" s="149">
        <v>43</v>
      </c>
      <c r="P123" s="61" t="s">
        <v>565</v>
      </c>
      <c r="Q123" s="61" t="s">
        <v>555</v>
      </c>
      <c r="R123" s="61">
        <v>40.6895314</v>
      </c>
      <c r="S123" s="61">
        <v>-74.174462399999996</v>
      </c>
      <c r="T123" s="61">
        <v>578.75699999999995</v>
      </c>
      <c r="U123" s="61" t="s">
        <v>617</v>
      </c>
      <c r="V123" s="61" t="s">
        <v>569</v>
      </c>
      <c r="W123" s="61" cm="1">
        <f t="array" ref="W123">getDistance(I123,J123,R123,S123)*SA!$B$12</f>
        <v>513.433583839015</v>
      </c>
      <c r="Y123" s="137">
        <f>Transportation_LCIA!C$61*($W123^Transportation_LCIA!C$60)+Transportation_LCIA!C$62</f>
        <v>0.32815716511039528</v>
      </c>
      <c r="Z123" s="137">
        <f>Transportation_LCIA!D$61*($W123^Transportation_LCIA!D$60)+Transportation_LCIA!D$62</f>
        <v>3.5191542163843881</v>
      </c>
      <c r="AA123" s="137">
        <f>Transportation_LCIA!E$61*($W123^Transportation_LCIA!E$60)+Transportation_LCIA!E$62</f>
        <v>1.8665206810453132E-3</v>
      </c>
      <c r="AB123" s="137">
        <f>Transportation_LCIA!F$61*($W123^Transportation_LCIA!F$60)+Transportation_LCIA!F$62</f>
        <v>0.32815716511039528</v>
      </c>
      <c r="AC123" s="137">
        <f>Transportation_LCIA!G$61*($W123^Transportation_LCIA!G$60)+Transportation_LCIA!G$62</f>
        <v>8.1967302989677859E-2</v>
      </c>
      <c r="AD123" s="137">
        <f>Transportation_LCIA!H$61*($W123^Transportation_LCIA!H$60)+Transportation_LCIA!H$62</f>
        <v>4.3698853519291556E-4</v>
      </c>
      <c r="AE123" s="137">
        <f>Transportation_LCIA!I$61*($W123^Transportation_LCIA!I$60)+Transportation_LCIA!I$62</f>
        <v>1.0010201729396875E-5</v>
      </c>
      <c r="AF123" s="137">
        <f>Transportation_LCIA!J$61*($W123^Transportation_LCIA!J$60)+Transportation_LCIA!J$62</f>
        <v>1.4910087392935532E-2</v>
      </c>
      <c r="AG123" s="137">
        <f>Transportation_LCIA!K$61*($W123^Transportation_LCIA!K$60)+Transportation_LCIA!K$62</f>
        <v>1.8005284512120634E-2</v>
      </c>
      <c r="AH123" s="137">
        <f>Transportation_LCIA!L$61*($W123^Transportation_LCIA!L$60)+Transportation_LCIA!L$62</f>
        <v>3.8774642038002372E-4</v>
      </c>
      <c r="AI123" s="137">
        <f>Transportation_LCIA!M$61*($W123^Transportation_LCIA!M$60)+Transportation_LCIA!M$62</f>
        <v>3.3205908340433346E-4</v>
      </c>
      <c r="AJ123" s="137">
        <f>Transportation_LCIA!N$61*($W123^Transportation_LCIA!N$60)+Transportation_LCIA!N$62</f>
        <v>1.5278401037459809E-3</v>
      </c>
      <c r="AK123" s="137">
        <f>Transportation_LCIA!O$61*($W123^Transportation_LCIA!O$60)+Transportation_LCIA!O$62</f>
        <v>8.6776433969231709E-5</v>
      </c>
      <c r="AL123" s="137">
        <f>Transportation_LCIA!P$61*($W123^Transportation_LCIA!P$60)+Transportation_LCIA!P$62</f>
        <v>4.187496920977748E-8</v>
      </c>
      <c r="AM123" s="137">
        <f>Transportation_LCIA!Q$61*($W123^Transportation_LCIA!Q$60)+Transportation_LCIA!Q$62</f>
        <v>1.5289540886279419E-4</v>
      </c>
      <c r="AN123" s="137">
        <f>Transportation_LCIA!R$61*($W123^Transportation_LCIA!R$60)+Transportation_LCIA!R$62</f>
        <v>4.8092919779996581E-4</v>
      </c>
      <c r="AO123" s="137">
        <f>Transportation_LCIA!S$61*($W123^Transportation_LCIA!S$60)+Transportation_LCIA!S$62</f>
        <v>7.081081996143308E-6</v>
      </c>
      <c r="AP123" s="137">
        <f>Transportation_LCIA!T$61*($W123^Transportation_LCIA!T$60)+Transportation_LCIA!T$62</f>
        <v>7.081081996143308E-6</v>
      </c>
      <c r="AQ123" s="137">
        <f>Transportation_LCIA!U$61*($W123^Transportation_LCIA!U$60)+Transportation_LCIA!U$62</f>
        <v>1.0425420500377758E-3</v>
      </c>
      <c r="AR123" s="137">
        <f>Transportation_LCIA!V$61*($W123^Transportation_LCIA!V$60)+Transportation_LCIA!V$62</f>
        <v>3.9809863614409633E-4</v>
      </c>
      <c r="AT123" s="137">
        <f>$W123*Y123+$L123*Summary_LCIA!H$32</f>
        <v>179.17158054508161</v>
      </c>
      <c r="AU123" s="137">
        <f>$W123*Z123+$L123*Summary_LCIA!Q$32</f>
        <v>1962.6900112156688</v>
      </c>
      <c r="AV123" s="137">
        <f>$W123*AA123+$L123*Summary_LCIA!R$32</f>
        <v>1.1239059289787343</v>
      </c>
      <c r="AW123" s="137">
        <f>$W123*AB123+$L123*Summary_LCIA!S$32</f>
        <v>179.0325980650816</v>
      </c>
      <c r="AX123" s="137">
        <f>$W123*AC123+$L123*Summary_LCIA!T$32</f>
        <v>45.540461731608708</v>
      </c>
      <c r="AY123" s="137">
        <f>$W123*AD123+$L123*Summary_LCIA!U$32</f>
        <v>0.7876524057206602</v>
      </c>
      <c r="AZ123" s="137">
        <f>$W123*AE123+$L123*Summary_LCIA!V$32</f>
        <v>6.6413706328757429E-3</v>
      </c>
      <c r="BA123" s="137">
        <f>$W123*AF123+$L123*Summary_LCIA!W$32</f>
        <v>10.075615729507806</v>
      </c>
      <c r="BB123" s="137">
        <f>$W123*AG123+$L123*Summary_LCIA!X$32</f>
        <v>9.9608120750992075</v>
      </c>
      <c r="BC123" s="137">
        <f>$W123*AH123+$L123*Summary_LCIA!Y$32</f>
        <v>0.68904244223646494</v>
      </c>
      <c r="BD123" s="137">
        <f>$W123*AI123+$L123*Summary_LCIA!Z$32</f>
        <v>0.17177977223458532</v>
      </c>
      <c r="BE123" s="137">
        <f>$W123*AJ123+$L123*Summary_LCIA!AA$32</f>
        <v>1.5188504839992714</v>
      </c>
      <c r="BF123" s="137">
        <f>$W123*AK123+$L123*Summary_LCIA!AB$32</f>
        <v>4.3867733073592277E-2</v>
      </c>
      <c r="BG123" s="137">
        <f>$W123*AL123+$L123*Summary_LCIA!AC$32</f>
        <v>2.3037124010524458E-5</v>
      </c>
      <c r="BH123" s="137">
        <f>$W123*AM123+$L123*Summary_LCIA!AD$32</f>
        <v>9.1426379484955911E-2</v>
      </c>
      <c r="BI123" s="137">
        <f>$W123*AN123+$L123*Summary_LCIA!AE$32</f>
        <v>0.27478867331925899</v>
      </c>
      <c r="BJ123" s="137">
        <f>$W123*AO123+$L123*Summary_LCIA!AF$32</f>
        <v>3.0219051786737786E-2</v>
      </c>
      <c r="BK123" s="137">
        <f>$W123*AP123+$L123*Summary_LCIA!AG$32</f>
        <v>5.2444975667377842E-3</v>
      </c>
      <c r="BL123" s="137">
        <f>$W123*AQ123+$L123*Summary_LCIA!AH$32</f>
        <v>0.808952099453769</v>
      </c>
      <c r="BM123" s="137">
        <f>$W123*AR123+$L123*Summary_LCIA!AI$32</f>
        <v>0.2336888676768874</v>
      </c>
    </row>
    <row r="124" spans="1:65" x14ac:dyDescent="0.25">
      <c r="A124" s="149">
        <v>293</v>
      </c>
      <c r="B124" s="149">
        <v>43</v>
      </c>
      <c r="C124" s="61">
        <v>40.440624999999997</v>
      </c>
      <c r="D124" s="61">
        <v>-79.995885999999999</v>
      </c>
      <c r="E124" s="61" t="s">
        <v>265</v>
      </c>
      <c r="F124" s="149">
        <v>106</v>
      </c>
      <c r="G124" s="61" t="s">
        <v>266</v>
      </c>
      <c r="H124" s="61" t="s">
        <v>669</v>
      </c>
      <c r="I124" s="61">
        <v>40.491920999999998</v>
      </c>
      <c r="J124" s="61">
        <v>-80.235223000000005</v>
      </c>
      <c r="K124" s="61">
        <v>21.391265860000001</v>
      </c>
      <c r="L124" s="61">
        <v>27.920999999999999</v>
      </c>
      <c r="M124" s="61" t="s">
        <v>617</v>
      </c>
      <c r="N124" s="149">
        <v>42</v>
      </c>
      <c r="O124" s="149">
        <v>43</v>
      </c>
      <c r="P124" s="61" t="s">
        <v>565</v>
      </c>
      <c r="Q124" s="61" t="s">
        <v>555</v>
      </c>
      <c r="R124" s="61">
        <v>40.6895314</v>
      </c>
      <c r="S124" s="61">
        <v>-74.174462399999996</v>
      </c>
      <c r="T124" s="61">
        <v>581.04700000000003</v>
      </c>
      <c r="U124" s="61" t="s">
        <v>617</v>
      </c>
      <c r="V124" s="61" t="s">
        <v>569</v>
      </c>
      <c r="W124" s="61" cm="1">
        <f t="array" ref="W124">getDistance(I124,J124,R124,S124)*SA!$B$12</f>
        <v>513.433583839015</v>
      </c>
      <c r="Y124" s="137">
        <f>Transportation_LCIA!C$61*($W124^Transportation_LCIA!C$60)+Transportation_LCIA!C$62</f>
        <v>0.32815716511039528</v>
      </c>
      <c r="Z124" s="137">
        <f>Transportation_LCIA!D$61*($W124^Transportation_LCIA!D$60)+Transportation_LCIA!D$62</f>
        <v>3.5191542163843881</v>
      </c>
      <c r="AA124" s="137">
        <f>Transportation_LCIA!E$61*($W124^Transportation_LCIA!E$60)+Transportation_LCIA!E$62</f>
        <v>1.8665206810453132E-3</v>
      </c>
      <c r="AB124" s="137">
        <f>Transportation_LCIA!F$61*($W124^Transportation_LCIA!F$60)+Transportation_LCIA!F$62</f>
        <v>0.32815716511039528</v>
      </c>
      <c r="AC124" s="137">
        <f>Transportation_LCIA!G$61*($W124^Transportation_LCIA!G$60)+Transportation_LCIA!G$62</f>
        <v>8.1967302989677859E-2</v>
      </c>
      <c r="AD124" s="137">
        <f>Transportation_LCIA!H$61*($W124^Transportation_LCIA!H$60)+Transportation_LCIA!H$62</f>
        <v>4.3698853519291556E-4</v>
      </c>
      <c r="AE124" s="137">
        <f>Transportation_LCIA!I$61*($W124^Transportation_LCIA!I$60)+Transportation_LCIA!I$62</f>
        <v>1.0010201729396875E-5</v>
      </c>
      <c r="AF124" s="137">
        <f>Transportation_LCIA!J$61*($W124^Transportation_LCIA!J$60)+Transportation_LCIA!J$62</f>
        <v>1.4910087392935532E-2</v>
      </c>
      <c r="AG124" s="137">
        <f>Transportation_LCIA!K$61*($W124^Transportation_LCIA!K$60)+Transportation_LCIA!K$62</f>
        <v>1.8005284512120634E-2</v>
      </c>
      <c r="AH124" s="137">
        <f>Transportation_LCIA!L$61*($W124^Transportation_LCIA!L$60)+Transportation_LCIA!L$62</f>
        <v>3.8774642038002372E-4</v>
      </c>
      <c r="AI124" s="137">
        <f>Transportation_LCIA!M$61*($W124^Transportation_LCIA!M$60)+Transportation_LCIA!M$62</f>
        <v>3.3205908340433346E-4</v>
      </c>
      <c r="AJ124" s="137">
        <f>Transportation_LCIA!N$61*($W124^Transportation_LCIA!N$60)+Transportation_LCIA!N$62</f>
        <v>1.5278401037459809E-3</v>
      </c>
      <c r="AK124" s="137">
        <f>Transportation_LCIA!O$61*($W124^Transportation_LCIA!O$60)+Transportation_LCIA!O$62</f>
        <v>8.6776433969231709E-5</v>
      </c>
      <c r="AL124" s="137">
        <f>Transportation_LCIA!P$61*($W124^Transportation_LCIA!P$60)+Transportation_LCIA!P$62</f>
        <v>4.187496920977748E-8</v>
      </c>
      <c r="AM124" s="137">
        <f>Transportation_LCIA!Q$61*($W124^Transportation_LCIA!Q$60)+Transportation_LCIA!Q$62</f>
        <v>1.5289540886279419E-4</v>
      </c>
      <c r="AN124" s="137">
        <f>Transportation_LCIA!R$61*($W124^Transportation_LCIA!R$60)+Transportation_LCIA!R$62</f>
        <v>4.8092919779996581E-4</v>
      </c>
      <c r="AO124" s="137">
        <f>Transportation_LCIA!S$61*($W124^Transportation_LCIA!S$60)+Transportation_LCIA!S$62</f>
        <v>7.081081996143308E-6</v>
      </c>
      <c r="AP124" s="137">
        <f>Transportation_LCIA!T$61*($W124^Transportation_LCIA!T$60)+Transportation_LCIA!T$62</f>
        <v>7.081081996143308E-6</v>
      </c>
      <c r="AQ124" s="137">
        <f>Transportation_LCIA!U$61*($W124^Transportation_LCIA!U$60)+Transportation_LCIA!U$62</f>
        <v>1.0425420500377758E-3</v>
      </c>
      <c r="AR124" s="137">
        <f>Transportation_LCIA!V$61*($W124^Transportation_LCIA!V$60)+Transportation_LCIA!V$62</f>
        <v>3.9809863614409633E-4</v>
      </c>
      <c r="AT124" s="137">
        <f>$W124*Y124+$L124*Summary_LCIA!H$32</f>
        <v>177.97446514508161</v>
      </c>
      <c r="AU124" s="137">
        <f>$W124*Z124+$L124*Summary_LCIA!Q$32</f>
        <v>1945.2298455402099</v>
      </c>
      <c r="AV124" s="137">
        <f>$W124*AA124+$L124*Summary_LCIA!R$32</f>
        <v>1.1053552201787342</v>
      </c>
      <c r="AW124" s="137">
        <f>$W124*AB124+$L124*Summary_LCIA!S$32</f>
        <v>177.85105432508161</v>
      </c>
      <c r="AX124" s="137">
        <f>$W124*AC124+$L124*Summary_LCIA!T$32</f>
        <v>45.153284031608706</v>
      </c>
      <c r="AY124" s="137">
        <f>$W124*AD124+$L124*Summary_LCIA!U$32</f>
        <v>0.72454138372066013</v>
      </c>
      <c r="AZ124" s="137">
        <f>$W124*AE124+$L124*Summary_LCIA!V$32</f>
        <v>6.4731086298757436E-3</v>
      </c>
      <c r="BA124" s="137">
        <f>$W124*AF124+$L124*Summary_LCIA!W$32</f>
        <v>9.8044468965078053</v>
      </c>
      <c r="BB124" s="137">
        <f>$W124*AG124+$L124*Summary_LCIA!X$32</f>
        <v>9.8805581350992089</v>
      </c>
      <c r="BC124" s="137">
        <f>$W124*AH124+$L124*Summary_LCIA!Y$32</f>
        <v>0.63414705623646483</v>
      </c>
      <c r="BD124" s="137">
        <f>$W124*AI124+$L124*Summary_LCIA!Z$32</f>
        <v>0.1716352975275853</v>
      </c>
      <c r="BE124" s="137">
        <f>$W124*AJ124+$L124*Summary_LCIA!AA$32</f>
        <v>1.4365672959992715</v>
      </c>
      <c r="BF124" s="137">
        <f>$W124*AK124+$L124*Summary_LCIA!AB$32</f>
        <v>4.394461550259228E-2</v>
      </c>
      <c r="BG124" s="137">
        <f>$W124*AL124+$L124*Summary_LCIA!AC$32</f>
        <v>2.2864905678524456E-5</v>
      </c>
      <c r="BH124" s="137">
        <f>$W124*AM124+$L124*Summary_LCIA!AD$32</f>
        <v>8.9978285564955907E-2</v>
      </c>
      <c r="BI124" s="137">
        <f>$W124*AN124+$L124*Summary_LCIA!AE$32</f>
        <v>0.271666837329259</v>
      </c>
      <c r="BJ124" s="137">
        <f>$W124*AO124+$L124*Summary_LCIA!AF$32</f>
        <v>2.7240637126737785E-2</v>
      </c>
      <c r="BK124" s="137">
        <f>$W124*AP124+$L124*Summary_LCIA!AG$32</f>
        <v>5.0642432717377846E-3</v>
      </c>
      <c r="BL124" s="137">
        <f>$W124*AQ124+$L124*Summary_LCIA!AH$32</f>
        <v>0.77828931665376899</v>
      </c>
      <c r="BM124" s="137">
        <f>$W124*AR124+$L124*Summary_LCIA!AI$32</f>
        <v>0.23040701702688743</v>
      </c>
    </row>
    <row r="125" spans="1:65" x14ac:dyDescent="0.25">
      <c r="A125" s="149">
        <v>294</v>
      </c>
      <c r="B125" s="149">
        <v>43</v>
      </c>
      <c r="C125" s="61">
        <v>40.440624999999997</v>
      </c>
      <c r="D125" s="61">
        <v>-79.995885999999999</v>
      </c>
      <c r="E125" s="61" t="s">
        <v>265</v>
      </c>
      <c r="F125" s="149">
        <v>106</v>
      </c>
      <c r="G125" s="61" t="s">
        <v>266</v>
      </c>
      <c r="H125" s="61" t="s">
        <v>669</v>
      </c>
      <c r="I125" s="61">
        <v>40.491920999999998</v>
      </c>
      <c r="J125" s="61">
        <v>-80.235223000000005</v>
      </c>
      <c r="K125" s="61">
        <v>21.391265860000001</v>
      </c>
      <c r="L125" s="61">
        <v>27.920999999999999</v>
      </c>
      <c r="M125" s="61" t="s">
        <v>617</v>
      </c>
      <c r="N125" s="149">
        <v>42</v>
      </c>
      <c r="O125" s="149">
        <v>43</v>
      </c>
      <c r="P125" s="61" t="s">
        <v>565</v>
      </c>
      <c r="Q125" s="61" t="s">
        <v>555</v>
      </c>
      <c r="R125" s="61">
        <v>40.6895314</v>
      </c>
      <c r="S125" s="61">
        <v>-74.174462399999996</v>
      </c>
      <c r="T125" s="61">
        <v>581.04700000000003</v>
      </c>
      <c r="U125" s="61" t="s">
        <v>617</v>
      </c>
      <c r="V125" s="61" t="s">
        <v>569</v>
      </c>
      <c r="W125" s="61" cm="1">
        <f t="array" ref="W125">getDistance(I125,J125,R125,S125)*SA!$B$12</f>
        <v>513.433583839015</v>
      </c>
      <c r="Y125" s="137">
        <f>Transportation_LCIA!C$61*($W125^Transportation_LCIA!C$60)+Transportation_LCIA!C$62</f>
        <v>0.32815716511039528</v>
      </c>
      <c r="Z125" s="137">
        <f>Transportation_LCIA!D$61*($W125^Transportation_LCIA!D$60)+Transportation_LCIA!D$62</f>
        <v>3.5191542163843881</v>
      </c>
      <c r="AA125" s="137">
        <f>Transportation_LCIA!E$61*($W125^Transportation_LCIA!E$60)+Transportation_LCIA!E$62</f>
        <v>1.8665206810453132E-3</v>
      </c>
      <c r="AB125" s="137">
        <f>Transportation_LCIA!F$61*($W125^Transportation_LCIA!F$60)+Transportation_LCIA!F$62</f>
        <v>0.32815716511039528</v>
      </c>
      <c r="AC125" s="137">
        <f>Transportation_LCIA!G$61*($W125^Transportation_LCIA!G$60)+Transportation_LCIA!G$62</f>
        <v>8.1967302989677859E-2</v>
      </c>
      <c r="AD125" s="137">
        <f>Transportation_LCIA!H$61*($W125^Transportation_LCIA!H$60)+Transportation_LCIA!H$62</f>
        <v>4.3698853519291556E-4</v>
      </c>
      <c r="AE125" s="137">
        <f>Transportation_LCIA!I$61*($W125^Transportation_LCIA!I$60)+Transportation_LCIA!I$62</f>
        <v>1.0010201729396875E-5</v>
      </c>
      <c r="AF125" s="137">
        <f>Transportation_LCIA!J$61*($W125^Transportation_LCIA!J$60)+Transportation_LCIA!J$62</f>
        <v>1.4910087392935532E-2</v>
      </c>
      <c r="AG125" s="137">
        <f>Transportation_LCIA!K$61*($W125^Transportation_LCIA!K$60)+Transportation_LCIA!K$62</f>
        <v>1.8005284512120634E-2</v>
      </c>
      <c r="AH125" s="137">
        <f>Transportation_LCIA!L$61*($W125^Transportation_LCIA!L$60)+Transportation_LCIA!L$62</f>
        <v>3.8774642038002372E-4</v>
      </c>
      <c r="AI125" s="137">
        <f>Transportation_LCIA!M$61*($W125^Transportation_LCIA!M$60)+Transportation_LCIA!M$62</f>
        <v>3.3205908340433346E-4</v>
      </c>
      <c r="AJ125" s="137">
        <f>Transportation_LCIA!N$61*($W125^Transportation_LCIA!N$60)+Transportation_LCIA!N$62</f>
        <v>1.5278401037459809E-3</v>
      </c>
      <c r="AK125" s="137">
        <f>Transportation_LCIA!O$61*($W125^Transportation_LCIA!O$60)+Transportation_LCIA!O$62</f>
        <v>8.6776433969231709E-5</v>
      </c>
      <c r="AL125" s="137">
        <f>Transportation_LCIA!P$61*($W125^Transportation_LCIA!P$60)+Transportation_LCIA!P$62</f>
        <v>4.187496920977748E-8</v>
      </c>
      <c r="AM125" s="137">
        <f>Transportation_LCIA!Q$61*($W125^Transportation_LCIA!Q$60)+Transportation_LCIA!Q$62</f>
        <v>1.5289540886279419E-4</v>
      </c>
      <c r="AN125" s="137">
        <f>Transportation_LCIA!R$61*($W125^Transportation_LCIA!R$60)+Transportation_LCIA!R$62</f>
        <v>4.8092919779996581E-4</v>
      </c>
      <c r="AO125" s="137">
        <f>Transportation_LCIA!S$61*($W125^Transportation_LCIA!S$60)+Transportation_LCIA!S$62</f>
        <v>7.081081996143308E-6</v>
      </c>
      <c r="AP125" s="137">
        <f>Transportation_LCIA!T$61*($W125^Transportation_LCIA!T$60)+Transportation_LCIA!T$62</f>
        <v>7.081081996143308E-6</v>
      </c>
      <c r="AQ125" s="137">
        <f>Transportation_LCIA!U$61*($W125^Transportation_LCIA!U$60)+Transportation_LCIA!U$62</f>
        <v>1.0425420500377758E-3</v>
      </c>
      <c r="AR125" s="137">
        <f>Transportation_LCIA!V$61*($W125^Transportation_LCIA!V$60)+Transportation_LCIA!V$62</f>
        <v>3.9809863614409633E-4</v>
      </c>
      <c r="AT125" s="137">
        <f>$W125*Y125+$L125*Summary_LCIA!H$32</f>
        <v>177.97446514508161</v>
      </c>
      <c r="AU125" s="137">
        <f>$W125*Z125+$L125*Summary_LCIA!Q$32</f>
        <v>1945.2298455402099</v>
      </c>
      <c r="AV125" s="137">
        <f>$W125*AA125+$L125*Summary_LCIA!R$32</f>
        <v>1.1053552201787342</v>
      </c>
      <c r="AW125" s="137">
        <f>$W125*AB125+$L125*Summary_LCIA!S$32</f>
        <v>177.85105432508161</v>
      </c>
      <c r="AX125" s="137">
        <f>$W125*AC125+$L125*Summary_LCIA!T$32</f>
        <v>45.153284031608706</v>
      </c>
      <c r="AY125" s="137">
        <f>$W125*AD125+$L125*Summary_LCIA!U$32</f>
        <v>0.72454138372066013</v>
      </c>
      <c r="AZ125" s="137">
        <f>$W125*AE125+$L125*Summary_LCIA!V$32</f>
        <v>6.4731086298757436E-3</v>
      </c>
      <c r="BA125" s="137">
        <f>$W125*AF125+$L125*Summary_LCIA!W$32</f>
        <v>9.8044468965078053</v>
      </c>
      <c r="BB125" s="137">
        <f>$W125*AG125+$L125*Summary_LCIA!X$32</f>
        <v>9.8805581350992089</v>
      </c>
      <c r="BC125" s="137">
        <f>$W125*AH125+$L125*Summary_LCIA!Y$32</f>
        <v>0.63414705623646483</v>
      </c>
      <c r="BD125" s="137">
        <f>$W125*AI125+$L125*Summary_LCIA!Z$32</f>
        <v>0.1716352975275853</v>
      </c>
      <c r="BE125" s="137">
        <f>$W125*AJ125+$L125*Summary_LCIA!AA$32</f>
        <v>1.4365672959992715</v>
      </c>
      <c r="BF125" s="137">
        <f>$W125*AK125+$L125*Summary_LCIA!AB$32</f>
        <v>4.394461550259228E-2</v>
      </c>
      <c r="BG125" s="137">
        <f>$W125*AL125+$L125*Summary_LCIA!AC$32</f>
        <v>2.2864905678524456E-5</v>
      </c>
      <c r="BH125" s="137">
        <f>$W125*AM125+$L125*Summary_LCIA!AD$32</f>
        <v>8.9978285564955907E-2</v>
      </c>
      <c r="BI125" s="137">
        <f>$W125*AN125+$L125*Summary_LCIA!AE$32</f>
        <v>0.271666837329259</v>
      </c>
      <c r="BJ125" s="137">
        <f>$W125*AO125+$L125*Summary_LCIA!AF$32</f>
        <v>2.7240637126737785E-2</v>
      </c>
      <c r="BK125" s="137">
        <f>$W125*AP125+$L125*Summary_LCIA!AG$32</f>
        <v>5.0642432717377846E-3</v>
      </c>
      <c r="BL125" s="137">
        <f>$W125*AQ125+$L125*Summary_LCIA!AH$32</f>
        <v>0.77828931665376899</v>
      </c>
      <c r="BM125" s="137">
        <f>$W125*AR125+$L125*Summary_LCIA!AI$32</f>
        <v>0.23040701702688743</v>
      </c>
    </row>
    <row r="126" spans="1:65" x14ac:dyDescent="0.25">
      <c r="A126" s="149">
        <v>295</v>
      </c>
      <c r="B126" s="149">
        <v>43</v>
      </c>
      <c r="C126" s="61">
        <v>40.440624999999997</v>
      </c>
      <c r="D126" s="61">
        <v>-79.995885999999999</v>
      </c>
      <c r="E126" s="61" t="s">
        <v>265</v>
      </c>
      <c r="F126" s="149">
        <v>106</v>
      </c>
      <c r="G126" s="61" t="s">
        <v>266</v>
      </c>
      <c r="H126" s="61" t="s">
        <v>669</v>
      </c>
      <c r="I126" s="61">
        <v>40.491920999999998</v>
      </c>
      <c r="J126" s="61">
        <v>-80.235223000000005</v>
      </c>
      <c r="K126" s="61">
        <v>21.391265860000001</v>
      </c>
      <c r="L126" s="61">
        <v>27.920999999999999</v>
      </c>
      <c r="M126" s="61" t="s">
        <v>617</v>
      </c>
      <c r="N126" s="149">
        <v>42</v>
      </c>
      <c r="O126" s="149">
        <v>43</v>
      </c>
      <c r="P126" s="61" t="s">
        <v>565</v>
      </c>
      <c r="Q126" s="61" t="s">
        <v>555</v>
      </c>
      <c r="R126" s="61">
        <v>40.6895314</v>
      </c>
      <c r="S126" s="61">
        <v>-74.174462399999996</v>
      </c>
      <c r="T126" s="61">
        <v>581.04700000000003</v>
      </c>
      <c r="U126" s="61" t="s">
        <v>617</v>
      </c>
      <c r="V126" s="61" t="s">
        <v>569</v>
      </c>
      <c r="W126" s="61" cm="1">
        <f t="array" ref="W126">getDistance(I126,J126,R126,S126)*SA!$B$12</f>
        <v>513.433583839015</v>
      </c>
      <c r="Y126" s="137">
        <f>Transportation_LCIA!C$61*($W126^Transportation_LCIA!C$60)+Transportation_LCIA!C$62</f>
        <v>0.32815716511039528</v>
      </c>
      <c r="Z126" s="137">
        <f>Transportation_LCIA!D$61*($W126^Transportation_LCIA!D$60)+Transportation_LCIA!D$62</f>
        <v>3.5191542163843881</v>
      </c>
      <c r="AA126" s="137">
        <f>Transportation_LCIA!E$61*($W126^Transportation_LCIA!E$60)+Transportation_LCIA!E$62</f>
        <v>1.8665206810453132E-3</v>
      </c>
      <c r="AB126" s="137">
        <f>Transportation_LCIA!F$61*($W126^Transportation_LCIA!F$60)+Transportation_LCIA!F$62</f>
        <v>0.32815716511039528</v>
      </c>
      <c r="AC126" s="137">
        <f>Transportation_LCIA!G$61*($W126^Transportation_LCIA!G$60)+Transportation_LCIA!G$62</f>
        <v>8.1967302989677859E-2</v>
      </c>
      <c r="AD126" s="137">
        <f>Transportation_LCIA!H$61*($W126^Transportation_LCIA!H$60)+Transportation_LCIA!H$62</f>
        <v>4.3698853519291556E-4</v>
      </c>
      <c r="AE126" s="137">
        <f>Transportation_LCIA!I$61*($W126^Transportation_LCIA!I$60)+Transportation_LCIA!I$62</f>
        <v>1.0010201729396875E-5</v>
      </c>
      <c r="AF126" s="137">
        <f>Transportation_LCIA!J$61*($W126^Transportation_LCIA!J$60)+Transportation_LCIA!J$62</f>
        <v>1.4910087392935532E-2</v>
      </c>
      <c r="AG126" s="137">
        <f>Transportation_LCIA!K$61*($W126^Transportation_LCIA!K$60)+Transportation_LCIA!K$62</f>
        <v>1.8005284512120634E-2</v>
      </c>
      <c r="AH126" s="137">
        <f>Transportation_LCIA!L$61*($W126^Transportation_LCIA!L$60)+Transportation_LCIA!L$62</f>
        <v>3.8774642038002372E-4</v>
      </c>
      <c r="AI126" s="137">
        <f>Transportation_LCIA!M$61*($W126^Transportation_LCIA!M$60)+Transportation_LCIA!M$62</f>
        <v>3.3205908340433346E-4</v>
      </c>
      <c r="AJ126" s="137">
        <f>Transportation_LCIA!N$61*($W126^Transportation_LCIA!N$60)+Transportation_LCIA!N$62</f>
        <v>1.5278401037459809E-3</v>
      </c>
      <c r="AK126" s="137">
        <f>Transportation_LCIA!O$61*($W126^Transportation_LCIA!O$60)+Transportation_LCIA!O$62</f>
        <v>8.6776433969231709E-5</v>
      </c>
      <c r="AL126" s="137">
        <f>Transportation_LCIA!P$61*($W126^Transportation_LCIA!P$60)+Transportation_LCIA!P$62</f>
        <v>4.187496920977748E-8</v>
      </c>
      <c r="AM126" s="137">
        <f>Transportation_LCIA!Q$61*($W126^Transportation_LCIA!Q$60)+Transportation_LCIA!Q$62</f>
        <v>1.5289540886279419E-4</v>
      </c>
      <c r="AN126" s="137">
        <f>Transportation_LCIA!R$61*($W126^Transportation_LCIA!R$60)+Transportation_LCIA!R$62</f>
        <v>4.8092919779996581E-4</v>
      </c>
      <c r="AO126" s="137">
        <f>Transportation_LCIA!S$61*($W126^Transportation_LCIA!S$60)+Transportation_LCIA!S$62</f>
        <v>7.081081996143308E-6</v>
      </c>
      <c r="AP126" s="137">
        <f>Transportation_LCIA!T$61*($W126^Transportation_LCIA!T$60)+Transportation_LCIA!T$62</f>
        <v>7.081081996143308E-6</v>
      </c>
      <c r="AQ126" s="137">
        <f>Transportation_LCIA!U$61*($W126^Transportation_LCIA!U$60)+Transportation_LCIA!U$62</f>
        <v>1.0425420500377758E-3</v>
      </c>
      <c r="AR126" s="137">
        <f>Transportation_LCIA!V$61*($W126^Transportation_LCIA!V$60)+Transportation_LCIA!V$62</f>
        <v>3.9809863614409633E-4</v>
      </c>
      <c r="AT126" s="137">
        <f>$W126*Y126+$L126*Summary_LCIA!H$32</f>
        <v>177.97446514508161</v>
      </c>
      <c r="AU126" s="137">
        <f>$W126*Z126+$L126*Summary_LCIA!Q$32</f>
        <v>1945.2298455402099</v>
      </c>
      <c r="AV126" s="137">
        <f>$W126*AA126+$L126*Summary_LCIA!R$32</f>
        <v>1.1053552201787342</v>
      </c>
      <c r="AW126" s="137">
        <f>$W126*AB126+$L126*Summary_LCIA!S$32</f>
        <v>177.85105432508161</v>
      </c>
      <c r="AX126" s="137">
        <f>$W126*AC126+$L126*Summary_LCIA!T$32</f>
        <v>45.153284031608706</v>
      </c>
      <c r="AY126" s="137">
        <f>$W126*AD126+$L126*Summary_LCIA!U$32</f>
        <v>0.72454138372066013</v>
      </c>
      <c r="AZ126" s="137">
        <f>$W126*AE126+$L126*Summary_LCIA!V$32</f>
        <v>6.4731086298757436E-3</v>
      </c>
      <c r="BA126" s="137">
        <f>$W126*AF126+$L126*Summary_LCIA!W$32</f>
        <v>9.8044468965078053</v>
      </c>
      <c r="BB126" s="137">
        <f>$W126*AG126+$L126*Summary_LCIA!X$32</f>
        <v>9.8805581350992089</v>
      </c>
      <c r="BC126" s="137">
        <f>$W126*AH126+$L126*Summary_LCIA!Y$32</f>
        <v>0.63414705623646483</v>
      </c>
      <c r="BD126" s="137">
        <f>$W126*AI126+$L126*Summary_LCIA!Z$32</f>
        <v>0.1716352975275853</v>
      </c>
      <c r="BE126" s="137">
        <f>$W126*AJ126+$L126*Summary_LCIA!AA$32</f>
        <v>1.4365672959992715</v>
      </c>
      <c r="BF126" s="137">
        <f>$W126*AK126+$L126*Summary_LCIA!AB$32</f>
        <v>4.394461550259228E-2</v>
      </c>
      <c r="BG126" s="137">
        <f>$W126*AL126+$L126*Summary_LCIA!AC$32</f>
        <v>2.2864905678524456E-5</v>
      </c>
      <c r="BH126" s="137">
        <f>$W126*AM126+$L126*Summary_LCIA!AD$32</f>
        <v>8.9978285564955907E-2</v>
      </c>
      <c r="BI126" s="137">
        <f>$W126*AN126+$L126*Summary_LCIA!AE$32</f>
        <v>0.271666837329259</v>
      </c>
      <c r="BJ126" s="137">
        <f>$W126*AO126+$L126*Summary_LCIA!AF$32</f>
        <v>2.7240637126737785E-2</v>
      </c>
      <c r="BK126" s="137">
        <f>$W126*AP126+$L126*Summary_LCIA!AG$32</f>
        <v>5.0642432717377846E-3</v>
      </c>
      <c r="BL126" s="137">
        <f>$W126*AQ126+$L126*Summary_LCIA!AH$32</f>
        <v>0.77828931665376899</v>
      </c>
      <c r="BM126" s="137">
        <f>$W126*AR126+$L126*Summary_LCIA!AI$32</f>
        <v>0.23040701702688743</v>
      </c>
    </row>
    <row r="127" spans="1:65" x14ac:dyDescent="0.25">
      <c r="A127" s="149">
        <v>296</v>
      </c>
      <c r="B127" s="149">
        <v>43</v>
      </c>
      <c r="C127" s="61">
        <v>40.440624999999997</v>
      </c>
      <c r="D127" s="61">
        <v>-79.995885999999999</v>
      </c>
      <c r="E127" s="61" t="s">
        <v>265</v>
      </c>
      <c r="F127" s="149">
        <v>106</v>
      </c>
      <c r="G127" s="61" t="s">
        <v>266</v>
      </c>
      <c r="H127" s="61" t="s">
        <v>669</v>
      </c>
      <c r="I127" s="61">
        <v>40.491920999999998</v>
      </c>
      <c r="J127" s="61">
        <v>-80.235223000000005</v>
      </c>
      <c r="K127" s="61">
        <v>21.391265860000001</v>
      </c>
      <c r="L127" s="61">
        <v>27.920999999999999</v>
      </c>
      <c r="M127" s="61" t="s">
        <v>617</v>
      </c>
      <c r="N127" s="149">
        <v>42</v>
      </c>
      <c r="O127" s="149">
        <v>43</v>
      </c>
      <c r="P127" s="61" t="s">
        <v>565</v>
      </c>
      <c r="Q127" s="61" t="s">
        <v>555</v>
      </c>
      <c r="R127" s="61">
        <v>40.6895314</v>
      </c>
      <c r="S127" s="61">
        <v>-74.174462399999996</v>
      </c>
      <c r="T127" s="61">
        <v>581.04700000000003</v>
      </c>
      <c r="U127" s="61" t="s">
        <v>617</v>
      </c>
      <c r="V127" s="61" t="s">
        <v>569</v>
      </c>
      <c r="W127" s="61" cm="1">
        <f t="array" ref="W127">getDistance(I127,J127,R127,S127)*SA!$B$12</f>
        <v>513.433583839015</v>
      </c>
      <c r="Y127" s="137">
        <f>Transportation_LCIA!C$61*($W127^Transportation_LCIA!C$60)+Transportation_LCIA!C$62</f>
        <v>0.32815716511039528</v>
      </c>
      <c r="Z127" s="137">
        <f>Transportation_LCIA!D$61*($W127^Transportation_LCIA!D$60)+Transportation_LCIA!D$62</f>
        <v>3.5191542163843881</v>
      </c>
      <c r="AA127" s="137">
        <f>Transportation_LCIA!E$61*($W127^Transportation_LCIA!E$60)+Transportation_LCIA!E$62</f>
        <v>1.8665206810453132E-3</v>
      </c>
      <c r="AB127" s="137">
        <f>Transportation_LCIA!F$61*($W127^Transportation_LCIA!F$60)+Transportation_LCIA!F$62</f>
        <v>0.32815716511039528</v>
      </c>
      <c r="AC127" s="137">
        <f>Transportation_LCIA!G$61*($W127^Transportation_LCIA!G$60)+Transportation_LCIA!G$62</f>
        <v>8.1967302989677859E-2</v>
      </c>
      <c r="AD127" s="137">
        <f>Transportation_LCIA!H$61*($W127^Transportation_LCIA!H$60)+Transportation_LCIA!H$62</f>
        <v>4.3698853519291556E-4</v>
      </c>
      <c r="AE127" s="137">
        <f>Transportation_LCIA!I$61*($W127^Transportation_LCIA!I$60)+Transportation_LCIA!I$62</f>
        <v>1.0010201729396875E-5</v>
      </c>
      <c r="AF127" s="137">
        <f>Transportation_LCIA!J$61*($W127^Transportation_LCIA!J$60)+Transportation_LCIA!J$62</f>
        <v>1.4910087392935532E-2</v>
      </c>
      <c r="AG127" s="137">
        <f>Transportation_LCIA!K$61*($W127^Transportation_LCIA!K$60)+Transportation_LCIA!K$62</f>
        <v>1.8005284512120634E-2</v>
      </c>
      <c r="AH127" s="137">
        <f>Transportation_LCIA!L$61*($W127^Transportation_LCIA!L$60)+Transportation_LCIA!L$62</f>
        <v>3.8774642038002372E-4</v>
      </c>
      <c r="AI127" s="137">
        <f>Transportation_LCIA!M$61*($W127^Transportation_LCIA!M$60)+Transportation_LCIA!M$62</f>
        <v>3.3205908340433346E-4</v>
      </c>
      <c r="AJ127" s="137">
        <f>Transportation_LCIA!N$61*($W127^Transportation_LCIA!N$60)+Transportation_LCIA!N$62</f>
        <v>1.5278401037459809E-3</v>
      </c>
      <c r="AK127" s="137">
        <f>Transportation_LCIA!O$61*($W127^Transportation_LCIA!O$60)+Transportation_LCIA!O$62</f>
        <v>8.6776433969231709E-5</v>
      </c>
      <c r="AL127" s="137">
        <f>Transportation_LCIA!P$61*($W127^Transportation_LCIA!P$60)+Transportation_LCIA!P$62</f>
        <v>4.187496920977748E-8</v>
      </c>
      <c r="AM127" s="137">
        <f>Transportation_LCIA!Q$61*($W127^Transportation_LCIA!Q$60)+Transportation_LCIA!Q$62</f>
        <v>1.5289540886279419E-4</v>
      </c>
      <c r="AN127" s="137">
        <f>Transportation_LCIA!R$61*($W127^Transportation_LCIA!R$60)+Transportation_LCIA!R$62</f>
        <v>4.8092919779996581E-4</v>
      </c>
      <c r="AO127" s="137">
        <f>Transportation_LCIA!S$61*($W127^Transportation_LCIA!S$60)+Transportation_LCIA!S$62</f>
        <v>7.081081996143308E-6</v>
      </c>
      <c r="AP127" s="137">
        <f>Transportation_LCIA!T$61*($W127^Transportation_LCIA!T$60)+Transportation_LCIA!T$62</f>
        <v>7.081081996143308E-6</v>
      </c>
      <c r="AQ127" s="137">
        <f>Transportation_LCIA!U$61*($W127^Transportation_LCIA!U$60)+Transportation_LCIA!U$62</f>
        <v>1.0425420500377758E-3</v>
      </c>
      <c r="AR127" s="137">
        <f>Transportation_LCIA!V$61*($W127^Transportation_LCIA!V$60)+Transportation_LCIA!V$62</f>
        <v>3.9809863614409633E-4</v>
      </c>
      <c r="AT127" s="137">
        <f>$W127*Y127+$L127*Summary_LCIA!H$32</f>
        <v>177.97446514508161</v>
      </c>
      <c r="AU127" s="137">
        <f>$W127*Z127+$L127*Summary_LCIA!Q$32</f>
        <v>1945.2298455402099</v>
      </c>
      <c r="AV127" s="137">
        <f>$W127*AA127+$L127*Summary_LCIA!R$32</f>
        <v>1.1053552201787342</v>
      </c>
      <c r="AW127" s="137">
        <f>$W127*AB127+$L127*Summary_LCIA!S$32</f>
        <v>177.85105432508161</v>
      </c>
      <c r="AX127" s="137">
        <f>$W127*AC127+$L127*Summary_LCIA!T$32</f>
        <v>45.153284031608706</v>
      </c>
      <c r="AY127" s="137">
        <f>$W127*AD127+$L127*Summary_LCIA!U$32</f>
        <v>0.72454138372066013</v>
      </c>
      <c r="AZ127" s="137">
        <f>$W127*AE127+$L127*Summary_LCIA!V$32</f>
        <v>6.4731086298757436E-3</v>
      </c>
      <c r="BA127" s="137">
        <f>$W127*AF127+$L127*Summary_LCIA!W$32</f>
        <v>9.8044468965078053</v>
      </c>
      <c r="BB127" s="137">
        <f>$W127*AG127+$L127*Summary_LCIA!X$32</f>
        <v>9.8805581350992089</v>
      </c>
      <c r="BC127" s="137">
        <f>$W127*AH127+$L127*Summary_LCIA!Y$32</f>
        <v>0.63414705623646483</v>
      </c>
      <c r="BD127" s="137">
        <f>$W127*AI127+$L127*Summary_LCIA!Z$32</f>
        <v>0.1716352975275853</v>
      </c>
      <c r="BE127" s="137">
        <f>$W127*AJ127+$L127*Summary_LCIA!AA$32</f>
        <v>1.4365672959992715</v>
      </c>
      <c r="BF127" s="137">
        <f>$W127*AK127+$L127*Summary_LCIA!AB$32</f>
        <v>4.394461550259228E-2</v>
      </c>
      <c r="BG127" s="137">
        <f>$W127*AL127+$L127*Summary_LCIA!AC$32</f>
        <v>2.2864905678524456E-5</v>
      </c>
      <c r="BH127" s="137">
        <f>$W127*AM127+$L127*Summary_LCIA!AD$32</f>
        <v>8.9978285564955907E-2</v>
      </c>
      <c r="BI127" s="137">
        <f>$W127*AN127+$L127*Summary_LCIA!AE$32</f>
        <v>0.271666837329259</v>
      </c>
      <c r="BJ127" s="137">
        <f>$W127*AO127+$L127*Summary_LCIA!AF$32</f>
        <v>2.7240637126737785E-2</v>
      </c>
      <c r="BK127" s="137">
        <f>$W127*AP127+$L127*Summary_LCIA!AG$32</f>
        <v>5.0642432717377846E-3</v>
      </c>
      <c r="BL127" s="137">
        <f>$W127*AQ127+$L127*Summary_LCIA!AH$32</f>
        <v>0.77828931665376899</v>
      </c>
      <c r="BM127" s="137">
        <f>$W127*AR127+$L127*Summary_LCIA!AI$32</f>
        <v>0.23040701702688743</v>
      </c>
    </row>
    <row r="128" spans="1:65" x14ac:dyDescent="0.25">
      <c r="A128" s="149">
        <v>297</v>
      </c>
      <c r="B128" s="149">
        <v>43</v>
      </c>
      <c r="C128" s="61">
        <v>40.440624999999997</v>
      </c>
      <c r="D128" s="61">
        <v>-79.995885999999999</v>
      </c>
      <c r="E128" s="61" t="s">
        <v>265</v>
      </c>
      <c r="F128" s="149">
        <v>106</v>
      </c>
      <c r="G128" s="61" t="s">
        <v>266</v>
      </c>
      <c r="H128" s="61" t="s">
        <v>669</v>
      </c>
      <c r="I128" s="61">
        <v>40.491920999999998</v>
      </c>
      <c r="J128" s="61">
        <v>-80.235223000000005</v>
      </c>
      <c r="K128" s="61">
        <v>21.391265860000001</v>
      </c>
      <c r="L128" s="61">
        <v>27.920999999999999</v>
      </c>
      <c r="M128" s="61" t="s">
        <v>617</v>
      </c>
      <c r="N128" s="149">
        <v>42</v>
      </c>
      <c r="O128" s="149">
        <v>43</v>
      </c>
      <c r="P128" s="61" t="s">
        <v>565</v>
      </c>
      <c r="Q128" s="61" t="s">
        <v>555</v>
      </c>
      <c r="R128" s="61">
        <v>40.6895314</v>
      </c>
      <c r="S128" s="61">
        <v>-74.174462399999996</v>
      </c>
      <c r="T128" s="61">
        <v>581.04700000000003</v>
      </c>
      <c r="U128" s="61" t="s">
        <v>617</v>
      </c>
      <c r="V128" s="61" t="s">
        <v>569</v>
      </c>
      <c r="W128" s="61" cm="1">
        <f t="array" ref="W128">getDistance(I128,J128,R128,S128)*SA!$B$12</f>
        <v>513.433583839015</v>
      </c>
      <c r="Y128" s="137">
        <f>Transportation_LCIA!C$61*($W128^Transportation_LCIA!C$60)+Transportation_LCIA!C$62</f>
        <v>0.32815716511039528</v>
      </c>
      <c r="Z128" s="137">
        <f>Transportation_LCIA!D$61*($W128^Transportation_LCIA!D$60)+Transportation_LCIA!D$62</f>
        <v>3.5191542163843881</v>
      </c>
      <c r="AA128" s="137">
        <f>Transportation_LCIA!E$61*($W128^Transportation_LCIA!E$60)+Transportation_LCIA!E$62</f>
        <v>1.8665206810453132E-3</v>
      </c>
      <c r="AB128" s="137">
        <f>Transportation_LCIA!F$61*($W128^Transportation_LCIA!F$60)+Transportation_LCIA!F$62</f>
        <v>0.32815716511039528</v>
      </c>
      <c r="AC128" s="137">
        <f>Transportation_LCIA!G$61*($W128^Transportation_LCIA!G$60)+Transportation_LCIA!G$62</f>
        <v>8.1967302989677859E-2</v>
      </c>
      <c r="AD128" s="137">
        <f>Transportation_LCIA!H$61*($W128^Transportation_LCIA!H$60)+Transportation_LCIA!H$62</f>
        <v>4.3698853519291556E-4</v>
      </c>
      <c r="AE128" s="137">
        <f>Transportation_LCIA!I$61*($W128^Transportation_LCIA!I$60)+Transportation_LCIA!I$62</f>
        <v>1.0010201729396875E-5</v>
      </c>
      <c r="AF128" s="137">
        <f>Transportation_LCIA!J$61*($W128^Transportation_LCIA!J$60)+Transportation_LCIA!J$62</f>
        <v>1.4910087392935532E-2</v>
      </c>
      <c r="AG128" s="137">
        <f>Transportation_LCIA!K$61*($W128^Transportation_LCIA!K$60)+Transportation_LCIA!K$62</f>
        <v>1.8005284512120634E-2</v>
      </c>
      <c r="AH128" s="137">
        <f>Transportation_LCIA!L$61*($W128^Transportation_LCIA!L$60)+Transportation_LCIA!L$62</f>
        <v>3.8774642038002372E-4</v>
      </c>
      <c r="AI128" s="137">
        <f>Transportation_LCIA!M$61*($W128^Transportation_LCIA!M$60)+Transportation_LCIA!M$62</f>
        <v>3.3205908340433346E-4</v>
      </c>
      <c r="AJ128" s="137">
        <f>Transportation_LCIA!N$61*($W128^Transportation_LCIA!N$60)+Transportation_LCIA!N$62</f>
        <v>1.5278401037459809E-3</v>
      </c>
      <c r="AK128" s="137">
        <f>Transportation_LCIA!O$61*($W128^Transportation_LCIA!O$60)+Transportation_LCIA!O$62</f>
        <v>8.6776433969231709E-5</v>
      </c>
      <c r="AL128" s="137">
        <f>Transportation_LCIA!P$61*($W128^Transportation_LCIA!P$60)+Transportation_LCIA!P$62</f>
        <v>4.187496920977748E-8</v>
      </c>
      <c r="AM128" s="137">
        <f>Transportation_LCIA!Q$61*($W128^Transportation_LCIA!Q$60)+Transportation_LCIA!Q$62</f>
        <v>1.5289540886279419E-4</v>
      </c>
      <c r="AN128" s="137">
        <f>Transportation_LCIA!R$61*($W128^Transportation_LCIA!R$60)+Transportation_LCIA!R$62</f>
        <v>4.8092919779996581E-4</v>
      </c>
      <c r="AO128" s="137">
        <f>Transportation_LCIA!S$61*($W128^Transportation_LCIA!S$60)+Transportation_LCIA!S$62</f>
        <v>7.081081996143308E-6</v>
      </c>
      <c r="AP128" s="137">
        <f>Transportation_LCIA!T$61*($W128^Transportation_LCIA!T$60)+Transportation_LCIA!T$62</f>
        <v>7.081081996143308E-6</v>
      </c>
      <c r="AQ128" s="137">
        <f>Transportation_LCIA!U$61*($W128^Transportation_LCIA!U$60)+Transportation_LCIA!U$62</f>
        <v>1.0425420500377758E-3</v>
      </c>
      <c r="AR128" s="137">
        <f>Transportation_LCIA!V$61*($W128^Transportation_LCIA!V$60)+Transportation_LCIA!V$62</f>
        <v>3.9809863614409633E-4</v>
      </c>
      <c r="AT128" s="137">
        <f>$W128*Y128+$L128*Summary_LCIA!H$32</f>
        <v>177.97446514508161</v>
      </c>
      <c r="AU128" s="137">
        <f>$W128*Z128+$L128*Summary_LCIA!Q$32</f>
        <v>1945.2298455402099</v>
      </c>
      <c r="AV128" s="137">
        <f>$W128*AA128+$L128*Summary_LCIA!R$32</f>
        <v>1.1053552201787342</v>
      </c>
      <c r="AW128" s="137">
        <f>$W128*AB128+$L128*Summary_LCIA!S$32</f>
        <v>177.85105432508161</v>
      </c>
      <c r="AX128" s="137">
        <f>$W128*AC128+$L128*Summary_LCIA!T$32</f>
        <v>45.153284031608706</v>
      </c>
      <c r="AY128" s="137">
        <f>$W128*AD128+$L128*Summary_LCIA!U$32</f>
        <v>0.72454138372066013</v>
      </c>
      <c r="AZ128" s="137">
        <f>$W128*AE128+$L128*Summary_LCIA!V$32</f>
        <v>6.4731086298757436E-3</v>
      </c>
      <c r="BA128" s="137">
        <f>$W128*AF128+$L128*Summary_LCIA!W$32</f>
        <v>9.8044468965078053</v>
      </c>
      <c r="BB128" s="137">
        <f>$W128*AG128+$L128*Summary_LCIA!X$32</f>
        <v>9.8805581350992089</v>
      </c>
      <c r="BC128" s="137">
        <f>$W128*AH128+$L128*Summary_LCIA!Y$32</f>
        <v>0.63414705623646483</v>
      </c>
      <c r="BD128" s="137">
        <f>$W128*AI128+$L128*Summary_LCIA!Z$32</f>
        <v>0.1716352975275853</v>
      </c>
      <c r="BE128" s="137">
        <f>$W128*AJ128+$L128*Summary_LCIA!AA$32</f>
        <v>1.4365672959992715</v>
      </c>
      <c r="BF128" s="137">
        <f>$W128*AK128+$L128*Summary_LCIA!AB$32</f>
        <v>4.394461550259228E-2</v>
      </c>
      <c r="BG128" s="137">
        <f>$W128*AL128+$L128*Summary_LCIA!AC$32</f>
        <v>2.2864905678524456E-5</v>
      </c>
      <c r="BH128" s="137">
        <f>$W128*AM128+$L128*Summary_LCIA!AD$32</f>
        <v>8.9978285564955907E-2</v>
      </c>
      <c r="BI128" s="137">
        <f>$W128*AN128+$L128*Summary_LCIA!AE$32</f>
        <v>0.271666837329259</v>
      </c>
      <c r="BJ128" s="137">
        <f>$W128*AO128+$L128*Summary_LCIA!AF$32</f>
        <v>2.7240637126737785E-2</v>
      </c>
      <c r="BK128" s="137">
        <f>$W128*AP128+$L128*Summary_LCIA!AG$32</f>
        <v>5.0642432717377846E-3</v>
      </c>
      <c r="BL128" s="137">
        <f>$W128*AQ128+$L128*Summary_LCIA!AH$32</f>
        <v>0.77828931665376899</v>
      </c>
      <c r="BM128" s="137">
        <f>$W128*AR128+$L128*Summary_LCIA!AI$32</f>
        <v>0.23040701702688743</v>
      </c>
    </row>
    <row r="129" spans="1:65" x14ac:dyDescent="0.25">
      <c r="A129" s="149">
        <v>298</v>
      </c>
      <c r="B129" s="149">
        <v>43</v>
      </c>
      <c r="C129" s="61">
        <v>40.440624999999997</v>
      </c>
      <c r="D129" s="61">
        <v>-79.995885999999999</v>
      </c>
      <c r="E129" s="61" t="s">
        <v>265</v>
      </c>
      <c r="F129" s="149">
        <v>106</v>
      </c>
      <c r="G129" s="61" t="s">
        <v>266</v>
      </c>
      <c r="H129" s="61" t="s">
        <v>669</v>
      </c>
      <c r="I129" s="61">
        <v>40.491920999999998</v>
      </c>
      <c r="J129" s="61">
        <v>-80.235223000000005</v>
      </c>
      <c r="K129" s="61">
        <v>21.391265860000001</v>
      </c>
      <c r="L129" s="61">
        <v>27.920999999999999</v>
      </c>
      <c r="M129" s="61" t="s">
        <v>617</v>
      </c>
      <c r="N129" s="149">
        <v>42</v>
      </c>
      <c r="O129" s="149">
        <v>43</v>
      </c>
      <c r="P129" s="61" t="s">
        <v>565</v>
      </c>
      <c r="Q129" s="61" t="s">
        <v>555</v>
      </c>
      <c r="R129" s="61">
        <v>40.6895314</v>
      </c>
      <c r="S129" s="61">
        <v>-74.174462399999996</v>
      </c>
      <c r="T129" s="61">
        <v>581.04700000000003</v>
      </c>
      <c r="U129" s="61" t="s">
        <v>617</v>
      </c>
      <c r="V129" s="61" t="s">
        <v>569</v>
      </c>
      <c r="W129" s="61" cm="1">
        <f t="array" ref="W129">getDistance(I129,J129,R129,S129)*SA!$B$12</f>
        <v>513.433583839015</v>
      </c>
      <c r="Y129" s="137">
        <f>Transportation_LCIA!C$61*($W129^Transportation_LCIA!C$60)+Transportation_LCIA!C$62</f>
        <v>0.32815716511039528</v>
      </c>
      <c r="Z129" s="137">
        <f>Transportation_LCIA!D$61*($W129^Transportation_LCIA!D$60)+Transportation_LCIA!D$62</f>
        <v>3.5191542163843881</v>
      </c>
      <c r="AA129" s="137">
        <f>Transportation_LCIA!E$61*($W129^Transportation_LCIA!E$60)+Transportation_LCIA!E$62</f>
        <v>1.8665206810453132E-3</v>
      </c>
      <c r="AB129" s="137">
        <f>Transportation_LCIA!F$61*($W129^Transportation_LCIA!F$60)+Transportation_LCIA!F$62</f>
        <v>0.32815716511039528</v>
      </c>
      <c r="AC129" s="137">
        <f>Transportation_LCIA!G$61*($W129^Transportation_LCIA!G$60)+Transportation_LCIA!G$62</f>
        <v>8.1967302989677859E-2</v>
      </c>
      <c r="AD129" s="137">
        <f>Transportation_LCIA!H$61*($W129^Transportation_LCIA!H$60)+Transportation_LCIA!H$62</f>
        <v>4.3698853519291556E-4</v>
      </c>
      <c r="AE129" s="137">
        <f>Transportation_LCIA!I$61*($W129^Transportation_LCIA!I$60)+Transportation_LCIA!I$62</f>
        <v>1.0010201729396875E-5</v>
      </c>
      <c r="AF129" s="137">
        <f>Transportation_LCIA!J$61*($W129^Transportation_LCIA!J$60)+Transportation_LCIA!J$62</f>
        <v>1.4910087392935532E-2</v>
      </c>
      <c r="AG129" s="137">
        <f>Transportation_LCIA!K$61*($W129^Transportation_LCIA!K$60)+Transportation_LCIA!K$62</f>
        <v>1.8005284512120634E-2</v>
      </c>
      <c r="AH129" s="137">
        <f>Transportation_LCIA!L$61*($W129^Transportation_LCIA!L$60)+Transportation_LCIA!L$62</f>
        <v>3.8774642038002372E-4</v>
      </c>
      <c r="AI129" s="137">
        <f>Transportation_LCIA!M$61*($W129^Transportation_LCIA!M$60)+Transportation_LCIA!M$62</f>
        <v>3.3205908340433346E-4</v>
      </c>
      <c r="AJ129" s="137">
        <f>Transportation_LCIA!N$61*($W129^Transportation_LCIA!N$60)+Transportation_LCIA!N$62</f>
        <v>1.5278401037459809E-3</v>
      </c>
      <c r="AK129" s="137">
        <f>Transportation_LCIA!O$61*($W129^Transportation_LCIA!O$60)+Transportation_LCIA!O$62</f>
        <v>8.6776433969231709E-5</v>
      </c>
      <c r="AL129" s="137">
        <f>Transportation_LCIA!P$61*($W129^Transportation_LCIA!P$60)+Transportation_LCIA!P$62</f>
        <v>4.187496920977748E-8</v>
      </c>
      <c r="AM129" s="137">
        <f>Transportation_LCIA!Q$61*($W129^Transportation_LCIA!Q$60)+Transportation_LCIA!Q$62</f>
        <v>1.5289540886279419E-4</v>
      </c>
      <c r="AN129" s="137">
        <f>Transportation_LCIA!R$61*($W129^Transportation_LCIA!R$60)+Transportation_LCIA!R$62</f>
        <v>4.8092919779996581E-4</v>
      </c>
      <c r="AO129" s="137">
        <f>Transportation_LCIA!S$61*($W129^Transportation_LCIA!S$60)+Transportation_LCIA!S$62</f>
        <v>7.081081996143308E-6</v>
      </c>
      <c r="AP129" s="137">
        <f>Transportation_LCIA!T$61*($W129^Transportation_LCIA!T$60)+Transportation_LCIA!T$62</f>
        <v>7.081081996143308E-6</v>
      </c>
      <c r="AQ129" s="137">
        <f>Transportation_LCIA!U$61*($W129^Transportation_LCIA!U$60)+Transportation_LCIA!U$62</f>
        <v>1.0425420500377758E-3</v>
      </c>
      <c r="AR129" s="137">
        <f>Transportation_LCIA!V$61*($W129^Transportation_LCIA!V$60)+Transportation_LCIA!V$62</f>
        <v>3.9809863614409633E-4</v>
      </c>
      <c r="AT129" s="137">
        <f>$W129*Y129+$L129*Summary_LCIA!H$32</f>
        <v>177.97446514508161</v>
      </c>
      <c r="AU129" s="137">
        <f>$W129*Z129+$L129*Summary_LCIA!Q$32</f>
        <v>1945.2298455402099</v>
      </c>
      <c r="AV129" s="137">
        <f>$W129*AA129+$L129*Summary_LCIA!R$32</f>
        <v>1.1053552201787342</v>
      </c>
      <c r="AW129" s="137">
        <f>$W129*AB129+$L129*Summary_LCIA!S$32</f>
        <v>177.85105432508161</v>
      </c>
      <c r="AX129" s="137">
        <f>$W129*AC129+$L129*Summary_LCIA!T$32</f>
        <v>45.153284031608706</v>
      </c>
      <c r="AY129" s="137">
        <f>$W129*AD129+$L129*Summary_LCIA!U$32</f>
        <v>0.72454138372066013</v>
      </c>
      <c r="AZ129" s="137">
        <f>$W129*AE129+$L129*Summary_LCIA!V$32</f>
        <v>6.4731086298757436E-3</v>
      </c>
      <c r="BA129" s="137">
        <f>$W129*AF129+$L129*Summary_LCIA!W$32</f>
        <v>9.8044468965078053</v>
      </c>
      <c r="BB129" s="137">
        <f>$W129*AG129+$L129*Summary_LCIA!X$32</f>
        <v>9.8805581350992089</v>
      </c>
      <c r="BC129" s="137">
        <f>$W129*AH129+$L129*Summary_LCIA!Y$32</f>
        <v>0.63414705623646483</v>
      </c>
      <c r="BD129" s="137">
        <f>$W129*AI129+$L129*Summary_LCIA!Z$32</f>
        <v>0.1716352975275853</v>
      </c>
      <c r="BE129" s="137">
        <f>$W129*AJ129+$L129*Summary_LCIA!AA$32</f>
        <v>1.4365672959992715</v>
      </c>
      <c r="BF129" s="137">
        <f>$W129*AK129+$L129*Summary_LCIA!AB$32</f>
        <v>4.394461550259228E-2</v>
      </c>
      <c r="BG129" s="137">
        <f>$W129*AL129+$L129*Summary_LCIA!AC$32</f>
        <v>2.2864905678524456E-5</v>
      </c>
      <c r="BH129" s="137">
        <f>$W129*AM129+$L129*Summary_LCIA!AD$32</f>
        <v>8.9978285564955907E-2</v>
      </c>
      <c r="BI129" s="137">
        <f>$W129*AN129+$L129*Summary_LCIA!AE$32</f>
        <v>0.271666837329259</v>
      </c>
      <c r="BJ129" s="137">
        <f>$W129*AO129+$L129*Summary_LCIA!AF$32</f>
        <v>2.7240637126737785E-2</v>
      </c>
      <c r="BK129" s="137">
        <f>$W129*AP129+$L129*Summary_LCIA!AG$32</f>
        <v>5.0642432717377846E-3</v>
      </c>
      <c r="BL129" s="137">
        <f>$W129*AQ129+$L129*Summary_LCIA!AH$32</f>
        <v>0.77828931665376899</v>
      </c>
      <c r="BM129" s="137">
        <f>$W129*AR129+$L129*Summary_LCIA!AI$32</f>
        <v>0.23040701702688743</v>
      </c>
    </row>
    <row r="130" spans="1:65" x14ac:dyDescent="0.25">
      <c r="A130" s="149">
        <v>299</v>
      </c>
      <c r="B130" s="149">
        <v>43</v>
      </c>
      <c r="C130" s="61">
        <v>40.440624999999997</v>
      </c>
      <c r="D130" s="61">
        <v>-79.995885999999999</v>
      </c>
      <c r="E130" s="61" t="s">
        <v>265</v>
      </c>
      <c r="F130" s="149">
        <v>106</v>
      </c>
      <c r="G130" s="61" t="s">
        <v>266</v>
      </c>
      <c r="H130" s="61" t="s">
        <v>669</v>
      </c>
      <c r="I130" s="61">
        <v>40.491920999999998</v>
      </c>
      <c r="J130" s="61">
        <v>-80.235223000000005</v>
      </c>
      <c r="K130" s="61">
        <v>21.391265860000001</v>
      </c>
      <c r="L130" s="61">
        <v>27.920999999999999</v>
      </c>
      <c r="M130" s="61" t="s">
        <v>617</v>
      </c>
      <c r="N130" s="149">
        <v>42</v>
      </c>
      <c r="O130" s="149">
        <v>43</v>
      </c>
      <c r="P130" s="61" t="s">
        <v>565</v>
      </c>
      <c r="Q130" s="61" t="s">
        <v>555</v>
      </c>
      <c r="R130" s="61">
        <v>40.6895314</v>
      </c>
      <c r="S130" s="61">
        <v>-74.174462399999996</v>
      </c>
      <c r="T130" s="61">
        <v>581.04700000000003</v>
      </c>
      <c r="U130" s="61" t="s">
        <v>617</v>
      </c>
      <c r="V130" s="61" t="s">
        <v>569</v>
      </c>
      <c r="W130" s="61" cm="1">
        <f t="array" ref="W130">getDistance(I130,J130,R130,S130)*SA!$B$12</f>
        <v>513.433583839015</v>
      </c>
      <c r="Y130" s="137">
        <f>Transportation_LCIA!C$61*($W130^Transportation_LCIA!C$60)+Transportation_LCIA!C$62</f>
        <v>0.32815716511039528</v>
      </c>
      <c r="Z130" s="137">
        <f>Transportation_LCIA!D$61*($W130^Transportation_LCIA!D$60)+Transportation_LCIA!D$62</f>
        <v>3.5191542163843881</v>
      </c>
      <c r="AA130" s="137">
        <f>Transportation_LCIA!E$61*($W130^Transportation_LCIA!E$60)+Transportation_LCIA!E$62</f>
        <v>1.8665206810453132E-3</v>
      </c>
      <c r="AB130" s="137">
        <f>Transportation_LCIA!F$61*($W130^Transportation_LCIA!F$60)+Transportation_LCIA!F$62</f>
        <v>0.32815716511039528</v>
      </c>
      <c r="AC130" s="137">
        <f>Transportation_LCIA!G$61*($W130^Transportation_LCIA!G$60)+Transportation_LCIA!G$62</f>
        <v>8.1967302989677859E-2</v>
      </c>
      <c r="AD130" s="137">
        <f>Transportation_LCIA!H$61*($W130^Transportation_LCIA!H$60)+Transportation_LCIA!H$62</f>
        <v>4.3698853519291556E-4</v>
      </c>
      <c r="AE130" s="137">
        <f>Transportation_LCIA!I$61*($W130^Transportation_LCIA!I$60)+Transportation_LCIA!I$62</f>
        <v>1.0010201729396875E-5</v>
      </c>
      <c r="AF130" s="137">
        <f>Transportation_LCIA!J$61*($W130^Transportation_LCIA!J$60)+Transportation_LCIA!J$62</f>
        <v>1.4910087392935532E-2</v>
      </c>
      <c r="AG130" s="137">
        <f>Transportation_LCIA!K$61*($W130^Transportation_LCIA!K$60)+Transportation_LCIA!K$62</f>
        <v>1.8005284512120634E-2</v>
      </c>
      <c r="AH130" s="137">
        <f>Transportation_LCIA!L$61*($W130^Transportation_LCIA!L$60)+Transportation_LCIA!L$62</f>
        <v>3.8774642038002372E-4</v>
      </c>
      <c r="AI130" s="137">
        <f>Transportation_LCIA!M$61*($W130^Transportation_LCIA!M$60)+Transportation_LCIA!M$62</f>
        <v>3.3205908340433346E-4</v>
      </c>
      <c r="AJ130" s="137">
        <f>Transportation_LCIA!N$61*($W130^Transportation_LCIA!N$60)+Transportation_LCIA!N$62</f>
        <v>1.5278401037459809E-3</v>
      </c>
      <c r="AK130" s="137">
        <f>Transportation_LCIA!O$61*($W130^Transportation_LCIA!O$60)+Transportation_LCIA!O$62</f>
        <v>8.6776433969231709E-5</v>
      </c>
      <c r="AL130" s="137">
        <f>Transportation_LCIA!P$61*($W130^Transportation_LCIA!P$60)+Transportation_LCIA!P$62</f>
        <v>4.187496920977748E-8</v>
      </c>
      <c r="AM130" s="137">
        <f>Transportation_LCIA!Q$61*($W130^Transportation_LCIA!Q$60)+Transportation_LCIA!Q$62</f>
        <v>1.5289540886279419E-4</v>
      </c>
      <c r="AN130" s="137">
        <f>Transportation_LCIA!R$61*($W130^Transportation_LCIA!R$60)+Transportation_LCIA!R$62</f>
        <v>4.8092919779996581E-4</v>
      </c>
      <c r="AO130" s="137">
        <f>Transportation_LCIA!S$61*($W130^Transportation_LCIA!S$60)+Transportation_LCIA!S$62</f>
        <v>7.081081996143308E-6</v>
      </c>
      <c r="AP130" s="137">
        <f>Transportation_LCIA!T$61*($W130^Transportation_LCIA!T$60)+Transportation_LCIA!T$62</f>
        <v>7.081081996143308E-6</v>
      </c>
      <c r="AQ130" s="137">
        <f>Transportation_LCIA!U$61*($W130^Transportation_LCIA!U$60)+Transportation_LCIA!U$62</f>
        <v>1.0425420500377758E-3</v>
      </c>
      <c r="AR130" s="137">
        <f>Transportation_LCIA!V$61*($W130^Transportation_LCIA!V$60)+Transportation_LCIA!V$62</f>
        <v>3.9809863614409633E-4</v>
      </c>
      <c r="AT130" s="137">
        <f>$W130*Y130+$L130*Summary_LCIA!H$32</f>
        <v>177.97446514508161</v>
      </c>
      <c r="AU130" s="137">
        <f>$W130*Z130+$L130*Summary_LCIA!Q$32</f>
        <v>1945.2298455402099</v>
      </c>
      <c r="AV130" s="137">
        <f>$W130*AA130+$L130*Summary_LCIA!R$32</f>
        <v>1.1053552201787342</v>
      </c>
      <c r="AW130" s="137">
        <f>$W130*AB130+$L130*Summary_LCIA!S$32</f>
        <v>177.85105432508161</v>
      </c>
      <c r="AX130" s="137">
        <f>$W130*AC130+$L130*Summary_LCIA!T$32</f>
        <v>45.153284031608706</v>
      </c>
      <c r="AY130" s="137">
        <f>$W130*AD130+$L130*Summary_LCIA!U$32</f>
        <v>0.72454138372066013</v>
      </c>
      <c r="AZ130" s="137">
        <f>$W130*AE130+$L130*Summary_LCIA!V$32</f>
        <v>6.4731086298757436E-3</v>
      </c>
      <c r="BA130" s="137">
        <f>$W130*AF130+$L130*Summary_LCIA!W$32</f>
        <v>9.8044468965078053</v>
      </c>
      <c r="BB130" s="137">
        <f>$W130*AG130+$L130*Summary_LCIA!X$32</f>
        <v>9.8805581350992089</v>
      </c>
      <c r="BC130" s="137">
        <f>$W130*AH130+$L130*Summary_LCIA!Y$32</f>
        <v>0.63414705623646483</v>
      </c>
      <c r="BD130" s="137">
        <f>$W130*AI130+$L130*Summary_LCIA!Z$32</f>
        <v>0.1716352975275853</v>
      </c>
      <c r="BE130" s="137">
        <f>$W130*AJ130+$L130*Summary_LCIA!AA$32</f>
        <v>1.4365672959992715</v>
      </c>
      <c r="BF130" s="137">
        <f>$W130*AK130+$L130*Summary_LCIA!AB$32</f>
        <v>4.394461550259228E-2</v>
      </c>
      <c r="BG130" s="137">
        <f>$W130*AL130+$L130*Summary_LCIA!AC$32</f>
        <v>2.2864905678524456E-5</v>
      </c>
      <c r="BH130" s="137">
        <f>$W130*AM130+$L130*Summary_LCIA!AD$32</f>
        <v>8.9978285564955907E-2</v>
      </c>
      <c r="BI130" s="137">
        <f>$W130*AN130+$L130*Summary_LCIA!AE$32</f>
        <v>0.271666837329259</v>
      </c>
      <c r="BJ130" s="137">
        <f>$W130*AO130+$L130*Summary_LCIA!AF$32</f>
        <v>2.7240637126737785E-2</v>
      </c>
      <c r="BK130" s="137">
        <f>$W130*AP130+$L130*Summary_LCIA!AG$32</f>
        <v>5.0642432717377846E-3</v>
      </c>
      <c r="BL130" s="137">
        <f>$W130*AQ130+$L130*Summary_LCIA!AH$32</f>
        <v>0.77828931665376899</v>
      </c>
      <c r="BM130" s="137">
        <f>$W130*AR130+$L130*Summary_LCIA!AI$32</f>
        <v>0.23040701702688743</v>
      </c>
    </row>
    <row r="131" spans="1:65" x14ac:dyDescent="0.25">
      <c r="A131" s="149">
        <v>300</v>
      </c>
      <c r="B131" s="149">
        <v>43</v>
      </c>
      <c r="C131" s="61">
        <v>40.440624999999997</v>
      </c>
      <c r="D131" s="61">
        <v>-79.995885999999999</v>
      </c>
      <c r="E131" s="61" t="s">
        <v>265</v>
      </c>
      <c r="F131" s="149">
        <v>106</v>
      </c>
      <c r="G131" s="61" t="s">
        <v>266</v>
      </c>
      <c r="H131" s="61" t="s">
        <v>669</v>
      </c>
      <c r="I131" s="61">
        <v>40.491920999999998</v>
      </c>
      <c r="J131" s="61">
        <v>-80.235223000000005</v>
      </c>
      <c r="K131" s="61">
        <v>21.391265860000001</v>
      </c>
      <c r="L131" s="61">
        <v>27.920999999999999</v>
      </c>
      <c r="M131" s="61" t="s">
        <v>617</v>
      </c>
      <c r="N131" s="149">
        <v>42</v>
      </c>
      <c r="O131" s="149">
        <v>43</v>
      </c>
      <c r="P131" s="61" t="s">
        <v>565</v>
      </c>
      <c r="Q131" s="61" t="s">
        <v>555</v>
      </c>
      <c r="R131" s="61">
        <v>40.6895314</v>
      </c>
      <c r="S131" s="61">
        <v>-74.174462399999996</v>
      </c>
      <c r="T131" s="61">
        <v>581.04700000000003</v>
      </c>
      <c r="U131" s="61" t="s">
        <v>617</v>
      </c>
      <c r="V131" s="61" t="s">
        <v>569</v>
      </c>
      <c r="W131" s="61" cm="1">
        <f t="array" ref="W131">getDistance(I131,J131,R131,S131)*SA!$B$12</f>
        <v>513.433583839015</v>
      </c>
      <c r="Y131" s="137">
        <f>Transportation_LCIA!C$61*($W131^Transportation_LCIA!C$60)+Transportation_LCIA!C$62</f>
        <v>0.32815716511039528</v>
      </c>
      <c r="Z131" s="137">
        <f>Transportation_LCIA!D$61*($W131^Transportation_LCIA!D$60)+Transportation_LCIA!D$62</f>
        <v>3.5191542163843881</v>
      </c>
      <c r="AA131" s="137">
        <f>Transportation_LCIA!E$61*($W131^Transportation_LCIA!E$60)+Transportation_LCIA!E$62</f>
        <v>1.8665206810453132E-3</v>
      </c>
      <c r="AB131" s="137">
        <f>Transportation_LCIA!F$61*($W131^Transportation_LCIA!F$60)+Transportation_LCIA!F$62</f>
        <v>0.32815716511039528</v>
      </c>
      <c r="AC131" s="137">
        <f>Transportation_LCIA!G$61*($W131^Transportation_LCIA!G$60)+Transportation_LCIA!G$62</f>
        <v>8.1967302989677859E-2</v>
      </c>
      <c r="AD131" s="137">
        <f>Transportation_LCIA!H$61*($W131^Transportation_LCIA!H$60)+Transportation_LCIA!H$62</f>
        <v>4.3698853519291556E-4</v>
      </c>
      <c r="AE131" s="137">
        <f>Transportation_LCIA!I$61*($W131^Transportation_LCIA!I$60)+Transportation_LCIA!I$62</f>
        <v>1.0010201729396875E-5</v>
      </c>
      <c r="AF131" s="137">
        <f>Transportation_LCIA!J$61*($W131^Transportation_LCIA!J$60)+Transportation_LCIA!J$62</f>
        <v>1.4910087392935532E-2</v>
      </c>
      <c r="AG131" s="137">
        <f>Transportation_LCIA!K$61*($W131^Transportation_LCIA!K$60)+Transportation_LCIA!K$62</f>
        <v>1.8005284512120634E-2</v>
      </c>
      <c r="AH131" s="137">
        <f>Transportation_LCIA!L$61*($W131^Transportation_LCIA!L$60)+Transportation_LCIA!L$62</f>
        <v>3.8774642038002372E-4</v>
      </c>
      <c r="AI131" s="137">
        <f>Transportation_LCIA!M$61*($W131^Transportation_LCIA!M$60)+Transportation_LCIA!M$62</f>
        <v>3.3205908340433346E-4</v>
      </c>
      <c r="AJ131" s="137">
        <f>Transportation_LCIA!N$61*($W131^Transportation_LCIA!N$60)+Transportation_LCIA!N$62</f>
        <v>1.5278401037459809E-3</v>
      </c>
      <c r="AK131" s="137">
        <f>Transportation_LCIA!O$61*($W131^Transportation_LCIA!O$60)+Transportation_LCIA!O$62</f>
        <v>8.6776433969231709E-5</v>
      </c>
      <c r="AL131" s="137">
        <f>Transportation_LCIA!P$61*($W131^Transportation_LCIA!P$60)+Transportation_LCIA!P$62</f>
        <v>4.187496920977748E-8</v>
      </c>
      <c r="AM131" s="137">
        <f>Transportation_LCIA!Q$61*($W131^Transportation_LCIA!Q$60)+Transportation_LCIA!Q$62</f>
        <v>1.5289540886279419E-4</v>
      </c>
      <c r="AN131" s="137">
        <f>Transportation_LCIA!R$61*($W131^Transportation_LCIA!R$60)+Transportation_LCIA!R$62</f>
        <v>4.8092919779996581E-4</v>
      </c>
      <c r="AO131" s="137">
        <f>Transportation_LCIA!S$61*($W131^Transportation_LCIA!S$60)+Transportation_LCIA!S$62</f>
        <v>7.081081996143308E-6</v>
      </c>
      <c r="AP131" s="137">
        <f>Transportation_LCIA!T$61*($W131^Transportation_LCIA!T$60)+Transportation_LCIA!T$62</f>
        <v>7.081081996143308E-6</v>
      </c>
      <c r="AQ131" s="137">
        <f>Transportation_LCIA!U$61*($W131^Transportation_LCIA!U$60)+Transportation_LCIA!U$62</f>
        <v>1.0425420500377758E-3</v>
      </c>
      <c r="AR131" s="137">
        <f>Transportation_LCIA!V$61*($W131^Transportation_LCIA!V$60)+Transportation_LCIA!V$62</f>
        <v>3.9809863614409633E-4</v>
      </c>
      <c r="AT131" s="137">
        <f>$W131*Y131+$L131*Summary_LCIA!H$32</f>
        <v>177.97446514508161</v>
      </c>
      <c r="AU131" s="137">
        <f>$W131*Z131+$L131*Summary_LCIA!Q$32</f>
        <v>1945.2298455402099</v>
      </c>
      <c r="AV131" s="137">
        <f>$W131*AA131+$L131*Summary_LCIA!R$32</f>
        <v>1.1053552201787342</v>
      </c>
      <c r="AW131" s="137">
        <f>$W131*AB131+$L131*Summary_LCIA!S$32</f>
        <v>177.85105432508161</v>
      </c>
      <c r="AX131" s="137">
        <f>$W131*AC131+$L131*Summary_LCIA!T$32</f>
        <v>45.153284031608706</v>
      </c>
      <c r="AY131" s="137">
        <f>$W131*AD131+$L131*Summary_LCIA!U$32</f>
        <v>0.72454138372066013</v>
      </c>
      <c r="AZ131" s="137">
        <f>$W131*AE131+$L131*Summary_LCIA!V$32</f>
        <v>6.4731086298757436E-3</v>
      </c>
      <c r="BA131" s="137">
        <f>$W131*AF131+$L131*Summary_LCIA!W$32</f>
        <v>9.8044468965078053</v>
      </c>
      <c r="BB131" s="137">
        <f>$W131*AG131+$L131*Summary_LCIA!X$32</f>
        <v>9.8805581350992089</v>
      </c>
      <c r="BC131" s="137">
        <f>$W131*AH131+$L131*Summary_LCIA!Y$32</f>
        <v>0.63414705623646483</v>
      </c>
      <c r="BD131" s="137">
        <f>$W131*AI131+$L131*Summary_LCIA!Z$32</f>
        <v>0.1716352975275853</v>
      </c>
      <c r="BE131" s="137">
        <f>$W131*AJ131+$L131*Summary_LCIA!AA$32</f>
        <v>1.4365672959992715</v>
      </c>
      <c r="BF131" s="137">
        <f>$W131*AK131+$L131*Summary_LCIA!AB$32</f>
        <v>4.394461550259228E-2</v>
      </c>
      <c r="BG131" s="137">
        <f>$W131*AL131+$L131*Summary_LCIA!AC$32</f>
        <v>2.2864905678524456E-5</v>
      </c>
      <c r="BH131" s="137">
        <f>$W131*AM131+$L131*Summary_LCIA!AD$32</f>
        <v>8.9978285564955907E-2</v>
      </c>
      <c r="BI131" s="137">
        <f>$W131*AN131+$L131*Summary_LCIA!AE$32</f>
        <v>0.271666837329259</v>
      </c>
      <c r="BJ131" s="137">
        <f>$W131*AO131+$L131*Summary_LCIA!AF$32</f>
        <v>2.7240637126737785E-2</v>
      </c>
      <c r="BK131" s="137">
        <f>$W131*AP131+$L131*Summary_LCIA!AG$32</f>
        <v>5.0642432717377846E-3</v>
      </c>
      <c r="BL131" s="137">
        <f>$W131*AQ131+$L131*Summary_LCIA!AH$32</f>
        <v>0.77828931665376899</v>
      </c>
      <c r="BM131" s="137">
        <f>$W131*AR131+$L131*Summary_LCIA!AI$32</f>
        <v>0.23040701702688743</v>
      </c>
    </row>
    <row r="132" spans="1:65" x14ac:dyDescent="0.25">
      <c r="A132" s="149">
        <v>301</v>
      </c>
      <c r="B132" s="149">
        <v>43</v>
      </c>
      <c r="C132" s="61">
        <v>40.440624999999997</v>
      </c>
      <c r="D132" s="61">
        <v>-79.995885999999999</v>
      </c>
      <c r="E132" s="61" t="s">
        <v>265</v>
      </c>
      <c r="F132" s="149">
        <v>106</v>
      </c>
      <c r="G132" s="61" t="s">
        <v>266</v>
      </c>
      <c r="H132" s="61" t="s">
        <v>669</v>
      </c>
      <c r="I132" s="61">
        <v>40.491920999999998</v>
      </c>
      <c r="J132" s="61">
        <v>-80.235223000000005</v>
      </c>
      <c r="K132" s="61">
        <v>21.391265860000001</v>
      </c>
      <c r="L132" s="61">
        <v>27.920999999999999</v>
      </c>
      <c r="M132" s="61" t="s">
        <v>617</v>
      </c>
      <c r="N132" s="149">
        <v>42</v>
      </c>
      <c r="O132" s="149">
        <v>43</v>
      </c>
      <c r="P132" s="61" t="s">
        <v>565</v>
      </c>
      <c r="Q132" s="61" t="s">
        <v>555</v>
      </c>
      <c r="R132" s="61">
        <v>40.6895314</v>
      </c>
      <c r="S132" s="61">
        <v>-74.174462399999996</v>
      </c>
      <c r="T132" s="61">
        <v>581.04700000000003</v>
      </c>
      <c r="U132" s="61" t="s">
        <v>617</v>
      </c>
      <c r="V132" s="61" t="s">
        <v>569</v>
      </c>
      <c r="W132" s="61" cm="1">
        <f t="array" ref="W132">getDistance(I132,J132,R132,S132)*SA!$B$12</f>
        <v>513.433583839015</v>
      </c>
      <c r="Y132" s="137">
        <f>Transportation_LCIA!C$61*($W132^Transportation_LCIA!C$60)+Transportation_LCIA!C$62</f>
        <v>0.32815716511039528</v>
      </c>
      <c r="Z132" s="137">
        <f>Transportation_LCIA!D$61*($W132^Transportation_LCIA!D$60)+Transportation_LCIA!D$62</f>
        <v>3.5191542163843881</v>
      </c>
      <c r="AA132" s="137">
        <f>Transportation_LCIA!E$61*($W132^Transportation_LCIA!E$60)+Transportation_LCIA!E$62</f>
        <v>1.8665206810453132E-3</v>
      </c>
      <c r="AB132" s="137">
        <f>Transportation_LCIA!F$61*($W132^Transportation_LCIA!F$60)+Transportation_LCIA!F$62</f>
        <v>0.32815716511039528</v>
      </c>
      <c r="AC132" s="137">
        <f>Transportation_LCIA!G$61*($W132^Transportation_LCIA!G$60)+Transportation_LCIA!G$62</f>
        <v>8.1967302989677859E-2</v>
      </c>
      <c r="AD132" s="137">
        <f>Transportation_LCIA!H$61*($W132^Transportation_LCIA!H$60)+Transportation_LCIA!H$62</f>
        <v>4.3698853519291556E-4</v>
      </c>
      <c r="AE132" s="137">
        <f>Transportation_LCIA!I$61*($W132^Transportation_LCIA!I$60)+Transportation_LCIA!I$62</f>
        <v>1.0010201729396875E-5</v>
      </c>
      <c r="AF132" s="137">
        <f>Transportation_LCIA!J$61*($W132^Transportation_LCIA!J$60)+Transportation_LCIA!J$62</f>
        <v>1.4910087392935532E-2</v>
      </c>
      <c r="AG132" s="137">
        <f>Transportation_LCIA!K$61*($W132^Transportation_LCIA!K$60)+Transportation_LCIA!K$62</f>
        <v>1.8005284512120634E-2</v>
      </c>
      <c r="AH132" s="137">
        <f>Transportation_LCIA!L$61*($W132^Transportation_LCIA!L$60)+Transportation_LCIA!L$62</f>
        <v>3.8774642038002372E-4</v>
      </c>
      <c r="AI132" s="137">
        <f>Transportation_LCIA!M$61*($W132^Transportation_LCIA!M$60)+Transportation_LCIA!M$62</f>
        <v>3.3205908340433346E-4</v>
      </c>
      <c r="AJ132" s="137">
        <f>Transportation_LCIA!N$61*($W132^Transportation_LCIA!N$60)+Transportation_LCIA!N$62</f>
        <v>1.5278401037459809E-3</v>
      </c>
      <c r="AK132" s="137">
        <f>Transportation_LCIA!O$61*($W132^Transportation_LCIA!O$60)+Transportation_LCIA!O$62</f>
        <v>8.6776433969231709E-5</v>
      </c>
      <c r="AL132" s="137">
        <f>Transportation_LCIA!P$61*($W132^Transportation_LCIA!P$60)+Transportation_LCIA!P$62</f>
        <v>4.187496920977748E-8</v>
      </c>
      <c r="AM132" s="137">
        <f>Transportation_LCIA!Q$61*($W132^Transportation_LCIA!Q$60)+Transportation_LCIA!Q$62</f>
        <v>1.5289540886279419E-4</v>
      </c>
      <c r="AN132" s="137">
        <f>Transportation_LCIA!R$61*($W132^Transportation_LCIA!R$60)+Transportation_LCIA!R$62</f>
        <v>4.8092919779996581E-4</v>
      </c>
      <c r="AO132" s="137">
        <f>Transportation_LCIA!S$61*($W132^Transportation_LCIA!S$60)+Transportation_LCIA!S$62</f>
        <v>7.081081996143308E-6</v>
      </c>
      <c r="AP132" s="137">
        <f>Transportation_LCIA!T$61*($W132^Transportation_LCIA!T$60)+Transportation_LCIA!T$62</f>
        <v>7.081081996143308E-6</v>
      </c>
      <c r="AQ132" s="137">
        <f>Transportation_LCIA!U$61*($W132^Transportation_LCIA!U$60)+Transportation_LCIA!U$62</f>
        <v>1.0425420500377758E-3</v>
      </c>
      <c r="AR132" s="137">
        <f>Transportation_LCIA!V$61*($W132^Transportation_LCIA!V$60)+Transportation_LCIA!V$62</f>
        <v>3.9809863614409633E-4</v>
      </c>
      <c r="AT132" s="137">
        <f>$W132*Y132+$L132*Summary_LCIA!H$32</f>
        <v>177.97446514508161</v>
      </c>
      <c r="AU132" s="137">
        <f>$W132*Z132+$L132*Summary_LCIA!Q$32</f>
        <v>1945.2298455402099</v>
      </c>
      <c r="AV132" s="137">
        <f>$W132*AA132+$L132*Summary_LCIA!R$32</f>
        <v>1.1053552201787342</v>
      </c>
      <c r="AW132" s="137">
        <f>$W132*AB132+$L132*Summary_LCIA!S$32</f>
        <v>177.85105432508161</v>
      </c>
      <c r="AX132" s="137">
        <f>$W132*AC132+$L132*Summary_LCIA!T$32</f>
        <v>45.153284031608706</v>
      </c>
      <c r="AY132" s="137">
        <f>$W132*AD132+$L132*Summary_LCIA!U$32</f>
        <v>0.72454138372066013</v>
      </c>
      <c r="AZ132" s="137">
        <f>$W132*AE132+$L132*Summary_LCIA!V$32</f>
        <v>6.4731086298757436E-3</v>
      </c>
      <c r="BA132" s="137">
        <f>$W132*AF132+$L132*Summary_LCIA!W$32</f>
        <v>9.8044468965078053</v>
      </c>
      <c r="BB132" s="137">
        <f>$W132*AG132+$L132*Summary_LCIA!X$32</f>
        <v>9.8805581350992089</v>
      </c>
      <c r="BC132" s="137">
        <f>$W132*AH132+$L132*Summary_LCIA!Y$32</f>
        <v>0.63414705623646483</v>
      </c>
      <c r="BD132" s="137">
        <f>$W132*AI132+$L132*Summary_LCIA!Z$32</f>
        <v>0.1716352975275853</v>
      </c>
      <c r="BE132" s="137">
        <f>$W132*AJ132+$L132*Summary_LCIA!AA$32</f>
        <v>1.4365672959992715</v>
      </c>
      <c r="BF132" s="137">
        <f>$W132*AK132+$L132*Summary_LCIA!AB$32</f>
        <v>4.394461550259228E-2</v>
      </c>
      <c r="BG132" s="137">
        <f>$W132*AL132+$L132*Summary_LCIA!AC$32</f>
        <v>2.2864905678524456E-5</v>
      </c>
      <c r="BH132" s="137">
        <f>$W132*AM132+$L132*Summary_LCIA!AD$32</f>
        <v>8.9978285564955907E-2</v>
      </c>
      <c r="BI132" s="137">
        <f>$W132*AN132+$L132*Summary_LCIA!AE$32</f>
        <v>0.271666837329259</v>
      </c>
      <c r="BJ132" s="137">
        <f>$W132*AO132+$L132*Summary_LCIA!AF$32</f>
        <v>2.7240637126737785E-2</v>
      </c>
      <c r="BK132" s="137">
        <f>$W132*AP132+$L132*Summary_LCIA!AG$32</f>
        <v>5.0642432717377846E-3</v>
      </c>
      <c r="BL132" s="137">
        <f>$W132*AQ132+$L132*Summary_LCIA!AH$32</f>
        <v>0.77828931665376899</v>
      </c>
      <c r="BM132" s="137">
        <f>$W132*AR132+$L132*Summary_LCIA!AI$32</f>
        <v>0.23040701702688743</v>
      </c>
    </row>
    <row r="133" spans="1:65" x14ac:dyDescent="0.25">
      <c r="A133" s="149">
        <v>302</v>
      </c>
      <c r="B133" s="149">
        <v>43</v>
      </c>
      <c r="C133" s="61">
        <v>40.440624999999997</v>
      </c>
      <c r="D133" s="61">
        <v>-79.995885999999999</v>
      </c>
      <c r="E133" s="61" t="s">
        <v>265</v>
      </c>
      <c r="F133" s="149">
        <v>106</v>
      </c>
      <c r="G133" s="61" t="s">
        <v>266</v>
      </c>
      <c r="H133" s="61" t="s">
        <v>669</v>
      </c>
      <c r="I133" s="61">
        <v>40.491920999999998</v>
      </c>
      <c r="J133" s="61">
        <v>-80.235223000000005</v>
      </c>
      <c r="K133" s="61">
        <v>21.391265860000001</v>
      </c>
      <c r="L133" s="61">
        <v>27.920999999999999</v>
      </c>
      <c r="M133" s="61" t="s">
        <v>617</v>
      </c>
      <c r="N133" s="149">
        <v>42</v>
      </c>
      <c r="O133" s="149">
        <v>43</v>
      </c>
      <c r="P133" s="61" t="s">
        <v>565</v>
      </c>
      <c r="Q133" s="61" t="s">
        <v>555</v>
      </c>
      <c r="R133" s="61">
        <v>40.6895314</v>
      </c>
      <c r="S133" s="61">
        <v>-74.174462399999996</v>
      </c>
      <c r="T133" s="61">
        <v>581.04700000000003</v>
      </c>
      <c r="U133" s="61" t="s">
        <v>617</v>
      </c>
      <c r="V133" s="61" t="s">
        <v>569</v>
      </c>
      <c r="W133" s="61" cm="1">
        <f t="array" ref="W133">getDistance(I133,J133,R133,S133)*SA!$B$12</f>
        <v>513.433583839015</v>
      </c>
      <c r="Y133" s="137">
        <f>Transportation_LCIA!C$61*($W133^Transportation_LCIA!C$60)+Transportation_LCIA!C$62</f>
        <v>0.32815716511039528</v>
      </c>
      <c r="Z133" s="137">
        <f>Transportation_LCIA!D$61*($W133^Transportation_LCIA!D$60)+Transportation_LCIA!D$62</f>
        <v>3.5191542163843881</v>
      </c>
      <c r="AA133" s="137">
        <f>Transportation_LCIA!E$61*($W133^Transportation_LCIA!E$60)+Transportation_LCIA!E$62</f>
        <v>1.8665206810453132E-3</v>
      </c>
      <c r="AB133" s="137">
        <f>Transportation_LCIA!F$61*($W133^Transportation_LCIA!F$60)+Transportation_LCIA!F$62</f>
        <v>0.32815716511039528</v>
      </c>
      <c r="AC133" s="137">
        <f>Transportation_LCIA!G$61*($W133^Transportation_LCIA!G$60)+Transportation_LCIA!G$62</f>
        <v>8.1967302989677859E-2</v>
      </c>
      <c r="AD133" s="137">
        <f>Transportation_LCIA!H$61*($W133^Transportation_LCIA!H$60)+Transportation_LCIA!H$62</f>
        <v>4.3698853519291556E-4</v>
      </c>
      <c r="AE133" s="137">
        <f>Transportation_LCIA!I$61*($W133^Transportation_LCIA!I$60)+Transportation_LCIA!I$62</f>
        <v>1.0010201729396875E-5</v>
      </c>
      <c r="AF133" s="137">
        <f>Transportation_LCIA!J$61*($W133^Transportation_LCIA!J$60)+Transportation_LCIA!J$62</f>
        <v>1.4910087392935532E-2</v>
      </c>
      <c r="AG133" s="137">
        <f>Transportation_LCIA!K$61*($W133^Transportation_LCIA!K$60)+Transportation_LCIA!K$62</f>
        <v>1.8005284512120634E-2</v>
      </c>
      <c r="AH133" s="137">
        <f>Transportation_LCIA!L$61*($W133^Transportation_LCIA!L$60)+Transportation_LCIA!L$62</f>
        <v>3.8774642038002372E-4</v>
      </c>
      <c r="AI133" s="137">
        <f>Transportation_LCIA!M$61*($W133^Transportation_LCIA!M$60)+Transportation_LCIA!M$62</f>
        <v>3.3205908340433346E-4</v>
      </c>
      <c r="AJ133" s="137">
        <f>Transportation_LCIA!N$61*($W133^Transportation_LCIA!N$60)+Transportation_LCIA!N$62</f>
        <v>1.5278401037459809E-3</v>
      </c>
      <c r="AK133" s="137">
        <f>Transportation_LCIA!O$61*($W133^Transportation_LCIA!O$60)+Transportation_LCIA!O$62</f>
        <v>8.6776433969231709E-5</v>
      </c>
      <c r="AL133" s="137">
        <f>Transportation_LCIA!P$61*($W133^Transportation_LCIA!P$60)+Transportation_LCIA!P$62</f>
        <v>4.187496920977748E-8</v>
      </c>
      <c r="AM133" s="137">
        <f>Transportation_LCIA!Q$61*($W133^Transportation_LCIA!Q$60)+Transportation_LCIA!Q$62</f>
        <v>1.5289540886279419E-4</v>
      </c>
      <c r="AN133" s="137">
        <f>Transportation_LCIA!R$61*($W133^Transportation_LCIA!R$60)+Transportation_LCIA!R$62</f>
        <v>4.8092919779996581E-4</v>
      </c>
      <c r="AO133" s="137">
        <f>Transportation_LCIA!S$61*($W133^Transportation_LCIA!S$60)+Transportation_LCIA!S$62</f>
        <v>7.081081996143308E-6</v>
      </c>
      <c r="AP133" s="137">
        <f>Transportation_LCIA!T$61*($W133^Transportation_LCIA!T$60)+Transportation_LCIA!T$62</f>
        <v>7.081081996143308E-6</v>
      </c>
      <c r="AQ133" s="137">
        <f>Transportation_LCIA!U$61*($W133^Transportation_LCIA!U$60)+Transportation_LCIA!U$62</f>
        <v>1.0425420500377758E-3</v>
      </c>
      <c r="AR133" s="137">
        <f>Transportation_LCIA!V$61*($W133^Transportation_LCIA!V$60)+Transportation_LCIA!V$62</f>
        <v>3.9809863614409633E-4</v>
      </c>
      <c r="AT133" s="137">
        <f>$W133*Y133+$L133*Summary_LCIA!H$32</f>
        <v>177.97446514508161</v>
      </c>
      <c r="AU133" s="137">
        <f>$W133*Z133+$L133*Summary_LCIA!Q$32</f>
        <v>1945.2298455402099</v>
      </c>
      <c r="AV133" s="137">
        <f>$W133*AA133+$L133*Summary_LCIA!R$32</f>
        <v>1.1053552201787342</v>
      </c>
      <c r="AW133" s="137">
        <f>$W133*AB133+$L133*Summary_LCIA!S$32</f>
        <v>177.85105432508161</v>
      </c>
      <c r="AX133" s="137">
        <f>$W133*AC133+$L133*Summary_LCIA!T$32</f>
        <v>45.153284031608706</v>
      </c>
      <c r="AY133" s="137">
        <f>$W133*AD133+$L133*Summary_LCIA!U$32</f>
        <v>0.72454138372066013</v>
      </c>
      <c r="AZ133" s="137">
        <f>$W133*AE133+$L133*Summary_LCIA!V$32</f>
        <v>6.4731086298757436E-3</v>
      </c>
      <c r="BA133" s="137">
        <f>$W133*AF133+$L133*Summary_LCIA!W$32</f>
        <v>9.8044468965078053</v>
      </c>
      <c r="BB133" s="137">
        <f>$W133*AG133+$L133*Summary_LCIA!X$32</f>
        <v>9.8805581350992089</v>
      </c>
      <c r="BC133" s="137">
        <f>$W133*AH133+$L133*Summary_LCIA!Y$32</f>
        <v>0.63414705623646483</v>
      </c>
      <c r="BD133" s="137">
        <f>$W133*AI133+$L133*Summary_LCIA!Z$32</f>
        <v>0.1716352975275853</v>
      </c>
      <c r="BE133" s="137">
        <f>$W133*AJ133+$L133*Summary_LCIA!AA$32</f>
        <v>1.4365672959992715</v>
      </c>
      <c r="BF133" s="137">
        <f>$W133*AK133+$L133*Summary_LCIA!AB$32</f>
        <v>4.394461550259228E-2</v>
      </c>
      <c r="BG133" s="137">
        <f>$W133*AL133+$L133*Summary_LCIA!AC$32</f>
        <v>2.2864905678524456E-5</v>
      </c>
      <c r="BH133" s="137">
        <f>$W133*AM133+$L133*Summary_LCIA!AD$32</f>
        <v>8.9978285564955907E-2</v>
      </c>
      <c r="BI133" s="137">
        <f>$W133*AN133+$L133*Summary_LCIA!AE$32</f>
        <v>0.271666837329259</v>
      </c>
      <c r="BJ133" s="137">
        <f>$W133*AO133+$L133*Summary_LCIA!AF$32</f>
        <v>2.7240637126737785E-2</v>
      </c>
      <c r="BK133" s="137">
        <f>$W133*AP133+$L133*Summary_LCIA!AG$32</f>
        <v>5.0642432717377846E-3</v>
      </c>
      <c r="BL133" s="137">
        <f>$W133*AQ133+$L133*Summary_LCIA!AH$32</f>
        <v>0.77828931665376899</v>
      </c>
      <c r="BM133" s="137">
        <f>$W133*AR133+$L133*Summary_LCIA!AI$32</f>
        <v>0.23040701702688743</v>
      </c>
    </row>
    <row r="134" spans="1:65" x14ac:dyDescent="0.25">
      <c r="A134" s="149">
        <v>177</v>
      </c>
      <c r="B134" s="149">
        <v>43</v>
      </c>
      <c r="C134" s="61">
        <v>42.871099999999998</v>
      </c>
      <c r="D134" s="61">
        <v>-78.859319999999997</v>
      </c>
      <c r="E134" s="61" t="s">
        <v>265</v>
      </c>
      <c r="F134" s="149">
        <v>120</v>
      </c>
      <c r="G134" s="61" t="s">
        <v>625</v>
      </c>
      <c r="H134" s="61" t="s">
        <v>626</v>
      </c>
      <c r="I134" s="61">
        <v>42.939706000000001</v>
      </c>
      <c r="J134" s="61">
        <v>-78.729506999999998</v>
      </c>
      <c r="K134" s="61">
        <v>16.03849787</v>
      </c>
      <c r="L134" s="61">
        <v>20.835000000000001</v>
      </c>
      <c r="M134" s="61" t="s">
        <v>617</v>
      </c>
      <c r="N134" s="149">
        <v>42</v>
      </c>
      <c r="O134" s="149">
        <v>43</v>
      </c>
      <c r="P134" s="61" t="s">
        <v>565</v>
      </c>
      <c r="Q134" s="61" t="s">
        <v>555</v>
      </c>
      <c r="R134" s="61">
        <v>40.6895314</v>
      </c>
      <c r="S134" s="61">
        <v>-74.174462399999996</v>
      </c>
      <c r="T134" s="61">
        <v>593.16399999999999</v>
      </c>
      <c r="U134" s="61" t="s">
        <v>617</v>
      </c>
      <c r="V134" s="61" t="s">
        <v>569</v>
      </c>
      <c r="W134" s="61" cm="1">
        <f t="array" ref="W134">getDistance(I134,J134,R134,S134)*SA!$B$12</f>
        <v>453.70669460993366</v>
      </c>
      <c r="Y134" s="137">
        <f>Transportation_LCIA!C$61*($W134^Transportation_LCIA!C$60)+Transportation_LCIA!C$62</f>
        <v>0.35179822030380453</v>
      </c>
      <c r="Z134" s="137">
        <f>Transportation_LCIA!D$61*($W134^Transportation_LCIA!D$60)+Transportation_LCIA!D$62</f>
        <v>3.8038685240383758</v>
      </c>
      <c r="AA134" s="137">
        <f>Transportation_LCIA!E$61*($W134^Transportation_LCIA!E$60)+Transportation_LCIA!E$62</f>
        <v>2.0553796700765819E-3</v>
      </c>
      <c r="AB134" s="137">
        <f>Transportation_LCIA!F$61*($W134^Transportation_LCIA!F$60)+Transportation_LCIA!F$62</f>
        <v>0.35179822030380453</v>
      </c>
      <c r="AC134" s="137">
        <f>Transportation_LCIA!G$61*($W134^Transportation_LCIA!G$60)+Transportation_LCIA!G$62</f>
        <v>8.8542301175389054E-2</v>
      </c>
      <c r="AD134" s="137">
        <f>Transportation_LCIA!H$61*($W134^Transportation_LCIA!H$60)+Transportation_LCIA!H$62</f>
        <v>4.7924680402862424E-4</v>
      </c>
      <c r="AE134" s="137">
        <f>Transportation_LCIA!I$61*($W134^Transportation_LCIA!I$60)+Transportation_LCIA!I$62</f>
        <v>1.1104359431323201E-5</v>
      </c>
      <c r="AF134" s="137">
        <f>Transportation_LCIA!J$61*($W134^Transportation_LCIA!J$60)+Transportation_LCIA!J$62</f>
        <v>1.6569820845191208E-2</v>
      </c>
      <c r="AG134" s="137">
        <f>Transportation_LCIA!K$61*($W134^Transportation_LCIA!K$60)+Transportation_LCIA!K$62</f>
        <v>1.9564708397539259E-2</v>
      </c>
      <c r="AH134" s="137">
        <f>Transportation_LCIA!L$61*($W134^Transportation_LCIA!L$60)+Transportation_LCIA!L$62</f>
        <v>4.2690866521771174E-4</v>
      </c>
      <c r="AI134" s="137">
        <f>Transportation_LCIA!M$61*($W134^Transportation_LCIA!M$60)+Transportation_LCIA!M$62</f>
        <v>3.5540325219174092E-4</v>
      </c>
      <c r="AJ134" s="137">
        <f>Transportation_LCIA!N$61*($W134^Transportation_LCIA!N$60)+Transportation_LCIA!N$62</f>
        <v>1.6696019563166051E-3</v>
      </c>
      <c r="AK134" s="137">
        <f>Transportation_LCIA!O$61*($W134^Transportation_LCIA!O$60)+Transportation_LCIA!O$62</f>
        <v>9.376926172545552E-5</v>
      </c>
      <c r="AL134" s="137">
        <f>Transportation_LCIA!P$61*($W134^Transportation_LCIA!P$60)+Transportation_LCIA!P$62</f>
        <v>4.5229183914951175E-8</v>
      </c>
      <c r="AM134" s="137">
        <f>Transportation_LCIA!Q$61*($W134^Transportation_LCIA!Q$60)+Transportation_LCIA!Q$62</f>
        <v>1.6827410039877645E-4</v>
      </c>
      <c r="AN134" s="137">
        <f>Transportation_LCIA!R$61*($W134^Transportation_LCIA!R$60)+Transportation_LCIA!R$62</f>
        <v>5.3343299418952066E-4</v>
      </c>
      <c r="AO134" s="137">
        <f>Transportation_LCIA!S$61*($W134^Transportation_LCIA!S$60)+Transportation_LCIA!S$62</f>
        <v>7.8252838449889344E-6</v>
      </c>
      <c r="AP134" s="137">
        <f>Transportation_LCIA!T$61*($W134^Transportation_LCIA!T$60)+Transportation_LCIA!T$62</f>
        <v>7.8252838449889344E-6</v>
      </c>
      <c r="AQ134" s="137">
        <f>Transportation_LCIA!U$61*($W134^Transportation_LCIA!U$60)+Transportation_LCIA!U$62</f>
        <v>1.1583001340676898E-3</v>
      </c>
      <c r="AR134" s="137">
        <f>Transportation_LCIA!V$61*($W134^Transportation_LCIA!V$60)+Transportation_LCIA!V$62</f>
        <v>4.3832947018607746E-4</v>
      </c>
      <c r="AT134" s="137">
        <f>$W134*Y134+$L134*Summary_LCIA!H$32</f>
        <v>166.69294070369642</v>
      </c>
      <c r="AU134" s="137">
        <f>$W134*Z134+$L134*Summary_LCIA!Q$32</f>
        <v>1829.0999255437735</v>
      </c>
      <c r="AV134" s="137">
        <f>$W134*AA134+$L134*Summary_LCIA!R$32</f>
        <v>1.042248292278902</v>
      </c>
      <c r="AW134" s="137">
        <f>$W134*AB134+$L134*Summary_LCIA!S$32</f>
        <v>166.60085000369642</v>
      </c>
      <c r="AX134" s="137">
        <f>$W134*AC134+$L134*Summary_LCIA!T$32</f>
        <v>42.46200129944301</v>
      </c>
      <c r="AY134" s="137">
        <f>$W134*AD134+$L134*Summary_LCIA!U$32</f>
        <v>0.5906756733582017</v>
      </c>
      <c r="AZ134" s="137">
        <f>$W134*AE134+$L134*Summary_LCIA!V$32</f>
        <v>6.033222648346292E-3</v>
      </c>
      <c r="BA134" s="137">
        <f>$W134*AF134+$L134*Summary_LCIA!W$32</f>
        <v>9.1215294309504795</v>
      </c>
      <c r="BB134" s="137">
        <f>$W134*AG134+$L134*Summary_LCIA!X$32</f>
        <v>9.3512604780547495</v>
      </c>
      <c r="BC134" s="137">
        <f>$W134*AH134+$L134*Summary_LCIA!Y$32</f>
        <v>0.51834228939626681</v>
      </c>
      <c r="BD134" s="137">
        <f>$W134*AI134+$L134*Summary_LCIA!Z$32</f>
        <v>0.16210325732053543</v>
      </c>
      <c r="BE134" s="137">
        <f>$W134*AJ134+$L134*Summary_LCIA!AA$32</f>
        <v>1.2441318449146856</v>
      </c>
      <c r="BF134" s="137">
        <f>$W134*AK134+$L134*Summary_LCIA!AB$32</f>
        <v>4.2089059588470187E-2</v>
      </c>
      <c r="BG134" s="137">
        <f>$W134*AL134+$L134*Summary_LCIA!AC$32</f>
        <v>2.1539281673957276E-5</v>
      </c>
      <c r="BH134" s="137">
        <f>$W134*AM134+$L134*Summary_LCIA!AD$32</f>
        <v>8.4911104280388977E-2</v>
      </c>
      <c r="BI134" s="137">
        <f>$W134*AN134+$L134*Summary_LCIA!AE$32</f>
        <v>0.2604846391396074</v>
      </c>
      <c r="BJ134" s="137">
        <f>$W134*AO134+$L134*Summary_LCIA!AF$32</f>
        <v>2.1164709367694445E-2</v>
      </c>
      <c r="BK134" s="137">
        <f>$W134*AP134+$L134*Summary_LCIA!AG$32</f>
        <v>4.6164064426944419E-3</v>
      </c>
      <c r="BL134" s="137">
        <f>$W134*AQ134+$L134*Summary_LCIA!AH$32</f>
        <v>0.70686803119409458</v>
      </c>
      <c r="BM134" s="137">
        <f>$W134*AR134+$L134*Summary_LCIA!AI$32</f>
        <v>0.21828185931824867</v>
      </c>
    </row>
    <row r="135" spans="1:65" x14ac:dyDescent="0.25">
      <c r="A135" s="149">
        <v>178</v>
      </c>
      <c r="B135" s="149">
        <v>43</v>
      </c>
      <c r="C135" s="61">
        <v>42.871099999999998</v>
      </c>
      <c r="D135" s="61">
        <v>-78.859319999999997</v>
      </c>
      <c r="E135" s="61" t="s">
        <v>265</v>
      </c>
      <c r="F135" s="149">
        <v>120</v>
      </c>
      <c r="G135" s="61" t="s">
        <v>625</v>
      </c>
      <c r="H135" s="61" t="s">
        <v>626</v>
      </c>
      <c r="I135" s="61">
        <v>42.939706000000001</v>
      </c>
      <c r="J135" s="61">
        <v>-78.729506999999998</v>
      </c>
      <c r="K135" s="61">
        <v>16.03849787</v>
      </c>
      <c r="L135" s="61">
        <v>20.835000000000001</v>
      </c>
      <c r="M135" s="61" t="s">
        <v>617</v>
      </c>
      <c r="N135" s="149">
        <v>42</v>
      </c>
      <c r="O135" s="149">
        <v>43</v>
      </c>
      <c r="P135" s="61" t="s">
        <v>565</v>
      </c>
      <c r="Q135" s="61" t="s">
        <v>555</v>
      </c>
      <c r="R135" s="61">
        <v>40.6895314</v>
      </c>
      <c r="S135" s="61">
        <v>-74.174462399999996</v>
      </c>
      <c r="T135" s="61">
        <v>593.16399999999999</v>
      </c>
      <c r="U135" s="61" t="s">
        <v>617</v>
      </c>
      <c r="V135" s="61" t="s">
        <v>569</v>
      </c>
      <c r="W135" s="61" cm="1">
        <f t="array" ref="W135">getDistance(I135,J135,R135,S135)*SA!$B$12</f>
        <v>453.70669460993366</v>
      </c>
      <c r="Y135" s="137">
        <f>Transportation_LCIA!C$61*($W135^Transportation_LCIA!C$60)+Transportation_LCIA!C$62</f>
        <v>0.35179822030380453</v>
      </c>
      <c r="Z135" s="137">
        <f>Transportation_LCIA!D$61*($W135^Transportation_LCIA!D$60)+Transportation_LCIA!D$62</f>
        <v>3.8038685240383758</v>
      </c>
      <c r="AA135" s="137">
        <f>Transportation_LCIA!E$61*($W135^Transportation_LCIA!E$60)+Transportation_LCIA!E$62</f>
        <v>2.0553796700765819E-3</v>
      </c>
      <c r="AB135" s="137">
        <f>Transportation_LCIA!F$61*($W135^Transportation_LCIA!F$60)+Transportation_LCIA!F$62</f>
        <v>0.35179822030380453</v>
      </c>
      <c r="AC135" s="137">
        <f>Transportation_LCIA!G$61*($W135^Transportation_LCIA!G$60)+Transportation_LCIA!G$62</f>
        <v>8.8542301175389054E-2</v>
      </c>
      <c r="AD135" s="137">
        <f>Transportation_LCIA!H$61*($W135^Transportation_LCIA!H$60)+Transportation_LCIA!H$62</f>
        <v>4.7924680402862424E-4</v>
      </c>
      <c r="AE135" s="137">
        <f>Transportation_LCIA!I$61*($W135^Transportation_LCIA!I$60)+Transportation_LCIA!I$62</f>
        <v>1.1104359431323201E-5</v>
      </c>
      <c r="AF135" s="137">
        <f>Transportation_LCIA!J$61*($W135^Transportation_LCIA!J$60)+Transportation_LCIA!J$62</f>
        <v>1.6569820845191208E-2</v>
      </c>
      <c r="AG135" s="137">
        <f>Transportation_LCIA!K$61*($W135^Transportation_LCIA!K$60)+Transportation_LCIA!K$62</f>
        <v>1.9564708397539259E-2</v>
      </c>
      <c r="AH135" s="137">
        <f>Transportation_LCIA!L$61*($W135^Transportation_LCIA!L$60)+Transportation_LCIA!L$62</f>
        <v>4.2690866521771174E-4</v>
      </c>
      <c r="AI135" s="137">
        <f>Transportation_LCIA!M$61*($W135^Transportation_LCIA!M$60)+Transportation_LCIA!M$62</f>
        <v>3.5540325219174092E-4</v>
      </c>
      <c r="AJ135" s="137">
        <f>Transportation_LCIA!N$61*($W135^Transportation_LCIA!N$60)+Transportation_LCIA!N$62</f>
        <v>1.6696019563166051E-3</v>
      </c>
      <c r="AK135" s="137">
        <f>Transportation_LCIA!O$61*($W135^Transportation_LCIA!O$60)+Transportation_LCIA!O$62</f>
        <v>9.376926172545552E-5</v>
      </c>
      <c r="AL135" s="137">
        <f>Transportation_LCIA!P$61*($W135^Transportation_LCIA!P$60)+Transportation_LCIA!P$62</f>
        <v>4.5229183914951175E-8</v>
      </c>
      <c r="AM135" s="137">
        <f>Transportation_LCIA!Q$61*($W135^Transportation_LCIA!Q$60)+Transportation_LCIA!Q$62</f>
        <v>1.6827410039877645E-4</v>
      </c>
      <c r="AN135" s="137">
        <f>Transportation_LCIA!R$61*($W135^Transportation_LCIA!R$60)+Transportation_LCIA!R$62</f>
        <v>5.3343299418952066E-4</v>
      </c>
      <c r="AO135" s="137">
        <f>Transportation_LCIA!S$61*($W135^Transportation_LCIA!S$60)+Transportation_LCIA!S$62</f>
        <v>7.8252838449889344E-6</v>
      </c>
      <c r="AP135" s="137">
        <f>Transportation_LCIA!T$61*($W135^Transportation_LCIA!T$60)+Transportation_LCIA!T$62</f>
        <v>7.8252838449889344E-6</v>
      </c>
      <c r="AQ135" s="137">
        <f>Transportation_LCIA!U$61*($W135^Transportation_LCIA!U$60)+Transportation_LCIA!U$62</f>
        <v>1.1583001340676898E-3</v>
      </c>
      <c r="AR135" s="137">
        <f>Transportation_LCIA!V$61*($W135^Transportation_LCIA!V$60)+Transportation_LCIA!V$62</f>
        <v>4.3832947018607746E-4</v>
      </c>
      <c r="AT135" s="137">
        <f>$W135*Y135+$L135*Summary_LCIA!H$32</f>
        <v>166.69294070369642</v>
      </c>
      <c r="AU135" s="137">
        <f>$W135*Z135+$L135*Summary_LCIA!Q$32</f>
        <v>1829.0999255437735</v>
      </c>
      <c r="AV135" s="137">
        <f>$W135*AA135+$L135*Summary_LCIA!R$32</f>
        <v>1.042248292278902</v>
      </c>
      <c r="AW135" s="137">
        <f>$W135*AB135+$L135*Summary_LCIA!S$32</f>
        <v>166.60085000369642</v>
      </c>
      <c r="AX135" s="137">
        <f>$W135*AC135+$L135*Summary_LCIA!T$32</f>
        <v>42.46200129944301</v>
      </c>
      <c r="AY135" s="137">
        <f>$W135*AD135+$L135*Summary_LCIA!U$32</f>
        <v>0.5906756733582017</v>
      </c>
      <c r="AZ135" s="137">
        <f>$W135*AE135+$L135*Summary_LCIA!V$32</f>
        <v>6.033222648346292E-3</v>
      </c>
      <c r="BA135" s="137">
        <f>$W135*AF135+$L135*Summary_LCIA!W$32</f>
        <v>9.1215294309504795</v>
      </c>
      <c r="BB135" s="137">
        <f>$W135*AG135+$L135*Summary_LCIA!X$32</f>
        <v>9.3512604780547495</v>
      </c>
      <c r="BC135" s="137">
        <f>$W135*AH135+$L135*Summary_LCIA!Y$32</f>
        <v>0.51834228939626681</v>
      </c>
      <c r="BD135" s="137">
        <f>$W135*AI135+$L135*Summary_LCIA!Z$32</f>
        <v>0.16210325732053543</v>
      </c>
      <c r="BE135" s="137">
        <f>$W135*AJ135+$L135*Summary_LCIA!AA$32</f>
        <v>1.2441318449146856</v>
      </c>
      <c r="BF135" s="137">
        <f>$W135*AK135+$L135*Summary_LCIA!AB$32</f>
        <v>4.2089059588470187E-2</v>
      </c>
      <c r="BG135" s="137">
        <f>$W135*AL135+$L135*Summary_LCIA!AC$32</f>
        <v>2.1539281673957276E-5</v>
      </c>
      <c r="BH135" s="137">
        <f>$W135*AM135+$L135*Summary_LCIA!AD$32</f>
        <v>8.4911104280388977E-2</v>
      </c>
      <c r="BI135" s="137">
        <f>$W135*AN135+$L135*Summary_LCIA!AE$32</f>
        <v>0.2604846391396074</v>
      </c>
      <c r="BJ135" s="137">
        <f>$W135*AO135+$L135*Summary_LCIA!AF$32</f>
        <v>2.1164709367694445E-2</v>
      </c>
      <c r="BK135" s="137">
        <f>$W135*AP135+$L135*Summary_LCIA!AG$32</f>
        <v>4.6164064426944419E-3</v>
      </c>
      <c r="BL135" s="137">
        <f>$W135*AQ135+$L135*Summary_LCIA!AH$32</f>
        <v>0.70686803119409458</v>
      </c>
      <c r="BM135" s="137">
        <f>$W135*AR135+$L135*Summary_LCIA!AI$32</f>
        <v>0.21828185931824867</v>
      </c>
    </row>
    <row r="136" spans="1:65" x14ac:dyDescent="0.25">
      <c r="A136" s="149">
        <v>179</v>
      </c>
      <c r="B136" s="149">
        <v>43</v>
      </c>
      <c r="C136" s="61">
        <v>42.871099999999998</v>
      </c>
      <c r="D136" s="61">
        <v>-78.859319999999997</v>
      </c>
      <c r="E136" s="61" t="s">
        <v>265</v>
      </c>
      <c r="F136" s="149">
        <v>120</v>
      </c>
      <c r="G136" s="61" t="s">
        <v>625</v>
      </c>
      <c r="H136" s="61" t="s">
        <v>626</v>
      </c>
      <c r="I136" s="61">
        <v>42.939706000000001</v>
      </c>
      <c r="J136" s="61">
        <v>-78.729506999999998</v>
      </c>
      <c r="K136" s="61">
        <v>16.03849787</v>
      </c>
      <c r="L136" s="61">
        <v>20.835000000000001</v>
      </c>
      <c r="M136" s="61" t="s">
        <v>617</v>
      </c>
      <c r="N136" s="149">
        <v>42</v>
      </c>
      <c r="O136" s="149">
        <v>43</v>
      </c>
      <c r="P136" s="61" t="s">
        <v>565</v>
      </c>
      <c r="Q136" s="61" t="s">
        <v>555</v>
      </c>
      <c r="R136" s="61">
        <v>40.6895314</v>
      </c>
      <c r="S136" s="61">
        <v>-74.174462399999996</v>
      </c>
      <c r="T136" s="61">
        <v>593.16399999999999</v>
      </c>
      <c r="U136" s="61" t="s">
        <v>617</v>
      </c>
      <c r="V136" s="61" t="s">
        <v>569</v>
      </c>
      <c r="W136" s="61" cm="1">
        <f t="array" ref="W136">getDistance(I136,J136,R136,S136)*SA!$B$12</f>
        <v>453.70669460993366</v>
      </c>
      <c r="Y136" s="137">
        <f>Transportation_LCIA!C$61*($W136^Transportation_LCIA!C$60)+Transportation_LCIA!C$62</f>
        <v>0.35179822030380453</v>
      </c>
      <c r="Z136" s="137">
        <f>Transportation_LCIA!D$61*($W136^Transportation_LCIA!D$60)+Transportation_LCIA!D$62</f>
        <v>3.8038685240383758</v>
      </c>
      <c r="AA136" s="137">
        <f>Transportation_LCIA!E$61*($W136^Transportation_LCIA!E$60)+Transportation_LCIA!E$62</f>
        <v>2.0553796700765819E-3</v>
      </c>
      <c r="AB136" s="137">
        <f>Transportation_LCIA!F$61*($W136^Transportation_LCIA!F$60)+Transportation_LCIA!F$62</f>
        <v>0.35179822030380453</v>
      </c>
      <c r="AC136" s="137">
        <f>Transportation_LCIA!G$61*($W136^Transportation_LCIA!G$60)+Transportation_LCIA!G$62</f>
        <v>8.8542301175389054E-2</v>
      </c>
      <c r="AD136" s="137">
        <f>Transportation_LCIA!H$61*($W136^Transportation_LCIA!H$60)+Transportation_LCIA!H$62</f>
        <v>4.7924680402862424E-4</v>
      </c>
      <c r="AE136" s="137">
        <f>Transportation_LCIA!I$61*($W136^Transportation_LCIA!I$60)+Transportation_LCIA!I$62</f>
        <v>1.1104359431323201E-5</v>
      </c>
      <c r="AF136" s="137">
        <f>Transportation_LCIA!J$61*($W136^Transportation_LCIA!J$60)+Transportation_LCIA!J$62</f>
        <v>1.6569820845191208E-2</v>
      </c>
      <c r="AG136" s="137">
        <f>Transportation_LCIA!K$61*($W136^Transportation_LCIA!K$60)+Transportation_LCIA!K$62</f>
        <v>1.9564708397539259E-2</v>
      </c>
      <c r="AH136" s="137">
        <f>Transportation_LCIA!L$61*($W136^Transportation_LCIA!L$60)+Transportation_LCIA!L$62</f>
        <v>4.2690866521771174E-4</v>
      </c>
      <c r="AI136" s="137">
        <f>Transportation_LCIA!M$61*($W136^Transportation_LCIA!M$60)+Transportation_LCIA!M$62</f>
        <v>3.5540325219174092E-4</v>
      </c>
      <c r="AJ136" s="137">
        <f>Transportation_LCIA!N$61*($W136^Transportation_LCIA!N$60)+Transportation_LCIA!N$62</f>
        <v>1.6696019563166051E-3</v>
      </c>
      <c r="AK136" s="137">
        <f>Transportation_LCIA!O$61*($W136^Transportation_LCIA!O$60)+Transportation_LCIA!O$62</f>
        <v>9.376926172545552E-5</v>
      </c>
      <c r="AL136" s="137">
        <f>Transportation_LCIA!P$61*($W136^Transportation_LCIA!P$60)+Transportation_LCIA!P$62</f>
        <v>4.5229183914951175E-8</v>
      </c>
      <c r="AM136" s="137">
        <f>Transportation_LCIA!Q$61*($W136^Transportation_LCIA!Q$60)+Transportation_LCIA!Q$62</f>
        <v>1.6827410039877645E-4</v>
      </c>
      <c r="AN136" s="137">
        <f>Transportation_LCIA!R$61*($W136^Transportation_LCIA!R$60)+Transportation_LCIA!R$62</f>
        <v>5.3343299418952066E-4</v>
      </c>
      <c r="AO136" s="137">
        <f>Transportation_LCIA!S$61*($W136^Transportation_LCIA!S$60)+Transportation_LCIA!S$62</f>
        <v>7.8252838449889344E-6</v>
      </c>
      <c r="AP136" s="137">
        <f>Transportation_LCIA!T$61*($W136^Transportation_LCIA!T$60)+Transportation_LCIA!T$62</f>
        <v>7.8252838449889344E-6</v>
      </c>
      <c r="AQ136" s="137">
        <f>Transportation_LCIA!U$61*($W136^Transportation_LCIA!U$60)+Transportation_LCIA!U$62</f>
        <v>1.1583001340676898E-3</v>
      </c>
      <c r="AR136" s="137">
        <f>Transportation_LCIA!V$61*($W136^Transportation_LCIA!V$60)+Transportation_LCIA!V$62</f>
        <v>4.3832947018607746E-4</v>
      </c>
      <c r="AT136" s="137">
        <f>$W136*Y136+$L136*Summary_LCIA!H$32</f>
        <v>166.69294070369642</v>
      </c>
      <c r="AU136" s="137">
        <f>$W136*Z136+$L136*Summary_LCIA!Q$32</f>
        <v>1829.0999255437735</v>
      </c>
      <c r="AV136" s="137">
        <f>$W136*AA136+$L136*Summary_LCIA!R$32</f>
        <v>1.042248292278902</v>
      </c>
      <c r="AW136" s="137">
        <f>$W136*AB136+$L136*Summary_LCIA!S$32</f>
        <v>166.60085000369642</v>
      </c>
      <c r="AX136" s="137">
        <f>$W136*AC136+$L136*Summary_LCIA!T$32</f>
        <v>42.46200129944301</v>
      </c>
      <c r="AY136" s="137">
        <f>$W136*AD136+$L136*Summary_LCIA!U$32</f>
        <v>0.5906756733582017</v>
      </c>
      <c r="AZ136" s="137">
        <f>$W136*AE136+$L136*Summary_LCIA!V$32</f>
        <v>6.033222648346292E-3</v>
      </c>
      <c r="BA136" s="137">
        <f>$W136*AF136+$L136*Summary_LCIA!W$32</f>
        <v>9.1215294309504795</v>
      </c>
      <c r="BB136" s="137">
        <f>$W136*AG136+$L136*Summary_LCIA!X$32</f>
        <v>9.3512604780547495</v>
      </c>
      <c r="BC136" s="137">
        <f>$W136*AH136+$L136*Summary_LCIA!Y$32</f>
        <v>0.51834228939626681</v>
      </c>
      <c r="BD136" s="137">
        <f>$W136*AI136+$L136*Summary_LCIA!Z$32</f>
        <v>0.16210325732053543</v>
      </c>
      <c r="BE136" s="137">
        <f>$W136*AJ136+$L136*Summary_LCIA!AA$32</f>
        <v>1.2441318449146856</v>
      </c>
      <c r="BF136" s="137">
        <f>$W136*AK136+$L136*Summary_LCIA!AB$32</f>
        <v>4.2089059588470187E-2</v>
      </c>
      <c r="BG136" s="137">
        <f>$W136*AL136+$L136*Summary_LCIA!AC$32</f>
        <v>2.1539281673957276E-5</v>
      </c>
      <c r="BH136" s="137">
        <f>$W136*AM136+$L136*Summary_LCIA!AD$32</f>
        <v>8.4911104280388977E-2</v>
      </c>
      <c r="BI136" s="137">
        <f>$W136*AN136+$L136*Summary_LCIA!AE$32</f>
        <v>0.2604846391396074</v>
      </c>
      <c r="BJ136" s="137">
        <f>$W136*AO136+$L136*Summary_LCIA!AF$32</f>
        <v>2.1164709367694445E-2</v>
      </c>
      <c r="BK136" s="137">
        <f>$W136*AP136+$L136*Summary_LCIA!AG$32</f>
        <v>4.6164064426944419E-3</v>
      </c>
      <c r="BL136" s="137">
        <f>$W136*AQ136+$L136*Summary_LCIA!AH$32</f>
        <v>0.70686803119409458</v>
      </c>
      <c r="BM136" s="137">
        <f>$W136*AR136+$L136*Summary_LCIA!AI$32</f>
        <v>0.21828185931824867</v>
      </c>
    </row>
    <row r="137" spans="1:65" x14ac:dyDescent="0.25">
      <c r="A137" s="149">
        <v>281</v>
      </c>
      <c r="B137" s="149">
        <v>43</v>
      </c>
      <c r="C137" s="61">
        <v>39.654181000000001</v>
      </c>
      <c r="D137" s="61">
        <v>-79.959489000000005</v>
      </c>
      <c r="E137" s="61" t="s">
        <v>265</v>
      </c>
      <c r="F137" s="149">
        <v>106</v>
      </c>
      <c r="G137" s="61" t="s">
        <v>266</v>
      </c>
      <c r="H137" s="61" t="s">
        <v>669</v>
      </c>
      <c r="I137" s="61">
        <v>40.491920999999998</v>
      </c>
      <c r="J137" s="61">
        <v>-80.235223000000005</v>
      </c>
      <c r="K137" s="61">
        <v>134.8417848</v>
      </c>
      <c r="L137" s="61">
        <v>124.12</v>
      </c>
      <c r="M137" s="61" t="s">
        <v>617</v>
      </c>
      <c r="N137" s="149">
        <v>42</v>
      </c>
      <c r="O137" s="149">
        <v>43</v>
      </c>
      <c r="P137" s="61" t="s">
        <v>565</v>
      </c>
      <c r="Q137" s="61" t="s">
        <v>555</v>
      </c>
      <c r="R137" s="61">
        <v>40.6895314</v>
      </c>
      <c r="S137" s="61">
        <v>-74.174462399999996</v>
      </c>
      <c r="T137" s="61">
        <v>593.59199999999998</v>
      </c>
      <c r="U137" s="61" t="s">
        <v>617</v>
      </c>
      <c r="V137" s="61" t="s">
        <v>569</v>
      </c>
      <c r="W137" s="61" cm="1">
        <f t="array" ref="W137">getDistance(I137,J137,R137,S137)*SA!$B$12</f>
        <v>513.433583839015</v>
      </c>
      <c r="Y137" s="137">
        <f>Transportation_LCIA!C$61*($W137^Transportation_LCIA!C$60)+Transportation_LCIA!C$62</f>
        <v>0.32815716511039528</v>
      </c>
      <c r="Z137" s="137">
        <f>Transportation_LCIA!D$61*($W137^Transportation_LCIA!D$60)+Transportation_LCIA!D$62</f>
        <v>3.5191542163843881</v>
      </c>
      <c r="AA137" s="137">
        <f>Transportation_LCIA!E$61*($W137^Transportation_LCIA!E$60)+Transportation_LCIA!E$62</f>
        <v>1.8665206810453132E-3</v>
      </c>
      <c r="AB137" s="137">
        <f>Transportation_LCIA!F$61*($W137^Transportation_LCIA!F$60)+Transportation_LCIA!F$62</f>
        <v>0.32815716511039528</v>
      </c>
      <c r="AC137" s="137">
        <f>Transportation_LCIA!G$61*($W137^Transportation_LCIA!G$60)+Transportation_LCIA!G$62</f>
        <v>8.1967302989677859E-2</v>
      </c>
      <c r="AD137" s="137">
        <f>Transportation_LCIA!H$61*($W137^Transportation_LCIA!H$60)+Transportation_LCIA!H$62</f>
        <v>4.3698853519291556E-4</v>
      </c>
      <c r="AE137" s="137">
        <f>Transportation_LCIA!I$61*($W137^Transportation_LCIA!I$60)+Transportation_LCIA!I$62</f>
        <v>1.0010201729396875E-5</v>
      </c>
      <c r="AF137" s="137">
        <f>Transportation_LCIA!J$61*($W137^Transportation_LCIA!J$60)+Transportation_LCIA!J$62</f>
        <v>1.4910087392935532E-2</v>
      </c>
      <c r="AG137" s="137">
        <f>Transportation_LCIA!K$61*($W137^Transportation_LCIA!K$60)+Transportation_LCIA!K$62</f>
        <v>1.8005284512120634E-2</v>
      </c>
      <c r="AH137" s="137">
        <f>Transportation_LCIA!L$61*($W137^Transportation_LCIA!L$60)+Transportation_LCIA!L$62</f>
        <v>3.8774642038002372E-4</v>
      </c>
      <c r="AI137" s="137">
        <f>Transportation_LCIA!M$61*($W137^Transportation_LCIA!M$60)+Transportation_LCIA!M$62</f>
        <v>3.3205908340433346E-4</v>
      </c>
      <c r="AJ137" s="137">
        <f>Transportation_LCIA!N$61*($W137^Transportation_LCIA!N$60)+Transportation_LCIA!N$62</f>
        <v>1.5278401037459809E-3</v>
      </c>
      <c r="AK137" s="137">
        <f>Transportation_LCIA!O$61*($W137^Transportation_LCIA!O$60)+Transportation_LCIA!O$62</f>
        <v>8.6776433969231709E-5</v>
      </c>
      <c r="AL137" s="137">
        <f>Transportation_LCIA!P$61*($W137^Transportation_LCIA!P$60)+Transportation_LCIA!P$62</f>
        <v>4.187496920977748E-8</v>
      </c>
      <c r="AM137" s="137">
        <f>Transportation_LCIA!Q$61*($W137^Transportation_LCIA!Q$60)+Transportation_LCIA!Q$62</f>
        <v>1.5289540886279419E-4</v>
      </c>
      <c r="AN137" s="137">
        <f>Transportation_LCIA!R$61*($W137^Transportation_LCIA!R$60)+Transportation_LCIA!R$62</f>
        <v>4.8092919779996581E-4</v>
      </c>
      <c r="AO137" s="137">
        <f>Transportation_LCIA!S$61*($W137^Transportation_LCIA!S$60)+Transportation_LCIA!S$62</f>
        <v>7.081081996143308E-6</v>
      </c>
      <c r="AP137" s="137">
        <f>Transportation_LCIA!T$61*($W137^Transportation_LCIA!T$60)+Transportation_LCIA!T$62</f>
        <v>7.081081996143308E-6</v>
      </c>
      <c r="AQ137" s="137">
        <f>Transportation_LCIA!U$61*($W137^Transportation_LCIA!U$60)+Transportation_LCIA!U$62</f>
        <v>1.0425420500377758E-3</v>
      </c>
      <c r="AR137" s="137">
        <f>Transportation_LCIA!V$61*($W137^Transportation_LCIA!V$60)+Transportation_LCIA!V$62</f>
        <v>3.9809863614409633E-4</v>
      </c>
      <c r="AT137" s="137">
        <f>$W137*Y137+$L137*Summary_LCIA!H$32</f>
        <v>210.66288534508161</v>
      </c>
      <c r="AU137" s="137">
        <f>$W137*Z137+$L137*Summary_LCIA!Q$32</f>
        <v>2421.9969411443772</v>
      </c>
      <c r="AV137" s="137">
        <f>$W137*AA137+$L137*Summary_LCIA!R$32</f>
        <v>1.6119006745787341</v>
      </c>
      <c r="AW137" s="137">
        <f>$W137*AB137+$L137*Summary_LCIA!S$32</f>
        <v>210.1142749450816</v>
      </c>
      <c r="AX137" s="137">
        <f>$W137*AC137+$L137*Summary_LCIA!T$32</f>
        <v>55.72555413160871</v>
      </c>
      <c r="AY137" s="137">
        <f>$W137*AD137+$L137*Summary_LCIA!U$32</f>
        <v>2.4478502697206603</v>
      </c>
      <c r="AZ137" s="137">
        <f>$W137*AE137+$L137*Summary_LCIA!V$32</f>
        <v>1.1067669068875744E-2</v>
      </c>
      <c r="BA137" s="137">
        <f>$W137*AF137+$L137*Summary_LCIA!W$32</f>
        <v>17.208980125507807</v>
      </c>
      <c r="BB137" s="137">
        <f>$W137*AG137+$L137*Summary_LCIA!X$32</f>
        <v>12.071971355099208</v>
      </c>
      <c r="BC137" s="137">
        <f>$W137*AH137+$L137*Summary_LCIA!Y$32</f>
        <v>2.1331198742364648</v>
      </c>
      <c r="BD137" s="137">
        <f>$W137*AI137+$L137*Summary_LCIA!Z$32</f>
        <v>0.17558032231858531</v>
      </c>
      <c r="BE137" s="137">
        <f>$W137*AJ137+$L137*Summary_LCIA!AA$32</f>
        <v>3.6833911399992716</v>
      </c>
      <c r="BF137" s="137">
        <f>$W137*AK137+$L137*Summary_LCIA!AB$32</f>
        <v>4.1845264725592274E-2</v>
      </c>
      <c r="BG137" s="137">
        <f>$W137*AL137+$L137*Summary_LCIA!AC$32</f>
        <v>2.7567497594524459E-5</v>
      </c>
      <c r="BH137" s="137">
        <f>$W137*AM137+$L137*Summary_LCIA!AD$32</f>
        <v>0.12951992252495592</v>
      </c>
      <c r="BI137" s="137">
        <f>$W137*AN137+$L137*Summary_LCIA!AE$32</f>
        <v>0.35691165719925899</v>
      </c>
      <c r="BJ137" s="137">
        <f>$W137*AO137+$L137*Summary_LCIA!AF$32</f>
        <v>0.1085691957067378</v>
      </c>
      <c r="BK137" s="137">
        <f>$W137*AP137+$L137*Summary_LCIA!AG$32</f>
        <v>9.9862651067377847E-3</v>
      </c>
      <c r="BL137" s="137">
        <f>$W137*AQ137+$L137*Summary_LCIA!AH$32</f>
        <v>1.6155669330537692</v>
      </c>
      <c r="BM137" s="137">
        <f>$W137*AR137+$L137*Summary_LCIA!AI$32</f>
        <v>0.3200211954768874</v>
      </c>
    </row>
    <row r="138" spans="1:65" x14ac:dyDescent="0.25">
      <c r="A138" s="149">
        <v>273</v>
      </c>
      <c r="B138" s="149">
        <v>43</v>
      </c>
      <c r="C138" s="61">
        <v>45.501688999999999</v>
      </c>
      <c r="D138" s="61">
        <v>-73.567256</v>
      </c>
      <c r="E138" s="61" t="s">
        <v>458</v>
      </c>
      <c r="F138" s="149">
        <v>124</v>
      </c>
      <c r="G138" s="61" t="s">
        <v>654</v>
      </c>
      <c r="H138" s="61" t="s">
        <v>655</v>
      </c>
      <c r="I138" s="61">
        <v>45.465685000000001</v>
      </c>
      <c r="J138" s="61">
        <v>-73.745480999999998</v>
      </c>
      <c r="K138" s="61">
        <v>15.92927869</v>
      </c>
      <c r="L138" s="61">
        <v>19.553999999999998</v>
      </c>
      <c r="M138" s="61" t="s">
        <v>617</v>
      </c>
      <c r="N138" s="149">
        <v>42</v>
      </c>
      <c r="O138" s="149">
        <v>43</v>
      </c>
      <c r="P138" s="61" t="s">
        <v>565</v>
      </c>
      <c r="Q138" s="61" t="s">
        <v>555</v>
      </c>
      <c r="R138" s="61">
        <v>40.6895314</v>
      </c>
      <c r="S138" s="61">
        <v>-74.174462399999996</v>
      </c>
      <c r="T138" s="61">
        <v>604.83699999999999</v>
      </c>
      <c r="U138" s="61" t="s">
        <v>617</v>
      </c>
      <c r="V138" s="61" t="s">
        <v>569</v>
      </c>
      <c r="W138" s="61" cm="1">
        <f t="array" ref="W138">getDistance(I138,J138,R138,S138)*SA!$B$12</f>
        <v>532.70082587978914</v>
      </c>
      <c r="Y138" s="137">
        <f>Transportation_LCIA!C$61*($W138^Transportation_LCIA!C$60)+Transportation_LCIA!C$62</f>
        <v>0.32157602463370416</v>
      </c>
      <c r="Z138" s="137">
        <f>Transportation_LCIA!D$61*($W138^Transportation_LCIA!D$60)+Transportation_LCIA!D$62</f>
        <v>3.4401752281760434</v>
      </c>
      <c r="AA138" s="137">
        <f>Transportation_LCIA!E$61*($W138^Transportation_LCIA!E$60)+Transportation_LCIA!E$62</f>
        <v>1.8141836341962153E-3</v>
      </c>
      <c r="AB138" s="137">
        <f>Transportation_LCIA!F$61*($W138^Transportation_LCIA!F$60)+Transportation_LCIA!F$62</f>
        <v>0.32157602463370416</v>
      </c>
      <c r="AC138" s="137">
        <f>Transportation_LCIA!G$61*($W138^Transportation_LCIA!G$60)+Transportation_LCIA!G$62</f>
        <v>8.0143040676289495E-2</v>
      </c>
      <c r="AD138" s="137">
        <f>Transportation_LCIA!H$61*($W138^Transportation_LCIA!H$60)+Transportation_LCIA!H$62</f>
        <v>4.2530075100495493E-4</v>
      </c>
      <c r="AE138" s="137">
        <f>Transportation_LCIA!I$61*($W138^Transportation_LCIA!I$60)+Transportation_LCIA!I$62</f>
        <v>9.7085338694522006E-6</v>
      </c>
      <c r="AF138" s="137">
        <f>Transportation_LCIA!J$61*($W138^Transportation_LCIA!J$60)+Transportation_LCIA!J$62</f>
        <v>1.4453429332288598E-2</v>
      </c>
      <c r="AG138" s="137">
        <f>Transportation_LCIA!K$61*($W138^Transportation_LCIA!K$60)+Transportation_LCIA!K$62</f>
        <v>1.7573386146825021E-2</v>
      </c>
      <c r="AH138" s="137">
        <f>Transportation_LCIA!L$61*($W138^Transportation_LCIA!L$60)+Transportation_LCIA!L$62</f>
        <v>3.7692466700234696E-4</v>
      </c>
      <c r="AI138" s="137">
        <f>Transportation_LCIA!M$61*($W138^Transportation_LCIA!M$60)+Transportation_LCIA!M$62</f>
        <v>3.2560324687594627E-4</v>
      </c>
      <c r="AJ138" s="137">
        <f>Transportation_LCIA!N$61*($W138^Transportation_LCIA!N$60)+Transportation_LCIA!N$62</f>
        <v>1.4886217992903391E-3</v>
      </c>
      <c r="AK138" s="137">
        <f>Transportation_LCIA!O$61*($W138^Transportation_LCIA!O$60)+Transportation_LCIA!O$62</f>
        <v>8.4836431112135085E-5</v>
      </c>
      <c r="AL138" s="137">
        <f>Transportation_LCIA!P$61*($W138^Transportation_LCIA!P$60)+Transportation_LCIA!P$62</f>
        <v>4.094417350036071E-8</v>
      </c>
      <c r="AM138" s="137">
        <f>Transportation_LCIA!Q$61*($W138^Transportation_LCIA!Q$60)+Transportation_LCIA!Q$62</f>
        <v>1.4864785211779024E-4</v>
      </c>
      <c r="AN138" s="137">
        <f>Transportation_LCIA!R$61*($W138^Transportation_LCIA!R$60)+Transportation_LCIA!R$62</f>
        <v>4.664545941177262E-4</v>
      </c>
      <c r="AO138" s="137">
        <f>Transportation_LCIA!S$61*($W138^Transportation_LCIA!S$60)+Transportation_LCIA!S$62</f>
        <v>6.8758863533443067E-6</v>
      </c>
      <c r="AP138" s="137">
        <f>Transportation_LCIA!T$61*($W138^Transportation_LCIA!T$60)+Transportation_LCIA!T$62</f>
        <v>6.8758863533443067E-6</v>
      </c>
      <c r="AQ138" s="137">
        <f>Transportation_LCIA!U$61*($W138^Transportation_LCIA!U$60)+Transportation_LCIA!U$62</f>
        <v>1.0106481886833722E-3</v>
      </c>
      <c r="AR138" s="137">
        <f>Transportation_LCIA!V$61*($W138^Transportation_LCIA!V$60)+Transportation_LCIA!V$62</f>
        <v>3.8699391574166265E-4</v>
      </c>
      <c r="AT138" s="137">
        <f>$W138*Y138+$L138*Summary_LCIA!H$32</f>
        <v>177.94826310551363</v>
      </c>
      <c r="AU138" s="137">
        <f>$W138*Z138+$L138*Summary_LCIA!Q$32</f>
        <v>1929.4947953874523</v>
      </c>
      <c r="AV138" s="137">
        <f>$W138*AA138+$L138*Summary_LCIA!R$32</f>
        <v>1.0693806626339211</v>
      </c>
      <c r="AW138" s="137">
        <f>$W138*AB138+$L138*Summary_LCIA!S$32</f>
        <v>177.86183442551362</v>
      </c>
      <c r="AX138" s="137">
        <f>$W138*AC138+$L138*Summary_LCIA!T$32</f>
        <v>44.841248556776947</v>
      </c>
      <c r="AY138" s="137">
        <f>$W138*AD138+$L138*Summary_LCIA!U$32</f>
        <v>0.57684841730763403</v>
      </c>
      <c r="AZ138" s="137">
        <f>$W138*AE138+$L138*Summary_LCIA!V$32</f>
        <v>6.1056626043390922E-3</v>
      </c>
      <c r="BA138" s="137">
        <f>$W138*AF138+$L138*Summary_LCIA!W$32</f>
        <v>9.2044446761053056</v>
      </c>
      <c r="BB138" s="137">
        <f>$W138*AG138+$L138*Summary_LCIA!X$32</f>
        <v>9.8067974339181347</v>
      </c>
      <c r="BC138" s="137">
        <f>$W138*AH138+$L138*Summary_LCIA!Y$32</f>
        <v>0.50547850940661465</v>
      </c>
      <c r="BD138" s="137">
        <f>$W138*AI138+$L138*Summary_LCIA!Z$32</f>
        <v>0.17425100850595746</v>
      </c>
      <c r="BE138" s="137">
        <f>$W138*AJ138+$L138*Summary_LCIA!AA$32</f>
        <v>1.2496932859046213</v>
      </c>
      <c r="BF138" s="137">
        <f>$W138*AK138+$L138*Summary_LCIA!AB$32</f>
        <v>4.47657099761282E-2</v>
      </c>
      <c r="BG138" s="137">
        <f>$W138*AL138+$L138*Summary_LCIA!AC$32</f>
        <v>2.2766872774607524E-5</v>
      </c>
      <c r="BH138" s="137">
        <f>$W138*AM138+$L138*Summary_LCIA!AD$32</f>
        <v>8.7222309748403629E-2</v>
      </c>
      <c r="BI138" s="137">
        <f>$W138*AN138+$L138*Summary_LCIA!AE$32</f>
        <v>0.26580813354193455</v>
      </c>
      <c r="BJ138" s="137">
        <f>$W138*AO138+$L138*Summary_LCIA!AF$32</f>
        <v>2.0194133019082083E-2</v>
      </c>
      <c r="BK138" s="137">
        <f>$W138*AP138+$L138*Summary_LCIA!AG$32</f>
        <v>4.6632707490820834E-3</v>
      </c>
      <c r="BL138" s="137">
        <f>$W138*AQ138+$L138*Summary_LCIA!AH$32</f>
        <v>0.70856331918554538</v>
      </c>
      <c r="BM138" s="137">
        <f>$W138*AR138+$L138*Summary_LCIA!AI$32</f>
        <v>0.22436750722603721</v>
      </c>
    </row>
    <row r="139" spans="1:65" x14ac:dyDescent="0.25">
      <c r="A139" s="149">
        <v>274</v>
      </c>
      <c r="B139" s="149">
        <v>43</v>
      </c>
      <c r="C139" s="61">
        <v>45.501688999999999</v>
      </c>
      <c r="D139" s="61">
        <v>-73.567256</v>
      </c>
      <c r="E139" s="61" t="s">
        <v>458</v>
      </c>
      <c r="F139" s="149">
        <v>124</v>
      </c>
      <c r="G139" s="61" t="s">
        <v>654</v>
      </c>
      <c r="H139" s="61" t="s">
        <v>655</v>
      </c>
      <c r="I139" s="61">
        <v>45.465685000000001</v>
      </c>
      <c r="J139" s="61">
        <v>-73.745480999999998</v>
      </c>
      <c r="K139" s="61">
        <v>15.92927869</v>
      </c>
      <c r="L139" s="61">
        <v>19.553999999999998</v>
      </c>
      <c r="M139" s="61" t="s">
        <v>617</v>
      </c>
      <c r="N139" s="149">
        <v>42</v>
      </c>
      <c r="O139" s="149">
        <v>43</v>
      </c>
      <c r="P139" s="61" t="s">
        <v>565</v>
      </c>
      <c r="Q139" s="61" t="s">
        <v>555</v>
      </c>
      <c r="R139" s="61">
        <v>40.6895314</v>
      </c>
      <c r="S139" s="61">
        <v>-74.174462399999996</v>
      </c>
      <c r="T139" s="61">
        <v>604.83699999999999</v>
      </c>
      <c r="U139" s="61" t="s">
        <v>617</v>
      </c>
      <c r="V139" s="61" t="s">
        <v>569</v>
      </c>
      <c r="W139" s="61" cm="1">
        <f t="array" ref="W139">getDistance(I139,J139,R139,S139)*SA!$B$12</f>
        <v>532.70082587978914</v>
      </c>
      <c r="Y139" s="137">
        <f>Transportation_LCIA!C$61*($W139^Transportation_LCIA!C$60)+Transportation_LCIA!C$62</f>
        <v>0.32157602463370416</v>
      </c>
      <c r="Z139" s="137">
        <f>Transportation_LCIA!D$61*($W139^Transportation_LCIA!D$60)+Transportation_LCIA!D$62</f>
        <v>3.4401752281760434</v>
      </c>
      <c r="AA139" s="137">
        <f>Transportation_LCIA!E$61*($W139^Transportation_LCIA!E$60)+Transportation_LCIA!E$62</f>
        <v>1.8141836341962153E-3</v>
      </c>
      <c r="AB139" s="137">
        <f>Transportation_LCIA!F$61*($W139^Transportation_LCIA!F$60)+Transportation_LCIA!F$62</f>
        <v>0.32157602463370416</v>
      </c>
      <c r="AC139" s="137">
        <f>Transportation_LCIA!G$61*($W139^Transportation_LCIA!G$60)+Transportation_LCIA!G$62</f>
        <v>8.0143040676289495E-2</v>
      </c>
      <c r="AD139" s="137">
        <f>Transportation_LCIA!H$61*($W139^Transportation_LCIA!H$60)+Transportation_LCIA!H$62</f>
        <v>4.2530075100495493E-4</v>
      </c>
      <c r="AE139" s="137">
        <f>Transportation_LCIA!I$61*($W139^Transportation_LCIA!I$60)+Transportation_LCIA!I$62</f>
        <v>9.7085338694522006E-6</v>
      </c>
      <c r="AF139" s="137">
        <f>Transportation_LCIA!J$61*($W139^Transportation_LCIA!J$60)+Transportation_LCIA!J$62</f>
        <v>1.4453429332288598E-2</v>
      </c>
      <c r="AG139" s="137">
        <f>Transportation_LCIA!K$61*($W139^Transportation_LCIA!K$60)+Transportation_LCIA!K$62</f>
        <v>1.7573386146825021E-2</v>
      </c>
      <c r="AH139" s="137">
        <f>Transportation_LCIA!L$61*($W139^Transportation_LCIA!L$60)+Transportation_LCIA!L$62</f>
        <v>3.7692466700234696E-4</v>
      </c>
      <c r="AI139" s="137">
        <f>Transportation_LCIA!M$61*($W139^Transportation_LCIA!M$60)+Transportation_LCIA!M$62</f>
        <v>3.2560324687594627E-4</v>
      </c>
      <c r="AJ139" s="137">
        <f>Transportation_LCIA!N$61*($W139^Transportation_LCIA!N$60)+Transportation_LCIA!N$62</f>
        <v>1.4886217992903391E-3</v>
      </c>
      <c r="AK139" s="137">
        <f>Transportation_LCIA!O$61*($W139^Transportation_LCIA!O$60)+Transportation_LCIA!O$62</f>
        <v>8.4836431112135085E-5</v>
      </c>
      <c r="AL139" s="137">
        <f>Transportation_LCIA!P$61*($W139^Transportation_LCIA!P$60)+Transportation_LCIA!P$62</f>
        <v>4.094417350036071E-8</v>
      </c>
      <c r="AM139" s="137">
        <f>Transportation_LCIA!Q$61*($W139^Transportation_LCIA!Q$60)+Transportation_LCIA!Q$62</f>
        <v>1.4864785211779024E-4</v>
      </c>
      <c r="AN139" s="137">
        <f>Transportation_LCIA!R$61*($W139^Transportation_LCIA!R$60)+Transportation_LCIA!R$62</f>
        <v>4.664545941177262E-4</v>
      </c>
      <c r="AO139" s="137">
        <f>Transportation_LCIA!S$61*($W139^Transportation_LCIA!S$60)+Transportation_LCIA!S$62</f>
        <v>6.8758863533443067E-6</v>
      </c>
      <c r="AP139" s="137">
        <f>Transportation_LCIA!T$61*($W139^Transportation_LCIA!T$60)+Transportation_LCIA!T$62</f>
        <v>6.8758863533443067E-6</v>
      </c>
      <c r="AQ139" s="137">
        <f>Transportation_LCIA!U$61*($W139^Transportation_LCIA!U$60)+Transportation_LCIA!U$62</f>
        <v>1.0106481886833722E-3</v>
      </c>
      <c r="AR139" s="137">
        <f>Transportation_LCIA!V$61*($W139^Transportation_LCIA!V$60)+Transportation_LCIA!V$62</f>
        <v>3.8699391574166265E-4</v>
      </c>
      <c r="AT139" s="137">
        <f>$W139*Y139+$L139*Summary_LCIA!H$32</f>
        <v>177.94826310551363</v>
      </c>
      <c r="AU139" s="137">
        <f>$W139*Z139+$L139*Summary_LCIA!Q$32</f>
        <v>1929.4947953874523</v>
      </c>
      <c r="AV139" s="137">
        <f>$W139*AA139+$L139*Summary_LCIA!R$32</f>
        <v>1.0693806626339211</v>
      </c>
      <c r="AW139" s="137">
        <f>$W139*AB139+$L139*Summary_LCIA!S$32</f>
        <v>177.86183442551362</v>
      </c>
      <c r="AX139" s="137">
        <f>$W139*AC139+$L139*Summary_LCIA!T$32</f>
        <v>44.841248556776947</v>
      </c>
      <c r="AY139" s="137">
        <f>$W139*AD139+$L139*Summary_LCIA!U$32</f>
        <v>0.57684841730763403</v>
      </c>
      <c r="AZ139" s="137">
        <f>$W139*AE139+$L139*Summary_LCIA!V$32</f>
        <v>6.1056626043390922E-3</v>
      </c>
      <c r="BA139" s="137">
        <f>$W139*AF139+$L139*Summary_LCIA!W$32</f>
        <v>9.2044446761053056</v>
      </c>
      <c r="BB139" s="137">
        <f>$W139*AG139+$L139*Summary_LCIA!X$32</f>
        <v>9.8067974339181347</v>
      </c>
      <c r="BC139" s="137">
        <f>$W139*AH139+$L139*Summary_LCIA!Y$32</f>
        <v>0.50547850940661465</v>
      </c>
      <c r="BD139" s="137">
        <f>$W139*AI139+$L139*Summary_LCIA!Z$32</f>
        <v>0.17425100850595746</v>
      </c>
      <c r="BE139" s="137">
        <f>$W139*AJ139+$L139*Summary_LCIA!AA$32</f>
        <v>1.2496932859046213</v>
      </c>
      <c r="BF139" s="137">
        <f>$W139*AK139+$L139*Summary_LCIA!AB$32</f>
        <v>4.47657099761282E-2</v>
      </c>
      <c r="BG139" s="137">
        <f>$W139*AL139+$L139*Summary_LCIA!AC$32</f>
        <v>2.2766872774607524E-5</v>
      </c>
      <c r="BH139" s="137">
        <f>$W139*AM139+$L139*Summary_LCIA!AD$32</f>
        <v>8.7222309748403629E-2</v>
      </c>
      <c r="BI139" s="137">
        <f>$W139*AN139+$L139*Summary_LCIA!AE$32</f>
        <v>0.26580813354193455</v>
      </c>
      <c r="BJ139" s="137">
        <f>$W139*AO139+$L139*Summary_LCIA!AF$32</f>
        <v>2.0194133019082083E-2</v>
      </c>
      <c r="BK139" s="137">
        <f>$W139*AP139+$L139*Summary_LCIA!AG$32</f>
        <v>4.6632707490820834E-3</v>
      </c>
      <c r="BL139" s="137">
        <f>$W139*AQ139+$L139*Summary_LCIA!AH$32</f>
        <v>0.70856331918554538</v>
      </c>
      <c r="BM139" s="137">
        <f>$W139*AR139+$L139*Summary_LCIA!AI$32</f>
        <v>0.22436750722603721</v>
      </c>
    </row>
    <row r="140" spans="1:65" x14ac:dyDescent="0.25">
      <c r="A140" s="149">
        <v>275</v>
      </c>
      <c r="B140" s="149">
        <v>43</v>
      </c>
      <c r="C140" s="61">
        <v>45.501688999999999</v>
      </c>
      <c r="D140" s="61">
        <v>-73.567256</v>
      </c>
      <c r="E140" s="61" t="s">
        <v>458</v>
      </c>
      <c r="F140" s="149">
        <v>124</v>
      </c>
      <c r="G140" s="61" t="s">
        <v>654</v>
      </c>
      <c r="H140" s="61" t="s">
        <v>655</v>
      </c>
      <c r="I140" s="61">
        <v>45.465685000000001</v>
      </c>
      <c r="J140" s="61">
        <v>-73.745480999999998</v>
      </c>
      <c r="K140" s="61">
        <v>15.92927869</v>
      </c>
      <c r="L140" s="61">
        <v>19.553999999999998</v>
      </c>
      <c r="M140" s="61" t="s">
        <v>617</v>
      </c>
      <c r="N140" s="149">
        <v>42</v>
      </c>
      <c r="O140" s="149">
        <v>43</v>
      </c>
      <c r="P140" s="61" t="s">
        <v>565</v>
      </c>
      <c r="Q140" s="61" t="s">
        <v>555</v>
      </c>
      <c r="R140" s="61">
        <v>40.6895314</v>
      </c>
      <c r="S140" s="61">
        <v>-74.174462399999996</v>
      </c>
      <c r="T140" s="61">
        <v>604.83699999999999</v>
      </c>
      <c r="U140" s="61" t="s">
        <v>617</v>
      </c>
      <c r="V140" s="61" t="s">
        <v>569</v>
      </c>
      <c r="W140" s="61" cm="1">
        <f t="array" ref="W140">getDistance(I140,J140,R140,S140)*SA!$B$12</f>
        <v>532.70082587978914</v>
      </c>
      <c r="Y140" s="137">
        <f>Transportation_LCIA!C$61*($W140^Transportation_LCIA!C$60)+Transportation_LCIA!C$62</f>
        <v>0.32157602463370416</v>
      </c>
      <c r="Z140" s="137">
        <f>Transportation_LCIA!D$61*($W140^Transportation_LCIA!D$60)+Transportation_LCIA!D$62</f>
        <v>3.4401752281760434</v>
      </c>
      <c r="AA140" s="137">
        <f>Transportation_LCIA!E$61*($W140^Transportation_LCIA!E$60)+Transportation_LCIA!E$62</f>
        <v>1.8141836341962153E-3</v>
      </c>
      <c r="AB140" s="137">
        <f>Transportation_LCIA!F$61*($W140^Transportation_LCIA!F$60)+Transportation_LCIA!F$62</f>
        <v>0.32157602463370416</v>
      </c>
      <c r="AC140" s="137">
        <f>Transportation_LCIA!G$61*($W140^Transportation_LCIA!G$60)+Transportation_LCIA!G$62</f>
        <v>8.0143040676289495E-2</v>
      </c>
      <c r="AD140" s="137">
        <f>Transportation_LCIA!H$61*($W140^Transportation_LCIA!H$60)+Transportation_LCIA!H$62</f>
        <v>4.2530075100495493E-4</v>
      </c>
      <c r="AE140" s="137">
        <f>Transportation_LCIA!I$61*($W140^Transportation_LCIA!I$60)+Transportation_LCIA!I$62</f>
        <v>9.7085338694522006E-6</v>
      </c>
      <c r="AF140" s="137">
        <f>Transportation_LCIA!J$61*($W140^Transportation_LCIA!J$60)+Transportation_LCIA!J$62</f>
        <v>1.4453429332288598E-2</v>
      </c>
      <c r="AG140" s="137">
        <f>Transportation_LCIA!K$61*($W140^Transportation_LCIA!K$60)+Transportation_LCIA!K$62</f>
        <v>1.7573386146825021E-2</v>
      </c>
      <c r="AH140" s="137">
        <f>Transportation_LCIA!L$61*($W140^Transportation_LCIA!L$60)+Transportation_LCIA!L$62</f>
        <v>3.7692466700234696E-4</v>
      </c>
      <c r="AI140" s="137">
        <f>Transportation_LCIA!M$61*($W140^Transportation_LCIA!M$60)+Transportation_LCIA!M$62</f>
        <v>3.2560324687594627E-4</v>
      </c>
      <c r="AJ140" s="137">
        <f>Transportation_LCIA!N$61*($W140^Transportation_LCIA!N$60)+Transportation_LCIA!N$62</f>
        <v>1.4886217992903391E-3</v>
      </c>
      <c r="AK140" s="137">
        <f>Transportation_LCIA!O$61*($W140^Transportation_LCIA!O$60)+Transportation_LCIA!O$62</f>
        <v>8.4836431112135085E-5</v>
      </c>
      <c r="AL140" s="137">
        <f>Transportation_LCIA!P$61*($W140^Transportation_LCIA!P$60)+Transportation_LCIA!P$62</f>
        <v>4.094417350036071E-8</v>
      </c>
      <c r="AM140" s="137">
        <f>Transportation_LCIA!Q$61*($W140^Transportation_LCIA!Q$60)+Transportation_LCIA!Q$62</f>
        <v>1.4864785211779024E-4</v>
      </c>
      <c r="AN140" s="137">
        <f>Transportation_LCIA!R$61*($W140^Transportation_LCIA!R$60)+Transportation_LCIA!R$62</f>
        <v>4.664545941177262E-4</v>
      </c>
      <c r="AO140" s="137">
        <f>Transportation_LCIA!S$61*($W140^Transportation_LCIA!S$60)+Transportation_LCIA!S$62</f>
        <v>6.8758863533443067E-6</v>
      </c>
      <c r="AP140" s="137">
        <f>Transportation_LCIA!T$61*($W140^Transportation_LCIA!T$60)+Transportation_LCIA!T$62</f>
        <v>6.8758863533443067E-6</v>
      </c>
      <c r="AQ140" s="137">
        <f>Transportation_LCIA!U$61*($W140^Transportation_LCIA!U$60)+Transportation_LCIA!U$62</f>
        <v>1.0106481886833722E-3</v>
      </c>
      <c r="AR140" s="137">
        <f>Transportation_LCIA!V$61*($W140^Transportation_LCIA!V$60)+Transportation_LCIA!V$62</f>
        <v>3.8699391574166265E-4</v>
      </c>
      <c r="AT140" s="137">
        <f>$W140*Y140+$L140*Summary_LCIA!H$32</f>
        <v>177.94826310551363</v>
      </c>
      <c r="AU140" s="137">
        <f>$W140*Z140+$L140*Summary_LCIA!Q$32</f>
        <v>1929.4947953874523</v>
      </c>
      <c r="AV140" s="137">
        <f>$W140*AA140+$L140*Summary_LCIA!R$32</f>
        <v>1.0693806626339211</v>
      </c>
      <c r="AW140" s="137">
        <f>$W140*AB140+$L140*Summary_LCIA!S$32</f>
        <v>177.86183442551362</v>
      </c>
      <c r="AX140" s="137">
        <f>$W140*AC140+$L140*Summary_LCIA!T$32</f>
        <v>44.841248556776947</v>
      </c>
      <c r="AY140" s="137">
        <f>$W140*AD140+$L140*Summary_LCIA!U$32</f>
        <v>0.57684841730763403</v>
      </c>
      <c r="AZ140" s="137">
        <f>$W140*AE140+$L140*Summary_LCIA!V$32</f>
        <v>6.1056626043390922E-3</v>
      </c>
      <c r="BA140" s="137">
        <f>$W140*AF140+$L140*Summary_LCIA!W$32</f>
        <v>9.2044446761053056</v>
      </c>
      <c r="BB140" s="137">
        <f>$W140*AG140+$L140*Summary_LCIA!X$32</f>
        <v>9.8067974339181347</v>
      </c>
      <c r="BC140" s="137">
        <f>$W140*AH140+$L140*Summary_LCIA!Y$32</f>
        <v>0.50547850940661465</v>
      </c>
      <c r="BD140" s="137">
        <f>$W140*AI140+$L140*Summary_LCIA!Z$32</f>
        <v>0.17425100850595746</v>
      </c>
      <c r="BE140" s="137">
        <f>$W140*AJ140+$L140*Summary_LCIA!AA$32</f>
        <v>1.2496932859046213</v>
      </c>
      <c r="BF140" s="137">
        <f>$W140*AK140+$L140*Summary_LCIA!AB$32</f>
        <v>4.47657099761282E-2</v>
      </c>
      <c r="BG140" s="137">
        <f>$W140*AL140+$L140*Summary_LCIA!AC$32</f>
        <v>2.2766872774607524E-5</v>
      </c>
      <c r="BH140" s="137">
        <f>$W140*AM140+$L140*Summary_LCIA!AD$32</f>
        <v>8.7222309748403629E-2</v>
      </c>
      <c r="BI140" s="137">
        <f>$W140*AN140+$L140*Summary_LCIA!AE$32</f>
        <v>0.26580813354193455</v>
      </c>
      <c r="BJ140" s="137">
        <f>$W140*AO140+$L140*Summary_LCIA!AF$32</f>
        <v>2.0194133019082083E-2</v>
      </c>
      <c r="BK140" s="137">
        <f>$W140*AP140+$L140*Summary_LCIA!AG$32</f>
        <v>4.6632707490820834E-3</v>
      </c>
      <c r="BL140" s="137">
        <f>$W140*AQ140+$L140*Summary_LCIA!AH$32</f>
        <v>0.70856331918554538</v>
      </c>
      <c r="BM140" s="137">
        <f>$W140*AR140+$L140*Summary_LCIA!AI$32</f>
        <v>0.22436750722603721</v>
      </c>
    </row>
    <row r="141" spans="1:65" x14ac:dyDescent="0.25">
      <c r="A141" s="149">
        <v>276</v>
      </c>
      <c r="B141" s="149">
        <v>43</v>
      </c>
      <c r="C141" s="61">
        <v>45.501688999999999</v>
      </c>
      <c r="D141" s="61">
        <v>-73.567256</v>
      </c>
      <c r="E141" s="61" t="s">
        <v>458</v>
      </c>
      <c r="F141" s="149">
        <v>124</v>
      </c>
      <c r="G141" s="61" t="s">
        <v>654</v>
      </c>
      <c r="H141" s="61" t="s">
        <v>655</v>
      </c>
      <c r="I141" s="61">
        <v>45.465685000000001</v>
      </c>
      <c r="J141" s="61">
        <v>-73.745480999999998</v>
      </c>
      <c r="K141" s="61">
        <v>15.92927869</v>
      </c>
      <c r="L141" s="61">
        <v>19.553999999999998</v>
      </c>
      <c r="M141" s="61" t="s">
        <v>617</v>
      </c>
      <c r="N141" s="149">
        <v>42</v>
      </c>
      <c r="O141" s="149">
        <v>43</v>
      </c>
      <c r="P141" s="61" t="s">
        <v>565</v>
      </c>
      <c r="Q141" s="61" t="s">
        <v>555</v>
      </c>
      <c r="R141" s="61">
        <v>40.6895314</v>
      </c>
      <c r="S141" s="61">
        <v>-74.174462399999996</v>
      </c>
      <c r="T141" s="61">
        <v>604.83699999999999</v>
      </c>
      <c r="U141" s="61" t="s">
        <v>617</v>
      </c>
      <c r="V141" s="61" t="s">
        <v>569</v>
      </c>
      <c r="W141" s="61" cm="1">
        <f t="array" ref="W141">getDistance(I141,J141,R141,S141)*SA!$B$12</f>
        <v>532.70082587978914</v>
      </c>
      <c r="Y141" s="137">
        <f>Transportation_LCIA!C$61*($W141^Transportation_LCIA!C$60)+Transportation_LCIA!C$62</f>
        <v>0.32157602463370416</v>
      </c>
      <c r="Z141" s="137">
        <f>Transportation_LCIA!D$61*($W141^Transportation_LCIA!D$60)+Transportation_LCIA!D$62</f>
        <v>3.4401752281760434</v>
      </c>
      <c r="AA141" s="137">
        <f>Transportation_LCIA!E$61*($W141^Transportation_LCIA!E$60)+Transportation_LCIA!E$62</f>
        <v>1.8141836341962153E-3</v>
      </c>
      <c r="AB141" s="137">
        <f>Transportation_LCIA!F$61*($W141^Transportation_LCIA!F$60)+Transportation_LCIA!F$62</f>
        <v>0.32157602463370416</v>
      </c>
      <c r="AC141" s="137">
        <f>Transportation_LCIA!G$61*($W141^Transportation_LCIA!G$60)+Transportation_LCIA!G$62</f>
        <v>8.0143040676289495E-2</v>
      </c>
      <c r="AD141" s="137">
        <f>Transportation_LCIA!H$61*($W141^Transportation_LCIA!H$60)+Transportation_LCIA!H$62</f>
        <v>4.2530075100495493E-4</v>
      </c>
      <c r="AE141" s="137">
        <f>Transportation_LCIA!I$61*($W141^Transportation_LCIA!I$60)+Transportation_LCIA!I$62</f>
        <v>9.7085338694522006E-6</v>
      </c>
      <c r="AF141" s="137">
        <f>Transportation_LCIA!J$61*($W141^Transportation_LCIA!J$60)+Transportation_LCIA!J$62</f>
        <v>1.4453429332288598E-2</v>
      </c>
      <c r="AG141" s="137">
        <f>Transportation_LCIA!K$61*($W141^Transportation_LCIA!K$60)+Transportation_LCIA!K$62</f>
        <v>1.7573386146825021E-2</v>
      </c>
      <c r="AH141" s="137">
        <f>Transportation_LCIA!L$61*($W141^Transportation_LCIA!L$60)+Transportation_LCIA!L$62</f>
        <v>3.7692466700234696E-4</v>
      </c>
      <c r="AI141" s="137">
        <f>Transportation_LCIA!M$61*($W141^Transportation_LCIA!M$60)+Transportation_LCIA!M$62</f>
        <v>3.2560324687594627E-4</v>
      </c>
      <c r="AJ141" s="137">
        <f>Transportation_LCIA!N$61*($W141^Transportation_LCIA!N$60)+Transportation_LCIA!N$62</f>
        <v>1.4886217992903391E-3</v>
      </c>
      <c r="AK141" s="137">
        <f>Transportation_LCIA!O$61*($W141^Transportation_LCIA!O$60)+Transportation_LCIA!O$62</f>
        <v>8.4836431112135085E-5</v>
      </c>
      <c r="AL141" s="137">
        <f>Transportation_LCIA!P$61*($W141^Transportation_LCIA!P$60)+Transportation_LCIA!P$62</f>
        <v>4.094417350036071E-8</v>
      </c>
      <c r="AM141" s="137">
        <f>Transportation_LCIA!Q$61*($W141^Transportation_LCIA!Q$60)+Transportation_LCIA!Q$62</f>
        <v>1.4864785211779024E-4</v>
      </c>
      <c r="AN141" s="137">
        <f>Transportation_LCIA!R$61*($W141^Transportation_LCIA!R$60)+Transportation_LCIA!R$62</f>
        <v>4.664545941177262E-4</v>
      </c>
      <c r="AO141" s="137">
        <f>Transportation_LCIA!S$61*($W141^Transportation_LCIA!S$60)+Transportation_LCIA!S$62</f>
        <v>6.8758863533443067E-6</v>
      </c>
      <c r="AP141" s="137">
        <f>Transportation_LCIA!T$61*($W141^Transportation_LCIA!T$60)+Transportation_LCIA!T$62</f>
        <v>6.8758863533443067E-6</v>
      </c>
      <c r="AQ141" s="137">
        <f>Transportation_LCIA!U$61*($W141^Transportation_LCIA!U$60)+Transportation_LCIA!U$62</f>
        <v>1.0106481886833722E-3</v>
      </c>
      <c r="AR141" s="137">
        <f>Transportation_LCIA!V$61*($W141^Transportation_LCIA!V$60)+Transportation_LCIA!V$62</f>
        <v>3.8699391574166265E-4</v>
      </c>
      <c r="AT141" s="137">
        <f>$W141*Y141+$L141*Summary_LCIA!H$32</f>
        <v>177.94826310551363</v>
      </c>
      <c r="AU141" s="137">
        <f>$W141*Z141+$L141*Summary_LCIA!Q$32</f>
        <v>1929.4947953874523</v>
      </c>
      <c r="AV141" s="137">
        <f>$W141*AA141+$L141*Summary_LCIA!R$32</f>
        <v>1.0693806626339211</v>
      </c>
      <c r="AW141" s="137">
        <f>$W141*AB141+$L141*Summary_LCIA!S$32</f>
        <v>177.86183442551362</v>
      </c>
      <c r="AX141" s="137">
        <f>$W141*AC141+$L141*Summary_LCIA!T$32</f>
        <v>44.841248556776947</v>
      </c>
      <c r="AY141" s="137">
        <f>$W141*AD141+$L141*Summary_LCIA!U$32</f>
        <v>0.57684841730763403</v>
      </c>
      <c r="AZ141" s="137">
        <f>$W141*AE141+$L141*Summary_LCIA!V$32</f>
        <v>6.1056626043390922E-3</v>
      </c>
      <c r="BA141" s="137">
        <f>$W141*AF141+$L141*Summary_LCIA!W$32</f>
        <v>9.2044446761053056</v>
      </c>
      <c r="BB141" s="137">
        <f>$W141*AG141+$L141*Summary_LCIA!X$32</f>
        <v>9.8067974339181347</v>
      </c>
      <c r="BC141" s="137">
        <f>$W141*AH141+$L141*Summary_LCIA!Y$32</f>
        <v>0.50547850940661465</v>
      </c>
      <c r="BD141" s="137">
        <f>$W141*AI141+$L141*Summary_LCIA!Z$32</f>
        <v>0.17425100850595746</v>
      </c>
      <c r="BE141" s="137">
        <f>$W141*AJ141+$L141*Summary_LCIA!AA$32</f>
        <v>1.2496932859046213</v>
      </c>
      <c r="BF141" s="137">
        <f>$W141*AK141+$L141*Summary_LCIA!AB$32</f>
        <v>4.47657099761282E-2</v>
      </c>
      <c r="BG141" s="137">
        <f>$W141*AL141+$L141*Summary_LCIA!AC$32</f>
        <v>2.2766872774607524E-5</v>
      </c>
      <c r="BH141" s="137">
        <f>$W141*AM141+$L141*Summary_LCIA!AD$32</f>
        <v>8.7222309748403629E-2</v>
      </c>
      <c r="BI141" s="137">
        <f>$W141*AN141+$L141*Summary_LCIA!AE$32</f>
        <v>0.26580813354193455</v>
      </c>
      <c r="BJ141" s="137">
        <f>$W141*AO141+$L141*Summary_LCIA!AF$32</f>
        <v>2.0194133019082083E-2</v>
      </c>
      <c r="BK141" s="137">
        <f>$W141*AP141+$L141*Summary_LCIA!AG$32</f>
        <v>4.6632707490820834E-3</v>
      </c>
      <c r="BL141" s="137">
        <f>$W141*AQ141+$L141*Summary_LCIA!AH$32</f>
        <v>0.70856331918554538</v>
      </c>
      <c r="BM141" s="137">
        <f>$W141*AR141+$L141*Summary_LCIA!AI$32</f>
        <v>0.22436750722603721</v>
      </c>
    </row>
    <row r="142" spans="1:65" x14ac:dyDescent="0.25">
      <c r="A142" s="149">
        <v>277</v>
      </c>
      <c r="B142" s="149">
        <v>43</v>
      </c>
      <c r="C142" s="61">
        <v>45.501688999999999</v>
      </c>
      <c r="D142" s="61">
        <v>-73.567256</v>
      </c>
      <c r="E142" s="61" t="s">
        <v>458</v>
      </c>
      <c r="F142" s="149">
        <v>124</v>
      </c>
      <c r="G142" s="61" t="s">
        <v>654</v>
      </c>
      <c r="H142" s="61" t="s">
        <v>655</v>
      </c>
      <c r="I142" s="61">
        <v>45.465685000000001</v>
      </c>
      <c r="J142" s="61">
        <v>-73.745480999999998</v>
      </c>
      <c r="K142" s="61">
        <v>15.92927869</v>
      </c>
      <c r="L142" s="61">
        <v>19.553999999999998</v>
      </c>
      <c r="M142" s="61" t="s">
        <v>617</v>
      </c>
      <c r="N142" s="149">
        <v>42</v>
      </c>
      <c r="O142" s="149">
        <v>43</v>
      </c>
      <c r="P142" s="61" t="s">
        <v>565</v>
      </c>
      <c r="Q142" s="61" t="s">
        <v>555</v>
      </c>
      <c r="R142" s="61">
        <v>40.6895314</v>
      </c>
      <c r="S142" s="61">
        <v>-74.174462399999996</v>
      </c>
      <c r="T142" s="61">
        <v>604.83699999999999</v>
      </c>
      <c r="U142" s="61" t="s">
        <v>617</v>
      </c>
      <c r="V142" s="61" t="s">
        <v>569</v>
      </c>
      <c r="W142" s="61" cm="1">
        <f t="array" ref="W142">getDistance(I142,J142,R142,S142)*SA!$B$12</f>
        <v>532.70082587978914</v>
      </c>
      <c r="Y142" s="137">
        <f>Transportation_LCIA!C$61*($W142^Transportation_LCIA!C$60)+Transportation_LCIA!C$62</f>
        <v>0.32157602463370416</v>
      </c>
      <c r="Z142" s="137">
        <f>Transportation_LCIA!D$61*($W142^Transportation_LCIA!D$60)+Transportation_LCIA!D$62</f>
        <v>3.4401752281760434</v>
      </c>
      <c r="AA142" s="137">
        <f>Transportation_LCIA!E$61*($W142^Transportation_LCIA!E$60)+Transportation_LCIA!E$62</f>
        <v>1.8141836341962153E-3</v>
      </c>
      <c r="AB142" s="137">
        <f>Transportation_LCIA!F$61*($W142^Transportation_LCIA!F$60)+Transportation_LCIA!F$62</f>
        <v>0.32157602463370416</v>
      </c>
      <c r="AC142" s="137">
        <f>Transportation_LCIA!G$61*($W142^Transportation_LCIA!G$60)+Transportation_LCIA!G$62</f>
        <v>8.0143040676289495E-2</v>
      </c>
      <c r="AD142" s="137">
        <f>Transportation_LCIA!H$61*($W142^Transportation_LCIA!H$60)+Transportation_LCIA!H$62</f>
        <v>4.2530075100495493E-4</v>
      </c>
      <c r="AE142" s="137">
        <f>Transportation_LCIA!I$61*($W142^Transportation_LCIA!I$60)+Transportation_LCIA!I$62</f>
        <v>9.7085338694522006E-6</v>
      </c>
      <c r="AF142" s="137">
        <f>Transportation_LCIA!J$61*($W142^Transportation_LCIA!J$60)+Transportation_LCIA!J$62</f>
        <v>1.4453429332288598E-2</v>
      </c>
      <c r="AG142" s="137">
        <f>Transportation_LCIA!K$61*($W142^Transportation_LCIA!K$60)+Transportation_LCIA!K$62</f>
        <v>1.7573386146825021E-2</v>
      </c>
      <c r="AH142" s="137">
        <f>Transportation_LCIA!L$61*($W142^Transportation_LCIA!L$60)+Transportation_LCIA!L$62</f>
        <v>3.7692466700234696E-4</v>
      </c>
      <c r="AI142" s="137">
        <f>Transportation_LCIA!M$61*($W142^Transportation_LCIA!M$60)+Transportation_LCIA!M$62</f>
        <v>3.2560324687594627E-4</v>
      </c>
      <c r="AJ142" s="137">
        <f>Transportation_LCIA!N$61*($W142^Transportation_LCIA!N$60)+Transportation_LCIA!N$62</f>
        <v>1.4886217992903391E-3</v>
      </c>
      <c r="AK142" s="137">
        <f>Transportation_LCIA!O$61*($W142^Transportation_LCIA!O$60)+Transportation_LCIA!O$62</f>
        <v>8.4836431112135085E-5</v>
      </c>
      <c r="AL142" s="137">
        <f>Transportation_LCIA!P$61*($W142^Transportation_LCIA!P$60)+Transportation_LCIA!P$62</f>
        <v>4.094417350036071E-8</v>
      </c>
      <c r="AM142" s="137">
        <f>Transportation_LCIA!Q$61*($W142^Transportation_LCIA!Q$60)+Transportation_LCIA!Q$62</f>
        <v>1.4864785211779024E-4</v>
      </c>
      <c r="AN142" s="137">
        <f>Transportation_LCIA!R$61*($W142^Transportation_LCIA!R$60)+Transportation_LCIA!R$62</f>
        <v>4.664545941177262E-4</v>
      </c>
      <c r="AO142" s="137">
        <f>Transportation_LCIA!S$61*($W142^Transportation_LCIA!S$60)+Transportation_LCIA!S$62</f>
        <v>6.8758863533443067E-6</v>
      </c>
      <c r="AP142" s="137">
        <f>Transportation_LCIA!T$61*($W142^Transportation_LCIA!T$60)+Transportation_LCIA!T$62</f>
        <v>6.8758863533443067E-6</v>
      </c>
      <c r="AQ142" s="137">
        <f>Transportation_LCIA!U$61*($W142^Transportation_LCIA!U$60)+Transportation_LCIA!U$62</f>
        <v>1.0106481886833722E-3</v>
      </c>
      <c r="AR142" s="137">
        <f>Transportation_LCIA!V$61*($W142^Transportation_LCIA!V$60)+Transportation_LCIA!V$62</f>
        <v>3.8699391574166265E-4</v>
      </c>
      <c r="AT142" s="137">
        <f>$W142*Y142+$L142*Summary_LCIA!H$32</f>
        <v>177.94826310551363</v>
      </c>
      <c r="AU142" s="137">
        <f>$W142*Z142+$L142*Summary_LCIA!Q$32</f>
        <v>1929.4947953874523</v>
      </c>
      <c r="AV142" s="137">
        <f>$W142*AA142+$L142*Summary_LCIA!R$32</f>
        <v>1.0693806626339211</v>
      </c>
      <c r="AW142" s="137">
        <f>$W142*AB142+$L142*Summary_LCIA!S$32</f>
        <v>177.86183442551362</v>
      </c>
      <c r="AX142" s="137">
        <f>$W142*AC142+$L142*Summary_LCIA!T$32</f>
        <v>44.841248556776947</v>
      </c>
      <c r="AY142" s="137">
        <f>$W142*AD142+$L142*Summary_LCIA!U$32</f>
        <v>0.57684841730763403</v>
      </c>
      <c r="AZ142" s="137">
        <f>$W142*AE142+$L142*Summary_LCIA!V$32</f>
        <v>6.1056626043390922E-3</v>
      </c>
      <c r="BA142" s="137">
        <f>$W142*AF142+$L142*Summary_LCIA!W$32</f>
        <v>9.2044446761053056</v>
      </c>
      <c r="BB142" s="137">
        <f>$W142*AG142+$L142*Summary_LCIA!X$32</f>
        <v>9.8067974339181347</v>
      </c>
      <c r="BC142" s="137">
        <f>$W142*AH142+$L142*Summary_LCIA!Y$32</f>
        <v>0.50547850940661465</v>
      </c>
      <c r="BD142" s="137">
        <f>$W142*AI142+$L142*Summary_LCIA!Z$32</f>
        <v>0.17425100850595746</v>
      </c>
      <c r="BE142" s="137">
        <f>$W142*AJ142+$L142*Summary_LCIA!AA$32</f>
        <v>1.2496932859046213</v>
      </c>
      <c r="BF142" s="137">
        <f>$W142*AK142+$L142*Summary_LCIA!AB$32</f>
        <v>4.47657099761282E-2</v>
      </c>
      <c r="BG142" s="137">
        <f>$W142*AL142+$L142*Summary_LCIA!AC$32</f>
        <v>2.2766872774607524E-5</v>
      </c>
      <c r="BH142" s="137">
        <f>$W142*AM142+$L142*Summary_LCIA!AD$32</f>
        <v>8.7222309748403629E-2</v>
      </c>
      <c r="BI142" s="137">
        <f>$W142*AN142+$L142*Summary_LCIA!AE$32</f>
        <v>0.26580813354193455</v>
      </c>
      <c r="BJ142" s="137">
        <f>$W142*AO142+$L142*Summary_LCIA!AF$32</f>
        <v>2.0194133019082083E-2</v>
      </c>
      <c r="BK142" s="137">
        <f>$W142*AP142+$L142*Summary_LCIA!AG$32</f>
        <v>4.6632707490820834E-3</v>
      </c>
      <c r="BL142" s="137">
        <f>$W142*AQ142+$L142*Summary_LCIA!AH$32</f>
        <v>0.70856331918554538</v>
      </c>
      <c r="BM142" s="137">
        <f>$W142*AR142+$L142*Summary_LCIA!AI$32</f>
        <v>0.22436750722603721</v>
      </c>
    </row>
    <row r="143" spans="1:65" x14ac:dyDescent="0.25">
      <c r="A143" s="149">
        <v>278</v>
      </c>
      <c r="B143" s="149">
        <v>43</v>
      </c>
      <c r="C143" s="61">
        <v>45.501688999999999</v>
      </c>
      <c r="D143" s="61">
        <v>-73.567256</v>
      </c>
      <c r="E143" s="61" t="s">
        <v>458</v>
      </c>
      <c r="F143" s="149">
        <v>124</v>
      </c>
      <c r="G143" s="61" t="s">
        <v>654</v>
      </c>
      <c r="H143" s="61" t="s">
        <v>655</v>
      </c>
      <c r="I143" s="61">
        <v>45.465685000000001</v>
      </c>
      <c r="J143" s="61">
        <v>-73.745480999999998</v>
      </c>
      <c r="K143" s="61">
        <v>15.92927869</v>
      </c>
      <c r="L143" s="61">
        <v>19.553999999999998</v>
      </c>
      <c r="M143" s="61" t="s">
        <v>617</v>
      </c>
      <c r="N143" s="149">
        <v>42</v>
      </c>
      <c r="O143" s="149">
        <v>43</v>
      </c>
      <c r="P143" s="61" t="s">
        <v>565</v>
      </c>
      <c r="Q143" s="61" t="s">
        <v>555</v>
      </c>
      <c r="R143" s="61">
        <v>40.6895314</v>
      </c>
      <c r="S143" s="61">
        <v>-74.174462399999996</v>
      </c>
      <c r="T143" s="61">
        <v>604.83699999999999</v>
      </c>
      <c r="U143" s="61" t="s">
        <v>617</v>
      </c>
      <c r="V143" s="61" t="s">
        <v>569</v>
      </c>
      <c r="W143" s="61" cm="1">
        <f t="array" ref="W143">getDistance(I143,J143,R143,S143)*SA!$B$12</f>
        <v>532.70082587978914</v>
      </c>
      <c r="Y143" s="137">
        <f>Transportation_LCIA!C$61*($W143^Transportation_LCIA!C$60)+Transportation_LCIA!C$62</f>
        <v>0.32157602463370416</v>
      </c>
      <c r="Z143" s="137">
        <f>Transportation_LCIA!D$61*($W143^Transportation_LCIA!D$60)+Transportation_LCIA!D$62</f>
        <v>3.4401752281760434</v>
      </c>
      <c r="AA143" s="137">
        <f>Transportation_LCIA!E$61*($W143^Transportation_LCIA!E$60)+Transportation_LCIA!E$62</f>
        <v>1.8141836341962153E-3</v>
      </c>
      <c r="AB143" s="137">
        <f>Transportation_LCIA!F$61*($W143^Transportation_LCIA!F$60)+Transportation_LCIA!F$62</f>
        <v>0.32157602463370416</v>
      </c>
      <c r="AC143" s="137">
        <f>Transportation_LCIA!G$61*($W143^Transportation_LCIA!G$60)+Transportation_LCIA!G$62</f>
        <v>8.0143040676289495E-2</v>
      </c>
      <c r="AD143" s="137">
        <f>Transportation_LCIA!H$61*($W143^Transportation_LCIA!H$60)+Transportation_LCIA!H$62</f>
        <v>4.2530075100495493E-4</v>
      </c>
      <c r="AE143" s="137">
        <f>Transportation_LCIA!I$61*($W143^Transportation_LCIA!I$60)+Transportation_LCIA!I$62</f>
        <v>9.7085338694522006E-6</v>
      </c>
      <c r="AF143" s="137">
        <f>Transportation_LCIA!J$61*($W143^Transportation_LCIA!J$60)+Transportation_LCIA!J$62</f>
        <v>1.4453429332288598E-2</v>
      </c>
      <c r="AG143" s="137">
        <f>Transportation_LCIA!K$61*($W143^Transportation_LCIA!K$60)+Transportation_LCIA!K$62</f>
        <v>1.7573386146825021E-2</v>
      </c>
      <c r="AH143" s="137">
        <f>Transportation_LCIA!L$61*($W143^Transportation_LCIA!L$60)+Transportation_LCIA!L$62</f>
        <v>3.7692466700234696E-4</v>
      </c>
      <c r="AI143" s="137">
        <f>Transportation_LCIA!M$61*($W143^Transportation_LCIA!M$60)+Transportation_LCIA!M$62</f>
        <v>3.2560324687594627E-4</v>
      </c>
      <c r="AJ143" s="137">
        <f>Transportation_LCIA!N$61*($W143^Transportation_LCIA!N$60)+Transportation_LCIA!N$62</f>
        <v>1.4886217992903391E-3</v>
      </c>
      <c r="AK143" s="137">
        <f>Transportation_LCIA!O$61*($W143^Transportation_LCIA!O$60)+Transportation_LCIA!O$62</f>
        <v>8.4836431112135085E-5</v>
      </c>
      <c r="AL143" s="137">
        <f>Transportation_LCIA!P$61*($W143^Transportation_LCIA!P$60)+Transportation_LCIA!P$62</f>
        <v>4.094417350036071E-8</v>
      </c>
      <c r="AM143" s="137">
        <f>Transportation_LCIA!Q$61*($W143^Transportation_LCIA!Q$60)+Transportation_LCIA!Q$62</f>
        <v>1.4864785211779024E-4</v>
      </c>
      <c r="AN143" s="137">
        <f>Transportation_LCIA!R$61*($W143^Transportation_LCIA!R$60)+Transportation_LCIA!R$62</f>
        <v>4.664545941177262E-4</v>
      </c>
      <c r="AO143" s="137">
        <f>Transportation_LCIA!S$61*($W143^Transportation_LCIA!S$60)+Transportation_LCIA!S$62</f>
        <v>6.8758863533443067E-6</v>
      </c>
      <c r="AP143" s="137">
        <f>Transportation_LCIA!T$61*($W143^Transportation_LCIA!T$60)+Transportation_LCIA!T$62</f>
        <v>6.8758863533443067E-6</v>
      </c>
      <c r="AQ143" s="137">
        <f>Transportation_LCIA!U$61*($W143^Transportation_LCIA!U$60)+Transportation_LCIA!U$62</f>
        <v>1.0106481886833722E-3</v>
      </c>
      <c r="AR143" s="137">
        <f>Transportation_LCIA!V$61*($W143^Transportation_LCIA!V$60)+Transportation_LCIA!V$62</f>
        <v>3.8699391574166265E-4</v>
      </c>
      <c r="AT143" s="137">
        <f>$W143*Y143+$L143*Summary_LCIA!H$32</f>
        <v>177.94826310551363</v>
      </c>
      <c r="AU143" s="137">
        <f>$W143*Z143+$L143*Summary_LCIA!Q$32</f>
        <v>1929.4947953874523</v>
      </c>
      <c r="AV143" s="137">
        <f>$W143*AA143+$L143*Summary_LCIA!R$32</f>
        <v>1.0693806626339211</v>
      </c>
      <c r="AW143" s="137">
        <f>$W143*AB143+$L143*Summary_LCIA!S$32</f>
        <v>177.86183442551362</v>
      </c>
      <c r="AX143" s="137">
        <f>$W143*AC143+$L143*Summary_LCIA!T$32</f>
        <v>44.841248556776947</v>
      </c>
      <c r="AY143" s="137">
        <f>$W143*AD143+$L143*Summary_LCIA!U$32</f>
        <v>0.57684841730763403</v>
      </c>
      <c r="AZ143" s="137">
        <f>$W143*AE143+$L143*Summary_LCIA!V$32</f>
        <v>6.1056626043390922E-3</v>
      </c>
      <c r="BA143" s="137">
        <f>$W143*AF143+$L143*Summary_LCIA!W$32</f>
        <v>9.2044446761053056</v>
      </c>
      <c r="BB143" s="137">
        <f>$W143*AG143+$L143*Summary_LCIA!X$32</f>
        <v>9.8067974339181347</v>
      </c>
      <c r="BC143" s="137">
        <f>$W143*AH143+$L143*Summary_LCIA!Y$32</f>
        <v>0.50547850940661465</v>
      </c>
      <c r="BD143" s="137">
        <f>$W143*AI143+$L143*Summary_LCIA!Z$32</f>
        <v>0.17425100850595746</v>
      </c>
      <c r="BE143" s="137">
        <f>$W143*AJ143+$L143*Summary_LCIA!AA$32</f>
        <v>1.2496932859046213</v>
      </c>
      <c r="BF143" s="137">
        <f>$W143*AK143+$L143*Summary_LCIA!AB$32</f>
        <v>4.47657099761282E-2</v>
      </c>
      <c r="BG143" s="137">
        <f>$W143*AL143+$L143*Summary_LCIA!AC$32</f>
        <v>2.2766872774607524E-5</v>
      </c>
      <c r="BH143" s="137">
        <f>$W143*AM143+$L143*Summary_LCIA!AD$32</f>
        <v>8.7222309748403629E-2</v>
      </c>
      <c r="BI143" s="137">
        <f>$W143*AN143+$L143*Summary_LCIA!AE$32</f>
        <v>0.26580813354193455</v>
      </c>
      <c r="BJ143" s="137">
        <f>$W143*AO143+$L143*Summary_LCIA!AF$32</f>
        <v>2.0194133019082083E-2</v>
      </c>
      <c r="BK143" s="137">
        <f>$W143*AP143+$L143*Summary_LCIA!AG$32</f>
        <v>4.6632707490820834E-3</v>
      </c>
      <c r="BL143" s="137">
        <f>$W143*AQ143+$L143*Summary_LCIA!AH$32</f>
        <v>0.70856331918554538</v>
      </c>
      <c r="BM143" s="137">
        <f>$W143*AR143+$L143*Summary_LCIA!AI$32</f>
        <v>0.22436750722603721</v>
      </c>
    </row>
    <row r="144" spans="1:65" x14ac:dyDescent="0.25">
      <c r="A144" s="149">
        <v>279</v>
      </c>
      <c r="B144" s="149">
        <v>43</v>
      </c>
      <c r="C144" s="61">
        <v>45.501688999999999</v>
      </c>
      <c r="D144" s="61">
        <v>-73.567256</v>
      </c>
      <c r="E144" s="61" t="s">
        <v>458</v>
      </c>
      <c r="F144" s="149">
        <v>124</v>
      </c>
      <c r="G144" s="61" t="s">
        <v>654</v>
      </c>
      <c r="H144" s="61" t="s">
        <v>655</v>
      </c>
      <c r="I144" s="61">
        <v>45.465685000000001</v>
      </c>
      <c r="J144" s="61">
        <v>-73.745480999999998</v>
      </c>
      <c r="K144" s="61">
        <v>15.92927869</v>
      </c>
      <c r="L144" s="61">
        <v>19.553999999999998</v>
      </c>
      <c r="M144" s="61" t="s">
        <v>617</v>
      </c>
      <c r="N144" s="149">
        <v>42</v>
      </c>
      <c r="O144" s="149">
        <v>43</v>
      </c>
      <c r="P144" s="61" t="s">
        <v>565</v>
      </c>
      <c r="Q144" s="61" t="s">
        <v>555</v>
      </c>
      <c r="R144" s="61">
        <v>40.6895314</v>
      </c>
      <c r="S144" s="61">
        <v>-74.174462399999996</v>
      </c>
      <c r="T144" s="61">
        <v>604.83699999999999</v>
      </c>
      <c r="U144" s="61" t="s">
        <v>617</v>
      </c>
      <c r="V144" s="61" t="s">
        <v>569</v>
      </c>
      <c r="W144" s="61" cm="1">
        <f t="array" ref="W144">getDistance(I144,J144,R144,S144)*SA!$B$12</f>
        <v>532.70082587978914</v>
      </c>
      <c r="Y144" s="137">
        <f>Transportation_LCIA!C$61*($W144^Transportation_LCIA!C$60)+Transportation_LCIA!C$62</f>
        <v>0.32157602463370416</v>
      </c>
      <c r="Z144" s="137">
        <f>Transportation_LCIA!D$61*($W144^Transportation_LCIA!D$60)+Transportation_LCIA!D$62</f>
        <v>3.4401752281760434</v>
      </c>
      <c r="AA144" s="137">
        <f>Transportation_LCIA!E$61*($W144^Transportation_LCIA!E$60)+Transportation_LCIA!E$62</f>
        <v>1.8141836341962153E-3</v>
      </c>
      <c r="AB144" s="137">
        <f>Transportation_LCIA!F$61*($W144^Transportation_LCIA!F$60)+Transportation_LCIA!F$62</f>
        <v>0.32157602463370416</v>
      </c>
      <c r="AC144" s="137">
        <f>Transportation_LCIA!G$61*($W144^Transportation_LCIA!G$60)+Transportation_LCIA!G$62</f>
        <v>8.0143040676289495E-2</v>
      </c>
      <c r="AD144" s="137">
        <f>Transportation_LCIA!H$61*($W144^Transportation_LCIA!H$60)+Transportation_LCIA!H$62</f>
        <v>4.2530075100495493E-4</v>
      </c>
      <c r="AE144" s="137">
        <f>Transportation_LCIA!I$61*($W144^Transportation_LCIA!I$60)+Transportation_LCIA!I$62</f>
        <v>9.7085338694522006E-6</v>
      </c>
      <c r="AF144" s="137">
        <f>Transportation_LCIA!J$61*($W144^Transportation_LCIA!J$60)+Transportation_LCIA!J$62</f>
        <v>1.4453429332288598E-2</v>
      </c>
      <c r="AG144" s="137">
        <f>Transportation_LCIA!K$61*($W144^Transportation_LCIA!K$60)+Transportation_LCIA!K$62</f>
        <v>1.7573386146825021E-2</v>
      </c>
      <c r="AH144" s="137">
        <f>Transportation_LCIA!L$61*($W144^Transportation_LCIA!L$60)+Transportation_LCIA!L$62</f>
        <v>3.7692466700234696E-4</v>
      </c>
      <c r="AI144" s="137">
        <f>Transportation_LCIA!M$61*($W144^Transportation_LCIA!M$60)+Transportation_LCIA!M$62</f>
        <v>3.2560324687594627E-4</v>
      </c>
      <c r="AJ144" s="137">
        <f>Transportation_LCIA!N$61*($W144^Transportation_LCIA!N$60)+Transportation_LCIA!N$62</f>
        <v>1.4886217992903391E-3</v>
      </c>
      <c r="AK144" s="137">
        <f>Transportation_LCIA!O$61*($W144^Transportation_LCIA!O$60)+Transportation_LCIA!O$62</f>
        <v>8.4836431112135085E-5</v>
      </c>
      <c r="AL144" s="137">
        <f>Transportation_LCIA!P$61*($W144^Transportation_LCIA!P$60)+Transportation_LCIA!P$62</f>
        <v>4.094417350036071E-8</v>
      </c>
      <c r="AM144" s="137">
        <f>Transportation_LCIA!Q$61*($W144^Transportation_LCIA!Q$60)+Transportation_LCIA!Q$62</f>
        <v>1.4864785211779024E-4</v>
      </c>
      <c r="AN144" s="137">
        <f>Transportation_LCIA!R$61*($W144^Transportation_LCIA!R$60)+Transportation_LCIA!R$62</f>
        <v>4.664545941177262E-4</v>
      </c>
      <c r="AO144" s="137">
        <f>Transportation_LCIA!S$61*($W144^Transportation_LCIA!S$60)+Transportation_LCIA!S$62</f>
        <v>6.8758863533443067E-6</v>
      </c>
      <c r="AP144" s="137">
        <f>Transportation_LCIA!T$61*($W144^Transportation_LCIA!T$60)+Transportation_LCIA!T$62</f>
        <v>6.8758863533443067E-6</v>
      </c>
      <c r="AQ144" s="137">
        <f>Transportation_LCIA!U$61*($W144^Transportation_LCIA!U$60)+Transportation_LCIA!U$62</f>
        <v>1.0106481886833722E-3</v>
      </c>
      <c r="AR144" s="137">
        <f>Transportation_LCIA!V$61*($W144^Transportation_LCIA!V$60)+Transportation_LCIA!V$62</f>
        <v>3.8699391574166265E-4</v>
      </c>
      <c r="AT144" s="137">
        <f>$W144*Y144+$L144*Summary_LCIA!H$32</f>
        <v>177.94826310551363</v>
      </c>
      <c r="AU144" s="137">
        <f>$W144*Z144+$L144*Summary_LCIA!Q$32</f>
        <v>1929.4947953874523</v>
      </c>
      <c r="AV144" s="137">
        <f>$W144*AA144+$L144*Summary_LCIA!R$32</f>
        <v>1.0693806626339211</v>
      </c>
      <c r="AW144" s="137">
        <f>$W144*AB144+$L144*Summary_LCIA!S$32</f>
        <v>177.86183442551362</v>
      </c>
      <c r="AX144" s="137">
        <f>$W144*AC144+$L144*Summary_LCIA!T$32</f>
        <v>44.841248556776947</v>
      </c>
      <c r="AY144" s="137">
        <f>$W144*AD144+$L144*Summary_LCIA!U$32</f>
        <v>0.57684841730763403</v>
      </c>
      <c r="AZ144" s="137">
        <f>$W144*AE144+$L144*Summary_LCIA!V$32</f>
        <v>6.1056626043390922E-3</v>
      </c>
      <c r="BA144" s="137">
        <f>$W144*AF144+$L144*Summary_LCIA!W$32</f>
        <v>9.2044446761053056</v>
      </c>
      <c r="BB144" s="137">
        <f>$W144*AG144+$L144*Summary_LCIA!X$32</f>
        <v>9.8067974339181347</v>
      </c>
      <c r="BC144" s="137">
        <f>$W144*AH144+$L144*Summary_LCIA!Y$32</f>
        <v>0.50547850940661465</v>
      </c>
      <c r="BD144" s="137">
        <f>$W144*AI144+$L144*Summary_LCIA!Z$32</f>
        <v>0.17425100850595746</v>
      </c>
      <c r="BE144" s="137">
        <f>$W144*AJ144+$L144*Summary_LCIA!AA$32</f>
        <v>1.2496932859046213</v>
      </c>
      <c r="BF144" s="137">
        <f>$W144*AK144+$L144*Summary_LCIA!AB$32</f>
        <v>4.47657099761282E-2</v>
      </c>
      <c r="BG144" s="137">
        <f>$W144*AL144+$L144*Summary_LCIA!AC$32</f>
        <v>2.2766872774607524E-5</v>
      </c>
      <c r="BH144" s="137">
        <f>$W144*AM144+$L144*Summary_LCIA!AD$32</f>
        <v>8.7222309748403629E-2</v>
      </c>
      <c r="BI144" s="137">
        <f>$W144*AN144+$L144*Summary_LCIA!AE$32</f>
        <v>0.26580813354193455</v>
      </c>
      <c r="BJ144" s="137">
        <f>$W144*AO144+$L144*Summary_LCIA!AF$32</f>
        <v>2.0194133019082083E-2</v>
      </c>
      <c r="BK144" s="137">
        <f>$W144*AP144+$L144*Summary_LCIA!AG$32</f>
        <v>4.6632707490820834E-3</v>
      </c>
      <c r="BL144" s="137">
        <f>$W144*AQ144+$L144*Summary_LCIA!AH$32</f>
        <v>0.70856331918554538</v>
      </c>
      <c r="BM144" s="137">
        <f>$W144*AR144+$L144*Summary_LCIA!AI$32</f>
        <v>0.22436750722603721</v>
      </c>
    </row>
    <row r="145" spans="1:65" x14ac:dyDescent="0.25">
      <c r="A145" s="149">
        <v>280</v>
      </c>
      <c r="B145" s="149">
        <v>43</v>
      </c>
      <c r="C145" s="61">
        <v>45.501688999999999</v>
      </c>
      <c r="D145" s="61">
        <v>-73.567256</v>
      </c>
      <c r="E145" s="61" t="s">
        <v>458</v>
      </c>
      <c r="F145" s="149">
        <v>124</v>
      </c>
      <c r="G145" s="61" t="s">
        <v>654</v>
      </c>
      <c r="H145" s="61" t="s">
        <v>655</v>
      </c>
      <c r="I145" s="61">
        <v>45.465685000000001</v>
      </c>
      <c r="J145" s="61">
        <v>-73.745480999999998</v>
      </c>
      <c r="K145" s="61">
        <v>15.92927869</v>
      </c>
      <c r="L145" s="61">
        <v>19.553999999999998</v>
      </c>
      <c r="M145" s="61" t="s">
        <v>617</v>
      </c>
      <c r="N145" s="149">
        <v>42</v>
      </c>
      <c r="O145" s="149">
        <v>43</v>
      </c>
      <c r="P145" s="61" t="s">
        <v>565</v>
      </c>
      <c r="Q145" s="61" t="s">
        <v>555</v>
      </c>
      <c r="R145" s="61">
        <v>40.6895314</v>
      </c>
      <c r="S145" s="61">
        <v>-74.174462399999996</v>
      </c>
      <c r="T145" s="61">
        <v>604.83699999999999</v>
      </c>
      <c r="U145" s="61" t="s">
        <v>617</v>
      </c>
      <c r="V145" s="61" t="s">
        <v>569</v>
      </c>
      <c r="W145" s="61" cm="1">
        <f t="array" ref="W145">getDistance(I145,J145,R145,S145)*SA!$B$12</f>
        <v>532.70082587978914</v>
      </c>
      <c r="Y145" s="137">
        <f>Transportation_LCIA!C$61*($W145^Transportation_LCIA!C$60)+Transportation_LCIA!C$62</f>
        <v>0.32157602463370416</v>
      </c>
      <c r="Z145" s="137">
        <f>Transportation_LCIA!D$61*($W145^Transportation_LCIA!D$60)+Transportation_LCIA!D$62</f>
        <v>3.4401752281760434</v>
      </c>
      <c r="AA145" s="137">
        <f>Transportation_LCIA!E$61*($W145^Transportation_LCIA!E$60)+Transportation_LCIA!E$62</f>
        <v>1.8141836341962153E-3</v>
      </c>
      <c r="AB145" s="137">
        <f>Transportation_LCIA!F$61*($W145^Transportation_LCIA!F$60)+Transportation_LCIA!F$62</f>
        <v>0.32157602463370416</v>
      </c>
      <c r="AC145" s="137">
        <f>Transportation_LCIA!G$61*($W145^Transportation_LCIA!G$60)+Transportation_LCIA!G$62</f>
        <v>8.0143040676289495E-2</v>
      </c>
      <c r="AD145" s="137">
        <f>Transportation_LCIA!H$61*($W145^Transportation_LCIA!H$60)+Transportation_LCIA!H$62</f>
        <v>4.2530075100495493E-4</v>
      </c>
      <c r="AE145" s="137">
        <f>Transportation_LCIA!I$61*($W145^Transportation_LCIA!I$60)+Transportation_LCIA!I$62</f>
        <v>9.7085338694522006E-6</v>
      </c>
      <c r="AF145" s="137">
        <f>Transportation_LCIA!J$61*($W145^Transportation_LCIA!J$60)+Transportation_LCIA!J$62</f>
        <v>1.4453429332288598E-2</v>
      </c>
      <c r="AG145" s="137">
        <f>Transportation_LCIA!K$61*($W145^Transportation_LCIA!K$60)+Transportation_LCIA!K$62</f>
        <v>1.7573386146825021E-2</v>
      </c>
      <c r="AH145" s="137">
        <f>Transportation_LCIA!L$61*($W145^Transportation_LCIA!L$60)+Transportation_LCIA!L$62</f>
        <v>3.7692466700234696E-4</v>
      </c>
      <c r="AI145" s="137">
        <f>Transportation_LCIA!M$61*($W145^Transportation_LCIA!M$60)+Transportation_LCIA!M$62</f>
        <v>3.2560324687594627E-4</v>
      </c>
      <c r="AJ145" s="137">
        <f>Transportation_LCIA!N$61*($W145^Transportation_LCIA!N$60)+Transportation_LCIA!N$62</f>
        <v>1.4886217992903391E-3</v>
      </c>
      <c r="AK145" s="137">
        <f>Transportation_LCIA!O$61*($W145^Transportation_LCIA!O$60)+Transportation_LCIA!O$62</f>
        <v>8.4836431112135085E-5</v>
      </c>
      <c r="AL145" s="137">
        <f>Transportation_LCIA!P$61*($W145^Transportation_LCIA!P$60)+Transportation_LCIA!P$62</f>
        <v>4.094417350036071E-8</v>
      </c>
      <c r="AM145" s="137">
        <f>Transportation_LCIA!Q$61*($W145^Transportation_LCIA!Q$60)+Transportation_LCIA!Q$62</f>
        <v>1.4864785211779024E-4</v>
      </c>
      <c r="AN145" s="137">
        <f>Transportation_LCIA!R$61*($W145^Transportation_LCIA!R$60)+Transportation_LCIA!R$62</f>
        <v>4.664545941177262E-4</v>
      </c>
      <c r="AO145" s="137">
        <f>Transportation_LCIA!S$61*($W145^Transportation_LCIA!S$60)+Transportation_LCIA!S$62</f>
        <v>6.8758863533443067E-6</v>
      </c>
      <c r="AP145" s="137">
        <f>Transportation_LCIA!T$61*($W145^Transportation_LCIA!T$60)+Transportation_LCIA!T$62</f>
        <v>6.8758863533443067E-6</v>
      </c>
      <c r="AQ145" s="137">
        <f>Transportation_LCIA!U$61*($W145^Transportation_LCIA!U$60)+Transportation_LCIA!U$62</f>
        <v>1.0106481886833722E-3</v>
      </c>
      <c r="AR145" s="137">
        <f>Transportation_LCIA!V$61*($W145^Transportation_LCIA!V$60)+Transportation_LCIA!V$62</f>
        <v>3.8699391574166265E-4</v>
      </c>
      <c r="AT145" s="137">
        <f>$W145*Y145+$L145*Summary_LCIA!H$32</f>
        <v>177.94826310551363</v>
      </c>
      <c r="AU145" s="137">
        <f>$W145*Z145+$L145*Summary_LCIA!Q$32</f>
        <v>1929.4947953874523</v>
      </c>
      <c r="AV145" s="137">
        <f>$W145*AA145+$L145*Summary_LCIA!R$32</f>
        <v>1.0693806626339211</v>
      </c>
      <c r="AW145" s="137">
        <f>$W145*AB145+$L145*Summary_LCIA!S$32</f>
        <v>177.86183442551362</v>
      </c>
      <c r="AX145" s="137">
        <f>$W145*AC145+$L145*Summary_LCIA!T$32</f>
        <v>44.841248556776947</v>
      </c>
      <c r="AY145" s="137">
        <f>$W145*AD145+$L145*Summary_LCIA!U$32</f>
        <v>0.57684841730763403</v>
      </c>
      <c r="AZ145" s="137">
        <f>$W145*AE145+$L145*Summary_LCIA!V$32</f>
        <v>6.1056626043390922E-3</v>
      </c>
      <c r="BA145" s="137">
        <f>$W145*AF145+$L145*Summary_LCIA!W$32</f>
        <v>9.2044446761053056</v>
      </c>
      <c r="BB145" s="137">
        <f>$W145*AG145+$L145*Summary_LCIA!X$32</f>
        <v>9.8067974339181347</v>
      </c>
      <c r="BC145" s="137">
        <f>$W145*AH145+$L145*Summary_LCIA!Y$32</f>
        <v>0.50547850940661465</v>
      </c>
      <c r="BD145" s="137">
        <f>$W145*AI145+$L145*Summary_LCIA!Z$32</f>
        <v>0.17425100850595746</v>
      </c>
      <c r="BE145" s="137">
        <f>$W145*AJ145+$L145*Summary_LCIA!AA$32</f>
        <v>1.2496932859046213</v>
      </c>
      <c r="BF145" s="137">
        <f>$W145*AK145+$L145*Summary_LCIA!AB$32</f>
        <v>4.47657099761282E-2</v>
      </c>
      <c r="BG145" s="137">
        <f>$W145*AL145+$L145*Summary_LCIA!AC$32</f>
        <v>2.2766872774607524E-5</v>
      </c>
      <c r="BH145" s="137">
        <f>$W145*AM145+$L145*Summary_LCIA!AD$32</f>
        <v>8.7222309748403629E-2</v>
      </c>
      <c r="BI145" s="137">
        <f>$W145*AN145+$L145*Summary_LCIA!AE$32</f>
        <v>0.26580813354193455</v>
      </c>
      <c r="BJ145" s="137">
        <f>$W145*AO145+$L145*Summary_LCIA!AF$32</f>
        <v>2.0194133019082083E-2</v>
      </c>
      <c r="BK145" s="137">
        <f>$W145*AP145+$L145*Summary_LCIA!AG$32</f>
        <v>4.6632707490820834E-3</v>
      </c>
      <c r="BL145" s="137">
        <f>$W145*AQ145+$L145*Summary_LCIA!AH$32</f>
        <v>0.70856331918554538</v>
      </c>
      <c r="BM145" s="137">
        <f>$W145*AR145+$L145*Summary_LCIA!AI$32</f>
        <v>0.22436750722603721</v>
      </c>
    </row>
    <row r="146" spans="1:65" x14ac:dyDescent="0.25">
      <c r="A146" s="149">
        <v>92</v>
      </c>
      <c r="B146" s="149">
        <v>43</v>
      </c>
      <c r="C146" s="61">
        <v>45.514125999999997</v>
      </c>
      <c r="D146" s="61">
        <v>-73.560551000000004</v>
      </c>
      <c r="E146" s="61" t="s">
        <v>458</v>
      </c>
      <c r="F146" s="149">
        <v>124</v>
      </c>
      <c r="G146" s="61" t="s">
        <v>654</v>
      </c>
      <c r="H146" s="61" t="s">
        <v>655</v>
      </c>
      <c r="I146" s="61">
        <v>45.465685000000001</v>
      </c>
      <c r="J146" s="61">
        <v>-73.745480999999998</v>
      </c>
      <c r="K146" s="61">
        <v>17.39246069</v>
      </c>
      <c r="L146" s="61">
        <v>21.344000000000001</v>
      </c>
      <c r="M146" s="61" t="s">
        <v>617</v>
      </c>
      <c r="N146" s="149">
        <v>42</v>
      </c>
      <c r="O146" s="149">
        <v>43</v>
      </c>
      <c r="P146" s="61" t="s">
        <v>565</v>
      </c>
      <c r="Q146" s="61" t="s">
        <v>555</v>
      </c>
      <c r="R146" s="61">
        <v>40.6895314</v>
      </c>
      <c r="S146" s="61">
        <v>-74.174462399999996</v>
      </c>
      <c r="T146" s="61">
        <v>609.423</v>
      </c>
      <c r="U146" s="61" t="s">
        <v>617</v>
      </c>
      <c r="V146" s="61" t="s">
        <v>569</v>
      </c>
      <c r="W146" s="61" cm="1">
        <f t="array" ref="W146">getDistance(I146,J146,R146,S146)*SA!$B$12</f>
        <v>532.70082587978914</v>
      </c>
      <c r="Y146" s="137">
        <f>Transportation_LCIA!C$61*($W146^Transportation_LCIA!C$60)+Transportation_LCIA!C$62</f>
        <v>0.32157602463370416</v>
      </c>
      <c r="Z146" s="137">
        <f>Transportation_LCIA!D$61*($W146^Transportation_LCIA!D$60)+Transportation_LCIA!D$62</f>
        <v>3.4401752281760434</v>
      </c>
      <c r="AA146" s="137">
        <f>Transportation_LCIA!E$61*($W146^Transportation_LCIA!E$60)+Transportation_LCIA!E$62</f>
        <v>1.8141836341962153E-3</v>
      </c>
      <c r="AB146" s="137">
        <f>Transportation_LCIA!F$61*($W146^Transportation_LCIA!F$60)+Transportation_LCIA!F$62</f>
        <v>0.32157602463370416</v>
      </c>
      <c r="AC146" s="137">
        <f>Transportation_LCIA!G$61*($W146^Transportation_LCIA!G$60)+Transportation_LCIA!G$62</f>
        <v>8.0143040676289495E-2</v>
      </c>
      <c r="AD146" s="137">
        <f>Transportation_LCIA!H$61*($W146^Transportation_LCIA!H$60)+Transportation_LCIA!H$62</f>
        <v>4.2530075100495493E-4</v>
      </c>
      <c r="AE146" s="137">
        <f>Transportation_LCIA!I$61*($W146^Transportation_LCIA!I$60)+Transportation_LCIA!I$62</f>
        <v>9.7085338694522006E-6</v>
      </c>
      <c r="AF146" s="137">
        <f>Transportation_LCIA!J$61*($W146^Transportation_LCIA!J$60)+Transportation_LCIA!J$62</f>
        <v>1.4453429332288598E-2</v>
      </c>
      <c r="AG146" s="137">
        <f>Transportation_LCIA!K$61*($W146^Transportation_LCIA!K$60)+Transportation_LCIA!K$62</f>
        <v>1.7573386146825021E-2</v>
      </c>
      <c r="AH146" s="137">
        <f>Transportation_LCIA!L$61*($W146^Transportation_LCIA!L$60)+Transportation_LCIA!L$62</f>
        <v>3.7692466700234696E-4</v>
      </c>
      <c r="AI146" s="137">
        <f>Transportation_LCIA!M$61*($W146^Transportation_LCIA!M$60)+Transportation_LCIA!M$62</f>
        <v>3.2560324687594627E-4</v>
      </c>
      <c r="AJ146" s="137">
        <f>Transportation_LCIA!N$61*($W146^Transportation_LCIA!N$60)+Transportation_LCIA!N$62</f>
        <v>1.4886217992903391E-3</v>
      </c>
      <c r="AK146" s="137">
        <f>Transportation_LCIA!O$61*($W146^Transportation_LCIA!O$60)+Transportation_LCIA!O$62</f>
        <v>8.4836431112135085E-5</v>
      </c>
      <c r="AL146" s="137">
        <f>Transportation_LCIA!P$61*($W146^Transportation_LCIA!P$60)+Transportation_LCIA!P$62</f>
        <v>4.094417350036071E-8</v>
      </c>
      <c r="AM146" s="137">
        <f>Transportation_LCIA!Q$61*($W146^Transportation_LCIA!Q$60)+Transportation_LCIA!Q$62</f>
        <v>1.4864785211779024E-4</v>
      </c>
      <c r="AN146" s="137">
        <f>Transportation_LCIA!R$61*($W146^Transportation_LCIA!R$60)+Transportation_LCIA!R$62</f>
        <v>4.664545941177262E-4</v>
      </c>
      <c r="AO146" s="137">
        <f>Transportation_LCIA!S$61*($W146^Transportation_LCIA!S$60)+Transportation_LCIA!S$62</f>
        <v>6.8758863533443067E-6</v>
      </c>
      <c r="AP146" s="137">
        <f>Transportation_LCIA!T$61*($W146^Transportation_LCIA!T$60)+Transportation_LCIA!T$62</f>
        <v>6.8758863533443067E-6</v>
      </c>
      <c r="AQ146" s="137">
        <f>Transportation_LCIA!U$61*($W146^Transportation_LCIA!U$60)+Transportation_LCIA!U$62</f>
        <v>1.0106481886833722E-3</v>
      </c>
      <c r="AR146" s="137">
        <f>Transportation_LCIA!V$61*($W146^Transportation_LCIA!V$60)+Transportation_LCIA!V$62</f>
        <v>3.8699391574166265E-4</v>
      </c>
      <c r="AT146" s="137">
        <f>$W146*Y146+$L146*Summary_LCIA!H$32</f>
        <v>178.55650510551362</v>
      </c>
      <c r="AU146" s="137">
        <f>$W146*Z146+$L146*Summary_LCIA!Q$32</f>
        <v>1938.3661256625223</v>
      </c>
      <c r="AV146" s="137">
        <f>$W146*AA146+$L146*Summary_LCIA!R$32</f>
        <v>1.0788060866339211</v>
      </c>
      <c r="AW146" s="137">
        <f>$W146*AB146+$L146*Summary_LCIA!S$32</f>
        <v>178.46216462551362</v>
      </c>
      <c r="AX146" s="137">
        <f>$W146*AC146+$L146*Summary_LCIA!T$32</f>
        <v>45.03796955677695</v>
      </c>
      <c r="AY146" s="137">
        <f>$W146*AD146+$L146*Summary_LCIA!U$32</f>
        <v>0.60891447730763404</v>
      </c>
      <c r="AZ146" s="137">
        <f>$W146*AE146+$L146*Summary_LCIA!V$32</f>
        <v>6.1911547943390918E-3</v>
      </c>
      <c r="BA146" s="137">
        <f>$W146*AF146+$L146*Summary_LCIA!W$32</f>
        <v>9.342222766105305</v>
      </c>
      <c r="BB146" s="137">
        <f>$W146*AG146+$L146*Summary_LCIA!X$32</f>
        <v>9.8475736339181346</v>
      </c>
      <c r="BC146" s="137">
        <f>$W146*AH146+$L146*Summary_LCIA!Y$32</f>
        <v>0.53337028940661479</v>
      </c>
      <c r="BD146" s="137">
        <f>$W146*AI146+$L146*Summary_LCIA!Z$32</f>
        <v>0.17432441461595746</v>
      </c>
      <c r="BE146" s="137">
        <f>$W146*AJ146+$L146*Summary_LCIA!AA$32</f>
        <v>1.2915005259046213</v>
      </c>
      <c r="BF146" s="137">
        <f>$W146*AK146+$L146*Summary_LCIA!AB$32</f>
        <v>4.4726646806128201E-2</v>
      </c>
      <c r="BG146" s="137">
        <f>$W146*AL146+$L146*Summary_LCIA!AC$32</f>
        <v>2.2854375134607526E-5</v>
      </c>
      <c r="BH146" s="137">
        <f>$W146*AM146+$L146*Summary_LCIA!AD$32</f>
        <v>8.7958071348403624E-2</v>
      </c>
      <c r="BI146" s="137">
        <f>$W146*AN146+$L146*Summary_LCIA!AE$32</f>
        <v>0.26739430624193461</v>
      </c>
      <c r="BJ146" s="137">
        <f>$W146*AO146+$L146*Summary_LCIA!AF$32</f>
        <v>2.1707434819082088E-2</v>
      </c>
      <c r="BK146" s="137">
        <f>$W146*AP146+$L146*Summary_LCIA!AG$32</f>
        <v>4.7548560990820837E-3</v>
      </c>
      <c r="BL146" s="137">
        <f>$W146*AQ146+$L146*Summary_LCIA!AH$32</f>
        <v>0.72414276318554538</v>
      </c>
      <c r="BM146" s="137">
        <f>$W146*AR146+$L146*Summary_LCIA!AI$32</f>
        <v>0.22603498172603723</v>
      </c>
    </row>
    <row r="147" spans="1:65" x14ac:dyDescent="0.25">
      <c r="A147" s="149">
        <v>58</v>
      </c>
      <c r="B147" s="149">
        <v>43</v>
      </c>
      <c r="C147" s="61">
        <v>45.504741000000003</v>
      </c>
      <c r="D147" s="61">
        <v>-73.614750999999998</v>
      </c>
      <c r="E147" s="61" t="s">
        <v>458</v>
      </c>
      <c r="F147" s="149">
        <v>124</v>
      </c>
      <c r="G147" s="61" t="s">
        <v>654</v>
      </c>
      <c r="H147" s="61" t="s">
        <v>655</v>
      </c>
      <c r="I147" s="61">
        <v>45.465685000000001</v>
      </c>
      <c r="J147" s="61">
        <v>-73.745480999999998</v>
      </c>
      <c r="K147" s="61">
        <v>12.713174800000001</v>
      </c>
      <c r="L147" s="61">
        <v>14.117000000000001</v>
      </c>
      <c r="M147" s="61" t="s">
        <v>617</v>
      </c>
      <c r="N147" s="149">
        <v>42</v>
      </c>
      <c r="O147" s="149">
        <v>43</v>
      </c>
      <c r="P147" s="61" t="s">
        <v>565</v>
      </c>
      <c r="Q147" s="61" t="s">
        <v>555</v>
      </c>
      <c r="R147" s="61">
        <v>40.6895314</v>
      </c>
      <c r="S147" s="61">
        <v>-74.174462399999996</v>
      </c>
      <c r="T147" s="61">
        <v>610.48800000000006</v>
      </c>
      <c r="U147" s="61" t="s">
        <v>617</v>
      </c>
      <c r="V147" s="61" t="s">
        <v>569</v>
      </c>
      <c r="W147" s="61" cm="1">
        <f t="array" ref="W147">getDistance(I147,J147,R147,S147)*SA!$B$12</f>
        <v>532.70082587978914</v>
      </c>
      <c r="Y147" s="137">
        <f>Transportation_LCIA!C$61*($W147^Transportation_LCIA!C$60)+Transportation_LCIA!C$62</f>
        <v>0.32157602463370416</v>
      </c>
      <c r="Z147" s="137">
        <f>Transportation_LCIA!D$61*($W147^Transportation_LCIA!D$60)+Transportation_LCIA!D$62</f>
        <v>3.4401752281760434</v>
      </c>
      <c r="AA147" s="137">
        <f>Transportation_LCIA!E$61*($W147^Transportation_LCIA!E$60)+Transportation_LCIA!E$62</f>
        <v>1.8141836341962153E-3</v>
      </c>
      <c r="AB147" s="137">
        <f>Transportation_LCIA!F$61*($W147^Transportation_LCIA!F$60)+Transportation_LCIA!F$62</f>
        <v>0.32157602463370416</v>
      </c>
      <c r="AC147" s="137">
        <f>Transportation_LCIA!G$61*($W147^Transportation_LCIA!G$60)+Transportation_LCIA!G$62</f>
        <v>8.0143040676289495E-2</v>
      </c>
      <c r="AD147" s="137">
        <f>Transportation_LCIA!H$61*($W147^Transportation_LCIA!H$60)+Transportation_LCIA!H$62</f>
        <v>4.2530075100495493E-4</v>
      </c>
      <c r="AE147" s="137">
        <f>Transportation_LCIA!I$61*($W147^Transportation_LCIA!I$60)+Transportation_LCIA!I$62</f>
        <v>9.7085338694522006E-6</v>
      </c>
      <c r="AF147" s="137">
        <f>Transportation_LCIA!J$61*($W147^Transportation_LCIA!J$60)+Transportation_LCIA!J$62</f>
        <v>1.4453429332288598E-2</v>
      </c>
      <c r="AG147" s="137">
        <f>Transportation_LCIA!K$61*($W147^Transportation_LCIA!K$60)+Transportation_LCIA!K$62</f>
        <v>1.7573386146825021E-2</v>
      </c>
      <c r="AH147" s="137">
        <f>Transportation_LCIA!L$61*($W147^Transportation_LCIA!L$60)+Transportation_LCIA!L$62</f>
        <v>3.7692466700234696E-4</v>
      </c>
      <c r="AI147" s="137">
        <f>Transportation_LCIA!M$61*($W147^Transportation_LCIA!M$60)+Transportation_LCIA!M$62</f>
        <v>3.2560324687594627E-4</v>
      </c>
      <c r="AJ147" s="137">
        <f>Transportation_LCIA!N$61*($W147^Transportation_LCIA!N$60)+Transportation_LCIA!N$62</f>
        <v>1.4886217992903391E-3</v>
      </c>
      <c r="AK147" s="137">
        <f>Transportation_LCIA!O$61*($W147^Transportation_LCIA!O$60)+Transportation_LCIA!O$62</f>
        <v>8.4836431112135085E-5</v>
      </c>
      <c r="AL147" s="137">
        <f>Transportation_LCIA!P$61*($W147^Transportation_LCIA!P$60)+Transportation_LCIA!P$62</f>
        <v>4.094417350036071E-8</v>
      </c>
      <c r="AM147" s="137">
        <f>Transportation_LCIA!Q$61*($W147^Transportation_LCIA!Q$60)+Transportation_LCIA!Q$62</f>
        <v>1.4864785211779024E-4</v>
      </c>
      <c r="AN147" s="137">
        <f>Transportation_LCIA!R$61*($W147^Transportation_LCIA!R$60)+Transportation_LCIA!R$62</f>
        <v>4.664545941177262E-4</v>
      </c>
      <c r="AO147" s="137">
        <f>Transportation_LCIA!S$61*($W147^Transportation_LCIA!S$60)+Transportation_LCIA!S$62</f>
        <v>6.8758863533443067E-6</v>
      </c>
      <c r="AP147" s="137">
        <f>Transportation_LCIA!T$61*($W147^Transportation_LCIA!T$60)+Transportation_LCIA!T$62</f>
        <v>6.8758863533443067E-6</v>
      </c>
      <c r="AQ147" s="137">
        <f>Transportation_LCIA!U$61*($W147^Transportation_LCIA!U$60)+Transportation_LCIA!U$62</f>
        <v>1.0106481886833722E-3</v>
      </c>
      <c r="AR147" s="137">
        <f>Transportation_LCIA!V$61*($W147^Transportation_LCIA!V$60)+Transportation_LCIA!V$62</f>
        <v>3.8699391574166265E-4</v>
      </c>
      <c r="AT147" s="137">
        <f>$W147*Y147+$L147*Summary_LCIA!H$32</f>
        <v>176.10077050551362</v>
      </c>
      <c r="AU147" s="137">
        <f>$W147*Z147+$L147*Summary_LCIA!Q$32</f>
        <v>1902.5487491832314</v>
      </c>
      <c r="AV147" s="137">
        <f>$W147*AA147+$L147*Summary_LCIA!R$32</f>
        <v>1.040751595433921</v>
      </c>
      <c r="AW147" s="137">
        <f>$W147*AB147+$L147*Summary_LCIA!S$32</f>
        <v>176.03837336551365</v>
      </c>
      <c r="AX147" s="137">
        <f>$W147*AC147+$L147*Summary_LCIA!T$32</f>
        <v>44.243722256776948</v>
      </c>
      <c r="AY147" s="137">
        <f>$W147*AD147+$L147*Summary_LCIA!U$32</f>
        <v>0.47944999930763404</v>
      </c>
      <c r="AZ147" s="137">
        <f>$W147*AE147+$L147*Summary_LCIA!V$32</f>
        <v>5.8459860473390919E-3</v>
      </c>
      <c r="BA147" s="137">
        <f>$W147*AF147+$L147*Summary_LCIA!W$32</f>
        <v>8.7859533491053057</v>
      </c>
      <c r="BB147" s="137">
        <f>$W147*AG147+$L147*Summary_LCIA!X$32</f>
        <v>9.682942573918135</v>
      </c>
      <c r="BC147" s="137">
        <f>$W147*AH147+$L147*Summary_LCIA!Y$32</f>
        <v>0.42075917540661473</v>
      </c>
      <c r="BD147" s="137">
        <f>$W147*AI147+$L147*Summary_LCIA!Z$32</f>
        <v>0.17402804257295745</v>
      </c>
      <c r="BE147" s="137">
        <f>$W147*AJ147+$L147*Summary_LCIA!AA$32</f>
        <v>1.1227067139046212</v>
      </c>
      <c r="BF147" s="137">
        <f>$W147*AK147+$L147*Summary_LCIA!AB$32</f>
        <v>4.4884361627128201E-2</v>
      </c>
      <c r="BG147" s="137">
        <f>$W147*AL147+$L147*Summary_LCIA!AC$32</f>
        <v>2.2501090466607526E-5</v>
      </c>
      <c r="BH147" s="137">
        <f>$W147*AM147+$L147*Summary_LCIA!AD$32</f>
        <v>8.4987485268403634E-2</v>
      </c>
      <c r="BI147" s="137">
        <f>$W147*AN147+$L147*Summary_LCIA!AE$32</f>
        <v>0.26099024473193461</v>
      </c>
      <c r="BJ147" s="137">
        <f>$W147*AO147+$L147*Summary_LCIA!AF$32</f>
        <v>1.5597584479082084E-2</v>
      </c>
      <c r="BK147" s="137">
        <f>$W147*AP147+$L147*Summary_LCIA!AG$32</f>
        <v>4.3850866440820835E-3</v>
      </c>
      <c r="BL147" s="137">
        <f>$W147*AQ147+$L147*Summary_LCIA!AH$32</f>
        <v>0.66124184598554536</v>
      </c>
      <c r="BM147" s="137">
        <f>$W147*AR147+$L147*Summary_LCIA!AI$32</f>
        <v>0.21930266987603722</v>
      </c>
    </row>
    <row r="148" spans="1:65" x14ac:dyDescent="0.25">
      <c r="A148" s="149">
        <v>59</v>
      </c>
      <c r="B148" s="149">
        <v>43</v>
      </c>
      <c r="C148" s="61">
        <v>45.504741000000003</v>
      </c>
      <c r="D148" s="61">
        <v>-73.614750999999998</v>
      </c>
      <c r="E148" s="61" t="s">
        <v>458</v>
      </c>
      <c r="F148" s="149">
        <v>124</v>
      </c>
      <c r="G148" s="61" t="s">
        <v>654</v>
      </c>
      <c r="H148" s="61" t="s">
        <v>655</v>
      </c>
      <c r="I148" s="61">
        <v>45.465685000000001</v>
      </c>
      <c r="J148" s="61">
        <v>-73.745480999999998</v>
      </c>
      <c r="K148" s="61">
        <v>12.713174800000001</v>
      </c>
      <c r="L148" s="61">
        <v>14.117000000000001</v>
      </c>
      <c r="M148" s="61" t="s">
        <v>617</v>
      </c>
      <c r="N148" s="149">
        <v>42</v>
      </c>
      <c r="O148" s="149">
        <v>43</v>
      </c>
      <c r="P148" s="61" t="s">
        <v>565</v>
      </c>
      <c r="Q148" s="61" t="s">
        <v>555</v>
      </c>
      <c r="R148" s="61">
        <v>40.6895314</v>
      </c>
      <c r="S148" s="61">
        <v>-74.174462399999996</v>
      </c>
      <c r="T148" s="61">
        <v>610.48800000000006</v>
      </c>
      <c r="U148" s="61" t="s">
        <v>617</v>
      </c>
      <c r="V148" s="61" t="s">
        <v>569</v>
      </c>
      <c r="W148" s="61" cm="1">
        <f t="array" ref="W148">getDistance(I148,J148,R148,S148)*SA!$B$12</f>
        <v>532.70082587978914</v>
      </c>
      <c r="Y148" s="137">
        <f>Transportation_LCIA!C$61*($W148^Transportation_LCIA!C$60)+Transportation_LCIA!C$62</f>
        <v>0.32157602463370416</v>
      </c>
      <c r="Z148" s="137">
        <f>Transportation_LCIA!D$61*($W148^Transportation_LCIA!D$60)+Transportation_LCIA!D$62</f>
        <v>3.4401752281760434</v>
      </c>
      <c r="AA148" s="137">
        <f>Transportation_LCIA!E$61*($W148^Transportation_LCIA!E$60)+Transportation_LCIA!E$62</f>
        <v>1.8141836341962153E-3</v>
      </c>
      <c r="AB148" s="137">
        <f>Transportation_LCIA!F$61*($W148^Transportation_LCIA!F$60)+Transportation_LCIA!F$62</f>
        <v>0.32157602463370416</v>
      </c>
      <c r="AC148" s="137">
        <f>Transportation_LCIA!G$61*($W148^Transportation_LCIA!G$60)+Transportation_LCIA!G$62</f>
        <v>8.0143040676289495E-2</v>
      </c>
      <c r="AD148" s="137">
        <f>Transportation_LCIA!H$61*($W148^Transportation_LCIA!H$60)+Transportation_LCIA!H$62</f>
        <v>4.2530075100495493E-4</v>
      </c>
      <c r="AE148" s="137">
        <f>Transportation_LCIA!I$61*($W148^Transportation_LCIA!I$60)+Transportation_LCIA!I$62</f>
        <v>9.7085338694522006E-6</v>
      </c>
      <c r="AF148" s="137">
        <f>Transportation_LCIA!J$61*($W148^Transportation_LCIA!J$60)+Transportation_LCIA!J$62</f>
        <v>1.4453429332288598E-2</v>
      </c>
      <c r="AG148" s="137">
        <f>Transportation_LCIA!K$61*($W148^Transportation_LCIA!K$60)+Transportation_LCIA!K$62</f>
        <v>1.7573386146825021E-2</v>
      </c>
      <c r="AH148" s="137">
        <f>Transportation_LCIA!L$61*($W148^Transportation_LCIA!L$60)+Transportation_LCIA!L$62</f>
        <v>3.7692466700234696E-4</v>
      </c>
      <c r="AI148" s="137">
        <f>Transportation_LCIA!M$61*($W148^Transportation_LCIA!M$60)+Transportation_LCIA!M$62</f>
        <v>3.2560324687594627E-4</v>
      </c>
      <c r="AJ148" s="137">
        <f>Transportation_LCIA!N$61*($W148^Transportation_LCIA!N$60)+Transportation_LCIA!N$62</f>
        <v>1.4886217992903391E-3</v>
      </c>
      <c r="AK148" s="137">
        <f>Transportation_LCIA!O$61*($W148^Transportation_LCIA!O$60)+Transportation_LCIA!O$62</f>
        <v>8.4836431112135085E-5</v>
      </c>
      <c r="AL148" s="137">
        <f>Transportation_LCIA!P$61*($W148^Transportation_LCIA!P$60)+Transportation_LCIA!P$62</f>
        <v>4.094417350036071E-8</v>
      </c>
      <c r="AM148" s="137">
        <f>Transportation_LCIA!Q$61*($W148^Transportation_LCIA!Q$60)+Transportation_LCIA!Q$62</f>
        <v>1.4864785211779024E-4</v>
      </c>
      <c r="AN148" s="137">
        <f>Transportation_LCIA!R$61*($W148^Transportation_LCIA!R$60)+Transportation_LCIA!R$62</f>
        <v>4.664545941177262E-4</v>
      </c>
      <c r="AO148" s="137">
        <f>Transportation_LCIA!S$61*($W148^Transportation_LCIA!S$60)+Transportation_LCIA!S$62</f>
        <v>6.8758863533443067E-6</v>
      </c>
      <c r="AP148" s="137">
        <f>Transportation_LCIA!T$61*($W148^Transportation_LCIA!T$60)+Transportation_LCIA!T$62</f>
        <v>6.8758863533443067E-6</v>
      </c>
      <c r="AQ148" s="137">
        <f>Transportation_LCIA!U$61*($W148^Transportation_LCIA!U$60)+Transportation_LCIA!U$62</f>
        <v>1.0106481886833722E-3</v>
      </c>
      <c r="AR148" s="137">
        <f>Transportation_LCIA!V$61*($W148^Transportation_LCIA!V$60)+Transportation_LCIA!V$62</f>
        <v>3.8699391574166265E-4</v>
      </c>
      <c r="AT148" s="137">
        <f>$W148*Y148+$L148*Summary_LCIA!H$32</f>
        <v>176.10077050551362</v>
      </c>
      <c r="AU148" s="137">
        <f>$W148*Z148+$L148*Summary_LCIA!Q$32</f>
        <v>1902.5487491832314</v>
      </c>
      <c r="AV148" s="137">
        <f>$W148*AA148+$L148*Summary_LCIA!R$32</f>
        <v>1.040751595433921</v>
      </c>
      <c r="AW148" s="137">
        <f>$W148*AB148+$L148*Summary_LCIA!S$32</f>
        <v>176.03837336551365</v>
      </c>
      <c r="AX148" s="137">
        <f>$W148*AC148+$L148*Summary_LCIA!T$32</f>
        <v>44.243722256776948</v>
      </c>
      <c r="AY148" s="137">
        <f>$W148*AD148+$L148*Summary_LCIA!U$32</f>
        <v>0.47944999930763404</v>
      </c>
      <c r="AZ148" s="137">
        <f>$W148*AE148+$L148*Summary_LCIA!V$32</f>
        <v>5.8459860473390919E-3</v>
      </c>
      <c r="BA148" s="137">
        <f>$W148*AF148+$L148*Summary_LCIA!W$32</f>
        <v>8.7859533491053057</v>
      </c>
      <c r="BB148" s="137">
        <f>$W148*AG148+$L148*Summary_LCIA!X$32</f>
        <v>9.682942573918135</v>
      </c>
      <c r="BC148" s="137">
        <f>$W148*AH148+$L148*Summary_LCIA!Y$32</f>
        <v>0.42075917540661473</v>
      </c>
      <c r="BD148" s="137">
        <f>$W148*AI148+$L148*Summary_LCIA!Z$32</f>
        <v>0.17402804257295745</v>
      </c>
      <c r="BE148" s="137">
        <f>$W148*AJ148+$L148*Summary_LCIA!AA$32</f>
        <v>1.1227067139046212</v>
      </c>
      <c r="BF148" s="137">
        <f>$W148*AK148+$L148*Summary_LCIA!AB$32</f>
        <v>4.4884361627128201E-2</v>
      </c>
      <c r="BG148" s="137">
        <f>$W148*AL148+$L148*Summary_LCIA!AC$32</f>
        <v>2.2501090466607526E-5</v>
      </c>
      <c r="BH148" s="137">
        <f>$W148*AM148+$L148*Summary_LCIA!AD$32</f>
        <v>8.4987485268403634E-2</v>
      </c>
      <c r="BI148" s="137">
        <f>$W148*AN148+$L148*Summary_LCIA!AE$32</f>
        <v>0.26099024473193461</v>
      </c>
      <c r="BJ148" s="137">
        <f>$W148*AO148+$L148*Summary_LCIA!AF$32</f>
        <v>1.5597584479082084E-2</v>
      </c>
      <c r="BK148" s="137">
        <f>$W148*AP148+$L148*Summary_LCIA!AG$32</f>
        <v>4.3850866440820835E-3</v>
      </c>
      <c r="BL148" s="137">
        <f>$W148*AQ148+$L148*Summary_LCIA!AH$32</f>
        <v>0.66124184598554536</v>
      </c>
      <c r="BM148" s="137">
        <f>$W148*AR148+$L148*Summary_LCIA!AI$32</f>
        <v>0.21930266987603722</v>
      </c>
    </row>
    <row r="149" spans="1:65" x14ac:dyDescent="0.25">
      <c r="A149" s="149">
        <v>60</v>
      </c>
      <c r="B149" s="149">
        <v>43</v>
      </c>
      <c r="C149" s="61">
        <v>45.504741000000003</v>
      </c>
      <c r="D149" s="61">
        <v>-73.614750999999998</v>
      </c>
      <c r="E149" s="61" t="s">
        <v>458</v>
      </c>
      <c r="F149" s="149">
        <v>124</v>
      </c>
      <c r="G149" s="61" t="s">
        <v>654</v>
      </c>
      <c r="H149" s="61" t="s">
        <v>655</v>
      </c>
      <c r="I149" s="61">
        <v>45.465685000000001</v>
      </c>
      <c r="J149" s="61">
        <v>-73.745480999999998</v>
      </c>
      <c r="K149" s="61">
        <v>12.713174800000001</v>
      </c>
      <c r="L149" s="61">
        <v>14.117000000000001</v>
      </c>
      <c r="M149" s="61" t="s">
        <v>617</v>
      </c>
      <c r="N149" s="149">
        <v>42</v>
      </c>
      <c r="O149" s="149">
        <v>43</v>
      </c>
      <c r="P149" s="61" t="s">
        <v>565</v>
      </c>
      <c r="Q149" s="61" t="s">
        <v>555</v>
      </c>
      <c r="R149" s="61">
        <v>40.6895314</v>
      </c>
      <c r="S149" s="61">
        <v>-74.174462399999996</v>
      </c>
      <c r="T149" s="61">
        <v>610.48800000000006</v>
      </c>
      <c r="U149" s="61" t="s">
        <v>617</v>
      </c>
      <c r="V149" s="61" t="s">
        <v>569</v>
      </c>
      <c r="W149" s="61" cm="1">
        <f t="array" ref="W149">getDistance(I149,J149,R149,S149)*SA!$B$12</f>
        <v>532.70082587978914</v>
      </c>
      <c r="Y149" s="137">
        <f>Transportation_LCIA!C$61*($W149^Transportation_LCIA!C$60)+Transportation_LCIA!C$62</f>
        <v>0.32157602463370416</v>
      </c>
      <c r="Z149" s="137">
        <f>Transportation_LCIA!D$61*($W149^Transportation_LCIA!D$60)+Transportation_LCIA!D$62</f>
        <v>3.4401752281760434</v>
      </c>
      <c r="AA149" s="137">
        <f>Transportation_LCIA!E$61*($W149^Transportation_LCIA!E$60)+Transportation_LCIA!E$62</f>
        <v>1.8141836341962153E-3</v>
      </c>
      <c r="AB149" s="137">
        <f>Transportation_LCIA!F$61*($W149^Transportation_LCIA!F$60)+Transportation_LCIA!F$62</f>
        <v>0.32157602463370416</v>
      </c>
      <c r="AC149" s="137">
        <f>Transportation_LCIA!G$61*($W149^Transportation_LCIA!G$60)+Transportation_LCIA!G$62</f>
        <v>8.0143040676289495E-2</v>
      </c>
      <c r="AD149" s="137">
        <f>Transportation_LCIA!H$61*($W149^Transportation_LCIA!H$60)+Transportation_LCIA!H$62</f>
        <v>4.2530075100495493E-4</v>
      </c>
      <c r="AE149" s="137">
        <f>Transportation_LCIA!I$61*($W149^Transportation_LCIA!I$60)+Transportation_LCIA!I$62</f>
        <v>9.7085338694522006E-6</v>
      </c>
      <c r="AF149" s="137">
        <f>Transportation_LCIA!J$61*($W149^Transportation_LCIA!J$60)+Transportation_LCIA!J$62</f>
        <v>1.4453429332288598E-2</v>
      </c>
      <c r="AG149" s="137">
        <f>Transportation_LCIA!K$61*($W149^Transportation_LCIA!K$60)+Transportation_LCIA!K$62</f>
        <v>1.7573386146825021E-2</v>
      </c>
      <c r="AH149" s="137">
        <f>Transportation_LCIA!L$61*($W149^Transportation_LCIA!L$60)+Transportation_LCIA!L$62</f>
        <v>3.7692466700234696E-4</v>
      </c>
      <c r="AI149" s="137">
        <f>Transportation_LCIA!M$61*($W149^Transportation_LCIA!M$60)+Transportation_LCIA!M$62</f>
        <v>3.2560324687594627E-4</v>
      </c>
      <c r="AJ149" s="137">
        <f>Transportation_LCIA!N$61*($W149^Transportation_LCIA!N$60)+Transportation_LCIA!N$62</f>
        <v>1.4886217992903391E-3</v>
      </c>
      <c r="AK149" s="137">
        <f>Transportation_LCIA!O$61*($W149^Transportation_LCIA!O$60)+Transportation_LCIA!O$62</f>
        <v>8.4836431112135085E-5</v>
      </c>
      <c r="AL149" s="137">
        <f>Transportation_LCIA!P$61*($W149^Transportation_LCIA!P$60)+Transportation_LCIA!P$62</f>
        <v>4.094417350036071E-8</v>
      </c>
      <c r="AM149" s="137">
        <f>Transportation_LCIA!Q$61*($W149^Transportation_LCIA!Q$60)+Transportation_LCIA!Q$62</f>
        <v>1.4864785211779024E-4</v>
      </c>
      <c r="AN149" s="137">
        <f>Transportation_LCIA!R$61*($W149^Transportation_LCIA!R$60)+Transportation_LCIA!R$62</f>
        <v>4.664545941177262E-4</v>
      </c>
      <c r="AO149" s="137">
        <f>Transportation_LCIA!S$61*($W149^Transportation_LCIA!S$60)+Transportation_LCIA!S$62</f>
        <v>6.8758863533443067E-6</v>
      </c>
      <c r="AP149" s="137">
        <f>Transportation_LCIA!T$61*($W149^Transportation_LCIA!T$60)+Transportation_LCIA!T$62</f>
        <v>6.8758863533443067E-6</v>
      </c>
      <c r="AQ149" s="137">
        <f>Transportation_LCIA!U$61*($W149^Transportation_LCIA!U$60)+Transportation_LCIA!U$62</f>
        <v>1.0106481886833722E-3</v>
      </c>
      <c r="AR149" s="137">
        <f>Transportation_LCIA!V$61*($W149^Transportation_LCIA!V$60)+Transportation_LCIA!V$62</f>
        <v>3.8699391574166265E-4</v>
      </c>
      <c r="AT149" s="137">
        <f>$W149*Y149+$L149*Summary_LCIA!H$32</f>
        <v>176.10077050551362</v>
      </c>
      <c r="AU149" s="137">
        <f>$W149*Z149+$L149*Summary_LCIA!Q$32</f>
        <v>1902.5487491832314</v>
      </c>
      <c r="AV149" s="137">
        <f>$W149*AA149+$L149*Summary_LCIA!R$32</f>
        <v>1.040751595433921</v>
      </c>
      <c r="AW149" s="137">
        <f>$W149*AB149+$L149*Summary_LCIA!S$32</f>
        <v>176.03837336551365</v>
      </c>
      <c r="AX149" s="137">
        <f>$W149*AC149+$L149*Summary_LCIA!T$32</f>
        <v>44.243722256776948</v>
      </c>
      <c r="AY149" s="137">
        <f>$W149*AD149+$L149*Summary_LCIA!U$32</f>
        <v>0.47944999930763404</v>
      </c>
      <c r="AZ149" s="137">
        <f>$W149*AE149+$L149*Summary_LCIA!V$32</f>
        <v>5.8459860473390919E-3</v>
      </c>
      <c r="BA149" s="137">
        <f>$W149*AF149+$L149*Summary_LCIA!W$32</f>
        <v>8.7859533491053057</v>
      </c>
      <c r="BB149" s="137">
        <f>$W149*AG149+$L149*Summary_LCIA!X$32</f>
        <v>9.682942573918135</v>
      </c>
      <c r="BC149" s="137">
        <f>$W149*AH149+$L149*Summary_LCIA!Y$32</f>
        <v>0.42075917540661473</v>
      </c>
      <c r="BD149" s="137">
        <f>$W149*AI149+$L149*Summary_LCIA!Z$32</f>
        <v>0.17402804257295745</v>
      </c>
      <c r="BE149" s="137">
        <f>$W149*AJ149+$L149*Summary_LCIA!AA$32</f>
        <v>1.1227067139046212</v>
      </c>
      <c r="BF149" s="137">
        <f>$W149*AK149+$L149*Summary_LCIA!AB$32</f>
        <v>4.4884361627128201E-2</v>
      </c>
      <c r="BG149" s="137">
        <f>$W149*AL149+$L149*Summary_LCIA!AC$32</f>
        <v>2.2501090466607526E-5</v>
      </c>
      <c r="BH149" s="137">
        <f>$W149*AM149+$L149*Summary_LCIA!AD$32</f>
        <v>8.4987485268403634E-2</v>
      </c>
      <c r="BI149" s="137">
        <f>$W149*AN149+$L149*Summary_LCIA!AE$32</f>
        <v>0.26099024473193461</v>
      </c>
      <c r="BJ149" s="137">
        <f>$W149*AO149+$L149*Summary_LCIA!AF$32</f>
        <v>1.5597584479082084E-2</v>
      </c>
      <c r="BK149" s="137">
        <f>$W149*AP149+$L149*Summary_LCIA!AG$32</f>
        <v>4.3850866440820835E-3</v>
      </c>
      <c r="BL149" s="137">
        <f>$W149*AQ149+$L149*Summary_LCIA!AH$32</f>
        <v>0.66124184598554536</v>
      </c>
      <c r="BM149" s="137">
        <f>$W149*AR149+$L149*Summary_LCIA!AI$32</f>
        <v>0.21930266987603722</v>
      </c>
    </row>
    <row r="150" spans="1:65" x14ac:dyDescent="0.25">
      <c r="A150" s="149">
        <v>61</v>
      </c>
      <c r="B150" s="149">
        <v>43</v>
      </c>
      <c r="C150" s="61">
        <v>45.504741000000003</v>
      </c>
      <c r="D150" s="61">
        <v>-73.614750999999998</v>
      </c>
      <c r="E150" s="61" t="s">
        <v>458</v>
      </c>
      <c r="F150" s="149">
        <v>124</v>
      </c>
      <c r="G150" s="61" t="s">
        <v>654</v>
      </c>
      <c r="H150" s="61" t="s">
        <v>655</v>
      </c>
      <c r="I150" s="61">
        <v>45.465685000000001</v>
      </c>
      <c r="J150" s="61">
        <v>-73.745480999999998</v>
      </c>
      <c r="K150" s="61">
        <v>12.713174800000001</v>
      </c>
      <c r="L150" s="61">
        <v>14.117000000000001</v>
      </c>
      <c r="M150" s="61" t="s">
        <v>617</v>
      </c>
      <c r="N150" s="149">
        <v>42</v>
      </c>
      <c r="O150" s="149">
        <v>43</v>
      </c>
      <c r="P150" s="61" t="s">
        <v>565</v>
      </c>
      <c r="Q150" s="61" t="s">
        <v>555</v>
      </c>
      <c r="R150" s="61">
        <v>40.6895314</v>
      </c>
      <c r="S150" s="61">
        <v>-74.174462399999996</v>
      </c>
      <c r="T150" s="61">
        <v>610.48800000000006</v>
      </c>
      <c r="U150" s="61" t="s">
        <v>617</v>
      </c>
      <c r="V150" s="61" t="s">
        <v>569</v>
      </c>
      <c r="W150" s="61" cm="1">
        <f t="array" ref="W150">getDistance(I150,J150,R150,S150)*SA!$B$12</f>
        <v>532.70082587978914</v>
      </c>
      <c r="Y150" s="137">
        <f>Transportation_LCIA!C$61*($W150^Transportation_LCIA!C$60)+Transportation_LCIA!C$62</f>
        <v>0.32157602463370416</v>
      </c>
      <c r="Z150" s="137">
        <f>Transportation_LCIA!D$61*($W150^Transportation_LCIA!D$60)+Transportation_LCIA!D$62</f>
        <v>3.4401752281760434</v>
      </c>
      <c r="AA150" s="137">
        <f>Transportation_LCIA!E$61*($W150^Transportation_LCIA!E$60)+Transportation_LCIA!E$62</f>
        <v>1.8141836341962153E-3</v>
      </c>
      <c r="AB150" s="137">
        <f>Transportation_LCIA!F$61*($W150^Transportation_LCIA!F$60)+Transportation_LCIA!F$62</f>
        <v>0.32157602463370416</v>
      </c>
      <c r="AC150" s="137">
        <f>Transportation_LCIA!G$61*($W150^Transportation_LCIA!G$60)+Transportation_LCIA!G$62</f>
        <v>8.0143040676289495E-2</v>
      </c>
      <c r="AD150" s="137">
        <f>Transportation_LCIA!H$61*($W150^Transportation_LCIA!H$60)+Transportation_LCIA!H$62</f>
        <v>4.2530075100495493E-4</v>
      </c>
      <c r="AE150" s="137">
        <f>Transportation_LCIA!I$61*($W150^Transportation_LCIA!I$60)+Transportation_LCIA!I$62</f>
        <v>9.7085338694522006E-6</v>
      </c>
      <c r="AF150" s="137">
        <f>Transportation_LCIA!J$61*($W150^Transportation_LCIA!J$60)+Transportation_LCIA!J$62</f>
        <v>1.4453429332288598E-2</v>
      </c>
      <c r="AG150" s="137">
        <f>Transportation_LCIA!K$61*($W150^Transportation_LCIA!K$60)+Transportation_LCIA!K$62</f>
        <v>1.7573386146825021E-2</v>
      </c>
      <c r="AH150" s="137">
        <f>Transportation_LCIA!L$61*($W150^Transportation_LCIA!L$60)+Transportation_LCIA!L$62</f>
        <v>3.7692466700234696E-4</v>
      </c>
      <c r="AI150" s="137">
        <f>Transportation_LCIA!M$61*($W150^Transportation_LCIA!M$60)+Transportation_LCIA!M$62</f>
        <v>3.2560324687594627E-4</v>
      </c>
      <c r="AJ150" s="137">
        <f>Transportation_LCIA!N$61*($W150^Transportation_LCIA!N$60)+Transportation_LCIA!N$62</f>
        <v>1.4886217992903391E-3</v>
      </c>
      <c r="AK150" s="137">
        <f>Transportation_LCIA!O$61*($W150^Transportation_LCIA!O$60)+Transportation_LCIA!O$62</f>
        <v>8.4836431112135085E-5</v>
      </c>
      <c r="AL150" s="137">
        <f>Transportation_LCIA!P$61*($W150^Transportation_LCIA!P$60)+Transportation_LCIA!P$62</f>
        <v>4.094417350036071E-8</v>
      </c>
      <c r="AM150" s="137">
        <f>Transportation_LCIA!Q$61*($W150^Transportation_LCIA!Q$60)+Transportation_LCIA!Q$62</f>
        <v>1.4864785211779024E-4</v>
      </c>
      <c r="AN150" s="137">
        <f>Transportation_LCIA!R$61*($W150^Transportation_LCIA!R$60)+Transportation_LCIA!R$62</f>
        <v>4.664545941177262E-4</v>
      </c>
      <c r="AO150" s="137">
        <f>Transportation_LCIA!S$61*($W150^Transportation_LCIA!S$60)+Transportation_LCIA!S$62</f>
        <v>6.8758863533443067E-6</v>
      </c>
      <c r="AP150" s="137">
        <f>Transportation_LCIA!T$61*($W150^Transportation_LCIA!T$60)+Transportation_LCIA!T$62</f>
        <v>6.8758863533443067E-6</v>
      </c>
      <c r="AQ150" s="137">
        <f>Transportation_LCIA!U$61*($W150^Transportation_LCIA!U$60)+Transportation_LCIA!U$62</f>
        <v>1.0106481886833722E-3</v>
      </c>
      <c r="AR150" s="137">
        <f>Transportation_LCIA!V$61*($W150^Transportation_LCIA!V$60)+Transportation_LCIA!V$62</f>
        <v>3.8699391574166265E-4</v>
      </c>
      <c r="AT150" s="137">
        <f>$W150*Y150+$L150*Summary_LCIA!H$32</f>
        <v>176.10077050551362</v>
      </c>
      <c r="AU150" s="137">
        <f>$W150*Z150+$L150*Summary_LCIA!Q$32</f>
        <v>1902.5487491832314</v>
      </c>
      <c r="AV150" s="137">
        <f>$W150*AA150+$L150*Summary_LCIA!R$32</f>
        <v>1.040751595433921</v>
      </c>
      <c r="AW150" s="137">
        <f>$W150*AB150+$L150*Summary_LCIA!S$32</f>
        <v>176.03837336551365</v>
      </c>
      <c r="AX150" s="137">
        <f>$W150*AC150+$L150*Summary_LCIA!T$32</f>
        <v>44.243722256776948</v>
      </c>
      <c r="AY150" s="137">
        <f>$W150*AD150+$L150*Summary_LCIA!U$32</f>
        <v>0.47944999930763404</v>
      </c>
      <c r="AZ150" s="137">
        <f>$W150*AE150+$L150*Summary_LCIA!V$32</f>
        <v>5.8459860473390919E-3</v>
      </c>
      <c r="BA150" s="137">
        <f>$W150*AF150+$L150*Summary_LCIA!W$32</f>
        <v>8.7859533491053057</v>
      </c>
      <c r="BB150" s="137">
        <f>$W150*AG150+$L150*Summary_LCIA!X$32</f>
        <v>9.682942573918135</v>
      </c>
      <c r="BC150" s="137">
        <f>$W150*AH150+$L150*Summary_LCIA!Y$32</f>
        <v>0.42075917540661473</v>
      </c>
      <c r="BD150" s="137">
        <f>$W150*AI150+$L150*Summary_LCIA!Z$32</f>
        <v>0.17402804257295745</v>
      </c>
      <c r="BE150" s="137">
        <f>$W150*AJ150+$L150*Summary_LCIA!AA$32</f>
        <v>1.1227067139046212</v>
      </c>
      <c r="BF150" s="137">
        <f>$W150*AK150+$L150*Summary_LCIA!AB$32</f>
        <v>4.4884361627128201E-2</v>
      </c>
      <c r="BG150" s="137">
        <f>$W150*AL150+$L150*Summary_LCIA!AC$32</f>
        <v>2.2501090466607526E-5</v>
      </c>
      <c r="BH150" s="137">
        <f>$W150*AM150+$L150*Summary_LCIA!AD$32</f>
        <v>8.4987485268403634E-2</v>
      </c>
      <c r="BI150" s="137">
        <f>$W150*AN150+$L150*Summary_LCIA!AE$32</f>
        <v>0.26099024473193461</v>
      </c>
      <c r="BJ150" s="137">
        <f>$W150*AO150+$L150*Summary_LCIA!AF$32</f>
        <v>1.5597584479082084E-2</v>
      </c>
      <c r="BK150" s="137">
        <f>$W150*AP150+$L150*Summary_LCIA!AG$32</f>
        <v>4.3850866440820835E-3</v>
      </c>
      <c r="BL150" s="137">
        <f>$W150*AQ150+$L150*Summary_LCIA!AH$32</f>
        <v>0.66124184598554536</v>
      </c>
      <c r="BM150" s="137">
        <f>$W150*AR150+$L150*Summary_LCIA!AI$32</f>
        <v>0.21930266987603722</v>
      </c>
    </row>
    <row r="151" spans="1:65" x14ac:dyDescent="0.25">
      <c r="A151" s="149">
        <v>62</v>
      </c>
      <c r="B151" s="149">
        <v>43</v>
      </c>
      <c r="C151" s="61">
        <v>45.504741000000003</v>
      </c>
      <c r="D151" s="61">
        <v>-73.614750999999998</v>
      </c>
      <c r="E151" s="61" t="s">
        <v>458</v>
      </c>
      <c r="F151" s="149">
        <v>124</v>
      </c>
      <c r="G151" s="61" t="s">
        <v>654</v>
      </c>
      <c r="H151" s="61" t="s">
        <v>655</v>
      </c>
      <c r="I151" s="61">
        <v>45.465685000000001</v>
      </c>
      <c r="J151" s="61">
        <v>-73.745480999999998</v>
      </c>
      <c r="K151" s="61">
        <v>12.713174800000001</v>
      </c>
      <c r="L151" s="61">
        <v>14.117000000000001</v>
      </c>
      <c r="M151" s="61" t="s">
        <v>617</v>
      </c>
      <c r="N151" s="149">
        <v>42</v>
      </c>
      <c r="O151" s="149">
        <v>43</v>
      </c>
      <c r="P151" s="61" t="s">
        <v>565</v>
      </c>
      <c r="Q151" s="61" t="s">
        <v>555</v>
      </c>
      <c r="R151" s="61">
        <v>40.6895314</v>
      </c>
      <c r="S151" s="61">
        <v>-74.174462399999996</v>
      </c>
      <c r="T151" s="61">
        <v>610.48800000000006</v>
      </c>
      <c r="U151" s="61" t="s">
        <v>617</v>
      </c>
      <c r="V151" s="61" t="s">
        <v>569</v>
      </c>
      <c r="W151" s="61" cm="1">
        <f t="array" ref="W151">getDistance(I151,J151,R151,S151)*SA!$B$12</f>
        <v>532.70082587978914</v>
      </c>
      <c r="Y151" s="137">
        <f>Transportation_LCIA!C$61*($W151^Transportation_LCIA!C$60)+Transportation_LCIA!C$62</f>
        <v>0.32157602463370416</v>
      </c>
      <c r="Z151" s="137">
        <f>Transportation_LCIA!D$61*($W151^Transportation_LCIA!D$60)+Transportation_LCIA!D$62</f>
        <v>3.4401752281760434</v>
      </c>
      <c r="AA151" s="137">
        <f>Transportation_LCIA!E$61*($W151^Transportation_LCIA!E$60)+Transportation_LCIA!E$62</f>
        <v>1.8141836341962153E-3</v>
      </c>
      <c r="AB151" s="137">
        <f>Transportation_LCIA!F$61*($W151^Transportation_LCIA!F$60)+Transportation_LCIA!F$62</f>
        <v>0.32157602463370416</v>
      </c>
      <c r="AC151" s="137">
        <f>Transportation_LCIA!G$61*($W151^Transportation_LCIA!G$60)+Transportation_LCIA!G$62</f>
        <v>8.0143040676289495E-2</v>
      </c>
      <c r="AD151" s="137">
        <f>Transportation_LCIA!H$61*($W151^Transportation_LCIA!H$60)+Transportation_LCIA!H$62</f>
        <v>4.2530075100495493E-4</v>
      </c>
      <c r="AE151" s="137">
        <f>Transportation_LCIA!I$61*($W151^Transportation_LCIA!I$60)+Transportation_LCIA!I$62</f>
        <v>9.7085338694522006E-6</v>
      </c>
      <c r="AF151" s="137">
        <f>Transportation_LCIA!J$61*($W151^Transportation_LCIA!J$60)+Transportation_LCIA!J$62</f>
        <v>1.4453429332288598E-2</v>
      </c>
      <c r="AG151" s="137">
        <f>Transportation_LCIA!K$61*($W151^Transportation_LCIA!K$60)+Transportation_LCIA!K$62</f>
        <v>1.7573386146825021E-2</v>
      </c>
      <c r="AH151" s="137">
        <f>Transportation_LCIA!L$61*($W151^Transportation_LCIA!L$60)+Transportation_LCIA!L$62</f>
        <v>3.7692466700234696E-4</v>
      </c>
      <c r="AI151" s="137">
        <f>Transportation_LCIA!M$61*($W151^Transportation_LCIA!M$60)+Transportation_LCIA!M$62</f>
        <v>3.2560324687594627E-4</v>
      </c>
      <c r="AJ151" s="137">
        <f>Transportation_LCIA!N$61*($W151^Transportation_LCIA!N$60)+Transportation_LCIA!N$62</f>
        <v>1.4886217992903391E-3</v>
      </c>
      <c r="AK151" s="137">
        <f>Transportation_LCIA!O$61*($W151^Transportation_LCIA!O$60)+Transportation_LCIA!O$62</f>
        <v>8.4836431112135085E-5</v>
      </c>
      <c r="AL151" s="137">
        <f>Transportation_LCIA!P$61*($W151^Transportation_LCIA!P$60)+Transportation_LCIA!P$62</f>
        <v>4.094417350036071E-8</v>
      </c>
      <c r="AM151" s="137">
        <f>Transportation_LCIA!Q$61*($W151^Transportation_LCIA!Q$60)+Transportation_LCIA!Q$62</f>
        <v>1.4864785211779024E-4</v>
      </c>
      <c r="AN151" s="137">
        <f>Transportation_LCIA!R$61*($W151^Transportation_LCIA!R$60)+Transportation_LCIA!R$62</f>
        <v>4.664545941177262E-4</v>
      </c>
      <c r="AO151" s="137">
        <f>Transportation_LCIA!S$61*($W151^Transportation_LCIA!S$60)+Transportation_LCIA!S$62</f>
        <v>6.8758863533443067E-6</v>
      </c>
      <c r="AP151" s="137">
        <f>Transportation_LCIA!T$61*($W151^Transportation_LCIA!T$60)+Transportation_LCIA!T$62</f>
        <v>6.8758863533443067E-6</v>
      </c>
      <c r="AQ151" s="137">
        <f>Transportation_LCIA!U$61*($W151^Transportation_LCIA!U$60)+Transportation_LCIA!U$62</f>
        <v>1.0106481886833722E-3</v>
      </c>
      <c r="AR151" s="137">
        <f>Transportation_LCIA!V$61*($W151^Transportation_LCIA!V$60)+Transportation_LCIA!V$62</f>
        <v>3.8699391574166265E-4</v>
      </c>
      <c r="AT151" s="137">
        <f>$W151*Y151+$L151*Summary_LCIA!H$32</f>
        <v>176.10077050551362</v>
      </c>
      <c r="AU151" s="137">
        <f>$W151*Z151+$L151*Summary_LCIA!Q$32</f>
        <v>1902.5487491832314</v>
      </c>
      <c r="AV151" s="137">
        <f>$W151*AA151+$L151*Summary_LCIA!R$32</f>
        <v>1.040751595433921</v>
      </c>
      <c r="AW151" s="137">
        <f>$W151*AB151+$L151*Summary_LCIA!S$32</f>
        <v>176.03837336551365</v>
      </c>
      <c r="AX151" s="137">
        <f>$W151*AC151+$L151*Summary_LCIA!T$32</f>
        <v>44.243722256776948</v>
      </c>
      <c r="AY151" s="137">
        <f>$W151*AD151+$L151*Summary_LCIA!U$32</f>
        <v>0.47944999930763404</v>
      </c>
      <c r="AZ151" s="137">
        <f>$W151*AE151+$L151*Summary_LCIA!V$32</f>
        <v>5.8459860473390919E-3</v>
      </c>
      <c r="BA151" s="137">
        <f>$W151*AF151+$L151*Summary_LCIA!W$32</f>
        <v>8.7859533491053057</v>
      </c>
      <c r="BB151" s="137">
        <f>$W151*AG151+$L151*Summary_LCIA!X$32</f>
        <v>9.682942573918135</v>
      </c>
      <c r="BC151" s="137">
        <f>$W151*AH151+$L151*Summary_LCIA!Y$32</f>
        <v>0.42075917540661473</v>
      </c>
      <c r="BD151" s="137">
        <f>$W151*AI151+$L151*Summary_LCIA!Z$32</f>
        <v>0.17402804257295745</v>
      </c>
      <c r="BE151" s="137">
        <f>$W151*AJ151+$L151*Summary_LCIA!AA$32</f>
        <v>1.1227067139046212</v>
      </c>
      <c r="BF151" s="137">
        <f>$W151*AK151+$L151*Summary_LCIA!AB$32</f>
        <v>4.4884361627128201E-2</v>
      </c>
      <c r="BG151" s="137">
        <f>$W151*AL151+$L151*Summary_LCIA!AC$32</f>
        <v>2.2501090466607526E-5</v>
      </c>
      <c r="BH151" s="137">
        <f>$W151*AM151+$L151*Summary_LCIA!AD$32</f>
        <v>8.4987485268403634E-2</v>
      </c>
      <c r="BI151" s="137">
        <f>$W151*AN151+$L151*Summary_LCIA!AE$32</f>
        <v>0.26099024473193461</v>
      </c>
      <c r="BJ151" s="137">
        <f>$W151*AO151+$L151*Summary_LCIA!AF$32</f>
        <v>1.5597584479082084E-2</v>
      </c>
      <c r="BK151" s="137">
        <f>$W151*AP151+$L151*Summary_LCIA!AG$32</f>
        <v>4.3850866440820835E-3</v>
      </c>
      <c r="BL151" s="137">
        <f>$W151*AQ151+$L151*Summary_LCIA!AH$32</f>
        <v>0.66124184598554536</v>
      </c>
      <c r="BM151" s="137">
        <f>$W151*AR151+$L151*Summary_LCIA!AI$32</f>
        <v>0.21930266987603722</v>
      </c>
    </row>
    <row r="152" spans="1:65" x14ac:dyDescent="0.25">
      <c r="A152" s="149">
        <v>128</v>
      </c>
      <c r="B152" s="149">
        <v>16</v>
      </c>
      <c r="C152" s="61">
        <v>35.686974999999997</v>
      </c>
      <c r="D152" s="61">
        <v>-105.937799</v>
      </c>
      <c r="E152" s="61" t="s">
        <v>265</v>
      </c>
      <c r="F152" s="149">
        <v>119</v>
      </c>
      <c r="G152" s="61" t="s">
        <v>676</v>
      </c>
      <c r="H152" s="61" t="s">
        <v>677</v>
      </c>
      <c r="I152" s="61">
        <v>35.043332999999997</v>
      </c>
      <c r="J152" s="61">
        <v>-106.612909</v>
      </c>
      <c r="K152" s="61">
        <v>132.83882500000001</v>
      </c>
      <c r="L152" s="61">
        <v>108.321</v>
      </c>
      <c r="M152" s="61" t="s">
        <v>617</v>
      </c>
      <c r="N152" s="149">
        <v>15</v>
      </c>
      <c r="O152" s="149">
        <v>16</v>
      </c>
      <c r="P152" s="61" t="s">
        <v>565</v>
      </c>
      <c r="Q152" s="61" t="s">
        <v>556</v>
      </c>
      <c r="R152" s="61">
        <v>39.856096299999997</v>
      </c>
      <c r="S152" s="61">
        <v>-104.6737376</v>
      </c>
      <c r="T152" s="61">
        <v>658.04899999999998</v>
      </c>
      <c r="U152" s="61" t="s">
        <v>617</v>
      </c>
      <c r="V152" s="61" t="s">
        <v>569</v>
      </c>
      <c r="W152" s="61" cm="1">
        <f t="array" ref="W152">getDistance(I152,J152,R152,S152)*SA!$B$12</f>
        <v>562.0692154742253</v>
      </c>
      <c r="Y152" s="137">
        <f>Transportation_LCIA!C$61*($W152^Transportation_LCIA!C$60)+Transportation_LCIA!C$62</f>
        <v>0.31234572379644221</v>
      </c>
      <c r="Z152" s="137">
        <f>Transportation_LCIA!D$61*($W152^Transportation_LCIA!D$60)+Transportation_LCIA!D$62</f>
        <v>3.3296210667490271</v>
      </c>
      <c r="AA152" s="137">
        <f>Transportation_LCIA!E$61*($W152^Transportation_LCIA!E$60)+Transportation_LCIA!E$62</f>
        <v>1.7409629881306933E-3</v>
      </c>
      <c r="AB152" s="137">
        <f>Transportation_LCIA!F$61*($W152^Transportation_LCIA!F$60)+Transportation_LCIA!F$62</f>
        <v>0.31234572379644221</v>
      </c>
      <c r="AC152" s="137">
        <f>Transportation_LCIA!G$61*($W152^Transportation_LCIA!G$60)+Transportation_LCIA!G$62</f>
        <v>7.7589160875477806E-2</v>
      </c>
      <c r="AD152" s="137">
        <f>Transportation_LCIA!H$61*($W152^Transportation_LCIA!H$60)+Transportation_LCIA!H$62</f>
        <v>4.0896707036547922E-4</v>
      </c>
      <c r="AE152" s="137">
        <f>Transportation_LCIA!I$61*($W152^Transportation_LCIA!I$60)+Transportation_LCIA!I$62</f>
        <v>9.287690950406478E-6</v>
      </c>
      <c r="AF152" s="137">
        <f>Transportation_LCIA!J$61*($W152^Transportation_LCIA!J$60)+Transportation_LCIA!J$62</f>
        <v>1.381709544487048E-2</v>
      </c>
      <c r="AG152" s="137">
        <f>Transportation_LCIA!K$61*($W152^Transportation_LCIA!K$60)+Transportation_LCIA!K$62</f>
        <v>1.6969347425940542E-2</v>
      </c>
      <c r="AH152" s="137">
        <f>Transportation_LCIA!L$61*($W152^Transportation_LCIA!L$60)+Transportation_LCIA!L$62</f>
        <v>3.6180880809060781E-4</v>
      </c>
      <c r="AI152" s="137">
        <f>Transportation_LCIA!M$61*($W152^Transportation_LCIA!M$60)+Transportation_LCIA!M$62</f>
        <v>3.1658174874836395E-4</v>
      </c>
      <c r="AJ152" s="137">
        <f>Transportation_LCIA!N$61*($W152^Transportation_LCIA!N$60)+Transportation_LCIA!N$62</f>
        <v>1.4338065791517597E-3</v>
      </c>
      <c r="AK152" s="137">
        <f>Transportation_LCIA!O$61*($W152^Transportation_LCIA!O$60)+Transportation_LCIA!O$62</f>
        <v>8.2120666352479983E-5</v>
      </c>
      <c r="AL152" s="137">
        <f>Transportation_LCIA!P$61*($W152^Transportation_LCIA!P$60)+Transportation_LCIA!P$62</f>
        <v>3.9640984354842165E-8</v>
      </c>
      <c r="AM152" s="137">
        <f>Transportation_LCIA!Q$61*($W152^Transportation_LCIA!Q$60)+Transportation_LCIA!Q$62</f>
        <v>1.427164451988576E-4</v>
      </c>
      <c r="AN152" s="137">
        <f>Transportation_LCIA!R$61*($W152^Transportation_LCIA!R$60)+Transportation_LCIA!R$62</f>
        <v>4.4626259685882214E-4</v>
      </c>
      <c r="AO152" s="137">
        <f>Transportation_LCIA!S$61*($W152^Transportation_LCIA!S$60)+Transportation_LCIA!S$62</f>
        <v>6.5896170398703171E-6</v>
      </c>
      <c r="AP152" s="137">
        <f>Transportation_LCIA!T$61*($W152^Transportation_LCIA!T$60)+Transportation_LCIA!T$62</f>
        <v>6.5896170398703171E-6</v>
      </c>
      <c r="AQ152" s="137">
        <f>Transportation_LCIA!U$61*($W152^Transportation_LCIA!U$60)+Transportation_LCIA!U$62</f>
        <v>9.6617119892550003E-4</v>
      </c>
      <c r="AR152" s="137">
        <f>Transportation_LCIA!V$61*($W152^Transportation_LCIA!V$60)+Transportation_LCIA!V$62</f>
        <v>3.7149234590026369E-4</v>
      </c>
      <c r="AT152" s="137">
        <f>$W152*Y152+$L152*Summary_LCIA!H$32</f>
        <v>212.36739173099534</v>
      </c>
      <c r="AU152" s="137">
        <f>$W152*Z152+$L152*Summary_LCIA!Q$32</f>
        <v>2408.3218397670717</v>
      </c>
      <c r="AV152" s="137">
        <f>$W152*AA152+$L152*Summary_LCIA!R$32</f>
        <v>1.5489167585082817</v>
      </c>
      <c r="AW152" s="137">
        <f>$W152*AB152+$L152*Summary_LCIA!S$32</f>
        <v>211.88861291099533</v>
      </c>
      <c r="AX152" s="137">
        <f>$W152*AC152+$L152*Summary_LCIA!T$32</f>
        <v>55.514956682583261</v>
      </c>
      <c r="AY152" s="137">
        <f>$W152*AD152+$L152*Summary_LCIA!U$32</f>
        <v>2.1703301943951172</v>
      </c>
      <c r="AZ152" s="137">
        <f>$W152*AE152+$L152*Summary_LCIA!V$32</f>
        <v>1.0393844447062031E-2</v>
      </c>
      <c r="BA152" s="137">
        <f>$W152*AF152+$L152*Summary_LCIA!W$32</f>
        <v>16.103739687830842</v>
      </c>
      <c r="BB152" s="137">
        <f>$W152*AG152+$L152*Summary_LCIA!X$32</f>
        <v>12.005500174807967</v>
      </c>
      <c r="BC152" s="137">
        <f>$W152*AH152+$L152*Summary_LCIA!Y$32</f>
        <v>1.8912194149151524</v>
      </c>
      <c r="BD152" s="137">
        <f>$W152*AI152+$L152*Summary_LCIA!Z$32</f>
        <v>0.18238299104145123</v>
      </c>
      <c r="BE152" s="137">
        <f>$W152*AJ152+$L152*Summary_LCIA!AA$32</f>
        <v>3.335843815085612</v>
      </c>
      <c r="BF152" s="137">
        <f>$W152*AK152+$L152*Summary_LCIA!AB$32</f>
        <v>4.3793609327959039E-2</v>
      </c>
      <c r="BG152" s="137">
        <f>$W152*AL152+$L152*Summary_LCIA!AC$32</f>
        <v>2.7576140740952175E-5</v>
      </c>
      <c r="BH152" s="137">
        <f>$W152*AM152+$L152*Summary_LCIA!AD$32</f>
        <v>0.12474078422819215</v>
      </c>
      <c r="BI152" s="137">
        <f>$W152*AN152+$L152*Summary_LCIA!AE$32</f>
        <v>0.34681695544192859</v>
      </c>
      <c r="BJ152" s="137">
        <f>$W152*AO152+$L152*Summary_LCIA!AF$32</f>
        <v>9.5280560699875505E-2</v>
      </c>
      <c r="BK152" s="137">
        <f>$W152*AP152+$L152*Summary_LCIA!AG$32</f>
        <v>9.246064844875496E-3</v>
      </c>
      <c r="BL152" s="137">
        <f>$W152*AQ152+$L152*Summary_LCIA!AH$32</f>
        <v>1.4858377433938474</v>
      </c>
      <c r="BM152" s="137">
        <f>$W152*AR152+$L152*Summary_LCIA!AI$32</f>
        <v>0.30971083896484075</v>
      </c>
    </row>
    <row r="153" spans="1:65" x14ac:dyDescent="0.25">
      <c r="A153" s="149">
        <v>185</v>
      </c>
      <c r="B153" s="149">
        <v>43</v>
      </c>
      <c r="C153" s="61">
        <v>45.376868000000002</v>
      </c>
      <c r="D153" s="61">
        <v>-71.930583999999996</v>
      </c>
      <c r="E153" s="61" t="s">
        <v>458</v>
      </c>
      <c r="F153" s="149">
        <v>124</v>
      </c>
      <c r="G153" s="61" t="s">
        <v>654</v>
      </c>
      <c r="H153" s="61" t="s">
        <v>655</v>
      </c>
      <c r="I153" s="61">
        <v>45.465685000000001</v>
      </c>
      <c r="J153" s="61">
        <v>-73.745480999999998</v>
      </c>
      <c r="K153" s="61">
        <v>143.76694309999999</v>
      </c>
      <c r="L153" s="61">
        <v>167.62799999999999</v>
      </c>
      <c r="M153" s="61" t="s">
        <v>617</v>
      </c>
      <c r="N153" s="149">
        <v>42</v>
      </c>
      <c r="O153" s="149">
        <v>43</v>
      </c>
      <c r="P153" s="61" t="s">
        <v>565</v>
      </c>
      <c r="Q153" s="61" t="s">
        <v>555</v>
      </c>
      <c r="R153" s="61">
        <v>40.6895314</v>
      </c>
      <c r="S153" s="61">
        <v>-74.174462399999996</v>
      </c>
      <c r="T153" s="61">
        <v>665.03599999999994</v>
      </c>
      <c r="U153" s="61" t="s">
        <v>617</v>
      </c>
      <c r="V153" s="61" t="s">
        <v>569</v>
      </c>
      <c r="W153" s="61" cm="1">
        <f t="array" ref="W153">getDistance(I153,J153,R153,S153)*SA!$B$12</f>
        <v>532.70082587978914</v>
      </c>
      <c r="Y153" s="137">
        <f>Transportation_LCIA!C$61*($W153^Transportation_LCIA!C$60)+Transportation_LCIA!C$62</f>
        <v>0.32157602463370416</v>
      </c>
      <c r="Z153" s="137">
        <f>Transportation_LCIA!D$61*($W153^Transportation_LCIA!D$60)+Transportation_LCIA!D$62</f>
        <v>3.4401752281760434</v>
      </c>
      <c r="AA153" s="137">
        <f>Transportation_LCIA!E$61*($W153^Transportation_LCIA!E$60)+Transportation_LCIA!E$62</f>
        <v>1.8141836341962153E-3</v>
      </c>
      <c r="AB153" s="137">
        <f>Transportation_LCIA!F$61*($W153^Transportation_LCIA!F$60)+Transportation_LCIA!F$62</f>
        <v>0.32157602463370416</v>
      </c>
      <c r="AC153" s="137">
        <f>Transportation_LCIA!G$61*($W153^Transportation_LCIA!G$60)+Transportation_LCIA!G$62</f>
        <v>8.0143040676289495E-2</v>
      </c>
      <c r="AD153" s="137">
        <f>Transportation_LCIA!H$61*($W153^Transportation_LCIA!H$60)+Transportation_LCIA!H$62</f>
        <v>4.2530075100495493E-4</v>
      </c>
      <c r="AE153" s="137">
        <f>Transportation_LCIA!I$61*($W153^Transportation_LCIA!I$60)+Transportation_LCIA!I$62</f>
        <v>9.7085338694522006E-6</v>
      </c>
      <c r="AF153" s="137">
        <f>Transportation_LCIA!J$61*($W153^Transportation_LCIA!J$60)+Transportation_LCIA!J$62</f>
        <v>1.4453429332288598E-2</v>
      </c>
      <c r="AG153" s="137">
        <f>Transportation_LCIA!K$61*($W153^Transportation_LCIA!K$60)+Transportation_LCIA!K$62</f>
        <v>1.7573386146825021E-2</v>
      </c>
      <c r="AH153" s="137">
        <f>Transportation_LCIA!L$61*($W153^Transportation_LCIA!L$60)+Transportation_LCIA!L$62</f>
        <v>3.7692466700234696E-4</v>
      </c>
      <c r="AI153" s="137">
        <f>Transportation_LCIA!M$61*($W153^Transportation_LCIA!M$60)+Transportation_LCIA!M$62</f>
        <v>3.2560324687594627E-4</v>
      </c>
      <c r="AJ153" s="137">
        <f>Transportation_LCIA!N$61*($W153^Transportation_LCIA!N$60)+Transportation_LCIA!N$62</f>
        <v>1.4886217992903391E-3</v>
      </c>
      <c r="AK153" s="137">
        <f>Transportation_LCIA!O$61*($W153^Transportation_LCIA!O$60)+Transportation_LCIA!O$62</f>
        <v>8.4836431112135085E-5</v>
      </c>
      <c r="AL153" s="137">
        <f>Transportation_LCIA!P$61*($W153^Transportation_LCIA!P$60)+Transportation_LCIA!P$62</f>
        <v>4.094417350036071E-8</v>
      </c>
      <c r="AM153" s="137">
        <f>Transportation_LCIA!Q$61*($W153^Transportation_LCIA!Q$60)+Transportation_LCIA!Q$62</f>
        <v>1.4864785211779024E-4</v>
      </c>
      <c r="AN153" s="137">
        <f>Transportation_LCIA!R$61*($W153^Transportation_LCIA!R$60)+Transportation_LCIA!R$62</f>
        <v>4.664545941177262E-4</v>
      </c>
      <c r="AO153" s="137">
        <f>Transportation_LCIA!S$61*($W153^Transportation_LCIA!S$60)+Transportation_LCIA!S$62</f>
        <v>6.8758863533443067E-6</v>
      </c>
      <c r="AP153" s="137">
        <f>Transportation_LCIA!T$61*($W153^Transportation_LCIA!T$60)+Transportation_LCIA!T$62</f>
        <v>6.8758863533443067E-6</v>
      </c>
      <c r="AQ153" s="137">
        <f>Transportation_LCIA!U$61*($W153^Transportation_LCIA!U$60)+Transportation_LCIA!U$62</f>
        <v>1.0106481886833722E-3</v>
      </c>
      <c r="AR153" s="137">
        <f>Transportation_LCIA!V$61*($W153^Transportation_LCIA!V$60)+Transportation_LCIA!V$62</f>
        <v>3.8699391574166265E-4</v>
      </c>
      <c r="AT153" s="137">
        <f>$W153*Y153+$L153*Summary_LCIA!H$32</f>
        <v>228.26380830551363</v>
      </c>
      <c r="AU153" s="137">
        <f>$W153*Z153+$L153*Summary_LCIA!Q$32</f>
        <v>2663.3570072034945</v>
      </c>
      <c r="AV153" s="137">
        <f>$W153*AA153+$L153*Summary_LCIA!R$32</f>
        <v>1.8490791170339209</v>
      </c>
      <c r="AW153" s="137">
        <f>$W153*AB153+$L153*Summary_LCIA!S$32</f>
        <v>227.52289254551363</v>
      </c>
      <c r="AX153" s="137">
        <f>$W153*AC153+$L153*Summary_LCIA!T$32</f>
        <v>61.11458115677695</v>
      </c>
      <c r="AY153" s="137">
        <f>$W153*AD153+$L153*Summary_LCIA!U$32</f>
        <v>3.2294460533076337</v>
      </c>
      <c r="AZ153" s="137">
        <f>$W153*AE153+$L153*Summary_LCIA!V$32</f>
        <v>1.317782491833909E-2</v>
      </c>
      <c r="BA153" s="137">
        <f>$W153*AF153+$L153*Summary_LCIA!W$32</f>
        <v>20.601848530105304</v>
      </c>
      <c r="BB153" s="137">
        <f>$W153*AG153+$L153*Summary_LCIA!X$32</f>
        <v>13.179923153918134</v>
      </c>
      <c r="BC153" s="137">
        <f>$W153*AH153+$L153*Summary_LCIA!Y$32</f>
        <v>2.8127675774066145</v>
      </c>
      <c r="BD153" s="137">
        <f>$W153*AI153+$L153*Summary_LCIA!Z$32</f>
        <v>0.18032337517195746</v>
      </c>
      <c r="BE153" s="137">
        <f>$W153*AJ153+$L153*Summary_LCIA!AA$32</f>
        <v>4.7081096299046203</v>
      </c>
      <c r="BF153" s="137">
        <f>$W153*AK153+$L153*Summary_LCIA!AB$32</f>
        <v>4.1534291074128205E-2</v>
      </c>
      <c r="BG153" s="137">
        <f>$W153*AL153+$L153*Summary_LCIA!AC$32</f>
        <v>3.0005322190607525E-5</v>
      </c>
      <c r="BH153" s="137">
        <f>$W153*AM153+$L153*Summary_LCIA!AD$32</f>
        <v>0.1480866467084036</v>
      </c>
      <c r="BI153" s="137">
        <f>$W153*AN153+$L153*Summary_LCIA!AE$32</f>
        <v>0.39702094716193459</v>
      </c>
      <c r="BJ153" s="137">
        <f>$W153*AO153+$L153*Summary_LCIA!AF$32</f>
        <v>0.14537885409908208</v>
      </c>
      <c r="BK153" s="137">
        <f>$W153*AP153+$L153*Summary_LCIA!AG$32</f>
        <v>1.2239476959082084E-2</v>
      </c>
      <c r="BL153" s="137">
        <f>$W153*AQ153+$L153*Summary_LCIA!AH$32</f>
        <v>1.9973401855855455</v>
      </c>
      <c r="BM153" s="137">
        <f>$W153*AR153+$L153*Summary_LCIA!AI$32</f>
        <v>0.36230584192603721</v>
      </c>
    </row>
    <row r="154" spans="1:65" x14ac:dyDescent="0.25">
      <c r="A154" s="149">
        <v>344</v>
      </c>
      <c r="B154" s="149">
        <v>43</v>
      </c>
      <c r="C154" s="61">
        <v>45.404172000000003</v>
      </c>
      <c r="D154" s="61">
        <v>-71.892910999999998</v>
      </c>
      <c r="E154" s="61" t="s">
        <v>458</v>
      </c>
      <c r="F154" s="149">
        <v>124</v>
      </c>
      <c r="G154" s="61" t="s">
        <v>654</v>
      </c>
      <c r="H154" s="61" t="s">
        <v>655</v>
      </c>
      <c r="I154" s="61">
        <v>45.465685000000001</v>
      </c>
      <c r="J154" s="61">
        <v>-73.745480999999998</v>
      </c>
      <c r="K154" s="61">
        <v>146.99097639999999</v>
      </c>
      <c r="L154" s="61">
        <v>171.571</v>
      </c>
      <c r="M154" s="61" t="s">
        <v>617</v>
      </c>
      <c r="N154" s="149">
        <v>42</v>
      </c>
      <c r="O154" s="149">
        <v>43</v>
      </c>
      <c r="P154" s="61" t="s">
        <v>565</v>
      </c>
      <c r="Q154" s="61" t="s">
        <v>555</v>
      </c>
      <c r="R154" s="61">
        <v>40.6895314</v>
      </c>
      <c r="S154" s="61">
        <v>-74.174462399999996</v>
      </c>
      <c r="T154" s="61">
        <v>665.50599999999997</v>
      </c>
      <c r="U154" s="61" t="s">
        <v>617</v>
      </c>
      <c r="V154" s="61" t="s">
        <v>569</v>
      </c>
      <c r="W154" s="61" cm="1">
        <f t="array" ref="W154">getDistance(I154,J154,R154,S154)*SA!$B$12</f>
        <v>532.70082587978914</v>
      </c>
      <c r="Y154" s="137">
        <f>Transportation_LCIA!C$61*($W154^Transportation_LCIA!C$60)+Transportation_LCIA!C$62</f>
        <v>0.32157602463370416</v>
      </c>
      <c r="Z154" s="137">
        <f>Transportation_LCIA!D$61*($W154^Transportation_LCIA!D$60)+Transportation_LCIA!D$62</f>
        <v>3.4401752281760434</v>
      </c>
      <c r="AA154" s="137">
        <f>Transportation_LCIA!E$61*($W154^Transportation_LCIA!E$60)+Transportation_LCIA!E$62</f>
        <v>1.8141836341962153E-3</v>
      </c>
      <c r="AB154" s="137">
        <f>Transportation_LCIA!F$61*($W154^Transportation_LCIA!F$60)+Transportation_LCIA!F$62</f>
        <v>0.32157602463370416</v>
      </c>
      <c r="AC154" s="137">
        <f>Transportation_LCIA!G$61*($W154^Transportation_LCIA!G$60)+Transportation_LCIA!G$62</f>
        <v>8.0143040676289495E-2</v>
      </c>
      <c r="AD154" s="137">
        <f>Transportation_LCIA!H$61*($W154^Transportation_LCIA!H$60)+Transportation_LCIA!H$62</f>
        <v>4.2530075100495493E-4</v>
      </c>
      <c r="AE154" s="137">
        <f>Transportation_LCIA!I$61*($W154^Transportation_LCIA!I$60)+Transportation_LCIA!I$62</f>
        <v>9.7085338694522006E-6</v>
      </c>
      <c r="AF154" s="137">
        <f>Transportation_LCIA!J$61*($W154^Transportation_LCIA!J$60)+Transportation_LCIA!J$62</f>
        <v>1.4453429332288598E-2</v>
      </c>
      <c r="AG154" s="137">
        <f>Transportation_LCIA!K$61*($W154^Transportation_LCIA!K$60)+Transportation_LCIA!K$62</f>
        <v>1.7573386146825021E-2</v>
      </c>
      <c r="AH154" s="137">
        <f>Transportation_LCIA!L$61*($W154^Transportation_LCIA!L$60)+Transportation_LCIA!L$62</f>
        <v>3.7692466700234696E-4</v>
      </c>
      <c r="AI154" s="137">
        <f>Transportation_LCIA!M$61*($W154^Transportation_LCIA!M$60)+Transportation_LCIA!M$62</f>
        <v>3.2560324687594627E-4</v>
      </c>
      <c r="AJ154" s="137">
        <f>Transportation_LCIA!N$61*($W154^Transportation_LCIA!N$60)+Transportation_LCIA!N$62</f>
        <v>1.4886217992903391E-3</v>
      </c>
      <c r="AK154" s="137">
        <f>Transportation_LCIA!O$61*($W154^Transportation_LCIA!O$60)+Transportation_LCIA!O$62</f>
        <v>8.4836431112135085E-5</v>
      </c>
      <c r="AL154" s="137">
        <f>Transportation_LCIA!P$61*($W154^Transportation_LCIA!P$60)+Transportation_LCIA!P$62</f>
        <v>4.094417350036071E-8</v>
      </c>
      <c r="AM154" s="137">
        <f>Transportation_LCIA!Q$61*($W154^Transportation_LCIA!Q$60)+Transportation_LCIA!Q$62</f>
        <v>1.4864785211779024E-4</v>
      </c>
      <c r="AN154" s="137">
        <f>Transportation_LCIA!R$61*($W154^Transportation_LCIA!R$60)+Transportation_LCIA!R$62</f>
        <v>4.664545941177262E-4</v>
      </c>
      <c r="AO154" s="137">
        <f>Transportation_LCIA!S$61*($W154^Transportation_LCIA!S$60)+Transportation_LCIA!S$62</f>
        <v>6.8758863533443067E-6</v>
      </c>
      <c r="AP154" s="137">
        <f>Transportation_LCIA!T$61*($W154^Transportation_LCIA!T$60)+Transportation_LCIA!T$62</f>
        <v>6.8758863533443067E-6</v>
      </c>
      <c r="AQ154" s="137">
        <f>Transportation_LCIA!U$61*($W154^Transportation_LCIA!U$60)+Transportation_LCIA!U$62</f>
        <v>1.0106481886833722E-3</v>
      </c>
      <c r="AR154" s="137">
        <f>Transportation_LCIA!V$61*($W154^Transportation_LCIA!V$60)+Transportation_LCIA!V$62</f>
        <v>3.8699391574166265E-4</v>
      </c>
      <c r="AT154" s="137">
        <f>$W154*Y154+$L154*Summary_LCIA!H$32</f>
        <v>229.60363970551364</v>
      </c>
      <c r="AU154" s="137">
        <f>$W154*Z154+$L154*Summary_LCIA!Q$32</f>
        <v>2682.8987140608133</v>
      </c>
      <c r="AV154" s="137">
        <f>$W154*AA154+$L154*Summary_LCIA!R$32</f>
        <v>1.8698413778339211</v>
      </c>
      <c r="AW154" s="137">
        <f>$W154*AB154+$L154*Summary_LCIA!S$32</f>
        <v>228.84529588551362</v>
      </c>
      <c r="AX154" s="137">
        <f>$W154*AC154+$L154*Summary_LCIA!T$32</f>
        <v>61.547916856776951</v>
      </c>
      <c r="AY154" s="137">
        <f>$W154*AD154+$L154*Summary_LCIA!U$32</f>
        <v>3.3000809553076338</v>
      </c>
      <c r="AZ154" s="137">
        <f>$W154*AE154+$L154*Summary_LCIA!V$32</f>
        <v>1.336614654133909E-2</v>
      </c>
      <c r="BA154" s="137">
        <f>$W154*AF154+$L154*Summary_LCIA!W$32</f>
        <v>20.905345183105304</v>
      </c>
      <c r="BB154" s="137">
        <f>$W154*AG154+$L154*Summary_LCIA!X$32</f>
        <v>13.269744693918135</v>
      </c>
      <c r="BC154" s="137">
        <f>$W154*AH154+$L154*Summary_LCIA!Y$32</f>
        <v>2.8742074034066145</v>
      </c>
      <c r="BD154" s="137">
        <f>$W154*AI154+$L154*Summary_LCIA!Z$32</f>
        <v>0.18048507365895744</v>
      </c>
      <c r="BE154" s="137">
        <f>$W154*AJ154+$L154*Summary_LCIA!AA$32</f>
        <v>4.8002023379046213</v>
      </c>
      <c r="BF154" s="137">
        <f>$W154*AK154+$L154*Summary_LCIA!AB$32</f>
        <v>4.1448242985128197E-2</v>
      </c>
      <c r="BG154" s="137">
        <f>$W154*AL154+$L154*Summary_LCIA!AC$32</f>
        <v>3.0198071802607525E-5</v>
      </c>
      <c r="BH154" s="137">
        <f>$W154*AM154+$L154*Summary_LCIA!AD$32</f>
        <v>0.14970737742840362</v>
      </c>
      <c r="BI154" s="137">
        <f>$W154*AN154+$L154*Summary_LCIA!AE$32</f>
        <v>0.40051495775193457</v>
      </c>
      <c r="BJ154" s="137">
        <f>$W154*AO154+$L154*Summary_LCIA!AF$32</f>
        <v>0.1487123451590821</v>
      </c>
      <c r="BK154" s="137">
        <f>$W154*AP154+$L154*Summary_LCIA!AG$32</f>
        <v>1.2441220554082085E-2</v>
      </c>
      <c r="BL154" s="137">
        <f>$W154*AQ154+$L154*Summary_LCIA!AH$32</f>
        <v>2.0316584803855453</v>
      </c>
      <c r="BM154" s="137">
        <f>$W154*AR154+$L154*Summary_LCIA!AI$32</f>
        <v>0.36597894357603722</v>
      </c>
    </row>
    <row r="155" spans="1:65" x14ac:dyDescent="0.25">
      <c r="A155" s="149">
        <v>287</v>
      </c>
      <c r="B155" s="149">
        <v>43</v>
      </c>
      <c r="C155" s="61">
        <v>45.421529999999997</v>
      </c>
      <c r="D155" s="61">
        <v>-75.697192999999999</v>
      </c>
      <c r="E155" s="61" t="s">
        <v>456</v>
      </c>
      <c r="F155" s="149">
        <v>127</v>
      </c>
      <c r="G155" s="61" t="s">
        <v>635</v>
      </c>
      <c r="H155" s="61" t="s">
        <v>636</v>
      </c>
      <c r="I155" s="61">
        <v>45.319212</v>
      </c>
      <c r="J155" s="61">
        <v>-75.669165000000007</v>
      </c>
      <c r="K155" s="61">
        <v>15.884900010000001</v>
      </c>
      <c r="L155" s="61">
        <v>14.090999999999999</v>
      </c>
      <c r="M155" s="61" t="s">
        <v>617</v>
      </c>
      <c r="N155" s="149">
        <v>42</v>
      </c>
      <c r="O155" s="149">
        <v>43</v>
      </c>
      <c r="P155" s="61" t="s">
        <v>565</v>
      </c>
      <c r="Q155" s="61" t="s">
        <v>555</v>
      </c>
      <c r="R155" s="61">
        <v>40.6895314</v>
      </c>
      <c r="S155" s="61">
        <v>-74.174462399999996</v>
      </c>
      <c r="T155" s="61">
        <v>704.39099999999996</v>
      </c>
      <c r="U155" s="61" t="s">
        <v>617</v>
      </c>
      <c r="V155" s="61" t="s">
        <v>569</v>
      </c>
      <c r="W155" s="61" cm="1">
        <f t="array" ref="W155">getDistance(I155,J155,R155,S155)*SA!$B$12</f>
        <v>529.43931884690528</v>
      </c>
      <c r="Y155" s="137">
        <f>Transportation_LCIA!C$61*($W155^Transportation_LCIA!C$60)+Transportation_LCIA!C$62</f>
        <v>0.32265907727188337</v>
      </c>
      <c r="Z155" s="137">
        <f>Transportation_LCIA!D$61*($W155^Transportation_LCIA!D$60)+Transportation_LCIA!D$62</f>
        <v>3.4531640207907941</v>
      </c>
      <c r="AA155" s="137">
        <f>Transportation_LCIA!E$61*($W155^Transportation_LCIA!E$60)+Transportation_LCIA!E$62</f>
        <v>1.8227893020850289E-3</v>
      </c>
      <c r="AB155" s="137">
        <f>Transportation_LCIA!F$61*($W155^Transportation_LCIA!F$60)+Transportation_LCIA!F$62</f>
        <v>0.32265907727188337</v>
      </c>
      <c r="AC155" s="137">
        <f>Transportation_LCIA!G$61*($W155^Transportation_LCIA!G$60)+Transportation_LCIA!G$62</f>
        <v>8.0443068469756601E-2</v>
      </c>
      <c r="AD155" s="137">
        <f>Transportation_LCIA!H$61*($W155^Transportation_LCIA!H$60)+Transportation_LCIA!H$62</f>
        <v>4.2722183275246164E-4</v>
      </c>
      <c r="AE155" s="137">
        <f>Transportation_LCIA!I$61*($W155^Transportation_LCIA!I$60)+Transportation_LCIA!I$62</f>
        <v>9.7580882669063746E-6</v>
      </c>
      <c r="AF155" s="137">
        <f>Transportation_LCIA!J$61*($W155^Transportation_LCIA!J$60)+Transportation_LCIA!J$62</f>
        <v>1.452841427349187E-2</v>
      </c>
      <c r="AG155" s="137">
        <f>Transportation_LCIA!K$61*($W155^Transportation_LCIA!K$60)+Transportation_LCIA!K$62</f>
        <v>1.7644394367690802E-2</v>
      </c>
      <c r="AH155" s="137">
        <f>Transportation_LCIA!L$61*($W155^Transportation_LCIA!L$60)+Transportation_LCIA!L$62</f>
        <v>3.7870309841583639E-4</v>
      </c>
      <c r="AI155" s="137">
        <f>Transportation_LCIA!M$61*($W155^Transportation_LCIA!M$60)+Transportation_LCIA!M$62</f>
        <v>3.2666434947107312E-4</v>
      </c>
      <c r="AJ155" s="137">
        <f>Transportation_LCIA!N$61*($W155^Transportation_LCIA!N$60)+Transportation_LCIA!N$62</f>
        <v>1.4950682872387905E-3</v>
      </c>
      <c r="AK155" s="137">
        <f>Transportation_LCIA!O$61*($W155^Transportation_LCIA!O$60)+Transportation_LCIA!O$62</f>
        <v>8.5155488326102327E-5</v>
      </c>
      <c r="AL155" s="137">
        <f>Transportation_LCIA!P$61*($W155^Transportation_LCIA!P$60)+Transportation_LCIA!P$62</f>
        <v>4.1097261881908054E-8</v>
      </c>
      <c r="AM155" s="137">
        <f>Transportation_LCIA!Q$61*($W155^Transportation_LCIA!Q$60)+Transportation_LCIA!Q$62</f>
        <v>1.4934582530155702E-4</v>
      </c>
      <c r="AN155" s="137">
        <f>Transportation_LCIA!R$61*($W155^Transportation_LCIA!R$60)+Transportation_LCIA!R$62</f>
        <v>4.6883227487666394E-4</v>
      </c>
      <c r="AO155" s="137">
        <f>Transportation_LCIA!S$61*($W155^Transportation_LCIA!S$60)+Transportation_LCIA!S$62</f>
        <v>6.909593862511241E-6</v>
      </c>
      <c r="AP155" s="137">
        <f>Transportation_LCIA!T$61*($W155^Transportation_LCIA!T$60)+Transportation_LCIA!T$62</f>
        <v>6.909593862511241E-6</v>
      </c>
      <c r="AQ155" s="137">
        <f>Transportation_LCIA!U$61*($W155^Transportation_LCIA!U$60)+Transportation_LCIA!U$62</f>
        <v>1.0158866596849867E-3</v>
      </c>
      <c r="AR155" s="137">
        <f>Transportation_LCIA!V$61*($W155^Transportation_LCIA!V$60)+Transportation_LCIA!V$62</f>
        <v>3.8881846527034328E-4</v>
      </c>
      <c r="AT155" s="137">
        <f>$W155*Y155+$L155*Summary_LCIA!H$32</f>
        <v>175.61652389059691</v>
      </c>
      <c r="AU155" s="137">
        <f>$W155*Z155+$L155*Summary_LCIA!Q$32</f>
        <v>1898.0765136855216</v>
      </c>
      <c r="AV155" s="137">
        <f>$W155*AA155+$L155*Summary_LCIA!R$32</f>
        <v>1.0392538960973234</v>
      </c>
      <c r="AW155" s="137">
        <f>$W155*AB155+$L155*Summary_LCIA!S$32</f>
        <v>175.55424167059692</v>
      </c>
      <c r="AX155" s="137">
        <f>$W155*AC155+$L155*Summary_LCIA!T$32</f>
        <v>44.138324276582892</v>
      </c>
      <c r="AY155" s="137">
        <f>$W155*AD155+$L155*Summary_LCIA!U$32</f>
        <v>0.47861421012898975</v>
      </c>
      <c r="AZ155" s="137">
        <f>$W155*AE155+$L155*Summary_LCIA!V$32</f>
        <v>5.8393158562788901E-3</v>
      </c>
      <c r="BA155" s="137">
        <f>$W155*AF155+$L155*Summary_LCIA!W$32</f>
        <v>8.7765121178831915</v>
      </c>
      <c r="BB155" s="137">
        <f>$W155*AG155+$L155*Summary_LCIA!X$32</f>
        <v>9.6626291154963901</v>
      </c>
      <c r="BC155" s="137">
        <f>$W155*AH155+$L155*Summary_LCIA!Y$32</f>
        <v>0.420066272470493</v>
      </c>
      <c r="BD155" s="137">
        <f>$W155*AI155+$L155*Summary_LCIA!Z$32</f>
        <v>0.17352680849453236</v>
      </c>
      <c r="BE155" s="137">
        <f>$W155*AJ155+$L155*Summary_LCIA!AA$32</f>
        <v>1.1206573316253146</v>
      </c>
      <c r="BF155" s="137">
        <f>$W155*AK155+$L155*Summary_LCIA!AB$32</f>
        <v>4.4777155842447208E-2</v>
      </c>
      <c r="BG155" s="137">
        <f>$W155*AL155+$L155*Summary_LCIA!AC$32</f>
        <v>2.2447330781230284E-5</v>
      </c>
      <c r="BH155" s="137">
        <f>$W155*AM155+$L155*Summary_LCIA!AD$32</f>
        <v>8.4861516660285255E-2</v>
      </c>
      <c r="BI155" s="137">
        <f>$W155*AN155+$L155*Summary_LCIA!AE$32</f>
        <v>0.26070469809414604</v>
      </c>
      <c r="BJ155" s="137">
        <f>$W155*AO155+$L155*Summary_LCIA!AF$32</f>
        <v>1.5571023888076709E-2</v>
      </c>
      <c r="BK155" s="137">
        <f>$W155*AP155+$L155*Summary_LCIA!AG$32</f>
        <v>4.3791766830767092E-3</v>
      </c>
      <c r="BL155" s="137">
        <f>$W155*AQ155+$L155*Summary_LCIA!AH$32</f>
        <v>0.6604927687292772</v>
      </c>
      <c r="BM155" s="137">
        <f>$W155*AR155+$L155*Summary_LCIA!AI$32</f>
        <v>0.21898225445782965</v>
      </c>
    </row>
    <row r="156" spans="1:65" x14ac:dyDescent="0.25">
      <c r="A156" s="149">
        <v>288</v>
      </c>
      <c r="B156" s="149">
        <v>43</v>
      </c>
      <c r="C156" s="61">
        <v>45.421529999999997</v>
      </c>
      <c r="D156" s="61">
        <v>-75.697192999999999</v>
      </c>
      <c r="E156" s="61" t="s">
        <v>456</v>
      </c>
      <c r="F156" s="149">
        <v>127</v>
      </c>
      <c r="G156" s="61" t="s">
        <v>635</v>
      </c>
      <c r="H156" s="61" t="s">
        <v>636</v>
      </c>
      <c r="I156" s="61">
        <v>45.319212</v>
      </c>
      <c r="J156" s="61">
        <v>-75.669165000000007</v>
      </c>
      <c r="K156" s="61">
        <v>15.884900010000001</v>
      </c>
      <c r="L156" s="61">
        <v>14.090999999999999</v>
      </c>
      <c r="M156" s="61" t="s">
        <v>617</v>
      </c>
      <c r="N156" s="149">
        <v>42</v>
      </c>
      <c r="O156" s="149">
        <v>43</v>
      </c>
      <c r="P156" s="61" t="s">
        <v>565</v>
      </c>
      <c r="Q156" s="61" t="s">
        <v>555</v>
      </c>
      <c r="R156" s="61">
        <v>40.6895314</v>
      </c>
      <c r="S156" s="61">
        <v>-74.174462399999996</v>
      </c>
      <c r="T156" s="61">
        <v>704.39099999999996</v>
      </c>
      <c r="U156" s="61" t="s">
        <v>617</v>
      </c>
      <c r="V156" s="61" t="s">
        <v>569</v>
      </c>
      <c r="W156" s="61" cm="1">
        <f t="array" ref="W156">getDistance(I156,J156,R156,S156)*SA!$B$12</f>
        <v>529.43931884690528</v>
      </c>
      <c r="Y156" s="137">
        <f>Transportation_LCIA!C$61*($W156^Transportation_LCIA!C$60)+Transportation_LCIA!C$62</f>
        <v>0.32265907727188337</v>
      </c>
      <c r="Z156" s="137">
        <f>Transportation_LCIA!D$61*($W156^Transportation_LCIA!D$60)+Transportation_LCIA!D$62</f>
        <v>3.4531640207907941</v>
      </c>
      <c r="AA156" s="137">
        <f>Transportation_LCIA!E$61*($W156^Transportation_LCIA!E$60)+Transportation_LCIA!E$62</f>
        <v>1.8227893020850289E-3</v>
      </c>
      <c r="AB156" s="137">
        <f>Transportation_LCIA!F$61*($W156^Transportation_LCIA!F$60)+Transportation_LCIA!F$62</f>
        <v>0.32265907727188337</v>
      </c>
      <c r="AC156" s="137">
        <f>Transportation_LCIA!G$61*($W156^Transportation_LCIA!G$60)+Transportation_LCIA!G$62</f>
        <v>8.0443068469756601E-2</v>
      </c>
      <c r="AD156" s="137">
        <f>Transportation_LCIA!H$61*($W156^Transportation_LCIA!H$60)+Transportation_LCIA!H$62</f>
        <v>4.2722183275246164E-4</v>
      </c>
      <c r="AE156" s="137">
        <f>Transportation_LCIA!I$61*($W156^Transportation_LCIA!I$60)+Transportation_LCIA!I$62</f>
        <v>9.7580882669063746E-6</v>
      </c>
      <c r="AF156" s="137">
        <f>Transportation_LCIA!J$61*($W156^Transportation_LCIA!J$60)+Transportation_LCIA!J$62</f>
        <v>1.452841427349187E-2</v>
      </c>
      <c r="AG156" s="137">
        <f>Transportation_LCIA!K$61*($W156^Transportation_LCIA!K$60)+Transportation_LCIA!K$62</f>
        <v>1.7644394367690802E-2</v>
      </c>
      <c r="AH156" s="137">
        <f>Transportation_LCIA!L$61*($W156^Transportation_LCIA!L$60)+Transportation_LCIA!L$62</f>
        <v>3.7870309841583639E-4</v>
      </c>
      <c r="AI156" s="137">
        <f>Transportation_LCIA!M$61*($W156^Transportation_LCIA!M$60)+Transportation_LCIA!M$62</f>
        <v>3.2666434947107312E-4</v>
      </c>
      <c r="AJ156" s="137">
        <f>Transportation_LCIA!N$61*($W156^Transportation_LCIA!N$60)+Transportation_LCIA!N$62</f>
        <v>1.4950682872387905E-3</v>
      </c>
      <c r="AK156" s="137">
        <f>Transportation_LCIA!O$61*($W156^Transportation_LCIA!O$60)+Transportation_LCIA!O$62</f>
        <v>8.5155488326102327E-5</v>
      </c>
      <c r="AL156" s="137">
        <f>Transportation_LCIA!P$61*($W156^Transportation_LCIA!P$60)+Transportation_LCIA!P$62</f>
        <v>4.1097261881908054E-8</v>
      </c>
      <c r="AM156" s="137">
        <f>Transportation_LCIA!Q$61*($W156^Transportation_LCIA!Q$60)+Transportation_LCIA!Q$62</f>
        <v>1.4934582530155702E-4</v>
      </c>
      <c r="AN156" s="137">
        <f>Transportation_LCIA!R$61*($W156^Transportation_LCIA!R$60)+Transportation_LCIA!R$62</f>
        <v>4.6883227487666394E-4</v>
      </c>
      <c r="AO156" s="137">
        <f>Transportation_LCIA!S$61*($W156^Transportation_LCIA!S$60)+Transportation_LCIA!S$62</f>
        <v>6.909593862511241E-6</v>
      </c>
      <c r="AP156" s="137">
        <f>Transportation_LCIA!T$61*($W156^Transportation_LCIA!T$60)+Transportation_LCIA!T$62</f>
        <v>6.909593862511241E-6</v>
      </c>
      <c r="AQ156" s="137">
        <f>Transportation_LCIA!U$61*($W156^Transportation_LCIA!U$60)+Transportation_LCIA!U$62</f>
        <v>1.0158866596849867E-3</v>
      </c>
      <c r="AR156" s="137">
        <f>Transportation_LCIA!V$61*($W156^Transportation_LCIA!V$60)+Transportation_LCIA!V$62</f>
        <v>3.8881846527034328E-4</v>
      </c>
      <c r="AT156" s="137">
        <f>$W156*Y156+$L156*Summary_LCIA!H$32</f>
        <v>175.61652389059691</v>
      </c>
      <c r="AU156" s="137">
        <f>$W156*Z156+$L156*Summary_LCIA!Q$32</f>
        <v>1898.0765136855216</v>
      </c>
      <c r="AV156" s="137">
        <f>$W156*AA156+$L156*Summary_LCIA!R$32</f>
        <v>1.0392538960973234</v>
      </c>
      <c r="AW156" s="137">
        <f>$W156*AB156+$L156*Summary_LCIA!S$32</f>
        <v>175.55424167059692</v>
      </c>
      <c r="AX156" s="137">
        <f>$W156*AC156+$L156*Summary_LCIA!T$32</f>
        <v>44.138324276582892</v>
      </c>
      <c r="AY156" s="137">
        <f>$W156*AD156+$L156*Summary_LCIA!U$32</f>
        <v>0.47861421012898975</v>
      </c>
      <c r="AZ156" s="137">
        <f>$W156*AE156+$L156*Summary_LCIA!V$32</f>
        <v>5.8393158562788901E-3</v>
      </c>
      <c r="BA156" s="137">
        <f>$W156*AF156+$L156*Summary_LCIA!W$32</f>
        <v>8.7765121178831915</v>
      </c>
      <c r="BB156" s="137">
        <f>$W156*AG156+$L156*Summary_LCIA!X$32</f>
        <v>9.6626291154963901</v>
      </c>
      <c r="BC156" s="137">
        <f>$W156*AH156+$L156*Summary_LCIA!Y$32</f>
        <v>0.420066272470493</v>
      </c>
      <c r="BD156" s="137">
        <f>$W156*AI156+$L156*Summary_LCIA!Z$32</f>
        <v>0.17352680849453236</v>
      </c>
      <c r="BE156" s="137">
        <f>$W156*AJ156+$L156*Summary_LCIA!AA$32</f>
        <v>1.1206573316253146</v>
      </c>
      <c r="BF156" s="137">
        <f>$W156*AK156+$L156*Summary_LCIA!AB$32</f>
        <v>4.4777155842447208E-2</v>
      </c>
      <c r="BG156" s="137">
        <f>$W156*AL156+$L156*Summary_LCIA!AC$32</f>
        <v>2.2447330781230284E-5</v>
      </c>
      <c r="BH156" s="137">
        <f>$W156*AM156+$L156*Summary_LCIA!AD$32</f>
        <v>8.4861516660285255E-2</v>
      </c>
      <c r="BI156" s="137">
        <f>$W156*AN156+$L156*Summary_LCIA!AE$32</f>
        <v>0.26070469809414604</v>
      </c>
      <c r="BJ156" s="137">
        <f>$W156*AO156+$L156*Summary_LCIA!AF$32</f>
        <v>1.5571023888076709E-2</v>
      </c>
      <c r="BK156" s="137">
        <f>$W156*AP156+$L156*Summary_LCIA!AG$32</f>
        <v>4.3791766830767092E-3</v>
      </c>
      <c r="BL156" s="137">
        <f>$W156*AQ156+$L156*Summary_LCIA!AH$32</f>
        <v>0.6604927687292772</v>
      </c>
      <c r="BM156" s="137">
        <f>$W156*AR156+$L156*Summary_LCIA!AI$32</f>
        <v>0.21898225445782965</v>
      </c>
    </row>
    <row r="157" spans="1:65" x14ac:dyDescent="0.25">
      <c r="A157" s="149">
        <v>20</v>
      </c>
      <c r="B157" s="149">
        <v>43</v>
      </c>
      <c r="C157" s="61">
        <v>45.421379000000002</v>
      </c>
      <c r="D157" s="61">
        <v>-75.696757000000005</v>
      </c>
      <c r="E157" s="61" t="s">
        <v>456</v>
      </c>
      <c r="F157" s="149">
        <v>127</v>
      </c>
      <c r="G157" s="61" t="s">
        <v>635</v>
      </c>
      <c r="H157" s="61" t="s">
        <v>636</v>
      </c>
      <c r="I157" s="61">
        <v>45.319212</v>
      </c>
      <c r="J157" s="61">
        <v>-75.669165000000007</v>
      </c>
      <c r="K157" s="61">
        <v>15.86100968</v>
      </c>
      <c r="L157" s="61">
        <v>14.111000000000001</v>
      </c>
      <c r="M157" s="61" t="s">
        <v>617</v>
      </c>
      <c r="N157" s="149">
        <v>42</v>
      </c>
      <c r="O157" s="149">
        <v>43</v>
      </c>
      <c r="P157" s="61" t="s">
        <v>565</v>
      </c>
      <c r="Q157" s="61" t="s">
        <v>555</v>
      </c>
      <c r="R157" s="61">
        <v>40.6895314</v>
      </c>
      <c r="S157" s="61">
        <v>-74.174462399999996</v>
      </c>
      <c r="T157" s="61">
        <v>704.41099999999994</v>
      </c>
      <c r="U157" s="61" t="s">
        <v>617</v>
      </c>
      <c r="V157" s="61" t="s">
        <v>569</v>
      </c>
      <c r="W157" s="61" cm="1">
        <f t="array" ref="W157">getDistance(I157,J157,R157,S157)*SA!$B$12</f>
        <v>529.43931884690528</v>
      </c>
      <c r="Y157" s="137">
        <f>Transportation_LCIA!C$61*($W157^Transportation_LCIA!C$60)+Transportation_LCIA!C$62</f>
        <v>0.32265907727188337</v>
      </c>
      <c r="Z157" s="137">
        <f>Transportation_LCIA!D$61*($W157^Transportation_LCIA!D$60)+Transportation_LCIA!D$62</f>
        <v>3.4531640207907941</v>
      </c>
      <c r="AA157" s="137">
        <f>Transportation_LCIA!E$61*($W157^Transportation_LCIA!E$60)+Transportation_LCIA!E$62</f>
        <v>1.8227893020850289E-3</v>
      </c>
      <c r="AB157" s="137">
        <f>Transportation_LCIA!F$61*($W157^Transportation_LCIA!F$60)+Transportation_LCIA!F$62</f>
        <v>0.32265907727188337</v>
      </c>
      <c r="AC157" s="137">
        <f>Transportation_LCIA!G$61*($W157^Transportation_LCIA!G$60)+Transportation_LCIA!G$62</f>
        <v>8.0443068469756601E-2</v>
      </c>
      <c r="AD157" s="137">
        <f>Transportation_LCIA!H$61*($W157^Transportation_LCIA!H$60)+Transportation_LCIA!H$62</f>
        <v>4.2722183275246164E-4</v>
      </c>
      <c r="AE157" s="137">
        <f>Transportation_LCIA!I$61*($W157^Transportation_LCIA!I$60)+Transportation_LCIA!I$62</f>
        <v>9.7580882669063746E-6</v>
      </c>
      <c r="AF157" s="137">
        <f>Transportation_LCIA!J$61*($W157^Transportation_LCIA!J$60)+Transportation_LCIA!J$62</f>
        <v>1.452841427349187E-2</v>
      </c>
      <c r="AG157" s="137">
        <f>Transportation_LCIA!K$61*($W157^Transportation_LCIA!K$60)+Transportation_LCIA!K$62</f>
        <v>1.7644394367690802E-2</v>
      </c>
      <c r="AH157" s="137">
        <f>Transportation_LCIA!L$61*($W157^Transportation_LCIA!L$60)+Transportation_LCIA!L$62</f>
        <v>3.7870309841583639E-4</v>
      </c>
      <c r="AI157" s="137">
        <f>Transportation_LCIA!M$61*($W157^Transportation_LCIA!M$60)+Transportation_LCIA!M$62</f>
        <v>3.2666434947107312E-4</v>
      </c>
      <c r="AJ157" s="137">
        <f>Transportation_LCIA!N$61*($W157^Transportation_LCIA!N$60)+Transportation_LCIA!N$62</f>
        <v>1.4950682872387905E-3</v>
      </c>
      <c r="AK157" s="137">
        <f>Transportation_LCIA!O$61*($W157^Transportation_LCIA!O$60)+Transportation_LCIA!O$62</f>
        <v>8.5155488326102327E-5</v>
      </c>
      <c r="AL157" s="137">
        <f>Transportation_LCIA!P$61*($W157^Transportation_LCIA!P$60)+Transportation_LCIA!P$62</f>
        <v>4.1097261881908054E-8</v>
      </c>
      <c r="AM157" s="137">
        <f>Transportation_LCIA!Q$61*($W157^Transportation_LCIA!Q$60)+Transportation_LCIA!Q$62</f>
        <v>1.4934582530155702E-4</v>
      </c>
      <c r="AN157" s="137">
        <f>Transportation_LCIA!R$61*($W157^Transportation_LCIA!R$60)+Transportation_LCIA!R$62</f>
        <v>4.6883227487666394E-4</v>
      </c>
      <c r="AO157" s="137">
        <f>Transportation_LCIA!S$61*($W157^Transportation_LCIA!S$60)+Transportation_LCIA!S$62</f>
        <v>6.909593862511241E-6</v>
      </c>
      <c r="AP157" s="137">
        <f>Transportation_LCIA!T$61*($W157^Transportation_LCIA!T$60)+Transportation_LCIA!T$62</f>
        <v>6.909593862511241E-6</v>
      </c>
      <c r="AQ157" s="137">
        <f>Transportation_LCIA!U$61*($W157^Transportation_LCIA!U$60)+Transportation_LCIA!U$62</f>
        <v>1.0158866596849867E-3</v>
      </c>
      <c r="AR157" s="137">
        <f>Transportation_LCIA!V$61*($W157^Transportation_LCIA!V$60)+Transportation_LCIA!V$62</f>
        <v>3.8881846527034328E-4</v>
      </c>
      <c r="AT157" s="137">
        <f>$W157*Y157+$L157*Summary_LCIA!H$32</f>
        <v>175.62331989059692</v>
      </c>
      <c r="AU157" s="137">
        <f>$W157*Z157+$L157*Summary_LCIA!Q$32</f>
        <v>1898.1756346941818</v>
      </c>
      <c r="AV157" s="137">
        <f>$W157*AA157+$L157*Summary_LCIA!R$32</f>
        <v>1.0393592080973235</v>
      </c>
      <c r="AW157" s="137">
        <f>$W157*AB157+$L157*Summary_LCIA!S$32</f>
        <v>175.56094927059692</v>
      </c>
      <c r="AX157" s="137">
        <f>$W157*AC157+$L157*Summary_LCIA!T$32</f>
        <v>44.140522276582892</v>
      </c>
      <c r="AY157" s="137">
        <f>$W157*AD157+$L157*Summary_LCIA!U$32</f>
        <v>0.47897249012898979</v>
      </c>
      <c r="AZ157" s="137">
        <f>$W157*AE157+$L157*Summary_LCIA!V$32</f>
        <v>5.8402710762788896E-3</v>
      </c>
      <c r="BA157" s="137">
        <f>$W157*AF157+$L157*Summary_LCIA!W$32</f>
        <v>8.7780515378831918</v>
      </c>
      <c r="BB157" s="137">
        <f>$W157*AG157+$L157*Summary_LCIA!X$32</f>
        <v>9.6630847154963906</v>
      </c>
      <c r="BC157" s="137">
        <f>$W157*AH157+$L157*Summary_LCIA!Y$32</f>
        <v>0.42037791247049294</v>
      </c>
      <c r="BD157" s="137">
        <f>$W157*AI157+$L157*Summary_LCIA!Z$32</f>
        <v>0.17352762867453236</v>
      </c>
      <c r="BE157" s="137">
        <f>$W157*AJ157+$L157*Summary_LCIA!AA$32</f>
        <v>1.1211244516253145</v>
      </c>
      <c r="BF157" s="137">
        <f>$W157*AK157+$L157*Summary_LCIA!AB$32</f>
        <v>4.4776719382447205E-2</v>
      </c>
      <c r="BG157" s="137">
        <f>$W157*AL157+$L157*Summary_LCIA!AC$32</f>
        <v>2.2448308461230285E-5</v>
      </c>
      <c r="BH157" s="137">
        <f>$W157*AM157+$L157*Summary_LCIA!AD$32</f>
        <v>8.4869737460285255E-2</v>
      </c>
      <c r="BI157" s="137">
        <f>$W157*AN157+$L157*Summary_LCIA!AE$32</f>
        <v>0.26072242069414603</v>
      </c>
      <c r="BJ157" s="137">
        <f>$W157*AO157+$L157*Summary_LCIA!AF$32</f>
        <v>1.5587932288076711E-2</v>
      </c>
      <c r="BK157" s="137">
        <f>$W157*AP157+$L157*Summary_LCIA!AG$32</f>
        <v>4.380199983076709E-3</v>
      </c>
      <c r="BL157" s="137">
        <f>$W157*AQ157+$L157*Summary_LCIA!AH$32</f>
        <v>0.66066684072927728</v>
      </c>
      <c r="BM157" s="137">
        <f>$W157*AR157+$L157*Summary_LCIA!AI$32</f>
        <v>0.21900088545782964</v>
      </c>
    </row>
    <row r="158" spans="1:65" x14ac:dyDescent="0.25">
      <c r="A158" s="149">
        <v>193</v>
      </c>
      <c r="B158" s="149">
        <v>43</v>
      </c>
      <c r="C158" s="61">
        <v>41.09545</v>
      </c>
      <c r="D158" s="61">
        <v>-81.588757999999999</v>
      </c>
      <c r="E158" s="61" t="s">
        <v>265</v>
      </c>
      <c r="F158" s="149">
        <v>105</v>
      </c>
      <c r="G158" s="61" t="s">
        <v>276</v>
      </c>
      <c r="H158" s="61" t="s">
        <v>660</v>
      </c>
      <c r="I158" s="61">
        <v>41.405799000000002</v>
      </c>
      <c r="J158" s="61">
        <v>-81.853866999999994</v>
      </c>
      <c r="K158" s="61">
        <v>53.820187070000003</v>
      </c>
      <c r="L158" s="61">
        <v>60.753</v>
      </c>
      <c r="M158" s="61" t="s">
        <v>617</v>
      </c>
      <c r="N158" s="149">
        <v>42</v>
      </c>
      <c r="O158" s="149">
        <v>43</v>
      </c>
      <c r="P158" s="61" t="s">
        <v>565</v>
      </c>
      <c r="Q158" s="61" t="s">
        <v>555</v>
      </c>
      <c r="R158" s="61">
        <v>40.6895314</v>
      </c>
      <c r="S158" s="61">
        <v>-74.174462399999996</v>
      </c>
      <c r="T158" s="61">
        <v>706.29300000000001</v>
      </c>
      <c r="U158" s="61" t="s">
        <v>617</v>
      </c>
      <c r="V158" s="61" t="s">
        <v>569</v>
      </c>
      <c r="W158" s="61" cm="1">
        <f t="array" ref="W158">getDistance(I158,J158,R158,S158)*SA!$B$12</f>
        <v>650.32281224577071</v>
      </c>
      <c r="Y158" s="137">
        <f>Transportation_LCIA!C$61*($W158^Transportation_LCIA!C$60)+Transportation_LCIA!C$62</f>
        <v>0.28926193585614235</v>
      </c>
      <c r="Z158" s="137">
        <f>Transportation_LCIA!D$61*($W158^Transportation_LCIA!D$60)+Transportation_LCIA!D$62</f>
        <v>3.0543184666713872</v>
      </c>
      <c r="AA158" s="137">
        <f>Transportation_LCIA!E$61*($W158^Transportation_LCIA!E$60)+Transportation_LCIA!E$62</f>
        <v>1.5588472808428558E-3</v>
      </c>
      <c r="AB158" s="137">
        <f>Transportation_LCIA!F$61*($W158^Transportation_LCIA!F$60)+Transportation_LCIA!F$62</f>
        <v>0.28926193585614235</v>
      </c>
      <c r="AC158" s="137">
        <f>Transportation_LCIA!G$61*($W158^Transportation_LCIA!G$60)+Transportation_LCIA!G$62</f>
        <v>7.1227890122263937E-2</v>
      </c>
      <c r="AD158" s="137">
        <f>Transportation_LCIA!H$61*($W158^Transportation_LCIA!H$60)+Transportation_LCIA!H$62</f>
        <v>3.6843784730727767E-4</v>
      </c>
      <c r="AE158" s="137">
        <f>Transportation_LCIA!I$61*($W158^Transportation_LCIA!I$60)+Transportation_LCIA!I$62</f>
        <v>8.2474194045387753E-6</v>
      </c>
      <c r="AF158" s="137">
        <f>Transportation_LCIA!J$61*($W158^Transportation_LCIA!J$60)+Transportation_LCIA!J$62</f>
        <v>1.2248072101653396E-2</v>
      </c>
      <c r="AG158" s="137">
        <f>Transportation_LCIA!K$61*($W158^Transportation_LCIA!K$60)+Transportation_LCIA!K$62</f>
        <v>1.5468035107432316E-2</v>
      </c>
      <c r="AH158" s="137">
        <f>Transportation_LCIA!L$61*($W158^Transportation_LCIA!L$60)+Transportation_LCIA!L$62</f>
        <v>3.2434215026431963E-4</v>
      </c>
      <c r="AI158" s="137">
        <f>Transportation_LCIA!M$61*($W158^Transportation_LCIA!M$60)+Transportation_LCIA!M$62</f>
        <v>2.9419934105983156E-4</v>
      </c>
      <c r="AJ158" s="137">
        <f>Transportation_LCIA!N$61*($W158^Transportation_LCIA!N$60)+Transportation_LCIA!N$62</f>
        <v>1.2977507511190462E-3</v>
      </c>
      <c r="AK158" s="137">
        <f>Transportation_LCIA!O$61*($W158^Transportation_LCIA!O$60)+Transportation_LCIA!O$62</f>
        <v>7.5356962392941776E-5</v>
      </c>
      <c r="AL158" s="137">
        <f>Transportation_LCIA!P$61*($W158^Transportation_LCIA!P$60)+Transportation_LCIA!P$62</f>
        <v>3.639431623567401E-8</v>
      </c>
      <c r="AM158" s="137">
        <f>Transportation_LCIA!Q$61*($W158^Transportation_LCIA!Q$60)+Transportation_LCIA!Q$62</f>
        <v>1.2802326924102615E-4</v>
      </c>
      <c r="AN158" s="137">
        <f>Transportation_LCIA!R$61*($W158^Transportation_LCIA!R$60)+Transportation_LCIA!R$62</f>
        <v>3.963550831373318E-4</v>
      </c>
      <c r="AO158" s="137">
        <f>Transportation_LCIA!S$61*($W158^Transportation_LCIA!S$60)+Transportation_LCIA!S$62</f>
        <v>5.8819391278292577E-6</v>
      </c>
      <c r="AP158" s="137">
        <f>Transportation_LCIA!T$61*($W158^Transportation_LCIA!T$60)+Transportation_LCIA!T$62</f>
        <v>5.8819391278292577E-6</v>
      </c>
      <c r="AQ158" s="137">
        <f>Transportation_LCIA!U$61*($W158^Transportation_LCIA!U$60)+Transportation_LCIA!U$62</f>
        <v>8.5631924931679412E-4</v>
      </c>
      <c r="AR158" s="137">
        <f>Transportation_LCIA!V$61*($W158^Transportation_LCIA!V$60)+Transportation_LCIA!V$62</f>
        <v>3.3312110446084397E-4</v>
      </c>
      <c r="AT158" s="137">
        <f>$W158*Y158+$L158*Summary_LCIA!H$32</f>
        <v>208.75750500162223</v>
      </c>
      <c r="AU158" s="137">
        <f>$W158*Z158+$L158*Summary_LCIA!Q$32</f>
        <v>2287.3879066959757</v>
      </c>
      <c r="AV158" s="137">
        <f>$W158*AA158+$L158*Summary_LCIA!R$32</f>
        <v>1.3336549443393986</v>
      </c>
      <c r="AW158" s="137">
        <f>$W158*AB158+$L158*Summary_LCIA!S$32</f>
        <v>208.48897674162222</v>
      </c>
      <c r="AX158" s="137">
        <f>$W158*AC158+$L158*Summary_LCIA!T$32</f>
        <v>52.997876514643437</v>
      </c>
      <c r="AY158" s="137">
        <f>$W158*AD158+$L158*Summary_LCIA!U$32</f>
        <v>1.3279327789986466</v>
      </c>
      <c r="AZ158" s="137">
        <f>$W158*AE158+$L158*Summary_LCIA!V$32</f>
        <v>8.2651090139299957E-3</v>
      </c>
      <c r="BA158" s="137">
        <f>$W158*AF158+$L158*Summary_LCIA!W$32</f>
        <v>12.641419856736203</v>
      </c>
      <c r="BB158" s="137">
        <f>$W158*AG158+$L158*Summary_LCIA!X$32</f>
        <v>11.443169430981696</v>
      </c>
      <c r="BC158" s="137">
        <f>$W158*AH158+$L158*Summary_LCIA!Y$32</f>
        <v>1.1575803452897326</v>
      </c>
      <c r="BD158" s="137">
        <f>$W158*AI158+$L158*Summary_LCIA!Z$32</f>
        <v>0.1938159626158823</v>
      </c>
      <c r="BE158" s="137">
        <f>$W158*AJ158+$L158*Summary_LCIA!AA$32</f>
        <v>2.262903986061799</v>
      </c>
      <c r="BF158" s="137">
        <f>$W158*AK158+$L158*Summary_LCIA!AB$32</f>
        <v>4.7680538986676679E-2</v>
      </c>
      <c r="BG158" s="137">
        <f>$W158*AL158+$L158*Summary_LCIA!AC$32</f>
        <v>2.6637903736145434E-5</v>
      </c>
      <c r="BH158" s="137">
        <f>$W158*AM158+$L158*Summary_LCIA!AD$32</f>
        <v>0.1082283656057216</v>
      </c>
      <c r="BI158" s="137">
        <f>$W158*AN158+$L158*Summary_LCIA!AE$32</f>
        <v>0.31159380820377586</v>
      </c>
      <c r="BJ158" s="137">
        <f>$W158*AO158+$L158*Summary_LCIA!AF$32</f>
        <v>5.5186960455068365E-2</v>
      </c>
      <c r="BK158" s="137">
        <f>$W158*AP158+$L158*Summary_LCIA!AG$32</f>
        <v>6.9335864400683588E-3</v>
      </c>
      <c r="BL158" s="137">
        <f>$W158*AQ158+$L158*Summary_LCIA!AH$32</f>
        <v>1.085653753195885</v>
      </c>
      <c r="BM158" s="137">
        <f>$W158*AR158+$L158*Summary_LCIA!AI$32</f>
        <v>0.2732307106213932</v>
      </c>
    </row>
    <row r="159" spans="1:65" x14ac:dyDescent="0.25">
      <c r="A159" s="149">
        <v>321</v>
      </c>
      <c r="B159" s="149">
        <v>15</v>
      </c>
      <c r="C159" s="61">
        <v>48.849919999999997</v>
      </c>
      <c r="D159" s="61">
        <v>2.637041</v>
      </c>
      <c r="E159" s="61" t="s">
        <v>468</v>
      </c>
      <c r="F159" s="149">
        <v>9</v>
      </c>
      <c r="G159" s="61" t="s">
        <v>570</v>
      </c>
      <c r="H159" s="61" t="s">
        <v>722</v>
      </c>
      <c r="I159" s="61">
        <v>49.009673999999997</v>
      </c>
      <c r="J159" s="61">
        <v>2.5479660000000002</v>
      </c>
      <c r="K159" s="61">
        <v>19.350996810000002</v>
      </c>
      <c r="L159" s="61">
        <v>41.466999999999999</v>
      </c>
      <c r="M159" s="61" t="s">
        <v>589</v>
      </c>
      <c r="N159" s="149">
        <v>14</v>
      </c>
      <c r="O159" s="149">
        <v>15</v>
      </c>
      <c r="P159" s="61" t="s">
        <v>567</v>
      </c>
      <c r="Q159" s="61" t="s">
        <v>566</v>
      </c>
      <c r="R159" s="61">
        <v>50.037932599999998</v>
      </c>
      <c r="S159" s="61">
        <v>8.5621518000000005</v>
      </c>
      <c r="T159" s="61">
        <v>708.65599999999995</v>
      </c>
      <c r="U159" s="61" t="s">
        <v>589</v>
      </c>
      <c r="V159" s="61" t="s">
        <v>569</v>
      </c>
      <c r="W159" s="61" cm="1">
        <f t="array" ref="W159">getDistance(I159,J159,R159,S159)*SA!$B$12</f>
        <v>450.10397451184883</v>
      </c>
      <c r="Y159" s="137">
        <f>Transportation_LCIA!C$61*($W159^Transportation_LCIA!C$60)+Transportation_LCIA!C$62</f>
        <v>0.35340802383957459</v>
      </c>
      <c r="Z159" s="137">
        <f>Transportation_LCIA!D$61*($W159^Transportation_LCIA!D$60)+Transportation_LCIA!D$62</f>
        <v>3.8233102927251448</v>
      </c>
      <c r="AA159" s="137">
        <f>Transportation_LCIA!E$61*($W159^Transportation_LCIA!E$60)+Transportation_LCIA!E$62</f>
        <v>2.0682861241773458E-3</v>
      </c>
      <c r="AB159" s="137">
        <f>Transportation_LCIA!F$61*($W159^Transportation_LCIA!F$60)+Transportation_LCIA!F$62</f>
        <v>0.35340802383957459</v>
      </c>
      <c r="AC159" s="137">
        <f>Transportation_LCIA!G$61*($W159^Transportation_LCIA!G$60)+Transportation_LCIA!G$62</f>
        <v>8.8991202582924381E-2</v>
      </c>
      <c r="AD159" s="137">
        <f>Transportation_LCIA!H$61*($W159^Transportation_LCIA!H$60)+Transportation_LCIA!H$62</f>
        <v>4.8213920111113174E-4</v>
      </c>
      <c r="AE159" s="137">
        <f>Transportation_LCIA!I$61*($W159^Transportation_LCIA!I$60)+Transportation_LCIA!I$62</f>
        <v>1.1179437957480255E-5</v>
      </c>
      <c r="AF159" s="137">
        <f>Transportation_LCIA!J$61*($W159^Transportation_LCIA!J$60)+Transportation_LCIA!J$62</f>
        <v>1.6683894555981089E-2</v>
      </c>
      <c r="AG159" s="137">
        <f>Transportation_LCIA!K$61*($W159^Transportation_LCIA!K$60)+Transportation_LCIA!K$62</f>
        <v>1.9671327663537286E-2</v>
      </c>
      <c r="AH159" s="137">
        <f>Transportation_LCIA!L$61*($W159^Transportation_LCIA!L$60)+Transportation_LCIA!L$62</f>
        <v>4.2959106897467309E-4</v>
      </c>
      <c r="AI159" s="137">
        <f>Transportation_LCIA!M$61*($W159^Transportation_LCIA!M$60)+Transportation_LCIA!M$62</f>
        <v>3.5700119597236054E-4</v>
      </c>
      <c r="AJ159" s="137">
        <f>Transportation_LCIA!N$61*($W159^Transportation_LCIA!N$60)+Transportation_LCIA!N$62</f>
        <v>1.6793030112815474E-3</v>
      </c>
      <c r="AK159" s="137">
        <f>Transportation_LCIA!O$61*($W159^Transportation_LCIA!O$60)+Transportation_LCIA!O$62</f>
        <v>9.424672688289836E-5</v>
      </c>
      <c r="AL159" s="137">
        <f>Transportation_LCIA!P$61*($W159^Transportation_LCIA!P$60)+Transportation_LCIA!P$62</f>
        <v>4.5458159392694596E-8</v>
      </c>
      <c r="AM159" s="137">
        <f>Transportation_LCIA!Q$61*($W159^Transportation_LCIA!Q$60)+Transportation_LCIA!Q$62</f>
        <v>1.693278636274998E-4</v>
      </c>
      <c r="AN159" s="137">
        <f>Transportation_LCIA!R$61*($W159^Transportation_LCIA!R$60)+Transportation_LCIA!R$62</f>
        <v>5.3703589944790683E-4</v>
      </c>
      <c r="AO159" s="137">
        <f>Transportation_LCIA!S$61*($W159^Transportation_LCIA!S$60)+Transportation_LCIA!S$62</f>
        <v>7.8763465849423122E-6</v>
      </c>
      <c r="AP159" s="137">
        <f>Transportation_LCIA!T$61*($W159^Transportation_LCIA!T$60)+Transportation_LCIA!T$62</f>
        <v>7.8763465849423122E-6</v>
      </c>
      <c r="AQ159" s="137">
        <f>Transportation_LCIA!U$61*($W159^Transportation_LCIA!U$60)+Transportation_LCIA!U$62</f>
        <v>1.1662474419532874E-3</v>
      </c>
      <c r="AR159" s="137">
        <f>Transportation_LCIA!V$61*($W159^Transportation_LCIA!V$60)+Transportation_LCIA!V$62</f>
        <v>4.4108749499364595E-4</v>
      </c>
      <c r="AT159" s="137">
        <f>$W159*Y159+$L159*Summary_LCIA!H$34</f>
        <v>162.15807190857075</v>
      </c>
      <c r="AU159" s="137">
        <f ca="1">$W159*Z159+$L159*Summary_LCIA!Q$34</f>
        <v>1772.102603648058</v>
      </c>
      <c r="AV159" s="137">
        <f ca="1">$W159*AA159+$L159*Summary_LCIA!R$34</f>
        <v>1.0369583371199307</v>
      </c>
      <c r="AW159" s="137">
        <f ca="1">$W159*AB159+$L159*Summary_LCIA!S$34</f>
        <v>162.11560970057076</v>
      </c>
      <c r="AX159" s="137">
        <f ca="1">$W159*AC159+$L159*Summary_LCIA!T$34</f>
        <v>40.915443960163373</v>
      </c>
      <c r="AY159" s="137">
        <f ca="1">$W159*AD159+$L159*Summary_LCIA!U$34</f>
        <v>0.29329546388808803</v>
      </c>
      <c r="AZ159" s="137">
        <f ca="1">$W159*AE159+$L159*Summary_LCIA!V$34</f>
        <v>8.3945928884704875E-3</v>
      </c>
      <c r="BA159" s="137">
        <f ca="1">$W159*AF159+$L159*Summary_LCIA!W$34</f>
        <v>9.6056026329836861</v>
      </c>
      <c r="BB159" s="137">
        <f ca="1">$W159*AG159+$L159*Summary_LCIA!X$34</f>
        <v>9.2946881732830136</v>
      </c>
      <c r="BC159" s="137">
        <f ca="1">$W159*AH159+$L159*Summary_LCIA!Y$34</f>
        <v>0.26441849876029411</v>
      </c>
      <c r="BD159" s="137">
        <f ca="1">$W159*AI159+$L159*Summary_LCIA!Z$34</f>
        <v>0.16186967404764291</v>
      </c>
      <c r="BE159" s="137">
        <f ca="1">$W159*AJ159+$L159*Summary_LCIA!AA$34</f>
        <v>0.84139079398754058</v>
      </c>
      <c r="BF159" s="137">
        <f ca="1">$W159*AK159+$L159*Summary_LCIA!AB$34</f>
        <v>4.2133090988425263E-2</v>
      </c>
      <c r="BG159" s="137">
        <f ca="1">$W159*AL159+$L159*Summary_LCIA!AC$34</f>
        <v>2.0613583857344969E-5</v>
      </c>
      <c r="BH159" s="137">
        <f ca="1">$W159*AM159+$L159*Summary_LCIA!AD$34</f>
        <v>8.0825445474337981E-2</v>
      </c>
      <c r="BI159" s="137">
        <f ca="1">$W159*AN159+$L159*Summary_LCIA!AE$34</f>
        <v>0.25415960477704846</v>
      </c>
      <c r="BJ159" s="137">
        <f ca="1">$W159*AO159+$L159*Summary_LCIA!AF$34</f>
        <v>1.3408515522515362E-2</v>
      </c>
      <c r="BK159" s="137">
        <f ca="1">$W159*AP159+$L159*Summary_LCIA!AG$34</f>
        <v>3.6587156952153622E-3</v>
      </c>
      <c r="BL159" s="137">
        <f ca="1">$W159*AQ159+$L159*Summary_LCIA!AH$34</f>
        <v>0.61940687498745128</v>
      </c>
      <c r="BM159" s="137">
        <f ca="1">$W159*AR159+$L159*Summary_LCIA!AI$34</f>
        <v>0.21017709485411526</v>
      </c>
    </row>
    <row r="160" spans="1:65" x14ac:dyDescent="0.25">
      <c r="A160" s="149">
        <v>79</v>
      </c>
      <c r="B160" s="149">
        <v>43</v>
      </c>
      <c r="C160" s="61">
        <v>41.615028000000002</v>
      </c>
      <c r="D160" s="61">
        <v>-81.473634000000004</v>
      </c>
      <c r="E160" s="61" t="s">
        <v>265</v>
      </c>
      <c r="F160" s="149">
        <v>105</v>
      </c>
      <c r="G160" s="61" t="s">
        <v>276</v>
      </c>
      <c r="H160" s="61" t="s">
        <v>660</v>
      </c>
      <c r="I160" s="61">
        <v>41.405799000000002</v>
      </c>
      <c r="J160" s="61">
        <v>-81.853866999999994</v>
      </c>
      <c r="K160" s="61">
        <v>48.412403679999997</v>
      </c>
      <c r="L160" s="61">
        <v>45.866999999999997</v>
      </c>
      <c r="M160" s="61" t="s">
        <v>617</v>
      </c>
      <c r="N160" s="149">
        <v>42</v>
      </c>
      <c r="O160" s="149">
        <v>43</v>
      </c>
      <c r="P160" s="61" t="s">
        <v>565</v>
      </c>
      <c r="Q160" s="61" t="s">
        <v>555</v>
      </c>
      <c r="R160" s="61">
        <v>40.6895314</v>
      </c>
      <c r="S160" s="61">
        <v>-74.174462399999996</v>
      </c>
      <c r="T160" s="61">
        <v>742.22900000000004</v>
      </c>
      <c r="U160" s="61" t="s">
        <v>617</v>
      </c>
      <c r="V160" s="61" t="s">
        <v>569</v>
      </c>
      <c r="W160" s="61" cm="1">
        <f t="array" ref="W160">getDistance(I160,J160,R160,S160)*SA!$B$12</f>
        <v>650.32281224577071</v>
      </c>
      <c r="Y160" s="137">
        <f>Transportation_LCIA!C$61*($W160^Transportation_LCIA!C$60)+Transportation_LCIA!C$62</f>
        <v>0.28926193585614235</v>
      </c>
      <c r="Z160" s="137">
        <f>Transportation_LCIA!D$61*($W160^Transportation_LCIA!D$60)+Transportation_LCIA!D$62</f>
        <v>3.0543184666713872</v>
      </c>
      <c r="AA160" s="137">
        <f>Transportation_LCIA!E$61*($W160^Transportation_LCIA!E$60)+Transportation_LCIA!E$62</f>
        <v>1.5588472808428558E-3</v>
      </c>
      <c r="AB160" s="137">
        <f>Transportation_LCIA!F$61*($W160^Transportation_LCIA!F$60)+Transportation_LCIA!F$62</f>
        <v>0.28926193585614235</v>
      </c>
      <c r="AC160" s="137">
        <f>Transportation_LCIA!G$61*($W160^Transportation_LCIA!G$60)+Transportation_LCIA!G$62</f>
        <v>7.1227890122263937E-2</v>
      </c>
      <c r="AD160" s="137">
        <f>Transportation_LCIA!H$61*($W160^Transportation_LCIA!H$60)+Transportation_LCIA!H$62</f>
        <v>3.6843784730727767E-4</v>
      </c>
      <c r="AE160" s="137">
        <f>Transportation_LCIA!I$61*($W160^Transportation_LCIA!I$60)+Transportation_LCIA!I$62</f>
        <v>8.2474194045387753E-6</v>
      </c>
      <c r="AF160" s="137">
        <f>Transportation_LCIA!J$61*($W160^Transportation_LCIA!J$60)+Transportation_LCIA!J$62</f>
        <v>1.2248072101653396E-2</v>
      </c>
      <c r="AG160" s="137">
        <f>Transportation_LCIA!K$61*($W160^Transportation_LCIA!K$60)+Transportation_LCIA!K$62</f>
        <v>1.5468035107432316E-2</v>
      </c>
      <c r="AH160" s="137">
        <f>Transportation_LCIA!L$61*($W160^Transportation_LCIA!L$60)+Transportation_LCIA!L$62</f>
        <v>3.2434215026431963E-4</v>
      </c>
      <c r="AI160" s="137">
        <f>Transportation_LCIA!M$61*($W160^Transportation_LCIA!M$60)+Transportation_LCIA!M$62</f>
        <v>2.9419934105983156E-4</v>
      </c>
      <c r="AJ160" s="137">
        <f>Transportation_LCIA!N$61*($W160^Transportation_LCIA!N$60)+Transportation_LCIA!N$62</f>
        <v>1.2977507511190462E-3</v>
      </c>
      <c r="AK160" s="137">
        <f>Transportation_LCIA!O$61*($W160^Transportation_LCIA!O$60)+Transportation_LCIA!O$62</f>
        <v>7.5356962392941776E-5</v>
      </c>
      <c r="AL160" s="137">
        <f>Transportation_LCIA!P$61*($W160^Transportation_LCIA!P$60)+Transportation_LCIA!P$62</f>
        <v>3.639431623567401E-8</v>
      </c>
      <c r="AM160" s="137">
        <f>Transportation_LCIA!Q$61*($W160^Transportation_LCIA!Q$60)+Transportation_LCIA!Q$62</f>
        <v>1.2802326924102615E-4</v>
      </c>
      <c r="AN160" s="137">
        <f>Transportation_LCIA!R$61*($W160^Transportation_LCIA!R$60)+Transportation_LCIA!R$62</f>
        <v>3.963550831373318E-4</v>
      </c>
      <c r="AO160" s="137">
        <f>Transportation_LCIA!S$61*($W160^Transportation_LCIA!S$60)+Transportation_LCIA!S$62</f>
        <v>5.8819391278292577E-6</v>
      </c>
      <c r="AP160" s="137">
        <f>Transportation_LCIA!T$61*($W160^Transportation_LCIA!T$60)+Transportation_LCIA!T$62</f>
        <v>5.8819391278292577E-6</v>
      </c>
      <c r="AQ160" s="137">
        <f>Transportation_LCIA!U$61*($W160^Transportation_LCIA!U$60)+Transportation_LCIA!U$62</f>
        <v>8.5631924931679412E-4</v>
      </c>
      <c r="AR160" s="137">
        <f>Transportation_LCIA!V$61*($W160^Transportation_LCIA!V$60)+Transportation_LCIA!V$62</f>
        <v>3.3312110446084397E-4</v>
      </c>
      <c r="AT160" s="137">
        <f>$W160*Y160+$L160*Summary_LCIA!H$32</f>
        <v>203.69924220162224</v>
      </c>
      <c r="AU160" s="137">
        <f>$W160*Z160+$L160*Summary_LCIA!Q$32</f>
        <v>2213.6121399503377</v>
      </c>
      <c r="AV160" s="137">
        <f>$W160*AA160+$L160*Summary_LCIA!R$32</f>
        <v>1.2552712227393985</v>
      </c>
      <c r="AW160" s="137">
        <f>$W160*AB160+$L160*Summary_LCIA!S$32</f>
        <v>203.49651006162225</v>
      </c>
      <c r="AX160" s="137">
        <f>$W160*AC160+$L160*Summary_LCIA!T$32</f>
        <v>51.361905114643434</v>
      </c>
      <c r="AY160" s="137">
        <f>$W160*AD160+$L160*Summary_LCIA!U$32</f>
        <v>1.0612649749986467</v>
      </c>
      <c r="AZ160" s="137">
        <f>$W160*AE160+$L160*Summary_LCIA!V$32</f>
        <v>7.5541387679299958E-3</v>
      </c>
      <c r="BA160" s="137">
        <f>$W160*AF160+$L160*Summary_LCIA!W$32</f>
        <v>11.495629550736204</v>
      </c>
      <c r="BB160" s="137">
        <f>$W160*AG160+$L160*Summary_LCIA!X$32</f>
        <v>11.104066350981697</v>
      </c>
      <c r="BC160" s="137">
        <f>$W160*AH160+$L160*Summary_LCIA!Y$32</f>
        <v>0.92562669328973257</v>
      </c>
      <c r="BD160" s="137">
        <f>$W160*AI160+$L160*Summary_LCIA!Z$32</f>
        <v>0.1932055026418823</v>
      </c>
      <c r="BE160" s="137">
        <f>$W160*AJ160+$L160*Summary_LCIA!AA$32</f>
        <v>1.9152265700617992</v>
      </c>
      <c r="BF160" s="137">
        <f>$W160*AK160+$L160*Summary_LCIA!AB$32</f>
        <v>4.8005396164676681E-2</v>
      </c>
      <c r="BG160" s="137">
        <f>$W160*AL160+$L160*Summary_LCIA!AC$32</f>
        <v>2.5910216512145432E-5</v>
      </c>
      <c r="BH160" s="137">
        <f>$W160*AM160+$L160*Summary_LCIA!AD$32</f>
        <v>0.1021096241657216</v>
      </c>
      <c r="BI160" s="137">
        <f>$W160*AN160+$L160*Summary_LCIA!AE$32</f>
        <v>0.29840287702377588</v>
      </c>
      <c r="BJ160" s="137">
        <f>$W160*AO160+$L160*Summary_LCIA!AF$32</f>
        <v>4.2602038335068357E-2</v>
      </c>
      <c r="BK160" s="137">
        <f>$W160*AP160+$L160*Summary_LCIA!AG$32</f>
        <v>6.1719442500683588E-3</v>
      </c>
      <c r="BL160" s="137">
        <f>$W160*AQ160+$L160*Summary_LCIA!AH$32</f>
        <v>0.95609196359588478</v>
      </c>
      <c r="BM160" s="137">
        <f>$W160*AR160+$L160*Summary_LCIA!AI$32</f>
        <v>0.25936365732139322</v>
      </c>
    </row>
    <row r="161" spans="1:65" x14ac:dyDescent="0.25">
      <c r="A161" s="149">
        <v>44</v>
      </c>
      <c r="B161" s="149">
        <v>43</v>
      </c>
      <c r="C161" s="61">
        <v>44.895567</v>
      </c>
      <c r="D161" s="61">
        <v>-68.673552999999998</v>
      </c>
      <c r="E161" s="61" t="s">
        <v>265</v>
      </c>
      <c r="F161" s="149">
        <v>133</v>
      </c>
      <c r="G161" s="61" t="s">
        <v>649</v>
      </c>
      <c r="H161" s="61" t="s">
        <v>650</v>
      </c>
      <c r="I161" s="61">
        <v>46.790733000000003</v>
      </c>
      <c r="J161" s="61">
        <v>-71.388600999999994</v>
      </c>
      <c r="K161" s="61">
        <v>330.02700069999997</v>
      </c>
      <c r="L161" s="61">
        <v>380.17899999999997</v>
      </c>
      <c r="M161" s="61" t="s">
        <v>617</v>
      </c>
      <c r="N161" s="149">
        <v>42</v>
      </c>
      <c r="O161" s="149">
        <v>43</v>
      </c>
      <c r="P161" s="61" t="s">
        <v>565</v>
      </c>
      <c r="Q161" s="61" t="s">
        <v>555</v>
      </c>
      <c r="R161" s="61">
        <v>40.6895314</v>
      </c>
      <c r="S161" s="61">
        <v>-74.174462399999996</v>
      </c>
      <c r="T161" s="61">
        <v>745.89700000000005</v>
      </c>
      <c r="U161" s="61" t="s">
        <v>617</v>
      </c>
      <c r="V161" s="61" t="s">
        <v>569</v>
      </c>
      <c r="W161" s="61" cm="1">
        <f t="array" ref="W161">getDistance(I161,J161,R161,S161)*SA!$B$12</f>
        <v>715.07166113775827</v>
      </c>
      <c r="Y161" s="137">
        <f>Transportation_LCIA!C$61*($W161^Transportation_LCIA!C$60)+Transportation_LCIA!C$62</f>
        <v>0.27568694248660131</v>
      </c>
      <c r="Z161" s="137">
        <f>Transportation_LCIA!D$61*($W161^Transportation_LCIA!D$60)+Transportation_LCIA!D$62</f>
        <v>2.8932700129699978</v>
      </c>
      <c r="AA161" s="137">
        <f>Transportation_LCIA!E$61*($W161^Transportation_LCIA!E$60)+Transportation_LCIA!E$62</f>
        <v>1.4524694877162572E-3</v>
      </c>
      <c r="AB161" s="137">
        <f>Transportation_LCIA!F$61*($W161^Transportation_LCIA!F$60)+Transportation_LCIA!F$62</f>
        <v>0.27568694248660131</v>
      </c>
      <c r="AC161" s="137">
        <f>Transportation_LCIA!G$61*($W161^Transportation_LCIA!G$60)+Transportation_LCIA!G$62</f>
        <v>6.7505486268678722E-2</v>
      </c>
      <c r="AD161" s="137">
        <f>Transportation_LCIA!H$61*($W161^Transportation_LCIA!H$60)+Transportation_LCIA!H$62</f>
        <v>3.4483295035874406E-4</v>
      </c>
      <c r="AE161" s="137">
        <f>Transportation_LCIA!I$61*($W161^Transportation_LCIA!I$60)+Transportation_LCIA!I$62</f>
        <v>7.644394919140504E-6</v>
      </c>
      <c r="AF161" s="137">
        <f>Transportation_LCIA!J$61*($W161^Transportation_LCIA!J$60)+Transportation_LCIA!J$62</f>
        <v>1.134133612007697E-2</v>
      </c>
      <c r="AG161" s="137">
        <f>Transportation_LCIA!K$61*($W161^Transportation_LCIA!K$60)+Transportation_LCIA!K$62</f>
        <v>1.4591850964811854E-2</v>
      </c>
      <c r="AH161" s="137">
        <f>Transportation_LCIA!L$61*($W161^Transportation_LCIA!L$60)+Transportation_LCIA!L$62</f>
        <v>3.0255018732627456E-4</v>
      </c>
      <c r="AI161" s="137">
        <f>Transportation_LCIA!M$61*($W161^Transportation_LCIA!M$60)+Transportation_LCIA!M$62</f>
        <v>2.8116552902711909E-4</v>
      </c>
      <c r="AJ161" s="137">
        <f>Transportation_LCIA!N$61*($W161^Transportation_LCIA!N$60)+Transportation_LCIA!N$62</f>
        <v>1.2184799005035894E-3</v>
      </c>
      <c r="AK161" s="137">
        <f>Transportation_LCIA!O$61*($W161^Transportation_LCIA!O$60)+Transportation_LCIA!O$62</f>
        <v>7.1399640630831436E-5</v>
      </c>
      <c r="AL161" s="137">
        <f>Transportation_LCIA!P$61*($W161^Transportation_LCIA!P$60)+Transportation_LCIA!P$62</f>
        <v>3.4494004981956467E-8</v>
      </c>
      <c r="AM161" s="137">
        <f>Transportation_LCIA!Q$61*($W161^Transportation_LCIA!Q$60)+Transportation_LCIA!Q$62</f>
        <v>1.1948335626517517E-4</v>
      </c>
      <c r="AN161" s="137">
        <f>Transportation_LCIA!R$61*($W161^Transportation_LCIA!R$60)+Transportation_LCIA!R$62</f>
        <v>3.6742799459173149E-4</v>
      </c>
      <c r="AO161" s="137">
        <f>Transportation_LCIA!S$61*($W161^Transportation_LCIA!S$60)+Transportation_LCIA!S$62</f>
        <v>5.4716726515547334E-6</v>
      </c>
      <c r="AP161" s="137">
        <f>Transportation_LCIA!T$61*($W161^Transportation_LCIA!T$60)+Transportation_LCIA!T$62</f>
        <v>5.4716726515547334E-6</v>
      </c>
      <c r="AQ161" s="137">
        <f>Transportation_LCIA!U$61*($W161^Transportation_LCIA!U$60)+Transportation_LCIA!U$62</f>
        <v>7.927044032515311E-4</v>
      </c>
      <c r="AR161" s="137">
        <f>Transportation_LCIA!V$61*($W161^Transportation_LCIA!V$60)+Transportation_LCIA!V$62</f>
        <v>3.1083987945175798E-4</v>
      </c>
      <c r="AT161" s="137">
        <f>$W161*Y161+$L161*Summary_LCIA!H$32</f>
        <v>326.32074411788358</v>
      </c>
      <c r="AU161" s="137">
        <f>$W161*Z161+$L161*Summary_LCIA!Q$32</f>
        <v>3953.0816918620262</v>
      </c>
      <c r="AV161" s="137">
        <f>$W161*AA161+$L161*Summary_LCIA!R$32</f>
        <v>3.0404903117331727</v>
      </c>
      <c r="AW161" s="137">
        <f>$W161*AB161+$L161*Summary_LCIA!S$32</f>
        <v>324.64035293788362</v>
      </c>
      <c r="AX161" s="137">
        <f>$W161*AC161+$L161*Summary_LCIA!T$32</f>
        <v>90.05293230205622</v>
      </c>
      <c r="AY161" s="137">
        <f>$W161*AD161+$L161*Summary_LCIA!U$32</f>
        <v>7.05710687662806</v>
      </c>
      <c r="AZ161" s="137">
        <f>$W161*AE161+$L161*Summary_LCIA!V$32</f>
        <v>2.3624019392222841E-2</v>
      </c>
      <c r="BA161" s="137">
        <f>$W161*AF161+$L161*Summary_LCIA!W$32</f>
        <v>37.372625867905093</v>
      </c>
      <c r="BB161" s="137">
        <f>$W161*AG161+$L161*Summary_LCIA!X$32</f>
        <v>19.094696728482614</v>
      </c>
      <c r="BC161" s="137">
        <f>$W161*AH161+$L161*Summary_LCIA!Y$32</f>
        <v>6.1402942430289391</v>
      </c>
      <c r="BD161" s="137">
        <f>$W161*AI161+$L161*Summary_LCIA!Z$32</f>
        <v>0.21664426250709864</v>
      </c>
      <c r="BE161" s="137">
        <f>$W161*AJ161+$L161*Summary_LCIA!AA$32</f>
        <v>9.7507611705160713</v>
      </c>
      <c r="BF161" s="137">
        <f>$W161*AK161+$L161*Summary_LCIA!AB$32</f>
        <v>4.2759213313527611E-2</v>
      </c>
      <c r="BG161" s="137">
        <f>$W161*AL161+$L161*Summary_LCIA!AC$32</f>
        <v>4.3250355677741722E-5</v>
      </c>
      <c r="BH161" s="137">
        <f>$W161*AM161+$L161*Summary_LCIA!AD$32</f>
        <v>0.24170793820285336</v>
      </c>
      <c r="BI161" s="137">
        <f>$W161*AN161+$L161*Summary_LCIA!AE$32</f>
        <v>0.59962536371122466</v>
      </c>
      <c r="BJ161" s="137">
        <f>$W161*AO161+$L161*Summary_LCIA!AF$32</f>
        <v>0.32532356823214931</v>
      </c>
      <c r="BK161" s="137">
        <f>$W161*AP161+$L161*Summary_LCIA!AG$32</f>
        <v>2.3364496587149283E-2</v>
      </c>
      <c r="BL161" s="137">
        <f>$W161*AQ161+$L161*Summary_LCIA!AH$32</f>
        <v>3.8757663988242879</v>
      </c>
      <c r="BM161" s="137">
        <f>$W161*AR161+$L161*Summary_LCIA!AI$32</f>
        <v>0.57642853639742908</v>
      </c>
    </row>
    <row r="162" spans="1:65" x14ac:dyDescent="0.25">
      <c r="A162" s="149">
        <v>127</v>
      </c>
      <c r="B162" s="149">
        <v>16</v>
      </c>
      <c r="C162" s="61">
        <v>35.084386000000002</v>
      </c>
      <c r="D162" s="61">
        <v>-106.65042200000001</v>
      </c>
      <c r="E162" s="61" t="s">
        <v>265</v>
      </c>
      <c r="F162" s="149">
        <v>119</v>
      </c>
      <c r="G162" s="61" t="s">
        <v>676</v>
      </c>
      <c r="H162" s="61" t="s">
        <v>677</v>
      </c>
      <c r="I162" s="61">
        <v>35.043332999999997</v>
      </c>
      <c r="J162" s="61">
        <v>-106.612909</v>
      </c>
      <c r="K162" s="61">
        <v>9.8032842630000001</v>
      </c>
      <c r="L162" s="61">
        <v>7.4539999999999997</v>
      </c>
      <c r="M162" s="61" t="s">
        <v>617</v>
      </c>
      <c r="N162" s="149">
        <v>15</v>
      </c>
      <c r="O162" s="149">
        <v>16</v>
      </c>
      <c r="P162" s="61" t="s">
        <v>565</v>
      </c>
      <c r="Q162" s="61" t="s">
        <v>556</v>
      </c>
      <c r="R162" s="61">
        <v>39.856096299999997</v>
      </c>
      <c r="S162" s="61">
        <v>-104.6737376</v>
      </c>
      <c r="T162" s="61">
        <v>747.803</v>
      </c>
      <c r="U162" s="61" t="s">
        <v>617</v>
      </c>
      <c r="V162" s="61" t="s">
        <v>569</v>
      </c>
      <c r="W162" s="61" cm="1">
        <f t="array" ref="W162">getDistance(I162,J162,R162,S162)*SA!$B$12</f>
        <v>562.0692154742253</v>
      </c>
      <c r="Y162" s="137">
        <f>Transportation_LCIA!C$61*($W162^Transportation_LCIA!C$60)+Transportation_LCIA!C$62</f>
        <v>0.31234572379644221</v>
      </c>
      <c r="Z162" s="137">
        <f>Transportation_LCIA!D$61*($W162^Transportation_LCIA!D$60)+Transportation_LCIA!D$62</f>
        <v>3.3296210667490271</v>
      </c>
      <c r="AA162" s="137">
        <f>Transportation_LCIA!E$61*($W162^Transportation_LCIA!E$60)+Transportation_LCIA!E$62</f>
        <v>1.7409629881306933E-3</v>
      </c>
      <c r="AB162" s="137">
        <f>Transportation_LCIA!F$61*($W162^Transportation_LCIA!F$60)+Transportation_LCIA!F$62</f>
        <v>0.31234572379644221</v>
      </c>
      <c r="AC162" s="137">
        <f>Transportation_LCIA!G$61*($W162^Transportation_LCIA!G$60)+Transportation_LCIA!G$62</f>
        <v>7.7589160875477806E-2</v>
      </c>
      <c r="AD162" s="137">
        <f>Transportation_LCIA!H$61*($W162^Transportation_LCIA!H$60)+Transportation_LCIA!H$62</f>
        <v>4.0896707036547922E-4</v>
      </c>
      <c r="AE162" s="137">
        <f>Transportation_LCIA!I$61*($W162^Transportation_LCIA!I$60)+Transportation_LCIA!I$62</f>
        <v>9.287690950406478E-6</v>
      </c>
      <c r="AF162" s="137">
        <f>Transportation_LCIA!J$61*($W162^Transportation_LCIA!J$60)+Transportation_LCIA!J$62</f>
        <v>1.381709544487048E-2</v>
      </c>
      <c r="AG162" s="137">
        <f>Transportation_LCIA!K$61*($W162^Transportation_LCIA!K$60)+Transportation_LCIA!K$62</f>
        <v>1.6969347425940542E-2</v>
      </c>
      <c r="AH162" s="137">
        <f>Transportation_LCIA!L$61*($W162^Transportation_LCIA!L$60)+Transportation_LCIA!L$62</f>
        <v>3.6180880809060781E-4</v>
      </c>
      <c r="AI162" s="137">
        <f>Transportation_LCIA!M$61*($W162^Transportation_LCIA!M$60)+Transportation_LCIA!M$62</f>
        <v>3.1658174874836395E-4</v>
      </c>
      <c r="AJ162" s="137">
        <f>Transportation_LCIA!N$61*($W162^Transportation_LCIA!N$60)+Transportation_LCIA!N$62</f>
        <v>1.4338065791517597E-3</v>
      </c>
      <c r="AK162" s="137">
        <f>Transportation_LCIA!O$61*($W162^Transportation_LCIA!O$60)+Transportation_LCIA!O$62</f>
        <v>8.2120666352479983E-5</v>
      </c>
      <c r="AL162" s="137">
        <f>Transportation_LCIA!P$61*($W162^Transportation_LCIA!P$60)+Transportation_LCIA!P$62</f>
        <v>3.9640984354842165E-8</v>
      </c>
      <c r="AM162" s="137">
        <f>Transportation_LCIA!Q$61*($W162^Transportation_LCIA!Q$60)+Transportation_LCIA!Q$62</f>
        <v>1.427164451988576E-4</v>
      </c>
      <c r="AN162" s="137">
        <f>Transportation_LCIA!R$61*($W162^Transportation_LCIA!R$60)+Transportation_LCIA!R$62</f>
        <v>4.4626259685882214E-4</v>
      </c>
      <c r="AO162" s="137">
        <f>Transportation_LCIA!S$61*($W162^Transportation_LCIA!S$60)+Transportation_LCIA!S$62</f>
        <v>6.5896170398703171E-6</v>
      </c>
      <c r="AP162" s="137">
        <f>Transportation_LCIA!T$61*($W162^Transportation_LCIA!T$60)+Transportation_LCIA!T$62</f>
        <v>6.5896170398703171E-6</v>
      </c>
      <c r="AQ162" s="137">
        <f>Transportation_LCIA!U$61*($W162^Transportation_LCIA!U$60)+Transportation_LCIA!U$62</f>
        <v>9.6617119892550003E-4</v>
      </c>
      <c r="AR162" s="137">
        <f>Transportation_LCIA!V$61*($W162^Transportation_LCIA!V$60)+Transportation_LCIA!V$62</f>
        <v>3.7149234590026369E-4</v>
      </c>
      <c r="AT162" s="137">
        <f>$W162*Y162+$L162*Summary_LCIA!H$32</f>
        <v>178.09278513099534</v>
      </c>
      <c r="AU162" s="137">
        <f>$W162*Z162+$L162*Summary_LCIA!Q$32</f>
        <v>1908.419900741661</v>
      </c>
      <c r="AV162" s="137">
        <f>$W162*AA162+$L162*Summary_LCIA!R$32</f>
        <v>1.017791483308282</v>
      </c>
      <c r="AW162" s="137">
        <f>$W162*AB162+$L162*Summary_LCIA!S$32</f>
        <v>178.05983845099536</v>
      </c>
      <c r="AX162" s="137">
        <f>$W162*AC162+$L162*Summary_LCIA!T$32</f>
        <v>44.429673382583267</v>
      </c>
      <c r="AY162" s="137">
        <f>$W162*AD162+$L162*Summary_LCIA!U$32</f>
        <v>0.36339875639511721</v>
      </c>
      <c r="AZ162" s="137">
        <f>$W162*AE162+$L162*Summary_LCIA!V$32</f>
        <v>5.576335660062031E-3</v>
      </c>
      <c r="BA162" s="137">
        <f>$W162*AF162+$L162*Summary_LCIA!W$32</f>
        <v>8.339905830830844</v>
      </c>
      <c r="BB162" s="137">
        <f>$W162*AG162+$L162*Summary_LCIA!X$32</f>
        <v>9.707749914807966</v>
      </c>
      <c r="BC162" s="137">
        <f>$W162*AH162+$L162*Summary_LCIA!Y$32</f>
        <v>0.31950982091515245</v>
      </c>
      <c r="BD162" s="137">
        <f>$W162*AI162+$L162*Summary_LCIA!Z$32</f>
        <v>0.17824653623845121</v>
      </c>
      <c r="BE162" s="137">
        <f>$W162*AJ162+$L162*Summary_LCIA!AA$32</f>
        <v>0.97999416308561227</v>
      </c>
      <c r="BF162" s="137">
        <f>$W162*AK162+$L162*Summary_LCIA!AB$32</f>
        <v>4.5994829868959038E-2</v>
      </c>
      <c r="BG162" s="137">
        <f>$W162*AL162+$L162*Summary_LCIA!AC$32</f>
        <v>2.2645358312952176E-5</v>
      </c>
      <c r="BH162" s="137">
        <f>$W162*AM162+$L162*Summary_LCIA!AD$32</f>
        <v>8.3280412548192156E-2</v>
      </c>
      <c r="BI162" s="137">
        <f>$W162*AN162+$L162*Summary_LCIA!AE$32</f>
        <v>0.25743568073192863</v>
      </c>
      <c r="BJ162" s="137">
        <f>$W162*AO162+$L162*Summary_LCIA!AF$32</f>
        <v>1.0005581559875496E-2</v>
      </c>
      <c r="BK162" s="137">
        <f>$W162*AP162+$L162*Summary_LCIA!AG$32</f>
        <v>4.085204789875496E-3</v>
      </c>
      <c r="BL162" s="137">
        <f>$W162*AQ162+$L162*Summary_LCIA!AH$32</f>
        <v>0.6079317221938475</v>
      </c>
      <c r="BM162" s="137">
        <f>$W162*AR162+$L162*Summary_LCIA!AI$32</f>
        <v>0.21574818511484073</v>
      </c>
    </row>
    <row r="163" spans="1:65" x14ac:dyDescent="0.25">
      <c r="A163" s="149">
        <v>27</v>
      </c>
      <c r="B163" s="149">
        <v>16</v>
      </c>
      <c r="C163" s="61">
        <v>40.817663000000003</v>
      </c>
      <c r="D163" s="61">
        <v>-96.700036999999995</v>
      </c>
      <c r="E163" s="61" t="s">
        <v>265</v>
      </c>
      <c r="F163" s="149">
        <v>121</v>
      </c>
      <c r="G163" s="61" t="s">
        <v>287</v>
      </c>
      <c r="H163" s="61" t="s">
        <v>290</v>
      </c>
      <c r="I163" s="61">
        <v>41.301873000000001</v>
      </c>
      <c r="J163" s="61">
        <v>-95.893741000000006</v>
      </c>
      <c r="K163" s="61">
        <v>107.8641052</v>
      </c>
      <c r="L163" s="61">
        <v>100.626</v>
      </c>
      <c r="M163" s="61" t="s">
        <v>617</v>
      </c>
      <c r="N163" s="149">
        <v>15</v>
      </c>
      <c r="O163" s="149">
        <v>16</v>
      </c>
      <c r="P163" s="61" t="s">
        <v>565</v>
      </c>
      <c r="Q163" s="61" t="s">
        <v>556</v>
      </c>
      <c r="R163" s="61">
        <v>39.856096299999997</v>
      </c>
      <c r="S163" s="61">
        <v>-104.6737376</v>
      </c>
      <c r="T163" s="61">
        <v>775.22900000000004</v>
      </c>
      <c r="U163" s="61" t="s">
        <v>617</v>
      </c>
      <c r="V163" s="61" t="s">
        <v>569</v>
      </c>
      <c r="W163" s="61" cm="1">
        <f t="array" ref="W163">getDistance(I163,J163,R163,S163)*SA!$B$12</f>
        <v>760.23017443423055</v>
      </c>
      <c r="Y163" s="137">
        <f>Transportation_LCIA!C$61*($W163^Transportation_LCIA!C$60)+Transportation_LCIA!C$62</f>
        <v>0.26748484551114515</v>
      </c>
      <c r="Z163" s="137">
        <f>Transportation_LCIA!D$61*($W163^Transportation_LCIA!D$60)+Transportation_LCIA!D$62</f>
        <v>2.7962943838262628</v>
      </c>
      <c r="AA163" s="137">
        <f>Transportation_LCIA!E$61*($W163^Transportation_LCIA!E$60)+Transportation_LCIA!E$62</f>
        <v>1.3884751942841386E-3</v>
      </c>
      <c r="AB163" s="137">
        <f>Transportation_LCIA!F$61*($W163^Transportation_LCIA!F$60)+Transportation_LCIA!F$62</f>
        <v>0.26748484551114515</v>
      </c>
      <c r="AC163" s="137">
        <f>Transportation_LCIA!G$61*($W163^Transportation_LCIA!G$60)+Transportation_LCIA!G$62</f>
        <v>6.5263588445570703E-2</v>
      </c>
      <c r="AD163" s="137">
        <f>Transportation_LCIA!H$61*($W163^Transportation_LCIA!H$60)+Transportation_LCIA!H$62</f>
        <v>3.3065965062548244E-4</v>
      </c>
      <c r="AE163" s="137">
        <f>Transportation_LCIA!I$61*($W163^Transportation_LCIA!I$60)+Transportation_LCIA!I$62</f>
        <v>7.2834170269146907E-6</v>
      </c>
      <c r="AF163" s="137">
        <f>Transportation_LCIA!J$61*($W163^Transportation_LCIA!J$60)+Transportation_LCIA!J$62</f>
        <v>1.0799632316687686E-2</v>
      </c>
      <c r="AG163" s="137">
        <f>Transportation_LCIA!K$61*($W163^Transportation_LCIA!K$60)+Transportation_LCIA!K$62</f>
        <v>1.4065057563021365E-2</v>
      </c>
      <c r="AH163" s="137">
        <f>Transportation_LCIA!L$61*($W163^Transportation_LCIA!L$60)+Transportation_LCIA!L$62</f>
        <v>2.8947679027948659E-4</v>
      </c>
      <c r="AI163" s="137">
        <f>Transportation_LCIA!M$61*($W163^Transportation_LCIA!M$60)+Transportation_LCIA!M$62</f>
        <v>2.7334032688058045E-4</v>
      </c>
      <c r="AJ163" s="137">
        <f>Transportation_LCIA!N$61*($W163^Transportation_LCIA!N$60)+Transportation_LCIA!N$62</f>
        <v>1.1708710686252851E-3</v>
      </c>
      <c r="AK163" s="137">
        <f>Transportation_LCIA!O$61*($W163^Transportation_LCIA!O$60)+Transportation_LCIA!O$62</f>
        <v>6.9016481528209455E-5</v>
      </c>
      <c r="AL163" s="137">
        <f>Transportation_LCIA!P$61*($W163^Transportation_LCIA!P$60)+Transportation_LCIA!P$62</f>
        <v>3.3349318791163136E-8</v>
      </c>
      <c r="AM163" s="137">
        <f>Transportation_LCIA!Q$61*($W163^Transportation_LCIA!Q$60)+Transportation_LCIA!Q$62</f>
        <v>1.1436249903596694E-4</v>
      </c>
      <c r="AN163" s="137">
        <f>Transportation_LCIA!R$61*($W163^Transportation_LCIA!R$60)+Transportation_LCIA!R$62</f>
        <v>3.5011315764112876E-4</v>
      </c>
      <c r="AO163" s="137">
        <f>Transportation_LCIA!S$61*($W163^Transportation_LCIA!S$60)+Transportation_LCIA!S$62</f>
        <v>5.2260666576107602E-6</v>
      </c>
      <c r="AP163" s="137">
        <f>Transportation_LCIA!T$61*($W163^Transportation_LCIA!T$60)+Transportation_LCIA!T$62</f>
        <v>5.2260666576107602E-6</v>
      </c>
      <c r="AQ163" s="137">
        <f>Transportation_LCIA!U$61*($W163^Transportation_LCIA!U$60)+Transportation_LCIA!U$62</f>
        <v>7.5464857756149138E-4</v>
      </c>
      <c r="AR163" s="137">
        <f>Transportation_LCIA!V$61*($W163^Transportation_LCIA!V$60)+Transportation_LCIA!V$62</f>
        <v>2.9748725597587074E-4</v>
      </c>
      <c r="AT163" s="137">
        <f>$W163*Y163+$L163*Summary_LCIA!H$32</f>
        <v>237.54276556145109</v>
      </c>
      <c r="AU163" s="137">
        <f>$W163*Z163+$L163*Summary_LCIA!Q$32</f>
        <v>2624.5348980567569</v>
      </c>
      <c r="AV163" s="137">
        <f>$W163*AA163+$L163*Summary_LCIA!R$32</f>
        <v>1.585417004748233</v>
      </c>
      <c r="AW163" s="137">
        <f>$W163*AB163+$L163*Summary_LCIA!S$32</f>
        <v>237.09799864145108</v>
      </c>
      <c r="AX163" s="137">
        <f>$W163*AC163+$L163*Summary_LCIA!T$32</f>
        <v>60.674146628180054</v>
      </c>
      <c r="AY163" s="137">
        <f>$W163*AD163+$L163*Summary_LCIA!U$32</f>
        <v>2.053991607873372</v>
      </c>
      <c r="AZ163" s="137">
        <f>$W163*AE163+$L163*Summary_LCIA!V$32</f>
        <v>1.0343071782848601E-2</v>
      </c>
      <c r="BA163" s="137">
        <f>$W163*AF163+$L163*Summary_LCIA!W$32</f>
        <v>15.955490205941032</v>
      </c>
      <c r="BB163" s="137">
        <f>$W163*AG163+$L163*Summary_LCIA!X$32</f>
        <v>12.984941444563226</v>
      </c>
      <c r="BC163" s="137">
        <f>$W163*AH163+$L163*Summary_LCIA!Y$32</f>
        <v>1.7880233227688354</v>
      </c>
      <c r="BD163" s="137">
        <f>$W163*AI163+$L163*Summary_LCIA!Z$32</f>
        <v>0.21192813601833327</v>
      </c>
      <c r="BE163" s="137">
        <f>$W163*AJ163+$L163*Summary_LCIA!AA$32</f>
        <v>3.2403523727409942</v>
      </c>
      <c r="BF163" s="137">
        <f>$W163*AK163+$L163*Summary_LCIA!AB$32</f>
        <v>5.0272450593027526E-2</v>
      </c>
      <c r="BG163" s="137">
        <f>$W163*AL163+$L163*Summary_LCIA!AC$32</f>
        <v>3.0272159825868717E-5</v>
      </c>
      <c r="BH163" s="137">
        <f>$W163*AM163+$L163*Summary_LCIA!AD$32</f>
        <v>0.12830313363084767</v>
      </c>
      <c r="BI163" s="137">
        <f>$W163*AN163+$L163*Summary_LCIA!AE$32</f>
        <v>0.3553343042852346</v>
      </c>
      <c r="BJ163" s="137">
        <f>$W163*AO163+$L163*Summary_LCIA!AF$32</f>
        <v>8.9044246486720352E-2</v>
      </c>
      <c r="BK163" s="137">
        <f>$W163*AP163+$L163*Summary_LCIA!AG$32</f>
        <v>9.1215428567203438E-3</v>
      </c>
      <c r="BL163" s="137">
        <f>$W163*AQ163+$L163*Summary_LCIA!AH$32</f>
        <v>1.4495150733561166</v>
      </c>
      <c r="BM163" s="137">
        <f>$W163*AR163+$L163*Summary_LCIA!AI$32</f>
        <v>0.31989693880249681</v>
      </c>
    </row>
    <row r="164" spans="1:65" x14ac:dyDescent="0.25">
      <c r="A164" s="149">
        <v>28</v>
      </c>
      <c r="B164" s="149">
        <v>16</v>
      </c>
      <c r="C164" s="61">
        <v>40.817663000000003</v>
      </c>
      <c r="D164" s="61">
        <v>-96.700036999999995</v>
      </c>
      <c r="E164" s="61" t="s">
        <v>265</v>
      </c>
      <c r="F164" s="149">
        <v>121</v>
      </c>
      <c r="G164" s="61" t="s">
        <v>287</v>
      </c>
      <c r="H164" s="61" t="s">
        <v>290</v>
      </c>
      <c r="I164" s="61">
        <v>41.301873000000001</v>
      </c>
      <c r="J164" s="61">
        <v>-95.893741000000006</v>
      </c>
      <c r="K164" s="61">
        <v>107.8641052</v>
      </c>
      <c r="L164" s="61">
        <v>100.626</v>
      </c>
      <c r="M164" s="61" t="s">
        <v>617</v>
      </c>
      <c r="N164" s="149">
        <v>15</v>
      </c>
      <c r="O164" s="149">
        <v>16</v>
      </c>
      <c r="P164" s="61" t="s">
        <v>565</v>
      </c>
      <c r="Q164" s="61" t="s">
        <v>556</v>
      </c>
      <c r="R164" s="61">
        <v>39.856096299999997</v>
      </c>
      <c r="S164" s="61">
        <v>-104.6737376</v>
      </c>
      <c r="T164" s="61">
        <v>775.22900000000004</v>
      </c>
      <c r="U164" s="61" t="s">
        <v>617</v>
      </c>
      <c r="V164" s="61" t="s">
        <v>569</v>
      </c>
      <c r="W164" s="61" cm="1">
        <f t="array" ref="W164">getDistance(I164,J164,R164,S164)*SA!$B$12</f>
        <v>760.23017443423055</v>
      </c>
      <c r="Y164" s="137">
        <f>Transportation_LCIA!C$61*($W164^Transportation_LCIA!C$60)+Transportation_LCIA!C$62</f>
        <v>0.26748484551114515</v>
      </c>
      <c r="Z164" s="137">
        <f>Transportation_LCIA!D$61*($W164^Transportation_LCIA!D$60)+Transportation_LCIA!D$62</f>
        <v>2.7962943838262628</v>
      </c>
      <c r="AA164" s="137">
        <f>Transportation_LCIA!E$61*($W164^Transportation_LCIA!E$60)+Transportation_LCIA!E$62</f>
        <v>1.3884751942841386E-3</v>
      </c>
      <c r="AB164" s="137">
        <f>Transportation_LCIA!F$61*($W164^Transportation_LCIA!F$60)+Transportation_LCIA!F$62</f>
        <v>0.26748484551114515</v>
      </c>
      <c r="AC164" s="137">
        <f>Transportation_LCIA!G$61*($W164^Transportation_LCIA!G$60)+Transportation_LCIA!G$62</f>
        <v>6.5263588445570703E-2</v>
      </c>
      <c r="AD164" s="137">
        <f>Transportation_LCIA!H$61*($W164^Transportation_LCIA!H$60)+Transportation_LCIA!H$62</f>
        <v>3.3065965062548244E-4</v>
      </c>
      <c r="AE164" s="137">
        <f>Transportation_LCIA!I$61*($W164^Transportation_LCIA!I$60)+Transportation_LCIA!I$62</f>
        <v>7.2834170269146907E-6</v>
      </c>
      <c r="AF164" s="137">
        <f>Transportation_LCIA!J$61*($W164^Transportation_LCIA!J$60)+Transportation_LCIA!J$62</f>
        <v>1.0799632316687686E-2</v>
      </c>
      <c r="AG164" s="137">
        <f>Transportation_LCIA!K$61*($W164^Transportation_LCIA!K$60)+Transportation_LCIA!K$62</f>
        <v>1.4065057563021365E-2</v>
      </c>
      <c r="AH164" s="137">
        <f>Transportation_LCIA!L$61*($W164^Transportation_LCIA!L$60)+Transportation_LCIA!L$62</f>
        <v>2.8947679027948659E-4</v>
      </c>
      <c r="AI164" s="137">
        <f>Transportation_LCIA!M$61*($W164^Transportation_LCIA!M$60)+Transportation_LCIA!M$62</f>
        <v>2.7334032688058045E-4</v>
      </c>
      <c r="AJ164" s="137">
        <f>Transportation_LCIA!N$61*($W164^Transportation_LCIA!N$60)+Transportation_LCIA!N$62</f>
        <v>1.1708710686252851E-3</v>
      </c>
      <c r="AK164" s="137">
        <f>Transportation_LCIA!O$61*($W164^Transportation_LCIA!O$60)+Transportation_LCIA!O$62</f>
        <v>6.9016481528209455E-5</v>
      </c>
      <c r="AL164" s="137">
        <f>Transportation_LCIA!P$61*($W164^Transportation_LCIA!P$60)+Transportation_LCIA!P$62</f>
        <v>3.3349318791163136E-8</v>
      </c>
      <c r="AM164" s="137">
        <f>Transportation_LCIA!Q$61*($W164^Transportation_LCIA!Q$60)+Transportation_LCIA!Q$62</f>
        <v>1.1436249903596694E-4</v>
      </c>
      <c r="AN164" s="137">
        <f>Transportation_LCIA!R$61*($W164^Transportation_LCIA!R$60)+Transportation_LCIA!R$62</f>
        <v>3.5011315764112876E-4</v>
      </c>
      <c r="AO164" s="137">
        <f>Transportation_LCIA!S$61*($W164^Transportation_LCIA!S$60)+Transportation_LCIA!S$62</f>
        <v>5.2260666576107602E-6</v>
      </c>
      <c r="AP164" s="137">
        <f>Transportation_LCIA!T$61*($W164^Transportation_LCIA!T$60)+Transportation_LCIA!T$62</f>
        <v>5.2260666576107602E-6</v>
      </c>
      <c r="AQ164" s="137">
        <f>Transportation_LCIA!U$61*($W164^Transportation_LCIA!U$60)+Transportation_LCIA!U$62</f>
        <v>7.5464857756149138E-4</v>
      </c>
      <c r="AR164" s="137">
        <f>Transportation_LCIA!V$61*($W164^Transportation_LCIA!V$60)+Transportation_LCIA!V$62</f>
        <v>2.9748725597587074E-4</v>
      </c>
      <c r="AT164" s="137">
        <f>$W164*Y164+$L164*Summary_LCIA!H$32</f>
        <v>237.54276556145109</v>
      </c>
      <c r="AU164" s="137">
        <f>$W164*Z164+$L164*Summary_LCIA!Q$32</f>
        <v>2624.5348980567569</v>
      </c>
      <c r="AV164" s="137">
        <f>$W164*AA164+$L164*Summary_LCIA!R$32</f>
        <v>1.585417004748233</v>
      </c>
      <c r="AW164" s="137">
        <f>$W164*AB164+$L164*Summary_LCIA!S$32</f>
        <v>237.09799864145108</v>
      </c>
      <c r="AX164" s="137">
        <f>$W164*AC164+$L164*Summary_LCIA!T$32</f>
        <v>60.674146628180054</v>
      </c>
      <c r="AY164" s="137">
        <f>$W164*AD164+$L164*Summary_LCIA!U$32</f>
        <v>2.053991607873372</v>
      </c>
      <c r="AZ164" s="137">
        <f>$W164*AE164+$L164*Summary_LCIA!V$32</f>
        <v>1.0343071782848601E-2</v>
      </c>
      <c r="BA164" s="137">
        <f>$W164*AF164+$L164*Summary_LCIA!W$32</f>
        <v>15.955490205941032</v>
      </c>
      <c r="BB164" s="137">
        <f>$W164*AG164+$L164*Summary_LCIA!X$32</f>
        <v>12.984941444563226</v>
      </c>
      <c r="BC164" s="137">
        <f>$W164*AH164+$L164*Summary_LCIA!Y$32</f>
        <v>1.7880233227688354</v>
      </c>
      <c r="BD164" s="137">
        <f>$W164*AI164+$L164*Summary_LCIA!Z$32</f>
        <v>0.21192813601833327</v>
      </c>
      <c r="BE164" s="137">
        <f>$W164*AJ164+$L164*Summary_LCIA!AA$32</f>
        <v>3.2403523727409942</v>
      </c>
      <c r="BF164" s="137">
        <f>$W164*AK164+$L164*Summary_LCIA!AB$32</f>
        <v>5.0272450593027526E-2</v>
      </c>
      <c r="BG164" s="137">
        <f>$W164*AL164+$L164*Summary_LCIA!AC$32</f>
        <v>3.0272159825868717E-5</v>
      </c>
      <c r="BH164" s="137">
        <f>$W164*AM164+$L164*Summary_LCIA!AD$32</f>
        <v>0.12830313363084767</v>
      </c>
      <c r="BI164" s="137">
        <f>$W164*AN164+$L164*Summary_LCIA!AE$32</f>
        <v>0.3553343042852346</v>
      </c>
      <c r="BJ164" s="137">
        <f>$W164*AO164+$L164*Summary_LCIA!AF$32</f>
        <v>8.9044246486720352E-2</v>
      </c>
      <c r="BK164" s="137">
        <f>$W164*AP164+$L164*Summary_LCIA!AG$32</f>
        <v>9.1215428567203438E-3</v>
      </c>
      <c r="BL164" s="137">
        <f>$W164*AQ164+$L164*Summary_LCIA!AH$32</f>
        <v>1.4495150733561166</v>
      </c>
      <c r="BM164" s="137">
        <f>$W164*AR164+$L164*Summary_LCIA!AI$32</f>
        <v>0.31989693880249681</v>
      </c>
    </row>
    <row r="165" spans="1:65" x14ac:dyDescent="0.25">
      <c r="A165" s="149">
        <v>29</v>
      </c>
      <c r="B165" s="149">
        <v>16</v>
      </c>
      <c r="C165" s="61">
        <v>40.817663000000003</v>
      </c>
      <c r="D165" s="61">
        <v>-96.700036999999995</v>
      </c>
      <c r="E165" s="61" t="s">
        <v>265</v>
      </c>
      <c r="F165" s="149">
        <v>121</v>
      </c>
      <c r="G165" s="61" t="s">
        <v>287</v>
      </c>
      <c r="H165" s="61" t="s">
        <v>290</v>
      </c>
      <c r="I165" s="61">
        <v>41.301873000000001</v>
      </c>
      <c r="J165" s="61">
        <v>-95.893741000000006</v>
      </c>
      <c r="K165" s="61">
        <v>107.8641052</v>
      </c>
      <c r="L165" s="61">
        <v>100.626</v>
      </c>
      <c r="M165" s="61" t="s">
        <v>617</v>
      </c>
      <c r="N165" s="149">
        <v>15</v>
      </c>
      <c r="O165" s="149">
        <v>16</v>
      </c>
      <c r="P165" s="61" t="s">
        <v>565</v>
      </c>
      <c r="Q165" s="61" t="s">
        <v>556</v>
      </c>
      <c r="R165" s="61">
        <v>39.856096299999997</v>
      </c>
      <c r="S165" s="61">
        <v>-104.6737376</v>
      </c>
      <c r="T165" s="61">
        <v>775.22900000000004</v>
      </c>
      <c r="U165" s="61" t="s">
        <v>617</v>
      </c>
      <c r="V165" s="61" t="s">
        <v>569</v>
      </c>
      <c r="W165" s="61" cm="1">
        <f t="array" ref="W165">getDistance(I165,J165,R165,S165)*SA!$B$12</f>
        <v>760.23017443423055</v>
      </c>
      <c r="Y165" s="137">
        <f>Transportation_LCIA!C$61*($W165^Transportation_LCIA!C$60)+Transportation_LCIA!C$62</f>
        <v>0.26748484551114515</v>
      </c>
      <c r="Z165" s="137">
        <f>Transportation_LCIA!D$61*($W165^Transportation_LCIA!D$60)+Transportation_LCIA!D$62</f>
        <v>2.7962943838262628</v>
      </c>
      <c r="AA165" s="137">
        <f>Transportation_LCIA!E$61*($W165^Transportation_LCIA!E$60)+Transportation_LCIA!E$62</f>
        <v>1.3884751942841386E-3</v>
      </c>
      <c r="AB165" s="137">
        <f>Transportation_LCIA!F$61*($W165^Transportation_LCIA!F$60)+Transportation_LCIA!F$62</f>
        <v>0.26748484551114515</v>
      </c>
      <c r="AC165" s="137">
        <f>Transportation_LCIA!G$61*($W165^Transportation_LCIA!G$60)+Transportation_LCIA!G$62</f>
        <v>6.5263588445570703E-2</v>
      </c>
      <c r="AD165" s="137">
        <f>Transportation_LCIA!H$61*($W165^Transportation_LCIA!H$60)+Transportation_LCIA!H$62</f>
        <v>3.3065965062548244E-4</v>
      </c>
      <c r="AE165" s="137">
        <f>Transportation_LCIA!I$61*($W165^Transportation_LCIA!I$60)+Transportation_LCIA!I$62</f>
        <v>7.2834170269146907E-6</v>
      </c>
      <c r="AF165" s="137">
        <f>Transportation_LCIA!J$61*($W165^Transportation_LCIA!J$60)+Transportation_LCIA!J$62</f>
        <v>1.0799632316687686E-2</v>
      </c>
      <c r="AG165" s="137">
        <f>Transportation_LCIA!K$61*($W165^Transportation_LCIA!K$60)+Transportation_LCIA!K$62</f>
        <v>1.4065057563021365E-2</v>
      </c>
      <c r="AH165" s="137">
        <f>Transportation_LCIA!L$61*($W165^Transportation_LCIA!L$60)+Transportation_LCIA!L$62</f>
        <v>2.8947679027948659E-4</v>
      </c>
      <c r="AI165" s="137">
        <f>Transportation_LCIA!M$61*($W165^Transportation_LCIA!M$60)+Transportation_LCIA!M$62</f>
        <v>2.7334032688058045E-4</v>
      </c>
      <c r="AJ165" s="137">
        <f>Transportation_LCIA!N$61*($W165^Transportation_LCIA!N$60)+Transportation_LCIA!N$62</f>
        <v>1.1708710686252851E-3</v>
      </c>
      <c r="AK165" s="137">
        <f>Transportation_LCIA!O$61*($W165^Transportation_LCIA!O$60)+Transportation_LCIA!O$62</f>
        <v>6.9016481528209455E-5</v>
      </c>
      <c r="AL165" s="137">
        <f>Transportation_LCIA!P$61*($W165^Transportation_LCIA!P$60)+Transportation_LCIA!P$62</f>
        <v>3.3349318791163136E-8</v>
      </c>
      <c r="AM165" s="137">
        <f>Transportation_LCIA!Q$61*($W165^Transportation_LCIA!Q$60)+Transportation_LCIA!Q$62</f>
        <v>1.1436249903596694E-4</v>
      </c>
      <c r="AN165" s="137">
        <f>Transportation_LCIA!R$61*($W165^Transportation_LCIA!R$60)+Transportation_LCIA!R$62</f>
        <v>3.5011315764112876E-4</v>
      </c>
      <c r="AO165" s="137">
        <f>Transportation_LCIA!S$61*($W165^Transportation_LCIA!S$60)+Transportation_LCIA!S$62</f>
        <v>5.2260666576107602E-6</v>
      </c>
      <c r="AP165" s="137">
        <f>Transportation_LCIA!T$61*($W165^Transportation_LCIA!T$60)+Transportation_LCIA!T$62</f>
        <v>5.2260666576107602E-6</v>
      </c>
      <c r="AQ165" s="137">
        <f>Transportation_LCIA!U$61*($W165^Transportation_LCIA!U$60)+Transportation_LCIA!U$62</f>
        <v>7.5464857756149138E-4</v>
      </c>
      <c r="AR165" s="137">
        <f>Transportation_LCIA!V$61*($W165^Transportation_LCIA!V$60)+Transportation_LCIA!V$62</f>
        <v>2.9748725597587074E-4</v>
      </c>
      <c r="AT165" s="137">
        <f>$W165*Y165+$L165*Summary_LCIA!H$32</f>
        <v>237.54276556145109</v>
      </c>
      <c r="AU165" s="137">
        <f>$W165*Z165+$L165*Summary_LCIA!Q$32</f>
        <v>2624.5348980567569</v>
      </c>
      <c r="AV165" s="137">
        <f>$W165*AA165+$L165*Summary_LCIA!R$32</f>
        <v>1.585417004748233</v>
      </c>
      <c r="AW165" s="137">
        <f>$W165*AB165+$L165*Summary_LCIA!S$32</f>
        <v>237.09799864145108</v>
      </c>
      <c r="AX165" s="137">
        <f>$W165*AC165+$L165*Summary_LCIA!T$32</f>
        <v>60.674146628180054</v>
      </c>
      <c r="AY165" s="137">
        <f>$W165*AD165+$L165*Summary_LCIA!U$32</f>
        <v>2.053991607873372</v>
      </c>
      <c r="AZ165" s="137">
        <f>$W165*AE165+$L165*Summary_LCIA!V$32</f>
        <v>1.0343071782848601E-2</v>
      </c>
      <c r="BA165" s="137">
        <f>$W165*AF165+$L165*Summary_LCIA!W$32</f>
        <v>15.955490205941032</v>
      </c>
      <c r="BB165" s="137">
        <f>$W165*AG165+$L165*Summary_LCIA!X$32</f>
        <v>12.984941444563226</v>
      </c>
      <c r="BC165" s="137">
        <f>$W165*AH165+$L165*Summary_LCIA!Y$32</f>
        <v>1.7880233227688354</v>
      </c>
      <c r="BD165" s="137">
        <f>$W165*AI165+$L165*Summary_LCIA!Z$32</f>
        <v>0.21192813601833327</v>
      </c>
      <c r="BE165" s="137">
        <f>$W165*AJ165+$L165*Summary_LCIA!AA$32</f>
        <v>3.2403523727409942</v>
      </c>
      <c r="BF165" s="137">
        <f>$W165*AK165+$L165*Summary_LCIA!AB$32</f>
        <v>5.0272450593027526E-2</v>
      </c>
      <c r="BG165" s="137">
        <f>$W165*AL165+$L165*Summary_LCIA!AC$32</f>
        <v>3.0272159825868717E-5</v>
      </c>
      <c r="BH165" s="137">
        <f>$W165*AM165+$L165*Summary_LCIA!AD$32</f>
        <v>0.12830313363084767</v>
      </c>
      <c r="BI165" s="137">
        <f>$W165*AN165+$L165*Summary_LCIA!AE$32</f>
        <v>0.3553343042852346</v>
      </c>
      <c r="BJ165" s="137">
        <f>$W165*AO165+$L165*Summary_LCIA!AF$32</f>
        <v>8.9044246486720352E-2</v>
      </c>
      <c r="BK165" s="137">
        <f>$W165*AP165+$L165*Summary_LCIA!AG$32</f>
        <v>9.1215428567203438E-3</v>
      </c>
      <c r="BL165" s="137">
        <f>$W165*AQ165+$L165*Summary_LCIA!AH$32</f>
        <v>1.4495150733561166</v>
      </c>
      <c r="BM165" s="137">
        <f>$W165*AR165+$L165*Summary_LCIA!AI$32</f>
        <v>0.31989693880249681</v>
      </c>
    </row>
    <row r="166" spans="1:65" x14ac:dyDescent="0.25">
      <c r="A166" s="149">
        <v>30</v>
      </c>
      <c r="B166" s="149">
        <v>16</v>
      </c>
      <c r="C166" s="61">
        <v>40.817663000000003</v>
      </c>
      <c r="D166" s="61">
        <v>-96.700036999999995</v>
      </c>
      <c r="E166" s="61" t="s">
        <v>265</v>
      </c>
      <c r="F166" s="149">
        <v>121</v>
      </c>
      <c r="G166" s="61" t="s">
        <v>287</v>
      </c>
      <c r="H166" s="61" t="s">
        <v>290</v>
      </c>
      <c r="I166" s="61">
        <v>41.301873000000001</v>
      </c>
      <c r="J166" s="61">
        <v>-95.893741000000006</v>
      </c>
      <c r="K166" s="61">
        <v>107.8641052</v>
      </c>
      <c r="L166" s="61">
        <v>100.626</v>
      </c>
      <c r="M166" s="61" t="s">
        <v>617</v>
      </c>
      <c r="N166" s="149">
        <v>15</v>
      </c>
      <c r="O166" s="149">
        <v>16</v>
      </c>
      <c r="P166" s="61" t="s">
        <v>565</v>
      </c>
      <c r="Q166" s="61" t="s">
        <v>556</v>
      </c>
      <c r="R166" s="61">
        <v>39.856096299999997</v>
      </c>
      <c r="S166" s="61">
        <v>-104.6737376</v>
      </c>
      <c r="T166" s="61">
        <v>775.22900000000004</v>
      </c>
      <c r="U166" s="61" t="s">
        <v>617</v>
      </c>
      <c r="V166" s="61" t="s">
        <v>569</v>
      </c>
      <c r="W166" s="61" cm="1">
        <f t="array" ref="W166">getDistance(I166,J166,R166,S166)*SA!$B$12</f>
        <v>760.23017443423055</v>
      </c>
      <c r="Y166" s="137">
        <f>Transportation_LCIA!C$61*($W166^Transportation_LCIA!C$60)+Transportation_LCIA!C$62</f>
        <v>0.26748484551114515</v>
      </c>
      <c r="Z166" s="137">
        <f>Transportation_LCIA!D$61*($W166^Transportation_LCIA!D$60)+Transportation_LCIA!D$62</f>
        <v>2.7962943838262628</v>
      </c>
      <c r="AA166" s="137">
        <f>Transportation_LCIA!E$61*($W166^Transportation_LCIA!E$60)+Transportation_LCIA!E$62</f>
        <v>1.3884751942841386E-3</v>
      </c>
      <c r="AB166" s="137">
        <f>Transportation_LCIA!F$61*($W166^Transportation_LCIA!F$60)+Transportation_LCIA!F$62</f>
        <v>0.26748484551114515</v>
      </c>
      <c r="AC166" s="137">
        <f>Transportation_LCIA!G$61*($W166^Transportation_LCIA!G$60)+Transportation_LCIA!G$62</f>
        <v>6.5263588445570703E-2</v>
      </c>
      <c r="AD166" s="137">
        <f>Transportation_LCIA!H$61*($W166^Transportation_LCIA!H$60)+Transportation_LCIA!H$62</f>
        <v>3.3065965062548244E-4</v>
      </c>
      <c r="AE166" s="137">
        <f>Transportation_LCIA!I$61*($W166^Transportation_LCIA!I$60)+Transportation_LCIA!I$62</f>
        <v>7.2834170269146907E-6</v>
      </c>
      <c r="AF166" s="137">
        <f>Transportation_LCIA!J$61*($W166^Transportation_LCIA!J$60)+Transportation_LCIA!J$62</f>
        <v>1.0799632316687686E-2</v>
      </c>
      <c r="AG166" s="137">
        <f>Transportation_LCIA!K$61*($W166^Transportation_LCIA!K$60)+Transportation_LCIA!K$62</f>
        <v>1.4065057563021365E-2</v>
      </c>
      <c r="AH166" s="137">
        <f>Transportation_LCIA!L$61*($W166^Transportation_LCIA!L$60)+Transportation_LCIA!L$62</f>
        <v>2.8947679027948659E-4</v>
      </c>
      <c r="AI166" s="137">
        <f>Transportation_LCIA!M$61*($W166^Transportation_LCIA!M$60)+Transportation_LCIA!M$62</f>
        <v>2.7334032688058045E-4</v>
      </c>
      <c r="AJ166" s="137">
        <f>Transportation_LCIA!N$61*($W166^Transportation_LCIA!N$60)+Transportation_LCIA!N$62</f>
        <v>1.1708710686252851E-3</v>
      </c>
      <c r="AK166" s="137">
        <f>Transportation_LCIA!O$61*($W166^Transportation_LCIA!O$60)+Transportation_LCIA!O$62</f>
        <v>6.9016481528209455E-5</v>
      </c>
      <c r="AL166" s="137">
        <f>Transportation_LCIA!P$61*($W166^Transportation_LCIA!P$60)+Transportation_LCIA!P$62</f>
        <v>3.3349318791163136E-8</v>
      </c>
      <c r="AM166" s="137">
        <f>Transportation_LCIA!Q$61*($W166^Transportation_LCIA!Q$60)+Transportation_LCIA!Q$62</f>
        <v>1.1436249903596694E-4</v>
      </c>
      <c r="AN166" s="137">
        <f>Transportation_LCIA!R$61*($W166^Transportation_LCIA!R$60)+Transportation_LCIA!R$62</f>
        <v>3.5011315764112876E-4</v>
      </c>
      <c r="AO166" s="137">
        <f>Transportation_LCIA!S$61*($W166^Transportation_LCIA!S$60)+Transportation_LCIA!S$62</f>
        <v>5.2260666576107602E-6</v>
      </c>
      <c r="AP166" s="137">
        <f>Transportation_LCIA!T$61*($W166^Transportation_LCIA!T$60)+Transportation_LCIA!T$62</f>
        <v>5.2260666576107602E-6</v>
      </c>
      <c r="AQ166" s="137">
        <f>Transportation_LCIA!U$61*($W166^Transportation_LCIA!U$60)+Transportation_LCIA!U$62</f>
        <v>7.5464857756149138E-4</v>
      </c>
      <c r="AR166" s="137">
        <f>Transportation_LCIA!V$61*($W166^Transportation_LCIA!V$60)+Transportation_LCIA!V$62</f>
        <v>2.9748725597587074E-4</v>
      </c>
      <c r="AT166" s="137">
        <f>$W166*Y166+$L166*Summary_LCIA!H$32</f>
        <v>237.54276556145109</v>
      </c>
      <c r="AU166" s="137">
        <f>$W166*Z166+$L166*Summary_LCIA!Q$32</f>
        <v>2624.5348980567569</v>
      </c>
      <c r="AV166" s="137">
        <f>$W166*AA166+$L166*Summary_LCIA!R$32</f>
        <v>1.585417004748233</v>
      </c>
      <c r="AW166" s="137">
        <f>$W166*AB166+$L166*Summary_LCIA!S$32</f>
        <v>237.09799864145108</v>
      </c>
      <c r="AX166" s="137">
        <f>$W166*AC166+$L166*Summary_LCIA!T$32</f>
        <v>60.674146628180054</v>
      </c>
      <c r="AY166" s="137">
        <f>$W166*AD166+$L166*Summary_LCIA!U$32</f>
        <v>2.053991607873372</v>
      </c>
      <c r="AZ166" s="137">
        <f>$W166*AE166+$L166*Summary_LCIA!V$32</f>
        <v>1.0343071782848601E-2</v>
      </c>
      <c r="BA166" s="137">
        <f>$W166*AF166+$L166*Summary_LCIA!W$32</f>
        <v>15.955490205941032</v>
      </c>
      <c r="BB166" s="137">
        <f>$W166*AG166+$L166*Summary_LCIA!X$32</f>
        <v>12.984941444563226</v>
      </c>
      <c r="BC166" s="137">
        <f>$W166*AH166+$L166*Summary_LCIA!Y$32</f>
        <v>1.7880233227688354</v>
      </c>
      <c r="BD166" s="137">
        <f>$W166*AI166+$L166*Summary_LCIA!Z$32</f>
        <v>0.21192813601833327</v>
      </c>
      <c r="BE166" s="137">
        <f>$W166*AJ166+$L166*Summary_LCIA!AA$32</f>
        <v>3.2403523727409942</v>
      </c>
      <c r="BF166" s="137">
        <f>$W166*AK166+$L166*Summary_LCIA!AB$32</f>
        <v>5.0272450593027526E-2</v>
      </c>
      <c r="BG166" s="137">
        <f>$W166*AL166+$L166*Summary_LCIA!AC$32</f>
        <v>3.0272159825868717E-5</v>
      </c>
      <c r="BH166" s="137">
        <f>$W166*AM166+$L166*Summary_LCIA!AD$32</f>
        <v>0.12830313363084767</v>
      </c>
      <c r="BI166" s="137">
        <f>$W166*AN166+$L166*Summary_LCIA!AE$32</f>
        <v>0.3553343042852346</v>
      </c>
      <c r="BJ166" s="137">
        <f>$W166*AO166+$L166*Summary_LCIA!AF$32</f>
        <v>8.9044246486720352E-2</v>
      </c>
      <c r="BK166" s="137">
        <f>$W166*AP166+$L166*Summary_LCIA!AG$32</f>
        <v>9.1215428567203438E-3</v>
      </c>
      <c r="BL166" s="137">
        <f>$W166*AQ166+$L166*Summary_LCIA!AH$32</f>
        <v>1.4495150733561166</v>
      </c>
      <c r="BM166" s="137">
        <f>$W166*AR166+$L166*Summary_LCIA!AI$32</f>
        <v>0.31989693880249681</v>
      </c>
    </row>
    <row r="167" spans="1:65" x14ac:dyDescent="0.25">
      <c r="A167" s="149">
        <v>31</v>
      </c>
      <c r="B167" s="149">
        <v>16</v>
      </c>
      <c r="C167" s="61">
        <v>40.817663000000003</v>
      </c>
      <c r="D167" s="61">
        <v>-96.700036999999995</v>
      </c>
      <c r="E167" s="61" t="s">
        <v>265</v>
      </c>
      <c r="F167" s="149">
        <v>121</v>
      </c>
      <c r="G167" s="61" t="s">
        <v>287</v>
      </c>
      <c r="H167" s="61" t="s">
        <v>290</v>
      </c>
      <c r="I167" s="61">
        <v>41.301873000000001</v>
      </c>
      <c r="J167" s="61">
        <v>-95.893741000000006</v>
      </c>
      <c r="K167" s="61">
        <v>107.8641052</v>
      </c>
      <c r="L167" s="61">
        <v>100.626</v>
      </c>
      <c r="M167" s="61" t="s">
        <v>617</v>
      </c>
      <c r="N167" s="149">
        <v>15</v>
      </c>
      <c r="O167" s="149">
        <v>16</v>
      </c>
      <c r="P167" s="61" t="s">
        <v>565</v>
      </c>
      <c r="Q167" s="61" t="s">
        <v>556</v>
      </c>
      <c r="R167" s="61">
        <v>39.856096299999997</v>
      </c>
      <c r="S167" s="61">
        <v>-104.6737376</v>
      </c>
      <c r="T167" s="61">
        <v>775.22900000000004</v>
      </c>
      <c r="U167" s="61" t="s">
        <v>617</v>
      </c>
      <c r="V167" s="61" t="s">
        <v>569</v>
      </c>
      <c r="W167" s="61" cm="1">
        <f t="array" ref="W167">getDistance(I167,J167,R167,S167)*SA!$B$12</f>
        <v>760.23017443423055</v>
      </c>
      <c r="Y167" s="137">
        <f>Transportation_LCIA!C$61*($W167^Transportation_LCIA!C$60)+Transportation_LCIA!C$62</f>
        <v>0.26748484551114515</v>
      </c>
      <c r="Z167" s="137">
        <f>Transportation_LCIA!D$61*($W167^Transportation_LCIA!D$60)+Transportation_LCIA!D$62</f>
        <v>2.7962943838262628</v>
      </c>
      <c r="AA167" s="137">
        <f>Transportation_LCIA!E$61*($W167^Transportation_LCIA!E$60)+Transportation_LCIA!E$62</f>
        <v>1.3884751942841386E-3</v>
      </c>
      <c r="AB167" s="137">
        <f>Transportation_LCIA!F$61*($W167^Transportation_LCIA!F$60)+Transportation_LCIA!F$62</f>
        <v>0.26748484551114515</v>
      </c>
      <c r="AC167" s="137">
        <f>Transportation_LCIA!G$61*($W167^Transportation_LCIA!G$60)+Transportation_LCIA!G$62</f>
        <v>6.5263588445570703E-2</v>
      </c>
      <c r="AD167" s="137">
        <f>Transportation_LCIA!H$61*($W167^Transportation_LCIA!H$60)+Transportation_LCIA!H$62</f>
        <v>3.3065965062548244E-4</v>
      </c>
      <c r="AE167" s="137">
        <f>Transportation_LCIA!I$61*($W167^Transportation_LCIA!I$60)+Transportation_LCIA!I$62</f>
        <v>7.2834170269146907E-6</v>
      </c>
      <c r="AF167" s="137">
        <f>Transportation_LCIA!J$61*($W167^Transportation_LCIA!J$60)+Transportation_LCIA!J$62</f>
        <v>1.0799632316687686E-2</v>
      </c>
      <c r="AG167" s="137">
        <f>Transportation_LCIA!K$61*($W167^Transportation_LCIA!K$60)+Transportation_LCIA!K$62</f>
        <v>1.4065057563021365E-2</v>
      </c>
      <c r="AH167" s="137">
        <f>Transportation_LCIA!L$61*($W167^Transportation_LCIA!L$60)+Transportation_LCIA!L$62</f>
        <v>2.8947679027948659E-4</v>
      </c>
      <c r="AI167" s="137">
        <f>Transportation_LCIA!M$61*($W167^Transportation_LCIA!M$60)+Transportation_LCIA!M$62</f>
        <v>2.7334032688058045E-4</v>
      </c>
      <c r="AJ167" s="137">
        <f>Transportation_LCIA!N$61*($W167^Transportation_LCIA!N$60)+Transportation_LCIA!N$62</f>
        <v>1.1708710686252851E-3</v>
      </c>
      <c r="AK167" s="137">
        <f>Transportation_LCIA!O$61*($W167^Transportation_LCIA!O$60)+Transportation_LCIA!O$62</f>
        <v>6.9016481528209455E-5</v>
      </c>
      <c r="AL167" s="137">
        <f>Transportation_LCIA!P$61*($W167^Transportation_LCIA!P$60)+Transportation_LCIA!P$62</f>
        <v>3.3349318791163136E-8</v>
      </c>
      <c r="AM167" s="137">
        <f>Transportation_LCIA!Q$61*($W167^Transportation_LCIA!Q$60)+Transportation_LCIA!Q$62</f>
        <v>1.1436249903596694E-4</v>
      </c>
      <c r="AN167" s="137">
        <f>Transportation_LCIA!R$61*($W167^Transportation_LCIA!R$60)+Transportation_LCIA!R$62</f>
        <v>3.5011315764112876E-4</v>
      </c>
      <c r="AO167" s="137">
        <f>Transportation_LCIA!S$61*($W167^Transportation_LCIA!S$60)+Transportation_LCIA!S$62</f>
        <v>5.2260666576107602E-6</v>
      </c>
      <c r="AP167" s="137">
        <f>Transportation_LCIA!T$61*($W167^Transportation_LCIA!T$60)+Transportation_LCIA!T$62</f>
        <v>5.2260666576107602E-6</v>
      </c>
      <c r="AQ167" s="137">
        <f>Transportation_LCIA!U$61*($W167^Transportation_LCIA!U$60)+Transportation_LCIA!U$62</f>
        <v>7.5464857756149138E-4</v>
      </c>
      <c r="AR167" s="137">
        <f>Transportation_LCIA!V$61*($W167^Transportation_LCIA!V$60)+Transportation_LCIA!V$62</f>
        <v>2.9748725597587074E-4</v>
      </c>
      <c r="AT167" s="137">
        <f>$W167*Y167+$L167*Summary_LCIA!H$32</f>
        <v>237.54276556145109</v>
      </c>
      <c r="AU167" s="137">
        <f>$W167*Z167+$L167*Summary_LCIA!Q$32</f>
        <v>2624.5348980567569</v>
      </c>
      <c r="AV167" s="137">
        <f>$W167*AA167+$L167*Summary_LCIA!R$32</f>
        <v>1.585417004748233</v>
      </c>
      <c r="AW167" s="137">
        <f>$W167*AB167+$L167*Summary_LCIA!S$32</f>
        <v>237.09799864145108</v>
      </c>
      <c r="AX167" s="137">
        <f>$W167*AC167+$L167*Summary_LCIA!T$32</f>
        <v>60.674146628180054</v>
      </c>
      <c r="AY167" s="137">
        <f>$W167*AD167+$L167*Summary_LCIA!U$32</f>
        <v>2.053991607873372</v>
      </c>
      <c r="AZ167" s="137">
        <f>$W167*AE167+$L167*Summary_LCIA!V$32</f>
        <v>1.0343071782848601E-2</v>
      </c>
      <c r="BA167" s="137">
        <f>$W167*AF167+$L167*Summary_LCIA!W$32</f>
        <v>15.955490205941032</v>
      </c>
      <c r="BB167" s="137">
        <f>$W167*AG167+$L167*Summary_LCIA!X$32</f>
        <v>12.984941444563226</v>
      </c>
      <c r="BC167" s="137">
        <f>$W167*AH167+$L167*Summary_LCIA!Y$32</f>
        <v>1.7880233227688354</v>
      </c>
      <c r="BD167" s="137">
        <f>$W167*AI167+$L167*Summary_LCIA!Z$32</f>
        <v>0.21192813601833327</v>
      </c>
      <c r="BE167" s="137">
        <f>$W167*AJ167+$L167*Summary_LCIA!AA$32</f>
        <v>3.2403523727409942</v>
      </c>
      <c r="BF167" s="137">
        <f>$W167*AK167+$L167*Summary_LCIA!AB$32</f>
        <v>5.0272450593027526E-2</v>
      </c>
      <c r="BG167" s="137">
        <f>$W167*AL167+$L167*Summary_LCIA!AC$32</f>
        <v>3.0272159825868717E-5</v>
      </c>
      <c r="BH167" s="137">
        <f>$W167*AM167+$L167*Summary_LCIA!AD$32</f>
        <v>0.12830313363084767</v>
      </c>
      <c r="BI167" s="137">
        <f>$W167*AN167+$L167*Summary_LCIA!AE$32</f>
        <v>0.3553343042852346</v>
      </c>
      <c r="BJ167" s="137">
        <f>$W167*AO167+$L167*Summary_LCIA!AF$32</f>
        <v>8.9044246486720352E-2</v>
      </c>
      <c r="BK167" s="137">
        <f>$W167*AP167+$L167*Summary_LCIA!AG$32</f>
        <v>9.1215428567203438E-3</v>
      </c>
      <c r="BL167" s="137">
        <f>$W167*AQ167+$L167*Summary_LCIA!AH$32</f>
        <v>1.4495150733561166</v>
      </c>
      <c r="BM167" s="137">
        <f>$W167*AR167+$L167*Summary_LCIA!AI$32</f>
        <v>0.31989693880249681</v>
      </c>
    </row>
    <row r="168" spans="1:65" x14ac:dyDescent="0.25">
      <c r="A168" s="149">
        <v>32</v>
      </c>
      <c r="B168" s="149">
        <v>16</v>
      </c>
      <c r="C168" s="61">
        <v>40.817663000000003</v>
      </c>
      <c r="D168" s="61">
        <v>-96.700036999999995</v>
      </c>
      <c r="E168" s="61" t="s">
        <v>265</v>
      </c>
      <c r="F168" s="149">
        <v>121</v>
      </c>
      <c r="G168" s="61" t="s">
        <v>287</v>
      </c>
      <c r="H168" s="61" t="s">
        <v>290</v>
      </c>
      <c r="I168" s="61">
        <v>41.301873000000001</v>
      </c>
      <c r="J168" s="61">
        <v>-95.893741000000006</v>
      </c>
      <c r="K168" s="61">
        <v>107.8641052</v>
      </c>
      <c r="L168" s="61">
        <v>100.626</v>
      </c>
      <c r="M168" s="61" t="s">
        <v>617</v>
      </c>
      <c r="N168" s="149">
        <v>15</v>
      </c>
      <c r="O168" s="149">
        <v>16</v>
      </c>
      <c r="P168" s="61" t="s">
        <v>565</v>
      </c>
      <c r="Q168" s="61" t="s">
        <v>556</v>
      </c>
      <c r="R168" s="61">
        <v>39.856096299999997</v>
      </c>
      <c r="S168" s="61">
        <v>-104.6737376</v>
      </c>
      <c r="T168" s="61">
        <v>775.22900000000004</v>
      </c>
      <c r="U168" s="61" t="s">
        <v>617</v>
      </c>
      <c r="V168" s="61" t="s">
        <v>569</v>
      </c>
      <c r="W168" s="61" cm="1">
        <f t="array" ref="W168">getDistance(I168,J168,R168,S168)*SA!$B$12</f>
        <v>760.23017443423055</v>
      </c>
      <c r="Y168" s="137">
        <f>Transportation_LCIA!C$61*($W168^Transportation_LCIA!C$60)+Transportation_LCIA!C$62</f>
        <v>0.26748484551114515</v>
      </c>
      <c r="Z168" s="137">
        <f>Transportation_LCIA!D$61*($W168^Transportation_LCIA!D$60)+Transportation_LCIA!D$62</f>
        <v>2.7962943838262628</v>
      </c>
      <c r="AA168" s="137">
        <f>Transportation_LCIA!E$61*($W168^Transportation_LCIA!E$60)+Transportation_LCIA!E$62</f>
        <v>1.3884751942841386E-3</v>
      </c>
      <c r="AB168" s="137">
        <f>Transportation_LCIA!F$61*($W168^Transportation_LCIA!F$60)+Transportation_LCIA!F$62</f>
        <v>0.26748484551114515</v>
      </c>
      <c r="AC168" s="137">
        <f>Transportation_LCIA!G$61*($W168^Transportation_LCIA!G$60)+Transportation_LCIA!G$62</f>
        <v>6.5263588445570703E-2</v>
      </c>
      <c r="AD168" s="137">
        <f>Transportation_LCIA!H$61*($W168^Transportation_LCIA!H$60)+Transportation_LCIA!H$62</f>
        <v>3.3065965062548244E-4</v>
      </c>
      <c r="AE168" s="137">
        <f>Transportation_LCIA!I$61*($W168^Transportation_LCIA!I$60)+Transportation_LCIA!I$62</f>
        <v>7.2834170269146907E-6</v>
      </c>
      <c r="AF168" s="137">
        <f>Transportation_LCIA!J$61*($W168^Transportation_LCIA!J$60)+Transportation_LCIA!J$62</f>
        <v>1.0799632316687686E-2</v>
      </c>
      <c r="AG168" s="137">
        <f>Transportation_LCIA!K$61*($W168^Transportation_LCIA!K$60)+Transportation_LCIA!K$62</f>
        <v>1.4065057563021365E-2</v>
      </c>
      <c r="AH168" s="137">
        <f>Transportation_LCIA!L$61*($W168^Transportation_LCIA!L$60)+Transportation_LCIA!L$62</f>
        <v>2.8947679027948659E-4</v>
      </c>
      <c r="AI168" s="137">
        <f>Transportation_LCIA!M$61*($W168^Transportation_LCIA!M$60)+Transportation_LCIA!M$62</f>
        <v>2.7334032688058045E-4</v>
      </c>
      <c r="AJ168" s="137">
        <f>Transportation_LCIA!N$61*($W168^Transportation_LCIA!N$60)+Transportation_LCIA!N$62</f>
        <v>1.1708710686252851E-3</v>
      </c>
      <c r="AK168" s="137">
        <f>Transportation_LCIA!O$61*($W168^Transportation_LCIA!O$60)+Transportation_LCIA!O$62</f>
        <v>6.9016481528209455E-5</v>
      </c>
      <c r="AL168" s="137">
        <f>Transportation_LCIA!P$61*($W168^Transportation_LCIA!P$60)+Transportation_LCIA!P$62</f>
        <v>3.3349318791163136E-8</v>
      </c>
      <c r="AM168" s="137">
        <f>Transportation_LCIA!Q$61*($W168^Transportation_LCIA!Q$60)+Transportation_LCIA!Q$62</f>
        <v>1.1436249903596694E-4</v>
      </c>
      <c r="AN168" s="137">
        <f>Transportation_LCIA!R$61*($W168^Transportation_LCIA!R$60)+Transportation_LCIA!R$62</f>
        <v>3.5011315764112876E-4</v>
      </c>
      <c r="AO168" s="137">
        <f>Transportation_LCIA!S$61*($W168^Transportation_LCIA!S$60)+Transportation_LCIA!S$62</f>
        <v>5.2260666576107602E-6</v>
      </c>
      <c r="AP168" s="137">
        <f>Transportation_LCIA!T$61*($W168^Transportation_LCIA!T$60)+Transportation_LCIA!T$62</f>
        <v>5.2260666576107602E-6</v>
      </c>
      <c r="AQ168" s="137">
        <f>Transportation_LCIA!U$61*($W168^Transportation_LCIA!U$60)+Transportation_LCIA!U$62</f>
        <v>7.5464857756149138E-4</v>
      </c>
      <c r="AR168" s="137">
        <f>Transportation_LCIA!V$61*($W168^Transportation_LCIA!V$60)+Transportation_LCIA!V$62</f>
        <v>2.9748725597587074E-4</v>
      </c>
      <c r="AT168" s="137">
        <f>$W168*Y168+$L168*Summary_LCIA!H$32</f>
        <v>237.54276556145109</v>
      </c>
      <c r="AU168" s="137">
        <f>$W168*Z168+$L168*Summary_LCIA!Q$32</f>
        <v>2624.5348980567569</v>
      </c>
      <c r="AV168" s="137">
        <f>$W168*AA168+$L168*Summary_LCIA!R$32</f>
        <v>1.585417004748233</v>
      </c>
      <c r="AW168" s="137">
        <f>$W168*AB168+$L168*Summary_LCIA!S$32</f>
        <v>237.09799864145108</v>
      </c>
      <c r="AX168" s="137">
        <f>$W168*AC168+$L168*Summary_LCIA!T$32</f>
        <v>60.674146628180054</v>
      </c>
      <c r="AY168" s="137">
        <f>$W168*AD168+$L168*Summary_LCIA!U$32</f>
        <v>2.053991607873372</v>
      </c>
      <c r="AZ168" s="137">
        <f>$W168*AE168+$L168*Summary_LCIA!V$32</f>
        <v>1.0343071782848601E-2</v>
      </c>
      <c r="BA168" s="137">
        <f>$W168*AF168+$L168*Summary_LCIA!W$32</f>
        <v>15.955490205941032</v>
      </c>
      <c r="BB168" s="137">
        <f>$W168*AG168+$L168*Summary_LCIA!X$32</f>
        <v>12.984941444563226</v>
      </c>
      <c r="BC168" s="137">
        <f>$W168*AH168+$L168*Summary_LCIA!Y$32</f>
        <v>1.7880233227688354</v>
      </c>
      <c r="BD168" s="137">
        <f>$W168*AI168+$L168*Summary_LCIA!Z$32</f>
        <v>0.21192813601833327</v>
      </c>
      <c r="BE168" s="137">
        <f>$W168*AJ168+$L168*Summary_LCIA!AA$32</f>
        <v>3.2403523727409942</v>
      </c>
      <c r="BF168" s="137">
        <f>$W168*AK168+$L168*Summary_LCIA!AB$32</f>
        <v>5.0272450593027526E-2</v>
      </c>
      <c r="BG168" s="137">
        <f>$W168*AL168+$L168*Summary_LCIA!AC$32</f>
        <v>3.0272159825868717E-5</v>
      </c>
      <c r="BH168" s="137">
        <f>$W168*AM168+$L168*Summary_LCIA!AD$32</f>
        <v>0.12830313363084767</v>
      </c>
      <c r="BI168" s="137">
        <f>$W168*AN168+$L168*Summary_LCIA!AE$32</f>
        <v>0.3553343042852346</v>
      </c>
      <c r="BJ168" s="137">
        <f>$W168*AO168+$L168*Summary_LCIA!AF$32</f>
        <v>8.9044246486720352E-2</v>
      </c>
      <c r="BK168" s="137">
        <f>$W168*AP168+$L168*Summary_LCIA!AG$32</f>
        <v>9.1215428567203438E-3</v>
      </c>
      <c r="BL168" s="137">
        <f>$W168*AQ168+$L168*Summary_LCIA!AH$32</f>
        <v>1.4495150733561166</v>
      </c>
      <c r="BM168" s="137">
        <f>$W168*AR168+$L168*Summary_LCIA!AI$32</f>
        <v>0.31989693880249681</v>
      </c>
    </row>
    <row r="169" spans="1:65" x14ac:dyDescent="0.25">
      <c r="A169" s="149">
        <v>50</v>
      </c>
      <c r="B169" s="149">
        <v>43</v>
      </c>
      <c r="C169" s="61">
        <v>43.638885999999999</v>
      </c>
      <c r="D169" s="61">
        <v>-79.380352000000002</v>
      </c>
      <c r="E169" s="61" t="s">
        <v>456</v>
      </c>
      <c r="F169" s="149">
        <v>130</v>
      </c>
      <c r="G169" s="61" t="s">
        <v>275</v>
      </c>
      <c r="H169" s="61" t="s">
        <v>653</v>
      </c>
      <c r="I169" s="61">
        <v>43.628481999999998</v>
      </c>
      <c r="J169" s="61">
        <v>-79.395957999999993</v>
      </c>
      <c r="K169" s="61">
        <v>2.1920799710000001</v>
      </c>
      <c r="L169" s="61">
        <v>2.4620000000000002</v>
      </c>
      <c r="M169" s="61" t="s">
        <v>617</v>
      </c>
      <c r="N169" s="149">
        <v>42</v>
      </c>
      <c r="O169" s="149">
        <v>43</v>
      </c>
      <c r="P169" s="61" t="s">
        <v>565</v>
      </c>
      <c r="Q169" s="61" t="s">
        <v>555</v>
      </c>
      <c r="R169" s="61">
        <v>40.6895314</v>
      </c>
      <c r="S169" s="61">
        <v>-74.174462399999996</v>
      </c>
      <c r="T169" s="61">
        <v>784.93200000000002</v>
      </c>
      <c r="U169" s="61" t="s">
        <v>617</v>
      </c>
      <c r="V169" s="61" t="s">
        <v>569</v>
      </c>
      <c r="W169" s="61" cm="1">
        <f t="array" ref="W169">getDistance(I169,J169,R169,S169)*SA!$B$12</f>
        <v>541.27512186027764</v>
      </c>
      <c r="Y169" s="137">
        <f>Transportation_LCIA!C$61*($W169^Transportation_LCIA!C$60)+Transportation_LCIA!C$62</f>
        <v>0.31878604820552614</v>
      </c>
      <c r="Z169" s="137">
        <f>Transportation_LCIA!D$61*($W169^Transportation_LCIA!D$60)+Transportation_LCIA!D$62</f>
        <v>3.4067317365432173</v>
      </c>
      <c r="AA169" s="137">
        <f>Transportation_LCIA!E$61*($W169^Transportation_LCIA!E$60)+Transportation_LCIA!E$62</f>
        <v>1.7920287787271288E-3</v>
      </c>
      <c r="AB169" s="137">
        <f>Transportation_LCIA!F$61*($W169^Transportation_LCIA!F$60)+Transportation_LCIA!F$62</f>
        <v>0.31878604820552614</v>
      </c>
      <c r="AC169" s="137">
        <f>Transportation_LCIA!G$61*($W169^Transportation_LCIA!G$60)+Transportation_LCIA!G$62</f>
        <v>7.9370508713586002E-2</v>
      </c>
      <c r="AD169" s="137">
        <f>Transportation_LCIA!H$61*($W169^Transportation_LCIA!H$60)+Transportation_LCIA!H$62</f>
        <v>4.2035633908471618E-4</v>
      </c>
      <c r="AE169" s="137">
        <f>Transportation_LCIA!I$61*($W169^Transportation_LCIA!I$60)+Transportation_LCIA!I$62</f>
        <v>9.5810471583003702E-6</v>
      </c>
      <c r="AF169" s="137">
        <f>Transportation_LCIA!J$61*($W169^Transportation_LCIA!J$60)+Transportation_LCIA!J$62</f>
        <v>1.426057241974343E-2</v>
      </c>
      <c r="AG169" s="137">
        <f>Transportation_LCIA!K$61*($W169^Transportation_LCIA!K$60)+Transportation_LCIA!K$62</f>
        <v>1.7390593610148022E-2</v>
      </c>
      <c r="AH169" s="137">
        <f>Transportation_LCIA!L$61*($W169^Transportation_LCIA!L$60)+Transportation_LCIA!L$62</f>
        <v>3.723479618897653E-4</v>
      </c>
      <c r="AI169" s="137">
        <f>Transportation_LCIA!M$61*($W169^Transportation_LCIA!M$60)+Transportation_LCIA!M$62</f>
        <v>3.228722583115967E-4</v>
      </c>
      <c r="AJ169" s="137">
        <f>Transportation_LCIA!N$61*($W169^Transportation_LCIA!N$60)+Transportation_LCIA!N$62</f>
        <v>1.4720294927440731E-3</v>
      </c>
      <c r="AK169" s="137">
        <f>Transportation_LCIA!O$61*($W169^Transportation_LCIA!O$60)+Transportation_LCIA!O$62</f>
        <v>8.4014911722372877E-5</v>
      </c>
      <c r="AL169" s="137">
        <f>Transportation_LCIA!P$61*($W169^Transportation_LCIA!P$60)+Transportation_LCIA!P$62</f>
        <v>4.0549982267229356E-8</v>
      </c>
      <c r="AM169" s="137">
        <f>Transportation_LCIA!Q$61*($W169^Transportation_LCIA!Q$60)+Transportation_LCIA!Q$62</f>
        <v>1.4685177071714801E-4</v>
      </c>
      <c r="AN169" s="137">
        <f>Transportation_LCIA!R$61*($W169^Transportation_LCIA!R$60)+Transportation_LCIA!R$62</f>
        <v>4.6033768870650074E-4</v>
      </c>
      <c r="AO169" s="137">
        <f>Transportation_LCIA!S$61*($W169^Transportation_LCIA!S$60)+Transportation_LCIA!S$62</f>
        <v>6.7891675624868085E-6</v>
      </c>
      <c r="AP169" s="137">
        <f>Transportation_LCIA!T$61*($W169^Transportation_LCIA!T$60)+Transportation_LCIA!T$62</f>
        <v>6.7891675624868085E-6</v>
      </c>
      <c r="AQ169" s="137">
        <f>Transportation_LCIA!U$61*($W169^Transportation_LCIA!U$60)+Transportation_LCIA!U$62</f>
        <v>9.9717260851609206E-4</v>
      </c>
      <c r="AR169" s="137">
        <f>Transportation_LCIA!V$61*($W169^Transportation_LCIA!V$60)+Transportation_LCIA!V$62</f>
        <v>3.8229923422683721E-4</v>
      </c>
      <c r="AT169" s="137">
        <f>$W169*Y169+$L169*Summary_LCIA!H$32</f>
        <v>173.3875446898025</v>
      </c>
      <c r="AU169" s="137">
        <f>$W169*Z169+$L169*Summary_LCIA!Q$32</f>
        <v>1856.1809320087511</v>
      </c>
      <c r="AV169" s="137">
        <f>$W169*AA169+$L169*Summary_LCIA!R$32</f>
        <v>0.98294450278265111</v>
      </c>
      <c r="AW169" s="137">
        <f>$W169*AB169+$L169*Summary_LCIA!S$32</f>
        <v>173.37666264980248</v>
      </c>
      <c r="AX169" s="137">
        <f>$W169*AC169+$L169*Summary_LCIA!T$32</f>
        <v>43.231855576058493</v>
      </c>
      <c r="AY169" s="137">
        <f>$W169*AD169+$L169*Summary_LCIA!U$32</f>
        <v>0.27163269666281997</v>
      </c>
      <c r="AZ169" s="137">
        <f>$W169*AE169+$L169*Summary_LCIA!V$32</f>
        <v>5.3035700501580995E-3</v>
      </c>
      <c r="BA169" s="137">
        <f>$W169*AF169+$L169*Summary_LCIA!W$32</f>
        <v>7.9083956762939396</v>
      </c>
      <c r="BB169" s="137">
        <f>$W169*AG169+$L169*Summary_LCIA!X$32</f>
        <v>9.4691800355554356</v>
      </c>
      <c r="BC169" s="137">
        <f>$W169*AH169+$L169*Summary_LCIA!Y$32</f>
        <v>0.23990557244630875</v>
      </c>
      <c r="BD169" s="137">
        <f>$W169*AI169+$L169*Summary_LCIA!Z$32</f>
        <v>0.17486368512091255</v>
      </c>
      <c r="BE169" s="137">
        <f>$W169*AJ169+$L169*Summary_LCIA!AA$32</f>
        <v>0.85427541506697091</v>
      </c>
      <c r="BF169" s="137">
        <f>$W169*AK169+$L169*Summary_LCIA!AB$32</f>
        <v>4.5421453354607851E-2</v>
      </c>
      <c r="BG169" s="137">
        <f>$W169*AL169+$L169*Summary_LCIA!AC$32</f>
        <v>2.2069049001126668E-5</v>
      </c>
      <c r="BH169" s="137">
        <f>$W169*AM169+$L169*Summary_LCIA!AD$32</f>
        <v>8.049919057032183E-2</v>
      </c>
      <c r="BI169" s="137">
        <f>$W169*AN169+$L169*Summary_LCIA!AE$32</f>
        <v>0.25135099061148974</v>
      </c>
      <c r="BJ169" s="137">
        <f>$W169*AO169+$L169*Summary_LCIA!AF$32</f>
        <v>5.7562315397148914E-3</v>
      </c>
      <c r="BK169" s="137">
        <f>$W169*AP169+$L169*Summary_LCIA!AG$32</f>
        <v>3.8007757297148915E-3</v>
      </c>
      <c r="BL169" s="137">
        <f>$W169*AQ169+$L169*Summary_LCIA!AH$32</f>
        <v>0.56117298839027863</v>
      </c>
      <c r="BM169" s="137">
        <f>$W169*AR169+$L169*Summary_LCIA!AI$32</f>
        <v>0.20922254069322213</v>
      </c>
    </row>
    <row r="170" spans="1:65" x14ac:dyDescent="0.25">
      <c r="A170" s="149">
        <v>363</v>
      </c>
      <c r="B170" s="149">
        <v>43</v>
      </c>
      <c r="C170" s="61">
        <v>43.653225999999997</v>
      </c>
      <c r="D170" s="61">
        <v>-79.383184</v>
      </c>
      <c r="E170" s="61" t="s">
        <v>456</v>
      </c>
      <c r="F170" s="149">
        <v>130</v>
      </c>
      <c r="G170" s="61" t="s">
        <v>275</v>
      </c>
      <c r="H170" s="61" t="s">
        <v>653</v>
      </c>
      <c r="I170" s="61">
        <v>43.628481999999998</v>
      </c>
      <c r="J170" s="61">
        <v>-79.395957999999993</v>
      </c>
      <c r="K170" s="61">
        <v>4.2005598900000001</v>
      </c>
      <c r="L170" s="61">
        <v>4.1710000000000003</v>
      </c>
      <c r="M170" s="61" t="s">
        <v>617</v>
      </c>
      <c r="N170" s="149">
        <v>42</v>
      </c>
      <c r="O170" s="149">
        <v>43</v>
      </c>
      <c r="P170" s="61" t="s">
        <v>565</v>
      </c>
      <c r="Q170" s="61" t="s">
        <v>555</v>
      </c>
      <c r="R170" s="61">
        <v>40.6895314</v>
      </c>
      <c r="S170" s="61">
        <v>-74.174462399999996</v>
      </c>
      <c r="T170" s="61">
        <v>785.35199999999998</v>
      </c>
      <c r="U170" s="61" t="s">
        <v>617</v>
      </c>
      <c r="V170" s="61" t="s">
        <v>569</v>
      </c>
      <c r="W170" s="61" cm="1">
        <f t="array" ref="W170">getDistance(I170,J170,R170,S170)*SA!$B$12</f>
        <v>541.27512186027764</v>
      </c>
      <c r="Y170" s="137">
        <f>Transportation_LCIA!C$61*($W170^Transportation_LCIA!C$60)+Transportation_LCIA!C$62</f>
        <v>0.31878604820552614</v>
      </c>
      <c r="Z170" s="137">
        <f>Transportation_LCIA!D$61*($W170^Transportation_LCIA!D$60)+Transportation_LCIA!D$62</f>
        <v>3.4067317365432173</v>
      </c>
      <c r="AA170" s="137">
        <f>Transportation_LCIA!E$61*($W170^Transportation_LCIA!E$60)+Transportation_LCIA!E$62</f>
        <v>1.7920287787271288E-3</v>
      </c>
      <c r="AB170" s="137">
        <f>Transportation_LCIA!F$61*($W170^Transportation_LCIA!F$60)+Transportation_LCIA!F$62</f>
        <v>0.31878604820552614</v>
      </c>
      <c r="AC170" s="137">
        <f>Transportation_LCIA!G$61*($W170^Transportation_LCIA!G$60)+Transportation_LCIA!G$62</f>
        <v>7.9370508713586002E-2</v>
      </c>
      <c r="AD170" s="137">
        <f>Transportation_LCIA!H$61*($W170^Transportation_LCIA!H$60)+Transportation_LCIA!H$62</f>
        <v>4.2035633908471618E-4</v>
      </c>
      <c r="AE170" s="137">
        <f>Transportation_LCIA!I$61*($W170^Transportation_LCIA!I$60)+Transportation_LCIA!I$62</f>
        <v>9.5810471583003702E-6</v>
      </c>
      <c r="AF170" s="137">
        <f>Transportation_LCIA!J$61*($W170^Transportation_LCIA!J$60)+Transportation_LCIA!J$62</f>
        <v>1.426057241974343E-2</v>
      </c>
      <c r="AG170" s="137">
        <f>Transportation_LCIA!K$61*($W170^Transportation_LCIA!K$60)+Transportation_LCIA!K$62</f>
        <v>1.7390593610148022E-2</v>
      </c>
      <c r="AH170" s="137">
        <f>Transportation_LCIA!L$61*($W170^Transportation_LCIA!L$60)+Transportation_LCIA!L$62</f>
        <v>3.723479618897653E-4</v>
      </c>
      <c r="AI170" s="137">
        <f>Transportation_LCIA!M$61*($W170^Transportation_LCIA!M$60)+Transportation_LCIA!M$62</f>
        <v>3.228722583115967E-4</v>
      </c>
      <c r="AJ170" s="137">
        <f>Transportation_LCIA!N$61*($W170^Transportation_LCIA!N$60)+Transportation_LCIA!N$62</f>
        <v>1.4720294927440731E-3</v>
      </c>
      <c r="AK170" s="137">
        <f>Transportation_LCIA!O$61*($W170^Transportation_LCIA!O$60)+Transportation_LCIA!O$62</f>
        <v>8.4014911722372877E-5</v>
      </c>
      <c r="AL170" s="137">
        <f>Transportation_LCIA!P$61*($W170^Transportation_LCIA!P$60)+Transportation_LCIA!P$62</f>
        <v>4.0549982267229356E-8</v>
      </c>
      <c r="AM170" s="137">
        <f>Transportation_LCIA!Q$61*($W170^Transportation_LCIA!Q$60)+Transportation_LCIA!Q$62</f>
        <v>1.4685177071714801E-4</v>
      </c>
      <c r="AN170" s="137">
        <f>Transportation_LCIA!R$61*($W170^Transportation_LCIA!R$60)+Transportation_LCIA!R$62</f>
        <v>4.6033768870650074E-4</v>
      </c>
      <c r="AO170" s="137">
        <f>Transportation_LCIA!S$61*($W170^Transportation_LCIA!S$60)+Transportation_LCIA!S$62</f>
        <v>6.7891675624868085E-6</v>
      </c>
      <c r="AP170" s="137">
        <f>Transportation_LCIA!T$61*($W170^Transportation_LCIA!T$60)+Transportation_LCIA!T$62</f>
        <v>6.7891675624868085E-6</v>
      </c>
      <c r="AQ170" s="137">
        <f>Transportation_LCIA!U$61*($W170^Transportation_LCIA!U$60)+Transportation_LCIA!U$62</f>
        <v>9.9717260851609206E-4</v>
      </c>
      <c r="AR170" s="137">
        <f>Transportation_LCIA!V$61*($W170^Transportation_LCIA!V$60)+Transportation_LCIA!V$62</f>
        <v>3.8229923422683721E-4</v>
      </c>
      <c r="AT170" s="137">
        <f>$W170*Y170+$L170*Summary_LCIA!H$32</f>
        <v>173.9682628898025</v>
      </c>
      <c r="AU170" s="137">
        <f>$W170*Z170+$L170*Summary_LCIA!Q$32</f>
        <v>1864.6508221987481</v>
      </c>
      <c r="AV170" s="137">
        <f>$W170*AA170+$L170*Summary_LCIA!R$32</f>
        <v>0.99194341318265111</v>
      </c>
      <c r="AW170" s="137">
        <f>$W170*AB170+$L170*Summary_LCIA!S$32</f>
        <v>173.9498270698025</v>
      </c>
      <c r="AX170" s="137">
        <f>$W170*AC170+$L170*Summary_LCIA!T$32</f>
        <v>43.419674676058492</v>
      </c>
      <c r="AY170" s="137">
        <f>$W170*AD170+$L170*Summary_LCIA!U$32</f>
        <v>0.30224772266281996</v>
      </c>
      <c r="AZ170" s="137">
        <f>$W170*AE170+$L170*Summary_LCIA!V$32</f>
        <v>5.3851935991580998E-3</v>
      </c>
      <c r="BA170" s="137">
        <f>$W170*AF170+$L170*Summary_LCIA!W$32</f>
        <v>8.0399391152939401</v>
      </c>
      <c r="BB170" s="137">
        <f>$W170*AG170+$L170*Summary_LCIA!X$32</f>
        <v>9.5081110555554353</v>
      </c>
      <c r="BC170" s="137">
        <f>$W170*AH170+$L170*Summary_LCIA!Y$32</f>
        <v>0.26653521044630873</v>
      </c>
      <c r="BD170" s="137">
        <f>$W170*AI170+$L170*Summary_LCIA!Z$32</f>
        <v>0.17493376950191253</v>
      </c>
      <c r="BE170" s="137">
        <f>$W170*AJ170+$L170*Summary_LCIA!AA$32</f>
        <v>0.89419081906697084</v>
      </c>
      <c r="BF170" s="137">
        <f>$W170*AK170+$L170*Summary_LCIA!AB$32</f>
        <v>4.5384157847607853E-2</v>
      </c>
      <c r="BG170" s="137">
        <f>$W170*AL170+$L170*Summary_LCIA!AC$32</f>
        <v>2.2152591757126669E-5</v>
      </c>
      <c r="BH170" s="137">
        <f>$W170*AM170+$L170*Summary_LCIA!AD$32</f>
        <v>8.120165793032183E-2</v>
      </c>
      <c r="BI170" s="137">
        <f>$W170*AN170+$L170*Summary_LCIA!AE$32</f>
        <v>0.25286538678148973</v>
      </c>
      <c r="BJ170" s="137">
        <f>$W170*AO170+$L170*Summary_LCIA!AF$32</f>
        <v>7.2010543197148918E-3</v>
      </c>
      <c r="BK170" s="137">
        <f>$W170*AP170+$L170*Summary_LCIA!AG$32</f>
        <v>3.8882167147148913E-3</v>
      </c>
      <c r="BL170" s="137">
        <f>$W170*AQ170+$L170*Summary_LCIA!AH$32</f>
        <v>0.57604744079027859</v>
      </c>
      <c r="BM170" s="137">
        <f>$W170*AR170+$L170*Summary_LCIA!AI$32</f>
        <v>0.21081455964322213</v>
      </c>
    </row>
    <row r="171" spans="1:65" x14ac:dyDescent="0.25">
      <c r="A171" s="149">
        <v>73</v>
      </c>
      <c r="B171" s="149">
        <v>43</v>
      </c>
      <c r="C171" s="61">
        <v>43.660848999999999</v>
      </c>
      <c r="D171" s="61">
        <v>-79.395493999999999</v>
      </c>
      <c r="E171" s="61" t="s">
        <v>456</v>
      </c>
      <c r="F171" s="149">
        <v>130</v>
      </c>
      <c r="G171" s="61" t="s">
        <v>275</v>
      </c>
      <c r="H171" s="61" t="s">
        <v>653</v>
      </c>
      <c r="I171" s="61">
        <v>43.628481999999998</v>
      </c>
      <c r="J171" s="61">
        <v>-79.395957999999993</v>
      </c>
      <c r="K171" s="61">
        <v>5.2007018199999999</v>
      </c>
      <c r="L171" s="61">
        <v>5.4240000000000004</v>
      </c>
      <c r="M171" s="61" t="s">
        <v>617</v>
      </c>
      <c r="N171" s="149">
        <v>42</v>
      </c>
      <c r="O171" s="149">
        <v>43</v>
      </c>
      <c r="P171" s="61" t="s">
        <v>565</v>
      </c>
      <c r="Q171" s="61" t="s">
        <v>555</v>
      </c>
      <c r="R171" s="61">
        <v>40.6895314</v>
      </c>
      <c r="S171" s="61">
        <v>-74.174462399999996</v>
      </c>
      <c r="T171" s="61">
        <v>786.899</v>
      </c>
      <c r="U171" s="61" t="s">
        <v>617</v>
      </c>
      <c r="V171" s="61" t="s">
        <v>569</v>
      </c>
      <c r="W171" s="61" cm="1">
        <f t="array" ref="W171">getDistance(I171,J171,R171,S171)*SA!$B$12</f>
        <v>541.27512186027764</v>
      </c>
      <c r="Y171" s="137">
        <f>Transportation_LCIA!C$61*($W171^Transportation_LCIA!C$60)+Transportation_LCIA!C$62</f>
        <v>0.31878604820552614</v>
      </c>
      <c r="Z171" s="137">
        <f>Transportation_LCIA!D$61*($W171^Transportation_LCIA!D$60)+Transportation_LCIA!D$62</f>
        <v>3.4067317365432173</v>
      </c>
      <c r="AA171" s="137">
        <f>Transportation_LCIA!E$61*($W171^Transportation_LCIA!E$60)+Transportation_LCIA!E$62</f>
        <v>1.7920287787271288E-3</v>
      </c>
      <c r="AB171" s="137">
        <f>Transportation_LCIA!F$61*($W171^Transportation_LCIA!F$60)+Transportation_LCIA!F$62</f>
        <v>0.31878604820552614</v>
      </c>
      <c r="AC171" s="137">
        <f>Transportation_LCIA!G$61*($W171^Transportation_LCIA!G$60)+Transportation_LCIA!G$62</f>
        <v>7.9370508713586002E-2</v>
      </c>
      <c r="AD171" s="137">
        <f>Transportation_LCIA!H$61*($W171^Transportation_LCIA!H$60)+Transportation_LCIA!H$62</f>
        <v>4.2035633908471618E-4</v>
      </c>
      <c r="AE171" s="137">
        <f>Transportation_LCIA!I$61*($W171^Transportation_LCIA!I$60)+Transportation_LCIA!I$62</f>
        <v>9.5810471583003702E-6</v>
      </c>
      <c r="AF171" s="137">
        <f>Transportation_LCIA!J$61*($W171^Transportation_LCIA!J$60)+Transportation_LCIA!J$62</f>
        <v>1.426057241974343E-2</v>
      </c>
      <c r="AG171" s="137">
        <f>Transportation_LCIA!K$61*($W171^Transportation_LCIA!K$60)+Transportation_LCIA!K$62</f>
        <v>1.7390593610148022E-2</v>
      </c>
      <c r="AH171" s="137">
        <f>Transportation_LCIA!L$61*($W171^Transportation_LCIA!L$60)+Transportation_LCIA!L$62</f>
        <v>3.723479618897653E-4</v>
      </c>
      <c r="AI171" s="137">
        <f>Transportation_LCIA!M$61*($W171^Transportation_LCIA!M$60)+Transportation_LCIA!M$62</f>
        <v>3.228722583115967E-4</v>
      </c>
      <c r="AJ171" s="137">
        <f>Transportation_LCIA!N$61*($W171^Transportation_LCIA!N$60)+Transportation_LCIA!N$62</f>
        <v>1.4720294927440731E-3</v>
      </c>
      <c r="AK171" s="137">
        <f>Transportation_LCIA!O$61*($W171^Transportation_LCIA!O$60)+Transportation_LCIA!O$62</f>
        <v>8.4014911722372877E-5</v>
      </c>
      <c r="AL171" s="137">
        <f>Transportation_LCIA!P$61*($W171^Transportation_LCIA!P$60)+Transportation_LCIA!P$62</f>
        <v>4.0549982267229356E-8</v>
      </c>
      <c r="AM171" s="137">
        <f>Transportation_LCIA!Q$61*($W171^Transportation_LCIA!Q$60)+Transportation_LCIA!Q$62</f>
        <v>1.4685177071714801E-4</v>
      </c>
      <c r="AN171" s="137">
        <f>Transportation_LCIA!R$61*($W171^Transportation_LCIA!R$60)+Transportation_LCIA!R$62</f>
        <v>4.6033768870650074E-4</v>
      </c>
      <c r="AO171" s="137">
        <f>Transportation_LCIA!S$61*($W171^Transportation_LCIA!S$60)+Transportation_LCIA!S$62</f>
        <v>6.7891675624868085E-6</v>
      </c>
      <c r="AP171" s="137">
        <f>Transportation_LCIA!T$61*($W171^Transportation_LCIA!T$60)+Transportation_LCIA!T$62</f>
        <v>6.7891675624868085E-6</v>
      </c>
      <c r="AQ171" s="137">
        <f>Transportation_LCIA!U$61*($W171^Transportation_LCIA!U$60)+Transportation_LCIA!U$62</f>
        <v>9.9717260851609206E-4</v>
      </c>
      <c r="AR171" s="137">
        <f>Transportation_LCIA!V$61*($W171^Transportation_LCIA!V$60)+Transportation_LCIA!V$62</f>
        <v>3.8229923422683721E-4</v>
      </c>
      <c r="AT171" s="137">
        <f>$W171*Y171+$L171*Summary_LCIA!H$32</f>
        <v>174.39403228980248</v>
      </c>
      <c r="AU171" s="137">
        <f>$W171*Z171+$L171*Summary_LCIA!Q$32</f>
        <v>1870.8607533912971</v>
      </c>
      <c r="AV171" s="137">
        <f>$W171*AA171+$L171*Summary_LCIA!R$32</f>
        <v>0.99854120998265117</v>
      </c>
      <c r="AW171" s="137">
        <f>$W171*AB171+$L171*Summary_LCIA!S$32</f>
        <v>174.37005820980249</v>
      </c>
      <c r="AX171" s="137">
        <f>$W171*AC171+$L171*Summary_LCIA!T$32</f>
        <v>43.557379376058492</v>
      </c>
      <c r="AY171" s="137">
        <f>$W171*AD171+$L171*Summary_LCIA!U$32</f>
        <v>0.32469396466281997</v>
      </c>
      <c r="AZ171" s="137">
        <f>$W171*AE171+$L171*Summary_LCIA!V$32</f>
        <v>5.4450381321580997E-3</v>
      </c>
      <c r="BA171" s="137">
        <f>$W171*AF171+$L171*Summary_LCIA!W$32</f>
        <v>8.1363837782939399</v>
      </c>
      <c r="BB171" s="137">
        <f>$W171*AG171+$L171*Summary_LCIA!X$32</f>
        <v>9.5366543955554359</v>
      </c>
      <c r="BC171" s="137">
        <f>$W171*AH171+$L171*Summary_LCIA!Y$32</f>
        <v>0.28605945644630876</v>
      </c>
      <c r="BD171" s="137">
        <f>$W171*AI171+$L171*Summary_LCIA!Z$32</f>
        <v>0.17498515377891255</v>
      </c>
      <c r="BE171" s="137">
        <f>$W171*AJ171+$L171*Summary_LCIA!AA$32</f>
        <v>0.9234558870669709</v>
      </c>
      <c r="BF171" s="137">
        <f>$W171*AK171+$L171*Summary_LCIA!AB$32</f>
        <v>4.5356813628607849E-2</v>
      </c>
      <c r="BG171" s="137">
        <f>$W171*AL171+$L171*Summary_LCIA!AC$32</f>
        <v>2.2213843409126666E-5</v>
      </c>
      <c r="BH171" s="137">
        <f>$W171*AM171+$L171*Summary_LCIA!AD$32</f>
        <v>8.1716691050321838E-2</v>
      </c>
      <c r="BI171" s="137">
        <f>$W171*AN171+$L171*Summary_LCIA!AE$32</f>
        <v>0.25397570767148975</v>
      </c>
      <c r="BJ171" s="137">
        <f>$W171*AO171+$L171*Summary_LCIA!AF$32</f>
        <v>8.2603655797148928E-3</v>
      </c>
      <c r="BK171" s="137">
        <f>$W171*AP171+$L171*Summary_LCIA!AG$32</f>
        <v>3.9523264597148911E-3</v>
      </c>
      <c r="BL171" s="137">
        <f>$W171*AQ171+$L171*Summary_LCIA!AH$32</f>
        <v>0.58695305159027866</v>
      </c>
      <c r="BM171" s="137">
        <f>$W171*AR171+$L171*Summary_LCIA!AI$32</f>
        <v>0.21198179179322213</v>
      </c>
    </row>
    <row r="172" spans="1:65" x14ac:dyDescent="0.25">
      <c r="A172" s="149">
        <v>74</v>
      </c>
      <c r="B172" s="149">
        <v>43</v>
      </c>
      <c r="C172" s="61">
        <v>43.660848999999999</v>
      </c>
      <c r="D172" s="61">
        <v>-79.395493999999999</v>
      </c>
      <c r="E172" s="61" t="s">
        <v>456</v>
      </c>
      <c r="F172" s="149">
        <v>130</v>
      </c>
      <c r="G172" s="61" t="s">
        <v>275</v>
      </c>
      <c r="H172" s="61" t="s">
        <v>653</v>
      </c>
      <c r="I172" s="61">
        <v>43.628481999999998</v>
      </c>
      <c r="J172" s="61">
        <v>-79.395957999999993</v>
      </c>
      <c r="K172" s="61">
        <v>5.2007018199999999</v>
      </c>
      <c r="L172" s="61">
        <v>5.4240000000000004</v>
      </c>
      <c r="M172" s="61" t="s">
        <v>617</v>
      </c>
      <c r="N172" s="149">
        <v>42</v>
      </c>
      <c r="O172" s="149">
        <v>43</v>
      </c>
      <c r="P172" s="61" t="s">
        <v>565</v>
      </c>
      <c r="Q172" s="61" t="s">
        <v>555</v>
      </c>
      <c r="R172" s="61">
        <v>40.6895314</v>
      </c>
      <c r="S172" s="61">
        <v>-74.174462399999996</v>
      </c>
      <c r="T172" s="61">
        <v>786.899</v>
      </c>
      <c r="U172" s="61" t="s">
        <v>617</v>
      </c>
      <c r="V172" s="61" t="s">
        <v>569</v>
      </c>
      <c r="W172" s="61" cm="1">
        <f t="array" ref="W172">getDistance(I172,J172,R172,S172)*SA!$B$12</f>
        <v>541.27512186027764</v>
      </c>
      <c r="Y172" s="137">
        <f>Transportation_LCIA!C$61*($W172^Transportation_LCIA!C$60)+Transportation_LCIA!C$62</f>
        <v>0.31878604820552614</v>
      </c>
      <c r="Z172" s="137">
        <f>Transportation_LCIA!D$61*($W172^Transportation_LCIA!D$60)+Transportation_LCIA!D$62</f>
        <v>3.4067317365432173</v>
      </c>
      <c r="AA172" s="137">
        <f>Transportation_LCIA!E$61*($W172^Transportation_LCIA!E$60)+Transportation_LCIA!E$62</f>
        <v>1.7920287787271288E-3</v>
      </c>
      <c r="AB172" s="137">
        <f>Transportation_LCIA!F$61*($W172^Transportation_LCIA!F$60)+Transportation_LCIA!F$62</f>
        <v>0.31878604820552614</v>
      </c>
      <c r="AC172" s="137">
        <f>Transportation_LCIA!G$61*($W172^Transportation_LCIA!G$60)+Transportation_LCIA!G$62</f>
        <v>7.9370508713586002E-2</v>
      </c>
      <c r="AD172" s="137">
        <f>Transportation_LCIA!H$61*($W172^Transportation_LCIA!H$60)+Transportation_LCIA!H$62</f>
        <v>4.2035633908471618E-4</v>
      </c>
      <c r="AE172" s="137">
        <f>Transportation_LCIA!I$61*($W172^Transportation_LCIA!I$60)+Transportation_LCIA!I$62</f>
        <v>9.5810471583003702E-6</v>
      </c>
      <c r="AF172" s="137">
        <f>Transportation_LCIA!J$61*($W172^Transportation_LCIA!J$60)+Transportation_LCIA!J$62</f>
        <v>1.426057241974343E-2</v>
      </c>
      <c r="AG172" s="137">
        <f>Transportation_LCIA!K$61*($W172^Transportation_LCIA!K$60)+Transportation_LCIA!K$62</f>
        <v>1.7390593610148022E-2</v>
      </c>
      <c r="AH172" s="137">
        <f>Transportation_LCIA!L$61*($W172^Transportation_LCIA!L$60)+Transportation_LCIA!L$62</f>
        <v>3.723479618897653E-4</v>
      </c>
      <c r="AI172" s="137">
        <f>Transportation_LCIA!M$61*($W172^Transportation_LCIA!M$60)+Transportation_LCIA!M$62</f>
        <v>3.228722583115967E-4</v>
      </c>
      <c r="AJ172" s="137">
        <f>Transportation_LCIA!N$61*($W172^Transportation_LCIA!N$60)+Transportation_LCIA!N$62</f>
        <v>1.4720294927440731E-3</v>
      </c>
      <c r="AK172" s="137">
        <f>Transportation_LCIA!O$61*($W172^Transportation_LCIA!O$60)+Transportation_LCIA!O$62</f>
        <v>8.4014911722372877E-5</v>
      </c>
      <c r="AL172" s="137">
        <f>Transportation_LCIA!P$61*($W172^Transportation_LCIA!P$60)+Transportation_LCIA!P$62</f>
        <v>4.0549982267229356E-8</v>
      </c>
      <c r="AM172" s="137">
        <f>Transportation_LCIA!Q$61*($W172^Transportation_LCIA!Q$60)+Transportation_LCIA!Q$62</f>
        <v>1.4685177071714801E-4</v>
      </c>
      <c r="AN172" s="137">
        <f>Transportation_LCIA!R$61*($W172^Transportation_LCIA!R$60)+Transportation_LCIA!R$62</f>
        <v>4.6033768870650074E-4</v>
      </c>
      <c r="AO172" s="137">
        <f>Transportation_LCIA!S$61*($W172^Transportation_LCIA!S$60)+Transportation_LCIA!S$62</f>
        <v>6.7891675624868085E-6</v>
      </c>
      <c r="AP172" s="137">
        <f>Transportation_LCIA!T$61*($W172^Transportation_LCIA!T$60)+Transportation_LCIA!T$62</f>
        <v>6.7891675624868085E-6</v>
      </c>
      <c r="AQ172" s="137">
        <f>Transportation_LCIA!U$61*($W172^Transportation_LCIA!U$60)+Transportation_LCIA!U$62</f>
        <v>9.9717260851609206E-4</v>
      </c>
      <c r="AR172" s="137">
        <f>Transportation_LCIA!V$61*($W172^Transportation_LCIA!V$60)+Transportation_LCIA!V$62</f>
        <v>3.8229923422683721E-4</v>
      </c>
      <c r="AT172" s="137">
        <f>$W172*Y172+$L172*Summary_LCIA!H$32</f>
        <v>174.39403228980248</v>
      </c>
      <c r="AU172" s="137">
        <f>$W172*Z172+$L172*Summary_LCIA!Q$32</f>
        <v>1870.8607533912971</v>
      </c>
      <c r="AV172" s="137">
        <f>$W172*AA172+$L172*Summary_LCIA!R$32</f>
        <v>0.99854120998265117</v>
      </c>
      <c r="AW172" s="137">
        <f>$W172*AB172+$L172*Summary_LCIA!S$32</f>
        <v>174.37005820980249</v>
      </c>
      <c r="AX172" s="137">
        <f>$W172*AC172+$L172*Summary_LCIA!T$32</f>
        <v>43.557379376058492</v>
      </c>
      <c r="AY172" s="137">
        <f>$W172*AD172+$L172*Summary_LCIA!U$32</f>
        <v>0.32469396466281997</v>
      </c>
      <c r="AZ172" s="137">
        <f>$W172*AE172+$L172*Summary_LCIA!V$32</f>
        <v>5.4450381321580997E-3</v>
      </c>
      <c r="BA172" s="137">
        <f>$W172*AF172+$L172*Summary_LCIA!W$32</f>
        <v>8.1363837782939399</v>
      </c>
      <c r="BB172" s="137">
        <f>$W172*AG172+$L172*Summary_LCIA!X$32</f>
        <v>9.5366543955554359</v>
      </c>
      <c r="BC172" s="137">
        <f>$W172*AH172+$L172*Summary_LCIA!Y$32</f>
        <v>0.28605945644630876</v>
      </c>
      <c r="BD172" s="137">
        <f>$W172*AI172+$L172*Summary_LCIA!Z$32</f>
        <v>0.17498515377891255</v>
      </c>
      <c r="BE172" s="137">
        <f>$W172*AJ172+$L172*Summary_LCIA!AA$32</f>
        <v>0.9234558870669709</v>
      </c>
      <c r="BF172" s="137">
        <f>$W172*AK172+$L172*Summary_LCIA!AB$32</f>
        <v>4.5356813628607849E-2</v>
      </c>
      <c r="BG172" s="137">
        <f>$W172*AL172+$L172*Summary_LCIA!AC$32</f>
        <v>2.2213843409126666E-5</v>
      </c>
      <c r="BH172" s="137">
        <f>$W172*AM172+$L172*Summary_LCIA!AD$32</f>
        <v>8.1716691050321838E-2</v>
      </c>
      <c r="BI172" s="137">
        <f>$W172*AN172+$L172*Summary_LCIA!AE$32</f>
        <v>0.25397570767148975</v>
      </c>
      <c r="BJ172" s="137">
        <f>$W172*AO172+$L172*Summary_LCIA!AF$32</f>
        <v>8.2603655797148928E-3</v>
      </c>
      <c r="BK172" s="137">
        <f>$W172*AP172+$L172*Summary_LCIA!AG$32</f>
        <v>3.9523264597148911E-3</v>
      </c>
      <c r="BL172" s="137">
        <f>$W172*AQ172+$L172*Summary_LCIA!AH$32</f>
        <v>0.58695305159027866</v>
      </c>
      <c r="BM172" s="137">
        <f>$W172*AR172+$L172*Summary_LCIA!AI$32</f>
        <v>0.21198179179322213</v>
      </c>
    </row>
    <row r="173" spans="1:65" x14ac:dyDescent="0.25">
      <c r="A173" s="149">
        <v>75</v>
      </c>
      <c r="B173" s="149">
        <v>43</v>
      </c>
      <c r="C173" s="61">
        <v>43.660848999999999</v>
      </c>
      <c r="D173" s="61">
        <v>-79.395493999999999</v>
      </c>
      <c r="E173" s="61" t="s">
        <v>456</v>
      </c>
      <c r="F173" s="149">
        <v>130</v>
      </c>
      <c r="G173" s="61" t="s">
        <v>275</v>
      </c>
      <c r="H173" s="61" t="s">
        <v>653</v>
      </c>
      <c r="I173" s="61">
        <v>43.628481999999998</v>
      </c>
      <c r="J173" s="61">
        <v>-79.395957999999993</v>
      </c>
      <c r="K173" s="61">
        <v>5.2007018199999999</v>
      </c>
      <c r="L173" s="61">
        <v>5.4240000000000004</v>
      </c>
      <c r="M173" s="61" t="s">
        <v>617</v>
      </c>
      <c r="N173" s="149">
        <v>42</v>
      </c>
      <c r="O173" s="149">
        <v>43</v>
      </c>
      <c r="P173" s="61" t="s">
        <v>565</v>
      </c>
      <c r="Q173" s="61" t="s">
        <v>555</v>
      </c>
      <c r="R173" s="61">
        <v>40.6895314</v>
      </c>
      <c r="S173" s="61">
        <v>-74.174462399999996</v>
      </c>
      <c r="T173" s="61">
        <v>786.899</v>
      </c>
      <c r="U173" s="61" t="s">
        <v>617</v>
      </c>
      <c r="V173" s="61" t="s">
        <v>569</v>
      </c>
      <c r="W173" s="61" cm="1">
        <f t="array" ref="W173">getDistance(I173,J173,R173,S173)*SA!$B$12</f>
        <v>541.27512186027764</v>
      </c>
      <c r="Y173" s="137">
        <f>Transportation_LCIA!C$61*($W173^Transportation_LCIA!C$60)+Transportation_LCIA!C$62</f>
        <v>0.31878604820552614</v>
      </c>
      <c r="Z173" s="137">
        <f>Transportation_LCIA!D$61*($W173^Transportation_LCIA!D$60)+Transportation_LCIA!D$62</f>
        <v>3.4067317365432173</v>
      </c>
      <c r="AA173" s="137">
        <f>Transportation_LCIA!E$61*($W173^Transportation_LCIA!E$60)+Transportation_LCIA!E$62</f>
        <v>1.7920287787271288E-3</v>
      </c>
      <c r="AB173" s="137">
        <f>Transportation_LCIA!F$61*($W173^Transportation_LCIA!F$60)+Transportation_LCIA!F$62</f>
        <v>0.31878604820552614</v>
      </c>
      <c r="AC173" s="137">
        <f>Transportation_LCIA!G$61*($W173^Transportation_LCIA!G$60)+Transportation_LCIA!G$62</f>
        <v>7.9370508713586002E-2</v>
      </c>
      <c r="AD173" s="137">
        <f>Transportation_LCIA!H$61*($W173^Transportation_LCIA!H$60)+Transportation_LCIA!H$62</f>
        <v>4.2035633908471618E-4</v>
      </c>
      <c r="AE173" s="137">
        <f>Transportation_LCIA!I$61*($W173^Transportation_LCIA!I$60)+Transportation_LCIA!I$62</f>
        <v>9.5810471583003702E-6</v>
      </c>
      <c r="AF173" s="137">
        <f>Transportation_LCIA!J$61*($W173^Transportation_LCIA!J$60)+Transportation_LCIA!J$62</f>
        <v>1.426057241974343E-2</v>
      </c>
      <c r="AG173" s="137">
        <f>Transportation_LCIA!K$61*($W173^Transportation_LCIA!K$60)+Transportation_LCIA!K$62</f>
        <v>1.7390593610148022E-2</v>
      </c>
      <c r="AH173" s="137">
        <f>Transportation_LCIA!L$61*($W173^Transportation_LCIA!L$60)+Transportation_LCIA!L$62</f>
        <v>3.723479618897653E-4</v>
      </c>
      <c r="AI173" s="137">
        <f>Transportation_LCIA!M$61*($W173^Transportation_LCIA!M$60)+Transportation_LCIA!M$62</f>
        <v>3.228722583115967E-4</v>
      </c>
      <c r="AJ173" s="137">
        <f>Transportation_LCIA!N$61*($W173^Transportation_LCIA!N$60)+Transportation_LCIA!N$62</f>
        <v>1.4720294927440731E-3</v>
      </c>
      <c r="AK173" s="137">
        <f>Transportation_LCIA!O$61*($W173^Transportation_LCIA!O$60)+Transportation_LCIA!O$62</f>
        <v>8.4014911722372877E-5</v>
      </c>
      <c r="AL173" s="137">
        <f>Transportation_LCIA!P$61*($W173^Transportation_LCIA!P$60)+Transportation_LCIA!P$62</f>
        <v>4.0549982267229356E-8</v>
      </c>
      <c r="AM173" s="137">
        <f>Transportation_LCIA!Q$61*($W173^Transportation_LCIA!Q$60)+Transportation_LCIA!Q$62</f>
        <v>1.4685177071714801E-4</v>
      </c>
      <c r="AN173" s="137">
        <f>Transportation_LCIA!R$61*($W173^Transportation_LCIA!R$60)+Transportation_LCIA!R$62</f>
        <v>4.6033768870650074E-4</v>
      </c>
      <c r="AO173" s="137">
        <f>Transportation_LCIA!S$61*($W173^Transportation_LCIA!S$60)+Transportation_LCIA!S$62</f>
        <v>6.7891675624868085E-6</v>
      </c>
      <c r="AP173" s="137">
        <f>Transportation_LCIA!T$61*($W173^Transportation_LCIA!T$60)+Transportation_LCIA!T$62</f>
        <v>6.7891675624868085E-6</v>
      </c>
      <c r="AQ173" s="137">
        <f>Transportation_LCIA!U$61*($W173^Transportation_LCIA!U$60)+Transportation_LCIA!U$62</f>
        <v>9.9717260851609206E-4</v>
      </c>
      <c r="AR173" s="137">
        <f>Transportation_LCIA!V$61*($W173^Transportation_LCIA!V$60)+Transportation_LCIA!V$62</f>
        <v>3.8229923422683721E-4</v>
      </c>
      <c r="AT173" s="137">
        <f>$W173*Y173+$L173*Summary_LCIA!H$32</f>
        <v>174.39403228980248</v>
      </c>
      <c r="AU173" s="137">
        <f>$W173*Z173+$L173*Summary_LCIA!Q$32</f>
        <v>1870.8607533912971</v>
      </c>
      <c r="AV173" s="137">
        <f>$W173*AA173+$L173*Summary_LCIA!R$32</f>
        <v>0.99854120998265117</v>
      </c>
      <c r="AW173" s="137">
        <f>$W173*AB173+$L173*Summary_LCIA!S$32</f>
        <v>174.37005820980249</v>
      </c>
      <c r="AX173" s="137">
        <f>$W173*AC173+$L173*Summary_LCIA!T$32</f>
        <v>43.557379376058492</v>
      </c>
      <c r="AY173" s="137">
        <f>$W173*AD173+$L173*Summary_LCIA!U$32</f>
        <v>0.32469396466281997</v>
      </c>
      <c r="AZ173" s="137">
        <f>$W173*AE173+$L173*Summary_LCIA!V$32</f>
        <v>5.4450381321580997E-3</v>
      </c>
      <c r="BA173" s="137">
        <f>$W173*AF173+$L173*Summary_LCIA!W$32</f>
        <v>8.1363837782939399</v>
      </c>
      <c r="BB173" s="137">
        <f>$W173*AG173+$L173*Summary_LCIA!X$32</f>
        <v>9.5366543955554359</v>
      </c>
      <c r="BC173" s="137">
        <f>$W173*AH173+$L173*Summary_LCIA!Y$32</f>
        <v>0.28605945644630876</v>
      </c>
      <c r="BD173" s="137">
        <f>$W173*AI173+$L173*Summary_LCIA!Z$32</f>
        <v>0.17498515377891255</v>
      </c>
      <c r="BE173" s="137">
        <f>$W173*AJ173+$L173*Summary_LCIA!AA$32</f>
        <v>0.9234558870669709</v>
      </c>
      <c r="BF173" s="137">
        <f>$W173*AK173+$L173*Summary_LCIA!AB$32</f>
        <v>4.5356813628607849E-2</v>
      </c>
      <c r="BG173" s="137">
        <f>$W173*AL173+$L173*Summary_LCIA!AC$32</f>
        <v>2.2213843409126666E-5</v>
      </c>
      <c r="BH173" s="137">
        <f>$W173*AM173+$L173*Summary_LCIA!AD$32</f>
        <v>8.1716691050321838E-2</v>
      </c>
      <c r="BI173" s="137">
        <f>$W173*AN173+$L173*Summary_LCIA!AE$32</f>
        <v>0.25397570767148975</v>
      </c>
      <c r="BJ173" s="137">
        <f>$W173*AO173+$L173*Summary_LCIA!AF$32</f>
        <v>8.2603655797148928E-3</v>
      </c>
      <c r="BK173" s="137">
        <f>$W173*AP173+$L173*Summary_LCIA!AG$32</f>
        <v>3.9523264597148911E-3</v>
      </c>
      <c r="BL173" s="137">
        <f>$W173*AQ173+$L173*Summary_LCIA!AH$32</f>
        <v>0.58695305159027866</v>
      </c>
      <c r="BM173" s="137">
        <f>$W173*AR173+$L173*Summary_LCIA!AI$32</f>
        <v>0.21198179179322213</v>
      </c>
    </row>
    <row r="174" spans="1:65" x14ac:dyDescent="0.25">
      <c r="A174" s="149">
        <v>312</v>
      </c>
      <c r="B174" s="149">
        <v>43</v>
      </c>
      <c r="C174" s="61">
        <v>35.779589999999999</v>
      </c>
      <c r="D174" s="61">
        <v>-78.638178999999994</v>
      </c>
      <c r="E174" s="61" t="s">
        <v>265</v>
      </c>
      <c r="F174" s="149">
        <v>97</v>
      </c>
      <c r="G174" s="61" t="s">
        <v>286</v>
      </c>
      <c r="H174" s="61" t="s">
        <v>718</v>
      </c>
      <c r="I174" s="61">
        <v>35.880079000000002</v>
      </c>
      <c r="J174" s="61">
        <v>-78.787996000000007</v>
      </c>
      <c r="K174" s="61">
        <v>20.075432370000001</v>
      </c>
      <c r="L174" s="61">
        <v>23.661999999999999</v>
      </c>
      <c r="M174" s="61" t="s">
        <v>617</v>
      </c>
      <c r="N174" s="149">
        <v>42</v>
      </c>
      <c r="O174" s="149">
        <v>43</v>
      </c>
      <c r="P174" s="61" t="s">
        <v>565</v>
      </c>
      <c r="Q174" s="61" t="s">
        <v>555</v>
      </c>
      <c r="R174" s="61">
        <v>40.6895314</v>
      </c>
      <c r="S174" s="61">
        <v>-74.174462399999996</v>
      </c>
      <c r="T174" s="61">
        <v>791.2</v>
      </c>
      <c r="U174" s="61" t="s">
        <v>617</v>
      </c>
      <c r="V174" s="61" t="s">
        <v>569</v>
      </c>
      <c r="W174" s="61" cm="1">
        <f t="array" ref="W174">getDistance(I174,J174,R174,S174)*SA!$B$12</f>
        <v>669.93316919902929</v>
      </c>
      <c r="Y174" s="137">
        <f>Transportation_LCIA!C$61*($W174^Transportation_LCIA!C$60)+Transportation_LCIA!C$62</f>
        <v>0.28489604921911549</v>
      </c>
      <c r="Z174" s="137">
        <f>Transportation_LCIA!D$61*($W174^Transportation_LCIA!D$60)+Transportation_LCIA!D$62</f>
        <v>3.0024512292346759</v>
      </c>
      <c r="AA174" s="137">
        <f>Transportation_LCIA!E$61*($W174^Transportation_LCIA!E$60)+Transportation_LCIA!E$62</f>
        <v>1.5245738877866799E-3</v>
      </c>
      <c r="AB174" s="137">
        <f>Transportation_LCIA!F$61*($W174^Transportation_LCIA!F$60)+Transportation_LCIA!F$62</f>
        <v>0.28489604921911549</v>
      </c>
      <c r="AC174" s="137">
        <f>Transportation_LCIA!G$61*($W174^Transportation_LCIA!G$60)+Transportation_LCIA!G$62</f>
        <v>7.0029150522824407E-2</v>
      </c>
      <c r="AD174" s="137">
        <f>Transportation_LCIA!H$61*($W174^Transportation_LCIA!H$60)+Transportation_LCIA!H$62</f>
        <v>3.6082682366747387E-4</v>
      </c>
      <c r="AE174" s="137">
        <f>Transportation_LCIA!I$61*($W174^Transportation_LCIA!I$60)+Transportation_LCIA!I$62</f>
        <v>8.0527423160557447E-6</v>
      </c>
      <c r="AF174" s="137">
        <f>Transportation_LCIA!J$61*($W174^Transportation_LCIA!J$60)+Transportation_LCIA!J$62</f>
        <v>1.1955109219563853E-2</v>
      </c>
      <c r="AG174" s="137">
        <f>Transportation_LCIA!K$61*($W174^Transportation_LCIA!K$60)+Transportation_LCIA!K$62</f>
        <v>1.5185676166608942E-2</v>
      </c>
      <c r="AH174" s="137">
        <f>Transportation_LCIA!L$61*($W174^Transportation_LCIA!L$60)+Transportation_LCIA!L$62</f>
        <v>3.1731319427279008E-4</v>
      </c>
      <c r="AI174" s="137">
        <f>Transportation_LCIA!M$61*($W174^Transportation_LCIA!M$60)+Transportation_LCIA!M$62</f>
        <v>2.899966191747527E-4</v>
      </c>
      <c r="AJ174" s="137">
        <f>Transportation_LCIA!N$61*($W174^Transportation_LCIA!N$60)+Transportation_LCIA!N$62</f>
        <v>1.2721936476231921E-3</v>
      </c>
      <c r="AK174" s="137">
        <f>Transportation_LCIA!O$61*($W174^Transportation_LCIA!O$60)+Transportation_LCIA!O$62</f>
        <v>7.4082522641283401E-5</v>
      </c>
      <c r="AL174" s="137">
        <f>Transportation_LCIA!P$61*($W174^Transportation_LCIA!P$60)+Transportation_LCIA!P$62</f>
        <v>3.5782391792209214E-8</v>
      </c>
      <c r="AM174" s="137">
        <f>Transportation_LCIA!Q$61*($W174^Transportation_LCIA!Q$60)+Transportation_LCIA!Q$62</f>
        <v>1.2526821242063582E-4</v>
      </c>
      <c r="AN174" s="137">
        <f>Transportation_LCIA!R$61*($W174^Transportation_LCIA!R$60)+Transportation_LCIA!R$62</f>
        <v>3.8701614200798296E-4</v>
      </c>
      <c r="AO174" s="137">
        <f>Transportation_LCIA!S$61*($W174^Transportation_LCIA!S$60)+Transportation_LCIA!S$62</f>
        <v>5.7494943543369821E-6</v>
      </c>
      <c r="AP174" s="137">
        <f>Transportation_LCIA!T$61*($W174^Transportation_LCIA!T$60)+Transportation_LCIA!T$62</f>
        <v>5.7494943543369821E-6</v>
      </c>
      <c r="AQ174" s="137">
        <f>Transportation_LCIA!U$61*($W174^Transportation_LCIA!U$60)+Transportation_LCIA!U$62</f>
        <v>8.3577673663843112E-4</v>
      </c>
      <c r="AR174" s="137">
        <f>Transportation_LCIA!V$61*($W174^Transportation_LCIA!V$60)+Transportation_LCIA!V$62</f>
        <v>3.2593120598682981E-4</v>
      </c>
      <c r="AT174" s="137">
        <f>$W174*Y174+$L174*Summary_LCIA!H$32</f>
        <v>198.90166074564468</v>
      </c>
      <c r="AU174" s="137">
        <f>$W174*Z174+$L174*Summary_LCIA!Q$32</f>
        <v>2128.7117327123538</v>
      </c>
      <c r="AV174" s="137">
        <f>$W174*AA174+$L174*Summary_LCIA!R$32</f>
        <v>1.1459572435230156</v>
      </c>
      <c r="AW174" s="137">
        <f>$W174*AB174+$L174*Summary_LCIA!S$32</f>
        <v>198.79707470564469</v>
      </c>
      <c r="AX174" s="137">
        <f>$W174*AC174+$L174*Summary_LCIA!T$32</f>
        <v>49.515304546071611</v>
      </c>
      <c r="AY174" s="137">
        <f>$W174*AD174+$L174*Summary_LCIA!U$32</f>
        <v>0.66561092551157008</v>
      </c>
      <c r="AZ174" s="137">
        <f>$W174*AE174+$L174*Summary_LCIA!V$32</f>
        <v>6.5249199625383569E-3</v>
      </c>
      <c r="BA174" s="137">
        <f>$W174*AF174+$L174*Summary_LCIA!W$32</f>
        <v>9.8304120095829468</v>
      </c>
      <c r="BB174" s="137">
        <f>$W174*AG174+$L174*Summary_LCIA!X$32</f>
        <v>10.712408520726495</v>
      </c>
      <c r="BC174" s="137">
        <f>$W174*AH174+$L174*Summary_LCIA!Y$32</f>
        <v>0.58127991786783761</v>
      </c>
      <c r="BD174" s="137">
        <f>$W174*AI174+$L174*Summary_LCIA!Z$32</f>
        <v>0.19524870909874606</v>
      </c>
      <c r="BE174" s="137">
        <f>$W174*AJ174+$L174*Summary_LCIA!AA$32</f>
        <v>1.404934394187078</v>
      </c>
      <c r="BF174" s="137">
        <f>$W174*AK174+$L174*Summary_LCIA!AB$32</f>
        <v>4.9113963349333836E-2</v>
      </c>
      <c r="BG174" s="137">
        <f>$W174*AL174+$L174*Summary_LCIA!AC$32</f>
        <v>2.512850434287605E-5</v>
      </c>
      <c r="BH174" s="137">
        <f>$W174*AM174+$L174*Summary_LCIA!AD$32</f>
        <v>9.3647359026853755E-2</v>
      </c>
      <c r="BI174" s="137">
        <f>$W174*AN174+$L174*Summary_LCIA!AE$32</f>
        <v>0.28024255860658959</v>
      </c>
      <c r="BJ174" s="137">
        <f>$W174*AO174+$L174*Summary_LCIA!AF$32</f>
        <v>2.3856105014092903E-2</v>
      </c>
      <c r="BK174" s="137">
        <f>$W174*AP174+$L174*Summary_LCIA!AG$32</f>
        <v>5.0624432040929012E-3</v>
      </c>
      <c r="BL174" s="137">
        <f>$W174*AQ174+$L174*Summary_LCIA!AH$32</f>
        <v>0.76585914111900655</v>
      </c>
      <c r="BM174" s="137">
        <f>$W174*AR174+$L174*Summary_LCIA!AI$32</f>
        <v>0.24039446186761854</v>
      </c>
    </row>
    <row r="175" spans="1:65" x14ac:dyDescent="0.25">
      <c r="A175" s="149">
        <v>313</v>
      </c>
      <c r="B175" s="149">
        <v>43</v>
      </c>
      <c r="C175" s="61">
        <v>35.779589999999999</v>
      </c>
      <c r="D175" s="61">
        <v>-78.638178999999994</v>
      </c>
      <c r="E175" s="61" t="s">
        <v>265</v>
      </c>
      <c r="F175" s="149">
        <v>97</v>
      </c>
      <c r="G175" s="61" t="s">
        <v>286</v>
      </c>
      <c r="H175" s="61" t="s">
        <v>718</v>
      </c>
      <c r="I175" s="61">
        <v>35.880079000000002</v>
      </c>
      <c r="J175" s="61">
        <v>-78.787996000000007</v>
      </c>
      <c r="K175" s="61">
        <v>20.075432370000001</v>
      </c>
      <c r="L175" s="61">
        <v>23.661999999999999</v>
      </c>
      <c r="M175" s="61" t="s">
        <v>617</v>
      </c>
      <c r="N175" s="149">
        <v>42</v>
      </c>
      <c r="O175" s="149">
        <v>43</v>
      </c>
      <c r="P175" s="61" t="s">
        <v>565</v>
      </c>
      <c r="Q175" s="61" t="s">
        <v>555</v>
      </c>
      <c r="R175" s="61">
        <v>40.6895314</v>
      </c>
      <c r="S175" s="61">
        <v>-74.174462399999996</v>
      </c>
      <c r="T175" s="61">
        <v>791.2</v>
      </c>
      <c r="U175" s="61" t="s">
        <v>617</v>
      </c>
      <c r="V175" s="61" t="s">
        <v>569</v>
      </c>
      <c r="W175" s="61" cm="1">
        <f t="array" ref="W175">getDistance(I175,J175,R175,S175)*SA!$B$12</f>
        <v>669.93316919902929</v>
      </c>
      <c r="Y175" s="137">
        <f>Transportation_LCIA!C$61*($W175^Transportation_LCIA!C$60)+Transportation_LCIA!C$62</f>
        <v>0.28489604921911549</v>
      </c>
      <c r="Z175" s="137">
        <f>Transportation_LCIA!D$61*($W175^Transportation_LCIA!D$60)+Transportation_LCIA!D$62</f>
        <v>3.0024512292346759</v>
      </c>
      <c r="AA175" s="137">
        <f>Transportation_LCIA!E$61*($W175^Transportation_LCIA!E$60)+Transportation_LCIA!E$62</f>
        <v>1.5245738877866799E-3</v>
      </c>
      <c r="AB175" s="137">
        <f>Transportation_LCIA!F$61*($W175^Transportation_LCIA!F$60)+Transportation_LCIA!F$62</f>
        <v>0.28489604921911549</v>
      </c>
      <c r="AC175" s="137">
        <f>Transportation_LCIA!G$61*($W175^Transportation_LCIA!G$60)+Transportation_LCIA!G$62</f>
        <v>7.0029150522824407E-2</v>
      </c>
      <c r="AD175" s="137">
        <f>Transportation_LCIA!H$61*($W175^Transportation_LCIA!H$60)+Transportation_LCIA!H$62</f>
        <v>3.6082682366747387E-4</v>
      </c>
      <c r="AE175" s="137">
        <f>Transportation_LCIA!I$61*($W175^Transportation_LCIA!I$60)+Transportation_LCIA!I$62</f>
        <v>8.0527423160557447E-6</v>
      </c>
      <c r="AF175" s="137">
        <f>Transportation_LCIA!J$61*($W175^Transportation_LCIA!J$60)+Transportation_LCIA!J$62</f>
        <v>1.1955109219563853E-2</v>
      </c>
      <c r="AG175" s="137">
        <f>Transportation_LCIA!K$61*($W175^Transportation_LCIA!K$60)+Transportation_LCIA!K$62</f>
        <v>1.5185676166608942E-2</v>
      </c>
      <c r="AH175" s="137">
        <f>Transportation_LCIA!L$61*($W175^Transportation_LCIA!L$60)+Transportation_LCIA!L$62</f>
        <v>3.1731319427279008E-4</v>
      </c>
      <c r="AI175" s="137">
        <f>Transportation_LCIA!M$61*($W175^Transportation_LCIA!M$60)+Transportation_LCIA!M$62</f>
        <v>2.899966191747527E-4</v>
      </c>
      <c r="AJ175" s="137">
        <f>Transportation_LCIA!N$61*($W175^Transportation_LCIA!N$60)+Transportation_LCIA!N$62</f>
        <v>1.2721936476231921E-3</v>
      </c>
      <c r="AK175" s="137">
        <f>Transportation_LCIA!O$61*($W175^Transportation_LCIA!O$60)+Transportation_LCIA!O$62</f>
        <v>7.4082522641283401E-5</v>
      </c>
      <c r="AL175" s="137">
        <f>Transportation_LCIA!P$61*($W175^Transportation_LCIA!P$60)+Transportation_LCIA!P$62</f>
        <v>3.5782391792209214E-8</v>
      </c>
      <c r="AM175" s="137">
        <f>Transportation_LCIA!Q$61*($W175^Transportation_LCIA!Q$60)+Transportation_LCIA!Q$62</f>
        <v>1.2526821242063582E-4</v>
      </c>
      <c r="AN175" s="137">
        <f>Transportation_LCIA!R$61*($W175^Transportation_LCIA!R$60)+Transportation_LCIA!R$62</f>
        <v>3.8701614200798296E-4</v>
      </c>
      <c r="AO175" s="137">
        <f>Transportation_LCIA!S$61*($W175^Transportation_LCIA!S$60)+Transportation_LCIA!S$62</f>
        <v>5.7494943543369821E-6</v>
      </c>
      <c r="AP175" s="137">
        <f>Transportation_LCIA!T$61*($W175^Transportation_LCIA!T$60)+Transportation_LCIA!T$62</f>
        <v>5.7494943543369821E-6</v>
      </c>
      <c r="AQ175" s="137">
        <f>Transportation_LCIA!U$61*($W175^Transportation_LCIA!U$60)+Transportation_LCIA!U$62</f>
        <v>8.3577673663843112E-4</v>
      </c>
      <c r="AR175" s="137">
        <f>Transportation_LCIA!V$61*($W175^Transportation_LCIA!V$60)+Transportation_LCIA!V$62</f>
        <v>3.2593120598682981E-4</v>
      </c>
      <c r="AT175" s="137">
        <f>$W175*Y175+$L175*Summary_LCIA!H$32</f>
        <v>198.90166074564468</v>
      </c>
      <c r="AU175" s="137">
        <f>$W175*Z175+$L175*Summary_LCIA!Q$32</f>
        <v>2128.7117327123538</v>
      </c>
      <c r="AV175" s="137">
        <f>$W175*AA175+$L175*Summary_LCIA!R$32</f>
        <v>1.1459572435230156</v>
      </c>
      <c r="AW175" s="137">
        <f>$W175*AB175+$L175*Summary_LCIA!S$32</f>
        <v>198.79707470564469</v>
      </c>
      <c r="AX175" s="137">
        <f>$W175*AC175+$L175*Summary_LCIA!T$32</f>
        <v>49.515304546071611</v>
      </c>
      <c r="AY175" s="137">
        <f>$W175*AD175+$L175*Summary_LCIA!U$32</f>
        <v>0.66561092551157008</v>
      </c>
      <c r="AZ175" s="137">
        <f>$W175*AE175+$L175*Summary_LCIA!V$32</f>
        <v>6.5249199625383569E-3</v>
      </c>
      <c r="BA175" s="137">
        <f>$W175*AF175+$L175*Summary_LCIA!W$32</f>
        <v>9.8304120095829468</v>
      </c>
      <c r="BB175" s="137">
        <f>$W175*AG175+$L175*Summary_LCIA!X$32</f>
        <v>10.712408520726495</v>
      </c>
      <c r="BC175" s="137">
        <f>$W175*AH175+$L175*Summary_LCIA!Y$32</f>
        <v>0.58127991786783761</v>
      </c>
      <c r="BD175" s="137">
        <f>$W175*AI175+$L175*Summary_LCIA!Z$32</f>
        <v>0.19524870909874606</v>
      </c>
      <c r="BE175" s="137">
        <f>$W175*AJ175+$L175*Summary_LCIA!AA$32</f>
        <v>1.404934394187078</v>
      </c>
      <c r="BF175" s="137">
        <f>$W175*AK175+$L175*Summary_LCIA!AB$32</f>
        <v>4.9113963349333836E-2</v>
      </c>
      <c r="BG175" s="137">
        <f>$W175*AL175+$L175*Summary_LCIA!AC$32</f>
        <v>2.512850434287605E-5</v>
      </c>
      <c r="BH175" s="137">
        <f>$W175*AM175+$L175*Summary_LCIA!AD$32</f>
        <v>9.3647359026853755E-2</v>
      </c>
      <c r="BI175" s="137">
        <f>$W175*AN175+$L175*Summary_LCIA!AE$32</f>
        <v>0.28024255860658959</v>
      </c>
      <c r="BJ175" s="137">
        <f>$W175*AO175+$L175*Summary_LCIA!AF$32</f>
        <v>2.3856105014092903E-2</v>
      </c>
      <c r="BK175" s="137">
        <f>$W175*AP175+$L175*Summary_LCIA!AG$32</f>
        <v>5.0624432040929012E-3</v>
      </c>
      <c r="BL175" s="137">
        <f>$W175*AQ175+$L175*Summary_LCIA!AH$32</f>
        <v>0.76585914111900655</v>
      </c>
      <c r="BM175" s="137">
        <f>$W175*AR175+$L175*Summary_LCIA!AI$32</f>
        <v>0.24039446186761854</v>
      </c>
    </row>
    <row r="176" spans="1:65" x14ac:dyDescent="0.25">
      <c r="A176" s="149">
        <v>314</v>
      </c>
      <c r="B176" s="149">
        <v>43</v>
      </c>
      <c r="C176" s="61">
        <v>35.779589999999999</v>
      </c>
      <c r="D176" s="61">
        <v>-78.638178999999994</v>
      </c>
      <c r="E176" s="61" t="s">
        <v>265</v>
      </c>
      <c r="F176" s="149">
        <v>97</v>
      </c>
      <c r="G176" s="61" t="s">
        <v>286</v>
      </c>
      <c r="H176" s="61" t="s">
        <v>718</v>
      </c>
      <c r="I176" s="61">
        <v>35.880079000000002</v>
      </c>
      <c r="J176" s="61">
        <v>-78.787996000000007</v>
      </c>
      <c r="K176" s="61">
        <v>20.075432370000001</v>
      </c>
      <c r="L176" s="61">
        <v>23.661999999999999</v>
      </c>
      <c r="M176" s="61" t="s">
        <v>617</v>
      </c>
      <c r="N176" s="149">
        <v>42</v>
      </c>
      <c r="O176" s="149">
        <v>43</v>
      </c>
      <c r="P176" s="61" t="s">
        <v>565</v>
      </c>
      <c r="Q176" s="61" t="s">
        <v>555</v>
      </c>
      <c r="R176" s="61">
        <v>40.6895314</v>
      </c>
      <c r="S176" s="61">
        <v>-74.174462399999996</v>
      </c>
      <c r="T176" s="61">
        <v>791.2</v>
      </c>
      <c r="U176" s="61" t="s">
        <v>617</v>
      </c>
      <c r="V176" s="61" t="s">
        <v>569</v>
      </c>
      <c r="W176" s="61" cm="1">
        <f t="array" ref="W176">getDistance(I176,J176,R176,S176)*SA!$B$12</f>
        <v>669.93316919902929</v>
      </c>
      <c r="Y176" s="137">
        <f>Transportation_LCIA!C$61*($W176^Transportation_LCIA!C$60)+Transportation_LCIA!C$62</f>
        <v>0.28489604921911549</v>
      </c>
      <c r="Z176" s="137">
        <f>Transportation_LCIA!D$61*($W176^Transportation_LCIA!D$60)+Transportation_LCIA!D$62</f>
        <v>3.0024512292346759</v>
      </c>
      <c r="AA176" s="137">
        <f>Transportation_LCIA!E$61*($W176^Transportation_LCIA!E$60)+Transportation_LCIA!E$62</f>
        <v>1.5245738877866799E-3</v>
      </c>
      <c r="AB176" s="137">
        <f>Transportation_LCIA!F$61*($W176^Transportation_LCIA!F$60)+Transportation_LCIA!F$62</f>
        <v>0.28489604921911549</v>
      </c>
      <c r="AC176" s="137">
        <f>Transportation_LCIA!G$61*($W176^Transportation_LCIA!G$60)+Transportation_LCIA!G$62</f>
        <v>7.0029150522824407E-2</v>
      </c>
      <c r="AD176" s="137">
        <f>Transportation_LCIA!H$61*($W176^Transportation_LCIA!H$60)+Transportation_LCIA!H$62</f>
        <v>3.6082682366747387E-4</v>
      </c>
      <c r="AE176" s="137">
        <f>Transportation_LCIA!I$61*($W176^Transportation_LCIA!I$60)+Transportation_LCIA!I$62</f>
        <v>8.0527423160557447E-6</v>
      </c>
      <c r="AF176" s="137">
        <f>Transportation_LCIA!J$61*($W176^Transportation_LCIA!J$60)+Transportation_LCIA!J$62</f>
        <v>1.1955109219563853E-2</v>
      </c>
      <c r="AG176" s="137">
        <f>Transportation_LCIA!K$61*($W176^Transportation_LCIA!K$60)+Transportation_LCIA!K$62</f>
        <v>1.5185676166608942E-2</v>
      </c>
      <c r="AH176" s="137">
        <f>Transportation_LCIA!L$61*($W176^Transportation_LCIA!L$60)+Transportation_LCIA!L$62</f>
        <v>3.1731319427279008E-4</v>
      </c>
      <c r="AI176" s="137">
        <f>Transportation_LCIA!M$61*($W176^Transportation_LCIA!M$60)+Transportation_LCIA!M$62</f>
        <v>2.899966191747527E-4</v>
      </c>
      <c r="AJ176" s="137">
        <f>Transportation_LCIA!N$61*($W176^Transportation_LCIA!N$60)+Transportation_LCIA!N$62</f>
        <v>1.2721936476231921E-3</v>
      </c>
      <c r="AK176" s="137">
        <f>Transportation_LCIA!O$61*($W176^Transportation_LCIA!O$60)+Transportation_LCIA!O$62</f>
        <v>7.4082522641283401E-5</v>
      </c>
      <c r="AL176" s="137">
        <f>Transportation_LCIA!P$61*($W176^Transportation_LCIA!P$60)+Transportation_LCIA!P$62</f>
        <v>3.5782391792209214E-8</v>
      </c>
      <c r="AM176" s="137">
        <f>Transportation_LCIA!Q$61*($W176^Transportation_LCIA!Q$60)+Transportation_LCIA!Q$62</f>
        <v>1.2526821242063582E-4</v>
      </c>
      <c r="AN176" s="137">
        <f>Transportation_LCIA!R$61*($W176^Transportation_LCIA!R$60)+Transportation_LCIA!R$62</f>
        <v>3.8701614200798296E-4</v>
      </c>
      <c r="AO176" s="137">
        <f>Transportation_LCIA!S$61*($W176^Transportation_LCIA!S$60)+Transportation_LCIA!S$62</f>
        <v>5.7494943543369821E-6</v>
      </c>
      <c r="AP176" s="137">
        <f>Transportation_LCIA!T$61*($W176^Transportation_LCIA!T$60)+Transportation_LCIA!T$62</f>
        <v>5.7494943543369821E-6</v>
      </c>
      <c r="AQ176" s="137">
        <f>Transportation_LCIA!U$61*($W176^Transportation_LCIA!U$60)+Transportation_LCIA!U$62</f>
        <v>8.3577673663843112E-4</v>
      </c>
      <c r="AR176" s="137">
        <f>Transportation_LCIA!V$61*($W176^Transportation_LCIA!V$60)+Transportation_LCIA!V$62</f>
        <v>3.2593120598682981E-4</v>
      </c>
      <c r="AT176" s="137">
        <f>$W176*Y176+$L176*Summary_LCIA!H$32</f>
        <v>198.90166074564468</v>
      </c>
      <c r="AU176" s="137">
        <f>$W176*Z176+$L176*Summary_LCIA!Q$32</f>
        <v>2128.7117327123538</v>
      </c>
      <c r="AV176" s="137">
        <f>$W176*AA176+$L176*Summary_LCIA!R$32</f>
        <v>1.1459572435230156</v>
      </c>
      <c r="AW176" s="137">
        <f>$W176*AB176+$L176*Summary_LCIA!S$32</f>
        <v>198.79707470564469</v>
      </c>
      <c r="AX176" s="137">
        <f>$W176*AC176+$L176*Summary_LCIA!T$32</f>
        <v>49.515304546071611</v>
      </c>
      <c r="AY176" s="137">
        <f>$W176*AD176+$L176*Summary_LCIA!U$32</f>
        <v>0.66561092551157008</v>
      </c>
      <c r="AZ176" s="137">
        <f>$W176*AE176+$L176*Summary_LCIA!V$32</f>
        <v>6.5249199625383569E-3</v>
      </c>
      <c r="BA176" s="137">
        <f>$W176*AF176+$L176*Summary_LCIA!W$32</f>
        <v>9.8304120095829468</v>
      </c>
      <c r="BB176" s="137">
        <f>$W176*AG176+$L176*Summary_LCIA!X$32</f>
        <v>10.712408520726495</v>
      </c>
      <c r="BC176" s="137">
        <f>$W176*AH176+$L176*Summary_LCIA!Y$32</f>
        <v>0.58127991786783761</v>
      </c>
      <c r="BD176" s="137">
        <f>$W176*AI176+$L176*Summary_LCIA!Z$32</f>
        <v>0.19524870909874606</v>
      </c>
      <c r="BE176" s="137">
        <f>$W176*AJ176+$L176*Summary_LCIA!AA$32</f>
        <v>1.404934394187078</v>
      </c>
      <c r="BF176" s="137">
        <f>$W176*AK176+$L176*Summary_LCIA!AB$32</f>
        <v>4.9113963349333836E-2</v>
      </c>
      <c r="BG176" s="137">
        <f>$W176*AL176+$L176*Summary_LCIA!AC$32</f>
        <v>2.512850434287605E-5</v>
      </c>
      <c r="BH176" s="137">
        <f>$W176*AM176+$L176*Summary_LCIA!AD$32</f>
        <v>9.3647359026853755E-2</v>
      </c>
      <c r="BI176" s="137">
        <f>$W176*AN176+$L176*Summary_LCIA!AE$32</f>
        <v>0.28024255860658959</v>
      </c>
      <c r="BJ176" s="137">
        <f>$W176*AO176+$L176*Summary_LCIA!AF$32</f>
        <v>2.3856105014092903E-2</v>
      </c>
      <c r="BK176" s="137">
        <f>$W176*AP176+$L176*Summary_LCIA!AG$32</f>
        <v>5.0624432040929012E-3</v>
      </c>
      <c r="BL176" s="137">
        <f>$W176*AQ176+$L176*Summary_LCIA!AH$32</f>
        <v>0.76585914111900655</v>
      </c>
      <c r="BM176" s="137">
        <f>$W176*AR176+$L176*Summary_LCIA!AI$32</f>
        <v>0.24039446186761854</v>
      </c>
    </row>
    <row r="177" spans="1:65" x14ac:dyDescent="0.25">
      <c r="A177" s="149">
        <v>310</v>
      </c>
      <c r="B177" s="149">
        <v>43</v>
      </c>
      <c r="C177" s="61">
        <v>35.785055</v>
      </c>
      <c r="D177" s="61">
        <v>-78.681944999999999</v>
      </c>
      <c r="E177" s="61" t="s">
        <v>265</v>
      </c>
      <c r="F177" s="149">
        <v>97</v>
      </c>
      <c r="G177" s="61" t="s">
        <v>286</v>
      </c>
      <c r="H177" s="61" t="s">
        <v>718</v>
      </c>
      <c r="I177" s="61">
        <v>35.880079000000002</v>
      </c>
      <c r="J177" s="61">
        <v>-78.787996000000007</v>
      </c>
      <c r="K177" s="61">
        <v>17.190043989999999</v>
      </c>
      <c r="L177" s="61">
        <v>19.38</v>
      </c>
      <c r="M177" s="61" t="s">
        <v>617</v>
      </c>
      <c r="N177" s="149">
        <v>42</v>
      </c>
      <c r="O177" s="149">
        <v>43</v>
      </c>
      <c r="P177" s="61" t="s">
        <v>565</v>
      </c>
      <c r="Q177" s="61" t="s">
        <v>555</v>
      </c>
      <c r="R177" s="61">
        <v>40.6895314</v>
      </c>
      <c r="S177" s="61">
        <v>-74.174462399999996</v>
      </c>
      <c r="T177" s="61">
        <v>795.82799999999997</v>
      </c>
      <c r="U177" s="61" t="s">
        <v>617</v>
      </c>
      <c r="V177" s="61" t="s">
        <v>569</v>
      </c>
      <c r="W177" s="61" cm="1">
        <f t="array" ref="W177">getDistance(I177,J177,R177,S177)*SA!$B$12</f>
        <v>669.93316919902929</v>
      </c>
      <c r="Y177" s="137">
        <f>Transportation_LCIA!C$61*($W177^Transportation_LCIA!C$60)+Transportation_LCIA!C$62</f>
        <v>0.28489604921911549</v>
      </c>
      <c r="Z177" s="137">
        <f>Transportation_LCIA!D$61*($W177^Transportation_LCIA!D$60)+Transportation_LCIA!D$62</f>
        <v>3.0024512292346759</v>
      </c>
      <c r="AA177" s="137">
        <f>Transportation_LCIA!E$61*($W177^Transportation_LCIA!E$60)+Transportation_LCIA!E$62</f>
        <v>1.5245738877866799E-3</v>
      </c>
      <c r="AB177" s="137">
        <f>Transportation_LCIA!F$61*($W177^Transportation_LCIA!F$60)+Transportation_LCIA!F$62</f>
        <v>0.28489604921911549</v>
      </c>
      <c r="AC177" s="137">
        <f>Transportation_LCIA!G$61*($W177^Transportation_LCIA!G$60)+Transportation_LCIA!G$62</f>
        <v>7.0029150522824407E-2</v>
      </c>
      <c r="AD177" s="137">
        <f>Transportation_LCIA!H$61*($W177^Transportation_LCIA!H$60)+Transportation_LCIA!H$62</f>
        <v>3.6082682366747387E-4</v>
      </c>
      <c r="AE177" s="137">
        <f>Transportation_LCIA!I$61*($W177^Transportation_LCIA!I$60)+Transportation_LCIA!I$62</f>
        <v>8.0527423160557447E-6</v>
      </c>
      <c r="AF177" s="137">
        <f>Transportation_LCIA!J$61*($W177^Transportation_LCIA!J$60)+Transportation_LCIA!J$62</f>
        <v>1.1955109219563853E-2</v>
      </c>
      <c r="AG177" s="137">
        <f>Transportation_LCIA!K$61*($W177^Transportation_LCIA!K$60)+Transportation_LCIA!K$62</f>
        <v>1.5185676166608942E-2</v>
      </c>
      <c r="AH177" s="137">
        <f>Transportation_LCIA!L$61*($W177^Transportation_LCIA!L$60)+Transportation_LCIA!L$62</f>
        <v>3.1731319427279008E-4</v>
      </c>
      <c r="AI177" s="137">
        <f>Transportation_LCIA!M$61*($W177^Transportation_LCIA!M$60)+Transportation_LCIA!M$62</f>
        <v>2.899966191747527E-4</v>
      </c>
      <c r="AJ177" s="137">
        <f>Transportation_LCIA!N$61*($W177^Transportation_LCIA!N$60)+Transportation_LCIA!N$62</f>
        <v>1.2721936476231921E-3</v>
      </c>
      <c r="AK177" s="137">
        <f>Transportation_LCIA!O$61*($W177^Transportation_LCIA!O$60)+Transportation_LCIA!O$62</f>
        <v>7.4082522641283401E-5</v>
      </c>
      <c r="AL177" s="137">
        <f>Transportation_LCIA!P$61*($W177^Transportation_LCIA!P$60)+Transportation_LCIA!P$62</f>
        <v>3.5782391792209214E-8</v>
      </c>
      <c r="AM177" s="137">
        <f>Transportation_LCIA!Q$61*($W177^Transportation_LCIA!Q$60)+Transportation_LCIA!Q$62</f>
        <v>1.2526821242063582E-4</v>
      </c>
      <c r="AN177" s="137">
        <f>Transportation_LCIA!R$61*($W177^Transportation_LCIA!R$60)+Transportation_LCIA!R$62</f>
        <v>3.8701614200798296E-4</v>
      </c>
      <c r="AO177" s="137">
        <f>Transportation_LCIA!S$61*($W177^Transportation_LCIA!S$60)+Transportation_LCIA!S$62</f>
        <v>5.7494943543369821E-6</v>
      </c>
      <c r="AP177" s="137">
        <f>Transportation_LCIA!T$61*($W177^Transportation_LCIA!T$60)+Transportation_LCIA!T$62</f>
        <v>5.7494943543369821E-6</v>
      </c>
      <c r="AQ177" s="137">
        <f>Transportation_LCIA!U$61*($W177^Transportation_LCIA!U$60)+Transportation_LCIA!U$62</f>
        <v>8.3577673663843112E-4</v>
      </c>
      <c r="AR177" s="137">
        <f>Transportation_LCIA!V$61*($W177^Transportation_LCIA!V$60)+Transportation_LCIA!V$62</f>
        <v>3.2593120598682981E-4</v>
      </c>
      <c r="AT177" s="137">
        <f>$W177*Y177+$L177*Summary_LCIA!H$32</f>
        <v>197.44663714564467</v>
      </c>
      <c r="AU177" s="137">
        <f>$W177*Z177+$L177*Summary_LCIA!Q$32</f>
        <v>2107.4899247582475</v>
      </c>
      <c r="AV177" s="137">
        <f>$W177*AA177+$L177*Summary_LCIA!R$32</f>
        <v>1.1234099443230157</v>
      </c>
      <c r="AW177" s="137">
        <f>$W177*AB177+$L177*Summary_LCIA!S$32</f>
        <v>197.36097754564469</v>
      </c>
      <c r="AX177" s="137">
        <f>$W177*AC177+$L177*Summary_LCIA!T$32</f>
        <v>49.044712746071617</v>
      </c>
      <c r="AY177" s="137">
        <f>$W177*AD177+$L177*Summary_LCIA!U$32</f>
        <v>0.58890317751157006</v>
      </c>
      <c r="AZ177" s="137">
        <f>$W177*AE177+$L177*Summary_LCIA!V$32</f>
        <v>6.3204073605383562E-3</v>
      </c>
      <c r="BA177" s="137">
        <f>$W177*AF177+$L177*Summary_LCIA!W$32</f>
        <v>9.5008221875829459</v>
      </c>
      <c r="BB177" s="137">
        <f>$W177*AG177+$L177*Summary_LCIA!X$32</f>
        <v>10.614864560726495</v>
      </c>
      <c r="BC177" s="137">
        <f>$W177*AH177+$L177*Summary_LCIA!Y$32</f>
        <v>0.51455779386783751</v>
      </c>
      <c r="BD177" s="137">
        <f>$W177*AI177+$L177*Summary_LCIA!Z$32</f>
        <v>0.19507310856074606</v>
      </c>
      <c r="BE177" s="137">
        <f>$W177*AJ177+$L177*Summary_LCIA!AA$32</f>
        <v>1.304924002187078</v>
      </c>
      <c r="BF177" s="137">
        <f>$W177*AK177+$L177*Summary_LCIA!AB$32</f>
        <v>4.9207409435333832E-2</v>
      </c>
      <c r="BG177" s="137">
        <f>$W177*AL177+$L177*Summary_LCIA!AC$32</f>
        <v>2.491918305487605E-5</v>
      </c>
      <c r="BH177" s="137">
        <f>$W177*AM177+$L177*Summary_LCIA!AD$32</f>
        <v>9.1887285746853758E-2</v>
      </c>
      <c r="BI177" s="137">
        <f>$W177*AN177+$L177*Summary_LCIA!AE$32</f>
        <v>0.27644814994658962</v>
      </c>
      <c r="BJ177" s="137">
        <f>$W177*AO177+$L177*Summary_LCIA!AF$32</f>
        <v>2.0236016574092901E-2</v>
      </c>
      <c r="BK177" s="137">
        <f>$W177*AP177+$L177*Summary_LCIA!AG$32</f>
        <v>4.8433546740929015E-3</v>
      </c>
      <c r="BL177" s="137">
        <f>$W177*AQ177+$L177*Summary_LCIA!AH$32</f>
        <v>0.72859032591900652</v>
      </c>
      <c r="BM177" s="137">
        <f>$W177*AR177+$L177*Summary_LCIA!AI$32</f>
        <v>0.23640556476761854</v>
      </c>
    </row>
    <row r="178" spans="1:65" x14ac:dyDescent="0.25">
      <c r="A178" s="149">
        <v>311</v>
      </c>
      <c r="B178" s="149">
        <v>43</v>
      </c>
      <c r="C178" s="61">
        <v>35.785055</v>
      </c>
      <c r="D178" s="61">
        <v>-78.681944999999999</v>
      </c>
      <c r="E178" s="61" t="s">
        <v>265</v>
      </c>
      <c r="F178" s="149">
        <v>97</v>
      </c>
      <c r="G178" s="61" t="s">
        <v>286</v>
      </c>
      <c r="H178" s="61" t="s">
        <v>718</v>
      </c>
      <c r="I178" s="61">
        <v>35.880079000000002</v>
      </c>
      <c r="J178" s="61">
        <v>-78.787996000000007</v>
      </c>
      <c r="K178" s="61">
        <v>17.190043989999999</v>
      </c>
      <c r="L178" s="61">
        <v>19.38</v>
      </c>
      <c r="M178" s="61" t="s">
        <v>617</v>
      </c>
      <c r="N178" s="149">
        <v>42</v>
      </c>
      <c r="O178" s="149">
        <v>43</v>
      </c>
      <c r="P178" s="61" t="s">
        <v>565</v>
      </c>
      <c r="Q178" s="61" t="s">
        <v>555</v>
      </c>
      <c r="R178" s="61">
        <v>40.6895314</v>
      </c>
      <c r="S178" s="61">
        <v>-74.174462399999996</v>
      </c>
      <c r="T178" s="61">
        <v>795.82799999999997</v>
      </c>
      <c r="U178" s="61" t="s">
        <v>617</v>
      </c>
      <c r="V178" s="61" t="s">
        <v>569</v>
      </c>
      <c r="W178" s="61" cm="1">
        <f t="array" ref="W178">getDistance(I178,J178,R178,S178)*SA!$B$12</f>
        <v>669.93316919902929</v>
      </c>
      <c r="Y178" s="137">
        <f>Transportation_LCIA!C$61*($W178^Transportation_LCIA!C$60)+Transportation_LCIA!C$62</f>
        <v>0.28489604921911549</v>
      </c>
      <c r="Z178" s="137">
        <f>Transportation_LCIA!D$61*($W178^Transportation_LCIA!D$60)+Transportation_LCIA!D$62</f>
        <v>3.0024512292346759</v>
      </c>
      <c r="AA178" s="137">
        <f>Transportation_LCIA!E$61*($W178^Transportation_LCIA!E$60)+Transportation_LCIA!E$62</f>
        <v>1.5245738877866799E-3</v>
      </c>
      <c r="AB178" s="137">
        <f>Transportation_LCIA!F$61*($W178^Transportation_LCIA!F$60)+Transportation_LCIA!F$62</f>
        <v>0.28489604921911549</v>
      </c>
      <c r="AC178" s="137">
        <f>Transportation_LCIA!G$61*($W178^Transportation_LCIA!G$60)+Transportation_LCIA!G$62</f>
        <v>7.0029150522824407E-2</v>
      </c>
      <c r="AD178" s="137">
        <f>Transportation_LCIA!H$61*($W178^Transportation_LCIA!H$60)+Transportation_LCIA!H$62</f>
        <v>3.6082682366747387E-4</v>
      </c>
      <c r="AE178" s="137">
        <f>Transportation_LCIA!I$61*($W178^Transportation_LCIA!I$60)+Transportation_LCIA!I$62</f>
        <v>8.0527423160557447E-6</v>
      </c>
      <c r="AF178" s="137">
        <f>Transportation_LCIA!J$61*($W178^Transportation_LCIA!J$60)+Transportation_LCIA!J$62</f>
        <v>1.1955109219563853E-2</v>
      </c>
      <c r="AG178" s="137">
        <f>Transportation_LCIA!K$61*($W178^Transportation_LCIA!K$60)+Transportation_LCIA!K$62</f>
        <v>1.5185676166608942E-2</v>
      </c>
      <c r="AH178" s="137">
        <f>Transportation_LCIA!L$61*($W178^Transportation_LCIA!L$60)+Transportation_LCIA!L$62</f>
        <v>3.1731319427279008E-4</v>
      </c>
      <c r="AI178" s="137">
        <f>Transportation_LCIA!M$61*($W178^Transportation_LCIA!M$60)+Transportation_LCIA!M$62</f>
        <v>2.899966191747527E-4</v>
      </c>
      <c r="AJ178" s="137">
        <f>Transportation_LCIA!N$61*($W178^Transportation_LCIA!N$60)+Transportation_LCIA!N$62</f>
        <v>1.2721936476231921E-3</v>
      </c>
      <c r="AK178" s="137">
        <f>Transportation_LCIA!O$61*($W178^Transportation_LCIA!O$60)+Transportation_LCIA!O$62</f>
        <v>7.4082522641283401E-5</v>
      </c>
      <c r="AL178" s="137">
        <f>Transportation_LCIA!P$61*($W178^Transportation_LCIA!P$60)+Transportation_LCIA!P$62</f>
        <v>3.5782391792209214E-8</v>
      </c>
      <c r="AM178" s="137">
        <f>Transportation_LCIA!Q$61*($W178^Transportation_LCIA!Q$60)+Transportation_LCIA!Q$62</f>
        <v>1.2526821242063582E-4</v>
      </c>
      <c r="AN178" s="137">
        <f>Transportation_LCIA!R$61*($W178^Transportation_LCIA!R$60)+Transportation_LCIA!R$62</f>
        <v>3.8701614200798296E-4</v>
      </c>
      <c r="AO178" s="137">
        <f>Transportation_LCIA!S$61*($W178^Transportation_LCIA!S$60)+Transportation_LCIA!S$62</f>
        <v>5.7494943543369821E-6</v>
      </c>
      <c r="AP178" s="137">
        <f>Transportation_LCIA!T$61*($W178^Transportation_LCIA!T$60)+Transportation_LCIA!T$62</f>
        <v>5.7494943543369821E-6</v>
      </c>
      <c r="AQ178" s="137">
        <f>Transportation_LCIA!U$61*($W178^Transportation_LCIA!U$60)+Transportation_LCIA!U$62</f>
        <v>8.3577673663843112E-4</v>
      </c>
      <c r="AR178" s="137">
        <f>Transportation_LCIA!V$61*($W178^Transportation_LCIA!V$60)+Transportation_LCIA!V$62</f>
        <v>3.2593120598682981E-4</v>
      </c>
      <c r="AT178" s="137">
        <f>$W178*Y178+$L178*Summary_LCIA!H$32</f>
        <v>197.44663714564467</v>
      </c>
      <c r="AU178" s="137">
        <f>$W178*Z178+$L178*Summary_LCIA!Q$32</f>
        <v>2107.4899247582475</v>
      </c>
      <c r="AV178" s="137">
        <f>$W178*AA178+$L178*Summary_LCIA!R$32</f>
        <v>1.1234099443230157</v>
      </c>
      <c r="AW178" s="137">
        <f>$W178*AB178+$L178*Summary_LCIA!S$32</f>
        <v>197.36097754564469</v>
      </c>
      <c r="AX178" s="137">
        <f>$W178*AC178+$L178*Summary_LCIA!T$32</f>
        <v>49.044712746071617</v>
      </c>
      <c r="AY178" s="137">
        <f>$W178*AD178+$L178*Summary_LCIA!U$32</f>
        <v>0.58890317751157006</v>
      </c>
      <c r="AZ178" s="137">
        <f>$W178*AE178+$L178*Summary_LCIA!V$32</f>
        <v>6.3204073605383562E-3</v>
      </c>
      <c r="BA178" s="137">
        <f>$W178*AF178+$L178*Summary_LCIA!W$32</f>
        <v>9.5008221875829459</v>
      </c>
      <c r="BB178" s="137">
        <f>$W178*AG178+$L178*Summary_LCIA!X$32</f>
        <v>10.614864560726495</v>
      </c>
      <c r="BC178" s="137">
        <f>$W178*AH178+$L178*Summary_LCIA!Y$32</f>
        <v>0.51455779386783751</v>
      </c>
      <c r="BD178" s="137">
        <f>$W178*AI178+$L178*Summary_LCIA!Z$32</f>
        <v>0.19507310856074606</v>
      </c>
      <c r="BE178" s="137">
        <f>$W178*AJ178+$L178*Summary_LCIA!AA$32</f>
        <v>1.304924002187078</v>
      </c>
      <c r="BF178" s="137">
        <f>$W178*AK178+$L178*Summary_LCIA!AB$32</f>
        <v>4.9207409435333832E-2</v>
      </c>
      <c r="BG178" s="137">
        <f>$W178*AL178+$L178*Summary_LCIA!AC$32</f>
        <v>2.491918305487605E-5</v>
      </c>
      <c r="BH178" s="137">
        <f>$W178*AM178+$L178*Summary_LCIA!AD$32</f>
        <v>9.1887285746853758E-2</v>
      </c>
      <c r="BI178" s="137">
        <f>$W178*AN178+$L178*Summary_LCIA!AE$32</f>
        <v>0.27644814994658962</v>
      </c>
      <c r="BJ178" s="137">
        <f>$W178*AO178+$L178*Summary_LCIA!AF$32</f>
        <v>2.0236016574092901E-2</v>
      </c>
      <c r="BK178" s="137">
        <f>$W178*AP178+$L178*Summary_LCIA!AG$32</f>
        <v>4.8433546740929015E-3</v>
      </c>
      <c r="BL178" s="137">
        <f>$W178*AQ178+$L178*Summary_LCIA!AH$32</f>
        <v>0.72859032591900652</v>
      </c>
      <c r="BM178" s="137">
        <f>$W178*AR178+$L178*Summary_LCIA!AI$32</f>
        <v>0.23640556476761854</v>
      </c>
    </row>
    <row r="179" spans="1:65" x14ac:dyDescent="0.25">
      <c r="A179" s="149">
        <v>48</v>
      </c>
      <c r="B179" s="149">
        <v>43</v>
      </c>
      <c r="C179" s="61">
        <v>43.472979000000002</v>
      </c>
      <c r="D179" s="61">
        <v>-80.540103000000002</v>
      </c>
      <c r="E179" s="61" t="s">
        <v>456</v>
      </c>
      <c r="F179" s="149">
        <v>139</v>
      </c>
      <c r="G179" s="61" t="s">
        <v>651</v>
      </c>
      <c r="H179" s="61" t="s">
        <v>652</v>
      </c>
      <c r="I179" s="61">
        <v>43.163226000000002</v>
      </c>
      <c r="J179" s="61">
        <v>-79.926573000000005</v>
      </c>
      <c r="K179" s="61">
        <v>67.656494089999995</v>
      </c>
      <c r="L179" s="61">
        <v>75.798000000000002</v>
      </c>
      <c r="M179" s="61" t="s">
        <v>617</v>
      </c>
      <c r="N179" s="149">
        <v>42</v>
      </c>
      <c r="O179" s="149">
        <v>43</v>
      </c>
      <c r="P179" s="61" t="s">
        <v>565</v>
      </c>
      <c r="Q179" s="61" t="s">
        <v>555</v>
      </c>
      <c r="R179" s="61">
        <v>40.6895314</v>
      </c>
      <c r="S179" s="61">
        <v>-74.174462399999996</v>
      </c>
      <c r="T179" s="61">
        <v>803.12199999999996</v>
      </c>
      <c r="U179" s="61" t="s">
        <v>617</v>
      </c>
      <c r="V179" s="61" t="s">
        <v>569</v>
      </c>
      <c r="W179" s="61" cm="1">
        <f t="array" ref="W179">getDistance(I179,J179,R179,S179)*SA!$B$12</f>
        <v>550.64226474870293</v>
      </c>
      <c r="Y179" s="137">
        <f>Transportation_LCIA!C$61*($W179^Transportation_LCIA!C$60)+Transportation_LCIA!C$62</f>
        <v>0.31582951834006651</v>
      </c>
      <c r="Z179" s="137">
        <f>Transportation_LCIA!D$61*($W179^Transportation_LCIA!D$60)+Transportation_LCIA!D$62</f>
        <v>3.3713172365095883</v>
      </c>
      <c r="AA179" s="137">
        <f>Transportation_LCIA!E$61*($W179^Transportation_LCIA!E$60)+Transportation_LCIA!E$62</f>
        <v>1.7685729557347799E-3</v>
      </c>
      <c r="AB179" s="137">
        <f>Transportation_LCIA!F$61*($W179^Transportation_LCIA!F$60)+Transportation_LCIA!F$62</f>
        <v>0.31582951834006651</v>
      </c>
      <c r="AC179" s="137">
        <f>Transportation_LCIA!G$61*($W179^Transportation_LCIA!G$60)+Transportation_LCIA!G$62</f>
        <v>7.8552412903394125E-2</v>
      </c>
      <c r="AD179" s="137">
        <f>Transportation_LCIA!H$61*($W179^Transportation_LCIA!H$60)+Transportation_LCIA!H$62</f>
        <v>4.1512367250764272E-4</v>
      </c>
      <c r="AE179" s="137">
        <f>Transportation_LCIA!I$61*($W179^Transportation_LCIA!I$60)+Transportation_LCIA!I$62</f>
        <v>9.4462147912456424E-6</v>
      </c>
      <c r="AF179" s="137">
        <f>Transportation_LCIA!J$61*($W179^Transportation_LCIA!J$60)+Transportation_LCIA!J$62</f>
        <v>1.4056688928173458E-2</v>
      </c>
      <c r="AG179" s="137">
        <f>Transportation_LCIA!K$61*($W179^Transportation_LCIA!K$60)+Transportation_LCIA!K$62</f>
        <v>1.7197090281413016E-2</v>
      </c>
      <c r="AH179" s="137">
        <f>Transportation_LCIA!L$61*($W179^Transportation_LCIA!L$60)+Transportation_LCIA!L$62</f>
        <v>3.6750532561619483E-4</v>
      </c>
      <c r="AI179" s="137">
        <f>Transportation_LCIA!M$61*($W179^Transportation_LCIA!M$60)+Transportation_LCIA!M$62</f>
        <v>3.1998211847213403E-4</v>
      </c>
      <c r="AJ179" s="137">
        <f>Transportation_LCIA!N$61*($W179^Transportation_LCIA!N$60)+Transportation_LCIA!N$62</f>
        <v>1.4544689729375109E-3</v>
      </c>
      <c r="AK179" s="137">
        <f>Transportation_LCIA!O$61*($W179^Transportation_LCIA!O$60)+Transportation_LCIA!O$62</f>
        <v>8.3144956399104825E-5</v>
      </c>
      <c r="AL179" s="137">
        <f>Transportation_LCIA!P$61*($W179^Transportation_LCIA!P$60)+Transportation_LCIA!P$62</f>
        <v>4.0132527605336209E-8</v>
      </c>
      <c r="AM179" s="137">
        <f>Transportation_LCIA!Q$61*($W179^Transportation_LCIA!Q$60)+Transportation_LCIA!Q$62</f>
        <v>1.4495151463949962E-4</v>
      </c>
      <c r="AN179" s="137">
        <f>Transportation_LCIA!R$61*($W179^Transportation_LCIA!R$60)+Transportation_LCIA!R$62</f>
        <v>4.5386843385268231E-4</v>
      </c>
      <c r="AO179" s="137">
        <f>Transportation_LCIA!S$61*($W179^Transportation_LCIA!S$60)+Transportation_LCIA!S$62</f>
        <v>6.6974509072146396E-6</v>
      </c>
      <c r="AP179" s="137">
        <f>Transportation_LCIA!T$61*($W179^Transportation_LCIA!T$60)+Transportation_LCIA!T$62</f>
        <v>6.6974509072146396E-6</v>
      </c>
      <c r="AQ179" s="137">
        <f>Transportation_LCIA!U$61*($W179^Transportation_LCIA!U$60)+Transportation_LCIA!U$62</f>
        <v>9.829225379503466E-4</v>
      </c>
      <c r="AR179" s="137">
        <f>Transportation_LCIA!V$61*($W179^Transportation_LCIA!V$60)+Transportation_LCIA!V$62</f>
        <v>3.7733288747447675E-4</v>
      </c>
      <c r="AT179" s="137">
        <f>$W179*Y179+$L179*Summary_LCIA!H$32</f>
        <v>199.66524165326624</v>
      </c>
      <c r="AU179" s="137">
        <f>$W179*Z179+$L179*Summary_LCIA!Q$32</f>
        <v>2232.0484690185122</v>
      </c>
      <c r="AV179" s="137">
        <f>$W179*AA179+$L179*Summary_LCIA!R$32</f>
        <v>1.3729729665191068</v>
      </c>
      <c r="AW179" s="137">
        <f>$W179*AB179+$L179*Summary_LCIA!S$32</f>
        <v>199.33021449326623</v>
      </c>
      <c r="AX179" s="137">
        <f>$W179*AC179+$L179*Summary_LCIA!T$32</f>
        <v>51.584478742600176</v>
      </c>
      <c r="AY179" s="137">
        <f>$W179*AD179+$L179*Summary_LCIA!U$32</f>
        <v>1.5864300111804071</v>
      </c>
      <c r="AZ179" s="137">
        <f>$W179*AE179+$L179*Summary_LCIA!V$32</f>
        <v>8.8216733839541969E-3</v>
      </c>
      <c r="BA179" s="137">
        <f>$W179*AF179+$L179*Summary_LCIA!W$32</f>
        <v>13.574454884277451</v>
      </c>
      <c r="BB179" s="137">
        <f>$W179*AG179+$L179*Summary_LCIA!X$32</f>
        <v>11.196123179645173</v>
      </c>
      <c r="BC179" s="137">
        <f>$W179*AH179+$L179*Summary_LCIA!Y$32</f>
        <v>1.3834484008045111</v>
      </c>
      <c r="BD179" s="137">
        <f>$W179*AI179+$L179*Summary_LCIA!Z$32</f>
        <v>0.17930407857658365</v>
      </c>
      <c r="BE179" s="137">
        <f>$W179*AJ179+$L179*Summary_LCIA!AA$32</f>
        <v>2.571230177265031</v>
      </c>
      <c r="BF179" s="137">
        <f>$W179*AK179+$L179*Summary_LCIA!AB$32</f>
        <v>4.4128987340035238E-2</v>
      </c>
      <c r="BG179" s="137">
        <f>$W179*AL179+$L179*Summary_LCIA!AC$32</f>
        <v>2.5803975322692171E-5</v>
      </c>
      <c r="BH179" s="137">
        <f>$W179*AM179+$L179*Summary_LCIA!AD$32</f>
        <v>0.11097244021984884</v>
      </c>
      <c r="BI179" s="137">
        <f>$W179*AN179+$L179*Summary_LCIA!AE$32</f>
        <v>0.31708602405458786</v>
      </c>
      <c r="BJ179" s="137">
        <f>$W179*AO179+$L179*Summary_LCIA!AF$32</f>
        <v>6.7769044695591932E-2</v>
      </c>
      <c r="BK179" s="137">
        <f>$W179*AP179+$L179*Summary_LCIA!AG$32</f>
        <v>7.5661042055919243E-3</v>
      </c>
      <c r="BL179" s="137">
        <f>$W179*AQ179+$L179*Summary_LCIA!AH$32</f>
        <v>1.2009541651695219</v>
      </c>
      <c r="BM179" s="137">
        <f>$W179*AR179+$L179*Summary_LCIA!AI$32</f>
        <v>0.27838506262311336</v>
      </c>
    </row>
    <row r="180" spans="1:65" x14ac:dyDescent="0.25">
      <c r="A180" s="149">
        <v>319</v>
      </c>
      <c r="B180" s="149">
        <v>15</v>
      </c>
      <c r="C180" s="61">
        <v>44.698993000000002</v>
      </c>
      <c r="D180" s="61">
        <v>10.629686</v>
      </c>
      <c r="E180" s="61" t="s">
        <v>421</v>
      </c>
      <c r="F180" s="149">
        <v>51</v>
      </c>
      <c r="G180" s="61" t="s">
        <v>698</v>
      </c>
      <c r="H180" s="61" t="s">
        <v>716</v>
      </c>
      <c r="I180" s="61">
        <v>41.799886999999998</v>
      </c>
      <c r="J180" s="61">
        <v>12.246238</v>
      </c>
      <c r="K180" s="61">
        <v>362.83693729999999</v>
      </c>
      <c r="L180" s="61">
        <v>459.46699999999998</v>
      </c>
      <c r="M180" s="61" t="s">
        <v>617</v>
      </c>
      <c r="N180" s="149">
        <v>14</v>
      </c>
      <c r="O180" s="149">
        <v>15</v>
      </c>
      <c r="P180" s="61" t="s">
        <v>567</v>
      </c>
      <c r="Q180" s="61" t="s">
        <v>566</v>
      </c>
      <c r="R180" s="61">
        <v>50.037932599999998</v>
      </c>
      <c r="S180" s="61">
        <v>8.5621518000000005</v>
      </c>
      <c r="T180" s="61">
        <v>841.529</v>
      </c>
      <c r="U180" s="61" t="s">
        <v>589</v>
      </c>
      <c r="V180" s="61" t="s">
        <v>569</v>
      </c>
      <c r="W180" s="61" cm="1">
        <f t="array" ref="W180">getDistance(I180,J180,R180,S180)*SA!$B$12</f>
        <v>960.33096396061467</v>
      </c>
      <c r="Y180" s="137">
        <f>Transportation_LCIA!C$61*($W180^Transportation_LCIA!C$60)+Transportation_LCIA!C$62</f>
        <v>0.23978916330242275</v>
      </c>
      <c r="Z180" s="137">
        <f>Transportation_LCIA!D$61*($W180^Transportation_LCIA!D$60)+Transportation_LCIA!D$62</f>
        <v>2.4708787889542601</v>
      </c>
      <c r="AA180" s="137">
        <f>Transportation_LCIA!E$61*($W180^Transportation_LCIA!E$60)+Transportation_LCIA!E$62</f>
        <v>1.174109327635068E-3</v>
      </c>
      <c r="AB180" s="137">
        <f>Transportation_LCIA!F$61*($W180^Transportation_LCIA!F$60)+Transportation_LCIA!F$62</f>
        <v>0.23978916330242275</v>
      </c>
      <c r="AC180" s="137">
        <f>Transportation_LCIA!G$61*($W180^Transportation_LCIA!G$60)+Transportation_LCIA!G$62</f>
        <v>5.7737841551702487E-2</v>
      </c>
      <c r="AD180" s="137">
        <f>Transportation_LCIA!H$61*($W180^Transportation_LCIA!H$60)+Transportation_LCIA!H$62</f>
        <v>2.8334647040481186E-4</v>
      </c>
      <c r="AE180" s="137">
        <f>Transportation_LCIA!I$61*($W180^Transportation_LCIA!I$60)+Transportation_LCIA!I$62</f>
        <v>6.0850967306403664E-6</v>
      </c>
      <c r="AF180" s="137">
        <f>Transportation_LCIA!J$61*($W180^Transportation_LCIA!J$60)+Transportation_LCIA!J$62</f>
        <v>9.0078905630086234E-3</v>
      </c>
      <c r="AG180" s="137">
        <f>Transportation_LCIA!K$61*($W180^Transportation_LCIA!K$60)+Transportation_LCIA!K$62</f>
        <v>1.230224715256964E-2</v>
      </c>
      <c r="AH180" s="137">
        <f>Transportation_LCIA!L$61*($W180^Transportation_LCIA!L$60)+Transportation_LCIA!L$62</f>
        <v>2.4590448371425308E-4</v>
      </c>
      <c r="AI180" s="137">
        <f>Transportation_LCIA!M$61*($W180^Transportation_LCIA!M$60)+Transportation_LCIA!M$62</f>
        <v>2.4722323152264391E-4</v>
      </c>
      <c r="AJ180" s="137">
        <f>Transportation_LCIA!N$61*($W180^Transportation_LCIA!N$60)+Transportation_LCIA!N$62</f>
        <v>1.0118732947864647E-3</v>
      </c>
      <c r="AK180" s="137">
        <f>Transportation_LCIA!O$61*($W180^Transportation_LCIA!O$60)+Transportation_LCIA!O$62</f>
        <v>6.1017911221320582E-5</v>
      </c>
      <c r="AL180" s="137">
        <f>Transportation_LCIA!P$61*($W180^Transportation_LCIA!P$60)+Transportation_LCIA!P$62</f>
        <v>2.9505637910099093E-8</v>
      </c>
      <c r="AM180" s="137">
        <f>Transportation_LCIA!Q$61*($W180^Transportation_LCIA!Q$60)+Transportation_LCIA!Q$62</f>
        <v>9.7309772323205714E-5</v>
      </c>
      <c r="AN180" s="137">
        <f>Transportation_LCIA!R$61*($W180^Transportation_LCIA!R$60)+Transportation_LCIA!R$62</f>
        <v>2.926416879903948E-4</v>
      </c>
      <c r="AO180" s="137">
        <f>Transportation_LCIA!S$61*($W180^Transportation_LCIA!S$60)+Transportation_LCIA!S$62</f>
        <v>4.4106471577943657E-6</v>
      </c>
      <c r="AP180" s="137">
        <f>Transportation_LCIA!T$61*($W180^Transportation_LCIA!T$60)+Transportation_LCIA!T$62</f>
        <v>4.4106471577943657E-6</v>
      </c>
      <c r="AQ180" s="137">
        <f>Transportation_LCIA!U$61*($W180^Transportation_LCIA!U$60)+Transportation_LCIA!U$62</f>
        <v>6.284668197431289E-4</v>
      </c>
      <c r="AR180" s="137">
        <f>Transportation_LCIA!V$61*($W180^Transportation_LCIA!V$60)+Transportation_LCIA!V$62</f>
        <v>2.5307125805150313E-4</v>
      </c>
      <c r="AT180" s="137">
        <f>$W180*Y180+$L180*Summary_LCIA!H$32</f>
        <v>386.40384494152488</v>
      </c>
      <c r="AU180" s="137">
        <f>$W180*Z180+$L180*Summary_LCIA!Q$32</f>
        <v>4650.0030335254914</v>
      </c>
      <c r="AV180" s="137">
        <f>$W180*AA180+$L180*Summary_LCIA!R$32</f>
        <v>3.5469029776029339</v>
      </c>
      <c r="AW180" s="137">
        <f>$W180*AB180+$L180*Summary_LCIA!S$32</f>
        <v>384.37300080152488</v>
      </c>
      <c r="AX180" s="137">
        <f>$W180*AC180+$L180*Summary_LCIA!T$32</f>
        <v>105.94286033435168</v>
      </c>
      <c r="AY180" s="137">
        <f>$W180*AD180+$L180*Summary_LCIA!U$32</f>
        <v>8.5029982270586899</v>
      </c>
      <c r="AZ180" s="137">
        <f>$W180*AE180+$L180*Summary_LCIA!V$32</f>
        <v>2.7788310196129446E-2</v>
      </c>
      <c r="BA180" s="137">
        <f>$W180*AF180+$L180*Summary_LCIA!W$32</f>
        <v>44.016190684625798</v>
      </c>
      <c r="BB180" s="137">
        <f>$W180*AG180+$L180*Summary_LCIA!X$32</f>
        <v>22.280887126908929</v>
      </c>
      <c r="BC180" s="137">
        <f>$W180*AH180+$L180*Summary_LCIA!Y$32</f>
        <v>7.3955644838875454</v>
      </c>
      <c r="BD180" s="137">
        <f>$W180*AI180+$L180*Summary_LCIA!Z$32</f>
        <v>0.25625840644459885</v>
      </c>
      <c r="BE180" s="137">
        <f>$W180*AJ180+$L180*Summary_LCIA!AA$32</f>
        <v>11.703044508588288</v>
      </c>
      <c r="BF180" s="137">
        <f>$W180*AK180+$L180*Summary_LCIA!AB$32</f>
        <v>4.8570441161034004E-2</v>
      </c>
      <c r="BG180" s="137">
        <f>$W180*AL180+$L180*Summary_LCIA!AC$32</f>
        <v>5.0795762524478324E-5</v>
      </c>
      <c r="BH180" s="137">
        <f>$W180*AM180+$L180*Summary_LCIA!AD$32</f>
        <v>0.28230890313793211</v>
      </c>
      <c r="BI180" s="137">
        <f>$W180*AN180+$L180*Summary_LCIA!AE$32</f>
        <v>0.68818036703287722</v>
      </c>
      <c r="BJ180" s="137">
        <f>$W180*AO180+$L180*Summary_LCIA!AF$32</f>
        <v>0.39267827217673484</v>
      </c>
      <c r="BK180" s="137">
        <f>$W180*AP180+$L180*Summary_LCIA!AG$32</f>
        <v>2.7744310091734808E-2</v>
      </c>
      <c r="BL180" s="137">
        <f>$W180*AQ180+$L180*Summary_LCIA!AH$32</f>
        <v>4.6025531280211807</v>
      </c>
      <c r="BM180" s="137">
        <f>$W180*AR180+$L180*Summary_LCIA!AI$32</f>
        <v>0.67104864904532546</v>
      </c>
    </row>
    <row r="181" spans="1:65" x14ac:dyDescent="0.25">
      <c r="A181" s="149">
        <v>77</v>
      </c>
      <c r="B181" s="149">
        <v>43</v>
      </c>
      <c r="C181" s="61">
        <v>40.006103000000003</v>
      </c>
      <c r="D181" s="61">
        <v>-83.016536000000002</v>
      </c>
      <c r="E181" s="61" t="s">
        <v>265</v>
      </c>
      <c r="F181" s="149">
        <v>110</v>
      </c>
      <c r="G181" s="61" t="s">
        <v>658</v>
      </c>
      <c r="H181" s="61" t="s">
        <v>659</v>
      </c>
      <c r="I181" s="61">
        <v>39.999940000000002</v>
      </c>
      <c r="J181" s="61">
        <v>-82.887176999999994</v>
      </c>
      <c r="K181" s="61">
        <v>11.068644279999999</v>
      </c>
      <c r="L181" s="61">
        <v>18.408000000000001</v>
      </c>
      <c r="M181" s="61" t="s">
        <v>617</v>
      </c>
      <c r="N181" s="149">
        <v>42</v>
      </c>
      <c r="O181" s="149">
        <v>43</v>
      </c>
      <c r="P181" s="61" t="s">
        <v>565</v>
      </c>
      <c r="Q181" s="61" t="s">
        <v>555</v>
      </c>
      <c r="R181" s="61">
        <v>40.6895314</v>
      </c>
      <c r="S181" s="61">
        <v>-74.174462399999996</v>
      </c>
      <c r="T181" s="61">
        <v>854.37099999999998</v>
      </c>
      <c r="U181" s="61" t="s">
        <v>617</v>
      </c>
      <c r="V181" s="61" t="s">
        <v>569</v>
      </c>
      <c r="W181" s="61" cm="1">
        <f t="array" ref="W181">getDistance(I181,J181,R181,S181)*SA!$B$12</f>
        <v>743.91201634227059</v>
      </c>
      <c r="Y181" s="137">
        <f>Transportation_LCIA!C$61*($W181^Transportation_LCIA!C$60)+Transportation_LCIA!C$62</f>
        <v>0.27034300164983738</v>
      </c>
      <c r="Z181" s="137">
        <f>Transportation_LCIA!D$61*($W181^Transportation_LCIA!D$60)+Transportation_LCIA!D$62</f>
        <v>2.8300578061661525</v>
      </c>
      <c r="AA181" s="137">
        <f>Transportation_LCIA!E$61*($W181^Transportation_LCIA!E$60)+Transportation_LCIA!E$62</f>
        <v>1.4107502633716727E-3</v>
      </c>
      <c r="AB181" s="137">
        <f>Transportation_LCIA!F$61*($W181^Transportation_LCIA!F$60)+Transportation_LCIA!F$62</f>
        <v>0.27034300164983738</v>
      </c>
      <c r="AC181" s="137">
        <f>Transportation_LCIA!G$61*($W181^Transportation_LCIA!G$60)+Transportation_LCIA!G$62</f>
        <v>6.6044176094439092E-2</v>
      </c>
      <c r="AD181" s="137">
        <f>Transportation_LCIA!H$61*($W181^Transportation_LCIA!H$60)+Transportation_LCIA!H$62</f>
        <v>3.3559069885456604E-4</v>
      </c>
      <c r="AE181" s="137">
        <f>Transportation_LCIA!I$61*($W181^Transportation_LCIA!I$60)+Transportation_LCIA!I$62</f>
        <v>7.4089076461672326E-6</v>
      </c>
      <c r="AF181" s="137">
        <f>Transportation_LCIA!J$61*($W181^Transportation_LCIA!J$60)+Transportation_LCIA!J$62</f>
        <v>1.098785496225807E-2</v>
      </c>
      <c r="AG181" s="137">
        <f>Transportation_LCIA!K$61*($W181^Transportation_LCIA!K$60)+Transportation_LCIA!K$62</f>
        <v>1.4248396859360387E-2</v>
      </c>
      <c r="AH181" s="137">
        <f>Transportation_LCIA!L$61*($W181^Transportation_LCIA!L$60)+Transportation_LCIA!L$62</f>
        <v>2.9402416358431253E-4</v>
      </c>
      <c r="AI181" s="137">
        <f>Transportation_LCIA!M$61*($W181^Transportation_LCIA!M$60)+Transportation_LCIA!M$62</f>
        <v>2.760627299605358E-4</v>
      </c>
      <c r="AJ181" s="137">
        <f>Transportation_LCIA!N$61*($W181^Transportation_LCIA!N$60)+Transportation_LCIA!N$62</f>
        <v>1.1874357325126531E-3</v>
      </c>
      <c r="AK181" s="137">
        <f>Transportation_LCIA!O$61*($W181^Transportation_LCIA!O$60)+Transportation_LCIA!O$62</f>
        <v>6.984623395172157E-5</v>
      </c>
      <c r="AL181" s="137">
        <f>Transportation_LCIA!P$61*($W181^Transportation_LCIA!P$60)+Transportation_LCIA!P$62</f>
        <v>3.3747893738133694E-8</v>
      </c>
      <c r="AM181" s="137">
        <f>Transportation_LCIA!Q$61*($W181^Transportation_LCIA!Q$60)+Transportation_LCIA!Q$62</f>
        <v>1.1614349551934905E-4</v>
      </c>
      <c r="AN181" s="137">
        <f>Transportation_LCIA!R$61*($W181^Transportation_LCIA!R$60)+Transportation_LCIA!R$62</f>
        <v>3.5613238715912534E-4</v>
      </c>
      <c r="AO181" s="137">
        <f>Transportation_LCIA!S$61*($W181^Transportation_LCIA!S$60)+Transportation_LCIA!S$62</f>
        <v>5.3114506737972282E-6</v>
      </c>
      <c r="AP181" s="137">
        <f>Transportation_LCIA!T$61*($W181^Transportation_LCIA!T$60)+Transportation_LCIA!T$62</f>
        <v>5.3114506737972282E-6</v>
      </c>
      <c r="AQ181" s="137">
        <f>Transportation_LCIA!U$61*($W181^Transportation_LCIA!U$60)+Transportation_LCIA!U$62</f>
        <v>7.6787613290382826E-4</v>
      </c>
      <c r="AR181" s="137">
        <f>Transportation_LCIA!V$61*($W181^Transportation_LCIA!V$60)+Transportation_LCIA!V$62</f>
        <v>3.0213048629186686E-4</v>
      </c>
      <c r="AT181" s="137">
        <f>$W181*Y181+$L181*Summary_LCIA!H$32</f>
        <v>207.3664458613523</v>
      </c>
      <c r="AU181" s="137">
        <f>$W181*Z181+$L181*Summary_LCIA!Q$32</f>
        <v>2196.5449853209093</v>
      </c>
      <c r="AV181" s="137">
        <f>$W181*AA181+$L181*Summary_LCIA!R$32</f>
        <v>1.1464032377802102</v>
      </c>
      <c r="AW181" s="137">
        <f>$W181*AB181+$L181*Summary_LCIA!S$32</f>
        <v>207.28508250135232</v>
      </c>
      <c r="AX181" s="137">
        <f>$W181*AC181+$L181*Summary_LCIA!T$32</f>
        <v>51.15409540607817</v>
      </c>
      <c r="AY181" s="137">
        <f>$W181*AD181+$L181*Summary_LCIA!U$32</f>
        <v>0.57941086545061193</v>
      </c>
      <c r="AZ181" s="137">
        <f>$W181*AE181+$L181*Summary_LCIA!V$32</f>
        <v>6.3907599139539327E-3</v>
      </c>
      <c r="BA181" s="137">
        <f>$W181*AF181+$L181*Summary_LCIA!W$32</f>
        <v>9.5908795082498255</v>
      </c>
      <c r="BB181" s="137">
        <f>$W181*AG181+$L181*Summary_LCIA!X$32</f>
        <v>11.018887877291661</v>
      </c>
      <c r="BC181" s="137">
        <f>$W181*AH181+$L181*Summary_LCIA!Y$32</f>
        <v>0.5055615643853556</v>
      </c>
      <c r="BD181" s="137">
        <f>$W181*AI181+$L181*Summary_LCIA!Z$32</f>
        <v>0.20612127575389394</v>
      </c>
      <c r="BE181" s="137">
        <f>$W181*AJ181+$L181*Summary_LCIA!AA$32</f>
        <v>1.3132849580503487</v>
      </c>
      <c r="BF181" s="137">
        <f>$W181*AK181+$L181*Summary_LCIA!AB$32</f>
        <v>5.155773494893915E-2</v>
      </c>
      <c r="BG181" s="137">
        <f>$W181*AL181+$L181*Summary_LCIA!AC$32</f>
        <v>2.6005320350039724E-5</v>
      </c>
      <c r="BH181" s="137">
        <f>$W181*AM181+$L181*Summary_LCIA!AD$32</f>
        <v>9.3966966256838425E-2</v>
      </c>
      <c r="BI181" s="137">
        <f>$W181*AN181+$L181*Summary_LCIA!AE$32</f>
        <v>0.28124304325633104</v>
      </c>
      <c r="BJ181" s="137">
        <f>$W181*AO181+$L181*Summary_LCIA!AF$32</f>
        <v>1.9513743340447011E-2</v>
      </c>
      <c r="BK181" s="137">
        <f>$W181*AP181+$L181*Summary_LCIA!AG$32</f>
        <v>4.8930973004470074E-3</v>
      </c>
      <c r="BL181" s="137">
        <f>$W181*AQ181+$L181*Summary_LCIA!AH$32</f>
        <v>0.73144815112959227</v>
      </c>
      <c r="BM181" s="137">
        <f>$W181*AR181+$L181*Summary_LCIA!AI$32</f>
        <v>0.24190647165585341</v>
      </c>
    </row>
    <row r="182" spans="1:65" x14ac:dyDescent="0.25">
      <c r="A182" s="149">
        <v>78</v>
      </c>
      <c r="B182" s="149">
        <v>43</v>
      </c>
      <c r="C182" s="61">
        <v>40.006103000000003</v>
      </c>
      <c r="D182" s="61">
        <v>-83.016536000000002</v>
      </c>
      <c r="E182" s="61" t="s">
        <v>265</v>
      </c>
      <c r="F182" s="149">
        <v>110</v>
      </c>
      <c r="G182" s="61" t="s">
        <v>658</v>
      </c>
      <c r="H182" s="61" t="s">
        <v>659</v>
      </c>
      <c r="I182" s="61">
        <v>39.999940000000002</v>
      </c>
      <c r="J182" s="61">
        <v>-82.887176999999994</v>
      </c>
      <c r="K182" s="61">
        <v>11.068644279999999</v>
      </c>
      <c r="L182" s="61">
        <v>18.408000000000001</v>
      </c>
      <c r="M182" s="61" t="s">
        <v>617</v>
      </c>
      <c r="N182" s="149">
        <v>42</v>
      </c>
      <c r="O182" s="149">
        <v>43</v>
      </c>
      <c r="P182" s="61" t="s">
        <v>565</v>
      </c>
      <c r="Q182" s="61" t="s">
        <v>555</v>
      </c>
      <c r="R182" s="61">
        <v>40.6895314</v>
      </c>
      <c r="S182" s="61">
        <v>-74.174462399999996</v>
      </c>
      <c r="T182" s="61">
        <v>854.37099999999998</v>
      </c>
      <c r="U182" s="61" t="s">
        <v>617</v>
      </c>
      <c r="V182" s="61" t="s">
        <v>569</v>
      </c>
      <c r="W182" s="61" cm="1">
        <f t="array" ref="W182">getDistance(I182,J182,R182,S182)*SA!$B$12</f>
        <v>743.91201634227059</v>
      </c>
      <c r="Y182" s="137">
        <f>Transportation_LCIA!C$61*($W182^Transportation_LCIA!C$60)+Transportation_LCIA!C$62</f>
        <v>0.27034300164983738</v>
      </c>
      <c r="Z182" s="137">
        <f>Transportation_LCIA!D$61*($W182^Transportation_LCIA!D$60)+Transportation_LCIA!D$62</f>
        <v>2.8300578061661525</v>
      </c>
      <c r="AA182" s="137">
        <f>Transportation_LCIA!E$61*($W182^Transportation_LCIA!E$60)+Transportation_LCIA!E$62</f>
        <v>1.4107502633716727E-3</v>
      </c>
      <c r="AB182" s="137">
        <f>Transportation_LCIA!F$61*($W182^Transportation_LCIA!F$60)+Transportation_LCIA!F$62</f>
        <v>0.27034300164983738</v>
      </c>
      <c r="AC182" s="137">
        <f>Transportation_LCIA!G$61*($W182^Transportation_LCIA!G$60)+Transportation_LCIA!G$62</f>
        <v>6.6044176094439092E-2</v>
      </c>
      <c r="AD182" s="137">
        <f>Transportation_LCIA!H$61*($W182^Transportation_LCIA!H$60)+Transportation_LCIA!H$62</f>
        <v>3.3559069885456604E-4</v>
      </c>
      <c r="AE182" s="137">
        <f>Transportation_LCIA!I$61*($W182^Transportation_LCIA!I$60)+Transportation_LCIA!I$62</f>
        <v>7.4089076461672326E-6</v>
      </c>
      <c r="AF182" s="137">
        <f>Transportation_LCIA!J$61*($W182^Transportation_LCIA!J$60)+Transportation_LCIA!J$62</f>
        <v>1.098785496225807E-2</v>
      </c>
      <c r="AG182" s="137">
        <f>Transportation_LCIA!K$61*($W182^Transportation_LCIA!K$60)+Transportation_LCIA!K$62</f>
        <v>1.4248396859360387E-2</v>
      </c>
      <c r="AH182" s="137">
        <f>Transportation_LCIA!L$61*($W182^Transportation_LCIA!L$60)+Transportation_LCIA!L$62</f>
        <v>2.9402416358431253E-4</v>
      </c>
      <c r="AI182" s="137">
        <f>Transportation_LCIA!M$61*($W182^Transportation_LCIA!M$60)+Transportation_LCIA!M$62</f>
        <v>2.760627299605358E-4</v>
      </c>
      <c r="AJ182" s="137">
        <f>Transportation_LCIA!N$61*($W182^Transportation_LCIA!N$60)+Transportation_LCIA!N$62</f>
        <v>1.1874357325126531E-3</v>
      </c>
      <c r="AK182" s="137">
        <f>Transportation_LCIA!O$61*($W182^Transportation_LCIA!O$60)+Transportation_LCIA!O$62</f>
        <v>6.984623395172157E-5</v>
      </c>
      <c r="AL182" s="137">
        <f>Transportation_LCIA!P$61*($W182^Transportation_LCIA!P$60)+Transportation_LCIA!P$62</f>
        <v>3.3747893738133694E-8</v>
      </c>
      <c r="AM182" s="137">
        <f>Transportation_LCIA!Q$61*($W182^Transportation_LCIA!Q$60)+Transportation_LCIA!Q$62</f>
        <v>1.1614349551934905E-4</v>
      </c>
      <c r="AN182" s="137">
        <f>Transportation_LCIA!R$61*($W182^Transportation_LCIA!R$60)+Transportation_LCIA!R$62</f>
        <v>3.5613238715912534E-4</v>
      </c>
      <c r="AO182" s="137">
        <f>Transportation_LCIA!S$61*($W182^Transportation_LCIA!S$60)+Transportation_LCIA!S$62</f>
        <v>5.3114506737972282E-6</v>
      </c>
      <c r="AP182" s="137">
        <f>Transportation_LCIA!T$61*($W182^Transportation_LCIA!T$60)+Transportation_LCIA!T$62</f>
        <v>5.3114506737972282E-6</v>
      </c>
      <c r="AQ182" s="137">
        <f>Transportation_LCIA!U$61*($W182^Transportation_LCIA!U$60)+Transportation_LCIA!U$62</f>
        <v>7.6787613290382826E-4</v>
      </c>
      <c r="AR182" s="137">
        <f>Transportation_LCIA!V$61*($W182^Transportation_LCIA!V$60)+Transportation_LCIA!V$62</f>
        <v>3.0213048629186686E-4</v>
      </c>
      <c r="AT182" s="137">
        <f>$W182*Y182+$L182*Summary_LCIA!H$32</f>
        <v>207.3664458613523</v>
      </c>
      <c r="AU182" s="137">
        <f>$W182*Z182+$L182*Summary_LCIA!Q$32</f>
        <v>2196.5449853209093</v>
      </c>
      <c r="AV182" s="137">
        <f>$W182*AA182+$L182*Summary_LCIA!R$32</f>
        <v>1.1464032377802102</v>
      </c>
      <c r="AW182" s="137">
        <f>$W182*AB182+$L182*Summary_LCIA!S$32</f>
        <v>207.28508250135232</v>
      </c>
      <c r="AX182" s="137">
        <f>$W182*AC182+$L182*Summary_LCIA!T$32</f>
        <v>51.15409540607817</v>
      </c>
      <c r="AY182" s="137">
        <f>$W182*AD182+$L182*Summary_LCIA!U$32</f>
        <v>0.57941086545061193</v>
      </c>
      <c r="AZ182" s="137">
        <f>$W182*AE182+$L182*Summary_LCIA!V$32</f>
        <v>6.3907599139539327E-3</v>
      </c>
      <c r="BA182" s="137">
        <f>$W182*AF182+$L182*Summary_LCIA!W$32</f>
        <v>9.5908795082498255</v>
      </c>
      <c r="BB182" s="137">
        <f>$W182*AG182+$L182*Summary_LCIA!X$32</f>
        <v>11.018887877291661</v>
      </c>
      <c r="BC182" s="137">
        <f>$W182*AH182+$L182*Summary_LCIA!Y$32</f>
        <v>0.5055615643853556</v>
      </c>
      <c r="BD182" s="137">
        <f>$W182*AI182+$L182*Summary_LCIA!Z$32</f>
        <v>0.20612127575389394</v>
      </c>
      <c r="BE182" s="137">
        <f>$W182*AJ182+$L182*Summary_LCIA!AA$32</f>
        <v>1.3132849580503487</v>
      </c>
      <c r="BF182" s="137">
        <f>$W182*AK182+$L182*Summary_LCIA!AB$32</f>
        <v>5.155773494893915E-2</v>
      </c>
      <c r="BG182" s="137">
        <f>$W182*AL182+$L182*Summary_LCIA!AC$32</f>
        <v>2.6005320350039724E-5</v>
      </c>
      <c r="BH182" s="137">
        <f>$W182*AM182+$L182*Summary_LCIA!AD$32</f>
        <v>9.3966966256838425E-2</v>
      </c>
      <c r="BI182" s="137">
        <f>$W182*AN182+$L182*Summary_LCIA!AE$32</f>
        <v>0.28124304325633104</v>
      </c>
      <c r="BJ182" s="137">
        <f>$W182*AO182+$L182*Summary_LCIA!AF$32</f>
        <v>1.9513743340447011E-2</v>
      </c>
      <c r="BK182" s="137">
        <f>$W182*AP182+$L182*Summary_LCIA!AG$32</f>
        <v>4.8930973004470074E-3</v>
      </c>
      <c r="BL182" s="137">
        <f>$W182*AQ182+$L182*Summary_LCIA!AH$32</f>
        <v>0.73144815112959227</v>
      </c>
      <c r="BM182" s="137">
        <f>$W182*AR182+$L182*Summary_LCIA!AI$32</f>
        <v>0.24190647165585341</v>
      </c>
    </row>
    <row r="183" spans="1:65" x14ac:dyDescent="0.25">
      <c r="A183" s="149">
        <v>361</v>
      </c>
      <c r="B183" s="149">
        <v>43</v>
      </c>
      <c r="C183" s="61">
        <v>41.652805000000001</v>
      </c>
      <c r="D183" s="61">
        <v>-83.537867000000006</v>
      </c>
      <c r="E183" s="61" t="s">
        <v>265</v>
      </c>
      <c r="F183" s="149">
        <v>78</v>
      </c>
      <c r="G183" s="61" t="s">
        <v>615</v>
      </c>
      <c r="H183" s="61" t="s">
        <v>616</v>
      </c>
      <c r="I183" s="61">
        <v>42.216248999999998</v>
      </c>
      <c r="J183" s="61">
        <v>-83.355363999999994</v>
      </c>
      <c r="K183" s="61">
        <v>95.399904230000004</v>
      </c>
      <c r="L183" s="61">
        <v>80.596000000000004</v>
      </c>
      <c r="M183" s="61" t="s">
        <v>617</v>
      </c>
      <c r="N183" s="149">
        <v>42</v>
      </c>
      <c r="O183" s="149">
        <v>43</v>
      </c>
      <c r="P183" s="61" t="s">
        <v>565</v>
      </c>
      <c r="Q183" s="61" t="s">
        <v>555</v>
      </c>
      <c r="R183" s="61">
        <v>40.6895314</v>
      </c>
      <c r="S183" s="61">
        <v>-74.174462399999996</v>
      </c>
      <c r="T183" s="61">
        <v>894.55499999999995</v>
      </c>
      <c r="U183" s="61" t="s">
        <v>617</v>
      </c>
      <c r="V183" s="61" t="s">
        <v>569</v>
      </c>
      <c r="W183" s="61" cm="1">
        <f t="array" ref="W183">getDistance(I183,J183,R183,S183)*SA!$B$12</f>
        <v>785.28633867682765</v>
      </c>
      <c r="Y183" s="137">
        <f>Transportation_LCIA!C$61*($W183^Transportation_LCIA!C$60)+Transportation_LCIA!C$62</f>
        <v>0.26330928953252508</v>
      </c>
      <c r="Z183" s="137">
        <f>Transportation_LCIA!D$61*($W183^Transportation_LCIA!D$60)+Transportation_LCIA!D$62</f>
        <v>2.7470263376439421</v>
      </c>
      <c r="AA183" s="137">
        <f>Transportation_LCIA!E$61*($W183^Transportation_LCIA!E$60)+Transportation_LCIA!E$62</f>
        <v>1.3559818236141058E-3</v>
      </c>
      <c r="AB183" s="137">
        <f>Transportation_LCIA!F$61*($W183^Transportation_LCIA!F$60)+Transportation_LCIA!F$62</f>
        <v>0.26330928953252508</v>
      </c>
      <c r="AC183" s="137">
        <f>Transportation_LCIA!G$61*($W183^Transportation_LCIA!G$60)+Transportation_LCIA!G$62</f>
        <v>6.4124466375910086E-2</v>
      </c>
      <c r="AD183" s="137">
        <f>Transportation_LCIA!H$61*($W183^Transportation_LCIA!H$60)+Transportation_LCIA!H$62</f>
        <v>3.23471252238349E-4</v>
      </c>
      <c r="AE183" s="137">
        <f>Transportation_LCIA!I$61*($W183^Transportation_LCIA!I$60)+Transportation_LCIA!I$62</f>
        <v>7.1006706958255214E-6</v>
      </c>
      <c r="AF183" s="137">
        <f>Transportation_LCIA!J$61*($W183^Transportation_LCIA!J$60)+Transportation_LCIA!J$62</f>
        <v>1.0525719899275952E-2</v>
      </c>
      <c r="AG183" s="137">
        <f>Transportation_LCIA!K$61*($W183^Transportation_LCIA!K$60)+Transportation_LCIA!K$62</f>
        <v>1.3797666560438151E-2</v>
      </c>
      <c r="AH183" s="137">
        <f>Transportation_LCIA!L$61*($W183^Transportation_LCIA!L$60)+Transportation_LCIA!L$62</f>
        <v>2.8284968621697246E-4</v>
      </c>
      <c r="AI183" s="137">
        <f>Transportation_LCIA!M$61*($W183^Transportation_LCIA!M$60)+Transportation_LCIA!M$62</f>
        <v>2.6937179467913046E-4</v>
      </c>
      <c r="AJ183" s="137">
        <f>Transportation_LCIA!N$61*($W183^Transportation_LCIA!N$60)+Transportation_LCIA!N$62</f>
        <v>1.1467213700117806E-3</v>
      </c>
      <c r="AK183" s="137">
        <f>Transportation_LCIA!O$61*($W183^Transportation_LCIA!O$60)+Transportation_LCIA!O$62</f>
        <v>6.7805651672599041E-5</v>
      </c>
      <c r="AL183" s="137">
        <f>Transportation_LCIA!P$61*($W183^Transportation_LCIA!P$60)+Transportation_LCIA!P$62</f>
        <v>3.2767641003522771E-8</v>
      </c>
      <c r="AM183" s="137">
        <f>Transportation_LCIA!Q$61*($W183^Transportation_LCIA!Q$60)+Transportation_LCIA!Q$62</f>
        <v>1.1176738524526752E-4</v>
      </c>
      <c r="AN183" s="137">
        <f>Transportation_LCIA!R$61*($W183^Transportation_LCIA!R$60)+Transportation_LCIA!R$62</f>
        <v>3.4134784719875682E-4</v>
      </c>
      <c r="AO183" s="137">
        <f>Transportation_LCIA!S$61*($W183^Transportation_LCIA!S$60)+Transportation_LCIA!S$62</f>
        <v>5.1017230769306004E-6</v>
      </c>
      <c r="AP183" s="137">
        <f>Transportation_LCIA!T$61*($W183^Transportation_LCIA!T$60)+Transportation_LCIA!T$62</f>
        <v>5.1017230769306004E-6</v>
      </c>
      <c r="AQ183" s="137">
        <f>Transportation_LCIA!U$61*($W183^Transportation_LCIA!U$60)+Transportation_LCIA!U$62</f>
        <v>7.3539020448969183E-4</v>
      </c>
      <c r="AR183" s="137">
        <f>Transportation_LCIA!V$61*($W183^Transportation_LCIA!V$60)+Transportation_LCIA!V$62</f>
        <v>2.9072294614169601E-4</v>
      </c>
      <c r="AT183" s="137">
        <f>$W183*Y183+$L183*Summary_LCIA!H$32</f>
        <v>234.15970871659337</v>
      </c>
      <c r="AU183" s="137">
        <f>$W183*Z183+$L183*Summary_LCIA!Q$32</f>
        <v>2556.6400956352945</v>
      </c>
      <c r="AV183" s="137">
        <f>$W183*AA183+$L183*Summary_LCIA!R$32</f>
        <v>1.4892202991782491</v>
      </c>
      <c r="AW183" s="137">
        <f>$W183*AB183+$L183*Summary_LCIA!S$32</f>
        <v>233.80347439659337</v>
      </c>
      <c r="AX183" s="137">
        <f>$W183*AC183+$L183*Summary_LCIA!T$32</f>
        <v>59.213567819943776</v>
      </c>
      <c r="AY183" s="137">
        <f>$W183*AD183+$L183*Summary_LCIA!U$32</f>
        <v>1.6978142993374616</v>
      </c>
      <c r="AZ183" s="137">
        <f>$W183*AE183+$L183*Summary_LCIA!V$32</f>
        <v>9.4254052488746652E-3</v>
      </c>
      <c r="BA183" s="137">
        <f>$W183*AF183+$L183*Summary_LCIA!W$32</f>
        <v>14.46925875764024</v>
      </c>
      <c r="BB183" s="137">
        <f>$W183*AG183+$L183*Summary_LCIA!X$32</f>
        <v>12.671095935530174</v>
      </c>
      <c r="BC183" s="137">
        <f>$W183*AH183+$L183*Summary_LCIA!Y$32</f>
        <v>1.4779648664852159</v>
      </c>
      <c r="BD183" s="137">
        <f>$W183*AI183+$L183*Summary_LCIA!Z$32</f>
        <v>0.21483915175038051</v>
      </c>
      <c r="BE183" s="137">
        <f>$W183*AJ183+$L183*Summary_LCIA!AA$32</f>
        <v>2.782904802139027</v>
      </c>
      <c r="BF183" s="137">
        <f>$W183*AK183+$L183*Summary_LCIA!AB$32</f>
        <v>5.1488005435571617E-2</v>
      </c>
      <c r="BG183" s="137">
        <f>$W183*AL183+$L183*Summary_LCIA!AC$32</f>
        <v>2.9671835694733088E-5</v>
      </c>
      <c r="BH183" s="137">
        <f>$W183*AM183+$L183*Summary_LCIA!AD$32</f>
        <v>0.12089758058273861</v>
      </c>
      <c r="BI183" s="137">
        <f>$W183*AN183+$L183*Summary_LCIA!AE$32</f>
        <v>0.33947433462192894</v>
      </c>
      <c r="BJ183" s="137">
        <f>$W183*AO183+$L183*Summary_LCIA!AF$32</f>
        <v>7.2143783756025912E-2</v>
      </c>
      <c r="BK183" s="137">
        <f>$W183*AP183+$L183*Summary_LCIA!AG$32</f>
        <v>8.1300077760259118E-3</v>
      </c>
      <c r="BL183" s="137">
        <f>$W183*AQ183+$L183*Summary_LCIA!AH$32</f>
        <v>1.2789672267825138</v>
      </c>
      <c r="BM183" s="137">
        <f>$W183*AR183+$L183*Summary_LCIA!AI$32</f>
        <v>0.30337996174495302</v>
      </c>
    </row>
    <row r="184" spans="1:65" x14ac:dyDescent="0.25">
      <c r="A184" s="149">
        <v>362</v>
      </c>
      <c r="B184" s="149">
        <v>43</v>
      </c>
      <c r="C184" s="61">
        <v>41.652805000000001</v>
      </c>
      <c r="D184" s="61">
        <v>-83.537867000000006</v>
      </c>
      <c r="E184" s="61" t="s">
        <v>265</v>
      </c>
      <c r="F184" s="149">
        <v>78</v>
      </c>
      <c r="G184" s="61" t="s">
        <v>615</v>
      </c>
      <c r="H184" s="61" t="s">
        <v>616</v>
      </c>
      <c r="I184" s="61">
        <v>42.216248999999998</v>
      </c>
      <c r="J184" s="61">
        <v>-83.355363999999994</v>
      </c>
      <c r="K184" s="61">
        <v>95.399904230000004</v>
      </c>
      <c r="L184" s="61">
        <v>80.596000000000004</v>
      </c>
      <c r="M184" s="61" t="s">
        <v>617</v>
      </c>
      <c r="N184" s="149">
        <v>42</v>
      </c>
      <c r="O184" s="149">
        <v>43</v>
      </c>
      <c r="P184" s="61" t="s">
        <v>565</v>
      </c>
      <c r="Q184" s="61" t="s">
        <v>555</v>
      </c>
      <c r="R184" s="61">
        <v>40.6895314</v>
      </c>
      <c r="S184" s="61">
        <v>-74.174462399999996</v>
      </c>
      <c r="T184" s="61">
        <v>894.55499999999995</v>
      </c>
      <c r="U184" s="61" t="s">
        <v>617</v>
      </c>
      <c r="V184" s="61" t="s">
        <v>569</v>
      </c>
      <c r="W184" s="61" cm="1">
        <f t="array" ref="W184">getDistance(I184,J184,R184,S184)*SA!$B$12</f>
        <v>785.28633867682765</v>
      </c>
      <c r="Y184" s="137">
        <f>Transportation_LCIA!C$61*($W184^Transportation_LCIA!C$60)+Transportation_LCIA!C$62</f>
        <v>0.26330928953252508</v>
      </c>
      <c r="Z184" s="137">
        <f>Transportation_LCIA!D$61*($W184^Transportation_LCIA!D$60)+Transportation_LCIA!D$62</f>
        <v>2.7470263376439421</v>
      </c>
      <c r="AA184" s="137">
        <f>Transportation_LCIA!E$61*($W184^Transportation_LCIA!E$60)+Transportation_LCIA!E$62</f>
        <v>1.3559818236141058E-3</v>
      </c>
      <c r="AB184" s="137">
        <f>Transportation_LCIA!F$61*($W184^Transportation_LCIA!F$60)+Transportation_LCIA!F$62</f>
        <v>0.26330928953252508</v>
      </c>
      <c r="AC184" s="137">
        <f>Transportation_LCIA!G$61*($W184^Transportation_LCIA!G$60)+Transportation_LCIA!G$62</f>
        <v>6.4124466375910086E-2</v>
      </c>
      <c r="AD184" s="137">
        <f>Transportation_LCIA!H$61*($W184^Transportation_LCIA!H$60)+Transportation_LCIA!H$62</f>
        <v>3.23471252238349E-4</v>
      </c>
      <c r="AE184" s="137">
        <f>Transportation_LCIA!I$61*($W184^Transportation_LCIA!I$60)+Transportation_LCIA!I$62</f>
        <v>7.1006706958255214E-6</v>
      </c>
      <c r="AF184" s="137">
        <f>Transportation_LCIA!J$61*($W184^Transportation_LCIA!J$60)+Transportation_LCIA!J$62</f>
        <v>1.0525719899275952E-2</v>
      </c>
      <c r="AG184" s="137">
        <f>Transportation_LCIA!K$61*($W184^Transportation_LCIA!K$60)+Transportation_LCIA!K$62</f>
        <v>1.3797666560438151E-2</v>
      </c>
      <c r="AH184" s="137">
        <f>Transportation_LCIA!L$61*($W184^Transportation_LCIA!L$60)+Transportation_LCIA!L$62</f>
        <v>2.8284968621697246E-4</v>
      </c>
      <c r="AI184" s="137">
        <f>Transportation_LCIA!M$61*($W184^Transportation_LCIA!M$60)+Transportation_LCIA!M$62</f>
        <v>2.6937179467913046E-4</v>
      </c>
      <c r="AJ184" s="137">
        <f>Transportation_LCIA!N$61*($W184^Transportation_LCIA!N$60)+Transportation_LCIA!N$62</f>
        <v>1.1467213700117806E-3</v>
      </c>
      <c r="AK184" s="137">
        <f>Transportation_LCIA!O$61*($W184^Transportation_LCIA!O$60)+Transportation_LCIA!O$62</f>
        <v>6.7805651672599041E-5</v>
      </c>
      <c r="AL184" s="137">
        <f>Transportation_LCIA!P$61*($W184^Transportation_LCIA!P$60)+Transportation_LCIA!P$62</f>
        <v>3.2767641003522771E-8</v>
      </c>
      <c r="AM184" s="137">
        <f>Transportation_LCIA!Q$61*($W184^Transportation_LCIA!Q$60)+Transportation_LCIA!Q$62</f>
        <v>1.1176738524526752E-4</v>
      </c>
      <c r="AN184" s="137">
        <f>Transportation_LCIA!R$61*($W184^Transportation_LCIA!R$60)+Transportation_LCIA!R$62</f>
        <v>3.4134784719875682E-4</v>
      </c>
      <c r="AO184" s="137">
        <f>Transportation_LCIA!S$61*($W184^Transportation_LCIA!S$60)+Transportation_LCIA!S$62</f>
        <v>5.1017230769306004E-6</v>
      </c>
      <c r="AP184" s="137">
        <f>Transportation_LCIA!T$61*($W184^Transportation_LCIA!T$60)+Transportation_LCIA!T$62</f>
        <v>5.1017230769306004E-6</v>
      </c>
      <c r="AQ184" s="137">
        <f>Transportation_LCIA!U$61*($W184^Transportation_LCIA!U$60)+Transportation_LCIA!U$62</f>
        <v>7.3539020448969183E-4</v>
      </c>
      <c r="AR184" s="137">
        <f>Transportation_LCIA!V$61*($W184^Transportation_LCIA!V$60)+Transportation_LCIA!V$62</f>
        <v>2.9072294614169601E-4</v>
      </c>
      <c r="AT184" s="137">
        <f>$W184*Y184+$L184*Summary_LCIA!H$32</f>
        <v>234.15970871659337</v>
      </c>
      <c r="AU184" s="137">
        <f>$W184*Z184+$L184*Summary_LCIA!Q$32</f>
        <v>2556.6400956352945</v>
      </c>
      <c r="AV184" s="137">
        <f>$W184*AA184+$L184*Summary_LCIA!R$32</f>
        <v>1.4892202991782491</v>
      </c>
      <c r="AW184" s="137">
        <f>$W184*AB184+$L184*Summary_LCIA!S$32</f>
        <v>233.80347439659337</v>
      </c>
      <c r="AX184" s="137">
        <f>$W184*AC184+$L184*Summary_LCIA!T$32</f>
        <v>59.213567819943776</v>
      </c>
      <c r="AY184" s="137">
        <f>$W184*AD184+$L184*Summary_LCIA!U$32</f>
        <v>1.6978142993374616</v>
      </c>
      <c r="AZ184" s="137">
        <f>$W184*AE184+$L184*Summary_LCIA!V$32</f>
        <v>9.4254052488746652E-3</v>
      </c>
      <c r="BA184" s="137">
        <f>$W184*AF184+$L184*Summary_LCIA!W$32</f>
        <v>14.46925875764024</v>
      </c>
      <c r="BB184" s="137">
        <f>$W184*AG184+$L184*Summary_LCIA!X$32</f>
        <v>12.671095935530174</v>
      </c>
      <c r="BC184" s="137">
        <f>$W184*AH184+$L184*Summary_LCIA!Y$32</f>
        <v>1.4779648664852159</v>
      </c>
      <c r="BD184" s="137">
        <f>$W184*AI184+$L184*Summary_LCIA!Z$32</f>
        <v>0.21483915175038051</v>
      </c>
      <c r="BE184" s="137">
        <f>$W184*AJ184+$L184*Summary_LCIA!AA$32</f>
        <v>2.782904802139027</v>
      </c>
      <c r="BF184" s="137">
        <f>$W184*AK184+$L184*Summary_LCIA!AB$32</f>
        <v>5.1488005435571617E-2</v>
      </c>
      <c r="BG184" s="137">
        <f>$W184*AL184+$L184*Summary_LCIA!AC$32</f>
        <v>2.9671835694733088E-5</v>
      </c>
      <c r="BH184" s="137">
        <f>$W184*AM184+$L184*Summary_LCIA!AD$32</f>
        <v>0.12089758058273861</v>
      </c>
      <c r="BI184" s="137">
        <f>$W184*AN184+$L184*Summary_LCIA!AE$32</f>
        <v>0.33947433462192894</v>
      </c>
      <c r="BJ184" s="137">
        <f>$W184*AO184+$L184*Summary_LCIA!AF$32</f>
        <v>7.2143783756025912E-2</v>
      </c>
      <c r="BK184" s="137">
        <f>$W184*AP184+$L184*Summary_LCIA!AG$32</f>
        <v>8.1300077760259118E-3</v>
      </c>
      <c r="BL184" s="137">
        <f>$W184*AQ184+$L184*Summary_LCIA!AH$32</f>
        <v>1.2789672267825138</v>
      </c>
      <c r="BM184" s="137">
        <f>$W184*AR184+$L184*Summary_LCIA!AI$32</f>
        <v>0.30337996174495302</v>
      </c>
    </row>
    <row r="185" spans="1:65" x14ac:dyDescent="0.25">
      <c r="A185" s="149">
        <v>369</v>
      </c>
      <c r="B185" s="149">
        <v>15</v>
      </c>
      <c r="C185" s="61">
        <v>44.496878000000002</v>
      </c>
      <c r="D185" s="61">
        <v>11.352409</v>
      </c>
      <c r="E185" s="61" t="s">
        <v>421</v>
      </c>
      <c r="F185" s="149">
        <v>51</v>
      </c>
      <c r="G185" s="61" t="s">
        <v>698</v>
      </c>
      <c r="H185" s="61" t="s">
        <v>716</v>
      </c>
      <c r="I185" s="61">
        <v>41.799886999999998</v>
      </c>
      <c r="J185" s="61">
        <v>12.246238</v>
      </c>
      <c r="K185" s="61">
        <v>317.25793929999998</v>
      </c>
      <c r="L185" s="61">
        <v>414.30399999999997</v>
      </c>
      <c r="M185" s="61" t="s">
        <v>617</v>
      </c>
      <c r="N185" s="149">
        <v>14</v>
      </c>
      <c r="O185" s="149">
        <v>15</v>
      </c>
      <c r="P185" s="61" t="s">
        <v>567</v>
      </c>
      <c r="Q185" s="61" t="s">
        <v>566</v>
      </c>
      <c r="R185" s="61">
        <v>50.037932599999998</v>
      </c>
      <c r="S185" s="61">
        <v>8.5621518000000005</v>
      </c>
      <c r="T185" s="61">
        <v>898.07799999999997</v>
      </c>
      <c r="U185" s="61" t="s">
        <v>589</v>
      </c>
      <c r="V185" s="61" t="s">
        <v>569</v>
      </c>
      <c r="W185" s="61" cm="1">
        <f t="array" ref="W185">getDistance(I185,J185,R185,S185)*SA!$B$12</f>
        <v>960.33096396061467</v>
      </c>
      <c r="Y185" s="137">
        <f>Transportation_LCIA!C$61*($W185^Transportation_LCIA!C$60)+Transportation_LCIA!C$62</f>
        <v>0.23978916330242275</v>
      </c>
      <c r="Z185" s="137">
        <f>Transportation_LCIA!D$61*($W185^Transportation_LCIA!D$60)+Transportation_LCIA!D$62</f>
        <v>2.4708787889542601</v>
      </c>
      <c r="AA185" s="137">
        <f>Transportation_LCIA!E$61*($W185^Transportation_LCIA!E$60)+Transportation_LCIA!E$62</f>
        <v>1.174109327635068E-3</v>
      </c>
      <c r="AB185" s="137">
        <f>Transportation_LCIA!F$61*($W185^Transportation_LCIA!F$60)+Transportation_LCIA!F$62</f>
        <v>0.23978916330242275</v>
      </c>
      <c r="AC185" s="137">
        <f>Transportation_LCIA!G$61*($W185^Transportation_LCIA!G$60)+Transportation_LCIA!G$62</f>
        <v>5.7737841551702487E-2</v>
      </c>
      <c r="AD185" s="137">
        <f>Transportation_LCIA!H$61*($W185^Transportation_LCIA!H$60)+Transportation_LCIA!H$62</f>
        <v>2.8334647040481186E-4</v>
      </c>
      <c r="AE185" s="137">
        <f>Transportation_LCIA!I$61*($W185^Transportation_LCIA!I$60)+Transportation_LCIA!I$62</f>
        <v>6.0850967306403664E-6</v>
      </c>
      <c r="AF185" s="137">
        <f>Transportation_LCIA!J$61*($W185^Transportation_LCIA!J$60)+Transportation_LCIA!J$62</f>
        <v>9.0078905630086234E-3</v>
      </c>
      <c r="AG185" s="137">
        <f>Transportation_LCIA!K$61*($W185^Transportation_LCIA!K$60)+Transportation_LCIA!K$62</f>
        <v>1.230224715256964E-2</v>
      </c>
      <c r="AH185" s="137">
        <f>Transportation_LCIA!L$61*($W185^Transportation_LCIA!L$60)+Transportation_LCIA!L$62</f>
        <v>2.4590448371425308E-4</v>
      </c>
      <c r="AI185" s="137">
        <f>Transportation_LCIA!M$61*($W185^Transportation_LCIA!M$60)+Transportation_LCIA!M$62</f>
        <v>2.4722323152264391E-4</v>
      </c>
      <c r="AJ185" s="137">
        <f>Transportation_LCIA!N$61*($W185^Transportation_LCIA!N$60)+Transportation_LCIA!N$62</f>
        <v>1.0118732947864647E-3</v>
      </c>
      <c r="AK185" s="137">
        <f>Transportation_LCIA!O$61*($W185^Transportation_LCIA!O$60)+Transportation_LCIA!O$62</f>
        <v>6.1017911221320582E-5</v>
      </c>
      <c r="AL185" s="137">
        <f>Transportation_LCIA!P$61*($W185^Transportation_LCIA!P$60)+Transportation_LCIA!P$62</f>
        <v>2.9505637910099093E-8</v>
      </c>
      <c r="AM185" s="137">
        <f>Transportation_LCIA!Q$61*($W185^Transportation_LCIA!Q$60)+Transportation_LCIA!Q$62</f>
        <v>9.7309772323205714E-5</v>
      </c>
      <c r="AN185" s="137">
        <f>Transportation_LCIA!R$61*($W185^Transportation_LCIA!R$60)+Transportation_LCIA!R$62</f>
        <v>2.926416879903948E-4</v>
      </c>
      <c r="AO185" s="137">
        <f>Transportation_LCIA!S$61*($W185^Transportation_LCIA!S$60)+Transportation_LCIA!S$62</f>
        <v>4.4106471577943657E-6</v>
      </c>
      <c r="AP185" s="137">
        <f>Transportation_LCIA!T$61*($W185^Transportation_LCIA!T$60)+Transportation_LCIA!T$62</f>
        <v>4.4106471577943657E-6</v>
      </c>
      <c r="AQ185" s="137">
        <f>Transportation_LCIA!U$61*($W185^Transportation_LCIA!U$60)+Transportation_LCIA!U$62</f>
        <v>6.284668197431289E-4</v>
      </c>
      <c r="AR185" s="137">
        <f>Transportation_LCIA!V$61*($W185^Transportation_LCIA!V$60)+Transportation_LCIA!V$62</f>
        <v>2.5307125805150313E-4</v>
      </c>
      <c r="AT185" s="137">
        <f>$W185*Y185+$L185*Summary_LCIA!H$32</f>
        <v>371.05745754152485</v>
      </c>
      <c r="AU185" s="137">
        <f>$W185*Z185+$L185*Summary_LCIA!Q$32</f>
        <v>4426.1729278199127</v>
      </c>
      <c r="AV185" s="137">
        <f>$W185*AA185+$L185*Summary_LCIA!R$32</f>
        <v>3.3090926848029341</v>
      </c>
      <c r="AW185" s="137">
        <f>$W185*AB185+$L185*Summary_LCIA!S$32</f>
        <v>369.22623386152486</v>
      </c>
      <c r="AX185" s="137">
        <f>$W185*AC185+$L185*Summary_LCIA!T$32</f>
        <v>100.97944663435167</v>
      </c>
      <c r="AY185" s="137">
        <f>$W185*AD185+$L185*Summary_LCIA!U$32</f>
        <v>7.6939482450586905</v>
      </c>
      <c r="AZ185" s="137">
        <f>$W185*AE185+$L185*Summary_LCIA!V$32</f>
        <v>2.5631280153129446E-2</v>
      </c>
      <c r="BA185" s="137">
        <f>$W185*AF185+$L185*Summary_LCIA!W$32</f>
        <v>40.539949411625791</v>
      </c>
      <c r="BB185" s="137">
        <f>$W185*AG185+$L185*Summary_LCIA!X$32</f>
        <v>21.252073986908929</v>
      </c>
      <c r="BC185" s="137">
        <f>$W185*AH185+$L185*Summary_LCIA!Y$32</f>
        <v>6.6918346178875456</v>
      </c>
      <c r="BD185" s="137">
        <f>$W185*AI185+$L185*Summary_LCIA!Z$32</f>
        <v>0.25440631697759886</v>
      </c>
      <c r="BE185" s="137">
        <f>$W185*AJ185+$L185*Summary_LCIA!AA$32</f>
        <v>10.648217480588288</v>
      </c>
      <c r="BF185" s="137">
        <f>$W185*AK185+$L185*Summary_LCIA!AB$32</f>
        <v>4.9556033310034005E-2</v>
      </c>
      <c r="BG185" s="137">
        <f>$W185*AL185+$L185*Summary_LCIA!AC$32</f>
        <v>4.8588014432478321E-5</v>
      </c>
      <c r="BH185" s="137">
        <f>$W185*AM185+$L185*Summary_LCIA!AD$32</f>
        <v>0.26374510361793208</v>
      </c>
      <c r="BI185" s="137">
        <f>$W185*AN185+$L185*Summary_LCIA!AE$32</f>
        <v>0.64816007784287721</v>
      </c>
      <c r="BJ185" s="137">
        <f>$W185*AO185+$L185*Summary_LCIA!AF$32</f>
        <v>0.35449656871673485</v>
      </c>
      <c r="BK185" s="137">
        <f>$W185*AP185+$L185*Summary_LCIA!AG$32</f>
        <v>2.5433545196734807E-2</v>
      </c>
      <c r="BL185" s="137">
        <f>$W185*AQ185+$L185*Summary_LCIA!AH$32</f>
        <v>4.2094724412211812</v>
      </c>
      <c r="BM185" s="137">
        <f>$W185*AR185+$L185*Summary_LCIA!AI$32</f>
        <v>0.62897705639532542</v>
      </c>
    </row>
    <row r="186" spans="1:65" x14ac:dyDescent="0.25">
      <c r="A186" s="149">
        <v>188</v>
      </c>
      <c r="B186" s="149">
        <v>43</v>
      </c>
      <c r="C186" s="61">
        <v>42.404803000000001</v>
      </c>
      <c r="D186" s="61">
        <v>-82.191038000000006</v>
      </c>
      <c r="E186" s="61" t="s">
        <v>456</v>
      </c>
      <c r="F186" s="149">
        <v>78</v>
      </c>
      <c r="G186" s="61" t="s">
        <v>615</v>
      </c>
      <c r="H186" s="61" t="s">
        <v>616</v>
      </c>
      <c r="I186" s="61">
        <v>42.216248999999998</v>
      </c>
      <c r="J186" s="61">
        <v>-83.355363999999994</v>
      </c>
      <c r="K186" s="61">
        <v>103.2140149</v>
      </c>
      <c r="L186" s="61">
        <v>119.09</v>
      </c>
      <c r="M186" s="61" t="s">
        <v>617</v>
      </c>
      <c r="N186" s="149">
        <v>42</v>
      </c>
      <c r="O186" s="149">
        <v>43</v>
      </c>
      <c r="P186" s="61" t="s">
        <v>565</v>
      </c>
      <c r="Q186" s="61" t="s">
        <v>555</v>
      </c>
      <c r="R186" s="61">
        <v>40.6895314</v>
      </c>
      <c r="S186" s="61">
        <v>-74.174462399999996</v>
      </c>
      <c r="T186" s="61">
        <v>959.29200000000003</v>
      </c>
      <c r="U186" s="61" t="s">
        <v>617</v>
      </c>
      <c r="V186" s="61" t="s">
        <v>569</v>
      </c>
      <c r="W186" s="61" cm="1">
        <f t="array" ref="W186">getDistance(I186,J186,R186,S186)*SA!$B$12</f>
        <v>785.28633867682765</v>
      </c>
      <c r="Y186" s="137">
        <f>Transportation_LCIA!C$61*($W186^Transportation_LCIA!C$60)+Transportation_LCIA!C$62</f>
        <v>0.26330928953252508</v>
      </c>
      <c r="Z186" s="137">
        <f>Transportation_LCIA!D$61*($W186^Transportation_LCIA!D$60)+Transportation_LCIA!D$62</f>
        <v>2.7470263376439421</v>
      </c>
      <c r="AA186" s="137">
        <f>Transportation_LCIA!E$61*($W186^Transportation_LCIA!E$60)+Transportation_LCIA!E$62</f>
        <v>1.3559818236141058E-3</v>
      </c>
      <c r="AB186" s="137">
        <f>Transportation_LCIA!F$61*($W186^Transportation_LCIA!F$60)+Transportation_LCIA!F$62</f>
        <v>0.26330928953252508</v>
      </c>
      <c r="AC186" s="137">
        <f>Transportation_LCIA!G$61*($W186^Transportation_LCIA!G$60)+Transportation_LCIA!G$62</f>
        <v>6.4124466375910086E-2</v>
      </c>
      <c r="AD186" s="137">
        <f>Transportation_LCIA!H$61*($W186^Transportation_LCIA!H$60)+Transportation_LCIA!H$62</f>
        <v>3.23471252238349E-4</v>
      </c>
      <c r="AE186" s="137">
        <f>Transportation_LCIA!I$61*($W186^Transportation_LCIA!I$60)+Transportation_LCIA!I$62</f>
        <v>7.1006706958255214E-6</v>
      </c>
      <c r="AF186" s="137">
        <f>Transportation_LCIA!J$61*($W186^Transportation_LCIA!J$60)+Transportation_LCIA!J$62</f>
        <v>1.0525719899275952E-2</v>
      </c>
      <c r="AG186" s="137">
        <f>Transportation_LCIA!K$61*($W186^Transportation_LCIA!K$60)+Transportation_LCIA!K$62</f>
        <v>1.3797666560438151E-2</v>
      </c>
      <c r="AH186" s="137">
        <f>Transportation_LCIA!L$61*($W186^Transportation_LCIA!L$60)+Transportation_LCIA!L$62</f>
        <v>2.8284968621697246E-4</v>
      </c>
      <c r="AI186" s="137">
        <f>Transportation_LCIA!M$61*($W186^Transportation_LCIA!M$60)+Transportation_LCIA!M$62</f>
        <v>2.6937179467913046E-4</v>
      </c>
      <c r="AJ186" s="137">
        <f>Transportation_LCIA!N$61*($W186^Transportation_LCIA!N$60)+Transportation_LCIA!N$62</f>
        <v>1.1467213700117806E-3</v>
      </c>
      <c r="AK186" s="137">
        <f>Transportation_LCIA!O$61*($W186^Transportation_LCIA!O$60)+Transportation_LCIA!O$62</f>
        <v>6.7805651672599041E-5</v>
      </c>
      <c r="AL186" s="137">
        <f>Transportation_LCIA!P$61*($W186^Transportation_LCIA!P$60)+Transportation_LCIA!P$62</f>
        <v>3.2767641003522771E-8</v>
      </c>
      <c r="AM186" s="137">
        <f>Transportation_LCIA!Q$61*($W186^Transportation_LCIA!Q$60)+Transportation_LCIA!Q$62</f>
        <v>1.1176738524526752E-4</v>
      </c>
      <c r="AN186" s="137">
        <f>Transportation_LCIA!R$61*($W186^Transportation_LCIA!R$60)+Transportation_LCIA!R$62</f>
        <v>3.4134784719875682E-4</v>
      </c>
      <c r="AO186" s="137">
        <f>Transportation_LCIA!S$61*($W186^Transportation_LCIA!S$60)+Transportation_LCIA!S$62</f>
        <v>5.1017230769306004E-6</v>
      </c>
      <c r="AP186" s="137">
        <f>Transportation_LCIA!T$61*($W186^Transportation_LCIA!T$60)+Transportation_LCIA!T$62</f>
        <v>5.1017230769306004E-6</v>
      </c>
      <c r="AQ186" s="137">
        <f>Transportation_LCIA!U$61*($W186^Transportation_LCIA!U$60)+Transportation_LCIA!U$62</f>
        <v>7.3539020448969183E-4</v>
      </c>
      <c r="AR186" s="137">
        <f>Transportation_LCIA!V$61*($W186^Transportation_LCIA!V$60)+Transportation_LCIA!V$62</f>
        <v>2.9072294614169601E-4</v>
      </c>
      <c r="AT186" s="137">
        <f>$W186*Y186+$L186*Summary_LCIA!H$32</f>
        <v>247.23996991659337</v>
      </c>
      <c r="AU186" s="137">
        <f>$W186*Z186+$L186*Summary_LCIA!Q$32</f>
        <v>2747.4183010031966</v>
      </c>
      <c r="AV186" s="137">
        <f>$W186*AA186+$L186*Summary_LCIA!R$32</f>
        <v>1.6919143055782491</v>
      </c>
      <c r="AW186" s="137">
        <f>$W186*AB186+$L186*Summary_LCIA!S$32</f>
        <v>246.71359211659336</v>
      </c>
      <c r="AX186" s="137">
        <f>$W186*AC186+$L186*Summary_LCIA!T$32</f>
        <v>63.444058419943779</v>
      </c>
      <c r="AY186" s="137">
        <f>$W186*AD186+$L186*Summary_LCIA!U$32</f>
        <v>2.3873958153374617</v>
      </c>
      <c r="AZ186" s="137">
        <f>$W186*AE186+$L186*Summary_LCIA!V$32</f>
        <v>1.1263917182874665E-2</v>
      </c>
      <c r="BA186" s="137">
        <f>$W186*AF186+$L186*Summary_LCIA!W$32</f>
        <v>17.432180431640241</v>
      </c>
      <c r="BB186" s="137">
        <f>$W186*AG186+$L186*Summary_LCIA!X$32</f>
        <v>13.547989255530172</v>
      </c>
      <c r="BC186" s="137">
        <f>$W186*AH186+$L186*Summary_LCIA!Y$32</f>
        <v>2.0777783744852161</v>
      </c>
      <c r="BD186" s="137">
        <f>$W186*AI186+$L186*Summary_LCIA!Z$32</f>
        <v>0.21641775219638051</v>
      </c>
      <c r="BE186" s="137">
        <f>$W186*AJ186+$L186*Summary_LCIA!AA$32</f>
        <v>3.6819706661390268</v>
      </c>
      <c r="BF186" s="137">
        <f>$W186*AK186+$L186*Summary_LCIA!AB$32</f>
        <v>5.0647950873571615E-2</v>
      </c>
      <c r="BG186" s="137">
        <f>$W186*AL186+$L186*Summary_LCIA!AC$32</f>
        <v>3.155357639073309E-5</v>
      </c>
      <c r="BH186" s="137">
        <f>$W186*AM186+$L186*Summary_LCIA!AD$32</f>
        <v>0.13672015434273863</v>
      </c>
      <c r="BI186" s="137">
        <f>$W186*AN186+$L186*Summary_LCIA!AE$32</f>
        <v>0.37358502284192896</v>
      </c>
      <c r="BJ186" s="137">
        <f>$W186*AO186+$L186*Summary_LCIA!AF$32</f>
        <v>0.10468738123602592</v>
      </c>
      <c r="BK186" s="137">
        <f>$W186*AP186+$L186*Summary_LCIA!AG$32</f>
        <v>1.0099553286025912E-2</v>
      </c>
      <c r="BL186" s="137">
        <f>$W186*AQ186+$L186*Summary_LCIA!AH$32</f>
        <v>1.6140036051825137</v>
      </c>
      <c r="BM186" s="137">
        <f>$W186*AR186+$L186*Summary_LCIA!AI$32</f>
        <v>0.33923904744495303</v>
      </c>
    </row>
    <row r="187" spans="1:65" x14ac:dyDescent="0.25">
      <c r="A187" s="149">
        <v>43</v>
      </c>
      <c r="B187" s="149">
        <v>16</v>
      </c>
      <c r="C187" s="61">
        <v>38.877713999999997</v>
      </c>
      <c r="D187" s="61">
        <v>-94.774396999999993</v>
      </c>
      <c r="E187" s="61" t="s">
        <v>265</v>
      </c>
      <c r="F187" s="149">
        <v>101</v>
      </c>
      <c r="G187" s="61" t="s">
        <v>647</v>
      </c>
      <c r="H187" s="61" t="s">
        <v>648</v>
      </c>
      <c r="I187" s="61">
        <v>39.303586000000003</v>
      </c>
      <c r="J187" s="61">
        <v>-94.70926</v>
      </c>
      <c r="K187" s="61">
        <v>77.391958450000004</v>
      </c>
      <c r="L187" s="61">
        <v>62.118000000000002</v>
      </c>
      <c r="M187" s="61" t="s">
        <v>617</v>
      </c>
      <c r="N187" s="149">
        <v>15</v>
      </c>
      <c r="O187" s="149">
        <v>16</v>
      </c>
      <c r="P187" s="61" t="s">
        <v>565</v>
      </c>
      <c r="Q187" s="61" t="s">
        <v>556</v>
      </c>
      <c r="R187" s="61">
        <v>39.856096299999997</v>
      </c>
      <c r="S187" s="61">
        <v>-104.6737376</v>
      </c>
      <c r="T187" s="61">
        <v>961.99900000000002</v>
      </c>
      <c r="U187" s="61" t="s">
        <v>617</v>
      </c>
      <c r="V187" s="61" t="s">
        <v>569</v>
      </c>
      <c r="W187" s="61" cm="1">
        <f t="array" ref="W187">getDistance(I187,J187,R187,S187)*SA!$B$12</f>
        <v>857.85515088451041</v>
      </c>
      <c r="Y187" s="137">
        <f>Transportation_LCIA!C$61*($W187^Transportation_LCIA!C$60)+Transportation_LCIA!C$62</f>
        <v>0.25248814187684882</v>
      </c>
      <c r="Z187" s="137">
        <f>Transportation_LCIA!D$61*($W187^Transportation_LCIA!D$60)+Transportation_LCIA!D$62</f>
        <v>2.6196776350367639</v>
      </c>
      <c r="AA187" s="137">
        <f>Transportation_LCIA!E$61*($W187^Transportation_LCIA!E$60)+Transportation_LCIA!E$62</f>
        <v>1.2720538929609454E-3</v>
      </c>
      <c r="AB187" s="137">
        <f>Transportation_LCIA!F$61*($W187^Transportation_LCIA!F$60)+Transportation_LCIA!F$62</f>
        <v>0.25248814187684882</v>
      </c>
      <c r="AC187" s="137">
        <f>Transportation_LCIA!G$61*($W187^Transportation_LCIA!G$60)+Transportation_LCIA!G$62</f>
        <v>6.1179601779251157E-2</v>
      </c>
      <c r="AD187" s="137">
        <f>Transportation_LCIA!H$61*($W187^Transportation_LCIA!H$60)+Transportation_LCIA!H$62</f>
        <v>3.0493094480615044E-4</v>
      </c>
      <c r="AE187" s="137">
        <f>Transportation_LCIA!I$61*($W187^Transportation_LCIA!I$60)+Transportation_LCIA!I$62</f>
        <v>6.6304259270088555E-6</v>
      </c>
      <c r="AF187" s="137">
        <f>Transportation_LCIA!J$61*($W187^Transportation_LCIA!J$60)+Transportation_LCIA!J$62</f>
        <v>9.8219548185760862E-3</v>
      </c>
      <c r="AG187" s="137">
        <f>Transportation_LCIA!K$61*($W187^Transportation_LCIA!K$60)+Transportation_LCIA!K$62</f>
        <v>1.3107313491294422E-2</v>
      </c>
      <c r="AH187" s="137">
        <f>Transportation_LCIA!L$61*($W187^Transportation_LCIA!L$60)+Transportation_LCIA!L$62</f>
        <v>2.657683796626603E-4</v>
      </c>
      <c r="AI187" s="137">
        <f>Transportation_LCIA!M$61*($W187^Transportation_LCIA!M$60)+Transportation_LCIA!M$62</f>
        <v>2.5913696661615223E-4</v>
      </c>
      <c r="AJ187" s="137">
        <f>Transportation_LCIA!N$61*($W187^Transportation_LCIA!N$60)+Transportation_LCIA!N$62</f>
        <v>1.0844229905827853E-3</v>
      </c>
      <c r="AK187" s="137">
        <f>Transportation_LCIA!O$61*($W187^Transportation_LCIA!O$60)+Transportation_LCIA!O$62</f>
        <v>6.4675631438952707E-5</v>
      </c>
      <c r="AL187" s="137">
        <f>Transportation_LCIA!P$61*($W187^Transportation_LCIA!P$60)+Transportation_LCIA!P$62</f>
        <v>3.1263700968901684E-8</v>
      </c>
      <c r="AM187" s="137">
        <f>Transportation_LCIA!Q$61*($W187^Transportation_LCIA!Q$60)+Transportation_LCIA!Q$62</f>
        <v>1.0508088425996637E-4</v>
      </c>
      <c r="AN187" s="137">
        <f>Transportation_LCIA!R$61*($W187^Transportation_LCIA!R$60)+Transportation_LCIA!R$62</f>
        <v>3.1879412532787699E-4</v>
      </c>
      <c r="AO187" s="137">
        <f>Transportation_LCIA!S$61*($W187^Transportation_LCIA!S$60)+Transportation_LCIA!S$62</f>
        <v>4.7817455510120322E-6</v>
      </c>
      <c r="AP187" s="137">
        <f>Transportation_LCIA!T$61*($W187^Transportation_LCIA!T$60)+Transportation_LCIA!T$62</f>
        <v>4.7817455510120322E-6</v>
      </c>
      <c r="AQ187" s="137">
        <f>Transportation_LCIA!U$61*($W187^Transportation_LCIA!U$60)+Transportation_LCIA!U$62</f>
        <v>6.8585897794513006E-4</v>
      </c>
      <c r="AR187" s="137">
        <f>Transportation_LCIA!V$61*($W187^Transportation_LCIA!V$60)+Transportation_LCIA!V$62</f>
        <v>2.7330221565720944E-4</v>
      </c>
      <c r="AT187" s="137">
        <f>$W187*Y187+$L187*Summary_LCIA!H$32</f>
        <v>237.70594944631381</v>
      </c>
      <c r="AU187" s="137">
        <f>$W187*Z187+$L187*Summary_LCIA!Q$32</f>
        <v>2555.1638936703348</v>
      </c>
      <c r="AV187" s="137">
        <f>$W187*AA187+$L187*Summary_LCIA!R$32</f>
        <v>1.4183265250792405</v>
      </c>
      <c r="AW187" s="137">
        <f>$W187*AB187+$L187*Summary_LCIA!S$32</f>
        <v>237.43138788631381</v>
      </c>
      <c r="AX187" s="137">
        <f>$W187*AC187+$L187*Summary_LCIA!T$32</f>
        <v>59.31000471539376</v>
      </c>
      <c r="AY187" s="137">
        <f>$W187*AD187+$L187*Summary_LCIA!U$32</f>
        <v>1.3743684336660364</v>
      </c>
      <c r="AZ187" s="137">
        <f>$W187*AE187+$L187*Summary_LCIA!V$32</f>
        <v>8.6547628320427523E-3</v>
      </c>
      <c r="BA187" s="137">
        <f>$W187*AF187+$L187*Summary_LCIA!W$32</f>
        <v>13.207099110870434</v>
      </c>
      <c r="BB187" s="137">
        <f>$W187*AG187+$L187*Summary_LCIA!X$32</f>
        <v>12.659224432764956</v>
      </c>
      <c r="BC187" s="137">
        <f>$W187*AH187+$L187*Summary_LCIA!Y$32</f>
        <v>1.1959134494358432</v>
      </c>
      <c r="BD187" s="137">
        <f>$W187*AI187+$L187*Summary_LCIA!Z$32</f>
        <v>0.22484937865825361</v>
      </c>
      <c r="BE187" s="137">
        <f>$W187*AJ187+$L187*Summary_LCIA!AA$32</f>
        <v>2.381105856209027</v>
      </c>
      <c r="BF187" s="137">
        <f>$W187*AK187+$L187*Summary_LCIA!AB$32</f>
        <v>5.4126722452613754E-2</v>
      </c>
      <c r="BG187" s="137">
        <f>$W187*AL187+$L187*Summary_LCIA!AC$32</f>
        <v>2.9856303223885369E-5</v>
      </c>
      <c r="BH187" s="137">
        <f>$W187*AM187+$L187*Summary_LCIA!AD$32</f>
        <v>0.11567716054191123</v>
      </c>
      <c r="BI187" s="137">
        <f>$W187*AN187+$L187*Summary_LCIA!AE$32</f>
        <v>0.3285238058242414</v>
      </c>
      <c r="BJ187" s="137">
        <f>$W187*AO187+$L187*Summary_LCIA!AF$32</f>
        <v>5.6617844611154766E-2</v>
      </c>
      <c r="BK187" s="137">
        <f>$W187*AP187+$L187*Summary_LCIA!AG$32</f>
        <v>7.2803125211547632E-3</v>
      </c>
      <c r="BL187" s="137">
        <f>$W187*AQ187+$L187*Summary_LCIA!AH$32</f>
        <v>1.1290178818106158</v>
      </c>
      <c r="BM187" s="137">
        <f>$W187*AR187+$L187*Summary_LCIA!AI$32</f>
        <v>0.29231973634968639</v>
      </c>
    </row>
    <row r="188" spans="1:65" x14ac:dyDescent="0.25">
      <c r="A188" s="149">
        <v>380</v>
      </c>
      <c r="B188" s="149">
        <v>43</v>
      </c>
      <c r="C188" s="61">
        <v>42.214205999999997</v>
      </c>
      <c r="D188" s="61">
        <v>-83.149923999999999</v>
      </c>
      <c r="E188" s="61" t="s">
        <v>265</v>
      </c>
      <c r="F188" s="149">
        <v>78</v>
      </c>
      <c r="G188" s="61" t="s">
        <v>615</v>
      </c>
      <c r="H188" s="61" t="s">
        <v>616</v>
      </c>
      <c r="I188" s="61">
        <v>42.216248999999998</v>
      </c>
      <c r="J188" s="61">
        <v>-83.355363999999994</v>
      </c>
      <c r="K188" s="61">
        <v>17.006377449999999</v>
      </c>
      <c r="L188" s="61">
        <v>24.92</v>
      </c>
      <c r="M188" s="61" t="s">
        <v>617</v>
      </c>
      <c r="N188" s="149">
        <v>42</v>
      </c>
      <c r="O188" s="149">
        <v>43</v>
      </c>
      <c r="P188" s="61" t="s">
        <v>565</v>
      </c>
      <c r="Q188" s="61" t="s">
        <v>555</v>
      </c>
      <c r="R188" s="61">
        <v>40.6895314</v>
      </c>
      <c r="S188" s="61">
        <v>-74.174462399999996</v>
      </c>
      <c r="T188" s="61">
        <v>967.01700000000005</v>
      </c>
      <c r="U188" s="61" t="s">
        <v>617</v>
      </c>
      <c r="V188" s="61" t="s">
        <v>569</v>
      </c>
      <c r="W188" s="61" cm="1">
        <f t="array" ref="W188">getDistance(I188,J188,R188,S188)*SA!$B$12</f>
        <v>785.28633867682765</v>
      </c>
      <c r="Y188" s="137">
        <f>Transportation_LCIA!C$61*($W188^Transportation_LCIA!C$60)+Transportation_LCIA!C$62</f>
        <v>0.26330928953252508</v>
      </c>
      <c r="Z188" s="137">
        <f>Transportation_LCIA!D$61*($W188^Transportation_LCIA!D$60)+Transportation_LCIA!D$62</f>
        <v>2.7470263376439421</v>
      </c>
      <c r="AA188" s="137">
        <f>Transportation_LCIA!E$61*($W188^Transportation_LCIA!E$60)+Transportation_LCIA!E$62</f>
        <v>1.3559818236141058E-3</v>
      </c>
      <c r="AB188" s="137">
        <f>Transportation_LCIA!F$61*($W188^Transportation_LCIA!F$60)+Transportation_LCIA!F$62</f>
        <v>0.26330928953252508</v>
      </c>
      <c r="AC188" s="137">
        <f>Transportation_LCIA!G$61*($W188^Transportation_LCIA!G$60)+Transportation_LCIA!G$62</f>
        <v>6.4124466375910086E-2</v>
      </c>
      <c r="AD188" s="137">
        <f>Transportation_LCIA!H$61*($W188^Transportation_LCIA!H$60)+Transportation_LCIA!H$62</f>
        <v>3.23471252238349E-4</v>
      </c>
      <c r="AE188" s="137">
        <f>Transportation_LCIA!I$61*($W188^Transportation_LCIA!I$60)+Transportation_LCIA!I$62</f>
        <v>7.1006706958255214E-6</v>
      </c>
      <c r="AF188" s="137">
        <f>Transportation_LCIA!J$61*($W188^Transportation_LCIA!J$60)+Transportation_LCIA!J$62</f>
        <v>1.0525719899275952E-2</v>
      </c>
      <c r="AG188" s="137">
        <f>Transportation_LCIA!K$61*($W188^Transportation_LCIA!K$60)+Transportation_LCIA!K$62</f>
        <v>1.3797666560438151E-2</v>
      </c>
      <c r="AH188" s="137">
        <f>Transportation_LCIA!L$61*($W188^Transportation_LCIA!L$60)+Transportation_LCIA!L$62</f>
        <v>2.8284968621697246E-4</v>
      </c>
      <c r="AI188" s="137">
        <f>Transportation_LCIA!M$61*($W188^Transportation_LCIA!M$60)+Transportation_LCIA!M$62</f>
        <v>2.6937179467913046E-4</v>
      </c>
      <c r="AJ188" s="137">
        <f>Transportation_LCIA!N$61*($W188^Transportation_LCIA!N$60)+Transportation_LCIA!N$62</f>
        <v>1.1467213700117806E-3</v>
      </c>
      <c r="AK188" s="137">
        <f>Transportation_LCIA!O$61*($W188^Transportation_LCIA!O$60)+Transportation_LCIA!O$62</f>
        <v>6.7805651672599041E-5</v>
      </c>
      <c r="AL188" s="137">
        <f>Transportation_LCIA!P$61*($W188^Transportation_LCIA!P$60)+Transportation_LCIA!P$62</f>
        <v>3.2767641003522771E-8</v>
      </c>
      <c r="AM188" s="137">
        <f>Transportation_LCIA!Q$61*($W188^Transportation_LCIA!Q$60)+Transportation_LCIA!Q$62</f>
        <v>1.1176738524526752E-4</v>
      </c>
      <c r="AN188" s="137">
        <f>Transportation_LCIA!R$61*($W188^Transportation_LCIA!R$60)+Transportation_LCIA!R$62</f>
        <v>3.4134784719875682E-4</v>
      </c>
      <c r="AO188" s="137">
        <f>Transportation_LCIA!S$61*($W188^Transportation_LCIA!S$60)+Transportation_LCIA!S$62</f>
        <v>5.1017230769306004E-6</v>
      </c>
      <c r="AP188" s="137">
        <f>Transportation_LCIA!T$61*($W188^Transportation_LCIA!T$60)+Transportation_LCIA!T$62</f>
        <v>5.1017230769306004E-6</v>
      </c>
      <c r="AQ188" s="137">
        <f>Transportation_LCIA!U$61*($W188^Transportation_LCIA!U$60)+Transportation_LCIA!U$62</f>
        <v>7.3539020448969183E-4</v>
      </c>
      <c r="AR188" s="137">
        <f>Transportation_LCIA!V$61*($W188^Transportation_LCIA!V$60)+Transportation_LCIA!V$62</f>
        <v>2.9072294614169601E-4</v>
      </c>
      <c r="AT188" s="137">
        <f>$W188*Y188+$L188*Summary_LCIA!H$32</f>
        <v>215.24100391659337</v>
      </c>
      <c r="AU188" s="137">
        <f>$W188*Z188+$L188*Summary_LCIA!Q$32</f>
        <v>2280.7070317275866</v>
      </c>
      <c r="AV188" s="137">
        <f>$W188*AA188+$L188*Summary_LCIA!R$32</f>
        <v>1.196052753578249</v>
      </c>
      <c r="AW188" s="137">
        <f>$W188*AB188+$L188*Summary_LCIA!S$32</f>
        <v>215.13085751659338</v>
      </c>
      <c r="AX188" s="137">
        <f>$W188*AC188+$L188*Summary_LCIA!T$32</f>
        <v>53.09477541994378</v>
      </c>
      <c r="AY188" s="137">
        <f>$W188*AD188+$L188*Summary_LCIA!U$32</f>
        <v>0.70043443533746164</v>
      </c>
      <c r="AZ188" s="137">
        <f>$W188*AE188+$L188*Summary_LCIA!V$32</f>
        <v>6.7662638128746658E-3</v>
      </c>
      <c r="BA188" s="137">
        <f>$W188*AF188+$L188*Summary_LCIA!W$32</f>
        <v>10.18382136164024</v>
      </c>
      <c r="BB188" s="137">
        <f>$W188*AG188+$L188*Summary_LCIA!X$32</f>
        <v>11.402796655530173</v>
      </c>
      <c r="BC188" s="137">
        <f>$W188*AH188+$L188*Summary_LCIA!Y$32</f>
        <v>0.61042143448521591</v>
      </c>
      <c r="BD188" s="137">
        <f>$W188*AI188+$L188*Summary_LCIA!Z$32</f>
        <v>0.21255593466638051</v>
      </c>
      <c r="BE188" s="137">
        <f>$W188*AJ188+$L188*Summary_LCIA!AA$32</f>
        <v>1.482536146139027</v>
      </c>
      <c r="BF188" s="137">
        <f>$W188*AK188+$L188*Summary_LCIA!AB$32</f>
        <v>5.2703022783571613E-2</v>
      </c>
      <c r="BG188" s="137">
        <f>$W188*AL188+$L188*Summary_LCIA!AC$32</f>
        <v>2.6950170110733088E-5</v>
      </c>
      <c r="BH188" s="137">
        <f>$W188*AM188+$L188*Summary_LCIA!AD$32</f>
        <v>9.8012517542738625E-2</v>
      </c>
      <c r="BI188" s="137">
        <f>$W188*AN188+$L188*Summary_LCIA!AE$32</f>
        <v>0.29013816074192894</v>
      </c>
      <c r="BJ188" s="137">
        <f>$W188*AO188+$L188*Summary_LCIA!AF$32</f>
        <v>2.5074179836025914E-2</v>
      </c>
      <c r="BK188" s="137">
        <f>$W188*AP188+$L188*Summary_LCIA!AG$32</f>
        <v>5.2813452360259104E-3</v>
      </c>
      <c r="BL188" s="137">
        <f>$W188*AQ188+$L188*Summary_LCIA!AH$32</f>
        <v>0.79438559318251367</v>
      </c>
      <c r="BM188" s="137">
        <f>$W188*AR188+$L188*Summary_LCIA!AI$32</f>
        <v>0.25151498394495303</v>
      </c>
    </row>
    <row r="189" spans="1:65" x14ac:dyDescent="0.25">
      <c r="A189" s="149">
        <v>349</v>
      </c>
      <c r="B189" s="149">
        <v>43</v>
      </c>
      <c r="C189" s="61">
        <v>39.552281000000001</v>
      </c>
      <c r="D189" s="61">
        <v>-84.233271999999999</v>
      </c>
      <c r="E189" s="61" t="s">
        <v>265</v>
      </c>
      <c r="F189" s="149">
        <v>109</v>
      </c>
      <c r="G189" s="61" t="s">
        <v>273</v>
      </c>
      <c r="H189" s="61" t="s">
        <v>665</v>
      </c>
      <c r="I189" s="61">
        <v>39.053274999999999</v>
      </c>
      <c r="J189" s="61">
        <v>-84.663016999999996</v>
      </c>
      <c r="K189" s="61">
        <v>92.693861600000005</v>
      </c>
      <c r="L189" s="61">
        <v>85.906000000000006</v>
      </c>
      <c r="M189" s="61" t="s">
        <v>617</v>
      </c>
      <c r="N189" s="149">
        <v>42</v>
      </c>
      <c r="O189" s="149">
        <v>43</v>
      </c>
      <c r="P189" s="61" t="s">
        <v>565</v>
      </c>
      <c r="Q189" s="61" t="s">
        <v>555</v>
      </c>
      <c r="R189" s="61">
        <v>40.6895314</v>
      </c>
      <c r="S189" s="61">
        <v>-74.174462399999996</v>
      </c>
      <c r="T189" s="61">
        <v>969.28</v>
      </c>
      <c r="U189" s="61" t="s">
        <v>617</v>
      </c>
      <c r="V189" s="61" t="s">
        <v>569</v>
      </c>
      <c r="W189" s="61" cm="1">
        <f t="array" ref="W189">getDistance(I189,J189,R189,S189)*SA!$B$12</f>
        <v>915.01827883082876</v>
      </c>
      <c r="Y189" s="137">
        <f>Transportation_LCIA!C$61*($W189^Transportation_LCIA!C$60)+Transportation_LCIA!C$62</f>
        <v>0.24508171468399292</v>
      </c>
      <c r="Z189" s="137">
        <f>Transportation_LCIA!D$61*($W189^Transportation_LCIA!D$60)+Transportation_LCIA!D$62</f>
        <v>2.5328048771991467</v>
      </c>
      <c r="AA189" s="137">
        <f>Transportation_LCIA!E$61*($W189^Transportation_LCIA!E$60)+Transportation_LCIA!E$62</f>
        <v>1.2148548077088356E-3</v>
      </c>
      <c r="AB189" s="137">
        <f>Transportation_LCIA!F$61*($W189^Transportation_LCIA!F$60)+Transportation_LCIA!F$62</f>
        <v>0.24508171468399292</v>
      </c>
      <c r="AC189" s="137">
        <f>Transportation_LCIA!G$61*($W189^Transportation_LCIA!G$60)+Transportation_LCIA!G$62</f>
        <v>5.9170329585574666E-2</v>
      </c>
      <c r="AD189" s="137">
        <f>Transportation_LCIA!H$61*($W189^Transportation_LCIA!H$60)+Transportation_LCIA!H$62</f>
        <v>2.9231858342516052E-4</v>
      </c>
      <c r="AE189" s="137">
        <f>Transportation_LCIA!I$61*($W189^Transportation_LCIA!I$60)+Transportation_LCIA!I$62</f>
        <v>6.3114853221521224E-6</v>
      </c>
      <c r="AF189" s="137">
        <f>Transportation_LCIA!J$61*($W189^Transportation_LCIA!J$60)+Transportation_LCIA!J$62</f>
        <v>9.3455586085162082E-3</v>
      </c>
      <c r="AG189" s="137">
        <f>Transportation_LCIA!K$61*($W189^Transportation_LCIA!K$60)+Transportation_LCIA!K$62</f>
        <v>1.2637079562947537E-2</v>
      </c>
      <c r="AH189" s="137">
        <f>Transportation_LCIA!L$61*($W189^Transportation_LCIA!L$60)+Transportation_LCIA!L$62</f>
        <v>2.541583799233985E-4</v>
      </c>
      <c r="AI189" s="137">
        <f>Transportation_LCIA!M$61*($W189^Transportation_LCIA!M$60)+Transportation_LCIA!M$62</f>
        <v>2.5217525107441461E-4</v>
      </c>
      <c r="AJ189" s="137">
        <f>Transportation_LCIA!N$61*($W189^Transportation_LCIA!N$60)+Transportation_LCIA!N$62</f>
        <v>1.0420334194552491E-3</v>
      </c>
      <c r="AK189" s="137">
        <f>Transportation_LCIA!O$61*($W189^Transportation_LCIA!O$60)+Transportation_LCIA!O$62</f>
        <v>6.254022356013657E-5</v>
      </c>
      <c r="AL189" s="137">
        <f>Transportation_LCIA!P$61*($W189^Transportation_LCIA!P$60)+Transportation_LCIA!P$62</f>
        <v>3.023740695269791E-8</v>
      </c>
      <c r="AM189" s="137">
        <f>Transportation_LCIA!Q$61*($W189^Transportation_LCIA!Q$60)+Transportation_LCIA!Q$62</f>
        <v>1.0053820900572278E-4</v>
      </c>
      <c r="AN189" s="137">
        <f>Transportation_LCIA!R$61*($W189^Transportation_LCIA!R$60)+Transportation_LCIA!R$62</f>
        <v>3.0349830407116882E-4</v>
      </c>
      <c r="AO189" s="137">
        <f>Transportation_LCIA!S$61*($W189^Transportation_LCIA!S$60)+Transportation_LCIA!S$62</f>
        <v>4.5647094502067623E-6</v>
      </c>
      <c r="AP189" s="137">
        <f>Transportation_LCIA!T$61*($W189^Transportation_LCIA!T$60)+Transportation_LCIA!T$62</f>
        <v>4.5647094502067623E-6</v>
      </c>
      <c r="AQ189" s="137">
        <f>Transportation_LCIA!U$61*($W189^Transportation_LCIA!U$60)+Transportation_LCIA!U$62</f>
        <v>6.5228612344084259E-4</v>
      </c>
      <c r="AR189" s="137">
        <f>Transportation_LCIA!V$61*($W189^Transportation_LCIA!V$60)+Transportation_LCIA!V$62</f>
        <v>2.6147388914577244E-4</v>
      </c>
      <c r="AT189" s="137">
        <f>$W189*Y189+$L189*Summary_LCIA!H$32</f>
        <v>253.44510754305546</v>
      </c>
      <c r="AU189" s="137">
        <f>$W189*Z189+$L189*Summary_LCIA!Q$32</f>
        <v>2743.3172278463899</v>
      </c>
      <c r="AV189" s="137">
        <f>$W189*AA189+$L189*Summary_LCIA!R$32</f>
        <v>1.5639609887790962</v>
      </c>
      <c r="AW189" s="137">
        <f>$W189*AB189+$L189*Summary_LCIA!S$32</f>
        <v>253.06540302305547</v>
      </c>
      <c r="AX189" s="137">
        <f>$W189*AC189+$L189*Summary_LCIA!T$32</f>
        <v>63.583002535245399</v>
      </c>
      <c r="AY189" s="137">
        <f>$W189*AD189+$L189*Summary_LCIA!U$32</f>
        <v>1.8063969310759567</v>
      </c>
      <c r="AZ189" s="137">
        <f>$W189*AE189+$L189*Summary_LCIA!V$32</f>
        <v>9.8780809023416745E-3</v>
      </c>
      <c r="BA189" s="137">
        <f>$W189*AF189+$L189*Summary_LCIA!W$32</f>
        <v>15.163627678677136</v>
      </c>
      <c r="BB189" s="137">
        <f>$W189*AG189+$L189*Summary_LCIA!X$32</f>
        <v>13.520097471136497</v>
      </c>
      <c r="BC189" s="137">
        <f>$W189*AH189+$L189*Summary_LCIA!Y$32</f>
        <v>1.5711468553479402</v>
      </c>
      <c r="BD189" s="137">
        <f>$W189*AI189+$L189*Summary_LCIA!Z$32</f>
        <v>0.23426788335584295</v>
      </c>
      <c r="BE189" s="137">
        <f>$W189*AJ189+$L189*Summary_LCIA!AA$32</f>
        <v>2.959900161954145</v>
      </c>
      <c r="BF189" s="137">
        <f>$W189*AK189+$L189*Summary_LCIA!AB$32</f>
        <v>5.5350721081691409E-2</v>
      </c>
      <c r="BG189" s="137">
        <f>$W189*AL189+$L189*Summary_LCIA!AC$32</f>
        <v>3.1867208970164975E-5</v>
      </c>
      <c r="BH189" s="137">
        <f>$W189*AM189+$L189*Summary_LCIA!AD$32</f>
        <v>0.1273051012011506</v>
      </c>
      <c r="BI189" s="137">
        <f>$W189*AN189+$L189*Summary_LCIA!AE$32</f>
        <v>0.35383037959927643</v>
      </c>
      <c r="BJ189" s="137">
        <f>$W189*AO189+$L189*Summary_LCIA!AF$32</f>
        <v>7.6803443104491012E-2</v>
      </c>
      <c r="BK189" s="137">
        <f>$W189*AP189+$L189*Summary_LCIA!AG$32</f>
        <v>8.5721730744910112E-3</v>
      </c>
      <c r="BL189" s="137">
        <f>$W189*AQ189+$L189*Summary_LCIA!AH$32</f>
        <v>1.3445451875760734</v>
      </c>
      <c r="BM189" s="137">
        <f>$W189*AR189+$L189*Summary_LCIA!AI$32</f>
        <v>0.31927912230536759</v>
      </c>
    </row>
    <row r="190" spans="1:65" x14ac:dyDescent="0.25">
      <c r="A190" s="149">
        <v>90</v>
      </c>
      <c r="B190" s="149">
        <v>43</v>
      </c>
      <c r="C190" s="61">
        <v>39.563648000000001</v>
      </c>
      <c r="D190" s="61">
        <v>-84.231724</v>
      </c>
      <c r="E190" s="61" t="s">
        <v>265</v>
      </c>
      <c r="F190" s="149">
        <v>109</v>
      </c>
      <c r="G190" s="61" t="s">
        <v>273</v>
      </c>
      <c r="H190" s="61" t="s">
        <v>665</v>
      </c>
      <c r="I190" s="61">
        <v>39.053274999999999</v>
      </c>
      <c r="J190" s="61">
        <v>-84.663016999999996</v>
      </c>
      <c r="K190" s="61">
        <v>94.489521969999998</v>
      </c>
      <c r="L190" s="61">
        <v>86.263999999999996</v>
      </c>
      <c r="M190" s="61" t="s">
        <v>617</v>
      </c>
      <c r="N190" s="149">
        <v>42</v>
      </c>
      <c r="O190" s="149">
        <v>43</v>
      </c>
      <c r="P190" s="61" t="s">
        <v>565</v>
      </c>
      <c r="Q190" s="61" t="s">
        <v>555</v>
      </c>
      <c r="R190" s="61">
        <v>40.6895314</v>
      </c>
      <c r="S190" s="61">
        <v>-74.174462399999996</v>
      </c>
      <c r="T190" s="61">
        <v>969.63699999999994</v>
      </c>
      <c r="U190" s="61" t="s">
        <v>617</v>
      </c>
      <c r="V190" s="61" t="s">
        <v>569</v>
      </c>
      <c r="W190" s="61" cm="1">
        <f t="array" ref="W190">getDistance(I190,J190,R190,S190)*SA!$B$12</f>
        <v>915.01827883082876</v>
      </c>
      <c r="Y190" s="137">
        <f>Transportation_LCIA!C$61*($W190^Transportation_LCIA!C$60)+Transportation_LCIA!C$62</f>
        <v>0.24508171468399292</v>
      </c>
      <c r="Z190" s="137">
        <f>Transportation_LCIA!D$61*($W190^Transportation_LCIA!D$60)+Transportation_LCIA!D$62</f>
        <v>2.5328048771991467</v>
      </c>
      <c r="AA190" s="137">
        <f>Transportation_LCIA!E$61*($W190^Transportation_LCIA!E$60)+Transportation_LCIA!E$62</f>
        <v>1.2148548077088356E-3</v>
      </c>
      <c r="AB190" s="137">
        <f>Transportation_LCIA!F$61*($W190^Transportation_LCIA!F$60)+Transportation_LCIA!F$62</f>
        <v>0.24508171468399292</v>
      </c>
      <c r="AC190" s="137">
        <f>Transportation_LCIA!G$61*($W190^Transportation_LCIA!G$60)+Transportation_LCIA!G$62</f>
        <v>5.9170329585574666E-2</v>
      </c>
      <c r="AD190" s="137">
        <f>Transportation_LCIA!H$61*($W190^Transportation_LCIA!H$60)+Transportation_LCIA!H$62</f>
        <v>2.9231858342516052E-4</v>
      </c>
      <c r="AE190" s="137">
        <f>Transportation_LCIA!I$61*($W190^Transportation_LCIA!I$60)+Transportation_LCIA!I$62</f>
        <v>6.3114853221521224E-6</v>
      </c>
      <c r="AF190" s="137">
        <f>Transportation_LCIA!J$61*($W190^Transportation_LCIA!J$60)+Transportation_LCIA!J$62</f>
        <v>9.3455586085162082E-3</v>
      </c>
      <c r="AG190" s="137">
        <f>Transportation_LCIA!K$61*($W190^Transportation_LCIA!K$60)+Transportation_LCIA!K$62</f>
        <v>1.2637079562947537E-2</v>
      </c>
      <c r="AH190" s="137">
        <f>Transportation_LCIA!L$61*($W190^Transportation_LCIA!L$60)+Transportation_LCIA!L$62</f>
        <v>2.541583799233985E-4</v>
      </c>
      <c r="AI190" s="137">
        <f>Transportation_LCIA!M$61*($W190^Transportation_LCIA!M$60)+Transportation_LCIA!M$62</f>
        <v>2.5217525107441461E-4</v>
      </c>
      <c r="AJ190" s="137">
        <f>Transportation_LCIA!N$61*($W190^Transportation_LCIA!N$60)+Transportation_LCIA!N$62</f>
        <v>1.0420334194552491E-3</v>
      </c>
      <c r="AK190" s="137">
        <f>Transportation_LCIA!O$61*($W190^Transportation_LCIA!O$60)+Transportation_LCIA!O$62</f>
        <v>6.254022356013657E-5</v>
      </c>
      <c r="AL190" s="137">
        <f>Transportation_LCIA!P$61*($W190^Transportation_LCIA!P$60)+Transportation_LCIA!P$62</f>
        <v>3.023740695269791E-8</v>
      </c>
      <c r="AM190" s="137">
        <f>Transportation_LCIA!Q$61*($W190^Transportation_LCIA!Q$60)+Transportation_LCIA!Q$62</f>
        <v>1.0053820900572278E-4</v>
      </c>
      <c r="AN190" s="137">
        <f>Transportation_LCIA!R$61*($W190^Transportation_LCIA!R$60)+Transportation_LCIA!R$62</f>
        <v>3.0349830407116882E-4</v>
      </c>
      <c r="AO190" s="137">
        <f>Transportation_LCIA!S$61*($W190^Transportation_LCIA!S$60)+Transportation_LCIA!S$62</f>
        <v>4.5647094502067623E-6</v>
      </c>
      <c r="AP190" s="137">
        <f>Transportation_LCIA!T$61*($W190^Transportation_LCIA!T$60)+Transportation_LCIA!T$62</f>
        <v>4.5647094502067623E-6</v>
      </c>
      <c r="AQ190" s="137">
        <f>Transportation_LCIA!U$61*($W190^Transportation_LCIA!U$60)+Transportation_LCIA!U$62</f>
        <v>6.5228612344084259E-4</v>
      </c>
      <c r="AR190" s="137">
        <f>Transportation_LCIA!V$61*($W190^Transportation_LCIA!V$60)+Transportation_LCIA!V$62</f>
        <v>2.6147388914577244E-4</v>
      </c>
      <c r="AT190" s="137">
        <f>$W190*Y190+$L190*Summary_LCIA!H$32</f>
        <v>253.56675594305545</v>
      </c>
      <c r="AU190" s="137">
        <f>$W190*Z190+$L190*Summary_LCIA!Q$32</f>
        <v>2745.0914939014037</v>
      </c>
      <c r="AV190" s="137">
        <f>$W190*AA190+$L190*Summary_LCIA!R$32</f>
        <v>1.5658460735790962</v>
      </c>
      <c r="AW190" s="137">
        <f>$W190*AB190+$L190*Summary_LCIA!S$32</f>
        <v>253.18546906305545</v>
      </c>
      <c r="AX190" s="137">
        <f>$W190*AC190+$L190*Summary_LCIA!T$32</f>
        <v>63.622346735245394</v>
      </c>
      <c r="AY190" s="137">
        <f>$W190*AD190+$L190*Summary_LCIA!U$32</f>
        <v>1.8128101430759562</v>
      </c>
      <c r="AZ190" s="137">
        <f>$W190*AE190+$L190*Summary_LCIA!V$32</f>
        <v>9.8951793403416737E-3</v>
      </c>
      <c r="BA190" s="137">
        <f>$W190*AF190+$L190*Summary_LCIA!W$32</f>
        <v>15.191183296677135</v>
      </c>
      <c r="BB190" s="137">
        <f>$W190*AG190+$L190*Summary_LCIA!X$32</f>
        <v>13.528252711136496</v>
      </c>
      <c r="BC190" s="137">
        <f>$W190*AH190+$L190*Summary_LCIA!Y$32</f>
        <v>1.57672521134794</v>
      </c>
      <c r="BD190" s="137">
        <f>$W190*AI190+$L190*Summary_LCIA!Z$32</f>
        <v>0.23428256457784297</v>
      </c>
      <c r="BE190" s="137">
        <f>$W190*AJ190+$L190*Summary_LCIA!AA$32</f>
        <v>2.968261609954145</v>
      </c>
      <c r="BF190" s="137">
        <f>$W190*AK190+$L190*Summary_LCIA!AB$32</f>
        <v>5.5342908447691408E-2</v>
      </c>
      <c r="BG190" s="137">
        <f>$W190*AL190+$L190*Summary_LCIA!AC$32</f>
        <v>3.1884709442164976E-5</v>
      </c>
      <c r="BH190" s="137">
        <f>$W190*AM190+$L190*Summary_LCIA!AD$32</f>
        <v>0.12745225352115058</v>
      </c>
      <c r="BI190" s="137">
        <f>$W190*AN190+$L190*Summary_LCIA!AE$32</f>
        <v>0.35414761413927642</v>
      </c>
      <c r="BJ190" s="137">
        <f>$W190*AO190+$L190*Summary_LCIA!AF$32</f>
        <v>7.710610346449101E-2</v>
      </c>
      <c r="BK190" s="137">
        <f>$W190*AP190+$L190*Summary_LCIA!AG$32</f>
        <v>8.5904901444910104E-3</v>
      </c>
      <c r="BL190" s="137">
        <f>$W190*AQ190+$L190*Summary_LCIA!AH$32</f>
        <v>1.3476610763760735</v>
      </c>
      <c r="BM190" s="137">
        <f>$W190*AR190+$L190*Summary_LCIA!AI$32</f>
        <v>0.3196126172053676</v>
      </c>
    </row>
    <row r="191" spans="1:65" x14ac:dyDescent="0.25">
      <c r="A191" s="149">
        <v>204</v>
      </c>
      <c r="B191" s="149">
        <v>43</v>
      </c>
      <c r="C191" s="61">
        <v>42.32226</v>
      </c>
      <c r="D191" s="61">
        <v>-83.176315000000002</v>
      </c>
      <c r="E191" s="61" t="s">
        <v>265</v>
      </c>
      <c r="F191" s="149">
        <v>78</v>
      </c>
      <c r="G191" s="61" t="s">
        <v>615</v>
      </c>
      <c r="H191" s="61" t="s">
        <v>616</v>
      </c>
      <c r="I191" s="61">
        <v>42.216248999999998</v>
      </c>
      <c r="J191" s="61">
        <v>-83.355363999999994</v>
      </c>
      <c r="K191" s="61">
        <v>23.652639489999999</v>
      </c>
      <c r="L191" s="61">
        <v>22.933</v>
      </c>
      <c r="M191" s="61" t="s">
        <v>617</v>
      </c>
      <c r="N191" s="149">
        <v>42</v>
      </c>
      <c r="O191" s="149">
        <v>43</v>
      </c>
      <c r="P191" s="61" t="s">
        <v>565</v>
      </c>
      <c r="Q191" s="61" t="s">
        <v>555</v>
      </c>
      <c r="R191" s="61">
        <v>40.6895314</v>
      </c>
      <c r="S191" s="61">
        <v>-74.174462399999996</v>
      </c>
      <c r="T191" s="61">
        <v>975.42</v>
      </c>
      <c r="U191" s="61" t="s">
        <v>617</v>
      </c>
      <c r="V191" s="61" t="s">
        <v>569</v>
      </c>
      <c r="W191" s="61" cm="1">
        <f t="array" ref="W191">getDistance(I191,J191,R191,S191)*SA!$B$12</f>
        <v>785.28633867682765</v>
      </c>
      <c r="Y191" s="137">
        <f>Transportation_LCIA!C$61*($W191^Transportation_LCIA!C$60)+Transportation_LCIA!C$62</f>
        <v>0.26330928953252508</v>
      </c>
      <c r="Z191" s="137">
        <f>Transportation_LCIA!D$61*($W191^Transportation_LCIA!D$60)+Transportation_LCIA!D$62</f>
        <v>2.7470263376439421</v>
      </c>
      <c r="AA191" s="137">
        <f>Transportation_LCIA!E$61*($W191^Transportation_LCIA!E$60)+Transportation_LCIA!E$62</f>
        <v>1.3559818236141058E-3</v>
      </c>
      <c r="AB191" s="137">
        <f>Transportation_LCIA!F$61*($W191^Transportation_LCIA!F$60)+Transportation_LCIA!F$62</f>
        <v>0.26330928953252508</v>
      </c>
      <c r="AC191" s="137">
        <f>Transportation_LCIA!G$61*($W191^Transportation_LCIA!G$60)+Transportation_LCIA!G$62</f>
        <v>6.4124466375910086E-2</v>
      </c>
      <c r="AD191" s="137">
        <f>Transportation_LCIA!H$61*($W191^Transportation_LCIA!H$60)+Transportation_LCIA!H$62</f>
        <v>3.23471252238349E-4</v>
      </c>
      <c r="AE191" s="137">
        <f>Transportation_LCIA!I$61*($W191^Transportation_LCIA!I$60)+Transportation_LCIA!I$62</f>
        <v>7.1006706958255214E-6</v>
      </c>
      <c r="AF191" s="137">
        <f>Transportation_LCIA!J$61*($W191^Transportation_LCIA!J$60)+Transportation_LCIA!J$62</f>
        <v>1.0525719899275952E-2</v>
      </c>
      <c r="AG191" s="137">
        <f>Transportation_LCIA!K$61*($W191^Transportation_LCIA!K$60)+Transportation_LCIA!K$62</f>
        <v>1.3797666560438151E-2</v>
      </c>
      <c r="AH191" s="137">
        <f>Transportation_LCIA!L$61*($W191^Transportation_LCIA!L$60)+Transportation_LCIA!L$62</f>
        <v>2.8284968621697246E-4</v>
      </c>
      <c r="AI191" s="137">
        <f>Transportation_LCIA!M$61*($W191^Transportation_LCIA!M$60)+Transportation_LCIA!M$62</f>
        <v>2.6937179467913046E-4</v>
      </c>
      <c r="AJ191" s="137">
        <f>Transportation_LCIA!N$61*($W191^Transportation_LCIA!N$60)+Transportation_LCIA!N$62</f>
        <v>1.1467213700117806E-3</v>
      </c>
      <c r="AK191" s="137">
        <f>Transportation_LCIA!O$61*($W191^Transportation_LCIA!O$60)+Transportation_LCIA!O$62</f>
        <v>6.7805651672599041E-5</v>
      </c>
      <c r="AL191" s="137">
        <f>Transportation_LCIA!P$61*($W191^Transportation_LCIA!P$60)+Transportation_LCIA!P$62</f>
        <v>3.2767641003522771E-8</v>
      </c>
      <c r="AM191" s="137">
        <f>Transportation_LCIA!Q$61*($W191^Transportation_LCIA!Q$60)+Transportation_LCIA!Q$62</f>
        <v>1.1176738524526752E-4</v>
      </c>
      <c r="AN191" s="137">
        <f>Transportation_LCIA!R$61*($W191^Transportation_LCIA!R$60)+Transportation_LCIA!R$62</f>
        <v>3.4134784719875682E-4</v>
      </c>
      <c r="AO191" s="137">
        <f>Transportation_LCIA!S$61*($W191^Transportation_LCIA!S$60)+Transportation_LCIA!S$62</f>
        <v>5.1017230769306004E-6</v>
      </c>
      <c r="AP191" s="137">
        <f>Transportation_LCIA!T$61*($W191^Transportation_LCIA!T$60)+Transportation_LCIA!T$62</f>
        <v>5.1017230769306004E-6</v>
      </c>
      <c r="AQ191" s="137">
        <f>Transportation_LCIA!U$61*($W191^Transportation_LCIA!U$60)+Transportation_LCIA!U$62</f>
        <v>7.3539020448969183E-4</v>
      </c>
      <c r="AR191" s="137">
        <f>Transportation_LCIA!V$61*($W191^Transportation_LCIA!V$60)+Transportation_LCIA!V$62</f>
        <v>2.9072294614169601E-4</v>
      </c>
      <c r="AT191" s="137">
        <f>$W191*Y191+$L191*Summary_LCIA!H$32</f>
        <v>214.56582131659337</v>
      </c>
      <c r="AU191" s="137">
        <f>$W191*Z191+$L191*Summary_LCIA!Q$32</f>
        <v>2270.8593595172156</v>
      </c>
      <c r="AV191" s="137">
        <f>$W191*AA191+$L191*Summary_LCIA!R$32</f>
        <v>1.1855900063782492</v>
      </c>
      <c r="AW191" s="137">
        <f>$W191*AB191+$L191*Summary_LCIA!S$32</f>
        <v>214.46445745659338</v>
      </c>
      <c r="AX191" s="137">
        <f>$W191*AC191+$L191*Summary_LCIA!T$32</f>
        <v>52.876404119943778</v>
      </c>
      <c r="AY191" s="137">
        <f>$W191*AD191+$L191*Summary_LCIA!U$32</f>
        <v>0.6648393173374616</v>
      </c>
      <c r="AZ191" s="137">
        <f>$W191*AE191+$L191*Summary_LCIA!V$32</f>
        <v>6.6713627058746661E-3</v>
      </c>
      <c r="BA191" s="137">
        <f>$W191*AF191+$L191*Summary_LCIA!W$32</f>
        <v>10.03087998464024</v>
      </c>
      <c r="BB191" s="137">
        <f>$W191*AG191+$L191*Summary_LCIA!X$32</f>
        <v>11.357532795530172</v>
      </c>
      <c r="BC191" s="137">
        <f>$W191*AH191+$L191*Summary_LCIA!Y$32</f>
        <v>0.57946000048521584</v>
      </c>
      <c r="BD191" s="137">
        <f>$W191*AI191+$L191*Summary_LCIA!Z$32</f>
        <v>0.21247444978338051</v>
      </c>
      <c r="BE191" s="137">
        <f>$W191*AJ191+$L191*Summary_LCIA!AA$32</f>
        <v>1.436127774139027</v>
      </c>
      <c r="BF191" s="137">
        <f>$W191*AK191+$L191*Summary_LCIA!AB$32</f>
        <v>5.2746385084571613E-2</v>
      </c>
      <c r="BG191" s="137">
        <f>$W191*AL191+$L191*Summary_LCIA!AC$32</f>
        <v>2.6853037602733087E-5</v>
      </c>
      <c r="BH191" s="137">
        <f>$W191*AM191+$L191*Summary_LCIA!AD$32</f>
        <v>9.7195781062738615E-2</v>
      </c>
      <c r="BI191" s="137">
        <f>$W191*AN191+$L191*Summary_LCIA!AE$32</f>
        <v>0.28837742043192893</v>
      </c>
      <c r="BJ191" s="137">
        <f>$W191*AO191+$L191*Summary_LCIA!AF$32</f>
        <v>2.339433029602591E-2</v>
      </c>
      <c r="BK191" s="137">
        <f>$W191*AP191+$L191*Summary_LCIA!AG$32</f>
        <v>5.1796803810259112E-3</v>
      </c>
      <c r="BL191" s="137">
        <f>$W191*AQ191+$L191*Summary_LCIA!AH$32</f>
        <v>0.77709153998251379</v>
      </c>
      <c r="BM191" s="137">
        <f>$W191*AR191+$L191*Summary_LCIA!AI$32</f>
        <v>0.24966399409495302</v>
      </c>
    </row>
    <row r="192" spans="1:65" x14ac:dyDescent="0.25">
      <c r="A192" s="149">
        <v>131</v>
      </c>
      <c r="B192" s="149">
        <v>43</v>
      </c>
      <c r="C192" s="61">
        <v>42.280825999999998</v>
      </c>
      <c r="D192" s="61">
        <v>-83.743037999999999</v>
      </c>
      <c r="E192" s="61" t="s">
        <v>265</v>
      </c>
      <c r="F192" s="149">
        <v>78</v>
      </c>
      <c r="G192" s="61" t="s">
        <v>615</v>
      </c>
      <c r="H192" s="61" t="s">
        <v>616</v>
      </c>
      <c r="I192" s="61">
        <v>42.216248999999998</v>
      </c>
      <c r="J192" s="61">
        <v>-83.355363999999994</v>
      </c>
      <c r="K192" s="61">
        <v>33.220362780000002</v>
      </c>
      <c r="L192" s="61">
        <v>42.878</v>
      </c>
      <c r="M192" s="61" t="s">
        <v>617</v>
      </c>
      <c r="N192" s="149">
        <v>42</v>
      </c>
      <c r="O192" s="149">
        <v>43</v>
      </c>
      <c r="P192" s="61" t="s">
        <v>565</v>
      </c>
      <c r="Q192" s="61" t="s">
        <v>555</v>
      </c>
      <c r="R192" s="61">
        <v>40.6895314</v>
      </c>
      <c r="S192" s="61">
        <v>-74.174462399999996</v>
      </c>
      <c r="T192" s="61">
        <v>981.97799999999995</v>
      </c>
      <c r="U192" s="61" t="s">
        <v>617</v>
      </c>
      <c r="V192" s="61" t="s">
        <v>569</v>
      </c>
      <c r="W192" s="61" cm="1">
        <f t="array" ref="W192">getDistance(I192,J192,R192,S192)*SA!$B$12</f>
        <v>785.28633867682765</v>
      </c>
      <c r="Y192" s="137">
        <f>Transportation_LCIA!C$61*($W192^Transportation_LCIA!C$60)+Transportation_LCIA!C$62</f>
        <v>0.26330928953252508</v>
      </c>
      <c r="Z192" s="137">
        <f>Transportation_LCIA!D$61*($W192^Transportation_LCIA!D$60)+Transportation_LCIA!D$62</f>
        <v>2.7470263376439421</v>
      </c>
      <c r="AA192" s="137">
        <f>Transportation_LCIA!E$61*($W192^Transportation_LCIA!E$60)+Transportation_LCIA!E$62</f>
        <v>1.3559818236141058E-3</v>
      </c>
      <c r="AB192" s="137">
        <f>Transportation_LCIA!F$61*($W192^Transportation_LCIA!F$60)+Transportation_LCIA!F$62</f>
        <v>0.26330928953252508</v>
      </c>
      <c r="AC192" s="137">
        <f>Transportation_LCIA!G$61*($W192^Transportation_LCIA!G$60)+Transportation_LCIA!G$62</f>
        <v>6.4124466375910086E-2</v>
      </c>
      <c r="AD192" s="137">
        <f>Transportation_LCIA!H$61*($W192^Transportation_LCIA!H$60)+Transportation_LCIA!H$62</f>
        <v>3.23471252238349E-4</v>
      </c>
      <c r="AE192" s="137">
        <f>Transportation_LCIA!I$61*($W192^Transportation_LCIA!I$60)+Transportation_LCIA!I$62</f>
        <v>7.1006706958255214E-6</v>
      </c>
      <c r="AF192" s="137">
        <f>Transportation_LCIA!J$61*($W192^Transportation_LCIA!J$60)+Transportation_LCIA!J$62</f>
        <v>1.0525719899275952E-2</v>
      </c>
      <c r="AG192" s="137">
        <f>Transportation_LCIA!K$61*($W192^Transportation_LCIA!K$60)+Transportation_LCIA!K$62</f>
        <v>1.3797666560438151E-2</v>
      </c>
      <c r="AH192" s="137">
        <f>Transportation_LCIA!L$61*($W192^Transportation_LCIA!L$60)+Transportation_LCIA!L$62</f>
        <v>2.8284968621697246E-4</v>
      </c>
      <c r="AI192" s="137">
        <f>Transportation_LCIA!M$61*($W192^Transportation_LCIA!M$60)+Transportation_LCIA!M$62</f>
        <v>2.6937179467913046E-4</v>
      </c>
      <c r="AJ192" s="137">
        <f>Transportation_LCIA!N$61*($W192^Transportation_LCIA!N$60)+Transportation_LCIA!N$62</f>
        <v>1.1467213700117806E-3</v>
      </c>
      <c r="AK192" s="137">
        <f>Transportation_LCIA!O$61*($W192^Transportation_LCIA!O$60)+Transportation_LCIA!O$62</f>
        <v>6.7805651672599041E-5</v>
      </c>
      <c r="AL192" s="137">
        <f>Transportation_LCIA!P$61*($W192^Transportation_LCIA!P$60)+Transportation_LCIA!P$62</f>
        <v>3.2767641003522771E-8</v>
      </c>
      <c r="AM192" s="137">
        <f>Transportation_LCIA!Q$61*($W192^Transportation_LCIA!Q$60)+Transportation_LCIA!Q$62</f>
        <v>1.1176738524526752E-4</v>
      </c>
      <c r="AN192" s="137">
        <f>Transportation_LCIA!R$61*($W192^Transportation_LCIA!R$60)+Transportation_LCIA!R$62</f>
        <v>3.4134784719875682E-4</v>
      </c>
      <c r="AO192" s="137">
        <f>Transportation_LCIA!S$61*($W192^Transportation_LCIA!S$60)+Transportation_LCIA!S$62</f>
        <v>5.1017230769306004E-6</v>
      </c>
      <c r="AP192" s="137">
        <f>Transportation_LCIA!T$61*($W192^Transportation_LCIA!T$60)+Transportation_LCIA!T$62</f>
        <v>5.1017230769306004E-6</v>
      </c>
      <c r="AQ192" s="137">
        <f>Transportation_LCIA!U$61*($W192^Transportation_LCIA!U$60)+Transportation_LCIA!U$62</f>
        <v>7.3539020448969183E-4</v>
      </c>
      <c r="AR192" s="137">
        <f>Transportation_LCIA!V$61*($W192^Transportation_LCIA!V$60)+Transportation_LCIA!V$62</f>
        <v>2.9072294614169601E-4</v>
      </c>
      <c r="AT192" s="137">
        <f>$W192*Y192+$L192*Summary_LCIA!H$32</f>
        <v>221.34313231659337</v>
      </c>
      <c r="AU192" s="137">
        <f>$W192*Z192+$L192*Summary_LCIA!Q$32</f>
        <v>2369.7077854034005</v>
      </c>
      <c r="AV192" s="137">
        <f>$W192*AA192+$L192*Summary_LCIA!R$32</f>
        <v>1.2906123983782491</v>
      </c>
      <c r="AW192" s="137">
        <f>$W192*AB192+$L192*Summary_LCIA!S$32</f>
        <v>221.15361155659338</v>
      </c>
      <c r="AX192" s="137">
        <f>$W192*AC192+$L192*Summary_LCIA!T$32</f>
        <v>55.068359619943777</v>
      </c>
      <c r="AY192" s="137">
        <f>$W192*AD192+$L192*Summary_LCIA!U$32</f>
        <v>1.0221340473374616</v>
      </c>
      <c r="AZ192" s="137">
        <f>$W192*AE192+$L192*Summary_LCIA!V$32</f>
        <v>7.6239558508746658E-3</v>
      </c>
      <c r="BA192" s="137">
        <f>$W192*AF192+$L192*Summary_LCIA!W$32</f>
        <v>11.566066579640239</v>
      </c>
      <c r="BB192" s="137">
        <f>$W192*AG192+$L192*Summary_LCIA!X$32</f>
        <v>11.811879895530174</v>
      </c>
      <c r="BC192" s="137">
        <f>$W192*AH192+$L192*Summary_LCIA!Y$32</f>
        <v>0.89024299048521582</v>
      </c>
      <c r="BD192" s="137">
        <f>$W192*AI192+$L192*Summary_LCIA!Z$32</f>
        <v>0.21329237428838052</v>
      </c>
      <c r="BE192" s="137">
        <f>$W192*AJ192+$L192*Summary_LCIA!AA$32</f>
        <v>1.9019631941390269</v>
      </c>
      <c r="BF192" s="137">
        <f>$W192*AK192+$L192*Summary_LCIA!AB$32</f>
        <v>5.2311125349571615E-2</v>
      </c>
      <c r="BG192" s="137">
        <f>$W192*AL192+$L192*Summary_LCIA!AC$32</f>
        <v>2.7828028982733089E-5</v>
      </c>
      <c r="BH192" s="137">
        <f>$W192*AM192+$L192*Summary_LCIA!AD$32</f>
        <v>0.10539397386273862</v>
      </c>
      <c r="BI192" s="137">
        <f>$W192*AN192+$L192*Summary_LCIA!AE$32</f>
        <v>0.30605128328192893</v>
      </c>
      <c r="BJ192" s="137">
        <f>$W192*AO192+$L192*Summary_LCIA!AF$32</f>
        <v>4.0256232196025907E-2</v>
      </c>
      <c r="BK192" s="137">
        <f>$W192*AP192+$L192*Summary_LCIA!AG$32</f>
        <v>6.2001663060259112E-3</v>
      </c>
      <c r="BL192" s="137">
        <f>$W192*AQ192+$L192*Summary_LCIA!AH$32</f>
        <v>0.9506848419825138</v>
      </c>
      <c r="BM192" s="137">
        <f>$W192*AR192+$L192*Summary_LCIA!AI$32</f>
        <v>0.268243758844953</v>
      </c>
    </row>
    <row r="193" spans="1:65" x14ac:dyDescent="0.25">
      <c r="A193" s="149">
        <v>98</v>
      </c>
      <c r="B193" s="149">
        <v>43</v>
      </c>
      <c r="C193" s="61">
        <v>42.276254000000002</v>
      </c>
      <c r="D193" s="61">
        <v>-83.741243999999995</v>
      </c>
      <c r="E193" s="61" t="s">
        <v>265</v>
      </c>
      <c r="F193" s="149">
        <v>78</v>
      </c>
      <c r="G193" s="61" t="s">
        <v>615</v>
      </c>
      <c r="H193" s="61" t="s">
        <v>616</v>
      </c>
      <c r="I193" s="61">
        <v>42.216248999999998</v>
      </c>
      <c r="J193" s="61">
        <v>-83.355363999999994</v>
      </c>
      <c r="K193" s="61">
        <v>32.887807850000002</v>
      </c>
      <c r="L193" s="61">
        <v>42.174999999999997</v>
      </c>
      <c r="M193" s="61" t="s">
        <v>617</v>
      </c>
      <c r="N193" s="149">
        <v>42</v>
      </c>
      <c r="O193" s="149">
        <v>43</v>
      </c>
      <c r="P193" s="61" t="s">
        <v>565</v>
      </c>
      <c r="Q193" s="61" t="s">
        <v>555</v>
      </c>
      <c r="R193" s="61">
        <v>40.6895314</v>
      </c>
      <c r="S193" s="61">
        <v>-74.174462399999996</v>
      </c>
      <c r="T193" s="61">
        <v>982.28300000000002</v>
      </c>
      <c r="U193" s="61" t="s">
        <v>617</v>
      </c>
      <c r="V193" s="61" t="s">
        <v>569</v>
      </c>
      <c r="W193" s="61" cm="1">
        <f t="array" ref="W193">getDistance(I193,J193,R193,S193)*SA!$B$12</f>
        <v>785.28633867682765</v>
      </c>
      <c r="Y193" s="137">
        <f>Transportation_LCIA!C$61*($W193^Transportation_LCIA!C$60)+Transportation_LCIA!C$62</f>
        <v>0.26330928953252508</v>
      </c>
      <c r="Z193" s="137">
        <f>Transportation_LCIA!D$61*($W193^Transportation_LCIA!D$60)+Transportation_LCIA!D$62</f>
        <v>2.7470263376439421</v>
      </c>
      <c r="AA193" s="137">
        <f>Transportation_LCIA!E$61*($W193^Transportation_LCIA!E$60)+Transportation_LCIA!E$62</f>
        <v>1.3559818236141058E-3</v>
      </c>
      <c r="AB193" s="137">
        <f>Transportation_LCIA!F$61*($W193^Transportation_LCIA!F$60)+Transportation_LCIA!F$62</f>
        <v>0.26330928953252508</v>
      </c>
      <c r="AC193" s="137">
        <f>Transportation_LCIA!G$61*($W193^Transportation_LCIA!G$60)+Transportation_LCIA!G$62</f>
        <v>6.4124466375910086E-2</v>
      </c>
      <c r="AD193" s="137">
        <f>Transportation_LCIA!H$61*($W193^Transportation_LCIA!H$60)+Transportation_LCIA!H$62</f>
        <v>3.23471252238349E-4</v>
      </c>
      <c r="AE193" s="137">
        <f>Transportation_LCIA!I$61*($W193^Transportation_LCIA!I$60)+Transportation_LCIA!I$62</f>
        <v>7.1006706958255214E-6</v>
      </c>
      <c r="AF193" s="137">
        <f>Transportation_LCIA!J$61*($W193^Transportation_LCIA!J$60)+Transportation_LCIA!J$62</f>
        <v>1.0525719899275952E-2</v>
      </c>
      <c r="AG193" s="137">
        <f>Transportation_LCIA!K$61*($W193^Transportation_LCIA!K$60)+Transportation_LCIA!K$62</f>
        <v>1.3797666560438151E-2</v>
      </c>
      <c r="AH193" s="137">
        <f>Transportation_LCIA!L$61*($W193^Transportation_LCIA!L$60)+Transportation_LCIA!L$62</f>
        <v>2.8284968621697246E-4</v>
      </c>
      <c r="AI193" s="137">
        <f>Transportation_LCIA!M$61*($W193^Transportation_LCIA!M$60)+Transportation_LCIA!M$62</f>
        <v>2.6937179467913046E-4</v>
      </c>
      <c r="AJ193" s="137">
        <f>Transportation_LCIA!N$61*($W193^Transportation_LCIA!N$60)+Transportation_LCIA!N$62</f>
        <v>1.1467213700117806E-3</v>
      </c>
      <c r="AK193" s="137">
        <f>Transportation_LCIA!O$61*($W193^Transportation_LCIA!O$60)+Transportation_LCIA!O$62</f>
        <v>6.7805651672599041E-5</v>
      </c>
      <c r="AL193" s="137">
        <f>Transportation_LCIA!P$61*($W193^Transportation_LCIA!P$60)+Transportation_LCIA!P$62</f>
        <v>3.2767641003522771E-8</v>
      </c>
      <c r="AM193" s="137">
        <f>Transportation_LCIA!Q$61*($W193^Transportation_LCIA!Q$60)+Transportation_LCIA!Q$62</f>
        <v>1.1176738524526752E-4</v>
      </c>
      <c r="AN193" s="137">
        <f>Transportation_LCIA!R$61*($W193^Transportation_LCIA!R$60)+Transportation_LCIA!R$62</f>
        <v>3.4134784719875682E-4</v>
      </c>
      <c r="AO193" s="137">
        <f>Transportation_LCIA!S$61*($W193^Transportation_LCIA!S$60)+Transportation_LCIA!S$62</f>
        <v>5.1017230769306004E-6</v>
      </c>
      <c r="AP193" s="137">
        <f>Transportation_LCIA!T$61*($W193^Transportation_LCIA!T$60)+Transportation_LCIA!T$62</f>
        <v>5.1017230769306004E-6</v>
      </c>
      <c r="AQ193" s="137">
        <f>Transportation_LCIA!U$61*($W193^Transportation_LCIA!U$60)+Transportation_LCIA!U$62</f>
        <v>7.3539020448969183E-4</v>
      </c>
      <c r="AR193" s="137">
        <f>Transportation_LCIA!V$61*($W193^Transportation_LCIA!V$60)+Transportation_LCIA!V$62</f>
        <v>2.9072294614169601E-4</v>
      </c>
      <c r="AT193" s="137">
        <f>$W193*Y193+$L193*Summary_LCIA!H$32</f>
        <v>221.10425291659337</v>
      </c>
      <c r="AU193" s="137">
        <f>$W193*Z193+$L193*Summary_LCIA!Q$32</f>
        <v>2366.2236819490013</v>
      </c>
      <c r="AV193" s="137">
        <f>$W193*AA193+$L193*Summary_LCIA!R$32</f>
        <v>1.2869106815782492</v>
      </c>
      <c r="AW193" s="137">
        <f>$W193*AB193+$L193*Summary_LCIA!S$32</f>
        <v>220.91783941659338</v>
      </c>
      <c r="AX193" s="137">
        <f>$W193*AC193+$L193*Summary_LCIA!T$32</f>
        <v>54.991099919943778</v>
      </c>
      <c r="AY193" s="137">
        <f>$W193*AD193+$L193*Summary_LCIA!U$32</f>
        <v>1.0095405053374615</v>
      </c>
      <c r="AZ193" s="137">
        <f>$W193*AE193+$L193*Summary_LCIA!V$32</f>
        <v>7.5903798678746658E-3</v>
      </c>
      <c r="BA193" s="137">
        <f>$W193*AF193+$L193*Summary_LCIA!W$32</f>
        <v>11.511955966640238</v>
      </c>
      <c r="BB193" s="137">
        <f>$W193*AG193+$L193*Summary_LCIA!X$32</f>
        <v>11.795865555530174</v>
      </c>
      <c r="BC193" s="137">
        <f>$W193*AH193+$L193*Summary_LCIA!Y$32</f>
        <v>0.87928884448521583</v>
      </c>
      <c r="BD193" s="137">
        <f>$W193*AI193+$L193*Summary_LCIA!Z$32</f>
        <v>0.2132635449613805</v>
      </c>
      <c r="BE193" s="137">
        <f>$W193*AJ193+$L193*Summary_LCIA!AA$32</f>
        <v>1.8855439261390268</v>
      </c>
      <c r="BF193" s="137">
        <f>$W193*AK193+$L193*Summary_LCIA!AB$32</f>
        <v>5.2326466918571617E-2</v>
      </c>
      <c r="BG193" s="137">
        <f>$W193*AL193+$L193*Summary_LCIA!AC$32</f>
        <v>2.7793663530733088E-5</v>
      </c>
      <c r="BH193" s="137">
        <f>$W193*AM193+$L193*Summary_LCIA!AD$32</f>
        <v>0.10510501274273862</v>
      </c>
      <c r="BI193" s="137">
        <f>$W193*AN193+$L193*Summary_LCIA!AE$32</f>
        <v>0.30542833389192892</v>
      </c>
      <c r="BJ193" s="137">
        <f>$W193*AO193+$L193*Summary_LCIA!AF$32</f>
        <v>3.9661901936025909E-2</v>
      </c>
      <c r="BK193" s="137">
        <f>$W193*AP193+$L193*Summary_LCIA!AG$32</f>
        <v>6.1641973110259105E-3</v>
      </c>
      <c r="BL193" s="137">
        <f>$W193*AQ193+$L193*Summary_LCIA!AH$32</f>
        <v>0.94456621118251372</v>
      </c>
      <c r="BM193" s="137">
        <f>$W193*AR193+$L193*Summary_LCIA!AI$32</f>
        <v>0.267588879194953</v>
      </c>
    </row>
    <row r="194" spans="1:65" x14ac:dyDescent="0.25">
      <c r="A194" s="149">
        <v>187</v>
      </c>
      <c r="B194" s="149">
        <v>43</v>
      </c>
      <c r="C194" s="61">
        <v>35.227086999999997</v>
      </c>
      <c r="D194" s="61">
        <v>-80.843126999999996</v>
      </c>
      <c r="E194" s="61" t="s">
        <v>265</v>
      </c>
      <c r="F194" s="149">
        <v>34</v>
      </c>
      <c r="G194" s="61" t="s">
        <v>565</v>
      </c>
      <c r="H194" s="61" t="s">
        <v>633</v>
      </c>
      <c r="I194" s="61">
        <v>35.214402999999997</v>
      </c>
      <c r="J194" s="61">
        <v>-80.947315000000003</v>
      </c>
      <c r="K194" s="61">
        <v>9.8802151649999992</v>
      </c>
      <c r="L194" s="61">
        <v>12.212999999999999</v>
      </c>
      <c r="M194" s="61" t="s">
        <v>617</v>
      </c>
      <c r="N194" s="149">
        <v>42</v>
      </c>
      <c r="O194" s="149">
        <v>43</v>
      </c>
      <c r="P194" s="61" t="s">
        <v>565</v>
      </c>
      <c r="Q194" s="61" t="s">
        <v>555</v>
      </c>
      <c r="R194" s="61">
        <v>40.6895314</v>
      </c>
      <c r="S194" s="61">
        <v>-74.174462399999996</v>
      </c>
      <c r="T194" s="61">
        <v>985.30100000000004</v>
      </c>
      <c r="U194" s="61" t="s">
        <v>617</v>
      </c>
      <c r="V194" s="61" t="s">
        <v>569</v>
      </c>
      <c r="W194" s="61" cm="1">
        <f t="array" ref="W194">getDistance(I194,J194,R194,S194)*SA!$B$12</f>
        <v>851.05121377634293</v>
      </c>
      <c r="Y194" s="137">
        <f>Transportation_LCIA!C$61*($W194^Transportation_LCIA!C$60)+Transportation_LCIA!C$62</f>
        <v>0.25343049240533111</v>
      </c>
      <c r="Z194" s="137">
        <f>Transportation_LCIA!D$61*($W194^Transportation_LCIA!D$60)+Transportation_LCIA!D$62</f>
        <v>2.6307480783429384</v>
      </c>
      <c r="AA194" s="137">
        <f>Transportation_LCIA!E$61*($W194^Transportation_LCIA!E$60)+Transportation_LCIA!E$62</f>
        <v>1.2793461318450019E-3</v>
      </c>
      <c r="AB194" s="137">
        <f>Transportation_LCIA!F$61*($W194^Transportation_LCIA!F$60)+Transportation_LCIA!F$62</f>
        <v>0.25343049240533111</v>
      </c>
      <c r="AC194" s="137">
        <f>Transportation_LCIA!G$61*($W194^Transportation_LCIA!G$60)+Transportation_LCIA!G$62</f>
        <v>6.1435625769608669E-2</v>
      </c>
      <c r="AD194" s="137">
        <f>Transportation_LCIA!H$61*($W194^Transportation_LCIA!H$60)+Transportation_LCIA!H$62</f>
        <v>3.065402716805851E-4</v>
      </c>
      <c r="AE194" s="137">
        <f>Transportation_LCIA!I$61*($W194^Transportation_LCIA!I$60)+Transportation_LCIA!I$62</f>
        <v>6.6711792632361422E-6</v>
      </c>
      <c r="AF194" s="137">
        <f>Transportation_LCIA!J$61*($W194^Transportation_LCIA!J$60)+Transportation_LCIA!J$62</f>
        <v>9.8828828449766624E-3</v>
      </c>
      <c r="AG194" s="137">
        <f>Transportation_LCIA!K$61*($W194^Transportation_LCIA!K$60)+Transportation_LCIA!K$62</f>
        <v>1.3167278527053671E-2</v>
      </c>
      <c r="AH194" s="137">
        <f>Transportation_LCIA!L$61*($W194^Transportation_LCIA!L$60)+Transportation_LCIA!L$62</f>
        <v>2.6725039435791071E-4</v>
      </c>
      <c r="AI194" s="137">
        <f>Transportation_LCIA!M$61*($W194^Transportation_LCIA!M$60)+Transportation_LCIA!M$62</f>
        <v>2.6002531765647143E-4</v>
      </c>
      <c r="AJ194" s="137">
        <f>Transportation_LCIA!N$61*($W194^Transportation_LCIA!N$60)+Transportation_LCIA!N$62</f>
        <v>1.0898312653906447E-3</v>
      </c>
      <c r="AK194" s="137">
        <f>Transportation_LCIA!O$61*($W194^Transportation_LCIA!O$60)+Transportation_LCIA!O$62</f>
        <v>6.4947739462206474E-5</v>
      </c>
      <c r="AL194" s="137">
        <f>Transportation_LCIA!P$61*($W194^Transportation_LCIA!P$60)+Transportation_LCIA!P$62</f>
        <v>3.139446307580722E-8</v>
      </c>
      <c r="AM194" s="137">
        <f>Transportation_LCIA!Q$61*($W194^Transportation_LCIA!Q$60)+Transportation_LCIA!Q$62</f>
        <v>1.0566088004157003E-4</v>
      </c>
      <c r="AN194" s="137">
        <f>Transportation_LCIA!R$61*($W194^Transportation_LCIA!R$60)+Transportation_LCIA!R$62</f>
        <v>3.2074864831290064E-4</v>
      </c>
      <c r="AO194" s="137">
        <f>Transportation_LCIA!S$61*($W194^Transportation_LCIA!S$60)+Transportation_LCIA!S$62</f>
        <v>4.8094770187755473E-6</v>
      </c>
      <c r="AP194" s="137">
        <f>Transportation_LCIA!T$61*($W194^Transportation_LCIA!T$60)+Transportation_LCIA!T$62</f>
        <v>4.8094770187755473E-6</v>
      </c>
      <c r="AQ194" s="137">
        <f>Transportation_LCIA!U$61*($W194^Transportation_LCIA!U$60)+Transportation_LCIA!U$62</f>
        <v>6.9015010201870343E-4</v>
      </c>
      <c r="AR194" s="137">
        <f>Transportation_LCIA!V$61*($W194^Transportation_LCIA!V$60)+Transportation_LCIA!V$62</f>
        <v>2.7481283900177808E-4</v>
      </c>
      <c r="AT194" s="137">
        <f>$W194*Y194+$L194*Summary_LCIA!H$32</f>
        <v>219.83230556949331</v>
      </c>
      <c r="AU194" s="137">
        <f>$W194*Z194+$L194*Summary_LCIA!Q$32</f>
        <v>2299.4295891517686</v>
      </c>
      <c r="AV194" s="137">
        <f>$W194*AA194+$L194*Summary_LCIA!R$32</f>
        <v>1.1530978511467582</v>
      </c>
      <c r="AW194" s="137">
        <f>$W194*AB194+$L194*Summary_LCIA!S$32</f>
        <v>219.7783241094933</v>
      </c>
      <c r="AX194" s="137">
        <f>$W194*AC194+$L194*Summary_LCIA!T$32</f>
        <v>53.627072580334634</v>
      </c>
      <c r="AY194" s="137">
        <f>$W194*AD194+$L194*Summary_LCIA!U$32</f>
        <v>0.47966515228509182</v>
      </c>
      <c r="AZ194" s="137">
        <f>$W194*AE194+$L194*Summary_LCIA!V$32</f>
        <v>6.260820302296688E-3</v>
      </c>
      <c r="BA194" s="137">
        <f>$W194*AF194+$L194*Summary_LCIA!W$32</f>
        <v>9.3508862638267853</v>
      </c>
      <c r="BB194" s="137">
        <f>$W194*AG194+$L194*Summary_LCIA!X$32</f>
        <v>11.484240512580204</v>
      </c>
      <c r="BC194" s="137">
        <f>$W194*AH194+$L194*Summary_LCIA!Y$32</f>
        <v>0.4177467385005062</v>
      </c>
      <c r="BD194" s="137">
        <f>$W194*AI194+$L194*Summary_LCIA!Z$32</f>
        <v>0.22179570512111915</v>
      </c>
      <c r="BE194" s="137">
        <f>$W194*AJ194+$L194*Summary_LCIA!AA$32</f>
        <v>1.2127490492221158</v>
      </c>
      <c r="BF194" s="137">
        <f>$W194*AK194+$L194*Summary_LCIA!AB$32</f>
        <v>5.5007328202340507E-2</v>
      </c>
      <c r="BG194" s="137">
        <f>$W194*AL194+$L194*Summary_LCIA!AC$32</f>
        <v>2.7315316198522317E-5</v>
      </c>
      <c r="BH194" s="137">
        <f>$W194*AM194+$L194*Summary_LCIA!AD$32</f>
        <v>9.4942851728054736E-2</v>
      </c>
      <c r="BI194" s="137">
        <f>$W194*AN194+$L194*Summary_LCIA!AE$32</f>
        <v>0.28379583215381543</v>
      </c>
      <c r="BJ194" s="137">
        <f>$W194*AO194+$L194*Summary_LCIA!AF$32</f>
        <v>1.4418225714458357E-2</v>
      </c>
      <c r="BK194" s="137">
        <f>$W194*AP194+$L194*Summary_LCIA!AG$32</f>
        <v>4.7179893994583576E-3</v>
      </c>
      <c r="BL194" s="137">
        <f>$W194*AQ194+$L194*Summary_LCIA!AH$32</f>
        <v>0.69365014881088438</v>
      </c>
      <c r="BM194" s="137">
        <f>$W194*AR194+$L194*Summary_LCIA!AI$32</f>
        <v>0.24525682034378596</v>
      </c>
    </row>
    <row r="195" spans="1:65" x14ac:dyDescent="0.25">
      <c r="A195" s="149">
        <v>53</v>
      </c>
      <c r="B195" s="149">
        <v>43</v>
      </c>
      <c r="C195" s="61">
        <v>35.227164999999999</v>
      </c>
      <c r="D195" s="61">
        <v>-80.846342000000007</v>
      </c>
      <c r="E195" s="61" t="s">
        <v>265</v>
      </c>
      <c r="F195" s="149">
        <v>34</v>
      </c>
      <c r="G195" s="61" t="s">
        <v>565</v>
      </c>
      <c r="H195" s="61" t="s">
        <v>633</v>
      </c>
      <c r="I195" s="61">
        <v>35.214402999999997</v>
      </c>
      <c r="J195" s="61">
        <v>-80.947315000000003</v>
      </c>
      <c r="K195" s="61">
        <v>9.5962039079999997</v>
      </c>
      <c r="L195" s="61">
        <v>11.887</v>
      </c>
      <c r="M195" s="61" t="s">
        <v>617</v>
      </c>
      <c r="N195" s="149">
        <v>42</v>
      </c>
      <c r="O195" s="149">
        <v>43</v>
      </c>
      <c r="P195" s="61" t="s">
        <v>565</v>
      </c>
      <c r="Q195" s="61" t="s">
        <v>555</v>
      </c>
      <c r="R195" s="61">
        <v>40.6895314</v>
      </c>
      <c r="S195" s="61">
        <v>-74.174462399999996</v>
      </c>
      <c r="T195" s="61">
        <v>986.80700000000002</v>
      </c>
      <c r="U195" s="61" t="s">
        <v>617</v>
      </c>
      <c r="V195" s="61" t="s">
        <v>569</v>
      </c>
      <c r="W195" s="61" cm="1">
        <f t="array" ref="W195">getDistance(I195,J195,R195,S195)*SA!$B$12</f>
        <v>851.05121377634293</v>
      </c>
      <c r="Y195" s="137">
        <f>Transportation_LCIA!C$61*($W195^Transportation_LCIA!C$60)+Transportation_LCIA!C$62</f>
        <v>0.25343049240533111</v>
      </c>
      <c r="Z195" s="137">
        <f>Transportation_LCIA!D$61*($W195^Transportation_LCIA!D$60)+Transportation_LCIA!D$62</f>
        <v>2.6307480783429384</v>
      </c>
      <c r="AA195" s="137">
        <f>Transportation_LCIA!E$61*($W195^Transportation_LCIA!E$60)+Transportation_LCIA!E$62</f>
        <v>1.2793461318450019E-3</v>
      </c>
      <c r="AB195" s="137">
        <f>Transportation_LCIA!F$61*($W195^Transportation_LCIA!F$60)+Transportation_LCIA!F$62</f>
        <v>0.25343049240533111</v>
      </c>
      <c r="AC195" s="137">
        <f>Transportation_LCIA!G$61*($W195^Transportation_LCIA!G$60)+Transportation_LCIA!G$62</f>
        <v>6.1435625769608669E-2</v>
      </c>
      <c r="AD195" s="137">
        <f>Transportation_LCIA!H$61*($W195^Transportation_LCIA!H$60)+Transportation_LCIA!H$62</f>
        <v>3.065402716805851E-4</v>
      </c>
      <c r="AE195" s="137">
        <f>Transportation_LCIA!I$61*($W195^Transportation_LCIA!I$60)+Transportation_LCIA!I$62</f>
        <v>6.6711792632361422E-6</v>
      </c>
      <c r="AF195" s="137">
        <f>Transportation_LCIA!J$61*($W195^Transportation_LCIA!J$60)+Transportation_LCIA!J$62</f>
        <v>9.8828828449766624E-3</v>
      </c>
      <c r="AG195" s="137">
        <f>Transportation_LCIA!K$61*($W195^Transportation_LCIA!K$60)+Transportation_LCIA!K$62</f>
        <v>1.3167278527053671E-2</v>
      </c>
      <c r="AH195" s="137">
        <f>Transportation_LCIA!L$61*($W195^Transportation_LCIA!L$60)+Transportation_LCIA!L$62</f>
        <v>2.6725039435791071E-4</v>
      </c>
      <c r="AI195" s="137">
        <f>Transportation_LCIA!M$61*($W195^Transportation_LCIA!M$60)+Transportation_LCIA!M$62</f>
        <v>2.6002531765647143E-4</v>
      </c>
      <c r="AJ195" s="137">
        <f>Transportation_LCIA!N$61*($W195^Transportation_LCIA!N$60)+Transportation_LCIA!N$62</f>
        <v>1.0898312653906447E-3</v>
      </c>
      <c r="AK195" s="137">
        <f>Transportation_LCIA!O$61*($W195^Transportation_LCIA!O$60)+Transportation_LCIA!O$62</f>
        <v>6.4947739462206474E-5</v>
      </c>
      <c r="AL195" s="137">
        <f>Transportation_LCIA!P$61*($W195^Transportation_LCIA!P$60)+Transportation_LCIA!P$62</f>
        <v>3.139446307580722E-8</v>
      </c>
      <c r="AM195" s="137">
        <f>Transportation_LCIA!Q$61*($W195^Transportation_LCIA!Q$60)+Transportation_LCIA!Q$62</f>
        <v>1.0566088004157003E-4</v>
      </c>
      <c r="AN195" s="137">
        <f>Transportation_LCIA!R$61*($W195^Transportation_LCIA!R$60)+Transportation_LCIA!R$62</f>
        <v>3.2074864831290064E-4</v>
      </c>
      <c r="AO195" s="137">
        <f>Transportation_LCIA!S$61*($W195^Transportation_LCIA!S$60)+Transportation_LCIA!S$62</f>
        <v>4.8094770187755473E-6</v>
      </c>
      <c r="AP195" s="137">
        <f>Transportation_LCIA!T$61*($W195^Transportation_LCIA!T$60)+Transportation_LCIA!T$62</f>
        <v>4.8094770187755473E-6</v>
      </c>
      <c r="AQ195" s="137">
        <f>Transportation_LCIA!U$61*($W195^Transportation_LCIA!U$60)+Transportation_LCIA!U$62</f>
        <v>6.9015010201870343E-4</v>
      </c>
      <c r="AR195" s="137">
        <f>Transportation_LCIA!V$61*($W195^Transportation_LCIA!V$60)+Transportation_LCIA!V$62</f>
        <v>2.7481283900177808E-4</v>
      </c>
      <c r="AT195" s="137">
        <f>$W195*Y195+$L195*Summary_LCIA!H$32</f>
        <v>219.72153076949331</v>
      </c>
      <c r="AU195" s="137">
        <f>$W195*Z195+$L195*Summary_LCIA!Q$32</f>
        <v>2297.8139167106106</v>
      </c>
      <c r="AV195" s="137">
        <f>$W195*AA195+$L195*Summary_LCIA!R$32</f>
        <v>1.1513812655467581</v>
      </c>
      <c r="AW195" s="137">
        <f>$W195*AB195+$L195*Summary_LCIA!S$32</f>
        <v>219.66899022949332</v>
      </c>
      <c r="AX195" s="137">
        <f>$W195*AC195+$L195*Summary_LCIA!T$32</f>
        <v>53.591245180334631</v>
      </c>
      <c r="AY195" s="137">
        <f>$W195*AD195+$L195*Summary_LCIA!U$32</f>
        <v>0.47382518828509185</v>
      </c>
      <c r="AZ195" s="137">
        <f>$W195*AE195+$L195*Summary_LCIA!V$32</f>
        <v>6.245250216296688E-3</v>
      </c>
      <c r="BA195" s="137">
        <f>$W195*AF195+$L195*Summary_LCIA!W$32</f>
        <v>9.3257937178267856</v>
      </c>
      <c r="BB195" s="137">
        <f>$W195*AG195+$L195*Summary_LCIA!X$32</f>
        <v>11.476814232580203</v>
      </c>
      <c r="BC195" s="137">
        <f>$W195*AH195+$L195*Summary_LCIA!Y$32</f>
        <v>0.41266700650050625</v>
      </c>
      <c r="BD195" s="137">
        <f>$W195*AI195+$L195*Summary_LCIA!Z$32</f>
        <v>0.22178233618711915</v>
      </c>
      <c r="BE195" s="137">
        <f>$W195*AJ195+$L195*Summary_LCIA!AA$32</f>
        <v>1.2051349932221158</v>
      </c>
      <c r="BF195" s="137">
        <f>$W195*AK195+$L195*Summary_LCIA!AB$32</f>
        <v>5.5014442500340509E-2</v>
      </c>
      <c r="BG195" s="137">
        <f>$W195*AL195+$L195*Summary_LCIA!AC$32</f>
        <v>2.7299380014522316E-5</v>
      </c>
      <c r="BH195" s="137">
        <f>$W195*AM195+$L195*Summary_LCIA!AD$32</f>
        <v>9.4808852688054737E-2</v>
      </c>
      <c r="BI195" s="137">
        <f>$W195*AN195+$L195*Summary_LCIA!AE$32</f>
        <v>0.28350695377381546</v>
      </c>
      <c r="BJ195" s="137">
        <f>$W195*AO195+$L195*Summary_LCIA!AF$32</f>
        <v>1.4142618794458358E-2</v>
      </c>
      <c r="BK195" s="137">
        <f>$W195*AP195+$L195*Summary_LCIA!AG$32</f>
        <v>4.7013096094583569E-3</v>
      </c>
      <c r="BL195" s="137">
        <f>$W195*AQ195+$L195*Summary_LCIA!AH$32</f>
        <v>0.69081277521088447</v>
      </c>
      <c r="BM195" s="137">
        <f>$W195*AR195+$L195*Summary_LCIA!AI$32</f>
        <v>0.24495313504378596</v>
      </c>
    </row>
    <row r="196" spans="1:65" x14ac:dyDescent="0.25">
      <c r="A196" s="149">
        <v>236</v>
      </c>
      <c r="B196" s="149">
        <v>43</v>
      </c>
      <c r="C196" s="61">
        <v>36.31344</v>
      </c>
      <c r="D196" s="61">
        <v>-82.353472999999994</v>
      </c>
      <c r="E196" s="61" t="s">
        <v>265</v>
      </c>
      <c r="F196" s="149">
        <v>34</v>
      </c>
      <c r="G196" s="61" t="s">
        <v>565</v>
      </c>
      <c r="H196" s="61" t="s">
        <v>633</v>
      </c>
      <c r="I196" s="61">
        <v>35.214402999999997</v>
      </c>
      <c r="J196" s="61">
        <v>-80.947315000000003</v>
      </c>
      <c r="K196" s="61">
        <v>212.4742573</v>
      </c>
      <c r="L196" s="61">
        <v>236.197</v>
      </c>
      <c r="M196" s="61" t="s">
        <v>617</v>
      </c>
      <c r="N196" s="149">
        <v>42</v>
      </c>
      <c r="O196" s="149">
        <v>43</v>
      </c>
      <c r="P196" s="61" t="s">
        <v>565</v>
      </c>
      <c r="Q196" s="61" t="s">
        <v>555</v>
      </c>
      <c r="R196" s="61">
        <v>40.6895314</v>
      </c>
      <c r="S196" s="61">
        <v>-74.174462399999996</v>
      </c>
      <c r="T196" s="61">
        <v>999.64099999999996</v>
      </c>
      <c r="U196" s="61" t="s">
        <v>617</v>
      </c>
      <c r="V196" s="61" t="s">
        <v>569</v>
      </c>
      <c r="W196" s="61" cm="1">
        <f t="array" ref="W196">getDistance(I196,J196,R196,S196)*SA!$B$12</f>
        <v>851.05121377634293</v>
      </c>
      <c r="Y196" s="137">
        <f>Transportation_LCIA!C$61*($W196^Transportation_LCIA!C$60)+Transportation_LCIA!C$62</f>
        <v>0.25343049240533111</v>
      </c>
      <c r="Z196" s="137">
        <f>Transportation_LCIA!D$61*($W196^Transportation_LCIA!D$60)+Transportation_LCIA!D$62</f>
        <v>2.6307480783429384</v>
      </c>
      <c r="AA196" s="137">
        <f>Transportation_LCIA!E$61*($W196^Transportation_LCIA!E$60)+Transportation_LCIA!E$62</f>
        <v>1.2793461318450019E-3</v>
      </c>
      <c r="AB196" s="137">
        <f>Transportation_LCIA!F$61*($W196^Transportation_LCIA!F$60)+Transportation_LCIA!F$62</f>
        <v>0.25343049240533111</v>
      </c>
      <c r="AC196" s="137">
        <f>Transportation_LCIA!G$61*($W196^Transportation_LCIA!G$60)+Transportation_LCIA!G$62</f>
        <v>6.1435625769608669E-2</v>
      </c>
      <c r="AD196" s="137">
        <f>Transportation_LCIA!H$61*($W196^Transportation_LCIA!H$60)+Transportation_LCIA!H$62</f>
        <v>3.065402716805851E-4</v>
      </c>
      <c r="AE196" s="137">
        <f>Transportation_LCIA!I$61*($W196^Transportation_LCIA!I$60)+Transportation_LCIA!I$62</f>
        <v>6.6711792632361422E-6</v>
      </c>
      <c r="AF196" s="137">
        <f>Transportation_LCIA!J$61*($W196^Transportation_LCIA!J$60)+Transportation_LCIA!J$62</f>
        <v>9.8828828449766624E-3</v>
      </c>
      <c r="AG196" s="137">
        <f>Transportation_LCIA!K$61*($W196^Transportation_LCIA!K$60)+Transportation_LCIA!K$62</f>
        <v>1.3167278527053671E-2</v>
      </c>
      <c r="AH196" s="137">
        <f>Transportation_LCIA!L$61*($W196^Transportation_LCIA!L$60)+Transportation_LCIA!L$62</f>
        <v>2.6725039435791071E-4</v>
      </c>
      <c r="AI196" s="137">
        <f>Transportation_LCIA!M$61*($W196^Transportation_LCIA!M$60)+Transportation_LCIA!M$62</f>
        <v>2.6002531765647143E-4</v>
      </c>
      <c r="AJ196" s="137">
        <f>Transportation_LCIA!N$61*($W196^Transportation_LCIA!N$60)+Transportation_LCIA!N$62</f>
        <v>1.0898312653906447E-3</v>
      </c>
      <c r="AK196" s="137">
        <f>Transportation_LCIA!O$61*($W196^Transportation_LCIA!O$60)+Transportation_LCIA!O$62</f>
        <v>6.4947739462206474E-5</v>
      </c>
      <c r="AL196" s="137">
        <f>Transportation_LCIA!P$61*($W196^Transportation_LCIA!P$60)+Transportation_LCIA!P$62</f>
        <v>3.139446307580722E-8</v>
      </c>
      <c r="AM196" s="137">
        <f>Transportation_LCIA!Q$61*($W196^Transportation_LCIA!Q$60)+Transportation_LCIA!Q$62</f>
        <v>1.0566088004157003E-4</v>
      </c>
      <c r="AN196" s="137">
        <f>Transportation_LCIA!R$61*($W196^Transportation_LCIA!R$60)+Transportation_LCIA!R$62</f>
        <v>3.2074864831290064E-4</v>
      </c>
      <c r="AO196" s="137">
        <f>Transportation_LCIA!S$61*($W196^Transportation_LCIA!S$60)+Transportation_LCIA!S$62</f>
        <v>4.8094770187755473E-6</v>
      </c>
      <c r="AP196" s="137">
        <f>Transportation_LCIA!T$61*($W196^Transportation_LCIA!T$60)+Transportation_LCIA!T$62</f>
        <v>4.8094770187755473E-6</v>
      </c>
      <c r="AQ196" s="137">
        <f>Transportation_LCIA!U$61*($W196^Transportation_LCIA!U$60)+Transportation_LCIA!U$62</f>
        <v>6.9015010201870343E-4</v>
      </c>
      <c r="AR196" s="137">
        <f>Transportation_LCIA!V$61*($W196^Transportation_LCIA!V$60)+Transportation_LCIA!V$62</f>
        <v>2.7481283900177808E-4</v>
      </c>
      <c r="AT196" s="137">
        <f>$W196*Y196+$L196*Summary_LCIA!H$32</f>
        <v>295.94206876949329</v>
      </c>
      <c r="AU196" s="137">
        <f>$W196*Z196+$L196*Summary_LCIA!Q$32</f>
        <v>3409.5055893368408</v>
      </c>
      <c r="AV196" s="137">
        <f>$W196*AA196+$L196*Summary_LCIA!R$32</f>
        <v>2.3325080015467581</v>
      </c>
      <c r="AW196" s="137">
        <f>$W196*AB196+$L196*Summary_LCIA!S$32</f>
        <v>294.89807802949332</v>
      </c>
      <c r="AX196" s="137">
        <f>$W196*AC196+$L196*Summary_LCIA!T$32</f>
        <v>78.242914180334637</v>
      </c>
      <c r="AY196" s="137">
        <f>$W196*AD196+$L196*Summary_LCIA!U$32</f>
        <v>4.4921145282850921</v>
      </c>
      <c r="AZ196" s="137">
        <f>$W196*AE196+$L196*Summary_LCIA!V$32</f>
        <v>1.6958520126296686E-2</v>
      </c>
      <c r="BA196" s="137">
        <f>$W196*AF196+$L196*Summary_LCIA!W$32</f>
        <v>26.591158727826787</v>
      </c>
      <c r="BB196" s="137">
        <f>$W196*AG196+$L196*Summary_LCIA!X$32</f>
        <v>16.586596032580204</v>
      </c>
      <c r="BC196" s="137">
        <f>$W196*AH196+$L196*Summary_LCIA!Y$32</f>
        <v>3.9078654265005066</v>
      </c>
      <c r="BD196" s="137">
        <f>$W196*AI196+$L196*Summary_LCIA!Z$32</f>
        <v>0.23098106497711915</v>
      </c>
      <c r="BE196" s="137">
        <f>$W196*AJ196+$L196*Summary_LCIA!AA$32</f>
        <v>6.4441193532221153</v>
      </c>
      <c r="BF196" s="137">
        <f>$W196*AK196+$L196*Summary_LCIA!AB$32</f>
        <v>5.0119325370340508E-2</v>
      </c>
      <c r="BG196" s="137">
        <f>$W196*AL196+$L196*Summary_LCIA!AC$32</f>
        <v>3.8264550054522314E-5</v>
      </c>
      <c r="BH196" s="137">
        <f>$W196*AM196+$L196*Summary_LCIA!AD$32</f>
        <v>0.18700923508805473</v>
      </c>
      <c r="BI196" s="137">
        <f>$W196*AN196+$L196*Summary_LCIA!AE$32</f>
        <v>0.48227477407381547</v>
      </c>
      <c r="BJ196" s="137">
        <f>$W196*AO196+$L196*Summary_LCIA!AF$32</f>
        <v>0.20377877899445837</v>
      </c>
      <c r="BK196" s="137">
        <f>$W196*AP196+$L196*Summary_LCIA!AG$32</f>
        <v>1.6178130759458356E-2</v>
      </c>
      <c r="BL196" s="137">
        <f>$W196*AQ196+$L196*Summary_LCIA!AH$32</f>
        <v>2.6431172912108849</v>
      </c>
      <c r="BM196" s="137">
        <f>$W196*AR196+$L196*Summary_LCIA!AI$32</f>
        <v>0.45390911554378599</v>
      </c>
    </row>
    <row r="197" spans="1:65" x14ac:dyDescent="0.25">
      <c r="A197" s="149">
        <v>237</v>
      </c>
      <c r="B197" s="149">
        <v>43</v>
      </c>
      <c r="C197" s="61">
        <v>36.31344</v>
      </c>
      <c r="D197" s="61">
        <v>-82.353472999999994</v>
      </c>
      <c r="E197" s="61" t="s">
        <v>265</v>
      </c>
      <c r="F197" s="149">
        <v>34</v>
      </c>
      <c r="G197" s="61" t="s">
        <v>565</v>
      </c>
      <c r="H197" s="61" t="s">
        <v>633</v>
      </c>
      <c r="I197" s="61">
        <v>35.214402999999997</v>
      </c>
      <c r="J197" s="61">
        <v>-80.947315000000003</v>
      </c>
      <c r="K197" s="61">
        <v>212.4742573</v>
      </c>
      <c r="L197" s="61">
        <v>236.197</v>
      </c>
      <c r="M197" s="61" t="s">
        <v>617</v>
      </c>
      <c r="N197" s="149">
        <v>42</v>
      </c>
      <c r="O197" s="149">
        <v>43</v>
      </c>
      <c r="P197" s="61" t="s">
        <v>565</v>
      </c>
      <c r="Q197" s="61" t="s">
        <v>555</v>
      </c>
      <c r="R197" s="61">
        <v>40.6895314</v>
      </c>
      <c r="S197" s="61">
        <v>-74.174462399999996</v>
      </c>
      <c r="T197" s="61">
        <v>999.64099999999996</v>
      </c>
      <c r="U197" s="61" t="s">
        <v>617</v>
      </c>
      <c r="V197" s="61" t="s">
        <v>569</v>
      </c>
      <c r="W197" s="61" cm="1">
        <f t="array" ref="W197">getDistance(I197,J197,R197,S197)*SA!$B$12</f>
        <v>851.05121377634293</v>
      </c>
      <c r="Y197" s="137">
        <f>Transportation_LCIA!C$61*($W197^Transportation_LCIA!C$60)+Transportation_LCIA!C$62</f>
        <v>0.25343049240533111</v>
      </c>
      <c r="Z197" s="137">
        <f>Transportation_LCIA!D$61*($W197^Transportation_LCIA!D$60)+Transportation_LCIA!D$62</f>
        <v>2.6307480783429384</v>
      </c>
      <c r="AA197" s="137">
        <f>Transportation_LCIA!E$61*($W197^Transportation_LCIA!E$60)+Transportation_LCIA!E$62</f>
        <v>1.2793461318450019E-3</v>
      </c>
      <c r="AB197" s="137">
        <f>Transportation_LCIA!F$61*($W197^Transportation_LCIA!F$60)+Transportation_LCIA!F$62</f>
        <v>0.25343049240533111</v>
      </c>
      <c r="AC197" s="137">
        <f>Transportation_LCIA!G$61*($W197^Transportation_LCIA!G$60)+Transportation_LCIA!G$62</f>
        <v>6.1435625769608669E-2</v>
      </c>
      <c r="AD197" s="137">
        <f>Transportation_LCIA!H$61*($W197^Transportation_LCIA!H$60)+Transportation_LCIA!H$62</f>
        <v>3.065402716805851E-4</v>
      </c>
      <c r="AE197" s="137">
        <f>Transportation_LCIA!I$61*($W197^Transportation_LCIA!I$60)+Transportation_LCIA!I$62</f>
        <v>6.6711792632361422E-6</v>
      </c>
      <c r="AF197" s="137">
        <f>Transportation_LCIA!J$61*($W197^Transportation_LCIA!J$60)+Transportation_LCIA!J$62</f>
        <v>9.8828828449766624E-3</v>
      </c>
      <c r="AG197" s="137">
        <f>Transportation_LCIA!K$61*($W197^Transportation_LCIA!K$60)+Transportation_LCIA!K$62</f>
        <v>1.3167278527053671E-2</v>
      </c>
      <c r="AH197" s="137">
        <f>Transportation_LCIA!L$61*($W197^Transportation_LCIA!L$60)+Transportation_LCIA!L$62</f>
        <v>2.6725039435791071E-4</v>
      </c>
      <c r="AI197" s="137">
        <f>Transportation_LCIA!M$61*($W197^Transportation_LCIA!M$60)+Transportation_LCIA!M$62</f>
        <v>2.6002531765647143E-4</v>
      </c>
      <c r="AJ197" s="137">
        <f>Transportation_LCIA!N$61*($W197^Transportation_LCIA!N$60)+Transportation_LCIA!N$62</f>
        <v>1.0898312653906447E-3</v>
      </c>
      <c r="AK197" s="137">
        <f>Transportation_LCIA!O$61*($W197^Transportation_LCIA!O$60)+Transportation_LCIA!O$62</f>
        <v>6.4947739462206474E-5</v>
      </c>
      <c r="AL197" s="137">
        <f>Transportation_LCIA!P$61*($W197^Transportation_LCIA!P$60)+Transportation_LCIA!P$62</f>
        <v>3.139446307580722E-8</v>
      </c>
      <c r="AM197" s="137">
        <f>Transportation_LCIA!Q$61*($W197^Transportation_LCIA!Q$60)+Transportation_LCIA!Q$62</f>
        <v>1.0566088004157003E-4</v>
      </c>
      <c r="AN197" s="137">
        <f>Transportation_LCIA!R$61*($W197^Transportation_LCIA!R$60)+Transportation_LCIA!R$62</f>
        <v>3.2074864831290064E-4</v>
      </c>
      <c r="AO197" s="137">
        <f>Transportation_LCIA!S$61*($W197^Transportation_LCIA!S$60)+Transportation_LCIA!S$62</f>
        <v>4.8094770187755473E-6</v>
      </c>
      <c r="AP197" s="137">
        <f>Transportation_LCIA!T$61*($W197^Transportation_LCIA!T$60)+Transportation_LCIA!T$62</f>
        <v>4.8094770187755473E-6</v>
      </c>
      <c r="AQ197" s="137">
        <f>Transportation_LCIA!U$61*($W197^Transportation_LCIA!U$60)+Transportation_LCIA!U$62</f>
        <v>6.9015010201870343E-4</v>
      </c>
      <c r="AR197" s="137">
        <f>Transportation_LCIA!V$61*($W197^Transportation_LCIA!V$60)+Transportation_LCIA!V$62</f>
        <v>2.7481283900177808E-4</v>
      </c>
      <c r="AT197" s="137">
        <f>$W197*Y197+$L197*Summary_LCIA!H$32</f>
        <v>295.94206876949329</v>
      </c>
      <c r="AU197" s="137">
        <f>$W197*Z197+$L197*Summary_LCIA!Q$32</f>
        <v>3409.5055893368408</v>
      </c>
      <c r="AV197" s="137">
        <f>$W197*AA197+$L197*Summary_LCIA!R$32</f>
        <v>2.3325080015467581</v>
      </c>
      <c r="AW197" s="137">
        <f>$W197*AB197+$L197*Summary_LCIA!S$32</f>
        <v>294.89807802949332</v>
      </c>
      <c r="AX197" s="137">
        <f>$W197*AC197+$L197*Summary_LCIA!T$32</f>
        <v>78.242914180334637</v>
      </c>
      <c r="AY197" s="137">
        <f>$W197*AD197+$L197*Summary_LCIA!U$32</f>
        <v>4.4921145282850921</v>
      </c>
      <c r="AZ197" s="137">
        <f>$W197*AE197+$L197*Summary_LCIA!V$32</f>
        <v>1.6958520126296686E-2</v>
      </c>
      <c r="BA197" s="137">
        <f>$W197*AF197+$L197*Summary_LCIA!W$32</f>
        <v>26.591158727826787</v>
      </c>
      <c r="BB197" s="137">
        <f>$W197*AG197+$L197*Summary_LCIA!X$32</f>
        <v>16.586596032580204</v>
      </c>
      <c r="BC197" s="137">
        <f>$W197*AH197+$L197*Summary_LCIA!Y$32</f>
        <v>3.9078654265005066</v>
      </c>
      <c r="BD197" s="137">
        <f>$W197*AI197+$L197*Summary_LCIA!Z$32</f>
        <v>0.23098106497711915</v>
      </c>
      <c r="BE197" s="137">
        <f>$W197*AJ197+$L197*Summary_LCIA!AA$32</f>
        <v>6.4441193532221153</v>
      </c>
      <c r="BF197" s="137">
        <f>$W197*AK197+$L197*Summary_LCIA!AB$32</f>
        <v>5.0119325370340508E-2</v>
      </c>
      <c r="BG197" s="137">
        <f>$W197*AL197+$L197*Summary_LCIA!AC$32</f>
        <v>3.8264550054522314E-5</v>
      </c>
      <c r="BH197" s="137">
        <f>$W197*AM197+$L197*Summary_LCIA!AD$32</f>
        <v>0.18700923508805473</v>
      </c>
      <c r="BI197" s="137">
        <f>$W197*AN197+$L197*Summary_LCIA!AE$32</f>
        <v>0.48227477407381547</v>
      </c>
      <c r="BJ197" s="137">
        <f>$W197*AO197+$L197*Summary_LCIA!AF$32</f>
        <v>0.20377877899445837</v>
      </c>
      <c r="BK197" s="137">
        <f>$W197*AP197+$L197*Summary_LCIA!AG$32</f>
        <v>1.6178130759458356E-2</v>
      </c>
      <c r="BL197" s="137">
        <f>$W197*AQ197+$L197*Summary_LCIA!AH$32</f>
        <v>2.6431172912108849</v>
      </c>
      <c r="BM197" s="137">
        <f>$W197*AR197+$L197*Summary_LCIA!AI$32</f>
        <v>0.45390911554378599</v>
      </c>
    </row>
    <row r="198" spans="1:65" x14ac:dyDescent="0.25">
      <c r="A198" s="149">
        <v>218</v>
      </c>
      <c r="B198" s="149">
        <v>43</v>
      </c>
      <c r="C198" s="61">
        <v>42.460591999999998</v>
      </c>
      <c r="D198" s="61">
        <v>-83.134647999999999</v>
      </c>
      <c r="E198" s="61" t="s">
        <v>265</v>
      </c>
      <c r="F198" s="149">
        <v>78</v>
      </c>
      <c r="G198" s="61" t="s">
        <v>615</v>
      </c>
      <c r="H198" s="61" t="s">
        <v>616</v>
      </c>
      <c r="I198" s="61">
        <v>42.216248999999998</v>
      </c>
      <c r="J198" s="61">
        <v>-83.355363999999994</v>
      </c>
      <c r="K198" s="61">
        <v>45.359604679999997</v>
      </c>
      <c r="L198" s="61">
        <v>42.874000000000002</v>
      </c>
      <c r="M198" s="61" t="s">
        <v>617</v>
      </c>
      <c r="N198" s="149">
        <v>42</v>
      </c>
      <c r="O198" s="149">
        <v>43</v>
      </c>
      <c r="P198" s="61" t="s">
        <v>565</v>
      </c>
      <c r="Q198" s="61" t="s">
        <v>555</v>
      </c>
      <c r="R198" s="61">
        <v>40.6895314</v>
      </c>
      <c r="S198" s="61">
        <v>-74.174462399999996</v>
      </c>
      <c r="T198" s="61">
        <v>1000.389</v>
      </c>
      <c r="U198" s="61" t="s">
        <v>617</v>
      </c>
      <c r="V198" s="61" t="s">
        <v>569</v>
      </c>
      <c r="W198" s="61" cm="1">
        <f t="array" ref="W198">getDistance(I198,J198,R198,S198)*SA!$B$12</f>
        <v>785.28633867682765</v>
      </c>
      <c r="Y198" s="137">
        <f>Transportation_LCIA!C$61*($W198^Transportation_LCIA!C$60)+Transportation_LCIA!C$62</f>
        <v>0.26330928953252508</v>
      </c>
      <c r="Z198" s="137">
        <f>Transportation_LCIA!D$61*($W198^Transportation_LCIA!D$60)+Transportation_LCIA!D$62</f>
        <v>2.7470263376439421</v>
      </c>
      <c r="AA198" s="137">
        <f>Transportation_LCIA!E$61*($W198^Transportation_LCIA!E$60)+Transportation_LCIA!E$62</f>
        <v>1.3559818236141058E-3</v>
      </c>
      <c r="AB198" s="137">
        <f>Transportation_LCIA!F$61*($W198^Transportation_LCIA!F$60)+Transportation_LCIA!F$62</f>
        <v>0.26330928953252508</v>
      </c>
      <c r="AC198" s="137">
        <f>Transportation_LCIA!G$61*($W198^Transportation_LCIA!G$60)+Transportation_LCIA!G$62</f>
        <v>6.4124466375910086E-2</v>
      </c>
      <c r="AD198" s="137">
        <f>Transportation_LCIA!H$61*($W198^Transportation_LCIA!H$60)+Transportation_LCIA!H$62</f>
        <v>3.23471252238349E-4</v>
      </c>
      <c r="AE198" s="137">
        <f>Transportation_LCIA!I$61*($W198^Transportation_LCIA!I$60)+Transportation_LCIA!I$62</f>
        <v>7.1006706958255214E-6</v>
      </c>
      <c r="AF198" s="137">
        <f>Transportation_LCIA!J$61*($W198^Transportation_LCIA!J$60)+Transportation_LCIA!J$62</f>
        <v>1.0525719899275952E-2</v>
      </c>
      <c r="AG198" s="137">
        <f>Transportation_LCIA!K$61*($W198^Transportation_LCIA!K$60)+Transportation_LCIA!K$62</f>
        <v>1.3797666560438151E-2</v>
      </c>
      <c r="AH198" s="137">
        <f>Transportation_LCIA!L$61*($W198^Transportation_LCIA!L$60)+Transportation_LCIA!L$62</f>
        <v>2.8284968621697246E-4</v>
      </c>
      <c r="AI198" s="137">
        <f>Transportation_LCIA!M$61*($W198^Transportation_LCIA!M$60)+Transportation_LCIA!M$62</f>
        <v>2.6937179467913046E-4</v>
      </c>
      <c r="AJ198" s="137">
        <f>Transportation_LCIA!N$61*($W198^Transportation_LCIA!N$60)+Transportation_LCIA!N$62</f>
        <v>1.1467213700117806E-3</v>
      </c>
      <c r="AK198" s="137">
        <f>Transportation_LCIA!O$61*($W198^Transportation_LCIA!O$60)+Transportation_LCIA!O$62</f>
        <v>6.7805651672599041E-5</v>
      </c>
      <c r="AL198" s="137">
        <f>Transportation_LCIA!P$61*($W198^Transportation_LCIA!P$60)+Transportation_LCIA!P$62</f>
        <v>3.2767641003522771E-8</v>
      </c>
      <c r="AM198" s="137">
        <f>Transportation_LCIA!Q$61*($W198^Transportation_LCIA!Q$60)+Transportation_LCIA!Q$62</f>
        <v>1.1176738524526752E-4</v>
      </c>
      <c r="AN198" s="137">
        <f>Transportation_LCIA!R$61*($W198^Transportation_LCIA!R$60)+Transportation_LCIA!R$62</f>
        <v>3.4134784719875682E-4</v>
      </c>
      <c r="AO198" s="137">
        <f>Transportation_LCIA!S$61*($W198^Transportation_LCIA!S$60)+Transportation_LCIA!S$62</f>
        <v>5.1017230769306004E-6</v>
      </c>
      <c r="AP198" s="137">
        <f>Transportation_LCIA!T$61*($W198^Transportation_LCIA!T$60)+Transportation_LCIA!T$62</f>
        <v>5.1017230769306004E-6</v>
      </c>
      <c r="AQ198" s="137">
        <f>Transportation_LCIA!U$61*($W198^Transportation_LCIA!U$60)+Transportation_LCIA!U$62</f>
        <v>7.3539020448969183E-4</v>
      </c>
      <c r="AR198" s="137">
        <f>Transportation_LCIA!V$61*($W198^Transportation_LCIA!V$60)+Transportation_LCIA!V$62</f>
        <v>2.9072294614169601E-4</v>
      </c>
      <c r="AT198" s="137">
        <f>$W198*Y198+$L198*Summary_LCIA!H$32</f>
        <v>221.34177311659337</v>
      </c>
      <c r="AU198" s="137">
        <f>$W198*Z198+$L198*Summary_LCIA!Q$32</f>
        <v>2369.6879612016683</v>
      </c>
      <c r="AV198" s="137">
        <f>$W198*AA198+$L198*Summary_LCIA!R$32</f>
        <v>1.2905913359782493</v>
      </c>
      <c r="AW198" s="137">
        <f>$W198*AB198+$L198*Summary_LCIA!S$32</f>
        <v>221.15227003659336</v>
      </c>
      <c r="AX198" s="137">
        <f>$W198*AC198+$L198*Summary_LCIA!T$32</f>
        <v>55.067920019943777</v>
      </c>
      <c r="AY198" s="137">
        <f>$W198*AD198+$L198*Summary_LCIA!U$32</f>
        <v>1.0220623913374618</v>
      </c>
      <c r="AZ198" s="137">
        <f>$W198*AE198+$L198*Summary_LCIA!V$32</f>
        <v>7.6237648068746659E-3</v>
      </c>
      <c r="BA198" s="137">
        <f>$W198*AF198+$L198*Summary_LCIA!W$32</f>
        <v>11.565758695640239</v>
      </c>
      <c r="BB198" s="137">
        <f>$W198*AG198+$L198*Summary_LCIA!X$32</f>
        <v>11.811788775530173</v>
      </c>
      <c r="BC198" s="137">
        <f>$W198*AH198+$L198*Summary_LCIA!Y$32</f>
        <v>0.89018066248521588</v>
      </c>
      <c r="BD198" s="137">
        <f>$W198*AI198+$L198*Summary_LCIA!Z$32</f>
        <v>0.21329221025238052</v>
      </c>
      <c r="BE198" s="137">
        <f>$W198*AJ198+$L198*Summary_LCIA!AA$32</f>
        <v>1.9018697701390268</v>
      </c>
      <c r="BF198" s="137">
        <f>$W198*AK198+$L198*Summary_LCIA!AB$32</f>
        <v>5.2311212641571611E-2</v>
      </c>
      <c r="BG198" s="137">
        <f>$W198*AL198+$L198*Summary_LCIA!AC$32</f>
        <v>2.7827833446733089E-5</v>
      </c>
      <c r="BH198" s="137">
        <f>$W198*AM198+$L198*Summary_LCIA!AD$32</f>
        <v>0.10539232970273862</v>
      </c>
      <c r="BI198" s="137">
        <f>$W198*AN198+$L198*Summary_LCIA!AE$32</f>
        <v>0.30604773876192892</v>
      </c>
      <c r="BJ198" s="137">
        <f>$W198*AO198+$L198*Summary_LCIA!AF$32</f>
        <v>4.0252850516025909E-2</v>
      </c>
      <c r="BK198" s="137">
        <f>$W198*AP198+$L198*Summary_LCIA!AG$32</f>
        <v>6.1999616460259111E-3</v>
      </c>
      <c r="BL198" s="137">
        <f>$W198*AQ198+$L198*Summary_LCIA!AH$32</f>
        <v>0.95065002758251382</v>
      </c>
      <c r="BM198" s="137">
        <f>$W198*AR198+$L198*Summary_LCIA!AI$32</f>
        <v>0.268240032644953</v>
      </c>
    </row>
    <row r="199" spans="1:65" x14ac:dyDescent="0.25">
      <c r="A199" s="149">
        <v>54</v>
      </c>
      <c r="B199" s="149">
        <v>43</v>
      </c>
      <c r="C199" s="61">
        <v>42.698954000000001</v>
      </c>
      <c r="D199" s="61">
        <v>-83.249512999999993</v>
      </c>
      <c r="E199" s="61" t="s">
        <v>265</v>
      </c>
      <c r="F199" s="149">
        <v>78</v>
      </c>
      <c r="G199" s="61" t="s">
        <v>615</v>
      </c>
      <c r="H199" s="61" t="s">
        <v>616</v>
      </c>
      <c r="I199" s="61">
        <v>42.216248999999998</v>
      </c>
      <c r="J199" s="61">
        <v>-83.355363999999994</v>
      </c>
      <c r="K199" s="61">
        <v>80.862537599999996</v>
      </c>
      <c r="L199" s="61">
        <v>80.61</v>
      </c>
      <c r="M199" s="61" t="s">
        <v>617</v>
      </c>
      <c r="N199" s="149">
        <v>42</v>
      </c>
      <c r="O199" s="149">
        <v>43</v>
      </c>
      <c r="P199" s="61" t="s">
        <v>565</v>
      </c>
      <c r="Q199" s="61" t="s">
        <v>555</v>
      </c>
      <c r="R199" s="61">
        <v>40.6895314</v>
      </c>
      <c r="S199" s="61">
        <v>-74.174462399999996</v>
      </c>
      <c r="T199" s="61">
        <v>1034.2249999999999</v>
      </c>
      <c r="U199" s="61" t="s">
        <v>617</v>
      </c>
      <c r="V199" s="61" t="s">
        <v>569</v>
      </c>
      <c r="W199" s="61" cm="1">
        <f t="array" ref="W199">getDistance(I199,J199,R199,S199)*SA!$B$12</f>
        <v>785.28633867682765</v>
      </c>
      <c r="Y199" s="137">
        <f>Transportation_LCIA!C$61*($W199^Transportation_LCIA!C$60)+Transportation_LCIA!C$62</f>
        <v>0.26330928953252508</v>
      </c>
      <c r="Z199" s="137">
        <f>Transportation_LCIA!D$61*($W199^Transportation_LCIA!D$60)+Transportation_LCIA!D$62</f>
        <v>2.7470263376439421</v>
      </c>
      <c r="AA199" s="137">
        <f>Transportation_LCIA!E$61*($W199^Transportation_LCIA!E$60)+Transportation_LCIA!E$62</f>
        <v>1.3559818236141058E-3</v>
      </c>
      <c r="AB199" s="137">
        <f>Transportation_LCIA!F$61*($W199^Transportation_LCIA!F$60)+Transportation_LCIA!F$62</f>
        <v>0.26330928953252508</v>
      </c>
      <c r="AC199" s="137">
        <f>Transportation_LCIA!G$61*($W199^Transportation_LCIA!G$60)+Transportation_LCIA!G$62</f>
        <v>6.4124466375910086E-2</v>
      </c>
      <c r="AD199" s="137">
        <f>Transportation_LCIA!H$61*($W199^Transportation_LCIA!H$60)+Transportation_LCIA!H$62</f>
        <v>3.23471252238349E-4</v>
      </c>
      <c r="AE199" s="137">
        <f>Transportation_LCIA!I$61*($W199^Transportation_LCIA!I$60)+Transportation_LCIA!I$62</f>
        <v>7.1006706958255214E-6</v>
      </c>
      <c r="AF199" s="137">
        <f>Transportation_LCIA!J$61*($W199^Transportation_LCIA!J$60)+Transportation_LCIA!J$62</f>
        <v>1.0525719899275952E-2</v>
      </c>
      <c r="AG199" s="137">
        <f>Transportation_LCIA!K$61*($W199^Transportation_LCIA!K$60)+Transportation_LCIA!K$62</f>
        <v>1.3797666560438151E-2</v>
      </c>
      <c r="AH199" s="137">
        <f>Transportation_LCIA!L$61*($W199^Transportation_LCIA!L$60)+Transportation_LCIA!L$62</f>
        <v>2.8284968621697246E-4</v>
      </c>
      <c r="AI199" s="137">
        <f>Transportation_LCIA!M$61*($W199^Transportation_LCIA!M$60)+Transportation_LCIA!M$62</f>
        <v>2.6937179467913046E-4</v>
      </c>
      <c r="AJ199" s="137">
        <f>Transportation_LCIA!N$61*($W199^Transportation_LCIA!N$60)+Transportation_LCIA!N$62</f>
        <v>1.1467213700117806E-3</v>
      </c>
      <c r="AK199" s="137">
        <f>Transportation_LCIA!O$61*($W199^Transportation_LCIA!O$60)+Transportation_LCIA!O$62</f>
        <v>6.7805651672599041E-5</v>
      </c>
      <c r="AL199" s="137">
        <f>Transportation_LCIA!P$61*($W199^Transportation_LCIA!P$60)+Transportation_LCIA!P$62</f>
        <v>3.2767641003522771E-8</v>
      </c>
      <c r="AM199" s="137">
        <f>Transportation_LCIA!Q$61*($W199^Transportation_LCIA!Q$60)+Transportation_LCIA!Q$62</f>
        <v>1.1176738524526752E-4</v>
      </c>
      <c r="AN199" s="137">
        <f>Transportation_LCIA!R$61*($W199^Transportation_LCIA!R$60)+Transportation_LCIA!R$62</f>
        <v>3.4134784719875682E-4</v>
      </c>
      <c r="AO199" s="137">
        <f>Transportation_LCIA!S$61*($W199^Transportation_LCIA!S$60)+Transportation_LCIA!S$62</f>
        <v>5.1017230769306004E-6</v>
      </c>
      <c r="AP199" s="137">
        <f>Transportation_LCIA!T$61*($W199^Transportation_LCIA!T$60)+Transportation_LCIA!T$62</f>
        <v>5.1017230769306004E-6</v>
      </c>
      <c r="AQ199" s="137">
        <f>Transportation_LCIA!U$61*($W199^Transportation_LCIA!U$60)+Transportation_LCIA!U$62</f>
        <v>7.3539020448969183E-4</v>
      </c>
      <c r="AR199" s="137">
        <f>Transportation_LCIA!V$61*($W199^Transportation_LCIA!V$60)+Transportation_LCIA!V$62</f>
        <v>2.9072294614169601E-4</v>
      </c>
      <c r="AT199" s="137">
        <f>$W199*Y199+$L199*Summary_LCIA!H$32</f>
        <v>234.16446591659337</v>
      </c>
      <c r="AU199" s="137">
        <f>$W199*Z199+$L199*Summary_LCIA!Q$32</f>
        <v>2556.7094803413565</v>
      </c>
      <c r="AV199" s="137">
        <f>$W199*AA199+$L199*Summary_LCIA!R$32</f>
        <v>1.4892940175782492</v>
      </c>
      <c r="AW199" s="137">
        <f>$W199*AB199+$L199*Summary_LCIA!S$32</f>
        <v>233.80816971659337</v>
      </c>
      <c r="AX199" s="137">
        <f>$W199*AC199+$L199*Summary_LCIA!T$32</f>
        <v>59.21510641994378</v>
      </c>
      <c r="AY199" s="137">
        <f>$W199*AD199+$L199*Summary_LCIA!U$32</f>
        <v>1.6980650953374616</v>
      </c>
      <c r="AZ199" s="137">
        <f>$W199*AE199+$L199*Summary_LCIA!V$32</f>
        <v>9.4260739028746657E-3</v>
      </c>
      <c r="BA199" s="137">
        <f>$W199*AF199+$L199*Summary_LCIA!W$32</f>
        <v>14.470336351640238</v>
      </c>
      <c r="BB199" s="137">
        <f>$W199*AG199+$L199*Summary_LCIA!X$32</f>
        <v>12.671414855530173</v>
      </c>
      <c r="BC199" s="137">
        <f>$W199*AH199+$L199*Summary_LCIA!Y$32</f>
        <v>1.4781830144852159</v>
      </c>
      <c r="BD199" s="137">
        <f>$W199*AI199+$L199*Summary_LCIA!Z$32</f>
        <v>0.21483972587638051</v>
      </c>
      <c r="BE199" s="137">
        <f>$W199*AJ199+$L199*Summary_LCIA!AA$32</f>
        <v>2.783231786139027</v>
      </c>
      <c r="BF199" s="137">
        <f>$W199*AK199+$L199*Summary_LCIA!AB$32</f>
        <v>5.1487699913571612E-2</v>
      </c>
      <c r="BG199" s="137">
        <f>$W199*AL199+$L199*Summary_LCIA!AC$32</f>
        <v>2.9672520070733088E-5</v>
      </c>
      <c r="BH199" s="137">
        <f>$W199*AM199+$L199*Summary_LCIA!AD$32</f>
        <v>0.12090333514273863</v>
      </c>
      <c r="BI199" s="137">
        <f>$W199*AN199+$L199*Summary_LCIA!AE$32</f>
        <v>0.33948674044192895</v>
      </c>
      <c r="BJ199" s="137">
        <f>$W199*AO199+$L199*Summary_LCIA!AF$32</f>
        <v>7.2155619636025917E-2</v>
      </c>
      <c r="BK199" s="137">
        <f>$W199*AP199+$L199*Summary_LCIA!AG$32</f>
        <v>8.130724086025911E-3</v>
      </c>
      <c r="BL199" s="137">
        <f>$W199*AQ199+$L199*Summary_LCIA!AH$32</f>
        <v>1.2790890771825136</v>
      </c>
      <c r="BM199" s="137">
        <f>$W199*AR199+$L199*Summary_LCIA!AI$32</f>
        <v>0.30339300344495301</v>
      </c>
    </row>
    <row r="200" spans="1:65" x14ac:dyDescent="0.25">
      <c r="A200" s="149">
        <v>209</v>
      </c>
      <c r="B200" s="149">
        <v>43</v>
      </c>
      <c r="C200" s="61">
        <v>42.810535999999999</v>
      </c>
      <c r="D200" s="61">
        <v>-83.079087000000001</v>
      </c>
      <c r="E200" s="61" t="s">
        <v>265</v>
      </c>
      <c r="F200" s="149">
        <v>78</v>
      </c>
      <c r="G200" s="61" t="s">
        <v>615</v>
      </c>
      <c r="H200" s="61" t="s">
        <v>616</v>
      </c>
      <c r="I200" s="61">
        <v>42.216248999999998</v>
      </c>
      <c r="J200" s="61">
        <v>-83.355363999999994</v>
      </c>
      <c r="K200" s="61">
        <v>102.2416606</v>
      </c>
      <c r="L200" s="61">
        <v>88.736999999999995</v>
      </c>
      <c r="M200" s="61" t="s">
        <v>617</v>
      </c>
      <c r="N200" s="149">
        <v>42</v>
      </c>
      <c r="O200" s="149">
        <v>43</v>
      </c>
      <c r="P200" s="61" t="s">
        <v>565</v>
      </c>
      <c r="Q200" s="61" t="s">
        <v>555</v>
      </c>
      <c r="R200" s="61">
        <v>40.6895314</v>
      </c>
      <c r="S200" s="61">
        <v>-74.174462399999996</v>
      </c>
      <c r="T200" s="61">
        <v>1042.3520000000001</v>
      </c>
      <c r="U200" s="61" t="s">
        <v>617</v>
      </c>
      <c r="V200" s="61" t="s">
        <v>569</v>
      </c>
      <c r="W200" s="61" cm="1">
        <f t="array" ref="W200">getDistance(I200,J200,R200,S200)*SA!$B$12</f>
        <v>785.28633867682765</v>
      </c>
      <c r="Y200" s="137">
        <f>Transportation_LCIA!C$61*($W200^Transportation_LCIA!C$60)+Transportation_LCIA!C$62</f>
        <v>0.26330928953252508</v>
      </c>
      <c r="Z200" s="137">
        <f>Transportation_LCIA!D$61*($W200^Transportation_LCIA!D$60)+Transportation_LCIA!D$62</f>
        <v>2.7470263376439421</v>
      </c>
      <c r="AA200" s="137">
        <f>Transportation_LCIA!E$61*($W200^Transportation_LCIA!E$60)+Transportation_LCIA!E$62</f>
        <v>1.3559818236141058E-3</v>
      </c>
      <c r="AB200" s="137">
        <f>Transportation_LCIA!F$61*($W200^Transportation_LCIA!F$60)+Transportation_LCIA!F$62</f>
        <v>0.26330928953252508</v>
      </c>
      <c r="AC200" s="137">
        <f>Transportation_LCIA!G$61*($W200^Transportation_LCIA!G$60)+Transportation_LCIA!G$62</f>
        <v>6.4124466375910086E-2</v>
      </c>
      <c r="AD200" s="137">
        <f>Transportation_LCIA!H$61*($W200^Transportation_LCIA!H$60)+Transportation_LCIA!H$62</f>
        <v>3.23471252238349E-4</v>
      </c>
      <c r="AE200" s="137">
        <f>Transportation_LCIA!I$61*($W200^Transportation_LCIA!I$60)+Transportation_LCIA!I$62</f>
        <v>7.1006706958255214E-6</v>
      </c>
      <c r="AF200" s="137">
        <f>Transportation_LCIA!J$61*($W200^Transportation_LCIA!J$60)+Transportation_LCIA!J$62</f>
        <v>1.0525719899275952E-2</v>
      </c>
      <c r="AG200" s="137">
        <f>Transportation_LCIA!K$61*($W200^Transportation_LCIA!K$60)+Transportation_LCIA!K$62</f>
        <v>1.3797666560438151E-2</v>
      </c>
      <c r="AH200" s="137">
        <f>Transportation_LCIA!L$61*($W200^Transportation_LCIA!L$60)+Transportation_LCIA!L$62</f>
        <v>2.8284968621697246E-4</v>
      </c>
      <c r="AI200" s="137">
        <f>Transportation_LCIA!M$61*($W200^Transportation_LCIA!M$60)+Transportation_LCIA!M$62</f>
        <v>2.6937179467913046E-4</v>
      </c>
      <c r="AJ200" s="137">
        <f>Transportation_LCIA!N$61*($W200^Transportation_LCIA!N$60)+Transportation_LCIA!N$62</f>
        <v>1.1467213700117806E-3</v>
      </c>
      <c r="AK200" s="137">
        <f>Transportation_LCIA!O$61*($W200^Transportation_LCIA!O$60)+Transportation_LCIA!O$62</f>
        <v>6.7805651672599041E-5</v>
      </c>
      <c r="AL200" s="137">
        <f>Transportation_LCIA!P$61*($W200^Transportation_LCIA!P$60)+Transportation_LCIA!P$62</f>
        <v>3.2767641003522771E-8</v>
      </c>
      <c r="AM200" s="137">
        <f>Transportation_LCIA!Q$61*($W200^Transportation_LCIA!Q$60)+Transportation_LCIA!Q$62</f>
        <v>1.1176738524526752E-4</v>
      </c>
      <c r="AN200" s="137">
        <f>Transportation_LCIA!R$61*($W200^Transportation_LCIA!R$60)+Transportation_LCIA!R$62</f>
        <v>3.4134784719875682E-4</v>
      </c>
      <c r="AO200" s="137">
        <f>Transportation_LCIA!S$61*($W200^Transportation_LCIA!S$60)+Transportation_LCIA!S$62</f>
        <v>5.1017230769306004E-6</v>
      </c>
      <c r="AP200" s="137">
        <f>Transportation_LCIA!T$61*($W200^Transportation_LCIA!T$60)+Transportation_LCIA!T$62</f>
        <v>5.1017230769306004E-6</v>
      </c>
      <c r="AQ200" s="137">
        <f>Transportation_LCIA!U$61*($W200^Transportation_LCIA!U$60)+Transportation_LCIA!U$62</f>
        <v>7.3539020448969183E-4</v>
      </c>
      <c r="AR200" s="137">
        <f>Transportation_LCIA!V$61*($W200^Transportation_LCIA!V$60)+Transportation_LCIA!V$62</f>
        <v>2.9072294614169601E-4</v>
      </c>
      <c r="AT200" s="137">
        <f>$W200*Y200+$L200*Summary_LCIA!H$32</f>
        <v>236.92602051659338</v>
      </c>
      <c r="AU200" s="137">
        <f>$W200*Z200+$L200*Summary_LCIA!Q$32</f>
        <v>2596.9873022103475</v>
      </c>
      <c r="AV200" s="137">
        <f>$W200*AA200+$L200*Summary_LCIA!R$32</f>
        <v>1.532087548778249</v>
      </c>
      <c r="AW200" s="137">
        <f>$W200*AB200+$L200*Summary_LCIA!S$32</f>
        <v>236.53380297659336</v>
      </c>
      <c r="AX200" s="137">
        <f>$W200*AC200+$L200*Summary_LCIA!T$32</f>
        <v>60.108263719943778</v>
      </c>
      <c r="AY200" s="137">
        <f>$W200*AD200+$L200*Summary_LCIA!U$32</f>
        <v>1.8436521733374616</v>
      </c>
      <c r="AZ200" s="137">
        <f>$W200*AE200+$L200*Summary_LCIA!V$32</f>
        <v>9.8142275498746649E-3</v>
      </c>
      <c r="BA200" s="137">
        <f>$W200*AF200+$L200*Summary_LCIA!W$32</f>
        <v>15.095879668640238</v>
      </c>
      <c r="BB200" s="137">
        <f>$W200*AG200+$L200*Summary_LCIA!X$32</f>
        <v>12.856547915530173</v>
      </c>
      <c r="BC200" s="137">
        <f>$W200*AH200+$L200*Summary_LCIA!Y$32</f>
        <v>1.6048179284852158</v>
      </c>
      <c r="BD200" s="137">
        <f>$W200*AI200+$L200*Summary_LCIA!Z$32</f>
        <v>0.21517300601938052</v>
      </c>
      <c r="BE200" s="137">
        <f>$W200*AJ200+$L200*Summary_LCIA!AA$32</f>
        <v>2.9730459981390269</v>
      </c>
      <c r="BF200" s="137">
        <f>$W200*AK200+$L200*Summary_LCIA!AB$32</f>
        <v>5.1310344392571615E-2</v>
      </c>
      <c r="BG200" s="137">
        <f>$W200*AL200+$L200*Summary_LCIA!AC$32</f>
        <v>3.0069800338733088E-5</v>
      </c>
      <c r="BH200" s="137">
        <f>$W200*AM200+$L200*Summary_LCIA!AD$32</f>
        <v>0.12424385722273862</v>
      </c>
      <c r="BI200" s="137">
        <f>$W200*AN200+$L200*Summary_LCIA!AE$32</f>
        <v>0.34668831895192898</v>
      </c>
      <c r="BJ200" s="137">
        <f>$W200*AO200+$L200*Summary_LCIA!AF$32</f>
        <v>7.902634797602591E-2</v>
      </c>
      <c r="BK200" s="137">
        <f>$W200*AP200+$L200*Summary_LCIA!AG$32</f>
        <v>8.5465420410259108E-3</v>
      </c>
      <c r="BL200" s="137">
        <f>$W200*AQ200+$L200*Summary_LCIA!AH$32</f>
        <v>1.3498232343825136</v>
      </c>
      <c r="BM200" s="137">
        <f>$W200*AR200+$L200*Summary_LCIA!AI$32</f>
        <v>0.31096371029495301</v>
      </c>
    </row>
    <row r="201" spans="1:65" x14ac:dyDescent="0.25">
      <c r="A201" s="149">
        <v>80</v>
      </c>
      <c r="B201" s="149">
        <v>43</v>
      </c>
      <c r="C201" s="61">
        <v>45.948258000000003</v>
      </c>
      <c r="D201" s="61">
        <v>-66.641317999999998</v>
      </c>
      <c r="E201" s="61" t="s">
        <v>460</v>
      </c>
      <c r="F201" s="149">
        <v>141</v>
      </c>
      <c r="G201" s="61" t="s">
        <v>661</v>
      </c>
      <c r="H201" s="61" t="s">
        <v>662</v>
      </c>
      <c r="I201" s="61">
        <v>46.116180999999997</v>
      </c>
      <c r="J201" s="61">
        <v>-64.688446999999996</v>
      </c>
      <c r="K201" s="61">
        <v>162.62382070000001</v>
      </c>
      <c r="L201" s="61">
        <v>184.447</v>
      </c>
      <c r="M201" s="61" t="s">
        <v>617</v>
      </c>
      <c r="N201" s="149">
        <v>42</v>
      </c>
      <c r="O201" s="149">
        <v>43</v>
      </c>
      <c r="P201" s="61" t="s">
        <v>565</v>
      </c>
      <c r="Q201" s="61" t="s">
        <v>555</v>
      </c>
      <c r="R201" s="61">
        <v>40.6895314</v>
      </c>
      <c r="S201" s="61">
        <v>-74.174462399999996</v>
      </c>
      <c r="T201" s="61">
        <v>1042.354</v>
      </c>
      <c r="U201" s="61" t="s">
        <v>617</v>
      </c>
      <c r="V201" s="61" t="s">
        <v>569</v>
      </c>
      <c r="W201" s="61" cm="1">
        <f t="array" ref="W201">getDistance(I201,J201,R201,S201)*SA!$B$12</f>
        <v>976.21921839853326</v>
      </c>
      <c r="Y201" s="137">
        <f>Transportation_LCIA!C$61*($W201^Transportation_LCIA!C$60)+Transportation_LCIA!C$62</f>
        <v>0.23804060106334077</v>
      </c>
      <c r="Z201" s="137">
        <f>Transportation_LCIA!D$61*($W201^Transportation_LCIA!D$60)+Transportation_LCIA!D$62</f>
        <v>2.4504484062130265</v>
      </c>
      <c r="AA201" s="137">
        <f>Transportation_LCIA!E$61*($W201^Transportation_LCIA!E$60)+Transportation_LCIA!E$62</f>
        <v>1.1606720913959455E-3</v>
      </c>
      <c r="AB201" s="137">
        <f>Transportation_LCIA!F$61*($W201^Transportation_LCIA!F$60)+Transportation_LCIA!F$62</f>
        <v>0.23804060106334077</v>
      </c>
      <c r="AC201" s="137">
        <f>Transportation_LCIA!G$61*($W201^Transportation_LCIA!G$60)+Transportation_LCIA!G$62</f>
        <v>5.726520247855086E-2</v>
      </c>
      <c r="AD201" s="137">
        <f>Transportation_LCIA!H$61*($W201^Transportation_LCIA!H$60)+Transportation_LCIA!H$62</f>
        <v>2.8038992352398014E-4</v>
      </c>
      <c r="AE201" s="137">
        <f>Transportation_LCIA!I$61*($W201^Transportation_LCIA!I$60)+Transportation_LCIA!I$62</f>
        <v>6.0105898982720086E-6</v>
      </c>
      <c r="AF201" s="137">
        <f>Transportation_LCIA!J$61*($W201^Transportation_LCIA!J$60)+Transportation_LCIA!J$62</f>
        <v>8.896852176798465E-3</v>
      </c>
      <c r="AG201" s="137">
        <f>Transportation_LCIA!K$61*($W201^Transportation_LCIA!K$60)+Transportation_LCIA!K$62</f>
        <v>1.2191850397092132E-2</v>
      </c>
      <c r="AH201" s="137">
        <f>Transportation_LCIA!L$61*($W201^Transportation_LCIA!L$60)+Transportation_LCIA!L$62</f>
        <v>2.431855860123998E-4</v>
      </c>
      <c r="AI201" s="137">
        <f>Transportation_LCIA!M$61*($W201^Transportation_LCIA!M$60)+Transportation_LCIA!M$62</f>
        <v>2.4559148071851629E-4</v>
      </c>
      <c r="AJ201" s="137">
        <f>Transportation_LCIA!N$61*($W201^Transportation_LCIA!N$60)+Transportation_LCIA!N$62</f>
        <v>1.0019337441737129E-3</v>
      </c>
      <c r="AK201" s="137">
        <f>Transportation_LCIA!O$61*($W201^Transportation_LCIA!O$60)+Transportation_LCIA!O$62</f>
        <v>6.0515654755985323E-5</v>
      </c>
      <c r="AL201" s="137">
        <f>Transportation_LCIA!P$61*($W201^Transportation_LCIA!P$60)+Transportation_LCIA!P$62</f>
        <v>2.9264180015516956E-8</v>
      </c>
      <c r="AM201" s="137">
        <f>Transportation_LCIA!Q$61*($W201^Transportation_LCIA!Q$60)+Transportation_LCIA!Q$62</f>
        <v>9.6246506035158898E-5</v>
      </c>
      <c r="AN201" s="137">
        <f>Transportation_LCIA!R$61*($W201^Transportation_LCIA!R$60)+Transportation_LCIA!R$62</f>
        <v>2.8906877213541162E-4</v>
      </c>
      <c r="AO201" s="137">
        <f>Transportation_LCIA!S$61*($W201^Transportation_LCIA!S$60)+Transportation_LCIA!S$62</f>
        <v>4.3599423404604346E-6</v>
      </c>
      <c r="AP201" s="137">
        <f>Transportation_LCIA!T$61*($W201^Transportation_LCIA!T$60)+Transportation_LCIA!T$62</f>
        <v>4.3599423404604346E-6</v>
      </c>
      <c r="AQ201" s="137">
        <f>Transportation_LCIA!U$61*($W201^Transportation_LCIA!U$60)+Transportation_LCIA!U$62</f>
        <v>6.2062975697497851E-4</v>
      </c>
      <c r="AR201" s="137">
        <f>Transportation_LCIA!V$61*($W201^Transportation_LCIA!V$60)+Transportation_LCIA!V$62</f>
        <v>2.503045929040431E-4</v>
      </c>
      <c r="AT201" s="137">
        <f>$W201*Y201+$L201*Summary_LCIA!H$32</f>
        <v>295.0549001171716</v>
      </c>
      <c r="AU201" s="137">
        <f>$W201*Z201+$L201*Summary_LCIA!Q$32</f>
        <v>3306.3034620547633</v>
      </c>
      <c r="AV201" s="137">
        <f>$W201*AA201+$L201*Summary_LCIA!R$32</f>
        <v>2.1042945250795406</v>
      </c>
      <c r="AW201" s="137">
        <f>$W201*AB201+$L201*Summary_LCIA!S$32</f>
        <v>294.2396443771716</v>
      </c>
      <c r="AX201" s="137">
        <f>$W201*AC201+$L201*Summary_LCIA!T$32</f>
        <v>76.174116505044665</v>
      </c>
      <c r="AY201" s="137">
        <f>$W201*AD201+$L201*Summary_LCIA!U$32</f>
        <v>3.5779055899894043</v>
      </c>
      <c r="AZ201" s="137">
        <f>$W201*AE201+$L201*Summary_LCIA!V$32</f>
        <v>1.4677026539605219E-2</v>
      </c>
      <c r="BA201" s="137">
        <f>$W201*AF201+$L201*Summary_LCIA!W$32</f>
        <v>22.882348115241484</v>
      </c>
      <c r="BB201" s="137">
        <f>$W201*AG201+$L201*Summary_LCIA!X$32</f>
        <v>16.103621325481129</v>
      </c>
      <c r="BC201" s="137">
        <f>$W201*AH201+$L201*Summary_LCIA!Y$32</f>
        <v>3.1114555967028146</v>
      </c>
      <c r="BD201" s="137">
        <f>$W201*AI201+$L201*Summary_LCIA!Z$32</f>
        <v>0.24731511037536844</v>
      </c>
      <c r="BE201" s="137">
        <f>$W201*AJ201+$L201*Summary_LCIA!AA$32</f>
        <v>5.2860511086243775</v>
      </c>
      <c r="BF201" s="137">
        <f>$W201*AK201+$L201*Summary_LCIA!AB$32</f>
        <v>5.5051358305763472E-2</v>
      </c>
      <c r="BG201" s="137">
        <f>$W201*AL201+$L201*Summary_LCIA!AC$32</f>
        <v>3.7584762089821938E-5</v>
      </c>
      <c r="BH201" s="137">
        <f>$W201*AM201+$L201*Summary_LCIA!AD$32</f>
        <v>0.16977278377523253</v>
      </c>
      <c r="BI201" s="137">
        <f>$W201*AN201+$L201*Summary_LCIA!AE$32</f>
        <v>0.44563851090745521</v>
      </c>
      <c r="BJ201" s="137">
        <f>$W201*AO201+$L201*Summary_LCIA!AF$32</f>
        <v>0.16019144224386697</v>
      </c>
      <c r="BK201" s="137">
        <f>$W201*AP201+$L201*Summary_LCIA!AG$32</f>
        <v>1.3693490258866958E-2</v>
      </c>
      <c r="BL201" s="137">
        <f>$W201*AQ201+$L201*Summary_LCIA!AH$32</f>
        <v>2.2112236054689851</v>
      </c>
      <c r="BM201" s="137">
        <f>$W201*AR201+$L201*Summary_LCIA!AI$32</f>
        <v>0.41617375689634806</v>
      </c>
    </row>
    <row r="202" spans="1:65" x14ac:dyDescent="0.25">
      <c r="A202" s="149">
        <v>0</v>
      </c>
      <c r="B202" s="149">
        <v>43</v>
      </c>
      <c r="C202" s="61">
        <v>42.724305000000001</v>
      </c>
      <c r="D202" s="61">
        <v>-84.479605000000006</v>
      </c>
      <c r="E202" s="61" t="s">
        <v>265</v>
      </c>
      <c r="F202" s="149">
        <v>78</v>
      </c>
      <c r="G202" s="61" t="s">
        <v>615</v>
      </c>
      <c r="H202" s="61" t="s">
        <v>616</v>
      </c>
      <c r="I202" s="61">
        <v>42.216248999999998</v>
      </c>
      <c r="J202" s="61">
        <v>-83.355363999999994</v>
      </c>
      <c r="K202" s="61">
        <v>121.7981765</v>
      </c>
      <c r="L202" s="61">
        <v>141.471</v>
      </c>
      <c r="M202" s="61" t="s">
        <v>617</v>
      </c>
      <c r="N202" s="149">
        <v>42</v>
      </c>
      <c r="O202" s="149">
        <v>43</v>
      </c>
      <c r="P202" s="61" t="s">
        <v>565</v>
      </c>
      <c r="Q202" s="61" t="s">
        <v>555</v>
      </c>
      <c r="R202" s="61">
        <v>40.6895314</v>
      </c>
      <c r="S202" s="61">
        <v>-74.174462399999996</v>
      </c>
      <c r="T202" s="61">
        <v>1085.537</v>
      </c>
      <c r="U202" s="61" t="s">
        <v>617</v>
      </c>
      <c r="V202" s="61" t="s">
        <v>569</v>
      </c>
      <c r="W202" s="61" cm="1">
        <f t="array" ref="W202">getDistance(I202,J202,R202,S202)*SA!$B$12</f>
        <v>785.28633867682765</v>
      </c>
      <c r="Y202" s="137">
        <f>Transportation_LCIA!C$61*($W202^Transportation_LCIA!C$60)+Transportation_LCIA!C$62</f>
        <v>0.26330928953252508</v>
      </c>
      <c r="Z202" s="137">
        <f>Transportation_LCIA!D$61*($W202^Transportation_LCIA!D$60)+Transportation_LCIA!D$62</f>
        <v>2.7470263376439421</v>
      </c>
      <c r="AA202" s="137">
        <f>Transportation_LCIA!E$61*($W202^Transportation_LCIA!E$60)+Transportation_LCIA!E$62</f>
        <v>1.3559818236141058E-3</v>
      </c>
      <c r="AB202" s="137">
        <f>Transportation_LCIA!F$61*($W202^Transportation_LCIA!F$60)+Transportation_LCIA!F$62</f>
        <v>0.26330928953252508</v>
      </c>
      <c r="AC202" s="137">
        <f>Transportation_LCIA!G$61*($W202^Transportation_LCIA!G$60)+Transportation_LCIA!G$62</f>
        <v>6.4124466375910086E-2</v>
      </c>
      <c r="AD202" s="137">
        <f>Transportation_LCIA!H$61*($W202^Transportation_LCIA!H$60)+Transportation_LCIA!H$62</f>
        <v>3.23471252238349E-4</v>
      </c>
      <c r="AE202" s="137">
        <f>Transportation_LCIA!I$61*($W202^Transportation_LCIA!I$60)+Transportation_LCIA!I$62</f>
        <v>7.1006706958255214E-6</v>
      </c>
      <c r="AF202" s="137">
        <f>Transportation_LCIA!J$61*($W202^Transportation_LCIA!J$60)+Transportation_LCIA!J$62</f>
        <v>1.0525719899275952E-2</v>
      </c>
      <c r="AG202" s="137">
        <f>Transportation_LCIA!K$61*($W202^Transportation_LCIA!K$60)+Transportation_LCIA!K$62</f>
        <v>1.3797666560438151E-2</v>
      </c>
      <c r="AH202" s="137">
        <f>Transportation_LCIA!L$61*($W202^Transportation_LCIA!L$60)+Transportation_LCIA!L$62</f>
        <v>2.8284968621697246E-4</v>
      </c>
      <c r="AI202" s="137">
        <f>Transportation_LCIA!M$61*($W202^Transportation_LCIA!M$60)+Transportation_LCIA!M$62</f>
        <v>2.6937179467913046E-4</v>
      </c>
      <c r="AJ202" s="137">
        <f>Transportation_LCIA!N$61*($W202^Transportation_LCIA!N$60)+Transportation_LCIA!N$62</f>
        <v>1.1467213700117806E-3</v>
      </c>
      <c r="AK202" s="137">
        <f>Transportation_LCIA!O$61*($W202^Transportation_LCIA!O$60)+Transportation_LCIA!O$62</f>
        <v>6.7805651672599041E-5</v>
      </c>
      <c r="AL202" s="137">
        <f>Transportation_LCIA!P$61*($W202^Transportation_LCIA!P$60)+Transportation_LCIA!P$62</f>
        <v>3.2767641003522771E-8</v>
      </c>
      <c r="AM202" s="137">
        <f>Transportation_LCIA!Q$61*($W202^Transportation_LCIA!Q$60)+Transportation_LCIA!Q$62</f>
        <v>1.1176738524526752E-4</v>
      </c>
      <c r="AN202" s="137">
        <f>Transportation_LCIA!R$61*($W202^Transportation_LCIA!R$60)+Transportation_LCIA!R$62</f>
        <v>3.4134784719875682E-4</v>
      </c>
      <c r="AO202" s="137">
        <f>Transportation_LCIA!S$61*($W202^Transportation_LCIA!S$60)+Transportation_LCIA!S$62</f>
        <v>5.1017230769306004E-6</v>
      </c>
      <c r="AP202" s="137">
        <f>Transportation_LCIA!T$61*($W202^Transportation_LCIA!T$60)+Transportation_LCIA!T$62</f>
        <v>5.1017230769306004E-6</v>
      </c>
      <c r="AQ202" s="137">
        <f>Transportation_LCIA!U$61*($W202^Transportation_LCIA!U$60)+Transportation_LCIA!U$62</f>
        <v>7.3539020448969183E-4</v>
      </c>
      <c r="AR202" s="137">
        <f>Transportation_LCIA!V$61*($W202^Transportation_LCIA!V$60)+Transportation_LCIA!V$62</f>
        <v>2.9072294614169601E-4</v>
      </c>
      <c r="AT202" s="137">
        <f>$W202*Y202+$L202*Summary_LCIA!H$32</f>
        <v>254.84503371659338</v>
      </c>
      <c r="AU202" s="137">
        <f>$W202*Z202+$L202*Summary_LCIA!Q$32</f>
        <v>2858.3396657441695</v>
      </c>
      <c r="AV202" s="137">
        <f>$W202*AA202+$L202*Summary_LCIA!R$32</f>
        <v>1.8097636991782491</v>
      </c>
      <c r="AW202" s="137">
        <f>$W202*AB202+$L202*Summary_LCIA!S$32</f>
        <v>254.21973189659337</v>
      </c>
      <c r="AX202" s="137">
        <f>$W202*AC202+$L202*Summary_LCIA!T$32</f>
        <v>65.903730319943776</v>
      </c>
      <c r="AY202" s="137">
        <f>$W202*AD202+$L202*Summary_LCIA!U$32</f>
        <v>2.7883290493374613</v>
      </c>
      <c r="AZ202" s="137">
        <f>$W202*AE202+$L202*Summary_LCIA!V$32</f>
        <v>1.2332856123874667E-2</v>
      </c>
      <c r="BA202" s="137">
        <f>$W202*AF202+$L202*Summary_LCIA!W$32</f>
        <v>19.154868382640238</v>
      </c>
      <c r="BB202" s="137">
        <f>$W202*AG202+$L202*Summary_LCIA!X$32</f>
        <v>14.057828435530173</v>
      </c>
      <c r="BC202" s="137">
        <f>$W202*AH202+$L202*Summary_LCIA!Y$32</f>
        <v>2.426519116485216</v>
      </c>
      <c r="BD202" s="137">
        <f>$W202*AI202+$L202*Summary_LCIA!Z$32</f>
        <v>0.21733557462538053</v>
      </c>
      <c r="BE202" s="137">
        <f>$W202*AJ202+$L202*Summary_LCIA!AA$32</f>
        <v>4.2047013021390267</v>
      </c>
      <c r="BF202" s="137">
        <f>$W202*AK202+$L202*Summary_LCIA!AB$32</f>
        <v>5.0159530310571618E-2</v>
      </c>
      <c r="BG202" s="137">
        <f>$W202*AL202+$L202*Summary_LCIA!AC$32</f>
        <v>3.2647649194733088E-5</v>
      </c>
      <c r="BH202" s="137">
        <f>$W202*AM202+$L202*Summary_LCIA!AD$32</f>
        <v>0.14591964058273862</v>
      </c>
      <c r="BI202" s="137">
        <f>$W202*AN202+$L202*Summary_LCIA!AE$32</f>
        <v>0.39341749837192896</v>
      </c>
      <c r="BJ202" s="137">
        <f>$W202*AO202+$L202*Summary_LCIA!AF$32</f>
        <v>0.12360872625602591</v>
      </c>
      <c r="BK202" s="137">
        <f>$W202*AP202+$L202*Summary_LCIA!AG$32</f>
        <v>1.1244677151025912E-2</v>
      </c>
      <c r="BL202" s="137">
        <f>$W202*AQ202+$L202*Summary_LCIA!AH$32</f>
        <v>1.8087988767825136</v>
      </c>
      <c r="BM202" s="137">
        <f>$W202*AR202+$L202*Summary_LCIA!AI$32</f>
        <v>0.36008806799495302</v>
      </c>
    </row>
    <row r="203" spans="1:65" x14ac:dyDescent="0.25">
      <c r="A203" s="149">
        <v>117</v>
      </c>
      <c r="B203" s="149">
        <v>16</v>
      </c>
      <c r="C203" s="61">
        <v>41.720916000000003</v>
      </c>
      <c r="D203" s="61">
        <v>-93.629379999999998</v>
      </c>
      <c r="E203" s="61" t="s">
        <v>265</v>
      </c>
      <c r="F203" s="149">
        <v>121</v>
      </c>
      <c r="G203" s="61" t="s">
        <v>287</v>
      </c>
      <c r="H203" s="61" t="s">
        <v>290</v>
      </c>
      <c r="I203" s="61">
        <v>41.301873000000001</v>
      </c>
      <c r="J203" s="61">
        <v>-95.893741000000006</v>
      </c>
      <c r="K203" s="61">
        <v>200.06094519999999</v>
      </c>
      <c r="L203" s="61">
        <v>235.221</v>
      </c>
      <c r="M203" s="61" t="s">
        <v>617</v>
      </c>
      <c r="N203" s="149">
        <v>15</v>
      </c>
      <c r="O203" s="149">
        <v>16</v>
      </c>
      <c r="P203" s="61" t="s">
        <v>565</v>
      </c>
      <c r="Q203" s="61" t="s">
        <v>556</v>
      </c>
      <c r="R203" s="61">
        <v>39.856096299999997</v>
      </c>
      <c r="S203" s="61">
        <v>-104.6737376</v>
      </c>
      <c r="T203" s="61">
        <v>1086.0129999999999</v>
      </c>
      <c r="U203" s="61" t="s">
        <v>617</v>
      </c>
      <c r="V203" s="61" t="s">
        <v>569</v>
      </c>
      <c r="W203" s="61" cm="1">
        <f t="array" ref="W203">getDistance(I203,J203,R203,S203)*SA!$B$12</f>
        <v>760.23017443423055</v>
      </c>
      <c r="Y203" s="137">
        <f>Transportation_LCIA!C$61*($W203^Transportation_LCIA!C$60)+Transportation_LCIA!C$62</f>
        <v>0.26748484551114515</v>
      </c>
      <c r="Z203" s="137">
        <f>Transportation_LCIA!D$61*($W203^Transportation_LCIA!D$60)+Transportation_LCIA!D$62</f>
        <v>2.7962943838262628</v>
      </c>
      <c r="AA203" s="137">
        <f>Transportation_LCIA!E$61*($W203^Transportation_LCIA!E$60)+Transportation_LCIA!E$62</f>
        <v>1.3884751942841386E-3</v>
      </c>
      <c r="AB203" s="137">
        <f>Transportation_LCIA!F$61*($W203^Transportation_LCIA!F$60)+Transportation_LCIA!F$62</f>
        <v>0.26748484551114515</v>
      </c>
      <c r="AC203" s="137">
        <f>Transportation_LCIA!G$61*($W203^Transportation_LCIA!G$60)+Transportation_LCIA!G$62</f>
        <v>6.5263588445570703E-2</v>
      </c>
      <c r="AD203" s="137">
        <f>Transportation_LCIA!H$61*($W203^Transportation_LCIA!H$60)+Transportation_LCIA!H$62</f>
        <v>3.3065965062548244E-4</v>
      </c>
      <c r="AE203" s="137">
        <f>Transportation_LCIA!I$61*($W203^Transportation_LCIA!I$60)+Transportation_LCIA!I$62</f>
        <v>7.2834170269146907E-6</v>
      </c>
      <c r="AF203" s="137">
        <f>Transportation_LCIA!J$61*($W203^Transportation_LCIA!J$60)+Transportation_LCIA!J$62</f>
        <v>1.0799632316687686E-2</v>
      </c>
      <c r="AG203" s="137">
        <f>Transportation_LCIA!K$61*($W203^Transportation_LCIA!K$60)+Transportation_LCIA!K$62</f>
        <v>1.4065057563021365E-2</v>
      </c>
      <c r="AH203" s="137">
        <f>Transportation_LCIA!L$61*($W203^Transportation_LCIA!L$60)+Transportation_LCIA!L$62</f>
        <v>2.8947679027948659E-4</v>
      </c>
      <c r="AI203" s="137">
        <f>Transportation_LCIA!M$61*($W203^Transportation_LCIA!M$60)+Transportation_LCIA!M$62</f>
        <v>2.7334032688058045E-4</v>
      </c>
      <c r="AJ203" s="137">
        <f>Transportation_LCIA!N$61*($W203^Transportation_LCIA!N$60)+Transportation_LCIA!N$62</f>
        <v>1.1708710686252851E-3</v>
      </c>
      <c r="AK203" s="137">
        <f>Transportation_LCIA!O$61*($W203^Transportation_LCIA!O$60)+Transportation_LCIA!O$62</f>
        <v>6.9016481528209455E-5</v>
      </c>
      <c r="AL203" s="137">
        <f>Transportation_LCIA!P$61*($W203^Transportation_LCIA!P$60)+Transportation_LCIA!P$62</f>
        <v>3.3349318791163136E-8</v>
      </c>
      <c r="AM203" s="137">
        <f>Transportation_LCIA!Q$61*($W203^Transportation_LCIA!Q$60)+Transportation_LCIA!Q$62</f>
        <v>1.1436249903596694E-4</v>
      </c>
      <c r="AN203" s="137">
        <f>Transportation_LCIA!R$61*($W203^Transportation_LCIA!R$60)+Transportation_LCIA!R$62</f>
        <v>3.5011315764112876E-4</v>
      </c>
      <c r="AO203" s="137">
        <f>Transportation_LCIA!S$61*($W203^Transportation_LCIA!S$60)+Transportation_LCIA!S$62</f>
        <v>5.2260666576107602E-6</v>
      </c>
      <c r="AP203" s="137">
        <f>Transportation_LCIA!T$61*($W203^Transportation_LCIA!T$60)+Transportation_LCIA!T$62</f>
        <v>5.2260666576107602E-6</v>
      </c>
      <c r="AQ203" s="137">
        <f>Transportation_LCIA!U$61*($W203^Transportation_LCIA!U$60)+Transportation_LCIA!U$62</f>
        <v>7.5464857756149138E-4</v>
      </c>
      <c r="AR203" s="137">
        <f>Transportation_LCIA!V$61*($W203^Transportation_LCIA!V$60)+Transportation_LCIA!V$62</f>
        <v>2.9748725597587074E-4</v>
      </c>
      <c r="AT203" s="137">
        <f>$W203*Y203+$L203*Summary_LCIA!H$32</f>
        <v>283.27814656145108</v>
      </c>
      <c r="AU203" s="137">
        <f>$W203*Z203+$L203*Summary_LCIA!Q$32</f>
        <v>3291.5945060863924</v>
      </c>
      <c r="AV203" s="137">
        <f>$W203*AA203+$L203*Summary_LCIA!R$32</f>
        <v>2.2941404367482328</v>
      </c>
      <c r="AW203" s="137">
        <f>$W203*AB203+$L203*Summary_LCIA!S$32</f>
        <v>282.23846974145107</v>
      </c>
      <c r="AX203" s="137">
        <f>$W203*AC203+$L203*Summary_LCIA!T$32</f>
        <v>75.466137128180051</v>
      </c>
      <c r="AY203" s="137">
        <f>$W203*AD203+$L203*Summary_LCIA!U$32</f>
        <v>4.4651264378733728</v>
      </c>
      <c r="AZ203" s="137">
        <f>$W203*AE203+$L203*Summary_LCIA!V$32</f>
        <v>1.6771463577848599E-2</v>
      </c>
      <c r="BA203" s="137">
        <f>$W203*AF203+$L203*Summary_LCIA!W$32</f>
        <v>26.315401950941034</v>
      </c>
      <c r="BB203" s="137">
        <f>$W203*AG203+$L203*Summary_LCIA!X$32</f>
        <v>16.051015544563228</v>
      </c>
      <c r="BC203" s="137">
        <f>$W203*AH203+$L203*Summary_LCIA!Y$32</f>
        <v>3.8852826127688354</v>
      </c>
      <c r="BD203" s="137">
        <f>$W203*AI203+$L203*Summary_LCIA!Z$32</f>
        <v>0.21744774237333328</v>
      </c>
      <c r="BE203" s="137">
        <f>$W203*AJ203+$L203*Summary_LCIA!AA$32</f>
        <v>6.3839531927409938</v>
      </c>
      <c r="BF203" s="137">
        <f>$W203*AK203+$L203*Summary_LCIA!AB$32</f>
        <v>4.7335183908027531E-2</v>
      </c>
      <c r="BG203" s="137">
        <f>$W203*AL203+$L203*Summary_LCIA!AC$32</f>
        <v>3.6851701805868712E-5</v>
      </c>
      <c r="BH203" s="137">
        <f>$W203*AM203+$L203*Summary_LCIA!AD$32</f>
        <v>0.1836270624308477</v>
      </c>
      <c r="BI203" s="137">
        <f>$W203*AN203+$L203*Summary_LCIA!AE$32</f>
        <v>0.47460297163523457</v>
      </c>
      <c r="BJ203" s="137">
        <f>$W203*AO203+$L203*Summary_LCIA!AF$32</f>
        <v>0.20283355138672035</v>
      </c>
      <c r="BK203" s="137">
        <f>$W203*AP203+$L203*Summary_LCIA!AG$32</f>
        <v>1.6008096031720345E-2</v>
      </c>
      <c r="BL203" s="137">
        <f>$W203*AQ203+$L203*Summary_LCIA!AH$32</f>
        <v>2.6209761153561169</v>
      </c>
      <c r="BM203" s="137">
        <f>$W203*AR203+$L203*Summary_LCIA!AI$32</f>
        <v>0.44527891105249684</v>
      </c>
    </row>
    <row r="204" spans="1:65" x14ac:dyDescent="0.25">
      <c r="A204" s="149">
        <v>118</v>
      </c>
      <c r="B204" s="149">
        <v>16</v>
      </c>
      <c r="C204" s="61">
        <v>41.720916000000003</v>
      </c>
      <c r="D204" s="61">
        <v>-93.629379999999998</v>
      </c>
      <c r="E204" s="61" t="s">
        <v>265</v>
      </c>
      <c r="F204" s="149">
        <v>121</v>
      </c>
      <c r="G204" s="61" t="s">
        <v>287</v>
      </c>
      <c r="H204" s="61" t="s">
        <v>290</v>
      </c>
      <c r="I204" s="61">
        <v>41.301873000000001</v>
      </c>
      <c r="J204" s="61">
        <v>-95.893741000000006</v>
      </c>
      <c r="K204" s="61">
        <v>200.06094519999999</v>
      </c>
      <c r="L204" s="61">
        <v>235.221</v>
      </c>
      <c r="M204" s="61" t="s">
        <v>617</v>
      </c>
      <c r="N204" s="149">
        <v>15</v>
      </c>
      <c r="O204" s="149">
        <v>16</v>
      </c>
      <c r="P204" s="61" t="s">
        <v>565</v>
      </c>
      <c r="Q204" s="61" t="s">
        <v>556</v>
      </c>
      <c r="R204" s="61">
        <v>39.856096299999997</v>
      </c>
      <c r="S204" s="61">
        <v>-104.6737376</v>
      </c>
      <c r="T204" s="61">
        <v>1086.0129999999999</v>
      </c>
      <c r="U204" s="61" t="s">
        <v>617</v>
      </c>
      <c r="V204" s="61" t="s">
        <v>569</v>
      </c>
      <c r="W204" s="61" cm="1">
        <f t="array" ref="W204">getDistance(I204,J204,R204,S204)*SA!$B$12</f>
        <v>760.23017443423055</v>
      </c>
      <c r="Y204" s="137">
        <f>Transportation_LCIA!C$61*($W204^Transportation_LCIA!C$60)+Transportation_LCIA!C$62</f>
        <v>0.26748484551114515</v>
      </c>
      <c r="Z204" s="137">
        <f>Transportation_LCIA!D$61*($W204^Transportation_LCIA!D$60)+Transportation_LCIA!D$62</f>
        <v>2.7962943838262628</v>
      </c>
      <c r="AA204" s="137">
        <f>Transportation_LCIA!E$61*($W204^Transportation_LCIA!E$60)+Transportation_LCIA!E$62</f>
        <v>1.3884751942841386E-3</v>
      </c>
      <c r="AB204" s="137">
        <f>Transportation_LCIA!F$61*($W204^Transportation_LCIA!F$60)+Transportation_LCIA!F$62</f>
        <v>0.26748484551114515</v>
      </c>
      <c r="AC204" s="137">
        <f>Transportation_LCIA!G$61*($W204^Transportation_LCIA!G$60)+Transportation_LCIA!G$62</f>
        <v>6.5263588445570703E-2</v>
      </c>
      <c r="AD204" s="137">
        <f>Transportation_LCIA!H$61*($W204^Transportation_LCIA!H$60)+Transportation_LCIA!H$62</f>
        <v>3.3065965062548244E-4</v>
      </c>
      <c r="AE204" s="137">
        <f>Transportation_LCIA!I$61*($W204^Transportation_LCIA!I$60)+Transportation_LCIA!I$62</f>
        <v>7.2834170269146907E-6</v>
      </c>
      <c r="AF204" s="137">
        <f>Transportation_LCIA!J$61*($W204^Transportation_LCIA!J$60)+Transportation_LCIA!J$62</f>
        <v>1.0799632316687686E-2</v>
      </c>
      <c r="AG204" s="137">
        <f>Transportation_LCIA!K$61*($W204^Transportation_LCIA!K$60)+Transportation_LCIA!K$62</f>
        <v>1.4065057563021365E-2</v>
      </c>
      <c r="AH204" s="137">
        <f>Transportation_LCIA!L$61*($W204^Transportation_LCIA!L$60)+Transportation_LCIA!L$62</f>
        <v>2.8947679027948659E-4</v>
      </c>
      <c r="AI204" s="137">
        <f>Transportation_LCIA!M$61*($W204^Transportation_LCIA!M$60)+Transportation_LCIA!M$62</f>
        <v>2.7334032688058045E-4</v>
      </c>
      <c r="AJ204" s="137">
        <f>Transportation_LCIA!N$61*($W204^Transportation_LCIA!N$60)+Transportation_LCIA!N$62</f>
        <v>1.1708710686252851E-3</v>
      </c>
      <c r="AK204" s="137">
        <f>Transportation_LCIA!O$61*($W204^Transportation_LCIA!O$60)+Transportation_LCIA!O$62</f>
        <v>6.9016481528209455E-5</v>
      </c>
      <c r="AL204" s="137">
        <f>Transportation_LCIA!P$61*($W204^Transportation_LCIA!P$60)+Transportation_LCIA!P$62</f>
        <v>3.3349318791163136E-8</v>
      </c>
      <c r="AM204" s="137">
        <f>Transportation_LCIA!Q$61*($W204^Transportation_LCIA!Q$60)+Transportation_LCIA!Q$62</f>
        <v>1.1436249903596694E-4</v>
      </c>
      <c r="AN204" s="137">
        <f>Transportation_LCIA!R$61*($W204^Transportation_LCIA!R$60)+Transportation_LCIA!R$62</f>
        <v>3.5011315764112876E-4</v>
      </c>
      <c r="AO204" s="137">
        <f>Transportation_LCIA!S$61*($W204^Transportation_LCIA!S$60)+Transportation_LCIA!S$62</f>
        <v>5.2260666576107602E-6</v>
      </c>
      <c r="AP204" s="137">
        <f>Transportation_LCIA!T$61*($W204^Transportation_LCIA!T$60)+Transportation_LCIA!T$62</f>
        <v>5.2260666576107602E-6</v>
      </c>
      <c r="AQ204" s="137">
        <f>Transportation_LCIA!U$61*($W204^Transportation_LCIA!U$60)+Transportation_LCIA!U$62</f>
        <v>7.5464857756149138E-4</v>
      </c>
      <c r="AR204" s="137">
        <f>Transportation_LCIA!V$61*($W204^Transportation_LCIA!V$60)+Transportation_LCIA!V$62</f>
        <v>2.9748725597587074E-4</v>
      </c>
      <c r="AT204" s="137">
        <f>$W204*Y204+$L204*Summary_LCIA!H$32</f>
        <v>283.27814656145108</v>
      </c>
      <c r="AU204" s="137">
        <f>$W204*Z204+$L204*Summary_LCIA!Q$32</f>
        <v>3291.5945060863924</v>
      </c>
      <c r="AV204" s="137">
        <f>$W204*AA204+$L204*Summary_LCIA!R$32</f>
        <v>2.2941404367482328</v>
      </c>
      <c r="AW204" s="137">
        <f>$W204*AB204+$L204*Summary_LCIA!S$32</f>
        <v>282.23846974145107</v>
      </c>
      <c r="AX204" s="137">
        <f>$W204*AC204+$L204*Summary_LCIA!T$32</f>
        <v>75.466137128180051</v>
      </c>
      <c r="AY204" s="137">
        <f>$W204*AD204+$L204*Summary_LCIA!U$32</f>
        <v>4.4651264378733728</v>
      </c>
      <c r="AZ204" s="137">
        <f>$W204*AE204+$L204*Summary_LCIA!V$32</f>
        <v>1.6771463577848599E-2</v>
      </c>
      <c r="BA204" s="137">
        <f>$W204*AF204+$L204*Summary_LCIA!W$32</f>
        <v>26.315401950941034</v>
      </c>
      <c r="BB204" s="137">
        <f>$W204*AG204+$L204*Summary_LCIA!X$32</f>
        <v>16.051015544563228</v>
      </c>
      <c r="BC204" s="137">
        <f>$W204*AH204+$L204*Summary_LCIA!Y$32</f>
        <v>3.8852826127688354</v>
      </c>
      <c r="BD204" s="137">
        <f>$W204*AI204+$L204*Summary_LCIA!Z$32</f>
        <v>0.21744774237333328</v>
      </c>
      <c r="BE204" s="137">
        <f>$W204*AJ204+$L204*Summary_LCIA!AA$32</f>
        <v>6.3839531927409938</v>
      </c>
      <c r="BF204" s="137">
        <f>$W204*AK204+$L204*Summary_LCIA!AB$32</f>
        <v>4.7335183908027531E-2</v>
      </c>
      <c r="BG204" s="137">
        <f>$W204*AL204+$L204*Summary_LCIA!AC$32</f>
        <v>3.6851701805868712E-5</v>
      </c>
      <c r="BH204" s="137">
        <f>$W204*AM204+$L204*Summary_LCIA!AD$32</f>
        <v>0.1836270624308477</v>
      </c>
      <c r="BI204" s="137">
        <f>$W204*AN204+$L204*Summary_LCIA!AE$32</f>
        <v>0.47460297163523457</v>
      </c>
      <c r="BJ204" s="137">
        <f>$W204*AO204+$L204*Summary_LCIA!AF$32</f>
        <v>0.20283355138672035</v>
      </c>
      <c r="BK204" s="137">
        <f>$W204*AP204+$L204*Summary_LCIA!AG$32</f>
        <v>1.6008096031720345E-2</v>
      </c>
      <c r="BL204" s="137">
        <f>$W204*AQ204+$L204*Summary_LCIA!AH$32</f>
        <v>2.6209761153561169</v>
      </c>
      <c r="BM204" s="137">
        <f>$W204*AR204+$L204*Summary_LCIA!AI$32</f>
        <v>0.44527891105249684</v>
      </c>
    </row>
    <row r="205" spans="1:65" x14ac:dyDescent="0.25">
      <c r="A205" s="149">
        <v>49</v>
      </c>
      <c r="B205" s="149">
        <v>43</v>
      </c>
      <c r="C205" s="61">
        <v>35.612105</v>
      </c>
      <c r="D205" s="61">
        <v>-82.563284999999993</v>
      </c>
      <c r="E205" s="61" t="s">
        <v>265</v>
      </c>
      <c r="F205" s="149">
        <v>34</v>
      </c>
      <c r="G205" s="61" t="s">
        <v>565</v>
      </c>
      <c r="H205" s="61" t="s">
        <v>633</v>
      </c>
      <c r="I205" s="61">
        <v>35.214402999999997</v>
      </c>
      <c r="J205" s="61">
        <v>-80.947315000000003</v>
      </c>
      <c r="K205" s="61">
        <v>157.0640918</v>
      </c>
      <c r="L205" s="61">
        <v>199.89699999999999</v>
      </c>
      <c r="M205" s="61" t="s">
        <v>617</v>
      </c>
      <c r="N205" s="149">
        <v>42</v>
      </c>
      <c r="O205" s="149">
        <v>43</v>
      </c>
      <c r="P205" s="61" t="s">
        <v>565</v>
      </c>
      <c r="Q205" s="61" t="s">
        <v>555</v>
      </c>
      <c r="R205" s="61">
        <v>40.6895314</v>
      </c>
      <c r="S205" s="61">
        <v>-74.174462399999996</v>
      </c>
      <c r="T205" s="61">
        <v>1091.4839999999999</v>
      </c>
      <c r="U205" s="61" t="s">
        <v>617</v>
      </c>
      <c r="V205" s="61" t="s">
        <v>569</v>
      </c>
      <c r="W205" s="61" cm="1">
        <f t="array" ref="W205">getDistance(I205,J205,R205,S205)*SA!$B$12</f>
        <v>851.05121377634293</v>
      </c>
      <c r="Y205" s="137">
        <f>Transportation_LCIA!C$61*($W205^Transportation_LCIA!C$60)+Transportation_LCIA!C$62</f>
        <v>0.25343049240533111</v>
      </c>
      <c r="Z205" s="137">
        <f>Transportation_LCIA!D$61*($W205^Transportation_LCIA!D$60)+Transportation_LCIA!D$62</f>
        <v>2.6307480783429384</v>
      </c>
      <c r="AA205" s="137">
        <f>Transportation_LCIA!E$61*($W205^Transportation_LCIA!E$60)+Transportation_LCIA!E$62</f>
        <v>1.2793461318450019E-3</v>
      </c>
      <c r="AB205" s="137">
        <f>Transportation_LCIA!F$61*($W205^Transportation_LCIA!F$60)+Transportation_LCIA!F$62</f>
        <v>0.25343049240533111</v>
      </c>
      <c r="AC205" s="137">
        <f>Transportation_LCIA!G$61*($W205^Transportation_LCIA!G$60)+Transportation_LCIA!G$62</f>
        <v>6.1435625769608669E-2</v>
      </c>
      <c r="AD205" s="137">
        <f>Transportation_LCIA!H$61*($W205^Transportation_LCIA!H$60)+Transportation_LCIA!H$62</f>
        <v>3.065402716805851E-4</v>
      </c>
      <c r="AE205" s="137">
        <f>Transportation_LCIA!I$61*($W205^Transportation_LCIA!I$60)+Transportation_LCIA!I$62</f>
        <v>6.6711792632361422E-6</v>
      </c>
      <c r="AF205" s="137">
        <f>Transportation_LCIA!J$61*($W205^Transportation_LCIA!J$60)+Transportation_LCIA!J$62</f>
        <v>9.8828828449766624E-3</v>
      </c>
      <c r="AG205" s="137">
        <f>Transportation_LCIA!K$61*($W205^Transportation_LCIA!K$60)+Transportation_LCIA!K$62</f>
        <v>1.3167278527053671E-2</v>
      </c>
      <c r="AH205" s="137">
        <f>Transportation_LCIA!L$61*($W205^Transportation_LCIA!L$60)+Transportation_LCIA!L$62</f>
        <v>2.6725039435791071E-4</v>
      </c>
      <c r="AI205" s="137">
        <f>Transportation_LCIA!M$61*($W205^Transportation_LCIA!M$60)+Transportation_LCIA!M$62</f>
        <v>2.6002531765647143E-4</v>
      </c>
      <c r="AJ205" s="137">
        <f>Transportation_LCIA!N$61*($W205^Transportation_LCIA!N$60)+Transportation_LCIA!N$62</f>
        <v>1.0898312653906447E-3</v>
      </c>
      <c r="AK205" s="137">
        <f>Transportation_LCIA!O$61*($W205^Transportation_LCIA!O$60)+Transportation_LCIA!O$62</f>
        <v>6.4947739462206474E-5</v>
      </c>
      <c r="AL205" s="137">
        <f>Transportation_LCIA!P$61*($W205^Transportation_LCIA!P$60)+Transportation_LCIA!P$62</f>
        <v>3.139446307580722E-8</v>
      </c>
      <c r="AM205" s="137">
        <f>Transportation_LCIA!Q$61*($W205^Transportation_LCIA!Q$60)+Transportation_LCIA!Q$62</f>
        <v>1.0566088004157003E-4</v>
      </c>
      <c r="AN205" s="137">
        <f>Transportation_LCIA!R$61*($W205^Transportation_LCIA!R$60)+Transportation_LCIA!R$62</f>
        <v>3.2074864831290064E-4</v>
      </c>
      <c r="AO205" s="137">
        <f>Transportation_LCIA!S$61*($W205^Transportation_LCIA!S$60)+Transportation_LCIA!S$62</f>
        <v>4.8094770187755473E-6</v>
      </c>
      <c r="AP205" s="137">
        <f>Transportation_LCIA!T$61*($W205^Transportation_LCIA!T$60)+Transportation_LCIA!T$62</f>
        <v>4.8094770187755473E-6</v>
      </c>
      <c r="AQ205" s="137">
        <f>Transportation_LCIA!U$61*($W205^Transportation_LCIA!U$60)+Transportation_LCIA!U$62</f>
        <v>6.9015010201870343E-4</v>
      </c>
      <c r="AR205" s="137">
        <f>Transportation_LCIA!V$61*($W205^Transportation_LCIA!V$60)+Transportation_LCIA!V$62</f>
        <v>2.7481283900177808E-4</v>
      </c>
      <c r="AT205" s="137">
        <f>$W205*Y205+$L205*Summary_LCIA!H$32</f>
        <v>283.60732876949328</v>
      </c>
      <c r="AU205" s="137">
        <f>$W205*Z205+$L205*Summary_LCIA!Q$32</f>
        <v>3229.6009586189402</v>
      </c>
      <c r="AV205" s="137">
        <f>$W205*AA205+$L205*Summary_LCIA!R$32</f>
        <v>2.141366721546758</v>
      </c>
      <c r="AW205" s="137">
        <f>$W205*AB205+$L205*Summary_LCIA!S$32</f>
        <v>282.72378402949329</v>
      </c>
      <c r="AX205" s="137">
        <f>$W205*AC205+$L205*Summary_LCIA!T$32</f>
        <v>74.253544180334629</v>
      </c>
      <c r="AY205" s="137">
        <f>$W205*AD205+$L205*Summary_LCIA!U$32</f>
        <v>3.8418363282850914</v>
      </c>
      <c r="AZ205" s="137">
        <f>$W205*AE205+$L205*Summary_LCIA!V$32</f>
        <v>1.5224795826296687E-2</v>
      </c>
      <c r="BA205" s="137">
        <f>$W205*AF205+$L205*Summary_LCIA!W$32</f>
        <v>23.797111427826785</v>
      </c>
      <c r="BB205" s="137">
        <f>$W205*AG205+$L205*Summary_LCIA!X$32</f>
        <v>15.759682032580203</v>
      </c>
      <c r="BC205" s="137">
        <f>$W205*AH205+$L205*Summary_LCIA!Y$32</f>
        <v>3.3422388265005063</v>
      </c>
      <c r="BD205" s="137">
        <f>$W205*AI205+$L205*Summary_LCIA!Z$32</f>
        <v>0.22949243827711915</v>
      </c>
      <c r="BE205" s="137">
        <f>$W205*AJ205+$L205*Summary_LCIA!AA$32</f>
        <v>5.5962965532221149</v>
      </c>
      <c r="BF205" s="137">
        <f>$W205*AK205+$L205*Summary_LCIA!AB$32</f>
        <v>5.0911500270340512E-2</v>
      </c>
      <c r="BG205" s="137">
        <f>$W205*AL205+$L205*Summary_LCIA!AC$32</f>
        <v>3.6490060854522313E-5</v>
      </c>
      <c r="BH205" s="137">
        <f>$W205*AM205+$L205*Summary_LCIA!AD$32</f>
        <v>0.17208848308805474</v>
      </c>
      <c r="BI205" s="137">
        <f>$W205*AN205+$L205*Summary_LCIA!AE$32</f>
        <v>0.45010825507381547</v>
      </c>
      <c r="BJ205" s="137">
        <f>$W205*AO205+$L205*Summary_LCIA!AF$32</f>
        <v>0.17309003299445835</v>
      </c>
      <c r="BK205" s="137">
        <f>$W205*AP205+$L205*Summary_LCIA!AG$32</f>
        <v>1.4320841259458357E-2</v>
      </c>
      <c r="BL205" s="137">
        <f>$W205*AQ205+$L205*Summary_LCIA!AH$32</f>
        <v>2.3271766112108843</v>
      </c>
      <c r="BM205" s="137">
        <f>$W205*AR205+$L205*Summary_LCIA!AI$32</f>
        <v>0.42009385054378595</v>
      </c>
    </row>
    <row r="206" spans="1:65" x14ac:dyDescent="0.25">
      <c r="A206" s="149">
        <v>248</v>
      </c>
      <c r="B206" s="149">
        <v>43</v>
      </c>
      <c r="C206" s="61">
        <v>38.019613999999997</v>
      </c>
      <c r="D206" s="61">
        <v>-84.499448999999998</v>
      </c>
      <c r="E206" s="61" t="s">
        <v>265</v>
      </c>
      <c r="F206" s="149">
        <v>109</v>
      </c>
      <c r="G206" s="61" t="s">
        <v>273</v>
      </c>
      <c r="H206" s="61" t="s">
        <v>665</v>
      </c>
      <c r="I206" s="61">
        <v>39.053274999999999</v>
      </c>
      <c r="J206" s="61">
        <v>-84.663016999999996</v>
      </c>
      <c r="K206" s="61">
        <v>172.19998559999999</v>
      </c>
      <c r="L206" s="61">
        <v>132.86199999999999</v>
      </c>
      <c r="M206" s="61" t="s">
        <v>617</v>
      </c>
      <c r="N206" s="149">
        <v>42</v>
      </c>
      <c r="O206" s="149">
        <v>43</v>
      </c>
      <c r="P206" s="61" t="s">
        <v>565</v>
      </c>
      <c r="Q206" s="61" t="s">
        <v>555</v>
      </c>
      <c r="R206" s="61">
        <v>40.6895314</v>
      </c>
      <c r="S206" s="61">
        <v>-74.174462399999996</v>
      </c>
      <c r="T206" s="61">
        <v>1120.1420000000001</v>
      </c>
      <c r="U206" s="61" t="s">
        <v>617</v>
      </c>
      <c r="V206" s="61" t="s">
        <v>569</v>
      </c>
      <c r="W206" s="61" cm="1">
        <f t="array" ref="W206">getDistance(I206,J206,R206,S206)*SA!$B$12</f>
        <v>915.01827883082876</v>
      </c>
      <c r="Y206" s="137">
        <f>Transportation_LCIA!C$61*($W206^Transportation_LCIA!C$60)+Transportation_LCIA!C$62</f>
        <v>0.24508171468399292</v>
      </c>
      <c r="Z206" s="137">
        <f>Transportation_LCIA!D$61*($W206^Transportation_LCIA!D$60)+Transportation_LCIA!D$62</f>
        <v>2.5328048771991467</v>
      </c>
      <c r="AA206" s="137">
        <f>Transportation_LCIA!E$61*($W206^Transportation_LCIA!E$60)+Transportation_LCIA!E$62</f>
        <v>1.2148548077088356E-3</v>
      </c>
      <c r="AB206" s="137">
        <f>Transportation_LCIA!F$61*($W206^Transportation_LCIA!F$60)+Transportation_LCIA!F$62</f>
        <v>0.24508171468399292</v>
      </c>
      <c r="AC206" s="137">
        <f>Transportation_LCIA!G$61*($W206^Transportation_LCIA!G$60)+Transportation_LCIA!G$62</f>
        <v>5.9170329585574666E-2</v>
      </c>
      <c r="AD206" s="137">
        <f>Transportation_LCIA!H$61*($W206^Transportation_LCIA!H$60)+Transportation_LCIA!H$62</f>
        <v>2.9231858342516052E-4</v>
      </c>
      <c r="AE206" s="137">
        <f>Transportation_LCIA!I$61*($W206^Transportation_LCIA!I$60)+Transportation_LCIA!I$62</f>
        <v>6.3114853221521224E-6</v>
      </c>
      <c r="AF206" s="137">
        <f>Transportation_LCIA!J$61*($W206^Transportation_LCIA!J$60)+Transportation_LCIA!J$62</f>
        <v>9.3455586085162082E-3</v>
      </c>
      <c r="AG206" s="137">
        <f>Transportation_LCIA!K$61*($W206^Transportation_LCIA!K$60)+Transportation_LCIA!K$62</f>
        <v>1.2637079562947537E-2</v>
      </c>
      <c r="AH206" s="137">
        <f>Transportation_LCIA!L$61*($W206^Transportation_LCIA!L$60)+Transportation_LCIA!L$62</f>
        <v>2.541583799233985E-4</v>
      </c>
      <c r="AI206" s="137">
        <f>Transportation_LCIA!M$61*($W206^Transportation_LCIA!M$60)+Transportation_LCIA!M$62</f>
        <v>2.5217525107441461E-4</v>
      </c>
      <c r="AJ206" s="137">
        <f>Transportation_LCIA!N$61*($W206^Transportation_LCIA!N$60)+Transportation_LCIA!N$62</f>
        <v>1.0420334194552491E-3</v>
      </c>
      <c r="AK206" s="137">
        <f>Transportation_LCIA!O$61*($W206^Transportation_LCIA!O$60)+Transportation_LCIA!O$62</f>
        <v>6.254022356013657E-5</v>
      </c>
      <c r="AL206" s="137">
        <f>Transportation_LCIA!P$61*($W206^Transportation_LCIA!P$60)+Transportation_LCIA!P$62</f>
        <v>3.023740695269791E-8</v>
      </c>
      <c r="AM206" s="137">
        <f>Transportation_LCIA!Q$61*($W206^Transportation_LCIA!Q$60)+Transportation_LCIA!Q$62</f>
        <v>1.0053820900572278E-4</v>
      </c>
      <c r="AN206" s="137">
        <f>Transportation_LCIA!R$61*($W206^Transportation_LCIA!R$60)+Transportation_LCIA!R$62</f>
        <v>3.0349830407116882E-4</v>
      </c>
      <c r="AO206" s="137">
        <f>Transportation_LCIA!S$61*($W206^Transportation_LCIA!S$60)+Transportation_LCIA!S$62</f>
        <v>4.5647094502067623E-6</v>
      </c>
      <c r="AP206" s="137">
        <f>Transportation_LCIA!T$61*($W206^Transportation_LCIA!T$60)+Transportation_LCIA!T$62</f>
        <v>4.5647094502067623E-6</v>
      </c>
      <c r="AQ206" s="137">
        <f>Transportation_LCIA!U$61*($W206^Transportation_LCIA!U$60)+Transportation_LCIA!U$62</f>
        <v>6.5228612344084259E-4</v>
      </c>
      <c r="AR206" s="137">
        <f>Transportation_LCIA!V$61*($W206^Transportation_LCIA!V$60)+Transportation_LCIA!V$62</f>
        <v>2.6147388914577244E-4</v>
      </c>
      <c r="AT206" s="137">
        <f>$W206*Y206+$L206*Summary_LCIA!H$32</f>
        <v>269.40075634305543</v>
      </c>
      <c r="AU206" s="137">
        <f>$W206*Z206+$L206*Summary_LCIA!Q$32</f>
        <v>2976.0335319783376</v>
      </c>
      <c r="AV206" s="137">
        <f>$W206*AA206+$L206*Summary_LCIA!R$32</f>
        <v>1.8112125023790961</v>
      </c>
      <c r="AW206" s="137">
        <f>$W206*AB206+$L206*Summary_LCIA!S$32</f>
        <v>268.81350630305548</v>
      </c>
      <c r="AX206" s="137">
        <f>$W206*AC206+$L206*Summary_LCIA!T$32</f>
        <v>68.743466935245394</v>
      </c>
      <c r="AY206" s="137">
        <f>$W206*AD206+$L206*Summary_LCIA!U$32</f>
        <v>2.6475667150759561</v>
      </c>
      <c r="AZ206" s="137">
        <f>$W206*AE206+$L206*Summary_LCIA!V$32</f>
        <v>1.2120746418341674E-2</v>
      </c>
      <c r="BA206" s="137">
        <f>$W206*AF206+$L206*Summary_LCIA!W$32</f>
        <v>18.777877954677137</v>
      </c>
      <c r="BB206" s="137">
        <f>$W206*AG206+$L206*Summary_LCIA!X$32</f>
        <v>14.589755151136497</v>
      </c>
      <c r="BC206" s="137">
        <f>$W206*AH206+$L206*Summary_LCIA!Y$32</f>
        <v>2.3028152473479402</v>
      </c>
      <c r="BD206" s="137">
        <f>$W206*AI206+$L206*Summary_LCIA!Z$32</f>
        <v>0.23619350195984296</v>
      </c>
      <c r="BE206" s="137">
        <f>$W206*AJ206+$L206*Summary_LCIA!AA$32</f>
        <v>4.0566044979541447</v>
      </c>
      <c r="BF206" s="137">
        <f>$W206*AK206+$L206*Summary_LCIA!AB$32</f>
        <v>5.4326000293691411E-2</v>
      </c>
      <c r="BG206" s="137">
        <f>$W206*AL206+$L206*Summary_LCIA!AC$32</f>
        <v>3.4162606074164979E-5</v>
      </c>
      <c r="BH206" s="137">
        <f>$W206*AM206+$L206*Summary_LCIA!AD$32</f>
        <v>0.1466058954411506</v>
      </c>
      <c r="BI206" s="137">
        <f>$W206*AN206+$L206*Summary_LCIA!AE$32</f>
        <v>0.3954394998792764</v>
      </c>
      <c r="BJ206" s="137">
        <f>$W206*AO206+$L206*Summary_LCIA!AF$32</f>
        <v>0.11650098462449102</v>
      </c>
      <c r="BK206" s="137">
        <f>$W206*AP206+$L206*Summary_LCIA!AG$32</f>
        <v>1.097467681449101E-2</v>
      </c>
      <c r="BL206" s="137">
        <f>$W206*AQ206+$L206*Summary_LCIA!AH$32</f>
        <v>1.7532314291760733</v>
      </c>
      <c r="BM206" s="137">
        <f>$W206*AR206+$L206*Summary_LCIA!AI$32</f>
        <v>0.36302098410536759</v>
      </c>
    </row>
    <row r="207" spans="1:65" x14ac:dyDescent="0.25">
      <c r="A207" s="149">
        <v>129</v>
      </c>
      <c r="B207" s="149">
        <v>16</v>
      </c>
      <c r="C207" s="61">
        <v>42.028866000000001</v>
      </c>
      <c r="D207" s="61">
        <v>-93.648031000000003</v>
      </c>
      <c r="E207" s="61" t="s">
        <v>265</v>
      </c>
      <c r="F207" s="149">
        <v>121</v>
      </c>
      <c r="G207" s="61" t="s">
        <v>287</v>
      </c>
      <c r="H207" s="61" t="s">
        <v>290</v>
      </c>
      <c r="I207" s="61">
        <v>41.301873000000001</v>
      </c>
      <c r="J207" s="61">
        <v>-95.893741000000006</v>
      </c>
      <c r="K207" s="61">
        <v>222.912556</v>
      </c>
      <c r="L207" s="61">
        <v>279.464</v>
      </c>
      <c r="M207" s="61" t="s">
        <v>617</v>
      </c>
      <c r="N207" s="149">
        <v>15</v>
      </c>
      <c r="O207" s="149">
        <v>16</v>
      </c>
      <c r="P207" s="61" t="s">
        <v>565</v>
      </c>
      <c r="Q207" s="61" t="s">
        <v>556</v>
      </c>
      <c r="R207" s="61">
        <v>39.856096299999997</v>
      </c>
      <c r="S207" s="61">
        <v>-104.6737376</v>
      </c>
      <c r="T207" s="61">
        <v>1130.2560000000001</v>
      </c>
      <c r="U207" s="61" t="s">
        <v>617</v>
      </c>
      <c r="V207" s="61" t="s">
        <v>569</v>
      </c>
      <c r="W207" s="61" cm="1">
        <f t="array" ref="W207">getDistance(I207,J207,R207,S207)*SA!$B$12</f>
        <v>760.23017443423055</v>
      </c>
      <c r="Y207" s="137">
        <f>Transportation_LCIA!C$61*($W207^Transportation_LCIA!C$60)+Transportation_LCIA!C$62</f>
        <v>0.26748484551114515</v>
      </c>
      <c r="Z207" s="137">
        <f>Transportation_LCIA!D$61*($W207^Transportation_LCIA!D$60)+Transportation_LCIA!D$62</f>
        <v>2.7962943838262628</v>
      </c>
      <c r="AA207" s="137">
        <f>Transportation_LCIA!E$61*($W207^Transportation_LCIA!E$60)+Transportation_LCIA!E$62</f>
        <v>1.3884751942841386E-3</v>
      </c>
      <c r="AB207" s="137">
        <f>Transportation_LCIA!F$61*($W207^Transportation_LCIA!F$60)+Transportation_LCIA!F$62</f>
        <v>0.26748484551114515</v>
      </c>
      <c r="AC207" s="137">
        <f>Transportation_LCIA!G$61*($W207^Transportation_LCIA!G$60)+Transportation_LCIA!G$62</f>
        <v>6.5263588445570703E-2</v>
      </c>
      <c r="AD207" s="137">
        <f>Transportation_LCIA!H$61*($W207^Transportation_LCIA!H$60)+Transportation_LCIA!H$62</f>
        <v>3.3065965062548244E-4</v>
      </c>
      <c r="AE207" s="137">
        <f>Transportation_LCIA!I$61*($W207^Transportation_LCIA!I$60)+Transportation_LCIA!I$62</f>
        <v>7.2834170269146907E-6</v>
      </c>
      <c r="AF207" s="137">
        <f>Transportation_LCIA!J$61*($W207^Transportation_LCIA!J$60)+Transportation_LCIA!J$62</f>
        <v>1.0799632316687686E-2</v>
      </c>
      <c r="AG207" s="137">
        <f>Transportation_LCIA!K$61*($W207^Transportation_LCIA!K$60)+Transportation_LCIA!K$62</f>
        <v>1.4065057563021365E-2</v>
      </c>
      <c r="AH207" s="137">
        <f>Transportation_LCIA!L$61*($W207^Transportation_LCIA!L$60)+Transportation_LCIA!L$62</f>
        <v>2.8947679027948659E-4</v>
      </c>
      <c r="AI207" s="137">
        <f>Transportation_LCIA!M$61*($W207^Transportation_LCIA!M$60)+Transportation_LCIA!M$62</f>
        <v>2.7334032688058045E-4</v>
      </c>
      <c r="AJ207" s="137">
        <f>Transportation_LCIA!N$61*($W207^Transportation_LCIA!N$60)+Transportation_LCIA!N$62</f>
        <v>1.1708710686252851E-3</v>
      </c>
      <c r="AK207" s="137">
        <f>Transportation_LCIA!O$61*($W207^Transportation_LCIA!O$60)+Transportation_LCIA!O$62</f>
        <v>6.9016481528209455E-5</v>
      </c>
      <c r="AL207" s="137">
        <f>Transportation_LCIA!P$61*($W207^Transportation_LCIA!P$60)+Transportation_LCIA!P$62</f>
        <v>3.3349318791163136E-8</v>
      </c>
      <c r="AM207" s="137">
        <f>Transportation_LCIA!Q$61*($W207^Transportation_LCIA!Q$60)+Transportation_LCIA!Q$62</f>
        <v>1.1436249903596694E-4</v>
      </c>
      <c r="AN207" s="137">
        <f>Transportation_LCIA!R$61*($W207^Transportation_LCIA!R$60)+Transportation_LCIA!R$62</f>
        <v>3.5011315764112876E-4</v>
      </c>
      <c r="AO207" s="137">
        <f>Transportation_LCIA!S$61*($W207^Transportation_LCIA!S$60)+Transportation_LCIA!S$62</f>
        <v>5.2260666576107602E-6</v>
      </c>
      <c r="AP207" s="137">
        <f>Transportation_LCIA!T$61*($W207^Transportation_LCIA!T$60)+Transportation_LCIA!T$62</f>
        <v>5.2260666576107602E-6</v>
      </c>
      <c r="AQ207" s="137">
        <f>Transportation_LCIA!U$61*($W207^Transportation_LCIA!U$60)+Transportation_LCIA!U$62</f>
        <v>7.5464857756149138E-4</v>
      </c>
      <c r="AR207" s="137">
        <f>Transportation_LCIA!V$61*($W207^Transportation_LCIA!V$60)+Transportation_LCIA!V$62</f>
        <v>2.9748725597587074E-4</v>
      </c>
      <c r="AT207" s="137">
        <f>$W207*Y207+$L207*Summary_LCIA!H$32</f>
        <v>298.31191796145106</v>
      </c>
      <c r="AU207" s="137">
        <f>$W207*Z207+$L207*Summary_LCIA!Q$32</f>
        <v>3510.8650453936111</v>
      </c>
      <c r="AV207" s="137">
        <f>$W207*AA207+$L207*Summary_LCIA!R$32</f>
        <v>2.5271063775482325</v>
      </c>
      <c r="AW207" s="137">
        <f>$W207*AB207+$L207*Summary_LCIA!S$32</f>
        <v>297.0766870814511</v>
      </c>
      <c r="AX207" s="137">
        <f>$W207*AC207+$L207*Summary_LCIA!T$32</f>
        <v>80.328442828180044</v>
      </c>
      <c r="AY207" s="137">
        <f>$W207*AD207+$L207*Summary_LCIA!U$32</f>
        <v>5.2576955398733727</v>
      </c>
      <c r="AZ207" s="137">
        <f>$W207*AE207+$L207*Summary_LCIA!V$32</f>
        <v>1.8884553500848601E-2</v>
      </c>
      <c r="BA207" s="137">
        <f>$W207*AF207+$L207*Summary_LCIA!W$32</f>
        <v>29.720829903941031</v>
      </c>
      <c r="BB207" s="137">
        <f>$W207*AG207+$L207*Summary_LCIA!X$32</f>
        <v>17.058871084563226</v>
      </c>
      <c r="BC207" s="137">
        <f>$W207*AH207+$L207*Summary_LCIA!Y$32</f>
        <v>4.5746770387688356</v>
      </c>
      <c r="BD207" s="137">
        <f>$W207*AI207+$L207*Summary_LCIA!Z$32</f>
        <v>0.21926210356033329</v>
      </c>
      <c r="BE207" s="137">
        <f>$W207*AJ207+$L207*Summary_LCIA!AA$32</f>
        <v>7.4172927007409939</v>
      </c>
      <c r="BF207" s="137">
        <f>$W207*AK207+$L207*Summary_LCIA!AB$32</f>
        <v>4.636966891902753E-2</v>
      </c>
      <c r="BG207" s="137">
        <f>$W207*AL207+$L207*Summary_LCIA!AC$32</f>
        <v>3.9014476617868717E-5</v>
      </c>
      <c r="BH207" s="137">
        <f>$W207*AM207+$L207*Summary_LCIA!AD$32</f>
        <v>0.20181270515084768</v>
      </c>
      <c r="BI207" s="137">
        <f>$W207*AN207+$L207*Summary_LCIA!AE$32</f>
        <v>0.51380802122523461</v>
      </c>
      <c r="BJ207" s="137">
        <f>$W207*AO207+$L207*Summary_LCIA!AF$32</f>
        <v>0.24023746844672034</v>
      </c>
      <c r="BK207" s="137">
        <f>$W207*AP207+$L207*Summary_LCIA!AG$32</f>
        <v>1.8271789126720346E-2</v>
      </c>
      <c r="BL207" s="137">
        <f>$W207*AQ207+$L207*Summary_LCIA!AH$32</f>
        <v>3.006049490156117</v>
      </c>
      <c r="BM207" s="137">
        <f>$W207*AR207+$L207*Summary_LCIA!AI$32</f>
        <v>0.48649347770249679</v>
      </c>
    </row>
    <row r="208" spans="1:65" x14ac:dyDescent="0.25">
      <c r="A208" s="149">
        <v>97</v>
      </c>
      <c r="B208" s="149">
        <v>43</v>
      </c>
      <c r="C208" s="61">
        <v>34.814366999999997</v>
      </c>
      <c r="D208" s="61">
        <v>-82.327129999999997</v>
      </c>
      <c r="E208" s="61" t="s">
        <v>265</v>
      </c>
      <c r="F208" s="149">
        <v>34</v>
      </c>
      <c r="G208" s="61" t="s">
        <v>565</v>
      </c>
      <c r="H208" s="61" t="s">
        <v>633</v>
      </c>
      <c r="I208" s="61">
        <v>35.214402999999997</v>
      </c>
      <c r="J208" s="61">
        <v>-80.947315000000003</v>
      </c>
      <c r="K208" s="61">
        <v>145.6865875</v>
      </c>
      <c r="L208" s="61">
        <v>156.35</v>
      </c>
      <c r="M208" s="61" t="s">
        <v>617</v>
      </c>
      <c r="N208" s="149">
        <v>42</v>
      </c>
      <c r="O208" s="149">
        <v>43</v>
      </c>
      <c r="P208" s="61" t="s">
        <v>565</v>
      </c>
      <c r="Q208" s="61" t="s">
        <v>555</v>
      </c>
      <c r="R208" s="61">
        <v>40.6895314</v>
      </c>
      <c r="S208" s="61">
        <v>-74.174462399999996</v>
      </c>
      <c r="T208" s="61">
        <v>1136.614</v>
      </c>
      <c r="U208" s="61" t="s">
        <v>617</v>
      </c>
      <c r="V208" s="61" t="s">
        <v>569</v>
      </c>
      <c r="W208" s="61" cm="1">
        <f t="array" ref="W208">getDistance(I208,J208,R208,S208)*SA!$B$12</f>
        <v>851.05121377634293</v>
      </c>
      <c r="Y208" s="137">
        <f>Transportation_LCIA!C$61*($W208^Transportation_LCIA!C$60)+Transportation_LCIA!C$62</f>
        <v>0.25343049240533111</v>
      </c>
      <c r="Z208" s="137">
        <f>Transportation_LCIA!D$61*($W208^Transportation_LCIA!D$60)+Transportation_LCIA!D$62</f>
        <v>2.6307480783429384</v>
      </c>
      <c r="AA208" s="137">
        <f>Transportation_LCIA!E$61*($W208^Transportation_LCIA!E$60)+Transportation_LCIA!E$62</f>
        <v>1.2793461318450019E-3</v>
      </c>
      <c r="AB208" s="137">
        <f>Transportation_LCIA!F$61*($W208^Transportation_LCIA!F$60)+Transportation_LCIA!F$62</f>
        <v>0.25343049240533111</v>
      </c>
      <c r="AC208" s="137">
        <f>Transportation_LCIA!G$61*($W208^Transportation_LCIA!G$60)+Transportation_LCIA!G$62</f>
        <v>6.1435625769608669E-2</v>
      </c>
      <c r="AD208" s="137">
        <f>Transportation_LCIA!H$61*($W208^Transportation_LCIA!H$60)+Transportation_LCIA!H$62</f>
        <v>3.065402716805851E-4</v>
      </c>
      <c r="AE208" s="137">
        <f>Transportation_LCIA!I$61*($W208^Transportation_LCIA!I$60)+Transportation_LCIA!I$62</f>
        <v>6.6711792632361422E-6</v>
      </c>
      <c r="AF208" s="137">
        <f>Transportation_LCIA!J$61*($W208^Transportation_LCIA!J$60)+Transportation_LCIA!J$62</f>
        <v>9.8828828449766624E-3</v>
      </c>
      <c r="AG208" s="137">
        <f>Transportation_LCIA!K$61*($W208^Transportation_LCIA!K$60)+Transportation_LCIA!K$62</f>
        <v>1.3167278527053671E-2</v>
      </c>
      <c r="AH208" s="137">
        <f>Transportation_LCIA!L$61*($W208^Transportation_LCIA!L$60)+Transportation_LCIA!L$62</f>
        <v>2.6725039435791071E-4</v>
      </c>
      <c r="AI208" s="137">
        <f>Transportation_LCIA!M$61*($W208^Transportation_LCIA!M$60)+Transportation_LCIA!M$62</f>
        <v>2.6002531765647143E-4</v>
      </c>
      <c r="AJ208" s="137">
        <f>Transportation_LCIA!N$61*($W208^Transportation_LCIA!N$60)+Transportation_LCIA!N$62</f>
        <v>1.0898312653906447E-3</v>
      </c>
      <c r="AK208" s="137">
        <f>Transportation_LCIA!O$61*($W208^Transportation_LCIA!O$60)+Transportation_LCIA!O$62</f>
        <v>6.4947739462206474E-5</v>
      </c>
      <c r="AL208" s="137">
        <f>Transportation_LCIA!P$61*($W208^Transportation_LCIA!P$60)+Transportation_LCIA!P$62</f>
        <v>3.139446307580722E-8</v>
      </c>
      <c r="AM208" s="137">
        <f>Transportation_LCIA!Q$61*($W208^Transportation_LCIA!Q$60)+Transportation_LCIA!Q$62</f>
        <v>1.0566088004157003E-4</v>
      </c>
      <c r="AN208" s="137">
        <f>Transportation_LCIA!R$61*($W208^Transportation_LCIA!R$60)+Transportation_LCIA!R$62</f>
        <v>3.2074864831290064E-4</v>
      </c>
      <c r="AO208" s="137">
        <f>Transportation_LCIA!S$61*($W208^Transportation_LCIA!S$60)+Transportation_LCIA!S$62</f>
        <v>4.8094770187755473E-6</v>
      </c>
      <c r="AP208" s="137">
        <f>Transportation_LCIA!T$61*($W208^Transportation_LCIA!T$60)+Transportation_LCIA!T$62</f>
        <v>4.8094770187755473E-6</v>
      </c>
      <c r="AQ208" s="137">
        <f>Transportation_LCIA!U$61*($W208^Transportation_LCIA!U$60)+Transportation_LCIA!U$62</f>
        <v>6.9015010201870343E-4</v>
      </c>
      <c r="AR208" s="137">
        <f>Transportation_LCIA!V$61*($W208^Transportation_LCIA!V$60)+Transportation_LCIA!V$62</f>
        <v>2.7481283900177808E-4</v>
      </c>
      <c r="AT208" s="137">
        <f>$W208*Y208+$L208*Summary_LCIA!H$32</f>
        <v>268.81005816949329</v>
      </c>
      <c r="AU208" s="137">
        <f>$W208*Z208+$L208*Summary_LCIA!Q$32</f>
        <v>3013.7798304130893</v>
      </c>
      <c r="AV208" s="137">
        <f>$W208*AA208+$L208*Summary_LCIA!R$32</f>
        <v>1.9120656383467582</v>
      </c>
      <c r="AW208" s="137">
        <f>$W208*AB208+$L208*Summary_LCIA!S$32</f>
        <v>268.11899116949331</v>
      </c>
      <c r="AX208" s="137">
        <f>$W208*AC208+$L208*Summary_LCIA!T$32</f>
        <v>69.467728880334633</v>
      </c>
      <c r="AY208" s="137">
        <f>$W208*AD208+$L208*Summary_LCIA!U$32</f>
        <v>3.0617353702850916</v>
      </c>
      <c r="AZ208" s="137">
        <f>$W208*AE208+$L208*Summary_LCIA!V$32</f>
        <v>1.3144947559296688E-2</v>
      </c>
      <c r="BA208" s="137">
        <f>$W208*AF208+$L208*Summary_LCIA!W$32</f>
        <v>20.445255290826786</v>
      </c>
      <c r="BB208" s="137">
        <f>$W208*AG208+$L208*Summary_LCIA!X$32</f>
        <v>14.767681372580203</v>
      </c>
      <c r="BC208" s="137">
        <f>$W208*AH208+$L208*Summary_LCIA!Y$32</f>
        <v>2.6636894725005065</v>
      </c>
      <c r="BD208" s="137">
        <f>$W208*AI208+$L208*Summary_LCIA!Z$32</f>
        <v>0.22770661935411915</v>
      </c>
      <c r="BE208" s="137">
        <f>$W208*AJ208+$L208*Summary_LCIA!AA$32</f>
        <v>4.5792128212221153</v>
      </c>
      <c r="BF208" s="137">
        <f>$W208*AK208+$L208*Summary_LCIA!AB$32</f>
        <v>5.1861826451340506E-2</v>
      </c>
      <c r="BG208" s="137">
        <f>$W208*AL208+$L208*Summary_LCIA!AC$32</f>
        <v>3.4361309306522315E-5</v>
      </c>
      <c r="BH208" s="137">
        <f>$W208*AM208+$L208*Summary_LCIA!AD$32</f>
        <v>0.15418892420805475</v>
      </c>
      <c r="BI208" s="137">
        <f>$W208*AN208+$L208*Summary_LCIA!AE$32</f>
        <v>0.41151995196381541</v>
      </c>
      <c r="BJ208" s="137">
        <f>$W208*AO208+$L208*Summary_LCIA!AF$32</f>
        <v>0.13627452825445835</v>
      </c>
      <c r="BK208" s="137">
        <f>$W208*AP208+$L208*Summary_LCIA!AG$32</f>
        <v>1.2092759004458357E-2</v>
      </c>
      <c r="BL208" s="137">
        <f>$W208*AQ208+$L208*Summary_LCIA!AH$32</f>
        <v>1.9481609420108845</v>
      </c>
      <c r="BM208" s="137">
        <f>$W208*AR208+$L208*Summary_LCIA!AI$32</f>
        <v>0.37952764269378592</v>
      </c>
    </row>
    <row r="209" spans="1:65" x14ac:dyDescent="0.25">
      <c r="A209" s="149">
        <v>1</v>
      </c>
      <c r="B209" s="149">
        <v>43</v>
      </c>
      <c r="C209" s="61">
        <v>35.966994</v>
      </c>
      <c r="D209" s="61">
        <v>-84.250535999999997</v>
      </c>
      <c r="E209" s="61" t="s">
        <v>265</v>
      </c>
      <c r="F209" s="149">
        <v>91</v>
      </c>
      <c r="G209" s="61" t="s">
        <v>618</v>
      </c>
      <c r="H209" s="61" t="s">
        <v>619</v>
      </c>
      <c r="I209" s="61">
        <v>36.126317</v>
      </c>
      <c r="J209" s="61">
        <v>-86.677370999999994</v>
      </c>
      <c r="K209" s="61">
        <v>219.57908760000001</v>
      </c>
      <c r="L209" s="61">
        <v>260.76</v>
      </c>
      <c r="M209" s="61" t="s">
        <v>617</v>
      </c>
      <c r="N209" s="149">
        <v>42</v>
      </c>
      <c r="O209" s="149">
        <v>43</v>
      </c>
      <c r="P209" s="61" t="s">
        <v>565</v>
      </c>
      <c r="Q209" s="61" t="s">
        <v>555</v>
      </c>
      <c r="R209" s="61">
        <v>40.6895314</v>
      </c>
      <c r="S209" s="61">
        <v>-74.174462399999996</v>
      </c>
      <c r="T209" s="61">
        <v>1156.29</v>
      </c>
      <c r="U209" s="61" t="s">
        <v>617</v>
      </c>
      <c r="V209" s="61" t="s">
        <v>569</v>
      </c>
      <c r="W209" s="61" cm="1">
        <f t="array" ref="W209">getDistance(I209,J209,R209,S209)*SA!$B$12</f>
        <v>1202.7354215707494</v>
      </c>
      <c r="Y209" s="137">
        <f>Transportation_LCIA!C$61*($W209^Transportation_LCIA!C$60)+Transportation_LCIA!C$62</f>
        <v>0.21778238902728675</v>
      </c>
      <c r="Z209" s="137">
        <f>Transportation_LCIA!D$61*($W209^Transportation_LCIA!D$60)+Transportation_LCIA!D$62</f>
        <v>2.2148712873372127</v>
      </c>
      <c r="AA209" s="137">
        <f>Transportation_LCIA!E$61*($W209^Transportation_LCIA!E$60)+Transportation_LCIA!E$62</f>
        <v>1.0059375752641991E-3</v>
      </c>
      <c r="AB209" s="137">
        <f>Transportation_LCIA!F$61*($W209^Transportation_LCIA!F$60)+Transportation_LCIA!F$62</f>
        <v>0.21778238902728675</v>
      </c>
      <c r="AC209" s="137">
        <f>Transportation_LCIA!G$61*($W209^Transportation_LCIA!G$60)+Transportation_LCIA!G$62</f>
        <v>5.1813822128434044E-2</v>
      </c>
      <c r="AD209" s="137">
        <f>Transportation_LCIA!H$61*($W209^Transportation_LCIA!H$60)+Transportation_LCIA!H$62</f>
        <v>2.4643378955108982E-4</v>
      </c>
      <c r="AE209" s="137">
        <f>Transportation_LCIA!I$61*($W209^Transportation_LCIA!I$60)+Transportation_LCIA!I$62</f>
        <v>5.1584924000390383E-6</v>
      </c>
      <c r="AF209" s="137">
        <f>Transportation_LCIA!J$61*($W209^Transportation_LCIA!J$60)+Transportation_LCIA!J$62</f>
        <v>7.6304684421367149E-3</v>
      </c>
      <c r="AG209" s="137">
        <f>Transportation_LCIA!K$61*($W209^Transportation_LCIA!K$60)+Transportation_LCIA!K$62</f>
        <v>1.0921592718286539E-2</v>
      </c>
      <c r="AH209" s="137">
        <f>Transportation_LCIA!L$61*($W209^Transportation_LCIA!L$60)+Transportation_LCIA!L$62</f>
        <v>2.1199654199064683E-4</v>
      </c>
      <c r="AI209" s="137">
        <f>Transportation_LCIA!M$61*($W209^Transportation_LCIA!M$60)+Transportation_LCIA!M$62</f>
        <v>2.2685340366208163E-4</v>
      </c>
      <c r="AJ209" s="137">
        <f>Transportation_LCIA!N$61*($W209^Transportation_LCIA!N$60)+Transportation_LCIA!N$62</f>
        <v>8.8773888097049827E-4</v>
      </c>
      <c r="AK209" s="137">
        <f>Transportation_LCIA!O$61*($W209^Transportation_LCIA!O$60)+Transportation_LCIA!O$62</f>
        <v>5.4723425608569314E-5</v>
      </c>
      <c r="AL209" s="137">
        <f>Transportation_LCIA!P$61*($W209^Transportation_LCIA!P$60)+Transportation_LCIA!P$62</f>
        <v>2.6478604218232485E-8</v>
      </c>
      <c r="AM209" s="137">
        <f>Transportation_LCIA!Q$61*($W209^Transportation_LCIA!Q$60)+Transportation_LCIA!Q$62</f>
        <v>8.4057479409382782E-5</v>
      </c>
      <c r="AN209" s="137">
        <f>Transportation_LCIA!R$61*($W209^Transportation_LCIA!R$60)+Transportation_LCIA!R$62</f>
        <v>2.4821129556246402E-4</v>
      </c>
      <c r="AO209" s="137">
        <f>Transportation_LCIA!S$61*($W209^Transportation_LCIA!S$60)+Transportation_LCIA!S$62</f>
        <v>3.7800060125446659E-6</v>
      </c>
      <c r="AP209" s="137">
        <f>Transportation_LCIA!T$61*($W209^Transportation_LCIA!T$60)+Transportation_LCIA!T$62</f>
        <v>3.7800060125446659E-6</v>
      </c>
      <c r="AQ209" s="137">
        <f>Transportation_LCIA!U$61*($W209^Transportation_LCIA!U$60)+Transportation_LCIA!U$62</f>
        <v>5.3108229142320587E-4</v>
      </c>
      <c r="AR209" s="137">
        <f>Transportation_LCIA!V$61*($W209^Transportation_LCIA!V$60)+Transportation_LCIA!V$62</f>
        <v>2.186147813213054E-4</v>
      </c>
      <c r="AT209" s="137">
        <f>$W209*Y209+$L209*Summary_LCIA!H$32</f>
        <v>350.54084147741867</v>
      </c>
      <c r="AU209" s="137">
        <f>$W209*Z209+$L209*Summary_LCIA!Q$32</f>
        <v>3956.2438624095512</v>
      </c>
      <c r="AV209" s="137">
        <f>$W209*AA209+$L209*Summary_LCIA!R$32</f>
        <v>2.5829346096592438</v>
      </c>
      <c r="AW209" s="137">
        <f>$W209*AB209+$L209*Summary_LCIA!S$32</f>
        <v>349.38828227741868</v>
      </c>
      <c r="AX209" s="137">
        <f>$W209*AC209+$L209*Summary_LCIA!T$32</f>
        <v>90.975843200833935</v>
      </c>
      <c r="AY209" s="137">
        <f>$W209*AD209+$L209*Summary_LCIA!U$32</f>
        <v>4.9676492877650071</v>
      </c>
      <c r="AZ209" s="137">
        <f>$W209*AE209+$L209*Summary_LCIA!V$32</f>
        <v>1.8658459891430459E-2</v>
      </c>
      <c r="BA209" s="137">
        <f>$W209*AF209+$L209*Summary_LCIA!W$32</f>
        <v>29.248392638535599</v>
      </c>
      <c r="BB209" s="137">
        <f>$W209*AG209+$L209*Summary_LCIA!X$32</f>
        <v>19.075899222252389</v>
      </c>
      <c r="BC209" s="137">
        <f>$W209*AH209+$L209*Summary_LCIA!Y$32</f>
        <v>4.3181380703026617</v>
      </c>
      <c r="BD209" s="137">
        <f>$W209*AI209+$L209*Summary_LCIA!Z$32</f>
        <v>0.28353813092827312</v>
      </c>
      <c r="BE209" s="137">
        <f>$W209*AJ209+$L209*Summary_LCIA!AA$32</f>
        <v>7.1580255572487967</v>
      </c>
      <c r="BF209" s="137">
        <f>$W209*AK209+$L209*Summary_LCIA!AB$32</f>
        <v>6.0127236889118162E-2</v>
      </c>
      <c r="BG209" s="137">
        <f>$W209*AL209+$L209*Summary_LCIA!AC$32</f>
        <v>4.4593747047020867E-5</v>
      </c>
      <c r="BH209" s="137">
        <f>$W209*AM209+$L209*Summary_LCIA!AD$32</f>
        <v>0.20828169833361859</v>
      </c>
      <c r="BI209" s="137">
        <f>$W209*AN209+$L209*Summary_LCIA!AE$32</f>
        <v>0.52959977600694197</v>
      </c>
      <c r="BJ209" s="137">
        <f>$W209*AO209+$L209*Summary_LCIA!AF$32</f>
        <v>0.22499806632503788</v>
      </c>
      <c r="BK209" s="137">
        <f>$W209*AP209+$L209*Summary_LCIA!AG$32</f>
        <v>1.7888132525037875E-2</v>
      </c>
      <c r="BL209" s="137">
        <f>$W209*AQ209+$L209*Summary_LCIA!AH$32</f>
        <v>2.9083022196636494</v>
      </c>
      <c r="BM209" s="137">
        <f>$W209*AR209+$L209*Summary_LCIA!AI$32</f>
        <v>0.50584671917407742</v>
      </c>
    </row>
    <row r="210" spans="1:65" x14ac:dyDescent="0.25">
      <c r="A210" s="149">
        <v>2</v>
      </c>
      <c r="B210" s="149">
        <v>43</v>
      </c>
      <c r="C210" s="61">
        <v>35.966994</v>
      </c>
      <c r="D210" s="61">
        <v>-84.250535999999997</v>
      </c>
      <c r="E210" s="61" t="s">
        <v>265</v>
      </c>
      <c r="F210" s="149">
        <v>91</v>
      </c>
      <c r="G210" s="61" t="s">
        <v>618</v>
      </c>
      <c r="H210" s="61" t="s">
        <v>619</v>
      </c>
      <c r="I210" s="61">
        <v>36.126317</v>
      </c>
      <c r="J210" s="61">
        <v>-86.677370999999994</v>
      </c>
      <c r="K210" s="61">
        <v>219.57908760000001</v>
      </c>
      <c r="L210" s="61">
        <v>260.76</v>
      </c>
      <c r="M210" s="61" t="s">
        <v>617</v>
      </c>
      <c r="N210" s="149">
        <v>42</v>
      </c>
      <c r="O210" s="149">
        <v>43</v>
      </c>
      <c r="P210" s="61" t="s">
        <v>565</v>
      </c>
      <c r="Q210" s="61" t="s">
        <v>555</v>
      </c>
      <c r="R210" s="61">
        <v>40.6895314</v>
      </c>
      <c r="S210" s="61">
        <v>-74.174462399999996</v>
      </c>
      <c r="T210" s="61">
        <v>1156.29</v>
      </c>
      <c r="U210" s="61" t="s">
        <v>617</v>
      </c>
      <c r="V210" s="61" t="s">
        <v>569</v>
      </c>
      <c r="W210" s="61" cm="1">
        <f t="array" ref="W210">getDistance(I210,J210,R210,S210)*SA!$B$12</f>
        <v>1202.7354215707494</v>
      </c>
      <c r="Y210" s="137">
        <f>Transportation_LCIA!C$61*($W210^Transportation_LCIA!C$60)+Transportation_LCIA!C$62</f>
        <v>0.21778238902728675</v>
      </c>
      <c r="Z210" s="137">
        <f>Transportation_LCIA!D$61*($W210^Transportation_LCIA!D$60)+Transportation_LCIA!D$62</f>
        <v>2.2148712873372127</v>
      </c>
      <c r="AA210" s="137">
        <f>Transportation_LCIA!E$61*($W210^Transportation_LCIA!E$60)+Transportation_LCIA!E$62</f>
        <v>1.0059375752641991E-3</v>
      </c>
      <c r="AB210" s="137">
        <f>Transportation_LCIA!F$61*($W210^Transportation_LCIA!F$60)+Transportation_LCIA!F$62</f>
        <v>0.21778238902728675</v>
      </c>
      <c r="AC210" s="137">
        <f>Transportation_LCIA!G$61*($W210^Transportation_LCIA!G$60)+Transportation_LCIA!G$62</f>
        <v>5.1813822128434044E-2</v>
      </c>
      <c r="AD210" s="137">
        <f>Transportation_LCIA!H$61*($W210^Transportation_LCIA!H$60)+Transportation_LCIA!H$62</f>
        <v>2.4643378955108982E-4</v>
      </c>
      <c r="AE210" s="137">
        <f>Transportation_LCIA!I$61*($W210^Transportation_LCIA!I$60)+Transportation_LCIA!I$62</f>
        <v>5.1584924000390383E-6</v>
      </c>
      <c r="AF210" s="137">
        <f>Transportation_LCIA!J$61*($W210^Transportation_LCIA!J$60)+Transportation_LCIA!J$62</f>
        <v>7.6304684421367149E-3</v>
      </c>
      <c r="AG210" s="137">
        <f>Transportation_LCIA!K$61*($W210^Transportation_LCIA!K$60)+Transportation_LCIA!K$62</f>
        <v>1.0921592718286539E-2</v>
      </c>
      <c r="AH210" s="137">
        <f>Transportation_LCIA!L$61*($W210^Transportation_LCIA!L$60)+Transportation_LCIA!L$62</f>
        <v>2.1199654199064683E-4</v>
      </c>
      <c r="AI210" s="137">
        <f>Transportation_LCIA!M$61*($W210^Transportation_LCIA!M$60)+Transportation_LCIA!M$62</f>
        <v>2.2685340366208163E-4</v>
      </c>
      <c r="AJ210" s="137">
        <f>Transportation_LCIA!N$61*($W210^Transportation_LCIA!N$60)+Transportation_LCIA!N$62</f>
        <v>8.8773888097049827E-4</v>
      </c>
      <c r="AK210" s="137">
        <f>Transportation_LCIA!O$61*($W210^Transportation_LCIA!O$60)+Transportation_LCIA!O$62</f>
        <v>5.4723425608569314E-5</v>
      </c>
      <c r="AL210" s="137">
        <f>Transportation_LCIA!P$61*($W210^Transportation_LCIA!P$60)+Transportation_LCIA!P$62</f>
        <v>2.6478604218232485E-8</v>
      </c>
      <c r="AM210" s="137">
        <f>Transportation_LCIA!Q$61*($W210^Transportation_LCIA!Q$60)+Transportation_LCIA!Q$62</f>
        <v>8.4057479409382782E-5</v>
      </c>
      <c r="AN210" s="137">
        <f>Transportation_LCIA!R$61*($W210^Transportation_LCIA!R$60)+Transportation_LCIA!R$62</f>
        <v>2.4821129556246402E-4</v>
      </c>
      <c r="AO210" s="137">
        <f>Transportation_LCIA!S$61*($W210^Transportation_LCIA!S$60)+Transportation_LCIA!S$62</f>
        <v>3.7800060125446659E-6</v>
      </c>
      <c r="AP210" s="137">
        <f>Transportation_LCIA!T$61*($W210^Transportation_LCIA!T$60)+Transportation_LCIA!T$62</f>
        <v>3.7800060125446659E-6</v>
      </c>
      <c r="AQ210" s="137">
        <f>Transportation_LCIA!U$61*($W210^Transportation_LCIA!U$60)+Transportation_LCIA!U$62</f>
        <v>5.3108229142320587E-4</v>
      </c>
      <c r="AR210" s="137">
        <f>Transportation_LCIA!V$61*($W210^Transportation_LCIA!V$60)+Transportation_LCIA!V$62</f>
        <v>2.186147813213054E-4</v>
      </c>
      <c r="AT210" s="137">
        <f>$W210*Y210+$L210*Summary_LCIA!H$32</f>
        <v>350.54084147741867</v>
      </c>
      <c r="AU210" s="137">
        <f>$W210*Z210+$L210*Summary_LCIA!Q$32</f>
        <v>3956.2438624095512</v>
      </c>
      <c r="AV210" s="137">
        <f>$W210*AA210+$L210*Summary_LCIA!R$32</f>
        <v>2.5829346096592438</v>
      </c>
      <c r="AW210" s="137">
        <f>$W210*AB210+$L210*Summary_LCIA!S$32</f>
        <v>349.38828227741868</v>
      </c>
      <c r="AX210" s="137">
        <f>$W210*AC210+$L210*Summary_LCIA!T$32</f>
        <v>90.975843200833935</v>
      </c>
      <c r="AY210" s="137">
        <f>$W210*AD210+$L210*Summary_LCIA!U$32</f>
        <v>4.9676492877650071</v>
      </c>
      <c r="AZ210" s="137">
        <f>$W210*AE210+$L210*Summary_LCIA!V$32</f>
        <v>1.8658459891430459E-2</v>
      </c>
      <c r="BA210" s="137">
        <f>$W210*AF210+$L210*Summary_LCIA!W$32</f>
        <v>29.248392638535599</v>
      </c>
      <c r="BB210" s="137">
        <f>$W210*AG210+$L210*Summary_LCIA!X$32</f>
        <v>19.075899222252389</v>
      </c>
      <c r="BC210" s="137">
        <f>$W210*AH210+$L210*Summary_LCIA!Y$32</f>
        <v>4.3181380703026617</v>
      </c>
      <c r="BD210" s="137">
        <f>$W210*AI210+$L210*Summary_LCIA!Z$32</f>
        <v>0.28353813092827312</v>
      </c>
      <c r="BE210" s="137">
        <f>$W210*AJ210+$L210*Summary_LCIA!AA$32</f>
        <v>7.1580255572487967</v>
      </c>
      <c r="BF210" s="137">
        <f>$W210*AK210+$L210*Summary_LCIA!AB$32</f>
        <v>6.0127236889118162E-2</v>
      </c>
      <c r="BG210" s="137">
        <f>$W210*AL210+$L210*Summary_LCIA!AC$32</f>
        <v>4.4593747047020867E-5</v>
      </c>
      <c r="BH210" s="137">
        <f>$W210*AM210+$L210*Summary_LCIA!AD$32</f>
        <v>0.20828169833361859</v>
      </c>
      <c r="BI210" s="137">
        <f>$W210*AN210+$L210*Summary_LCIA!AE$32</f>
        <v>0.52959977600694197</v>
      </c>
      <c r="BJ210" s="137">
        <f>$W210*AO210+$L210*Summary_LCIA!AF$32</f>
        <v>0.22499806632503788</v>
      </c>
      <c r="BK210" s="137">
        <f>$W210*AP210+$L210*Summary_LCIA!AG$32</f>
        <v>1.7888132525037875E-2</v>
      </c>
      <c r="BL210" s="137">
        <f>$W210*AQ210+$L210*Summary_LCIA!AH$32</f>
        <v>2.9083022196636494</v>
      </c>
      <c r="BM210" s="137">
        <f>$W210*AR210+$L210*Summary_LCIA!AI$32</f>
        <v>0.50584671917407742</v>
      </c>
    </row>
    <row r="211" spans="1:65" x14ac:dyDescent="0.25">
      <c r="A211" s="149">
        <v>196</v>
      </c>
      <c r="B211" s="149">
        <v>16</v>
      </c>
      <c r="C211" s="61">
        <v>38.933138999999997</v>
      </c>
      <c r="D211" s="61">
        <v>-92.373804000000007</v>
      </c>
      <c r="E211" s="61" t="s">
        <v>265</v>
      </c>
      <c r="F211" s="149">
        <v>94</v>
      </c>
      <c r="G211" s="61" t="s">
        <v>693</v>
      </c>
      <c r="H211" s="61" t="s">
        <v>694</v>
      </c>
      <c r="I211" s="61">
        <v>38.749940000000002</v>
      </c>
      <c r="J211" s="61">
        <v>-90.374819000000002</v>
      </c>
      <c r="K211" s="61">
        <v>177.120712</v>
      </c>
      <c r="L211" s="61">
        <v>188.05</v>
      </c>
      <c r="M211" s="61" t="s">
        <v>617</v>
      </c>
      <c r="N211" s="149">
        <v>15</v>
      </c>
      <c r="O211" s="149">
        <v>16</v>
      </c>
      <c r="P211" s="61" t="s">
        <v>565</v>
      </c>
      <c r="Q211" s="61" t="s">
        <v>556</v>
      </c>
      <c r="R211" s="61">
        <v>39.856096299999997</v>
      </c>
      <c r="S211" s="61">
        <v>-104.6737376</v>
      </c>
      <c r="T211" s="61">
        <v>1162.231</v>
      </c>
      <c r="U211" s="61" t="s">
        <v>617</v>
      </c>
      <c r="V211" s="61" t="s">
        <v>569</v>
      </c>
      <c r="W211" s="61" cm="1">
        <f t="array" ref="W211">getDistance(I211,J211,R211,S211)*SA!$B$12</f>
        <v>1238.1522072373639</v>
      </c>
      <c r="Y211" s="137">
        <f>Transportation_LCIA!C$61*($W211^Transportation_LCIA!C$60)+Transportation_LCIA!C$62</f>
        <v>0.21523536715051569</v>
      </c>
      <c r="Z211" s="137">
        <f>Transportation_LCIA!D$61*($W211^Transportation_LCIA!D$60)+Transportation_LCIA!D$62</f>
        <v>2.185409019454708</v>
      </c>
      <c r="AA211" s="137">
        <f>Transportation_LCIA!E$61*($W211^Transportation_LCIA!E$60)+Transportation_LCIA!E$62</f>
        <v>9.8661460901423663E-4</v>
      </c>
      <c r="AB211" s="137">
        <f>Transportation_LCIA!F$61*($W211^Transportation_LCIA!F$60)+Transportation_LCIA!F$62</f>
        <v>0.21523536715051569</v>
      </c>
      <c r="AC211" s="137">
        <f>Transportation_LCIA!G$61*($W211^Transportation_LCIA!G$60)+Transportation_LCIA!G$62</f>
        <v>5.1131838918991555E-2</v>
      </c>
      <c r="AD211" s="137">
        <f>Transportation_LCIA!H$61*($W211^Transportation_LCIA!H$60)+Transportation_LCIA!H$62</f>
        <v>2.4220586619615241E-4</v>
      </c>
      <c r="AE211" s="137">
        <f>Transportation_LCIA!I$61*($W211^Transportation_LCIA!I$60)+Transportation_LCIA!I$62</f>
        <v>5.052898616841974E-6</v>
      </c>
      <c r="AF211" s="137">
        <f>Transportation_LCIA!J$61*($W211^Transportation_LCIA!J$60)+Transportation_LCIA!J$62</f>
        <v>7.4740213745553867E-3</v>
      </c>
      <c r="AG211" s="137">
        <f>Transportation_LCIA!K$61*($W211^Transportation_LCIA!K$60)+Transportation_LCIA!K$62</f>
        <v>1.0763104539790708E-2</v>
      </c>
      <c r="AH211" s="137">
        <f>Transportation_LCIA!L$61*($W211^Transportation_LCIA!L$60)+Transportation_LCIA!L$62</f>
        <v>2.0811839182142259E-4</v>
      </c>
      <c r="AI211" s="137">
        <f>Transportation_LCIA!M$61*($W211^Transportation_LCIA!M$60)+Transportation_LCIA!M$62</f>
        <v>2.2452067483842648E-4</v>
      </c>
      <c r="AJ211" s="137">
        <f>Transportation_LCIA!N$61*($W211^Transportation_LCIA!N$60)+Transportation_LCIA!N$62</f>
        <v>8.7351496978291926E-4</v>
      </c>
      <c r="AK211" s="137">
        <f>Transportation_LCIA!O$61*($W211^Transportation_LCIA!O$60)+Transportation_LCIA!O$62</f>
        <v>5.3998906680303923E-5</v>
      </c>
      <c r="AL211" s="137">
        <f>Transportation_LCIA!P$61*($W211^Transportation_LCIA!P$60)+Transportation_LCIA!P$62</f>
        <v>2.6130034202400012E-8</v>
      </c>
      <c r="AM211" s="137">
        <f>Transportation_LCIA!Q$61*($W211^Transportation_LCIA!Q$60)+Transportation_LCIA!Q$62</f>
        <v>8.2542956631180545E-5</v>
      </c>
      <c r="AN211" s="137">
        <f>Transportation_LCIA!R$61*($W211^Transportation_LCIA!R$60)+Transportation_LCIA!R$62</f>
        <v>2.4314872838189814E-4</v>
      </c>
      <c r="AO211" s="137">
        <f>Transportation_LCIA!S$61*($W211^Transportation_LCIA!S$60)+Transportation_LCIA!S$62</f>
        <v>3.7081320072923088E-6</v>
      </c>
      <c r="AP211" s="137">
        <f>Transportation_LCIA!T$61*($W211^Transportation_LCIA!T$60)+Transportation_LCIA!T$62</f>
        <v>3.7081320072923088E-6</v>
      </c>
      <c r="AQ211" s="137">
        <f>Transportation_LCIA!U$61*($W211^Transportation_LCIA!U$60)+Transportation_LCIA!U$62</f>
        <v>5.1999663050733471E-4</v>
      </c>
      <c r="AR211" s="137">
        <f>Transportation_LCIA!V$61*($W211^Transportation_LCIA!V$60)+Transportation_LCIA!V$62</f>
        <v>2.1468091979927328E-4</v>
      </c>
      <c r="AT211" s="137">
        <f>$W211*Y211+$L211*Summary_LCIA!H$32</f>
        <v>330.39353491295537</v>
      </c>
      <c r="AU211" s="137">
        <f>$W211*Z211+$L211*Summary_LCIA!Q$32</f>
        <v>3637.8542850799399</v>
      </c>
      <c r="AV211" s="137">
        <f>$W211*AA211+$L211*Summary_LCIA!R$32</f>
        <v>2.211775135843606</v>
      </c>
      <c r="AW211" s="137">
        <f>$W211*AB211+$L211*Summary_LCIA!S$32</f>
        <v>329.56235391295542</v>
      </c>
      <c r="AX211" s="137">
        <f>$W211*AC211+$L211*Summary_LCIA!T$32</f>
        <v>83.975694217654734</v>
      </c>
      <c r="AY211" s="137">
        <f>$W211*AD211+$L211*Summary_LCIA!U$32</f>
        <v>3.6686154278366039</v>
      </c>
      <c r="AZ211" s="137">
        <f>$W211*AE211+$L211*Summary_LCIA!V$32</f>
        <v>1.5237713625389514E-2</v>
      </c>
      <c r="BA211" s="137">
        <f>$W211*AF211+$L211*Summary_LCIA!W$32</f>
        <v>23.728372611844989</v>
      </c>
      <c r="BB211" s="137">
        <f>$W211*AG211+$L211*Summary_LCIA!X$32</f>
        <v>17.610140642668355</v>
      </c>
      <c r="BC211" s="137">
        <f>$W211*AH211+$L211*Summary_LCIA!Y$32</f>
        <v>3.1878773462003851</v>
      </c>
      <c r="BD211" s="137">
        <f>$W211*AI211+$L211*Summary_LCIA!Z$32</f>
        <v>0.28570251157162024</v>
      </c>
      <c r="BE211" s="137">
        <f>$W211*AJ211+$L211*Summary_LCIA!AA$32</f>
        <v>5.4736402878916008</v>
      </c>
      <c r="BF211" s="137">
        <f>$W211*AK211+$L211*Summary_LCIA!AB$32</f>
        <v>6.275505034462274E-2</v>
      </c>
      <c r="BG211" s="137">
        <f>$W211*AL211+$L211*Summary_LCIA!AC$32</f>
        <v>4.1545595722889383E-5</v>
      </c>
      <c r="BH211" s="137">
        <f>$W211*AM211+$L211*Summary_LCIA!AD$32</f>
        <v>0.17949681594479422</v>
      </c>
      <c r="BI211" s="137">
        <f>$W211*AN211+$L211*Summary_LCIA!AE$32</f>
        <v>0.46769188123300542</v>
      </c>
      <c r="BJ211" s="137">
        <f>$W211*AO211+$L211*Summary_LCIA!AF$32</f>
        <v>0.16357246282955651</v>
      </c>
      <c r="BK211" s="137">
        <f>$W211*AP211+$L211*Summary_LCIA!AG$32</f>
        <v>1.4212810079556489E-2</v>
      </c>
      <c r="BL211" s="137">
        <f>$W211*AQ211+$L211*Summary_LCIA!AH$32</f>
        <v>2.2805469558186489</v>
      </c>
      <c r="BM211" s="137">
        <f>$W211*AR211+$L211*Summary_LCIA!AI$32</f>
        <v>0.44098563220121767</v>
      </c>
    </row>
    <row r="212" spans="1:65" x14ac:dyDescent="0.25">
      <c r="A212" s="149">
        <v>197</v>
      </c>
      <c r="B212" s="149">
        <v>16</v>
      </c>
      <c r="C212" s="61">
        <v>38.933138999999997</v>
      </c>
      <c r="D212" s="61">
        <v>-92.373804000000007</v>
      </c>
      <c r="E212" s="61" t="s">
        <v>265</v>
      </c>
      <c r="F212" s="149">
        <v>94</v>
      </c>
      <c r="G212" s="61" t="s">
        <v>693</v>
      </c>
      <c r="H212" s="61" t="s">
        <v>694</v>
      </c>
      <c r="I212" s="61">
        <v>38.749940000000002</v>
      </c>
      <c r="J212" s="61">
        <v>-90.374819000000002</v>
      </c>
      <c r="K212" s="61">
        <v>177.120712</v>
      </c>
      <c r="L212" s="61">
        <v>188.05</v>
      </c>
      <c r="M212" s="61" t="s">
        <v>617</v>
      </c>
      <c r="N212" s="149">
        <v>15</v>
      </c>
      <c r="O212" s="149">
        <v>16</v>
      </c>
      <c r="P212" s="61" t="s">
        <v>565</v>
      </c>
      <c r="Q212" s="61" t="s">
        <v>556</v>
      </c>
      <c r="R212" s="61">
        <v>39.856096299999997</v>
      </c>
      <c r="S212" s="61">
        <v>-104.6737376</v>
      </c>
      <c r="T212" s="61">
        <v>1162.231</v>
      </c>
      <c r="U212" s="61" t="s">
        <v>617</v>
      </c>
      <c r="V212" s="61" t="s">
        <v>569</v>
      </c>
      <c r="W212" s="61" cm="1">
        <f t="array" ref="W212">getDistance(I212,J212,R212,S212)*SA!$B$12</f>
        <v>1238.1522072373639</v>
      </c>
      <c r="Y212" s="137">
        <f>Transportation_LCIA!C$61*($W212^Transportation_LCIA!C$60)+Transportation_LCIA!C$62</f>
        <v>0.21523536715051569</v>
      </c>
      <c r="Z212" s="137">
        <f>Transportation_LCIA!D$61*($W212^Transportation_LCIA!D$60)+Transportation_LCIA!D$62</f>
        <v>2.185409019454708</v>
      </c>
      <c r="AA212" s="137">
        <f>Transportation_LCIA!E$61*($W212^Transportation_LCIA!E$60)+Transportation_LCIA!E$62</f>
        <v>9.8661460901423663E-4</v>
      </c>
      <c r="AB212" s="137">
        <f>Transportation_LCIA!F$61*($W212^Transportation_LCIA!F$60)+Transportation_LCIA!F$62</f>
        <v>0.21523536715051569</v>
      </c>
      <c r="AC212" s="137">
        <f>Transportation_LCIA!G$61*($W212^Transportation_LCIA!G$60)+Transportation_LCIA!G$62</f>
        <v>5.1131838918991555E-2</v>
      </c>
      <c r="AD212" s="137">
        <f>Transportation_LCIA!H$61*($W212^Transportation_LCIA!H$60)+Transportation_LCIA!H$62</f>
        <v>2.4220586619615241E-4</v>
      </c>
      <c r="AE212" s="137">
        <f>Transportation_LCIA!I$61*($W212^Transportation_LCIA!I$60)+Transportation_LCIA!I$62</f>
        <v>5.052898616841974E-6</v>
      </c>
      <c r="AF212" s="137">
        <f>Transportation_LCIA!J$61*($W212^Transportation_LCIA!J$60)+Transportation_LCIA!J$62</f>
        <v>7.4740213745553867E-3</v>
      </c>
      <c r="AG212" s="137">
        <f>Transportation_LCIA!K$61*($W212^Transportation_LCIA!K$60)+Transportation_LCIA!K$62</f>
        <v>1.0763104539790708E-2</v>
      </c>
      <c r="AH212" s="137">
        <f>Transportation_LCIA!L$61*($W212^Transportation_LCIA!L$60)+Transportation_LCIA!L$62</f>
        <v>2.0811839182142259E-4</v>
      </c>
      <c r="AI212" s="137">
        <f>Transportation_LCIA!M$61*($W212^Transportation_LCIA!M$60)+Transportation_LCIA!M$62</f>
        <v>2.2452067483842648E-4</v>
      </c>
      <c r="AJ212" s="137">
        <f>Transportation_LCIA!N$61*($W212^Transportation_LCIA!N$60)+Transportation_LCIA!N$62</f>
        <v>8.7351496978291926E-4</v>
      </c>
      <c r="AK212" s="137">
        <f>Transportation_LCIA!O$61*($W212^Transportation_LCIA!O$60)+Transportation_LCIA!O$62</f>
        <v>5.3998906680303923E-5</v>
      </c>
      <c r="AL212" s="137">
        <f>Transportation_LCIA!P$61*($W212^Transportation_LCIA!P$60)+Transportation_LCIA!P$62</f>
        <v>2.6130034202400012E-8</v>
      </c>
      <c r="AM212" s="137">
        <f>Transportation_LCIA!Q$61*($W212^Transportation_LCIA!Q$60)+Transportation_LCIA!Q$62</f>
        <v>8.2542956631180545E-5</v>
      </c>
      <c r="AN212" s="137">
        <f>Transportation_LCIA!R$61*($W212^Transportation_LCIA!R$60)+Transportation_LCIA!R$62</f>
        <v>2.4314872838189814E-4</v>
      </c>
      <c r="AO212" s="137">
        <f>Transportation_LCIA!S$61*($W212^Transportation_LCIA!S$60)+Transportation_LCIA!S$62</f>
        <v>3.7081320072923088E-6</v>
      </c>
      <c r="AP212" s="137">
        <f>Transportation_LCIA!T$61*($W212^Transportation_LCIA!T$60)+Transportation_LCIA!T$62</f>
        <v>3.7081320072923088E-6</v>
      </c>
      <c r="AQ212" s="137">
        <f>Transportation_LCIA!U$61*($W212^Transportation_LCIA!U$60)+Transportation_LCIA!U$62</f>
        <v>5.1999663050733471E-4</v>
      </c>
      <c r="AR212" s="137">
        <f>Transportation_LCIA!V$61*($W212^Transportation_LCIA!V$60)+Transportation_LCIA!V$62</f>
        <v>2.1468091979927328E-4</v>
      </c>
      <c r="AT212" s="137">
        <f>$W212*Y212+$L212*Summary_LCIA!H$32</f>
        <v>330.39353491295537</v>
      </c>
      <c r="AU212" s="137">
        <f>$W212*Z212+$L212*Summary_LCIA!Q$32</f>
        <v>3637.8542850799399</v>
      </c>
      <c r="AV212" s="137">
        <f>$W212*AA212+$L212*Summary_LCIA!R$32</f>
        <v>2.211775135843606</v>
      </c>
      <c r="AW212" s="137">
        <f>$W212*AB212+$L212*Summary_LCIA!S$32</f>
        <v>329.56235391295542</v>
      </c>
      <c r="AX212" s="137">
        <f>$W212*AC212+$L212*Summary_LCIA!T$32</f>
        <v>83.975694217654734</v>
      </c>
      <c r="AY212" s="137">
        <f>$W212*AD212+$L212*Summary_LCIA!U$32</f>
        <v>3.6686154278366039</v>
      </c>
      <c r="AZ212" s="137">
        <f>$W212*AE212+$L212*Summary_LCIA!V$32</f>
        <v>1.5237713625389514E-2</v>
      </c>
      <c r="BA212" s="137">
        <f>$W212*AF212+$L212*Summary_LCIA!W$32</f>
        <v>23.728372611844989</v>
      </c>
      <c r="BB212" s="137">
        <f>$W212*AG212+$L212*Summary_LCIA!X$32</f>
        <v>17.610140642668355</v>
      </c>
      <c r="BC212" s="137">
        <f>$W212*AH212+$L212*Summary_LCIA!Y$32</f>
        <v>3.1878773462003851</v>
      </c>
      <c r="BD212" s="137">
        <f>$W212*AI212+$L212*Summary_LCIA!Z$32</f>
        <v>0.28570251157162024</v>
      </c>
      <c r="BE212" s="137">
        <f>$W212*AJ212+$L212*Summary_LCIA!AA$32</f>
        <v>5.4736402878916008</v>
      </c>
      <c r="BF212" s="137">
        <f>$W212*AK212+$L212*Summary_LCIA!AB$32</f>
        <v>6.275505034462274E-2</v>
      </c>
      <c r="BG212" s="137">
        <f>$W212*AL212+$L212*Summary_LCIA!AC$32</f>
        <v>4.1545595722889383E-5</v>
      </c>
      <c r="BH212" s="137">
        <f>$W212*AM212+$L212*Summary_LCIA!AD$32</f>
        <v>0.17949681594479422</v>
      </c>
      <c r="BI212" s="137">
        <f>$W212*AN212+$L212*Summary_LCIA!AE$32</f>
        <v>0.46769188123300542</v>
      </c>
      <c r="BJ212" s="137">
        <f>$W212*AO212+$L212*Summary_LCIA!AF$32</f>
        <v>0.16357246282955651</v>
      </c>
      <c r="BK212" s="137">
        <f>$W212*AP212+$L212*Summary_LCIA!AG$32</f>
        <v>1.4212810079556489E-2</v>
      </c>
      <c r="BL212" s="137">
        <f>$W212*AQ212+$L212*Summary_LCIA!AH$32</f>
        <v>2.2805469558186489</v>
      </c>
      <c r="BM212" s="137">
        <f>$W212*AR212+$L212*Summary_LCIA!AI$32</f>
        <v>0.44098563220121767</v>
      </c>
    </row>
    <row r="213" spans="1:65" x14ac:dyDescent="0.25">
      <c r="A213" s="149">
        <v>268</v>
      </c>
      <c r="B213" s="149">
        <v>43</v>
      </c>
      <c r="C213" s="61">
        <v>43.615583000000001</v>
      </c>
      <c r="D213" s="61">
        <v>-84.247212000000005</v>
      </c>
      <c r="E213" s="61" t="s">
        <v>265</v>
      </c>
      <c r="F213" s="149">
        <v>78</v>
      </c>
      <c r="G213" s="61" t="s">
        <v>615</v>
      </c>
      <c r="H213" s="61" t="s">
        <v>616</v>
      </c>
      <c r="I213" s="61">
        <v>42.216248999999998</v>
      </c>
      <c r="J213" s="61">
        <v>-83.355363999999994</v>
      </c>
      <c r="K213" s="61">
        <v>239.54536110000001</v>
      </c>
      <c r="L213" s="61">
        <v>218.8</v>
      </c>
      <c r="M213" s="61" t="s">
        <v>617</v>
      </c>
      <c r="N213" s="149">
        <v>42</v>
      </c>
      <c r="O213" s="149">
        <v>43</v>
      </c>
      <c r="P213" s="61" t="s">
        <v>565</v>
      </c>
      <c r="Q213" s="61" t="s">
        <v>555</v>
      </c>
      <c r="R213" s="61">
        <v>40.6895314</v>
      </c>
      <c r="S213" s="61">
        <v>-74.174462399999996</v>
      </c>
      <c r="T213" s="61">
        <v>1162.9349999999999</v>
      </c>
      <c r="U213" s="61" t="s">
        <v>617</v>
      </c>
      <c r="V213" s="61" t="s">
        <v>569</v>
      </c>
      <c r="W213" s="61" cm="1">
        <f t="array" ref="W213">getDistance(I213,J213,R213,S213)*SA!$B$12</f>
        <v>785.28633867682765</v>
      </c>
      <c r="Y213" s="137">
        <f>Transportation_LCIA!C$61*($W213^Transportation_LCIA!C$60)+Transportation_LCIA!C$62</f>
        <v>0.26330928953252508</v>
      </c>
      <c r="Z213" s="137">
        <f>Transportation_LCIA!D$61*($W213^Transportation_LCIA!D$60)+Transportation_LCIA!D$62</f>
        <v>2.7470263376439421</v>
      </c>
      <c r="AA213" s="137">
        <f>Transportation_LCIA!E$61*($W213^Transportation_LCIA!E$60)+Transportation_LCIA!E$62</f>
        <v>1.3559818236141058E-3</v>
      </c>
      <c r="AB213" s="137">
        <f>Transportation_LCIA!F$61*($W213^Transportation_LCIA!F$60)+Transportation_LCIA!F$62</f>
        <v>0.26330928953252508</v>
      </c>
      <c r="AC213" s="137">
        <f>Transportation_LCIA!G$61*($W213^Transportation_LCIA!G$60)+Transportation_LCIA!G$62</f>
        <v>6.4124466375910086E-2</v>
      </c>
      <c r="AD213" s="137">
        <f>Transportation_LCIA!H$61*($W213^Transportation_LCIA!H$60)+Transportation_LCIA!H$62</f>
        <v>3.23471252238349E-4</v>
      </c>
      <c r="AE213" s="137">
        <f>Transportation_LCIA!I$61*($W213^Transportation_LCIA!I$60)+Transportation_LCIA!I$62</f>
        <v>7.1006706958255214E-6</v>
      </c>
      <c r="AF213" s="137">
        <f>Transportation_LCIA!J$61*($W213^Transportation_LCIA!J$60)+Transportation_LCIA!J$62</f>
        <v>1.0525719899275952E-2</v>
      </c>
      <c r="AG213" s="137">
        <f>Transportation_LCIA!K$61*($W213^Transportation_LCIA!K$60)+Transportation_LCIA!K$62</f>
        <v>1.3797666560438151E-2</v>
      </c>
      <c r="AH213" s="137">
        <f>Transportation_LCIA!L$61*($W213^Transportation_LCIA!L$60)+Transportation_LCIA!L$62</f>
        <v>2.8284968621697246E-4</v>
      </c>
      <c r="AI213" s="137">
        <f>Transportation_LCIA!M$61*($W213^Transportation_LCIA!M$60)+Transportation_LCIA!M$62</f>
        <v>2.6937179467913046E-4</v>
      </c>
      <c r="AJ213" s="137">
        <f>Transportation_LCIA!N$61*($W213^Transportation_LCIA!N$60)+Transportation_LCIA!N$62</f>
        <v>1.1467213700117806E-3</v>
      </c>
      <c r="AK213" s="137">
        <f>Transportation_LCIA!O$61*($W213^Transportation_LCIA!O$60)+Transportation_LCIA!O$62</f>
        <v>6.7805651672599041E-5</v>
      </c>
      <c r="AL213" s="137">
        <f>Transportation_LCIA!P$61*($W213^Transportation_LCIA!P$60)+Transportation_LCIA!P$62</f>
        <v>3.2767641003522771E-8</v>
      </c>
      <c r="AM213" s="137">
        <f>Transportation_LCIA!Q$61*($W213^Transportation_LCIA!Q$60)+Transportation_LCIA!Q$62</f>
        <v>1.1176738524526752E-4</v>
      </c>
      <c r="AN213" s="137">
        <f>Transportation_LCIA!R$61*($W213^Transportation_LCIA!R$60)+Transportation_LCIA!R$62</f>
        <v>3.4134784719875682E-4</v>
      </c>
      <c r="AO213" s="137">
        <f>Transportation_LCIA!S$61*($W213^Transportation_LCIA!S$60)+Transportation_LCIA!S$62</f>
        <v>5.1017230769306004E-6</v>
      </c>
      <c r="AP213" s="137">
        <f>Transportation_LCIA!T$61*($W213^Transportation_LCIA!T$60)+Transportation_LCIA!T$62</f>
        <v>5.1017230769306004E-6</v>
      </c>
      <c r="AQ213" s="137">
        <f>Transportation_LCIA!U$61*($W213^Transportation_LCIA!U$60)+Transportation_LCIA!U$62</f>
        <v>7.3539020448969183E-4</v>
      </c>
      <c r="AR213" s="137">
        <f>Transportation_LCIA!V$61*($W213^Transportation_LCIA!V$60)+Transportation_LCIA!V$62</f>
        <v>2.9072294614169601E-4</v>
      </c>
      <c r="AT213" s="137">
        <f>$W213*Y213+$L213*Summary_LCIA!H$32</f>
        <v>281.12142791659335</v>
      </c>
      <c r="AU213" s="137">
        <f>$W213*Z213+$L213*Summary_LCIA!Q$32</f>
        <v>3241.5860896776267</v>
      </c>
      <c r="AV213" s="137">
        <f>$W213*AA213+$L213*Summary_LCIA!R$32</f>
        <v>2.2169472815782489</v>
      </c>
      <c r="AW213" s="137">
        <f>$W213*AB213+$L213*Summary_LCIA!S$32</f>
        <v>280.15433191659338</v>
      </c>
      <c r="AX213" s="137">
        <f>$W213*AC213+$L213*Summary_LCIA!T$32</f>
        <v>74.402187419943772</v>
      </c>
      <c r="AY213" s="137">
        <f>$W213*AD213+$L213*Summary_LCIA!U$32</f>
        <v>4.1736007553374614</v>
      </c>
      <c r="AZ213" s="137">
        <f>$W213*AE213+$L213*Summary_LCIA!V$32</f>
        <v>1.6026166492874666E-2</v>
      </c>
      <c r="BA213" s="137">
        <f>$W213*AF213+$L213*Summary_LCIA!W$32</f>
        <v>25.106958841640242</v>
      </c>
      <c r="BB213" s="137">
        <f>$W213*AG213+$L213*Summary_LCIA!X$32</f>
        <v>15.819383055530174</v>
      </c>
      <c r="BC213" s="137">
        <f>$W213*AH213+$L213*Summary_LCIA!Y$32</f>
        <v>3.6314595944852162</v>
      </c>
      <c r="BD213" s="137">
        <f>$W213*AI213+$L213*Summary_LCIA!Z$32</f>
        <v>0.22050675958638052</v>
      </c>
      <c r="BE213" s="137">
        <f>$W213*AJ213+$L213*Summary_LCIA!AA$32</f>
        <v>6.0107974261390265</v>
      </c>
      <c r="BF213" s="137">
        <f>$W213*AK213+$L213*Summary_LCIA!AB$32</f>
        <v>4.8471979543571617E-2</v>
      </c>
      <c r="BG213" s="137">
        <f>$W213*AL213+$L213*Summary_LCIA!AC$32</f>
        <v>3.642780003073309E-5</v>
      </c>
      <c r="BH213" s="137">
        <f>$W213*AM213+$L213*Summary_LCIA!AD$32</f>
        <v>0.17770495274273862</v>
      </c>
      <c r="BI213" s="137">
        <f>$W213*AN213+$L213*Summary_LCIA!AE$32</f>
        <v>0.46194104514192896</v>
      </c>
      <c r="BJ213" s="137">
        <f>$W213*AO213+$L213*Summary_LCIA!AF$32</f>
        <v>0.18898420943602595</v>
      </c>
      <c r="BK213" s="137">
        <f>$W213*AP213+$L213*Summary_LCIA!AG$32</f>
        <v>1.5201215436025912E-2</v>
      </c>
      <c r="BL213" s="137">
        <f>$W213*AQ213+$L213*Summary_LCIA!AH$32</f>
        <v>2.4818395611825141</v>
      </c>
      <c r="BM213" s="137">
        <f>$W213*AR213+$L213*Summary_LCIA!AI$32</f>
        <v>0.43212389794495304</v>
      </c>
    </row>
    <row r="214" spans="1:65" x14ac:dyDescent="0.25">
      <c r="A214" s="149">
        <v>269</v>
      </c>
      <c r="B214" s="149">
        <v>43</v>
      </c>
      <c r="C214" s="61">
        <v>43.615583000000001</v>
      </c>
      <c r="D214" s="61">
        <v>-84.247212000000005</v>
      </c>
      <c r="E214" s="61" t="s">
        <v>265</v>
      </c>
      <c r="F214" s="149">
        <v>78</v>
      </c>
      <c r="G214" s="61" t="s">
        <v>615</v>
      </c>
      <c r="H214" s="61" t="s">
        <v>616</v>
      </c>
      <c r="I214" s="61">
        <v>42.216248999999998</v>
      </c>
      <c r="J214" s="61">
        <v>-83.355363999999994</v>
      </c>
      <c r="K214" s="61">
        <v>239.54536110000001</v>
      </c>
      <c r="L214" s="61">
        <v>218.8</v>
      </c>
      <c r="M214" s="61" t="s">
        <v>617</v>
      </c>
      <c r="N214" s="149">
        <v>42</v>
      </c>
      <c r="O214" s="149">
        <v>43</v>
      </c>
      <c r="P214" s="61" t="s">
        <v>565</v>
      </c>
      <c r="Q214" s="61" t="s">
        <v>555</v>
      </c>
      <c r="R214" s="61">
        <v>40.6895314</v>
      </c>
      <c r="S214" s="61">
        <v>-74.174462399999996</v>
      </c>
      <c r="T214" s="61">
        <v>1162.9349999999999</v>
      </c>
      <c r="U214" s="61" t="s">
        <v>617</v>
      </c>
      <c r="V214" s="61" t="s">
        <v>569</v>
      </c>
      <c r="W214" s="61" cm="1">
        <f t="array" ref="W214">getDistance(I214,J214,R214,S214)*SA!$B$12</f>
        <v>785.28633867682765</v>
      </c>
      <c r="Y214" s="137">
        <f>Transportation_LCIA!C$61*($W214^Transportation_LCIA!C$60)+Transportation_LCIA!C$62</f>
        <v>0.26330928953252508</v>
      </c>
      <c r="Z214" s="137">
        <f>Transportation_LCIA!D$61*($W214^Transportation_LCIA!D$60)+Transportation_LCIA!D$62</f>
        <v>2.7470263376439421</v>
      </c>
      <c r="AA214" s="137">
        <f>Transportation_LCIA!E$61*($W214^Transportation_LCIA!E$60)+Transportation_LCIA!E$62</f>
        <v>1.3559818236141058E-3</v>
      </c>
      <c r="AB214" s="137">
        <f>Transportation_LCIA!F$61*($W214^Transportation_LCIA!F$60)+Transportation_LCIA!F$62</f>
        <v>0.26330928953252508</v>
      </c>
      <c r="AC214" s="137">
        <f>Transportation_LCIA!G$61*($W214^Transportation_LCIA!G$60)+Transportation_LCIA!G$62</f>
        <v>6.4124466375910086E-2</v>
      </c>
      <c r="AD214" s="137">
        <f>Transportation_LCIA!H$61*($W214^Transportation_LCIA!H$60)+Transportation_LCIA!H$62</f>
        <v>3.23471252238349E-4</v>
      </c>
      <c r="AE214" s="137">
        <f>Transportation_LCIA!I$61*($W214^Transportation_LCIA!I$60)+Transportation_LCIA!I$62</f>
        <v>7.1006706958255214E-6</v>
      </c>
      <c r="AF214" s="137">
        <f>Transportation_LCIA!J$61*($W214^Transportation_LCIA!J$60)+Transportation_LCIA!J$62</f>
        <v>1.0525719899275952E-2</v>
      </c>
      <c r="AG214" s="137">
        <f>Transportation_LCIA!K$61*($W214^Transportation_LCIA!K$60)+Transportation_LCIA!K$62</f>
        <v>1.3797666560438151E-2</v>
      </c>
      <c r="AH214" s="137">
        <f>Transportation_LCIA!L$61*($W214^Transportation_LCIA!L$60)+Transportation_LCIA!L$62</f>
        <v>2.8284968621697246E-4</v>
      </c>
      <c r="AI214" s="137">
        <f>Transportation_LCIA!M$61*($W214^Transportation_LCIA!M$60)+Transportation_LCIA!M$62</f>
        <v>2.6937179467913046E-4</v>
      </c>
      <c r="AJ214" s="137">
        <f>Transportation_LCIA!N$61*($W214^Transportation_LCIA!N$60)+Transportation_LCIA!N$62</f>
        <v>1.1467213700117806E-3</v>
      </c>
      <c r="AK214" s="137">
        <f>Transportation_LCIA!O$61*($W214^Transportation_LCIA!O$60)+Transportation_LCIA!O$62</f>
        <v>6.7805651672599041E-5</v>
      </c>
      <c r="AL214" s="137">
        <f>Transportation_LCIA!P$61*($W214^Transportation_LCIA!P$60)+Transportation_LCIA!P$62</f>
        <v>3.2767641003522771E-8</v>
      </c>
      <c r="AM214" s="137">
        <f>Transportation_LCIA!Q$61*($W214^Transportation_LCIA!Q$60)+Transportation_LCIA!Q$62</f>
        <v>1.1176738524526752E-4</v>
      </c>
      <c r="AN214" s="137">
        <f>Transportation_LCIA!R$61*($W214^Transportation_LCIA!R$60)+Transportation_LCIA!R$62</f>
        <v>3.4134784719875682E-4</v>
      </c>
      <c r="AO214" s="137">
        <f>Transportation_LCIA!S$61*($W214^Transportation_LCIA!S$60)+Transportation_LCIA!S$62</f>
        <v>5.1017230769306004E-6</v>
      </c>
      <c r="AP214" s="137">
        <f>Transportation_LCIA!T$61*($W214^Transportation_LCIA!T$60)+Transportation_LCIA!T$62</f>
        <v>5.1017230769306004E-6</v>
      </c>
      <c r="AQ214" s="137">
        <f>Transportation_LCIA!U$61*($W214^Transportation_LCIA!U$60)+Transportation_LCIA!U$62</f>
        <v>7.3539020448969183E-4</v>
      </c>
      <c r="AR214" s="137">
        <f>Transportation_LCIA!V$61*($W214^Transportation_LCIA!V$60)+Transportation_LCIA!V$62</f>
        <v>2.9072294614169601E-4</v>
      </c>
      <c r="AT214" s="137">
        <f>$W214*Y214+$L214*Summary_LCIA!H$32</f>
        <v>281.12142791659335</v>
      </c>
      <c r="AU214" s="137">
        <f>$W214*Z214+$L214*Summary_LCIA!Q$32</f>
        <v>3241.5860896776267</v>
      </c>
      <c r="AV214" s="137">
        <f>$W214*AA214+$L214*Summary_LCIA!R$32</f>
        <v>2.2169472815782489</v>
      </c>
      <c r="AW214" s="137">
        <f>$W214*AB214+$L214*Summary_LCIA!S$32</f>
        <v>280.15433191659338</v>
      </c>
      <c r="AX214" s="137">
        <f>$W214*AC214+$L214*Summary_LCIA!T$32</f>
        <v>74.402187419943772</v>
      </c>
      <c r="AY214" s="137">
        <f>$W214*AD214+$L214*Summary_LCIA!U$32</f>
        <v>4.1736007553374614</v>
      </c>
      <c r="AZ214" s="137">
        <f>$W214*AE214+$L214*Summary_LCIA!V$32</f>
        <v>1.6026166492874666E-2</v>
      </c>
      <c r="BA214" s="137">
        <f>$W214*AF214+$L214*Summary_LCIA!W$32</f>
        <v>25.106958841640242</v>
      </c>
      <c r="BB214" s="137">
        <f>$W214*AG214+$L214*Summary_LCIA!X$32</f>
        <v>15.819383055530174</v>
      </c>
      <c r="BC214" s="137">
        <f>$W214*AH214+$L214*Summary_LCIA!Y$32</f>
        <v>3.6314595944852162</v>
      </c>
      <c r="BD214" s="137">
        <f>$W214*AI214+$L214*Summary_LCIA!Z$32</f>
        <v>0.22050675958638052</v>
      </c>
      <c r="BE214" s="137">
        <f>$W214*AJ214+$L214*Summary_LCIA!AA$32</f>
        <v>6.0107974261390265</v>
      </c>
      <c r="BF214" s="137">
        <f>$W214*AK214+$L214*Summary_LCIA!AB$32</f>
        <v>4.8471979543571617E-2</v>
      </c>
      <c r="BG214" s="137">
        <f>$W214*AL214+$L214*Summary_LCIA!AC$32</f>
        <v>3.642780003073309E-5</v>
      </c>
      <c r="BH214" s="137">
        <f>$W214*AM214+$L214*Summary_LCIA!AD$32</f>
        <v>0.17770495274273862</v>
      </c>
      <c r="BI214" s="137">
        <f>$W214*AN214+$L214*Summary_LCIA!AE$32</f>
        <v>0.46194104514192896</v>
      </c>
      <c r="BJ214" s="137">
        <f>$W214*AO214+$L214*Summary_LCIA!AF$32</f>
        <v>0.18898420943602595</v>
      </c>
      <c r="BK214" s="137">
        <f>$W214*AP214+$L214*Summary_LCIA!AG$32</f>
        <v>1.5201215436025912E-2</v>
      </c>
      <c r="BL214" s="137">
        <f>$W214*AQ214+$L214*Summary_LCIA!AH$32</f>
        <v>2.4818395611825141</v>
      </c>
      <c r="BM214" s="137">
        <f>$W214*AR214+$L214*Summary_LCIA!AI$32</f>
        <v>0.43212389794495304</v>
      </c>
    </row>
    <row r="215" spans="1:65" x14ac:dyDescent="0.25">
      <c r="A215" s="149">
        <v>270</v>
      </c>
      <c r="B215" s="149">
        <v>43</v>
      </c>
      <c r="C215" s="61">
        <v>43.615583000000001</v>
      </c>
      <c r="D215" s="61">
        <v>-84.247212000000005</v>
      </c>
      <c r="E215" s="61" t="s">
        <v>265</v>
      </c>
      <c r="F215" s="149">
        <v>78</v>
      </c>
      <c r="G215" s="61" t="s">
        <v>615</v>
      </c>
      <c r="H215" s="61" t="s">
        <v>616</v>
      </c>
      <c r="I215" s="61">
        <v>42.216248999999998</v>
      </c>
      <c r="J215" s="61">
        <v>-83.355363999999994</v>
      </c>
      <c r="K215" s="61">
        <v>239.54536110000001</v>
      </c>
      <c r="L215" s="61">
        <v>218.8</v>
      </c>
      <c r="M215" s="61" t="s">
        <v>617</v>
      </c>
      <c r="N215" s="149">
        <v>42</v>
      </c>
      <c r="O215" s="149">
        <v>43</v>
      </c>
      <c r="P215" s="61" t="s">
        <v>565</v>
      </c>
      <c r="Q215" s="61" t="s">
        <v>555</v>
      </c>
      <c r="R215" s="61">
        <v>40.6895314</v>
      </c>
      <c r="S215" s="61">
        <v>-74.174462399999996</v>
      </c>
      <c r="T215" s="61">
        <v>1162.9349999999999</v>
      </c>
      <c r="U215" s="61" t="s">
        <v>617</v>
      </c>
      <c r="V215" s="61" t="s">
        <v>569</v>
      </c>
      <c r="W215" s="61" cm="1">
        <f t="array" ref="W215">getDistance(I215,J215,R215,S215)*SA!$B$12</f>
        <v>785.28633867682765</v>
      </c>
      <c r="Y215" s="137">
        <f>Transportation_LCIA!C$61*($W215^Transportation_LCIA!C$60)+Transportation_LCIA!C$62</f>
        <v>0.26330928953252508</v>
      </c>
      <c r="Z215" s="137">
        <f>Transportation_LCIA!D$61*($W215^Transportation_LCIA!D$60)+Transportation_LCIA!D$62</f>
        <v>2.7470263376439421</v>
      </c>
      <c r="AA215" s="137">
        <f>Transportation_LCIA!E$61*($W215^Transportation_LCIA!E$60)+Transportation_LCIA!E$62</f>
        <v>1.3559818236141058E-3</v>
      </c>
      <c r="AB215" s="137">
        <f>Transportation_LCIA!F$61*($W215^Transportation_LCIA!F$60)+Transportation_LCIA!F$62</f>
        <v>0.26330928953252508</v>
      </c>
      <c r="AC215" s="137">
        <f>Transportation_LCIA!G$61*($W215^Transportation_LCIA!G$60)+Transportation_LCIA!G$62</f>
        <v>6.4124466375910086E-2</v>
      </c>
      <c r="AD215" s="137">
        <f>Transportation_LCIA!H$61*($W215^Transportation_LCIA!H$60)+Transportation_LCIA!H$62</f>
        <v>3.23471252238349E-4</v>
      </c>
      <c r="AE215" s="137">
        <f>Transportation_LCIA!I$61*($W215^Transportation_LCIA!I$60)+Transportation_LCIA!I$62</f>
        <v>7.1006706958255214E-6</v>
      </c>
      <c r="AF215" s="137">
        <f>Transportation_LCIA!J$61*($W215^Transportation_LCIA!J$60)+Transportation_LCIA!J$62</f>
        <v>1.0525719899275952E-2</v>
      </c>
      <c r="AG215" s="137">
        <f>Transportation_LCIA!K$61*($W215^Transportation_LCIA!K$60)+Transportation_LCIA!K$62</f>
        <v>1.3797666560438151E-2</v>
      </c>
      <c r="AH215" s="137">
        <f>Transportation_LCIA!L$61*($W215^Transportation_LCIA!L$60)+Transportation_LCIA!L$62</f>
        <v>2.8284968621697246E-4</v>
      </c>
      <c r="AI215" s="137">
        <f>Transportation_LCIA!M$61*($W215^Transportation_LCIA!M$60)+Transportation_LCIA!M$62</f>
        <v>2.6937179467913046E-4</v>
      </c>
      <c r="AJ215" s="137">
        <f>Transportation_LCIA!N$61*($W215^Transportation_LCIA!N$60)+Transportation_LCIA!N$62</f>
        <v>1.1467213700117806E-3</v>
      </c>
      <c r="AK215" s="137">
        <f>Transportation_LCIA!O$61*($W215^Transportation_LCIA!O$60)+Transportation_LCIA!O$62</f>
        <v>6.7805651672599041E-5</v>
      </c>
      <c r="AL215" s="137">
        <f>Transportation_LCIA!P$61*($W215^Transportation_LCIA!P$60)+Transportation_LCIA!P$62</f>
        <v>3.2767641003522771E-8</v>
      </c>
      <c r="AM215" s="137">
        <f>Transportation_LCIA!Q$61*($W215^Transportation_LCIA!Q$60)+Transportation_LCIA!Q$62</f>
        <v>1.1176738524526752E-4</v>
      </c>
      <c r="AN215" s="137">
        <f>Transportation_LCIA!R$61*($W215^Transportation_LCIA!R$60)+Transportation_LCIA!R$62</f>
        <v>3.4134784719875682E-4</v>
      </c>
      <c r="AO215" s="137">
        <f>Transportation_LCIA!S$61*($W215^Transportation_LCIA!S$60)+Transportation_LCIA!S$62</f>
        <v>5.1017230769306004E-6</v>
      </c>
      <c r="AP215" s="137">
        <f>Transportation_LCIA!T$61*($W215^Transportation_LCIA!T$60)+Transportation_LCIA!T$62</f>
        <v>5.1017230769306004E-6</v>
      </c>
      <c r="AQ215" s="137">
        <f>Transportation_LCIA!U$61*($W215^Transportation_LCIA!U$60)+Transportation_LCIA!U$62</f>
        <v>7.3539020448969183E-4</v>
      </c>
      <c r="AR215" s="137">
        <f>Transportation_LCIA!V$61*($W215^Transportation_LCIA!V$60)+Transportation_LCIA!V$62</f>
        <v>2.9072294614169601E-4</v>
      </c>
      <c r="AT215" s="137">
        <f>$W215*Y215+$L215*Summary_LCIA!H$32</f>
        <v>281.12142791659335</v>
      </c>
      <c r="AU215" s="137">
        <f>$W215*Z215+$L215*Summary_LCIA!Q$32</f>
        <v>3241.5860896776267</v>
      </c>
      <c r="AV215" s="137">
        <f>$W215*AA215+$L215*Summary_LCIA!R$32</f>
        <v>2.2169472815782489</v>
      </c>
      <c r="AW215" s="137">
        <f>$W215*AB215+$L215*Summary_LCIA!S$32</f>
        <v>280.15433191659338</v>
      </c>
      <c r="AX215" s="137">
        <f>$W215*AC215+$L215*Summary_LCIA!T$32</f>
        <v>74.402187419943772</v>
      </c>
      <c r="AY215" s="137">
        <f>$W215*AD215+$L215*Summary_LCIA!U$32</f>
        <v>4.1736007553374614</v>
      </c>
      <c r="AZ215" s="137">
        <f>$W215*AE215+$L215*Summary_LCIA!V$32</f>
        <v>1.6026166492874666E-2</v>
      </c>
      <c r="BA215" s="137">
        <f>$W215*AF215+$L215*Summary_LCIA!W$32</f>
        <v>25.106958841640242</v>
      </c>
      <c r="BB215" s="137">
        <f>$W215*AG215+$L215*Summary_LCIA!X$32</f>
        <v>15.819383055530174</v>
      </c>
      <c r="BC215" s="137">
        <f>$W215*AH215+$L215*Summary_LCIA!Y$32</f>
        <v>3.6314595944852162</v>
      </c>
      <c r="BD215" s="137">
        <f>$W215*AI215+$L215*Summary_LCIA!Z$32</f>
        <v>0.22050675958638052</v>
      </c>
      <c r="BE215" s="137">
        <f>$W215*AJ215+$L215*Summary_LCIA!AA$32</f>
        <v>6.0107974261390265</v>
      </c>
      <c r="BF215" s="137">
        <f>$W215*AK215+$L215*Summary_LCIA!AB$32</f>
        <v>4.8471979543571617E-2</v>
      </c>
      <c r="BG215" s="137">
        <f>$W215*AL215+$L215*Summary_LCIA!AC$32</f>
        <v>3.642780003073309E-5</v>
      </c>
      <c r="BH215" s="137">
        <f>$W215*AM215+$L215*Summary_LCIA!AD$32</f>
        <v>0.17770495274273862</v>
      </c>
      <c r="BI215" s="137">
        <f>$W215*AN215+$L215*Summary_LCIA!AE$32</f>
        <v>0.46194104514192896</v>
      </c>
      <c r="BJ215" s="137">
        <f>$W215*AO215+$L215*Summary_LCIA!AF$32</f>
        <v>0.18898420943602595</v>
      </c>
      <c r="BK215" s="137">
        <f>$W215*AP215+$L215*Summary_LCIA!AG$32</f>
        <v>1.5201215436025912E-2</v>
      </c>
      <c r="BL215" s="137">
        <f>$W215*AQ215+$L215*Summary_LCIA!AH$32</f>
        <v>2.4818395611825141</v>
      </c>
      <c r="BM215" s="137">
        <f>$W215*AR215+$L215*Summary_LCIA!AI$32</f>
        <v>0.43212389794495304</v>
      </c>
    </row>
    <row r="216" spans="1:65" x14ac:dyDescent="0.25">
      <c r="A216" s="149">
        <v>271</v>
      </c>
      <c r="B216" s="149">
        <v>43</v>
      </c>
      <c r="C216" s="61">
        <v>43.615583000000001</v>
      </c>
      <c r="D216" s="61">
        <v>-84.247212000000005</v>
      </c>
      <c r="E216" s="61" t="s">
        <v>265</v>
      </c>
      <c r="F216" s="149">
        <v>78</v>
      </c>
      <c r="G216" s="61" t="s">
        <v>615</v>
      </c>
      <c r="H216" s="61" t="s">
        <v>616</v>
      </c>
      <c r="I216" s="61">
        <v>42.216248999999998</v>
      </c>
      <c r="J216" s="61">
        <v>-83.355363999999994</v>
      </c>
      <c r="K216" s="61">
        <v>239.54536110000001</v>
      </c>
      <c r="L216" s="61">
        <v>218.8</v>
      </c>
      <c r="M216" s="61" t="s">
        <v>617</v>
      </c>
      <c r="N216" s="149">
        <v>42</v>
      </c>
      <c r="O216" s="149">
        <v>43</v>
      </c>
      <c r="P216" s="61" t="s">
        <v>565</v>
      </c>
      <c r="Q216" s="61" t="s">
        <v>555</v>
      </c>
      <c r="R216" s="61">
        <v>40.6895314</v>
      </c>
      <c r="S216" s="61">
        <v>-74.174462399999996</v>
      </c>
      <c r="T216" s="61">
        <v>1162.9349999999999</v>
      </c>
      <c r="U216" s="61" t="s">
        <v>617</v>
      </c>
      <c r="V216" s="61" t="s">
        <v>569</v>
      </c>
      <c r="W216" s="61" cm="1">
        <f t="array" ref="W216">getDistance(I216,J216,R216,S216)*SA!$B$12</f>
        <v>785.28633867682765</v>
      </c>
      <c r="Y216" s="137">
        <f>Transportation_LCIA!C$61*($W216^Transportation_LCIA!C$60)+Transportation_LCIA!C$62</f>
        <v>0.26330928953252508</v>
      </c>
      <c r="Z216" s="137">
        <f>Transportation_LCIA!D$61*($W216^Transportation_LCIA!D$60)+Transportation_LCIA!D$62</f>
        <v>2.7470263376439421</v>
      </c>
      <c r="AA216" s="137">
        <f>Transportation_LCIA!E$61*($W216^Transportation_LCIA!E$60)+Transportation_LCIA!E$62</f>
        <v>1.3559818236141058E-3</v>
      </c>
      <c r="AB216" s="137">
        <f>Transportation_LCIA!F$61*($W216^Transportation_LCIA!F$60)+Transportation_LCIA!F$62</f>
        <v>0.26330928953252508</v>
      </c>
      <c r="AC216" s="137">
        <f>Transportation_LCIA!G$61*($W216^Transportation_LCIA!G$60)+Transportation_LCIA!G$62</f>
        <v>6.4124466375910086E-2</v>
      </c>
      <c r="AD216" s="137">
        <f>Transportation_LCIA!H$61*($W216^Transportation_LCIA!H$60)+Transportation_LCIA!H$62</f>
        <v>3.23471252238349E-4</v>
      </c>
      <c r="AE216" s="137">
        <f>Transportation_LCIA!I$61*($W216^Transportation_LCIA!I$60)+Transportation_LCIA!I$62</f>
        <v>7.1006706958255214E-6</v>
      </c>
      <c r="AF216" s="137">
        <f>Transportation_LCIA!J$61*($W216^Transportation_LCIA!J$60)+Transportation_LCIA!J$62</f>
        <v>1.0525719899275952E-2</v>
      </c>
      <c r="AG216" s="137">
        <f>Transportation_LCIA!K$61*($W216^Transportation_LCIA!K$60)+Transportation_LCIA!K$62</f>
        <v>1.3797666560438151E-2</v>
      </c>
      <c r="AH216" s="137">
        <f>Transportation_LCIA!L$61*($W216^Transportation_LCIA!L$60)+Transportation_LCIA!L$62</f>
        <v>2.8284968621697246E-4</v>
      </c>
      <c r="AI216" s="137">
        <f>Transportation_LCIA!M$61*($W216^Transportation_LCIA!M$60)+Transportation_LCIA!M$62</f>
        <v>2.6937179467913046E-4</v>
      </c>
      <c r="AJ216" s="137">
        <f>Transportation_LCIA!N$61*($W216^Transportation_LCIA!N$60)+Transportation_LCIA!N$62</f>
        <v>1.1467213700117806E-3</v>
      </c>
      <c r="AK216" s="137">
        <f>Transportation_LCIA!O$61*($W216^Transportation_LCIA!O$60)+Transportation_LCIA!O$62</f>
        <v>6.7805651672599041E-5</v>
      </c>
      <c r="AL216" s="137">
        <f>Transportation_LCIA!P$61*($W216^Transportation_LCIA!P$60)+Transportation_LCIA!P$62</f>
        <v>3.2767641003522771E-8</v>
      </c>
      <c r="AM216" s="137">
        <f>Transportation_LCIA!Q$61*($W216^Transportation_LCIA!Q$60)+Transportation_LCIA!Q$62</f>
        <v>1.1176738524526752E-4</v>
      </c>
      <c r="AN216" s="137">
        <f>Transportation_LCIA!R$61*($W216^Transportation_LCIA!R$60)+Transportation_LCIA!R$62</f>
        <v>3.4134784719875682E-4</v>
      </c>
      <c r="AO216" s="137">
        <f>Transportation_LCIA!S$61*($W216^Transportation_LCIA!S$60)+Transportation_LCIA!S$62</f>
        <v>5.1017230769306004E-6</v>
      </c>
      <c r="AP216" s="137">
        <f>Transportation_LCIA!T$61*($W216^Transportation_LCIA!T$60)+Transportation_LCIA!T$62</f>
        <v>5.1017230769306004E-6</v>
      </c>
      <c r="AQ216" s="137">
        <f>Transportation_LCIA!U$61*($W216^Transportation_LCIA!U$60)+Transportation_LCIA!U$62</f>
        <v>7.3539020448969183E-4</v>
      </c>
      <c r="AR216" s="137">
        <f>Transportation_LCIA!V$61*($W216^Transportation_LCIA!V$60)+Transportation_LCIA!V$62</f>
        <v>2.9072294614169601E-4</v>
      </c>
      <c r="AT216" s="137">
        <f>$W216*Y216+$L216*Summary_LCIA!H$32</f>
        <v>281.12142791659335</v>
      </c>
      <c r="AU216" s="137">
        <f>$W216*Z216+$L216*Summary_LCIA!Q$32</f>
        <v>3241.5860896776267</v>
      </c>
      <c r="AV216" s="137">
        <f>$W216*AA216+$L216*Summary_LCIA!R$32</f>
        <v>2.2169472815782489</v>
      </c>
      <c r="AW216" s="137">
        <f>$W216*AB216+$L216*Summary_LCIA!S$32</f>
        <v>280.15433191659338</v>
      </c>
      <c r="AX216" s="137">
        <f>$W216*AC216+$L216*Summary_LCIA!T$32</f>
        <v>74.402187419943772</v>
      </c>
      <c r="AY216" s="137">
        <f>$W216*AD216+$L216*Summary_LCIA!U$32</f>
        <v>4.1736007553374614</v>
      </c>
      <c r="AZ216" s="137">
        <f>$W216*AE216+$L216*Summary_LCIA!V$32</f>
        <v>1.6026166492874666E-2</v>
      </c>
      <c r="BA216" s="137">
        <f>$W216*AF216+$L216*Summary_LCIA!W$32</f>
        <v>25.106958841640242</v>
      </c>
      <c r="BB216" s="137">
        <f>$W216*AG216+$L216*Summary_LCIA!X$32</f>
        <v>15.819383055530174</v>
      </c>
      <c r="BC216" s="137">
        <f>$W216*AH216+$L216*Summary_LCIA!Y$32</f>
        <v>3.6314595944852162</v>
      </c>
      <c r="BD216" s="137">
        <f>$W216*AI216+$L216*Summary_LCIA!Z$32</f>
        <v>0.22050675958638052</v>
      </c>
      <c r="BE216" s="137">
        <f>$W216*AJ216+$L216*Summary_LCIA!AA$32</f>
        <v>6.0107974261390265</v>
      </c>
      <c r="BF216" s="137">
        <f>$W216*AK216+$L216*Summary_LCIA!AB$32</f>
        <v>4.8471979543571617E-2</v>
      </c>
      <c r="BG216" s="137">
        <f>$W216*AL216+$L216*Summary_LCIA!AC$32</f>
        <v>3.642780003073309E-5</v>
      </c>
      <c r="BH216" s="137">
        <f>$W216*AM216+$L216*Summary_LCIA!AD$32</f>
        <v>0.17770495274273862</v>
      </c>
      <c r="BI216" s="137">
        <f>$W216*AN216+$L216*Summary_LCIA!AE$32</f>
        <v>0.46194104514192896</v>
      </c>
      <c r="BJ216" s="137">
        <f>$W216*AO216+$L216*Summary_LCIA!AF$32</f>
        <v>0.18898420943602595</v>
      </c>
      <c r="BK216" s="137">
        <f>$W216*AP216+$L216*Summary_LCIA!AG$32</f>
        <v>1.5201215436025912E-2</v>
      </c>
      <c r="BL216" s="137">
        <f>$W216*AQ216+$L216*Summary_LCIA!AH$32</f>
        <v>2.4818395611825141</v>
      </c>
      <c r="BM216" s="137">
        <f>$W216*AR216+$L216*Summary_LCIA!AI$32</f>
        <v>0.43212389794495304</v>
      </c>
    </row>
    <row r="217" spans="1:65" x14ac:dyDescent="0.25">
      <c r="A217" s="149">
        <v>18</v>
      </c>
      <c r="B217" s="149">
        <v>43</v>
      </c>
      <c r="C217" s="61">
        <v>34.679338999999999</v>
      </c>
      <c r="D217" s="61">
        <v>-82.835136000000006</v>
      </c>
      <c r="E217" s="61" t="s">
        <v>265</v>
      </c>
      <c r="F217" s="149">
        <v>34</v>
      </c>
      <c r="G217" s="61" t="s">
        <v>565</v>
      </c>
      <c r="H217" s="61" t="s">
        <v>633</v>
      </c>
      <c r="I217" s="61">
        <v>35.214402999999997</v>
      </c>
      <c r="J217" s="61">
        <v>-80.947315000000003</v>
      </c>
      <c r="K217" s="61">
        <v>198.3898093</v>
      </c>
      <c r="L217" s="61">
        <v>211.65</v>
      </c>
      <c r="M217" s="61" t="s">
        <v>617</v>
      </c>
      <c r="N217" s="149">
        <v>42</v>
      </c>
      <c r="O217" s="149">
        <v>43</v>
      </c>
      <c r="P217" s="61" t="s">
        <v>565</v>
      </c>
      <c r="Q217" s="61" t="s">
        <v>555</v>
      </c>
      <c r="R217" s="61">
        <v>40.6895314</v>
      </c>
      <c r="S217" s="61">
        <v>-74.174462399999996</v>
      </c>
      <c r="T217" s="61">
        <v>1191.914</v>
      </c>
      <c r="U217" s="61" t="s">
        <v>617</v>
      </c>
      <c r="V217" s="61" t="s">
        <v>569</v>
      </c>
      <c r="W217" s="61" cm="1">
        <f t="array" ref="W217">getDistance(I217,J217,R217,S217)*SA!$B$12</f>
        <v>851.05121377634293</v>
      </c>
      <c r="Y217" s="137">
        <f>Transportation_LCIA!C$61*($W217^Transportation_LCIA!C$60)+Transportation_LCIA!C$62</f>
        <v>0.25343049240533111</v>
      </c>
      <c r="Z217" s="137">
        <f>Transportation_LCIA!D$61*($W217^Transportation_LCIA!D$60)+Transportation_LCIA!D$62</f>
        <v>2.6307480783429384</v>
      </c>
      <c r="AA217" s="137">
        <f>Transportation_LCIA!E$61*($W217^Transportation_LCIA!E$60)+Transportation_LCIA!E$62</f>
        <v>1.2793461318450019E-3</v>
      </c>
      <c r="AB217" s="137">
        <f>Transportation_LCIA!F$61*($W217^Transportation_LCIA!F$60)+Transportation_LCIA!F$62</f>
        <v>0.25343049240533111</v>
      </c>
      <c r="AC217" s="137">
        <f>Transportation_LCIA!G$61*($W217^Transportation_LCIA!G$60)+Transportation_LCIA!G$62</f>
        <v>6.1435625769608669E-2</v>
      </c>
      <c r="AD217" s="137">
        <f>Transportation_LCIA!H$61*($W217^Transportation_LCIA!H$60)+Transportation_LCIA!H$62</f>
        <v>3.065402716805851E-4</v>
      </c>
      <c r="AE217" s="137">
        <f>Transportation_LCIA!I$61*($W217^Transportation_LCIA!I$60)+Transportation_LCIA!I$62</f>
        <v>6.6711792632361422E-6</v>
      </c>
      <c r="AF217" s="137">
        <f>Transportation_LCIA!J$61*($W217^Transportation_LCIA!J$60)+Transportation_LCIA!J$62</f>
        <v>9.8828828449766624E-3</v>
      </c>
      <c r="AG217" s="137">
        <f>Transportation_LCIA!K$61*($W217^Transportation_LCIA!K$60)+Transportation_LCIA!K$62</f>
        <v>1.3167278527053671E-2</v>
      </c>
      <c r="AH217" s="137">
        <f>Transportation_LCIA!L$61*($W217^Transportation_LCIA!L$60)+Transportation_LCIA!L$62</f>
        <v>2.6725039435791071E-4</v>
      </c>
      <c r="AI217" s="137">
        <f>Transportation_LCIA!M$61*($W217^Transportation_LCIA!M$60)+Transportation_LCIA!M$62</f>
        <v>2.6002531765647143E-4</v>
      </c>
      <c r="AJ217" s="137">
        <f>Transportation_LCIA!N$61*($W217^Transportation_LCIA!N$60)+Transportation_LCIA!N$62</f>
        <v>1.0898312653906447E-3</v>
      </c>
      <c r="AK217" s="137">
        <f>Transportation_LCIA!O$61*($W217^Transportation_LCIA!O$60)+Transportation_LCIA!O$62</f>
        <v>6.4947739462206474E-5</v>
      </c>
      <c r="AL217" s="137">
        <f>Transportation_LCIA!P$61*($W217^Transportation_LCIA!P$60)+Transportation_LCIA!P$62</f>
        <v>3.139446307580722E-8</v>
      </c>
      <c r="AM217" s="137">
        <f>Transportation_LCIA!Q$61*($W217^Transportation_LCIA!Q$60)+Transportation_LCIA!Q$62</f>
        <v>1.0566088004157003E-4</v>
      </c>
      <c r="AN217" s="137">
        <f>Transportation_LCIA!R$61*($W217^Transportation_LCIA!R$60)+Transportation_LCIA!R$62</f>
        <v>3.2074864831290064E-4</v>
      </c>
      <c r="AO217" s="137">
        <f>Transportation_LCIA!S$61*($W217^Transportation_LCIA!S$60)+Transportation_LCIA!S$62</f>
        <v>4.8094770187755473E-6</v>
      </c>
      <c r="AP217" s="137">
        <f>Transportation_LCIA!T$61*($W217^Transportation_LCIA!T$60)+Transportation_LCIA!T$62</f>
        <v>4.8094770187755473E-6</v>
      </c>
      <c r="AQ217" s="137">
        <f>Transportation_LCIA!U$61*($W217^Transportation_LCIA!U$60)+Transportation_LCIA!U$62</f>
        <v>6.9015010201870343E-4</v>
      </c>
      <c r="AR217" s="137">
        <f>Transportation_LCIA!V$61*($W217^Transportation_LCIA!V$60)+Transportation_LCIA!V$62</f>
        <v>2.7481283900177808E-4</v>
      </c>
      <c r="AT217" s="137">
        <f>$W217*Y217+$L217*Summary_LCIA!H$32</f>
        <v>287.60099816949332</v>
      </c>
      <c r="AU217" s="137">
        <f>$W217*Z217+$L217*Summary_LCIA!Q$32</f>
        <v>3287.8494193579895</v>
      </c>
      <c r="AV217" s="137">
        <f>$W217*AA217+$L217*Summary_LCIA!R$32</f>
        <v>2.203253318346758</v>
      </c>
      <c r="AW217" s="137">
        <f>$W217*AB217+$L217*Summary_LCIA!S$32</f>
        <v>286.66550516949331</v>
      </c>
      <c r="AX217" s="137">
        <f>$W217*AC217+$L217*Summary_LCIA!T$32</f>
        <v>75.545198880334638</v>
      </c>
      <c r="AY217" s="137">
        <f>$W217*AD217+$L217*Summary_LCIA!U$32</f>
        <v>4.0523795702850922</v>
      </c>
      <c r="AZ217" s="137">
        <f>$W217*AE217+$L217*Summary_LCIA!V$32</f>
        <v>1.5786130859296688E-2</v>
      </c>
      <c r="BA217" s="137">
        <f>$W217*AF217+$L217*Summary_LCIA!W$32</f>
        <v>24.701751590826788</v>
      </c>
      <c r="BB217" s="137">
        <f>$W217*AG217+$L217*Summary_LCIA!X$32</f>
        <v>16.027415372580204</v>
      </c>
      <c r="BC217" s="137">
        <f>$W217*AH217+$L217*Summary_LCIA!Y$32</f>
        <v>3.5253740725005063</v>
      </c>
      <c r="BD217" s="137">
        <f>$W217*AI217+$L217*Summary_LCIA!Z$32</f>
        <v>0.22997441705411914</v>
      </c>
      <c r="BE217" s="137">
        <f>$W217*AJ217+$L217*Summary_LCIA!AA$32</f>
        <v>5.8707996212221154</v>
      </c>
      <c r="BF217" s="137">
        <f>$W217*AK217+$L217*Summary_LCIA!AB$32</f>
        <v>5.0655014551340506E-2</v>
      </c>
      <c r="BG217" s="137">
        <f>$W217*AL217+$L217*Summary_LCIA!AC$32</f>
        <v>3.7064594506522315E-5</v>
      </c>
      <c r="BH217" s="137">
        <f>$W217*AM217+$L217*Summary_LCIA!AD$32</f>
        <v>0.17691943620805473</v>
      </c>
      <c r="BI217" s="137">
        <f>$W217*AN217+$L217*Summary_LCIA!AE$32</f>
        <v>0.46052294096381541</v>
      </c>
      <c r="BJ217" s="137">
        <f>$W217*AO217+$L217*Summary_LCIA!AF$32</f>
        <v>0.18302625425445837</v>
      </c>
      <c r="BK217" s="137">
        <f>$W217*AP217+$L217*Summary_LCIA!AG$32</f>
        <v>1.4922183504458357E-2</v>
      </c>
      <c r="BL217" s="137">
        <f>$W217*AQ217+$L217*Summary_LCIA!AH$32</f>
        <v>2.4294700220108845</v>
      </c>
      <c r="BM217" s="137">
        <f>$W217*AR217+$L217*Summary_LCIA!AI$32</f>
        <v>0.43104235769378596</v>
      </c>
    </row>
    <row r="218" spans="1:65" x14ac:dyDescent="0.25">
      <c r="A218" s="149">
        <v>104</v>
      </c>
      <c r="B218" s="149">
        <v>43</v>
      </c>
      <c r="C218" s="61">
        <v>40.428246000000001</v>
      </c>
      <c r="D218" s="61">
        <v>-86.914390999999995</v>
      </c>
      <c r="E218" s="61" t="s">
        <v>265</v>
      </c>
      <c r="F218" s="149">
        <v>107</v>
      </c>
      <c r="G218" s="61" t="s">
        <v>671</v>
      </c>
      <c r="H218" s="61" t="s">
        <v>672</v>
      </c>
      <c r="I218" s="61">
        <v>39.716858999999999</v>
      </c>
      <c r="J218" s="61">
        <v>-86.295595000000006</v>
      </c>
      <c r="K218" s="61">
        <v>130.25631390000001</v>
      </c>
      <c r="L218" s="61">
        <v>113.89400000000001</v>
      </c>
      <c r="M218" s="61" t="s">
        <v>617</v>
      </c>
      <c r="N218" s="149">
        <v>42</v>
      </c>
      <c r="O218" s="149">
        <v>43</v>
      </c>
      <c r="P218" s="61" t="s">
        <v>565</v>
      </c>
      <c r="Q218" s="61" t="s">
        <v>555</v>
      </c>
      <c r="R218" s="61">
        <v>40.6895314</v>
      </c>
      <c r="S218" s="61">
        <v>-74.174462399999996</v>
      </c>
      <c r="T218" s="61">
        <v>1221.652</v>
      </c>
      <c r="U218" s="61" t="s">
        <v>617</v>
      </c>
      <c r="V218" s="61" t="s">
        <v>569</v>
      </c>
      <c r="W218" s="61" cm="1">
        <f t="array" ref="W218">getDistance(I218,J218,R218,S218)*SA!$B$12</f>
        <v>1036.8190053308695</v>
      </c>
      <c r="Y218" s="137">
        <f>Transportation_LCIA!C$61*($W218^Transportation_LCIA!C$60)+Transportation_LCIA!C$62</f>
        <v>0.23182535498820825</v>
      </c>
      <c r="Z218" s="137">
        <f>Transportation_LCIA!D$61*($W218^Transportation_LCIA!D$60)+Transportation_LCIA!D$62</f>
        <v>2.3779487735996971</v>
      </c>
      <c r="AA218" s="137">
        <f>Transportation_LCIA!E$61*($W218^Transportation_LCIA!E$60)+Transportation_LCIA!E$62</f>
        <v>1.1130106101167978E-3</v>
      </c>
      <c r="AB218" s="137">
        <f>Transportation_LCIA!F$61*($W218^Transportation_LCIA!F$60)+Transportation_LCIA!F$62</f>
        <v>0.23182535498820825</v>
      </c>
      <c r="AC218" s="137">
        <f>Transportation_LCIA!G$61*($W218^Transportation_LCIA!G$60)+Transportation_LCIA!G$62</f>
        <v>5.5587825071849818E-2</v>
      </c>
      <c r="AD218" s="137">
        <f>Transportation_LCIA!H$61*($W218^Transportation_LCIA!H$60)+Transportation_LCIA!H$62</f>
        <v>2.6991275507681268E-4</v>
      </c>
      <c r="AE218" s="137">
        <f>Transportation_LCIA!I$61*($W218^Transportation_LCIA!I$60)+Transportation_LCIA!I$62</f>
        <v>5.7469484470508187E-6</v>
      </c>
      <c r="AF218" s="137">
        <f>Transportation_LCIA!J$61*($W218^Transportation_LCIA!J$60)+Transportation_LCIA!J$62</f>
        <v>8.5043232275535743E-3</v>
      </c>
      <c r="AG218" s="137">
        <f>Transportation_LCIA!K$61*($W218^Transportation_LCIA!K$60)+Transportation_LCIA!K$62</f>
        <v>1.1800383647369508E-2</v>
      </c>
      <c r="AH218" s="137">
        <f>Transportation_LCIA!L$61*($W218^Transportation_LCIA!L$60)+Transportation_LCIA!L$62</f>
        <v>2.3355463185432802E-4</v>
      </c>
      <c r="AI218" s="137">
        <f>Transportation_LCIA!M$61*($W218^Transportation_LCIA!M$60)+Transportation_LCIA!M$62</f>
        <v>2.3980930495579928E-4</v>
      </c>
      <c r="AJ218" s="137">
        <f>Transportation_LCIA!N$61*($W218^Transportation_LCIA!N$60)+Transportation_LCIA!N$62</f>
        <v>9.6670664356157047E-4</v>
      </c>
      <c r="AK218" s="137">
        <f>Transportation_LCIA!O$61*($W218^Transportation_LCIA!O$60)+Transportation_LCIA!O$62</f>
        <v>5.8733247350507015E-5</v>
      </c>
      <c r="AL218" s="137">
        <f>Transportation_LCIA!P$61*($W218^Transportation_LCIA!P$60)+Transportation_LCIA!P$62</f>
        <v>2.8407189056687923E-8</v>
      </c>
      <c r="AM218" s="137">
        <f>Transportation_LCIA!Q$61*($W218^Transportation_LCIA!Q$60)+Transportation_LCIA!Q$62</f>
        <v>9.2481027991308975E-5</v>
      </c>
      <c r="AN218" s="137">
        <f>Transportation_LCIA!R$61*($W218^Transportation_LCIA!R$60)+Transportation_LCIA!R$62</f>
        <v>2.7642650735738459E-4</v>
      </c>
      <c r="AO218" s="137">
        <f>Transportation_LCIA!S$61*($W218^Transportation_LCIA!S$60)+Transportation_LCIA!S$62</f>
        <v>4.180518546410779E-6</v>
      </c>
      <c r="AP218" s="137">
        <f>Transportation_LCIA!T$61*($W218^Transportation_LCIA!T$60)+Transportation_LCIA!T$62</f>
        <v>4.180518546410779E-6</v>
      </c>
      <c r="AQ218" s="137">
        <f>Transportation_LCIA!U$61*($W218^Transportation_LCIA!U$60)+Transportation_LCIA!U$62</f>
        <v>5.9290717019505569E-4</v>
      </c>
      <c r="AR218" s="137">
        <f>Transportation_LCIA!V$61*($W218^Transportation_LCIA!V$60)+Transportation_LCIA!V$62</f>
        <v>2.4050951718083388E-4</v>
      </c>
      <c r="AT218" s="137">
        <f>$W218*Y218+$L218*Summary_LCIA!H$32</f>
        <v>279.06211516934979</v>
      </c>
      <c r="AU218" s="137">
        <f>$W218*Z218+$L218*Summary_LCIA!Q$32</f>
        <v>3029.9668901875007</v>
      </c>
      <c r="AV218" s="137">
        <f>$W218*AA218+$L218*Summary_LCIA!R$32</f>
        <v>1.7537108001040025</v>
      </c>
      <c r="AW218" s="137">
        <f>$W218*AB218+$L218*Summary_LCIA!S$32</f>
        <v>278.55870368934978</v>
      </c>
      <c r="AX218" s="137">
        <f>$W218*AC218+$L218*Summary_LCIA!T$32</f>
        <v>70.151464099501695</v>
      </c>
      <c r="AY218" s="137">
        <f>$W218*AD218+$L218*Summary_LCIA!U$32</f>
        <v>2.3201477902448557</v>
      </c>
      <c r="AZ218" s="137">
        <f>$W218*AE218+$L218*Summary_LCIA!V$32</f>
        <v>1.1398236706559015E-2</v>
      </c>
      <c r="BA218" s="137">
        <f>$W218*AF218+$L218*Summary_LCIA!W$32</f>
        <v>17.583979023804307</v>
      </c>
      <c r="BB218" s="137">
        <f>$W218*AG218+$L218*Summary_LCIA!X$32</f>
        <v>14.82936735578831</v>
      </c>
      <c r="BC218" s="137">
        <f>$W218*AH218+$L218*Summary_LCIA!Y$32</f>
        <v>2.016850189089622</v>
      </c>
      <c r="BD218" s="137">
        <f>$W218*AI218+$L218*Summary_LCIA!Z$32</f>
        <v>0.25330952407935897</v>
      </c>
      <c r="BE218" s="137">
        <f>$W218*AJ218+$L218*Summary_LCIA!AA$32</f>
        <v>3.6624080846242508</v>
      </c>
      <c r="BF218" s="137">
        <f>$W218*AK218+$L218*Summary_LCIA!AB$32</f>
        <v>5.8410238335804603E-2</v>
      </c>
      <c r="BG218" s="137">
        <f>$W218*AL218+$L218*Summary_LCIA!AC$32</f>
        <v>3.5020707798001131E-5</v>
      </c>
      <c r="BH218" s="137">
        <f>$W218*AM218+$L218*Summary_LCIA!AD$32</f>
        <v>0.14270107721392528</v>
      </c>
      <c r="BI218" s="137">
        <f>$W218*AN218+$L218*Summary_LCIA!AE$32</f>
        <v>0.38752914662536975</v>
      </c>
      <c r="BJ218" s="137">
        <f>$W218*AO218+$L218*Summary_LCIA!AF$32</f>
        <v>0.10062270656105689</v>
      </c>
      <c r="BK218" s="137">
        <f>$W218*AP218+$L218*Summary_LCIA!AG$32</f>
        <v>1.0161827591056877E-2</v>
      </c>
      <c r="BL218" s="137">
        <f>$W218*AQ218+$L218*Summary_LCIA!AH$32</f>
        <v>1.6060252408551783</v>
      </c>
      <c r="BM218" s="137">
        <f>$W218*AR218+$L218*Summary_LCIA!AI$32</f>
        <v>0.35546279407603987</v>
      </c>
    </row>
    <row r="219" spans="1:65" x14ac:dyDescent="0.25">
      <c r="A219" s="149">
        <v>103</v>
      </c>
      <c r="B219" s="149">
        <v>16</v>
      </c>
      <c r="C219" s="61">
        <v>32.890006</v>
      </c>
      <c r="D219" s="61">
        <v>-96.949909000000005</v>
      </c>
      <c r="E219" s="61" t="s">
        <v>265</v>
      </c>
      <c r="F219" s="149">
        <v>10</v>
      </c>
      <c r="G219" s="61" t="s">
        <v>565</v>
      </c>
      <c r="H219" s="61" t="s">
        <v>670</v>
      </c>
      <c r="I219" s="61">
        <v>32.899808999999998</v>
      </c>
      <c r="J219" s="61">
        <v>-97.040334999999999</v>
      </c>
      <c r="K219" s="61">
        <v>8.8253574990000008</v>
      </c>
      <c r="L219" s="61">
        <v>16.529</v>
      </c>
      <c r="M219" s="61" t="s">
        <v>617</v>
      </c>
      <c r="N219" s="149">
        <v>15</v>
      </c>
      <c r="O219" s="149">
        <v>16</v>
      </c>
      <c r="P219" s="61" t="s">
        <v>565</v>
      </c>
      <c r="Q219" s="61" t="s">
        <v>556</v>
      </c>
      <c r="R219" s="61">
        <v>39.856096299999997</v>
      </c>
      <c r="S219" s="61">
        <v>-104.6737376</v>
      </c>
      <c r="T219" s="61">
        <v>1231.6610000000001</v>
      </c>
      <c r="U219" s="61" t="s">
        <v>617</v>
      </c>
      <c r="V219" s="61" t="s">
        <v>569</v>
      </c>
      <c r="W219" s="61" cm="1">
        <f t="array" ref="W219">getDistance(I219,J219,R219,S219)*SA!$B$12</f>
        <v>1032.405382823028</v>
      </c>
      <c r="Y219" s="137">
        <f>Transportation_LCIA!C$61*($W219^Transportation_LCIA!C$60)+Transportation_LCIA!C$62</f>
        <v>0.23225534418598123</v>
      </c>
      <c r="Z219" s="137">
        <f>Transportation_LCIA!D$61*($W219^Transportation_LCIA!D$60)+Transportation_LCIA!D$62</f>
        <v>2.3829583682730289</v>
      </c>
      <c r="AA219" s="137">
        <f>Transportation_LCIA!E$61*($W219^Transportation_LCIA!E$60)+Transportation_LCIA!E$62</f>
        <v>1.1163027982333872E-3</v>
      </c>
      <c r="AB219" s="137">
        <f>Transportation_LCIA!F$61*($W219^Transportation_LCIA!F$60)+Transportation_LCIA!F$62</f>
        <v>0.23225534418598123</v>
      </c>
      <c r="AC219" s="137">
        <f>Transportation_LCIA!G$61*($W219^Transportation_LCIA!G$60)+Transportation_LCIA!G$62</f>
        <v>5.5703737133526478E-2</v>
      </c>
      <c r="AD219" s="137">
        <f>Transportation_LCIA!H$61*($W219^Transportation_LCIA!H$60)+Transportation_LCIA!H$62</f>
        <v>2.7063596654759427E-4</v>
      </c>
      <c r="AE219" s="137">
        <f>Transportation_LCIA!I$61*($W219^Transportation_LCIA!I$60)+Transportation_LCIA!I$62</f>
        <v>5.7651269707403461E-6</v>
      </c>
      <c r="AF219" s="137">
        <f>Transportation_LCIA!J$61*($W219^Transportation_LCIA!J$60)+Transportation_LCIA!J$62</f>
        <v>8.5313693632523887E-3</v>
      </c>
      <c r="AG219" s="137">
        <f>Transportation_LCIA!K$61*($W219^Transportation_LCIA!K$60)+Transportation_LCIA!K$62</f>
        <v>1.1827418478712399E-2</v>
      </c>
      <c r="AH219" s="137">
        <f>Transportation_LCIA!L$61*($W219^Transportation_LCIA!L$60)+Transportation_LCIA!L$62</f>
        <v>2.3421922374683465E-4</v>
      </c>
      <c r="AI219" s="137">
        <f>Transportation_LCIA!M$61*($W219^Transportation_LCIA!M$60)+Transportation_LCIA!M$62</f>
        <v>2.4020841858251191E-4</v>
      </c>
      <c r="AJ219" s="137">
        <f>Transportation_LCIA!N$61*($W219^Transportation_LCIA!N$60)+Transportation_LCIA!N$62</f>
        <v>9.6913848993546322E-4</v>
      </c>
      <c r="AK219" s="137">
        <f>Transportation_LCIA!O$61*($W219^Transportation_LCIA!O$60)+Transportation_LCIA!O$62</f>
        <v>5.8856413165664977E-5</v>
      </c>
      <c r="AL219" s="137">
        <f>Transportation_LCIA!P$61*($W219^Transportation_LCIA!P$60)+Transportation_LCIA!P$62</f>
        <v>2.8466413236598074E-8</v>
      </c>
      <c r="AM219" s="137">
        <f>Transportation_LCIA!Q$61*($W219^Transportation_LCIA!Q$60)+Transportation_LCIA!Q$62</f>
        <v>9.2740824190142807E-5</v>
      </c>
      <c r="AN219" s="137">
        <f>Transportation_LCIA!R$61*($W219^Transportation_LCIA!R$60)+Transportation_LCIA!R$62</f>
        <v>2.7729818976966129E-4</v>
      </c>
      <c r="AO219" s="137">
        <f>Transportation_LCIA!S$61*($W219^Transportation_LCIA!S$60)+Transportation_LCIA!S$62</f>
        <v>4.1928904000612024E-6</v>
      </c>
      <c r="AP219" s="137">
        <f>Transportation_LCIA!T$61*($W219^Transportation_LCIA!T$60)+Transportation_LCIA!T$62</f>
        <v>4.1928904000612024E-6</v>
      </c>
      <c r="AQ219" s="137">
        <f>Transportation_LCIA!U$61*($W219^Transportation_LCIA!U$60)+Transportation_LCIA!U$62</f>
        <v>5.9481824090767315E-4</v>
      </c>
      <c r="AR219" s="137">
        <f>Transportation_LCIA!V$61*($W219^Transportation_LCIA!V$60)+Transportation_LCIA!V$62</f>
        <v>2.4118517412096064E-4</v>
      </c>
      <c r="AT219" s="137">
        <f>$W219*Y219+$L219*Summary_LCIA!H$32</f>
        <v>245.3982217270221</v>
      </c>
      <c r="AU219" s="137">
        <f>$W219*Z219+$L219*Summary_LCIA!Q$32</f>
        <v>2542.0976040553119</v>
      </c>
      <c r="AV219" s="137">
        <f>$W219*AA219+$L219*Summary_LCIA!R$32</f>
        <v>1.2395121201565575</v>
      </c>
      <c r="AW219" s="137">
        <f>$W219*AB219+$L219*Summary_LCIA!S$32</f>
        <v>245.3251635470221</v>
      </c>
      <c r="AX219" s="137">
        <f>$W219*AC219+$L219*Summary_LCIA!T$32</f>
        <v>59.325375160011724</v>
      </c>
      <c r="AY219" s="137">
        <f>$W219*AD219+$L219*Summary_LCIA!U$32</f>
        <v>0.57550653464924928</v>
      </c>
      <c r="AZ219" s="137">
        <f>$W219*AE219+$L219*Summary_LCIA!V$32</f>
        <v>6.7413896862505507E-3</v>
      </c>
      <c r="BA219" s="137">
        <f>$W219*AF219+$L219*Summary_LCIA!W$32</f>
        <v>10.080085312473235</v>
      </c>
      <c r="BB219" s="137">
        <f>$W219*AG219+$L219*Summary_LCIA!X$32</f>
        <v>12.58722112232323</v>
      </c>
      <c r="BC219" s="137">
        <f>$W219*AH219+$L219*Summary_LCIA!Y$32</f>
        <v>0.49936406535686328</v>
      </c>
      <c r="BD219" s="137">
        <f>$W219*AI219+$L219*Summary_LCIA!Z$32</f>
        <v>0.24867030210499239</v>
      </c>
      <c r="BE219" s="137">
        <f>$W219*AJ219+$L219*Summary_LCIA!AA$32</f>
        <v>1.3865951177103533</v>
      </c>
      <c r="BF219" s="137">
        <f>$W219*AK219+$L219*Summary_LCIA!AB$32</f>
        <v>6.0402965398888661E-2</v>
      </c>
      <c r="BG219" s="137">
        <f>$W219*AL219+$L219*Summary_LCIA!AC$32</f>
        <v>3.0196881891128548E-5</v>
      </c>
      <c r="BH219" s="137">
        <f>$W219*AM219+$L219*Summary_LCIA!AD$32</f>
        <v>0.10254020626134752</v>
      </c>
      <c r="BI219" s="137">
        <f>$W219*AN219+$L219*Summary_LCIA!AE$32</f>
        <v>0.30093098653527983</v>
      </c>
      <c r="BJ219" s="137">
        <f>$W219*AO219+$L219*Summary_LCIA!AF$32</f>
        <v>1.8302709798610185E-2</v>
      </c>
      <c r="BK219" s="137">
        <f>$W219*AP219+$L219*Summary_LCIA!AG$32</f>
        <v>5.1744689036101847E-3</v>
      </c>
      <c r="BL219" s="137">
        <f>$W219*AQ219+$L219*Summary_LCIA!AH$32</f>
        <v>0.75795535811440651</v>
      </c>
      <c r="BM219" s="137">
        <f>$W219*AR219+$L219*Summary_LCIA!AI$32</f>
        <v>0.26439846196958905</v>
      </c>
    </row>
    <row r="220" spans="1:65" x14ac:dyDescent="0.25">
      <c r="A220" s="149">
        <v>214</v>
      </c>
      <c r="B220" s="149">
        <v>16</v>
      </c>
      <c r="C220" s="61">
        <v>35.998092999999997</v>
      </c>
      <c r="D220" s="61">
        <v>-94.089990999999998</v>
      </c>
      <c r="E220" s="61" t="s">
        <v>265</v>
      </c>
      <c r="F220" s="149">
        <v>94</v>
      </c>
      <c r="G220" s="61" t="s">
        <v>565</v>
      </c>
      <c r="H220" s="61" t="s">
        <v>700</v>
      </c>
      <c r="I220" s="61">
        <v>36.278663000000002</v>
      </c>
      <c r="J220" s="61">
        <v>-94.306483</v>
      </c>
      <c r="K220" s="61">
        <v>583.37919480000005</v>
      </c>
      <c r="L220" s="61">
        <v>58.906999999999996</v>
      </c>
      <c r="M220" s="61" t="s">
        <v>617</v>
      </c>
      <c r="N220" s="149">
        <v>15</v>
      </c>
      <c r="O220" s="149">
        <v>16</v>
      </c>
      <c r="P220" s="61" t="s">
        <v>565</v>
      </c>
      <c r="Q220" s="61" t="s">
        <v>556</v>
      </c>
      <c r="R220" s="61">
        <v>39.856096299999997</v>
      </c>
      <c r="S220" s="61">
        <v>-104.6737376</v>
      </c>
      <c r="T220" s="61">
        <v>1268.127</v>
      </c>
      <c r="U220" s="61" t="s">
        <v>617</v>
      </c>
      <c r="V220" s="61" t="s">
        <v>569</v>
      </c>
      <c r="W220" s="61" cm="1">
        <f t="array" ref="W220">getDistance(I220,J220,R220,S220)*SA!$B$12</f>
        <v>992.14818829787214</v>
      </c>
      <c r="Y220" s="137">
        <f>Transportation_LCIA!C$61*($W220^Transportation_LCIA!C$60)+Transportation_LCIA!C$62</f>
        <v>0.2363393128513922</v>
      </c>
      <c r="Z220" s="137">
        <f>Transportation_LCIA!D$61*($W220^Transportation_LCIA!D$60)+Transportation_LCIA!D$62</f>
        <v>2.4305844381913948</v>
      </c>
      <c r="AA220" s="137">
        <f>Transportation_LCIA!E$61*($W220^Transportation_LCIA!E$60)+Transportation_LCIA!E$62</f>
        <v>1.147609988577114E-3</v>
      </c>
      <c r="AB220" s="137">
        <f>Transportation_LCIA!F$61*($W220^Transportation_LCIA!F$60)+Transportation_LCIA!F$62</f>
        <v>0.2363393128513922</v>
      </c>
      <c r="AC220" s="137">
        <f>Transportation_LCIA!G$61*($W220^Transportation_LCIA!G$60)+Transportation_LCIA!G$62</f>
        <v>5.6805647951989453E-2</v>
      </c>
      <c r="AD220" s="137">
        <f>Transportation_LCIA!H$61*($W220^Transportation_LCIA!H$60)+Transportation_LCIA!H$62</f>
        <v>2.7751704461985666E-4</v>
      </c>
      <c r="AE220" s="137">
        <f>Transportation_LCIA!I$61*($W220^Transportation_LCIA!I$60)+Transportation_LCIA!I$62</f>
        <v>5.9382373407186004E-6</v>
      </c>
      <c r="AF220" s="137">
        <f>Transportation_LCIA!J$61*($W220^Transportation_LCIA!J$60)+Transportation_LCIA!J$62</f>
        <v>8.7890688902578229E-3</v>
      </c>
      <c r="AG220" s="137">
        <f>Transportation_LCIA!K$61*($W220^Transportation_LCIA!K$60)+Transportation_LCIA!K$62</f>
        <v>1.2084548228191848E-2</v>
      </c>
      <c r="AH220" s="137">
        <f>Transportation_LCIA!L$61*($W220^Transportation_LCIA!L$60)+Transportation_LCIA!L$62</f>
        <v>2.4054410692158168E-4</v>
      </c>
      <c r="AI220" s="137">
        <f>Transportation_LCIA!M$61*($W220^Transportation_LCIA!M$60)+Transportation_LCIA!M$62</f>
        <v>2.440059411221012E-4</v>
      </c>
      <c r="AJ220" s="137">
        <f>Transportation_LCIA!N$61*($W220^Transportation_LCIA!N$60)+Transportation_LCIA!N$62</f>
        <v>9.922749894931387E-4</v>
      </c>
      <c r="AK220" s="137">
        <f>Transportation_LCIA!O$61*($W220^Transportation_LCIA!O$60)+Transportation_LCIA!O$62</f>
        <v>6.0027312260593562E-5</v>
      </c>
      <c r="AL220" s="137">
        <f>Transportation_LCIA!P$61*($W220^Transportation_LCIA!P$60)+Transportation_LCIA!P$62</f>
        <v>2.9029398854156365E-8</v>
      </c>
      <c r="AM220" s="137">
        <f>Transportation_LCIA!Q$61*($W220^Transportation_LCIA!Q$60)+Transportation_LCIA!Q$62</f>
        <v>9.5213615672117737E-5</v>
      </c>
      <c r="AN220" s="137">
        <f>Transportation_LCIA!R$61*($W220^Transportation_LCIA!R$60)+Transportation_LCIA!R$62</f>
        <v>2.855992158556304E-4</v>
      </c>
      <c r="AO220" s="137">
        <f>Transportation_LCIA!S$61*($W220^Transportation_LCIA!S$60)+Transportation_LCIA!S$62</f>
        <v>4.3107029495137573E-6</v>
      </c>
      <c r="AP220" s="137">
        <f>Transportation_LCIA!T$61*($W220^Transportation_LCIA!T$60)+Transportation_LCIA!T$62</f>
        <v>4.3107029495137573E-6</v>
      </c>
      <c r="AQ220" s="137">
        <f>Transportation_LCIA!U$61*($W220^Transportation_LCIA!U$60)+Transportation_LCIA!U$62</f>
        <v>6.1302032292173062E-4</v>
      </c>
      <c r="AR220" s="137">
        <f>Transportation_LCIA!V$61*($W220^Transportation_LCIA!V$60)+Transportation_LCIA!V$62</f>
        <v>2.4761730348551688E-4</v>
      </c>
      <c r="AT220" s="137">
        <f>$W220*Y220+$L220*Summary_LCIA!H$32</f>
        <v>254.50021966907281</v>
      </c>
      <c r="AU220" s="137">
        <f>$W220*Z220+$L220*Summary_LCIA!Q$32</f>
        <v>2703.4460097133247</v>
      </c>
      <c r="AV220" s="137">
        <f>$W220*AA220+$L220*Summary_LCIA!R$32</f>
        <v>1.4487798702393255</v>
      </c>
      <c r="AW220" s="137">
        <f>$W220*AB220+$L220*Summary_LCIA!S$32</f>
        <v>254.2398507290728</v>
      </c>
      <c r="AX220" s="137">
        <f>$W220*AC220+$L220*Summary_LCIA!T$32</f>
        <v>62.833500000653068</v>
      </c>
      <c r="AY220" s="137">
        <f>$W220*AD220+$L220*Summary_LCIA!U$32</f>
        <v>1.3305980310413705</v>
      </c>
      <c r="AZ220" s="137">
        <f>$W220*AE220+$L220*Summary_LCIA!V$32</f>
        <v>8.7050686462767334E-3</v>
      </c>
      <c r="BA220" s="137">
        <f>$W220*AF220+$L220*Summary_LCIA!W$32</f>
        <v>13.254189473294488</v>
      </c>
      <c r="BB220" s="137">
        <f>$W220*AG220+$L220*Summary_LCIA!X$32</f>
        <v>13.331564090998803</v>
      </c>
      <c r="BC220" s="137">
        <f>$W220*AH220+$L220*Summary_LCIA!Y$32</f>
        <v>1.156544273887977</v>
      </c>
      <c r="BD220" s="137">
        <f>$W220*AI220+$L220*Summary_LCIA!Z$32</f>
        <v>0.24450576958120995</v>
      </c>
      <c r="BE220" s="137">
        <f>$W220*AJ220+$L220*Summary_LCIA!AA$32</f>
        <v>2.3603157251189075</v>
      </c>
      <c r="BF220" s="137">
        <f>$W220*AK220+$L220*Summary_LCIA!AB$32</f>
        <v>5.8270461646738554E-2</v>
      </c>
      <c r="BG220" s="137">
        <f>$W220*AL220+$L220*Summary_LCIA!AC$32</f>
        <v>3.1681075268527566E-5</v>
      </c>
      <c r="BH220" s="137">
        <f>$W220*AM220+$L220*Summary_LCIA!AD$32</f>
        <v>0.11867914957038149</v>
      </c>
      <c r="BI220" s="137">
        <f>$W220*AN220+$L220*Summary_LCIA!AE$32</f>
        <v>0.33555600450045664</v>
      </c>
      <c r="BJ220" s="137">
        <f>$W220*AO220+$L220*Summary_LCIA!AF$32</f>
        <v>5.4078012061650367E-2</v>
      </c>
      <c r="BK220" s="137">
        <f>$W220*AP220+$L220*Summary_LCIA!AG$32</f>
        <v>7.2908327766503678E-3</v>
      </c>
      <c r="BL220" s="137">
        <f>$W220*AQ220+$L220*Summary_LCIA!AH$32</f>
        <v>1.1209099679765715</v>
      </c>
      <c r="BM220" s="137">
        <f>$W220*AR220+$L220*Summary_LCIA!AI$32</f>
        <v>0.30054787489435997</v>
      </c>
    </row>
    <row r="221" spans="1:65" x14ac:dyDescent="0.25">
      <c r="A221" s="149">
        <v>215</v>
      </c>
      <c r="B221" s="149">
        <v>16</v>
      </c>
      <c r="C221" s="61">
        <v>35.998092999999997</v>
      </c>
      <c r="D221" s="61">
        <v>-94.089990999999998</v>
      </c>
      <c r="E221" s="61" t="s">
        <v>265</v>
      </c>
      <c r="F221" s="149">
        <v>94</v>
      </c>
      <c r="G221" s="61" t="s">
        <v>565</v>
      </c>
      <c r="H221" s="61" t="s">
        <v>700</v>
      </c>
      <c r="I221" s="61">
        <v>36.278663000000002</v>
      </c>
      <c r="J221" s="61">
        <v>-94.306483</v>
      </c>
      <c r="K221" s="61">
        <v>583.37919480000005</v>
      </c>
      <c r="L221" s="61">
        <v>58.906999999999996</v>
      </c>
      <c r="M221" s="61" t="s">
        <v>617</v>
      </c>
      <c r="N221" s="149">
        <v>15</v>
      </c>
      <c r="O221" s="149">
        <v>16</v>
      </c>
      <c r="P221" s="61" t="s">
        <v>565</v>
      </c>
      <c r="Q221" s="61" t="s">
        <v>556</v>
      </c>
      <c r="R221" s="61">
        <v>39.856096299999997</v>
      </c>
      <c r="S221" s="61">
        <v>-104.6737376</v>
      </c>
      <c r="T221" s="61">
        <v>1268.127</v>
      </c>
      <c r="U221" s="61" t="s">
        <v>617</v>
      </c>
      <c r="V221" s="61" t="s">
        <v>569</v>
      </c>
      <c r="W221" s="61" cm="1">
        <f t="array" ref="W221">getDistance(I221,J221,R221,S221)*SA!$B$12</f>
        <v>992.14818829787214</v>
      </c>
      <c r="Y221" s="137">
        <f>Transportation_LCIA!C$61*($W221^Transportation_LCIA!C$60)+Transportation_LCIA!C$62</f>
        <v>0.2363393128513922</v>
      </c>
      <c r="Z221" s="137">
        <f>Transportation_LCIA!D$61*($W221^Transportation_LCIA!D$60)+Transportation_LCIA!D$62</f>
        <v>2.4305844381913948</v>
      </c>
      <c r="AA221" s="137">
        <f>Transportation_LCIA!E$61*($W221^Transportation_LCIA!E$60)+Transportation_LCIA!E$62</f>
        <v>1.147609988577114E-3</v>
      </c>
      <c r="AB221" s="137">
        <f>Transportation_LCIA!F$61*($W221^Transportation_LCIA!F$60)+Transportation_LCIA!F$62</f>
        <v>0.2363393128513922</v>
      </c>
      <c r="AC221" s="137">
        <f>Transportation_LCIA!G$61*($W221^Transportation_LCIA!G$60)+Transportation_LCIA!G$62</f>
        <v>5.6805647951989453E-2</v>
      </c>
      <c r="AD221" s="137">
        <f>Transportation_LCIA!H$61*($W221^Transportation_LCIA!H$60)+Transportation_LCIA!H$62</f>
        <v>2.7751704461985666E-4</v>
      </c>
      <c r="AE221" s="137">
        <f>Transportation_LCIA!I$61*($W221^Transportation_LCIA!I$60)+Transportation_LCIA!I$62</f>
        <v>5.9382373407186004E-6</v>
      </c>
      <c r="AF221" s="137">
        <f>Transportation_LCIA!J$61*($W221^Transportation_LCIA!J$60)+Transportation_LCIA!J$62</f>
        <v>8.7890688902578229E-3</v>
      </c>
      <c r="AG221" s="137">
        <f>Transportation_LCIA!K$61*($W221^Transportation_LCIA!K$60)+Transportation_LCIA!K$62</f>
        <v>1.2084548228191848E-2</v>
      </c>
      <c r="AH221" s="137">
        <f>Transportation_LCIA!L$61*($W221^Transportation_LCIA!L$60)+Transportation_LCIA!L$62</f>
        <v>2.4054410692158168E-4</v>
      </c>
      <c r="AI221" s="137">
        <f>Transportation_LCIA!M$61*($W221^Transportation_LCIA!M$60)+Transportation_LCIA!M$62</f>
        <v>2.440059411221012E-4</v>
      </c>
      <c r="AJ221" s="137">
        <f>Transportation_LCIA!N$61*($W221^Transportation_LCIA!N$60)+Transportation_LCIA!N$62</f>
        <v>9.922749894931387E-4</v>
      </c>
      <c r="AK221" s="137">
        <f>Transportation_LCIA!O$61*($W221^Transportation_LCIA!O$60)+Transportation_LCIA!O$62</f>
        <v>6.0027312260593562E-5</v>
      </c>
      <c r="AL221" s="137">
        <f>Transportation_LCIA!P$61*($W221^Transportation_LCIA!P$60)+Transportation_LCIA!P$62</f>
        <v>2.9029398854156365E-8</v>
      </c>
      <c r="AM221" s="137">
        <f>Transportation_LCIA!Q$61*($W221^Transportation_LCIA!Q$60)+Transportation_LCIA!Q$62</f>
        <v>9.5213615672117737E-5</v>
      </c>
      <c r="AN221" s="137">
        <f>Transportation_LCIA!R$61*($W221^Transportation_LCIA!R$60)+Transportation_LCIA!R$62</f>
        <v>2.855992158556304E-4</v>
      </c>
      <c r="AO221" s="137">
        <f>Transportation_LCIA!S$61*($W221^Transportation_LCIA!S$60)+Transportation_LCIA!S$62</f>
        <v>4.3107029495137573E-6</v>
      </c>
      <c r="AP221" s="137">
        <f>Transportation_LCIA!T$61*($W221^Transportation_LCIA!T$60)+Transportation_LCIA!T$62</f>
        <v>4.3107029495137573E-6</v>
      </c>
      <c r="AQ221" s="137">
        <f>Transportation_LCIA!U$61*($W221^Transportation_LCIA!U$60)+Transportation_LCIA!U$62</f>
        <v>6.1302032292173062E-4</v>
      </c>
      <c r="AR221" s="137">
        <f>Transportation_LCIA!V$61*($W221^Transportation_LCIA!V$60)+Transportation_LCIA!V$62</f>
        <v>2.4761730348551688E-4</v>
      </c>
      <c r="AT221" s="137">
        <f>$W221*Y221+$L221*Summary_LCIA!H$32</f>
        <v>254.50021966907281</v>
      </c>
      <c r="AU221" s="137">
        <f>$W221*Z221+$L221*Summary_LCIA!Q$32</f>
        <v>2703.4460097133247</v>
      </c>
      <c r="AV221" s="137">
        <f>$W221*AA221+$L221*Summary_LCIA!R$32</f>
        <v>1.4487798702393255</v>
      </c>
      <c r="AW221" s="137">
        <f>$W221*AB221+$L221*Summary_LCIA!S$32</f>
        <v>254.2398507290728</v>
      </c>
      <c r="AX221" s="137">
        <f>$W221*AC221+$L221*Summary_LCIA!T$32</f>
        <v>62.833500000653068</v>
      </c>
      <c r="AY221" s="137">
        <f>$W221*AD221+$L221*Summary_LCIA!U$32</f>
        <v>1.3305980310413705</v>
      </c>
      <c r="AZ221" s="137">
        <f>$W221*AE221+$L221*Summary_LCIA!V$32</f>
        <v>8.7050686462767334E-3</v>
      </c>
      <c r="BA221" s="137">
        <f>$W221*AF221+$L221*Summary_LCIA!W$32</f>
        <v>13.254189473294488</v>
      </c>
      <c r="BB221" s="137">
        <f>$W221*AG221+$L221*Summary_LCIA!X$32</f>
        <v>13.331564090998803</v>
      </c>
      <c r="BC221" s="137">
        <f>$W221*AH221+$L221*Summary_LCIA!Y$32</f>
        <v>1.156544273887977</v>
      </c>
      <c r="BD221" s="137">
        <f>$W221*AI221+$L221*Summary_LCIA!Z$32</f>
        <v>0.24450576958120995</v>
      </c>
      <c r="BE221" s="137">
        <f>$W221*AJ221+$L221*Summary_LCIA!AA$32</f>
        <v>2.3603157251189075</v>
      </c>
      <c r="BF221" s="137">
        <f>$W221*AK221+$L221*Summary_LCIA!AB$32</f>
        <v>5.8270461646738554E-2</v>
      </c>
      <c r="BG221" s="137">
        <f>$W221*AL221+$L221*Summary_LCIA!AC$32</f>
        <v>3.1681075268527566E-5</v>
      </c>
      <c r="BH221" s="137">
        <f>$W221*AM221+$L221*Summary_LCIA!AD$32</f>
        <v>0.11867914957038149</v>
      </c>
      <c r="BI221" s="137">
        <f>$W221*AN221+$L221*Summary_LCIA!AE$32</f>
        <v>0.33555600450045664</v>
      </c>
      <c r="BJ221" s="137">
        <f>$W221*AO221+$L221*Summary_LCIA!AF$32</f>
        <v>5.4078012061650367E-2</v>
      </c>
      <c r="BK221" s="137">
        <f>$W221*AP221+$L221*Summary_LCIA!AG$32</f>
        <v>7.2908327766503678E-3</v>
      </c>
      <c r="BL221" s="137">
        <f>$W221*AQ221+$L221*Summary_LCIA!AH$32</f>
        <v>1.1209099679765715</v>
      </c>
      <c r="BM221" s="137">
        <f>$W221*AR221+$L221*Summary_LCIA!AI$32</f>
        <v>0.30054787489435997</v>
      </c>
    </row>
    <row r="222" spans="1:65" x14ac:dyDescent="0.25">
      <c r="A222" s="149">
        <v>216</v>
      </c>
      <c r="B222" s="149">
        <v>16</v>
      </c>
      <c r="C222" s="61">
        <v>35.998092999999997</v>
      </c>
      <c r="D222" s="61">
        <v>-94.089990999999998</v>
      </c>
      <c r="E222" s="61" t="s">
        <v>265</v>
      </c>
      <c r="F222" s="149">
        <v>94</v>
      </c>
      <c r="G222" s="61" t="s">
        <v>565</v>
      </c>
      <c r="H222" s="61" t="s">
        <v>700</v>
      </c>
      <c r="I222" s="61">
        <v>36.278663000000002</v>
      </c>
      <c r="J222" s="61">
        <v>-94.306483</v>
      </c>
      <c r="K222" s="61">
        <v>583.37919480000005</v>
      </c>
      <c r="L222" s="61">
        <v>58.906999999999996</v>
      </c>
      <c r="M222" s="61" t="s">
        <v>617</v>
      </c>
      <c r="N222" s="149">
        <v>15</v>
      </c>
      <c r="O222" s="149">
        <v>16</v>
      </c>
      <c r="P222" s="61" t="s">
        <v>565</v>
      </c>
      <c r="Q222" s="61" t="s">
        <v>556</v>
      </c>
      <c r="R222" s="61">
        <v>39.856096299999997</v>
      </c>
      <c r="S222" s="61">
        <v>-104.6737376</v>
      </c>
      <c r="T222" s="61">
        <v>1268.127</v>
      </c>
      <c r="U222" s="61" t="s">
        <v>617</v>
      </c>
      <c r="V222" s="61" t="s">
        <v>569</v>
      </c>
      <c r="W222" s="61" cm="1">
        <f t="array" ref="W222">getDistance(I222,J222,R222,S222)*SA!$B$12</f>
        <v>992.14818829787214</v>
      </c>
      <c r="Y222" s="137">
        <f>Transportation_LCIA!C$61*($W222^Transportation_LCIA!C$60)+Transportation_LCIA!C$62</f>
        <v>0.2363393128513922</v>
      </c>
      <c r="Z222" s="137">
        <f>Transportation_LCIA!D$61*($W222^Transportation_LCIA!D$60)+Transportation_LCIA!D$62</f>
        <v>2.4305844381913948</v>
      </c>
      <c r="AA222" s="137">
        <f>Transportation_LCIA!E$61*($W222^Transportation_LCIA!E$60)+Transportation_LCIA!E$62</f>
        <v>1.147609988577114E-3</v>
      </c>
      <c r="AB222" s="137">
        <f>Transportation_LCIA!F$61*($W222^Transportation_LCIA!F$60)+Transportation_LCIA!F$62</f>
        <v>0.2363393128513922</v>
      </c>
      <c r="AC222" s="137">
        <f>Transportation_LCIA!G$61*($W222^Transportation_LCIA!G$60)+Transportation_LCIA!G$62</f>
        <v>5.6805647951989453E-2</v>
      </c>
      <c r="AD222" s="137">
        <f>Transportation_LCIA!H$61*($W222^Transportation_LCIA!H$60)+Transportation_LCIA!H$62</f>
        <v>2.7751704461985666E-4</v>
      </c>
      <c r="AE222" s="137">
        <f>Transportation_LCIA!I$61*($W222^Transportation_LCIA!I$60)+Transportation_LCIA!I$62</f>
        <v>5.9382373407186004E-6</v>
      </c>
      <c r="AF222" s="137">
        <f>Transportation_LCIA!J$61*($W222^Transportation_LCIA!J$60)+Transportation_LCIA!J$62</f>
        <v>8.7890688902578229E-3</v>
      </c>
      <c r="AG222" s="137">
        <f>Transportation_LCIA!K$61*($W222^Transportation_LCIA!K$60)+Transportation_LCIA!K$62</f>
        <v>1.2084548228191848E-2</v>
      </c>
      <c r="AH222" s="137">
        <f>Transportation_LCIA!L$61*($W222^Transportation_LCIA!L$60)+Transportation_LCIA!L$62</f>
        <v>2.4054410692158168E-4</v>
      </c>
      <c r="AI222" s="137">
        <f>Transportation_LCIA!M$61*($W222^Transportation_LCIA!M$60)+Transportation_LCIA!M$62</f>
        <v>2.440059411221012E-4</v>
      </c>
      <c r="AJ222" s="137">
        <f>Transportation_LCIA!N$61*($W222^Transportation_LCIA!N$60)+Transportation_LCIA!N$62</f>
        <v>9.922749894931387E-4</v>
      </c>
      <c r="AK222" s="137">
        <f>Transportation_LCIA!O$61*($W222^Transportation_LCIA!O$60)+Transportation_LCIA!O$62</f>
        <v>6.0027312260593562E-5</v>
      </c>
      <c r="AL222" s="137">
        <f>Transportation_LCIA!P$61*($W222^Transportation_LCIA!P$60)+Transportation_LCIA!P$62</f>
        <v>2.9029398854156365E-8</v>
      </c>
      <c r="AM222" s="137">
        <f>Transportation_LCIA!Q$61*($W222^Transportation_LCIA!Q$60)+Transportation_LCIA!Q$62</f>
        <v>9.5213615672117737E-5</v>
      </c>
      <c r="AN222" s="137">
        <f>Transportation_LCIA!R$61*($W222^Transportation_LCIA!R$60)+Transportation_LCIA!R$62</f>
        <v>2.855992158556304E-4</v>
      </c>
      <c r="AO222" s="137">
        <f>Transportation_LCIA!S$61*($W222^Transportation_LCIA!S$60)+Transportation_LCIA!S$62</f>
        <v>4.3107029495137573E-6</v>
      </c>
      <c r="AP222" s="137">
        <f>Transportation_LCIA!T$61*($W222^Transportation_LCIA!T$60)+Transportation_LCIA!T$62</f>
        <v>4.3107029495137573E-6</v>
      </c>
      <c r="AQ222" s="137">
        <f>Transportation_LCIA!U$61*($W222^Transportation_LCIA!U$60)+Transportation_LCIA!U$62</f>
        <v>6.1302032292173062E-4</v>
      </c>
      <c r="AR222" s="137">
        <f>Transportation_LCIA!V$61*($W222^Transportation_LCIA!V$60)+Transportation_LCIA!V$62</f>
        <v>2.4761730348551688E-4</v>
      </c>
      <c r="AT222" s="137">
        <f>$W222*Y222+$L222*Summary_LCIA!H$32</f>
        <v>254.50021966907281</v>
      </c>
      <c r="AU222" s="137">
        <f>$W222*Z222+$L222*Summary_LCIA!Q$32</f>
        <v>2703.4460097133247</v>
      </c>
      <c r="AV222" s="137">
        <f>$W222*AA222+$L222*Summary_LCIA!R$32</f>
        <v>1.4487798702393255</v>
      </c>
      <c r="AW222" s="137">
        <f>$W222*AB222+$L222*Summary_LCIA!S$32</f>
        <v>254.2398507290728</v>
      </c>
      <c r="AX222" s="137">
        <f>$W222*AC222+$L222*Summary_LCIA!T$32</f>
        <v>62.833500000653068</v>
      </c>
      <c r="AY222" s="137">
        <f>$W222*AD222+$L222*Summary_LCIA!U$32</f>
        <v>1.3305980310413705</v>
      </c>
      <c r="AZ222" s="137">
        <f>$W222*AE222+$L222*Summary_LCIA!V$32</f>
        <v>8.7050686462767334E-3</v>
      </c>
      <c r="BA222" s="137">
        <f>$W222*AF222+$L222*Summary_LCIA!W$32</f>
        <v>13.254189473294488</v>
      </c>
      <c r="BB222" s="137">
        <f>$W222*AG222+$L222*Summary_LCIA!X$32</f>
        <v>13.331564090998803</v>
      </c>
      <c r="BC222" s="137">
        <f>$W222*AH222+$L222*Summary_LCIA!Y$32</f>
        <v>1.156544273887977</v>
      </c>
      <c r="BD222" s="137">
        <f>$W222*AI222+$L222*Summary_LCIA!Z$32</f>
        <v>0.24450576958120995</v>
      </c>
      <c r="BE222" s="137">
        <f>$W222*AJ222+$L222*Summary_LCIA!AA$32</f>
        <v>2.3603157251189075</v>
      </c>
      <c r="BF222" s="137">
        <f>$W222*AK222+$L222*Summary_LCIA!AB$32</f>
        <v>5.8270461646738554E-2</v>
      </c>
      <c r="BG222" s="137">
        <f>$W222*AL222+$L222*Summary_LCIA!AC$32</f>
        <v>3.1681075268527566E-5</v>
      </c>
      <c r="BH222" s="137">
        <f>$W222*AM222+$L222*Summary_LCIA!AD$32</f>
        <v>0.11867914957038149</v>
      </c>
      <c r="BI222" s="137">
        <f>$W222*AN222+$L222*Summary_LCIA!AE$32</f>
        <v>0.33555600450045664</v>
      </c>
      <c r="BJ222" s="137">
        <f>$W222*AO222+$L222*Summary_LCIA!AF$32</f>
        <v>5.4078012061650367E-2</v>
      </c>
      <c r="BK222" s="137">
        <f>$W222*AP222+$L222*Summary_LCIA!AG$32</f>
        <v>7.2908327766503678E-3</v>
      </c>
      <c r="BL222" s="137">
        <f>$W222*AQ222+$L222*Summary_LCIA!AH$32</f>
        <v>1.1209099679765715</v>
      </c>
      <c r="BM222" s="137">
        <f>$W222*AR222+$L222*Summary_LCIA!AI$32</f>
        <v>0.30054787489435997</v>
      </c>
    </row>
    <row r="223" spans="1:65" x14ac:dyDescent="0.25">
      <c r="A223" s="149">
        <v>121</v>
      </c>
      <c r="B223" s="149">
        <v>43</v>
      </c>
      <c r="C223" s="61">
        <v>41.712980000000002</v>
      </c>
      <c r="D223" s="61">
        <v>-87.960780999999997</v>
      </c>
      <c r="E223" s="61" t="s">
        <v>265</v>
      </c>
      <c r="F223" s="149">
        <v>88</v>
      </c>
      <c r="G223" s="61" t="s">
        <v>674</v>
      </c>
      <c r="H223" s="61" t="s">
        <v>675</v>
      </c>
      <c r="I223" s="61">
        <v>41.786776000000003</v>
      </c>
      <c r="J223" s="61">
        <v>-87.752188000000004</v>
      </c>
      <c r="K223" s="61">
        <v>21.68769485</v>
      </c>
      <c r="L223" s="61">
        <v>26.821000000000002</v>
      </c>
      <c r="M223" s="61" t="s">
        <v>617</v>
      </c>
      <c r="N223" s="149">
        <v>42</v>
      </c>
      <c r="O223" s="149">
        <v>43</v>
      </c>
      <c r="P223" s="61" t="s">
        <v>565</v>
      </c>
      <c r="Q223" s="61" t="s">
        <v>555</v>
      </c>
      <c r="R223" s="61">
        <v>40.6895314</v>
      </c>
      <c r="S223" s="61">
        <v>-74.174462399999996</v>
      </c>
      <c r="T223" s="61">
        <v>1286.93</v>
      </c>
      <c r="U223" s="61" t="s">
        <v>617</v>
      </c>
      <c r="V223" s="61" t="s">
        <v>569</v>
      </c>
      <c r="W223" s="61" cm="1">
        <f t="array" ref="W223">getDistance(I223,J223,R223,S223)*SA!$B$12</f>
        <v>1143.5649387665078</v>
      </c>
      <c r="Y223" s="137">
        <f>Transportation_LCIA!C$61*($W223^Transportation_LCIA!C$60)+Transportation_LCIA!C$62</f>
        <v>0.22236012924120124</v>
      </c>
      <c r="Z223" s="137">
        <f>Transportation_LCIA!D$61*($W223^Transportation_LCIA!D$60)+Transportation_LCIA!D$62</f>
        <v>2.2679152718026243</v>
      </c>
      <c r="AA223" s="137">
        <f>Transportation_LCIA!E$61*($W223^Transportation_LCIA!E$60)+Transportation_LCIA!E$62</f>
        <v>1.0407436442189438E-3</v>
      </c>
      <c r="AB223" s="137">
        <f>Transportation_LCIA!F$61*($W223^Transportation_LCIA!F$60)+Transportation_LCIA!F$62</f>
        <v>0.22236012924120124</v>
      </c>
      <c r="AC223" s="137">
        <f>Transportation_LCIA!G$61*($W223^Transportation_LCIA!G$60)+Transportation_LCIA!G$62</f>
        <v>5.3041543501522445E-2</v>
      </c>
      <c r="AD223" s="137">
        <f>Transportation_LCIA!H$61*($W223^Transportation_LCIA!H$60)+Transportation_LCIA!H$62</f>
        <v>2.5405678308749069E-4</v>
      </c>
      <c r="AE223" s="137">
        <f>Transportation_LCIA!I$61*($W223^Transportation_LCIA!I$60)+Transportation_LCIA!I$62</f>
        <v>5.3491740597869271E-6</v>
      </c>
      <c r="AF223" s="137">
        <f>Transportation_LCIA!J$61*($W223^Transportation_LCIA!J$60)+Transportation_LCIA!J$62</f>
        <v>7.9132669810525209E-3</v>
      </c>
      <c r="AG223" s="137">
        <f>Transportation_LCIA!K$61*($W223^Transportation_LCIA!K$60)+Transportation_LCIA!K$62</f>
        <v>1.1207156210017116E-2</v>
      </c>
      <c r="AH223" s="137">
        <f>Transportation_LCIA!L$61*($W223^Transportation_LCIA!L$60)+Transportation_LCIA!L$62</f>
        <v>2.1899197257618631E-4</v>
      </c>
      <c r="AI223" s="137">
        <f>Transportation_LCIA!M$61*($W223^Transportation_LCIA!M$60)+Transportation_LCIA!M$62</f>
        <v>2.310595602216531E-4</v>
      </c>
      <c r="AJ223" s="137">
        <f>Transportation_LCIA!N$61*($W223^Transportation_LCIA!N$60)+Transportation_LCIA!N$62</f>
        <v>9.1338159959179039E-4</v>
      </c>
      <c r="AK223" s="137">
        <f>Transportation_LCIA!O$61*($W223^Transportation_LCIA!O$60)+Transportation_LCIA!O$62</f>
        <v>5.602778275480761E-5</v>
      </c>
      <c r="AL223" s="137">
        <f>Transportation_LCIA!P$61*($W223^Transportation_LCIA!P$60)+Transportation_LCIA!P$62</f>
        <v>2.7106056807081781E-8</v>
      </c>
      <c r="AM223" s="137">
        <f>Transportation_LCIA!Q$61*($W223^Transportation_LCIA!Q$60)+Transportation_LCIA!Q$62</f>
        <v>8.6790033028172727E-5</v>
      </c>
      <c r="AN223" s="137">
        <f>Transportation_LCIA!R$61*($W223^Transportation_LCIA!R$60)+Transportation_LCIA!R$62</f>
        <v>2.573536407503035E-4</v>
      </c>
      <c r="AO223" s="137">
        <f>Transportation_LCIA!S$61*($W223^Transportation_LCIA!S$60)+Transportation_LCIA!S$62</f>
        <v>3.9097922278270863E-6</v>
      </c>
      <c r="AP223" s="137">
        <f>Transportation_LCIA!T$61*($W223^Transportation_LCIA!T$60)+Transportation_LCIA!T$62</f>
        <v>3.9097922278270863E-6</v>
      </c>
      <c r="AQ223" s="137">
        <f>Transportation_LCIA!U$61*($W223^Transportation_LCIA!U$60)+Transportation_LCIA!U$62</f>
        <v>5.5110744718301957E-4</v>
      </c>
      <c r="AR223" s="137">
        <f>Transportation_LCIA!V$61*($W223^Transportation_LCIA!V$60)+Transportation_LCIA!V$62</f>
        <v>2.2571456104223824E-4</v>
      </c>
      <c r="AT223" s="137">
        <f>$W223*Y223+$L223*Summary_LCIA!H$32</f>
        <v>263.39702337982703</v>
      </c>
      <c r="AU223" s="137">
        <f>$W223*Z223+$L223*Summary_LCIA!Q$32</f>
        <v>2726.4346175900891</v>
      </c>
      <c r="AV223" s="137">
        <f>$W223*AA223+$L223*Summary_LCIA!R$32</f>
        <v>1.3313865993728686</v>
      </c>
      <c r="AW223" s="137">
        <f>$W223*AB223+$L223*Summary_LCIA!S$32</f>
        <v>263.27847455982703</v>
      </c>
      <c r="AX223" s="137">
        <f>$W223*AC223+$L223*Summary_LCIA!T$32</f>
        <v>63.604077346399578</v>
      </c>
      <c r="AY223" s="137">
        <f>$W223*AD223+$L223*Summary_LCIA!U$32</f>
        <v>0.77100182359466229</v>
      </c>
      <c r="AZ223" s="137">
        <f>$W223*AE223+$L223*Summary_LCIA!V$32</f>
        <v>7.3981256871316287E-3</v>
      </c>
      <c r="BA223" s="137">
        <f>$W223*AF223+$L223*Summary_LCIA!W$32</f>
        <v>11.113773861630355</v>
      </c>
      <c r="BB223" s="137">
        <f>$W223*AG223+$L223*Summary_LCIA!X$32</f>
        <v>13.427093285054911</v>
      </c>
      <c r="BC223" s="137">
        <f>$W223*AH223+$L223*Summary_LCIA!Y$32</f>
        <v>0.66835636370944329</v>
      </c>
      <c r="BD223" s="137">
        <f>$W223*AI223+$L223*Summary_LCIA!Z$32</f>
        <v>0.26533151422529094</v>
      </c>
      <c r="BE223" s="137">
        <f>$W223*AJ223+$L223*Summary_LCIA!AA$32</f>
        <v>1.6709424490076406</v>
      </c>
      <c r="BF223" s="137">
        <f>$W223*AK223+$L223*Summary_LCIA!AB$32</f>
        <v>6.3486093272224778E-2</v>
      </c>
      <c r="BG223" s="137">
        <f>$W223*AL223+$L223*Summary_LCIA!AC$32</f>
        <v>3.230865395679196E-5</v>
      </c>
      <c r="BH223" s="137">
        <f>$W223*AM223+$L223*Summary_LCIA!AD$32</f>
        <v>0.11027454264540554</v>
      </c>
      <c r="BI223" s="137">
        <f>$W223*AN223+$L223*Summary_LCIA!AE$32</f>
        <v>0.31806749315595867</v>
      </c>
      <c r="BJ223" s="137">
        <f>$W223*AO223+$L223*Summary_LCIA!AF$32</f>
        <v>2.7146111129604852E-2</v>
      </c>
      <c r="BK223" s="137">
        <f>$W223*AP223+$L223*Summary_LCIA!AG$32</f>
        <v>5.8433977746048509E-3</v>
      </c>
      <c r="BL223" s="137">
        <f>$W223*AQ223+$L223*Summary_LCIA!AH$32</f>
        <v>0.86366640969161623</v>
      </c>
      <c r="BM223" s="137">
        <f>$W223*AR223+$L223*Summary_LCIA!AI$32</f>
        <v>0.28310436072697631</v>
      </c>
    </row>
    <row r="224" spans="1:65" x14ac:dyDescent="0.25">
      <c r="A224" s="149">
        <v>122</v>
      </c>
      <c r="B224" s="149">
        <v>43</v>
      </c>
      <c r="C224" s="61">
        <v>41.712980000000002</v>
      </c>
      <c r="D224" s="61">
        <v>-87.960780999999997</v>
      </c>
      <c r="E224" s="61" t="s">
        <v>265</v>
      </c>
      <c r="F224" s="149">
        <v>88</v>
      </c>
      <c r="G224" s="61" t="s">
        <v>674</v>
      </c>
      <c r="H224" s="61" t="s">
        <v>675</v>
      </c>
      <c r="I224" s="61">
        <v>41.786776000000003</v>
      </c>
      <c r="J224" s="61">
        <v>-87.752188000000004</v>
      </c>
      <c r="K224" s="61">
        <v>21.68769485</v>
      </c>
      <c r="L224" s="61">
        <v>26.821000000000002</v>
      </c>
      <c r="M224" s="61" t="s">
        <v>617</v>
      </c>
      <c r="N224" s="149">
        <v>42</v>
      </c>
      <c r="O224" s="149">
        <v>43</v>
      </c>
      <c r="P224" s="61" t="s">
        <v>565</v>
      </c>
      <c r="Q224" s="61" t="s">
        <v>555</v>
      </c>
      <c r="R224" s="61">
        <v>40.6895314</v>
      </c>
      <c r="S224" s="61">
        <v>-74.174462399999996</v>
      </c>
      <c r="T224" s="61">
        <v>1286.93</v>
      </c>
      <c r="U224" s="61" t="s">
        <v>617</v>
      </c>
      <c r="V224" s="61" t="s">
        <v>569</v>
      </c>
      <c r="W224" s="61" cm="1">
        <f t="array" ref="W224">getDistance(I224,J224,R224,S224)*SA!$B$12</f>
        <v>1143.5649387665078</v>
      </c>
      <c r="Y224" s="137">
        <f>Transportation_LCIA!C$61*($W224^Transportation_LCIA!C$60)+Transportation_LCIA!C$62</f>
        <v>0.22236012924120124</v>
      </c>
      <c r="Z224" s="137">
        <f>Transportation_LCIA!D$61*($W224^Transportation_LCIA!D$60)+Transportation_LCIA!D$62</f>
        <v>2.2679152718026243</v>
      </c>
      <c r="AA224" s="137">
        <f>Transportation_LCIA!E$61*($W224^Transportation_LCIA!E$60)+Transportation_LCIA!E$62</f>
        <v>1.0407436442189438E-3</v>
      </c>
      <c r="AB224" s="137">
        <f>Transportation_LCIA!F$61*($W224^Transportation_LCIA!F$60)+Transportation_LCIA!F$62</f>
        <v>0.22236012924120124</v>
      </c>
      <c r="AC224" s="137">
        <f>Transportation_LCIA!G$61*($W224^Transportation_LCIA!G$60)+Transportation_LCIA!G$62</f>
        <v>5.3041543501522445E-2</v>
      </c>
      <c r="AD224" s="137">
        <f>Transportation_LCIA!H$61*($W224^Transportation_LCIA!H$60)+Transportation_LCIA!H$62</f>
        <v>2.5405678308749069E-4</v>
      </c>
      <c r="AE224" s="137">
        <f>Transportation_LCIA!I$61*($W224^Transportation_LCIA!I$60)+Transportation_LCIA!I$62</f>
        <v>5.3491740597869271E-6</v>
      </c>
      <c r="AF224" s="137">
        <f>Transportation_LCIA!J$61*($W224^Transportation_LCIA!J$60)+Transportation_LCIA!J$62</f>
        <v>7.9132669810525209E-3</v>
      </c>
      <c r="AG224" s="137">
        <f>Transportation_LCIA!K$61*($W224^Transportation_LCIA!K$60)+Transportation_LCIA!K$62</f>
        <v>1.1207156210017116E-2</v>
      </c>
      <c r="AH224" s="137">
        <f>Transportation_LCIA!L$61*($W224^Transportation_LCIA!L$60)+Transportation_LCIA!L$62</f>
        <v>2.1899197257618631E-4</v>
      </c>
      <c r="AI224" s="137">
        <f>Transportation_LCIA!M$61*($W224^Transportation_LCIA!M$60)+Transportation_LCIA!M$62</f>
        <v>2.310595602216531E-4</v>
      </c>
      <c r="AJ224" s="137">
        <f>Transportation_LCIA!N$61*($W224^Transportation_LCIA!N$60)+Transportation_LCIA!N$62</f>
        <v>9.1338159959179039E-4</v>
      </c>
      <c r="AK224" s="137">
        <f>Transportation_LCIA!O$61*($W224^Transportation_LCIA!O$60)+Transportation_LCIA!O$62</f>
        <v>5.602778275480761E-5</v>
      </c>
      <c r="AL224" s="137">
        <f>Transportation_LCIA!P$61*($W224^Transportation_LCIA!P$60)+Transportation_LCIA!P$62</f>
        <v>2.7106056807081781E-8</v>
      </c>
      <c r="AM224" s="137">
        <f>Transportation_LCIA!Q$61*($W224^Transportation_LCIA!Q$60)+Transportation_LCIA!Q$62</f>
        <v>8.6790033028172727E-5</v>
      </c>
      <c r="AN224" s="137">
        <f>Transportation_LCIA!R$61*($W224^Transportation_LCIA!R$60)+Transportation_LCIA!R$62</f>
        <v>2.573536407503035E-4</v>
      </c>
      <c r="AO224" s="137">
        <f>Transportation_LCIA!S$61*($W224^Transportation_LCIA!S$60)+Transportation_LCIA!S$62</f>
        <v>3.9097922278270863E-6</v>
      </c>
      <c r="AP224" s="137">
        <f>Transportation_LCIA!T$61*($W224^Transportation_LCIA!T$60)+Transportation_LCIA!T$62</f>
        <v>3.9097922278270863E-6</v>
      </c>
      <c r="AQ224" s="137">
        <f>Transportation_LCIA!U$61*($W224^Transportation_LCIA!U$60)+Transportation_LCIA!U$62</f>
        <v>5.5110744718301957E-4</v>
      </c>
      <c r="AR224" s="137">
        <f>Transportation_LCIA!V$61*($W224^Transportation_LCIA!V$60)+Transportation_LCIA!V$62</f>
        <v>2.2571456104223824E-4</v>
      </c>
      <c r="AT224" s="137">
        <f>$W224*Y224+$L224*Summary_LCIA!H$32</f>
        <v>263.39702337982703</v>
      </c>
      <c r="AU224" s="137">
        <f>$W224*Z224+$L224*Summary_LCIA!Q$32</f>
        <v>2726.4346175900891</v>
      </c>
      <c r="AV224" s="137">
        <f>$W224*AA224+$L224*Summary_LCIA!R$32</f>
        <v>1.3313865993728686</v>
      </c>
      <c r="AW224" s="137">
        <f>$W224*AB224+$L224*Summary_LCIA!S$32</f>
        <v>263.27847455982703</v>
      </c>
      <c r="AX224" s="137">
        <f>$W224*AC224+$L224*Summary_LCIA!T$32</f>
        <v>63.604077346399578</v>
      </c>
      <c r="AY224" s="137">
        <f>$W224*AD224+$L224*Summary_LCIA!U$32</f>
        <v>0.77100182359466229</v>
      </c>
      <c r="AZ224" s="137">
        <f>$W224*AE224+$L224*Summary_LCIA!V$32</f>
        <v>7.3981256871316287E-3</v>
      </c>
      <c r="BA224" s="137">
        <f>$W224*AF224+$L224*Summary_LCIA!W$32</f>
        <v>11.113773861630355</v>
      </c>
      <c r="BB224" s="137">
        <f>$W224*AG224+$L224*Summary_LCIA!X$32</f>
        <v>13.427093285054911</v>
      </c>
      <c r="BC224" s="137">
        <f>$W224*AH224+$L224*Summary_LCIA!Y$32</f>
        <v>0.66835636370944329</v>
      </c>
      <c r="BD224" s="137">
        <f>$W224*AI224+$L224*Summary_LCIA!Z$32</f>
        <v>0.26533151422529094</v>
      </c>
      <c r="BE224" s="137">
        <f>$W224*AJ224+$L224*Summary_LCIA!AA$32</f>
        <v>1.6709424490076406</v>
      </c>
      <c r="BF224" s="137">
        <f>$W224*AK224+$L224*Summary_LCIA!AB$32</f>
        <v>6.3486093272224778E-2</v>
      </c>
      <c r="BG224" s="137">
        <f>$W224*AL224+$L224*Summary_LCIA!AC$32</f>
        <v>3.230865395679196E-5</v>
      </c>
      <c r="BH224" s="137">
        <f>$W224*AM224+$L224*Summary_LCIA!AD$32</f>
        <v>0.11027454264540554</v>
      </c>
      <c r="BI224" s="137">
        <f>$W224*AN224+$L224*Summary_LCIA!AE$32</f>
        <v>0.31806749315595867</v>
      </c>
      <c r="BJ224" s="137">
        <f>$W224*AO224+$L224*Summary_LCIA!AF$32</f>
        <v>2.7146111129604852E-2</v>
      </c>
      <c r="BK224" s="137">
        <f>$W224*AP224+$L224*Summary_LCIA!AG$32</f>
        <v>5.8433977746048509E-3</v>
      </c>
      <c r="BL224" s="137">
        <f>$W224*AQ224+$L224*Summary_LCIA!AH$32</f>
        <v>0.86366640969161623</v>
      </c>
      <c r="BM224" s="137">
        <f>$W224*AR224+$L224*Summary_LCIA!AI$32</f>
        <v>0.28310436072697631</v>
      </c>
    </row>
    <row r="225" spans="1:65" x14ac:dyDescent="0.25">
      <c r="A225" s="149">
        <v>123</v>
      </c>
      <c r="B225" s="149">
        <v>43</v>
      </c>
      <c r="C225" s="61">
        <v>41.712980000000002</v>
      </c>
      <c r="D225" s="61">
        <v>-87.960780999999997</v>
      </c>
      <c r="E225" s="61" t="s">
        <v>265</v>
      </c>
      <c r="F225" s="149">
        <v>88</v>
      </c>
      <c r="G225" s="61" t="s">
        <v>674</v>
      </c>
      <c r="H225" s="61" t="s">
        <v>675</v>
      </c>
      <c r="I225" s="61">
        <v>41.786776000000003</v>
      </c>
      <c r="J225" s="61">
        <v>-87.752188000000004</v>
      </c>
      <c r="K225" s="61">
        <v>21.68769485</v>
      </c>
      <c r="L225" s="61">
        <v>26.821000000000002</v>
      </c>
      <c r="M225" s="61" t="s">
        <v>617</v>
      </c>
      <c r="N225" s="149">
        <v>42</v>
      </c>
      <c r="O225" s="149">
        <v>43</v>
      </c>
      <c r="P225" s="61" t="s">
        <v>565</v>
      </c>
      <c r="Q225" s="61" t="s">
        <v>555</v>
      </c>
      <c r="R225" s="61">
        <v>40.6895314</v>
      </c>
      <c r="S225" s="61">
        <v>-74.174462399999996</v>
      </c>
      <c r="T225" s="61">
        <v>1286.93</v>
      </c>
      <c r="U225" s="61" t="s">
        <v>617</v>
      </c>
      <c r="V225" s="61" t="s">
        <v>569</v>
      </c>
      <c r="W225" s="61" cm="1">
        <f t="array" ref="W225">getDistance(I225,J225,R225,S225)*SA!$B$12</f>
        <v>1143.5649387665078</v>
      </c>
      <c r="Y225" s="137">
        <f>Transportation_LCIA!C$61*($W225^Transportation_LCIA!C$60)+Transportation_LCIA!C$62</f>
        <v>0.22236012924120124</v>
      </c>
      <c r="Z225" s="137">
        <f>Transportation_LCIA!D$61*($W225^Transportation_LCIA!D$60)+Transportation_LCIA!D$62</f>
        <v>2.2679152718026243</v>
      </c>
      <c r="AA225" s="137">
        <f>Transportation_LCIA!E$61*($W225^Transportation_LCIA!E$60)+Transportation_LCIA!E$62</f>
        <v>1.0407436442189438E-3</v>
      </c>
      <c r="AB225" s="137">
        <f>Transportation_LCIA!F$61*($W225^Transportation_LCIA!F$60)+Transportation_LCIA!F$62</f>
        <v>0.22236012924120124</v>
      </c>
      <c r="AC225" s="137">
        <f>Transportation_LCIA!G$61*($W225^Transportation_LCIA!G$60)+Transportation_LCIA!G$62</f>
        <v>5.3041543501522445E-2</v>
      </c>
      <c r="AD225" s="137">
        <f>Transportation_LCIA!H$61*($W225^Transportation_LCIA!H$60)+Transportation_LCIA!H$62</f>
        <v>2.5405678308749069E-4</v>
      </c>
      <c r="AE225" s="137">
        <f>Transportation_LCIA!I$61*($W225^Transportation_LCIA!I$60)+Transportation_LCIA!I$62</f>
        <v>5.3491740597869271E-6</v>
      </c>
      <c r="AF225" s="137">
        <f>Transportation_LCIA!J$61*($W225^Transportation_LCIA!J$60)+Transportation_LCIA!J$62</f>
        <v>7.9132669810525209E-3</v>
      </c>
      <c r="AG225" s="137">
        <f>Transportation_LCIA!K$61*($W225^Transportation_LCIA!K$60)+Transportation_LCIA!K$62</f>
        <v>1.1207156210017116E-2</v>
      </c>
      <c r="AH225" s="137">
        <f>Transportation_LCIA!L$61*($W225^Transportation_LCIA!L$60)+Transportation_LCIA!L$62</f>
        <v>2.1899197257618631E-4</v>
      </c>
      <c r="AI225" s="137">
        <f>Transportation_LCIA!M$61*($W225^Transportation_LCIA!M$60)+Transportation_LCIA!M$62</f>
        <v>2.310595602216531E-4</v>
      </c>
      <c r="AJ225" s="137">
        <f>Transportation_LCIA!N$61*($W225^Transportation_LCIA!N$60)+Transportation_LCIA!N$62</f>
        <v>9.1338159959179039E-4</v>
      </c>
      <c r="AK225" s="137">
        <f>Transportation_LCIA!O$61*($W225^Transportation_LCIA!O$60)+Transportation_LCIA!O$62</f>
        <v>5.602778275480761E-5</v>
      </c>
      <c r="AL225" s="137">
        <f>Transportation_LCIA!P$61*($W225^Transportation_LCIA!P$60)+Transportation_LCIA!P$62</f>
        <v>2.7106056807081781E-8</v>
      </c>
      <c r="AM225" s="137">
        <f>Transportation_LCIA!Q$61*($W225^Transportation_LCIA!Q$60)+Transportation_LCIA!Q$62</f>
        <v>8.6790033028172727E-5</v>
      </c>
      <c r="AN225" s="137">
        <f>Transportation_LCIA!R$61*($W225^Transportation_LCIA!R$60)+Transportation_LCIA!R$62</f>
        <v>2.573536407503035E-4</v>
      </c>
      <c r="AO225" s="137">
        <f>Transportation_LCIA!S$61*($W225^Transportation_LCIA!S$60)+Transportation_LCIA!S$62</f>
        <v>3.9097922278270863E-6</v>
      </c>
      <c r="AP225" s="137">
        <f>Transportation_LCIA!T$61*($W225^Transportation_LCIA!T$60)+Transportation_LCIA!T$62</f>
        <v>3.9097922278270863E-6</v>
      </c>
      <c r="AQ225" s="137">
        <f>Transportation_LCIA!U$61*($W225^Transportation_LCIA!U$60)+Transportation_LCIA!U$62</f>
        <v>5.5110744718301957E-4</v>
      </c>
      <c r="AR225" s="137">
        <f>Transportation_LCIA!V$61*($W225^Transportation_LCIA!V$60)+Transportation_LCIA!V$62</f>
        <v>2.2571456104223824E-4</v>
      </c>
      <c r="AT225" s="137">
        <f>$W225*Y225+$L225*Summary_LCIA!H$32</f>
        <v>263.39702337982703</v>
      </c>
      <c r="AU225" s="137">
        <f>$W225*Z225+$L225*Summary_LCIA!Q$32</f>
        <v>2726.4346175900891</v>
      </c>
      <c r="AV225" s="137">
        <f>$W225*AA225+$L225*Summary_LCIA!R$32</f>
        <v>1.3313865993728686</v>
      </c>
      <c r="AW225" s="137">
        <f>$W225*AB225+$L225*Summary_LCIA!S$32</f>
        <v>263.27847455982703</v>
      </c>
      <c r="AX225" s="137">
        <f>$W225*AC225+$L225*Summary_LCIA!T$32</f>
        <v>63.604077346399578</v>
      </c>
      <c r="AY225" s="137">
        <f>$W225*AD225+$L225*Summary_LCIA!U$32</f>
        <v>0.77100182359466229</v>
      </c>
      <c r="AZ225" s="137">
        <f>$W225*AE225+$L225*Summary_LCIA!V$32</f>
        <v>7.3981256871316287E-3</v>
      </c>
      <c r="BA225" s="137">
        <f>$W225*AF225+$L225*Summary_LCIA!W$32</f>
        <v>11.113773861630355</v>
      </c>
      <c r="BB225" s="137">
        <f>$W225*AG225+$L225*Summary_LCIA!X$32</f>
        <v>13.427093285054911</v>
      </c>
      <c r="BC225" s="137">
        <f>$W225*AH225+$L225*Summary_LCIA!Y$32</f>
        <v>0.66835636370944329</v>
      </c>
      <c r="BD225" s="137">
        <f>$W225*AI225+$L225*Summary_LCIA!Z$32</f>
        <v>0.26533151422529094</v>
      </c>
      <c r="BE225" s="137">
        <f>$W225*AJ225+$L225*Summary_LCIA!AA$32</f>
        <v>1.6709424490076406</v>
      </c>
      <c r="BF225" s="137">
        <f>$W225*AK225+$L225*Summary_LCIA!AB$32</f>
        <v>6.3486093272224778E-2</v>
      </c>
      <c r="BG225" s="137">
        <f>$W225*AL225+$L225*Summary_LCIA!AC$32</f>
        <v>3.230865395679196E-5</v>
      </c>
      <c r="BH225" s="137">
        <f>$W225*AM225+$L225*Summary_LCIA!AD$32</f>
        <v>0.11027454264540554</v>
      </c>
      <c r="BI225" s="137">
        <f>$W225*AN225+$L225*Summary_LCIA!AE$32</f>
        <v>0.31806749315595867</v>
      </c>
      <c r="BJ225" s="137">
        <f>$W225*AO225+$L225*Summary_LCIA!AF$32</f>
        <v>2.7146111129604852E-2</v>
      </c>
      <c r="BK225" s="137">
        <f>$W225*AP225+$L225*Summary_LCIA!AG$32</f>
        <v>5.8433977746048509E-3</v>
      </c>
      <c r="BL225" s="137">
        <f>$W225*AQ225+$L225*Summary_LCIA!AH$32</f>
        <v>0.86366640969161623</v>
      </c>
      <c r="BM225" s="137">
        <f>$W225*AR225+$L225*Summary_LCIA!AI$32</f>
        <v>0.28310436072697631</v>
      </c>
    </row>
    <row r="226" spans="1:65" x14ac:dyDescent="0.25">
      <c r="A226" s="149">
        <v>124</v>
      </c>
      <c r="B226" s="149">
        <v>43</v>
      </c>
      <c r="C226" s="61">
        <v>41.712980000000002</v>
      </c>
      <c r="D226" s="61">
        <v>-87.960780999999997</v>
      </c>
      <c r="E226" s="61" t="s">
        <v>265</v>
      </c>
      <c r="F226" s="149">
        <v>88</v>
      </c>
      <c r="G226" s="61" t="s">
        <v>674</v>
      </c>
      <c r="H226" s="61" t="s">
        <v>675</v>
      </c>
      <c r="I226" s="61">
        <v>41.786776000000003</v>
      </c>
      <c r="J226" s="61">
        <v>-87.752188000000004</v>
      </c>
      <c r="K226" s="61">
        <v>21.68769485</v>
      </c>
      <c r="L226" s="61">
        <v>26.821000000000002</v>
      </c>
      <c r="M226" s="61" t="s">
        <v>617</v>
      </c>
      <c r="N226" s="149">
        <v>42</v>
      </c>
      <c r="O226" s="149">
        <v>43</v>
      </c>
      <c r="P226" s="61" t="s">
        <v>565</v>
      </c>
      <c r="Q226" s="61" t="s">
        <v>555</v>
      </c>
      <c r="R226" s="61">
        <v>40.6895314</v>
      </c>
      <c r="S226" s="61">
        <v>-74.174462399999996</v>
      </c>
      <c r="T226" s="61">
        <v>1286.93</v>
      </c>
      <c r="U226" s="61" t="s">
        <v>617</v>
      </c>
      <c r="V226" s="61" t="s">
        <v>569</v>
      </c>
      <c r="W226" s="61" cm="1">
        <f t="array" ref="W226">getDistance(I226,J226,R226,S226)*SA!$B$12</f>
        <v>1143.5649387665078</v>
      </c>
      <c r="Y226" s="137">
        <f>Transportation_LCIA!C$61*($W226^Transportation_LCIA!C$60)+Transportation_LCIA!C$62</f>
        <v>0.22236012924120124</v>
      </c>
      <c r="Z226" s="137">
        <f>Transportation_LCIA!D$61*($W226^Transportation_LCIA!D$60)+Transportation_LCIA!D$62</f>
        <v>2.2679152718026243</v>
      </c>
      <c r="AA226" s="137">
        <f>Transportation_LCIA!E$61*($W226^Transportation_LCIA!E$60)+Transportation_LCIA!E$62</f>
        <v>1.0407436442189438E-3</v>
      </c>
      <c r="AB226" s="137">
        <f>Transportation_LCIA!F$61*($W226^Transportation_LCIA!F$60)+Transportation_LCIA!F$62</f>
        <v>0.22236012924120124</v>
      </c>
      <c r="AC226" s="137">
        <f>Transportation_LCIA!G$61*($W226^Transportation_LCIA!G$60)+Transportation_LCIA!G$62</f>
        <v>5.3041543501522445E-2</v>
      </c>
      <c r="AD226" s="137">
        <f>Transportation_LCIA!H$61*($W226^Transportation_LCIA!H$60)+Transportation_LCIA!H$62</f>
        <v>2.5405678308749069E-4</v>
      </c>
      <c r="AE226" s="137">
        <f>Transportation_LCIA!I$61*($W226^Transportation_LCIA!I$60)+Transportation_LCIA!I$62</f>
        <v>5.3491740597869271E-6</v>
      </c>
      <c r="AF226" s="137">
        <f>Transportation_LCIA!J$61*($W226^Transportation_LCIA!J$60)+Transportation_LCIA!J$62</f>
        <v>7.9132669810525209E-3</v>
      </c>
      <c r="AG226" s="137">
        <f>Transportation_LCIA!K$61*($W226^Transportation_LCIA!K$60)+Transportation_LCIA!K$62</f>
        <v>1.1207156210017116E-2</v>
      </c>
      <c r="AH226" s="137">
        <f>Transportation_LCIA!L$61*($W226^Transportation_LCIA!L$60)+Transportation_LCIA!L$62</f>
        <v>2.1899197257618631E-4</v>
      </c>
      <c r="AI226" s="137">
        <f>Transportation_LCIA!M$61*($W226^Transportation_LCIA!M$60)+Transportation_LCIA!M$62</f>
        <v>2.310595602216531E-4</v>
      </c>
      <c r="AJ226" s="137">
        <f>Transportation_LCIA!N$61*($W226^Transportation_LCIA!N$60)+Transportation_LCIA!N$62</f>
        <v>9.1338159959179039E-4</v>
      </c>
      <c r="AK226" s="137">
        <f>Transportation_LCIA!O$61*($W226^Transportation_LCIA!O$60)+Transportation_LCIA!O$62</f>
        <v>5.602778275480761E-5</v>
      </c>
      <c r="AL226" s="137">
        <f>Transportation_LCIA!P$61*($W226^Transportation_LCIA!P$60)+Transportation_LCIA!P$62</f>
        <v>2.7106056807081781E-8</v>
      </c>
      <c r="AM226" s="137">
        <f>Transportation_LCIA!Q$61*($W226^Transportation_LCIA!Q$60)+Transportation_LCIA!Q$62</f>
        <v>8.6790033028172727E-5</v>
      </c>
      <c r="AN226" s="137">
        <f>Transportation_LCIA!R$61*($W226^Transportation_LCIA!R$60)+Transportation_LCIA!R$62</f>
        <v>2.573536407503035E-4</v>
      </c>
      <c r="AO226" s="137">
        <f>Transportation_LCIA!S$61*($W226^Transportation_LCIA!S$60)+Transportation_LCIA!S$62</f>
        <v>3.9097922278270863E-6</v>
      </c>
      <c r="AP226" s="137">
        <f>Transportation_LCIA!T$61*($W226^Transportation_LCIA!T$60)+Transportation_LCIA!T$62</f>
        <v>3.9097922278270863E-6</v>
      </c>
      <c r="AQ226" s="137">
        <f>Transportation_LCIA!U$61*($W226^Transportation_LCIA!U$60)+Transportation_LCIA!U$62</f>
        <v>5.5110744718301957E-4</v>
      </c>
      <c r="AR226" s="137">
        <f>Transportation_LCIA!V$61*($W226^Transportation_LCIA!V$60)+Transportation_LCIA!V$62</f>
        <v>2.2571456104223824E-4</v>
      </c>
      <c r="AT226" s="137">
        <f>$W226*Y226+$L226*Summary_LCIA!H$32</f>
        <v>263.39702337982703</v>
      </c>
      <c r="AU226" s="137">
        <f>$W226*Z226+$L226*Summary_LCIA!Q$32</f>
        <v>2726.4346175900891</v>
      </c>
      <c r="AV226" s="137">
        <f>$W226*AA226+$L226*Summary_LCIA!R$32</f>
        <v>1.3313865993728686</v>
      </c>
      <c r="AW226" s="137">
        <f>$W226*AB226+$L226*Summary_LCIA!S$32</f>
        <v>263.27847455982703</v>
      </c>
      <c r="AX226" s="137">
        <f>$W226*AC226+$L226*Summary_LCIA!T$32</f>
        <v>63.604077346399578</v>
      </c>
      <c r="AY226" s="137">
        <f>$W226*AD226+$L226*Summary_LCIA!U$32</f>
        <v>0.77100182359466229</v>
      </c>
      <c r="AZ226" s="137">
        <f>$W226*AE226+$L226*Summary_LCIA!V$32</f>
        <v>7.3981256871316287E-3</v>
      </c>
      <c r="BA226" s="137">
        <f>$W226*AF226+$L226*Summary_LCIA!W$32</f>
        <v>11.113773861630355</v>
      </c>
      <c r="BB226" s="137">
        <f>$W226*AG226+$L226*Summary_LCIA!X$32</f>
        <v>13.427093285054911</v>
      </c>
      <c r="BC226" s="137">
        <f>$W226*AH226+$L226*Summary_LCIA!Y$32</f>
        <v>0.66835636370944329</v>
      </c>
      <c r="BD226" s="137">
        <f>$W226*AI226+$L226*Summary_LCIA!Z$32</f>
        <v>0.26533151422529094</v>
      </c>
      <c r="BE226" s="137">
        <f>$W226*AJ226+$L226*Summary_LCIA!AA$32</f>
        <v>1.6709424490076406</v>
      </c>
      <c r="BF226" s="137">
        <f>$W226*AK226+$L226*Summary_LCIA!AB$32</f>
        <v>6.3486093272224778E-2</v>
      </c>
      <c r="BG226" s="137">
        <f>$W226*AL226+$L226*Summary_LCIA!AC$32</f>
        <v>3.230865395679196E-5</v>
      </c>
      <c r="BH226" s="137">
        <f>$W226*AM226+$L226*Summary_LCIA!AD$32</f>
        <v>0.11027454264540554</v>
      </c>
      <c r="BI226" s="137">
        <f>$W226*AN226+$L226*Summary_LCIA!AE$32</f>
        <v>0.31806749315595867</v>
      </c>
      <c r="BJ226" s="137">
        <f>$W226*AO226+$L226*Summary_LCIA!AF$32</f>
        <v>2.7146111129604852E-2</v>
      </c>
      <c r="BK226" s="137">
        <f>$W226*AP226+$L226*Summary_LCIA!AG$32</f>
        <v>5.8433977746048509E-3</v>
      </c>
      <c r="BL226" s="137">
        <f>$W226*AQ226+$L226*Summary_LCIA!AH$32</f>
        <v>0.86366640969161623</v>
      </c>
      <c r="BM226" s="137">
        <f>$W226*AR226+$L226*Summary_LCIA!AI$32</f>
        <v>0.28310436072697631</v>
      </c>
    </row>
    <row r="227" spans="1:65" x14ac:dyDescent="0.25">
      <c r="A227" s="149">
        <v>125</v>
      </c>
      <c r="B227" s="149">
        <v>43</v>
      </c>
      <c r="C227" s="61">
        <v>41.712980000000002</v>
      </c>
      <c r="D227" s="61">
        <v>-87.960780999999997</v>
      </c>
      <c r="E227" s="61" t="s">
        <v>265</v>
      </c>
      <c r="F227" s="149">
        <v>88</v>
      </c>
      <c r="G227" s="61" t="s">
        <v>674</v>
      </c>
      <c r="H227" s="61" t="s">
        <v>675</v>
      </c>
      <c r="I227" s="61">
        <v>41.786776000000003</v>
      </c>
      <c r="J227" s="61">
        <v>-87.752188000000004</v>
      </c>
      <c r="K227" s="61">
        <v>21.68769485</v>
      </c>
      <c r="L227" s="61">
        <v>26.821000000000002</v>
      </c>
      <c r="M227" s="61" t="s">
        <v>617</v>
      </c>
      <c r="N227" s="149">
        <v>42</v>
      </c>
      <c r="O227" s="149">
        <v>43</v>
      </c>
      <c r="P227" s="61" t="s">
        <v>565</v>
      </c>
      <c r="Q227" s="61" t="s">
        <v>555</v>
      </c>
      <c r="R227" s="61">
        <v>40.6895314</v>
      </c>
      <c r="S227" s="61">
        <v>-74.174462399999996</v>
      </c>
      <c r="T227" s="61">
        <v>1286.93</v>
      </c>
      <c r="U227" s="61" t="s">
        <v>617</v>
      </c>
      <c r="V227" s="61" t="s">
        <v>569</v>
      </c>
      <c r="W227" s="61" cm="1">
        <f t="array" ref="W227">getDistance(I227,J227,R227,S227)*SA!$B$12</f>
        <v>1143.5649387665078</v>
      </c>
      <c r="Y227" s="137">
        <f>Transportation_LCIA!C$61*($W227^Transportation_LCIA!C$60)+Transportation_LCIA!C$62</f>
        <v>0.22236012924120124</v>
      </c>
      <c r="Z227" s="137">
        <f>Transportation_LCIA!D$61*($W227^Transportation_LCIA!D$60)+Transportation_LCIA!D$62</f>
        <v>2.2679152718026243</v>
      </c>
      <c r="AA227" s="137">
        <f>Transportation_LCIA!E$61*($W227^Transportation_LCIA!E$60)+Transportation_LCIA!E$62</f>
        <v>1.0407436442189438E-3</v>
      </c>
      <c r="AB227" s="137">
        <f>Transportation_LCIA!F$61*($W227^Transportation_LCIA!F$60)+Transportation_LCIA!F$62</f>
        <v>0.22236012924120124</v>
      </c>
      <c r="AC227" s="137">
        <f>Transportation_LCIA!G$61*($W227^Transportation_LCIA!G$60)+Transportation_LCIA!G$62</f>
        <v>5.3041543501522445E-2</v>
      </c>
      <c r="AD227" s="137">
        <f>Transportation_LCIA!H$61*($W227^Transportation_LCIA!H$60)+Transportation_LCIA!H$62</f>
        <v>2.5405678308749069E-4</v>
      </c>
      <c r="AE227" s="137">
        <f>Transportation_LCIA!I$61*($W227^Transportation_LCIA!I$60)+Transportation_LCIA!I$62</f>
        <v>5.3491740597869271E-6</v>
      </c>
      <c r="AF227" s="137">
        <f>Transportation_LCIA!J$61*($W227^Transportation_LCIA!J$60)+Transportation_LCIA!J$62</f>
        <v>7.9132669810525209E-3</v>
      </c>
      <c r="AG227" s="137">
        <f>Transportation_LCIA!K$61*($W227^Transportation_LCIA!K$60)+Transportation_LCIA!K$62</f>
        <v>1.1207156210017116E-2</v>
      </c>
      <c r="AH227" s="137">
        <f>Transportation_LCIA!L$61*($W227^Transportation_LCIA!L$60)+Transportation_LCIA!L$62</f>
        <v>2.1899197257618631E-4</v>
      </c>
      <c r="AI227" s="137">
        <f>Transportation_LCIA!M$61*($W227^Transportation_LCIA!M$60)+Transportation_LCIA!M$62</f>
        <v>2.310595602216531E-4</v>
      </c>
      <c r="AJ227" s="137">
        <f>Transportation_LCIA!N$61*($W227^Transportation_LCIA!N$60)+Transportation_LCIA!N$62</f>
        <v>9.1338159959179039E-4</v>
      </c>
      <c r="AK227" s="137">
        <f>Transportation_LCIA!O$61*($W227^Transportation_LCIA!O$60)+Transportation_LCIA!O$62</f>
        <v>5.602778275480761E-5</v>
      </c>
      <c r="AL227" s="137">
        <f>Transportation_LCIA!P$61*($W227^Transportation_LCIA!P$60)+Transportation_LCIA!P$62</f>
        <v>2.7106056807081781E-8</v>
      </c>
      <c r="AM227" s="137">
        <f>Transportation_LCIA!Q$61*($W227^Transportation_LCIA!Q$60)+Transportation_LCIA!Q$62</f>
        <v>8.6790033028172727E-5</v>
      </c>
      <c r="AN227" s="137">
        <f>Transportation_LCIA!R$61*($W227^Transportation_LCIA!R$60)+Transportation_LCIA!R$62</f>
        <v>2.573536407503035E-4</v>
      </c>
      <c r="AO227" s="137">
        <f>Transportation_LCIA!S$61*($W227^Transportation_LCIA!S$60)+Transportation_LCIA!S$62</f>
        <v>3.9097922278270863E-6</v>
      </c>
      <c r="AP227" s="137">
        <f>Transportation_LCIA!T$61*($W227^Transportation_LCIA!T$60)+Transportation_LCIA!T$62</f>
        <v>3.9097922278270863E-6</v>
      </c>
      <c r="AQ227" s="137">
        <f>Transportation_LCIA!U$61*($W227^Transportation_LCIA!U$60)+Transportation_LCIA!U$62</f>
        <v>5.5110744718301957E-4</v>
      </c>
      <c r="AR227" s="137">
        <f>Transportation_LCIA!V$61*($W227^Transportation_LCIA!V$60)+Transportation_LCIA!V$62</f>
        <v>2.2571456104223824E-4</v>
      </c>
      <c r="AT227" s="137">
        <f>$W227*Y227+$L227*Summary_LCIA!H$32</f>
        <v>263.39702337982703</v>
      </c>
      <c r="AU227" s="137">
        <f>$W227*Z227+$L227*Summary_LCIA!Q$32</f>
        <v>2726.4346175900891</v>
      </c>
      <c r="AV227" s="137">
        <f>$W227*AA227+$L227*Summary_LCIA!R$32</f>
        <v>1.3313865993728686</v>
      </c>
      <c r="AW227" s="137">
        <f>$W227*AB227+$L227*Summary_LCIA!S$32</f>
        <v>263.27847455982703</v>
      </c>
      <c r="AX227" s="137">
        <f>$W227*AC227+$L227*Summary_LCIA!T$32</f>
        <v>63.604077346399578</v>
      </c>
      <c r="AY227" s="137">
        <f>$W227*AD227+$L227*Summary_LCIA!U$32</f>
        <v>0.77100182359466229</v>
      </c>
      <c r="AZ227" s="137">
        <f>$W227*AE227+$L227*Summary_LCIA!V$32</f>
        <v>7.3981256871316287E-3</v>
      </c>
      <c r="BA227" s="137">
        <f>$W227*AF227+$L227*Summary_LCIA!W$32</f>
        <v>11.113773861630355</v>
      </c>
      <c r="BB227" s="137">
        <f>$W227*AG227+$L227*Summary_LCIA!X$32</f>
        <v>13.427093285054911</v>
      </c>
      <c r="BC227" s="137">
        <f>$W227*AH227+$L227*Summary_LCIA!Y$32</f>
        <v>0.66835636370944329</v>
      </c>
      <c r="BD227" s="137">
        <f>$W227*AI227+$L227*Summary_LCIA!Z$32</f>
        <v>0.26533151422529094</v>
      </c>
      <c r="BE227" s="137">
        <f>$W227*AJ227+$L227*Summary_LCIA!AA$32</f>
        <v>1.6709424490076406</v>
      </c>
      <c r="BF227" s="137">
        <f>$W227*AK227+$L227*Summary_LCIA!AB$32</f>
        <v>6.3486093272224778E-2</v>
      </c>
      <c r="BG227" s="137">
        <f>$W227*AL227+$L227*Summary_LCIA!AC$32</f>
        <v>3.230865395679196E-5</v>
      </c>
      <c r="BH227" s="137">
        <f>$W227*AM227+$L227*Summary_LCIA!AD$32</f>
        <v>0.11027454264540554</v>
      </c>
      <c r="BI227" s="137">
        <f>$W227*AN227+$L227*Summary_LCIA!AE$32</f>
        <v>0.31806749315595867</v>
      </c>
      <c r="BJ227" s="137">
        <f>$W227*AO227+$L227*Summary_LCIA!AF$32</f>
        <v>2.7146111129604852E-2</v>
      </c>
      <c r="BK227" s="137">
        <f>$W227*AP227+$L227*Summary_LCIA!AG$32</f>
        <v>5.8433977746048509E-3</v>
      </c>
      <c r="BL227" s="137">
        <f>$W227*AQ227+$L227*Summary_LCIA!AH$32</f>
        <v>0.86366640969161623</v>
      </c>
      <c r="BM227" s="137">
        <f>$W227*AR227+$L227*Summary_LCIA!AI$32</f>
        <v>0.28310436072697631</v>
      </c>
    </row>
    <row r="228" spans="1:65" x14ac:dyDescent="0.25">
      <c r="A228" s="149">
        <v>126</v>
      </c>
      <c r="B228" s="149">
        <v>43</v>
      </c>
      <c r="C228" s="61">
        <v>41.712980000000002</v>
      </c>
      <c r="D228" s="61">
        <v>-87.960780999999997</v>
      </c>
      <c r="E228" s="61" t="s">
        <v>265</v>
      </c>
      <c r="F228" s="149">
        <v>88</v>
      </c>
      <c r="G228" s="61" t="s">
        <v>674</v>
      </c>
      <c r="H228" s="61" t="s">
        <v>675</v>
      </c>
      <c r="I228" s="61">
        <v>41.786776000000003</v>
      </c>
      <c r="J228" s="61">
        <v>-87.752188000000004</v>
      </c>
      <c r="K228" s="61">
        <v>21.68769485</v>
      </c>
      <c r="L228" s="61">
        <v>26.821000000000002</v>
      </c>
      <c r="M228" s="61" t="s">
        <v>617</v>
      </c>
      <c r="N228" s="149">
        <v>42</v>
      </c>
      <c r="O228" s="149">
        <v>43</v>
      </c>
      <c r="P228" s="61" t="s">
        <v>565</v>
      </c>
      <c r="Q228" s="61" t="s">
        <v>555</v>
      </c>
      <c r="R228" s="61">
        <v>40.6895314</v>
      </c>
      <c r="S228" s="61">
        <v>-74.174462399999996</v>
      </c>
      <c r="T228" s="61">
        <v>1286.93</v>
      </c>
      <c r="U228" s="61" t="s">
        <v>617</v>
      </c>
      <c r="V228" s="61" t="s">
        <v>569</v>
      </c>
      <c r="W228" s="61" cm="1">
        <f t="array" ref="W228">getDistance(I228,J228,R228,S228)*SA!$B$12</f>
        <v>1143.5649387665078</v>
      </c>
      <c r="Y228" s="137">
        <f>Transportation_LCIA!C$61*($W228^Transportation_LCIA!C$60)+Transportation_LCIA!C$62</f>
        <v>0.22236012924120124</v>
      </c>
      <c r="Z228" s="137">
        <f>Transportation_LCIA!D$61*($W228^Transportation_LCIA!D$60)+Transportation_LCIA!D$62</f>
        <v>2.2679152718026243</v>
      </c>
      <c r="AA228" s="137">
        <f>Transportation_LCIA!E$61*($W228^Transportation_LCIA!E$60)+Transportation_LCIA!E$62</f>
        <v>1.0407436442189438E-3</v>
      </c>
      <c r="AB228" s="137">
        <f>Transportation_LCIA!F$61*($W228^Transportation_LCIA!F$60)+Transportation_LCIA!F$62</f>
        <v>0.22236012924120124</v>
      </c>
      <c r="AC228" s="137">
        <f>Transportation_LCIA!G$61*($W228^Transportation_LCIA!G$60)+Transportation_LCIA!G$62</f>
        <v>5.3041543501522445E-2</v>
      </c>
      <c r="AD228" s="137">
        <f>Transportation_LCIA!H$61*($W228^Transportation_LCIA!H$60)+Transportation_LCIA!H$62</f>
        <v>2.5405678308749069E-4</v>
      </c>
      <c r="AE228" s="137">
        <f>Transportation_LCIA!I$61*($W228^Transportation_LCIA!I$60)+Transportation_LCIA!I$62</f>
        <v>5.3491740597869271E-6</v>
      </c>
      <c r="AF228" s="137">
        <f>Transportation_LCIA!J$61*($W228^Transportation_LCIA!J$60)+Transportation_LCIA!J$62</f>
        <v>7.9132669810525209E-3</v>
      </c>
      <c r="AG228" s="137">
        <f>Transportation_LCIA!K$61*($W228^Transportation_LCIA!K$60)+Transportation_LCIA!K$62</f>
        <v>1.1207156210017116E-2</v>
      </c>
      <c r="AH228" s="137">
        <f>Transportation_LCIA!L$61*($W228^Transportation_LCIA!L$60)+Transportation_LCIA!L$62</f>
        <v>2.1899197257618631E-4</v>
      </c>
      <c r="AI228" s="137">
        <f>Transportation_LCIA!M$61*($W228^Transportation_LCIA!M$60)+Transportation_LCIA!M$62</f>
        <v>2.310595602216531E-4</v>
      </c>
      <c r="AJ228" s="137">
        <f>Transportation_LCIA!N$61*($W228^Transportation_LCIA!N$60)+Transportation_LCIA!N$62</f>
        <v>9.1338159959179039E-4</v>
      </c>
      <c r="AK228" s="137">
        <f>Transportation_LCIA!O$61*($W228^Transportation_LCIA!O$60)+Transportation_LCIA!O$62</f>
        <v>5.602778275480761E-5</v>
      </c>
      <c r="AL228" s="137">
        <f>Transportation_LCIA!P$61*($W228^Transportation_LCIA!P$60)+Transportation_LCIA!P$62</f>
        <v>2.7106056807081781E-8</v>
      </c>
      <c r="AM228" s="137">
        <f>Transportation_LCIA!Q$61*($W228^Transportation_LCIA!Q$60)+Transportation_LCIA!Q$62</f>
        <v>8.6790033028172727E-5</v>
      </c>
      <c r="AN228" s="137">
        <f>Transportation_LCIA!R$61*($W228^Transportation_LCIA!R$60)+Transportation_LCIA!R$62</f>
        <v>2.573536407503035E-4</v>
      </c>
      <c r="AO228" s="137">
        <f>Transportation_LCIA!S$61*($W228^Transportation_LCIA!S$60)+Transportation_LCIA!S$62</f>
        <v>3.9097922278270863E-6</v>
      </c>
      <c r="AP228" s="137">
        <f>Transportation_LCIA!T$61*($W228^Transportation_LCIA!T$60)+Transportation_LCIA!T$62</f>
        <v>3.9097922278270863E-6</v>
      </c>
      <c r="AQ228" s="137">
        <f>Transportation_LCIA!U$61*($W228^Transportation_LCIA!U$60)+Transportation_LCIA!U$62</f>
        <v>5.5110744718301957E-4</v>
      </c>
      <c r="AR228" s="137">
        <f>Transportation_LCIA!V$61*($W228^Transportation_LCIA!V$60)+Transportation_LCIA!V$62</f>
        <v>2.2571456104223824E-4</v>
      </c>
      <c r="AT228" s="137">
        <f>$W228*Y228+$L228*Summary_LCIA!H$32</f>
        <v>263.39702337982703</v>
      </c>
      <c r="AU228" s="137">
        <f>$W228*Z228+$L228*Summary_LCIA!Q$32</f>
        <v>2726.4346175900891</v>
      </c>
      <c r="AV228" s="137">
        <f>$W228*AA228+$L228*Summary_LCIA!R$32</f>
        <v>1.3313865993728686</v>
      </c>
      <c r="AW228" s="137">
        <f>$W228*AB228+$L228*Summary_LCIA!S$32</f>
        <v>263.27847455982703</v>
      </c>
      <c r="AX228" s="137">
        <f>$W228*AC228+$L228*Summary_LCIA!T$32</f>
        <v>63.604077346399578</v>
      </c>
      <c r="AY228" s="137">
        <f>$W228*AD228+$L228*Summary_LCIA!U$32</f>
        <v>0.77100182359466229</v>
      </c>
      <c r="AZ228" s="137">
        <f>$W228*AE228+$L228*Summary_LCIA!V$32</f>
        <v>7.3981256871316287E-3</v>
      </c>
      <c r="BA228" s="137">
        <f>$W228*AF228+$L228*Summary_LCIA!W$32</f>
        <v>11.113773861630355</v>
      </c>
      <c r="BB228" s="137">
        <f>$W228*AG228+$L228*Summary_LCIA!X$32</f>
        <v>13.427093285054911</v>
      </c>
      <c r="BC228" s="137">
        <f>$W228*AH228+$L228*Summary_LCIA!Y$32</f>
        <v>0.66835636370944329</v>
      </c>
      <c r="BD228" s="137">
        <f>$W228*AI228+$L228*Summary_LCIA!Z$32</f>
        <v>0.26533151422529094</v>
      </c>
      <c r="BE228" s="137">
        <f>$W228*AJ228+$L228*Summary_LCIA!AA$32</f>
        <v>1.6709424490076406</v>
      </c>
      <c r="BF228" s="137">
        <f>$W228*AK228+$L228*Summary_LCIA!AB$32</f>
        <v>6.3486093272224778E-2</v>
      </c>
      <c r="BG228" s="137">
        <f>$W228*AL228+$L228*Summary_LCIA!AC$32</f>
        <v>3.230865395679196E-5</v>
      </c>
      <c r="BH228" s="137">
        <f>$W228*AM228+$L228*Summary_LCIA!AD$32</f>
        <v>0.11027454264540554</v>
      </c>
      <c r="BI228" s="137">
        <f>$W228*AN228+$L228*Summary_LCIA!AE$32</f>
        <v>0.31806749315595867</v>
      </c>
      <c r="BJ228" s="137">
        <f>$W228*AO228+$L228*Summary_LCIA!AF$32</f>
        <v>2.7146111129604852E-2</v>
      </c>
      <c r="BK228" s="137">
        <f>$W228*AP228+$L228*Summary_LCIA!AG$32</f>
        <v>5.8433977746048509E-3</v>
      </c>
      <c r="BL228" s="137">
        <f>$W228*AQ228+$L228*Summary_LCIA!AH$32</f>
        <v>0.86366640969161623</v>
      </c>
      <c r="BM228" s="137">
        <f>$W228*AR228+$L228*Summary_LCIA!AI$32</f>
        <v>0.28310436072697631</v>
      </c>
    </row>
    <row r="229" spans="1:65" x14ac:dyDescent="0.25">
      <c r="A229" s="149">
        <v>228</v>
      </c>
      <c r="B229" s="149">
        <v>43</v>
      </c>
      <c r="C229" s="61">
        <v>41.743507000000001</v>
      </c>
      <c r="D229" s="61">
        <v>-88.011847000000003</v>
      </c>
      <c r="E229" s="61" t="s">
        <v>265</v>
      </c>
      <c r="F229" s="149">
        <v>88</v>
      </c>
      <c r="G229" s="61" t="s">
        <v>674</v>
      </c>
      <c r="H229" s="61" t="s">
        <v>675</v>
      </c>
      <c r="I229" s="61">
        <v>41.786776000000003</v>
      </c>
      <c r="J229" s="61">
        <v>-87.752188000000004</v>
      </c>
      <c r="K229" s="61">
        <v>22.97844104</v>
      </c>
      <c r="L229" s="61">
        <v>30.356000000000002</v>
      </c>
      <c r="M229" s="61" t="s">
        <v>617</v>
      </c>
      <c r="N229" s="149">
        <v>42</v>
      </c>
      <c r="O229" s="149">
        <v>43</v>
      </c>
      <c r="P229" s="61" t="s">
        <v>565</v>
      </c>
      <c r="Q229" s="61" t="s">
        <v>555</v>
      </c>
      <c r="R229" s="61">
        <v>40.6895314</v>
      </c>
      <c r="S229" s="61">
        <v>-74.174462399999996</v>
      </c>
      <c r="T229" s="61">
        <v>1290.4649999999999</v>
      </c>
      <c r="U229" s="61" t="s">
        <v>617</v>
      </c>
      <c r="V229" s="61" t="s">
        <v>569</v>
      </c>
      <c r="W229" s="61" cm="1">
        <f t="array" ref="W229">getDistance(I229,J229,R229,S229)*SA!$B$12</f>
        <v>1143.5649387665078</v>
      </c>
      <c r="Y229" s="137">
        <f>Transportation_LCIA!C$61*($W229^Transportation_LCIA!C$60)+Transportation_LCIA!C$62</f>
        <v>0.22236012924120124</v>
      </c>
      <c r="Z229" s="137">
        <f>Transportation_LCIA!D$61*($W229^Transportation_LCIA!D$60)+Transportation_LCIA!D$62</f>
        <v>2.2679152718026243</v>
      </c>
      <c r="AA229" s="137">
        <f>Transportation_LCIA!E$61*($W229^Transportation_LCIA!E$60)+Transportation_LCIA!E$62</f>
        <v>1.0407436442189438E-3</v>
      </c>
      <c r="AB229" s="137">
        <f>Transportation_LCIA!F$61*($W229^Transportation_LCIA!F$60)+Transportation_LCIA!F$62</f>
        <v>0.22236012924120124</v>
      </c>
      <c r="AC229" s="137">
        <f>Transportation_LCIA!G$61*($W229^Transportation_LCIA!G$60)+Transportation_LCIA!G$62</f>
        <v>5.3041543501522445E-2</v>
      </c>
      <c r="AD229" s="137">
        <f>Transportation_LCIA!H$61*($W229^Transportation_LCIA!H$60)+Transportation_LCIA!H$62</f>
        <v>2.5405678308749069E-4</v>
      </c>
      <c r="AE229" s="137">
        <f>Transportation_LCIA!I$61*($W229^Transportation_LCIA!I$60)+Transportation_LCIA!I$62</f>
        <v>5.3491740597869271E-6</v>
      </c>
      <c r="AF229" s="137">
        <f>Transportation_LCIA!J$61*($W229^Transportation_LCIA!J$60)+Transportation_LCIA!J$62</f>
        <v>7.9132669810525209E-3</v>
      </c>
      <c r="AG229" s="137">
        <f>Transportation_LCIA!K$61*($W229^Transportation_LCIA!K$60)+Transportation_LCIA!K$62</f>
        <v>1.1207156210017116E-2</v>
      </c>
      <c r="AH229" s="137">
        <f>Transportation_LCIA!L$61*($W229^Transportation_LCIA!L$60)+Transportation_LCIA!L$62</f>
        <v>2.1899197257618631E-4</v>
      </c>
      <c r="AI229" s="137">
        <f>Transportation_LCIA!M$61*($W229^Transportation_LCIA!M$60)+Transportation_LCIA!M$62</f>
        <v>2.310595602216531E-4</v>
      </c>
      <c r="AJ229" s="137">
        <f>Transportation_LCIA!N$61*($W229^Transportation_LCIA!N$60)+Transportation_LCIA!N$62</f>
        <v>9.1338159959179039E-4</v>
      </c>
      <c r="AK229" s="137">
        <f>Transportation_LCIA!O$61*($W229^Transportation_LCIA!O$60)+Transportation_LCIA!O$62</f>
        <v>5.602778275480761E-5</v>
      </c>
      <c r="AL229" s="137">
        <f>Transportation_LCIA!P$61*($W229^Transportation_LCIA!P$60)+Transportation_LCIA!P$62</f>
        <v>2.7106056807081781E-8</v>
      </c>
      <c r="AM229" s="137">
        <f>Transportation_LCIA!Q$61*($W229^Transportation_LCIA!Q$60)+Transportation_LCIA!Q$62</f>
        <v>8.6790033028172727E-5</v>
      </c>
      <c r="AN229" s="137">
        <f>Transportation_LCIA!R$61*($W229^Transportation_LCIA!R$60)+Transportation_LCIA!R$62</f>
        <v>2.573536407503035E-4</v>
      </c>
      <c r="AO229" s="137">
        <f>Transportation_LCIA!S$61*($W229^Transportation_LCIA!S$60)+Transportation_LCIA!S$62</f>
        <v>3.9097922278270863E-6</v>
      </c>
      <c r="AP229" s="137">
        <f>Transportation_LCIA!T$61*($W229^Transportation_LCIA!T$60)+Transportation_LCIA!T$62</f>
        <v>3.9097922278270863E-6</v>
      </c>
      <c r="AQ229" s="137">
        <f>Transportation_LCIA!U$61*($W229^Transportation_LCIA!U$60)+Transportation_LCIA!U$62</f>
        <v>5.5110744718301957E-4</v>
      </c>
      <c r="AR229" s="137">
        <f>Transportation_LCIA!V$61*($W229^Transportation_LCIA!V$60)+Transportation_LCIA!V$62</f>
        <v>2.2571456104223824E-4</v>
      </c>
      <c r="AT229" s="137">
        <f>$W229*Y229+$L229*Summary_LCIA!H$32</f>
        <v>264.59821637982702</v>
      </c>
      <c r="AU229" s="137">
        <f>$W229*Z229+$L229*Summary_LCIA!Q$32</f>
        <v>2743.954255870744</v>
      </c>
      <c r="AV229" s="137">
        <f>$W229*AA229+$L229*Summary_LCIA!R$32</f>
        <v>1.3500004953728686</v>
      </c>
      <c r="AW229" s="137">
        <f>$W229*AB229+$L229*Summary_LCIA!S$32</f>
        <v>264.46404285982703</v>
      </c>
      <c r="AX229" s="137">
        <f>$W229*AC229+$L229*Summary_LCIA!T$32</f>
        <v>63.99257384639958</v>
      </c>
      <c r="AY229" s="137">
        <f>$W229*AD229+$L229*Summary_LCIA!U$32</f>
        <v>0.83432781359466224</v>
      </c>
      <c r="AZ229" s="137">
        <f>$W229*AE229+$L229*Summary_LCIA!V$32</f>
        <v>7.5669608221316294E-3</v>
      </c>
      <c r="BA229" s="137">
        <f>$W229*AF229+$L229*Summary_LCIA!W$32</f>
        <v>11.385866346630355</v>
      </c>
      <c r="BB229" s="137">
        <f>$W229*AG229+$L229*Summary_LCIA!X$32</f>
        <v>13.50762058505491</v>
      </c>
      <c r="BC229" s="137">
        <f>$W229*AH229+$L229*Summary_LCIA!Y$32</f>
        <v>0.72343873370944323</v>
      </c>
      <c r="BD229" s="137">
        <f>$W229*AI229+$L229*Summary_LCIA!Z$32</f>
        <v>0.26547648104029098</v>
      </c>
      <c r="BE229" s="137">
        <f>$W229*AJ229+$L229*Summary_LCIA!AA$32</f>
        <v>1.7535059090076406</v>
      </c>
      <c r="BF229" s="137">
        <f>$W229*AK229+$L229*Summary_LCIA!AB$32</f>
        <v>6.3408948967224765E-2</v>
      </c>
      <c r="BG229" s="137">
        <f>$W229*AL229+$L229*Summary_LCIA!AC$32</f>
        <v>3.2481458896791954E-5</v>
      </c>
      <c r="BH229" s="137">
        <f>$W229*AM229+$L229*Summary_LCIA!AD$32</f>
        <v>0.11172756904540554</v>
      </c>
      <c r="BI229" s="137">
        <f>$W229*AN229+$L229*Summary_LCIA!AE$32</f>
        <v>0.32119996270595869</v>
      </c>
      <c r="BJ229" s="137">
        <f>$W229*AO229+$L229*Summary_LCIA!AF$32</f>
        <v>3.0134670829604852E-2</v>
      </c>
      <c r="BK229" s="137">
        <f>$W229*AP229+$L229*Summary_LCIA!AG$32</f>
        <v>6.0242660496048501E-3</v>
      </c>
      <c r="BL229" s="137">
        <f>$W229*AQ229+$L229*Summary_LCIA!AH$32</f>
        <v>0.89443363569161627</v>
      </c>
      <c r="BM229" s="137">
        <f>$W229*AR229+$L229*Summary_LCIA!AI$32</f>
        <v>0.28639738997697634</v>
      </c>
    </row>
    <row r="230" spans="1:65" x14ac:dyDescent="0.25">
      <c r="A230" s="149">
        <v>229</v>
      </c>
      <c r="B230" s="149">
        <v>43</v>
      </c>
      <c r="C230" s="61">
        <v>41.743507000000001</v>
      </c>
      <c r="D230" s="61">
        <v>-88.011847000000003</v>
      </c>
      <c r="E230" s="61" t="s">
        <v>265</v>
      </c>
      <c r="F230" s="149">
        <v>88</v>
      </c>
      <c r="G230" s="61" t="s">
        <v>674</v>
      </c>
      <c r="H230" s="61" t="s">
        <v>675</v>
      </c>
      <c r="I230" s="61">
        <v>41.786776000000003</v>
      </c>
      <c r="J230" s="61">
        <v>-87.752188000000004</v>
      </c>
      <c r="K230" s="61">
        <v>22.97844104</v>
      </c>
      <c r="L230" s="61">
        <v>30.356000000000002</v>
      </c>
      <c r="M230" s="61" t="s">
        <v>617</v>
      </c>
      <c r="N230" s="149">
        <v>42</v>
      </c>
      <c r="O230" s="149">
        <v>43</v>
      </c>
      <c r="P230" s="61" t="s">
        <v>565</v>
      </c>
      <c r="Q230" s="61" t="s">
        <v>555</v>
      </c>
      <c r="R230" s="61">
        <v>40.6895314</v>
      </c>
      <c r="S230" s="61">
        <v>-74.174462399999996</v>
      </c>
      <c r="T230" s="61">
        <v>1290.4649999999999</v>
      </c>
      <c r="U230" s="61" t="s">
        <v>617</v>
      </c>
      <c r="V230" s="61" t="s">
        <v>569</v>
      </c>
      <c r="W230" s="61" cm="1">
        <f t="array" ref="W230">getDistance(I230,J230,R230,S230)*SA!$B$12</f>
        <v>1143.5649387665078</v>
      </c>
      <c r="Y230" s="137">
        <f>Transportation_LCIA!C$61*($W230^Transportation_LCIA!C$60)+Transportation_LCIA!C$62</f>
        <v>0.22236012924120124</v>
      </c>
      <c r="Z230" s="137">
        <f>Transportation_LCIA!D$61*($W230^Transportation_LCIA!D$60)+Transportation_LCIA!D$62</f>
        <v>2.2679152718026243</v>
      </c>
      <c r="AA230" s="137">
        <f>Transportation_LCIA!E$61*($W230^Transportation_LCIA!E$60)+Transportation_LCIA!E$62</f>
        <v>1.0407436442189438E-3</v>
      </c>
      <c r="AB230" s="137">
        <f>Transportation_LCIA!F$61*($W230^Transportation_LCIA!F$60)+Transportation_LCIA!F$62</f>
        <v>0.22236012924120124</v>
      </c>
      <c r="AC230" s="137">
        <f>Transportation_LCIA!G$61*($W230^Transportation_LCIA!G$60)+Transportation_LCIA!G$62</f>
        <v>5.3041543501522445E-2</v>
      </c>
      <c r="AD230" s="137">
        <f>Transportation_LCIA!H$61*($W230^Transportation_LCIA!H$60)+Transportation_LCIA!H$62</f>
        <v>2.5405678308749069E-4</v>
      </c>
      <c r="AE230" s="137">
        <f>Transportation_LCIA!I$61*($W230^Transportation_LCIA!I$60)+Transportation_LCIA!I$62</f>
        <v>5.3491740597869271E-6</v>
      </c>
      <c r="AF230" s="137">
        <f>Transportation_LCIA!J$61*($W230^Transportation_LCIA!J$60)+Transportation_LCIA!J$62</f>
        <v>7.9132669810525209E-3</v>
      </c>
      <c r="AG230" s="137">
        <f>Transportation_LCIA!K$61*($W230^Transportation_LCIA!K$60)+Transportation_LCIA!K$62</f>
        <v>1.1207156210017116E-2</v>
      </c>
      <c r="AH230" s="137">
        <f>Transportation_LCIA!L$61*($W230^Transportation_LCIA!L$60)+Transportation_LCIA!L$62</f>
        <v>2.1899197257618631E-4</v>
      </c>
      <c r="AI230" s="137">
        <f>Transportation_LCIA!M$61*($W230^Transportation_LCIA!M$60)+Transportation_LCIA!M$62</f>
        <v>2.310595602216531E-4</v>
      </c>
      <c r="AJ230" s="137">
        <f>Transportation_LCIA!N$61*($W230^Transportation_LCIA!N$60)+Transportation_LCIA!N$62</f>
        <v>9.1338159959179039E-4</v>
      </c>
      <c r="AK230" s="137">
        <f>Transportation_LCIA!O$61*($W230^Transportation_LCIA!O$60)+Transportation_LCIA!O$62</f>
        <v>5.602778275480761E-5</v>
      </c>
      <c r="AL230" s="137">
        <f>Transportation_LCIA!P$61*($W230^Transportation_LCIA!P$60)+Transportation_LCIA!P$62</f>
        <v>2.7106056807081781E-8</v>
      </c>
      <c r="AM230" s="137">
        <f>Transportation_LCIA!Q$61*($W230^Transportation_LCIA!Q$60)+Transportation_LCIA!Q$62</f>
        <v>8.6790033028172727E-5</v>
      </c>
      <c r="AN230" s="137">
        <f>Transportation_LCIA!R$61*($W230^Transportation_LCIA!R$60)+Transportation_LCIA!R$62</f>
        <v>2.573536407503035E-4</v>
      </c>
      <c r="AO230" s="137">
        <f>Transportation_LCIA!S$61*($W230^Transportation_LCIA!S$60)+Transportation_LCIA!S$62</f>
        <v>3.9097922278270863E-6</v>
      </c>
      <c r="AP230" s="137">
        <f>Transportation_LCIA!T$61*($W230^Transportation_LCIA!T$60)+Transportation_LCIA!T$62</f>
        <v>3.9097922278270863E-6</v>
      </c>
      <c r="AQ230" s="137">
        <f>Transportation_LCIA!U$61*($W230^Transportation_LCIA!U$60)+Transportation_LCIA!U$62</f>
        <v>5.5110744718301957E-4</v>
      </c>
      <c r="AR230" s="137">
        <f>Transportation_LCIA!V$61*($W230^Transportation_LCIA!V$60)+Transportation_LCIA!V$62</f>
        <v>2.2571456104223824E-4</v>
      </c>
      <c r="AT230" s="137">
        <f>$W230*Y230+$L230*Summary_LCIA!H$32</f>
        <v>264.59821637982702</v>
      </c>
      <c r="AU230" s="137">
        <f>$W230*Z230+$L230*Summary_LCIA!Q$32</f>
        <v>2743.954255870744</v>
      </c>
      <c r="AV230" s="137">
        <f>$W230*AA230+$L230*Summary_LCIA!R$32</f>
        <v>1.3500004953728686</v>
      </c>
      <c r="AW230" s="137">
        <f>$W230*AB230+$L230*Summary_LCIA!S$32</f>
        <v>264.46404285982703</v>
      </c>
      <c r="AX230" s="137">
        <f>$W230*AC230+$L230*Summary_LCIA!T$32</f>
        <v>63.99257384639958</v>
      </c>
      <c r="AY230" s="137">
        <f>$W230*AD230+$L230*Summary_LCIA!U$32</f>
        <v>0.83432781359466224</v>
      </c>
      <c r="AZ230" s="137">
        <f>$W230*AE230+$L230*Summary_LCIA!V$32</f>
        <v>7.5669608221316294E-3</v>
      </c>
      <c r="BA230" s="137">
        <f>$W230*AF230+$L230*Summary_LCIA!W$32</f>
        <v>11.385866346630355</v>
      </c>
      <c r="BB230" s="137">
        <f>$W230*AG230+$L230*Summary_LCIA!X$32</f>
        <v>13.50762058505491</v>
      </c>
      <c r="BC230" s="137">
        <f>$W230*AH230+$L230*Summary_LCIA!Y$32</f>
        <v>0.72343873370944323</v>
      </c>
      <c r="BD230" s="137">
        <f>$W230*AI230+$L230*Summary_LCIA!Z$32</f>
        <v>0.26547648104029098</v>
      </c>
      <c r="BE230" s="137">
        <f>$W230*AJ230+$L230*Summary_LCIA!AA$32</f>
        <v>1.7535059090076406</v>
      </c>
      <c r="BF230" s="137">
        <f>$W230*AK230+$L230*Summary_LCIA!AB$32</f>
        <v>6.3408948967224765E-2</v>
      </c>
      <c r="BG230" s="137">
        <f>$W230*AL230+$L230*Summary_LCIA!AC$32</f>
        <v>3.2481458896791954E-5</v>
      </c>
      <c r="BH230" s="137">
        <f>$W230*AM230+$L230*Summary_LCIA!AD$32</f>
        <v>0.11172756904540554</v>
      </c>
      <c r="BI230" s="137">
        <f>$W230*AN230+$L230*Summary_LCIA!AE$32</f>
        <v>0.32119996270595869</v>
      </c>
      <c r="BJ230" s="137">
        <f>$W230*AO230+$L230*Summary_LCIA!AF$32</f>
        <v>3.0134670829604852E-2</v>
      </c>
      <c r="BK230" s="137">
        <f>$W230*AP230+$L230*Summary_LCIA!AG$32</f>
        <v>6.0242660496048501E-3</v>
      </c>
      <c r="BL230" s="137">
        <f>$W230*AQ230+$L230*Summary_LCIA!AH$32</f>
        <v>0.89443363569161627</v>
      </c>
      <c r="BM230" s="137">
        <f>$W230*AR230+$L230*Summary_LCIA!AI$32</f>
        <v>0.28639738997697634</v>
      </c>
    </row>
    <row r="231" spans="1:65" x14ac:dyDescent="0.25">
      <c r="A231" s="149">
        <v>108</v>
      </c>
      <c r="B231" s="149">
        <v>43</v>
      </c>
      <c r="C231" s="61">
        <v>42.050626999999999</v>
      </c>
      <c r="D231" s="61">
        <v>-87.679727</v>
      </c>
      <c r="E231" s="61" t="s">
        <v>265</v>
      </c>
      <c r="F231" s="149">
        <v>6</v>
      </c>
      <c r="G231" s="61" t="s">
        <v>565</v>
      </c>
      <c r="H231" s="61" t="s">
        <v>673</v>
      </c>
      <c r="I231" s="61">
        <v>41.98028</v>
      </c>
      <c r="J231" s="61">
        <v>-87.908997999999997</v>
      </c>
      <c r="K231" s="61">
        <v>22.71590222</v>
      </c>
      <c r="L231" s="61">
        <v>27.763999999999999</v>
      </c>
      <c r="M231" s="61" t="s">
        <v>617</v>
      </c>
      <c r="N231" s="149">
        <v>42</v>
      </c>
      <c r="O231" s="149">
        <v>43</v>
      </c>
      <c r="P231" s="61" t="s">
        <v>565</v>
      </c>
      <c r="Q231" s="61" t="s">
        <v>555</v>
      </c>
      <c r="R231" s="61">
        <v>40.6895314</v>
      </c>
      <c r="S231" s="61">
        <v>-74.174462399999996</v>
      </c>
      <c r="T231" s="61">
        <v>1296.431</v>
      </c>
      <c r="U231" s="61" t="s">
        <v>617</v>
      </c>
      <c r="V231" s="61" t="s">
        <v>569</v>
      </c>
      <c r="W231" s="61" cm="1">
        <f t="array" ref="W231">getDistance(I231,J231,R231,S231)*SA!$B$12</f>
        <v>1157.3543734574703</v>
      </c>
      <c r="Y231" s="137">
        <f>Transportation_LCIA!C$61*($W231^Transportation_LCIA!C$60)+Transportation_LCIA!C$62</f>
        <v>0.22125487322987525</v>
      </c>
      <c r="Z231" s="137">
        <f>Transportation_LCIA!D$61*($W231^Transportation_LCIA!D$60)+Transportation_LCIA!D$62</f>
        <v>2.255097656532008</v>
      </c>
      <c r="AA231" s="137">
        <f>Transportation_LCIA!E$61*($W231^Transportation_LCIA!E$60)+Transportation_LCIA!E$62</f>
        <v>1.0323311064289898E-3</v>
      </c>
      <c r="AB231" s="137">
        <f>Transportation_LCIA!F$61*($W231^Transportation_LCIA!F$60)+Transportation_LCIA!F$62</f>
        <v>0.22125487322987525</v>
      </c>
      <c r="AC231" s="137">
        <f>Transportation_LCIA!G$61*($W231^Transportation_LCIA!G$60)+Transportation_LCIA!G$62</f>
        <v>5.2744889674118764E-2</v>
      </c>
      <c r="AD231" s="137">
        <f>Transportation_LCIA!H$61*($W231^Transportation_LCIA!H$60)+Transportation_LCIA!H$62</f>
        <v>2.5221347893443361E-4</v>
      </c>
      <c r="AE231" s="137">
        <f>Transportation_LCIA!I$61*($W231^Transportation_LCIA!I$60)+Transportation_LCIA!I$62</f>
        <v>5.3030315279303856E-6</v>
      </c>
      <c r="AF231" s="137">
        <f>Transportation_LCIA!J$61*($W231^Transportation_LCIA!J$60)+Transportation_LCIA!J$62</f>
        <v>7.8448002910598176E-3</v>
      </c>
      <c r="AG231" s="137">
        <f>Transportation_LCIA!K$61*($W231^Transportation_LCIA!K$60)+Transportation_LCIA!K$62</f>
        <v>1.1138126778177694E-2</v>
      </c>
      <c r="AH231" s="137">
        <f>Transportation_LCIA!L$61*($W231^Transportation_LCIA!L$60)+Transportation_LCIA!L$62</f>
        <v>2.1730006227167688E-4</v>
      </c>
      <c r="AI231" s="137">
        <f>Transportation_LCIA!M$61*($W231^Transportation_LCIA!M$60)+Transportation_LCIA!M$62</f>
        <v>2.300424506415529E-4</v>
      </c>
      <c r="AJ231" s="137">
        <f>Transportation_LCIA!N$61*($W231^Transportation_LCIA!N$60)+Transportation_LCIA!N$62</f>
        <v>9.0718133822476131E-4</v>
      </c>
      <c r="AK231" s="137">
        <f>Transportation_LCIA!O$61*($W231^Transportation_LCIA!O$60)+Transportation_LCIA!O$62</f>
        <v>5.5712604291343633E-5</v>
      </c>
      <c r="AL231" s="137">
        <f>Transportation_LCIA!P$61*($W231^Transportation_LCIA!P$60)+Transportation_LCIA!P$62</f>
        <v>2.6954451569237745E-8</v>
      </c>
      <c r="AM231" s="137">
        <f>Transportation_LCIA!Q$61*($W231^Transportation_LCIA!Q$60)+Transportation_LCIA!Q$62</f>
        <v>8.6129064464536507E-5</v>
      </c>
      <c r="AN231" s="137">
        <f>Transportation_LCIA!R$61*($W231^Transportation_LCIA!R$60)+Transportation_LCIA!R$62</f>
        <v>2.5514127020322938E-4</v>
      </c>
      <c r="AO231" s="137">
        <f>Transportation_LCIA!S$61*($W231^Transportation_LCIA!S$60)+Transportation_LCIA!S$62</f>
        <v>3.8783860959247568E-6</v>
      </c>
      <c r="AP231" s="137">
        <f>Transportation_LCIA!T$61*($W231^Transportation_LCIA!T$60)+Transportation_LCIA!T$62</f>
        <v>3.8783860959247568E-6</v>
      </c>
      <c r="AQ231" s="137">
        <f>Transportation_LCIA!U$61*($W231^Transportation_LCIA!U$60)+Transportation_LCIA!U$62</f>
        <v>5.4626084877506024E-4</v>
      </c>
      <c r="AR231" s="137">
        <f>Transportation_LCIA!V$61*($W231^Transportation_LCIA!V$60)+Transportation_LCIA!V$62</f>
        <v>2.2399696718994122E-4</v>
      </c>
      <c r="AT231" s="137">
        <f>$W231*Y231+$L231*Summary_LCIA!H$32</f>
        <v>265.50450238137427</v>
      </c>
      <c r="AU231" s="137">
        <f>$W231*Z231+$L231*Summary_LCIA!Q$32</f>
        <v>2747.5469195828236</v>
      </c>
      <c r="AV231" s="137">
        <f>$W231*AA231+$L231*Summary_LCIA!R$32</f>
        <v>1.3409670392817805</v>
      </c>
      <c r="AW231" s="137">
        <f>$W231*AB231+$L231*Summary_LCIA!S$32</f>
        <v>265.38178550137428</v>
      </c>
      <c r="AX231" s="137">
        <f>$W231*AC231+$L231*Summary_LCIA!T$32</f>
        <v>64.095792341873121</v>
      </c>
      <c r="AY231" s="137">
        <f>$W231*AD231+$L231*Summary_LCIA!U$32</f>
        <v>0.78926466888969027</v>
      </c>
      <c r="AZ231" s="137">
        <f>$W231*AE231+$L231*Summary_LCIA!V$32</f>
        <v>7.4635231354330828E-3</v>
      </c>
      <c r="BA231" s="137">
        <f>$W231*AF231+$L231*Summary_LCIA!W$32</f>
        <v>11.216236769758517</v>
      </c>
      <c r="BB231" s="137">
        <f>$W231*AG231+$L231*Summary_LCIA!X$32</f>
        <v>13.523223658847716</v>
      </c>
      <c r="BC231" s="137">
        <f>$W231*AH231+$L231*Summary_LCIA!Y$32</f>
        <v>0.68411182542270588</v>
      </c>
      <c r="BD231" s="137">
        <f>$W231*AI231+$L231*Summary_LCIA!Z$32</f>
        <v>0.2673792102068755</v>
      </c>
      <c r="BE231" s="137">
        <f>$W231*AJ231+$L231*Summary_LCIA!AA$32</f>
        <v>1.6983862733134281</v>
      </c>
      <c r="BF231" s="137">
        <f>$W231*AK231+$L231*Summary_LCIA!AB$32</f>
        <v>6.3873332461291982E-2</v>
      </c>
      <c r="BG231" s="137">
        <f>$W231*AL231+$L231*Summary_LCIA!AC$32</f>
        <v>3.255306778380488E-5</v>
      </c>
      <c r="BH231" s="137">
        <f>$W231*AM231+$L231*Summary_LCIA!AD$32</f>
        <v>0.11109396399983171</v>
      </c>
      <c r="BI231" s="137">
        <f>$W231*AN231+$L231*Summary_LCIA!AE$32</f>
        <v>0.31989137823920166</v>
      </c>
      <c r="BJ231" s="137">
        <f>$W231*AO231+$L231*Summary_LCIA!AF$32</f>
        <v>2.7960907990075161E-2</v>
      </c>
      <c r="BK231" s="137">
        <f>$W231*AP231+$L231*Summary_LCIA!AG$32</f>
        <v>5.909212170075161E-3</v>
      </c>
      <c r="BL231" s="137">
        <f>$W231*AQ231+$L231*Summary_LCIA!AH$32</f>
        <v>0.8738641327784058</v>
      </c>
      <c r="BM231" s="137">
        <f>$W231*AR231+$L231*Summary_LCIA!AI$32</f>
        <v>0.28510742381848797</v>
      </c>
    </row>
    <row r="232" spans="1:65" x14ac:dyDescent="0.25">
      <c r="A232" s="149">
        <v>109</v>
      </c>
      <c r="B232" s="149">
        <v>43</v>
      </c>
      <c r="C232" s="61">
        <v>42.050626999999999</v>
      </c>
      <c r="D232" s="61">
        <v>-87.679727</v>
      </c>
      <c r="E232" s="61" t="s">
        <v>265</v>
      </c>
      <c r="F232" s="149">
        <v>6</v>
      </c>
      <c r="G232" s="61" t="s">
        <v>565</v>
      </c>
      <c r="H232" s="61" t="s">
        <v>673</v>
      </c>
      <c r="I232" s="61">
        <v>41.98028</v>
      </c>
      <c r="J232" s="61">
        <v>-87.908997999999997</v>
      </c>
      <c r="K232" s="61">
        <v>22.71590222</v>
      </c>
      <c r="L232" s="61">
        <v>27.763999999999999</v>
      </c>
      <c r="M232" s="61" t="s">
        <v>617</v>
      </c>
      <c r="N232" s="149">
        <v>42</v>
      </c>
      <c r="O232" s="149">
        <v>43</v>
      </c>
      <c r="P232" s="61" t="s">
        <v>565</v>
      </c>
      <c r="Q232" s="61" t="s">
        <v>555</v>
      </c>
      <c r="R232" s="61">
        <v>40.6895314</v>
      </c>
      <c r="S232" s="61">
        <v>-74.174462399999996</v>
      </c>
      <c r="T232" s="61">
        <v>1296.431</v>
      </c>
      <c r="U232" s="61" t="s">
        <v>617</v>
      </c>
      <c r="V232" s="61" t="s">
        <v>569</v>
      </c>
      <c r="W232" s="61" cm="1">
        <f t="array" ref="W232">getDistance(I232,J232,R232,S232)*SA!$B$12</f>
        <v>1157.3543734574703</v>
      </c>
      <c r="Y232" s="137">
        <f>Transportation_LCIA!C$61*($W232^Transportation_LCIA!C$60)+Transportation_LCIA!C$62</f>
        <v>0.22125487322987525</v>
      </c>
      <c r="Z232" s="137">
        <f>Transportation_LCIA!D$61*($W232^Transportation_LCIA!D$60)+Transportation_LCIA!D$62</f>
        <v>2.255097656532008</v>
      </c>
      <c r="AA232" s="137">
        <f>Transportation_LCIA!E$61*($W232^Transportation_LCIA!E$60)+Transportation_LCIA!E$62</f>
        <v>1.0323311064289898E-3</v>
      </c>
      <c r="AB232" s="137">
        <f>Transportation_LCIA!F$61*($W232^Transportation_LCIA!F$60)+Transportation_LCIA!F$62</f>
        <v>0.22125487322987525</v>
      </c>
      <c r="AC232" s="137">
        <f>Transportation_LCIA!G$61*($W232^Transportation_LCIA!G$60)+Transportation_LCIA!G$62</f>
        <v>5.2744889674118764E-2</v>
      </c>
      <c r="AD232" s="137">
        <f>Transportation_LCIA!H$61*($W232^Transportation_LCIA!H$60)+Transportation_LCIA!H$62</f>
        <v>2.5221347893443361E-4</v>
      </c>
      <c r="AE232" s="137">
        <f>Transportation_LCIA!I$61*($W232^Transportation_LCIA!I$60)+Transportation_LCIA!I$62</f>
        <v>5.3030315279303856E-6</v>
      </c>
      <c r="AF232" s="137">
        <f>Transportation_LCIA!J$61*($W232^Transportation_LCIA!J$60)+Transportation_LCIA!J$62</f>
        <v>7.8448002910598176E-3</v>
      </c>
      <c r="AG232" s="137">
        <f>Transportation_LCIA!K$61*($W232^Transportation_LCIA!K$60)+Transportation_LCIA!K$62</f>
        <v>1.1138126778177694E-2</v>
      </c>
      <c r="AH232" s="137">
        <f>Transportation_LCIA!L$61*($W232^Transportation_LCIA!L$60)+Transportation_LCIA!L$62</f>
        <v>2.1730006227167688E-4</v>
      </c>
      <c r="AI232" s="137">
        <f>Transportation_LCIA!M$61*($W232^Transportation_LCIA!M$60)+Transportation_LCIA!M$62</f>
        <v>2.300424506415529E-4</v>
      </c>
      <c r="AJ232" s="137">
        <f>Transportation_LCIA!N$61*($W232^Transportation_LCIA!N$60)+Transportation_LCIA!N$62</f>
        <v>9.0718133822476131E-4</v>
      </c>
      <c r="AK232" s="137">
        <f>Transportation_LCIA!O$61*($W232^Transportation_LCIA!O$60)+Transportation_LCIA!O$62</f>
        <v>5.5712604291343633E-5</v>
      </c>
      <c r="AL232" s="137">
        <f>Transportation_LCIA!P$61*($W232^Transportation_LCIA!P$60)+Transportation_LCIA!P$62</f>
        <v>2.6954451569237745E-8</v>
      </c>
      <c r="AM232" s="137">
        <f>Transportation_LCIA!Q$61*($W232^Transportation_LCIA!Q$60)+Transportation_LCIA!Q$62</f>
        <v>8.6129064464536507E-5</v>
      </c>
      <c r="AN232" s="137">
        <f>Transportation_LCIA!R$61*($W232^Transportation_LCIA!R$60)+Transportation_LCIA!R$62</f>
        <v>2.5514127020322938E-4</v>
      </c>
      <c r="AO232" s="137">
        <f>Transportation_LCIA!S$61*($W232^Transportation_LCIA!S$60)+Transportation_LCIA!S$62</f>
        <v>3.8783860959247568E-6</v>
      </c>
      <c r="AP232" s="137">
        <f>Transportation_LCIA!T$61*($W232^Transportation_LCIA!T$60)+Transportation_LCIA!T$62</f>
        <v>3.8783860959247568E-6</v>
      </c>
      <c r="AQ232" s="137">
        <f>Transportation_LCIA!U$61*($W232^Transportation_LCIA!U$60)+Transportation_LCIA!U$62</f>
        <v>5.4626084877506024E-4</v>
      </c>
      <c r="AR232" s="137">
        <f>Transportation_LCIA!V$61*($W232^Transportation_LCIA!V$60)+Transportation_LCIA!V$62</f>
        <v>2.2399696718994122E-4</v>
      </c>
      <c r="AT232" s="137">
        <f>$W232*Y232+$L232*Summary_LCIA!H$32</f>
        <v>265.50450238137427</v>
      </c>
      <c r="AU232" s="137">
        <f>$W232*Z232+$L232*Summary_LCIA!Q$32</f>
        <v>2747.5469195828236</v>
      </c>
      <c r="AV232" s="137">
        <f>$W232*AA232+$L232*Summary_LCIA!R$32</f>
        <v>1.3409670392817805</v>
      </c>
      <c r="AW232" s="137">
        <f>$W232*AB232+$L232*Summary_LCIA!S$32</f>
        <v>265.38178550137428</v>
      </c>
      <c r="AX232" s="137">
        <f>$W232*AC232+$L232*Summary_LCIA!T$32</f>
        <v>64.095792341873121</v>
      </c>
      <c r="AY232" s="137">
        <f>$W232*AD232+$L232*Summary_LCIA!U$32</f>
        <v>0.78926466888969027</v>
      </c>
      <c r="AZ232" s="137">
        <f>$W232*AE232+$L232*Summary_LCIA!V$32</f>
        <v>7.4635231354330828E-3</v>
      </c>
      <c r="BA232" s="137">
        <f>$W232*AF232+$L232*Summary_LCIA!W$32</f>
        <v>11.216236769758517</v>
      </c>
      <c r="BB232" s="137">
        <f>$W232*AG232+$L232*Summary_LCIA!X$32</f>
        <v>13.523223658847716</v>
      </c>
      <c r="BC232" s="137">
        <f>$W232*AH232+$L232*Summary_LCIA!Y$32</f>
        <v>0.68411182542270588</v>
      </c>
      <c r="BD232" s="137">
        <f>$W232*AI232+$L232*Summary_LCIA!Z$32</f>
        <v>0.2673792102068755</v>
      </c>
      <c r="BE232" s="137">
        <f>$W232*AJ232+$L232*Summary_LCIA!AA$32</f>
        <v>1.6983862733134281</v>
      </c>
      <c r="BF232" s="137">
        <f>$W232*AK232+$L232*Summary_LCIA!AB$32</f>
        <v>6.3873332461291982E-2</v>
      </c>
      <c r="BG232" s="137">
        <f>$W232*AL232+$L232*Summary_LCIA!AC$32</f>
        <v>3.255306778380488E-5</v>
      </c>
      <c r="BH232" s="137">
        <f>$W232*AM232+$L232*Summary_LCIA!AD$32</f>
        <v>0.11109396399983171</v>
      </c>
      <c r="BI232" s="137">
        <f>$W232*AN232+$L232*Summary_LCIA!AE$32</f>
        <v>0.31989137823920166</v>
      </c>
      <c r="BJ232" s="137">
        <f>$W232*AO232+$L232*Summary_LCIA!AF$32</f>
        <v>2.7960907990075161E-2</v>
      </c>
      <c r="BK232" s="137">
        <f>$W232*AP232+$L232*Summary_LCIA!AG$32</f>
        <v>5.909212170075161E-3</v>
      </c>
      <c r="BL232" s="137">
        <f>$W232*AQ232+$L232*Summary_LCIA!AH$32</f>
        <v>0.8738641327784058</v>
      </c>
      <c r="BM232" s="137">
        <f>$W232*AR232+$L232*Summary_LCIA!AI$32</f>
        <v>0.28510742381848797</v>
      </c>
    </row>
    <row r="233" spans="1:65" x14ac:dyDescent="0.25">
      <c r="A233" s="149">
        <v>110</v>
      </c>
      <c r="B233" s="149">
        <v>43</v>
      </c>
      <c r="C233" s="61">
        <v>42.050626999999999</v>
      </c>
      <c r="D233" s="61">
        <v>-87.679727</v>
      </c>
      <c r="E233" s="61" t="s">
        <v>265</v>
      </c>
      <c r="F233" s="149">
        <v>6</v>
      </c>
      <c r="G233" s="61" t="s">
        <v>565</v>
      </c>
      <c r="H233" s="61" t="s">
        <v>673</v>
      </c>
      <c r="I233" s="61">
        <v>41.98028</v>
      </c>
      <c r="J233" s="61">
        <v>-87.908997999999997</v>
      </c>
      <c r="K233" s="61">
        <v>22.71590222</v>
      </c>
      <c r="L233" s="61">
        <v>27.763999999999999</v>
      </c>
      <c r="M233" s="61" t="s">
        <v>617</v>
      </c>
      <c r="N233" s="149">
        <v>42</v>
      </c>
      <c r="O233" s="149">
        <v>43</v>
      </c>
      <c r="P233" s="61" t="s">
        <v>565</v>
      </c>
      <c r="Q233" s="61" t="s">
        <v>555</v>
      </c>
      <c r="R233" s="61">
        <v>40.6895314</v>
      </c>
      <c r="S233" s="61">
        <v>-74.174462399999996</v>
      </c>
      <c r="T233" s="61">
        <v>1296.431</v>
      </c>
      <c r="U233" s="61" t="s">
        <v>617</v>
      </c>
      <c r="V233" s="61" t="s">
        <v>569</v>
      </c>
      <c r="W233" s="61" cm="1">
        <f t="array" ref="W233">getDistance(I233,J233,R233,S233)*SA!$B$12</f>
        <v>1157.3543734574703</v>
      </c>
      <c r="Y233" s="137">
        <f>Transportation_LCIA!C$61*($W233^Transportation_LCIA!C$60)+Transportation_LCIA!C$62</f>
        <v>0.22125487322987525</v>
      </c>
      <c r="Z233" s="137">
        <f>Transportation_LCIA!D$61*($W233^Transportation_LCIA!D$60)+Transportation_LCIA!D$62</f>
        <v>2.255097656532008</v>
      </c>
      <c r="AA233" s="137">
        <f>Transportation_LCIA!E$61*($W233^Transportation_LCIA!E$60)+Transportation_LCIA!E$62</f>
        <v>1.0323311064289898E-3</v>
      </c>
      <c r="AB233" s="137">
        <f>Transportation_LCIA!F$61*($W233^Transportation_LCIA!F$60)+Transportation_LCIA!F$62</f>
        <v>0.22125487322987525</v>
      </c>
      <c r="AC233" s="137">
        <f>Transportation_LCIA!G$61*($W233^Transportation_LCIA!G$60)+Transportation_LCIA!G$62</f>
        <v>5.2744889674118764E-2</v>
      </c>
      <c r="AD233" s="137">
        <f>Transportation_LCIA!H$61*($W233^Transportation_LCIA!H$60)+Transportation_LCIA!H$62</f>
        <v>2.5221347893443361E-4</v>
      </c>
      <c r="AE233" s="137">
        <f>Transportation_LCIA!I$61*($W233^Transportation_LCIA!I$60)+Transportation_LCIA!I$62</f>
        <v>5.3030315279303856E-6</v>
      </c>
      <c r="AF233" s="137">
        <f>Transportation_LCIA!J$61*($W233^Transportation_LCIA!J$60)+Transportation_LCIA!J$62</f>
        <v>7.8448002910598176E-3</v>
      </c>
      <c r="AG233" s="137">
        <f>Transportation_LCIA!K$61*($W233^Transportation_LCIA!K$60)+Transportation_LCIA!K$62</f>
        <v>1.1138126778177694E-2</v>
      </c>
      <c r="AH233" s="137">
        <f>Transportation_LCIA!L$61*($W233^Transportation_LCIA!L$60)+Transportation_LCIA!L$62</f>
        <v>2.1730006227167688E-4</v>
      </c>
      <c r="AI233" s="137">
        <f>Transportation_LCIA!M$61*($W233^Transportation_LCIA!M$60)+Transportation_LCIA!M$62</f>
        <v>2.300424506415529E-4</v>
      </c>
      <c r="AJ233" s="137">
        <f>Transportation_LCIA!N$61*($W233^Transportation_LCIA!N$60)+Transportation_LCIA!N$62</f>
        <v>9.0718133822476131E-4</v>
      </c>
      <c r="AK233" s="137">
        <f>Transportation_LCIA!O$61*($W233^Transportation_LCIA!O$60)+Transportation_LCIA!O$62</f>
        <v>5.5712604291343633E-5</v>
      </c>
      <c r="AL233" s="137">
        <f>Transportation_LCIA!P$61*($W233^Transportation_LCIA!P$60)+Transportation_LCIA!P$62</f>
        <v>2.6954451569237745E-8</v>
      </c>
      <c r="AM233" s="137">
        <f>Transportation_LCIA!Q$61*($W233^Transportation_LCIA!Q$60)+Transportation_LCIA!Q$62</f>
        <v>8.6129064464536507E-5</v>
      </c>
      <c r="AN233" s="137">
        <f>Transportation_LCIA!R$61*($W233^Transportation_LCIA!R$60)+Transportation_LCIA!R$62</f>
        <v>2.5514127020322938E-4</v>
      </c>
      <c r="AO233" s="137">
        <f>Transportation_LCIA!S$61*($W233^Transportation_LCIA!S$60)+Transportation_LCIA!S$62</f>
        <v>3.8783860959247568E-6</v>
      </c>
      <c r="AP233" s="137">
        <f>Transportation_LCIA!T$61*($W233^Transportation_LCIA!T$60)+Transportation_LCIA!T$62</f>
        <v>3.8783860959247568E-6</v>
      </c>
      <c r="AQ233" s="137">
        <f>Transportation_LCIA!U$61*($W233^Transportation_LCIA!U$60)+Transportation_LCIA!U$62</f>
        <v>5.4626084877506024E-4</v>
      </c>
      <c r="AR233" s="137">
        <f>Transportation_LCIA!V$61*($W233^Transportation_LCIA!V$60)+Transportation_LCIA!V$62</f>
        <v>2.2399696718994122E-4</v>
      </c>
      <c r="AT233" s="137">
        <f>$W233*Y233+$L233*Summary_LCIA!H$32</f>
        <v>265.50450238137427</v>
      </c>
      <c r="AU233" s="137">
        <f>$W233*Z233+$L233*Summary_LCIA!Q$32</f>
        <v>2747.5469195828236</v>
      </c>
      <c r="AV233" s="137">
        <f>$W233*AA233+$L233*Summary_LCIA!R$32</f>
        <v>1.3409670392817805</v>
      </c>
      <c r="AW233" s="137">
        <f>$W233*AB233+$L233*Summary_LCIA!S$32</f>
        <v>265.38178550137428</v>
      </c>
      <c r="AX233" s="137">
        <f>$W233*AC233+$L233*Summary_LCIA!T$32</f>
        <v>64.095792341873121</v>
      </c>
      <c r="AY233" s="137">
        <f>$W233*AD233+$L233*Summary_LCIA!U$32</f>
        <v>0.78926466888969027</v>
      </c>
      <c r="AZ233" s="137">
        <f>$W233*AE233+$L233*Summary_LCIA!V$32</f>
        <v>7.4635231354330828E-3</v>
      </c>
      <c r="BA233" s="137">
        <f>$W233*AF233+$L233*Summary_LCIA!W$32</f>
        <v>11.216236769758517</v>
      </c>
      <c r="BB233" s="137">
        <f>$W233*AG233+$L233*Summary_LCIA!X$32</f>
        <v>13.523223658847716</v>
      </c>
      <c r="BC233" s="137">
        <f>$W233*AH233+$L233*Summary_LCIA!Y$32</f>
        <v>0.68411182542270588</v>
      </c>
      <c r="BD233" s="137">
        <f>$W233*AI233+$L233*Summary_LCIA!Z$32</f>
        <v>0.2673792102068755</v>
      </c>
      <c r="BE233" s="137">
        <f>$W233*AJ233+$L233*Summary_LCIA!AA$32</f>
        <v>1.6983862733134281</v>
      </c>
      <c r="BF233" s="137">
        <f>$W233*AK233+$L233*Summary_LCIA!AB$32</f>
        <v>6.3873332461291982E-2</v>
      </c>
      <c r="BG233" s="137">
        <f>$W233*AL233+$L233*Summary_LCIA!AC$32</f>
        <v>3.255306778380488E-5</v>
      </c>
      <c r="BH233" s="137">
        <f>$W233*AM233+$L233*Summary_LCIA!AD$32</f>
        <v>0.11109396399983171</v>
      </c>
      <c r="BI233" s="137">
        <f>$W233*AN233+$L233*Summary_LCIA!AE$32</f>
        <v>0.31989137823920166</v>
      </c>
      <c r="BJ233" s="137">
        <f>$W233*AO233+$L233*Summary_LCIA!AF$32</f>
        <v>2.7960907990075161E-2</v>
      </c>
      <c r="BK233" s="137">
        <f>$W233*AP233+$L233*Summary_LCIA!AG$32</f>
        <v>5.909212170075161E-3</v>
      </c>
      <c r="BL233" s="137">
        <f>$W233*AQ233+$L233*Summary_LCIA!AH$32</f>
        <v>0.8738641327784058</v>
      </c>
      <c r="BM233" s="137">
        <f>$W233*AR233+$L233*Summary_LCIA!AI$32</f>
        <v>0.28510742381848797</v>
      </c>
    </row>
    <row r="234" spans="1:65" x14ac:dyDescent="0.25">
      <c r="A234" s="149">
        <v>135</v>
      </c>
      <c r="B234" s="149">
        <v>43</v>
      </c>
      <c r="C234" s="61">
        <v>33.954258000000003</v>
      </c>
      <c r="D234" s="61">
        <v>-83.374932000000001</v>
      </c>
      <c r="E234" s="61" t="s">
        <v>265</v>
      </c>
      <c r="F234" s="149">
        <v>1</v>
      </c>
      <c r="G234" s="61" t="s">
        <v>565</v>
      </c>
      <c r="H234" s="61" t="s">
        <v>681</v>
      </c>
      <c r="I234" s="61">
        <v>33.640728000000003</v>
      </c>
      <c r="J234" s="61">
        <v>-84.427700000000002</v>
      </c>
      <c r="K234" s="61">
        <v>112.66856199999999</v>
      </c>
      <c r="L234" s="61">
        <v>131.636</v>
      </c>
      <c r="M234" s="61" t="s">
        <v>617</v>
      </c>
      <c r="N234" s="149">
        <v>42</v>
      </c>
      <c r="O234" s="149">
        <v>43</v>
      </c>
      <c r="P234" s="61" t="s">
        <v>565</v>
      </c>
      <c r="Q234" s="61" t="s">
        <v>555</v>
      </c>
      <c r="R234" s="61">
        <v>40.6895314</v>
      </c>
      <c r="S234" s="61">
        <v>-74.174462399999996</v>
      </c>
      <c r="T234" s="61">
        <v>1297.6679999999999</v>
      </c>
      <c r="U234" s="61" t="s">
        <v>617</v>
      </c>
      <c r="V234" s="61" t="s">
        <v>569</v>
      </c>
      <c r="W234" s="61" cm="1">
        <f t="array" ref="W234">getDistance(I234,J234,R234,S234)*SA!$B$12</f>
        <v>1200.1119738435468</v>
      </c>
      <c r="Y234" s="137">
        <f>Transportation_LCIA!C$61*($W234^Transportation_LCIA!C$60)+Transportation_LCIA!C$62</f>
        <v>0.21797654934237359</v>
      </c>
      <c r="Z234" s="137">
        <f>Transportation_LCIA!D$61*($W234^Transportation_LCIA!D$60)+Transportation_LCIA!D$62</f>
        <v>2.2171187217182675</v>
      </c>
      <c r="AA234" s="137">
        <f>Transportation_LCIA!E$61*($W234^Transportation_LCIA!E$60)+Transportation_LCIA!E$62</f>
        <v>1.0074118451307481E-3</v>
      </c>
      <c r="AB234" s="137">
        <f>Transportation_LCIA!F$61*($W234^Transportation_LCIA!F$60)+Transportation_LCIA!F$62</f>
        <v>0.21797654934237359</v>
      </c>
      <c r="AC234" s="137">
        <f>Transportation_LCIA!G$61*($W234^Transportation_LCIA!G$60)+Transportation_LCIA!G$62</f>
        <v>5.1865842977847243E-2</v>
      </c>
      <c r="AD234" s="137">
        <f>Transportation_LCIA!H$61*($W234^Transportation_LCIA!H$60)+Transportation_LCIA!H$62</f>
        <v>2.4675648508540071E-4</v>
      </c>
      <c r="AE234" s="137">
        <f>Transportation_LCIA!I$61*($W234^Transportation_LCIA!I$60)+Transportation_LCIA!I$62</f>
        <v>5.1665566900725128E-6</v>
      </c>
      <c r="AF234" s="137">
        <f>Transportation_LCIA!J$61*($W234^Transportation_LCIA!J$60)+Transportation_LCIA!J$62</f>
        <v>7.6424211504113075E-3</v>
      </c>
      <c r="AG234" s="137">
        <f>Transportation_LCIA!K$61*($W234^Transportation_LCIA!K$60)+Transportation_LCIA!K$62</f>
        <v>1.0933686124837293E-2</v>
      </c>
      <c r="AH234" s="137">
        <f>Transportation_LCIA!L$61*($W234^Transportation_LCIA!L$60)+Transportation_LCIA!L$62</f>
        <v>2.1229259199052167E-4</v>
      </c>
      <c r="AI234" s="137">
        <f>Transportation_LCIA!M$61*($W234^Transportation_LCIA!M$60)+Transportation_LCIA!M$62</f>
        <v>2.2703145242715102E-4</v>
      </c>
      <c r="AJ234" s="137">
        <f>Transportation_LCIA!N$61*($W234^Transportation_LCIA!N$60)+Transportation_LCIA!N$62</f>
        <v>8.8882446654328976E-4</v>
      </c>
      <c r="AK234" s="137">
        <f>Transportation_LCIA!O$61*($W234^Transportation_LCIA!O$60)+Transportation_LCIA!O$62</f>
        <v>5.477869205552474E-5</v>
      </c>
      <c r="AL234" s="137">
        <f>Transportation_LCIA!P$61*($W234^Transportation_LCIA!P$60)+Transportation_LCIA!P$62</f>
        <v>2.6505191873615325E-8</v>
      </c>
      <c r="AM234" s="137">
        <f>Transportation_LCIA!Q$61*($W234^Transportation_LCIA!Q$60)+Transportation_LCIA!Q$62</f>
        <v>8.4173105652841722E-5</v>
      </c>
      <c r="AN234" s="137">
        <f>Transportation_LCIA!R$61*($W234^Transportation_LCIA!R$60)+Transportation_LCIA!R$62</f>
        <v>2.4859793390201158E-4</v>
      </c>
      <c r="AO234" s="137">
        <f>Transportation_LCIA!S$61*($W234^Transportation_LCIA!S$60)+Transportation_LCIA!S$62</f>
        <v>3.7854950252772454E-6</v>
      </c>
      <c r="AP234" s="137">
        <f>Transportation_LCIA!T$61*($W234^Transportation_LCIA!T$60)+Transportation_LCIA!T$62</f>
        <v>3.7854950252772454E-6</v>
      </c>
      <c r="AQ234" s="137">
        <f>Transportation_LCIA!U$61*($W234^Transportation_LCIA!U$60)+Transportation_LCIA!U$62</f>
        <v>5.3192902227867434E-4</v>
      </c>
      <c r="AR234" s="137">
        <f>Transportation_LCIA!V$61*($W234^Transportation_LCIA!V$60)+Transportation_LCIA!V$62</f>
        <v>2.1891514780928193E-4</v>
      </c>
      <c r="AT234" s="137">
        <f>$W234*Y234+$L234*Summary_LCIA!H$32</f>
        <v>306.32617968288127</v>
      </c>
      <c r="AU234" s="137">
        <f>$W234*Z234+$L234*Summary_LCIA!Q$32</f>
        <v>3313.1853801651791</v>
      </c>
      <c r="AV234" s="137">
        <f>$W234*AA234+$L234*Summary_LCIA!R$32</f>
        <v>1.9021495395332315</v>
      </c>
      <c r="AW234" s="137">
        <f>$W234*AB234+$L234*Summary_LCIA!S$32</f>
        <v>305.74434856288127</v>
      </c>
      <c r="AX234" s="137">
        <f>$W234*AC234+$L234*Summary_LCIA!T$32</f>
        <v>76.711615591203724</v>
      </c>
      <c r="AY234" s="137">
        <f>$W234*AD234+$L234*Summary_LCIA!U$32</f>
        <v>2.6542627163745358</v>
      </c>
      <c r="AZ234" s="137">
        <f>$W234*AE234+$L234*Summary_LCIA!V$32</f>
        <v>1.2487513543297505E-2</v>
      </c>
      <c r="BA234" s="137">
        <f>$W234*AF234+$L234*Summary_LCIA!W$32</f>
        <v>19.303915687763784</v>
      </c>
      <c r="BB234" s="137">
        <f>$W234*AG234+$L234*Summary_LCIA!X$32</f>
        <v>16.120315716664283</v>
      </c>
      <c r="BC234" s="137">
        <f>$W234*AH234+$L234*Summary_LCIA!Y$32</f>
        <v>2.3059270336061077</v>
      </c>
      <c r="BD234" s="137">
        <f>$W234*AI234+$L234*Summary_LCIA!Z$32</f>
        <v>0.2778614252209155</v>
      </c>
      <c r="BE234" s="137">
        <f>$W234*AJ234+$L234*Summary_LCIA!AA$32</f>
        <v>4.1411793009437048</v>
      </c>
      <c r="BF234" s="137">
        <f>$W234*AK234+$L234*Summary_LCIA!AB$32</f>
        <v>6.2867871819323601E-2</v>
      </c>
      <c r="BG234" s="137">
        <f>$W234*AL234+$L234*Summary_LCIA!AC$32</f>
        <v>3.8244092360546425E-5</v>
      </c>
      <c r="BH234" s="137">
        <f>$W234*AM234+$L234*Summary_LCIA!AD$32</f>
        <v>0.15512481340957329</v>
      </c>
      <c r="BI234" s="137">
        <f>$W234*AN234+$L234*Summary_LCIA!AE$32</f>
        <v>0.41499196582857067</v>
      </c>
      <c r="BJ234" s="137">
        <f>$W234*AO234+$L234*Summary_LCIA!AF$32</f>
        <v>0.11583072502676039</v>
      </c>
      <c r="BK234" s="137">
        <f>$W234*AP234+$L234*Summary_LCIA!AG$32</f>
        <v>1.1278173846760402E-2</v>
      </c>
      <c r="BL234" s="137">
        <f>$W234*AQ234+$L234*Summary_LCIA!AH$32</f>
        <v>1.784081478471528</v>
      </c>
      <c r="BM234" s="137">
        <f>$W234*AR234+$L234*Summary_LCIA!AI$32</f>
        <v>0.38534820594164909</v>
      </c>
    </row>
    <row r="235" spans="1:65" x14ac:dyDescent="0.25">
      <c r="A235" s="149">
        <v>136</v>
      </c>
      <c r="B235" s="149">
        <v>43</v>
      </c>
      <c r="C235" s="61">
        <v>33.954258000000003</v>
      </c>
      <c r="D235" s="61">
        <v>-83.374932000000001</v>
      </c>
      <c r="E235" s="61" t="s">
        <v>265</v>
      </c>
      <c r="F235" s="149">
        <v>1</v>
      </c>
      <c r="G235" s="61" t="s">
        <v>565</v>
      </c>
      <c r="H235" s="61" t="s">
        <v>681</v>
      </c>
      <c r="I235" s="61">
        <v>33.640728000000003</v>
      </c>
      <c r="J235" s="61">
        <v>-84.427700000000002</v>
      </c>
      <c r="K235" s="61">
        <v>112.66856199999999</v>
      </c>
      <c r="L235" s="61">
        <v>131.636</v>
      </c>
      <c r="M235" s="61" t="s">
        <v>617</v>
      </c>
      <c r="N235" s="149">
        <v>42</v>
      </c>
      <c r="O235" s="149">
        <v>43</v>
      </c>
      <c r="P235" s="61" t="s">
        <v>565</v>
      </c>
      <c r="Q235" s="61" t="s">
        <v>555</v>
      </c>
      <c r="R235" s="61">
        <v>40.6895314</v>
      </c>
      <c r="S235" s="61">
        <v>-74.174462399999996</v>
      </c>
      <c r="T235" s="61">
        <v>1297.6679999999999</v>
      </c>
      <c r="U235" s="61" t="s">
        <v>617</v>
      </c>
      <c r="V235" s="61" t="s">
        <v>569</v>
      </c>
      <c r="W235" s="61" cm="1">
        <f t="array" ref="W235">getDistance(I235,J235,R235,S235)*SA!$B$12</f>
        <v>1200.1119738435468</v>
      </c>
      <c r="Y235" s="137">
        <f>Transportation_LCIA!C$61*($W235^Transportation_LCIA!C$60)+Transportation_LCIA!C$62</f>
        <v>0.21797654934237359</v>
      </c>
      <c r="Z235" s="137">
        <f>Transportation_LCIA!D$61*($W235^Transportation_LCIA!D$60)+Transportation_LCIA!D$62</f>
        <v>2.2171187217182675</v>
      </c>
      <c r="AA235" s="137">
        <f>Transportation_LCIA!E$61*($W235^Transportation_LCIA!E$60)+Transportation_LCIA!E$62</f>
        <v>1.0074118451307481E-3</v>
      </c>
      <c r="AB235" s="137">
        <f>Transportation_LCIA!F$61*($W235^Transportation_LCIA!F$60)+Transportation_LCIA!F$62</f>
        <v>0.21797654934237359</v>
      </c>
      <c r="AC235" s="137">
        <f>Transportation_LCIA!G$61*($W235^Transportation_LCIA!G$60)+Transportation_LCIA!G$62</f>
        <v>5.1865842977847243E-2</v>
      </c>
      <c r="AD235" s="137">
        <f>Transportation_LCIA!H$61*($W235^Transportation_LCIA!H$60)+Transportation_LCIA!H$62</f>
        <v>2.4675648508540071E-4</v>
      </c>
      <c r="AE235" s="137">
        <f>Transportation_LCIA!I$61*($W235^Transportation_LCIA!I$60)+Transportation_LCIA!I$62</f>
        <v>5.1665566900725128E-6</v>
      </c>
      <c r="AF235" s="137">
        <f>Transportation_LCIA!J$61*($W235^Transportation_LCIA!J$60)+Transportation_LCIA!J$62</f>
        <v>7.6424211504113075E-3</v>
      </c>
      <c r="AG235" s="137">
        <f>Transportation_LCIA!K$61*($W235^Transportation_LCIA!K$60)+Transportation_LCIA!K$62</f>
        <v>1.0933686124837293E-2</v>
      </c>
      <c r="AH235" s="137">
        <f>Transportation_LCIA!L$61*($W235^Transportation_LCIA!L$60)+Transportation_LCIA!L$62</f>
        <v>2.1229259199052167E-4</v>
      </c>
      <c r="AI235" s="137">
        <f>Transportation_LCIA!M$61*($W235^Transportation_LCIA!M$60)+Transportation_LCIA!M$62</f>
        <v>2.2703145242715102E-4</v>
      </c>
      <c r="AJ235" s="137">
        <f>Transportation_LCIA!N$61*($W235^Transportation_LCIA!N$60)+Transportation_LCIA!N$62</f>
        <v>8.8882446654328976E-4</v>
      </c>
      <c r="AK235" s="137">
        <f>Transportation_LCIA!O$61*($W235^Transportation_LCIA!O$60)+Transportation_LCIA!O$62</f>
        <v>5.477869205552474E-5</v>
      </c>
      <c r="AL235" s="137">
        <f>Transportation_LCIA!P$61*($W235^Transportation_LCIA!P$60)+Transportation_LCIA!P$62</f>
        <v>2.6505191873615325E-8</v>
      </c>
      <c r="AM235" s="137">
        <f>Transportation_LCIA!Q$61*($W235^Transportation_LCIA!Q$60)+Transportation_LCIA!Q$62</f>
        <v>8.4173105652841722E-5</v>
      </c>
      <c r="AN235" s="137">
        <f>Transportation_LCIA!R$61*($W235^Transportation_LCIA!R$60)+Transportation_LCIA!R$62</f>
        <v>2.4859793390201158E-4</v>
      </c>
      <c r="AO235" s="137">
        <f>Transportation_LCIA!S$61*($W235^Transportation_LCIA!S$60)+Transportation_LCIA!S$62</f>
        <v>3.7854950252772454E-6</v>
      </c>
      <c r="AP235" s="137">
        <f>Transportation_LCIA!T$61*($W235^Transportation_LCIA!T$60)+Transportation_LCIA!T$62</f>
        <v>3.7854950252772454E-6</v>
      </c>
      <c r="AQ235" s="137">
        <f>Transportation_LCIA!U$61*($W235^Transportation_LCIA!U$60)+Transportation_LCIA!U$62</f>
        <v>5.3192902227867434E-4</v>
      </c>
      <c r="AR235" s="137">
        <f>Transportation_LCIA!V$61*($W235^Transportation_LCIA!V$60)+Transportation_LCIA!V$62</f>
        <v>2.1891514780928193E-4</v>
      </c>
      <c r="AT235" s="137">
        <f>$W235*Y235+$L235*Summary_LCIA!H$32</f>
        <v>306.32617968288127</v>
      </c>
      <c r="AU235" s="137">
        <f>$W235*Z235+$L235*Summary_LCIA!Q$32</f>
        <v>3313.1853801651791</v>
      </c>
      <c r="AV235" s="137">
        <f>$W235*AA235+$L235*Summary_LCIA!R$32</f>
        <v>1.9021495395332315</v>
      </c>
      <c r="AW235" s="137">
        <f>$W235*AB235+$L235*Summary_LCIA!S$32</f>
        <v>305.74434856288127</v>
      </c>
      <c r="AX235" s="137">
        <f>$W235*AC235+$L235*Summary_LCIA!T$32</f>
        <v>76.711615591203724</v>
      </c>
      <c r="AY235" s="137">
        <f>$W235*AD235+$L235*Summary_LCIA!U$32</f>
        <v>2.6542627163745358</v>
      </c>
      <c r="AZ235" s="137">
        <f>$W235*AE235+$L235*Summary_LCIA!V$32</f>
        <v>1.2487513543297505E-2</v>
      </c>
      <c r="BA235" s="137">
        <f>$W235*AF235+$L235*Summary_LCIA!W$32</f>
        <v>19.303915687763784</v>
      </c>
      <c r="BB235" s="137">
        <f>$W235*AG235+$L235*Summary_LCIA!X$32</f>
        <v>16.120315716664283</v>
      </c>
      <c r="BC235" s="137">
        <f>$W235*AH235+$L235*Summary_LCIA!Y$32</f>
        <v>2.3059270336061077</v>
      </c>
      <c r="BD235" s="137">
        <f>$W235*AI235+$L235*Summary_LCIA!Z$32</f>
        <v>0.2778614252209155</v>
      </c>
      <c r="BE235" s="137">
        <f>$W235*AJ235+$L235*Summary_LCIA!AA$32</f>
        <v>4.1411793009437048</v>
      </c>
      <c r="BF235" s="137">
        <f>$W235*AK235+$L235*Summary_LCIA!AB$32</f>
        <v>6.2867871819323601E-2</v>
      </c>
      <c r="BG235" s="137">
        <f>$W235*AL235+$L235*Summary_LCIA!AC$32</f>
        <v>3.8244092360546425E-5</v>
      </c>
      <c r="BH235" s="137">
        <f>$W235*AM235+$L235*Summary_LCIA!AD$32</f>
        <v>0.15512481340957329</v>
      </c>
      <c r="BI235" s="137">
        <f>$W235*AN235+$L235*Summary_LCIA!AE$32</f>
        <v>0.41499196582857067</v>
      </c>
      <c r="BJ235" s="137">
        <f>$W235*AO235+$L235*Summary_LCIA!AF$32</f>
        <v>0.11583072502676039</v>
      </c>
      <c r="BK235" s="137">
        <f>$W235*AP235+$L235*Summary_LCIA!AG$32</f>
        <v>1.1278173846760402E-2</v>
      </c>
      <c r="BL235" s="137">
        <f>$W235*AQ235+$L235*Summary_LCIA!AH$32</f>
        <v>1.784081478471528</v>
      </c>
      <c r="BM235" s="137">
        <f>$W235*AR235+$L235*Summary_LCIA!AI$32</f>
        <v>0.38534820594164909</v>
      </c>
    </row>
    <row r="236" spans="1:65" x14ac:dyDescent="0.25">
      <c r="A236" s="149">
        <v>189</v>
      </c>
      <c r="B236" s="149">
        <v>43</v>
      </c>
      <c r="C236" s="61">
        <v>35.045630000000003</v>
      </c>
      <c r="D236" s="61">
        <v>-85.30968</v>
      </c>
      <c r="E236" s="61" t="s">
        <v>265</v>
      </c>
      <c r="F236" s="149">
        <v>91</v>
      </c>
      <c r="G236" s="61" t="s">
        <v>618</v>
      </c>
      <c r="H236" s="61" t="s">
        <v>619</v>
      </c>
      <c r="I236" s="61">
        <v>36.126317</v>
      </c>
      <c r="J236" s="61">
        <v>-86.677370999999994</v>
      </c>
      <c r="K236" s="61">
        <v>216.8818096</v>
      </c>
      <c r="L236" s="61">
        <v>207.744</v>
      </c>
      <c r="M236" s="61" t="s">
        <v>617</v>
      </c>
      <c r="N236" s="149">
        <v>42</v>
      </c>
      <c r="O236" s="149">
        <v>43</v>
      </c>
      <c r="P236" s="61" t="s">
        <v>565</v>
      </c>
      <c r="Q236" s="61" t="s">
        <v>555</v>
      </c>
      <c r="R236" s="61">
        <v>40.6895314</v>
      </c>
      <c r="S236" s="61">
        <v>-74.174462399999996</v>
      </c>
      <c r="T236" s="61">
        <v>1298.8050000000001</v>
      </c>
      <c r="U236" s="61" t="s">
        <v>617</v>
      </c>
      <c r="V236" s="61" t="s">
        <v>569</v>
      </c>
      <c r="W236" s="61" cm="1">
        <f t="array" ref="W236">getDistance(I236,J236,R236,S236)*SA!$B$12</f>
        <v>1202.7354215707494</v>
      </c>
      <c r="Y236" s="137">
        <f>Transportation_LCIA!C$61*($W236^Transportation_LCIA!C$60)+Transportation_LCIA!C$62</f>
        <v>0.21778238902728675</v>
      </c>
      <c r="Z236" s="137">
        <f>Transportation_LCIA!D$61*($W236^Transportation_LCIA!D$60)+Transportation_LCIA!D$62</f>
        <v>2.2148712873372127</v>
      </c>
      <c r="AA236" s="137">
        <f>Transportation_LCIA!E$61*($W236^Transportation_LCIA!E$60)+Transportation_LCIA!E$62</f>
        <v>1.0059375752641991E-3</v>
      </c>
      <c r="AB236" s="137">
        <f>Transportation_LCIA!F$61*($W236^Transportation_LCIA!F$60)+Transportation_LCIA!F$62</f>
        <v>0.21778238902728675</v>
      </c>
      <c r="AC236" s="137">
        <f>Transportation_LCIA!G$61*($W236^Transportation_LCIA!G$60)+Transportation_LCIA!G$62</f>
        <v>5.1813822128434044E-2</v>
      </c>
      <c r="AD236" s="137">
        <f>Transportation_LCIA!H$61*($W236^Transportation_LCIA!H$60)+Transportation_LCIA!H$62</f>
        <v>2.4643378955108982E-4</v>
      </c>
      <c r="AE236" s="137">
        <f>Transportation_LCIA!I$61*($W236^Transportation_LCIA!I$60)+Transportation_LCIA!I$62</f>
        <v>5.1584924000390383E-6</v>
      </c>
      <c r="AF236" s="137">
        <f>Transportation_LCIA!J$61*($W236^Transportation_LCIA!J$60)+Transportation_LCIA!J$62</f>
        <v>7.6304684421367149E-3</v>
      </c>
      <c r="AG236" s="137">
        <f>Transportation_LCIA!K$61*($W236^Transportation_LCIA!K$60)+Transportation_LCIA!K$62</f>
        <v>1.0921592718286539E-2</v>
      </c>
      <c r="AH236" s="137">
        <f>Transportation_LCIA!L$61*($W236^Transportation_LCIA!L$60)+Transportation_LCIA!L$62</f>
        <v>2.1199654199064683E-4</v>
      </c>
      <c r="AI236" s="137">
        <f>Transportation_LCIA!M$61*($W236^Transportation_LCIA!M$60)+Transportation_LCIA!M$62</f>
        <v>2.2685340366208163E-4</v>
      </c>
      <c r="AJ236" s="137">
        <f>Transportation_LCIA!N$61*($W236^Transportation_LCIA!N$60)+Transportation_LCIA!N$62</f>
        <v>8.8773888097049827E-4</v>
      </c>
      <c r="AK236" s="137">
        <f>Transportation_LCIA!O$61*($W236^Transportation_LCIA!O$60)+Transportation_LCIA!O$62</f>
        <v>5.4723425608569314E-5</v>
      </c>
      <c r="AL236" s="137">
        <f>Transportation_LCIA!P$61*($W236^Transportation_LCIA!P$60)+Transportation_LCIA!P$62</f>
        <v>2.6478604218232485E-8</v>
      </c>
      <c r="AM236" s="137">
        <f>Transportation_LCIA!Q$61*($W236^Transportation_LCIA!Q$60)+Transportation_LCIA!Q$62</f>
        <v>8.4057479409382782E-5</v>
      </c>
      <c r="AN236" s="137">
        <f>Transportation_LCIA!R$61*($W236^Transportation_LCIA!R$60)+Transportation_LCIA!R$62</f>
        <v>2.4821129556246402E-4</v>
      </c>
      <c r="AO236" s="137">
        <f>Transportation_LCIA!S$61*($W236^Transportation_LCIA!S$60)+Transportation_LCIA!S$62</f>
        <v>3.7800060125446659E-6</v>
      </c>
      <c r="AP236" s="137">
        <f>Transportation_LCIA!T$61*($W236^Transportation_LCIA!T$60)+Transportation_LCIA!T$62</f>
        <v>3.7800060125446659E-6</v>
      </c>
      <c r="AQ236" s="137">
        <f>Transportation_LCIA!U$61*($W236^Transportation_LCIA!U$60)+Transportation_LCIA!U$62</f>
        <v>5.3108229142320587E-4</v>
      </c>
      <c r="AR236" s="137">
        <f>Transportation_LCIA!V$61*($W236^Transportation_LCIA!V$60)+Transportation_LCIA!V$62</f>
        <v>2.186147813213054E-4</v>
      </c>
      <c r="AT236" s="137">
        <f>$W236*Y236+$L236*Summary_LCIA!H$32</f>
        <v>332.52600467741865</v>
      </c>
      <c r="AU236" s="137">
        <f>$W236*Z236+$L236*Summary_LCIA!Q$32</f>
        <v>3693.4938926536229</v>
      </c>
      <c r="AV236" s="137">
        <f>$W236*AA236+$L236*Summary_LCIA!R$32</f>
        <v>2.3037735600592439</v>
      </c>
      <c r="AW236" s="137">
        <f>$W236*AB236+$L236*Summary_LCIA!S$32</f>
        <v>331.60777619741867</v>
      </c>
      <c r="AX236" s="137">
        <f>$W236*AC236+$L236*Summary_LCIA!T$32</f>
        <v>85.149384800833943</v>
      </c>
      <c r="AY236" s="137">
        <f>$W236*AD236+$L236*Summary_LCIA!U$32</f>
        <v>4.0179206637650076</v>
      </c>
      <c r="AZ236" s="137">
        <f>$W236*AE236+$L236*Summary_LCIA!V$32</f>
        <v>1.612636271543046E-2</v>
      </c>
      <c r="BA236" s="137">
        <f>$W236*AF236+$L236*Summary_LCIA!W$32</f>
        <v>25.167698102535603</v>
      </c>
      <c r="BB236" s="137">
        <f>$W236*AG236+$L236*Summary_LCIA!X$32</f>
        <v>17.868194742252388</v>
      </c>
      <c r="BC236" s="137">
        <f>$W236*AH236+$L236*Summary_LCIA!Y$32</f>
        <v>3.4920427583026616</v>
      </c>
      <c r="BD236" s="137">
        <f>$W236*AI236+$L236*Summary_LCIA!Z$32</f>
        <v>0.28136399778427312</v>
      </c>
      <c r="BE236" s="137">
        <f>$W236*AJ236+$L236*Summary_LCIA!AA$32</f>
        <v>5.9197838612487974</v>
      </c>
      <c r="BF236" s="137">
        <f>$W236*AK236+$L236*Summary_LCIA!AB$32</f>
        <v>6.1284205057118159E-2</v>
      </c>
      <c r="BG236" s="137">
        <f>$W236*AL236+$L236*Summary_LCIA!AC$32</f>
        <v>4.2002112903020871E-5</v>
      </c>
      <c r="BH236" s="137">
        <f>$W236*AM236+$L236*Summary_LCIA!AD$32</f>
        <v>0.18649000169361857</v>
      </c>
      <c r="BI236" s="137">
        <f>$W236*AN236+$L236*Summary_LCIA!AE$32</f>
        <v>0.48262070792694201</v>
      </c>
      <c r="BJ236" s="137">
        <f>$W236*AO236+$L236*Summary_LCIA!AF$32</f>
        <v>0.18017727960503788</v>
      </c>
      <c r="BK236" s="137">
        <f>$W236*AP236+$L236*Summary_LCIA!AG$32</f>
        <v>1.5175568885037877E-2</v>
      </c>
      <c r="BL236" s="137">
        <f>$W236*AQ236+$L236*Summary_LCIA!AH$32</f>
        <v>2.4468721620636491</v>
      </c>
      <c r="BM236" s="137">
        <f>$W236*AR236+$L236*Summary_LCIA!AI$32</f>
        <v>0.45645966437407742</v>
      </c>
    </row>
    <row r="237" spans="1:65" x14ac:dyDescent="0.25">
      <c r="A237" s="149">
        <v>190</v>
      </c>
      <c r="B237" s="149">
        <v>43</v>
      </c>
      <c r="C237" s="61">
        <v>35.045630000000003</v>
      </c>
      <c r="D237" s="61">
        <v>-85.30968</v>
      </c>
      <c r="E237" s="61" t="s">
        <v>265</v>
      </c>
      <c r="F237" s="149">
        <v>91</v>
      </c>
      <c r="G237" s="61" t="s">
        <v>618</v>
      </c>
      <c r="H237" s="61" t="s">
        <v>619</v>
      </c>
      <c r="I237" s="61">
        <v>36.126317</v>
      </c>
      <c r="J237" s="61">
        <v>-86.677370999999994</v>
      </c>
      <c r="K237" s="61">
        <v>216.8818096</v>
      </c>
      <c r="L237" s="61">
        <v>207.744</v>
      </c>
      <c r="M237" s="61" t="s">
        <v>617</v>
      </c>
      <c r="N237" s="149">
        <v>42</v>
      </c>
      <c r="O237" s="149">
        <v>43</v>
      </c>
      <c r="P237" s="61" t="s">
        <v>565</v>
      </c>
      <c r="Q237" s="61" t="s">
        <v>555</v>
      </c>
      <c r="R237" s="61">
        <v>40.6895314</v>
      </c>
      <c r="S237" s="61">
        <v>-74.174462399999996</v>
      </c>
      <c r="T237" s="61">
        <v>1298.8050000000001</v>
      </c>
      <c r="U237" s="61" t="s">
        <v>617</v>
      </c>
      <c r="V237" s="61" t="s">
        <v>569</v>
      </c>
      <c r="W237" s="61" cm="1">
        <f t="array" ref="W237">getDistance(I237,J237,R237,S237)*SA!$B$12</f>
        <v>1202.7354215707494</v>
      </c>
      <c r="Y237" s="137">
        <f>Transportation_LCIA!C$61*($W237^Transportation_LCIA!C$60)+Transportation_LCIA!C$62</f>
        <v>0.21778238902728675</v>
      </c>
      <c r="Z237" s="137">
        <f>Transportation_LCIA!D$61*($W237^Transportation_LCIA!D$60)+Transportation_LCIA!D$62</f>
        <v>2.2148712873372127</v>
      </c>
      <c r="AA237" s="137">
        <f>Transportation_LCIA!E$61*($W237^Transportation_LCIA!E$60)+Transportation_LCIA!E$62</f>
        <v>1.0059375752641991E-3</v>
      </c>
      <c r="AB237" s="137">
        <f>Transportation_LCIA!F$61*($W237^Transportation_LCIA!F$60)+Transportation_LCIA!F$62</f>
        <v>0.21778238902728675</v>
      </c>
      <c r="AC237" s="137">
        <f>Transportation_LCIA!G$61*($W237^Transportation_LCIA!G$60)+Transportation_LCIA!G$62</f>
        <v>5.1813822128434044E-2</v>
      </c>
      <c r="AD237" s="137">
        <f>Transportation_LCIA!H$61*($W237^Transportation_LCIA!H$60)+Transportation_LCIA!H$62</f>
        <v>2.4643378955108982E-4</v>
      </c>
      <c r="AE237" s="137">
        <f>Transportation_LCIA!I$61*($W237^Transportation_LCIA!I$60)+Transportation_LCIA!I$62</f>
        <v>5.1584924000390383E-6</v>
      </c>
      <c r="AF237" s="137">
        <f>Transportation_LCIA!J$61*($W237^Transportation_LCIA!J$60)+Transportation_LCIA!J$62</f>
        <v>7.6304684421367149E-3</v>
      </c>
      <c r="AG237" s="137">
        <f>Transportation_LCIA!K$61*($W237^Transportation_LCIA!K$60)+Transportation_LCIA!K$62</f>
        <v>1.0921592718286539E-2</v>
      </c>
      <c r="AH237" s="137">
        <f>Transportation_LCIA!L$61*($W237^Transportation_LCIA!L$60)+Transportation_LCIA!L$62</f>
        <v>2.1199654199064683E-4</v>
      </c>
      <c r="AI237" s="137">
        <f>Transportation_LCIA!M$61*($W237^Transportation_LCIA!M$60)+Transportation_LCIA!M$62</f>
        <v>2.2685340366208163E-4</v>
      </c>
      <c r="AJ237" s="137">
        <f>Transportation_LCIA!N$61*($W237^Transportation_LCIA!N$60)+Transportation_LCIA!N$62</f>
        <v>8.8773888097049827E-4</v>
      </c>
      <c r="AK237" s="137">
        <f>Transportation_LCIA!O$61*($W237^Transportation_LCIA!O$60)+Transportation_LCIA!O$62</f>
        <v>5.4723425608569314E-5</v>
      </c>
      <c r="AL237" s="137">
        <f>Transportation_LCIA!P$61*($W237^Transportation_LCIA!P$60)+Transportation_LCIA!P$62</f>
        <v>2.6478604218232485E-8</v>
      </c>
      <c r="AM237" s="137">
        <f>Transportation_LCIA!Q$61*($W237^Transportation_LCIA!Q$60)+Transportation_LCIA!Q$62</f>
        <v>8.4057479409382782E-5</v>
      </c>
      <c r="AN237" s="137">
        <f>Transportation_LCIA!R$61*($W237^Transportation_LCIA!R$60)+Transportation_LCIA!R$62</f>
        <v>2.4821129556246402E-4</v>
      </c>
      <c r="AO237" s="137">
        <f>Transportation_LCIA!S$61*($W237^Transportation_LCIA!S$60)+Transportation_LCIA!S$62</f>
        <v>3.7800060125446659E-6</v>
      </c>
      <c r="AP237" s="137">
        <f>Transportation_LCIA!T$61*($W237^Transportation_LCIA!T$60)+Transportation_LCIA!T$62</f>
        <v>3.7800060125446659E-6</v>
      </c>
      <c r="AQ237" s="137">
        <f>Transportation_LCIA!U$61*($W237^Transportation_LCIA!U$60)+Transportation_LCIA!U$62</f>
        <v>5.3108229142320587E-4</v>
      </c>
      <c r="AR237" s="137">
        <f>Transportation_LCIA!V$61*($W237^Transportation_LCIA!V$60)+Transportation_LCIA!V$62</f>
        <v>2.186147813213054E-4</v>
      </c>
      <c r="AT237" s="137">
        <f>$W237*Y237+$L237*Summary_LCIA!H$32</f>
        <v>332.52600467741865</v>
      </c>
      <c r="AU237" s="137">
        <f>$W237*Z237+$L237*Summary_LCIA!Q$32</f>
        <v>3693.4938926536229</v>
      </c>
      <c r="AV237" s="137">
        <f>$W237*AA237+$L237*Summary_LCIA!R$32</f>
        <v>2.3037735600592439</v>
      </c>
      <c r="AW237" s="137">
        <f>$W237*AB237+$L237*Summary_LCIA!S$32</f>
        <v>331.60777619741867</v>
      </c>
      <c r="AX237" s="137">
        <f>$W237*AC237+$L237*Summary_LCIA!T$32</f>
        <v>85.149384800833943</v>
      </c>
      <c r="AY237" s="137">
        <f>$W237*AD237+$L237*Summary_LCIA!U$32</f>
        <v>4.0179206637650076</v>
      </c>
      <c r="AZ237" s="137">
        <f>$W237*AE237+$L237*Summary_LCIA!V$32</f>
        <v>1.612636271543046E-2</v>
      </c>
      <c r="BA237" s="137">
        <f>$W237*AF237+$L237*Summary_LCIA!W$32</f>
        <v>25.167698102535603</v>
      </c>
      <c r="BB237" s="137">
        <f>$W237*AG237+$L237*Summary_LCIA!X$32</f>
        <v>17.868194742252388</v>
      </c>
      <c r="BC237" s="137">
        <f>$W237*AH237+$L237*Summary_LCIA!Y$32</f>
        <v>3.4920427583026616</v>
      </c>
      <c r="BD237" s="137">
        <f>$W237*AI237+$L237*Summary_LCIA!Z$32</f>
        <v>0.28136399778427312</v>
      </c>
      <c r="BE237" s="137">
        <f>$W237*AJ237+$L237*Summary_LCIA!AA$32</f>
        <v>5.9197838612487974</v>
      </c>
      <c r="BF237" s="137">
        <f>$W237*AK237+$L237*Summary_LCIA!AB$32</f>
        <v>6.1284205057118159E-2</v>
      </c>
      <c r="BG237" s="137">
        <f>$W237*AL237+$L237*Summary_LCIA!AC$32</f>
        <v>4.2002112903020871E-5</v>
      </c>
      <c r="BH237" s="137">
        <f>$W237*AM237+$L237*Summary_LCIA!AD$32</f>
        <v>0.18649000169361857</v>
      </c>
      <c r="BI237" s="137">
        <f>$W237*AN237+$L237*Summary_LCIA!AE$32</f>
        <v>0.48262070792694201</v>
      </c>
      <c r="BJ237" s="137">
        <f>$W237*AO237+$L237*Summary_LCIA!AF$32</f>
        <v>0.18017727960503788</v>
      </c>
      <c r="BK237" s="137">
        <f>$W237*AP237+$L237*Summary_LCIA!AG$32</f>
        <v>1.5175568885037877E-2</v>
      </c>
      <c r="BL237" s="137">
        <f>$W237*AQ237+$L237*Summary_LCIA!AH$32</f>
        <v>2.4468721620636491</v>
      </c>
      <c r="BM237" s="137">
        <f>$W237*AR237+$L237*Summary_LCIA!AI$32</f>
        <v>0.45645966437407742</v>
      </c>
    </row>
    <row r="238" spans="1:65" x14ac:dyDescent="0.25">
      <c r="A238" s="149">
        <v>101</v>
      </c>
      <c r="B238" s="149">
        <v>43</v>
      </c>
      <c r="C238" s="61">
        <v>46.256036000000002</v>
      </c>
      <c r="D238" s="61">
        <v>-63.137495000000001</v>
      </c>
      <c r="E238" s="61" t="s">
        <v>461</v>
      </c>
      <c r="F238" s="149">
        <v>141</v>
      </c>
      <c r="G238" s="61" t="s">
        <v>661</v>
      </c>
      <c r="H238" s="61" t="s">
        <v>662</v>
      </c>
      <c r="I238" s="61">
        <v>46.116180999999997</v>
      </c>
      <c r="J238" s="61">
        <v>-64.688446999999996</v>
      </c>
      <c r="K238" s="61">
        <v>129.61196319999999</v>
      </c>
      <c r="L238" s="61">
        <v>158.78800000000001</v>
      </c>
      <c r="M238" s="61" t="s">
        <v>617</v>
      </c>
      <c r="N238" s="149">
        <v>42</v>
      </c>
      <c r="O238" s="149">
        <v>43</v>
      </c>
      <c r="P238" s="61" t="s">
        <v>565</v>
      </c>
      <c r="Q238" s="61" t="s">
        <v>555</v>
      </c>
      <c r="R238" s="61">
        <v>40.6895314</v>
      </c>
      <c r="S238" s="61">
        <v>-74.174462399999996</v>
      </c>
      <c r="T238" s="61">
        <v>1316.777</v>
      </c>
      <c r="U238" s="61" t="s">
        <v>617</v>
      </c>
      <c r="V238" s="61" t="s">
        <v>569</v>
      </c>
      <c r="W238" s="61" cm="1">
        <f t="array" ref="W238">getDistance(I238,J238,R238,S238)*SA!$B$12</f>
        <v>976.21921839853326</v>
      </c>
      <c r="Y238" s="137">
        <f>Transportation_LCIA!C$61*($W238^Transportation_LCIA!C$60)+Transportation_LCIA!C$62</f>
        <v>0.23804060106334077</v>
      </c>
      <c r="Z238" s="137">
        <f>Transportation_LCIA!D$61*($W238^Transportation_LCIA!D$60)+Transportation_LCIA!D$62</f>
        <v>2.4504484062130265</v>
      </c>
      <c r="AA238" s="137">
        <f>Transportation_LCIA!E$61*($W238^Transportation_LCIA!E$60)+Transportation_LCIA!E$62</f>
        <v>1.1606720913959455E-3</v>
      </c>
      <c r="AB238" s="137">
        <f>Transportation_LCIA!F$61*($W238^Transportation_LCIA!F$60)+Transportation_LCIA!F$62</f>
        <v>0.23804060106334077</v>
      </c>
      <c r="AC238" s="137">
        <f>Transportation_LCIA!G$61*($W238^Transportation_LCIA!G$60)+Transportation_LCIA!G$62</f>
        <v>5.726520247855086E-2</v>
      </c>
      <c r="AD238" s="137">
        <f>Transportation_LCIA!H$61*($W238^Transportation_LCIA!H$60)+Transportation_LCIA!H$62</f>
        <v>2.8038992352398014E-4</v>
      </c>
      <c r="AE238" s="137">
        <f>Transportation_LCIA!I$61*($W238^Transportation_LCIA!I$60)+Transportation_LCIA!I$62</f>
        <v>6.0105898982720086E-6</v>
      </c>
      <c r="AF238" s="137">
        <f>Transportation_LCIA!J$61*($W238^Transportation_LCIA!J$60)+Transportation_LCIA!J$62</f>
        <v>8.896852176798465E-3</v>
      </c>
      <c r="AG238" s="137">
        <f>Transportation_LCIA!K$61*($W238^Transportation_LCIA!K$60)+Transportation_LCIA!K$62</f>
        <v>1.2191850397092132E-2</v>
      </c>
      <c r="AH238" s="137">
        <f>Transportation_LCIA!L$61*($W238^Transportation_LCIA!L$60)+Transportation_LCIA!L$62</f>
        <v>2.431855860123998E-4</v>
      </c>
      <c r="AI238" s="137">
        <f>Transportation_LCIA!M$61*($W238^Transportation_LCIA!M$60)+Transportation_LCIA!M$62</f>
        <v>2.4559148071851629E-4</v>
      </c>
      <c r="AJ238" s="137">
        <f>Transportation_LCIA!N$61*($W238^Transportation_LCIA!N$60)+Transportation_LCIA!N$62</f>
        <v>1.0019337441737129E-3</v>
      </c>
      <c r="AK238" s="137">
        <f>Transportation_LCIA!O$61*($W238^Transportation_LCIA!O$60)+Transportation_LCIA!O$62</f>
        <v>6.0515654755985323E-5</v>
      </c>
      <c r="AL238" s="137">
        <f>Transportation_LCIA!P$61*($W238^Transportation_LCIA!P$60)+Transportation_LCIA!P$62</f>
        <v>2.9264180015516956E-8</v>
      </c>
      <c r="AM238" s="137">
        <f>Transportation_LCIA!Q$61*($W238^Transportation_LCIA!Q$60)+Transportation_LCIA!Q$62</f>
        <v>9.6246506035158898E-5</v>
      </c>
      <c r="AN238" s="137">
        <f>Transportation_LCIA!R$61*($W238^Transportation_LCIA!R$60)+Transportation_LCIA!R$62</f>
        <v>2.8906877213541162E-4</v>
      </c>
      <c r="AO238" s="137">
        <f>Transportation_LCIA!S$61*($W238^Transportation_LCIA!S$60)+Transportation_LCIA!S$62</f>
        <v>4.3599423404604346E-6</v>
      </c>
      <c r="AP238" s="137">
        <f>Transportation_LCIA!T$61*($W238^Transportation_LCIA!T$60)+Transportation_LCIA!T$62</f>
        <v>4.3599423404604346E-6</v>
      </c>
      <c r="AQ238" s="137">
        <f>Transportation_LCIA!U$61*($W238^Transportation_LCIA!U$60)+Transportation_LCIA!U$62</f>
        <v>6.2062975697497851E-4</v>
      </c>
      <c r="AR238" s="137">
        <f>Transportation_LCIA!V$61*($W238^Transportation_LCIA!V$60)+Transportation_LCIA!V$62</f>
        <v>2.503045929040431E-4</v>
      </c>
      <c r="AT238" s="137">
        <f>$W238*Y238+$L238*Summary_LCIA!H$32</f>
        <v>286.33597191717161</v>
      </c>
      <c r="AU238" s="137">
        <f>$W238*Z238+$L238*Summary_LCIA!Q$32</f>
        <v>3179.1361639944162</v>
      </c>
      <c r="AV238" s="137">
        <f>$W238*AA238+$L238*Summary_LCIA!R$32</f>
        <v>1.9691844946795407</v>
      </c>
      <c r="AW238" s="137">
        <f>$W238*AB238+$L238*Summary_LCIA!S$32</f>
        <v>285.63412895717158</v>
      </c>
      <c r="AX238" s="137">
        <f>$W238*AC238+$L238*Summary_LCIA!T$32</f>
        <v>73.354192405044671</v>
      </c>
      <c r="AY238" s="137">
        <f>$W238*AD238+$L238*Summary_LCIA!U$32</f>
        <v>3.1182502639894043</v>
      </c>
      <c r="AZ238" s="137">
        <f>$W238*AE238+$L238*Summary_LCIA!V$32</f>
        <v>1.345152704060522E-2</v>
      </c>
      <c r="BA238" s="137">
        <f>$W238*AF238+$L238*Summary_LCIA!W$32</f>
        <v>20.907349226241486</v>
      </c>
      <c r="BB238" s="137">
        <f>$W238*AG238+$L238*Summary_LCIA!X$32</f>
        <v>15.519109305481129</v>
      </c>
      <c r="BC238" s="137">
        <f>$W238*AH238+$L238*Summary_LCIA!Y$32</f>
        <v>2.7116370587028147</v>
      </c>
      <c r="BD238" s="137">
        <f>$W238*AI238+$L238*Summary_LCIA!Z$32</f>
        <v>0.24626286044436843</v>
      </c>
      <c r="BE238" s="137">
        <f>$W238*AJ238+$L238*Summary_LCIA!AA$32</f>
        <v>4.6867595046243782</v>
      </c>
      <c r="BF238" s="137">
        <f>$W238*AK238+$L238*Summary_LCIA!AB$32</f>
        <v>5.5611314662763471E-2</v>
      </c>
      <c r="BG238" s="137">
        <f>$W238*AL238+$L238*Summary_LCIA!AC$32</f>
        <v>3.6330447533821945E-5</v>
      </c>
      <c r="BH238" s="137">
        <f>$W238*AM238+$L238*Summary_LCIA!AD$32</f>
        <v>0.15922590841523254</v>
      </c>
      <c r="BI238" s="137">
        <f>$W238*AN238+$L238*Summary_LCIA!AE$32</f>
        <v>0.42290130123745523</v>
      </c>
      <c r="BJ238" s="137">
        <f>$W238*AO238+$L238*Summary_LCIA!AF$32</f>
        <v>0.13849881046386697</v>
      </c>
      <c r="BK238" s="137">
        <f>$W238*AP238+$L238*Summary_LCIA!AG$32</f>
        <v>1.2380647523866958E-2</v>
      </c>
      <c r="BL238" s="137">
        <f>$W238*AQ238+$L238*Summary_LCIA!AH$32</f>
        <v>1.9878979330689854</v>
      </c>
      <c r="BM238" s="137">
        <f>$W238*AR238+$L238*Summary_LCIA!AI$32</f>
        <v>0.39227111544634802</v>
      </c>
    </row>
    <row r="239" spans="1:65" x14ac:dyDescent="0.25">
      <c r="A239" s="149">
        <v>102</v>
      </c>
      <c r="B239" s="149">
        <v>43</v>
      </c>
      <c r="C239" s="61">
        <v>46.256036000000002</v>
      </c>
      <c r="D239" s="61">
        <v>-63.137495000000001</v>
      </c>
      <c r="E239" s="61" t="s">
        <v>461</v>
      </c>
      <c r="F239" s="149">
        <v>141</v>
      </c>
      <c r="G239" s="61" t="s">
        <v>661</v>
      </c>
      <c r="H239" s="61" t="s">
        <v>662</v>
      </c>
      <c r="I239" s="61">
        <v>46.116180999999997</v>
      </c>
      <c r="J239" s="61">
        <v>-64.688446999999996</v>
      </c>
      <c r="K239" s="61">
        <v>129.61196319999999</v>
      </c>
      <c r="L239" s="61">
        <v>158.78800000000001</v>
      </c>
      <c r="M239" s="61" t="s">
        <v>617</v>
      </c>
      <c r="N239" s="149">
        <v>42</v>
      </c>
      <c r="O239" s="149">
        <v>43</v>
      </c>
      <c r="P239" s="61" t="s">
        <v>565</v>
      </c>
      <c r="Q239" s="61" t="s">
        <v>555</v>
      </c>
      <c r="R239" s="61">
        <v>40.6895314</v>
      </c>
      <c r="S239" s="61">
        <v>-74.174462399999996</v>
      </c>
      <c r="T239" s="61">
        <v>1316.777</v>
      </c>
      <c r="U239" s="61" t="s">
        <v>617</v>
      </c>
      <c r="V239" s="61" t="s">
        <v>569</v>
      </c>
      <c r="W239" s="61" cm="1">
        <f t="array" ref="W239">getDistance(I239,J239,R239,S239)*SA!$B$12</f>
        <v>976.21921839853326</v>
      </c>
      <c r="Y239" s="137">
        <f>Transportation_LCIA!C$61*($W239^Transportation_LCIA!C$60)+Transportation_LCIA!C$62</f>
        <v>0.23804060106334077</v>
      </c>
      <c r="Z239" s="137">
        <f>Transportation_LCIA!D$61*($W239^Transportation_LCIA!D$60)+Transportation_LCIA!D$62</f>
        <v>2.4504484062130265</v>
      </c>
      <c r="AA239" s="137">
        <f>Transportation_LCIA!E$61*($W239^Transportation_LCIA!E$60)+Transportation_LCIA!E$62</f>
        <v>1.1606720913959455E-3</v>
      </c>
      <c r="AB239" s="137">
        <f>Transportation_LCIA!F$61*($W239^Transportation_LCIA!F$60)+Transportation_LCIA!F$62</f>
        <v>0.23804060106334077</v>
      </c>
      <c r="AC239" s="137">
        <f>Transportation_LCIA!G$61*($W239^Transportation_LCIA!G$60)+Transportation_LCIA!G$62</f>
        <v>5.726520247855086E-2</v>
      </c>
      <c r="AD239" s="137">
        <f>Transportation_LCIA!H$61*($W239^Transportation_LCIA!H$60)+Transportation_LCIA!H$62</f>
        <v>2.8038992352398014E-4</v>
      </c>
      <c r="AE239" s="137">
        <f>Transportation_LCIA!I$61*($W239^Transportation_LCIA!I$60)+Transportation_LCIA!I$62</f>
        <v>6.0105898982720086E-6</v>
      </c>
      <c r="AF239" s="137">
        <f>Transportation_LCIA!J$61*($W239^Transportation_LCIA!J$60)+Transportation_LCIA!J$62</f>
        <v>8.896852176798465E-3</v>
      </c>
      <c r="AG239" s="137">
        <f>Transportation_LCIA!K$61*($W239^Transportation_LCIA!K$60)+Transportation_LCIA!K$62</f>
        <v>1.2191850397092132E-2</v>
      </c>
      <c r="AH239" s="137">
        <f>Transportation_LCIA!L$61*($W239^Transportation_LCIA!L$60)+Transportation_LCIA!L$62</f>
        <v>2.431855860123998E-4</v>
      </c>
      <c r="AI239" s="137">
        <f>Transportation_LCIA!M$61*($W239^Transportation_LCIA!M$60)+Transportation_LCIA!M$62</f>
        <v>2.4559148071851629E-4</v>
      </c>
      <c r="AJ239" s="137">
        <f>Transportation_LCIA!N$61*($W239^Transportation_LCIA!N$60)+Transportation_LCIA!N$62</f>
        <v>1.0019337441737129E-3</v>
      </c>
      <c r="AK239" s="137">
        <f>Transportation_LCIA!O$61*($W239^Transportation_LCIA!O$60)+Transportation_LCIA!O$62</f>
        <v>6.0515654755985323E-5</v>
      </c>
      <c r="AL239" s="137">
        <f>Transportation_LCIA!P$61*($W239^Transportation_LCIA!P$60)+Transportation_LCIA!P$62</f>
        <v>2.9264180015516956E-8</v>
      </c>
      <c r="AM239" s="137">
        <f>Transportation_LCIA!Q$61*($W239^Transportation_LCIA!Q$60)+Transportation_LCIA!Q$62</f>
        <v>9.6246506035158898E-5</v>
      </c>
      <c r="AN239" s="137">
        <f>Transportation_LCIA!R$61*($W239^Transportation_LCIA!R$60)+Transportation_LCIA!R$62</f>
        <v>2.8906877213541162E-4</v>
      </c>
      <c r="AO239" s="137">
        <f>Transportation_LCIA!S$61*($W239^Transportation_LCIA!S$60)+Transportation_LCIA!S$62</f>
        <v>4.3599423404604346E-6</v>
      </c>
      <c r="AP239" s="137">
        <f>Transportation_LCIA!T$61*($W239^Transportation_LCIA!T$60)+Transportation_LCIA!T$62</f>
        <v>4.3599423404604346E-6</v>
      </c>
      <c r="AQ239" s="137">
        <f>Transportation_LCIA!U$61*($W239^Transportation_LCIA!U$60)+Transportation_LCIA!U$62</f>
        <v>6.2062975697497851E-4</v>
      </c>
      <c r="AR239" s="137">
        <f>Transportation_LCIA!V$61*($W239^Transportation_LCIA!V$60)+Transportation_LCIA!V$62</f>
        <v>2.503045929040431E-4</v>
      </c>
      <c r="AT239" s="137">
        <f>$W239*Y239+$L239*Summary_LCIA!H$32</f>
        <v>286.33597191717161</v>
      </c>
      <c r="AU239" s="137">
        <f>$W239*Z239+$L239*Summary_LCIA!Q$32</f>
        <v>3179.1361639944162</v>
      </c>
      <c r="AV239" s="137">
        <f>$W239*AA239+$L239*Summary_LCIA!R$32</f>
        <v>1.9691844946795407</v>
      </c>
      <c r="AW239" s="137">
        <f>$W239*AB239+$L239*Summary_LCIA!S$32</f>
        <v>285.63412895717158</v>
      </c>
      <c r="AX239" s="137">
        <f>$W239*AC239+$L239*Summary_LCIA!T$32</f>
        <v>73.354192405044671</v>
      </c>
      <c r="AY239" s="137">
        <f>$W239*AD239+$L239*Summary_LCIA!U$32</f>
        <v>3.1182502639894043</v>
      </c>
      <c r="AZ239" s="137">
        <f>$W239*AE239+$L239*Summary_LCIA!V$32</f>
        <v>1.345152704060522E-2</v>
      </c>
      <c r="BA239" s="137">
        <f>$W239*AF239+$L239*Summary_LCIA!W$32</f>
        <v>20.907349226241486</v>
      </c>
      <c r="BB239" s="137">
        <f>$W239*AG239+$L239*Summary_LCIA!X$32</f>
        <v>15.519109305481129</v>
      </c>
      <c r="BC239" s="137">
        <f>$W239*AH239+$L239*Summary_LCIA!Y$32</f>
        <v>2.7116370587028147</v>
      </c>
      <c r="BD239" s="137">
        <f>$W239*AI239+$L239*Summary_LCIA!Z$32</f>
        <v>0.24626286044436843</v>
      </c>
      <c r="BE239" s="137">
        <f>$W239*AJ239+$L239*Summary_LCIA!AA$32</f>
        <v>4.6867595046243782</v>
      </c>
      <c r="BF239" s="137">
        <f>$W239*AK239+$L239*Summary_LCIA!AB$32</f>
        <v>5.5611314662763471E-2</v>
      </c>
      <c r="BG239" s="137">
        <f>$W239*AL239+$L239*Summary_LCIA!AC$32</f>
        <v>3.6330447533821945E-5</v>
      </c>
      <c r="BH239" s="137">
        <f>$W239*AM239+$L239*Summary_LCIA!AD$32</f>
        <v>0.15922590841523254</v>
      </c>
      <c r="BI239" s="137">
        <f>$W239*AN239+$L239*Summary_LCIA!AE$32</f>
        <v>0.42290130123745523</v>
      </c>
      <c r="BJ239" s="137">
        <f>$W239*AO239+$L239*Summary_LCIA!AF$32</f>
        <v>0.13849881046386697</v>
      </c>
      <c r="BK239" s="137">
        <f>$W239*AP239+$L239*Summary_LCIA!AG$32</f>
        <v>1.2380647523866958E-2</v>
      </c>
      <c r="BL239" s="137">
        <f>$W239*AQ239+$L239*Summary_LCIA!AH$32</f>
        <v>1.9878979330689854</v>
      </c>
      <c r="BM239" s="137">
        <f>$W239*AR239+$L239*Summary_LCIA!AI$32</f>
        <v>0.39227111544634802</v>
      </c>
    </row>
    <row r="240" spans="1:65" x14ac:dyDescent="0.25">
      <c r="A240" s="149">
        <v>249</v>
      </c>
      <c r="B240" s="149">
        <v>43</v>
      </c>
      <c r="C240" s="61">
        <v>42.283079000000001</v>
      </c>
      <c r="D240" s="61">
        <v>-87.953130000000002</v>
      </c>
      <c r="E240" s="61" t="s">
        <v>265</v>
      </c>
      <c r="F240" s="149">
        <v>6</v>
      </c>
      <c r="G240" s="61" t="s">
        <v>565</v>
      </c>
      <c r="H240" s="61" t="s">
        <v>673</v>
      </c>
      <c r="I240" s="61">
        <v>41.98028</v>
      </c>
      <c r="J240" s="61">
        <v>-87.908997999999997</v>
      </c>
      <c r="K240" s="61">
        <v>52.053779710000001</v>
      </c>
      <c r="L240" s="61">
        <v>42.158000000000001</v>
      </c>
      <c r="M240" s="61" t="s">
        <v>617</v>
      </c>
      <c r="N240" s="149">
        <v>42</v>
      </c>
      <c r="O240" s="149">
        <v>43</v>
      </c>
      <c r="P240" s="61" t="s">
        <v>565</v>
      </c>
      <c r="Q240" s="61" t="s">
        <v>555</v>
      </c>
      <c r="R240" s="61">
        <v>40.6895314</v>
      </c>
      <c r="S240" s="61">
        <v>-74.174462399999996</v>
      </c>
      <c r="T240" s="61">
        <v>1326.383</v>
      </c>
      <c r="U240" s="61" t="s">
        <v>617</v>
      </c>
      <c r="V240" s="61" t="s">
        <v>569</v>
      </c>
      <c r="W240" s="61" cm="1">
        <f t="array" ref="W240">getDistance(I240,J240,R240,S240)*SA!$B$12</f>
        <v>1157.3543734574703</v>
      </c>
      <c r="Y240" s="137">
        <f>Transportation_LCIA!C$61*($W240^Transportation_LCIA!C$60)+Transportation_LCIA!C$62</f>
        <v>0.22125487322987525</v>
      </c>
      <c r="Z240" s="137">
        <f>Transportation_LCIA!D$61*($W240^Transportation_LCIA!D$60)+Transportation_LCIA!D$62</f>
        <v>2.255097656532008</v>
      </c>
      <c r="AA240" s="137">
        <f>Transportation_LCIA!E$61*($W240^Transportation_LCIA!E$60)+Transportation_LCIA!E$62</f>
        <v>1.0323311064289898E-3</v>
      </c>
      <c r="AB240" s="137">
        <f>Transportation_LCIA!F$61*($W240^Transportation_LCIA!F$60)+Transportation_LCIA!F$62</f>
        <v>0.22125487322987525</v>
      </c>
      <c r="AC240" s="137">
        <f>Transportation_LCIA!G$61*($W240^Transportation_LCIA!G$60)+Transportation_LCIA!G$62</f>
        <v>5.2744889674118764E-2</v>
      </c>
      <c r="AD240" s="137">
        <f>Transportation_LCIA!H$61*($W240^Transportation_LCIA!H$60)+Transportation_LCIA!H$62</f>
        <v>2.5221347893443361E-4</v>
      </c>
      <c r="AE240" s="137">
        <f>Transportation_LCIA!I$61*($W240^Transportation_LCIA!I$60)+Transportation_LCIA!I$62</f>
        <v>5.3030315279303856E-6</v>
      </c>
      <c r="AF240" s="137">
        <f>Transportation_LCIA!J$61*($W240^Transportation_LCIA!J$60)+Transportation_LCIA!J$62</f>
        <v>7.8448002910598176E-3</v>
      </c>
      <c r="AG240" s="137">
        <f>Transportation_LCIA!K$61*($W240^Transportation_LCIA!K$60)+Transportation_LCIA!K$62</f>
        <v>1.1138126778177694E-2</v>
      </c>
      <c r="AH240" s="137">
        <f>Transportation_LCIA!L$61*($W240^Transportation_LCIA!L$60)+Transportation_LCIA!L$62</f>
        <v>2.1730006227167688E-4</v>
      </c>
      <c r="AI240" s="137">
        <f>Transportation_LCIA!M$61*($W240^Transportation_LCIA!M$60)+Transportation_LCIA!M$62</f>
        <v>2.300424506415529E-4</v>
      </c>
      <c r="AJ240" s="137">
        <f>Transportation_LCIA!N$61*($W240^Transportation_LCIA!N$60)+Transportation_LCIA!N$62</f>
        <v>9.0718133822476131E-4</v>
      </c>
      <c r="AK240" s="137">
        <f>Transportation_LCIA!O$61*($W240^Transportation_LCIA!O$60)+Transportation_LCIA!O$62</f>
        <v>5.5712604291343633E-5</v>
      </c>
      <c r="AL240" s="137">
        <f>Transportation_LCIA!P$61*($W240^Transportation_LCIA!P$60)+Transportation_LCIA!P$62</f>
        <v>2.6954451569237745E-8</v>
      </c>
      <c r="AM240" s="137">
        <f>Transportation_LCIA!Q$61*($W240^Transportation_LCIA!Q$60)+Transportation_LCIA!Q$62</f>
        <v>8.6129064464536507E-5</v>
      </c>
      <c r="AN240" s="137">
        <f>Transportation_LCIA!R$61*($W240^Transportation_LCIA!R$60)+Transportation_LCIA!R$62</f>
        <v>2.5514127020322938E-4</v>
      </c>
      <c r="AO240" s="137">
        <f>Transportation_LCIA!S$61*($W240^Transportation_LCIA!S$60)+Transportation_LCIA!S$62</f>
        <v>3.8783860959247568E-6</v>
      </c>
      <c r="AP240" s="137">
        <f>Transportation_LCIA!T$61*($W240^Transportation_LCIA!T$60)+Transportation_LCIA!T$62</f>
        <v>3.8783860959247568E-6</v>
      </c>
      <c r="AQ240" s="137">
        <f>Transportation_LCIA!U$61*($W240^Transportation_LCIA!U$60)+Transportation_LCIA!U$62</f>
        <v>5.4626084877506024E-4</v>
      </c>
      <c r="AR240" s="137">
        <f>Transportation_LCIA!V$61*($W240^Transportation_LCIA!V$60)+Transportation_LCIA!V$62</f>
        <v>2.2399696718994122E-4</v>
      </c>
      <c r="AT240" s="137">
        <f>$W240*Y240+$L240*Summary_LCIA!H$32</f>
        <v>270.39558358137424</v>
      </c>
      <c r="AU240" s="137">
        <f>$W240*Z240+$L240*Summary_LCIA!Q$32</f>
        <v>2818.8843095154257</v>
      </c>
      <c r="AV240" s="137">
        <f>$W240*AA240+$L240*Summary_LCIA!R$32</f>
        <v>1.4167600856817806</v>
      </c>
      <c r="AW240" s="137">
        <f>$W240*AB240+$L240*Summary_LCIA!S$32</f>
        <v>270.20924522137426</v>
      </c>
      <c r="AX240" s="137">
        <f>$W240*AC240+$L240*Summary_LCIA!T$32</f>
        <v>65.677692941873119</v>
      </c>
      <c r="AY240" s="137">
        <f>$W240*AD240+$L240*Summary_LCIA!U$32</f>
        <v>1.0471187848896903</v>
      </c>
      <c r="AZ240" s="137">
        <f>$W240*AE240+$L240*Summary_LCIA!V$32</f>
        <v>8.1509949694330824E-3</v>
      </c>
      <c r="BA240" s="137">
        <f>$W240*AF240+$L240*Summary_LCIA!W$32</f>
        <v>12.324157343758516</v>
      </c>
      <c r="BB240" s="137">
        <f>$W240*AG240+$L240*Summary_LCIA!X$32</f>
        <v>13.851118978847717</v>
      </c>
      <c r="BC240" s="137">
        <f>$W240*AH240+$L240*Summary_LCIA!Y$32</f>
        <v>0.90839913342270595</v>
      </c>
      <c r="BD240" s="137">
        <f>$W240*AI240+$L240*Summary_LCIA!Z$32</f>
        <v>0.26796949375287549</v>
      </c>
      <c r="BE240" s="137">
        <f>$W240*AJ240+$L240*Summary_LCIA!AA$32</f>
        <v>2.0345725373134282</v>
      </c>
      <c r="BF240" s="137">
        <f>$W240*AK240+$L240*Summary_LCIA!AB$32</f>
        <v>6.355921219929199E-2</v>
      </c>
      <c r="BG240" s="137">
        <f>$W240*AL240+$L240*Summary_LCIA!AC$32</f>
        <v>3.3256704079804877E-5</v>
      </c>
      <c r="BH240" s="137">
        <f>$W240*AM240+$L240*Summary_LCIA!AD$32</f>
        <v>0.11701047375983172</v>
      </c>
      <c r="BI240" s="137">
        <f>$W240*AN240+$L240*Summary_LCIA!AE$32</f>
        <v>0.33264633345920164</v>
      </c>
      <c r="BJ240" s="137">
        <f>$W240*AO240+$L240*Summary_LCIA!AF$32</f>
        <v>4.0129883470075164E-2</v>
      </c>
      <c r="BK240" s="137">
        <f>$W240*AP240+$L240*Summary_LCIA!AG$32</f>
        <v>6.645681180075161E-3</v>
      </c>
      <c r="BL240" s="137">
        <f>$W240*AQ240+$L240*Summary_LCIA!AH$32</f>
        <v>0.99914375117840581</v>
      </c>
      <c r="BM240" s="137">
        <f>$W240*AR240+$L240*Summary_LCIA!AI$32</f>
        <v>0.29851615451848795</v>
      </c>
    </row>
    <row r="241" spans="1:65" x14ac:dyDescent="0.25">
      <c r="A241" s="149">
        <v>320</v>
      </c>
      <c r="B241" s="149">
        <v>16</v>
      </c>
      <c r="C241" s="61">
        <v>50.445211</v>
      </c>
      <c r="D241" s="61">
        <v>-104.618894</v>
      </c>
      <c r="E241" s="61" t="s">
        <v>457</v>
      </c>
      <c r="F241" s="149">
        <v>136</v>
      </c>
      <c r="G241" s="61" t="s">
        <v>720</v>
      </c>
      <c r="H241" s="61" t="s">
        <v>721</v>
      </c>
      <c r="I241" s="61">
        <v>50.432102999999998</v>
      </c>
      <c r="J241" s="61">
        <v>-104.66394099999999</v>
      </c>
      <c r="K241" s="61">
        <v>3.6963417160000001</v>
      </c>
      <c r="L241" s="61">
        <v>4.2089999999999996</v>
      </c>
      <c r="M241" s="61" t="s">
        <v>617</v>
      </c>
      <c r="N241" s="149">
        <v>15</v>
      </c>
      <c r="O241" s="149">
        <v>16</v>
      </c>
      <c r="P241" s="61" t="s">
        <v>565</v>
      </c>
      <c r="Q241" s="61" t="s">
        <v>556</v>
      </c>
      <c r="R241" s="61">
        <v>39.856096299999997</v>
      </c>
      <c r="S241" s="61">
        <v>-104.6737376</v>
      </c>
      <c r="T241" s="61">
        <v>1358.01</v>
      </c>
      <c r="U241" s="61" t="s">
        <v>617</v>
      </c>
      <c r="V241" s="61" t="s">
        <v>569</v>
      </c>
      <c r="W241" s="61" cm="1">
        <f t="array" ref="W241">getDistance(I241,J241,R241,S241)*SA!$B$12</f>
        <v>1177.3292143961403</v>
      </c>
      <c r="Y241" s="137">
        <f>Transportation_LCIA!C$61*($W241^Transportation_LCIA!C$60)+Transportation_LCIA!C$62</f>
        <v>0.2196961093135443</v>
      </c>
      <c r="Z241" s="137">
        <f>Transportation_LCIA!D$61*($W241^Transportation_LCIA!D$60)+Transportation_LCIA!D$62</f>
        <v>2.2370321321589968</v>
      </c>
      <c r="AA241" s="137">
        <f>Transportation_LCIA!E$61*($W241^Transportation_LCIA!E$60)+Transportation_LCIA!E$62</f>
        <v>1.0204763309200012E-3</v>
      </c>
      <c r="AB241" s="137">
        <f>Transportation_LCIA!F$61*($W241^Transportation_LCIA!F$60)+Transportation_LCIA!F$62</f>
        <v>0.2196961093135443</v>
      </c>
      <c r="AC241" s="137">
        <f>Transportation_LCIA!G$61*($W241^Transportation_LCIA!G$60)+Transportation_LCIA!G$62</f>
        <v>5.2326761643759011E-2</v>
      </c>
      <c r="AD241" s="137">
        <f>Transportation_LCIA!H$61*($W241^Transportation_LCIA!H$60)+Transportation_LCIA!H$62</f>
        <v>2.4961684256268035E-4</v>
      </c>
      <c r="AE241" s="137">
        <f>Transportation_LCIA!I$61*($W241^Transportation_LCIA!I$60)+Transportation_LCIA!I$62</f>
        <v>5.2380678698073826E-6</v>
      </c>
      <c r="AF241" s="137">
        <f>Transportation_LCIA!J$61*($W241^Transportation_LCIA!J$60)+Transportation_LCIA!J$62</f>
        <v>7.7484421812559733E-3</v>
      </c>
      <c r="AG241" s="137">
        <f>Transportation_LCIA!K$61*($W241^Transportation_LCIA!K$60)+Transportation_LCIA!K$62</f>
        <v>1.104086210033306E-2</v>
      </c>
      <c r="AH241" s="137">
        <f>Transportation_LCIA!L$61*($W241^Transportation_LCIA!L$60)+Transportation_LCIA!L$62</f>
        <v>2.149170752343871E-4</v>
      </c>
      <c r="AI241" s="137">
        <f>Transportation_LCIA!M$61*($W241^Transportation_LCIA!M$60)+Transportation_LCIA!M$62</f>
        <v>2.2860969017513696E-4</v>
      </c>
      <c r="AJ241" s="137">
        <f>Transportation_LCIA!N$61*($W241^Transportation_LCIA!N$60)+Transportation_LCIA!N$62</f>
        <v>8.984467264018136E-4</v>
      </c>
      <c r="AK241" s="137">
        <f>Transportation_LCIA!O$61*($W241^Transportation_LCIA!O$60)+Transportation_LCIA!O$62</f>
        <v>5.526837383711451E-5</v>
      </c>
      <c r="AL241" s="137">
        <f>Transportation_LCIA!P$61*($W241^Transportation_LCIA!P$60)+Transportation_LCIA!P$62</f>
        <v>2.6740760492339211E-8</v>
      </c>
      <c r="AM241" s="137">
        <f>Transportation_LCIA!Q$61*($W241^Transportation_LCIA!Q$60)+Transportation_LCIA!Q$62</f>
        <v>8.5198197600818486E-5</v>
      </c>
      <c r="AN241" s="137">
        <f>Transportation_LCIA!R$61*($W241^Transportation_LCIA!R$60)+Transportation_LCIA!R$62</f>
        <v>2.5202653595898057E-4</v>
      </c>
      <c r="AO241" s="137">
        <f>Transportation_LCIA!S$61*($W241^Transportation_LCIA!S$60)+Transportation_LCIA!S$62</f>
        <v>3.8341691693400328E-6</v>
      </c>
      <c r="AP241" s="137">
        <f>Transportation_LCIA!T$61*($W241^Transportation_LCIA!T$60)+Transportation_LCIA!T$62</f>
        <v>3.8341691693400328E-6</v>
      </c>
      <c r="AQ241" s="137">
        <f>Transportation_LCIA!U$61*($W241^Transportation_LCIA!U$60)+Transportation_LCIA!U$62</f>
        <v>5.3943818955445389E-4</v>
      </c>
      <c r="AR241" s="137">
        <f>Transportation_LCIA!V$61*($W241^Transportation_LCIA!V$60)+Transportation_LCIA!V$62</f>
        <v>2.2157828517714307E-4</v>
      </c>
      <c r="AT241" s="137">
        <f>$W241*Y241+$L241*Summary_LCIA!H$32</f>
        <v>260.08486598400367</v>
      </c>
      <c r="AU241" s="137">
        <f>$W241*Z241+$L241*Summary_LCIA!Q$32</f>
        <v>2654.5832990061713</v>
      </c>
      <c r="AV241" s="137">
        <f>$W241*AA241+$L241*Summary_LCIA!R$32</f>
        <v>1.2235995073919008</v>
      </c>
      <c r="AW241" s="137">
        <f>$W241*AB241+$L241*Summary_LCIA!S$32</f>
        <v>260.06626220400364</v>
      </c>
      <c r="AX241" s="137">
        <f>$W241*AC241+$L241*Summary_LCIA!T$32</f>
        <v>62.068394277940882</v>
      </c>
      <c r="AY241" s="137">
        <f>$W241*AD241+$L241*Summary_LCIA!U$32</f>
        <v>0.36928122715436551</v>
      </c>
      <c r="AZ241" s="137">
        <f>$W241*AE241+$L241*Summary_LCIA!V$32</f>
        <v>6.3679563791139903E-3</v>
      </c>
      <c r="BA241" s="137">
        <f>$W241*AF241+$L241*Summary_LCIA!W$32</f>
        <v>9.446438285052011</v>
      </c>
      <c r="BB241" s="137">
        <f>$W241*AG241+$L241*Summary_LCIA!X$32</f>
        <v>13.094610522841242</v>
      </c>
      <c r="BC241" s="137">
        <f>$W241*AH241+$L241*Summary_LCIA!Y$32</f>
        <v>0.31861278934601711</v>
      </c>
      <c r="BD241" s="137">
        <f>$W241*AI241+$L241*Summary_LCIA!Z$32</f>
        <v>0.26932147381823907</v>
      </c>
      <c r="BE241" s="137">
        <f>$W241*AJ241+$L241*Summary_LCIA!AA$32</f>
        <v>1.1560729825714311</v>
      </c>
      <c r="BF241" s="137">
        <f>$W241*AK241+$L241*Summary_LCIA!AB$32</f>
        <v>6.4977218143602217E-2</v>
      </c>
      <c r="BG241" s="137">
        <f>$W241*AL241+$L241*Summary_LCIA!AC$32</f>
        <v>3.1688431298801068E-5</v>
      </c>
      <c r="BH241" s="137">
        <f>$W241*AM241+$L241*Summary_LCIA!AD$32</f>
        <v>0.10203639440933876</v>
      </c>
      <c r="BI241" s="137">
        <f>$W241*AN241+$L241*Summary_LCIA!AE$32</f>
        <v>0.30044792475756715</v>
      </c>
      <c r="BJ241" s="137">
        <f>$W241*AO241+$L241*Summary_LCIA!AF$32</f>
        <v>8.0724521560010028E-3</v>
      </c>
      <c r="BK241" s="137">
        <f>$W241*AP241+$L241*Summary_LCIA!AG$32</f>
        <v>4.7294328610010027E-3</v>
      </c>
      <c r="BL241" s="137">
        <f>$W241*AQ241+$L241*Summary_LCIA!AH$32</f>
        <v>0.67172979232342145</v>
      </c>
      <c r="BM241" s="137">
        <f>$W241*AR241+$L241*Summary_LCIA!AI$32</f>
        <v>0.26479148236484978</v>
      </c>
    </row>
    <row r="242" spans="1:65" x14ac:dyDescent="0.25">
      <c r="A242" s="149">
        <v>205</v>
      </c>
      <c r="B242" s="149">
        <v>43</v>
      </c>
      <c r="C242" s="61">
        <v>33.774827999999999</v>
      </c>
      <c r="D242" s="61">
        <v>-84.296312</v>
      </c>
      <c r="E242" s="61" t="s">
        <v>265</v>
      </c>
      <c r="F242" s="149">
        <v>1</v>
      </c>
      <c r="G242" s="61" t="s">
        <v>565</v>
      </c>
      <c r="H242" s="61" t="s">
        <v>681</v>
      </c>
      <c r="I242" s="61">
        <v>33.640728000000003</v>
      </c>
      <c r="J242" s="61">
        <v>-84.427700000000002</v>
      </c>
      <c r="K242" s="61">
        <v>25.823667189999998</v>
      </c>
      <c r="L242" s="61">
        <v>26.882999999999999</v>
      </c>
      <c r="M242" s="61" t="s">
        <v>617</v>
      </c>
      <c r="N242" s="149">
        <v>42</v>
      </c>
      <c r="O242" s="149">
        <v>43</v>
      </c>
      <c r="P242" s="61" t="s">
        <v>565</v>
      </c>
      <c r="Q242" s="61" t="s">
        <v>555</v>
      </c>
      <c r="R242" s="61">
        <v>40.6895314</v>
      </c>
      <c r="S242" s="61">
        <v>-74.174462399999996</v>
      </c>
      <c r="T242" s="61">
        <v>1362.8240000000001</v>
      </c>
      <c r="U242" s="61" t="s">
        <v>617</v>
      </c>
      <c r="V242" s="61" t="s">
        <v>569</v>
      </c>
      <c r="W242" s="61" cm="1">
        <f t="array" ref="W242">getDistance(I242,J242,R242,S242)*SA!$B$12</f>
        <v>1200.1119738435468</v>
      </c>
      <c r="Y242" s="137">
        <f>Transportation_LCIA!C$61*($W242^Transportation_LCIA!C$60)+Transportation_LCIA!C$62</f>
        <v>0.21797654934237359</v>
      </c>
      <c r="Z242" s="137">
        <f>Transportation_LCIA!D$61*($W242^Transportation_LCIA!D$60)+Transportation_LCIA!D$62</f>
        <v>2.2171187217182675</v>
      </c>
      <c r="AA242" s="137">
        <f>Transportation_LCIA!E$61*($W242^Transportation_LCIA!E$60)+Transportation_LCIA!E$62</f>
        <v>1.0074118451307481E-3</v>
      </c>
      <c r="AB242" s="137">
        <f>Transportation_LCIA!F$61*($W242^Transportation_LCIA!F$60)+Transportation_LCIA!F$62</f>
        <v>0.21797654934237359</v>
      </c>
      <c r="AC242" s="137">
        <f>Transportation_LCIA!G$61*($W242^Transportation_LCIA!G$60)+Transportation_LCIA!G$62</f>
        <v>5.1865842977847243E-2</v>
      </c>
      <c r="AD242" s="137">
        <f>Transportation_LCIA!H$61*($W242^Transportation_LCIA!H$60)+Transportation_LCIA!H$62</f>
        <v>2.4675648508540071E-4</v>
      </c>
      <c r="AE242" s="137">
        <f>Transportation_LCIA!I$61*($W242^Transportation_LCIA!I$60)+Transportation_LCIA!I$62</f>
        <v>5.1665566900725128E-6</v>
      </c>
      <c r="AF242" s="137">
        <f>Transportation_LCIA!J$61*($W242^Transportation_LCIA!J$60)+Transportation_LCIA!J$62</f>
        <v>7.6424211504113075E-3</v>
      </c>
      <c r="AG242" s="137">
        <f>Transportation_LCIA!K$61*($W242^Transportation_LCIA!K$60)+Transportation_LCIA!K$62</f>
        <v>1.0933686124837293E-2</v>
      </c>
      <c r="AH242" s="137">
        <f>Transportation_LCIA!L$61*($W242^Transportation_LCIA!L$60)+Transportation_LCIA!L$62</f>
        <v>2.1229259199052167E-4</v>
      </c>
      <c r="AI242" s="137">
        <f>Transportation_LCIA!M$61*($W242^Transportation_LCIA!M$60)+Transportation_LCIA!M$62</f>
        <v>2.2703145242715102E-4</v>
      </c>
      <c r="AJ242" s="137">
        <f>Transportation_LCIA!N$61*($W242^Transportation_LCIA!N$60)+Transportation_LCIA!N$62</f>
        <v>8.8882446654328976E-4</v>
      </c>
      <c r="AK242" s="137">
        <f>Transportation_LCIA!O$61*($W242^Transportation_LCIA!O$60)+Transportation_LCIA!O$62</f>
        <v>5.477869205552474E-5</v>
      </c>
      <c r="AL242" s="137">
        <f>Transportation_LCIA!P$61*($W242^Transportation_LCIA!P$60)+Transportation_LCIA!P$62</f>
        <v>2.6505191873615325E-8</v>
      </c>
      <c r="AM242" s="137">
        <f>Transportation_LCIA!Q$61*($W242^Transportation_LCIA!Q$60)+Transportation_LCIA!Q$62</f>
        <v>8.4173105652841722E-5</v>
      </c>
      <c r="AN242" s="137">
        <f>Transportation_LCIA!R$61*($W242^Transportation_LCIA!R$60)+Transportation_LCIA!R$62</f>
        <v>2.4859793390201158E-4</v>
      </c>
      <c r="AO242" s="137">
        <f>Transportation_LCIA!S$61*($W242^Transportation_LCIA!S$60)+Transportation_LCIA!S$62</f>
        <v>3.7854950252772454E-6</v>
      </c>
      <c r="AP242" s="137">
        <f>Transportation_LCIA!T$61*($W242^Transportation_LCIA!T$60)+Transportation_LCIA!T$62</f>
        <v>3.7854950252772454E-6</v>
      </c>
      <c r="AQ242" s="137">
        <f>Transportation_LCIA!U$61*($W242^Transportation_LCIA!U$60)+Transportation_LCIA!U$62</f>
        <v>5.3192902227867434E-4</v>
      </c>
      <c r="AR242" s="137">
        <f>Transportation_LCIA!V$61*($W242^Transportation_LCIA!V$60)+Transportation_LCIA!V$62</f>
        <v>2.1891514780928193E-4</v>
      </c>
      <c r="AT242" s="137">
        <f>$W242*Y242+$L242*Summary_LCIA!H$32</f>
        <v>270.73111028288127</v>
      </c>
      <c r="AU242" s="137">
        <f>$W242*Z242+$L242*Summary_LCIA!Q$32</f>
        <v>2794.0242291571303</v>
      </c>
      <c r="AV242" s="137">
        <f>$W242*AA242+$L242*Summary_LCIA!R$32</f>
        <v>1.3505621427332315</v>
      </c>
      <c r="AW242" s="137">
        <f>$W242*AB242+$L242*Summary_LCIA!S$32</f>
        <v>270.61228742288125</v>
      </c>
      <c r="AX242" s="137">
        <f>$W242*AC242+$L242*Summary_LCIA!T$32</f>
        <v>65.199260891203721</v>
      </c>
      <c r="AY242" s="137">
        <f>$W242*AD242+$L242*Summary_LCIA!U$32</f>
        <v>0.77771747437453598</v>
      </c>
      <c r="AZ242" s="137">
        <f>$W242*AE242+$L242*Summary_LCIA!V$32</f>
        <v>7.4844055102975052E-3</v>
      </c>
      <c r="BA242" s="137">
        <f>$W242*AF242+$L242*Summary_LCIA!W$32</f>
        <v>11.240972524763784</v>
      </c>
      <c r="BB242" s="137">
        <f>$W242*AG242+$L242*Summary_LCIA!X$32</f>
        <v>13.734042376664284</v>
      </c>
      <c r="BC242" s="137">
        <f>$W242*AH242+$L242*Summary_LCIA!Y$32</f>
        <v>0.67366578760610774</v>
      </c>
      <c r="BD242" s="137">
        <f>$W242*AI242+$L242*Summary_LCIA!Z$32</f>
        <v>0.2735656094439155</v>
      </c>
      <c r="BE242" s="137">
        <f>$W242*AJ242+$L242*Summary_LCIA!AA$32</f>
        <v>1.6945682329437051</v>
      </c>
      <c r="BF242" s="137">
        <f>$W242*AK242+$L242*Summary_LCIA!AB$32</f>
        <v>6.5153896538323611E-2</v>
      </c>
      <c r="BG242" s="137">
        <f>$W242*AL242+$L242*Summary_LCIA!AC$32</f>
        <v>3.3123346708546422E-5</v>
      </c>
      <c r="BH242" s="137">
        <f>$W242*AM242+$L242*Summary_LCIA!AD$32</f>
        <v>0.11206714028957328</v>
      </c>
      <c r="BI242" s="137">
        <f>$W242*AN242+$L242*Summary_LCIA!AE$32</f>
        <v>0.32216718993857069</v>
      </c>
      <c r="BJ242" s="137">
        <f>$W242*AO242+$L242*Summary_LCIA!AF$32</f>
        <v>2.7270443766760404E-2</v>
      </c>
      <c r="BK242" s="137">
        <f>$W242*AP242+$L242*Summary_LCIA!AG$32</f>
        <v>5.9184866017604016E-3</v>
      </c>
      <c r="BL242" s="137">
        <f>$W242*AQ242+$L242*Summary_LCIA!AH$32</f>
        <v>0.87235326767152788</v>
      </c>
      <c r="BM242" s="137">
        <f>$W242*AR242+$L242*Summary_LCIA!AI$32</f>
        <v>0.28776554879164912</v>
      </c>
    </row>
    <row r="243" spans="1:65" x14ac:dyDescent="0.25">
      <c r="A243" s="149">
        <v>286</v>
      </c>
      <c r="B243" s="149">
        <v>43</v>
      </c>
      <c r="C243" s="61">
        <v>33.771270999999999</v>
      </c>
      <c r="D243" s="61">
        <v>-84.389756000000006</v>
      </c>
      <c r="E243" s="61" t="s">
        <v>265</v>
      </c>
      <c r="F243" s="149">
        <v>1</v>
      </c>
      <c r="G243" s="61" t="s">
        <v>565</v>
      </c>
      <c r="H243" s="61" t="s">
        <v>681</v>
      </c>
      <c r="I243" s="61">
        <v>33.640728000000003</v>
      </c>
      <c r="J243" s="61">
        <v>-84.427700000000002</v>
      </c>
      <c r="K243" s="61">
        <v>22.091562750000001</v>
      </c>
      <c r="L243" s="61">
        <v>18.202999999999999</v>
      </c>
      <c r="M243" s="61" t="s">
        <v>617</v>
      </c>
      <c r="N243" s="149">
        <v>42</v>
      </c>
      <c r="O243" s="149">
        <v>43</v>
      </c>
      <c r="P243" s="61" t="s">
        <v>565</v>
      </c>
      <c r="Q243" s="61" t="s">
        <v>555</v>
      </c>
      <c r="R243" s="61">
        <v>40.6895314</v>
      </c>
      <c r="S243" s="61">
        <v>-74.174462399999996</v>
      </c>
      <c r="T243" s="61">
        <v>1367.4929999999999</v>
      </c>
      <c r="U243" s="61" t="s">
        <v>617</v>
      </c>
      <c r="V243" s="61" t="s">
        <v>569</v>
      </c>
      <c r="W243" s="61" cm="1">
        <f t="array" ref="W243">getDistance(I243,J243,R243,S243)*SA!$B$12</f>
        <v>1200.1119738435468</v>
      </c>
      <c r="Y243" s="137">
        <f>Transportation_LCIA!C$61*($W243^Transportation_LCIA!C$60)+Transportation_LCIA!C$62</f>
        <v>0.21797654934237359</v>
      </c>
      <c r="Z243" s="137">
        <f>Transportation_LCIA!D$61*($W243^Transportation_LCIA!D$60)+Transportation_LCIA!D$62</f>
        <v>2.2171187217182675</v>
      </c>
      <c r="AA243" s="137">
        <f>Transportation_LCIA!E$61*($W243^Transportation_LCIA!E$60)+Transportation_LCIA!E$62</f>
        <v>1.0074118451307481E-3</v>
      </c>
      <c r="AB243" s="137">
        <f>Transportation_LCIA!F$61*($W243^Transportation_LCIA!F$60)+Transportation_LCIA!F$62</f>
        <v>0.21797654934237359</v>
      </c>
      <c r="AC243" s="137">
        <f>Transportation_LCIA!G$61*($W243^Transportation_LCIA!G$60)+Transportation_LCIA!G$62</f>
        <v>5.1865842977847243E-2</v>
      </c>
      <c r="AD243" s="137">
        <f>Transportation_LCIA!H$61*($W243^Transportation_LCIA!H$60)+Transportation_LCIA!H$62</f>
        <v>2.4675648508540071E-4</v>
      </c>
      <c r="AE243" s="137">
        <f>Transportation_LCIA!I$61*($W243^Transportation_LCIA!I$60)+Transportation_LCIA!I$62</f>
        <v>5.1665566900725128E-6</v>
      </c>
      <c r="AF243" s="137">
        <f>Transportation_LCIA!J$61*($W243^Transportation_LCIA!J$60)+Transportation_LCIA!J$62</f>
        <v>7.6424211504113075E-3</v>
      </c>
      <c r="AG243" s="137">
        <f>Transportation_LCIA!K$61*($W243^Transportation_LCIA!K$60)+Transportation_LCIA!K$62</f>
        <v>1.0933686124837293E-2</v>
      </c>
      <c r="AH243" s="137">
        <f>Transportation_LCIA!L$61*($W243^Transportation_LCIA!L$60)+Transportation_LCIA!L$62</f>
        <v>2.1229259199052167E-4</v>
      </c>
      <c r="AI243" s="137">
        <f>Transportation_LCIA!M$61*($W243^Transportation_LCIA!M$60)+Transportation_LCIA!M$62</f>
        <v>2.2703145242715102E-4</v>
      </c>
      <c r="AJ243" s="137">
        <f>Transportation_LCIA!N$61*($W243^Transportation_LCIA!N$60)+Transportation_LCIA!N$62</f>
        <v>8.8882446654328976E-4</v>
      </c>
      <c r="AK243" s="137">
        <f>Transportation_LCIA!O$61*($W243^Transportation_LCIA!O$60)+Transportation_LCIA!O$62</f>
        <v>5.477869205552474E-5</v>
      </c>
      <c r="AL243" s="137">
        <f>Transportation_LCIA!P$61*($W243^Transportation_LCIA!P$60)+Transportation_LCIA!P$62</f>
        <v>2.6505191873615325E-8</v>
      </c>
      <c r="AM243" s="137">
        <f>Transportation_LCIA!Q$61*($W243^Transportation_LCIA!Q$60)+Transportation_LCIA!Q$62</f>
        <v>8.4173105652841722E-5</v>
      </c>
      <c r="AN243" s="137">
        <f>Transportation_LCIA!R$61*($W243^Transportation_LCIA!R$60)+Transportation_LCIA!R$62</f>
        <v>2.4859793390201158E-4</v>
      </c>
      <c r="AO243" s="137">
        <f>Transportation_LCIA!S$61*($W243^Transportation_LCIA!S$60)+Transportation_LCIA!S$62</f>
        <v>3.7854950252772454E-6</v>
      </c>
      <c r="AP243" s="137">
        <f>Transportation_LCIA!T$61*($W243^Transportation_LCIA!T$60)+Transportation_LCIA!T$62</f>
        <v>3.7854950252772454E-6</v>
      </c>
      <c r="AQ243" s="137">
        <f>Transportation_LCIA!U$61*($W243^Transportation_LCIA!U$60)+Transportation_LCIA!U$62</f>
        <v>5.3192902227867434E-4</v>
      </c>
      <c r="AR243" s="137">
        <f>Transportation_LCIA!V$61*($W243^Transportation_LCIA!V$60)+Transportation_LCIA!V$62</f>
        <v>2.1891514780928193E-4</v>
      </c>
      <c r="AT243" s="137">
        <f>$W243*Y243+$L243*Summary_LCIA!H$32</f>
        <v>267.78164628288124</v>
      </c>
      <c r="AU243" s="137">
        <f>$W243*Z243+$L243*Summary_LCIA!Q$32</f>
        <v>2751.0057113986904</v>
      </c>
      <c r="AV243" s="137">
        <f>$W243*AA243+$L243*Summary_LCIA!R$32</f>
        <v>1.3048567347332316</v>
      </c>
      <c r="AW243" s="137">
        <f>$W243*AB243+$L243*Summary_LCIA!S$32</f>
        <v>267.70118902288124</v>
      </c>
      <c r="AX243" s="137">
        <f>$W243*AC243+$L243*Summary_LCIA!T$32</f>
        <v>64.245328891203712</v>
      </c>
      <c r="AY243" s="137">
        <f>$W243*AD243+$L243*Summary_LCIA!U$32</f>
        <v>0.62222395437453604</v>
      </c>
      <c r="AZ243" s="137">
        <f>$W243*AE243+$L243*Summary_LCIA!V$32</f>
        <v>7.0698400302975049E-3</v>
      </c>
      <c r="BA243" s="137">
        <f>$W243*AF243+$L243*Summary_LCIA!W$32</f>
        <v>10.572864244763784</v>
      </c>
      <c r="BB243" s="137">
        <f>$W243*AG243+$L243*Summary_LCIA!X$32</f>
        <v>13.536311976664283</v>
      </c>
      <c r="BC243" s="137">
        <f>$W243*AH243+$L243*Summary_LCIA!Y$32</f>
        <v>0.53841402760610779</v>
      </c>
      <c r="BD243" s="137">
        <f>$W243*AI243+$L243*Summary_LCIA!Z$32</f>
        <v>0.2732096513239155</v>
      </c>
      <c r="BE243" s="137">
        <f>$W243*AJ243+$L243*Summary_LCIA!AA$32</f>
        <v>1.491838152943705</v>
      </c>
      <c r="BF243" s="137">
        <f>$W243*AK243+$L243*Summary_LCIA!AB$32</f>
        <v>6.5343320178323602E-2</v>
      </c>
      <c r="BG243" s="137">
        <f>$W243*AL243+$L243*Summary_LCIA!AC$32</f>
        <v>3.269903358854642E-5</v>
      </c>
      <c r="BH243" s="137">
        <f>$W243*AM243+$L243*Summary_LCIA!AD$32</f>
        <v>0.10849931308957328</v>
      </c>
      <c r="BI243" s="137">
        <f>$W243*AN243+$L243*Summary_LCIA!AE$32</f>
        <v>0.31447558153857069</v>
      </c>
      <c r="BJ243" s="137">
        <f>$W243*AO243+$L243*Summary_LCIA!AF$32</f>
        <v>1.9932198166760402E-2</v>
      </c>
      <c r="BK243" s="137">
        <f>$W243*AP243+$L243*Summary_LCIA!AG$32</f>
        <v>5.4743744017604016E-3</v>
      </c>
      <c r="BL243" s="137">
        <f>$W243*AQ243+$L243*Summary_LCIA!AH$32</f>
        <v>0.79680601967152787</v>
      </c>
      <c r="BM243" s="137">
        <f>$W243*AR243+$L243*Summary_LCIA!AI$32</f>
        <v>0.27967969479164911</v>
      </c>
    </row>
    <row r="244" spans="1:65" x14ac:dyDescent="0.25">
      <c r="A244" s="149">
        <v>358</v>
      </c>
      <c r="B244" s="149">
        <v>43</v>
      </c>
      <c r="C244" s="61">
        <v>33.812429000000002</v>
      </c>
      <c r="D244" s="61">
        <v>-84.420958999999996</v>
      </c>
      <c r="E244" s="61" t="s">
        <v>265</v>
      </c>
      <c r="F244" s="149">
        <v>1</v>
      </c>
      <c r="G244" s="61" t="s">
        <v>565</v>
      </c>
      <c r="H244" s="61" t="s">
        <v>681</v>
      </c>
      <c r="I244" s="61">
        <v>33.640728000000003</v>
      </c>
      <c r="J244" s="61">
        <v>-84.427700000000002</v>
      </c>
      <c r="K244" s="61">
        <v>28.524966559999999</v>
      </c>
      <c r="L244" s="61">
        <v>24.202000000000002</v>
      </c>
      <c r="M244" s="61" t="s">
        <v>617</v>
      </c>
      <c r="N244" s="149">
        <v>42</v>
      </c>
      <c r="O244" s="149">
        <v>43</v>
      </c>
      <c r="P244" s="61" t="s">
        <v>565</v>
      </c>
      <c r="Q244" s="61" t="s">
        <v>555</v>
      </c>
      <c r="R244" s="61">
        <v>40.6895314</v>
      </c>
      <c r="S244" s="61">
        <v>-74.174462399999996</v>
      </c>
      <c r="T244" s="61">
        <v>1368.5519999999999</v>
      </c>
      <c r="U244" s="61" t="s">
        <v>617</v>
      </c>
      <c r="V244" s="61" t="s">
        <v>569</v>
      </c>
      <c r="W244" s="61" cm="1">
        <f t="array" ref="W244">getDistance(I244,J244,R244,S244)*SA!$B$12</f>
        <v>1200.1119738435468</v>
      </c>
      <c r="Y244" s="137">
        <f>Transportation_LCIA!C$61*($W244^Transportation_LCIA!C$60)+Transportation_LCIA!C$62</f>
        <v>0.21797654934237359</v>
      </c>
      <c r="Z244" s="137">
        <f>Transportation_LCIA!D$61*($W244^Transportation_LCIA!D$60)+Transportation_LCIA!D$62</f>
        <v>2.2171187217182675</v>
      </c>
      <c r="AA244" s="137">
        <f>Transportation_LCIA!E$61*($W244^Transportation_LCIA!E$60)+Transportation_LCIA!E$62</f>
        <v>1.0074118451307481E-3</v>
      </c>
      <c r="AB244" s="137">
        <f>Transportation_LCIA!F$61*($W244^Transportation_LCIA!F$60)+Transportation_LCIA!F$62</f>
        <v>0.21797654934237359</v>
      </c>
      <c r="AC244" s="137">
        <f>Transportation_LCIA!G$61*($W244^Transportation_LCIA!G$60)+Transportation_LCIA!G$62</f>
        <v>5.1865842977847243E-2</v>
      </c>
      <c r="AD244" s="137">
        <f>Transportation_LCIA!H$61*($W244^Transportation_LCIA!H$60)+Transportation_LCIA!H$62</f>
        <v>2.4675648508540071E-4</v>
      </c>
      <c r="AE244" s="137">
        <f>Transportation_LCIA!I$61*($W244^Transportation_LCIA!I$60)+Transportation_LCIA!I$62</f>
        <v>5.1665566900725128E-6</v>
      </c>
      <c r="AF244" s="137">
        <f>Transportation_LCIA!J$61*($W244^Transportation_LCIA!J$60)+Transportation_LCIA!J$62</f>
        <v>7.6424211504113075E-3</v>
      </c>
      <c r="AG244" s="137">
        <f>Transportation_LCIA!K$61*($W244^Transportation_LCIA!K$60)+Transportation_LCIA!K$62</f>
        <v>1.0933686124837293E-2</v>
      </c>
      <c r="AH244" s="137">
        <f>Transportation_LCIA!L$61*($W244^Transportation_LCIA!L$60)+Transportation_LCIA!L$62</f>
        <v>2.1229259199052167E-4</v>
      </c>
      <c r="AI244" s="137">
        <f>Transportation_LCIA!M$61*($W244^Transportation_LCIA!M$60)+Transportation_LCIA!M$62</f>
        <v>2.2703145242715102E-4</v>
      </c>
      <c r="AJ244" s="137">
        <f>Transportation_LCIA!N$61*($W244^Transportation_LCIA!N$60)+Transportation_LCIA!N$62</f>
        <v>8.8882446654328976E-4</v>
      </c>
      <c r="AK244" s="137">
        <f>Transportation_LCIA!O$61*($W244^Transportation_LCIA!O$60)+Transportation_LCIA!O$62</f>
        <v>5.477869205552474E-5</v>
      </c>
      <c r="AL244" s="137">
        <f>Transportation_LCIA!P$61*($W244^Transportation_LCIA!P$60)+Transportation_LCIA!P$62</f>
        <v>2.6505191873615325E-8</v>
      </c>
      <c r="AM244" s="137">
        <f>Transportation_LCIA!Q$61*($W244^Transportation_LCIA!Q$60)+Transportation_LCIA!Q$62</f>
        <v>8.4173105652841722E-5</v>
      </c>
      <c r="AN244" s="137">
        <f>Transportation_LCIA!R$61*($W244^Transportation_LCIA!R$60)+Transportation_LCIA!R$62</f>
        <v>2.4859793390201158E-4</v>
      </c>
      <c r="AO244" s="137">
        <f>Transportation_LCIA!S$61*($W244^Transportation_LCIA!S$60)+Transportation_LCIA!S$62</f>
        <v>3.7854950252772454E-6</v>
      </c>
      <c r="AP244" s="137">
        <f>Transportation_LCIA!T$61*($W244^Transportation_LCIA!T$60)+Transportation_LCIA!T$62</f>
        <v>3.7854950252772454E-6</v>
      </c>
      <c r="AQ244" s="137">
        <f>Transportation_LCIA!U$61*($W244^Transportation_LCIA!U$60)+Transportation_LCIA!U$62</f>
        <v>5.3192902227867434E-4</v>
      </c>
      <c r="AR244" s="137">
        <f>Transportation_LCIA!V$61*($W244^Transportation_LCIA!V$60)+Transportation_LCIA!V$62</f>
        <v>2.1891514780928193E-4</v>
      </c>
      <c r="AT244" s="137">
        <f>$W244*Y244+$L244*Summary_LCIA!H$32</f>
        <v>269.82010648288127</v>
      </c>
      <c r="AU244" s="137">
        <f>$W244*Z244+$L244*Summary_LCIA!Q$32</f>
        <v>2780.7370579462572</v>
      </c>
      <c r="AV244" s="137">
        <f>$W244*AA244+$L244*Summary_LCIA!R$32</f>
        <v>1.3364450691332315</v>
      </c>
      <c r="AW244" s="137">
        <f>$W244*AB244+$L244*Summary_LCIA!S$32</f>
        <v>269.71313364288125</v>
      </c>
      <c r="AX244" s="137">
        <f>$W244*AC244+$L244*Summary_LCIA!T$32</f>
        <v>64.904618991203719</v>
      </c>
      <c r="AY244" s="137">
        <f>$W244*AD244+$L244*Summary_LCIA!U$32</f>
        <v>0.729690040374536</v>
      </c>
      <c r="AZ244" s="137">
        <f>$W244*AE244+$L244*Summary_LCIA!V$32</f>
        <v>7.3563582692975048E-3</v>
      </c>
      <c r="BA244" s="137">
        <f>$W244*AF244+$L244*Summary_LCIA!W$32</f>
        <v>11.034613273763783</v>
      </c>
      <c r="BB244" s="137">
        <f>$W244*AG244+$L244*Summary_LCIA!X$32</f>
        <v>13.672969196664283</v>
      </c>
      <c r="BC244" s="137">
        <f>$W244*AH244+$L244*Summary_LCIA!Y$32</f>
        <v>0.63189044560610774</v>
      </c>
      <c r="BD244" s="137">
        <f>$W244*AI244+$L244*Summary_LCIA!Z$32</f>
        <v>0.27345566431491547</v>
      </c>
      <c r="BE244" s="137">
        <f>$W244*AJ244+$L244*Summary_LCIA!AA$32</f>
        <v>1.631950796943705</v>
      </c>
      <c r="BF244" s="137">
        <f>$W244*AK244+$L244*Summary_LCIA!AB$32</f>
        <v>6.5212404001323609E-2</v>
      </c>
      <c r="BG244" s="137">
        <f>$W244*AL244+$L244*Summary_LCIA!AC$32</f>
        <v>3.299228870454642E-5</v>
      </c>
      <c r="BH244" s="137">
        <f>$W244*AM244+$L244*Summary_LCIA!AD$32</f>
        <v>0.11096514204957328</v>
      </c>
      <c r="BI244" s="137">
        <f>$W244*AN244+$L244*Summary_LCIA!AE$32</f>
        <v>0.31979147540857067</v>
      </c>
      <c r="BJ244" s="137">
        <f>$W244*AO244+$L244*Summary_LCIA!AF$32</f>
        <v>2.5003872746760407E-2</v>
      </c>
      <c r="BK244" s="137">
        <f>$W244*AP244+$L244*Summary_LCIA!AG$32</f>
        <v>5.7813132367604018E-3</v>
      </c>
      <c r="BL244" s="137">
        <f>$W244*AQ244+$L244*Summary_LCIA!AH$32</f>
        <v>0.84901891607152791</v>
      </c>
      <c r="BM244" s="137">
        <f>$W244*AR244+$L244*Summary_LCIA!AI$32</f>
        <v>0.28526806324164911</v>
      </c>
    </row>
    <row r="245" spans="1:65" x14ac:dyDescent="0.25">
      <c r="A245" s="149">
        <v>359</v>
      </c>
      <c r="B245" s="149">
        <v>43</v>
      </c>
      <c r="C245" s="61">
        <v>33.812429000000002</v>
      </c>
      <c r="D245" s="61">
        <v>-84.420958999999996</v>
      </c>
      <c r="E245" s="61" t="s">
        <v>265</v>
      </c>
      <c r="F245" s="149">
        <v>1</v>
      </c>
      <c r="G245" s="61" t="s">
        <v>565</v>
      </c>
      <c r="H245" s="61" t="s">
        <v>681</v>
      </c>
      <c r="I245" s="61">
        <v>33.640728000000003</v>
      </c>
      <c r="J245" s="61">
        <v>-84.427700000000002</v>
      </c>
      <c r="K245" s="61">
        <v>28.524966559999999</v>
      </c>
      <c r="L245" s="61">
        <v>24.202000000000002</v>
      </c>
      <c r="M245" s="61" t="s">
        <v>617</v>
      </c>
      <c r="N245" s="149">
        <v>42</v>
      </c>
      <c r="O245" s="149">
        <v>43</v>
      </c>
      <c r="P245" s="61" t="s">
        <v>565</v>
      </c>
      <c r="Q245" s="61" t="s">
        <v>555</v>
      </c>
      <c r="R245" s="61">
        <v>40.6895314</v>
      </c>
      <c r="S245" s="61">
        <v>-74.174462399999996</v>
      </c>
      <c r="T245" s="61">
        <v>1368.5519999999999</v>
      </c>
      <c r="U245" s="61" t="s">
        <v>617</v>
      </c>
      <c r="V245" s="61" t="s">
        <v>569</v>
      </c>
      <c r="W245" s="61" cm="1">
        <f t="array" ref="W245">getDistance(I245,J245,R245,S245)*SA!$B$12</f>
        <v>1200.1119738435468</v>
      </c>
      <c r="Y245" s="137">
        <f>Transportation_LCIA!C$61*($W245^Transportation_LCIA!C$60)+Transportation_LCIA!C$62</f>
        <v>0.21797654934237359</v>
      </c>
      <c r="Z245" s="137">
        <f>Transportation_LCIA!D$61*($W245^Transportation_LCIA!D$60)+Transportation_LCIA!D$62</f>
        <v>2.2171187217182675</v>
      </c>
      <c r="AA245" s="137">
        <f>Transportation_LCIA!E$61*($W245^Transportation_LCIA!E$60)+Transportation_LCIA!E$62</f>
        <v>1.0074118451307481E-3</v>
      </c>
      <c r="AB245" s="137">
        <f>Transportation_LCIA!F$61*($W245^Transportation_LCIA!F$60)+Transportation_LCIA!F$62</f>
        <v>0.21797654934237359</v>
      </c>
      <c r="AC245" s="137">
        <f>Transportation_LCIA!G$61*($W245^Transportation_LCIA!G$60)+Transportation_LCIA!G$62</f>
        <v>5.1865842977847243E-2</v>
      </c>
      <c r="AD245" s="137">
        <f>Transportation_LCIA!H$61*($W245^Transportation_LCIA!H$60)+Transportation_LCIA!H$62</f>
        <v>2.4675648508540071E-4</v>
      </c>
      <c r="AE245" s="137">
        <f>Transportation_LCIA!I$61*($W245^Transportation_LCIA!I$60)+Transportation_LCIA!I$62</f>
        <v>5.1665566900725128E-6</v>
      </c>
      <c r="AF245" s="137">
        <f>Transportation_LCIA!J$61*($W245^Transportation_LCIA!J$60)+Transportation_LCIA!J$62</f>
        <v>7.6424211504113075E-3</v>
      </c>
      <c r="AG245" s="137">
        <f>Transportation_LCIA!K$61*($W245^Transportation_LCIA!K$60)+Transportation_LCIA!K$62</f>
        <v>1.0933686124837293E-2</v>
      </c>
      <c r="AH245" s="137">
        <f>Transportation_LCIA!L$61*($W245^Transportation_LCIA!L$60)+Transportation_LCIA!L$62</f>
        <v>2.1229259199052167E-4</v>
      </c>
      <c r="AI245" s="137">
        <f>Transportation_LCIA!M$61*($W245^Transportation_LCIA!M$60)+Transportation_LCIA!M$62</f>
        <v>2.2703145242715102E-4</v>
      </c>
      <c r="AJ245" s="137">
        <f>Transportation_LCIA!N$61*($W245^Transportation_LCIA!N$60)+Transportation_LCIA!N$62</f>
        <v>8.8882446654328976E-4</v>
      </c>
      <c r="AK245" s="137">
        <f>Transportation_LCIA!O$61*($W245^Transportation_LCIA!O$60)+Transportation_LCIA!O$62</f>
        <v>5.477869205552474E-5</v>
      </c>
      <c r="AL245" s="137">
        <f>Transportation_LCIA!P$61*($W245^Transportation_LCIA!P$60)+Transportation_LCIA!P$62</f>
        <v>2.6505191873615325E-8</v>
      </c>
      <c r="AM245" s="137">
        <f>Transportation_LCIA!Q$61*($W245^Transportation_LCIA!Q$60)+Transportation_LCIA!Q$62</f>
        <v>8.4173105652841722E-5</v>
      </c>
      <c r="AN245" s="137">
        <f>Transportation_LCIA!R$61*($W245^Transportation_LCIA!R$60)+Transportation_LCIA!R$62</f>
        <v>2.4859793390201158E-4</v>
      </c>
      <c r="AO245" s="137">
        <f>Transportation_LCIA!S$61*($W245^Transportation_LCIA!S$60)+Transportation_LCIA!S$62</f>
        <v>3.7854950252772454E-6</v>
      </c>
      <c r="AP245" s="137">
        <f>Transportation_LCIA!T$61*($W245^Transportation_LCIA!T$60)+Transportation_LCIA!T$62</f>
        <v>3.7854950252772454E-6</v>
      </c>
      <c r="AQ245" s="137">
        <f>Transportation_LCIA!U$61*($W245^Transportation_LCIA!U$60)+Transportation_LCIA!U$62</f>
        <v>5.3192902227867434E-4</v>
      </c>
      <c r="AR245" s="137">
        <f>Transportation_LCIA!V$61*($W245^Transportation_LCIA!V$60)+Transportation_LCIA!V$62</f>
        <v>2.1891514780928193E-4</v>
      </c>
      <c r="AT245" s="137">
        <f>$W245*Y245+$L245*Summary_LCIA!H$32</f>
        <v>269.82010648288127</v>
      </c>
      <c r="AU245" s="137">
        <f>$W245*Z245+$L245*Summary_LCIA!Q$32</f>
        <v>2780.7370579462572</v>
      </c>
      <c r="AV245" s="137">
        <f>$W245*AA245+$L245*Summary_LCIA!R$32</f>
        <v>1.3364450691332315</v>
      </c>
      <c r="AW245" s="137">
        <f>$W245*AB245+$L245*Summary_LCIA!S$32</f>
        <v>269.71313364288125</v>
      </c>
      <c r="AX245" s="137">
        <f>$W245*AC245+$L245*Summary_LCIA!T$32</f>
        <v>64.904618991203719</v>
      </c>
      <c r="AY245" s="137">
        <f>$W245*AD245+$L245*Summary_LCIA!U$32</f>
        <v>0.729690040374536</v>
      </c>
      <c r="AZ245" s="137">
        <f>$W245*AE245+$L245*Summary_LCIA!V$32</f>
        <v>7.3563582692975048E-3</v>
      </c>
      <c r="BA245" s="137">
        <f>$W245*AF245+$L245*Summary_LCIA!W$32</f>
        <v>11.034613273763783</v>
      </c>
      <c r="BB245" s="137">
        <f>$W245*AG245+$L245*Summary_LCIA!X$32</f>
        <v>13.672969196664283</v>
      </c>
      <c r="BC245" s="137">
        <f>$W245*AH245+$L245*Summary_LCIA!Y$32</f>
        <v>0.63189044560610774</v>
      </c>
      <c r="BD245" s="137">
        <f>$W245*AI245+$L245*Summary_LCIA!Z$32</f>
        <v>0.27345566431491547</v>
      </c>
      <c r="BE245" s="137">
        <f>$W245*AJ245+$L245*Summary_LCIA!AA$32</f>
        <v>1.631950796943705</v>
      </c>
      <c r="BF245" s="137">
        <f>$W245*AK245+$L245*Summary_LCIA!AB$32</f>
        <v>6.5212404001323609E-2</v>
      </c>
      <c r="BG245" s="137">
        <f>$W245*AL245+$L245*Summary_LCIA!AC$32</f>
        <v>3.299228870454642E-5</v>
      </c>
      <c r="BH245" s="137">
        <f>$W245*AM245+$L245*Summary_LCIA!AD$32</f>
        <v>0.11096514204957328</v>
      </c>
      <c r="BI245" s="137">
        <f>$W245*AN245+$L245*Summary_LCIA!AE$32</f>
        <v>0.31979147540857067</v>
      </c>
      <c r="BJ245" s="137">
        <f>$W245*AO245+$L245*Summary_LCIA!AF$32</f>
        <v>2.5003872746760407E-2</v>
      </c>
      <c r="BK245" s="137">
        <f>$W245*AP245+$L245*Summary_LCIA!AG$32</f>
        <v>5.7813132367604018E-3</v>
      </c>
      <c r="BL245" s="137">
        <f>$W245*AQ245+$L245*Summary_LCIA!AH$32</f>
        <v>0.84901891607152791</v>
      </c>
      <c r="BM245" s="137">
        <f>$W245*AR245+$L245*Summary_LCIA!AI$32</f>
        <v>0.28526806324164911</v>
      </c>
    </row>
    <row r="246" spans="1:65" x14ac:dyDescent="0.25">
      <c r="A246" s="149">
        <v>137</v>
      </c>
      <c r="B246" s="149">
        <v>43</v>
      </c>
      <c r="C246" s="61">
        <v>33.748995000000001</v>
      </c>
      <c r="D246" s="61">
        <v>-84.387981999999994</v>
      </c>
      <c r="E246" s="61" t="s">
        <v>265</v>
      </c>
      <c r="F246" s="149">
        <v>1</v>
      </c>
      <c r="G246" s="61" t="s">
        <v>565</v>
      </c>
      <c r="H246" s="61" t="s">
        <v>681</v>
      </c>
      <c r="I246" s="61">
        <v>33.640728000000003</v>
      </c>
      <c r="J246" s="61">
        <v>-84.427700000000002</v>
      </c>
      <c r="K246" s="61">
        <v>18.49134737</v>
      </c>
      <c r="L246" s="61">
        <v>14.686999999999999</v>
      </c>
      <c r="M246" s="61" t="s">
        <v>617</v>
      </c>
      <c r="N246" s="149">
        <v>42</v>
      </c>
      <c r="O246" s="149">
        <v>43</v>
      </c>
      <c r="P246" s="61" t="s">
        <v>565</v>
      </c>
      <c r="Q246" s="61" t="s">
        <v>555</v>
      </c>
      <c r="R246" s="61">
        <v>40.6895314</v>
      </c>
      <c r="S246" s="61">
        <v>-74.174462399999996</v>
      </c>
      <c r="T246" s="61">
        <v>1370.577</v>
      </c>
      <c r="U246" s="61" t="s">
        <v>617</v>
      </c>
      <c r="V246" s="61" t="s">
        <v>569</v>
      </c>
      <c r="W246" s="61" cm="1">
        <f t="array" ref="W246">getDistance(I246,J246,R246,S246)*SA!$B$12</f>
        <v>1200.1119738435468</v>
      </c>
      <c r="Y246" s="137">
        <f>Transportation_LCIA!C$61*($W246^Transportation_LCIA!C$60)+Transportation_LCIA!C$62</f>
        <v>0.21797654934237359</v>
      </c>
      <c r="Z246" s="137">
        <f>Transportation_LCIA!D$61*($W246^Transportation_LCIA!D$60)+Transportation_LCIA!D$62</f>
        <v>2.2171187217182675</v>
      </c>
      <c r="AA246" s="137">
        <f>Transportation_LCIA!E$61*($W246^Transportation_LCIA!E$60)+Transportation_LCIA!E$62</f>
        <v>1.0074118451307481E-3</v>
      </c>
      <c r="AB246" s="137">
        <f>Transportation_LCIA!F$61*($W246^Transportation_LCIA!F$60)+Transportation_LCIA!F$62</f>
        <v>0.21797654934237359</v>
      </c>
      <c r="AC246" s="137">
        <f>Transportation_LCIA!G$61*($W246^Transportation_LCIA!G$60)+Transportation_LCIA!G$62</f>
        <v>5.1865842977847243E-2</v>
      </c>
      <c r="AD246" s="137">
        <f>Transportation_LCIA!H$61*($W246^Transportation_LCIA!H$60)+Transportation_LCIA!H$62</f>
        <v>2.4675648508540071E-4</v>
      </c>
      <c r="AE246" s="137">
        <f>Transportation_LCIA!I$61*($W246^Transportation_LCIA!I$60)+Transportation_LCIA!I$62</f>
        <v>5.1665566900725128E-6</v>
      </c>
      <c r="AF246" s="137">
        <f>Transportation_LCIA!J$61*($W246^Transportation_LCIA!J$60)+Transportation_LCIA!J$62</f>
        <v>7.6424211504113075E-3</v>
      </c>
      <c r="AG246" s="137">
        <f>Transportation_LCIA!K$61*($W246^Transportation_LCIA!K$60)+Transportation_LCIA!K$62</f>
        <v>1.0933686124837293E-2</v>
      </c>
      <c r="AH246" s="137">
        <f>Transportation_LCIA!L$61*($W246^Transportation_LCIA!L$60)+Transportation_LCIA!L$62</f>
        <v>2.1229259199052167E-4</v>
      </c>
      <c r="AI246" s="137">
        <f>Transportation_LCIA!M$61*($W246^Transportation_LCIA!M$60)+Transportation_LCIA!M$62</f>
        <v>2.2703145242715102E-4</v>
      </c>
      <c r="AJ246" s="137">
        <f>Transportation_LCIA!N$61*($W246^Transportation_LCIA!N$60)+Transportation_LCIA!N$62</f>
        <v>8.8882446654328976E-4</v>
      </c>
      <c r="AK246" s="137">
        <f>Transportation_LCIA!O$61*($W246^Transportation_LCIA!O$60)+Transportation_LCIA!O$62</f>
        <v>5.477869205552474E-5</v>
      </c>
      <c r="AL246" s="137">
        <f>Transportation_LCIA!P$61*($W246^Transportation_LCIA!P$60)+Transportation_LCIA!P$62</f>
        <v>2.6505191873615325E-8</v>
      </c>
      <c r="AM246" s="137">
        <f>Transportation_LCIA!Q$61*($W246^Transportation_LCIA!Q$60)+Transportation_LCIA!Q$62</f>
        <v>8.4173105652841722E-5</v>
      </c>
      <c r="AN246" s="137">
        <f>Transportation_LCIA!R$61*($W246^Transportation_LCIA!R$60)+Transportation_LCIA!R$62</f>
        <v>2.4859793390201158E-4</v>
      </c>
      <c r="AO246" s="137">
        <f>Transportation_LCIA!S$61*($W246^Transportation_LCIA!S$60)+Transportation_LCIA!S$62</f>
        <v>3.7854950252772454E-6</v>
      </c>
      <c r="AP246" s="137">
        <f>Transportation_LCIA!T$61*($W246^Transportation_LCIA!T$60)+Transportation_LCIA!T$62</f>
        <v>3.7854950252772454E-6</v>
      </c>
      <c r="AQ246" s="137">
        <f>Transportation_LCIA!U$61*($W246^Transportation_LCIA!U$60)+Transportation_LCIA!U$62</f>
        <v>5.3192902227867434E-4</v>
      </c>
      <c r="AR246" s="137">
        <f>Transportation_LCIA!V$61*($W246^Transportation_LCIA!V$60)+Transportation_LCIA!V$62</f>
        <v>2.1891514780928193E-4</v>
      </c>
      <c r="AT246" s="137">
        <f>$W246*Y246+$L246*Summary_LCIA!H$32</f>
        <v>266.58690948288125</v>
      </c>
      <c r="AU246" s="137">
        <f>$W246*Z246+$L246*Summary_LCIA!Q$32</f>
        <v>2733.5802380762625</v>
      </c>
      <c r="AV246" s="137">
        <f>$W246*AA246+$L246*Summary_LCIA!R$32</f>
        <v>1.2863428851332315</v>
      </c>
      <c r="AW246" s="137">
        <f>$W246*AB246+$L246*Summary_LCIA!S$32</f>
        <v>266.52199294288124</v>
      </c>
      <c r="AX246" s="137">
        <f>$W246*AC246+$L246*Summary_LCIA!T$32</f>
        <v>63.858920491203719</v>
      </c>
      <c r="AY246" s="137">
        <f>$W246*AD246+$L246*Summary_LCIA!U$32</f>
        <v>0.55923833037453596</v>
      </c>
      <c r="AZ246" s="137">
        <f>$W246*AE246+$L246*Summary_LCIA!V$32</f>
        <v>6.901912354297505E-3</v>
      </c>
      <c r="BA246" s="137">
        <f>$W246*AF246+$L246*Summary_LCIA!W$32</f>
        <v>10.302234208763783</v>
      </c>
      <c r="BB246" s="137">
        <f>$W246*AG246+$L246*Summary_LCIA!X$32</f>
        <v>13.456217496664284</v>
      </c>
      <c r="BC246" s="137">
        <f>$W246*AH246+$L246*Summary_LCIA!Y$32</f>
        <v>0.48362771560610773</v>
      </c>
      <c r="BD246" s="137">
        <f>$W246*AI246+$L246*Summary_LCIA!Z$32</f>
        <v>0.27306546367991547</v>
      </c>
      <c r="BE246" s="137">
        <f>$W246*AJ246+$L246*Summary_LCIA!AA$32</f>
        <v>1.4097184569437049</v>
      </c>
      <c r="BF246" s="137">
        <f>$W246*AK246+$L246*Summary_LCIA!AB$32</f>
        <v>6.5420049846323602E-2</v>
      </c>
      <c r="BG246" s="137">
        <f>$W246*AL246+$L246*Summary_LCIA!AC$32</f>
        <v>3.2527157444546423E-5</v>
      </c>
      <c r="BH246" s="137">
        <f>$W246*AM246+$L246*Summary_LCIA!AD$32</f>
        <v>0.10705409644957328</v>
      </c>
      <c r="BI246" s="137">
        <f>$W246*AN246+$L246*Summary_LCIA!AE$32</f>
        <v>0.31135994845857068</v>
      </c>
      <c r="BJ246" s="137">
        <f>$W246*AO246+$L246*Summary_LCIA!AF$32</f>
        <v>1.6959701446760404E-2</v>
      </c>
      <c r="BK246" s="137">
        <f>$W246*AP246+$L246*Summary_LCIA!AG$32</f>
        <v>5.2944782617604016E-3</v>
      </c>
      <c r="BL246" s="137">
        <f>$W246*AQ246+$L246*Summary_LCIA!AH$32</f>
        <v>0.76620416207152786</v>
      </c>
      <c r="BM246" s="137">
        <f>$W246*AR246+$L246*Summary_LCIA!AI$32</f>
        <v>0.27640436499164911</v>
      </c>
    </row>
    <row r="247" spans="1:65" x14ac:dyDescent="0.25">
      <c r="A247" s="149">
        <v>138</v>
      </c>
      <c r="B247" s="149">
        <v>43</v>
      </c>
      <c r="C247" s="61">
        <v>33.748995000000001</v>
      </c>
      <c r="D247" s="61">
        <v>-84.387981999999994</v>
      </c>
      <c r="E247" s="61" t="s">
        <v>265</v>
      </c>
      <c r="F247" s="149">
        <v>1</v>
      </c>
      <c r="G247" s="61" t="s">
        <v>565</v>
      </c>
      <c r="H247" s="61" t="s">
        <v>681</v>
      </c>
      <c r="I247" s="61">
        <v>33.640728000000003</v>
      </c>
      <c r="J247" s="61">
        <v>-84.427700000000002</v>
      </c>
      <c r="K247" s="61">
        <v>18.49134737</v>
      </c>
      <c r="L247" s="61">
        <v>14.686999999999999</v>
      </c>
      <c r="M247" s="61" t="s">
        <v>617</v>
      </c>
      <c r="N247" s="149">
        <v>42</v>
      </c>
      <c r="O247" s="149">
        <v>43</v>
      </c>
      <c r="P247" s="61" t="s">
        <v>565</v>
      </c>
      <c r="Q247" s="61" t="s">
        <v>555</v>
      </c>
      <c r="R247" s="61">
        <v>40.6895314</v>
      </c>
      <c r="S247" s="61">
        <v>-74.174462399999996</v>
      </c>
      <c r="T247" s="61">
        <v>1370.577</v>
      </c>
      <c r="U247" s="61" t="s">
        <v>617</v>
      </c>
      <c r="V247" s="61" t="s">
        <v>569</v>
      </c>
      <c r="W247" s="61" cm="1">
        <f t="array" ref="W247">getDistance(I247,J247,R247,S247)*SA!$B$12</f>
        <v>1200.1119738435468</v>
      </c>
      <c r="Y247" s="137">
        <f>Transportation_LCIA!C$61*($W247^Transportation_LCIA!C$60)+Transportation_LCIA!C$62</f>
        <v>0.21797654934237359</v>
      </c>
      <c r="Z247" s="137">
        <f>Transportation_LCIA!D$61*($W247^Transportation_LCIA!D$60)+Transportation_LCIA!D$62</f>
        <v>2.2171187217182675</v>
      </c>
      <c r="AA247" s="137">
        <f>Transportation_LCIA!E$61*($W247^Transportation_LCIA!E$60)+Transportation_LCIA!E$62</f>
        <v>1.0074118451307481E-3</v>
      </c>
      <c r="AB247" s="137">
        <f>Transportation_LCIA!F$61*($W247^Transportation_LCIA!F$60)+Transportation_LCIA!F$62</f>
        <v>0.21797654934237359</v>
      </c>
      <c r="AC247" s="137">
        <f>Transportation_LCIA!G$61*($W247^Transportation_LCIA!G$60)+Transportation_LCIA!G$62</f>
        <v>5.1865842977847243E-2</v>
      </c>
      <c r="AD247" s="137">
        <f>Transportation_LCIA!H$61*($W247^Transportation_LCIA!H$60)+Transportation_LCIA!H$62</f>
        <v>2.4675648508540071E-4</v>
      </c>
      <c r="AE247" s="137">
        <f>Transportation_LCIA!I$61*($W247^Transportation_LCIA!I$60)+Transportation_LCIA!I$62</f>
        <v>5.1665566900725128E-6</v>
      </c>
      <c r="AF247" s="137">
        <f>Transportation_LCIA!J$61*($W247^Transportation_LCIA!J$60)+Transportation_LCIA!J$62</f>
        <v>7.6424211504113075E-3</v>
      </c>
      <c r="AG247" s="137">
        <f>Transportation_LCIA!K$61*($W247^Transportation_LCIA!K$60)+Transportation_LCIA!K$62</f>
        <v>1.0933686124837293E-2</v>
      </c>
      <c r="AH247" s="137">
        <f>Transportation_LCIA!L$61*($W247^Transportation_LCIA!L$60)+Transportation_LCIA!L$62</f>
        <v>2.1229259199052167E-4</v>
      </c>
      <c r="AI247" s="137">
        <f>Transportation_LCIA!M$61*($W247^Transportation_LCIA!M$60)+Transportation_LCIA!M$62</f>
        <v>2.2703145242715102E-4</v>
      </c>
      <c r="AJ247" s="137">
        <f>Transportation_LCIA!N$61*($W247^Transportation_LCIA!N$60)+Transportation_LCIA!N$62</f>
        <v>8.8882446654328976E-4</v>
      </c>
      <c r="AK247" s="137">
        <f>Transportation_LCIA!O$61*($W247^Transportation_LCIA!O$60)+Transportation_LCIA!O$62</f>
        <v>5.477869205552474E-5</v>
      </c>
      <c r="AL247" s="137">
        <f>Transportation_LCIA!P$61*($W247^Transportation_LCIA!P$60)+Transportation_LCIA!P$62</f>
        <v>2.6505191873615325E-8</v>
      </c>
      <c r="AM247" s="137">
        <f>Transportation_LCIA!Q$61*($W247^Transportation_LCIA!Q$60)+Transportation_LCIA!Q$62</f>
        <v>8.4173105652841722E-5</v>
      </c>
      <c r="AN247" s="137">
        <f>Transportation_LCIA!R$61*($W247^Transportation_LCIA!R$60)+Transportation_LCIA!R$62</f>
        <v>2.4859793390201158E-4</v>
      </c>
      <c r="AO247" s="137">
        <f>Transportation_LCIA!S$61*($W247^Transportation_LCIA!S$60)+Transportation_LCIA!S$62</f>
        <v>3.7854950252772454E-6</v>
      </c>
      <c r="AP247" s="137">
        <f>Transportation_LCIA!T$61*($W247^Transportation_LCIA!T$60)+Transportation_LCIA!T$62</f>
        <v>3.7854950252772454E-6</v>
      </c>
      <c r="AQ247" s="137">
        <f>Transportation_LCIA!U$61*($W247^Transportation_LCIA!U$60)+Transportation_LCIA!U$62</f>
        <v>5.3192902227867434E-4</v>
      </c>
      <c r="AR247" s="137">
        <f>Transportation_LCIA!V$61*($W247^Transportation_LCIA!V$60)+Transportation_LCIA!V$62</f>
        <v>2.1891514780928193E-4</v>
      </c>
      <c r="AT247" s="137">
        <f>$W247*Y247+$L247*Summary_LCIA!H$32</f>
        <v>266.58690948288125</v>
      </c>
      <c r="AU247" s="137">
        <f>$W247*Z247+$L247*Summary_LCIA!Q$32</f>
        <v>2733.5802380762625</v>
      </c>
      <c r="AV247" s="137">
        <f>$W247*AA247+$L247*Summary_LCIA!R$32</f>
        <v>1.2863428851332315</v>
      </c>
      <c r="AW247" s="137">
        <f>$W247*AB247+$L247*Summary_LCIA!S$32</f>
        <v>266.52199294288124</v>
      </c>
      <c r="AX247" s="137">
        <f>$W247*AC247+$L247*Summary_LCIA!T$32</f>
        <v>63.858920491203719</v>
      </c>
      <c r="AY247" s="137">
        <f>$W247*AD247+$L247*Summary_LCIA!U$32</f>
        <v>0.55923833037453596</v>
      </c>
      <c r="AZ247" s="137">
        <f>$W247*AE247+$L247*Summary_LCIA!V$32</f>
        <v>6.901912354297505E-3</v>
      </c>
      <c r="BA247" s="137">
        <f>$W247*AF247+$L247*Summary_LCIA!W$32</f>
        <v>10.302234208763783</v>
      </c>
      <c r="BB247" s="137">
        <f>$W247*AG247+$L247*Summary_LCIA!X$32</f>
        <v>13.456217496664284</v>
      </c>
      <c r="BC247" s="137">
        <f>$W247*AH247+$L247*Summary_LCIA!Y$32</f>
        <v>0.48362771560610773</v>
      </c>
      <c r="BD247" s="137">
        <f>$W247*AI247+$L247*Summary_LCIA!Z$32</f>
        <v>0.27306546367991547</v>
      </c>
      <c r="BE247" s="137">
        <f>$W247*AJ247+$L247*Summary_LCIA!AA$32</f>
        <v>1.4097184569437049</v>
      </c>
      <c r="BF247" s="137">
        <f>$W247*AK247+$L247*Summary_LCIA!AB$32</f>
        <v>6.5420049846323602E-2</v>
      </c>
      <c r="BG247" s="137">
        <f>$W247*AL247+$L247*Summary_LCIA!AC$32</f>
        <v>3.2527157444546423E-5</v>
      </c>
      <c r="BH247" s="137">
        <f>$W247*AM247+$L247*Summary_LCIA!AD$32</f>
        <v>0.10705409644957328</v>
      </c>
      <c r="BI247" s="137">
        <f>$W247*AN247+$L247*Summary_LCIA!AE$32</f>
        <v>0.31135994845857068</v>
      </c>
      <c r="BJ247" s="137">
        <f>$W247*AO247+$L247*Summary_LCIA!AF$32</f>
        <v>1.6959701446760404E-2</v>
      </c>
      <c r="BK247" s="137">
        <f>$W247*AP247+$L247*Summary_LCIA!AG$32</f>
        <v>5.2944782617604016E-3</v>
      </c>
      <c r="BL247" s="137">
        <f>$W247*AQ247+$L247*Summary_LCIA!AH$32</f>
        <v>0.76620416207152786</v>
      </c>
      <c r="BM247" s="137">
        <f>$W247*AR247+$L247*Summary_LCIA!AI$32</f>
        <v>0.27640436499164911</v>
      </c>
    </row>
    <row r="248" spans="1:65" x14ac:dyDescent="0.25">
      <c r="A248" s="149">
        <v>139</v>
      </c>
      <c r="B248" s="149">
        <v>43</v>
      </c>
      <c r="C248" s="61">
        <v>33.748995000000001</v>
      </c>
      <c r="D248" s="61">
        <v>-84.387981999999994</v>
      </c>
      <c r="E248" s="61" t="s">
        <v>265</v>
      </c>
      <c r="F248" s="149">
        <v>1</v>
      </c>
      <c r="G248" s="61" t="s">
        <v>565</v>
      </c>
      <c r="H248" s="61" t="s">
        <v>681</v>
      </c>
      <c r="I248" s="61">
        <v>33.640728000000003</v>
      </c>
      <c r="J248" s="61">
        <v>-84.427700000000002</v>
      </c>
      <c r="K248" s="61">
        <v>18.49134737</v>
      </c>
      <c r="L248" s="61">
        <v>14.686999999999999</v>
      </c>
      <c r="M248" s="61" t="s">
        <v>617</v>
      </c>
      <c r="N248" s="149">
        <v>42</v>
      </c>
      <c r="O248" s="149">
        <v>43</v>
      </c>
      <c r="P248" s="61" t="s">
        <v>565</v>
      </c>
      <c r="Q248" s="61" t="s">
        <v>555</v>
      </c>
      <c r="R248" s="61">
        <v>40.6895314</v>
      </c>
      <c r="S248" s="61">
        <v>-74.174462399999996</v>
      </c>
      <c r="T248" s="61">
        <v>1370.577</v>
      </c>
      <c r="U248" s="61" t="s">
        <v>617</v>
      </c>
      <c r="V248" s="61" t="s">
        <v>569</v>
      </c>
      <c r="W248" s="61" cm="1">
        <f t="array" ref="W248">getDistance(I248,J248,R248,S248)*SA!$B$12</f>
        <v>1200.1119738435468</v>
      </c>
      <c r="Y248" s="137">
        <f>Transportation_LCIA!C$61*($W248^Transportation_LCIA!C$60)+Transportation_LCIA!C$62</f>
        <v>0.21797654934237359</v>
      </c>
      <c r="Z248" s="137">
        <f>Transportation_LCIA!D$61*($W248^Transportation_LCIA!D$60)+Transportation_LCIA!D$62</f>
        <v>2.2171187217182675</v>
      </c>
      <c r="AA248" s="137">
        <f>Transportation_LCIA!E$61*($W248^Transportation_LCIA!E$60)+Transportation_LCIA!E$62</f>
        <v>1.0074118451307481E-3</v>
      </c>
      <c r="AB248" s="137">
        <f>Transportation_LCIA!F$61*($W248^Transportation_LCIA!F$60)+Transportation_LCIA!F$62</f>
        <v>0.21797654934237359</v>
      </c>
      <c r="AC248" s="137">
        <f>Transportation_LCIA!G$61*($W248^Transportation_LCIA!G$60)+Transportation_LCIA!G$62</f>
        <v>5.1865842977847243E-2</v>
      </c>
      <c r="AD248" s="137">
        <f>Transportation_LCIA!H$61*($W248^Transportation_LCIA!H$60)+Transportation_LCIA!H$62</f>
        <v>2.4675648508540071E-4</v>
      </c>
      <c r="AE248" s="137">
        <f>Transportation_LCIA!I$61*($W248^Transportation_LCIA!I$60)+Transportation_LCIA!I$62</f>
        <v>5.1665566900725128E-6</v>
      </c>
      <c r="AF248" s="137">
        <f>Transportation_LCIA!J$61*($W248^Transportation_LCIA!J$60)+Transportation_LCIA!J$62</f>
        <v>7.6424211504113075E-3</v>
      </c>
      <c r="AG248" s="137">
        <f>Transportation_LCIA!K$61*($W248^Transportation_LCIA!K$60)+Transportation_LCIA!K$62</f>
        <v>1.0933686124837293E-2</v>
      </c>
      <c r="AH248" s="137">
        <f>Transportation_LCIA!L$61*($W248^Transportation_LCIA!L$60)+Transportation_LCIA!L$62</f>
        <v>2.1229259199052167E-4</v>
      </c>
      <c r="AI248" s="137">
        <f>Transportation_LCIA!M$61*($W248^Transportation_LCIA!M$60)+Transportation_LCIA!M$62</f>
        <v>2.2703145242715102E-4</v>
      </c>
      <c r="AJ248" s="137">
        <f>Transportation_LCIA!N$61*($W248^Transportation_LCIA!N$60)+Transportation_LCIA!N$62</f>
        <v>8.8882446654328976E-4</v>
      </c>
      <c r="AK248" s="137">
        <f>Transportation_LCIA!O$61*($W248^Transportation_LCIA!O$60)+Transportation_LCIA!O$62</f>
        <v>5.477869205552474E-5</v>
      </c>
      <c r="AL248" s="137">
        <f>Transportation_LCIA!P$61*($W248^Transportation_LCIA!P$60)+Transportation_LCIA!P$62</f>
        <v>2.6505191873615325E-8</v>
      </c>
      <c r="AM248" s="137">
        <f>Transportation_LCIA!Q$61*($W248^Transportation_LCIA!Q$60)+Transportation_LCIA!Q$62</f>
        <v>8.4173105652841722E-5</v>
      </c>
      <c r="AN248" s="137">
        <f>Transportation_LCIA!R$61*($W248^Transportation_LCIA!R$60)+Transportation_LCIA!R$62</f>
        <v>2.4859793390201158E-4</v>
      </c>
      <c r="AO248" s="137">
        <f>Transportation_LCIA!S$61*($W248^Transportation_LCIA!S$60)+Transportation_LCIA!S$62</f>
        <v>3.7854950252772454E-6</v>
      </c>
      <c r="AP248" s="137">
        <f>Transportation_LCIA!T$61*($W248^Transportation_LCIA!T$60)+Transportation_LCIA!T$62</f>
        <v>3.7854950252772454E-6</v>
      </c>
      <c r="AQ248" s="137">
        <f>Transportation_LCIA!U$61*($W248^Transportation_LCIA!U$60)+Transportation_LCIA!U$62</f>
        <v>5.3192902227867434E-4</v>
      </c>
      <c r="AR248" s="137">
        <f>Transportation_LCIA!V$61*($W248^Transportation_LCIA!V$60)+Transportation_LCIA!V$62</f>
        <v>2.1891514780928193E-4</v>
      </c>
      <c r="AT248" s="137">
        <f>$W248*Y248+$L248*Summary_LCIA!H$32</f>
        <v>266.58690948288125</v>
      </c>
      <c r="AU248" s="137">
        <f>$W248*Z248+$L248*Summary_LCIA!Q$32</f>
        <v>2733.5802380762625</v>
      </c>
      <c r="AV248" s="137">
        <f>$W248*AA248+$L248*Summary_LCIA!R$32</f>
        <v>1.2863428851332315</v>
      </c>
      <c r="AW248" s="137">
        <f>$W248*AB248+$L248*Summary_LCIA!S$32</f>
        <v>266.52199294288124</v>
      </c>
      <c r="AX248" s="137">
        <f>$W248*AC248+$L248*Summary_LCIA!T$32</f>
        <v>63.858920491203719</v>
      </c>
      <c r="AY248" s="137">
        <f>$W248*AD248+$L248*Summary_LCIA!U$32</f>
        <v>0.55923833037453596</v>
      </c>
      <c r="AZ248" s="137">
        <f>$W248*AE248+$L248*Summary_LCIA!V$32</f>
        <v>6.901912354297505E-3</v>
      </c>
      <c r="BA248" s="137">
        <f>$W248*AF248+$L248*Summary_LCIA!W$32</f>
        <v>10.302234208763783</v>
      </c>
      <c r="BB248" s="137">
        <f>$W248*AG248+$L248*Summary_LCIA!X$32</f>
        <v>13.456217496664284</v>
      </c>
      <c r="BC248" s="137">
        <f>$W248*AH248+$L248*Summary_LCIA!Y$32</f>
        <v>0.48362771560610773</v>
      </c>
      <c r="BD248" s="137">
        <f>$W248*AI248+$L248*Summary_LCIA!Z$32</f>
        <v>0.27306546367991547</v>
      </c>
      <c r="BE248" s="137">
        <f>$W248*AJ248+$L248*Summary_LCIA!AA$32</f>
        <v>1.4097184569437049</v>
      </c>
      <c r="BF248" s="137">
        <f>$W248*AK248+$L248*Summary_LCIA!AB$32</f>
        <v>6.5420049846323602E-2</v>
      </c>
      <c r="BG248" s="137">
        <f>$W248*AL248+$L248*Summary_LCIA!AC$32</f>
        <v>3.2527157444546423E-5</v>
      </c>
      <c r="BH248" s="137">
        <f>$W248*AM248+$L248*Summary_LCIA!AD$32</f>
        <v>0.10705409644957328</v>
      </c>
      <c r="BI248" s="137">
        <f>$W248*AN248+$L248*Summary_LCIA!AE$32</f>
        <v>0.31135994845857068</v>
      </c>
      <c r="BJ248" s="137">
        <f>$W248*AO248+$L248*Summary_LCIA!AF$32</f>
        <v>1.6959701446760404E-2</v>
      </c>
      <c r="BK248" s="137">
        <f>$W248*AP248+$L248*Summary_LCIA!AG$32</f>
        <v>5.2944782617604016E-3</v>
      </c>
      <c r="BL248" s="137">
        <f>$W248*AQ248+$L248*Summary_LCIA!AH$32</f>
        <v>0.76620416207152786</v>
      </c>
      <c r="BM248" s="137">
        <f>$W248*AR248+$L248*Summary_LCIA!AI$32</f>
        <v>0.27640436499164911</v>
      </c>
    </row>
    <row r="249" spans="1:65" x14ac:dyDescent="0.25">
      <c r="A249" s="149">
        <v>24</v>
      </c>
      <c r="B249" s="149">
        <v>16</v>
      </c>
      <c r="C249" s="61">
        <v>46.891579</v>
      </c>
      <c r="D249" s="61">
        <v>-96.800127000000003</v>
      </c>
      <c r="E249" s="61" t="s">
        <v>265</v>
      </c>
      <c r="F249" s="149">
        <v>57</v>
      </c>
      <c r="G249" s="61" t="s">
        <v>565</v>
      </c>
      <c r="H249" s="61" t="s">
        <v>641</v>
      </c>
      <c r="I249" s="61">
        <v>44.884754999999998</v>
      </c>
      <c r="J249" s="61">
        <v>-93.222284999999999</v>
      </c>
      <c r="K249" s="61">
        <v>473.17089249999998</v>
      </c>
      <c r="L249" s="61">
        <v>397.00400000000002</v>
      </c>
      <c r="M249" s="61" t="s">
        <v>617</v>
      </c>
      <c r="N249" s="149">
        <v>15</v>
      </c>
      <c r="O249" s="149">
        <v>16</v>
      </c>
      <c r="P249" s="61" t="s">
        <v>565</v>
      </c>
      <c r="Q249" s="61" t="s">
        <v>556</v>
      </c>
      <c r="R249" s="61">
        <v>39.856096299999997</v>
      </c>
      <c r="S249" s="61">
        <v>-104.6737376</v>
      </c>
      <c r="T249" s="61">
        <v>1378.1410000000001</v>
      </c>
      <c r="U249" s="61" t="s">
        <v>617</v>
      </c>
      <c r="V249" s="61" t="s">
        <v>569</v>
      </c>
      <c r="W249" s="61" cm="1">
        <f t="array" ref="W249">getDistance(I249,J249,R249,S249)*SA!$B$12</f>
        <v>1095.2291593571902</v>
      </c>
      <c r="Y249" s="137">
        <f>Transportation_LCIA!C$61*($W249^Transportation_LCIA!C$60)+Transportation_LCIA!C$62</f>
        <v>0.22643586596063625</v>
      </c>
      <c r="Z249" s="137">
        <f>Transportation_LCIA!D$61*($W249^Transportation_LCIA!D$60)+Transportation_LCIA!D$62</f>
        <v>2.3152383446330025</v>
      </c>
      <c r="AA249" s="137">
        <f>Transportation_LCIA!E$61*($W249^Transportation_LCIA!E$60)+Transportation_LCIA!E$62</f>
        <v>1.0718135248526592E-3</v>
      </c>
      <c r="AB249" s="137">
        <f>Transportation_LCIA!F$61*($W249^Transportation_LCIA!F$60)+Transportation_LCIA!F$62</f>
        <v>0.22643586596063625</v>
      </c>
      <c r="AC249" s="137">
        <f>Transportation_LCIA!G$61*($W249^Transportation_LCIA!G$60)+Transportation_LCIA!G$62</f>
        <v>5.4136722701724913E-2</v>
      </c>
      <c r="AD249" s="137">
        <f>Transportation_LCIA!H$61*($W249^Transportation_LCIA!H$60)+Transportation_LCIA!H$62</f>
        <v>2.6086917583078418E-4</v>
      </c>
      <c r="AE249" s="137">
        <f>Transportation_LCIA!I$61*($W249^Transportation_LCIA!I$60)+Transportation_LCIA!I$62</f>
        <v>5.519888965725161E-6</v>
      </c>
      <c r="AF249" s="137">
        <f>Transportation_LCIA!J$61*($W249^Transportation_LCIA!J$60)+Transportation_LCIA!J$62</f>
        <v>8.1667534195131557E-3</v>
      </c>
      <c r="AG249" s="137">
        <f>Transportation_LCIA!K$61*($W249^Transportation_LCIA!K$60)+Transportation_LCIA!K$62</f>
        <v>1.1462152291769032E-2</v>
      </c>
      <c r="AH249" s="137">
        <f>Transportation_LCIA!L$61*($W249^Transportation_LCIA!L$60)+Transportation_LCIA!L$62</f>
        <v>2.2524676760534478E-4</v>
      </c>
      <c r="AI249" s="137">
        <f>Transportation_LCIA!M$61*($W249^Transportation_LCIA!M$60)+Transportation_LCIA!M$62</f>
        <v>2.3481868054350591E-4</v>
      </c>
      <c r="AJ249" s="137">
        <f>Transportation_LCIA!N$61*($W249^Transportation_LCIA!N$60)+Transportation_LCIA!N$62</f>
        <v>9.36294260962703E-4</v>
      </c>
      <c r="AK249" s="137">
        <f>Transportation_LCIA!O$61*($W249^Transportation_LCIA!O$60)+Transportation_LCIA!O$62</f>
        <v>5.7191389214138704E-5</v>
      </c>
      <c r="AL249" s="137">
        <f>Transportation_LCIA!P$61*($W249^Transportation_LCIA!P$60)+Transportation_LCIA!P$62</f>
        <v>2.7665717663945155E-8</v>
      </c>
      <c r="AM249" s="137">
        <f>Transportation_LCIA!Q$61*($W249^Transportation_LCIA!Q$60)+Transportation_LCIA!Q$62</f>
        <v>8.9233959897250381E-5</v>
      </c>
      <c r="AN249" s="137">
        <f>Transportation_LCIA!R$61*($W249^Transportation_LCIA!R$60)+Transportation_LCIA!R$62</f>
        <v>2.6553902712774164E-4</v>
      </c>
      <c r="AO249" s="137">
        <f>Transportation_LCIA!S$61*($W249^Transportation_LCIA!S$60)+Transportation_LCIA!S$62</f>
        <v>4.0259838568156503E-6</v>
      </c>
      <c r="AP249" s="137">
        <f>Transportation_LCIA!T$61*($W249^Transportation_LCIA!T$60)+Transportation_LCIA!T$62</f>
        <v>4.0259838568156503E-6</v>
      </c>
      <c r="AQ249" s="137">
        <f>Transportation_LCIA!U$61*($W249^Transportation_LCIA!U$60)+Transportation_LCIA!U$62</f>
        <v>5.6904267950157877E-4</v>
      </c>
      <c r="AR249" s="137">
        <f>Transportation_LCIA!V$61*($W249^Transportation_LCIA!V$60)+Transportation_LCIA!V$62</f>
        <v>2.3206670458629459E-4</v>
      </c>
      <c r="AT249" s="137">
        <f>$W249*Y249+$L249*Summary_LCIA!H$32</f>
        <v>382.90112232438503</v>
      </c>
      <c r="AU249" s="137">
        <f>$W249*Z249+$L249*Summary_LCIA!Q$32</f>
        <v>4503.2883920066679</v>
      </c>
      <c r="AV249" s="137">
        <f>$W249*AA249+$L249*Summary_LCIA!R$32</f>
        <v>3.2643456882120443</v>
      </c>
      <c r="AW249" s="137">
        <f>$W249*AB249+$L249*Summary_LCIA!S$32</f>
        <v>381.14636464438502</v>
      </c>
      <c r="AX249" s="137">
        <f>$W249*AC249+$L249*Summary_LCIA!T$32</f>
        <v>102.92285689496349</v>
      </c>
      <c r="AY249" s="137">
        <f>$W249*AD249+$L249*Summary_LCIA!U$32</f>
        <v>7.3976411841473526</v>
      </c>
      <c r="AZ249" s="137">
        <f>$W249*AE249+$L249*Summary_LCIA!V$32</f>
        <v>2.50068513956762E-2</v>
      </c>
      <c r="BA249" s="137">
        <f>$W249*AF249+$L249*Summary_LCIA!W$32</f>
        <v>39.502261366330849</v>
      </c>
      <c r="BB249" s="137">
        <f>$W249*AG249+$L249*Summary_LCIA!X$32</f>
        <v>21.597434538938288</v>
      </c>
      <c r="BC249" s="137">
        <f>$W249*AH249+$L249*Summary_LCIA!Y$32</f>
        <v>6.4328131559323269</v>
      </c>
      <c r="BD249" s="137">
        <f>$W249*AI249+$L249*Summary_LCIA!Z$32</f>
        <v>0.2734610031290286</v>
      </c>
      <c r="BE249" s="137">
        <f>$W249*AJ249+$L249*Summary_LCIA!AA$32</f>
        <v>10.297882200345143</v>
      </c>
      <c r="BF249" s="137">
        <f>$W249*AK249+$L249*Summary_LCIA!AB$32</f>
        <v>5.3973858839471006E-2</v>
      </c>
      <c r="BG249" s="137">
        <f>$W249*AL249+$L249*Summary_LCIA!AC$32</f>
        <v>4.9707444236096019E-5</v>
      </c>
      <c r="BH249" s="137">
        <f>$W249*AM249+$L249*Summary_LCIA!AD$32</f>
        <v>0.26091615904437876</v>
      </c>
      <c r="BI249" s="137">
        <f>$W249*AN249+$L249*Summary_LCIA!AE$32</f>
        <v>0.64262323997764259</v>
      </c>
      <c r="BJ249" s="137">
        <f>$W249*AO249+$L249*Summary_LCIA!AF$32</f>
        <v>0.34004449659508584</v>
      </c>
      <c r="BK249" s="137">
        <f>$W249*AP249+$L249*Summary_LCIA!AG$32</f>
        <v>2.4722084575085825E-2</v>
      </c>
      <c r="BL249" s="137">
        <f>$W249*AQ249+$L249*Summary_LCIA!AH$32</f>
        <v>4.0785961499088774</v>
      </c>
      <c r="BM249" s="137">
        <f>$W249*AR249+$L249*Summary_LCIA!AI$32</f>
        <v>0.62399529797884079</v>
      </c>
    </row>
    <row r="250" spans="1:65" x14ac:dyDescent="0.25">
      <c r="A250" s="149">
        <v>25</v>
      </c>
      <c r="B250" s="149">
        <v>16</v>
      </c>
      <c r="C250" s="61">
        <v>46.891579</v>
      </c>
      <c r="D250" s="61">
        <v>-96.800127000000003</v>
      </c>
      <c r="E250" s="61" t="s">
        <v>265</v>
      </c>
      <c r="F250" s="149">
        <v>57</v>
      </c>
      <c r="G250" s="61" t="s">
        <v>565</v>
      </c>
      <c r="H250" s="61" t="s">
        <v>641</v>
      </c>
      <c r="I250" s="61">
        <v>44.884754999999998</v>
      </c>
      <c r="J250" s="61">
        <v>-93.222284999999999</v>
      </c>
      <c r="K250" s="61">
        <v>473.17089249999998</v>
      </c>
      <c r="L250" s="61">
        <v>397.00400000000002</v>
      </c>
      <c r="M250" s="61" t="s">
        <v>617</v>
      </c>
      <c r="N250" s="149">
        <v>15</v>
      </c>
      <c r="O250" s="149">
        <v>16</v>
      </c>
      <c r="P250" s="61" t="s">
        <v>565</v>
      </c>
      <c r="Q250" s="61" t="s">
        <v>556</v>
      </c>
      <c r="R250" s="61">
        <v>39.856096299999997</v>
      </c>
      <c r="S250" s="61">
        <v>-104.6737376</v>
      </c>
      <c r="T250" s="61">
        <v>1378.1410000000001</v>
      </c>
      <c r="U250" s="61" t="s">
        <v>617</v>
      </c>
      <c r="V250" s="61" t="s">
        <v>569</v>
      </c>
      <c r="W250" s="61" cm="1">
        <f t="array" ref="W250">getDistance(I250,J250,R250,S250)*SA!$B$12</f>
        <v>1095.2291593571902</v>
      </c>
      <c r="Y250" s="137">
        <f>Transportation_LCIA!C$61*($W250^Transportation_LCIA!C$60)+Transportation_LCIA!C$62</f>
        <v>0.22643586596063625</v>
      </c>
      <c r="Z250" s="137">
        <f>Transportation_LCIA!D$61*($W250^Transportation_LCIA!D$60)+Transportation_LCIA!D$62</f>
        <v>2.3152383446330025</v>
      </c>
      <c r="AA250" s="137">
        <f>Transportation_LCIA!E$61*($W250^Transportation_LCIA!E$60)+Transportation_LCIA!E$62</f>
        <v>1.0718135248526592E-3</v>
      </c>
      <c r="AB250" s="137">
        <f>Transportation_LCIA!F$61*($W250^Transportation_LCIA!F$60)+Transportation_LCIA!F$62</f>
        <v>0.22643586596063625</v>
      </c>
      <c r="AC250" s="137">
        <f>Transportation_LCIA!G$61*($W250^Transportation_LCIA!G$60)+Transportation_LCIA!G$62</f>
        <v>5.4136722701724913E-2</v>
      </c>
      <c r="AD250" s="137">
        <f>Transportation_LCIA!H$61*($W250^Transportation_LCIA!H$60)+Transportation_LCIA!H$62</f>
        <v>2.6086917583078418E-4</v>
      </c>
      <c r="AE250" s="137">
        <f>Transportation_LCIA!I$61*($W250^Transportation_LCIA!I$60)+Transportation_LCIA!I$62</f>
        <v>5.519888965725161E-6</v>
      </c>
      <c r="AF250" s="137">
        <f>Transportation_LCIA!J$61*($W250^Transportation_LCIA!J$60)+Transportation_LCIA!J$62</f>
        <v>8.1667534195131557E-3</v>
      </c>
      <c r="AG250" s="137">
        <f>Transportation_LCIA!K$61*($W250^Transportation_LCIA!K$60)+Transportation_LCIA!K$62</f>
        <v>1.1462152291769032E-2</v>
      </c>
      <c r="AH250" s="137">
        <f>Transportation_LCIA!L$61*($W250^Transportation_LCIA!L$60)+Transportation_LCIA!L$62</f>
        <v>2.2524676760534478E-4</v>
      </c>
      <c r="AI250" s="137">
        <f>Transportation_LCIA!M$61*($W250^Transportation_LCIA!M$60)+Transportation_LCIA!M$62</f>
        <v>2.3481868054350591E-4</v>
      </c>
      <c r="AJ250" s="137">
        <f>Transportation_LCIA!N$61*($W250^Transportation_LCIA!N$60)+Transportation_LCIA!N$62</f>
        <v>9.36294260962703E-4</v>
      </c>
      <c r="AK250" s="137">
        <f>Transportation_LCIA!O$61*($W250^Transportation_LCIA!O$60)+Transportation_LCIA!O$62</f>
        <v>5.7191389214138704E-5</v>
      </c>
      <c r="AL250" s="137">
        <f>Transportation_LCIA!P$61*($W250^Transportation_LCIA!P$60)+Transportation_LCIA!P$62</f>
        <v>2.7665717663945155E-8</v>
      </c>
      <c r="AM250" s="137">
        <f>Transportation_LCIA!Q$61*($W250^Transportation_LCIA!Q$60)+Transportation_LCIA!Q$62</f>
        <v>8.9233959897250381E-5</v>
      </c>
      <c r="AN250" s="137">
        <f>Transportation_LCIA!R$61*($W250^Transportation_LCIA!R$60)+Transportation_LCIA!R$62</f>
        <v>2.6553902712774164E-4</v>
      </c>
      <c r="AO250" s="137">
        <f>Transportation_LCIA!S$61*($W250^Transportation_LCIA!S$60)+Transportation_LCIA!S$62</f>
        <v>4.0259838568156503E-6</v>
      </c>
      <c r="AP250" s="137">
        <f>Transportation_LCIA!T$61*($W250^Transportation_LCIA!T$60)+Transportation_LCIA!T$62</f>
        <v>4.0259838568156503E-6</v>
      </c>
      <c r="AQ250" s="137">
        <f>Transportation_LCIA!U$61*($W250^Transportation_LCIA!U$60)+Transportation_LCIA!U$62</f>
        <v>5.6904267950157877E-4</v>
      </c>
      <c r="AR250" s="137">
        <f>Transportation_LCIA!V$61*($W250^Transportation_LCIA!V$60)+Transportation_LCIA!V$62</f>
        <v>2.3206670458629459E-4</v>
      </c>
      <c r="AT250" s="137">
        <f>$W250*Y250+$L250*Summary_LCIA!H$32</f>
        <v>382.90112232438503</v>
      </c>
      <c r="AU250" s="137">
        <f>$W250*Z250+$L250*Summary_LCIA!Q$32</f>
        <v>4503.2883920066679</v>
      </c>
      <c r="AV250" s="137">
        <f>$W250*AA250+$L250*Summary_LCIA!R$32</f>
        <v>3.2643456882120443</v>
      </c>
      <c r="AW250" s="137">
        <f>$W250*AB250+$L250*Summary_LCIA!S$32</f>
        <v>381.14636464438502</v>
      </c>
      <c r="AX250" s="137">
        <f>$W250*AC250+$L250*Summary_LCIA!T$32</f>
        <v>102.92285689496349</v>
      </c>
      <c r="AY250" s="137">
        <f>$W250*AD250+$L250*Summary_LCIA!U$32</f>
        <v>7.3976411841473526</v>
      </c>
      <c r="AZ250" s="137">
        <f>$W250*AE250+$L250*Summary_LCIA!V$32</f>
        <v>2.50068513956762E-2</v>
      </c>
      <c r="BA250" s="137">
        <f>$W250*AF250+$L250*Summary_LCIA!W$32</f>
        <v>39.502261366330849</v>
      </c>
      <c r="BB250" s="137">
        <f>$W250*AG250+$L250*Summary_LCIA!X$32</f>
        <v>21.597434538938288</v>
      </c>
      <c r="BC250" s="137">
        <f>$W250*AH250+$L250*Summary_LCIA!Y$32</f>
        <v>6.4328131559323269</v>
      </c>
      <c r="BD250" s="137">
        <f>$W250*AI250+$L250*Summary_LCIA!Z$32</f>
        <v>0.2734610031290286</v>
      </c>
      <c r="BE250" s="137">
        <f>$W250*AJ250+$L250*Summary_LCIA!AA$32</f>
        <v>10.297882200345143</v>
      </c>
      <c r="BF250" s="137">
        <f>$W250*AK250+$L250*Summary_LCIA!AB$32</f>
        <v>5.3973858839471006E-2</v>
      </c>
      <c r="BG250" s="137">
        <f>$W250*AL250+$L250*Summary_LCIA!AC$32</f>
        <v>4.9707444236096019E-5</v>
      </c>
      <c r="BH250" s="137">
        <f>$W250*AM250+$L250*Summary_LCIA!AD$32</f>
        <v>0.26091615904437876</v>
      </c>
      <c r="BI250" s="137">
        <f>$W250*AN250+$L250*Summary_LCIA!AE$32</f>
        <v>0.64262323997764259</v>
      </c>
      <c r="BJ250" s="137">
        <f>$W250*AO250+$L250*Summary_LCIA!AF$32</f>
        <v>0.34004449659508584</v>
      </c>
      <c r="BK250" s="137">
        <f>$W250*AP250+$L250*Summary_LCIA!AG$32</f>
        <v>2.4722084575085825E-2</v>
      </c>
      <c r="BL250" s="137">
        <f>$W250*AQ250+$L250*Summary_LCIA!AH$32</f>
        <v>4.0785961499088774</v>
      </c>
      <c r="BM250" s="137">
        <f>$W250*AR250+$L250*Summary_LCIA!AI$32</f>
        <v>0.62399529797884079</v>
      </c>
    </row>
    <row r="251" spans="1:65" x14ac:dyDescent="0.25">
      <c r="A251" s="149">
        <v>26</v>
      </c>
      <c r="B251" s="149">
        <v>16</v>
      </c>
      <c r="C251" s="61">
        <v>46.891579</v>
      </c>
      <c r="D251" s="61">
        <v>-96.800127000000003</v>
      </c>
      <c r="E251" s="61" t="s">
        <v>265</v>
      </c>
      <c r="F251" s="149">
        <v>57</v>
      </c>
      <c r="G251" s="61" t="s">
        <v>565</v>
      </c>
      <c r="H251" s="61" t="s">
        <v>641</v>
      </c>
      <c r="I251" s="61">
        <v>44.884754999999998</v>
      </c>
      <c r="J251" s="61">
        <v>-93.222284999999999</v>
      </c>
      <c r="K251" s="61">
        <v>473.17089249999998</v>
      </c>
      <c r="L251" s="61">
        <v>397.00400000000002</v>
      </c>
      <c r="M251" s="61" t="s">
        <v>617</v>
      </c>
      <c r="N251" s="149">
        <v>15</v>
      </c>
      <c r="O251" s="149">
        <v>16</v>
      </c>
      <c r="P251" s="61" t="s">
        <v>565</v>
      </c>
      <c r="Q251" s="61" t="s">
        <v>556</v>
      </c>
      <c r="R251" s="61">
        <v>39.856096299999997</v>
      </c>
      <c r="S251" s="61">
        <v>-104.6737376</v>
      </c>
      <c r="T251" s="61">
        <v>1378.1410000000001</v>
      </c>
      <c r="U251" s="61" t="s">
        <v>617</v>
      </c>
      <c r="V251" s="61" t="s">
        <v>569</v>
      </c>
      <c r="W251" s="61" cm="1">
        <f t="array" ref="W251">getDistance(I251,J251,R251,S251)*SA!$B$12</f>
        <v>1095.2291593571902</v>
      </c>
      <c r="Y251" s="137">
        <f>Transportation_LCIA!C$61*($W251^Transportation_LCIA!C$60)+Transportation_LCIA!C$62</f>
        <v>0.22643586596063625</v>
      </c>
      <c r="Z251" s="137">
        <f>Transportation_LCIA!D$61*($W251^Transportation_LCIA!D$60)+Transportation_LCIA!D$62</f>
        <v>2.3152383446330025</v>
      </c>
      <c r="AA251" s="137">
        <f>Transportation_LCIA!E$61*($W251^Transportation_LCIA!E$60)+Transportation_LCIA!E$62</f>
        <v>1.0718135248526592E-3</v>
      </c>
      <c r="AB251" s="137">
        <f>Transportation_LCIA!F$61*($W251^Transportation_LCIA!F$60)+Transportation_LCIA!F$62</f>
        <v>0.22643586596063625</v>
      </c>
      <c r="AC251" s="137">
        <f>Transportation_LCIA!G$61*($W251^Transportation_LCIA!G$60)+Transportation_LCIA!G$62</f>
        <v>5.4136722701724913E-2</v>
      </c>
      <c r="AD251" s="137">
        <f>Transportation_LCIA!H$61*($W251^Transportation_LCIA!H$60)+Transportation_LCIA!H$62</f>
        <v>2.6086917583078418E-4</v>
      </c>
      <c r="AE251" s="137">
        <f>Transportation_LCIA!I$61*($W251^Transportation_LCIA!I$60)+Transportation_LCIA!I$62</f>
        <v>5.519888965725161E-6</v>
      </c>
      <c r="AF251" s="137">
        <f>Transportation_LCIA!J$61*($W251^Transportation_LCIA!J$60)+Transportation_LCIA!J$62</f>
        <v>8.1667534195131557E-3</v>
      </c>
      <c r="AG251" s="137">
        <f>Transportation_LCIA!K$61*($W251^Transportation_LCIA!K$60)+Transportation_LCIA!K$62</f>
        <v>1.1462152291769032E-2</v>
      </c>
      <c r="AH251" s="137">
        <f>Transportation_LCIA!L$61*($W251^Transportation_LCIA!L$60)+Transportation_LCIA!L$62</f>
        <v>2.2524676760534478E-4</v>
      </c>
      <c r="AI251" s="137">
        <f>Transportation_LCIA!M$61*($W251^Transportation_LCIA!M$60)+Transportation_LCIA!M$62</f>
        <v>2.3481868054350591E-4</v>
      </c>
      <c r="AJ251" s="137">
        <f>Transportation_LCIA!N$61*($W251^Transportation_LCIA!N$60)+Transportation_LCIA!N$62</f>
        <v>9.36294260962703E-4</v>
      </c>
      <c r="AK251" s="137">
        <f>Transportation_LCIA!O$61*($W251^Transportation_LCIA!O$60)+Transportation_LCIA!O$62</f>
        <v>5.7191389214138704E-5</v>
      </c>
      <c r="AL251" s="137">
        <f>Transportation_LCIA!P$61*($W251^Transportation_LCIA!P$60)+Transportation_LCIA!P$62</f>
        <v>2.7665717663945155E-8</v>
      </c>
      <c r="AM251" s="137">
        <f>Transportation_LCIA!Q$61*($W251^Transportation_LCIA!Q$60)+Transportation_LCIA!Q$62</f>
        <v>8.9233959897250381E-5</v>
      </c>
      <c r="AN251" s="137">
        <f>Transportation_LCIA!R$61*($W251^Transportation_LCIA!R$60)+Transportation_LCIA!R$62</f>
        <v>2.6553902712774164E-4</v>
      </c>
      <c r="AO251" s="137">
        <f>Transportation_LCIA!S$61*($W251^Transportation_LCIA!S$60)+Transportation_LCIA!S$62</f>
        <v>4.0259838568156503E-6</v>
      </c>
      <c r="AP251" s="137">
        <f>Transportation_LCIA!T$61*($W251^Transportation_LCIA!T$60)+Transportation_LCIA!T$62</f>
        <v>4.0259838568156503E-6</v>
      </c>
      <c r="AQ251" s="137">
        <f>Transportation_LCIA!U$61*($W251^Transportation_LCIA!U$60)+Transportation_LCIA!U$62</f>
        <v>5.6904267950157877E-4</v>
      </c>
      <c r="AR251" s="137">
        <f>Transportation_LCIA!V$61*($W251^Transportation_LCIA!V$60)+Transportation_LCIA!V$62</f>
        <v>2.3206670458629459E-4</v>
      </c>
      <c r="AT251" s="137">
        <f>$W251*Y251+$L251*Summary_LCIA!H$32</f>
        <v>382.90112232438503</v>
      </c>
      <c r="AU251" s="137">
        <f>$W251*Z251+$L251*Summary_LCIA!Q$32</f>
        <v>4503.2883920066679</v>
      </c>
      <c r="AV251" s="137">
        <f>$W251*AA251+$L251*Summary_LCIA!R$32</f>
        <v>3.2643456882120443</v>
      </c>
      <c r="AW251" s="137">
        <f>$W251*AB251+$L251*Summary_LCIA!S$32</f>
        <v>381.14636464438502</v>
      </c>
      <c r="AX251" s="137">
        <f>$W251*AC251+$L251*Summary_LCIA!T$32</f>
        <v>102.92285689496349</v>
      </c>
      <c r="AY251" s="137">
        <f>$W251*AD251+$L251*Summary_LCIA!U$32</f>
        <v>7.3976411841473526</v>
      </c>
      <c r="AZ251" s="137">
        <f>$W251*AE251+$L251*Summary_LCIA!V$32</f>
        <v>2.50068513956762E-2</v>
      </c>
      <c r="BA251" s="137">
        <f>$W251*AF251+$L251*Summary_LCIA!W$32</f>
        <v>39.502261366330849</v>
      </c>
      <c r="BB251" s="137">
        <f>$W251*AG251+$L251*Summary_LCIA!X$32</f>
        <v>21.597434538938288</v>
      </c>
      <c r="BC251" s="137">
        <f>$W251*AH251+$L251*Summary_LCIA!Y$32</f>
        <v>6.4328131559323269</v>
      </c>
      <c r="BD251" s="137">
        <f>$W251*AI251+$L251*Summary_LCIA!Z$32</f>
        <v>0.2734610031290286</v>
      </c>
      <c r="BE251" s="137">
        <f>$W251*AJ251+$L251*Summary_LCIA!AA$32</f>
        <v>10.297882200345143</v>
      </c>
      <c r="BF251" s="137">
        <f>$W251*AK251+$L251*Summary_LCIA!AB$32</f>
        <v>5.3973858839471006E-2</v>
      </c>
      <c r="BG251" s="137">
        <f>$W251*AL251+$L251*Summary_LCIA!AC$32</f>
        <v>4.9707444236096019E-5</v>
      </c>
      <c r="BH251" s="137">
        <f>$W251*AM251+$L251*Summary_LCIA!AD$32</f>
        <v>0.26091615904437876</v>
      </c>
      <c r="BI251" s="137">
        <f>$W251*AN251+$L251*Summary_LCIA!AE$32</f>
        <v>0.64262323997764259</v>
      </c>
      <c r="BJ251" s="137">
        <f>$W251*AO251+$L251*Summary_LCIA!AF$32</f>
        <v>0.34004449659508584</v>
      </c>
      <c r="BK251" s="137">
        <f>$W251*AP251+$L251*Summary_LCIA!AG$32</f>
        <v>2.4722084575085825E-2</v>
      </c>
      <c r="BL251" s="137">
        <f>$W251*AQ251+$L251*Summary_LCIA!AH$32</f>
        <v>4.0785961499088774</v>
      </c>
      <c r="BM251" s="137">
        <f>$W251*AR251+$L251*Summary_LCIA!AI$32</f>
        <v>0.62399529797884079</v>
      </c>
    </row>
    <row r="252" spans="1:65" x14ac:dyDescent="0.25">
      <c r="A252" s="149">
        <v>224</v>
      </c>
      <c r="B252" s="149">
        <v>43</v>
      </c>
      <c r="C252" s="61">
        <v>34.023434000000002</v>
      </c>
      <c r="D252" s="61">
        <v>-84.615489999999994</v>
      </c>
      <c r="E252" s="61" t="s">
        <v>265</v>
      </c>
      <c r="F252" s="149">
        <v>1</v>
      </c>
      <c r="G252" s="61" t="s">
        <v>565</v>
      </c>
      <c r="H252" s="61" t="s">
        <v>681</v>
      </c>
      <c r="I252" s="61">
        <v>33.640728000000003</v>
      </c>
      <c r="J252" s="61">
        <v>-84.427700000000002</v>
      </c>
      <c r="K252" s="61">
        <v>65.192234650000003</v>
      </c>
      <c r="L252" s="61">
        <v>57.293999999999997</v>
      </c>
      <c r="M252" s="61" t="s">
        <v>617</v>
      </c>
      <c r="N252" s="149">
        <v>42</v>
      </c>
      <c r="O252" s="149">
        <v>43</v>
      </c>
      <c r="P252" s="61" t="s">
        <v>565</v>
      </c>
      <c r="Q252" s="61" t="s">
        <v>555</v>
      </c>
      <c r="R252" s="61">
        <v>40.6895314</v>
      </c>
      <c r="S252" s="61">
        <v>-74.174462399999996</v>
      </c>
      <c r="T252" s="61">
        <v>1392.44</v>
      </c>
      <c r="U252" s="61" t="s">
        <v>617</v>
      </c>
      <c r="V252" s="61" t="s">
        <v>569</v>
      </c>
      <c r="W252" s="61" cm="1">
        <f t="array" ref="W252">getDistance(I252,J252,R252,S252)*SA!$B$12</f>
        <v>1200.1119738435468</v>
      </c>
      <c r="Y252" s="137">
        <f>Transportation_LCIA!C$61*($W252^Transportation_LCIA!C$60)+Transportation_LCIA!C$62</f>
        <v>0.21797654934237359</v>
      </c>
      <c r="Z252" s="137">
        <f>Transportation_LCIA!D$61*($W252^Transportation_LCIA!D$60)+Transportation_LCIA!D$62</f>
        <v>2.2171187217182675</v>
      </c>
      <c r="AA252" s="137">
        <f>Transportation_LCIA!E$61*($W252^Transportation_LCIA!E$60)+Transportation_LCIA!E$62</f>
        <v>1.0074118451307481E-3</v>
      </c>
      <c r="AB252" s="137">
        <f>Transportation_LCIA!F$61*($W252^Transportation_LCIA!F$60)+Transportation_LCIA!F$62</f>
        <v>0.21797654934237359</v>
      </c>
      <c r="AC252" s="137">
        <f>Transportation_LCIA!G$61*($W252^Transportation_LCIA!G$60)+Transportation_LCIA!G$62</f>
        <v>5.1865842977847243E-2</v>
      </c>
      <c r="AD252" s="137">
        <f>Transportation_LCIA!H$61*($W252^Transportation_LCIA!H$60)+Transportation_LCIA!H$62</f>
        <v>2.4675648508540071E-4</v>
      </c>
      <c r="AE252" s="137">
        <f>Transportation_LCIA!I$61*($W252^Transportation_LCIA!I$60)+Transportation_LCIA!I$62</f>
        <v>5.1665566900725128E-6</v>
      </c>
      <c r="AF252" s="137">
        <f>Transportation_LCIA!J$61*($W252^Transportation_LCIA!J$60)+Transportation_LCIA!J$62</f>
        <v>7.6424211504113075E-3</v>
      </c>
      <c r="AG252" s="137">
        <f>Transportation_LCIA!K$61*($W252^Transportation_LCIA!K$60)+Transportation_LCIA!K$62</f>
        <v>1.0933686124837293E-2</v>
      </c>
      <c r="AH252" s="137">
        <f>Transportation_LCIA!L$61*($W252^Transportation_LCIA!L$60)+Transportation_LCIA!L$62</f>
        <v>2.1229259199052167E-4</v>
      </c>
      <c r="AI252" s="137">
        <f>Transportation_LCIA!M$61*($W252^Transportation_LCIA!M$60)+Transportation_LCIA!M$62</f>
        <v>2.2703145242715102E-4</v>
      </c>
      <c r="AJ252" s="137">
        <f>Transportation_LCIA!N$61*($W252^Transportation_LCIA!N$60)+Transportation_LCIA!N$62</f>
        <v>8.8882446654328976E-4</v>
      </c>
      <c r="AK252" s="137">
        <f>Transportation_LCIA!O$61*($W252^Transportation_LCIA!O$60)+Transportation_LCIA!O$62</f>
        <v>5.477869205552474E-5</v>
      </c>
      <c r="AL252" s="137">
        <f>Transportation_LCIA!P$61*($W252^Transportation_LCIA!P$60)+Transportation_LCIA!P$62</f>
        <v>2.6505191873615325E-8</v>
      </c>
      <c r="AM252" s="137">
        <f>Transportation_LCIA!Q$61*($W252^Transportation_LCIA!Q$60)+Transportation_LCIA!Q$62</f>
        <v>8.4173105652841722E-5</v>
      </c>
      <c r="AN252" s="137">
        <f>Transportation_LCIA!R$61*($W252^Transportation_LCIA!R$60)+Transportation_LCIA!R$62</f>
        <v>2.4859793390201158E-4</v>
      </c>
      <c r="AO252" s="137">
        <f>Transportation_LCIA!S$61*($W252^Transportation_LCIA!S$60)+Transportation_LCIA!S$62</f>
        <v>3.7854950252772454E-6</v>
      </c>
      <c r="AP252" s="137">
        <f>Transportation_LCIA!T$61*($W252^Transportation_LCIA!T$60)+Transportation_LCIA!T$62</f>
        <v>3.7854950252772454E-6</v>
      </c>
      <c r="AQ252" s="137">
        <f>Transportation_LCIA!U$61*($W252^Transportation_LCIA!U$60)+Transportation_LCIA!U$62</f>
        <v>5.3192902227867434E-4</v>
      </c>
      <c r="AR252" s="137">
        <f>Transportation_LCIA!V$61*($W252^Transportation_LCIA!V$60)+Transportation_LCIA!V$62</f>
        <v>2.1891514780928193E-4</v>
      </c>
      <c r="AT252" s="137">
        <f>$W252*Y252+$L252*Summary_LCIA!H$32</f>
        <v>281.06476808288124</v>
      </c>
      <c r="AU252" s="137">
        <f>$W252*Z252+$L252*Summary_LCIA!Q$32</f>
        <v>2944.7426788750931</v>
      </c>
      <c r="AV252" s="137">
        <f>$W252*AA252+$L252*Summary_LCIA!R$32</f>
        <v>1.5106943043332315</v>
      </c>
      <c r="AW252" s="137">
        <f>$W252*AB252+$L252*Summary_LCIA!S$32</f>
        <v>280.81152860288125</v>
      </c>
      <c r="AX252" s="137">
        <f>$W252*AC252+$L252*Summary_LCIA!T$32</f>
        <v>68.541429791203711</v>
      </c>
      <c r="AY252" s="137">
        <f>$W252*AD252+$L252*Summary_LCIA!U$32</f>
        <v>1.3225001283745361</v>
      </c>
      <c r="AZ252" s="137">
        <f>$W252*AE252+$L252*Summary_LCIA!V$32</f>
        <v>8.9368652812975048E-3</v>
      </c>
      <c r="BA252" s="137">
        <f>$W252*AF252+$L252*Summary_LCIA!W$32</f>
        <v>13.581737605763784</v>
      </c>
      <c r="BB252" s="137">
        <f>$W252*AG252+$L252*Summary_LCIA!X$32</f>
        <v>14.426804956664283</v>
      </c>
      <c r="BC252" s="137">
        <f>$W252*AH252+$L252*Summary_LCIA!Y$32</f>
        <v>1.1475299896061077</v>
      </c>
      <c r="BD252" s="137">
        <f>$W252*AI252+$L252*Summary_LCIA!Z$32</f>
        <v>0.27481273414291552</v>
      </c>
      <c r="BE252" s="137">
        <f>$W252*AJ252+$L252*Summary_LCIA!AA$32</f>
        <v>2.4048475489437049</v>
      </c>
      <c r="BF252" s="137">
        <f>$W252*AK252+$L252*Summary_LCIA!AB$32</f>
        <v>6.4490237285323604E-2</v>
      </c>
      <c r="BG252" s="137">
        <f>$W252*AL252+$L252*Summary_LCIA!AC$32</f>
        <v>3.4609958032546422E-5</v>
      </c>
      <c r="BH252" s="137">
        <f>$W252*AM252+$L252*Summary_LCIA!AD$32</f>
        <v>0.12456727772957328</v>
      </c>
      <c r="BI252" s="137">
        <f>$W252*AN252+$L252*Summary_LCIA!AE$32</f>
        <v>0.34911528936857067</v>
      </c>
      <c r="BJ252" s="137">
        <f>$W252*AO252+$L252*Summary_LCIA!AF$32</f>
        <v>5.2980511386760402E-2</v>
      </c>
      <c r="BK252" s="137">
        <f>$W252*AP252+$L252*Summary_LCIA!AG$32</f>
        <v>7.4744654167604018E-3</v>
      </c>
      <c r="BL252" s="137">
        <f>$W252*AQ252+$L252*Summary_LCIA!AH$32</f>
        <v>1.1370384472715278</v>
      </c>
      <c r="BM252" s="137">
        <f>$W252*AR252+$L252*Summary_LCIA!AI$32</f>
        <v>0.31609491584164912</v>
      </c>
    </row>
    <row r="253" spans="1:65" x14ac:dyDescent="0.25">
      <c r="A253" s="149">
        <v>357</v>
      </c>
      <c r="B253" s="149">
        <v>16</v>
      </c>
      <c r="C253" s="61">
        <v>33.436664999999998</v>
      </c>
      <c r="D253" s="61">
        <v>-111.940325</v>
      </c>
      <c r="E253" s="61" t="s">
        <v>265</v>
      </c>
      <c r="F253" s="149">
        <v>44</v>
      </c>
      <c r="G253" s="61" t="s">
        <v>565</v>
      </c>
      <c r="H253" s="61" t="s">
        <v>668</v>
      </c>
      <c r="I253" s="61">
        <v>33.437269000000001</v>
      </c>
      <c r="J253" s="61">
        <v>-112.00778800000001</v>
      </c>
      <c r="K253" s="61">
        <v>6.7490779520000004</v>
      </c>
      <c r="L253" s="61">
        <v>9.0399999999999991</v>
      </c>
      <c r="M253" s="61" t="s">
        <v>617</v>
      </c>
      <c r="N253" s="149">
        <v>15</v>
      </c>
      <c r="O253" s="149">
        <v>16</v>
      </c>
      <c r="P253" s="61" t="s">
        <v>565</v>
      </c>
      <c r="Q253" s="61" t="s">
        <v>556</v>
      </c>
      <c r="R253" s="61">
        <v>39.856096299999997</v>
      </c>
      <c r="S253" s="61">
        <v>-104.6737376</v>
      </c>
      <c r="T253" s="61">
        <v>1401.8340000000001</v>
      </c>
      <c r="U253" s="61" t="s">
        <v>617</v>
      </c>
      <c r="V253" s="61" t="s">
        <v>569</v>
      </c>
      <c r="W253" s="61" cm="1">
        <f t="array" ref="W253">getDistance(I253,J253,R253,S253)*SA!$B$12</f>
        <v>968.6486123202867</v>
      </c>
      <c r="Y253" s="137">
        <f>Transportation_LCIA!C$61*($W253^Transportation_LCIA!C$60)+Transportation_LCIA!C$62</f>
        <v>0.23886719687765717</v>
      </c>
      <c r="Z253" s="137">
        <f>Transportation_LCIA!D$61*($W253^Transportation_LCIA!D$60)+Transportation_LCIA!D$62</f>
        <v>2.4601046233999142</v>
      </c>
      <c r="AA253" s="137">
        <f>Transportation_LCIA!E$61*($W253^Transportation_LCIA!E$60)+Transportation_LCIA!E$62</f>
        <v>1.1670227321326603E-3</v>
      </c>
      <c r="AB253" s="137">
        <f>Transportation_LCIA!F$61*($W253^Transportation_LCIA!F$60)+Transportation_LCIA!F$62</f>
        <v>0.23886719687765717</v>
      </c>
      <c r="AC253" s="137">
        <f>Transportation_LCIA!G$61*($W253^Transportation_LCIA!G$60)+Transportation_LCIA!G$62</f>
        <v>5.7488593082864949E-2</v>
      </c>
      <c r="AD253" s="137">
        <f>Transportation_LCIA!H$61*($W253^Transportation_LCIA!H$60)+Transportation_LCIA!H$62</f>
        <v>2.8178708647962791E-4</v>
      </c>
      <c r="AE253" s="137">
        <f>Transportation_LCIA!I$61*($W253^Transportation_LCIA!I$60)+Transportation_LCIA!I$62</f>
        <v>6.0457933640980744E-6</v>
      </c>
      <c r="AF253" s="137">
        <f>Transportation_LCIA!J$61*($W253^Transportation_LCIA!J$60)+Transportation_LCIA!J$62</f>
        <v>8.9493105460058155E-3</v>
      </c>
      <c r="AG253" s="137">
        <f>Transportation_LCIA!K$61*($W253^Transportation_LCIA!K$60)+Transportation_LCIA!K$62</f>
        <v>1.2244023945167637E-2</v>
      </c>
      <c r="AH253" s="137">
        <f>Transportation_LCIA!L$61*($W253^Transportation_LCIA!L$60)+Transportation_LCIA!L$62</f>
        <v>2.4447038262371504E-4</v>
      </c>
      <c r="AI253" s="137">
        <f>Transportation_LCIA!M$61*($W253^Transportation_LCIA!M$60)+Transportation_LCIA!M$62</f>
        <v>2.4636258596831892E-4</v>
      </c>
      <c r="AJ253" s="137">
        <f>Transportation_LCIA!N$61*($W253^Transportation_LCIA!N$60)+Transportation_LCIA!N$62</f>
        <v>1.0066308986207888E-3</v>
      </c>
      <c r="AK253" s="137">
        <f>Transportation_LCIA!O$61*($W253^Transportation_LCIA!O$60)+Transportation_LCIA!O$62</f>
        <v>6.0753042653991307E-5</v>
      </c>
      <c r="AL253" s="137">
        <f>Transportation_LCIA!P$61*($W253^Transportation_LCIA!P$60)+Transportation_LCIA!P$62</f>
        <v>2.9378304943552793E-8</v>
      </c>
      <c r="AM253" s="137">
        <f>Transportation_LCIA!Q$61*($W253^Transportation_LCIA!Q$60)+Transportation_LCIA!Q$62</f>
        <v>9.67489323424237E-5</v>
      </c>
      <c r="AN253" s="137">
        <f>Transportation_LCIA!R$61*($W253^Transportation_LCIA!R$60)+Transportation_LCIA!R$62</f>
        <v>2.9075691947048329E-4</v>
      </c>
      <c r="AO253" s="137">
        <f>Transportation_LCIA!S$61*($W253^Transportation_LCIA!S$60)+Transportation_LCIA!S$62</f>
        <v>4.3838997605882826E-6</v>
      </c>
      <c r="AP253" s="137">
        <f>Transportation_LCIA!T$61*($W253^Transportation_LCIA!T$60)+Transportation_LCIA!T$62</f>
        <v>4.3838997605882826E-6</v>
      </c>
      <c r="AQ253" s="137">
        <f>Transportation_LCIA!U$61*($W253^Transportation_LCIA!U$60)+Transportation_LCIA!U$62</f>
        <v>6.2433252958363791E-4</v>
      </c>
      <c r="AR253" s="137">
        <f>Transportation_LCIA!V$61*($W253^Transportation_LCIA!V$60)+Transportation_LCIA!V$62</f>
        <v>2.5161188457774699E-4</v>
      </c>
      <c r="AT253" s="137">
        <f>$W253*Y253+$L253*Summary_LCIA!H$32</f>
        <v>234.45017078437934</v>
      </c>
      <c r="AU253" s="137">
        <f>$W253*Z253+$L253*Summary_LCIA!Q$32</f>
        <v>2427.7796255333683</v>
      </c>
      <c r="AV253" s="137">
        <f>$W253*AA253+$L253*Summary_LCIA!R$32</f>
        <v>1.1780359740265309</v>
      </c>
      <c r="AW253" s="137">
        <f>$W253*AB253+$L253*Summary_LCIA!S$32</f>
        <v>234.41021398437934</v>
      </c>
      <c r="AX253" s="137">
        <f>$W253*AC253+$L253*Summary_LCIA!T$32</f>
        <v>56.679741913962765</v>
      </c>
      <c r="AY253" s="137">
        <f>$W253*AD253+$L253*Summary_LCIA!U$32</f>
        <v>0.43489523028826815</v>
      </c>
      <c r="AZ253" s="137">
        <f>$W253*AE253+$L253*Summary_LCIA!V$32</f>
        <v>6.2880087925087976E-3</v>
      </c>
      <c r="BA253" s="137">
        <f>$W253*AF253+$L253*Summary_LCIA!W$32</f>
        <v>9.3645550816118401</v>
      </c>
      <c r="BB253" s="137">
        <f>$W253*AG253+$L253*Summary_LCIA!X$32</f>
        <v>12.066088003702994</v>
      </c>
      <c r="BC253" s="137">
        <f>$W253*AH253+$L253*Summary_LCIA!Y$32</f>
        <v>0.37766717688187113</v>
      </c>
      <c r="BD253" s="137">
        <f>$W253*AI253+$L253*Summary_LCIA!Z$32</f>
        <v>0.23900949838584945</v>
      </c>
      <c r="BE253" s="137">
        <f>$W253*AJ253+$L253*Summary_LCIA!AA$32</f>
        <v>1.1862098630677502</v>
      </c>
      <c r="BF253" s="137">
        <f>$W253*AK253+$L253*Summary_LCIA!AB$32</f>
        <v>5.8651070541023864E-2</v>
      </c>
      <c r="BG253" s="137">
        <f>$W253*AL253+$L253*Summary_LCIA!AC$32</f>
        <v>2.8899165675894633E-5</v>
      </c>
      <c r="BH253" s="137">
        <f>$W253*AM253+$L253*Summary_LCIA!AD$32</f>
        <v>9.7431520656958023E-2</v>
      </c>
      <c r="BI253" s="137">
        <f>$W253*AN253+$L253*Summary_LCIA!AE$32</f>
        <v>0.28965190176760502</v>
      </c>
      <c r="BJ253" s="137">
        <f>$W253*AO253+$L253*Summary_LCIA!AF$32</f>
        <v>1.1889055219645077E-2</v>
      </c>
      <c r="BK253" s="137">
        <f>$W253*AP253+$L253*Summary_LCIA!AG$32</f>
        <v>4.7089900196450769E-3</v>
      </c>
      <c r="BL253" s="137">
        <f>$W253*AQ253+$L253*Summary_LCIA!AH$32</f>
        <v>0.68343938240760527</v>
      </c>
      <c r="BM253" s="137">
        <f>$W253*AR253+$L253*Summary_LCIA!AI$32</f>
        <v>0.25214471483952677</v>
      </c>
    </row>
    <row r="254" spans="1:65" x14ac:dyDescent="0.25">
      <c r="A254" s="149">
        <v>282</v>
      </c>
      <c r="B254" s="149">
        <v>43</v>
      </c>
      <c r="C254" s="61">
        <v>42.905847999999999</v>
      </c>
      <c r="D254" s="61">
        <v>-88.138977999999994</v>
      </c>
      <c r="E254" s="61" t="s">
        <v>265</v>
      </c>
      <c r="F254" s="149">
        <v>114</v>
      </c>
      <c r="G254" s="61" t="s">
        <v>639</v>
      </c>
      <c r="H254" s="61" t="s">
        <v>640</v>
      </c>
      <c r="I254" s="61">
        <v>42.947552999999999</v>
      </c>
      <c r="J254" s="61">
        <v>-87.896646000000004</v>
      </c>
      <c r="K254" s="61">
        <v>21.17463892</v>
      </c>
      <c r="L254" s="61">
        <v>30.303000000000001</v>
      </c>
      <c r="M254" s="61" t="s">
        <v>617</v>
      </c>
      <c r="N254" s="149">
        <v>42</v>
      </c>
      <c r="O254" s="149">
        <v>43</v>
      </c>
      <c r="P254" s="61" t="s">
        <v>565</v>
      </c>
      <c r="Q254" s="61" t="s">
        <v>555</v>
      </c>
      <c r="R254" s="61">
        <v>40.6895314</v>
      </c>
      <c r="S254" s="61">
        <v>-74.174462399999996</v>
      </c>
      <c r="T254" s="61">
        <v>1409.6120000000001</v>
      </c>
      <c r="U254" s="61" t="s">
        <v>617</v>
      </c>
      <c r="V254" s="61" t="s">
        <v>569</v>
      </c>
      <c r="W254" s="61" cm="1">
        <f t="array" ref="W254">getDistance(I254,J254,R254,S254)*SA!$B$12</f>
        <v>1166.0499697420337</v>
      </c>
      <c r="Y254" s="137">
        <f>Transportation_LCIA!C$61*($W254^Transportation_LCIA!C$60)+Transportation_LCIA!C$62</f>
        <v>0.2205702660255735</v>
      </c>
      <c r="Z254" s="137">
        <f>Transportation_LCIA!D$61*($W254^Transportation_LCIA!D$60)+Transportation_LCIA!D$62</f>
        <v>2.2471616479848411</v>
      </c>
      <c r="AA254" s="137">
        <f>Transportation_LCIA!E$61*($W254^Transportation_LCIA!E$60)+Transportation_LCIA!E$62</f>
        <v>1.0271231145182829E-3</v>
      </c>
      <c r="AB254" s="137">
        <f>Transportation_LCIA!F$61*($W254^Transportation_LCIA!F$60)+Transportation_LCIA!F$62</f>
        <v>0.2205702660255735</v>
      </c>
      <c r="AC254" s="137">
        <f>Transportation_LCIA!G$61*($W254^Transportation_LCIA!G$60)+Transportation_LCIA!G$62</f>
        <v>5.256121234153309E-2</v>
      </c>
      <c r="AD254" s="137">
        <f>Transportation_LCIA!H$61*($W254^Transportation_LCIA!H$60)+Transportation_LCIA!H$62</f>
        <v>2.510726033187581E-4</v>
      </c>
      <c r="AE254" s="137">
        <f>Transportation_LCIA!I$61*($W254^Transportation_LCIA!I$60)+Transportation_LCIA!I$62</f>
        <v>5.2744833451662015E-6</v>
      </c>
      <c r="AF254" s="137">
        <f>Transportation_LCIA!J$61*($W254^Transportation_LCIA!J$60)+Transportation_LCIA!J$62</f>
        <v>7.8024507145619901E-3</v>
      </c>
      <c r="AG254" s="137">
        <f>Transportation_LCIA!K$61*($W254^Transportation_LCIA!K$60)+Transportation_LCIA!K$62</f>
        <v>1.1095395379072814E-2</v>
      </c>
      <c r="AH254" s="137">
        <f>Transportation_LCIA!L$61*($W254^Transportation_LCIA!L$60)+Transportation_LCIA!L$62</f>
        <v>2.1625300156677765E-4</v>
      </c>
      <c r="AI254" s="137">
        <f>Transportation_LCIA!M$61*($W254^Transportation_LCIA!M$60)+Transportation_LCIA!M$62</f>
        <v>2.2941293940596699E-4</v>
      </c>
      <c r="AJ254" s="137">
        <f>Transportation_LCIA!N$61*($W254^Transportation_LCIA!N$60)+Transportation_LCIA!N$62</f>
        <v>9.0334369721522265E-4</v>
      </c>
      <c r="AK254" s="137">
        <f>Transportation_LCIA!O$61*($W254^Transportation_LCIA!O$60)+Transportation_LCIA!O$62</f>
        <v>5.5517459441416292E-5</v>
      </c>
      <c r="AL254" s="137">
        <f>Transportation_LCIA!P$61*($W254^Transportation_LCIA!P$60)+Transportation_LCIA!P$62</f>
        <v>2.6860581221176317E-8</v>
      </c>
      <c r="AM254" s="137">
        <f>Transportation_LCIA!Q$61*($W254^Transportation_LCIA!Q$60)+Transportation_LCIA!Q$62</f>
        <v>8.572003918829478E-5</v>
      </c>
      <c r="AN254" s="137">
        <f>Transportation_LCIA!R$61*($W254^Transportation_LCIA!R$60)+Transportation_LCIA!R$62</f>
        <v>2.5377249872512655E-4</v>
      </c>
      <c r="AO254" s="137">
        <f>Transportation_LCIA!S$61*($W254^Transportation_LCIA!S$60)+Transportation_LCIA!S$62</f>
        <v>3.8589551079497523E-6</v>
      </c>
      <c r="AP254" s="137">
        <f>Transportation_LCIA!T$61*($W254^Transportation_LCIA!T$60)+Transportation_LCIA!T$62</f>
        <v>3.8589551079497523E-6</v>
      </c>
      <c r="AQ254" s="137">
        <f>Transportation_LCIA!U$61*($W254^Transportation_LCIA!U$60)+Transportation_LCIA!U$62</f>
        <v>5.432625220229588E-4</v>
      </c>
      <c r="AR254" s="137">
        <f>Transportation_LCIA!V$61*($W254^Transportation_LCIA!V$60)+Transportation_LCIA!V$62</f>
        <v>2.2293415301844236E-4</v>
      </c>
      <c r="AT254" s="137">
        <f>$W254*Y254+$L254*Summary_LCIA!H$32</f>
        <v>267.49291142511231</v>
      </c>
      <c r="AU254" s="137">
        <f>$W254*Z254+$L254*Summary_LCIA!Q$32</f>
        <v>2770.4859679093815</v>
      </c>
      <c r="AV254" s="137">
        <f>$W254*AA254+$L254*Summary_LCIA!R$32</f>
        <v>1.3572403534053872</v>
      </c>
      <c r="AW254" s="137">
        <f>$W254*AB254+$L254*Summary_LCIA!S$32</f>
        <v>267.35897216511233</v>
      </c>
      <c r="AX254" s="137">
        <f>$W254*AC254+$L254*Summary_LCIA!T$32</f>
        <v>64.619299760449266</v>
      </c>
      <c r="AY254" s="137">
        <f>$W254*AD254+$L254*Summary_LCIA!U$32</f>
        <v>0.83561114350289145</v>
      </c>
      <c r="AZ254" s="137">
        <f>$W254*AE254+$L254*Summary_LCIA!V$32</f>
        <v>7.5976127280359095E-3</v>
      </c>
      <c r="BA254" s="137">
        <f>$W254*AF254+$L254*Summary_LCIA!W$32</f>
        <v>11.430499632628717</v>
      </c>
      <c r="BB254" s="137">
        <f>$W254*AG254+$L254*Summary_LCIA!X$32</f>
        <v>13.628087786043755</v>
      </c>
      <c r="BC254" s="137">
        <f>$W254*AH254+$L254*Summary_LCIA!Y$32</f>
        <v>0.72434315193356502</v>
      </c>
      <c r="BD254" s="137">
        <f>$W254*AI254+$L254*Summary_LCIA!Z$32</f>
        <v>0.26874964677975877</v>
      </c>
      <c r="BE254" s="137">
        <f>$W254*AJ254+$L254*Summary_LCIA!AA$32</f>
        <v>1.7611007588044671</v>
      </c>
      <c r="BF254" s="137">
        <f>$W254*AK254+$L254*Summary_LCIA!AB$32</f>
        <v>6.4074829532818053E-2</v>
      </c>
      <c r="BG254" s="137">
        <f>$W254*AL254+$L254*Summary_LCIA!AC$32</f>
        <v>3.2802111772206083E-5</v>
      </c>
      <c r="BH254" s="137">
        <f>$W254*AM254+$L254*Summary_LCIA!AD$32</f>
        <v>0.11240959422179707</v>
      </c>
      <c r="BI254" s="137">
        <f>$W254*AN254+$L254*Summary_LCIA!AE$32</f>
        <v>0.32276381184979408</v>
      </c>
      <c r="BJ254" s="137">
        <f>$W254*AO254+$L254*Summary_LCIA!AF$32</f>
        <v>3.0118496746860676E-2</v>
      </c>
      <c r="BK254" s="137">
        <f>$W254*AP254+$L254*Summary_LCIA!AG$32</f>
        <v>6.0501874818606749E-3</v>
      </c>
      <c r="BL254" s="137">
        <f>$W254*AQ254+$L254*Summary_LCIA!AH$32</f>
        <v>0.89721643816685204</v>
      </c>
      <c r="BM254" s="137">
        <f>$W254*AR254+$L254*Summary_LCIA!AI$32</f>
        <v>0.28818112203162061</v>
      </c>
    </row>
    <row r="255" spans="1:65" x14ac:dyDescent="0.25">
      <c r="A255" s="149">
        <v>23</v>
      </c>
      <c r="B255" s="149">
        <v>43</v>
      </c>
      <c r="C255" s="61">
        <v>43.038966000000002</v>
      </c>
      <c r="D255" s="61">
        <v>-87.928042000000005</v>
      </c>
      <c r="E255" s="61" t="s">
        <v>265</v>
      </c>
      <c r="F255" s="149">
        <v>114</v>
      </c>
      <c r="G255" s="61" t="s">
        <v>639</v>
      </c>
      <c r="H255" s="61" t="s">
        <v>640</v>
      </c>
      <c r="I255" s="61">
        <v>42.947552999999999</v>
      </c>
      <c r="J255" s="61">
        <v>-87.896646000000004</v>
      </c>
      <c r="K255" s="61">
        <v>15.85670011</v>
      </c>
      <c r="L255" s="61">
        <v>12.099</v>
      </c>
      <c r="M255" s="61" t="s">
        <v>617</v>
      </c>
      <c r="N255" s="149">
        <v>42</v>
      </c>
      <c r="O255" s="149">
        <v>43</v>
      </c>
      <c r="P255" s="61" t="s">
        <v>565</v>
      </c>
      <c r="Q255" s="61" t="s">
        <v>555</v>
      </c>
      <c r="R255" s="61">
        <v>40.6895314</v>
      </c>
      <c r="S255" s="61">
        <v>-74.174462399999996</v>
      </c>
      <c r="T255" s="61">
        <v>1410.95</v>
      </c>
      <c r="U255" s="61" t="s">
        <v>617</v>
      </c>
      <c r="V255" s="61" t="s">
        <v>569</v>
      </c>
      <c r="W255" s="61" cm="1">
        <f t="array" ref="W255">getDistance(I255,J255,R255,S255)*SA!$B$12</f>
        <v>1166.0499697420337</v>
      </c>
      <c r="Y255" s="137">
        <f>Transportation_LCIA!C$61*($W255^Transportation_LCIA!C$60)+Transportation_LCIA!C$62</f>
        <v>0.2205702660255735</v>
      </c>
      <c r="Z255" s="137">
        <f>Transportation_LCIA!D$61*($W255^Transportation_LCIA!D$60)+Transportation_LCIA!D$62</f>
        <v>2.2471616479848411</v>
      </c>
      <c r="AA255" s="137">
        <f>Transportation_LCIA!E$61*($W255^Transportation_LCIA!E$60)+Transportation_LCIA!E$62</f>
        <v>1.0271231145182829E-3</v>
      </c>
      <c r="AB255" s="137">
        <f>Transportation_LCIA!F$61*($W255^Transportation_LCIA!F$60)+Transportation_LCIA!F$62</f>
        <v>0.2205702660255735</v>
      </c>
      <c r="AC255" s="137">
        <f>Transportation_LCIA!G$61*($W255^Transportation_LCIA!G$60)+Transportation_LCIA!G$62</f>
        <v>5.256121234153309E-2</v>
      </c>
      <c r="AD255" s="137">
        <f>Transportation_LCIA!H$61*($W255^Transportation_LCIA!H$60)+Transportation_LCIA!H$62</f>
        <v>2.510726033187581E-4</v>
      </c>
      <c r="AE255" s="137">
        <f>Transportation_LCIA!I$61*($W255^Transportation_LCIA!I$60)+Transportation_LCIA!I$62</f>
        <v>5.2744833451662015E-6</v>
      </c>
      <c r="AF255" s="137">
        <f>Transportation_LCIA!J$61*($W255^Transportation_LCIA!J$60)+Transportation_LCIA!J$62</f>
        <v>7.8024507145619901E-3</v>
      </c>
      <c r="AG255" s="137">
        <f>Transportation_LCIA!K$61*($W255^Transportation_LCIA!K$60)+Transportation_LCIA!K$62</f>
        <v>1.1095395379072814E-2</v>
      </c>
      <c r="AH255" s="137">
        <f>Transportation_LCIA!L$61*($W255^Transportation_LCIA!L$60)+Transportation_LCIA!L$62</f>
        <v>2.1625300156677765E-4</v>
      </c>
      <c r="AI255" s="137">
        <f>Transportation_LCIA!M$61*($W255^Transportation_LCIA!M$60)+Transportation_LCIA!M$62</f>
        <v>2.2941293940596699E-4</v>
      </c>
      <c r="AJ255" s="137">
        <f>Transportation_LCIA!N$61*($W255^Transportation_LCIA!N$60)+Transportation_LCIA!N$62</f>
        <v>9.0334369721522265E-4</v>
      </c>
      <c r="AK255" s="137">
        <f>Transportation_LCIA!O$61*($W255^Transportation_LCIA!O$60)+Transportation_LCIA!O$62</f>
        <v>5.5517459441416292E-5</v>
      </c>
      <c r="AL255" s="137">
        <f>Transportation_LCIA!P$61*($W255^Transportation_LCIA!P$60)+Transportation_LCIA!P$62</f>
        <v>2.6860581221176317E-8</v>
      </c>
      <c r="AM255" s="137">
        <f>Transportation_LCIA!Q$61*($W255^Transportation_LCIA!Q$60)+Transportation_LCIA!Q$62</f>
        <v>8.572003918829478E-5</v>
      </c>
      <c r="AN255" s="137">
        <f>Transportation_LCIA!R$61*($W255^Transportation_LCIA!R$60)+Transportation_LCIA!R$62</f>
        <v>2.5377249872512655E-4</v>
      </c>
      <c r="AO255" s="137">
        <f>Transportation_LCIA!S$61*($W255^Transportation_LCIA!S$60)+Transportation_LCIA!S$62</f>
        <v>3.8589551079497523E-6</v>
      </c>
      <c r="AP255" s="137">
        <f>Transportation_LCIA!T$61*($W255^Transportation_LCIA!T$60)+Transportation_LCIA!T$62</f>
        <v>3.8589551079497523E-6</v>
      </c>
      <c r="AQ255" s="137">
        <f>Transportation_LCIA!U$61*($W255^Transportation_LCIA!U$60)+Transportation_LCIA!U$62</f>
        <v>5.432625220229588E-4</v>
      </c>
      <c r="AR255" s="137">
        <f>Transportation_LCIA!V$61*($W255^Transportation_LCIA!V$60)+Transportation_LCIA!V$62</f>
        <v>2.2293415301844236E-4</v>
      </c>
      <c r="AT255" s="137">
        <f>$W255*Y255+$L255*Summary_LCIA!H$32</f>
        <v>261.30719222511232</v>
      </c>
      <c r="AU255" s="137">
        <f>$W255*Z255+$L255*Summary_LCIA!Q$32</f>
        <v>2680.2660258270494</v>
      </c>
      <c r="AV255" s="137">
        <f>$W255*AA255+$L255*Summary_LCIA!R$32</f>
        <v>1.2613853710053871</v>
      </c>
      <c r="AW255" s="137">
        <f>$W255*AB255+$L255*Summary_LCIA!S$32</f>
        <v>261.25371464511232</v>
      </c>
      <c r="AX255" s="137">
        <f>$W255*AC255+$L255*Summary_LCIA!T$32</f>
        <v>62.618680160449266</v>
      </c>
      <c r="AY255" s="137">
        <f>$W255*AD255+$L255*Summary_LCIA!U$32</f>
        <v>0.50950468750289146</v>
      </c>
      <c r="AZ255" s="137">
        <f>$W255*AE255+$L255*Summary_LCIA!V$32</f>
        <v>6.7281714840359101E-3</v>
      </c>
      <c r="BA255" s="137">
        <f>$W255*AF255+$L255*Summary_LCIA!W$32</f>
        <v>10.029319548628717</v>
      </c>
      <c r="BB255" s="137">
        <f>$W255*AG255+$L255*Summary_LCIA!X$32</f>
        <v>13.213400666043755</v>
      </c>
      <c r="BC255" s="137">
        <f>$W255*AH255+$L255*Summary_LCIA!Y$32</f>
        <v>0.440688423933565</v>
      </c>
      <c r="BD255" s="137">
        <f>$W255*AI255+$L255*Summary_LCIA!Z$32</f>
        <v>0.26800311894375878</v>
      </c>
      <c r="BE255" s="137">
        <f>$W255*AJ255+$L255*Summary_LCIA!AA$32</f>
        <v>1.3359281348044671</v>
      </c>
      <c r="BF255" s="137">
        <f>$W255*AK255+$L255*Summary_LCIA!AB$32</f>
        <v>6.4472095424818049E-2</v>
      </c>
      <c r="BG255" s="137">
        <f>$W255*AL255+$L255*Summary_LCIA!AC$32</f>
        <v>3.1912227436206081E-5</v>
      </c>
      <c r="BH255" s="137">
        <f>$W255*AM255+$L255*Summary_LCIA!AD$32</f>
        <v>0.10492702206179706</v>
      </c>
      <c r="BI255" s="137">
        <f>$W255*AN255+$L255*Summary_LCIA!AE$32</f>
        <v>0.30663270132979409</v>
      </c>
      <c r="BJ255" s="137">
        <f>$W255*AO255+$L255*Summary_LCIA!AF$32</f>
        <v>1.4728471066860677E-2</v>
      </c>
      <c r="BK255" s="137">
        <f>$W255*AP255+$L255*Summary_LCIA!AG$32</f>
        <v>5.1187798218606754E-3</v>
      </c>
      <c r="BL255" s="137">
        <f>$W255*AQ255+$L255*Summary_LCIA!AH$32</f>
        <v>0.73877610376685199</v>
      </c>
      <c r="BM255" s="137">
        <f>$W255*AR255+$L255*Summary_LCIA!AI$32</f>
        <v>0.27122318583162064</v>
      </c>
    </row>
    <row r="256" spans="1:65" x14ac:dyDescent="0.25">
      <c r="A256" s="149">
        <v>93</v>
      </c>
      <c r="B256" s="149">
        <v>16</v>
      </c>
      <c r="C256" s="61">
        <v>33.452956999999998</v>
      </c>
      <c r="D256" s="61">
        <v>-112.07345100000001</v>
      </c>
      <c r="E256" s="61" t="s">
        <v>265</v>
      </c>
      <c r="F256" s="149">
        <v>44</v>
      </c>
      <c r="G256" s="61" t="s">
        <v>565</v>
      </c>
      <c r="H256" s="61" t="s">
        <v>668</v>
      </c>
      <c r="I256" s="61">
        <v>33.437269000000001</v>
      </c>
      <c r="J256" s="61">
        <v>-112.00778800000001</v>
      </c>
      <c r="K256" s="61">
        <v>8.2391779819999993</v>
      </c>
      <c r="L256" s="61">
        <v>9.9589999999999996</v>
      </c>
      <c r="M256" s="61" t="s">
        <v>617</v>
      </c>
      <c r="N256" s="149">
        <v>15</v>
      </c>
      <c r="O256" s="149">
        <v>16</v>
      </c>
      <c r="P256" s="61" t="s">
        <v>565</v>
      </c>
      <c r="Q256" s="61" t="s">
        <v>556</v>
      </c>
      <c r="R256" s="61">
        <v>39.856096299999997</v>
      </c>
      <c r="S256" s="61">
        <v>-104.6737376</v>
      </c>
      <c r="T256" s="61">
        <v>1415.8969999999999</v>
      </c>
      <c r="U256" s="61" t="s">
        <v>617</v>
      </c>
      <c r="V256" s="61" t="s">
        <v>569</v>
      </c>
      <c r="W256" s="61" cm="1">
        <f t="array" ref="W256">getDistance(I256,J256,R256,S256)*SA!$B$12</f>
        <v>968.6486123202867</v>
      </c>
      <c r="Y256" s="137">
        <f>Transportation_LCIA!C$61*($W256^Transportation_LCIA!C$60)+Transportation_LCIA!C$62</f>
        <v>0.23886719687765717</v>
      </c>
      <c r="Z256" s="137">
        <f>Transportation_LCIA!D$61*($W256^Transportation_LCIA!D$60)+Transportation_LCIA!D$62</f>
        <v>2.4601046233999142</v>
      </c>
      <c r="AA256" s="137">
        <f>Transportation_LCIA!E$61*($W256^Transportation_LCIA!E$60)+Transportation_LCIA!E$62</f>
        <v>1.1670227321326603E-3</v>
      </c>
      <c r="AB256" s="137">
        <f>Transportation_LCIA!F$61*($W256^Transportation_LCIA!F$60)+Transportation_LCIA!F$62</f>
        <v>0.23886719687765717</v>
      </c>
      <c r="AC256" s="137">
        <f>Transportation_LCIA!G$61*($W256^Transportation_LCIA!G$60)+Transportation_LCIA!G$62</f>
        <v>5.7488593082864949E-2</v>
      </c>
      <c r="AD256" s="137">
        <f>Transportation_LCIA!H$61*($W256^Transportation_LCIA!H$60)+Transportation_LCIA!H$62</f>
        <v>2.8178708647962791E-4</v>
      </c>
      <c r="AE256" s="137">
        <f>Transportation_LCIA!I$61*($W256^Transportation_LCIA!I$60)+Transportation_LCIA!I$62</f>
        <v>6.0457933640980744E-6</v>
      </c>
      <c r="AF256" s="137">
        <f>Transportation_LCIA!J$61*($W256^Transportation_LCIA!J$60)+Transportation_LCIA!J$62</f>
        <v>8.9493105460058155E-3</v>
      </c>
      <c r="AG256" s="137">
        <f>Transportation_LCIA!K$61*($W256^Transportation_LCIA!K$60)+Transportation_LCIA!K$62</f>
        <v>1.2244023945167637E-2</v>
      </c>
      <c r="AH256" s="137">
        <f>Transportation_LCIA!L$61*($W256^Transportation_LCIA!L$60)+Transportation_LCIA!L$62</f>
        <v>2.4447038262371504E-4</v>
      </c>
      <c r="AI256" s="137">
        <f>Transportation_LCIA!M$61*($W256^Transportation_LCIA!M$60)+Transportation_LCIA!M$62</f>
        <v>2.4636258596831892E-4</v>
      </c>
      <c r="AJ256" s="137">
        <f>Transportation_LCIA!N$61*($W256^Transportation_LCIA!N$60)+Transportation_LCIA!N$62</f>
        <v>1.0066308986207888E-3</v>
      </c>
      <c r="AK256" s="137">
        <f>Transportation_LCIA!O$61*($W256^Transportation_LCIA!O$60)+Transportation_LCIA!O$62</f>
        <v>6.0753042653991307E-5</v>
      </c>
      <c r="AL256" s="137">
        <f>Transportation_LCIA!P$61*($W256^Transportation_LCIA!P$60)+Transportation_LCIA!P$62</f>
        <v>2.9378304943552793E-8</v>
      </c>
      <c r="AM256" s="137">
        <f>Transportation_LCIA!Q$61*($W256^Transportation_LCIA!Q$60)+Transportation_LCIA!Q$62</f>
        <v>9.67489323424237E-5</v>
      </c>
      <c r="AN256" s="137">
        <f>Transportation_LCIA!R$61*($W256^Transportation_LCIA!R$60)+Transportation_LCIA!R$62</f>
        <v>2.9075691947048329E-4</v>
      </c>
      <c r="AO256" s="137">
        <f>Transportation_LCIA!S$61*($W256^Transportation_LCIA!S$60)+Transportation_LCIA!S$62</f>
        <v>4.3838997605882826E-6</v>
      </c>
      <c r="AP256" s="137">
        <f>Transportation_LCIA!T$61*($W256^Transportation_LCIA!T$60)+Transportation_LCIA!T$62</f>
        <v>4.3838997605882826E-6</v>
      </c>
      <c r="AQ256" s="137">
        <f>Transportation_LCIA!U$61*($W256^Transportation_LCIA!U$60)+Transportation_LCIA!U$62</f>
        <v>6.2433252958363791E-4</v>
      </c>
      <c r="AR256" s="137">
        <f>Transportation_LCIA!V$61*($W256^Transportation_LCIA!V$60)+Transportation_LCIA!V$62</f>
        <v>2.5161188457774699E-4</v>
      </c>
      <c r="AT256" s="137">
        <f>$W256*Y256+$L256*Summary_LCIA!H$32</f>
        <v>234.76244698437935</v>
      </c>
      <c r="AU256" s="137">
        <f>$W256*Z256+$L256*Summary_LCIA!Q$32</f>
        <v>2432.3342358812952</v>
      </c>
      <c r="AV256" s="137">
        <f>$W256*AA256+$L256*Summary_LCIA!R$32</f>
        <v>1.182875060426531</v>
      </c>
      <c r="AW256" s="137">
        <f>$W256*AB256+$L256*Summary_LCIA!S$32</f>
        <v>234.71842820437936</v>
      </c>
      <c r="AX256" s="137">
        <f>$W256*AC256+$L256*Summary_LCIA!T$32</f>
        <v>56.780740013962763</v>
      </c>
      <c r="AY256" s="137">
        <f>$W256*AD256+$L256*Summary_LCIA!U$32</f>
        <v>0.45135819628826818</v>
      </c>
      <c r="AZ256" s="137">
        <f>$W256*AE256+$L256*Summary_LCIA!V$32</f>
        <v>6.3319011515087977E-3</v>
      </c>
      <c r="BA256" s="137">
        <f>$W256*AF256+$L256*Summary_LCIA!W$32</f>
        <v>9.4352914306118407</v>
      </c>
      <c r="BB256" s="137">
        <f>$W256*AG256+$L256*Summary_LCIA!X$32</f>
        <v>12.087022823702993</v>
      </c>
      <c r="BC256" s="137">
        <f>$W256*AH256+$L256*Summary_LCIA!Y$32</f>
        <v>0.39198703488187114</v>
      </c>
      <c r="BD256" s="137">
        <f>$W256*AI256+$L256*Summary_LCIA!Z$32</f>
        <v>0.23904718565684946</v>
      </c>
      <c r="BE256" s="137">
        <f>$W256*AJ256+$L256*Summary_LCIA!AA$32</f>
        <v>1.2076740270677502</v>
      </c>
      <c r="BF256" s="137">
        <f>$W256*AK256+$L256*Summary_LCIA!AB$32</f>
        <v>5.8631015204023869E-2</v>
      </c>
      <c r="BG256" s="137">
        <f>$W256*AL256+$L256*Summary_LCIA!AC$32</f>
        <v>2.8944090071894634E-5</v>
      </c>
      <c r="BH256" s="137">
        <f>$W256*AM256+$L256*Summary_LCIA!AD$32</f>
        <v>9.7809266416958029E-2</v>
      </c>
      <c r="BI256" s="137">
        <f>$W256*AN256+$L256*Summary_LCIA!AE$32</f>
        <v>0.290466255237605</v>
      </c>
      <c r="BJ256" s="137">
        <f>$W256*AO256+$L256*Summary_LCIA!AF$32</f>
        <v>1.2665996199645077E-2</v>
      </c>
      <c r="BK256" s="137">
        <f>$W256*AP256+$L256*Summary_LCIA!AG$32</f>
        <v>4.7560106546450775E-3</v>
      </c>
      <c r="BL256" s="137">
        <f>$W256*AQ256+$L256*Summary_LCIA!AH$32</f>
        <v>0.69143799080760526</v>
      </c>
      <c r="BM256" s="137">
        <f>$W256*AR256+$L256*Summary_LCIA!AI$32</f>
        <v>0.25300080928952678</v>
      </c>
    </row>
    <row r="257" spans="1:65" x14ac:dyDescent="0.25">
      <c r="A257" s="149">
        <v>94</v>
      </c>
      <c r="B257" s="149">
        <v>16</v>
      </c>
      <c r="C257" s="61">
        <v>33.452956999999998</v>
      </c>
      <c r="D257" s="61">
        <v>-112.07345100000001</v>
      </c>
      <c r="E257" s="61" t="s">
        <v>265</v>
      </c>
      <c r="F257" s="149">
        <v>44</v>
      </c>
      <c r="G257" s="61" t="s">
        <v>565</v>
      </c>
      <c r="H257" s="61" t="s">
        <v>668</v>
      </c>
      <c r="I257" s="61">
        <v>33.437269000000001</v>
      </c>
      <c r="J257" s="61">
        <v>-112.00778800000001</v>
      </c>
      <c r="K257" s="61">
        <v>8.2391779819999993</v>
      </c>
      <c r="L257" s="61">
        <v>9.9589999999999996</v>
      </c>
      <c r="M257" s="61" t="s">
        <v>617</v>
      </c>
      <c r="N257" s="149">
        <v>15</v>
      </c>
      <c r="O257" s="149">
        <v>16</v>
      </c>
      <c r="P257" s="61" t="s">
        <v>565</v>
      </c>
      <c r="Q257" s="61" t="s">
        <v>556</v>
      </c>
      <c r="R257" s="61">
        <v>39.856096299999997</v>
      </c>
      <c r="S257" s="61">
        <v>-104.6737376</v>
      </c>
      <c r="T257" s="61">
        <v>1415.8969999999999</v>
      </c>
      <c r="U257" s="61" t="s">
        <v>617</v>
      </c>
      <c r="V257" s="61" t="s">
        <v>569</v>
      </c>
      <c r="W257" s="61" cm="1">
        <f t="array" ref="W257">getDistance(I257,J257,R257,S257)*SA!$B$12</f>
        <v>968.6486123202867</v>
      </c>
      <c r="Y257" s="137">
        <f>Transportation_LCIA!C$61*($W257^Transportation_LCIA!C$60)+Transportation_LCIA!C$62</f>
        <v>0.23886719687765717</v>
      </c>
      <c r="Z257" s="137">
        <f>Transportation_LCIA!D$61*($W257^Transportation_LCIA!D$60)+Transportation_LCIA!D$62</f>
        <v>2.4601046233999142</v>
      </c>
      <c r="AA257" s="137">
        <f>Transportation_LCIA!E$61*($W257^Transportation_LCIA!E$60)+Transportation_LCIA!E$62</f>
        <v>1.1670227321326603E-3</v>
      </c>
      <c r="AB257" s="137">
        <f>Transportation_LCIA!F$61*($W257^Transportation_LCIA!F$60)+Transportation_LCIA!F$62</f>
        <v>0.23886719687765717</v>
      </c>
      <c r="AC257" s="137">
        <f>Transportation_LCIA!G$61*($W257^Transportation_LCIA!G$60)+Transportation_LCIA!G$62</f>
        <v>5.7488593082864949E-2</v>
      </c>
      <c r="AD257" s="137">
        <f>Transportation_LCIA!H$61*($W257^Transportation_LCIA!H$60)+Transportation_LCIA!H$62</f>
        <v>2.8178708647962791E-4</v>
      </c>
      <c r="AE257" s="137">
        <f>Transportation_LCIA!I$61*($W257^Transportation_LCIA!I$60)+Transportation_LCIA!I$62</f>
        <v>6.0457933640980744E-6</v>
      </c>
      <c r="AF257" s="137">
        <f>Transportation_LCIA!J$61*($W257^Transportation_LCIA!J$60)+Transportation_LCIA!J$62</f>
        <v>8.9493105460058155E-3</v>
      </c>
      <c r="AG257" s="137">
        <f>Transportation_LCIA!K$61*($W257^Transportation_LCIA!K$60)+Transportation_LCIA!K$62</f>
        <v>1.2244023945167637E-2</v>
      </c>
      <c r="AH257" s="137">
        <f>Transportation_LCIA!L$61*($W257^Transportation_LCIA!L$60)+Transportation_LCIA!L$62</f>
        <v>2.4447038262371504E-4</v>
      </c>
      <c r="AI257" s="137">
        <f>Transportation_LCIA!M$61*($W257^Transportation_LCIA!M$60)+Transportation_LCIA!M$62</f>
        <v>2.4636258596831892E-4</v>
      </c>
      <c r="AJ257" s="137">
        <f>Transportation_LCIA!N$61*($W257^Transportation_LCIA!N$60)+Transportation_LCIA!N$62</f>
        <v>1.0066308986207888E-3</v>
      </c>
      <c r="AK257" s="137">
        <f>Transportation_LCIA!O$61*($W257^Transportation_LCIA!O$60)+Transportation_LCIA!O$62</f>
        <v>6.0753042653991307E-5</v>
      </c>
      <c r="AL257" s="137">
        <f>Transportation_LCIA!P$61*($W257^Transportation_LCIA!P$60)+Transportation_LCIA!P$62</f>
        <v>2.9378304943552793E-8</v>
      </c>
      <c r="AM257" s="137">
        <f>Transportation_LCIA!Q$61*($W257^Transportation_LCIA!Q$60)+Transportation_LCIA!Q$62</f>
        <v>9.67489323424237E-5</v>
      </c>
      <c r="AN257" s="137">
        <f>Transportation_LCIA!R$61*($W257^Transportation_LCIA!R$60)+Transportation_LCIA!R$62</f>
        <v>2.9075691947048329E-4</v>
      </c>
      <c r="AO257" s="137">
        <f>Transportation_LCIA!S$61*($W257^Transportation_LCIA!S$60)+Transportation_LCIA!S$62</f>
        <v>4.3838997605882826E-6</v>
      </c>
      <c r="AP257" s="137">
        <f>Transportation_LCIA!T$61*($W257^Transportation_LCIA!T$60)+Transportation_LCIA!T$62</f>
        <v>4.3838997605882826E-6</v>
      </c>
      <c r="AQ257" s="137">
        <f>Transportation_LCIA!U$61*($W257^Transportation_LCIA!U$60)+Transportation_LCIA!U$62</f>
        <v>6.2433252958363791E-4</v>
      </c>
      <c r="AR257" s="137">
        <f>Transportation_LCIA!V$61*($W257^Transportation_LCIA!V$60)+Transportation_LCIA!V$62</f>
        <v>2.5161188457774699E-4</v>
      </c>
      <c r="AT257" s="137">
        <f>$W257*Y257+$L257*Summary_LCIA!H$32</f>
        <v>234.76244698437935</v>
      </c>
      <c r="AU257" s="137">
        <f>$W257*Z257+$L257*Summary_LCIA!Q$32</f>
        <v>2432.3342358812952</v>
      </c>
      <c r="AV257" s="137">
        <f>$W257*AA257+$L257*Summary_LCIA!R$32</f>
        <v>1.182875060426531</v>
      </c>
      <c r="AW257" s="137">
        <f>$W257*AB257+$L257*Summary_LCIA!S$32</f>
        <v>234.71842820437936</v>
      </c>
      <c r="AX257" s="137">
        <f>$W257*AC257+$L257*Summary_LCIA!T$32</f>
        <v>56.780740013962763</v>
      </c>
      <c r="AY257" s="137">
        <f>$W257*AD257+$L257*Summary_LCIA!U$32</f>
        <v>0.45135819628826818</v>
      </c>
      <c r="AZ257" s="137">
        <f>$W257*AE257+$L257*Summary_LCIA!V$32</f>
        <v>6.3319011515087977E-3</v>
      </c>
      <c r="BA257" s="137">
        <f>$W257*AF257+$L257*Summary_LCIA!W$32</f>
        <v>9.4352914306118407</v>
      </c>
      <c r="BB257" s="137">
        <f>$W257*AG257+$L257*Summary_LCIA!X$32</f>
        <v>12.087022823702993</v>
      </c>
      <c r="BC257" s="137">
        <f>$W257*AH257+$L257*Summary_LCIA!Y$32</f>
        <v>0.39198703488187114</v>
      </c>
      <c r="BD257" s="137">
        <f>$W257*AI257+$L257*Summary_LCIA!Z$32</f>
        <v>0.23904718565684946</v>
      </c>
      <c r="BE257" s="137">
        <f>$W257*AJ257+$L257*Summary_LCIA!AA$32</f>
        <v>1.2076740270677502</v>
      </c>
      <c r="BF257" s="137">
        <f>$W257*AK257+$L257*Summary_LCIA!AB$32</f>
        <v>5.8631015204023869E-2</v>
      </c>
      <c r="BG257" s="137">
        <f>$W257*AL257+$L257*Summary_LCIA!AC$32</f>
        <v>2.8944090071894634E-5</v>
      </c>
      <c r="BH257" s="137">
        <f>$W257*AM257+$L257*Summary_LCIA!AD$32</f>
        <v>9.7809266416958029E-2</v>
      </c>
      <c r="BI257" s="137">
        <f>$W257*AN257+$L257*Summary_LCIA!AE$32</f>
        <v>0.290466255237605</v>
      </c>
      <c r="BJ257" s="137">
        <f>$W257*AO257+$L257*Summary_LCIA!AF$32</f>
        <v>1.2665996199645077E-2</v>
      </c>
      <c r="BK257" s="137">
        <f>$W257*AP257+$L257*Summary_LCIA!AG$32</f>
        <v>4.7560106546450775E-3</v>
      </c>
      <c r="BL257" s="137">
        <f>$W257*AQ257+$L257*Summary_LCIA!AH$32</f>
        <v>0.69143799080760526</v>
      </c>
      <c r="BM257" s="137">
        <f>$W257*AR257+$L257*Summary_LCIA!AI$32</f>
        <v>0.25300080928952678</v>
      </c>
    </row>
    <row r="258" spans="1:65" x14ac:dyDescent="0.25">
      <c r="A258" s="149">
        <v>272</v>
      </c>
      <c r="B258" s="149">
        <v>16</v>
      </c>
      <c r="C258" s="61">
        <v>44.974156000000001</v>
      </c>
      <c r="D258" s="61">
        <v>-93.234200000000001</v>
      </c>
      <c r="E258" s="61" t="s">
        <v>265</v>
      </c>
      <c r="F258" s="149">
        <v>57</v>
      </c>
      <c r="G258" s="61" t="s">
        <v>565</v>
      </c>
      <c r="H258" s="61" t="s">
        <v>641</v>
      </c>
      <c r="I258" s="61">
        <v>44.884754999999998</v>
      </c>
      <c r="J258" s="61">
        <v>-93.222284999999999</v>
      </c>
      <c r="K258" s="61">
        <v>16.087904340000001</v>
      </c>
      <c r="L258" s="61">
        <v>18.332000000000001</v>
      </c>
      <c r="M258" s="61" t="s">
        <v>617</v>
      </c>
      <c r="N258" s="149">
        <v>15</v>
      </c>
      <c r="O258" s="149">
        <v>16</v>
      </c>
      <c r="P258" s="61" t="s">
        <v>565</v>
      </c>
      <c r="Q258" s="61" t="s">
        <v>556</v>
      </c>
      <c r="R258" s="61">
        <v>39.856096299999997</v>
      </c>
      <c r="S258" s="61">
        <v>-104.6737376</v>
      </c>
      <c r="T258" s="61">
        <v>1465.9780000000001</v>
      </c>
      <c r="U258" s="61" t="s">
        <v>617</v>
      </c>
      <c r="V258" s="61" t="s">
        <v>569</v>
      </c>
      <c r="W258" s="61" cm="1">
        <f t="array" ref="W258">getDistance(I258,J258,R258,S258)*SA!$B$12</f>
        <v>1095.2291593571902</v>
      </c>
      <c r="Y258" s="137">
        <f>Transportation_LCIA!C$61*($W258^Transportation_LCIA!C$60)+Transportation_LCIA!C$62</f>
        <v>0.22643586596063625</v>
      </c>
      <c r="Z258" s="137">
        <f>Transportation_LCIA!D$61*($W258^Transportation_LCIA!D$60)+Transportation_LCIA!D$62</f>
        <v>2.3152383446330025</v>
      </c>
      <c r="AA258" s="137">
        <f>Transportation_LCIA!E$61*($W258^Transportation_LCIA!E$60)+Transportation_LCIA!E$62</f>
        <v>1.0718135248526592E-3</v>
      </c>
      <c r="AB258" s="137">
        <f>Transportation_LCIA!F$61*($W258^Transportation_LCIA!F$60)+Transportation_LCIA!F$62</f>
        <v>0.22643586596063625</v>
      </c>
      <c r="AC258" s="137">
        <f>Transportation_LCIA!G$61*($W258^Transportation_LCIA!G$60)+Transportation_LCIA!G$62</f>
        <v>5.4136722701724913E-2</v>
      </c>
      <c r="AD258" s="137">
        <f>Transportation_LCIA!H$61*($W258^Transportation_LCIA!H$60)+Transportation_LCIA!H$62</f>
        <v>2.6086917583078418E-4</v>
      </c>
      <c r="AE258" s="137">
        <f>Transportation_LCIA!I$61*($W258^Transportation_LCIA!I$60)+Transportation_LCIA!I$62</f>
        <v>5.519888965725161E-6</v>
      </c>
      <c r="AF258" s="137">
        <f>Transportation_LCIA!J$61*($W258^Transportation_LCIA!J$60)+Transportation_LCIA!J$62</f>
        <v>8.1667534195131557E-3</v>
      </c>
      <c r="AG258" s="137">
        <f>Transportation_LCIA!K$61*($W258^Transportation_LCIA!K$60)+Transportation_LCIA!K$62</f>
        <v>1.1462152291769032E-2</v>
      </c>
      <c r="AH258" s="137">
        <f>Transportation_LCIA!L$61*($W258^Transportation_LCIA!L$60)+Transportation_LCIA!L$62</f>
        <v>2.2524676760534478E-4</v>
      </c>
      <c r="AI258" s="137">
        <f>Transportation_LCIA!M$61*($W258^Transportation_LCIA!M$60)+Transportation_LCIA!M$62</f>
        <v>2.3481868054350591E-4</v>
      </c>
      <c r="AJ258" s="137">
        <f>Transportation_LCIA!N$61*($W258^Transportation_LCIA!N$60)+Transportation_LCIA!N$62</f>
        <v>9.36294260962703E-4</v>
      </c>
      <c r="AK258" s="137">
        <f>Transportation_LCIA!O$61*($W258^Transportation_LCIA!O$60)+Transportation_LCIA!O$62</f>
        <v>5.7191389214138704E-5</v>
      </c>
      <c r="AL258" s="137">
        <f>Transportation_LCIA!P$61*($W258^Transportation_LCIA!P$60)+Transportation_LCIA!P$62</f>
        <v>2.7665717663945155E-8</v>
      </c>
      <c r="AM258" s="137">
        <f>Transportation_LCIA!Q$61*($W258^Transportation_LCIA!Q$60)+Transportation_LCIA!Q$62</f>
        <v>8.9233959897250381E-5</v>
      </c>
      <c r="AN258" s="137">
        <f>Transportation_LCIA!R$61*($W258^Transportation_LCIA!R$60)+Transportation_LCIA!R$62</f>
        <v>2.6553902712774164E-4</v>
      </c>
      <c r="AO258" s="137">
        <f>Transportation_LCIA!S$61*($W258^Transportation_LCIA!S$60)+Transportation_LCIA!S$62</f>
        <v>4.0259838568156503E-6</v>
      </c>
      <c r="AP258" s="137">
        <f>Transportation_LCIA!T$61*($W258^Transportation_LCIA!T$60)+Transportation_LCIA!T$62</f>
        <v>4.0259838568156503E-6</v>
      </c>
      <c r="AQ258" s="137">
        <f>Transportation_LCIA!U$61*($W258^Transportation_LCIA!U$60)+Transportation_LCIA!U$62</f>
        <v>5.6904267950157877E-4</v>
      </c>
      <c r="AR258" s="137">
        <f>Transportation_LCIA!V$61*($W258^Transportation_LCIA!V$60)+Transportation_LCIA!V$62</f>
        <v>2.3206670458629459E-4</v>
      </c>
      <c r="AT258" s="137">
        <f>$W258*Y258+$L258*Summary_LCIA!H$32</f>
        <v>254.22837672438504</v>
      </c>
      <c r="AU258" s="137">
        <f>$W258*Z258+$L258*Summary_LCIA!Q$32</f>
        <v>2626.5708624416916</v>
      </c>
      <c r="AV258" s="137">
        <f>$W258*AA258+$L258*Summary_LCIA!R$32</f>
        <v>1.2704104050120446</v>
      </c>
      <c r="AW258" s="137">
        <f>$W258*AB258+$L258*Summary_LCIA!S$32</f>
        <v>254.14734928438503</v>
      </c>
      <c r="AX258" s="137">
        <f>$W258*AC258+$L258*Summary_LCIA!T$32</f>
        <v>61.306804094963489</v>
      </c>
      <c r="AY258" s="137">
        <f>$W258*AD258+$L258*Summary_LCIA!U$32</f>
        <v>0.61411097614735277</v>
      </c>
      <c r="AZ258" s="137">
        <f>$W258*AE258+$L258*Summary_LCIA!V$32</f>
        <v>6.9210980036761979E-3</v>
      </c>
      <c r="BA258" s="137">
        <f>$W258*AF258+$L258*Summary_LCIA!W$32</f>
        <v>10.35549885433085</v>
      </c>
      <c r="BB258" s="137">
        <f>$W258*AG258+$L258*Summary_LCIA!X$32</f>
        <v>12.971286378938288</v>
      </c>
      <c r="BC258" s="137">
        <f>$W258*AH258+$L258*Summary_LCIA!Y$32</f>
        <v>0.5323460519323262</v>
      </c>
      <c r="BD258" s="137">
        <f>$W258*AI258+$L258*Summary_LCIA!Z$32</f>
        <v>0.25793204308102857</v>
      </c>
      <c r="BE258" s="137">
        <f>$W258*AJ258+$L258*Summary_LCIA!AA$32</f>
        <v>1.4536189683451428</v>
      </c>
      <c r="BF258" s="137">
        <f>$W258*AK258+$L258*Summary_LCIA!AB$32</f>
        <v>6.2237617895471005E-2</v>
      </c>
      <c r="BG258" s="137">
        <f>$W258*AL258+$L258*Summary_LCIA!AC$32</f>
        <v>3.1196442188096019E-5</v>
      </c>
      <c r="BH258" s="137">
        <f>$W258*AM258+$L258*Summary_LCIA!AD$32</f>
        <v>0.10526682016437874</v>
      </c>
      <c r="BI258" s="137">
        <f>$W258*AN258+$L258*Summary_LCIA!AE$32</f>
        <v>0.30707062061764262</v>
      </c>
      <c r="BJ258" s="137">
        <f>$W258*AO258+$L258*Summary_LCIA!AF$32</f>
        <v>1.9907614355085826E-2</v>
      </c>
      <c r="BK258" s="137">
        <f>$W258*AP258+$L258*Summary_LCIA!AG$32</f>
        <v>5.3473316950858225E-3</v>
      </c>
      <c r="BL258" s="137">
        <f>$W258*AQ258+$L258*Summary_LCIA!AH$32</f>
        <v>0.78278653070887716</v>
      </c>
      <c r="BM258" s="137">
        <f>$W258*AR258+$L258*Summary_LCIA!AI$32</f>
        <v>0.27124339637884082</v>
      </c>
    </row>
    <row r="259" spans="1:65" x14ac:dyDescent="0.25">
      <c r="A259" s="149">
        <v>47</v>
      </c>
      <c r="B259" s="149">
        <v>16</v>
      </c>
      <c r="C259" s="61">
        <v>44.983167000000002</v>
      </c>
      <c r="D259" s="61">
        <v>-93.225847999999999</v>
      </c>
      <c r="E259" s="61" t="s">
        <v>265</v>
      </c>
      <c r="F259" s="149">
        <v>57</v>
      </c>
      <c r="G259" s="61" t="s">
        <v>565</v>
      </c>
      <c r="H259" s="61" t="s">
        <v>641</v>
      </c>
      <c r="I259" s="61">
        <v>44.884754999999998</v>
      </c>
      <c r="J259" s="61">
        <v>-93.222284999999999</v>
      </c>
      <c r="K259" s="61">
        <v>17.648848319999999</v>
      </c>
      <c r="L259" s="61">
        <v>19.448</v>
      </c>
      <c r="M259" s="61" t="s">
        <v>617</v>
      </c>
      <c r="N259" s="149">
        <v>15</v>
      </c>
      <c r="O259" s="149">
        <v>16</v>
      </c>
      <c r="P259" s="61" t="s">
        <v>565</v>
      </c>
      <c r="Q259" s="61" t="s">
        <v>556</v>
      </c>
      <c r="R259" s="61">
        <v>39.856096299999997</v>
      </c>
      <c r="S259" s="61">
        <v>-104.6737376</v>
      </c>
      <c r="T259" s="61">
        <v>1467.0940000000001</v>
      </c>
      <c r="U259" s="61" t="s">
        <v>617</v>
      </c>
      <c r="V259" s="61" t="s">
        <v>569</v>
      </c>
      <c r="W259" s="61" cm="1">
        <f t="array" ref="W259">getDistance(I259,J259,R259,S259)*SA!$B$12</f>
        <v>1095.2291593571902</v>
      </c>
      <c r="Y259" s="137">
        <f>Transportation_LCIA!C$61*($W259^Transportation_LCIA!C$60)+Transportation_LCIA!C$62</f>
        <v>0.22643586596063625</v>
      </c>
      <c r="Z259" s="137">
        <f>Transportation_LCIA!D$61*($W259^Transportation_LCIA!D$60)+Transportation_LCIA!D$62</f>
        <v>2.3152383446330025</v>
      </c>
      <c r="AA259" s="137">
        <f>Transportation_LCIA!E$61*($W259^Transportation_LCIA!E$60)+Transportation_LCIA!E$62</f>
        <v>1.0718135248526592E-3</v>
      </c>
      <c r="AB259" s="137">
        <f>Transportation_LCIA!F$61*($W259^Transportation_LCIA!F$60)+Transportation_LCIA!F$62</f>
        <v>0.22643586596063625</v>
      </c>
      <c r="AC259" s="137">
        <f>Transportation_LCIA!G$61*($W259^Transportation_LCIA!G$60)+Transportation_LCIA!G$62</f>
        <v>5.4136722701724913E-2</v>
      </c>
      <c r="AD259" s="137">
        <f>Transportation_LCIA!H$61*($W259^Transportation_LCIA!H$60)+Transportation_LCIA!H$62</f>
        <v>2.6086917583078418E-4</v>
      </c>
      <c r="AE259" s="137">
        <f>Transportation_LCIA!I$61*($W259^Transportation_LCIA!I$60)+Transportation_LCIA!I$62</f>
        <v>5.519888965725161E-6</v>
      </c>
      <c r="AF259" s="137">
        <f>Transportation_LCIA!J$61*($W259^Transportation_LCIA!J$60)+Transportation_LCIA!J$62</f>
        <v>8.1667534195131557E-3</v>
      </c>
      <c r="AG259" s="137">
        <f>Transportation_LCIA!K$61*($W259^Transportation_LCIA!K$60)+Transportation_LCIA!K$62</f>
        <v>1.1462152291769032E-2</v>
      </c>
      <c r="AH259" s="137">
        <f>Transportation_LCIA!L$61*($W259^Transportation_LCIA!L$60)+Transportation_LCIA!L$62</f>
        <v>2.2524676760534478E-4</v>
      </c>
      <c r="AI259" s="137">
        <f>Transportation_LCIA!M$61*($W259^Transportation_LCIA!M$60)+Transportation_LCIA!M$62</f>
        <v>2.3481868054350591E-4</v>
      </c>
      <c r="AJ259" s="137">
        <f>Transportation_LCIA!N$61*($W259^Transportation_LCIA!N$60)+Transportation_LCIA!N$62</f>
        <v>9.36294260962703E-4</v>
      </c>
      <c r="AK259" s="137">
        <f>Transportation_LCIA!O$61*($W259^Transportation_LCIA!O$60)+Transportation_LCIA!O$62</f>
        <v>5.7191389214138704E-5</v>
      </c>
      <c r="AL259" s="137">
        <f>Transportation_LCIA!P$61*($W259^Transportation_LCIA!P$60)+Transportation_LCIA!P$62</f>
        <v>2.7665717663945155E-8</v>
      </c>
      <c r="AM259" s="137">
        <f>Transportation_LCIA!Q$61*($W259^Transportation_LCIA!Q$60)+Transportation_LCIA!Q$62</f>
        <v>8.9233959897250381E-5</v>
      </c>
      <c r="AN259" s="137">
        <f>Transportation_LCIA!R$61*($W259^Transportation_LCIA!R$60)+Transportation_LCIA!R$62</f>
        <v>2.6553902712774164E-4</v>
      </c>
      <c r="AO259" s="137">
        <f>Transportation_LCIA!S$61*($W259^Transportation_LCIA!S$60)+Transportation_LCIA!S$62</f>
        <v>4.0259838568156503E-6</v>
      </c>
      <c r="AP259" s="137">
        <f>Transportation_LCIA!T$61*($W259^Transportation_LCIA!T$60)+Transportation_LCIA!T$62</f>
        <v>4.0259838568156503E-6</v>
      </c>
      <c r="AQ259" s="137">
        <f>Transportation_LCIA!U$61*($W259^Transportation_LCIA!U$60)+Transportation_LCIA!U$62</f>
        <v>5.6904267950157877E-4</v>
      </c>
      <c r="AR259" s="137">
        <f>Transportation_LCIA!V$61*($W259^Transportation_LCIA!V$60)+Transportation_LCIA!V$62</f>
        <v>2.3206670458629459E-4</v>
      </c>
      <c r="AT259" s="137">
        <f>$W259*Y259+$L259*Summary_LCIA!H$32</f>
        <v>254.60759352438504</v>
      </c>
      <c r="AU259" s="137">
        <f>$W259*Z259+$L259*Summary_LCIA!Q$32</f>
        <v>2632.1018147249197</v>
      </c>
      <c r="AV259" s="137">
        <f>$W259*AA259+$L259*Summary_LCIA!R$32</f>
        <v>1.2762868146120447</v>
      </c>
      <c r="AW259" s="137">
        <f>$W259*AB259+$L259*Summary_LCIA!S$32</f>
        <v>254.52163336438502</v>
      </c>
      <c r="AX259" s="137">
        <f>$W259*AC259+$L259*Summary_LCIA!T$32</f>
        <v>61.429452494963492</v>
      </c>
      <c r="AY259" s="137">
        <f>$W259*AD259+$L259*Summary_LCIA!U$32</f>
        <v>0.63410300014735277</v>
      </c>
      <c r="AZ259" s="137">
        <f>$W259*AE259+$L259*Summary_LCIA!V$32</f>
        <v>6.974399279676198E-3</v>
      </c>
      <c r="BA259" s="137">
        <f>$W259*AF259+$L259*Summary_LCIA!W$32</f>
        <v>10.441398490330851</v>
      </c>
      <c r="BB259" s="137">
        <f>$W259*AG259+$L259*Summary_LCIA!X$32</f>
        <v>12.996708858938288</v>
      </c>
      <c r="BC259" s="137">
        <f>$W259*AH259+$L259*Summary_LCIA!Y$32</f>
        <v>0.54973556393232614</v>
      </c>
      <c r="BD259" s="137">
        <f>$W259*AI259+$L259*Summary_LCIA!Z$32</f>
        <v>0.2579778091250286</v>
      </c>
      <c r="BE259" s="137">
        <f>$W259*AJ259+$L259*Summary_LCIA!AA$32</f>
        <v>1.4796842643451427</v>
      </c>
      <c r="BF259" s="137">
        <f>$W259*AK259+$L259*Summary_LCIA!AB$32</f>
        <v>6.2213263427471001E-2</v>
      </c>
      <c r="BG259" s="137">
        <f>$W259*AL259+$L259*Summary_LCIA!AC$32</f>
        <v>3.1250996732096016E-5</v>
      </c>
      <c r="BH259" s="137">
        <f>$W259*AM259+$L259*Summary_LCIA!AD$32</f>
        <v>0.10572554080437875</v>
      </c>
      <c r="BI259" s="137">
        <f>$W259*AN259+$L259*Summary_LCIA!AE$32</f>
        <v>0.3080595416976426</v>
      </c>
      <c r="BJ259" s="137">
        <f>$W259*AO259+$L259*Summary_LCIA!AF$32</f>
        <v>2.0851103075085826E-2</v>
      </c>
      <c r="BK259" s="137">
        <f>$W259*AP259+$L259*Summary_LCIA!AG$32</f>
        <v>5.4044318350858229E-3</v>
      </c>
      <c r="BL259" s="137">
        <f>$W259*AQ259+$L259*Summary_LCIA!AH$32</f>
        <v>0.79249974830887715</v>
      </c>
      <c r="BM259" s="137">
        <f>$W259*AR259+$L259*Summary_LCIA!AI$32</f>
        <v>0.27228300617884077</v>
      </c>
    </row>
    <row r="260" spans="1:65" x14ac:dyDescent="0.25">
      <c r="A260" s="149">
        <v>364</v>
      </c>
      <c r="B260" s="149">
        <v>16</v>
      </c>
      <c r="C260" s="61">
        <v>32.233283999999998</v>
      </c>
      <c r="D260" s="61">
        <v>-110.948801</v>
      </c>
      <c r="E260" s="61" t="s">
        <v>265</v>
      </c>
      <c r="F260" s="149">
        <v>44</v>
      </c>
      <c r="G260" s="61" t="s">
        <v>565</v>
      </c>
      <c r="H260" s="61" t="s">
        <v>668</v>
      </c>
      <c r="I260" s="61">
        <v>33.437269000000001</v>
      </c>
      <c r="J260" s="61">
        <v>-112.00778800000001</v>
      </c>
      <c r="K260" s="61">
        <v>308.37148159999998</v>
      </c>
      <c r="L260" s="61">
        <v>180.36</v>
      </c>
      <c r="M260" s="61" t="s">
        <v>617</v>
      </c>
      <c r="N260" s="149">
        <v>15</v>
      </c>
      <c r="O260" s="149">
        <v>16</v>
      </c>
      <c r="P260" s="61" t="s">
        <v>565</v>
      </c>
      <c r="Q260" s="61" t="s">
        <v>556</v>
      </c>
      <c r="R260" s="61">
        <v>39.856096299999997</v>
      </c>
      <c r="S260" s="61">
        <v>-104.6737376</v>
      </c>
      <c r="T260" s="61">
        <v>1468.3810000000001</v>
      </c>
      <c r="U260" s="61" t="s">
        <v>617</v>
      </c>
      <c r="V260" s="61" t="s">
        <v>569</v>
      </c>
      <c r="W260" s="61" cm="1">
        <f t="array" ref="W260">getDistance(I260,J260,R260,S260)*SA!$B$12</f>
        <v>968.6486123202867</v>
      </c>
      <c r="Y260" s="137">
        <f>Transportation_LCIA!C$61*($W260^Transportation_LCIA!C$60)+Transportation_LCIA!C$62</f>
        <v>0.23886719687765717</v>
      </c>
      <c r="Z260" s="137">
        <f>Transportation_LCIA!D$61*($W260^Transportation_LCIA!D$60)+Transportation_LCIA!D$62</f>
        <v>2.4601046233999142</v>
      </c>
      <c r="AA260" s="137">
        <f>Transportation_LCIA!E$61*($W260^Transportation_LCIA!E$60)+Transportation_LCIA!E$62</f>
        <v>1.1670227321326603E-3</v>
      </c>
      <c r="AB260" s="137">
        <f>Transportation_LCIA!F$61*($W260^Transportation_LCIA!F$60)+Transportation_LCIA!F$62</f>
        <v>0.23886719687765717</v>
      </c>
      <c r="AC260" s="137">
        <f>Transportation_LCIA!G$61*($W260^Transportation_LCIA!G$60)+Transportation_LCIA!G$62</f>
        <v>5.7488593082864949E-2</v>
      </c>
      <c r="AD260" s="137">
        <f>Transportation_LCIA!H$61*($W260^Transportation_LCIA!H$60)+Transportation_LCIA!H$62</f>
        <v>2.8178708647962791E-4</v>
      </c>
      <c r="AE260" s="137">
        <f>Transportation_LCIA!I$61*($W260^Transportation_LCIA!I$60)+Transportation_LCIA!I$62</f>
        <v>6.0457933640980744E-6</v>
      </c>
      <c r="AF260" s="137">
        <f>Transportation_LCIA!J$61*($W260^Transportation_LCIA!J$60)+Transportation_LCIA!J$62</f>
        <v>8.9493105460058155E-3</v>
      </c>
      <c r="AG260" s="137">
        <f>Transportation_LCIA!K$61*($W260^Transportation_LCIA!K$60)+Transportation_LCIA!K$62</f>
        <v>1.2244023945167637E-2</v>
      </c>
      <c r="AH260" s="137">
        <f>Transportation_LCIA!L$61*($W260^Transportation_LCIA!L$60)+Transportation_LCIA!L$62</f>
        <v>2.4447038262371504E-4</v>
      </c>
      <c r="AI260" s="137">
        <f>Transportation_LCIA!M$61*($W260^Transportation_LCIA!M$60)+Transportation_LCIA!M$62</f>
        <v>2.4636258596831892E-4</v>
      </c>
      <c r="AJ260" s="137">
        <f>Transportation_LCIA!N$61*($W260^Transportation_LCIA!N$60)+Transportation_LCIA!N$62</f>
        <v>1.0066308986207888E-3</v>
      </c>
      <c r="AK260" s="137">
        <f>Transportation_LCIA!O$61*($W260^Transportation_LCIA!O$60)+Transportation_LCIA!O$62</f>
        <v>6.0753042653991307E-5</v>
      </c>
      <c r="AL260" s="137">
        <f>Transportation_LCIA!P$61*($W260^Transportation_LCIA!P$60)+Transportation_LCIA!P$62</f>
        <v>2.9378304943552793E-8</v>
      </c>
      <c r="AM260" s="137">
        <f>Transportation_LCIA!Q$61*($W260^Transportation_LCIA!Q$60)+Transportation_LCIA!Q$62</f>
        <v>9.67489323424237E-5</v>
      </c>
      <c r="AN260" s="137">
        <f>Transportation_LCIA!R$61*($W260^Transportation_LCIA!R$60)+Transportation_LCIA!R$62</f>
        <v>2.9075691947048329E-4</v>
      </c>
      <c r="AO260" s="137">
        <f>Transportation_LCIA!S$61*($W260^Transportation_LCIA!S$60)+Transportation_LCIA!S$62</f>
        <v>4.3838997605882826E-6</v>
      </c>
      <c r="AP260" s="137">
        <f>Transportation_LCIA!T$61*($W260^Transportation_LCIA!T$60)+Transportation_LCIA!T$62</f>
        <v>4.3838997605882826E-6</v>
      </c>
      <c r="AQ260" s="137">
        <f>Transportation_LCIA!U$61*($W260^Transportation_LCIA!U$60)+Transportation_LCIA!U$62</f>
        <v>6.2433252958363791E-4</v>
      </c>
      <c r="AR260" s="137">
        <f>Transportation_LCIA!V$61*($W260^Transportation_LCIA!V$60)+Transportation_LCIA!V$62</f>
        <v>2.5161188457774699E-4</v>
      </c>
      <c r="AT260" s="137">
        <f>$W260*Y260+$L260*Summary_LCIA!H$32</f>
        <v>292.66470678437935</v>
      </c>
      <c r="AU260" s="137">
        <f>$W260*Z260+$L260*Summary_LCIA!Q$32</f>
        <v>3276.8501857149286</v>
      </c>
      <c r="AV260" s="137">
        <f>$W260*AA260+$L260*Summary_LCIA!R$32</f>
        <v>2.0801385660265308</v>
      </c>
      <c r="AW260" s="137">
        <f>$W260*AB260+$L260*Summary_LCIA!S$32</f>
        <v>291.86751558437936</v>
      </c>
      <c r="AX260" s="137">
        <f>$W260*AC260+$L260*Summary_LCIA!T$32</f>
        <v>75.507809913962774</v>
      </c>
      <c r="AY260" s="137">
        <f>$W260*AD260+$L260*Summary_LCIA!U$32</f>
        <v>3.5039217102882683</v>
      </c>
      <c r="AZ260" s="137">
        <f>$W260*AE260+$L260*Summary_LCIA!V$32</f>
        <v>1.4470423312508798E-2</v>
      </c>
      <c r="BA260" s="137">
        <f>$W260*AF260+$L260*Summary_LCIA!W$32</f>
        <v>22.55122680161184</v>
      </c>
      <c r="BB260" s="137">
        <f>$W260*AG260+$L260*Summary_LCIA!X$32</f>
        <v>15.968757603702993</v>
      </c>
      <c r="BC260" s="137">
        <f>$W260*AH260+$L260*Summary_LCIA!Y$32</f>
        <v>3.047175416881871</v>
      </c>
      <c r="BD260" s="137">
        <f>$W260*AI260+$L260*Summary_LCIA!Z$32</f>
        <v>0.24603516026584946</v>
      </c>
      <c r="BE260" s="137">
        <f>$W260*AJ260+$L260*Summary_LCIA!AA$32</f>
        <v>5.1875597830677505</v>
      </c>
      <c r="BF260" s="137">
        <f>$W260*AK260+$L260*Summary_LCIA!AB$32</f>
        <v>5.4912354181023866E-2</v>
      </c>
      <c r="BG260" s="137">
        <f>$W260*AL260+$L260*Summary_LCIA!AC$32</f>
        <v>3.7273972555894631E-5</v>
      </c>
      <c r="BH260" s="137">
        <f>$W260*AM260+$L260*Summary_LCIA!AD$32</f>
        <v>0.16785089345695803</v>
      </c>
      <c r="BI260" s="137">
        <f>$W260*AN260+$L260*Summary_LCIA!AE$32</f>
        <v>0.44146369336760505</v>
      </c>
      <c r="BJ260" s="137">
        <f>$W260*AO260+$L260*Summary_LCIA!AF$32</f>
        <v>0.1567264096196451</v>
      </c>
      <c r="BK260" s="137">
        <f>$W260*AP260+$L260*Summary_LCIA!AG$32</f>
        <v>1.3474577819645079E-2</v>
      </c>
      <c r="BL260" s="137">
        <f>$W260*AQ260+$L260*Summary_LCIA!AH$32</f>
        <v>2.1745401344076054</v>
      </c>
      <c r="BM260" s="137">
        <f>$W260*AR260+$L260*Summary_LCIA!AI$32</f>
        <v>0.41173786083952679</v>
      </c>
    </row>
    <row r="261" spans="1:65" x14ac:dyDescent="0.25">
      <c r="A261" s="149">
        <v>230</v>
      </c>
      <c r="B261" s="149">
        <v>16</v>
      </c>
      <c r="C261" s="61">
        <v>44.974069999999998</v>
      </c>
      <c r="D261" s="61">
        <v>-93.024049000000005</v>
      </c>
      <c r="E261" s="61" t="s">
        <v>265</v>
      </c>
      <c r="F261" s="149">
        <v>57</v>
      </c>
      <c r="G261" s="61" t="s">
        <v>565</v>
      </c>
      <c r="H261" s="61" t="s">
        <v>641</v>
      </c>
      <c r="I261" s="61">
        <v>44.884754999999998</v>
      </c>
      <c r="J261" s="61">
        <v>-93.222284999999999</v>
      </c>
      <c r="K261" s="61">
        <v>21.929348569999998</v>
      </c>
      <c r="L261" s="61">
        <v>28.896000000000001</v>
      </c>
      <c r="M261" s="61" t="s">
        <v>617</v>
      </c>
      <c r="N261" s="149">
        <v>15</v>
      </c>
      <c r="O261" s="149">
        <v>16</v>
      </c>
      <c r="P261" s="61" t="s">
        <v>565</v>
      </c>
      <c r="Q261" s="61" t="s">
        <v>556</v>
      </c>
      <c r="R261" s="61">
        <v>39.856096299999997</v>
      </c>
      <c r="S261" s="61">
        <v>-104.6737376</v>
      </c>
      <c r="T261" s="61">
        <v>1474.194</v>
      </c>
      <c r="U261" s="61" t="s">
        <v>617</v>
      </c>
      <c r="V261" s="61" t="s">
        <v>569</v>
      </c>
      <c r="W261" s="61" cm="1">
        <f t="array" ref="W261">getDistance(I261,J261,R261,S261)*SA!$B$12</f>
        <v>1095.2291593571902</v>
      </c>
      <c r="Y261" s="137">
        <f>Transportation_LCIA!C$61*($W261^Transportation_LCIA!C$60)+Transportation_LCIA!C$62</f>
        <v>0.22643586596063625</v>
      </c>
      <c r="Z261" s="137">
        <f>Transportation_LCIA!D$61*($W261^Transportation_LCIA!D$60)+Transportation_LCIA!D$62</f>
        <v>2.3152383446330025</v>
      </c>
      <c r="AA261" s="137">
        <f>Transportation_LCIA!E$61*($W261^Transportation_LCIA!E$60)+Transportation_LCIA!E$62</f>
        <v>1.0718135248526592E-3</v>
      </c>
      <c r="AB261" s="137">
        <f>Transportation_LCIA!F$61*($W261^Transportation_LCIA!F$60)+Transportation_LCIA!F$62</f>
        <v>0.22643586596063625</v>
      </c>
      <c r="AC261" s="137">
        <f>Transportation_LCIA!G$61*($W261^Transportation_LCIA!G$60)+Transportation_LCIA!G$62</f>
        <v>5.4136722701724913E-2</v>
      </c>
      <c r="AD261" s="137">
        <f>Transportation_LCIA!H$61*($W261^Transportation_LCIA!H$60)+Transportation_LCIA!H$62</f>
        <v>2.6086917583078418E-4</v>
      </c>
      <c r="AE261" s="137">
        <f>Transportation_LCIA!I$61*($W261^Transportation_LCIA!I$60)+Transportation_LCIA!I$62</f>
        <v>5.519888965725161E-6</v>
      </c>
      <c r="AF261" s="137">
        <f>Transportation_LCIA!J$61*($W261^Transportation_LCIA!J$60)+Transportation_LCIA!J$62</f>
        <v>8.1667534195131557E-3</v>
      </c>
      <c r="AG261" s="137">
        <f>Transportation_LCIA!K$61*($W261^Transportation_LCIA!K$60)+Transportation_LCIA!K$62</f>
        <v>1.1462152291769032E-2</v>
      </c>
      <c r="AH261" s="137">
        <f>Transportation_LCIA!L$61*($W261^Transportation_LCIA!L$60)+Transportation_LCIA!L$62</f>
        <v>2.2524676760534478E-4</v>
      </c>
      <c r="AI261" s="137">
        <f>Transportation_LCIA!M$61*($W261^Transportation_LCIA!M$60)+Transportation_LCIA!M$62</f>
        <v>2.3481868054350591E-4</v>
      </c>
      <c r="AJ261" s="137">
        <f>Transportation_LCIA!N$61*($W261^Transportation_LCIA!N$60)+Transportation_LCIA!N$62</f>
        <v>9.36294260962703E-4</v>
      </c>
      <c r="AK261" s="137">
        <f>Transportation_LCIA!O$61*($W261^Transportation_LCIA!O$60)+Transportation_LCIA!O$62</f>
        <v>5.7191389214138704E-5</v>
      </c>
      <c r="AL261" s="137">
        <f>Transportation_LCIA!P$61*($W261^Transportation_LCIA!P$60)+Transportation_LCIA!P$62</f>
        <v>2.7665717663945155E-8</v>
      </c>
      <c r="AM261" s="137">
        <f>Transportation_LCIA!Q$61*($W261^Transportation_LCIA!Q$60)+Transportation_LCIA!Q$62</f>
        <v>8.9233959897250381E-5</v>
      </c>
      <c r="AN261" s="137">
        <f>Transportation_LCIA!R$61*($W261^Transportation_LCIA!R$60)+Transportation_LCIA!R$62</f>
        <v>2.6553902712774164E-4</v>
      </c>
      <c r="AO261" s="137">
        <f>Transportation_LCIA!S$61*($W261^Transportation_LCIA!S$60)+Transportation_LCIA!S$62</f>
        <v>4.0259838568156503E-6</v>
      </c>
      <c r="AP261" s="137">
        <f>Transportation_LCIA!T$61*($W261^Transportation_LCIA!T$60)+Transportation_LCIA!T$62</f>
        <v>4.0259838568156503E-6</v>
      </c>
      <c r="AQ261" s="137">
        <f>Transportation_LCIA!U$61*($W261^Transportation_LCIA!U$60)+Transportation_LCIA!U$62</f>
        <v>5.6904267950157877E-4</v>
      </c>
      <c r="AR261" s="137">
        <f>Transportation_LCIA!V$61*($W261^Transportation_LCIA!V$60)+Transportation_LCIA!V$62</f>
        <v>2.3206670458629459E-4</v>
      </c>
      <c r="AT261" s="137">
        <f>$W261*Y261+$L261*Summary_LCIA!H$32</f>
        <v>257.81802392438505</v>
      </c>
      <c r="AU261" s="137">
        <f>$W261*Z261+$L261*Summary_LCIA!Q$32</f>
        <v>2678.9265792159035</v>
      </c>
      <c r="AV261" s="137">
        <f>$W261*AA261+$L261*Summary_LCIA!R$32</f>
        <v>1.3260362034120448</v>
      </c>
      <c r="AW261" s="137">
        <f>$W261*AB261+$L261*Summary_LCIA!S$32</f>
        <v>257.69030360438501</v>
      </c>
      <c r="AX261" s="137">
        <f>$W261*AC261+$L261*Summary_LCIA!T$32</f>
        <v>62.467787694963491</v>
      </c>
      <c r="AY261" s="137">
        <f>$W261*AD261+$L261*Summary_LCIA!U$32</f>
        <v>0.80335447214735278</v>
      </c>
      <c r="AZ261" s="137">
        <f>$W261*AE261+$L261*Summary_LCIA!V$32</f>
        <v>7.4256452076761981E-3</v>
      </c>
      <c r="BA261" s="137">
        <f>$W261*AF261+$L261*Summary_LCIA!W$32</f>
        <v>11.168620498330851</v>
      </c>
      <c r="BB261" s="137">
        <f>$W261*AG261+$L261*Summary_LCIA!X$32</f>
        <v>13.211934298938289</v>
      </c>
      <c r="BC261" s="137">
        <f>$W261*AH261+$L261*Summary_LCIA!Y$32</f>
        <v>0.69695429993232616</v>
      </c>
      <c r="BD261" s="137">
        <f>$W261*AI261+$L261*Summary_LCIA!Z$32</f>
        <v>0.2583652621570286</v>
      </c>
      <c r="BE261" s="137">
        <f>$W261*AJ261+$L261*Summary_LCIA!AA$32</f>
        <v>1.7003517523451426</v>
      </c>
      <c r="BF261" s="137">
        <f>$W261*AK261+$L261*Summary_LCIA!AB$32</f>
        <v>6.2007079723471005E-2</v>
      </c>
      <c r="BG261" s="137">
        <f>$W261*AL261+$L261*Summary_LCIA!AC$32</f>
        <v>3.1712852764096022E-5</v>
      </c>
      <c r="BH261" s="137">
        <f>$W261*AM261+$L261*Summary_LCIA!AD$32</f>
        <v>0.10960904672437875</v>
      </c>
      <c r="BI261" s="137">
        <f>$W261*AN261+$L261*Summary_LCIA!AE$32</f>
        <v>0.31643169793764259</v>
      </c>
      <c r="BJ261" s="137">
        <f>$W261*AO261+$L261*Summary_LCIA!AF$32</f>
        <v>2.8838631235085826E-2</v>
      </c>
      <c r="BK261" s="137">
        <f>$W261*AP261+$L261*Summary_LCIA!AG$32</f>
        <v>5.8878387550858231E-3</v>
      </c>
      <c r="BL261" s="137">
        <f>$W261*AQ261+$L261*Summary_LCIA!AH$32</f>
        <v>0.87473136110887717</v>
      </c>
      <c r="BM261" s="137">
        <f>$W261*AR261+$L261*Summary_LCIA!AI$32</f>
        <v>0.28108429057884077</v>
      </c>
    </row>
    <row r="262" spans="1:65" x14ac:dyDescent="0.25">
      <c r="A262" s="149">
        <v>142</v>
      </c>
      <c r="B262" s="149">
        <v>16</v>
      </c>
      <c r="C262" s="61">
        <v>30.122962999999999</v>
      </c>
      <c r="D262" s="61">
        <v>-97.611422000000005</v>
      </c>
      <c r="E262" s="61" t="s">
        <v>265</v>
      </c>
      <c r="F262" s="149">
        <v>92</v>
      </c>
      <c r="G262" s="61" t="s">
        <v>666</v>
      </c>
      <c r="H262" s="61" t="s">
        <v>667</v>
      </c>
      <c r="I262" s="61">
        <v>30.197471</v>
      </c>
      <c r="J262" s="61">
        <v>-97.666353000000001</v>
      </c>
      <c r="K262" s="61">
        <v>15.382665169999999</v>
      </c>
      <c r="L262" s="61">
        <v>15.595000000000001</v>
      </c>
      <c r="M262" s="61" t="s">
        <v>617</v>
      </c>
      <c r="N262" s="149">
        <v>15</v>
      </c>
      <c r="O262" s="149">
        <v>16</v>
      </c>
      <c r="P262" s="61" t="s">
        <v>565</v>
      </c>
      <c r="Q262" s="61" t="s">
        <v>556</v>
      </c>
      <c r="R262" s="61">
        <v>39.856096299999997</v>
      </c>
      <c r="S262" s="61">
        <v>-104.6737376</v>
      </c>
      <c r="T262" s="61">
        <v>1491.0440000000001</v>
      </c>
      <c r="U262" s="61" t="s">
        <v>617</v>
      </c>
      <c r="V262" s="61" t="s">
        <v>569</v>
      </c>
      <c r="W262" s="61" cm="1">
        <f t="array" ref="W262">getDistance(I262,J262,R262,S262)*SA!$B$12</f>
        <v>1248.9071638415444</v>
      </c>
      <c r="Y262" s="137">
        <f>Transportation_LCIA!C$61*($W262^Transportation_LCIA!C$60)+Transportation_LCIA!C$62</f>
        <v>0.21448823954102383</v>
      </c>
      <c r="Z262" s="137">
        <f>Transportation_LCIA!D$61*($W262^Transportation_LCIA!D$60)+Transportation_LCIA!D$62</f>
        <v>2.1767738252168236</v>
      </c>
      <c r="AA262" s="137">
        <f>Transportation_LCIA!E$61*($W262^Transportation_LCIA!E$60)+Transportation_LCIA!E$62</f>
        <v>9.8095248174726295E-4</v>
      </c>
      <c r="AB262" s="137">
        <f>Transportation_LCIA!F$61*($W262^Transportation_LCIA!F$60)+Transportation_LCIA!F$62</f>
        <v>0.21448823954102383</v>
      </c>
      <c r="AC262" s="137">
        <f>Transportation_LCIA!G$61*($W262^Transportation_LCIA!G$60)+Transportation_LCIA!G$62</f>
        <v>5.0931944626929238E-2</v>
      </c>
      <c r="AD262" s="137">
        <f>Transportation_LCIA!H$61*($W262^Transportation_LCIA!H$60)+Transportation_LCIA!H$62</f>
        <v>2.4096753967225786E-4</v>
      </c>
      <c r="AE262" s="137">
        <f>Transportation_LCIA!I$61*($W262^Transportation_LCIA!I$60)+Transportation_LCIA!I$62</f>
        <v>5.0219936794745138E-6</v>
      </c>
      <c r="AF262" s="137">
        <f>Transportation_LCIA!J$61*($W262^Transportation_LCIA!J$60)+Transportation_LCIA!J$62</f>
        <v>7.4282547578900064E-3</v>
      </c>
      <c r="AG262" s="137">
        <f>Transportation_LCIA!K$61*($W262^Transportation_LCIA!K$60)+Transportation_LCIA!K$62</f>
        <v>1.0716669733527501E-2</v>
      </c>
      <c r="AH262" s="137">
        <f>Transportation_LCIA!L$61*($W262^Transportation_LCIA!L$60)+Transportation_LCIA!L$62</f>
        <v>2.0698274841012563E-4</v>
      </c>
      <c r="AI262" s="137">
        <f>Transportation_LCIA!M$61*($W262^Transportation_LCIA!M$60)+Transportation_LCIA!M$62</f>
        <v>2.23837453296328E-4</v>
      </c>
      <c r="AJ262" s="137">
        <f>Transportation_LCIA!N$61*($W262^Transportation_LCIA!N$60)+Transportation_LCIA!N$62</f>
        <v>8.6934865177854014E-4</v>
      </c>
      <c r="AK262" s="137">
        <f>Transportation_LCIA!O$61*($W262^Transportation_LCIA!O$60)+Transportation_LCIA!O$62</f>
        <v>5.3786549642432523E-5</v>
      </c>
      <c r="AL262" s="137">
        <f>Transportation_LCIA!P$61*($W262^Transportation_LCIA!P$60)+Transportation_LCIA!P$62</f>
        <v>2.602786183859221E-8</v>
      </c>
      <c r="AM262" s="137">
        <f>Transportation_LCIA!Q$61*($W262^Transportation_LCIA!Q$60)+Transportation_LCIA!Q$62</f>
        <v>8.2099506965745372E-5</v>
      </c>
      <c r="AN262" s="137">
        <f>Transportation_LCIA!R$61*($W262^Transportation_LCIA!R$60)+Transportation_LCIA!R$62</f>
        <v>2.4166705452084486E-4</v>
      </c>
      <c r="AO262" s="137">
        <f>Transportation_LCIA!S$61*($W262^Transportation_LCIA!S$60)+Transportation_LCIA!S$62</f>
        <v>3.687095776344153E-6</v>
      </c>
      <c r="AP262" s="137">
        <f>Transportation_LCIA!T$61*($W262^Transportation_LCIA!T$60)+Transportation_LCIA!T$62</f>
        <v>3.687095776344153E-6</v>
      </c>
      <c r="AQ262" s="137">
        <f>Transportation_LCIA!U$61*($W262^Transportation_LCIA!U$60)+Transportation_LCIA!U$62</f>
        <v>5.1675261453299794E-4</v>
      </c>
      <c r="AR262" s="137">
        <f>Transportation_LCIA!V$61*($W262^Transportation_LCIA!V$60)+Transportation_LCIA!V$62</f>
        <v>2.1352925898039042E-4</v>
      </c>
      <c r="AT262" s="137">
        <f>$W262*Y262+$L262*Summary_LCIA!H$32</f>
        <v>273.17507992254588</v>
      </c>
      <c r="AU262" s="137">
        <f>$W262*Z262+$L262*Summary_LCIA!Q$32</f>
        <v>2795.8780308786877</v>
      </c>
      <c r="AV262" s="137">
        <f>$W262*AA262+$L262*Summary_LCIA!R$32</f>
        <v>1.3072356138422985</v>
      </c>
      <c r="AW262" s="137">
        <f>$W262*AB262+$L262*Summary_LCIA!S$32</f>
        <v>273.10615002254588</v>
      </c>
      <c r="AX262" s="137">
        <f>$W262*AC262+$L262*Summary_LCIA!T$32</f>
        <v>65.323161012952781</v>
      </c>
      <c r="AY262" s="137">
        <f>$W262*AD262+$L262*Summary_LCIA!U$32</f>
        <v>0.58031491654995437</v>
      </c>
      <c r="AZ262" s="137">
        <f>$W262*AE262+$L262*Summary_LCIA!V$32</f>
        <v>7.0168366780626766E-3</v>
      </c>
      <c r="BA262" s="137">
        <f>$W262*AF262+$L262*Summary_LCIA!W$32</f>
        <v>10.477563326968866</v>
      </c>
      <c r="BB262" s="137">
        <f>$W262*AG262+$L262*Summary_LCIA!X$32</f>
        <v>13.73937970272635</v>
      </c>
      <c r="BC262" s="137">
        <f>$W262*AH262+$L262*Summary_LCIA!Y$32</f>
        <v>0.50150352728101788</v>
      </c>
      <c r="BD262" s="137">
        <f>$W262*AI262+$L262*Summary_LCIA!Z$32</f>
        <v>0.28019173431283112</v>
      </c>
      <c r="BE262" s="137">
        <f>$W262*AJ262+$L262*Summary_LCIA!AA$32</f>
        <v>1.4499725790822069</v>
      </c>
      <c r="BF262" s="137">
        <f>$W262*AK262+$L262*Summary_LCIA!AB$32</f>
        <v>6.6834077481752838E-2</v>
      </c>
      <c r="BG262" s="137">
        <f>$W262*AL262+$L262*Summary_LCIA!AC$32</f>
        <v>3.3268729089695756E-5</v>
      </c>
      <c r="BH262" s="137">
        <f>$W262*AM262+$L262*Summary_LCIA!AD$32</f>
        <v>0.10894483119737818</v>
      </c>
      <c r="BI262" s="137">
        <f>$W262*AN262+$L262*Summary_LCIA!AE$32</f>
        <v>0.31563891300556823</v>
      </c>
      <c r="BJ262" s="137">
        <f>$W262*AO262+$L262*Summary_LCIA!AF$32</f>
        <v>1.7789165228846115E-2</v>
      </c>
      <c r="BK262" s="137">
        <f>$W262*AP262+$L262*Summary_LCIA!AG$32</f>
        <v>5.402758503846113E-3</v>
      </c>
      <c r="BL262" s="137">
        <f>$W262*AQ262+$L262*Summary_LCIA!AH$32</f>
        <v>0.78110868422410928</v>
      </c>
      <c r="BM262" s="137">
        <f>$W262*AR262+$L262*Summary_LCIA!AI$32</f>
        <v>0.28120574348038602</v>
      </c>
    </row>
    <row r="263" spans="1:65" x14ac:dyDescent="0.25">
      <c r="A263" s="149">
        <v>91</v>
      </c>
      <c r="B263" s="149">
        <v>16</v>
      </c>
      <c r="C263" s="61">
        <v>30.618675</v>
      </c>
      <c r="D263" s="61">
        <v>-96.336455000000001</v>
      </c>
      <c r="E263" s="61" t="s">
        <v>265</v>
      </c>
      <c r="F263" s="149">
        <v>92</v>
      </c>
      <c r="G263" s="61" t="s">
        <v>666</v>
      </c>
      <c r="H263" s="61" t="s">
        <v>667</v>
      </c>
      <c r="I263" s="61">
        <v>30.197471</v>
      </c>
      <c r="J263" s="61">
        <v>-97.666353000000001</v>
      </c>
      <c r="K263" s="61">
        <v>145.74323620000001</v>
      </c>
      <c r="L263" s="61">
        <v>167.483</v>
      </c>
      <c r="M263" s="61" t="s">
        <v>617</v>
      </c>
      <c r="N263" s="149">
        <v>15</v>
      </c>
      <c r="O263" s="149">
        <v>16</v>
      </c>
      <c r="P263" s="61" t="s">
        <v>565</v>
      </c>
      <c r="Q263" s="61" t="s">
        <v>556</v>
      </c>
      <c r="R263" s="61">
        <v>39.856096299999997</v>
      </c>
      <c r="S263" s="61">
        <v>-104.6737376</v>
      </c>
      <c r="T263" s="61">
        <v>1492.3</v>
      </c>
      <c r="U263" s="61" t="s">
        <v>617</v>
      </c>
      <c r="V263" s="61" t="s">
        <v>569</v>
      </c>
      <c r="W263" s="61" cm="1">
        <f t="array" ref="W263">getDistance(I263,J263,R263,S263)*SA!$B$12</f>
        <v>1248.9071638415444</v>
      </c>
      <c r="Y263" s="137">
        <f>Transportation_LCIA!C$61*($W263^Transportation_LCIA!C$60)+Transportation_LCIA!C$62</f>
        <v>0.21448823954102383</v>
      </c>
      <c r="Z263" s="137">
        <f>Transportation_LCIA!D$61*($W263^Transportation_LCIA!D$60)+Transportation_LCIA!D$62</f>
        <v>2.1767738252168236</v>
      </c>
      <c r="AA263" s="137">
        <f>Transportation_LCIA!E$61*($W263^Transportation_LCIA!E$60)+Transportation_LCIA!E$62</f>
        <v>9.8095248174726295E-4</v>
      </c>
      <c r="AB263" s="137">
        <f>Transportation_LCIA!F$61*($W263^Transportation_LCIA!F$60)+Transportation_LCIA!F$62</f>
        <v>0.21448823954102383</v>
      </c>
      <c r="AC263" s="137">
        <f>Transportation_LCIA!G$61*($W263^Transportation_LCIA!G$60)+Transportation_LCIA!G$62</f>
        <v>5.0931944626929238E-2</v>
      </c>
      <c r="AD263" s="137">
        <f>Transportation_LCIA!H$61*($W263^Transportation_LCIA!H$60)+Transportation_LCIA!H$62</f>
        <v>2.4096753967225786E-4</v>
      </c>
      <c r="AE263" s="137">
        <f>Transportation_LCIA!I$61*($W263^Transportation_LCIA!I$60)+Transportation_LCIA!I$62</f>
        <v>5.0219936794745138E-6</v>
      </c>
      <c r="AF263" s="137">
        <f>Transportation_LCIA!J$61*($W263^Transportation_LCIA!J$60)+Transportation_LCIA!J$62</f>
        <v>7.4282547578900064E-3</v>
      </c>
      <c r="AG263" s="137">
        <f>Transportation_LCIA!K$61*($W263^Transportation_LCIA!K$60)+Transportation_LCIA!K$62</f>
        <v>1.0716669733527501E-2</v>
      </c>
      <c r="AH263" s="137">
        <f>Transportation_LCIA!L$61*($W263^Transportation_LCIA!L$60)+Transportation_LCIA!L$62</f>
        <v>2.0698274841012563E-4</v>
      </c>
      <c r="AI263" s="137">
        <f>Transportation_LCIA!M$61*($W263^Transportation_LCIA!M$60)+Transportation_LCIA!M$62</f>
        <v>2.23837453296328E-4</v>
      </c>
      <c r="AJ263" s="137">
        <f>Transportation_LCIA!N$61*($W263^Transportation_LCIA!N$60)+Transportation_LCIA!N$62</f>
        <v>8.6934865177854014E-4</v>
      </c>
      <c r="AK263" s="137">
        <f>Transportation_LCIA!O$61*($W263^Transportation_LCIA!O$60)+Transportation_LCIA!O$62</f>
        <v>5.3786549642432523E-5</v>
      </c>
      <c r="AL263" s="137">
        <f>Transportation_LCIA!P$61*($W263^Transportation_LCIA!P$60)+Transportation_LCIA!P$62</f>
        <v>2.602786183859221E-8</v>
      </c>
      <c r="AM263" s="137">
        <f>Transportation_LCIA!Q$61*($W263^Transportation_LCIA!Q$60)+Transportation_LCIA!Q$62</f>
        <v>8.2099506965745372E-5</v>
      </c>
      <c r="AN263" s="137">
        <f>Transportation_LCIA!R$61*($W263^Transportation_LCIA!R$60)+Transportation_LCIA!R$62</f>
        <v>2.4166705452084486E-4</v>
      </c>
      <c r="AO263" s="137">
        <f>Transportation_LCIA!S$61*($W263^Transportation_LCIA!S$60)+Transportation_LCIA!S$62</f>
        <v>3.687095776344153E-6</v>
      </c>
      <c r="AP263" s="137">
        <f>Transportation_LCIA!T$61*($W263^Transportation_LCIA!T$60)+Transportation_LCIA!T$62</f>
        <v>3.687095776344153E-6</v>
      </c>
      <c r="AQ263" s="137">
        <f>Transportation_LCIA!U$61*($W263^Transportation_LCIA!U$60)+Transportation_LCIA!U$62</f>
        <v>5.1675261453299794E-4</v>
      </c>
      <c r="AR263" s="137">
        <f>Transportation_LCIA!V$61*($W263^Transportation_LCIA!V$60)+Transportation_LCIA!V$62</f>
        <v>2.1352925898039042E-4</v>
      </c>
      <c r="AT263" s="137">
        <f>$W263*Y263+$L263*Summary_LCIA!H$32</f>
        <v>324.7866223225459</v>
      </c>
      <c r="AU263" s="137">
        <f>$W263*Z263+$L263*Summary_LCIA!Q$32</f>
        <v>3548.6426190461916</v>
      </c>
      <c r="AV263" s="137">
        <f>$W263*AA263+$L263*Summary_LCIA!R$32</f>
        <v>2.1070170666422987</v>
      </c>
      <c r="AW263" s="137">
        <f>$W263*AB263+$L263*Summary_LCIA!S$32</f>
        <v>324.0463474625459</v>
      </c>
      <c r="AX263" s="137">
        <f>$W263*AC263+$L263*Summary_LCIA!T$32</f>
        <v>82.015652212952787</v>
      </c>
      <c r="AY263" s="137">
        <f>$W263*AD263+$L263*Summary_LCIA!U$32</f>
        <v>3.3012365485499546</v>
      </c>
      <c r="AZ263" s="137">
        <f>$W263*AE263+$L263*Summary_LCIA!V$32</f>
        <v>1.4271159446062677E-2</v>
      </c>
      <c r="BA263" s="137">
        <f>$W263*AF263+$L263*Summary_LCIA!W$32</f>
        <v>22.168534574968866</v>
      </c>
      <c r="BB263" s="137">
        <f>$W263*AG263+$L263*Summary_LCIA!X$32</f>
        <v>17.199388342726351</v>
      </c>
      <c r="BC263" s="137">
        <f>$W263*AH263+$L263*Summary_LCIA!Y$32</f>
        <v>2.8682223432810181</v>
      </c>
      <c r="BD263" s="137">
        <f>$W263*AI263+$L263*Summary_LCIA!Z$32</f>
        <v>0.28642050930483109</v>
      </c>
      <c r="BE263" s="137">
        <f>$W263*AJ263+$L263*Summary_LCIA!AA$32</f>
        <v>4.9974687070822066</v>
      </c>
      <c r="BF263" s="137">
        <f>$W263*AK263+$L263*Summary_LCIA!AB$32</f>
        <v>6.3519425657752843E-2</v>
      </c>
      <c r="BG263" s="137">
        <f>$W263*AL263+$L263*Summary_LCIA!AC$32</f>
        <v>4.0693622081695758E-5</v>
      </c>
      <c r="BH263" s="137">
        <f>$W263*AM263+$L263*Summary_LCIA!AD$32</f>
        <v>0.17137687471737817</v>
      </c>
      <c r="BI263" s="137">
        <f>$W263*AN263+$L263*Summary_LCIA!AE$32</f>
        <v>0.45023142644556824</v>
      </c>
      <c r="BJ263" s="137">
        <f>$W263*AO263+$L263*Summary_LCIA!AF$32</f>
        <v>0.14619831818884613</v>
      </c>
      <c r="BK263" s="137">
        <f>$W263*AP263+$L263*Summary_LCIA!AG$32</f>
        <v>1.3174108023846113E-2</v>
      </c>
      <c r="BL263" s="137">
        <f>$W263*AQ263+$L263*Summary_LCIA!AH$32</f>
        <v>2.1030810810241096</v>
      </c>
      <c r="BM263" s="137">
        <f>$W263*AR263+$L263*Summary_LCIA!AI$32</f>
        <v>0.42269700988038605</v>
      </c>
    </row>
    <row r="264" spans="1:65" x14ac:dyDescent="0.25">
      <c r="A264" s="149">
        <v>41</v>
      </c>
      <c r="B264" s="149">
        <v>16</v>
      </c>
      <c r="C264" s="61">
        <v>35.099532000000004</v>
      </c>
      <c r="D264" s="61">
        <v>-92.440676999999994</v>
      </c>
      <c r="E264" s="61" t="s">
        <v>265</v>
      </c>
      <c r="F264" s="149">
        <v>91</v>
      </c>
      <c r="G264" s="61" t="s">
        <v>565</v>
      </c>
      <c r="H264" s="61" t="s">
        <v>646</v>
      </c>
      <c r="I264" s="61">
        <v>34.904254999999999</v>
      </c>
      <c r="J264" s="61">
        <v>-92.470821999999998</v>
      </c>
      <c r="K264" s="61">
        <v>552.08197859999996</v>
      </c>
      <c r="L264" s="61">
        <v>69.558000000000007</v>
      </c>
      <c r="M264" s="61" t="s">
        <v>617</v>
      </c>
      <c r="N264" s="149">
        <v>15</v>
      </c>
      <c r="O264" s="149">
        <v>16</v>
      </c>
      <c r="P264" s="61" t="s">
        <v>565</v>
      </c>
      <c r="Q264" s="61" t="s">
        <v>556</v>
      </c>
      <c r="R264" s="61">
        <v>39.856096299999997</v>
      </c>
      <c r="S264" s="61">
        <v>-104.6737376</v>
      </c>
      <c r="T264" s="61">
        <v>1496.278</v>
      </c>
      <c r="U264" s="61" t="s">
        <v>617</v>
      </c>
      <c r="V264" s="61" t="s">
        <v>569</v>
      </c>
      <c r="W264" s="61" cm="1">
        <f t="array" ref="W264">getDistance(I264,J264,R264,S264)*SA!$B$12</f>
        <v>1211.5124867563582</v>
      </c>
      <c r="Y264" s="137">
        <f>Transportation_LCIA!C$61*($W264^Transportation_LCIA!C$60)+Transportation_LCIA!C$62</f>
        <v>0.21713842453100429</v>
      </c>
      <c r="Z264" s="137">
        <f>Transportation_LCIA!D$61*($W264^Transportation_LCIA!D$60)+Transportation_LCIA!D$62</f>
        <v>2.2074188315597434</v>
      </c>
      <c r="AA264" s="137">
        <f>Transportation_LCIA!E$61*($W264^Transportation_LCIA!E$60)+Transportation_LCIA!E$62</f>
        <v>1.0010492021647003E-3</v>
      </c>
      <c r="AB264" s="137">
        <f>Transportation_LCIA!F$61*($W264^Transportation_LCIA!F$60)+Transportation_LCIA!F$62</f>
        <v>0.21713842453100429</v>
      </c>
      <c r="AC264" s="137">
        <f>Transportation_LCIA!G$61*($W264^Transportation_LCIA!G$60)+Transportation_LCIA!G$62</f>
        <v>5.1641319776409483E-2</v>
      </c>
      <c r="AD264" s="137">
        <f>Transportation_LCIA!H$61*($W264^Transportation_LCIA!H$60)+Transportation_LCIA!H$62</f>
        <v>2.4536391990225508E-4</v>
      </c>
      <c r="AE264" s="137">
        <f>Transportation_LCIA!I$61*($W264^Transportation_LCIA!I$60)+Transportation_LCIA!I$62</f>
        <v>5.1317608331361244E-6</v>
      </c>
      <c r="AF264" s="137">
        <f>Transportation_LCIA!J$61*($W264^Transportation_LCIA!J$60)+Transportation_LCIA!J$62</f>
        <v>7.5908522643133918E-3</v>
      </c>
      <c r="AG264" s="137">
        <f>Transportation_LCIA!K$61*($W264^Transportation_LCIA!K$60)+Transportation_LCIA!K$62</f>
        <v>1.0881494854057858E-2</v>
      </c>
      <c r="AH264" s="137">
        <f>Transportation_LCIA!L$61*($W264^Transportation_LCIA!L$60)+Transportation_LCIA!L$62</f>
        <v>2.110150645985496E-4</v>
      </c>
      <c r="AI264" s="137">
        <f>Transportation_LCIA!M$61*($W264^Transportation_LCIA!M$60)+Transportation_LCIA!M$62</f>
        <v>2.2626310175807558E-4</v>
      </c>
      <c r="AJ264" s="137">
        <f>Transportation_LCIA!N$61*($W264^Transportation_LCIA!N$60)+Transportation_LCIA!N$62</f>
        <v>8.8413966171508782E-4</v>
      </c>
      <c r="AK264" s="137">
        <f>Transportation_LCIA!O$61*($W264^Transportation_LCIA!O$60)+Transportation_LCIA!O$62</f>
        <v>5.4540161812057476E-5</v>
      </c>
      <c r="AL264" s="137">
        <f>Transportation_LCIA!P$61*($W264^Transportation_LCIA!P$60)+Transportation_LCIA!P$62</f>
        <v>2.6390438083858989E-8</v>
      </c>
      <c r="AM264" s="137">
        <f>Transportation_LCIA!Q$61*($W264^Transportation_LCIA!Q$60)+Transportation_LCIA!Q$62</f>
        <v>8.3674161208509282E-5</v>
      </c>
      <c r="AN264" s="137">
        <f>Transportation_LCIA!R$61*($W264^Transportation_LCIA!R$60)+Transportation_LCIA!R$62</f>
        <v>2.4692966967782427E-4</v>
      </c>
      <c r="AO264" s="137">
        <f>Transportation_LCIA!S$61*($W264^Transportation_LCIA!S$60)+Transportation_LCIA!S$62</f>
        <v>3.761810924700755E-6</v>
      </c>
      <c r="AP264" s="137">
        <f>Transportation_LCIA!T$61*($W264^Transportation_LCIA!T$60)+Transportation_LCIA!T$62</f>
        <v>3.761810924700755E-6</v>
      </c>
      <c r="AQ264" s="137">
        <f>Transportation_LCIA!U$61*($W264^Transportation_LCIA!U$60)+Transportation_LCIA!U$62</f>
        <v>5.2827565191195642E-4</v>
      </c>
      <c r="AR264" s="137">
        <f>Transportation_LCIA!V$61*($W264^Transportation_LCIA!V$60)+Transportation_LCIA!V$62</f>
        <v>2.1761905783126002E-4</v>
      </c>
      <c r="AT264" s="137">
        <f>$W264*Y264+$L264*Summary_LCIA!H$32</f>
        <v>286.70172107391477</v>
      </c>
      <c r="AU264" s="137">
        <f>$W264*Z264+$L264*Summary_LCIA!Q$32</f>
        <v>3019.0484339543732</v>
      </c>
      <c r="AV264" s="137">
        <f>$W264*AA264+$L264*Summary_LCIA!R$32</f>
        <v>1.5790482130800243</v>
      </c>
      <c r="AW264" s="137">
        <f>$W264*AB264+$L264*Summary_LCIA!S$32</f>
        <v>286.3942747139148</v>
      </c>
      <c r="AX264" s="137">
        <f>$W264*AC264+$L264*Summary_LCIA!T$32</f>
        <v>70.208527941698151</v>
      </c>
      <c r="AY264" s="137">
        <f>$W264*AD264+$L264*Summary_LCIA!U$32</f>
        <v>1.543323464761069</v>
      </c>
      <c r="AZ264" s="137">
        <f>$W264*AE264+$L264*Summary_LCIA!V$32</f>
        <v>9.5393519663916262E-3</v>
      </c>
      <c r="BA264" s="137">
        <f>$W264*AF264+$L264*Summary_LCIA!W$32</f>
        <v>14.550361121338451</v>
      </c>
      <c r="BB264" s="137">
        <f>$W264*AG264+$L264*Summary_LCIA!X$32</f>
        <v>14.767598130266149</v>
      </c>
      <c r="BC264" s="137">
        <f>$W264*AH264+$L264*Summary_LCIA!Y$32</f>
        <v>1.3395001416548427</v>
      </c>
      <c r="BD264" s="137">
        <f>$W264*AI264+$L264*Summary_LCIA!Z$32</f>
        <v>0.27697307709413305</v>
      </c>
      <c r="BE264" s="137">
        <f>$W264*AJ264+$L264*Summary_LCIA!AA$32</f>
        <v>2.6957428882043715</v>
      </c>
      <c r="BF264" s="137">
        <f>$W264*AK264+$L264*Summary_LCIA!AB$32</f>
        <v>6.4558122831019915E-2</v>
      </c>
      <c r="BG264" s="137">
        <f>$W264*AL264+$L264*Summary_LCIA!AC$32</f>
        <v>3.5372618541565704E-5</v>
      </c>
      <c r="BH264" s="137">
        <f>$W264*AM264+$L264*Summary_LCIA!AD$32</f>
        <v>0.12996341144297349</v>
      </c>
      <c r="BI264" s="137">
        <f>$W264*AN264+$L264*Summary_LCIA!AE$32</f>
        <v>0.36079580870530698</v>
      </c>
      <c r="BJ264" s="137">
        <f>$W264*AO264+$L264*Summary_LCIA!AF$32</f>
        <v>6.3363205268091458E-2</v>
      </c>
      <c r="BK264" s="137">
        <f>$W264*AP264+$L264*Summary_LCIA!AG$32</f>
        <v>8.1164159780914465E-3</v>
      </c>
      <c r="BL264" s="137">
        <f>$W264*AQ264+$L264*Summary_LCIA!AH$32</f>
        <v>1.2454175575406907</v>
      </c>
      <c r="BM264" s="137">
        <f>$W264*AR264+$L264*Summary_LCIA!AI$32</f>
        <v>0.32844496081872554</v>
      </c>
    </row>
    <row r="265" spans="1:65" x14ac:dyDescent="0.25">
      <c r="A265" s="149">
        <v>42</v>
      </c>
      <c r="B265" s="149">
        <v>16</v>
      </c>
      <c r="C265" s="61">
        <v>35.099532000000004</v>
      </c>
      <c r="D265" s="61">
        <v>-92.440676999999994</v>
      </c>
      <c r="E265" s="61" t="s">
        <v>265</v>
      </c>
      <c r="F265" s="149">
        <v>91</v>
      </c>
      <c r="G265" s="61" t="s">
        <v>565</v>
      </c>
      <c r="H265" s="61" t="s">
        <v>646</v>
      </c>
      <c r="I265" s="61">
        <v>34.904254999999999</v>
      </c>
      <c r="J265" s="61">
        <v>-92.470821999999998</v>
      </c>
      <c r="K265" s="61">
        <v>552.08197859999996</v>
      </c>
      <c r="L265" s="61">
        <v>69.558000000000007</v>
      </c>
      <c r="M265" s="61" t="s">
        <v>617</v>
      </c>
      <c r="N265" s="149">
        <v>15</v>
      </c>
      <c r="O265" s="149">
        <v>16</v>
      </c>
      <c r="P265" s="61" t="s">
        <v>565</v>
      </c>
      <c r="Q265" s="61" t="s">
        <v>556</v>
      </c>
      <c r="R265" s="61">
        <v>39.856096299999997</v>
      </c>
      <c r="S265" s="61">
        <v>-104.6737376</v>
      </c>
      <c r="T265" s="61">
        <v>1496.278</v>
      </c>
      <c r="U265" s="61" t="s">
        <v>617</v>
      </c>
      <c r="V265" s="61" t="s">
        <v>569</v>
      </c>
      <c r="W265" s="61" cm="1">
        <f t="array" ref="W265">getDistance(I265,J265,R265,S265)*SA!$B$12</f>
        <v>1211.5124867563582</v>
      </c>
      <c r="Y265" s="137">
        <f>Transportation_LCIA!C$61*($W265^Transportation_LCIA!C$60)+Transportation_LCIA!C$62</f>
        <v>0.21713842453100429</v>
      </c>
      <c r="Z265" s="137">
        <f>Transportation_LCIA!D$61*($W265^Transportation_LCIA!D$60)+Transportation_LCIA!D$62</f>
        <v>2.2074188315597434</v>
      </c>
      <c r="AA265" s="137">
        <f>Transportation_LCIA!E$61*($W265^Transportation_LCIA!E$60)+Transportation_LCIA!E$62</f>
        <v>1.0010492021647003E-3</v>
      </c>
      <c r="AB265" s="137">
        <f>Transportation_LCIA!F$61*($W265^Transportation_LCIA!F$60)+Transportation_LCIA!F$62</f>
        <v>0.21713842453100429</v>
      </c>
      <c r="AC265" s="137">
        <f>Transportation_LCIA!G$61*($W265^Transportation_LCIA!G$60)+Transportation_LCIA!G$62</f>
        <v>5.1641319776409483E-2</v>
      </c>
      <c r="AD265" s="137">
        <f>Transportation_LCIA!H$61*($W265^Transportation_LCIA!H$60)+Transportation_LCIA!H$62</f>
        <v>2.4536391990225508E-4</v>
      </c>
      <c r="AE265" s="137">
        <f>Transportation_LCIA!I$61*($W265^Transportation_LCIA!I$60)+Transportation_LCIA!I$62</f>
        <v>5.1317608331361244E-6</v>
      </c>
      <c r="AF265" s="137">
        <f>Transportation_LCIA!J$61*($W265^Transportation_LCIA!J$60)+Transportation_LCIA!J$62</f>
        <v>7.5908522643133918E-3</v>
      </c>
      <c r="AG265" s="137">
        <f>Transportation_LCIA!K$61*($W265^Transportation_LCIA!K$60)+Transportation_LCIA!K$62</f>
        <v>1.0881494854057858E-2</v>
      </c>
      <c r="AH265" s="137">
        <f>Transportation_LCIA!L$61*($W265^Transportation_LCIA!L$60)+Transportation_LCIA!L$62</f>
        <v>2.110150645985496E-4</v>
      </c>
      <c r="AI265" s="137">
        <f>Transportation_LCIA!M$61*($W265^Transportation_LCIA!M$60)+Transportation_LCIA!M$62</f>
        <v>2.2626310175807558E-4</v>
      </c>
      <c r="AJ265" s="137">
        <f>Transportation_LCIA!N$61*($W265^Transportation_LCIA!N$60)+Transportation_LCIA!N$62</f>
        <v>8.8413966171508782E-4</v>
      </c>
      <c r="AK265" s="137">
        <f>Transportation_LCIA!O$61*($W265^Transportation_LCIA!O$60)+Transportation_LCIA!O$62</f>
        <v>5.4540161812057476E-5</v>
      </c>
      <c r="AL265" s="137">
        <f>Transportation_LCIA!P$61*($W265^Transportation_LCIA!P$60)+Transportation_LCIA!P$62</f>
        <v>2.6390438083858989E-8</v>
      </c>
      <c r="AM265" s="137">
        <f>Transportation_LCIA!Q$61*($W265^Transportation_LCIA!Q$60)+Transportation_LCIA!Q$62</f>
        <v>8.3674161208509282E-5</v>
      </c>
      <c r="AN265" s="137">
        <f>Transportation_LCIA!R$61*($W265^Transportation_LCIA!R$60)+Transportation_LCIA!R$62</f>
        <v>2.4692966967782427E-4</v>
      </c>
      <c r="AO265" s="137">
        <f>Transportation_LCIA!S$61*($W265^Transportation_LCIA!S$60)+Transportation_LCIA!S$62</f>
        <v>3.761810924700755E-6</v>
      </c>
      <c r="AP265" s="137">
        <f>Transportation_LCIA!T$61*($W265^Transportation_LCIA!T$60)+Transportation_LCIA!T$62</f>
        <v>3.761810924700755E-6</v>
      </c>
      <c r="AQ265" s="137">
        <f>Transportation_LCIA!U$61*($W265^Transportation_LCIA!U$60)+Transportation_LCIA!U$62</f>
        <v>5.2827565191195642E-4</v>
      </c>
      <c r="AR265" s="137">
        <f>Transportation_LCIA!V$61*($W265^Transportation_LCIA!V$60)+Transportation_LCIA!V$62</f>
        <v>2.1761905783126002E-4</v>
      </c>
      <c r="AT265" s="137">
        <f>$W265*Y265+$L265*Summary_LCIA!H$32</f>
        <v>286.70172107391477</v>
      </c>
      <c r="AU265" s="137">
        <f>$W265*Z265+$L265*Summary_LCIA!Q$32</f>
        <v>3019.0484339543732</v>
      </c>
      <c r="AV265" s="137">
        <f>$W265*AA265+$L265*Summary_LCIA!R$32</f>
        <v>1.5790482130800243</v>
      </c>
      <c r="AW265" s="137">
        <f>$W265*AB265+$L265*Summary_LCIA!S$32</f>
        <v>286.3942747139148</v>
      </c>
      <c r="AX265" s="137">
        <f>$W265*AC265+$L265*Summary_LCIA!T$32</f>
        <v>70.208527941698151</v>
      </c>
      <c r="AY265" s="137">
        <f>$W265*AD265+$L265*Summary_LCIA!U$32</f>
        <v>1.543323464761069</v>
      </c>
      <c r="AZ265" s="137">
        <f>$W265*AE265+$L265*Summary_LCIA!V$32</f>
        <v>9.5393519663916262E-3</v>
      </c>
      <c r="BA265" s="137">
        <f>$W265*AF265+$L265*Summary_LCIA!W$32</f>
        <v>14.550361121338451</v>
      </c>
      <c r="BB265" s="137">
        <f>$W265*AG265+$L265*Summary_LCIA!X$32</f>
        <v>14.767598130266149</v>
      </c>
      <c r="BC265" s="137">
        <f>$W265*AH265+$L265*Summary_LCIA!Y$32</f>
        <v>1.3395001416548427</v>
      </c>
      <c r="BD265" s="137">
        <f>$W265*AI265+$L265*Summary_LCIA!Z$32</f>
        <v>0.27697307709413305</v>
      </c>
      <c r="BE265" s="137">
        <f>$W265*AJ265+$L265*Summary_LCIA!AA$32</f>
        <v>2.6957428882043715</v>
      </c>
      <c r="BF265" s="137">
        <f>$W265*AK265+$L265*Summary_LCIA!AB$32</f>
        <v>6.4558122831019915E-2</v>
      </c>
      <c r="BG265" s="137">
        <f>$W265*AL265+$L265*Summary_LCIA!AC$32</f>
        <v>3.5372618541565704E-5</v>
      </c>
      <c r="BH265" s="137">
        <f>$W265*AM265+$L265*Summary_LCIA!AD$32</f>
        <v>0.12996341144297349</v>
      </c>
      <c r="BI265" s="137">
        <f>$W265*AN265+$L265*Summary_LCIA!AE$32</f>
        <v>0.36079580870530698</v>
      </c>
      <c r="BJ265" s="137">
        <f>$W265*AO265+$L265*Summary_LCIA!AF$32</f>
        <v>6.3363205268091458E-2</v>
      </c>
      <c r="BK265" s="137">
        <f>$W265*AP265+$L265*Summary_LCIA!AG$32</f>
        <v>8.1164159780914465E-3</v>
      </c>
      <c r="BL265" s="137">
        <f>$W265*AQ265+$L265*Summary_LCIA!AH$32</f>
        <v>1.2454175575406907</v>
      </c>
      <c r="BM265" s="137">
        <f>$W265*AR265+$L265*Summary_LCIA!AI$32</f>
        <v>0.32844496081872554</v>
      </c>
    </row>
    <row r="266" spans="1:65" x14ac:dyDescent="0.25">
      <c r="A266" s="149">
        <v>239</v>
      </c>
      <c r="B266" s="149">
        <v>43</v>
      </c>
      <c r="C266" s="61">
        <v>43.739162</v>
      </c>
      <c r="D266" s="61">
        <v>-87.781754000000006</v>
      </c>
      <c r="E266" s="61" t="s">
        <v>265</v>
      </c>
      <c r="F266" s="149">
        <v>114</v>
      </c>
      <c r="G266" s="61" t="s">
        <v>639</v>
      </c>
      <c r="H266" s="61" t="s">
        <v>640</v>
      </c>
      <c r="I266" s="61">
        <v>42.947552999999999</v>
      </c>
      <c r="J266" s="61">
        <v>-87.896646000000004</v>
      </c>
      <c r="K266" s="61">
        <v>136.40500399999999</v>
      </c>
      <c r="L266" s="61">
        <v>98.278000000000006</v>
      </c>
      <c r="M266" s="61" t="s">
        <v>617</v>
      </c>
      <c r="N266" s="149">
        <v>42</v>
      </c>
      <c r="O266" s="149">
        <v>43</v>
      </c>
      <c r="P266" s="61" t="s">
        <v>565</v>
      </c>
      <c r="Q266" s="61" t="s">
        <v>555</v>
      </c>
      <c r="R266" s="61">
        <v>40.6895314</v>
      </c>
      <c r="S266" s="61">
        <v>-74.174462399999996</v>
      </c>
      <c r="T266" s="61">
        <v>1497.13</v>
      </c>
      <c r="U266" s="61" t="s">
        <v>617</v>
      </c>
      <c r="V266" s="61" t="s">
        <v>569</v>
      </c>
      <c r="W266" s="61" cm="1">
        <f t="array" ref="W266">getDistance(I266,J266,R266,S266)*SA!$B$12</f>
        <v>1166.0499697420337</v>
      </c>
      <c r="Y266" s="137">
        <f>Transportation_LCIA!C$61*($W266^Transportation_LCIA!C$60)+Transportation_LCIA!C$62</f>
        <v>0.2205702660255735</v>
      </c>
      <c r="Z266" s="137">
        <f>Transportation_LCIA!D$61*($W266^Transportation_LCIA!D$60)+Transportation_LCIA!D$62</f>
        <v>2.2471616479848411</v>
      </c>
      <c r="AA266" s="137">
        <f>Transportation_LCIA!E$61*($W266^Transportation_LCIA!E$60)+Transportation_LCIA!E$62</f>
        <v>1.0271231145182829E-3</v>
      </c>
      <c r="AB266" s="137">
        <f>Transportation_LCIA!F$61*($W266^Transportation_LCIA!F$60)+Transportation_LCIA!F$62</f>
        <v>0.2205702660255735</v>
      </c>
      <c r="AC266" s="137">
        <f>Transportation_LCIA!G$61*($W266^Transportation_LCIA!G$60)+Transportation_LCIA!G$62</f>
        <v>5.256121234153309E-2</v>
      </c>
      <c r="AD266" s="137">
        <f>Transportation_LCIA!H$61*($W266^Transportation_LCIA!H$60)+Transportation_LCIA!H$62</f>
        <v>2.510726033187581E-4</v>
      </c>
      <c r="AE266" s="137">
        <f>Transportation_LCIA!I$61*($W266^Transportation_LCIA!I$60)+Transportation_LCIA!I$62</f>
        <v>5.2744833451662015E-6</v>
      </c>
      <c r="AF266" s="137">
        <f>Transportation_LCIA!J$61*($W266^Transportation_LCIA!J$60)+Transportation_LCIA!J$62</f>
        <v>7.8024507145619901E-3</v>
      </c>
      <c r="AG266" s="137">
        <f>Transportation_LCIA!K$61*($W266^Transportation_LCIA!K$60)+Transportation_LCIA!K$62</f>
        <v>1.1095395379072814E-2</v>
      </c>
      <c r="AH266" s="137">
        <f>Transportation_LCIA!L$61*($W266^Transportation_LCIA!L$60)+Transportation_LCIA!L$62</f>
        <v>2.1625300156677765E-4</v>
      </c>
      <c r="AI266" s="137">
        <f>Transportation_LCIA!M$61*($W266^Transportation_LCIA!M$60)+Transportation_LCIA!M$62</f>
        <v>2.2941293940596699E-4</v>
      </c>
      <c r="AJ266" s="137">
        <f>Transportation_LCIA!N$61*($W266^Transportation_LCIA!N$60)+Transportation_LCIA!N$62</f>
        <v>9.0334369721522265E-4</v>
      </c>
      <c r="AK266" s="137">
        <f>Transportation_LCIA!O$61*($W266^Transportation_LCIA!O$60)+Transportation_LCIA!O$62</f>
        <v>5.5517459441416292E-5</v>
      </c>
      <c r="AL266" s="137">
        <f>Transportation_LCIA!P$61*($W266^Transportation_LCIA!P$60)+Transportation_LCIA!P$62</f>
        <v>2.6860581221176317E-8</v>
      </c>
      <c r="AM266" s="137">
        <f>Transportation_LCIA!Q$61*($W266^Transportation_LCIA!Q$60)+Transportation_LCIA!Q$62</f>
        <v>8.572003918829478E-5</v>
      </c>
      <c r="AN266" s="137">
        <f>Transportation_LCIA!R$61*($W266^Transportation_LCIA!R$60)+Transportation_LCIA!R$62</f>
        <v>2.5377249872512655E-4</v>
      </c>
      <c r="AO266" s="137">
        <f>Transportation_LCIA!S$61*($W266^Transportation_LCIA!S$60)+Transportation_LCIA!S$62</f>
        <v>3.8589551079497523E-6</v>
      </c>
      <c r="AP266" s="137">
        <f>Transportation_LCIA!T$61*($W266^Transportation_LCIA!T$60)+Transportation_LCIA!T$62</f>
        <v>3.8589551079497523E-6</v>
      </c>
      <c r="AQ266" s="137">
        <f>Transportation_LCIA!U$61*($W266^Transportation_LCIA!U$60)+Transportation_LCIA!U$62</f>
        <v>5.432625220229588E-4</v>
      </c>
      <c r="AR266" s="137">
        <f>Transportation_LCIA!V$61*($W266^Transportation_LCIA!V$60)+Transportation_LCIA!V$62</f>
        <v>2.2293415301844236E-4</v>
      </c>
      <c r="AT266" s="137">
        <f>$W266*Y266+$L266*Summary_LCIA!H$32</f>
        <v>290.59081642511234</v>
      </c>
      <c r="AU266" s="137">
        <f>$W266*Z266+$L266*Summary_LCIA!Q$32</f>
        <v>3107.3734960925567</v>
      </c>
      <c r="AV266" s="137">
        <f>$W266*AA266+$L266*Summary_LCIA!R$32</f>
        <v>1.715169513405387</v>
      </c>
      <c r="AW266" s="137">
        <f>$W266*AB266+$L266*Summary_LCIA!S$32</f>
        <v>290.15642766511235</v>
      </c>
      <c r="AX266" s="137">
        <f>$W266*AC266+$L266*Summary_LCIA!T$32</f>
        <v>72.089752260449274</v>
      </c>
      <c r="AY266" s="137">
        <f>$W266*AD266+$L266*Summary_LCIA!U$32</f>
        <v>2.0533152935028913</v>
      </c>
      <c r="AZ266" s="137">
        <f>$W266*AE266+$L266*Summary_LCIA!V$32</f>
        <v>1.084416670303591E-2</v>
      </c>
      <c r="BA266" s="137">
        <f>$W266*AF266+$L266*Summary_LCIA!W$32</f>
        <v>16.662603357628718</v>
      </c>
      <c r="BB266" s="137">
        <f>$W266*AG266+$L266*Summary_LCIA!X$32</f>
        <v>15.176558286043754</v>
      </c>
      <c r="BC266" s="137">
        <f>$W266*AH266+$L266*Summary_LCIA!Y$32</f>
        <v>1.7835296019335651</v>
      </c>
      <c r="BD266" s="137">
        <f>$W266*AI266+$L266*Summary_LCIA!Z$32</f>
        <v>0.27153723355475878</v>
      </c>
      <c r="BE266" s="137">
        <f>$W266*AJ266+$L266*Summary_LCIA!AA$32</f>
        <v>3.3487248588044674</v>
      </c>
      <c r="BF266" s="137">
        <f>$W266*AK266+$L266*Summary_LCIA!AB$32</f>
        <v>6.2591411107818046E-2</v>
      </c>
      <c r="BG266" s="137">
        <f>$W266*AL266+$L266*Summary_LCIA!AC$32</f>
        <v>3.6125001672206079E-5</v>
      </c>
      <c r="BH266" s="137">
        <f>$W266*AM266+$L266*Summary_LCIA!AD$32</f>
        <v>0.14035003822179706</v>
      </c>
      <c r="BI266" s="137">
        <f>$W266*AN266+$L266*Summary_LCIA!AE$32</f>
        <v>0.38299849859979407</v>
      </c>
      <c r="BJ266" s="137">
        <f>$W266*AO266+$L266*Summary_LCIA!AF$32</f>
        <v>8.7585921246860682E-2</v>
      </c>
      <c r="BK266" s="137">
        <f>$W266*AP266+$L266*Summary_LCIA!AG$32</f>
        <v>9.5281283568606767E-3</v>
      </c>
      <c r="BL266" s="137">
        <f>$W266*AQ266+$L266*Summary_LCIA!AH$32</f>
        <v>1.4888436481668521</v>
      </c>
      <c r="BM266" s="137">
        <f>$W266*AR266+$L266*Summary_LCIA!AI$32</f>
        <v>0.35150323328162059</v>
      </c>
    </row>
    <row r="267" spans="1:65" x14ac:dyDescent="0.25">
      <c r="A267" s="149">
        <v>240</v>
      </c>
      <c r="B267" s="149">
        <v>43</v>
      </c>
      <c r="C267" s="61">
        <v>43.739162</v>
      </c>
      <c r="D267" s="61">
        <v>-87.781754000000006</v>
      </c>
      <c r="E267" s="61" t="s">
        <v>265</v>
      </c>
      <c r="F267" s="149">
        <v>114</v>
      </c>
      <c r="G267" s="61" t="s">
        <v>639</v>
      </c>
      <c r="H267" s="61" t="s">
        <v>640</v>
      </c>
      <c r="I267" s="61">
        <v>42.947552999999999</v>
      </c>
      <c r="J267" s="61">
        <v>-87.896646000000004</v>
      </c>
      <c r="K267" s="61">
        <v>136.40500399999999</v>
      </c>
      <c r="L267" s="61">
        <v>98.278000000000006</v>
      </c>
      <c r="M267" s="61" t="s">
        <v>617</v>
      </c>
      <c r="N267" s="149">
        <v>42</v>
      </c>
      <c r="O267" s="149">
        <v>43</v>
      </c>
      <c r="P267" s="61" t="s">
        <v>565</v>
      </c>
      <c r="Q267" s="61" t="s">
        <v>555</v>
      </c>
      <c r="R267" s="61">
        <v>40.6895314</v>
      </c>
      <c r="S267" s="61">
        <v>-74.174462399999996</v>
      </c>
      <c r="T267" s="61">
        <v>1497.13</v>
      </c>
      <c r="U267" s="61" t="s">
        <v>617</v>
      </c>
      <c r="V267" s="61" t="s">
        <v>569</v>
      </c>
      <c r="W267" s="61" cm="1">
        <f t="array" ref="W267">getDistance(I267,J267,R267,S267)*SA!$B$12</f>
        <v>1166.0499697420337</v>
      </c>
      <c r="Y267" s="137">
        <f>Transportation_LCIA!C$61*($W267^Transportation_LCIA!C$60)+Transportation_LCIA!C$62</f>
        <v>0.2205702660255735</v>
      </c>
      <c r="Z267" s="137">
        <f>Transportation_LCIA!D$61*($W267^Transportation_LCIA!D$60)+Transportation_LCIA!D$62</f>
        <v>2.2471616479848411</v>
      </c>
      <c r="AA267" s="137">
        <f>Transportation_LCIA!E$61*($W267^Transportation_LCIA!E$60)+Transportation_LCIA!E$62</f>
        <v>1.0271231145182829E-3</v>
      </c>
      <c r="AB267" s="137">
        <f>Transportation_LCIA!F$61*($W267^Transportation_LCIA!F$60)+Transportation_LCIA!F$62</f>
        <v>0.2205702660255735</v>
      </c>
      <c r="AC267" s="137">
        <f>Transportation_LCIA!G$61*($W267^Transportation_LCIA!G$60)+Transportation_LCIA!G$62</f>
        <v>5.256121234153309E-2</v>
      </c>
      <c r="AD267" s="137">
        <f>Transportation_LCIA!H$61*($W267^Transportation_LCIA!H$60)+Transportation_LCIA!H$62</f>
        <v>2.510726033187581E-4</v>
      </c>
      <c r="AE267" s="137">
        <f>Transportation_LCIA!I$61*($W267^Transportation_LCIA!I$60)+Transportation_LCIA!I$62</f>
        <v>5.2744833451662015E-6</v>
      </c>
      <c r="AF267" s="137">
        <f>Transportation_LCIA!J$61*($W267^Transportation_LCIA!J$60)+Transportation_LCIA!J$62</f>
        <v>7.8024507145619901E-3</v>
      </c>
      <c r="AG267" s="137">
        <f>Transportation_LCIA!K$61*($W267^Transportation_LCIA!K$60)+Transportation_LCIA!K$62</f>
        <v>1.1095395379072814E-2</v>
      </c>
      <c r="AH267" s="137">
        <f>Transportation_LCIA!L$61*($W267^Transportation_LCIA!L$60)+Transportation_LCIA!L$62</f>
        <v>2.1625300156677765E-4</v>
      </c>
      <c r="AI267" s="137">
        <f>Transportation_LCIA!M$61*($W267^Transportation_LCIA!M$60)+Transportation_LCIA!M$62</f>
        <v>2.2941293940596699E-4</v>
      </c>
      <c r="AJ267" s="137">
        <f>Transportation_LCIA!N$61*($W267^Transportation_LCIA!N$60)+Transportation_LCIA!N$62</f>
        <v>9.0334369721522265E-4</v>
      </c>
      <c r="AK267" s="137">
        <f>Transportation_LCIA!O$61*($W267^Transportation_LCIA!O$60)+Transportation_LCIA!O$62</f>
        <v>5.5517459441416292E-5</v>
      </c>
      <c r="AL267" s="137">
        <f>Transportation_LCIA!P$61*($W267^Transportation_LCIA!P$60)+Transportation_LCIA!P$62</f>
        <v>2.6860581221176317E-8</v>
      </c>
      <c r="AM267" s="137">
        <f>Transportation_LCIA!Q$61*($W267^Transportation_LCIA!Q$60)+Transportation_LCIA!Q$62</f>
        <v>8.572003918829478E-5</v>
      </c>
      <c r="AN267" s="137">
        <f>Transportation_LCIA!R$61*($W267^Transportation_LCIA!R$60)+Transportation_LCIA!R$62</f>
        <v>2.5377249872512655E-4</v>
      </c>
      <c r="AO267" s="137">
        <f>Transportation_LCIA!S$61*($W267^Transportation_LCIA!S$60)+Transportation_LCIA!S$62</f>
        <v>3.8589551079497523E-6</v>
      </c>
      <c r="AP267" s="137">
        <f>Transportation_LCIA!T$61*($W267^Transportation_LCIA!T$60)+Transportation_LCIA!T$62</f>
        <v>3.8589551079497523E-6</v>
      </c>
      <c r="AQ267" s="137">
        <f>Transportation_LCIA!U$61*($W267^Transportation_LCIA!U$60)+Transportation_LCIA!U$62</f>
        <v>5.432625220229588E-4</v>
      </c>
      <c r="AR267" s="137">
        <f>Transportation_LCIA!V$61*($W267^Transportation_LCIA!V$60)+Transportation_LCIA!V$62</f>
        <v>2.2293415301844236E-4</v>
      </c>
      <c r="AT267" s="137">
        <f>$W267*Y267+$L267*Summary_LCIA!H$32</f>
        <v>290.59081642511234</v>
      </c>
      <c r="AU267" s="137">
        <f>$W267*Z267+$L267*Summary_LCIA!Q$32</f>
        <v>3107.3734960925567</v>
      </c>
      <c r="AV267" s="137">
        <f>$W267*AA267+$L267*Summary_LCIA!R$32</f>
        <v>1.715169513405387</v>
      </c>
      <c r="AW267" s="137">
        <f>$W267*AB267+$L267*Summary_LCIA!S$32</f>
        <v>290.15642766511235</v>
      </c>
      <c r="AX267" s="137">
        <f>$W267*AC267+$L267*Summary_LCIA!T$32</f>
        <v>72.089752260449274</v>
      </c>
      <c r="AY267" s="137">
        <f>$W267*AD267+$L267*Summary_LCIA!U$32</f>
        <v>2.0533152935028913</v>
      </c>
      <c r="AZ267" s="137">
        <f>$W267*AE267+$L267*Summary_LCIA!V$32</f>
        <v>1.084416670303591E-2</v>
      </c>
      <c r="BA267" s="137">
        <f>$W267*AF267+$L267*Summary_LCIA!W$32</f>
        <v>16.662603357628718</v>
      </c>
      <c r="BB267" s="137">
        <f>$W267*AG267+$L267*Summary_LCIA!X$32</f>
        <v>15.176558286043754</v>
      </c>
      <c r="BC267" s="137">
        <f>$W267*AH267+$L267*Summary_LCIA!Y$32</f>
        <v>1.7835296019335651</v>
      </c>
      <c r="BD267" s="137">
        <f>$W267*AI267+$L267*Summary_LCIA!Z$32</f>
        <v>0.27153723355475878</v>
      </c>
      <c r="BE267" s="137">
        <f>$W267*AJ267+$L267*Summary_LCIA!AA$32</f>
        <v>3.3487248588044674</v>
      </c>
      <c r="BF267" s="137">
        <f>$W267*AK267+$L267*Summary_LCIA!AB$32</f>
        <v>6.2591411107818046E-2</v>
      </c>
      <c r="BG267" s="137">
        <f>$W267*AL267+$L267*Summary_LCIA!AC$32</f>
        <v>3.6125001672206079E-5</v>
      </c>
      <c r="BH267" s="137">
        <f>$W267*AM267+$L267*Summary_LCIA!AD$32</f>
        <v>0.14035003822179706</v>
      </c>
      <c r="BI267" s="137">
        <f>$W267*AN267+$L267*Summary_LCIA!AE$32</f>
        <v>0.38299849859979407</v>
      </c>
      <c r="BJ267" s="137">
        <f>$W267*AO267+$L267*Summary_LCIA!AF$32</f>
        <v>8.7585921246860682E-2</v>
      </c>
      <c r="BK267" s="137">
        <f>$W267*AP267+$L267*Summary_LCIA!AG$32</f>
        <v>9.5281283568606767E-3</v>
      </c>
      <c r="BL267" s="137">
        <f>$W267*AQ267+$L267*Summary_LCIA!AH$32</f>
        <v>1.4888436481668521</v>
      </c>
      <c r="BM267" s="137">
        <f>$W267*AR267+$L267*Summary_LCIA!AI$32</f>
        <v>0.35150323328162059</v>
      </c>
    </row>
    <row r="268" spans="1:65" x14ac:dyDescent="0.25">
      <c r="A268" s="149">
        <v>241</v>
      </c>
      <c r="B268" s="149">
        <v>43</v>
      </c>
      <c r="C268" s="61">
        <v>43.739162</v>
      </c>
      <c r="D268" s="61">
        <v>-87.781754000000006</v>
      </c>
      <c r="E268" s="61" t="s">
        <v>265</v>
      </c>
      <c r="F268" s="149">
        <v>114</v>
      </c>
      <c r="G268" s="61" t="s">
        <v>639</v>
      </c>
      <c r="H268" s="61" t="s">
        <v>640</v>
      </c>
      <c r="I268" s="61">
        <v>42.947552999999999</v>
      </c>
      <c r="J268" s="61">
        <v>-87.896646000000004</v>
      </c>
      <c r="K268" s="61">
        <v>136.40500399999999</v>
      </c>
      <c r="L268" s="61">
        <v>98.278000000000006</v>
      </c>
      <c r="M268" s="61" t="s">
        <v>617</v>
      </c>
      <c r="N268" s="149">
        <v>42</v>
      </c>
      <c r="O268" s="149">
        <v>43</v>
      </c>
      <c r="P268" s="61" t="s">
        <v>565</v>
      </c>
      <c r="Q268" s="61" t="s">
        <v>555</v>
      </c>
      <c r="R268" s="61">
        <v>40.6895314</v>
      </c>
      <c r="S268" s="61">
        <v>-74.174462399999996</v>
      </c>
      <c r="T268" s="61">
        <v>1497.13</v>
      </c>
      <c r="U268" s="61" t="s">
        <v>617</v>
      </c>
      <c r="V268" s="61" t="s">
        <v>569</v>
      </c>
      <c r="W268" s="61" cm="1">
        <f t="array" ref="W268">getDistance(I268,J268,R268,S268)*SA!$B$12</f>
        <v>1166.0499697420337</v>
      </c>
      <c r="Y268" s="137">
        <f>Transportation_LCIA!C$61*($W268^Transportation_LCIA!C$60)+Transportation_LCIA!C$62</f>
        <v>0.2205702660255735</v>
      </c>
      <c r="Z268" s="137">
        <f>Transportation_LCIA!D$61*($W268^Transportation_LCIA!D$60)+Transportation_LCIA!D$62</f>
        <v>2.2471616479848411</v>
      </c>
      <c r="AA268" s="137">
        <f>Transportation_LCIA!E$61*($W268^Transportation_LCIA!E$60)+Transportation_LCIA!E$62</f>
        <v>1.0271231145182829E-3</v>
      </c>
      <c r="AB268" s="137">
        <f>Transportation_LCIA!F$61*($W268^Transportation_LCIA!F$60)+Transportation_LCIA!F$62</f>
        <v>0.2205702660255735</v>
      </c>
      <c r="AC268" s="137">
        <f>Transportation_LCIA!G$61*($W268^Transportation_LCIA!G$60)+Transportation_LCIA!G$62</f>
        <v>5.256121234153309E-2</v>
      </c>
      <c r="AD268" s="137">
        <f>Transportation_LCIA!H$61*($W268^Transportation_LCIA!H$60)+Transportation_LCIA!H$62</f>
        <v>2.510726033187581E-4</v>
      </c>
      <c r="AE268" s="137">
        <f>Transportation_LCIA!I$61*($W268^Transportation_LCIA!I$60)+Transportation_LCIA!I$62</f>
        <v>5.2744833451662015E-6</v>
      </c>
      <c r="AF268" s="137">
        <f>Transportation_LCIA!J$61*($W268^Transportation_LCIA!J$60)+Transportation_LCIA!J$62</f>
        <v>7.8024507145619901E-3</v>
      </c>
      <c r="AG268" s="137">
        <f>Transportation_LCIA!K$61*($W268^Transportation_LCIA!K$60)+Transportation_LCIA!K$62</f>
        <v>1.1095395379072814E-2</v>
      </c>
      <c r="AH268" s="137">
        <f>Transportation_LCIA!L$61*($W268^Transportation_LCIA!L$60)+Transportation_LCIA!L$62</f>
        <v>2.1625300156677765E-4</v>
      </c>
      <c r="AI268" s="137">
        <f>Transportation_LCIA!M$61*($W268^Transportation_LCIA!M$60)+Transportation_LCIA!M$62</f>
        <v>2.2941293940596699E-4</v>
      </c>
      <c r="AJ268" s="137">
        <f>Transportation_LCIA!N$61*($W268^Transportation_LCIA!N$60)+Transportation_LCIA!N$62</f>
        <v>9.0334369721522265E-4</v>
      </c>
      <c r="AK268" s="137">
        <f>Transportation_LCIA!O$61*($W268^Transportation_LCIA!O$60)+Transportation_LCIA!O$62</f>
        <v>5.5517459441416292E-5</v>
      </c>
      <c r="AL268" s="137">
        <f>Transportation_LCIA!P$61*($W268^Transportation_LCIA!P$60)+Transportation_LCIA!P$62</f>
        <v>2.6860581221176317E-8</v>
      </c>
      <c r="AM268" s="137">
        <f>Transportation_LCIA!Q$61*($W268^Transportation_LCIA!Q$60)+Transportation_LCIA!Q$62</f>
        <v>8.572003918829478E-5</v>
      </c>
      <c r="AN268" s="137">
        <f>Transportation_LCIA!R$61*($W268^Transportation_LCIA!R$60)+Transportation_LCIA!R$62</f>
        <v>2.5377249872512655E-4</v>
      </c>
      <c r="AO268" s="137">
        <f>Transportation_LCIA!S$61*($W268^Transportation_LCIA!S$60)+Transportation_LCIA!S$62</f>
        <v>3.8589551079497523E-6</v>
      </c>
      <c r="AP268" s="137">
        <f>Transportation_LCIA!T$61*($W268^Transportation_LCIA!T$60)+Transportation_LCIA!T$62</f>
        <v>3.8589551079497523E-6</v>
      </c>
      <c r="AQ268" s="137">
        <f>Transportation_LCIA!U$61*($W268^Transportation_LCIA!U$60)+Transportation_LCIA!U$62</f>
        <v>5.432625220229588E-4</v>
      </c>
      <c r="AR268" s="137">
        <f>Transportation_LCIA!V$61*($W268^Transportation_LCIA!V$60)+Transportation_LCIA!V$62</f>
        <v>2.2293415301844236E-4</v>
      </c>
      <c r="AT268" s="137">
        <f>$W268*Y268+$L268*Summary_LCIA!H$32</f>
        <v>290.59081642511234</v>
      </c>
      <c r="AU268" s="137">
        <f>$W268*Z268+$L268*Summary_LCIA!Q$32</f>
        <v>3107.3734960925567</v>
      </c>
      <c r="AV268" s="137">
        <f>$W268*AA268+$L268*Summary_LCIA!R$32</f>
        <v>1.715169513405387</v>
      </c>
      <c r="AW268" s="137">
        <f>$W268*AB268+$L268*Summary_LCIA!S$32</f>
        <v>290.15642766511235</v>
      </c>
      <c r="AX268" s="137">
        <f>$W268*AC268+$L268*Summary_LCIA!T$32</f>
        <v>72.089752260449274</v>
      </c>
      <c r="AY268" s="137">
        <f>$W268*AD268+$L268*Summary_LCIA!U$32</f>
        <v>2.0533152935028913</v>
      </c>
      <c r="AZ268" s="137">
        <f>$W268*AE268+$L268*Summary_LCIA!V$32</f>
        <v>1.084416670303591E-2</v>
      </c>
      <c r="BA268" s="137">
        <f>$W268*AF268+$L268*Summary_LCIA!W$32</f>
        <v>16.662603357628718</v>
      </c>
      <c r="BB268" s="137">
        <f>$W268*AG268+$L268*Summary_LCIA!X$32</f>
        <v>15.176558286043754</v>
      </c>
      <c r="BC268" s="137">
        <f>$W268*AH268+$L268*Summary_LCIA!Y$32</f>
        <v>1.7835296019335651</v>
      </c>
      <c r="BD268" s="137">
        <f>$W268*AI268+$L268*Summary_LCIA!Z$32</f>
        <v>0.27153723355475878</v>
      </c>
      <c r="BE268" s="137">
        <f>$W268*AJ268+$L268*Summary_LCIA!AA$32</f>
        <v>3.3487248588044674</v>
      </c>
      <c r="BF268" s="137">
        <f>$W268*AK268+$L268*Summary_LCIA!AB$32</f>
        <v>6.2591411107818046E-2</v>
      </c>
      <c r="BG268" s="137">
        <f>$W268*AL268+$L268*Summary_LCIA!AC$32</f>
        <v>3.6125001672206079E-5</v>
      </c>
      <c r="BH268" s="137">
        <f>$W268*AM268+$L268*Summary_LCIA!AD$32</f>
        <v>0.14035003822179706</v>
      </c>
      <c r="BI268" s="137">
        <f>$W268*AN268+$L268*Summary_LCIA!AE$32</f>
        <v>0.38299849859979407</v>
      </c>
      <c r="BJ268" s="137">
        <f>$W268*AO268+$L268*Summary_LCIA!AF$32</f>
        <v>8.7585921246860682E-2</v>
      </c>
      <c r="BK268" s="137">
        <f>$W268*AP268+$L268*Summary_LCIA!AG$32</f>
        <v>9.5281283568606767E-3</v>
      </c>
      <c r="BL268" s="137">
        <f>$W268*AQ268+$L268*Summary_LCIA!AH$32</f>
        <v>1.4888436481668521</v>
      </c>
      <c r="BM268" s="137">
        <f>$W268*AR268+$L268*Summary_LCIA!AI$32</f>
        <v>0.35150323328162059</v>
      </c>
    </row>
    <row r="269" spans="1:65" x14ac:dyDescent="0.25">
      <c r="A269" s="149">
        <v>242</v>
      </c>
      <c r="B269" s="149">
        <v>43</v>
      </c>
      <c r="C269" s="61">
        <v>43.739162</v>
      </c>
      <c r="D269" s="61">
        <v>-87.781754000000006</v>
      </c>
      <c r="E269" s="61" t="s">
        <v>265</v>
      </c>
      <c r="F269" s="149">
        <v>114</v>
      </c>
      <c r="G269" s="61" t="s">
        <v>639</v>
      </c>
      <c r="H269" s="61" t="s">
        <v>640</v>
      </c>
      <c r="I269" s="61">
        <v>42.947552999999999</v>
      </c>
      <c r="J269" s="61">
        <v>-87.896646000000004</v>
      </c>
      <c r="K269" s="61">
        <v>136.40500399999999</v>
      </c>
      <c r="L269" s="61">
        <v>98.278000000000006</v>
      </c>
      <c r="M269" s="61" t="s">
        <v>617</v>
      </c>
      <c r="N269" s="149">
        <v>42</v>
      </c>
      <c r="O269" s="149">
        <v>43</v>
      </c>
      <c r="P269" s="61" t="s">
        <v>565</v>
      </c>
      <c r="Q269" s="61" t="s">
        <v>555</v>
      </c>
      <c r="R269" s="61">
        <v>40.6895314</v>
      </c>
      <c r="S269" s="61">
        <v>-74.174462399999996</v>
      </c>
      <c r="T269" s="61">
        <v>1497.13</v>
      </c>
      <c r="U269" s="61" t="s">
        <v>617</v>
      </c>
      <c r="V269" s="61" t="s">
        <v>569</v>
      </c>
      <c r="W269" s="61" cm="1">
        <f t="array" ref="W269">getDistance(I269,J269,R269,S269)*SA!$B$12</f>
        <v>1166.0499697420337</v>
      </c>
      <c r="Y269" s="137">
        <f>Transportation_LCIA!C$61*($W269^Transportation_LCIA!C$60)+Transportation_LCIA!C$62</f>
        <v>0.2205702660255735</v>
      </c>
      <c r="Z269" s="137">
        <f>Transportation_LCIA!D$61*($W269^Transportation_LCIA!D$60)+Transportation_LCIA!D$62</f>
        <v>2.2471616479848411</v>
      </c>
      <c r="AA269" s="137">
        <f>Transportation_LCIA!E$61*($W269^Transportation_LCIA!E$60)+Transportation_LCIA!E$62</f>
        <v>1.0271231145182829E-3</v>
      </c>
      <c r="AB269" s="137">
        <f>Transportation_LCIA!F$61*($W269^Transportation_LCIA!F$60)+Transportation_LCIA!F$62</f>
        <v>0.2205702660255735</v>
      </c>
      <c r="AC269" s="137">
        <f>Transportation_LCIA!G$61*($W269^Transportation_LCIA!G$60)+Transportation_LCIA!G$62</f>
        <v>5.256121234153309E-2</v>
      </c>
      <c r="AD269" s="137">
        <f>Transportation_LCIA!H$61*($W269^Transportation_LCIA!H$60)+Transportation_LCIA!H$62</f>
        <v>2.510726033187581E-4</v>
      </c>
      <c r="AE269" s="137">
        <f>Transportation_LCIA!I$61*($W269^Transportation_LCIA!I$60)+Transportation_LCIA!I$62</f>
        <v>5.2744833451662015E-6</v>
      </c>
      <c r="AF269" s="137">
        <f>Transportation_LCIA!J$61*($W269^Transportation_LCIA!J$60)+Transportation_LCIA!J$62</f>
        <v>7.8024507145619901E-3</v>
      </c>
      <c r="AG269" s="137">
        <f>Transportation_LCIA!K$61*($W269^Transportation_LCIA!K$60)+Transportation_LCIA!K$62</f>
        <v>1.1095395379072814E-2</v>
      </c>
      <c r="AH269" s="137">
        <f>Transportation_LCIA!L$61*($W269^Transportation_LCIA!L$60)+Transportation_LCIA!L$62</f>
        <v>2.1625300156677765E-4</v>
      </c>
      <c r="AI269" s="137">
        <f>Transportation_LCIA!M$61*($W269^Transportation_LCIA!M$60)+Transportation_LCIA!M$62</f>
        <v>2.2941293940596699E-4</v>
      </c>
      <c r="AJ269" s="137">
        <f>Transportation_LCIA!N$61*($W269^Transportation_LCIA!N$60)+Transportation_LCIA!N$62</f>
        <v>9.0334369721522265E-4</v>
      </c>
      <c r="AK269" s="137">
        <f>Transportation_LCIA!O$61*($W269^Transportation_LCIA!O$60)+Transportation_LCIA!O$62</f>
        <v>5.5517459441416292E-5</v>
      </c>
      <c r="AL269" s="137">
        <f>Transportation_LCIA!P$61*($W269^Transportation_LCIA!P$60)+Transportation_LCIA!P$62</f>
        <v>2.6860581221176317E-8</v>
      </c>
      <c r="AM269" s="137">
        <f>Transportation_LCIA!Q$61*($W269^Transportation_LCIA!Q$60)+Transportation_LCIA!Q$62</f>
        <v>8.572003918829478E-5</v>
      </c>
      <c r="AN269" s="137">
        <f>Transportation_LCIA!R$61*($W269^Transportation_LCIA!R$60)+Transportation_LCIA!R$62</f>
        <v>2.5377249872512655E-4</v>
      </c>
      <c r="AO269" s="137">
        <f>Transportation_LCIA!S$61*($W269^Transportation_LCIA!S$60)+Transportation_LCIA!S$62</f>
        <v>3.8589551079497523E-6</v>
      </c>
      <c r="AP269" s="137">
        <f>Transportation_LCIA!T$61*($W269^Transportation_LCIA!T$60)+Transportation_LCIA!T$62</f>
        <v>3.8589551079497523E-6</v>
      </c>
      <c r="AQ269" s="137">
        <f>Transportation_LCIA!U$61*($W269^Transportation_LCIA!U$60)+Transportation_LCIA!U$62</f>
        <v>5.432625220229588E-4</v>
      </c>
      <c r="AR269" s="137">
        <f>Transportation_LCIA!V$61*($W269^Transportation_LCIA!V$60)+Transportation_LCIA!V$62</f>
        <v>2.2293415301844236E-4</v>
      </c>
      <c r="AT269" s="137">
        <f>$W269*Y269+$L269*Summary_LCIA!H$32</f>
        <v>290.59081642511234</v>
      </c>
      <c r="AU269" s="137">
        <f>$W269*Z269+$L269*Summary_LCIA!Q$32</f>
        <v>3107.3734960925567</v>
      </c>
      <c r="AV269" s="137">
        <f>$W269*AA269+$L269*Summary_LCIA!R$32</f>
        <v>1.715169513405387</v>
      </c>
      <c r="AW269" s="137">
        <f>$W269*AB269+$L269*Summary_LCIA!S$32</f>
        <v>290.15642766511235</v>
      </c>
      <c r="AX269" s="137">
        <f>$W269*AC269+$L269*Summary_LCIA!T$32</f>
        <v>72.089752260449274</v>
      </c>
      <c r="AY269" s="137">
        <f>$W269*AD269+$L269*Summary_LCIA!U$32</f>
        <v>2.0533152935028913</v>
      </c>
      <c r="AZ269" s="137">
        <f>$W269*AE269+$L269*Summary_LCIA!V$32</f>
        <v>1.084416670303591E-2</v>
      </c>
      <c r="BA269" s="137">
        <f>$W269*AF269+$L269*Summary_LCIA!W$32</f>
        <v>16.662603357628718</v>
      </c>
      <c r="BB269" s="137">
        <f>$W269*AG269+$L269*Summary_LCIA!X$32</f>
        <v>15.176558286043754</v>
      </c>
      <c r="BC269" s="137">
        <f>$W269*AH269+$L269*Summary_LCIA!Y$32</f>
        <v>1.7835296019335651</v>
      </c>
      <c r="BD269" s="137">
        <f>$W269*AI269+$L269*Summary_LCIA!Z$32</f>
        <v>0.27153723355475878</v>
      </c>
      <c r="BE269" s="137">
        <f>$W269*AJ269+$L269*Summary_LCIA!AA$32</f>
        <v>3.3487248588044674</v>
      </c>
      <c r="BF269" s="137">
        <f>$W269*AK269+$L269*Summary_LCIA!AB$32</f>
        <v>6.2591411107818046E-2</v>
      </c>
      <c r="BG269" s="137">
        <f>$W269*AL269+$L269*Summary_LCIA!AC$32</f>
        <v>3.6125001672206079E-5</v>
      </c>
      <c r="BH269" s="137">
        <f>$W269*AM269+$L269*Summary_LCIA!AD$32</f>
        <v>0.14035003822179706</v>
      </c>
      <c r="BI269" s="137">
        <f>$W269*AN269+$L269*Summary_LCIA!AE$32</f>
        <v>0.38299849859979407</v>
      </c>
      <c r="BJ269" s="137">
        <f>$W269*AO269+$L269*Summary_LCIA!AF$32</f>
        <v>8.7585921246860682E-2</v>
      </c>
      <c r="BK269" s="137">
        <f>$W269*AP269+$L269*Summary_LCIA!AG$32</f>
        <v>9.5281283568606767E-3</v>
      </c>
      <c r="BL269" s="137">
        <f>$W269*AQ269+$L269*Summary_LCIA!AH$32</f>
        <v>1.4888436481668521</v>
      </c>
      <c r="BM269" s="137">
        <f>$W269*AR269+$L269*Summary_LCIA!AI$32</f>
        <v>0.35150323328162059</v>
      </c>
    </row>
    <row r="270" spans="1:65" x14ac:dyDescent="0.25">
      <c r="A270" s="149">
        <v>243</v>
      </c>
      <c r="B270" s="149">
        <v>43</v>
      </c>
      <c r="C270" s="61">
        <v>43.739162</v>
      </c>
      <c r="D270" s="61">
        <v>-87.781754000000006</v>
      </c>
      <c r="E270" s="61" t="s">
        <v>265</v>
      </c>
      <c r="F270" s="149">
        <v>114</v>
      </c>
      <c r="G270" s="61" t="s">
        <v>639</v>
      </c>
      <c r="H270" s="61" t="s">
        <v>640</v>
      </c>
      <c r="I270" s="61">
        <v>42.947552999999999</v>
      </c>
      <c r="J270" s="61">
        <v>-87.896646000000004</v>
      </c>
      <c r="K270" s="61">
        <v>136.40500399999999</v>
      </c>
      <c r="L270" s="61">
        <v>98.278000000000006</v>
      </c>
      <c r="M270" s="61" t="s">
        <v>617</v>
      </c>
      <c r="N270" s="149">
        <v>42</v>
      </c>
      <c r="O270" s="149">
        <v>43</v>
      </c>
      <c r="P270" s="61" t="s">
        <v>565</v>
      </c>
      <c r="Q270" s="61" t="s">
        <v>555</v>
      </c>
      <c r="R270" s="61">
        <v>40.6895314</v>
      </c>
      <c r="S270" s="61">
        <v>-74.174462399999996</v>
      </c>
      <c r="T270" s="61">
        <v>1497.13</v>
      </c>
      <c r="U270" s="61" t="s">
        <v>617</v>
      </c>
      <c r="V270" s="61" t="s">
        <v>569</v>
      </c>
      <c r="W270" s="61" cm="1">
        <f t="array" ref="W270">getDistance(I270,J270,R270,S270)*SA!$B$12</f>
        <v>1166.0499697420337</v>
      </c>
      <c r="Y270" s="137">
        <f>Transportation_LCIA!C$61*($W270^Transportation_LCIA!C$60)+Transportation_LCIA!C$62</f>
        <v>0.2205702660255735</v>
      </c>
      <c r="Z270" s="137">
        <f>Transportation_LCIA!D$61*($W270^Transportation_LCIA!D$60)+Transportation_LCIA!D$62</f>
        <v>2.2471616479848411</v>
      </c>
      <c r="AA270" s="137">
        <f>Transportation_LCIA!E$61*($W270^Transportation_LCIA!E$60)+Transportation_LCIA!E$62</f>
        <v>1.0271231145182829E-3</v>
      </c>
      <c r="AB270" s="137">
        <f>Transportation_LCIA!F$61*($W270^Transportation_LCIA!F$60)+Transportation_LCIA!F$62</f>
        <v>0.2205702660255735</v>
      </c>
      <c r="AC270" s="137">
        <f>Transportation_LCIA!G$61*($W270^Transportation_LCIA!G$60)+Transportation_LCIA!G$62</f>
        <v>5.256121234153309E-2</v>
      </c>
      <c r="AD270" s="137">
        <f>Transportation_LCIA!H$61*($W270^Transportation_LCIA!H$60)+Transportation_LCIA!H$62</f>
        <v>2.510726033187581E-4</v>
      </c>
      <c r="AE270" s="137">
        <f>Transportation_LCIA!I$61*($W270^Transportation_LCIA!I$60)+Transportation_LCIA!I$62</f>
        <v>5.2744833451662015E-6</v>
      </c>
      <c r="AF270" s="137">
        <f>Transportation_LCIA!J$61*($W270^Transportation_LCIA!J$60)+Transportation_LCIA!J$62</f>
        <v>7.8024507145619901E-3</v>
      </c>
      <c r="AG270" s="137">
        <f>Transportation_LCIA!K$61*($W270^Transportation_LCIA!K$60)+Transportation_LCIA!K$62</f>
        <v>1.1095395379072814E-2</v>
      </c>
      <c r="AH270" s="137">
        <f>Transportation_LCIA!L$61*($W270^Transportation_LCIA!L$60)+Transportation_LCIA!L$62</f>
        <v>2.1625300156677765E-4</v>
      </c>
      <c r="AI270" s="137">
        <f>Transportation_LCIA!M$61*($W270^Transportation_LCIA!M$60)+Transportation_LCIA!M$62</f>
        <v>2.2941293940596699E-4</v>
      </c>
      <c r="AJ270" s="137">
        <f>Transportation_LCIA!N$61*($W270^Transportation_LCIA!N$60)+Transportation_LCIA!N$62</f>
        <v>9.0334369721522265E-4</v>
      </c>
      <c r="AK270" s="137">
        <f>Transportation_LCIA!O$61*($W270^Transportation_LCIA!O$60)+Transportation_LCIA!O$62</f>
        <v>5.5517459441416292E-5</v>
      </c>
      <c r="AL270" s="137">
        <f>Transportation_LCIA!P$61*($W270^Transportation_LCIA!P$60)+Transportation_LCIA!P$62</f>
        <v>2.6860581221176317E-8</v>
      </c>
      <c r="AM270" s="137">
        <f>Transportation_LCIA!Q$61*($W270^Transportation_LCIA!Q$60)+Transportation_LCIA!Q$62</f>
        <v>8.572003918829478E-5</v>
      </c>
      <c r="AN270" s="137">
        <f>Transportation_LCIA!R$61*($W270^Transportation_LCIA!R$60)+Transportation_LCIA!R$62</f>
        <v>2.5377249872512655E-4</v>
      </c>
      <c r="AO270" s="137">
        <f>Transportation_LCIA!S$61*($W270^Transportation_LCIA!S$60)+Transportation_LCIA!S$62</f>
        <v>3.8589551079497523E-6</v>
      </c>
      <c r="AP270" s="137">
        <f>Transportation_LCIA!T$61*($W270^Transportation_LCIA!T$60)+Transportation_LCIA!T$62</f>
        <v>3.8589551079497523E-6</v>
      </c>
      <c r="AQ270" s="137">
        <f>Transportation_LCIA!U$61*($W270^Transportation_LCIA!U$60)+Transportation_LCIA!U$62</f>
        <v>5.432625220229588E-4</v>
      </c>
      <c r="AR270" s="137">
        <f>Transportation_LCIA!V$61*($W270^Transportation_LCIA!V$60)+Transportation_LCIA!V$62</f>
        <v>2.2293415301844236E-4</v>
      </c>
      <c r="AT270" s="137">
        <f>$W270*Y270+$L270*Summary_LCIA!H$32</f>
        <v>290.59081642511234</v>
      </c>
      <c r="AU270" s="137">
        <f>$W270*Z270+$L270*Summary_LCIA!Q$32</f>
        <v>3107.3734960925567</v>
      </c>
      <c r="AV270" s="137">
        <f>$W270*AA270+$L270*Summary_LCIA!R$32</f>
        <v>1.715169513405387</v>
      </c>
      <c r="AW270" s="137">
        <f>$W270*AB270+$L270*Summary_LCIA!S$32</f>
        <v>290.15642766511235</v>
      </c>
      <c r="AX270" s="137">
        <f>$W270*AC270+$L270*Summary_LCIA!T$32</f>
        <v>72.089752260449274</v>
      </c>
      <c r="AY270" s="137">
        <f>$W270*AD270+$L270*Summary_LCIA!U$32</f>
        <v>2.0533152935028913</v>
      </c>
      <c r="AZ270" s="137">
        <f>$W270*AE270+$L270*Summary_LCIA!V$32</f>
        <v>1.084416670303591E-2</v>
      </c>
      <c r="BA270" s="137">
        <f>$W270*AF270+$L270*Summary_LCIA!W$32</f>
        <v>16.662603357628718</v>
      </c>
      <c r="BB270" s="137">
        <f>$W270*AG270+$L270*Summary_LCIA!X$32</f>
        <v>15.176558286043754</v>
      </c>
      <c r="BC270" s="137">
        <f>$W270*AH270+$L270*Summary_LCIA!Y$32</f>
        <v>1.7835296019335651</v>
      </c>
      <c r="BD270" s="137">
        <f>$W270*AI270+$L270*Summary_LCIA!Z$32</f>
        <v>0.27153723355475878</v>
      </c>
      <c r="BE270" s="137">
        <f>$W270*AJ270+$L270*Summary_LCIA!AA$32</f>
        <v>3.3487248588044674</v>
      </c>
      <c r="BF270" s="137">
        <f>$W270*AK270+$L270*Summary_LCIA!AB$32</f>
        <v>6.2591411107818046E-2</v>
      </c>
      <c r="BG270" s="137">
        <f>$W270*AL270+$L270*Summary_LCIA!AC$32</f>
        <v>3.6125001672206079E-5</v>
      </c>
      <c r="BH270" s="137">
        <f>$W270*AM270+$L270*Summary_LCIA!AD$32</f>
        <v>0.14035003822179706</v>
      </c>
      <c r="BI270" s="137">
        <f>$W270*AN270+$L270*Summary_LCIA!AE$32</f>
        <v>0.38299849859979407</v>
      </c>
      <c r="BJ270" s="137">
        <f>$W270*AO270+$L270*Summary_LCIA!AF$32</f>
        <v>8.7585921246860682E-2</v>
      </c>
      <c r="BK270" s="137">
        <f>$W270*AP270+$L270*Summary_LCIA!AG$32</f>
        <v>9.5281283568606767E-3</v>
      </c>
      <c r="BL270" s="137">
        <f>$W270*AQ270+$L270*Summary_LCIA!AH$32</f>
        <v>1.4888436481668521</v>
      </c>
      <c r="BM270" s="137">
        <f>$W270*AR270+$L270*Summary_LCIA!AI$32</f>
        <v>0.35150323328162059</v>
      </c>
    </row>
    <row r="271" spans="1:65" x14ac:dyDescent="0.25">
      <c r="A271" s="149">
        <v>253</v>
      </c>
      <c r="B271" s="149">
        <v>43</v>
      </c>
      <c r="C271" s="61">
        <v>43.073051999999997</v>
      </c>
      <c r="D271" s="61">
        <v>-89.401229999999998</v>
      </c>
      <c r="E271" s="61" t="s">
        <v>265</v>
      </c>
      <c r="F271" s="149">
        <v>114</v>
      </c>
      <c r="G271" s="61" t="s">
        <v>639</v>
      </c>
      <c r="H271" s="61" t="s">
        <v>640</v>
      </c>
      <c r="I271" s="61">
        <v>42.947552999999999</v>
      </c>
      <c r="J271" s="61">
        <v>-87.896646000000004</v>
      </c>
      <c r="K271" s="61">
        <v>124.3178211</v>
      </c>
      <c r="L271" s="61">
        <v>138.58099999999999</v>
      </c>
      <c r="M271" s="61" t="s">
        <v>617</v>
      </c>
      <c r="N271" s="149">
        <v>42</v>
      </c>
      <c r="O271" s="149">
        <v>43</v>
      </c>
      <c r="P271" s="61" t="s">
        <v>565</v>
      </c>
      <c r="Q271" s="61" t="s">
        <v>555</v>
      </c>
      <c r="R271" s="61">
        <v>40.6895314</v>
      </c>
      <c r="S271" s="61">
        <v>-74.174462399999996</v>
      </c>
      <c r="T271" s="61">
        <v>1501.124</v>
      </c>
      <c r="U271" s="61" t="s">
        <v>617</v>
      </c>
      <c r="V271" s="61" t="s">
        <v>569</v>
      </c>
      <c r="W271" s="61" cm="1">
        <f t="array" ref="W271">getDistance(I271,J271,R271,S271)*SA!$B$12</f>
        <v>1166.0499697420337</v>
      </c>
      <c r="Y271" s="137">
        <f>Transportation_LCIA!C$61*($W271^Transportation_LCIA!C$60)+Transportation_LCIA!C$62</f>
        <v>0.2205702660255735</v>
      </c>
      <c r="Z271" s="137">
        <f>Transportation_LCIA!D$61*($W271^Transportation_LCIA!D$60)+Transportation_LCIA!D$62</f>
        <v>2.2471616479848411</v>
      </c>
      <c r="AA271" s="137">
        <f>Transportation_LCIA!E$61*($W271^Transportation_LCIA!E$60)+Transportation_LCIA!E$62</f>
        <v>1.0271231145182829E-3</v>
      </c>
      <c r="AB271" s="137">
        <f>Transportation_LCIA!F$61*($W271^Transportation_LCIA!F$60)+Transportation_LCIA!F$62</f>
        <v>0.2205702660255735</v>
      </c>
      <c r="AC271" s="137">
        <f>Transportation_LCIA!G$61*($W271^Transportation_LCIA!G$60)+Transportation_LCIA!G$62</f>
        <v>5.256121234153309E-2</v>
      </c>
      <c r="AD271" s="137">
        <f>Transportation_LCIA!H$61*($W271^Transportation_LCIA!H$60)+Transportation_LCIA!H$62</f>
        <v>2.510726033187581E-4</v>
      </c>
      <c r="AE271" s="137">
        <f>Transportation_LCIA!I$61*($W271^Transportation_LCIA!I$60)+Transportation_LCIA!I$62</f>
        <v>5.2744833451662015E-6</v>
      </c>
      <c r="AF271" s="137">
        <f>Transportation_LCIA!J$61*($W271^Transportation_LCIA!J$60)+Transportation_LCIA!J$62</f>
        <v>7.8024507145619901E-3</v>
      </c>
      <c r="AG271" s="137">
        <f>Transportation_LCIA!K$61*($W271^Transportation_LCIA!K$60)+Transportation_LCIA!K$62</f>
        <v>1.1095395379072814E-2</v>
      </c>
      <c r="AH271" s="137">
        <f>Transportation_LCIA!L$61*($W271^Transportation_LCIA!L$60)+Transportation_LCIA!L$62</f>
        <v>2.1625300156677765E-4</v>
      </c>
      <c r="AI271" s="137">
        <f>Transportation_LCIA!M$61*($W271^Transportation_LCIA!M$60)+Transportation_LCIA!M$62</f>
        <v>2.2941293940596699E-4</v>
      </c>
      <c r="AJ271" s="137">
        <f>Transportation_LCIA!N$61*($W271^Transportation_LCIA!N$60)+Transportation_LCIA!N$62</f>
        <v>9.0334369721522265E-4</v>
      </c>
      <c r="AK271" s="137">
        <f>Transportation_LCIA!O$61*($W271^Transportation_LCIA!O$60)+Transportation_LCIA!O$62</f>
        <v>5.5517459441416292E-5</v>
      </c>
      <c r="AL271" s="137">
        <f>Transportation_LCIA!P$61*($W271^Transportation_LCIA!P$60)+Transportation_LCIA!P$62</f>
        <v>2.6860581221176317E-8</v>
      </c>
      <c r="AM271" s="137">
        <f>Transportation_LCIA!Q$61*($W271^Transportation_LCIA!Q$60)+Transportation_LCIA!Q$62</f>
        <v>8.572003918829478E-5</v>
      </c>
      <c r="AN271" s="137">
        <f>Transportation_LCIA!R$61*($W271^Transportation_LCIA!R$60)+Transportation_LCIA!R$62</f>
        <v>2.5377249872512655E-4</v>
      </c>
      <c r="AO271" s="137">
        <f>Transportation_LCIA!S$61*($W271^Transportation_LCIA!S$60)+Transportation_LCIA!S$62</f>
        <v>3.8589551079497523E-6</v>
      </c>
      <c r="AP271" s="137">
        <f>Transportation_LCIA!T$61*($W271^Transportation_LCIA!T$60)+Transportation_LCIA!T$62</f>
        <v>3.8589551079497523E-6</v>
      </c>
      <c r="AQ271" s="137">
        <f>Transportation_LCIA!U$61*($W271^Transportation_LCIA!U$60)+Transportation_LCIA!U$62</f>
        <v>5.432625220229588E-4</v>
      </c>
      <c r="AR271" s="137">
        <f>Transportation_LCIA!V$61*($W271^Transportation_LCIA!V$60)+Transportation_LCIA!V$62</f>
        <v>2.2293415301844236E-4</v>
      </c>
      <c r="AT271" s="137">
        <f>$W271*Y271+$L271*Summary_LCIA!H$32</f>
        <v>304.2857758251123</v>
      </c>
      <c r="AU271" s="137">
        <f>$W271*Z271+$L271*Summary_LCIA!Q$32</f>
        <v>3307.1171966937554</v>
      </c>
      <c r="AV271" s="137">
        <f>$W271*AA271+$L271*Summary_LCIA!R$32</f>
        <v>1.9273889902053871</v>
      </c>
      <c r="AW271" s="137">
        <f>$W271*AB271+$L271*Summary_LCIA!S$32</f>
        <v>303.67324780511234</v>
      </c>
      <c r="AX271" s="137">
        <f>$W271*AC271+$L271*Summary_LCIA!T$32</f>
        <v>76.519051960449261</v>
      </c>
      <c r="AY271" s="137">
        <f>$W271*AD271+$L271*Summary_LCIA!U$32</f>
        <v>2.7753032355028915</v>
      </c>
      <c r="AZ271" s="137">
        <f>$W271*AE271+$L271*Summary_LCIA!V$32</f>
        <v>1.276907828603591E-2</v>
      </c>
      <c r="BA271" s="137">
        <f>$W271*AF271+$L271*Summary_LCIA!W$32</f>
        <v>19.764765570628718</v>
      </c>
      <c r="BB271" s="137">
        <f>$W271*AG271+$L271*Summary_LCIA!X$32</f>
        <v>16.094660626043755</v>
      </c>
      <c r="BC271" s="137">
        <f>$W271*AH271+$L271*Summary_LCIA!Y$32</f>
        <v>2.4115309479335649</v>
      </c>
      <c r="BD271" s="137">
        <f>$W271*AI271+$L271*Summary_LCIA!Z$32</f>
        <v>0.27319001928175879</v>
      </c>
      <c r="BE271" s="137">
        <f>$W271*AJ271+$L271*Summary_LCIA!AA$32</f>
        <v>4.2900417268044668</v>
      </c>
      <c r="BF271" s="137">
        <f>$W271*AK271+$L271*Summary_LCIA!AB$32</f>
        <v>6.1711878738818053E-2</v>
      </c>
      <c r="BG271" s="137">
        <f>$W271*AL271+$L271*Summary_LCIA!AC$32</f>
        <v>3.8095173524206079E-5</v>
      </c>
      <c r="BH271" s="137">
        <f>$W271*AM271+$L271*Summary_LCIA!AD$32</f>
        <v>0.15691618334179708</v>
      </c>
      <c r="BI271" s="137">
        <f>$W271*AN271+$L271*Summary_LCIA!AE$32</f>
        <v>0.41871219598979403</v>
      </c>
      <c r="BJ271" s="137">
        <f>$W271*AO271+$L271*Summary_LCIA!AF$32</f>
        <v>0.12165888350686066</v>
      </c>
      <c r="BK271" s="137">
        <f>$W271*AP271+$L271*Summary_LCIA!AG$32</f>
        <v>1.1590231351860675E-2</v>
      </c>
      <c r="BL271" s="137">
        <f>$W271*AQ271+$L271*Summary_LCIA!AH$32</f>
        <v>1.8396248389668519</v>
      </c>
      <c r="BM271" s="137">
        <f>$W271*AR271+$L271*Summary_LCIA!AI$32</f>
        <v>0.38904749293162061</v>
      </c>
    </row>
    <row r="272" spans="1:65" x14ac:dyDescent="0.25">
      <c r="A272" s="149">
        <v>254</v>
      </c>
      <c r="B272" s="149">
        <v>43</v>
      </c>
      <c r="C272" s="61">
        <v>43.073051999999997</v>
      </c>
      <c r="D272" s="61">
        <v>-89.401229999999998</v>
      </c>
      <c r="E272" s="61" t="s">
        <v>265</v>
      </c>
      <c r="F272" s="149">
        <v>114</v>
      </c>
      <c r="G272" s="61" t="s">
        <v>639</v>
      </c>
      <c r="H272" s="61" t="s">
        <v>640</v>
      </c>
      <c r="I272" s="61">
        <v>42.947552999999999</v>
      </c>
      <c r="J272" s="61">
        <v>-87.896646000000004</v>
      </c>
      <c r="K272" s="61">
        <v>124.3178211</v>
      </c>
      <c r="L272" s="61">
        <v>138.58099999999999</v>
      </c>
      <c r="M272" s="61" t="s">
        <v>617</v>
      </c>
      <c r="N272" s="149">
        <v>42</v>
      </c>
      <c r="O272" s="149">
        <v>43</v>
      </c>
      <c r="P272" s="61" t="s">
        <v>565</v>
      </c>
      <c r="Q272" s="61" t="s">
        <v>555</v>
      </c>
      <c r="R272" s="61">
        <v>40.6895314</v>
      </c>
      <c r="S272" s="61">
        <v>-74.174462399999996</v>
      </c>
      <c r="T272" s="61">
        <v>1501.124</v>
      </c>
      <c r="U272" s="61" t="s">
        <v>617</v>
      </c>
      <c r="V272" s="61" t="s">
        <v>569</v>
      </c>
      <c r="W272" s="61" cm="1">
        <f t="array" ref="W272">getDistance(I272,J272,R272,S272)*SA!$B$12</f>
        <v>1166.0499697420337</v>
      </c>
      <c r="Y272" s="137">
        <f>Transportation_LCIA!C$61*($W272^Transportation_LCIA!C$60)+Transportation_LCIA!C$62</f>
        <v>0.2205702660255735</v>
      </c>
      <c r="Z272" s="137">
        <f>Transportation_LCIA!D$61*($W272^Transportation_LCIA!D$60)+Transportation_LCIA!D$62</f>
        <v>2.2471616479848411</v>
      </c>
      <c r="AA272" s="137">
        <f>Transportation_LCIA!E$61*($W272^Transportation_LCIA!E$60)+Transportation_LCIA!E$62</f>
        <v>1.0271231145182829E-3</v>
      </c>
      <c r="AB272" s="137">
        <f>Transportation_LCIA!F$61*($W272^Transportation_LCIA!F$60)+Transportation_LCIA!F$62</f>
        <v>0.2205702660255735</v>
      </c>
      <c r="AC272" s="137">
        <f>Transportation_LCIA!G$61*($W272^Transportation_LCIA!G$60)+Transportation_LCIA!G$62</f>
        <v>5.256121234153309E-2</v>
      </c>
      <c r="AD272" s="137">
        <f>Transportation_LCIA!H$61*($W272^Transportation_LCIA!H$60)+Transportation_LCIA!H$62</f>
        <v>2.510726033187581E-4</v>
      </c>
      <c r="AE272" s="137">
        <f>Transportation_LCIA!I$61*($W272^Transportation_LCIA!I$60)+Transportation_LCIA!I$62</f>
        <v>5.2744833451662015E-6</v>
      </c>
      <c r="AF272" s="137">
        <f>Transportation_LCIA!J$61*($W272^Transportation_LCIA!J$60)+Transportation_LCIA!J$62</f>
        <v>7.8024507145619901E-3</v>
      </c>
      <c r="AG272" s="137">
        <f>Transportation_LCIA!K$61*($W272^Transportation_LCIA!K$60)+Transportation_LCIA!K$62</f>
        <v>1.1095395379072814E-2</v>
      </c>
      <c r="AH272" s="137">
        <f>Transportation_LCIA!L$61*($W272^Transportation_LCIA!L$60)+Transportation_LCIA!L$62</f>
        <v>2.1625300156677765E-4</v>
      </c>
      <c r="AI272" s="137">
        <f>Transportation_LCIA!M$61*($W272^Transportation_LCIA!M$60)+Transportation_LCIA!M$62</f>
        <v>2.2941293940596699E-4</v>
      </c>
      <c r="AJ272" s="137">
        <f>Transportation_LCIA!N$61*($W272^Transportation_LCIA!N$60)+Transportation_LCIA!N$62</f>
        <v>9.0334369721522265E-4</v>
      </c>
      <c r="AK272" s="137">
        <f>Transportation_LCIA!O$61*($W272^Transportation_LCIA!O$60)+Transportation_LCIA!O$62</f>
        <v>5.5517459441416292E-5</v>
      </c>
      <c r="AL272" s="137">
        <f>Transportation_LCIA!P$61*($W272^Transportation_LCIA!P$60)+Transportation_LCIA!P$62</f>
        <v>2.6860581221176317E-8</v>
      </c>
      <c r="AM272" s="137">
        <f>Transportation_LCIA!Q$61*($W272^Transportation_LCIA!Q$60)+Transportation_LCIA!Q$62</f>
        <v>8.572003918829478E-5</v>
      </c>
      <c r="AN272" s="137">
        <f>Transportation_LCIA!R$61*($W272^Transportation_LCIA!R$60)+Transportation_LCIA!R$62</f>
        <v>2.5377249872512655E-4</v>
      </c>
      <c r="AO272" s="137">
        <f>Transportation_LCIA!S$61*($W272^Transportation_LCIA!S$60)+Transportation_LCIA!S$62</f>
        <v>3.8589551079497523E-6</v>
      </c>
      <c r="AP272" s="137">
        <f>Transportation_LCIA!T$61*($W272^Transportation_LCIA!T$60)+Transportation_LCIA!T$62</f>
        <v>3.8589551079497523E-6</v>
      </c>
      <c r="AQ272" s="137">
        <f>Transportation_LCIA!U$61*($W272^Transportation_LCIA!U$60)+Transportation_LCIA!U$62</f>
        <v>5.432625220229588E-4</v>
      </c>
      <c r="AR272" s="137">
        <f>Transportation_LCIA!V$61*($W272^Transportation_LCIA!V$60)+Transportation_LCIA!V$62</f>
        <v>2.2293415301844236E-4</v>
      </c>
      <c r="AT272" s="137">
        <f>$W272*Y272+$L272*Summary_LCIA!H$32</f>
        <v>304.2857758251123</v>
      </c>
      <c r="AU272" s="137">
        <f>$W272*Z272+$L272*Summary_LCIA!Q$32</f>
        <v>3307.1171966937554</v>
      </c>
      <c r="AV272" s="137">
        <f>$W272*AA272+$L272*Summary_LCIA!R$32</f>
        <v>1.9273889902053871</v>
      </c>
      <c r="AW272" s="137">
        <f>$W272*AB272+$L272*Summary_LCIA!S$32</f>
        <v>303.67324780511234</v>
      </c>
      <c r="AX272" s="137">
        <f>$W272*AC272+$L272*Summary_LCIA!T$32</f>
        <v>76.519051960449261</v>
      </c>
      <c r="AY272" s="137">
        <f>$W272*AD272+$L272*Summary_LCIA!U$32</f>
        <v>2.7753032355028915</v>
      </c>
      <c r="AZ272" s="137">
        <f>$W272*AE272+$L272*Summary_LCIA!V$32</f>
        <v>1.276907828603591E-2</v>
      </c>
      <c r="BA272" s="137">
        <f>$W272*AF272+$L272*Summary_LCIA!W$32</f>
        <v>19.764765570628718</v>
      </c>
      <c r="BB272" s="137">
        <f>$W272*AG272+$L272*Summary_LCIA!X$32</f>
        <v>16.094660626043755</v>
      </c>
      <c r="BC272" s="137">
        <f>$W272*AH272+$L272*Summary_LCIA!Y$32</f>
        <v>2.4115309479335649</v>
      </c>
      <c r="BD272" s="137">
        <f>$W272*AI272+$L272*Summary_LCIA!Z$32</f>
        <v>0.27319001928175879</v>
      </c>
      <c r="BE272" s="137">
        <f>$W272*AJ272+$L272*Summary_LCIA!AA$32</f>
        <v>4.2900417268044668</v>
      </c>
      <c r="BF272" s="137">
        <f>$W272*AK272+$L272*Summary_LCIA!AB$32</f>
        <v>6.1711878738818053E-2</v>
      </c>
      <c r="BG272" s="137">
        <f>$W272*AL272+$L272*Summary_LCIA!AC$32</f>
        <v>3.8095173524206079E-5</v>
      </c>
      <c r="BH272" s="137">
        <f>$W272*AM272+$L272*Summary_LCIA!AD$32</f>
        <v>0.15691618334179708</v>
      </c>
      <c r="BI272" s="137">
        <f>$W272*AN272+$L272*Summary_LCIA!AE$32</f>
        <v>0.41871219598979403</v>
      </c>
      <c r="BJ272" s="137">
        <f>$W272*AO272+$L272*Summary_LCIA!AF$32</f>
        <v>0.12165888350686066</v>
      </c>
      <c r="BK272" s="137">
        <f>$W272*AP272+$L272*Summary_LCIA!AG$32</f>
        <v>1.1590231351860675E-2</v>
      </c>
      <c r="BL272" s="137">
        <f>$W272*AQ272+$L272*Summary_LCIA!AH$32</f>
        <v>1.8396248389668519</v>
      </c>
      <c r="BM272" s="137">
        <f>$W272*AR272+$L272*Summary_LCIA!AI$32</f>
        <v>0.38904749293162061</v>
      </c>
    </row>
    <row r="273" spans="1:65" x14ac:dyDescent="0.25">
      <c r="A273" s="149">
        <v>255</v>
      </c>
      <c r="B273" s="149">
        <v>43</v>
      </c>
      <c r="C273" s="61">
        <v>43.073051999999997</v>
      </c>
      <c r="D273" s="61">
        <v>-89.401229999999998</v>
      </c>
      <c r="E273" s="61" t="s">
        <v>265</v>
      </c>
      <c r="F273" s="149">
        <v>114</v>
      </c>
      <c r="G273" s="61" t="s">
        <v>639</v>
      </c>
      <c r="H273" s="61" t="s">
        <v>640</v>
      </c>
      <c r="I273" s="61">
        <v>42.947552999999999</v>
      </c>
      <c r="J273" s="61">
        <v>-87.896646000000004</v>
      </c>
      <c r="K273" s="61">
        <v>124.3178211</v>
      </c>
      <c r="L273" s="61">
        <v>138.58099999999999</v>
      </c>
      <c r="M273" s="61" t="s">
        <v>617</v>
      </c>
      <c r="N273" s="149">
        <v>42</v>
      </c>
      <c r="O273" s="149">
        <v>43</v>
      </c>
      <c r="P273" s="61" t="s">
        <v>565</v>
      </c>
      <c r="Q273" s="61" t="s">
        <v>555</v>
      </c>
      <c r="R273" s="61">
        <v>40.6895314</v>
      </c>
      <c r="S273" s="61">
        <v>-74.174462399999996</v>
      </c>
      <c r="T273" s="61">
        <v>1501.124</v>
      </c>
      <c r="U273" s="61" t="s">
        <v>617</v>
      </c>
      <c r="V273" s="61" t="s">
        <v>569</v>
      </c>
      <c r="W273" s="61" cm="1">
        <f t="array" ref="W273">getDistance(I273,J273,R273,S273)*SA!$B$12</f>
        <v>1166.0499697420337</v>
      </c>
      <c r="Y273" s="137">
        <f>Transportation_LCIA!C$61*($W273^Transportation_LCIA!C$60)+Transportation_LCIA!C$62</f>
        <v>0.2205702660255735</v>
      </c>
      <c r="Z273" s="137">
        <f>Transportation_LCIA!D$61*($W273^Transportation_LCIA!D$60)+Transportation_LCIA!D$62</f>
        <v>2.2471616479848411</v>
      </c>
      <c r="AA273" s="137">
        <f>Transportation_LCIA!E$61*($W273^Transportation_LCIA!E$60)+Transportation_LCIA!E$62</f>
        <v>1.0271231145182829E-3</v>
      </c>
      <c r="AB273" s="137">
        <f>Transportation_LCIA!F$61*($W273^Transportation_LCIA!F$60)+Transportation_LCIA!F$62</f>
        <v>0.2205702660255735</v>
      </c>
      <c r="AC273" s="137">
        <f>Transportation_LCIA!G$61*($W273^Transportation_LCIA!G$60)+Transportation_LCIA!G$62</f>
        <v>5.256121234153309E-2</v>
      </c>
      <c r="AD273" s="137">
        <f>Transportation_LCIA!H$61*($W273^Transportation_LCIA!H$60)+Transportation_LCIA!H$62</f>
        <v>2.510726033187581E-4</v>
      </c>
      <c r="AE273" s="137">
        <f>Transportation_LCIA!I$61*($W273^Transportation_LCIA!I$60)+Transportation_LCIA!I$62</f>
        <v>5.2744833451662015E-6</v>
      </c>
      <c r="AF273" s="137">
        <f>Transportation_LCIA!J$61*($W273^Transportation_LCIA!J$60)+Transportation_LCIA!J$62</f>
        <v>7.8024507145619901E-3</v>
      </c>
      <c r="AG273" s="137">
        <f>Transportation_LCIA!K$61*($W273^Transportation_LCIA!K$60)+Transportation_LCIA!K$62</f>
        <v>1.1095395379072814E-2</v>
      </c>
      <c r="AH273" s="137">
        <f>Transportation_LCIA!L$61*($W273^Transportation_LCIA!L$60)+Transportation_LCIA!L$62</f>
        <v>2.1625300156677765E-4</v>
      </c>
      <c r="AI273" s="137">
        <f>Transportation_LCIA!M$61*($W273^Transportation_LCIA!M$60)+Transportation_LCIA!M$62</f>
        <v>2.2941293940596699E-4</v>
      </c>
      <c r="AJ273" s="137">
        <f>Transportation_LCIA!N$61*($W273^Transportation_LCIA!N$60)+Transportation_LCIA!N$62</f>
        <v>9.0334369721522265E-4</v>
      </c>
      <c r="AK273" s="137">
        <f>Transportation_LCIA!O$61*($W273^Transportation_LCIA!O$60)+Transportation_LCIA!O$62</f>
        <v>5.5517459441416292E-5</v>
      </c>
      <c r="AL273" s="137">
        <f>Transportation_LCIA!P$61*($W273^Transportation_LCIA!P$60)+Transportation_LCIA!P$62</f>
        <v>2.6860581221176317E-8</v>
      </c>
      <c r="AM273" s="137">
        <f>Transportation_LCIA!Q$61*($W273^Transportation_LCIA!Q$60)+Transportation_LCIA!Q$62</f>
        <v>8.572003918829478E-5</v>
      </c>
      <c r="AN273" s="137">
        <f>Transportation_LCIA!R$61*($W273^Transportation_LCIA!R$60)+Transportation_LCIA!R$62</f>
        <v>2.5377249872512655E-4</v>
      </c>
      <c r="AO273" s="137">
        <f>Transportation_LCIA!S$61*($W273^Transportation_LCIA!S$60)+Transportation_LCIA!S$62</f>
        <v>3.8589551079497523E-6</v>
      </c>
      <c r="AP273" s="137">
        <f>Transportation_LCIA!T$61*($W273^Transportation_LCIA!T$60)+Transportation_LCIA!T$62</f>
        <v>3.8589551079497523E-6</v>
      </c>
      <c r="AQ273" s="137">
        <f>Transportation_LCIA!U$61*($W273^Transportation_LCIA!U$60)+Transportation_LCIA!U$62</f>
        <v>5.432625220229588E-4</v>
      </c>
      <c r="AR273" s="137">
        <f>Transportation_LCIA!V$61*($W273^Transportation_LCIA!V$60)+Transportation_LCIA!V$62</f>
        <v>2.2293415301844236E-4</v>
      </c>
      <c r="AT273" s="137">
        <f>$W273*Y273+$L273*Summary_LCIA!H$32</f>
        <v>304.2857758251123</v>
      </c>
      <c r="AU273" s="137">
        <f>$W273*Z273+$L273*Summary_LCIA!Q$32</f>
        <v>3307.1171966937554</v>
      </c>
      <c r="AV273" s="137">
        <f>$W273*AA273+$L273*Summary_LCIA!R$32</f>
        <v>1.9273889902053871</v>
      </c>
      <c r="AW273" s="137">
        <f>$W273*AB273+$L273*Summary_LCIA!S$32</f>
        <v>303.67324780511234</v>
      </c>
      <c r="AX273" s="137">
        <f>$W273*AC273+$L273*Summary_LCIA!T$32</f>
        <v>76.519051960449261</v>
      </c>
      <c r="AY273" s="137">
        <f>$W273*AD273+$L273*Summary_LCIA!U$32</f>
        <v>2.7753032355028915</v>
      </c>
      <c r="AZ273" s="137">
        <f>$W273*AE273+$L273*Summary_LCIA!V$32</f>
        <v>1.276907828603591E-2</v>
      </c>
      <c r="BA273" s="137">
        <f>$W273*AF273+$L273*Summary_LCIA!W$32</f>
        <v>19.764765570628718</v>
      </c>
      <c r="BB273" s="137">
        <f>$W273*AG273+$L273*Summary_LCIA!X$32</f>
        <v>16.094660626043755</v>
      </c>
      <c r="BC273" s="137">
        <f>$W273*AH273+$L273*Summary_LCIA!Y$32</f>
        <v>2.4115309479335649</v>
      </c>
      <c r="BD273" s="137">
        <f>$W273*AI273+$L273*Summary_LCIA!Z$32</f>
        <v>0.27319001928175879</v>
      </c>
      <c r="BE273" s="137">
        <f>$W273*AJ273+$L273*Summary_LCIA!AA$32</f>
        <v>4.2900417268044668</v>
      </c>
      <c r="BF273" s="137">
        <f>$W273*AK273+$L273*Summary_LCIA!AB$32</f>
        <v>6.1711878738818053E-2</v>
      </c>
      <c r="BG273" s="137">
        <f>$W273*AL273+$L273*Summary_LCIA!AC$32</f>
        <v>3.8095173524206079E-5</v>
      </c>
      <c r="BH273" s="137">
        <f>$W273*AM273+$L273*Summary_LCIA!AD$32</f>
        <v>0.15691618334179708</v>
      </c>
      <c r="BI273" s="137">
        <f>$W273*AN273+$L273*Summary_LCIA!AE$32</f>
        <v>0.41871219598979403</v>
      </c>
      <c r="BJ273" s="137">
        <f>$W273*AO273+$L273*Summary_LCIA!AF$32</f>
        <v>0.12165888350686066</v>
      </c>
      <c r="BK273" s="137">
        <f>$W273*AP273+$L273*Summary_LCIA!AG$32</f>
        <v>1.1590231351860675E-2</v>
      </c>
      <c r="BL273" s="137">
        <f>$W273*AQ273+$L273*Summary_LCIA!AH$32</f>
        <v>1.8396248389668519</v>
      </c>
      <c r="BM273" s="137">
        <f>$W273*AR273+$L273*Summary_LCIA!AI$32</f>
        <v>0.38904749293162061</v>
      </c>
    </row>
    <row r="274" spans="1:65" x14ac:dyDescent="0.25">
      <c r="A274" s="149">
        <v>256</v>
      </c>
      <c r="B274" s="149">
        <v>43</v>
      </c>
      <c r="C274" s="61">
        <v>43.073051999999997</v>
      </c>
      <c r="D274" s="61">
        <v>-89.401229999999998</v>
      </c>
      <c r="E274" s="61" t="s">
        <v>265</v>
      </c>
      <c r="F274" s="149">
        <v>114</v>
      </c>
      <c r="G274" s="61" t="s">
        <v>639</v>
      </c>
      <c r="H274" s="61" t="s">
        <v>640</v>
      </c>
      <c r="I274" s="61">
        <v>42.947552999999999</v>
      </c>
      <c r="J274" s="61">
        <v>-87.896646000000004</v>
      </c>
      <c r="K274" s="61">
        <v>124.3178211</v>
      </c>
      <c r="L274" s="61">
        <v>138.58099999999999</v>
      </c>
      <c r="M274" s="61" t="s">
        <v>617</v>
      </c>
      <c r="N274" s="149">
        <v>42</v>
      </c>
      <c r="O274" s="149">
        <v>43</v>
      </c>
      <c r="P274" s="61" t="s">
        <v>565</v>
      </c>
      <c r="Q274" s="61" t="s">
        <v>555</v>
      </c>
      <c r="R274" s="61">
        <v>40.6895314</v>
      </c>
      <c r="S274" s="61">
        <v>-74.174462399999996</v>
      </c>
      <c r="T274" s="61">
        <v>1501.124</v>
      </c>
      <c r="U274" s="61" t="s">
        <v>617</v>
      </c>
      <c r="V274" s="61" t="s">
        <v>569</v>
      </c>
      <c r="W274" s="61" cm="1">
        <f t="array" ref="W274">getDistance(I274,J274,R274,S274)*SA!$B$12</f>
        <v>1166.0499697420337</v>
      </c>
      <c r="Y274" s="137">
        <f>Transportation_LCIA!C$61*($W274^Transportation_LCIA!C$60)+Transportation_LCIA!C$62</f>
        <v>0.2205702660255735</v>
      </c>
      <c r="Z274" s="137">
        <f>Transportation_LCIA!D$61*($W274^Transportation_LCIA!D$60)+Transportation_LCIA!D$62</f>
        <v>2.2471616479848411</v>
      </c>
      <c r="AA274" s="137">
        <f>Transportation_LCIA!E$61*($W274^Transportation_LCIA!E$60)+Transportation_LCIA!E$62</f>
        <v>1.0271231145182829E-3</v>
      </c>
      <c r="AB274" s="137">
        <f>Transportation_LCIA!F$61*($W274^Transportation_LCIA!F$60)+Transportation_LCIA!F$62</f>
        <v>0.2205702660255735</v>
      </c>
      <c r="AC274" s="137">
        <f>Transportation_LCIA!G$61*($W274^Transportation_LCIA!G$60)+Transportation_LCIA!G$62</f>
        <v>5.256121234153309E-2</v>
      </c>
      <c r="AD274" s="137">
        <f>Transportation_LCIA!H$61*($W274^Transportation_LCIA!H$60)+Transportation_LCIA!H$62</f>
        <v>2.510726033187581E-4</v>
      </c>
      <c r="AE274" s="137">
        <f>Transportation_LCIA!I$61*($W274^Transportation_LCIA!I$60)+Transportation_LCIA!I$62</f>
        <v>5.2744833451662015E-6</v>
      </c>
      <c r="AF274" s="137">
        <f>Transportation_LCIA!J$61*($W274^Transportation_LCIA!J$60)+Transportation_LCIA!J$62</f>
        <v>7.8024507145619901E-3</v>
      </c>
      <c r="AG274" s="137">
        <f>Transportation_LCIA!K$61*($W274^Transportation_LCIA!K$60)+Transportation_LCIA!K$62</f>
        <v>1.1095395379072814E-2</v>
      </c>
      <c r="AH274" s="137">
        <f>Transportation_LCIA!L$61*($W274^Transportation_LCIA!L$60)+Transportation_LCIA!L$62</f>
        <v>2.1625300156677765E-4</v>
      </c>
      <c r="AI274" s="137">
        <f>Transportation_LCIA!M$61*($W274^Transportation_LCIA!M$60)+Transportation_LCIA!M$62</f>
        <v>2.2941293940596699E-4</v>
      </c>
      <c r="AJ274" s="137">
        <f>Transportation_LCIA!N$61*($W274^Transportation_LCIA!N$60)+Transportation_LCIA!N$62</f>
        <v>9.0334369721522265E-4</v>
      </c>
      <c r="AK274" s="137">
        <f>Transportation_LCIA!O$61*($W274^Transportation_LCIA!O$60)+Transportation_LCIA!O$62</f>
        <v>5.5517459441416292E-5</v>
      </c>
      <c r="AL274" s="137">
        <f>Transportation_LCIA!P$61*($W274^Transportation_LCIA!P$60)+Transportation_LCIA!P$62</f>
        <v>2.6860581221176317E-8</v>
      </c>
      <c r="AM274" s="137">
        <f>Transportation_LCIA!Q$61*($W274^Transportation_LCIA!Q$60)+Transportation_LCIA!Q$62</f>
        <v>8.572003918829478E-5</v>
      </c>
      <c r="AN274" s="137">
        <f>Transportation_LCIA!R$61*($W274^Transportation_LCIA!R$60)+Transportation_LCIA!R$62</f>
        <v>2.5377249872512655E-4</v>
      </c>
      <c r="AO274" s="137">
        <f>Transportation_LCIA!S$61*($W274^Transportation_LCIA!S$60)+Transportation_LCIA!S$62</f>
        <v>3.8589551079497523E-6</v>
      </c>
      <c r="AP274" s="137">
        <f>Transportation_LCIA!T$61*($W274^Transportation_LCIA!T$60)+Transportation_LCIA!T$62</f>
        <v>3.8589551079497523E-6</v>
      </c>
      <c r="AQ274" s="137">
        <f>Transportation_LCIA!U$61*($W274^Transportation_LCIA!U$60)+Transportation_LCIA!U$62</f>
        <v>5.432625220229588E-4</v>
      </c>
      <c r="AR274" s="137">
        <f>Transportation_LCIA!V$61*($W274^Transportation_LCIA!V$60)+Transportation_LCIA!V$62</f>
        <v>2.2293415301844236E-4</v>
      </c>
      <c r="AT274" s="137">
        <f>$W274*Y274+$L274*Summary_LCIA!H$32</f>
        <v>304.2857758251123</v>
      </c>
      <c r="AU274" s="137">
        <f>$W274*Z274+$L274*Summary_LCIA!Q$32</f>
        <v>3307.1171966937554</v>
      </c>
      <c r="AV274" s="137">
        <f>$W274*AA274+$L274*Summary_LCIA!R$32</f>
        <v>1.9273889902053871</v>
      </c>
      <c r="AW274" s="137">
        <f>$W274*AB274+$L274*Summary_LCIA!S$32</f>
        <v>303.67324780511234</v>
      </c>
      <c r="AX274" s="137">
        <f>$W274*AC274+$L274*Summary_LCIA!T$32</f>
        <v>76.519051960449261</v>
      </c>
      <c r="AY274" s="137">
        <f>$W274*AD274+$L274*Summary_LCIA!U$32</f>
        <v>2.7753032355028915</v>
      </c>
      <c r="AZ274" s="137">
        <f>$W274*AE274+$L274*Summary_LCIA!V$32</f>
        <v>1.276907828603591E-2</v>
      </c>
      <c r="BA274" s="137">
        <f>$W274*AF274+$L274*Summary_LCIA!W$32</f>
        <v>19.764765570628718</v>
      </c>
      <c r="BB274" s="137">
        <f>$W274*AG274+$L274*Summary_LCIA!X$32</f>
        <v>16.094660626043755</v>
      </c>
      <c r="BC274" s="137">
        <f>$W274*AH274+$L274*Summary_LCIA!Y$32</f>
        <v>2.4115309479335649</v>
      </c>
      <c r="BD274" s="137">
        <f>$W274*AI274+$L274*Summary_LCIA!Z$32</f>
        <v>0.27319001928175879</v>
      </c>
      <c r="BE274" s="137">
        <f>$W274*AJ274+$L274*Summary_LCIA!AA$32</f>
        <v>4.2900417268044668</v>
      </c>
      <c r="BF274" s="137">
        <f>$W274*AK274+$L274*Summary_LCIA!AB$32</f>
        <v>6.1711878738818053E-2</v>
      </c>
      <c r="BG274" s="137">
        <f>$W274*AL274+$L274*Summary_LCIA!AC$32</f>
        <v>3.8095173524206079E-5</v>
      </c>
      <c r="BH274" s="137">
        <f>$W274*AM274+$L274*Summary_LCIA!AD$32</f>
        <v>0.15691618334179708</v>
      </c>
      <c r="BI274" s="137">
        <f>$W274*AN274+$L274*Summary_LCIA!AE$32</f>
        <v>0.41871219598979403</v>
      </c>
      <c r="BJ274" s="137">
        <f>$W274*AO274+$L274*Summary_LCIA!AF$32</f>
        <v>0.12165888350686066</v>
      </c>
      <c r="BK274" s="137">
        <f>$W274*AP274+$L274*Summary_LCIA!AG$32</f>
        <v>1.1590231351860675E-2</v>
      </c>
      <c r="BL274" s="137">
        <f>$W274*AQ274+$L274*Summary_LCIA!AH$32</f>
        <v>1.8396248389668519</v>
      </c>
      <c r="BM274" s="137">
        <f>$W274*AR274+$L274*Summary_LCIA!AI$32</f>
        <v>0.38904749293162061</v>
      </c>
    </row>
    <row r="275" spans="1:65" x14ac:dyDescent="0.25">
      <c r="A275" s="149">
        <v>257</v>
      </c>
      <c r="B275" s="149">
        <v>43</v>
      </c>
      <c r="C275" s="61">
        <v>43.073051999999997</v>
      </c>
      <c r="D275" s="61">
        <v>-89.401229999999998</v>
      </c>
      <c r="E275" s="61" t="s">
        <v>265</v>
      </c>
      <c r="F275" s="149">
        <v>114</v>
      </c>
      <c r="G275" s="61" t="s">
        <v>639</v>
      </c>
      <c r="H275" s="61" t="s">
        <v>640</v>
      </c>
      <c r="I275" s="61">
        <v>42.947552999999999</v>
      </c>
      <c r="J275" s="61">
        <v>-87.896646000000004</v>
      </c>
      <c r="K275" s="61">
        <v>124.3178211</v>
      </c>
      <c r="L275" s="61">
        <v>138.58099999999999</v>
      </c>
      <c r="M275" s="61" t="s">
        <v>617</v>
      </c>
      <c r="N275" s="149">
        <v>42</v>
      </c>
      <c r="O275" s="149">
        <v>43</v>
      </c>
      <c r="P275" s="61" t="s">
        <v>565</v>
      </c>
      <c r="Q275" s="61" t="s">
        <v>555</v>
      </c>
      <c r="R275" s="61">
        <v>40.6895314</v>
      </c>
      <c r="S275" s="61">
        <v>-74.174462399999996</v>
      </c>
      <c r="T275" s="61">
        <v>1501.124</v>
      </c>
      <c r="U275" s="61" t="s">
        <v>617</v>
      </c>
      <c r="V275" s="61" t="s">
        <v>569</v>
      </c>
      <c r="W275" s="61" cm="1">
        <f t="array" ref="W275">getDistance(I275,J275,R275,S275)*SA!$B$12</f>
        <v>1166.0499697420337</v>
      </c>
      <c r="Y275" s="137">
        <f>Transportation_LCIA!C$61*($W275^Transportation_LCIA!C$60)+Transportation_LCIA!C$62</f>
        <v>0.2205702660255735</v>
      </c>
      <c r="Z275" s="137">
        <f>Transportation_LCIA!D$61*($W275^Transportation_LCIA!D$60)+Transportation_LCIA!D$62</f>
        <v>2.2471616479848411</v>
      </c>
      <c r="AA275" s="137">
        <f>Transportation_LCIA!E$61*($W275^Transportation_LCIA!E$60)+Transportation_LCIA!E$62</f>
        <v>1.0271231145182829E-3</v>
      </c>
      <c r="AB275" s="137">
        <f>Transportation_LCIA!F$61*($W275^Transportation_LCIA!F$60)+Transportation_LCIA!F$62</f>
        <v>0.2205702660255735</v>
      </c>
      <c r="AC275" s="137">
        <f>Transportation_LCIA!G$61*($W275^Transportation_LCIA!G$60)+Transportation_LCIA!G$62</f>
        <v>5.256121234153309E-2</v>
      </c>
      <c r="AD275" s="137">
        <f>Transportation_LCIA!H$61*($W275^Transportation_LCIA!H$60)+Transportation_LCIA!H$62</f>
        <v>2.510726033187581E-4</v>
      </c>
      <c r="AE275" s="137">
        <f>Transportation_LCIA!I$61*($W275^Transportation_LCIA!I$60)+Transportation_LCIA!I$62</f>
        <v>5.2744833451662015E-6</v>
      </c>
      <c r="AF275" s="137">
        <f>Transportation_LCIA!J$61*($W275^Transportation_LCIA!J$60)+Transportation_LCIA!J$62</f>
        <v>7.8024507145619901E-3</v>
      </c>
      <c r="AG275" s="137">
        <f>Transportation_LCIA!K$61*($W275^Transportation_LCIA!K$60)+Transportation_LCIA!K$62</f>
        <v>1.1095395379072814E-2</v>
      </c>
      <c r="AH275" s="137">
        <f>Transportation_LCIA!L$61*($W275^Transportation_LCIA!L$60)+Transportation_LCIA!L$62</f>
        <v>2.1625300156677765E-4</v>
      </c>
      <c r="AI275" s="137">
        <f>Transportation_LCIA!M$61*($W275^Transportation_LCIA!M$60)+Transportation_LCIA!M$62</f>
        <v>2.2941293940596699E-4</v>
      </c>
      <c r="AJ275" s="137">
        <f>Transportation_LCIA!N$61*($W275^Transportation_LCIA!N$60)+Transportation_LCIA!N$62</f>
        <v>9.0334369721522265E-4</v>
      </c>
      <c r="AK275" s="137">
        <f>Transportation_LCIA!O$61*($W275^Transportation_LCIA!O$60)+Transportation_LCIA!O$62</f>
        <v>5.5517459441416292E-5</v>
      </c>
      <c r="AL275" s="137">
        <f>Transportation_LCIA!P$61*($W275^Transportation_LCIA!P$60)+Transportation_LCIA!P$62</f>
        <v>2.6860581221176317E-8</v>
      </c>
      <c r="AM275" s="137">
        <f>Transportation_LCIA!Q$61*($W275^Transportation_LCIA!Q$60)+Transportation_LCIA!Q$62</f>
        <v>8.572003918829478E-5</v>
      </c>
      <c r="AN275" s="137">
        <f>Transportation_LCIA!R$61*($W275^Transportation_LCIA!R$60)+Transportation_LCIA!R$62</f>
        <v>2.5377249872512655E-4</v>
      </c>
      <c r="AO275" s="137">
        <f>Transportation_LCIA!S$61*($W275^Transportation_LCIA!S$60)+Transportation_LCIA!S$62</f>
        <v>3.8589551079497523E-6</v>
      </c>
      <c r="AP275" s="137">
        <f>Transportation_LCIA!T$61*($W275^Transportation_LCIA!T$60)+Transportation_LCIA!T$62</f>
        <v>3.8589551079497523E-6</v>
      </c>
      <c r="AQ275" s="137">
        <f>Transportation_LCIA!U$61*($W275^Transportation_LCIA!U$60)+Transportation_LCIA!U$62</f>
        <v>5.432625220229588E-4</v>
      </c>
      <c r="AR275" s="137">
        <f>Transportation_LCIA!V$61*($W275^Transportation_LCIA!V$60)+Transportation_LCIA!V$62</f>
        <v>2.2293415301844236E-4</v>
      </c>
      <c r="AT275" s="137">
        <f>$W275*Y275+$L275*Summary_LCIA!H$32</f>
        <v>304.2857758251123</v>
      </c>
      <c r="AU275" s="137">
        <f>$W275*Z275+$L275*Summary_LCIA!Q$32</f>
        <v>3307.1171966937554</v>
      </c>
      <c r="AV275" s="137">
        <f>$W275*AA275+$L275*Summary_LCIA!R$32</f>
        <v>1.9273889902053871</v>
      </c>
      <c r="AW275" s="137">
        <f>$W275*AB275+$L275*Summary_LCIA!S$32</f>
        <v>303.67324780511234</v>
      </c>
      <c r="AX275" s="137">
        <f>$W275*AC275+$L275*Summary_LCIA!T$32</f>
        <v>76.519051960449261</v>
      </c>
      <c r="AY275" s="137">
        <f>$W275*AD275+$L275*Summary_LCIA!U$32</f>
        <v>2.7753032355028915</v>
      </c>
      <c r="AZ275" s="137">
        <f>$W275*AE275+$L275*Summary_LCIA!V$32</f>
        <v>1.276907828603591E-2</v>
      </c>
      <c r="BA275" s="137">
        <f>$W275*AF275+$L275*Summary_LCIA!W$32</f>
        <v>19.764765570628718</v>
      </c>
      <c r="BB275" s="137">
        <f>$W275*AG275+$L275*Summary_LCIA!X$32</f>
        <v>16.094660626043755</v>
      </c>
      <c r="BC275" s="137">
        <f>$W275*AH275+$L275*Summary_LCIA!Y$32</f>
        <v>2.4115309479335649</v>
      </c>
      <c r="BD275" s="137">
        <f>$W275*AI275+$L275*Summary_LCIA!Z$32</f>
        <v>0.27319001928175879</v>
      </c>
      <c r="BE275" s="137">
        <f>$W275*AJ275+$L275*Summary_LCIA!AA$32</f>
        <v>4.2900417268044668</v>
      </c>
      <c r="BF275" s="137">
        <f>$W275*AK275+$L275*Summary_LCIA!AB$32</f>
        <v>6.1711878738818053E-2</v>
      </c>
      <c r="BG275" s="137">
        <f>$W275*AL275+$L275*Summary_LCIA!AC$32</f>
        <v>3.8095173524206079E-5</v>
      </c>
      <c r="BH275" s="137">
        <f>$W275*AM275+$L275*Summary_LCIA!AD$32</f>
        <v>0.15691618334179708</v>
      </c>
      <c r="BI275" s="137">
        <f>$W275*AN275+$L275*Summary_LCIA!AE$32</f>
        <v>0.41871219598979403</v>
      </c>
      <c r="BJ275" s="137">
        <f>$W275*AO275+$L275*Summary_LCIA!AF$32</f>
        <v>0.12165888350686066</v>
      </c>
      <c r="BK275" s="137">
        <f>$W275*AP275+$L275*Summary_LCIA!AG$32</f>
        <v>1.1590231351860675E-2</v>
      </c>
      <c r="BL275" s="137">
        <f>$W275*AQ275+$L275*Summary_LCIA!AH$32</f>
        <v>1.8396248389668519</v>
      </c>
      <c r="BM275" s="137">
        <f>$W275*AR275+$L275*Summary_LCIA!AI$32</f>
        <v>0.38904749293162061</v>
      </c>
    </row>
    <row r="276" spans="1:65" x14ac:dyDescent="0.25">
      <c r="A276" s="149">
        <v>258</v>
      </c>
      <c r="B276" s="149">
        <v>43</v>
      </c>
      <c r="C276" s="61">
        <v>43.073051999999997</v>
      </c>
      <c r="D276" s="61">
        <v>-89.401229999999998</v>
      </c>
      <c r="E276" s="61" t="s">
        <v>265</v>
      </c>
      <c r="F276" s="149">
        <v>114</v>
      </c>
      <c r="G276" s="61" t="s">
        <v>639</v>
      </c>
      <c r="H276" s="61" t="s">
        <v>640</v>
      </c>
      <c r="I276" s="61">
        <v>42.947552999999999</v>
      </c>
      <c r="J276" s="61">
        <v>-87.896646000000004</v>
      </c>
      <c r="K276" s="61">
        <v>124.3178211</v>
      </c>
      <c r="L276" s="61">
        <v>138.58099999999999</v>
      </c>
      <c r="M276" s="61" t="s">
        <v>617</v>
      </c>
      <c r="N276" s="149">
        <v>42</v>
      </c>
      <c r="O276" s="149">
        <v>43</v>
      </c>
      <c r="P276" s="61" t="s">
        <v>565</v>
      </c>
      <c r="Q276" s="61" t="s">
        <v>555</v>
      </c>
      <c r="R276" s="61">
        <v>40.6895314</v>
      </c>
      <c r="S276" s="61">
        <v>-74.174462399999996</v>
      </c>
      <c r="T276" s="61">
        <v>1501.124</v>
      </c>
      <c r="U276" s="61" t="s">
        <v>617</v>
      </c>
      <c r="V276" s="61" t="s">
        <v>569</v>
      </c>
      <c r="W276" s="61" cm="1">
        <f t="array" ref="W276">getDistance(I276,J276,R276,S276)*SA!$B$12</f>
        <v>1166.0499697420337</v>
      </c>
      <c r="Y276" s="137">
        <f>Transportation_LCIA!C$61*($W276^Transportation_LCIA!C$60)+Transportation_LCIA!C$62</f>
        <v>0.2205702660255735</v>
      </c>
      <c r="Z276" s="137">
        <f>Transportation_LCIA!D$61*($W276^Transportation_LCIA!D$60)+Transportation_LCIA!D$62</f>
        <v>2.2471616479848411</v>
      </c>
      <c r="AA276" s="137">
        <f>Transportation_LCIA!E$61*($W276^Transportation_LCIA!E$60)+Transportation_LCIA!E$62</f>
        <v>1.0271231145182829E-3</v>
      </c>
      <c r="AB276" s="137">
        <f>Transportation_LCIA!F$61*($W276^Transportation_LCIA!F$60)+Transportation_LCIA!F$62</f>
        <v>0.2205702660255735</v>
      </c>
      <c r="AC276" s="137">
        <f>Transportation_LCIA!G$61*($W276^Transportation_LCIA!G$60)+Transportation_LCIA!G$62</f>
        <v>5.256121234153309E-2</v>
      </c>
      <c r="AD276" s="137">
        <f>Transportation_LCIA!H$61*($W276^Transportation_LCIA!H$60)+Transportation_LCIA!H$62</f>
        <v>2.510726033187581E-4</v>
      </c>
      <c r="AE276" s="137">
        <f>Transportation_LCIA!I$61*($W276^Transportation_LCIA!I$60)+Transportation_LCIA!I$62</f>
        <v>5.2744833451662015E-6</v>
      </c>
      <c r="AF276" s="137">
        <f>Transportation_LCIA!J$61*($W276^Transportation_LCIA!J$60)+Transportation_LCIA!J$62</f>
        <v>7.8024507145619901E-3</v>
      </c>
      <c r="AG276" s="137">
        <f>Transportation_LCIA!K$61*($W276^Transportation_LCIA!K$60)+Transportation_LCIA!K$62</f>
        <v>1.1095395379072814E-2</v>
      </c>
      <c r="AH276" s="137">
        <f>Transportation_LCIA!L$61*($W276^Transportation_LCIA!L$60)+Transportation_LCIA!L$62</f>
        <v>2.1625300156677765E-4</v>
      </c>
      <c r="AI276" s="137">
        <f>Transportation_LCIA!M$61*($W276^Transportation_LCIA!M$60)+Transportation_LCIA!M$62</f>
        <v>2.2941293940596699E-4</v>
      </c>
      <c r="AJ276" s="137">
        <f>Transportation_LCIA!N$61*($W276^Transportation_LCIA!N$60)+Transportation_LCIA!N$62</f>
        <v>9.0334369721522265E-4</v>
      </c>
      <c r="AK276" s="137">
        <f>Transportation_LCIA!O$61*($W276^Transportation_LCIA!O$60)+Transportation_LCIA!O$62</f>
        <v>5.5517459441416292E-5</v>
      </c>
      <c r="AL276" s="137">
        <f>Transportation_LCIA!P$61*($W276^Transportation_LCIA!P$60)+Transportation_LCIA!P$62</f>
        <v>2.6860581221176317E-8</v>
      </c>
      <c r="AM276" s="137">
        <f>Transportation_LCIA!Q$61*($W276^Transportation_LCIA!Q$60)+Transportation_LCIA!Q$62</f>
        <v>8.572003918829478E-5</v>
      </c>
      <c r="AN276" s="137">
        <f>Transportation_LCIA!R$61*($W276^Transportation_LCIA!R$60)+Transportation_LCIA!R$62</f>
        <v>2.5377249872512655E-4</v>
      </c>
      <c r="AO276" s="137">
        <f>Transportation_LCIA!S$61*($W276^Transportation_LCIA!S$60)+Transportation_LCIA!S$62</f>
        <v>3.8589551079497523E-6</v>
      </c>
      <c r="AP276" s="137">
        <f>Transportation_LCIA!T$61*($W276^Transportation_LCIA!T$60)+Transportation_LCIA!T$62</f>
        <v>3.8589551079497523E-6</v>
      </c>
      <c r="AQ276" s="137">
        <f>Transportation_LCIA!U$61*($W276^Transportation_LCIA!U$60)+Transportation_LCIA!U$62</f>
        <v>5.432625220229588E-4</v>
      </c>
      <c r="AR276" s="137">
        <f>Transportation_LCIA!V$61*($W276^Transportation_LCIA!V$60)+Transportation_LCIA!V$62</f>
        <v>2.2293415301844236E-4</v>
      </c>
      <c r="AT276" s="137">
        <f>$W276*Y276+$L276*Summary_LCIA!H$32</f>
        <v>304.2857758251123</v>
      </c>
      <c r="AU276" s="137">
        <f>$W276*Z276+$L276*Summary_LCIA!Q$32</f>
        <v>3307.1171966937554</v>
      </c>
      <c r="AV276" s="137">
        <f>$W276*AA276+$L276*Summary_LCIA!R$32</f>
        <v>1.9273889902053871</v>
      </c>
      <c r="AW276" s="137">
        <f>$W276*AB276+$L276*Summary_LCIA!S$32</f>
        <v>303.67324780511234</v>
      </c>
      <c r="AX276" s="137">
        <f>$W276*AC276+$L276*Summary_LCIA!T$32</f>
        <v>76.519051960449261</v>
      </c>
      <c r="AY276" s="137">
        <f>$W276*AD276+$L276*Summary_LCIA!U$32</f>
        <v>2.7753032355028915</v>
      </c>
      <c r="AZ276" s="137">
        <f>$W276*AE276+$L276*Summary_LCIA!V$32</f>
        <v>1.276907828603591E-2</v>
      </c>
      <c r="BA276" s="137">
        <f>$W276*AF276+$L276*Summary_LCIA!W$32</f>
        <v>19.764765570628718</v>
      </c>
      <c r="BB276" s="137">
        <f>$W276*AG276+$L276*Summary_LCIA!X$32</f>
        <v>16.094660626043755</v>
      </c>
      <c r="BC276" s="137">
        <f>$W276*AH276+$L276*Summary_LCIA!Y$32</f>
        <v>2.4115309479335649</v>
      </c>
      <c r="BD276" s="137">
        <f>$W276*AI276+$L276*Summary_LCIA!Z$32</f>
        <v>0.27319001928175879</v>
      </c>
      <c r="BE276" s="137">
        <f>$W276*AJ276+$L276*Summary_LCIA!AA$32</f>
        <v>4.2900417268044668</v>
      </c>
      <c r="BF276" s="137">
        <f>$W276*AK276+$L276*Summary_LCIA!AB$32</f>
        <v>6.1711878738818053E-2</v>
      </c>
      <c r="BG276" s="137">
        <f>$W276*AL276+$L276*Summary_LCIA!AC$32</f>
        <v>3.8095173524206079E-5</v>
      </c>
      <c r="BH276" s="137">
        <f>$W276*AM276+$L276*Summary_LCIA!AD$32</f>
        <v>0.15691618334179708</v>
      </c>
      <c r="BI276" s="137">
        <f>$W276*AN276+$L276*Summary_LCIA!AE$32</f>
        <v>0.41871219598979403</v>
      </c>
      <c r="BJ276" s="137">
        <f>$W276*AO276+$L276*Summary_LCIA!AF$32</f>
        <v>0.12165888350686066</v>
      </c>
      <c r="BK276" s="137">
        <f>$W276*AP276+$L276*Summary_LCIA!AG$32</f>
        <v>1.1590231351860675E-2</v>
      </c>
      <c r="BL276" s="137">
        <f>$W276*AQ276+$L276*Summary_LCIA!AH$32</f>
        <v>1.8396248389668519</v>
      </c>
      <c r="BM276" s="137">
        <f>$W276*AR276+$L276*Summary_LCIA!AI$32</f>
        <v>0.38904749293162061</v>
      </c>
    </row>
    <row r="277" spans="1:65" x14ac:dyDescent="0.25">
      <c r="A277" s="149">
        <v>259</v>
      </c>
      <c r="B277" s="149">
        <v>43</v>
      </c>
      <c r="C277" s="61">
        <v>43.073051999999997</v>
      </c>
      <c r="D277" s="61">
        <v>-89.401229999999998</v>
      </c>
      <c r="E277" s="61" t="s">
        <v>265</v>
      </c>
      <c r="F277" s="149">
        <v>114</v>
      </c>
      <c r="G277" s="61" t="s">
        <v>639</v>
      </c>
      <c r="H277" s="61" t="s">
        <v>640</v>
      </c>
      <c r="I277" s="61">
        <v>42.947552999999999</v>
      </c>
      <c r="J277" s="61">
        <v>-87.896646000000004</v>
      </c>
      <c r="K277" s="61">
        <v>124.3178211</v>
      </c>
      <c r="L277" s="61">
        <v>138.58099999999999</v>
      </c>
      <c r="M277" s="61" t="s">
        <v>617</v>
      </c>
      <c r="N277" s="149">
        <v>42</v>
      </c>
      <c r="O277" s="149">
        <v>43</v>
      </c>
      <c r="P277" s="61" t="s">
        <v>565</v>
      </c>
      <c r="Q277" s="61" t="s">
        <v>555</v>
      </c>
      <c r="R277" s="61">
        <v>40.6895314</v>
      </c>
      <c r="S277" s="61">
        <v>-74.174462399999996</v>
      </c>
      <c r="T277" s="61">
        <v>1501.124</v>
      </c>
      <c r="U277" s="61" t="s">
        <v>617</v>
      </c>
      <c r="V277" s="61" t="s">
        <v>569</v>
      </c>
      <c r="W277" s="61" cm="1">
        <f t="array" ref="W277">getDistance(I277,J277,R277,S277)*SA!$B$12</f>
        <v>1166.0499697420337</v>
      </c>
      <c r="Y277" s="137">
        <f>Transportation_LCIA!C$61*($W277^Transportation_LCIA!C$60)+Transportation_LCIA!C$62</f>
        <v>0.2205702660255735</v>
      </c>
      <c r="Z277" s="137">
        <f>Transportation_LCIA!D$61*($W277^Transportation_LCIA!D$60)+Transportation_LCIA!D$62</f>
        <v>2.2471616479848411</v>
      </c>
      <c r="AA277" s="137">
        <f>Transportation_LCIA!E$61*($W277^Transportation_LCIA!E$60)+Transportation_LCIA!E$62</f>
        <v>1.0271231145182829E-3</v>
      </c>
      <c r="AB277" s="137">
        <f>Transportation_LCIA!F$61*($W277^Transportation_LCIA!F$60)+Transportation_LCIA!F$62</f>
        <v>0.2205702660255735</v>
      </c>
      <c r="AC277" s="137">
        <f>Transportation_LCIA!G$61*($W277^Transportation_LCIA!G$60)+Transportation_LCIA!G$62</f>
        <v>5.256121234153309E-2</v>
      </c>
      <c r="AD277" s="137">
        <f>Transportation_LCIA!H$61*($W277^Transportation_LCIA!H$60)+Transportation_LCIA!H$62</f>
        <v>2.510726033187581E-4</v>
      </c>
      <c r="AE277" s="137">
        <f>Transportation_LCIA!I$61*($W277^Transportation_LCIA!I$60)+Transportation_LCIA!I$62</f>
        <v>5.2744833451662015E-6</v>
      </c>
      <c r="AF277" s="137">
        <f>Transportation_LCIA!J$61*($W277^Transportation_LCIA!J$60)+Transportation_LCIA!J$62</f>
        <v>7.8024507145619901E-3</v>
      </c>
      <c r="AG277" s="137">
        <f>Transportation_LCIA!K$61*($W277^Transportation_LCIA!K$60)+Transportation_LCIA!K$62</f>
        <v>1.1095395379072814E-2</v>
      </c>
      <c r="AH277" s="137">
        <f>Transportation_LCIA!L$61*($W277^Transportation_LCIA!L$60)+Transportation_LCIA!L$62</f>
        <v>2.1625300156677765E-4</v>
      </c>
      <c r="AI277" s="137">
        <f>Transportation_LCIA!M$61*($W277^Transportation_LCIA!M$60)+Transportation_LCIA!M$62</f>
        <v>2.2941293940596699E-4</v>
      </c>
      <c r="AJ277" s="137">
        <f>Transportation_LCIA!N$61*($W277^Transportation_LCIA!N$60)+Transportation_LCIA!N$62</f>
        <v>9.0334369721522265E-4</v>
      </c>
      <c r="AK277" s="137">
        <f>Transportation_LCIA!O$61*($W277^Transportation_LCIA!O$60)+Transportation_LCIA!O$62</f>
        <v>5.5517459441416292E-5</v>
      </c>
      <c r="AL277" s="137">
        <f>Transportation_LCIA!P$61*($W277^Transportation_LCIA!P$60)+Transportation_LCIA!P$62</f>
        <v>2.6860581221176317E-8</v>
      </c>
      <c r="AM277" s="137">
        <f>Transportation_LCIA!Q$61*($W277^Transportation_LCIA!Q$60)+Transportation_LCIA!Q$62</f>
        <v>8.572003918829478E-5</v>
      </c>
      <c r="AN277" s="137">
        <f>Transportation_LCIA!R$61*($W277^Transportation_LCIA!R$60)+Transportation_LCIA!R$62</f>
        <v>2.5377249872512655E-4</v>
      </c>
      <c r="AO277" s="137">
        <f>Transportation_LCIA!S$61*($W277^Transportation_LCIA!S$60)+Transportation_LCIA!S$62</f>
        <v>3.8589551079497523E-6</v>
      </c>
      <c r="AP277" s="137">
        <f>Transportation_LCIA!T$61*($W277^Transportation_LCIA!T$60)+Transportation_LCIA!T$62</f>
        <v>3.8589551079497523E-6</v>
      </c>
      <c r="AQ277" s="137">
        <f>Transportation_LCIA!U$61*($W277^Transportation_LCIA!U$60)+Transportation_LCIA!U$62</f>
        <v>5.432625220229588E-4</v>
      </c>
      <c r="AR277" s="137">
        <f>Transportation_LCIA!V$61*($W277^Transportation_LCIA!V$60)+Transportation_LCIA!V$62</f>
        <v>2.2293415301844236E-4</v>
      </c>
      <c r="AT277" s="137">
        <f>$W277*Y277+$L277*Summary_LCIA!H$32</f>
        <v>304.2857758251123</v>
      </c>
      <c r="AU277" s="137">
        <f>$W277*Z277+$L277*Summary_LCIA!Q$32</f>
        <v>3307.1171966937554</v>
      </c>
      <c r="AV277" s="137">
        <f>$W277*AA277+$L277*Summary_LCIA!R$32</f>
        <v>1.9273889902053871</v>
      </c>
      <c r="AW277" s="137">
        <f>$W277*AB277+$L277*Summary_LCIA!S$32</f>
        <v>303.67324780511234</v>
      </c>
      <c r="AX277" s="137">
        <f>$W277*AC277+$L277*Summary_LCIA!T$32</f>
        <v>76.519051960449261</v>
      </c>
      <c r="AY277" s="137">
        <f>$W277*AD277+$L277*Summary_LCIA!U$32</f>
        <v>2.7753032355028915</v>
      </c>
      <c r="AZ277" s="137">
        <f>$W277*AE277+$L277*Summary_LCIA!V$32</f>
        <v>1.276907828603591E-2</v>
      </c>
      <c r="BA277" s="137">
        <f>$W277*AF277+$L277*Summary_LCIA!W$32</f>
        <v>19.764765570628718</v>
      </c>
      <c r="BB277" s="137">
        <f>$W277*AG277+$L277*Summary_LCIA!X$32</f>
        <v>16.094660626043755</v>
      </c>
      <c r="BC277" s="137">
        <f>$W277*AH277+$L277*Summary_LCIA!Y$32</f>
        <v>2.4115309479335649</v>
      </c>
      <c r="BD277" s="137">
        <f>$W277*AI277+$L277*Summary_LCIA!Z$32</f>
        <v>0.27319001928175879</v>
      </c>
      <c r="BE277" s="137">
        <f>$W277*AJ277+$L277*Summary_LCIA!AA$32</f>
        <v>4.2900417268044668</v>
      </c>
      <c r="BF277" s="137">
        <f>$W277*AK277+$L277*Summary_LCIA!AB$32</f>
        <v>6.1711878738818053E-2</v>
      </c>
      <c r="BG277" s="137">
        <f>$W277*AL277+$L277*Summary_LCIA!AC$32</f>
        <v>3.8095173524206079E-5</v>
      </c>
      <c r="BH277" s="137">
        <f>$W277*AM277+$L277*Summary_LCIA!AD$32</f>
        <v>0.15691618334179708</v>
      </c>
      <c r="BI277" s="137">
        <f>$W277*AN277+$L277*Summary_LCIA!AE$32</f>
        <v>0.41871219598979403</v>
      </c>
      <c r="BJ277" s="137">
        <f>$W277*AO277+$L277*Summary_LCIA!AF$32</f>
        <v>0.12165888350686066</v>
      </c>
      <c r="BK277" s="137">
        <f>$W277*AP277+$L277*Summary_LCIA!AG$32</f>
        <v>1.1590231351860675E-2</v>
      </c>
      <c r="BL277" s="137">
        <f>$W277*AQ277+$L277*Summary_LCIA!AH$32</f>
        <v>1.8396248389668519</v>
      </c>
      <c r="BM277" s="137">
        <f>$W277*AR277+$L277*Summary_LCIA!AI$32</f>
        <v>0.38904749293162061</v>
      </c>
    </row>
    <row r="278" spans="1:65" x14ac:dyDescent="0.25">
      <c r="A278" s="149">
        <v>260</v>
      </c>
      <c r="B278" s="149">
        <v>43</v>
      </c>
      <c r="C278" s="61">
        <v>43.073051999999997</v>
      </c>
      <c r="D278" s="61">
        <v>-89.401229999999998</v>
      </c>
      <c r="E278" s="61" t="s">
        <v>265</v>
      </c>
      <c r="F278" s="149">
        <v>114</v>
      </c>
      <c r="G278" s="61" t="s">
        <v>639</v>
      </c>
      <c r="H278" s="61" t="s">
        <v>640</v>
      </c>
      <c r="I278" s="61">
        <v>42.947552999999999</v>
      </c>
      <c r="J278" s="61">
        <v>-87.896646000000004</v>
      </c>
      <c r="K278" s="61">
        <v>124.3178211</v>
      </c>
      <c r="L278" s="61">
        <v>138.58099999999999</v>
      </c>
      <c r="M278" s="61" t="s">
        <v>617</v>
      </c>
      <c r="N278" s="149">
        <v>42</v>
      </c>
      <c r="O278" s="149">
        <v>43</v>
      </c>
      <c r="P278" s="61" t="s">
        <v>565</v>
      </c>
      <c r="Q278" s="61" t="s">
        <v>555</v>
      </c>
      <c r="R278" s="61">
        <v>40.6895314</v>
      </c>
      <c r="S278" s="61">
        <v>-74.174462399999996</v>
      </c>
      <c r="T278" s="61">
        <v>1501.124</v>
      </c>
      <c r="U278" s="61" t="s">
        <v>617</v>
      </c>
      <c r="V278" s="61" t="s">
        <v>569</v>
      </c>
      <c r="W278" s="61" cm="1">
        <f t="array" ref="W278">getDistance(I278,J278,R278,S278)*SA!$B$12</f>
        <v>1166.0499697420337</v>
      </c>
      <c r="Y278" s="137">
        <f>Transportation_LCIA!C$61*($W278^Transportation_LCIA!C$60)+Transportation_LCIA!C$62</f>
        <v>0.2205702660255735</v>
      </c>
      <c r="Z278" s="137">
        <f>Transportation_LCIA!D$61*($W278^Transportation_LCIA!D$60)+Transportation_LCIA!D$62</f>
        <v>2.2471616479848411</v>
      </c>
      <c r="AA278" s="137">
        <f>Transportation_LCIA!E$61*($W278^Transportation_LCIA!E$60)+Transportation_LCIA!E$62</f>
        <v>1.0271231145182829E-3</v>
      </c>
      <c r="AB278" s="137">
        <f>Transportation_LCIA!F$61*($W278^Transportation_LCIA!F$60)+Transportation_LCIA!F$62</f>
        <v>0.2205702660255735</v>
      </c>
      <c r="AC278" s="137">
        <f>Transportation_LCIA!G$61*($W278^Transportation_LCIA!G$60)+Transportation_LCIA!G$62</f>
        <v>5.256121234153309E-2</v>
      </c>
      <c r="AD278" s="137">
        <f>Transportation_LCIA!H$61*($W278^Transportation_LCIA!H$60)+Transportation_LCIA!H$62</f>
        <v>2.510726033187581E-4</v>
      </c>
      <c r="AE278" s="137">
        <f>Transportation_LCIA!I$61*($W278^Transportation_LCIA!I$60)+Transportation_LCIA!I$62</f>
        <v>5.2744833451662015E-6</v>
      </c>
      <c r="AF278" s="137">
        <f>Transportation_LCIA!J$61*($W278^Transportation_LCIA!J$60)+Transportation_LCIA!J$62</f>
        <v>7.8024507145619901E-3</v>
      </c>
      <c r="AG278" s="137">
        <f>Transportation_LCIA!K$61*($W278^Transportation_LCIA!K$60)+Transportation_LCIA!K$62</f>
        <v>1.1095395379072814E-2</v>
      </c>
      <c r="AH278" s="137">
        <f>Transportation_LCIA!L$61*($W278^Transportation_LCIA!L$60)+Transportation_LCIA!L$62</f>
        <v>2.1625300156677765E-4</v>
      </c>
      <c r="AI278" s="137">
        <f>Transportation_LCIA!M$61*($W278^Transportation_LCIA!M$60)+Transportation_LCIA!M$62</f>
        <v>2.2941293940596699E-4</v>
      </c>
      <c r="AJ278" s="137">
        <f>Transportation_LCIA!N$61*($W278^Transportation_LCIA!N$60)+Transportation_LCIA!N$62</f>
        <v>9.0334369721522265E-4</v>
      </c>
      <c r="AK278" s="137">
        <f>Transportation_LCIA!O$61*($W278^Transportation_LCIA!O$60)+Transportation_LCIA!O$62</f>
        <v>5.5517459441416292E-5</v>
      </c>
      <c r="AL278" s="137">
        <f>Transportation_LCIA!P$61*($W278^Transportation_LCIA!P$60)+Transportation_LCIA!P$62</f>
        <v>2.6860581221176317E-8</v>
      </c>
      <c r="AM278" s="137">
        <f>Transportation_LCIA!Q$61*($W278^Transportation_LCIA!Q$60)+Transportation_LCIA!Q$62</f>
        <v>8.572003918829478E-5</v>
      </c>
      <c r="AN278" s="137">
        <f>Transportation_LCIA!R$61*($W278^Transportation_LCIA!R$60)+Transportation_LCIA!R$62</f>
        <v>2.5377249872512655E-4</v>
      </c>
      <c r="AO278" s="137">
        <f>Transportation_LCIA!S$61*($W278^Transportation_LCIA!S$60)+Transportation_LCIA!S$62</f>
        <v>3.8589551079497523E-6</v>
      </c>
      <c r="AP278" s="137">
        <f>Transportation_LCIA!T$61*($W278^Transportation_LCIA!T$60)+Transportation_LCIA!T$62</f>
        <v>3.8589551079497523E-6</v>
      </c>
      <c r="AQ278" s="137">
        <f>Transportation_LCIA!U$61*($W278^Transportation_LCIA!U$60)+Transportation_LCIA!U$62</f>
        <v>5.432625220229588E-4</v>
      </c>
      <c r="AR278" s="137">
        <f>Transportation_LCIA!V$61*($W278^Transportation_LCIA!V$60)+Transportation_LCIA!V$62</f>
        <v>2.2293415301844236E-4</v>
      </c>
      <c r="AT278" s="137">
        <f>$W278*Y278+$L278*Summary_LCIA!H$32</f>
        <v>304.2857758251123</v>
      </c>
      <c r="AU278" s="137">
        <f>$W278*Z278+$L278*Summary_LCIA!Q$32</f>
        <v>3307.1171966937554</v>
      </c>
      <c r="AV278" s="137">
        <f>$W278*AA278+$L278*Summary_LCIA!R$32</f>
        <v>1.9273889902053871</v>
      </c>
      <c r="AW278" s="137">
        <f>$W278*AB278+$L278*Summary_LCIA!S$32</f>
        <v>303.67324780511234</v>
      </c>
      <c r="AX278" s="137">
        <f>$W278*AC278+$L278*Summary_LCIA!T$32</f>
        <v>76.519051960449261</v>
      </c>
      <c r="AY278" s="137">
        <f>$W278*AD278+$L278*Summary_LCIA!U$32</f>
        <v>2.7753032355028915</v>
      </c>
      <c r="AZ278" s="137">
        <f>$W278*AE278+$L278*Summary_LCIA!V$32</f>
        <v>1.276907828603591E-2</v>
      </c>
      <c r="BA278" s="137">
        <f>$W278*AF278+$L278*Summary_LCIA!W$32</f>
        <v>19.764765570628718</v>
      </c>
      <c r="BB278" s="137">
        <f>$W278*AG278+$L278*Summary_LCIA!X$32</f>
        <v>16.094660626043755</v>
      </c>
      <c r="BC278" s="137">
        <f>$W278*AH278+$L278*Summary_LCIA!Y$32</f>
        <v>2.4115309479335649</v>
      </c>
      <c r="BD278" s="137">
        <f>$W278*AI278+$L278*Summary_LCIA!Z$32</f>
        <v>0.27319001928175879</v>
      </c>
      <c r="BE278" s="137">
        <f>$W278*AJ278+$L278*Summary_LCIA!AA$32</f>
        <v>4.2900417268044668</v>
      </c>
      <c r="BF278" s="137">
        <f>$W278*AK278+$L278*Summary_LCIA!AB$32</f>
        <v>6.1711878738818053E-2</v>
      </c>
      <c r="BG278" s="137">
        <f>$W278*AL278+$L278*Summary_LCIA!AC$32</f>
        <v>3.8095173524206079E-5</v>
      </c>
      <c r="BH278" s="137">
        <f>$W278*AM278+$L278*Summary_LCIA!AD$32</f>
        <v>0.15691618334179708</v>
      </c>
      <c r="BI278" s="137">
        <f>$W278*AN278+$L278*Summary_LCIA!AE$32</f>
        <v>0.41871219598979403</v>
      </c>
      <c r="BJ278" s="137">
        <f>$W278*AO278+$L278*Summary_LCIA!AF$32</f>
        <v>0.12165888350686066</v>
      </c>
      <c r="BK278" s="137">
        <f>$W278*AP278+$L278*Summary_LCIA!AG$32</f>
        <v>1.1590231351860675E-2</v>
      </c>
      <c r="BL278" s="137">
        <f>$W278*AQ278+$L278*Summary_LCIA!AH$32</f>
        <v>1.8396248389668519</v>
      </c>
      <c r="BM278" s="137">
        <f>$W278*AR278+$L278*Summary_LCIA!AI$32</f>
        <v>0.38904749293162061</v>
      </c>
    </row>
    <row r="279" spans="1:65" x14ac:dyDescent="0.25">
      <c r="A279" s="149">
        <v>261</v>
      </c>
      <c r="B279" s="149">
        <v>43</v>
      </c>
      <c r="C279" s="61">
        <v>43.073051999999997</v>
      </c>
      <c r="D279" s="61">
        <v>-89.401229999999998</v>
      </c>
      <c r="E279" s="61" t="s">
        <v>265</v>
      </c>
      <c r="F279" s="149">
        <v>114</v>
      </c>
      <c r="G279" s="61" t="s">
        <v>639</v>
      </c>
      <c r="H279" s="61" t="s">
        <v>640</v>
      </c>
      <c r="I279" s="61">
        <v>42.947552999999999</v>
      </c>
      <c r="J279" s="61">
        <v>-87.896646000000004</v>
      </c>
      <c r="K279" s="61">
        <v>124.3178211</v>
      </c>
      <c r="L279" s="61">
        <v>138.58099999999999</v>
      </c>
      <c r="M279" s="61" t="s">
        <v>617</v>
      </c>
      <c r="N279" s="149">
        <v>42</v>
      </c>
      <c r="O279" s="149">
        <v>43</v>
      </c>
      <c r="P279" s="61" t="s">
        <v>565</v>
      </c>
      <c r="Q279" s="61" t="s">
        <v>555</v>
      </c>
      <c r="R279" s="61">
        <v>40.6895314</v>
      </c>
      <c r="S279" s="61">
        <v>-74.174462399999996</v>
      </c>
      <c r="T279" s="61">
        <v>1501.124</v>
      </c>
      <c r="U279" s="61" t="s">
        <v>617</v>
      </c>
      <c r="V279" s="61" t="s">
        <v>569</v>
      </c>
      <c r="W279" s="61" cm="1">
        <f t="array" ref="W279">getDistance(I279,J279,R279,S279)*SA!$B$12</f>
        <v>1166.0499697420337</v>
      </c>
      <c r="Y279" s="137">
        <f>Transportation_LCIA!C$61*($W279^Transportation_LCIA!C$60)+Transportation_LCIA!C$62</f>
        <v>0.2205702660255735</v>
      </c>
      <c r="Z279" s="137">
        <f>Transportation_LCIA!D$61*($W279^Transportation_LCIA!D$60)+Transportation_LCIA!D$62</f>
        <v>2.2471616479848411</v>
      </c>
      <c r="AA279" s="137">
        <f>Transportation_LCIA!E$61*($W279^Transportation_LCIA!E$60)+Transportation_LCIA!E$62</f>
        <v>1.0271231145182829E-3</v>
      </c>
      <c r="AB279" s="137">
        <f>Transportation_LCIA!F$61*($W279^Transportation_LCIA!F$60)+Transportation_LCIA!F$62</f>
        <v>0.2205702660255735</v>
      </c>
      <c r="AC279" s="137">
        <f>Transportation_LCIA!G$61*($W279^Transportation_LCIA!G$60)+Transportation_LCIA!G$62</f>
        <v>5.256121234153309E-2</v>
      </c>
      <c r="AD279" s="137">
        <f>Transportation_LCIA!H$61*($W279^Transportation_LCIA!H$60)+Transportation_LCIA!H$62</f>
        <v>2.510726033187581E-4</v>
      </c>
      <c r="AE279" s="137">
        <f>Transportation_LCIA!I$61*($W279^Transportation_LCIA!I$60)+Transportation_LCIA!I$62</f>
        <v>5.2744833451662015E-6</v>
      </c>
      <c r="AF279" s="137">
        <f>Transportation_LCIA!J$61*($W279^Transportation_LCIA!J$60)+Transportation_LCIA!J$62</f>
        <v>7.8024507145619901E-3</v>
      </c>
      <c r="AG279" s="137">
        <f>Transportation_LCIA!K$61*($W279^Transportation_LCIA!K$60)+Transportation_LCIA!K$62</f>
        <v>1.1095395379072814E-2</v>
      </c>
      <c r="AH279" s="137">
        <f>Transportation_LCIA!L$61*($W279^Transportation_LCIA!L$60)+Transportation_LCIA!L$62</f>
        <v>2.1625300156677765E-4</v>
      </c>
      <c r="AI279" s="137">
        <f>Transportation_LCIA!M$61*($W279^Transportation_LCIA!M$60)+Transportation_LCIA!M$62</f>
        <v>2.2941293940596699E-4</v>
      </c>
      <c r="AJ279" s="137">
        <f>Transportation_LCIA!N$61*($W279^Transportation_LCIA!N$60)+Transportation_LCIA!N$62</f>
        <v>9.0334369721522265E-4</v>
      </c>
      <c r="AK279" s="137">
        <f>Transportation_LCIA!O$61*($W279^Transportation_LCIA!O$60)+Transportation_LCIA!O$62</f>
        <v>5.5517459441416292E-5</v>
      </c>
      <c r="AL279" s="137">
        <f>Transportation_LCIA!P$61*($W279^Transportation_LCIA!P$60)+Transportation_LCIA!P$62</f>
        <v>2.6860581221176317E-8</v>
      </c>
      <c r="AM279" s="137">
        <f>Transportation_LCIA!Q$61*($W279^Transportation_LCIA!Q$60)+Transportation_LCIA!Q$62</f>
        <v>8.572003918829478E-5</v>
      </c>
      <c r="AN279" s="137">
        <f>Transportation_LCIA!R$61*($W279^Transportation_LCIA!R$60)+Transportation_LCIA!R$62</f>
        <v>2.5377249872512655E-4</v>
      </c>
      <c r="AO279" s="137">
        <f>Transportation_LCIA!S$61*($W279^Transportation_LCIA!S$60)+Transportation_LCIA!S$62</f>
        <v>3.8589551079497523E-6</v>
      </c>
      <c r="AP279" s="137">
        <f>Transportation_LCIA!T$61*($W279^Transportation_LCIA!T$60)+Transportation_LCIA!T$62</f>
        <v>3.8589551079497523E-6</v>
      </c>
      <c r="AQ279" s="137">
        <f>Transportation_LCIA!U$61*($W279^Transportation_LCIA!U$60)+Transportation_LCIA!U$62</f>
        <v>5.432625220229588E-4</v>
      </c>
      <c r="AR279" s="137">
        <f>Transportation_LCIA!V$61*($W279^Transportation_LCIA!V$60)+Transportation_LCIA!V$62</f>
        <v>2.2293415301844236E-4</v>
      </c>
      <c r="AT279" s="137">
        <f>$W279*Y279+$L279*Summary_LCIA!H$32</f>
        <v>304.2857758251123</v>
      </c>
      <c r="AU279" s="137">
        <f>$W279*Z279+$L279*Summary_LCIA!Q$32</f>
        <v>3307.1171966937554</v>
      </c>
      <c r="AV279" s="137">
        <f>$W279*AA279+$L279*Summary_LCIA!R$32</f>
        <v>1.9273889902053871</v>
      </c>
      <c r="AW279" s="137">
        <f>$W279*AB279+$L279*Summary_LCIA!S$32</f>
        <v>303.67324780511234</v>
      </c>
      <c r="AX279" s="137">
        <f>$W279*AC279+$L279*Summary_LCIA!T$32</f>
        <v>76.519051960449261</v>
      </c>
      <c r="AY279" s="137">
        <f>$W279*AD279+$L279*Summary_LCIA!U$32</f>
        <v>2.7753032355028915</v>
      </c>
      <c r="AZ279" s="137">
        <f>$W279*AE279+$L279*Summary_LCIA!V$32</f>
        <v>1.276907828603591E-2</v>
      </c>
      <c r="BA279" s="137">
        <f>$W279*AF279+$L279*Summary_LCIA!W$32</f>
        <v>19.764765570628718</v>
      </c>
      <c r="BB279" s="137">
        <f>$W279*AG279+$L279*Summary_LCIA!X$32</f>
        <v>16.094660626043755</v>
      </c>
      <c r="BC279" s="137">
        <f>$W279*AH279+$L279*Summary_LCIA!Y$32</f>
        <v>2.4115309479335649</v>
      </c>
      <c r="BD279" s="137">
        <f>$W279*AI279+$L279*Summary_LCIA!Z$32</f>
        <v>0.27319001928175879</v>
      </c>
      <c r="BE279" s="137">
        <f>$W279*AJ279+$L279*Summary_LCIA!AA$32</f>
        <v>4.2900417268044668</v>
      </c>
      <c r="BF279" s="137">
        <f>$W279*AK279+$L279*Summary_LCIA!AB$32</f>
        <v>6.1711878738818053E-2</v>
      </c>
      <c r="BG279" s="137">
        <f>$W279*AL279+$L279*Summary_LCIA!AC$32</f>
        <v>3.8095173524206079E-5</v>
      </c>
      <c r="BH279" s="137">
        <f>$W279*AM279+$L279*Summary_LCIA!AD$32</f>
        <v>0.15691618334179708</v>
      </c>
      <c r="BI279" s="137">
        <f>$W279*AN279+$L279*Summary_LCIA!AE$32</f>
        <v>0.41871219598979403</v>
      </c>
      <c r="BJ279" s="137">
        <f>$W279*AO279+$L279*Summary_LCIA!AF$32</f>
        <v>0.12165888350686066</v>
      </c>
      <c r="BK279" s="137">
        <f>$W279*AP279+$L279*Summary_LCIA!AG$32</f>
        <v>1.1590231351860675E-2</v>
      </c>
      <c r="BL279" s="137">
        <f>$W279*AQ279+$L279*Summary_LCIA!AH$32</f>
        <v>1.8396248389668519</v>
      </c>
      <c r="BM279" s="137">
        <f>$W279*AR279+$L279*Summary_LCIA!AI$32</f>
        <v>0.38904749293162061</v>
      </c>
    </row>
    <row r="280" spans="1:65" x14ac:dyDescent="0.25">
      <c r="A280" s="149">
        <v>262</v>
      </c>
      <c r="B280" s="149">
        <v>43</v>
      </c>
      <c r="C280" s="61">
        <v>43.069034000000002</v>
      </c>
      <c r="D280" s="61">
        <v>-89.424563000000006</v>
      </c>
      <c r="E280" s="61" t="s">
        <v>265</v>
      </c>
      <c r="F280" s="149">
        <v>114</v>
      </c>
      <c r="G280" s="61" t="s">
        <v>639</v>
      </c>
      <c r="H280" s="61" t="s">
        <v>640</v>
      </c>
      <c r="I280" s="61">
        <v>42.947552999999999</v>
      </c>
      <c r="J280" s="61">
        <v>-87.896646000000004</v>
      </c>
      <c r="K280" s="61">
        <v>126.0890892</v>
      </c>
      <c r="L280" s="61">
        <v>140.03299999999999</v>
      </c>
      <c r="M280" s="61" t="s">
        <v>617</v>
      </c>
      <c r="N280" s="149">
        <v>42</v>
      </c>
      <c r="O280" s="149">
        <v>43</v>
      </c>
      <c r="P280" s="61" t="s">
        <v>565</v>
      </c>
      <c r="Q280" s="61" t="s">
        <v>555</v>
      </c>
      <c r="R280" s="61">
        <v>40.6895314</v>
      </c>
      <c r="S280" s="61">
        <v>-74.174462399999996</v>
      </c>
      <c r="T280" s="61">
        <v>1501.9570000000001</v>
      </c>
      <c r="U280" s="61" t="s">
        <v>617</v>
      </c>
      <c r="V280" s="61" t="s">
        <v>569</v>
      </c>
      <c r="W280" s="61" cm="1">
        <f t="array" ref="W280">getDistance(I280,J280,R280,S280)*SA!$B$12</f>
        <v>1166.0499697420337</v>
      </c>
      <c r="Y280" s="137">
        <f>Transportation_LCIA!C$61*($W280^Transportation_LCIA!C$60)+Transportation_LCIA!C$62</f>
        <v>0.2205702660255735</v>
      </c>
      <c r="Z280" s="137">
        <f>Transportation_LCIA!D$61*($W280^Transportation_LCIA!D$60)+Transportation_LCIA!D$62</f>
        <v>2.2471616479848411</v>
      </c>
      <c r="AA280" s="137">
        <f>Transportation_LCIA!E$61*($W280^Transportation_LCIA!E$60)+Transportation_LCIA!E$62</f>
        <v>1.0271231145182829E-3</v>
      </c>
      <c r="AB280" s="137">
        <f>Transportation_LCIA!F$61*($W280^Transportation_LCIA!F$60)+Transportation_LCIA!F$62</f>
        <v>0.2205702660255735</v>
      </c>
      <c r="AC280" s="137">
        <f>Transportation_LCIA!G$61*($W280^Transportation_LCIA!G$60)+Transportation_LCIA!G$62</f>
        <v>5.256121234153309E-2</v>
      </c>
      <c r="AD280" s="137">
        <f>Transportation_LCIA!H$61*($W280^Transportation_LCIA!H$60)+Transportation_LCIA!H$62</f>
        <v>2.510726033187581E-4</v>
      </c>
      <c r="AE280" s="137">
        <f>Transportation_LCIA!I$61*($W280^Transportation_LCIA!I$60)+Transportation_LCIA!I$62</f>
        <v>5.2744833451662015E-6</v>
      </c>
      <c r="AF280" s="137">
        <f>Transportation_LCIA!J$61*($W280^Transportation_LCIA!J$60)+Transportation_LCIA!J$62</f>
        <v>7.8024507145619901E-3</v>
      </c>
      <c r="AG280" s="137">
        <f>Transportation_LCIA!K$61*($W280^Transportation_LCIA!K$60)+Transportation_LCIA!K$62</f>
        <v>1.1095395379072814E-2</v>
      </c>
      <c r="AH280" s="137">
        <f>Transportation_LCIA!L$61*($W280^Transportation_LCIA!L$60)+Transportation_LCIA!L$62</f>
        <v>2.1625300156677765E-4</v>
      </c>
      <c r="AI280" s="137">
        <f>Transportation_LCIA!M$61*($W280^Transportation_LCIA!M$60)+Transportation_LCIA!M$62</f>
        <v>2.2941293940596699E-4</v>
      </c>
      <c r="AJ280" s="137">
        <f>Transportation_LCIA!N$61*($W280^Transportation_LCIA!N$60)+Transportation_LCIA!N$62</f>
        <v>9.0334369721522265E-4</v>
      </c>
      <c r="AK280" s="137">
        <f>Transportation_LCIA!O$61*($W280^Transportation_LCIA!O$60)+Transportation_LCIA!O$62</f>
        <v>5.5517459441416292E-5</v>
      </c>
      <c r="AL280" s="137">
        <f>Transportation_LCIA!P$61*($W280^Transportation_LCIA!P$60)+Transportation_LCIA!P$62</f>
        <v>2.6860581221176317E-8</v>
      </c>
      <c r="AM280" s="137">
        <f>Transportation_LCIA!Q$61*($W280^Transportation_LCIA!Q$60)+Transportation_LCIA!Q$62</f>
        <v>8.572003918829478E-5</v>
      </c>
      <c r="AN280" s="137">
        <f>Transportation_LCIA!R$61*($W280^Transportation_LCIA!R$60)+Transportation_LCIA!R$62</f>
        <v>2.5377249872512655E-4</v>
      </c>
      <c r="AO280" s="137">
        <f>Transportation_LCIA!S$61*($W280^Transportation_LCIA!S$60)+Transportation_LCIA!S$62</f>
        <v>3.8589551079497523E-6</v>
      </c>
      <c r="AP280" s="137">
        <f>Transportation_LCIA!T$61*($W280^Transportation_LCIA!T$60)+Transportation_LCIA!T$62</f>
        <v>3.8589551079497523E-6</v>
      </c>
      <c r="AQ280" s="137">
        <f>Transportation_LCIA!U$61*($W280^Transportation_LCIA!U$60)+Transportation_LCIA!U$62</f>
        <v>5.432625220229588E-4</v>
      </c>
      <c r="AR280" s="137">
        <f>Transportation_LCIA!V$61*($W280^Transportation_LCIA!V$60)+Transportation_LCIA!V$62</f>
        <v>2.2293415301844236E-4</v>
      </c>
      <c r="AT280" s="137">
        <f>$W280*Y280+$L280*Summary_LCIA!H$32</f>
        <v>304.7791654251123</v>
      </c>
      <c r="AU280" s="137">
        <f>$W280*Z280+$L280*Summary_LCIA!Q$32</f>
        <v>3314.3133819224713</v>
      </c>
      <c r="AV280" s="137">
        <f>$W280*AA280+$L280*Summary_LCIA!R$32</f>
        <v>1.9350346414053869</v>
      </c>
      <c r="AW280" s="137">
        <f>$W280*AB280+$L280*Summary_LCIA!S$32</f>
        <v>304.1602195651123</v>
      </c>
      <c r="AX280" s="137">
        <f>$W280*AC280+$L280*Summary_LCIA!T$32</f>
        <v>76.678626760449262</v>
      </c>
      <c r="AY280" s="137">
        <f>$W280*AD280+$L280*Summary_LCIA!U$32</f>
        <v>2.8013143635028914</v>
      </c>
      <c r="AZ280" s="137">
        <f>$W280*AE280+$L280*Summary_LCIA!V$32</f>
        <v>1.2838427258035908E-2</v>
      </c>
      <c r="BA280" s="137">
        <f>$W280*AF280+$L280*Summary_LCIA!W$32</f>
        <v>19.876527462628715</v>
      </c>
      <c r="BB280" s="137">
        <f>$W280*AG280+$L280*Summary_LCIA!X$32</f>
        <v>16.127737186043756</v>
      </c>
      <c r="BC280" s="137">
        <f>$W280*AH280+$L280*Summary_LCIA!Y$32</f>
        <v>2.4341560119335646</v>
      </c>
      <c r="BD280" s="137">
        <f>$W280*AI280+$L280*Summary_LCIA!Z$32</f>
        <v>0.27324956434975878</v>
      </c>
      <c r="BE280" s="137">
        <f>$W280*AJ280+$L280*Summary_LCIA!AA$32</f>
        <v>4.3239546388044667</v>
      </c>
      <c r="BF280" s="137">
        <f>$W280*AK280+$L280*Summary_LCIA!AB$32</f>
        <v>6.1680191742818052E-2</v>
      </c>
      <c r="BG280" s="137">
        <f>$W280*AL280+$L280*Summary_LCIA!AC$32</f>
        <v>3.8166153092206081E-5</v>
      </c>
      <c r="BH280" s="137">
        <f>$W280*AM280+$L280*Summary_LCIA!AD$32</f>
        <v>0.15751301342179708</v>
      </c>
      <c r="BI280" s="137">
        <f>$W280*AN280+$L280*Summary_LCIA!AE$32</f>
        <v>0.41999885674979404</v>
      </c>
      <c r="BJ280" s="137">
        <f>$W280*AO280+$L280*Summary_LCIA!AF$32</f>
        <v>0.12288643334686067</v>
      </c>
      <c r="BK280" s="137">
        <f>$W280*AP280+$L280*Summary_LCIA!AG$32</f>
        <v>1.1664522931860676E-2</v>
      </c>
      <c r="BL280" s="137">
        <f>$W280*AQ280+$L280*Summary_LCIA!AH$32</f>
        <v>1.8522624661668521</v>
      </c>
      <c r="BM280" s="137">
        <f>$W280*AR280+$L280*Summary_LCIA!AI$32</f>
        <v>0.39040010353162058</v>
      </c>
    </row>
    <row r="281" spans="1:65" x14ac:dyDescent="0.25">
      <c r="A281" s="149">
        <v>263</v>
      </c>
      <c r="B281" s="149">
        <v>43</v>
      </c>
      <c r="C281" s="61">
        <v>43.069034000000002</v>
      </c>
      <c r="D281" s="61">
        <v>-89.424563000000006</v>
      </c>
      <c r="E281" s="61" t="s">
        <v>265</v>
      </c>
      <c r="F281" s="149">
        <v>114</v>
      </c>
      <c r="G281" s="61" t="s">
        <v>639</v>
      </c>
      <c r="H281" s="61" t="s">
        <v>640</v>
      </c>
      <c r="I281" s="61">
        <v>42.947552999999999</v>
      </c>
      <c r="J281" s="61">
        <v>-87.896646000000004</v>
      </c>
      <c r="K281" s="61">
        <v>126.0890892</v>
      </c>
      <c r="L281" s="61">
        <v>140.03299999999999</v>
      </c>
      <c r="M281" s="61" t="s">
        <v>617</v>
      </c>
      <c r="N281" s="149">
        <v>42</v>
      </c>
      <c r="O281" s="149">
        <v>43</v>
      </c>
      <c r="P281" s="61" t="s">
        <v>565</v>
      </c>
      <c r="Q281" s="61" t="s">
        <v>555</v>
      </c>
      <c r="R281" s="61">
        <v>40.6895314</v>
      </c>
      <c r="S281" s="61">
        <v>-74.174462399999996</v>
      </c>
      <c r="T281" s="61">
        <v>1501.9570000000001</v>
      </c>
      <c r="U281" s="61" t="s">
        <v>617</v>
      </c>
      <c r="V281" s="61" t="s">
        <v>569</v>
      </c>
      <c r="W281" s="61" cm="1">
        <f t="array" ref="W281">getDistance(I281,J281,R281,S281)*SA!$B$12</f>
        <v>1166.0499697420337</v>
      </c>
      <c r="Y281" s="137">
        <f>Transportation_LCIA!C$61*($W281^Transportation_LCIA!C$60)+Transportation_LCIA!C$62</f>
        <v>0.2205702660255735</v>
      </c>
      <c r="Z281" s="137">
        <f>Transportation_LCIA!D$61*($W281^Transportation_LCIA!D$60)+Transportation_LCIA!D$62</f>
        <v>2.2471616479848411</v>
      </c>
      <c r="AA281" s="137">
        <f>Transportation_LCIA!E$61*($W281^Transportation_LCIA!E$60)+Transportation_LCIA!E$62</f>
        <v>1.0271231145182829E-3</v>
      </c>
      <c r="AB281" s="137">
        <f>Transportation_LCIA!F$61*($W281^Transportation_LCIA!F$60)+Transportation_LCIA!F$62</f>
        <v>0.2205702660255735</v>
      </c>
      <c r="AC281" s="137">
        <f>Transportation_LCIA!G$61*($W281^Transportation_LCIA!G$60)+Transportation_LCIA!G$62</f>
        <v>5.256121234153309E-2</v>
      </c>
      <c r="AD281" s="137">
        <f>Transportation_LCIA!H$61*($W281^Transportation_LCIA!H$60)+Transportation_LCIA!H$62</f>
        <v>2.510726033187581E-4</v>
      </c>
      <c r="AE281" s="137">
        <f>Transportation_LCIA!I$61*($W281^Transportation_LCIA!I$60)+Transportation_LCIA!I$62</f>
        <v>5.2744833451662015E-6</v>
      </c>
      <c r="AF281" s="137">
        <f>Transportation_LCIA!J$61*($W281^Transportation_LCIA!J$60)+Transportation_LCIA!J$62</f>
        <v>7.8024507145619901E-3</v>
      </c>
      <c r="AG281" s="137">
        <f>Transportation_LCIA!K$61*($W281^Transportation_LCIA!K$60)+Transportation_LCIA!K$62</f>
        <v>1.1095395379072814E-2</v>
      </c>
      <c r="AH281" s="137">
        <f>Transportation_LCIA!L$61*($W281^Transportation_LCIA!L$60)+Transportation_LCIA!L$62</f>
        <v>2.1625300156677765E-4</v>
      </c>
      <c r="AI281" s="137">
        <f>Transportation_LCIA!M$61*($W281^Transportation_LCIA!M$60)+Transportation_LCIA!M$62</f>
        <v>2.2941293940596699E-4</v>
      </c>
      <c r="AJ281" s="137">
        <f>Transportation_LCIA!N$61*($W281^Transportation_LCIA!N$60)+Transportation_LCIA!N$62</f>
        <v>9.0334369721522265E-4</v>
      </c>
      <c r="AK281" s="137">
        <f>Transportation_LCIA!O$61*($W281^Transportation_LCIA!O$60)+Transportation_LCIA!O$62</f>
        <v>5.5517459441416292E-5</v>
      </c>
      <c r="AL281" s="137">
        <f>Transportation_LCIA!P$61*($W281^Transportation_LCIA!P$60)+Transportation_LCIA!P$62</f>
        <v>2.6860581221176317E-8</v>
      </c>
      <c r="AM281" s="137">
        <f>Transportation_LCIA!Q$61*($W281^Transportation_LCIA!Q$60)+Transportation_LCIA!Q$62</f>
        <v>8.572003918829478E-5</v>
      </c>
      <c r="AN281" s="137">
        <f>Transportation_LCIA!R$61*($W281^Transportation_LCIA!R$60)+Transportation_LCIA!R$62</f>
        <v>2.5377249872512655E-4</v>
      </c>
      <c r="AO281" s="137">
        <f>Transportation_LCIA!S$61*($W281^Transportation_LCIA!S$60)+Transportation_LCIA!S$62</f>
        <v>3.8589551079497523E-6</v>
      </c>
      <c r="AP281" s="137">
        <f>Transportation_LCIA!T$61*($W281^Transportation_LCIA!T$60)+Transportation_LCIA!T$62</f>
        <v>3.8589551079497523E-6</v>
      </c>
      <c r="AQ281" s="137">
        <f>Transportation_LCIA!U$61*($W281^Transportation_LCIA!U$60)+Transportation_LCIA!U$62</f>
        <v>5.432625220229588E-4</v>
      </c>
      <c r="AR281" s="137">
        <f>Transportation_LCIA!V$61*($W281^Transportation_LCIA!V$60)+Transportation_LCIA!V$62</f>
        <v>2.2293415301844236E-4</v>
      </c>
      <c r="AT281" s="137">
        <f>$W281*Y281+$L281*Summary_LCIA!H$32</f>
        <v>304.7791654251123</v>
      </c>
      <c r="AU281" s="137">
        <f>$W281*Z281+$L281*Summary_LCIA!Q$32</f>
        <v>3314.3133819224713</v>
      </c>
      <c r="AV281" s="137">
        <f>$W281*AA281+$L281*Summary_LCIA!R$32</f>
        <v>1.9350346414053869</v>
      </c>
      <c r="AW281" s="137">
        <f>$W281*AB281+$L281*Summary_LCIA!S$32</f>
        <v>304.1602195651123</v>
      </c>
      <c r="AX281" s="137">
        <f>$W281*AC281+$L281*Summary_LCIA!T$32</f>
        <v>76.678626760449262</v>
      </c>
      <c r="AY281" s="137">
        <f>$W281*AD281+$L281*Summary_LCIA!U$32</f>
        <v>2.8013143635028914</v>
      </c>
      <c r="AZ281" s="137">
        <f>$W281*AE281+$L281*Summary_LCIA!V$32</f>
        <v>1.2838427258035908E-2</v>
      </c>
      <c r="BA281" s="137">
        <f>$W281*AF281+$L281*Summary_LCIA!W$32</f>
        <v>19.876527462628715</v>
      </c>
      <c r="BB281" s="137">
        <f>$W281*AG281+$L281*Summary_LCIA!X$32</f>
        <v>16.127737186043756</v>
      </c>
      <c r="BC281" s="137">
        <f>$W281*AH281+$L281*Summary_LCIA!Y$32</f>
        <v>2.4341560119335646</v>
      </c>
      <c r="BD281" s="137">
        <f>$W281*AI281+$L281*Summary_LCIA!Z$32</f>
        <v>0.27324956434975878</v>
      </c>
      <c r="BE281" s="137">
        <f>$W281*AJ281+$L281*Summary_LCIA!AA$32</f>
        <v>4.3239546388044667</v>
      </c>
      <c r="BF281" s="137">
        <f>$W281*AK281+$L281*Summary_LCIA!AB$32</f>
        <v>6.1680191742818052E-2</v>
      </c>
      <c r="BG281" s="137">
        <f>$W281*AL281+$L281*Summary_LCIA!AC$32</f>
        <v>3.8166153092206081E-5</v>
      </c>
      <c r="BH281" s="137">
        <f>$W281*AM281+$L281*Summary_LCIA!AD$32</f>
        <v>0.15751301342179708</v>
      </c>
      <c r="BI281" s="137">
        <f>$W281*AN281+$L281*Summary_LCIA!AE$32</f>
        <v>0.41999885674979404</v>
      </c>
      <c r="BJ281" s="137">
        <f>$W281*AO281+$L281*Summary_LCIA!AF$32</f>
        <v>0.12288643334686067</v>
      </c>
      <c r="BK281" s="137">
        <f>$W281*AP281+$L281*Summary_LCIA!AG$32</f>
        <v>1.1664522931860676E-2</v>
      </c>
      <c r="BL281" s="137">
        <f>$W281*AQ281+$L281*Summary_LCIA!AH$32</f>
        <v>1.8522624661668521</v>
      </c>
      <c r="BM281" s="137">
        <f>$W281*AR281+$L281*Summary_LCIA!AI$32</f>
        <v>0.39040010353162058</v>
      </c>
    </row>
    <row r="282" spans="1:65" x14ac:dyDescent="0.25">
      <c r="A282" s="149">
        <v>264</v>
      </c>
      <c r="B282" s="149">
        <v>43</v>
      </c>
      <c r="C282" s="61">
        <v>43.069034000000002</v>
      </c>
      <c r="D282" s="61">
        <v>-89.424563000000006</v>
      </c>
      <c r="E282" s="61" t="s">
        <v>265</v>
      </c>
      <c r="F282" s="149">
        <v>114</v>
      </c>
      <c r="G282" s="61" t="s">
        <v>639</v>
      </c>
      <c r="H282" s="61" t="s">
        <v>640</v>
      </c>
      <c r="I282" s="61">
        <v>42.947552999999999</v>
      </c>
      <c r="J282" s="61">
        <v>-87.896646000000004</v>
      </c>
      <c r="K282" s="61">
        <v>126.0890892</v>
      </c>
      <c r="L282" s="61">
        <v>140.03299999999999</v>
      </c>
      <c r="M282" s="61" t="s">
        <v>617</v>
      </c>
      <c r="N282" s="149">
        <v>42</v>
      </c>
      <c r="O282" s="149">
        <v>43</v>
      </c>
      <c r="P282" s="61" t="s">
        <v>565</v>
      </c>
      <c r="Q282" s="61" t="s">
        <v>555</v>
      </c>
      <c r="R282" s="61">
        <v>40.6895314</v>
      </c>
      <c r="S282" s="61">
        <v>-74.174462399999996</v>
      </c>
      <c r="T282" s="61">
        <v>1501.9570000000001</v>
      </c>
      <c r="U282" s="61" t="s">
        <v>617</v>
      </c>
      <c r="V282" s="61" t="s">
        <v>569</v>
      </c>
      <c r="W282" s="61" cm="1">
        <f t="array" ref="W282">getDistance(I282,J282,R282,S282)*SA!$B$12</f>
        <v>1166.0499697420337</v>
      </c>
      <c r="Y282" s="137">
        <f>Transportation_LCIA!C$61*($W282^Transportation_LCIA!C$60)+Transportation_LCIA!C$62</f>
        <v>0.2205702660255735</v>
      </c>
      <c r="Z282" s="137">
        <f>Transportation_LCIA!D$61*($W282^Transportation_LCIA!D$60)+Transportation_LCIA!D$62</f>
        <v>2.2471616479848411</v>
      </c>
      <c r="AA282" s="137">
        <f>Transportation_LCIA!E$61*($W282^Transportation_LCIA!E$60)+Transportation_LCIA!E$62</f>
        <v>1.0271231145182829E-3</v>
      </c>
      <c r="AB282" s="137">
        <f>Transportation_LCIA!F$61*($W282^Transportation_LCIA!F$60)+Transportation_LCIA!F$62</f>
        <v>0.2205702660255735</v>
      </c>
      <c r="AC282" s="137">
        <f>Transportation_LCIA!G$61*($W282^Transportation_LCIA!G$60)+Transportation_LCIA!G$62</f>
        <v>5.256121234153309E-2</v>
      </c>
      <c r="AD282" s="137">
        <f>Transportation_LCIA!H$61*($W282^Transportation_LCIA!H$60)+Transportation_LCIA!H$62</f>
        <v>2.510726033187581E-4</v>
      </c>
      <c r="AE282" s="137">
        <f>Transportation_LCIA!I$61*($W282^Transportation_LCIA!I$60)+Transportation_LCIA!I$62</f>
        <v>5.2744833451662015E-6</v>
      </c>
      <c r="AF282" s="137">
        <f>Transportation_LCIA!J$61*($W282^Transportation_LCIA!J$60)+Transportation_LCIA!J$62</f>
        <v>7.8024507145619901E-3</v>
      </c>
      <c r="AG282" s="137">
        <f>Transportation_LCIA!K$61*($W282^Transportation_LCIA!K$60)+Transportation_LCIA!K$62</f>
        <v>1.1095395379072814E-2</v>
      </c>
      <c r="AH282" s="137">
        <f>Transportation_LCIA!L$61*($W282^Transportation_LCIA!L$60)+Transportation_LCIA!L$62</f>
        <v>2.1625300156677765E-4</v>
      </c>
      <c r="AI282" s="137">
        <f>Transportation_LCIA!M$61*($W282^Transportation_LCIA!M$60)+Transportation_LCIA!M$62</f>
        <v>2.2941293940596699E-4</v>
      </c>
      <c r="AJ282" s="137">
        <f>Transportation_LCIA!N$61*($W282^Transportation_LCIA!N$60)+Transportation_LCIA!N$62</f>
        <v>9.0334369721522265E-4</v>
      </c>
      <c r="AK282" s="137">
        <f>Transportation_LCIA!O$61*($W282^Transportation_LCIA!O$60)+Transportation_LCIA!O$62</f>
        <v>5.5517459441416292E-5</v>
      </c>
      <c r="AL282" s="137">
        <f>Transportation_LCIA!P$61*($W282^Transportation_LCIA!P$60)+Transportation_LCIA!P$62</f>
        <v>2.6860581221176317E-8</v>
      </c>
      <c r="AM282" s="137">
        <f>Transportation_LCIA!Q$61*($W282^Transportation_LCIA!Q$60)+Transportation_LCIA!Q$62</f>
        <v>8.572003918829478E-5</v>
      </c>
      <c r="AN282" s="137">
        <f>Transportation_LCIA!R$61*($W282^Transportation_LCIA!R$60)+Transportation_LCIA!R$62</f>
        <v>2.5377249872512655E-4</v>
      </c>
      <c r="AO282" s="137">
        <f>Transportation_LCIA!S$61*($W282^Transportation_LCIA!S$60)+Transportation_LCIA!S$62</f>
        <v>3.8589551079497523E-6</v>
      </c>
      <c r="AP282" s="137">
        <f>Transportation_LCIA!T$61*($W282^Transportation_LCIA!T$60)+Transportation_LCIA!T$62</f>
        <v>3.8589551079497523E-6</v>
      </c>
      <c r="AQ282" s="137">
        <f>Transportation_LCIA!U$61*($W282^Transportation_LCIA!U$60)+Transportation_LCIA!U$62</f>
        <v>5.432625220229588E-4</v>
      </c>
      <c r="AR282" s="137">
        <f>Transportation_LCIA!V$61*($W282^Transportation_LCIA!V$60)+Transportation_LCIA!V$62</f>
        <v>2.2293415301844236E-4</v>
      </c>
      <c r="AT282" s="137">
        <f>$W282*Y282+$L282*Summary_LCIA!H$32</f>
        <v>304.7791654251123</v>
      </c>
      <c r="AU282" s="137">
        <f>$W282*Z282+$L282*Summary_LCIA!Q$32</f>
        <v>3314.3133819224713</v>
      </c>
      <c r="AV282" s="137">
        <f>$W282*AA282+$L282*Summary_LCIA!R$32</f>
        <v>1.9350346414053869</v>
      </c>
      <c r="AW282" s="137">
        <f>$W282*AB282+$L282*Summary_LCIA!S$32</f>
        <v>304.1602195651123</v>
      </c>
      <c r="AX282" s="137">
        <f>$W282*AC282+$L282*Summary_LCIA!T$32</f>
        <v>76.678626760449262</v>
      </c>
      <c r="AY282" s="137">
        <f>$W282*AD282+$L282*Summary_LCIA!U$32</f>
        <v>2.8013143635028914</v>
      </c>
      <c r="AZ282" s="137">
        <f>$W282*AE282+$L282*Summary_LCIA!V$32</f>
        <v>1.2838427258035908E-2</v>
      </c>
      <c r="BA282" s="137">
        <f>$W282*AF282+$L282*Summary_LCIA!W$32</f>
        <v>19.876527462628715</v>
      </c>
      <c r="BB282" s="137">
        <f>$W282*AG282+$L282*Summary_LCIA!X$32</f>
        <v>16.127737186043756</v>
      </c>
      <c r="BC282" s="137">
        <f>$W282*AH282+$L282*Summary_LCIA!Y$32</f>
        <v>2.4341560119335646</v>
      </c>
      <c r="BD282" s="137">
        <f>$W282*AI282+$L282*Summary_LCIA!Z$32</f>
        <v>0.27324956434975878</v>
      </c>
      <c r="BE282" s="137">
        <f>$W282*AJ282+$L282*Summary_LCIA!AA$32</f>
        <v>4.3239546388044667</v>
      </c>
      <c r="BF282" s="137">
        <f>$W282*AK282+$L282*Summary_LCIA!AB$32</f>
        <v>6.1680191742818052E-2</v>
      </c>
      <c r="BG282" s="137">
        <f>$W282*AL282+$L282*Summary_LCIA!AC$32</f>
        <v>3.8166153092206081E-5</v>
      </c>
      <c r="BH282" s="137">
        <f>$W282*AM282+$L282*Summary_LCIA!AD$32</f>
        <v>0.15751301342179708</v>
      </c>
      <c r="BI282" s="137">
        <f>$W282*AN282+$L282*Summary_LCIA!AE$32</f>
        <v>0.41999885674979404</v>
      </c>
      <c r="BJ282" s="137">
        <f>$W282*AO282+$L282*Summary_LCIA!AF$32</f>
        <v>0.12288643334686067</v>
      </c>
      <c r="BK282" s="137">
        <f>$W282*AP282+$L282*Summary_LCIA!AG$32</f>
        <v>1.1664522931860676E-2</v>
      </c>
      <c r="BL282" s="137">
        <f>$W282*AQ282+$L282*Summary_LCIA!AH$32</f>
        <v>1.8522624661668521</v>
      </c>
      <c r="BM282" s="137">
        <f>$W282*AR282+$L282*Summary_LCIA!AI$32</f>
        <v>0.39040010353162058</v>
      </c>
    </row>
    <row r="283" spans="1:65" x14ac:dyDescent="0.25">
      <c r="A283" s="149">
        <v>265</v>
      </c>
      <c r="B283" s="149">
        <v>43</v>
      </c>
      <c r="C283" s="61">
        <v>43.069034000000002</v>
      </c>
      <c r="D283" s="61">
        <v>-89.424563000000006</v>
      </c>
      <c r="E283" s="61" t="s">
        <v>265</v>
      </c>
      <c r="F283" s="149">
        <v>114</v>
      </c>
      <c r="G283" s="61" t="s">
        <v>639</v>
      </c>
      <c r="H283" s="61" t="s">
        <v>640</v>
      </c>
      <c r="I283" s="61">
        <v>42.947552999999999</v>
      </c>
      <c r="J283" s="61">
        <v>-87.896646000000004</v>
      </c>
      <c r="K283" s="61">
        <v>126.0890892</v>
      </c>
      <c r="L283" s="61">
        <v>140.03299999999999</v>
      </c>
      <c r="M283" s="61" t="s">
        <v>617</v>
      </c>
      <c r="N283" s="149">
        <v>42</v>
      </c>
      <c r="O283" s="149">
        <v>43</v>
      </c>
      <c r="P283" s="61" t="s">
        <v>565</v>
      </c>
      <c r="Q283" s="61" t="s">
        <v>555</v>
      </c>
      <c r="R283" s="61">
        <v>40.6895314</v>
      </c>
      <c r="S283" s="61">
        <v>-74.174462399999996</v>
      </c>
      <c r="T283" s="61">
        <v>1501.9570000000001</v>
      </c>
      <c r="U283" s="61" t="s">
        <v>617</v>
      </c>
      <c r="V283" s="61" t="s">
        <v>569</v>
      </c>
      <c r="W283" s="61" cm="1">
        <f t="array" ref="W283">getDistance(I283,J283,R283,S283)*SA!$B$12</f>
        <v>1166.0499697420337</v>
      </c>
      <c r="Y283" s="137">
        <f>Transportation_LCIA!C$61*($W283^Transportation_LCIA!C$60)+Transportation_LCIA!C$62</f>
        <v>0.2205702660255735</v>
      </c>
      <c r="Z283" s="137">
        <f>Transportation_LCIA!D$61*($W283^Transportation_LCIA!D$60)+Transportation_LCIA!D$62</f>
        <v>2.2471616479848411</v>
      </c>
      <c r="AA283" s="137">
        <f>Transportation_LCIA!E$61*($W283^Transportation_LCIA!E$60)+Transportation_LCIA!E$62</f>
        <v>1.0271231145182829E-3</v>
      </c>
      <c r="AB283" s="137">
        <f>Transportation_LCIA!F$61*($W283^Transportation_LCIA!F$60)+Transportation_LCIA!F$62</f>
        <v>0.2205702660255735</v>
      </c>
      <c r="AC283" s="137">
        <f>Transportation_LCIA!G$61*($W283^Transportation_LCIA!G$60)+Transportation_LCIA!G$62</f>
        <v>5.256121234153309E-2</v>
      </c>
      <c r="AD283" s="137">
        <f>Transportation_LCIA!H$61*($W283^Transportation_LCIA!H$60)+Transportation_LCIA!H$62</f>
        <v>2.510726033187581E-4</v>
      </c>
      <c r="AE283" s="137">
        <f>Transportation_LCIA!I$61*($W283^Transportation_LCIA!I$60)+Transportation_LCIA!I$62</f>
        <v>5.2744833451662015E-6</v>
      </c>
      <c r="AF283" s="137">
        <f>Transportation_LCIA!J$61*($W283^Transportation_LCIA!J$60)+Transportation_LCIA!J$62</f>
        <v>7.8024507145619901E-3</v>
      </c>
      <c r="AG283" s="137">
        <f>Transportation_LCIA!K$61*($W283^Transportation_LCIA!K$60)+Transportation_LCIA!K$62</f>
        <v>1.1095395379072814E-2</v>
      </c>
      <c r="AH283" s="137">
        <f>Transportation_LCIA!L$61*($W283^Transportation_LCIA!L$60)+Transportation_LCIA!L$62</f>
        <v>2.1625300156677765E-4</v>
      </c>
      <c r="AI283" s="137">
        <f>Transportation_LCIA!M$61*($W283^Transportation_LCIA!M$60)+Transportation_LCIA!M$62</f>
        <v>2.2941293940596699E-4</v>
      </c>
      <c r="AJ283" s="137">
        <f>Transportation_LCIA!N$61*($W283^Transportation_LCIA!N$60)+Transportation_LCIA!N$62</f>
        <v>9.0334369721522265E-4</v>
      </c>
      <c r="AK283" s="137">
        <f>Transportation_LCIA!O$61*($W283^Transportation_LCIA!O$60)+Transportation_LCIA!O$62</f>
        <v>5.5517459441416292E-5</v>
      </c>
      <c r="AL283" s="137">
        <f>Transportation_LCIA!P$61*($W283^Transportation_LCIA!P$60)+Transportation_LCIA!P$62</f>
        <v>2.6860581221176317E-8</v>
      </c>
      <c r="AM283" s="137">
        <f>Transportation_LCIA!Q$61*($W283^Transportation_LCIA!Q$60)+Transportation_LCIA!Q$62</f>
        <v>8.572003918829478E-5</v>
      </c>
      <c r="AN283" s="137">
        <f>Transportation_LCIA!R$61*($W283^Transportation_LCIA!R$60)+Transportation_LCIA!R$62</f>
        <v>2.5377249872512655E-4</v>
      </c>
      <c r="AO283" s="137">
        <f>Transportation_LCIA!S$61*($W283^Transportation_LCIA!S$60)+Transportation_LCIA!S$62</f>
        <v>3.8589551079497523E-6</v>
      </c>
      <c r="AP283" s="137">
        <f>Transportation_LCIA!T$61*($W283^Transportation_LCIA!T$60)+Transportation_LCIA!T$62</f>
        <v>3.8589551079497523E-6</v>
      </c>
      <c r="AQ283" s="137">
        <f>Transportation_LCIA!U$61*($W283^Transportation_LCIA!U$60)+Transportation_LCIA!U$62</f>
        <v>5.432625220229588E-4</v>
      </c>
      <c r="AR283" s="137">
        <f>Transportation_LCIA!V$61*($W283^Transportation_LCIA!V$60)+Transportation_LCIA!V$62</f>
        <v>2.2293415301844236E-4</v>
      </c>
      <c r="AT283" s="137">
        <f>$W283*Y283+$L283*Summary_LCIA!H$32</f>
        <v>304.7791654251123</v>
      </c>
      <c r="AU283" s="137">
        <f>$W283*Z283+$L283*Summary_LCIA!Q$32</f>
        <v>3314.3133819224713</v>
      </c>
      <c r="AV283" s="137">
        <f>$W283*AA283+$L283*Summary_LCIA!R$32</f>
        <v>1.9350346414053869</v>
      </c>
      <c r="AW283" s="137">
        <f>$W283*AB283+$L283*Summary_LCIA!S$32</f>
        <v>304.1602195651123</v>
      </c>
      <c r="AX283" s="137">
        <f>$W283*AC283+$L283*Summary_LCIA!T$32</f>
        <v>76.678626760449262</v>
      </c>
      <c r="AY283" s="137">
        <f>$W283*AD283+$L283*Summary_LCIA!U$32</f>
        <v>2.8013143635028914</v>
      </c>
      <c r="AZ283" s="137">
        <f>$W283*AE283+$L283*Summary_LCIA!V$32</f>
        <v>1.2838427258035908E-2</v>
      </c>
      <c r="BA283" s="137">
        <f>$W283*AF283+$L283*Summary_LCIA!W$32</f>
        <v>19.876527462628715</v>
      </c>
      <c r="BB283" s="137">
        <f>$W283*AG283+$L283*Summary_LCIA!X$32</f>
        <v>16.127737186043756</v>
      </c>
      <c r="BC283" s="137">
        <f>$W283*AH283+$L283*Summary_LCIA!Y$32</f>
        <v>2.4341560119335646</v>
      </c>
      <c r="BD283" s="137">
        <f>$W283*AI283+$L283*Summary_LCIA!Z$32</f>
        <v>0.27324956434975878</v>
      </c>
      <c r="BE283" s="137">
        <f>$W283*AJ283+$L283*Summary_LCIA!AA$32</f>
        <v>4.3239546388044667</v>
      </c>
      <c r="BF283" s="137">
        <f>$W283*AK283+$L283*Summary_LCIA!AB$32</f>
        <v>6.1680191742818052E-2</v>
      </c>
      <c r="BG283" s="137">
        <f>$W283*AL283+$L283*Summary_LCIA!AC$32</f>
        <v>3.8166153092206081E-5</v>
      </c>
      <c r="BH283" s="137">
        <f>$W283*AM283+$L283*Summary_LCIA!AD$32</f>
        <v>0.15751301342179708</v>
      </c>
      <c r="BI283" s="137">
        <f>$W283*AN283+$L283*Summary_LCIA!AE$32</f>
        <v>0.41999885674979404</v>
      </c>
      <c r="BJ283" s="137">
        <f>$W283*AO283+$L283*Summary_LCIA!AF$32</f>
        <v>0.12288643334686067</v>
      </c>
      <c r="BK283" s="137">
        <f>$W283*AP283+$L283*Summary_LCIA!AG$32</f>
        <v>1.1664522931860676E-2</v>
      </c>
      <c r="BL283" s="137">
        <f>$W283*AQ283+$L283*Summary_LCIA!AH$32</f>
        <v>1.8522624661668521</v>
      </c>
      <c r="BM283" s="137">
        <f>$W283*AR283+$L283*Summary_LCIA!AI$32</f>
        <v>0.39040010353162058</v>
      </c>
    </row>
    <row r="284" spans="1:65" x14ac:dyDescent="0.25">
      <c r="A284" s="149">
        <v>266</v>
      </c>
      <c r="B284" s="149">
        <v>43</v>
      </c>
      <c r="C284" s="61">
        <v>43.069034000000002</v>
      </c>
      <c r="D284" s="61">
        <v>-89.424563000000006</v>
      </c>
      <c r="E284" s="61" t="s">
        <v>265</v>
      </c>
      <c r="F284" s="149">
        <v>114</v>
      </c>
      <c r="G284" s="61" t="s">
        <v>639</v>
      </c>
      <c r="H284" s="61" t="s">
        <v>640</v>
      </c>
      <c r="I284" s="61">
        <v>42.947552999999999</v>
      </c>
      <c r="J284" s="61">
        <v>-87.896646000000004</v>
      </c>
      <c r="K284" s="61">
        <v>126.0890892</v>
      </c>
      <c r="L284" s="61">
        <v>140.03299999999999</v>
      </c>
      <c r="M284" s="61" t="s">
        <v>617</v>
      </c>
      <c r="N284" s="149">
        <v>42</v>
      </c>
      <c r="O284" s="149">
        <v>43</v>
      </c>
      <c r="P284" s="61" t="s">
        <v>565</v>
      </c>
      <c r="Q284" s="61" t="s">
        <v>555</v>
      </c>
      <c r="R284" s="61">
        <v>40.6895314</v>
      </c>
      <c r="S284" s="61">
        <v>-74.174462399999996</v>
      </c>
      <c r="T284" s="61">
        <v>1501.9570000000001</v>
      </c>
      <c r="U284" s="61" t="s">
        <v>617</v>
      </c>
      <c r="V284" s="61" t="s">
        <v>569</v>
      </c>
      <c r="W284" s="61" cm="1">
        <f t="array" ref="W284">getDistance(I284,J284,R284,S284)*SA!$B$12</f>
        <v>1166.0499697420337</v>
      </c>
      <c r="Y284" s="137">
        <f>Transportation_LCIA!C$61*($W284^Transportation_LCIA!C$60)+Transportation_LCIA!C$62</f>
        <v>0.2205702660255735</v>
      </c>
      <c r="Z284" s="137">
        <f>Transportation_LCIA!D$61*($W284^Transportation_LCIA!D$60)+Transportation_LCIA!D$62</f>
        <v>2.2471616479848411</v>
      </c>
      <c r="AA284" s="137">
        <f>Transportation_LCIA!E$61*($W284^Transportation_LCIA!E$60)+Transportation_LCIA!E$62</f>
        <v>1.0271231145182829E-3</v>
      </c>
      <c r="AB284" s="137">
        <f>Transportation_LCIA!F$61*($W284^Transportation_LCIA!F$60)+Transportation_LCIA!F$62</f>
        <v>0.2205702660255735</v>
      </c>
      <c r="AC284" s="137">
        <f>Transportation_LCIA!G$61*($W284^Transportation_LCIA!G$60)+Transportation_LCIA!G$62</f>
        <v>5.256121234153309E-2</v>
      </c>
      <c r="AD284" s="137">
        <f>Transportation_LCIA!H$61*($W284^Transportation_LCIA!H$60)+Transportation_LCIA!H$62</f>
        <v>2.510726033187581E-4</v>
      </c>
      <c r="AE284" s="137">
        <f>Transportation_LCIA!I$61*($W284^Transportation_LCIA!I$60)+Transportation_LCIA!I$62</f>
        <v>5.2744833451662015E-6</v>
      </c>
      <c r="AF284" s="137">
        <f>Transportation_LCIA!J$61*($W284^Transportation_LCIA!J$60)+Transportation_LCIA!J$62</f>
        <v>7.8024507145619901E-3</v>
      </c>
      <c r="AG284" s="137">
        <f>Transportation_LCIA!K$61*($W284^Transportation_LCIA!K$60)+Transportation_LCIA!K$62</f>
        <v>1.1095395379072814E-2</v>
      </c>
      <c r="AH284" s="137">
        <f>Transportation_LCIA!L$61*($W284^Transportation_LCIA!L$60)+Transportation_LCIA!L$62</f>
        <v>2.1625300156677765E-4</v>
      </c>
      <c r="AI284" s="137">
        <f>Transportation_LCIA!M$61*($W284^Transportation_LCIA!M$60)+Transportation_LCIA!M$62</f>
        <v>2.2941293940596699E-4</v>
      </c>
      <c r="AJ284" s="137">
        <f>Transportation_LCIA!N$61*($W284^Transportation_LCIA!N$60)+Transportation_LCIA!N$62</f>
        <v>9.0334369721522265E-4</v>
      </c>
      <c r="AK284" s="137">
        <f>Transportation_LCIA!O$61*($W284^Transportation_LCIA!O$60)+Transportation_LCIA!O$62</f>
        <v>5.5517459441416292E-5</v>
      </c>
      <c r="AL284" s="137">
        <f>Transportation_LCIA!P$61*($W284^Transportation_LCIA!P$60)+Transportation_LCIA!P$62</f>
        <v>2.6860581221176317E-8</v>
      </c>
      <c r="AM284" s="137">
        <f>Transportation_LCIA!Q$61*($W284^Transportation_LCIA!Q$60)+Transportation_LCIA!Q$62</f>
        <v>8.572003918829478E-5</v>
      </c>
      <c r="AN284" s="137">
        <f>Transportation_LCIA!R$61*($W284^Transportation_LCIA!R$60)+Transportation_LCIA!R$62</f>
        <v>2.5377249872512655E-4</v>
      </c>
      <c r="AO284" s="137">
        <f>Transportation_LCIA!S$61*($W284^Transportation_LCIA!S$60)+Transportation_LCIA!S$62</f>
        <v>3.8589551079497523E-6</v>
      </c>
      <c r="AP284" s="137">
        <f>Transportation_LCIA!T$61*($W284^Transportation_LCIA!T$60)+Transportation_LCIA!T$62</f>
        <v>3.8589551079497523E-6</v>
      </c>
      <c r="AQ284" s="137">
        <f>Transportation_LCIA!U$61*($W284^Transportation_LCIA!U$60)+Transportation_LCIA!U$62</f>
        <v>5.432625220229588E-4</v>
      </c>
      <c r="AR284" s="137">
        <f>Transportation_LCIA!V$61*($W284^Transportation_LCIA!V$60)+Transportation_LCIA!V$62</f>
        <v>2.2293415301844236E-4</v>
      </c>
      <c r="AT284" s="137">
        <f>$W284*Y284+$L284*Summary_LCIA!H$32</f>
        <v>304.7791654251123</v>
      </c>
      <c r="AU284" s="137">
        <f>$W284*Z284+$L284*Summary_LCIA!Q$32</f>
        <v>3314.3133819224713</v>
      </c>
      <c r="AV284" s="137">
        <f>$W284*AA284+$L284*Summary_LCIA!R$32</f>
        <v>1.9350346414053869</v>
      </c>
      <c r="AW284" s="137">
        <f>$W284*AB284+$L284*Summary_LCIA!S$32</f>
        <v>304.1602195651123</v>
      </c>
      <c r="AX284" s="137">
        <f>$W284*AC284+$L284*Summary_LCIA!T$32</f>
        <v>76.678626760449262</v>
      </c>
      <c r="AY284" s="137">
        <f>$W284*AD284+$L284*Summary_LCIA!U$32</f>
        <v>2.8013143635028914</v>
      </c>
      <c r="AZ284" s="137">
        <f>$W284*AE284+$L284*Summary_LCIA!V$32</f>
        <v>1.2838427258035908E-2</v>
      </c>
      <c r="BA284" s="137">
        <f>$W284*AF284+$L284*Summary_LCIA!W$32</f>
        <v>19.876527462628715</v>
      </c>
      <c r="BB284" s="137">
        <f>$W284*AG284+$L284*Summary_LCIA!X$32</f>
        <v>16.127737186043756</v>
      </c>
      <c r="BC284" s="137">
        <f>$W284*AH284+$L284*Summary_LCIA!Y$32</f>
        <v>2.4341560119335646</v>
      </c>
      <c r="BD284" s="137">
        <f>$W284*AI284+$L284*Summary_LCIA!Z$32</f>
        <v>0.27324956434975878</v>
      </c>
      <c r="BE284" s="137">
        <f>$W284*AJ284+$L284*Summary_LCIA!AA$32</f>
        <v>4.3239546388044667</v>
      </c>
      <c r="BF284" s="137">
        <f>$W284*AK284+$L284*Summary_LCIA!AB$32</f>
        <v>6.1680191742818052E-2</v>
      </c>
      <c r="BG284" s="137">
        <f>$W284*AL284+$L284*Summary_LCIA!AC$32</f>
        <v>3.8166153092206081E-5</v>
      </c>
      <c r="BH284" s="137">
        <f>$W284*AM284+$L284*Summary_LCIA!AD$32</f>
        <v>0.15751301342179708</v>
      </c>
      <c r="BI284" s="137">
        <f>$W284*AN284+$L284*Summary_LCIA!AE$32</f>
        <v>0.41999885674979404</v>
      </c>
      <c r="BJ284" s="137">
        <f>$W284*AO284+$L284*Summary_LCIA!AF$32</f>
        <v>0.12288643334686067</v>
      </c>
      <c r="BK284" s="137">
        <f>$W284*AP284+$L284*Summary_LCIA!AG$32</f>
        <v>1.1664522931860676E-2</v>
      </c>
      <c r="BL284" s="137">
        <f>$W284*AQ284+$L284*Summary_LCIA!AH$32</f>
        <v>1.8522624661668521</v>
      </c>
      <c r="BM284" s="137">
        <f>$W284*AR284+$L284*Summary_LCIA!AI$32</f>
        <v>0.39040010353162058</v>
      </c>
    </row>
    <row r="285" spans="1:65" x14ac:dyDescent="0.25">
      <c r="A285" s="149">
        <v>351</v>
      </c>
      <c r="B285" s="149">
        <v>16</v>
      </c>
      <c r="C285" s="61">
        <v>45.176614999999998</v>
      </c>
      <c r="D285" s="61">
        <v>-92.577832999999998</v>
      </c>
      <c r="E285" s="61" t="s">
        <v>265</v>
      </c>
      <c r="F285" s="149">
        <v>57</v>
      </c>
      <c r="G285" s="61" t="s">
        <v>565</v>
      </c>
      <c r="H285" s="61" t="s">
        <v>641</v>
      </c>
      <c r="I285" s="61">
        <v>44.884754999999998</v>
      </c>
      <c r="J285" s="61">
        <v>-93.222284999999999</v>
      </c>
      <c r="K285" s="61">
        <v>71.451382140000007</v>
      </c>
      <c r="L285" s="61">
        <v>80.105999999999995</v>
      </c>
      <c r="M285" s="61" t="s">
        <v>617</v>
      </c>
      <c r="N285" s="149">
        <v>15</v>
      </c>
      <c r="O285" s="149">
        <v>16</v>
      </c>
      <c r="P285" s="61" t="s">
        <v>565</v>
      </c>
      <c r="Q285" s="61" t="s">
        <v>556</v>
      </c>
      <c r="R285" s="61">
        <v>39.856096299999997</v>
      </c>
      <c r="S285" s="61">
        <v>-104.6737376</v>
      </c>
      <c r="T285" s="61">
        <v>1523.6579999999999</v>
      </c>
      <c r="U285" s="61" t="s">
        <v>617</v>
      </c>
      <c r="V285" s="61" t="s">
        <v>569</v>
      </c>
      <c r="W285" s="61" cm="1">
        <f t="array" ref="W285">getDistance(I285,J285,R285,S285)*SA!$B$12</f>
        <v>1095.2291593571902</v>
      </c>
      <c r="Y285" s="137">
        <f>Transportation_LCIA!C$61*($W285^Transportation_LCIA!C$60)+Transportation_LCIA!C$62</f>
        <v>0.22643586596063625</v>
      </c>
      <c r="Z285" s="137">
        <f>Transportation_LCIA!D$61*($W285^Transportation_LCIA!D$60)+Transportation_LCIA!D$62</f>
        <v>2.3152383446330025</v>
      </c>
      <c r="AA285" s="137">
        <f>Transportation_LCIA!E$61*($W285^Transportation_LCIA!E$60)+Transportation_LCIA!E$62</f>
        <v>1.0718135248526592E-3</v>
      </c>
      <c r="AB285" s="137">
        <f>Transportation_LCIA!F$61*($W285^Transportation_LCIA!F$60)+Transportation_LCIA!F$62</f>
        <v>0.22643586596063625</v>
      </c>
      <c r="AC285" s="137">
        <f>Transportation_LCIA!G$61*($W285^Transportation_LCIA!G$60)+Transportation_LCIA!G$62</f>
        <v>5.4136722701724913E-2</v>
      </c>
      <c r="AD285" s="137">
        <f>Transportation_LCIA!H$61*($W285^Transportation_LCIA!H$60)+Transportation_LCIA!H$62</f>
        <v>2.6086917583078418E-4</v>
      </c>
      <c r="AE285" s="137">
        <f>Transportation_LCIA!I$61*($W285^Transportation_LCIA!I$60)+Transportation_LCIA!I$62</f>
        <v>5.519888965725161E-6</v>
      </c>
      <c r="AF285" s="137">
        <f>Transportation_LCIA!J$61*($W285^Transportation_LCIA!J$60)+Transportation_LCIA!J$62</f>
        <v>8.1667534195131557E-3</v>
      </c>
      <c r="AG285" s="137">
        <f>Transportation_LCIA!K$61*($W285^Transportation_LCIA!K$60)+Transportation_LCIA!K$62</f>
        <v>1.1462152291769032E-2</v>
      </c>
      <c r="AH285" s="137">
        <f>Transportation_LCIA!L$61*($W285^Transportation_LCIA!L$60)+Transportation_LCIA!L$62</f>
        <v>2.2524676760534478E-4</v>
      </c>
      <c r="AI285" s="137">
        <f>Transportation_LCIA!M$61*($W285^Transportation_LCIA!M$60)+Transportation_LCIA!M$62</f>
        <v>2.3481868054350591E-4</v>
      </c>
      <c r="AJ285" s="137">
        <f>Transportation_LCIA!N$61*($W285^Transportation_LCIA!N$60)+Transportation_LCIA!N$62</f>
        <v>9.36294260962703E-4</v>
      </c>
      <c r="AK285" s="137">
        <f>Transportation_LCIA!O$61*($W285^Transportation_LCIA!O$60)+Transportation_LCIA!O$62</f>
        <v>5.7191389214138704E-5</v>
      </c>
      <c r="AL285" s="137">
        <f>Transportation_LCIA!P$61*($W285^Transportation_LCIA!P$60)+Transportation_LCIA!P$62</f>
        <v>2.7665717663945155E-8</v>
      </c>
      <c r="AM285" s="137">
        <f>Transportation_LCIA!Q$61*($W285^Transportation_LCIA!Q$60)+Transportation_LCIA!Q$62</f>
        <v>8.9233959897250381E-5</v>
      </c>
      <c r="AN285" s="137">
        <f>Transportation_LCIA!R$61*($W285^Transportation_LCIA!R$60)+Transportation_LCIA!R$62</f>
        <v>2.6553902712774164E-4</v>
      </c>
      <c r="AO285" s="137">
        <f>Transportation_LCIA!S$61*($W285^Transportation_LCIA!S$60)+Transportation_LCIA!S$62</f>
        <v>4.0259838568156503E-6</v>
      </c>
      <c r="AP285" s="137">
        <f>Transportation_LCIA!T$61*($W285^Transportation_LCIA!T$60)+Transportation_LCIA!T$62</f>
        <v>4.0259838568156503E-6</v>
      </c>
      <c r="AQ285" s="137">
        <f>Transportation_LCIA!U$61*($W285^Transportation_LCIA!U$60)+Transportation_LCIA!U$62</f>
        <v>5.6904267950157877E-4</v>
      </c>
      <c r="AR285" s="137">
        <f>Transportation_LCIA!V$61*($W285^Transportation_LCIA!V$60)+Transportation_LCIA!V$62</f>
        <v>2.3206670458629459E-4</v>
      </c>
      <c r="AT285" s="137">
        <f>$W285*Y285+$L285*Summary_LCIA!H$32</f>
        <v>275.21918192438505</v>
      </c>
      <c r="AU285" s="137">
        <f>$W285*Z285+$L285*Summary_LCIA!Q$32</f>
        <v>2932.7259218898334</v>
      </c>
      <c r="AV285" s="137">
        <f>$W285*AA285+$L285*Summary_LCIA!R$32</f>
        <v>1.5956875794120446</v>
      </c>
      <c r="AW285" s="137">
        <f>$W285*AB285+$L285*Summary_LCIA!S$32</f>
        <v>274.86511340438506</v>
      </c>
      <c r="AX285" s="137">
        <f>$W285*AC285+$L285*Summary_LCIA!T$32</f>
        <v>68.095766694963487</v>
      </c>
      <c r="AY285" s="137">
        <f>$W285*AD285+$L285*Summary_LCIA!U$32</f>
        <v>1.7207304121473526</v>
      </c>
      <c r="AZ285" s="137">
        <f>$W285*AE285+$L285*Summary_LCIA!V$32</f>
        <v>9.8714860176761978E-3</v>
      </c>
      <c r="BA285" s="137">
        <f>$W285*AF285+$L285*Summary_LCIA!W$32</f>
        <v>15.11030540833085</v>
      </c>
      <c r="BB285" s="137">
        <f>$W285*AG285+$L285*Summary_LCIA!X$32</f>
        <v>14.378498098938287</v>
      </c>
      <c r="BC285" s="137">
        <f>$W285*AH285+$L285*Summary_LCIA!Y$32</f>
        <v>1.494908519932326</v>
      </c>
      <c r="BD285" s="137">
        <f>$W285*AI285+$L285*Summary_LCIA!Z$32</f>
        <v>0.26046533304702857</v>
      </c>
      <c r="BE285" s="137">
        <f>$W285*AJ285+$L285*Summary_LCIA!AA$32</f>
        <v>2.8964125123451425</v>
      </c>
      <c r="BF285" s="137">
        <f>$W285*AK285+$L285*Summary_LCIA!AB$32</f>
        <v>6.0889523893471006E-2</v>
      </c>
      <c r="BG285" s="137">
        <f>$W285*AL285+$L285*Summary_LCIA!AC$32</f>
        <v>3.4216202404096019E-5</v>
      </c>
      <c r="BH285" s="137">
        <f>$W285*AM285+$L285*Summary_LCIA!AD$32</f>
        <v>0.13065840512437876</v>
      </c>
      <c r="BI285" s="137">
        <f>$W285*AN285+$L285*Summary_LCIA!AE$32</f>
        <v>0.36181041523764257</v>
      </c>
      <c r="BJ285" s="137">
        <f>$W285*AO285+$L285*Summary_LCIA!AF$32</f>
        <v>7.2132589435085825E-2</v>
      </c>
      <c r="BK285" s="137">
        <f>$W285*AP285+$L285*Summary_LCIA!AG$32</f>
        <v>8.5079984050858218E-3</v>
      </c>
      <c r="BL285" s="137">
        <f>$W285*AQ285+$L285*Summary_LCIA!AH$32</f>
        <v>1.3204427171088771</v>
      </c>
      <c r="BM285" s="137">
        <f>$W285*AR285+$L285*Summary_LCIA!AI$32</f>
        <v>0.32878896607884078</v>
      </c>
    </row>
    <row r="286" spans="1:65" x14ac:dyDescent="0.25">
      <c r="A286" s="149">
        <v>140</v>
      </c>
      <c r="B286" s="149">
        <v>43</v>
      </c>
      <c r="C286" s="61">
        <v>32.590955999999998</v>
      </c>
      <c r="D286" s="61">
        <v>-85.492979000000005</v>
      </c>
      <c r="E286" s="61" t="s">
        <v>265</v>
      </c>
      <c r="F286" s="149">
        <v>1</v>
      </c>
      <c r="G286" s="61" t="s">
        <v>565</v>
      </c>
      <c r="H286" s="61" t="s">
        <v>681</v>
      </c>
      <c r="I286" s="61">
        <v>33.640728000000003</v>
      </c>
      <c r="J286" s="61">
        <v>-84.427700000000002</v>
      </c>
      <c r="K286" s="61">
        <v>204.5911443</v>
      </c>
      <c r="L286" s="61">
        <v>172.04300000000001</v>
      </c>
      <c r="M286" s="61" t="s">
        <v>617</v>
      </c>
      <c r="N286" s="149">
        <v>42</v>
      </c>
      <c r="O286" s="149">
        <v>43</v>
      </c>
      <c r="P286" s="61" t="s">
        <v>565</v>
      </c>
      <c r="Q286" s="61" t="s">
        <v>555</v>
      </c>
      <c r="R286" s="61">
        <v>40.6895314</v>
      </c>
      <c r="S286" s="61">
        <v>-74.174462399999996</v>
      </c>
      <c r="T286" s="61">
        <v>1551.5150000000001</v>
      </c>
      <c r="U286" s="61" t="s">
        <v>617</v>
      </c>
      <c r="V286" s="61" t="s">
        <v>569</v>
      </c>
      <c r="W286" s="61" cm="1">
        <f t="array" ref="W286">getDistance(I286,J286,R286,S286)*SA!$B$12</f>
        <v>1200.1119738435468</v>
      </c>
      <c r="Y286" s="137">
        <f>Transportation_LCIA!C$61*($W286^Transportation_LCIA!C$60)+Transportation_LCIA!C$62</f>
        <v>0.21797654934237359</v>
      </c>
      <c r="Z286" s="137">
        <f>Transportation_LCIA!D$61*($W286^Transportation_LCIA!D$60)+Transportation_LCIA!D$62</f>
        <v>2.2171187217182675</v>
      </c>
      <c r="AA286" s="137">
        <f>Transportation_LCIA!E$61*($W286^Transportation_LCIA!E$60)+Transportation_LCIA!E$62</f>
        <v>1.0074118451307481E-3</v>
      </c>
      <c r="AB286" s="137">
        <f>Transportation_LCIA!F$61*($W286^Transportation_LCIA!F$60)+Transportation_LCIA!F$62</f>
        <v>0.21797654934237359</v>
      </c>
      <c r="AC286" s="137">
        <f>Transportation_LCIA!G$61*($W286^Transportation_LCIA!G$60)+Transportation_LCIA!G$62</f>
        <v>5.1865842977847243E-2</v>
      </c>
      <c r="AD286" s="137">
        <f>Transportation_LCIA!H$61*($W286^Transportation_LCIA!H$60)+Transportation_LCIA!H$62</f>
        <v>2.4675648508540071E-4</v>
      </c>
      <c r="AE286" s="137">
        <f>Transportation_LCIA!I$61*($W286^Transportation_LCIA!I$60)+Transportation_LCIA!I$62</f>
        <v>5.1665566900725128E-6</v>
      </c>
      <c r="AF286" s="137">
        <f>Transportation_LCIA!J$61*($W286^Transportation_LCIA!J$60)+Transportation_LCIA!J$62</f>
        <v>7.6424211504113075E-3</v>
      </c>
      <c r="AG286" s="137">
        <f>Transportation_LCIA!K$61*($W286^Transportation_LCIA!K$60)+Transportation_LCIA!K$62</f>
        <v>1.0933686124837293E-2</v>
      </c>
      <c r="AH286" s="137">
        <f>Transportation_LCIA!L$61*($W286^Transportation_LCIA!L$60)+Transportation_LCIA!L$62</f>
        <v>2.1229259199052167E-4</v>
      </c>
      <c r="AI286" s="137">
        <f>Transportation_LCIA!M$61*($W286^Transportation_LCIA!M$60)+Transportation_LCIA!M$62</f>
        <v>2.2703145242715102E-4</v>
      </c>
      <c r="AJ286" s="137">
        <f>Transportation_LCIA!N$61*($W286^Transportation_LCIA!N$60)+Transportation_LCIA!N$62</f>
        <v>8.8882446654328976E-4</v>
      </c>
      <c r="AK286" s="137">
        <f>Transportation_LCIA!O$61*($W286^Transportation_LCIA!O$60)+Transportation_LCIA!O$62</f>
        <v>5.477869205552474E-5</v>
      </c>
      <c r="AL286" s="137">
        <f>Transportation_LCIA!P$61*($W286^Transportation_LCIA!P$60)+Transportation_LCIA!P$62</f>
        <v>2.6505191873615325E-8</v>
      </c>
      <c r="AM286" s="137">
        <f>Transportation_LCIA!Q$61*($W286^Transportation_LCIA!Q$60)+Transportation_LCIA!Q$62</f>
        <v>8.4173105652841722E-5</v>
      </c>
      <c r="AN286" s="137">
        <f>Transportation_LCIA!R$61*($W286^Transportation_LCIA!R$60)+Transportation_LCIA!R$62</f>
        <v>2.4859793390201158E-4</v>
      </c>
      <c r="AO286" s="137">
        <f>Transportation_LCIA!S$61*($W286^Transportation_LCIA!S$60)+Transportation_LCIA!S$62</f>
        <v>3.7854950252772454E-6</v>
      </c>
      <c r="AP286" s="137">
        <f>Transportation_LCIA!T$61*($W286^Transportation_LCIA!T$60)+Transportation_LCIA!T$62</f>
        <v>3.7854950252772454E-6</v>
      </c>
      <c r="AQ286" s="137">
        <f>Transportation_LCIA!U$61*($W286^Transportation_LCIA!U$60)+Transportation_LCIA!U$62</f>
        <v>5.3192902227867434E-4</v>
      </c>
      <c r="AR286" s="137">
        <f>Transportation_LCIA!V$61*($W286^Transportation_LCIA!V$60)+Transportation_LCIA!V$62</f>
        <v>2.1891514780928193E-4</v>
      </c>
      <c r="AT286" s="137">
        <f>$W286*Y286+$L286*Summary_LCIA!H$32</f>
        <v>320.05647828288124</v>
      </c>
      <c r="AU286" s="137">
        <f>$W286*Z286+$L286*Summary_LCIA!Q$32</f>
        <v>3513.4445100114103</v>
      </c>
      <c r="AV286" s="137">
        <f>$W286*AA286+$L286*Summary_LCIA!R$32</f>
        <v>2.1149166387332317</v>
      </c>
      <c r="AW286" s="137">
        <f>$W286*AB286+$L286*Summary_LCIA!S$32</f>
        <v>319.29604822288127</v>
      </c>
      <c r="AX286" s="137">
        <f>$W286*AC286+$L286*Summary_LCIA!T$32</f>
        <v>81.152344891203711</v>
      </c>
      <c r="AY286" s="137">
        <f>$W286*AD286+$L286*Summary_LCIA!U$32</f>
        <v>3.3781137143745359</v>
      </c>
      <c r="AZ286" s="137">
        <f>$W286*AE286+$L286*Summary_LCIA!V$32</f>
        <v>1.4417392270297504E-2</v>
      </c>
      <c r="BA286" s="137">
        <f>$W286*AF286+$L286*Summary_LCIA!W$32</f>
        <v>22.414082884763786</v>
      </c>
      <c r="BB286" s="137">
        <f>$W286*AG286+$L286*Summary_LCIA!X$32</f>
        <v>17.040787176664285</v>
      </c>
      <c r="BC286" s="137">
        <f>$W286*AH286+$L286*Summary_LCIA!Y$32</f>
        <v>2.9355489076061083</v>
      </c>
      <c r="BD286" s="137">
        <f>$W286*AI286+$L286*Summary_LCIA!Z$32</f>
        <v>0.27951847588391548</v>
      </c>
      <c r="BE286" s="137">
        <f>$W286*AJ286+$L286*Summary_LCIA!AA$32</f>
        <v>5.0849251929437047</v>
      </c>
      <c r="BF286" s="137">
        <f>$W286*AK286+$L286*Summary_LCIA!AB$32</f>
        <v>6.1986069858323604E-2</v>
      </c>
      <c r="BG286" s="137">
        <f>$W286*AL286+$L286*Summary_LCIA!AC$32</f>
        <v>4.0219348148546425E-5</v>
      </c>
      <c r="BH286" s="137">
        <f>$W286*AM286+$L286*Summary_LCIA!AD$32</f>
        <v>0.17173370668957327</v>
      </c>
      <c r="BI286" s="137">
        <f>$W286*AN286+$L286*Summary_LCIA!AE$32</f>
        <v>0.45079782073857066</v>
      </c>
      <c r="BJ286" s="137">
        <f>$W286*AO286+$L286*Summary_LCIA!AF$32</f>
        <v>0.14999161096676042</v>
      </c>
      <c r="BK286" s="137">
        <f>$W286*AP286+$L286*Summary_LCIA!AG$32</f>
        <v>1.3345598001760401E-2</v>
      </c>
      <c r="BL286" s="137">
        <f>$W286*AQ286+$L286*Summary_LCIA!AH$32</f>
        <v>2.1357678436715277</v>
      </c>
      <c r="BM286" s="137">
        <f>$W286*AR286+$L286*Summary_LCIA!AI$32</f>
        <v>0.42298934679164912</v>
      </c>
    </row>
    <row r="287" spans="1:65" x14ac:dyDescent="0.25">
      <c r="A287" s="149">
        <v>141</v>
      </c>
      <c r="B287" s="149">
        <v>43</v>
      </c>
      <c r="C287" s="61">
        <v>32.590955999999998</v>
      </c>
      <c r="D287" s="61">
        <v>-85.492979000000005</v>
      </c>
      <c r="E287" s="61" t="s">
        <v>265</v>
      </c>
      <c r="F287" s="149">
        <v>1</v>
      </c>
      <c r="G287" s="61" t="s">
        <v>565</v>
      </c>
      <c r="H287" s="61" t="s">
        <v>681</v>
      </c>
      <c r="I287" s="61">
        <v>33.640728000000003</v>
      </c>
      <c r="J287" s="61">
        <v>-84.427700000000002</v>
      </c>
      <c r="K287" s="61">
        <v>204.5911443</v>
      </c>
      <c r="L287" s="61">
        <v>172.04300000000001</v>
      </c>
      <c r="M287" s="61" t="s">
        <v>617</v>
      </c>
      <c r="N287" s="149">
        <v>42</v>
      </c>
      <c r="O287" s="149">
        <v>43</v>
      </c>
      <c r="P287" s="61" t="s">
        <v>565</v>
      </c>
      <c r="Q287" s="61" t="s">
        <v>555</v>
      </c>
      <c r="R287" s="61">
        <v>40.6895314</v>
      </c>
      <c r="S287" s="61">
        <v>-74.174462399999996</v>
      </c>
      <c r="T287" s="61">
        <v>1551.5150000000001</v>
      </c>
      <c r="U287" s="61" t="s">
        <v>617</v>
      </c>
      <c r="V287" s="61" t="s">
        <v>569</v>
      </c>
      <c r="W287" s="61" cm="1">
        <f t="array" ref="W287">getDistance(I287,J287,R287,S287)*SA!$B$12</f>
        <v>1200.1119738435468</v>
      </c>
      <c r="Y287" s="137">
        <f>Transportation_LCIA!C$61*($W287^Transportation_LCIA!C$60)+Transportation_LCIA!C$62</f>
        <v>0.21797654934237359</v>
      </c>
      <c r="Z287" s="137">
        <f>Transportation_LCIA!D$61*($W287^Transportation_LCIA!D$60)+Transportation_LCIA!D$62</f>
        <v>2.2171187217182675</v>
      </c>
      <c r="AA287" s="137">
        <f>Transportation_LCIA!E$61*($W287^Transportation_LCIA!E$60)+Transportation_LCIA!E$62</f>
        <v>1.0074118451307481E-3</v>
      </c>
      <c r="AB287" s="137">
        <f>Transportation_LCIA!F$61*($W287^Transportation_LCIA!F$60)+Transportation_LCIA!F$62</f>
        <v>0.21797654934237359</v>
      </c>
      <c r="AC287" s="137">
        <f>Transportation_LCIA!G$61*($W287^Transportation_LCIA!G$60)+Transportation_LCIA!G$62</f>
        <v>5.1865842977847243E-2</v>
      </c>
      <c r="AD287" s="137">
        <f>Transportation_LCIA!H$61*($W287^Transportation_LCIA!H$60)+Transportation_LCIA!H$62</f>
        <v>2.4675648508540071E-4</v>
      </c>
      <c r="AE287" s="137">
        <f>Transportation_LCIA!I$61*($W287^Transportation_LCIA!I$60)+Transportation_LCIA!I$62</f>
        <v>5.1665566900725128E-6</v>
      </c>
      <c r="AF287" s="137">
        <f>Transportation_LCIA!J$61*($W287^Transportation_LCIA!J$60)+Transportation_LCIA!J$62</f>
        <v>7.6424211504113075E-3</v>
      </c>
      <c r="AG287" s="137">
        <f>Transportation_LCIA!K$61*($W287^Transportation_LCIA!K$60)+Transportation_LCIA!K$62</f>
        <v>1.0933686124837293E-2</v>
      </c>
      <c r="AH287" s="137">
        <f>Transportation_LCIA!L$61*($W287^Transportation_LCIA!L$60)+Transportation_LCIA!L$62</f>
        <v>2.1229259199052167E-4</v>
      </c>
      <c r="AI287" s="137">
        <f>Transportation_LCIA!M$61*($W287^Transportation_LCIA!M$60)+Transportation_LCIA!M$62</f>
        <v>2.2703145242715102E-4</v>
      </c>
      <c r="AJ287" s="137">
        <f>Transportation_LCIA!N$61*($W287^Transportation_LCIA!N$60)+Transportation_LCIA!N$62</f>
        <v>8.8882446654328976E-4</v>
      </c>
      <c r="AK287" s="137">
        <f>Transportation_LCIA!O$61*($W287^Transportation_LCIA!O$60)+Transportation_LCIA!O$62</f>
        <v>5.477869205552474E-5</v>
      </c>
      <c r="AL287" s="137">
        <f>Transportation_LCIA!P$61*($W287^Transportation_LCIA!P$60)+Transportation_LCIA!P$62</f>
        <v>2.6505191873615325E-8</v>
      </c>
      <c r="AM287" s="137">
        <f>Transportation_LCIA!Q$61*($W287^Transportation_LCIA!Q$60)+Transportation_LCIA!Q$62</f>
        <v>8.4173105652841722E-5</v>
      </c>
      <c r="AN287" s="137">
        <f>Transportation_LCIA!R$61*($W287^Transportation_LCIA!R$60)+Transportation_LCIA!R$62</f>
        <v>2.4859793390201158E-4</v>
      </c>
      <c r="AO287" s="137">
        <f>Transportation_LCIA!S$61*($W287^Transportation_LCIA!S$60)+Transportation_LCIA!S$62</f>
        <v>3.7854950252772454E-6</v>
      </c>
      <c r="AP287" s="137">
        <f>Transportation_LCIA!T$61*($W287^Transportation_LCIA!T$60)+Transportation_LCIA!T$62</f>
        <v>3.7854950252772454E-6</v>
      </c>
      <c r="AQ287" s="137">
        <f>Transportation_LCIA!U$61*($W287^Transportation_LCIA!U$60)+Transportation_LCIA!U$62</f>
        <v>5.3192902227867434E-4</v>
      </c>
      <c r="AR287" s="137">
        <f>Transportation_LCIA!V$61*($W287^Transportation_LCIA!V$60)+Transportation_LCIA!V$62</f>
        <v>2.1891514780928193E-4</v>
      </c>
      <c r="AT287" s="137">
        <f>$W287*Y287+$L287*Summary_LCIA!H$32</f>
        <v>320.05647828288124</v>
      </c>
      <c r="AU287" s="137">
        <f>$W287*Z287+$L287*Summary_LCIA!Q$32</f>
        <v>3513.4445100114103</v>
      </c>
      <c r="AV287" s="137">
        <f>$W287*AA287+$L287*Summary_LCIA!R$32</f>
        <v>2.1149166387332317</v>
      </c>
      <c r="AW287" s="137">
        <f>$W287*AB287+$L287*Summary_LCIA!S$32</f>
        <v>319.29604822288127</v>
      </c>
      <c r="AX287" s="137">
        <f>$W287*AC287+$L287*Summary_LCIA!T$32</f>
        <v>81.152344891203711</v>
      </c>
      <c r="AY287" s="137">
        <f>$W287*AD287+$L287*Summary_LCIA!U$32</f>
        <v>3.3781137143745359</v>
      </c>
      <c r="AZ287" s="137">
        <f>$W287*AE287+$L287*Summary_LCIA!V$32</f>
        <v>1.4417392270297504E-2</v>
      </c>
      <c r="BA287" s="137">
        <f>$W287*AF287+$L287*Summary_LCIA!W$32</f>
        <v>22.414082884763786</v>
      </c>
      <c r="BB287" s="137">
        <f>$W287*AG287+$L287*Summary_LCIA!X$32</f>
        <v>17.040787176664285</v>
      </c>
      <c r="BC287" s="137">
        <f>$W287*AH287+$L287*Summary_LCIA!Y$32</f>
        <v>2.9355489076061083</v>
      </c>
      <c r="BD287" s="137">
        <f>$W287*AI287+$L287*Summary_LCIA!Z$32</f>
        <v>0.27951847588391548</v>
      </c>
      <c r="BE287" s="137">
        <f>$W287*AJ287+$L287*Summary_LCIA!AA$32</f>
        <v>5.0849251929437047</v>
      </c>
      <c r="BF287" s="137">
        <f>$W287*AK287+$L287*Summary_LCIA!AB$32</f>
        <v>6.1986069858323604E-2</v>
      </c>
      <c r="BG287" s="137">
        <f>$W287*AL287+$L287*Summary_LCIA!AC$32</f>
        <v>4.0219348148546425E-5</v>
      </c>
      <c r="BH287" s="137">
        <f>$W287*AM287+$L287*Summary_LCIA!AD$32</f>
        <v>0.17173370668957327</v>
      </c>
      <c r="BI287" s="137">
        <f>$W287*AN287+$L287*Summary_LCIA!AE$32</f>
        <v>0.45079782073857066</v>
      </c>
      <c r="BJ287" s="137">
        <f>$W287*AO287+$L287*Summary_LCIA!AF$32</f>
        <v>0.14999161096676042</v>
      </c>
      <c r="BK287" s="137">
        <f>$W287*AP287+$L287*Summary_LCIA!AG$32</f>
        <v>1.3345598001760401E-2</v>
      </c>
      <c r="BL287" s="137">
        <f>$W287*AQ287+$L287*Summary_LCIA!AH$32</f>
        <v>2.1357678436715277</v>
      </c>
      <c r="BM287" s="137">
        <f>$W287*AR287+$L287*Summary_LCIA!AI$32</f>
        <v>0.42298934679164912</v>
      </c>
    </row>
    <row r="288" spans="1:65" x14ac:dyDescent="0.25">
      <c r="A288" s="149">
        <v>348</v>
      </c>
      <c r="B288" s="149">
        <v>16</v>
      </c>
      <c r="C288" s="61">
        <v>30.079940000000001</v>
      </c>
      <c r="D288" s="61">
        <v>-95.417159999999996</v>
      </c>
      <c r="E288" s="61" t="s">
        <v>265</v>
      </c>
      <c r="F288" s="149">
        <v>47</v>
      </c>
      <c r="G288" s="61" t="s">
        <v>565</v>
      </c>
      <c r="H288" s="61" t="s">
        <v>688</v>
      </c>
      <c r="I288" s="61">
        <v>29.990220000000001</v>
      </c>
      <c r="J288" s="61">
        <v>-95.336782999999997</v>
      </c>
      <c r="K288" s="61">
        <v>18.611022930000001</v>
      </c>
      <c r="L288" s="61">
        <v>20.567</v>
      </c>
      <c r="M288" s="61" t="s">
        <v>617</v>
      </c>
      <c r="N288" s="149">
        <v>15</v>
      </c>
      <c r="O288" s="149">
        <v>16</v>
      </c>
      <c r="P288" s="61" t="s">
        <v>565</v>
      </c>
      <c r="Q288" s="61" t="s">
        <v>556</v>
      </c>
      <c r="R288" s="61">
        <v>39.856096299999997</v>
      </c>
      <c r="S288" s="61">
        <v>-104.6737376</v>
      </c>
      <c r="T288" s="61">
        <v>1597.2139999999999</v>
      </c>
      <c r="U288" s="61" t="s">
        <v>617</v>
      </c>
      <c r="V288" s="61" t="s">
        <v>569</v>
      </c>
      <c r="W288" s="61" cm="1">
        <f t="array" ref="W288">getDistance(I288,J288,R288,S288)*SA!$B$12</f>
        <v>1387.9132257585461</v>
      </c>
      <c r="Y288" s="137">
        <f>Transportation_LCIA!C$61*($W288^Transportation_LCIA!C$60)+Transportation_LCIA!C$62</f>
        <v>0.20579525705276458</v>
      </c>
      <c r="Z288" s="137">
        <f>Transportation_LCIA!D$61*($W288^Transportation_LCIA!D$60)+Transportation_LCIA!D$62</f>
        <v>2.0765468445420829</v>
      </c>
      <c r="AA288" s="137">
        <f>Transportation_LCIA!E$61*($W288^Transportation_LCIA!E$60)+Transportation_LCIA!E$62</f>
        <v>9.1527840311280795E-4</v>
      </c>
      <c r="AB288" s="137">
        <f>Transportation_LCIA!F$61*($W288^Transportation_LCIA!F$60)+Transportation_LCIA!F$62</f>
        <v>0.20579525705276458</v>
      </c>
      <c r="AC288" s="137">
        <f>Transportation_LCIA!G$61*($W288^Transportation_LCIA!G$60)+Transportation_LCIA!G$62</f>
        <v>4.8611480731504453E-2</v>
      </c>
      <c r="AD288" s="137">
        <f>Transportation_LCIA!H$61*($W288^Transportation_LCIA!H$60)+Transportation_LCIA!H$62</f>
        <v>2.2662385614924451E-4</v>
      </c>
      <c r="AE288" s="137">
        <f>Transportation_LCIA!I$61*($W288^Transportation_LCIA!I$60)+Transportation_LCIA!I$62</f>
        <v>4.664798591597283E-6</v>
      </c>
      <c r="AF288" s="137">
        <f>Transportation_LCIA!J$61*($W288^Transportation_LCIA!J$60)+Transportation_LCIA!J$62</f>
        <v>6.9000437332686158E-3</v>
      </c>
      <c r="AG288" s="137">
        <f>Transportation_LCIA!K$61*($W288^Transportation_LCIA!K$60)+Transportation_LCIA!K$62</f>
        <v>1.0178298192258982E-2</v>
      </c>
      <c r="AH288" s="137">
        <f>Transportation_LCIA!L$61*($W288^Transportation_LCIA!L$60)+Transportation_LCIA!L$62</f>
        <v>1.9383663062244881E-4</v>
      </c>
      <c r="AI288" s="137">
        <f>Transportation_LCIA!M$61*($W288^Transportation_LCIA!M$60)+Transportation_LCIA!M$62</f>
        <v>2.159242012470611E-4</v>
      </c>
      <c r="AJ288" s="137">
        <f>Transportation_LCIA!N$61*($W288^Transportation_LCIA!N$60)+Transportation_LCIA!N$62</f>
        <v>8.2108131993988739E-4</v>
      </c>
      <c r="AK288" s="137">
        <f>Transportation_LCIA!O$61*($W288^Transportation_LCIA!O$60)+Transportation_LCIA!O$62</f>
        <v>5.1321578029541128E-5</v>
      </c>
      <c r="AL288" s="137">
        <f>Transportation_LCIA!P$61*($W288^Transportation_LCIA!P$60)+Transportation_LCIA!P$62</f>
        <v>2.4841662634578297E-8</v>
      </c>
      <c r="AM288" s="137">
        <f>Transportation_LCIA!Q$61*($W288^Transportation_LCIA!Q$60)+Transportation_LCIA!Q$62</f>
        <v>7.6967886691158753E-5</v>
      </c>
      <c r="AN288" s="137">
        <f>Transportation_LCIA!R$61*($W288^Transportation_LCIA!R$60)+Transportation_LCIA!R$62</f>
        <v>2.2454297120611953E-4</v>
      </c>
      <c r="AO288" s="137">
        <f>Transportation_LCIA!S$61*($W288^Transportation_LCIA!S$60)+Transportation_LCIA!S$62</f>
        <v>3.4439509298357079E-6</v>
      </c>
      <c r="AP288" s="137">
        <f>Transportation_LCIA!T$61*($W288^Transportation_LCIA!T$60)+Transportation_LCIA!T$62</f>
        <v>3.4439509298357079E-6</v>
      </c>
      <c r="AQ288" s="137">
        <f>Transportation_LCIA!U$61*($W288^Transportation_LCIA!U$60)+Transportation_LCIA!U$62</f>
        <v>4.792762052799418E-4</v>
      </c>
      <c r="AR288" s="137">
        <f>Transportation_LCIA!V$61*($W288^Transportation_LCIA!V$60)+Transportation_LCIA!V$62</f>
        <v>2.0020793733126354E-4</v>
      </c>
      <c r="AT288" s="137">
        <f>$W288*Y288+$L288*Summary_LCIA!H$32</f>
        <v>292.61462566191165</v>
      </c>
      <c r="AU288" s="137">
        <f>$W288*Z288+$L288*Summary_LCIA!Q$32</f>
        <v>2983.9979187026433</v>
      </c>
      <c r="AV288" s="137">
        <f>$W288*AA288+$L288*Summary_LCIA!R$32</f>
        <v>1.3786245961314283</v>
      </c>
      <c r="AW288" s="137">
        <f>$W288*AB288+$L288*Summary_LCIA!S$32</f>
        <v>292.52371952191163</v>
      </c>
      <c r="AX288" s="137">
        <f>$W288*AC288+$L288*Summary_LCIA!T$32</f>
        <v>69.728830330961756</v>
      </c>
      <c r="AY288" s="137">
        <f>$W288*AD288+$L288*Summary_LCIA!U$32</f>
        <v>0.68297148522193862</v>
      </c>
      <c r="AZ288" s="137">
        <f>$W288*AE288+$L288*Summary_LCIA!V$32</f>
        <v>7.4566361477777076E-3</v>
      </c>
      <c r="BA288" s="137">
        <f>$W288*AF288+$L288*Summary_LCIA!W$32</f>
        <v>11.159724512715885</v>
      </c>
      <c r="BB288" s="137">
        <f>$W288*AG288+$L288*Summary_LCIA!X$32</f>
        <v>14.595110936750542</v>
      </c>
      <c r="BC288" s="137">
        <f>$W288*AH288+$L288*Summary_LCIA!Y$32</f>
        <v>0.58950341727737077</v>
      </c>
      <c r="BD288" s="137">
        <f>$W288*AI288+$L288*Summary_LCIA!Z$32</f>
        <v>0.30052748677514601</v>
      </c>
      <c r="BE288" s="137">
        <f>$W288*AJ288+$L288*Summary_LCIA!AA$32</f>
        <v>1.619952475367854</v>
      </c>
      <c r="BF288" s="137">
        <f>$W288*AK288+$L288*Summary_LCIA!AB$32</f>
        <v>7.0781063272999351E-2</v>
      </c>
      <c r="BG288" s="137">
        <f>$W288*AL288+$L288*Summary_LCIA!AC$32</f>
        <v>3.5483469348363105E-5</v>
      </c>
      <c r="BH288" s="137">
        <f>$W288*AM288+$L288*Summary_LCIA!AD$32</f>
        <v>0.11527860757734441</v>
      </c>
      <c r="BI288" s="137">
        <f>$W288*AN288+$L288*Summary_LCIA!AE$32</f>
        <v>0.32987119519809371</v>
      </c>
      <c r="BJ288" s="137">
        <f>$W288*AO288+$L288*Summary_LCIA!AF$32</f>
        <v>2.2167658184382422E-2</v>
      </c>
      <c r="BK288" s="137">
        <f>$W288*AP288+$L288*Summary_LCIA!AG$32</f>
        <v>5.8322155993824213E-3</v>
      </c>
      <c r="BL288" s="137">
        <f>$W288*AQ288+$L288*Summary_LCIA!AH$32</f>
        <v>0.84420072529939916</v>
      </c>
      <c r="BM288" s="137">
        <f>$W288*AR288+$L288*Summary_LCIA!AI$32</f>
        <v>0.29703043297389881</v>
      </c>
    </row>
    <row r="289" spans="1:65" x14ac:dyDescent="0.25">
      <c r="A289" s="149">
        <v>250</v>
      </c>
      <c r="B289" s="149">
        <v>16</v>
      </c>
      <c r="C289" s="61">
        <v>34.048347</v>
      </c>
      <c r="D289" s="61">
        <v>-117.26115299999999</v>
      </c>
      <c r="E289" s="61" t="s">
        <v>265</v>
      </c>
      <c r="F289" s="149">
        <v>117</v>
      </c>
      <c r="G289" s="61" t="s">
        <v>708</v>
      </c>
      <c r="H289" s="61" t="s">
        <v>709</v>
      </c>
      <c r="I289" s="61">
        <v>34.060307000000002</v>
      </c>
      <c r="J289" s="61">
        <v>-117.597893</v>
      </c>
      <c r="K289" s="61">
        <v>36.386226209999997</v>
      </c>
      <c r="L289" s="61">
        <v>34.886000000000003</v>
      </c>
      <c r="M289" s="61" t="s">
        <v>617</v>
      </c>
      <c r="N289" s="149">
        <v>15</v>
      </c>
      <c r="O289" s="149">
        <v>16</v>
      </c>
      <c r="P289" s="61" t="s">
        <v>565</v>
      </c>
      <c r="Q289" s="61" t="s">
        <v>556</v>
      </c>
      <c r="R289" s="61">
        <v>39.856096299999997</v>
      </c>
      <c r="S289" s="61">
        <v>-104.6737376</v>
      </c>
      <c r="T289" s="61">
        <v>1611.2059999999999</v>
      </c>
      <c r="U289" s="61" t="s">
        <v>617</v>
      </c>
      <c r="V289" s="61" t="s">
        <v>569</v>
      </c>
      <c r="W289" s="61" cm="1">
        <f t="array" ref="W289">getDistance(I289,J289,R289,S289)*SA!$B$12</f>
        <v>1317.3001238573743</v>
      </c>
      <c r="Y289" s="137">
        <f>Transportation_LCIA!C$61*($W289^Transportation_LCIA!C$60)+Transportation_LCIA!C$62</f>
        <v>0.21000036366139632</v>
      </c>
      <c r="Z289" s="137">
        <f>Transportation_LCIA!D$61*($W289^Transportation_LCIA!D$60)+Transportation_LCIA!D$62</f>
        <v>2.1249728733065503</v>
      </c>
      <c r="AA289" s="137">
        <f>Transportation_LCIA!E$61*($W289^Transportation_LCIA!E$60)+Transportation_LCIA!E$62</f>
        <v>9.4699916747861259E-4</v>
      </c>
      <c r="AB289" s="137">
        <f>Transportation_LCIA!F$61*($W289^Transportation_LCIA!F$60)+Transportation_LCIA!F$62</f>
        <v>0.21000036366139632</v>
      </c>
      <c r="AC289" s="137">
        <f>Transportation_LCIA!G$61*($W289^Transportation_LCIA!G$60)+Transportation_LCIA!G$62</f>
        <v>4.9732721850700504E-2</v>
      </c>
      <c r="AD289" s="137">
        <f>Transportation_LCIA!H$61*($W289^Transportation_LCIA!H$60)+Transportation_LCIA!H$62</f>
        <v>2.3354733970354277E-4</v>
      </c>
      <c r="AE289" s="137">
        <f>Transportation_LCIA!I$61*($W289^Transportation_LCIA!I$60)+Transportation_LCIA!I$62</f>
        <v>4.8370286501590584E-6</v>
      </c>
      <c r="AF289" s="137">
        <f>Transportation_LCIA!J$61*($W289^Transportation_LCIA!J$60)+Transportation_LCIA!J$62</f>
        <v>7.1545566538932627E-3</v>
      </c>
      <c r="AG289" s="137">
        <f>Transportation_LCIA!K$61*($W289^Transportation_LCIA!K$60)+Transportation_LCIA!K$62</f>
        <v>1.0438282082237939E-2</v>
      </c>
      <c r="AH289" s="137">
        <f>Transportation_LCIA!L$61*($W289^Transportation_LCIA!L$60)+Transportation_LCIA!L$62</f>
        <v>2.0018015197131005E-4</v>
      </c>
      <c r="AI289" s="137">
        <f>Transportation_LCIA!M$61*($W289^Transportation_LCIA!M$60)+Transportation_LCIA!M$62</f>
        <v>2.1974367386704132E-4</v>
      </c>
      <c r="AJ289" s="137">
        <f>Transportation_LCIA!N$61*($W289^Transportation_LCIA!N$60)+Transportation_LCIA!N$62</f>
        <v>8.4438120826727404E-4</v>
      </c>
      <c r="AK289" s="137">
        <f>Transportation_LCIA!O$61*($W289^Transportation_LCIA!O$60)+Transportation_LCIA!O$62</f>
        <v>5.2512606084760235E-5</v>
      </c>
      <c r="AL289" s="137">
        <f>Transportation_LCIA!P$61*($W289^Transportation_LCIA!P$60)+Transportation_LCIA!P$62</f>
        <v>2.5414862321836186E-8</v>
      </c>
      <c r="AM289" s="137">
        <f>Transportation_LCIA!Q$61*($W289^Transportation_LCIA!Q$60)+Transportation_LCIA!Q$62</f>
        <v>7.9443693778010496E-5</v>
      </c>
      <c r="AN289" s="137">
        <f>Transportation_LCIA!R$61*($W289^Transportation_LCIA!R$60)+Transportation_LCIA!R$62</f>
        <v>2.3279954127078097E-4</v>
      </c>
      <c r="AO289" s="137">
        <f>Transportation_LCIA!S$61*($W289^Transportation_LCIA!S$60)+Transportation_LCIA!S$62</f>
        <v>3.5611915306199878E-6</v>
      </c>
      <c r="AP289" s="137">
        <f>Transportation_LCIA!T$61*($W289^Transportation_LCIA!T$60)+Transportation_LCIA!T$62</f>
        <v>3.5611915306199878E-6</v>
      </c>
      <c r="AQ289" s="137">
        <f>Transportation_LCIA!U$61*($W289^Transportation_LCIA!U$60)+Transportation_LCIA!U$62</f>
        <v>4.9734224298675508E-4</v>
      </c>
      <c r="AR289" s="137">
        <f>Transportation_LCIA!V$61*($W289^Transportation_LCIA!V$60)+Transportation_LCIA!V$62</f>
        <v>2.066336089980104E-4</v>
      </c>
      <c r="AT289" s="137">
        <f>$W289*Y289+$L289*Summary_LCIA!H$32</f>
        <v>288.48776786125103</v>
      </c>
      <c r="AU289" s="137">
        <f>$W289*Z289+$L289*Summary_LCIA!Q$32</f>
        <v>2972.123804605917</v>
      </c>
      <c r="AV289" s="137">
        <f>$W289*AA289+$L289*Summary_LCIA!R$32</f>
        <v>1.4311778422124066</v>
      </c>
      <c r="AW289" s="137">
        <f>$W289*AB289+$L289*Summary_LCIA!S$32</f>
        <v>288.33357174125103</v>
      </c>
      <c r="AX289" s="137">
        <f>$W289*AC289+$L289*Summary_LCIA!T$32</f>
        <v>69.346892053692116</v>
      </c>
      <c r="AY289" s="137">
        <f>$W289*AD289+$L289*Summary_LCIA!U$32</f>
        <v>0.93259974351803721</v>
      </c>
      <c r="AZ289" s="137">
        <f>$W289*AE289+$L289*Summary_LCIA!V$32</f>
        <v>8.0380086859561956E-3</v>
      </c>
      <c r="BA289" s="137">
        <f>$W289*AF289+$L289*Summary_LCIA!W$32</f>
        <v>12.109908672318197</v>
      </c>
      <c r="BB289" s="137">
        <f>$W289*AG289+$L289*Summary_LCIA!X$32</f>
        <v>14.545053359790247</v>
      </c>
      <c r="BC289" s="137">
        <f>$W289*AH289+$L289*Summary_LCIA!Y$32</f>
        <v>0.80729099098559476</v>
      </c>
      <c r="BD289" s="137">
        <f>$W289*AI289+$L289*Summary_LCIA!Z$32</f>
        <v>0.290899008775928</v>
      </c>
      <c r="BE289" s="137">
        <f>$W289*AJ289+$L289*Summary_LCIA!AA$32</f>
        <v>1.9271008862333194</v>
      </c>
      <c r="BF289" s="137">
        <f>$W289*AK289+$L289*Summary_LCIA!AB$32</f>
        <v>6.8413545321528157E-2</v>
      </c>
      <c r="BG289" s="137">
        <f>$W289*AL289+$L289*Summary_LCIA!AC$32</f>
        <v>3.5184368508372919E-5</v>
      </c>
      <c r="BH289" s="137">
        <f>$W289*AM289+$L289*Summary_LCIA!AD$32</f>
        <v>0.11899072909346055</v>
      </c>
      <c r="BI289" s="137">
        <f>$W289*AN289+$L289*Summary_LCIA!AE$32</f>
        <v>0.3375803957299397</v>
      </c>
      <c r="BJ289" s="137">
        <f>$W289*AO289+$L289*Summary_LCIA!AF$32</f>
        <v>3.4184480164365545E-2</v>
      </c>
      <c r="BK289" s="137">
        <f>$W289*AP289+$L289*Summary_LCIA!AG$32</f>
        <v>6.4761002343655429E-3</v>
      </c>
      <c r="BL289" s="137">
        <f>$W289*AQ289+$L289*Summary_LCIA!AH$32</f>
        <v>0.95878278788595672</v>
      </c>
      <c r="BM289" s="137">
        <f>$W289*AR289+$L289*Summary_LCIA!AI$32</f>
        <v>0.30469653202617536</v>
      </c>
    </row>
    <row r="290" spans="1:65" x14ac:dyDescent="0.25">
      <c r="A290" s="149">
        <v>238</v>
      </c>
      <c r="B290" s="149">
        <v>16</v>
      </c>
      <c r="C290" s="61">
        <v>29.785777</v>
      </c>
      <c r="D290" s="61">
        <v>-95.824509000000006</v>
      </c>
      <c r="E290" s="61" t="s">
        <v>265</v>
      </c>
      <c r="F290" s="149">
        <v>47</v>
      </c>
      <c r="G290" s="61" t="s">
        <v>565</v>
      </c>
      <c r="H290" s="61" t="s">
        <v>688</v>
      </c>
      <c r="I290" s="61">
        <v>29.990220000000001</v>
      </c>
      <c r="J290" s="61">
        <v>-95.336782999999997</v>
      </c>
      <c r="K290" s="61">
        <v>58.812302199999998</v>
      </c>
      <c r="L290" s="61">
        <v>71.41</v>
      </c>
      <c r="M290" s="61" t="s">
        <v>617</v>
      </c>
      <c r="N290" s="149">
        <v>15</v>
      </c>
      <c r="O290" s="149">
        <v>16</v>
      </c>
      <c r="P290" s="61" t="s">
        <v>565</v>
      </c>
      <c r="Q290" s="61" t="s">
        <v>556</v>
      </c>
      <c r="R290" s="61">
        <v>39.856096299999997</v>
      </c>
      <c r="S290" s="61">
        <v>-104.6737376</v>
      </c>
      <c r="T290" s="61">
        <v>1618.7370000000001</v>
      </c>
      <c r="U290" s="61" t="s">
        <v>617</v>
      </c>
      <c r="V290" s="61" t="s">
        <v>569</v>
      </c>
      <c r="W290" s="61" cm="1">
        <f t="array" ref="W290">getDistance(I290,J290,R290,S290)*SA!$B$12</f>
        <v>1387.9132257585461</v>
      </c>
      <c r="Y290" s="137">
        <f>Transportation_LCIA!C$61*($W290^Transportation_LCIA!C$60)+Transportation_LCIA!C$62</f>
        <v>0.20579525705276458</v>
      </c>
      <c r="Z290" s="137">
        <f>Transportation_LCIA!D$61*($W290^Transportation_LCIA!D$60)+Transportation_LCIA!D$62</f>
        <v>2.0765468445420829</v>
      </c>
      <c r="AA290" s="137">
        <f>Transportation_LCIA!E$61*($W290^Transportation_LCIA!E$60)+Transportation_LCIA!E$62</f>
        <v>9.1527840311280795E-4</v>
      </c>
      <c r="AB290" s="137">
        <f>Transportation_LCIA!F$61*($W290^Transportation_LCIA!F$60)+Transportation_LCIA!F$62</f>
        <v>0.20579525705276458</v>
      </c>
      <c r="AC290" s="137">
        <f>Transportation_LCIA!G$61*($W290^Transportation_LCIA!G$60)+Transportation_LCIA!G$62</f>
        <v>4.8611480731504453E-2</v>
      </c>
      <c r="AD290" s="137">
        <f>Transportation_LCIA!H$61*($W290^Transportation_LCIA!H$60)+Transportation_LCIA!H$62</f>
        <v>2.2662385614924451E-4</v>
      </c>
      <c r="AE290" s="137">
        <f>Transportation_LCIA!I$61*($W290^Transportation_LCIA!I$60)+Transportation_LCIA!I$62</f>
        <v>4.664798591597283E-6</v>
      </c>
      <c r="AF290" s="137">
        <f>Transportation_LCIA!J$61*($W290^Transportation_LCIA!J$60)+Transportation_LCIA!J$62</f>
        <v>6.9000437332686158E-3</v>
      </c>
      <c r="AG290" s="137">
        <f>Transportation_LCIA!K$61*($W290^Transportation_LCIA!K$60)+Transportation_LCIA!K$62</f>
        <v>1.0178298192258982E-2</v>
      </c>
      <c r="AH290" s="137">
        <f>Transportation_LCIA!L$61*($W290^Transportation_LCIA!L$60)+Transportation_LCIA!L$62</f>
        <v>1.9383663062244881E-4</v>
      </c>
      <c r="AI290" s="137">
        <f>Transportation_LCIA!M$61*($W290^Transportation_LCIA!M$60)+Transportation_LCIA!M$62</f>
        <v>2.159242012470611E-4</v>
      </c>
      <c r="AJ290" s="137">
        <f>Transportation_LCIA!N$61*($W290^Transportation_LCIA!N$60)+Transportation_LCIA!N$62</f>
        <v>8.2108131993988739E-4</v>
      </c>
      <c r="AK290" s="137">
        <f>Transportation_LCIA!O$61*($W290^Transportation_LCIA!O$60)+Transportation_LCIA!O$62</f>
        <v>5.1321578029541128E-5</v>
      </c>
      <c r="AL290" s="137">
        <f>Transportation_LCIA!P$61*($W290^Transportation_LCIA!P$60)+Transportation_LCIA!P$62</f>
        <v>2.4841662634578297E-8</v>
      </c>
      <c r="AM290" s="137">
        <f>Transportation_LCIA!Q$61*($W290^Transportation_LCIA!Q$60)+Transportation_LCIA!Q$62</f>
        <v>7.6967886691158753E-5</v>
      </c>
      <c r="AN290" s="137">
        <f>Transportation_LCIA!R$61*($W290^Transportation_LCIA!R$60)+Transportation_LCIA!R$62</f>
        <v>2.2454297120611953E-4</v>
      </c>
      <c r="AO290" s="137">
        <f>Transportation_LCIA!S$61*($W290^Transportation_LCIA!S$60)+Transportation_LCIA!S$62</f>
        <v>3.4439509298357079E-6</v>
      </c>
      <c r="AP290" s="137">
        <f>Transportation_LCIA!T$61*($W290^Transportation_LCIA!T$60)+Transportation_LCIA!T$62</f>
        <v>3.4439509298357079E-6</v>
      </c>
      <c r="AQ290" s="137">
        <f>Transportation_LCIA!U$61*($W290^Transportation_LCIA!U$60)+Transportation_LCIA!U$62</f>
        <v>4.792762052799418E-4</v>
      </c>
      <c r="AR290" s="137">
        <f>Transportation_LCIA!V$61*($W290^Transportation_LCIA!V$60)+Transportation_LCIA!V$62</f>
        <v>2.0020793733126354E-4</v>
      </c>
      <c r="AT290" s="137">
        <f>$W290*Y290+$L290*Summary_LCIA!H$32</f>
        <v>309.89107706191163</v>
      </c>
      <c r="AU290" s="137">
        <f>$W290*Z290+$L290*Summary_LCIA!Q$32</f>
        <v>3235.9783908676623</v>
      </c>
      <c r="AV290" s="137">
        <f>$W290*AA290+$L290*Summary_LCIA!R$32</f>
        <v>1.6463434969314283</v>
      </c>
      <c r="AW290" s="137">
        <f>$W290*AB290+$L290*Summary_LCIA!S$32</f>
        <v>309.57544486191165</v>
      </c>
      <c r="AX290" s="137">
        <f>$W290*AC290+$L290*Summary_LCIA!T$32</f>
        <v>75.316476030961752</v>
      </c>
      <c r="AY290" s="137">
        <f>$W290*AD290+$L290*Summary_LCIA!U$32</f>
        <v>1.5937729872219384</v>
      </c>
      <c r="AZ290" s="137">
        <f>$W290*AE290+$L290*Summary_LCIA!V$32</f>
        <v>9.8849486707777087E-3</v>
      </c>
      <c r="BA290" s="137">
        <f>$W290*AF290+$L290*Summary_LCIA!W$32</f>
        <v>15.073161065715883</v>
      </c>
      <c r="BB290" s="137">
        <f>$W290*AG290+$L290*Summary_LCIA!X$32</f>
        <v>15.753314476750543</v>
      </c>
      <c r="BC290" s="137">
        <f>$W290*AH290+$L290*Summary_LCIA!Y$32</f>
        <v>1.3817390432773706</v>
      </c>
      <c r="BD290" s="137">
        <f>$W290*AI290+$L290*Summary_LCIA!Z$32</f>
        <v>0.30261250736214607</v>
      </c>
      <c r="BE290" s="137">
        <f>$W290*AJ290+$L290*Summary_LCIA!AA$32</f>
        <v>2.8074415833678534</v>
      </c>
      <c r="BF290" s="137">
        <f>$W290*AK290+$L290*Summary_LCIA!AB$32</f>
        <v>6.9671516483999343E-2</v>
      </c>
      <c r="BG290" s="137">
        <f>$W290*AL290+$L290*Summary_LCIA!AC$32</f>
        <v>3.7968878560363105E-5</v>
      </c>
      <c r="BH290" s="137">
        <f>$W290*AM290+$L290*Summary_LCIA!AD$32</f>
        <v>0.13617711429734441</v>
      </c>
      <c r="BI290" s="137">
        <f>$W290*AN290+$L290*Summary_LCIA!AE$32</f>
        <v>0.3749247027880937</v>
      </c>
      <c r="BJ290" s="137">
        <f>$W290*AO290+$L290*Summary_LCIA!AF$32</f>
        <v>6.5151347244382415E-2</v>
      </c>
      <c r="BK290" s="137">
        <f>$W290*AP290+$L290*Summary_LCIA!AG$32</f>
        <v>8.4335976943824206E-3</v>
      </c>
      <c r="BL290" s="137">
        <f>$W290*AQ290+$L290*Summary_LCIA!AH$32</f>
        <v>1.2867178600993991</v>
      </c>
      <c r="BM290" s="137">
        <f>$W290*AR290+$L290*Summary_LCIA!AI$32</f>
        <v>0.34439322962389879</v>
      </c>
    </row>
    <row r="291" spans="1:65" x14ac:dyDescent="0.25">
      <c r="A291" s="149">
        <v>198</v>
      </c>
      <c r="B291" s="149">
        <v>16</v>
      </c>
      <c r="C291" s="61">
        <v>33.875292999999999</v>
      </c>
      <c r="D291" s="61">
        <v>-117.56643800000001</v>
      </c>
      <c r="E291" s="61" t="s">
        <v>265</v>
      </c>
      <c r="F291" s="149">
        <v>102</v>
      </c>
      <c r="G291" s="61" t="s">
        <v>695</v>
      </c>
      <c r="H291" s="61" t="s">
        <v>696</v>
      </c>
      <c r="I291" s="61">
        <v>33.676189999999998</v>
      </c>
      <c r="J291" s="61">
        <v>-117.867476</v>
      </c>
      <c r="K291" s="61">
        <v>43.554003680000001</v>
      </c>
      <c r="L291" s="61">
        <v>47.546999999999997</v>
      </c>
      <c r="M291" s="61" t="s">
        <v>617</v>
      </c>
      <c r="N291" s="149">
        <v>15</v>
      </c>
      <c r="O291" s="149">
        <v>16</v>
      </c>
      <c r="P291" s="61" t="s">
        <v>565</v>
      </c>
      <c r="Q291" s="61" t="s">
        <v>556</v>
      </c>
      <c r="R291" s="61">
        <v>39.856096299999997</v>
      </c>
      <c r="S291" s="61">
        <v>-104.6737376</v>
      </c>
      <c r="T291" s="61">
        <v>1630.646</v>
      </c>
      <c r="U291" s="61" t="s">
        <v>617</v>
      </c>
      <c r="V291" s="61" t="s">
        <v>569</v>
      </c>
      <c r="W291" s="61" cm="1">
        <f t="array" ref="W291">getDistance(I291,J291,R291,S291)*SA!$B$12</f>
        <v>1361.6958499190428</v>
      </c>
      <c r="Y291" s="137">
        <f>Transportation_LCIA!C$61*($W291^Transportation_LCIA!C$60)+Transportation_LCIA!C$62</f>
        <v>0.2073097191939122</v>
      </c>
      <c r="Z291" s="137">
        <f>Transportation_LCIA!D$61*($W291^Transportation_LCIA!D$60)+Transportation_LCIA!D$62</f>
        <v>2.0939747254592413</v>
      </c>
      <c r="AA291" s="137">
        <f>Transportation_LCIA!E$61*($W291^Transportation_LCIA!E$60)+Transportation_LCIA!E$62</f>
        <v>9.2669194996962802E-4</v>
      </c>
      <c r="AB291" s="137">
        <f>Transportation_LCIA!F$61*($W291^Transportation_LCIA!F$60)+Transportation_LCIA!F$62</f>
        <v>0.2073097191939122</v>
      </c>
      <c r="AC291" s="137">
        <f>Transportation_LCIA!G$61*($W291^Transportation_LCIA!G$60)+Transportation_LCIA!G$62</f>
        <v>4.9015017544409754E-2</v>
      </c>
      <c r="AD291" s="137">
        <f>Transportation_LCIA!H$61*($W291^Transportation_LCIA!H$60)+Transportation_LCIA!H$62</f>
        <v>2.2911401068772993E-4</v>
      </c>
      <c r="AE291" s="137">
        <f>Transportation_LCIA!I$61*($W291^Transportation_LCIA!I$60)+Transportation_LCIA!I$62</f>
        <v>4.7267039245540335E-6</v>
      </c>
      <c r="AF291" s="137">
        <f>Transportation_LCIA!J$61*($W291^Transportation_LCIA!J$60)+Transportation_LCIA!J$62</f>
        <v>6.991485436087257E-3</v>
      </c>
      <c r="AG291" s="137">
        <f>Transportation_LCIA!K$61*($W291^Transportation_LCIA!K$60)+Transportation_LCIA!K$62</f>
        <v>1.0271832524653994E-2</v>
      </c>
      <c r="AH291" s="137">
        <f>Transportation_LCIA!L$61*($W291^Transportation_LCIA!L$60)+Transportation_LCIA!L$62</f>
        <v>1.9611776885917096E-4</v>
      </c>
      <c r="AI291" s="137">
        <f>Transportation_LCIA!M$61*($W291^Transportation_LCIA!M$60)+Transportation_LCIA!M$62</f>
        <v>2.1729791258452854E-4</v>
      </c>
      <c r="AJ291" s="137">
        <f>Transportation_LCIA!N$61*($W291^Transportation_LCIA!N$60)+Transportation_LCIA!N$62</f>
        <v>8.2946197414442288E-4</v>
      </c>
      <c r="AK291" s="137">
        <f>Transportation_LCIA!O$61*($W291^Transportation_LCIA!O$60)+Transportation_LCIA!O$62</f>
        <v>5.1750222729688768E-5</v>
      </c>
      <c r="AL291" s="137">
        <f>Transportation_LCIA!P$61*($W291^Transportation_LCIA!P$60)+Transportation_LCIA!P$62</f>
        <v>2.504796532688886E-8</v>
      </c>
      <c r="AM291" s="137">
        <f>Transportation_LCIA!Q$61*($W291^Transportation_LCIA!Q$60)+Transportation_LCIA!Q$62</f>
        <v>7.785810123424859E-5</v>
      </c>
      <c r="AN291" s="137">
        <f>Transportation_LCIA!R$61*($W291^Transportation_LCIA!R$60)+Transportation_LCIA!R$62</f>
        <v>2.275106162676845E-4</v>
      </c>
      <c r="AO291" s="137">
        <f>Transportation_LCIA!S$61*($W291^Transportation_LCIA!S$60)+Transportation_LCIA!S$62</f>
        <v>3.4860917489916618E-6</v>
      </c>
      <c r="AP291" s="137">
        <f>Transportation_LCIA!T$61*($W291^Transportation_LCIA!T$60)+Transportation_LCIA!T$62</f>
        <v>3.4860917489916618E-6</v>
      </c>
      <c r="AQ291" s="137">
        <f>Transportation_LCIA!U$61*($W291^Transportation_LCIA!U$60)+Transportation_LCIA!U$62</f>
        <v>4.8576884936546861E-4</v>
      </c>
      <c r="AR291" s="137">
        <f>Transportation_LCIA!V$61*($W291^Transportation_LCIA!V$60)+Transportation_LCIA!V$62</f>
        <v>2.0251808924873476E-4</v>
      </c>
      <c r="AT291" s="137">
        <f>$W291*Y291+$L291*Summary_LCIA!H$32</f>
        <v>298.44925487423234</v>
      </c>
      <c r="AU291" s="137">
        <f>$W291*Z291+$L291*Summary_LCIA!Q$32</f>
        <v>3087.0020234310668</v>
      </c>
      <c r="AV291" s="137">
        <f>$W291*AA291+$L291*Summary_LCIA!R$32</f>
        <v>1.5122360656270275</v>
      </c>
      <c r="AW291" s="137">
        <f>$W291*AB291+$L291*Summary_LCIA!S$32</f>
        <v>298.23909713423234</v>
      </c>
      <c r="AX291" s="137">
        <f>$W291*AC291+$L291*Summary_LCIA!T$32</f>
        <v>71.968961273931825</v>
      </c>
      <c r="AY291" s="137">
        <f>$W291*AD291+$L291*Summary_LCIA!U$32</f>
        <v>1.163740555511789</v>
      </c>
      <c r="AZ291" s="137">
        <f>$W291*AE291+$L291*Summary_LCIA!V$32</f>
        <v>8.707225384861279E-3</v>
      </c>
      <c r="BA291" s="137">
        <f>$W291*AF291+$L291*Summary_LCIA!W$32</f>
        <v>13.180016840089447</v>
      </c>
      <c r="BB291" s="137">
        <f>$W291*AG291+$L291*Summary_LCIA!X$32</f>
        <v>15.070232379884787</v>
      </c>
      <c r="BC291" s="137">
        <f>$W291*AH291+$L291*Summary_LCIA!Y$32</f>
        <v>1.0079301059509151</v>
      </c>
      <c r="BD291" s="137">
        <f>$W291*AI291+$L291*Summary_LCIA!Z$32</f>
        <v>0.29784352068542341</v>
      </c>
      <c r="BE291" s="137">
        <f>$W291*AJ291+$L291*Summary_LCIA!AA$32</f>
        <v>2.239982659858117</v>
      </c>
      <c r="BF291" s="137">
        <f>$W291*AK291+$L291*Summary_LCIA!AB$32</f>
        <v>6.9430445342403321E-2</v>
      </c>
      <c r="BG291" s="137">
        <f>$W291*AL291+$L291*Summary_LCIA!AC$32</f>
        <v>3.6431997982540639E-5</v>
      </c>
      <c r="BH291" s="137">
        <f>$W291*AM291+$L291*Summary_LCIA!AD$32</f>
        <v>0.12556277221325302</v>
      </c>
      <c r="BI291" s="137">
        <f>$W291*AN291+$L291*Summary_LCIA!AE$32</f>
        <v>0.35193308509422982</v>
      </c>
      <c r="BJ291" s="137">
        <f>$W291*AO291+$L291*Summary_LCIA!AF$32</f>
        <v>4.4944181407038965E-2</v>
      </c>
      <c r="BK291" s="137">
        <f>$W291*AP291+$L291*Summary_LCIA!AG$32</f>
        <v>7.1797389220389632E-3</v>
      </c>
      <c r="BL291" s="137">
        <f>$W291*AQ291+$L291*Summary_LCIA!AH$32</f>
        <v>1.0752994954009072</v>
      </c>
      <c r="BM291" s="137">
        <f>$W291*AR291+$L291*Summary_LCIA!AI$32</f>
        <v>0.3200604495135364</v>
      </c>
    </row>
    <row r="292" spans="1:65" x14ac:dyDescent="0.25">
      <c r="A292" s="149">
        <v>232</v>
      </c>
      <c r="B292" s="149">
        <v>16</v>
      </c>
      <c r="C292" s="61">
        <v>29.760427</v>
      </c>
      <c r="D292" s="61">
        <v>-95.369803000000005</v>
      </c>
      <c r="E292" s="61" t="s">
        <v>265</v>
      </c>
      <c r="F292" s="149">
        <v>96</v>
      </c>
      <c r="G292" s="61" t="s">
        <v>267</v>
      </c>
      <c r="H292" s="61" t="s">
        <v>703</v>
      </c>
      <c r="I292" s="61">
        <v>29.645907999999999</v>
      </c>
      <c r="J292" s="61">
        <v>-95.276904999999999</v>
      </c>
      <c r="K292" s="61">
        <v>23.33220326</v>
      </c>
      <c r="L292" s="61">
        <v>20.425999999999998</v>
      </c>
      <c r="M292" s="61" t="s">
        <v>617</v>
      </c>
      <c r="N292" s="149">
        <v>15</v>
      </c>
      <c r="O292" s="149">
        <v>16</v>
      </c>
      <c r="P292" s="61" t="s">
        <v>565</v>
      </c>
      <c r="Q292" s="61" t="s">
        <v>556</v>
      </c>
      <c r="R292" s="61">
        <v>39.856096299999997</v>
      </c>
      <c r="S292" s="61">
        <v>-104.6737376</v>
      </c>
      <c r="T292" s="61">
        <v>1631.874</v>
      </c>
      <c r="U292" s="61" t="s">
        <v>617</v>
      </c>
      <c r="V292" s="61" t="s">
        <v>569</v>
      </c>
      <c r="W292" s="61" cm="1">
        <f t="array" ref="W292">getDistance(I292,J292,R292,S292)*SA!$B$12</f>
        <v>1422.59871577852</v>
      </c>
      <c r="Y292" s="137">
        <f>Transportation_LCIA!C$61*($W292^Transportation_LCIA!C$60)+Transportation_LCIA!C$62</f>
        <v>0.20387063746892725</v>
      </c>
      <c r="Z292" s="137">
        <f>Transportation_LCIA!D$61*($W292^Transportation_LCIA!D$60)+Transportation_LCIA!D$62</f>
        <v>2.0544200296389645</v>
      </c>
      <c r="AA292" s="137">
        <f>Transportation_LCIA!E$61*($W292^Transportation_LCIA!E$60)+Transportation_LCIA!E$62</f>
        <v>9.0079138116719239E-4</v>
      </c>
      <c r="AB292" s="137">
        <f>Transportation_LCIA!F$61*($W292^Transportation_LCIA!F$60)+Transportation_LCIA!F$62</f>
        <v>0.20387063746892725</v>
      </c>
      <c r="AC292" s="137">
        <f>Transportation_LCIA!G$61*($W292^Transportation_LCIA!G$60)+Transportation_LCIA!G$62</f>
        <v>4.8099113300364496E-2</v>
      </c>
      <c r="AD292" s="137">
        <f>Transportation_LCIA!H$61*($W292^Transportation_LCIA!H$60)+Transportation_LCIA!H$62</f>
        <v>2.2346480986040735E-4</v>
      </c>
      <c r="AE292" s="137">
        <f>Transportation_LCIA!I$61*($W292^Transportation_LCIA!I$60)+Transportation_LCIA!I$62</f>
        <v>4.5863311935595978E-6</v>
      </c>
      <c r="AF292" s="137">
        <f>Transportation_LCIA!J$61*($W292^Transportation_LCIA!J$60)+Transportation_LCIA!J$62</f>
        <v>6.7842020784601833E-3</v>
      </c>
      <c r="AG292" s="137">
        <f>Transportation_LCIA!K$61*($W292^Transportation_LCIA!K$60)+Transportation_LCIA!K$62</f>
        <v>1.0059595327195327E-2</v>
      </c>
      <c r="AH292" s="137">
        <f>Transportation_LCIA!L$61*($W292^Transportation_LCIA!L$60)+Transportation_LCIA!L$62</f>
        <v>1.9094344459658094E-4</v>
      </c>
      <c r="AI292" s="137">
        <f>Transportation_LCIA!M$61*($W292^Transportation_LCIA!M$60)+Transportation_LCIA!M$62</f>
        <v>2.141815410667555E-4</v>
      </c>
      <c r="AJ292" s="137">
        <f>Transportation_LCIA!N$61*($W292^Transportation_LCIA!N$60)+Transportation_LCIA!N$62</f>
        <v>8.1044878308268883E-4</v>
      </c>
      <c r="AK292" s="137">
        <f>Transportation_LCIA!O$61*($W292^Transportation_LCIA!O$60)+Transportation_LCIA!O$62</f>
        <v>5.0777345509504489E-5</v>
      </c>
      <c r="AL292" s="137">
        <f>Transportation_LCIA!P$61*($W292^Transportation_LCIA!P$60)+Transportation_LCIA!P$62</f>
        <v>2.4579710114852363E-8</v>
      </c>
      <c r="AM292" s="137">
        <f>Transportation_LCIA!Q$61*($W292^Transportation_LCIA!Q$60)+Transportation_LCIA!Q$62</f>
        <v>7.5838967286885207E-5</v>
      </c>
      <c r="AN292" s="137">
        <f>Transportation_LCIA!R$61*($W292^Transportation_LCIA!R$60)+Transportation_LCIA!R$62</f>
        <v>2.207814437101458E-4</v>
      </c>
      <c r="AO292" s="137">
        <f>Transportation_LCIA!S$61*($W292^Transportation_LCIA!S$60)+Transportation_LCIA!S$62</f>
        <v>3.3905348815917429E-6</v>
      </c>
      <c r="AP292" s="137">
        <f>Transportation_LCIA!T$61*($W292^Transportation_LCIA!T$60)+Transportation_LCIA!T$62</f>
        <v>3.3905348815917429E-6</v>
      </c>
      <c r="AQ292" s="137">
        <f>Transportation_LCIA!U$61*($W292^Transportation_LCIA!U$60)+Transportation_LCIA!U$62</f>
        <v>4.7104802144508069E-4</v>
      </c>
      <c r="AR292" s="137">
        <f>Transportation_LCIA!V$61*($W292^Transportation_LCIA!V$60)+Transportation_LCIA!V$62</f>
        <v>1.9727882574180556E-4</v>
      </c>
      <c r="AT292" s="137">
        <f>$W292*Y292+$L292*Summary_LCIA!H$32</f>
        <v>296.96686184824409</v>
      </c>
      <c r="AU292" s="137">
        <f>$W292*Z292+$L292*Summary_LCIA!Q$32</f>
        <v>3023.8475819785181</v>
      </c>
      <c r="AV292" s="137">
        <f>$W292*AA292+$L292*Summary_LCIA!R$32</f>
        <v>1.3890198076328071</v>
      </c>
      <c r="AW292" s="137">
        <f>$W292*AB292+$L292*Summary_LCIA!S$32</f>
        <v>296.8765789282441</v>
      </c>
      <c r="AX292" s="137">
        <f>$W292*AC292+$L292*Summary_LCIA!T$32</f>
        <v>70.670554211184069</v>
      </c>
      <c r="AY292" s="137">
        <f>$W292*AD292+$L292*Summary_LCIA!U$32</f>
        <v>0.68381211552910659</v>
      </c>
      <c r="AZ292" s="137">
        <f>$W292*AE292+$L292*Summary_LCIA!V$32</f>
        <v>7.500075052092851E-3</v>
      </c>
      <c r="BA292" s="137">
        <f>$W292*AF292+$L292*Summary_LCIA!W$32</f>
        <v>11.223406810399423</v>
      </c>
      <c r="BB292" s="137">
        <f>$W292*AG292+$L292*Summary_LCIA!X$32</f>
        <v>14.776071673719674</v>
      </c>
      <c r="BC292" s="137">
        <f>$W292*AH292+$L292*Summary_LCIA!Y$32</f>
        <v>0.58991383106942297</v>
      </c>
      <c r="BD292" s="137">
        <f>$W292*AI292+$L292*Summary_LCIA!Z$32</f>
        <v>0.30553203509903071</v>
      </c>
      <c r="BE292" s="137">
        <f>$W292*AJ292+$L292*Summary_LCIA!AA$32</f>
        <v>1.6300130540176974</v>
      </c>
      <c r="BF292" s="137">
        <f>$W292*AK292+$L292*Summary_LCIA!AB$32</f>
        <v>7.1790029914463288E-2</v>
      </c>
      <c r="BG292" s="137">
        <f>$W292*AL292+$L292*Summary_LCIA!AC$32</f>
        <v>3.5965568627597271E-5</v>
      </c>
      <c r="BH292" s="137">
        <f>$W292*AM292+$L292*Summary_LCIA!AD$32</f>
        <v>0.11628432050829209</v>
      </c>
      <c r="BI292" s="137">
        <f>$W292*AN292+$L292*Summary_LCIA!AE$32</f>
        <v>0.33218348966978106</v>
      </c>
      <c r="BJ292" s="137">
        <f>$W292*AO292+$L292*Summary_LCIA!AF$32</f>
        <v>2.2091919488354688E-2</v>
      </c>
      <c r="BK292" s="137">
        <f>$W292*AP292+$L292*Summary_LCIA!AG$32</f>
        <v>5.8684668583546904E-3</v>
      </c>
      <c r="BL292" s="137">
        <f>$W292*AQ292+$L292*Summary_LCIA!AH$32</f>
        <v>0.8478920439777845</v>
      </c>
      <c r="BM292" s="137">
        <f>$W292*AR292+$L292*Summary_LCIA!AI$32</f>
        <v>0.299676444450587</v>
      </c>
    </row>
    <row r="293" spans="1:65" x14ac:dyDescent="0.25">
      <c r="A293" s="149">
        <v>252</v>
      </c>
      <c r="B293" s="149">
        <v>16</v>
      </c>
      <c r="C293" s="61">
        <v>34.029510999999999</v>
      </c>
      <c r="D293" s="61">
        <v>-118.28482</v>
      </c>
      <c r="E293" s="61" t="s">
        <v>265</v>
      </c>
      <c r="F293" s="149">
        <v>3</v>
      </c>
      <c r="G293" s="61" t="s">
        <v>565</v>
      </c>
      <c r="H293" s="61" t="s">
        <v>710</v>
      </c>
      <c r="I293" s="61">
        <v>33.941589</v>
      </c>
      <c r="J293" s="61">
        <v>-118.40853</v>
      </c>
      <c r="K293" s="61">
        <v>18.890506299999998</v>
      </c>
      <c r="L293" s="61">
        <v>28.658000000000001</v>
      </c>
      <c r="M293" s="61" t="s">
        <v>617</v>
      </c>
      <c r="N293" s="149">
        <v>15</v>
      </c>
      <c r="O293" s="149">
        <v>16</v>
      </c>
      <c r="P293" s="61" t="s">
        <v>565</v>
      </c>
      <c r="Q293" s="61" t="s">
        <v>556</v>
      </c>
      <c r="R293" s="61">
        <v>39.856096299999997</v>
      </c>
      <c r="S293" s="61">
        <v>-104.6737376</v>
      </c>
      <c r="T293" s="61">
        <v>1680.5740000000001</v>
      </c>
      <c r="U293" s="61" t="s">
        <v>617</v>
      </c>
      <c r="V293" s="61" t="s">
        <v>569</v>
      </c>
      <c r="W293" s="61" cm="1">
        <f t="array" ref="W293">getDistance(I293,J293,R293,S293)*SA!$B$12</f>
        <v>1387.4843900842295</v>
      </c>
      <c r="Y293" s="137">
        <f>Transportation_LCIA!C$61*($W293^Transportation_LCIA!C$60)+Transportation_LCIA!C$62</f>
        <v>0.20581960547079264</v>
      </c>
      <c r="Z293" s="137">
        <f>Transportation_LCIA!D$61*($W293^Transportation_LCIA!D$60)+Transportation_LCIA!D$62</f>
        <v>2.0768269228976033</v>
      </c>
      <c r="AA293" s="137">
        <f>Transportation_LCIA!E$61*($W293^Transportation_LCIA!E$60)+Transportation_LCIA!E$62</f>
        <v>9.1546180581945479E-4</v>
      </c>
      <c r="AB293" s="137">
        <f>Transportation_LCIA!F$61*($W293^Transportation_LCIA!F$60)+Transportation_LCIA!F$62</f>
        <v>0.20581960547079264</v>
      </c>
      <c r="AC293" s="137">
        <f>Transportation_LCIA!G$61*($W293^Transportation_LCIA!G$60)+Transportation_LCIA!G$62</f>
        <v>4.8617966007577562E-2</v>
      </c>
      <c r="AD293" s="137">
        <f>Transportation_LCIA!H$61*($W293^Transportation_LCIA!H$60)+Transportation_LCIA!H$62</f>
        <v>2.2666386102590741E-4</v>
      </c>
      <c r="AE293" s="137">
        <f>Transportation_LCIA!I$61*($W293^Transportation_LCIA!I$60)+Transportation_LCIA!I$62</f>
        <v>4.6657927511086472E-6</v>
      </c>
      <c r="AF293" s="137">
        <f>Transportation_LCIA!J$61*($W293^Transportation_LCIA!J$60)+Transportation_LCIA!J$62</f>
        <v>6.9015118773160409E-3</v>
      </c>
      <c r="AG293" s="137">
        <f>Transportation_LCIA!K$61*($W293^Transportation_LCIA!K$60)+Transportation_LCIA!K$62</f>
        <v>1.0179801080725534E-2</v>
      </c>
      <c r="AH293" s="137">
        <f>Transportation_LCIA!L$61*($W293^Transportation_LCIA!L$60)+Transportation_LCIA!L$62</f>
        <v>1.9387327379532753E-4</v>
      </c>
      <c r="AI293" s="137">
        <f>Transportation_LCIA!M$61*($W293^Transportation_LCIA!M$60)+Transportation_LCIA!M$62</f>
        <v>2.1594626994717386E-4</v>
      </c>
      <c r="AJ293" s="137">
        <f>Transportation_LCIA!N$61*($W293^Transportation_LCIA!N$60)+Transportation_LCIA!N$62</f>
        <v>8.2121596088846074E-4</v>
      </c>
      <c r="AK293" s="137">
        <f>Transportation_LCIA!O$61*($W293^Transportation_LCIA!O$60)+Transportation_LCIA!O$62</f>
        <v>5.1328466739394509E-5</v>
      </c>
      <c r="AL293" s="137">
        <f>Transportation_LCIA!P$61*($W293^Transportation_LCIA!P$60)+Transportation_LCIA!P$62</f>
        <v>2.4844978207030577E-8</v>
      </c>
      <c r="AM293" s="137">
        <f>Transportation_LCIA!Q$61*($W293^Transportation_LCIA!Q$60)+Transportation_LCIA!Q$62</f>
        <v>7.6982185894126267E-5</v>
      </c>
      <c r="AN293" s="137">
        <f>Transportation_LCIA!R$61*($W293^Transportation_LCIA!R$60)+Transportation_LCIA!R$62</f>
        <v>2.2459062924110718E-4</v>
      </c>
      <c r="AO293" s="137">
        <f>Transportation_LCIA!S$61*($W293^Transportation_LCIA!S$60)+Transportation_LCIA!S$62</f>
        <v>3.4446276891640986E-6</v>
      </c>
      <c r="AP293" s="137">
        <f>Transportation_LCIA!T$61*($W293^Transportation_LCIA!T$60)+Transportation_LCIA!T$62</f>
        <v>3.4446276891640986E-6</v>
      </c>
      <c r="AQ293" s="137">
        <f>Transportation_LCIA!U$61*($W293^Transportation_LCIA!U$60)+Transportation_LCIA!U$62</f>
        <v>4.7938046479033795E-4</v>
      </c>
      <c r="AR293" s="137">
        <f>Transportation_LCIA!V$61*($W293^Transportation_LCIA!V$60)+Transportation_LCIA!V$62</f>
        <v>2.0024504180833207E-4</v>
      </c>
      <c r="AT293" s="137">
        <f>$W293*Y293+$L293*Summary_LCIA!H$32</f>
        <v>295.30947816401948</v>
      </c>
      <c r="AU293" s="137">
        <f>$W293*Z293+$L293*Summary_LCIA!Q$32</f>
        <v>3023.5954297360026</v>
      </c>
      <c r="AV293" s="137">
        <f>$W293*AA293+$L293*Summary_LCIA!R$32</f>
        <v>1.4210905300928136</v>
      </c>
      <c r="AW293" s="137">
        <f>$W293*AB293+$L293*Summary_LCIA!S$32</f>
        <v>295.18280980401948</v>
      </c>
      <c r="AX293" s="137">
        <f>$W293*AC293+$L293*Summary_LCIA!T$32</f>
        <v>70.60618311315956</v>
      </c>
      <c r="AY293" s="137">
        <f>$W293*AD293+$L293*Summary_LCIA!U$32</f>
        <v>0.82787198096966774</v>
      </c>
      <c r="AZ293" s="137">
        <f>$W293*AE293+$L293*Summary_LCIA!V$32</f>
        <v>7.8424493475314008E-3</v>
      </c>
      <c r="BA293" s="137">
        <f>$W293*AF293+$L293*Summary_LCIA!W$32</f>
        <v>11.781574915756913</v>
      </c>
      <c r="BB293" s="137">
        <f>$W293*AG293+$L293*Summary_LCIA!X$32</f>
        <v>14.77714433366925</v>
      </c>
      <c r="BC293" s="137">
        <f>$W293*AH293+$L293*Summary_LCIA!Y$32</f>
        <v>0.71554509704554292</v>
      </c>
      <c r="BD293" s="137">
        <f>$W293*AI293+$L293*Summary_LCIA!Z$32</f>
        <v>0.30079731457061887</v>
      </c>
      <c r="BE293" s="137">
        <f>$W293*AJ293+$L293*Summary_LCIA!AA$32</f>
        <v>1.8087605746207605</v>
      </c>
      <c r="BF293" s="137">
        <f>$W293*AK293+$L293*Summary_LCIA!AB$32</f>
        <v>7.0592042833867455E-2</v>
      </c>
      <c r="BG293" s="137">
        <f>$W293*AL293+$L293*Summary_LCIA!AC$32</f>
        <v>3.5872937106237794E-5</v>
      </c>
      <c r="BH293" s="137">
        <f>$W293*AM293+$L293*Summary_LCIA!AD$32</f>
        <v>0.11859116556266255</v>
      </c>
      <c r="BI293" s="137">
        <f>$W293*AN293+$L293*Summary_LCIA!AE$32</f>
        <v>0.33701070577123093</v>
      </c>
      <c r="BJ293" s="137">
        <f>$W293*AO293+$L293*Summary_LCIA!AF$32</f>
        <v>2.9007413508367101E-2</v>
      </c>
      <c r="BK293" s="137">
        <f>$W293*AP293+$L293*Summary_LCIA!AG$32</f>
        <v>6.2456537183670988E-3</v>
      </c>
      <c r="BL293" s="137">
        <f>$W293*AQ293+$L293*Summary_LCIA!AH$32</f>
        <v>0.91456068060791662</v>
      </c>
      <c r="BM293" s="137">
        <f>$W293*AR293+$L293*Summary_LCIA!AI$32</f>
        <v>0.30453322960082468</v>
      </c>
    </row>
    <row r="294" spans="1:65" x14ac:dyDescent="0.25">
      <c r="A294" s="149">
        <v>155</v>
      </c>
      <c r="B294" s="149">
        <v>16</v>
      </c>
      <c r="C294" s="61">
        <v>30.080174</v>
      </c>
      <c r="D294" s="61">
        <v>-94.126555999999994</v>
      </c>
      <c r="E294" s="61" t="s">
        <v>265</v>
      </c>
      <c r="F294" s="149">
        <v>47</v>
      </c>
      <c r="G294" s="61" t="s">
        <v>565</v>
      </c>
      <c r="H294" s="61" t="s">
        <v>688</v>
      </c>
      <c r="I294" s="61">
        <v>29.990220000000001</v>
      </c>
      <c r="J294" s="61">
        <v>-95.336782999999997</v>
      </c>
      <c r="K294" s="61">
        <v>117.32741729999999</v>
      </c>
      <c r="L294" s="61">
        <v>153.17099999999999</v>
      </c>
      <c r="M294" s="61" t="s">
        <v>617</v>
      </c>
      <c r="N294" s="149">
        <v>15</v>
      </c>
      <c r="O294" s="149">
        <v>16</v>
      </c>
      <c r="P294" s="61" t="s">
        <v>565</v>
      </c>
      <c r="Q294" s="61" t="s">
        <v>556</v>
      </c>
      <c r="R294" s="61">
        <v>39.856096299999997</v>
      </c>
      <c r="S294" s="61">
        <v>-104.6737376</v>
      </c>
      <c r="T294" s="61">
        <v>1706.627</v>
      </c>
      <c r="U294" s="61" t="s">
        <v>617</v>
      </c>
      <c r="V294" s="61" t="s">
        <v>569</v>
      </c>
      <c r="W294" s="61" cm="1">
        <f t="array" ref="W294">getDistance(I294,J294,R294,S294)*SA!$B$12</f>
        <v>1387.9132257585461</v>
      </c>
      <c r="Y294" s="137">
        <f>Transportation_LCIA!C$61*($W294^Transportation_LCIA!C$60)+Transportation_LCIA!C$62</f>
        <v>0.20579525705276458</v>
      </c>
      <c r="Z294" s="137">
        <f>Transportation_LCIA!D$61*($W294^Transportation_LCIA!D$60)+Transportation_LCIA!D$62</f>
        <v>2.0765468445420829</v>
      </c>
      <c r="AA294" s="137">
        <f>Transportation_LCIA!E$61*($W294^Transportation_LCIA!E$60)+Transportation_LCIA!E$62</f>
        <v>9.1527840311280795E-4</v>
      </c>
      <c r="AB294" s="137">
        <f>Transportation_LCIA!F$61*($W294^Transportation_LCIA!F$60)+Transportation_LCIA!F$62</f>
        <v>0.20579525705276458</v>
      </c>
      <c r="AC294" s="137">
        <f>Transportation_LCIA!G$61*($W294^Transportation_LCIA!G$60)+Transportation_LCIA!G$62</f>
        <v>4.8611480731504453E-2</v>
      </c>
      <c r="AD294" s="137">
        <f>Transportation_LCIA!H$61*($W294^Transportation_LCIA!H$60)+Transportation_LCIA!H$62</f>
        <v>2.2662385614924451E-4</v>
      </c>
      <c r="AE294" s="137">
        <f>Transportation_LCIA!I$61*($W294^Transportation_LCIA!I$60)+Transportation_LCIA!I$62</f>
        <v>4.664798591597283E-6</v>
      </c>
      <c r="AF294" s="137">
        <f>Transportation_LCIA!J$61*($W294^Transportation_LCIA!J$60)+Transportation_LCIA!J$62</f>
        <v>6.9000437332686158E-3</v>
      </c>
      <c r="AG294" s="137">
        <f>Transportation_LCIA!K$61*($W294^Transportation_LCIA!K$60)+Transportation_LCIA!K$62</f>
        <v>1.0178298192258982E-2</v>
      </c>
      <c r="AH294" s="137">
        <f>Transportation_LCIA!L$61*($W294^Transportation_LCIA!L$60)+Transportation_LCIA!L$62</f>
        <v>1.9383663062244881E-4</v>
      </c>
      <c r="AI294" s="137">
        <f>Transportation_LCIA!M$61*($W294^Transportation_LCIA!M$60)+Transportation_LCIA!M$62</f>
        <v>2.159242012470611E-4</v>
      </c>
      <c r="AJ294" s="137">
        <f>Transportation_LCIA!N$61*($W294^Transportation_LCIA!N$60)+Transportation_LCIA!N$62</f>
        <v>8.2108131993988739E-4</v>
      </c>
      <c r="AK294" s="137">
        <f>Transportation_LCIA!O$61*($W294^Transportation_LCIA!O$60)+Transportation_LCIA!O$62</f>
        <v>5.1321578029541128E-5</v>
      </c>
      <c r="AL294" s="137">
        <f>Transportation_LCIA!P$61*($W294^Transportation_LCIA!P$60)+Transportation_LCIA!P$62</f>
        <v>2.4841662634578297E-8</v>
      </c>
      <c r="AM294" s="137">
        <f>Transportation_LCIA!Q$61*($W294^Transportation_LCIA!Q$60)+Transportation_LCIA!Q$62</f>
        <v>7.6967886691158753E-5</v>
      </c>
      <c r="AN294" s="137">
        <f>Transportation_LCIA!R$61*($W294^Transportation_LCIA!R$60)+Transportation_LCIA!R$62</f>
        <v>2.2454297120611953E-4</v>
      </c>
      <c r="AO294" s="137">
        <f>Transportation_LCIA!S$61*($W294^Transportation_LCIA!S$60)+Transportation_LCIA!S$62</f>
        <v>3.4439509298357079E-6</v>
      </c>
      <c r="AP294" s="137">
        <f>Transportation_LCIA!T$61*($W294^Transportation_LCIA!T$60)+Transportation_LCIA!T$62</f>
        <v>3.4439509298357079E-6</v>
      </c>
      <c r="AQ294" s="137">
        <f>Transportation_LCIA!U$61*($W294^Transportation_LCIA!U$60)+Transportation_LCIA!U$62</f>
        <v>4.792762052799418E-4</v>
      </c>
      <c r="AR294" s="137">
        <f>Transportation_LCIA!V$61*($W294^Transportation_LCIA!V$60)+Transportation_LCIA!V$62</f>
        <v>2.0020793733126354E-4</v>
      </c>
      <c r="AT294" s="137">
        <f>$W294*Y294+$L294*Summary_LCIA!H$32</f>
        <v>337.67346486191167</v>
      </c>
      <c r="AU294" s="137">
        <f>$W294*Z294+$L294*Summary_LCIA!Q$32</f>
        <v>3641.1900303201755</v>
      </c>
      <c r="AV294" s="137">
        <f>$W294*AA294+$L294*Summary_LCIA!R$32</f>
        <v>2.0768642185314281</v>
      </c>
      <c r="AW294" s="137">
        <f>$W294*AB294+$L294*Summary_LCIA!S$32</f>
        <v>336.99644904191166</v>
      </c>
      <c r="AX294" s="137">
        <f>$W294*AC294+$L294*Summary_LCIA!T$32</f>
        <v>84.302009930961745</v>
      </c>
      <c r="AY294" s="137">
        <f>$W294*AD294+$L294*Summary_LCIA!U$32</f>
        <v>3.0584395412219383</v>
      </c>
      <c r="AZ294" s="137">
        <f>$W294*AE294+$L294*Summary_LCIA!V$32</f>
        <v>1.3789935791777707E-2</v>
      </c>
      <c r="BA294" s="137">
        <f>$W294*AF294+$L294*Summary_LCIA!W$32</f>
        <v>21.366386996715882</v>
      </c>
      <c r="BB294" s="137">
        <f>$W294*AG294+$L294*Summary_LCIA!X$32</f>
        <v>17.615830056750543</v>
      </c>
      <c r="BC294" s="137">
        <f>$W294*AH294+$L294*Summary_LCIA!Y$32</f>
        <v>2.6557389452773705</v>
      </c>
      <c r="BD294" s="137">
        <f>$W294*AI294+$L294*Summary_LCIA!Z$32</f>
        <v>0.30596544421114602</v>
      </c>
      <c r="BE294" s="137">
        <f>$W294*AJ294+$L294*Summary_LCIA!AA$32</f>
        <v>4.7170514993678534</v>
      </c>
      <c r="BF294" s="137">
        <f>$W294*AK294+$L294*Summary_LCIA!AB$32</f>
        <v>6.7887246180999353E-2</v>
      </c>
      <c r="BG294" s="137">
        <f>$W294*AL294+$L294*Summary_LCIA!AC$32</f>
        <v>4.1965683284363106E-5</v>
      </c>
      <c r="BH294" s="137">
        <f>$W294*AM294+$L294*Summary_LCIA!AD$32</f>
        <v>0.1697841557373444</v>
      </c>
      <c r="BI294" s="137">
        <f>$W294*AN294+$L294*Summary_LCIA!AE$32</f>
        <v>0.44737557771809366</v>
      </c>
      <c r="BJ294" s="137">
        <f>$W294*AO294+$L294*Summary_LCIA!AF$32</f>
        <v>0.13427373186438241</v>
      </c>
      <c r="BK294" s="137">
        <f>$W294*AP294+$L294*Summary_LCIA!AG$32</f>
        <v>1.2616899259382423E-2</v>
      </c>
      <c r="BL294" s="137">
        <f>$W294*AQ294+$L294*Summary_LCIA!AH$32</f>
        <v>1.9983328996993992</v>
      </c>
      <c r="BM294" s="137">
        <f>$W294*AR294+$L294*Summary_LCIA!AI$32</f>
        <v>0.4205576891738988</v>
      </c>
    </row>
    <row r="295" spans="1:65" x14ac:dyDescent="0.25">
      <c r="A295" s="149">
        <v>156</v>
      </c>
      <c r="B295" s="149">
        <v>16</v>
      </c>
      <c r="C295" s="61">
        <v>30.080174</v>
      </c>
      <c r="D295" s="61">
        <v>-94.126555999999994</v>
      </c>
      <c r="E295" s="61" t="s">
        <v>265</v>
      </c>
      <c r="F295" s="149">
        <v>47</v>
      </c>
      <c r="G295" s="61" t="s">
        <v>565</v>
      </c>
      <c r="H295" s="61" t="s">
        <v>688</v>
      </c>
      <c r="I295" s="61">
        <v>29.990220000000001</v>
      </c>
      <c r="J295" s="61">
        <v>-95.336782999999997</v>
      </c>
      <c r="K295" s="61">
        <v>117.32741729999999</v>
      </c>
      <c r="L295" s="61">
        <v>153.17099999999999</v>
      </c>
      <c r="M295" s="61" t="s">
        <v>617</v>
      </c>
      <c r="N295" s="149">
        <v>15</v>
      </c>
      <c r="O295" s="149">
        <v>16</v>
      </c>
      <c r="P295" s="61" t="s">
        <v>565</v>
      </c>
      <c r="Q295" s="61" t="s">
        <v>556</v>
      </c>
      <c r="R295" s="61">
        <v>39.856096299999997</v>
      </c>
      <c r="S295" s="61">
        <v>-104.6737376</v>
      </c>
      <c r="T295" s="61">
        <v>1706.627</v>
      </c>
      <c r="U295" s="61" t="s">
        <v>617</v>
      </c>
      <c r="V295" s="61" t="s">
        <v>569</v>
      </c>
      <c r="W295" s="61" cm="1">
        <f t="array" ref="W295">getDistance(I295,J295,R295,S295)*SA!$B$12</f>
        <v>1387.9132257585461</v>
      </c>
      <c r="Y295" s="137">
        <f>Transportation_LCIA!C$61*($W295^Transportation_LCIA!C$60)+Transportation_LCIA!C$62</f>
        <v>0.20579525705276458</v>
      </c>
      <c r="Z295" s="137">
        <f>Transportation_LCIA!D$61*($W295^Transportation_LCIA!D$60)+Transportation_LCIA!D$62</f>
        <v>2.0765468445420829</v>
      </c>
      <c r="AA295" s="137">
        <f>Transportation_LCIA!E$61*($W295^Transportation_LCIA!E$60)+Transportation_LCIA!E$62</f>
        <v>9.1527840311280795E-4</v>
      </c>
      <c r="AB295" s="137">
        <f>Transportation_LCIA!F$61*($W295^Transportation_LCIA!F$60)+Transportation_LCIA!F$62</f>
        <v>0.20579525705276458</v>
      </c>
      <c r="AC295" s="137">
        <f>Transportation_LCIA!G$61*($W295^Transportation_LCIA!G$60)+Transportation_LCIA!G$62</f>
        <v>4.8611480731504453E-2</v>
      </c>
      <c r="AD295" s="137">
        <f>Transportation_LCIA!H$61*($W295^Transportation_LCIA!H$60)+Transportation_LCIA!H$62</f>
        <v>2.2662385614924451E-4</v>
      </c>
      <c r="AE295" s="137">
        <f>Transportation_LCIA!I$61*($W295^Transportation_LCIA!I$60)+Transportation_LCIA!I$62</f>
        <v>4.664798591597283E-6</v>
      </c>
      <c r="AF295" s="137">
        <f>Transportation_LCIA!J$61*($W295^Transportation_LCIA!J$60)+Transportation_LCIA!J$62</f>
        <v>6.9000437332686158E-3</v>
      </c>
      <c r="AG295" s="137">
        <f>Transportation_LCIA!K$61*($W295^Transportation_LCIA!K$60)+Transportation_LCIA!K$62</f>
        <v>1.0178298192258982E-2</v>
      </c>
      <c r="AH295" s="137">
        <f>Transportation_LCIA!L$61*($W295^Transportation_LCIA!L$60)+Transportation_LCIA!L$62</f>
        <v>1.9383663062244881E-4</v>
      </c>
      <c r="AI295" s="137">
        <f>Transportation_LCIA!M$61*($W295^Transportation_LCIA!M$60)+Transportation_LCIA!M$62</f>
        <v>2.159242012470611E-4</v>
      </c>
      <c r="AJ295" s="137">
        <f>Transportation_LCIA!N$61*($W295^Transportation_LCIA!N$60)+Transportation_LCIA!N$62</f>
        <v>8.2108131993988739E-4</v>
      </c>
      <c r="AK295" s="137">
        <f>Transportation_LCIA!O$61*($W295^Transportation_LCIA!O$60)+Transportation_LCIA!O$62</f>
        <v>5.1321578029541128E-5</v>
      </c>
      <c r="AL295" s="137">
        <f>Transportation_LCIA!P$61*($W295^Transportation_LCIA!P$60)+Transportation_LCIA!P$62</f>
        <v>2.4841662634578297E-8</v>
      </c>
      <c r="AM295" s="137">
        <f>Transportation_LCIA!Q$61*($W295^Transportation_LCIA!Q$60)+Transportation_LCIA!Q$62</f>
        <v>7.6967886691158753E-5</v>
      </c>
      <c r="AN295" s="137">
        <f>Transportation_LCIA!R$61*($W295^Transportation_LCIA!R$60)+Transportation_LCIA!R$62</f>
        <v>2.2454297120611953E-4</v>
      </c>
      <c r="AO295" s="137">
        <f>Transportation_LCIA!S$61*($W295^Transportation_LCIA!S$60)+Transportation_LCIA!S$62</f>
        <v>3.4439509298357079E-6</v>
      </c>
      <c r="AP295" s="137">
        <f>Transportation_LCIA!T$61*($W295^Transportation_LCIA!T$60)+Transportation_LCIA!T$62</f>
        <v>3.4439509298357079E-6</v>
      </c>
      <c r="AQ295" s="137">
        <f>Transportation_LCIA!U$61*($W295^Transportation_LCIA!U$60)+Transportation_LCIA!U$62</f>
        <v>4.792762052799418E-4</v>
      </c>
      <c r="AR295" s="137">
        <f>Transportation_LCIA!V$61*($W295^Transportation_LCIA!V$60)+Transportation_LCIA!V$62</f>
        <v>2.0020793733126354E-4</v>
      </c>
      <c r="AT295" s="137">
        <f>$W295*Y295+$L295*Summary_LCIA!H$32</f>
        <v>337.67346486191167</v>
      </c>
      <c r="AU295" s="137">
        <f>$W295*Z295+$L295*Summary_LCIA!Q$32</f>
        <v>3641.1900303201755</v>
      </c>
      <c r="AV295" s="137">
        <f>$W295*AA295+$L295*Summary_LCIA!R$32</f>
        <v>2.0768642185314281</v>
      </c>
      <c r="AW295" s="137">
        <f>$W295*AB295+$L295*Summary_LCIA!S$32</f>
        <v>336.99644904191166</v>
      </c>
      <c r="AX295" s="137">
        <f>$W295*AC295+$L295*Summary_LCIA!T$32</f>
        <v>84.302009930961745</v>
      </c>
      <c r="AY295" s="137">
        <f>$W295*AD295+$L295*Summary_LCIA!U$32</f>
        <v>3.0584395412219383</v>
      </c>
      <c r="AZ295" s="137">
        <f>$W295*AE295+$L295*Summary_LCIA!V$32</f>
        <v>1.3789935791777707E-2</v>
      </c>
      <c r="BA295" s="137">
        <f>$W295*AF295+$L295*Summary_LCIA!W$32</f>
        <v>21.366386996715882</v>
      </c>
      <c r="BB295" s="137">
        <f>$W295*AG295+$L295*Summary_LCIA!X$32</f>
        <v>17.615830056750543</v>
      </c>
      <c r="BC295" s="137">
        <f>$W295*AH295+$L295*Summary_LCIA!Y$32</f>
        <v>2.6557389452773705</v>
      </c>
      <c r="BD295" s="137">
        <f>$W295*AI295+$L295*Summary_LCIA!Z$32</f>
        <v>0.30596544421114602</v>
      </c>
      <c r="BE295" s="137">
        <f>$W295*AJ295+$L295*Summary_LCIA!AA$32</f>
        <v>4.7170514993678534</v>
      </c>
      <c r="BF295" s="137">
        <f>$W295*AK295+$L295*Summary_LCIA!AB$32</f>
        <v>6.7887246180999353E-2</v>
      </c>
      <c r="BG295" s="137">
        <f>$W295*AL295+$L295*Summary_LCIA!AC$32</f>
        <v>4.1965683284363106E-5</v>
      </c>
      <c r="BH295" s="137">
        <f>$W295*AM295+$L295*Summary_LCIA!AD$32</f>
        <v>0.1697841557373444</v>
      </c>
      <c r="BI295" s="137">
        <f>$W295*AN295+$L295*Summary_LCIA!AE$32</f>
        <v>0.44737557771809366</v>
      </c>
      <c r="BJ295" s="137">
        <f>$W295*AO295+$L295*Summary_LCIA!AF$32</f>
        <v>0.13427373186438241</v>
      </c>
      <c r="BK295" s="137">
        <f>$W295*AP295+$L295*Summary_LCIA!AG$32</f>
        <v>1.2616899259382423E-2</v>
      </c>
      <c r="BL295" s="137">
        <f>$W295*AQ295+$L295*Summary_LCIA!AH$32</f>
        <v>1.9983328996993992</v>
      </c>
      <c r="BM295" s="137">
        <f>$W295*AR295+$L295*Summary_LCIA!AI$32</f>
        <v>0.4205576891738988</v>
      </c>
    </row>
    <row r="296" spans="1:65" x14ac:dyDescent="0.25">
      <c r="A296" s="149">
        <v>63</v>
      </c>
      <c r="B296" s="149">
        <v>16</v>
      </c>
      <c r="C296" s="61">
        <v>51.075544999999998</v>
      </c>
      <c r="D296" s="61">
        <v>-114.12975400000001</v>
      </c>
      <c r="E296" s="61" t="s">
        <v>462</v>
      </c>
      <c r="F296" s="149">
        <v>125</v>
      </c>
      <c r="G296" s="61" t="s">
        <v>656</v>
      </c>
      <c r="H296" s="61" t="s">
        <v>657</v>
      </c>
      <c r="I296" s="61">
        <v>51.121502999999997</v>
      </c>
      <c r="J296" s="61">
        <v>-114.007616</v>
      </c>
      <c r="K296" s="61">
        <v>10.47008467</v>
      </c>
      <c r="L296" s="61">
        <v>15.291</v>
      </c>
      <c r="M296" s="61" t="s">
        <v>617</v>
      </c>
      <c r="N296" s="149">
        <v>15</v>
      </c>
      <c r="O296" s="149">
        <v>16</v>
      </c>
      <c r="P296" s="61" t="s">
        <v>565</v>
      </c>
      <c r="Q296" s="61" t="s">
        <v>556</v>
      </c>
      <c r="R296" s="61">
        <v>39.856096299999997</v>
      </c>
      <c r="S296" s="61">
        <v>-104.6737376</v>
      </c>
      <c r="T296" s="61">
        <v>1765.5050000000001</v>
      </c>
      <c r="U296" s="61" t="s">
        <v>617</v>
      </c>
      <c r="V296" s="61" t="s">
        <v>569</v>
      </c>
      <c r="W296" s="61" cm="1">
        <f t="array" ref="W296">getDistance(I296,J296,R296,S296)*SA!$B$12</f>
        <v>1448.3026726031585</v>
      </c>
      <c r="Y296" s="137">
        <f>Transportation_LCIA!C$61*($W296^Transportation_LCIA!C$60)+Transportation_LCIA!C$62</f>
        <v>0.20249914844136069</v>
      </c>
      <c r="Z296" s="137">
        <f>Transportation_LCIA!D$61*($W296^Transportation_LCIA!D$60)+Transportation_LCIA!D$62</f>
        <v>2.0386669878376233</v>
      </c>
      <c r="AA296" s="137">
        <f>Transportation_LCIA!E$61*($W296^Transportation_LCIA!E$60)+Transportation_LCIA!E$62</f>
        <v>8.904801223902194E-4</v>
      </c>
      <c r="AB296" s="137">
        <f>Transportation_LCIA!F$61*($W296^Transportation_LCIA!F$60)+Transportation_LCIA!F$62</f>
        <v>0.20249914844136069</v>
      </c>
      <c r="AC296" s="137">
        <f>Transportation_LCIA!G$61*($W296^Transportation_LCIA!G$60)+Transportation_LCIA!G$62</f>
        <v>4.7734316954902448E-2</v>
      </c>
      <c r="AD296" s="137">
        <f>Transportation_LCIA!H$61*($W296^Transportation_LCIA!H$60)+Transportation_LCIA!H$62</f>
        <v>2.2121748724585885E-4</v>
      </c>
      <c r="AE296" s="137">
        <f>Transportation_LCIA!I$61*($W296^Transportation_LCIA!I$60)+Transportation_LCIA!I$62</f>
        <v>4.5305562311798272E-6</v>
      </c>
      <c r="AF296" s="137">
        <f>Transportation_LCIA!J$61*($W296^Transportation_LCIA!J$60)+Transportation_LCIA!J$62</f>
        <v>6.7019058412361781E-3</v>
      </c>
      <c r="AG296" s="137">
        <f>Transportation_LCIA!K$61*($W296^Transportation_LCIA!K$60)+Transportation_LCIA!K$62</f>
        <v>9.9751205369398889E-3</v>
      </c>
      <c r="AH296" s="137">
        <f>Transportation_LCIA!L$61*($W296^Transportation_LCIA!L$60)+Transportation_LCIA!L$62</f>
        <v>1.8888573799186853E-4</v>
      </c>
      <c r="AI296" s="137">
        <f>Transportation_LCIA!M$61*($W296^Transportation_LCIA!M$60)+Transportation_LCIA!M$62</f>
        <v>2.1294185995467769E-4</v>
      </c>
      <c r="AJ296" s="137">
        <f>Transportation_LCIA!N$61*($W296^Transportation_LCIA!N$60)+Transportation_LCIA!N$62</f>
        <v>8.0288437603577751E-4</v>
      </c>
      <c r="AK296" s="137">
        <f>Transportation_LCIA!O$61*($W296^Transportation_LCIA!O$60)+Transportation_LCIA!O$62</f>
        <v>5.0389871650869682E-5</v>
      </c>
      <c r="AL296" s="137">
        <f>Transportation_LCIA!P$61*($W296^Transportation_LCIA!P$60)+Transportation_LCIA!P$62</f>
        <v>2.4393196563254763E-8</v>
      </c>
      <c r="AM296" s="137">
        <f>Transportation_LCIA!Q$61*($W296^Transportation_LCIA!Q$60)+Transportation_LCIA!Q$62</f>
        <v>7.5036153308723888E-5</v>
      </c>
      <c r="AN296" s="137">
        <f>Transportation_LCIA!R$61*($W296^Transportation_LCIA!R$60)+Transportation_LCIA!R$62</f>
        <v>2.1810778733101575E-4</v>
      </c>
      <c r="AO296" s="137">
        <f>Transportation_LCIA!S$61*($W296^Transportation_LCIA!S$60)+Transportation_LCIA!S$62</f>
        <v>3.3525658783215227E-6</v>
      </c>
      <c r="AP296" s="137">
        <f>Transportation_LCIA!T$61*($W296^Transportation_LCIA!T$60)+Transportation_LCIA!T$62</f>
        <v>3.3525658783215227E-6</v>
      </c>
      <c r="AQ296" s="137">
        <f>Transportation_LCIA!U$61*($W296^Transportation_LCIA!U$60)+Transportation_LCIA!U$62</f>
        <v>4.6520042807242677E-4</v>
      </c>
      <c r="AR296" s="137">
        <f>Transportation_LCIA!V$61*($W296^Transportation_LCIA!V$60)+Transportation_LCIA!V$62</f>
        <v>1.9519617316162259E-4</v>
      </c>
      <c r="AT296" s="137">
        <f>$W296*Y296+$L296*Summary_LCIA!H$32</f>
        <v>298.4759396874864</v>
      </c>
      <c r="AU296" s="137">
        <f>$W296*Z296+$L296*Summary_LCIA!Q$32</f>
        <v>3028.3898142040634</v>
      </c>
      <c r="AV296" s="137">
        <f>$W296*AA296+$L296*Summary_LCIA!R$32</f>
        <v>1.3702010307577424</v>
      </c>
      <c r="AW296" s="137">
        <f>$W296*AB296+$L296*Summary_LCIA!S$32</f>
        <v>298.40835346748639</v>
      </c>
      <c r="AX296" s="137">
        <f>$W296*AC296+$L296*Summary_LCIA!T$32</f>
        <v>70.814219720671488</v>
      </c>
      <c r="AY296" s="137">
        <f>$W296*AD296+$L296*Summary_LCIA!U$32</f>
        <v>0.59431285200473249</v>
      </c>
      <c r="AZ296" s="137">
        <f>$W296*AE296+$L296*Summary_LCIA!V$32</f>
        <v>7.2919301489966374E-3</v>
      </c>
      <c r="BA296" s="137">
        <f>$W296*AF296+$L296*Summary_LCIA!W$32</f>
        <v>10.883351702397075</v>
      </c>
      <c r="BB296" s="137">
        <f>$W296*AG296+$L296*Summary_LCIA!X$32</f>
        <v>14.795322713188694</v>
      </c>
      <c r="BC296" s="137">
        <f>$W296*AH296+$L296*Summary_LCIA!Y$32</f>
        <v>0.51182808115024314</v>
      </c>
      <c r="BD296" s="137">
        <f>$W296*AI296+$L296*Summary_LCIA!Z$32</f>
        <v>0.3090313335004472</v>
      </c>
      <c r="BE296" s="137">
        <f>$W296*AJ296+$L296*Summary_LCIA!AA$32</f>
        <v>1.5199561836039357</v>
      </c>
      <c r="BF296" s="137">
        <f>$W296*AK296+$L296*Summary_LCIA!AB$32</f>
        <v>7.2646090291084695E-2</v>
      </c>
      <c r="BG296" s="137">
        <f>$W296*AL296+$L296*Summary_LCIA!AC$32</f>
        <v>3.6076217019896057E-5</v>
      </c>
      <c r="BH296" s="137">
        <f>$W296*AM296+$L296*Summary_LCIA!AD$32</f>
        <v>0.11496027401888514</v>
      </c>
      <c r="BI296" s="137">
        <f>$W296*AN296+$L296*Summary_LCIA!AE$32</f>
        <v>0.32943590513707138</v>
      </c>
      <c r="BJ296" s="137">
        <f>$W296*AO296+$L296*Summary_LCIA!AF$32</f>
        <v>1.7782847341651219E-2</v>
      </c>
      <c r="BK296" s="137">
        <f>$W296*AP296+$L296*Summary_LCIA!AG$32</f>
        <v>5.6378941366512173E-3</v>
      </c>
      <c r="BL296" s="137">
        <f>$W296*AQ296+$L296*Summary_LCIA!AH$32</f>
        <v>0.80683777087342912</v>
      </c>
      <c r="BM296" s="137">
        <f>$W296*AR296+$L296*Summary_LCIA!AI$32</f>
        <v>0.2969474703218869</v>
      </c>
    </row>
    <row r="297" spans="1:65" x14ac:dyDescent="0.25">
      <c r="A297" s="149">
        <v>64</v>
      </c>
      <c r="B297" s="149">
        <v>16</v>
      </c>
      <c r="C297" s="61">
        <v>51.075544999999998</v>
      </c>
      <c r="D297" s="61">
        <v>-114.12975400000001</v>
      </c>
      <c r="E297" s="61" t="s">
        <v>462</v>
      </c>
      <c r="F297" s="149">
        <v>125</v>
      </c>
      <c r="G297" s="61" t="s">
        <v>656</v>
      </c>
      <c r="H297" s="61" t="s">
        <v>657</v>
      </c>
      <c r="I297" s="61">
        <v>51.121502999999997</v>
      </c>
      <c r="J297" s="61">
        <v>-114.007616</v>
      </c>
      <c r="K297" s="61">
        <v>10.47008467</v>
      </c>
      <c r="L297" s="61">
        <v>15.291</v>
      </c>
      <c r="M297" s="61" t="s">
        <v>617</v>
      </c>
      <c r="N297" s="149">
        <v>15</v>
      </c>
      <c r="O297" s="149">
        <v>16</v>
      </c>
      <c r="P297" s="61" t="s">
        <v>565</v>
      </c>
      <c r="Q297" s="61" t="s">
        <v>556</v>
      </c>
      <c r="R297" s="61">
        <v>39.856096299999997</v>
      </c>
      <c r="S297" s="61">
        <v>-104.6737376</v>
      </c>
      <c r="T297" s="61">
        <v>1765.5050000000001</v>
      </c>
      <c r="U297" s="61" t="s">
        <v>617</v>
      </c>
      <c r="V297" s="61" t="s">
        <v>569</v>
      </c>
      <c r="W297" s="61" cm="1">
        <f t="array" ref="W297">getDistance(I297,J297,R297,S297)*SA!$B$12</f>
        <v>1448.3026726031585</v>
      </c>
      <c r="Y297" s="137">
        <f>Transportation_LCIA!C$61*($W297^Transportation_LCIA!C$60)+Transportation_LCIA!C$62</f>
        <v>0.20249914844136069</v>
      </c>
      <c r="Z297" s="137">
        <f>Transportation_LCIA!D$61*($W297^Transportation_LCIA!D$60)+Transportation_LCIA!D$62</f>
        <v>2.0386669878376233</v>
      </c>
      <c r="AA297" s="137">
        <f>Transportation_LCIA!E$61*($W297^Transportation_LCIA!E$60)+Transportation_LCIA!E$62</f>
        <v>8.904801223902194E-4</v>
      </c>
      <c r="AB297" s="137">
        <f>Transportation_LCIA!F$61*($W297^Transportation_LCIA!F$60)+Transportation_LCIA!F$62</f>
        <v>0.20249914844136069</v>
      </c>
      <c r="AC297" s="137">
        <f>Transportation_LCIA!G$61*($W297^Transportation_LCIA!G$60)+Transportation_LCIA!G$62</f>
        <v>4.7734316954902448E-2</v>
      </c>
      <c r="AD297" s="137">
        <f>Transportation_LCIA!H$61*($W297^Transportation_LCIA!H$60)+Transportation_LCIA!H$62</f>
        <v>2.2121748724585885E-4</v>
      </c>
      <c r="AE297" s="137">
        <f>Transportation_LCIA!I$61*($W297^Transportation_LCIA!I$60)+Transportation_LCIA!I$62</f>
        <v>4.5305562311798272E-6</v>
      </c>
      <c r="AF297" s="137">
        <f>Transportation_LCIA!J$61*($W297^Transportation_LCIA!J$60)+Transportation_LCIA!J$62</f>
        <v>6.7019058412361781E-3</v>
      </c>
      <c r="AG297" s="137">
        <f>Transportation_LCIA!K$61*($W297^Transportation_LCIA!K$60)+Transportation_LCIA!K$62</f>
        <v>9.9751205369398889E-3</v>
      </c>
      <c r="AH297" s="137">
        <f>Transportation_LCIA!L$61*($W297^Transportation_LCIA!L$60)+Transportation_LCIA!L$62</f>
        <v>1.8888573799186853E-4</v>
      </c>
      <c r="AI297" s="137">
        <f>Transportation_LCIA!M$61*($W297^Transportation_LCIA!M$60)+Transportation_LCIA!M$62</f>
        <v>2.1294185995467769E-4</v>
      </c>
      <c r="AJ297" s="137">
        <f>Transportation_LCIA!N$61*($W297^Transportation_LCIA!N$60)+Transportation_LCIA!N$62</f>
        <v>8.0288437603577751E-4</v>
      </c>
      <c r="AK297" s="137">
        <f>Transportation_LCIA!O$61*($W297^Transportation_LCIA!O$60)+Transportation_LCIA!O$62</f>
        <v>5.0389871650869682E-5</v>
      </c>
      <c r="AL297" s="137">
        <f>Transportation_LCIA!P$61*($W297^Transportation_LCIA!P$60)+Transportation_LCIA!P$62</f>
        <v>2.4393196563254763E-8</v>
      </c>
      <c r="AM297" s="137">
        <f>Transportation_LCIA!Q$61*($W297^Transportation_LCIA!Q$60)+Transportation_LCIA!Q$62</f>
        <v>7.5036153308723888E-5</v>
      </c>
      <c r="AN297" s="137">
        <f>Transportation_LCIA!R$61*($W297^Transportation_LCIA!R$60)+Transportation_LCIA!R$62</f>
        <v>2.1810778733101575E-4</v>
      </c>
      <c r="AO297" s="137">
        <f>Transportation_LCIA!S$61*($W297^Transportation_LCIA!S$60)+Transportation_LCIA!S$62</f>
        <v>3.3525658783215227E-6</v>
      </c>
      <c r="AP297" s="137">
        <f>Transportation_LCIA!T$61*($W297^Transportation_LCIA!T$60)+Transportation_LCIA!T$62</f>
        <v>3.3525658783215227E-6</v>
      </c>
      <c r="AQ297" s="137">
        <f>Transportation_LCIA!U$61*($W297^Transportation_LCIA!U$60)+Transportation_LCIA!U$62</f>
        <v>4.6520042807242677E-4</v>
      </c>
      <c r="AR297" s="137">
        <f>Transportation_LCIA!V$61*($W297^Transportation_LCIA!V$60)+Transportation_LCIA!V$62</f>
        <v>1.9519617316162259E-4</v>
      </c>
      <c r="AT297" s="137">
        <f>$W297*Y297+$L297*Summary_LCIA!H$32</f>
        <v>298.4759396874864</v>
      </c>
      <c r="AU297" s="137">
        <f>$W297*Z297+$L297*Summary_LCIA!Q$32</f>
        <v>3028.3898142040634</v>
      </c>
      <c r="AV297" s="137">
        <f>$W297*AA297+$L297*Summary_LCIA!R$32</f>
        <v>1.3702010307577424</v>
      </c>
      <c r="AW297" s="137">
        <f>$W297*AB297+$L297*Summary_LCIA!S$32</f>
        <v>298.40835346748639</v>
      </c>
      <c r="AX297" s="137">
        <f>$W297*AC297+$L297*Summary_LCIA!T$32</f>
        <v>70.814219720671488</v>
      </c>
      <c r="AY297" s="137">
        <f>$W297*AD297+$L297*Summary_LCIA!U$32</f>
        <v>0.59431285200473249</v>
      </c>
      <c r="AZ297" s="137">
        <f>$W297*AE297+$L297*Summary_LCIA!V$32</f>
        <v>7.2919301489966374E-3</v>
      </c>
      <c r="BA297" s="137">
        <f>$W297*AF297+$L297*Summary_LCIA!W$32</f>
        <v>10.883351702397075</v>
      </c>
      <c r="BB297" s="137">
        <f>$W297*AG297+$L297*Summary_LCIA!X$32</f>
        <v>14.795322713188694</v>
      </c>
      <c r="BC297" s="137">
        <f>$W297*AH297+$L297*Summary_LCIA!Y$32</f>
        <v>0.51182808115024314</v>
      </c>
      <c r="BD297" s="137">
        <f>$W297*AI297+$L297*Summary_LCIA!Z$32</f>
        <v>0.3090313335004472</v>
      </c>
      <c r="BE297" s="137">
        <f>$W297*AJ297+$L297*Summary_LCIA!AA$32</f>
        <v>1.5199561836039357</v>
      </c>
      <c r="BF297" s="137">
        <f>$W297*AK297+$L297*Summary_LCIA!AB$32</f>
        <v>7.2646090291084695E-2</v>
      </c>
      <c r="BG297" s="137">
        <f>$W297*AL297+$L297*Summary_LCIA!AC$32</f>
        <v>3.6076217019896057E-5</v>
      </c>
      <c r="BH297" s="137">
        <f>$W297*AM297+$L297*Summary_LCIA!AD$32</f>
        <v>0.11496027401888514</v>
      </c>
      <c r="BI297" s="137">
        <f>$W297*AN297+$L297*Summary_LCIA!AE$32</f>
        <v>0.32943590513707138</v>
      </c>
      <c r="BJ297" s="137">
        <f>$W297*AO297+$L297*Summary_LCIA!AF$32</f>
        <v>1.7782847341651219E-2</v>
      </c>
      <c r="BK297" s="137">
        <f>$W297*AP297+$L297*Summary_LCIA!AG$32</f>
        <v>5.6378941366512173E-3</v>
      </c>
      <c r="BL297" s="137">
        <f>$W297*AQ297+$L297*Summary_LCIA!AH$32</f>
        <v>0.80683777087342912</v>
      </c>
      <c r="BM297" s="137">
        <f>$W297*AR297+$L297*Summary_LCIA!AI$32</f>
        <v>0.2969474703218869</v>
      </c>
    </row>
    <row r="298" spans="1:65" x14ac:dyDescent="0.25">
      <c r="A298" s="149">
        <v>65</v>
      </c>
      <c r="B298" s="149">
        <v>16</v>
      </c>
      <c r="C298" s="61">
        <v>51.075544999999998</v>
      </c>
      <c r="D298" s="61">
        <v>-114.12975400000001</v>
      </c>
      <c r="E298" s="61" t="s">
        <v>462</v>
      </c>
      <c r="F298" s="149">
        <v>125</v>
      </c>
      <c r="G298" s="61" t="s">
        <v>656</v>
      </c>
      <c r="H298" s="61" t="s">
        <v>657</v>
      </c>
      <c r="I298" s="61">
        <v>51.121502999999997</v>
      </c>
      <c r="J298" s="61">
        <v>-114.007616</v>
      </c>
      <c r="K298" s="61">
        <v>10.47008467</v>
      </c>
      <c r="L298" s="61">
        <v>15.291</v>
      </c>
      <c r="M298" s="61" t="s">
        <v>617</v>
      </c>
      <c r="N298" s="149">
        <v>15</v>
      </c>
      <c r="O298" s="149">
        <v>16</v>
      </c>
      <c r="P298" s="61" t="s">
        <v>565</v>
      </c>
      <c r="Q298" s="61" t="s">
        <v>556</v>
      </c>
      <c r="R298" s="61">
        <v>39.856096299999997</v>
      </c>
      <c r="S298" s="61">
        <v>-104.6737376</v>
      </c>
      <c r="T298" s="61">
        <v>1765.5050000000001</v>
      </c>
      <c r="U298" s="61" t="s">
        <v>617</v>
      </c>
      <c r="V298" s="61" t="s">
        <v>569</v>
      </c>
      <c r="W298" s="61" cm="1">
        <f t="array" ref="W298">getDistance(I298,J298,R298,S298)*SA!$B$12</f>
        <v>1448.3026726031585</v>
      </c>
      <c r="Y298" s="137">
        <f>Transportation_LCIA!C$61*($W298^Transportation_LCIA!C$60)+Transportation_LCIA!C$62</f>
        <v>0.20249914844136069</v>
      </c>
      <c r="Z298" s="137">
        <f>Transportation_LCIA!D$61*($W298^Transportation_LCIA!D$60)+Transportation_LCIA!D$62</f>
        <v>2.0386669878376233</v>
      </c>
      <c r="AA298" s="137">
        <f>Transportation_LCIA!E$61*($W298^Transportation_LCIA!E$60)+Transportation_LCIA!E$62</f>
        <v>8.904801223902194E-4</v>
      </c>
      <c r="AB298" s="137">
        <f>Transportation_LCIA!F$61*($W298^Transportation_LCIA!F$60)+Transportation_LCIA!F$62</f>
        <v>0.20249914844136069</v>
      </c>
      <c r="AC298" s="137">
        <f>Transportation_LCIA!G$61*($W298^Transportation_LCIA!G$60)+Transportation_LCIA!G$62</f>
        <v>4.7734316954902448E-2</v>
      </c>
      <c r="AD298" s="137">
        <f>Transportation_LCIA!H$61*($W298^Transportation_LCIA!H$60)+Transportation_LCIA!H$62</f>
        <v>2.2121748724585885E-4</v>
      </c>
      <c r="AE298" s="137">
        <f>Transportation_LCIA!I$61*($W298^Transportation_LCIA!I$60)+Transportation_LCIA!I$62</f>
        <v>4.5305562311798272E-6</v>
      </c>
      <c r="AF298" s="137">
        <f>Transportation_LCIA!J$61*($W298^Transportation_LCIA!J$60)+Transportation_LCIA!J$62</f>
        <v>6.7019058412361781E-3</v>
      </c>
      <c r="AG298" s="137">
        <f>Transportation_LCIA!K$61*($W298^Transportation_LCIA!K$60)+Transportation_LCIA!K$62</f>
        <v>9.9751205369398889E-3</v>
      </c>
      <c r="AH298" s="137">
        <f>Transportation_LCIA!L$61*($W298^Transportation_LCIA!L$60)+Transportation_LCIA!L$62</f>
        <v>1.8888573799186853E-4</v>
      </c>
      <c r="AI298" s="137">
        <f>Transportation_LCIA!M$61*($W298^Transportation_LCIA!M$60)+Transportation_LCIA!M$62</f>
        <v>2.1294185995467769E-4</v>
      </c>
      <c r="AJ298" s="137">
        <f>Transportation_LCIA!N$61*($W298^Transportation_LCIA!N$60)+Transportation_LCIA!N$62</f>
        <v>8.0288437603577751E-4</v>
      </c>
      <c r="AK298" s="137">
        <f>Transportation_LCIA!O$61*($W298^Transportation_LCIA!O$60)+Transportation_LCIA!O$62</f>
        <v>5.0389871650869682E-5</v>
      </c>
      <c r="AL298" s="137">
        <f>Transportation_LCIA!P$61*($W298^Transportation_LCIA!P$60)+Transportation_LCIA!P$62</f>
        <v>2.4393196563254763E-8</v>
      </c>
      <c r="AM298" s="137">
        <f>Transportation_LCIA!Q$61*($W298^Transportation_LCIA!Q$60)+Transportation_LCIA!Q$62</f>
        <v>7.5036153308723888E-5</v>
      </c>
      <c r="AN298" s="137">
        <f>Transportation_LCIA!R$61*($W298^Transportation_LCIA!R$60)+Transportation_LCIA!R$62</f>
        <v>2.1810778733101575E-4</v>
      </c>
      <c r="AO298" s="137">
        <f>Transportation_LCIA!S$61*($W298^Transportation_LCIA!S$60)+Transportation_LCIA!S$62</f>
        <v>3.3525658783215227E-6</v>
      </c>
      <c r="AP298" s="137">
        <f>Transportation_LCIA!T$61*($W298^Transportation_LCIA!T$60)+Transportation_LCIA!T$62</f>
        <v>3.3525658783215227E-6</v>
      </c>
      <c r="AQ298" s="137">
        <f>Transportation_LCIA!U$61*($W298^Transportation_LCIA!U$60)+Transportation_LCIA!U$62</f>
        <v>4.6520042807242677E-4</v>
      </c>
      <c r="AR298" s="137">
        <f>Transportation_LCIA!V$61*($W298^Transportation_LCIA!V$60)+Transportation_LCIA!V$62</f>
        <v>1.9519617316162259E-4</v>
      </c>
      <c r="AT298" s="137">
        <f>$W298*Y298+$L298*Summary_LCIA!H$32</f>
        <v>298.4759396874864</v>
      </c>
      <c r="AU298" s="137">
        <f>$W298*Z298+$L298*Summary_LCIA!Q$32</f>
        <v>3028.3898142040634</v>
      </c>
      <c r="AV298" s="137">
        <f>$W298*AA298+$L298*Summary_LCIA!R$32</f>
        <v>1.3702010307577424</v>
      </c>
      <c r="AW298" s="137">
        <f>$W298*AB298+$L298*Summary_LCIA!S$32</f>
        <v>298.40835346748639</v>
      </c>
      <c r="AX298" s="137">
        <f>$W298*AC298+$L298*Summary_LCIA!T$32</f>
        <v>70.814219720671488</v>
      </c>
      <c r="AY298" s="137">
        <f>$W298*AD298+$L298*Summary_LCIA!U$32</f>
        <v>0.59431285200473249</v>
      </c>
      <c r="AZ298" s="137">
        <f>$W298*AE298+$L298*Summary_LCIA!V$32</f>
        <v>7.2919301489966374E-3</v>
      </c>
      <c r="BA298" s="137">
        <f>$W298*AF298+$L298*Summary_LCIA!W$32</f>
        <v>10.883351702397075</v>
      </c>
      <c r="BB298" s="137">
        <f>$W298*AG298+$L298*Summary_LCIA!X$32</f>
        <v>14.795322713188694</v>
      </c>
      <c r="BC298" s="137">
        <f>$W298*AH298+$L298*Summary_LCIA!Y$32</f>
        <v>0.51182808115024314</v>
      </c>
      <c r="BD298" s="137">
        <f>$W298*AI298+$L298*Summary_LCIA!Z$32</f>
        <v>0.3090313335004472</v>
      </c>
      <c r="BE298" s="137">
        <f>$W298*AJ298+$L298*Summary_LCIA!AA$32</f>
        <v>1.5199561836039357</v>
      </c>
      <c r="BF298" s="137">
        <f>$W298*AK298+$L298*Summary_LCIA!AB$32</f>
        <v>7.2646090291084695E-2</v>
      </c>
      <c r="BG298" s="137">
        <f>$W298*AL298+$L298*Summary_LCIA!AC$32</f>
        <v>3.6076217019896057E-5</v>
      </c>
      <c r="BH298" s="137">
        <f>$W298*AM298+$L298*Summary_LCIA!AD$32</f>
        <v>0.11496027401888514</v>
      </c>
      <c r="BI298" s="137">
        <f>$W298*AN298+$L298*Summary_LCIA!AE$32</f>
        <v>0.32943590513707138</v>
      </c>
      <c r="BJ298" s="137">
        <f>$W298*AO298+$L298*Summary_LCIA!AF$32</f>
        <v>1.7782847341651219E-2</v>
      </c>
      <c r="BK298" s="137">
        <f>$W298*AP298+$L298*Summary_LCIA!AG$32</f>
        <v>5.6378941366512173E-3</v>
      </c>
      <c r="BL298" s="137">
        <f>$W298*AQ298+$L298*Summary_LCIA!AH$32</f>
        <v>0.80683777087342912</v>
      </c>
      <c r="BM298" s="137">
        <f>$W298*AR298+$L298*Summary_LCIA!AI$32</f>
        <v>0.2969474703218869</v>
      </c>
    </row>
    <row r="299" spans="1:65" x14ac:dyDescent="0.25">
      <c r="A299" s="149">
        <v>66</v>
      </c>
      <c r="B299" s="149">
        <v>16</v>
      </c>
      <c r="C299" s="61">
        <v>51.075544999999998</v>
      </c>
      <c r="D299" s="61">
        <v>-114.12975400000001</v>
      </c>
      <c r="E299" s="61" t="s">
        <v>462</v>
      </c>
      <c r="F299" s="149">
        <v>125</v>
      </c>
      <c r="G299" s="61" t="s">
        <v>656</v>
      </c>
      <c r="H299" s="61" t="s">
        <v>657</v>
      </c>
      <c r="I299" s="61">
        <v>51.121502999999997</v>
      </c>
      <c r="J299" s="61">
        <v>-114.007616</v>
      </c>
      <c r="K299" s="61">
        <v>10.47008467</v>
      </c>
      <c r="L299" s="61">
        <v>15.291</v>
      </c>
      <c r="M299" s="61" t="s">
        <v>617</v>
      </c>
      <c r="N299" s="149">
        <v>15</v>
      </c>
      <c r="O299" s="149">
        <v>16</v>
      </c>
      <c r="P299" s="61" t="s">
        <v>565</v>
      </c>
      <c r="Q299" s="61" t="s">
        <v>556</v>
      </c>
      <c r="R299" s="61">
        <v>39.856096299999997</v>
      </c>
      <c r="S299" s="61">
        <v>-104.6737376</v>
      </c>
      <c r="T299" s="61">
        <v>1765.5050000000001</v>
      </c>
      <c r="U299" s="61" t="s">
        <v>617</v>
      </c>
      <c r="V299" s="61" t="s">
        <v>569</v>
      </c>
      <c r="W299" s="61" cm="1">
        <f t="array" ref="W299">getDistance(I299,J299,R299,S299)*SA!$B$12</f>
        <v>1448.3026726031585</v>
      </c>
      <c r="Y299" s="137">
        <f>Transportation_LCIA!C$61*($W299^Transportation_LCIA!C$60)+Transportation_LCIA!C$62</f>
        <v>0.20249914844136069</v>
      </c>
      <c r="Z299" s="137">
        <f>Transportation_LCIA!D$61*($W299^Transportation_LCIA!D$60)+Transportation_LCIA!D$62</f>
        <v>2.0386669878376233</v>
      </c>
      <c r="AA299" s="137">
        <f>Transportation_LCIA!E$61*($W299^Transportation_LCIA!E$60)+Transportation_LCIA!E$62</f>
        <v>8.904801223902194E-4</v>
      </c>
      <c r="AB299" s="137">
        <f>Transportation_LCIA!F$61*($W299^Transportation_LCIA!F$60)+Transportation_LCIA!F$62</f>
        <v>0.20249914844136069</v>
      </c>
      <c r="AC299" s="137">
        <f>Transportation_LCIA!G$61*($W299^Transportation_LCIA!G$60)+Transportation_LCIA!G$62</f>
        <v>4.7734316954902448E-2</v>
      </c>
      <c r="AD299" s="137">
        <f>Transportation_LCIA!H$61*($W299^Transportation_LCIA!H$60)+Transportation_LCIA!H$62</f>
        <v>2.2121748724585885E-4</v>
      </c>
      <c r="AE299" s="137">
        <f>Transportation_LCIA!I$61*($W299^Transportation_LCIA!I$60)+Transportation_LCIA!I$62</f>
        <v>4.5305562311798272E-6</v>
      </c>
      <c r="AF299" s="137">
        <f>Transportation_LCIA!J$61*($W299^Transportation_LCIA!J$60)+Transportation_LCIA!J$62</f>
        <v>6.7019058412361781E-3</v>
      </c>
      <c r="AG299" s="137">
        <f>Transportation_LCIA!K$61*($W299^Transportation_LCIA!K$60)+Transportation_LCIA!K$62</f>
        <v>9.9751205369398889E-3</v>
      </c>
      <c r="AH299" s="137">
        <f>Transportation_LCIA!L$61*($W299^Transportation_LCIA!L$60)+Transportation_LCIA!L$62</f>
        <v>1.8888573799186853E-4</v>
      </c>
      <c r="AI299" s="137">
        <f>Transportation_LCIA!M$61*($W299^Transportation_LCIA!M$60)+Transportation_LCIA!M$62</f>
        <v>2.1294185995467769E-4</v>
      </c>
      <c r="AJ299" s="137">
        <f>Transportation_LCIA!N$61*($W299^Transportation_LCIA!N$60)+Transportation_LCIA!N$62</f>
        <v>8.0288437603577751E-4</v>
      </c>
      <c r="AK299" s="137">
        <f>Transportation_LCIA!O$61*($W299^Transportation_LCIA!O$60)+Transportation_LCIA!O$62</f>
        <v>5.0389871650869682E-5</v>
      </c>
      <c r="AL299" s="137">
        <f>Transportation_LCIA!P$61*($W299^Transportation_LCIA!P$60)+Transportation_LCIA!P$62</f>
        <v>2.4393196563254763E-8</v>
      </c>
      <c r="AM299" s="137">
        <f>Transportation_LCIA!Q$61*($W299^Transportation_LCIA!Q$60)+Transportation_LCIA!Q$62</f>
        <v>7.5036153308723888E-5</v>
      </c>
      <c r="AN299" s="137">
        <f>Transportation_LCIA!R$61*($W299^Transportation_LCIA!R$60)+Transportation_LCIA!R$62</f>
        <v>2.1810778733101575E-4</v>
      </c>
      <c r="AO299" s="137">
        <f>Transportation_LCIA!S$61*($W299^Transportation_LCIA!S$60)+Transportation_LCIA!S$62</f>
        <v>3.3525658783215227E-6</v>
      </c>
      <c r="AP299" s="137">
        <f>Transportation_LCIA!T$61*($W299^Transportation_LCIA!T$60)+Transportation_LCIA!T$62</f>
        <v>3.3525658783215227E-6</v>
      </c>
      <c r="AQ299" s="137">
        <f>Transportation_LCIA!U$61*($W299^Transportation_LCIA!U$60)+Transportation_LCIA!U$62</f>
        <v>4.6520042807242677E-4</v>
      </c>
      <c r="AR299" s="137">
        <f>Transportation_LCIA!V$61*($W299^Transportation_LCIA!V$60)+Transportation_LCIA!V$62</f>
        <v>1.9519617316162259E-4</v>
      </c>
      <c r="AT299" s="137">
        <f>$W299*Y299+$L299*Summary_LCIA!H$32</f>
        <v>298.4759396874864</v>
      </c>
      <c r="AU299" s="137">
        <f>$W299*Z299+$L299*Summary_LCIA!Q$32</f>
        <v>3028.3898142040634</v>
      </c>
      <c r="AV299" s="137">
        <f>$W299*AA299+$L299*Summary_LCIA!R$32</f>
        <v>1.3702010307577424</v>
      </c>
      <c r="AW299" s="137">
        <f>$W299*AB299+$L299*Summary_LCIA!S$32</f>
        <v>298.40835346748639</v>
      </c>
      <c r="AX299" s="137">
        <f>$W299*AC299+$L299*Summary_LCIA!T$32</f>
        <v>70.814219720671488</v>
      </c>
      <c r="AY299" s="137">
        <f>$W299*AD299+$L299*Summary_LCIA!U$32</f>
        <v>0.59431285200473249</v>
      </c>
      <c r="AZ299" s="137">
        <f>$W299*AE299+$L299*Summary_LCIA!V$32</f>
        <v>7.2919301489966374E-3</v>
      </c>
      <c r="BA299" s="137">
        <f>$W299*AF299+$L299*Summary_LCIA!W$32</f>
        <v>10.883351702397075</v>
      </c>
      <c r="BB299" s="137">
        <f>$W299*AG299+$L299*Summary_LCIA!X$32</f>
        <v>14.795322713188694</v>
      </c>
      <c r="BC299" s="137">
        <f>$W299*AH299+$L299*Summary_LCIA!Y$32</f>
        <v>0.51182808115024314</v>
      </c>
      <c r="BD299" s="137">
        <f>$W299*AI299+$L299*Summary_LCIA!Z$32</f>
        <v>0.3090313335004472</v>
      </c>
      <c r="BE299" s="137">
        <f>$W299*AJ299+$L299*Summary_LCIA!AA$32</f>
        <v>1.5199561836039357</v>
      </c>
      <c r="BF299" s="137">
        <f>$W299*AK299+$L299*Summary_LCIA!AB$32</f>
        <v>7.2646090291084695E-2</v>
      </c>
      <c r="BG299" s="137">
        <f>$W299*AL299+$L299*Summary_LCIA!AC$32</f>
        <v>3.6076217019896057E-5</v>
      </c>
      <c r="BH299" s="137">
        <f>$W299*AM299+$L299*Summary_LCIA!AD$32</f>
        <v>0.11496027401888514</v>
      </c>
      <c r="BI299" s="137">
        <f>$W299*AN299+$L299*Summary_LCIA!AE$32</f>
        <v>0.32943590513707138</v>
      </c>
      <c r="BJ299" s="137">
        <f>$W299*AO299+$L299*Summary_LCIA!AF$32</f>
        <v>1.7782847341651219E-2</v>
      </c>
      <c r="BK299" s="137">
        <f>$W299*AP299+$L299*Summary_LCIA!AG$32</f>
        <v>5.6378941366512173E-3</v>
      </c>
      <c r="BL299" s="137">
        <f>$W299*AQ299+$L299*Summary_LCIA!AH$32</f>
        <v>0.80683777087342912</v>
      </c>
      <c r="BM299" s="137">
        <f>$W299*AR299+$L299*Summary_LCIA!AI$32</f>
        <v>0.2969474703218869</v>
      </c>
    </row>
    <row r="300" spans="1:65" x14ac:dyDescent="0.25">
      <c r="A300" s="149">
        <v>67</v>
      </c>
      <c r="B300" s="149">
        <v>16</v>
      </c>
      <c r="C300" s="61">
        <v>51.075544999999998</v>
      </c>
      <c r="D300" s="61">
        <v>-114.12975400000001</v>
      </c>
      <c r="E300" s="61" t="s">
        <v>462</v>
      </c>
      <c r="F300" s="149">
        <v>125</v>
      </c>
      <c r="G300" s="61" t="s">
        <v>656</v>
      </c>
      <c r="H300" s="61" t="s">
        <v>657</v>
      </c>
      <c r="I300" s="61">
        <v>51.121502999999997</v>
      </c>
      <c r="J300" s="61">
        <v>-114.007616</v>
      </c>
      <c r="K300" s="61">
        <v>10.47008467</v>
      </c>
      <c r="L300" s="61">
        <v>15.291</v>
      </c>
      <c r="M300" s="61" t="s">
        <v>617</v>
      </c>
      <c r="N300" s="149">
        <v>15</v>
      </c>
      <c r="O300" s="149">
        <v>16</v>
      </c>
      <c r="P300" s="61" t="s">
        <v>565</v>
      </c>
      <c r="Q300" s="61" t="s">
        <v>556</v>
      </c>
      <c r="R300" s="61">
        <v>39.856096299999997</v>
      </c>
      <c r="S300" s="61">
        <v>-104.6737376</v>
      </c>
      <c r="T300" s="61">
        <v>1765.5050000000001</v>
      </c>
      <c r="U300" s="61" t="s">
        <v>617</v>
      </c>
      <c r="V300" s="61" t="s">
        <v>569</v>
      </c>
      <c r="W300" s="61" cm="1">
        <f t="array" ref="W300">getDistance(I300,J300,R300,S300)*SA!$B$12</f>
        <v>1448.3026726031585</v>
      </c>
      <c r="Y300" s="137">
        <f>Transportation_LCIA!C$61*($W300^Transportation_LCIA!C$60)+Transportation_LCIA!C$62</f>
        <v>0.20249914844136069</v>
      </c>
      <c r="Z300" s="137">
        <f>Transportation_LCIA!D$61*($W300^Transportation_LCIA!D$60)+Transportation_LCIA!D$62</f>
        <v>2.0386669878376233</v>
      </c>
      <c r="AA300" s="137">
        <f>Transportation_LCIA!E$61*($W300^Transportation_LCIA!E$60)+Transportation_LCIA!E$62</f>
        <v>8.904801223902194E-4</v>
      </c>
      <c r="AB300" s="137">
        <f>Transportation_LCIA!F$61*($W300^Transportation_LCIA!F$60)+Transportation_LCIA!F$62</f>
        <v>0.20249914844136069</v>
      </c>
      <c r="AC300" s="137">
        <f>Transportation_LCIA!G$61*($W300^Transportation_LCIA!G$60)+Transportation_LCIA!G$62</f>
        <v>4.7734316954902448E-2</v>
      </c>
      <c r="AD300" s="137">
        <f>Transportation_LCIA!H$61*($W300^Transportation_LCIA!H$60)+Transportation_LCIA!H$62</f>
        <v>2.2121748724585885E-4</v>
      </c>
      <c r="AE300" s="137">
        <f>Transportation_LCIA!I$61*($W300^Transportation_LCIA!I$60)+Transportation_LCIA!I$62</f>
        <v>4.5305562311798272E-6</v>
      </c>
      <c r="AF300" s="137">
        <f>Transportation_LCIA!J$61*($W300^Transportation_LCIA!J$60)+Transportation_LCIA!J$62</f>
        <v>6.7019058412361781E-3</v>
      </c>
      <c r="AG300" s="137">
        <f>Transportation_LCIA!K$61*($W300^Transportation_LCIA!K$60)+Transportation_LCIA!K$62</f>
        <v>9.9751205369398889E-3</v>
      </c>
      <c r="AH300" s="137">
        <f>Transportation_LCIA!L$61*($W300^Transportation_LCIA!L$60)+Transportation_LCIA!L$62</f>
        <v>1.8888573799186853E-4</v>
      </c>
      <c r="AI300" s="137">
        <f>Transportation_LCIA!M$61*($W300^Transportation_LCIA!M$60)+Transportation_LCIA!M$62</f>
        <v>2.1294185995467769E-4</v>
      </c>
      <c r="AJ300" s="137">
        <f>Transportation_LCIA!N$61*($W300^Transportation_LCIA!N$60)+Transportation_LCIA!N$62</f>
        <v>8.0288437603577751E-4</v>
      </c>
      <c r="AK300" s="137">
        <f>Transportation_LCIA!O$61*($W300^Transportation_LCIA!O$60)+Transportation_LCIA!O$62</f>
        <v>5.0389871650869682E-5</v>
      </c>
      <c r="AL300" s="137">
        <f>Transportation_LCIA!P$61*($W300^Transportation_LCIA!P$60)+Transportation_LCIA!P$62</f>
        <v>2.4393196563254763E-8</v>
      </c>
      <c r="AM300" s="137">
        <f>Transportation_LCIA!Q$61*($W300^Transportation_LCIA!Q$60)+Transportation_LCIA!Q$62</f>
        <v>7.5036153308723888E-5</v>
      </c>
      <c r="AN300" s="137">
        <f>Transportation_LCIA!R$61*($W300^Transportation_LCIA!R$60)+Transportation_LCIA!R$62</f>
        <v>2.1810778733101575E-4</v>
      </c>
      <c r="AO300" s="137">
        <f>Transportation_LCIA!S$61*($W300^Transportation_LCIA!S$60)+Transportation_LCIA!S$62</f>
        <v>3.3525658783215227E-6</v>
      </c>
      <c r="AP300" s="137">
        <f>Transportation_LCIA!T$61*($W300^Transportation_LCIA!T$60)+Transportation_LCIA!T$62</f>
        <v>3.3525658783215227E-6</v>
      </c>
      <c r="AQ300" s="137">
        <f>Transportation_LCIA!U$61*($W300^Transportation_LCIA!U$60)+Transportation_LCIA!U$62</f>
        <v>4.6520042807242677E-4</v>
      </c>
      <c r="AR300" s="137">
        <f>Transportation_LCIA!V$61*($W300^Transportation_LCIA!V$60)+Transportation_LCIA!V$62</f>
        <v>1.9519617316162259E-4</v>
      </c>
      <c r="AT300" s="137">
        <f>$W300*Y300+$L300*Summary_LCIA!H$32</f>
        <v>298.4759396874864</v>
      </c>
      <c r="AU300" s="137">
        <f>$W300*Z300+$L300*Summary_LCIA!Q$32</f>
        <v>3028.3898142040634</v>
      </c>
      <c r="AV300" s="137">
        <f>$W300*AA300+$L300*Summary_LCIA!R$32</f>
        <v>1.3702010307577424</v>
      </c>
      <c r="AW300" s="137">
        <f>$W300*AB300+$L300*Summary_LCIA!S$32</f>
        <v>298.40835346748639</v>
      </c>
      <c r="AX300" s="137">
        <f>$W300*AC300+$L300*Summary_LCIA!T$32</f>
        <v>70.814219720671488</v>
      </c>
      <c r="AY300" s="137">
        <f>$W300*AD300+$L300*Summary_LCIA!U$32</f>
        <v>0.59431285200473249</v>
      </c>
      <c r="AZ300" s="137">
        <f>$W300*AE300+$L300*Summary_LCIA!V$32</f>
        <v>7.2919301489966374E-3</v>
      </c>
      <c r="BA300" s="137">
        <f>$W300*AF300+$L300*Summary_LCIA!W$32</f>
        <v>10.883351702397075</v>
      </c>
      <c r="BB300" s="137">
        <f>$W300*AG300+$L300*Summary_LCIA!X$32</f>
        <v>14.795322713188694</v>
      </c>
      <c r="BC300" s="137">
        <f>$W300*AH300+$L300*Summary_LCIA!Y$32</f>
        <v>0.51182808115024314</v>
      </c>
      <c r="BD300" s="137">
        <f>$W300*AI300+$L300*Summary_LCIA!Z$32</f>
        <v>0.3090313335004472</v>
      </c>
      <c r="BE300" s="137">
        <f>$W300*AJ300+$L300*Summary_LCIA!AA$32</f>
        <v>1.5199561836039357</v>
      </c>
      <c r="BF300" s="137">
        <f>$W300*AK300+$L300*Summary_LCIA!AB$32</f>
        <v>7.2646090291084695E-2</v>
      </c>
      <c r="BG300" s="137">
        <f>$W300*AL300+$L300*Summary_LCIA!AC$32</f>
        <v>3.6076217019896057E-5</v>
      </c>
      <c r="BH300" s="137">
        <f>$W300*AM300+$L300*Summary_LCIA!AD$32</f>
        <v>0.11496027401888514</v>
      </c>
      <c r="BI300" s="137">
        <f>$W300*AN300+$L300*Summary_LCIA!AE$32</f>
        <v>0.32943590513707138</v>
      </c>
      <c r="BJ300" s="137">
        <f>$W300*AO300+$L300*Summary_LCIA!AF$32</f>
        <v>1.7782847341651219E-2</v>
      </c>
      <c r="BK300" s="137">
        <f>$W300*AP300+$L300*Summary_LCIA!AG$32</f>
        <v>5.6378941366512173E-3</v>
      </c>
      <c r="BL300" s="137">
        <f>$W300*AQ300+$L300*Summary_LCIA!AH$32</f>
        <v>0.80683777087342912</v>
      </c>
      <c r="BM300" s="137">
        <f>$W300*AR300+$L300*Summary_LCIA!AI$32</f>
        <v>0.2969474703218869</v>
      </c>
    </row>
    <row r="301" spans="1:65" x14ac:dyDescent="0.25">
      <c r="A301" s="149">
        <v>68</v>
      </c>
      <c r="B301" s="149">
        <v>16</v>
      </c>
      <c r="C301" s="61">
        <v>51.075544999999998</v>
      </c>
      <c r="D301" s="61">
        <v>-114.12975400000001</v>
      </c>
      <c r="E301" s="61" t="s">
        <v>462</v>
      </c>
      <c r="F301" s="149">
        <v>125</v>
      </c>
      <c r="G301" s="61" t="s">
        <v>656</v>
      </c>
      <c r="H301" s="61" t="s">
        <v>657</v>
      </c>
      <c r="I301" s="61">
        <v>51.121502999999997</v>
      </c>
      <c r="J301" s="61">
        <v>-114.007616</v>
      </c>
      <c r="K301" s="61">
        <v>10.47008467</v>
      </c>
      <c r="L301" s="61">
        <v>15.291</v>
      </c>
      <c r="M301" s="61" t="s">
        <v>617</v>
      </c>
      <c r="N301" s="149">
        <v>15</v>
      </c>
      <c r="O301" s="149">
        <v>16</v>
      </c>
      <c r="P301" s="61" t="s">
        <v>565</v>
      </c>
      <c r="Q301" s="61" t="s">
        <v>556</v>
      </c>
      <c r="R301" s="61">
        <v>39.856096299999997</v>
      </c>
      <c r="S301" s="61">
        <v>-104.6737376</v>
      </c>
      <c r="T301" s="61">
        <v>1765.5050000000001</v>
      </c>
      <c r="U301" s="61" t="s">
        <v>617</v>
      </c>
      <c r="V301" s="61" t="s">
        <v>569</v>
      </c>
      <c r="W301" s="61" cm="1">
        <f t="array" ref="W301">getDistance(I301,J301,R301,S301)*SA!$B$12</f>
        <v>1448.3026726031585</v>
      </c>
      <c r="Y301" s="137">
        <f>Transportation_LCIA!C$61*($W301^Transportation_LCIA!C$60)+Transportation_LCIA!C$62</f>
        <v>0.20249914844136069</v>
      </c>
      <c r="Z301" s="137">
        <f>Transportation_LCIA!D$61*($W301^Transportation_LCIA!D$60)+Transportation_LCIA!D$62</f>
        <v>2.0386669878376233</v>
      </c>
      <c r="AA301" s="137">
        <f>Transportation_LCIA!E$61*($W301^Transportation_LCIA!E$60)+Transportation_LCIA!E$62</f>
        <v>8.904801223902194E-4</v>
      </c>
      <c r="AB301" s="137">
        <f>Transportation_LCIA!F$61*($W301^Transportation_LCIA!F$60)+Transportation_LCIA!F$62</f>
        <v>0.20249914844136069</v>
      </c>
      <c r="AC301" s="137">
        <f>Transportation_LCIA!G$61*($W301^Transportation_LCIA!G$60)+Transportation_LCIA!G$62</f>
        <v>4.7734316954902448E-2</v>
      </c>
      <c r="AD301" s="137">
        <f>Transportation_LCIA!H$61*($W301^Transportation_LCIA!H$60)+Transportation_LCIA!H$62</f>
        <v>2.2121748724585885E-4</v>
      </c>
      <c r="AE301" s="137">
        <f>Transportation_LCIA!I$61*($W301^Transportation_LCIA!I$60)+Transportation_LCIA!I$62</f>
        <v>4.5305562311798272E-6</v>
      </c>
      <c r="AF301" s="137">
        <f>Transportation_LCIA!J$61*($W301^Transportation_LCIA!J$60)+Transportation_LCIA!J$62</f>
        <v>6.7019058412361781E-3</v>
      </c>
      <c r="AG301" s="137">
        <f>Transportation_LCIA!K$61*($W301^Transportation_LCIA!K$60)+Transportation_LCIA!K$62</f>
        <v>9.9751205369398889E-3</v>
      </c>
      <c r="AH301" s="137">
        <f>Transportation_LCIA!L$61*($W301^Transportation_LCIA!L$60)+Transportation_LCIA!L$62</f>
        <v>1.8888573799186853E-4</v>
      </c>
      <c r="AI301" s="137">
        <f>Transportation_LCIA!M$61*($W301^Transportation_LCIA!M$60)+Transportation_LCIA!M$62</f>
        <v>2.1294185995467769E-4</v>
      </c>
      <c r="AJ301" s="137">
        <f>Transportation_LCIA!N$61*($W301^Transportation_LCIA!N$60)+Transportation_LCIA!N$62</f>
        <v>8.0288437603577751E-4</v>
      </c>
      <c r="AK301" s="137">
        <f>Transportation_LCIA!O$61*($W301^Transportation_LCIA!O$60)+Transportation_LCIA!O$62</f>
        <v>5.0389871650869682E-5</v>
      </c>
      <c r="AL301" s="137">
        <f>Transportation_LCIA!P$61*($W301^Transportation_LCIA!P$60)+Transportation_LCIA!P$62</f>
        <v>2.4393196563254763E-8</v>
      </c>
      <c r="AM301" s="137">
        <f>Transportation_LCIA!Q$61*($W301^Transportation_LCIA!Q$60)+Transportation_LCIA!Q$62</f>
        <v>7.5036153308723888E-5</v>
      </c>
      <c r="AN301" s="137">
        <f>Transportation_LCIA!R$61*($W301^Transportation_LCIA!R$60)+Transportation_LCIA!R$62</f>
        <v>2.1810778733101575E-4</v>
      </c>
      <c r="AO301" s="137">
        <f>Transportation_LCIA!S$61*($W301^Transportation_LCIA!S$60)+Transportation_LCIA!S$62</f>
        <v>3.3525658783215227E-6</v>
      </c>
      <c r="AP301" s="137">
        <f>Transportation_LCIA!T$61*($W301^Transportation_LCIA!T$60)+Transportation_LCIA!T$62</f>
        <v>3.3525658783215227E-6</v>
      </c>
      <c r="AQ301" s="137">
        <f>Transportation_LCIA!U$61*($W301^Transportation_LCIA!U$60)+Transportation_LCIA!U$62</f>
        <v>4.6520042807242677E-4</v>
      </c>
      <c r="AR301" s="137">
        <f>Transportation_LCIA!V$61*($W301^Transportation_LCIA!V$60)+Transportation_LCIA!V$62</f>
        <v>1.9519617316162259E-4</v>
      </c>
      <c r="AT301" s="137">
        <f>$W301*Y301+$L301*Summary_LCIA!H$32</f>
        <v>298.4759396874864</v>
      </c>
      <c r="AU301" s="137">
        <f>$W301*Z301+$L301*Summary_LCIA!Q$32</f>
        <v>3028.3898142040634</v>
      </c>
      <c r="AV301" s="137">
        <f>$W301*AA301+$L301*Summary_LCIA!R$32</f>
        <v>1.3702010307577424</v>
      </c>
      <c r="AW301" s="137">
        <f>$W301*AB301+$L301*Summary_LCIA!S$32</f>
        <v>298.40835346748639</v>
      </c>
      <c r="AX301" s="137">
        <f>$W301*AC301+$L301*Summary_LCIA!T$32</f>
        <v>70.814219720671488</v>
      </c>
      <c r="AY301" s="137">
        <f>$W301*AD301+$L301*Summary_LCIA!U$32</f>
        <v>0.59431285200473249</v>
      </c>
      <c r="AZ301" s="137">
        <f>$W301*AE301+$L301*Summary_LCIA!V$32</f>
        <v>7.2919301489966374E-3</v>
      </c>
      <c r="BA301" s="137">
        <f>$W301*AF301+$L301*Summary_LCIA!W$32</f>
        <v>10.883351702397075</v>
      </c>
      <c r="BB301" s="137">
        <f>$W301*AG301+$L301*Summary_LCIA!X$32</f>
        <v>14.795322713188694</v>
      </c>
      <c r="BC301" s="137">
        <f>$W301*AH301+$L301*Summary_LCIA!Y$32</f>
        <v>0.51182808115024314</v>
      </c>
      <c r="BD301" s="137">
        <f>$W301*AI301+$L301*Summary_LCIA!Z$32</f>
        <v>0.3090313335004472</v>
      </c>
      <c r="BE301" s="137">
        <f>$W301*AJ301+$L301*Summary_LCIA!AA$32</f>
        <v>1.5199561836039357</v>
      </c>
      <c r="BF301" s="137">
        <f>$W301*AK301+$L301*Summary_LCIA!AB$32</f>
        <v>7.2646090291084695E-2</v>
      </c>
      <c r="BG301" s="137">
        <f>$W301*AL301+$L301*Summary_LCIA!AC$32</f>
        <v>3.6076217019896057E-5</v>
      </c>
      <c r="BH301" s="137">
        <f>$W301*AM301+$L301*Summary_LCIA!AD$32</f>
        <v>0.11496027401888514</v>
      </c>
      <c r="BI301" s="137">
        <f>$W301*AN301+$L301*Summary_LCIA!AE$32</f>
        <v>0.32943590513707138</v>
      </c>
      <c r="BJ301" s="137">
        <f>$W301*AO301+$L301*Summary_LCIA!AF$32</f>
        <v>1.7782847341651219E-2</v>
      </c>
      <c r="BK301" s="137">
        <f>$W301*AP301+$L301*Summary_LCIA!AG$32</f>
        <v>5.6378941366512173E-3</v>
      </c>
      <c r="BL301" s="137">
        <f>$W301*AQ301+$L301*Summary_LCIA!AH$32</f>
        <v>0.80683777087342912</v>
      </c>
      <c r="BM301" s="137">
        <f>$W301*AR301+$L301*Summary_LCIA!AI$32</f>
        <v>0.2969474703218869</v>
      </c>
    </row>
    <row r="302" spans="1:65" x14ac:dyDescent="0.25">
      <c r="A302" s="149">
        <v>69</v>
      </c>
      <c r="B302" s="149">
        <v>16</v>
      </c>
      <c r="C302" s="61">
        <v>51.075544999999998</v>
      </c>
      <c r="D302" s="61">
        <v>-114.12975400000001</v>
      </c>
      <c r="E302" s="61" t="s">
        <v>462</v>
      </c>
      <c r="F302" s="149">
        <v>125</v>
      </c>
      <c r="G302" s="61" t="s">
        <v>656</v>
      </c>
      <c r="H302" s="61" t="s">
        <v>657</v>
      </c>
      <c r="I302" s="61">
        <v>51.121502999999997</v>
      </c>
      <c r="J302" s="61">
        <v>-114.007616</v>
      </c>
      <c r="K302" s="61">
        <v>10.47008467</v>
      </c>
      <c r="L302" s="61">
        <v>15.291</v>
      </c>
      <c r="M302" s="61" t="s">
        <v>617</v>
      </c>
      <c r="N302" s="149">
        <v>15</v>
      </c>
      <c r="O302" s="149">
        <v>16</v>
      </c>
      <c r="P302" s="61" t="s">
        <v>565</v>
      </c>
      <c r="Q302" s="61" t="s">
        <v>556</v>
      </c>
      <c r="R302" s="61">
        <v>39.856096299999997</v>
      </c>
      <c r="S302" s="61">
        <v>-104.6737376</v>
      </c>
      <c r="T302" s="61">
        <v>1765.5050000000001</v>
      </c>
      <c r="U302" s="61" t="s">
        <v>617</v>
      </c>
      <c r="V302" s="61" t="s">
        <v>569</v>
      </c>
      <c r="W302" s="61" cm="1">
        <f t="array" ref="W302">getDistance(I302,J302,R302,S302)*SA!$B$12</f>
        <v>1448.3026726031585</v>
      </c>
      <c r="Y302" s="137">
        <f>Transportation_LCIA!C$61*($W302^Transportation_LCIA!C$60)+Transportation_LCIA!C$62</f>
        <v>0.20249914844136069</v>
      </c>
      <c r="Z302" s="137">
        <f>Transportation_LCIA!D$61*($W302^Transportation_LCIA!D$60)+Transportation_LCIA!D$62</f>
        <v>2.0386669878376233</v>
      </c>
      <c r="AA302" s="137">
        <f>Transportation_LCIA!E$61*($W302^Transportation_LCIA!E$60)+Transportation_LCIA!E$62</f>
        <v>8.904801223902194E-4</v>
      </c>
      <c r="AB302" s="137">
        <f>Transportation_LCIA!F$61*($W302^Transportation_LCIA!F$60)+Transportation_LCIA!F$62</f>
        <v>0.20249914844136069</v>
      </c>
      <c r="AC302" s="137">
        <f>Transportation_LCIA!G$61*($W302^Transportation_LCIA!G$60)+Transportation_LCIA!G$62</f>
        <v>4.7734316954902448E-2</v>
      </c>
      <c r="AD302" s="137">
        <f>Transportation_LCIA!H$61*($W302^Transportation_LCIA!H$60)+Transportation_LCIA!H$62</f>
        <v>2.2121748724585885E-4</v>
      </c>
      <c r="AE302" s="137">
        <f>Transportation_LCIA!I$61*($W302^Transportation_LCIA!I$60)+Transportation_LCIA!I$62</f>
        <v>4.5305562311798272E-6</v>
      </c>
      <c r="AF302" s="137">
        <f>Transportation_LCIA!J$61*($W302^Transportation_LCIA!J$60)+Transportation_LCIA!J$62</f>
        <v>6.7019058412361781E-3</v>
      </c>
      <c r="AG302" s="137">
        <f>Transportation_LCIA!K$61*($W302^Transportation_LCIA!K$60)+Transportation_LCIA!K$62</f>
        <v>9.9751205369398889E-3</v>
      </c>
      <c r="AH302" s="137">
        <f>Transportation_LCIA!L$61*($W302^Transportation_LCIA!L$60)+Transportation_LCIA!L$62</f>
        <v>1.8888573799186853E-4</v>
      </c>
      <c r="AI302" s="137">
        <f>Transportation_LCIA!M$61*($W302^Transportation_LCIA!M$60)+Transportation_LCIA!M$62</f>
        <v>2.1294185995467769E-4</v>
      </c>
      <c r="AJ302" s="137">
        <f>Transportation_LCIA!N$61*($W302^Transportation_LCIA!N$60)+Transportation_LCIA!N$62</f>
        <v>8.0288437603577751E-4</v>
      </c>
      <c r="AK302" s="137">
        <f>Transportation_LCIA!O$61*($W302^Transportation_LCIA!O$60)+Transportation_LCIA!O$62</f>
        <v>5.0389871650869682E-5</v>
      </c>
      <c r="AL302" s="137">
        <f>Transportation_LCIA!P$61*($W302^Transportation_LCIA!P$60)+Transportation_LCIA!P$62</f>
        <v>2.4393196563254763E-8</v>
      </c>
      <c r="AM302" s="137">
        <f>Transportation_LCIA!Q$61*($W302^Transportation_LCIA!Q$60)+Transportation_LCIA!Q$62</f>
        <v>7.5036153308723888E-5</v>
      </c>
      <c r="AN302" s="137">
        <f>Transportation_LCIA!R$61*($W302^Transportation_LCIA!R$60)+Transportation_LCIA!R$62</f>
        <v>2.1810778733101575E-4</v>
      </c>
      <c r="AO302" s="137">
        <f>Transportation_LCIA!S$61*($W302^Transportation_LCIA!S$60)+Transportation_LCIA!S$62</f>
        <v>3.3525658783215227E-6</v>
      </c>
      <c r="AP302" s="137">
        <f>Transportation_LCIA!T$61*($W302^Transportation_LCIA!T$60)+Transportation_LCIA!T$62</f>
        <v>3.3525658783215227E-6</v>
      </c>
      <c r="AQ302" s="137">
        <f>Transportation_LCIA!U$61*($W302^Transportation_LCIA!U$60)+Transportation_LCIA!U$62</f>
        <v>4.6520042807242677E-4</v>
      </c>
      <c r="AR302" s="137">
        <f>Transportation_LCIA!V$61*($W302^Transportation_LCIA!V$60)+Transportation_LCIA!V$62</f>
        <v>1.9519617316162259E-4</v>
      </c>
      <c r="AT302" s="137">
        <f>$W302*Y302+$L302*Summary_LCIA!H$32</f>
        <v>298.4759396874864</v>
      </c>
      <c r="AU302" s="137">
        <f>$W302*Z302+$L302*Summary_LCIA!Q$32</f>
        <v>3028.3898142040634</v>
      </c>
      <c r="AV302" s="137">
        <f>$W302*AA302+$L302*Summary_LCIA!R$32</f>
        <v>1.3702010307577424</v>
      </c>
      <c r="AW302" s="137">
        <f>$W302*AB302+$L302*Summary_LCIA!S$32</f>
        <v>298.40835346748639</v>
      </c>
      <c r="AX302" s="137">
        <f>$W302*AC302+$L302*Summary_LCIA!T$32</f>
        <v>70.814219720671488</v>
      </c>
      <c r="AY302" s="137">
        <f>$W302*AD302+$L302*Summary_LCIA!U$32</f>
        <v>0.59431285200473249</v>
      </c>
      <c r="AZ302" s="137">
        <f>$W302*AE302+$L302*Summary_LCIA!V$32</f>
        <v>7.2919301489966374E-3</v>
      </c>
      <c r="BA302" s="137">
        <f>$W302*AF302+$L302*Summary_LCIA!W$32</f>
        <v>10.883351702397075</v>
      </c>
      <c r="BB302" s="137">
        <f>$W302*AG302+$L302*Summary_LCIA!X$32</f>
        <v>14.795322713188694</v>
      </c>
      <c r="BC302" s="137">
        <f>$W302*AH302+$L302*Summary_LCIA!Y$32</f>
        <v>0.51182808115024314</v>
      </c>
      <c r="BD302" s="137">
        <f>$W302*AI302+$L302*Summary_LCIA!Z$32</f>
        <v>0.3090313335004472</v>
      </c>
      <c r="BE302" s="137">
        <f>$W302*AJ302+$L302*Summary_LCIA!AA$32</f>
        <v>1.5199561836039357</v>
      </c>
      <c r="BF302" s="137">
        <f>$W302*AK302+$L302*Summary_LCIA!AB$32</f>
        <v>7.2646090291084695E-2</v>
      </c>
      <c r="BG302" s="137">
        <f>$W302*AL302+$L302*Summary_LCIA!AC$32</f>
        <v>3.6076217019896057E-5</v>
      </c>
      <c r="BH302" s="137">
        <f>$W302*AM302+$L302*Summary_LCIA!AD$32</f>
        <v>0.11496027401888514</v>
      </c>
      <c r="BI302" s="137">
        <f>$W302*AN302+$L302*Summary_LCIA!AE$32</f>
        <v>0.32943590513707138</v>
      </c>
      <c r="BJ302" s="137">
        <f>$W302*AO302+$L302*Summary_LCIA!AF$32</f>
        <v>1.7782847341651219E-2</v>
      </c>
      <c r="BK302" s="137">
        <f>$W302*AP302+$L302*Summary_LCIA!AG$32</f>
        <v>5.6378941366512173E-3</v>
      </c>
      <c r="BL302" s="137">
        <f>$W302*AQ302+$L302*Summary_LCIA!AH$32</f>
        <v>0.80683777087342912</v>
      </c>
      <c r="BM302" s="137">
        <f>$W302*AR302+$L302*Summary_LCIA!AI$32</f>
        <v>0.2969474703218869</v>
      </c>
    </row>
    <row r="303" spans="1:65" x14ac:dyDescent="0.25">
      <c r="A303" s="149">
        <v>70</v>
      </c>
      <c r="B303" s="149">
        <v>16</v>
      </c>
      <c r="C303" s="61">
        <v>51.075544999999998</v>
      </c>
      <c r="D303" s="61">
        <v>-114.12975400000001</v>
      </c>
      <c r="E303" s="61" t="s">
        <v>462</v>
      </c>
      <c r="F303" s="149">
        <v>125</v>
      </c>
      <c r="G303" s="61" t="s">
        <v>656</v>
      </c>
      <c r="H303" s="61" t="s">
        <v>657</v>
      </c>
      <c r="I303" s="61">
        <v>51.121502999999997</v>
      </c>
      <c r="J303" s="61">
        <v>-114.007616</v>
      </c>
      <c r="K303" s="61">
        <v>10.47008467</v>
      </c>
      <c r="L303" s="61">
        <v>15.291</v>
      </c>
      <c r="M303" s="61" t="s">
        <v>617</v>
      </c>
      <c r="N303" s="149">
        <v>15</v>
      </c>
      <c r="O303" s="149">
        <v>16</v>
      </c>
      <c r="P303" s="61" t="s">
        <v>565</v>
      </c>
      <c r="Q303" s="61" t="s">
        <v>556</v>
      </c>
      <c r="R303" s="61">
        <v>39.856096299999997</v>
      </c>
      <c r="S303" s="61">
        <v>-104.6737376</v>
      </c>
      <c r="T303" s="61">
        <v>1765.5050000000001</v>
      </c>
      <c r="U303" s="61" t="s">
        <v>617</v>
      </c>
      <c r="V303" s="61" t="s">
        <v>569</v>
      </c>
      <c r="W303" s="61" cm="1">
        <f t="array" ref="W303">getDistance(I303,J303,R303,S303)*SA!$B$12</f>
        <v>1448.3026726031585</v>
      </c>
      <c r="Y303" s="137">
        <f>Transportation_LCIA!C$61*($W303^Transportation_LCIA!C$60)+Transportation_LCIA!C$62</f>
        <v>0.20249914844136069</v>
      </c>
      <c r="Z303" s="137">
        <f>Transportation_LCIA!D$61*($W303^Transportation_LCIA!D$60)+Transportation_LCIA!D$62</f>
        <v>2.0386669878376233</v>
      </c>
      <c r="AA303" s="137">
        <f>Transportation_LCIA!E$61*($W303^Transportation_LCIA!E$60)+Transportation_LCIA!E$62</f>
        <v>8.904801223902194E-4</v>
      </c>
      <c r="AB303" s="137">
        <f>Transportation_LCIA!F$61*($W303^Transportation_LCIA!F$60)+Transportation_LCIA!F$62</f>
        <v>0.20249914844136069</v>
      </c>
      <c r="AC303" s="137">
        <f>Transportation_LCIA!G$61*($W303^Transportation_LCIA!G$60)+Transportation_LCIA!G$62</f>
        <v>4.7734316954902448E-2</v>
      </c>
      <c r="AD303" s="137">
        <f>Transportation_LCIA!H$61*($W303^Transportation_LCIA!H$60)+Transportation_LCIA!H$62</f>
        <v>2.2121748724585885E-4</v>
      </c>
      <c r="AE303" s="137">
        <f>Transportation_LCIA!I$61*($W303^Transportation_LCIA!I$60)+Transportation_LCIA!I$62</f>
        <v>4.5305562311798272E-6</v>
      </c>
      <c r="AF303" s="137">
        <f>Transportation_LCIA!J$61*($W303^Transportation_LCIA!J$60)+Transportation_LCIA!J$62</f>
        <v>6.7019058412361781E-3</v>
      </c>
      <c r="AG303" s="137">
        <f>Transportation_LCIA!K$61*($W303^Transportation_LCIA!K$60)+Transportation_LCIA!K$62</f>
        <v>9.9751205369398889E-3</v>
      </c>
      <c r="AH303" s="137">
        <f>Transportation_LCIA!L$61*($W303^Transportation_LCIA!L$60)+Transportation_LCIA!L$62</f>
        <v>1.8888573799186853E-4</v>
      </c>
      <c r="AI303" s="137">
        <f>Transportation_LCIA!M$61*($W303^Transportation_LCIA!M$60)+Transportation_LCIA!M$62</f>
        <v>2.1294185995467769E-4</v>
      </c>
      <c r="AJ303" s="137">
        <f>Transportation_LCIA!N$61*($W303^Transportation_LCIA!N$60)+Transportation_LCIA!N$62</f>
        <v>8.0288437603577751E-4</v>
      </c>
      <c r="AK303" s="137">
        <f>Transportation_LCIA!O$61*($W303^Transportation_LCIA!O$60)+Transportation_LCIA!O$62</f>
        <v>5.0389871650869682E-5</v>
      </c>
      <c r="AL303" s="137">
        <f>Transportation_LCIA!P$61*($W303^Transportation_LCIA!P$60)+Transportation_LCIA!P$62</f>
        <v>2.4393196563254763E-8</v>
      </c>
      <c r="AM303" s="137">
        <f>Transportation_LCIA!Q$61*($W303^Transportation_LCIA!Q$60)+Transportation_LCIA!Q$62</f>
        <v>7.5036153308723888E-5</v>
      </c>
      <c r="AN303" s="137">
        <f>Transportation_LCIA!R$61*($W303^Transportation_LCIA!R$60)+Transportation_LCIA!R$62</f>
        <v>2.1810778733101575E-4</v>
      </c>
      <c r="AO303" s="137">
        <f>Transportation_LCIA!S$61*($W303^Transportation_LCIA!S$60)+Transportation_LCIA!S$62</f>
        <v>3.3525658783215227E-6</v>
      </c>
      <c r="AP303" s="137">
        <f>Transportation_LCIA!T$61*($W303^Transportation_LCIA!T$60)+Transportation_LCIA!T$62</f>
        <v>3.3525658783215227E-6</v>
      </c>
      <c r="AQ303" s="137">
        <f>Transportation_LCIA!U$61*($W303^Transportation_LCIA!U$60)+Transportation_LCIA!U$62</f>
        <v>4.6520042807242677E-4</v>
      </c>
      <c r="AR303" s="137">
        <f>Transportation_LCIA!V$61*($W303^Transportation_LCIA!V$60)+Transportation_LCIA!V$62</f>
        <v>1.9519617316162259E-4</v>
      </c>
      <c r="AT303" s="137">
        <f>$W303*Y303+$L303*Summary_LCIA!H$32</f>
        <v>298.4759396874864</v>
      </c>
      <c r="AU303" s="137">
        <f>$W303*Z303+$L303*Summary_LCIA!Q$32</f>
        <v>3028.3898142040634</v>
      </c>
      <c r="AV303" s="137">
        <f>$W303*AA303+$L303*Summary_LCIA!R$32</f>
        <v>1.3702010307577424</v>
      </c>
      <c r="AW303" s="137">
        <f>$W303*AB303+$L303*Summary_LCIA!S$32</f>
        <v>298.40835346748639</v>
      </c>
      <c r="AX303" s="137">
        <f>$W303*AC303+$L303*Summary_LCIA!T$32</f>
        <v>70.814219720671488</v>
      </c>
      <c r="AY303" s="137">
        <f>$W303*AD303+$L303*Summary_LCIA!U$32</f>
        <v>0.59431285200473249</v>
      </c>
      <c r="AZ303" s="137">
        <f>$W303*AE303+$L303*Summary_LCIA!V$32</f>
        <v>7.2919301489966374E-3</v>
      </c>
      <c r="BA303" s="137">
        <f>$W303*AF303+$L303*Summary_LCIA!W$32</f>
        <v>10.883351702397075</v>
      </c>
      <c r="BB303" s="137">
        <f>$W303*AG303+$L303*Summary_LCIA!X$32</f>
        <v>14.795322713188694</v>
      </c>
      <c r="BC303" s="137">
        <f>$W303*AH303+$L303*Summary_LCIA!Y$32</f>
        <v>0.51182808115024314</v>
      </c>
      <c r="BD303" s="137">
        <f>$W303*AI303+$L303*Summary_LCIA!Z$32</f>
        <v>0.3090313335004472</v>
      </c>
      <c r="BE303" s="137">
        <f>$W303*AJ303+$L303*Summary_LCIA!AA$32</f>
        <v>1.5199561836039357</v>
      </c>
      <c r="BF303" s="137">
        <f>$W303*AK303+$L303*Summary_LCIA!AB$32</f>
        <v>7.2646090291084695E-2</v>
      </c>
      <c r="BG303" s="137">
        <f>$W303*AL303+$L303*Summary_LCIA!AC$32</f>
        <v>3.6076217019896057E-5</v>
      </c>
      <c r="BH303" s="137">
        <f>$W303*AM303+$L303*Summary_LCIA!AD$32</f>
        <v>0.11496027401888514</v>
      </c>
      <c r="BI303" s="137">
        <f>$W303*AN303+$L303*Summary_LCIA!AE$32</f>
        <v>0.32943590513707138</v>
      </c>
      <c r="BJ303" s="137">
        <f>$W303*AO303+$L303*Summary_LCIA!AF$32</f>
        <v>1.7782847341651219E-2</v>
      </c>
      <c r="BK303" s="137">
        <f>$W303*AP303+$L303*Summary_LCIA!AG$32</f>
        <v>5.6378941366512173E-3</v>
      </c>
      <c r="BL303" s="137">
        <f>$W303*AQ303+$L303*Summary_LCIA!AH$32</f>
        <v>0.80683777087342912</v>
      </c>
      <c r="BM303" s="137">
        <f>$W303*AR303+$L303*Summary_LCIA!AI$32</f>
        <v>0.2969474703218869</v>
      </c>
    </row>
    <row r="304" spans="1:65" x14ac:dyDescent="0.25">
      <c r="A304" s="149">
        <v>71</v>
      </c>
      <c r="B304" s="149">
        <v>16</v>
      </c>
      <c r="C304" s="61">
        <v>51.075544999999998</v>
      </c>
      <c r="D304" s="61">
        <v>-114.12975400000001</v>
      </c>
      <c r="E304" s="61" t="s">
        <v>462</v>
      </c>
      <c r="F304" s="149">
        <v>125</v>
      </c>
      <c r="G304" s="61" t="s">
        <v>656</v>
      </c>
      <c r="H304" s="61" t="s">
        <v>657</v>
      </c>
      <c r="I304" s="61">
        <v>51.121502999999997</v>
      </c>
      <c r="J304" s="61">
        <v>-114.007616</v>
      </c>
      <c r="K304" s="61">
        <v>10.47008467</v>
      </c>
      <c r="L304" s="61">
        <v>15.291</v>
      </c>
      <c r="M304" s="61" t="s">
        <v>617</v>
      </c>
      <c r="N304" s="149">
        <v>15</v>
      </c>
      <c r="O304" s="149">
        <v>16</v>
      </c>
      <c r="P304" s="61" t="s">
        <v>565</v>
      </c>
      <c r="Q304" s="61" t="s">
        <v>556</v>
      </c>
      <c r="R304" s="61">
        <v>39.856096299999997</v>
      </c>
      <c r="S304" s="61">
        <v>-104.6737376</v>
      </c>
      <c r="T304" s="61">
        <v>1765.5050000000001</v>
      </c>
      <c r="U304" s="61" t="s">
        <v>617</v>
      </c>
      <c r="V304" s="61" t="s">
        <v>569</v>
      </c>
      <c r="W304" s="61" cm="1">
        <f t="array" ref="W304">getDistance(I304,J304,R304,S304)*SA!$B$12</f>
        <v>1448.3026726031585</v>
      </c>
      <c r="Y304" s="137">
        <f>Transportation_LCIA!C$61*($W304^Transportation_LCIA!C$60)+Transportation_LCIA!C$62</f>
        <v>0.20249914844136069</v>
      </c>
      <c r="Z304" s="137">
        <f>Transportation_LCIA!D$61*($W304^Transportation_LCIA!D$60)+Transportation_LCIA!D$62</f>
        <v>2.0386669878376233</v>
      </c>
      <c r="AA304" s="137">
        <f>Transportation_LCIA!E$61*($W304^Transportation_LCIA!E$60)+Transportation_LCIA!E$62</f>
        <v>8.904801223902194E-4</v>
      </c>
      <c r="AB304" s="137">
        <f>Transportation_LCIA!F$61*($W304^Transportation_LCIA!F$60)+Transportation_LCIA!F$62</f>
        <v>0.20249914844136069</v>
      </c>
      <c r="AC304" s="137">
        <f>Transportation_LCIA!G$61*($W304^Transportation_LCIA!G$60)+Transportation_LCIA!G$62</f>
        <v>4.7734316954902448E-2</v>
      </c>
      <c r="AD304" s="137">
        <f>Transportation_LCIA!H$61*($W304^Transportation_LCIA!H$60)+Transportation_LCIA!H$62</f>
        <v>2.2121748724585885E-4</v>
      </c>
      <c r="AE304" s="137">
        <f>Transportation_LCIA!I$61*($W304^Transportation_LCIA!I$60)+Transportation_LCIA!I$62</f>
        <v>4.5305562311798272E-6</v>
      </c>
      <c r="AF304" s="137">
        <f>Transportation_LCIA!J$61*($W304^Transportation_LCIA!J$60)+Transportation_LCIA!J$62</f>
        <v>6.7019058412361781E-3</v>
      </c>
      <c r="AG304" s="137">
        <f>Transportation_LCIA!K$61*($W304^Transportation_LCIA!K$60)+Transportation_LCIA!K$62</f>
        <v>9.9751205369398889E-3</v>
      </c>
      <c r="AH304" s="137">
        <f>Transportation_LCIA!L$61*($W304^Transportation_LCIA!L$60)+Transportation_LCIA!L$62</f>
        <v>1.8888573799186853E-4</v>
      </c>
      <c r="AI304" s="137">
        <f>Transportation_LCIA!M$61*($W304^Transportation_LCIA!M$60)+Transportation_LCIA!M$62</f>
        <v>2.1294185995467769E-4</v>
      </c>
      <c r="AJ304" s="137">
        <f>Transportation_LCIA!N$61*($W304^Transportation_LCIA!N$60)+Transportation_LCIA!N$62</f>
        <v>8.0288437603577751E-4</v>
      </c>
      <c r="AK304" s="137">
        <f>Transportation_LCIA!O$61*($W304^Transportation_LCIA!O$60)+Transportation_LCIA!O$62</f>
        <v>5.0389871650869682E-5</v>
      </c>
      <c r="AL304" s="137">
        <f>Transportation_LCIA!P$61*($W304^Transportation_LCIA!P$60)+Transportation_LCIA!P$62</f>
        <v>2.4393196563254763E-8</v>
      </c>
      <c r="AM304" s="137">
        <f>Transportation_LCIA!Q$61*($W304^Transportation_LCIA!Q$60)+Transportation_LCIA!Q$62</f>
        <v>7.5036153308723888E-5</v>
      </c>
      <c r="AN304" s="137">
        <f>Transportation_LCIA!R$61*($W304^Transportation_LCIA!R$60)+Transportation_LCIA!R$62</f>
        <v>2.1810778733101575E-4</v>
      </c>
      <c r="AO304" s="137">
        <f>Transportation_LCIA!S$61*($W304^Transportation_LCIA!S$60)+Transportation_LCIA!S$62</f>
        <v>3.3525658783215227E-6</v>
      </c>
      <c r="AP304" s="137">
        <f>Transportation_LCIA!T$61*($W304^Transportation_LCIA!T$60)+Transportation_LCIA!T$62</f>
        <v>3.3525658783215227E-6</v>
      </c>
      <c r="AQ304" s="137">
        <f>Transportation_LCIA!U$61*($W304^Transportation_LCIA!U$60)+Transportation_LCIA!U$62</f>
        <v>4.6520042807242677E-4</v>
      </c>
      <c r="AR304" s="137">
        <f>Transportation_LCIA!V$61*($W304^Transportation_LCIA!V$60)+Transportation_LCIA!V$62</f>
        <v>1.9519617316162259E-4</v>
      </c>
      <c r="AT304" s="137">
        <f>$W304*Y304+$L304*Summary_LCIA!H$32</f>
        <v>298.4759396874864</v>
      </c>
      <c r="AU304" s="137">
        <f>$W304*Z304+$L304*Summary_LCIA!Q$32</f>
        <v>3028.3898142040634</v>
      </c>
      <c r="AV304" s="137">
        <f>$W304*AA304+$L304*Summary_LCIA!R$32</f>
        <v>1.3702010307577424</v>
      </c>
      <c r="AW304" s="137">
        <f>$W304*AB304+$L304*Summary_LCIA!S$32</f>
        <v>298.40835346748639</v>
      </c>
      <c r="AX304" s="137">
        <f>$W304*AC304+$L304*Summary_LCIA!T$32</f>
        <v>70.814219720671488</v>
      </c>
      <c r="AY304" s="137">
        <f>$W304*AD304+$L304*Summary_LCIA!U$32</f>
        <v>0.59431285200473249</v>
      </c>
      <c r="AZ304" s="137">
        <f>$W304*AE304+$L304*Summary_LCIA!V$32</f>
        <v>7.2919301489966374E-3</v>
      </c>
      <c r="BA304" s="137">
        <f>$W304*AF304+$L304*Summary_LCIA!W$32</f>
        <v>10.883351702397075</v>
      </c>
      <c r="BB304" s="137">
        <f>$W304*AG304+$L304*Summary_LCIA!X$32</f>
        <v>14.795322713188694</v>
      </c>
      <c r="BC304" s="137">
        <f>$W304*AH304+$L304*Summary_LCIA!Y$32</f>
        <v>0.51182808115024314</v>
      </c>
      <c r="BD304" s="137">
        <f>$W304*AI304+$L304*Summary_LCIA!Z$32</f>
        <v>0.3090313335004472</v>
      </c>
      <c r="BE304" s="137">
        <f>$W304*AJ304+$L304*Summary_LCIA!AA$32</f>
        <v>1.5199561836039357</v>
      </c>
      <c r="BF304" s="137">
        <f>$W304*AK304+$L304*Summary_LCIA!AB$32</f>
        <v>7.2646090291084695E-2</v>
      </c>
      <c r="BG304" s="137">
        <f>$W304*AL304+$L304*Summary_LCIA!AC$32</f>
        <v>3.6076217019896057E-5</v>
      </c>
      <c r="BH304" s="137">
        <f>$W304*AM304+$L304*Summary_LCIA!AD$32</f>
        <v>0.11496027401888514</v>
      </c>
      <c r="BI304" s="137">
        <f>$W304*AN304+$L304*Summary_LCIA!AE$32</f>
        <v>0.32943590513707138</v>
      </c>
      <c r="BJ304" s="137">
        <f>$W304*AO304+$L304*Summary_LCIA!AF$32</f>
        <v>1.7782847341651219E-2</v>
      </c>
      <c r="BK304" s="137">
        <f>$W304*AP304+$L304*Summary_LCIA!AG$32</f>
        <v>5.6378941366512173E-3</v>
      </c>
      <c r="BL304" s="137">
        <f>$W304*AQ304+$L304*Summary_LCIA!AH$32</f>
        <v>0.80683777087342912</v>
      </c>
      <c r="BM304" s="137">
        <f>$W304*AR304+$L304*Summary_LCIA!AI$32</f>
        <v>0.2969474703218869</v>
      </c>
    </row>
    <row r="305" spans="1:65" x14ac:dyDescent="0.25">
      <c r="A305" s="149">
        <v>72</v>
      </c>
      <c r="B305" s="149">
        <v>16</v>
      </c>
      <c r="C305" s="61">
        <v>51.075544999999998</v>
      </c>
      <c r="D305" s="61">
        <v>-114.12975400000001</v>
      </c>
      <c r="E305" s="61" t="s">
        <v>462</v>
      </c>
      <c r="F305" s="149">
        <v>125</v>
      </c>
      <c r="G305" s="61" t="s">
        <v>656</v>
      </c>
      <c r="H305" s="61" t="s">
        <v>657</v>
      </c>
      <c r="I305" s="61">
        <v>51.121502999999997</v>
      </c>
      <c r="J305" s="61">
        <v>-114.007616</v>
      </c>
      <c r="K305" s="61">
        <v>10.47008467</v>
      </c>
      <c r="L305" s="61">
        <v>15.291</v>
      </c>
      <c r="M305" s="61" t="s">
        <v>617</v>
      </c>
      <c r="N305" s="149">
        <v>15</v>
      </c>
      <c r="O305" s="149">
        <v>16</v>
      </c>
      <c r="P305" s="61" t="s">
        <v>565</v>
      </c>
      <c r="Q305" s="61" t="s">
        <v>556</v>
      </c>
      <c r="R305" s="61">
        <v>39.856096299999997</v>
      </c>
      <c r="S305" s="61">
        <v>-104.6737376</v>
      </c>
      <c r="T305" s="61">
        <v>1765.5050000000001</v>
      </c>
      <c r="U305" s="61" t="s">
        <v>617</v>
      </c>
      <c r="V305" s="61" t="s">
        <v>569</v>
      </c>
      <c r="W305" s="61" cm="1">
        <f t="array" ref="W305">getDistance(I305,J305,R305,S305)*SA!$B$12</f>
        <v>1448.3026726031585</v>
      </c>
      <c r="Y305" s="137">
        <f>Transportation_LCIA!C$61*($W305^Transportation_LCIA!C$60)+Transportation_LCIA!C$62</f>
        <v>0.20249914844136069</v>
      </c>
      <c r="Z305" s="137">
        <f>Transportation_LCIA!D$61*($W305^Transportation_LCIA!D$60)+Transportation_LCIA!D$62</f>
        <v>2.0386669878376233</v>
      </c>
      <c r="AA305" s="137">
        <f>Transportation_LCIA!E$61*($W305^Transportation_LCIA!E$60)+Transportation_LCIA!E$62</f>
        <v>8.904801223902194E-4</v>
      </c>
      <c r="AB305" s="137">
        <f>Transportation_LCIA!F$61*($W305^Transportation_LCIA!F$60)+Transportation_LCIA!F$62</f>
        <v>0.20249914844136069</v>
      </c>
      <c r="AC305" s="137">
        <f>Transportation_LCIA!G$61*($W305^Transportation_LCIA!G$60)+Transportation_LCIA!G$62</f>
        <v>4.7734316954902448E-2</v>
      </c>
      <c r="AD305" s="137">
        <f>Transportation_LCIA!H$61*($W305^Transportation_LCIA!H$60)+Transportation_LCIA!H$62</f>
        <v>2.2121748724585885E-4</v>
      </c>
      <c r="AE305" s="137">
        <f>Transportation_LCIA!I$61*($W305^Transportation_LCIA!I$60)+Transportation_LCIA!I$62</f>
        <v>4.5305562311798272E-6</v>
      </c>
      <c r="AF305" s="137">
        <f>Transportation_LCIA!J$61*($W305^Transportation_LCIA!J$60)+Transportation_LCIA!J$62</f>
        <v>6.7019058412361781E-3</v>
      </c>
      <c r="AG305" s="137">
        <f>Transportation_LCIA!K$61*($W305^Transportation_LCIA!K$60)+Transportation_LCIA!K$62</f>
        <v>9.9751205369398889E-3</v>
      </c>
      <c r="AH305" s="137">
        <f>Transportation_LCIA!L$61*($W305^Transportation_LCIA!L$60)+Transportation_LCIA!L$62</f>
        <v>1.8888573799186853E-4</v>
      </c>
      <c r="AI305" s="137">
        <f>Transportation_LCIA!M$61*($W305^Transportation_LCIA!M$60)+Transportation_LCIA!M$62</f>
        <v>2.1294185995467769E-4</v>
      </c>
      <c r="AJ305" s="137">
        <f>Transportation_LCIA!N$61*($W305^Transportation_LCIA!N$60)+Transportation_LCIA!N$62</f>
        <v>8.0288437603577751E-4</v>
      </c>
      <c r="AK305" s="137">
        <f>Transportation_LCIA!O$61*($W305^Transportation_LCIA!O$60)+Transportation_LCIA!O$62</f>
        <v>5.0389871650869682E-5</v>
      </c>
      <c r="AL305" s="137">
        <f>Transportation_LCIA!P$61*($W305^Transportation_LCIA!P$60)+Transportation_LCIA!P$62</f>
        <v>2.4393196563254763E-8</v>
      </c>
      <c r="AM305" s="137">
        <f>Transportation_LCIA!Q$61*($W305^Transportation_LCIA!Q$60)+Transportation_LCIA!Q$62</f>
        <v>7.5036153308723888E-5</v>
      </c>
      <c r="AN305" s="137">
        <f>Transportation_LCIA!R$61*($W305^Transportation_LCIA!R$60)+Transportation_LCIA!R$62</f>
        <v>2.1810778733101575E-4</v>
      </c>
      <c r="AO305" s="137">
        <f>Transportation_LCIA!S$61*($W305^Transportation_LCIA!S$60)+Transportation_LCIA!S$62</f>
        <v>3.3525658783215227E-6</v>
      </c>
      <c r="AP305" s="137">
        <f>Transportation_LCIA!T$61*($W305^Transportation_LCIA!T$60)+Transportation_LCIA!T$62</f>
        <v>3.3525658783215227E-6</v>
      </c>
      <c r="AQ305" s="137">
        <f>Transportation_LCIA!U$61*($W305^Transportation_LCIA!U$60)+Transportation_LCIA!U$62</f>
        <v>4.6520042807242677E-4</v>
      </c>
      <c r="AR305" s="137">
        <f>Transportation_LCIA!V$61*($W305^Transportation_LCIA!V$60)+Transportation_LCIA!V$62</f>
        <v>1.9519617316162259E-4</v>
      </c>
      <c r="AT305" s="137">
        <f>$W305*Y305+$L305*Summary_LCIA!H$32</f>
        <v>298.4759396874864</v>
      </c>
      <c r="AU305" s="137">
        <f>$W305*Z305+$L305*Summary_LCIA!Q$32</f>
        <v>3028.3898142040634</v>
      </c>
      <c r="AV305" s="137">
        <f>$W305*AA305+$L305*Summary_LCIA!R$32</f>
        <v>1.3702010307577424</v>
      </c>
      <c r="AW305" s="137">
        <f>$W305*AB305+$L305*Summary_LCIA!S$32</f>
        <v>298.40835346748639</v>
      </c>
      <c r="AX305" s="137">
        <f>$W305*AC305+$L305*Summary_LCIA!T$32</f>
        <v>70.814219720671488</v>
      </c>
      <c r="AY305" s="137">
        <f>$W305*AD305+$L305*Summary_LCIA!U$32</f>
        <v>0.59431285200473249</v>
      </c>
      <c r="AZ305" s="137">
        <f>$W305*AE305+$L305*Summary_LCIA!V$32</f>
        <v>7.2919301489966374E-3</v>
      </c>
      <c r="BA305" s="137">
        <f>$W305*AF305+$L305*Summary_LCIA!W$32</f>
        <v>10.883351702397075</v>
      </c>
      <c r="BB305" s="137">
        <f>$W305*AG305+$L305*Summary_LCIA!X$32</f>
        <v>14.795322713188694</v>
      </c>
      <c r="BC305" s="137">
        <f>$W305*AH305+$L305*Summary_LCIA!Y$32</f>
        <v>0.51182808115024314</v>
      </c>
      <c r="BD305" s="137">
        <f>$W305*AI305+$L305*Summary_LCIA!Z$32</f>
        <v>0.3090313335004472</v>
      </c>
      <c r="BE305" s="137">
        <f>$W305*AJ305+$L305*Summary_LCIA!AA$32</f>
        <v>1.5199561836039357</v>
      </c>
      <c r="BF305" s="137">
        <f>$W305*AK305+$L305*Summary_LCIA!AB$32</f>
        <v>7.2646090291084695E-2</v>
      </c>
      <c r="BG305" s="137">
        <f>$W305*AL305+$L305*Summary_LCIA!AC$32</f>
        <v>3.6076217019896057E-5</v>
      </c>
      <c r="BH305" s="137">
        <f>$W305*AM305+$L305*Summary_LCIA!AD$32</f>
        <v>0.11496027401888514</v>
      </c>
      <c r="BI305" s="137">
        <f>$W305*AN305+$L305*Summary_LCIA!AE$32</f>
        <v>0.32943590513707138</v>
      </c>
      <c r="BJ305" s="137">
        <f>$W305*AO305+$L305*Summary_LCIA!AF$32</f>
        <v>1.7782847341651219E-2</v>
      </c>
      <c r="BK305" s="137">
        <f>$W305*AP305+$L305*Summary_LCIA!AG$32</f>
        <v>5.6378941366512173E-3</v>
      </c>
      <c r="BL305" s="137">
        <f>$W305*AQ305+$L305*Summary_LCIA!AH$32</f>
        <v>0.80683777087342912</v>
      </c>
      <c r="BM305" s="137">
        <f>$W305*AR305+$L305*Summary_LCIA!AI$32</f>
        <v>0.2969474703218869</v>
      </c>
    </row>
    <row r="306" spans="1:65" x14ac:dyDescent="0.25">
      <c r="A306" s="149">
        <v>323</v>
      </c>
      <c r="B306" s="149">
        <v>16</v>
      </c>
      <c r="C306" s="61">
        <v>46.280419999999999</v>
      </c>
      <c r="D306" s="61">
        <v>-119.2752</v>
      </c>
      <c r="E306" s="61" t="s">
        <v>265</v>
      </c>
      <c r="F306" s="149">
        <v>90</v>
      </c>
      <c r="G306" s="61" t="s">
        <v>277</v>
      </c>
      <c r="H306" s="61" t="s">
        <v>697</v>
      </c>
      <c r="I306" s="61">
        <v>45.589768999999997</v>
      </c>
      <c r="J306" s="61">
        <v>-122.595094</v>
      </c>
      <c r="K306" s="61">
        <v>274.9193128</v>
      </c>
      <c r="L306" s="61">
        <v>348.00400000000002</v>
      </c>
      <c r="M306" s="61" t="s">
        <v>617</v>
      </c>
      <c r="N306" s="149">
        <v>15</v>
      </c>
      <c r="O306" s="149">
        <v>16</v>
      </c>
      <c r="P306" s="61" t="s">
        <v>565</v>
      </c>
      <c r="Q306" s="61" t="s">
        <v>556</v>
      </c>
      <c r="R306" s="61">
        <v>39.856096299999997</v>
      </c>
      <c r="S306" s="61">
        <v>-104.6737376</v>
      </c>
      <c r="T306" s="61">
        <v>1788.5820000000001</v>
      </c>
      <c r="U306" s="61" t="s">
        <v>617</v>
      </c>
      <c r="V306" s="61" t="s">
        <v>569</v>
      </c>
      <c r="W306" s="61" cm="1">
        <f t="array" ref="W306">getDistance(I306,J306,R306,S306)*SA!$B$12</f>
        <v>1596.036448404029</v>
      </c>
      <c r="Y306" s="137">
        <f>Transportation_LCIA!C$61*($W306^Transportation_LCIA!C$60)+Transportation_LCIA!C$62</f>
        <v>0.19540844343932395</v>
      </c>
      <c r="Z306" s="137">
        <f>Transportation_LCIA!D$61*($W306^Transportation_LCIA!D$60)+Transportation_LCIA!D$62</f>
        <v>1.9574233593676897</v>
      </c>
      <c r="AA306" s="137">
        <f>Transportation_LCIA!E$61*($W306^Transportation_LCIA!E$60)+Transportation_LCIA!E$62</f>
        <v>8.3733843217106757E-4</v>
      </c>
      <c r="AB306" s="137">
        <f>Transportation_LCIA!F$61*($W306^Transportation_LCIA!F$60)+Transportation_LCIA!F$62</f>
        <v>0.19540844343932395</v>
      </c>
      <c r="AC306" s="137">
        <f>Transportation_LCIA!G$61*($W306^Transportation_LCIA!G$60)+Transportation_LCIA!G$62</f>
        <v>4.5852671138779735E-2</v>
      </c>
      <c r="AD306" s="137">
        <f>Transportation_LCIA!H$61*($W306^Transportation_LCIA!H$60)+Transportation_LCIA!H$62</f>
        <v>2.0965119312506812E-4</v>
      </c>
      <c r="AE306" s="137">
        <f>Transportation_LCIA!I$61*($W306^Transportation_LCIA!I$60)+Transportation_LCIA!I$62</f>
        <v>4.2441315771380954E-6</v>
      </c>
      <c r="AF306" s="137">
        <f>Transportation_LCIA!J$61*($W306^Transportation_LCIA!J$60)+Transportation_LCIA!J$62</f>
        <v>6.2798929863004515E-3</v>
      </c>
      <c r="AG306" s="137">
        <f>Transportation_LCIA!K$61*($W306^Transportation_LCIA!K$60)+Transportation_LCIA!K$62</f>
        <v>9.5399363573399447E-3</v>
      </c>
      <c r="AH306" s="137">
        <f>Transportation_LCIA!L$61*($W306^Transportation_LCIA!L$60)+Transportation_LCIA!L$62</f>
        <v>1.7830198979211539E-4</v>
      </c>
      <c r="AI306" s="137">
        <f>Transportation_LCIA!M$61*($W306^Transportation_LCIA!M$60)+Transportation_LCIA!M$62</f>
        <v>2.0656206981416121E-4</v>
      </c>
      <c r="AJ306" s="137">
        <f>Transportation_LCIA!N$61*($W306^Transportation_LCIA!N$60)+Transportation_LCIA!N$62</f>
        <v>7.6394582100523844E-4</v>
      </c>
      <c r="AK306" s="137">
        <f>Transportation_LCIA!O$61*($W306^Transportation_LCIA!O$60)+Transportation_LCIA!O$62</f>
        <v>4.8391389136048821E-5</v>
      </c>
      <c r="AL306" s="137">
        <f>Transportation_LCIA!P$61*($W306^Transportation_LCIA!P$60)+Transportation_LCIA!P$62</f>
        <v>2.3431034870708958E-8</v>
      </c>
      <c r="AM306" s="137">
        <f>Transportation_LCIA!Q$61*($W306^Transportation_LCIA!Q$60)+Transportation_LCIA!Q$62</f>
        <v>7.0908301274110862E-5</v>
      </c>
      <c r="AN306" s="137">
        <f>Transportation_LCIA!R$61*($W306^Transportation_LCIA!R$60)+Transportation_LCIA!R$62</f>
        <v>2.0437832383803187E-4</v>
      </c>
      <c r="AO306" s="137">
        <f>Transportation_LCIA!S$61*($W306^Transportation_LCIA!S$60)+Transportation_LCIA!S$62</f>
        <v>3.1575724210715809E-6</v>
      </c>
      <c r="AP306" s="137">
        <f>Transportation_LCIA!T$61*($W306^Transportation_LCIA!T$60)+Transportation_LCIA!T$62</f>
        <v>3.1575724210715809E-6</v>
      </c>
      <c r="AQ306" s="137">
        <f>Transportation_LCIA!U$61*($W306^Transportation_LCIA!U$60)+Transportation_LCIA!U$62</f>
        <v>4.3518506866823444E-4</v>
      </c>
      <c r="AR306" s="137">
        <f>Transportation_LCIA!V$61*($W306^Transportation_LCIA!V$60)+Transportation_LCIA!V$62</f>
        <v>1.84492406579756E-4</v>
      </c>
      <c r="AT306" s="137">
        <f>$W306*Y306+$L306*Summary_LCIA!H$32</f>
        <v>430.13075725505814</v>
      </c>
      <c r="AU306" s="137">
        <f>$W306*Z306+$L306*Summary_LCIA!Q$32</f>
        <v>4848.8444013940225</v>
      </c>
      <c r="AV306" s="137">
        <f>$W306*AA306+$L306*Summary_LCIA!R$32</f>
        <v>3.1688725197945087</v>
      </c>
      <c r="AW306" s="137">
        <f>$W306*AB306+$L306*Summary_LCIA!S$32</f>
        <v>428.59257957505815</v>
      </c>
      <c r="AX306" s="137">
        <f>$W306*AC306+$L306*Summary_LCIA!T$32</f>
        <v>111.42817399417594</v>
      </c>
      <c r="AY306" s="137">
        <f>$W306*AD306+$L306*Summary_LCIA!U$32</f>
        <v>6.568754601679001</v>
      </c>
      <c r="AZ306" s="137">
        <f>$W306*AE306+$L306*Summary_LCIA!V$32</f>
        <v>2.3394807732934876E-2</v>
      </c>
      <c r="BA306" s="137">
        <f>$W306*AF306+$L306*Summary_LCIA!W$32</f>
        <v>36.809153982212344</v>
      </c>
      <c r="BB306" s="137">
        <f>$W306*AG306+$L306*Summary_LCIA!X$32</f>
        <v>23.153617261769316</v>
      </c>
      <c r="BC306" s="137">
        <f>$W306*AH306+$L306*Summary_LCIA!Y$32</f>
        <v>5.7071748025311795</v>
      </c>
      <c r="BD306" s="137">
        <f>$W306*AI306+$L306*Summary_LCIA!Z$32</f>
        <v>0.34395188831717899</v>
      </c>
      <c r="BE306" s="137">
        <f>$W306*AJ306+$L306*Summary_LCIA!AA$32</f>
        <v>9.3472667989303009</v>
      </c>
      <c r="BF306" s="137">
        <f>$W306*AK306+$L306*Summary_LCIA!AB$32</f>
        <v>6.9639929558036676E-2</v>
      </c>
      <c r="BG306" s="137">
        <f>$W306*AL306+$L306*Summary_LCIA!AC$32</f>
        <v>5.4408613213477282E-5</v>
      </c>
      <c r="BH306" s="137">
        <f>$W306*AM306+$L306*Summary_LCIA!AD$32</f>
        <v>0.2562157974878948</v>
      </c>
      <c r="BI306" s="137">
        <f>$W306*AN306+$L306*Summary_LCIA!AE$32</f>
        <v>0.63457203862922085</v>
      </c>
      <c r="BJ306" s="137">
        <f>$W306*AO306+$L306*Summary_LCIA!AF$32</f>
        <v>0.2992491423525056</v>
      </c>
      <c r="BK306" s="137">
        <f>$W306*AP306+$L306*Summary_LCIA!AG$32</f>
        <v>2.28452253325056E-2</v>
      </c>
      <c r="BL306" s="137">
        <f>$W306*AQ306+$L306*Summary_LCIA!AH$32</f>
        <v>3.7234588457957125</v>
      </c>
      <c r="BM306" s="137">
        <f>$W306*AR306+$L306*Summary_LCIA!AI$32</f>
        <v>0.6186397315550658</v>
      </c>
    </row>
    <row r="307" spans="1:65" x14ac:dyDescent="0.25">
      <c r="A307" s="149">
        <v>333</v>
      </c>
      <c r="B307" s="149">
        <v>16</v>
      </c>
      <c r="C307" s="61">
        <v>34.420831</v>
      </c>
      <c r="D307" s="61">
        <v>-119.69819</v>
      </c>
      <c r="E307" s="61" t="s">
        <v>265</v>
      </c>
      <c r="F307" s="149">
        <v>116</v>
      </c>
      <c r="G307" s="61" t="s">
        <v>663</v>
      </c>
      <c r="H307" s="61" t="s">
        <v>664</v>
      </c>
      <c r="I307" s="61">
        <v>34.198312000000001</v>
      </c>
      <c r="J307" s="61">
        <v>-118.357404</v>
      </c>
      <c r="K307" s="61">
        <v>171.82591690000001</v>
      </c>
      <c r="L307" s="61">
        <v>142.99199999999999</v>
      </c>
      <c r="M307" s="61" t="s">
        <v>617</v>
      </c>
      <c r="N307" s="149">
        <v>15</v>
      </c>
      <c r="O307" s="149">
        <v>16</v>
      </c>
      <c r="P307" s="61" t="s">
        <v>565</v>
      </c>
      <c r="Q307" s="61" t="s">
        <v>556</v>
      </c>
      <c r="R307" s="61">
        <v>39.856096299999997</v>
      </c>
      <c r="S307" s="61">
        <v>-104.6737376</v>
      </c>
      <c r="T307" s="61">
        <v>1816.76</v>
      </c>
      <c r="U307" s="61" t="s">
        <v>617</v>
      </c>
      <c r="V307" s="61" t="s">
        <v>569</v>
      </c>
      <c r="W307" s="61" cm="1">
        <f t="array" ref="W307">getDistance(I307,J307,R307,S307)*SA!$B$12</f>
        <v>1368.4330080174188</v>
      </c>
      <c r="Y307" s="137">
        <f>Transportation_LCIA!C$61*($W307^Transportation_LCIA!C$60)+Transportation_LCIA!C$62</f>
        <v>0.20691545096518085</v>
      </c>
      <c r="Z307" s="137">
        <f>Transportation_LCIA!D$61*($W307^Transportation_LCIA!D$60)+Transportation_LCIA!D$62</f>
        <v>2.0894362421462809</v>
      </c>
      <c r="AA307" s="137">
        <f>Transportation_LCIA!E$61*($W307^Transportation_LCIA!E$60)+Transportation_LCIA!E$62</f>
        <v>9.2371943464845518E-4</v>
      </c>
      <c r="AB307" s="137">
        <f>Transportation_LCIA!F$61*($W307^Transportation_LCIA!F$60)+Transportation_LCIA!F$62</f>
        <v>0.20691545096518085</v>
      </c>
      <c r="AC307" s="137">
        <f>Transportation_LCIA!G$61*($W307^Transportation_LCIA!G$60)+Transportation_LCIA!G$62</f>
        <v>4.8909932339708459E-2</v>
      </c>
      <c r="AD307" s="137">
        <f>Transportation_LCIA!H$61*($W307^Transportation_LCIA!H$60)+Transportation_LCIA!H$62</f>
        <v>2.2846537104787056E-4</v>
      </c>
      <c r="AE307" s="137">
        <f>Transportation_LCIA!I$61*($W307^Transportation_LCIA!I$60)+Transportation_LCIA!I$62</f>
        <v>4.7105743113511086E-6</v>
      </c>
      <c r="AF307" s="137">
        <f>Transportation_LCIA!J$61*($W307^Transportation_LCIA!J$60)+Transportation_LCIA!J$62</f>
        <v>6.9676557821968139E-3</v>
      </c>
      <c r="AG307" s="137">
        <f>Transportation_LCIA!K$61*($W307^Transportation_LCIA!K$60)+Transportation_LCIA!K$62</f>
        <v>1.0247471444338688E-2</v>
      </c>
      <c r="AH307" s="137">
        <f>Transportation_LCIA!L$61*($W307^Transportation_LCIA!L$60)+Transportation_LCIA!L$62</f>
        <v>1.9552352788564252E-4</v>
      </c>
      <c r="AI307" s="137">
        <f>Transportation_LCIA!M$61*($W307^Transportation_LCIA!M$60)+Transportation_LCIA!M$62</f>
        <v>2.1694008263797531E-4</v>
      </c>
      <c r="AJ307" s="137">
        <f>Transportation_LCIA!N$61*($W307^Transportation_LCIA!N$60)+Transportation_LCIA!N$62</f>
        <v>8.2727901467190875E-4</v>
      </c>
      <c r="AK307" s="137">
        <f>Transportation_LCIA!O$61*($W307^Transportation_LCIA!O$60)+Transportation_LCIA!O$62</f>
        <v>5.1638598230819343E-5</v>
      </c>
      <c r="AL307" s="137">
        <f>Transportation_LCIA!P$61*($W307^Transportation_LCIA!P$60)+Transportation_LCIA!P$62</f>
        <v>2.4994242719427007E-8</v>
      </c>
      <c r="AM307" s="137">
        <f>Transportation_LCIA!Q$61*($W307^Transportation_LCIA!Q$60)+Transportation_LCIA!Q$62</f>
        <v>7.7626188885142287E-5</v>
      </c>
      <c r="AN307" s="137">
        <f>Transportation_LCIA!R$61*($W307^Transportation_LCIA!R$60)+Transportation_LCIA!R$62</f>
        <v>2.267373826738791E-4</v>
      </c>
      <c r="AO307" s="137">
        <f>Transportation_LCIA!S$61*($W307^Transportation_LCIA!S$60)+Transportation_LCIA!S$62</f>
        <v>3.475111898756177E-6</v>
      </c>
      <c r="AP307" s="137">
        <f>Transportation_LCIA!T$61*($W307^Transportation_LCIA!T$60)+Transportation_LCIA!T$62</f>
        <v>3.475111898756177E-6</v>
      </c>
      <c r="AQ307" s="137">
        <f>Transportation_LCIA!U$61*($W307^Transportation_LCIA!U$60)+Transportation_LCIA!U$62</f>
        <v>4.8407707333919363E-4</v>
      </c>
      <c r="AR307" s="137">
        <f>Transportation_LCIA!V$61*($W307^Transportation_LCIA!V$60)+Transportation_LCIA!V$62</f>
        <v>2.0191623240174868E-4</v>
      </c>
      <c r="AT307" s="137">
        <f>$W307*Y307+$L307*Summary_LCIA!H$32</f>
        <v>331.73861456956314</v>
      </c>
      <c r="AU307" s="137">
        <f>$W307*Z307+$L307*Summary_LCIA!Q$32</f>
        <v>3567.9290854163828</v>
      </c>
      <c r="AV307" s="137">
        <f>$W307*AA307+$L307*Summary_LCIA!R$32</f>
        <v>2.0169868397201349</v>
      </c>
      <c r="AW307" s="137">
        <f>$W307*AB307+$L307*Summary_LCIA!S$32</f>
        <v>331.10658992956314</v>
      </c>
      <c r="AX307" s="137">
        <f>$W307*AC307+$L307*Summary_LCIA!T$32</f>
        <v>82.644786633555682</v>
      </c>
      <c r="AY307" s="137">
        <f>$W307*AD307+$L307*Summary_LCIA!U$32</f>
        <v>2.874198242930853</v>
      </c>
      <c r="AZ307" s="137">
        <f>$W307*AE307+$L307*Summary_LCIA!V$32</f>
        <v>1.3275546286371778E-2</v>
      </c>
      <c r="BA307" s="137">
        <f>$W307*AF307+$L307*Summary_LCIA!W$32</f>
        <v>20.541007392861545</v>
      </c>
      <c r="BB307" s="137">
        <f>$W307*AG307+$L307*Summary_LCIA!X$32</f>
        <v>17.280335933148997</v>
      </c>
      <c r="BC307" s="137">
        <f>$W307*AH307+$L307*Summary_LCIA!Y$32</f>
        <v>2.495662193402727</v>
      </c>
      <c r="BD307" s="137">
        <f>$W307*AI307+$L307*Summary_LCIA!Z$32</f>
        <v>0.30273192877183197</v>
      </c>
      <c r="BE307" s="137">
        <f>$W307*AJ307+$L307*Summary_LCIA!AA$32</f>
        <v>4.4717970625171661</v>
      </c>
      <c r="BF307" s="137">
        <f>$W307*AK307+$L307*Summary_LCIA!AB$32</f>
        <v>6.7543447890803077E-2</v>
      </c>
      <c r="BG307" s="137">
        <f>$W307*AL307+$L307*Summary_LCIA!AC$32</f>
        <v>4.1192967675662969E-5</v>
      </c>
      <c r="BH307" s="137">
        <f>$W307*AM307+$L307*Summary_LCIA!AD$32</f>
        <v>0.16500167083702358</v>
      </c>
      <c r="BI307" s="137">
        <f>$W307*AN307+$L307*Summary_LCIA!AE$32</f>
        <v>0.43698441956241296</v>
      </c>
      <c r="BJ307" s="137">
        <f>$W307*AO307+$L307*Summary_LCIA!AF$32</f>
        <v>0.12564375446881204</v>
      </c>
      <c r="BK307" s="137">
        <f>$W307*AP307+$L307*Summary_LCIA!AG$32</f>
        <v>1.2071643508812039E-2</v>
      </c>
      <c r="BL307" s="137">
        <f>$W307*AQ307+$L307*Summary_LCIA!AH$32</f>
        <v>1.9069722167818215</v>
      </c>
      <c r="BM307" s="137">
        <f>$W307*AR307+$L307*Summary_LCIA!AI$32</f>
        <v>0.40951303487306911</v>
      </c>
    </row>
    <row r="308" spans="1:65" x14ac:dyDescent="0.25">
      <c r="A308" s="149">
        <v>329</v>
      </c>
      <c r="B308" s="149">
        <v>16</v>
      </c>
      <c r="C308" s="61">
        <v>34.413587</v>
      </c>
      <c r="D308" s="61">
        <v>-119.849698</v>
      </c>
      <c r="E308" s="61" t="s">
        <v>265</v>
      </c>
      <c r="F308" s="149">
        <v>116</v>
      </c>
      <c r="G308" s="61" t="s">
        <v>663</v>
      </c>
      <c r="H308" s="61" t="s">
        <v>664</v>
      </c>
      <c r="I308" s="61">
        <v>34.198312000000001</v>
      </c>
      <c r="J308" s="61">
        <v>-118.357404</v>
      </c>
      <c r="K308" s="61">
        <v>186.5655932</v>
      </c>
      <c r="L308" s="61">
        <v>160.434</v>
      </c>
      <c r="M308" s="61" t="s">
        <v>617</v>
      </c>
      <c r="N308" s="149">
        <v>15</v>
      </c>
      <c r="O308" s="149">
        <v>16</v>
      </c>
      <c r="P308" s="61" t="s">
        <v>565</v>
      </c>
      <c r="Q308" s="61" t="s">
        <v>556</v>
      </c>
      <c r="R308" s="61">
        <v>39.856096299999997</v>
      </c>
      <c r="S308" s="61">
        <v>-104.6737376</v>
      </c>
      <c r="T308" s="61">
        <v>1834.201</v>
      </c>
      <c r="U308" s="61" t="s">
        <v>617</v>
      </c>
      <c r="V308" s="61" t="s">
        <v>569</v>
      </c>
      <c r="W308" s="61" cm="1">
        <f t="array" ref="W308">getDistance(I308,J308,R308,S308)*SA!$B$12</f>
        <v>1368.4330080174188</v>
      </c>
      <c r="Y308" s="137">
        <f>Transportation_LCIA!C$61*($W308^Transportation_LCIA!C$60)+Transportation_LCIA!C$62</f>
        <v>0.20691545096518085</v>
      </c>
      <c r="Z308" s="137">
        <f>Transportation_LCIA!D$61*($W308^Transportation_LCIA!D$60)+Transportation_LCIA!D$62</f>
        <v>2.0894362421462809</v>
      </c>
      <c r="AA308" s="137">
        <f>Transportation_LCIA!E$61*($W308^Transportation_LCIA!E$60)+Transportation_LCIA!E$62</f>
        <v>9.2371943464845518E-4</v>
      </c>
      <c r="AB308" s="137">
        <f>Transportation_LCIA!F$61*($W308^Transportation_LCIA!F$60)+Transportation_LCIA!F$62</f>
        <v>0.20691545096518085</v>
      </c>
      <c r="AC308" s="137">
        <f>Transportation_LCIA!G$61*($W308^Transportation_LCIA!G$60)+Transportation_LCIA!G$62</f>
        <v>4.8909932339708459E-2</v>
      </c>
      <c r="AD308" s="137">
        <f>Transportation_LCIA!H$61*($W308^Transportation_LCIA!H$60)+Transportation_LCIA!H$62</f>
        <v>2.2846537104787056E-4</v>
      </c>
      <c r="AE308" s="137">
        <f>Transportation_LCIA!I$61*($W308^Transportation_LCIA!I$60)+Transportation_LCIA!I$62</f>
        <v>4.7105743113511086E-6</v>
      </c>
      <c r="AF308" s="137">
        <f>Transportation_LCIA!J$61*($W308^Transportation_LCIA!J$60)+Transportation_LCIA!J$62</f>
        <v>6.9676557821968139E-3</v>
      </c>
      <c r="AG308" s="137">
        <f>Transportation_LCIA!K$61*($W308^Transportation_LCIA!K$60)+Transportation_LCIA!K$62</f>
        <v>1.0247471444338688E-2</v>
      </c>
      <c r="AH308" s="137">
        <f>Transportation_LCIA!L$61*($W308^Transportation_LCIA!L$60)+Transportation_LCIA!L$62</f>
        <v>1.9552352788564252E-4</v>
      </c>
      <c r="AI308" s="137">
        <f>Transportation_LCIA!M$61*($W308^Transportation_LCIA!M$60)+Transportation_LCIA!M$62</f>
        <v>2.1694008263797531E-4</v>
      </c>
      <c r="AJ308" s="137">
        <f>Transportation_LCIA!N$61*($W308^Transportation_LCIA!N$60)+Transportation_LCIA!N$62</f>
        <v>8.2727901467190875E-4</v>
      </c>
      <c r="AK308" s="137">
        <f>Transportation_LCIA!O$61*($W308^Transportation_LCIA!O$60)+Transportation_LCIA!O$62</f>
        <v>5.1638598230819343E-5</v>
      </c>
      <c r="AL308" s="137">
        <f>Transportation_LCIA!P$61*($W308^Transportation_LCIA!P$60)+Transportation_LCIA!P$62</f>
        <v>2.4994242719427007E-8</v>
      </c>
      <c r="AM308" s="137">
        <f>Transportation_LCIA!Q$61*($W308^Transportation_LCIA!Q$60)+Transportation_LCIA!Q$62</f>
        <v>7.7626188885142287E-5</v>
      </c>
      <c r="AN308" s="137">
        <f>Transportation_LCIA!R$61*($W308^Transportation_LCIA!R$60)+Transportation_LCIA!R$62</f>
        <v>2.267373826738791E-4</v>
      </c>
      <c r="AO308" s="137">
        <f>Transportation_LCIA!S$61*($W308^Transportation_LCIA!S$60)+Transportation_LCIA!S$62</f>
        <v>3.475111898756177E-6</v>
      </c>
      <c r="AP308" s="137">
        <f>Transportation_LCIA!T$61*($W308^Transportation_LCIA!T$60)+Transportation_LCIA!T$62</f>
        <v>3.475111898756177E-6</v>
      </c>
      <c r="AQ308" s="137">
        <f>Transportation_LCIA!U$61*($W308^Transportation_LCIA!U$60)+Transportation_LCIA!U$62</f>
        <v>4.8407707333919363E-4</v>
      </c>
      <c r="AR308" s="137">
        <f>Transportation_LCIA!V$61*($W308^Transportation_LCIA!V$60)+Transportation_LCIA!V$62</f>
        <v>2.0191623240174868E-4</v>
      </c>
      <c r="AT308" s="137">
        <f>$W308*Y308+$L308*Summary_LCIA!H$32</f>
        <v>337.66540616956314</v>
      </c>
      <c r="AU308" s="137">
        <f>$W308*Z308+$L308*Summary_LCIA!Q$32</f>
        <v>3654.372517068769</v>
      </c>
      <c r="AV308" s="137">
        <f>$W308*AA308+$L308*Summary_LCIA!R$32</f>
        <v>2.1088294349201351</v>
      </c>
      <c r="AW308" s="137">
        <f>$W308*AB308+$L308*Summary_LCIA!S$32</f>
        <v>336.95628788956316</v>
      </c>
      <c r="AX308" s="137">
        <f>$W308*AC308+$L308*Summary_LCIA!T$32</f>
        <v>84.561662433555682</v>
      </c>
      <c r="AY308" s="137">
        <f>$W308*AD308+$L308*Summary_LCIA!U$32</f>
        <v>3.186654230930853</v>
      </c>
      <c r="AZ308" s="137">
        <f>$W308*AE308+$L308*Summary_LCIA!V$32</f>
        <v>1.4108593648371779E-2</v>
      </c>
      <c r="BA308" s="137">
        <f>$W308*AF308+$L308*Summary_LCIA!W$32</f>
        <v>21.883535574861547</v>
      </c>
      <c r="BB308" s="137">
        <f>$W308*AG308+$L308*Summary_LCIA!X$32</f>
        <v>17.677664693148998</v>
      </c>
      <c r="BC308" s="137">
        <f>$W308*AH308+$L308*Summary_LCIA!Y$32</f>
        <v>2.7674434374027275</v>
      </c>
      <c r="BD308" s="137">
        <f>$W308*AI308+$L308*Summary_LCIA!Z$32</f>
        <v>0.30344720774983197</v>
      </c>
      <c r="BE308" s="137">
        <f>$W308*AJ308+$L308*Summary_LCIA!AA$32</f>
        <v>4.879172414517166</v>
      </c>
      <c r="BF308" s="137">
        <f>$W308*AK308+$L308*Summary_LCIA!AB$32</f>
        <v>6.7162811124803073E-2</v>
      </c>
      <c r="BG308" s="137">
        <f>$W308*AL308+$L308*Summary_LCIA!AC$32</f>
        <v>4.2045602403662972E-5</v>
      </c>
      <c r="BH308" s="137">
        <f>$W308*AM308+$L308*Summary_LCIA!AD$32</f>
        <v>0.17217103051702359</v>
      </c>
      <c r="BI308" s="137">
        <f>$W308*AN308+$L308*Summary_LCIA!AE$32</f>
        <v>0.45244029902241295</v>
      </c>
      <c r="BJ308" s="137">
        <f>$W308*AO308+$L308*Summary_LCIA!AF$32</f>
        <v>0.14038957010881203</v>
      </c>
      <c r="BK308" s="137">
        <f>$W308*AP308+$L308*Summary_LCIA!AG$32</f>
        <v>1.296406343881204E-2</v>
      </c>
      <c r="BL308" s="137">
        <f>$W308*AQ308+$L308*Summary_LCIA!AH$32</f>
        <v>2.0587804079818213</v>
      </c>
      <c r="BM308" s="137">
        <f>$W308*AR308+$L308*Summary_LCIA!AI$32</f>
        <v>0.42576112997306914</v>
      </c>
    </row>
    <row r="309" spans="1:65" x14ac:dyDescent="0.25">
      <c r="A309" s="149">
        <v>330</v>
      </c>
      <c r="B309" s="149">
        <v>16</v>
      </c>
      <c r="C309" s="61">
        <v>34.413587</v>
      </c>
      <c r="D309" s="61">
        <v>-119.849698</v>
      </c>
      <c r="E309" s="61" t="s">
        <v>265</v>
      </c>
      <c r="F309" s="149">
        <v>116</v>
      </c>
      <c r="G309" s="61" t="s">
        <v>663</v>
      </c>
      <c r="H309" s="61" t="s">
        <v>664</v>
      </c>
      <c r="I309" s="61">
        <v>34.198312000000001</v>
      </c>
      <c r="J309" s="61">
        <v>-118.357404</v>
      </c>
      <c r="K309" s="61">
        <v>186.5655932</v>
      </c>
      <c r="L309" s="61">
        <v>160.434</v>
      </c>
      <c r="M309" s="61" t="s">
        <v>617</v>
      </c>
      <c r="N309" s="149">
        <v>15</v>
      </c>
      <c r="O309" s="149">
        <v>16</v>
      </c>
      <c r="P309" s="61" t="s">
        <v>565</v>
      </c>
      <c r="Q309" s="61" t="s">
        <v>556</v>
      </c>
      <c r="R309" s="61">
        <v>39.856096299999997</v>
      </c>
      <c r="S309" s="61">
        <v>-104.6737376</v>
      </c>
      <c r="T309" s="61">
        <v>1834.201</v>
      </c>
      <c r="U309" s="61" t="s">
        <v>617</v>
      </c>
      <c r="V309" s="61" t="s">
        <v>569</v>
      </c>
      <c r="W309" s="61" cm="1">
        <f t="array" ref="W309">getDistance(I309,J309,R309,S309)*SA!$B$12</f>
        <v>1368.4330080174188</v>
      </c>
      <c r="Y309" s="137">
        <f>Transportation_LCIA!C$61*($W309^Transportation_LCIA!C$60)+Transportation_LCIA!C$62</f>
        <v>0.20691545096518085</v>
      </c>
      <c r="Z309" s="137">
        <f>Transportation_LCIA!D$61*($W309^Transportation_LCIA!D$60)+Transportation_LCIA!D$62</f>
        <v>2.0894362421462809</v>
      </c>
      <c r="AA309" s="137">
        <f>Transportation_LCIA!E$61*($W309^Transportation_LCIA!E$60)+Transportation_LCIA!E$62</f>
        <v>9.2371943464845518E-4</v>
      </c>
      <c r="AB309" s="137">
        <f>Transportation_LCIA!F$61*($W309^Transportation_LCIA!F$60)+Transportation_LCIA!F$62</f>
        <v>0.20691545096518085</v>
      </c>
      <c r="AC309" s="137">
        <f>Transportation_LCIA!G$61*($W309^Transportation_LCIA!G$60)+Transportation_LCIA!G$62</f>
        <v>4.8909932339708459E-2</v>
      </c>
      <c r="AD309" s="137">
        <f>Transportation_LCIA!H$61*($W309^Transportation_LCIA!H$60)+Transportation_LCIA!H$62</f>
        <v>2.2846537104787056E-4</v>
      </c>
      <c r="AE309" s="137">
        <f>Transportation_LCIA!I$61*($W309^Transportation_LCIA!I$60)+Transportation_LCIA!I$62</f>
        <v>4.7105743113511086E-6</v>
      </c>
      <c r="AF309" s="137">
        <f>Transportation_LCIA!J$61*($W309^Transportation_LCIA!J$60)+Transportation_LCIA!J$62</f>
        <v>6.9676557821968139E-3</v>
      </c>
      <c r="AG309" s="137">
        <f>Transportation_LCIA!K$61*($W309^Transportation_LCIA!K$60)+Transportation_LCIA!K$62</f>
        <v>1.0247471444338688E-2</v>
      </c>
      <c r="AH309" s="137">
        <f>Transportation_LCIA!L$61*($W309^Transportation_LCIA!L$60)+Transportation_LCIA!L$62</f>
        <v>1.9552352788564252E-4</v>
      </c>
      <c r="AI309" s="137">
        <f>Transportation_LCIA!M$61*($W309^Transportation_LCIA!M$60)+Transportation_LCIA!M$62</f>
        <v>2.1694008263797531E-4</v>
      </c>
      <c r="AJ309" s="137">
        <f>Transportation_LCIA!N$61*($W309^Transportation_LCIA!N$60)+Transportation_LCIA!N$62</f>
        <v>8.2727901467190875E-4</v>
      </c>
      <c r="AK309" s="137">
        <f>Transportation_LCIA!O$61*($W309^Transportation_LCIA!O$60)+Transportation_LCIA!O$62</f>
        <v>5.1638598230819343E-5</v>
      </c>
      <c r="AL309" s="137">
        <f>Transportation_LCIA!P$61*($W309^Transportation_LCIA!P$60)+Transportation_LCIA!P$62</f>
        <v>2.4994242719427007E-8</v>
      </c>
      <c r="AM309" s="137">
        <f>Transportation_LCIA!Q$61*($W309^Transportation_LCIA!Q$60)+Transportation_LCIA!Q$62</f>
        <v>7.7626188885142287E-5</v>
      </c>
      <c r="AN309" s="137">
        <f>Transportation_LCIA!R$61*($W309^Transportation_LCIA!R$60)+Transportation_LCIA!R$62</f>
        <v>2.267373826738791E-4</v>
      </c>
      <c r="AO309" s="137">
        <f>Transportation_LCIA!S$61*($W309^Transportation_LCIA!S$60)+Transportation_LCIA!S$62</f>
        <v>3.475111898756177E-6</v>
      </c>
      <c r="AP309" s="137">
        <f>Transportation_LCIA!T$61*($W309^Transportation_LCIA!T$60)+Transportation_LCIA!T$62</f>
        <v>3.475111898756177E-6</v>
      </c>
      <c r="AQ309" s="137">
        <f>Transportation_LCIA!U$61*($W309^Transportation_LCIA!U$60)+Transportation_LCIA!U$62</f>
        <v>4.8407707333919363E-4</v>
      </c>
      <c r="AR309" s="137">
        <f>Transportation_LCIA!V$61*($W309^Transportation_LCIA!V$60)+Transportation_LCIA!V$62</f>
        <v>2.0191623240174868E-4</v>
      </c>
      <c r="AT309" s="137">
        <f>$W309*Y309+$L309*Summary_LCIA!H$32</f>
        <v>337.66540616956314</v>
      </c>
      <c r="AU309" s="137">
        <f>$W309*Z309+$L309*Summary_LCIA!Q$32</f>
        <v>3654.372517068769</v>
      </c>
      <c r="AV309" s="137">
        <f>$W309*AA309+$L309*Summary_LCIA!R$32</f>
        <v>2.1088294349201351</v>
      </c>
      <c r="AW309" s="137">
        <f>$W309*AB309+$L309*Summary_LCIA!S$32</f>
        <v>336.95628788956316</v>
      </c>
      <c r="AX309" s="137">
        <f>$W309*AC309+$L309*Summary_LCIA!T$32</f>
        <v>84.561662433555682</v>
      </c>
      <c r="AY309" s="137">
        <f>$W309*AD309+$L309*Summary_LCIA!U$32</f>
        <v>3.186654230930853</v>
      </c>
      <c r="AZ309" s="137">
        <f>$W309*AE309+$L309*Summary_LCIA!V$32</f>
        <v>1.4108593648371779E-2</v>
      </c>
      <c r="BA309" s="137">
        <f>$W309*AF309+$L309*Summary_LCIA!W$32</f>
        <v>21.883535574861547</v>
      </c>
      <c r="BB309" s="137">
        <f>$W309*AG309+$L309*Summary_LCIA!X$32</f>
        <v>17.677664693148998</v>
      </c>
      <c r="BC309" s="137">
        <f>$W309*AH309+$L309*Summary_LCIA!Y$32</f>
        <v>2.7674434374027275</v>
      </c>
      <c r="BD309" s="137">
        <f>$W309*AI309+$L309*Summary_LCIA!Z$32</f>
        <v>0.30344720774983197</v>
      </c>
      <c r="BE309" s="137">
        <f>$W309*AJ309+$L309*Summary_LCIA!AA$32</f>
        <v>4.879172414517166</v>
      </c>
      <c r="BF309" s="137">
        <f>$W309*AK309+$L309*Summary_LCIA!AB$32</f>
        <v>6.7162811124803073E-2</v>
      </c>
      <c r="BG309" s="137">
        <f>$W309*AL309+$L309*Summary_LCIA!AC$32</f>
        <v>4.2045602403662972E-5</v>
      </c>
      <c r="BH309" s="137">
        <f>$W309*AM309+$L309*Summary_LCIA!AD$32</f>
        <v>0.17217103051702359</v>
      </c>
      <c r="BI309" s="137">
        <f>$W309*AN309+$L309*Summary_LCIA!AE$32</f>
        <v>0.45244029902241295</v>
      </c>
      <c r="BJ309" s="137">
        <f>$W309*AO309+$L309*Summary_LCIA!AF$32</f>
        <v>0.14038957010881203</v>
      </c>
      <c r="BK309" s="137">
        <f>$W309*AP309+$L309*Summary_LCIA!AG$32</f>
        <v>1.296406343881204E-2</v>
      </c>
      <c r="BL309" s="137">
        <f>$W309*AQ309+$L309*Summary_LCIA!AH$32</f>
        <v>2.0587804079818213</v>
      </c>
      <c r="BM309" s="137">
        <f>$W309*AR309+$L309*Summary_LCIA!AI$32</f>
        <v>0.42576112997306914</v>
      </c>
    </row>
    <row r="310" spans="1:65" x14ac:dyDescent="0.25">
      <c r="A310" s="149">
        <v>331</v>
      </c>
      <c r="B310" s="149">
        <v>16</v>
      </c>
      <c r="C310" s="61">
        <v>34.413587</v>
      </c>
      <c r="D310" s="61">
        <v>-119.849698</v>
      </c>
      <c r="E310" s="61" t="s">
        <v>265</v>
      </c>
      <c r="F310" s="149">
        <v>116</v>
      </c>
      <c r="G310" s="61" t="s">
        <v>663</v>
      </c>
      <c r="H310" s="61" t="s">
        <v>664</v>
      </c>
      <c r="I310" s="61">
        <v>34.198312000000001</v>
      </c>
      <c r="J310" s="61">
        <v>-118.357404</v>
      </c>
      <c r="K310" s="61">
        <v>186.5655932</v>
      </c>
      <c r="L310" s="61">
        <v>160.434</v>
      </c>
      <c r="M310" s="61" t="s">
        <v>617</v>
      </c>
      <c r="N310" s="149">
        <v>15</v>
      </c>
      <c r="O310" s="149">
        <v>16</v>
      </c>
      <c r="P310" s="61" t="s">
        <v>565</v>
      </c>
      <c r="Q310" s="61" t="s">
        <v>556</v>
      </c>
      <c r="R310" s="61">
        <v>39.856096299999997</v>
      </c>
      <c r="S310" s="61">
        <v>-104.6737376</v>
      </c>
      <c r="T310" s="61">
        <v>1834.201</v>
      </c>
      <c r="U310" s="61" t="s">
        <v>617</v>
      </c>
      <c r="V310" s="61" t="s">
        <v>569</v>
      </c>
      <c r="W310" s="61" cm="1">
        <f t="array" ref="W310">getDistance(I310,J310,R310,S310)*SA!$B$12</f>
        <v>1368.4330080174188</v>
      </c>
      <c r="Y310" s="137">
        <f>Transportation_LCIA!C$61*($W310^Transportation_LCIA!C$60)+Transportation_LCIA!C$62</f>
        <v>0.20691545096518085</v>
      </c>
      <c r="Z310" s="137">
        <f>Transportation_LCIA!D$61*($W310^Transportation_LCIA!D$60)+Transportation_LCIA!D$62</f>
        <v>2.0894362421462809</v>
      </c>
      <c r="AA310" s="137">
        <f>Transportation_LCIA!E$61*($W310^Transportation_LCIA!E$60)+Transportation_LCIA!E$62</f>
        <v>9.2371943464845518E-4</v>
      </c>
      <c r="AB310" s="137">
        <f>Transportation_LCIA!F$61*($W310^Transportation_LCIA!F$60)+Transportation_LCIA!F$62</f>
        <v>0.20691545096518085</v>
      </c>
      <c r="AC310" s="137">
        <f>Transportation_LCIA!G$61*($W310^Transportation_LCIA!G$60)+Transportation_LCIA!G$62</f>
        <v>4.8909932339708459E-2</v>
      </c>
      <c r="AD310" s="137">
        <f>Transportation_LCIA!H$61*($W310^Transportation_LCIA!H$60)+Transportation_LCIA!H$62</f>
        <v>2.2846537104787056E-4</v>
      </c>
      <c r="AE310" s="137">
        <f>Transportation_LCIA!I$61*($W310^Transportation_LCIA!I$60)+Transportation_LCIA!I$62</f>
        <v>4.7105743113511086E-6</v>
      </c>
      <c r="AF310" s="137">
        <f>Transportation_LCIA!J$61*($W310^Transportation_LCIA!J$60)+Transportation_LCIA!J$62</f>
        <v>6.9676557821968139E-3</v>
      </c>
      <c r="AG310" s="137">
        <f>Transportation_LCIA!K$61*($W310^Transportation_LCIA!K$60)+Transportation_LCIA!K$62</f>
        <v>1.0247471444338688E-2</v>
      </c>
      <c r="AH310" s="137">
        <f>Transportation_LCIA!L$61*($W310^Transportation_LCIA!L$60)+Transportation_LCIA!L$62</f>
        <v>1.9552352788564252E-4</v>
      </c>
      <c r="AI310" s="137">
        <f>Transportation_LCIA!M$61*($W310^Transportation_LCIA!M$60)+Transportation_LCIA!M$62</f>
        <v>2.1694008263797531E-4</v>
      </c>
      <c r="AJ310" s="137">
        <f>Transportation_LCIA!N$61*($W310^Transportation_LCIA!N$60)+Transportation_LCIA!N$62</f>
        <v>8.2727901467190875E-4</v>
      </c>
      <c r="AK310" s="137">
        <f>Transportation_LCIA!O$61*($W310^Transportation_LCIA!O$60)+Transportation_LCIA!O$62</f>
        <v>5.1638598230819343E-5</v>
      </c>
      <c r="AL310" s="137">
        <f>Transportation_LCIA!P$61*($W310^Transportation_LCIA!P$60)+Transportation_LCIA!P$62</f>
        <v>2.4994242719427007E-8</v>
      </c>
      <c r="AM310" s="137">
        <f>Transportation_LCIA!Q$61*($W310^Transportation_LCIA!Q$60)+Transportation_LCIA!Q$62</f>
        <v>7.7626188885142287E-5</v>
      </c>
      <c r="AN310" s="137">
        <f>Transportation_LCIA!R$61*($W310^Transportation_LCIA!R$60)+Transportation_LCIA!R$62</f>
        <v>2.267373826738791E-4</v>
      </c>
      <c r="AO310" s="137">
        <f>Transportation_LCIA!S$61*($W310^Transportation_LCIA!S$60)+Transportation_LCIA!S$62</f>
        <v>3.475111898756177E-6</v>
      </c>
      <c r="AP310" s="137">
        <f>Transportation_LCIA!T$61*($W310^Transportation_LCIA!T$60)+Transportation_LCIA!T$62</f>
        <v>3.475111898756177E-6</v>
      </c>
      <c r="AQ310" s="137">
        <f>Transportation_LCIA!U$61*($W310^Transportation_LCIA!U$60)+Transportation_LCIA!U$62</f>
        <v>4.8407707333919363E-4</v>
      </c>
      <c r="AR310" s="137">
        <f>Transportation_LCIA!V$61*($W310^Transportation_LCIA!V$60)+Transportation_LCIA!V$62</f>
        <v>2.0191623240174868E-4</v>
      </c>
      <c r="AT310" s="137">
        <f>$W310*Y310+$L310*Summary_LCIA!H$32</f>
        <v>337.66540616956314</v>
      </c>
      <c r="AU310" s="137">
        <f>$W310*Z310+$L310*Summary_LCIA!Q$32</f>
        <v>3654.372517068769</v>
      </c>
      <c r="AV310" s="137">
        <f>$W310*AA310+$L310*Summary_LCIA!R$32</f>
        <v>2.1088294349201351</v>
      </c>
      <c r="AW310" s="137">
        <f>$W310*AB310+$L310*Summary_LCIA!S$32</f>
        <v>336.95628788956316</v>
      </c>
      <c r="AX310" s="137">
        <f>$W310*AC310+$L310*Summary_LCIA!T$32</f>
        <v>84.561662433555682</v>
      </c>
      <c r="AY310" s="137">
        <f>$W310*AD310+$L310*Summary_LCIA!U$32</f>
        <v>3.186654230930853</v>
      </c>
      <c r="AZ310" s="137">
        <f>$W310*AE310+$L310*Summary_LCIA!V$32</f>
        <v>1.4108593648371779E-2</v>
      </c>
      <c r="BA310" s="137">
        <f>$W310*AF310+$L310*Summary_LCIA!W$32</f>
        <v>21.883535574861547</v>
      </c>
      <c r="BB310" s="137">
        <f>$W310*AG310+$L310*Summary_LCIA!X$32</f>
        <v>17.677664693148998</v>
      </c>
      <c r="BC310" s="137">
        <f>$W310*AH310+$L310*Summary_LCIA!Y$32</f>
        <v>2.7674434374027275</v>
      </c>
      <c r="BD310" s="137">
        <f>$W310*AI310+$L310*Summary_LCIA!Z$32</f>
        <v>0.30344720774983197</v>
      </c>
      <c r="BE310" s="137">
        <f>$W310*AJ310+$L310*Summary_LCIA!AA$32</f>
        <v>4.879172414517166</v>
      </c>
      <c r="BF310" s="137">
        <f>$W310*AK310+$L310*Summary_LCIA!AB$32</f>
        <v>6.7162811124803073E-2</v>
      </c>
      <c r="BG310" s="137">
        <f>$W310*AL310+$L310*Summary_LCIA!AC$32</f>
        <v>4.2045602403662972E-5</v>
      </c>
      <c r="BH310" s="137">
        <f>$W310*AM310+$L310*Summary_LCIA!AD$32</f>
        <v>0.17217103051702359</v>
      </c>
      <c r="BI310" s="137">
        <f>$W310*AN310+$L310*Summary_LCIA!AE$32</f>
        <v>0.45244029902241295</v>
      </c>
      <c r="BJ310" s="137">
        <f>$W310*AO310+$L310*Summary_LCIA!AF$32</f>
        <v>0.14038957010881203</v>
      </c>
      <c r="BK310" s="137">
        <f>$W310*AP310+$L310*Summary_LCIA!AG$32</f>
        <v>1.296406343881204E-2</v>
      </c>
      <c r="BL310" s="137">
        <f>$W310*AQ310+$L310*Summary_LCIA!AH$32</f>
        <v>2.0587804079818213</v>
      </c>
      <c r="BM310" s="137">
        <f>$W310*AR310+$L310*Summary_LCIA!AI$32</f>
        <v>0.42576112997306914</v>
      </c>
    </row>
    <row r="311" spans="1:65" x14ac:dyDescent="0.25">
      <c r="A311" s="149">
        <v>332</v>
      </c>
      <c r="B311" s="149">
        <v>16</v>
      </c>
      <c r="C311" s="61">
        <v>34.413587</v>
      </c>
      <c r="D311" s="61">
        <v>-119.849698</v>
      </c>
      <c r="E311" s="61" t="s">
        <v>265</v>
      </c>
      <c r="F311" s="149">
        <v>116</v>
      </c>
      <c r="G311" s="61" t="s">
        <v>663</v>
      </c>
      <c r="H311" s="61" t="s">
        <v>664</v>
      </c>
      <c r="I311" s="61">
        <v>34.198312000000001</v>
      </c>
      <c r="J311" s="61">
        <v>-118.357404</v>
      </c>
      <c r="K311" s="61">
        <v>186.5655932</v>
      </c>
      <c r="L311" s="61">
        <v>160.434</v>
      </c>
      <c r="M311" s="61" t="s">
        <v>617</v>
      </c>
      <c r="N311" s="149">
        <v>15</v>
      </c>
      <c r="O311" s="149">
        <v>16</v>
      </c>
      <c r="P311" s="61" t="s">
        <v>565</v>
      </c>
      <c r="Q311" s="61" t="s">
        <v>556</v>
      </c>
      <c r="R311" s="61">
        <v>39.856096299999997</v>
      </c>
      <c r="S311" s="61">
        <v>-104.6737376</v>
      </c>
      <c r="T311" s="61">
        <v>1834.201</v>
      </c>
      <c r="U311" s="61" t="s">
        <v>617</v>
      </c>
      <c r="V311" s="61" t="s">
        <v>569</v>
      </c>
      <c r="W311" s="61" cm="1">
        <f t="array" ref="W311">getDistance(I311,J311,R311,S311)*SA!$B$12</f>
        <v>1368.4330080174188</v>
      </c>
      <c r="Y311" s="137">
        <f>Transportation_LCIA!C$61*($W311^Transportation_LCIA!C$60)+Transportation_LCIA!C$62</f>
        <v>0.20691545096518085</v>
      </c>
      <c r="Z311" s="137">
        <f>Transportation_LCIA!D$61*($W311^Transportation_LCIA!D$60)+Transportation_LCIA!D$62</f>
        <v>2.0894362421462809</v>
      </c>
      <c r="AA311" s="137">
        <f>Transportation_LCIA!E$61*($W311^Transportation_LCIA!E$60)+Transportation_LCIA!E$62</f>
        <v>9.2371943464845518E-4</v>
      </c>
      <c r="AB311" s="137">
        <f>Transportation_LCIA!F$61*($W311^Transportation_LCIA!F$60)+Transportation_LCIA!F$62</f>
        <v>0.20691545096518085</v>
      </c>
      <c r="AC311" s="137">
        <f>Transportation_LCIA!G$61*($W311^Transportation_LCIA!G$60)+Transportation_LCIA!G$62</f>
        <v>4.8909932339708459E-2</v>
      </c>
      <c r="AD311" s="137">
        <f>Transportation_LCIA!H$61*($W311^Transportation_LCIA!H$60)+Transportation_LCIA!H$62</f>
        <v>2.2846537104787056E-4</v>
      </c>
      <c r="AE311" s="137">
        <f>Transportation_LCIA!I$61*($W311^Transportation_LCIA!I$60)+Transportation_LCIA!I$62</f>
        <v>4.7105743113511086E-6</v>
      </c>
      <c r="AF311" s="137">
        <f>Transportation_LCIA!J$61*($W311^Transportation_LCIA!J$60)+Transportation_LCIA!J$62</f>
        <v>6.9676557821968139E-3</v>
      </c>
      <c r="AG311" s="137">
        <f>Transportation_LCIA!K$61*($W311^Transportation_LCIA!K$60)+Transportation_LCIA!K$62</f>
        <v>1.0247471444338688E-2</v>
      </c>
      <c r="AH311" s="137">
        <f>Transportation_LCIA!L$61*($W311^Transportation_LCIA!L$60)+Transportation_LCIA!L$62</f>
        <v>1.9552352788564252E-4</v>
      </c>
      <c r="AI311" s="137">
        <f>Transportation_LCIA!M$61*($W311^Transportation_LCIA!M$60)+Transportation_LCIA!M$62</f>
        <v>2.1694008263797531E-4</v>
      </c>
      <c r="AJ311" s="137">
        <f>Transportation_LCIA!N$61*($W311^Transportation_LCIA!N$60)+Transportation_LCIA!N$62</f>
        <v>8.2727901467190875E-4</v>
      </c>
      <c r="AK311" s="137">
        <f>Transportation_LCIA!O$61*($W311^Transportation_LCIA!O$60)+Transportation_LCIA!O$62</f>
        <v>5.1638598230819343E-5</v>
      </c>
      <c r="AL311" s="137">
        <f>Transportation_LCIA!P$61*($W311^Transportation_LCIA!P$60)+Transportation_LCIA!P$62</f>
        <v>2.4994242719427007E-8</v>
      </c>
      <c r="AM311" s="137">
        <f>Transportation_LCIA!Q$61*($W311^Transportation_LCIA!Q$60)+Transportation_LCIA!Q$62</f>
        <v>7.7626188885142287E-5</v>
      </c>
      <c r="AN311" s="137">
        <f>Transportation_LCIA!R$61*($W311^Transportation_LCIA!R$60)+Transportation_LCIA!R$62</f>
        <v>2.267373826738791E-4</v>
      </c>
      <c r="AO311" s="137">
        <f>Transportation_LCIA!S$61*($W311^Transportation_LCIA!S$60)+Transportation_LCIA!S$62</f>
        <v>3.475111898756177E-6</v>
      </c>
      <c r="AP311" s="137">
        <f>Transportation_LCIA!T$61*($W311^Transportation_LCIA!T$60)+Transportation_LCIA!T$62</f>
        <v>3.475111898756177E-6</v>
      </c>
      <c r="AQ311" s="137">
        <f>Transportation_LCIA!U$61*($W311^Transportation_LCIA!U$60)+Transportation_LCIA!U$62</f>
        <v>4.8407707333919363E-4</v>
      </c>
      <c r="AR311" s="137">
        <f>Transportation_LCIA!V$61*($W311^Transportation_LCIA!V$60)+Transportation_LCIA!V$62</f>
        <v>2.0191623240174868E-4</v>
      </c>
      <c r="AT311" s="137">
        <f>$W311*Y311+$L311*Summary_LCIA!H$32</f>
        <v>337.66540616956314</v>
      </c>
      <c r="AU311" s="137">
        <f>$W311*Z311+$L311*Summary_LCIA!Q$32</f>
        <v>3654.372517068769</v>
      </c>
      <c r="AV311" s="137">
        <f>$W311*AA311+$L311*Summary_LCIA!R$32</f>
        <v>2.1088294349201351</v>
      </c>
      <c r="AW311" s="137">
        <f>$W311*AB311+$L311*Summary_LCIA!S$32</f>
        <v>336.95628788956316</v>
      </c>
      <c r="AX311" s="137">
        <f>$W311*AC311+$L311*Summary_LCIA!T$32</f>
        <v>84.561662433555682</v>
      </c>
      <c r="AY311" s="137">
        <f>$W311*AD311+$L311*Summary_LCIA!U$32</f>
        <v>3.186654230930853</v>
      </c>
      <c r="AZ311" s="137">
        <f>$W311*AE311+$L311*Summary_LCIA!V$32</f>
        <v>1.4108593648371779E-2</v>
      </c>
      <c r="BA311" s="137">
        <f>$W311*AF311+$L311*Summary_LCIA!W$32</f>
        <v>21.883535574861547</v>
      </c>
      <c r="BB311" s="137">
        <f>$W311*AG311+$L311*Summary_LCIA!X$32</f>
        <v>17.677664693148998</v>
      </c>
      <c r="BC311" s="137">
        <f>$W311*AH311+$L311*Summary_LCIA!Y$32</f>
        <v>2.7674434374027275</v>
      </c>
      <c r="BD311" s="137">
        <f>$W311*AI311+$L311*Summary_LCIA!Z$32</f>
        <v>0.30344720774983197</v>
      </c>
      <c r="BE311" s="137">
        <f>$W311*AJ311+$L311*Summary_LCIA!AA$32</f>
        <v>4.879172414517166</v>
      </c>
      <c r="BF311" s="137">
        <f>$W311*AK311+$L311*Summary_LCIA!AB$32</f>
        <v>6.7162811124803073E-2</v>
      </c>
      <c r="BG311" s="137">
        <f>$W311*AL311+$L311*Summary_LCIA!AC$32</f>
        <v>4.2045602403662972E-5</v>
      </c>
      <c r="BH311" s="137">
        <f>$W311*AM311+$L311*Summary_LCIA!AD$32</f>
        <v>0.17217103051702359</v>
      </c>
      <c r="BI311" s="137">
        <f>$W311*AN311+$L311*Summary_LCIA!AE$32</f>
        <v>0.45244029902241295</v>
      </c>
      <c r="BJ311" s="137">
        <f>$W311*AO311+$L311*Summary_LCIA!AF$32</f>
        <v>0.14038957010881203</v>
      </c>
      <c r="BK311" s="137">
        <f>$W311*AP311+$L311*Summary_LCIA!AG$32</f>
        <v>1.296406343881204E-2</v>
      </c>
      <c r="BL311" s="137">
        <f>$W311*AQ311+$L311*Summary_LCIA!AH$32</f>
        <v>2.0587804079818213</v>
      </c>
      <c r="BM311" s="137">
        <f>$W311*AR311+$L311*Summary_LCIA!AI$32</f>
        <v>0.42576112997306914</v>
      </c>
    </row>
    <row r="312" spans="1:65" x14ac:dyDescent="0.25">
      <c r="A312" s="149">
        <v>33</v>
      </c>
      <c r="B312" s="149">
        <v>43</v>
      </c>
      <c r="C312" s="61">
        <v>47.115026</v>
      </c>
      <c r="D312" s="61">
        <v>-88.545199999999994</v>
      </c>
      <c r="E312" s="61" t="s">
        <v>265</v>
      </c>
      <c r="F312" s="149">
        <v>137</v>
      </c>
      <c r="G312" s="61" t="s">
        <v>642</v>
      </c>
      <c r="H312" s="61" t="s">
        <v>643</v>
      </c>
      <c r="I312" s="61">
        <v>47.168708000000002</v>
      </c>
      <c r="J312" s="61">
        <v>-88.496306000000004</v>
      </c>
      <c r="K312" s="61">
        <v>225.30955169999999</v>
      </c>
      <c r="L312" s="61">
        <v>13.54</v>
      </c>
      <c r="M312" s="61" t="s">
        <v>617</v>
      </c>
      <c r="N312" s="149">
        <v>42</v>
      </c>
      <c r="O312" s="149">
        <v>43</v>
      </c>
      <c r="P312" s="61" t="s">
        <v>565</v>
      </c>
      <c r="Q312" s="61" t="s">
        <v>555</v>
      </c>
      <c r="R312" s="61">
        <v>40.6895314</v>
      </c>
      <c r="S312" s="61">
        <v>-74.174462399999996</v>
      </c>
      <c r="T312" s="61">
        <v>1845.829</v>
      </c>
      <c r="U312" s="61" t="s">
        <v>617</v>
      </c>
      <c r="V312" s="61" t="s">
        <v>569</v>
      </c>
      <c r="W312" s="61" cm="1">
        <f t="array" ref="W312">getDistance(I312,J312,R312,S312)*SA!$B$12</f>
        <v>1354.2845117068412</v>
      </c>
      <c r="Y312" s="137">
        <f>Transportation_LCIA!C$61*($W312^Transportation_LCIA!C$60)+Transportation_LCIA!C$62</f>
        <v>0.20774760563947597</v>
      </c>
      <c r="Z312" s="137">
        <f>Transportation_LCIA!D$61*($W312^Transportation_LCIA!D$60)+Transportation_LCIA!D$62</f>
        <v>2.0990164422960742</v>
      </c>
      <c r="AA312" s="137">
        <f>Transportation_LCIA!E$61*($W312^Transportation_LCIA!E$60)+Transportation_LCIA!E$62</f>
        <v>9.2999427142829408E-4</v>
      </c>
      <c r="AB312" s="137">
        <f>Transportation_LCIA!F$61*($W312^Transportation_LCIA!F$60)+Transportation_LCIA!F$62</f>
        <v>0.20774760563947597</v>
      </c>
      <c r="AC312" s="137">
        <f>Transportation_LCIA!G$61*($W312^Transportation_LCIA!G$60)+Transportation_LCIA!G$62</f>
        <v>4.9131753210890861E-2</v>
      </c>
      <c r="AD312" s="137">
        <f>Transportation_LCIA!H$61*($W312^Transportation_LCIA!H$60)+Transportation_LCIA!H$62</f>
        <v>2.2983470837560383E-4</v>
      </c>
      <c r="AE312" s="137">
        <f>Transportation_LCIA!I$61*($W312^Transportation_LCIA!I$60)+Transportation_LCIA!I$62</f>
        <v>4.7446290089956318E-6</v>
      </c>
      <c r="AF312" s="137">
        <f>Transportation_LCIA!J$61*($W312^Transportation_LCIA!J$60)+Transportation_LCIA!J$62</f>
        <v>7.017971183427665E-3</v>
      </c>
      <c r="AG312" s="137">
        <f>Transportation_LCIA!K$61*($W312^Transportation_LCIA!K$60)+Transportation_LCIA!K$62</f>
        <v>1.0298897524971033E-2</v>
      </c>
      <c r="AH312" s="137">
        <f>Transportation_LCIA!L$61*($W312^Transportation_LCIA!L$60)+Transportation_LCIA!L$62</f>
        <v>1.967780626073324E-4</v>
      </c>
      <c r="AI312" s="137">
        <f>Transportation_LCIA!M$61*($W312^Transportation_LCIA!M$60)+Transportation_LCIA!M$62</f>
        <v>2.1769549694262297E-4</v>
      </c>
      <c r="AJ312" s="137">
        <f>Transportation_LCIA!N$61*($W312^Transportation_LCIA!N$60)+Transportation_LCIA!N$62</f>
        <v>8.3188740195500694E-4</v>
      </c>
      <c r="AK312" s="137">
        <f>Transportation_LCIA!O$61*($W312^Transportation_LCIA!O$60)+Transportation_LCIA!O$62</f>
        <v>5.1874223449835043E-5</v>
      </c>
      <c r="AL312" s="137">
        <f>Transportation_LCIA!P$61*($W312^Transportation_LCIA!P$60)+Transportation_LCIA!P$62</f>
        <v>2.5107643357196505E-8</v>
      </c>
      <c r="AM312" s="137">
        <f>Transportation_LCIA!Q$61*($W312^Transportation_LCIA!Q$60)+Transportation_LCIA!Q$62</f>
        <v>7.8115799740033725E-5</v>
      </c>
      <c r="AN312" s="137">
        <f>Transportation_LCIA!R$61*($W312^Transportation_LCIA!R$60)+Transportation_LCIA!R$62</f>
        <v>2.2836992670823583E-4</v>
      </c>
      <c r="AO312" s="137">
        <f>Transportation_LCIA!S$61*($W312^Transportation_LCIA!S$60)+Transportation_LCIA!S$62</f>
        <v>3.4982937728024645E-6</v>
      </c>
      <c r="AP312" s="137">
        <f>Transportation_LCIA!T$61*($W312^Transportation_LCIA!T$60)+Transportation_LCIA!T$62</f>
        <v>3.4982937728024645E-6</v>
      </c>
      <c r="AQ312" s="137">
        <f>Transportation_LCIA!U$61*($W312^Transportation_LCIA!U$60)+Transportation_LCIA!U$62</f>
        <v>4.8764902689972907E-4</v>
      </c>
      <c r="AR312" s="137">
        <f>Transportation_LCIA!V$61*($W312^Transportation_LCIA!V$60)+Transportation_LCIA!V$62</f>
        <v>2.0318689278072739E-4</v>
      </c>
      <c r="AT312" s="137">
        <f>$W312*Y312+$L312*Summary_LCIA!H$32</f>
        <v>285.95025666172313</v>
      </c>
      <c r="AU312" s="137">
        <f>$W312*Z312+$L312*Summary_LCIA!Q$32</f>
        <v>2909.7703804823896</v>
      </c>
      <c r="AV312" s="137">
        <f>$W312*AA312+$L312*Summary_LCIA!R$32</f>
        <v>1.3307730617714266</v>
      </c>
      <c r="AW312" s="137">
        <f>$W312*AB312+$L312*Summary_LCIA!S$32</f>
        <v>285.89040986172313</v>
      </c>
      <c r="AX312" s="137">
        <f>$W312*AC312+$L312*Summary_LCIA!T$32</f>
        <v>68.026418406512349</v>
      </c>
      <c r="AY312" s="137">
        <f>$W312*AD312+$L312*Summary_LCIA!U$32</f>
        <v>0.55381714580573882</v>
      </c>
      <c r="AZ312" s="137">
        <f>$W312*AE312+$L312*Summary_LCIA!V$32</f>
        <v>7.0722615206777629E-3</v>
      </c>
      <c r="BA312" s="137">
        <f>$W312*AF312+$L312*Summary_LCIA!W$32</f>
        <v>10.546517017321017</v>
      </c>
      <c r="BB312" s="137">
        <f>$W312*AG312+$L312*Summary_LCIA!X$32</f>
        <v>14.256078605724191</v>
      </c>
      <c r="BC312" s="137">
        <f>$W312*AH312+$L312*Summary_LCIA!Y$32</f>
        <v>0.47747376243278938</v>
      </c>
      <c r="BD312" s="137">
        <f>$W312*AI312+$L312*Summary_LCIA!Z$32</f>
        <v>0.29537690163771824</v>
      </c>
      <c r="BE312" s="137">
        <f>$W312*AJ312+$L312*Summary_LCIA!AA$32</f>
        <v>1.4428524639517093</v>
      </c>
      <c r="BF312" s="137">
        <f>$W312*AK312+$L312*Summary_LCIA!AB$32</f>
        <v>6.9956973954931417E-2</v>
      </c>
      <c r="BG312" s="137">
        <f>$W312*AL312+$L312*Summary_LCIA!AC$32</f>
        <v>3.466478188411038E-5</v>
      </c>
      <c r="BH312" s="137">
        <f>$W312*AM312+$L312*Summary_LCIA!AD$32</f>
        <v>0.11135649930752096</v>
      </c>
      <c r="BI312" s="137">
        <f>$W312*AN312+$L312*Summary_LCIA!AE$32</f>
        <v>0.32127605488059024</v>
      </c>
      <c r="BJ312" s="137">
        <f>$W312*AO312+$L312*Summary_LCIA!AF$32</f>
        <v>1.6184671873906868E-2</v>
      </c>
      <c r="BK312" s="137">
        <f>$W312*AP312+$L312*Summary_LCIA!AG$32</f>
        <v>5.4304591739068684E-3</v>
      </c>
      <c r="BL312" s="137">
        <f>$W312*AQ312+$L312*Summary_LCIA!AH$32</f>
        <v>0.77826226827921574</v>
      </c>
      <c r="BM312" s="137">
        <f>$W312*AR312+$L312*Summary_LCIA!AI$32</f>
        <v>0.28778604887477766</v>
      </c>
    </row>
    <row r="313" spans="1:65" x14ac:dyDescent="0.25">
      <c r="A313" s="149">
        <v>34</v>
      </c>
      <c r="B313" s="149">
        <v>43</v>
      </c>
      <c r="C313" s="61">
        <v>47.115026</v>
      </c>
      <c r="D313" s="61">
        <v>-88.545199999999994</v>
      </c>
      <c r="E313" s="61" t="s">
        <v>265</v>
      </c>
      <c r="F313" s="149">
        <v>137</v>
      </c>
      <c r="G313" s="61" t="s">
        <v>642</v>
      </c>
      <c r="H313" s="61" t="s">
        <v>643</v>
      </c>
      <c r="I313" s="61">
        <v>47.168708000000002</v>
      </c>
      <c r="J313" s="61">
        <v>-88.496306000000004</v>
      </c>
      <c r="K313" s="61">
        <v>225.30955169999999</v>
      </c>
      <c r="L313" s="61">
        <v>13.54</v>
      </c>
      <c r="M313" s="61" t="s">
        <v>617</v>
      </c>
      <c r="N313" s="149">
        <v>42</v>
      </c>
      <c r="O313" s="149">
        <v>43</v>
      </c>
      <c r="P313" s="61" t="s">
        <v>565</v>
      </c>
      <c r="Q313" s="61" t="s">
        <v>555</v>
      </c>
      <c r="R313" s="61">
        <v>40.6895314</v>
      </c>
      <c r="S313" s="61">
        <v>-74.174462399999996</v>
      </c>
      <c r="T313" s="61">
        <v>1845.829</v>
      </c>
      <c r="U313" s="61" t="s">
        <v>617</v>
      </c>
      <c r="V313" s="61" t="s">
        <v>569</v>
      </c>
      <c r="W313" s="61" cm="1">
        <f t="array" ref="W313">getDistance(I313,J313,R313,S313)*SA!$B$12</f>
        <v>1354.2845117068412</v>
      </c>
      <c r="Y313" s="137">
        <f>Transportation_LCIA!C$61*($W313^Transportation_LCIA!C$60)+Transportation_LCIA!C$62</f>
        <v>0.20774760563947597</v>
      </c>
      <c r="Z313" s="137">
        <f>Transportation_LCIA!D$61*($W313^Transportation_LCIA!D$60)+Transportation_LCIA!D$62</f>
        <v>2.0990164422960742</v>
      </c>
      <c r="AA313" s="137">
        <f>Transportation_LCIA!E$61*($W313^Transportation_LCIA!E$60)+Transportation_LCIA!E$62</f>
        <v>9.2999427142829408E-4</v>
      </c>
      <c r="AB313" s="137">
        <f>Transportation_LCIA!F$61*($W313^Transportation_LCIA!F$60)+Transportation_LCIA!F$62</f>
        <v>0.20774760563947597</v>
      </c>
      <c r="AC313" s="137">
        <f>Transportation_LCIA!G$61*($W313^Transportation_LCIA!G$60)+Transportation_LCIA!G$62</f>
        <v>4.9131753210890861E-2</v>
      </c>
      <c r="AD313" s="137">
        <f>Transportation_LCIA!H$61*($W313^Transportation_LCIA!H$60)+Transportation_LCIA!H$62</f>
        <v>2.2983470837560383E-4</v>
      </c>
      <c r="AE313" s="137">
        <f>Transportation_LCIA!I$61*($W313^Transportation_LCIA!I$60)+Transportation_LCIA!I$62</f>
        <v>4.7446290089956318E-6</v>
      </c>
      <c r="AF313" s="137">
        <f>Transportation_LCIA!J$61*($W313^Transportation_LCIA!J$60)+Transportation_LCIA!J$62</f>
        <v>7.017971183427665E-3</v>
      </c>
      <c r="AG313" s="137">
        <f>Transportation_LCIA!K$61*($W313^Transportation_LCIA!K$60)+Transportation_LCIA!K$62</f>
        <v>1.0298897524971033E-2</v>
      </c>
      <c r="AH313" s="137">
        <f>Transportation_LCIA!L$61*($W313^Transportation_LCIA!L$60)+Transportation_LCIA!L$62</f>
        <v>1.967780626073324E-4</v>
      </c>
      <c r="AI313" s="137">
        <f>Transportation_LCIA!M$61*($W313^Transportation_LCIA!M$60)+Transportation_LCIA!M$62</f>
        <v>2.1769549694262297E-4</v>
      </c>
      <c r="AJ313" s="137">
        <f>Transportation_LCIA!N$61*($W313^Transportation_LCIA!N$60)+Transportation_LCIA!N$62</f>
        <v>8.3188740195500694E-4</v>
      </c>
      <c r="AK313" s="137">
        <f>Transportation_LCIA!O$61*($W313^Transportation_LCIA!O$60)+Transportation_LCIA!O$62</f>
        <v>5.1874223449835043E-5</v>
      </c>
      <c r="AL313" s="137">
        <f>Transportation_LCIA!P$61*($W313^Transportation_LCIA!P$60)+Transportation_LCIA!P$62</f>
        <v>2.5107643357196505E-8</v>
      </c>
      <c r="AM313" s="137">
        <f>Transportation_LCIA!Q$61*($W313^Transportation_LCIA!Q$60)+Transportation_LCIA!Q$62</f>
        <v>7.8115799740033725E-5</v>
      </c>
      <c r="AN313" s="137">
        <f>Transportation_LCIA!R$61*($W313^Transportation_LCIA!R$60)+Transportation_LCIA!R$62</f>
        <v>2.2836992670823583E-4</v>
      </c>
      <c r="AO313" s="137">
        <f>Transportation_LCIA!S$61*($W313^Transportation_LCIA!S$60)+Transportation_LCIA!S$62</f>
        <v>3.4982937728024645E-6</v>
      </c>
      <c r="AP313" s="137">
        <f>Transportation_LCIA!T$61*($W313^Transportation_LCIA!T$60)+Transportation_LCIA!T$62</f>
        <v>3.4982937728024645E-6</v>
      </c>
      <c r="AQ313" s="137">
        <f>Transportation_LCIA!U$61*($W313^Transportation_LCIA!U$60)+Transportation_LCIA!U$62</f>
        <v>4.8764902689972907E-4</v>
      </c>
      <c r="AR313" s="137">
        <f>Transportation_LCIA!V$61*($W313^Transportation_LCIA!V$60)+Transportation_LCIA!V$62</f>
        <v>2.0318689278072739E-4</v>
      </c>
      <c r="AT313" s="137">
        <f>$W313*Y313+$L313*Summary_LCIA!H$32</f>
        <v>285.95025666172313</v>
      </c>
      <c r="AU313" s="137">
        <f>$W313*Z313+$L313*Summary_LCIA!Q$32</f>
        <v>2909.7703804823896</v>
      </c>
      <c r="AV313" s="137">
        <f>$W313*AA313+$L313*Summary_LCIA!R$32</f>
        <v>1.3307730617714266</v>
      </c>
      <c r="AW313" s="137">
        <f>$W313*AB313+$L313*Summary_LCIA!S$32</f>
        <v>285.89040986172313</v>
      </c>
      <c r="AX313" s="137">
        <f>$W313*AC313+$L313*Summary_LCIA!T$32</f>
        <v>68.026418406512349</v>
      </c>
      <c r="AY313" s="137">
        <f>$W313*AD313+$L313*Summary_LCIA!U$32</f>
        <v>0.55381714580573882</v>
      </c>
      <c r="AZ313" s="137">
        <f>$W313*AE313+$L313*Summary_LCIA!V$32</f>
        <v>7.0722615206777629E-3</v>
      </c>
      <c r="BA313" s="137">
        <f>$W313*AF313+$L313*Summary_LCIA!W$32</f>
        <v>10.546517017321017</v>
      </c>
      <c r="BB313" s="137">
        <f>$W313*AG313+$L313*Summary_LCIA!X$32</f>
        <v>14.256078605724191</v>
      </c>
      <c r="BC313" s="137">
        <f>$W313*AH313+$L313*Summary_LCIA!Y$32</f>
        <v>0.47747376243278938</v>
      </c>
      <c r="BD313" s="137">
        <f>$W313*AI313+$L313*Summary_LCIA!Z$32</f>
        <v>0.29537690163771824</v>
      </c>
      <c r="BE313" s="137">
        <f>$W313*AJ313+$L313*Summary_LCIA!AA$32</f>
        <v>1.4428524639517093</v>
      </c>
      <c r="BF313" s="137">
        <f>$W313*AK313+$L313*Summary_LCIA!AB$32</f>
        <v>6.9956973954931417E-2</v>
      </c>
      <c r="BG313" s="137">
        <f>$W313*AL313+$L313*Summary_LCIA!AC$32</f>
        <v>3.466478188411038E-5</v>
      </c>
      <c r="BH313" s="137">
        <f>$W313*AM313+$L313*Summary_LCIA!AD$32</f>
        <v>0.11135649930752096</v>
      </c>
      <c r="BI313" s="137">
        <f>$W313*AN313+$L313*Summary_LCIA!AE$32</f>
        <v>0.32127605488059024</v>
      </c>
      <c r="BJ313" s="137">
        <f>$W313*AO313+$L313*Summary_LCIA!AF$32</f>
        <v>1.6184671873906868E-2</v>
      </c>
      <c r="BK313" s="137">
        <f>$W313*AP313+$L313*Summary_LCIA!AG$32</f>
        <v>5.4304591739068684E-3</v>
      </c>
      <c r="BL313" s="137">
        <f>$W313*AQ313+$L313*Summary_LCIA!AH$32</f>
        <v>0.77826226827921574</v>
      </c>
      <c r="BM313" s="137">
        <f>$W313*AR313+$L313*Summary_LCIA!AI$32</f>
        <v>0.28778604887477766</v>
      </c>
    </row>
    <row r="314" spans="1:65" x14ac:dyDescent="0.25">
      <c r="A314" s="149">
        <v>325</v>
      </c>
      <c r="B314" s="149">
        <v>16</v>
      </c>
      <c r="C314" s="61">
        <v>38.581572000000001</v>
      </c>
      <c r="D314" s="61">
        <v>-121.4944</v>
      </c>
      <c r="E314" s="61" t="s">
        <v>265</v>
      </c>
      <c r="F314" s="149">
        <v>100</v>
      </c>
      <c r="G314" s="61" t="s">
        <v>280</v>
      </c>
      <c r="H314" s="61" t="s">
        <v>627</v>
      </c>
      <c r="I314" s="61">
        <v>38.695084999999999</v>
      </c>
      <c r="J314" s="61">
        <v>-121.590065</v>
      </c>
      <c r="K314" s="61">
        <v>32.424409709999999</v>
      </c>
      <c r="L314" s="61">
        <v>18.324999999999999</v>
      </c>
      <c r="M314" s="61" t="s">
        <v>617</v>
      </c>
      <c r="N314" s="149">
        <v>15</v>
      </c>
      <c r="O314" s="149">
        <v>16</v>
      </c>
      <c r="P314" s="61" t="s">
        <v>565</v>
      </c>
      <c r="Q314" s="61" t="s">
        <v>556</v>
      </c>
      <c r="R314" s="61">
        <v>39.856096299999997</v>
      </c>
      <c r="S314" s="61">
        <v>-104.6737376</v>
      </c>
      <c r="T314" s="61">
        <v>1881.009</v>
      </c>
      <c r="U314" s="61" t="s">
        <v>617</v>
      </c>
      <c r="V314" s="61" t="s">
        <v>569</v>
      </c>
      <c r="W314" s="61" cm="1">
        <f t="array" ref="W314">getDistance(I314,J314,R314,S314)*SA!$B$12</f>
        <v>1463.2088605366221</v>
      </c>
      <c r="Y314" s="137">
        <f>Transportation_LCIA!C$61*($W314^Transportation_LCIA!C$60)+Transportation_LCIA!C$62</f>
        <v>0.20172411333646184</v>
      </c>
      <c r="Z314" s="137">
        <f>Transportation_LCIA!D$61*($W314^Transportation_LCIA!D$60)+Transportation_LCIA!D$62</f>
        <v>2.029770310913003</v>
      </c>
      <c r="AA314" s="137">
        <f>Transportation_LCIA!E$61*($W314^Transportation_LCIA!E$60)+Transportation_LCIA!E$62</f>
        <v>8.8465774403089057E-4</v>
      </c>
      <c r="AB314" s="137">
        <f>Transportation_LCIA!F$61*($W314^Transportation_LCIA!F$60)+Transportation_LCIA!F$62</f>
        <v>0.20172411333646184</v>
      </c>
      <c r="AC314" s="137">
        <f>Transportation_LCIA!G$61*($W314^Transportation_LCIA!G$60)+Transportation_LCIA!G$62</f>
        <v>4.7528287475010873E-2</v>
      </c>
      <c r="AD314" s="137">
        <f>Transportation_LCIA!H$61*($W314^Transportation_LCIA!H$60)+Transportation_LCIA!H$62</f>
        <v>2.1994893990622623E-4</v>
      </c>
      <c r="AE314" s="137">
        <f>Transportation_LCIA!I$61*($W314^Transportation_LCIA!I$60)+Transportation_LCIA!I$62</f>
        <v>4.4990901253889765E-6</v>
      </c>
      <c r="AF314" s="137">
        <f>Transportation_LCIA!J$61*($W314^Transportation_LCIA!J$60)+Transportation_LCIA!J$62</f>
        <v>6.6554940325149496E-3</v>
      </c>
      <c r="AG314" s="137">
        <f>Transportation_LCIA!K$61*($W314^Transportation_LCIA!K$60)+Transportation_LCIA!K$62</f>
        <v>9.9274256515589233E-3</v>
      </c>
      <c r="AH314" s="137">
        <f>Transportation_LCIA!L$61*($W314^Transportation_LCIA!L$60)+Transportation_LCIA!L$62</f>
        <v>1.8772440418951533E-4</v>
      </c>
      <c r="AI314" s="137">
        <f>Transportation_LCIA!M$61*($W314^Transportation_LCIA!M$60)+Transportation_LCIA!M$62</f>
        <v>2.122421094720791E-4</v>
      </c>
      <c r="AJ314" s="137">
        <f>Transportation_LCIA!N$61*($W314^Transportation_LCIA!N$60)+Transportation_LCIA!N$62</f>
        <v>7.986143057382765E-4</v>
      </c>
      <c r="AK314" s="137">
        <f>Transportation_LCIA!O$61*($W314^Transportation_LCIA!O$60)+Transportation_LCIA!O$62</f>
        <v>5.0171038055785578E-5</v>
      </c>
      <c r="AL314" s="137">
        <f>Transportation_LCIA!P$61*($W314^Transportation_LCIA!P$60)+Transportation_LCIA!P$62</f>
        <v>2.4287854520154226E-8</v>
      </c>
      <c r="AM314" s="137">
        <f>Transportation_LCIA!Q$61*($W314^Transportation_LCIA!Q$60)+Transportation_LCIA!Q$62</f>
        <v>7.458309706564136E-5</v>
      </c>
      <c r="AN314" s="137">
        <f>Transportation_LCIA!R$61*($W314^Transportation_LCIA!R$60)+Transportation_LCIA!R$62</f>
        <v>2.1659943234592636E-4</v>
      </c>
      <c r="AO314" s="137">
        <f>Transportation_LCIA!S$61*($W314^Transportation_LCIA!S$60)+Transportation_LCIA!S$62</f>
        <v>3.3311449738452357E-6</v>
      </c>
      <c r="AP314" s="137">
        <f>Transportation_LCIA!T$61*($W314^Transportation_LCIA!T$60)+Transportation_LCIA!T$62</f>
        <v>3.3311449738452357E-6</v>
      </c>
      <c r="AQ314" s="137">
        <f>Transportation_LCIA!U$61*($W314^Transportation_LCIA!U$60)+Transportation_LCIA!U$62</f>
        <v>4.6190182484188606E-4</v>
      </c>
      <c r="AR314" s="137">
        <f>Transportation_LCIA!V$61*($W314^Transportation_LCIA!V$60)+Transportation_LCIA!V$62</f>
        <v>1.9402098598291385E-4</v>
      </c>
      <c r="AT314" s="137">
        <f>$W314*Y314+$L314*Summary_LCIA!H$32</f>
        <v>301.39134501780472</v>
      </c>
      <c r="AU314" s="137">
        <f>$W314*Z314+$L314*Summary_LCIA!Q$32</f>
        <v>3060.7975279668053</v>
      </c>
      <c r="AV314" s="137">
        <f>$W314*AA314+$L314*Summary_LCIA!R$32</f>
        <v>1.390931169608338</v>
      </c>
      <c r="AW314" s="137">
        <f>$W314*AB314+$L314*Summary_LCIA!S$32</f>
        <v>301.31034851780475</v>
      </c>
      <c r="AX314" s="137">
        <f>$W314*AC314+$L314*Summary_LCIA!T$32</f>
        <v>71.557728859567675</v>
      </c>
      <c r="AY314" s="137">
        <f>$W314*AD314+$L314*Summary_LCIA!U$32</f>
        <v>0.65010528773642728</v>
      </c>
      <c r="AZ314" s="137">
        <f>$W314*AE314+$L314*Summary_LCIA!V$32</f>
        <v>7.4583288608219729E-3</v>
      </c>
      <c r="BA314" s="137">
        <f>$W314*AF314+$L314*Summary_LCIA!W$32</f>
        <v>11.148871414624487</v>
      </c>
      <c r="BB314" s="137">
        <f>$W314*AG314+$L314*Summary_LCIA!X$32</f>
        <v>14.943340675679565</v>
      </c>
      <c r="BC314" s="137">
        <f>$W314*AH314+$L314*Summary_LCIA!Y$32</f>
        <v>0.56022016154905696</v>
      </c>
      <c r="BD314" s="137">
        <f>$W314*AI314+$L314*Summary_LCIA!Z$32</f>
        <v>0.31130602508352989</v>
      </c>
      <c r="BE314" s="137">
        <f>$W314*AJ314+$L314*Summary_LCIA!AA$32</f>
        <v>1.5965382283075491</v>
      </c>
      <c r="BF314" s="137">
        <f>$W314*AK314+$L314*Summary_LCIA!AB$32</f>
        <v>7.3010800950545518E-2</v>
      </c>
      <c r="BG314" s="137">
        <f>$W314*AL314+$L314*Summary_LCIA!AC$32</f>
        <v>3.6434003237314107E-5</v>
      </c>
      <c r="BH314" s="137">
        <f>$W314*AM314+$L314*Summary_LCIA!AD$32</f>
        <v>0.11666295647270937</v>
      </c>
      <c r="BI314" s="137">
        <f>$W314*AN314+$L314*Summary_LCIA!AE$32</f>
        <v>0.33316854084576203</v>
      </c>
      <c r="BJ314" s="137">
        <f>$W314*AO314+$L314*Summary_LCIA!AF$32</f>
        <v>2.0366482341462384E-2</v>
      </c>
      <c r="BK314" s="137">
        <f>$W314*AP314+$L314*Summary_LCIA!AG$32</f>
        <v>5.8117594664623832E-3</v>
      </c>
      <c r="BL314" s="137">
        <f>$W314*AQ314+$L314*Summary_LCIA!AH$32</f>
        <v>0.83535231280668254</v>
      </c>
      <c r="BM314" s="137">
        <f>$W314*AR314+$L314*Summary_LCIA!AI$32</f>
        <v>0.30096387957025128</v>
      </c>
    </row>
    <row r="315" spans="1:65" x14ac:dyDescent="0.25">
      <c r="A315" s="149">
        <v>203</v>
      </c>
      <c r="B315" s="149">
        <v>16</v>
      </c>
      <c r="C315" s="61">
        <v>38.544907000000002</v>
      </c>
      <c r="D315" s="61">
        <v>-121.740517</v>
      </c>
      <c r="E315" s="61" t="s">
        <v>265</v>
      </c>
      <c r="F315" s="149">
        <v>100</v>
      </c>
      <c r="G315" s="61" t="s">
        <v>280</v>
      </c>
      <c r="H315" s="61" t="s">
        <v>627</v>
      </c>
      <c r="I315" s="61">
        <v>38.695084999999999</v>
      </c>
      <c r="J315" s="61">
        <v>-121.590065</v>
      </c>
      <c r="K315" s="61">
        <v>29.866794039999998</v>
      </c>
      <c r="L315" s="61">
        <v>36.277000000000001</v>
      </c>
      <c r="M315" s="61" t="s">
        <v>617</v>
      </c>
      <c r="N315" s="149">
        <v>15</v>
      </c>
      <c r="O315" s="149">
        <v>16</v>
      </c>
      <c r="P315" s="61" t="s">
        <v>565</v>
      </c>
      <c r="Q315" s="61" t="s">
        <v>556</v>
      </c>
      <c r="R315" s="61">
        <v>39.856096299999997</v>
      </c>
      <c r="S315" s="61">
        <v>-104.6737376</v>
      </c>
      <c r="T315" s="61">
        <v>1903.46</v>
      </c>
      <c r="U315" s="61" t="s">
        <v>617</v>
      </c>
      <c r="V315" s="61" t="s">
        <v>569</v>
      </c>
      <c r="W315" s="61" cm="1">
        <f t="array" ref="W315">getDistance(I315,J315,R315,S315)*SA!$B$12</f>
        <v>1463.2088605366221</v>
      </c>
      <c r="Y315" s="137">
        <f>Transportation_LCIA!C$61*($W315^Transportation_LCIA!C$60)+Transportation_LCIA!C$62</f>
        <v>0.20172411333646184</v>
      </c>
      <c r="Z315" s="137">
        <f>Transportation_LCIA!D$61*($W315^Transportation_LCIA!D$60)+Transportation_LCIA!D$62</f>
        <v>2.029770310913003</v>
      </c>
      <c r="AA315" s="137">
        <f>Transportation_LCIA!E$61*($W315^Transportation_LCIA!E$60)+Transportation_LCIA!E$62</f>
        <v>8.8465774403089057E-4</v>
      </c>
      <c r="AB315" s="137">
        <f>Transportation_LCIA!F$61*($W315^Transportation_LCIA!F$60)+Transportation_LCIA!F$62</f>
        <v>0.20172411333646184</v>
      </c>
      <c r="AC315" s="137">
        <f>Transportation_LCIA!G$61*($W315^Transportation_LCIA!G$60)+Transportation_LCIA!G$62</f>
        <v>4.7528287475010873E-2</v>
      </c>
      <c r="AD315" s="137">
        <f>Transportation_LCIA!H$61*($W315^Transportation_LCIA!H$60)+Transportation_LCIA!H$62</f>
        <v>2.1994893990622623E-4</v>
      </c>
      <c r="AE315" s="137">
        <f>Transportation_LCIA!I$61*($W315^Transportation_LCIA!I$60)+Transportation_LCIA!I$62</f>
        <v>4.4990901253889765E-6</v>
      </c>
      <c r="AF315" s="137">
        <f>Transportation_LCIA!J$61*($W315^Transportation_LCIA!J$60)+Transportation_LCIA!J$62</f>
        <v>6.6554940325149496E-3</v>
      </c>
      <c r="AG315" s="137">
        <f>Transportation_LCIA!K$61*($W315^Transportation_LCIA!K$60)+Transportation_LCIA!K$62</f>
        <v>9.9274256515589233E-3</v>
      </c>
      <c r="AH315" s="137">
        <f>Transportation_LCIA!L$61*($W315^Transportation_LCIA!L$60)+Transportation_LCIA!L$62</f>
        <v>1.8772440418951533E-4</v>
      </c>
      <c r="AI315" s="137">
        <f>Transportation_LCIA!M$61*($W315^Transportation_LCIA!M$60)+Transportation_LCIA!M$62</f>
        <v>2.122421094720791E-4</v>
      </c>
      <c r="AJ315" s="137">
        <f>Transportation_LCIA!N$61*($W315^Transportation_LCIA!N$60)+Transportation_LCIA!N$62</f>
        <v>7.986143057382765E-4</v>
      </c>
      <c r="AK315" s="137">
        <f>Transportation_LCIA!O$61*($W315^Transportation_LCIA!O$60)+Transportation_LCIA!O$62</f>
        <v>5.0171038055785578E-5</v>
      </c>
      <c r="AL315" s="137">
        <f>Transportation_LCIA!P$61*($W315^Transportation_LCIA!P$60)+Transportation_LCIA!P$62</f>
        <v>2.4287854520154226E-8</v>
      </c>
      <c r="AM315" s="137">
        <f>Transportation_LCIA!Q$61*($W315^Transportation_LCIA!Q$60)+Transportation_LCIA!Q$62</f>
        <v>7.458309706564136E-5</v>
      </c>
      <c r="AN315" s="137">
        <f>Transportation_LCIA!R$61*($W315^Transportation_LCIA!R$60)+Transportation_LCIA!R$62</f>
        <v>2.1659943234592636E-4</v>
      </c>
      <c r="AO315" s="137">
        <f>Transportation_LCIA!S$61*($W315^Transportation_LCIA!S$60)+Transportation_LCIA!S$62</f>
        <v>3.3311449738452357E-6</v>
      </c>
      <c r="AP315" s="137">
        <f>Transportation_LCIA!T$61*($W315^Transportation_LCIA!T$60)+Transportation_LCIA!T$62</f>
        <v>3.3311449738452357E-6</v>
      </c>
      <c r="AQ315" s="137">
        <f>Transportation_LCIA!U$61*($W315^Transportation_LCIA!U$60)+Transportation_LCIA!U$62</f>
        <v>4.6190182484188606E-4</v>
      </c>
      <c r="AR315" s="137">
        <f>Transportation_LCIA!V$61*($W315^Transportation_LCIA!V$60)+Transportation_LCIA!V$62</f>
        <v>1.9402098598291385E-4</v>
      </c>
      <c r="AT315" s="137">
        <f>$W315*Y315+$L315*Summary_LCIA!H$32</f>
        <v>307.49143461780471</v>
      </c>
      <c r="AU315" s="137">
        <f>$W315*Z315+$L315*Summary_LCIA!Q$32</f>
        <v>3149.7685453400213</v>
      </c>
      <c r="AV315" s="137">
        <f>$W315*AA315+$L315*Summary_LCIA!R$32</f>
        <v>1.4854592208083379</v>
      </c>
      <c r="AW315" s="137">
        <f>$W315*AB315+$L315*Summary_LCIA!S$32</f>
        <v>307.33109027780472</v>
      </c>
      <c r="AX315" s="137">
        <f>$W315*AC315+$L315*Summary_LCIA!T$32</f>
        <v>73.530653659567676</v>
      </c>
      <c r="AY315" s="137">
        <f>$W315*AD315+$L315*Summary_LCIA!U$32</f>
        <v>0.97169741573642732</v>
      </c>
      <c r="AZ315" s="137">
        <f>$W315*AE315+$L315*Summary_LCIA!V$32</f>
        <v>8.3157343328219731E-3</v>
      </c>
      <c r="BA315" s="137">
        <f>$W315*AF315+$L315*Summary_LCIA!W$32</f>
        <v>12.530654806624486</v>
      </c>
      <c r="BB315" s="137">
        <f>$W315*AG315+$L315*Summary_LCIA!X$32</f>
        <v>15.352287235679565</v>
      </c>
      <c r="BC315" s="137">
        <f>$W315*AH315+$L315*Summary_LCIA!Y$32</f>
        <v>0.83994822554905713</v>
      </c>
      <c r="BD315" s="137">
        <f>$W315*AI315+$L315*Summary_LCIA!Z$32</f>
        <v>0.31204221865152987</v>
      </c>
      <c r="BE315" s="137">
        <f>$W315*AJ315+$L315*Summary_LCIA!AA$32</f>
        <v>2.0158251403075491</v>
      </c>
      <c r="BF315" s="137">
        <f>$W315*AK315+$L315*Summary_LCIA!AB$32</f>
        <v>7.2619034454545525E-2</v>
      </c>
      <c r="BG315" s="137">
        <f>$W315*AL315+$L315*Summary_LCIA!AC$32</f>
        <v>3.7311568805314111E-5</v>
      </c>
      <c r="BH315" s="137">
        <f>$W315*AM315+$L315*Summary_LCIA!AD$32</f>
        <v>0.12404194655270936</v>
      </c>
      <c r="BI315" s="137">
        <f>$W315*AN315+$L315*Summary_LCIA!AE$32</f>
        <v>0.34907634660576203</v>
      </c>
      <c r="BJ315" s="137">
        <f>$W315*AO315+$L315*Summary_LCIA!AF$32</f>
        <v>3.5543462181462385E-2</v>
      </c>
      <c r="BK315" s="137">
        <f>$W315*AP315+$L315*Summary_LCIA!AG$32</f>
        <v>6.7302735464623833E-3</v>
      </c>
      <c r="BL315" s="137">
        <f>$W315*AQ315+$L315*Summary_LCIA!AH$32</f>
        <v>0.99159934000668248</v>
      </c>
      <c r="BM315" s="137">
        <f>$W315*AR315+$L315*Summary_LCIA!AI$32</f>
        <v>0.3176870651702513</v>
      </c>
    </row>
    <row r="316" spans="1:65" x14ac:dyDescent="0.25">
      <c r="A316" s="149">
        <v>12</v>
      </c>
      <c r="B316" s="149">
        <v>16</v>
      </c>
      <c r="C316" s="61">
        <v>38.538727999999999</v>
      </c>
      <c r="D316" s="61">
        <v>-121.75308200000001</v>
      </c>
      <c r="E316" s="61" t="s">
        <v>265</v>
      </c>
      <c r="F316" s="149">
        <v>100</v>
      </c>
      <c r="G316" s="61" t="s">
        <v>280</v>
      </c>
      <c r="H316" s="61" t="s">
        <v>627</v>
      </c>
      <c r="I316" s="61">
        <v>38.695084999999999</v>
      </c>
      <c r="J316" s="61">
        <v>-121.590065</v>
      </c>
      <c r="K316" s="61">
        <v>31.070852179999999</v>
      </c>
      <c r="L316" s="61">
        <v>34.07</v>
      </c>
      <c r="M316" s="61" t="s">
        <v>617</v>
      </c>
      <c r="N316" s="149">
        <v>15</v>
      </c>
      <c r="O316" s="149">
        <v>16</v>
      </c>
      <c r="P316" s="61" t="s">
        <v>565</v>
      </c>
      <c r="Q316" s="61" t="s">
        <v>556</v>
      </c>
      <c r="R316" s="61">
        <v>39.856096299999997</v>
      </c>
      <c r="S316" s="61">
        <v>-104.6737376</v>
      </c>
      <c r="T316" s="61">
        <v>1908.866</v>
      </c>
      <c r="U316" s="61" t="s">
        <v>617</v>
      </c>
      <c r="V316" s="61" t="s">
        <v>569</v>
      </c>
      <c r="W316" s="61" cm="1">
        <f t="array" ref="W316">getDistance(I316,J316,R316,S316)*SA!$B$12</f>
        <v>1463.2088605366221</v>
      </c>
      <c r="Y316" s="137">
        <f>Transportation_LCIA!C$61*($W316^Transportation_LCIA!C$60)+Transportation_LCIA!C$62</f>
        <v>0.20172411333646184</v>
      </c>
      <c r="Z316" s="137">
        <f>Transportation_LCIA!D$61*($W316^Transportation_LCIA!D$60)+Transportation_LCIA!D$62</f>
        <v>2.029770310913003</v>
      </c>
      <c r="AA316" s="137">
        <f>Transportation_LCIA!E$61*($W316^Transportation_LCIA!E$60)+Transportation_LCIA!E$62</f>
        <v>8.8465774403089057E-4</v>
      </c>
      <c r="AB316" s="137">
        <f>Transportation_LCIA!F$61*($W316^Transportation_LCIA!F$60)+Transportation_LCIA!F$62</f>
        <v>0.20172411333646184</v>
      </c>
      <c r="AC316" s="137">
        <f>Transportation_LCIA!G$61*($W316^Transportation_LCIA!G$60)+Transportation_LCIA!G$62</f>
        <v>4.7528287475010873E-2</v>
      </c>
      <c r="AD316" s="137">
        <f>Transportation_LCIA!H$61*($W316^Transportation_LCIA!H$60)+Transportation_LCIA!H$62</f>
        <v>2.1994893990622623E-4</v>
      </c>
      <c r="AE316" s="137">
        <f>Transportation_LCIA!I$61*($W316^Transportation_LCIA!I$60)+Transportation_LCIA!I$62</f>
        <v>4.4990901253889765E-6</v>
      </c>
      <c r="AF316" s="137">
        <f>Transportation_LCIA!J$61*($W316^Transportation_LCIA!J$60)+Transportation_LCIA!J$62</f>
        <v>6.6554940325149496E-3</v>
      </c>
      <c r="AG316" s="137">
        <f>Transportation_LCIA!K$61*($W316^Transportation_LCIA!K$60)+Transportation_LCIA!K$62</f>
        <v>9.9274256515589233E-3</v>
      </c>
      <c r="AH316" s="137">
        <f>Transportation_LCIA!L$61*($W316^Transportation_LCIA!L$60)+Transportation_LCIA!L$62</f>
        <v>1.8772440418951533E-4</v>
      </c>
      <c r="AI316" s="137">
        <f>Transportation_LCIA!M$61*($W316^Transportation_LCIA!M$60)+Transportation_LCIA!M$62</f>
        <v>2.122421094720791E-4</v>
      </c>
      <c r="AJ316" s="137">
        <f>Transportation_LCIA!N$61*($W316^Transportation_LCIA!N$60)+Transportation_LCIA!N$62</f>
        <v>7.986143057382765E-4</v>
      </c>
      <c r="AK316" s="137">
        <f>Transportation_LCIA!O$61*($W316^Transportation_LCIA!O$60)+Transportation_LCIA!O$62</f>
        <v>5.0171038055785578E-5</v>
      </c>
      <c r="AL316" s="137">
        <f>Transportation_LCIA!P$61*($W316^Transportation_LCIA!P$60)+Transportation_LCIA!P$62</f>
        <v>2.4287854520154226E-8</v>
      </c>
      <c r="AM316" s="137">
        <f>Transportation_LCIA!Q$61*($W316^Transportation_LCIA!Q$60)+Transportation_LCIA!Q$62</f>
        <v>7.458309706564136E-5</v>
      </c>
      <c r="AN316" s="137">
        <f>Transportation_LCIA!R$61*($W316^Transportation_LCIA!R$60)+Transportation_LCIA!R$62</f>
        <v>2.1659943234592636E-4</v>
      </c>
      <c r="AO316" s="137">
        <f>Transportation_LCIA!S$61*($W316^Transportation_LCIA!S$60)+Transportation_LCIA!S$62</f>
        <v>3.3311449738452357E-6</v>
      </c>
      <c r="AP316" s="137">
        <f>Transportation_LCIA!T$61*($W316^Transportation_LCIA!T$60)+Transportation_LCIA!T$62</f>
        <v>3.3311449738452357E-6</v>
      </c>
      <c r="AQ316" s="137">
        <f>Transportation_LCIA!U$61*($W316^Transportation_LCIA!U$60)+Transportation_LCIA!U$62</f>
        <v>4.6190182484188606E-4</v>
      </c>
      <c r="AR316" s="137">
        <f>Transportation_LCIA!V$61*($W316^Transportation_LCIA!V$60)+Transportation_LCIA!V$62</f>
        <v>1.9402098598291385E-4</v>
      </c>
      <c r="AT316" s="137">
        <f>$W316*Y316+$L316*Summary_LCIA!H$32</f>
        <v>306.74149601780471</v>
      </c>
      <c r="AU316" s="137">
        <f>$W316*Z316+$L316*Summary_LCIA!Q$32</f>
        <v>3138.8305420343904</v>
      </c>
      <c r="AV316" s="137">
        <f>$W316*AA316+$L316*Summary_LCIA!R$32</f>
        <v>1.4738380416083379</v>
      </c>
      <c r="AW316" s="137">
        <f>$W316*AB316+$L316*Summary_LCIA!S$32</f>
        <v>306.59090661780471</v>
      </c>
      <c r="AX316" s="137">
        <f>$W316*AC316+$L316*Summary_LCIA!T$32</f>
        <v>73.288104359567669</v>
      </c>
      <c r="AY316" s="137">
        <f>$W316*AD316+$L316*Summary_LCIA!U$32</f>
        <v>0.93216121773642713</v>
      </c>
      <c r="AZ316" s="137">
        <f>$W316*AE316+$L316*Summary_LCIA!V$32</f>
        <v>8.2103258058219726E-3</v>
      </c>
      <c r="BA316" s="137">
        <f>$W316*AF316+$L316*Summary_LCIA!W$32</f>
        <v>12.360779809624487</v>
      </c>
      <c r="BB316" s="137">
        <f>$W316*AG316+$L316*Summary_LCIA!X$32</f>
        <v>15.302011775679565</v>
      </c>
      <c r="BC316" s="137">
        <f>$W316*AH316+$L316*Summary_LCIA!Y$32</f>
        <v>0.80555875154905698</v>
      </c>
      <c r="BD316" s="137">
        <f>$W316*AI316+$L316*Summary_LCIA!Z$32</f>
        <v>0.31195171178852987</v>
      </c>
      <c r="BE316" s="137">
        <f>$W316*AJ316+$L316*Summary_LCIA!AA$32</f>
        <v>1.9642784483075491</v>
      </c>
      <c r="BF316" s="137">
        <f>$W316*AK316+$L316*Summary_LCIA!AB$32</f>
        <v>7.2667197815545523E-2</v>
      </c>
      <c r="BG316" s="137">
        <f>$W316*AL316+$L316*Summary_LCIA!AC$32</f>
        <v>3.7203681817314111E-5</v>
      </c>
      <c r="BH316" s="137">
        <f>$W316*AM316+$L316*Summary_LCIA!AD$32</f>
        <v>0.12313478127270937</v>
      </c>
      <c r="BI316" s="137">
        <f>$W316*AN316+$L316*Summary_LCIA!AE$32</f>
        <v>0.34712065769576206</v>
      </c>
      <c r="BJ316" s="137">
        <f>$W316*AO316+$L316*Summary_LCIA!AF$32</f>
        <v>3.3677620241462383E-2</v>
      </c>
      <c r="BK316" s="137">
        <f>$W316*AP316+$L316*Summary_LCIA!AG$32</f>
        <v>6.6173523914623833E-3</v>
      </c>
      <c r="BL316" s="137">
        <f>$W316*AQ316+$L316*Summary_LCIA!AH$32</f>
        <v>0.9723904948066826</v>
      </c>
      <c r="BM316" s="137">
        <f>$W316*AR316+$L316*Summary_LCIA!AI$32</f>
        <v>0.31563113432025131</v>
      </c>
    </row>
    <row r="317" spans="1:65" x14ac:dyDescent="0.25">
      <c r="A317" s="149">
        <v>89</v>
      </c>
      <c r="B317" s="149">
        <v>16</v>
      </c>
      <c r="C317" s="61">
        <v>35.244402000000001</v>
      </c>
      <c r="D317" s="61">
        <v>-120.672275</v>
      </c>
      <c r="E317" s="61" t="s">
        <v>265</v>
      </c>
      <c r="F317" s="149">
        <v>116</v>
      </c>
      <c r="G317" s="61" t="s">
        <v>663</v>
      </c>
      <c r="H317" s="61" t="s">
        <v>664</v>
      </c>
      <c r="I317" s="61">
        <v>34.198312000000001</v>
      </c>
      <c r="J317" s="61">
        <v>-118.357404</v>
      </c>
      <c r="K317" s="61">
        <v>417.80808230000002</v>
      </c>
      <c r="L317" s="61">
        <v>289.17599999999999</v>
      </c>
      <c r="M317" s="61" t="s">
        <v>617</v>
      </c>
      <c r="N317" s="149">
        <v>15</v>
      </c>
      <c r="O317" s="149">
        <v>16</v>
      </c>
      <c r="P317" s="61" t="s">
        <v>565</v>
      </c>
      <c r="Q317" s="61" t="s">
        <v>556</v>
      </c>
      <c r="R317" s="61">
        <v>39.856096299999997</v>
      </c>
      <c r="S317" s="61">
        <v>-104.6737376</v>
      </c>
      <c r="T317" s="61">
        <v>1909.635</v>
      </c>
      <c r="U317" s="61" t="s">
        <v>617</v>
      </c>
      <c r="V317" s="61" t="s">
        <v>569</v>
      </c>
      <c r="W317" s="61" cm="1">
        <f t="array" ref="W317">getDistance(I317,J317,R317,S317)*SA!$B$12</f>
        <v>1368.4330080174188</v>
      </c>
      <c r="Y317" s="137">
        <f>Transportation_LCIA!C$61*($W317^Transportation_LCIA!C$60)+Transportation_LCIA!C$62</f>
        <v>0.20691545096518085</v>
      </c>
      <c r="Z317" s="137">
        <f>Transportation_LCIA!D$61*($W317^Transportation_LCIA!D$60)+Transportation_LCIA!D$62</f>
        <v>2.0894362421462809</v>
      </c>
      <c r="AA317" s="137">
        <f>Transportation_LCIA!E$61*($W317^Transportation_LCIA!E$60)+Transportation_LCIA!E$62</f>
        <v>9.2371943464845518E-4</v>
      </c>
      <c r="AB317" s="137">
        <f>Transportation_LCIA!F$61*($W317^Transportation_LCIA!F$60)+Transportation_LCIA!F$62</f>
        <v>0.20691545096518085</v>
      </c>
      <c r="AC317" s="137">
        <f>Transportation_LCIA!G$61*($W317^Transportation_LCIA!G$60)+Transportation_LCIA!G$62</f>
        <v>4.8909932339708459E-2</v>
      </c>
      <c r="AD317" s="137">
        <f>Transportation_LCIA!H$61*($W317^Transportation_LCIA!H$60)+Transportation_LCIA!H$62</f>
        <v>2.2846537104787056E-4</v>
      </c>
      <c r="AE317" s="137">
        <f>Transportation_LCIA!I$61*($W317^Transportation_LCIA!I$60)+Transportation_LCIA!I$62</f>
        <v>4.7105743113511086E-6</v>
      </c>
      <c r="AF317" s="137">
        <f>Transportation_LCIA!J$61*($W317^Transportation_LCIA!J$60)+Transportation_LCIA!J$62</f>
        <v>6.9676557821968139E-3</v>
      </c>
      <c r="AG317" s="137">
        <f>Transportation_LCIA!K$61*($W317^Transportation_LCIA!K$60)+Transportation_LCIA!K$62</f>
        <v>1.0247471444338688E-2</v>
      </c>
      <c r="AH317" s="137">
        <f>Transportation_LCIA!L$61*($W317^Transportation_LCIA!L$60)+Transportation_LCIA!L$62</f>
        <v>1.9552352788564252E-4</v>
      </c>
      <c r="AI317" s="137">
        <f>Transportation_LCIA!M$61*($W317^Transportation_LCIA!M$60)+Transportation_LCIA!M$62</f>
        <v>2.1694008263797531E-4</v>
      </c>
      <c r="AJ317" s="137">
        <f>Transportation_LCIA!N$61*($W317^Transportation_LCIA!N$60)+Transportation_LCIA!N$62</f>
        <v>8.2727901467190875E-4</v>
      </c>
      <c r="AK317" s="137">
        <f>Transportation_LCIA!O$61*($W317^Transportation_LCIA!O$60)+Transportation_LCIA!O$62</f>
        <v>5.1638598230819343E-5</v>
      </c>
      <c r="AL317" s="137">
        <f>Transportation_LCIA!P$61*($W317^Transportation_LCIA!P$60)+Transportation_LCIA!P$62</f>
        <v>2.4994242719427007E-8</v>
      </c>
      <c r="AM317" s="137">
        <f>Transportation_LCIA!Q$61*($W317^Transportation_LCIA!Q$60)+Transportation_LCIA!Q$62</f>
        <v>7.7626188885142287E-5</v>
      </c>
      <c r="AN317" s="137">
        <f>Transportation_LCIA!R$61*($W317^Transportation_LCIA!R$60)+Transportation_LCIA!R$62</f>
        <v>2.267373826738791E-4</v>
      </c>
      <c r="AO317" s="137">
        <f>Transportation_LCIA!S$61*($W317^Transportation_LCIA!S$60)+Transportation_LCIA!S$62</f>
        <v>3.475111898756177E-6</v>
      </c>
      <c r="AP317" s="137">
        <f>Transportation_LCIA!T$61*($W317^Transportation_LCIA!T$60)+Transportation_LCIA!T$62</f>
        <v>3.475111898756177E-6</v>
      </c>
      <c r="AQ317" s="137">
        <f>Transportation_LCIA!U$61*($W317^Transportation_LCIA!U$60)+Transportation_LCIA!U$62</f>
        <v>4.8407707333919363E-4</v>
      </c>
      <c r="AR317" s="137">
        <f>Transportation_LCIA!V$61*($W317^Transportation_LCIA!V$60)+Transportation_LCIA!V$62</f>
        <v>2.0191623240174868E-4</v>
      </c>
      <c r="AT317" s="137">
        <f>$W317*Y317+$L317*Summary_LCIA!H$32</f>
        <v>381.41193776956317</v>
      </c>
      <c r="AU317" s="137">
        <f>$W317*Z317+$L317*Summary_LCIA!Q$32</f>
        <v>4292.4243619140543</v>
      </c>
      <c r="AV317" s="137">
        <f>$W317*AA317+$L317*Summary_LCIA!R$32</f>
        <v>2.7867333101201348</v>
      </c>
      <c r="AW317" s="137">
        <f>$W317*AB317+$L317*Summary_LCIA!S$32</f>
        <v>380.13377984956315</v>
      </c>
      <c r="AX317" s="137">
        <f>$W317*AC317+$L317*Summary_LCIA!T$32</f>
        <v>98.710408233555683</v>
      </c>
      <c r="AY317" s="137">
        <f>$W317*AD317+$L317*Summary_LCIA!U$32</f>
        <v>5.4929384189308523</v>
      </c>
      <c r="AZ317" s="137">
        <f>$W317*AE317+$L317*Summary_LCIA!V$32</f>
        <v>2.0257440310371778E-2</v>
      </c>
      <c r="BA317" s="137">
        <f>$W317*AF317+$L317*Summary_LCIA!W$32</f>
        <v>31.792936056861546</v>
      </c>
      <c r="BB317" s="137">
        <f>$W317*AG317+$L317*Summary_LCIA!X$32</f>
        <v>20.610407453148994</v>
      </c>
      <c r="BC317" s="137">
        <f>$W317*AH317+$L317*Summary_LCIA!Y$32</f>
        <v>4.7735012814027273</v>
      </c>
      <c r="BD317" s="137">
        <f>$W317*AI317+$L317*Summary_LCIA!Z$32</f>
        <v>0.30872678842783197</v>
      </c>
      <c r="BE317" s="137">
        <f>$W317*AJ317+$L317*Summary_LCIA!AA$32</f>
        <v>7.8860705665171658</v>
      </c>
      <c r="BF317" s="137">
        <f>$W317*AK317+$L317*Summary_LCIA!AB$32</f>
        <v>6.4353274458803081E-2</v>
      </c>
      <c r="BG317" s="137">
        <f>$W317*AL317+$L317*Summary_LCIA!AC$32</f>
        <v>4.8339026331662971E-5</v>
      </c>
      <c r="BH317" s="137">
        <f>$W317*AM317+$L317*Summary_LCIA!AD$32</f>
        <v>0.22508914219702358</v>
      </c>
      <c r="BI317" s="137">
        <f>$W317*AN317+$L317*Summary_LCIA!AE$32</f>
        <v>0.56652244748241287</v>
      </c>
      <c r="BJ317" s="137">
        <f>$W317*AO317+$L317*Summary_LCIA!AF$32</f>
        <v>0.24923063174881205</v>
      </c>
      <c r="BK317" s="137">
        <f>$W317*AP317+$L317*Summary_LCIA!AG$32</f>
        <v>1.9551147868812041E-2</v>
      </c>
      <c r="BL317" s="137">
        <f>$W317*AQ317+$L317*Summary_LCIA!AH$32</f>
        <v>3.1792992791818215</v>
      </c>
      <c r="BM317" s="137">
        <f>$W317*AR317+$L317*Summary_LCIA!AI$32</f>
        <v>0.54569074007306906</v>
      </c>
    </row>
    <row r="318" spans="1:65" x14ac:dyDescent="0.25">
      <c r="A318" s="149">
        <v>158</v>
      </c>
      <c r="B318" s="149">
        <v>16</v>
      </c>
      <c r="C318" s="61">
        <v>37.871523000000003</v>
      </c>
      <c r="D318" s="61">
        <v>-122.273042</v>
      </c>
      <c r="E318" s="61" t="s">
        <v>265</v>
      </c>
      <c r="F318" s="149">
        <v>99</v>
      </c>
      <c r="G318" s="61" t="s">
        <v>623</v>
      </c>
      <c r="H318" s="61" t="s">
        <v>624</v>
      </c>
      <c r="I318" s="61">
        <v>37.712569000000002</v>
      </c>
      <c r="J318" s="61">
        <v>-122.21974299999999</v>
      </c>
      <c r="K318" s="61">
        <v>40.270393179999999</v>
      </c>
      <c r="L318" s="61">
        <v>24.324000000000002</v>
      </c>
      <c r="M318" s="61" t="s">
        <v>617</v>
      </c>
      <c r="N318" s="149">
        <v>15</v>
      </c>
      <c r="O318" s="149">
        <v>16</v>
      </c>
      <c r="P318" s="61" t="s">
        <v>565</v>
      </c>
      <c r="Q318" s="61" t="s">
        <v>556</v>
      </c>
      <c r="R318" s="61">
        <v>39.856096299999997</v>
      </c>
      <c r="S318" s="61">
        <v>-104.6737376</v>
      </c>
      <c r="T318" s="61">
        <v>2003.758</v>
      </c>
      <c r="U318" s="61" t="s">
        <v>617</v>
      </c>
      <c r="V318" s="61" t="s">
        <v>569</v>
      </c>
      <c r="W318" s="61" cm="1">
        <f t="array" ref="W318">getDistance(I318,J318,R318,S318)*SA!$B$12</f>
        <v>1540.5141112510541</v>
      </c>
      <c r="Y318" s="137">
        <f>Transportation_LCIA!C$61*($W318^Transportation_LCIA!C$60)+Transportation_LCIA!C$62</f>
        <v>0.19792655707655432</v>
      </c>
      <c r="Z318" s="137">
        <f>Transportation_LCIA!D$61*($W318^Transportation_LCIA!D$60)+Transportation_LCIA!D$62</f>
        <v>1.9862359467891511</v>
      </c>
      <c r="AA318" s="137">
        <f>Transportation_LCIA!E$61*($W318^Transportation_LCIA!E$60)+Transportation_LCIA!E$62</f>
        <v>8.5617759378439932E-4</v>
      </c>
      <c r="AB318" s="137">
        <f>Transportation_LCIA!F$61*($W318^Transportation_LCIA!F$60)+Transportation_LCIA!F$62</f>
        <v>0.19792655707655432</v>
      </c>
      <c r="AC318" s="137">
        <f>Transportation_LCIA!G$61*($W318^Transportation_LCIA!G$60)+Transportation_LCIA!G$62</f>
        <v>4.6520039210562858E-2</v>
      </c>
      <c r="AD318" s="137">
        <f>Transportation_LCIA!H$61*($W318^Transportation_LCIA!H$60)+Transportation_LCIA!H$62</f>
        <v>2.1374842864686517E-4</v>
      </c>
      <c r="AE318" s="137">
        <f>Transportation_LCIA!I$61*($W318^Transportation_LCIA!I$60)+Transportation_LCIA!I$62</f>
        <v>4.3454704380997702E-6</v>
      </c>
      <c r="AF318" s="137">
        <f>Transportation_LCIA!J$61*($W318^Transportation_LCIA!J$60)+Transportation_LCIA!J$62</f>
        <v>6.4290844934420813E-3</v>
      </c>
      <c r="AG318" s="137">
        <f>Transportation_LCIA!K$61*($W318^Transportation_LCIA!K$60)+Transportation_LCIA!K$62</f>
        <v>9.6941777379801232E-3</v>
      </c>
      <c r="AH318" s="137">
        <f>Transportation_LCIA!L$61*($W318^Transportation_LCIA!L$60)+Transportation_LCIA!L$62</f>
        <v>1.8204986406811593E-4</v>
      </c>
      <c r="AI318" s="137">
        <f>Transportation_LCIA!M$61*($W318^Transportation_LCIA!M$60)+Transportation_LCIA!M$62</f>
        <v>2.0882194854566214E-4</v>
      </c>
      <c r="AJ318" s="137">
        <f>Transportation_LCIA!N$61*($W318^Transportation_LCIA!N$60)+Transportation_LCIA!N$62</f>
        <v>7.7774072603392945E-4</v>
      </c>
      <c r="AK318" s="137">
        <f>Transportation_LCIA!O$61*($W318^Transportation_LCIA!O$60)+Transportation_LCIA!O$62</f>
        <v>4.9100169370747042E-5</v>
      </c>
      <c r="AL318" s="137">
        <f>Transportation_LCIA!P$61*($W318^Transportation_LCIA!P$60)+Transportation_LCIA!P$62</f>
        <v>2.3772309046564421E-8</v>
      </c>
      <c r="AM318" s="137">
        <f>Transportation_LCIA!Q$61*($W318^Transportation_LCIA!Q$60)+Transportation_LCIA!Q$62</f>
        <v>7.2369765595730283E-5</v>
      </c>
      <c r="AN318" s="137">
        <f>Transportation_LCIA!R$61*($W318^Transportation_LCIA!R$60)+Transportation_LCIA!R$62</f>
        <v>2.0923575159105117E-4</v>
      </c>
      <c r="AO318" s="137">
        <f>Transportation_LCIA!S$61*($W318^Transportation_LCIA!S$60)+Transportation_LCIA!S$62</f>
        <v>3.2265640835120827E-6</v>
      </c>
      <c r="AP318" s="137">
        <f>Transportation_LCIA!T$61*($W318^Transportation_LCIA!T$60)+Transportation_LCIA!T$62</f>
        <v>3.2265640835120827E-6</v>
      </c>
      <c r="AQ318" s="137">
        <f>Transportation_LCIA!U$61*($W318^Transportation_LCIA!U$60)+Transportation_LCIA!U$62</f>
        <v>4.4580191537815767E-4</v>
      </c>
      <c r="AR318" s="137">
        <f>Transportation_LCIA!V$61*($W318^Transportation_LCIA!V$60)+Transportation_LCIA!V$62</f>
        <v>1.8828115436054458E-4</v>
      </c>
      <c r="AT318" s="137">
        <f>$W318*Y318+$L318*Summary_LCIA!H$32</f>
        <v>313.17394936776913</v>
      </c>
      <c r="AU318" s="137">
        <f>$W318*Z318+$L318*Summary_LCIA!Q$32</f>
        <v>3180.3754750350772</v>
      </c>
      <c r="AV318" s="137">
        <f>$W318*AA318+$L318*Summary_LCIA!R$32</f>
        <v>1.4470341193618401</v>
      </c>
      <c r="AW318" s="137">
        <f>$W318*AB318+$L318*Summary_LCIA!S$32</f>
        <v>313.06643728776908</v>
      </c>
      <c r="AX318" s="137">
        <f>$W318*AC318+$L318*Summary_LCIA!T$32</f>
        <v>74.337984459824426</v>
      </c>
      <c r="AY318" s="137">
        <f>$W318*AD318+$L318*Summary_LCIA!U$32</f>
        <v>0.76502260658823484</v>
      </c>
      <c r="AZ318" s="137">
        <f>$W318*AE318+$L318*Summary_LCIA!V$32</f>
        <v>7.8559970939169957E-3</v>
      </c>
      <c r="BA318" s="137">
        <f>$W318*AF318+$L318*Summary_LCIA!W$32</f>
        <v>11.776337988572863</v>
      </c>
      <c r="BB318" s="137">
        <f>$W318*AG318+$L318*Summary_LCIA!X$32</f>
        <v>15.488118322334206</v>
      </c>
      <c r="BC318" s="137">
        <f>$W318*AH318+$L318*Summary_LCIA!Y$32</f>
        <v>0.65946695254826881</v>
      </c>
      <c r="BD318" s="137">
        <f>$W318*AI318+$L318*Summary_LCIA!Z$32</f>
        <v>0.32269066138953406</v>
      </c>
      <c r="BE318" s="137">
        <f>$W318*AJ318+$L318*Summary_LCIA!AA$32</f>
        <v>1.7662319073499084</v>
      </c>
      <c r="BF318" s="137">
        <f>$W318*AK318+$L318*Summary_LCIA!AB$32</f>
        <v>7.510868112845262E-2</v>
      </c>
      <c r="BG318" s="137">
        <f>$W318*AL318+$L318*Summary_LCIA!AC$32</f>
        <v>3.7810631959253583E-5</v>
      </c>
      <c r="BH318" s="137">
        <f>$W318*AM318+$L318*Summary_LCIA!AD$32</f>
        <v>0.12148478208815355</v>
      </c>
      <c r="BI318" s="137">
        <f>$W318*AN318+$L318*Summary_LCIA!AE$32</f>
        <v>0.34388485402423452</v>
      </c>
      <c r="BJ318" s="137">
        <f>$W318*AO318+$L318*Summary_LCIA!AF$32</f>
        <v>2.5534563581506194E-2</v>
      </c>
      <c r="BK318" s="137">
        <f>$W318*AP318+$L318*Summary_LCIA!AG$32</f>
        <v>6.215104961506188E-3</v>
      </c>
      <c r="BL318" s="137">
        <f>$W318*AQ318+$L318*Summary_LCIA!AH$32</f>
        <v>0.89847050786280025</v>
      </c>
      <c r="BM318" s="137">
        <f>$W318*AR318+$L318*Summary_LCIA!AI$32</f>
        <v>0.31270879737505686</v>
      </c>
    </row>
    <row r="319" spans="1:65" x14ac:dyDescent="0.25">
      <c r="A319" s="149">
        <v>159</v>
      </c>
      <c r="B319" s="149">
        <v>16</v>
      </c>
      <c r="C319" s="61">
        <v>37.871523000000003</v>
      </c>
      <c r="D319" s="61">
        <v>-122.273042</v>
      </c>
      <c r="E319" s="61" t="s">
        <v>265</v>
      </c>
      <c r="F319" s="149">
        <v>99</v>
      </c>
      <c r="G319" s="61" t="s">
        <v>623</v>
      </c>
      <c r="H319" s="61" t="s">
        <v>624</v>
      </c>
      <c r="I319" s="61">
        <v>37.712569000000002</v>
      </c>
      <c r="J319" s="61">
        <v>-122.21974299999999</v>
      </c>
      <c r="K319" s="61">
        <v>40.270393179999999</v>
      </c>
      <c r="L319" s="61">
        <v>24.324000000000002</v>
      </c>
      <c r="M319" s="61" t="s">
        <v>617</v>
      </c>
      <c r="N319" s="149">
        <v>15</v>
      </c>
      <c r="O319" s="149">
        <v>16</v>
      </c>
      <c r="P319" s="61" t="s">
        <v>565</v>
      </c>
      <c r="Q319" s="61" t="s">
        <v>556</v>
      </c>
      <c r="R319" s="61">
        <v>39.856096299999997</v>
      </c>
      <c r="S319" s="61">
        <v>-104.6737376</v>
      </c>
      <c r="T319" s="61">
        <v>2003.758</v>
      </c>
      <c r="U319" s="61" t="s">
        <v>617</v>
      </c>
      <c r="V319" s="61" t="s">
        <v>569</v>
      </c>
      <c r="W319" s="61" cm="1">
        <f t="array" ref="W319">getDistance(I319,J319,R319,S319)*SA!$B$12</f>
        <v>1540.5141112510541</v>
      </c>
      <c r="Y319" s="137">
        <f>Transportation_LCIA!C$61*($W319^Transportation_LCIA!C$60)+Transportation_LCIA!C$62</f>
        <v>0.19792655707655432</v>
      </c>
      <c r="Z319" s="137">
        <f>Transportation_LCIA!D$61*($W319^Transportation_LCIA!D$60)+Transportation_LCIA!D$62</f>
        <v>1.9862359467891511</v>
      </c>
      <c r="AA319" s="137">
        <f>Transportation_LCIA!E$61*($W319^Transportation_LCIA!E$60)+Transportation_LCIA!E$62</f>
        <v>8.5617759378439932E-4</v>
      </c>
      <c r="AB319" s="137">
        <f>Transportation_LCIA!F$61*($W319^Transportation_LCIA!F$60)+Transportation_LCIA!F$62</f>
        <v>0.19792655707655432</v>
      </c>
      <c r="AC319" s="137">
        <f>Transportation_LCIA!G$61*($W319^Transportation_LCIA!G$60)+Transportation_LCIA!G$62</f>
        <v>4.6520039210562858E-2</v>
      </c>
      <c r="AD319" s="137">
        <f>Transportation_LCIA!H$61*($W319^Transportation_LCIA!H$60)+Transportation_LCIA!H$62</f>
        <v>2.1374842864686517E-4</v>
      </c>
      <c r="AE319" s="137">
        <f>Transportation_LCIA!I$61*($W319^Transportation_LCIA!I$60)+Transportation_LCIA!I$62</f>
        <v>4.3454704380997702E-6</v>
      </c>
      <c r="AF319" s="137">
        <f>Transportation_LCIA!J$61*($W319^Transportation_LCIA!J$60)+Transportation_LCIA!J$62</f>
        <v>6.4290844934420813E-3</v>
      </c>
      <c r="AG319" s="137">
        <f>Transportation_LCIA!K$61*($W319^Transportation_LCIA!K$60)+Transportation_LCIA!K$62</f>
        <v>9.6941777379801232E-3</v>
      </c>
      <c r="AH319" s="137">
        <f>Transportation_LCIA!L$61*($W319^Transportation_LCIA!L$60)+Transportation_LCIA!L$62</f>
        <v>1.8204986406811593E-4</v>
      </c>
      <c r="AI319" s="137">
        <f>Transportation_LCIA!M$61*($W319^Transportation_LCIA!M$60)+Transportation_LCIA!M$62</f>
        <v>2.0882194854566214E-4</v>
      </c>
      <c r="AJ319" s="137">
        <f>Transportation_LCIA!N$61*($W319^Transportation_LCIA!N$60)+Transportation_LCIA!N$62</f>
        <v>7.7774072603392945E-4</v>
      </c>
      <c r="AK319" s="137">
        <f>Transportation_LCIA!O$61*($W319^Transportation_LCIA!O$60)+Transportation_LCIA!O$62</f>
        <v>4.9100169370747042E-5</v>
      </c>
      <c r="AL319" s="137">
        <f>Transportation_LCIA!P$61*($W319^Transportation_LCIA!P$60)+Transportation_LCIA!P$62</f>
        <v>2.3772309046564421E-8</v>
      </c>
      <c r="AM319" s="137">
        <f>Transportation_LCIA!Q$61*($W319^Transportation_LCIA!Q$60)+Transportation_LCIA!Q$62</f>
        <v>7.2369765595730283E-5</v>
      </c>
      <c r="AN319" s="137">
        <f>Transportation_LCIA!R$61*($W319^Transportation_LCIA!R$60)+Transportation_LCIA!R$62</f>
        <v>2.0923575159105117E-4</v>
      </c>
      <c r="AO319" s="137">
        <f>Transportation_LCIA!S$61*($W319^Transportation_LCIA!S$60)+Transportation_LCIA!S$62</f>
        <v>3.2265640835120827E-6</v>
      </c>
      <c r="AP319" s="137">
        <f>Transportation_LCIA!T$61*($W319^Transportation_LCIA!T$60)+Transportation_LCIA!T$62</f>
        <v>3.2265640835120827E-6</v>
      </c>
      <c r="AQ319" s="137">
        <f>Transportation_LCIA!U$61*($W319^Transportation_LCIA!U$60)+Transportation_LCIA!U$62</f>
        <v>4.4580191537815767E-4</v>
      </c>
      <c r="AR319" s="137">
        <f>Transportation_LCIA!V$61*($W319^Transportation_LCIA!V$60)+Transportation_LCIA!V$62</f>
        <v>1.8828115436054458E-4</v>
      </c>
      <c r="AT319" s="137">
        <f>$W319*Y319+$L319*Summary_LCIA!H$32</f>
        <v>313.17394936776913</v>
      </c>
      <c r="AU319" s="137">
        <f>$W319*Z319+$L319*Summary_LCIA!Q$32</f>
        <v>3180.3754750350772</v>
      </c>
      <c r="AV319" s="137">
        <f>$W319*AA319+$L319*Summary_LCIA!R$32</f>
        <v>1.4470341193618401</v>
      </c>
      <c r="AW319" s="137">
        <f>$W319*AB319+$L319*Summary_LCIA!S$32</f>
        <v>313.06643728776908</v>
      </c>
      <c r="AX319" s="137">
        <f>$W319*AC319+$L319*Summary_LCIA!T$32</f>
        <v>74.337984459824426</v>
      </c>
      <c r="AY319" s="137">
        <f>$W319*AD319+$L319*Summary_LCIA!U$32</f>
        <v>0.76502260658823484</v>
      </c>
      <c r="AZ319" s="137">
        <f>$W319*AE319+$L319*Summary_LCIA!V$32</f>
        <v>7.8559970939169957E-3</v>
      </c>
      <c r="BA319" s="137">
        <f>$W319*AF319+$L319*Summary_LCIA!W$32</f>
        <v>11.776337988572863</v>
      </c>
      <c r="BB319" s="137">
        <f>$W319*AG319+$L319*Summary_LCIA!X$32</f>
        <v>15.488118322334206</v>
      </c>
      <c r="BC319" s="137">
        <f>$W319*AH319+$L319*Summary_LCIA!Y$32</f>
        <v>0.65946695254826881</v>
      </c>
      <c r="BD319" s="137">
        <f>$W319*AI319+$L319*Summary_LCIA!Z$32</f>
        <v>0.32269066138953406</v>
      </c>
      <c r="BE319" s="137">
        <f>$W319*AJ319+$L319*Summary_LCIA!AA$32</f>
        <v>1.7662319073499084</v>
      </c>
      <c r="BF319" s="137">
        <f>$W319*AK319+$L319*Summary_LCIA!AB$32</f>
        <v>7.510868112845262E-2</v>
      </c>
      <c r="BG319" s="137">
        <f>$W319*AL319+$L319*Summary_LCIA!AC$32</f>
        <v>3.7810631959253583E-5</v>
      </c>
      <c r="BH319" s="137">
        <f>$W319*AM319+$L319*Summary_LCIA!AD$32</f>
        <v>0.12148478208815355</v>
      </c>
      <c r="BI319" s="137">
        <f>$W319*AN319+$L319*Summary_LCIA!AE$32</f>
        <v>0.34388485402423452</v>
      </c>
      <c r="BJ319" s="137">
        <f>$W319*AO319+$L319*Summary_LCIA!AF$32</f>
        <v>2.5534563581506194E-2</v>
      </c>
      <c r="BK319" s="137">
        <f>$W319*AP319+$L319*Summary_LCIA!AG$32</f>
        <v>6.215104961506188E-3</v>
      </c>
      <c r="BL319" s="137">
        <f>$W319*AQ319+$L319*Summary_LCIA!AH$32</f>
        <v>0.89847050786280025</v>
      </c>
      <c r="BM319" s="137">
        <f>$W319*AR319+$L319*Summary_LCIA!AI$32</f>
        <v>0.31270879737505686</v>
      </c>
    </row>
    <row r="320" spans="1:65" x14ac:dyDescent="0.25">
      <c r="A320" s="149">
        <v>360</v>
      </c>
      <c r="B320" s="149">
        <v>16</v>
      </c>
      <c r="C320" s="61">
        <v>37.92633</v>
      </c>
      <c r="D320" s="61">
        <v>-122.38489</v>
      </c>
      <c r="E320" s="61" t="s">
        <v>265</v>
      </c>
      <c r="F320" s="149">
        <v>99</v>
      </c>
      <c r="G320" s="61" t="s">
        <v>623</v>
      </c>
      <c r="H320" s="61" t="s">
        <v>624</v>
      </c>
      <c r="I320" s="61">
        <v>37.712569000000002</v>
      </c>
      <c r="J320" s="61">
        <v>-122.21974299999999</v>
      </c>
      <c r="K320" s="61">
        <v>60.952904539999999</v>
      </c>
      <c r="L320" s="61">
        <v>37.832000000000001</v>
      </c>
      <c r="M320" s="61" t="s">
        <v>617</v>
      </c>
      <c r="N320" s="149">
        <v>15</v>
      </c>
      <c r="O320" s="149">
        <v>16</v>
      </c>
      <c r="P320" s="61" t="s">
        <v>565</v>
      </c>
      <c r="Q320" s="61" t="s">
        <v>556</v>
      </c>
      <c r="R320" s="61">
        <v>39.856096299999997</v>
      </c>
      <c r="S320" s="61">
        <v>-104.6737376</v>
      </c>
      <c r="T320" s="61">
        <v>2003.8150000000001</v>
      </c>
      <c r="U320" s="61" t="s">
        <v>617</v>
      </c>
      <c r="V320" s="61" t="s">
        <v>569</v>
      </c>
      <c r="W320" s="61" cm="1">
        <f t="array" ref="W320">getDistance(I320,J320,R320,S320)*SA!$B$12</f>
        <v>1540.5141112510541</v>
      </c>
      <c r="Y320" s="137">
        <f>Transportation_LCIA!C$61*($W320^Transportation_LCIA!C$60)+Transportation_LCIA!C$62</f>
        <v>0.19792655707655432</v>
      </c>
      <c r="Z320" s="137">
        <f>Transportation_LCIA!D$61*($W320^Transportation_LCIA!D$60)+Transportation_LCIA!D$62</f>
        <v>1.9862359467891511</v>
      </c>
      <c r="AA320" s="137">
        <f>Transportation_LCIA!E$61*($W320^Transportation_LCIA!E$60)+Transportation_LCIA!E$62</f>
        <v>8.5617759378439932E-4</v>
      </c>
      <c r="AB320" s="137">
        <f>Transportation_LCIA!F$61*($W320^Transportation_LCIA!F$60)+Transportation_LCIA!F$62</f>
        <v>0.19792655707655432</v>
      </c>
      <c r="AC320" s="137">
        <f>Transportation_LCIA!G$61*($W320^Transportation_LCIA!G$60)+Transportation_LCIA!G$62</f>
        <v>4.6520039210562858E-2</v>
      </c>
      <c r="AD320" s="137">
        <f>Transportation_LCIA!H$61*($W320^Transportation_LCIA!H$60)+Transportation_LCIA!H$62</f>
        <v>2.1374842864686517E-4</v>
      </c>
      <c r="AE320" s="137">
        <f>Transportation_LCIA!I$61*($W320^Transportation_LCIA!I$60)+Transportation_LCIA!I$62</f>
        <v>4.3454704380997702E-6</v>
      </c>
      <c r="AF320" s="137">
        <f>Transportation_LCIA!J$61*($W320^Transportation_LCIA!J$60)+Transportation_LCIA!J$62</f>
        <v>6.4290844934420813E-3</v>
      </c>
      <c r="AG320" s="137">
        <f>Transportation_LCIA!K$61*($W320^Transportation_LCIA!K$60)+Transportation_LCIA!K$62</f>
        <v>9.6941777379801232E-3</v>
      </c>
      <c r="AH320" s="137">
        <f>Transportation_LCIA!L$61*($W320^Transportation_LCIA!L$60)+Transportation_LCIA!L$62</f>
        <v>1.8204986406811593E-4</v>
      </c>
      <c r="AI320" s="137">
        <f>Transportation_LCIA!M$61*($W320^Transportation_LCIA!M$60)+Transportation_LCIA!M$62</f>
        <v>2.0882194854566214E-4</v>
      </c>
      <c r="AJ320" s="137">
        <f>Transportation_LCIA!N$61*($W320^Transportation_LCIA!N$60)+Transportation_LCIA!N$62</f>
        <v>7.7774072603392945E-4</v>
      </c>
      <c r="AK320" s="137">
        <f>Transportation_LCIA!O$61*($W320^Transportation_LCIA!O$60)+Transportation_LCIA!O$62</f>
        <v>4.9100169370747042E-5</v>
      </c>
      <c r="AL320" s="137">
        <f>Transportation_LCIA!P$61*($W320^Transportation_LCIA!P$60)+Transportation_LCIA!P$62</f>
        <v>2.3772309046564421E-8</v>
      </c>
      <c r="AM320" s="137">
        <f>Transportation_LCIA!Q$61*($W320^Transportation_LCIA!Q$60)+Transportation_LCIA!Q$62</f>
        <v>7.2369765595730283E-5</v>
      </c>
      <c r="AN320" s="137">
        <f>Transportation_LCIA!R$61*($W320^Transportation_LCIA!R$60)+Transportation_LCIA!R$62</f>
        <v>2.0923575159105117E-4</v>
      </c>
      <c r="AO320" s="137">
        <f>Transportation_LCIA!S$61*($W320^Transportation_LCIA!S$60)+Transportation_LCIA!S$62</f>
        <v>3.2265640835120827E-6</v>
      </c>
      <c r="AP320" s="137">
        <f>Transportation_LCIA!T$61*($W320^Transportation_LCIA!T$60)+Transportation_LCIA!T$62</f>
        <v>3.2265640835120827E-6</v>
      </c>
      <c r="AQ320" s="137">
        <f>Transportation_LCIA!U$61*($W320^Transportation_LCIA!U$60)+Transportation_LCIA!U$62</f>
        <v>4.4580191537815767E-4</v>
      </c>
      <c r="AR320" s="137">
        <f>Transportation_LCIA!V$61*($W320^Transportation_LCIA!V$60)+Transportation_LCIA!V$62</f>
        <v>1.8828115436054458E-4</v>
      </c>
      <c r="AT320" s="137">
        <f>$W320*Y320+$L320*Summary_LCIA!H$32</f>
        <v>317.76396776776909</v>
      </c>
      <c r="AU320" s="137">
        <f>$W320*Z320+$L320*Summary_LCIA!Q$32</f>
        <v>3247.3218042840408</v>
      </c>
      <c r="AV320" s="137">
        <f>$W320*AA320+$L320*Summary_LCIA!R$32</f>
        <v>1.5181618441618401</v>
      </c>
      <c r="AW320" s="137">
        <f>$W320*AB320+$L320*Summary_LCIA!S$32</f>
        <v>317.59675032776909</v>
      </c>
      <c r="AX320" s="137">
        <f>$W320*AC320+$L320*Summary_LCIA!T$32</f>
        <v>75.822513659824423</v>
      </c>
      <c r="AY320" s="137">
        <f>$W320*AD320+$L320*Summary_LCIA!U$32</f>
        <v>1.0070049185882348</v>
      </c>
      <c r="AZ320" s="137">
        <f>$W320*AE320+$L320*Summary_LCIA!V$32</f>
        <v>8.5011526819169965E-3</v>
      </c>
      <c r="BA320" s="137">
        <f>$W320*AF320+$L320*Summary_LCIA!W$32</f>
        <v>12.816062256572863</v>
      </c>
      <c r="BB320" s="137">
        <f>$W320*AG320+$L320*Summary_LCIA!X$32</f>
        <v>15.795830562334205</v>
      </c>
      <c r="BC320" s="137">
        <f>$W320*AH320+$L320*Summary_LCIA!Y$32</f>
        <v>0.86994860854826883</v>
      </c>
      <c r="BD320" s="137">
        <f>$W320*AI320+$L320*Summary_LCIA!Z$32</f>
        <v>0.32324461096153406</v>
      </c>
      <c r="BE320" s="137">
        <f>$W320*AJ320+$L320*Summary_LCIA!AA$32</f>
        <v>2.0817247553499083</v>
      </c>
      <c r="BF320" s="137">
        <f>$W320*AK320+$L320*Summary_LCIA!AB$32</f>
        <v>7.4813896044452613E-2</v>
      </c>
      <c r="BG320" s="137">
        <f>$W320*AL320+$L320*Summary_LCIA!AC$32</f>
        <v>3.8470957031253585E-5</v>
      </c>
      <c r="BH320" s="137">
        <f>$W320*AM320+$L320*Summary_LCIA!AD$32</f>
        <v>0.12703711040815355</v>
      </c>
      <c r="BI320" s="137">
        <f>$W320*AN320+$L320*Summary_LCIA!AE$32</f>
        <v>0.35585469806423448</v>
      </c>
      <c r="BJ320" s="137">
        <f>$W320*AO320+$L320*Summary_LCIA!AF$32</f>
        <v>3.6954496941506189E-2</v>
      </c>
      <c r="BK320" s="137">
        <f>$W320*AP320+$L320*Summary_LCIA!AG$32</f>
        <v>6.9062417815061875E-3</v>
      </c>
      <c r="BL320" s="137">
        <f>$W320*AQ320+$L320*Summary_LCIA!AH$32</f>
        <v>1.0160387366628001</v>
      </c>
      <c r="BM320" s="137">
        <f>$W320*AR320+$L320*Summary_LCIA!AI$32</f>
        <v>0.3252921747750569</v>
      </c>
    </row>
    <row r="321" spans="1:65" x14ac:dyDescent="0.25">
      <c r="A321" s="149">
        <v>326</v>
      </c>
      <c r="B321" s="149">
        <v>16</v>
      </c>
      <c r="C321" s="61">
        <v>37.827178000000004</v>
      </c>
      <c r="D321" s="61">
        <v>-122.291308</v>
      </c>
      <c r="E321" s="61" t="s">
        <v>265</v>
      </c>
      <c r="F321" s="149">
        <v>99</v>
      </c>
      <c r="G321" s="61" t="s">
        <v>623</v>
      </c>
      <c r="H321" s="61" t="s">
        <v>624</v>
      </c>
      <c r="I321" s="61">
        <v>37.712569000000002</v>
      </c>
      <c r="J321" s="61">
        <v>-122.21974299999999</v>
      </c>
      <c r="K321" s="61">
        <v>31.383945929999999</v>
      </c>
      <c r="L321" s="61">
        <v>20.917000000000002</v>
      </c>
      <c r="M321" s="61" t="s">
        <v>617</v>
      </c>
      <c r="N321" s="149">
        <v>15</v>
      </c>
      <c r="O321" s="149">
        <v>16</v>
      </c>
      <c r="P321" s="61" t="s">
        <v>565</v>
      </c>
      <c r="Q321" s="61" t="s">
        <v>556</v>
      </c>
      <c r="R321" s="61">
        <v>39.856096299999997</v>
      </c>
      <c r="S321" s="61">
        <v>-104.6737376</v>
      </c>
      <c r="T321" s="61">
        <v>2005.617</v>
      </c>
      <c r="U321" s="61" t="s">
        <v>617</v>
      </c>
      <c r="V321" s="61" t="s">
        <v>569</v>
      </c>
      <c r="W321" s="61" cm="1">
        <f t="array" ref="W321">getDistance(I321,J321,R321,S321)*SA!$B$12</f>
        <v>1540.5141112510541</v>
      </c>
      <c r="Y321" s="137">
        <f>Transportation_LCIA!C$61*($W321^Transportation_LCIA!C$60)+Transportation_LCIA!C$62</f>
        <v>0.19792655707655432</v>
      </c>
      <c r="Z321" s="137">
        <f>Transportation_LCIA!D$61*($W321^Transportation_LCIA!D$60)+Transportation_LCIA!D$62</f>
        <v>1.9862359467891511</v>
      </c>
      <c r="AA321" s="137">
        <f>Transportation_LCIA!E$61*($W321^Transportation_LCIA!E$60)+Transportation_LCIA!E$62</f>
        <v>8.5617759378439932E-4</v>
      </c>
      <c r="AB321" s="137">
        <f>Transportation_LCIA!F$61*($W321^Transportation_LCIA!F$60)+Transportation_LCIA!F$62</f>
        <v>0.19792655707655432</v>
      </c>
      <c r="AC321" s="137">
        <f>Transportation_LCIA!G$61*($W321^Transportation_LCIA!G$60)+Transportation_LCIA!G$62</f>
        <v>4.6520039210562858E-2</v>
      </c>
      <c r="AD321" s="137">
        <f>Transportation_LCIA!H$61*($W321^Transportation_LCIA!H$60)+Transportation_LCIA!H$62</f>
        <v>2.1374842864686517E-4</v>
      </c>
      <c r="AE321" s="137">
        <f>Transportation_LCIA!I$61*($W321^Transportation_LCIA!I$60)+Transportation_LCIA!I$62</f>
        <v>4.3454704380997702E-6</v>
      </c>
      <c r="AF321" s="137">
        <f>Transportation_LCIA!J$61*($W321^Transportation_LCIA!J$60)+Transportation_LCIA!J$62</f>
        <v>6.4290844934420813E-3</v>
      </c>
      <c r="AG321" s="137">
        <f>Transportation_LCIA!K$61*($W321^Transportation_LCIA!K$60)+Transportation_LCIA!K$62</f>
        <v>9.6941777379801232E-3</v>
      </c>
      <c r="AH321" s="137">
        <f>Transportation_LCIA!L$61*($W321^Transportation_LCIA!L$60)+Transportation_LCIA!L$62</f>
        <v>1.8204986406811593E-4</v>
      </c>
      <c r="AI321" s="137">
        <f>Transportation_LCIA!M$61*($W321^Transportation_LCIA!M$60)+Transportation_LCIA!M$62</f>
        <v>2.0882194854566214E-4</v>
      </c>
      <c r="AJ321" s="137">
        <f>Transportation_LCIA!N$61*($W321^Transportation_LCIA!N$60)+Transportation_LCIA!N$62</f>
        <v>7.7774072603392945E-4</v>
      </c>
      <c r="AK321" s="137">
        <f>Transportation_LCIA!O$61*($W321^Transportation_LCIA!O$60)+Transportation_LCIA!O$62</f>
        <v>4.9100169370747042E-5</v>
      </c>
      <c r="AL321" s="137">
        <f>Transportation_LCIA!P$61*($W321^Transportation_LCIA!P$60)+Transportation_LCIA!P$62</f>
        <v>2.3772309046564421E-8</v>
      </c>
      <c r="AM321" s="137">
        <f>Transportation_LCIA!Q$61*($W321^Transportation_LCIA!Q$60)+Transportation_LCIA!Q$62</f>
        <v>7.2369765595730283E-5</v>
      </c>
      <c r="AN321" s="137">
        <f>Transportation_LCIA!R$61*($W321^Transportation_LCIA!R$60)+Transportation_LCIA!R$62</f>
        <v>2.0923575159105117E-4</v>
      </c>
      <c r="AO321" s="137">
        <f>Transportation_LCIA!S$61*($W321^Transportation_LCIA!S$60)+Transportation_LCIA!S$62</f>
        <v>3.2265640835120827E-6</v>
      </c>
      <c r="AP321" s="137">
        <f>Transportation_LCIA!T$61*($W321^Transportation_LCIA!T$60)+Transportation_LCIA!T$62</f>
        <v>3.2265640835120827E-6</v>
      </c>
      <c r="AQ321" s="137">
        <f>Transportation_LCIA!U$61*($W321^Transportation_LCIA!U$60)+Transportation_LCIA!U$62</f>
        <v>4.4580191537815767E-4</v>
      </c>
      <c r="AR321" s="137">
        <f>Transportation_LCIA!V$61*($W321^Transportation_LCIA!V$60)+Transportation_LCIA!V$62</f>
        <v>1.8828115436054458E-4</v>
      </c>
      <c r="AT321" s="137">
        <f>$W321*Y321+$L321*Summary_LCIA!H$32</f>
        <v>312.01625076776912</v>
      </c>
      <c r="AU321" s="137">
        <f>$W321*Z321+$L321*Summary_LCIA!Q$32</f>
        <v>3163.4902112098462</v>
      </c>
      <c r="AV321" s="137">
        <f>$W321*AA321+$L321*Summary_LCIA!R$32</f>
        <v>1.4290942201618402</v>
      </c>
      <c r="AW321" s="137">
        <f>$W321*AB321+$L321*Summary_LCIA!S$32</f>
        <v>311.92379762776909</v>
      </c>
      <c r="AX321" s="137">
        <f>$W321*AC321+$L321*Summary_LCIA!T$32</f>
        <v>73.963555159824423</v>
      </c>
      <c r="AY321" s="137">
        <f>$W321*AD321+$L321*Summary_LCIA!U$32</f>
        <v>0.70398960858823489</v>
      </c>
      <c r="AZ321" s="137">
        <f>$W321*AE321+$L321*Summary_LCIA!V$32</f>
        <v>7.6932753669169962E-3</v>
      </c>
      <c r="BA321" s="137">
        <f>$W321*AF321+$L321*Summary_LCIA!W$32</f>
        <v>11.514097791572862</v>
      </c>
      <c r="BB321" s="137">
        <f>$W321*AG321+$L321*Summary_LCIA!X$32</f>
        <v>15.410506862334204</v>
      </c>
      <c r="BC321" s="137">
        <f>$W321*AH321+$L321*Summary_LCIA!Y$32</f>
        <v>0.60637907854826878</v>
      </c>
      <c r="BD321" s="137">
        <f>$W321*AI321+$L321*Summary_LCIA!Z$32</f>
        <v>0.32255094372653409</v>
      </c>
      <c r="BE321" s="137">
        <f>$W321*AJ321+$L321*Summary_LCIA!AA$32</f>
        <v>1.6866580153499084</v>
      </c>
      <c r="BF321" s="137">
        <f>$W321*AK321+$L321*Summary_LCIA!AB$32</f>
        <v>7.5183032089452623E-2</v>
      </c>
      <c r="BG321" s="137">
        <f>$W321*AL321+$L321*Summary_LCIA!AC$32</f>
        <v>3.7644084171253586E-5</v>
      </c>
      <c r="BH321" s="137">
        <f>$W321*AM321+$L321*Summary_LCIA!AD$32</f>
        <v>0.12008436880815355</v>
      </c>
      <c r="BI321" s="137">
        <f>$W321*AN321+$L321*Summary_LCIA!AE$32</f>
        <v>0.34086580911423447</v>
      </c>
      <c r="BJ321" s="137">
        <f>$W321*AO321+$L321*Summary_LCIA!AF$32</f>
        <v>2.2654217641506193E-2</v>
      </c>
      <c r="BK321" s="137">
        <f>$W321*AP321+$L321*Summary_LCIA!AG$32</f>
        <v>6.0407858065061881E-3</v>
      </c>
      <c r="BL321" s="137">
        <f>$W321*AQ321+$L321*Summary_LCIA!AH$32</f>
        <v>0.8688173426628002</v>
      </c>
      <c r="BM321" s="137">
        <f>$W321*AR321+$L321*Summary_LCIA!AI$32</f>
        <v>0.30953500652505689</v>
      </c>
    </row>
    <row r="322" spans="1:65" x14ac:dyDescent="0.25">
      <c r="A322" s="149">
        <v>327</v>
      </c>
      <c r="B322" s="149">
        <v>16</v>
      </c>
      <c r="C322" s="61">
        <v>37.827178000000004</v>
      </c>
      <c r="D322" s="61">
        <v>-122.291308</v>
      </c>
      <c r="E322" s="61" t="s">
        <v>265</v>
      </c>
      <c r="F322" s="149">
        <v>99</v>
      </c>
      <c r="G322" s="61" t="s">
        <v>623</v>
      </c>
      <c r="H322" s="61" t="s">
        <v>624</v>
      </c>
      <c r="I322" s="61">
        <v>37.712569000000002</v>
      </c>
      <c r="J322" s="61">
        <v>-122.21974299999999</v>
      </c>
      <c r="K322" s="61">
        <v>31.383945929999999</v>
      </c>
      <c r="L322" s="61">
        <v>20.917000000000002</v>
      </c>
      <c r="M322" s="61" t="s">
        <v>617</v>
      </c>
      <c r="N322" s="149">
        <v>15</v>
      </c>
      <c r="O322" s="149">
        <v>16</v>
      </c>
      <c r="P322" s="61" t="s">
        <v>565</v>
      </c>
      <c r="Q322" s="61" t="s">
        <v>556</v>
      </c>
      <c r="R322" s="61">
        <v>39.856096299999997</v>
      </c>
      <c r="S322" s="61">
        <v>-104.6737376</v>
      </c>
      <c r="T322" s="61">
        <v>2005.617</v>
      </c>
      <c r="U322" s="61" t="s">
        <v>617</v>
      </c>
      <c r="V322" s="61" t="s">
        <v>569</v>
      </c>
      <c r="W322" s="61" cm="1">
        <f t="array" ref="W322">getDistance(I322,J322,R322,S322)*SA!$B$12</f>
        <v>1540.5141112510541</v>
      </c>
      <c r="Y322" s="137">
        <f>Transportation_LCIA!C$61*($W322^Transportation_LCIA!C$60)+Transportation_LCIA!C$62</f>
        <v>0.19792655707655432</v>
      </c>
      <c r="Z322" s="137">
        <f>Transportation_LCIA!D$61*($W322^Transportation_LCIA!D$60)+Transportation_LCIA!D$62</f>
        <v>1.9862359467891511</v>
      </c>
      <c r="AA322" s="137">
        <f>Transportation_LCIA!E$61*($W322^Transportation_LCIA!E$60)+Transportation_LCIA!E$62</f>
        <v>8.5617759378439932E-4</v>
      </c>
      <c r="AB322" s="137">
        <f>Transportation_LCIA!F$61*($W322^Transportation_LCIA!F$60)+Transportation_LCIA!F$62</f>
        <v>0.19792655707655432</v>
      </c>
      <c r="AC322" s="137">
        <f>Transportation_LCIA!G$61*($W322^Transportation_LCIA!G$60)+Transportation_LCIA!G$62</f>
        <v>4.6520039210562858E-2</v>
      </c>
      <c r="AD322" s="137">
        <f>Transportation_LCIA!H$61*($W322^Transportation_LCIA!H$60)+Transportation_LCIA!H$62</f>
        <v>2.1374842864686517E-4</v>
      </c>
      <c r="AE322" s="137">
        <f>Transportation_LCIA!I$61*($W322^Transportation_LCIA!I$60)+Transportation_LCIA!I$62</f>
        <v>4.3454704380997702E-6</v>
      </c>
      <c r="AF322" s="137">
        <f>Transportation_LCIA!J$61*($W322^Transportation_LCIA!J$60)+Transportation_LCIA!J$62</f>
        <v>6.4290844934420813E-3</v>
      </c>
      <c r="AG322" s="137">
        <f>Transportation_LCIA!K$61*($W322^Transportation_LCIA!K$60)+Transportation_LCIA!K$62</f>
        <v>9.6941777379801232E-3</v>
      </c>
      <c r="AH322" s="137">
        <f>Transportation_LCIA!L$61*($W322^Transportation_LCIA!L$60)+Transportation_LCIA!L$62</f>
        <v>1.8204986406811593E-4</v>
      </c>
      <c r="AI322" s="137">
        <f>Transportation_LCIA!M$61*($W322^Transportation_LCIA!M$60)+Transportation_LCIA!M$62</f>
        <v>2.0882194854566214E-4</v>
      </c>
      <c r="AJ322" s="137">
        <f>Transportation_LCIA!N$61*($W322^Transportation_LCIA!N$60)+Transportation_LCIA!N$62</f>
        <v>7.7774072603392945E-4</v>
      </c>
      <c r="AK322" s="137">
        <f>Transportation_LCIA!O$61*($W322^Transportation_LCIA!O$60)+Transportation_LCIA!O$62</f>
        <v>4.9100169370747042E-5</v>
      </c>
      <c r="AL322" s="137">
        <f>Transportation_LCIA!P$61*($W322^Transportation_LCIA!P$60)+Transportation_LCIA!P$62</f>
        <v>2.3772309046564421E-8</v>
      </c>
      <c r="AM322" s="137">
        <f>Transportation_LCIA!Q$61*($W322^Transportation_LCIA!Q$60)+Transportation_LCIA!Q$62</f>
        <v>7.2369765595730283E-5</v>
      </c>
      <c r="AN322" s="137">
        <f>Transportation_LCIA!R$61*($W322^Transportation_LCIA!R$60)+Transportation_LCIA!R$62</f>
        <v>2.0923575159105117E-4</v>
      </c>
      <c r="AO322" s="137">
        <f>Transportation_LCIA!S$61*($W322^Transportation_LCIA!S$60)+Transportation_LCIA!S$62</f>
        <v>3.2265640835120827E-6</v>
      </c>
      <c r="AP322" s="137">
        <f>Transportation_LCIA!T$61*($W322^Transportation_LCIA!T$60)+Transportation_LCIA!T$62</f>
        <v>3.2265640835120827E-6</v>
      </c>
      <c r="AQ322" s="137">
        <f>Transportation_LCIA!U$61*($W322^Transportation_LCIA!U$60)+Transportation_LCIA!U$62</f>
        <v>4.4580191537815767E-4</v>
      </c>
      <c r="AR322" s="137">
        <f>Transportation_LCIA!V$61*($W322^Transportation_LCIA!V$60)+Transportation_LCIA!V$62</f>
        <v>1.8828115436054458E-4</v>
      </c>
      <c r="AT322" s="137">
        <f>$W322*Y322+$L322*Summary_LCIA!H$32</f>
        <v>312.01625076776912</v>
      </c>
      <c r="AU322" s="137">
        <f>$W322*Z322+$L322*Summary_LCIA!Q$32</f>
        <v>3163.4902112098462</v>
      </c>
      <c r="AV322" s="137">
        <f>$W322*AA322+$L322*Summary_LCIA!R$32</f>
        <v>1.4290942201618402</v>
      </c>
      <c r="AW322" s="137">
        <f>$W322*AB322+$L322*Summary_LCIA!S$32</f>
        <v>311.92379762776909</v>
      </c>
      <c r="AX322" s="137">
        <f>$W322*AC322+$L322*Summary_LCIA!T$32</f>
        <v>73.963555159824423</v>
      </c>
      <c r="AY322" s="137">
        <f>$W322*AD322+$L322*Summary_LCIA!U$32</f>
        <v>0.70398960858823489</v>
      </c>
      <c r="AZ322" s="137">
        <f>$W322*AE322+$L322*Summary_LCIA!V$32</f>
        <v>7.6932753669169962E-3</v>
      </c>
      <c r="BA322" s="137">
        <f>$W322*AF322+$L322*Summary_LCIA!W$32</f>
        <v>11.514097791572862</v>
      </c>
      <c r="BB322" s="137">
        <f>$W322*AG322+$L322*Summary_LCIA!X$32</f>
        <v>15.410506862334204</v>
      </c>
      <c r="BC322" s="137">
        <f>$W322*AH322+$L322*Summary_LCIA!Y$32</f>
        <v>0.60637907854826878</v>
      </c>
      <c r="BD322" s="137">
        <f>$W322*AI322+$L322*Summary_LCIA!Z$32</f>
        <v>0.32255094372653409</v>
      </c>
      <c r="BE322" s="137">
        <f>$W322*AJ322+$L322*Summary_LCIA!AA$32</f>
        <v>1.6866580153499084</v>
      </c>
      <c r="BF322" s="137">
        <f>$W322*AK322+$L322*Summary_LCIA!AB$32</f>
        <v>7.5183032089452623E-2</v>
      </c>
      <c r="BG322" s="137">
        <f>$W322*AL322+$L322*Summary_LCIA!AC$32</f>
        <v>3.7644084171253586E-5</v>
      </c>
      <c r="BH322" s="137">
        <f>$W322*AM322+$L322*Summary_LCIA!AD$32</f>
        <v>0.12008436880815355</v>
      </c>
      <c r="BI322" s="137">
        <f>$W322*AN322+$L322*Summary_LCIA!AE$32</f>
        <v>0.34086580911423447</v>
      </c>
      <c r="BJ322" s="137">
        <f>$W322*AO322+$L322*Summary_LCIA!AF$32</f>
        <v>2.2654217641506193E-2</v>
      </c>
      <c r="BK322" s="137">
        <f>$W322*AP322+$L322*Summary_LCIA!AG$32</f>
        <v>6.0407858065061881E-3</v>
      </c>
      <c r="BL322" s="137">
        <f>$W322*AQ322+$L322*Summary_LCIA!AH$32</f>
        <v>0.8688173426628002</v>
      </c>
      <c r="BM322" s="137">
        <f>$W322*AR322+$L322*Summary_LCIA!AI$32</f>
        <v>0.30953500652505689</v>
      </c>
    </row>
    <row r="323" spans="1:65" x14ac:dyDescent="0.25">
      <c r="A323" s="149">
        <v>267</v>
      </c>
      <c r="B323" s="149">
        <v>43</v>
      </c>
      <c r="C323" s="61">
        <v>26.301392</v>
      </c>
      <c r="D323" s="61">
        <v>-80.632692000000006</v>
      </c>
      <c r="E323" s="61" t="s">
        <v>265</v>
      </c>
      <c r="F323" s="149">
        <v>79</v>
      </c>
      <c r="G323" s="61" t="s">
        <v>711</v>
      </c>
      <c r="H323" s="61" t="s">
        <v>712</v>
      </c>
      <c r="I323" s="61">
        <v>26.074234000000001</v>
      </c>
      <c r="J323" s="61">
        <v>-80.150602000000006</v>
      </c>
      <c r="K323" s="61">
        <v>58.788354300000002</v>
      </c>
      <c r="L323" s="61">
        <v>65.929000000000002</v>
      </c>
      <c r="M323" s="61" t="s">
        <v>617</v>
      </c>
      <c r="N323" s="149">
        <v>42</v>
      </c>
      <c r="O323" s="149">
        <v>43</v>
      </c>
      <c r="P323" s="61" t="s">
        <v>565</v>
      </c>
      <c r="Q323" s="61" t="s">
        <v>555</v>
      </c>
      <c r="R323" s="61">
        <v>40.6895314</v>
      </c>
      <c r="S323" s="61">
        <v>-74.174462399999996</v>
      </c>
      <c r="T323" s="61">
        <v>2006.537</v>
      </c>
      <c r="U323" s="61" t="s">
        <v>617</v>
      </c>
      <c r="V323" s="61" t="s">
        <v>569</v>
      </c>
      <c r="W323" s="61" cm="1">
        <f t="array" ref="W323">getDistance(I323,J323,R323,S323)*SA!$B$12</f>
        <v>1716.1962139614216</v>
      </c>
      <c r="Y323" s="137">
        <f>Transportation_LCIA!C$61*($W323^Transportation_LCIA!C$60)+Transportation_LCIA!C$62</f>
        <v>0.19047416276416362</v>
      </c>
      <c r="Z323" s="137">
        <f>Transportation_LCIA!D$61*($W323^Transportation_LCIA!D$60)+Transportation_LCIA!D$62</f>
        <v>1.9010961669791748</v>
      </c>
      <c r="AA323" s="137">
        <f>Transportation_LCIA!E$61*($W323^Transportation_LCIA!E$60)+Transportation_LCIA!E$62</f>
        <v>8.0053291966334836E-4</v>
      </c>
      <c r="AB323" s="137">
        <f>Transportation_LCIA!F$61*($W323^Transportation_LCIA!F$60)+Transportation_LCIA!F$62</f>
        <v>0.19047416276416362</v>
      </c>
      <c r="AC323" s="137">
        <f>Transportation_LCIA!G$61*($W323^Transportation_LCIA!G$60)+Transportation_LCIA!G$62</f>
        <v>4.4547821942970287E-2</v>
      </c>
      <c r="AD323" s="137">
        <f>Transportation_LCIA!H$61*($W323^Transportation_LCIA!H$60)+Transportation_LCIA!H$62</f>
        <v>2.016568976782098E-4</v>
      </c>
      <c r="AE323" s="137">
        <f>Transportation_LCIA!I$61*($W323^Transportation_LCIA!I$60)+Transportation_LCIA!I$62</f>
        <v>4.0468165124325371E-6</v>
      </c>
      <c r="AF323" s="137">
        <f>Transportation_LCIA!J$61*($W323^Transportation_LCIA!J$60)+Transportation_LCIA!J$62</f>
        <v>5.9898000392593085E-3</v>
      </c>
      <c r="AG323" s="137">
        <f>Transportation_LCIA!K$61*($W323^Transportation_LCIA!K$60)+Transportation_LCIA!K$62</f>
        <v>9.2387159995186881E-3</v>
      </c>
      <c r="AH323" s="137">
        <f>Transportation_LCIA!L$61*($W323^Transportation_LCIA!L$60)+Transportation_LCIA!L$62</f>
        <v>1.7099368687119185E-4</v>
      </c>
      <c r="AI323" s="137">
        <f>Transportation_LCIA!M$61*($W323^Transportation_LCIA!M$60)+Transportation_LCIA!M$62</f>
        <v>2.0215303239330391E-4</v>
      </c>
      <c r="AJ323" s="137">
        <f>Transportation_LCIA!N$61*($W323^Transportation_LCIA!N$60)+Transportation_LCIA!N$62</f>
        <v>7.3702551982918782E-4</v>
      </c>
      <c r="AK323" s="137">
        <f>Transportation_LCIA!O$61*($W323^Transportation_LCIA!O$60)+Transportation_LCIA!O$62</f>
        <v>4.7005658970535678E-5</v>
      </c>
      <c r="AL323" s="137">
        <f>Transportation_LCIA!P$61*($W323^Transportation_LCIA!P$60)+Transportation_LCIA!P$62</f>
        <v>2.2763696942028804E-8</v>
      </c>
      <c r="AM323" s="137">
        <f>Transportation_LCIA!Q$61*($W323^Transportation_LCIA!Q$60)+Transportation_LCIA!Q$62</f>
        <v>6.8059376564174625E-5</v>
      </c>
      <c r="AN323" s="137">
        <f>Transportation_LCIA!R$61*($W323^Transportation_LCIA!R$60)+Transportation_LCIA!R$62</f>
        <v>1.9492099022336534E-4</v>
      </c>
      <c r="AO323" s="137">
        <f>Transportation_LCIA!S$61*($W323^Transportation_LCIA!S$60)+Transportation_LCIA!S$62</f>
        <v>3.0232342334406749E-6</v>
      </c>
      <c r="AP323" s="137">
        <f>Transportation_LCIA!T$61*($W323^Transportation_LCIA!T$60)+Transportation_LCIA!T$62</f>
        <v>3.0232342334406749E-6</v>
      </c>
      <c r="AQ323" s="137">
        <f>Transportation_LCIA!U$61*($W323^Transportation_LCIA!U$60)+Transportation_LCIA!U$62</f>
        <v>4.1452240680880801E-4</v>
      </c>
      <c r="AR323" s="137">
        <f>Transportation_LCIA!V$61*($W323^Transportation_LCIA!V$60)+Transportation_LCIA!V$62</f>
        <v>1.7710980439417036E-4</v>
      </c>
      <c r="AT323" s="137">
        <f>$W323*Y323+$L323*Summary_LCIA!H$32</f>
        <v>349.29371119332916</v>
      </c>
      <c r="AU323" s="137">
        <f>$W323*Z323+$L323*Summary_LCIA!Q$32</f>
        <v>3589.4014931434872</v>
      </c>
      <c r="AV323" s="137">
        <f>$W323*AA323+$L323*Summary_LCIA!R$32</f>
        <v>1.7210273082777214</v>
      </c>
      <c r="AW323" s="137">
        <f>$W323*AB323+$L323*Summary_LCIA!S$32</f>
        <v>349.00230501332919</v>
      </c>
      <c r="AX323" s="137">
        <f>$W323*AC323+$L323*Summary_LCIA!T$32</f>
        <v>83.698400458753142</v>
      </c>
      <c r="AY323" s="137">
        <f>$W323*AD323+$L323*Summary_LCIA!U$32</f>
        <v>1.5271349103145495</v>
      </c>
      <c r="AZ323" s="137">
        <f>$W323*AE323+$L323*Summary_LCIA!V$32</f>
        <v>1.0093966146233284E-2</v>
      </c>
      <c r="BA323" s="137">
        <f>$W323*AF323+$L323*Summary_LCIA!W$32</f>
        <v>15.354293208762799</v>
      </c>
      <c r="BB323" s="137">
        <f>$W323*AG323+$L323*Summary_LCIA!X$32</f>
        <v>17.357312040238781</v>
      </c>
      <c r="BC323" s="137">
        <f>$W323*AH323+$L323*Summary_LCIA!Y$32</f>
        <v>1.3207643960196442</v>
      </c>
      <c r="BD323" s="137">
        <f>$W323*AI323+$L323*Summary_LCIA!Z$32</f>
        <v>0.3496379511952088</v>
      </c>
      <c r="BE323" s="137">
        <f>$W323*AJ323+$L323*Summary_LCIA!AA$32</f>
        <v>2.8047181307238009</v>
      </c>
      <c r="BF323" s="137">
        <f>$W323*AK323+$L323*Summary_LCIA!AB$32</f>
        <v>7.9232165392995074E-2</v>
      </c>
      <c r="BG323" s="137">
        <f>$W323*AL323+$L323*Summary_LCIA!AC$32</f>
        <v>4.2289843743675026E-5</v>
      </c>
      <c r="BH323" s="137">
        <f>$W323*AM323+$L323*Summary_LCIA!AD$32</f>
        <v>0.14390270054401119</v>
      </c>
      <c r="BI323" s="137">
        <f>$W323*AN323+$L323*Summary_LCIA!AE$32</f>
        <v>0.39294433021295083</v>
      </c>
      <c r="BJ323" s="137">
        <f>$W323*AO323+$L323*Summary_LCIA!AF$32</f>
        <v>6.092615832534945E-2</v>
      </c>
      <c r="BK323" s="137">
        <f>$W323*AP323+$L323*Summary_LCIA!AG$32</f>
        <v>8.5617204303494471E-3</v>
      </c>
      <c r="BL323" s="137">
        <f>$W323*AQ323+$L323*Summary_LCIA!AH$32</f>
        <v>1.2852214295674527</v>
      </c>
      <c r="BM323" s="137">
        <f>$W323*AR323+$L323*Summary_LCIA!AI$32</f>
        <v>0.36537133570672309</v>
      </c>
    </row>
    <row r="324" spans="1:65" x14ac:dyDescent="0.25">
      <c r="A324" s="149">
        <v>4</v>
      </c>
      <c r="B324" s="149">
        <v>16</v>
      </c>
      <c r="C324" s="61">
        <v>37.875985</v>
      </c>
      <c r="D324" s="61">
        <v>-122.25001399999999</v>
      </c>
      <c r="E324" s="61" t="s">
        <v>265</v>
      </c>
      <c r="F324" s="149">
        <v>99</v>
      </c>
      <c r="G324" s="61" t="s">
        <v>623</v>
      </c>
      <c r="H324" s="61" t="s">
        <v>624</v>
      </c>
      <c r="I324" s="61">
        <v>37.712569000000002</v>
      </c>
      <c r="J324" s="61">
        <v>-122.21974299999999</v>
      </c>
      <c r="K324" s="61">
        <v>39.814875569999998</v>
      </c>
      <c r="L324" s="61">
        <v>26.879000000000001</v>
      </c>
      <c r="M324" s="61" t="s">
        <v>617</v>
      </c>
      <c r="N324" s="149">
        <v>15</v>
      </c>
      <c r="O324" s="149">
        <v>16</v>
      </c>
      <c r="P324" s="61" t="s">
        <v>565</v>
      </c>
      <c r="Q324" s="61" t="s">
        <v>556</v>
      </c>
      <c r="R324" s="61">
        <v>39.856096299999997</v>
      </c>
      <c r="S324" s="61">
        <v>-104.6737376</v>
      </c>
      <c r="T324" s="61">
        <v>2006.788</v>
      </c>
      <c r="U324" s="61" t="s">
        <v>617</v>
      </c>
      <c r="V324" s="61" t="s">
        <v>569</v>
      </c>
      <c r="W324" s="61" cm="1">
        <f t="array" ref="W324">getDistance(I324,J324,R324,S324)*SA!$B$12</f>
        <v>1540.5141112510541</v>
      </c>
      <c r="Y324" s="137">
        <f>Transportation_LCIA!C$61*($W324^Transportation_LCIA!C$60)+Transportation_LCIA!C$62</f>
        <v>0.19792655707655432</v>
      </c>
      <c r="Z324" s="137">
        <f>Transportation_LCIA!D$61*($W324^Transportation_LCIA!D$60)+Transportation_LCIA!D$62</f>
        <v>1.9862359467891511</v>
      </c>
      <c r="AA324" s="137">
        <f>Transportation_LCIA!E$61*($W324^Transportation_LCIA!E$60)+Transportation_LCIA!E$62</f>
        <v>8.5617759378439932E-4</v>
      </c>
      <c r="AB324" s="137">
        <f>Transportation_LCIA!F$61*($W324^Transportation_LCIA!F$60)+Transportation_LCIA!F$62</f>
        <v>0.19792655707655432</v>
      </c>
      <c r="AC324" s="137">
        <f>Transportation_LCIA!G$61*($W324^Transportation_LCIA!G$60)+Transportation_LCIA!G$62</f>
        <v>4.6520039210562858E-2</v>
      </c>
      <c r="AD324" s="137">
        <f>Transportation_LCIA!H$61*($W324^Transportation_LCIA!H$60)+Transportation_LCIA!H$62</f>
        <v>2.1374842864686517E-4</v>
      </c>
      <c r="AE324" s="137">
        <f>Transportation_LCIA!I$61*($W324^Transportation_LCIA!I$60)+Transportation_LCIA!I$62</f>
        <v>4.3454704380997702E-6</v>
      </c>
      <c r="AF324" s="137">
        <f>Transportation_LCIA!J$61*($W324^Transportation_LCIA!J$60)+Transportation_LCIA!J$62</f>
        <v>6.4290844934420813E-3</v>
      </c>
      <c r="AG324" s="137">
        <f>Transportation_LCIA!K$61*($W324^Transportation_LCIA!K$60)+Transportation_LCIA!K$62</f>
        <v>9.6941777379801232E-3</v>
      </c>
      <c r="AH324" s="137">
        <f>Transportation_LCIA!L$61*($W324^Transportation_LCIA!L$60)+Transportation_LCIA!L$62</f>
        <v>1.8204986406811593E-4</v>
      </c>
      <c r="AI324" s="137">
        <f>Transportation_LCIA!M$61*($W324^Transportation_LCIA!M$60)+Transportation_LCIA!M$62</f>
        <v>2.0882194854566214E-4</v>
      </c>
      <c r="AJ324" s="137">
        <f>Transportation_LCIA!N$61*($W324^Transportation_LCIA!N$60)+Transportation_LCIA!N$62</f>
        <v>7.7774072603392945E-4</v>
      </c>
      <c r="AK324" s="137">
        <f>Transportation_LCIA!O$61*($W324^Transportation_LCIA!O$60)+Transportation_LCIA!O$62</f>
        <v>4.9100169370747042E-5</v>
      </c>
      <c r="AL324" s="137">
        <f>Transportation_LCIA!P$61*($W324^Transportation_LCIA!P$60)+Transportation_LCIA!P$62</f>
        <v>2.3772309046564421E-8</v>
      </c>
      <c r="AM324" s="137">
        <f>Transportation_LCIA!Q$61*($W324^Transportation_LCIA!Q$60)+Transportation_LCIA!Q$62</f>
        <v>7.2369765595730283E-5</v>
      </c>
      <c r="AN324" s="137">
        <f>Transportation_LCIA!R$61*($W324^Transportation_LCIA!R$60)+Transportation_LCIA!R$62</f>
        <v>2.0923575159105117E-4</v>
      </c>
      <c r="AO324" s="137">
        <f>Transportation_LCIA!S$61*($W324^Transportation_LCIA!S$60)+Transportation_LCIA!S$62</f>
        <v>3.2265640835120827E-6</v>
      </c>
      <c r="AP324" s="137">
        <f>Transportation_LCIA!T$61*($W324^Transportation_LCIA!T$60)+Transportation_LCIA!T$62</f>
        <v>3.2265640835120827E-6</v>
      </c>
      <c r="AQ324" s="137">
        <f>Transportation_LCIA!U$61*($W324^Transportation_LCIA!U$60)+Transportation_LCIA!U$62</f>
        <v>4.4580191537815767E-4</v>
      </c>
      <c r="AR324" s="137">
        <f>Transportation_LCIA!V$61*($W324^Transportation_LCIA!V$60)+Transportation_LCIA!V$62</f>
        <v>1.8828115436054458E-4</v>
      </c>
      <c r="AT324" s="137">
        <f>$W324*Y324+$L324*Summary_LCIA!H$32</f>
        <v>314.0421383677691</v>
      </c>
      <c r="AU324" s="137">
        <f>$W324*Z324+$L324*Summary_LCIA!Q$32</f>
        <v>3193.0381838913922</v>
      </c>
      <c r="AV324" s="137">
        <f>$W324*AA324+$L324*Summary_LCIA!R$32</f>
        <v>1.4604877273618402</v>
      </c>
      <c r="AW324" s="137">
        <f>$W324*AB324+$L324*Summary_LCIA!S$32</f>
        <v>313.92333318776912</v>
      </c>
      <c r="AX324" s="137">
        <f>$W324*AC324+$L324*Summary_LCIA!T$32</f>
        <v>74.618778959824425</v>
      </c>
      <c r="AY324" s="137">
        <f>$W324*AD324+$L324*Summary_LCIA!U$32</f>
        <v>0.81079287658823485</v>
      </c>
      <c r="AZ324" s="137">
        <f>$W324*AE324+$L324*Summary_LCIA!V$32</f>
        <v>7.9780264489169965E-3</v>
      </c>
      <c r="BA324" s="137">
        <f>$W324*AF324+$L324*Summary_LCIA!W$32</f>
        <v>11.972998893572862</v>
      </c>
      <c r="BB324" s="137">
        <f>$W324*AG324+$L324*Summary_LCIA!X$32</f>
        <v>15.546321222334205</v>
      </c>
      <c r="BC324" s="137">
        <f>$W324*AH324+$L324*Summary_LCIA!Y$32</f>
        <v>0.69927896254826882</v>
      </c>
      <c r="BD324" s="137">
        <f>$W324*AI324+$L324*Summary_LCIA!Z$32</f>
        <v>0.32279543938453409</v>
      </c>
      <c r="BE324" s="137">
        <f>$W324*AJ324+$L324*Summary_LCIA!AA$32</f>
        <v>1.8259064873499082</v>
      </c>
      <c r="BF324" s="137">
        <f>$W324*AK324+$L324*Summary_LCIA!AB$32</f>
        <v>7.5052923363452623E-2</v>
      </c>
      <c r="BG324" s="137">
        <f>$W324*AL324+$L324*Summary_LCIA!AC$32</f>
        <v>3.7935530579253583E-5</v>
      </c>
      <c r="BH324" s="137">
        <f>$W324*AM324+$L324*Summary_LCIA!AD$32</f>
        <v>0.12253498928815355</v>
      </c>
      <c r="BI324" s="137">
        <f>$W324*AN324+$L324*Summary_LCIA!AE$32</f>
        <v>0.34614891617423449</v>
      </c>
      <c r="BJ324" s="137">
        <f>$W324*AO324+$L324*Summary_LCIA!AF$32</f>
        <v>2.7694611681506193E-2</v>
      </c>
      <c r="BK324" s="137">
        <f>$W324*AP324+$L324*Summary_LCIA!AG$32</f>
        <v>6.3458315365061881E-3</v>
      </c>
      <c r="BL324" s="137">
        <f>$W324*AQ324+$L324*Summary_LCIA!AH$32</f>
        <v>0.92070820586280022</v>
      </c>
      <c r="BM324" s="137">
        <f>$W324*AR324+$L324*Summary_LCIA!AI$32</f>
        <v>0.31508890762505687</v>
      </c>
    </row>
    <row r="325" spans="1:65" x14ac:dyDescent="0.25">
      <c r="A325" s="149">
        <v>5</v>
      </c>
      <c r="B325" s="149">
        <v>16</v>
      </c>
      <c r="C325" s="61">
        <v>37.875985</v>
      </c>
      <c r="D325" s="61">
        <v>-122.25001399999999</v>
      </c>
      <c r="E325" s="61" t="s">
        <v>265</v>
      </c>
      <c r="F325" s="149">
        <v>99</v>
      </c>
      <c r="G325" s="61" t="s">
        <v>623</v>
      </c>
      <c r="H325" s="61" t="s">
        <v>624</v>
      </c>
      <c r="I325" s="61">
        <v>37.712569000000002</v>
      </c>
      <c r="J325" s="61">
        <v>-122.21974299999999</v>
      </c>
      <c r="K325" s="61">
        <v>39.814875569999998</v>
      </c>
      <c r="L325" s="61">
        <v>26.879000000000001</v>
      </c>
      <c r="M325" s="61" t="s">
        <v>617</v>
      </c>
      <c r="N325" s="149">
        <v>15</v>
      </c>
      <c r="O325" s="149">
        <v>16</v>
      </c>
      <c r="P325" s="61" t="s">
        <v>565</v>
      </c>
      <c r="Q325" s="61" t="s">
        <v>556</v>
      </c>
      <c r="R325" s="61">
        <v>39.856096299999997</v>
      </c>
      <c r="S325" s="61">
        <v>-104.6737376</v>
      </c>
      <c r="T325" s="61">
        <v>2006.788</v>
      </c>
      <c r="U325" s="61" t="s">
        <v>617</v>
      </c>
      <c r="V325" s="61" t="s">
        <v>569</v>
      </c>
      <c r="W325" s="61" cm="1">
        <f t="array" ref="W325">getDistance(I325,J325,R325,S325)*SA!$B$12</f>
        <v>1540.5141112510541</v>
      </c>
      <c r="Y325" s="137">
        <f>Transportation_LCIA!C$61*($W325^Transportation_LCIA!C$60)+Transportation_LCIA!C$62</f>
        <v>0.19792655707655432</v>
      </c>
      <c r="Z325" s="137">
        <f>Transportation_LCIA!D$61*($W325^Transportation_LCIA!D$60)+Transportation_LCIA!D$62</f>
        <v>1.9862359467891511</v>
      </c>
      <c r="AA325" s="137">
        <f>Transportation_LCIA!E$61*($W325^Transportation_LCIA!E$60)+Transportation_LCIA!E$62</f>
        <v>8.5617759378439932E-4</v>
      </c>
      <c r="AB325" s="137">
        <f>Transportation_LCIA!F$61*($W325^Transportation_LCIA!F$60)+Transportation_LCIA!F$62</f>
        <v>0.19792655707655432</v>
      </c>
      <c r="AC325" s="137">
        <f>Transportation_LCIA!G$61*($W325^Transportation_LCIA!G$60)+Transportation_LCIA!G$62</f>
        <v>4.6520039210562858E-2</v>
      </c>
      <c r="AD325" s="137">
        <f>Transportation_LCIA!H$61*($W325^Transportation_LCIA!H$60)+Transportation_LCIA!H$62</f>
        <v>2.1374842864686517E-4</v>
      </c>
      <c r="AE325" s="137">
        <f>Transportation_LCIA!I$61*($W325^Transportation_LCIA!I$60)+Transportation_LCIA!I$62</f>
        <v>4.3454704380997702E-6</v>
      </c>
      <c r="AF325" s="137">
        <f>Transportation_LCIA!J$61*($W325^Transportation_LCIA!J$60)+Transportation_LCIA!J$62</f>
        <v>6.4290844934420813E-3</v>
      </c>
      <c r="AG325" s="137">
        <f>Transportation_LCIA!K$61*($W325^Transportation_LCIA!K$60)+Transportation_LCIA!K$62</f>
        <v>9.6941777379801232E-3</v>
      </c>
      <c r="AH325" s="137">
        <f>Transportation_LCIA!L$61*($W325^Transportation_LCIA!L$60)+Transportation_LCIA!L$62</f>
        <v>1.8204986406811593E-4</v>
      </c>
      <c r="AI325" s="137">
        <f>Transportation_LCIA!M$61*($W325^Transportation_LCIA!M$60)+Transportation_LCIA!M$62</f>
        <v>2.0882194854566214E-4</v>
      </c>
      <c r="AJ325" s="137">
        <f>Transportation_LCIA!N$61*($W325^Transportation_LCIA!N$60)+Transportation_LCIA!N$62</f>
        <v>7.7774072603392945E-4</v>
      </c>
      <c r="AK325" s="137">
        <f>Transportation_LCIA!O$61*($W325^Transportation_LCIA!O$60)+Transportation_LCIA!O$62</f>
        <v>4.9100169370747042E-5</v>
      </c>
      <c r="AL325" s="137">
        <f>Transportation_LCIA!P$61*($W325^Transportation_LCIA!P$60)+Transportation_LCIA!P$62</f>
        <v>2.3772309046564421E-8</v>
      </c>
      <c r="AM325" s="137">
        <f>Transportation_LCIA!Q$61*($W325^Transportation_LCIA!Q$60)+Transportation_LCIA!Q$62</f>
        <v>7.2369765595730283E-5</v>
      </c>
      <c r="AN325" s="137">
        <f>Transportation_LCIA!R$61*($W325^Transportation_LCIA!R$60)+Transportation_LCIA!R$62</f>
        <v>2.0923575159105117E-4</v>
      </c>
      <c r="AO325" s="137">
        <f>Transportation_LCIA!S$61*($W325^Transportation_LCIA!S$60)+Transportation_LCIA!S$62</f>
        <v>3.2265640835120827E-6</v>
      </c>
      <c r="AP325" s="137">
        <f>Transportation_LCIA!T$61*($W325^Transportation_LCIA!T$60)+Transportation_LCIA!T$62</f>
        <v>3.2265640835120827E-6</v>
      </c>
      <c r="AQ325" s="137">
        <f>Transportation_LCIA!U$61*($W325^Transportation_LCIA!U$60)+Transportation_LCIA!U$62</f>
        <v>4.4580191537815767E-4</v>
      </c>
      <c r="AR325" s="137">
        <f>Transportation_LCIA!V$61*($W325^Transportation_LCIA!V$60)+Transportation_LCIA!V$62</f>
        <v>1.8828115436054458E-4</v>
      </c>
      <c r="AT325" s="137">
        <f>$W325*Y325+$L325*Summary_LCIA!H$32</f>
        <v>314.0421383677691</v>
      </c>
      <c r="AU325" s="137">
        <f>$W325*Z325+$L325*Summary_LCIA!Q$32</f>
        <v>3193.0381838913922</v>
      </c>
      <c r="AV325" s="137">
        <f>$W325*AA325+$L325*Summary_LCIA!R$32</f>
        <v>1.4604877273618402</v>
      </c>
      <c r="AW325" s="137">
        <f>$W325*AB325+$L325*Summary_LCIA!S$32</f>
        <v>313.92333318776912</v>
      </c>
      <c r="AX325" s="137">
        <f>$W325*AC325+$L325*Summary_LCIA!T$32</f>
        <v>74.618778959824425</v>
      </c>
      <c r="AY325" s="137">
        <f>$W325*AD325+$L325*Summary_LCIA!U$32</f>
        <v>0.81079287658823485</v>
      </c>
      <c r="AZ325" s="137">
        <f>$W325*AE325+$L325*Summary_LCIA!V$32</f>
        <v>7.9780264489169965E-3</v>
      </c>
      <c r="BA325" s="137">
        <f>$W325*AF325+$L325*Summary_LCIA!W$32</f>
        <v>11.972998893572862</v>
      </c>
      <c r="BB325" s="137">
        <f>$W325*AG325+$L325*Summary_LCIA!X$32</f>
        <v>15.546321222334205</v>
      </c>
      <c r="BC325" s="137">
        <f>$W325*AH325+$L325*Summary_LCIA!Y$32</f>
        <v>0.69927896254826882</v>
      </c>
      <c r="BD325" s="137">
        <f>$W325*AI325+$L325*Summary_LCIA!Z$32</f>
        <v>0.32279543938453409</v>
      </c>
      <c r="BE325" s="137">
        <f>$W325*AJ325+$L325*Summary_LCIA!AA$32</f>
        <v>1.8259064873499082</v>
      </c>
      <c r="BF325" s="137">
        <f>$W325*AK325+$L325*Summary_LCIA!AB$32</f>
        <v>7.5052923363452623E-2</v>
      </c>
      <c r="BG325" s="137">
        <f>$W325*AL325+$L325*Summary_LCIA!AC$32</f>
        <v>3.7935530579253583E-5</v>
      </c>
      <c r="BH325" s="137">
        <f>$W325*AM325+$L325*Summary_LCIA!AD$32</f>
        <v>0.12253498928815355</v>
      </c>
      <c r="BI325" s="137">
        <f>$W325*AN325+$L325*Summary_LCIA!AE$32</f>
        <v>0.34614891617423449</v>
      </c>
      <c r="BJ325" s="137">
        <f>$W325*AO325+$L325*Summary_LCIA!AF$32</f>
        <v>2.7694611681506193E-2</v>
      </c>
      <c r="BK325" s="137">
        <f>$W325*AP325+$L325*Summary_LCIA!AG$32</f>
        <v>6.3458315365061881E-3</v>
      </c>
      <c r="BL325" s="137">
        <f>$W325*AQ325+$L325*Summary_LCIA!AH$32</f>
        <v>0.92070820586280022</v>
      </c>
      <c r="BM325" s="137">
        <f>$W325*AR325+$L325*Summary_LCIA!AI$32</f>
        <v>0.31508890762505687</v>
      </c>
    </row>
    <row r="326" spans="1:65" x14ac:dyDescent="0.25">
      <c r="A326" s="149">
        <v>6</v>
      </c>
      <c r="B326" s="149">
        <v>16</v>
      </c>
      <c r="C326" s="61">
        <v>37.875985</v>
      </c>
      <c r="D326" s="61">
        <v>-122.25001399999999</v>
      </c>
      <c r="E326" s="61" t="s">
        <v>265</v>
      </c>
      <c r="F326" s="149">
        <v>99</v>
      </c>
      <c r="G326" s="61" t="s">
        <v>623</v>
      </c>
      <c r="H326" s="61" t="s">
        <v>624</v>
      </c>
      <c r="I326" s="61">
        <v>37.712569000000002</v>
      </c>
      <c r="J326" s="61">
        <v>-122.21974299999999</v>
      </c>
      <c r="K326" s="61">
        <v>39.814875569999998</v>
      </c>
      <c r="L326" s="61">
        <v>26.879000000000001</v>
      </c>
      <c r="M326" s="61" t="s">
        <v>617</v>
      </c>
      <c r="N326" s="149">
        <v>15</v>
      </c>
      <c r="O326" s="149">
        <v>16</v>
      </c>
      <c r="P326" s="61" t="s">
        <v>565</v>
      </c>
      <c r="Q326" s="61" t="s">
        <v>556</v>
      </c>
      <c r="R326" s="61">
        <v>39.856096299999997</v>
      </c>
      <c r="S326" s="61">
        <v>-104.6737376</v>
      </c>
      <c r="T326" s="61">
        <v>2006.788</v>
      </c>
      <c r="U326" s="61" t="s">
        <v>617</v>
      </c>
      <c r="V326" s="61" t="s">
        <v>569</v>
      </c>
      <c r="W326" s="61" cm="1">
        <f t="array" ref="W326">getDistance(I326,J326,R326,S326)*SA!$B$12</f>
        <v>1540.5141112510541</v>
      </c>
      <c r="Y326" s="137">
        <f>Transportation_LCIA!C$61*($W326^Transportation_LCIA!C$60)+Transportation_LCIA!C$62</f>
        <v>0.19792655707655432</v>
      </c>
      <c r="Z326" s="137">
        <f>Transportation_LCIA!D$61*($W326^Transportation_LCIA!D$60)+Transportation_LCIA!D$62</f>
        <v>1.9862359467891511</v>
      </c>
      <c r="AA326" s="137">
        <f>Transportation_LCIA!E$61*($W326^Transportation_LCIA!E$60)+Transportation_LCIA!E$62</f>
        <v>8.5617759378439932E-4</v>
      </c>
      <c r="AB326" s="137">
        <f>Transportation_LCIA!F$61*($W326^Transportation_LCIA!F$60)+Transportation_LCIA!F$62</f>
        <v>0.19792655707655432</v>
      </c>
      <c r="AC326" s="137">
        <f>Transportation_LCIA!G$61*($W326^Transportation_LCIA!G$60)+Transportation_LCIA!G$62</f>
        <v>4.6520039210562858E-2</v>
      </c>
      <c r="AD326" s="137">
        <f>Transportation_LCIA!H$61*($W326^Transportation_LCIA!H$60)+Transportation_LCIA!H$62</f>
        <v>2.1374842864686517E-4</v>
      </c>
      <c r="AE326" s="137">
        <f>Transportation_LCIA!I$61*($W326^Transportation_LCIA!I$60)+Transportation_LCIA!I$62</f>
        <v>4.3454704380997702E-6</v>
      </c>
      <c r="AF326" s="137">
        <f>Transportation_LCIA!J$61*($W326^Transportation_LCIA!J$60)+Transportation_LCIA!J$62</f>
        <v>6.4290844934420813E-3</v>
      </c>
      <c r="AG326" s="137">
        <f>Transportation_LCIA!K$61*($W326^Transportation_LCIA!K$60)+Transportation_LCIA!K$62</f>
        <v>9.6941777379801232E-3</v>
      </c>
      <c r="AH326" s="137">
        <f>Transportation_LCIA!L$61*($W326^Transportation_LCIA!L$60)+Transportation_LCIA!L$62</f>
        <v>1.8204986406811593E-4</v>
      </c>
      <c r="AI326" s="137">
        <f>Transportation_LCIA!M$61*($W326^Transportation_LCIA!M$60)+Transportation_LCIA!M$62</f>
        <v>2.0882194854566214E-4</v>
      </c>
      <c r="AJ326" s="137">
        <f>Transportation_LCIA!N$61*($W326^Transportation_LCIA!N$60)+Transportation_LCIA!N$62</f>
        <v>7.7774072603392945E-4</v>
      </c>
      <c r="AK326" s="137">
        <f>Transportation_LCIA!O$61*($W326^Transportation_LCIA!O$60)+Transportation_LCIA!O$62</f>
        <v>4.9100169370747042E-5</v>
      </c>
      <c r="AL326" s="137">
        <f>Transportation_LCIA!P$61*($W326^Transportation_LCIA!P$60)+Transportation_LCIA!P$62</f>
        <v>2.3772309046564421E-8</v>
      </c>
      <c r="AM326" s="137">
        <f>Transportation_LCIA!Q$61*($W326^Transportation_LCIA!Q$60)+Transportation_LCIA!Q$62</f>
        <v>7.2369765595730283E-5</v>
      </c>
      <c r="AN326" s="137">
        <f>Transportation_LCIA!R$61*($W326^Transportation_LCIA!R$60)+Transportation_LCIA!R$62</f>
        <v>2.0923575159105117E-4</v>
      </c>
      <c r="AO326" s="137">
        <f>Transportation_LCIA!S$61*($W326^Transportation_LCIA!S$60)+Transportation_LCIA!S$62</f>
        <v>3.2265640835120827E-6</v>
      </c>
      <c r="AP326" s="137">
        <f>Transportation_LCIA!T$61*($W326^Transportation_LCIA!T$60)+Transportation_LCIA!T$62</f>
        <v>3.2265640835120827E-6</v>
      </c>
      <c r="AQ326" s="137">
        <f>Transportation_LCIA!U$61*($W326^Transportation_LCIA!U$60)+Transportation_LCIA!U$62</f>
        <v>4.4580191537815767E-4</v>
      </c>
      <c r="AR326" s="137">
        <f>Transportation_LCIA!V$61*($W326^Transportation_LCIA!V$60)+Transportation_LCIA!V$62</f>
        <v>1.8828115436054458E-4</v>
      </c>
      <c r="AT326" s="137">
        <f>$W326*Y326+$L326*Summary_LCIA!H$32</f>
        <v>314.0421383677691</v>
      </c>
      <c r="AU326" s="137">
        <f>$W326*Z326+$L326*Summary_LCIA!Q$32</f>
        <v>3193.0381838913922</v>
      </c>
      <c r="AV326" s="137">
        <f>$W326*AA326+$L326*Summary_LCIA!R$32</f>
        <v>1.4604877273618402</v>
      </c>
      <c r="AW326" s="137">
        <f>$W326*AB326+$L326*Summary_LCIA!S$32</f>
        <v>313.92333318776912</v>
      </c>
      <c r="AX326" s="137">
        <f>$W326*AC326+$L326*Summary_LCIA!T$32</f>
        <v>74.618778959824425</v>
      </c>
      <c r="AY326" s="137">
        <f>$W326*AD326+$L326*Summary_LCIA!U$32</f>
        <v>0.81079287658823485</v>
      </c>
      <c r="AZ326" s="137">
        <f>$W326*AE326+$L326*Summary_LCIA!V$32</f>
        <v>7.9780264489169965E-3</v>
      </c>
      <c r="BA326" s="137">
        <f>$W326*AF326+$L326*Summary_LCIA!W$32</f>
        <v>11.972998893572862</v>
      </c>
      <c r="BB326" s="137">
        <f>$W326*AG326+$L326*Summary_LCIA!X$32</f>
        <v>15.546321222334205</v>
      </c>
      <c r="BC326" s="137">
        <f>$W326*AH326+$L326*Summary_LCIA!Y$32</f>
        <v>0.69927896254826882</v>
      </c>
      <c r="BD326" s="137">
        <f>$W326*AI326+$L326*Summary_LCIA!Z$32</f>
        <v>0.32279543938453409</v>
      </c>
      <c r="BE326" s="137">
        <f>$W326*AJ326+$L326*Summary_LCIA!AA$32</f>
        <v>1.8259064873499082</v>
      </c>
      <c r="BF326" s="137">
        <f>$W326*AK326+$L326*Summary_LCIA!AB$32</f>
        <v>7.5052923363452623E-2</v>
      </c>
      <c r="BG326" s="137">
        <f>$W326*AL326+$L326*Summary_LCIA!AC$32</f>
        <v>3.7935530579253583E-5</v>
      </c>
      <c r="BH326" s="137">
        <f>$W326*AM326+$L326*Summary_LCIA!AD$32</f>
        <v>0.12253498928815355</v>
      </c>
      <c r="BI326" s="137">
        <f>$W326*AN326+$L326*Summary_LCIA!AE$32</f>
        <v>0.34614891617423449</v>
      </c>
      <c r="BJ326" s="137">
        <f>$W326*AO326+$L326*Summary_LCIA!AF$32</f>
        <v>2.7694611681506193E-2</v>
      </c>
      <c r="BK326" s="137">
        <f>$W326*AP326+$L326*Summary_LCIA!AG$32</f>
        <v>6.3458315365061881E-3</v>
      </c>
      <c r="BL326" s="137">
        <f>$W326*AQ326+$L326*Summary_LCIA!AH$32</f>
        <v>0.92070820586280022</v>
      </c>
      <c r="BM326" s="137">
        <f>$W326*AR326+$L326*Summary_LCIA!AI$32</f>
        <v>0.31508890762505687</v>
      </c>
    </row>
    <row r="327" spans="1:65" x14ac:dyDescent="0.25">
      <c r="A327" s="149">
        <v>7</v>
      </c>
      <c r="B327" s="149">
        <v>16</v>
      </c>
      <c r="C327" s="61">
        <v>37.875985</v>
      </c>
      <c r="D327" s="61">
        <v>-122.25001399999999</v>
      </c>
      <c r="E327" s="61" t="s">
        <v>265</v>
      </c>
      <c r="F327" s="149">
        <v>99</v>
      </c>
      <c r="G327" s="61" t="s">
        <v>623</v>
      </c>
      <c r="H327" s="61" t="s">
        <v>624</v>
      </c>
      <c r="I327" s="61">
        <v>37.712569000000002</v>
      </c>
      <c r="J327" s="61">
        <v>-122.21974299999999</v>
      </c>
      <c r="K327" s="61">
        <v>39.814875569999998</v>
      </c>
      <c r="L327" s="61">
        <v>26.879000000000001</v>
      </c>
      <c r="M327" s="61" t="s">
        <v>617</v>
      </c>
      <c r="N327" s="149">
        <v>15</v>
      </c>
      <c r="O327" s="149">
        <v>16</v>
      </c>
      <c r="P327" s="61" t="s">
        <v>565</v>
      </c>
      <c r="Q327" s="61" t="s">
        <v>556</v>
      </c>
      <c r="R327" s="61">
        <v>39.856096299999997</v>
      </c>
      <c r="S327" s="61">
        <v>-104.6737376</v>
      </c>
      <c r="T327" s="61">
        <v>2006.788</v>
      </c>
      <c r="U327" s="61" t="s">
        <v>617</v>
      </c>
      <c r="V327" s="61" t="s">
        <v>569</v>
      </c>
      <c r="W327" s="61" cm="1">
        <f t="array" ref="W327">getDistance(I327,J327,R327,S327)*SA!$B$12</f>
        <v>1540.5141112510541</v>
      </c>
      <c r="Y327" s="137">
        <f>Transportation_LCIA!C$61*($W327^Transportation_LCIA!C$60)+Transportation_LCIA!C$62</f>
        <v>0.19792655707655432</v>
      </c>
      <c r="Z327" s="137">
        <f>Transportation_LCIA!D$61*($W327^Transportation_LCIA!D$60)+Transportation_LCIA!D$62</f>
        <v>1.9862359467891511</v>
      </c>
      <c r="AA327" s="137">
        <f>Transportation_LCIA!E$61*($W327^Transportation_LCIA!E$60)+Transportation_LCIA!E$62</f>
        <v>8.5617759378439932E-4</v>
      </c>
      <c r="AB327" s="137">
        <f>Transportation_LCIA!F$61*($W327^Transportation_LCIA!F$60)+Transportation_LCIA!F$62</f>
        <v>0.19792655707655432</v>
      </c>
      <c r="AC327" s="137">
        <f>Transportation_LCIA!G$61*($W327^Transportation_LCIA!G$60)+Transportation_LCIA!G$62</f>
        <v>4.6520039210562858E-2</v>
      </c>
      <c r="AD327" s="137">
        <f>Transportation_LCIA!H$61*($W327^Transportation_LCIA!H$60)+Transportation_LCIA!H$62</f>
        <v>2.1374842864686517E-4</v>
      </c>
      <c r="AE327" s="137">
        <f>Transportation_LCIA!I$61*($W327^Transportation_LCIA!I$60)+Transportation_LCIA!I$62</f>
        <v>4.3454704380997702E-6</v>
      </c>
      <c r="AF327" s="137">
        <f>Transportation_LCIA!J$61*($W327^Transportation_LCIA!J$60)+Transportation_LCIA!J$62</f>
        <v>6.4290844934420813E-3</v>
      </c>
      <c r="AG327" s="137">
        <f>Transportation_LCIA!K$61*($W327^Transportation_LCIA!K$60)+Transportation_LCIA!K$62</f>
        <v>9.6941777379801232E-3</v>
      </c>
      <c r="AH327" s="137">
        <f>Transportation_LCIA!L$61*($W327^Transportation_LCIA!L$60)+Transportation_LCIA!L$62</f>
        <v>1.8204986406811593E-4</v>
      </c>
      <c r="AI327" s="137">
        <f>Transportation_LCIA!M$61*($W327^Transportation_LCIA!M$60)+Transportation_LCIA!M$62</f>
        <v>2.0882194854566214E-4</v>
      </c>
      <c r="AJ327" s="137">
        <f>Transportation_LCIA!N$61*($W327^Transportation_LCIA!N$60)+Transportation_LCIA!N$62</f>
        <v>7.7774072603392945E-4</v>
      </c>
      <c r="AK327" s="137">
        <f>Transportation_LCIA!O$61*($W327^Transportation_LCIA!O$60)+Transportation_LCIA!O$62</f>
        <v>4.9100169370747042E-5</v>
      </c>
      <c r="AL327" s="137">
        <f>Transportation_LCIA!P$61*($W327^Transportation_LCIA!P$60)+Transportation_LCIA!P$62</f>
        <v>2.3772309046564421E-8</v>
      </c>
      <c r="AM327" s="137">
        <f>Transportation_LCIA!Q$61*($W327^Transportation_LCIA!Q$60)+Transportation_LCIA!Q$62</f>
        <v>7.2369765595730283E-5</v>
      </c>
      <c r="AN327" s="137">
        <f>Transportation_LCIA!R$61*($W327^Transportation_LCIA!R$60)+Transportation_LCIA!R$62</f>
        <v>2.0923575159105117E-4</v>
      </c>
      <c r="AO327" s="137">
        <f>Transportation_LCIA!S$61*($W327^Transportation_LCIA!S$60)+Transportation_LCIA!S$62</f>
        <v>3.2265640835120827E-6</v>
      </c>
      <c r="AP327" s="137">
        <f>Transportation_LCIA!T$61*($W327^Transportation_LCIA!T$60)+Transportation_LCIA!T$62</f>
        <v>3.2265640835120827E-6</v>
      </c>
      <c r="AQ327" s="137">
        <f>Transportation_LCIA!U$61*($W327^Transportation_LCIA!U$60)+Transportation_LCIA!U$62</f>
        <v>4.4580191537815767E-4</v>
      </c>
      <c r="AR327" s="137">
        <f>Transportation_LCIA!V$61*($W327^Transportation_LCIA!V$60)+Transportation_LCIA!V$62</f>
        <v>1.8828115436054458E-4</v>
      </c>
      <c r="AT327" s="137">
        <f>$W327*Y327+$L327*Summary_LCIA!H$32</f>
        <v>314.0421383677691</v>
      </c>
      <c r="AU327" s="137">
        <f>$W327*Z327+$L327*Summary_LCIA!Q$32</f>
        <v>3193.0381838913922</v>
      </c>
      <c r="AV327" s="137">
        <f>$W327*AA327+$L327*Summary_LCIA!R$32</f>
        <v>1.4604877273618402</v>
      </c>
      <c r="AW327" s="137">
        <f>$W327*AB327+$L327*Summary_LCIA!S$32</f>
        <v>313.92333318776912</v>
      </c>
      <c r="AX327" s="137">
        <f>$W327*AC327+$L327*Summary_LCIA!T$32</f>
        <v>74.618778959824425</v>
      </c>
      <c r="AY327" s="137">
        <f>$W327*AD327+$L327*Summary_LCIA!U$32</f>
        <v>0.81079287658823485</v>
      </c>
      <c r="AZ327" s="137">
        <f>$W327*AE327+$L327*Summary_LCIA!V$32</f>
        <v>7.9780264489169965E-3</v>
      </c>
      <c r="BA327" s="137">
        <f>$W327*AF327+$L327*Summary_LCIA!W$32</f>
        <v>11.972998893572862</v>
      </c>
      <c r="BB327" s="137">
        <f>$W327*AG327+$L327*Summary_LCIA!X$32</f>
        <v>15.546321222334205</v>
      </c>
      <c r="BC327" s="137">
        <f>$W327*AH327+$L327*Summary_LCIA!Y$32</f>
        <v>0.69927896254826882</v>
      </c>
      <c r="BD327" s="137">
        <f>$W327*AI327+$L327*Summary_LCIA!Z$32</f>
        <v>0.32279543938453409</v>
      </c>
      <c r="BE327" s="137">
        <f>$W327*AJ327+$L327*Summary_LCIA!AA$32</f>
        <v>1.8259064873499082</v>
      </c>
      <c r="BF327" s="137">
        <f>$W327*AK327+$L327*Summary_LCIA!AB$32</f>
        <v>7.5052923363452623E-2</v>
      </c>
      <c r="BG327" s="137">
        <f>$W327*AL327+$L327*Summary_LCIA!AC$32</f>
        <v>3.7935530579253583E-5</v>
      </c>
      <c r="BH327" s="137">
        <f>$W327*AM327+$L327*Summary_LCIA!AD$32</f>
        <v>0.12253498928815355</v>
      </c>
      <c r="BI327" s="137">
        <f>$W327*AN327+$L327*Summary_LCIA!AE$32</f>
        <v>0.34614891617423449</v>
      </c>
      <c r="BJ327" s="137">
        <f>$W327*AO327+$L327*Summary_LCIA!AF$32</f>
        <v>2.7694611681506193E-2</v>
      </c>
      <c r="BK327" s="137">
        <f>$W327*AP327+$L327*Summary_LCIA!AG$32</f>
        <v>6.3458315365061881E-3</v>
      </c>
      <c r="BL327" s="137">
        <f>$W327*AQ327+$L327*Summary_LCIA!AH$32</f>
        <v>0.92070820586280022</v>
      </c>
      <c r="BM327" s="137">
        <f>$W327*AR327+$L327*Summary_LCIA!AI$32</f>
        <v>0.31508890762505687</v>
      </c>
    </row>
    <row r="328" spans="1:65" x14ac:dyDescent="0.25">
      <c r="A328" s="149">
        <v>8</v>
      </c>
      <c r="B328" s="149">
        <v>16</v>
      </c>
      <c r="C328" s="61">
        <v>37.875985</v>
      </c>
      <c r="D328" s="61">
        <v>-122.25001399999999</v>
      </c>
      <c r="E328" s="61" t="s">
        <v>265</v>
      </c>
      <c r="F328" s="149">
        <v>99</v>
      </c>
      <c r="G328" s="61" t="s">
        <v>623</v>
      </c>
      <c r="H328" s="61" t="s">
        <v>624</v>
      </c>
      <c r="I328" s="61">
        <v>37.712569000000002</v>
      </c>
      <c r="J328" s="61">
        <v>-122.21974299999999</v>
      </c>
      <c r="K328" s="61">
        <v>39.814875569999998</v>
      </c>
      <c r="L328" s="61">
        <v>26.879000000000001</v>
      </c>
      <c r="M328" s="61" t="s">
        <v>617</v>
      </c>
      <c r="N328" s="149">
        <v>15</v>
      </c>
      <c r="O328" s="149">
        <v>16</v>
      </c>
      <c r="P328" s="61" t="s">
        <v>565</v>
      </c>
      <c r="Q328" s="61" t="s">
        <v>556</v>
      </c>
      <c r="R328" s="61">
        <v>39.856096299999997</v>
      </c>
      <c r="S328" s="61">
        <v>-104.6737376</v>
      </c>
      <c r="T328" s="61">
        <v>2006.788</v>
      </c>
      <c r="U328" s="61" t="s">
        <v>617</v>
      </c>
      <c r="V328" s="61" t="s">
        <v>569</v>
      </c>
      <c r="W328" s="61" cm="1">
        <f t="array" ref="W328">getDistance(I328,J328,R328,S328)*SA!$B$12</f>
        <v>1540.5141112510541</v>
      </c>
      <c r="Y328" s="137">
        <f>Transportation_LCIA!C$61*($W328^Transportation_LCIA!C$60)+Transportation_LCIA!C$62</f>
        <v>0.19792655707655432</v>
      </c>
      <c r="Z328" s="137">
        <f>Transportation_LCIA!D$61*($W328^Transportation_LCIA!D$60)+Transportation_LCIA!D$62</f>
        <v>1.9862359467891511</v>
      </c>
      <c r="AA328" s="137">
        <f>Transportation_LCIA!E$61*($W328^Transportation_LCIA!E$60)+Transportation_LCIA!E$62</f>
        <v>8.5617759378439932E-4</v>
      </c>
      <c r="AB328" s="137">
        <f>Transportation_LCIA!F$61*($W328^Transportation_LCIA!F$60)+Transportation_LCIA!F$62</f>
        <v>0.19792655707655432</v>
      </c>
      <c r="AC328" s="137">
        <f>Transportation_LCIA!G$61*($W328^Transportation_LCIA!G$60)+Transportation_LCIA!G$62</f>
        <v>4.6520039210562858E-2</v>
      </c>
      <c r="AD328" s="137">
        <f>Transportation_LCIA!H$61*($W328^Transportation_LCIA!H$60)+Transportation_LCIA!H$62</f>
        <v>2.1374842864686517E-4</v>
      </c>
      <c r="AE328" s="137">
        <f>Transportation_LCIA!I$61*($W328^Transportation_LCIA!I$60)+Transportation_LCIA!I$62</f>
        <v>4.3454704380997702E-6</v>
      </c>
      <c r="AF328" s="137">
        <f>Transportation_LCIA!J$61*($W328^Transportation_LCIA!J$60)+Transportation_LCIA!J$62</f>
        <v>6.4290844934420813E-3</v>
      </c>
      <c r="AG328" s="137">
        <f>Transportation_LCIA!K$61*($W328^Transportation_LCIA!K$60)+Transportation_LCIA!K$62</f>
        <v>9.6941777379801232E-3</v>
      </c>
      <c r="AH328" s="137">
        <f>Transportation_LCIA!L$61*($W328^Transportation_LCIA!L$60)+Transportation_LCIA!L$62</f>
        <v>1.8204986406811593E-4</v>
      </c>
      <c r="AI328" s="137">
        <f>Transportation_LCIA!M$61*($W328^Transportation_LCIA!M$60)+Transportation_LCIA!M$62</f>
        <v>2.0882194854566214E-4</v>
      </c>
      <c r="AJ328" s="137">
        <f>Transportation_LCIA!N$61*($W328^Transportation_LCIA!N$60)+Transportation_LCIA!N$62</f>
        <v>7.7774072603392945E-4</v>
      </c>
      <c r="AK328" s="137">
        <f>Transportation_LCIA!O$61*($W328^Transportation_LCIA!O$60)+Transportation_LCIA!O$62</f>
        <v>4.9100169370747042E-5</v>
      </c>
      <c r="AL328" s="137">
        <f>Transportation_LCIA!P$61*($W328^Transportation_LCIA!P$60)+Transportation_LCIA!P$62</f>
        <v>2.3772309046564421E-8</v>
      </c>
      <c r="AM328" s="137">
        <f>Transportation_LCIA!Q$61*($W328^Transportation_LCIA!Q$60)+Transportation_LCIA!Q$62</f>
        <v>7.2369765595730283E-5</v>
      </c>
      <c r="AN328" s="137">
        <f>Transportation_LCIA!R$61*($W328^Transportation_LCIA!R$60)+Transportation_LCIA!R$62</f>
        <v>2.0923575159105117E-4</v>
      </c>
      <c r="AO328" s="137">
        <f>Transportation_LCIA!S$61*($W328^Transportation_LCIA!S$60)+Transportation_LCIA!S$62</f>
        <v>3.2265640835120827E-6</v>
      </c>
      <c r="AP328" s="137">
        <f>Transportation_LCIA!T$61*($W328^Transportation_LCIA!T$60)+Transportation_LCIA!T$62</f>
        <v>3.2265640835120827E-6</v>
      </c>
      <c r="AQ328" s="137">
        <f>Transportation_LCIA!U$61*($W328^Transportation_LCIA!U$60)+Transportation_LCIA!U$62</f>
        <v>4.4580191537815767E-4</v>
      </c>
      <c r="AR328" s="137">
        <f>Transportation_LCIA!V$61*($W328^Transportation_LCIA!V$60)+Transportation_LCIA!V$62</f>
        <v>1.8828115436054458E-4</v>
      </c>
      <c r="AT328" s="137">
        <f>$W328*Y328+$L328*Summary_LCIA!H$32</f>
        <v>314.0421383677691</v>
      </c>
      <c r="AU328" s="137">
        <f>$W328*Z328+$L328*Summary_LCIA!Q$32</f>
        <v>3193.0381838913922</v>
      </c>
      <c r="AV328" s="137">
        <f>$W328*AA328+$L328*Summary_LCIA!R$32</f>
        <v>1.4604877273618402</v>
      </c>
      <c r="AW328" s="137">
        <f>$W328*AB328+$L328*Summary_LCIA!S$32</f>
        <v>313.92333318776912</v>
      </c>
      <c r="AX328" s="137">
        <f>$W328*AC328+$L328*Summary_LCIA!T$32</f>
        <v>74.618778959824425</v>
      </c>
      <c r="AY328" s="137">
        <f>$W328*AD328+$L328*Summary_LCIA!U$32</f>
        <v>0.81079287658823485</v>
      </c>
      <c r="AZ328" s="137">
        <f>$W328*AE328+$L328*Summary_LCIA!V$32</f>
        <v>7.9780264489169965E-3</v>
      </c>
      <c r="BA328" s="137">
        <f>$W328*AF328+$L328*Summary_LCIA!W$32</f>
        <v>11.972998893572862</v>
      </c>
      <c r="BB328" s="137">
        <f>$W328*AG328+$L328*Summary_LCIA!X$32</f>
        <v>15.546321222334205</v>
      </c>
      <c r="BC328" s="137">
        <f>$W328*AH328+$L328*Summary_LCIA!Y$32</f>
        <v>0.69927896254826882</v>
      </c>
      <c r="BD328" s="137">
        <f>$W328*AI328+$L328*Summary_LCIA!Z$32</f>
        <v>0.32279543938453409</v>
      </c>
      <c r="BE328" s="137">
        <f>$W328*AJ328+$L328*Summary_LCIA!AA$32</f>
        <v>1.8259064873499082</v>
      </c>
      <c r="BF328" s="137">
        <f>$W328*AK328+$L328*Summary_LCIA!AB$32</f>
        <v>7.5052923363452623E-2</v>
      </c>
      <c r="BG328" s="137">
        <f>$W328*AL328+$L328*Summary_LCIA!AC$32</f>
        <v>3.7935530579253583E-5</v>
      </c>
      <c r="BH328" s="137">
        <f>$W328*AM328+$L328*Summary_LCIA!AD$32</f>
        <v>0.12253498928815355</v>
      </c>
      <c r="BI328" s="137">
        <f>$W328*AN328+$L328*Summary_LCIA!AE$32</f>
        <v>0.34614891617423449</v>
      </c>
      <c r="BJ328" s="137">
        <f>$W328*AO328+$L328*Summary_LCIA!AF$32</f>
        <v>2.7694611681506193E-2</v>
      </c>
      <c r="BK328" s="137">
        <f>$W328*AP328+$L328*Summary_LCIA!AG$32</f>
        <v>6.3458315365061881E-3</v>
      </c>
      <c r="BL328" s="137">
        <f>$W328*AQ328+$L328*Summary_LCIA!AH$32</f>
        <v>0.92070820586280022</v>
      </c>
      <c r="BM328" s="137">
        <f>$W328*AR328+$L328*Summary_LCIA!AI$32</f>
        <v>0.31508890762505687</v>
      </c>
    </row>
    <row r="329" spans="1:65" x14ac:dyDescent="0.25">
      <c r="A329" s="149">
        <v>9</v>
      </c>
      <c r="B329" s="149">
        <v>16</v>
      </c>
      <c r="C329" s="61">
        <v>37.875985</v>
      </c>
      <c r="D329" s="61">
        <v>-122.25001399999999</v>
      </c>
      <c r="E329" s="61" t="s">
        <v>265</v>
      </c>
      <c r="F329" s="149">
        <v>99</v>
      </c>
      <c r="G329" s="61" t="s">
        <v>623</v>
      </c>
      <c r="H329" s="61" t="s">
        <v>624</v>
      </c>
      <c r="I329" s="61">
        <v>37.712569000000002</v>
      </c>
      <c r="J329" s="61">
        <v>-122.21974299999999</v>
      </c>
      <c r="K329" s="61">
        <v>39.814875569999998</v>
      </c>
      <c r="L329" s="61">
        <v>26.879000000000001</v>
      </c>
      <c r="M329" s="61" t="s">
        <v>617</v>
      </c>
      <c r="N329" s="149">
        <v>15</v>
      </c>
      <c r="O329" s="149">
        <v>16</v>
      </c>
      <c r="P329" s="61" t="s">
        <v>565</v>
      </c>
      <c r="Q329" s="61" t="s">
        <v>556</v>
      </c>
      <c r="R329" s="61">
        <v>39.856096299999997</v>
      </c>
      <c r="S329" s="61">
        <v>-104.6737376</v>
      </c>
      <c r="T329" s="61">
        <v>2006.788</v>
      </c>
      <c r="U329" s="61" t="s">
        <v>617</v>
      </c>
      <c r="V329" s="61" t="s">
        <v>569</v>
      </c>
      <c r="W329" s="61" cm="1">
        <f t="array" ref="W329">getDistance(I329,J329,R329,S329)*SA!$B$12</f>
        <v>1540.5141112510541</v>
      </c>
      <c r="Y329" s="137">
        <f>Transportation_LCIA!C$61*($W329^Transportation_LCIA!C$60)+Transportation_LCIA!C$62</f>
        <v>0.19792655707655432</v>
      </c>
      <c r="Z329" s="137">
        <f>Transportation_LCIA!D$61*($W329^Transportation_LCIA!D$60)+Transportation_LCIA!D$62</f>
        <v>1.9862359467891511</v>
      </c>
      <c r="AA329" s="137">
        <f>Transportation_LCIA!E$61*($W329^Transportation_LCIA!E$60)+Transportation_LCIA!E$62</f>
        <v>8.5617759378439932E-4</v>
      </c>
      <c r="AB329" s="137">
        <f>Transportation_LCIA!F$61*($W329^Transportation_LCIA!F$60)+Transportation_LCIA!F$62</f>
        <v>0.19792655707655432</v>
      </c>
      <c r="AC329" s="137">
        <f>Transportation_LCIA!G$61*($W329^Transportation_LCIA!G$60)+Transportation_LCIA!G$62</f>
        <v>4.6520039210562858E-2</v>
      </c>
      <c r="AD329" s="137">
        <f>Transportation_LCIA!H$61*($W329^Transportation_LCIA!H$60)+Transportation_LCIA!H$62</f>
        <v>2.1374842864686517E-4</v>
      </c>
      <c r="AE329" s="137">
        <f>Transportation_LCIA!I$61*($W329^Transportation_LCIA!I$60)+Transportation_LCIA!I$62</f>
        <v>4.3454704380997702E-6</v>
      </c>
      <c r="AF329" s="137">
        <f>Transportation_LCIA!J$61*($W329^Transportation_LCIA!J$60)+Transportation_LCIA!J$62</f>
        <v>6.4290844934420813E-3</v>
      </c>
      <c r="AG329" s="137">
        <f>Transportation_LCIA!K$61*($W329^Transportation_LCIA!K$60)+Transportation_LCIA!K$62</f>
        <v>9.6941777379801232E-3</v>
      </c>
      <c r="AH329" s="137">
        <f>Transportation_LCIA!L$61*($W329^Transportation_LCIA!L$60)+Transportation_LCIA!L$62</f>
        <v>1.8204986406811593E-4</v>
      </c>
      <c r="AI329" s="137">
        <f>Transportation_LCIA!M$61*($W329^Transportation_LCIA!M$60)+Transportation_LCIA!M$62</f>
        <v>2.0882194854566214E-4</v>
      </c>
      <c r="AJ329" s="137">
        <f>Transportation_LCIA!N$61*($W329^Transportation_LCIA!N$60)+Transportation_LCIA!N$62</f>
        <v>7.7774072603392945E-4</v>
      </c>
      <c r="AK329" s="137">
        <f>Transportation_LCIA!O$61*($W329^Transportation_LCIA!O$60)+Transportation_LCIA!O$62</f>
        <v>4.9100169370747042E-5</v>
      </c>
      <c r="AL329" s="137">
        <f>Transportation_LCIA!P$61*($W329^Transportation_LCIA!P$60)+Transportation_LCIA!P$62</f>
        <v>2.3772309046564421E-8</v>
      </c>
      <c r="AM329" s="137">
        <f>Transportation_LCIA!Q$61*($W329^Transportation_LCIA!Q$60)+Transportation_LCIA!Q$62</f>
        <v>7.2369765595730283E-5</v>
      </c>
      <c r="AN329" s="137">
        <f>Transportation_LCIA!R$61*($W329^Transportation_LCIA!R$60)+Transportation_LCIA!R$62</f>
        <v>2.0923575159105117E-4</v>
      </c>
      <c r="AO329" s="137">
        <f>Transportation_LCIA!S$61*($W329^Transportation_LCIA!S$60)+Transportation_LCIA!S$62</f>
        <v>3.2265640835120827E-6</v>
      </c>
      <c r="AP329" s="137">
        <f>Transportation_LCIA!T$61*($W329^Transportation_LCIA!T$60)+Transportation_LCIA!T$62</f>
        <v>3.2265640835120827E-6</v>
      </c>
      <c r="AQ329" s="137">
        <f>Transportation_LCIA!U$61*($W329^Transportation_LCIA!U$60)+Transportation_LCIA!U$62</f>
        <v>4.4580191537815767E-4</v>
      </c>
      <c r="AR329" s="137">
        <f>Transportation_LCIA!V$61*($W329^Transportation_LCIA!V$60)+Transportation_LCIA!V$62</f>
        <v>1.8828115436054458E-4</v>
      </c>
      <c r="AT329" s="137">
        <f>$W329*Y329+$L329*Summary_LCIA!H$32</f>
        <v>314.0421383677691</v>
      </c>
      <c r="AU329" s="137">
        <f>$W329*Z329+$L329*Summary_LCIA!Q$32</f>
        <v>3193.0381838913922</v>
      </c>
      <c r="AV329" s="137">
        <f>$W329*AA329+$L329*Summary_LCIA!R$32</f>
        <v>1.4604877273618402</v>
      </c>
      <c r="AW329" s="137">
        <f>$W329*AB329+$L329*Summary_LCIA!S$32</f>
        <v>313.92333318776912</v>
      </c>
      <c r="AX329" s="137">
        <f>$W329*AC329+$L329*Summary_LCIA!T$32</f>
        <v>74.618778959824425</v>
      </c>
      <c r="AY329" s="137">
        <f>$W329*AD329+$L329*Summary_LCIA!U$32</f>
        <v>0.81079287658823485</v>
      </c>
      <c r="AZ329" s="137">
        <f>$W329*AE329+$L329*Summary_LCIA!V$32</f>
        <v>7.9780264489169965E-3</v>
      </c>
      <c r="BA329" s="137">
        <f>$W329*AF329+$L329*Summary_LCIA!W$32</f>
        <v>11.972998893572862</v>
      </c>
      <c r="BB329" s="137">
        <f>$W329*AG329+$L329*Summary_LCIA!X$32</f>
        <v>15.546321222334205</v>
      </c>
      <c r="BC329" s="137">
        <f>$W329*AH329+$L329*Summary_LCIA!Y$32</f>
        <v>0.69927896254826882</v>
      </c>
      <c r="BD329" s="137">
        <f>$W329*AI329+$L329*Summary_LCIA!Z$32</f>
        <v>0.32279543938453409</v>
      </c>
      <c r="BE329" s="137">
        <f>$W329*AJ329+$L329*Summary_LCIA!AA$32</f>
        <v>1.8259064873499082</v>
      </c>
      <c r="BF329" s="137">
        <f>$W329*AK329+$L329*Summary_LCIA!AB$32</f>
        <v>7.5052923363452623E-2</v>
      </c>
      <c r="BG329" s="137">
        <f>$W329*AL329+$L329*Summary_LCIA!AC$32</f>
        <v>3.7935530579253583E-5</v>
      </c>
      <c r="BH329" s="137">
        <f>$W329*AM329+$L329*Summary_LCIA!AD$32</f>
        <v>0.12253498928815355</v>
      </c>
      <c r="BI329" s="137">
        <f>$W329*AN329+$L329*Summary_LCIA!AE$32</f>
        <v>0.34614891617423449</v>
      </c>
      <c r="BJ329" s="137">
        <f>$W329*AO329+$L329*Summary_LCIA!AF$32</f>
        <v>2.7694611681506193E-2</v>
      </c>
      <c r="BK329" s="137">
        <f>$W329*AP329+$L329*Summary_LCIA!AG$32</f>
        <v>6.3458315365061881E-3</v>
      </c>
      <c r="BL329" s="137">
        <f>$W329*AQ329+$L329*Summary_LCIA!AH$32</f>
        <v>0.92070820586280022</v>
      </c>
      <c r="BM329" s="137">
        <f>$W329*AR329+$L329*Summary_LCIA!AI$32</f>
        <v>0.31508890762505687</v>
      </c>
    </row>
    <row r="330" spans="1:65" x14ac:dyDescent="0.25">
      <c r="A330" s="149">
        <v>303</v>
      </c>
      <c r="B330" s="149">
        <v>16</v>
      </c>
      <c r="C330" s="61">
        <v>45.505105999999998</v>
      </c>
      <c r="D330" s="61">
        <v>-122.675026</v>
      </c>
      <c r="E330" s="61" t="s">
        <v>265</v>
      </c>
      <c r="F330" s="149">
        <v>90</v>
      </c>
      <c r="G330" s="61" t="s">
        <v>277</v>
      </c>
      <c r="H330" s="61" t="s">
        <v>697</v>
      </c>
      <c r="I330" s="61">
        <v>45.589768999999997</v>
      </c>
      <c r="J330" s="61">
        <v>-122.595094</v>
      </c>
      <c r="K330" s="61">
        <v>15.812124730000001</v>
      </c>
      <c r="L330" s="61">
        <v>25.564</v>
      </c>
      <c r="M330" s="61" t="s">
        <v>617</v>
      </c>
      <c r="N330" s="149">
        <v>15</v>
      </c>
      <c r="O330" s="149">
        <v>16</v>
      </c>
      <c r="P330" s="61" t="s">
        <v>565</v>
      </c>
      <c r="Q330" s="61" t="s">
        <v>556</v>
      </c>
      <c r="R330" s="61">
        <v>39.856096299999997</v>
      </c>
      <c r="S330" s="61">
        <v>-104.6737376</v>
      </c>
      <c r="T330" s="61">
        <v>2013.1210000000001</v>
      </c>
      <c r="U330" s="61" t="s">
        <v>617</v>
      </c>
      <c r="V330" s="61" t="s">
        <v>569</v>
      </c>
      <c r="W330" s="61" cm="1">
        <f t="array" ref="W330">getDistance(I330,J330,R330,S330)*SA!$B$12</f>
        <v>1596.036448404029</v>
      </c>
      <c r="Y330" s="137">
        <f>Transportation_LCIA!C$61*($W330^Transportation_LCIA!C$60)+Transportation_LCIA!C$62</f>
        <v>0.19540844343932395</v>
      </c>
      <c r="Z330" s="137">
        <f>Transportation_LCIA!D$61*($W330^Transportation_LCIA!D$60)+Transportation_LCIA!D$62</f>
        <v>1.9574233593676897</v>
      </c>
      <c r="AA330" s="137">
        <f>Transportation_LCIA!E$61*($W330^Transportation_LCIA!E$60)+Transportation_LCIA!E$62</f>
        <v>8.3733843217106757E-4</v>
      </c>
      <c r="AB330" s="137">
        <f>Transportation_LCIA!F$61*($W330^Transportation_LCIA!F$60)+Transportation_LCIA!F$62</f>
        <v>0.19540844343932395</v>
      </c>
      <c r="AC330" s="137">
        <f>Transportation_LCIA!G$61*($W330^Transportation_LCIA!G$60)+Transportation_LCIA!G$62</f>
        <v>4.5852671138779735E-2</v>
      </c>
      <c r="AD330" s="137">
        <f>Transportation_LCIA!H$61*($W330^Transportation_LCIA!H$60)+Transportation_LCIA!H$62</f>
        <v>2.0965119312506812E-4</v>
      </c>
      <c r="AE330" s="137">
        <f>Transportation_LCIA!I$61*($W330^Transportation_LCIA!I$60)+Transportation_LCIA!I$62</f>
        <v>4.2441315771380954E-6</v>
      </c>
      <c r="AF330" s="137">
        <f>Transportation_LCIA!J$61*($W330^Transportation_LCIA!J$60)+Transportation_LCIA!J$62</f>
        <v>6.2798929863004515E-3</v>
      </c>
      <c r="AG330" s="137">
        <f>Transportation_LCIA!K$61*($W330^Transportation_LCIA!K$60)+Transportation_LCIA!K$62</f>
        <v>9.5399363573399447E-3</v>
      </c>
      <c r="AH330" s="137">
        <f>Transportation_LCIA!L$61*($W330^Transportation_LCIA!L$60)+Transportation_LCIA!L$62</f>
        <v>1.7830198979211539E-4</v>
      </c>
      <c r="AI330" s="137">
        <f>Transportation_LCIA!M$61*($W330^Transportation_LCIA!M$60)+Transportation_LCIA!M$62</f>
        <v>2.0656206981416121E-4</v>
      </c>
      <c r="AJ330" s="137">
        <f>Transportation_LCIA!N$61*($W330^Transportation_LCIA!N$60)+Transportation_LCIA!N$62</f>
        <v>7.6394582100523844E-4</v>
      </c>
      <c r="AK330" s="137">
        <f>Transportation_LCIA!O$61*($W330^Transportation_LCIA!O$60)+Transportation_LCIA!O$62</f>
        <v>4.8391389136048821E-5</v>
      </c>
      <c r="AL330" s="137">
        <f>Transportation_LCIA!P$61*($W330^Transportation_LCIA!P$60)+Transportation_LCIA!P$62</f>
        <v>2.3431034870708958E-8</v>
      </c>
      <c r="AM330" s="137">
        <f>Transportation_LCIA!Q$61*($W330^Transportation_LCIA!Q$60)+Transportation_LCIA!Q$62</f>
        <v>7.0908301274110862E-5</v>
      </c>
      <c r="AN330" s="137">
        <f>Transportation_LCIA!R$61*($W330^Transportation_LCIA!R$60)+Transportation_LCIA!R$62</f>
        <v>2.0437832383803187E-4</v>
      </c>
      <c r="AO330" s="137">
        <f>Transportation_LCIA!S$61*($W330^Transportation_LCIA!S$60)+Transportation_LCIA!S$62</f>
        <v>3.1575724210715809E-6</v>
      </c>
      <c r="AP330" s="137">
        <f>Transportation_LCIA!T$61*($W330^Transportation_LCIA!T$60)+Transportation_LCIA!T$62</f>
        <v>3.1575724210715809E-6</v>
      </c>
      <c r="AQ330" s="137">
        <f>Transportation_LCIA!U$61*($W330^Transportation_LCIA!U$60)+Transportation_LCIA!U$62</f>
        <v>4.3518506866823444E-4</v>
      </c>
      <c r="AR330" s="137">
        <f>Transportation_LCIA!V$61*($W330^Transportation_LCIA!V$60)+Transportation_LCIA!V$62</f>
        <v>1.84492406579756E-4</v>
      </c>
      <c r="AT330" s="137">
        <f>$W330*Y330+$L330*Summary_LCIA!H$32</f>
        <v>320.56564525505814</v>
      </c>
      <c r="AU330" s="137">
        <f>$W330*Z330+$L330*Summary_LCIA!Q$32</f>
        <v>3250.8154997775027</v>
      </c>
      <c r="AV330" s="137">
        <f>$W330*AA330+$L330*Summary_LCIA!R$32</f>
        <v>1.4710324557945085</v>
      </c>
      <c r="AW330" s="137">
        <f>$W330*AB330+$L330*Summary_LCIA!S$32</f>
        <v>320.45265237505816</v>
      </c>
      <c r="AX330" s="137">
        <f>$W330*AC330+$L330*Summary_LCIA!T$32</f>
        <v>75.992017994175939</v>
      </c>
      <c r="AY330" s="137">
        <f>$W330*AD330+$L330*Summary_LCIA!U$32</f>
        <v>0.79256444167900086</v>
      </c>
      <c r="AZ330" s="137">
        <f>$W330*AE330+$L330*Summary_LCIA!V$32</f>
        <v>7.9947508929348772E-3</v>
      </c>
      <c r="BA330" s="137">
        <f>$W330*AF330+$L330*Summary_LCIA!W$32</f>
        <v>11.990624742212345</v>
      </c>
      <c r="BB330" s="137">
        <f>$W330*AG330+$L330*Summary_LCIA!X$32</f>
        <v>15.808434061769315</v>
      </c>
      <c r="BC330" s="137">
        <f>$W330*AH330+$L330*Summary_LCIA!Y$32</f>
        <v>0.68291472253117935</v>
      </c>
      <c r="BD330" s="137">
        <f>$W330*AI330+$L330*Summary_LCIA!Z$32</f>
        <v>0.33072894635717898</v>
      </c>
      <c r="BE330" s="137">
        <f>$W330*AJ330+$L330*Summary_LCIA!AA$32</f>
        <v>1.8163581589303006</v>
      </c>
      <c r="BF330" s="137">
        <f>$W330*AK330+$L330*Summary_LCIA!AB$32</f>
        <v>7.6676537678036671E-2</v>
      </c>
      <c r="BG330" s="137">
        <f>$W330*AL330+$L330*Summary_LCIA!AC$32</f>
        <v>3.8646456253477282E-5</v>
      </c>
      <c r="BH330" s="137">
        <f>$W330*AM330+$L330*Summary_LCIA!AD$32</f>
        <v>0.12368005988789478</v>
      </c>
      <c r="BI330" s="137">
        <f>$W330*AN330+$L330*Summary_LCIA!AE$32</f>
        <v>0.34884828142922092</v>
      </c>
      <c r="BJ330" s="137">
        <f>$W330*AO330+$L330*Summary_LCIA!AF$32</f>
        <v>2.6651917552505601E-2</v>
      </c>
      <c r="BK330" s="137">
        <f>$W330*AP330+$L330*Summary_LCIA!AG$32</f>
        <v>6.347582732505597E-3</v>
      </c>
      <c r="BL330" s="137">
        <f>$W330*AQ330+$L330*Summary_LCIA!AH$32</f>
        <v>0.91707006179571238</v>
      </c>
      <c r="BM330" s="137">
        <f>$W330*AR330+$L330*Summary_LCIA!AI$32</f>
        <v>0.31827074955506585</v>
      </c>
    </row>
    <row r="331" spans="1:65" x14ac:dyDescent="0.25">
      <c r="A331" s="149">
        <v>304</v>
      </c>
      <c r="B331" s="149">
        <v>16</v>
      </c>
      <c r="C331" s="61">
        <v>45.505105999999998</v>
      </c>
      <c r="D331" s="61">
        <v>-122.675026</v>
      </c>
      <c r="E331" s="61" t="s">
        <v>265</v>
      </c>
      <c r="F331" s="149">
        <v>90</v>
      </c>
      <c r="G331" s="61" t="s">
        <v>277</v>
      </c>
      <c r="H331" s="61" t="s">
        <v>697</v>
      </c>
      <c r="I331" s="61">
        <v>45.589768999999997</v>
      </c>
      <c r="J331" s="61">
        <v>-122.595094</v>
      </c>
      <c r="K331" s="61">
        <v>15.812124730000001</v>
      </c>
      <c r="L331" s="61">
        <v>25.564</v>
      </c>
      <c r="M331" s="61" t="s">
        <v>617</v>
      </c>
      <c r="N331" s="149">
        <v>15</v>
      </c>
      <c r="O331" s="149">
        <v>16</v>
      </c>
      <c r="P331" s="61" t="s">
        <v>565</v>
      </c>
      <c r="Q331" s="61" t="s">
        <v>556</v>
      </c>
      <c r="R331" s="61">
        <v>39.856096299999997</v>
      </c>
      <c r="S331" s="61">
        <v>-104.6737376</v>
      </c>
      <c r="T331" s="61">
        <v>2013.1210000000001</v>
      </c>
      <c r="U331" s="61" t="s">
        <v>617</v>
      </c>
      <c r="V331" s="61" t="s">
        <v>569</v>
      </c>
      <c r="W331" s="61" cm="1">
        <f t="array" ref="W331">getDistance(I331,J331,R331,S331)*SA!$B$12</f>
        <v>1596.036448404029</v>
      </c>
      <c r="Y331" s="137">
        <f>Transportation_LCIA!C$61*($W331^Transportation_LCIA!C$60)+Transportation_LCIA!C$62</f>
        <v>0.19540844343932395</v>
      </c>
      <c r="Z331" s="137">
        <f>Transportation_LCIA!D$61*($W331^Transportation_LCIA!D$60)+Transportation_LCIA!D$62</f>
        <v>1.9574233593676897</v>
      </c>
      <c r="AA331" s="137">
        <f>Transportation_LCIA!E$61*($W331^Transportation_LCIA!E$60)+Transportation_LCIA!E$62</f>
        <v>8.3733843217106757E-4</v>
      </c>
      <c r="AB331" s="137">
        <f>Transportation_LCIA!F$61*($W331^Transportation_LCIA!F$60)+Transportation_LCIA!F$62</f>
        <v>0.19540844343932395</v>
      </c>
      <c r="AC331" s="137">
        <f>Transportation_LCIA!G$61*($W331^Transportation_LCIA!G$60)+Transportation_LCIA!G$62</f>
        <v>4.5852671138779735E-2</v>
      </c>
      <c r="AD331" s="137">
        <f>Transportation_LCIA!H$61*($W331^Transportation_LCIA!H$60)+Transportation_LCIA!H$62</f>
        <v>2.0965119312506812E-4</v>
      </c>
      <c r="AE331" s="137">
        <f>Transportation_LCIA!I$61*($W331^Transportation_LCIA!I$60)+Transportation_LCIA!I$62</f>
        <v>4.2441315771380954E-6</v>
      </c>
      <c r="AF331" s="137">
        <f>Transportation_LCIA!J$61*($W331^Transportation_LCIA!J$60)+Transportation_LCIA!J$62</f>
        <v>6.2798929863004515E-3</v>
      </c>
      <c r="AG331" s="137">
        <f>Transportation_LCIA!K$61*($W331^Transportation_LCIA!K$60)+Transportation_LCIA!K$62</f>
        <v>9.5399363573399447E-3</v>
      </c>
      <c r="AH331" s="137">
        <f>Transportation_LCIA!L$61*($W331^Transportation_LCIA!L$60)+Transportation_LCIA!L$62</f>
        <v>1.7830198979211539E-4</v>
      </c>
      <c r="AI331" s="137">
        <f>Transportation_LCIA!M$61*($W331^Transportation_LCIA!M$60)+Transportation_LCIA!M$62</f>
        <v>2.0656206981416121E-4</v>
      </c>
      <c r="AJ331" s="137">
        <f>Transportation_LCIA!N$61*($W331^Transportation_LCIA!N$60)+Transportation_LCIA!N$62</f>
        <v>7.6394582100523844E-4</v>
      </c>
      <c r="AK331" s="137">
        <f>Transportation_LCIA!O$61*($W331^Transportation_LCIA!O$60)+Transportation_LCIA!O$62</f>
        <v>4.8391389136048821E-5</v>
      </c>
      <c r="AL331" s="137">
        <f>Transportation_LCIA!P$61*($W331^Transportation_LCIA!P$60)+Transportation_LCIA!P$62</f>
        <v>2.3431034870708958E-8</v>
      </c>
      <c r="AM331" s="137">
        <f>Transportation_LCIA!Q$61*($W331^Transportation_LCIA!Q$60)+Transportation_LCIA!Q$62</f>
        <v>7.0908301274110862E-5</v>
      </c>
      <c r="AN331" s="137">
        <f>Transportation_LCIA!R$61*($W331^Transportation_LCIA!R$60)+Transportation_LCIA!R$62</f>
        <v>2.0437832383803187E-4</v>
      </c>
      <c r="AO331" s="137">
        <f>Transportation_LCIA!S$61*($W331^Transportation_LCIA!S$60)+Transportation_LCIA!S$62</f>
        <v>3.1575724210715809E-6</v>
      </c>
      <c r="AP331" s="137">
        <f>Transportation_LCIA!T$61*($W331^Transportation_LCIA!T$60)+Transportation_LCIA!T$62</f>
        <v>3.1575724210715809E-6</v>
      </c>
      <c r="AQ331" s="137">
        <f>Transportation_LCIA!U$61*($W331^Transportation_LCIA!U$60)+Transportation_LCIA!U$62</f>
        <v>4.3518506866823444E-4</v>
      </c>
      <c r="AR331" s="137">
        <f>Transportation_LCIA!V$61*($W331^Transportation_LCIA!V$60)+Transportation_LCIA!V$62</f>
        <v>1.84492406579756E-4</v>
      </c>
      <c r="AT331" s="137">
        <f>$W331*Y331+$L331*Summary_LCIA!H$32</f>
        <v>320.56564525505814</v>
      </c>
      <c r="AU331" s="137">
        <f>$W331*Z331+$L331*Summary_LCIA!Q$32</f>
        <v>3250.8154997775027</v>
      </c>
      <c r="AV331" s="137">
        <f>$W331*AA331+$L331*Summary_LCIA!R$32</f>
        <v>1.4710324557945085</v>
      </c>
      <c r="AW331" s="137">
        <f>$W331*AB331+$L331*Summary_LCIA!S$32</f>
        <v>320.45265237505816</v>
      </c>
      <c r="AX331" s="137">
        <f>$W331*AC331+$L331*Summary_LCIA!T$32</f>
        <v>75.992017994175939</v>
      </c>
      <c r="AY331" s="137">
        <f>$W331*AD331+$L331*Summary_LCIA!U$32</f>
        <v>0.79256444167900086</v>
      </c>
      <c r="AZ331" s="137">
        <f>$W331*AE331+$L331*Summary_LCIA!V$32</f>
        <v>7.9947508929348772E-3</v>
      </c>
      <c r="BA331" s="137">
        <f>$W331*AF331+$L331*Summary_LCIA!W$32</f>
        <v>11.990624742212345</v>
      </c>
      <c r="BB331" s="137">
        <f>$W331*AG331+$L331*Summary_LCIA!X$32</f>
        <v>15.808434061769315</v>
      </c>
      <c r="BC331" s="137">
        <f>$W331*AH331+$L331*Summary_LCIA!Y$32</f>
        <v>0.68291472253117935</v>
      </c>
      <c r="BD331" s="137">
        <f>$W331*AI331+$L331*Summary_LCIA!Z$32</f>
        <v>0.33072894635717898</v>
      </c>
      <c r="BE331" s="137">
        <f>$W331*AJ331+$L331*Summary_LCIA!AA$32</f>
        <v>1.8163581589303006</v>
      </c>
      <c r="BF331" s="137">
        <f>$W331*AK331+$L331*Summary_LCIA!AB$32</f>
        <v>7.6676537678036671E-2</v>
      </c>
      <c r="BG331" s="137">
        <f>$W331*AL331+$L331*Summary_LCIA!AC$32</f>
        <v>3.8646456253477282E-5</v>
      </c>
      <c r="BH331" s="137">
        <f>$W331*AM331+$L331*Summary_LCIA!AD$32</f>
        <v>0.12368005988789478</v>
      </c>
      <c r="BI331" s="137">
        <f>$W331*AN331+$L331*Summary_LCIA!AE$32</f>
        <v>0.34884828142922092</v>
      </c>
      <c r="BJ331" s="137">
        <f>$W331*AO331+$L331*Summary_LCIA!AF$32</f>
        <v>2.6651917552505601E-2</v>
      </c>
      <c r="BK331" s="137">
        <f>$W331*AP331+$L331*Summary_LCIA!AG$32</f>
        <v>6.347582732505597E-3</v>
      </c>
      <c r="BL331" s="137">
        <f>$W331*AQ331+$L331*Summary_LCIA!AH$32</f>
        <v>0.91707006179571238</v>
      </c>
      <c r="BM331" s="137">
        <f>$W331*AR331+$L331*Summary_LCIA!AI$32</f>
        <v>0.31827074955506585</v>
      </c>
    </row>
    <row r="332" spans="1:65" x14ac:dyDescent="0.25">
      <c r="A332" s="149">
        <v>305</v>
      </c>
      <c r="B332" s="149">
        <v>16</v>
      </c>
      <c r="C332" s="61">
        <v>45.505105999999998</v>
      </c>
      <c r="D332" s="61">
        <v>-122.675026</v>
      </c>
      <c r="E332" s="61" t="s">
        <v>265</v>
      </c>
      <c r="F332" s="149">
        <v>90</v>
      </c>
      <c r="G332" s="61" t="s">
        <v>277</v>
      </c>
      <c r="H332" s="61" t="s">
        <v>697</v>
      </c>
      <c r="I332" s="61">
        <v>45.589768999999997</v>
      </c>
      <c r="J332" s="61">
        <v>-122.595094</v>
      </c>
      <c r="K332" s="61">
        <v>15.812124730000001</v>
      </c>
      <c r="L332" s="61">
        <v>25.564</v>
      </c>
      <c r="M332" s="61" t="s">
        <v>617</v>
      </c>
      <c r="N332" s="149">
        <v>15</v>
      </c>
      <c r="O332" s="149">
        <v>16</v>
      </c>
      <c r="P332" s="61" t="s">
        <v>565</v>
      </c>
      <c r="Q332" s="61" t="s">
        <v>556</v>
      </c>
      <c r="R332" s="61">
        <v>39.856096299999997</v>
      </c>
      <c r="S332" s="61">
        <v>-104.6737376</v>
      </c>
      <c r="T332" s="61">
        <v>2013.1210000000001</v>
      </c>
      <c r="U332" s="61" t="s">
        <v>617</v>
      </c>
      <c r="V332" s="61" t="s">
        <v>569</v>
      </c>
      <c r="W332" s="61" cm="1">
        <f t="array" ref="W332">getDistance(I332,J332,R332,S332)*SA!$B$12</f>
        <v>1596.036448404029</v>
      </c>
      <c r="Y332" s="137">
        <f>Transportation_LCIA!C$61*($W332^Transportation_LCIA!C$60)+Transportation_LCIA!C$62</f>
        <v>0.19540844343932395</v>
      </c>
      <c r="Z332" s="137">
        <f>Transportation_LCIA!D$61*($W332^Transportation_LCIA!D$60)+Transportation_LCIA!D$62</f>
        <v>1.9574233593676897</v>
      </c>
      <c r="AA332" s="137">
        <f>Transportation_LCIA!E$61*($W332^Transportation_LCIA!E$60)+Transportation_LCIA!E$62</f>
        <v>8.3733843217106757E-4</v>
      </c>
      <c r="AB332" s="137">
        <f>Transportation_LCIA!F$61*($W332^Transportation_LCIA!F$60)+Transportation_LCIA!F$62</f>
        <v>0.19540844343932395</v>
      </c>
      <c r="AC332" s="137">
        <f>Transportation_LCIA!G$61*($W332^Transportation_LCIA!G$60)+Transportation_LCIA!G$62</f>
        <v>4.5852671138779735E-2</v>
      </c>
      <c r="AD332" s="137">
        <f>Transportation_LCIA!H$61*($W332^Transportation_LCIA!H$60)+Transportation_LCIA!H$62</f>
        <v>2.0965119312506812E-4</v>
      </c>
      <c r="AE332" s="137">
        <f>Transportation_LCIA!I$61*($W332^Transportation_LCIA!I$60)+Transportation_LCIA!I$62</f>
        <v>4.2441315771380954E-6</v>
      </c>
      <c r="AF332" s="137">
        <f>Transportation_LCIA!J$61*($W332^Transportation_LCIA!J$60)+Transportation_LCIA!J$62</f>
        <v>6.2798929863004515E-3</v>
      </c>
      <c r="AG332" s="137">
        <f>Transportation_LCIA!K$61*($W332^Transportation_LCIA!K$60)+Transportation_LCIA!K$62</f>
        <v>9.5399363573399447E-3</v>
      </c>
      <c r="AH332" s="137">
        <f>Transportation_LCIA!L$61*($W332^Transportation_LCIA!L$60)+Transportation_LCIA!L$62</f>
        <v>1.7830198979211539E-4</v>
      </c>
      <c r="AI332" s="137">
        <f>Transportation_LCIA!M$61*($W332^Transportation_LCIA!M$60)+Transportation_LCIA!M$62</f>
        <v>2.0656206981416121E-4</v>
      </c>
      <c r="AJ332" s="137">
        <f>Transportation_LCIA!N$61*($W332^Transportation_LCIA!N$60)+Transportation_LCIA!N$62</f>
        <v>7.6394582100523844E-4</v>
      </c>
      <c r="AK332" s="137">
        <f>Transportation_LCIA!O$61*($W332^Transportation_LCIA!O$60)+Transportation_LCIA!O$62</f>
        <v>4.8391389136048821E-5</v>
      </c>
      <c r="AL332" s="137">
        <f>Transportation_LCIA!P$61*($W332^Transportation_LCIA!P$60)+Transportation_LCIA!P$62</f>
        <v>2.3431034870708958E-8</v>
      </c>
      <c r="AM332" s="137">
        <f>Transportation_LCIA!Q$61*($W332^Transportation_LCIA!Q$60)+Transportation_LCIA!Q$62</f>
        <v>7.0908301274110862E-5</v>
      </c>
      <c r="AN332" s="137">
        <f>Transportation_LCIA!R$61*($W332^Transportation_LCIA!R$60)+Transportation_LCIA!R$62</f>
        <v>2.0437832383803187E-4</v>
      </c>
      <c r="AO332" s="137">
        <f>Transportation_LCIA!S$61*($W332^Transportation_LCIA!S$60)+Transportation_LCIA!S$62</f>
        <v>3.1575724210715809E-6</v>
      </c>
      <c r="AP332" s="137">
        <f>Transportation_LCIA!T$61*($W332^Transportation_LCIA!T$60)+Transportation_LCIA!T$62</f>
        <v>3.1575724210715809E-6</v>
      </c>
      <c r="AQ332" s="137">
        <f>Transportation_LCIA!U$61*($W332^Transportation_LCIA!U$60)+Transportation_LCIA!U$62</f>
        <v>4.3518506866823444E-4</v>
      </c>
      <c r="AR332" s="137">
        <f>Transportation_LCIA!V$61*($W332^Transportation_LCIA!V$60)+Transportation_LCIA!V$62</f>
        <v>1.84492406579756E-4</v>
      </c>
      <c r="AT332" s="137">
        <f>$W332*Y332+$L332*Summary_LCIA!H$32</f>
        <v>320.56564525505814</v>
      </c>
      <c r="AU332" s="137">
        <f>$W332*Z332+$L332*Summary_LCIA!Q$32</f>
        <v>3250.8154997775027</v>
      </c>
      <c r="AV332" s="137">
        <f>$W332*AA332+$L332*Summary_LCIA!R$32</f>
        <v>1.4710324557945085</v>
      </c>
      <c r="AW332" s="137">
        <f>$W332*AB332+$L332*Summary_LCIA!S$32</f>
        <v>320.45265237505816</v>
      </c>
      <c r="AX332" s="137">
        <f>$W332*AC332+$L332*Summary_LCIA!T$32</f>
        <v>75.992017994175939</v>
      </c>
      <c r="AY332" s="137">
        <f>$W332*AD332+$L332*Summary_LCIA!U$32</f>
        <v>0.79256444167900086</v>
      </c>
      <c r="AZ332" s="137">
        <f>$W332*AE332+$L332*Summary_LCIA!V$32</f>
        <v>7.9947508929348772E-3</v>
      </c>
      <c r="BA332" s="137">
        <f>$W332*AF332+$L332*Summary_LCIA!W$32</f>
        <v>11.990624742212345</v>
      </c>
      <c r="BB332" s="137">
        <f>$W332*AG332+$L332*Summary_LCIA!X$32</f>
        <v>15.808434061769315</v>
      </c>
      <c r="BC332" s="137">
        <f>$W332*AH332+$L332*Summary_LCIA!Y$32</f>
        <v>0.68291472253117935</v>
      </c>
      <c r="BD332" s="137">
        <f>$W332*AI332+$L332*Summary_LCIA!Z$32</f>
        <v>0.33072894635717898</v>
      </c>
      <c r="BE332" s="137">
        <f>$W332*AJ332+$L332*Summary_LCIA!AA$32</f>
        <v>1.8163581589303006</v>
      </c>
      <c r="BF332" s="137">
        <f>$W332*AK332+$L332*Summary_LCIA!AB$32</f>
        <v>7.6676537678036671E-2</v>
      </c>
      <c r="BG332" s="137">
        <f>$W332*AL332+$L332*Summary_LCIA!AC$32</f>
        <v>3.8646456253477282E-5</v>
      </c>
      <c r="BH332" s="137">
        <f>$W332*AM332+$L332*Summary_LCIA!AD$32</f>
        <v>0.12368005988789478</v>
      </c>
      <c r="BI332" s="137">
        <f>$W332*AN332+$L332*Summary_LCIA!AE$32</f>
        <v>0.34884828142922092</v>
      </c>
      <c r="BJ332" s="137">
        <f>$W332*AO332+$L332*Summary_LCIA!AF$32</f>
        <v>2.6651917552505601E-2</v>
      </c>
      <c r="BK332" s="137">
        <f>$W332*AP332+$L332*Summary_LCIA!AG$32</f>
        <v>6.347582732505597E-3</v>
      </c>
      <c r="BL332" s="137">
        <f>$W332*AQ332+$L332*Summary_LCIA!AH$32</f>
        <v>0.91707006179571238</v>
      </c>
      <c r="BM332" s="137">
        <f>$W332*AR332+$L332*Summary_LCIA!AI$32</f>
        <v>0.31827074955506585</v>
      </c>
    </row>
    <row r="333" spans="1:65" x14ac:dyDescent="0.25">
      <c r="A333" s="149">
        <v>306</v>
      </c>
      <c r="B333" s="149">
        <v>16</v>
      </c>
      <c r="C333" s="61">
        <v>45.505105999999998</v>
      </c>
      <c r="D333" s="61">
        <v>-122.675026</v>
      </c>
      <c r="E333" s="61" t="s">
        <v>265</v>
      </c>
      <c r="F333" s="149">
        <v>90</v>
      </c>
      <c r="G333" s="61" t="s">
        <v>277</v>
      </c>
      <c r="H333" s="61" t="s">
        <v>697</v>
      </c>
      <c r="I333" s="61">
        <v>45.589768999999997</v>
      </c>
      <c r="J333" s="61">
        <v>-122.595094</v>
      </c>
      <c r="K333" s="61">
        <v>15.812124730000001</v>
      </c>
      <c r="L333" s="61">
        <v>25.564</v>
      </c>
      <c r="M333" s="61" t="s">
        <v>617</v>
      </c>
      <c r="N333" s="149">
        <v>15</v>
      </c>
      <c r="O333" s="149">
        <v>16</v>
      </c>
      <c r="P333" s="61" t="s">
        <v>565</v>
      </c>
      <c r="Q333" s="61" t="s">
        <v>556</v>
      </c>
      <c r="R333" s="61">
        <v>39.856096299999997</v>
      </c>
      <c r="S333" s="61">
        <v>-104.6737376</v>
      </c>
      <c r="T333" s="61">
        <v>2013.1210000000001</v>
      </c>
      <c r="U333" s="61" t="s">
        <v>617</v>
      </c>
      <c r="V333" s="61" t="s">
        <v>569</v>
      </c>
      <c r="W333" s="61" cm="1">
        <f t="array" ref="W333">getDistance(I333,J333,R333,S333)*SA!$B$12</f>
        <v>1596.036448404029</v>
      </c>
      <c r="Y333" s="137">
        <f>Transportation_LCIA!C$61*($W333^Transportation_LCIA!C$60)+Transportation_LCIA!C$62</f>
        <v>0.19540844343932395</v>
      </c>
      <c r="Z333" s="137">
        <f>Transportation_LCIA!D$61*($W333^Transportation_LCIA!D$60)+Transportation_LCIA!D$62</f>
        <v>1.9574233593676897</v>
      </c>
      <c r="AA333" s="137">
        <f>Transportation_LCIA!E$61*($W333^Transportation_LCIA!E$60)+Transportation_LCIA!E$62</f>
        <v>8.3733843217106757E-4</v>
      </c>
      <c r="AB333" s="137">
        <f>Transportation_LCIA!F$61*($W333^Transportation_LCIA!F$60)+Transportation_LCIA!F$62</f>
        <v>0.19540844343932395</v>
      </c>
      <c r="AC333" s="137">
        <f>Transportation_LCIA!G$61*($W333^Transportation_LCIA!G$60)+Transportation_LCIA!G$62</f>
        <v>4.5852671138779735E-2</v>
      </c>
      <c r="AD333" s="137">
        <f>Transportation_LCIA!H$61*($W333^Transportation_LCIA!H$60)+Transportation_LCIA!H$62</f>
        <v>2.0965119312506812E-4</v>
      </c>
      <c r="AE333" s="137">
        <f>Transportation_LCIA!I$61*($W333^Transportation_LCIA!I$60)+Transportation_LCIA!I$62</f>
        <v>4.2441315771380954E-6</v>
      </c>
      <c r="AF333" s="137">
        <f>Transportation_LCIA!J$61*($W333^Transportation_LCIA!J$60)+Transportation_LCIA!J$62</f>
        <v>6.2798929863004515E-3</v>
      </c>
      <c r="AG333" s="137">
        <f>Transportation_LCIA!K$61*($W333^Transportation_LCIA!K$60)+Transportation_LCIA!K$62</f>
        <v>9.5399363573399447E-3</v>
      </c>
      <c r="AH333" s="137">
        <f>Transportation_LCIA!L$61*($W333^Transportation_LCIA!L$60)+Transportation_LCIA!L$62</f>
        <v>1.7830198979211539E-4</v>
      </c>
      <c r="AI333" s="137">
        <f>Transportation_LCIA!M$61*($W333^Transportation_LCIA!M$60)+Transportation_LCIA!M$62</f>
        <v>2.0656206981416121E-4</v>
      </c>
      <c r="AJ333" s="137">
        <f>Transportation_LCIA!N$61*($W333^Transportation_LCIA!N$60)+Transportation_LCIA!N$62</f>
        <v>7.6394582100523844E-4</v>
      </c>
      <c r="AK333" s="137">
        <f>Transportation_LCIA!O$61*($W333^Transportation_LCIA!O$60)+Transportation_LCIA!O$62</f>
        <v>4.8391389136048821E-5</v>
      </c>
      <c r="AL333" s="137">
        <f>Transportation_LCIA!P$61*($W333^Transportation_LCIA!P$60)+Transportation_LCIA!P$62</f>
        <v>2.3431034870708958E-8</v>
      </c>
      <c r="AM333" s="137">
        <f>Transportation_LCIA!Q$61*($W333^Transportation_LCIA!Q$60)+Transportation_LCIA!Q$62</f>
        <v>7.0908301274110862E-5</v>
      </c>
      <c r="AN333" s="137">
        <f>Transportation_LCIA!R$61*($W333^Transportation_LCIA!R$60)+Transportation_LCIA!R$62</f>
        <v>2.0437832383803187E-4</v>
      </c>
      <c r="AO333" s="137">
        <f>Transportation_LCIA!S$61*($W333^Transportation_LCIA!S$60)+Transportation_LCIA!S$62</f>
        <v>3.1575724210715809E-6</v>
      </c>
      <c r="AP333" s="137">
        <f>Transportation_LCIA!T$61*($W333^Transportation_LCIA!T$60)+Transportation_LCIA!T$62</f>
        <v>3.1575724210715809E-6</v>
      </c>
      <c r="AQ333" s="137">
        <f>Transportation_LCIA!U$61*($W333^Transportation_LCIA!U$60)+Transportation_LCIA!U$62</f>
        <v>4.3518506866823444E-4</v>
      </c>
      <c r="AR333" s="137">
        <f>Transportation_LCIA!V$61*($W333^Transportation_LCIA!V$60)+Transportation_LCIA!V$62</f>
        <v>1.84492406579756E-4</v>
      </c>
      <c r="AT333" s="137">
        <f>$W333*Y333+$L333*Summary_LCIA!H$32</f>
        <v>320.56564525505814</v>
      </c>
      <c r="AU333" s="137">
        <f>$W333*Z333+$L333*Summary_LCIA!Q$32</f>
        <v>3250.8154997775027</v>
      </c>
      <c r="AV333" s="137">
        <f>$W333*AA333+$L333*Summary_LCIA!R$32</f>
        <v>1.4710324557945085</v>
      </c>
      <c r="AW333" s="137">
        <f>$W333*AB333+$L333*Summary_LCIA!S$32</f>
        <v>320.45265237505816</v>
      </c>
      <c r="AX333" s="137">
        <f>$W333*AC333+$L333*Summary_LCIA!T$32</f>
        <v>75.992017994175939</v>
      </c>
      <c r="AY333" s="137">
        <f>$W333*AD333+$L333*Summary_LCIA!U$32</f>
        <v>0.79256444167900086</v>
      </c>
      <c r="AZ333" s="137">
        <f>$W333*AE333+$L333*Summary_LCIA!V$32</f>
        <v>7.9947508929348772E-3</v>
      </c>
      <c r="BA333" s="137">
        <f>$W333*AF333+$L333*Summary_LCIA!W$32</f>
        <v>11.990624742212345</v>
      </c>
      <c r="BB333" s="137">
        <f>$W333*AG333+$L333*Summary_LCIA!X$32</f>
        <v>15.808434061769315</v>
      </c>
      <c r="BC333" s="137">
        <f>$W333*AH333+$L333*Summary_LCIA!Y$32</f>
        <v>0.68291472253117935</v>
      </c>
      <c r="BD333" s="137">
        <f>$W333*AI333+$L333*Summary_LCIA!Z$32</f>
        <v>0.33072894635717898</v>
      </c>
      <c r="BE333" s="137">
        <f>$W333*AJ333+$L333*Summary_LCIA!AA$32</f>
        <v>1.8163581589303006</v>
      </c>
      <c r="BF333" s="137">
        <f>$W333*AK333+$L333*Summary_LCIA!AB$32</f>
        <v>7.6676537678036671E-2</v>
      </c>
      <c r="BG333" s="137">
        <f>$W333*AL333+$L333*Summary_LCIA!AC$32</f>
        <v>3.8646456253477282E-5</v>
      </c>
      <c r="BH333" s="137">
        <f>$W333*AM333+$L333*Summary_LCIA!AD$32</f>
        <v>0.12368005988789478</v>
      </c>
      <c r="BI333" s="137">
        <f>$W333*AN333+$L333*Summary_LCIA!AE$32</f>
        <v>0.34884828142922092</v>
      </c>
      <c r="BJ333" s="137">
        <f>$W333*AO333+$L333*Summary_LCIA!AF$32</f>
        <v>2.6651917552505601E-2</v>
      </c>
      <c r="BK333" s="137">
        <f>$W333*AP333+$L333*Summary_LCIA!AG$32</f>
        <v>6.347582732505597E-3</v>
      </c>
      <c r="BL333" s="137">
        <f>$W333*AQ333+$L333*Summary_LCIA!AH$32</f>
        <v>0.91707006179571238</v>
      </c>
      <c r="BM333" s="137">
        <f>$W333*AR333+$L333*Summary_LCIA!AI$32</f>
        <v>0.31827074955506585</v>
      </c>
    </row>
    <row r="334" spans="1:65" x14ac:dyDescent="0.25">
      <c r="A334" s="149">
        <v>328</v>
      </c>
      <c r="B334" s="149">
        <v>16</v>
      </c>
      <c r="C334" s="61">
        <v>37.774929</v>
      </c>
      <c r="D334" s="61">
        <v>-122.419415</v>
      </c>
      <c r="E334" s="61" t="s">
        <v>265</v>
      </c>
      <c r="F334" s="149">
        <v>99</v>
      </c>
      <c r="G334" s="61" t="s">
        <v>623</v>
      </c>
      <c r="H334" s="61" t="s">
        <v>624</v>
      </c>
      <c r="I334" s="61">
        <v>37.712569000000002</v>
      </c>
      <c r="J334" s="61">
        <v>-122.21974299999999</v>
      </c>
      <c r="K334" s="61">
        <v>31.718590620000001</v>
      </c>
      <c r="L334" s="61">
        <v>34.848999999999997</v>
      </c>
      <c r="M334" s="61" t="s">
        <v>617</v>
      </c>
      <c r="N334" s="149">
        <v>15</v>
      </c>
      <c r="O334" s="149">
        <v>16</v>
      </c>
      <c r="P334" s="61" t="s">
        <v>565</v>
      </c>
      <c r="Q334" s="61" t="s">
        <v>556</v>
      </c>
      <c r="R334" s="61">
        <v>39.856096299999997</v>
      </c>
      <c r="S334" s="61">
        <v>-104.6737376</v>
      </c>
      <c r="T334" s="61">
        <v>2020.191</v>
      </c>
      <c r="U334" s="61" t="s">
        <v>617</v>
      </c>
      <c r="V334" s="61" t="s">
        <v>569</v>
      </c>
      <c r="W334" s="61" cm="1">
        <f t="array" ref="W334">getDistance(I334,J334,R334,S334)*SA!$B$12</f>
        <v>1540.5141112510541</v>
      </c>
      <c r="Y334" s="137">
        <f>Transportation_LCIA!C$61*($W334^Transportation_LCIA!C$60)+Transportation_LCIA!C$62</f>
        <v>0.19792655707655432</v>
      </c>
      <c r="Z334" s="137">
        <f>Transportation_LCIA!D$61*($W334^Transportation_LCIA!D$60)+Transportation_LCIA!D$62</f>
        <v>1.9862359467891511</v>
      </c>
      <c r="AA334" s="137">
        <f>Transportation_LCIA!E$61*($W334^Transportation_LCIA!E$60)+Transportation_LCIA!E$62</f>
        <v>8.5617759378439932E-4</v>
      </c>
      <c r="AB334" s="137">
        <f>Transportation_LCIA!F$61*($W334^Transportation_LCIA!F$60)+Transportation_LCIA!F$62</f>
        <v>0.19792655707655432</v>
      </c>
      <c r="AC334" s="137">
        <f>Transportation_LCIA!G$61*($W334^Transportation_LCIA!G$60)+Transportation_LCIA!G$62</f>
        <v>4.6520039210562858E-2</v>
      </c>
      <c r="AD334" s="137">
        <f>Transportation_LCIA!H$61*($W334^Transportation_LCIA!H$60)+Transportation_LCIA!H$62</f>
        <v>2.1374842864686517E-4</v>
      </c>
      <c r="AE334" s="137">
        <f>Transportation_LCIA!I$61*($W334^Transportation_LCIA!I$60)+Transportation_LCIA!I$62</f>
        <v>4.3454704380997702E-6</v>
      </c>
      <c r="AF334" s="137">
        <f>Transportation_LCIA!J$61*($W334^Transportation_LCIA!J$60)+Transportation_LCIA!J$62</f>
        <v>6.4290844934420813E-3</v>
      </c>
      <c r="AG334" s="137">
        <f>Transportation_LCIA!K$61*($W334^Transportation_LCIA!K$60)+Transportation_LCIA!K$62</f>
        <v>9.6941777379801232E-3</v>
      </c>
      <c r="AH334" s="137">
        <f>Transportation_LCIA!L$61*($W334^Transportation_LCIA!L$60)+Transportation_LCIA!L$62</f>
        <v>1.8204986406811593E-4</v>
      </c>
      <c r="AI334" s="137">
        <f>Transportation_LCIA!M$61*($W334^Transportation_LCIA!M$60)+Transportation_LCIA!M$62</f>
        <v>2.0882194854566214E-4</v>
      </c>
      <c r="AJ334" s="137">
        <f>Transportation_LCIA!N$61*($W334^Transportation_LCIA!N$60)+Transportation_LCIA!N$62</f>
        <v>7.7774072603392945E-4</v>
      </c>
      <c r="AK334" s="137">
        <f>Transportation_LCIA!O$61*($W334^Transportation_LCIA!O$60)+Transportation_LCIA!O$62</f>
        <v>4.9100169370747042E-5</v>
      </c>
      <c r="AL334" s="137">
        <f>Transportation_LCIA!P$61*($W334^Transportation_LCIA!P$60)+Transportation_LCIA!P$62</f>
        <v>2.3772309046564421E-8</v>
      </c>
      <c r="AM334" s="137">
        <f>Transportation_LCIA!Q$61*($W334^Transportation_LCIA!Q$60)+Transportation_LCIA!Q$62</f>
        <v>7.2369765595730283E-5</v>
      </c>
      <c r="AN334" s="137">
        <f>Transportation_LCIA!R$61*($W334^Transportation_LCIA!R$60)+Transportation_LCIA!R$62</f>
        <v>2.0923575159105117E-4</v>
      </c>
      <c r="AO334" s="137">
        <f>Transportation_LCIA!S$61*($W334^Transportation_LCIA!S$60)+Transportation_LCIA!S$62</f>
        <v>3.2265640835120827E-6</v>
      </c>
      <c r="AP334" s="137">
        <f>Transportation_LCIA!T$61*($W334^Transportation_LCIA!T$60)+Transportation_LCIA!T$62</f>
        <v>3.2265640835120827E-6</v>
      </c>
      <c r="AQ334" s="137">
        <f>Transportation_LCIA!U$61*($W334^Transportation_LCIA!U$60)+Transportation_LCIA!U$62</f>
        <v>4.4580191537815767E-4</v>
      </c>
      <c r="AR334" s="137">
        <f>Transportation_LCIA!V$61*($W334^Transportation_LCIA!V$60)+Transportation_LCIA!V$62</f>
        <v>1.8828115436054458E-4</v>
      </c>
      <c r="AT334" s="137">
        <f>$W334*Y334+$L334*Summary_LCIA!H$32</f>
        <v>316.75034436776912</v>
      </c>
      <c r="AU334" s="137">
        <f>$W334*Z334+$L334*Summary_LCIA!Q$32</f>
        <v>3232.5379058424019</v>
      </c>
      <c r="AV334" s="137">
        <f>$W334*AA334+$L334*Summary_LCIA!R$32</f>
        <v>1.5024545593618401</v>
      </c>
      <c r="AW334" s="137">
        <f>$W334*AB334+$L334*Summary_LCIA!S$32</f>
        <v>316.59631178776908</v>
      </c>
      <c r="AX334" s="137">
        <f>$W334*AC334+$L334*Summary_LCIA!T$32</f>
        <v>75.494681959824433</v>
      </c>
      <c r="AY334" s="137">
        <f>$W334*AD334+$L334*Summary_LCIA!U$32</f>
        <v>0.95356745658823483</v>
      </c>
      <c r="AZ334" s="137">
        <f>$W334*AE334+$L334*Summary_LCIA!V$32</f>
        <v>8.3586816189169955E-3</v>
      </c>
      <c r="BA334" s="137">
        <f>$W334*AF334+$L334*Summary_LCIA!W$32</f>
        <v>12.586457763572863</v>
      </c>
      <c r="BB334" s="137">
        <f>$W334*AG334+$L334*Summary_LCIA!X$32</f>
        <v>15.727877822334204</v>
      </c>
      <c r="BC334" s="137">
        <f>$W334*AH334+$L334*Summary_LCIA!Y$32</f>
        <v>0.82346750254826873</v>
      </c>
      <c r="BD334" s="137">
        <f>$W334*AI334+$L334*Summary_LCIA!Z$32</f>
        <v>0.32312228111453406</v>
      </c>
      <c r="BE334" s="137">
        <f>$W334*AJ334+$L334*Summary_LCIA!AA$32</f>
        <v>2.0120538073499081</v>
      </c>
      <c r="BF334" s="137">
        <f>$W334*AK334+$L334*Summary_LCIA!AB$32</f>
        <v>7.4878994053452622E-2</v>
      </c>
      <c r="BG334" s="137">
        <f>$W334*AL334+$L334*Summary_LCIA!AC$32</f>
        <v>3.8325136059253582E-5</v>
      </c>
      <c r="BH334" s="137">
        <f>$W334*AM334+$L334*Summary_LCIA!AD$32</f>
        <v>0.12581097808815356</v>
      </c>
      <c r="BI334" s="137">
        <f>$W334*AN334+$L334*Summary_LCIA!AE$32</f>
        <v>0.35321137227423449</v>
      </c>
      <c r="BJ334" s="137">
        <f>$W334*AO334+$L334*Summary_LCIA!AF$32</f>
        <v>3.4432609081506187E-2</v>
      </c>
      <c r="BK334" s="137">
        <f>$W334*AP334+$L334*Summary_LCIA!AG$32</f>
        <v>6.7536165865061878E-3</v>
      </c>
      <c r="BL334" s="137">
        <f>$W334*AQ334+$L334*Summary_LCIA!AH$32</f>
        <v>0.99007589786280015</v>
      </c>
      <c r="BM334" s="137">
        <f>$W334*AR334+$L334*Summary_LCIA!AI$32</f>
        <v>0.32251336112505685</v>
      </c>
    </row>
    <row r="335" spans="1:65" x14ac:dyDescent="0.25">
      <c r="A335" s="149">
        <v>201</v>
      </c>
      <c r="B335" s="149">
        <v>16</v>
      </c>
      <c r="C335" s="61">
        <v>44.564565999999999</v>
      </c>
      <c r="D335" s="61">
        <v>-123.262044</v>
      </c>
      <c r="E335" s="61" t="s">
        <v>265</v>
      </c>
      <c r="F335" s="149">
        <v>90</v>
      </c>
      <c r="G335" s="61" t="s">
        <v>277</v>
      </c>
      <c r="H335" s="61" t="s">
        <v>697</v>
      </c>
      <c r="I335" s="61">
        <v>45.589768999999997</v>
      </c>
      <c r="J335" s="61">
        <v>-122.595094</v>
      </c>
      <c r="K335" s="61">
        <v>197.87946479999999</v>
      </c>
      <c r="L335" s="61">
        <v>153.494</v>
      </c>
      <c r="M335" s="61" t="s">
        <v>617</v>
      </c>
      <c r="N335" s="149">
        <v>15</v>
      </c>
      <c r="O335" s="149">
        <v>16</v>
      </c>
      <c r="P335" s="61" t="s">
        <v>565</v>
      </c>
      <c r="Q335" s="61" t="s">
        <v>556</v>
      </c>
      <c r="R335" s="61">
        <v>39.856096299999997</v>
      </c>
      <c r="S335" s="61">
        <v>-104.6737376</v>
      </c>
      <c r="T335" s="61">
        <v>2030.662</v>
      </c>
      <c r="U335" s="61" t="s">
        <v>617</v>
      </c>
      <c r="V335" s="61" t="s">
        <v>569</v>
      </c>
      <c r="W335" s="61" cm="1">
        <f t="array" ref="W335">getDistance(I335,J335,R335,S335)*SA!$B$12</f>
        <v>1596.036448404029</v>
      </c>
      <c r="Y335" s="137">
        <f>Transportation_LCIA!C$61*($W335^Transportation_LCIA!C$60)+Transportation_LCIA!C$62</f>
        <v>0.19540844343932395</v>
      </c>
      <c r="Z335" s="137">
        <f>Transportation_LCIA!D$61*($W335^Transportation_LCIA!D$60)+Transportation_LCIA!D$62</f>
        <v>1.9574233593676897</v>
      </c>
      <c r="AA335" s="137">
        <f>Transportation_LCIA!E$61*($W335^Transportation_LCIA!E$60)+Transportation_LCIA!E$62</f>
        <v>8.3733843217106757E-4</v>
      </c>
      <c r="AB335" s="137">
        <f>Transportation_LCIA!F$61*($W335^Transportation_LCIA!F$60)+Transportation_LCIA!F$62</f>
        <v>0.19540844343932395</v>
      </c>
      <c r="AC335" s="137">
        <f>Transportation_LCIA!G$61*($W335^Transportation_LCIA!G$60)+Transportation_LCIA!G$62</f>
        <v>4.5852671138779735E-2</v>
      </c>
      <c r="AD335" s="137">
        <f>Transportation_LCIA!H$61*($W335^Transportation_LCIA!H$60)+Transportation_LCIA!H$62</f>
        <v>2.0965119312506812E-4</v>
      </c>
      <c r="AE335" s="137">
        <f>Transportation_LCIA!I$61*($W335^Transportation_LCIA!I$60)+Transportation_LCIA!I$62</f>
        <v>4.2441315771380954E-6</v>
      </c>
      <c r="AF335" s="137">
        <f>Transportation_LCIA!J$61*($W335^Transportation_LCIA!J$60)+Transportation_LCIA!J$62</f>
        <v>6.2798929863004515E-3</v>
      </c>
      <c r="AG335" s="137">
        <f>Transportation_LCIA!K$61*($W335^Transportation_LCIA!K$60)+Transportation_LCIA!K$62</f>
        <v>9.5399363573399447E-3</v>
      </c>
      <c r="AH335" s="137">
        <f>Transportation_LCIA!L$61*($W335^Transportation_LCIA!L$60)+Transportation_LCIA!L$62</f>
        <v>1.7830198979211539E-4</v>
      </c>
      <c r="AI335" s="137">
        <f>Transportation_LCIA!M$61*($W335^Transportation_LCIA!M$60)+Transportation_LCIA!M$62</f>
        <v>2.0656206981416121E-4</v>
      </c>
      <c r="AJ335" s="137">
        <f>Transportation_LCIA!N$61*($W335^Transportation_LCIA!N$60)+Transportation_LCIA!N$62</f>
        <v>7.6394582100523844E-4</v>
      </c>
      <c r="AK335" s="137">
        <f>Transportation_LCIA!O$61*($W335^Transportation_LCIA!O$60)+Transportation_LCIA!O$62</f>
        <v>4.8391389136048821E-5</v>
      </c>
      <c r="AL335" s="137">
        <f>Transportation_LCIA!P$61*($W335^Transportation_LCIA!P$60)+Transportation_LCIA!P$62</f>
        <v>2.3431034870708958E-8</v>
      </c>
      <c r="AM335" s="137">
        <f>Transportation_LCIA!Q$61*($W335^Transportation_LCIA!Q$60)+Transportation_LCIA!Q$62</f>
        <v>7.0908301274110862E-5</v>
      </c>
      <c r="AN335" s="137">
        <f>Transportation_LCIA!R$61*($W335^Transportation_LCIA!R$60)+Transportation_LCIA!R$62</f>
        <v>2.0437832383803187E-4</v>
      </c>
      <c r="AO335" s="137">
        <f>Transportation_LCIA!S$61*($W335^Transportation_LCIA!S$60)+Transportation_LCIA!S$62</f>
        <v>3.1575724210715809E-6</v>
      </c>
      <c r="AP335" s="137">
        <f>Transportation_LCIA!T$61*($W335^Transportation_LCIA!T$60)+Transportation_LCIA!T$62</f>
        <v>3.1575724210715809E-6</v>
      </c>
      <c r="AQ335" s="137">
        <f>Transportation_LCIA!U$61*($W335^Transportation_LCIA!U$60)+Transportation_LCIA!U$62</f>
        <v>4.3518506866823444E-4</v>
      </c>
      <c r="AR335" s="137">
        <f>Transportation_LCIA!V$61*($W335^Transportation_LCIA!V$60)+Transportation_LCIA!V$62</f>
        <v>1.84492406579756E-4</v>
      </c>
      <c r="AT335" s="137">
        <f>$W335*Y335+$L335*Summary_LCIA!H$32</f>
        <v>364.03625925505816</v>
      </c>
      <c r="AU335" s="137">
        <f>$W335*Z335+$L335*Summary_LCIA!Q$32</f>
        <v>3884.8430316711929</v>
      </c>
      <c r="AV335" s="137">
        <f>$W335*AA335+$L335*Summary_LCIA!R$32</f>
        <v>2.1446606637945087</v>
      </c>
      <c r="AW335" s="137">
        <f>$W335*AB335+$L335*Summary_LCIA!S$32</f>
        <v>363.35781577505816</v>
      </c>
      <c r="AX335" s="137">
        <f>$W335*AC335+$L335*Summary_LCIA!T$32</f>
        <v>90.051524994175935</v>
      </c>
      <c r="AY335" s="137">
        <f>$W335*AD335+$L335*Summary_LCIA!U$32</f>
        <v>3.0843024616790009</v>
      </c>
      <c r="AZ335" s="137">
        <f>$W335*AE335+$L335*Summary_LCIA!V$32</f>
        <v>1.4104815622934877E-2</v>
      </c>
      <c r="BA335" s="137">
        <f>$W335*AF335+$L335*Summary_LCIA!W$32</f>
        <v>21.837524772212344</v>
      </c>
      <c r="BB335" s="137">
        <f>$W335*AG335+$L335*Summary_LCIA!X$32</f>
        <v>18.722679461769314</v>
      </c>
      <c r="BC335" s="137">
        <f>$W335*AH335+$L335*Summary_LCIA!Y$32</f>
        <v>2.6763199825311794</v>
      </c>
      <c r="BD335" s="137">
        <f>$W335*AI335+$L335*Summary_LCIA!Z$32</f>
        <v>0.33597522772717897</v>
      </c>
      <c r="BE335" s="137">
        <f>$W335*AJ335+$L335*Summary_LCIA!AA$32</f>
        <v>4.8042912389303005</v>
      </c>
      <c r="BF335" s="137">
        <f>$W335*AK335+$L335*Summary_LCIA!AB$32</f>
        <v>7.3884721288036678E-2</v>
      </c>
      <c r="BG335" s="137">
        <f>$W335*AL335+$L335*Summary_LCIA!AC$32</f>
        <v>4.490018637347728E-5</v>
      </c>
      <c r="BH335" s="137">
        <f>$W335*AM335+$L335*Summary_LCIA!AD$32</f>
        <v>0.17626440708789476</v>
      </c>
      <c r="BI335" s="137">
        <f>$W335*AN335+$L335*Summary_LCIA!AE$32</f>
        <v>0.46221089232922086</v>
      </c>
      <c r="BJ335" s="137">
        <f>$W335*AO335+$L335*Summary_LCIA!AF$32</f>
        <v>0.13480649815250559</v>
      </c>
      <c r="BK335" s="137">
        <f>$W335*AP335+$L335*Summary_LCIA!AG$32</f>
        <v>1.2893121182505598E-2</v>
      </c>
      <c r="BL335" s="137">
        <f>$W335*AQ335+$L335*Summary_LCIA!AH$32</f>
        <v>2.0305216097957128</v>
      </c>
      <c r="BM335" s="137">
        <f>$W335*AR335+$L335*Summary_LCIA!AI$32</f>
        <v>0.43744394105506584</v>
      </c>
    </row>
    <row r="336" spans="1:65" x14ac:dyDescent="0.25">
      <c r="A336" s="149">
        <v>202</v>
      </c>
      <c r="B336" s="149">
        <v>16</v>
      </c>
      <c r="C336" s="61">
        <v>44.564565999999999</v>
      </c>
      <c r="D336" s="61">
        <v>-123.262044</v>
      </c>
      <c r="E336" s="61" t="s">
        <v>265</v>
      </c>
      <c r="F336" s="149">
        <v>90</v>
      </c>
      <c r="G336" s="61" t="s">
        <v>277</v>
      </c>
      <c r="H336" s="61" t="s">
        <v>697</v>
      </c>
      <c r="I336" s="61">
        <v>45.589768999999997</v>
      </c>
      <c r="J336" s="61">
        <v>-122.595094</v>
      </c>
      <c r="K336" s="61">
        <v>197.87946479999999</v>
      </c>
      <c r="L336" s="61">
        <v>153.494</v>
      </c>
      <c r="M336" s="61" t="s">
        <v>617</v>
      </c>
      <c r="N336" s="149">
        <v>15</v>
      </c>
      <c r="O336" s="149">
        <v>16</v>
      </c>
      <c r="P336" s="61" t="s">
        <v>565</v>
      </c>
      <c r="Q336" s="61" t="s">
        <v>556</v>
      </c>
      <c r="R336" s="61">
        <v>39.856096299999997</v>
      </c>
      <c r="S336" s="61">
        <v>-104.6737376</v>
      </c>
      <c r="T336" s="61">
        <v>2030.662</v>
      </c>
      <c r="U336" s="61" t="s">
        <v>617</v>
      </c>
      <c r="V336" s="61" t="s">
        <v>569</v>
      </c>
      <c r="W336" s="61" cm="1">
        <f t="array" ref="W336">getDistance(I336,J336,R336,S336)*SA!$B$12</f>
        <v>1596.036448404029</v>
      </c>
      <c r="Y336" s="137">
        <f>Transportation_LCIA!C$61*($W336^Transportation_LCIA!C$60)+Transportation_LCIA!C$62</f>
        <v>0.19540844343932395</v>
      </c>
      <c r="Z336" s="137">
        <f>Transportation_LCIA!D$61*($W336^Transportation_LCIA!D$60)+Transportation_LCIA!D$62</f>
        <v>1.9574233593676897</v>
      </c>
      <c r="AA336" s="137">
        <f>Transportation_LCIA!E$61*($W336^Transportation_LCIA!E$60)+Transportation_LCIA!E$62</f>
        <v>8.3733843217106757E-4</v>
      </c>
      <c r="AB336" s="137">
        <f>Transportation_LCIA!F$61*($W336^Transportation_LCIA!F$60)+Transportation_LCIA!F$62</f>
        <v>0.19540844343932395</v>
      </c>
      <c r="AC336" s="137">
        <f>Transportation_LCIA!G$61*($W336^Transportation_LCIA!G$60)+Transportation_LCIA!G$62</f>
        <v>4.5852671138779735E-2</v>
      </c>
      <c r="AD336" s="137">
        <f>Transportation_LCIA!H$61*($W336^Transportation_LCIA!H$60)+Transportation_LCIA!H$62</f>
        <v>2.0965119312506812E-4</v>
      </c>
      <c r="AE336" s="137">
        <f>Transportation_LCIA!I$61*($W336^Transportation_LCIA!I$60)+Transportation_LCIA!I$62</f>
        <v>4.2441315771380954E-6</v>
      </c>
      <c r="AF336" s="137">
        <f>Transportation_LCIA!J$61*($W336^Transportation_LCIA!J$60)+Transportation_LCIA!J$62</f>
        <v>6.2798929863004515E-3</v>
      </c>
      <c r="AG336" s="137">
        <f>Transportation_LCIA!K$61*($W336^Transportation_LCIA!K$60)+Transportation_LCIA!K$62</f>
        <v>9.5399363573399447E-3</v>
      </c>
      <c r="AH336" s="137">
        <f>Transportation_LCIA!L$61*($W336^Transportation_LCIA!L$60)+Transportation_LCIA!L$62</f>
        <v>1.7830198979211539E-4</v>
      </c>
      <c r="AI336" s="137">
        <f>Transportation_LCIA!M$61*($W336^Transportation_LCIA!M$60)+Transportation_LCIA!M$62</f>
        <v>2.0656206981416121E-4</v>
      </c>
      <c r="AJ336" s="137">
        <f>Transportation_LCIA!N$61*($W336^Transportation_LCIA!N$60)+Transportation_LCIA!N$62</f>
        <v>7.6394582100523844E-4</v>
      </c>
      <c r="AK336" s="137">
        <f>Transportation_LCIA!O$61*($W336^Transportation_LCIA!O$60)+Transportation_LCIA!O$62</f>
        <v>4.8391389136048821E-5</v>
      </c>
      <c r="AL336" s="137">
        <f>Transportation_LCIA!P$61*($W336^Transportation_LCIA!P$60)+Transportation_LCIA!P$62</f>
        <v>2.3431034870708958E-8</v>
      </c>
      <c r="AM336" s="137">
        <f>Transportation_LCIA!Q$61*($W336^Transportation_LCIA!Q$60)+Transportation_LCIA!Q$62</f>
        <v>7.0908301274110862E-5</v>
      </c>
      <c r="AN336" s="137">
        <f>Transportation_LCIA!R$61*($W336^Transportation_LCIA!R$60)+Transportation_LCIA!R$62</f>
        <v>2.0437832383803187E-4</v>
      </c>
      <c r="AO336" s="137">
        <f>Transportation_LCIA!S$61*($W336^Transportation_LCIA!S$60)+Transportation_LCIA!S$62</f>
        <v>3.1575724210715809E-6</v>
      </c>
      <c r="AP336" s="137">
        <f>Transportation_LCIA!T$61*($W336^Transportation_LCIA!T$60)+Transportation_LCIA!T$62</f>
        <v>3.1575724210715809E-6</v>
      </c>
      <c r="AQ336" s="137">
        <f>Transportation_LCIA!U$61*($W336^Transportation_LCIA!U$60)+Transportation_LCIA!U$62</f>
        <v>4.3518506866823444E-4</v>
      </c>
      <c r="AR336" s="137">
        <f>Transportation_LCIA!V$61*($W336^Transportation_LCIA!V$60)+Transportation_LCIA!V$62</f>
        <v>1.84492406579756E-4</v>
      </c>
      <c r="AT336" s="137">
        <f>$W336*Y336+$L336*Summary_LCIA!H$32</f>
        <v>364.03625925505816</v>
      </c>
      <c r="AU336" s="137">
        <f>$W336*Z336+$L336*Summary_LCIA!Q$32</f>
        <v>3884.8430316711929</v>
      </c>
      <c r="AV336" s="137">
        <f>$W336*AA336+$L336*Summary_LCIA!R$32</f>
        <v>2.1446606637945087</v>
      </c>
      <c r="AW336" s="137">
        <f>$W336*AB336+$L336*Summary_LCIA!S$32</f>
        <v>363.35781577505816</v>
      </c>
      <c r="AX336" s="137">
        <f>$W336*AC336+$L336*Summary_LCIA!T$32</f>
        <v>90.051524994175935</v>
      </c>
      <c r="AY336" s="137">
        <f>$W336*AD336+$L336*Summary_LCIA!U$32</f>
        <v>3.0843024616790009</v>
      </c>
      <c r="AZ336" s="137">
        <f>$W336*AE336+$L336*Summary_LCIA!V$32</f>
        <v>1.4104815622934877E-2</v>
      </c>
      <c r="BA336" s="137">
        <f>$W336*AF336+$L336*Summary_LCIA!W$32</f>
        <v>21.837524772212344</v>
      </c>
      <c r="BB336" s="137">
        <f>$W336*AG336+$L336*Summary_LCIA!X$32</f>
        <v>18.722679461769314</v>
      </c>
      <c r="BC336" s="137">
        <f>$W336*AH336+$L336*Summary_LCIA!Y$32</f>
        <v>2.6763199825311794</v>
      </c>
      <c r="BD336" s="137">
        <f>$W336*AI336+$L336*Summary_LCIA!Z$32</f>
        <v>0.33597522772717897</v>
      </c>
      <c r="BE336" s="137">
        <f>$W336*AJ336+$L336*Summary_LCIA!AA$32</f>
        <v>4.8042912389303005</v>
      </c>
      <c r="BF336" s="137">
        <f>$W336*AK336+$L336*Summary_LCIA!AB$32</f>
        <v>7.3884721288036678E-2</v>
      </c>
      <c r="BG336" s="137">
        <f>$W336*AL336+$L336*Summary_LCIA!AC$32</f>
        <v>4.490018637347728E-5</v>
      </c>
      <c r="BH336" s="137">
        <f>$W336*AM336+$L336*Summary_LCIA!AD$32</f>
        <v>0.17626440708789476</v>
      </c>
      <c r="BI336" s="137">
        <f>$W336*AN336+$L336*Summary_LCIA!AE$32</f>
        <v>0.46221089232922086</v>
      </c>
      <c r="BJ336" s="137">
        <f>$W336*AO336+$L336*Summary_LCIA!AF$32</f>
        <v>0.13480649815250559</v>
      </c>
      <c r="BK336" s="137">
        <f>$W336*AP336+$L336*Summary_LCIA!AG$32</f>
        <v>1.2893121182505598E-2</v>
      </c>
      <c r="BL336" s="137">
        <f>$W336*AQ336+$L336*Summary_LCIA!AH$32</f>
        <v>2.0305216097957128</v>
      </c>
      <c r="BM336" s="137">
        <f>$W336*AR336+$L336*Summary_LCIA!AI$32</f>
        <v>0.43744394105506584</v>
      </c>
    </row>
    <row r="337" spans="1:65" x14ac:dyDescent="0.25">
      <c r="A337" s="149">
        <v>199</v>
      </c>
      <c r="B337" s="149">
        <v>16</v>
      </c>
      <c r="C337" s="61">
        <v>44.564272000000003</v>
      </c>
      <c r="D337" s="61">
        <v>-123.278594</v>
      </c>
      <c r="E337" s="61" t="s">
        <v>265</v>
      </c>
      <c r="F337" s="149">
        <v>90</v>
      </c>
      <c r="G337" s="61" t="s">
        <v>277</v>
      </c>
      <c r="H337" s="61" t="s">
        <v>697</v>
      </c>
      <c r="I337" s="61">
        <v>45.589768999999997</v>
      </c>
      <c r="J337" s="61">
        <v>-122.595094</v>
      </c>
      <c r="K337" s="61">
        <v>197.4951184</v>
      </c>
      <c r="L337" s="61">
        <v>155.84200000000001</v>
      </c>
      <c r="M337" s="61" t="s">
        <v>617</v>
      </c>
      <c r="N337" s="149">
        <v>15</v>
      </c>
      <c r="O337" s="149">
        <v>16</v>
      </c>
      <c r="P337" s="61" t="s">
        <v>565</v>
      </c>
      <c r="Q337" s="61" t="s">
        <v>556</v>
      </c>
      <c r="R337" s="61">
        <v>39.856096299999997</v>
      </c>
      <c r="S337" s="61">
        <v>-104.6737376</v>
      </c>
      <c r="T337" s="61">
        <v>2033.01</v>
      </c>
      <c r="U337" s="61" t="s">
        <v>617</v>
      </c>
      <c r="V337" s="61" t="s">
        <v>569</v>
      </c>
      <c r="W337" s="61" cm="1">
        <f t="array" ref="W337">getDistance(I337,J337,R337,S337)*SA!$B$12</f>
        <v>1596.036448404029</v>
      </c>
      <c r="Y337" s="137">
        <f>Transportation_LCIA!C$61*($W337^Transportation_LCIA!C$60)+Transportation_LCIA!C$62</f>
        <v>0.19540844343932395</v>
      </c>
      <c r="Z337" s="137">
        <f>Transportation_LCIA!D$61*($W337^Transportation_LCIA!D$60)+Transportation_LCIA!D$62</f>
        <v>1.9574233593676897</v>
      </c>
      <c r="AA337" s="137">
        <f>Transportation_LCIA!E$61*($W337^Transportation_LCIA!E$60)+Transportation_LCIA!E$62</f>
        <v>8.3733843217106757E-4</v>
      </c>
      <c r="AB337" s="137">
        <f>Transportation_LCIA!F$61*($W337^Transportation_LCIA!F$60)+Transportation_LCIA!F$62</f>
        <v>0.19540844343932395</v>
      </c>
      <c r="AC337" s="137">
        <f>Transportation_LCIA!G$61*($W337^Transportation_LCIA!G$60)+Transportation_LCIA!G$62</f>
        <v>4.5852671138779735E-2</v>
      </c>
      <c r="AD337" s="137">
        <f>Transportation_LCIA!H$61*($W337^Transportation_LCIA!H$60)+Transportation_LCIA!H$62</f>
        <v>2.0965119312506812E-4</v>
      </c>
      <c r="AE337" s="137">
        <f>Transportation_LCIA!I$61*($W337^Transportation_LCIA!I$60)+Transportation_LCIA!I$62</f>
        <v>4.2441315771380954E-6</v>
      </c>
      <c r="AF337" s="137">
        <f>Transportation_LCIA!J$61*($W337^Transportation_LCIA!J$60)+Transportation_LCIA!J$62</f>
        <v>6.2798929863004515E-3</v>
      </c>
      <c r="AG337" s="137">
        <f>Transportation_LCIA!K$61*($W337^Transportation_LCIA!K$60)+Transportation_LCIA!K$62</f>
        <v>9.5399363573399447E-3</v>
      </c>
      <c r="AH337" s="137">
        <f>Transportation_LCIA!L$61*($W337^Transportation_LCIA!L$60)+Transportation_LCIA!L$62</f>
        <v>1.7830198979211539E-4</v>
      </c>
      <c r="AI337" s="137">
        <f>Transportation_LCIA!M$61*($W337^Transportation_LCIA!M$60)+Transportation_LCIA!M$62</f>
        <v>2.0656206981416121E-4</v>
      </c>
      <c r="AJ337" s="137">
        <f>Transportation_LCIA!N$61*($W337^Transportation_LCIA!N$60)+Transportation_LCIA!N$62</f>
        <v>7.6394582100523844E-4</v>
      </c>
      <c r="AK337" s="137">
        <f>Transportation_LCIA!O$61*($W337^Transportation_LCIA!O$60)+Transportation_LCIA!O$62</f>
        <v>4.8391389136048821E-5</v>
      </c>
      <c r="AL337" s="137">
        <f>Transportation_LCIA!P$61*($W337^Transportation_LCIA!P$60)+Transportation_LCIA!P$62</f>
        <v>2.3431034870708958E-8</v>
      </c>
      <c r="AM337" s="137">
        <f>Transportation_LCIA!Q$61*($W337^Transportation_LCIA!Q$60)+Transportation_LCIA!Q$62</f>
        <v>7.0908301274110862E-5</v>
      </c>
      <c r="AN337" s="137">
        <f>Transportation_LCIA!R$61*($W337^Transportation_LCIA!R$60)+Transportation_LCIA!R$62</f>
        <v>2.0437832383803187E-4</v>
      </c>
      <c r="AO337" s="137">
        <f>Transportation_LCIA!S$61*($W337^Transportation_LCIA!S$60)+Transportation_LCIA!S$62</f>
        <v>3.1575724210715809E-6</v>
      </c>
      <c r="AP337" s="137">
        <f>Transportation_LCIA!T$61*($W337^Transportation_LCIA!T$60)+Transportation_LCIA!T$62</f>
        <v>3.1575724210715809E-6</v>
      </c>
      <c r="AQ337" s="137">
        <f>Transportation_LCIA!U$61*($W337^Transportation_LCIA!U$60)+Transportation_LCIA!U$62</f>
        <v>4.3518506866823444E-4</v>
      </c>
      <c r="AR337" s="137">
        <f>Transportation_LCIA!V$61*($W337^Transportation_LCIA!V$60)+Transportation_LCIA!V$62</f>
        <v>1.84492406579756E-4</v>
      </c>
      <c r="AT337" s="137">
        <f>$W337*Y337+$L337*Summary_LCIA!H$32</f>
        <v>364.83410965505817</v>
      </c>
      <c r="AU337" s="137">
        <f>$W337*Z337+$L337*Summary_LCIA!Q$32</f>
        <v>3896.4798380878769</v>
      </c>
      <c r="AV337" s="137">
        <f>$W337*AA337+$L337*Summary_LCIA!R$32</f>
        <v>2.1570242925945085</v>
      </c>
      <c r="AW337" s="137">
        <f>$W337*AB337+$L337*Summary_LCIA!S$32</f>
        <v>364.14528801505816</v>
      </c>
      <c r="AX337" s="137">
        <f>$W337*AC337+$L337*Summary_LCIA!T$32</f>
        <v>90.309570194175933</v>
      </c>
      <c r="AY337" s="137">
        <f>$W337*AD337+$L337*Summary_LCIA!U$32</f>
        <v>3.1263645336790011</v>
      </c>
      <c r="AZ337" s="137">
        <f>$W337*AE337+$L337*Summary_LCIA!V$32</f>
        <v>1.4216958450934878E-2</v>
      </c>
      <c r="BA337" s="137">
        <f>$W337*AF337+$L337*Summary_LCIA!W$32</f>
        <v>22.018252680212345</v>
      </c>
      <c r="BB337" s="137">
        <f>$W337*AG337+$L337*Summary_LCIA!X$32</f>
        <v>18.776166901769315</v>
      </c>
      <c r="BC337" s="137">
        <f>$W337*AH337+$L337*Summary_LCIA!Y$32</f>
        <v>2.7129065185311796</v>
      </c>
      <c r="BD337" s="137">
        <f>$W337*AI337+$L337*Summary_LCIA!Z$32</f>
        <v>0.33607151685917896</v>
      </c>
      <c r="BE337" s="137">
        <f>$W337*AJ337+$L337*Summary_LCIA!AA$32</f>
        <v>4.8591311269303006</v>
      </c>
      <c r="BF337" s="137">
        <f>$W337*AK337+$L337*Summary_LCIA!AB$32</f>
        <v>7.3833480884036684E-2</v>
      </c>
      <c r="BG337" s="137">
        <f>$W337*AL337+$L337*Summary_LCIA!AC$32</f>
        <v>4.5014966005477283E-5</v>
      </c>
      <c r="BH337" s="137">
        <f>$W337*AM337+$L337*Summary_LCIA!AD$32</f>
        <v>0.17722952900789479</v>
      </c>
      <c r="BI337" s="137">
        <f>$W337*AN337+$L337*Summary_LCIA!AE$32</f>
        <v>0.46429152556922093</v>
      </c>
      <c r="BJ337" s="137">
        <f>$W337*AO337+$L337*Summary_LCIA!AF$32</f>
        <v>0.13679154431250559</v>
      </c>
      <c r="BK337" s="137">
        <f>$W337*AP337+$L337*Summary_LCIA!AG$32</f>
        <v>1.3013256602505598E-2</v>
      </c>
      <c r="BL337" s="137">
        <f>$W337*AQ337+$L337*Summary_LCIA!AH$32</f>
        <v>2.0509576625957129</v>
      </c>
      <c r="BM337" s="137">
        <f>$W337*AR337+$L337*Summary_LCIA!AI$32</f>
        <v>0.43963122045506586</v>
      </c>
    </row>
    <row r="338" spans="1:65" x14ac:dyDescent="0.25">
      <c r="A338" s="149">
        <v>200</v>
      </c>
      <c r="B338" s="149">
        <v>16</v>
      </c>
      <c r="C338" s="61">
        <v>44.564272000000003</v>
      </c>
      <c r="D338" s="61">
        <v>-123.278594</v>
      </c>
      <c r="E338" s="61" t="s">
        <v>265</v>
      </c>
      <c r="F338" s="149">
        <v>90</v>
      </c>
      <c r="G338" s="61" t="s">
        <v>277</v>
      </c>
      <c r="H338" s="61" t="s">
        <v>697</v>
      </c>
      <c r="I338" s="61">
        <v>45.589768999999997</v>
      </c>
      <c r="J338" s="61">
        <v>-122.595094</v>
      </c>
      <c r="K338" s="61">
        <v>197.4951184</v>
      </c>
      <c r="L338" s="61">
        <v>155.84200000000001</v>
      </c>
      <c r="M338" s="61" t="s">
        <v>617</v>
      </c>
      <c r="N338" s="149">
        <v>15</v>
      </c>
      <c r="O338" s="149">
        <v>16</v>
      </c>
      <c r="P338" s="61" t="s">
        <v>565</v>
      </c>
      <c r="Q338" s="61" t="s">
        <v>556</v>
      </c>
      <c r="R338" s="61">
        <v>39.856096299999997</v>
      </c>
      <c r="S338" s="61">
        <v>-104.6737376</v>
      </c>
      <c r="T338" s="61">
        <v>2033.01</v>
      </c>
      <c r="U338" s="61" t="s">
        <v>617</v>
      </c>
      <c r="V338" s="61" t="s">
        <v>569</v>
      </c>
      <c r="W338" s="61" cm="1">
        <f t="array" ref="W338">getDistance(I338,J338,R338,S338)*SA!$B$12</f>
        <v>1596.036448404029</v>
      </c>
      <c r="Y338" s="137">
        <f>Transportation_LCIA!C$61*($W338^Transportation_LCIA!C$60)+Transportation_LCIA!C$62</f>
        <v>0.19540844343932395</v>
      </c>
      <c r="Z338" s="137">
        <f>Transportation_LCIA!D$61*($W338^Transportation_LCIA!D$60)+Transportation_LCIA!D$62</f>
        <v>1.9574233593676897</v>
      </c>
      <c r="AA338" s="137">
        <f>Transportation_LCIA!E$61*($W338^Transportation_LCIA!E$60)+Transportation_LCIA!E$62</f>
        <v>8.3733843217106757E-4</v>
      </c>
      <c r="AB338" s="137">
        <f>Transportation_LCIA!F$61*($W338^Transportation_LCIA!F$60)+Transportation_LCIA!F$62</f>
        <v>0.19540844343932395</v>
      </c>
      <c r="AC338" s="137">
        <f>Transportation_LCIA!G$61*($W338^Transportation_LCIA!G$60)+Transportation_LCIA!G$62</f>
        <v>4.5852671138779735E-2</v>
      </c>
      <c r="AD338" s="137">
        <f>Transportation_LCIA!H$61*($W338^Transportation_LCIA!H$60)+Transportation_LCIA!H$62</f>
        <v>2.0965119312506812E-4</v>
      </c>
      <c r="AE338" s="137">
        <f>Transportation_LCIA!I$61*($W338^Transportation_LCIA!I$60)+Transportation_LCIA!I$62</f>
        <v>4.2441315771380954E-6</v>
      </c>
      <c r="AF338" s="137">
        <f>Transportation_LCIA!J$61*($W338^Transportation_LCIA!J$60)+Transportation_LCIA!J$62</f>
        <v>6.2798929863004515E-3</v>
      </c>
      <c r="AG338" s="137">
        <f>Transportation_LCIA!K$61*($W338^Transportation_LCIA!K$60)+Transportation_LCIA!K$62</f>
        <v>9.5399363573399447E-3</v>
      </c>
      <c r="AH338" s="137">
        <f>Transportation_LCIA!L$61*($W338^Transportation_LCIA!L$60)+Transportation_LCIA!L$62</f>
        <v>1.7830198979211539E-4</v>
      </c>
      <c r="AI338" s="137">
        <f>Transportation_LCIA!M$61*($W338^Transportation_LCIA!M$60)+Transportation_LCIA!M$62</f>
        <v>2.0656206981416121E-4</v>
      </c>
      <c r="AJ338" s="137">
        <f>Transportation_LCIA!N$61*($W338^Transportation_LCIA!N$60)+Transportation_LCIA!N$62</f>
        <v>7.6394582100523844E-4</v>
      </c>
      <c r="AK338" s="137">
        <f>Transportation_LCIA!O$61*($W338^Transportation_LCIA!O$60)+Transportation_LCIA!O$62</f>
        <v>4.8391389136048821E-5</v>
      </c>
      <c r="AL338" s="137">
        <f>Transportation_LCIA!P$61*($W338^Transportation_LCIA!P$60)+Transportation_LCIA!P$62</f>
        <v>2.3431034870708958E-8</v>
      </c>
      <c r="AM338" s="137">
        <f>Transportation_LCIA!Q$61*($W338^Transportation_LCIA!Q$60)+Transportation_LCIA!Q$62</f>
        <v>7.0908301274110862E-5</v>
      </c>
      <c r="AN338" s="137">
        <f>Transportation_LCIA!R$61*($W338^Transportation_LCIA!R$60)+Transportation_LCIA!R$62</f>
        <v>2.0437832383803187E-4</v>
      </c>
      <c r="AO338" s="137">
        <f>Transportation_LCIA!S$61*($W338^Transportation_LCIA!S$60)+Transportation_LCIA!S$62</f>
        <v>3.1575724210715809E-6</v>
      </c>
      <c r="AP338" s="137">
        <f>Transportation_LCIA!T$61*($W338^Transportation_LCIA!T$60)+Transportation_LCIA!T$62</f>
        <v>3.1575724210715809E-6</v>
      </c>
      <c r="AQ338" s="137">
        <f>Transportation_LCIA!U$61*($W338^Transportation_LCIA!U$60)+Transportation_LCIA!U$62</f>
        <v>4.3518506866823444E-4</v>
      </c>
      <c r="AR338" s="137">
        <f>Transportation_LCIA!V$61*($W338^Transportation_LCIA!V$60)+Transportation_LCIA!V$62</f>
        <v>1.84492406579756E-4</v>
      </c>
      <c r="AT338" s="137">
        <f>$W338*Y338+$L338*Summary_LCIA!H$32</f>
        <v>364.83410965505817</v>
      </c>
      <c r="AU338" s="137">
        <f>$W338*Z338+$L338*Summary_LCIA!Q$32</f>
        <v>3896.4798380878769</v>
      </c>
      <c r="AV338" s="137">
        <f>$W338*AA338+$L338*Summary_LCIA!R$32</f>
        <v>2.1570242925945085</v>
      </c>
      <c r="AW338" s="137">
        <f>$W338*AB338+$L338*Summary_LCIA!S$32</f>
        <v>364.14528801505816</v>
      </c>
      <c r="AX338" s="137">
        <f>$W338*AC338+$L338*Summary_LCIA!T$32</f>
        <v>90.309570194175933</v>
      </c>
      <c r="AY338" s="137">
        <f>$W338*AD338+$L338*Summary_LCIA!U$32</f>
        <v>3.1263645336790011</v>
      </c>
      <c r="AZ338" s="137">
        <f>$W338*AE338+$L338*Summary_LCIA!V$32</f>
        <v>1.4216958450934878E-2</v>
      </c>
      <c r="BA338" s="137">
        <f>$W338*AF338+$L338*Summary_LCIA!W$32</f>
        <v>22.018252680212345</v>
      </c>
      <c r="BB338" s="137">
        <f>$W338*AG338+$L338*Summary_LCIA!X$32</f>
        <v>18.776166901769315</v>
      </c>
      <c r="BC338" s="137">
        <f>$W338*AH338+$L338*Summary_LCIA!Y$32</f>
        <v>2.7129065185311796</v>
      </c>
      <c r="BD338" s="137">
        <f>$W338*AI338+$L338*Summary_LCIA!Z$32</f>
        <v>0.33607151685917896</v>
      </c>
      <c r="BE338" s="137">
        <f>$W338*AJ338+$L338*Summary_LCIA!AA$32</f>
        <v>4.8591311269303006</v>
      </c>
      <c r="BF338" s="137">
        <f>$W338*AK338+$L338*Summary_LCIA!AB$32</f>
        <v>7.3833480884036684E-2</v>
      </c>
      <c r="BG338" s="137">
        <f>$W338*AL338+$L338*Summary_LCIA!AC$32</f>
        <v>4.5014966005477283E-5</v>
      </c>
      <c r="BH338" s="137">
        <f>$W338*AM338+$L338*Summary_LCIA!AD$32</f>
        <v>0.17722952900789479</v>
      </c>
      <c r="BI338" s="137">
        <f>$W338*AN338+$L338*Summary_LCIA!AE$32</f>
        <v>0.46429152556922093</v>
      </c>
      <c r="BJ338" s="137">
        <f>$W338*AO338+$L338*Summary_LCIA!AF$32</f>
        <v>0.13679154431250559</v>
      </c>
      <c r="BK338" s="137">
        <f>$W338*AP338+$L338*Summary_LCIA!AG$32</f>
        <v>1.3013256602505598E-2</v>
      </c>
      <c r="BL338" s="137">
        <f>$W338*AQ338+$L338*Summary_LCIA!AH$32</f>
        <v>2.0509576625957129</v>
      </c>
      <c r="BM338" s="137">
        <f>$W338*AR338+$L338*Summary_LCIA!AI$32</f>
        <v>0.43963122045506586</v>
      </c>
    </row>
    <row r="339" spans="1:65" x14ac:dyDescent="0.25">
      <c r="A339" s="149">
        <v>21</v>
      </c>
      <c r="B339" s="149">
        <v>16</v>
      </c>
      <c r="C339" s="61">
        <v>53.523218999999997</v>
      </c>
      <c r="D339" s="61">
        <v>-113.526319</v>
      </c>
      <c r="E339" s="61" t="s">
        <v>462</v>
      </c>
      <c r="F339" s="149">
        <v>126</v>
      </c>
      <c r="G339" s="61" t="s">
        <v>637</v>
      </c>
      <c r="H339" s="61" t="s">
        <v>638</v>
      </c>
      <c r="I339" s="61">
        <v>53.305436999999998</v>
      </c>
      <c r="J339" s="61">
        <v>-113.577381</v>
      </c>
      <c r="K339" s="61">
        <v>42.053707780000003</v>
      </c>
      <c r="L339" s="61">
        <v>28.959</v>
      </c>
      <c r="M339" s="61" t="s">
        <v>617</v>
      </c>
      <c r="N339" s="149">
        <v>15</v>
      </c>
      <c r="O339" s="149">
        <v>16</v>
      </c>
      <c r="P339" s="61" t="s">
        <v>565</v>
      </c>
      <c r="Q339" s="61" t="s">
        <v>556</v>
      </c>
      <c r="R339" s="61">
        <v>39.856096299999997</v>
      </c>
      <c r="S339" s="61">
        <v>-104.6737376</v>
      </c>
      <c r="T339" s="61">
        <v>2051.442</v>
      </c>
      <c r="U339" s="61" t="s">
        <v>617</v>
      </c>
      <c r="V339" s="61" t="s">
        <v>569</v>
      </c>
      <c r="W339" s="61" cm="1">
        <f t="array" ref="W339">getDistance(I339,J339,R339,S339)*SA!$B$12</f>
        <v>1642.6326170555617</v>
      </c>
      <c r="Y339" s="137">
        <f>Transportation_LCIA!C$61*($W339^Transportation_LCIA!C$60)+Transportation_LCIA!C$62</f>
        <v>0.19341624833717913</v>
      </c>
      <c r="Z339" s="137">
        <f>Transportation_LCIA!D$61*($W339^Transportation_LCIA!D$60)+Transportation_LCIA!D$62</f>
        <v>1.9346601686687965</v>
      </c>
      <c r="AA339" s="137">
        <f>Transportation_LCIA!E$61*($W339^Transportation_LCIA!E$60)+Transportation_LCIA!E$62</f>
        <v>8.224605117601706E-4</v>
      </c>
      <c r="AB339" s="137">
        <f>Transportation_LCIA!F$61*($W339^Transportation_LCIA!F$60)+Transportation_LCIA!F$62</f>
        <v>0.19341624833717913</v>
      </c>
      <c r="AC339" s="137">
        <f>Transportation_LCIA!G$61*($W339^Transportation_LCIA!G$60)+Transportation_LCIA!G$62</f>
        <v>4.5325378600864538E-2</v>
      </c>
      <c r="AD339" s="137">
        <f>Transportation_LCIA!H$61*($W339^Transportation_LCIA!H$60)+Transportation_LCIA!H$62</f>
        <v>2.0641797255323654E-4</v>
      </c>
      <c r="AE339" s="137">
        <f>Transportation_LCIA!I$61*($W339^Transportation_LCIA!I$60)+Transportation_LCIA!I$62</f>
        <v>4.1642624704946415E-6</v>
      </c>
      <c r="AF339" s="137">
        <f>Transportation_LCIA!J$61*($W339^Transportation_LCIA!J$60)+Transportation_LCIA!J$62</f>
        <v>6.1624051070093954E-3</v>
      </c>
      <c r="AG339" s="137">
        <f>Transportation_LCIA!K$61*($W339^Transportation_LCIA!K$60)+Transportation_LCIA!K$62</f>
        <v>9.418154910732654E-3</v>
      </c>
      <c r="AH339" s="137">
        <f>Transportation_LCIA!L$61*($W339^Transportation_LCIA!L$60)+Transportation_LCIA!L$62</f>
        <v>1.7534550808031749E-4</v>
      </c>
      <c r="AI339" s="137">
        <f>Transportation_LCIA!M$61*($W339^Transportation_LCIA!M$60)+Transportation_LCIA!M$62</f>
        <v>2.0477882396972667E-4</v>
      </c>
      <c r="AJ339" s="137">
        <f>Transportation_LCIA!N$61*($W339^Transportation_LCIA!N$60)+Transportation_LCIA!N$62</f>
        <v>7.530588727330342E-4</v>
      </c>
      <c r="AK339" s="137">
        <f>Transportation_LCIA!O$61*($W339^Transportation_LCIA!O$60)+Transportation_LCIA!O$62</f>
        <v>4.7831397997389301E-5</v>
      </c>
      <c r="AL339" s="137">
        <f>Transportation_LCIA!P$61*($W339^Transportation_LCIA!P$60)+Transportation_LCIA!P$62</f>
        <v>2.316137393902881E-8</v>
      </c>
      <c r="AM339" s="137">
        <f>Transportation_LCIA!Q$61*($W339^Transportation_LCIA!Q$60)+Transportation_LCIA!Q$62</f>
        <v>6.9755656834056301E-5</v>
      </c>
      <c r="AN339" s="137">
        <f>Transportation_LCIA!R$61*($W339^Transportation_LCIA!R$60)+Transportation_LCIA!R$62</f>
        <v>2.0055011103879418E-4</v>
      </c>
      <c r="AO339" s="137">
        <f>Transportation_LCIA!S$61*($W339^Transportation_LCIA!S$60)+Transportation_LCIA!S$62</f>
        <v>3.1031960050213656E-6</v>
      </c>
      <c r="AP339" s="137">
        <f>Transportation_LCIA!T$61*($W339^Transportation_LCIA!T$60)+Transportation_LCIA!T$62</f>
        <v>3.1031960050213656E-6</v>
      </c>
      <c r="AQ339" s="137">
        <f>Transportation_LCIA!U$61*($W339^Transportation_LCIA!U$60)+Transportation_LCIA!U$62</f>
        <v>4.2681974906838002E-4</v>
      </c>
      <c r="AR339" s="137">
        <f>Transportation_LCIA!V$61*($W339^Transportation_LCIA!V$60)+Transportation_LCIA!V$62</f>
        <v>1.8150499039927689E-4</v>
      </c>
      <c r="AT339" s="137">
        <f>$W339*Y339+$L339*Summary_LCIA!H$32</f>
        <v>327.55210638716903</v>
      </c>
      <c r="AU339" s="137">
        <f>$W339*Z339+$L339*Summary_LCIA!Q$32</f>
        <v>3321.4581604628265</v>
      </c>
      <c r="AV339" s="137">
        <f>$W339*AA339+$L339*Summary_LCIA!R$32</f>
        <v>1.5034869732574656</v>
      </c>
      <c r="AW339" s="137">
        <f>$W339*AB339+$L339*Summary_LCIA!S$32</f>
        <v>327.42410760716899</v>
      </c>
      <c r="AX339" s="137">
        <f>$W339*AC339+$L339*Summary_LCIA!T$32</f>
        <v>77.635539370172268</v>
      </c>
      <c r="AY339" s="137">
        <f>$W339*AD339+$L339*Summary_LCIA!U$32</f>
        <v>0.85784042046242603</v>
      </c>
      <c r="AZ339" s="137">
        <f>$W339*AE339+$L339*Summary_LCIA!V$32</f>
        <v>8.2234641590148722E-3</v>
      </c>
      <c r="BA339" s="137">
        <f>$W339*AF339+$L339*Summary_LCIA!W$32</f>
        <v>12.351570817283402</v>
      </c>
      <c r="BB339" s="137">
        <f>$W339*AG339+$L339*Summary_LCIA!X$32</f>
        <v>16.130254468851469</v>
      </c>
      <c r="BC339" s="137">
        <f>$W339*AH339+$L339*Summary_LCIA!Y$32</f>
        <v>0.73926738882690901</v>
      </c>
      <c r="BD339" s="137">
        <f>$W339*AI339+$L339*Summary_LCIA!Z$32</f>
        <v>0.33756395516595233</v>
      </c>
      <c r="BE339" s="137">
        <f>$W339*AJ339+$L339*Summary_LCIA!AA$32</f>
        <v>1.913365470914375</v>
      </c>
      <c r="BF339" s="137">
        <f>$W339*AK339+$L339*Summary_LCIA!AB$32</f>
        <v>7.7937442212877739E-2</v>
      </c>
      <c r="BG339" s="137">
        <f>$W339*AL339+$L339*Summary_LCIA!AC$32</f>
        <v>3.9461260044069374E-5</v>
      </c>
      <c r="BH339" s="137">
        <f>$W339*AM339+$L339*Summary_LCIA!AD$32</f>
        <v>0.12648622449975558</v>
      </c>
      <c r="BI339" s="137">
        <f>$W339*AN339+$L339*Summary_LCIA!AE$32</f>
        <v>0.35509159241643795</v>
      </c>
      <c r="BJ339" s="137">
        <f>$W339*AO339+$L339*Summary_LCIA!AF$32</f>
        <v>2.957992875496461E-2</v>
      </c>
      <c r="BK339" s="137">
        <f>$W339*AP339+$L339*Summary_LCIA!AG$32</f>
        <v>6.5790982099646102E-3</v>
      </c>
      <c r="BL339" s="137">
        <f>$W339*AQ339+$L339*Summary_LCIA!AH$32</f>
        <v>0.95315559382319115</v>
      </c>
      <c r="BM339" s="137">
        <f>$W339*AR339+$L339*Summary_LCIA!AI$32</f>
        <v>0.32512277383820876</v>
      </c>
    </row>
    <row r="340" spans="1:65" x14ac:dyDescent="0.25">
      <c r="A340" s="149">
        <v>22</v>
      </c>
      <c r="B340" s="149">
        <v>16</v>
      </c>
      <c r="C340" s="61">
        <v>53.523218999999997</v>
      </c>
      <c r="D340" s="61">
        <v>-113.526319</v>
      </c>
      <c r="E340" s="61" t="s">
        <v>462</v>
      </c>
      <c r="F340" s="149">
        <v>126</v>
      </c>
      <c r="G340" s="61" t="s">
        <v>637</v>
      </c>
      <c r="H340" s="61" t="s">
        <v>638</v>
      </c>
      <c r="I340" s="61">
        <v>53.305436999999998</v>
      </c>
      <c r="J340" s="61">
        <v>-113.577381</v>
      </c>
      <c r="K340" s="61">
        <v>42.053707780000003</v>
      </c>
      <c r="L340" s="61">
        <v>28.959</v>
      </c>
      <c r="M340" s="61" t="s">
        <v>617</v>
      </c>
      <c r="N340" s="149">
        <v>15</v>
      </c>
      <c r="O340" s="149">
        <v>16</v>
      </c>
      <c r="P340" s="61" t="s">
        <v>565</v>
      </c>
      <c r="Q340" s="61" t="s">
        <v>556</v>
      </c>
      <c r="R340" s="61">
        <v>39.856096299999997</v>
      </c>
      <c r="S340" s="61">
        <v>-104.6737376</v>
      </c>
      <c r="T340" s="61">
        <v>2051.442</v>
      </c>
      <c r="U340" s="61" t="s">
        <v>617</v>
      </c>
      <c r="V340" s="61" t="s">
        <v>569</v>
      </c>
      <c r="W340" s="61" cm="1">
        <f t="array" ref="W340">getDistance(I340,J340,R340,S340)*SA!$B$12</f>
        <v>1642.6326170555617</v>
      </c>
      <c r="Y340" s="137">
        <f>Transportation_LCIA!C$61*($W340^Transportation_LCIA!C$60)+Transportation_LCIA!C$62</f>
        <v>0.19341624833717913</v>
      </c>
      <c r="Z340" s="137">
        <f>Transportation_LCIA!D$61*($W340^Transportation_LCIA!D$60)+Transportation_LCIA!D$62</f>
        <v>1.9346601686687965</v>
      </c>
      <c r="AA340" s="137">
        <f>Transportation_LCIA!E$61*($W340^Transportation_LCIA!E$60)+Transportation_LCIA!E$62</f>
        <v>8.224605117601706E-4</v>
      </c>
      <c r="AB340" s="137">
        <f>Transportation_LCIA!F$61*($W340^Transportation_LCIA!F$60)+Transportation_LCIA!F$62</f>
        <v>0.19341624833717913</v>
      </c>
      <c r="AC340" s="137">
        <f>Transportation_LCIA!G$61*($W340^Transportation_LCIA!G$60)+Transportation_LCIA!G$62</f>
        <v>4.5325378600864538E-2</v>
      </c>
      <c r="AD340" s="137">
        <f>Transportation_LCIA!H$61*($W340^Transportation_LCIA!H$60)+Transportation_LCIA!H$62</f>
        <v>2.0641797255323654E-4</v>
      </c>
      <c r="AE340" s="137">
        <f>Transportation_LCIA!I$61*($W340^Transportation_LCIA!I$60)+Transportation_LCIA!I$62</f>
        <v>4.1642624704946415E-6</v>
      </c>
      <c r="AF340" s="137">
        <f>Transportation_LCIA!J$61*($W340^Transportation_LCIA!J$60)+Transportation_LCIA!J$62</f>
        <v>6.1624051070093954E-3</v>
      </c>
      <c r="AG340" s="137">
        <f>Transportation_LCIA!K$61*($W340^Transportation_LCIA!K$60)+Transportation_LCIA!K$62</f>
        <v>9.418154910732654E-3</v>
      </c>
      <c r="AH340" s="137">
        <f>Transportation_LCIA!L$61*($W340^Transportation_LCIA!L$60)+Transportation_LCIA!L$62</f>
        <v>1.7534550808031749E-4</v>
      </c>
      <c r="AI340" s="137">
        <f>Transportation_LCIA!M$61*($W340^Transportation_LCIA!M$60)+Transportation_LCIA!M$62</f>
        <v>2.0477882396972667E-4</v>
      </c>
      <c r="AJ340" s="137">
        <f>Transportation_LCIA!N$61*($W340^Transportation_LCIA!N$60)+Transportation_LCIA!N$62</f>
        <v>7.530588727330342E-4</v>
      </c>
      <c r="AK340" s="137">
        <f>Transportation_LCIA!O$61*($W340^Transportation_LCIA!O$60)+Transportation_LCIA!O$62</f>
        <v>4.7831397997389301E-5</v>
      </c>
      <c r="AL340" s="137">
        <f>Transportation_LCIA!P$61*($W340^Transportation_LCIA!P$60)+Transportation_LCIA!P$62</f>
        <v>2.316137393902881E-8</v>
      </c>
      <c r="AM340" s="137">
        <f>Transportation_LCIA!Q$61*($W340^Transportation_LCIA!Q$60)+Transportation_LCIA!Q$62</f>
        <v>6.9755656834056301E-5</v>
      </c>
      <c r="AN340" s="137">
        <f>Transportation_LCIA!R$61*($W340^Transportation_LCIA!R$60)+Transportation_LCIA!R$62</f>
        <v>2.0055011103879418E-4</v>
      </c>
      <c r="AO340" s="137">
        <f>Transportation_LCIA!S$61*($W340^Transportation_LCIA!S$60)+Transportation_LCIA!S$62</f>
        <v>3.1031960050213656E-6</v>
      </c>
      <c r="AP340" s="137">
        <f>Transportation_LCIA!T$61*($W340^Transportation_LCIA!T$60)+Transportation_LCIA!T$62</f>
        <v>3.1031960050213656E-6</v>
      </c>
      <c r="AQ340" s="137">
        <f>Transportation_LCIA!U$61*($W340^Transportation_LCIA!U$60)+Transportation_LCIA!U$62</f>
        <v>4.2681974906838002E-4</v>
      </c>
      <c r="AR340" s="137">
        <f>Transportation_LCIA!V$61*($W340^Transportation_LCIA!V$60)+Transportation_LCIA!V$62</f>
        <v>1.8150499039927689E-4</v>
      </c>
      <c r="AT340" s="137">
        <f>$W340*Y340+$L340*Summary_LCIA!H$32</f>
        <v>327.55210638716903</v>
      </c>
      <c r="AU340" s="137">
        <f>$W340*Z340+$L340*Summary_LCIA!Q$32</f>
        <v>3321.4581604628265</v>
      </c>
      <c r="AV340" s="137">
        <f>$W340*AA340+$L340*Summary_LCIA!R$32</f>
        <v>1.5034869732574656</v>
      </c>
      <c r="AW340" s="137">
        <f>$W340*AB340+$L340*Summary_LCIA!S$32</f>
        <v>327.42410760716899</v>
      </c>
      <c r="AX340" s="137">
        <f>$W340*AC340+$L340*Summary_LCIA!T$32</f>
        <v>77.635539370172268</v>
      </c>
      <c r="AY340" s="137">
        <f>$W340*AD340+$L340*Summary_LCIA!U$32</f>
        <v>0.85784042046242603</v>
      </c>
      <c r="AZ340" s="137">
        <f>$W340*AE340+$L340*Summary_LCIA!V$32</f>
        <v>8.2234641590148722E-3</v>
      </c>
      <c r="BA340" s="137">
        <f>$W340*AF340+$L340*Summary_LCIA!W$32</f>
        <v>12.351570817283402</v>
      </c>
      <c r="BB340" s="137">
        <f>$W340*AG340+$L340*Summary_LCIA!X$32</f>
        <v>16.130254468851469</v>
      </c>
      <c r="BC340" s="137">
        <f>$W340*AH340+$L340*Summary_LCIA!Y$32</f>
        <v>0.73926738882690901</v>
      </c>
      <c r="BD340" s="137">
        <f>$W340*AI340+$L340*Summary_LCIA!Z$32</f>
        <v>0.33756395516595233</v>
      </c>
      <c r="BE340" s="137">
        <f>$W340*AJ340+$L340*Summary_LCIA!AA$32</f>
        <v>1.913365470914375</v>
      </c>
      <c r="BF340" s="137">
        <f>$W340*AK340+$L340*Summary_LCIA!AB$32</f>
        <v>7.7937442212877739E-2</v>
      </c>
      <c r="BG340" s="137">
        <f>$W340*AL340+$L340*Summary_LCIA!AC$32</f>
        <v>3.9461260044069374E-5</v>
      </c>
      <c r="BH340" s="137">
        <f>$W340*AM340+$L340*Summary_LCIA!AD$32</f>
        <v>0.12648622449975558</v>
      </c>
      <c r="BI340" s="137">
        <f>$W340*AN340+$L340*Summary_LCIA!AE$32</f>
        <v>0.35509159241643795</v>
      </c>
      <c r="BJ340" s="137">
        <f>$W340*AO340+$L340*Summary_LCIA!AF$32</f>
        <v>2.957992875496461E-2</v>
      </c>
      <c r="BK340" s="137">
        <f>$W340*AP340+$L340*Summary_LCIA!AG$32</f>
        <v>6.5790982099646102E-3</v>
      </c>
      <c r="BL340" s="137">
        <f>$W340*AQ340+$L340*Summary_LCIA!AH$32</f>
        <v>0.95315559382319115</v>
      </c>
      <c r="BM340" s="137">
        <f>$W340*AR340+$L340*Summary_LCIA!AI$32</f>
        <v>0.32512277383820876</v>
      </c>
    </row>
    <row r="341" spans="1:65" x14ac:dyDescent="0.25">
      <c r="A341" s="149">
        <v>322</v>
      </c>
      <c r="B341" s="149">
        <v>16</v>
      </c>
      <c r="C341" s="61">
        <v>47.479692999999997</v>
      </c>
      <c r="D341" s="61">
        <v>-122.207922</v>
      </c>
      <c r="E341" s="61" t="s">
        <v>265</v>
      </c>
      <c r="F341" s="149">
        <v>29</v>
      </c>
      <c r="G341" s="61" t="s">
        <v>565</v>
      </c>
      <c r="H341" s="61" t="s">
        <v>719</v>
      </c>
      <c r="I341" s="61">
        <v>47.450249999999997</v>
      </c>
      <c r="J341" s="61">
        <v>-122.308817</v>
      </c>
      <c r="K341" s="61">
        <v>8.295129287</v>
      </c>
      <c r="L341" s="61">
        <v>11.608000000000001</v>
      </c>
      <c r="M341" s="61" t="s">
        <v>617</v>
      </c>
      <c r="N341" s="149">
        <v>15</v>
      </c>
      <c r="O341" s="149">
        <v>16</v>
      </c>
      <c r="P341" s="61" t="s">
        <v>565</v>
      </c>
      <c r="Q341" s="61" t="s">
        <v>556</v>
      </c>
      <c r="R341" s="61">
        <v>39.856096299999997</v>
      </c>
      <c r="S341" s="61">
        <v>-104.6737376</v>
      </c>
      <c r="T341" s="61">
        <v>2108.723</v>
      </c>
      <c r="U341" s="61" t="s">
        <v>617</v>
      </c>
      <c r="V341" s="61" t="s">
        <v>569</v>
      </c>
      <c r="W341" s="61" cm="1">
        <f t="array" ref="W341">getDistance(I341,J341,R341,S341)*SA!$B$12</f>
        <v>1649.1533616548018</v>
      </c>
      <c r="Y341" s="137">
        <f>Transportation_LCIA!C$61*($W341^Transportation_LCIA!C$60)+Transportation_LCIA!C$62</f>
        <v>0.19314572117317846</v>
      </c>
      <c r="Z341" s="137">
        <f>Transportation_LCIA!D$61*($W341^Transportation_LCIA!D$60)+Transportation_LCIA!D$62</f>
        <v>1.9315712789188959</v>
      </c>
      <c r="AA341" s="137">
        <f>Transportation_LCIA!E$61*($W341^Transportation_LCIA!E$60)+Transportation_LCIA!E$62</f>
        <v>8.2044203178652849E-4</v>
      </c>
      <c r="AB341" s="137">
        <f>Transportation_LCIA!F$61*($W341^Transportation_LCIA!F$60)+Transportation_LCIA!F$62</f>
        <v>0.19314572117317846</v>
      </c>
      <c r="AC341" s="137">
        <f>Transportation_LCIA!G$61*($W341^Transportation_LCIA!G$60)+Transportation_LCIA!G$62</f>
        <v>4.5253823769578011E-2</v>
      </c>
      <c r="AD341" s="137">
        <f>Transportation_LCIA!H$61*($W341^Transportation_LCIA!H$60)+Transportation_LCIA!H$62</f>
        <v>2.0597949682222189E-4</v>
      </c>
      <c r="AE341" s="137">
        <f>Transportation_LCIA!I$61*($W341^Transportation_LCIA!I$60)+Transportation_LCIA!I$62</f>
        <v>4.1534378665603613E-6</v>
      </c>
      <c r="AF341" s="137">
        <f>Transportation_LCIA!J$61*($W341^Transportation_LCIA!J$60)+Transportation_LCIA!J$62</f>
        <v>6.1464886927182867E-3</v>
      </c>
      <c r="AG341" s="137">
        <f>Transportation_LCIA!K$61*($W341^Transportation_LCIA!K$60)+Transportation_LCIA!K$62</f>
        <v>9.4016348372882429E-3</v>
      </c>
      <c r="AH341" s="137">
        <f>Transportation_LCIA!L$61*($W341^Transportation_LCIA!L$60)+Transportation_LCIA!L$62</f>
        <v>1.7494463532624993E-4</v>
      </c>
      <c r="AI341" s="137">
        <f>Transportation_LCIA!M$61*($W341^Transportation_LCIA!M$60)+Transportation_LCIA!M$62</f>
        <v>2.045369929103915E-4</v>
      </c>
      <c r="AJ341" s="137">
        <f>Transportation_LCIA!N$61*($W341^Transportation_LCIA!N$60)+Transportation_LCIA!N$62</f>
        <v>7.5158235590288311E-4</v>
      </c>
      <c r="AK341" s="137">
        <f>Transportation_LCIA!O$61*($W341^Transportation_LCIA!O$60)+Transportation_LCIA!O$62</f>
        <v>4.7755407378876027E-5</v>
      </c>
      <c r="AL341" s="137">
        <f>Transportation_LCIA!P$61*($W341^Transportation_LCIA!P$60)+Transportation_LCIA!P$62</f>
        <v>2.3124779095534731E-8</v>
      </c>
      <c r="AM341" s="137">
        <f>Transportation_LCIA!Q$61*($W341^Transportation_LCIA!Q$60)+Transportation_LCIA!Q$62</f>
        <v>6.9599383734571892E-5</v>
      </c>
      <c r="AN341" s="137">
        <f>Transportation_LCIA!R$61*($W341^Transportation_LCIA!R$60)+Transportation_LCIA!R$62</f>
        <v>2.0003128404444864E-4</v>
      </c>
      <c r="AO341" s="137">
        <f>Transportation_LCIA!S$61*($W341^Transportation_LCIA!S$60)+Transportation_LCIA!S$62</f>
        <v>3.0958263106495913E-6</v>
      </c>
      <c r="AP341" s="137">
        <f>Transportation_LCIA!T$61*($W341^Transportation_LCIA!T$60)+Transportation_LCIA!T$62</f>
        <v>3.0958263106495913E-6</v>
      </c>
      <c r="AQ341" s="137">
        <f>Transportation_LCIA!U$61*($W341^Transportation_LCIA!U$60)+Transportation_LCIA!U$62</f>
        <v>4.256861578353838E-4</v>
      </c>
      <c r="AR341" s="137">
        <f>Transportation_LCIA!V$61*($W341^Transportation_LCIA!V$60)+Transportation_LCIA!V$62</f>
        <v>1.8110001391450416E-4</v>
      </c>
      <c r="AT341" s="137">
        <f>$W341*Y341+$L341*Summary_LCIA!H$32</f>
        <v>322.47131376198831</v>
      </c>
      <c r="AU341" s="137">
        <f>$W341*Z341+$L341*Summary_LCIA!Q$32</f>
        <v>3242.9871013312259</v>
      </c>
      <c r="AV341" s="137">
        <f>$W341*AA341+$L341*Summary_LCIA!R$32</f>
        <v>1.4141578195636491</v>
      </c>
      <c r="AW341" s="137">
        <f>$W341*AB341+$L341*Summary_LCIA!S$32</f>
        <v>322.4200064019883</v>
      </c>
      <c r="AX341" s="137">
        <f>$W341*AC341+$L341*Summary_LCIA!T$32</f>
        <v>75.906214797333547</v>
      </c>
      <c r="AY341" s="137">
        <f>$W341*AD341+$L341*Summary_LCIA!U$32</f>
        <v>0.5476374916163318</v>
      </c>
      <c r="AZ341" s="137">
        <f>$W341*AE341+$L341*Summary_LCIA!V$32</f>
        <v>7.4040657080623679E-3</v>
      </c>
      <c r="BA341" s="137">
        <f>$W341*AF341+$L341*Summary_LCIA!W$32</f>
        <v>11.02998185796959</v>
      </c>
      <c r="BB341" s="137">
        <f>$W341*AG341+$L341*Summary_LCIA!X$32</f>
        <v>15.7691679369648</v>
      </c>
      <c r="BC341" s="137">
        <f>$W341*AH341+$L341*Summary_LCIA!Y$32</f>
        <v>0.46938638945175848</v>
      </c>
      <c r="BD341" s="137">
        <f>$W341*AI341+$L341*Summary_LCIA!Z$32</f>
        <v>0.33778890191293653</v>
      </c>
      <c r="BE341" s="137">
        <f>$W341*AJ341+$L341*Summary_LCIA!AA$32</f>
        <v>1.5105910167976755</v>
      </c>
      <c r="BF341" s="137">
        <f>$W341*AK341+$L341*Summary_LCIA!AB$32</f>
        <v>7.8502669232067931E-2</v>
      </c>
      <c r="BG341" s="137">
        <f>$W341*AL341+$L341*Summary_LCIA!AC$32</f>
        <v>3.8703752654925789E-5</v>
      </c>
      <c r="BH341" s="137">
        <f>$W341*AM341+$L341*Summary_LCIA!AD$32</f>
        <v>0.11955140997497177</v>
      </c>
      <c r="BI341" s="137">
        <f>$W341*AN341+$L341*Summary_LCIA!AE$32</f>
        <v>0.34016846155802899</v>
      </c>
      <c r="BJ341" s="137">
        <f>$W341*AO341+$L341*Summary_LCIA!AF$32</f>
        <v>1.4919127727307156E-2</v>
      </c>
      <c r="BK341" s="137">
        <f>$W341*AP341+$L341*Summary_LCIA!AG$32</f>
        <v>5.6994156873071558E-3</v>
      </c>
      <c r="BL341" s="137">
        <f>$W341*AQ341+$L341*Summary_LCIA!AH$32</f>
        <v>0.80305314700413977</v>
      </c>
      <c r="BM341" s="137">
        <f>$W341*AR341+$L341*Summary_LCIA!AI$32</f>
        <v>0.30947512914283593</v>
      </c>
    </row>
    <row r="342" spans="1:65" x14ac:dyDescent="0.25">
      <c r="A342" s="149">
        <v>336</v>
      </c>
      <c r="B342" s="149">
        <v>16</v>
      </c>
      <c r="C342" s="61">
        <v>47.606209</v>
      </c>
      <c r="D342" s="61">
        <v>-122.332071</v>
      </c>
      <c r="E342" s="61" t="s">
        <v>265</v>
      </c>
      <c r="F342" s="149">
        <v>29</v>
      </c>
      <c r="G342" s="61" t="s">
        <v>565</v>
      </c>
      <c r="H342" s="61" t="s">
        <v>719</v>
      </c>
      <c r="I342" s="61">
        <v>47.450249999999997</v>
      </c>
      <c r="J342" s="61">
        <v>-122.308817</v>
      </c>
      <c r="K342" s="61">
        <v>34.697320689999998</v>
      </c>
      <c r="L342" s="61">
        <v>22.074999999999999</v>
      </c>
      <c r="M342" s="61" t="s">
        <v>617</v>
      </c>
      <c r="N342" s="149">
        <v>15</v>
      </c>
      <c r="O342" s="149">
        <v>16</v>
      </c>
      <c r="P342" s="61" t="s">
        <v>565</v>
      </c>
      <c r="Q342" s="61" t="s">
        <v>556</v>
      </c>
      <c r="R342" s="61">
        <v>39.856096299999997</v>
      </c>
      <c r="S342" s="61">
        <v>-104.6737376</v>
      </c>
      <c r="T342" s="61">
        <v>2110.2860000000001</v>
      </c>
      <c r="U342" s="61" t="s">
        <v>617</v>
      </c>
      <c r="V342" s="61" t="s">
        <v>569</v>
      </c>
      <c r="W342" s="61" cm="1">
        <f t="array" ref="W342">getDistance(I342,J342,R342,S342)*SA!$B$12</f>
        <v>1649.1533616548018</v>
      </c>
      <c r="Y342" s="137">
        <f>Transportation_LCIA!C$61*($W342^Transportation_LCIA!C$60)+Transportation_LCIA!C$62</f>
        <v>0.19314572117317846</v>
      </c>
      <c r="Z342" s="137">
        <f>Transportation_LCIA!D$61*($W342^Transportation_LCIA!D$60)+Transportation_LCIA!D$62</f>
        <v>1.9315712789188959</v>
      </c>
      <c r="AA342" s="137">
        <f>Transportation_LCIA!E$61*($W342^Transportation_LCIA!E$60)+Transportation_LCIA!E$62</f>
        <v>8.2044203178652849E-4</v>
      </c>
      <c r="AB342" s="137">
        <f>Transportation_LCIA!F$61*($W342^Transportation_LCIA!F$60)+Transportation_LCIA!F$62</f>
        <v>0.19314572117317846</v>
      </c>
      <c r="AC342" s="137">
        <f>Transportation_LCIA!G$61*($W342^Transportation_LCIA!G$60)+Transportation_LCIA!G$62</f>
        <v>4.5253823769578011E-2</v>
      </c>
      <c r="AD342" s="137">
        <f>Transportation_LCIA!H$61*($W342^Transportation_LCIA!H$60)+Transportation_LCIA!H$62</f>
        <v>2.0597949682222189E-4</v>
      </c>
      <c r="AE342" s="137">
        <f>Transportation_LCIA!I$61*($W342^Transportation_LCIA!I$60)+Transportation_LCIA!I$62</f>
        <v>4.1534378665603613E-6</v>
      </c>
      <c r="AF342" s="137">
        <f>Transportation_LCIA!J$61*($W342^Transportation_LCIA!J$60)+Transportation_LCIA!J$62</f>
        <v>6.1464886927182867E-3</v>
      </c>
      <c r="AG342" s="137">
        <f>Transportation_LCIA!K$61*($W342^Transportation_LCIA!K$60)+Transportation_LCIA!K$62</f>
        <v>9.4016348372882429E-3</v>
      </c>
      <c r="AH342" s="137">
        <f>Transportation_LCIA!L$61*($W342^Transportation_LCIA!L$60)+Transportation_LCIA!L$62</f>
        <v>1.7494463532624993E-4</v>
      </c>
      <c r="AI342" s="137">
        <f>Transportation_LCIA!M$61*($W342^Transportation_LCIA!M$60)+Transportation_LCIA!M$62</f>
        <v>2.045369929103915E-4</v>
      </c>
      <c r="AJ342" s="137">
        <f>Transportation_LCIA!N$61*($W342^Transportation_LCIA!N$60)+Transportation_LCIA!N$62</f>
        <v>7.5158235590288311E-4</v>
      </c>
      <c r="AK342" s="137">
        <f>Transportation_LCIA!O$61*($W342^Transportation_LCIA!O$60)+Transportation_LCIA!O$62</f>
        <v>4.7755407378876027E-5</v>
      </c>
      <c r="AL342" s="137">
        <f>Transportation_LCIA!P$61*($W342^Transportation_LCIA!P$60)+Transportation_LCIA!P$62</f>
        <v>2.3124779095534731E-8</v>
      </c>
      <c r="AM342" s="137">
        <f>Transportation_LCIA!Q$61*($W342^Transportation_LCIA!Q$60)+Transportation_LCIA!Q$62</f>
        <v>6.9599383734571892E-5</v>
      </c>
      <c r="AN342" s="137">
        <f>Transportation_LCIA!R$61*($W342^Transportation_LCIA!R$60)+Transportation_LCIA!R$62</f>
        <v>2.0003128404444864E-4</v>
      </c>
      <c r="AO342" s="137">
        <f>Transportation_LCIA!S$61*($W342^Transportation_LCIA!S$60)+Transportation_LCIA!S$62</f>
        <v>3.0958263106495913E-6</v>
      </c>
      <c r="AP342" s="137">
        <f>Transportation_LCIA!T$61*($W342^Transportation_LCIA!T$60)+Transportation_LCIA!T$62</f>
        <v>3.0958263106495913E-6</v>
      </c>
      <c r="AQ342" s="137">
        <f>Transportation_LCIA!U$61*($W342^Transportation_LCIA!U$60)+Transportation_LCIA!U$62</f>
        <v>4.256861578353838E-4</v>
      </c>
      <c r="AR342" s="137">
        <f>Transportation_LCIA!V$61*($W342^Transportation_LCIA!V$60)+Transportation_LCIA!V$62</f>
        <v>1.8110001391450416E-4</v>
      </c>
      <c r="AT342" s="137">
        <f>$W342*Y342+$L342*Summary_LCIA!H$32</f>
        <v>326.02800036198829</v>
      </c>
      <c r="AU342" s="137">
        <f>$W342*Z342+$L342*Summary_LCIA!Q$32</f>
        <v>3294.8620812134368</v>
      </c>
      <c r="AV342" s="137">
        <f>$W342*AA342+$L342*Summary_LCIA!R$32</f>
        <v>1.4692728547636491</v>
      </c>
      <c r="AW342" s="137">
        <f>$W342*AB342+$L342*Summary_LCIA!S$32</f>
        <v>325.93042886198828</v>
      </c>
      <c r="AX342" s="137">
        <f>$W342*AC342+$L342*Summary_LCIA!T$32</f>
        <v>77.056538097333544</v>
      </c>
      <c r="AY342" s="137">
        <f>$W342*AD342+$L342*Summary_LCIA!U$32</f>
        <v>0.73514332961633178</v>
      </c>
      <c r="AZ342" s="137">
        <f>$W342*AE342+$L342*Summary_LCIA!V$32</f>
        <v>7.9039800950623674E-3</v>
      </c>
      <c r="BA342" s="137">
        <f>$W342*AF342+$L342*Summary_LCIA!W$32</f>
        <v>11.83563731496959</v>
      </c>
      <c r="BB342" s="137">
        <f>$W342*AG342+$L342*Summary_LCIA!X$32</f>
        <v>16.007606196964801</v>
      </c>
      <c r="BC342" s="137">
        <f>$W342*AH342+$L342*Summary_LCIA!Y$32</f>
        <v>0.63248318345175847</v>
      </c>
      <c r="BD342" s="137">
        <f>$W342*AI342+$L342*Summary_LCIA!Z$32</f>
        <v>0.33821814311593651</v>
      </c>
      <c r="BE342" s="137">
        <f>$W342*AJ342+$L342*Summary_LCIA!AA$32</f>
        <v>1.7550582687976752</v>
      </c>
      <c r="BF342" s="137">
        <f>$W342*AK342+$L342*Summary_LCIA!AB$32</f>
        <v>7.8274247891067933E-2</v>
      </c>
      <c r="BG342" s="137">
        <f>$W342*AL342+$L342*Summary_LCIA!AC$32</f>
        <v>3.9215421482925787E-5</v>
      </c>
      <c r="BH342" s="137">
        <f>$W342*AM342+$L342*Summary_LCIA!AD$32</f>
        <v>0.12385376565497176</v>
      </c>
      <c r="BI342" s="137">
        <f>$W342*AN342+$L342*Summary_LCIA!AE$32</f>
        <v>0.34944358426802896</v>
      </c>
      <c r="BJ342" s="137">
        <f>$W342*AO342+$L342*Summary_LCIA!AF$32</f>
        <v>2.3768138867307158E-2</v>
      </c>
      <c r="BK342" s="137">
        <f>$W342*AP342+$L342*Summary_LCIA!AG$32</f>
        <v>6.2349597423071558E-3</v>
      </c>
      <c r="BL342" s="137">
        <f>$W342*AQ342+$L342*Summary_LCIA!AH$32</f>
        <v>0.89415372820413974</v>
      </c>
      <c r="BM342" s="137">
        <f>$W342*AR342+$L342*Summary_LCIA!AI$32</f>
        <v>0.31922566299283595</v>
      </c>
    </row>
    <row r="343" spans="1:65" x14ac:dyDescent="0.25">
      <c r="A343" s="149">
        <v>340</v>
      </c>
      <c r="B343" s="149">
        <v>16</v>
      </c>
      <c r="C343" s="61">
        <v>47.606209</v>
      </c>
      <c r="D343" s="61">
        <v>-122.332071</v>
      </c>
      <c r="E343" s="61" t="s">
        <v>265</v>
      </c>
      <c r="F343" s="149">
        <v>29</v>
      </c>
      <c r="G343" s="61" t="s">
        <v>565</v>
      </c>
      <c r="H343" s="61" t="s">
        <v>719</v>
      </c>
      <c r="I343" s="61">
        <v>47.450249999999997</v>
      </c>
      <c r="J343" s="61">
        <v>-122.308817</v>
      </c>
      <c r="K343" s="61">
        <v>34.697320689999998</v>
      </c>
      <c r="L343" s="61">
        <v>22.074999999999999</v>
      </c>
      <c r="M343" s="61" t="s">
        <v>617</v>
      </c>
      <c r="N343" s="149">
        <v>15</v>
      </c>
      <c r="O343" s="149">
        <v>16</v>
      </c>
      <c r="P343" s="61" t="s">
        <v>565</v>
      </c>
      <c r="Q343" s="61" t="s">
        <v>556</v>
      </c>
      <c r="R343" s="61">
        <v>39.856096299999997</v>
      </c>
      <c r="S343" s="61">
        <v>-104.6737376</v>
      </c>
      <c r="T343" s="61">
        <v>2110.2860000000001</v>
      </c>
      <c r="U343" s="61" t="s">
        <v>617</v>
      </c>
      <c r="V343" s="61" t="s">
        <v>569</v>
      </c>
      <c r="W343" s="61" cm="1">
        <f t="array" ref="W343">getDistance(I343,J343,R343,S343)*SA!$B$12</f>
        <v>1649.1533616548018</v>
      </c>
      <c r="Y343" s="137">
        <f>Transportation_LCIA!C$61*($W343^Transportation_LCIA!C$60)+Transportation_LCIA!C$62</f>
        <v>0.19314572117317846</v>
      </c>
      <c r="Z343" s="137">
        <f>Transportation_LCIA!D$61*($W343^Transportation_LCIA!D$60)+Transportation_LCIA!D$62</f>
        <v>1.9315712789188959</v>
      </c>
      <c r="AA343" s="137">
        <f>Transportation_LCIA!E$61*($W343^Transportation_LCIA!E$60)+Transportation_LCIA!E$62</f>
        <v>8.2044203178652849E-4</v>
      </c>
      <c r="AB343" s="137">
        <f>Transportation_LCIA!F$61*($W343^Transportation_LCIA!F$60)+Transportation_LCIA!F$62</f>
        <v>0.19314572117317846</v>
      </c>
      <c r="AC343" s="137">
        <f>Transportation_LCIA!G$61*($W343^Transportation_LCIA!G$60)+Transportation_LCIA!G$62</f>
        <v>4.5253823769578011E-2</v>
      </c>
      <c r="AD343" s="137">
        <f>Transportation_LCIA!H$61*($W343^Transportation_LCIA!H$60)+Transportation_LCIA!H$62</f>
        <v>2.0597949682222189E-4</v>
      </c>
      <c r="AE343" s="137">
        <f>Transportation_LCIA!I$61*($W343^Transportation_LCIA!I$60)+Transportation_LCIA!I$62</f>
        <v>4.1534378665603613E-6</v>
      </c>
      <c r="AF343" s="137">
        <f>Transportation_LCIA!J$61*($W343^Transportation_LCIA!J$60)+Transportation_LCIA!J$62</f>
        <v>6.1464886927182867E-3</v>
      </c>
      <c r="AG343" s="137">
        <f>Transportation_LCIA!K$61*($W343^Transportation_LCIA!K$60)+Transportation_LCIA!K$62</f>
        <v>9.4016348372882429E-3</v>
      </c>
      <c r="AH343" s="137">
        <f>Transportation_LCIA!L$61*($W343^Transportation_LCIA!L$60)+Transportation_LCIA!L$62</f>
        <v>1.7494463532624993E-4</v>
      </c>
      <c r="AI343" s="137">
        <f>Transportation_LCIA!M$61*($W343^Transportation_LCIA!M$60)+Transportation_LCIA!M$62</f>
        <v>2.045369929103915E-4</v>
      </c>
      <c r="AJ343" s="137">
        <f>Transportation_LCIA!N$61*($W343^Transportation_LCIA!N$60)+Transportation_LCIA!N$62</f>
        <v>7.5158235590288311E-4</v>
      </c>
      <c r="AK343" s="137">
        <f>Transportation_LCIA!O$61*($W343^Transportation_LCIA!O$60)+Transportation_LCIA!O$62</f>
        <v>4.7755407378876027E-5</v>
      </c>
      <c r="AL343" s="137">
        <f>Transportation_LCIA!P$61*($W343^Transportation_LCIA!P$60)+Transportation_LCIA!P$62</f>
        <v>2.3124779095534731E-8</v>
      </c>
      <c r="AM343" s="137">
        <f>Transportation_LCIA!Q$61*($W343^Transportation_LCIA!Q$60)+Transportation_LCIA!Q$62</f>
        <v>6.9599383734571892E-5</v>
      </c>
      <c r="AN343" s="137">
        <f>Transportation_LCIA!R$61*($W343^Transportation_LCIA!R$60)+Transportation_LCIA!R$62</f>
        <v>2.0003128404444864E-4</v>
      </c>
      <c r="AO343" s="137">
        <f>Transportation_LCIA!S$61*($W343^Transportation_LCIA!S$60)+Transportation_LCIA!S$62</f>
        <v>3.0958263106495913E-6</v>
      </c>
      <c r="AP343" s="137">
        <f>Transportation_LCIA!T$61*($W343^Transportation_LCIA!T$60)+Transportation_LCIA!T$62</f>
        <v>3.0958263106495913E-6</v>
      </c>
      <c r="AQ343" s="137">
        <f>Transportation_LCIA!U$61*($W343^Transportation_LCIA!U$60)+Transportation_LCIA!U$62</f>
        <v>4.256861578353838E-4</v>
      </c>
      <c r="AR343" s="137">
        <f>Transportation_LCIA!V$61*($W343^Transportation_LCIA!V$60)+Transportation_LCIA!V$62</f>
        <v>1.8110001391450416E-4</v>
      </c>
      <c r="AT343" s="137">
        <f>$W343*Y343+$L343*Summary_LCIA!H$32</f>
        <v>326.02800036198829</v>
      </c>
      <c r="AU343" s="137">
        <f>$W343*Z343+$L343*Summary_LCIA!Q$32</f>
        <v>3294.8620812134368</v>
      </c>
      <c r="AV343" s="137">
        <f>$W343*AA343+$L343*Summary_LCIA!R$32</f>
        <v>1.4692728547636491</v>
      </c>
      <c r="AW343" s="137">
        <f>$W343*AB343+$L343*Summary_LCIA!S$32</f>
        <v>325.93042886198828</v>
      </c>
      <c r="AX343" s="137">
        <f>$W343*AC343+$L343*Summary_LCIA!T$32</f>
        <v>77.056538097333544</v>
      </c>
      <c r="AY343" s="137">
        <f>$W343*AD343+$L343*Summary_LCIA!U$32</f>
        <v>0.73514332961633178</v>
      </c>
      <c r="AZ343" s="137">
        <f>$W343*AE343+$L343*Summary_LCIA!V$32</f>
        <v>7.9039800950623674E-3</v>
      </c>
      <c r="BA343" s="137">
        <f>$W343*AF343+$L343*Summary_LCIA!W$32</f>
        <v>11.83563731496959</v>
      </c>
      <c r="BB343" s="137">
        <f>$W343*AG343+$L343*Summary_LCIA!X$32</f>
        <v>16.007606196964801</v>
      </c>
      <c r="BC343" s="137">
        <f>$W343*AH343+$L343*Summary_LCIA!Y$32</f>
        <v>0.63248318345175847</v>
      </c>
      <c r="BD343" s="137">
        <f>$W343*AI343+$L343*Summary_LCIA!Z$32</f>
        <v>0.33821814311593651</v>
      </c>
      <c r="BE343" s="137">
        <f>$W343*AJ343+$L343*Summary_LCIA!AA$32</f>
        <v>1.7550582687976752</v>
      </c>
      <c r="BF343" s="137">
        <f>$W343*AK343+$L343*Summary_LCIA!AB$32</f>
        <v>7.8274247891067933E-2</v>
      </c>
      <c r="BG343" s="137">
        <f>$W343*AL343+$L343*Summary_LCIA!AC$32</f>
        <v>3.9215421482925787E-5</v>
      </c>
      <c r="BH343" s="137">
        <f>$W343*AM343+$L343*Summary_LCIA!AD$32</f>
        <v>0.12385376565497176</v>
      </c>
      <c r="BI343" s="137">
        <f>$W343*AN343+$L343*Summary_LCIA!AE$32</f>
        <v>0.34944358426802896</v>
      </c>
      <c r="BJ343" s="137">
        <f>$W343*AO343+$L343*Summary_LCIA!AF$32</f>
        <v>2.3768138867307158E-2</v>
      </c>
      <c r="BK343" s="137">
        <f>$W343*AP343+$L343*Summary_LCIA!AG$32</f>
        <v>6.2349597423071558E-3</v>
      </c>
      <c r="BL343" s="137">
        <f>$W343*AQ343+$L343*Summary_LCIA!AH$32</f>
        <v>0.89415372820413974</v>
      </c>
      <c r="BM343" s="137">
        <f>$W343*AR343+$L343*Summary_LCIA!AI$32</f>
        <v>0.31922566299283595</v>
      </c>
    </row>
    <row r="344" spans="1:65" x14ac:dyDescent="0.25">
      <c r="A344" s="149">
        <v>341</v>
      </c>
      <c r="B344" s="149">
        <v>16</v>
      </c>
      <c r="C344" s="61">
        <v>47.606209</v>
      </c>
      <c r="D344" s="61">
        <v>-122.332071</v>
      </c>
      <c r="E344" s="61" t="s">
        <v>265</v>
      </c>
      <c r="F344" s="149">
        <v>29</v>
      </c>
      <c r="G344" s="61" t="s">
        <v>565</v>
      </c>
      <c r="H344" s="61" t="s">
        <v>719</v>
      </c>
      <c r="I344" s="61">
        <v>47.450249999999997</v>
      </c>
      <c r="J344" s="61">
        <v>-122.308817</v>
      </c>
      <c r="K344" s="61">
        <v>34.697320689999998</v>
      </c>
      <c r="L344" s="61">
        <v>22.074999999999999</v>
      </c>
      <c r="M344" s="61" t="s">
        <v>617</v>
      </c>
      <c r="N344" s="149">
        <v>15</v>
      </c>
      <c r="O344" s="149">
        <v>16</v>
      </c>
      <c r="P344" s="61" t="s">
        <v>565</v>
      </c>
      <c r="Q344" s="61" t="s">
        <v>556</v>
      </c>
      <c r="R344" s="61">
        <v>39.856096299999997</v>
      </c>
      <c r="S344" s="61">
        <v>-104.6737376</v>
      </c>
      <c r="T344" s="61">
        <v>2110.2860000000001</v>
      </c>
      <c r="U344" s="61" t="s">
        <v>617</v>
      </c>
      <c r="V344" s="61" t="s">
        <v>569</v>
      </c>
      <c r="W344" s="61" cm="1">
        <f t="array" ref="W344">getDistance(I344,J344,R344,S344)*SA!$B$12</f>
        <v>1649.1533616548018</v>
      </c>
      <c r="Y344" s="137">
        <f>Transportation_LCIA!C$61*($W344^Transportation_LCIA!C$60)+Transportation_LCIA!C$62</f>
        <v>0.19314572117317846</v>
      </c>
      <c r="Z344" s="137">
        <f>Transportation_LCIA!D$61*($W344^Transportation_LCIA!D$60)+Transportation_LCIA!D$62</f>
        <v>1.9315712789188959</v>
      </c>
      <c r="AA344" s="137">
        <f>Transportation_LCIA!E$61*($W344^Transportation_LCIA!E$60)+Transportation_LCIA!E$62</f>
        <v>8.2044203178652849E-4</v>
      </c>
      <c r="AB344" s="137">
        <f>Transportation_LCIA!F$61*($W344^Transportation_LCIA!F$60)+Transportation_LCIA!F$62</f>
        <v>0.19314572117317846</v>
      </c>
      <c r="AC344" s="137">
        <f>Transportation_LCIA!G$61*($W344^Transportation_LCIA!G$60)+Transportation_LCIA!G$62</f>
        <v>4.5253823769578011E-2</v>
      </c>
      <c r="AD344" s="137">
        <f>Transportation_LCIA!H$61*($W344^Transportation_LCIA!H$60)+Transportation_LCIA!H$62</f>
        <v>2.0597949682222189E-4</v>
      </c>
      <c r="AE344" s="137">
        <f>Transportation_LCIA!I$61*($W344^Transportation_LCIA!I$60)+Transportation_LCIA!I$62</f>
        <v>4.1534378665603613E-6</v>
      </c>
      <c r="AF344" s="137">
        <f>Transportation_LCIA!J$61*($W344^Transportation_LCIA!J$60)+Transportation_LCIA!J$62</f>
        <v>6.1464886927182867E-3</v>
      </c>
      <c r="AG344" s="137">
        <f>Transportation_LCIA!K$61*($W344^Transportation_LCIA!K$60)+Transportation_LCIA!K$62</f>
        <v>9.4016348372882429E-3</v>
      </c>
      <c r="AH344" s="137">
        <f>Transportation_LCIA!L$61*($W344^Transportation_LCIA!L$60)+Transportation_LCIA!L$62</f>
        <v>1.7494463532624993E-4</v>
      </c>
      <c r="AI344" s="137">
        <f>Transportation_LCIA!M$61*($W344^Transportation_LCIA!M$60)+Transportation_LCIA!M$62</f>
        <v>2.045369929103915E-4</v>
      </c>
      <c r="AJ344" s="137">
        <f>Transportation_LCIA!N$61*($W344^Transportation_LCIA!N$60)+Transportation_LCIA!N$62</f>
        <v>7.5158235590288311E-4</v>
      </c>
      <c r="AK344" s="137">
        <f>Transportation_LCIA!O$61*($W344^Transportation_LCIA!O$60)+Transportation_LCIA!O$62</f>
        <v>4.7755407378876027E-5</v>
      </c>
      <c r="AL344" s="137">
        <f>Transportation_LCIA!P$61*($W344^Transportation_LCIA!P$60)+Transportation_LCIA!P$62</f>
        <v>2.3124779095534731E-8</v>
      </c>
      <c r="AM344" s="137">
        <f>Transportation_LCIA!Q$61*($W344^Transportation_LCIA!Q$60)+Transportation_LCIA!Q$62</f>
        <v>6.9599383734571892E-5</v>
      </c>
      <c r="AN344" s="137">
        <f>Transportation_LCIA!R$61*($W344^Transportation_LCIA!R$60)+Transportation_LCIA!R$62</f>
        <v>2.0003128404444864E-4</v>
      </c>
      <c r="AO344" s="137">
        <f>Transportation_LCIA!S$61*($W344^Transportation_LCIA!S$60)+Transportation_LCIA!S$62</f>
        <v>3.0958263106495913E-6</v>
      </c>
      <c r="AP344" s="137">
        <f>Transportation_LCIA!T$61*($W344^Transportation_LCIA!T$60)+Transportation_LCIA!T$62</f>
        <v>3.0958263106495913E-6</v>
      </c>
      <c r="AQ344" s="137">
        <f>Transportation_LCIA!U$61*($W344^Transportation_LCIA!U$60)+Transportation_LCIA!U$62</f>
        <v>4.256861578353838E-4</v>
      </c>
      <c r="AR344" s="137">
        <f>Transportation_LCIA!V$61*($W344^Transportation_LCIA!V$60)+Transportation_LCIA!V$62</f>
        <v>1.8110001391450416E-4</v>
      </c>
      <c r="AT344" s="137">
        <f>$W344*Y344+$L344*Summary_LCIA!H$32</f>
        <v>326.02800036198829</v>
      </c>
      <c r="AU344" s="137">
        <f>$W344*Z344+$L344*Summary_LCIA!Q$32</f>
        <v>3294.8620812134368</v>
      </c>
      <c r="AV344" s="137">
        <f>$W344*AA344+$L344*Summary_LCIA!R$32</f>
        <v>1.4692728547636491</v>
      </c>
      <c r="AW344" s="137">
        <f>$W344*AB344+$L344*Summary_LCIA!S$32</f>
        <v>325.93042886198828</v>
      </c>
      <c r="AX344" s="137">
        <f>$W344*AC344+$L344*Summary_LCIA!T$32</f>
        <v>77.056538097333544</v>
      </c>
      <c r="AY344" s="137">
        <f>$W344*AD344+$L344*Summary_LCIA!U$32</f>
        <v>0.73514332961633178</v>
      </c>
      <c r="AZ344" s="137">
        <f>$W344*AE344+$L344*Summary_LCIA!V$32</f>
        <v>7.9039800950623674E-3</v>
      </c>
      <c r="BA344" s="137">
        <f>$W344*AF344+$L344*Summary_LCIA!W$32</f>
        <v>11.83563731496959</v>
      </c>
      <c r="BB344" s="137">
        <f>$W344*AG344+$L344*Summary_LCIA!X$32</f>
        <v>16.007606196964801</v>
      </c>
      <c r="BC344" s="137">
        <f>$W344*AH344+$L344*Summary_LCIA!Y$32</f>
        <v>0.63248318345175847</v>
      </c>
      <c r="BD344" s="137">
        <f>$W344*AI344+$L344*Summary_LCIA!Z$32</f>
        <v>0.33821814311593651</v>
      </c>
      <c r="BE344" s="137">
        <f>$W344*AJ344+$L344*Summary_LCIA!AA$32</f>
        <v>1.7550582687976752</v>
      </c>
      <c r="BF344" s="137">
        <f>$W344*AK344+$L344*Summary_LCIA!AB$32</f>
        <v>7.8274247891067933E-2</v>
      </c>
      <c r="BG344" s="137">
        <f>$W344*AL344+$L344*Summary_LCIA!AC$32</f>
        <v>3.9215421482925787E-5</v>
      </c>
      <c r="BH344" s="137">
        <f>$W344*AM344+$L344*Summary_LCIA!AD$32</f>
        <v>0.12385376565497176</v>
      </c>
      <c r="BI344" s="137">
        <f>$W344*AN344+$L344*Summary_LCIA!AE$32</f>
        <v>0.34944358426802896</v>
      </c>
      <c r="BJ344" s="137">
        <f>$W344*AO344+$L344*Summary_LCIA!AF$32</f>
        <v>2.3768138867307158E-2</v>
      </c>
      <c r="BK344" s="137">
        <f>$W344*AP344+$L344*Summary_LCIA!AG$32</f>
        <v>6.2349597423071558E-3</v>
      </c>
      <c r="BL344" s="137">
        <f>$W344*AQ344+$L344*Summary_LCIA!AH$32</f>
        <v>0.89415372820413974</v>
      </c>
      <c r="BM344" s="137">
        <f>$W344*AR344+$L344*Summary_LCIA!AI$32</f>
        <v>0.31922566299283595</v>
      </c>
    </row>
    <row r="345" spans="1:65" x14ac:dyDescent="0.25">
      <c r="A345" s="149">
        <v>342</v>
      </c>
      <c r="B345" s="149">
        <v>16</v>
      </c>
      <c r="C345" s="61">
        <v>47.606209</v>
      </c>
      <c r="D345" s="61">
        <v>-122.332071</v>
      </c>
      <c r="E345" s="61" t="s">
        <v>265</v>
      </c>
      <c r="F345" s="149">
        <v>29</v>
      </c>
      <c r="G345" s="61" t="s">
        <v>565</v>
      </c>
      <c r="H345" s="61" t="s">
        <v>719</v>
      </c>
      <c r="I345" s="61">
        <v>47.450249999999997</v>
      </c>
      <c r="J345" s="61">
        <v>-122.308817</v>
      </c>
      <c r="K345" s="61">
        <v>34.697320689999998</v>
      </c>
      <c r="L345" s="61">
        <v>22.074999999999999</v>
      </c>
      <c r="M345" s="61" t="s">
        <v>617</v>
      </c>
      <c r="N345" s="149">
        <v>15</v>
      </c>
      <c r="O345" s="149">
        <v>16</v>
      </c>
      <c r="P345" s="61" t="s">
        <v>565</v>
      </c>
      <c r="Q345" s="61" t="s">
        <v>556</v>
      </c>
      <c r="R345" s="61">
        <v>39.856096299999997</v>
      </c>
      <c r="S345" s="61">
        <v>-104.6737376</v>
      </c>
      <c r="T345" s="61">
        <v>2110.2860000000001</v>
      </c>
      <c r="U345" s="61" t="s">
        <v>617</v>
      </c>
      <c r="V345" s="61" t="s">
        <v>569</v>
      </c>
      <c r="W345" s="61" cm="1">
        <f t="array" ref="W345">getDistance(I345,J345,R345,S345)*SA!$B$12</f>
        <v>1649.1533616548018</v>
      </c>
      <c r="Y345" s="137">
        <f>Transportation_LCIA!C$61*($W345^Transportation_LCIA!C$60)+Transportation_LCIA!C$62</f>
        <v>0.19314572117317846</v>
      </c>
      <c r="Z345" s="137">
        <f>Transportation_LCIA!D$61*($W345^Transportation_LCIA!D$60)+Transportation_LCIA!D$62</f>
        <v>1.9315712789188959</v>
      </c>
      <c r="AA345" s="137">
        <f>Transportation_LCIA!E$61*($W345^Transportation_LCIA!E$60)+Transportation_LCIA!E$62</f>
        <v>8.2044203178652849E-4</v>
      </c>
      <c r="AB345" s="137">
        <f>Transportation_LCIA!F$61*($W345^Transportation_LCIA!F$60)+Transportation_LCIA!F$62</f>
        <v>0.19314572117317846</v>
      </c>
      <c r="AC345" s="137">
        <f>Transportation_LCIA!G$61*($W345^Transportation_LCIA!G$60)+Transportation_LCIA!G$62</f>
        <v>4.5253823769578011E-2</v>
      </c>
      <c r="AD345" s="137">
        <f>Transportation_LCIA!H$61*($W345^Transportation_LCIA!H$60)+Transportation_LCIA!H$62</f>
        <v>2.0597949682222189E-4</v>
      </c>
      <c r="AE345" s="137">
        <f>Transportation_LCIA!I$61*($W345^Transportation_LCIA!I$60)+Transportation_LCIA!I$62</f>
        <v>4.1534378665603613E-6</v>
      </c>
      <c r="AF345" s="137">
        <f>Transportation_LCIA!J$61*($W345^Transportation_LCIA!J$60)+Transportation_LCIA!J$62</f>
        <v>6.1464886927182867E-3</v>
      </c>
      <c r="AG345" s="137">
        <f>Transportation_LCIA!K$61*($W345^Transportation_LCIA!K$60)+Transportation_LCIA!K$62</f>
        <v>9.4016348372882429E-3</v>
      </c>
      <c r="AH345" s="137">
        <f>Transportation_LCIA!L$61*($W345^Transportation_LCIA!L$60)+Transportation_LCIA!L$62</f>
        <v>1.7494463532624993E-4</v>
      </c>
      <c r="AI345" s="137">
        <f>Transportation_LCIA!M$61*($W345^Transportation_LCIA!M$60)+Transportation_LCIA!M$62</f>
        <v>2.045369929103915E-4</v>
      </c>
      <c r="AJ345" s="137">
        <f>Transportation_LCIA!N$61*($W345^Transportation_LCIA!N$60)+Transportation_LCIA!N$62</f>
        <v>7.5158235590288311E-4</v>
      </c>
      <c r="AK345" s="137">
        <f>Transportation_LCIA!O$61*($W345^Transportation_LCIA!O$60)+Transportation_LCIA!O$62</f>
        <v>4.7755407378876027E-5</v>
      </c>
      <c r="AL345" s="137">
        <f>Transportation_LCIA!P$61*($W345^Transportation_LCIA!P$60)+Transportation_LCIA!P$62</f>
        <v>2.3124779095534731E-8</v>
      </c>
      <c r="AM345" s="137">
        <f>Transportation_LCIA!Q$61*($W345^Transportation_LCIA!Q$60)+Transportation_LCIA!Q$62</f>
        <v>6.9599383734571892E-5</v>
      </c>
      <c r="AN345" s="137">
        <f>Transportation_LCIA!R$61*($W345^Transportation_LCIA!R$60)+Transportation_LCIA!R$62</f>
        <v>2.0003128404444864E-4</v>
      </c>
      <c r="AO345" s="137">
        <f>Transportation_LCIA!S$61*($W345^Transportation_LCIA!S$60)+Transportation_LCIA!S$62</f>
        <v>3.0958263106495913E-6</v>
      </c>
      <c r="AP345" s="137">
        <f>Transportation_LCIA!T$61*($W345^Transportation_LCIA!T$60)+Transportation_LCIA!T$62</f>
        <v>3.0958263106495913E-6</v>
      </c>
      <c r="AQ345" s="137">
        <f>Transportation_LCIA!U$61*($W345^Transportation_LCIA!U$60)+Transportation_LCIA!U$62</f>
        <v>4.256861578353838E-4</v>
      </c>
      <c r="AR345" s="137">
        <f>Transportation_LCIA!V$61*($W345^Transportation_LCIA!V$60)+Transportation_LCIA!V$62</f>
        <v>1.8110001391450416E-4</v>
      </c>
      <c r="AT345" s="137">
        <f>$W345*Y345+$L345*Summary_LCIA!H$32</f>
        <v>326.02800036198829</v>
      </c>
      <c r="AU345" s="137">
        <f>$W345*Z345+$L345*Summary_LCIA!Q$32</f>
        <v>3294.8620812134368</v>
      </c>
      <c r="AV345" s="137">
        <f>$W345*AA345+$L345*Summary_LCIA!R$32</f>
        <v>1.4692728547636491</v>
      </c>
      <c r="AW345" s="137">
        <f>$W345*AB345+$L345*Summary_LCIA!S$32</f>
        <v>325.93042886198828</v>
      </c>
      <c r="AX345" s="137">
        <f>$W345*AC345+$L345*Summary_LCIA!T$32</f>
        <v>77.056538097333544</v>
      </c>
      <c r="AY345" s="137">
        <f>$W345*AD345+$L345*Summary_LCIA!U$32</f>
        <v>0.73514332961633178</v>
      </c>
      <c r="AZ345" s="137">
        <f>$W345*AE345+$L345*Summary_LCIA!V$32</f>
        <v>7.9039800950623674E-3</v>
      </c>
      <c r="BA345" s="137">
        <f>$W345*AF345+$L345*Summary_LCIA!W$32</f>
        <v>11.83563731496959</v>
      </c>
      <c r="BB345" s="137">
        <f>$W345*AG345+$L345*Summary_LCIA!X$32</f>
        <v>16.007606196964801</v>
      </c>
      <c r="BC345" s="137">
        <f>$W345*AH345+$L345*Summary_LCIA!Y$32</f>
        <v>0.63248318345175847</v>
      </c>
      <c r="BD345" s="137">
        <f>$W345*AI345+$L345*Summary_LCIA!Z$32</f>
        <v>0.33821814311593651</v>
      </c>
      <c r="BE345" s="137">
        <f>$W345*AJ345+$L345*Summary_LCIA!AA$32</f>
        <v>1.7550582687976752</v>
      </c>
      <c r="BF345" s="137">
        <f>$W345*AK345+$L345*Summary_LCIA!AB$32</f>
        <v>7.8274247891067933E-2</v>
      </c>
      <c r="BG345" s="137">
        <f>$W345*AL345+$L345*Summary_LCIA!AC$32</f>
        <v>3.9215421482925787E-5</v>
      </c>
      <c r="BH345" s="137">
        <f>$W345*AM345+$L345*Summary_LCIA!AD$32</f>
        <v>0.12385376565497176</v>
      </c>
      <c r="BI345" s="137">
        <f>$W345*AN345+$L345*Summary_LCIA!AE$32</f>
        <v>0.34944358426802896</v>
      </c>
      <c r="BJ345" s="137">
        <f>$W345*AO345+$L345*Summary_LCIA!AF$32</f>
        <v>2.3768138867307158E-2</v>
      </c>
      <c r="BK345" s="137">
        <f>$W345*AP345+$L345*Summary_LCIA!AG$32</f>
        <v>6.2349597423071558E-3</v>
      </c>
      <c r="BL345" s="137">
        <f>$W345*AQ345+$L345*Summary_LCIA!AH$32</f>
        <v>0.89415372820413974</v>
      </c>
      <c r="BM345" s="137">
        <f>$W345*AR345+$L345*Summary_LCIA!AI$32</f>
        <v>0.31922566299283595</v>
      </c>
    </row>
    <row r="346" spans="1:65" x14ac:dyDescent="0.25">
      <c r="A346" s="149">
        <v>343</v>
      </c>
      <c r="B346" s="149">
        <v>16</v>
      </c>
      <c r="C346" s="61">
        <v>47.606209</v>
      </c>
      <c r="D346" s="61">
        <v>-122.332071</v>
      </c>
      <c r="E346" s="61" t="s">
        <v>265</v>
      </c>
      <c r="F346" s="149">
        <v>29</v>
      </c>
      <c r="G346" s="61" t="s">
        <v>565</v>
      </c>
      <c r="H346" s="61" t="s">
        <v>719</v>
      </c>
      <c r="I346" s="61">
        <v>47.450249999999997</v>
      </c>
      <c r="J346" s="61">
        <v>-122.308817</v>
      </c>
      <c r="K346" s="61">
        <v>34.697320689999998</v>
      </c>
      <c r="L346" s="61">
        <v>22.074999999999999</v>
      </c>
      <c r="M346" s="61" t="s">
        <v>617</v>
      </c>
      <c r="N346" s="149">
        <v>15</v>
      </c>
      <c r="O346" s="149">
        <v>16</v>
      </c>
      <c r="P346" s="61" t="s">
        <v>565</v>
      </c>
      <c r="Q346" s="61" t="s">
        <v>556</v>
      </c>
      <c r="R346" s="61">
        <v>39.856096299999997</v>
      </c>
      <c r="S346" s="61">
        <v>-104.6737376</v>
      </c>
      <c r="T346" s="61">
        <v>2110.2860000000001</v>
      </c>
      <c r="U346" s="61" t="s">
        <v>617</v>
      </c>
      <c r="V346" s="61" t="s">
        <v>569</v>
      </c>
      <c r="W346" s="61" cm="1">
        <f t="array" ref="W346">getDistance(I346,J346,R346,S346)*SA!$B$12</f>
        <v>1649.1533616548018</v>
      </c>
      <c r="Y346" s="137">
        <f>Transportation_LCIA!C$61*($W346^Transportation_LCIA!C$60)+Transportation_LCIA!C$62</f>
        <v>0.19314572117317846</v>
      </c>
      <c r="Z346" s="137">
        <f>Transportation_LCIA!D$61*($W346^Transportation_LCIA!D$60)+Transportation_LCIA!D$62</f>
        <v>1.9315712789188959</v>
      </c>
      <c r="AA346" s="137">
        <f>Transportation_LCIA!E$61*($W346^Transportation_LCIA!E$60)+Transportation_LCIA!E$62</f>
        <v>8.2044203178652849E-4</v>
      </c>
      <c r="AB346" s="137">
        <f>Transportation_LCIA!F$61*($W346^Transportation_LCIA!F$60)+Transportation_LCIA!F$62</f>
        <v>0.19314572117317846</v>
      </c>
      <c r="AC346" s="137">
        <f>Transportation_LCIA!G$61*($W346^Transportation_LCIA!G$60)+Transportation_LCIA!G$62</f>
        <v>4.5253823769578011E-2</v>
      </c>
      <c r="AD346" s="137">
        <f>Transportation_LCIA!H$61*($W346^Transportation_LCIA!H$60)+Transportation_LCIA!H$62</f>
        <v>2.0597949682222189E-4</v>
      </c>
      <c r="AE346" s="137">
        <f>Transportation_LCIA!I$61*($W346^Transportation_LCIA!I$60)+Transportation_LCIA!I$62</f>
        <v>4.1534378665603613E-6</v>
      </c>
      <c r="AF346" s="137">
        <f>Transportation_LCIA!J$61*($W346^Transportation_LCIA!J$60)+Transportation_LCIA!J$62</f>
        <v>6.1464886927182867E-3</v>
      </c>
      <c r="AG346" s="137">
        <f>Transportation_LCIA!K$61*($W346^Transportation_LCIA!K$60)+Transportation_LCIA!K$62</f>
        <v>9.4016348372882429E-3</v>
      </c>
      <c r="AH346" s="137">
        <f>Transportation_LCIA!L$61*($W346^Transportation_LCIA!L$60)+Transportation_LCIA!L$62</f>
        <v>1.7494463532624993E-4</v>
      </c>
      <c r="AI346" s="137">
        <f>Transportation_LCIA!M$61*($W346^Transportation_LCIA!M$60)+Transportation_LCIA!M$62</f>
        <v>2.045369929103915E-4</v>
      </c>
      <c r="AJ346" s="137">
        <f>Transportation_LCIA!N$61*($W346^Transportation_LCIA!N$60)+Transportation_LCIA!N$62</f>
        <v>7.5158235590288311E-4</v>
      </c>
      <c r="AK346" s="137">
        <f>Transportation_LCIA!O$61*($W346^Transportation_LCIA!O$60)+Transportation_LCIA!O$62</f>
        <v>4.7755407378876027E-5</v>
      </c>
      <c r="AL346" s="137">
        <f>Transportation_LCIA!P$61*($W346^Transportation_LCIA!P$60)+Transportation_LCIA!P$62</f>
        <v>2.3124779095534731E-8</v>
      </c>
      <c r="AM346" s="137">
        <f>Transportation_LCIA!Q$61*($W346^Transportation_LCIA!Q$60)+Transportation_LCIA!Q$62</f>
        <v>6.9599383734571892E-5</v>
      </c>
      <c r="AN346" s="137">
        <f>Transportation_LCIA!R$61*($W346^Transportation_LCIA!R$60)+Transportation_LCIA!R$62</f>
        <v>2.0003128404444864E-4</v>
      </c>
      <c r="AO346" s="137">
        <f>Transportation_LCIA!S$61*($W346^Transportation_LCIA!S$60)+Transportation_LCIA!S$62</f>
        <v>3.0958263106495913E-6</v>
      </c>
      <c r="AP346" s="137">
        <f>Transportation_LCIA!T$61*($W346^Transportation_LCIA!T$60)+Transportation_LCIA!T$62</f>
        <v>3.0958263106495913E-6</v>
      </c>
      <c r="AQ346" s="137">
        <f>Transportation_LCIA!U$61*($W346^Transportation_LCIA!U$60)+Transportation_LCIA!U$62</f>
        <v>4.256861578353838E-4</v>
      </c>
      <c r="AR346" s="137">
        <f>Transportation_LCIA!V$61*($W346^Transportation_LCIA!V$60)+Transportation_LCIA!V$62</f>
        <v>1.8110001391450416E-4</v>
      </c>
      <c r="AT346" s="137">
        <f>$W346*Y346+$L346*Summary_LCIA!H$32</f>
        <v>326.02800036198829</v>
      </c>
      <c r="AU346" s="137">
        <f>$W346*Z346+$L346*Summary_LCIA!Q$32</f>
        <v>3294.8620812134368</v>
      </c>
      <c r="AV346" s="137">
        <f>$W346*AA346+$L346*Summary_LCIA!R$32</f>
        <v>1.4692728547636491</v>
      </c>
      <c r="AW346" s="137">
        <f>$W346*AB346+$L346*Summary_LCIA!S$32</f>
        <v>325.93042886198828</v>
      </c>
      <c r="AX346" s="137">
        <f>$W346*AC346+$L346*Summary_LCIA!T$32</f>
        <v>77.056538097333544</v>
      </c>
      <c r="AY346" s="137">
        <f>$W346*AD346+$L346*Summary_LCIA!U$32</f>
        <v>0.73514332961633178</v>
      </c>
      <c r="AZ346" s="137">
        <f>$W346*AE346+$L346*Summary_LCIA!V$32</f>
        <v>7.9039800950623674E-3</v>
      </c>
      <c r="BA346" s="137">
        <f>$W346*AF346+$L346*Summary_LCIA!W$32</f>
        <v>11.83563731496959</v>
      </c>
      <c r="BB346" s="137">
        <f>$W346*AG346+$L346*Summary_LCIA!X$32</f>
        <v>16.007606196964801</v>
      </c>
      <c r="BC346" s="137">
        <f>$W346*AH346+$L346*Summary_LCIA!Y$32</f>
        <v>0.63248318345175847</v>
      </c>
      <c r="BD346" s="137">
        <f>$W346*AI346+$L346*Summary_LCIA!Z$32</f>
        <v>0.33821814311593651</v>
      </c>
      <c r="BE346" s="137">
        <f>$W346*AJ346+$L346*Summary_LCIA!AA$32</f>
        <v>1.7550582687976752</v>
      </c>
      <c r="BF346" s="137">
        <f>$W346*AK346+$L346*Summary_LCIA!AB$32</f>
        <v>7.8274247891067933E-2</v>
      </c>
      <c r="BG346" s="137">
        <f>$W346*AL346+$L346*Summary_LCIA!AC$32</f>
        <v>3.9215421482925787E-5</v>
      </c>
      <c r="BH346" s="137">
        <f>$W346*AM346+$L346*Summary_LCIA!AD$32</f>
        <v>0.12385376565497176</v>
      </c>
      <c r="BI346" s="137">
        <f>$W346*AN346+$L346*Summary_LCIA!AE$32</f>
        <v>0.34944358426802896</v>
      </c>
      <c r="BJ346" s="137">
        <f>$W346*AO346+$L346*Summary_LCIA!AF$32</f>
        <v>2.3768138867307158E-2</v>
      </c>
      <c r="BK346" s="137">
        <f>$W346*AP346+$L346*Summary_LCIA!AG$32</f>
        <v>6.2349597423071558E-3</v>
      </c>
      <c r="BL346" s="137">
        <f>$W346*AQ346+$L346*Summary_LCIA!AH$32</f>
        <v>0.89415372820413974</v>
      </c>
      <c r="BM346" s="137">
        <f>$W346*AR346+$L346*Summary_LCIA!AI$32</f>
        <v>0.31922566299283595</v>
      </c>
    </row>
    <row r="347" spans="1:65" x14ac:dyDescent="0.25">
      <c r="A347" s="149">
        <v>316</v>
      </c>
      <c r="B347" s="149">
        <v>16</v>
      </c>
      <c r="C347" s="61">
        <v>47.673988000000001</v>
      </c>
      <c r="D347" s="61">
        <v>-122.121512</v>
      </c>
      <c r="E347" s="61" t="s">
        <v>265</v>
      </c>
      <c r="F347" s="149">
        <v>29</v>
      </c>
      <c r="G347" s="61" t="s">
        <v>565</v>
      </c>
      <c r="H347" s="61" t="s">
        <v>719</v>
      </c>
      <c r="I347" s="61">
        <v>47.450249999999997</v>
      </c>
      <c r="J347" s="61">
        <v>-122.308817</v>
      </c>
      <c r="K347" s="61">
        <v>41.554973830000002</v>
      </c>
      <c r="L347" s="61">
        <v>37.302999999999997</v>
      </c>
      <c r="M347" s="61" t="s">
        <v>617</v>
      </c>
      <c r="N347" s="149">
        <v>15</v>
      </c>
      <c r="O347" s="149">
        <v>16</v>
      </c>
      <c r="P347" s="61" t="s">
        <v>565</v>
      </c>
      <c r="Q347" s="61" t="s">
        <v>556</v>
      </c>
      <c r="R347" s="61">
        <v>39.856096299999997</v>
      </c>
      <c r="S347" s="61">
        <v>-104.6737376</v>
      </c>
      <c r="T347" s="61">
        <v>2111.7849999999999</v>
      </c>
      <c r="U347" s="61" t="s">
        <v>617</v>
      </c>
      <c r="V347" s="61" t="s">
        <v>569</v>
      </c>
      <c r="W347" s="61" cm="1">
        <f t="array" ref="W347">getDistance(I347,J347,R347,S347)*SA!$B$12</f>
        <v>1649.1533616548018</v>
      </c>
      <c r="Y347" s="137">
        <f>Transportation_LCIA!C$61*($W347^Transportation_LCIA!C$60)+Transportation_LCIA!C$62</f>
        <v>0.19314572117317846</v>
      </c>
      <c r="Z347" s="137">
        <f>Transportation_LCIA!D$61*($W347^Transportation_LCIA!D$60)+Transportation_LCIA!D$62</f>
        <v>1.9315712789188959</v>
      </c>
      <c r="AA347" s="137">
        <f>Transportation_LCIA!E$61*($W347^Transportation_LCIA!E$60)+Transportation_LCIA!E$62</f>
        <v>8.2044203178652849E-4</v>
      </c>
      <c r="AB347" s="137">
        <f>Transportation_LCIA!F$61*($W347^Transportation_LCIA!F$60)+Transportation_LCIA!F$62</f>
        <v>0.19314572117317846</v>
      </c>
      <c r="AC347" s="137">
        <f>Transportation_LCIA!G$61*($W347^Transportation_LCIA!G$60)+Transportation_LCIA!G$62</f>
        <v>4.5253823769578011E-2</v>
      </c>
      <c r="AD347" s="137">
        <f>Transportation_LCIA!H$61*($W347^Transportation_LCIA!H$60)+Transportation_LCIA!H$62</f>
        <v>2.0597949682222189E-4</v>
      </c>
      <c r="AE347" s="137">
        <f>Transportation_LCIA!I$61*($W347^Transportation_LCIA!I$60)+Transportation_LCIA!I$62</f>
        <v>4.1534378665603613E-6</v>
      </c>
      <c r="AF347" s="137">
        <f>Transportation_LCIA!J$61*($W347^Transportation_LCIA!J$60)+Transportation_LCIA!J$62</f>
        <v>6.1464886927182867E-3</v>
      </c>
      <c r="AG347" s="137">
        <f>Transportation_LCIA!K$61*($W347^Transportation_LCIA!K$60)+Transportation_LCIA!K$62</f>
        <v>9.4016348372882429E-3</v>
      </c>
      <c r="AH347" s="137">
        <f>Transportation_LCIA!L$61*($W347^Transportation_LCIA!L$60)+Transportation_LCIA!L$62</f>
        <v>1.7494463532624993E-4</v>
      </c>
      <c r="AI347" s="137">
        <f>Transportation_LCIA!M$61*($W347^Transportation_LCIA!M$60)+Transportation_LCIA!M$62</f>
        <v>2.045369929103915E-4</v>
      </c>
      <c r="AJ347" s="137">
        <f>Transportation_LCIA!N$61*($W347^Transportation_LCIA!N$60)+Transportation_LCIA!N$62</f>
        <v>7.5158235590288311E-4</v>
      </c>
      <c r="AK347" s="137">
        <f>Transportation_LCIA!O$61*($W347^Transportation_LCIA!O$60)+Transportation_LCIA!O$62</f>
        <v>4.7755407378876027E-5</v>
      </c>
      <c r="AL347" s="137">
        <f>Transportation_LCIA!P$61*($W347^Transportation_LCIA!P$60)+Transportation_LCIA!P$62</f>
        <v>2.3124779095534731E-8</v>
      </c>
      <c r="AM347" s="137">
        <f>Transportation_LCIA!Q$61*($W347^Transportation_LCIA!Q$60)+Transportation_LCIA!Q$62</f>
        <v>6.9599383734571892E-5</v>
      </c>
      <c r="AN347" s="137">
        <f>Transportation_LCIA!R$61*($W347^Transportation_LCIA!R$60)+Transportation_LCIA!R$62</f>
        <v>2.0003128404444864E-4</v>
      </c>
      <c r="AO347" s="137">
        <f>Transportation_LCIA!S$61*($W347^Transportation_LCIA!S$60)+Transportation_LCIA!S$62</f>
        <v>3.0958263106495913E-6</v>
      </c>
      <c r="AP347" s="137">
        <f>Transportation_LCIA!T$61*($W347^Transportation_LCIA!T$60)+Transportation_LCIA!T$62</f>
        <v>3.0958263106495913E-6</v>
      </c>
      <c r="AQ347" s="137">
        <f>Transportation_LCIA!U$61*($W347^Transportation_LCIA!U$60)+Transportation_LCIA!U$62</f>
        <v>4.256861578353838E-4</v>
      </c>
      <c r="AR347" s="137">
        <f>Transportation_LCIA!V$61*($W347^Transportation_LCIA!V$60)+Transportation_LCIA!V$62</f>
        <v>1.8110001391450416E-4</v>
      </c>
      <c r="AT347" s="137">
        <f>$W347*Y347+$L347*Summary_LCIA!H$32</f>
        <v>331.2024747619883</v>
      </c>
      <c r="AU347" s="137">
        <f>$W347*Z347+$L347*Summary_LCIA!Q$32</f>
        <v>3370.332817207161</v>
      </c>
      <c r="AV347" s="137">
        <f>$W347*AA347+$L347*Summary_LCIA!R$32</f>
        <v>1.549457411563649</v>
      </c>
      <c r="AW347" s="137">
        <f>$W347*AB347+$L347*Summary_LCIA!S$32</f>
        <v>331.03759550198828</v>
      </c>
      <c r="AX347" s="137">
        <f>$W347*AC347+$L347*Summary_LCIA!T$32</f>
        <v>78.730095297333548</v>
      </c>
      <c r="AY347" s="137">
        <f>$W347*AD347+$L347*Summary_LCIA!U$32</f>
        <v>1.0079377216163317</v>
      </c>
      <c r="AZ347" s="137">
        <f>$W347*AE347+$L347*Summary_LCIA!V$32</f>
        <v>8.6312846030623669E-3</v>
      </c>
      <c r="BA347" s="137">
        <f>$W347*AF347+$L347*Summary_LCIA!W$32</f>
        <v>13.007751702969589</v>
      </c>
      <c r="BB347" s="137">
        <f>$W347*AG347+$L347*Summary_LCIA!X$32</f>
        <v>16.354500036964801</v>
      </c>
      <c r="BC347" s="137">
        <f>$W347*AH347+$L347*Summary_LCIA!Y$32</f>
        <v>0.86976587945175843</v>
      </c>
      <c r="BD347" s="137">
        <f>$W347*AI347+$L347*Summary_LCIA!Z$32</f>
        <v>0.33884262816793653</v>
      </c>
      <c r="BE347" s="137">
        <f>$W347*AJ347+$L347*Summary_LCIA!AA$32</f>
        <v>2.1107234367976755</v>
      </c>
      <c r="BF347" s="137">
        <f>$W347*AK347+$L347*Summary_LCIA!AB$32</f>
        <v>7.794192724706793E-2</v>
      </c>
      <c r="BG347" s="137">
        <f>$W347*AL347+$L347*Summary_LCIA!AC$32</f>
        <v>3.9959827034925788E-5</v>
      </c>
      <c r="BH347" s="137">
        <f>$W347*AM347+$L347*Summary_LCIA!AD$32</f>
        <v>0.13011308277497177</v>
      </c>
      <c r="BI347" s="137">
        <f>$W347*AN347+$L347*Summary_LCIA!AE$32</f>
        <v>0.362937571908029</v>
      </c>
      <c r="BJ347" s="137">
        <f>$W347*AO347+$L347*Summary_LCIA!AF$32</f>
        <v>3.6642194627307154E-2</v>
      </c>
      <c r="BK347" s="137">
        <f>$W347*AP347+$L347*Summary_LCIA!AG$32</f>
        <v>7.0141003623071553E-3</v>
      </c>
      <c r="BL347" s="137">
        <f>$W347*AQ347+$L347*Summary_LCIA!AH$32</f>
        <v>1.0266921490041396</v>
      </c>
      <c r="BM347" s="137">
        <f>$W347*AR347+$L347*Summary_LCIA!AI$32</f>
        <v>0.33341130639283595</v>
      </c>
    </row>
    <row r="348" spans="1:65" x14ac:dyDescent="0.25">
      <c r="A348" s="149">
        <v>317</v>
      </c>
      <c r="B348" s="149">
        <v>16</v>
      </c>
      <c r="C348" s="61">
        <v>47.673988000000001</v>
      </c>
      <c r="D348" s="61">
        <v>-122.121512</v>
      </c>
      <c r="E348" s="61" t="s">
        <v>265</v>
      </c>
      <c r="F348" s="149">
        <v>29</v>
      </c>
      <c r="G348" s="61" t="s">
        <v>565</v>
      </c>
      <c r="H348" s="61" t="s">
        <v>719</v>
      </c>
      <c r="I348" s="61">
        <v>47.450249999999997</v>
      </c>
      <c r="J348" s="61">
        <v>-122.308817</v>
      </c>
      <c r="K348" s="61">
        <v>41.554973830000002</v>
      </c>
      <c r="L348" s="61">
        <v>37.302999999999997</v>
      </c>
      <c r="M348" s="61" t="s">
        <v>617</v>
      </c>
      <c r="N348" s="149">
        <v>15</v>
      </c>
      <c r="O348" s="149">
        <v>16</v>
      </c>
      <c r="P348" s="61" t="s">
        <v>565</v>
      </c>
      <c r="Q348" s="61" t="s">
        <v>556</v>
      </c>
      <c r="R348" s="61">
        <v>39.856096299999997</v>
      </c>
      <c r="S348" s="61">
        <v>-104.6737376</v>
      </c>
      <c r="T348" s="61">
        <v>2111.7849999999999</v>
      </c>
      <c r="U348" s="61" t="s">
        <v>617</v>
      </c>
      <c r="V348" s="61" t="s">
        <v>569</v>
      </c>
      <c r="W348" s="61" cm="1">
        <f t="array" ref="W348">getDistance(I348,J348,R348,S348)*SA!$B$12</f>
        <v>1649.1533616548018</v>
      </c>
      <c r="Y348" s="137">
        <f>Transportation_LCIA!C$61*($W348^Transportation_LCIA!C$60)+Transportation_LCIA!C$62</f>
        <v>0.19314572117317846</v>
      </c>
      <c r="Z348" s="137">
        <f>Transportation_LCIA!D$61*($W348^Transportation_LCIA!D$60)+Transportation_LCIA!D$62</f>
        <v>1.9315712789188959</v>
      </c>
      <c r="AA348" s="137">
        <f>Transportation_LCIA!E$61*($W348^Transportation_LCIA!E$60)+Transportation_LCIA!E$62</f>
        <v>8.2044203178652849E-4</v>
      </c>
      <c r="AB348" s="137">
        <f>Transportation_LCIA!F$61*($W348^Transportation_LCIA!F$60)+Transportation_LCIA!F$62</f>
        <v>0.19314572117317846</v>
      </c>
      <c r="AC348" s="137">
        <f>Transportation_LCIA!G$61*($W348^Transportation_LCIA!G$60)+Transportation_LCIA!G$62</f>
        <v>4.5253823769578011E-2</v>
      </c>
      <c r="AD348" s="137">
        <f>Transportation_LCIA!H$61*($W348^Transportation_LCIA!H$60)+Transportation_LCIA!H$62</f>
        <v>2.0597949682222189E-4</v>
      </c>
      <c r="AE348" s="137">
        <f>Transportation_LCIA!I$61*($W348^Transportation_LCIA!I$60)+Transportation_LCIA!I$62</f>
        <v>4.1534378665603613E-6</v>
      </c>
      <c r="AF348" s="137">
        <f>Transportation_LCIA!J$61*($W348^Transportation_LCIA!J$60)+Transportation_LCIA!J$62</f>
        <v>6.1464886927182867E-3</v>
      </c>
      <c r="AG348" s="137">
        <f>Transportation_LCIA!K$61*($W348^Transportation_LCIA!K$60)+Transportation_LCIA!K$62</f>
        <v>9.4016348372882429E-3</v>
      </c>
      <c r="AH348" s="137">
        <f>Transportation_LCIA!L$61*($W348^Transportation_LCIA!L$60)+Transportation_LCIA!L$62</f>
        <v>1.7494463532624993E-4</v>
      </c>
      <c r="AI348" s="137">
        <f>Transportation_LCIA!M$61*($W348^Transportation_LCIA!M$60)+Transportation_LCIA!M$62</f>
        <v>2.045369929103915E-4</v>
      </c>
      <c r="AJ348" s="137">
        <f>Transportation_LCIA!N$61*($W348^Transportation_LCIA!N$60)+Transportation_LCIA!N$62</f>
        <v>7.5158235590288311E-4</v>
      </c>
      <c r="AK348" s="137">
        <f>Transportation_LCIA!O$61*($W348^Transportation_LCIA!O$60)+Transportation_LCIA!O$62</f>
        <v>4.7755407378876027E-5</v>
      </c>
      <c r="AL348" s="137">
        <f>Transportation_LCIA!P$61*($W348^Transportation_LCIA!P$60)+Transportation_LCIA!P$62</f>
        <v>2.3124779095534731E-8</v>
      </c>
      <c r="AM348" s="137">
        <f>Transportation_LCIA!Q$61*($W348^Transportation_LCIA!Q$60)+Transportation_LCIA!Q$62</f>
        <v>6.9599383734571892E-5</v>
      </c>
      <c r="AN348" s="137">
        <f>Transportation_LCIA!R$61*($W348^Transportation_LCIA!R$60)+Transportation_LCIA!R$62</f>
        <v>2.0003128404444864E-4</v>
      </c>
      <c r="AO348" s="137">
        <f>Transportation_LCIA!S$61*($W348^Transportation_LCIA!S$60)+Transportation_LCIA!S$62</f>
        <v>3.0958263106495913E-6</v>
      </c>
      <c r="AP348" s="137">
        <f>Transportation_LCIA!T$61*($W348^Transportation_LCIA!T$60)+Transportation_LCIA!T$62</f>
        <v>3.0958263106495913E-6</v>
      </c>
      <c r="AQ348" s="137">
        <f>Transportation_LCIA!U$61*($W348^Transportation_LCIA!U$60)+Transportation_LCIA!U$62</f>
        <v>4.256861578353838E-4</v>
      </c>
      <c r="AR348" s="137">
        <f>Transportation_LCIA!V$61*($W348^Transportation_LCIA!V$60)+Transportation_LCIA!V$62</f>
        <v>1.8110001391450416E-4</v>
      </c>
      <c r="AT348" s="137">
        <f>$W348*Y348+$L348*Summary_LCIA!H$32</f>
        <v>331.2024747619883</v>
      </c>
      <c r="AU348" s="137">
        <f>$W348*Z348+$L348*Summary_LCIA!Q$32</f>
        <v>3370.332817207161</v>
      </c>
      <c r="AV348" s="137">
        <f>$W348*AA348+$L348*Summary_LCIA!R$32</f>
        <v>1.549457411563649</v>
      </c>
      <c r="AW348" s="137">
        <f>$W348*AB348+$L348*Summary_LCIA!S$32</f>
        <v>331.03759550198828</v>
      </c>
      <c r="AX348" s="137">
        <f>$W348*AC348+$L348*Summary_LCIA!T$32</f>
        <v>78.730095297333548</v>
      </c>
      <c r="AY348" s="137">
        <f>$W348*AD348+$L348*Summary_LCIA!U$32</f>
        <v>1.0079377216163317</v>
      </c>
      <c r="AZ348" s="137">
        <f>$W348*AE348+$L348*Summary_LCIA!V$32</f>
        <v>8.6312846030623669E-3</v>
      </c>
      <c r="BA348" s="137">
        <f>$W348*AF348+$L348*Summary_LCIA!W$32</f>
        <v>13.007751702969589</v>
      </c>
      <c r="BB348" s="137">
        <f>$W348*AG348+$L348*Summary_LCIA!X$32</f>
        <v>16.354500036964801</v>
      </c>
      <c r="BC348" s="137">
        <f>$W348*AH348+$L348*Summary_LCIA!Y$32</f>
        <v>0.86976587945175843</v>
      </c>
      <c r="BD348" s="137">
        <f>$W348*AI348+$L348*Summary_LCIA!Z$32</f>
        <v>0.33884262816793653</v>
      </c>
      <c r="BE348" s="137">
        <f>$W348*AJ348+$L348*Summary_LCIA!AA$32</f>
        <v>2.1107234367976755</v>
      </c>
      <c r="BF348" s="137">
        <f>$W348*AK348+$L348*Summary_LCIA!AB$32</f>
        <v>7.794192724706793E-2</v>
      </c>
      <c r="BG348" s="137">
        <f>$W348*AL348+$L348*Summary_LCIA!AC$32</f>
        <v>3.9959827034925788E-5</v>
      </c>
      <c r="BH348" s="137">
        <f>$W348*AM348+$L348*Summary_LCIA!AD$32</f>
        <v>0.13011308277497177</v>
      </c>
      <c r="BI348" s="137">
        <f>$W348*AN348+$L348*Summary_LCIA!AE$32</f>
        <v>0.362937571908029</v>
      </c>
      <c r="BJ348" s="137">
        <f>$W348*AO348+$L348*Summary_LCIA!AF$32</f>
        <v>3.6642194627307154E-2</v>
      </c>
      <c r="BK348" s="137">
        <f>$W348*AP348+$L348*Summary_LCIA!AG$32</f>
        <v>7.0141003623071553E-3</v>
      </c>
      <c r="BL348" s="137">
        <f>$W348*AQ348+$L348*Summary_LCIA!AH$32</f>
        <v>1.0266921490041396</v>
      </c>
      <c r="BM348" s="137">
        <f>$W348*AR348+$L348*Summary_LCIA!AI$32</f>
        <v>0.33341130639283595</v>
      </c>
    </row>
    <row r="349" spans="1:65" x14ac:dyDescent="0.25">
      <c r="A349" s="149">
        <v>318</v>
      </c>
      <c r="B349" s="149">
        <v>16</v>
      </c>
      <c r="C349" s="61">
        <v>47.673988000000001</v>
      </c>
      <c r="D349" s="61">
        <v>-122.121512</v>
      </c>
      <c r="E349" s="61" t="s">
        <v>265</v>
      </c>
      <c r="F349" s="149">
        <v>29</v>
      </c>
      <c r="G349" s="61" t="s">
        <v>565</v>
      </c>
      <c r="H349" s="61" t="s">
        <v>719</v>
      </c>
      <c r="I349" s="61">
        <v>47.450249999999997</v>
      </c>
      <c r="J349" s="61">
        <v>-122.308817</v>
      </c>
      <c r="K349" s="61">
        <v>41.554973830000002</v>
      </c>
      <c r="L349" s="61">
        <v>37.302999999999997</v>
      </c>
      <c r="M349" s="61" t="s">
        <v>617</v>
      </c>
      <c r="N349" s="149">
        <v>15</v>
      </c>
      <c r="O349" s="149">
        <v>16</v>
      </c>
      <c r="P349" s="61" t="s">
        <v>565</v>
      </c>
      <c r="Q349" s="61" t="s">
        <v>556</v>
      </c>
      <c r="R349" s="61">
        <v>39.856096299999997</v>
      </c>
      <c r="S349" s="61">
        <v>-104.6737376</v>
      </c>
      <c r="T349" s="61">
        <v>2111.7849999999999</v>
      </c>
      <c r="U349" s="61" t="s">
        <v>617</v>
      </c>
      <c r="V349" s="61" t="s">
        <v>569</v>
      </c>
      <c r="W349" s="61" cm="1">
        <f t="array" ref="W349">getDistance(I349,J349,R349,S349)*SA!$B$12</f>
        <v>1649.1533616548018</v>
      </c>
      <c r="Y349" s="137">
        <f>Transportation_LCIA!C$61*($W349^Transportation_LCIA!C$60)+Transportation_LCIA!C$62</f>
        <v>0.19314572117317846</v>
      </c>
      <c r="Z349" s="137">
        <f>Transportation_LCIA!D$61*($W349^Transportation_LCIA!D$60)+Transportation_LCIA!D$62</f>
        <v>1.9315712789188959</v>
      </c>
      <c r="AA349" s="137">
        <f>Transportation_LCIA!E$61*($W349^Transportation_LCIA!E$60)+Transportation_LCIA!E$62</f>
        <v>8.2044203178652849E-4</v>
      </c>
      <c r="AB349" s="137">
        <f>Transportation_LCIA!F$61*($W349^Transportation_LCIA!F$60)+Transportation_LCIA!F$62</f>
        <v>0.19314572117317846</v>
      </c>
      <c r="AC349" s="137">
        <f>Transportation_LCIA!G$61*($W349^Transportation_LCIA!G$60)+Transportation_LCIA!G$62</f>
        <v>4.5253823769578011E-2</v>
      </c>
      <c r="AD349" s="137">
        <f>Transportation_LCIA!H$61*($W349^Transportation_LCIA!H$60)+Transportation_LCIA!H$62</f>
        <v>2.0597949682222189E-4</v>
      </c>
      <c r="AE349" s="137">
        <f>Transportation_LCIA!I$61*($W349^Transportation_LCIA!I$60)+Transportation_LCIA!I$62</f>
        <v>4.1534378665603613E-6</v>
      </c>
      <c r="AF349" s="137">
        <f>Transportation_LCIA!J$61*($W349^Transportation_LCIA!J$60)+Transportation_LCIA!J$62</f>
        <v>6.1464886927182867E-3</v>
      </c>
      <c r="AG349" s="137">
        <f>Transportation_LCIA!K$61*($W349^Transportation_LCIA!K$60)+Transportation_LCIA!K$62</f>
        <v>9.4016348372882429E-3</v>
      </c>
      <c r="AH349" s="137">
        <f>Transportation_LCIA!L$61*($W349^Transportation_LCIA!L$60)+Transportation_LCIA!L$62</f>
        <v>1.7494463532624993E-4</v>
      </c>
      <c r="AI349" s="137">
        <f>Transportation_LCIA!M$61*($W349^Transportation_LCIA!M$60)+Transportation_LCIA!M$62</f>
        <v>2.045369929103915E-4</v>
      </c>
      <c r="AJ349" s="137">
        <f>Transportation_LCIA!N$61*($W349^Transportation_LCIA!N$60)+Transportation_LCIA!N$62</f>
        <v>7.5158235590288311E-4</v>
      </c>
      <c r="AK349" s="137">
        <f>Transportation_LCIA!O$61*($W349^Transportation_LCIA!O$60)+Transportation_LCIA!O$62</f>
        <v>4.7755407378876027E-5</v>
      </c>
      <c r="AL349" s="137">
        <f>Transportation_LCIA!P$61*($W349^Transportation_LCIA!P$60)+Transportation_LCIA!P$62</f>
        <v>2.3124779095534731E-8</v>
      </c>
      <c r="AM349" s="137">
        <f>Transportation_LCIA!Q$61*($W349^Transportation_LCIA!Q$60)+Transportation_LCIA!Q$62</f>
        <v>6.9599383734571892E-5</v>
      </c>
      <c r="AN349" s="137">
        <f>Transportation_LCIA!R$61*($W349^Transportation_LCIA!R$60)+Transportation_LCIA!R$62</f>
        <v>2.0003128404444864E-4</v>
      </c>
      <c r="AO349" s="137">
        <f>Transportation_LCIA!S$61*($W349^Transportation_LCIA!S$60)+Transportation_LCIA!S$62</f>
        <v>3.0958263106495913E-6</v>
      </c>
      <c r="AP349" s="137">
        <f>Transportation_LCIA!T$61*($W349^Transportation_LCIA!T$60)+Transportation_LCIA!T$62</f>
        <v>3.0958263106495913E-6</v>
      </c>
      <c r="AQ349" s="137">
        <f>Transportation_LCIA!U$61*($W349^Transportation_LCIA!U$60)+Transportation_LCIA!U$62</f>
        <v>4.256861578353838E-4</v>
      </c>
      <c r="AR349" s="137">
        <f>Transportation_LCIA!V$61*($W349^Transportation_LCIA!V$60)+Transportation_LCIA!V$62</f>
        <v>1.8110001391450416E-4</v>
      </c>
      <c r="AT349" s="137">
        <f>$W349*Y349+$L349*Summary_LCIA!H$32</f>
        <v>331.2024747619883</v>
      </c>
      <c r="AU349" s="137">
        <f>$W349*Z349+$L349*Summary_LCIA!Q$32</f>
        <v>3370.332817207161</v>
      </c>
      <c r="AV349" s="137">
        <f>$W349*AA349+$L349*Summary_LCIA!R$32</f>
        <v>1.549457411563649</v>
      </c>
      <c r="AW349" s="137">
        <f>$W349*AB349+$L349*Summary_LCIA!S$32</f>
        <v>331.03759550198828</v>
      </c>
      <c r="AX349" s="137">
        <f>$W349*AC349+$L349*Summary_LCIA!T$32</f>
        <v>78.730095297333548</v>
      </c>
      <c r="AY349" s="137">
        <f>$W349*AD349+$L349*Summary_LCIA!U$32</f>
        <v>1.0079377216163317</v>
      </c>
      <c r="AZ349" s="137">
        <f>$W349*AE349+$L349*Summary_LCIA!V$32</f>
        <v>8.6312846030623669E-3</v>
      </c>
      <c r="BA349" s="137">
        <f>$W349*AF349+$L349*Summary_LCIA!W$32</f>
        <v>13.007751702969589</v>
      </c>
      <c r="BB349" s="137">
        <f>$W349*AG349+$L349*Summary_LCIA!X$32</f>
        <v>16.354500036964801</v>
      </c>
      <c r="BC349" s="137">
        <f>$W349*AH349+$L349*Summary_LCIA!Y$32</f>
        <v>0.86976587945175843</v>
      </c>
      <c r="BD349" s="137">
        <f>$W349*AI349+$L349*Summary_LCIA!Z$32</f>
        <v>0.33884262816793653</v>
      </c>
      <c r="BE349" s="137">
        <f>$W349*AJ349+$L349*Summary_LCIA!AA$32</f>
        <v>2.1107234367976755</v>
      </c>
      <c r="BF349" s="137">
        <f>$W349*AK349+$L349*Summary_LCIA!AB$32</f>
        <v>7.794192724706793E-2</v>
      </c>
      <c r="BG349" s="137">
        <f>$W349*AL349+$L349*Summary_LCIA!AC$32</f>
        <v>3.9959827034925788E-5</v>
      </c>
      <c r="BH349" s="137">
        <f>$W349*AM349+$L349*Summary_LCIA!AD$32</f>
        <v>0.13011308277497177</v>
      </c>
      <c r="BI349" s="137">
        <f>$W349*AN349+$L349*Summary_LCIA!AE$32</f>
        <v>0.362937571908029</v>
      </c>
      <c r="BJ349" s="137">
        <f>$W349*AO349+$L349*Summary_LCIA!AF$32</f>
        <v>3.6642194627307154E-2</v>
      </c>
      <c r="BK349" s="137">
        <f>$W349*AP349+$L349*Summary_LCIA!AG$32</f>
        <v>7.0141003623071553E-3</v>
      </c>
      <c r="BL349" s="137">
        <f>$W349*AQ349+$L349*Summary_LCIA!AH$32</f>
        <v>1.0266921490041396</v>
      </c>
      <c r="BM349" s="137">
        <f>$W349*AR349+$L349*Summary_LCIA!AI$32</f>
        <v>0.33341130639283595</v>
      </c>
    </row>
    <row r="350" spans="1:65" x14ac:dyDescent="0.25">
      <c r="A350" s="149">
        <v>337</v>
      </c>
      <c r="B350" s="149">
        <v>16</v>
      </c>
      <c r="C350" s="61">
        <v>47.650888000000002</v>
      </c>
      <c r="D350" s="61">
        <v>-122.308402</v>
      </c>
      <c r="E350" s="61" t="s">
        <v>265</v>
      </c>
      <c r="F350" s="149">
        <v>29</v>
      </c>
      <c r="G350" s="61" t="s">
        <v>565</v>
      </c>
      <c r="H350" s="61" t="s">
        <v>719</v>
      </c>
      <c r="I350" s="61">
        <v>47.450249999999997</v>
      </c>
      <c r="J350" s="61">
        <v>-122.308817</v>
      </c>
      <c r="K350" s="61">
        <v>43.043934999999998</v>
      </c>
      <c r="L350" s="61">
        <v>27.890999999999998</v>
      </c>
      <c r="M350" s="61" t="s">
        <v>617</v>
      </c>
      <c r="N350" s="149">
        <v>15</v>
      </c>
      <c r="O350" s="149">
        <v>16</v>
      </c>
      <c r="P350" s="61" t="s">
        <v>565</v>
      </c>
      <c r="Q350" s="61" t="s">
        <v>556</v>
      </c>
      <c r="R350" s="61">
        <v>39.856096299999997</v>
      </c>
      <c r="S350" s="61">
        <v>-104.6737376</v>
      </c>
      <c r="T350" s="61">
        <v>2113.1590000000001</v>
      </c>
      <c r="U350" s="61" t="s">
        <v>617</v>
      </c>
      <c r="V350" s="61" t="s">
        <v>569</v>
      </c>
      <c r="W350" s="61" cm="1">
        <f t="array" ref="W350">getDistance(I350,J350,R350,S350)*SA!$B$12</f>
        <v>1649.1533616548018</v>
      </c>
      <c r="Y350" s="137">
        <f>Transportation_LCIA!C$61*($W350^Transportation_LCIA!C$60)+Transportation_LCIA!C$62</f>
        <v>0.19314572117317846</v>
      </c>
      <c r="Z350" s="137">
        <f>Transportation_LCIA!D$61*($W350^Transportation_LCIA!D$60)+Transportation_LCIA!D$62</f>
        <v>1.9315712789188959</v>
      </c>
      <c r="AA350" s="137">
        <f>Transportation_LCIA!E$61*($W350^Transportation_LCIA!E$60)+Transportation_LCIA!E$62</f>
        <v>8.2044203178652849E-4</v>
      </c>
      <c r="AB350" s="137">
        <f>Transportation_LCIA!F$61*($W350^Transportation_LCIA!F$60)+Transportation_LCIA!F$62</f>
        <v>0.19314572117317846</v>
      </c>
      <c r="AC350" s="137">
        <f>Transportation_LCIA!G$61*($W350^Transportation_LCIA!G$60)+Transportation_LCIA!G$62</f>
        <v>4.5253823769578011E-2</v>
      </c>
      <c r="AD350" s="137">
        <f>Transportation_LCIA!H$61*($W350^Transportation_LCIA!H$60)+Transportation_LCIA!H$62</f>
        <v>2.0597949682222189E-4</v>
      </c>
      <c r="AE350" s="137">
        <f>Transportation_LCIA!I$61*($W350^Transportation_LCIA!I$60)+Transportation_LCIA!I$62</f>
        <v>4.1534378665603613E-6</v>
      </c>
      <c r="AF350" s="137">
        <f>Transportation_LCIA!J$61*($W350^Transportation_LCIA!J$60)+Transportation_LCIA!J$62</f>
        <v>6.1464886927182867E-3</v>
      </c>
      <c r="AG350" s="137">
        <f>Transportation_LCIA!K$61*($W350^Transportation_LCIA!K$60)+Transportation_LCIA!K$62</f>
        <v>9.4016348372882429E-3</v>
      </c>
      <c r="AH350" s="137">
        <f>Transportation_LCIA!L$61*($W350^Transportation_LCIA!L$60)+Transportation_LCIA!L$62</f>
        <v>1.7494463532624993E-4</v>
      </c>
      <c r="AI350" s="137">
        <f>Transportation_LCIA!M$61*($W350^Transportation_LCIA!M$60)+Transportation_LCIA!M$62</f>
        <v>2.045369929103915E-4</v>
      </c>
      <c r="AJ350" s="137">
        <f>Transportation_LCIA!N$61*($W350^Transportation_LCIA!N$60)+Transportation_LCIA!N$62</f>
        <v>7.5158235590288311E-4</v>
      </c>
      <c r="AK350" s="137">
        <f>Transportation_LCIA!O$61*($W350^Transportation_LCIA!O$60)+Transportation_LCIA!O$62</f>
        <v>4.7755407378876027E-5</v>
      </c>
      <c r="AL350" s="137">
        <f>Transportation_LCIA!P$61*($W350^Transportation_LCIA!P$60)+Transportation_LCIA!P$62</f>
        <v>2.3124779095534731E-8</v>
      </c>
      <c r="AM350" s="137">
        <f>Transportation_LCIA!Q$61*($W350^Transportation_LCIA!Q$60)+Transportation_LCIA!Q$62</f>
        <v>6.9599383734571892E-5</v>
      </c>
      <c r="AN350" s="137">
        <f>Transportation_LCIA!R$61*($W350^Transportation_LCIA!R$60)+Transportation_LCIA!R$62</f>
        <v>2.0003128404444864E-4</v>
      </c>
      <c r="AO350" s="137">
        <f>Transportation_LCIA!S$61*($W350^Transportation_LCIA!S$60)+Transportation_LCIA!S$62</f>
        <v>3.0958263106495913E-6</v>
      </c>
      <c r="AP350" s="137">
        <f>Transportation_LCIA!T$61*($W350^Transportation_LCIA!T$60)+Transportation_LCIA!T$62</f>
        <v>3.0958263106495913E-6</v>
      </c>
      <c r="AQ350" s="137">
        <f>Transportation_LCIA!U$61*($W350^Transportation_LCIA!U$60)+Transportation_LCIA!U$62</f>
        <v>4.256861578353838E-4</v>
      </c>
      <c r="AR350" s="137">
        <f>Transportation_LCIA!V$61*($W350^Transportation_LCIA!V$60)+Transportation_LCIA!V$62</f>
        <v>1.8110001391450416E-4</v>
      </c>
      <c r="AT350" s="137">
        <f>$W350*Y350+$L350*Summary_LCIA!H$32</f>
        <v>328.00427716198828</v>
      </c>
      <c r="AU350" s="137">
        <f>$W350*Z350+$L350*Summary_LCIA!Q$32</f>
        <v>3323.6864705317648</v>
      </c>
      <c r="AV350" s="137">
        <f>$W350*AA350+$L350*Summary_LCIA!R$32</f>
        <v>1.4998975843636491</v>
      </c>
      <c r="AW350" s="137">
        <f>$W350*AB350+$L350*Summary_LCIA!S$32</f>
        <v>327.88099894198831</v>
      </c>
      <c r="AX350" s="137">
        <f>$W350*AC350+$L350*Summary_LCIA!T$32</f>
        <v>77.695716497333549</v>
      </c>
      <c r="AY350" s="137">
        <f>$W350*AD350+$L350*Summary_LCIA!U$32</f>
        <v>0.8393311536163317</v>
      </c>
      <c r="AZ350" s="137">
        <f>$W350*AE350+$L350*Summary_LCIA!V$32</f>
        <v>8.1817580710623668E-3</v>
      </c>
      <c r="BA350" s="137">
        <f>$W350*AF350+$L350*Summary_LCIA!W$32</f>
        <v>12.28330065096959</v>
      </c>
      <c r="BB350" s="137">
        <f>$W350*AG350+$L350*Summary_LCIA!X$32</f>
        <v>16.1400946769648</v>
      </c>
      <c r="BC350" s="137">
        <f>$W350*AH350+$L350*Summary_LCIA!Y$32</f>
        <v>0.72310809545175847</v>
      </c>
      <c r="BD350" s="137">
        <f>$W350*AI350+$L350*Summary_LCIA!Z$32</f>
        <v>0.33845665145993653</v>
      </c>
      <c r="BE350" s="137">
        <f>$W350*AJ350+$L350*Summary_LCIA!AA$32</f>
        <v>1.8908967647976753</v>
      </c>
      <c r="BF350" s="137">
        <f>$W350*AK350+$L350*Summary_LCIA!AB$32</f>
        <v>7.8147325323067937E-2</v>
      </c>
      <c r="BG350" s="137">
        <f>$W350*AL350+$L350*Summary_LCIA!AC$32</f>
        <v>3.9499730826925787E-5</v>
      </c>
      <c r="BH350" s="137">
        <f>$W350*AM350+$L350*Summary_LCIA!AD$32</f>
        <v>0.12624437429497176</v>
      </c>
      <c r="BI350" s="137">
        <f>$W350*AN350+$L350*Summary_LCIA!AE$32</f>
        <v>0.35459731634802899</v>
      </c>
      <c r="BJ350" s="137">
        <f>$W350*AO350+$L350*Summary_LCIA!AF$32</f>
        <v>2.8685101587307155E-2</v>
      </c>
      <c r="BK350" s="137">
        <f>$W350*AP350+$L350*Summary_LCIA!AG$32</f>
        <v>6.5325353823071555E-3</v>
      </c>
      <c r="BL350" s="137">
        <f>$W350*AQ350+$L350*Summary_LCIA!AH$32</f>
        <v>0.94477386580413969</v>
      </c>
      <c r="BM350" s="137">
        <f>$W350*AR350+$L350*Summary_LCIA!AI$32</f>
        <v>0.32464355779283594</v>
      </c>
    </row>
    <row r="351" spans="1:65" x14ac:dyDescent="0.25">
      <c r="A351" s="149">
        <v>338</v>
      </c>
      <c r="B351" s="149">
        <v>16</v>
      </c>
      <c r="C351" s="61">
        <v>47.650888000000002</v>
      </c>
      <c r="D351" s="61">
        <v>-122.308402</v>
      </c>
      <c r="E351" s="61" t="s">
        <v>265</v>
      </c>
      <c r="F351" s="149">
        <v>29</v>
      </c>
      <c r="G351" s="61" t="s">
        <v>565</v>
      </c>
      <c r="H351" s="61" t="s">
        <v>719</v>
      </c>
      <c r="I351" s="61">
        <v>47.450249999999997</v>
      </c>
      <c r="J351" s="61">
        <v>-122.308817</v>
      </c>
      <c r="K351" s="61">
        <v>43.043934999999998</v>
      </c>
      <c r="L351" s="61">
        <v>27.890999999999998</v>
      </c>
      <c r="M351" s="61" t="s">
        <v>617</v>
      </c>
      <c r="N351" s="149">
        <v>15</v>
      </c>
      <c r="O351" s="149">
        <v>16</v>
      </c>
      <c r="P351" s="61" t="s">
        <v>565</v>
      </c>
      <c r="Q351" s="61" t="s">
        <v>556</v>
      </c>
      <c r="R351" s="61">
        <v>39.856096299999997</v>
      </c>
      <c r="S351" s="61">
        <v>-104.6737376</v>
      </c>
      <c r="T351" s="61">
        <v>2113.1590000000001</v>
      </c>
      <c r="U351" s="61" t="s">
        <v>617</v>
      </c>
      <c r="V351" s="61" t="s">
        <v>569</v>
      </c>
      <c r="W351" s="61" cm="1">
        <f t="array" ref="W351">getDistance(I351,J351,R351,S351)*SA!$B$12</f>
        <v>1649.1533616548018</v>
      </c>
      <c r="Y351" s="137">
        <f>Transportation_LCIA!C$61*($W351^Transportation_LCIA!C$60)+Transportation_LCIA!C$62</f>
        <v>0.19314572117317846</v>
      </c>
      <c r="Z351" s="137">
        <f>Transportation_LCIA!D$61*($W351^Transportation_LCIA!D$60)+Transportation_LCIA!D$62</f>
        <v>1.9315712789188959</v>
      </c>
      <c r="AA351" s="137">
        <f>Transportation_LCIA!E$61*($W351^Transportation_LCIA!E$60)+Transportation_LCIA!E$62</f>
        <v>8.2044203178652849E-4</v>
      </c>
      <c r="AB351" s="137">
        <f>Transportation_LCIA!F$61*($W351^Transportation_LCIA!F$60)+Transportation_LCIA!F$62</f>
        <v>0.19314572117317846</v>
      </c>
      <c r="AC351" s="137">
        <f>Transportation_LCIA!G$61*($W351^Transportation_LCIA!G$60)+Transportation_LCIA!G$62</f>
        <v>4.5253823769578011E-2</v>
      </c>
      <c r="AD351" s="137">
        <f>Transportation_LCIA!H$61*($W351^Transportation_LCIA!H$60)+Transportation_LCIA!H$62</f>
        <v>2.0597949682222189E-4</v>
      </c>
      <c r="AE351" s="137">
        <f>Transportation_LCIA!I$61*($W351^Transportation_LCIA!I$60)+Transportation_LCIA!I$62</f>
        <v>4.1534378665603613E-6</v>
      </c>
      <c r="AF351" s="137">
        <f>Transportation_LCIA!J$61*($W351^Transportation_LCIA!J$60)+Transportation_LCIA!J$62</f>
        <v>6.1464886927182867E-3</v>
      </c>
      <c r="AG351" s="137">
        <f>Transportation_LCIA!K$61*($W351^Transportation_LCIA!K$60)+Transportation_LCIA!K$62</f>
        <v>9.4016348372882429E-3</v>
      </c>
      <c r="AH351" s="137">
        <f>Transportation_LCIA!L$61*($W351^Transportation_LCIA!L$60)+Transportation_LCIA!L$62</f>
        <v>1.7494463532624993E-4</v>
      </c>
      <c r="AI351" s="137">
        <f>Transportation_LCIA!M$61*($W351^Transportation_LCIA!M$60)+Transportation_LCIA!M$62</f>
        <v>2.045369929103915E-4</v>
      </c>
      <c r="AJ351" s="137">
        <f>Transportation_LCIA!N$61*($W351^Transportation_LCIA!N$60)+Transportation_LCIA!N$62</f>
        <v>7.5158235590288311E-4</v>
      </c>
      <c r="AK351" s="137">
        <f>Transportation_LCIA!O$61*($W351^Transportation_LCIA!O$60)+Transportation_LCIA!O$62</f>
        <v>4.7755407378876027E-5</v>
      </c>
      <c r="AL351" s="137">
        <f>Transportation_LCIA!P$61*($W351^Transportation_LCIA!P$60)+Transportation_LCIA!P$62</f>
        <v>2.3124779095534731E-8</v>
      </c>
      <c r="AM351" s="137">
        <f>Transportation_LCIA!Q$61*($W351^Transportation_LCIA!Q$60)+Transportation_LCIA!Q$62</f>
        <v>6.9599383734571892E-5</v>
      </c>
      <c r="AN351" s="137">
        <f>Transportation_LCIA!R$61*($W351^Transportation_LCIA!R$60)+Transportation_LCIA!R$62</f>
        <v>2.0003128404444864E-4</v>
      </c>
      <c r="AO351" s="137">
        <f>Transportation_LCIA!S$61*($W351^Transportation_LCIA!S$60)+Transportation_LCIA!S$62</f>
        <v>3.0958263106495913E-6</v>
      </c>
      <c r="AP351" s="137">
        <f>Transportation_LCIA!T$61*($W351^Transportation_LCIA!T$60)+Transportation_LCIA!T$62</f>
        <v>3.0958263106495913E-6</v>
      </c>
      <c r="AQ351" s="137">
        <f>Transportation_LCIA!U$61*($W351^Transportation_LCIA!U$60)+Transportation_LCIA!U$62</f>
        <v>4.256861578353838E-4</v>
      </c>
      <c r="AR351" s="137">
        <f>Transportation_LCIA!V$61*($W351^Transportation_LCIA!V$60)+Transportation_LCIA!V$62</f>
        <v>1.8110001391450416E-4</v>
      </c>
      <c r="AT351" s="137">
        <f>$W351*Y351+$L351*Summary_LCIA!H$32</f>
        <v>328.00427716198828</v>
      </c>
      <c r="AU351" s="137">
        <f>$W351*Z351+$L351*Summary_LCIA!Q$32</f>
        <v>3323.6864705317648</v>
      </c>
      <c r="AV351" s="137">
        <f>$W351*AA351+$L351*Summary_LCIA!R$32</f>
        <v>1.4998975843636491</v>
      </c>
      <c r="AW351" s="137">
        <f>$W351*AB351+$L351*Summary_LCIA!S$32</f>
        <v>327.88099894198831</v>
      </c>
      <c r="AX351" s="137">
        <f>$W351*AC351+$L351*Summary_LCIA!T$32</f>
        <v>77.695716497333549</v>
      </c>
      <c r="AY351" s="137">
        <f>$W351*AD351+$L351*Summary_LCIA!U$32</f>
        <v>0.8393311536163317</v>
      </c>
      <c r="AZ351" s="137">
        <f>$W351*AE351+$L351*Summary_LCIA!V$32</f>
        <v>8.1817580710623668E-3</v>
      </c>
      <c r="BA351" s="137">
        <f>$W351*AF351+$L351*Summary_LCIA!W$32</f>
        <v>12.28330065096959</v>
      </c>
      <c r="BB351" s="137">
        <f>$W351*AG351+$L351*Summary_LCIA!X$32</f>
        <v>16.1400946769648</v>
      </c>
      <c r="BC351" s="137">
        <f>$W351*AH351+$L351*Summary_LCIA!Y$32</f>
        <v>0.72310809545175847</v>
      </c>
      <c r="BD351" s="137">
        <f>$W351*AI351+$L351*Summary_LCIA!Z$32</f>
        <v>0.33845665145993653</v>
      </c>
      <c r="BE351" s="137">
        <f>$W351*AJ351+$L351*Summary_LCIA!AA$32</f>
        <v>1.8908967647976753</v>
      </c>
      <c r="BF351" s="137">
        <f>$W351*AK351+$L351*Summary_LCIA!AB$32</f>
        <v>7.8147325323067937E-2</v>
      </c>
      <c r="BG351" s="137">
        <f>$W351*AL351+$L351*Summary_LCIA!AC$32</f>
        <v>3.9499730826925787E-5</v>
      </c>
      <c r="BH351" s="137">
        <f>$W351*AM351+$L351*Summary_LCIA!AD$32</f>
        <v>0.12624437429497176</v>
      </c>
      <c r="BI351" s="137">
        <f>$W351*AN351+$L351*Summary_LCIA!AE$32</f>
        <v>0.35459731634802899</v>
      </c>
      <c r="BJ351" s="137">
        <f>$W351*AO351+$L351*Summary_LCIA!AF$32</f>
        <v>2.8685101587307155E-2</v>
      </c>
      <c r="BK351" s="137">
        <f>$W351*AP351+$L351*Summary_LCIA!AG$32</f>
        <v>6.5325353823071555E-3</v>
      </c>
      <c r="BL351" s="137">
        <f>$W351*AQ351+$L351*Summary_LCIA!AH$32</f>
        <v>0.94477386580413969</v>
      </c>
      <c r="BM351" s="137">
        <f>$W351*AR351+$L351*Summary_LCIA!AI$32</f>
        <v>0.32464355779283594</v>
      </c>
    </row>
    <row r="352" spans="1:65" x14ac:dyDescent="0.25">
      <c r="A352" s="149">
        <v>339</v>
      </c>
      <c r="B352" s="149">
        <v>16</v>
      </c>
      <c r="C352" s="61">
        <v>47.650888000000002</v>
      </c>
      <c r="D352" s="61">
        <v>-122.308402</v>
      </c>
      <c r="E352" s="61" t="s">
        <v>265</v>
      </c>
      <c r="F352" s="149">
        <v>29</v>
      </c>
      <c r="G352" s="61" t="s">
        <v>565</v>
      </c>
      <c r="H352" s="61" t="s">
        <v>719</v>
      </c>
      <c r="I352" s="61">
        <v>47.450249999999997</v>
      </c>
      <c r="J352" s="61">
        <v>-122.308817</v>
      </c>
      <c r="K352" s="61">
        <v>43.043934999999998</v>
      </c>
      <c r="L352" s="61">
        <v>27.890999999999998</v>
      </c>
      <c r="M352" s="61" t="s">
        <v>617</v>
      </c>
      <c r="N352" s="149">
        <v>15</v>
      </c>
      <c r="O352" s="149">
        <v>16</v>
      </c>
      <c r="P352" s="61" t="s">
        <v>565</v>
      </c>
      <c r="Q352" s="61" t="s">
        <v>556</v>
      </c>
      <c r="R352" s="61">
        <v>39.856096299999997</v>
      </c>
      <c r="S352" s="61">
        <v>-104.6737376</v>
      </c>
      <c r="T352" s="61">
        <v>2113.1590000000001</v>
      </c>
      <c r="U352" s="61" t="s">
        <v>617</v>
      </c>
      <c r="V352" s="61" t="s">
        <v>569</v>
      </c>
      <c r="W352" s="61" cm="1">
        <f t="array" ref="W352">getDistance(I352,J352,R352,S352)*SA!$B$12</f>
        <v>1649.1533616548018</v>
      </c>
      <c r="Y352" s="137">
        <f>Transportation_LCIA!C$61*($W352^Transportation_LCIA!C$60)+Transportation_LCIA!C$62</f>
        <v>0.19314572117317846</v>
      </c>
      <c r="Z352" s="137">
        <f>Transportation_LCIA!D$61*($W352^Transportation_LCIA!D$60)+Transportation_LCIA!D$62</f>
        <v>1.9315712789188959</v>
      </c>
      <c r="AA352" s="137">
        <f>Transportation_LCIA!E$61*($W352^Transportation_LCIA!E$60)+Transportation_LCIA!E$62</f>
        <v>8.2044203178652849E-4</v>
      </c>
      <c r="AB352" s="137">
        <f>Transportation_LCIA!F$61*($W352^Transportation_LCIA!F$60)+Transportation_LCIA!F$62</f>
        <v>0.19314572117317846</v>
      </c>
      <c r="AC352" s="137">
        <f>Transportation_LCIA!G$61*($W352^Transportation_LCIA!G$60)+Transportation_LCIA!G$62</f>
        <v>4.5253823769578011E-2</v>
      </c>
      <c r="AD352" s="137">
        <f>Transportation_LCIA!H$61*($W352^Transportation_LCIA!H$60)+Transportation_LCIA!H$62</f>
        <v>2.0597949682222189E-4</v>
      </c>
      <c r="AE352" s="137">
        <f>Transportation_LCIA!I$61*($W352^Transportation_LCIA!I$60)+Transportation_LCIA!I$62</f>
        <v>4.1534378665603613E-6</v>
      </c>
      <c r="AF352" s="137">
        <f>Transportation_LCIA!J$61*($W352^Transportation_LCIA!J$60)+Transportation_LCIA!J$62</f>
        <v>6.1464886927182867E-3</v>
      </c>
      <c r="AG352" s="137">
        <f>Transportation_LCIA!K$61*($W352^Transportation_LCIA!K$60)+Transportation_LCIA!K$62</f>
        <v>9.4016348372882429E-3</v>
      </c>
      <c r="AH352" s="137">
        <f>Transportation_LCIA!L$61*($W352^Transportation_LCIA!L$60)+Transportation_LCIA!L$62</f>
        <v>1.7494463532624993E-4</v>
      </c>
      <c r="AI352" s="137">
        <f>Transportation_LCIA!M$61*($W352^Transportation_LCIA!M$60)+Transportation_LCIA!M$62</f>
        <v>2.045369929103915E-4</v>
      </c>
      <c r="AJ352" s="137">
        <f>Transportation_LCIA!N$61*($W352^Transportation_LCIA!N$60)+Transportation_LCIA!N$62</f>
        <v>7.5158235590288311E-4</v>
      </c>
      <c r="AK352" s="137">
        <f>Transportation_LCIA!O$61*($W352^Transportation_LCIA!O$60)+Transportation_LCIA!O$62</f>
        <v>4.7755407378876027E-5</v>
      </c>
      <c r="AL352" s="137">
        <f>Transportation_LCIA!P$61*($W352^Transportation_LCIA!P$60)+Transportation_LCIA!P$62</f>
        <v>2.3124779095534731E-8</v>
      </c>
      <c r="AM352" s="137">
        <f>Transportation_LCIA!Q$61*($W352^Transportation_LCIA!Q$60)+Transportation_LCIA!Q$62</f>
        <v>6.9599383734571892E-5</v>
      </c>
      <c r="AN352" s="137">
        <f>Transportation_LCIA!R$61*($W352^Transportation_LCIA!R$60)+Transportation_LCIA!R$62</f>
        <v>2.0003128404444864E-4</v>
      </c>
      <c r="AO352" s="137">
        <f>Transportation_LCIA!S$61*($W352^Transportation_LCIA!S$60)+Transportation_LCIA!S$62</f>
        <v>3.0958263106495913E-6</v>
      </c>
      <c r="AP352" s="137">
        <f>Transportation_LCIA!T$61*($W352^Transportation_LCIA!T$60)+Transportation_LCIA!T$62</f>
        <v>3.0958263106495913E-6</v>
      </c>
      <c r="AQ352" s="137">
        <f>Transportation_LCIA!U$61*($W352^Transportation_LCIA!U$60)+Transportation_LCIA!U$62</f>
        <v>4.256861578353838E-4</v>
      </c>
      <c r="AR352" s="137">
        <f>Transportation_LCIA!V$61*($W352^Transportation_LCIA!V$60)+Transportation_LCIA!V$62</f>
        <v>1.8110001391450416E-4</v>
      </c>
      <c r="AT352" s="137">
        <f>$W352*Y352+$L352*Summary_LCIA!H$32</f>
        <v>328.00427716198828</v>
      </c>
      <c r="AU352" s="137">
        <f>$W352*Z352+$L352*Summary_LCIA!Q$32</f>
        <v>3323.6864705317648</v>
      </c>
      <c r="AV352" s="137">
        <f>$W352*AA352+$L352*Summary_LCIA!R$32</f>
        <v>1.4998975843636491</v>
      </c>
      <c r="AW352" s="137">
        <f>$W352*AB352+$L352*Summary_LCIA!S$32</f>
        <v>327.88099894198831</v>
      </c>
      <c r="AX352" s="137">
        <f>$W352*AC352+$L352*Summary_LCIA!T$32</f>
        <v>77.695716497333549</v>
      </c>
      <c r="AY352" s="137">
        <f>$W352*AD352+$L352*Summary_LCIA!U$32</f>
        <v>0.8393311536163317</v>
      </c>
      <c r="AZ352" s="137">
        <f>$W352*AE352+$L352*Summary_LCIA!V$32</f>
        <v>8.1817580710623668E-3</v>
      </c>
      <c r="BA352" s="137">
        <f>$W352*AF352+$L352*Summary_LCIA!W$32</f>
        <v>12.28330065096959</v>
      </c>
      <c r="BB352" s="137">
        <f>$W352*AG352+$L352*Summary_LCIA!X$32</f>
        <v>16.1400946769648</v>
      </c>
      <c r="BC352" s="137">
        <f>$W352*AH352+$L352*Summary_LCIA!Y$32</f>
        <v>0.72310809545175847</v>
      </c>
      <c r="BD352" s="137">
        <f>$W352*AI352+$L352*Summary_LCIA!Z$32</f>
        <v>0.33845665145993653</v>
      </c>
      <c r="BE352" s="137">
        <f>$W352*AJ352+$L352*Summary_LCIA!AA$32</f>
        <v>1.8908967647976753</v>
      </c>
      <c r="BF352" s="137">
        <f>$W352*AK352+$L352*Summary_LCIA!AB$32</f>
        <v>7.8147325323067937E-2</v>
      </c>
      <c r="BG352" s="137">
        <f>$W352*AL352+$L352*Summary_LCIA!AC$32</f>
        <v>3.9499730826925787E-5</v>
      </c>
      <c r="BH352" s="137">
        <f>$W352*AM352+$L352*Summary_LCIA!AD$32</f>
        <v>0.12624437429497176</v>
      </c>
      <c r="BI352" s="137">
        <f>$W352*AN352+$L352*Summary_LCIA!AE$32</f>
        <v>0.35459731634802899</v>
      </c>
      <c r="BJ352" s="137">
        <f>$W352*AO352+$L352*Summary_LCIA!AF$32</f>
        <v>2.8685101587307155E-2</v>
      </c>
      <c r="BK352" s="137">
        <f>$W352*AP352+$L352*Summary_LCIA!AG$32</f>
        <v>6.5325353823071555E-3</v>
      </c>
      <c r="BL352" s="137">
        <f>$W352*AQ352+$L352*Summary_LCIA!AH$32</f>
        <v>0.94477386580413969</v>
      </c>
      <c r="BM352" s="137">
        <f>$W352*AR352+$L352*Summary_LCIA!AI$32</f>
        <v>0.32464355779283594</v>
      </c>
    </row>
    <row r="353" spans="1:65" x14ac:dyDescent="0.25">
      <c r="A353" s="149">
        <v>334</v>
      </c>
      <c r="B353" s="149">
        <v>16</v>
      </c>
      <c r="C353" s="61">
        <v>36.974117</v>
      </c>
      <c r="D353" s="61">
        <v>-122.030796</v>
      </c>
      <c r="E353" s="61" t="s">
        <v>265</v>
      </c>
      <c r="F353" s="149">
        <v>95</v>
      </c>
      <c r="G353" s="61" t="s">
        <v>723</v>
      </c>
      <c r="H353" s="61" t="s">
        <v>724</v>
      </c>
      <c r="I353" s="61">
        <v>37.363947000000003</v>
      </c>
      <c r="J353" s="61">
        <v>-121.928938</v>
      </c>
      <c r="K353" s="61">
        <v>85.919231850000003</v>
      </c>
      <c r="L353" s="61">
        <v>54.384999999999998</v>
      </c>
      <c r="M353" s="61" t="s">
        <v>617</v>
      </c>
      <c r="N353" s="149">
        <v>15</v>
      </c>
      <c r="O353" s="149">
        <v>16</v>
      </c>
      <c r="P353" s="61" t="s">
        <v>565</v>
      </c>
      <c r="Q353" s="61" t="s">
        <v>556</v>
      </c>
      <c r="R353" s="61">
        <v>39.856096299999997</v>
      </c>
      <c r="S353" s="61">
        <v>-104.6737376</v>
      </c>
      <c r="T353" s="61">
        <v>2114.7719999999999</v>
      </c>
      <c r="U353" s="61" t="s">
        <v>617</v>
      </c>
      <c r="V353" s="61" t="s">
        <v>569</v>
      </c>
      <c r="W353" s="61" cm="1">
        <f t="array" ref="W353">getDistance(I353,J353,R353,S353)*SA!$B$12</f>
        <v>1525.7621557855987</v>
      </c>
      <c r="Y353" s="137">
        <f>Transportation_LCIA!C$61*($W353^Transportation_LCIA!C$60)+Transportation_LCIA!C$62</f>
        <v>0.19862389497562166</v>
      </c>
      <c r="Z353" s="137">
        <f>Transportation_LCIA!D$61*($W353^Transportation_LCIA!D$60)+Transportation_LCIA!D$62</f>
        <v>1.9942227529761722</v>
      </c>
      <c r="AA353" s="137">
        <f>Transportation_LCIA!E$61*($W353^Transportation_LCIA!E$60)+Transportation_LCIA!E$62</f>
        <v>8.614012104975941E-4</v>
      </c>
      <c r="AB353" s="137">
        <f>Transportation_LCIA!F$61*($W353^Transportation_LCIA!F$60)+Transportation_LCIA!F$62</f>
        <v>0.19862389497562166</v>
      </c>
      <c r="AC353" s="137">
        <f>Transportation_LCIA!G$61*($W353^Transportation_LCIA!G$60)+Transportation_LCIA!G$62</f>
        <v>4.6705022137299809E-2</v>
      </c>
      <c r="AD353" s="137">
        <f>Transportation_LCIA!H$61*($W353^Transportation_LCIA!H$60)+Transportation_LCIA!H$62</f>
        <v>2.1488510129891311E-4</v>
      </c>
      <c r="AE353" s="137">
        <f>Transportation_LCIA!I$61*($W353^Transportation_LCIA!I$60)+Transportation_LCIA!I$62</f>
        <v>4.3736087825731294E-6</v>
      </c>
      <c r="AF353" s="137">
        <f>Transportation_LCIA!J$61*($W353^Transportation_LCIA!J$60)+Transportation_LCIA!J$62</f>
        <v>6.470533446982325E-3</v>
      </c>
      <c r="AG353" s="137">
        <f>Transportation_LCIA!K$61*($W353^Transportation_LCIA!K$60)+Transportation_LCIA!K$62</f>
        <v>9.7369518256320738E-3</v>
      </c>
      <c r="AH353" s="137">
        <f>Transportation_LCIA!L$61*($W353^Transportation_LCIA!L$60)+Transportation_LCIA!L$62</f>
        <v>1.8308987319925948E-4</v>
      </c>
      <c r="AI353" s="137">
        <f>Transportation_LCIA!M$61*($W353^Transportation_LCIA!M$60)+Transportation_LCIA!M$62</f>
        <v>2.0944891225691906E-4</v>
      </c>
      <c r="AJ353" s="137">
        <f>Transportation_LCIA!N$61*($W353^Transportation_LCIA!N$60)+Transportation_LCIA!N$62</f>
        <v>7.8156750299448032E-4</v>
      </c>
      <c r="AK353" s="137">
        <f>Transportation_LCIA!O$61*($W353^Transportation_LCIA!O$60)+Transportation_LCIA!O$62</f>
        <v>4.9296636292324565E-5</v>
      </c>
      <c r="AL353" s="137">
        <f>Transportation_LCIA!P$61*($W353^Transportation_LCIA!P$60)+Transportation_LCIA!P$62</f>
        <v>2.386690004614875E-8</v>
      </c>
      <c r="AM353" s="137">
        <f>Transportation_LCIA!Q$61*($W353^Transportation_LCIA!Q$60)+Transportation_LCIA!Q$62</f>
        <v>7.2775365945937026E-5</v>
      </c>
      <c r="AN353" s="137">
        <f>Transportation_LCIA!R$61*($W353^Transportation_LCIA!R$60)+Transportation_LCIA!R$62</f>
        <v>2.1058452193175182E-4</v>
      </c>
      <c r="AO353" s="137">
        <f>Transportation_LCIA!S$61*($W353^Transportation_LCIA!S$60)+Transportation_LCIA!S$62</f>
        <v>3.2457203708720497E-6</v>
      </c>
      <c r="AP353" s="137">
        <f>Transportation_LCIA!T$61*($W353^Transportation_LCIA!T$60)+Transportation_LCIA!T$62</f>
        <v>3.2457203708720497E-6</v>
      </c>
      <c r="AQ353" s="137">
        <f>Transportation_LCIA!U$61*($W353^Transportation_LCIA!U$60)+Transportation_LCIA!U$62</f>
        <v>4.4875040023770939E-4</v>
      </c>
      <c r="AR353" s="137">
        <f>Transportation_LCIA!V$61*($W353^Transportation_LCIA!V$60)+Transportation_LCIA!V$62</f>
        <v>1.8933282696606362E-4</v>
      </c>
      <c r="AT353" s="137">
        <f>$W353*Y353+$L353*Summary_LCIA!H$32</f>
        <v>321.53284518853684</v>
      </c>
      <c r="AU353" s="137">
        <f>$W353*Z353+$L353*Summary_LCIA!Q$32</f>
        <v>3312.2444094963212</v>
      </c>
      <c r="AV353" s="137">
        <f>$W353*AA353+$L353*Summary_LCIA!R$32</f>
        <v>1.6006630239251334</v>
      </c>
      <c r="AW353" s="137">
        <f>$W353*AB353+$L353*Summary_LCIA!S$32</f>
        <v>321.29246348853684</v>
      </c>
      <c r="AX353" s="137">
        <f>$W353*AC353+$L353*Summary_LCIA!T$32</f>
        <v>77.23766676222067</v>
      </c>
      <c r="AY353" s="137">
        <f>$W353*AD353+$L353*Summary_LCIA!U$32</f>
        <v>1.3021164454040364</v>
      </c>
      <c r="AZ353" s="137">
        <f>$W353*AE353+$L353*Summary_LCIA!V$32</f>
        <v>9.2705687496616052E-3</v>
      </c>
      <c r="BA353" s="137">
        <f>$W353*AF353+$L353*Summary_LCIA!W$32</f>
        <v>14.058562896150573</v>
      </c>
      <c r="BB353" s="137">
        <f>$W353*AG353+$L353*Summary_LCIA!X$32</f>
        <v>16.095162908256913</v>
      </c>
      <c r="BC353" s="137">
        <f>$W353*AH353+$L353*Summary_LCIA!Y$32</f>
        <v>1.1267786696350139</v>
      </c>
      <c r="BD353" s="137">
        <f>$W353*AI353+$L353*Summary_LCIA!Z$32</f>
        <v>0.32179949835706556</v>
      </c>
      <c r="BE353" s="137">
        <f>$W353*AJ353+$L353*Summary_LCIA!AA$32</f>
        <v>2.4627021782608258</v>
      </c>
      <c r="BF353" s="137">
        <f>$W353*AK353+$L353*Summary_LCIA!AB$32</f>
        <v>7.4028098207355716E-2</v>
      </c>
      <c r="BG353" s="137">
        <f>$W353*AL353+$L353*Summary_LCIA!AC$32</f>
        <v>3.9073769206331324E-5</v>
      </c>
      <c r="BH353" s="137">
        <f>$W353*AM353+$L353*Summary_LCIA!AD$32</f>
        <v>0.13339230963375873</v>
      </c>
      <c r="BI353" s="137">
        <f>$W353*AN353+$L353*Summary_LCIA!AE$32</f>
        <v>0.36949407420766933</v>
      </c>
      <c r="BJ353" s="137">
        <f>$W353*AO353+$L353*Summary_LCIA!AF$32</f>
        <v>5.0930364010138972E-2</v>
      </c>
      <c r="BK353" s="137">
        <f>$W353*AP353+$L353*Summary_LCIA!AG$32</f>
        <v>7.734805835138971E-3</v>
      </c>
      <c r="BL353" s="137">
        <f>$W353*AQ353+$L353*Summary_LCIA!AH$32</f>
        <v>1.1580316640763377</v>
      </c>
      <c r="BM353" s="137">
        <f>$W353*AR353+$L353*Summary_LCIA!AI$32</f>
        <v>0.33953920898272294</v>
      </c>
    </row>
    <row r="354" spans="1:65" x14ac:dyDescent="0.25">
      <c r="A354" s="149">
        <v>366</v>
      </c>
      <c r="B354" s="149">
        <v>16</v>
      </c>
      <c r="C354" s="61">
        <v>49.261045000000003</v>
      </c>
      <c r="D354" s="61">
        <v>-123.248794</v>
      </c>
      <c r="E354" s="61" t="s">
        <v>459</v>
      </c>
      <c r="F354" s="149">
        <v>123</v>
      </c>
      <c r="G354" s="61" t="s">
        <v>728</v>
      </c>
      <c r="H354" s="61" t="s">
        <v>729</v>
      </c>
      <c r="I354" s="61">
        <v>49.196691000000001</v>
      </c>
      <c r="J354" s="61">
        <v>-123.181512</v>
      </c>
      <c r="K354" s="61">
        <v>17.860732670000001</v>
      </c>
      <c r="L354" s="61">
        <v>15.871</v>
      </c>
      <c r="M354" s="61" t="s">
        <v>617</v>
      </c>
      <c r="N354" s="149">
        <v>15</v>
      </c>
      <c r="O354" s="149">
        <v>16</v>
      </c>
      <c r="P354" s="61" t="s">
        <v>565</v>
      </c>
      <c r="Q354" s="61" t="s">
        <v>556</v>
      </c>
      <c r="R354" s="61">
        <v>39.856096299999997</v>
      </c>
      <c r="S354" s="61">
        <v>-104.6737376</v>
      </c>
      <c r="T354" s="61">
        <v>2331.1680000000001</v>
      </c>
      <c r="U354" s="61" t="s">
        <v>617</v>
      </c>
      <c r="V354" s="61" t="s">
        <v>569</v>
      </c>
      <c r="W354" s="61" cm="1">
        <f t="array" ref="W354">getDistance(I354,J354,R354,S354)*SA!$B$12</f>
        <v>1793.7750981302904</v>
      </c>
      <c r="Y354" s="137">
        <f>Transportation_LCIA!C$61*($W354^Transportation_LCIA!C$60)+Transportation_LCIA!C$62</f>
        <v>0.18761269363378796</v>
      </c>
      <c r="Z354" s="137">
        <f>Transportation_LCIA!D$61*($W354^Transportation_LCIA!D$60)+Transportation_LCIA!D$62</f>
        <v>1.8685141682579613</v>
      </c>
      <c r="AA354" s="137">
        <f>Transportation_LCIA!E$61*($W354^Transportation_LCIA!E$60)+Transportation_LCIA!E$62</f>
        <v>7.7925830324588686E-4</v>
      </c>
      <c r="AB354" s="137">
        <f>Transportation_LCIA!F$61*($W354^Transportation_LCIA!F$60)+Transportation_LCIA!F$62</f>
        <v>0.18761269363378796</v>
      </c>
      <c r="AC354" s="137">
        <f>Transportation_LCIA!G$61*($W354^Transportation_LCIA!G$60)+Transportation_LCIA!G$62</f>
        <v>4.3792930633556798E-2</v>
      </c>
      <c r="AD354" s="137">
        <f>Transportation_LCIA!H$61*($W354^Transportation_LCIA!H$60)+Transportation_LCIA!H$62</f>
        <v>1.9704249857842486E-4</v>
      </c>
      <c r="AE354" s="137">
        <f>Transportation_LCIA!I$61*($W354^Transportation_LCIA!I$60)+Transportation_LCIA!I$62</f>
        <v>3.9331830378030068E-6</v>
      </c>
      <c r="AF354" s="137">
        <f>Transportation_LCIA!J$61*($W354^Transportation_LCIA!J$60)+Transportation_LCIA!J$62</f>
        <v>5.8229842935502915E-3</v>
      </c>
      <c r="AG354" s="137">
        <f>Transportation_LCIA!K$61*($W354^Transportation_LCIA!K$60)+Transportation_LCIA!K$62</f>
        <v>9.0646756974662821E-3</v>
      </c>
      <c r="AH354" s="137">
        <f>Transportation_LCIA!L$61*($W354^Transportation_LCIA!L$60)+Transportation_LCIA!L$62</f>
        <v>1.6677798474947565E-4</v>
      </c>
      <c r="AI354" s="137">
        <f>Transportation_LCIA!M$61*($W354^Transportation_LCIA!M$60)+Transportation_LCIA!M$62</f>
        <v>1.9960828136547746E-4</v>
      </c>
      <c r="AJ354" s="137">
        <f>Transportation_LCIA!N$61*($W354^Transportation_LCIA!N$60)+Transportation_LCIA!N$62</f>
        <v>7.2148400108138638E-4</v>
      </c>
      <c r="AK354" s="137">
        <f>Transportation_LCIA!O$61*($W354^Transportation_LCIA!O$60)+Transportation_LCIA!O$62</f>
        <v>4.6204031869930577E-5</v>
      </c>
      <c r="AL354" s="137">
        <f>Transportation_LCIA!P$61*($W354^Transportation_LCIA!P$60)+Transportation_LCIA!P$62</f>
        <v>2.2377577415278643E-8</v>
      </c>
      <c r="AM354" s="137">
        <f>Transportation_LCIA!Q$61*($W354^Transportation_LCIA!Q$60)+Transportation_LCIA!Q$62</f>
        <v>6.6416584014775582E-5</v>
      </c>
      <c r="AN354" s="137">
        <f>Transportation_LCIA!R$61*($W354^Transportation_LCIA!R$60)+Transportation_LCIA!R$62</f>
        <v>1.8947482448382471E-4</v>
      </c>
      <c r="AO354" s="137">
        <f>Transportation_LCIA!S$61*($W354^Transportation_LCIA!S$60)+Transportation_LCIA!S$62</f>
        <v>2.9458654248679106E-6</v>
      </c>
      <c r="AP354" s="137">
        <f>Transportation_LCIA!T$61*($W354^Transportation_LCIA!T$60)+Transportation_LCIA!T$62</f>
        <v>2.9458654248679106E-6</v>
      </c>
      <c r="AQ354" s="137">
        <f>Transportation_LCIA!U$61*($W354^Transportation_LCIA!U$60)+Transportation_LCIA!U$62</f>
        <v>4.0262860167537194E-4</v>
      </c>
      <c r="AR354" s="137">
        <f>Transportation_LCIA!V$61*($W354^Transportation_LCIA!V$60)+Transportation_LCIA!V$62</f>
        <v>1.728546468332606E-4</v>
      </c>
      <c r="AT354" s="137">
        <f>$W354*Y354+$L354*Summary_LCIA!H$32</f>
        <v>341.92794373343611</v>
      </c>
      <c r="AU354" s="137">
        <f>$W354*Z354+$L354*Summary_LCIA!Q$32</f>
        <v>3430.351661946906</v>
      </c>
      <c r="AV354" s="137">
        <f>$W354*AA354+$L354*Summary_LCIA!R$32</f>
        <v>1.4813844769737343</v>
      </c>
      <c r="AW354" s="137">
        <f>$W354*AB354+$L354*Summary_LCIA!S$32</f>
        <v>341.85779391343607</v>
      </c>
      <c r="AX354" s="137">
        <f>$W354*AC354+$L354*Summary_LCIA!T$32</f>
        <v>80.298891344621339</v>
      </c>
      <c r="AY354" s="137">
        <f>$W354*AD354+$L354*Summary_LCIA!U$32</f>
        <v>0.6377630212233516</v>
      </c>
      <c r="AZ354" s="137">
        <f>$W354*AE354+$L354*Summary_LCIA!V$32</f>
        <v>7.8132606205994822E-3</v>
      </c>
      <c r="BA354" s="137">
        <f>$W354*AF354+$L354*Summary_LCIA!W$32</f>
        <v>11.666730963574315</v>
      </c>
      <c r="BB354" s="137">
        <f>$W354*AG354+$L354*Summary_LCIA!X$32</f>
        <v>16.621530918741836</v>
      </c>
      <c r="BC354" s="137">
        <f>$W354*AH354+$L354*Summary_LCIA!Y$32</f>
        <v>0.54646411795996275</v>
      </c>
      <c r="BD354" s="137">
        <f>$W354*AI354+$L354*Summary_LCIA!Z$32</f>
        <v>0.35870321833297791</v>
      </c>
      <c r="BE354" s="137">
        <f>$W354*AJ354+$L354*Summary_LCIA!AA$32</f>
        <v>1.6648631108391985</v>
      </c>
      <c r="BF354" s="137">
        <f>$W354*AK354+$L354*Summary_LCIA!AB$32</f>
        <v>8.2533288968499791E-2</v>
      </c>
      <c r="BG354" s="137">
        <f>$W354*AL354+$L354*Summary_LCIA!AC$32</f>
        <v>4.0916179088009619E-5</v>
      </c>
      <c r="BH354" s="137">
        <f>$W354*AM354+$L354*Summary_LCIA!AD$32</f>
        <v>0.12566003034858275</v>
      </c>
      <c r="BI354" s="137">
        <f>$W354*AN354+$L354*Summary_LCIA!AE$32</f>
        <v>0.35393899111169225</v>
      </c>
      <c r="BJ354" s="137">
        <f>$W354*AO354+$L354*Summary_LCIA!AF$32</f>
        <v>1.8701880861571069E-2</v>
      </c>
      <c r="BK354" s="137">
        <f>$W354*AP354+$L354*Summary_LCIA!AG$32</f>
        <v>6.0962597565710659E-3</v>
      </c>
      <c r="BL354" s="137">
        <f>$W354*AQ354+$L354*Summary_LCIA!AH$32</f>
        <v>0.86035999508030203</v>
      </c>
      <c r="BM354" s="137">
        <f>$W354*AR354+$L354*Summary_LCIA!AI$32</f>
        <v>0.32484699113560878</v>
      </c>
    </row>
    <row r="355" spans="1:65" x14ac:dyDescent="0.25">
      <c r="A355" s="149">
        <v>367</v>
      </c>
      <c r="B355" s="149">
        <v>16</v>
      </c>
      <c r="C355" s="61">
        <v>49.261045000000003</v>
      </c>
      <c r="D355" s="61">
        <v>-123.248794</v>
      </c>
      <c r="E355" s="61" t="s">
        <v>459</v>
      </c>
      <c r="F355" s="149">
        <v>123</v>
      </c>
      <c r="G355" s="61" t="s">
        <v>728</v>
      </c>
      <c r="H355" s="61" t="s">
        <v>729</v>
      </c>
      <c r="I355" s="61">
        <v>49.196691000000001</v>
      </c>
      <c r="J355" s="61">
        <v>-123.181512</v>
      </c>
      <c r="K355" s="61">
        <v>17.860732670000001</v>
      </c>
      <c r="L355" s="61">
        <v>15.871</v>
      </c>
      <c r="M355" s="61" t="s">
        <v>617</v>
      </c>
      <c r="N355" s="149">
        <v>15</v>
      </c>
      <c r="O355" s="149">
        <v>16</v>
      </c>
      <c r="P355" s="61" t="s">
        <v>565</v>
      </c>
      <c r="Q355" s="61" t="s">
        <v>556</v>
      </c>
      <c r="R355" s="61">
        <v>39.856096299999997</v>
      </c>
      <c r="S355" s="61">
        <v>-104.6737376</v>
      </c>
      <c r="T355" s="61">
        <v>2331.1680000000001</v>
      </c>
      <c r="U355" s="61" t="s">
        <v>617</v>
      </c>
      <c r="V355" s="61" t="s">
        <v>569</v>
      </c>
      <c r="W355" s="61" cm="1">
        <f t="array" ref="W355">getDistance(I355,J355,R355,S355)*SA!$B$12</f>
        <v>1793.7750981302904</v>
      </c>
      <c r="Y355" s="137">
        <f>Transportation_LCIA!C$61*($W355^Transportation_LCIA!C$60)+Transportation_LCIA!C$62</f>
        <v>0.18761269363378796</v>
      </c>
      <c r="Z355" s="137">
        <f>Transportation_LCIA!D$61*($W355^Transportation_LCIA!D$60)+Transportation_LCIA!D$62</f>
        <v>1.8685141682579613</v>
      </c>
      <c r="AA355" s="137">
        <f>Transportation_LCIA!E$61*($W355^Transportation_LCIA!E$60)+Transportation_LCIA!E$62</f>
        <v>7.7925830324588686E-4</v>
      </c>
      <c r="AB355" s="137">
        <f>Transportation_LCIA!F$61*($W355^Transportation_LCIA!F$60)+Transportation_LCIA!F$62</f>
        <v>0.18761269363378796</v>
      </c>
      <c r="AC355" s="137">
        <f>Transportation_LCIA!G$61*($W355^Transportation_LCIA!G$60)+Transportation_LCIA!G$62</f>
        <v>4.3792930633556798E-2</v>
      </c>
      <c r="AD355" s="137">
        <f>Transportation_LCIA!H$61*($W355^Transportation_LCIA!H$60)+Transportation_LCIA!H$62</f>
        <v>1.9704249857842486E-4</v>
      </c>
      <c r="AE355" s="137">
        <f>Transportation_LCIA!I$61*($W355^Transportation_LCIA!I$60)+Transportation_LCIA!I$62</f>
        <v>3.9331830378030068E-6</v>
      </c>
      <c r="AF355" s="137">
        <f>Transportation_LCIA!J$61*($W355^Transportation_LCIA!J$60)+Transportation_LCIA!J$62</f>
        <v>5.8229842935502915E-3</v>
      </c>
      <c r="AG355" s="137">
        <f>Transportation_LCIA!K$61*($W355^Transportation_LCIA!K$60)+Transportation_LCIA!K$62</f>
        <v>9.0646756974662821E-3</v>
      </c>
      <c r="AH355" s="137">
        <f>Transportation_LCIA!L$61*($W355^Transportation_LCIA!L$60)+Transportation_LCIA!L$62</f>
        <v>1.6677798474947565E-4</v>
      </c>
      <c r="AI355" s="137">
        <f>Transportation_LCIA!M$61*($W355^Transportation_LCIA!M$60)+Transportation_LCIA!M$62</f>
        <v>1.9960828136547746E-4</v>
      </c>
      <c r="AJ355" s="137">
        <f>Transportation_LCIA!N$61*($W355^Transportation_LCIA!N$60)+Transportation_LCIA!N$62</f>
        <v>7.2148400108138638E-4</v>
      </c>
      <c r="AK355" s="137">
        <f>Transportation_LCIA!O$61*($W355^Transportation_LCIA!O$60)+Transportation_LCIA!O$62</f>
        <v>4.6204031869930577E-5</v>
      </c>
      <c r="AL355" s="137">
        <f>Transportation_LCIA!P$61*($W355^Transportation_LCIA!P$60)+Transportation_LCIA!P$62</f>
        <v>2.2377577415278643E-8</v>
      </c>
      <c r="AM355" s="137">
        <f>Transportation_LCIA!Q$61*($W355^Transportation_LCIA!Q$60)+Transportation_LCIA!Q$62</f>
        <v>6.6416584014775582E-5</v>
      </c>
      <c r="AN355" s="137">
        <f>Transportation_LCIA!R$61*($W355^Transportation_LCIA!R$60)+Transportation_LCIA!R$62</f>
        <v>1.8947482448382471E-4</v>
      </c>
      <c r="AO355" s="137">
        <f>Transportation_LCIA!S$61*($W355^Transportation_LCIA!S$60)+Transportation_LCIA!S$62</f>
        <v>2.9458654248679106E-6</v>
      </c>
      <c r="AP355" s="137">
        <f>Transportation_LCIA!T$61*($W355^Transportation_LCIA!T$60)+Transportation_LCIA!T$62</f>
        <v>2.9458654248679106E-6</v>
      </c>
      <c r="AQ355" s="137">
        <f>Transportation_LCIA!U$61*($W355^Transportation_LCIA!U$60)+Transportation_LCIA!U$62</f>
        <v>4.0262860167537194E-4</v>
      </c>
      <c r="AR355" s="137">
        <f>Transportation_LCIA!V$61*($W355^Transportation_LCIA!V$60)+Transportation_LCIA!V$62</f>
        <v>1.728546468332606E-4</v>
      </c>
      <c r="AT355" s="137">
        <f>$W355*Y355+$L355*Summary_LCIA!H$32</f>
        <v>341.92794373343611</v>
      </c>
      <c r="AU355" s="137">
        <f>$W355*Z355+$L355*Summary_LCIA!Q$32</f>
        <v>3430.351661946906</v>
      </c>
      <c r="AV355" s="137">
        <f>$W355*AA355+$L355*Summary_LCIA!R$32</f>
        <v>1.4813844769737343</v>
      </c>
      <c r="AW355" s="137">
        <f>$W355*AB355+$L355*Summary_LCIA!S$32</f>
        <v>341.85779391343607</v>
      </c>
      <c r="AX355" s="137">
        <f>$W355*AC355+$L355*Summary_LCIA!T$32</f>
        <v>80.298891344621339</v>
      </c>
      <c r="AY355" s="137">
        <f>$W355*AD355+$L355*Summary_LCIA!U$32</f>
        <v>0.6377630212233516</v>
      </c>
      <c r="AZ355" s="137">
        <f>$W355*AE355+$L355*Summary_LCIA!V$32</f>
        <v>7.8132606205994822E-3</v>
      </c>
      <c r="BA355" s="137">
        <f>$W355*AF355+$L355*Summary_LCIA!W$32</f>
        <v>11.666730963574315</v>
      </c>
      <c r="BB355" s="137">
        <f>$W355*AG355+$L355*Summary_LCIA!X$32</f>
        <v>16.621530918741836</v>
      </c>
      <c r="BC355" s="137">
        <f>$W355*AH355+$L355*Summary_LCIA!Y$32</f>
        <v>0.54646411795996275</v>
      </c>
      <c r="BD355" s="137">
        <f>$W355*AI355+$L355*Summary_LCIA!Z$32</f>
        <v>0.35870321833297791</v>
      </c>
      <c r="BE355" s="137">
        <f>$W355*AJ355+$L355*Summary_LCIA!AA$32</f>
        <v>1.6648631108391985</v>
      </c>
      <c r="BF355" s="137">
        <f>$W355*AK355+$L355*Summary_LCIA!AB$32</f>
        <v>8.2533288968499791E-2</v>
      </c>
      <c r="BG355" s="137">
        <f>$W355*AL355+$L355*Summary_LCIA!AC$32</f>
        <v>4.0916179088009619E-5</v>
      </c>
      <c r="BH355" s="137">
        <f>$W355*AM355+$L355*Summary_LCIA!AD$32</f>
        <v>0.12566003034858275</v>
      </c>
      <c r="BI355" s="137">
        <f>$W355*AN355+$L355*Summary_LCIA!AE$32</f>
        <v>0.35393899111169225</v>
      </c>
      <c r="BJ355" s="137">
        <f>$W355*AO355+$L355*Summary_LCIA!AF$32</f>
        <v>1.8701880861571069E-2</v>
      </c>
      <c r="BK355" s="137">
        <f>$W355*AP355+$L355*Summary_LCIA!AG$32</f>
        <v>6.0962597565710659E-3</v>
      </c>
      <c r="BL355" s="137">
        <f>$W355*AQ355+$L355*Summary_LCIA!AH$32</f>
        <v>0.86035999508030203</v>
      </c>
      <c r="BM355" s="137">
        <f>$W355*AR355+$L355*Summary_LCIA!AI$32</f>
        <v>0.32484699113560878</v>
      </c>
    </row>
    <row r="356" spans="1:65" x14ac:dyDescent="0.25">
      <c r="A356" s="149">
        <v>290</v>
      </c>
      <c r="B356" s="149">
        <v>16</v>
      </c>
      <c r="C356" s="61">
        <v>30.421309000000001</v>
      </c>
      <c r="D356" s="61">
        <v>-87.216915</v>
      </c>
      <c r="E356" s="61" t="s">
        <v>265</v>
      </c>
      <c r="F356" s="149">
        <v>98</v>
      </c>
      <c r="G356" s="61" t="s">
        <v>713</v>
      </c>
      <c r="H356" s="61" t="s">
        <v>714</v>
      </c>
      <c r="I356" s="61">
        <v>29.991091000000001</v>
      </c>
      <c r="J356" s="61">
        <v>-90.259230000000002</v>
      </c>
      <c r="K356" s="61">
        <v>302.75969529999998</v>
      </c>
      <c r="L356" s="61">
        <v>342.399</v>
      </c>
      <c r="M356" s="61" t="s">
        <v>617</v>
      </c>
      <c r="N356" s="149">
        <v>15</v>
      </c>
      <c r="O356" s="149">
        <v>16</v>
      </c>
      <c r="P356" s="61" t="s">
        <v>565</v>
      </c>
      <c r="Q356" s="61" t="s">
        <v>556</v>
      </c>
      <c r="R356" s="61">
        <v>39.856096299999997</v>
      </c>
      <c r="S356" s="61">
        <v>-104.6737376</v>
      </c>
      <c r="T356" s="61">
        <v>2358.0459999999998</v>
      </c>
      <c r="U356" s="61" t="s">
        <v>617</v>
      </c>
      <c r="V356" s="61" t="s">
        <v>569</v>
      </c>
      <c r="W356" s="61" cm="1">
        <f t="array" ref="W356">getDistance(I356,J356,R356,S356)*SA!$B$12</f>
        <v>1710.0772203697222</v>
      </c>
      <c r="Y356" s="137">
        <f>Transportation_LCIA!C$61*($W356^Transportation_LCIA!C$60)+Transportation_LCIA!C$62</f>
        <v>0.19071000180508202</v>
      </c>
      <c r="Z356" s="137">
        <f>Transportation_LCIA!D$61*($W356^Transportation_LCIA!D$60)+Transportation_LCIA!D$62</f>
        <v>1.9037843090107933</v>
      </c>
      <c r="AA356" s="137">
        <f>Transportation_LCIA!E$61*($W356^Transportation_LCIA!E$60)+Transportation_LCIA!E$62</f>
        <v>8.0228866718959563E-4</v>
      </c>
      <c r="AB356" s="137">
        <f>Transportation_LCIA!F$61*($W356^Transportation_LCIA!F$60)+Transportation_LCIA!F$62</f>
        <v>0.19071000180508202</v>
      </c>
      <c r="AC356" s="137">
        <f>Transportation_LCIA!G$61*($W356^Transportation_LCIA!G$60)+Transportation_LCIA!G$62</f>
        <v>4.461009967654786E-2</v>
      </c>
      <c r="AD356" s="137">
        <f>Transportation_LCIA!H$61*($W356^Transportation_LCIA!H$60)+Transportation_LCIA!H$62</f>
        <v>2.0203793194224361E-4</v>
      </c>
      <c r="AE356" s="137">
        <f>Transportation_LCIA!I$61*($W356^Transportation_LCIA!I$60)+Transportation_LCIA!I$62</f>
        <v>4.0562084542974032E-6</v>
      </c>
      <c r="AF356" s="137">
        <f>Transportation_LCIA!J$61*($W356^Transportation_LCIA!J$60)+Transportation_LCIA!J$62</f>
        <v>6.0035958608879482E-3</v>
      </c>
      <c r="AG356" s="137">
        <f>Transportation_LCIA!K$61*($W356^Transportation_LCIA!K$60)+Transportation_LCIA!K$62</f>
        <v>9.2530816203205066E-3</v>
      </c>
      <c r="AH356" s="137">
        <f>Transportation_LCIA!L$61*($W356^Transportation_LCIA!L$60)+Transportation_LCIA!L$62</f>
        <v>1.7134189008334447E-4</v>
      </c>
      <c r="AI356" s="137">
        <f>Transportation_LCIA!M$61*($W356^Transportation_LCIA!M$60)+Transportation_LCIA!M$62</f>
        <v>2.0236317190286786E-4</v>
      </c>
      <c r="AJ356" s="137">
        <f>Transportation_LCIA!N$61*($W356^Transportation_LCIA!N$60)+Transportation_LCIA!N$62</f>
        <v>7.3830876761015146E-4</v>
      </c>
      <c r="AK356" s="137">
        <f>Transportation_LCIA!O$61*($W356^Transportation_LCIA!O$60)+Transportation_LCIA!O$62</f>
        <v>4.7071794231184513E-5</v>
      </c>
      <c r="AL356" s="137">
        <f>Transportation_LCIA!P$61*($W356^Transportation_LCIA!P$60)+Transportation_LCIA!P$62</f>
        <v>2.2795549853807348E-8</v>
      </c>
      <c r="AM356" s="137">
        <f>Transportation_LCIA!Q$61*($W356^Transportation_LCIA!Q$60)+Transportation_LCIA!Q$62</f>
        <v>6.8195085032840287E-5</v>
      </c>
      <c r="AN356" s="137">
        <f>Transportation_LCIA!R$61*($W356^Transportation_LCIA!R$60)+Transportation_LCIA!R$62</f>
        <v>1.9537113232330993E-4</v>
      </c>
      <c r="AO356" s="137">
        <f>Transportation_LCIA!S$61*($W356^Transportation_LCIA!S$60)+Transportation_LCIA!S$62</f>
        <v>3.0296287360822535E-6</v>
      </c>
      <c r="AP356" s="137">
        <f>Transportation_LCIA!T$61*($W356^Transportation_LCIA!T$60)+Transportation_LCIA!T$62</f>
        <v>3.0296287360822535E-6</v>
      </c>
      <c r="AQ356" s="137">
        <f>Transportation_LCIA!U$61*($W356^Transportation_LCIA!U$60)+Transportation_LCIA!U$62</f>
        <v>4.1550563766498097E-4</v>
      </c>
      <c r="AR356" s="137">
        <f>Transportation_LCIA!V$61*($W356^Transportation_LCIA!V$60)+Transportation_LCIA!V$62</f>
        <v>1.7746138023334767E-4</v>
      </c>
      <c r="AT356" s="137">
        <f>$W356*Y356+$L356*Summary_LCIA!H$32</f>
        <v>442.47600998353937</v>
      </c>
      <c r="AU356" s="137">
        <f>$W356*Z356+$L356*Summary_LCIA!Q$32</f>
        <v>4952.5648915454367</v>
      </c>
      <c r="AV356" s="137">
        <f>$W356*AA356+$L356*Summary_LCIA!R$32</f>
        <v>3.1749117483217129</v>
      </c>
      <c r="AW356" s="137">
        <f>$W356*AB356+$L356*Summary_LCIA!S$32</f>
        <v>440.96260640353933</v>
      </c>
      <c r="AX356" s="137">
        <f>$W356*AC356+$L356*Summary_LCIA!T$32</f>
        <v>113.91636535528721</v>
      </c>
      <c r="AY356" s="137">
        <f>$W356*AD356+$L356*Summary_LCIA!U$32</f>
        <v>6.4792361510650389</v>
      </c>
      <c r="AZ356" s="137">
        <f>$W356*AE356+$L356*Summary_LCIA!V$32</f>
        <v>2.328974831776507E-2</v>
      </c>
      <c r="BA356" s="137">
        <f>$W356*AF356+$L356*Summary_LCIA!W$32</f>
        <v>36.621405951010431</v>
      </c>
      <c r="BB356" s="137">
        <f>$W356*AG356+$L356*Summary_LCIA!X$32</f>
        <v>23.623333317131859</v>
      </c>
      <c r="BC356" s="137">
        <f>$W356*AH356+$L356*Summary_LCIA!Y$32</f>
        <v>5.6282690811266205</v>
      </c>
      <c r="BD356" s="137">
        <f>$W356*AI356+$L356*Summary_LCIA!Z$32</f>
        <v>0.36009809110385654</v>
      </c>
      <c r="BE356" s="137">
        <f>$W356*AJ356+$L356*Summary_LCIA!AA$32</f>
        <v>9.2596360490893623</v>
      </c>
      <c r="BF356" s="137">
        <f>$W356*AK356+$L356*Summary_LCIA!AB$32</f>
        <v>7.3024229659679543E-2</v>
      </c>
      <c r="BG356" s="137">
        <f>$W356*AL356+$L356*Summary_LCIA!AC$32</f>
        <v>5.5719983246798298E-5</v>
      </c>
      <c r="BH356" s="137">
        <f>$W356*AM356+$L356*Summary_LCIA!AD$32</f>
        <v>0.25735854641583633</v>
      </c>
      <c r="BI356" s="137">
        <f>$W356*AN356+$L356*Summary_LCIA!AE$32</f>
        <v>0.63750974877393096</v>
      </c>
      <c r="BJ356" s="137">
        <f>$W356*AO356+$L356*Summary_LCIA!AF$32</f>
        <v>0.29465186166775176</v>
      </c>
      <c r="BK356" s="137">
        <f>$W356*AP356+$L356*Summary_LCIA!AG$32</f>
        <v>2.2699743922751776E-2</v>
      </c>
      <c r="BL356" s="137">
        <f>$W356*AQ356+$L356*Summary_LCIA!AH$32</f>
        <v>3.69065066230608</v>
      </c>
      <c r="BM356" s="137">
        <f>$W356*AR356+$L356*Summary_LCIA!AI$32</f>
        <v>0.62243445228241756</v>
      </c>
    </row>
    <row r="357" spans="1:65" x14ac:dyDescent="0.25">
      <c r="A357" s="149">
        <v>217</v>
      </c>
      <c r="B357" s="149">
        <v>15</v>
      </c>
      <c r="C357" s="61">
        <v>35.791117999999997</v>
      </c>
      <c r="D357" s="61">
        <v>51.316220999999999</v>
      </c>
      <c r="E357" s="61" t="s">
        <v>278</v>
      </c>
      <c r="F357" s="149">
        <v>58</v>
      </c>
      <c r="G357" s="61" t="s">
        <v>279</v>
      </c>
      <c r="H357" s="61" t="s">
        <v>701</v>
      </c>
      <c r="I357" s="61">
        <v>35.743532000000002</v>
      </c>
      <c r="J357" s="61">
        <v>51.271971000000001</v>
      </c>
      <c r="K357" s="61">
        <v>1364.8377740000001</v>
      </c>
      <c r="L357" s="61">
        <v>16.777000000000001</v>
      </c>
      <c r="M357" s="61" t="s">
        <v>617</v>
      </c>
      <c r="N357" s="149">
        <v>14</v>
      </c>
      <c r="O357" s="149">
        <v>15</v>
      </c>
      <c r="P357" s="61" t="s">
        <v>567</v>
      </c>
      <c r="Q357" s="61" t="s">
        <v>566</v>
      </c>
      <c r="R357" s="61">
        <v>50.037932599999998</v>
      </c>
      <c r="S357" s="61">
        <v>8.5621518000000005</v>
      </c>
      <c r="T357" s="61">
        <v>4728.7700000000004</v>
      </c>
      <c r="U357" s="61" t="s">
        <v>617</v>
      </c>
      <c r="V357" s="61" t="s">
        <v>569</v>
      </c>
      <c r="W357" s="61" cm="1">
        <f t="array" ref="W357">getDistance(I357,J357,R357,S357)*SA!$B$12</f>
        <v>3769.587752024554</v>
      </c>
      <c r="Y357" s="137">
        <f>Transportation_LCIA!C$61*($W357^Transportation_LCIA!C$60)+Transportation_LCIA!C$62</f>
        <v>0.15249863555666499</v>
      </c>
      <c r="Z357" s="137">
        <f>Transportation_LCIA!D$61*($W357^Transportation_LCIA!D$60)+Transportation_LCIA!D$62</f>
        <v>1.4747921801268353</v>
      </c>
      <c r="AA357" s="137">
        <f>Transportation_LCIA!E$61*($W357^Transportation_LCIA!E$60)+Transportation_LCIA!E$62</f>
        <v>5.232800931325712E-4</v>
      </c>
      <c r="AB357" s="137">
        <f>Transportation_LCIA!F$61*($W357^Transportation_LCIA!F$60)+Transportation_LCIA!F$62</f>
        <v>0.15249863555666499</v>
      </c>
      <c r="AC357" s="137">
        <f>Transportation_LCIA!G$61*($W357^Transportation_LCIA!G$60)+Transportation_LCIA!G$62</f>
        <v>3.4662632720672305E-2</v>
      </c>
      <c r="AD357" s="137">
        <f>Transportation_LCIA!H$61*($W357^Transportation_LCIA!H$60)+Transportation_LCIA!H$62</f>
        <v>1.4199094931638254E-4</v>
      </c>
      <c r="AE357" s="137">
        <f>Transportation_LCIA!I$61*($W357^Transportation_LCIA!I$60)+Transportation_LCIA!I$62</f>
        <v>2.5958293277099199E-6</v>
      </c>
      <c r="AF357" s="137">
        <f>Transportation_LCIA!J$61*($W357^Transportation_LCIA!J$60)+Transportation_LCIA!J$62</f>
        <v>3.8770468522408815E-3</v>
      </c>
      <c r="AG357" s="137">
        <f>Transportation_LCIA!K$61*($W357^Transportation_LCIA!K$60)+Transportation_LCIA!K$62</f>
        <v>6.9759150433585052E-3</v>
      </c>
      <c r="AH357" s="137">
        <f>Transportation_LCIA!L$61*($W357^Transportation_LCIA!L$60)+Transportation_LCIA!L$62</f>
        <v>1.1667804990051856E-4</v>
      </c>
      <c r="AI357" s="137">
        <f>Transportation_LCIA!M$61*($W357^Transportation_LCIA!M$60)+Transportation_LCIA!M$62</f>
        <v>1.6926244124032327E-4</v>
      </c>
      <c r="AJ357" s="137">
        <f>Transportation_LCIA!N$61*($W357^Transportation_LCIA!N$60)+Transportation_LCIA!N$62</f>
        <v>5.3586641163412769E-4</v>
      </c>
      <c r="AK357" s="137">
        <f>Transportation_LCIA!O$61*($W357^Transportation_LCIA!O$60)+Transportation_LCIA!O$62</f>
        <v>3.6512558352428148E-5</v>
      </c>
      <c r="AL357" s="137">
        <f>Transportation_LCIA!P$61*($W357^Transportation_LCIA!P$60)+Transportation_LCIA!P$62</f>
        <v>1.7704157176186822E-8</v>
      </c>
      <c r="AM357" s="137">
        <f>Transportation_LCIA!Q$61*($W357^Transportation_LCIA!Q$60)+Transportation_LCIA!Q$62</f>
        <v>4.693418148344128E-5</v>
      </c>
      <c r="AN357" s="137">
        <f>Transportation_LCIA!R$61*($W357^Transportation_LCIA!R$60)+Transportation_LCIA!R$62</f>
        <v>1.2539987033783506E-4</v>
      </c>
      <c r="AO357" s="137">
        <f>Transportation_LCIA!S$61*($W357^Transportation_LCIA!S$60)+Transportation_LCIA!S$62</f>
        <v>2.0350560318419809E-6</v>
      </c>
      <c r="AP357" s="137">
        <f>Transportation_LCIA!T$61*($W357^Transportation_LCIA!T$60)+Transportation_LCIA!T$62</f>
        <v>2.0350560318419809E-6</v>
      </c>
      <c r="AQ357" s="137">
        <f>Transportation_LCIA!U$61*($W357^Transportation_LCIA!U$60)+Transportation_LCIA!U$62</f>
        <v>2.630560915151498E-4</v>
      </c>
      <c r="AR357" s="137">
        <f>Transportation_LCIA!V$61*($W357^Transportation_LCIA!V$60)+Transportation_LCIA!V$62</f>
        <v>1.2252707303670829E-4</v>
      </c>
      <c r="AT357" s="137">
        <f>$W357*Y357+$L357*Summary_LCIA!H$32</f>
        <v>580.55781339486055</v>
      </c>
      <c r="AU357" s="137">
        <f>$W357*Z357+$L357*Summary_LCIA!Q$32</f>
        <v>5642.5061971021487</v>
      </c>
      <c r="AV357" s="137">
        <f>$W357*AA357+$L357*Summary_LCIA!R$32</f>
        <v>2.0608912011508083</v>
      </c>
      <c r="AW357" s="137">
        <f>$W357*AB357+$L357*Summary_LCIA!S$32</f>
        <v>580.48365905486048</v>
      </c>
      <c r="AX357" s="137">
        <f>$W357*AC357+$L357*Summary_LCIA!T$32</f>
        <v>132.50762805677186</v>
      </c>
      <c r="AY357" s="137">
        <f>$W357*AD357+$L357*Summary_LCIA!U$32</f>
        <v>0.83579052144137478</v>
      </c>
      <c r="AZ357" s="137">
        <f>$W357*AE357+$L357*Summary_LCIA!V$32</f>
        <v>1.0586492737081446E-2</v>
      </c>
      <c r="BA357" s="137">
        <f>$W357*AF357+$L357*Summary_LCIA!W$32</f>
        <v>15.906210795232578</v>
      </c>
      <c r="BB357" s="137">
        <f>$W357*AG357+$L357*Summary_LCIA!X$32</f>
        <v>26.678503966608055</v>
      </c>
      <c r="BC357" s="137">
        <f>$W357*AH357+$L357*Summary_LCIA!Y$32</f>
        <v>0.7012473618351045</v>
      </c>
      <c r="BD357" s="137">
        <f>$W357*AI357+$L357*Summary_LCIA!Z$32</f>
        <v>0.63873763337029832</v>
      </c>
      <c r="BE357" s="137">
        <f>$W357*AJ357+$L357*Summary_LCIA!AA$32</f>
        <v>2.4118390740173559</v>
      </c>
      <c r="BF357" s="137">
        <f>$W357*AK357+$L357*Summary_LCIA!AB$32</f>
        <v>0.13727116828939495</v>
      </c>
      <c r="BG357" s="137">
        <f>$W357*AL357+$L357*Summary_LCIA!AC$32</f>
        <v>6.7557500919271452E-5</v>
      </c>
      <c r="BH357" s="137">
        <f>$W357*AM357+$L357*Summary_LCIA!AD$32</f>
        <v>0.18381853375127788</v>
      </c>
      <c r="BI357" s="137">
        <f>$W357*AN357+$L357*Summary_LCIA!AE$32</f>
        <v>0.48757241834097015</v>
      </c>
      <c r="BJ357" s="137">
        <f>$W357*AO357+$L357*Summary_LCIA!AF$32</f>
        <v>2.1854933632315221E-2</v>
      </c>
      <c r="BK357" s="137">
        <f>$W357*AP357+$L357*Summary_LCIA!AG$32</f>
        <v>8.5297174973152229E-3</v>
      </c>
      <c r="BL357" s="137">
        <f>$W357*AQ357+$L357*Summary_LCIA!AH$32</f>
        <v>1.137633317870959</v>
      </c>
      <c r="BM357" s="137">
        <f>$W357*AR357+$L357*Summary_LCIA!AI$32</f>
        <v>0.47750516816059357</v>
      </c>
    </row>
    <row r="358" spans="1:65" x14ac:dyDescent="0.25">
      <c r="A358" s="149">
        <v>181</v>
      </c>
      <c r="B358" s="149">
        <v>15</v>
      </c>
      <c r="C358" s="61">
        <v>30.022765</v>
      </c>
      <c r="D358" s="61">
        <v>31.207319999999999</v>
      </c>
      <c r="E358" s="61" t="s">
        <v>269</v>
      </c>
      <c r="F358" s="149">
        <v>60</v>
      </c>
      <c r="G358" s="61" t="s">
        <v>270</v>
      </c>
      <c r="H358" s="61" t="s">
        <v>690</v>
      </c>
      <c r="I358" s="61">
        <v>30.112831</v>
      </c>
      <c r="J358" s="61">
        <v>31.397601999999999</v>
      </c>
      <c r="K358" s="61">
        <v>1340.507924</v>
      </c>
      <c r="L358" s="61">
        <v>25.734999999999999</v>
      </c>
      <c r="M358" s="61" t="s">
        <v>617</v>
      </c>
      <c r="N358" s="149">
        <v>14</v>
      </c>
      <c r="O358" s="149">
        <v>15</v>
      </c>
      <c r="P358" s="61" t="s">
        <v>567</v>
      </c>
      <c r="Q358" s="61" t="s">
        <v>566</v>
      </c>
      <c r="R358" s="61">
        <v>50.037932599999998</v>
      </c>
      <c r="S358" s="61">
        <v>8.5621518000000005</v>
      </c>
      <c r="T358" s="61">
        <v>4860.4089999999997</v>
      </c>
      <c r="U358" s="61" t="s">
        <v>617</v>
      </c>
      <c r="V358" s="61" t="s">
        <v>569</v>
      </c>
      <c r="W358" s="61" cm="1">
        <f t="array" ref="W358">getDistance(I358,J358,R358,S358)*SA!$B$12</f>
        <v>2926.96660487086</v>
      </c>
      <c r="Y358" s="137">
        <f>Transportation_LCIA!C$61*($W358^Transportation_LCIA!C$60)+Transportation_LCIA!C$62</f>
        <v>0.16210255251242142</v>
      </c>
      <c r="Z358" s="137">
        <f>Transportation_LCIA!D$61*($W358^Transportation_LCIA!D$60)+Transportation_LCIA!D$62</f>
        <v>1.5811787373200161</v>
      </c>
      <c r="AA358" s="137">
        <f>Transportation_LCIA!E$61*($W358^Transportation_LCIA!E$60)+Transportation_LCIA!E$62</f>
        <v>5.9221086091727044E-4</v>
      </c>
      <c r="AB358" s="137">
        <f>Transportation_LCIA!F$61*($W358^Transportation_LCIA!F$60)+Transportation_LCIA!F$62</f>
        <v>0.16210255251242142</v>
      </c>
      <c r="AC358" s="137">
        <f>Transportation_LCIA!G$61*($W358^Transportation_LCIA!G$60)+Transportation_LCIA!G$62</f>
        <v>3.7131457648489574E-2</v>
      </c>
      <c r="AD358" s="137">
        <f>Transportation_LCIA!H$61*($W358^Transportation_LCIA!H$60)+Transportation_LCIA!H$62</f>
        <v>1.567152527858557E-4</v>
      </c>
      <c r="AE358" s="137">
        <f>Transportation_LCIA!I$61*($W358^Transportation_LCIA!I$60)+Transportation_LCIA!I$62</f>
        <v>2.9496208387207946E-6</v>
      </c>
      <c r="AF358" s="137">
        <f>Transportation_LCIA!J$61*($W358^Transportation_LCIA!J$60)+Transportation_LCIA!J$62</f>
        <v>4.3881441452681405E-3</v>
      </c>
      <c r="AG358" s="137">
        <f>Transportation_LCIA!K$61*($W358^Transportation_LCIA!K$60)+Transportation_LCIA!K$62</f>
        <v>7.5372476017549449E-3</v>
      </c>
      <c r="AH358" s="137">
        <f>Transportation_LCIA!L$61*($W358^Transportation_LCIA!L$60)+Transportation_LCIA!L$62</f>
        <v>1.300362640165528E-4</v>
      </c>
      <c r="AI358" s="137">
        <f>Transportation_LCIA!M$61*($W358^Transportation_LCIA!M$60)+Transportation_LCIA!M$62</f>
        <v>1.7737585573911126E-4</v>
      </c>
      <c r="AJ358" s="137">
        <f>Transportation_LCIA!N$61*($W358^Transportation_LCIA!N$60)+Transportation_LCIA!N$62</f>
        <v>5.8555559293073259E-4</v>
      </c>
      <c r="AK358" s="137">
        <f>Transportation_LCIA!O$61*($W358^Transportation_LCIA!O$60)+Transportation_LCIA!O$62</f>
        <v>3.913224851930483E-5</v>
      </c>
      <c r="AL358" s="137">
        <f>Transportation_LCIA!P$61*($W358^Transportation_LCIA!P$60)+Transportation_LCIA!P$62</f>
        <v>1.8968567329456026E-8</v>
      </c>
      <c r="AM358" s="137">
        <f>Transportation_LCIA!Q$61*($W358^Transportation_LCIA!Q$60)+Transportation_LCIA!Q$62</f>
        <v>5.2120077890892584E-5</v>
      </c>
      <c r="AN358" s="137">
        <f>Transportation_LCIA!R$61*($W358^Transportation_LCIA!R$60)+Transportation_LCIA!R$62</f>
        <v>1.4234613513850302E-4</v>
      </c>
      <c r="AO358" s="137">
        <f>Transportation_LCIA!S$61*($W358^Transportation_LCIA!S$60)+Transportation_LCIA!S$62</f>
        <v>2.2760615928862299E-6</v>
      </c>
      <c r="AP358" s="137">
        <f>Transportation_LCIA!T$61*($W358^Transportation_LCIA!T$60)+Transportation_LCIA!T$62</f>
        <v>2.2760615928862299E-6</v>
      </c>
      <c r="AQ358" s="137">
        <f>Transportation_LCIA!U$61*($W358^Transportation_LCIA!U$60)+Transportation_LCIA!U$62</f>
        <v>2.9989263792086528E-4</v>
      </c>
      <c r="AR358" s="137">
        <f>Transportation_LCIA!V$61*($W358^Transportation_LCIA!V$60)+Transportation_LCIA!V$62</f>
        <v>1.3589441208504177E-4</v>
      </c>
      <c r="AT358" s="137">
        <f>$W358*Y358+$L358*Summary_LCIA!H$32</f>
        <v>483.2135107681824</v>
      </c>
      <c r="AU358" s="137">
        <f>$W358*Z358+$L358*Summary_LCIA!Q$32</f>
        <v>4755.6013183608156</v>
      </c>
      <c r="AV358" s="137">
        <f>$W358*AA358+$L358*Summary_LCIA!R$32</f>
        <v>1.8688916289466722</v>
      </c>
      <c r="AW358" s="137">
        <f>$W358*AB358+$L358*Summary_LCIA!S$32</f>
        <v>483.09976206818237</v>
      </c>
      <c r="AX358" s="137">
        <f>$W358*AC358+$L358*Summary_LCIA!T$32</f>
        <v>111.51081302730566</v>
      </c>
      <c r="AY358" s="137">
        <f>$W358*AD358+$L358*Summary_LCIA!U$32</f>
        <v>0.91971710137809459</v>
      </c>
      <c r="AZ358" s="137">
        <f>$W358*AE358+$L358*Summary_LCIA!V$32</f>
        <v>9.8625710269669431E-3</v>
      </c>
      <c r="BA358" s="137">
        <f>$W358*AF358+$L358*Summary_LCIA!W$32</f>
        <v>14.824800055559431</v>
      </c>
      <c r="BB358" s="137">
        <f>$W358*AG358+$L358*Summary_LCIA!X$32</f>
        <v>22.647515322979704</v>
      </c>
      <c r="BC358" s="137">
        <f>$W358*AH358+$L358*Summary_LCIA!Y$32</f>
        <v>0.78161457219862029</v>
      </c>
      <c r="BD358" s="137">
        <f>$W358*AI358+$L358*Summary_LCIA!Z$32</f>
        <v>0.52022857287377</v>
      </c>
      <c r="BE358" s="137">
        <f>$W358*AJ358+$L358*Summary_LCIA!AA$32</f>
        <v>2.3149683258036098</v>
      </c>
      <c r="BF358" s="137">
        <f>$W358*AK358+$L358*Summary_LCIA!AB$32</f>
        <v>0.11397716968451241</v>
      </c>
      <c r="BG358" s="137">
        <f>$W358*AL358+$L358*Summary_LCIA!AC$32</f>
        <v>5.677839285556222E-5</v>
      </c>
      <c r="BH358" s="137">
        <f>$W358*AM358+$L358*Summary_LCIA!AD$32</f>
        <v>0.16313184182991064</v>
      </c>
      <c r="BI358" s="137">
        <f>$W358*AN358+$L358*Summary_LCIA!AE$32</f>
        <v>0.43944693943283281</v>
      </c>
      <c r="BJ358" s="137">
        <f>$W358*AO358+$L358*Summary_LCIA!AF$32</f>
        <v>2.8418839973007169E-2</v>
      </c>
      <c r="BK358" s="137">
        <f>$W358*AP358+$L358*Summary_LCIA!AG$32</f>
        <v>7.9786875480071691E-3</v>
      </c>
      <c r="BL358" s="137">
        <f>$W358*AQ358+$L358*Summary_LCIA!AH$32</f>
        <v>1.1017628822410011</v>
      </c>
      <c r="BM358" s="137">
        <f>$W358*AR358+$L358*Summary_LCIA!AI$32</f>
        <v>0.42173184521147628</v>
      </c>
    </row>
    <row r="359" spans="1:65" x14ac:dyDescent="0.25">
      <c r="A359" s="149">
        <v>235</v>
      </c>
      <c r="B359" s="149">
        <v>15</v>
      </c>
      <c r="C359" s="61">
        <v>29.351009000000001</v>
      </c>
      <c r="D359" s="61">
        <v>47.944330999999998</v>
      </c>
      <c r="E359" s="61" t="s">
        <v>282</v>
      </c>
      <c r="F359" s="149">
        <v>58</v>
      </c>
      <c r="G359" s="61" t="s">
        <v>283</v>
      </c>
      <c r="H359" s="61" t="s">
        <v>706</v>
      </c>
      <c r="I359" s="61">
        <v>29.240445999999999</v>
      </c>
      <c r="J359" s="61">
        <v>47.968857</v>
      </c>
      <c r="K359" s="61">
        <v>672.29659430000004</v>
      </c>
      <c r="L359" s="61">
        <v>18.744</v>
      </c>
      <c r="M359" s="61" t="s">
        <v>617</v>
      </c>
      <c r="N359" s="149">
        <v>14</v>
      </c>
      <c r="O359" s="149">
        <v>15</v>
      </c>
      <c r="P359" s="61" t="s">
        <v>567</v>
      </c>
      <c r="Q359" s="61" t="s">
        <v>566</v>
      </c>
      <c r="R359" s="61">
        <v>50.037932599999998</v>
      </c>
      <c r="S359" s="61">
        <v>8.5621518000000005</v>
      </c>
      <c r="T359" s="61">
        <v>5118.5919999999996</v>
      </c>
      <c r="U359" s="61" t="s">
        <v>617</v>
      </c>
      <c r="V359" s="61" t="s">
        <v>569</v>
      </c>
      <c r="W359" s="61" cm="1">
        <f t="array" ref="W359">getDistance(I359,J359,R359,S359)*SA!$B$12</f>
        <v>4027.6455522727247</v>
      </c>
      <c r="Y359" s="137">
        <f>Transportation_LCIA!C$61*($W359^Transportation_LCIA!C$60)+Transportation_LCIA!C$62</f>
        <v>0.15030384980311071</v>
      </c>
      <c r="Z359" s="137">
        <f>Transportation_LCIA!D$61*($W359^Transportation_LCIA!D$60)+Transportation_LCIA!D$62</f>
        <v>1.4506519972075935</v>
      </c>
      <c r="AA359" s="137">
        <f>Transportation_LCIA!E$61*($W359^Transportation_LCIA!E$60)+Transportation_LCIA!E$62</f>
        <v>5.0767027593173471E-4</v>
      </c>
      <c r="AB359" s="137">
        <f>Transportation_LCIA!F$61*($W359^Transportation_LCIA!F$60)+Transportation_LCIA!F$62</f>
        <v>0.15030384980311071</v>
      </c>
      <c r="AC359" s="137">
        <f>Transportation_LCIA!G$61*($W359^Transportation_LCIA!G$60)+Transportation_LCIA!G$62</f>
        <v>3.4102198798369163E-2</v>
      </c>
      <c r="AD359" s="137">
        <f>Transportation_LCIA!H$61*($W359^Transportation_LCIA!H$60)+Transportation_LCIA!H$62</f>
        <v>1.3866969839146159E-4</v>
      </c>
      <c r="AE359" s="137">
        <f>Transportation_LCIA!I$61*($W359^Transportation_LCIA!I$60)+Transportation_LCIA!I$62</f>
        <v>2.5165344668096448E-6</v>
      </c>
      <c r="AF359" s="137">
        <f>Transportation_LCIA!J$61*($W359^Transportation_LCIA!J$60)+Transportation_LCIA!J$62</f>
        <v>3.7629719135529221E-3</v>
      </c>
      <c r="AG359" s="137">
        <f>Transportation_LCIA!K$61*($W359^Transportation_LCIA!K$60)+Transportation_LCIA!K$62</f>
        <v>6.8489477137590208E-3</v>
      </c>
      <c r="AH359" s="137">
        <f>Transportation_LCIA!L$61*($W359^Transportation_LCIA!L$60)+Transportation_LCIA!L$62</f>
        <v>1.1367040138470175E-4</v>
      </c>
      <c r="AI359" s="137">
        <f>Transportation_LCIA!M$61*($W359^Transportation_LCIA!M$60)+Transportation_LCIA!M$62</f>
        <v>1.6743275350147188E-4</v>
      </c>
      <c r="AJ359" s="137">
        <f>Transportation_LCIA!N$61*($W359^Transportation_LCIA!N$60)+Transportation_LCIA!N$62</f>
        <v>5.2465271738618194E-4</v>
      </c>
      <c r="AK359" s="137">
        <f>Transportation_LCIA!O$61*($W359^Transportation_LCIA!O$60)+Transportation_LCIA!O$62</f>
        <v>3.5917993692540506E-5</v>
      </c>
      <c r="AL359" s="137">
        <f>Transportation_LCIA!P$61*($W359^Transportation_LCIA!P$60)+Transportation_LCIA!P$62</f>
        <v>1.741703477237647E-8</v>
      </c>
      <c r="AM359" s="137">
        <f>Transportation_LCIA!Q$61*($W359^Transportation_LCIA!Q$60)+Transportation_LCIA!Q$62</f>
        <v>4.576769964967199E-5</v>
      </c>
      <c r="AN359" s="137">
        <f>Transportation_LCIA!R$61*($W359^Transportation_LCIA!R$60)+Transportation_LCIA!R$62</f>
        <v>1.216023101469281E-4</v>
      </c>
      <c r="AO359" s="137">
        <f>Transportation_LCIA!S$61*($W359^Transportation_LCIA!S$60)+Transportation_LCIA!S$62</f>
        <v>1.9810326458284998E-6</v>
      </c>
      <c r="AP359" s="137">
        <f>Transportation_LCIA!T$61*($W359^Transportation_LCIA!T$60)+Transportation_LCIA!T$62</f>
        <v>1.9810326458284998E-6</v>
      </c>
      <c r="AQ359" s="137">
        <f>Transportation_LCIA!U$61*($W359^Transportation_LCIA!U$60)+Transportation_LCIA!U$62</f>
        <v>2.5481121914906741E-4</v>
      </c>
      <c r="AR359" s="137">
        <f>Transportation_LCIA!V$61*($W359^Transportation_LCIA!V$60)+Transportation_LCIA!V$62</f>
        <v>1.1952410011835198E-4</v>
      </c>
      <c r="AT359" s="137">
        <f>$W359*Y359+$L359*Summary_LCIA!H$32</f>
        <v>611.73984334896647</v>
      </c>
      <c r="AU359" s="137">
        <f>$W359*Z359+$L359*Summary_LCIA!Q$32</f>
        <v>5935.6082737648612</v>
      </c>
      <c r="AV359" s="137">
        <f>$W359*AA359+$L359*Summary_LCIA!R$32</f>
        <v>2.1434143352775181</v>
      </c>
      <c r="AW359" s="137">
        <f>$W359*AB359+$L359*Summary_LCIA!S$32</f>
        <v>611.65699486896654</v>
      </c>
      <c r="AX359" s="137">
        <f>$W359*AC359+$L359*Summary_LCIA!T$32</f>
        <v>139.4115349129718</v>
      </c>
      <c r="AY359" s="137">
        <f>$W359*AD359+$L359*Summary_LCIA!U$32</f>
        <v>0.89429240996137038</v>
      </c>
      <c r="AZ359" s="137">
        <f>$W359*AE359+$L359*Summary_LCIA!V$32</f>
        <v>1.1030941036386879E-2</v>
      </c>
      <c r="BA359" s="137">
        <f>$W359*AF359+$L359*Summary_LCIA!W$32</f>
        <v>16.59866151494861</v>
      </c>
      <c r="BB359" s="137">
        <f>$W359*AG359+$L359*Summary_LCIA!X$32</f>
        <v>28.012122117069968</v>
      </c>
      <c r="BC359" s="137">
        <f>$W359*AH359+$L359*Summary_LCIA!Y$32</f>
        <v>0.74989309456214936</v>
      </c>
      <c r="BD359" s="137">
        <f>$W359*AI359+$L359*Summary_LCIA!Z$32</f>
        <v>0.67512845764097862</v>
      </c>
      <c r="BE359" s="137">
        <f>$W359*AJ359+$L359*Summary_LCIA!AA$32</f>
        <v>2.5509000476682546</v>
      </c>
      <c r="BF359" s="137">
        <f>$W359*AK359+$L359*Summary_LCIA!AB$32</f>
        <v>0.14425589723032053</v>
      </c>
      <c r="BG359" s="137">
        <f>$W359*AL359+$L359*Summary_LCIA!AC$32</f>
        <v>7.1065924330741476E-5</v>
      </c>
      <c r="BH359" s="137">
        <f>$W359*AM359+$L359*Summary_LCIA!AD$32</f>
        <v>0.19204060569175532</v>
      </c>
      <c r="BI359" s="137">
        <f>$W359*AN359+$L359*Summary_LCIA!AE$32</f>
        <v>0.50638062432936337</v>
      </c>
      <c r="BJ359" s="137">
        <f>$W359*AO359+$L359*Summary_LCIA!AF$32</f>
        <v>2.3825449804878225E-2</v>
      </c>
      <c r="BK359" s="137">
        <f>$W359*AP359+$L359*Summary_LCIA!AG$32</f>
        <v>8.9379340848782258E-3</v>
      </c>
      <c r="BL359" s="137">
        <f>$W359*AQ359+$L359*Summary_LCIA!AH$32</f>
        <v>1.1894295518749318</v>
      </c>
      <c r="BM359" s="137">
        <f>$W359*AR359+$L359*Summary_LCIA!AI$32</f>
        <v>0.49886168343108023</v>
      </c>
    </row>
    <row r="360" spans="1:65" x14ac:dyDescent="0.25">
      <c r="A360" s="149">
        <v>182</v>
      </c>
      <c r="B360" s="149">
        <v>43</v>
      </c>
      <c r="C360" s="61">
        <v>9.8572469999999992</v>
      </c>
      <c r="D360" s="61">
        <v>-83.912312999999997</v>
      </c>
      <c r="E360" s="61" t="s">
        <v>467</v>
      </c>
      <c r="F360" s="149">
        <v>33</v>
      </c>
      <c r="G360" s="61" t="s">
        <v>691</v>
      </c>
      <c r="H360" s="61" t="s">
        <v>692</v>
      </c>
      <c r="I360" s="61">
        <v>9.7998569999999994</v>
      </c>
      <c r="J360" s="61">
        <v>-84.044955999999999</v>
      </c>
      <c r="K360" s="61">
        <v>2361.9992550000002</v>
      </c>
      <c r="L360" s="61">
        <v>21.867999999999999</v>
      </c>
      <c r="M360" s="61" t="s">
        <v>617</v>
      </c>
      <c r="N360" s="149">
        <v>42</v>
      </c>
      <c r="O360" s="149">
        <v>43</v>
      </c>
      <c r="P360" s="61" t="s">
        <v>565</v>
      </c>
      <c r="Q360" s="61" t="s">
        <v>555</v>
      </c>
      <c r="R360" s="61">
        <v>40.6895314</v>
      </c>
      <c r="S360" s="61">
        <v>-74.174462399999996</v>
      </c>
      <c r="T360" s="61">
        <v>6454.4520000000002</v>
      </c>
      <c r="U360" s="61" t="s">
        <v>617</v>
      </c>
      <c r="V360" s="61" t="s">
        <v>569</v>
      </c>
      <c r="W360" s="61" cm="1">
        <f t="array" ref="W360">getDistance(I360,J360,R360,S360)*SA!$B$12</f>
        <v>3567.0917650313249</v>
      </c>
      <c r="Y360" s="137">
        <f>Transportation_LCIA!C$61*($W360^Transportation_LCIA!C$60)+Transportation_LCIA!C$62</f>
        <v>0.15442432114358801</v>
      </c>
      <c r="Z360" s="137">
        <f>Transportation_LCIA!D$61*($W360^Transportation_LCIA!D$60)+Transportation_LCIA!D$62</f>
        <v>1.4960283790827931</v>
      </c>
      <c r="AA360" s="137">
        <f>Transportation_LCIA!E$61*($W360^Transportation_LCIA!E$60)+Transportation_LCIA!E$62</f>
        <v>5.3702226083132709E-4</v>
      </c>
      <c r="AB360" s="137">
        <f>Transportation_LCIA!F$61*($W360^Transportation_LCIA!F$60)+Transportation_LCIA!F$62</f>
        <v>0.15442432114358801</v>
      </c>
      <c r="AC360" s="137">
        <f>Transportation_LCIA!G$61*($W360^Transportation_LCIA!G$60)+Transportation_LCIA!G$62</f>
        <v>3.5155572636270727E-2</v>
      </c>
      <c r="AD360" s="137">
        <f>Transportation_LCIA!H$61*($W360^Transportation_LCIA!H$60)+Transportation_LCIA!H$62</f>
        <v>1.4491910114721243E-4</v>
      </c>
      <c r="AE360" s="137">
        <f>Transportation_LCIA!I$61*($W360^Transportation_LCIA!I$60)+Transportation_LCIA!I$62</f>
        <v>2.6659036301457858E-6</v>
      </c>
      <c r="AF360" s="137">
        <f>Transportation_LCIA!J$61*($W360^Transportation_LCIA!J$60)+Transportation_LCIA!J$62</f>
        <v>3.9780120098162298E-3</v>
      </c>
      <c r="AG360" s="137">
        <f>Transportation_LCIA!K$61*($W360^Transportation_LCIA!K$60)+Transportation_LCIA!K$62</f>
        <v>7.0877400484039513E-3</v>
      </c>
      <c r="AH360" s="137">
        <f>Transportation_LCIA!L$61*($W360^Transportation_LCIA!L$60)+Transportation_LCIA!L$62</f>
        <v>1.1933149415946899E-4</v>
      </c>
      <c r="AI360" s="137">
        <f>Transportation_LCIA!M$61*($W360^Transportation_LCIA!M$60)+Transportation_LCIA!M$62</f>
        <v>1.7087569781958011E-4</v>
      </c>
      <c r="AJ360" s="137">
        <f>Transportation_LCIA!N$61*($W360^Transportation_LCIA!N$60)+Transportation_LCIA!N$62</f>
        <v>5.4575101857002163E-4</v>
      </c>
      <c r="AK360" s="137">
        <f>Transportation_LCIA!O$61*($W360^Transportation_LCIA!O$60)+Transportation_LCIA!O$62</f>
        <v>3.7035556403289741E-5</v>
      </c>
      <c r="AL360" s="137">
        <f>Transportation_LCIA!P$61*($W360^Transportation_LCIA!P$60)+Transportation_LCIA!P$62</f>
        <v>1.7956669775971922E-8</v>
      </c>
      <c r="AM360" s="137">
        <f>Transportation_LCIA!Q$61*($W360^Transportation_LCIA!Q$60)+Transportation_LCIA!Q$62</f>
        <v>4.7963660605805032E-5</v>
      </c>
      <c r="AN360" s="137">
        <f>Transportation_LCIA!R$61*($W360^Transportation_LCIA!R$60)+Transportation_LCIA!R$62</f>
        <v>1.2875603374515646E-4</v>
      </c>
      <c r="AO360" s="137">
        <f>Transportation_LCIA!S$61*($W360^Transportation_LCIA!S$60)+Transportation_LCIA!S$62</f>
        <v>2.0827951601475392E-6</v>
      </c>
      <c r="AP360" s="137">
        <f>Transportation_LCIA!T$61*($W360^Transportation_LCIA!T$60)+Transportation_LCIA!T$62</f>
        <v>2.0827951601475392E-6</v>
      </c>
      <c r="AQ360" s="137">
        <f>Transportation_LCIA!U$61*($W360^Transportation_LCIA!U$60)+Transportation_LCIA!U$62</f>
        <v>2.7034590098467517E-4</v>
      </c>
      <c r="AR360" s="137">
        <f>Transportation_LCIA!V$61*($W360^Transportation_LCIA!V$60)+Transportation_LCIA!V$62</f>
        <v>1.2517858176928741E-4</v>
      </c>
      <c r="AT360" s="137">
        <f>$W360*Y360+$L360*Summary_LCIA!H$32</f>
        <v>558.27647067184546</v>
      </c>
      <c r="AU360" s="137">
        <f>$W360*Z360+$L360*Summary_LCIA!Q$32</f>
        <v>5444.849422148237</v>
      </c>
      <c r="AV360" s="137">
        <f>$W360*AA360+$L360*Summary_LCIA!R$32</f>
        <v>2.0307558250499311</v>
      </c>
      <c r="AW360" s="137">
        <f>$W360*AB360+$L360*Summary_LCIA!S$32</f>
        <v>558.17981411184553</v>
      </c>
      <c r="AX360" s="137">
        <f>$W360*AC360+$L360*Summary_LCIA!T$32</f>
        <v>127.80644684580189</v>
      </c>
      <c r="AY360" s="137">
        <f>$W360*AD360+$L360*Summary_LCIA!U$32</f>
        <v>0.90868308429796296</v>
      </c>
      <c r="AZ360" s="137">
        <f>$W360*AE360+$L360*Summary_LCIA!V$32</f>
        <v>1.0553960433460147E-2</v>
      </c>
      <c r="BA360" s="137">
        <f>$W360*AF360+$L360*Summary_LCIA!W$32</f>
        <v>15.873135709411184</v>
      </c>
      <c r="BB360" s="137">
        <f>$W360*AG360+$L360*Summary_LCIA!X$32</f>
        <v>25.780772199344458</v>
      </c>
      <c r="BC360" s="137">
        <f>$W360*AH360+$L360*Summary_LCIA!Y$32</f>
        <v>0.76641356612512546</v>
      </c>
      <c r="BD360" s="137">
        <f>$W360*AI360+$L360*Summary_LCIA!Z$32</f>
        <v>0.61042607934820525</v>
      </c>
      <c r="BE360" s="137">
        <f>$W360*AJ360+$L360*Summary_LCIA!AA$32</f>
        <v>2.4574929720985819</v>
      </c>
      <c r="BF360" s="137">
        <f>$W360*AK360+$L360*Summary_LCIA!AB$32</f>
        <v>0.13163200289552801</v>
      </c>
      <c r="BG360" s="137">
        <f>$W360*AL360+$L360*Summary_LCIA!AC$32</f>
        <v>6.5122084197256322E-5</v>
      </c>
      <c r="BH360" s="137">
        <f>$W360*AM360+$L360*Summary_LCIA!AD$32</f>
        <v>0.1800794014877245</v>
      </c>
      <c r="BI360" s="137">
        <f>$W360*AN360+$L360*Summary_LCIA!AE$32</f>
        <v>0.47866247851044302</v>
      </c>
      <c r="BJ360" s="137">
        <f>$W360*AO360+$L360*Summary_LCIA!AF$32</f>
        <v>2.5917166024009383E-2</v>
      </c>
      <c r="BK360" s="137">
        <f>$W360*AP360+$L360*Summary_LCIA!AG$32</f>
        <v>8.5483976840093866E-3</v>
      </c>
      <c r="BL360" s="137">
        <f>$W360*AQ360+$L360*Summary_LCIA!AH$32</f>
        <v>1.1546789619124089</v>
      </c>
      <c r="BM360" s="137">
        <f>$W360*AR360+$L360*Summary_LCIA!AI$32</f>
        <v>0.46689462358752548</v>
      </c>
    </row>
    <row r="361" spans="1:65" x14ac:dyDescent="0.25">
      <c r="A361" s="149">
        <v>3</v>
      </c>
      <c r="B361" s="149">
        <v>16</v>
      </c>
      <c r="C361" s="61">
        <v>35.597613000000003</v>
      </c>
      <c r="D361" s="61">
        <v>139.65054000000001</v>
      </c>
      <c r="E361" s="61" t="s">
        <v>272</v>
      </c>
      <c r="F361" s="149">
        <v>5</v>
      </c>
      <c r="G361" s="61" t="s">
        <v>620</v>
      </c>
      <c r="H361" s="61" t="s">
        <v>621</v>
      </c>
      <c r="I361" s="61">
        <v>35.549393000000002</v>
      </c>
      <c r="J361" s="61">
        <v>139.77983900000001</v>
      </c>
      <c r="K361" s="61">
        <v>14.24610406</v>
      </c>
      <c r="L361" s="61">
        <v>17.181999999999999</v>
      </c>
      <c r="M361" s="61" t="s">
        <v>617</v>
      </c>
      <c r="N361" s="149">
        <v>15</v>
      </c>
      <c r="O361" s="149">
        <v>16</v>
      </c>
      <c r="P361" s="61" t="s">
        <v>565</v>
      </c>
      <c r="Q361" s="61" t="s">
        <v>556</v>
      </c>
      <c r="R361" s="61">
        <v>39.856096299999997</v>
      </c>
      <c r="S361" s="61">
        <v>-104.6737376</v>
      </c>
      <c r="T361" s="61"/>
      <c r="U361" s="61" t="s">
        <v>622</v>
      </c>
      <c r="V361" s="61" t="s">
        <v>569</v>
      </c>
      <c r="W361" s="61" cm="1">
        <f t="array" ref="W361">getDistance(I361,J361,R361,S361)*SA!$B$12</f>
        <v>9373.3665010912191</v>
      </c>
      <c r="Y361" s="137">
        <f>Transportation_LCIA!C$61*($W361^Transportation_LCIA!C$60)+Transportation_LCIA!C$62</f>
        <v>0.13079651724431671</v>
      </c>
      <c r="Z361" s="137">
        <f>Transportation_LCIA!D$61*($W361^Transportation_LCIA!D$60)+Transportation_LCIA!D$62</f>
        <v>1.2398332746481382</v>
      </c>
      <c r="AA361" s="137">
        <f>Transportation_LCIA!E$61*($W361^Transportation_LCIA!E$60)+Transportation_LCIA!E$62</f>
        <v>3.7201751590145387E-4</v>
      </c>
      <c r="AB361" s="137">
        <f>Transportation_LCIA!F$61*($W361^Transportation_LCIA!F$60)+Transportation_LCIA!F$62</f>
        <v>0.13079651724431671</v>
      </c>
      <c r="AC361" s="137">
        <f>Transportation_LCIA!G$61*($W361^Transportation_LCIA!G$60)+Transportation_LCIA!G$62</f>
        <v>2.9202863680444991E-2</v>
      </c>
      <c r="AD361" s="137">
        <f>Transportation_LCIA!H$61*($W361^Transportation_LCIA!H$60)+Transportation_LCIA!H$62</f>
        <v>1.1008587153692294E-4</v>
      </c>
      <c r="AE361" s="137">
        <f>Transportation_LCIA!I$61*($W361^Transportation_LCIA!I$60)+Transportation_LCIA!I$62</f>
        <v>1.84462615433682E-6</v>
      </c>
      <c r="AF361" s="137">
        <f>Transportation_LCIA!J$61*($W361^Transportation_LCIA!J$60)+Transportation_LCIA!J$62</f>
        <v>2.8060794288850398E-3</v>
      </c>
      <c r="AG361" s="137">
        <f>Transportation_LCIA!K$61*($W361^Transportation_LCIA!K$60)+Transportation_LCIA!K$62</f>
        <v>5.7487691754833292E-3</v>
      </c>
      <c r="AH361" s="137">
        <f>Transportation_LCIA!L$61*($W361^Transportation_LCIA!L$60)+Transportation_LCIA!L$62</f>
        <v>8.7900142682770339E-5</v>
      </c>
      <c r="AI361" s="137">
        <f>Transportation_LCIA!M$61*($W361^Transportation_LCIA!M$60)+Transportation_LCIA!M$62</f>
        <v>1.5169413479276589E-4</v>
      </c>
      <c r="AJ361" s="137">
        <f>Transportation_LCIA!N$61*($W361^Transportation_LCIA!N$60)+Transportation_LCIA!N$62</f>
        <v>4.2802410789514084E-4</v>
      </c>
      <c r="AK361" s="137">
        <f>Transportation_LCIA!O$61*($W361^Transportation_LCIA!O$60)+Transportation_LCIA!O$62</f>
        <v>3.0722790330640574E-5</v>
      </c>
      <c r="AL361" s="137">
        <f>Transportation_LCIA!P$61*($W361^Transportation_LCIA!P$60)+Transportation_LCIA!P$62</f>
        <v>1.4904934085870935E-8</v>
      </c>
      <c r="AM361" s="137">
        <f>Transportation_LCIA!Q$61*($W361^Transportation_LCIA!Q$60)+Transportation_LCIA!Q$62</f>
        <v>3.5796822758053955E-5</v>
      </c>
      <c r="AN361" s="137">
        <f>Transportation_LCIA!R$61*($W361^Transportation_LCIA!R$60)+Transportation_LCIA!R$62</f>
        <v>8.9435580477949006E-5</v>
      </c>
      <c r="AO361" s="137">
        <f>Transportation_LCIA!S$61*($W361^Transportation_LCIA!S$60)+Transportation_LCIA!S$62</f>
        <v>1.5231168985088823E-6</v>
      </c>
      <c r="AP361" s="137">
        <f>Transportation_LCIA!T$61*($W361^Transportation_LCIA!T$60)+Transportation_LCIA!T$62</f>
        <v>1.5231168985088823E-6</v>
      </c>
      <c r="AQ361" s="137">
        <f>Transportation_LCIA!U$61*($W361^Transportation_LCIA!U$60)+Transportation_LCIA!U$62</f>
        <v>1.8517910734451514E-4</v>
      </c>
      <c r="AR361" s="137">
        <f>Transportation_LCIA!V$61*($W361^Transportation_LCIA!V$60)+Transportation_LCIA!V$62</f>
        <v>9.3934033061670249E-5</v>
      </c>
      <c r="AT361" s="137">
        <f>$W361*Y361+$L361*Summary_LCIA!H$32</f>
        <v>1231.842136797278</v>
      </c>
      <c r="AU361" s="137">
        <f>$W361*Z361+$L361*Summary_LCIA!Q$32</f>
        <v>11706.566542064895</v>
      </c>
      <c r="AV361" s="137">
        <f>$W361*AA361+$L361*Summary_LCIA!R$32</f>
        <v>3.5775300605698575</v>
      </c>
      <c r="AW361" s="137">
        <f>$W361*AB361+$L361*Summary_LCIA!S$32</f>
        <v>1231.7661923572782</v>
      </c>
      <c r="AX361" s="137">
        <f>$W361*AC361+$L361*Summary_LCIA!T$32</f>
        <v>275.61744595821654</v>
      </c>
      <c r="AY361" s="137">
        <f>$W361*AD361+$L361*Summary_LCIA!U$32</f>
        <v>1.3396735685076246</v>
      </c>
      <c r="AZ361" s="137">
        <f>$W361*AE361+$L361*Summary_LCIA!V$32</f>
        <v>1.8110986504097471E-2</v>
      </c>
      <c r="BA361" s="137">
        <f>$W361*AF361+$L361*Summary_LCIA!W$32</f>
        <v>27.624926640112211</v>
      </c>
      <c r="BB361" s="137">
        <f>$W361*AG361+$L361*Summary_LCIA!X$32</f>
        <v>54.276726371981226</v>
      </c>
      <c r="BC361" s="137">
        <f>$W361*AH361+$L361*Summary_LCIA!Y$32</f>
        <v>1.091650176863818</v>
      </c>
      <c r="BD361" s="137">
        <f>$W361*AI361+$L361*Summary_LCIA!Z$32</f>
        <v>1.4225893381165278</v>
      </c>
      <c r="BE361" s="137">
        <f>$W361*AJ361+$L361*Summary_LCIA!AA$32</f>
        <v>4.4133296266037672</v>
      </c>
      <c r="BF361" s="137">
        <f>$W361*AK361+$L361*Summary_LCIA!AB$32</f>
        <v>0.28760101091927553</v>
      </c>
      <c r="BG361" s="137">
        <f>$W361*AL361+$L361*Summary_LCIA!AC$32</f>
        <v>1.4054933474947528E-4</v>
      </c>
      <c r="BH361" s="137">
        <f>$W361*AM361+$L361*Summary_LCIA!AD$32</f>
        <v>0.34259922856584268</v>
      </c>
      <c r="BI361" s="137">
        <f>$W361*AN361+$L361*Summary_LCIA!AE$32</f>
        <v>0.853537959717655</v>
      </c>
      <c r="BJ361" s="137">
        <f>$W361*AO361+$L361*Summary_LCIA!AF$32</f>
        <v>2.8802739353729109E-2</v>
      </c>
      <c r="BK361" s="137">
        <f>$W361*AP361+$L361*Summary_LCIA!AG$32</f>
        <v>1.5155849943729111E-2</v>
      </c>
      <c r="BL361" s="137">
        <f>$W361*AQ361+$L361*Summary_LCIA!AH$32</f>
        <v>1.8852968966850532</v>
      </c>
      <c r="BM361" s="137">
        <f>$W361*AR361+$L361*Summary_LCIA!AI$32</f>
        <v>0.89648401091265495</v>
      </c>
    </row>
    <row r="362" spans="1:65" x14ac:dyDescent="0.25">
      <c r="A362" s="149">
        <v>13</v>
      </c>
      <c r="B362" s="149">
        <v>15</v>
      </c>
      <c r="C362" s="61">
        <v>51.378222999999998</v>
      </c>
      <c r="D362" s="61">
        <v>-2.3263989999999999</v>
      </c>
      <c r="E362" s="61" t="s">
        <v>463</v>
      </c>
      <c r="F362" s="149">
        <v>7</v>
      </c>
      <c r="G362" s="61" t="s">
        <v>628</v>
      </c>
      <c r="H362" s="61" t="s">
        <v>629</v>
      </c>
      <c r="I362" s="61">
        <v>51.470022</v>
      </c>
      <c r="J362" s="61">
        <v>-0.45429599999999998</v>
      </c>
      <c r="K362" s="61">
        <v>149.81618209999999</v>
      </c>
      <c r="L362" s="61">
        <v>198.58</v>
      </c>
      <c r="M362" s="61" t="s">
        <v>589</v>
      </c>
      <c r="N362" s="149">
        <v>14</v>
      </c>
      <c r="O362" s="149">
        <v>15</v>
      </c>
      <c r="P362" s="61" t="s">
        <v>567</v>
      </c>
      <c r="Q362" s="61" t="s">
        <v>566</v>
      </c>
      <c r="R362" s="61">
        <v>50.037932599999998</v>
      </c>
      <c r="S362" s="61">
        <v>8.5621518000000005</v>
      </c>
      <c r="T362" s="61"/>
      <c r="U362" s="61" t="s">
        <v>622</v>
      </c>
      <c r="V362" s="61" t="s">
        <v>569</v>
      </c>
      <c r="W362" s="61" cm="1">
        <f t="array" ref="W362">getDistance(I362,J362,R362,S362)*SA!$B$12</f>
        <v>655.49865109245718</v>
      </c>
      <c r="Y362" s="137">
        <f>Transportation_LCIA!C$61*($W362^Transportation_LCIA!C$60)+Transportation_LCIA!C$62</f>
        <v>0.28808630932385726</v>
      </c>
      <c r="Z362" s="137">
        <f>Transportation_LCIA!D$61*($W362^Transportation_LCIA!D$60)+Transportation_LCIA!D$62</f>
        <v>3.0403453180333315</v>
      </c>
      <c r="AA362" s="137">
        <f>Transportation_LCIA!E$61*($W362^Transportation_LCIA!E$60)+Transportation_LCIA!E$62</f>
        <v>1.5496127326841335E-3</v>
      </c>
      <c r="AB362" s="137">
        <f>Transportation_LCIA!F$61*($W362^Transportation_LCIA!F$60)+Transportation_LCIA!F$62</f>
        <v>0.28808630932385726</v>
      </c>
      <c r="AC362" s="137">
        <f>Transportation_LCIA!G$61*($W362^Transportation_LCIA!G$60)+Transportation_LCIA!G$62</f>
        <v>7.0904955875308692E-2</v>
      </c>
      <c r="AD362" s="137">
        <f>Transportation_LCIA!H$61*($W362^Transportation_LCIA!H$60)+Transportation_LCIA!H$62</f>
        <v>3.6638661442350167E-4</v>
      </c>
      <c r="AE362" s="137">
        <f>Transportation_LCIA!I$61*($W362^Transportation_LCIA!I$60)+Transportation_LCIA!I$62</f>
        <v>8.1949302872625628E-6</v>
      </c>
      <c r="AF362" s="137">
        <f>Transportation_LCIA!J$61*($W362^Transportation_LCIA!J$60)+Transportation_LCIA!J$62</f>
        <v>1.216906133974993E-2</v>
      </c>
      <c r="AG362" s="137">
        <f>Transportation_LCIA!K$61*($W362^Transportation_LCIA!K$60)+Transportation_LCIA!K$62</f>
        <v>1.5391950999787709E-2</v>
      </c>
      <c r="AH362" s="137">
        <f>Transportation_LCIA!L$61*($W362^Transportation_LCIA!L$60)+Transportation_LCIA!L$62</f>
        <v>3.224475626051792E-4</v>
      </c>
      <c r="AI362" s="137">
        <f>Transportation_LCIA!M$61*($W362^Transportation_LCIA!M$60)+Transportation_LCIA!M$62</f>
        <v>2.9306665716547056E-4</v>
      </c>
      <c r="AJ362" s="137">
        <f>Transportation_LCIA!N$61*($W362^Transportation_LCIA!N$60)+Transportation_LCIA!N$62</f>
        <v>1.2908631335785605E-3</v>
      </c>
      <c r="AK362" s="137">
        <f>Transportation_LCIA!O$61*($W362^Transportation_LCIA!O$60)+Transportation_LCIA!O$62</f>
        <v>7.5013630480399058E-5</v>
      </c>
      <c r="AL362" s="137">
        <f>Transportation_LCIA!P$61*($W362^Transportation_LCIA!P$60)+Transportation_LCIA!P$62</f>
        <v>3.622947059126279E-8</v>
      </c>
      <c r="AM362" s="137">
        <f>Transportation_LCIA!Q$61*($W362^Transportation_LCIA!Q$60)+Transportation_LCIA!Q$62</f>
        <v>1.2728062224719001E-4</v>
      </c>
      <c r="AN362" s="137">
        <f>Transportation_LCIA!R$61*($W362^Transportation_LCIA!R$60)+Transportation_LCIA!R$62</f>
        <v>3.9383707879712856E-4</v>
      </c>
      <c r="AO362" s="137">
        <f>Transportation_LCIA!S$61*($W362^Transportation_LCIA!S$60)+Transportation_LCIA!S$62</f>
        <v>5.8462294863061377E-6</v>
      </c>
      <c r="AP362" s="137">
        <f>Transportation_LCIA!T$61*($W362^Transportation_LCIA!T$60)+Transportation_LCIA!T$62</f>
        <v>5.8462294863061377E-6</v>
      </c>
      <c r="AQ362" s="137">
        <f>Transportation_LCIA!U$61*($W362^Transportation_LCIA!U$60)+Transportation_LCIA!U$62</f>
        <v>8.5078004970210494E-4</v>
      </c>
      <c r="AR362" s="137">
        <f>Transportation_LCIA!V$61*($W362^Transportation_LCIA!V$60)+Transportation_LCIA!V$62</f>
        <v>3.311828503124549E-4</v>
      </c>
      <c r="AT362" s="137">
        <f>$W362*Y362+$L362*Summary_LCIA!H$34</f>
        <v>203.62685111999281</v>
      </c>
      <c r="AU362" s="137">
        <f ca="1">$W362*Z362+$L362*Summary_LCIA!Q$34</f>
        <v>2238.2062741195168</v>
      </c>
      <c r="AV362" s="137">
        <f ca="1">$W362*AA362+$L362*Summary_LCIA!R$34</f>
        <v>1.5234586839901461</v>
      </c>
      <c r="AW362" s="137">
        <f ca="1">$W362*AB362+$L362*Summary_LCIA!S$34</f>
        <v>203.4235051999928</v>
      </c>
      <c r="AX362" s="137">
        <f ca="1">$W362*AC362+$L362*Summary_LCIA!T$34</f>
        <v>50.597247872035041</v>
      </c>
      <c r="AY362" s="137">
        <f ca="1">$W362*AD362+$L362*Summary_LCIA!U$34</f>
        <v>0.60547369953293761</v>
      </c>
      <c r="AZ362" s="137">
        <f ca="1">$W362*AE362+$L362*Summary_LCIA!V$34</f>
        <v>2.1475213689097335E-2</v>
      </c>
      <c r="BA362" s="137">
        <f ca="1">$W362*AF362+$L362*Summary_LCIA!W$34</f>
        <v>18.01482371326745</v>
      </c>
      <c r="BB362" s="137">
        <f ca="1">$W362*AG362+$L362*Summary_LCIA!X$34</f>
        <v>12.19911703804204</v>
      </c>
      <c r="BC362" s="137">
        <f ca="1">$W362*AH362+$L362*Summary_LCIA!Y$34</f>
        <v>0.55165063033574557</v>
      </c>
      <c r="BD362" s="137">
        <f ca="1">$W362*AI362+$L362*Summary_LCIA!Z$34</f>
        <v>0.19776532135214156</v>
      </c>
      <c r="BE362" s="137">
        <f ca="1">$W362*AJ362+$L362*Summary_LCIA!AA$34</f>
        <v>1.2557501508057287</v>
      </c>
      <c r="BF362" s="137">
        <f ca="1">$W362*AK362+$L362*Summary_LCIA!AB$34</f>
        <v>4.7793406831449614E-2</v>
      </c>
      <c r="BG362" s="137">
        <f ca="1">$W362*AL362+$L362*Summary_LCIA!AC$34</f>
        <v>2.4479560520366606E-5</v>
      </c>
      <c r="BH362" s="137">
        <f ca="1">$W362*AM362+$L362*Summary_LCIA!AD$34</f>
        <v>0.10551040059324165</v>
      </c>
      <c r="BI362" s="137">
        <f ca="1">$W362*AN362+$L362*Summary_LCIA!AE$34</f>
        <v>0.31772175910171152</v>
      </c>
      <c r="BJ362" s="137">
        <f ca="1">$W362*AO362+$L362*Summary_LCIA!AF$34</f>
        <v>5.1066434342250625E-2</v>
      </c>
      <c r="BK362" s="137">
        <f ca="1">$W362*AP362+$L362*Summary_LCIA!AG$34</f>
        <v>4.3759274402506224E-3</v>
      </c>
      <c r="BL362" s="137">
        <f ca="1">$W362*AQ362+$L362*Summary_LCIA!AH$34</f>
        <v>1.0101099889561036</v>
      </c>
      <c r="BM362" s="137">
        <f ca="1">$W362*AR362+$L362*Summary_LCIA!AI$34</f>
        <v>0.27284124664476933</v>
      </c>
    </row>
    <row r="363" spans="1:65" x14ac:dyDescent="0.25">
      <c r="A363" s="149">
        <v>143</v>
      </c>
      <c r="B363" s="149">
        <v>43</v>
      </c>
      <c r="C363" s="61">
        <v>-23.586715000000002</v>
      </c>
      <c r="D363" s="61">
        <v>-46.681919999999998</v>
      </c>
      <c r="E363" s="61" t="s">
        <v>465</v>
      </c>
      <c r="F363" s="149">
        <v>52</v>
      </c>
      <c r="G363" s="61" t="s">
        <v>682</v>
      </c>
      <c r="H363" s="61" t="s">
        <v>683</v>
      </c>
      <c r="I363" s="61">
        <v>-23.430572999999999</v>
      </c>
      <c r="J363" s="61">
        <v>-46.473042999999997</v>
      </c>
      <c r="K363" s="61">
        <v>27.890101319999999</v>
      </c>
      <c r="L363" s="61">
        <v>35.286999999999999</v>
      </c>
      <c r="M363" s="61" t="s">
        <v>617</v>
      </c>
      <c r="N363" s="149">
        <v>42</v>
      </c>
      <c r="O363" s="149">
        <v>43</v>
      </c>
      <c r="P363" s="61" t="s">
        <v>565</v>
      </c>
      <c r="Q363" s="61" t="s">
        <v>555</v>
      </c>
      <c r="R363" s="61">
        <v>40.6895314</v>
      </c>
      <c r="S363" s="61">
        <v>-74.174462399999996</v>
      </c>
      <c r="T363" s="61"/>
      <c r="U363" s="61" t="s">
        <v>622</v>
      </c>
      <c r="V363" s="61" t="s">
        <v>569</v>
      </c>
      <c r="W363" s="61" cm="1">
        <f t="array" ref="W363">getDistance(I363,J363,R363,S363)*SA!$B$12</f>
        <v>7675.4977192762117</v>
      </c>
      <c r="Y363" s="137">
        <f>Transportation_LCIA!C$61*($W363^Transportation_LCIA!C$60)+Transportation_LCIA!C$62</f>
        <v>0.13424943238738063</v>
      </c>
      <c r="Z363" s="137">
        <f>Transportation_LCIA!D$61*($W363^Transportation_LCIA!D$60)+Transportation_LCIA!D$62</f>
        <v>1.2765543631290379</v>
      </c>
      <c r="AA363" s="137">
        <f>Transportation_LCIA!E$61*($W363^Transportation_LCIA!E$60)+Transportation_LCIA!E$62</f>
        <v>3.9553900962361856E-4</v>
      </c>
      <c r="AB363" s="137">
        <f>Transportation_LCIA!F$61*($W363^Transportation_LCIA!F$60)+Transportation_LCIA!F$62</f>
        <v>0.13424943238738063</v>
      </c>
      <c r="AC363" s="137">
        <f>Transportation_LCIA!G$61*($W363^Transportation_LCIA!G$60)+Transportation_LCIA!G$62</f>
        <v>3.0057048635015446E-2</v>
      </c>
      <c r="AD363" s="137">
        <f>Transportation_LCIA!H$61*($W363^Transportation_LCIA!H$60)+Transportation_LCIA!H$62</f>
        <v>1.149978281190226E-4</v>
      </c>
      <c r="AE363" s="137">
        <f>Transportation_LCIA!I$61*($W363^Transportation_LCIA!I$60)+Transportation_LCIA!I$62</f>
        <v>1.9584230783402369E-6</v>
      </c>
      <c r="AF363" s="137">
        <f>Transportation_LCIA!J$61*($W363^Transportation_LCIA!J$60)+Transportation_LCIA!J$62</f>
        <v>2.9666033230189414E-3</v>
      </c>
      <c r="AG363" s="137">
        <f>Transportation_LCIA!K$61*($W363^Transportation_LCIA!K$60)+Transportation_LCIA!K$62</f>
        <v>5.939023856835134E-3</v>
      </c>
      <c r="AH363" s="137">
        <f>Transportation_LCIA!L$61*($W363^Transportation_LCIA!L$60)+Transportation_LCIA!L$62</f>
        <v>9.231034679941437E-5</v>
      </c>
      <c r="AI363" s="137">
        <f>Transportation_LCIA!M$61*($W363^Transportation_LCIA!M$60)+Transportation_LCIA!M$62</f>
        <v>1.5439739462800624E-4</v>
      </c>
      <c r="AJ363" s="137">
        <f>Transportation_LCIA!N$61*($W363^Transportation_LCIA!N$60)+Transportation_LCIA!N$62</f>
        <v>4.4464828300701579E-4</v>
      </c>
      <c r="AK363" s="137">
        <f>Transportation_LCIA!O$61*($W363^Transportation_LCIA!O$60)+Transportation_LCIA!O$62</f>
        <v>3.1628157862202805E-5</v>
      </c>
      <c r="AL363" s="137">
        <f>Transportation_LCIA!P$61*($W363^Transportation_LCIA!P$60)+Transportation_LCIA!P$62</f>
        <v>1.5343242797536933E-8</v>
      </c>
      <c r="AM363" s="137">
        <f>Transportation_LCIA!Q$61*($W363^Transportation_LCIA!Q$60)+Transportation_LCIA!Q$62</f>
        <v>3.7499396651848744E-5</v>
      </c>
      <c r="AN363" s="137">
        <f>Transportation_LCIA!R$61*($W363^Transportation_LCIA!R$60)+Transportation_LCIA!R$62</f>
        <v>9.4881540131120523E-5</v>
      </c>
      <c r="AO363" s="137">
        <f>Transportation_LCIA!S$61*($W363^Transportation_LCIA!S$60)+Transportation_LCIA!S$62</f>
        <v>1.6006945379788757E-6</v>
      </c>
      <c r="AP363" s="137">
        <f>Transportation_LCIA!T$61*($W363^Transportation_LCIA!T$60)+Transportation_LCIA!T$62</f>
        <v>1.6006945379788757E-6</v>
      </c>
      <c r="AQ363" s="137">
        <f>Transportation_LCIA!U$61*($W363^Transportation_LCIA!U$60)+Transportation_LCIA!U$62</f>
        <v>1.9693553473578207E-4</v>
      </c>
      <c r="AR363" s="137">
        <f>Transportation_LCIA!V$61*($W363^Transportation_LCIA!V$60)+Transportation_LCIA!V$62</f>
        <v>9.8291109398391277E-5</v>
      </c>
      <c r="AT363" s="137">
        <f>$W363*Y363+$L363*Summary_LCIA!H$32</f>
        <v>1042.421734703466</v>
      </c>
      <c r="AU363" s="137">
        <f>$W363*Z363+$L363*Summary_LCIA!Q$32</f>
        <v>9973.0742543582983</v>
      </c>
      <c r="AV363" s="137">
        <f>$W363*AA363+$L363*Summary_LCIA!R$32</f>
        <v>3.2217659934508553</v>
      </c>
      <c r="AW363" s="137">
        <f>$W363*AB363+$L363*Summary_LCIA!S$32</f>
        <v>1042.265766163466</v>
      </c>
      <c r="AX363" s="137">
        <f>$W363*AC363+$L363*Summary_LCIA!T$32</f>
        <v>234.58084954623524</v>
      </c>
      <c r="AY363" s="137">
        <f>$W363*AD363+$L363*Summary_LCIA!U$32</f>
        <v>1.5147968854492757</v>
      </c>
      <c r="AZ363" s="137">
        <f>$W363*AE363+$L363*Summary_LCIA!V$32</f>
        <v>1.6717214278178384E-2</v>
      </c>
      <c r="BA363" s="137">
        <f>$W363*AF363+$L363*Summary_LCIA!W$32</f>
        <v>25.486232716829115</v>
      </c>
      <c r="BB363" s="137">
        <f>$W363*AG363+$L363*Summary_LCIA!X$32</f>
        <v>46.388801927865082</v>
      </c>
      <c r="BC363" s="137">
        <f>$W363*AH363+$L363*Summary_LCIA!Y$32</f>
        <v>1.2583698903245011</v>
      </c>
      <c r="BD363" s="137">
        <f>$W363*AI363+$L363*Summary_LCIA!Z$32</f>
        <v>1.186523934912451</v>
      </c>
      <c r="BE363" s="137">
        <f>$W363*AJ363+$L363*Summary_LCIA!AA$32</f>
        <v>4.2370600541004331</v>
      </c>
      <c r="BF363" s="137">
        <f>$W363*AK363+$L363*Summary_LCIA!AB$32</f>
        <v>0.2419917853352456</v>
      </c>
      <c r="BG363" s="137">
        <f>$W363*AL363+$L363*Summary_LCIA!AC$32</f>
        <v>1.1949199480679588E-4</v>
      </c>
      <c r="BH363" s="137">
        <f>$W363*AM363+$L363*Summary_LCIA!AD$32</f>
        <v>0.302330901955499</v>
      </c>
      <c r="BI363" s="137">
        <f>$W363*AN363+$L363*Summary_LCIA!AE$32</f>
        <v>0.75953191418782984</v>
      </c>
      <c r="BJ363" s="137">
        <f>$W363*AO363+$L363*Summary_LCIA!AF$32</f>
        <v>4.2118462815514748E-2</v>
      </c>
      <c r="BK363" s="137">
        <f>$W363*AP363+$L363*Summary_LCIA!AG$32</f>
        <v>1.4091586630514749E-2</v>
      </c>
      <c r="BL363" s="137">
        <f>$W363*AQ363+$L363*Summary_LCIA!AH$32</f>
        <v>1.8187021809089365</v>
      </c>
      <c r="BM363" s="137">
        <f>$W363*AR363+$L363*Summary_LCIA!AI$32</f>
        <v>0.78730479086248084</v>
      </c>
    </row>
    <row r="364" spans="1:65" x14ac:dyDescent="0.25">
      <c r="A364" s="149">
        <v>152</v>
      </c>
      <c r="B364" s="149">
        <v>15</v>
      </c>
      <c r="C364" s="61">
        <v>41.385064</v>
      </c>
      <c r="D364" s="61">
        <v>2.1734040000000001</v>
      </c>
      <c r="E364" s="61" t="s">
        <v>466</v>
      </c>
      <c r="F364" s="149">
        <v>27</v>
      </c>
      <c r="G364" s="61" t="s">
        <v>686</v>
      </c>
      <c r="H364" s="61" t="s">
        <v>687</v>
      </c>
      <c r="I364" s="61">
        <v>41.297445000000003</v>
      </c>
      <c r="J364" s="61">
        <v>2.083294</v>
      </c>
      <c r="K364" s="61">
        <v>12.686920199999999</v>
      </c>
      <c r="L364" s="61">
        <v>16.001000000000001</v>
      </c>
      <c r="M364" s="61" t="s">
        <v>617</v>
      </c>
      <c r="N364" s="149">
        <v>14</v>
      </c>
      <c r="O364" s="149">
        <v>15</v>
      </c>
      <c r="P364" s="61" t="s">
        <v>567</v>
      </c>
      <c r="Q364" s="61" t="s">
        <v>566</v>
      </c>
      <c r="R364" s="61">
        <v>50.037932599999998</v>
      </c>
      <c r="S364" s="61">
        <v>8.5621518000000005</v>
      </c>
      <c r="T364" s="61"/>
      <c r="U364" s="61" t="s">
        <v>622</v>
      </c>
      <c r="V364" s="61" t="s">
        <v>569</v>
      </c>
      <c r="W364" s="61" cm="1">
        <f t="array" ref="W364">getDistance(I364,J364,R364,S364)*SA!$B$12</f>
        <v>1095.2369023856284</v>
      </c>
      <c r="Y364" s="137">
        <f>Transportation_LCIA!C$61*($W364^Transportation_LCIA!C$60)+Transportation_LCIA!C$62</f>
        <v>0.2264351866011447</v>
      </c>
      <c r="Z364" s="137">
        <f>Transportation_LCIA!D$61*($W364^Transportation_LCIA!D$60)+Transportation_LCIA!D$62</f>
        <v>2.3152304492897451</v>
      </c>
      <c r="AA364" s="137">
        <f>Transportation_LCIA!E$61*($W364^Transportation_LCIA!E$60)+Transportation_LCIA!E$62</f>
        <v>1.0718083398219423E-3</v>
      </c>
      <c r="AB364" s="137">
        <f>Transportation_LCIA!F$61*($W364^Transportation_LCIA!F$60)+Transportation_LCIA!F$62</f>
        <v>0.2264351866011447</v>
      </c>
      <c r="AC364" s="137">
        <f>Transportation_LCIA!G$61*($W364^Transportation_LCIA!G$60)+Transportation_LCIA!G$62</f>
        <v>5.4136539992836324E-2</v>
      </c>
      <c r="AD364" s="137">
        <f>Transportation_LCIA!H$61*($W364^Transportation_LCIA!H$60)+Transportation_LCIA!H$62</f>
        <v>2.608680383712866E-4</v>
      </c>
      <c r="AE364" s="137">
        <f>Transportation_LCIA!I$61*($W364^Transportation_LCIA!I$60)+Transportation_LCIA!I$62</f>
        <v>5.5198604378627698E-6</v>
      </c>
      <c r="AF364" s="137">
        <f>Transportation_LCIA!J$61*($W364^Transportation_LCIA!J$60)+Transportation_LCIA!J$62</f>
        <v>8.1667110368101141E-3</v>
      </c>
      <c r="AG364" s="137">
        <f>Transportation_LCIA!K$61*($W364^Transportation_LCIA!K$60)+Transportation_LCIA!K$62</f>
        <v>1.1462109730720352E-2</v>
      </c>
      <c r="AH364" s="137">
        <f>Transportation_LCIA!L$61*($W364^Transportation_LCIA!L$60)+Transportation_LCIA!L$62</f>
        <v>2.2524572299985693E-4</v>
      </c>
      <c r="AI364" s="137">
        <f>Transportation_LCIA!M$61*($W364^Transportation_LCIA!M$60)+Transportation_LCIA!M$62</f>
        <v>2.3481805286866631E-4</v>
      </c>
      <c r="AJ364" s="137">
        <f>Transportation_LCIA!N$61*($W364^Transportation_LCIA!N$60)+Transportation_LCIA!N$62</f>
        <v>9.3629043550798872E-4</v>
      </c>
      <c r="AK364" s="137">
        <f>Transportation_LCIA!O$61*($W364^Transportation_LCIA!O$60)+Transportation_LCIA!O$62</f>
        <v>5.7191195084553182E-5</v>
      </c>
      <c r="AL364" s="137">
        <f>Transportation_LCIA!P$61*($W364^Transportation_LCIA!P$60)+Transportation_LCIA!P$62</f>
        <v>2.7665624299729673E-8</v>
      </c>
      <c r="AM364" s="137">
        <f>Transportation_LCIA!Q$61*($W364^Transportation_LCIA!Q$60)+Transportation_LCIA!Q$62</f>
        <v>8.9233551687982669E-5</v>
      </c>
      <c r="AN364" s="137">
        <f>Transportation_LCIA!R$61*($W364^Transportation_LCIA!R$60)+Transportation_LCIA!R$62</f>
        <v>2.6553765925496408E-4</v>
      </c>
      <c r="AO364" s="137">
        <f>Transportation_LCIA!S$61*($W364^Transportation_LCIA!S$60)+Transportation_LCIA!S$62</f>
        <v>4.0259644405735335E-6</v>
      </c>
      <c r="AP364" s="137">
        <f>Transportation_LCIA!T$61*($W364^Transportation_LCIA!T$60)+Transportation_LCIA!T$62</f>
        <v>4.0259644405735335E-6</v>
      </c>
      <c r="AQ364" s="137">
        <f>Transportation_LCIA!U$61*($W364^Transportation_LCIA!U$60)+Transportation_LCIA!U$62</f>
        <v>5.6903968184353771E-4</v>
      </c>
      <c r="AR364" s="137">
        <f>Transportation_LCIA!V$61*($W364^Transportation_LCIA!V$60)+Transportation_LCIA!V$62</f>
        <v>2.320656434126541E-4</v>
      </c>
      <c r="AT364" s="137">
        <f>$W364*Y364+$L364*Summary_LCIA!H$32</f>
        <v>253.43731216414946</v>
      </c>
      <c r="AU364" s="137">
        <f>$W364*Z364+$L364*Summary_LCIA!Q$32</f>
        <v>2615.02758856742</v>
      </c>
      <c r="AV364" s="137">
        <f>$W364*AA364+$L364*Summary_LCIA!R$32</f>
        <v>1.2581389116576669</v>
      </c>
      <c r="AW364" s="137">
        <f>$W364*AB364+$L364*Summary_LCIA!S$32</f>
        <v>253.36658774414946</v>
      </c>
      <c r="AX364" s="137">
        <f>$W364*AC364+$L364*Summary_LCIA!T$32</f>
        <v>61.050846267629744</v>
      </c>
      <c r="AY364" s="137">
        <f>$W364*AD364+$L364*Summary_LCIA!U$32</f>
        <v>0.57235421627718319</v>
      </c>
      <c r="AZ364" s="137">
        <f>$W364*AE364+$L364*Summary_LCIA!V$32</f>
        <v>6.8097786085657974E-3</v>
      </c>
      <c r="BA364" s="137">
        <f>$W364*AF364+$L364*Summary_LCIA!W$32</f>
        <v>10.176096269634433</v>
      </c>
      <c r="BB364" s="137">
        <f>$W364*AG364+$L364*Summary_LCIA!X$32</f>
        <v>12.918228336278327</v>
      </c>
      <c r="BC364" s="137">
        <f>$W364*AH364+$L364*Summary_LCIA!Y$32</f>
        <v>0.49602500993397458</v>
      </c>
      <c r="BD364" s="137">
        <f>$W364*AI364+$L364*Summary_LCIA!Z$32</f>
        <v>0.25783758185710282</v>
      </c>
      <c r="BE364" s="137">
        <f>$W364*AJ364+$L364*Summary_LCIA!AA$32</f>
        <v>1.3991791923190606</v>
      </c>
      <c r="BF364" s="137">
        <f>$W364*AK364+$L364*Summary_LCIA!AB$32</f>
        <v>6.2288717525138204E-2</v>
      </c>
      <c r="BG364" s="137">
        <f>$W364*AL364+$L364*Summary_LCIA!AC$32</f>
        <v>3.1082605544600497E-5</v>
      </c>
      <c r="BH364" s="137">
        <f>$W364*AM364+$L364*Summary_LCIA!AD$32</f>
        <v>0.10430892977961401</v>
      </c>
      <c r="BI364" s="137">
        <f>$W364*AN364+$L364*Summary_LCIA!AE$32</f>
        <v>0.30500560951913736</v>
      </c>
      <c r="BJ364" s="137">
        <f>$W364*AO364+$L364*Summary_LCIA!AF$32</f>
        <v>1.7936950243008447E-2</v>
      </c>
      <c r="BK364" s="137">
        <f>$W364*AP364+$L364*Summary_LCIA!AG$32</f>
        <v>5.2280759880084463E-3</v>
      </c>
      <c r="BL364" s="137">
        <f>$W364*AQ364+$L364*Summary_LCIA!AH$32</f>
        <v>0.76249956207681979</v>
      </c>
      <c r="BM364" s="137">
        <f>$W364*AR364+$L364*Summary_LCIA!AI$32</f>
        <v>0.2690725879914031</v>
      </c>
    </row>
    <row r="365" spans="1:65" x14ac:dyDescent="0.25">
      <c r="A365" s="149">
        <v>180</v>
      </c>
      <c r="B365" s="149">
        <v>43</v>
      </c>
      <c r="C365" s="61">
        <v>-23.563486999999999</v>
      </c>
      <c r="D365" s="61">
        <v>-46.72101</v>
      </c>
      <c r="E365" s="61" t="s">
        <v>465</v>
      </c>
      <c r="F365" s="149">
        <v>52</v>
      </c>
      <c r="G365" s="61" t="s">
        <v>682</v>
      </c>
      <c r="H365" s="61" t="s">
        <v>683</v>
      </c>
      <c r="I365" s="61">
        <v>-23.430572999999999</v>
      </c>
      <c r="J365" s="61">
        <v>-46.473042999999997</v>
      </c>
      <c r="K365" s="61">
        <v>29.423486180000001</v>
      </c>
      <c r="L365" s="61">
        <v>47.289000000000001</v>
      </c>
      <c r="M365" s="61" t="s">
        <v>617</v>
      </c>
      <c r="N365" s="149">
        <v>42</v>
      </c>
      <c r="O365" s="149">
        <v>43</v>
      </c>
      <c r="P365" s="61" t="s">
        <v>565</v>
      </c>
      <c r="Q365" s="61" t="s">
        <v>555</v>
      </c>
      <c r="R365" s="61">
        <v>40.6895314</v>
      </c>
      <c r="S365" s="61">
        <v>-74.174462399999996</v>
      </c>
      <c r="T365" s="61"/>
      <c r="U365" s="61" t="s">
        <v>622</v>
      </c>
      <c r="V365" s="61" t="s">
        <v>569</v>
      </c>
      <c r="W365" s="61" cm="1">
        <f t="array" ref="W365">getDistance(I365,J365,R365,S365)*SA!$B$12</f>
        <v>7675.4977192762117</v>
      </c>
      <c r="Y365" s="137">
        <f>Transportation_LCIA!C$61*($W365^Transportation_LCIA!C$60)+Transportation_LCIA!C$62</f>
        <v>0.13424943238738063</v>
      </c>
      <c r="Z365" s="137">
        <f>Transportation_LCIA!D$61*($W365^Transportation_LCIA!D$60)+Transportation_LCIA!D$62</f>
        <v>1.2765543631290379</v>
      </c>
      <c r="AA365" s="137">
        <f>Transportation_LCIA!E$61*($W365^Transportation_LCIA!E$60)+Transportation_LCIA!E$62</f>
        <v>3.9553900962361856E-4</v>
      </c>
      <c r="AB365" s="137">
        <f>Transportation_LCIA!F$61*($W365^Transportation_LCIA!F$60)+Transportation_LCIA!F$62</f>
        <v>0.13424943238738063</v>
      </c>
      <c r="AC365" s="137">
        <f>Transportation_LCIA!G$61*($W365^Transportation_LCIA!G$60)+Transportation_LCIA!G$62</f>
        <v>3.0057048635015446E-2</v>
      </c>
      <c r="AD365" s="137">
        <f>Transportation_LCIA!H$61*($W365^Transportation_LCIA!H$60)+Transportation_LCIA!H$62</f>
        <v>1.149978281190226E-4</v>
      </c>
      <c r="AE365" s="137">
        <f>Transportation_LCIA!I$61*($W365^Transportation_LCIA!I$60)+Transportation_LCIA!I$62</f>
        <v>1.9584230783402369E-6</v>
      </c>
      <c r="AF365" s="137">
        <f>Transportation_LCIA!J$61*($W365^Transportation_LCIA!J$60)+Transportation_LCIA!J$62</f>
        <v>2.9666033230189414E-3</v>
      </c>
      <c r="AG365" s="137">
        <f>Transportation_LCIA!K$61*($W365^Transportation_LCIA!K$60)+Transportation_LCIA!K$62</f>
        <v>5.939023856835134E-3</v>
      </c>
      <c r="AH365" s="137">
        <f>Transportation_LCIA!L$61*($W365^Transportation_LCIA!L$60)+Transportation_LCIA!L$62</f>
        <v>9.231034679941437E-5</v>
      </c>
      <c r="AI365" s="137">
        <f>Transportation_LCIA!M$61*($W365^Transportation_LCIA!M$60)+Transportation_LCIA!M$62</f>
        <v>1.5439739462800624E-4</v>
      </c>
      <c r="AJ365" s="137">
        <f>Transportation_LCIA!N$61*($W365^Transportation_LCIA!N$60)+Transportation_LCIA!N$62</f>
        <v>4.4464828300701579E-4</v>
      </c>
      <c r="AK365" s="137">
        <f>Transportation_LCIA!O$61*($W365^Transportation_LCIA!O$60)+Transportation_LCIA!O$62</f>
        <v>3.1628157862202805E-5</v>
      </c>
      <c r="AL365" s="137">
        <f>Transportation_LCIA!P$61*($W365^Transportation_LCIA!P$60)+Transportation_LCIA!P$62</f>
        <v>1.5343242797536933E-8</v>
      </c>
      <c r="AM365" s="137">
        <f>Transportation_LCIA!Q$61*($W365^Transportation_LCIA!Q$60)+Transportation_LCIA!Q$62</f>
        <v>3.7499396651848744E-5</v>
      </c>
      <c r="AN365" s="137">
        <f>Transportation_LCIA!R$61*($W365^Transportation_LCIA!R$60)+Transportation_LCIA!R$62</f>
        <v>9.4881540131120523E-5</v>
      </c>
      <c r="AO365" s="137">
        <f>Transportation_LCIA!S$61*($W365^Transportation_LCIA!S$60)+Transportation_LCIA!S$62</f>
        <v>1.6006945379788757E-6</v>
      </c>
      <c r="AP365" s="137">
        <f>Transportation_LCIA!T$61*($W365^Transportation_LCIA!T$60)+Transportation_LCIA!T$62</f>
        <v>1.6006945379788757E-6</v>
      </c>
      <c r="AQ365" s="137">
        <f>Transportation_LCIA!U$61*($W365^Transportation_LCIA!U$60)+Transportation_LCIA!U$62</f>
        <v>1.9693553473578207E-4</v>
      </c>
      <c r="AR365" s="137">
        <f>Transportation_LCIA!V$61*($W365^Transportation_LCIA!V$60)+Transportation_LCIA!V$62</f>
        <v>9.8291109398391277E-5</v>
      </c>
      <c r="AT365" s="137">
        <f>$W365*Y365+$L365*Summary_LCIA!H$32</f>
        <v>1046.5000143034658</v>
      </c>
      <c r="AU365" s="137">
        <f>$W365*Z365+$L365*Summary_LCIA!Q$32</f>
        <v>10032.556771655165</v>
      </c>
      <c r="AV365" s="137">
        <f>$W365*AA365+$L365*Summary_LCIA!R$32</f>
        <v>3.2849637246508556</v>
      </c>
      <c r="AW365" s="137">
        <f>$W365*AB365+$L365*Summary_LCIA!S$32</f>
        <v>1046.2909969234659</v>
      </c>
      <c r="AX365" s="137">
        <f>$W365*AC365+$L365*Summary_LCIA!T$32</f>
        <v>235.89986934623525</v>
      </c>
      <c r="AY365" s="137">
        <f>$W365*AD365+$L365*Summary_LCIA!U$32</f>
        <v>1.7298007134492757</v>
      </c>
      <c r="AZ365" s="137">
        <f>$W365*AE365+$L365*Summary_LCIA!V$32</f>
        <v>1.7290441800178386E-2</v>
      </c>
      <c r="BA365" s="137">
        <f>$W365*AF365+$L365*Summary_LCIA!W$32</f>
        <v>26.410038658829116</v>
      </c>
      <c r="BB365" s="137">
        <f>$W365*AG365+$L365*Summary_LCIA!X$32</f>
        <v>46.662207487865082</v>
      </c>
      <c r="BC365" s="137">
        <f>$W365*AH365+$L365*Summary_LCIA!Y$32</f>
        <v>1.4453850543245013</v>
      </c>
      <c r="BD365" s="137">
        <f>$W365*AI365+$L365*Summary_LCIA!Z$32</f>
        <v>1.1870161249304512</v>
      </c>
      <c r="BE365" s="137">
        <f>$W365*AJ365+$L365*Summary_LCIA!AA$32</f>
        <v>4.5173787661004328</v>
      </c>
      <c r="BF365" s="137">
        <f>$W365*AK365+$L365*Summary_LCIA!AB$32</f>
        <v>0.24172986568924559</v>
      </c>
      <c r="BG365" s="137">
        <f>$W365*AL365+$L365*Summary_LCIA!AC$32</f>
        <v>1.2007870057479589E-4</v>
      </c>
      <c r="BH365" s="137">
        <f>$W365*AM365+$L365*Summary_LCIA!AD$32</f>
        <v>0.30726420403549903</v>
      </c>
      <c r="BI365" s="137">
        <f>$W365*AN365+$L365*Summary_LCIA!AE$32</f>
        <v>0.77016724644782986</v>
      </c>
      <c r="BJ365" s="137">
        <f>$W365*AO365+$L365*Summary_LCIA!AF$32</f>
        <v>5.2265193655514755E-2</v>
      </c>
      <c r="BK365" s="137">
        <f>$W365*AP365+$L365*Summary_LCIA!AG$32</f>
        <v>1.4705668960514749E-2</v>
      </c>
      <c r="BL365" s="137">
        <f>$W365*AQ365+$L365*Summary_LCIA!AH$32</f>
        <v>1.9231627881089366</v>
      </c>
      <c r="BM365" s="137">
        <f>$W365*AR365+$L365*Summary_LCIA!AI$32</f>
        <v>0.79848525396248093</v>
      </c>
    </row>
    <row r="366" spans="1:65" x14ac:dyDescent="0.25">
      <c r="A366" s="149">
        <v>184</v>
      </c>
      <c r="B366" s="149">
        <v>15</v>
      </c>
      <c r="C366" s="61">
        <v>41.598080000000003</v>
      </c>
      <c r="D366" s="61">
        <v>2.0106459999999999</v>
      </c>
      <c r="E366" s="61" t="s">
        <v>466</v>
      </c>
      <c r="F366" s="149">
        <v>27</v>
      </c>
      <c r="G366" s="61" t="s">
        <v>686</v>
      </c>
      <c r="H366" s="61" t="s">
        <v>687</v>
      </c>
      <c r="I366" s="61">
        <v>41.297445000000003</v>
      </c>
      <c r="J366" s="61">
        <v>2.083294</v>
      </c>
      <c r="K366" s="61">
        <v>34.112855140000001</v>
      </c>
      <c r="L366" s="61">
        <v>46.094000000000001</v>
      </c>
      <c r="M366" s="61" t="s">
        <v>617</v>
      </c>
      <c r="N366" s="149">
        <v>14</v>
      </c>
      <c r="O366" s="149">
        <v>15</v>
      </c>
      <c r="P366" s="61" t="s">
        <v>567</v>
      </c>
      <c r="Q366" s="61" t="s">
        <v>566</v>
      </c>
      <c r="R366" s="61">
        <v>50.037932599999998</v>
      </c>
      <c r="S366" s="61">
        <v>8.5621518000000005</v>
      </c>
      <c r="T366" s="61"/>
      <c r="U366" s="61" t="s">
        <v>622</v>
      </c>
      <c r="V366" s="61" t="s">
        <v>569</v>
      </c>
      <c r="W366" s="61" cm="1">
        <f t="array" ref="W366">getDistance(I366,J366,R366,S366)*SA!$B$12</f>
        <v>1095.2369023856284</v>
      </c>
      <c r="Y366" s="137">
        <f>Transportation_LCIA!C$61*($W366^Transportation_LCIA!C$60)+Transportation_LCIA!C$62</f>
        <v>0.2264351866011447</v>
      </c>
      <c r="Z366" s="137">
        <f>Transportation_LCIA!D$61*($W366^Transportation_LCIA!D$60)+Transportation_LCIA!D$62</f>
        <v>2.3152304492897451</v>
      </c>
      <c r="AA366" s="137">
        <f>Transportation_LCIA!E$61*($W366^Transportation_LCIA!E$60)+Transportation_LCIA!E$62</f>
        <v>1.0718083398219423E-3</v>
      </c>
      <c r="AB366" s="137">
        <f>Transportation_LCIA!F$61*($W366^Transportation_LCIA!F$60)+Transportation_LCIA!F$62</f>
        <v>0.2264351866011447</v>
      </c>
      <c r="AC366" s="137">
        <f>Transportation_LCIA!G$61*($W366^Transportation_LCIA!G$60)+Transportation_LCIA!G$62</f>
        <v>5.4136539992836324E-2</v>
      </c>
      <c r="AD366" s="137">
        <f>Transportation_LCIA!H$61*($W366^Transportation_LCIA!H$60)+Transportation_LCIA!H$62</f>
        <v>2.608680383712866E-4</v>
      </c>
      <c r="AE366" s="137">
        <f>Transportation_LCIA!I$61*($W366^Transportation_LCIA!I$60)+Transportation_LCIA!I$62</f>
        <v>5.5198604378627698E-6</v>
      </c>
      <c r="AF366" s="137">
        <f>Transportation_LCIA!J$61*($W366^Transportation_LCIA!J$60)+Transportation_LCIA!J$62</f>
        <v>8.1667110368101141E-3</v>
      </c>
      <c r="AG366" s="137">
        <f>Transportation_LCIA!K$61*($W366^Transportation_LCIA!K$60)+Transportation_LCIA!K$62</f>
        <v>1.1462109730720352E-2</v>
      </c>
      <c r="AH366" s="137">
        <f>Transportation_LCIA!L$61*($W366^Transportation_LCIA!L$60)+Transportation_LCIA!L$62</f>
        <v>2.2524572299985693E-4</v>
      </c>
      <c r="AI366" s="137">
        <f>Transportation_LCIA!M$61*($W366^Transportation_LCIA!M$60)+Transportation_LCIA!M$62</f>
        <v>2.3481805286866631E-4</v>
      </c>
      <c r="AJ366" s="137">
        <f>Transportation_LCIA!N$61*($W366^Transportation_LCIA!N$60)+Transportation_LCIA!N$62</f>
        <v>9.3629043550798872E-4</v>
      </c>
      <c r="AK366" s="137">
        <f>Transportation_LCIA!O$61*($W366^Transportation_LCIA!O$60)+Transportation_LCIA!O$62</f>
        <v>5.7191195084553182E-5</v>
      </c>
      <c r="AL366" s="137">
        <f>Transportation_LCIA!P$61*($W366^Transportation_LCIA!P$60)+Transportation_LCIA!P$62</f>
        <v>2.7665624299729673E-8</v>
      </c>
      <c r="AM366" s="137">
        <f>Transportation_LCIA!Q$61*($W366^Transportation_LCIA!Q$60)+Transportation_LCIA!Q$62</f>
        <v>8.9233551687982669E-5</v>
      </c>
      <c r="AN366" s="137">
        <f>Transportation_LCIA!R$61*($W366^Transportation_LCIA!R$60)+Transportation_LCIA!R$62</f>
        <v>2.6553765925496408E-4</v>
      </c>
      <c r="AO366" s="137">
        <f>Transportation_LCIA!S$61*($W366^Transportation_LCIA!S$60)+Transportation_LCIA!S$62</f>
        <v>4.0259644405735335E-6</v>
      </c>
      <c r="AP366" s="137">
        <f>Transportation_LCIA!T$61*($W366^Transportation_LCIA!T$60)+Transportation_LCIA!T$62</f>
        <v>4.0259644405735335E-6</v>
      </c>
      <c r="AQ366" s="137">
        <f>Transportation_LCIA!U$61*($W366^Transportation_LCIA!U$60)+Transportation_LCIA!U$62</f>
        <v>5.6903968184353771E-4</v>
      </c>
      <c r="AR366" s="137">
        <f>Transportation_LCIA!V$61*($W366^Transportation_LCIA!V$60)+Transportation_LCIA!V$62</f>
        <v>2.320656434126541E-4</v>
      </c>
      <c r="AT366" s="137">
        <f>$W366*Y366+$L366*Summary_LCIA!H$32</f>
        <v>263.66291356414945</v>
      </c>
      <c r="AU366" s="137">
        <f>$W366*Z366+$L366*Summary_LCIA!Q$32</f>
        <v>2764.1700142476889</v>
      </c>
      <c r="AV366" s="137">
        <f>$W366*AA366+$L366*Summary_LCIA!R$32</f>
        <v>1.416596612457667</v>
      </c>
      <c r="AW366" s="137">
        <f>$W366*AB366+$L366*Summary_LCIA!S$32</f>
        <v>263.45917808414947</v>
      </c>
      <c r="AX366" s="137">
        <f>$W366*AC366+$L366*Summary_LCIA!T$32</f>
        <v>64.358066967629739</v>
      </c>
      <c r="AY366" s="137">
        <f>$W366*AD366+$L366*Summary_LCIA!U$32</f>
        <v>1.1114402182771832</v>
      </c>
      <c r="AZ366" s="137">
        <f>$W366*AE366+$L366*Summary_LCIA!V$32</f>
        <v>8.2470503815657986E-3</v>
      </c>
      <c r="BA366" s="137">
        <f>$W366*AF366+$L366*Summary_LCIA!W$32</f>
        <v>12.492384572634432</v>
      </c>
      <c r="BB366" s="137">
        <f>$W366*AG366+$L366*Summary_LCIA!X$32</f>
        <v>13.603746876278327</v>
      </c>
      <c r="BC366" s="137">
        <f>$W366*AH366+$L366*Summary_LCIA!Y$32</f>
        <v>0.9649341359339747</v>
      </c>
      <c r="BD366" s="137">
        <f>$W366*AI366+$L366*Summary_LCIA!Z$32</f>
        <v>0.25907166569410284</v>
      </c>
      <c r="BE366" s="137">
        <f>$W366*AJ366+$L366*Summary_LCIA!AA$32</f>
        <v>2.1020313003190605</v>
      </c>
      <c r="BF366" s="137">
        <f>$W366*AK366+$L366*Summary_LCIA!AB$32</f>
        <v>6.1631997986138207E-2</v>
      </c>
      <c r="BG366" s="137">
        <f>$W366*AL366+$L366*Summary_LCIA!AC$32</f>
        <v>3.2553671756600498E-5</v>
      </c>
      <c r="BH366" s="137">
        <f>$W366*AM366+$L366*Summary_LCIA!AD$32</f>
        <v>0.116678356499614</v>
      </c>
      <c r="BI366" s="137">
        <f>$W366*AN366+$L366*Summary_LCIA!AE$32</f>
        <v>0.33167191960913733</v>
      </c>
      <c r="BJ366" s="137">
        <f>$W366*AO366+$L366*Summary_LCIA!AF$32</f>
        <v>4.337817430300845E-2</v>
      </c>
      <c r="BK366" s="137">
        <f>$W366*AP366+$L366*Summary_LCIA!AG$32</f>
        <v>6.7677843330084461E-3</v>
      </c>
      <c r="BL366" s="137">
        <f>$W366*AQ366+$L366*Summary_LCIA!AH$32</f>
        <v>1.0244169968768198</v>
      </c>
      <c r="BM366" s="137">
        <f>$W366*AR366+$L366*Summary_LCIA!AI$32</f>
        <v>0.29710572214140307</v>
      </c>
    </row>
    <row r="367" spans="1:65" x14ac:dyDescent="0.25">
      <c r="A367" s="149">
        <v>191</v>
      </c>
      <c r="B367" s="149">
        <v>15</v>
      </c>
      <c r="C367" s="61">
        <v>51.379922000000001</v>
      </c>
      <c r="D367" s="61">
        <v>-2.3322959999999999</v>
      </c>
      <c r="E367" s="61" t="s">
        <v>463</v>
      </c>
      <c r="F367" s="149">
        <v>7</v>
      </c>
      <c r="G367" s="61" t="s">
        <v>628</v>
      </c>
      <c r="H367" s="61" t="s">
        <v>629</v>
      </c>
      <c r="I367" s="61">
        <v>51.470022</v>
      </c>
      <c r="J367" s="61">
        <v>-0.45429599999999998</v>
      </c>
      <c r="K367" s="61">
        <v>150.26940870000001</v>
      </c>
      <c r="L367" s="61">
        <v>198.47900000000001</v>
      </c>
      <c r="M367" s="61" t="s">
        <v>589</v>
      </c>
      <c r="N367" s="149">
        <v>14</v>
      </c>
      <c r="O367" s="149">
        <v>15</v>
      </c>
      <c r="P367" s="61" t="s">
        <v>567</v>
      </c>
      <c r="Q367" s="61" t="s">
        <v>566</v>
      </c>
      <c r="R367" s="61">
        <v>50.037932599999998</v>
      </c>
      <c r="S367" s="61">
        <v>8.5621518000000005</v>
      </c>
      <c r="T367" s="61"/>
      <c r="U367" s="61" t="s">
        <v>622</v>
      </c>
      <c r="V367" s="61" t="s">
        <v>569</v>
      </c>
      <c r="W367" s="61" cm="1">
        <f t="array" ref="W367">getDistance(I367,J367,R367,S367)*SA!$B$12</f>
        <v>655.49865109245718</v>
      </c>
      <c r="Y367" s="137">
        <f>Transportation_LCIA!C$61*($W367^Transportation_LCIA!C$60)+Transportation_LCIA!C$62</f>
        <v>0.28808630932385726</v>
      </c>
      <c r="Z367" s="137">
        <f>Transportation_LCIA!D$61*($W367^Transportation_LCIA!D$60)+Transportation_LCIA!D$62</f>
        <v>3.0403453180333315</v>
      </c>
      <c r="AA367" s="137">
        <f>Transportation_LCIA!E$61*($W367^Transportation_LCIA!E$60)+Transportation_LCIA!E$62</f>
        <v>1.5496127326841335E-3</v>
      </c>
      <c r="AB367" s="137">
        <f>Transportation_LCIA!F$61*($W367^Transportation_LCIA!F$60)+Transportation_LCIA!F$62</f>
        <v>0.28808630932385726</v>
      </c>
      <c r="AC367" s="137">
        <f>Transportation_LCIA!G$61*($W367^Transportation_LCIA!G$60)+Transportation_LCIA!G$62</f>
        <v>7.0904955875308692E-2</v>
      </c>
      <c r="AD367" s="137">
        <f>Transportation_LCIA!H$61*($W367^Transportation_LCIA!H$60)+Transportation_LCIA!H$62</f>
        <v>3.6638661442350167E-4</v>
      </c>
      <c r="AE367" s="137">
        <f>Transportation_LCIA!I$61*($W367^Transportation_LCIA!I$60)+Transportation_LCIA!I$62</f>
        <v>8.1949302872625628E-6</v>
      </c>
      <c r="AF367" s="137">
        <f>Transportation_LCIA!J$61*($W367^Transportation_LCIA!J$60)+Transportation_LCIA!J$62</f>
        <v>1.216906133974993E-2</v>
      </c>
      <c r="AG367" s="137">
        <f>Transportation_LCIA!K$61*($W367^Transportation_LCIA!K$60)+Transportation_LCIA!K$62</f>
        <v>1.5391950999787709E-2</v>
      </c>
      <c r="AH367" s="137">
        <f>Transportation_LCIA!L$61*($W367^Transportation_LCIA!L$60)+Transportation_LCIA!L$62</f>
        <v>3.224475626051792E-4</v>
      </c>
      <c r="AI367" s="137">
        <f>Transportation_LCIA!M$61*($W367^Transportation_LCIA!M$60)+Transportation_LCIA!M$62</f>
        <v>2.9306665716547056E-4</v>
      </c>
      <c r="AJ367" s="137">
        <f>Transportation_LCIA!N$61*($W367^Transportation_LCIA!N$60)+Transportation_LCIA!N$62</f>
        <v>1.2908631335785605E-3</v>
      </c>
      <c r="AK367" s="137">
        <f>Transportation_LCIA!O$61*($W367^Transportation_LCIA!O$60)+Transportation_LCIA!O$62</f>
        <v>7.5013630480399058E-5</v>
      </c>
      <c r="AL367" s="137">
        <f>Transportation_LCIA!P$61*($W367^Transportation_LCIA!P$60)+Transportation_LCIA!P$62</f>
        <v>3.622947059126279E-8</v>
      </c>
      <c r="AM367" s="137">
        <f>Transportation_LCIA!Q$61*($W367^Transportation_LCIA!Q$60)+Transportation_LCIA!Q$62</f>
        <v>1.2728062224719001E-4</v>
      </c>
      <c r="AN367" s="137">
        <f>Transportation_LCIA!R$61*($W367^Transportation_LCIA!R$60)+Transportation_LCIA!R$62</f>
        <v>3.9383707879712856E-4</v>
      </c>
      <c r="AO367" s="137">
        <f>Transportation_LCIA!S$61*($W367^Transportation_LCIA!S$60)+Transportation_LCIA!S$62</f>
        <v>5.8462294863061377E-6</v>
      </c>
      <c r="AP367" s="137">
        <f>Transportation_LCIA!T$61*($W367^Transportation_LCIA!T$60)+Transportation_LCIA!T$62</f>
        <v>5.8462294863061377E-6</v>
      </c>
      <c r="AQ367" s="137">
        <f>Transportation_LCIA!U$61*($W367^Transportation_LCIA!U$60)+Transportation_LCIA!U$62</f>
        <v>8.5078004970210494E-4</v>
      </c>
      <c r="AR367" s="137">
        <f>Transportation_LCIA!V$61*($W367^Transportation_LCIA!V$60)+Transportation_LCIA!V$62</f>
        <v>3.311828503124549E-4</v>
      </c>
      <c r="AT367" s="137">
        <f>$W367*Y367+$L367*Summary_LCIA!H$34</f>
        <v>203.61933045799282</v>
      </c>
      <c r="AU367" s="137">
        <f ca="1">$W367*Z367+$L367*Summary_LCIA!Q$34</f>
        <v>2238.0815301072867</v>
      </c>
      <c r="AV367" s="137">
        <f ca="1">$W367*AA367+$L367*Summary_LCIA!R$34</f>
        <v>1.523200467390146</v>
      </c>
      <c r="AW367" s="137">
        <f ca="1">$W367*AB367+$L367*Summary_LCIA!S$34</f>
        <v>203.41608796199282</v>
      </c>
      <c r="AX367" s="137">
        <f ca="1">$W367*AC367+$L367*Summary_LCIA!T$34</f>
        <v>50.595152829035044</v>
      </c>
      <c r="AY367" s="137">
        <f ca="1">$W367*AD367+$L367*Summary_LCIA!U$34</f>
        <v>0.60528789993293763</v>
      </c>
      <c r="AZ367" s="137">
        <f ca="1">$W367*AE367+$L367*Summary_LCIA!V$34</f>
        <v>2.1467023296097336E-2</v>
      </c>
      <c r="BA367" s="137">
        <f ca="1">$W367*AF367+$L367*Summary_LCIA!W$34</f>
        <v>18.009718264267448</v>
      </c>
      <c r="BB367" s="137">
        <f ca="1">$W367*AG367+$L367*Summary_LCIA!X$34</f>
        <v>12.198044014042042</v>
      </c>
      <c r="BC367" s="137">
        <f ca="1">$W367*AH367+$L367*Summary_LCIA!Y$34</f>
        <v>0.55147755673574561</v>
      </c>
      <c r="BD367" s="137">
        <f ca="1">$W367*AI367+$L367*Summary_LCIA!Z$34</f>
        <v>0.19776244234714158</v>
      </c>
      <c r="BE367" s="137">
        <f ca="1">$W367*AJ367+$L367*Summary_LCIA!AA$34</f>
        <v>1.2555418282057287</v>
      </c>
      <c r="BF367" s="137">
        <f ca="1">$W367*AK367+$L367*Summary_LCIA!AB$34</f>
        <v>4.7794107660349611E-2</v>
      </c>
      <c r="BG367" s="137">
        <f ca="1">$W367*AL367+$L367*Summary_LCIA!AC$34</f>
        <v>2.4479188628266605E-5</v>
      </c>
      <c r="BH367" s="137">
        <f ca="1">$W367*AM367+$L367*Summary_LCIA!AD$34</f>
        <v>0.10549917141324164</v>
      </c>
      <c r="BI367" s="137">
        <f ca="1">$W367*AN367+$L367*Summary_LCIA!AE$34</f>
        <v>0.31769146516171154</v>
      </c>
      <c r="BJ367" s="137">
        <f ca="1">$W367*AO367+$L367*Summary_LCIA!AF$34</f>
        <v>5.1042410482250625E-2</v>
      </c>
      <c r="BK367" s="137">
        <f ca="1">$W367*AP367+$L367*Summary_LCIA!AG$34</f>
        <v>4.3756508921506225E-3</v>
      </c>
      <c r="BL367" s="137">
        <f ca="1">$W367*AQ367+$L367*Summary_LCIA!AH$34</f>
        <v>1.0098798806561036</v>
      </c>
      <c r="BM367" s="137">
        <f ca="1">$W367*AR367+$L367*Summary_LCIA!AI$34</f>
        <v>0.27281289089476934</v>
      </c>
    </row>
    <row r="368" spans="1:65" x14ac:dyDescent="0.25">
      <c r="A368" s="149">
        <v>192</v>
      </c>
      <c r="B368" s="149">
        <v>15</v>
      </c>
      <c r="C368" s="61">
        <v>51.379922000000001</v>
      </c>
      <c r="D368" s="61">
        <v>-2.3322959999999999</v>
      </c>
      <c r="E368" s="61" t="s">
        <v>463</v>
      </c>
      <c r="F368" s="149">
        <v>7</v>
      </c>
      <c r="G368" s="61" t="s">
        <v>628</v>
      </c>
      <c r="H368" s="61" t="s">
        <v>629</v>
      </c>
      <c r="I368" s="61">
        <v>51.470022</v>
      </c>
      <c r="J368" s="61">
        <v>-0.45429599999999998</v>
      </c>
      <c r="K368" s="61">
        <v>150.26940870000001</v>
      </c>
      <c r="L368" s="61">
        <v>198.47900000000001</v>
      </c>
      <c r="M368" s="61" t="s">
        <v>589</v>
      </c>
      <c r="N368" s="149">
        <v>14</v>
      </c>
      <c r="O368" s="149">
        <v>15</v>
      </c>
      <c r="P368" s="61" t="s">
        <v>567</v>
      </c>
      <c r="Q368" s="61" t="s">
        <v>566</v>
      </c>
      <c r="R368" s="61">
        <v>50.037932599999998</v>
      </c>
      <c r="S368" s="61">
        <v>8.5621518000000005</v>
      </c>
      <c r="T368" s="61"/>
      <c r="U368" s="61" t="s">
        <v>622</v>
      </c>
      <c r="V368" s="61" t="s">
        <v>569</v>
      </c>
      <c r="W368" s="61" cm="1">
        <f t="array" ref="W368">getDistance(I368,J368,R368,S368)*SA!$B$12</f>
        <v>655.49865109245718</v>
      </c>
      <c r="Y368" s="137">
        <f>Transportation_LCIA!C$61*($W368^Transportation_LCIA!C$60)+Transportation_LCIA!C$62</f>
        <v>0.28808630932385726</v>
      </c>
      <c r="Z368" s="137">
        <f>Transportation_LCIA!D$61*($W368^Transportation_LCIA!D$60)+Transportation_LCIA!D$62</f>
        <v>3.0403453180333315</v>
      </c>
      <c r="AA368" s="137">
        <f>Transportation_LCIA!E$61*($W368^Transportation_LCIA!E$60)+Transportation_LCIA!E$62</f>
        <v>1.5496127326841335E-3</v>
      </c>
      <c r="AB368" s="137">
        <f>Transportation_LCIA!F$61*($W368^Transportation_LCIA!F$60)+Transportation_LCIA!F$62</f>
        <v>0.28808630932385726</v>
      </c>
      <c r="AC368" s="137">
        <f>Transportation_LCIA!G$61*($W368^Transportation_LCIA!G$60)+Transportation_LCIA!G$62</f>
        <v>7.0904955875308692E-2</v>
      </c>
      <c r="AD368" s="137">
        <f>Transportation_LCIA!H$61*($W368^Transportation_LCIA!H$60)+Transportation_LCIA!H$62</f>
        <v>3.6638661442350167E-4</v>
      </c>
      <c r="AE368" s="137">
        <f>Transportation_LCIA!I$61*($W368^Transportation_LCIA!I$60)+Transportation_LCIA!I$62</f>
        <v>8.1949302872625628E-6</v>
      </c>
      <c r="AF368" s="137">
        <f>Transportation_LCIA!J$61*($W368^Transportation_LCIA!J$60)+Transportation_LCIA!J$62</f>
        <v>1.216906133974993E-2</v>
      </c>
      <c r="AG368" s="137">
        <f>Transportation_LCIA!K$61*($W368^Transportation_LCIA!K$60)+Transportation_LCIA!K$62</f>
        <v>1.5391950999787709E-2</v>
      </c>
      <c r="AH368" s="137">
        <f>Transportation_LCIA!L$61*($W368^Transportation_LCIA!L$60)+Transportation_LCIA!L$62</f>
        <v>3.224475626051792E-4</v>
      </c>
      <c r="AI368" s="137">
        <f>Transportation_LCIA!M$61*($W368^Transportation_LCIA!M$60)+Transportation_LCIA!M$62</f>
        <v>2.9306665716547056E-4</v>
      </c>
      <c r="AJ368" s="137">
        <f>Transportation_LCIA!N$61*($W368^Transportation_LCIA!N$60)+Transportation_LCIA!N$62</f>
        <v>1.2908631335785605E-3</v>
      </c>
      <c r="AK368" s="137">
        <f>Transportation_LCIA!O$61*($W368^Transportation_LCIA!O$60)+Transportation_LCIA!O$62</f>
        <v>7.5013630480399058E-5</v>
      </c>
      <c r="AL368" s="137">
        <f>Transportation_LCIA!P$61*($W368^Transportation_LCIA!P$60)+Transportation_LCIA!P$62</f>
        <v>3.622947059126279E-8</v>
      </c>
      <c r="AM368" s="137">
        <f>Transportation_LCIA!Q$61*($W368^Transportation_LCIA!Q$60)+Transportation_LCIA!Q$62</f>
        <v>1.2728062224719001E-4</v>
      </c>
      <c r="AN368" s="137">
        <f>Transportation_LCIA!R$61*($W368^Transportation_LCIA!R$60)+Transportation_LCIA!R$62</f>
        <v>3.9383707879712856E-4</v>
      </c>
      <c r="AO368" s="137">
        <f>Transportation_LCIA!S$61*($W368^Transportation_LCIA!S$60)+Transportation_LCIA!S$62</f>
        <v>5.8462294863061377E-6</v>
      </c>
      <c r="AP368" s="137">
        <f>Transportation_LCIA!T$61*($W368^Transportation_LCIA!T$60)+Transportation_LCIA!T$62</f>
        <v>5.8462294863061377E-6</v>
      </c>
      <c r="AQ368" s="137">
        <f>Transportation_LCIA!U$61*($W368^Transportation_LCIA!U$60)+Transportation_LCIA!U$62</f>
        <v>8.5078004970210494E-4</v>
      </c>
      <c r="AR368" s="137">
        <f>Transportation_LCIA!V$61*($W368^Transportation_LCIA!V$60)+Transportation_LCIA!V$62</f>
        <v>3.311828503124549E-4</v>
      </c>
      <c r="AT368" s="137">
        <f>$W368*Y368+$L368*Summary_LCIA!H$34</f>
        <v>203.61933045799282</v>
      </c>
      <c r="AU368" s="137">
        <f ca="1">$W368*Z368+$L368*Summary_LCIA!Q$34</f>
        <v>2238.0815301072867</v>
      </c>
      <c r="AV368" s="137">
        <f ca="1">$W368*AA368+$L368*Summary_LCIA!R$34</f>
        <v>1.523200467390146</v>
      </c>
      <c r="AW368" s="137">
        <f ca="1">$W368*AB368+$L368*Summary_LCIA!S$34</f>
        <v>203.41608796199282</v>
      </c>
      <c r="AX368" s="137">
        <f ca="1">$W368*AC368+$L368*Summary_LCIA!T$34</f>
        <v>50.595152829035044</v>
      </c>
      <c r="AY368" s="137">
        <f ca="1">$W368*AD368+$L368*Summary_LCIA!U$34</f>
        <v>0.60528789993293763</v>
      </c>
      <c r="AZ368" s="137">
        <f ca="1">$W368*AE368+$L368*Summary_LCIA!V$34</f>
        <v>2.1467023296097336E-2</v>
      </c>
      <c r="BA368" s="137">
        <f ca="1">$W368*AF368+$L368*Summary_LCIA!W$34</f>
        <v>18.009718264267448</v>
      </c>
      <c r="BB368" s="137">
        <f ca="1">$W368*AG368+$L368*Summary_LCIA!X$34</f>
        <v>12.198044014042042</v>
      </c>
      <c r="BC368" s="137">
        <f ca="1">$W368*AH368+$L368*Summary_LCIA!Y$34</f>
        <v>0.55147755673574561</v>
      </c>
      <c r="BD368" s="137">
        <f ca="1">$W368*AI368+$L368*Summary_LCIA!Z$34</f>
        <v>0.19776244234714158</v>
      </c>
      <c r="BE368" s="137">
        <f ca="1">$W368*AJ368+$L368*Summary_LCIA!AA$34</f>
        <v>1.2555418282057287</v>
      </c>
      <c r="BF368" s="137">
        <f ca="1">$W368*AK368+$L368*Summary_LCIA!AB$34</f>
        <v>4.7794107660349611E-2</v>
      </c>
      <c r="BG368" s="137">
        <f ca="1">$W368*AL368+$L368*Summary_LCIA!AC$34</f>
        <v>2.4479188628266605E-5</v>
      </c>
      <c r="BH368" s="137">
        <f ca="1">$W368*AM368+$L368*Summary_LCIA!AD$34</f>
        <v>0.10549917141324164</v>
      </c>
      <c r="BI368" s="137">
        <f ca="1">$W368*AN368+$L368*Summary_LCIA!AE$34</f>
        <v>0.31769146516171154</v>
      </c>
      <c r="BJ368" s="137">
        <f ca="1">$W368*AO368+$L368*Summary_LCIA!AF$34</f>
        <v>5.1042410482250625E-2</v>
      </c>
      <c r="BK368" s="137">
        <f ca="1">$W368*AP368+$L368*Summary_LCIA!AG$34</f>
        <v>4.3756508921506225E-3</v>
      </c>
      <c r="BL368" s="137">
        <f ca="1">$W368*AQ368+$L368*Summary_LCIA!AH$34</f>
        <v>1.0098798806561036</v>
      </c>
      <c r="BM368" s="137">
        <f ca="1">$W368*AR368+$L368*Summary_LCIA!AI$34</f>
        <v>0.27281289089476934</v>
      </c>
    </row>
    <row r="369" spans="1:65" x14ac:dyDescent="0.25">
      <c r="A369" s="149">
        <v>210</v>
      </c>
      <c r="B369" s="149">
        <v>15</v>
      </c>
      <c r="C369" s="61">
        <v>45.434493000000003</v>
      </c>
      <c r="D369" s="61">
        <v>12.326169</v>
      </c>
      <c r="E369" s="61" t="s">
        <v>421</v>
      </c>
      <c r="F369" s="149">
        <v>38</v>
      </c>
      <c r="G369" s="61" t="s">
        <v>698</v>
      </c>
      <c r="H369" s="61" t="s">
        <v>699</v>
      </c>
      <c r="I369" s="61">
        <v>45.434497</v>
      </c>
      <c r="J369" s="61">
        <v>12.323981</v>
      </c>
      <c r="K369" s="61">
        <v>334.31596839999997</v>
      </c>
      <c r="L369" s="61">
        <v>0.29699999999999999</v>
      </c>
      <c r="M369" s="61" t="s">
        <v>589</v>
      </c>
      <c r="N369" s="149">
        <v>14</v>
      </c>
      <c r="O369" s="149">
        <v>15</v>
      </c>
      <c r="P369" s="61" t="s">
        <v>567</v>
      </c>
      <c r="Q369" s="61" t="s">
        <v>566</v>
      </c>
      <c r="R369" s="61">
        <v>50.037932599999998</v>
      </c>
      <c r="S369" s="61">
        <v>8.5621518000000005</v>
      </c>
      <c r="T369" s="61"/>
      <c r="U369" s="61" t="s">
        <v>622</v>
      </c>
      <c r="V369" s="61" t="s">
        <v>569</v>
      </c>
      <c r="W369" s="61" cm="1">
        <f t="array" ref="W369">getDistance(I369,J369,R369,S369)*SA!$B$12</f>
        <v>584.95313949846002</v>
      </c>
      <c r="Y369" s="137">
        <f>Transportation_LCIA!C$61*($W369^Transportation_LCIA!C$60)+Transportation_LCIA!C$62</f>
        <v>0.30574623046614952</v>
      </c>
      <c r="Z369" s="137">
        <f>Transportation_LCIA!D$61*($W369^Transportation_LCIA!D$60)+Transportation_LCIA!D$62</f>
        <v>3.2507376071015406</v>
      </c>
      <c r="AA369" s="137">
        <f>Transportation_LCIA!E$61*($W369^Transportation_LCIA!E$60)+Transportation_LCIA!E$62</f>
        <v>1.6887479023184712E-3</v>
      </c>
      <c r="AB369" s="137">
        <f>Transportation_LCIA!F$61*($W369^Transportation_LCIA!F$60)+Transportation_LCIA!F$62</f>
        <v>0.30574623046614952</v>
      </c>
      <c r="AC369" s="137">
        <f>Transportation_LCIA!G$61*($W369^Transportation_LCIA!G$60)+Transportation_LCIA!G$62</f>
        <v>7.5766680505384543E-2</v>
      </c>
      <c r="AD369" s="137">
        <f>Transportation_LCIA!H$61*($W369^Transportation_LCIA!H$60)+Transportation_LCIA!H$62</f>
        <v>3.9733235517551955E-4</v>
      </c>
      <c r="AE369" s="137">
        <f>Transportation_LCIA!I$61*($W369^Transportation_LCIA!I$60)+Transportation_LCIA!I$62</f>
        <v>8.9884636137525969E-6</v>
      </c>
      <c r="AF369" s="137">
        <f>Transportation_LCIA!J$61*($W369^Transportation_LCIA!J$60)+Transportation_LCIA!J$62</f>
        <v>1.3365187640031041E-2</v>
      </c>
      <c r="AG369" s="137">
        <f>Transportation_LCIA!K$61*($W369^Transportation_LCIA!K$60)+Transportation_LCIA!K$62</f>
        <v>1.6538740865555596E-2</v>
      </c>
      <c r="AH369" s="137">
        <f>Transportation_LCIA!L$61*($W369^Transportation_LCIA!L$60)+Transportation_LCIA!L$62</f>
        <v>3.5104714365999959E-4</v>
      </c>
      <c r="AI369" s="137">
        <f>Transportation_LCIA!M$61*($W369^Transportation_LCIA!M$60)+Transportation_LCIA!M$62</f>
        <v>3.1015600170514814E-4</v>
      </c>
      <c r="AJ369" s="137">
        <f>Transportation_LCIA!N$61*($W369^Transportation_LCIA!N$60)+Transportation_LCIA!N$62</f>
        <v>1.3947552630796185E-3</v>
      </c>
      <c r="AK369" s="137">
        <f>Transportation_LCIA!O$61*($W369^Transportation_LCIA!O$60)+Transportation_LCIA!O$62</f>
        <v>8.0182771249620618E-5</v>
      </c>
      <c r="AL369" s="137">
        <f>Transportation_LCIA!P$61*($W369^Transportation_LCIA!P$60)+Transportation_LCIA!P$62</f>
        <v>3.8710923614024024E-8</v>
      </c>
      <c r="AM369" s="137">
        <f>Transportation_LCIA!Q$61*($W369^Transportation_LCIA!Q$60)+Transportation_LCIA!Q$62</f>
        <v>1.3849478631109845E-4</v>
      </c>
      <c r="AN369" s="137">
        <f>Transportation_LCIA!R$61*($W369^Transportation_LCIA!R$60)+Transportation_LCIA!R$62</f>
        <v>4.3190633337534618E-4</v>
      </c>
      <c r="AO369" s="137">
        <f>Transportation_LCIA!S$61*($W369^Transportation_LCIA!S$60)+Transportation_LCIA!S$62</f>
        <v>6.3860664665247732E-6</v>
      </c>
      <c r="AP369" s="137">
        <f>Transportation_LCIA!T$61*($W369^Transportation_LCIA!T$60)+Transportation_LCIA!T$62</f>
        <v>6.3860664665247732E-6</v>
      </c>
      <c r="AQ369" s="137">
        <f>Transportation_LCIA!U$61*($W369^Transportation_LCIA!U$60)+Transportation_LCIA!U$62</f>
        <v>9.3455951796051785E-4</v>
      </c>
      <c r="AR369" s="137">
        <f>Transportation_LCIA!V$61*($W369^Transportation_LCIA!V$60)+Transportation_LCIA!V$62</f>
        <v>3.6046312647041275E-4</v>
      </c>
      <c r="AT369" s="137">
        <f>$W369*Y369+$L369*Summary_LCIA!H$34</f>
        <v>178.86933261499385</v>
      </c>
      <c r="AU369" s="137">
        <f ca="1">$W369*Z369+$L369*Summary_LCIA!Q$34</f>
        <v>1901.8959904610674</v>
      </c>
      <c r="AV369" s="137">
        <f ca="1">$W369*AA369+$L369*Summary_LCIA!R$34</f>
        <v>0.98859769748262838</v>
      </c>
      <c r="AW369" s="137">
        <f ca="1">$W369*AB369+$L369*Summary_LCIA!S$34</f>
        <v>178.86902848699387</v>
      </c>
      <c r="AX369" s="137">
        <f ca="1">$W369*AC369+$L369*Summary_LCIA!T$34</f>
        <v>44.326118302001461</v>
      </c>
      <c r="AY369" s="137">
        <f ca="1">$W369*AD369+$L369*Summary_LCIA!U$34</f>
        <v>0.23296716978423737</v>
      </c>
      <c r="AZ369" s="137">
        <f ca="1">$W369*AE369+$L369*Summary_LCIA!V$34</f>
        <v>5.2819146311322554E-3</v>
      </c>
      <c r="BA369" s="137">
        <f ca="1">$W369*AF369+$L369*Summary_LCIA!W$34</f>
        <v>7.8330215230221709</v>
      </c>
      <c r="BB369" s="137">
        <f ca="1">$W369*AG369+$L369*Summary_LCIA!X$34</f>
        <v>9.6775437206582247</v>
      </c>
      <c r="BC369" s="137">
        <f ca="1">$W369*AH369+$L369*Summary_LCIA!Y$34</f>
        <v>0.20585506799588368</v>
      </c>
      <c r="BD369" s="137">
        <f ca="1">$W369*AI369+$L369*Summary_LCIA!Z$34</f>
        <v>0.18143519291671614</v>
      </c>
      <c r="BE369" s="137">
        <f ca="1">$W369*AJ369+$L369*Summary_LCIA!AA$34</f>
        <v>0.81647906217042343</v>
      </c>
      <c r="BF369" s="137">
        <f ca="1">$W369*AK369+$L369*Summary_LCIA!AB$34</f>
        <v>4.690110292285244E-2</v>
      </c>
      <c r="BG369" s="137">
        <f ca="1">$W369*AL369+$L369*Summary_LCIA!AC$34</f>
        <v>2.2645169884608423E-5</v>
      </c>
      <c r="BH369" s="137">
        <f ca="1">$W369*AM369+$L369*Summary_LCIA!AD$34</f>
        <v>8.104598051684539E-2</v>
      </c>
      <c r="BI369" s="137">
        <f ca="1">$W369*AN369+$L369*Summary_LCIA!AE$34</f>
        <v>0.25273404785717724</v>
      </c>
      <c r="BJ369" s="137">
        <f ca="1">$W369*AO369+$L369*Summary_LCIA!AF$34</f>
        <v>3.8061940486395032E-3</v>
      </c>
      <c r="BK369" s="137">
        <f ca="1">$W369*AP369+$L369*Summary_LCIA!AG$34</f>
        <v>3.7363628443395033E-3</v>
      </c>
      <c r="BL369" s="137">
        <f ca="1">$W369*AQ369+$L369*Summary_LCIA!AH$34</f>
        <v>0.54735017917917239</v>
      </c>
      <c r="BM369" s="137">
        <f ca="1">$W369*AR369+$L369*Summary_LCIA!AI$34</f>
        <v>0.21093742025229839</v>
      </c>
    </row>
    <row r="370" spans="1:65" x14ac:dyDescent="0.25">
      <c r="A370" s="149">
        <v>212</v>
      </c>
      <c r="B370" s="149">
        <v>15</v>
      </c>
      <c r="C370" s="61">
        <v>50.908388000000002</v>
      </c>
      <c r="D370" s="61">
        <v>-1.4015599999999999</v>
      </c>
      <c r="E370" s="61" t="s">
        <v>463</v>
      </c>
      <c r="F370" s="149">
        <v>7</v>
      </c>
      <c r="G370" s="61" t="s">
        <v>628</v>
      </c>
      <c r="H370" s="61" t="s">
        <v>629</v>
      </c>
      <c r="I370" s="61">
        <v>51.470022</v>
      </c>
      <c r="J370" s="61">
        <v>-0.45429599999999998</v>
      </c>
      <c r="K370" s="61">
        <v>98.568014770000005</v>
      </c>
      <c r="L370" s="61">
        <v>158.30799999999999</v>
      </c>
      <c r="M370" s="61" t="s">
        <v>589</v>
      </c>
      <c r="N370" s="149">
        <v>14</v>
      </c>
      <c r="O370" s="149">
        <v>15</v>
      </c>
      <c r="P370" s="61" t="s">
        <v>567</v>
      </c>
      <c r="Q370" s="61" t="s">
        <v>566</v>
      </c>
      <c r="R370" s="61">
        <v>50.037932599999998</v>
      </c>
      <c r="S370" s="61">
        <v>8.5621518000000005</v>
      </c>
      <c r="T370" s="61"/>
      <c r="U370" s="61" t="s">
        <v>622</v>
      </c>
      <c r="V370" s="61" t="s">
        <v>569</v>
      </c>
      <c r="W370" s="61" cm="1">
        <f t="array" ref="W370">getDistance(I370,J370,R370,S370)*SA!$B$12</f>
        <v>655.49865109245718</v>
      </c>
      <c r="Y370" s="137">
        <f>Transportation_LCIA!C$61*($W370^Transportation_LCIA!C$60)+Transportation_LCIA!C$62</f>
        <v>0.28808630932385726</v>
      </c>
      <c r="Z370" s="137">
        <f>Transportation_LCIA!D$61*($W370^Transportation_LCIA!D$60)+Transportation_LCIA!D$62</f>
        <v>3.0403453180333315</v>
      </c>
      <c r="AA370" s="137">
        <f>Transportation_LCIA!E$61*($W370^Transportation_LCIA!E$60)+Transportation_LCIA!E$62</f>
        <v>1.5496127326841335E-3</v>
      </c>
      <c r="AB370" s="137">
        <f>Transportation_LCIA!F$61*($W370^Transportation_LCIA!F$60)+Transportation_LCIA!F$62</f>
        <v>0.28808630932385726</v>
      </c>
      <c r="AC370" s="137">
        <f>Transportation_LCIA!G$61*($W370^Transportation_LCIA!G$60)+Transportation_LCIA!G$62</f>
        <v>7.0904955875308692E-2</v>
      </c>
      <c r="AD370" s="137">
        <f>Transportation_LCIA!H$61*($W370^Transportation_LCIA!H$60)+Transportation_LCIA!H$62</f>
        <v>3.6638661442350167E-4</v>
      </c>
      <c r="AE370" s="137">
        <f>Transportation_LCIA!I$61*($W370^Transportation_LCIA!I$60)+Transportation_LCIA!I$62</f>
        <v>8.1949302872625628E-6</v>
      </c>
      <c r="AF370" s="137">
        <f>Transportation_LCIA!J$61*($W370^Transportation_LCIA!J$60)+Transportation_LCIA!J$62</f>
        <v>1.216906133974993E-2</v>
      </c>
      <c r="AG370" s="137">
        <f>Transportation_LCIA!K$61*($W370^Transportation_LCIA!K$60)+Transportation_LCIA!K$62</f>
        <v>1.5391950999787709E-2</v>
      </c>
      <c r="AH370" s="137">
        <f>Transportation_LCIA!L$61*($W370^Transportation_LCIA!L$60)+Transportation_LCIA!L$62</f>
        <v>3.224475626051792E-4</v>
      </c>
      <c r="AI370" s="137">
        <f>Transportation_LCIA!M$61*($W370^Transportation_LCIA!M$60)+Transportation_LCIA!M$62</f>
        <v>2.9306665716547056E-4</v>
      </c>
      <c r="AJ370" s="137">
        <f>Transportation_LCIA!N$61*($W370^Transportation_LCIA!N$60)+Transportation_LCIA!N$62</f>
        <v>1.2908631335785605E-3</v>
      </c>
      <c r="AK370" s="137">
        <f>Transportation_LCIA!O$61*($W370^Transportation_LCIA!O$60)+Transportation_LCIA!O$62</f>
        <v>7.5013630480399058E-5</v>
      </c>
      <c r="AL370" s="137">
        <f>Transportation_LCIA!P$61*($W370^Transportation_LCIA!P$60)+Transportation_LCIA!P$62</f>
        <v>3.622947059126279E-8</v>
      </c>
      <c r="AM370" s="137">
        <f>Transportation_LCIA!Q$61*($W370^Transportation_LCIA!Q$60)+Transportation_LCIA!Q$62</f>
        <v>1.2728062224719001E-4</v>
      </c>
      <c r="AN370" s="137">
        <f>Transportation_LCIA!R$61*($W370^Transportation_LCIA!R$60)+Transportation_LCIA!R$62</f>
        <v>3.9383707879712856E-4</v>
      </c>
      <c r="AO370" s="137">
        <f>Transportation_LCIA!S$61*($W370^Transportation_LCIA!S$60)+Transportation_LCIA!S$62</f>
        <v>5.8462294863061377E-6</v>
      </c>
      <c r="AP370" s="137">
        <f>Transportation_LCIA!T$61*($W370^Transportation_LCIA!T$60)+Transportation_LCIA!T$62</f>
        <v>5.8462294863061377E-6</v>
      </c>
      <c r="AQ370" s="137">
        <f>Transportation_LCIA!U$61*($W370^Transportation_LCIA!U$60)+Transportation_LCIA!U$62</f>
        <v>8.5078004970210494E-4</v>
      </c>
      <c r="AR370" s="137">
        <f>Transportation_LCIA!V$61*($W370^Transportation_LCIA!V$60)+Transportation_LCIA!V$62</f>
        <v>3.311828503124549E-4</v>
      </c>
      <c r="AT370" s="137">
        <f>$W370*Y370+$L370*Summary_LCIA!H$34</f>
        <v>200.62811745599282</v>
      </c>
      <c r="AU370" s="137">
        <f ca="1">$W370*Z370+$L370*Summary_LCIA!Q$34</f>
        <v>2188.4667606489566</v>
      </c>
      <c r="AV370" s="137">
        <f ca="1">$W370*AA370+$L370*Summary_LCIA!R$34</f>
        <v>1.420499288790146</v>
      </c>
      <c r="AW370" s="137">
        <f ca="1">$W370*AB370+$L370*Summary_LCIA!S$34</f>
        <v>200.4660100639928</v>
      </c>
      <c r="AX370" s="137">
        <f ca="1">$W370*AC370+$L370*Summary_LCIA!T$34</f>
        <v>49.761885776035044</v>
      </c>
      <c r="AY370" s="137">
        <f ca="1">$W370*AD370+$L370*Summary_LCIA!U$34</f>
        <v>0.53138932833293751</v>
      </c>
      <c r="AZ370" s="137">
        <f ca="1">$W370*AE370+$L370*Summary_LCIA!V$34</f>
        <v>1.8209436393097331E-2</v>
      </c>
      <c r="BA370" s="137">
        <f ca="1">$W370*AF370+$L370*Summary_LCIA!W$34</f>
        <v>15.979114385267447</v>
      </c>
      <c r="BB370" s="137">
        <f ca="1">$W370*AG370+$L370*Summary_LCIA!X$34</f>
        <v>11.771267310042042</v>
      </c>
      <c r="BC370" s="137">
        <f ca="1">$W370*AH370+$L370*Summary_LCIA!Y$34</f>
        <v>0.48264053113574557</v>
      </c>
      <c r="BD370" s="137">
        <f ca="1">$W370*AI370+$L370*Summary_LCIA!Z$34</f>
        <v>0.19661736799214158</v>
      </c>
      <c r="BE370" s="137">
        <f ca="1">$W370*AJ370+$L370*Summary_LCIA!AA$34</f>
        <v>1.1726851236057287</v>
      </c>
      <c r="BF370" s="137">
        <f ca="1">$W370*AK370+$L370*Summary_LCIA!AB$34</f>
        <v>4.8072850212249614E-2</v>
      </c>
      <c r="BG370" s="137">
        <f ca="1">$W370*AL370+$L370*Summary_LCIA!AC$34</f>
        <v>2.4331274989166605E-5</v>
      </c>
      <c r="BH370" s="137">
        <f ca="1">$W370*AM370+$L370*Summary_LCIA!AD$34</f>
        <v>0.10103295963324165</v>
      </c>
      <c r="BI370" s="137">
        <f ca="1">$W370*AN370+$L370*Summary_LCIA!AE$34</f>
        <v>0.30564257542171153</v>
      </c>
      <c r="BJ370" s="137">
        <f ca="1">$W370*AO370+$L370*Summary_LCIA!AF$34</f>
        <v>4.1487336422250623E-2</v>
      </c>
      <c r="BK370" s="137">
        <f ca="1">$W370*AP370+$L370*Summary_LCIA!AG$34</f>
        <v>4.2656586770506225E-3</v>
      </c>
      <c r="BL370" s="137">
        <f ca="1">$W370*AQ370+$L370*Summary_LCIA!AH$34</f>
        <v>0.91835829135610347</v>
      </c>
      <c r="BM370" s="137">
        <f ca="1">$W370*AR370+$L370*Summary_LCIA!AI$34</f>
        <v>0.26153488264476932</v>
      </c>
    </row>
    <row r="371" spans="1:65" x14ac:dyDescent="0.25">
      <c r="A371" s="149">
        <v>213</v>
      </c>
      <c r="B371" s="149">
        <v>15</v>
      </c>
      <c r="C371" s="61">
        <v>50.908388000000002</v>
      </c>
      <c r="D371" s="61">
        <v>-1.4015599999999999</v>
      </c>
      <c r="E371" s="61" t="s">
        <v>463</v>
      </c>
      <c r="F371" s="149">
        <v>7</v>
      </c>
      <c r="G371" s="61" t="s">
        <v>628</v>
      </c>
      <c r="H371" s="61" t="s">
        <v>629</v>
      </c>
      <c r="I371" s="61">
        <v>51.470022</v>
      </c>
      <c r="J371" s="61">
        <v>-0.45429599999999998</v>
      </c>
      <c r="K371" s="61">
        <v>98.568014770000005</v>
      </c>
      <c r="L371" s="61">
        <v>158.30799999999999</v>
      </c>
      <c r="M371" s="61" t="s">
        <v>589</v>
      </c>
      <c r="N371" s="149">
        <v>14</v>
      </c>
      <c r="O371" s="149">
        <v>15</v>
      </c>
      <c r="P371" s="61" t="s">
        <v>567</v>
      </c>
      <c r="Q371" s="61" t="s">
        <v>566</v>
      </c>
      <c r="R371" s="61">
        <v>50.037932599999998</v>
      </c>
      <c r="S371" s="61">
        <v>8.5621518000000005</v>
      </c>
      <c r="T371" s="61"/>
      <c r="U371" s="61" t="s">
        <v>622</v>
      </c>
      <c r="V371" s="61" t="s">
        <v>569</v>
      </c>
      <c r="W371" s="61" cm="1">
        <f t="array" ref="W371">getDistance(I371,J371,R371,S371)*SA!$B$12</f>
        <v>655.49865109245718</v>
      </c>
      <c r="Y371" s="137">
        <f>Transportation_LCIA!C$61*($W371^Transportation_LCIA!C$60)+Transportation_LCIA!C$62</f>
        <v>0.28808630932385726</v>
      </c>
      <c r="Z371" s="137">
        <f>Transportation_LCIA!D$61*($W371^Transportation_LCIA!D$60)+Transportation_LCIA!D$62</f>
        <v>3.0403453180333315</v>
      </c>
      <c r="AA371" s="137">
        <f>Transportation_LCIA!E$61*($W371^Transportation_LCIA!E$60)+Transportation_LCIA!E$62</f>
        <v>1.5496127326841335E-3</v>
      </c>
      <c r="AB371" s="137">
        <f>Transportation_LCIA!F$61*($W371^Transportation_LCIA!F$60)+Transportation_LCIA!F$62</f>
        <v>0.28808630932385726</v>
      </c>
      <c r="AC371" s="137">
        <f>Transportation_LCIA!G$61*($W371^Transportation_LCIA!G$60)+Transportation_LCIA!G$62</f>
        <v>7.0904955875308692E-2</v>
      </c>
      <c r="AD371" s="137">
        <f>Transportation_LCIA!H$61*($W371^Transportation_LCIA!H$60)+Transportation_LCIA!H$62</f>
        <v>3.6638661442350167E-4</v>
      </c>
      <c r="AE371" s="137">
        <f>Transportation_LCIA!I$61*($W371^Transportation_LCIA!I$60)+Transportation_LCIA!I$62</f>
        <v>8.1949302872625628E-6</v>
      </c>
      <c r="AF371" s="137">
        <f>Transportation_LCIA!J$61*($W371^Transportation_LCIA!J$60)+Transportation_LCIA!J$62</f>
        <v>1.216906133974993E-2</v>
      </c>
      <c r="AG371" s="137">
        <f>Transportation_LCIA!K$61*($W371^Transportation_LCIA!K$60)+Transportation_LCIA!K$62</f>
        <v>1.5391950999787709E-2</v>
      </c>
      <c r="AH371" s="137">
        <f>Transportation_LCIA!L$61*($W371^Transportation_LCIA!L$60)+Transportation_LCIA!L$62</f>
        <v>3.224475626051792E-4</v>
      </c>
      <c r="AI371" s="137">
        <f>Transportation_LCIA!M$61*($W371^Transportation_LCIA!M$60)+Transportation_LCIA!M$62</f>
        <v>2.9306665716547056E-4</v>
      </c>
      <c r="AJ371" s="137">
        <f>Transportation_LCIA!N$61*($W371^Transportation_LCIA!N$60)+Transportation_LCIA!N$62</f>
        <v>1.2908631335785605E-3</v>
      </c>
      <c r="AK371" s="137">
        <f>Transportation_LCIA!O$61*($W371^Transportation_LCIA!O$60)+Transportation_LCIA!O$62</f>
        <v>7.5013630480399058E-5</v>
      </c>
      <c r="AL371" s="137">
        <f>Transportation_LCIA!P$61*($W371^Transportation_LCIA!P$60)+Transportation_LCIA!P$62</f>
        <v>3.622947059126279E-8</v>
      </c>
      <c r="AM371" s="137">
        <f>Transportation_LCIA!Q$61*($W371^Transportation_LCIA!Q$60)+Transportation_LCIA!Q$62</f>
        <v>1.2728062224719001E-4</v>
      </c>
      <c r="AN371" s="137">
        <f>Transportation_LCIA!R$61*($W371^Transportation_LCIA!R$60)+Transportation_LCIA!R$62</f>
        <v>3.9383707879712856E-4</v>
      </c>
      <c r="AO371" s="137">
        <f>Transportation_LCIA!S$61*($W371^Transportation_LCIA!S$60)+Transportation_LCIA!S$62</f>
        <v>5.8462294863061377E-6</v>
      </c>
      <c r="AP371" s="137">
        <f>Transportation_LCIA!T$61*($W371^Transportation_LCIA!T$60)+Transportation_LCIA!T$62</f>
        <v>5.8462294863061377E-6</v>
      </c>
      <c r="AQ371" s="137">
        <f>Transportation_LCIA!U$61*($W371^Transportation_LCIA!U$60)+Transportation_LCIA!U$62</f>
        <v>8.5078004970210494E-4</v>
      </c>
      <c r="AR371" s="137">
        <f>Transportation_LCIA!V$61*($W371^Transportation_LCIA!V$60)+Transportation_LCIA!V$62</f>
        <v>3.311828503124549E-4</v>
      </c>
      <c r="AT371" s="137">
        <f>$W371*Y371+$L371*Summary_LCIA!H$34</f>
        <v>200.62811745599282</v>
      </c>
      <c r="AU371" s="137">
        <f ca="1">$W371*Z371+$L371*Summary_LCIA!Q$34</f>
        <v>2188.4667606489566</v>
      </c>
      <c r="AV371" s="137">
        <f ca="1">$W371*AA371+$L371*Summary_LCIA!R$34</f>
        <v>1.420499288790146</v>
      </c>
      <c r="AW371" s="137">
        <f ca="1">$W371*AB371+$L371*Summary_LCIA!S$34</f>
        <v>200.4660100639928</v>
      </c>
      <c r="AX371" s="137">
        <f ca="1">$W371*AC371+$L371*Summary_LCIA!T$34</f>
        <v>49.761885776035044</v>
      </c>
      <c r="AY371" s="137">
        <f ca="1">$W371*AD371+$L371*Summary_LCIA!U$34</f>
        <v>0.53138932833293751</v>
      </c>
      <c r="AZ371" s="137">
        <f ca="1">$W371*AE371+$L371*Summary_LCIA!V$34</f>
        <v>1.8209436393097331E-2</v>
      </c>
      <c r="BA371" s="137">
        <f ca="1">$W371*AF371+$L371*Summary_LCIA!W$34</f>
        <v>15.979114385267447</v>
      </c>
      <c r="BB371" s="137">
        <f ca="1">$W371*AG371+$L371*Summary_LCIA!X$34</f>
        <v>11.771267310042042</v>
      </c>
      <c r="BC371" s="137">
        <f ca="1">$W371*AH371+$L371*Summary_LCIA!Y$34</f>
        <v>0.48264053113574557</v>
      </c>
      <c r="BD371" s="137">
        <f ca="1">$W371*AI371+$L371*Summary_LCIA!Z$34</f>
        <v>0.19661736799214158</v>
      </c>
      <c r="BE371" s="137">
        <f ca="1">$W371*AJ371+$L371*Summary_LCIA!AA$34</f>
        <v>1.1726851236057287</v>
      </c>
      <c r="BF371" s="137">
        <f ca="1">$W371*AK371+$L371*Summary_LCIA!AB$34</f>
        <v>4.8072850212249614E-2</v>
      </c>
      <c r="BG371" s="137">
        <f ca="1">$W371*AL371+$L371*Summary_LCIA!AC$34</f>
        <v>2.4331274989166605E-5</v>
      </c>
      <c r="BH371" s="137">
        <f ca="1">$W371*AM371+$L371*Summary_LCIA!AD$34</f>
        <v>0.10103295963324165</v>
      </c>
      <c r="BI371" s="137">
        <f ca="1">$W371*AN371+$L371*Summary_LCIA!AE$34</f>
        <v>0.30564257542171153</v>
      </c>
      <c r="BJ371" s="137">
        <f ca="1">$W371*AO371+$L371*Summary_LCIA!AF$34</f>
        <v>4.1487336422250623E-2</v>
      </c>
      <c r="BK371" s="137">
        <f ca="1">$W371*AP371+$L371*Summary_LCIA!AG$34</f>
        <v>4.2656586770506225E-3</v>
      </c>
      <c r="BL371" s="137">
        <f ca="1">$W371*AQ371+$L371*Summary_LCIA!AH$34</f>
        <v>0.91835829135610347</v>
      </c>
      <c r="BM371" s="137">
        <f ca="1">$W371*AR371+$L371*Summary_LCIA!AI$34</f>
        <v>0.26153488264476932</v>
      </c>
    </row>
    <row r="372" spans="1:65" x14ac:dyDescent="0.25">
      <c r="A372" s="149">
        <v>225</v>
      </c>
      <c r="B372" s="149">
        <v>15</v>
      </c>
      <c r="C372" s="61">
        <v>55.864237000000003</v>
      </c>
      <c r="D372" s="61">
        <v>-4.2518060000000002</v>
      </c>
      <c r="E372" s="61" t="s">
        <v>463</v>
      </c>
      <c r="F372" s="149">
        <v>7</v>
      </c>
      <c r="G372" s="61" t="s">
        <v>628</v>
      </c>
      <c r="H372" s="61" t="s">
        <v>702</v>
      </c>
      <c r="I372" s="61">
        <v>53.358806000000001</v>
      </c>
      <c r="J372" s="61">
        <v>-2.2749190000000001</v>
      </c>
      <c r="K372" s="61">
        <v>565.56637360000002</v>
      </c>
      <c r="L372" s="61">
        <v>391.911</v>
      </c>
      <c r="M372" s="61" t="s">
        <v>589</v>
      </c>
      <c r="N372" s="149">
        <v>14</v>
      </c>
      <c r="O372" s="149">
        <v>15</v>
      </c>
      <c r="P372" s="61" t="s">
        <v>567</v>
      </c>
      <c r="Q372" s="61" t="s">
        <v>566</v>
      </c>
      <c r="R372" s="61">
        <v>50.037932599999998</v>
      </c>
      <c r="S372" s="61">
        <v>8.5621518000000005</v>
      </c>
      <c r="T372" s="61"/>
      <c r="U372" s="61" t="s">
        <v>622</v>
      </c>
      <c r="V372" s="61" t="s">
        <v>569</v>
      </c>
      <c r="W372" s="61" cm="1">
        <f t="array" ref="W372">getDistance(I372,J372,R372,S372)*SA!$B$12</f>
        <v>834.45951356708247</v>
      </c>
      <c r="Y372" s="137">
        <f>Transportation_LCIA!C$61*($W372^Transportation_LCIA!C$60)+Transportation_LCIA!C$62</f>
        <v>0.25578761515395765</v>
      </c>
      <c r="Z372" s="137">
        <f>Transportation_LCIA!D$61*($W372^Transportation_LCIA!D$60)+Transportation_LCIA!D$62</f>
        <v>2.6584554831640039</v>
      </c>
      <c r="AA372" s="137">
        <f>Transportation_LCIA!E$61*($W372^Transportation_LCIA!E$60)+Transportation_LCIA!E$62</f>
        <v>1.2976004287997794E-3</v>
      </c>
      <c r="AB372" s="137">
        <f>Transportation_LCIA!F$61*($W372^Transportation_LCIA!F$60)+Transportation_LCIA!F$62</f>
        <v>0.25578761515395765</v>
      </c>
      <c r="AC372" s="137">
        <f>Transportation_LCIA!G$61*($W372^Transportation_LCIA!G$60)+Transportation_LCIA!G$62</f>
        <v>6.2076387065224892E-2</v>
      </c>
      <c r="AD372" s="137">
        <f>Transportation_LCIA!H$61*($W372^Transportation_LCIA!H$60)+Transportation_LCIA!H$62</f>
        <v>3.1057016417771567E-4</v>
      </c>
      <c r="AE372" s="137">
        <f>Transportation_LCIA!I$61*($W372^Transportation_LCIA!I$60)+Transportation_LCIA!I$62</f>
        <v>6.773283996403457E-6</v>
      </c>
      <c r="AF372" s="137">
        <f>Transportation_LCIA!J$61*($W372^Transportation_LCIA!J$60)+Transportation_LCIA!J$62</f>
        <v>1.0035587537395835E-2</v>
      </c>
      <c r="AG372" s="137">
        <f>Transportation_LCIA!K$61*($W372^Transportation_LCIA!K$60)+Transportation_LCIA!K$62</f>
        <v>1.3317400969705059E-2</v>
      </c>
      <c r="AH372" s="137">
        <f>Transportation_LCIA!L$61*($W372^Transportation_LCIA!L$60)+Transportation_LCIA!L$62</f>
        <v>2.7096205446478584E-4</v>
      </c>
      <c r="AI372" s="137">
        <f>Transportation_LCIA!M$61*($W372^Transportation_LCIA!M$60)+Transportation_LCIA!M$62</f>
        <v>2.622498652937841E-4</v>
      </c>
      <c r="AJ372" s="137">
        <f>Transportation_LCIA!N$61*($W372^Transportation_LCIA!N$60)+Transportation_LCIA!N$62</f>
        <v>1.1033734706359408E-3</v>
      </c>
      <c r="AK372" s="137">
        <f>Transportation_LCIA!O$61*($W372^Transportation_LCIA!O$60)+Transportation_LCIA!O$62</f>
        <v>6.5628766150605593E-5</v>
      </c>
      <c r="AL372" s="137">
        <f>Transportation_LCIA!P$61*($W372^Transportation_LCIA!P$60)+Transportation_LCIA!P$62</f>
        <v>3.1721717308493248E-8</v>
      </c>
      <c r="AM372" s="137">
        <f>Transportation_LCIA!Q$61*($W372^Transportation_LCIA!Q$60)+Transportation_LCIA!Q$62</f>
        <v>1.0711358134759958E-4</v>
      </c>
      <c r="AN372" s="137">
        <f>Transportation_LCIA!R$61*($W372^Transportation_LCIA!R$60)+Transportation_LCIA!R$62</f>
        <v>3.2564563735062877E-4</v>
      </c>
      <c r="AO372" s="137">
        <f>Transportation_LCIA!S$61*($W372^Transportation_LCIA!S$60)+Transportation_LCIA!S$62</f>
        <v>4.8789555695481221E-6</v>
      </c>
      <c r="AP372" s="137">
        <f>Transportation_LCIA!T$61*($W372^Transportation_LCIA!T$60)+Transportation_LCIA!T$62</f>
        <v>4.8789555695481221E-6</v>
      </c>
      <c r="AQ372" s="137">
        <f>Transportation_LCIA!U$61*($W372^Transportation_LCIA!U$60)+Transportation_LCIA!U$62</f>
        <v>7.0090245999337509E-4</v>
      </c>
      <c r="AR372" s="137">
        <f>Transportation_LCIA!V$61*($W372^Transportation_LCIA!V$60)+Transportation_LCIA!V$62</f>
        <v>2.7859686284207273E-4</v>
      </c>
      <c r="AT372" s="137">
        <f>$W372*Y372+$L372*Summary_LCIA!H$34</f>
        <v>242.62688579985559</v>
      </c>
      <c r="AU372" s="137">
        <f ca="1">$W372*Z372+$L372*Summary_LCIA!Q$34</f>
        <v>2702.4185245393082</v>
      </c>
      <c r="AV372" s="137">
        <f ca="1">$W372*AA372+$L372*Summary_LCIA!R$34</f>
        <v>2.0847546852207017</v>
      </c>
      <c r="AW372" s="137">
        <f ca="1">$W372*AB372+$L372*Summary_LCIA!S$34</f>
        <v>242.22556893585559</v>
      </c>
      <c r="AX372" s="137">
        <f ca="1">$W372*AC372+$L372*Summary_LCIA!T$34</f>
        <v>59.929641627449492</v>
      </c>
      <c r="AY372" s="137">
        <f ca="1">$W372*AD372+$L372*Summary_LCIA!U$34</f>
        <v>0.98011770372818563</v>
      </c>
      <c r="AZ372" s="137">
        <f ca="1">$W372*AE372+$L372*Summary_LCIA!V$34</f>
        <v>3.7433269991890533E-2</v>
      </c>
      <c r="BA372" s="137">
        <f ca="1">$W372*AF372+$L372*Summary_LCIA!W$34</f>
        <v>28.185000633815203</v>
      </c>
      <c r="BB372" s="137">
        <f ca="1">$W372*AG372+$L372*Summary_LCIA!X$34</f>
        <v>15.276494399157876</v>
      </c>
      <c r="BC372" s="137">
        <f ca="1">$W372*AH372+$L372*Summary_LCIA!Y$34</f>
        <v>0.89768555376382253</v>
      </c>
      <c r="BD372" s="137">
        <f ca="1">$W372*AI372+$L372*Summary_LCIA!Z$34</f>
        <v>0.23000831808108396</v>
      </c>
      <c r="BE372" s="137">
        <f ca="1">$W372*AJ372+$L372*Summary_LCIA!AA$34</f>
        <v>1.7290761181896905</v>
      </c>
      <c r="BF372" s="137">
        <f ca="1">$W372*AK372+$L372*Summary_LCIA!AB$34</f>
        <v>5.2045117040142148E-2</v>
      </c>
      <c r="BG372" s="137">
        <f ca="1">$W372*AL372+$L372*Summary_LCIA!AC$34</f>
        <v>2.7913544287857777E-5</v>
      </c>
      <c r="BH372" s="137">
        <f ca="1">$W372*AM372+$L372*Summary_LCIA!AD$34</f>
        <v>0.13295461196774608</v>
      </c>
      <c r="BI372" s="137">
        <f ca="1">$W372*AN372+$L372*Summary_LCIA!AE$34</f>
        <v>0.38928788547884824</v>
      </c>
      <c r="BJ372" s="137">
        <f ca="1">$W372*AO372+$L372*Summary_LCIA!AF$34</f>
        <v>9.7291241351280533E-2</v>
      </c>
      <c r="BK372" s="137">
        <f ca="1">$W372*AP372+$L372*Summary_LCIA!AG$34</f>
        <v>5.1443824003805337E-3</v>
      </c>
      <c r="BL372" s="137">
        <f ca="1">$W372*AQ372+$L372*Summary_LCIA!AH$34</f>
        <v>1.4777655571240431</v>
      </c>
      <c r="BM372" s="137">
        <f ca="1">$W372*AR372+$L372*Summary_LCIA!AI$34</f>
        <v>0.34250681589851117</v>
      </c>
    </row>
    <row r="373" spans="1:65" x14ac:dyDescent="0.25">
      <c r="A373" s="149">
        <v>233</v>
      </c>
      <c r="B373" s="149">
        <v>15</v>
      </c>
      <c r="C373" s="61">
        <v>20.593684</v>
      </c>
      <c r="D373" s="61">
        <v>78.962879999999998</v>
      </c>
      <c r="E373" s="61" t="s">
        <v>268</v>
      </c>
      <c r="F373" s="149">
        <v>41</v>
      </c>
      <c r="G373" s="61" t="s">
        <v>704</v>
      </c>
      <c r="H373" s="61" t="s">
        <v>705</v>
      </c>
      <c r="I373" s="61">
        <v>21.090667</v>
      </c>
      <c r="J373" s="61">
        <v>79.051494000000005</v>
      </c>
      <c r="K373" s="61">
        <v>668.6216369</v>
      </c>
      <c r="L373" s="61">
        <v>61.351999999999997</v>
      </c>
      <c r="M373" s="61" t="s">
        <v>617</v>
      </c>
      <c r="N373" s="149">
        <v>14</v>
      </c>
      <c r="O373" s="149">
        <v>15</v>
      </c>
      <c r="P373" s="61" t="s">
        <v>567</v>
      </c>
      <c r="Q373" s="61" t="s">
        <v>566</v>
      </c>
      <c r="R373" s="61">
        <v>50.037932599999998</v>
      </c>
      <c r="S373" s="61">
        <v>8.5621518000000005</v>
      </c>
      <c r="T373" s="61"/>
      <c r="U373" s="61" t="s">
        <v>622</v>
      </c>
      <c r="V373" s="61" t="s">
        <v>569</v>
      </c>
      <c r="W373" s="61" cm="1">
        <f t="array" ref="W373">getDistance(I373,J373,R373,S373)*SA!$B$12</f>
        <v>6860.0261895692247</v>
      </c>
      <c r="Y373" s="137">
        <f>Transportation_LCIA!C$61*($W373^Transportation_LCIA!C$60)+Transportation_LCIA!C$62</f>
        <v>0.13645988213436686</v>
      </c>
      <c r="Z373" s="137">
        <f>Transportation_LCIA!D$61*($W373^Transportation_LCIA!D$60)+Transportation_LCIA!D$62</f>
        <v>1.3002198941689636</v>
      </c>
      <c r="AA373" s="137">
        <f>Transportation_LCIA!E$61*($W373^Transportation_LCIA!E$60)+Transportation_LCIA!E$62</f>
        <v>4.1072635750497347E-4</v>
      </c>
      <c r="AB373" s="137">
        <f>Transportation_LCIA!F$61*($W373^Transportation_LCIA!F$60)+Transportation_LCIA!F$62</f>
        <v>0.13645988213436686</v>
      </c>
      <c r="AC373" s="137">
        <f>Transportation_LCIA!G$61*($W373^Transportation_LCIA!G$60)+Transportation_LCIA!G$62</f>
        <v>3.0607327963128941E-2</v>
      </c>
      <c r="AD373" s="137">
        <f>Transportation_LCIA!H$61*($W373^Transportation_LCIA!H$60)+Transportation_LCIA!H$62</f>
        <v>1.1818117326373138E-4</v>
      </c>
      <c r="AE373" s="137">
        <f>Transportation_LCIA!I$61*($W373^Transportation_LCIA!I$60)+Transportation_LCIA!I$62</f>
        <v>2.0326147408223427E-6</v>
      </c>
      <c r="AF373" s="137">
        <f>Transportation_LCIA!J$61*($W373^Transportation_LCIA!J$60)+Transportation_LCIA!J$62</f>
        <v>3.0716685628491593E-3</v>
      </c>
      <c r="AG373" s="137">
        <f>Transportation_LCIA!K$61*($W373^Transportation_LCIA!K$60)+Transportation_LCIA!K$62</f>
        <v>6.0620037158523338E-3</v>
      </c>
      <c r="AH373" s="137">
        <f>Transportation_LCIA!L$61*($W373^Transportation_LCIA!L$60)+Transportation_LCIA!L$62</f>
        <v>9.5173384730676345E-5</v>
      </c>
      <c r="AI373" s="137">
        <f>Transportation_LCIA!M$61*($W373^Transportation_LCIA!M$60)+Transportation_LCIA!M$62</f>
        <v>1.5614967989661672E-4</v>
      </c>
      <c r="AJ373" s="137">
        <f>Transportation_LCIA!N$61*($W373^Transportation_LCIA!N$60)+Transportation_LCIA!N$62</f>
        <v>4.554169759156334E-4</v>
      </c>
      <c r="AK373" s="137">
        <f>Transportation_LCIA!O$61*($W373^Transportation_LCIA!O$60)+Transportation_LCIA!O$62</f>
        <v>3.2211517028364594E-5</v>
      </c>
      <c r="AL373" s="137">
        <f>Transportation_LCIA!P$61*($W373^Transportation_LCIA!P$60)+Transportation_LCIA!P$62</f>
        <v>1.5625519568579795E-8</v>
      </c>
      <c r="AM373" s="137">
        <f>Transportation_LCIA!Q$61*($W373^Transportation_LCIA!Q$60)+Transportation_LCIA!Q$62</f>
        <v>3.8605695227967373E-5</v>
      </c>
      <c r="AN373" s="137">
        <f>Transportation_LCIA!R$61*($W373^Transportation_LCIA!R$60)+Transportation_LCIA!R$62</f>
        <v>9.8432630251078101E-5</v>
      </c>
      <c r="AO373" s="137">
        <f>Transportation_LCIA!S$61*($W373^Transportation_LCIA!S$60)+Transportation_LCIA!S$62</f>
        <v>1.651266251491079E-6</v>
      </c>
      <c r="AP373" s="137">
        <f>Transportation_LCIA!T$61*($W373^Transportation_LCIA!T$60)+Transportation_LCIA!T$62</f>
        <v>1.651266251491079E-6</v>
      </c>
      <c r="AQ373" s="137">
        <f>Transportation_LCIA!U$61*($W373^Transportation_LCIA!U$60)+Transportation_LCIA!U$62</f>
        <v>2.0461011695863471E-4</v>
      </c>
      <c r="AR373" s="137">
        <f>Transportation_LCIA!V$61*($W373^Transportation_LCIA!V$60)+Transportation_LCIA!V$62</f>
        <v>1.0112559863672152E-4</v>
      </c>
      <c r="AT373" s="137">
        <f>$W373*Y373+$L373*Summary_LCIA!H$32</f>
        <v>956.9657748672862</v>
      </c>
      <c r="AU373" s="137">
        <f>$W373*Z373+$L373*Summary_LCIA!Q$32</f>
        <v>9223.6061323634331</v>
      </c>
      <c r="AV373" s="137">
        <f>$W373*AA373+$L373*Summary_LCIA!R$32</f>
        <v>3.1406486604304904</v>
      </c>
      <c r="AW373" s="137">
        <f>$W373*AB373+$L373*Summary_LCIA!S$32</f>
        <v>956.69459902728624</v>
      </c>
      <c r="AX373" s="137">
        <f>$W373*AC373+$L373*Summary_LCIA!T$32</f>
        <v>216.709656219799</v>
      </c>
      <c r="AY373" s="137">
        <f>$W373*AD373+$L373*Summary_LCIA!U$32</f>
        <v>1.9097856717032153</v>
      </c>
      <c r="AZ373" s="137">
        <f>$W373*AE373+$L373*Summary_LCIA!V$32</f>
        <v>1.6874023227345734E-2</v>
      </c>
      <c r="BA373" s="137">
        <f>$W373*AF373+$L373*Summary_LCIA!W$32</f>
        <v>25.794051578821694</v>
      </c>
      <c r="BB373" s="137">
        <f>$W373*AG373+$L373*Summary_LCIA!X$32</f>
        <v>42.983102812012966</v>
      </c>
      <c r="BC373" s="137">
        <f>$W373*AH373+$L373*Summary_LCIA!Y$32</f>
        <v>1.6088787758023875</v>
      </c>
      <c r="BD373" s="137">
        <f>$W373*AI373+$L373*Summary_LCIA!Z$32</f>
        <v>1.0737068777516419</v>
      </c>
      <c r="BE373" s="137">
        <f>$W373*AJ373+$L373*Summary_LCIA!AA$32</f>
        <v>4.5571096939556615</v>
      </c>
      <c r="BF373" s="137">
        <f>$W373*AK373+$L373*Summary_LCIA!AB$32</f>
        <v>0.21963296572433616</v>
      </c>
      <c r="BG373" s="137">
        <f>$W373*AL373+$L373*Summary_LCIA!AC$32</f>
        <v>1.1019060463408381E-4</v>
      </c>
      <c r="BH373" s="137">
        <f>$W373*AM373+$L373*Summary_LCIA!AD$32</f>
        <v>0.29005420641038382</v>
      </c>
      <c r="BI373" s="137">
        <f>$W373*AN373+$L373*Summary_LCIA!AE$32</f>
        <v>0.72961626919057965</v>
      </c>
      <c r="BJ373" s="137">
        <f>$W373*AO373+$L373*Summary_LCIA!AF$32</f>
        <v>6.319593757118061E-2</v>
      </c>
      <c r="BK373" s="137">
        <f>$W373*AP373+$L373*Summary_LCIA!AG$32</f>
        <v>1.4466804811180603E-2</v>
      </c>
      <c r="BL373" s="137">
        <f>$W373*AQ373+$L373*Summary_LCIA!AH$32</f>
        <v>1.9376140281870562</v>
      </c>
      <c r="BM373" s="137">
        <f>$W373*AR373+$L373*Summary_LCIA!AI$32</f>
        <v>0.75087671068377559</v>
      </c>
    </row>
    <row r="374" spans="1:65" x14ac:dyDescent="0.25">
      <c r="A374" s="149">
        <v>251</v>
      </c>
      <c r="B374" s="149">
        <v>15</v>
      </c>
      <c r="C374" s="61">
        <v>51.507351</v>
      </c>
      <c r="D374" s="61">
        <v>-0.12775800000000001</v>
      </c>
      <c r="E374" s="61" t="s">
        <v>463</v>
      </c>
      <c r="F374" s="149">
        <v>7</v>
      </c>
      <c r="G374" s="61" t="s">
        <v>628</v>
      </c>
      <c r="H374" s="61" t="s">
        <v>629</v>
      </c>
      <c r="I374" s="61">
        <v>51.470022</v>
      </c>
      <c r="J374" s="61">
        <v>-0.45429599999999998</v>
      </c>
      <c r="K374" s="61">
        <v>26.365709819999999</v>
      </c>
      <c r="L374" s="61">
        <v>29.34</v>
      </c>
      <c r="M374" s="61" t="s">
        <v>589</v>
      </c>
      <c r="N374" s="149">
        <v>14</v>
      </c>
      <c r="O374" s="149">
        <v>15</v>
      </c>
      <c r="P374" s="61" t="s">
        <v>567</v>
      </c>
      <c r="Q374" s="61" t="s">
        <v>566</v>
      </c>
      <c r="R374" s="61">
        <v>50.037932599999998</v>
      </c>
      <c r="S374" s="61">
        <v>8.5621518000000005</v>
      </c>
      <c r="T374" s="61"/>
      <c r="U374" s="61" t="s">
        <v>622</v>
      </c>
      <c r="V374" s="61" t="s">
        <v>569</v>
      </c>
      <c r="W374" s="61" cm="1">
        <f t="array" ref="W374">getDistance(I374,J374,R374,S374)*SA!$B$12</f>
        <v>655.49865109245718</v>
      </c>
      <c r="Y374" s="137">
        <f>Transportation_LCIA!C$61*($W374^Transportation_LCIA!C$60)+Transportation_LCIA!C$62</f>
        <v>0.28808630932385726</v>
      </c>
      <c r="Z374" s="137">
        <f>Transportation_LCIA!D$61*($W374^Transportation_LCIA!D$60)+Transportation_LCIA!D$62</f>
        <v>3.0403453180333315</v>
      </c>
      <c r="AA374" s="137">
        <f>Transportation_LCIA!E$61*($W374^Transportation_LCIA!E$60)+Transportation_LCIA!E$62</f>
        <v>1.5496127326841335E-3</v>
      </c>
      <c r="AB374" s="137">
        <f>Transportation_LCIA!F$61*($W374^Transportation_LCIA!F$60)+Transportation_LCIA!F$62</f>
        <v>0.28808630932385726</v>
      </c>
      <c r="AC374" s="137">
        <f>Transportation_LCIA!G$61*($W374^Transportation_LCIA!G$60)+Transportation_LCIA!G$62</f>
        <v>7.0904955875308692E-2</v>
      </c>
      <c r="AD374" s="137">
        <f>Transportation_LCIA!H$61*($W374^Transportation_LCIA!H$60)+Transportation_LCIA!H$62</f>
        <v>3.6638661442350167E-4</v>
      </c>
      <c r="AE374" s="137">
        <f>Transportation_LCIA!I$61*($W374^Transportation_LCIA!I$60)+Transportation_LCIA!I$62</f>
        <v>8.1949302872625628E-6</v>
      </c>
      <c r="AF374" s="137">
        <f>Transportation_LCIA!J$61*($W374^Transportation_LCIA!J$60)+Transportation_LCIA!J$62</f>
        <v>1.216906133974993E-2</v>
      </c>
      <c r="AG374" s="137">
        <f>Transportation_LCIA!K$61*($W374^Transportation_LCIA!K$60)+Transportation_LCIA!K$62</f>
        <v>1.5391950999787709E-2</v>
      </c>
      <c r="AH374" s="137">
        <f>Transportation_LCIA!L$61*($W374^Transportation_LCIA!L$60)+Transportation_LCIA!L$62</f>
        <v>3.224475626051792E-4</v>
      </c>
      <c r="AI374" s="137">
        <f>Transportation_LCIA!M$61*($W374^Transportation_LCIA!M$60)+Transportation_LCIA!M$62</f>
        <v>2.9306665716547056E-4</v>
      </c>
      <c r="AJ374" s="137">
        <f>Transportation_LCIA!N$61*($W374^Transportation_LCIA!N$60)+Transportation_LCIA!N$62</f>
        <v>1.2908631335785605E-3</v>
      </c>
      <c r="AK374" s="137">
        <f>Transportation_LCIA!O$61*($W374^Transportation_LCIA!O$60)+Transportation_LCIA!O$62</f>
        <v>7.5013630480399058E-5</v>
      </c>
      <c r="AL374" s="137">
        <f>Transportation_LCIA!P$61*($W374^Transportation_LCIA!P$60)+Transportation_LCIA!P$62</f>
        <v>3.622947059126279E-8</v>
      </c>
      <c r="AM374" s="137">
        <f>Transportation_LCIA!Q$61*($W374^Transportation_LCIA!Q$60)+Transportation_LCIA!Q$62</f>
        <v>1.2728062224719001E-4</v>
      </c>
      <c r="AN374" s="137">
        <f>Transportation_LCIA!R$61*($W374^Transportation_LCIA!R$60)+Transportation_LCIA!R$62</f>
        <v>3.9383707879712856E-4</v>
      </c>
      <c r="AO374" s="137">
        <f>Transportation_LCIA!S$61*($W374^Transportation_LCIA!S$60)+Transportation_LCIA!S$62</f>
        <v>5.8462294863061377E-6</v>
      </c>
      <c r="AP374" s="137">
        <f>Transportation_LCIA!T$61*($W374^Transportation_LCIA!T$60)+Transportation_LCIA!T$62</f>
        <v>5.8462294863061377E-6</v>
      </c>
      <c r="AQ374" s="137">
        <f>Transportation_LCIA!U$61*($W374^Transportation_LCIA!U$60)+Transportation_LCIA!U$62</f>
        <v>8.5078004970210494E-4</v>
      </c>
      <c r="AR374" s="137">
        <f>Transportation_LCIA!V$61*($W374^Transportation_LCIA!V$60)+Transportation_LCIA!V$62</f>
        <v>3.311828503124549E-4</v>
      </c>
      <c r="AT374" s="137">
        <f>$W374*Y374+$L374*Summary_LCIA!H$34</f>
        <v>191.0249022399928</v>
      </c>
      <c r="AU374" s="137">
        <f ca="1">$W374*Z374+$L374*Summary_LCIA!Q$34</f>
        <v>2029.1797728343165</v>
      </c>
      <c r="AV374" s="137">
        <f ca="1">$W374*AA374+$L374*Summary_LCIA!R$34</f>
        <v>1.090779699990146</v>
      </c>
      <c r="AW374" s="137">
        <f ca="1">$W374*AB374+$L374*Summary_LCIA!S$34</f>
        <v>190.99485807999281</v>
      </c>
      <c r="AX374" s="137">
        <f ca="1">$W374*AC374+$L374*Summary_LCIA!T$34</f>
        <v>47.086702552035042</v>
      </c>
      <c r="AY374" s="137">
        <f ca="1">$W374*AD374+$L374*Summary_LCIA!U$34</f>
        <v>0.29413979553293756</v>
      </c>
      <c r="AZ374" s="137">
        <f ca="1">$W374*AE374+$L374*Summary_LCIA!V$34</f>
        <v>7.751034369097333E-3</v>
      </c>
      <c r="BA374" s="137">
        <f ca="1">$W374*AF374+$L374*Summary_LCIA!W$34</f>
        <v>9.4599109532674497</v>
      </c>
      <c r="BB374" s="137">
        <f ca="1">$W374*AG374+$L374*Summary_LCIA!X$34</f>
        <v>10.401111278042041</v>
      </c>
      <c r="BC374" s="137">
        <f ca="1">$W374*AH374+$L374*Summary_LCIA!Y$34</f>
        <v>0.26164096633574563</v>
      </c>
      <c r="BD374" s="137">
        <f ca="1">$W374*AI374+$L374*Summary_LCIA!Z$34</f>
        <v>0.19294113515214156</v>
      </c>
      <c r="BE374" s="137">
        <f ca="1">$W374*AJ374+$L374*Summary_LCIA!AA$34</f>
        <v>0.90667572680572872</v>
      </c>
      <c r="BF374" s="137">
        <f ca="1">$W374*AK374+$L374*Summary_LCIA!AB$34</f>
        <v>4.8967746267449611E-2</v>
      </c>
      <c r="BG374" s="137">
        <f ca="1">$W374*AL374+$L374*Summary_LCIA!AC$34</f>
        <v>2.3856401916366606E-5</v>
      </c>
      <c r="BH374" s="137">
        <f ca="1">$W374*AM374+$L374*Summary_LCIA!AD$34</f>
        <v>8.6694297393241651E-2</v>
      </c>
      <c r="BI374" s="137">
        <f ca="1">$W374*AN374+$L374*Summary_LCIA!AE$34</f>
        <v>0.2669599135017115</v>
      </c>
      <c r="BJ374" s="137">
        <f ca="1">$W374*AO374+$L374*Summary_LCIA!AF$34</f>
        <v>1.0811007942250622E-2</v>
      </c>
      <c r="BK374" s="137">
        <f ca="1">$W374*AP374+$L374*Summary_LCIA!AG$34</f>
        <v>3.9125313962506221E-3</v>
      </c>
      <c r="BL374" s="137">
        <f ca="1">$W374*AQ374+$L374*Summary_LCIA!AH$34</f>
        <v>0.62453049695610352</v>
      </c>
      <c r="BM374" s="137">
        <f ca="1">$W374*AR374+$L374*Summary_LCIA!AI$34</f>
        <v>0.22532711664476934</v>
      </c>
    </row>
    <row r="375" spans="1:65" x14ac:dyDescent="0.25">
      <c r="A375" s="149">
        <v>289</v>
      </c>
      <c r="B375" s="149">
        <v>15</v>
      </c>
      <c r="C375" s="61">
        <v>53.466729999999998</v>
      </c>
      <c r="D375" s="61">
        <v>-2.2341760000000002</v>
      </c>
      <c r="E375" s="61" t="s">
        <v>463</v>
      </c>
      <c r="F375" s="149">
        <v>7</v>
      </c>
      <c r="G375" s="61" t="s">
        <v>628</v>
      </c>
      <c r="H375" s="61" t="s">
        <v>629</v>
      </c>
      <c r="I375" s="61">
        <v>51.470022</v>
      </c>
      <c r="J375" s="61">
        <v>-0.45429599999999998</v>
      </c>
      <c r="K375" s="61">
        <v>261.38947339999999</v>
      </c>
      <c r="L375" s="61">
        <v>334.10500000000002</v>
      </c>
      <c r="M375" s="61" t="s">
        <v>589</v>
      </c>
      <c r="N375" s="149">
        <v>14</v>
      </c>
      <c r="O375" s="149">
        <v>15</v>
      </c>
      <c r="P375" s="61" t="s">
        <v>567</v>
      </c>
      <c r="Q375" s="61" t="s">
        <v>566</v>
      </c>
      <c r="R375" s="61">
        <v>50.037932599999998</v>
      </c>
      <c r="S375" s="61">
        <v>8.5621518000000005</v>
      </c>
      <c r="T375" s="61"/>
      <c r="U375" s="61" t="s">
        <v>622</v>
      </c>
      <c r="V375" s="61" t="s">
        <v>569</v>
      </c>
      <c r="W375" s="61" cm="1">
        <f t="array" ref="W375">getDistance(I375,J375,R375,S375)*SA!$B$12</f>
        <v>655.49865109245718</v>
      </c>
      <c r="Y375" s="137">
        <f>Transportation_LCIA!C$61*($W375^Transportation_LCIA!C$60)+Transportation_LCIA!C$62</f>
        <v>0.28808630932385726</v>
      </c>
      <c r="Z375" s="137">
        <f>Transportation_LCIA!D$61*($W375^Transportation_LCIA!D$60)+Transportation_LCIA!D$62</f>
        <v>3.0403453180333315</v>
      </c>
      <c r="AA375" s="137">
        <f>Transportation_LCIA!E$61*($W375^Transportation_LCIA!E$60)+Transportation_LCIA!E$62</f>
        <v>1.5496127326841335E-3</v>
      </c>
      <c r="AB375" s="137">
        <f>Transportation_LCIA!F$61*($W375^Transportation_LCIA!F$60)+Transportation_LCIA!F$62</f>
        <v>0.28808630932385726</v>
      </c>
      <c r="AC375" s="137">
        <f>Transportation_LCIA!G$61*($W375^Transportation_LCIA!G$60)+Transportation_LCIA!G$62</f>
        <v>7.0904955875308692E-2</v>
      </c>
      <c r="AD375" s="137">
        <f>Transportation_LCIA!H$61*($W375^Transportation_LCIA!H$60)+Transportation_LCIA!H$62</f>
        <v>3.6638661442350167E-4</v>
      </c>
      <c r="AE375" s="137">
        <f>Transportation_LCIA!I$61*($W375^Transportation_LCIA!I$60)+Transportation_LCIA!I$62</f>
        <v>8.1949302872625628E-6</v>
      </c>
      <c r="AF375" s="137">
        <f>Transportation_LCIA!J$61*($W375^Transportation_LCIA!J$60)+Transportation_LCIA!J$62</f>
        <v>1.216906133974993E-2</v>
      </c>
      <c r="AG375" s="137">
        <f>Transportation_LCIA!K$61*($W375^Transportation_LCIA!K$60)+Transportation_LCIA!K$62</f>
        <v>1.5391950999787709E-2</v>
      </c>
      <c r="AH375" s="137">
        <f>Transportation_LCIA!L$61*($W375^Transportation_LCIA!L$60)+Transportation_LCIA!L$62</f>
        <v>3.224475626051792E-4</v>
      </c>
      <c r="AI375" s="137">
        <f>Transportation_LCIA!M$61*($W375^Transportation_LCIA!M$60)+Transportation_LCIA!M$62</f>
        <v>2.9306665716547056E-4</v>
      </c>
      <c r="AJ375" s="137">
        <f>Transportation_LCIA!N$61*($W375^Transportation_LCIA!N$60)+Transportation_LCIA!N$62</f>
        <v>1.2908631335785605E-3</v>
      </c>
      <c r="AK375" s="137">
        <f>Transportation_LCIA!O$61*($W375^Transportation_LCIA!O$60)+Transportation_LCIA!O$62</f>
        <v>7.5013630480399058E-5</v>
      </c>
      <c r="AL375" s="137">
        <f>Transportation_LCIA!P$61*($W375^Transportation_LCIA!P$60)+Transportation_LCIA!P$62</f>
        <v>3.622947059126279E-8</v>
      </c>
      <c r="AM375" s="137">
        <f>Transportation_LCIA!Q$61*($W375^Transportation_LCIA!Q$60)+Transportation_LCIA!Q$62</f>
        <v>1.2728062224719001E-4</v>
      </c>
      <c r="AN375" s="137">
        <f>Transportation_LCIA!R$61*($W375^Transportation_LCIA!R$60)+Transportation_LCIA!R$62</f>
        <v>3.9383707879712856E-4</v>
      </c>
      <c r="AO375" s="137">
        <f>Transportation_LCIA!S$61*($W375^Transportation_LCIA!S$60)+Transportation_LCIA!S$62</f>
        <v>5.8462294863061377E-6</v>
      </c>
      <c r="AP375" s="137">
        <f>Transportation_LCIA!T$61*($W375^Transportation_LCIA!T$60)+Transportation_LCIA!T$62</f>
        <v>5.8462294863061377E-6</v>
      </c>
      <c r="AQ375" s="137">
        <f>Transportation_LCIA!U$61*($W375^Transportation_LCIA!U$60)+Transportation_LCIA!U$62</f>
        <v>8.5078004970210494E-4</v>
      </c>
      <c r="AR375" s="137">
        <f>Transportation_LCIA!V$61*($W375^Transportation_LCIA!V$60)+Transportation_LCIA!V$62</f>
        <v>3.311828503124549E-4</v>
      </c>
      <c r="AT375" s="137">
        <f>$W375*Y375+$L375*Summary_LCIA!H$34</f>
        <v>213.71831366999282</v>
      </c>
      <c r="AU375" s="137">
        <f ca="1">$W375*Z375+$L375*Summary_LCIA!Q$34</f>
        <v>2405.5917420152664</v>
      </c>
      <c r="AV375" s="137">
        <f ca="1">$W375*AA375+$L375*Summary_LCIA!R$34</f>
        <v>1.8699418989901462</v>
      </c>
      <c r="AW375" s="137">
        <f ca="1">$W375*AB375+$L375*Summary_LCIA!S$34</f>
        <v>213.37619014999282</v>
      </c>
      <c r="AX375" s="137">
        <f ca="1">$W375*AC375+$L375*Summary_LCIA!T$34</f>
        <v>53.408442947035041</v>
      </c>
      <c r="AY375" s="137">
        <f ca="1">$W375*AD375+$L375*Summary_LCIA!U$34</f>
        <v>0.85478548953293754</v>
      </c>
      <c r="AZ375" s="137">
        <f ca="1">$W375*AE375+$L375*Summary_LCIA!V$34</f>
        <v>3.2465342514097335E-2</v>
      </c>
      <c r="BA375" s="137">
        <f ca="1">$W375*AF375+$L375*Summary_LCIA!W$34</f>
        <v>24.865476938267449</v>
      </c>
      <c r="BB375" s="137">
        <f ca="1">$W375*AG375+$L375*Summary_LCIA!X$34</f>
        <v>13.638934638042041</v>
      </c>
      <c r="BC375" s="137">
        <f ca="1">$W375*AH375+$L375*Summary_LCIA!Y$34</f>
        <v>0.78388627033574565</v>
      </c>
      <c r="BD375" s="137">
        <f ca="1">$W375*AI375+$L375*Summary_LCIA!Z$34</f>
        <v>0.20162846147714156</v>
      </c>
      <c r="BE375" s="137">
        <f ca="1">$W375*AJ375+$L375*Summary_LCIA!AA$34</f>
        <v>1.5352840158057286</v>
      </c>
      <c r="BF375" s="137">
        <f ca="1">$W375*AK375+$L375*Summary_LCIA!AB$34</f>
        <v>4.6853012408949617E-2</v>
      </c>
      <c r="BG375" s="137">
        <f ca="1">$W375*AL375+$L375*Summary_LCIA!AC$34</f>
        <v>2.4978577122866603E-5</v>
      </c>
      <c r="BH375" s="137">
        <f ca="1">$W375*AM375+$L375*Summary_LCIA!AD$34</f>
        <v>0.12057807009324165</v>
      </c>
      <c r="BI375" s="137">
        <f ca="1">$W375*AN375+$L375*Summary_LCIA!AE$34</f>
        <v>0.35837112760171153</v>
      </c>
      <c r="BJ375" s="137">
        <f ca="1">$W375*AO375+$L375*Summary_LCIA!AF$34</f>
        <v>8.3302410842250624E-2</v>
      </c>
      <c r="BK375" s="137">
        <f ca="1">$W375*AP375+$L375*Summary_LCIA!AG$34</f>
        <v>4.7470084427506222E-3</v>
      </c>
      <c r="BL375" s="137">
        <f ca="1">$W375*AQ375+$L375*Summary_LCIA!AH$34</f>
        <v>1.3188765964561036</v>
      </c>
      <c r="BM375" s="137">
        <f ca="1">$W375*AR375+$L375*Summary_LCIA!AI$34</f>
        <v>0.31088989039476933</v>
      </c>
    </row>
    <row r="376" spans="1:65" x14ac:dyDescent="0.25">
      <c r="A376" s="149">
        <v>292</v>
      </c>
      <c r="B376" s="149">
        <v>15</v>
      </c>
      <c r="C376" s="61">
        <v>43.719819000000001</v>
      </c>
      <c r="D376" s="61">
        <v>10.402931000000001</v>
      </c>
      <c r="E376" s="61" t="s">
        <v>421</v>
      </c>
      <c r="F376" s="149">
        <v>51</v>
      </c>
      <c r="G376" s="61" t="s">
        <v>698</v>
      </c>
      <c r="H376" s="61" t="s">
        <v>716</v>
      </c>
      <c r="I376" s="61">
        <v>41.799886999999998</v>
      </c>
      <c r="J376" s="61">
        <v>12.246238</v>
      </c>
      <c r="K376" s="61">
        <v>278.4546272</v>
      </c>
      <c r="L376" s="61">
        <v>329.53500000000003</v>
      </c>
      <c r="M376" s="61" t="s">
        <v>617</v>
      </c>
      <c r="N376" s="149">
        <v>14</v>
      </c>
      <c r="O376" s="149">
        <v>15</v>
      </c>
      <c r="P376" s="61" t="s">
        <v>567</v>
      </c>
      <c r="Q376" s="61" t="s">
        <v>566</v>
      </c>
      <c r="R376" s="61">
        <v>50.037932599999998</v>
      </c>
      <c r="S376" s="61">
        <v>8.5621518000000005</v>
      </c>
      <c r="T376" s="61"/>
      <c r="U376" s="61" t="s">
        <v>622</v>
      </c>
      <c r="V376" s="61" t="s">
        <v>569</v>
      </c>
      <c r="W376" s="61" cm="1">
        <f t="array" ref="W376">getDistance(I376,J376,R376,S376)*SA!$B$12</f>
        <v>960.33096396061467</v>
      </c>
      <c r="Y376" s="137">
        <f>Transportation_LCIA!C$61*($W376^Transportation_LCIA!C$60)+Transportation_LCIA!C$62</f>
        <v>0.23978916330242275</v>
      </c>
      <c r="Z376" s="137">
        <f>Transportation_LCIA!D$61*($W376^Transportation_LCIA!D$60)+Transportation_LCIA!D$62</f>
        <v>2.4708787889542601</v>
      </c>
      <c r="AA376" s="137">
        <f>Transportation_LCIA!E$61*($W376^Transportation_LCIA!E$60)+Transportation_LCIA!E$62</f>
        <v>1.174109327635068E-3</v>
      </c>
      <c r="AB376" s="137">
        <f>Transportation_LCIA!F$61*($W376^Transportation_LCIA!F$60)+Transportation_LCIA!F$62</f>
        <v>0.23978916330242275</v>
      </c>
      <c r="AC376" s="137">
        <f>Transportation_LCIA!G$61*($W376^Transportation_LCIA!G$60)+Transportation_LCIA!G$62</f>
        <v>5.7737841551702487E-2</v>
      </c>
      <c r="AD376" s="137">
        <f>Transportation_LCIA!H$61*($W376^Transportation_LCIA!H$60)+Transportation_LCIA!H$62</f>
        <v>2.8334647040481186E-4</v>
      </c>
      <c r="AE376" s="137">
        <f>Transportation_LCIA!I$61*($W376^Transportation_LCIA!I$60)+Transportation_LCIA!I$62</f>
        <v>6.0850967306403664E-6</v>
      </c>
      <c r="AF376" s="137">
        <f>Transportation_LCIA!J$61*($W376^Transportation_LCIA!J$60)+Transportation_LCIA!J$62</f>
        <v>9.0078905630086234E-3</v>
      </c>
      <c r="AG376" s="137">
        <f>Transportation_LCIA!K$61*($W376^Transportation_LCIA!K$60)+Transportation_LCIA!K$62</f>
        <v>1.230224715256964E-2</v>
      </c>
      <c r="AH376" s="137">
        <f>Transportation_LCIA!L$61*($W376^Transportation_LCIA!L$60)+Transportation_LCIA!L$62</f>
        <v>2.4590448371425308E-4</v>
      </c>
      <c r="AI376" s="137">
        <f>Transportation_LCIA!M$61*($W376^Transportation_LCIA!M$60)+Transportation_LCIA!M$62</f>
        <v>2.4722323152264391E-4</v>
      </c>
      <c r="AJ376" s="137">
        <f>Transportation_LCIA!N$61*($W376^Transportation_LCIA!N$60)+Transportation_LCIA!N$62</f>
        <v>1.0118732947864647E-3</v>
      </c>
      <c r="AK376" s="137">
        <f>Transportation_LCIA!O$61*($W376^Transportation_LCIA!O$60)+Transportation_LCIA!O$62</f>
        <v>6.1017911221320582E-5</v>
      </c>
      <c r="AL376" s="137">
        <f>Transportation_LCIA!P$61*($W376^Transportation_LCIA!P$60)+Transportation_LCIA!P$62</f>
        <v>2.9505637910099093E-8</v>
      </c>
      <c r="AM376" s="137">
        <f>Transportation_LCIA!Q$61*($W376^Transportation_LCIA!Q$60)+Transportation_LCIA!Q$62</f>
        <v>9.7309772323205714E-5</v>
      </c>
      <c r="AN376" s="137">
        <f>Transportation_LCIA!R$61*($W376^Transportation_LCIA!R$60)+Transportation_LCIA!R$62</f>
        <v>2.926416879903948E-4</v>
      </c>
      <c r="AO376" s="137">
        <f>Transportation_LCIA!S$61*($W376^Transportation_LCIA!S$60)+Transportation_LCIA!S$62</f>
        <v>4.4106471577943657E-6</v>
      </c>
      <c r="AP376" s="137">
        <f>Transportation_LCIA!T$61*($W376^Transportation_LCIA!T$60)+Transportation_LCIA!T$62</f>
        <v>4.4106471577943657E-6</v>
      </c>
      <c r="AQ376" s="137">
        <f>Transportation_LCIA!U$61*($W376^Transportation_LCIA!U$60)+Transportation_LCIA!U$62</f>
        <v>6.284668197431289E-4</v>
      </c>
      <c r="AR376" s="137">
        <f>Transportation_LCIA!V$61*($W376^Transportation_LCIA!V$60)+Transportation_LCIA!V$62</f>
        <v>2.5307125805150313E-4</v>
      </c>
      <c r="AT376" s="137">
        <f>$W376*Y376+$L376*Summary_LCIA!H$32</f>
        <v>342.25295134152492</v>
      </c>
      <c r="AU376" s="137">
        <f>$W376*Z376+$L376*Summary_LCIA!Q$32</f>
        <v>4006.0534886649357</v>
      </c>
      <c r="AV376" s="137">
        <f>$W376*AA376+$L376*Summary_LCIA!R$32</f>
        <v>2.8627330384029337</v>
      </c>
      <c r="AW376" s="137">
        <f>$W376*AB376+$L376*Summary_LCIA!S$32</f>
        <v>340.79640664152492</v>
      </c>
      <c r="AX376" s="137">
        <f>$W376*AC376+$L376*Summary_LCIA!T$32</f>
        <v>91.663333534351679</v>
      </c>
      <c r="AY376" s="137">
        <f>$W376*AD376+$L376*Summary_LCIA!U$32</f>
        <v>6.1753963790586912</v>
      </c>
      <c r="AZ376" s="137">
        <f>$W376*AE376+$L376*Summary_LCIA!V$32</f>
        <v>2.1582627944129448E-2</v>
      </c>
      <c r="BA376" s="137">
        <f>$W376*AF376+$L376*Summary_LCIA!W$32</f>
        <v>34.015194712625799</v>
      </c>
      <c r="BB376" s="137">
        <f>$W376*AG376+$L376*Summary_LCIA!X$32</f>
        <v>19.321036166908929</v>
      </c>
      <c r="BC376" s="137">
        <f>$W376*AH376+$L376*Summary_LCIA!Y$32</f>
        <v>5.3709640598875463</v>
      </c>
      <c r="BD376" s="137">
        <f>$W376*AI376+$L376*Summary_LCIA!Z$32</f>
        <v>0.25093002505659884</v>
      </c>
      <c r="BE376" s="137">
        <f>$W376*AJ376+$L376*Summary_LCIA!AA$32</f>
        <v>8.6683527165882897</v>
      </c>
      <c r="BF376" s="137">
        <f>$W376*AK376+$L376*Summary_LCIA!AB$32</f>
        <v>5.1405947197034001E-2</v>
      </c>
      <c r="BG376" s="137">
        <f>$W376*AL376+$L376*Summary_LCIA!AC$32</f>
        <v>4.4444166636478321E-5</v>
      </c>
      <c r="BH376" s="137">
        <f>$W376*AM376+$L376*Summary_LCIA!AD$32</f>
        <v>0.2289016538579321</v>
      </c>
      <c r="BI376" s="137">
        <f>$W376*AN376+$L376*Summary_LCIA!AE$32</f>
        <v>0.57304372387287728</v>
      </c>
      <c r="BJ376" s="137">
        <f>$W376*AO376+$L376*Summary_LCIA!AF$32</f>
        <v>0.28283116073673487</v>
      </c>
      <c r="BK376" s="137">
        <f>$W376*AP376+$L376*Summary_LCIA!AG$32</f>
        <v>2.109633931173481E-2</v>
      </c>
      <c r="BL376" s="137">
        <f>$W376*AQ376+$L376*Summary_LCIA!AH$32</f>
        <v>3.4716769728211814</v>
      </c>
      <c r="BM376" s="137">
        <f>$W376*AR376+$L376*Summary_LCIA!AI$32</f>
        <v>0.55001049444532546</v>
      </c>
    </row>
    <row r="377" spans="1:65" x14ac:dyDescent="0.25">
      <c r="A377" s="149">
        <v>308</v>
      </c>
      <c r="B377" s="149">
        <v>15</v>
      </c>
      <c r="C377" s="61">
        <v>18.520430000000001</v>
      </c>
      <c r="D377" s="61">
        <v>73.856744000000006</v>
      </c>
      <c r="E377" s="61" t="s">
        <v>268</v>
      </c>
      <c r="F377" s="149">
        <v>41</v>
      </c>
      <c r="G377" s="61" t="s">
        <v>704</v>
      </c>
      <c r="H377" s="61" t="s">
        <v>717</v>
      </c>
      <c r="I377" s="61">
        <v>19.089559999999999</v>
      </c>
      <c r="J377" s="61">
        <v>72.865613999999994</v>
      </c>
      <c r="K377" s="61">
        <v>138.57053590000001</v>
      </c>
      <c r="L377" s="61">
        <v>150.84200000000001</v>
      </c>
      <c r="M377" s="61" t="s">
        <v>617</v>
      </c>
      <c r="N377" s="149">
        <v>14</v>
      </c>
      <c r="O377" s="149">
        <v>15</v>
      </c>
      <c r="P377" s="61" t="s">
        <v>567</v>
      </c>
      <c r="Q377" s="61" t="s">
        <v>566</v>
      </c>
      <c r="R377" s="61">
        <v>50.037932599999998</v>
      </c>
      <c r="S377" s="61">
        <v>8.5621518000000005</v>
      </c>
      <c r="T377" s="61"/>
      <c r="U377" s="61" t="s">
        <v>622</v>
      </c>
      <c r="V377" s="61" t="s">
        <v>569</v>
      </c>
      <c r="W377" s="61" cm="1">
        <f t="array" ref="W377">getDistance(I377,J377,R377,S377)*SA!$B$12</f>
        <v>6580.2744353943472</v>
      </c>
      <c r="Y377" s="137">
        <f>Transportation_LCIA!C$61*($W377^Transportation_LCIA!C$60)+Transportation_LCIA!C$62</f>
        <v>0.13733361124554672</v>
      </c>
      <c r="Z377" s="137">
        <f>Transportation_LCIA!D$61*($W377^Transportation_LCIA!D$60)+Transportation_LCIA!D$62</f>
        <v>1.3096052149503097</v>
      </c>
      <c r="AA377" s="137">
        <f>Transportation_LCIA!E$61*($W377^Transportation_LCIA!E$60)+Transportation_LCIA!E$62</f>
        <v>4.167549847883517E-4</v>
      </c>
      <c r="AB377" s="137">
        <f>Transportation_LCIA!F$61*($W377^Transportation_LCIA!F$60)+Transportation_LCIA!F$62</f>
        <v>0.13733361124554672</v>
      </c>
      <c r="AC377" s="137">
        <f>Transportation_LCIA!G$61*($W377^Transportation_LCIA!G$60)+Transportation_LCIA!G$62</f>
        <v>3.0825516683626344E-2</v>
      </c>
      <c r="AD377" s="137">
        <f>Transportation_LCIA!H$61*($W377^Transportation_LCIA!H$60)+Transportation_LCIA!H$62</f>
        <v>1.1944712567135815E-4</v>
      </c>
      <c r="AE377" s="137">
        <f>Transportation_LCIA!I$61*($W377^Transportation_LCIA!I$60)+Transportation_LCIA!I$62</f>
        <v>2.0622065954474047E-6</v>
      </c>
      <c r="AF377" s="137">
        <f>Transportation_LCIA!J$61*($W377^Transportation_LCIA!J$60)+Transportation_LCIA!J$62</f>
        <v>3.1136555102907462E-3</v>
      </c>
      <c r="AG377" s="137">
        <f>Transportation_LCIA!K$61*($W377^Transportation_LCIA!K$60)+Transportation_LCIA!K$62</f>
        <v>6.1108474220744136E-3</v>
      </c>
      <c r="AH377" s="137">
        <f>Transportation_LCIA!L$61*($W377^Transportation_LCIA!L$60)+Transportation_LCIA!L$62</f>
        <v>9.6312916085844412E-5</v>
      </c>
      <c r="AI377" s="137">
        <f>Transportation_LCIA!M$61*($W377^Transportation_LCIA!M$60)+Transportation_LCIA!M$62</f>
        <v>1.5684659821607017E-4</v>
      </c>
      <c r="AJ377" s="137">
        <f>Transportation_LCIA!N$61*($W377^Transportation_LCIA!N$60)+Transportation_LCIA!N$62</f>
        <v>4.5969846283624706E-4</v>
      </c>
      <c r="AK377" s="137">
        <f>Transportation_LCIA!O$61*($W377^Transportation_LCIA!O$60)+Transportation_LCIA!O$62</f>
        <v>3.2442843105639033E-5</v>
      </c>
      <c r="AL377" s="137">
        <f>Transportation_LCIA!P$61*($W377^Transportation_LCIA!P$60)+Transportation_LCIA!P$62</f>
        <v>1.5737426471474715E-8</v>
      </c>
      <c r="AM377" s="137">
        <f>Transportation_LCIA!Q$61*($W377^Transportation_LCIA!Q$60)+Transportation_LCIA!Q$62</f>
        <v>3.9046217964547763E-5</v>
      </c>
      <c r="AN377" s="137">
        <f>Transportation_LCIA!R$61*($W377^Transportation_LCIA!R$60)+Transportation_LCIA!R$62</f>
        <v>9.9849108078312195E-5</v>
      </c>
      <c r="AO377" s="137">
        <f>Transportation_LCIA!S$61*($W377^Transportation_LCIA!S$60)+Transportation_LCIA!S$62</f>
        <v>1.6714358989519649E-6</v>
      </c>
      <c r="AP377" s="137">
        <f>Transportation_LCIA!T$61*($W377^Transportation_LCIA!T$60)+Transportation_LCIA!T$62</f>
        <v>1.6714358989519649E-6</v>
      </c>
      <c r="AQ377" s="137">
        <f>Transportation_LCIA!U$61*($W377^Transportation_LCIA!U$60)+Transportation_LCIA!U$62</f>
        <v>2.0767311130637152E-4</v>
      </c>
      <c r="AR377" s="137">
        <f>Transportation_LCIA!V$61*($W377^Transportation_LCIA!V$60)+Transportation_LCIA!V$62</f>
        <v>1.0225493834790514E-4</v>
      </c>
      <c r="AT377" s="137">
        <f>$W377*Y377+$L377*Summary_LCIA!H$32</f>
        <v>954.94896279945669</v>
      </c>
      <c r="AU377" s="137">
        <f>$W377*Z377+$L377*Summary_LCIA!Q$32</f>
        <v>9365.1422758112276</v>
      </c>
      <c r="AV377" s="137">
        <f>$W377*AA377+$L377*Summary_LCIA!R$32</f>
        <v>3.536635807425951</v>
      </c>
      <c r="AW377" s="137">
        <f>$W377*AB377+$L377*Summary_LCIA!S$32</f>
        <v>954.28224115945659</v>
      </c>
      <c r="AX377" s="137">
        <f>$W377*AC377+$L377*Summary_LCIA!T$32</f>
        <v>219.41789519108835</v>
      </c>
      <c r="AY377" s="137">
        <f>$W377*AD377+$L377*Summary_LCIA!U$32</f>
        <v>3.4881784554365738</v>
      </c>
      <c r="AZ377" s="137">
        <f>$W377*AE377+$L377*Summary_LCIA!V$32</f>
        <v>2.0774250102524171E-2</v>
      </c>
      <c r="BA377" s="137">
        <f>$W377*AF377+$L377*Summary_LCIA!W$32</f>
        <v>32.099167336990938</v>
      </c>
      <c r="BB377" s="137">
        <f>$W377*AG377+$L377*Summary_LCIA!X$32</f>
        <v>43.647233830071713</v>
      </c>
      <c r="BC377" s="137">
        <f>$W377*AH377+$L377*Summary_LCIA!Y$32</f>
        <v>2.9841854635179632</v>
      </c>
      <c r="BD377" s="137">
        <f>$W377*AI377+$L377*Summary_LCIA!Z$32</f>
        <v>1.0382795400977753</v>
      </c>
      <c r="BE377" s="137">
        <f>$W377*AJ377+$L377*Summary_LCIA!AA$32</f>
        <v>6.5480077949914346</v>
      </c>
      <c r="BF377" s="137">
        <f>$W377*AK377+$L377*Summary_LCIA!AB$32</f>
        <v>0.21019098613354628</v>
      </c>
      <c r="BG377" s="137">
        <f>$W377*AL377+$L377*Summary_LCIA!AC$32</f>
        <v>1.1093034541714334E-4</v>
      </c>
      <c r="BH377" s="137">
        <f>$W377*AM377+$L377*Summary_LCIA!AD$32</f>
        <v>0.3189369255509491</v>
      </c>
      <c r="BI377" s="137">
        <f>$W377*AN377+$L377*Summary_LCIA!AE$32</f>
        <v>0.79070015474464483</v>
      </c>
      <c r="BJ377" s="137">
        <f>$W377*AO377+$L377*Summary_LCIA!AF$32</f>
        <v>0.13852335055627402</v>
      </c>
      <c r="BK377" s="137">
        <f>$W377*AP377+$L377*Summary_LCIA!AG$32</f>
        <v>1.8716337846273984E-2</v>
      </c>
      <c r="BL377" s="137">
        <f>$W377*AQ377+$L377*Summary_LCIA!AH$32</f>
        <v>2.6794144964481217</v>
      </c>
      <c r="BM377" s="137">
        <f>$W377*AR377+$L377*Summary_LCIA!AI$32</f>
        <v>0.81338242180354525</v>
      </c>
    </row>
    <row r="378" spans="1:65" x14ac:dyDescent="0.25">
      <c r="A378" s="149">
        <v>309</v>
      </c>
      <c r="B378" s="149">
        <v>43</v>
      </c>
      <c r="C378" s="61">
        <v>-22.912496000000001</v>
      </c>
      <c r="D378" s="61">
        <v>-43.224753999999997</v>
      </c>
      <c r="E378" s="61" t="s">
        <v>465</v>
      </c>
      <c r="F378" s="149">
        <v>52</v>
      </c>
      <c r="G378" s="61" t="s">
        <v>682</v>
      </c>
      <c r="H378" s="61" t="s">
        <v>683</v>
      </c>
      <c r="I378" s="61">
        <v>-23.430572999999999</v>
      </c>
      <c r="J378" s="61">
        <v>-46.473042999999997</v>
      </c>
      <c r="K378" s="61">
        <v>339.4912473</v>
      </c>
      <c r="L378" s="61">
        <v>415.65699999999998</v>
      </c>
      <c r="M378" s="61" t="s">
        <v>617</v>
      </c>
      <c r="N378" s="149">
        <v>42</v>
      </c>
      <c r="O378" s="149">
        <v>43</v>
      </c>
      <c r="P378" s="61" t="s">
        <v>565</v>
      </c>
      <c r="Q378" s="61" t="s">
        <v>555</v>
      </c>
      <c r="R378" s="61">
        <v>40.6895314</v>
      </c>
      <c r="S378" s="61">
        <v>-74.174462399999996</v>
      </c>
      <c r="T378" s="61"/>
      <c r="U378" s="61" t="s">
        <v>622</v>
      </c>
      <c r="V378" s="61" t="s">
        <v>569</v>
      </c>
      <c r="W378" s="61" cm="1">
        <f t="array" ref="W378">getDistance(I378,J378,R378,S378)*SA!$B$12</f>
        <v>7675.4977192762117</v>
      </c>
      <c r="Y378" s="137">
        <f>Transportation_LCIA!C$61*($W378^Transportation_LCIA!C$60)+Transportation_LCIA!C$62</f>
        <v>0.13424943238738063</v>
      </c>
      <c r="Z378" s="137">
        <f>Transportation_LCIA!D$61*($W378^Transportation_LCIA!D$60)+Transportation_LCIA!D$62</f>
        <v>1.2765543631290379</v>
      </c>
      <c r="AA378" s="137">
        <f>Transportation_LCIA!E$61*($W378^Transportation_LCIA!E$60)+Transportation_LCIA!E$62</f>
        <v>3.9553900962361856E-4</v>
      </c>
      <c r="AB378" s="137">
        <f>Transportation_LCIA!F$61*($W378^Transportation_LCIA!F$60)+Transportation_LCIA!F$62</f>
        <v>0.13424943238738063</v>
      </c>
      <c r="AC378" s="137">
        <f>Transportation_LCIA!G$61*($W378^Transportation_LCIA!G$60)+Transportation_LCIA!G$62</f>
        <v>3.0057048635015446E-2</v>
      </c>
      <c r="AD378" s="137">
        <f>Transportation_LCIA!H$61*($W378^Transportation_LCIA!H$60)+Transportation_LCIA!H$62</f>
        <v>1.149978281190226E-4</v>
      </c>
      <c r="AE378" s="137">
        <f>Transportation_LCIA!I$61*($W378^Transportation_LCIA!I$60)+Transportation_LCIA!I$62</f>
        <v>1.9584230783402369E-6</v>
      </c>
      <c r="AF378" s="137">
        <f>Transportation_LCIA!J$61*($W378^Transportation_LCIA!J$60)+Transportation_LCIA!J$62</f>
        <v>2.9666033230189414E-3</v>
      </c>
      <c r="AG378" s="137">
        <f>Transportation_LCIA!K$61*($W378^Transportation_LCIA!K$60)+Transportation_LCIA!K$62</f>
        <v>5.939023856835134E-3</v>
      </c>
      <c r="AH378" s="137">
        <f>Transportation_LCIA!L$61*($W378^Transportation_LCIA!L$60)+Transportation_LCIA!L$62</f>
        <v>9.231034679941437E-5</v>
      </c>
      <c r="AI378" s="137">
        <f>Transportation_LCIA!M$61*($W378^Transportation_LCIA!M$60)+Transportation_LCIA!M$62</f>
        <v>1.5439739462800624E-4</v>
      </c>
      <c r="AJ378" s="137">
        <f>Transportation_LCIA!N$61*($W378^Transportation_LCIA!N$60)+Transportation_LCIA!N$62</f>
        <v>4.4464828300701579E-4</v>
      </c>
      <c r="AK378" s="137">
        <f>Transportation_LCIA!O$61*($W378^Transportation_LCIA!O$60)+Transportation_LCIA!O$62</f>
        <v>3.1628157862202805E-5</v>
      </c>
      <c r="AL378" s="137">
        <f>Transportation_LCIA!P$61*($W378^Transportation_LCIA!P$60)+Transportation_LCIA!P$62</f>
        <v>1.5343242797536933E-8</v>
      </c>
      <c r="AM378" s="137">
        <f>Transportation_LCIA!Q$61*($W378^Transportation_LCIA!Q$60)+Transportation_LCIA!Q$62</f>
        <v>3.7499396651848744E-5</v>
      </c>
      <c r="AN378" s="137">
        <f>Transportation_LCIA!R$61*($W378^Transportation_LCIA!R$60)+Transportation_LCIA!R$62</f>
        <v>9.4881540131120523E-5</v>
      </c>
      <c r="AO378" s="137">
        <f>Transportation_LCIA!S$61*($W378^Transportation_LCIA!S$60)+Transportation_LCIA!S$62</f>
        <v>1.6006945379788757E-6</v>
      </c>
      <c r="AP378" s="137">
        <f>Transportation_LCIA!T$61*($W378^Transportation_LCIA!T$60)+Transportation_LCIA!T$62</f>
        <v>1.6006945379788757E-6</v>
      </c>
      <c r="AQ378" s="137">
        <f>Transportation_LCIA!U$61*($W378^Transportation_LCIA!U$60)+Transportation_LCIA!U$62</f>
        <v>1.9693553473578207E-4</v>
      </c>
      <c r="AR378" s="137">
        <f>Transportation_LCIA!V$61*($W378^Transportation_LCIA!V$60)+Transportation_LCIA!V$62</f>
        <v>9.8291109398391277E-5</v>
      </c>
      <c r="AT378" s="137">
        <f>$W378*Y378+$L378*Summary_LCIA!H$32</f>
        <v>1171.671460703466</v>
      </c>
      <c r="AU378" s="137">
        <f>$W378*Z378+$L378*Summary_LCIA!Q$32</f>
        <v>11858.207157558509</v>
      </c>
      <c r="AV378" s="137">
        <f>$W378*AA378+$L378*Summary_LCIA!R$32</f>
        <v>5.2246422654508553</v>
      </c>
      <c r="AW378" s="137">
        <f>$W378*AB378+$L378*Summary_LCIA!S$32</f>
        <v>1169.8342567634659</v>
      </c>
      <c r="AX378" s="137">
        <f>$W378*AC378+$L378*Summary_LCIA!T$32</f>
        <v>276.38351254623524</v>
      </c>
      <c r="AY378" s="137">
        <f>$W378*AD378+$L378*Summary_LCIA!U$32</f>
        <v>8.3287450654492758</v>
      </c>
      <c r="AZ378" s="137">
        <f>$W378*AE378+$L378*Summary_LCIA!V$32</f>
        <v>3.4884065848178381E-2</v>
      </c>
      <c r="BA378" s="137">
        <f>$W378*AF378+$L378*Summary_LCIA!W$32</f>
        <v>54.763691986829116</v>
      </c>
      <c r="BB378" s="137">
        <f>$W378*AG378+$L378*Summary_LCIA!X$32</f>
        <v>55.053630527865081</v>
      </c>
      <c r="BC378" s="137">
        <f>$W378*AH378+$L378*Summary_LCIA!Y$32</f>
        <v>7.1852952303245008</v>
      </c>
      <c r="BD378" s="137">
        <f>$W378*AI378+$L378*Summary_LCIA!Z$32</f>
        <v>1.202122528242451</v>
      </c>
      <c r="BE378" s="137">
        <f>$W378*AJ378+$L378*Summary_LCIA!AA$32</f>
        <v>13.120981774100432</v>
      </c>
      <c r="BF378" s="137">
        <f>$W378*AK378+$L378*Summary_LCIA!AB$32</f>
        <v>0.23369097082524559</v>
      </c>
      <c r="BG378" s="137">
        <f>$W378*AL378+$L378*Summary_LCIA!AC$32</f>
        <v>1.3808600188679589E-4</v>
      </c>
      <c r="BH378" s="137">
        <f>$W378*AM378+$L378*Summary_LCIA!AD$32</f>
        <v>0.45867818675549898</v>
      </c>
      <c r="BI378" s="137">
        <f>$W378*AN378+$L378*Summary_LCIA!AE$32</f>
        <v>1.09658918228783</v>
      </c>
      <c r="BJ378" s="137">
        <f>$W378*AO378+$L378*Summary_LCIA!AF$32</f>
        <v>0.36369086821551477</v>
      </c>
      <c r="BK378" s="137">
        <f>$W378*AP378+$L378*Summary_LCIA!AG$32</f>
        <v>3.3553217680514752E-2</v>
      </c>
      <c r="BL378" s="137">
        <f>$W378*AQ378+$L378*Summary_LCIA!AH$32</f>
        <v>5.1292905129089368</v>
      </c>
      <c r="BM378" s="137">
        <f>$W378*AR378+$L378*Summary_LCIA!AI$32</f>
        <v>1.1416384643624808</v>
      </c>
    </row>
    <row r="379" spans="1:65" x14ac:dyDescent="0.25">
      <c r="A379" s="149">
        <v>335</v>
      </c>
      <c r="B379" s="149">
        <v>43</v>
      </c>
      <c r="C379" s="61">
        <v>-23.550519999999999</v>
      </c>
      <c r="D379" s="61">
        <v>-46.633308999999997</v>
      </c>
      <c r="E379" s="61" t="s">
        <v>465</v>
      </c>
      <c r="F379" s="149">
        <v>52</v>
      </c>
      <c r="G379" s="61" t="s">
        <v>682</v>
      </c>
      <c r="H379" s="61" t="s">
        <v>683</v>
      </c>
      <c r="I379" s="61">
        <v>-23.430572999999999</v>
      </c>
      <c r="J379" s="61">
        <v>-46.473042999999997</v>
      </c>
      <c r="K379" s="61">
        <v>21.411766369999999</v>
      </c>
      <c r="L379" s="61">
        <v>29.187000000000001</v>
      </c>
      <c r="M379" s="61" t="s">
        <v>617</v>
      </c>
      <c r="N379" s="149">
        <v>42</v>
      </c>
      <c r="O379" s="149">
        <v>43</v>
      </c>
      <c r="P379" s="61" t="s">
        <v>565</v>
      </c>
      <c r="Q379" s="61" t="s">
        <v>555</v>
      </c>
      <c r="R379" s="61">
        <v>40.6895314</v>
      </c>
      <c r="S379" s="61">
        <v>-74.174462399999996</v>
      </c>
      <c r="T379" s="61"/>
      <c r="U379" s="61" t="s">
        <v>622</v>
      </c>
      <c r="V379" s="61" t="s">
        <v>569</v>
      </c>
      <c r="W379" s="61" cm="1">
        <f t="array" ref="W379">getDistance(I379,J379,R379,S379)*SA!$B$12</f>
        <v>7675.4977192762117</v>
      </c>
      <c r="Y379" s="137">
        <f>Transportation_LCIA!C$61*($W379^Transportation_LCIA!C$60)+Transportation_LCIA!C$62</f>
        <v>0.13424943238738063</v>
      </c>
      <c r="Z379" s="137">
        <f>Transportation_LCIA!D$61*($W379^Transportation_LCIA!D$60)+Transportation_LCIA!D$62</f>
        <v>1.2765543631290379</v>
      </c>
      <c r="AA379" s="137">
        <f>Transportation_LCIA!E$61*($W379^Transportation_LCIA!E$60)+Transportation_LCIA!E$62</f>
        <v>3.9553900962361856E-4</v>
      </c>
      <c r="AB379" s="137">
        <f>Transportation_LCIA!F$61*($W379^Transportation_LCIA!F$60)+Transportation_LCIA!F$62</f>
        <v>0.13424943238738063</v>
      </c>
      <c r="AC379" s="137">
        <f>Transportation_LCIA!G$61*($W379^Transportation_LCIA!G$60)+Transportation_LCIA!G$62</f>
        <v>3.0057048635015446E-2</v>
      </c>
      <c r="AD379" s="137">
        <f>Transportation_LCIA!H$61*($W379^Transportation_LCIA!H$60)+Transportation_LCIA!H$62</f>
        <v>1.149978281190226E-4</v>
      </c>
      <c r="AE379" s="137">
        <f>Transportation_LCIA!I$61*($W379^Transportation_LCIA!I$60)+Transportation_LCIA!I$62</f>
        <v>1.9584230783402369E-6</v>
      </c>
      <c r="AF379" s="137">
        <f>Transportation_LCIA!J$61*($W379^Transportation_LCIA!J$60)+Transportation_LCIA!J$62</f>
        <v>2.9666033230189414E-3</v>
      </c>
      <c r="AG379" s="137">
        <f>Transportation_LCIA!K$61*($W379^Transportation_LCIA!K$60)+Transportation_LCIA!K$62</f>
        <v>5.939023856835134E-3</v>
      </c>
      <c r="AH379" s="137">
        <f>Transportation_LCIA!L$61*($W379^Transportation_LCIA!L$60)+Transportation_LCIA!L$62</f>
        <v>9.231034679941437E-5</v>
      </c>
      <c r="AI379" s="137">
        <f>Transportation_LCIA!M$61*($W379^Transportation_LCIA!M$60)+Transportation_LCIA!M$62</f>
        <v>1.5439739462800624E-4</v>
      </c>
      <c r="AJ379" s="137">
        <f>Transportation_LCIA!N$61*($W379^Transportation_LCIA!N$60)+Transportation_LCIA!N$62</f>
        <v>4.4464828300701579E-4</v>
      </c>
      <c r="AK379" s="137">
        <f>Transportation_LCIA!O$61*($W379^Transportation_LCIA!O$60)+Transportation_LCIA!O$62</f>
        <v>3.1628157862202805E-5</v>
      </c>
      <c r="AL379" s="137">
        <f>Transportation_LCIA!P$61*($W379^Transportation_LCIA!P$60)+Transportation_LCIA!P$62</f>
        <v>1.5343242797536933E-8</v>
      </c>
      <c r="AM379" s="137">
        <f>Transportation_LCIA!Q$61*($W379^Transportation_LCIA!Q$60)+Transportation_LCIA!Q$62</f>
        <v>3.7499396651848744E-5</v>
      </c>
      <c r="AN379" s="137">
        <f>Transportation_LCIA!R$61*($W379^Transportation_LCIA!R$60)+Transportation_LCIA!R$62</f>
        <v>9.4881540131120523E-5</v>
      </c>
      <c r="AO379" s="137">
        <f>Transportation_LCIA!S$61*($W379^Transportation_LCIA!S$60)+Transportation_LCIA!S$62</f>
        <v>1.6006945379788757E-6</v>
      </c>
      <c r="AP379" s="137">
        <f>Transportation_LCIA!T$61*($W379^Transportation_LCIA!T$60)+Transportation_LCIA!T$62</f>
        <v>1.6006945379788757E-6</v>
      </c>
      <c r="AQ379" s="137">
        <f>Transportation_LCIA!U$61*($W379^Transportation_LCIA!U$60)+Transportation_LCIA!U$62</f>
        <v>1.9693553473578207E-4</v>
      </c>
      <c r="AR379" s="137">
        <f>Transportation_LCIA!V$61*($W379^Transportation_LCIA!V$60)+Transportation_LCIA!V$62</f>
        <v>9.8291109398391277E-5</v>
      </c>
      <c r="AT379" s="137">
        <f>$W379*Y379+$L379*Summary_LCIA!H$32</f>
        <v>1040.348954703466</v>
      </c>
      <c r="AU379" s="137">
        <f>$W379*Z379+$L379*Summary_LCIA!Q$32</f>
        <v>9942.8423467169996</v>
      </c>
      <c r="AV379" s="137">
        <f>$W379*AA379+$L379*Summary_LCIA!R$32</f>
        <v>3.1896458334508555</v>
      </c>
      <c r="AW379" s="137">
        <f>$W379*AB379+$L379*Summary_LCIA!S$32</f>
        <v>1040.2199481634659</v>
      </c>
      <c r="AX379" s="137">
        <f>$W379*AC379+$L379*Summary_LCIA!T$32</f>
        <v>233.91045954623524</v>
      </c>
      <c r="AY379" s="137">
        <f>$W379*AD379+$L379*Summary_LCIA!U$32</f>
        <v>1.4055214854492757</v>
      </c>
      <c r="AZ379" s="137">
        <f>$W379*AE379+$L379*Summary_LCIA!V$32</f>
        <v>1.6425872178178386E-2</v>
      </c>
      <c r="BA379" s="137">
        <f>$W379*AF379+$L379*Summary_LCIA!W$32</f>
        <v>25.016709616829115</v>
      </c>
      <c r="BB379" s="137">
        <f>$W379*AG379+$L379*Summary_LCIA!X$32</f>
        <v>46.249843927865079</v>
      </c>
      <c r="BC379" s="137">
        <f>$W379*AH379+$L379*Summary_LCIA!Y$32</f>
        <v>1.1633196903245011</v>
      </c>
      <c r="BD379" s="137">
        <f>$W379*AI379+$L379*Summary_LCIA!Z$32</f>
        <v>1.186273780012451</v>
      </c>
      <c r="BE379" s="137">
        <f>$W379*AJ379+$L379*Summary_LCIA!AA$32</f>
        <v>4.0945884541004327</v>
      </c>
      <c r="BF379" s="137">
        <f>$W379*AK379+$L379*Summary_LCIA!AB$32</f>
        <v>0.24212490563524561</v>
      </c>
      <c r="BG379" s="137">
        <f>$W379*AL379+$L379*Summary_LCIA!AC$32</f>
        <v>1.1919380240679588E-4</v>
      </c>
      <c r="BH379" s="137">
        <f>$W379*AM379+$L379*Summary_LCIA!AD$32</f>
        <v>0.29982355795549903</v>
      </c>
      <c r="BI379" s="137">
        <f>$W379*AN379+$L379*Summary_LCIA!AE$32</f>
        <v>0.75412652118782986</v>
      </c>
      <c r="BJ379" s="137">
        <f>$W379*AO379+$L379*Summary_LCIA!AF$32</f>
        <v>3.6961400815514751E-2</v>
      </c>
      <c r="BK379" s="137">
        <f>$W379*AP379+$L379*Summary_LCIA!AG$32</f>
        <v>1.3779480130514749E-2</v>
      </c>
      <c r="BL379" s="137">
        <f>$W379*AQ379+$L379*Summary_LCIA!AH$32</f>
        <v>1.7656102209089366</v>
      </c>
      <c r="BM379" s="137">
        <f>$W379*AR379+$L379*Summary_LCIA!AI$32</f>
        <v>0.78162233586248087</v>
      </c>
    </row>
    <row r="380" spans="1:65" x14ac:dyDescent="0.25">
      <c r="A380" s="149">
        <v>347</v>
      </c>
      <c r="B380" s="149">
        <v>15</v>
      </c>
      <c r="C380" s="61">
        <v>40.463667000000001</v>
      </c>
      <c r="D380" s="61">
        <v>-3.7492200000000002</v>
      </c>
      <c r="E380" s="61" t="s">
        <v>466</v>
      </c>
      <c r="F380" s="149">
        <v>22</v>
      </c>
      <c r="G380" s="61" t="s">
        <v>686</v>
      </c>
      <c r="H380" s="61" t="s">
        <v>725</v>
      </c>
      <c r="I380" s="61">
        <v>40.498331999999998</v>
      </c>
      <c r="J380" s="61">
        <v>-3.5675979999999998</v>
      </c>
      <c r="K380" s="61">
        <v>17.248889810000001</v>
      </c>
      <c r="L380" s="61">
        <v>33.814999999999998</v>
      </c>
      <c r="M380" s="61" t="s">
        <v>617</v>
      </c>
      <c r="N380" s="149">
        <v>14</v>
      </c>
      <c r="O380" s="149">
        <v>15</v>
      </c>
      <c r="P380" s="61" t="s">
        <v>567</v>
      </c>
      <c r="Q380" s="61" t="s">
        <v>566</v>
      </c>
      <c r="R380" s="61">
        <v>50.037932599999998</v>
      </c>
      <c r="S380" s="61">
        <v>8.5621518000000005</v>
      </c>
      <c r="T380" s="61"/>
      <c r="U380" s="61" t="s">
        <v>622</v>
      </c>
      <c r="V380" s="61" t="s">
        <v>569</v>
      </c>
      <c r="W380" s="61" cm="1">
        <f t="array" ref="W380">getDistance(I380,J380,R380,S380)*SA!$B$12</f>
        <v>1422.5775061630379</v>
      </c>
      <c r="Y380" s="137">
        <f>Transportation_LCIA!C$61*($W380^Transportation_LCIA!C$60)+Transportation_LCIA!C$62</f>
        <v>0.20387178795923749</v>
      </c>
      <c r="Z380" s="137">
        <f>Transportation_LCIA!D$61*($W380^Transportation_LCIA!D$60)+Transportation_LCIA!D$62</f>
        <v>2.0544332493991768</v>
      </c>
      <c r="AA380" s="137">
        <f>Transportation_LCIA!E$61*($W380^Transportation_LCIA!E$60)+Transportation_LCIA!E$62</f>
        <v>9.0080003519318777E-4</v>
      </c>
      <c r="AB380" s="137">
        <f>Transportation_LCIA!F$61*($W380^Transportation_LCIA!F$60)+Transportation_LCIA!F$62</f>
        <v>0.20387178795923749</v>
      </c>
      <c r="AC380" s="137">
        <f>Transportation_LCIA!G$61*($W380^Transportation_LCIA!G$60)+Transportation_LCIA!G$62</f>
        <v>4.8099419426073042E-2</v>
      </c>
      <c r="AD380" s="137">
        <f>Transportation_LCIA!H$61*($W380^Transportation_LCIA!H$60)+Transportation_LCIA!H$62</f>
        <v>2.2346669639805041E-4</v>
      </c>
      <c r="AE380" s="137">
        <f>Transportation_LCIA!I$61*($W380^Transportation_LCIA!I$60)+Transportation_LCIA!I$62</f>
        <v>4.5863780306586757E-6</v>
      </c>
      <c r="AF380" s="137">
        <f>Transportation_LCIA!J$61*($W380^Transportation_LCIA!J$60)+Transportation_LCIA!J$62</f>
        <v>6.7842712024970423E-3</v>
      </c>
      <c r="AG380" s="137">
        <f>Transportation_LCIA!K$61*($W380^Transportation_LCIA!K$60)+Transportation_LCIA!K$62</f>
        <v>1.0059666229699251E-2</v>
      </c>
      <c r="AH380" s="137">
        <f>Transportation_LCIA!L$61*($W380^Transportation_LCIA!L$60)+Transportation_LCIA!L$62</f>
        <v>1.9094517212979147E-4</v>
      </c>
      <c r="AI380" s="137">
        <f>Transportation_LCIA!M$61*($W380^Transportation_LCIA!M$60)+Transportation_LCIA!M$62</f>
        <v>2.1418258174178348E-4</v>
      </c>
      <c r="AJ380" s="137">
        <f>Transportation_LCIA!N$61*($W380^Transportation_LCIA!N$60)+Transportation_LCIA!N$62</f>
        <v>8.1045513292544438E-4</v>
      </c>
      <c r="AK380" s="137">
        <f>Transportation_LCIA!O$61*($W380^Transportation_LCIA!O$60)+Transportation_LCIA!O$62</f>
        <v>5.07776706689413E-5</v>
      </c>
      <c r="AL380" s="137">
        <f>Transportation_LCIA!P$61*($W380^Transportation_LCIA!P$60)+Transportation_LCIA!P$62</f>
        <v>2.4579866628356082E-8</v>
      </c>
      <c r="AM380" s="137">
        <f>Transportation_LCIA!Q$61*($W380^Transportation_LCIA!Q$60)+Transportation_LCIA!Q$62</f>
        <v>7.583964131960341E-5</v>
      </c>
      <c r="AN380" s="137">
        <f>Transportation_LCIA!R$61*($W380^Transportation_LCIA!R$60)+Transportation_LCIA!R$62</f>
        <v>2.2078368893547546E-4</v>
      </c>
      <c r="AO380" s="137">
        <f>Transportation_LCIA!S$61*($W380^Transportation_LCIA!S$60)+Transportation_LCIA!S$62</f>
        <v>3.390566765884979E-6</v>
      </c>
      <c r="AP380" s="137">
        <f>Transportation_LCIA!T$61*($W380^Transportation_LCIA!T$60)+Transportation_LCIA!T$62</f>
        <v>3.390566765884979E-6</v>
      </c>
      <c r="AQ380" s="137">
        <f>Transportation_LCIA!U$61*($W380^Transportation_LCIA!U$60)+Transportation_LCIA!U$62</f>
        <v>4.7105293233365268E-4</v>
      </c>
      <c r="AR380" s="137">
        <f>Transportation_LCIA!V$61*($W380^Transportation_LCIA!V$60)+Transportation_LCIA!V$62</f>
        <v>1.9728057443119194E-4</v>
      </c>
      <c r="AT380" s="137">
        <f>$W380*Y380+$L380*Summary_LCIA!H$32</f>
        <v>301.51375669205174</v>
      </c>
      <c r="AU380" s="137">
        <f>$W380*Z380+$L380*Summary_LCIA!Q$32</f>
        <v>3090.1793739006025</v>
      </c>
      <c r="AV380" s="137">
        <f>$W380*AA380+$L380*Summary_LCIA!R$32</f>
        <v>1.459514131616702</v>
      </c>
      <c r="AW380" s="137">
        <f>$W380*AB380+$L380*Summary_LCIA!S$32</f>
        <v>301.3642943920517</v>
      </c>
      <c r="AX380" s="137">
        <f>$W380*AC380+$L380*Summary_LCIA!T$32</f>
        <v>72.141420635032972</v>
      </c>
      <c r="AY380" s="137">
        <f>$W380*AD380+$L380*Summary_LCIA!U$32</f>
        <v>0.92366060567243125</v>
      </c>
      <c r="AZ380" s="137">
        <f>$W380*AE380+$L380*Summary_LCIA!V$32</f>
        <v>8.1395164361753643E-3</v>
      </c>
      <c r="BA380" s="137">
        <f>$W380*AF380+$L380*Summary_LCIA!W$32</f>
        <v>12.253925973381957</v>
      </c>
      <c r="BB380" s="137">
        <f>$W380*AG380+$L380*Summary_LCIA!X$32</f>
        <v>15.080960597878091</v>
      </c>
      <c r="BC380" s="137">
        <f>$W380*AH380+$L380*Summary_LCIA!Y$32</f>
        <v>0.79853963678227069</v>
      </c>
      <c r="BD380" s="137">
        <f>$W380*AI380+$L380*Summary_LCIA!Z$32</f>
        <v>0.30607804233278735</v>
      </c>
      <c r="BE380" s="137">
        <f>$W380*AJ380+$L380*Summary_LCIA!AA$32</f>
        <v>1.9427183818541121</v>
      </c>
      <c r="BF380" s="137">
        <f>$W380*AK380+$L380*Summary_LCIA!AB$32</f>
        <v>7.1497227363990556E-2</v>
      </c>
      <c r="BG380" s="137">
        <f>$W380*AL380+$L380*Summary_LCIA!AC$32</f>
        <v>3.6619777829986872E-5</v>
      </c>
      <c r="BH380" s="137">
        <f>$W380*AM380+$L380*Summary_LCIA!AD$32</f>
        <v>0.12178708541674071</v>
      </c>
      <c r="BI380" s="137">
        <f>$W380*AN380+$L380*Summary_LCIA!AE$32</f>
        <v>0.3440463955573046</v>
      </c>
      <c r="BJ380" s="137">
        <f>$W380*AO380+$L380*Summary_LCIA!AF$32</f>
        <v>3.3411221314291931E-2</v>
      </c>
      <c r="BK380" s="137">
        <f>$W380*AP380+$L380*Summary_LCIA!AG$32</f>
        <v>6.5534884892919296E-3</v>
      </c>
      <c r="BL380" s="137">
        <f>$W380*AQ380+$L380*Summary_LCIA!AH$32</f>
        <v>0.96442153974999378</v>
      </c>
      <c r="BM380" s="137">
        <f>$W380*AR380+$L380*Summary_LCIA!AI$32</f>
        <v>0.31214727083873661</v>
      </c>
    </row>
    <row r="381" spans="1:65" x14ac:dyDescent="0.25">
      <c r="A381" s="149">
        <v>350</v>
      </c>
      <c r="B381" s="149">
        <v>15</v>
      </c>
      <c r="C381" s="61">
        <v>53.750993000000001</v>
      </c>
      <c r="D381" s="61">
        <v>-2.367264</v>
      </c>
      <c r="E381" s="61" t="s">
        <v>463</v>
      </c>
      <c r="F381" s="149">
        <v>7</v>
      </c>
      <c r="G381" s="61" t="s">
        <v>628</v>
      </c>
      <c r="H381" s="61" t="s">
        <v>629</v>
      </c>
      <c r="I381" s="61">
        <v>51.470022</v>
      </c>
      <c r="J381" s="61">
        <v>-0.45429599999999998</v>
      </c>
      <c r="K381" s="61">
        <v>293.50665629999997</v>
      </c>
      <c r="L381" s="61">
        <v>394.161</v>
      </c>
      <c r="M381" s="61" t="s">
        <v>589</v>
      </c>
      <c r="N381" s="149">
        <v>14</v>
      </c>
      <c r="O381" s="149">
        <v>15</v>
      </c>
      <c r="P381" s="61" t="s">
        <v>567</v>
      </c>
      <c r="Q381" s="61" t="s">
        <v>566</v>
      </c>
      <c r="R381" s="61">
        <v>50.037932599999998</v>
      </c>
      <c r="S381" s="61">
        <v>8.5621518000000005</v>
      </c>
      <c r="T381" s="61"/>
      <c r="U381" s="61" t="s">
        <v>622</v>
      </c>
      <c r="V381" s="61" t="s">
        <v>569</v>
      </c>
      <c r="W381" s="61" cm="1">
        <f t="array" ref="W381">getDistance(I381,J381,R381,S381)*SA!$B$12</f>
        <v>655.49865109245718</v>
      </c>
      <c r="Y381" s="137">
        <f>Transportation_LCIA!C$61*($W381^Transportation_LCIA!C$60)+Transportation_LCIA!C$62</f>
        <v>0.28808630932385726</v>
      </c>
      <c r="Z381" s="137">
        <f>Transportation_LCIA!D$61*($W381^Transportation_LCIA!D$60)+Transportation_LCIA!D$62</f>
        <v>3.0403453180333315</v>
      </c>
      <c r="AA381" s="137">
        <f>Transportation_LCIA!E$61*($W381^Transportation_LCIA!E$60)+Transportation_LCIA!E$62</f>
        <v>1.5496127326841335E-3</v>
      </c>
      <c r="AB381" s="137">
        <f>Transportation_LCIA!F$61*($W381^Transportation_LCIA!F$60)+Transportation_LCIA!F$62</f>
        <v>0.28808630932385726</v>
      </c>
      <c r="AC381" s="137">
        <f>Transportation_LCIA!G$61*($W381^Transportation_LCIA!G$60)+Transportation_LCIA!G$62</f>
        <v>7.0904955875308692E-2</v>
      </c>
      <c r="AD381" s="137">
        <f>Transportation_LCIA!H$61*($W381^Transportation_LCIA!H$60)+Transportation_LCIA!H$62</f>
        <v>3.6638661442350167E-4</v>
      </c>
      <c r="AE381" s="137">
        <f>Transportation_LCIA!I$61*($W381^Transportation_LCIA!I$60)+Transportation_LCIA!I$62</f>
        <v>8.1949302872625628E-6</v>
      </c>
      <c r="AF381" s="137">
        <f>Transportation_LCIA!J$61*($W381^Transportation_LCIA!J$60)+Transportation_LCIA!J$62</f>
        <v>1.216906133974993E-2</v>
      </c>
      <c r="AG381" s="137">
        <f>Transportation_LCIA!K$61*($W381^Transportation_LCIA!K$60)+Transportation_LCIA!K$62</f>
        <v>1.5391950999787709E-2</v>
      </c>
      <c r="AH381" s="137">
        <f>Transportation_LCIA!L$61*($W381^Transportation_LCIA!L$60)+Transportation_LCIA!L$62</f>
        <v>3.224475626051792E-4</v>
      </c>
      <c r="AI381" s="137">
        <f>Transportation_LCIA!M$61*($W381^Transportation_LCIA!M$60)+Transportation_LCIA!M$62</f>
        <v>2.9306665716547056E-4</v>
      </c>
      <c r="AJ381" s="137">
        <f>Transportation_LCIA!N$61*($W381^Transportation_LCIA!N$60)+Transportation_LCIA!N$62</f>
        <v>1.2908631335785605E-3</v>
      </c>
      <c r="AK381" s="137">
        <f>Transportation_LCIA!O$61*($W381^Transportation_LCIA!O$60)+Transportation_LCIA!O$62</f>
        <v>7.5013630480399058E-5</v>
      </c>
      <c r="AL381" s="137">
        <f>Transportation_LCIA!P$61*($W381^Transportation_LCIA!P$60)+Transportation_LCIA!P$62</f>
        <v>3.622947059126279E-8</v>
      </c>
      <c r="AM381" s="137">
        <f>Transportation_LCIA!Q$61*($W381^Transportation_LCIA!Q$60)+Transportation_LCIA!Q$62</f>
        <v>1.2728062224719001E-4</v>
      </c>
      <c r="AN381" s="137">
        <f>Transportation_LCIA!R$61*($W381^Transportation_LCIA!R$60)+Transportation_LCIA!R$62</f>
        <v>3.9383707879712856E-4</v>
      </c>
      <c r="AO381" s="137">
        <f>Transportation_LCIA!S$61*($W381^Transportation_LCIA!S$60)+Transportation_LCIA!S$62</f>
        <v>5.8462294863061377E-6</v>
      </c>
      <c r="AP381" s="137">
        <f>Transportation_LCIA!T$61*($W381^Transportation_LCIA!T$60)+Transportation_LCIA!T$62</f>
        <v>5.8462294863061377E-6</v>
      </c>
      <c r="AQ381" s="137">
        <f>Transportation_LCIA!U$61*($W381^Transportation_LCIA!U$60)+Transportation_LCIA!U$62</f>
        <v>8.5078004970210494E-4</v>
      </c>
      <c r="AR381" s="137">
        <f>Transportation_LCIA!V$61*($W381^Transportation_LCIA!V$60)+Transportation_LCIA!V$62</f>
        <v>3.311828503124549E-4</v>
      </c>
      <c r="AT381" s="137">
        <f>$W381*Y381+$L381*Summary_LCIA!H$34</f>
        <v>218.19020354199282</v>
      </c>
      <c r="AU381" s="137">
        <f ca="1">$W381*Z381+$L381*Summary_LCIA!Q$34</f>
        <v>2479.7662608121468</v>
      </c>
      <c r="AV381" s="137">
        <f ca="1">$W381*AA381+$L381*Summary_LCIA!R$34</f>
        <v>2.0234810685901463</v>
      </c>
      <c r="AW381" s="137">
        <f ca="1">$W381*AB381+$L381*Summary_LCIA!S$34</f>
        <v>217.78658267799281</v>
      </c>
      <c r="AX381" s="137">
        <f ca="1">$W381*AC381+$L381*Summary_LCIA!T$34</f>
        <v>54.654184555035044</v>
      </c>
      <c r="AY381" s="137">
        <f ca="1">$W381*AD381+$L381*Summary_LCIA!U$34</f>
        <v>0.96526450713293754</v>
      </c>
      <c r="AZ381" s="137">
        <f ca="1">$W381*AE381+$L381*Summary_LCIA!V$34</f>
        <v>3.7335463722097333E-2</v>
      </c>
      <c r="BA381" s="137">
        <f ca="1">$W381*AF381+$L381*Summary_LCIA!W$34</f>
        <v>27.901247682267446</v>
      </c>
      <c r="BB381" s="137">
        <f ca="1">$W381*AG381+$L381*Summary_LCIA!X$34</f>
        <v>14.276969582042041</v>
      </c>
      <c r="BC381" s="137">
        <f ca="1">$W381*AH381+$L381*Summary_LCIA!Y$34</f>
        <v>0.88679823193574558</v>
      </c>
      <c r="BD381" s="137">
        <f ca="1">$W381*AI381+$L381*Summary_LCIA!Z$34</f>
        <v>0.20334035775714157</v>
      </c>
      <c r="BE381" s="137">
        <f ca="1">$W381*AJ381+$L381*Summary_LCIA!AA$34</f>
        <v>1.6591555214057288</v>
      </c>
      <c r="BF381" s="137">
        <f ca="1">$W381*AK381+$L381*Summary_LCIA!AB$34</f>
        <v>4.6436289830549614E-2</v>
      </c>
      <c r="BG381" s="137">
        <f ca="1">$W381*AL381+$L381*Summary_LCIA!AC$34</f>
        <v>2.5199709320466604E-5</v>
      </c>
      <c r="BH381" s="137">
        <f ca="1">$W381*AM381+$L381*Summary_LCIA!AD$34</f>
        <v>0.12725509617324166</v>
      </c>
      <c r="BI381" s="137">
        <f ca="1">$W381*AN381+$L381*Summary_LCIA!AE$34</f>
        <v>0.37638432424171153</v>
      </c>
      <c r="BJ381" s="137">
        <f ca="1">$W381*AO381+$L381*Summary_LCIA!AF$34</f>
        <v>9.7587331002250616E-2</v>
      </c>
      <c r="BK381" s="137">
        <f ca="1">$W381*AP381+$L381*Summary_LCIA!AG$34</f>
        <v>4.911447776350622E-3</v>
      </c>
      <c r="BL381" s="137">
        <f ca="1">$W381*AQ381+$L381*Summary_LCIA!AH$34</f>
        <v>1.4557021812561035</v>
      </c>
      <c r="BM381" s="137">
        <f ca="1">$W381*AR381+$L381*Summary_LCIA!AI$34</f>
        <v>0.32775061239476933</v>
      </c>
    </row>
    <row r="382" spans="1:65" x14ac:dyDescent="0.25">
      <c r="A382" s="149">
        <v>356</v>
      </c>
      <c r="B382" s="149">
        <v>15</v>
      </c>
      <c r="C382" s="61">
        <v>60.128160999999999</v>
      </c>
      <c r="D382" s="61">
        <v>18.643501000000001</v>
      </c>
      <c r="E382" s="61" t="s">
        <v>469</v>
      </c>
      <c r="F382" s="149">
        <v>12</v>
      </c>
      <c r="G382" s="61" t="s">
        <v>726</v>
      </c>
      <c r="H382" s="61" t="s">
        <v>727</v>
      </c>
      <c r="I382" s="61">
        <v>59.649765000000002</v>
      </c>
      <c r="J382" s="61">
        <v>17.921592</v>
      </c>
      <c r="K382" s="61">
        <v>1283.369737</v>
      </c>
      <c r="L382" s="61">
        <v>109.205</v>
      </c>
      <c r="M382" s="61" t="s">
        <v>589</v>
      </c>
      <c r="N382" s="149">
        <v>14</v>
      </c>
      <c r="O382" s="149">
        <v>15</v>
      </c>
      <c r="P382" s="61" t="s">
        <v>567</v>
      </c>
      <c r="Q382" s="61" t="s">
        <v>566</v>
      </c>
      <c r="R382" s="61">
        <v>50.037932599999998</v>
      </c>
      <c r="S382" s="61">
        <v>8.5621518000000005</v>
      </c>
      <c r="T382" s="61"/>
      <c r="U382" s="61" t="s">
        <v>622</v>
      </c>
      <c r="V382" s="61" t="s">
        <v>569</v>
      </c>
      <c r="W382" s="61" cm="1">
        <f t="array" ref="W382">getDistance(I382,J382,R382,S382)*SA!$B$12</f>
        <v>1225.7422833871608</v>
      </c>
      <c r="Y382" s="137">
        <f>Transportation_LCIA!C$61*($W382^Transportation_LCIA!C$60)+Transportation_LCIA!C$62</f>
        <v>0.21611243011549416</v>
      </c>
      <c r="Z382" s="137">
        <f>Transportation_LCIA!D$61*($W382^Transportation_LCIA!D$60)+Transportation_LCIA!D$62</f>
        <v>2.1955501094668679</v>
      </c>
      <c r="AA382" s="137">
        <f>Transportation_LCIA!E$61*($W382^Transportation_LCIA!E$60)+Transportation_LCIA!E$62</f>
        <v>9.9326491712689916E-4</v>
      </c>
      <c r="AB382" s="137">
        <f>Transportation_LCIA!F$61*($W382^Transportation_LCIA!F$60)+Transportation_LCIA!F$62</f>
        <v>0.21611243011549416</v>
      </c>
      <c r="AC382" s="137">
        <f>Transportation_LCIA!G$61*($W382^Transportation_LCIA!G$60)+Transportation_LCIA!G$62</f>
        <v>5.1366587309719325E-2</v>
      </c>
      <c r="AD382" s="137">
        <f>Transportation_LCIA!H$61*($W382^Transportation_LCIA!H$60)+Transportation_LCIA!H$62</f>
        <v>2.4366063950068589E-4</v>
      </c>
      <c r="AE382" s="137">
        <f>Transportation_LCIA!I$61*($W382^Transportation_LCIA!I$60)+Transportation_LCIA!I$62</f>
        <v>5.0892186192930228E-6</v>
      </c>
      <c r="AF382" s="137">
        <f>Transportation_LCIA!J$61*($W382^Transportation_LCIA!J$60)+Transportation_LCIA!J$62</f>
        <v>7.5278198462194945E-3</v>
      </c>
      <c r="AG382" s="137">
        <f>Transportation_LCIA!K$61*($W382^Transportation_LCIA!K$60)+Transportation_LCIA!K$62</f>
        <v>1.0817647041235409E-2</v>
      </c>
      <c r="AH382" s="137">
        <f>Transportation_LCIA!L$61*($W382^Transportation_LCIA!L$60)+Transportation_LCIA!L$62</f>
        <v>2.0945267214998465E-4</v>
      </c>
      <c r="AI382" s="137">
        <f>Transportation_LCIA!M$61*($W382^Transportation_LCIA!M$60)+Transportation_LCIA!M$62</f>
        <v>2.2532332636909986E-4</v>
      </c>
      <c r="AJ382" s="137">
        <f>Transportation_LCIA!N$61*($W382^Transportation_LCIA!N$60)+Transportation_LCIA!N$62</f>
        <v>8.7840937608092359E-4</v>
      </c>
      <c r="AK382" s="137">
        <f>Transportation_LCIA!O$61*($W382^Transportation_LCIA!O$60)+Transportation_LCIA!O$62</f>
        <v>5.424829363992001E-5</v>
      </c>
      <c r="AL382" s="137">
        <f>Transportation_LCIA!P$61*($W382^Transportation_LCIA!P$60)+Transportation_LCIA!P$62</f>
        <v>2.6250019323080147E-8</v>
      </c>
      <c r="AM382" s="137">
        <f>Transportation_LCIA!Q$61*($W382^Transportation_LCIA!Q$60)+Transportation_LCIA!Q$62</f>
        <v>8.3063999711193088E-5</v>
      </c>
      <c r="AN382" s="137">
        <f>Transportation_LCIA!R$61*($W382^Transportation_LCIA!R$60)+Transportation_LCIA!R$62</f>
        <v>2.4489003172983539E-4</v>
      </c>
      <c r="AO382" s="137">
        <f>Transportation_LCIA!S$61*($W382^Transportation_LCIA!S$60)+Transportation_LCIA!S$62</f>
        <v>3.7328539547090719E-6</v>
      </c>
      <c r="AP382" s="137">
        <f>Transportation_LCIA!T$61*($W382^Transportation_LCIA!T$60)+Transportation_LCIA!T$62</f>
        <v>3.7328539547090719E-6</v>
      </c>
      <c r="AQ382" s="137">
        <f>Transportation_LCIA!U$61*($W382^Transportation_LCIA!U$60)+Transportation_LCIA!U$62</f>
        <v>5.2380934900005875E-4</v>
      </c>
      <c r="AR382" s="137">
        <f>Transportation_LCIA!V$61*($W382^Transportation_LCIA!V$60)+Transportation_LCIA!V$62</f>
        <v>2.1603419184371147E-4</v>
      </c>
      <c r="AT382" s="137">
        <f>$W382*Y382+$L382*Summary_LCIA!H$34</f>
        <v>273.02976626811403</v>
      </c>
      <c r="AU382" s="137">
        <f ca="1">$W382*Z382+$L382*Summary_LCIA!Q$34</f>
        <v>2826.0565238309996</v>
      </c>
      <c r="AV382" s="137">
        <f ca="1">$W382*AA382+$L382*Summary_LCIA!R$34</f>
        <v>1.4966803105274846</v>
      </c>
      <c r="AW382" s="137">
        <f ca="1">$W382*AB382+$L382*Summary_LCIA!S$34</f>
        <v>272.91794034811403</v>
      </c>
      <c r="AX382" s="137">
        <f ca="1">$W382*AC382+$L382*Summary_LCIA!T$34</f>
        <v>65.227437333821328</v>
      </c>
      <c r="AY382" s="137">
        <f ca="1">$W382*AD382+$L382*Summary_LCIA!U$34</f>
        <v>0.49955866663314658</v>
      </c>
      <c r="AZ382" s="137">
        <f ca="1">$W382*AE382+$L382*Summary_LCIA!V$34</f>
        <v>1.5093831516068683E-2</v>
      </c>
      <c r="BA382" s="137">
        <f ca="1">$W382*AF382+$L382*Summary_LCIA!W$34</f>
        <v>14.747370632232268</v>
      </c>
      <c r="BB382" s="137">
        <f ca="1">$W382*AG382+$L382*Summary_LCIA!X$34</f>
        <v>14.419841305200253</v>
      </c>
      <c r="BC382" s="137">
        <f ca="1">$W382*AH382+$L382*Summary_LCIA!Y$34</f>
        <v>0.4438686846226646</v>
      </c>
      <c r="BD382" s="137">
        <f ca="1">$W382*AI382+$L382*Summary_LCIA!Z$34</f>
        <v>0.27930121708905092</v>
      </c>
      <c r="BE382" s="137">
        <f ca="1">$W382*AJ382+$L382*Summary_LCIA!AA$34</f>
        <v>1.3019497473861226</v>
      </c>
      <c r="BF382" s="137">
        <f ca="1">$W382*AK382+$L382*Summary_LCIA!AB$34</f>
        <v>6.573666474155275E-2</v>
      </c>
      <c r="BG382" s="137">
        <f ca="1">$W382*AL382+$L382*Summary_LCIA!AC$34</f>
        <v>3.2577862354529355E-5</v>
      </c>
      <c r="BH382" s="137">
        <f ca="1">$W382*AM382+$L382*Summary_LCIA!AD$34</f>
        <v>0.11395646857326827</v>
      </c>
      <c r="BI382" s="137">
        <f ca="1">$W382*AN382+$L382*Summary_LCIA!AE$34</f>
        <v>0.33292701437128269</v>
      </c>
      <c r="BJ382" s="137">
        <f ca="1">$W382*AO382+$L382*Summary_LCIA!AF$34</f>
        <v>3.055101822999589E-2</v>
      </c>
      <c r="BK382" s="137">
        <f ca="1">$W382*AP382+$L382*Summary_LCIA!AG$34</f>
        <v>4.8745311404958906E-3</v>
      </c>
      <c r="BL382" s="137">
        <f ca="1">$W382*AQ382+$L382*Summary_LCIA!AH$34</f>
        <v>0.89085701900287417</v>
      </c>
      <c r="BM382" s="137">
        <f ca="1">$W382*AR382+$L382*Summary_LCIA!AI$34</f>
        <v>0.29546154735021085</v>
      </c>
    </row>
    <row r="383" spans="1:65" x14ac:dyDescent="0.25">
      <c r="A383" s="149">
        <v>368</v>
      </c>
      <c r="B383" s="149">
        <v>43</v>
      </c>
      <c r="C383" s="61">
        <v>-2.1458900000000001</v>
      </c>
      <c r="D383" s="61">
        <v>-79.945836</v>
      </c>
      <c r="E383" s="61" t="s">
        <v>470</v>
      </c>
      <c r="F383" s="149">
        <v>108</v>
      </c>
      <c r="G383" s="61" t="s">
        <v>730</v>
      </c>
      <c r="H383" s="61" t="s">
        <v>731</v>
      </c>
      <c r="I383" s="61">
        <v>-2.1481880000000002</v>
      </c>
      <c r="J383" s="61">
        <v>-79.886499000000001</v>
      </c>
      <c r="K383" s="61">
        <v>3436.2375189999998</v>
      </c>
      <c r="L383" s="61">
        <v>12.827</v>
      </c>
      <c r="M383" s="61" t="s">
        <v>617</v>
      </c>
      <c r="N383" s="149">
        <v>42</v>
      </c>
      <c r="O383" s="149">
        <v>43</v>
      </c>
      <c r="P383" s="61" t="s">
        <v>565</v>
      </c>
      <c r="Q383" s="61" t="s">
        <v>555</v>
      </c>
      <c r="R383" s="61">
        <v>40.6895314</v>
      </c>
      <c r="S383" s="61">
        <v>-74.174462399999996</v>
      </c>
      <c r="T383" s="61"/>
      <c r="U383" s="61" t="s">
        <v>622</v>
      </c>
      <c r="V383" s="61" t="s">
        <v>569</v>
      </c>
      <c r="W383" s="61" cm="1">
        <f t="array" ref="W383">getDistance(I383,J383,R383,S383)*SA!$B$12</f>
        <v>4792.591674202512</v>
      </c>
      <c r="Y383" s="137">
        <f>Transportation_LCIA!C$61*($W383^Transportation_LCIA!C$60)+Transportation_LCIA!C$62</f>
        <v>0.14508836189798513</v>
      </c>
      <c r="Z383" s="137">
        <f>Transportation_LCIA!D$61*($W383^Transportation_LCIA!D$60)+Transportation_LCIA!D$62</f>
        <v>1.3935810969512219</v>
      </c>
      <c r="AA383" s="137">
        <f>Transportation_LCIA!E$61*($W383^Transportation_LCIA!E$60)+Transportation_LCIA!E$62</f>
        <v>4.7081955563388377E-4</v>
      </c>
      <c r="AB383" s="137">
        <f>Transportation_LCIA!F$61*($W383^Transportation_LCIA!F$60)+Transportation_LCIA!F$62</f>
        <v>0.14508836189798513</v>
      </c>
      <c r="AC383" s="137">
        <f>Transportation_LCIA!G$61*($W383^Transportation_LCIA!G$60)+Transportation_LCIA!G$62</f>
        <v>3.2776855124596715E-2</v>
      </c>
      <c r="AD383" s="137">
        <f>Transportation_LCIA!H$61*($W383^Transportation_LCIA!H$60)+Transportation_LCIA!H$62</f>
        <v>1.308513746893189E-4</v>
      </c>
      <c r="AE383" s="137">
        <f>Transportation_LCIA!I$61*($W383^Transportation_LCIA!I$60)+Transportation_LCIA!I$62</f>
        <v>2.3307253178466008E-6</v>
      </c>
      <c r="AF383" s="137">
        <f>Transportation_LCIA!J$61*($W383^Transportation_LCIA!J$60)+Transportation_LCIA!J$62</f>
        <v>3.4964622120735415E-3</v>
      </c>
      <c r="AG383" s="137">
        <f>Transportation_LCIA!K$61*($W383^Transportation_LCIA!K$60)+Transportation_LCIA!K$62</f>
        <v>6.5494656260663524E-3</v>
      </c>
      <c r="AH383" s="137">
        <f>Transportation_LCIA!L$61*($W383^Transportation_LCIA!L$60)+Transportation_LCIA!L$62</f>
        <v>1.0659954108632807E-4</v>
      </c>
      <c r="AI383" s="137">
        <f>Transportation_LCIA!M$61*($W383^Transportation_LCIA!M$60)+Transportation_LCIA!M$62</f>
        <v>1.6312628169736591E-4</v>
      </c>
      <c r="AJ383" s="137">
        <f>Transportation_LCIA!N$61*($W383^Transportation_LCIA!N$60)+Transportation_LCIA!N$62</f>
        <v>4.9824572922676797E-4</v>
      </c>
      <c r="AK383" s="137">
        <f>Transportation_LCIA!O$61*($W383^Transportation_LCIA!O$60)+Transportation_LCIA!O$62</f>
        <v>3.4512134037950434E-5</v>
      </c>
      <c r="AL383" s="137">
        <f>Transportation_LCIA!P$61*($W383^Transportation_LCIA!P$60)+Transportation_LCIA!P$62</f>
        <v>1.673786921011434E-8</v>
      </c>
      <c r="AM383" s="137">
        <f>Transportation_LCIA!Q$61*($W383^Transportation_LCIA!Q$60)+Transportation_LCIA!Q$62</f>
        <v>4.3027274033236932E-5</v>
      </c>
      <c r="AN383" s="137">
        <f>Transportation_LCIA!R$61*($W383^Transportation_LCIA!R$60)+Transportation_LCIA!R$62</f>
        <v>1.127045918223084E-4</v>
      </c>
      <c r="AO383" s="137">
        <f>Transportation_LCIA!S$61*($W383^Transportation_LCIA!S$60)+Transportation_LCIA!S$62</f>
        <v>1.8544293976625951E-6</v>
      </c>
      <c r="AP383" s="137">
        <f>Transportation_LCIA!T$61*($W383^Transportation_LCIA!T$60)+Transportation_LCIA!T$62</f>
        <v>1.8544293976625951E-6</v>
      </c>
      <c r="AQ383" s="137">
        <f>Transportation_LCIA!U$61*($W383^Transportation_LCIA!U$60)+Transportation_LCIA!U$62</f>
        <v>2.3551018169648932E-4</v>
      </c>
      <c r="AR383" s="137">
        <f>Transportation_LCIA!V$61*($W383^Transportation_LCIA!V$60)+Transportation_LCIA!V$62</f>
        <v>1.124755801754721E-4</v>
      </c>
      <c r="AT383" s="137">
        <f>$W383*Y383+$L383*Summary_LCIA!H$32</f>
        <v>699.70788985596448</v>
      </c>
      <c r="AU383" s="137">
        <f>$W383*Z383+$L383*Summary_LCIA!Q$32</f>
        <v>6742.436421478521</v>
      </c>
      <c r="AV383" s="137">
        <f>$W383*AA383+$L383*Summary_LCIA!R$32</f>
        <v>2.323987733582678</v>
      </c>
      <c r="AW383" s="137">
        <f>$W383*AB383+$L383*Summary_LCIA!S$32</f>
        <v>699.65119451596445</v>
      </c>
      <c r="AX383" s="137">
        <f>$W383*AC383+$L383*Summary_LCIA!T$32</f>
        <v>158.49577027668417</v>
      </c>
      <c r="AY383" s="137">
        <f>$W383*AD383+$L383*Summary_LCIA!U$32</f>
        <v>0.856900086893983</v>
      </c>
      <c r="AZ383" s="137">
        <f>$W383*AE383+$L383*Summary_LCIA!V$32</f>
        <v>1.1782845100164622E-2</v>
      </c>
      <c r="BA383" s="137">
        <f>$W383*AF383+$L383*Summary_LCIA!W$32</f>
        <v>17.74442270374735</v>
      </c>
      <c r="BB383" s="137">
        <f>$W383*AG383+$L383*Summary_LCIA!X$32</f>
        <v>31.681113489961145</v>
      </c>
      <c r="BC383" s="137">
        <f>$W383*AH383+$L383*Summary_LCIA!Y$32</f>
        <v>0.71075838708414452</v>
      </c>
      <c r="BD383" s="137">
        <f>$W383*AI383+$L383*Summary_LCIA!Z$32</f>
        <v>0.78232368194940949</v>
      </c>
      <c r="BE383" s="137">
        <f>$W383*AJ383+$L383*Summary_LCIA!AA$32</f>
        <v>2.6874757455991674</v>
      </c>
      <c r="BF383" s="137">
        <f>$W383*AK383+$L383*Summary_LCIA!AB$32</f>
        <v>0.16512264262824239</v>
      </c>
      <c r="BG383" s="137">
        <f>$W383*AL383+$L383*Summary_LCIA!AC$32</f>
        <v>8.0844807688284554E-5</v>
      </c>
      <c r="BH383" s="137">
        <f>$W383*AM383+$L383*Summary_LCIA!AD$32</f>
        <v>0.21148456537532126</v>
      </c>
      <c r="BI383" s="137">
        <f>$W383*AN383+$L383*Summary_LCIA!AE$32</f>
        <v>0.55151347792198779</v>
      </c>
      <c r="BJ383" s="137">
        <f>$W383*AO383+$L383*Summary_LCIA!AF$32</f>
        <v>1.9731725231634134E-2</v>
      </c>
      <c r="BK383" s="137">
        <f>$W383*AP383+$L383*Summary_LCIA!AG$32</f>
        <v>9.543816346634133E-3</v>
      </c>
      <c r="BL383" s="137">
        <f>$W383*AQ383+$L383*Summary_LCIA!AH$32</f>
        <v>1.2403452131885155</v>
      </c>
      <c r="BM383" s="137">
        <f>$W383*AR383+$L383*Summary_LCIA!AI$32</f>
        <v>0.55099852095006463</v>
      </c>
    </row>
    <row r="384" spans="1:65" x14ac:dyDescent="0.25">
      <c r="A384" s="149">
        <v>382</v>
      </c>
      <c r="B384" s="149">
        <v>16</v>
      </c>
      <c r="C384" s="61">
        <v>35.679470000000002</v>
      </c>
      <c r="D384" s="61">
        <v>139.77990500000001</v>
      </c>
      <c r="E384" s="61" t="s">
        <v>272</v>
      </c>
      <c r="F384" s="149">
        <v>5</v>
      </c>
      <c r="G384" s="61" t="s">
        <v>620</v>
      </c>
      <c r="H384" s="61" t="s">
        <v>621</v>
      </c>
      <c r="I384" s="61">
        <v>35.549393000000002</v>
      </c>
      <c r="J384" s="61">
        <v>139.77983900000001</v>
      </c>
      <c r="K384" s="61">
        <v>34.915987389999998</v>
      </c>
      <c r="L384" s="61">
        <v>20.963999999999999</v>
      </c>
      <c r="M384" s="61" t="s">
        <v>617</v>
      </c>
      <c r="N384" s="149">
        <v>15</v>
      </c>
      <c r="O384" s="149">
        <v>16</v>
      </c>
      <c r="P384" s="61" t="s">
        <v>565</v>
      </c>
      <c r="Q384" s="61" t="s">
        <v>556</v>
      </c>
      <c r="R384" s="61">
        <v>39.856096299999997</v>
      </c>
      <c r="S384" s="61">
        <v>-104.6737376</v>
      </c>
      <c r="T384" s="61"/>
      <c r="U384" s="61" t="s">
        <v>622</v>
      </c>
      <c r="V384" s="61" t="s">
        <v>569</v>
      </c>
      <c r="W384" s="61" cm="1">
        <f t="array" ref="W384">getDistance(I384,J384,R384,S384)*SA!$B$12</f>
        <v>9373.3665010912191</v>
      </c>
      <c r="Y384" s="137">
        <f>Transportation_LCIA!C$61*($W384^Transportation_LCIA!C$60)+Transportation_LCIA!C$62</f>
        <v>0.13079651724431671</v>
      </c>
      <c r="Z384" s="137">
        <f>Transportation_LCIA!D$61*($W384^Transportation_LCIA!D$60)+Transportation_LCIA!D$62</f>
        <v>1.2398332746481382</v>
      </c>
      <c r="AA384" s="137">
        <f>Transportation_LCIA!E$61*($W384^Transportation_LCIA!E$60)+Transportation_LCIA!E$62</f>
        <v>3.7201751590145387E-4</v>
      </c>
      <c r="AB384" s="137">
        <f>Transportation_LCIA!F$61*($W384^Transportation_LCIA!F$60)+Transportation_LCIA!F$62</f>
        <v>0.13079651724431671</v>
      </c>
      <c r="AC384" s="137">
        <f>Transportation_LCIA!G$61*($W384^Transportation_LCIA!G$60)+Transportation_LCIA!G$62</f>
        <v>2.9202863680444991E-2</v>
      </c>
      <c r="AD384" s="137">
        <f>Transportation_LCIA!H$61*($W384^Transportation_LCIA!H$60)+Transportation_LCIA!H$62</f>
        <v>1.1008587153692294E-4</v>
      </c>
      <c r="AE384" s="137">
        <f>Transportation_LCIA!I$61*($W384^Transportation_LCIA!I$60)+Transportation_LCIA!I$62</f>
        <v>1.84462615433682E-6</v>
      </c>
      <c r="AF384" s="137">
        <f>Transportation_LCIA!J$61*($W384^Transportation_LCIA!J$60)+Transportation_LCIA!J$62</f>
        <v>2.8060794288850398E-3</v>
      </c>
      <c r="AG384" s="137">
        <f>Transportation_LCIA!K$61*($W384^Transportation_LCIA!K$60)+Transportation_LCIA!K$62</f>
        <v>5.7487691754833292E-3</v>
      </c>
      <c r="AH384" s="137">
        <f>Transportation_LCIA!L$61*($W384^Transportation_LCIA!L$60)+Transportation_LCIA!L$62</f>
        <v>8.7900142682770339E-5</v>
      </c>
      <c r="AI384" s="137">
        <f>Transportation_LCIA!M$61*($W384^Transportation_LCIA!M$60)+Transportation_LCIA!M$62</f>
        <v>1.5169413479276589E-4</v>
      </c>
      <c r="AJ384" s="137">
        <f>Transportation_LCIA!N$61*($W384^Transportation_LCIA!N$60)+Transportation_LCIA!N$62</f>
        <v>4.2802410789514084E-4</v>
      </c>
      <c r="AK384" s="137">
        <f>Transportation_LCIA!O$61*($W384^Transportation_LCIA!O$60)+Transportation_LCIA!O$62</f>
        <v>3.0722790330640574E-5</v>
      </c>
      <c r="AL384" s="137">
        <f>Transportation_LCIA!P$61*($W384^Transportation_LCIA!P$60)+Transportation_LCIA!P$62</f>
        <v>1.4904934085870935E-8</v>
      </c>
      <c r="AM384" s="137">
        <f>Transportation_LCIA!Q$61*($W384^Transportation_LCIA!Q$60)+Transportation_LCIA!Q$62</f>
        <v>3.5796822758053955E-5</v>
      </c>
      <c r="AN384" s="137">
        <f>Transportation_LCIA!R$61*($W384^Transportation_LCIA!R$60)+Transportation_LCIA!R$62</f>
        <v>8.9435580477949006E-5</v>
      </c>
      <c r="AO384" s="137">
        <f>Transportation_LCIA!S$61*($W384^Transportation_LCIA!S$60)+Transportation_LCIA!S$62</f>
        <v>1.5231168985088823E-6</v>
      </c>
      <c r="AP384" s="137">
        <f>Transportation_LCIA!T$61*($W384^Transportation_LCIA!T$60)+Transportation_LCIA!T$62</f>
        <v>1.5231168985088823E-6</v>
      </c>
      <c r="AQ384" s="137">
        <f>Transportation_LCIA!U$61*($W384^Transportation_LCIA!U$60)+Transportation_LCIA!U$62</f>
        <v>1.8517910734451514E-4</v>
      </c>
      <c r="AR384" s="137">
        <f>Transportation_LCIA!V$61*($W384^Transportation_LCIA!V$60)+Transportation_LCIA!V$62</f>
        <v>9.3934033061670249E-5</v>
      </c>
      <c r="AT384" s="137">
        <f>$W384*Y384+$L384*Summary_LCIA!H$32</f>
        <v>1233.1272603972782</v>
      </c>
      <c r="AU384" s="137">
        <f>$W384*Z384+$L384*Summary_LCIA!Q$32</f>
        <v>11725.3103248025</v>
      </c>
      <c r="AV384" s="137">
        <f>$W384*AA384+$L384*Summary_LCIA!R$32</f>
        <v>3.5974445597698574</v>
      </c>
      <c r="AW384" s="137">
        <f>$W384*AB384+$L384*Summary_LCIA!S$32</f>
        <v>1233.0345995172781</v>
      </c>
      <c r="AX384" s="137">
        <f>$W384*AC384+$L384*Summary_LCIA!T$32</f>
        <v>276.03308775821654</v>
      </c>
      <c r="AY384" s="137">
        <f>$W384*AD384+$L384*Summary_LCIA!U$32</f>
        <v>1.4074243165076248</v>
      </c>
      <c r="AZ384" s="137">
        <f>$W384*AE384+$L384*Summary_LCIA!V$32</f>
        <v>1.829161860609747E-2</v>
      </c>
      <c r="BA384" s="137">
        <f>$W384*AF384+$L384*Summary_LCIA!W$32</f>
        <v>27.916030962112213</v>
      </c>
      <c r="BB384" s="137">
        <f>$W384*AG384+$L384*Summary_LCIA!X$32</f>
        <v>54.362880331981223</v>
      </c>
      <c r="BC384" s="137">
        <f>$W384*AH384+$L384*Summary_LCIA!Y$32</f>
        <v>1.1505813008638179</v>
      </c>
      <c r="BD384" s="137">
        <f>$W384*AI384+$L384*Summary_LCIA!Z$32</f>
        <v>1.4227444341545277</v>
      </c>
      <c r="BE384" s="137">
        <f>$W384*AJ384+$L384*Summary_LCIA!AA$32</f>
        <v>4.501662018603767</v>
      </c>
      <c r="BF384" s="137">
        <f>$W384*AK384+$L384*Summary_LCIA!AB$32</f>
        <v>0.28751847633327554</v>
      </c>
      <c r="BG384" s="137">
        <f>$W384*AL384+$L384*Summary_LCIA!AC$32</f>
        <v>1.407342140374753E-4</v>
      </c>
      <c r="BH384" s="137">
        <f>$W384*AM384+$L384*Summary_LCIA!AD$32</f>
        <v>0.34415378184584272</v>
      </c>
      <c r="BI384" s="137">
        <f>$W384*AN384+$L384*Summary_LCIA!AE$32</f>
        <v>0.85688930337765501</v>
      </c>
      <c r="BJ384" s="137">
        <f>$W384*AO384+$L384*Summary_LCIA!AF$32</f>
        <v>3.2000117793729112E-2</v>
      </c>
      <c r="BK384" s="137">
        <f>$W384*AP384+$L384*Summary_LCIA!AG$32</f>
        <v>1.5349355973729112E-2</v>
      </c>
      <c r="BL384" s="137">
        <f>$W384*AQ384+$L384*Summary_LCIA!AH$32</f>
        <v>1.9182139118850532</v>
      </c>
      <c r="BM384" s="137">
        <f>$W384*AR384+$L384*Summary_LCIA!AI$32</f>
        <v>0.90000713301265489</v>
      </c>
    </row>
    <row r="386" spans="22:65" x14ac:dyDescent="0.25">
      <c r="V386" s="76" t="str">
        <f>Q375</f>
        <v>Flughafen Frankfurt/Main</v>
      </c>
      <c r="W386" s="61">
        <f>COUNTIF(B2:B384,15)</f>
        <v>37</v>
      </c>
      <c r="AO386" s="76" t="s">
        <v>575</v>
      </c>
      <c r="AP386" s="137">
        <f>SUM(T2:T13,L159,L362,L367:L372,L374:L375,L381:L382)</f>
        <v>7885.3320000000003</v>
      </c>
      <c r="AQ386" s="76" t="s">
        <v>292</v>
      </c>
      <c r="AS386" s="76" t="s">
        <v>581</v>
      </c>
      <c r="AT386" s="137">
        <f>SUM(AT2:AT13)+SUM($L$362,$L$367:$L$372,$L$374:$L$375,$L$381:$L$382,$L$159)*Summary_LCIA!H$34</f>
        <v>587.15759138399994</v>
      </c>
      <c r="AU386" s="137">
        <f ca="1">SUM(AU2:AU13)+SUM($L$362,$L$367:$L$372,$L$374:$L$375,$L$381:$L$382,$L$159)*Summary_LCIA!Q$34</f>
        <v>3155.2078255711999</v>
      </c>
      <c r="AV386" s="137">
        <f ca="1">SUM(AV2:AV13)+SUM($L$362,$L$367:$L$372,$L$374:$L$375,$L$381:$L$382,$L$159)*Summary_LCIA!R$34</f>
        <v>4966.2558086639992</v>
      </c>
      <c r="AW386" s="137">
        <f ca="1">SUM(AW2:AW13)+SUM($L$362,$L$367:$L$372,$L$374:$L$375,$L$381:$L$382,$L$159)*Summary_LCIA!S$34</f>
        <v>164.91800996148001</v>
      </c>
      <c r="AX386" s="137">
        <f ca="1">SUM(AX2:AX13)+SUM($L$362,$L$367:$L$372,$L$374:$L$375,$L$381:$L$382,$L$159)*Summary_LCIA!T$34</f>
        <v>1111.6821644799998</v>
      </c>
      <c r="AY386" s="137">
        <f ca="1">SUM(AY2:AY13)+SUM($L$362,$L$367:$L$372,$L$374:$L$375,$L$381:$L$382,$L$159)*Summary_LCIA!U$34</f>
        <v>4.1841667455199998</v>
      </c>
      <c r="AZ386" s="137">
        <f ca="1">SUM(AZ2:AZ13)+SUM($L$362,$L$367:$L$372,$L$374:$L$375,$L$381:$L$382,$L$159)*Summary_LCIA!V$34</f>
        <v>0.34098788367999999</v>
      </c>
      <c r="BA386" s="137">
        <f ca="1">SUM(BA2:BA13)+SUM($L$362,$L$367:$L$372,$L$374:$L$375,$L$381:$L$382,$L$159)*Summary_LCIA!W$34</f>
        <v>253.02869785599998</v>
      </c>
      <c r="BB386" s="137">
        <f ca="1">SUM(BB2:BB13)+SUM($L$362,$L$367:$L$372,$L$374:$L$375,$L$381:$L$382,$L$159)*Summary_LCIA!X$34</f>
        <v>437.12007915599997</v>
      </c>
      <c r="BC386" s="137">
        <f ca="1">SUM(BC2:BC13)+SUM($L$362,$L$367:$L$372,$L$374:$L$375,$L$381:$L$382,$L$159)*Summary_LCIA!Y$34</f>
        <v>7010.0723742111595</v>
      </c>
      <c r="BD386" s="137">
        <f ca="1">SUM(BD2:BD13)+SUM($L$362,$L$367:$L$372,$L$374:$L$375,$L$381:$L$382,$L$159)*Summary_LCIA!Z$34</f>
        <v>14.565875670399997</v>
      </c>
      <c r="BE386" s="137">
        <f ca="1">SUM(BE2:BE13)+SUM($L$362,$L$367:$L$372,$L$374:$L$375,$L$381:$L$382,$L$159)*Summary_LCIA!AA$34</f>
        <v>421.15494635999994</v>
      </c>
      <c r="BF386" s="137">
        <f ca="1">SUM(BF2:BF13)+SUM($L$362,$L$367:$L$372,$L$374:$L$375,$L$381:$L$382,$L$159)*Summary_LCIA!AB$34</f>
        <v>117.65329686830398</v>
      </c>
      <c r="BG386" s="137">
        <f ca="1">SUM(BG2:BG13)+SUM($L$362,$L$367:$L$372,$L$374:$L$375,$L$381:$L$382,$L$159)*Summary_LCIA!AC$34</f>
        <v>10.435492350361743</v>
      </c>
      <c r="BH386" s="137">
        <f ca="1">SUM(BH2:BH13)+SUM($L$362,$L$367:$L$372,$L$374:$L$375,$L$381:$L$382,$L$159)*Summary_LCIA!AD$34</f>
        <v>0.70601692755599998</v>
      </c>
      <c r="BI386" s="137">
        <f ca="1">SUM(BI2:BI13)+SUM($L$362,$L$367:$L$372,$L$374:$L$375,$L$381:$L$382,$L$159)*Summary_LCIA!AE$34</f>
        <v>287.41256714959997</v>
      </c>
      <c r="BJ386" s="137">
        <f ca="1">SUM(BJ2:BJ13)+SUM($L$362,$L$367:$L$372,$L$374:$L$375,$L$381:$L$382,$L$159)*Summary_LCIA!AF$34</f>
        <v>60.792978358399992</v>
      </c>
      <c r="BK386" s="137">
        <f ca="1">SUM(BK2:BK13)+SUM($L$362,$L$367:$L$372,$L$374:$L$375,$L$381:$L$382,$L$159)*Summary_LCIA!AG$34</f>
        <v>9.7267834407839988</v>
      </c>
      <c r="BL386" s="137">
        <f ca="1">SUM(BL2:BL13)+SUM($L$362,$L$367:$L$372,$L$374:$L$375,$L$381:$L$382,$L$159)*Summary_LCIA!AH$34</f>
        <v>5.2027577974599994</v>
      </c>
      <c r="BM386" s="137">
        <f ca="1">SUM(BM2:BM13)+SUM($L$362,$L$367:$L$372,$L$374:$L$375,$L$381:$L$382,$L$159)*Summary_LCIA!AI$34</f>
        <v>12.321693199200002</v>
      </c>
    </row>
    <row r="387" spans="22:65" x14ac:dyDescent="0.25">
      <c r="V387" s="76" t="str">
        <f>Q356</f>
        <v>Denver International Airport</v>
      </c>
      <c r="W387" s="61">
        <f>COUNTIF(B2:B384,16)</f>
        <v>124</v>
      </c>
      <c r="AO387" s="76" t="s">
        <v>574</v>
      </c>
      <c r="AP387" s="137">
        <f>SUM(T14:T112,L113:L158,L160:L361,L363:L366,L373,L376:L380,L383:L384)</f>
        <v>46354.447999999982</v>
      </c>
      <c r="AQ387" s="76" t="s">
        <v>292</v>
      </c>
      <c r="AS387" s="76" t="s">
        <v>580</v>
      </c>
      <c r="AT387" s="137">
        <f>SUM(AT14:AT112)+SUM($L$113:$L$158,$L$160:$L$361,$L$363:$L$366,$L$373,$L$376:$L$380,$L$383:$L$384)*Summary_LCIA!H$32</f>
        <v>15751.241430399998</v>
      </c>
      <c r="AU387" s="137">
        <f>SUM(AU14:AU112)+SUM($L$113:$L$158,$L$160:$L$361,$L$363:$L$366,$L$373,$L$376:$L$380,$L$383:$L$384)*Summary_LCIA!Q$32</f>
        <v>229734.98208187602</v>
      </c>
      <c r="AV387" s="137">
        <f>SUM(AV14:AV112)+SUM($L$113:$L$158,$L$160:$L$361,$L$363:$L$366,$L$373,$L$376:$L$380,$L$383:$L$384)*Summary_LCIA!R$32</f>
        <v>244.08398138879997</v>
      </c>
      <c r="AW387" s="137">
        <f>SUM(AW14:AW112)+SUM($L$113:$L$158,$L$160:$L$361,$L$363:$L$366,$L$373,$L$376:$L$380,$L$383:$L$384)*Summary_LCIA!S$32</f>
        <v>15546.354770239999</v>
      </c>
      <c r="AX387" s="137">
        <f>SUM(AX14:AX112)+SUM($L$113:$L$158,$L$160:$L$361,$L$363:$L$366,$L$373,$L$376:$L$380,$L$383:$L$384)*Summary_LCIA!T$32</f>
        <v>5094.3538351999978</v>
      </c>
      <c r="AY387" s="137">
        <f>SUM(AY14:AY112)+SUM($L$113:$L$158,$L$160:$L$361,$L$363:$L$366,$L$373,$L$376:$L$380,$L$383:$L$384)*Summary_LCIA!U$32</f>
        <v>830.39358147199982</v>
      </c>
      <c r="AZ387" s="137">
        <f>SUM(AZ14:AZ112)+SUM($L$113:$L$158,$L$160:$L$361,$L$363:$L$366,$L$373,$L$376:$L$380,$L$383:$L$384)*Summary_LCIA!V$32</f>
        <v>2.2139347909279992</v>
      </c>
      <c r="BA387" s="137">
        <f>SUM(BA14:BA112)+SUM($L$113:$L$158,$L$160:$L$361,$L$363:$L$366,$L$373,$L$376:$L$380,$L$383:$L$384)*Summary_LCIA!W$32</f>
        <v>3567.9482170079987</v>
      </c>
      <c r="BB387" s="137">
        <f>SUM(BB14:BB112)+SUM($L$113:$L$158,$L$160:$L$361,$L$363:$L$366,$L$373,$L$376:$L$380,$L$383:$L$384)*Summary_LCIA!X$32</f>
        <v>1055.95432544</v>
      </c>
      <c r="BC387" s="137">
        <f>SUM(BC14:BC112)+SUM($L$113:$L$158,$L$160:$L$361,$L$363:$L$366,$L$373,$L$376:$L$380,$L$383:$L$384)*Summary_LCIA!Y$32</f>
        <v>722.29500873600011</v>
      </c>
      <c r="BD387" s="137">
        <f>SUM(BD14:BD112)+SUM($L$113:$L$158,$L$160:$L$361,$L$363:$L$366,$L$373,$L$376:$L$380,$L$383:$L$384)*Summary_LCIA!Z$32</f>
        <v>1.9009495580319995</v>
      </c>
      <c r="BE387" s="137">
        <f>SUM(BE14:BE112)+SUM($L$113:$L$158,$L$160:$L$361,$L$363:$L$366,$L$373,$L$376:$L$380,$L$383:$L$384)*Summary_LCIA!AA$32</f>
        <v>1082.6544874879996</v>
      </c>
      <c r="BF387" s="137">
        <f>SUM(BF14:BF112)+SUM($L$113:$L$158,$L$160:$L$361,$L$363:$L$366,$L$373,$L$376:$L$380,$L$383:$L$384)*Summary_LCIA!AB$32</f>
        <v>-1.0115931187039999</v>
      </c>
      <c r="BG387" s="137">
        <f>SUM(BG14:BG112)+SUM($L$113:$L$158,$L$160:$L$361,$L$363:$L$366,$L$373,$L$376:$L$380,$L$383:$L$384)*Summary_LCIA!AC$32</f>
        <v>2.2659908360319987E-3</v>
      </c>
      <c r="BH387" s="137">
        <f>SUM(BH14:BH112)+SUM($L$113:$L$158,$L$160:$L$361,$L$363:$L$366,$L$373,$L$376:$L$380,$L$383:$L$384)*Summary_LCIA!AD$32</f>
        <v>19.053532305919997</v>
      </c>
      <c r="BI387" s="137">
        <f>SUM(BI14:BI112)+SUM($L$113:$L$158,$L$160:$L$361,$L$363:$L$366,$L$373,$L$376:$L$380,$L$383:$L$384)*Summary_LCIA!AE$32</f>
        <v>41.076067006239981</v>
      </c>
      <c r="BJ387" s="137">
        <f>SUM(BJ14:BJ112)+SUM($L$113:$L$158,$L$160:$L$361,$L$363:$L$366,$L$373,$L$376:$L$380,$L$383:$L$384)*Summary_LCIA!AF$32</f>
        <v>39.188977428159973</v>
      </c>
      <c r="BK387" s="137">
        <f>SUM(BK14:BK112)+SUM($L$113:$L$158,$L$160:$L$361,$L$363:$L$366,$L$373,$L$376:$L$380,$L$383:$L$384)*Summary_LCIA!AG$32</f>
        <v>2.3717253319199987</v>
      </c>
      <c r="BL387" s="137">
        <f>SUM(BL14:BL112)+SUM($L$113:$L$158,$L$160:$L$361,$L$363:$L$366,$L$373,$L$376:$L$380,$L$383:$L$384)*Summary_LCIA!AH$32</f>
        <v>403.45057361279999</v>
      </c>
      <c r="BM387" s="137">
        <f>SUM(BM14:BM112)+SUM($L$113:$L$158,$L$160:$L$361,$L$363:$L$366,$L$373,$L$376:$L$380,$L$383:$L$384)*Summary_LCIA!AI$32</f>
        <v>43.18148603440001</v>
      </c>
    </row>
    <row r="388" spans="22:65" x14ac:dyDescent="0.25">
      <c r="V388" s="76" t="str">
        <f>Q383</f>
        <v>Newark Liberty International Airport</v>
      </c>
      <c r="W388" s="61">
        <f>COUNTIF(B2:B384,43)</f>
        <v>222</v>
      </c>
      <c r="AO388" s="76" t="s">
        <v>573</v>
      </c>
      <c r="AP388" s="137">
        <f>SUM(W113:W384)</f>
        <v>349676.21914644068</v>
      </c>
      <c r="AQ388" s="76" t="s">
        <v>292</v>
      </c>
      <c r="AS388" s="76" t="s">
        <v>579</v>
      </c>
      <c r="AT388" s="137">
        <f>SUM(AT113:AT384)-SUM($L$362,$L$367:$L$372,$L$374:$L$375,$L$381:$L$382,$L$159)*Summary_LCIA!H$34-SUM($L$113:$L$158,$L$160:$L$361,$L$363:$L$366,$L$373,$L$376:$L$380,$L$383:$L$384)*Summary_LCIA!H$32</f>
        <v>73131.05682519605</v>
      </c>
      <c r="AU388" s="137">
        <f ca="1">SUM(AU113:AU384)-SUM($L$362,$L$367:$L$372,$L$374:$L$375,$L$381:$L$382,$L$159)*Summary_LCIA!Q$34-SUM($L$113:$L$158,$L$160:$L$361,$L$363:$L$366,$L$373,$L$376:$L$380,$L$383:$L$384)*Summary_LCIA!Q$32</f>
        <v>742778.72240840469</v>
      </c>
      <c r="AV388" s="137">
        <f ca="1">SUM(AV113:AV384)-SUM($L$362,$L$367:$L$372,$L$374:$L$375,$L$381:$L$382,$L$159)*Summary_LCIA!R$34-SUM($L$113:$L$158,$L$160:$L$361,$L$363:$L$366,$L$373,$L$376:$L$380,$L$383:$L$384)*Summary_LCIA!R$32</f>
        <v>331.54707325720318</v>
      </c>
      <c r="AW388" s="137">
        <f ca="1">SUM(AW113:AW384)-SUM($L$362,$L$367:$L$372,$L$374:$L$375,$L$381:$L$382,$L$159)*Summary_LCIA!S$34-SUM($L$113:$L$158,$L$160:$L$361,$L$363:$L$366,$L$373,$L$376:$L$380,$L$383:$L$384)*Summary_LCIA!S$32</f>
        <v>73131.056825196021</v>
      </c>
      <c r="AX388" s="137">
        <f ca="1">SUM(AX113:AX384)-SUM($L$362,$L$367:$L$372,$L$374:$L$375,$L$381:$L$382,$L$159)*Summary_LCIA!T$34-SUM($L$113:$L$158,$L$160:$L$361,$L$363:$L$366,$L$373,$L$376:$L$380,$L$383:$L$384)*Summary_LCIA!T$32</f>
        <v>17379.724348218999</v>
      </c>
      <c r="AY388" s="137">
        <f ca="1">SUM(AY113:AY384)-SUM($L$362,$L$367:$L$372,$L$374:$L$375,$L$381:$L$382,$L$159)*Summary_LCIA!U$34-SUM($L$113:$L$158,$L$160:$L$361,$L$363:$L$366,$L$373,$L$376:$L$380,$L$383:$L$384)*Summary_LCIA!U$32</f>
        <v>82.004437777599946</v>
      </c>
      <c r="AZ388" s="137">
        <f ca="1">SUM(AZ113:AZ384)-SUM($L$362,$L$367:$L$372,$L$374:$L$375,$L$381:$L$382,$L$159)*Summary_LCIA!V$34-SUM($L$113:$L$158,$L$160:$L$361,$L$363:$L$366,$L$373,$L$376:$L$380,$L$383:$L$384)*Summary_LCIA!V$32</f>
        <v>1.7097669802097903</v>
      </c>
      <c r="BA388" s="137">
        <f ca="1">SUM(BA113:BA384)-SUM($L$362,$L$367:$L$372,$L$374:$L$375,$L$381:$L$382,$L$159)*Summary_LCIA!W$34-SUM($L$113:$L$158,$L$160:$L$361,$L$363:$L$366,$L$373,$L$376:$L$380,$L$383:$L$384)*Summary_LCIA!W$32</f>
        <v>2538.4699718993611</v>
      </c>
      <c r="BB388" s="137">
        <f ca="1">SUM(BB113:BB384)-SUM($L$362,$L$367:$L$372,$L$374:$L$375,$L$381:$L$382,$L$159)*Summary_LCIA!X$34-SUM($L$113:$L$158,$L$160:$L$361,$L$363:$L$366,$L$373,$L$376:$L$380,$L$383:$L$384)*Summary_LCIA!X$32</f>
        <v>3656.1436694881063</v>
      </c>
      <c r="BC388" s="137">
        <f ca="1">SUM(BC113:BC384)-SUM($L$362,$L$367:$L$372,$L$374:$L$375,$L$381:$L$382,$L$159)*Summary_LCIA!Y$34-SUM($L$113:$L$158,$L$160:$L$361,$L$363:$L$366,$L$373,$L$376:$L$380,$L$383:$L$384)*Summary_LCIA!Y$32</f>
        <v>70.413096808921296</v>
      </c>
      <c r="BD388" s="137">
        <f ca="1">SUM(BD113:BD384)-SUM($L$362,$L$367:$L$372,$L$374:$L$375,$L$381:$L$382,$L$159)*Summary_LCIA!Z$34-SUM($L$113:$L$158,$L$160:$L$361,$L$363:$L$366,$L$373,$L$376:$L$380,$L$383:$L$384)*Summary_LCIA!Z$32</f>
        <v>77.033368589323729</v>
      </c>
      <c r="BE388" s="137">
        <f ca="1">SUM(BE113:BE384)-SUM($L$362,$L$367:$L$372,$L$374:$L$375,$L$381:$L$382,$L$159)*Summary_LCIA!AA$34-SUM($L$113:$L$158,$L$160:$L$361,$L$363:$L$366,$L$373,$L$376:$L$380,$L$383:$L$384)*Summary_LCIA!AA$32</f>
        <v>296.29161555443454</v>
      </c>
      <c r="BF388" s="137">
        <f ca="1">SUM(BF113:BF384)-SUM($L$362,$L$367:$L$372,$L$374:$L$375,$L$381:$L$382,$L$159)*Summary_LCIA!AB$34-SUM($L$113:$L$158,$L$160:$L$361,$L$363:$L$366,$L$373,$L$376:$L$380,$L$383:$L$384)*Summary_LCIA!AB$32</f>
        <v>18.353268561405415</v>
      </c>
      <c r="BG388" s="137">
        <f ca="1">SUM(BG113:BG384)-SUM($L$362,$L$367:$L$372,$L$374:$L$375,$L$381:$L$382,$L$159)*Summary_LCIA!AC$34-SUM($L$113:$L$158,$L$160:$L$361,$L$363:$L$366,$L$373,$L$376:$L$380,$L$383:$L$384)*Summary_LCIA!AC$32</f>
        <v>8.8797773552938344E-3</v>
      </c>
      <c r="BH388" s="137">
        <f ca="1">SUM(BH113:BH384)-SUM($L$362,$L$367:$L$372,$L$374:$L$375,$L$381:$L$382,$L$159)*Summary_LCIA!AD$34-SUM($L$113:$L$158,$L$160:$L$361,$L$363:$L$366,$L$373,$L$376:$L$380,$L$383:$L$384)*Summary_LCIA!AD$32</f>
        <v>27.963448387211223</v>
      </c>
      <c r="BI388" s="137">
        <f ca="1">SUM(BI113:BI384)-SUM($L$362,$L$367:$L$372,$L$374:$L$375,$L$381:$L$382,$L$159)*Summary_LCIA!AE$34-SUM($L$113:$L$158,$L$160:$L$361,$L$363:$L$366,$L$373,$L$376:$L$380,$L$383:$L$384)*Summary_LCIA!AE$32</f>
        <v>82.296731662868382</v>
      </c>
      <c r="BJ388" s="137">
        <f ca="1">SUM(BJ113:BJ384)-SUM($L$362,$L$367:$L$372,$L$374:$L$375,$L$381:$L$382,$L$159)*Summary_LCIA!AF$34-SUM($L$113:$L$158,$L$160:$L$361,$L$363:$L$366,$L$373,$L$376:$L$380,$L$383:$L$384)*Summary_LCIA!AF$32</f>
        <v>1.2576319150555229</v>
      </c>
      <c r="BK388" s="137">
        <f ca="1">SUM(BK113:BK384)-SUM($L$362,$L$367:$L$372,$L$374:$L$375,$L$381:$L$382,$L$159)*Summary_LCIA!AG$34-SUM($L$113:$L$158,$L$160:$L$361,$L$363:$L$366,$L$373,$L$376:$L$380,$L$383:$L$384)*Summary_LCIA!AG$32</f>
        <v>1.2576319150555082</v>
      </c>
      <c r="BL388" s="137">
        <f ca="1">SUM(BL113:BL384)-SUM($L$362,$L$367:$L$372,$L$374:$L$375,$L$381:$L$382,$L$159)*Summary_LCIA!AH$34-SUM($L$113:$L$158,$L$160:$L$361,$L$363:$L$366,$L$373,$L$376:$L$380,$L$383:$L$384)*Summary_LCIA!AH$32</f>
        <v>176.05806161856555</v>
      </c>
      <c r="BM388" s="137">
        <f ca="1">SUM(BM113:BM384)-SUM($L$362,$L$367:$L$372,$L$374:$L$375,$L$381:$L$382,$L$159)*Summary_LCIA!AI$34-SUM($L$113:$L$158,$L$160:$L$361,$L$363:$L$366,$L$373,$L$376:$L$380,$L$383:$L$384)*Summary_LCIA!AI$32</f>
        <v>72.805500158889814</v>
      </c>
    </row>
    <row r="389" spans="22:65" x14ac:dyDescent="0.25">
      <c r="W389" s="61"/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37"/>
      <c r="BE389" s="137"/>
      <c r="BF389" s="137"/>
      <c r="BG389" s="137"/>
      <c r="BH389" s="137"/>
      <c r="BI389" s="137"/>
      <c r="BJ389" s="137"/>
      <c r="BK389" s="137"/>
      <c r="BL389" s="137"/>
      <c r="BM389" s="137"/>
    </row>
    <row r="390" spans="22:65" x14ac:dyDescent="0.25">
      <c r="AO390" s="76" t="str">
        <f>'ACLCA_raw data'!I2</f>
        <v>total number of participants (w. location &amp; w/o duplication)</v>
      </c>
      <c r="AP390" s="76">
        <f>'ACLCA_raw data'!J2</f>
        <v>383</v>
      </c>
      <c r="AQ390" s="76" t="s">
        <v>291</v>
      </c>
      <c r="AS390" s="76" t="s">
        <v>583</v>
      </c>
      <c r="AT390" s="137">
        <f>AT386/$AP$390</f>
        <v>1.5330485414725847</v>
      </c>
      <c r="AU390" s="137">
        <f ca="1">AU386/$AP$390</f>
        <v>8.2381405367394258</v>
      </c>
      <c r="AV390" s="137">
        <f t="shared" ref="AV390:BM390" ca="1" si="43">AV386/$AP$390</f>
        <v>12.966725348992165</v>
      </c>
      <c r="AW390" s="137">
        <f t="shared" ca="1" si="43"/>
        <v>0.43059532627018282</v>
      </c>
      <c r="AX390" s="137">
        <f t="shared" ca="1" si="43"/>
        <v>2.9025643981201039</v>
      </c>
      <c r="AY390" s="137">
        <f t="shared" ca="1" si="43"/>
        <v>1.0924717351227154E-2</v>
      </c>
      <c r="AZ390" s="137">
        <f t="shared" ca="1" si="43"/>
        <v>8.9030779028720624E-4</v>
      </c>
      <c r="BA390" s="137">
        <f t="shared" ca="1" si="43"/>
        <v>0.66064934166057432</v>
      </c>
      <c r="BB390" s="137">
        <f t="shared" ca="1" si="43"/>
        <v>1.1413056897023499</v>
      </c>
      <c r="BC390" s="137">
        <f t="shared" ca="1" si="43"/>
        <v>18.303061029271959</v>
      </c>
      <c r="BD390" s="137">
        <f t="shared" ca="1" si="43"/>
        <v>3.8031006972323748E-2</v>
      </c>
      <c r="BE390" s="137">
        <f t="shared" ca="1" si="43"/>
        <v>1.0996212698694516</v>
      </c>
      <c r="BF390" s="137">
        <f t="shared" ca="1" si="43"/>
        <v>0.30718876466920098</v>
      </c>
      <c r="BG390" s="137">
        <f t="shared" ca="1" si="43"/>
        <v>2.7246716319482358E-2</v>
      </c>
      <c r="BH390" s="137">
        <f t="shared" ca="1" si="43"/>
        <v>1.8433862338276762E-3</v>
      </c>
      <c r="BI390" s="137">
        <f t="shared" ca="1" si="43"/>
        <v>0.75042445730966045</v>
      </c>
      <c r="BJ390" s="137">
        <f t="shared" ca="1" si="43"/>
        <v>0.15872840302454305</v>
      </c>
      <c r="BK390" s="137">
        <f t="shared" ca="1" si="43"/>
        <v>2.5396301411968664E-2</v>
      </c>
      <c r="BL390" s="137">
        <f t="shared" ca="1" si="43"/>
        <v>1.3584224014255873E-2</v>
      </c>
      <c r="BM390" s="137">
        <f t="shared" ca="1" si="43"/>
        <v>3.2171522713315935E-2</v>
      </c>
    </row>
    <row r="391" spans="22:65" x14ac:dyDescent="0.25">
      <c r="AO391" s="76" t="str">
        <f>'ACLCA_raw data'!I3</f>
        <v>total number of participants (w/o duplication)</v>
      </c>
      <c r="AP391" s="76">
        <f>'ACLCA_raw data'!J3</f>
        <v>536</v>
      </c>
      <c r="AQ391" s="76" t="s">
        <v>291</v>
      </c>
      <c r="AS391" s="76" t="s">
        <v>584</v>
      </c>
      <c r="AT391" s="137">
        <f>AT387/$AP$390</f>
        <v>41.125956737336807</v>
      </c>
      <c r="AU391" s="137">
        <f t="shared" ref="AU391:BM391" si="44">AU387/$AP$390</f>
        <v>599.83024042265276</v>
      </c>
      <c r="AV391" s="137">
        <f t="shared" si="44"/>
        <v>0.63729499057127925</v>
      </c>
      <c r="AW391" s="137">
        <f t="shared" si="44"/>
        <v>40.59100462203655</v>
      </c>
      <c r="AX391" s="137">
        <f t="shared" si="44"/>
        <v>13.301184948302867</v>
      </c>
      <c r="AY391" s="137">
        <f t="shared" si="44"/>
        <v>2.1681294555404693</v>
      </c>
      <c r="AZ391" s="137">
        <f t="shared" si="44"/>
        <v>5.7805085925013034E-3</v>
      </c>
      <c r="BA391" s="137">
        <f t="shared" si="44"/>
        <v>9.3157916893159243</v>
      </c>
      <c r="BB391" s="137">
        <f t="shared" si="44"/>
        <v>2.7570609019321148</v>
      </c>
      <c r="BC391" s="137">
        <f t="shared" si="44"/>
        <v>1.8858877512689298</v>
      </c>
      <c r="BD391" s="137">
        <f t="shared" si="44"/>
        <v>4.9633147729295024E-3</v>
      </c>
      <c r="BE391" s="137">
        <f t="shared" si="44"/>
        <v>2.8267741187676232</v>
      </c>
      <c r="BF391" s="137">
        <f t="shared" si="44"/>
        <v>-2.6412352968772845E-3</v>
      </c>
      <c r="BG391" s="137">
        <f t="shared" si="44"/>
        <v>5.9164251593524768E-6</v>
      </c>
      <c r="BH391" s="137">
        <f t="shared" si="44"/>
        <v>4.9748126125117489E-2</v>
      </c>
      <c r="BI391" s="137">
        <f t="shared" si="44"/>
        <v>0.10724821672647515</v>
      </c>
      <c r="BJ391" s="137">
        <f t="shared" si="44"/>
        <v>0.10232108989075711</v>
      </c>
      <c r="BK391" s="137">
        <f t="shared" si="44"/>
        <v>6.1924943392167066E-3</v>
      </c>
      <c r="BL391" s="137">
        <f t="shared" si="44"/>
        <v>1.0533957535582246</v>
      </c>
      <c r="BM391" s="137">
        <f t="shared" si="44"/>
        <v>0.11274539434569193</v>
      </c>
    </row>
    <row r="392" spans="22:65" x14ac:dyDescent="0.25">
      <c r="AO392" s="76" t="s">
        <v>578</v>
      </c>
      <c r="AP392" s="61">
        <f>AP386/$AP$390</f>
        <v>20.588334203655354</v>
      </c>
      <c r="AQ392" s="76" t="s">
        <v>292</v>
      </c>
      <c r="AS392" s="76" t="s">
        <v>585</v>
      </c>
      <c r="AT392" s="137">
        <f>AT388/$AP$390*IF(SA!$B$9="-", 1,0)+IF(SA!$B$9&lt;&gt;"-", $AP$388*SA!$B$9/$AP$390,0)</f>
        <v>190.9427071153944</v>
      </c>
      <c r="AU392" s="137">
        <f t="shared" ref="AU392:BM392" ca="1" si="45">AU388/$AP$390</f>
        <v>1939.3700323979235</v>
      </c>
      <c r="AV392" s="137">
        <f t="shared" ca="1" si="45"/>
        <v>0.86565815471854612</v>
      </c>
      <c r="AW392" s="137">
        <f t="shared" ca="1" si="45"/>
        <v>190.94270711539431</v>
      </c>
      <c r="AX392" s="137">
        <f t="shared" ca="1" si="45"/>
        <v>45.377870360885112</v>
      </c>
      <c r="AY392" s="137">
        <f t="shared" ca="1" si="45"/>
        <v>0.21411080359686671</v>
      </c>
      <c r="AZ392" s="137">
        <f t="shared" ca="1" si="45"/>
        <v>4.4641435514615937E-3</v>
      </c>
      <c r="BA392" s="137">
        <f t="shared" ca="1" si="45"/>
        <v>6.6278589344630836</v>
      </c>
      <c r="BB392" s="137">
        <f t="shared" ca="1" si="45"/>
        <v>9.5460670221621573</v>
      </c>
      <c r="BC392" s="137">
        <f t="shared" ca="1" si="45"/>
        <v>0.18384620576741853</v>
      </c>
      <c r="BD392" s="137">
        <f t="shared" ca="1" si="45"/>
        <v>0.20113151067708546</v>
      </c>
      <c r="BE392" s="137">
        <f t="shared" ca="1" si="45"/>
        <v>0.77360735131706149</v>
      </c>
      <c r="BF392" s="137">
        <f t="shared" ca="1" si="45"/>
        <v>4.7919761256933195E-2</v>
      </c>
      <c r="BG392" s="137">
        <f t="shared" ca="1" si="45"/>
        <v>2.3184797272307662E-5</v>
      </c>
      <c r="BH392" s="137">
        <f t="shared" ca="1" si="45"/>
        <v>7.3011614588018858E-2</v>
      </c>
      <c r="BI392" s="137">
        <f t="shared" ca="1" si="45"/>
        <v>0.21487397301010022</v>
      </c>
      <c r="BJ392" s="137">
        <f t="shared" ca="1" si="45"/>
        <v>3.2836342429648116E-3</v>
      </c>
      <c r="BK392" s="137">
        <f t="shared" ca="1" si="45"/>
        <v>3.2836342429647734E-3</v>
      </c>
      <c r="BL392" s="137">
        <f ca="1">BL388/$AP$390</f>
        <v>0.45968162302497534</v>
      </c>
      <c r="BM392" s="137">
        <f t="shared" ca="1" si="45"/>
        <v>0.19009268970989507</v>
      </c>
    </row>
    <row r="393" spans="22:65" x14ac:dyDescent="0.25">
      <c r="AO393" s="76" t="s">
        <v>577</v>
      </c>
      <c r="AP393" s="61">
        <f>AP387/$AP$390</f>
        <v>121.02989033942553</v>
      </c>
      <c r="AQ393" s="76" t="s">
        <v>292</v>
      </c>
      <c r="AT393" s="137"/>
      <c r="AU393" s="137"/>
      <c r="AV393" s="137"/>
      <c r="AW393" s="137"/>
      <c r="AX393" s="137"/>
      <c r="AY393" s="137"/>
      <c r="AZ393" s="137"/>
      <c r="BA393" s="137"/>
      <c r="BB393" s="137"/>
      <c r="BC393" s="137"/>
      <c r="BD393" s="137"/>
      <c r="BE393" s="137"/>
      <c r="BF393" s="137"/>
      <c r="BG393" s="137"/>
      <c r="BH393" s="137"/>
      <c r="BI393" s="137"/>
      <c r="BJ393" s="137"/>
      <c r="BK393" s="137"/>
      <c r="BL393" s="137"/>
      <c r="BM393" s="137"/>
    </row>
    <row r="394" spans="22:65" x14ac:dyDescent="0.25">
      <c r="AO394" s="76" t="s">
        <v>576</v>
      </c>
      <c r="AP394" s="61">
        <f>AP388/$AP$390</f>
        <v>912.99273928574587</v>
      </c>
      <c r="AQ394" s="76" t="s">
        <v>292</v>
      </c>
      <c r="AS394" s="76" t="s">
        <v>588</v>
      </c>
      <c r="AT394" s="137">
        <f>AT386/$AP$386</f>
        <v>7.4461999999999987E-2</v>
      </c>
      <c r="AU394" s="137">
        <f t="shared" ref="AU394:BM394" ca="1" si="46">AU386/$AP$386</f>
        <v>0.40013633231564627</v>
      </c>
      <c r="AV394" s="137">
        <f t="shared" ca="1" si="46"/>
        <v>0.62980934837797564</v>
      </c>
      <c r="AW394" s="137">
        <f t="shared" ca="1" si="46"/>
        <v>2.0914529656009411E-2</v>
      </c>
      <c r="AX394" s="137">
        <f t="shared" ca="1" si="46"/>
        <v>0.14098102203940172</v>
      </c>
      <c r="AY394" s="137">
        <f t="shared" ca="1" si="46"/>
        <v>5.3062657926387881E-4</v>
      </c>
      <c r="AZ394" s="137">
        <f t="shared" ca="1" si="46"/>
        <v>4.3243313493965758E-5</v>
      </c>
      <c r="BA394" s="137">
        <f t="shared" ca="1" si="46"/>
        <v>3.2088528150241484E-2</v>
      </c>
      <c r="BB394" s="137">
        <f t="shared" ca="1" si="46"/>
        <v>5.5434581467971158E-2</v>
      </c>
      <c r="BC394" s="137">
        <f t="shared" ca="1" si="46"/>
        <v>0.88900155050049368</v>
      </c>
      <c r="BD394" s="137">
        <f t="shared" ca="1" si="46"/>
        <v>1.8472114643238861E-3</v>
      </c>
      <c r="BE394" s="137">
        <f t="shared" ca="1" si="46"/>
        <v>5.3409919374352272E-2</v>
      </c>
      <c r="BF394" s="137">
        <f t="shared" ca="1" si="46"/>
        <v>1.492052546022209E-2</v>
      </c>
      <c r="BG394" s="137">
        <f t="shared" ca="1" si="46"/>
        <v>1.3234055776423545E-3</v>
      </c>
      <c r="BH394" s="137">
        <f t="shared" ca="1" si="46"/>
        <v>8.9535472641608484E-5</v>
      </c>
      <c r="BI394" s="137">
        <f t="shared" ca="1" si="46"/>
        <v>3.6449012818940273E-2</v>
      </c>
      <c r="BJ394" s="137">
        <f t="shared" ca="1" si="46"/>
        <v>7.7096282513405895E-3</v>
      </c>
      <c r="BK394" s="137">
        <f t="shared" ca="1" si="46"/>
        <v>1.2335287139189572E-3</v>
      </c>
      <c r="BL394" s="137">
        <f t="shared" ca="1" si="46"/>
        <v>6.5980199660077717E-4</v>
      </c>
      <c r="BM394" s="137">
        <f t="shared" ca="1" si="46"/>
        <v>1.5626093104513547E-3</v>
      </c>
    </row>
    <row r="395" spans="22:65" x14ac:dyDescent="0.25">
      <c r="AS395" s="76" t="s">
        <v>587</v>
      </c>
      <c r="AT395" s="137">
        <f>AT387/$AP$387</f>
        <v>0.3398000000000001</v>
      </c>
      <c r="AU395" s="137">
        <f t="shared" ref="AU395:BM395" si="47">AU387/$AP$387</f>
        <v>4.9560504330000024</v>
      </c>
      <c r="AV395" s="137">
        <f t="shared" si="47"/>
        <v>5.2656000000000014E-3</v>
      </c>
      <c r="AW395" s="137">
        <f t="shared" si="47"/>
        <v>0.33538000000000012</v>
      </c>
      <c r="AX395" s="137">
        <f t="shared" si="47"/>
        <v>0.1099</v>
      </c>
      <c r="AY395" s="137">
        <f t="shared" si="47"/>
        <v>1.7914000000000003E-2</v>
      </c>
      <c r="AZ395" s="137">
        <f t="shared" si="47"/>
        <v>4.7760999999999999E-5</v>
      </c>
      <c r="BA395" s="137">
        <f t="shared" si="47"/>
        <v>7.6970999999999998E-2</v>
      </c>
      <c r="BB395" s="137">
        <f t="shared" si="47"/>
        <v>2.2780000000000009E-2</v>
      </c>
      <c r="BC395" s="137">
        <f t="shared" si="47"/>
        <v>1.5582000000000009E-2</v>
      </c>
      <c r="BD395" s="137">
        <f t="shared" si="47"/>
        <v>4.1009000000000007E-5</v>
      </c>
      <c r="BE395" s="137">
        <f t="shared" si="47"/>
        <v>2.3356000000000002E-2</v>
      </c>
      <c r="BF395" s="137">
        <f t="shared" si="47"/>
        <v>-2.1823000000000008E-5</v>
      </c>
      <c r="BG395" s="137">
        <f t="shared" si="47"/>
        <v>4.888399999999999E-8</v>
      </c>
      <c r="BH395" s="137">
        <f t="shared" si="47"/>
        <v>4.110400000000001E-4</v>
      </c>
      <c r="BI395" s="137">
        <f t="shared" si="47"/>
        <v>8.8612999999999995E-4</v>
      </c>
      <c r="BJ395" s="137">
        <f t="shared" si="47"/>
        <v>8.4541999999999972E-4</v>
      </c>
      <c r="BK395" s="137">
        <f t="shared" si="47"/>
        <v>5.1164999999999989E-5</v>
      </c>
      <c r="BL395" s="137">
        <f t="shared" si="47"/>
        <v>8.7036000000000023E-3</v>
      </c>
      <c r="BM395" s="137">
        <f t="shared" si="47"/>
        <v>9.3155000000000061E-4</v>
      </c>
    </row>
    <row r="396" spans="22:65" x14ac:dyDescent="0.25">
      <c r="AS396" s="76" t="s">
        <v>586</v>
      </c>
      <c r="AT396" s="137">
        <f>AT388/$AP$388</f>
        <v>0.20913934897748807</v>
      </c>
      <c r="AU396" s="137">
        <f t="shared" ref="AU396:BM396" ca="1" si="48">AU388/$AP$388</f>
        <v>2.1241899841559913</v>
      </c>
      <c r="AV396" s="137">
        <f t="shared" ca="1" si="48"/>
        <v>9.4815447863886562E-4</v>
      </c>
      <c r="AW396" s="137">
        <f t="shared" ca="1" si="48"/>
        <v>0.20913934897748798</v>
      </c>
      <c r="AX396" s="137">
        <f t="shared" ca="1" si="48"/>
        <v>4.9702334321284097E-2</v>
      </c>
      <c r="AY396" s="137">
        <f t="shared" ca="1" si="48"/>
        <v>2.3451534101396059E-4</v>
      </c>
      <c r="AZ396" s="137">
        <f t="shared" ca="1" si="48"/>
        <v>4.8895717998305112E-6</v>
      </c>
      <c r="BA396" s="137">
        <f t="shared" ca="1" si="48"/>
        <v>7.2594870137173296E-3</v>
      </c>
      <c r="BB396" s="137">
        <f t="shared" ca="1" si="48"/>
        <v>1.0455797304182566E-2</v>
      </c>
      <c r="BC396" s="137">
        <f t="shared" ca="1" si="48"/>
        <v>2.0136655841452301E-4</v>
      </c>
      <c r="BD396" s="137">
        <f t="shared" ca="1" si="48"/>
        <v>2.2029913494650024E-4</v>
      </c>
      <c r="BE396" s="137">
        <f t="shared" ca="1" si="48"/>
        <v>8.4733132918698929E-4</v>
      </c>
      <c r="BF396" s="137">
        <f t="shared" ca="1" si="48"/>
        <v>5.2486464782208311E-5</v>
      </c>
      <c r="BG396" s="137">
        <f t="shared" ca="1" si="48"/>
        <v>2.5394284395345392E-8</v>
      </c>
      <c r="BH396" s="137">
        <f t="shared" ca="1" si="48"/>
        <v>7.9969545699933422E-5</v>
      </c>
      <c r="BI396" s="137">
        <f t="shared" ca="1" si="48"/>
        <v>2.3535123968039526E-4</v>
      </c>
      <c r="BJ396" s="137">
        <f t="shared" ca="1" si="48"/>
        <v>3.5965611791542505E-6</v>
      </c>
      <c r="BK396" s="137">
        <f t="shared" ca="1" si="48"/>
        <v>3.5965611791542086E-6</v>
      </c>
      <c r="BL396" s="137">
        <f t="shared" ca="1" si="48"/>
        <v>5.0348880472433357E-4</v>
      </c>
      <c r="BM396" s="137">
        <f t="shared" ca="1" si="48"/>
        <v>2.0820832579523986E-4</v>
      </c>
    </row>
  </sheetData>
  <sortState xmlns:xlrd2="http://schemas.microsoft.com/office/spreadsheetml/2017/richdata2" ref="A2:W396">
    <sortCondition descending="1" ref="V34:V396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E728B-CD1E-4D57-9241-CDA3D62C77FE}">
  <sheetPr codeName="Sheet22"/>
  <dimension ref="A1:BM398"/>
  <sheetViews>
    <sheetView topLeftCell="L349" zoomScale="60" zoomScaleNormal="60" workbookViewId="0">
      <selection activeCell="AJ416" sqref="AJ416"/>
    </sheetView>
  </sheetViews>
  <sheetFormatPr defaultRowHeight="15" x14ac:dyDescent="0.25"/>
  <cols>
    <col min="1" max="2" width="9.28515625" style="149" bestFit="1" customWidth="1"/>
    <col min="3" max="4" width="9.28515625" style="76" bestFit="1" customWidth="1"/>
    <col min="5" max="5" width="9.140625" style="76"/>
    <col min="6" max="6" width="9.28515625" style="149" bestFit="1" customWidth="1"/>
    <col min="7" max="8" width="9.140625" style="76"/>
    <col min="9" max="12" width="9.28515625" style="76" bestFit="1" customWidth="1"/>
    <col min="13" max="13" width="9.140625" style="76"/>
    <col min="14" max="15" width="9.28515625" style="149" bestFit="1" customWidth="1"/>
    <col min="16" max="17" width="9.140625" style="76"/>
    <col min="18" max="20" width="9.28515625" style="76" bestFit="1" customWidth="1"/>
    <col min="21" max="22" width="9.140625" style="76"/>
    <col min="23" max="23" width="9.28515625" style="76" bestFit="1" customWidth="1"/>
    <col min="24" max="24" width="9.140625" style="76"/>
    <col min="25" max="44" width="10.7109375" style="76" customWidth="1"/>
    <col min="45" max="45" width="9.140625" style="76"/>
    <col min="46" max="65" width="10.7109375" style="76" customWidth="1"/>
    <col min="66" max="16384" width="9.140625" style="76"/>
  </cols>
  <sheetData>
    <row r="1" spans="1:65" x14ac:dyDescent="0.25">
      <c r="A1" s="149" t="s">
        <v>562</v>
      </c>
      <c r="B1" s="149" t="s">
        <v>601</v>
      </c>
      <c r="C1" s="61" t="s">
        <v>602</v>
      </c>
      <c r="D1" s="61" t="s">
        <v>603</v>
      </c>
      <c r="E1" s="61" t="s">
        <v>604</v>
      </c>
      <c r="F1" s="149" t="s">
        <v>605</v>
      </c>
      <c r="G1" s="61" t="s">
        <v>606</v>
      </c>
      <c r="H1" s="61" t="s">
        <v>607</v>
      </c>
      <c r="I1" s="61" t="s">
        <v>608</v>
      </c>
      <c r="J1" s="61" t="s">
        <v>609</v>
      </c>
      <c r="K1" s="61" t="s">
        <v>563</v>
      </c>
      <c r="L1" s="61" t="s">
        <v>610</v>
      </c>
      <c r="M1" s="61" t="s">
        <v>568</v>
      </c>
      <c r="N1" s="149" t="s">
        <v>611</v>
      </c>
      <c r="O1" s="149" t="s">
        <v>560</v>
      </c>
      <c r="P1" s="61" t="s">
        <v>612</v>
      </c>
      <c r="Q1" s="61" t="s">
        <v>317</v>
      </c>
      <c r="R1" s="61" t="s">
        <v>288</v>
      </c>
      <c r="S1" s="61" t="s">
        <v>289</v>
      </c>
      <c r="T1" s="61" t="s">
        <v>613</v>
      </c>
      <c r="U1" s="61" t="s">
        <v>614</v>
      </c>
      <c r="V1" s="61" t="s">
        <v>732</v>
      </c>
      <c r="W1" s="61" t="s">
        <v>733</v>
      </c>
      <c r="Y1" s="137" t="s">
        <v>0</v>
      </c>
      <c r="Z1" s="137" t="s">
        <v>156</v>
      </c>
      <c r="AA1" s="137" t="s">
        <v>164</v>
      </c>
      <c r="AB1" s="137" t="s">
        <v>165</v>
      </c>
      <c r="AC1" s="137" t="s">
        <v>166</v>
      </c>
      <c r="AD1" s="137" t="s">
        <v>167</v>
      </c>
      <c r="AE1" s="137" t="s">
        <v>168</v>
      </c>
      <c r="AF1" s="137" t="s">
        <v>169</v>
      </c>
      <c r="AG1" s="137" t="s">
        <v>170</v>
      </c>
      <c r="AH1" s="137" t="s">
        <v>171</v>
      </c>
      <c r="AI1" s="137" t="s">
        <v>172</v>
      </c>
      <c r="AJ1" s="137" t="s">
        <v>173</v>
      </c>
      <c r="AK1" s="137" t="s">
        <v>174</v>
      </c>
      <c r="AL1" s="137" t="s">
        <v>175</v>
      </c>
      <c r="AM1" s="137" t="s">
        <v>176</v>
      </c>
      <c r="AN1" s="137" t="s">
        <v>177</v>
      </c>
      <c r="AO1" s="137" t="s">
        <v>178</v>
      </c>
      <c r="AP1" s="137" t="s">
        <v>179</v>
      </c>
      <c r="AQ1" s="137" t="s">
        <v>180</v>
      </c>
      <c r="AR1" s="137" t="s">
        <v>181</v>
      </c>
      <c r="AT1" s="137" t="str">
        <f>Y1</f>
        <v>GWP</v>
      </c>
      <c r="AU1" s="137" t="str">
        <f t="shared" ref="AU1:BM1" si="0">Z1</f>
        <v>CED</v>
      </c>
      <c r="AV1" s="137" t="str">
        <f t="shared" si="0"/>
        <v>ALOP</v>
      </c>
      <c r="AW1" s="137" t="str">
        <f t="shared" si="0"/>
        <v>GWP100</v>
      </c>
      <c r="AX1" s="137" t="str">
        <f t="shared" si="0"/>
        <v>FDP</v>
      </c>
      <c r="AY1" s="137" t="str">
        <f t="shared" si="0"/>
        <v>FETPinf</v>
      </c>
      <c r="AZ1" s="137" t="str">
        <f t="shared" si="0"/>
        <v>FEP</v>
      </c>
      <c r="BA1" s="137" t="str">
        <f t="shared" si="0"/>
        <v>HTPinf</v>
      </c>
      <c r="BB1" s="137" t="str">
        <f t="shared" si="0"/>
        <v>IRP_HE</v>
      </c>
      <c r="BC1" s="137" t="str">
        <f t="shared" si="0"/>
        <v>METPinf</v>
      </c>
      <c r="BD1" s="137" t="str">
        <f t="shared" si="0"/>
        <v>MEP</v>
      </c>
      <c r="BE1" s="137" t="str">
        <f t="shared" si="0"/>
        <v>MDP</v>
      </c>
      <c r="BF1" s="137" t="str">
        <f t="shared" si="0"/>
        <v>NLTP</v>
      </c>
      <c r="BG1" s="137" t="str">
        <f t="shared" si="0"/>
        <v>ODPinf</v>
      </c>
      <c r="BH1" s="137" t="str">
        <f t="shared" si="0"/>
        <v>PMFP</v>
      </c>
      <c r="BI1" s="137" t="str">
        <f t="shared" si="0"/>
        <v>POFP</v>
      </c>
      <c r="BJ1" s="137" t="str">
        <f t="shared" si="0"/>
        <v>TAP100</v>
      </c>
      <c r="BK1" s="137" t="str">
        <f t="shared" si="0"/>
        <v>TETPinf</v>
      </c>
      <c r="BL1" s="137" t="str">
        <f t="shared" si="0"/>
        <v>ULOP</v>
      </c>
      <c r="BM1" s="137" t="str">
        <f t="shared" si="0"/>
        <v>WDP</v>
      </c>
    </row>
    <row r="2" spans="1:65" x14ac:dyDescent="0.25">
      <c r="A2" s="149">
        <v>381</v>
      </c>
      <c r="B2" s="149">
        <v>15</v>
      </c>
      <c r="C2" s="61">
        <v>47.376887000000004</v>
      </c>
      <c r="D2" s="61">
        <v>8.5416939999999997</v>
      </c>
      <c r="E2" s="61" t="s">
        <v>271</v>
      </c>
      <c r="F2" s="149">
        <v>38</v>
      </c>
      <c r="G2" s="61" t="s">
        <v>567</v>
      </c>
      <c r="H2" s="61" t="s">
        <v>678</v>
      </c>
      <c r="I2" s="61">
        <v>48.353696999999997</v>
      </c>
      <c r="J2" s="61">
        <v>11.775111000000001</v>
      </c>
      <c r="K2" s="61">
        <v>287.26130230000001</v>
      </c>
      <c r="L2" s="61">
        <v>387.93700000000001</v>
      </c>
      <c r="M2" s="61" t="s">
        <v>589</v>
      </c>
      <c r="N2" s="149">
        <v>14</v>
      </c>
      <c r="O2" s="149">
        <v>15</v>
      </c>
      <c r="P2" s="61" t="s">
        <v>567</v>
      </c>
      <c r="Q2" s="61" t="s">
        <v>566</v>
      </c>
      <c r="R2" s="61">
        <v>50.037932599999998</v>
      </c>
      <c r="S2" s="61">
        <v>8.5621518000000005</v>
      </c>
      <c r="T2" s="61">
        <f>Transport_2_Hubs!T2</f>
        <v>417.82600000000002</v>
      </c>
      <c r="U2" s="61" t="s">
        <v>589</v>
      </c>
      <c r="V2" s="61" t="s">
        <v>589</v>
      </c>
      <c r="W2" s="61"/>
      <c r="Y2" s="137">
        <f>Summary_LCIA!H$34</f>
        <v>7.4462E-2</v>
      </c>
      <c r="Z2" s="137">
        <f ca="1">Summary_LCIA!Q$34</f>
        <v>1.23508923</v>
      </c>
      <c r="AA2" s="137">
        <f ca="1">Summary_LCIA!R$34</f>
        <v>2.5566E-3</v>
      </c>
      <c r="AB2" s="137">
        <f ca="1">Summary_LCIA!S$34</f>
        <v>7.3438000000000003E-2</v>
      </c>
      <c r="AC2" s="137">
        <f ca="1">Summary_LCIA!T$34</f>
        <v>2.0743000000000001E-2</v>
      </c>
      <c r="AD2" s="137">
        <f ca="1">Summary_LCIA!U$34</f>
        <v>1.8396E-3</v>
      </c>
      <c r="AE2" s="137">
        <f ca="1">Summary_LCIA!V$34</f>
        <v>8.1093000000000004E-5</v>
      </c>
      <c r="AF2" s="137">
        <f ca="1">Summary_LCIA!W$34</f>
        <v>5.0548999999999997E-2</v>
      </c>
      <c r="AG2" s="137">
        <f ca="1">Summary_LCIA!X$34</f>
        <v>1.0624E-2</v>
      </c>
      <c r="AH2" s="137">
        <f ca="1">Summary_LCIA!Y$34</f>
        <v>1.7136E-3</v>
      </c>
      <c r="AI2" s="137">
        <f ca="1">Summary_LCIA!Z$34</f>
        <v>2.8504999999999999E-5</v>
      </c>
      <c r="AJ2" s="137">
        <f ca="1">Summary_LCIA!AA$34</f>
        <v>2.0625999999999999E-3</v>
      </c>
      <c r="AK2" s="137">
        <f ca="1">Summary_LCIA!AB$34</f>
        <v>-6.9388999999999998E-6</v>
      </c>
      <c r="AL2" s="137">
        <f ca="1">Summary_LCIA!AC$34</f>
        <v>3.6820999999999999E-9</v>
      </c>
      <c r="AM2" s="137">
        <f ca="1">Summary_LCIA!AD$34</f>
        <v>1.1118E-4</v>
      </c>
      <c r="AN2" s="137">
        <f ca="1">Summary_LCIA!AE$34</f>
        <v>2.9994E-4</v>
      </c>
      <c r="AO2" s="137">
        <f ca="1">Summary_LCIA!AF$34</f>
        <v>2.3786E-4</v>
      </c>
      <c r="AP2" s="137">
        <f ca="1">Summary_LCIA!AG$34</f>
        <v>2.7381000000000001E-6</v>
      </c>
      <c r="AQ2" s="137">
        <f ca="1">Summary_LCIA!AH$34</f>
        <v>2.2783E-3</v>
      </c>
      <c r="AR2" s="137">
        <f ca="1">Summary_LCIA!AI$34</f>
        <v>2.8075000000000002E-4</v>
      </c>
      <c r="AT2" s="137">
        <f>$T2*Y2</f>
        <v>31.112159612000003</v>
      </c>
      <c r="AU2" s="137">
        <f t="shared" ref="AU2:BM2" ca="1" si="1">$T2*Z2</f>
        <v>516.05239261398003</v>
      </c>
      <c r="AV2" s="137">
        <f t="shared" ca="1" si="1"/>
        <v>1.0682139516</v>
      </c>
      <c r="AW2" s="137">
        <f t="shared" ca="1" si="1"/>
        <v>30.684305788000003</v>
      </c>
      <c r="AX2" s="137">
        <f t="shared" ca="1" si="1"/>
        <v>8.6669647180000009</v>
      </c>
      <c r="AY2" s="137">
        <f t="shared" ca="1" si="1"/>
        <v>0.76863270960000007</v>
      </c>
      <c r="AZ2" s="137">
        <f t="shared" ca="1" si="1"/>
        <v>3.3882763818000004E-2</v>
      </c>
      <c r="BA2" s="137">
        <f t="shared" ca="1" si="1"/>
        <v>21.120686473999999</v>
      </c>
      <c r="BB2" s="137">
        <f t="shared" ca="1" si="1"/>
        <v>4.4389834239999999</v>
      </c>
      <c r="BC2" s="137">
        <f t="shared" ca="1" si="1"/>
        <v>0.71598663360000003</v>
      </c>
      <c r="BD2" s="137">
        <f t="shared" ca="1" si="1"/>
        <v>1.191013013E-2</v>
      </c>
      <c r="BE2" s="137">
        <f t="shared" ca="1" si="1"/>
        <v>0.86180790760000003</v>
      </c>
      <c r="BF2" s="137">
        <f t="shared" ca="1" si="1"/>
        <v>-2.8992528314000002E-3</v>
      </c>
      <c r="BG2" s="137">
        <f t="shared" ca="1" si="1"/>
        <v>1.5384771146E-6</v>
      </c>
      <c r="BH2" s="137">
        <f t="shared" ca="1" si="1"/>
        <v>4.6453894680000003E-2</v>
      </c>
      <c r="BI2" s="137">
        <f t="shared" ca="1" si="1"/>
        <v>0.12532273044</v>
      </c>
      <c r="BJ2" s="137">
        <f t="shared" ca="1" si="1"/>
        <v>9.9384092360000009E-2</v>
      </c>
      <c r="BK2" s="137">
        <f t="shared" ca="1" si="1"/>
        <v>1.1440493706000002E-3</v>
      </c>
      <c r="BL2" s="137">
        <f t="shared" ca="1" si="1"/>
        <v>0.95193297580000003</v>
      </c>
      <c r="BM2" s="137">
        <f t="shared" ca="1" si="1"/>
        <v>0.11730464950000001</v>
      </c>
    </row>
    <row r="3" spans="1:65" x14ac:dyDescent="0.25">
      <c r="A3" s="149">
        <v>153</v>
      </c>
      <c r="B3" s="149">
        <v>15</v>
      </c>
      <c r="C3" s="61">
        <v>48.790447</v>
      </c>
      <c r="D3" s="61">
        <v>11.497889000000001</v>
      </c>
      <c r="E3" s="61" t="s">
        <v>281</v>
      </c>
      <c r="F3" s="149">
        <v>38</v>
      </c>
      <c r="G3" s="61" t="s">
        <v>567</v>
      </c>
      <c r="H3" s="61" t="s">
        <v>678</v>
      </c>
      <c r="I3" s="61">
        <v>48.353696999999997</v>
      </c>
      <c r="J3" s="61">
        <v>11.775111000000001</v>
      </c>
      <c r="K3" s="61">
        <v>55.559302189999997</v>
      </c>
      <c r="L3" s="61">
        <v>128.94999999999999</v>
      </c>
      <c r="M3" s="61" t="s">
        <v>589</v>
      </c>
      <c r="N3" s="149">
        <v>14</v>
      </c>
      <c r="O3" s="149">
        <v>15</v>
      </c>
      <c r="P3" s="61" t="s">
        <v>567</v>
      </c>
      <c r="Q3" s="61" t="s">
        <v>566</v>
      </c>
      <c r="R3" s="61">
        <v>50.037932599999998</v>
      </c>
      <c r="S3" s="61">
        <v>8.5621518000000005</v>
      </c>
      <c r="T3" s="61">
        <f>Transport_2_Hubs!T3</f>
        <v>379.20299999999997</v>
      </c>
      <c r="U3" s="61" t="s">
        <v>589</v>
      </c>
      <c r="V3" s="61" t="s">
        <v>589</v>
      </c>
      <c r="W3" s="61"/>
      <c r="Y3" s="137">
        <f>Summary_LCIA!H$34</f>
        <v>7.4462E-2</v>
      </c>
      <c r="Z3" s="137">
        <f ca="1">Summary_LCIA!Q$34</f>
        <v>1.23508923</v>
      </c>
      <c r="AA3" s="137">
        <f ca="1">Summary_LCIA!R$34</f>
        <v>2.5566E-3</v>
      </c>
      <c r="AB3" s="137">
        <f ca="1">Summary_LCIA!S$34</f>
        <v>7.3438000000000003E-2</v>
      </c>
      <c r="AC3" s="137">
        <f ca="1">Summary_LCIA!T$34</f>
        <v>2.0743000000000001E-2</v>
      </c>
      <c r="AD3" s="137">
        <f ca="1">Summary_LCIA!U$34</f>
        <v>1.8396E-3</v>
      </c>
      <c r="AE3" s="137">
        <f ca="1">Summary_LCIA!V$34</f>
        <v>8.1093000000000004E-5</v>
      </c>
      <c r="AF3" s="137">
        <f ca="1">Summary_LCIA!W$34</f>
        <v>5.0548999999999997E-2</v>
      </c>
      <c r="AG3" s="137">
        <f ca="1">Summary_LCIA!X$34</f>
        <v>1.0624E-2</v>
      </c>
      <c r="AH3" s="137">
        <f ca="1">Summary_LCIA!Y$34</f>
        <v>1.7136E-3</v>
      </c>
      <c r="AI3" s="137">
        <f ca="1">Summary_LCIA!Z$34</f>
        <v>2.8504999999999999E-5</v>
      </c>
      <c r="AJ3" s="137">
        <f ca="1">Summary_LCIA!AA$34</f>
        <v>2.0625999999999999E-3</v>
      </c>
      <c r="AK3" s="137">
        <f ca="1">Summary_LCIA!AB$34</f>
        <v>-6.9388999999999998E-6</v>
      </c>
      <c r="AL3" s="137">
        <f ca="1">Summary_LCIA!AC$34</f>
        <v>3.6820999999999999E-9</v>
      </c>
      <c r="AM3" s="137">
        <f ca="1">Summary_LCIA!AD$34</f>
        <v>1.1118E-4</v>
      </c>
      <c r="AN3" s="137">
        <f ca="1">Summary_LCIA!AE$34</f>
        <v>2.9994E-4</v>
      </c>
      <c r="AO3" s="137">
        <f ca="1">Summary_LCIA!AF$34</f>
        <v>2.3786E-4</v>
      </c>
      <c r="AP3" s="137">
        <f ca="1">Summary_LCIA!AG$34</f>
        <v>2.7381000000000001E-6</v>
      </c>
      <c r="AQ3" s="137">
        <f ca="1">Summary_LCIA!AH$34</f>
        <v>2.2783E-3</v>
      </c>
      <c r="AR3" s="137">
        <f ca="1">Summary_LCIA!AI$34</f>
        <v>2.8075000000000002E-4</v>
      </c>
      <c r="AT3" s="137">
        <f t="shared" ref="AT3:BI18" si="2">$T3*Y3</f>
        <v>28.236213785999997</v>
      </c>
      <c r="AU3" s="137">
        <f t="shared" ca="1" si="2"/>
        <v>468.34954128368997</v>
      </c>
      <c r="AV3" s="137">
        <f t="shared" ca="1" si="2"/>
        <v>0.96947038979999989</v>
      </c>
      <c r="AW3" s="137">
        <f t="shared" ca="1" si="2"/>
        <v>27.847909913999999</v>
      </c>
      <c r="AX3" s="137">
        <f t="shared" ca="1" si="2"/>
        <v>7.8658078289999995</v>
      </c>
      <c r="AY3" s="137">
        <f t="shared" ca="1" si="2"/>
        <v>0.69758183880000002</v>
      </c>
      <c r="AZ3" s="137">
        <f t="shared" ca="1" si="2"/>
        <v>3.0750708878999999E-2</v>
      </c>
      <c r="BA3" s="137">
        <f t="shared" ca="1" si="2"/>
        <v>19.168332446999997</v>
      </c>
      <c r="BB3" s="137">
        <f t="shared" ca="1" si="2"/>
        <v>4.0286526719999998</v>
      </c>
      <c r="BC3" s="137">
        <f t="shared" ca="1" si="2"/>
        <v>0.64980226079999992</v>
      </c>
      <c r="BD3" s="137">
        <f t="shared" ca="1" si="2"/>
        <v>1.0809181514999999E-2</v>
      </c>
      <c r="BE3" s="137">
        <f t="shared" ca="1" si="2"/>
        <v>0.78214410779999988</v>
      </c>
      <c r="BF3" s="137">
        <f t="shared" ca="1" si="2"/>
        <v>-2.6312516966999996E-3</v>
      </c>
      <c r="BG3" s="137">
        <f t="shared" ca="1" si="2"/>
        <v>1.3962633663E-6</v>
      </c>
      <c r="BH3" s="137">
        <f t="shared" ca="1" si="2"/>
        <v>4.2159789539999999E-2</v>
      </c>
      <c r="BI3" s="137">
        <f t="shared" ca="1" si="2"/>
        <v>0.11373814782</v>
      </c>
      <c r="BJ3" s="137">
        <f t="shared" ref="BJ3:BM17" ca="1" si="3">$T3*AO3</f>
        <v>9.0197225579999998E-2</v>
      </c>
      <c r="BK3" s="137">
        <f t="shared" ca="1" si="3"/>
        <v>1.0382957343E-3</v>
      </c>
      <c r="BL3" s="137">
        <f t="shared" ca="1" si="3"/>
        <v>0.8639381948999999</v>
      </c>
      <c r="BM3" s="137">
        <f t="shared" ca="1" si="3"/>
        <v>0.10646124225</v>
      </c>
    </row>
    <row r="4" spans="1:65" x14ac:dyDescent="0.25">
      <c r="A4" s="149">
        <v>154</v>
      </c>
      <c r="B4" s="149">
        <v>15</v>
      </c>
      <c r="C4" s="61">
        <v>48.790447</v>
      </c>
      <c r="D4" s="61">
        <v>11.497889000000001</v>
      </c>
      <c r="E4" s="61" t="s">
        <v>281</v>
      </c>
      <c r="F4" s="149">
        <v>38</v>
      </c>
      <c r="G4" s="61" t="s">
        <v>567</v>
      </c>
      <c r="H4" s="61" t="s">
        <v>678</v>
      </c>
      <c r="I4" s="61">
        <v>48.353696999999997</v>
      </c>
      <c r="J4" s="61">
        <v>11.775111000000001</v>
      </c>
      <c r="K4" s="61">
        <v>55.559302189999997</v>
      </c>
      <c r="L4" s="61">
        <v>128.94999999999999</v>
      </c>
      <c r="M4" s="61" t="s">
        <v>589</v>
      </c>
      <c r="N4" s="149">
        <v>14</v>
      </c>
      <c r="O4" s="149">
        <v>15</v>
      </c>
      <c r="P4" s="61" t="s">
        <v>567</v>
      </c>
      <c r="Q4" s="61" t="s">
        <v>566</v>
      </c>
      <c r="R4" s="61">
        <v>50.037932599999998</v>
      </c>
      <c r="S4" s="61">
        <v>8.5621518000000005</v>
      </c>
      <c r="T4" s="61">
        <f>Transport_2_Hubs!T4</f>
        <v>379.20299999999997</v>
      </c>
      <c r="U4" s="61" t="s">
        <v>589</v>
      </c>
      <c r="V4" s="61" t="s">
        <v>589</v>
      </c>
      <c r="W4" s="61"/>
      <c r="Y4" s="137">
        <f>Summary_LCIA!H$34</f>
        <v>7.4462E-2</v>
      </c>
      <c r="Z4" s="137">
        <f ca="1">Summary_LCIA!Q$34</f>
        <v>1.23508923</v>
      </c>
      <c r="AA4" s="137">
        <f ca="1">Summary_LCIA!R$34</f>
        <v>2.5566E-3</v>
      </c>
      <c r="AB4" s="137">
        <f ca="1">Summary_LCIA!S$34</f>
        <v>7.3438000000000003E-2</v>
      </c>
      <c r="AC4" s="137">
        <f ca="1">Summary_LCIA!T$34</f>
        <v>2.0743000000000001E-2</v>
      </c>
      <c r="AD4" s="137">
        <f ca="1">Summary_LCIA!U$34</f>
        <v>1.8396E-3</v>
      </c>
      <c r="AE4" s="137">
        <f ca="1">Summary_LCIA!V$34</f>
        <v>8.1093000000000004E-5</v>
      </c>
      <c r="AF4" s="137">
        <f ca="1">Summary_LCIA!W$34</f>
        <v>5.0548999999999997E-2</v>
      </c>
      <c r="AG4" s="137">
        <f ca="1">Summary_LCIA!X$34</f>
        <v>1.0624E-2</v>
      </c>
      <c r="AH4" s="137">
        <f ca="1">Summary_LCIA!Y$34</f>
        <v>1.7136E-3</v>
      </c>
      <c r="AI4" s="137">
        <f ca="1">Summary_LCIA!Z$34</f>
        <v>2.8504999999999999E-5</v>
      </c>
      <c r="AJ4" s="137">
        <f ca="1">Summary_LCIA!AA$34</f>
        <v>2.0625999999999999E-3</v>
      </c>
      <c r="AK4" s="137">
        <f ca="1">Summary_LCIA!AB$34</f>
        <v>-6.9388999999999998E-6</v>
      </c>
      <c r="AL4" s="137">
        <f ca="1">Summary_LCIA!AC$34</f>
        <v>3.6820999999999999E-9</v>
      </c>
      <c r="AM4" s="137">
        <f ca="1">Summary_LCIA!AD$34</f>
        <v>1.1118E-4</v>
      </c>
      <c r="AN4" s="137">
        <f ca="1">Summary_LCIA!AE$34</f>
        <v>2.9994E-4</v>
      </c>
      <c r="AO4" s="137">
        <f ca="1">Summary_LCIA!AF$34</f>
        <v>2.3786E-4</v>
      </c>
      <c r="AP4" s="137">
        <f ca="1">Summary_LCIA!AG$34</f>
        <v>2.7381000000000001E-6</v>
      </c>
      <c r="AQ4" s="137">
        <f ca="1">Summary_LCIA!AH$34</f>
        <v>2.2783E-3</v>
      </c>
      <c r="AR4" s="137">
        <f ca="1">Summary_LCIA!AI$34</f>
        <v>2.8075000000000002E-4</v>
      </c>
      <c r="AT4" s="137">
        <f t="shared" si="2"/>
        <v>28.236213785999997</v>
      </c>
      <c r="AU4" s="137">
        <f t="shared" ca="1" si="2"/>
        <v>468.34954128368997</v>
      </c>
      <c r="AV4" s="137">
        <f t="shared" ca="1" si="2"/>
        <v>0.96947038979999989</v>
      </c>
      <c r="AW4" s="137">
        <f t="shared" ca="1" si="2"/>
        <v>27.847909913999999</v>
      </c>
      <c r="AX4" s="137">
        <f t="shared" ca="1" si="2"/>
        <v>7.8658078289999995</v>
      </c>
      <c r="AY4" s="137">
        <f t="shared" ca="1" si="2"/>
        <v>0.69758183880000002</v>
      </c>
      <c r="AZ4" s="137">
        <f t="shared" ca="1" si="2"/>
        <v>3.0750708878999999E-2</v>
      </c>
      <c r="BA4" s="137">
        <f t="shared" ca="1" si="2"/>
        <v>19.168332446999997</v>
      </c>
      <c r="BB4" s="137">
        <f t="shared" ca="1" si="2"/>
        <v>4.0286526719999998</v>
      </c>
      <c r="BC4" s="137">
        <f t="shared" ca="1" si="2"/>
        <v>0.64980226079999992</v>
      </c>
      <c r="BD4" s="137">
        <f t="shared" ca="1" si="2"/>
        <v>1.0809181514999999E-2</v>
      </c>
      <c r="BE4" s="137">
        <f t="shared" ca="1" si="2"/>
        <v>0.78214410779999988</v>
      </c>
      <c r="BF4" s="137">
        <f t="shared" ca="1" si="2"/>
        <v>-2.6312516966999996E-3</v>
      </c>
      <c r="BG4" s="137">
        <f t="shared" ca="1" si="2"/>
        <v>1.3962633663E-6</v>
      </c>
      <c r="BH4" s="137">
        <f t="shared" ca="1" si="2"/>
        <v>4.2159789539999999E-2</v>
      </c>
      <c r="BI4" s="137">
        <f t="shared" ca="1" si="2"/>
        <v>0.11373814782</v>
      </c>
      <c r="BJ4" s="137">
        <f t="shared" ca="1" si="3"/>
        <v>9.0197225579999998E-2</v>
      </c>
      <c r="BK4" s="137">
        <f t="shared" ca="1" si="3"/>
        <v>1.0382957343E-3</v>
      </c>
      <c r="BL4" s="137">
        <f t="shared" ca="1" si="3"/>
        <v>0.8639381948999999</v>
      </c>
      <c r="BM4" s="137">
        <f t="shared" ca="1" si="3"/>
        <v>0.10646124225</v>
      </c>
    </row>
    <row r="5" spans="1:65" x14ac:dyDescent="0.25">
      <c r="A5" s="149">
        <v>176</v>
      </c>
      <c r="B5" s="149">
        <v>15</v>
      </c>
      <c r="C5" s="61">
        <v>50.850346000000002</v>
      </c>
      <c r="D5" s="61">
        <v>4.3517210000000004</v>
      </c>
      <c r="E5" s="61" t="s">
        <v>464</v>
      </c>
      <c r="F5" s="149">
        <v>12</v>
      </c>
      <c r="G5" s="61" t="s">
        <v>679</v>
      </c>
      <c r="H5" s="61" t="s">
        <v>680</v>
      </c>
      <c r="I5" s="61">
        <v>52.310538999999999</v>
      </c>
      <c r="J5" s="61">
        <v>4.7682739999999999</v>
      </c>
      <c r="K5" s="61">
        <v>165.15017539999999</v>
      </c>
      <c r="L5" s="61">
        <v>197.702</v>
      </c>
      <c r="M5" s="61" t="s">
        <v>589</v>
      </c>
      <c r="N5" s="149">
        <v>14</v>
      </c>
      <c r="O5" s="149">
        <v>15</v>
      </c>
      <c r="P5" s="61" t="s">
        <v>567</v>
      </c>
      <c r="Q5" s="61" t="s">
        <v>566</v>
      </c>
      <c r="R5" s="61">
        <v>50.037932599999998</v>
      </c>
      <c r="S5" s="61">
        <v>8.5621518000000005</v>
      </c>
      <c r="T5" s="61">
        <f>Transport_2_Hubs!T5</f>
        <v>389.27199999999999</v>
      </c>
      <c r="U5" s="61" t="s">
        <v>589</v>
      </c>
      <c r="V5" s="61" t="s">
        <v>589</v>
      </c>
      <c r="W5" s="61"/>
      <c r="Y5" s="137">
        <f>Summary_LCIA!H$34</f>
        <v>7.4462E-2</v>
      </c>
      <c r="Z5" s="137">
        <f ca="1">Summary_LCIA!Q$34</f>
        <v>1.23508923</v>
      </c>
      <c r="AA5" s="137">
        <f ca="1">Summary_LCIA!R$34</f>
        <v>2.5566E-3</v>
      </c>
      <c r="AB5" s="137">
        <f ca="1">Summary_LCIA!S$34</f>
        <v>7.3438000000000003E-2</v>
      </c>
      <c r="AC5" s="137">
        <f ca="1">Summary_LCIA!T$34</f>
        <v>2.0743000000000001E-2</v>
      </c>
      <c r="AD5" s="137">
        <f ca="1">Summary_LCIA!U$34</f>
        <v>1.8396E-3</v>
      </c>
      <c r="AE5" s="137">
        <f ca="1">Summary_LCIA!V$34</f>
        <v>8.1093000000000004E-5</v>
      </c>
      <c r="AF5" s="137">
        <f ca="1">Summary_LCIA!W$34</f>
        <v>5.0548999999999997E-2</v>
      </c>
      <c r="AG5" s="137">
        <f ca="1">Summary_LCIA!X$34</f>
        <v>1.0624E-2</v>
      </c>
      <c r="AH5" s="137">
        <f ca="1">Summary_LCIA!Y$34</f>
        <v>1.7136E-3</v>
      </c>
      <c r="AI5" s="137">
        <f ca="1">Summary_LCIA!Z$34</f>
        <v>2.8504999999999999E-5</v>
      </c>
      <c r="AJ5" s="137">
        <f ca="1">Summary_LCIA!AA$34</f>
        <v>2.0625999999999999E-3</v>
      </c>
      <c r="AK5" s="137">
        <f ca="1">Summary_LCIA!AB$34</f>
        <v>-6.9388999999999998E-6</v>
      </c>
      <c r="AL5" s="137">
        <f ca="1">Summary_LCIA!AC$34</f>
        <v>3.6820999999999999E-9</v>
      </c>
      <c r="AM5" s="137">
        <f ca="1">Summary_LCIA!AD$34</f>
        <v>1.1118E-4</v>
      </c>
      <c r="AN5" s="137">
        <f ca="1">Summary_LCIA!AE$34</f>
        <v>2.9994E-4</v>
      </c>
      <c r="AO5" s="137">
        <f ca="1">Summary_LCIA!AF$34</f>
        <v>2.3786E-4</v>
      </c>
      <c r="AP5" s="137">
        <f ca="1">Summary_LCIA!AG$34</f>
        <v>2.7381000000000001E-6</v>
      </c>
      <c r="AQ5" s="137">
        <f ca="1">Summary_LCIA!AH$34</f>
        <v>2.2783E-3</v>
      </c>
      <c r="AR5" s="137">
        <f ca="1">Summary_LCIA!AI$34</f>
        <v>2.8075000000000002E-4</v>
      </c>
      <c r="AT5" s="137">
        <f t="shared" si="2"/>
        <v>28.985971664000001</v>
      </c>
      <c r="AU5" s="137">
        <f t="shared" ca="1" si="2"/>
        <v>480.78565474056001</v>
      </c>
      <c r="AV5" s="137">
        <f t="shared" ca="1" si="2"/>
        <v>0.99521279519999994</v>
      </c>
      <c r="AW5" s="137">
        <f t="shared" ca="1" si="2"/>
        <v>28.587357136000001</v>
      </c>
      <c r="AX5" s="137">
        <f t="shared" ca="1" si="2"/>
        <v>8.0746690960000009</v>
      </c>
      <c r="AY5" s="137">
        <f t="shared" ca="1" si="2"/>
        <v>0.71610477120000005</v>
      </c>
      <c r="AZ5" s="137">
        <f t="shared" ca="1" si="2"/>
        <v>3.1567234296000002E-2</v>
      </c>
      <c r="BA5" s="137">
        <f t="shared" ca="1" si="2"/>
        <v>19.677310327999997</v>
      </c>
      <c r="BB5" s="137">
        <f t="shared" ca="1" si="2"/>
        <v>4.1356257279999999</v>
      </c>
      <c r="BC5" s="137">
        <f t="shared" ca="1" si="2"/>
        <v>0.66705649919999999</v>
      </c>
      <c r="BD5" s="137">
        <f t="shared" ca="1" si="2"/>
        <v>1.109619836E-2</v>
      </c>
      <c r="BE5" s="137">
        <f t="shared" ca="1" si="2"/>
        <v>0.8029124272</v>
      </c>
      <c r="BF5" s="137">
        <f t="shared" ca="1" si="2"/>
        <v>-2.7011194807999997E-3</v>
      </c>
      <c r="BG5" s="137">
        <f t="shared" ca="1" si="2"/>
        <v>1.4333384312E-6</v>
      </c>
      <c r="BH5" s="137">
        <f t="shared" ca="1" si="2"/>
        <v>4.3279260960000003E-2</v>
      </c>
      <c r="BI5" s="137">
        <f t="shared" ca="1" si="2"/>
        <v>0.11675824368</v>
      </c>
      <c r="BJ5" s="137">
        <f t="shared" ca="1" si="3"/>
        <v>9.2592237920000001E-2</v>
      </c>
      <c r="BK5" s="137">
        <f t="shared" ca="1" si="3"/>
        <v>1.0658656632E-3</v>
      </c>
      <c r="BL5" s="137">
        <f t="shared" ca="1" si="3"/>
        <v>0.88687839759999998</v>
      </c>
      <c r="BM5" s="137">
        <f t="shared" ca="1" si="3"/>
        <v>0.10928811400000001</v>
      </c>
    </row>
    <row r="6" spans="1:65" x14ac:dyDescent="0.25">
      <c r="A6" s="149">
        <v>244</v>
      </c>
      <c r="B6" s="149">
        <v>15</v>
      </c>
      <c r="C6" s="61">
        <v>46.519652999999998</v>
      </c>
      <c r="D6" s="61">
        <v>6.6322729999999996</v>
      </c>
      <c r="E6" s="61" t="s">
        <v>271</v>
      </c>
      <c r="F6" s="149">
        <v>15</v>
      </c>
      <c r="G6" s="61" t="s">
        <v>567</v>
      </c>
      <c r="H6" s="61" t="s">
        <v>707</v>
      </c>
      <c r="I6" s="61">
        <v>50.037933000000002</v>
      </c>
      <c r="J6" s="61">
        <v>8.5621519999999993</v>
      </c>
      <c r="K6" s="61">
        <v>418.30834149999998</v>
      </c>
      <c r="L6" s="61">
        <v>541.53899999999999</v>
      </c>
      <c r="M6" s="61" t="s">
        <v>589</v>
      </c>
      <c r="N6" s="149">
        <v>14</v>
      </c>
      <c r="O6" s="149">
        <v>15</v>
      </c>
      <c r="P6" s="61" t="s">
        <v>567</v>
      </c>
      <c r="Q6" s="61" t="s">
        <v>566</v>
      </c>
      <c r="R6" s="61">
        <v>50.037932599999998</v>
      </c>
      <c r="S6" s="61">
        <v>8.5621518000000005</v>
      </c>
      <c r="T6" s="61">
        <f>Transport_2_Hubs!T6</f>
        <v>538.97799999999995</v>
      </c>
      <c r="U6" s="61" t="s">
        <v>589</v>
      </c>
      <c r="V6" s="61" t="s">
        <v>589</v>
      </c>
      <c r="W6" s="61"/>
      <c r="Y6" s="137">
        <f>Summary_LCIA!H$34</f>
        <v>7.4462E-2</v>
      </c>
      <c r="Z6" s="137">
        <f ca="1">Summary_LCIA!Q$34</f>
        <v>1.23508923</v>
      </c>
      <c r="AA6" s="137">
        <f ca="1">Summary_LCIA!R$34</f>
        <v>2.5566E-3</v>
      </c>
      <c r="AB6" s="137">
        <f ca="1">Summary_LCIA!S$34</f>
        <v>7.3438000000000003E-2</v>
      </c>
      <c r="AC6" s="137">
        <f ca="1">Summary_LCIA!T$34</f>
        <v>2.0743000000000001E-2</v>
      </c>
      <c r="AD6" s="137">
        <f ca="1">Summary_LCIA!U$34</f>
        <v>1.8396E-3</v>
      </c>
      <c r="AE6" s="137">
        <f ca="1">Summary_LCIA!V$34</f>
        <v>8.1093000000000004E-5</v>
      </c>
      <c r="AF6" s="137">
        <f ca="1">Summary_LCIA!W$34</f>
        <v>5.0548999999999997E-2</v>
      </c>
      <c r="AG6" s="137">
        <f ca="1">Summary_LCIA!X$34</f>
        <v>1.0624E-2</v>
      </c>
      <c r="AH6" s="137">
        <f ca="1">Summary_LCIA!Y$34</f>
        <v>1.7136E-3</v>
      </c>
      <c r="AI6" s="137">
        <f ca="1">Summary_LCIA!Z$34</f>
        <v>2.8504999999999999E-5</v>
      </c>
      <c r="AJ6" s="137">
        <f ca="1">Summary_LCIA!AA$34</f>
        <v>2.0625999999999999E-3</v>
      </c>
      <c r="AK6" s="137">
        <f ca="1">Summary_LCIA!AB$34</f>
        <v>-6.9388999999999998E-6</v>
      </c>
      <c r="AL6" s="137">
        <f ca="1">Summary_LCIA!AC$34</f>
        <v>3.6820999999999999E-9</v>
      </c>
      <c r="AM6" s="137">
        <f ca="1">Summary_LCIA!AD$34</f>
        <v>1.1118E-4</v>
      </c>
      <c r="AN6" s="137">
        <f ca="1">Summary_LCIA!AE$34</f>
        <v>2.9994E-4</v>
      </c>
      <c r="AO6" s="137">
        <f ca="1">Summary_LCIA!AF$34</f>
        <v>2.3786E-4</v>
      </c>
      <c r="AP6" s="137">
        <f ca="1">Summary_LCIA!AG$34</f>
        <v>2.7381000000000001E-6</v>
      </c>
      <c r="AQ6" s="137">
        <f ca="1">Summary_LCIA!AH$34</f>
        <v>2.2783E-3</v>
      </c>
      <c r="AR6" s="137">
        <f ca="1">Summary_LCIA!AI$34</f>
        <v>2.8075000000000002E-4</v>
      </c>
      <c r="AT6" s="137">
        <f t="shared" si="2"/>
        <v>40.133379835999996</v>
      </c>
      <c r="AU6" s="137">
        <f t="shared" ca="1" si="2"/>
        <v>665.68592300694002</v>
      </c>
      <c r="AV6" s="137">
        <f t="shared" ca="1" si="2"/>
        <v>1.3779511547999999</v>
      </c>
      <c r="AW6" s="137">
        <f t="shared" ca="1" si="2"/>
        <v>39.581466364000001</v>
      </c>
      <c r="AX6" s="137">
        <f t="shared" ca="1" si="2"/>
        <v>11.180020654</v>
      </c>
      <c r="AY6" s="137">
        <f t="shared" ca="1" si="2"/>
        <v>0.99150392879999993</v>
      </c>
      <c r="AZ6" s="137">
        <f t="shared" ca="1" si="2"/>
        <v>4.3707342954E-2</v>
      </c>
      <c r="BA6" s="137">
        <f t="shared" ca="1" si="2"/>
        <v>27.244798921999998</v>
      </c>
      <c r="BB6" s="137">
        <f t="shared" ca="1" si="2"/>
        <v>5.7261022719999994</v>
      </c>
      <c r="BC6" s="137">
        <f t="shared" ca="1" si="2"/>
        <v>0.92359270079999989</v>
      </c>
      <c r="BD6" s="137">
        <f t="shared" ca="1" si="2"/>
        <v>1.5363567889999999E-2</v>
      </c>
      <c r="BE6" s="137">
        <f t="shared" ca="1" si="2"/>
        <v>1.1116960227999999</v>
      </c>
      <c r="BF6" s="137">
        <f t="shared" ca="1" si="2"/>
        <v>-3.7399144441999997E-3</v>
      </c>
      <c r="BG6" s="137">
        <f t="shared" ca="1" si="2"/>
        <v>1.9845708938E-6</v>
      </c>
      <c r="BH6" s="137">
        <f t="shared" ca="1" si="2"/>
        <v>5.9923574039999997E-2</v>
      </c>
      <c r="BI6" s="137">
        <f t="shared" ca="1" si="2"/>
        <v>0.16166106131999999</v>
      </c>
      <c r="BJ6" s="137">
        <f t="shared" ca="1" si="3"/>
        <v>0.12820130707999999</v>
      </c>
      <c r="BK6" s="137">
        <f t="shared" ca="1" si="3"/>
        <v>1.4757756617999999E-3</v>
      </c>
      <c r="BL6" s="137">
        <f t="shared" ca="1" si="3"/>
        <v>1.2279535773999999</v>
      </c>
      <c r="BM6" s="137">
        <f t="shared" ca="1" si="3"/>
        <v>0.15131807350000001</v>
      </c>
    </row>
    <row r="7" spans="1:65" x14ac:dyDescent="0.25">
      <c r="A7" s="149">
        <v>245</v>
      </c>
      <c r="B7" s="149">
        <v>15</v>
      </c>
      <c r="C7" s="61">
        <v>46.519652999999998</v>
      </c>
      <c r="D7" s="61">
        <v>6.6322729999999996</v>
      </c>
      <c r="E7" s="61" t="s">
        <v>271</v>
      </c>
      <c r="F7" s="149">
        <v>15</v>
      </c>
      <c r="G7" s="61" t="s">
        <v>567</v>
      </c>
      <c r="H7" s="61" t="s">
        <v>707</v>
      </c>
      <c r="I7" s="61">
        <v>50.037933000000002</v>
      </c>
      <c r="J7" s="61">
        <v>8.5621519999999993</v>
      </c>
      <c r="K7" s="61">
        <v>418.30834149999998</v>
      </c>
      <c r="L7" s="61">
        <v>541.53899999999999</v>
      </c>
      <c r="M7" s="61" t="s">
        <v>589</v>
      </c>
      <c r="N7" s="149">
        <v>14</v>
      </c>
      <c r="O7" s="149">
        <v>15</v>
      </c>
      <c r="P7" s="61" t="s">
        <v>567</v>
      </c>
      <c r="Q7" s="61" t="s">
        <v>566</v>
      </c>
      <c r="R7" s="61">
        <v>50.037932599999998</v>
      </c>
      <c r="S7" s="61">
        <v>8.5621518000000005</v>
      </c>
      <c r="T7" s="61">
        <f>Transport_2_Hubs!T7</f>
        <v>538.97799999999995</v>
      </c>
      <c r="U7" s="61" t="s">
        <v>589</v>
      </c>
      <c r="V7" s="61" t="s">
        <v>589</v>
      </c>
      <c r="W7" s="61"/>
      <c r="Y7" s="137">
        <f>Summary_LCIA!H$34</f>
        <v>7.4462E-2</v>
      </c>
      <c r="Z7" s="137">
        <f ca="1">Summary_LCIA!Q$34</f>
        <v>1.23508923</v>
      </c>
      <c r="AA7" s="137">
        <f ca="1">Summary_LCIA!R$34</f>
        <v>2.5566E-3</v>
      </c>
      <c r="AB7" s="137">
        <f ca="1">Summary_LCIA!S$34</f>
        <v>7.3438000000000003E-2</v>
      </c>
      <c r="AC7" s="137">
        <f ca="1">Summary_LCIA!T$34</f>
        <v>2.0743000000000001E-2</v>
      </c>
      <c r="AD7" s="137">
        <f ca="1">Summary_LCIA!U$34</f>
        <v>1.8396E-3</v>
      </c>
      <c r="AE7" s="137">
        <f ca="1">Summary_LCIA!V$34</f>
        <v>8.1093000000000004E-5</v>
      </c>
      <c r="AF7" s="137">
        <f ca="1">Summary_LCIA!W$34</f>
        <v>5.0548999999999997E-2</v>
      </c>
      <c r="AG7" s="137">
        <f ca="1">Summary_LCIA!X$34</f>
        <v>1.0624E-2</v>
      </c>
      <c r="AH7" s="137">
        <f ca="1">Summary_LCIA!Y$34</f>
        <v>1.7136E-3</v>
      </c>
      <c r="AI7" s="137">
        <f ca="1">Summary_LCIA!Z$34</f>
        <v>2.8504999999999999E-5</v>
      </c>
      <c r="AJ7" s="137">
        <f ca="1">Summary_LCIA!AA$34</f>
        <v>2.0625999999999999E-3</v>
      </c>
      <c r="AK7" s="137">
        <f ca="1">Summary_LCIA!AB$34</f>
        <v>-6.9388999999999998E-6</v>
      </c>
      <c r="AL7" s="137">
        <f ca="1">Summary_LCIA!AC$34</f>
        <v>3.6820999999999999E-9</v>
      </c>
      <c r="AM7" s="137">
        <f ca="1">Summary_LCIA!AD$34</f>
        <v>1.1118E-4</v>
      </c>
      <c r="AN7" s="137">
        <f ca="1">Summary_LCIA!AE$34</f>
        <v>2.9994E-4</v>
      </c>
      <c r="AO7" s="137">
        <f ca="1">Summary_LCIA!AF$34</f>
        <v>2.3786E-4</v>
      </c>
      <c r="AP7" s="137">
        <f ca="1">Summary_LCIA!AG$34</f>
        <v>2.7381000000000001E-6</v>
      </c>
      <c r="AQ7" s="137">
        <f ca="1">Summary_LCIA!AH$34</f>
        <v>2.2783E-3</v>
      </c>
      <c r="AR7" s="137">
        <f ca="1">Summary_LCIA!AI$34</f>
        <v>2.8075000000000002E-4</v>
      </c>
      <c r="AT7" s="137">
        <f t="shared" si="2"/>
        <v>40.133379835999996</v>
      </c>
      <c r="AU7" s="137">
        <f t="shared" ca="1" si="2"/>
        <v>665.68592300694002</v>
      </c>
      <c r="AV7" s="137">
        <f t="shared" ca="1" si="2"/>
        <v>1.3779511547999999</v>
      </c>
      <c r="AW7" s="137">
        <f t="shared" ca="1" si="2"/>
        <v>39.581466364000001</v>
      </c>
      <c r="AX7" s="137">
        <f t="shared" ca="1" si="2"/>
        <v>11.180020654</v>
      </c>
      <c r="AY7" s="137">
        <f t="shared" ca="1" si="2"/>
        <v>0.99150392879999993</v>
      </c>
      <c r="AZ7" s="137">
        <f t="shared" ca="1" si="2"/>
        <v>4.3707342954E-2</v>
      </c>
      <c r="BA7" s="137">
        <f t="shared" ca="1" si="2"/>
        <v>27.244798921999998</v>
      </c>
      <c r="BB7" s="137">
        <f t="shared" ca="1" si="2"/>
        <v>5.7261022719999994</v>
      </c>
      <c r="BC7" s="137">
        <f t="shared" ca="1" si="2"/>
        <v>0.92359270079999989</v>
      </c>
      <c r="BD7" s="137">
        <f t="shared" ca="1" si="2"/>
        <v>1.5363567889999999E-2</v>
      </c>
      <c r="BE7" s="137">
        <f t="shared" ca="1" si="2"/>
        <v>1.1116960227999999</v>
      </c>
      <c r="BF7" s="137">
        <f t="shared" ca="1" si="2"/>
        <v>-3.7399144441999997E-3</v>
      </c>
      <c r="BG7" s="137">
        <f t="shared" ca="1" si="2"/>
        <v>1.9845708938E-6</v>
      </c>
      <c r="BH7" s="137">
        <f t="shared" ca="1" si="2"/>
        <v>5.9923574039999997E-2</v>
      </c>
      <c r="BI7" s="137">
        <f t="shared" ca="1" si="2"/>
        <v>0.16166106131999999</v>
      </c>
      <c r="BJ7" s="137">
        <f t="shared" ca="1" si="3"/>
        <v>0.12820130707999999</v>
      </c>
      <c r="BK7" s="137">
        <f t="shared" ca="1" si="3"/>
        <v>1.4757756617999999E-3</v>
      </c>
      <c r="BL7" s="137">
        <f t="shared" ca="1" si="3"/>
        <v>1.2279535773999999</v>
      </c>
      <c r="BM7" s="137">
        <f t="shared" ca="1" si="3"/>
        <v>0.15131807350000001</v>
      </c>
    </row>
    <row r="8" spans="1:65" x14ac:dyDescent="0.25">
      <c r="A8" s="149">
        <v>246</v>
      </c>
      <c r="B8" s="149">
        <v>15</v>
      </c>
      <c r="C8" s="61">
        <v>46.519652999999998</v>
      </c>
      <c r="D8" s="61">
        <v>6.6322729999999996</v>
      </c>
      <c r="E8" s="61" t="s">
        <v>271</v>
      </c>
      <c r="F8" s="149">
        <v>15</v>
      </c>
      <c r="G8" s="61" t="s">
        <v>567</v>
      </c>
      <c r="H8" s="61" t="s">
        <v>707</v>
      </c>
      <c r="I8" s="61">
        <v>50.037933000000002</v>
      </c>
      <c r="J8" s="61">
        <v>8.5621519999999993</v>
      </c>
      <c r="K8" s="61">
        <v>418.30834149999998</v>
      </c>
      <c r="L8" s="61">
        <v>541.53899999999999</v>
      </c>
      <c r="M8" s="61" t="s">
        <v>589</v>
      </c>
      <c r="N8" s="149">
        <v>14</v>
      </c>
      <c r="O8" s="149">
        <v>15</v>
      </c>
      <c r="P8" s="61" t="s">
        <v>567</v>
      </c>
      <c r="Q8" s="61" t="s">
        <v>566</v>
      </c>
      <c r="R8" s="61">
        <v>50.037932599999998</v>
      </c>
      <c r="S8" s="61">
        <v>8.5621518000000005</v>
      </c>
      <c r="T8" s="61">
        <f>Transport_2_Hubs!T8</f>
        <v>538.97799999999995</v>
      </c>
      <c r="U8" s="61" t="s">
        <v>589</v>
      </c>
      <c r="V8" s="61" t="s">
        <v>589</v>
      </c>
      <c r="W8" s="61"/>
      <c r="Y8" s="137">
        <f>Summary_LCIA!H$34</f>
        <v>7.4462E-2</v>
      </c>
      <c r="Z8" s="137">
        <f ca="1">Summary_LCIA!Q$34</f>
        <v>1.23508923</v>
      </c>
      <c r="AA8" s="137">
        <f ca="1">Summary_LCIA!R$34</f>
        <v>2.5566E-3</v>
      </c>
      <c r="AB8" s="137">
        <f ca="1">Summary_LCIA!S$34</f>
        <v>7.3438000000000003E-2</v>
      </c>
      <c r="AC8" s="137">
        <f ca="1">Summary_LCIA!T$34</f>
        <v>2.0743000000000001E-2</v>
      </c>
      <c r="AD8" s="137">
        <f ca="1">Summary_LCIA!U$34</f>
        <v>1.8396E-3</v>
      </c>
      <c r="AE8" s="137">
        <f ca="1">Summary_LCIA!V$34</f>
        <v>8.1093000000000004E-5</v>
      </c>
      <c r="AF8" s="137">
        <f ca="1">Summary_LCIA!W$34</f>
        <v>5.0548999999999997E-2</v>
      </c>
      <c r="AG8" s="137">
        <f ca="1">Summary_LCIA!X$34</f>
        <v>1.0624E-2</v>
      </c>
      <c r="AH8" s="137">
        <f ca="1">Summary_LCIA!Y$34</f>
        <v>1.7136E-3</v>
      </c>
      <c r="AI8" s="137">
        <f ca="1">Summary_LCIA!Z$34</f>
        <v>2.8504999999999999E-5</v>
      </c>
      <c r="AJ8" s="137">
        <f ca="1">Summary_LCIA!AA$34</f>
        <v>2.0625999999999999E-3</v>
      </c>
      <c r="AK8" s="137">
        <f ca="1">Summary_LCIA!AB$34</f>
        <v>-6.9388999999999998E-6</v>
      </c>
      <c r="AL8" s="137">
        <f ca="1">Summary_LCIA!AC$34</f>
        <v>3.6820999999999999E-9</v>
      </c>
      <c r="AM8" s="137">
        <f ca="1">Summary_LCIA!AD$34</f>
        <v>1.1118E-4</v>
      </c>
      <c r="AN8" s="137">
        <f ca="1">Summary_LCIA!AE$34</f>
        <v>2.9994E-4</v>
      </c>
      <c r="AO8" s="137">
        <f ca="1">Summary_LCIA!AF$34</f>
        <v>2.3786E-4</v>
      </c>
      <c r="AP8" s="137">
        <f ca="1">Summary_LCIA!AG$34</f>
        <v>2.7381000000000001E-6</v>
      </c>
      <c r="AQ8" s="137">
        <f ca="1">Summary_LCIA!AH$34</f>
        <v>2.2783E-3</v>
      </c>
      <c r="AR8" s="137">
        <f ca="1">Summary_LCIA!AI$34</f>
        <v>2.8075000000000002E-4</v>
      </c>
      <c r="AT8" s="137">
        <f t="shared" si="2"/>
        <v>40.133379835999996</v>
      </c>
      <c r="AU8" s="137">
        <f t="shared" ca="1" si="2"/>
        <v>665.68592300694002</v>
      </c>
      <c r="AV8" s="137">
        <f t="shared" ca="1" si="2"/>
        <v>1.3779511547999999</v>
      </c>
      <c r="AW8" s="137">
        <f t="shared" ca="1" si="2"/>
        <v>39.581466364000001</v>
      </c>
      <c r="AX8" s="137">
        <f t="shared" ca="1" si="2"/>
        <v>11.180020654</v>
      </c>
      <c r="AY8" s="137">
        <f t="shared" ca="1" si="2"/>
        <v>0.99150392879999993</v>
      </c>
      <c r="AZ8" s="137">
        <f t="shared" ca="1" si="2"/>
        <v>4.3707342954E-2</v>
      </c>
      <c r="BA8" s="137">
        <f t="shared" ca="1" si="2"/>
        <v>27.244798921999998</v>
      </c>
      <c r="BB8" s="137">
        <f t="shared" ca="1" si="2"/>
        <v>5.7261022719999994</v>
      </c>
      <c r="BC8" s="137">
        <f t="shared" ca="1" si="2"/>
        <v>0.92359270079999989</v>
      </c>
      <c r="BD8" s="137">
        <f t="shared" ca="1" si="2"/>
        <v>1.5363567889999999E-2</v>
      </c>
      <c r="BE8" s="137">
        <f t="shared" ca="1" si="2"/>
        <v>1.1116960227999999</v>
      </c>
      <c r="BF8" s="137">
        <f t="shared" ca="1" si="2"/>
        <v>-3.7399144441999997E-3</v>
      </c>
      <c r="BG8" s="137">
        <f t="shared" ca="1" si="2"/>
        <v>1.9845708938E-6</v>
      </c>
      <c r="BH8" s="137">
        <f t="shared" ca="1" si="2"/>
        <v>5.9923574039999997E-2</v>
      </c>
      <c r="BI8" s="137">
        <f t="shared" ca="1" si="2"/>
        <v>0.16166106131999999</v>
      </c>
      <c r="BJ8" s="137">
        <f t="shared" ca="1" si="3"/>
        <v>0.12820130707999999</v>
      </c>
      <c r="BK8" s="137">
        <f t="shared" ca="1" si="3"/>
        <v>1.4757756617999999E-3</v>
      </c>
      <c r="BL8" s="137">
        <f t="shared" ca="1" si="3"/>
        <v>1.2279535773999999</v>
      </c>
      <c r="BM8" s="137">
        <f t="shared" ca="1" si="3"/>
        <v>0.15131807350000001</v>
      </c>
    </row>
    <row r="9" spans="1:65" x14ac:dyDescent="0.25">
      <c r="A9" s="149">
        <v>133</v>
      </c>
      <c r="B9" s="149">
        <v>15</v>
      </c>
      <c r="C9" s="61">
        <v>51.219448</v>
      </c>
      <c r="D9" s="61">
        <v>4.4024640000000002</v>
      </c>
      <c r="E9" s="61" t="s">
        <v>464</v>
      </c>
      <c r="F9" s="149">
        <v>12</v>
      </c>
      <c r="G9" s="61" t="s">
        <v>679</v>
      </c>
      <c r="H9" s="61" t="s">
        <v>680</v>
      </c>
      <c r="I9" s="61">
        <v>52.310538999999999</v>
      </c>
      <c r="J9" s="61">
        <v>4.7682739999999999</v>
      </c>
      <c r="K9" s="61">
        <v>124.20814900000001</v>
      </c>
      <c r="L9" s="61">
        <v>149.38800000000001</v>
      </c>
      <c r="M9" s="61" t="s">
        <v>589</v>
      </c>
      <c r="N9" s="149">
        <v>14</v>
      </c>
      <c r="O9" s="149">
        <v>15</v>
      </c>
      <c r="P9" s="61" t="s">
        <v>567</v>
      </c>
      <c r="Q9" s="61" t="s">
        <v>566</v>
      </c>
      <c r="R9" s="61">
        <v>50.037932599999998</v>
      </c>
      <c r="S9" s="61">
        <v>8.5621518000000005</v>
      </c>
      <c r="T9" s="61">
        <f>Transport_2_Hubs!T9</f>
        <v>443.28300000000002</v>
      </c>
      <c r="U9" s="61" t="s">
        <v>589</v>
      </c>
      <c r="V9" s="61" t="s">
        <v>589</v>
      </c>
      <c r="W9" s="61"/>
      <c r="Y9" s="137">
        <f>Summary_LCIA!H$34</f>
        <v>7.4462E-2</v>
      </c>
      <c r="Z9" s="137">
        <f ca="1">Summary_LCIA!Q$34</f>
        <v>1.23508923</v>
      </c>
      <c r="AA9" s="137">
        <f ca="1">Summary_LCIA!R$34</f>
        <v>2.5566E-3</v>
      </c>
      <c r="AB9" s="137">
        <f ca="1">Summary_LCIA!S$34</f>
        <v>7.3438000000000003E-2</v>
      </c>
      <c r="AC9" s="137">
        <f ca="1">Summary_LCIA!T$34</f>
        <v>2.0743000000000001E-2</v>
      </c>
      <c r="AD9" s="137">
        <f ca="1">Summary_LCIA!U$34</f>
        <v>1.8396E-3</v>
      </c>
      <c r="AE9" s="137">
        <f ca="1">Summary_LCIA!V$34</f>
        <v>8.1093000000000004E-5</v>
      </c>
      <c r="AF9" s="137">
        <f ca="1">Summary_LCIA!W$34</f>
        <v>5.0548999999999997E-2</v>
      </c>
      <c r="AG9" s="137">
        <f ca="1">Summary_LCIA!X$34</f>
        <v>1.0624E-2</v>
      </c>
      <c r="AH9" s="137">
        <f ca="1">Summary_LCIA!Y$34</f>
        <v>1.7136E-3</v>
      </c>
      <c r="AI9" s="137">
        <f ca="1">Summary_LCIA!Z$34</f>
        <v>2.8504999999999999E-5</v>
      </c>
      <c r="AJ9" s="137">
        <f ca="1">Summary_LCIA!AA$34</f>
        <v>2.0625999999999999E-3</v>
      </c>
      <c r="AK9" s="137">
        <f ca="1">Summary_LCIA!AB$34</f>
        <v>-6.9388999999999998E-6</v>
      </c>
      <c r="AL9" s="137">
        <f ca="1">Summary_LCIA!AC$34</f>
        <v>3.6820999999999999E-9</v>
      </c>
      <c r="AM9" s="137">
        <f ca="1">Summary_LCIA!AD$34</f>
        <v>1.1118E-4</v>
      </c>
      <c r="AN9" s="137">
        <f ca="1">Summary_LCIA!AE$34</f>
        <v>2.9994E-4</v>
      </c>
      <c r="AO9" s="137">
        <f ca="1">Summary_LCIA!AF$34</f>
        <v>2.3786E-4</v>
      </c>
      <c r="AP9" s="137">
        <f ca="1">Summary_LCIA!AG$34</f>
        <v>2.7381000000000001E-6</v>
      </c>
      <c r="AQ9" s="137">
        <f ca="1">Summary_LCIA!AH$34</f>
        <v>2.2783E-3</v>
      </c>
      <c r="AR9" s="137">
        <f ca="1">Summary_LCIA!AI$34</f>
        <v>2.8075000000000002E-4</v>
      </c>
      <c r="AT9" s="137">
        <f t="shared" si="2"/>
        <v>33.007738746000001</v>
      </c>
      <c r="AU9" s="137">
        <f t="shared" ca="1" si="2"/>
        <v>547.49405914209001</v>
      </c>
      <c r="AV9" s="137">
        <f t="shared" ca="1" si="2"/>
        <v>1.1332973178000001</v>
      </c>
      <c r="AW9" s="137">
        <f t="shared" ca="1" si="2"/>
        <v>32.553816954000006</v>
      </c>
      <c r="AX9" s="137">
        <f t="shared" ca="1" si="2"/>
        <v>9.1950192690000012</v>
      </c>
      <c r="AY9" s="137">
        <f t="shared" ca="1" si="2"/>
        <v>0.81546340680000007</v>
      </c>
      <c r="AZ9" s="137">
        <f t="shared" ca="1" si="2"/>
        <v>3.5947148319000005E-2</v>
      </c>
      <c r="BA9" s="137">
        <f t="shared" ca="1" si="2"/>
        <v>22.407512366999999</v>
      </c>
      <c r="BB9" s="137">
        <f t="shared" ca="1" si="2"/>
        <v>4.7094385919999997</v>
      </c>
      <c r="BC9" s="137">
        <f t="shared" ca="1" si="2"/>
        <v>0.75960974879999998</v>
      </c>
      <c r="BD9" s="137">
        <f t="shared" ca="1" si="2"/>
        <v>1.2635781915E-2</v>
      </c>
      <c r="BE9" s="137">
        <f t="shared" ca="1" si="2"/>
        <v>0.91431551580000003</v>
      </c>
      <c r="BF9" s="137">
        <f t="shared" ca="1" si="2"/>
        <v>-3.0758964086999999E-3</v>
      </c>
      <c r="BG9" s="137">
        <f t="shared" ca="1" si="2"/>
        <v>1.6322123343000001E-6</v>
      </c>
      <c r="BH9" s="137">
        <f t="shared" ca="1" si="2"/>
        <v>4.928420394E-2</v>
      </c>
      <c r="BI9" s="137">
        <f t="shared" ca="1" si="2"/>
        <v>0.13295830302</v>
      </c>
      <c r="BJ9" s="137">
        <f t="shared" ca="1" si="3"/>
        <v>0.10543929438000001</v>
      </c>
      <c r="BK9" s="137">
        <f t="shared" ca="1" si="3"/>
        <v>1.2137531823000001E-3</v>
      </c>
      <c r="BL9" s="137">
        <f t="shared" ca="1" si="3"/>
        <v>1.0099316589</v>
      </c>
      <c r="BM9" s="137">
        <f t="shared" ca="1" si="3"/>
        <v>0.12445170225000002</v>
      </c>
    </row>
    <row r="10" spans="1:65" x14ac:dyDescent="0.25">
      <c r="A10" s="149">
        <v>365</v>
      </c>
      <c r="B10" s="149">
        <v>15</v>
      </c>
      <c r="C10" s="61">
        <v>52.090736999999997</v>
      </c>
      <c r="D10" s="61">
        <v>5.1214199999999996</v>
      </c>
      <c r="E10" s="61" t="s">
        <v>285</v>
      </c>
      <c r="F10" s="149">
        <v>12</v>
      </c>
      <c r="G10" s="61" t="s">
        <v>679</v>
      </c>
      <c r="H10" s="61" t="s">
        <v>680</v>
      </c>
      <c r="I10" s="61">
        <v>52.310538999999999</v>
      </c>
      <c r="J10" s="61">
        <v>4.7682739999999999</v>
      </c>
      <c r="K10" s="61">
        <v>37.628635809999999</v>
      </c>
      <c r="L10" s="61">
        <v>45.201000000000001</v>
      </c>
      <c r="M10" s="61" t="s">
        <v>589</v>
      </c>
      <c r="N10" s="149">
        <v>14</v>
      </c>
      <c r="O10" s="149">
        <v>15</v>
      </c>
      <c r="P10" s="61" t="s">
        <v>567</v>
      </c>
      <c r="Q10" s="61" t="s">
        <v>566</v>
      </c>
      <c r="R10" s="61">
        <v>50.037932599999998</v>
      </c>
      <c r="S10" s="61">
        <v>8.5621518000000005</v>
      </c>
      <c r="T10" s="61">
        <f>Transport_2_Hubs!T10</f>
        <v>388.09</v>
      </c>
      <c r="U10" s="61" t="s">
        <v>589</v>
      </c>
      <c r="V10" s="61" t="s">
        <v>589</v>
      </c>
      <c r="W10" s="61"/>
      <c r="Y10" s="137">
        <f>Summary_LCIA!H$34</f>
        <v>7.4462E-2</v>
      </c>
      <c r="Z10" s="137">
        <f ca="1">Summary_LCIA!Q$34</f>
        <v>1.23508923</v>
      </c>
      <c r="AA10" s="137">
        <f ca="1">Summary_LCIA!R$34</f>
        <v>2.5566E-3</v>
      </c>
      <c r="AB10" s="137">
        <f ca="1">Summary_LCIA!S$34</f>
        <v>7.3438000000000003E-2</v>
      </c>
      <c r="AC10" s="137">
        <f ca="1">Summary_LCIA!T$34</f>
        <v>2.0743000000000001E-2</v>
      </c>
      <c r="AD10" s="137">
        <f ca="1">Summary_LCIA!U$34</f>
        <v>1.8396E-3</v>
      </c>
      <c r="AE10" s="137">
        <f ca="1">Summary_LCIA!V$34</f>
        <v>8.1093000000000004E-5</v>
      </c>
      <c r="AF10" s="137">
        <f ca="1">Summary_LCIA!W$34</f>
        <v>5.0548999999999997E-2</v>
      </c>
      <c r="AG10" s="137">
        <f ca="1">Summary_LCIA!X$34</f>
        <v>1.0624E-2</v>
      </c>
      <c r="AH10" s="137">
        <f ca="1">Summary_LCIA!Y$34</f>
        <v>1.7136E-3</v>
      </c>
      <c r="AI10" s="137">
        <f ca="1">Summary_LCIA!Z$34</f>
        <v>2.8504999999999999E-5</v>
      </c>
      <c r="AJ10" s="137">
        <f ca="1">Summary_LCIA!AA$34</f>
        <v>2.0625999999999999E-3</v>
      </c>
      <c r="AK10" s="137">
        <f ca="1">Summary_LCIA!AB$34</f>
        <v>-6.9388999999999998E-6</v>
      </c>
      <c r="AL10" s="137">
        <f ca="1">Summary_LCIA!AC$34</f>
        <v>3.6820999999999999E-9</v>
      </c>
      <c r="AM10" s="137">
        <f ca="1">Summary_LCIA!AD$34</f>
        <v>1.1118E-4</v>
      </c>
      <c r="AN10" s="137">
        <f ca="1">Summary_LCIA!AE$34</f>
        <v>2.9994E-4</v>
      </c>
      <c r="AO10" s="137">
        <f ca="1">Summary_LCIA!AF$34</f>
        <v>2.3786E-4</v>
      </c>
      <c r="AP10" s="137">
        <f ca="1">Summary_LCIA!AG$34</f>
        <v>2.7381000000000001E-6</v>
      </c>
      <c r="AQ10" s="137">
        <f ca="1">Summary_LCIA!AH$34</f>
        <v>2.2783E-3</v>
      </c>
      <c r="AR10" s="137">
        <f ca="1">Summary_LCIA!AI$34</f>
        <v>2.8075000000000002E-4</v>
      </c>
      <c r="AT10" s="137">
        <f t="shared" si="2"/>
        <v>28.89795758</v>
      </c>
      <c r="AU10" s="137">
        <f t="shared" ca="1" si="2"/>
        <v>479.32577927069997</v>
      </c>
      <c r="AV10" s="137">
        <f t="shared" ca="1" si="2"/>
        <v>0.99219089399999993</v>
      </c>
      <c r="AW10" s="137">
        <f t="shared" ca="1" si="2"/>
        <v>28.500553419999999</v>
      </c>
      <c r="AX10" s="137">
        <f t="shared" ca="1" si="2"/>
        <v>8.0501508699999995</v>
      </c>
      <c r="AY10" s="137">
        <f t="shared" ca="1" si="2"/>
        <v>0.71393036399999998</v>
      </c>
      <c r="AZ10" s="137">
        <f t="shared" ca="1" si="2"/>
        <v>3.1471382370000002E-2</v>
      </c>
      <c r="BA10" s="137">
        <f t="shared" ca="1" si="2"/>
        <v>19.617561409999997</v>
      </c>
      <c r="BB10" s="137">
        <f t="shared" ca="1" si="2"/>
        <v>4.1230681599999999</v>
      </c>
      <c r="BC10" s="137">
        <f t="shared" ca="1" si="2"/>
        <v>0.66503102399999992</v>
      </c>
      <c r="BD10" s="137">
        <f t="shared" ca="1" si="2"/>
        <v>1.1062505449999999E-2</v>
      </c>
      <c r="BE10" s="137">
        <f t="shared" ca="1" si="2"/>
        <v>0.80047443399999996</v>
      </c>
      <c r="BF10" s="137">
        <f t="shared" ca="1" si="2"/>
        <v>-2.6929177009999998E-3</v>
      </c>
      <c r="BG10" s="137">
        <f t="shared" ca="1" si="2"/>
        <v>1.428986189E-6</v>
      </c>
      <c r="BH10" s="137">
        <f t="shared" ca="1" si="2"/>
        <v>4.3147846199999999E-2</v>
      </c>
      <c r="BI10" s="137">
        <f t="shared" ca="1" si="2"/>
        <v>0.1164037146</v>
      </c>
      <c r="BJ10" s="137">
        <f t="shared" ca="1" si="3"/>
        <v>9.2311087399999991E-2</v>
      </c>
      <c r="BK10" s="137">
        <f t="shared" ca="1" si="3"/>
        <v>1.062629229E-3</v>
      </c>
      <c r="BL10" s="137">
        <f t="shared" ca="1" si="3"/>
        <v>0.8841854469999999</v>
      </c>
      <c r="BM10" s="137">
        <f t="shared" ca="1" si="3"/>
        <v>0.1089562675</v>
      </c>
    </row>
    <row r="11" spans="1:65" x14ac:dyDescent="0.25">
      <c r="A11" s="149">
        <v>223</v>
      </c>
      <c r="B11" s="149">
        <v>15</v>
      </c>
      <c r="C11" s="61">
        <v>46.204391000000001</v>
      </c>
      <c r="D11" s="61">
        <v>6.1431579999999997</v>
      </c>
      <c r="E11" s="61" t="s">
        <v>271</v>
      </c>
      <c r="F11" s="149">
        <v>9</v>
      </c>
      <c r="G11" s="61" t="s">
        <v>567</v>
      </c>
      <c r="H11" s="61" t="s">
        <v>566</v>
      </c>
      <c r="I11" s="61">
        <v>50.037933000000002</v>
      </c>
      <c r="J11" s="61">
        <v>8.5621519999999993</v>
      </c>
      <c r="K11" s="61">
        <v>440.90853509999999</v>
      </c>
      <c r="L11" s="61">
        <v>589.53800000000001</v>
      </c>
      <c r="M11" s="61" t="s">
        <v>589</v>
      </c>
      <c r="N11" s="149">
        <v>14</v>
      </c>
      <c r="O11" s="149">
        <v>15</v>
      </c>
      <c r="P11" s="61" t="s">
        <v>567</v>
      </c>
      <c r="Q11" s="61" t="s">
        <v>566</v>
      </c>
      <c r="R11" s="61">
        <v>50.037932599999998</v>
      </c>
      <c r="S11" s="61">
        <v>8.5621518000000005</v>
      </c>
      <c r="T11" s="61">
        <f>Transport_2_Hubs!T11</f>
        <v>596.91700000000003</v>
      </c>
      <c r="U11" s="61" t="s">
        <v>589</v>
      </c>
      <c r="V11" s="61" t="s">
        <v>589</v>
      </c>
      <c r="W11" s="61"/>
      <c r="Y11" s="137">
        <f>Summary_LCIA!H$34</f>
        <v>7.4462E-2</v>
      </c>
      <c r="Z11" s="137">
        <f ca="1">Summary_LCIA!Q$34</f>
        <v>1.23508923</v>
      </c>
      <c r="AA11" s="137">
        <f ca="1">Summary_LCIA!R$34</f>
        <v>2.5566E-3</v>
      </c>
      <c r="AB11" s="137">
        <f ca="1">Summary_LCIA!S$34</f>
        <v>7.3438000000000003E-2</v>
      </c>
      <c r="AC11" s="137">
        <f ca="1">Summary_LCIA!T$34</f>
        <v>2.0743000000000001E-2</v>
      </c>
      <c r="AD11" s="137">
        <f ca="1">Summary_LCIA!U$34</f>
        <v>1.8396E-3</v>
      </c>
      <c r="AE11" s="137">
        <f ca="1">Summary_LCIA!V$34</f>
        <v>8.1093000000000004E-5</v>
      </c>
      <c r="AF11" s="137">
        <f ca="1">Summary_LCIA!W$34</f>
        <v>5.0548999999999997E-2</v>
      </c>
      <c r="AG11" s="137">
        <f ca="1">Summary_LCIA!X$34</f>
        <v>1.0624E-2</v>
      </c>
      <c r="AH11" s="137">
        <f ca="1">Summary_LCIA!Y$34</f>
        <v>1.7136E-3</v>
      </c>
      <c r="AI11" s="137">
        <f ca="1">Summary_LCIA!Z$34</f>
        <v>2.8504999999999999E-5</v>
      </c>
      <c r="AJ11" s="137">
        <f ca="1">Summary_LCIA!AA$34</f>
        <v>2.0625999999999999E-3</v>
      </c>
      <c r="AK11" s="137">
        <f ca="1">Summary_LCIA!AB$34</f>
        <v>-6.9388999999999998E-6</v>
      </c>
      <c r="AL11" s="137">
        <f ca="1">Summary_LCIA!AC$34</f>
        <v>3.6820999999999999E-9</v>
      </c>
      <c r="AM11" s="137">
        <f ca="1">Summary_LCIA!AD$34</f>
        <v>1.1118E-4</v>
      </c>
      <c r="AN11" s="137">
        <f ca="1">Summary_LCIA!AE$34</f>
        <v>2.9994E-4</v>
      </c>
      <c r="AO11" s="137">
        <f ca="1">Summary_LCIA!AF$34</f>
        <v>2.3786E-4</v>
      </c>
      <c r="AP11" s="137">
        <f ca="1">Summary_LCIA!AG$34</f>
        <v>2.7381000000000001E-6</v>
      </c>
      <c r="AQ11" s="137">
        <f ca="1">Summary_LCIA!AH$34</f>
        <v>2.2783E-3</v>
      </c>
      <c r="AR11" s="137">
        <f ca="1">Summary_LCIA!AI$34</f>
        <v>2.8075000000000002E-4</v>
      </c>
      <c r="AT11" s="137">
        <f t="shared" si="2"/>
        <v>44.447633654000001</v>
      </c>
      <c r="AU11" s="137">
        <f t="shared" ca="1" si="2"/>
        <v>737.24575790391009</v>
      </c>
      <c r="AV11" s="137">
        <f t="shared" ca="1" si="2"/>
        <v>1.5260780022</v>
      </c>
      <c r="AW11" s="137">
        <f t="shared" ca="1" si="2"/>
        <v>43.836390646000005</v>
      </c>
      <c r="AX11" s="137">
        <f t="shared" ca="1" si="2"/>
        <v>12.381849331000002</v>
      </c>
      <c r="AY11" s="137">
        <f t="shared" ca="1" si="2"/>
        <v>1.0980885132</v>
      </c>
      <c r="AZ11" s="137">
        <f t="shared" ca="1" si="2"/>
        <v>4.8405790281000005E-2</v>
      </c>
      <c r="BA11" s="137">
        <f t="shared" ca="1" si="2"/>
        <v>30.173557432999999</v>
      </c>
      <c r="BB11" s="137">
        <f t="shared" ca="1" si="2"/>
        <v>6.3416462080000002</v>
      </c>
      <c r="BC11" s="137">
        <f t="shared" ca="1" si="2"/>
        <v>1.0228769712000001</v>
      </c>
      <c r="BD11" s="137">
        <f t="shared" ca="1" si="2"/>
        <v>1.7015119084999999E-2</v>
      </c>
      <c r="BE11" s="137">
        <f t="shared" ca="1" si="2"/>
        <v>1.2312010042000001</v>
      </c>
      <c r="BF11" s="137">
        <f t="shared" ca="1" si="2"/>
        <v>-4.1419473713000003E-3</v>
      </c>
      <c r="BG11" s="137">
        <f t="shared" ca="1" si="2"/>
        <v>2.1979080857000001E-6</v>
      </c>
      <c r="BH11" s="137">
        <f t="shared" ca="1" si="2"/>
        <v>6.6365232060000001E-2</v>
      </c>
      <c r="BI11" s="137">
        <f t="shared" ca="1" si="2"/>
        <v>0.17903928498000002</v>
      </c>
      <c r="BJ11" s="137">
        <f t="shared" ca="1" si="3"/>
        <v>0.14198267762</v>
      </c>
      <c r="BK11" s="137">
        <f t="shared" ca="1" si="3"/>
        <v>1.6344184377000001E-3</v>
      </c>
      <c r="BL11" s="137">
        <f t="shared" ca="1" si="3"/>
        <v>1.3599560011</v>
      </c>
      <c r="BM11" s="137">
        <f t="shared" ca="1" si="3"/>
        <v>0.16758444775000003</v>
      </c>
    </row>
    <row r="12" spans="1:65" x14ac:dyDescent="0.25">
      <c r="A12" s="149">
        <v>376</v>
      </c>
      <c r="B12" s="149">
        <v>15</v>
      </c>
      <c r="C12" s="61">
        <v>52.541156000000001</v>
      </c>
      <c r="D12" s="61">
        <v>13.390912999999999</v>
      </c>
      <c r="E12" s="61" t="s">
        <v>281</v>
      </c>
      <c r="F12" s="149">
        <v>15</v>
      </c>
      <c r="G12" s="61" t="s">
        <v>567</v>
      </c>
      <c r="H12" s="61" t="s">
        <v>707</v>
      </c>
      <c r="I12" s="61">
        <v>50.037933000000002</v>
      </c>
      <c r="J12" s="61">
        <v>8.5621519999999993</v>
      </c>
      <c r="K12" s="61">
        <v>461.40119850000002</v>
      </c>
      <c r="L12" s="61">
        <v>636.84400000000005</v>
      </c>
      <c r="M12" s="61" t="s">
        <v>589</v>
      </c>
      <c r="N12" s="149">
        <v>14</v>
      </c>
      <c r="O12" s="149">
        <v>15</v>
      </c>
      <c r="P12" s="61" t="s">
        <v>567</v>
      </c>
      <c r="Q12" s="61" t="s">
        <v>566</v>
      </c>
      <c r="R12" s="61">
        <v>50.037932599999998</v>
      </c>
      <c r="S12" s="61">
        <v>8.5621518000000005</v>
      </c>
      <c r="T12" s="61">
        <f>Transport_2_Hubs!T12</f>
        <v>530.98199999999997</v>
      </c>
      <c r="U12" s="61" t="s">
        <v>589</v>
      </c>
      <c r="V12" s="61" t="s">
        <v>589</v>
      </c>
      <c r="W12" s="61"/>
      <c r="Y12" s="137">
        <f>Summary_LCIA!H$34</f>
        <v>7.4462E-2</v>
      </c>
      <c r="Z12" s="137">
        <f ca="1">Summary_LCIA!Q$34</f>
        <v>1.23508923</v>
      </c>
      <c r="AA12" s="137">
        <f ca="1">Summary_LCIA!R$34</f>
        <v>2.5566E-3</v>
      </c>
      <c r="AB12" s="137">
        <f ca="1">Summary_LCIA!S$34</f>
        <v>7.3438000000000003E-2</v>
      </c>
      <c r="AC12" s="137">
        <f ca="1">Summary_LCIA!T$34</f>
        <v>2.0743000000000001E-2</v>
      </c>
      <c r="AD12" s="137">
        <f ca="1">Summary_LCIA!U$34</f>
        <v>1.8396E-3</v>
      </c>
      <c r="AE12" s="137">
        <f ca="1">Summary_LCIA!V$34</f>
        <v>8.1093000000000004E-5</v>
      </c>
      <c r="AF12" s="137">
        <f ca="1">Summary_LCIA!W$34</f>
        <v>5.0548999999999997E-2</v>
      </c>
      <c r="AG12" s="137">
        <f ca="1">Summary_LCIA!X$34</f>
        <v>1.0624E-2</v>
      </c>
      <c r="AH12" s="137">
        <f ca="1">Summary_LCIA!Y$34</f>
        <v>1.7136E-3</v>
      </c>
      <c r="AI12" s="137">
        <f ca="1">Summary_LCIA!Z$34</f>
        <v>2.8504999999999999E-5</v>
      </c>
      <c r="AJ12" s="137">
        <f ca="1">Summary_LCIA!AA$34</f>
        <v>2.0625999999999999E-3</v>
      </c>
      <c r="AK12" s="137">
        <f ca="1">Summary_LCIA!AB$34</f>
        <v>-6.9388999999999998E-6</v>
      </c>
      <c r="AL12" s="137">
        <f ca="1">Summary_LCIA!AC$34</f>
        <v>3.6820999999999999E-9</v>
      </c>
      <c r="AM12" s="137">
        <f ca="1">Summary_LCIA!AD$34</f>
        <v>1.1118E-4</v>
      </c>
      <c r="AN12" s="137">
        <f ca="1">Summary_LCIA!AE$34</f>
        <v>2.9994E-4</v>
      </c>
      <c r="AO12" s="137">
        <f ca="1">Summary_LCIA!AF$34</f>
        <v>2.3786E-4</v>
      </c>
      <c r="AP12" s="137">
        <f ca="1">Summary_LCIA!AG$34</f>
        <v>2.7381000000000001E-6</v>
      </c>
      <c r="AQ12" s="137">
        <f ca="1">Summary_LCIA!AH$34</f>
        <v>2.2783E-3</v>
      </c>
      <c r="AR12" s="137">
        <f ca="1">Summary_LCIA!AI$34</f>
        <v>2.8075000000000002E-4</v>
      </c>
      <c r="AT12" s="137">
        <f t="shared" si="2"/>
        <v>39.537981683999995</v>
      </c>
      <c r="AU12" s="137">
        <f t="shared" ca="1" si="2"/>
        <v>655.81014952385999</v>
      </c>
      <c r="AV12" s="137">
        <f t="shared" ca="1" si="2"/>
        <v>1.3575085811999998</v>
      </c>
      <c r="AW12" s="137">
        <f t="shared" ca="1" si="2"/>
        <v>38.994256116000003</v>
      </c>
      <c r="AX12" s="137">
        <f t="shared" ca="1" si="2"/>
        <v>11.014159626</v>
      </c>
      <c r="AY12" s="137">
        <f t="shared" ca="1" si="2"/>
        <v>0.97679448719999995</v>
      </c>
      <c r="AZ12" s="137">
        <f t="shared" ca="1" si="2"/>
        <v>4.3058923325999997E-2</v>
      </c>
      <c r="BA12" s="137">
        <f t="shared" ca="1" si="2"/>
        <v>26.840609117999996</v>
      </c>
      <c r="BB12" s="137">
        <f t="shared" ca="1" si="2"/>
        <v>5.6411527679999995</v>
      </c>
      <c r="BC12" s="137">
        <f t="shared" ca="1" si="2"/>
        <v>0.90989075519999996</v>
      </c>
      <c r="BD12" s="137">
        <f t="shared" ca="1" si="2"/>
        <v>1.5135641909999999E-2</v>
      </c>
      <c r="BE12" s="137">
        <f t="shared" ca="1" si="2"/>
        <v>1.0952034732</v>
      </c>
      <c r="BF12" s="137">
        <f t="shared" ca="1" si="2"/>
        <v>-3.6844309997999996E-3</v>
      </c>
      <c r="BG12" s="137">
        <f t="shared" ca="1" si="2"/>
        <v>1.9551288222E-6</v>
      </c>
      <c r="BH12" s="137">
        <f t="shared" ca="1" si="2"/>
        <v>5.9034578759999998E-2</v>
      </c>
      <c r="BI12" s="137">
        <f t="shared" ca="1" si="2"/>
        <v>0.15926274107999999</v>
      </c>
      <c r="BJ12" s="137">
        <f t="shared" ca="1" si="3"/>
        <v>0.12629937852000001</v>
      </c>
      <c r="BK12" s="137">
        <f t="shared" ca="1" si="3"/>
        <v>1.4538818141999999E-3</v>
      </c>
      <c r="BL12" s="137">
        <f t="shared" ca="1" si="3"/>
        <v>1.2097362906</v>
      </c>
      <c r="BM12" s="137">
        <f t="shared" ca="1" si="3"/>
        <v>0.1490731965</v>
      </c>
    </row>
    <row r="13" spans="1:65" x14ac:dyDescent="0.25">
      <c r="A13" s="149">
        <v>377</v>
      </c>
      <c r="B13" s="149">
        <v>15</v>
      </c>
      <c r="C13" s="61">
        <v>52.541156000000001</v>
      </c>
      <c r="D13" s="61">
        <v>13.390912999999999</v>
      </c>
      <c r="E13" s="61" t="s">
        <v>281</v>
      </c>
      <c r="F13" s="149">
        <v>15</v>
      </c>
      <c r="G13" s="61" t="s">
        <v>567</v>
      </c>
      <c r="H13" s="61" t="s">
        <v>707</v>
      </c>
      <c r="I13" s="61">
        <v>50.037933000000002</v>
      </c>
      <c r="J13" s="61">
        <v>8.5621519999999993</v>
      </c>
      <c r="K13" s="61">
        <v>461.40119850000002</v>
      </c>
      <c r="L13" s="61">
        <v>636.84400000000005</v>
      </c>
      <c r="M13" s="61" t="s">
        <v>589</v>
      </c>
      <c r="N13" s="149">
        <v>14</v>
      </c>
      <c r="O13" s="149">
        <v>15</v>
      </c>
      <c r="P13" s="61" t="s">
        <v>567</v>
      </c>
      <c r="Q13" s="61" t="s">
        <v>566</v>
      </c>
      <c r="R13" s="61">
        <v>50.037932599999998</v>
      </c>
      <c r="S13" s="61">
        <v>8.5621518000000005</v>
      </c>
      <c r="T13" s="61">
        <f>Transport_2_Hubs!T13</f>
        <v>530.98199999999997</v>
      </c>
      <c r="U13" s="61" t="s">
        <v>589</v>
      </c>
      <c r="V13" s="61" t="s">
        <v>589</v>
      </c>
      <c r="W13" s="61"/>
      <c r="Y13" s="137">
        <f>Summary_LCIA!H$34</f>
        <v>7.4462E-2</v>
      </c>
      <c r="Z13" s="137">
        <f ca="1">Summary_LCIA!Q$34</f>
        <v>1.23508923</v>
      </c>
      <c r="AA13" s="137">
        <f ca="1">Summary_LCIA!R$34</f>
        <v>2.5566E-3</v>
      </c>
      <c r="AB13" s="137">
        <f ca="1">Summary_LCIA!S$34</f>
        <v>7.3438000000000003E-2</v>
      </c>
      <c r="AC13" s="137">
        <f ca="1">Summary_LCIA!T$34</f>
        <v>2.0743000000000001E-2</v>
      </c>
      <c r="AD13" s="137">
        <f ca="1">Summary_LCIA!U$34</f>
        <v>1.8396E-3</v>
      </c>
      <c r="AE13" s="137">
        <f ca="1">Summary_LCIA!V$34</f>
        <v>8.1093000000000004E-5</v>
      </c>
      <c r="AF13" s="137">
        <f ca="1">Summary_LCIA!W$34</f>
        <v>5.0548999999999997E-2</v>
      </c>
      <c r="AG13" s="137">
        <f ca="1">Summary_LCIA!X$34</f>
        <v>1.0624E-2</v>
      </c>
      <c r="AH13" s="137">
        <f ca="1">Summary_LCIA!Y$34</f>
        <v>1.7136E-3</v>
      </c>
      <c r="AI13" s="137">
        <f ca="1">Summary_LCIA!Z$34</f>
        <v>2.8504999999999999E-5</v>
      </c>
      <c r="AJ13" s="137">
        <f ca="1">Summary_LCIA!AA$34</f>
        <v>2.0625999999999999E-3</v>
      </c>
      <c r="AK13" s="137">
        <f ca="1">Summary_LCIA!AB$34</f>
        <v>-6.9388999999999998E-6</v>
      </c>
      <c r="AL13" s="137">
        <f ca="1">Summary_LCIA!AC$34</f>
        <v>3.6820999999999999E-9</v>
      </c>
      <c r="AM13" s="137">
        <f ca="1">Summary_LCIA!AD$34</f>
        <v>1.1118E-4</v>
      </c>
      <c r="AN13" s="137">
        <f ca="1">Summary_LCIA!AE$34</f>
        <v>2.9994E-4</v>
      </c>
      <c r="AO13" s="137">
        <f ca="1">Summary_LCIA!AF$34</f>
        <v>2.3786E-4</v>
      </c>
      <c r="AP13" s="137">
        <f ca="1">Summary_LCIA!AG$34</f>
        <v>2.7381000000000001E-6</v>
      </c>
      <c r="AQ13" s="137">
        <f ca="1">Summary_LCIA!AH$34</f>
        <v>2.2783E-3</v>
      </c>
      <c r="AR13" s="137">
        <f ca="1">Summary_LCIA!AI$34</f>
        <v>2.8075000000000002E-4</v>
      </c>
      <c r="AT13" s="137">
        <f t="shared" si="2"/>
        <v>39.537981683999995</v>
      </c>
      <c r="AU13" s="137">
        <f t="shared" ca="1" si="2"/>
        <v>655.81014952385999</v>
      </c>
      <c r="AV13" s="137">
        <f t="shared" ca="1" si="2"/>
        <v>1.3575085811999998</v>
      </c>
      <c r="AW13" s="137">
        <f t="shared" ca="1" si="2"/>
        <v>38.994256116000003</v>
      </c>
      <c r="AX13" s="137">
        <f t="shared" ca="1" si="2"/>
        <v>11.014159626</v>
      </c>
      <c r="AY13" s="137">
        <f t="shared" ca="1" si="2"/>
        <v>0.97679448719999995</v>
      </c>
      <c r="AZ13" s="137">
        <f t="shared" ca="1" si="2"/>
        <v>4.3058923325999997E-2</v>
      </c>
      <c r="BA13" s="137">
        <f t="shared" ca="1" si="2"/>
        <v>26.840609117999996</v>
      </c>
      <c r="BB13" s="137">
        <f t="shared" ca="1" si="2"/>
        <v>5.6411527679999995</v>
      </c>
      <c r="BC13" s="137">
        <f t="shared" ca="1" si="2"/>
        <v>0.90989075519999996</v>
      </c>
      <c r="BD13" s="137">
        <f t="shared" ca="1" si="2"/>
        <v>1.5135641909999999E-2</v>
      </c>
      <c r="BE13" s="137">
        <f t="shared" ca="1" si="2"/>
        <v>1.0952034732</v>
      </c>
      <c r="BF13" s="137">
        <f t="shared" ca="1" si="2"/>
        <v>-3.6844309997999996E-3</v>
      </c>
      <c r="BG13" s="137">
        <f t="shared" ca="1" si="2"/>
        <v>1.9551288222E-6</v>
      </c>
      <c r="BH13" s="137">
        <f t="shared" ca="1" si="2"/>
        <v>5.9034578759999998E-2</v>
      </c>
      <c r="BI13" s="137">
        <f t="shared" ca="1" si="2"/>
        <v>0.15926274107999999</v>
      </c>
      <c r="BJ13" s="137">
        <f t="shared" ca="1" si="3"/>
        <v>0.12629937852000001</v>
      </c>
      <c r="BK13" s="137">
        <f t="shared" ca="1" si="3"/>
        <v>1.4538818141999999E-3</v>
      </c>
      <c r="BL13" s="137">
        <f t="shared" ca="1" si="3"/>
        <v>1.2097362906</v>
      </c>
      <c r="BM13" s="137">
        <f t="shared" ca="1" si="3"/>
        <v>0.1490731965</v>
      </c>
    </row>
    <row r="14" spans="1:65" x14ac:dyDescent="0.25">
      <c r="A14" s="149">
        <v>15</v>
      </c>
      <c r="B14" s="149">
        <v>43</v>
      </c>
      <c r="C14" s="61">
        <v>40.676457999999997</v>
      </c>
      <c r="D14" s="61">
        <v>-74.228478999999993</v>
      </c>
      <c r="E14" s="61" t="s">
        <v>265</v>
      </c>
      <c r="F14" s="149">
        <v>43</v>
      </c>
      <c r="G14" s="61" t="s">
        <v>565</v>
      </c>
      <c r="H14" s="61" t="s">
        <v>632</v>
      </c>
      <c r="I14" s="61">
        <v>40.689531000000002</v>
      </c>
      <c r="J14" s="61">
        <v>-74.174462000000005</v>
      </c>
      <c r="K14" s="61">
        <v>5.2641184650000001</v>
      </c>
      <c r="L14" s="61">
        <v>7.0670000000000002</v>
      </c>
      <c r="M14" s="61" t="s">
        <v>617</v>
      </c>
      <c r="N14" s="149">
        <v>42</v>
      </c>
      <c r="O14" s="149">
        <v>43</v>
      </c>
      <c r="P14" s="61" t="s">
        <v>565</v>
      </c>
      <c r="Q14" s="61" t="s">
        <v>555</v>
      </c>
      <c r="R14" s="61">
        <v>40.6895314</v>
      </c>
      <c r="S14" s="61">
        <v>-74.174462399999996</v>
      </c>
      <c r="T14" s="61">
        <v>7.0670000000000002</v>
      </c>
      <c r="U14" s="61" t="s">
        <v>617</v>
      </c>
      <c r="V14" s="61" t="s">
        <v>617</v>
      </c>
      <c r="W14" s="61"/>
      <c r="Y14" s="137">
        <f>Summary_LCIA!H$32</f>
        <v>0.33979999999999999</v>
      </c>
      <c r="Z14" s="137">
        <f>Summary_LCIA!Q$32</f>
        <v>4.9560504329999997</v>
      </c>
      <c r="AA14" s="137">
        <f>Summary_LCIA!R$32</f>
        <v>5.2655999999999996E-3</v>
      </c>
      <c r="AB14" s="137">
        <f>Summary_LCIA!S$32</f>
        <v>0.33538000000000001</v>
      </c>
      <c r="AC14" s="137">
        <f>Summary_LCIA!T$32</f>
        <v>0.1099</v>
      </c>
      <c r="AD14" s="137">
        <f>Summary_LCIA!U$32</f>
        <v>1.7913999999999999E-2</v>
      </c>
      <c r="AE14" s="137">
        <f>Summary_LCIA!V$32</f>
        <v>4.7760999999999999E-5</v>
      </c>
      <c r="AF14" s="137">
        <f>Summary_LCIA!W$32</f>
        <v>7.6970999999999998E-2</v>
      </c>
      <c r="AG14" s="137">
        <f>Summary_LCIA!X$32</f>
        <v>2.2780000000000002E-2</v>
      </c>
      <c r="AH14" s="137">
        <f>Summary_LCIA!Y$32</f>
        <v>1.5582E-2</v>
      </c>
      <c r="AI14" s="137">
        <f>Summary_LCIA!Z$32</f>
        <v>4.1009E-5</v>
      </c>
      <c r="AJ14" s="137">
        <f>Summary_LCIA!AA$32</f>
        <v>2.3355999999999998E-2</v>
      </c>
      <c r="AK14" s="137">
        <f>Summary_LCIA!AB$32</f>
        <v>-2.1823000000000001E-5</v>
      </c>
      <c r="AL14" s="137">
        <f>Summary_LCIA!AC$32</f>
        <v>4.8884000000000003E-8</v>
      </c>
      <c r="AM14" s="137">
        <f>Summary_LCIA!AD$32</f>
        <v>4.1103999999999999E-4</v>
      </c>
      <c r="AN14" s="137">
        <f>Summary_LCIA!AE$32</f>
        <v>8.8612999999999995E-4</v>
      </c>
      <c r="AO14" s="137">
        <f>Summary_LCIA!AF$32</f>
        <v>8.4542000000000005E-4</v>
      </c>
      <c r="AP14" s="137">
        <f>Summary_LCIA!AG$32</f>
        <v>5.1165000000000002E-5</v>
      </c>
      <c r="AQ14" s="137">
        <f>Summary_LCIA!AH$32</f>
        <v>8.7036000000000006E-3</v>
      </c>
      <c r="AR14" s="137">
        <f>Summary_LCIA!AI$32</f>
        <v>9.3154999999999996E-4</v>
      </c>
      <c r="AT14" s="137">
        <f t="shared" si="2"/>
        <v>2.4013665999999998</v>
      </c>
      <c r="AU14" s="137">
        <f t="shared" si="2"/>
        <v>35.024408410010999</v>
      </c>
      <c r="AV14" s="137">
        <f t="shared" si="2"/>
        <v>3.72119952E-2</v>
      </c>
      <c r="AW14" s="137">
        <f t="shared" si="2"/>
        <v>2.3701304599999999</v>
      </c>
      <c r="AX14" s="137">
        <f t="shared" si="2"/>
        <v>0.77666330000000006</v>
      </c>
      <c r="AY14" s="137">
        <f t="shared" si="2"/>
        <v>0.126598238</v>
      </c>
      <c r="AZ14" s="137">
        <f t="shared" si="2"/>
        <v>3.3752698700000001E-4</v>
      </c>
      <c r="BA14" s="137">
        <f t="shared" si="2"/>
        <v>0.54395405699999999</v>
      </c>
      <c r="BB14" s="137">
        <f t="shared" si="2"/>
        <v>0.16098626000000002</v>
      </c>
      <c r="BC14" s="137">
        <f t="shared" si="2"/>
        <v>0.11011799400000001</v>
      </c>
      <c r="BD14" s="137">
        <f t="shared" si="2"/>
        <v>2.8981060300000002E-4</v>
      </c>
      <c r="BE14" s="137">
        <f t="shared" si="2"/>
        <v>0.165056852</v>
      </c>
      <c r="BF14" s="137">
        <f t="shared" si="2"/>
        <v>-1.5422314100000002E-4</v>
      </c>
      <c r="BG14" s="137">
        <f t="shared" si="2"/>
        <v>3.4546322800000003E-7</v>
      </c>
      <c r="BH14" s="137">
        <f t="shared" si="2"/>
        <v>2.9048196800000002E-3</v>
      </c>
      <c r="BI14" s="137">
        <f t="shared" si="2"/>
        <v>6.26228071E-3</v>
      </c>
      <c r="BJ14" s="137">
        <f t="shared" si="3"/>
        <v>5.9745831400000006E-3</v>
      </c>
      <c r="BK14" s="137">
        <f t="shared" si="3"/>
        <v>3.6158305500000001E-4</v>
      </c>
      <c r="BL14" s="137">
        <f t="shared" si="3"/>
        <v>6.1508341200000004E-2</v>
      </c>
      <c r="BM14" s="137">
        <f t="shared" si="3"/>
        <v>6.5832638499999999E-3</v>
      </c>
    </row>
    <row r="15" spans="1:65" x14ac:dyDescent="0.25">
      <c r="A15" s="149">
        <v>16</v>
      </c>
      <c r="B15" s="149">
        <v>43</v>
      </c>
      <c r="C15" s="61">
        <v>40.676457999999997</v>
      </c>
      <c r="D15" s="61">
        <v>-74.228478999999993</v>
      </c>
      <c r="E15" s="61" t="s">
        <v>265</v>
      </c>
      <c r="F15" s="149">
        <v>43</v>
      </c>
      <c r="G15" s="61" t="s">
        <v>565</v>
      </c>
      <c r="H15" s="61" t="s">
        <v>632</v>
      </c>
      <c r="I15" s="61">
        <v>40.689531000000002</v>
      </c>
      <c r="J15" s="61">
        <v>-74.174462000000005</v>
      </c>
      <c r="K15" s="61">
        <v>5.2641184650000001</v>
      </c>
      <c r="L15" s="61">
        <v>7.0670000000000002</v>
      </c>
      <c r="M15" s="61" t="s">
        <v>617</v>
      </c>
      <c r="N15" s="149">
        <v>42</v>
      </c>
      <c r="O15" s="149">
        <v>43</v>
      </c>
      <c r="P15" s="61" t="s">
        <v>565</v>
      </c>
      <c r="Q15" s="61" t="s">
        <v>555</v>
      </c>
      <c r="R15" s="61">
        <v>40.6895314</v>
      </c>
      <c r="S15" s="61">
        <v>-74.174462399999996</v>
      </c>
      <c r="T15" s="61">
        <v>7.0670000000000002</v>
      </c>
      <c r="U15" s="61" t="s">
        <v>617</v>
      </c>
      <c r="V15" s="61" t="s">
        <v>617</v>
      </c>
      <c r="W15" s="61"/>
      <c r="Y15" s="137">
        <f>Summary_LCIA!H$32</f>
        <v>0.33979999999999999</v>
      </c>
      <c r="Z15" s="137">
        <f>Summary_LCIA!Q$32</f>
        <v>4.9560504329999997</v>
      </c>
      <c r="AA15" s="137">
        <f>Summary_LCIA!R$32</f>
        <v>5.2655999999999996E-3</v>
      </c>
      <c r="AB15" s="137">
        <f>Summary_LCIA!S$32</f>
        <v>0.33538000000000001</v>
      </c>
      <c r="AC15" s="137">
        <f>Summary_LCIA!T$32</f>
        <v>0.1099</v>
      </c>
      <c r="AD15" s="137">
        <f>Summary_LCIA!U$32</f>
        <v>1.7913999999999999E-2</v>
      </c>
      <c r="AE15" s="137">
        <f>Summary_LCIA!V$32</f>
        <v>4.7760999999999999E-5</v>
      </c>
      <c r="AF15" s="137">
        <f>Summary_LCIA!W$32</f>
        <v>7.6970999999999998E-2</v>
      </c>
      <c r="AG15" s="137">
        <f>Summary_LCIA!X$32</f>
        <v>2.2780000000000002E-2</v>
      </c>
      <c r="AH15" s="137">
        <f>Summary_LCIA!Y$32</f>
        <v>1.5582E-2</v>
      </c>
      <c r="AI15" s="137">
        <f>Summary_LCIA!Z$32</f>
        <v>4.1009E-5</v>
      </c>
      <c r="AJ15" s="137">
        <f>Summary_LCIA!AA$32</f>
        <v>2.3355999999999998E-2</v>
      </c>
      <c r="AK15" s="137">
        <f>Summary_LCIA!AB$32</f>
        <v>-2.1823000000000001E-5</v>
      </c>
      <c r="AL15" s="137">
        <f>Summary_LCIA!AC$32</f>
        <v>4.8884000000000003E-8</v>
      </c>
      <c r="AM15" s="137">
        <f>Summary_LCIA!AD$32</f>
        <v>4.1103999999999999E-4</v>
      </c>
      <c r="AN15" s="137">
        <f>Summary_LCIA!AE$32</f>
        <v>8.8612999999999995E-4</v>
      </c>
      <c r="AO15" s="137">
        <f>Summary_LCIA!AF$32</f>
        <v>8.4542000000000005E-4</v>
      </c>
      <c r="AP15" s="137">
        <f>Summary_LCIA!AG$32</f>
        <v>5.1165000000000002E-5</v>
      </c>
      <c r="AQ15" s="137">
        <f>Summary_LCIA!AH$32</f>
        <v>8.7036000000000006E-3</v>
      </c>
      <c r="AR15" s="137">
        <f>Summary_LCIA!AI$32</f>
        <v>9.3154999999999996E-4</v>
      </c>
      <c r="AT15" s="137">
        <f t="shared" si="2"/>
        <v>2.4013665999999998</v>
      </c>
      <c r="AU15" s="137">
        <f t="shared" si="2"/>
        <v>35.024408410010999</v>
      </c>
      <c r="AV15" s="137">
        <f t="shared" si="2"/>
        <v>3.72119952E-2</v>
      </c>
      <c r="AW15" s="137">
        <f t="shared" si="2"/>
        <v>2.3701304599999999</v>
      </c>
      <c r="AX15" s="137">
        <f t="shared" si="2"/>
        <v>0.77666330000000006</v>
      </c>
      <c r="AY15" s="137">
        <f t="shared" si="2"/>
        <v>0.126598238</v>
      </c>
      <c r="AZ15" s="137">
        <f t="shared" si="2"/>
        <v>3.3752698700000001E-4</v>
      </c>
      <c r="BA15" s="137">
        <f t="shared" si="2"/>
        <v>0.54395405699999999</v>
      </c>
      <c r="BB15" s="137">
        <f t="shared" si="2"/>
        <v>0.16098626000000002</v>
      </c>
      <c r="BC15" s="137">
        <f t="shared" si="2"/>
        <v>0.11011799400000001</v>
      </c>
      <c r="BD15" s="137">
        <f t="shared" si="2"/>
        <v>2.8981060300000002E-4</v>
      </c>
      <c r="BE15" s="137">
        <f t="shared" si="2"/>
        <v>0.165056852</v>
      </c>
      <c r="BF15" s="137">
        <f t="shared" si="2"/>
        <v>-1.5422314100000002E-4</v>
      </c>
      <c r="BG15" s="137">
        <f t="shared" si="2"/>
        <v>3.4546322800000003E-7</v>
      </c>
      <c r="BH15" s="137">
        <f t="shared" si="2"/>
        <v>2.9048196800000002E-3</v>
      </c>
      <c r="BI15" s="137">
        <f t="shared" si="2"/>
        <v>6.26228071E-3</v>
      </c>
      <c r="BJ15" s="137">
        <f t="shared" si="3"/>
        <v>5.9745831400000006E-3</v>
      </c>
      <c r="BK15" s="137">
        <f t="shared" si="3"/>
        <v>3.6158305500000001E-4</v>
      </c>
      <c r="BL15" s="137">
        <f t="shared" si="3"/>
        <v>6.1508341200000004E-2</v>
      </c>
      <c r="BM15" s="137">
        <f t="shared" si="3"/>
        <v>6.5832638499999999E-3</v>
      </c>
    </row>
    <row r="16" spans="1:65" x14ac:dyDescent="0.25">
      <c r="A16" s="149">
        <v>17</v>
      </c>
      <c r="B16" s="149">
        <v>43</v>
      </c>
      <c r="C16" s="61">
        <v>40.676457999999997</v>
      </c>
      <c r="D16" s="61">
        <v>-74.228478999999993</v>
      </c>
      <c r="E16" s="61" t="s">
        <v>265</v>
      </c>
      <c r="F16" s="149">
        <v>43</v>
      </c>
      <c r="G16" s="61" t="s">
        <v>565</v>
      </c>
      <c r="H16" s="61" t="s">
        <v>632</v>
      </c>
      <c r="I16" s="61">
        <v>40.689531000000002</v>
      </c>
      <c r="J16" s="61">
        <v>-74.174462000000005</v>
      </c>
      <c r="K16" s="61">
        <v>5.2641184650000001</v>
      </c>
      <c r="L16" s="61">
        <v>7.0670000000000002</v>
      </c>
      <c r="M16" s="61" t="s">
        <v>617</v>
      </c>
      <c r="N16" s="149">
        <v>42</v>
      </c>
      <c r="O16" s="149">
        <v>43</v>
      </c>
      <c r="P16" s="61" t="s">
        <v>565</v>
      </c>
      <c r="Q16" s="61" t="s">
        <v>555</v>
      </c>
      <c r="R16" s="61">
        <v>40.6895314</v>
      </c>
      <c r="S16" s="61">
        <v>-74.174462399999996</v>
      </c>
      <c r="T16" s="61">
        <v>7.0670000000000002</v>
      </c>
      <c r="U16" s="61" t="s">
        <v>617</v>
      </c>
      <c r="V16" s="61" t="s">
        <v>617</v>
      </c>
      <c r="W16" s="61"/>
      <c r="Y16" s="137">
        <f>Summary_LCIA!H$32</f>
        <v>0.33979999999999999</v>
      </c>
      <c r="Z16" s="137">
        <f>Summary_LCIA!Q$32</f>
        <v>4.9560504329999997</v>
      </c>
      <c r="AA16" s="137">
        <f>Summary_LCIA!R$32</f>
        <v>5.2655999999999996E-3</v>
      </c>
      <c r="AB16" s="137">
        <f>Summary_LCIA!S$32</f>
        <v>0.33538000000000001</v>
      </c>
      <c r="AC16" s="137">
        <f>Summary_LCIA!T$32</f>
        <v>0.1099</v>
      </c>
      <c r="AD16" s="137">
        <f>Summary_LCIA!U$32</f>
        <v>1.7913999999999999E-2</v>
      </c>
      <c r="AE16" s="137">
        <f>Summary_LCIA!V$32</f>
        <v>4.7760999999999999E-5</v>
      </c>
      <c r="AF16" s="137">
        <f>Summary_LCIA!W$32</f>
        <v>7.6970999999999998E-2</v>
      </c>
      <c r="AG16" s="137">
        <f>Summary_LCIA!X$32</f>
        <v>2.2780000000000002E-2</v>
      </c>
      <c r="AH16" s="137">
        <f>Summary_LCIA!Y$32</f>
        <v>1.5582E-2</v>
      </c>
      <c r="AI16" s="137">
        <f>Summary_LCIA!Z$32</f>
        <v>4.1009E-5</v>
      </c>
      <c r="AJ16" s="137">
        <f>Summary_LCIA!AA$32</f>
        <v>2.3355999999999998E-2</v>
      </c>
      <c r="AK16" s="137">
        <f>Summary_LCIA!AB$32</f>
        <v>-2.1823000000000001E-5</v>
      </c>
      <c r="AL16" s="137">
        <f>Summary_LCIA!AC$32</f>
        <v>4.8884000000000003E-8</v>
      </c>
      <c r="AM16" s="137">
        <f>Summary_LCIA!AD$32</f>
        <v>4.1103999999999999E-4</v>
      </c>
      <c r="AN16" s="137">
        <f>Summary_LCIA!AE$32</f>
        <v>8.8612999999999995E-4</v>
      </c>
      <c r="AO16" s="137">
        <f>Summary_LCIA!AF$32</f>
        <v>8.4542000000000005E-4</v>
      </c>
      <c r="AP16" s="137">
        <f>Summary_LCIA!AG$32</f>
        <v>5.1165000000000002E-5</v>
      </c>
      <c r="AQ16" s="137">
        <f>Summary_LCIA!AH$32</f>
        <v>8.7036000000000006E-3</v>
      </c>
      <c r="AR16" s="137">
        <f>Summary_LCIA!AI$32</f>
        <v>9.3154999999999996E-4</v>
      </c>
      <c r="AT16" s="137">
        <f t="shared" si="2"/>
        <v>2.4013665999999998</v>
      </c>
      <c r="AU16" s="137">
        <f t="shared" si="2"/>
        <v>35.024408410010999</v>
      </c>
      <c r="AV16" s="137">
        <f t="shared" si="2"/>
        <v>3.72119952E-2</v>
      </c>
      <c r="AW16" s="137">
        <f t="shared" si="2"/>
        <v>2.3701304599999999</v>
      </c>
      <c r="AX16" s="137">
        <f t="shared" si="2"/>
        <v>0.77666330000000006</v>
      </c>
      <c r="AY16" s="137">
        <f t="shared" si="2"/>
        <v>0.126598238</v>
      </c>
      <c r="AZ16" s="137">
        <f t="shared" si="2"/>
        <v>3.3752698700000001E-4</v>
      </c>
      <c r="BA16" s="137">
        <f t="shared" si="2"/>
        <v>0.54395405699999999</v>
      </c>
      <c r="BB16" s="137">
        <f t="shared" si="2"/>
        <v>0.16098626000000002</v>
      </c>
      <c r="BC16" s="137">
        <f t="shared" si="2"/>
        <v>0.11011799400000001</v>
      </c>
      <c r="BD16" s="137">
        <f t="shared" si="2"/>
        <v>2.8981060300000002E-4</v>
      </c>
      <c r="BE16" s="137">
        <f t="shared" si="2"/>
        <v>0.165056852</v>
      </c>
      <c r="BF16" s="137">
        <f t="shared" si="2"/>
        <v>-1.5422314100000002E-4</v>
      </c>
      <c r="BG16" s="137">
        <f t="shared" si="2"/>
        <v>3.4546322800000003E-7</v>
      </c>
      <c r="BH16" s="137">
        <f t="shared" si="2"/>
        <v>2.9048196800000002E-3</v>
      </c>
      <c r="BI16" s="137">
        <f t="shared" si="2"/>
        <v>6.26228071E-3</v>
      </c>
      <c r="BJ16" s="137">
        <f t="shared" si="3"/>
        <v>5.9745831400000006E-3</v>
      </c>
      <c r="BK16" s="137">
        <f t="shared" si="3"/>
        <v>3.6158305500000001E-4</v>
      </c>
      <c r="BL16" s="137">
        <f t="shared" si="3"/>
        <v>6.1508341200000004E-2</v>
      </c>
      <c r="BM16" s="137">
        <f t="shared" si="3"/>
        <v>6.5832638499999999E-3</v>
      </c>
    </row>
    <row r="17" spans="1:65" x14ac:dyDescent="0.25">
      <c r="A17" s="149">
        <v>378</v>
      </c>
      <c r="B17" s="149">
        <v>43</v>
      </c>
      <c r="C17" s="61">
        <v>40.741002000000002</v>
      </c>
      <c r="D17" s="61">
        <v>-74.177420999999995</v>
      </c>
      <c r="E17" s="61" t="s">
        <v>265</v>
      </c>
      <c r="F17" s="149">
        <v>43</v>
      </c>
      <c r="G17" s="61" t="s">
        <v>565</v>
      </c>
      <c r="H17" s="61" t="s">
        <v>632</v>
      </c>
      <c r="I17" s="61">
        <v>40.689531000000002</v>
      </c>
      <c r="J17" s="61">
        <v>-74.174462000000005</v>
      </c>
      <c r="K17" s="61">
        <v>7.8777833389999996</v>
      </c>
      <c r="L17" s="61">
        <v>7.5250000000000004</v>
      </c>
      <c r="M17" s="61" t="s">
        <v>617</v>
      </c>
      <c r="N17" s="149">
        <v>42</v>
      </c>
      <c r="O17" s="149">
        <v>43</v>
      </c>
      <c r="P17" s="61" t="s">
        <v>565</v>
      </c>
      <c r="Q17" s="61" t="s">
        <v>555</v>
      </c>
      <c r="R17" s="61">
        <v>40.6895314</v>
      </c>
      <c r="S17" s="61">
        <v>-74.174462399999996</v>
      </c>
      <c r="T17" s="61">
        <v>7.5250000000000004</v>
      </c>
      <c r="U17" s="61" t="s">
        <v>617</v>
      </c>
      <c r="V17" s="61" t="s">
        <v>617</v>
      </c>
      <c r="W17" s="61"/>
      <c r="Y17" s="137">
        <f>Summary_LCIA!H$32</f>
        <v>0.33979999999999999</v>
      </c>
      <c r="Z17" s="137">
        <f>Summary_LCIA!Q$32</f>
        <v>4.9560504329999997</v>
      </c>
      <c r="AA17" s="137">
        <f>Summary_LCIA!R$32</f>
        <v>5.2655999999999996E-3</v>
      </c>
      <c r="AB17" s="137">
        <f>Summary_LCIA!S$32</f>
        <v>0.33538000000000001</v>
      </c>
      <c r="AC17" s="137">
        <f>Summary_LCIA!T$32</f>
        <v>0.1099</v>
      </c>
      <c r="AD17" s="137">
        <f>Summary_LCIA!U$32</f>
        <v>1.7913999999999999E-2</v>
      </c>
      <c r="AE17" s="137">
        <f>Summary_LCIA!V$32</f>
        <v>4.7760999999999999E-5</v>
      </c>
      <c r="AF17" s="137">
        <f>Summary_LCIA!W$32</f>
        <v>7.6970999999999998E-2</v>
      </c>
      <c r="AG17" s="137">
        <f>Summary_LCIA!X$32</f>
        <v>2.2780000000000002E-2</v>
      </c>
      <c r="AH17" s="137">
        <f>Summary_LCIA!Y$32</f>
        <v>1.5582E-2</v>
      </c>
      <c r="AI17" s="137">
        <f>Summary_LCIA!Z$32</f>
        <v>4.1009E-5</v>
      </c>
      <c r="AJ17" s="137">
        <f>Summary_LCIA!AA$32</f>
        <v>2.3355999999999998E-2</v>
      </c>
      <c r="AK17" s="137">
        <f>Summary_LCIA!AB$32</f>
        <v>-2.1823000000000001E-5</v>
      </c>
      <c r="AL17" s="137">
        <f>Summary_LCIA!AC$32</f>
        <v>4.8884000000000003E-8</v>
      </c>
      <c r="AM17" s="137">
        <f>Summary_LCIA!AD$32</f>
        <v>4.1103999999999999E-4</v>
      </c>
      <c r="AN17" s="137">
        <f>Summary_LCIA!AE$32</f>
        <v>8.8612999999999995E-4</v>
      </c>
      <c r="AO17" s="137">
        <f>Summary_LCIA!AF$32</f>
        <v>8.4542000000000005E-4</v>
      </c>
      <c r="AP17" s="137">
        <f>Summary_LCIA!AG$32</f>
        <v>5.1165000000000002E-5</v>
      </c>
      <c r="AQ17" s="137">
        <f>Summary_LCIA!AH$32</f>
        <v>8.7036000000000006E-3</v>
      </c>
      <c r="AR17" s="137">
        <f>Summary_LCIA!AI$32</f>
        <v>9.3154999999999996E-4</v>
      </c>
      <c r="AT17" s="137">
        <f t="shared" si="2"/>
        <v>2.5569950000000001</v>
      </c>
      <c r="AU17" s="137">
        <f t="shared" si="2"/>
        <v>37.294279508324998</v>
      </c>
      <c r="AV17" s="137">
        <f t="shared" si="2"/>
        <v>3.9623640000000002E-2</v>
      </c>
      <c r="AW17" s="137">
        <f t="shared" si="2"/>
        <v>2.5237345000000002</v>
      </c>
      <c r="AX17" s="137">
        <f t="shared" si="2"/>
        <v>0.82699750000000005</v>
      </c>
      <c r="AY17" s="137">
        <f t="shared" si="2"/>
        <v>0.13480285</v>
      </c>
      <c r="AZ17" s="137">
        <f t="shared" si="2"/>
        <v>3.5940152499999999E-4</v>
      </c>
      <c r="BA17" s="137">
        <f t="shared" si="2"/>
        <v>0.57920677500000006</v>
      </c>
      <c r="BB17" s="137">
        <f t="shared" si="2"/>
        <v>0.17141950000000003</v>
      </c>
      <c r="BC17" s="137">
        <f t="shared" si="2"/>
        <v>0.11725455000000001</v>
      </c>
      <c r="BD17" s="137">
        <f t="shared" si="2"/>
        <v>3.0859272500000003E-4</v>
      </c>
      <c r="BE17" s="137">
        <f t="shared" si="2"/>
        <v>0.17575389999999999</v>
      </c>
      <c r="BF17" s="137">
        <f t="shared" si="2"/>
        <v>-1.6421807500000002E-4</v>
      </c>
      <c r="BG17" s="137">
        <f t="shared" si="2"/>
        <v>3.6785210000000005E-7</v>
      </c>
      <c r="BH17" s="137">
        <f t="shared" si="2"/>
        <v>3.0930760000000002E-3</v>
      </c>
      <c r="BI17" s="137">
        <f t="shared" si="2"/>
        <v>6.6681282499999996E-3</v>
      </c>
      <c r="BJ17" s="137">
        <f t="shared" si="3"/>
        <v>6.3617855000000006E-3</v>
      </c>
      <c r="BK17" s="137">
        <f t="shared" si="3"/>
        <v>3.8501662500000001E-4</v>
      </c>
      <c r="BL17" s="137">
        <f t="shared" si="3"/>
        <v>6.5494590000000005E-2</v>
      </c>
      <c r="BM17" s="137">
        <f t="shared" si="3"/>
        <v>7.00991375E-3</v>
      </c>
    </row>
    <row r="18" spans="1:65" x14ac:dyDescent="0.25">
      <c r="A18" s="149">
        <v>322</v>
      </c>
      <c r="B18" s="149">
        <v>29</v>
      </c>
      <c r="C18" s="61">
        <v>47.479692999999997</v>
      </c>
      <c r="D18" s="61">
        <v>-122.207922</v>
      </c>
      <c r="E18" s="61" t="s">
        <v>265</v>
      </c>
      <c r="F18" s="149">
        <v>29</v>
      </c>
      <c r="G18" s="61" t="s">
        <v>565</v>
      </c>
      <c r="H18" s="61" t="s">
        <v>719</v>
      </c>
      <c r="I18" s="61">
        <v>47.450249999999997</v>
      </c>
      <c r="J18" s="61">
        <v>-122.308817</v>
      </c>
      <c r="K18" s="61">
        <v>8.295129287</v>
      </c>
      <c r="L18" s="61">
        <v>11.608000000000001</v>
      </c>
      <c r="M18" s="61" t="s">
        <v>617</v>
      </c>
      <c r="N18" s="149">
        <v>28</v>
      </c>
      <c r="O18" s="149">
        <v>29</v>
      </c>
      <c r="P18" s="61" t="s">
        <v>565</v>
      </c>
      <c r="Q18" s="61" t="s">
        <v>559</v>
      </c>
      <c r="R18" s="61">
        <v>47.450249900000003</v>
      </c>
      <c r="S18" s="61">
        <v>-122.30881650000001</v>
      </c>
      <c r="T18" s="61">
        <v>11.608000000000001</v>
      </c>
      <c r="U18" s="61" t="s">
        <v>617</v>
      </c>
      <c r="V18" s="61" t="s">
        <v>617</v>
      </c>
      <c r="W18" s="61"/>
      <c r="Y18" s="137">
        <f>Summary_LCIA!H$32</f>
        <v>0.33979999999999999</v>
      </c>
      <c r="Z18" s="137">
        <f>Summary_LCIA!Q$32</f>
        <v>4.9560504329999997</v>
      </c>
      <c r="AA18" s="137">
        <f>Summary_LCIA!R$32</f>
        <v>5.2655999999999996E-3</v>
      </c>
      <c r="AB18" s="137">
        <f>Summary_LCIA!S$32</f>
        <v>0.33538000000000001</v>
      </c>
      <c r="AC18" s="137">
        <f>Summary_LCIA!T$32</f>
        <v>0.1099</v>
      </c>
      <c r="AD18" s="137">
        <f>Summary_LCIA!U$32</f>
        <v>1.7913999999999999E-2</v>
      </c>
      <c r="AE18" s="137">
        <f>Summary_LCIA!V$32</f>
        <v>4.7760999999999999E-5</v>
      </c>
      <c r="AF18" s="137">
        <f>Summary_LCIA!W$32</f>
        <v>7.6970999999999998E-2</v>
      </c>
      <c r="AG18" s="137">
        <f>Summary_LCIA!X$32</f>
        <v>2.2780000000000002E-2</v>
      </c>
      <c r="AH18" s="137">
        <f>Summary_LCIA!Y$32</f>
        <v>1.5582E-2</v>
      </c>
      <c r="AI18" s="137">
        <f>Summary_LCIA!Z$32</f>
        <v>4.1009E-5</v>
      </c>
      <c r="AJ18" s="137">
        <f>Summary_LCIA!AA$32</f>
        <v>2.3355999999999998E-2</v>
      </c>
      <c r="AK18" s="137">
        <f>Summary_LCIA!AB$32</f>
        <v>-2.1823000000000001E-5</v>
      </c>
      <c r="AL18" s="137">
        <f>Summary_LCIA!AC$32</f>
        <v>4.8884000000000003E-8</v>
      </c>
      <c r="AM18" s="137">
        <f>Summary_LCIA!AD$32</f>
        <v>4.1103999999999999E-4</v>
      </c>
      <c r="AN18" s="137">
        <f>Summary_LCIA!AE$32</f>
        <v>8.8612999999999995E-4</v>
      </c>
      <c r="AO18" s="137">
        <f>Summary_LCIA!AF$32</f>
        <v>8.4542000000000005E-4</v>
      </c>
      <c r="AP18" s="137">
        <f>Summary_LCIA!AG$32</f>
        <v>5.1165000000000002E-5</v>
      </c>
      <c r="AQ18" s="137">
        <f>Summary_LCIA!AH$32</f>
        <v>8.7036000000000006E-3</v>
      </c>
      <c r="AR18" s="137">
        <f>Summary_LCIA!AI$32</f>
        <v>9.3154999999999996E-4</v>
      </c>
      <c r="AT18" s="137">
        <f t="shared" si="2"/>
        <v>3.9443983999999999</v>
      </c>
      <c r="AU18" s="137">
        <f t="shared" si="2"/>
        <v>57.529833426263998</v>
      </c>
      <c r="AV18" s="137">
        <f t="shared" si="2"/>
        <v>6.1123084799999998E-2</v>
      </c>
      <c r="AW18" s="137">
        <f t="shared" si="2"/>
        <v>3.8930910400000003</v>
      </c>
      <c r="AX18" s="137">
        <f t="shared" si="2"/>
        <v>1.2757191999999999</v>
      </c>
      <c r="AY18" s="137">
        <f t="shared" si="2"/>
        <v>0.207945712</v>
      </c>
      <c r="AZ18" s="137">
        <f t="shared" si="2"/>
        <v>5.5440968800000003E-4</v>
      </c>
      <c r="BA18" s="137">
        <f t="shared" si="2"/>
        <v>0.89347936800000005</v>
      </c>
      <c r="BB18" s="137">
        <f t="shared" si="2"/>
        <v>0.26443024000000004</v>
      </c>
      <c r="BC18" s="137">
        <f t="shared" si="2"/>
        <v>0.180875856</v>
      </c>
      <c r="BD18" s="137">
        <f t="shared" si="2"/>
        <v>4.76032472E-4</v>
      </c>
      <c r="BE18" s="137">
        <f t="shared" si="2"/>
        <v>0.27111644800000001</v>
      </c>
      <c r="BF18" s="137">
        <f t="shared" si="2"/>
        <v>-2.5332138400000002E-4</v>
      </c>
      <c r="BG18" s="137">
        <f t="shared" si="2"/>
        <v>5.6744547200000005E-7</v>
      </c>
      <c r="BH18" s="137">
        <f t="shared" si="2"/>
        <v>4.77135232E-3</v>
      </c>
      <c r="BI18" s="137">
        <f t="shared" ref="BI18:BM33" si="4">$T18*AN18</f>
        <v>1.028619704E-2</v>
      </c>
      <c r="BJ18" s="137">
        <f t="shared" si="4"/>
        <v>9.8136353600000014E-3</v>
      </c>
      <c r="BK18" s="137">
        <f t="shared" si="4"/>
        <v>5.9392332000000002E-4</v>
      </c>
      <c r="BL18" s="137">
        <f t="shared" si="4"/>
        <v>0.10103138880000001</v>
      </c>
      <c r="BM18" s="137">
        <f t="shared" si="4"/>
        <v>1.08134324E-2</v>
      </c>
    </row>
    <row r="19" spans="1:65" x14ac:dyDescent="0.25">
      <c r="A19" s="149">
        <v>283</v>
      </c>
      <c r="B19" s="149">
        <v>43</v>
      </c>
      <c r="C19" s="61">
        <v>40.712775999999998</v>
      </c>
      <c r="D19" s="61">
        <v>-74.005954000000003</v>
      </c>
      <c r="E19" s="61" t="s">
        <v>265</v>
      </c>
      <c r="F19" s="149">
        <v>43</v>
      </c>
      <c r="G19" s="61" t="s">
        <v>565</v>
      </c>
      <c r="H19" s="61" t="s">
        <v>632</v>
      </c>
      <c r="I19" s="61">
        <v>40.689531000000002</v>
      </c>
      <c r="J19" s="61">
        <v>-74.174462000000005</v>
      </c>
      <c r="K19" s="61">
        <v>15.29610297</v>
      </c>
      <c r="L19" s="61">
        <v>21.715</v>
      </c>
      <c r="M19" s="61" t="s">
        <v>617</v>
      </c>
      <c r="N19" s="149">
        <v>42</v>
      </c>
      <c r="O19" s="149">
        <v>43</v>
      </c>
      <c r="P19" s="61" t="s">
        <v>565</v>
      </c>
      <c r="Q19" s="61" t="s">
        <v>555</v>
      </c>
      <c r="R19" s="61">
        <v>40.6895314</v>
      </c>
      <c r="S19" s="61">
        <v>-74.174462399999996</v>
      </c>
      <c r="T19" s="61">
        <v>21.715</v>
      </c>
      <c r="U19" s="61" t="s">
        <v>617</v>
      </c>
      <c r="V19" s="61" t="s">
        <v>617</v>
      </c>
      <c r="W19" s="61"/>
      <c r="Y19" s="137">
        <f>Summary_LCIA!H$32</f>
        <v>0.33979999999999999</v>
      </c>
      <c r="Z19" s="137">
        <f>Summary_LCIA!Q$32</f>
        <v>4.9560504329999997</v>
      </c>
      <c r="AA19" s="137">
        <f>Summary_LCIA!R$32</f>
        <v>5.2655999999999996E-3</v>
      </c>
      <c r="AB19" s="137">
        <f>Summary_LCIA!S$32</f>
        <v>0.33538000000000001</v>
      </c>
      <c r="AC19" s="137">
        <f>Summary_LCIA!T$32</f>
        <v>0.1099</v>
      </c>
      <c r="AD19" s="137">
        <f>Summary_LCIA!U$32</f>
        <v>1.7913999999999999E-2</v>
      </c>
      <c r="AE19" s="137">
        <f>Summary_LCIA!V$32</f>
        <v>4.7760999999999999E-5</v>
      </c>
      <c r="AF19" s="137">
        <f>Summary_LCIA!W$32</f>
        <v>7.6970999999999998E-2</v>
      </c>
      <c r="AG19" s="137">
        <f>Summary_LCIA!X$32</f>
        <v>2.2780000000000002E-2</v>
      </c>
      <c r="AH19" s="137">
        <f>Summary_LCIA!Y$32</f>
        <v>1.5582E-2</v>
      </c>
      <c r="AI19" s="137">
        <f>Summary_LCIA!Z$32</f>
        <v>4.1009E-5</v>
      </c>
      <c r="AJ19" s="137">
        <f>Summary_LCIA!AA$32</f>
        <v>2.3355999999999998E-2</v>
      </c>
      <c r="AK19" s="137">
        <f>Summary_LCIA!AB$32</f>
        <v>-2.1823000000000001E-5</v>
      </c>
      <c r="AL19" s="137">
        <f>Summary_LCIA!AC$32</f>
        <v>4.8884000000000003E-8</v>
      </c>
      <c r="AM19" s="137">
        <f>Summary_LCIA!AD$32</f>
        <v>4.1103999999999999E-4</v>
      </c>
      <c r="AN19" s="137">
        <f>Summary_LCIA!AE$32</f>
        <v>8.8612999999999995E-4</v>
      </c>
      <c r="AO19" s="137">
        <f>Summary_LCIA!AF$32</f>
        <v>8.4542000000000005E-4</v>
      </c>
      <c r="AP19" s="137">
        <f>Summary_LCIA!AG$32</f>
        <v>5.1165000000000002E-5</v>
      </c>
      <c r="AQ19" s="137">
        <f>Summary_LCIA!AH$32</f>
        <v>8.7036000000000006E-3</v>
      </c>
      <c r="AR19" s="137">
        <f>Summary_LCIA!AI$32</f>
        <v>9.3154999999999996E-4</v>
      </c>
      <c r="AT19" s="137">
        <f t="shared" ref="AT19:BI34" si="5">$T19*Y19</f>
        <v>7.3787569999999993</v>
      </c>
      <c r="AU19" s="137">
        <f t="shared" si="5"/>
        <v>107.620635152595</v>
      </c>
      <c r="AV19" s="137">
        <f t="shared" si="5"/>
        <v>0.114342504</v>
      </c>
      <c r="AW19" s="137">
        <f t="shared" si="5"/>
        <v>7.2827767000000003</v>
      </c>
      <c r="AX19" s="137">
        <f t="shared" si="5"/>
        <v>2.3864784999999999</v>
      </c>
      <c r="AY19" s="137">
        <f t="shared" si="5"/>
        <v>0.38900250999999997</v>
      </c>
      <c r="AZ19" s="137">
        <f t="shared" si="5"/>
        <v>1.037130115E-3</v>
      </c>
      <c r="BA19" s="137">
        <f t="shared" si="5"/>
        <v>1.6714252649999999</v>
      </c>
      <c r="BB19" s="137">
        <f t="shared" si="5"/>
        <v>0.49466770000000004</v>
      </c>
      <c r="BC19" s="137">
        <f t="shared" si="5"/>
        <v>0.33836313000000001</v>
      </c>
      <c r="BD19" s="137">
        <f t="shared" si="5"/>
        <v>8.9051043499999995E-4</v>
      </c>
      <c r="BE19" s="137">
        <f t="shared" si="5"/>
        <v>0.50717553999999998</v>
      </c>
      <c r="BF19" s="137">
        <f t="shared" si="5"/>
        <v>-4.7388644500000003E-4</v>
      </c>
      <c r="BG19" s="137">
        <f t="shared" si="5"/>
        <v>1.0615160600000002E-6</v>
      </c>
      <c r="BH19" s="137">
        <f t="shared" si="5"/>
        <v>8.9257335999999993E-3</v>
      </c>
      <c r="BI19" s="137">
        <f t="shared" si="5"/>
        <v>1.924231295E-2</v>
      </c>
      <c r="BJ19" s="137">
        <f t="shared" si="4"/>
        <v>1.8358295300000001E-2</v>
      </c>
      <c r="BK19" s="137">
        <f t="shared" si="4"/>
        <v>1.111047975E-3</v>
      </c>
      <c r="BL19" s="137">
        <f t="shared" si="4"/>
        <v>0.18899867400000001</v>
      </c>
      <c r="BM19" s="137">
        <f t="shared" si="4"/>
        <v>2.0228608249999998E-2</v>
      </c>
    </row>
    <row r="20" spans="1:65" x14ac:dyDescent="0.25">
      <c r="A20" s="149">
        <v>284</v>
      </c>
      <c r="B20" s="149">
        <v>43</v>
      </c>
      <c r="C20" s="61">
        <v>40.712775999999998</v>
      </c>
      <c r="D20" s="61">
        <v>-74.005954000000003</v>
      </c>
      <c r="E20" s="61" t="s">
        <v>265</v>
      </c>
      <c r="F20" s="149">
        <v>43</v>
      </c>
      <c r="G20" s="61" t="s">
        <v>565</v>
      </c>
      <c r="H20" s="61" t="s">
        <v>632</v>
      </c>
      <c r="I20" s="61">
        <v>40.689531000000002</v>
      </c>
      <c r="J20" s="61">
        <v>-74.174462000000005</v>
      </c>
      <c r="K20" s="61">
        <v>15.29610297</v>
      </c>
      <c r="L20" s="61">
        <v>21.715</v>
      </c>
      <c r="M20" s="61" t="s">
        <v>617</v>
      </c>
      <c r="N20" s="149">
        <v>42</v>
      </c>
      <c r="O20" s="149">
        <v>43</v>
      </c>
      <c r="P20" s="61" t="s">
        <v>565</v>
      </c>
      <c r="Q20" s="61" t="s">
        <v>555</v>
      </c>
      <c r="R20" s="61">
        <v>40.6895314</v>
      </c>
      <c r="S20" s="61">
        <v>-74.174462399999996</v>
      </c>
      <c r="T20" s="61">
        <v>21.715</v>
      </c>
      <c r="U20" s="61" t="s">
        <v>617</v>
      </c>
      <c r="V20" s="61" t="s">
        <v>617</v>
      </c>
      <c r="W20" s="61"/>
      <c r="Y20" s="137">
        <f>Summary_LCIA!H$32</f>
        <v>0.33979999999999999</v>
      </c>
      <c r="Z20" s="137">
        <f>Summary_LCIA!Q$32</f>
        <v>4.9560504329999997</v>
      </c>
      <c r="AA20" s="137">
        <f>Summary_LCIA!R$32</f>
        <v>5.2655999999999996E-3</v>
      </c>
      <c r="AB20" s="137">
        <f>Summary_LCIA!S$32</f>
        <v>0.33538000000000001</v>
      </c>
      <c r="AC20" s="137">
        <f>Summary_LCIA!T$32</f>
        <v>0.1099</v>
      </c>
      <c r="AD20" s="137">
        <f>Summary_LCIA!U$32</f>
        <v>1.7913999999999999E-2</v>
      </c>
      <c r="AE20" s="137">
        <f>Summary_LCIA!V$32</f>
        <v>4.7760999999999999E-5</v>
      </c>
      <c r="AF20" s="137">
        <f>Summary_LCIA!W$32</f>
        <v>7.6970999999999998E-2</v>
      </c>
      <c r="AG20" s="137">
        <f>Summary_LCIA!X$32</f>
        <v>2.2780000000000002E-2</v>
      </c>
      <c r="AH20" s="137">
        <f>Summary_LCIA!Y$32</f>
        <v>1.5582E-2</v>
      </c>
      <c r="AI20" s="137">
        <f>Summary_LCIA!Z$32</f>
        <v>4.1009E-5</v>
      </c>
      <c r="AJ20" s="137">
        <f>Summary_LCIA!AA$32</f>
        <v>2.3355999999999998E-2</v>
      </c>
      <c r="AK20" s="137">
        <f>Summary_LCIA!AB$32</f>
        <v>-2.1823000000000001E-5</v>
      </c>
      <c r="AL20" s="137">
        <f>Summary_LCIA!AC$32</f>
        <v>4.8884000000000003E-8</v>
      </c>
      <c r="AM20" s="137">
        <f>Summary_LCIA!AD$32</f>
        <v>4.1103999999999999E-4</v>
      </c>
      <c r="AN20" s="137">
        <f>Summary_LCIA!AE$32</f>
        <v>8.8612999999999995E-4</v>
      </c>
      <c r="AO20" s="137">
        <f>Summary_LCIA!AF$32</f>
        <v>8.4542000000000005E-4</v>
      </c>
      <c r="AP20" s="137">
        <f>Summary_LCIA!AG$32</f>
        <v>5.1165000000000002E-5</v>
      </c>
      <c r="AQ20" s="137">
        <f>Summary_LCIA!AH$32</f>
        <v>8.7036000000000006E-3</v>
      </c>
      <c r="AR20" s="137">
        <f>Summary_LCIA!AI$32</f>
        <v>9.3154999999999996E-4</v>
      </c>
      <c r="AT20" s="137">
        <f t="shared" si="5"/>
        <v>7.3787569999999993</v>
      </c>
      <c r="AU20" s="137">
        <f t="shared" si="5"/>
        <v>107.620635152595</v>
      </c>
      <c r="AV20" s="137">
        <f t="shared" si="5"/>
        <v>0.114342504</v>
      </c>
      <c r="AW20" s="137">
        <f t="shared" si="5"/>
        <v>7.2827767000000003</v>
      </c>
      <c r="AX20" s="137">
        <f t="shared" si="5"/>
        <v>2.3864784999999999</v>
      </c>
      <c r="AY20" s="137">
        <f t="shared" si="5"/>
        <v>0.38900250999999997</v>
      </c>
      <c r="AZ20" s="137">
        <f t="shared" si="5"/>
        <v>1.037130115E-3</v>
      </c>
      <c r="BA20" s="137">
        <f t="shared" si="5"/>
        <v>1.6714252649999999</v>
      </c>
      <c r="BB20" s="137">
        <f t="shared" si="5"/>
        <v>0.49466770000000004</v>
      </c>
      <c r="BC20" s="137">
        <f t="shared" si="5"/>
        <v>0.33836313000000001</v>
      </c>
      <c r="BD20" s="137">
        <f t="shared" si="5"/>
        <v>8.9051043499999995E-4</v>
      </c>
      <c r="BE20" s="137">
        <f t="shared" si="5"/>
        <v>0.50717553999999998</v>
      </c>
      <c r="BF20" s="137">
        <f t="shared" si="5"/>
        <v>-4.7388644500000003E-4</v>
      </c>
      <c r="BG20" s="137">
        <f t="shared" si="5"/>
        <v>1.0615160600000002E-6</v>
      </c>
      <c r="BH20" s="137">
        <f t="shared" si="5"/>
        <v>8.9257335999999993E-3</v>
      </c>
      <c r="BI20" s="137">
        <f t="shared" si="5"/>
        <v>1.924231295E-2</v>
      </c>
      <c r="BJ20" s="137">
        <f t="shared" si="4"/>
        <v>1.8358295300000001E-2</v>
      </c>
      <c r="BK20" s="137">
        <f t="shared" si="4"/>
        <v>1.111047975E-3</v>
      </c>
      <c r="BL20" s="137">
        <f t="shared" si="4"/>
        <v>0.18899867400000001</v>
      </c>
      <c r="BM20" s="137">
        <f t="shared" si="4"/>
        <v>2.0228608249999998E-2</v>
      </c>
    </row>
    <row r="21" spans="1:65" x14ac:dyDescent="0.25">
      <c r="A21" s="149">
        <v>285</v>
      </c>
      <c r="B21" s="149">
        <v>43</v>
      </c>
      <c r="C21" s="61">
        <v>40.712775000000001</v>
      </c>
      <c r="D21" s="61">
        <v>-74.005972999999997</v>
      </c>
      <c r="E21" s="61" t="s">
        <v>265</v>
      </c>
      <c r="F21" s="149">
        <v>43</v>
      </c>
      <c r="G21" s="61" t="s">
        <v>565</v>
      </c>
      <c r="H21" s="61" t="s">
        <v>632</v>
      </c>
      <c r="I21" s="61">
        <v>40.689531000000002</v>
      </c>
      <c r="J21" s="61">
        <v>-74.174462000000005</v>
      </c>
      <c r="K21" s="61">
        <v>15.294524689999999</v>
      </c>
      <c r="L21" s="61">
        <v>21.716000000000001</v>
      </c>
      <c r="M21" s="61" t="s">
        <v>617</v>
      </c>
      <c r="N21" s="149">
        <v>42</v>
      </c>
      <c r="O21" s="149">
        <v>43</v>
      </c>
      <c r="P21" s="61" t="s">
        <v>565</v>
      </c>
      <c r="Q21" s="61" t="s">
        <v>555</v>
      </c>
      <c r="R21" s="61">
        <v>40.6895314</v>
      </c>
      <c r="S21" s="61">
        <v>-74.174462399999996</v>
      </c>
      <c r="T21" s="61">
        <v>21.716999999999999</v>
      </c>
      <c r="U21" s="61" t="s">
        <v>617</v>
      </c>
      <c r="V21" s="61" t="s">
        <v>617</v>
      </c>
      <c r="W21" s="61"/>
      <c r="Y21" s="137">
        <f>Summary_LCIA!H$32</f>
        <v>0.33979999999999999</v>
      </c>
      <c r="Z21" s="137">
        <f>Summary_LCIA!Q$32</f>
        <v>4.9560504329999997</v>
      </c>
      <c r="AA21" s="137">
        <f>Summary_LCIA!R$32</f>
        <v>5.2655999999999996E-3</v>
      </c>
      <c r="AB21" s="137">
        <f>Summary_LCIA!S$32</f>
        <v>0.33538000000000001</v>
      </c>
      <c r="AC21" s="137">
        <f>Summary_LCIA!T$32</f>
        <v>0.1099</v>
      </c>
      <c r="AD21" s="137">
        <f>Summary_LCIA!U$32</f>
        <v>1.7913999999999999E-2</v>
      </c>
      <c r="AE21" s="137">
        <f>Summary_LCIA!V$32</f>
        <v>4.7760999999999999E-5</v>
      </c>
      <c r="AF21" s="137">
        <f>Summary_LCIA!W$32</f>
        <v>7.6970999999999998E-2</v>
      </c>
      <c r="AG21" s="137">
        <f>Summary_LCIA!X$32</f>
        <v>2.2780000000000002E-2</v>
      </c>
      <c r="AH21" s="137">
        <f>Summary_LCIA!Y$32</f>
        <v>1.5582E-2</v>
      </c>
      <c r="AI21" s="137">
        <f>Summary_LCIA!Z$32</f>
        <v>4.1009E-5</v>
      </c>
      <c r="AJ21" s="137">
        <f>Summary_LCIA!AA$32</f>
        <v>2.3355999999999998E-2</v>
      </c>
      <c r="AK21" s="137">
        <f>Summary_LCIA!AB$32</f>
        <v>-2.1823000000000001E-5</v>
      </c>
      <c r="AL21" s="137">
        <f>Summary_LCIA!AC$32</f>
        <v>4.8884000000000003E-8</v>
      </c>
      <c r="AM21" s="137">
        <f>Summary_LCIA!AD$32</f>
        <v>4.1103999999999999E-4</v>
      </c>
      <c r="AN21" s="137">
        <f>Summary_LCIA!AE$32</f>
        <v>8.8612999999999995E-4</v>
      </c>
      <c r="AO21" s="137">
        <f>Summary_LCIA!AF$32</f>
        <v>8.4542000000000005E-4</v>
      </c>
      <c r="AP21" s="137">
        <f>Summary_LCIA!AG$32</f>
        <v>5.1165000000000002E-5</v>
      </c>
      <c r="AQ21" s="137">
        <f>Summary_LCIA!AH$32</f>
        <v>8.7036000000000006E-3</v>
      </c>
      <c r="AR21" s="137">
        <f>Summary_LCIA!AI$32</f>
        <v>9.3154999999999996E-4</v>
      </c>
      <c r="AT21" s="137">
        <f t="shared" si="5"/>
        <v>7.3794365999999991</v>
      </c>
      <c r="AU21" s="137">
        <f t="shared" si="5"/>
        <v>107.63054725346099</v>
      </c>
      <c r="AV21" s="137">
        <f t="shared" si="5"/>
        <v>0.11435303519999998</v>
      </c>
      <c r="AW21" s="137">
        <f t="shared" si="5"/>
        <v>7.2834474599999997</v>
      </c>
      <c r="AX21" s="137">
        <f t="shared" si="5"/>
        <v>2.3866982999999999</v>
      </c>
      <c r="AY21" s="137">
        <f t="shared" si="5"/>
        <v>0.38903833799999998</v>
      </c>
      <c r="AZ21" s="137">
        <f t="shared" si="5"/>
        <v>1.037225637E-3</v>
      </c>
      <c r="BA21" s="137">
        <f t="shared" si="5"/>
        <v>1.671579207</v>
      </c>
      <c r="BB21" s="137">
        <f t="shared" si="5"/>
        <v>0.49471325999999999</v>
      </c>
      <c r="BC21" s="137">
        <f t="shared" si="5"/>
        <v>0.33839429399999998</v>
      </c>
      <c r="BD21" s="137">
        <f t="shared" si="5"/>
        <v>8.9059245299999998E-4</v>
      </c>
      <c r="BE21" s="137">
        <f t="shared" si="5"/>
        <v>0.50722225199999993</v>
      </c>
      <c r="BF21" s="137">
        <f t="shared" si="5"/>
        <v>-4.7393009099999997E-4</v>
      </c>
      <c r="BG21" s="137">
        <f t="shared" si="5"/>
        <v>1.0616138279999999E-6</v>
      </c>
      <c r="BH21" s="137">
        <f t="shared" si="5"/>
        <v>8.92655568E-3</v>
      </c>
      <c r="BI21" s="137">
        <f t="shared" si="5"/>
        <v>1.9244085209999998E-2</v>
      </c>
      <c r="BJ21" s="137">
        <f t="shared" si="4"/>
        <v>1.8359986139999999E-2</v>
      </c>
      <c r="BK21" s="137">
        <f t="shared" si="4"/>
        <v>1.1111503050000001E-3</v>
      </c>
      <c r="BL21" s="137">
        <f t="shared" si="4"/>
        <v>0.18901608119999999</v>
      </c>
      <c r="BM21" s="137">
        <f t="shared" si="4"/>
        <v>2.0230471349999998E-2</v>
      </c>
    </row>
    <row r="22" spans="1:65" x14ac:dyDescent="0.25">
      <c r="A22" s="149">
        <v>336</v>
      </c>
      <c r="B22" s="149">
        <v>29</v>
      </c>
      <c r="C22" s="61">
        <v>47.606209</v>
      </c>
      <c r="D22" s="61">
        <v>-122.332071</v>
      </c>
      <c r="E22" s="61" t="s">
        <v>265</v>
      </c>
      <c r="F22" s="149">
        <v>29</v>
      </c>
      <c r="G22" s="61" t="s">
        <v>565</v>
      </c>
      <c r="H22" s="61" t="s">
        <v>719</v>
      </c>
      <c r="I22" s="61">
        <v>47.450249999999997</v>
      </c>
      <c r="J22" s="61">
        <v>-122.308817</v>
      </c>
      <c r="K22" s="61">
        <v>34.697320689999998</v>
      </c>
      <c r="L22" s="61">
        <v>22.074999999999999</v>
      </c>
      <c r="M22" s="61" t="s">
        <v>617</v>
      </c>
      <c r="N22" s="149">
        <v>28</v>
      </c>
      <c r="O22" s="149">
        <v>29</v>
      </c>
      <c r="P22" s="61" t="s">
        <v>565</v>
      </c>
      <c r="Q22" s="61" t="s">
        <v>559</v>
      </c>
      <c r="R22" s="61">
        <v>47.450249900000003</v>
      </c>
      <c r="S22" s="61">
        <v>-122.30881650000001</v>
      </c>
      <c r="T22" s="61">
        <v>22.074999999999999</v>
      </c>
      <c r="U22" s="61" t="s">
        <v>617</v>
      </c>
      <c r="V22" s="61" t="s">
        <v>617</v>
      </c>
      <c r="W22" s="61"/>
      <c r="Y22" s="137">
        <f>Summary_LCIA!H$32</f>
        <v>0.33979999999999999</v>
      </c>
      <c r="Z22" s="137">
        <f>Summary_LCIA!Q$32</f>
        <v>4.9560504329999997</v>
      </c>
      <c r="AA22" s="137">
        <f>Summary_LCIA!R$32</f>
        <v>5.2655999999999996E-3</v>
      </c>
      <c r="AB22" s="137">
        <f>Summary_LCIA!S$32</f>
        <v>0.33538000000000001</v>
      </c>
      <c r="AC22" s="137">
        <f>Summary_LCIA!T$32</f>
        <v>0.1099</v>
      </c>
      <c r="AD22" s="137">
        <f>Summary_LCIA!U$32</f>
        <v>1.7913999999999999E-2</v>
      </c>
      <c r="AE22" s="137">
        <f>Summary_LCIA!V$32</f>
        <v>4.7760999999999999E-5</v>
      </c>
      <c r="AF22" s="137">
        <f>Summary_LCIA!W$32</f>
        <v>7.6970999999999998E-2</v>
      </c>
      <c r="AG22" s="137">
        <f>Summary_LCIA!X$32</f>
        <v>2.2780000000000002E-2</v>
      </c>
      <c r="AH22" s="137">
        <f>Summary_LCIA!Y$32</f>
        <v>1.5582E-2</v>
      </c>
      <c r="AI22" s="137">
        <f>Summary_LCIA!Z$32</f>
        <v>4.1009E-5</v>
      </c>
      <c r="AJ22" s="137">
        <f>Summary_LCIA!AA$32</f>
        <v>2.3355999999999998E-2</v>
      </c>
      <c r="AK22" s="137">
        <f>Summary_LCIA!AB$32</f>
        <v>-2.1823000000000001E-5</v>
      </c>
      <c r="AL22" s="137">
        <f>Summary_LCIA!AC$32</f>
        <v>4.8884000000000003E-8</v>
      </c>
      <c r="AM22" s="137">
        <f>Summary_LCIA!AD$32</f>
        <v>4.1103999999999999E-4</v>
      </c>
      <c r="AN22" s="137">
        <f>Summary_LCIA!AE$32</f>
        <v>8.8612999999999995E-4</v>
      </c>
      <c r="AO22" s="137">
        <f>Summary_LCIA!AF$32</f>
        <v>8.4542000000000005E-4</v>
      </c>
      <c r="AP22" s="137">
        <f>Summary_LCIA!AG$32</f>
        <v>5.1165000000000002E-5</v>
      </c>
      <c r="AQ22" s="137">
        <f>Summary_LCIA!AH$32</f>
        <v>8.7036000000000006E-3</v>
      </c>
      <c r="AR22" s="137">
        <f>Summary_LCIA!AI$32</f>
        <v>9.3154999999999996E-4</v>
      </c>
      <c r="AT22" s="137">
        <f t="shared" si="5"/>
        <v>7.5010849999999998</v>
      </c>
      <c r="AU22" s="137">
        <f t="shared" si="5"/>
        <v>109.40481330847498</v>
      </c>
      <c r="AV22" s="137">
        <f t="shared" si="5"/>
        <v>0.11623811999999999</v>
      </c>
      <c r="AW22" s="137">
        <f t="shared" si="5"/>
        <v>7.4035134999999999</v>
      </c>
      <c r="AX22" s="137">
        <f t="shared" si="5"/>
        <v>2.4260424999999999</v>
      </c>
      <c r="AY22" s="137">
        <f t="shared" si="5"/>
        <v>0.39545154999999999</v>
      </c>
      <c r="AZ22" s="137">
        <f t="shared" si="5"/>
        <v>1.0543240749999998E-3</v>
      </c>
      <c r="BA22" s="137">
        <f t="shared" si="5"/>
        <v>1.6991348249999998</v>
      </c>
      <c r="BB22" s="137">
        <f t="shared" si="5"/>
        <v>0.50286850000000005</v>
      </c>
      <c r="BC22" s="137">
        <f t="shared" si="5"/>
        <v>0.34397264999999999</v>
      </c>
      <c r="BD22" s="137">
        <f t="shared" si="5"/>
        <v>9.0527367499999996E-4</v>
      </c>
      <c r="BE22" s="137">
        <f t="shared" si="5"/>
        <v>0.51558369999999998</v>
      </c>
      <c r="BF22" s="137">
        <f t="shared" si="5"/>
        <v>-4.8174272499999999E-4</v>
      </c>
      <c r="BG22" s="137">
        <f t="shared" si="5"/>
        <v>1.0791143E-6</v>
      </c>
      <c r="BH22" s="137">
        <f t="shared" si="5"/>
        <v>9.0737079999999998E-3</v>
      </c>
      <c r="BI22" s="137">
        <f t="shared" si="5"/>
        <v>1.9561319749999997E-2</v>
      </c>
      <c r="BJ22" s="137">
        <f t="shared" si="4"/>
        <v>1.8662646500000001E-2</v>
      </c>
      <c r="BK22" s="137">
        <f t="shared" si="4"/>
        <v>1.1294673750000001E-3</v>
      </c>
      <c r="BL22" s="137">
        <f t="shared" si="4"/>
        <v>0.19213197000000001</v>
      </c>
      <c r="BM22" s="137">
        <f t="shared" si="4"/>
        <v>2.0563966249999999E-2</v>
      </c>
    </row>
    <row r="23" spans="1:65" x14ac:dyDescent="0.25">
      <c r="A23" s="149">
        <v>340</v>
      </c>
      <c r="B23" s="149">
        <v>29</v>
      </c>
      <c r="C23" s="61">
        <v>47.606209</v>
      </c>
      <c r="D23" s="61">
        <v>-122.332071</v>
      </c>
      <c r="E23" s="61" t="s">
        <v>265</v>
      </c>
      <c r="F23" s="149">
        <v>29</v>
      </c>
      <c r="G23" s="61" t="s">
        <v>565</v>
      </c>
      <c r="H23" s="61" t="s">
        <v>719</v>
      </c>
      <c r="I23" s="61">
        <v>47.450249999999997</v>
      </c>
      <c r="J23" s="61">
        <v>-122.308817</v>
      </c>
      <c r="K23" s="61">
        <v>34.697320689999998</v>
      </c>
      <c r="L23" s="61">
        <v>22.074999999999999</v>
      </c>
      <c r="M23" s="61" t="s">
        <v>617</v>
      </c>
      <c r="N23" s="149">
        <v>28</v>
      </c>
      <c r="O23" s="149">
        <v>29</v>
      </c>
      <c r="P23" s="61" t="s">
        <v>565</v>
      </c>
      <c r="Q23" s="61" t="s">
        <v>559</v>
      </c>
      <c r="R23" s="61">
        <v>47.450249900000003</v>
      </c>
      <c r="S23" s="61">
        <v>-122.30881650000001</v>
      </c>
      <c r="T23" s="61">
        <v>22.074999999999999</v>
      </c>
      <c r="U23" s="61" t="s">
        <v>617</v>
      </c>
      <c r="V23" s="61" t="s">
        <v>617</v>
      </c>
      <c r="W23" s="61"/>
      <c r="Y23" s="137">
        <f>Summary_LCIA!H$32</f>
        <v>0.33979999999999999</v>
      </c>
      <c r="Z23" s="137">
        <f>Summary_LCIA!Q$32</f>
        <v>4.9560504329999997</v>
      </c>
      <c r="AA23" s="137">
        <f>Summary_LCIA!R$32</f>
        <v>5.2655999999999996E-3</v>
      </c>
      <c r="AB23" s="137">
        <f>Summary_LCIA!S$32</f>
        <v>0.33538000000000001</v>
      </c>
      <c r="AC23" s="137">
        <f>Summary_LCIA!T$32</f>
        <v>0.1099</v>
      </c>
      <c r="AD23" s="137">
        <f>Summary_LCIA!U$32</f>
        <v>1.7913999999999999E-2</v>
      </c>
      <c r="AE23" s="137">
        <f>Summary_LCIA!V$32</f>
        <v>4.7760999999999999E-5</v>
      </c>
      <c r="AF23" s="137">
        <f>Summary_LCIA!W$32</f>
        <v>7.6970999999999998E-2</v>
      </c>
      <c r="AG23" s="137">
        <f>Summary_LCIA!X$32</f>
        <v>2.2780000000000002E-2</v>
      </c>
      <c r="AH23" s="137">
        <f>Summary_LCIA!Y$32</f>
        <v>1.5582E-2</v>
      </c>
      <c r="AI23" s="137">
        <f>Summary_LCIA!Z$32</f>
        <v>4.1009E-5</v>
      </c>
      <c r="AJ23" s="137">
        <f>Summary_LCIA!AA$32</f>
        <v>2.3355999999999998E-2</v>
      </c>
      <c r="AK23" s="137">
        <f>Summary_LCIA!AB$32</f>
        <v>-2.1823000000000001E-5</v>
      </c>
      <c r="AL23" s="137">
        <f>Summary_LCIA!AC$32</f>
        <v>4.8884000000000003E-8</v>
      </c>
      <c r="AM23" s="137">
        <f>Summary_LCIA!AD$32</f>
        <v>4.1103999999999999E-4</v>
      </c>
      <c r="AN23" s="137">
        <f>Summary_LCIA!AE$32</f>
        <v>8.8612999999999995E-4</v>
      </c>
      <c r="AO23" s="137">
        <f>Summary_LCIA!AF$32</f>
        <v>8.4542000000000005E-4</v>
      </c>
      <c r="AP23" s="137">
        <f>Summary_LCIA!AG$32</f>
        <v>5.1165000000000002E-5</v>
      </c>
      <c r="AQ23" s="137">
        <f>Summary_LCIA!AH$32</f>
        <v>8.7036000000000006E-3</v>
      </c>
      <c r="AR23" s="137">
        <f>Summary_LCIA!AI$32</f>
        <v>9.3154999999999996E-4</v>
      </c>
      <c r="AT23" s="137">
        <f t="shared" si="5"/>
        <v>7.5010849999999998</v>
      </c>
      <c r="AU23" s="137">
        <f t="shared" si="5"/>
        <v>109.40481330847498</v>
      </c>
      <c r="AV23" s="137">
        <f t="shared" si="5"/>
        <v>0.11623811999999999</v>
      </c>
      <c r="AW23" s="137">
        <f t="shared" si="5"/>
        <v>7.4035134999999999</v>
      </c>
      <c r="AX23" s="137">
        <f t="shared" si="5"/>
        <v>2.4260424999999999</v>
      </c>
      <c r="AY23" s="137">
        <f t="shared" si="5"/>
        <v>0.39545154999999999</v>
      </c>
      <c r="AZ23" s="137">
        <f t="shared" si="5"/>
        <v>1.0543240749999998E-3</v>
      </c>
      <c r="BA23" s="137">
        <f t="shared" si="5"/>
        <v>1.6991348249999998</v>
      </c>
      <c r="BB23" s="137">
        <f t="shared" si="5"/>
        <v>0.50286850000000005</v>
      </c>
      <c r="BC23" s="137">
        <f t="shared" si="5"/>
        <v>0.34397264999999999</v>
      </c>
      <c r="BD23" s="137">
        <f t="shared" si="5"/>
        <v>9.0527367499999996E-4</v>
      </c>
      <c r="BE23" s="137">
        <f t="shared" si="5"/>
        <v>0.51558369999999998</v>
      </c>
      <c r="BF23" s="137">
        <f t="shared" si="5"/>
        <v>-4.8174272499999999E-4</v>
      </c>
      <c r="BG23" s="137">
        <f t="shared" si="5"/>
        <v>1.0791143E-6</v>
      </c>
      <c r="BH23" s="137">
        <f t="shared" si="5"/>
        <v>9.0737079999999998E-3</v>
      </c>
      <c r="BI23" s="137">
        <f t="shared" si="5"/>
        <v>1.9561319749999997E-2</v>
      </c>
      <c r="BJ23" s="137">
        <f t="shared" si="4"/>
        <v>1.8662646500000001E-2</v>
      </c>
      <c r="BK23" s="137">
        <f t="shared" si="4"/>
        <v>1.1294673750000001E-3</v>
      </c>
      <c r="BL23" s="137">
        <f t="shared" si="4"/>
        <v>0.19213197000000001</v>
      </c>
      <c r="BM23" s="137">
        <f t="shared" si="4"/>
        <v>2.0563966249999999E-2</v>
      </c>
    </row>
    <row r="24" spans="1:65" x14ac:dyDescent="0.25">
      <c r="A24" s="149">
        <v>341</v>
      </c>
      <c r="B24" s="149">
        <v>29</v>
      </c>
      <c r="C24" s="61">
        <v>47.606209</v>
      </c>
      <c r="D24" s="61">
        <v>-122.332071</v>
      </c>
      <c r="E24" s="61" t="s">
        <v>265</v>
      </c>
      <c r="F24" s="149">
        <v>29</v>
      </c>
      <c r="G24" s="61" t="s">
        <v>565</v>
      </c>
      <c r="H24" s="61" t="s">
        <v>719</v>
      </c>
      <c r="I24" s="61">
        <v>47.450249999999997</v>
      </c>
      <c r="J24" s="61">
        <v>-122.308817</v>
      </c>
      <c r="K24" s="61">
        <v>34.697320689999998</v>
      </c>
      <c r="L24" s="61">
        <v>22.074999999999999</v>
      </c>
      <c r="M24" s="61" t="s">
        <v>617</v>
      </c>
      <c r="N24" s="149">
        <v>28</v>
      </c>
      <c r="O24" s="149">
        <v>29</v>
      </c>
      <c r="P24" s="61" t="s">
        <v>565</v>
      </c>
      <c r="Q24" s="61" t="s">
        <v>559</v>
      </c>
      <c r="R24" s="61">
        <v>47.450249900000003</v>
      </c>
      <c r="S24" s="61">
        <v>-122.30881650000001</v>
      </c>
      <c r="T24" s="61">
        <v>22.074999999999999</v>
      </c>
      <c r="U24" s="61" t="s">
        <v>617</v>
      </c>
      <c r="V24" s="61" t="s">
        <v>617</v>
      </c>
      <c r="W24" s="61"/>
      <c r="Y24" s="137">
        <f>Summary_LCIA!H$32</f>
        <v>0.33979999999999999</v>
      </c>
      <c r="Z24" s="137">
        <f>Summary_LCIA!Q$32</f>
        <v>4.9560504329999997</v>
      </c>
      <c r="AA24" s="137">
        <f>Summary_LCIA!R$32</f>
        <v>5.2655999999999996E-3</v>
      </c>
      <c r="AB24" s="137">
        <f>Summary_LCIA!S$32</f>
        <v>0.33538000000000001</v>
      </c>
      <c r="AC24" s="137">
        <f>Summary_LCIA!T$32</f>
        <v>0.1099</v>
      </c>
      <c r="AD24" s="137">
        <f>Summary_LCIA!U$32</f>
        <v>1.7913999999999999E-2</v>
      </c>
      <c r="AE24" s="137">
        <f>Summary_LCIA!V$32</f>
        <v>4.7760999999999999E-5</v>
      </c>
      <c r="AF24" s="137">
        <f>Summary_LCIA!W$32</f>
        <v>7.6970999999999998E-2</v>
      </c>
      <c r="AG24" s="137">
        <f>Summary_LCIA!X$32</f>
        <v>2.2780000000000002E-2</v>
      </c>
      <c r="AH24" s="137">
        <f>Summary_LCIA!Y$32</f>
        <v>1.5582E-2</v>
      </c>
      <c r="AI24" s="137">
        <f>Summary_LCIA!Z$32</f>
        <v>4.1009E-5</v>
      </c>
      <c r="AJ24" s="137">
        <f>Summary_LCIA!AA$32</f>
        <v>2.3355999999999998E-2</v>
      </c>
      <c r="AK24" s="137">
        <f>Summary_LCIA!AB$32</f>
        <v>-2.1823000000000001E-5</v>
      </c>
      <c r="AL24" s="137">
        <f>Summary_LCIA!AC$32</f>
        <v>4.8884000000000003E-8</v>
      </c>
      <c r="AM24" s="137">
        <f>Summary_LCIA!AD$32</f>
        <v>4.1103999999999999E-4</v>
      </c>
      <c r="AN24" s="137">
        <f>Summary_LCIA!AE$32</f>
        <v>8.8612999999999995E-4</v>
      </c>
      <c r="AO24" s="137">
        <f>Summary_LCIA!AF$32</f>
        <v>8.4542000000000005E-4</v>
      </c>
      <c r="AP24" s="137">
        <f>Summary_LCIA!AG$32</f>
        <v>5.1165000000000002E-5</v>
      </c>
      <c r="AQ24" s="137">
        <f>Summary_LCIA!AH$32</f>
        <v>8.7036000000000006E-3</v>
      </c>
      <c r="AR24" s="137">
        <f>Summary_LCIA!AI$32</f>
        <v>9.3154999999999996E-4</v>
      </c>
      <c r="AT24" s="137">
        <f t="shared" si="5"/>
        <v>7.5010849999999998</v>
      </c>
      <c r="AU24" s="137">
        <f t="shared" si="5"/>
        <v>109.40481330847498</v>
      </c>
      <c r="AV24" s="137">
        <f t="shared" si="5"/>
        <v>0.11623811999999999</v>
      </c>
      <c r="AW24" s="137">
        <f t="shared" si="5"/>
        <v>7.4035134999999999</v>
      </c>
      <c r="AX24" s="137">
        <f t="shared" si="5"/>
        <v>2.4260424999999999</v>
      </c>
      <c r="AY24" s="137">
        <f t="shared" si="5"/>
        <v>0.39545154999999999</v>
      </c>
      <c r="AZ24" s="137">
        <f t="shared" si="5"/>
        <v>1.0543240749999998E-3</v>
      </c>
      <c r="BA24" s="137">
        <f t="shared" si="5"/>
        <v>1.6991348249999998</v>
      </c>
      <c r="BB24" s="137">
        <f t="shared" si="5"/>
        <v>0.50286850000000005</v>
      </c>
      <c r="BC24" s="137">
        <f t="shared" si="5"/>
        <v>0.34397264999999999</v>
      </c>
      <c r="BD24" s="137">
        <f t="shared" si="5"/>
        <v>9.0527367499999996E-4</v>
      </c>
      <c r="BE24" s="137">
        <f t="shared" si="5"/>
        <v>0.51558369999999998</v>
      </c>
      <c r="BF24" s="137">
        <f t="shared" si="5"/>
        <v>-4.8174272499999999E-4</v>
      </c>
      <c r="BG24" s="137">
        <f t="shared" si="5"/>
        <v>1.0791143E-6</v>
      </c>
      <c r="BH24" s="137">
        <f t="shared" si="5"/>
        <v>9.0737079999999998E-3</v>
      </c>
      <c r="BI24" s="137">
        <f t="shared" si="5"/>
        <v>1.9561319749999997E-2</v>
      </c>
      <c r="BJ24" s="137">
        <f t="shared" si="4"/>
        <v>1.8662646500000001E-2</v>
      </c>
      <c r="BK24" s="137">
        <f t="shared" si="4"/>
        <v>1.1294673750000001E-3</v>
      </c>
      <c r="BL24" s="137">
        <f t="shared" si="4"/>
        <v>0.19213197000000001</v>
      </c>
      <c r="BM24" s="137">
        <f t="shared" si="4"/>
        <v>2.0563966249999999E-2</v>
      </c>
    </row>
    <row r="25" spans="1:65" x14ac:dyDescent="0.25">
      <c r="A25" s="149">
        <v>342</v>
      </c>
      <c r="B25" s="149">
        <v>29</v>
      </c>
      <c r="C25" s="61">
        <v>47.606209</v>
      </c>
      <c r="D25" s="61">
        <v>-122.332071</v>
      </c>
      <c r="E25" s="61" t="s">
        <v>265</v>
      </c>
      <c r="F25" s="149">
        <v>29</v>
      </c>
      <c r="G25" s="61" t="s">
        <v>565</v>
      </c>
      <c r="H25" s="61" t="s">
        <v>719</v>
      </c>
      <c r="I25" s="61">
        <v>47.450249999999997</v>
      </c>
      <c r="J25" s="61">
        <v>-122.308817</v>
      </c>
      <c r="K25" s="61">
        <v>34.697320689999998</v>
      </c>
      <c r="L25" s="61">
        <v>22.074999999999999</v>
      </c>
      <c r="M25" s="61" t="s">
        <v>617</v>
      </c>
      <c r="N25" s="149">
        <v>28</v>
      </c>
      <c r="O25" s="149">
        <v>29</v>
      </c>
      <c r="P25" s="61" t="s">
        <v>565</v>
      </c>
      <c r="Q25" s="61" t="s">
        <v>559</v>
      </c>
      <c r="R25" s="61">
        <v>47.450249900000003</v>
      </c>
      <c r="S25" s="61">
        <v>-122.30881650000001</v>
      </c>
      <c r="T25" s="61">
        <v>22.074999999999999</v>
      </c>
      <c r="U25" s="61" t="s">
        <v>617</v>
      </c>
      <c r="V25" s="61" t="s">
        <v>617</v>
      </c>
      <c r="W25" s="61"/>
      <c r="Y25" s="137">
        <f>Summary_LCIA!H$32</f>
        <v>0.33979999999999999</v>
      </c>
      <c r="Z25" s="137">
        <f>Summary_LCIA!Q$32</f>
        <v>4.9560504329999997</v>
      </c>
      <c r="AA25" s="137">
        <f>Summary_LCIA!R$32</f>
        <v>5.2655999999999996E-3</v>
      </c>
      <c r="AB25" s="137">
        <f>Summary_LCIA!S$32</f>
        <v>0.33538000000000001</v>
      </c>
      <c r="AC25" s="137">
        <f>Summary_LCIA!T$32</f>
        <v>0.1099</v>
      </c>
      <c r="AD25" s="137">
        <f>Summary_LCIA!U$32</f>
        <v>1.7913999999999999E-2</v>
      </c>
      <c r="AE25" s="137">
        <f>Summary_LCIA!V$32</f>
        <v>4.7760999999999999E-5</v>
      </c>
      <c r="AF25" s="137">
        <f>Summary_LCIA!W$32</f>
        <v>7.6970999999999998E-2</v>
      </c>
      <c r="AG25" s="137">
        <f>Summary_LCIA!X$32</f>
        <v>2.2780000000000002E-2</v>
      </c>
      <c r="AH25" s="137">
        <f>Summary_LCIA!Y$32</f>
        <v>1.5582E-2</v>
      </c>
      <c r="AI25" s="137">
        <f>Summary_LCIA!Z$32</f>
        <v>4.1009E-5</v>
      </c>
      <c r="AJ25" s="137">
        <f>Summary_LCIA!AA$32</f>
        <v>2.3355999999999998E-2</v>
      </c>
      <c r="AK25" s="137">
        <f>Summary_LCIA!AB$32</f>
        <v>-2.1823000000000001E-5</v>
      </c>
      <c r="AL25" s="137">
        <f>Summary_LCIA!AC$32</f>
        <v>4.8884000000000003E-8</v>
      </c>
      <c r="AM25" s="137">
        <f>Summary_LCIA!AD$32</f>
        <v>4.1103999999999999E-4</v>
      </c>
      <c r="AN25" s="137">
        <f>Summary_LCIA!AE$32</f>
        <v>8.8612999999999995E-4</v>
      </c>
      <c r="AO25" s="137">
        <f>Summary_LCIA!AF$32</f>
        <v>8.4542000000000005E-4</v>
      </c>
      <c r="AP25" s="137">
        <f>Summary_LCIA!AG$32</f>
        <v>5.1165000000000002E-5</v>
      </c>
      <c r="AQ25" s="137">
        <f>Summary_LCIA!AH$32</f>
        <v>8.7036000000000006E-3</v>
      </c>
      <c r="AR25" s="137">
        <f>Summary_LCIA!AI$32</f>
        <v>9.3154999999999996E-4</v>
      </c>
      <c r="AT25" s="137">
        <f t="shared" si="5"/>
        <v>7.5010849999999998</v>
      </c>
      <c r="AU25" s="137">
        <f t="shared" si="5"/>
        <v>109.40481330847498</v>
      </c>
      <c r="AV25" s="137">
        <f t="shared" si="5"/>
        <v>0.11623811999999999</v>
      </c>
      <c r="AW25" s="137">
        <f t="shared" si="5"/>
        <v>7.4035134999999999</v>
      </c>
      <c r="AX25" s="137">
        <f t="shared" si="5"/>
        <v>2.4260424999999999</v>
      </c>
      <c r="AY25" s="137">
        <f t="shared" si="5"/>
        <v>0.39545154999999999</v>
      </c>
      <c r="AZ25" s="137">
        <f t="shared" si="5"/>
        <v>1.0543240749999998E-3</v>
      </c>
      <c r="BA25" s="137">
        <f t="shared" si="5"/>
        <v>1.6991348249999998</v>
      </c>
      <c r="BB25" s="137">
        <f t="shared" si="5"/>
        <v>0.50286850000000005</v>
      </c>
      <c r="BC25" s="137">
        <f t="shared" si="5"/>
        <v>0.34397264999999999</v>
      </c>
      <c r="BD25" s="137">
        <f t="shared" si="5"/>
        <v>9.0527367499999996E-4</v>
      </c>
      <c r="BE25" s="137">
        <f t="shared" si="5"/>
        <v>0.51558369999999998</v>
      </c>
      <c r="BF25" s="137">
        <f t="shared" si="5"/>
        <v>-4.8174272499999999E-4</v>
      </c>
      <c r="BG25" s="137">
        <f t="shared" si="5"/>
        <v>1.0791143E-6</v>
      </c>
      <c r="BH25" s="137">
        <f t="shared" si="5"/>
        <v>9.0737079999999998E-3</v>
      </c>
      <c r="BI25" s="137">
        <f t="shared" si="5"/>
        <v>1.9561319749999997E-2</v>
      </c>
      <c r="BJ25" s="137">
        <f t="shared" si="4"/>
        <v>1.8662646500000001E-2</v>
      </c>
      <c r="BK25" s="137">
        <f t="shared" si="4"/>
        <v>1.1294673750000001E-3</v>
      </c>
      <c r="BL25" s="137">
        <f t="shared" si="4"/>
        <v>0.19213197000000001</v>
      </c>
      <c r="BM25" s="137">
        <f t="shared" si="4"/>
        <v>2.0563966249999999E-2</v>
      </c>
    </row>
    <row r="26" spans="1:65" x14ac:dyDescent="0.25">
      <c r="A26" s="149">
        <v>343</v>
      </c>
      <c r="B26" s="149">
        <v>29</v>
      </c>
      <c r="C26" s="61">
        <v>47.606209</v>
      </c>
      <c r="D26" s="61">
        <v>-122.332071</v>
      </c>
      <c r="E26" s="61" t="s">
        <v>265</v>
      </c>
      <c r="F26" s="149">
        <v>29</v>
      </c>
      <c r="G26" s="61" t="s">
        <v>565</v>
      </c>
      <c r="H26" s="61" t="s">
        <v>719</v>
      </c>
      <c r="I26" s="61">
        <v>47.450249999999997</v>
      </c>
      <c r="J26" s="61">
        <v>-122.308817</v>
      </c>
      <c r="K26" s="61">
        <v>34.697320689999998</v>
      </c>
      <c r="L26" s="61">
        <v>22.074999999999999</v>
      </c>
      <c r="M26" s="61" t="s">
        <v>617</v>
      </c>
      <c r="N26" s="149">
        <v>28</v>
      </c>
      <c r="O26" s="149">
        <v>29</v>
      </c>
      <c r="P26" s="61" t="s">
        <v>565</v>
      </c>
      <c r="Q26" s="61" t="s">
        <v>559</v>
      </c>
      <c r="R26" s="61">
        <v>47.450249900000003</v>
      </c>
      <c r="S26" s="61">
        <v>-122.30881650000001</v>
      </c>
      <c r="T26" s="61">
        <v>22.074999999999999</v>
      </c>
      <c r="U26" s="61" t="s">
        <v>617</v>
      </c>
      <c r="V26" s="61" t="s">
        <v>617</v>
      </c>
      <c r="W26" s="61"/>
      <c r="Y26" s="137">
        <f>Summary_LCIA!H$32</f>
        <v>0.33979999999999999</v>
      </c>
      <c r="Z26" s="137">
        <f>Summary_LCIA!Q$32</f>
        <v>4.9560504329999997</v>
      </c>
      <c r="AA26" s="137">
        <f>Summary_LCIA!R$32</f>
        <v>5.2655999999999996E-3</v>
      </c>
      <c r="AB26" s="137">
        <f>Summary_LCIA!S$32</f>
        <v>0.33538000000000001</v>
      </c>
      <c r="AC26" s="137">
        <f>Summary_LCIA!T$32</f>
        <v>0.1099</v>
      </c>
      <c r="AD26" s="137">
        <f>Summary_LCIA!U$32</f>
        <v>1.7913999999999999E-2</v>
      </c>
      <c r="AE26" s="137">
        <f>Summary_LCIA!V$32</f>
        <v>4.7760999999999999E-5</v>
      </c>
      <c r="AF26" s="137">
        <f>Summary_LCIA!W$32</f>
        <v>7.6970999999999998E-2</v>
      </c>
      <c r="AG26" s="137">
        <f>Summary_LCIA!X$32</f>
        <v>2.2780000000000002E-2</v>
      </c>
      <c r="AH26" s="137">
        <f>Summary_LCIA!Y$32</f>
        <v>1.5582E-2</v>
      </c>
      <c r="AI26" s="137">
        <f>Summary_LCIA!Z$32</f>
        <v>4.1009E-5</v>
      </c>
      <c r="AJ26" s="137">
        <f>Summary_LCIA!AA$32</f>
        <v>2.3355999999999998E-2</v>
      </c>
      <c r="AK26" s="137">
        <f>Summary_LCIA!AB$32</f>
        <v>-2.1823000000000001E-5</v>
      </c>
      <c r="AL26" s="137">
        <f>Summary_LCIA!AC$32</f>
        <v>4.8884000000000003E-8</v>
      </c>
      <c r="AM26" s="137">
        <f>Summary_LCIA!AD$32</f>
        <v>4.1103999999999999E-4</v>
      </c>
      <c r="AN26" s="137">
        <f>Summary_LCIA!AE$32</f>
        <v>8.8612999999999995E-4</v>
      </c>
      <c r="AO26" s="137">
        <f>Summary_LCIA!AF$32</f>
        <v>8.4542000000000005E-4</v>
      </c>
      <c r="AP26" s="137">
        <f>Summary_LCIA!AG$32</f>
        <v>5.1165000000000002E-5</v>
      </c>
      <c r="AQ26" s="137">
        <f>Summary_LCIA!AH$32</f>
        <v>8.7036000000000006E-3</v>
      </c>
      <c r="AR26" s="137">
        <f>Summary_LCIA!AI$32</f>
        <v>9.3154999999999996E-4</v>
      </c>
      <c r="AT26" s="137">
        <f t="shared" si="5"/>
        <v>7.5010849999999998</v>
      </c>
      <c r="AU26" s="137">
        <f t="shared" si="5"/>
        <v>109.40481330847498</v>
      </c>
      <c r="AV26" s="137">
        <f t="shared" si="5"/>
        <v>0.11623811999999999</v>
      </c>
      <c r="AW26" s="137">
        <f t="shared" si="5"/>
        <v>7.4035134999999999</v>
      </c>
      <c r="AX26" s="137">
        <f t="shared" si="5"/>
        <v>2.4260424999999999</v>
      </c>
      <c r="AY26" s="137">
        <f t="shared" si="5"/>
        <v>0.39545154999999999</v>
      </c>
      <c r="AZ26" s="137">
        <f t="shared" si="5"/>
        <v>1.0543240749999998E-3</v>
      </c>
      <c r="BA26" s="137">
        <f t="shared" si="5"/>
        <v>1.6991348249999998</v>
      </c>
      <c r="BB26" s="137">
        <f t="shared" si="5"/>
        <v>0.50286850000000005</v>
      </c>
      <c r="BC26" s="137">
        <f t="shared" si="5"/>
        <v>0.34397264999999999</v>
      </c>
      <c r="BD26" s="137">
        <f t="shared" si="5"/>
        <v>9.0527367499999996E-4</v>
      </c>
      <c r="BE26" s="137">
        <f t="shared" si="5"/>
        <v>0.51558369999999998</v>
      </c>
      <c r="BF26" s="137">
        <f t="shared" si="5"/>
        <v>-4.8174272499999999E-4</v>
      </c>
      <c r="BG26" s="137">
        <f t="shared" si="5"/>
        <v>1.0791143E-6</v>
      </c>
      <c r="BH26" s="137">
        <f t="shared" si="5"/>
        <v>9.0737079999999998E-3</v>
      </c>
      <c r="BI26" s="137">
        <f t="shared" si="5"/>
        <v>1.9561319749999997E-2</v>
      </c>
      <c r="BJ26" s="137">
        <f t="shared" si="4"/>
        <v>1.8662646500000001E-2</v>
      </c>
      <c r="BK26" s="137">
        <f t="shared" si="4"/>
        <v>1.1294673750000001E-3</v>
      </c>
      <c r="BL26" s="137">
        <f t="shared" si="4"/>
        <v>0.19213197000000001</v>
      </c>
      <c r="BM26" s="137">
        <f t="shared" si="4"/>
        <v>2.0563966249999999E-2</v>
      </c>
    </row>
    <row r="27" spans="1:65" x14ac:dyDescent="0.25">
      <c r="A27" s="149">
        <v>108</v>
      </c>
      <c r="B27" s="149">
        <v>6</v>
      </c>
      <c r="C27" s="61">
        <v>42.050626999999999</v>
      </c>
      <c r="D27" s="61">
        <v>-87.679727</v>
      </c>
      <c r="E27" s="61" t="s">
        <v>265</v>
      </c>
      <c r="F27" s="149">
        <v>6</v>
      </c>
      <c r="G27" s="61" t="s">
        <v>565</v>
      </c>
      <c r="H27" s="61" t="s">
        <v>673</v>
      </c>
      <c r="I27" s="61">
        <v>41.98028</v>
      </c>
      <c r="J27" s="61">
        <v>-87.908997999999997</v>
      </c>
      <c r="K27" s="61">
        <v>22.71590222</v>
      </c>
      <c r="L27" s="61">
        <v>27.763999999999999</v>
      </c>
      <c r="M27" s="61" t="s">
        <v>617</v>
      </c>
      <c r="N27" s="149">
        <v>5</v>
      </c>
      <c r="O27" s="149">
        <v>6</v>
      </c>
      <c r="P27" s="61" t="s">
        <v>565</v>
      </c>
      <c r="Q27" s="61" t="s">
        <v>564</v>
      </c>
      <c r="R27" s="61">
        <v>41.98028</v>
      </c>
      <c r="S27" s="61">
        <v>-87.908997900000003</v>
      </c>
      <c r="T27" s="61">
        <v>27.763999999999999</v>
      </c>
      <c r="U27" s="61" t="s">
        <v>617</v>
      </c>
      <c r="V27" s="61" t="s">
        <v>617</v>
      </c>
      <c r="W27" s="61"/>
      <c r="Y27" s="137">
        <f>Summary_LCIA!H$32</f>
        <v>0.33979999999999999</v>
      </c>
      <c r="Z27" s="137">
        <f>Summary_LCIA!Q$32</f>
        <v>4.9560504329999997</v>
      </c>
      <c r="AA27" s="137">
        <f>Summary_LCIA!R$32</f>
        <v>5.2655999999999996E-3</v>
      </c>
      <c r="AB27" s="137">
        <f>Summary_LCIA!S$32</f>
        <v>0.33538000000000001</v>
      </c>
      <c r="AC27" s="137">
        <f>Summary_LCIA!T$32</f>
        <v>0.1099</v>
      </c>
      <c r="AD27" s="137">
        <f>Summary_LCIA!U$32</f>
        <v>1.7913999999999999E-2</v>
      </c>
      <c r="AE27" s="137">
        <f>Summary_LCIA!V$32</f>
        <v>4.7760999999999999E-5</v>
      </c>
      <c r="AF27" s="137">
        <f>Summary_LCIA!W$32</f>
        <v>7.6970999999999998E-2</v>
      </c>
      <c r="AG27" s="137">
        <f>Summary_LCIA!X$32</f>
        <v>2.2780000000000002E-2</v>
      </c>
      <c r="AH27" s="137">
        <f>Summary_LCIA!Y$32</f>
        <v>1.5582E-2</v>
      </c>
      <c r="AI27" s="137">
        <f>Summary_LCIA!Z$32</f>
        <v>4.1009E-5</v>
      </c>
      <c r="AJ27" s="137">
        <f>Summary_LCIA!AA$32</f>
        <v>2.3355999999999998E-2</v>
      </c>
      <c r="AK27" s="137">
        <f>Summary_LCIA!AB$32</f>
        <v>-2.1823000000000001E-5</v>
      </c>
      <c r="AL27" s="137">
        <f>Summary_LCIA!AC$32</f>
        <v>4.8884000000000003E-8</v>
      </c>
      <c r="AM27" s="137">
        <f>Summary_LCIA!AD$32</f>
        <v>4.1103999999999999E-4</v>
      </c>
      <c r="AN27" s="137">
        <f>Summary_LCIA!AE$32</f>
        <v>8.8612999999999995E-4</v>
      </c>
      <c r="AO27" s="137">
        <f>Summary_LCIA!AF$32</f>
        <v>8.4542000000000005E-4</v>
      </c>
      <c r="AP27" s="137">
        <f>Summary_LCIA!AG$32</f>
        <v>5.1165000000000002E-5</v>
      </c>
      <c r="AQ27" s="137">
        <f>Summary_LCIA!AH$32</f>
        <v>8.7036000000000006E-3</v>
      </c>
      <c r="AR27" s="137">
        <f>Summary_LCIA!AI$32</f>
        <v>9.3154999999999996E-4</v>
      </c>
      <c r="AT27" s="137">
        <f t="shared" si="5"/>
        <v>9.4342071999999995</v>
      </c>
      <c r="AU27" s="137">
        <f t="shared" si="5"/>
        <v>137.599784221812</v>
      </c>
      <c r="AV27" s="137">
        <f t="shared" si="5"/>
        <v>0.14619411839999999</v>
      </c>
      <c r="AW27" s="137">
        <f t="shared" si="5"/>
        <v>9.3114903200000008</v>
      </c>
      <c r="AX27" s="137">
        <f t="shared" si="5"/>
        <v>3.0512636</v>
      </c>
      <c r="AY27" s="137">
        <f t="shared" si="5"/>
        <v>0.49736429599999998</v>
      </c>
      <c r="AZ27" s="137">
        <f t="shared" si="5"/>
        <v>1.326036404E-3</v>
      </c>
      <c r="BA27" s="137">
        <f t="shared" si="5"/>
        <v>2.1370228440000001</v>
      </c>
      <c r="BB27" s="137">
        <f t="shared" si="5"/>
        <v>0.63246392000000007</v>
      </c>
      <c r="BC27" s="137">
        <f t="shared" si="5"/>
        <v>0.43261864799999999</v>
      </c>
      <c r="BD27" s="137">
        <f t="shared" si="5"/>
        <v>1.1385738759999999E-3</v>
      </c>
      <c r="BE27" s="137">
        <f t="shared" si="5"/>
        <v>0.64845598399999993</v>
      </c>
      <c r="BF27" s="137">
        <f t="shared" si="5"/>
        <v>-6.0589377199999999E-4</v>
      </c>
      <c r="BG27" s="137">
        <f t="shared" si="5"/>
        <v>1.357215376E-6</v>
      </c>
      <c r="BH27" s="137">
        <f t="shared" si="5"/>
        <v>1.1412114559999999E-2</v>
      </c>
      <c r="BI27" s="137">
        <f t="shared" si="5"/>
        <v>2.4602513319999998E-2</v>
      </c>
      <c r="BJ27" s="137">
        <f t="shared" si="4"/>
        <v>2.3472240880000002E-2</v>
      </c>
      <c r="BK27" s="137">
        <f t="shared" si="4"/>
        <v>1.42054506E-3</v>
      </c>
      <c r="BL27" s="137">
        <f t="shared" si="4"/>
        <v>0.2416467504</v>
      </c>
      <c r="BM27" s="137">
        <f t="shared" si="4"/>
        <v>2.58635542E-2</v>
      </c>
    </row>
    <row r="28" spans="1:65" x14ac:dyDescent="0.25">
      <c r="A28" s="149">
        <v>109</v>
      </c>
      <c r="B28" s="149">
        <v>6</v>
      </c>
      <c r="C28" s="61">
        <v>42.050626999999999</v>
      </c>
      <c r="D28" s="61">
        <v>-87.679727</v>
      </c>
      <c r="E28" s="61" t="s">
        <v>265</v>
      </c>
      <c r="F28" s="149">
        <v>6</v>
      </c>
      <c r="G28" s="61" t="s">
        <v>565</v>
      </c>
      <c r="H28" s="61" t="s">
        <v>673</v>
      </c>
      <c r="I28" s="61">
        <v>41.98028</v>
      </c>
      <c r="J28" s="61">
        <v>-87.908997999999997</v>
      </c>
      <c r="K28" s="61">
        <v>22.71590222</v>
      </c>
      <c r="L28" s="61">
        <v>27.763999999999999</v>
      </c>
      <c r="M28" s="61" t="s">
        <v>617</v>
      </c>
      <c r="N28" s="149">
        <v>5</v>
      </c>
      <c r="O28" s="149">
        <v>6</v>
      </c>
      <c r="P28" s="61" t="s">
        <v>565</v>
      </c>
      <c r="Q28" s="61" t="s">
        <v>564</v>
      </c>
      <c r="R28" s="61">
        <v>41.98028</v>
      </c>
      <c r="S28" s="61">
        <v>-87.908997900000003</v>
      </c>
      <c r="T28" s="61">
        <v>27.763999999999999</v>
      </c>
      <c r="U28" s="61" t="s">
        <v>617</v>
      </c>
      <c r="V28" s="61" t="s">
        <v>617</v>
      </c>
      <c r="W28" s="61"/>
      <c r="Y28" s="137">
        <f>Summary_LCIA!H$32</f>
        <v>0.33979999999999999</v>
      </c>
      <c r="Z28" s="137">
        <f>Summary_LCIA!Q$32</f>
        <v>4.9560504329999997</v>
      </c>
      <c r="AA28" s="137">
        <f>Summary_LCIA!R$32</f>
        <v>5.2655999999999996E-3</v>
      </c>
      <c r="AB28" s="137">
        <f>Summary_LCIA!S$32</f>
        <v>0.33538000000000001</v>
      </c>
      <c r="AC28" s="137">
        <f>Summary_LCIA!T$32</f>
        <v>0.1099</v>
      </c>
      <c r="AD28" s="137">
        <f>Summary_LCIA!U$32</f>
        <v>1.7913999999999999E-2</v>
      </c>
      <c r="AE28" s="137">
        <f>Summary_LCIA!V$32</f>
        <v>4.7760999999999999E-5</v>
      </c>
      <c r="AF28" s="137">
        <f>Summary_LCIA!W$32</f>
        <v>7.6970999999999998E-2</v>
      </c>
      <c r="AG28" s="137">
        <f>Summary_LCIA!X$32</f>
        <v>2.2780000000000002E-2</v>
      </c>
      <c r="AH28" s="137">
        <f>Summary_LCIA!Y$32</f>
        <v>1.5582E-2</v>
      </c>
      <c r="AI28" s="137">
        <f>Summary_LCIA!Z$32</f>
        <v>4.1009E-5</v>
      </c>
      <c r="AJ28" s="137">
        <f>Summary_LCIA!AA$32</f>
        <v>2.3355999999999998E-2</v>
      </c>
      <c r="AK28" s="137">
        <f>Summary_LCIA!AB$32</f>
        <v>-2.1823000000000001E-5</v>
      </c>
      <c r="AL28" s="137">
        <f>Summary_LCIA!AC$32</f>
        <v>4.8884000000000003E-8</v>
      </c>
      <c r="AM28" s="137">
        <f>Summary_LCIA!AD$32</f>
        <v>4.1103999999999999E-4</v>
      </c>
      <c r="AN28" s="137">
        <f>Summary_LCIA!AE$32</f>
        <v>8.8612999999999995E-4</v>
      </c>
      <c r="AO28" s="137">
        <f>Summary_LCIA!AF$32</f>
        <v>8.4542000000000005E-4</v>
      </c>
      <c r="AP28" s="137">
        <f>Summary_LCIA!AG$32</f>
        <v>5.1165000000000002E-5</v>
      </c>
      <c r="AQ28" s="137">
        <f>Summary_LCIA!AH$32</f>
        <v>8.7036000000000006E-3</v>
      </c>
      <c r="AR28" s="137">
        <f>Summary_LCIA!AI$32</f>
        <v>9.3154999999999996E-4</v>
      </c>
      <c r="AT28" s="137">
        <f t="shared" si="5"/>
        <v>9.4342071999999995</v>
      </c>
      <c r="AU28" s="137">
        <f t="shared" si="5"/>
        <v>137.599784221812</v>
      </c>
      <c r="AV28" s="137">
        <f t="shared" si="5"/>
        <v>0.14619411839999999</v>
      </c>
      <c r="AW28" s="137">
        <f t="shared" si="5"/>
        <v>9.3114903200000008</v>
      </c>
      <c r="AX28" s="137">
        <f t="shared" si="5"/>
        <v>3.0512636</v>
      </c>
      <c r="AY28" s="137">
        <f t="shared" si="5"/>
        <v>0.49736429599999998</v>
      </c>
      <c r="AZ28" s="137">
        <f t="shared" si="5"/>
        <v>1.326036404E-3</v>
      </c>
      <c r="BA28" s="137">
        <f t="shared" si="5"/>
        <v>2.1370228440000001</v>
      </c>
      <c r="BB28" s="137">
        <f t="shared" si="5"/>
        <v>0.63246392000000007</v>
      </c>
      <c r="BC28" s="137">
        <f t="shared" si="5"/>
        <v>0.43261864799999999</v>
      </c>
      <c r="BD28" s="137">
        <f t="shared" si="5"/>
        <v>1.1385738759999999E-3</v>
      </c>
      <c r="BE28" s="137">
        <f t="shared" si="5"/>
        <v>0.64845598399999993</v>
      </c>
      <c r="BF28" s="137">
        <f t="shared" si="5"/>
        <v>-6.0589377199999999E-4</v>
      </c>
      <c r="BG28" s="137">
        <f t="shared" si="5"/>
        <v>1.357215376E-6</v>
      </c>
      <c r="BH28" s="137">
        <f t="shared" si="5"/>
        <v>1.1412114559999999E-2</v>
      </c>
      <c r="BI28" s="137">
        <f t="shared" si="5"/>
        <v>2.4602513319999998E-2</v>
      </c>
      <c r="BJ28" s="137">
        <f t="shared" si="4"/>
        <v>2.3472240880000002E-2</v>
      </c>
      <c r="BK28" s="137">
        <f t="shared" si="4"/>
        <v>1.42054506E-3</v>
      </c>
      <c r="BL28" s="137">
        <f t="shared" si="4"/>
        <v>0.2416467504</v>
      </c>
      <c r="BM28" s="137">
        <f t="shared" si="4"/>
        <v>2.58635542E-2</v>
      </c>
    </row>
    <row r="29" spans="1:65" x14ac:dyDescent="0.25">
      <c r="A29" s="149">
        <v>110</v>
      </c>
      <c r="B29" s="149">
        <v>6</v>
      </c>
      <c r="C29" s="61">
        <v>42.050626999999999</v>
      </c>
      <c r="D29" s="61">
        <v>-87.679727</v>
      </c>
      <c r="E29" s="61" t="s">
        <v>265</v>
      </c>
      <c r="F29" s="149">
        <v>6</v>
      </c>
      <c r="G29" s="61" t="s">
        <v>565</v>
      </c>
      <c r="H29" s="61" t="s">
        <v>673</v>
      </c>
      <c r="I29" s="61">
        <v>41.98028</v>
      </c>
      <c r="J29" s="61">
        <v>-87.908997999999997</v>
      </c>
      <c r="K29" s="61">
        <v>22.71590222</v>
      </c>
      <c r="L29" s="61">
        <v>27.763999999999999</v>
      </c>
      <c r="M29" s="61" t="s">
        <v>617</v>
      </c>
      <c r="N29" s="149">
        <v>5</v>
      </c>
      <c r="O29" s="149">
        <v>6</v>
      </c>
      <c r="P29" s="61" t="s">
        <v>565</v>
      </c>
      <c r="Q29" s="61" t="s">
        <v>564</v>
      </c>
      <c r="R29" s="61">
        <v>41.98028</v>
      </c>
      <c r="S29" s="61">
        <v>-87.908997900000003</v>
      </c>
      <c r="T29" s="61">
        <v>27.763999999999999</v>
      </c>
      <c r="U29" s="61" t="s">
        <v>617</v>
      </c>
      <c r="V29" s="61" t="s">
        <v>617</v>
      </c>
      <c r="W29" s="61"/>
      <c r="Y29" s="137">
        <f>Summary_LCIA!H$32</f>
        <v>0.33979999999999999</v>
      </c>
      <c r="Z29" s="137">
        <f>Summary_LCIA!Q$32</f>
        <v>4.9560504329999997</v>
      </c>
      <c r="AA29" s="137">
        <f>Summary_LCIA!R$32</f>
        <v>5.2655999999999996E-3</v>
      </c>
      <c r="AB29" s="137">
        <f>Summary_LCIA!S$32</f>
        <v>0.33538000000000001</v>
      </c>
      <c r="AC29" s="137">
        <f>Summary_LCIA!T$32</f>
        <v>0.1099</v>
      </c>
      <c r="AD29" s="137">
        <f>Summary_LCIA!U$32</f>
        <v>1.7913999999999999E-2</v>
      </c>
      <c r="AE29" s="137">
        <f>Summary_LCIA!V$32</f>
        <v>4.7760999999999999E-5</v>
      </c>
      <c r="AF29" s="137">
        <f>Summary_LCIA!W$32</f>
        <v>7.6970999999999998E-2</v>
      </c>
      <c r="AG29" s="137">
        <f>Summary_LCIA!X$32</f>
        <v>2.2780000000000002E-2</v>
      </c>
      <c r="AH29" s="137">
        <f>Summary_LCIA!Y$32</f>
        <v>1.5582E-2</v>
      </c>
      <c r="AI29" s="137">
        <f>Summary_LCIA!Z$32</f>
        <v>4.1009E-5</v>
      </c>
      <c r="AJ29" s="137">
        <f>Summary_LCIA!AA$32</f>
        <v>2.3355999999999998E-2</v>
      </c>
      <c r="AK29" s="137">
        <f>Summary_LCIA!AB$32</f>
        <v>-2.1823000000000001E-5</v>
      </c>
      <c r="AL29" s="137">
        <f>Summary_LCIA!AC$32</f>
        <v>4.8884000000000003E-8</v>
      </c>
      <c r="AM29" s="137">
        <f>Summary_LCIA!AD$32</f>
        <v>4.1103999999999999E-4</v>
      </c>
      <c r="AN29" s="137">
        <f>Summary_LCIA!AE$32</f>
        <v>8.8612999999999995E-4</v>
      </c>
      <c r="AO29" s="137">
        <f>Summary_LCIA!AF$32</f>
        <v>8.4542000000000005E-4</v>
      </c>
      <c r="AP29" s="137">
        <f>Summary_LCIA!AG$32</f>
        <v>5.1165000000000002E-5</v>
      </c>
      <c r="AQ29" s="137">
        <f>Summary_LCIA!AH$32</f>
        <v>8.7036000000000006E-3</v>
      </c>
      <c r="AR29" s="137">
        <f>Summary_LCIA!AI$32</f>
        <v>9.3154999999999996E-4</v>
      </c>
      <c r="AT29" s="137">
        <f t="shared" si="5"/>
        <v>9.4342071999999995</v>
      </c>
      <c r="AU29" s="137">
        <f t="shared" si="5"/>
        <v>137.599784221812</v>
      </c>
      <c r="AV29" s="137">
        <f t="shared" si="5"/>
        <v>0.14619411839999999</v>
      </c>
      <c r="AW29" s="137">
        <f t="shared" si="5"/>
        <v>9.3114903200000008</v>
      </c>
      <c r="AX29" s="137">
        <f t="shared" si="5"/>
        <v>3.0512636</v>
      </c>
      <c r="AY29" s="137">
        <f t="shared" si="5"/>
        <v>0.49736429599999998</v>
      </c>
      <c r="AZ29" s="137">
        <f t="shared" si="5"/>
        <v>1.326036404E-3</v>
      </c>
      <c r="BA29" s="137">
        <f t="shared" si="5"/>
        <v>2.1370228440000001</v>
      </c>
      <c r="BB29" s="137">
        <f t="shared" si="5"/>
        <v>0.63246392000000007</v>
      </c>
      <c r="BC29" s="137">
        <f t="shared" si="5"/>
        <v>0.43261864799999999</v>
      </c>
      <c r="BD29" s="137">
        <f t="shared" si="5"/>
        <v>1.1385738759999999E-3</v>
      </c>
      <c r="BE29" s="137">
        <f t="shared" si="5"/>
        <v>0.64845598399999993</v>
      </c>
      <c r="BF29" s="137">
        <f t="shared" si="5"/>
        <v>-6.0589377199999999E-4</v>
      </c>
      <c r="BG29" s="137">
        <f t="shared" si="5"/>
        <v>1.357215376E-6</v>
      </c>
      <c r="BH29" s="137">
        <f t="shared" si="5"/>
        <v>1.1412114559999999E-2</v>
      </c>
      <c r="BI29" s="137">
        <f t="shared" si="5"/>
        <v>2.4602513319999998E-2</v>
      </c>
      <c r="BJ29" s="137">
        <f t="shared" si="4"/>
        <v>2.3472240880000002E-2</v>
      </c>
      <c r="BK29" s="137">
        <f t="shared" si="4"/>
        <v>1.42054506E-3</v>
      </c>
      <c r="BL29" s="137">
        <f t="shared" si="4"/>
        <v>0.2416467504</v>
      </c>
      <c r="BM29" s="137">
        <f t="shared" si="4"/>
        <v>2.58635542E-2</v>
      </c>
    </row>
    <row r="30" spans="1:65" x14ac:dyDescent="0.25">
      <c r="A30" s="149">
        <v>337</v>
      </c>
      <c r="B30" s="149">
        <v>29</v>
      </c>
      <c r="C30" s="61">
        <v>47.650888000000002</v>
      </c>
      <c r="D30" s="61">
        <v>-122.308402</v>
      </c>
      <c r="E30" s="61" t="s">
        <v>265</v>
      </c>
      <c r="F30" s="149">
        <v>29</v>
      </c>
      <c r="G30" s="61" t="s">
        <v>565</v>
      </c>
      <c r="H30" s="61" t="s">
        <v>719</v>
      </c>
      <c r="I30" s="61">
        <v>47.450249999999997</v>
      </c>
      <c r="J30" s="61">
        <v>-122.308817</v>
      </c>
      <c r="K30" s="61">
        <v>43.043934999999998</v>
      </c>
      <c r="L30" s="61">
        <v>27.890999999999998</v>
      </c>
      <c r="M30" s="61" t="s">
        <v>617</v>
      </c>
      <c r="N30" s="149">
        <v>28</v>
      </c>
      <c r="O30" s="149">
        <v>29</v>
      </c>
      <c r="P30" s="61" t="s">
        <v>565</v>
      </c>
      <c r="Q30" s="61" t="s">
        <v>559</v>
      </c>
      <c r="R30" s="61">
        <v>47.450249900000003</v>
      </c>
      <c r="S30" s="61">
        <v>-122.30881650000001</v>
      </c>
      <c r="T30" s="61">
        <v>27.89</v>
      </c>
      <c r="U30" s="61" t="s">
        <v>617</v>
      </c>
      <c r="V30" s="61" t="s">
        <v>617</v>
      </c>
      <c r="W30" s="61"/>
      <c r="Y30" s="137">
        <f>Summary_LCIA!H$32</f>
        <v>0.33979999999999999</v>
      </c>
      <c r="Z30" s="137">
        <f>Summary_LCIA!Q$32</f>
        <v>4.9560504329999997</v>
      </c>
      <c r="AA30" s="137">
        <f>Summary_LCIA!R$32</f>
        <v>5.2655999999999996E-3</v>
      </c>
      <c r="AB30" s="137">
        <f>Summary_LCIA!S$32</f>
        <v>0.33538000000000001</v>
      </c>
      <c r="AC30" s="137">
        <f>Summary_LCIA!T$32</f>
        <v>0.1099</v>
      </c>
      <c r="AD30" s="137">
        <f>Summary_LCIA!U$32</f>
        <v>1.7913999999999999E-2</v>
      </c>
      <c r="AE30" s="137">
        <f>Summary_LCIA!V$32</f>
        <v>4.7760999999999999E-5</v>
      </c>
      <c r="AF30" s="137">
        <f>Summary_LCIA!W$32</f>
        <v>7.6970999999999998E-2</v>
      </c>
      <c r="AG30" s="137">
        <f>Summary_LCIA!X$32</f>
        <v>2.2780000000000002E-2</v>
      </c>
      <c r="AH30" s="137">
        <f>Summary_LCIA!Y$32</f>
        <v>1.5582E-2</v>
      </c>
      <c r="AI30" s="137">
        <f>Summary_LCIA!Z$32</f>
        <v>4.1009E-5</v>
      </c>
      <c r="AJ30" s="137">
        <f>Summary_LCIA!AA$32</f>
        <v>2.3355999999999998E-2</v>
      </c>
      <c r="AK30" s="137">
        <f>Summary_LCIA!AB$32</f>
        <v>-2.1823000000000001E-5</v>
      </c>
      <c r="AL30" s="137">
        <f>Summary_LCIA!AC$32</f>
        <v>4.8884000000000003E-8</v>
      </c>
      <c r="AM30" s="137">
        <f>Summary_LCIA!AD$32</f>
        <v>4.1103999999999999E-4</v>
      </c>
      <c r="AN30" s="137">
        <f>Summary_LCIA!AE$32</f>
        <v>8.8612999999999995E-4</v>
      </c>
      <c r="AO30" s="137">
        <f>Summary_LCIA!AF$32</f>
        <v>8.4542000000000005E-4</v>
      </c>
      <c r="AP30" s="137">
        <f>Summary_LCIA!AG$32</f>
        <v>5.1165000000000002E-5</v>
      </c>
      <c r="AQ30" s="137">
        <f>Summary_LCIA!AH$32</f>
        <v>8.7036000000000006E-3</v>
      </c>
      <c r="AR30" s="137">
        <f>Summary_LCIA!AI$32</f>
        <v>9.3154999999999996E-4</v>
      </c>
      <c r="AT30" s="137">
        <f t="shared" si="5"/>
        <v>9.4770219999999998</v>
      </c>
      <c r="AU30" s="137">
        <f t="shared" si="5"/>
        <v>138.22424657637001</v>
      </c>
      <c r="AV30" s="137">
        <f t="shared" si="5"/>
        <v>0.14685758399999999</v>
      </c>
      <c r="AW30" s="137">
        <f t="shared" si="5"/>
        <v>9.3537482000000001</v>
      </c>
      <c r="AX30" s="137">
        <f t="shared" si="5"/>
        <v>3.0651109999999999</v>
      </c>
      <c r="AY30" s="137">
        <f t="shared" si="5"/>
        <v>0.49962146000000002</v>
      </c>
      <c r="AZ30" s="137">
        <f t="shared" si="5"/>
        <v>1.33205429E-3</v>
      </c>
      <c r="BA30" s="137">
        <f t="shared" si="5"/>
        <v>2.1467211900000001</v>
      </c>
      <c r="BB30" s="137">
        <f t="shared" si="5"/>
        <v>0.63533420000000007</v>
      </c>
      <c r="BC30" s="137">
        <f t="shared" si="5"/>
        <v>0.43458198000000003</v>
      </c>
      <c r="BD30" s="137">
        <f t="shared" si="5"/>
        <v>1.1437410099999999E-3</v>
      </c>
      <c r="BE30" s="137">
        <f t="shared" si="5"/>
        <v>0.65139883999999992</v>
      </c>
      <c r="BF30" s="137">
        <f t="shared" si="5"/>
        <v>-6.0864347000000004E-4</v>
      </c>
      <c r="BG30" s="137">
        <f t="shared" si="5"/>
        <v>1.3633747600000001E-6</v>
      </c>
      <c r="BH30" s="137">
        <f t="shared" si="5"/>
        <v>1.1463905599999999E-2</v>
      </c>
      <c r="BI30" s="137">
        <f t="shared" si="5"/>
        <v>2.4714165699999999E-2</v>
      </c>
      <c r="BJ30" s="137">
        <f t="shared" si="4"/>
        <v>2.3578763800000003E-2</v>
      </c>
      <c r="BK30" s="137">
        <f t="shared" si="4"/>
        <v>1.4269918500000001E-3</v>
      </c>
      <c r="BL30" s="137">
        <f t="shared" si="4"/>
        <v>0.24274340400000002</v>
      </c>
      <c r="BM30" s="137">
        <f t="shared" si="4"/>
        <v>2.59809295E-2</v>
      </c>
    </row>
    <row r="31" spans="1:65" x14ac:dyDescent="0.25">
      <c r="A31" s="149">
        <v>338</v>
      </c>
      <c r="B31" s="149">
        <v>29</v>
      </c>
      <c r="C31" s="61">
        <v>47.650888000000002</v>
      </c>
      <c r="D31" s="61">
        <v>-122.308402</v>
      </c>
      <c r="E31" s="61" t="s">
        <v>265</v>
      </c>
      <c r="F31" s="149">
        <v>29</v>
      </c>
      <c r="G31" s="61" t="s">
        <v>565</v>
      </c>
      <c r="H31" s="61" t="s">
        <v>719</v>
      </c>
      <c r="I31" s="61">
        <v>47.450249999999997</v>
      </c>
      <c r="J31" s="61">
        <v>-122.308817</v>
      </c>
      <c r="K31" s="61">
        <v>43.043934999999998</v>
      </c>
      <c r="L31" s="61">
        <v>27.890999999999998</v>
      </c>
      <c r="M31" s="61" t="s">
        <v>617</v>
      </c>
      <c r="N31" s="149">
        <v>28</v>
      </c>
      <c r="O31" s="149">
        <v>29</v>
      </c>
      <c r="P31" s="61" t="s">
        <v>565</v>
      </c>
      <c r="Q31" s="61" t="s">
        <v>559</v>
      </c>
      <c r="R31" s="61">
        <v>47.450249900000003</v>
      </c>
      <c r="S31" s="61">
        <v>-122.30881650000001</v>
      </c>
      <c r="T31" s="61">
        <v>27.89</v>
      </c>
      <c r="U31" s="61" t="s">
        <v>617</v>
      </c>
      <c r="V31" s="61" t="s">
        <v>617</v>
      </c>
      <c r="W31" s="61"/>
      <c r="Y31" s="137">
        <f>Summary_LCIA!H$32</f>
        <v>0.33979999999999999</v>
      </c>
      <c r="Z31" s="137">
        <f>Summary_LCIA!Q$32</f>
        <v>4.9560504329999997</v>
      </c>
      <c r="AA31" s="137">
        <f>Summary_LCIA!R$32</f>
        <v>5.2655999999999996E-3</v>
      </c>
      <c r="AB31" s="137">
        <f>Summary_LCIA!S$32</f>
        <v>0.33538000000000001</v>
      </c>
      <c r="AC31" s="137">
        <f>Summary_LCIA!T$32</f>
        <v>0.1099</v>
      </c>
      <c r="AD31" s="137">
        <f>Summary_LCIA!U$32</f>
        <v>1.7913999999999999E-2</v>
      </c>
      <c r="AE31" s="137">
        <f>Summary_LCIA!V$32</f>
        <v>4.7760999999999999E-5</v>
      </c>
      <c r="AF31" s="137">
        <f>Summary_LCIA!W$32</f>
        <v>7.6970999999999998E-2</v>
      </c>
      <c r="AG31" s="137">
        <f>Summary_LCIA!X$32</f>
        <v>2.2780000000000002E-2</v>
      </c>
      <c r="AH31" s="137">
        <f>Summary_LCIA!Y$32</f>
        <v>1.5582E-2</v>
      </c>
      <c r="AI31" s="137">
        <f>Summary_LCIA!Z$32</f>
        <v>4.1009E-5</v>
      </c>
      <c r="AJ31" s="137">
        <f>Summary_LCIA!AA$32</f>
        <v>2.3355999999999998E-2</v>
      </c>
      <c r="AK31" s="137">
        <f>Summary_LCIA!AB$32</f>
        <v>-2.1823000000000001E-5</v>
      </c>
      <c r="AL31" s="137">
        <f>Summary_LCIA!AC$32</f>
        <v>4.8884000000000003E-8</v>
      </c>
      <c r="AM31" s="137">
        <f>Summary_LCIA!AD$32</f>
        <v>4.1103999999999999E-4</v>
      </c>
      <c r="AN31" s="137">
        <f>Summary_LCIA!AE$32</f>
        <v>8.8612999999999995E-4</v>
      </c>
      <c r="AO31" s="137">
        <f>Summary_LCIA!AF$32</f>
        <v>8.4542000000000005E-4</v>
      </c>
      <c r="AP31" s="137">
        <f>Summary_LCIA!AG$32</f>
        <v>5.1165000000000002E-5</v>
      </c>
      <c r="AQ31" s="137">
        <f>Summary_LCIA!AH$32</f>
        <v>8.7036000000000006E-3</v>
      </c>
      <c r="AR31" s="137">
        <f>Summary_LCIA!AI$32</f>
        <v>9.3154999999999996E-4</v>
      </c>
      <c r="AT31" s="137">
        <f t="shared" si="5"/>
        <v>9.4770219999999998</v>
      </c>
      <c r="AU31" s="137">
        <f t="shared" si="5"/>
        <v>138.22424657637001</v>
      </c>
      <c r="AV31" s="137">
        <f t="shared" si="5"/>
        <v>0.14685758399999999</v>
      </c>
      <c r="AW31" s="137">
        <f t="shared" si="5"/>
        <v>9.3537482000000001</v>
      </c>
      <c r="AX31" s="137">
        <f t="shared" si="5"/>
        <v>3.0651109999999999</v>
      </c>
      <c r="AY31" s="137">
        <f t="shared" si="5"/>
        <v>0.49962146000000002</v>
      </c>
      <c r="AZ31" s="137">
        <f t="shared" si="5"/>
        <v>1.33205429E-3</v>
      </c>
      <c r="BA31" s="137">
        <f t="shared" si="5"/>
        <v>2.1467211900000001</v>
      </c>
      <c r="BB31" s="137">
        <f t="shared" si="5"/>
        <v>0.63533420000000007</v>
      </c>
      <c r="BC31" s="137">
        <f t="shared" si="5"/>
        <v>0.43458198000000003</v>
      </c>
      <c r="BD31" s="137">
        <f t="shared" si="5"/>
        <v>1.1437410099999999E-3</v>
      </c>
      <c r="BE31" s="137">
        <f t="shared" si="5"/>
        <v>0.65139883999999992</v>
      </c>
      <c r="BF31" s="137">
        <f t="shared" si="5"/>
        <v>-6.0864347000000004E-4</v>
      </c>
      <c r="BG31" s="137">
        <f t="shared" si="5"/>
        <v>1.3633747600000001E-6</v>
      </c>
      <c r="BH31" s="137">
        <f t="shared" si="5"/>
        <v>1.1463905599999999E-2</v>
      </c>
      <c r="BI31" s="137">
        <f t="shared" si="5"/>
        <v>2.4714165699999999E-2</v>
      </c>
      <c r="BJ31" s="137">
        <f t="shared" si="4"/>
        <v>2.3578763800000003E-2</v>
      </c>
      <c r="BK31" s="137">
        <f t="shared" si="4"/>
        <v>1.4269918500000001E-3</v>
      </c>
      <c r="BL31" s="137">
        <f t="shared" si="4"/>
        <v>0.24274340400000002</v>
      </c>
      <c r="BM31" s="137">
        <f t="shared" si="4"/>
        <v>2.59809295E-2</v>
      </c>
    </row>
    <row r="32" spans="1:65" x14ac:dyDescent="0.25">
      <c r="A32" s="149">
        <v>339</v>
      </c>
      <c r="B32" s="149">
        <v>29</v>
      </c>
      <c r="C32" s="61">
        <v>47.650888000000002</v>
      </c>
      <c r="D32" s="61">
        <v>-122.308402</v>
      </c>
      <c r="E32" s="61" t="s">
        <v>265</v>
      </c>
      <c r="F32" s="149">
        <v>29</v>
      </c>
      <c r="G32" s="61" t="s">
        <v>565</v>
      </c>
      <c r="H32" s="61" t="s">
        <v>719</v>
      </c>
      <c r="I32" s="61">
        <v>47.450249999999997</v>
      </c>
      <c r="J32" s="61">
        <v>-122.308817</v>
      </c>
      <c r="K32" s="61">
        <v>43.043934999999998</v>
      </c>
      <c r="L32" s="61">
        <v>27.890999999999998</v>
      </c>
      <c r="M32" s="61" t="s">
        <v>617</v>
      </c>
      <c r="N32" s="149">
        <v>28</v>
      </c>
      <c r="O32" s="149">
        <v>29</v>
      </c>
      <c r="P32" s="61" t="s">
        <v>565</v>
      </c>
      <c r="Q32" s="61" t="s">
        <v>559</v>
      </c>
      <c r="R32" s="61">
        <v>47.450249900000003</v>
      </c>
      <c r="S32" s="61">
        <v>-122.30881650000001</v>
      </c>
      <c r="T32" s="61">
        <v>27.89</v>
      </c>
      <c r="U32" s="61" t="s">
        <v>617</v>
      </c>
      <c r="V32" s="61" t="s">
        <v>617</v>
      </c>
      <c r="W32" s="61"/>
      <c r="Y32" s="137">
        <f>Summary_LCIA!H$32</f>
        <v>0.33979999999999999</v>
      </c>
      <c r="Z32" s="137">
        <f>Summary_LCIA!Q$32</f>
        <v>4.9560504329999997</v>
      </c>
      <c r="AA32" s="137">
        <f>Summary_LCIA!R$32</f>
        <v>5.2655999999999996E-3</v>
      </c>
      <c r="AB32" s="137">
        <f>Summary_LCIA!S$32</f>
        <v>0.33538000000000001</v>
      </c>
      <c r="AC32" s="137">
        <f>Summary_LCIA!T$32</f>
        <v>0.1099</v>
      </c>
      <c r="AD32" s="137">
        <f>Summary_LCIA!U$32</f>
        <v>1.7913999999999999E-2</v>
      </c>
      <c r="AE32" s="137">
        <f>Summary_LCIA!V$32</f>
        <v>4.7760999999999999E-5</v>
      </c>
      <c r="AF32" s="137">
        <f>Summary_LCIA!W$32</f>
        <v>7.6970999999999998E-2</v>
      </c>
      <c r="AG32" s="137">
        <f>Summary_LCIA!X$32</f>
        <v>2.2780000000000002E-2</v>
      </c>
      <c r="AH32" s="137">
        <f>Summary_LCIA!Y$32</f>
        <v>1.5582E-2</v>
      </c>
      <c r="AI32" s="137">
        <f>Summary_LCIA!Z$32</f>
        <v>4.1009E-5</v>
      </c>
      <c r="AJ32" s="137">
        <f>Summary_LCIA!AA$32</f>
        <v>2.3355999999999998E-2</v>
      </c>
      <c r="AK32" s="137">
        <f>Summary_LCIA!AB$32</f>
        <v>-2.1823000000000001E-5</v>
      </c>
      <c r="AL32" s="137">
        <f>Summary_LCIA!AC$32</f>
        <v>4.8884000000000003E-8</v>
      </c>
      <c r="AM32" s="137">
        <f>Summary_LCIA!AD$32</f>
        <v>4.1103999999999999E-4</v>
      </c>
      <c r="AN32" s="137">
        <f>Summary_LCIA!AE$32</f>
        <v>8.8612999999999995E-4</v>
      </c>
      <c r="AO32" s="137">
        <f>Summary_LCIA!AF$32</f>
        <v>8.4542000000000005E-4</v>
      </c>
      <c r="AP32" s="137">
        <f>Summary_LCIA!AG$32</f>
        <v>5.1165000000000002E-5</v>
      </c>
      <c r="AQ32" s="137">
        <f>Summary_LCIA!AH$32</f>
        <v>8.7036000000000006E-3</v>
      </c>
      <c r="AR32" s="137">
        <f>Summary_LCIA!AI$32</f>
        <v>9.3154999999999996E-4</v>
      </c>
      <c r="AT32" s="137">
        <f t="shared" si="5"/>
        <v>9.4770219999999998</v>
      </c>
      <c r="AU32" s="137">
        <f t="shared" si="5"/>
        <v>138.22424657637001</v>
      </c>
      <c r="AV32" s="137">
        <f t="shared" si="5"/>
        <v>0.14685758399999999</v>
      </c>
      <c r="AW32" s="137">
        <f t="shared" si="5"/>
        <v>9.3537482000000001</v>
      </c>
      <c r="AX32" s="137">
        <f t="shared" si="5"/>
        <v>3.0651109999999999</v>
      </c>
      <c r="AY32" s="137">
        <f t="shared" si="5"/>
        <v>0.49962146000000002</v>
      </c>
      <c r="AZ32" s="137">
        <f t="shared" si="5"/>
        <v>1.33205429E-3</v>
      </c>
      <c r="BA32" s="137">
        <f t="shared" si="5"/>
        <v>2.1467211900000001</v>
      </c>
      <c r="BB32" s="137">
        <f t="shared" si="5"/>
        <v>0.63533420000000007</v>
      </c>
      <c r="BC32" s="137">
        <f t="shared" si="5"/>
        <v>0.43458198000000003</v>
      </c>
      <c r="BD32" s="137">
        <f t="shared" si="5"/>
        <v>1.1437410099999999E-3</v>
      </c>
      <c r="BE32" s="137">
        <f t="shared" si="5"/>
        <v>0.65139883999999992</v>
      </c>
      <c r="BF32" s="137">
        <f t="shared" si="5"/>
        <v>-6.0864347000000004E-4</v>
      </c>
      <c r="BG32" s="137">
        <f t="shared" si="5"/>
        <v>1.3633747600000001E-6</v>
      </c>
      <c r="BH32" s="137">
        <f t="shared" si="5"/>
        <v>1.1463905599999999E-2</v>
      </c>
      <c r="BI32" s="137">
        <f t="shared" si="5"/>
        <v>2.4714165699999999E-2</v>
      </c>
      <c r="BJ32" s="137">
        <f t="shared" si="4"/>
        <v>2.3578763800000003E-2</v>
      </c>
      <c r="BK32" s="137">
        <f t="shared" si="4"/>
        <v>1.4269918500000001E-3</v>
      </c>
      <c r="BL32" s="137">
        <f t="shared" si="4"/>
        <v>0.24274340400000002</v>
      </c>
      <c r="BM32" s="137">
        <f t="shared" si="4"/>
        <v>2.59809295E-2</v>
      </c>
    </row>
    <row r="33" spans="1:65" x14ac:dyDescent="0.25">
      <c r="A33" s="149">
        <v>175</v>
      </c>
      <c r="B33" s="149">
        <v>43</v>
      </c>
      <c r="C33" s="61">
        <v>40.678178000000003</v>
      </c>
      <c r="D33" s="61">
        <v>-73.944158000000002</v>
      </c>
      <c r="E33" s="61" t="s">
        <v>265</v>
      </c>
      <c r="F33" s="149">
        <v>20</v>
      </c>
      <c r="G33" s="61" t="s">
        <v>565</v>
      </c>
      <c r="H33" s="61" t="s">
        <v>689</v>
      </c>
      <c r="I33" s="61">
        <v>40.641311000000002</v>
      </c>
      <c r="J33" s="61">
        <v>-73.778138999999996</v>
      </c>
      <c r="K33" s="61">
        <v>14.69230808</v>
      </c>
      <c r="L33" s="61">
        <v>17.010000000000002</v>
      </c>
      <c r="M33" s="61" t="s">
        <v>617</v>
      </c>
      <c r="N33" s="149">
        <v>42</v>
      </c>
      <c r="O33" s="149">
        <v>43</v>
      </c>
      <c r="P33" s="61" t="s">
        <v>565</v>
      </c>
      <c r="Q33" s="61" t="s">
        <v>555</v>
      </c>
      <c r="R33" s="61">
        <v>40.6895314</v>
      </c>
      <c r="S33" s="61">
        <v>-74.174462399999996</v>
      </c>
      <c r="T33" s="61">
        <v>28.129000000000001</v>
      </c>
      <c r="U33" s="61" t="s">
        <v>617</v>
      </c>
      <c r="V33" s="61" t="s">
        <v>617</v>
      </c>
      <c r="W33" s="61"/>
      <c r="Y33" s="137">
        <f>Summary_LCIA!H$32</f>
        <v>0.33979999999999999</v>
      </c>
      <c r="Z33" s="137">
        <f>Summary_LCIA!Q$32</f>
        <v>4.9560504329999997</v>
      </c>
      <c r="AA33" s="137">
        <f>Summary_LCIA!R$32</f>
        <v>5.2655999999999996E-3</v>
      </c>
      <c r="AB33" s="137">
        <f>Summary_LCIA!S$32</f>
        <v>0.33538000000000001</v>
      </c>
      <c r="AC33" s="137">
        <f>Summary_LCIA!T$32</f>
        <v>0.1099</v>
      </c>
      <c r="AD33" s="137">
        <f>Summary_LCIA!U$32</f>
        <v>1.7913999999999999E-2</v>
      </c>
      <c r="AE33" s="137">
        <f>Summary_LCIA!V$32</f>
        <v>4.7760999999999999E-5</v>
      </c>
      <c r="AF33" s="137">
        <f>Summary_LCIA!W$32</f>
        <v>7.6970999999999998E-2</v>
      </c>
      <c r="AG33" s="137">
        <f>Summary_LCIA!X$32</f>
        <v>2.2780000000000002E-2</v>
      </c>
      <c r="AH33" s="137">
        <f>Summary_LCIA!Y$32</f>
        <v>1.5582E-2</v>
      </c>
      <c r="AI33" s="137">
        <f>Summary_LCIA!Z$32</f>
        <v>4.1009E-5</v>
      </c>
      <c r="AJ33" s="137">
        <f>Summary_LCIA!AA$32</f>
        <v>2.3355999999999998E-2</v>
      </c>
      <c r="AK33" s="137">
        <f>Summary_LCIA!AB$32</f>
        <v>-2.1823000000000001E-5</v>
      </c>
      <c r="AL33" s="137">
        <f>Summary_LCIA!AC$32</f>
        <v>4.8884000000000003E-8</v>
      </c>
      <c r="AM33" s="137">
        <f>Summary_LCIA!AD$32</f>
        <v>4.1103999999999999E-4</v>
      </c>
      <c r="AN33" s="137">
        <f>Summary_LCIA!AE$32</f>
        <v>8.8612999999999995E-4</v>
      </c>
      <c r="AO33" s="137">
        <f>Summary_LCIA!AF$32</f>
        <v>8.4542000000000005E-4</v>
      </c>
      <c r="AP33" s="137">
        <f>Summary_LCIA!AG$32</f>
        <v>5.1165000000000002E-5</v>
      </c>
      <c r="AQ33" s="137">
        <f>Summary_LCIA!AH$32</f>
        <v>8.7036000000000006E-3</v>
      </c>
      <c r="AR33" s="137">
        <f>Summary_LCIA!AI$32</f>
        <v>9.3154999999999996E-4</v>
      </c>
      <c r="AT33" s="137">
        <f t="shared" si="5"/>
        <v>9.5582341999999993</v>
      </c>
      <c r="AU33" s="137">
        <f t="shared" si="5"/>
        <v>139.40874262985699</v>
      </c>
      <c r="AV33" s="137">
        <f t="shared" si="5"/>
        <v>0.1481160624</v>
      </c>
      <c r="AW33" s="137">
        <f t="shared" si="5"/>
        <v>9.4339040199999999</v>
      </c>
      <c r="AX33" s="137">
        <f t="shared" si="5"/>
        <v>3.0913770999999999</v>
      </c>
      <c r="AY33" s="137">
        <f t="shared" si="5"/>
        <v>0.50390290599999998</v>
      </c>
      <c r="AZ33" s="137">
        <f t="shared" si="5"/>
        <v>1.3434691690000001E-3</v>
      </c>
      <c r="BA33" s="137">
        <f t="shared" si="5"/>
        <v>2.1651172590000001</v>
      </c>
      <c r="BB33" s="137">
        <f t="shared" si="5"/>
        <v>0.64077862000000008</v>
      </c>
      <c r="BC33" s="137">
        <f t="shared" si="5"/>
        <v>0.43830607800000004</v>
      </c>
      <c r="BD33" s="137">
        <f t="shared" si="5"/>
        <v>1.153542161E-3</v>
      </c>
      <c r="BE33" s="137">
        <f t="shared" si="5"/>
        <v>0.65698092399999997</v>
      </c>
      <c r="BF33" s="137">
        <f t="shared" si="5"/>
        <v>-6.13859167E-4</v>
      </c>
      <c r="BG33" s="137">
        <f t="shared" si="5"/>
        <v>1.3750580360000002E-6</v>
      </c>
      <c r="BH33" s="137">
        <f t="shared" si="5"/>
        <v>1.1562144160000001E-2</v>
      </c>
      <c r="BI33" s="137">
        <f t="shared" si="5"/>
        <v>2.492595077E-2</v>
      </c>
      <c r="BJ33" s="137">
        <f t="shared" si="4"/>
        <v>2.3780819180000003E-2</v>
      </c>
      <c r="BK33" s="137">
        <f t="shared" si="4"/>
        <v>1.4392202850000001E-3</v>
      </c>
      <c r="BL33" s="137">
        <f t="shared" si="4"/>
        <v>0.24482356440000003</v>
      </c>
      <c r="BM33" s="137">
        <f t="shared" si="4"/>
        <v>2.6203569949999998E-2</v>
      </c>
    </row>
    <row r="34" spans="1:65" x14ac:dyDescent="0.25">
      <c r="A34" s="149">
        <v>316</v>
      </c>
      <c r="B34" s="149">
        <v>29</v>
      </c>
      <c r="C34" s="61">
        <v>47.673988000000001</v>
      </c>
      <c r="D34" s="61">
        <v>-122.121512</v>
      </c>
      <c r="E34" s="61" t="s">
        <v>265</v>
      </c>
      <c r="F34" s="149">
        <v>29</v>
      </c>
      <c r="G34" s="61" t="s">
        <v>565</v>
      </c>
      <c r="H34" s="61" t="s">
        <v>719</v>
      </c>
      <c r="I34" s="61">
        <v>47.450249999999997</v>
      </c>
      <c r="J34" s="61">
        <v>-122.308817</v>
      </c>
      <c r="K34" s="61">
        <v>41.554973830000002</v>
      </c>
      <c r="L34" s="61">
        <v>37.302999999999997</v>
      </c>
      <c r="M34" s="61" t="s">
        <v>617</v>
      </c>
      <c r="N34" s="149">
        <v>28</v>
      </c>
      <c r="O34" s="149">
        <v>29</v>
      </c>
      <c r="P34" s="61" t="s">
        <v>565</v>
      </c>
      <c r="Q34" s="61" t="s">
        <v>559</v>
      </c>
      <c r="R34" s="61">
        <v>47.450249900000003</v>
      </c>
      <c r="S34" s="61">
        <v>-122.30881650000001</v>
      </c>
      <c r="T34" s="61">
        <v>37.301000000000002</v>
      </c>
      <c r="U34" s="61" t="s">
        <v>617</v>
      </c>
      <c r="V34" s="61" t="s">
        <v>617</v>
      </c>
      <c r="W34" s="61"/>
      <c r="Y34" s="137">
        <f>Summary_LCIA!H$32</f>
        <v>0.33979999999999999</v>
      </c>
      <c r="Z34" s="137">
        <f>Summary_LCIA!Q$32</f>
        <v>4.9560504329999997</v>
      </c>
      <c r="AA34" s="137">
        <f>Summary_LCIA!R$32</f>
        <v>5.2655999999999996E-3</v>
      </c>
      <c r="AB34" s="137">
        <f>Summary_LCIA!S$32</f>
        <v>0.33538000000000001</v>
      </c>
      <c r="AC34" s="137">
        <f>Summary_LCIA!T$32</f>
        <v>0.1099</v>
      </c>
      <c r="AD34" s="137">
        <f>Summary_LCIA!U$32</f>
        <v>1.7913999999999999E-2</v>
      </c>
      <c r="AE34" s="137">
        <f>Summary_LCIA!V$32</f>
        <v>4.7760999999999999E-5</v>
      </c>
      <c r="AF34" s="137">
        <f>Summary_LCIA!W$32</f>
        <v>7.6970999999999998E-2</v>
      </c>
      <c r="AG34" s="137">
        <f>Summary_LCIA!X$32</f>
        <v>2.2780000000000002E-2</v>
      </c>
      <c r="AH34" s="137">
        <f>Summary_LCIA!Y$32</f>
        <v>1.5582E-2</v>
      </c>
      <c r="AI34" s="137">
        <f>Summary_LCIA!Z$32</f>
        <v>4.1009E-5</v>
      </c>
      <c r="AJ34" s="137">
        <f>Summary_LCIA!AA$32</f>
        <v>2.3355999999999998E-2</v>
      </c>
      <c r="AK34" s="137">
        <f>Summary_LCIA!AB$32</f>
        <v>-2.1823000000000001E-5</v>
      </c>
      <c r="AL34" s="137">
        <f>Summary_LCIA!AC$32</f>
        <v>4.8884000000000003E-8</v>
      </c>
      <c r="AM34" s="137">
        <f>Summary_LCIA!AD$32</f>
        <v>4.1103999999999999E-4</v>
      </c>
      <c r="AN34" s="137">
        <f>Summary_LCIA!AE$32</f>
        <v>8.8612999999999995E-4</v>
      </c>
      <c r="AO34" s="137">
        <f>Summary_LCIA!AF$32</f>
        <v>8.4542000000000005E-4</v>
      </c>
      <c r="AP34" s="137">
        <f>Summary_LCIA!AG$32</f>
        <v>5.1165000000000002E-5</v>
      </c>
      <c r="AQ34" s="137">
        <f>Summary_LCIA!AH$32</f>
        <v>8.7036000000000006E-3</v>
      </c>
      <c r="AR34" s="137">
        <f>Summary_LCIA!AI$32</f>
        <v>9.3154999999999996E-4</v>
      </c>
      <c r="AT34" s="137">
        <f t="shared" si="5"/>
        <v>12.674879800000001</v>
      </c>
      <c r="AU34" s="137">
        <f t="shared" si="5"/>
        <v>184.86563720133299</v>
      </c>
      <c r="AV34" s="137">
        <f t="shared" si="5"/>
        <v>0.1964121456</v>
      </c>
      <c r="AW34" s="137">
        <f t="shared" si="5"/>
        <v>12.510009380000001</v>
      </c>
      <c r="AX34" s="137">
        <f t="shared" si="5"/>
        <v>4.0993798999999997</v>
      </c>
      <c r="AY34" s="137">
        <f t="shared" si="5"/>
        <v>0.66821011399999997</v>
      </c>
      <c r="AZ34" s="137">
        <f t="shared" si="5"/>
        <v>1.781533061E-3</v>
      </c>
      <c r="BA34" s="137">
        <f t="shared" si="5"/>
        <v>2.8710952710000002</v>
      </c>
      <c r="BB34" s="137">
        <f t="shared" si="5"/>
        <v>0.84971678000000006</v>
      </c>
      <c r="BC34" s="137">
        <f t="shared" si="5"/>
        <v>0.58122418200000003</v>
      </c>
      <c r="BD34" s="137">
        <f t="shared" si="5"/>
        <v>1.529676709E-3</v>
      </c>
      <c r="BE34" s="137">
        <f t="shared" si="5"/>
        <v>0.87120215599999995</v>
      </c>
      <c r="BF34" s="137">
        <f t="shared" si="5"/>
        <v>-8.1401972300000007E-4</v>
      </c>
      <c r="BG34" s="137">
        <f t="shared" si="5"/>
        <v>1.8234220840000003E-6</v>
      </c>
      <c r="BH34" s="137">
        <f t="shared" si="5"/>
        <v>1.5332203040000001E-2</v>
      </c>
      <c r="BI34" s="137">
        <f t="shared" ref="BI34:BM49" si="6">$T34*AN34</f>
        <v>3.3053535129999999E-2</v>
      </c>
      <c r="BJ34" s="137">
        <f t="shared" si="6"/>
        <v>3.1535011420000002E-2</v>
      </c>
      <c r="BK34" s="137">
        <f t="shared" si="6"/>
        <v>1.9085056650000002E-3</v>
      </c>
      <c r="BL34" s="137">
        <f t="shared" si="6"/>
        <v>0.32465298360000006</v>
      </c>
      <c r="BM34" s="137">
        <f t="shared" si="6"/>
        <v>3.474774655E-2</v>
      </c>
    </row>
    <row r="35" spans="1:65" x14ac:dyDescent="0.25">
      <c r="A35" s="149">
        <v>317</v>
      </c>
      <c r="B35" s="149">
        <v>29</v>
      </c>
      <c r="C35" s="61">
        <v>47.673988000000001</v>
      </c>
      <c r="D35" s="61">
        <v>-122.121512</v>
      </c>
      <c r="E35" s="61" t="s">
        <v>265</v>
      </c>
      <c r="F35" s="149">
        <v>29</v>
      </c>
      <c r="G35" s="61" t="s">
        <v>565</v>
      </c>
      <c r="H35" s="61" t="s">
        <v>719</v>
      </c>
      <c r="I35" s="61">
        <v>47.450249999999997</v>
      </c>
      <c r="J35" s="61">
        <v>-122.308817</v>
      </c>
      <c r="K35" s="61">
        <v>41.554973830000002</v>
      </c>
      <c r="L35" s="61">
        <v>37.302999999999997</v>
      </c>
      <c r="M35" s="61" t="s">
        <v>617</v>
      </c>
      <c r="N35" s="149">
        <v>28</v>
      </c>
      <c r="O35" s="149">
        <v>29</v>
      </c>
      <c r="P35" s="61" t="s">
        <v>565</v>
      </c>
      <c r="Q35" s="61" t="s">
        <v>559</v>
      </c>
      <c r="R35" s="61">
        <v>47.450249900000003</v>
      </c>
      <c r="S35" s="61">
        <v>-122.30881650000001</v>
      </c>
      <c r="T35" s="61">
        <v>37.301000000000002</v>
      </c>
      <c r="U35" s="61" t="s">
        <v>617</v>
      </c>
      <c r="V35" s="61" t="s">
        <v>617</v>
      </c>
      <c r="W35" s="61"/>
      <c r="Y35" s="137">
        <f>Summary_LCIA!H$32</f>
        <v>0.33979999999999999</v>
      </c>
      <c r="Z35" s="137">
        <f>Summary_LCIA!Q$32</f>
        <v>4.9560504329999997</v>
      </c>
      <c r="AA35" s="137">
        <f>Summary_LCIA!R$32</f>
        <v>5.2655999999999996E-3</v>
      </c>
      <c r="AB35" s="137">
        <f>Summary_LCIA!S$32</f>
        <v>0.33538000000000001</v>
      </c>
      <c r="AC35" s="137">
        <f>Summary_LCIA!T$32</f>
        <v>0.1099</v>
      </c>
      <c r="AD35" s="137">
        <f>Summary_LCIA!U$32</f>
        <v>1.7913999999999999E-2</v>
      </c>
      <c r="AE35" s="137">
        <f>Summary_LCIA!V$32</f>
        <v>4.7760999999999999E-5</v>
      </c>
      <c r="AF35" s="137">
        <f>Summary_LCIA!W$32</f>
        <v>7.6970999999999998E-2</v>
      </c>
      <c r="AG35" s="137">
        <f>Summary_LCIA!X$32</f>
        <v>2.2780000000000002E-2</v>
      </c>
      <c r="AH35" s="137">
        <f>Summary_LCIA!Y$32</f>
        <v>1.5582E-2</v>
      </c>
      <c r="AI35" s="137">
        <f>Summary_LCIA!Z$32</f>
        <v>4.1009E-5</v>
      </c>
      <c r="AJ35" s="137">
        <f>Summary_LCIA!AA$32</f>
        <v>2.3355999999999998E-2</v>
      </c>
      <c r="AK35" s="137">
        <f>Summary_LCIA!AB$32</f>
        <v>-2.1823000000000001E-5</v>
      </c>
      <c r="AL35" s="137">
        <f>Summary_LCIA!AC$32</f>
        <v>4.8884000000000003E-8</v>
      </c>
      <c r="AM35" s="137">
        <f>Summary_LCIA!AD$32</f>
        <v>4.1103999999999999E-4</v>
      </c>
      <c r="AN35" s="137">
        <f>Summary_LCIA!AE$32</f>
        <v>8.8612999999999995E-4</v>
      </c>
      <c r="AO35" s="137">
        <f>Summary_LCIA!AF$32</f>
        <v>8.4542000000000005E-4</v>
      </c>
      <c r="AP35" s="137">
        <f>Summary_LCIA!AG$32</f>
        <v>5.1165000000000002E-5</v>
      </c>
      <c r="AQ35" s="137">
        <f>Summary_LCIA!AH$32</f>
        <v>8.7036000000000006E-3</v>
      </c>
      <c r="AR35" s="137">
        <f>Summary_LCIA!AI$32</f>
        <v>9.3154999999999996E-4</v>
      </c>
      <c r="AT35" s="137">
        <f t="shared" ref="AT35:BI50" si="7">$T35*Y35</f>
        <v>12.674879800000001</v>
      </c>
      <c r="AU35" s="137">
        <f t="shared" si="7"/>
        <v>184.86563720133299</v>
      </c>
      <c r="AV35" s="137">
        <f t="shared" si="7"/>
        <v>0.1964121456</v>
      </c>
      <c r="AW35" s="137">
        <f t="shared" si="7"/>
        <v>12.510009380000001</v>
      </c>
      <c r="AX35" s="137">
        <f t="shared" si="7"/>
        <v>4.0993798999999997</v>
      </c>
      <c r="AY35" s="137">
        <f t="shared" si="7"/>
        <v>0.66821011399999997</v>
      </c>
      <c r="AZ35" s="137">
        <f t="shared" si="7"/>
        <v>1.781533061E-3</v>
      </c>
      <c r="BA35" s="137">
        <f t="shared" si="7"/>
        <v>2.8710952710000002</v>
      </c>
      <c r="BB35" s="137">
        <f t="shared" si="7"/>
        <v>0.84971678000000006</v>
      </c>
      <c r="BC35" s="137">
        <f t="shared" si="7"/>
        <v>0.58122418200000003</v>
      </c>
      <c r="BD35" s="137">
        <f t="shared" si="7"/>
        <v>1.529676709E-3</v>
      </c>
      <c r="BE35" s="137">
        <f t="shared" si="7"/>
        <v>0.87120215599999995</v>
      </c>
      <c r="BF35" s="137">
        <f t="shared" si="7"/>
        <v>-8.1401972300000007E-4</v>
      </c>
      <c r="BG35" s="137">
        <f t="shared" si="7"/>
        <v>1.8234220840000003E-6</v>
      </c>
      <c r="BH35" s="137">
        <f t="shared" si="7"/>
        <v>1.5332203040000001E-2</v>
      </c>
      <c r="BI35" s="137">
        <f t="shared" si="7"/>
        <v>3.3053535129999999E-2</v>
      </c>
      <c r="BJ35" s="137">
        <f t="shared" si="6"/>
        <v>3.1535011420000002E-2</v>
      </c>
      <c r="BK35" s="137">
        <f t="shared" si="6"/>
        <v>1.9085056650000002E-3</v>
      </c>
      <c r="BL35" s="137">
        <f t="shared" si="6"/>
        <v>0.32465298360000006</v>
      </c>
      <c r="BM35" s="137">
        <f t="shared" si="6"/>
        <v>3.474774655E-2</v>
      </c>
    </row>
    <row r="36" spans="1:65" x14ac:dyDescent="0.25">
      <c r="A36" s="149">
        <v>318</v>
      </c>
      <c r="B36" s="149">
        <v>29</v>
      </c>
      <c r="C36" s="61">
        <v>47.673988000000001</v>
      </c>
      <c r="D36" s="61">
        <v>-122.121512</v>
      </c>
      <c r="E36" s="61" t="s">
        <v>265</v>
      </c>
      <c r="F36" s="149">
        <v>29</v>
      </c>
      <c r="G36" s="61" t="s">
        <v>565</v>
      </c>
      <c r="H36" s="61" t="s">
        <v>719</v>
      </c>
      <c r="I36" s="61">
        <v>47.450249999999997</v>
      </c>
      <c r="J36" s="61">
        <v>-122.308817</v>
      </c>
      <c r="K36" s="61">
        <v>41.554973830000002</v>
      </c>
      <c r="L36" s="61">
        <v>37.302999999999997</v>
      </c>
      <c r="M36" s="61" t="s">
        <v>617</v>
      </c>
      <c r="N36" s="149">
        <v>28</v>
      </c>
      <c r="O36" s="149">
        <v>29</v>
      </c>
      <c r="P36" s="61" t="s">
        <v>565</v>
      </c>
      <c r="Q36" s="61" t="s">
        <v>559</v>
      </c>
      <c r="R36" s="61">
        <v>47.450249900000003</v>
      </c>
      <c r="S36" s="61">
        <v>-122.30881650000001</v>
      </c>
      <c r="T36" s="61">
        <v>37.301000000000002</v>
      </c>
      <c r="U36" s="61" t="s">
        <v>617</v>
      </c>
      <c r="V36" s="61" t="s">
        <v>617</v>
      </c>
      <c r="W36" s="61"/>
      <c r="Y36" s="137">
        <f>Summary_LCIA!H$32</f>
        <v>0.33979999999999999</v>
      </c>
      <c r="Z36" s="137">
        <f>Summary_LCIA!Q$32</f>
        <v>4.9560504329999997</v>
      </c>
      <c r="AA36" s="137">
        <f>Summary_LCIA!R$32</f>
        <v>5.2655999999999996E-3</v>
      </c>
      <c r="AB36" s="137">
        <f>Summary_LCIA!S$32</f>
        <v>0.33538000000000001</v>
      </c>
      <c r="AC36" s="137">
        <f>Summary_LCIA!T$32</f>
        <v>0.1099</v>
      </c>
      <c r="AD36" s="137">
        <f>Summary_LCIA!U$32</f>
        <v>1.7913999999999999E-2</v>
      </c>
      <c r="AE36" s="137">
        <f>Summary_LCIA!V$32</f>
        <v>4.7760999999999999E-5</v>
      </c>
      <c r="AF36" s="137">
        <f>Summary_LCIA!W$32</f>
        <v>7.6970999999999998E-2</v>
      </c>
      <c r="AG36" s="137">
        <f>Summary_LCIA!X$32</f>
        <v>2.2780000000000002E-2</v>
      </c>
      <c r="AH36" s="137">
        <f>Summary_LCIA!Y$32</f>
        <v>1.5582E-2</v>
      </c>
      <c r="AI36" s="137">
        <f>Summary_LCIA!Z$32</f>
        <v>4.1009E-5</v>
      </c>
      <c r="AJ36" s="137">
        <f>Summary_LCIA!AA$32</f>
        <v>2.3355999999999998E-2</v>
      </c>
      <c r="AK36" s="137">
        <f>Summary_LCIA!AB$32</f>
        <v>-2.1823000000000001E-5</v>
      </c>
      <c r="AL36" s="137">
        <f>Summary_LCIA!AC$32</f>
        <v>4.8884000000000003E-8</v>
      </c>
      <c r="AM36" s="137">
        <f>Summary_LCIA!AD$32</f>
        <v>4.1103999999999999E-4</v>
      </c>
      <c r="AN36" s="137">
        <f>Summary_LCIA!AE$32</f>
        <v>8.8612999999999995E-4</v>
      </c>
      <c r="AO36" s="137">
        <f>Summary_LCIA!AF$32</f>
        <v>8.4542000000000005E-4</v>
      </c>
      <c r="AP36" s="137">
        <f>Summary_LCIA!AG$32</f>
        <v>5.1165000000000002E-5</v>
      </c>
      <c r="AQ36" s="137">
        <f>Summary_LCIA!AH$32</f>
        <v>8.7036000000000006E-3</v>
      </c>
      <c r="AR36" s="137">
        <f>Summary_LCIA!AI$32</f>
        <v>9.3154999999999996E-4</v>
      </c>
      <c r="AT36" s="137">
        <f t="shared" si="7"/>
        <v>12.674879800000001</v>
      </c>
      <c r="AU36" s="137">
        <f t="shared" si="7"/>
        <v>184.86563720133299</v>
      </c>
      <c r="AV36" s="137">
        <f t="shared" si="7"/>
        <v>0.1964121456</v>
      </c>
      <c r="AW36" s="137">
        <f t="shared" si="7"/>
        <v>12.510009380000001</v>
      </c>
      <c r="AX36" s="137">
        <f t="shared" si="7"/>
        <v>4.0993798999999997</v>
      </c>
      <c r="AY36" s="137">
        <f t="shared" si="7"/>
        <v>0.66821011399999997</v>
      </c>
      <c r="AZ36" s="137">
        <f t="shared" si="7"/>
        <v>1.781533061E-3</v>
      </c>
      <c r="BA36" s="137">
        <f t="shared" si="7"/>
        <v>2.8710952710000002</v>
      </c>
      <c r="BB36" s="137">
        <f t="shared" si="7"/>
        <v>0.84971678000000006</v>
      </c>
      <c r="BC36" s="137">
        <f t="shared" si="7"/>
        <v>0.58122418200000003</v>
      </c>
      <c r="BD36" s="137">
        <f t="shared" si="7"/>
        <v>1.529676709E-3</v>
      </c>
      <c r="BE36" s="137">
        <f t="shared" si="7"/>
        <v>0.87120215599999995</v>
      </c>
      <c r="BF36" s="137">
        <f t="shared" si="7"/>
        <v>-8.1401972300000007E-4</v>
      </c>
      <c r="BG36" s="137">
        <f t="shared" si="7"/>
        <v>1.8234220840000003E-6</v>
      </c>
      <c r="BH36" s="137">
        <f t="shared" si="7"/>
        <v>1.5332203040000001E-2</v>
      </c>
      <c r="BI36" s="137">
        <f t="shared" si="7"/>
        <v>3.3053535129999999E-2</v>
      </c>
      <c r="BJ36" s="137">
        <f t="shared" si="6"/>
        <v>3.1535011420000002E-2</v>
      </c>
      <c r="BK36" s="137">
        <f t="shared" si="6"/>
        <v>1.9085056650000002E-3</v>
      </c>
      <c r="BL36" s="137">
        <f t="shared" si="6"/>
        <v>0.32465298360000006</v>
      </c>
      <c r="BM36" s="137">
        <f t="shared" si="6"/>
        <v>3.474774655E-2</v>
      </c>
    </row>
    <row r="37" spans="1:65" x14ac:dyDescent="0.25">
      <c r="A37" s="149">
        <v>249</v>
      </c>
      <c r="B37" s="149">
        <v>6</v>
      </c>
      <c r="C37" s="61">
        <v>42.283079000000001</v>
      </c>
      <c r="D37" s="61">
        <v>-87.953130000000002</v>
      </c>
      <c r="E37" s="61" t="s">
        <v>265</v>
      </c>
      <c r="F37" s="149">
        <v>6</v>
      </c>
      <c r="G37" s="61" t="s">
        <v>565</v>
      </c>
      <c r="H37" s="61" t="s">
        <v>673</v>
      </c>
      <c r="I37" s="61">
        <v>41.98028</v>
      </c>
      <c r="J37" s="61">
        <v>-87.908997999999997</v>
      </c>
      <c r="K37" s="61">
        <v>52.053779710000001</v>
      </c>
      <c r="L37" s="61">
        <v>42.158000000000001</v>
      </c>
      <c r="M37" s="61" t="s">
        <v>617</v>
      </c>
      <c r="N37" s="149">
        <v>5</v>
      </c>
      <c r="O37" s="149">
        <v>6</v>
      </c>
      <c r="P37" s="61" t="s">
        <v>565</v>
      </c>
      <c r="Q37" s="61" t="s">
        <v>564</v>
      </c>
      <c r="R37" s="61">
        <v>41.98028</v>
      </c>
      <c r="S37" s="61">
        <v>-87.908997900000003</v>
      </c>
      <c r="T37" s="61">
        <v>42.158000000000001</v>
      </c>
      <c r="U37" s="61" t="s">
        <v>617</v>
      </c>
      <c r="V37" s="61" t="s">
        <v>617</v>
      </c>
      <c r="W37" s="61"/>
      <c r="Y37" s="137">
        <f>Summary_LCIA!H$32</f>
        <v>0.33979999999999999</v>
      </c>
      <c r="Z37" s="137">
        <f>Summary_LCIA!Q$32</f>
        <v>4.9560504329999997</v>
      </c>
      <c r="AA37" s="137">
        <f>Summary_LCIA!R$32</f>
        <v>5.2655999999999996E-3</v>
      </c>
      <c r="AB37" s="137">
        <f>Summary_LCIA!S$32</f>
        <v>0.33538000000000001</v>
      </c>
      <c r="AC37" s="137">
        <f>Summary_LCIA!T$32</f>
        <v>0.1099</v>
      </c>
      <c r="AD37" s="137">
        <f>Summary_LCIA!U$32</f>
        <v>1.7913999999999999E-2</v>
      </c>
      <c r="AE37" s="137">
        <f>Summary_LCIA!V$32</f>
        <v>4.7760999999999999E-5</v>
      </c>
      <c r="AF37" s="137">
        <f>Summary_LCIA!W$32</f>
        <v>7.6970999999999998E-2</v>
      </c>
      <c r="AG37" s="137">
        <f>Summary_LCIA!X$32</f>
        <v>2.2780000000000002E-2</v>
      </c>
      <c r="AH37" s="137">
        <f>Summary_LCIA!Y$32</f>
        <v>1.5582E-2</v>
      </c>
      <c r="AI37" s="137">
        <f>Summary_LCIA!Z$32</f>
        <v>4.1009E-5</v>
      </c>
      <c r="AJ37" s="137">
        <f>Summary_LCIA!AA$32</f>
        <v>2.3355999999999998E-2</v>
      </c>
      <c r="AK37" s="137">
        <f>Summary_LCIA!AB$32</f>
        <v>-2.1823000000000001E-5</v>
      </c>
      <c r="AL37" s="137">
        <f>Summary_LCIA!AC$32</f>
        <v>4.8884000000000003E-8</v>
      </c>
      <c r="AM37" s="137">
        <f>Summary_LCIA!AD$32</f>
        <v>4.1103999999999999E-4</v>
      </c>
      <c r="AN37" s="137">
        <f>Summary_LCIA!AE$32</f>
        <v>8.8612999999999995E-4</v>
      </c>
      <c r="AO37" s="137">
        <f>Summary_LCIA!AF$32</f>
        <v>8.4542000000000005E-4</v>
      </c>
      <c r="AP37" s="137">
        <f>Summary_LCIA!AG$32</f>
        <v>5.1165000000000002E-5</v>
      </c>
      <c r="AQ37" s="137">
        <f>Summary_LCIA!AH$32</f>
        <v>8.7036000000000006E-3</v>
      </c>
      <c r="AR37" s="137">
        <f>Summary_LCIA!AI$32</f>
        <v>9.3154999999999996E-4</v>
      </c>
      <c r="AT37" s="137">
        <f t="shared" si="7"/>
        <v>14.3252884</v>
      </c>
      <c r="AU37" s="137">
        <f t="shared" si="7"/>
        <v>208.93717415441398</v>
      </c>
      <c r="AV37" s="137">
        <f t="shared" si="7"/>
        <v>0.2219871648</v>
      </c>
      <c r="AW37" s="137">
        <f t="shared" si="7"/>
        <v>14.138950040000001</v>
      </c>
      <c r="AX37" s="137">
        <f t="shared" si="7"/>
        <v>4.6331642000000004</v>
      </c>
      <c r="AY37" s="137">
        <f t="shared" si="7"/>
        <v>0.75521841199999995</v>
      </c>
      <c r="AZ37" s="137">
        <f t="shared" si="7"/>
        <v>2.0135082380000001E-3</v>
      </c>
      <c r="BA37" s="137">
        <f t="shared" si="7"/>
        <v>3.2449434180000001</v>
      </c>
      <c r="BB37" s="137">
        <f t="shared" si="7"/>
        <v>0.96035924000000006</v>
      </c>
      <c r="BC37" s="137">
        <f t="shared" si="7"/>
        <v>0.65690595600000001</v>
      </c>
      <c r="BD37" s="137">
        <f t="shared" si="7"/>
        <v>1.7288574220000001E-3</v>
      </c>
      <c r="BE37" s="137">
        <f t="shared" si="7"/>
        <v>0.984642248</v>
      </c>
      <c r="BF37" s="137">
        <f t="shared" si="7"/>
        <v>-9.2001403400000011E-4</v>
      </c>
      <c r="BG37" s="137">
        <f t="shared" si="7"/>
        <v>2.0608516720000001E-6</v>
      </c>
      <c r="BH37" s="137">
        <f t="shared" si="7"/>
        <v>1.732862432E-2</v>
      </c>
      <c r="BI37" s="137">
        <f t="shared" si="7"/>
        <v>3.7357468540000001E-2</v>
      </c>
      <c r="BJ37" s="137">
        <f t="shared" si="6"/>
        <v>3.5641216360000005E-2</v>
      </c>
      <c r="BK37" s="137">
        <f t="shared" si="6"/>
        <v>2.1570140700000002E-3</v>
      </c>
      <c r="BL37" s="137">
        <f t="shared" si="6"/>
        <v>0.36692636880000001</v>
      </c>
      <c r="BM37" s="137">
        <f t="shared" si="6"/>
        <v>3.9272284900000003E-2</v>
      </c>
    </row>
    <row r="38" spans="1:65" x14ac:dyDescent="0.25">
      <c r="A38" s="149">
        <v>121</v>
      </c>
      <c r="B38" s="149">
        <v>6</v>
      </c>
      <c r="C38" s="61">
        <v>41.712980000000002</v>
      </c>
      <c r="D38" s="61">
        <v>-87.960780999999997</v>
      </c>
      <c r="E38" s="61" t="s">
        <v>265</v>
      </c>
      <c r="F38" s="149">
        <v>88</v>
      </c>
      <c r="G38" s="61" t="s">
        <v>674</v>
      </c>
      <c r="H38" s="61" t="s">
        <v>675</v>
      </c>
      <c r="I38" s="61">
        <v>41.786776000000003</v>
      </c>
      <c r="J38" s="61">
        <v>-87.752188000000004</v>
      </c>
      <c r="K38" s="61">
        <v>21.68769485</v>
      </c>
      <c r="L38" s="61">
        <v>26.821000000000002</v>
      </c>
      <c r="M38" s="61" t="s">
        <v>617</v>
      </c>
      <c r="N38" s="149">
        <v>5</v>
      </c>
      <c r="O38" s="149">
        <v>6</v>
      </c>
      <c r="P38" s="61" t="s">
        <v>565</v>
      </c>
      <c r="Q38" s="61" t="s">
        <v>564</v>
      </c>
      <c r="R38" s="61">
        <v>41.98028</v>
      </c>
      <c r="S38" s="61">
        <v>-87.908997900000003</v>
      </c>
      <c r="T38" s="61">
        <v>42.777999999999999</v>
      </c>
      <c r="U38" s="61" t="s">
        <v>617</v>
      </c>
      <c r="V38" s="61" t="s">
        <v>617</v>
      </c>
      <c r="W38" s="61"/>
      <c r="Y38" s="137">
        <f>Summary_LCIA!H$32</f>
        <v>0.33979999999999999</v>
      </c>
      <c r="Z38" s="137">
        <f>Summary_LCIA!Q$32</f>
        <v>4.9560504329999997</v>
      </c>
      <c r="AA38" s="137">
        <f>Summary_LCIA!R$32</f>
        <v>5.2655999999999996E-3</v>
      </c>
      <c r="AB38" s="137">
        <f>Summary_LCIA!S$32</f>
        <v>0.33538000000000001</v>
      </c>
      <c r="AC38" s="137">
        <f>Summary_LCIA!T$32</f>
        <v>0.1099</v>
      </c>
      <c r="AD38" s="137">
        <f>Summary_LCIA!U$32</f>
        <v>1.7913999999999999E-2</v>
      </c>
      <c r="AE38" s="137">
        <f>Summary_LCIA!V$32</f>
        <v>4.7760999999999999E-5</v>
      </c>
      <c r="AF38" s="137">
        <f>Summary_LCIA!W$32</f>
        <v>7.6970999999999998E-2</v>
      </c>
      <c r="AG38" s="137">
        <f>Summary_LCIA!X$32</f>
        <v>2.2780000000000002E-2</v>
      </c>
      <c r="AH38" s="137">
        <f>Summary_LCIA!Y$32</f>
        <v>1.5582E-2</v>
      </c>
      <c r="AI38" s="137">
        <f>Summary_LCIA!Z$32</f>
        <v>4.1009E-5</v>
      </c>
      <c r="AJ38" s="137">
        <f>Summary_LCIA!AA$32</f>
        <v>2.3355999999999998E-2</v>
      </c>
      <c r="AK38" s="137">
        <f>Summary_LCIA!AB$32</f>
        <v>-2.1823000000000001E-5</v>
      </c>
      <c r="AL38" s="137">
        <f>Summary_LCIA!AC$32</f>
        <v>4.8884000000000003E-8</v>
      </c>
      <c r="AM38" s="137">
        <f>Summary_LCIA!AD$32</f>
        <v>4.1103999999999999E-4</v>
      </c>
      <c r="AN38" s="137">
        <f>Summary_LCIA!AE$32</f>
        <v>8.8612999999999995E-4</v>
      </c>
      <c r="AO38" s="137">
        <f>Summary_LCIA!AF$32</f>
        <v>8.4542000000000005E-4</v>
      </c>
      <c r="AP38" s="137">
        <f>Summary_LCIA!AG$32</f>
        <v>5.1165000000000002E-5</v>
      </c>
      <c r="AQ38" s="137">
        <f>Summary_LCIA!AH$32</f>
        <v>8.7036000000000006E-3</v>
      </c>
      <c r="AR38" s="137">
        <f>Summary_LCIA!AI$32</f>
        <v>9.3154999999999996E-4</v>
      </c>
      <c r="AT38" s="137">
        <f t="shared" si="7"/>
        <v>14.535964399999999</v>
      </c>
      <c r="AU38" s="137">
        <f t="shared" si="7"/>
        <v>212.00992542287398</v>
      </c>
      <c r="AV38" s="137">
        <f t="shared" si="7"/>
        <v>0.22525183679999997</v>
      </c>
      <c r="AW38" s="137">
        <f t="shared" si="7"/>
        <v>14.34688564</v>
      </c>
      <c r="AX38" s="137">
        <f t="shared" si="7"/>
        <v>4.7013021999999998</v>
      </c>
      <c r="AY38" s="137">
        <f t="shared" si="7"/>
        <v>0.76632509199999999</v>
      </c>
      <c r="AZ38" s="137">
        <f t="shared" si="7"/>
        <v>2.043120058E-3</v>
      </c>
      <c r="BA38" s="137">
        <f t="shared" si="7"/>
        <v>3.2926654379999998</v>
      </c>
      <c r="BB38" s="137">
        <f t="shared" si="7"/>
        <v>0.97448284000000007</v>
      </c>
      <c r="BC38" s="137">
        <f t="shared" si="7"/>
        <v>0.66656679600000002</v>
      </c>
      <c r="BD38" s="137">
        <f t="shared" si="7"/>
        <v>1.7542830019999999E-3</v>
      </c>
      <c r="BE38" s="137">
        <f t="shared" si="7"/>
        <v>0.99912296799999989</v>
      </c>
      <c r="BF38" s="137">
        <f t="shared" si="7"/>
        <v>-9.3354429400000004E-4</v>
      </c>
      <c r="BG38" s="137">
        <f t="shared" si="7"/>
        <v>2.0911597520000001E-6</v>
      </c>
      <c r="BH38" s="137">
        <f t="shared" si="7"/>
        <v>1.758346912E-2</v>
      </c>
      <c r="BI38" s="137">
        <f t="shared" si="7"/>
        <v>3.7906869139999994E-2</v>
      </c>
      <c r="BJ38" s="137">
        <f t="shared" si="6"/>
        <v>3.616537676E-2</v>
      </c>
      <c r="BK38" s="137">
        <f t="shared" si="6"/>
        <v>2.18873637E-3</v>
      </c>
      <c r="BL38" s="137">
        <f t="shared" si="6"/>
        <v>0.37232260080000001</v>
      </c>
      <c r="BM38" s="137">
        <f t="shared" si="6"/>
        <v>3.98498459E-2</v>
      </c>
    </row>
    <row r="39" spans="1:65" x14ac:dyDescent="0.25">
      <c r="A39" s="149">
        <v>122</v>
      </c>
      <c r="B39" s="149">
        <v>6</v>
      </c>
      <c r="C39" s="61">
        <v>41.712980000000002</v>
      </c>
      <c r="D39" s="61">
        <v>-87.960780999999997</v>
      </c>
      <c r="E39" s="61" t="s">
        <v>265</v>
      </c>
      <c r="F39" s="149">
        <v>88</v>
      </c>
      <c r="G39" s="61" t="s">
        <v>674</v>
      </c>
      <c r="H39" s="61" t="s">
        <v>675</v>
      </c>
      <c r="I39" s="61">
        <v>41.786776000000003</v>
      </c>
      <c r="J39" s="61">
        <v>-87.752188000000004</v>
      </c>
      <c r="K39" s="61">
        <v>21.68769485</v>
      </c>
      <c r="L39" s="61">
        <v>26.821000000000002</v>
      </c>
      <c r="M39" s="61" t="s">
        <v>617</v>
      </c>
      <c r="N39" s="149">
        <v>5</v>
      </c>
      <c r="O39" s="149">
        <v>6</v>
      </c>
      <c r="P39" s="61" t="s">
        <v>565</v>
      </c>
      <c r="Q39" s="61" t="s">
        <v>564</v>
      </c>
      <c r="R39" s="61">
        <v>41.98028</v>
      </c>
      <c r="S39" s="61">
        <v>-87.908997900000003</v>
      </c>
      <c r="T39" s="61">
        <v>42.777999999999999</v>
      </c>
      <c r="U39" s="61" t="s">
        <v>617</v>
      </c>
      <c r="V39" s="61" t="s">
        <v>617</v>
      </c>
      <c r="W39" s="61"/>
      <c r="Y39" s="137">
        <f>Summary_LCIA!H$32</f>
        <v>0.33979999999999999</v>
      </c>
      <c r="Z39" s="137">
        <f>Summary_LCIA!Q$32</f>
        <v>4.9560504329999997</v>
      </c>
      <c r="AA39" s="137">
        <f>Summary_LCIA!R$32</f>
        <v>5.2655999999999996E-3</v>
      </c>
      <c r="AB39" s="137">
        <f>Summary_LCIA!S$32</f>
        <v>0.33538000000000001</v>
      </c>
      <c r="AC39" s="137">
        <f>Summary_LCIA!T$32</f>
        <v>0.1099</v>
      </c>
      <c r="AD39" s="137">
        <f>Summary_LCIA!U$32</f>
        <v>1.7913999999999999E-2</v>
      </c>
      <c r="AE39" s="137">
        <f>Summary_LCIA!V$32</f>
        <v>4.7760999999999999E-5</v>
      </c>
      <c r="AF39" s="137">
        <f>Summary_LCIA!W$32</f>
        <v>7.6970999999999998E-2</v>
      </c>
      <c r="AG39" s="137">
        <f>Summary_LCIA!X$32</f>
        <v>2.2780000000000002E-2</v>
      </c>
      <c r="AH39" s="137">
        <f>Summary_LCIA!Y$32</f>
        <v>1.5582E-2</v>
      </c>
      <c r="AI39" s="137">
        <f>Summary_LCIA!Z$32</f>
        <v>4.1009E-5</v>
      </c>
      <c r="AJ39" s="137">
        <f>Summary_LCIA!AA$32</f>
        <v>2.3355999999999998E-2</v>
      </c>
      <c r="AK39" s="137">
        <f>Summary_LCIA!AB$32</f>
        <v>-2.1823000000000001E-5</v>
      </c>
      <c r="AL39" s="137">
        <f>Summary_LCIA!AC$32</f>
        <v>4.8884000000000003E-8</v>
      </c>
      <c r="AM39" s="137">
        <f>Summary_LCIA!AD$32</f>
        <v>4.1103999999999999E-4</v>
      </c>
      <c r="AN39" s="137">
        <f>Summary_LCIA!AE$32</f>
        <v>8.8612999999999995E-4</v>
      </c>
      <c r="AO39" s="137">
        <f>Summary_LCIA!AF$32</f>
        <v>8.4542000000000005E-4</v>
      </c>
      <c r="AP39" s="137">
        <f>Summary_LCIA!AG$32</f>
        <v>5.1165000000000002E-5</v>
      </c>
      <c r="AQ39" s="137">
        <f>Summary_LCIA!AH$32</f>
        <v>8.7036000000000006E-3</v>
      </c>
      <c r="AR39" s="137">
        <f>Summary_LCIA!AI$32</f>
        <v>9.3154999999999996E-4</v>
      </c>
      <c r="AT39" s="137">
        <f t="shared" si="7"/>
        <v>14.535964399999999</v>
      </c>
      <c r="AU39" s="137">
        <f t="shared" si="7"/>
        <v>212.00992542287398</v>
      </c>
      <c r="AV39" s="137">
        <f t="shared" si="7"/>
        <v>0.22525183679999997</v>
      </c>
      <c r="AW39" s="137">
        <f t="shared" si="7"/>
        <v>14.34688564</v>
      </c>
      <c r="AX39" s="137">
        <f t="shared" si="7"/>
        <v>4.7013021999999998</v>
      </c>
      <c r="AY39" s="137">
        <f t="shared" si="7"/>
        <v>0.76632509199999999</v>
      </c>
      <c r="AZ39" s="137">
        <f t="shared" si="7"/>
        <v>2.043120058E-3</v>
      </c>
      <c r="BA39" s="137">
        <f t="shared" si="7"/>
        <v>3.2926654379999998</v>
      </c>
      <c r="BB39" s="137">
        <f t="shared" si="7"/>
        <v>0.97448284000000007</v>
      </c>
      <c r="BC39" s="137">
        <f t="shared" si="7"/>
        <v>0.66656679600000002</v>
      </c>
      <c r="BD39" s="137">
        <f t="shared" si="7"/>
        <v>1.7542830019999999E-3</v>
      </c>
      <c r="BE39" s="137">
        <f t="shared" si="7"/>
        <v>0.99912296799999989</v>
      </c>
      <c r="BF39" s="137">
        <f t="shared" si="7"/>
        <v>-9.3354429400000004E-4</v>
      </c>
      <c r="BG39" s="137">
        <f t="shared" si="7"/>
        <v>2.0911597520000001E-6</v>
      </c>
      <c r="BH39" s="137">
        <f t="shared" si="7"/>
        <v>1.758346912E-2</v>
      </c>
      <c r="BI39" s="137">
        <f t="shared" si="7"/>
        <v>3.7906869139999994E-2</v>
      </c>
      <c r="BJ39" s="137">
        <f t="shared" si="6"/>
        <v>3.616537676E-2</v>
      </c>
      <c r="BK39" s="137">
        <f t="shared" si="6"/>
        <v>2.18873637E-3</v>
      </c>
      <c r="BL39" s="137">
        <f t="shared" si="6"/>
        <v>0.37232260080000001</v>
      </c>
      <c r="BM39" s="137">
        <f t="shared" si="6"/>
        <v>3.98498459E-2</v>
      </c>
    </row>
    <row r="40" spans="1:65" x14ac:dyDescent="0.25">
      <c r="A40" s="149">
        <v>123</v>
      </c>
      <c r="B40" s="149">
        <v>6</v>
      </c>
      <c r="C40" s="61">
        <v>41.712980000000002</v>
      </c>
      <c r="D40" s="61">
        <v>-87.960780999999997</v>
      </c>
      <c r="E40" s="61" t="s">
        <v>265</v>
      </c>
      <c r="F40" s="149">
        <v>88</v>
      </c>
      <c r="G40" s="61" t="s">
        <v>674</v>
      </c>
      <c r="H40" s="61" t="s">
        <v>675</v>
      </c>
      <c r="I40" s="61">
        <v>41.786776000000003</v>
      </c>
      <c r="J40" s="61">
        <v>-87.752188000000004</v>
      </c>
      <c r="K40" s="61">
        <v>21.68769485</v>
      </c>
      <c r="L40" s="61">
        <v>26.821000000000002</v>
      </c>
      <c r="M40" s="61" t="s">
        <v>617</v>
      </c>
      <c r="N40" s="149">
        <v>5</v>
      </c>
      <c r="O40" s="149">
        <v>6</v>
      </c>
      <c r="P40" s="61" t="s">
        <v>565</v>
      </c>
      <c r="Q40" s="61" t="s">
        <v>564</v>
      </c>
      <c r="R40" s="61">
        <v>41.98028</v>
      </c>
      <c r="S40" s="61">
        <v>-87.908997900000003</v>
      </c>
      <c r="T40" s="61">
        <v>42.777999999999999</v>
      </c>
      <c r="U40" s="61" t="s">
        <v>617</v>
      </c>
      <c r="V40" s="61" t="s">
        <v>617</v>
      </c>
      <c r="W40" s="61"/>
      <c r="Y40" s="137">
        <f>Summary_LCIA!H$32</f>
        <v>0.33979999999999999</v>
      </c>
      <c r="Z40" s="137">
        <f>Summary_LCIA!Q$32</f>
        <v>4.9560504329999997</v>
      </c>
      <c r="AA40" s="137">
        <f>Summary_LCIA!R$32</f>
        <v>5.2655999999999996E-3</v>
      </c>
      <c r="AB40" s="137">
        <f>Summary_LCIA!S$32</f>
        <v>0.33538000000000001</v>
      </c>
      <c r="AC40" s="137">
        <f>Summary_LCIA!T$32</f>
        <v>0.1099</v>
      </c>
      <c r="AD40" s="137">
        <f>Summary_LCIA!U$32</f>
        <v>1.7913999999999999E-2</v>
      </c>
      <c r="AE40" s="137">
        <f>Summary_LCIA!V$32</f>
        <v>4.7760999999999999E-5</v>
      </c>
      <c r="AF40" s="137">
        <f>Summary_LCIA!W$32</f>
        <v>7.6970999999999998E-2</v>
      </c>
      <c r="AG40" s="137">
        <f>Summary_LCIA!X$32</f>
        <v>2.2780000000000002E-2</v>
      </c>
      <c r="AH40" s="137">
        <f>Summary_LCIA!Y$32</f>
        <v>1.5582E-2</v>
      </c>
      <c r="AI40" s="137">
        <f>Summary_LCIA!Z$32</f>
        <v>4.1009E-5</v>
      </c>
      <c r="AJ40" s="137">
        <f>Summary_LCIA!AA$32</f>
        <v>2.3355999999999998E-2</v>
      </c>
      <c r="AK40" s="137">
        <f>Summary_LCIA!AB$32</f>
        <v>-2.1823000000000001E-5</v>
      </c>
      <c r="AL40" s="137">
        <f>Summary_LCIA!AC$32</f>
        <v>4.8884000000000003E-8</v>
      </c>
      <c r="AM40" s="137">
        <f>Summary_LCIA!AD$32</f>
        <v>4.1103999999999999E-4</v>
      </c>
      <c r="AN40" s="137">
        <f>Summary_LCIA!AE$32</f>
        <v>8.8612999999999995E-4</v>
      </c>
      <c r="AO40" s="137">
        <f>Summary_LCIA!AF$32</f>
        <v>8.4542000000000005E-4</v>
      </c>
      <c r="AP40" s="137">
        <f>Summary_LCIA!AG$32</f>
        <v>5.1165000000000002E-5</v>
      </c>
      <c r="AQ40" s="137">
        <f>Summary_LCIA!AH$32</f>
        <v>8.7036000000000006E-3</v>
      </c>
      <c r="AR40" s="137">
        <f>Summary_LCIA!AI$32</f>
        <v>9.3154999999999996E-4</v>
      </c>
      <c r="AT40" s="137">
        <f t="shared" si="7"/>
        <v>14.535964399999999</v>
      </c>
      <c r="AU40" s="137">
        <f t="shared" si="7"/>
        <v>212.00992542287398</v>
      </c>
      <c r="AV40" s="137">
        <f t="shared" si="7"/>
        <v>0.22525183679999997</v>
      </c>
      <c r="AW40" s="137">
        <f t="shared" si="7"/>
        <v>14.34688564</v>
      </c>
      <c r="AX40" s="137">
        <f t="shared" si="7"/>
        <v>4.7013021999999998</v>
      </c>
      <c r="AY40" s="137">
        <f t="shared" si="7"/>
        <v>0.76632509199999999</v>
      </c>
      <c r="AZ40" s="137">
        <f t="shared" si="7"/>
        <v>2.043120058E-3</v>
      </c>
      <c r="BA40" s="137">
        <f t="shared" si="7"/>
        <v>3.2926654379999998</v>
      </c>
      <c r="BB40" s="137">
        <f t="shared" si="7"/>
        <v>0.97448284000000007</v>
      </c>
      <c r="BC40" s="137">
        <f t="shared" si="7"/>
        <v>0.66656679600000002</v>
      </c>
      <c r="BD40" s="137">
        <f t="shared" si="7"/>
        <v>1.7542830019999999E-3</v>
      </c>
      <c r="BE40" s="137">
        <f t="shared" si="7"/>
        <v>0.99912296799999989</v>
      </c>
      <c r="BF40" s="137">
        <f t="shared" si="7"/>
        <v>-9.3354429400000004E-4</v>
      </c>
      <c r="BG40" s="137">
        <f t="shared" si="7"/>
        <v>2.0911597520000001E-6</v>
      </c>
      <c r="BH40" s="137">
        <f t="shared" si="7"/>
        <v>1.758346912E-2</v>
      </c>
      <c r="BI40" s="137">
        <f t="shared" si="7"/>
        <v>3.7906869139999994E-2</v>
      </c>
      <c r="BJ40" s="137">
        <f t="shared" si="6"/>
        <v>3.616537676E-2</v>
      </c>
      <c r="BK40" s="137">
        <f t="shared" si="6"/>
        <v>2.18873637E-3</v>
      </c>
      <c r="BL40" s="137">
        <f t="shared" si="6"/>
        <v>0.37232260080000001</v>
      </c>
      <c r="BM40" s="137">
        <f t="shared" si="6"/>
        <v>3.98498459E-2</v>
      </c>
    </row>
    <row r="41" spans="1:65" x14ac:dyDescent="0.25">
      <c r="A41" s="149">
        <v>124</v>
      </c>
      <c r="B41" s="149">
        <v>6</v>
      </c>
      <c r="C41" s="61">
        <v>41.712980000000002</v>
      </c>
      <c r="D41" s="61">
        <v>-87.960780999999997</v>
      </c>
      <c r="E41" s="61" t="s">
        <v>265</v>
      </c>
      <c r="F41" s="149">
        <v>88</v>
      </c>
      <c r="G41" s="61" t="s">
        <v>674</v>
      </c>
      <c r="H41" s="61" t="s">
        <v>675</v>
      </c>
      <c r="I41" s="61">
        <v>41.786776000000003</v>
      </c>
      <c r="J41" s="61">
        <v>-87.752188000000004</v>
      </c>
      <c r="K41" s="61">
        <v>21.68769485</v>
      </c>
      <c r="L41" s="61">
        <v>26.821000000000002</v>
      </c>
      <c r="M41" s="61" t="s">
        <v>617</v>
      </c>
      <c r="N41" s="149">
        <v>5</v>
      </c>
      <c r="O41" s="149">
        <v>6</v>
      </c>
      <c r="P41" s="61" t="s">
        <v>565</v>
      </c>
      <c r="Q41" s="61" t="s">
        <v>564</v>
      </c>
      <c r="R41" s="61">
        <v>41.98028</v>
      </c>
      <c r="S41" s="61">
        <v>-87.908997900000003</v>
      </c>
      <c r="T41" s="61">
        <v>42.777999999999999</v>
      </c>
      <c r="U41" s="61" t="s">
        <v>617</v>
      </c>
      <c r="V41" s="61" t="s">
        <v>617</v>
      </c>
      <c r="W41" s="61"/>
      <c r="Y41" s="137">
        <f>Summary_LCIA!H$32</f>
        <v>0.33979999999999999</v>
      </c>
      <c r="Z41" s="137">
        <f>Summary_LCIA!Q$32</f>
        <v>4.9560504329999997</v>
      </c>
      <c r="AA41" s="137">
        <f>Summary_LCIA!R$32</f>
        <v>5.2655999999999996E-3</v>
      </c>
      <c r="AB41" s="137">
        <f>Summary_LCIA!S$32</f>
        <v>0.33538000000000001</v>
      </c>
      <c r="AC41" s="137">
        <f>Summary_LCIA!T$32</f>
        <v>0.1099</v>
      </c>
      <c r="AD41" s="137">
        <f>Summary_LCIA!U$32</f>
        <v>1.7913999999999999E-2</v>
      </c>
      <c r="AE41" s="137">
        <f>Summary_LCIA!V$32</f>
        <v>4.7760999999999999E-5</v>
      </c>
      <c r="AF41" s="137">
        <f>Summary_LCIA!W$32</f>
        <v>7.6970999999999998E-2</v>
      </c>
      <c r="AG41" s="137">
        <f>Summary_LCIA!X$32</f>
        <v>2.2780000000000002E-2</v>
      </c>
      <c r="AH41" s="137">
        <f>Summary_LCIA!Y$32</f>
        <v>1.5582E-2</v>
      </c>
      <c r="AI41" s="137">
        <f>Summary_LCIA!Z$32</f>
        <v>4.1009E-5</v>
      </c>
      <c r="AJ41" s="137">
        <f>Summary_LCIA!AA$32</f>
        <v>2.3355999999999998E-2</v>
      </c>
      <c r="AK41" s="137">
        <f>Summary_LCIA!AB$32</f>
        <v>-2.1823000000000001E-5</v>
      </c>
      <c r="AL41" s="137">
        <f>Summary_LCIA!AC$32</f>
        <v>4.8884000000000003E-8</v>
      </c>
      <c r="AM41" s="137">
        <f>Summary_LCIA!AD$32</f>
        <v>4.1103999999999999E-4</v>
      </c>
      <c r="AN41" s="137">
        <f>Summary_LCIA!AE$32</f>
        <v>8.8612999999999995E-4</v>
      </c>
      <c r="AO41" s="137">
        <f>Summary_LCIA!AF$32</f>
        <v>8.4542000000000005E-4</v>
      </c>
      <c r="AP41" s="137">
        <f>Summary_LCIA!AG$32</f>
        <v>5.1165000000000002E-5</v>
      </c>
      <c r="AQ41" s="137">
        <f>Summary_LCIA!AH$32</f>
        <v>8.7036000000000006E-3</v>
      </c>
      <c r="AR41" s="137">
        <f>Summary_LCIA!AI$32</f>
        <v>9.3154999999999996E-4</v>
      </c>
      <c r="AT41" s="137">
        <f t="shared" si="7"/>
        <v>14.535964399999999</v>
      </c>
      <c r="AU41" s="137">
        <f t="shared" si="7"/>
        <v>212.00992542287398</v>
      </c>
      <c r="AV41" s="137">
        <f t="shared" si="7"/>
        <v>0.22525183679999997</v>
      </c>
      <c r="AW41" s="137">
        <f t="shared" si="7"/>
        <v>14.34688564</v>
      </c>
      <c r="AX41" s="137">
        <f t="shared" si="7"/>
        <v>4.7013021999999998</v>
      </c>
      <c r="AY41" s="137">
        <f t="shared" si="7"/>
        <v>0.76632509199999999</v>
      </c>
      <c r="AZ41" s="137">
        <f t="shared" si="7"/>
        <v>2.043120058E-3</v>
      </c>
      <c r="BA41" s="137">
        <f t="shared" si="7"/>
        <v>3.2926654379999998</v>
      </c>
      <c r="BB41" s="137">
        <f t="shared" si="7"/>
        <v>0.97448284000000007</v>
      </c>
      <c r="BC41" s="137">
        <f t="shared" si="7"/>
        <v>0.66656679600000002</v>
      </c>
      <c r="BD41" s="137">
        <f t="shared" si="7"/>
        <v>1.7542830019999999E-3</v>
      </c>
      <c r="BE41" s="137">
        <f t="shared" si="7"/>
        <v>0.99912296799999989</v>
      </c>
      <c r="BF41" s="137">
        <f t="shared" si="7"/>
        <v>-9.3354429400000004E-4</v>
      </c>
      <c r="BG41" s="137">
        <f t="shared" si="7"/>
        <v>2.0911597520000001E-6</v>
      </c>
      <c r="BH41" s="137">
        <f t="shared" si="7"/>
        <v>1.758346912E-2</v>
      </c>
      <c r="BI41" s="137">
        <f t="shared" si="7"/>
        <v>3.7906869139999994E-2</v>
      </c>
      <c r="BJ41" s="137">
        <f t="shared" si="6"/>
        <v>3.616537676E-2</v>
      </c>
      <c r="BK41" s="137">
        <f t="shared" si="6"/>
        <v>2.18873637E-3</v>
      </c>
      <c r="BL41" s="137">
        <f t="shared" si="6"/>
        <v>0.37232260080000001</v>
      </c>
      <c r="BM41" s="137">
        <f t="shared" si="6"/>
        <v>3.98498459E-2</v>
      </c>
    </row>
    <row r="42" spans="1:65" x14ac:dyDescent="0.25">
      <c r="A42" s="149">
        <v>125</v>
      </c>
      <c r="B42" s="149">
        <v>6</v>
      </c>
      <c r="C42" s="61">
        <v>41.712980000000002</v>
      </c>
      <c r="D42" s="61">
        <v>-87.960780999999997</v>
      </c>
      <c r="E42" s="61" t="s">
        <v>265</v>
      </c>
      <c r="F42" s="149">
        <v>88</v>
      </c>
      <c r="G42" s="61" t="s">
        <v>674</v>
      </c>
      <c r="H42" s="61" t="s">
        <v>675</v>
      </c>
      <c r="I42" s="61">
        <v>41.786776000000003</v>
      </c>
      <c r="J42" s="61">
        <v>-87.752188000000004</v>
      </c>
      <c r="K42" s="61">
        <v>21.68769485</v>
      </c>
      <c r="L42" s="61">
        <v>26.821000000000002</v>
      </c>
      <c r="M42" s="61" t="s">
        <v>617</v>
      </c>
      <c r="N42" s="149">
        <v>5</v>
      </c>
      <c r="O42" s="149">
        <v>6</v>
      </c>
      <c r="P42" s="61" t="s">
        <v>565</v>
      </c>
      <c r="Q42" s="61" t="s">
        <v>564</v>
      </c>
      <c r="R42" s="61">
        <v>41.98028</v>
      </c>
      <c r="S42" s="61">
        <v>-87.908997900000003</v>
      </c>
      <c r="T42" s="61">
        <v>42.777999999999999</v>
      </c>
      <c r="U42" s="61" t="s">
        <v>617</v>
      </c>
      <c r="V42" s="61" t="s">
        <v>617</v>
      </c>
      <c r="W42" s="61"/>
      <c r="Y42" s="137">
        <f>Summary_LCIA!H$32</f>
        <v>0.33979999999999999</v>
      </c>
      <c r="Z42" s="137">
        <f>Summary_LCIA!Q$32</f>
        <v>4.9560504329999997</v>
      </c>
      <c r="AA42" s="137">
        <f>Summary_LCIA!R$32</f>
        <v>5.2655999999999996E-3</v>
      </c>
      <c r="AB42" s="137">
        <f>Summary_LCIA!S$32</f>
        <v>0.33538000000000001</v>
      </c>
      <c r="AC42" s="137">
        <f>Summary_LCIA!T$32</f>
        <v>0.1099</v>
      </c>
      <c r="AD42" s="137">
        <f>Summary_LCIA!U$32</f>
        <v>1.7913999999999999E-2</v>
      </c>
      <c r="AE42" s="137">
        <f>Summary_LCIA!V$32</f>
        <v>4.7760999999999999E-5</v>
      </c>
      <c r="AF42" s="137">
        <f>Summary_LCIA!W$32</f>
        <v>7.6970999999999998E-2</v>
      </c>
      <c r="AG42" s="137">
        <f>Summary_LCIA!X$32</f>
        <v>2.2780000000000002E-2</v>
      </c>
      <c r="AH42" s="137">
        <f>Summary_LCIA!Y$32</f>
        <v>1.5582E-2</v>
      </c>
      <c r="AI42" s="137">
        <f>Summary_LCIA!Z$32</f>
        <v>4.1009E-5</v>
      </c>
      <c r="AJ42" s="137">
        <f>Summary_LCIA!AA$32</f>
        <v>2.3355999999999998E-2</v>
      </c>
      <c r="AK42" s="137">
        <f>Summary_LCIA!AB$32</f>
        <v>-2.1823000000000001E-5</v>
      </c>
      <c r="AL42" s="137">
        <f>Summary_LCIA!AC$32</f>
        <v>4.8884000000000003E-8</v>
      </c>
      <c r="AM42" s="137">
        <f>Summary_LCIA!AD$32</f>
        <v>4.1103999999999999E-4</v>
      </c>
      <c r="AN42" s="137">
        <f>Summary_LCIA!AE$32</f>
        <v>8.8612999999999995E-4</v>
      </c>
      <c r="AO42" s="137">
        <f>Summary_LCIA!AF$32</f>
        <v>8.4542000000000005E-4</v>
      </c>
      <c r="AP42" s="137">
        <f>Summary_LCIA!AG$32</f>
        <v>5.1165000000000002E-5</v>
      </c>
      <c r="AQ42" s="137">
        <f>Summary_LCIA!AH$32</f>
        <v>8.7036000000000006E-3</v>
      </c>
      <c r="AR42" s="137">
        <f>Summary_LCIA!AI$32</f>
        <v>9.3154999999999996E-4</v>
      </c>
      <c r="AT42" s="137">
        <f t="shared" si="7"/>
        <v>14.535964399999999</v>
      </c>
      <c r="AU42" s="137">
        <f t="shared" si="7"/>
        <v>212.00992542287398</v>
      </c>
      <c r="AV42" s="137">
        <f t="shared" si="7"/>
        <v>0.22525183679999997</v>
      </c>
      <c r="AW42" s="137">
        <f t="shared" si="7"/>
        <v>14.34688564</v>
      </c>
      <c r="AX42" s="137">
        <f t="shared" si="7"/>
        <v>4.7013021999999998</v>
      </c>
      <c r="AY42" s="137">
        <f t="shared" si="7"/>
        <v>0.76632509199999999</v>
      </c>
      <c r="AZ42" s="137">
        <f t="shared" si="7"/>
        <v>2.043120058E-3</v>
      </c>
      <c r="BA42" s="137">
        <f t="shared" si="7"/>
        <v>3.2926654379999998</v>
      </c>
      <c r="BB42" s="137">
        <f t="shared" si="7"/>
        <v>0.97448284000000007</v>
      </c>
      <c r="BC42" s="137">
        <f t="shared" si="7"/>
        <v>0.66656679600000002</v>
      </c>
      <c r="BD42" s="137">
        <f t="shared" si="7"/>
        <v>1.7542830019999999E-3</v>
      </c>
      <c r="BE42" s="137">
        <f t="shared" si="7"/>
        <v>0.99912296799999989</v>
      </c>
      <c r="BF42" s="137">
        <f t="shared" si="7"/>
        <v>-9.3354429400000004E-4</v>
      </c>
      <c r="BG42" s="137">
        <f t="shared" si="7"/>
        <v>2.0911597520000001E-6</v>
      </c>
      <c r="BH42" s="137">
        <f t="shared" si="7"/>
        <v>1.758346912E-2</v>
      </c>
      <c r="BI42" s="137">
        <f t="shared" si="7"/>
        <v>3.7906869139999994E-2</v>
      </c>
      <c r="BJ42" s="137">
        <f t="shared" si="6"/>
        <v>3.616537676E-2</v>
      </c>
      <c r="BK42" s="137">
        <f t="shared" si="6"/>
        <v>2.18873637E-3</v>
      </c>
      <c r="BL42" s="137">
        <f t="shared" si="6"/>
        <v>0.37232260080000001</v>
      </c>
      <c r="BM42" s="137">
        <f t="shared" si="6"/>
        <v>3.98498459E-2</v>
      </c>
    </row>
    <row r="43" spans="1:65" x14ac:dyDescent="0.25">
      <c r="A43" s="149">
        <v>126</v>
      </c>
      <c r="B43" s="149">
        <v>6</v>
      </c>
      <c r="C43" s="61">
        <v>41.712980000000002</v>
      </c>
      <c r="D43" s="61">
        <v>-87.960780999999997</v>
      </c>
      <c r="E43" s="61" t="s">
        <v>265</v>
      </c>
      <c r="F43" s="149">
        <v>88</v>
      </c>
      <c r="G43" s="61" t="s">
        <v>674</v>
      </c>
      <c r="H43" s="61" t="s">
        <v>675</v>
      </c>
      <c r="I43" s="61">
        <v>41.786776000000003</v>
      </c>
      <c r="J43" s="61">
        <v>-87.752188000000004</v>
      </c>
      <c r="K43" s="61">
        <v>21.68769485</v>
      </c>
      <c r="L43" s="61">
        <v>26.821000000000002</v>
      </c>
      <c r="M43" s="61" t="s">
        <v>617</v>
      </c>
      <c r="N43" s="149">
        <v>5</v>
      </c>
      <c r="O43" s="149">
        <v>6</v>
      </c>
      <c r="P43" s="61" t="s">
        <v>565</v>
      </c>
      <c r="Q43" s="61" t="s">
        <v>564</v>
      </c>
      <c r="R43" s="61">
        <v>41.98028</v>
      </c>
      <c r="S43" s="61">
        <v>-87.908997900000003</v>
      </c>
      <c r="T43" s="61">
        <v>42.777999999999999</v>
      </c>
      <c r="U43" s="61" t="s">
        <v>617</v>
      </c>
      <c r="V43" s="61" t="s">
        <v>617</v>
      </c>
      <c r="W43" s="61"/>
      <c r="Y43" s="137">
        <f>Summary_LCIA!H$32</f>
        <v>0.33979999999999999</v>
      </c>
      <c r="Z43" s="137">
        <f>Summary_LCIA!Q$32</f>
        <v>4.9560504329999997</v>
      </c>
      <c r="AA43" s="137">
        <f>Summary_LCIA!R$32</f>
        <v>5.2655999999999996E-3</v>
      </c>
      <c r="AB43" s="137">
        <f>Summary_LCIA!S$32</f>
        <v>0.33538000000000001</v>
      </c>
      <c r="AC43" s="137">
        <f>Summary_LCIA!T$32</f>
        <v>0.1099</v>
      </c>
      <c r="AD43" s="137">
        <f>Summary_LCIA!U$32</f>
        <v>1.7913999999999999E-2</v>
      </c>
      <c r="AE43" s="137">
        <f>Summary_LCIA!V$32</f>
        <v>4.7760999999999999E-5</v>
      </c>
      <c r="AF43" s="137">
        <f>Summary_LCIA!W$32</f>
        <v>7.6970999999999998E-2</v>
      </c>
      <c r="AG43" s="137">
        <f>Summary_LCIA!X$32</f>
        <v>2.2780000000000002E-2</v>
      </c>
      <c r="AH43" s="137">
        <f>Summary_LCIA!Y$32</f>
        <v>1.5582E-2</v>
      </c>
      <c r="AI43" s="137">
        <f>Summary_LCIA!Z$32</f>
        <v>4.1009E-5</v>
      </c>
      <c r="AJ43" s="137">
        <f>Summary_LCIA!AA$32</f>
        <v>2.3355999999999998E-2</v>
      </c>
      <c r="AK43" s="137">
        <f>Summary_LCIA!AB$32</f>
        <v>-2.1823000000000001E-5</v>
      </c>
      <c r="AL43" s="137">
        <f>Summary_LCIA!AC$32</f>
        <v>4.8884000000000003E-8</v>
      </c>
      <c r="AM43" s="137">
        <f>Summary_LCIA!AD$32</f>
        <v>4.1103999999999999E-4</v>
      </c>
      <c r="AN43" s="137">
        <f>Summary_LCIA!AE$32</f>
        <v>8.8612999999999995E-4</v>
      </c>
      <c r="AO43" s="137">
        <f>Summary_LCIA!AF$32</f>
        <v>8.4542000000000005E-4</v>
      </c>
      <c r="AP43" s="137">
        <f>Summary_LCIA!AG$32</f>
        <v>5.1165000000000002E-5</v>
      </c>
      <c r="AQ43" s="137">
        <f>Summary_LCIA!AH$32</f>
        <v>8.7036000000000006E-3</v>
      </c>
      <c r="AR43" s="137">
        <f>Summary_LCIA!AI$32</f>
        <v>9.3154999999999996E-4</v>
      </c>
      <c r="AT43" s="137">
        <f t="shared" si="7"/>
        <v>14.535964399999999</v>
      </c>
      <c r="AU43" s="137">
        <f t="shared" si="7"/>
        <v>212.00992542287398</v>
      </c>
      <c r="AV43" s="137">
        <f t="shared" si="7"/>
        <v>0.22525183679999997</v>
      </c>
      <c r="AW43" s="137">
        <f t="shared" si="7"/>
        <v>14.34688564</v>
      </c>
      <c r="AX43" s="137">
        <f t="shared" si="7"/>
        <v>4.7013021999999998</v>
      </c>
      <c r="AY43" s="137">
        <f t="shared" si="7"/>
        <v>0.76632509199999999</v>
      </c>
      <c r="AZ43" s="137">
        <f t="shared" si="7"/>
        <v>2.043120058E-3</v>
      </c>
      <c r="BA43" s="137">
        <f t="shared" si="7"/>
        <v>3.2926654379999998</v>
      </c>
      <c r="BB43" s="137">
        <f t="shared" si="7"/>
        <v>0.97448284000000007</v>
      </c>
      <c r="BC43" s="137">
        <f t="shared" si="7"/>
        <v>0.66656679600000002</v>
      </c>
      <c r="BD43" s="137">
        <f t="shared" si="7"/>
        <v>1.7542830019999999E-3</v>
      </c>
      <c r="BE43" s="137">
        <f t="shared" si="7"/>
        <v>0.99912296799999989</v>
      </c>
      <c r="BF43" s="137">
        <f t="shared" si="7"/>
        <v>-9.3354429400000004E-4</v>
      </c>
      <c r="BG43" s="137">
        <f t="shared" si="7"/>
        <v>2.0911597520000001E-6</v>
      </c>
      <c r="BH43" s="137">
        <f t="shared" si="7"/>
        <v>1.758346912E-2</v>
      </c>
      <c r="BI43" s="137">
        <f t="shared" si="7"/>
        <v>3.7906869139999994E-2</v>
      </c>
      <c r="BJ43" s="137">
        <f t="shared" si="6"/>
        <v>3.616537676E-2</v>
      </c>
      <c r="BK43" s="137">
        <f t="shared" si="6"/>
        <v>2.18873637E-3</v>
      </c>
      <c r="BL43" s="137">
        <f t="shared" si="6"/>
        <v>0.37232260080000001</v>
      </c>
      <c r="BM43" s="137">
        <f t="shared" si="6"/>
        <v>3.98498459E-2</v>
      </c>
    </row>
    <row r="44" spans="1:65" x14ac:dyDescent="0.25">
      <c r="A44" s="149">
        <v>228</v>
      </c>
      <c r="B44" s="149">
        <v>6</v>
      </c>
      <c r="C44" s="61">
        <v>41.743507000000001</v>
      </c>
      <c r="D44" s="61">
        <v>-88.011847000000003</v>
      </c>
      <c r="E44" s="61" t="s">
        <v>265</v>
      </c>
      <c r="F44" s="149">
        <v>88</v>
      </c>
      <c r="G44" s="61" t="s">
        <v>674</v>
      </c>
      <c r="H44" s="61" t="s">
        <v>675</v>
      </c>
      <c r="I44" s="61">
        <v>41.786776000000003</v>
      </c>
      <c r="J44" s="61">
        <v>-87.752188000000004</v>
      </c>
      <c r="K44" s="61">
        <v>22.97844104</v>
      </c>
      <c r="L44" s="61">
        <v>30.356000000000002</v>
      </c>
      <c r="M44" s="61" t="s">
        <v>617</v>
      </c>
      <c r="N44" s="149">
        <v>5</v>
      </c>
      <c r="O44" s="149">
        <v>6</v>
      </c>
      <c r="P44" s="61" t="s">
        <v>565</v>
      </c>
      <c r="Q44" s="61" t="s">
        <v>564</v>
      </c>
      <c r="R44" s="61">
        <v>41.98028</v>
      </c>
      <c r="S44" s="61">
        <v>-87.908997900000003</v>
      </c>
      <c r="T44" s="61">
        <v>44.277999999999999</v>
      </c>
      <c r="U44" s="61" t="s">
        <v>617</v>
      </c>
      <c r="V44" s="61" t="s">
        <v>617</v>
      </c>
      <c r="W44" s="61"/>
      <c r="Y44" s="137">
        <f>Summary_LCIA!H$32</f>
        <v>0.33979999999999999</v>
      </c>
      <c r="Z44" s="137">
        <f>Summary_LCIA!Q$32</f>
        <v>4.9560504329999997</v>
      </c>
      <c r="AA44" s="137">
        <f>Summary_LCIA!R$32</f>
        <v>5.2655999999999996E-3</v>
      </c>
      <c r="AB44" s="137">
        <f>Summary_LCIA!S$32</f>
        <v>0.33538000000000001</v>
      </c>
      <c r="AC44" s="137">
        <f>Summary_LCIA!T$32</f>
        <v>0.1099</v>
      </c>
      <c r="AD44" s="137">
        <f>Summary_LCIA!U$32</f>
        <v>1.7913999999999999E-2</v>
      </c>
      <c r="AE44" s="137">
        <f>Summary_LCIA!V$32</f>
        <v>4.7760999999999999E-5</v>
      </c>
      <c r="AF44" s="137">
        <f>Summary_LCIA!W$32</f>
        <v>7.6970999999999998E-2</v>
      </c>
      <c r="AG44" s="137">
        <f>Summary_LCIA!X$32</f>
        <v>2.2780000000000002E-2</v>
      </c>
      <c r="AH44" s="137">
        <f>Summary_LCIA!Y$32</f>
        <v>1.5582E-2</v>
      </c>
      <c r="AI44" s="137">
        <f>Summary_LCIA!Z$32</f>
        <v>4.1009E-5</v>
      </c>
      <c r="AJ44" s="137">
        <f>Summary_LCIA!AA$32</f>
        <v>2.3355999999999998E-2</v>
      </c>
      <c r="AK44" s="137">
        <f>Summary_LCIA!AB$32</f>
        <v>-2.1823000000000001E-5</v>
      </c>
      <c r="AL44" s="137">
        <f>Summary_LCIA!AC$32</f>
        <v>4.8884000000000003E-8</v>
      </c>
      <c r="AM44" s="137">
        <f>Summary_LCIA!AD$32</f>
        <v>4.1103999999999999E-4</v>
      </c>
      <c r="AN44" s="137">
        <f>Summary_LCIA!AE$32</f>
        <v>8.8612999999999995E-4</v>
      </c>
      <c r="AO44" s="137">
        <f>Summary_LCIA!AF$32</f>
        <v>8.4542000000000005E-4</v>
      </c>
      <c r="AP44" s="137">
        <f>Summary_LCIA!AG$32</f>
        <v>5.1165000000000002E-5</v>
      </c>
      <c r="AQ44" s="137">
        <f>Summary_LCIA!AH$32</f>
        <v>8.7036000000000006E-3</v>
      </c>
      <c r="AR44" s="137">
        <f>Summary_LCIA!AI$32</f>
        <v>9.3154999999999996E-4</v>
      </c>
      <c r="AT44" s="137">
        <f t="shared" si="7"/>
        <v>15.0456644</v>
      </c>
      <c r="AU44" s="137">
        <f t="shared" si="7"/>
        <v>219.44400107237399</v>
      </c>
      <c r="AV44" s="137">
        <f t="shared" si="7"/>
        <v>0.23315023679999997</v>
      </c>
      <c r="AW44" s="137">
        <f t="shared" si="7"/>
        <v>14.849955639999999</v>
      </c>
      <c r="AX44" s="137">
        <f t="shared" si="7"/>
        <v>4.8661522000000001</v>
      </c>
      <c r="AY44" s="137">
        <f t="shared" si="7"/>
        <v>0.79319609199999996</v>
      </c>
      <c r="AZ44" s="137">
        <f t="shared" si="7"/>
        <v>2.1147615580000001E-3</v>
      </c>
      <c r="BA44" s="137">
        <f t="shared" si="7"/>
        <v>3.4081219379999999</v>
      </c>
      <c r="BB44" s="137">
        <f t="shared" si="7"/>
        <v>1.0086528400000001</v>
      </c>
      <c r="BC44" s="137">
        <f t="shared" si="7"/>
        <v>0.68993979599999999</v>
      </c>
      <c r="BD44" s="137">
        <f t="shared" si="7"/>
        <v>1.8157965019999999E-3</v>
      </c>
      <c r="BE44" s="137">
        <f t="shared" si="7"/>
        <v>1.0341569679999998</v>
      </c>
      <c r="BF44" s="137">
        <f t="shared" si="7"/>
        <v>-9.6627879399999997E-4</v>
      </c>
      <c r="BG44" s="137">
        <f t="shared" si="7"/>
        <v>2.1644857520000002E-6</v>
      </c>
      <c r="BH44" s="137">
        <f t="shared" si="7"/>
        <v>1.8200029119999999E-2</v>
      </c>
      <c r="BI44" s="137">
        <f t="shared" si="7"/>
        <v>3.9236064139999999E-2</v>
      </c>
      <c r="BJ44" s="137">
        <f t="shared" si="6"/>
        <v>3.7433506759999999E-2</v>
      </c>
      <c r="BK44" s="137">
        <f t="shared" si="6"/>
        <v>2.26548387E-3</v>
      </c>
      <c r="BL44" s="137">
        <f t="shared" si="6"/>
        <v>0.38537800080000001</v>
      </c>
      <c r="BM44" s="137">
        <f t="shared" si="6"/>
        <v>4.1247170899999998E-2</v>
      </c>
    </row>
    <row r="45" spans="1:65" x14ac:dyDescent="0.25">
      <c r="A45" s="149">
        <v>229</v>
      </c>
      <c r="B45" s="149">
        <v>6</v>
      </c>
      <c r="C45" s="61">
        <v>41.743507000000001</v>
      </c>
      <c r="D45" s="61">
        <v>-88.011847000000003</v>
      </c>
      <c r="E45" s="61" t="s">
        <v>265</v>
      </c>
      <c r="F45" s="149">
        <v>88</v>
      </c>
      <c r="G45" s="61" t="s">
        <v>674</v>
      </c>
      <c r="H45" s="61" t="s">
        <v>675</v>
      </c>
      <c r="I45" s="61">
        <v>41.786776000000003</v>
      </c>
      <c r="J45" s="61">
        <v>-87.752188000000004</v>
      </c>
      <c r="K45" s="61">
        <v>22.97844104</v>
      </c>
      <c r="L45" s="61">
        <v>30.356000000000002</v>
      </c>
      <c r="M45" s="61" t="s">
        <v>617</v>
      </c>
      <c r="N45" s="149">
        <v>5</v>
      </c>
      <c r="O45" s="149">
        <v>6</v>
      </c>
      <c r="P45" s="61" t="s">
        <v>565</v>
      </c>
      <c r="Q45" s="61" t="s">
        <v>564</v>
      </c>
      <c r="R45" s="61">
        <v>41.98028</v>
      </c>
      <c r="S45" s="61">
        <v>-87.908997900000003</v>
      </c>
      <c r="T45" s="61">
        <v>44.277999999999999</v>
      </c>
      <c r="U45" s="61" t="s">
        <v>617</v>
      </c>
      <c r="V45" s="61" t="s">
        <v>617</v>
      </c>
      <c r="W45" s="61"/>
      <c r="Y45" s="137">
        <f>Summary_LCIA!H$32</f>
        <v>0.33979999999999999</v>
      </c>
      <c r="Z45" s="137">
        <f>Summary_LCIA!Q$32</f>
        <v>4.9560504329999997</v>
      </c>
      <c r="AA45" s="137">
        <f>Summary_LCIA!R$32</f>
        <v>5.2655999999999996E-3</v>
      </c>
      <c r="AB45" s="137">
        <f>Summary_LCIA!S$32</f>
        <v>0.33538000000000001</v>
      </c>
      <c r="AC45" s="137">
        <f>Summary_LCIA!T$32</f>
        <v>0.1099</v>
      </c>
      <c r="AD45" s="137">
        <f>Summary_LCIA!U$32</f>
        <v>1.7913999999999999E-2</v>
      </c>
      <c r="AE45" s="137">
        <f>Summary_LCIA!V$32</f>
        <v>4.7760999999999999E-5</v>
      </c>
      <c r="AF45" s="137">
        <f>Summary_LCIA!W$32</f>
        <v>7.6970999999999998E-2</v>
      </c>
      <c r="AG45" s="137">
        <f>Summary_LCIA!X$32</f>
        <v>2.2780000000000002E-2</v>
      </c>
      <c r="AH45" s="137">
        <f>Summary_LCIA!Y$32</f>
        <v>1.5582E-2</v>
      </c>
      <c r="AI45" s="137">
        <f>Summary_LCIA!Z$32</f>
        <v>4.1009E-5</v>
      </c>
      <c r="AJ45" s="137">
        <f>Summary_LCIA!AA$32</f>
        <v>2.3355999999999998E-2</v>
      </c>
      <c r="AK45" s="137">
        <f>Summary_LCIA!AB$32</f>
        <v>-2.1823000000000001E-5</v>
      </c>
      <c r="AL45" s="137">
        <f>Summary_LCIA!AC$32</f>
        <v>4.8884000000000003E-8</v>
      </c>
      <c r="AM45" s="137">
        <f>Summary_LCIA!AD$32</f>
        <v>4.1103999999999999E-4</v>
      </c>
      <c r="AN45" s="137">
        <f>Summary_LCIA!AE$32</f>
        <v>8.8612999999999995E-4</v>
      </c>
      <c r="AO45" s="137">
        <f>Summary_LCIA!AF$32</f>
        <v>8.4542000000000005E-4</v>
      </c>
      <c r="AP45" s="137">
        <f>Summary_LCIA!AG$32</f>
        <v>5.1165000000000002E-5</v>
      </c>
      <c r="AQ45" s="137">
        <f>Summary_LCIA!AH$32</f>
        <v>8.7036000000000006E-3</v>
      </c>
      <c r="AR45" s="137">
        <f>Summary_LCIA!AI$32</f>
        <v>9.3154999999999996E-4</v>
      </c>
      <c r="AT45" s="137">
        <f t="shared" si="7"/>
        <v>15.0456644</v>
      </c>
      <c r="AU45" s="137">
        <f t="shared" si="7"/>
        <v>219.44400107237399</v>
      </c>
      <c r="AV45" s="137">
        <f t="shared" si="7"/>
        <v>0.23315023679999997</v>
      </c>
      <c r="AW45" s="137">
        <f t="shared" si="7"/>
        <v>14.849955639999999</v>
      </c>
      <c r="AX45" s="137">
        <f t="shared" si="7"/>
        <v>4.8661522000000001</v>
      </c>
      <c r="AY45" s="137">
        <f t="shared" si="7"/>
        <v>0.79319609199999996</v>
      </c>
      <c r="AZ45" s="137">
        <f t="shared" si="7"/>
        <v>2.1147615580000001E-3</v>
      </c>
      <c r="BA45" s="137">
        <f t="shared" si="7"/>
        <v>3.4081219379999999</v>
      </c>
      <c r="BB45" s="137">
        <f t="shared" si="7"/>
        <v>1.0086528400000001</v>
      </c>
      <c r="BC45" s="137">
        <f t="shared" si="7"/>
        <v>0.68993979599999999</v>
      </c>
      <c r="BD45" s="137">
        <f t="shared" si="7"/>
        <v>1.8157965019999999E-3</v>
      </c>
      <c r="BE45" s="137">
        <f t="shared" si="7"/>
        <v>1.0341569679999998</v>
      </c>
      <c r="BF45" s="137">
        <f t="shared" si="7"/>
        <v>-9.6627879399999997E-4</v>
      </c>
      <c r="BG45" s="137">
        <f t="shared" si="7"/>
        <v>2.1644857520000002E-6</v>
      </c>
      <c r="BH45" s="137">
        <f t="shared" si="7"/>
        <v>1.8200029119999999E-2</v>
      </c>
      <c r="BI45" s="137">
        <f t="shared" si="7"/>
        <v>3.9236064139999999E-2</v>
      </c>
      <c r="BJ45" s="137">
        <f t="shared" si="6"/>
        <v>3.7433506759999999E-2</v>
      </c>
      <c r="BK45" s="137">
        <f t="shared" si="6"/>
        <v>2.26548387E-3</v>
      </c>
      <c r="BL45" s="137">
        <f t="shared" si="6"/>
        <v>0.38537800080000001</v>
      </c>
      <c r="BM45" s="137">
        <f t="shared" si="6"/>
        <v>4.1247170899999998E-2</v>
      </c>
    </row>
    <row r="46" spans="1:65" x14ac:dyDescent="0.25">
      <c r="A46" s="149">
        <v>247</v>
      </c>
      <c r="B46" s="149">
        <v>43</v>
      </c>
      <c r="C46" s="61">
        <v>40.883676999999999</v>
      </c>
      <c r="D46" s="61">
        <v>-74.657272000000006</v>
      </c>
      <c r="E46" s="61" t="s">
        <v>265</v>
      </c>
      <c r="F46" s="149">
        <v>43</v>
      </c>
      <c r="G46" s="61" t="s">
        <v>565</v>
      </c>
      <c r="H46" s="61" t="s">
        <v>632</v>
      </c>
      <c r="I46" s="61">
        <v>40.689531000000002</v>
      </c>
      <c r="J46" s="61">
        <v>-74.174462000000005</v>
      </c>
      <c r="K46" s="61">
        <v>48.085556680000003</v>
      </c>
      <c r="L46" s="61">
        <v>63.673000000000002</v>
      </c>
      <c r="M46" s="61" t="s">
        <v>617</v>
      </c>
      <c r="N46" s="149">
        <v>42</v>
      </c>
      <c r="O46" s="149">
        <v>43</v>
      </c>
      <c r="P46" s="61" t="s">
        <v>565</v>
      </c>
      <c r="Q46" s="61" t="s">
        <v>555</v>
      </c>
      <c r="R46" s="61">
        <v>40.6895314</v>
      </c>
      <c r="S46" s="61">
        <v>-74.174462399999996</v>
      </c>
      <c r="T46" s="61">
        <v>63.67</v>
      </c>
      <c r="U46" s="61" t="s">
        <v>617</v>
      </c>
      <c r="V46" s="61" t="s">
        <v>617</v>
      </c>
      <c r="W46" s="61"/>
      <c r="Y46" s="137">
        <f>Summary_LCIA!H$32</f>
        <v>0.33979999999999999</v>
      </c>
      <c r="Z46" s="137">
        <f>Summary_LCIA!Q$32</f>
        <v>4.9560504329999997</v>
      </c>
      <c r="AA46" s="137">
        <f>Summary_LCIA!R$32</f>
        <v>5.2655999999999996E-3</v>
      </c>
      <c r="AB46" s="137">
        <f>Summary_LCIA!S$32</f>
        <v>0.33538000000000001</v>
      </c>
      <c r="AC46" s="137">
        <f>Summary_LCIA!T$32</f>
        <v>0.1099</v>
      </c>
      <c r="AD46" s="137">
        <f>Summary_LCIA!U$32</f>
        <v>1.7913999999999999E-2</v>
      </c>
      <c r="AE46" s="137">
        <f>Summary_LCIA!V$32</f>
        <v>4.7760999999999999E-5</v>
      </c>
      <c r="AF46" s="137">
        <f>Summary_LCIA!W$32</f>
        <v>7.6970999999999998E-2</v>
      </c>
      <c r="AG46" s="137">
        <f>Summary_LCIA!X$32</f>
        <v>2.2780000000000002E-2</v>
      </c>
      <c r="AH46" s="137">
        <f>Summary_LCIA!Y$32</f>
        <v>1.5582E-2</v>
      </c>
      <c r="AI46" s="137">
        <f>Summary_LCIA!Z$32</f>
        <v>4.1009E-5</v>
      </c>
      <c r="AJ46" s="137">
        <f>Summary_LCIA!AA$32</f>
        <v>2.3355999999999998E-2</v>
      </c>
      <c r="AK46" s="137">
        <f>Summary_LCIA!AB$32</f>
        <v>-2.1823000000000001E-5</v>
      </c>
      <c r="AL46" s="137">
        <f>Summary_LCIA!AC$32</f>
        <v>4.8884000000000003E-8</v>
      </c>
      <c r="AM46" s="137">
        <f>Summary_LCIA!AD$32</f>
        <v>4.1103999999999999E-4</v>
      </c>
      <c r="AN46" s="137">
        <f>Summary_LCIA!AE$32</f>
        <v>8.8612999999999995E-4</v>
      </c>
      <c r="AO46" s="137">
        <f>Summary_LCIA!AF$32</f>
        <v>8.4542000000000005E-4</v>
      </c>
      <c r="AP46" s="137">
        <f>Summary_LCIA!AG$32</f>
        <v>5.1165000000000002E-5</v>
      </c>
      <c r="AQ46" s="137">
        <f>Summary_LCIA!AH$32</f>
        <v>8.7036000000000006E-3</v>
      </c>
      <c r="AR46" s="137">
        <f>Summary_LCIA!AI$32</f>
        <v>9.3154999999999996E-4</v>
      </c>
      <c r="AT46" s="137">
        <f t="shared" si="7"/>
        <v>21.635065999999998</v>
      </c>
      <c r="AU46" s="137">
        <f t="shared" si="7"/>
        <v>315.55173106910996</v>
      </c>
      <c r="AV46" s="137">
        <f t="shared" si="7"/>
        <v>0.335260752</v>
      </c>
      <c r="AW46" s="137">
        <f t="shared" si="7"/>
        <v>21.353644600000003</v>
      </c>
      <c r="AX46" s="137">
        <f t="shared" si="7"/>
        <v>6.9973330000000002</v>
      </c>
      <c r="AY46" s="137">
        <f t="shared" si="7"/>
        <v>1.14058438</v>
      </c>
      <c r="AZ46" s="137">
        <f t="shared" si="7"/>
        <v>3.04094287E-3</v>
      </c>
      <c r="BA46" s="137">
        <f t="shared" si="7"/>
        <v>4.9007435700000004</v>
      </c>
      <c r="BB46" s="137">
        <f t="shared" si="7"/>
        <v>1.4504026000000001</v>
      </c>
      <c r="BC46" s="137">
        <f t="shared" si="7"/>
        <v>0.99210594000000007</v>
      </c>
      <c r="BD46" s="137">
        <f t="shared" si="7"/>
        <v>2.6110430300000003E-3</v>
      </c>
      <c r="BE46" s="137">
        <f t="shared" si="7"/>
        <v>1.48707652</v>
      </c>
      <c r="BF46" s="137">
        <f t="shared" si="7"/>
        <v>-1.3894704100000002E-3</v>
      </c>
      <c r="BG46" s="137">
        <f t="shared" si="7"/>
        <v>3.1124442800000002E-6</v>
      </c>
      <c r="BH46" s="137">
        <f t="shared" si="7"/>
        <v>2.6170916799999999E-2</v>
      </c>
      <c r="BI46" s="137">
        <f t="shared" si="7"/>
        <v>5.6419897099999998E-2</v>
      </c>
      <c r="BJ46" s="137">
        <f t="shared" si="6"/>
        <v>5.3827891400000001E-2</v>
      </c>
      <c r="BK46" s="137">
        <f t="shared" si="6"/>
        <v>3.2576755500000002E-3</v>
      </c>
      <c r="BL46" s="137">
        <f t="shared" si="6"/>
        <v>0.55415821200000004</v>
      </c>
      <c r="BM46" s="137">
        <f t="shared" si="6"/>
        <v>5.9311788499999997E-2</v>
      </c>
    </row>
    <row r="47" spans="1:65" x14ac:dyDescent="0.25">
      <c r="A47" s="149">
        <v>132</v>
      </c>
      <c r="B47" s="149">
        <v>43</v>
      </c>
      <c r="C47" s="61">
        <v>40.640934999999999</v>
      </c>
      <c r="D47" s="61">
        <v>-74.881277999999995</v>
      </c>
      <c r="E47" s="61" t="s">
        <v>265</v>
      </c>
      <c r="F47" s="149">
        <v>43</v>
      </c>
      <c r="G47" s="61" t="s">
        <v>565</v>
      </c>
      <c r="H47" s="61" t="s">
        <v>632</v>
      </c>
      <c r="I47" s="61">
        <v>40.689531000000002</v>
      </c>
      <c r="J47" s="61">
        <v>-74.174462000000005</v>
      </c>
      <c r="K47" s="61">
        <v>61.95024781</v>
      </c>
      <c r="L47" s="61">
        <v>66.501000000000005</v>
      </c>
      <c r="M47" s="61" t="s">
        <v>617</v>
      </c>
      <c r="N47" s="149">
        <v>42</v>
      </c>
      <c r="O47" s="149">
        <v>43</v>
      </c>
      <c r="P47" s="61" t="s">
        <v>565</v>
      </c>
      <c r="Q47" s="61" t="s">
        <v>555</v>
      </c>
      <c r="R47" s="61">
        <v>40.6895314</v>
      </c>
      <c r="S47" s="61">
        <v>-74.174462399999996</v>
      </c>
      <c r="T47" s="61">
        <v>66.501000000000005</v>
      </c>
      <c r="U47" s="61" t="s">
        <v>617</v>
      </c>
      <c r="V47" s="61" t="s">
        <v>617</v>
      </c>
      <c r="W47" s="61"/>
      <c r="Y47" s="137">
        <f>Summary_LCIA!H$32</f>
        <v>0.33979999999999999</v>
      </c>
      <c r="Z47" s="137">
        <f>Summary_LCIA!Q$32</f>
        <v>4.9560504329999997</v>
      </c>
      <c r="AA47" s="137">
        <f>Summary_LCIA!R$32</f>
        <v>5.2655999999999996E-3</v>
      </c>
      <c r="AB47" s="137">
        <f>Summary_LCIA!S$32</f>
        <v>0.33538000000000001</v>
      </c>
      <c r="AC47" s="137">
        <f>Summary_LCIA!T$32</f>
        <v>0.1099</v>
      </c>
      <c r="AD47" s="137">
        <f>Summary_LCIA!U$32</f>
        <v>1.7913999999999999E-2</v>
      </c>
      <c r="AE47" s="137">
        <f>Summary_LCIA!V$32</f>
        <v>4.7760999999999999E-5</v>
      </c>
      <c r="AF47" s="137">
        <f>Summary_LCIA!W$32</f>
        <v>7.6970999999999998E-2</v>
      </c>
      <c r="AG47" s="137">
        <f>Summary_LCIA!X$32</f>
        <v>2.2780000000000002E-2</v>
      </c>
      <c r="AH47" s="137">
        <f>Summary_LCIA!Y$32</f>
        <v>1.5582E-2</v>
      </c>
      <c r="AI47" s="137">
        <f>Summary_LCIA!Z$32</f>
        <v>4.1009E-5</v>
      </c>
      <c r="AJ47" s="137">
        <f>Summary_LCIA!AA$32</f>
        <v>2.3355999999999998E-2</v>
      </c>
      <c r="AK47" s="137">
        <f>Summary_LCIA!AB$32</f>
        <v>-2.1823000000000001E-5</v>
      </c>
      <c r="AL47" s="137">
        <f>Summary_LCIA!AC$32</f>
        <v>4.8884000000000003E-8</v>
      </c>
      <c r="AM47" s="137">
        <f>Summary_LCIA!AD$32</f>
        <v>4.1103999999999999E-4</v>
      </c>
      <c r="AN47" s="137">
        <f>Summary_LCIA!AE$32</f>
        <v>8.8612999999999995E-4</v>
      </c>
      <c r="AO47" s="137">
        <f>Summary_LCIA!AF$32</f>
        <v>8.4542000000000005E-4</v>
      </c>
      <c r="AP47" s="137">
        <f>Summary_LCIA!AG$32</f>
        <v>5.1165000000000002E-5</v>
      </c>
      <c r="AQ47" s="137">
        <f>Summary_LCIA!AH$32</f>
        <v>8.7036000000000006E-3</v>
      </c>
      <c r="AR47" s="137">
        <f>Summary_LCIA!AI$32</f>
        <v>9.3154999999999996E-4</v>
      </c>
      <c r="AT47" s="137">
        <f t="shared" si="7"/>
        <v>22.597039800000001</v>
      </c>
      <c r="AU47" s="137">
        <f t="shared" si="7"/>
        <v>329.58230984493298</v>
      </c>
      <c r="AV47" s="137">
        <f t="shared" si="7"/>
        <v>0.35016766560000001</v>
      </c>
      <c r="AW47" s="137">
        <f t="shared" si="7"/>
        <v>22.303105380000002</v>
      </c>
      <c r="AX47" s="137">
        <f t="shared" si="7"/>
        <v>7.3084599000000008</v>
      </c>
      <c r="AY47" s="137">
        <f t="shared" si="7"/>
        <v>1.1912989140000001</v>
      </c>
      <c r="AZ47" s="137">
        <f t="shared" si="7"/>
        <v>3.1761542610000003E-3</v>
      </c>
      <c r="BA47" s="137">
        <f t="shared" si="7"/>
        <v>5.1186484710000002</v>
      </c>
      <c r="BB47" s="137">
        <f t="shared" si="7"/>
        <v>1.5148927800000003</v>
      </c>
      <c r="BC47" s="137">
        <f t="shared" si="7"/>
        <v>1.0362185820000001</v>
      </c>
      <c r="BD47" s="137">
        <f t="shared" si="7"/>
        <v>2.7271395090000001E-3</v>
      </c>
      <c r="BE47" s="137">
        <f t="shared" si="7"/>
        <v>1.5531973560000001</v>
      </c>
      <c r="BF47" s="137">
        <f t="shared" si="7"/>
        <v>-1.4512513230000002E-3</v>
      </c>
      <c r="BG47" s="137">
        <f t="shared" si="7"/>
        <v>3.2508348840000006E-6</v>
      </c>
      <c r="BH47" s="137">
        <f t="shared" si="7"/>
        <v>2.7334571040000002E-2</v>
      </c>
      <c r="BI47" s="137">
        <f t="shared" si="7"/>
        <v>5.8928531130000003E-2</v>
      </c>
      <c r="BJ47" s="137">
        <f t="shared" si="6"/>
        <v>5.6221275420000008E-2</v>
      </c>
      <c r="BK47" s="137">
        <f t="shared" si="6"/>
        <v>3.4025236650000006E-3</v>
      </c>
      <c r="BL47" s="137">
        <f t="shared" si="6"/>
        <v>0.57879810360000006</v>
      </c>
      <c r="BM47" s="137">
        <f t="shared" si="6"/>
        <v>6.1949006550000005E-2</v>
      </c>
    </row>
    <row r="48" spans="1:65" x14ac:dyDescent="0.25">
      <c r="A48" s="149">
        <v>45</v>
      </c>
      <c r="B48" s="149">
        <v>43</v>
      </c>
      <c r="C48" s="61">
        <v>40.698720999999999</v>
      </c>
      <c r="D48" s="61">
        <v>-75.211763000000005</v>
      </c>
      <c r="E48" s="61" t="s">
        <v>265</v>
      </c>
      <c r="F48" s="149">
        <v>43</v>
      </c>
      <c r="G48" s="61" t="s">
        <v>565</v>
      </c>
      <c r="H48" s="61" t="s">
        <v>632</v>
      </c>
      <c r="I48" s="61">
        <v>40.689531000000002</v>
      </c>
      <c r="J48" s="61">
        <v>-74.174462000000005</v>
      </c>
      <c r="K48" s="61">
        <v>88.768893129999995</v>
      </c>
      <c r="L48" s="61">
        <v>99.001999999999995</v>
      </c>
      <c r="M48" s="61" t="s">
        <v>617</v>
      </c>
      <c r="N48" s="149">
        <v>42</v>
      </c>
      <c r="O48" s="149">
        <v>43</v>
      </c>
      <c r="P48" s="61" t="s">
        <v>565</v>
      </c>
      <c r="Q48" s="61" t="s">
        <v>555</v>
      </c>
      <c r="R48" s="61">
        <v>40.6895314</v>
      </c>
      <c r="S48" s="61">
        <v>-74.174462399999996</v>
      </c>
      <c r="T48" s="61">
        <v>99.001999999999995</v>
      </c>
      <c r="U48" s="61" t="s">
        <v>617</v>
      </c>
      <c r="V48" s="61" t="s">
        <v>617</v>
      </c>
      <c r="W48" s="61"/>
      <c r="Y48" s="137">
        <f>Summary_LCIA!H$32</f>
        <v>0.33979999999999999</v>
      </c>
      <c r="Z48" s="137">
        <f>Summary_LCIA!Q$32</f>
        <v>4.9560504329999997</v>
      </c>
      <c r="AA48" s="137">
        <f>Summary_LCIA!R$32</f>
        <v>5.2655999999999996E-3</v>
      </c>
      <c r="AB48" s="137">
        <f>Summary_LCIA!S$32</f>
        <v>0.33538000000000001</v>
      </c>
      <c r="AC48" s="137">
        <f>Summary_LCIA!T$32</f>
        <v>0.1099</v>
      </c>
      <c r="AD48" s="137">
        <f>Summary_LCIA!U$32</f>
        <v>1.7913999999999999E-2</v>
      </c>
      <c r="AE48" s="137">
        <f>Summary_LCIA!V$32</f>
        <v>4.7760999999999999E-5</v>
      </c>
      <c r="AF48" s="137">
        <f>Summary_LCIA!W$32</f>
        <v>7.6970999999999998E-2</v>
      </c>
      <c r="AG48" s="137">
        <f>Summary_LCIA!X$32</f>
        <v>2.2780000000000002E-2</v>
      </c>
      <c r="AH48" s="137">
        <f>Summary_LCIA!Y$32</f>
        <v>1.5582E-2</v>
      </c>
      <c r="AI48" s="137">
        <f>Summary_LCIA!Z$32</f>
        <v>4.1009E-5</v>
      </c>
      <c r="AJ48" s="137">
        <f>Summary_LCIA!AA$32</f>
        <v>2.3355999999999998E-2</v>
      </c>
      <c r="AK48" s="137">
        <f>Summary_LCIA!AB$32</f>
        <v>-2.1823000000000001E-5</v>
      </c>
      <c r="AL48" s="137">
        <f>Summary_LCIA!AC$32</f>
        <v>4.8884000000000003E-8</v>
      </c>
      <c r="AM48" s="137">
        <f>Summary_LCIA!AD$32</f>
        <v>4.1103999999999999E-4</v>
      </c>
      <c r="AN48" s="137">
        <f>Summary_LCIA!AE$32</f>
        <v>8.8612999999999995E-4</v>
      </c>
      <c r="AO48" s="137">
        <f>Summary_LCIA!AF$32</f>
        <v>8.4542000000000005E-4</v>
      </c>
      <c r="AP48" s="137">
        <f>Summary_LCIA!AG$32</f>
        <v>5.1165000000000002E-5</v>
      </c>
      <c r="AQ48" s="137">
        <f>Summary_LCIA!AH$32</f>
        <v>8.7036000000000006E-3</v>
      </c>
      <c r="AR48" s="137">
        <f>Summary_LCIA!AI$32</f>
        <v>9.3154999999999996E-4</v>
      </c>
      <c r="AT48" s="137">
        <f t="shared" si="7"/>
        <v>33.640879599999998</v>
      </c>
      <c r="AU48" s="137">
        <f t="shared" si="7"/>
        <v>490.65890496786596</v>
      </c>
      <c r="AV48" s="137">
        <f t="shared" si="7"/>
        <v>0.52130493119999999</v>
      </c>
      <c r="AW48" s="137">
        <f t="shared" si="7"/>
        <v>33.203290760000002</v>
      </c>
      <c r="AX48" s="137">
        <f t="shared" si="7"/>
        <v>10.880319799999999</v>
      </c>
      <c r="AY48" s="137">
        <f t="shared" si="7"/>
        <v>1.7735218279999998</v>
      </c>
      <c r="AZ48" s="137">
        <f t="shared" si="7"/>
        <v>4.7284345219999998E-3</v>
      </c>
      <c r="BA48" s="137">
        <f t="shared" si="7"/>
        <v>7.6202829419999993</v>
      </c>
      <c r="BB48" s="137">
        <f t="shared" si="7"/>
        <v>2.2552655600000002</v>
      </c>
      <c r="BC48" s="137">
        <f t="shared" si="7"/>
        <v>1.542649164</v>
      </c>
      <c r="BD48" s="137">
        <f t="shared" si="7"/>
        <v>4.0599730179999996E-3</v>
      </c>
      <c r="BE48" s="137">
        <f t="shared" si="7"/>
        <v>2.3122907119999998</v>
      </c>
      <c r="BF48" s="137">
        <f t="shared" si="7"/>
        <v>-2.160520646E-3</v>
      </c>
      <c r="BG48" s="137">
        <f t="shared" si="7"/>
        <v>4.8396137680000002E-6</v>
      </c>
      <c r="BH48" s="137">
        <f t="shared" si="7"/>
        <v>4.0693782079999997E-2</v>
      </c>
      <c r="BI48" s="137">
        <f t="shared" si="7"/>
        <v>8.7728642259999989E-2</v>
      </c>
      <c r="BJ48" s="137">
        <f t="shared" si="6"/>
        <v>8.3698270840000005E-2</v>
      </c>
      <c r="BK48" s="137">
        <f t="shared" si="6"/>
        <v>5.0654373300000003E-3</v>
      </c>
      <c r="BL48" s="137">
        <f t="shared" si="6"/>
        <v>0.86167380719999997</v>
      </c>
      <c r="BM48" s="137">
        <f t="shared" si="6"/>
        <v>9.2225313099999998E-2</v>
      </c>
    </row>
    <row r="49" spans="1:65" x14ac:dyDescent="0.25">
      <c r="A49" s="149">
        <v>76</v>
      </c>
      <c r="B49" s="149">
        <v>43</v>
      </c>
      <c r="C49" s="61">
        <v>40.606834999999997</v>
      </c>
      <c r="D49" s="61">
        <v>-75.380168999999995</v>
      </c>
      <c r="E49" s="61" t="s">
        <v>265</v>
      </c>
      <c r="F49" s="149">
        <v>43</v>
      </c>
      <c r="G49" s="61" t="s">
        <v>565</v>
      </c>
      <c r="H49" s="61" t="s">
        <v>632</v>
      </c>
      <c r="I49" s="61">
        <v>40.689531000000002</v>
      </c>
      <c r="J49" s="61">
        <v>-74.174462000000005</v>
      </c>
      <c r="K49" s="61">
        <v>105.6453843</v>
      </c>
      <c r="L49" s="61">
        <v>119.545</v>
      </c>
      <c r="M49" s="61" t="s">
        <v>617</v>
      </c>
      <c r="N49" s="149">
        <v>42</v>
      </c>
      <c r="O49" s="149">
        <v>43</v>
      </c>
      <c r="P49" s="61" t="s">
        <v>565</v>
      </c>
      <c r="Q49" s="61" t="s">
        <v>555</v>
      </c>
      <c r="R49" s="61">
        <v>40.6895314</v>
      </c>
      <c r="S49" s="61">
        <v>-74.174462399999996</v>
      </c>
      <c r="T49" s="61">
        <v>119.545</v>
      </c>
      <c r="U49" s="61" t="s">
        <v>617</v>
      </c>
      <c r="V49" s="61" t="s">
        <v>617</v>
      </c>
      <c r="W49" s="61"/>
      <c r="Y49" s="137">
        <f>Summary_LCIA!H$32</f>
        <v>0.33979999999999999</v>
      </c>
      <c r="Z49" s="137">
        <f>Summary_LCIA!Q$32</f>
        <v>4.9560504329999997</v>
      </c>
      <c r="AA49" s="137">
        <f>Summary_LCIA!R$32</f>
        <v>5.2655999999999996E-3</v>
      </c>
      <c r="AB49" s="137">
        <f>Summary_LCIA!S$32</f>
        <v>0.33538000000000001</v>
      </c>
      <c r="AC49" s="137">
        <f>Summary_LCIA!T$32</f>
        <v>0.1099</v>
      </c>
      <c r="AD49" s="137">
        <f>Summary_LCIA!U$32</f>
        <v>1.7913999999999999E-2</v>
      </c>
      <c r="AE49" s="137">
        <f>Summary_LCIA!V$32</f>
        <v>4.7760999999999999E-5</v>
      </c>
      <c r="AF49" s="137">
        <f>Summary_LCIA!W$32</f>
        <v>7.6970999999999998E-2</v>
      </c>
      <c r="AG49" s="137">
        <f>Summary_LCIA!X$32</f>
        <v>2.2780000000000002E-2</v>
      </c>
      <c r="AH49" s="137">
        <f>Summary_LCIA!Y$32</f>
        <v>1.5582E-2</v>
      </c>
      <c r="AI49" s="137">
        <f>Summary_LCIA!Z$32</f>
        <v>4.1009E-5</v>
      </c>
      <c r="AJ49" s="137">
        <f>Summary_LCIA!AA$32</f>
        <v>2.3355999999999998E-2</v>
      </c>
      <c r="AK49" s="137">
        <f>Summary_LCIA!AB$32</f>
        <v>-2.1823000000000001E-5</v>
      </c>
      <c r="AL49" s="137">
        <f>Summary_LCIA!AC$32</f>
        <v>4.8884000000000003E-8</v>
      </c>
      <c r="AM49" s="137">
        <f>Summary_LCIA!AD$32</f>
        <v>4.1103999999999999E-4</v>
      </c>
      <c r="AN49" s="137">
        <f>Summary_LCIA!AE$32</f>
        <v>8.8612999999999995E-4</v>
      </c>
      <c r="AO49" s="137">
        <f>Summary_LCIA!AF$32</f>
        <v>8.4542000000000005E-4</v>
      </c>
      <c r="AP49" s="137">
        <f>Summary_LCIA!AG$32</f>
        <v>5.1165000000000002E-5</v>
      </c>
      <c r="AQ49" s="137">
        <f>Summary_LCIA!AH$32</f>
        <v>8.7036000000000006E-3</v>
      </c>
      <c r="AR49" s="137">
        <f>Summary_LCIA!AI$32</f>
        <v>9.3154999999999996E-4</v>
      </c>
      <c r="AT49" s="137">
        <f t="shared" si="7"/>
        <v>40.621391000000003</v>
      </c>
      <c r="AU49" s="137">
        <f t="shared" si="7"/>
        <v>592.47104901298496</v>
      </c>
      <c r="AV49" s="137">
        <f t="shared" si="7"/>
        <v>0.62947615199999996</v>
      </c>
      <c r="AW49" s="137">
        <f t="shared" si="7"/>
        <v>40.0930021</v>
      </c>
      <c r="AX49" s="137">
        <f t="shared" si="7"/>
        <v>13.137995500000001</v>
      </c>
      <c r="AY49" s="137">
        <f t="shared" si="7"/>
        <v>2.1415291299999999</v>
      </c>
      <c r="AZ49" s="137">
        <f t="shared" si="7"/>
        <v>5.7095887449999999E-3</v>
      </c>
      <c r="BA49" s="137">
        <f t="shared" si="7"/>
        <v>9.2014981949999992</v>
      </c>
      <c r="BB49" s="137">
        <f t="shared" si="7"/>
        <v>2.7232351000000001</v>
      </c>
      <c r="BC49" s="137">
        <f t="shared" si="7"/>
        <v>1.8627501900000001</v>
      </c>
      <c r="BD49" s="137">
        <f t="shared" si="7"/>
        <v>4.9024209049999996E-3</v>
      </c>
      <c r="BE49" s="137">
        <f t="shared" si="7"/>
        <v>2.7920930199999998</v>
      </c>
      <c r="BF49" s="137">
        <f t="shared" si="7"/>
        <v>-2.6088305349999999E-3</v>
      </c>
      <c r="BG49" s="137">
        <f t="shared" si="7"/>
        <v>5.8438377800000001E-6</v>
      </c>
      <c r="BH49" s="137">
        <f t="shared" si="7"/>
        <v>4.9137776799999998E-2</v>
      </c>
      <c r="BI49" s="137">
        <f t="shared" si="7"/>
        <v>0.10593241084999999</v>
      </c>
      <c r="BJ49" s="137">
        <f t="shared" si="6"/>
        <v>0.10106573390000001</v>
      </c>
      <c r="BK49" s="137">
        <f t="shared" si="6"/>
        <v>6.1165199250000002E-3</v>
      </c>
      <c r="BL49" s="137">
        <f t="shared" si="6"/>
        <v>1.0404718620000002</v>
      </c>
      <c r="BM49" s="137">
        <f t="shared" si="6"/>
        <v>0.11136214475</v>
      </c>
    </row>
    <row r="50" spans="1:65" x14ac:dyDescent="0.25">
      <c r="A50" s="149">
        <v>282</v>
      </c>
      <c r="B50" s="149">
        <v>6</v>
      </c>
      <c r="C50" s="61">
        <v>42.905847999999999</v>
      </c>
      <c r="D50" s="61">
        <v>-88.138977999999994</v>
      </c>
      <c r="E50" s="61" t="s">
        <v>265</v>
      </c>
      <c r="F50" s="149">
        <v>114</v>
      </c>
      <c r="G50" s="61" t="s">
        <v>639</v>
      </c>
      <c r="H50" s="61" t="s">
        <v>640</v>
      </c>
      <c r="I50" s="61">
        <v>42.947552999999999</v>
      </c>
      <c r="J50" s="61">
        <v>-87.896646000000004</v>
      </c>
      <c r="K50" s="61">
        <v>21.17463892</v>
      </c>
      <c r="L50" s="61">
        <v>30.303000000000001</v>
      </c>
      <c r="M50" s="61" t="s">
        <v>617</v>
      </c>
      <c r="N50" s="149">
        <v>5</v>
      </c>
      <c r="O50" s="149">
        <v>6</v>
      </c>
      <c r="P50" s="61" t="s">
        <v>565</v>
      </c>
      <c r="Q50" s="61" t="s">
        <v>564</v>
      </c>
      <c r="R50" s="61">
        <v>41.98028</v>
      </c>
      <c r="S50" s="61">
        <v>-87.908997900000003</v>
      </c>
      <c r="T50" s="61">
        <v>125.387</v>
      </c>
      <c r="U50" s="61" t="s">
        <v>617</v>
      </c>
      <c r="V50" s="61" t="s">
        <v>617</v>
      </c>
      <c r="W50" s="61"/>
      <c r="Y50" s="137">
        <f>Summary_LCIA!H$32</f>
        <v>0.33979999999999999</v>
      </c>
      <c r="Z50" s="137">
        <f>Summary_LCIA!Q$32</f>
        <v>4.9560504329999997</v>
      </c>
      <c r="AA50" s="137">
        <f>Summary_LCIA!R$32</f>
        <v>5.2655999999999996E-3</v>
      </c>
      <c r="AB50" s="137">
        <f>Summary_LCIA!S$32</f>
        <v>0.33538000000000001</v>
      </c>
      <c r="AC50" s="137">
        <f>Summary_LCIA!T$32</f>
        <v>0.1099</v>
      </c>
      <c r="AD50" s="137">
        <f>Summary_LCIA!U$32</f>
        <v>1.7913999999999999E-2</v>
      </c>
      <c r="AE50" s="137">
        <f>Summary_LCIA!V$32</f>
        <v>4.7760999999999999E-5</v>
      </c>
      <c r="AF50" s="137">
        <f>Summary_LCIA!W$32</f>
        <v>7.6970999999999998E-2</v>
      </c>
      <c r="AG50" s="137">
        <f>Summary_LCIA!X$32</f>
        <v>2.2780000000000002E-2</v>
      </c>
      <c r="AH50" s="137">
        <f>Summary_LCIA!Y$32</f>
        <v>1.5582E-2</v>
      </c>
      <c r="AI50" s="137">
        <f>Summary_LCIA!Z$32</f>
        <v>4.1009E-5</v>
      </c>
      <c r="AJ50" s="137">
        <f>Summary_LCIA!AA$32</f>
        <v>2.3355999999999998E-2</v>
      </c>
      <c r="AK50" s="137">
        <f>Summary_LCIA!AB$32</f>
        <v>-2.1823000000000001E-5</v>
      </c>
      <c r="AL50" s="137">
        <f>Summary_LCIA!AC$32</f>
        <v>4.8884000000000003E-8</v>
      </c>
      <c r="AM50" s="137">
        <f>Summary_LCIA!AD$32</f>
        <v>4.1103999999999999E-4</v>
      </c>
      <c r="AN50" s="137">
        <f>Summary_LCIA!AE$32</f>
        <v>8.8612999999999995E-4</v>
      </c>
      <c r="AO50" s="137">
        <f>Summary_LCIA!AF$32</f>
        <v>8.4542000000000005E-4</v>
      </c>
      <c r="AP50" s="137">
        <f>Summary_LCIA!AG$32</f>
        <v>5.1165000000000002E-5</v>
      </c>
      <c r="AQ50" s="137">
        <f>Summary_LCIA!AH$32</f>
        <v>8.7036000000000006E-3</v>
      </c>
      <c r="AR50" s="137">
        <f>Summary_LCIA!AI$32</f>
        <v>9.3154999999999996E-4</v>
      </c>
      <c r="AT50" s="137">
        <f t="shared" si="7"/>
        <v>42.606502599999999</v>
      </c>
      <c r="AU50" s="137">
        <f t="shared" si="7"/>
        <v>621.424295642571</v>
      </c>
      <c r="AV50" s="137">
        <f t="shared" si="7"/>
        <v>0.66023778719999993</v>
      </c>
      <c r="AW50" s="137">
        <f t="shared" si="7"/>
        <v>42.052292059999999</v>
      </c>
      <c r="AX50" s="137">
        <f t="shared" si="7"/>
        <v>13.780031299999999</v>
      </c>
      <c r="AY50" s="137">
        <f t="shared" si="7"/>
        <v>2.246182718</v>
      </c>
      <c r="AZ50" s="137">
        <f t="shared" si="7"/>
        <v>5.9886085069999996E-3</v>
      </c>
      <c r="BA50" s="137">
        <f t="shared" si="7"/>
        <v>9.6511627769999997</v>
      </c>
      <c r="BB50" s="137">
        <f t="shared" si="7"/>
        <v>2.85631586</v>
      </c>
      <c r="BC50" s="137">
        <f t="shared" si="7"/>
        <v>1.9537802340000001</v>
      </c>
      <c r="BD50" s="137">
        <f t="shared" si="7"/>
        <v>5.1419954830000001E-3</v>
      </c>
      <c r="BE50" s="137">
        <f t="shared" si="7"/>
        <v>2.928538772</v>
      </c>
      <c r="BF50" s="137">
        <f t="shared" si="7"/>
        <v>-2.7363205010000002E-3</v>
      </c>
      <c r="BG50" s="137">
        <f t="shared" si="7"/>
        <v>6.1294181080000002E-6</v>
      </c>
      <c r="BH50" s="137">
        <f t="shared" si="7"/>
        <v>5.1539072479999996E-2</v>
      </c>
      <c r="BI50" s="137">
        <f t="shared" ref="BI50:BM65" si="8">$T50*AN50</f>
        <v>0.11110918231</v>
      </c>
      <c r="BJ50" s="137">
        <f t="shared" si="8"/>
        <v>0.10600467754000001</v>
      </c>
      <c r="BK50" s="137">
        <f t="shared" si="8"/>
        <v>6.4154258550000003E-3</v>
      </c>
      <c r="BL50" s="137">
        <f t="shared" si="8"/>
        <v>1.0913182932000001</v>
      </c>
      <c r="BM50" s="137">
        <f t="shared" si="8"/>
        <v>0.11680425984999999</v>
      </c>
    </row>
    <row r="51" spans="1:65" x14ac:dyDescent="0.25">
      <c r="A51" s="149">
        <v>23</v>
      </c>
      <c r="B51" s="149">
        <v>6</v>
      </c>
      <c r="C51" s="61">
        <v>43.038966000000002</v>
      </c>
      <c r="D51" s="61">
        <v>-87.928042000000005</v>
      </c>
      <c r="E51" s="61" t="s">
        <v>265</v>
      </c>
      <c r="F51" s="149">
        <v>114</v>
      </c>
      <c r="G51" s="61" t="s">
        <v>639</v>
      </c>
      <c r="H51" s="61" t="s">
        <v>640</v>
      </c>
      <c r="I51" s="61">
        <v>42.947552999999999</v>
      </c>
      <c r="J51" s="61">
        <v>-87.896646000000004</v>
      </c>
      <c r="K51" s="61">
        <v>15.85670011</v>
      </c>
      <c r="L51" s="61">
        <v>12.099</v>
      </c>
      <c r="M51" s="61" t="s">
        <v>617</v>
      </c>
      <c r="N51" s="149">
        <v>5</v>
      </c>
      <c r="O51" s="149">
        <v>6</v>
      </c>
      <c r="P51" s="61" t="s">
        <v>565</v>
      </c>
      <c r="Q51" s="61" t="s">
        <v>564</v>
      </c>
      <c r="R51" s="61">
        <v>41.98028</v>
      </c>
      <c r="S51" s="61">
        <v>-87.908997900000003</v>
      </c>
      <c r="T51" s="61">
        <v>126.72499999999999</v>
      </c>
      <c r="U51" s="61" t="s">
        <v>617</v>
      </c>
      <c r="V51" s="61" t="s">
        <v>617</v>
      </c>
      <c r="W51" s="61"/>
      <c r="Y51" s="137">
        <f>Summary_LCIA!H$32</f>
        <v>0.33979999999999999</v>
      </c>
      <c r="Z51" s="137">
        <f>Summary_LCIA!Q$32</f>
        <v>4.9560504329999997</v>
      </c>
      <c r="AA51" s="137">
        <f>Summary_LCIA!R$32</f>
        <v>5.2655999999999996E-3</v>
      </c>
      <c r="AB51" s="137">
        <f>Summary_LCIA!S$32</f>
        <v>0.33538000000000001</v>
      </c>
      <c r="AC51" s="137">
        <f>Summary_LCIA!T$32</f>
        <v>0.1099</v>
      </c>
      <c r="AD51" s="137">
        <f>Summary_LCIA!U$32</f>
        <v>1.7913999999999999E-2</v>
      </c>
      <c r="AE51" s="137">
        <f>Summary_LCIA!V$32</f>
        <v>4.7760999999999999E-5</v>
      </c>
      <c r="AF51" s="137">
        <f>Summary_LCIA!W$32</f>
        <v>7.6970999999999998E-2</v>
      </c>
      <c r="AG51" s="137">
        <f>Summary_LCIA!X$32</f>
        <v>2.2780000000000002E-2</v>
      </c>
      <c r="AH51" s="137">
        <f>Summary_LCIA!Y$32</f>
        <v>1.5582E-2</v>
      </c>
      <c r="AI51" s="137">
        <f>Summary_LCIA!Z$32</f>
        <v>4.1009E-5</v>
      </c>
      <c r="AJ51" s="137">
        <f>Summary_LCIA!AA$32</f>
        <v>2.3355999999999998E-2</v>
      </c>
      <c r="AK51" s="137">
        <f>Summary_LCIA!AB$32</f>
        <v>-2.1823000000000001E-5</v>
      </c>
      <c r="AL51" s="137">
        <f>Summary_LCIA!AC$32</f>
        <v>4.8884000000000003E-8</v>
      </c>
      <c r="AM51" s="137">
        <f>Summary_LCIA!AD$32</f>
        <v>4.1103999999999999E-4</v>
      </c>
      <c r="AN51" s="137">
        <f>Summary_LCIA!AE$32</f>
        <v>8.8612999999999995E-4</v>
      </c>
      <c r="AO51" s="137">
        <f>Summary_LCIA!AF$32</f>
        <v>8.4542000000000005E-4</v>
      </c>
      <c r="AP51" s="137">
        <f>Summary_LCIA!AG$32</f>
        <v>5.1165000000000002E-5</v>
      </c>
      <c r="AQ51" s="137">
        <f>Summary_LCIA!AH$32</f>
        <v>8.7036000000000006E-3</v>
      </c>
      <c r="AR51" s="137">
        <f>Summary_LCIA!AI$32</f>
        <v>9.3154999999999996E-4</v>
      </c>
      <c r="AT51" s="137">
        <f t="shared" ref="AT51:BI66" si="9">$T51*Y51</f>
        <v>43.061154999999999</v>
      </c>
      <c r="AU51" s="137">
        <f t="shared" si="9"/>
        <v>628.05549112192489</v>
      </c>
      <c r="AV51" s="137">
        <f t="shared" si="9"/>
        <v>0.66728315999999988</v>
      </c>
      <c r="AW51" s="137">
        <f t="shared" si="9"/>
        <v>42.501030499999999</v>
      </c>
      <c r="AX51" s="137">
        <f t="shared" si="9"/>
        <v>13.927077499999999</v>
      </c>
      <c r="AY51" s="137">
        <f t="shared" si="9"/>
        <v>2.2701516499999999</v>
      </c>
      <c r="AZ51" s="137">
        <f t="shared" si="9"/>
        <v>6.0525127249999996E-3</v>
      </c>
      <c r="BA51" s="137">
        <f t="shared" si="9"/>
        <v>9.7541499749999989</v>
      </c>
      <c r="BB51" s="137">
        <f t="shared" si="9"/>
        <v>2.8867955000000003</v>
      </c>
      <c r="BC51" s="137">
        <f t="shared" si="9"/>
        <v>1.97462895</v>
      </c>
      <c r="BD51" s="137">
        <f t="shared" si="9"/>
        <v>5.1968655249999994E-3</v>
      </c>
      <c r="BE51" s="137">
        <f t="shared" si="9"/>
        <v>2.9597890999999996</v>
      </c>
      <c r="BF51" s="137">
        <f t="shared" si="9"/>
        <v>-2.765519675E-3</v>
      </c>
      <c r="BG51" s="137">
        <f t="shared" si="9"/>
        <v>6.1948249000000005E-6</v>
      </c>
      <c r="BH51" s="137">
        <f t="shared" si="9"/>
        <v>5.2089043999999994E-2</v>
      </c>
      <c r="BI51" s="137">
        <f t="shared" si="9"/>
        <v>0.11229482424999999</v>
      </c>
      <c r="BJ51" s="137">
        <f t="shared" si="8"/>
        <v>0.1071358495</v>
      </c>
      <c r="BK51" s="137">
        <f t="shared" si="8"/>
        <v>6.4838846250000002E-3</v>
      </c>
      <c r="BL51" s="137">
        <f t="shared" si="8"/>
        <v>1.10296371</v>
      </c>
      <c r="BM51" s="137">
        <f t="shared" si="8"/>
        <v>0.11805067374999999</v>
      </c>
    </row>
    <row r="52" spans="1:65" x14ac:dyDescent="0.25">
      <c r="A52" s="149">
        <v>291</v>
      </c>
      <c r="B52" s="149">
        <v>43</v>
      </c>
      <c r="C52" s="61">
        <v>39.958359000000002</v>
      </c>
      <c r="D52" s="61">
        <v>-75.195392999999996</v>
      </c>
      <c r="E52" s="61" t="s">
        <v>265</v>
      </c>
      <c r="F52" s="149">
        <v>80</v>
      </c>
      <c r="G52" s="61" t="s">
        <v>284</v>
      </c>
      <c r="H52" s="61" t="s">
        <v>715</v>
      </c>
      <c r="I52" s="61">
        <v>39.872929999999997</v>
      </c>
      <c r="J52" s="61">
        <v>-75.243667000000002</v>
      </c>
      <c r="K52" s="61">
        <v>14.292168419999999</v>
      </c>
      <c r="L52" s="61">
        <v>15.794</v>
      </c>
      <c r="M52" s="61" t="s">
        <v>617</v>
      </c>
      <c r="N52" s="149">
        <v>42</v>
      </c>
      <c r="O52" s="149">
        <v>43</v>
      </c>
      <c r="P52" s="61" t="s">
        <v>565</v>
      </c>
      <c r="Q52" s="61" t="s">
        <v>555</v>
      </c>
      <c r="R52" s="61">
        <v>40.6895314</v>
      </c>
      <c r="S52" s="61">
        <v>-74.174462399999996</v>
      </c>
      <c r="T52" s="61">
        <v>136.09700000000001</v>
      </c>
      <c r="U52" s="61" t="s">
        <v>617</v>
      </c>
      <c r="V52" s="61" t="s">
        <v>617</v>
      </c>
      <c r="W52" s="61"/>
      <c r="Y52" s="137">
        <f>Summary_LCIA!H$32</f>
        <v>0.33979999999999999</v>
      </c>
      <c r="Z52" s="137">
        <f>Summary_LCIA!Q$32</f>
        <v>4.9560504329999997</v>
      </c>
      <c r="AA52" s="137">
        <f>Summary_LCIA!R$32</f>
        <v>5.2655999999999996E-3</v>
      </c>
      <c r="AB52" s="137">
        <f>Summary_LCIA!S$32</f>
        <v>0.33538000000000001</v>
      </c>
      <c r="AC52" s="137">
        <f>Summary_LCIA!T$32</f>
        <v>0.1099</v>
      </c>
      <c r="AD52" s="137">
        <f>Summary_LCIA!U$32</f>
        <v>1.7913999999999999E-2</v>
      </c>
      <c r="AE52" s="137">
        <f>Summary_LCIA!V$32</f>
        <v>4.7760999999999999E-5</v>
      </c>
      <c r="AF52" s="137">
        <f>Summary_LCIA!W$32</f>
        <v>7.6970999999999998E-2</v>
      </c>
      <c r="AG52" s="137">
        <f>Summary_LCIA!X$32</f>
        <v>2.2780000000000002E-2</v>
      </c>
      <c r="AH52" s="137">
        <f>Summary_LCIA!Y$32</f>
        <v>1.5582E-2</v>
      </c>
      <c r="AI52" s="137">
        <f>Summary_LCIA!Z$32</f>
        <v>4.1009E-5</v>
      </c>
      <c r="AJ52" s="137">
        <f>Summary_LCIA!AA$32</f>
        <v>2.3355999999999998E-2</v>
      </c>
      <c r="AK52" s="137">
        <f>Summary_LCIA!AB$32</f>
        <v>-2.1823000000000001E-5</v>
      </c>
      <c r="AL52" s="137">
        <f>Summary_LCIA!AC$32</f>
        <v>4.8884000000000003E-8</v>
      </c>
      <c r="AM52" s="137">
        <f>Summary_LCIA!AD$32</f>
        <v>4.1103999999999999E-4</v>
      </c>
      <c r="AN52" s="137">
        <f>Summary_LCIA!AE$32</f>
        <v>8.8612999999999995E-4</v>
      </c>
      <c r="AO52" s="137">
        <f>Summary_LCIA!AF$32</f>
        <v>8.4542000000000005E-4</v>
      </c>
      <c r="AP52" s="137">
        <f>Summary_LCIA!AG$32</f>
        <v>5.1165000000000002E-5</v>
      </c>
      <c r="AQ52" s="137">
        <f>Summary_LCIA!AH$32</f>
        <v>8.7036000000000006E-3</v>
      </c>
      <c r="AR52" s="137">
        <f>Summary_LCIA!AI$32</f>
        <v>9.3154999999999996E-4</v>
      </c>
      <c r="AT52" s="137">
        <f t="shared" si="9"/>
        <v>46.245760600000004</v>
      </c>
      <c r="AU52" s="137">
        <f t="shared" si="9"/>
        <v>674.50359578000098</v>
      </c>
      <c r="AV52" s="137">
        <f t="shared" si="9"/>
        <v>0.71663236320000001</v>
      </c>
      <c r="AW52" s="137">
        <f t="shared" si="9"/>
        <v>45.644211860000006</v>
      </c>
      <c r="AX52" s="137">
        <f t="shared" si="9"/>
        <v>14.9570603</v>
      </c>
      <c r="AY52" s="137">
        <f t="shared" si="9"/>
        <v>2.4380416579999999</v>
      </c>
      <c r="AZ52" s="137">
        <f t="shared" si="9"/>
        <v>6.5001288170000006E-3</v>
      </c>
      <c r="BA52" s="137">
        <f t="shared" si="9"/>
        <v>10.475522187000001</v>
      </c>
      <c r="BB52" s="137">
        <f t="shared" si="9"/>
        <v>3.1002896600000005</v>
      </c>
      <c r="BC52" s="137">
        <f t="shared" si="9"/>
        <v>2.1206634540000002</v>
      </c>
      <c r="BD52" s="137">
        <f t="shared" si="9"/>
        <v>5.5812018730000005E-3</v>
      </c>
      <c r="BE52" s="137">
        <f t="shared" si="9"/>
        <v>3.1786815320000001</v>
      </c>
      <c r="BF52" s="137">
        <f t="shared" si="9"/>
        <v>-2.9700448310000004E-3</v>
      </c>
      <c r="BG52" s="137">
        <f t="shared" si="9"/>
        <v>6.6529657480000012E-6</v>
      </c>
      <c r="BH52" s="137">
        <f t="shared" si="9"/>
        <v>5.5941310880000004E-2</v>
      </c>
      <c r="BI52" s="137">
        <f t="shared" si="9"/>
        <v>0.12059963461000001</v>
      </c>
      <c r="BJ52" s="137">
        <f t="shared" si="8"/>
        <v>0.11505912574000002</v>
      </c>
      <c r="BK52" s="137">
        <f t="shared" si="8"/>
        <v>6.9634030050000004E-3</v>
      </c>
      <c r="BL52" s="137">
        <f t="shared" si="8"/>
        <v>1.1845338492000002</v>
      </c>
      <c r="BM52" s="137">
        <f t="shared" si="8"/>
        <v>0.12678116035000001</v>
      </c>
    </row>
    <row r="53" spans="1:65" x14ac:dyDescent="0.25">
      <c r="A53" s="149">
        <v>379</v>
      </c>
      <c r="B53" s="149">
        <v>43</v>
      </c>
      <c r="C53" s="61">
        <v>39.744655000000002</v>
      </c>
      <c r="D53" s="61">
        <v>-75.548390999999995</v>
      </c>
      <c r="E53" s="61" t="s">
        <v>265</v>
      </c>
      <c r="F53" s="149">
        <v>80</v>
      </c>
      <c r="G53" s="61" t="s">
        <v>284</v>
      </c>
      <c r="H53" s="61" t="s">
        <v>715</v>
      </c>
      <c r="I53" s="61">
        <v>39.872929999999997</v>
      </c>
      <c r="J53" s="61">
        <v>-75.243667000000002</v>
      </c>
      <c r="K53" s="61">
        <v>34.755050079999997</v>
      </c>
      <c r="L53" s="61">
        <v>33.222000000000001</v>
      </c>
      <c r="M53" s="61" t="s">
        <v>617</v>
      </c>
      <c r="N53" s="149">
        <v>42</v>
      </c>
      <c r="O53" s="149">
        <v>43</v>
      </c>
      <c r="P53" s="61" t="s">
        <v>565</v>
      </c>
      <c r="Q53" s="61" t="s">
        <v>555</v>
      </c>
      <c r="R53" s="61">
        <v>40.6895314</v>
      </c>
      <c r="S53" s="61">
        <v>-74.174462399999996</v>
      </c>
      <c r="T53" s="61">
        <v>184.57</v>
      </c>
      <c r="U53" s="61" t="s">
        <v>617</v>
      </c>
      <c r="V53" s="61" t="s">
        <v>617</v>
      </c>
      <c r="W53" s="61"/>
      <c r="Y53" s="137">
        <f>Summary_LCIA!H$32</f>
        <v>0.33979999999999999</v>
      </c>
      <c r="Z53" s="137">
        <f>Summary_LCIA!Q$32</f>
        <v>4.9560504329999997</v>
      </c>
      <c r="AA53" s="137">
        <f>Summary_LCIA!R$32</f>
        <v>5.2655999999999996E-3</v>
      </c>
      <c r="AB53" s="137">
        <f>Summary_LCIA!S$32</f>
        <v>0.33538000000000001</v>
      </c>
      <c r="AC53" s="137">
        <f>Summary_LCIA!T$32</f>
        <v>0.1099</v>
      </c>
      <c r="AD53" s="137">
        <f>Summary_LCIA!U$32</f>
        <v>1.7913999999999999E-2</v>
      </c>
      <c r="AE53" s="137">
        <f>Summary_LCIA!V$32</f>
        <v>4.7760999999999999E-5</v>
      </c>
      <c r="AF53" s="137">
        <f>Summary_LCIA!W$32</f>
        <v>7.6970999999999998E-2</v>
      </c>
      <c r="AG53" s="137">
        <f>Summary_LCIA!X$32</f>
        <v>2.2780000000000002E-2</v>
      </c>
      <c r="AH53" s="137">
        <f>Summary_LCIA!Y$32</f>
        <v>1.5582E-2</v>
      </c>
      <c r="AI53" s="137">
        <f>Summary_LCIA!Z$32</f>
        <v>4.1009E-5</v>
      </c>
      <c r="AJ53" s="137">
        <f>Summary_LCIA!AA$32</f>
        <v>2.3355999999999998E-2</v>
      </c>
      <c r="AK53" s="137">
        <f>Summary_LCIA!AB$32</f>
        <v>-2.1823000000000001E-5</v>
      </c>
      <c r="AL53" s="137">
        <f>Summary_LCIA!AC$32</f>
        <v>4.8884000000000003E-8</v>
      </c>
      <c r="AM53" s="137">
        <f>Summary_LCIA!AD$32</f>
        <v>4.1103999999999999E-4</v>
      </c>
      <c r="AN53" s="137">
        <f>Summary_LCIA!AE$32</f>
        <v>8.8612999999999995E-4</v>
      </c>
      <c r="AO53" s="137">
        <f>Summary_LCIA!AF$32</f>
        <v>8.4542000000000005E-4</v>
      </c>
      <c r="AP53" s="137">
        <f>Summary_LCIA!AG$32</f>
        <v>5.1165000000000002E-5</v>
      </c>
      <c r="AQ53" s="137">
        <f>Summary_LCIA!AH$32</f>
        <v>8.7036000000000006E-3</v>
      </c>
      <c r="AR53" s="137">
        <f>Summary_LCIA!AI$32</f>
        <v>9.3154999999999996E-4</v>
      </c>
      <c r="AT53" s="137">
        <f t="shared" si="9"/>
        <v>62.716885999999995</v>
      </c>
      <c r="AU53" s="137">
        <f t="shared" si="9"/>
        <v>914.73822841880997</v>
      </c>
      <c r="AV53" s="137">
        <f t="shared" si="9"/>
        <v>0.97187179199999985</v>
      </c>
      <c r="AW53" s="137">
        <f t="shared" si="9"/>
        <v>61.901086599999999</v>
      </c>
      <c r="AX53" s="137">
        <f t="shared" si="9"/>
        <v>20.284243</v>
      </c>
      <c r="AY53" s="137">
        <f t="shared" si="9"/>
        <v>3.3063869799999996</v>
      </c>
      <c r="AZ53" s="137">
        <f t="shared" si="9"/>
        <v>8.8152477699999995E-3</v>
      </c>
      <c r="BA53" s="137">
        <f t="shared" si="9"/>
        <v>14.206537469999999</v>
      </c>
      <c r="BB53" s="137">
        <f t="shared" si="9"/>
        <v>4.2045045999999999</v>
      </c>
      <c r="BC53" s="137">
        <f t="shared" si="9"/>
        <v>2.8759697399999999</v>
      </c>
      <c r="BD53" s="137">
        <f t="shared" si="9"/>
        <v>7.5690311299999999E-3</v>
      </c>
      <c r="BE53" s="137">
        <f t="shared" si="9"/>
        <v>4.3108169199999997</v>
      </c>
      <c r="BF53" s="137">
        <f t="shared" si="9"/>
        <v>-4.0278711100000001E-3</v>
      </c>
      <c r="BG53" s="137">
        <f t="shared" si="9"/>
        <v>9.0225198800000006E-6</v>
      </c>
      <c r="BH53" s="137">
        <f t="shared" si="9"/>
        <v>7.5865652800000002E-2</v>
      </c>
      <c r="BI53" s="137">
        <f t="shared" si="9"/>
        <v>0.16355301409999998</v>
      </c>
      <c r="BJ53" s="137">
        <f t="shared" si="8"/>
        <v>0.15603916940000001</v>
      </c>
      <c r="BK53" s="137">
        <f t="shared" si="8"/>
        <v>9.4435240500000007E-3</v>
      </c>
      <c r="BL53" s="137">
        <f t="shared" si="8"/>
        <v>1.606423452</v>
      </c>
      <c r="BM53" s="137">
        <f t="shared" si="8"/>
        <v>0.17193618349999998</v>
      </c>
    </row>
    <row r="54" spans="1:65" x14ac:dyDescent="0.25">
      <c r="A54" s="149">
        <v>239</v>
      </c>
      <c r="B54" s="149">
        <v>6</v>
      </c>
      <c r="C54" s="61">
        <v>43.739162</v>
      </c>
      <c r="D54" s="61">
        <v>-87.781754000000006</v>
      </c>
      <c r="E54" s="61" t="s">
        <v>265</v>
      </c>
      <c r="F54" s="149">
        <v>114</v>
      </c>
      <c r="G54" s="61" t="s">
        <v>639</v>
      </c>
      <c r="H54" s="61" t="s">
        <v>640</v>
      </c>
      <c r="I54" s="61">
        <v>42.947552999999999</v>
      </c>
      <c r="J54" s="61">
        <v>-87.896646000000004</v>
      </c>
      <c r="K54" s="61">
        <v>136.40500399999999</v>
      </c>
      <c r="L54" s="61">
        <v>98.278000000000006</v>
      </c>
      <c r="M54" s="61" t="s">
        <v>617</v>
      </c>
      <c r="N54" s="149">
        <v>5</v>
      </c>
      <c r="O54" s="149">
        <v>6</v>
      </c>
      <c r="P54" s="61" t="s">
        <v>565</v>
      </c>
      <c r="Q54" s="61" t="s">
        <v>564</v>
      </c>
      <c r="R54" s="61">
        <v>41.98028</v>
      </c>
      <c r="S54" s="61">
        <v>-87.908997900000003</v>
      </c>
      <c r="T54" s="61">
        <v>212.905</v>
      </c>
      <c r="U54" s="61" t="s">
        <v>617</v>
      </c>
      <c r="V54" s="61" t="s">
        <v>617</v>
      </c>
      <c r="W54" s="61"/>
      <c r="Y54" s="137">
        <f>Summary_LCIA!H$32</f>
        <v>0.33979999999999999</v>
      </c>
      <c r="Z54" s="137">
        <f>Summary_LCIA!Q$32</f>
        <v>4.9560504329999997</v>
      </c>
      <c r="AA54" s="137">
        <f>Summary_LCIA!R$32</f>
        <v>5.2655999999999996E-3</v>
      </c>
      <c r="AB54" s="137">
        <f>Summary_LCIA!S$32</f>
        <v>0.33538000000000001</v>
      </c>
      <c r="AC54" s="137">
        <f>Summary_LCIA!T$32</f>
        <v>0.1099</v>
      </c>
      <c r="AD54" s="137">
        <f>Summary_LCIA!U$32</f>
        <v>1.7913999999999999E-2</v>
      </c>
      <c r="AE54" s="137">
        <f>Summary_LCIA!V$32</f>
        <v>4.7760999999999999E-5</v>
      </c>
      <c r="AF54" s="137">
        <f>Summary_LCIA!W$32</f>
        <v>7.6970999999999998E-2</v>
      </c>
      <c r="AG54" s="137">
        <f>Summary_LCIA!X$32</f>
        <v>2.2780000000000002E-2</v>
      </c>
      <c r="AH54" s="137">
        <f>Summary_LCIA!Y$32</f>
        <v>1.5582E-2</v>
      </c>
      <c r="AI54" s="137">
        <f>Summary_LCIA!Z$32</f>
        <v>4.1009E-5</v>
      </c>
      <c r="AJ54" s="137">
        <f>Summary_LCIA!AA$32</f>
        <v>2.3355999999999998E-2</v>
      </c>
      <c r="AK54" s="137">
        <f>Summary_LCIA!AB$32</f>
        <v>-2.1823000000000001E-5</v>
      </c>
      <c r="AL54" s="137">
        <f>Summary_LCIA!AC$32</f>
        <v>4.8884000000000003E-8</v>
      </c>
      <c r="AM54" s="137">
        <f>Summary_LCIA!AD$32</f>
        <v>4.1103999999999999E-4</v>
      </c>
      <c r="AN54" s="137">
        <f>Summary_LCIA!AE$32</f>
        <v>8.8612999999999995E-4</v>
      </c>
      <c r="AO54" s="137">
        <f>Summary_LCIA!AF$32</f>
        <v>8.4542000000000005E-4</v>
      </c>
      <c r="AP54" s="137">
        <f>Summary_LCIA!AG$32</f>
        <v>5.1165000000000002E-5</v>
      </c>
      <c r="AQ54" s="137">
        <f>Summary_LCIA!AH$32</f>
        <v>8.7036000000000006E-3</v>
      </c>
      <c r="AR54" s="137">
        <f>Summary_LCIA!AI$32</f>
        <v>9.3154999999999996E-4</v>
      </c>
      <c r="AT54" s="137">
        <f t="shared" si="9"/>
        <v>72.345118999999997</v>
      </c>
      <c r="AU54" s="137">
        <f t="shared" si="9"/>
        <v>1055.1679174378648</v>
      </c>
      <c r="AV54" s="137">
        <f t="shared" si="9"/>
        <v>1.121072568</v>
      </c>
      <c r="AW54" s="137">
        <f t="shared" si="9"/>
        <v>71.404078900000002</v>
      </c>
      <c r="AX54" s="137">
        <f t="shared" si="9"/>
        <v>23.398259499999998</v>
      </c>
      <c r="AY54" s="137">
        <f t="shared" si="9"/>
        <v>3.8139801699999998</v>
      </c>
      <c r="AZ54" s="137">
        <f t="shared" si="9"/>
        <v>1.0168555705E-2</v>
      </c>
      <c r="BA54" s="137">
        <f t="shared" si="9"/>
        <v>16.387510755000001</v>
      </c>
      <c r="BB54" s="137">
        <f t="shared" si="9"/>
        <v>4.8499759000000005</v>
      </c>
      <c r="BC54" s="137">
        <f t="shared" si="9"/>
        <v>3.3174857100000001</v>
      </c>
      <c r="BD54" s="137">
        <f t="shared" si="9"/>
        <v>8.7310211450000001E-3</v>
      </c>
      <c r="BE54" s="137">
        <f t="shared" si="9"/>
        <v>4.9726091800000001</v>
      </c>
      <c r="BF54" s="137">
        <f t="shared" si="9"/>
        <v>-4.6462258150000001E-3</v>
      </c>
      <c r="BG54" s="137">
        <f t="shared" si="9"/>
        <v>1.0407648020000001E-5</v>
      </c>
      <c r="BH54" s="137">
        <f t="shared" si="9"/>
        <v>8.7512471199999997E-2</v>
      </c>
      <c r="BI54" s="137">
        <f t="shared" si="9"/>
        <v>0.18866150764999998</v>
      </c>
      <c r="BJ54" s="137">
        <f t="shared" si="8"/>
        <v>0.1799941451</v>
      </c>
      <c r="BK54" s="137">
        <f t="shared" si="8"/>
        <v>1.0893284325E-2</v>
      </c>
      <c r="BL54" s="137">
        <f t="shared" si="8"/>
        <v>1.8530399580000001</v>
      </c>
      <c r="BM54" s="137">
        <f t="shared" si="8"/>
        <v>0.19833165275</v>
      </c>
    </row>
    <row r="55" spans="1:65" x14ac:dyDescent="0.25">
      <c r="A55" s="149">
        <v>240</v>
      </c>
      <c r="B55" s="149">
        <v>6</v>
      </c>
      <c r="C55" s="61">
        <v>43.739162</v>
      </c>
      <c r="D55" s="61">
        <v>-87.781754000000006</v>
      </c>
      <c r="E55" s="61" t="s">
        <v>265</v>
      </c>
      <c r="F55" s="149">
        <v>114</v>
      </c>
      <c r="G55" s="61" t="s">
        <v>639</v>
      </c>
      <c r="H55" s="61" t="s">
        <v>640</v>
      </c>
      <c r="I55" s="61">
        <v>42.947552999999999</v>
      </c>
      <c r="J55" s="61">
        <v>-87.896646000000004</v>
      </c>
      <c r="K55" s="61">
        <v>136.40500399999999</v>
      </c>
      <c r="L55" s="61">
        <v>98.278000000000006</v>
      </c>
      <c r="M55" s="61" t="s">
        <v>617</v>
      </c>
      <c r="N55" s="149">
        <v>5</v>
      </c>
      <c r="O55" s="149">
        <v>6</v>
      </c>
      <c r="P55" s="61" t="s">
        <v>565</v>
      </c>
      <c r="Q55" s="61" t="s">
        <v>564</v>
      </c>
      <c r="R55" s="61">
        <v>41.98028</v>
      </c>
      <c r="S55" s="61">
        <v>-87.908997900000003</v>
      </c>
      <c r="T55" s="61">
        <v>212.905</v>
      </c>
      <c r="U55" s="61" t="s">
        <v>617</v>
      </c>
      <c r="V55" s="61" t="s">
        <v>617</v>
      </c>
      <c r="W55" s="61"/>
      <c r="Y55" s="137">
        <f>Summary_LCIA!H$32</f>
        <v>0.33979999999999999</v>
      </c>
      <c r="Z55" s="137">
        <f>Summary_LCIA!Q$32</f>
        <v>4.9560504329999997</v>
      </c>
      <c r="AA55" s="137">
        <f>Summary_LCIA!R$32</f>
        <v>5.2655999999999996E-3</v>
      </c>
      <c r="AB55" s="137">
        <f>Summary_LCIA!S$32</f>
        <v>0.33538000000000001</v>
      </c>
      <c r="AC55" s="137">
        <f>Summary_LCIA!T$32</f>
        <v>0.1099</v>
      </c>
      <c r="AD55" s="137">
        <f>Summary_LCIA!U$32</f>
        <v>1.7913999999999999E-2</v>
      </c>
      <c r="AE55" s="137">
        <f>Summary_LCIA!V$32</f>
        <v>4.7760999999999999E-5</v>
      </c>
      <c r="AF55" s="137">
        <f>Summary_LCIA!W$32</f>
        <v>7.6970999999999998E-2</v>
      </c>
      <c r="AG55" s="137">
        <f>Summary_LCIA!X$32</f>
        <v>2.2780000000000002E-2</v>
      </c>
      <c r="AH55" s="137">
        <f>Summary_LCIA!Y$32</f>
        <v>1.5582E-2</v>
      </c>
      <c r="AI55" s="137">
        <f>Summary_LCIA!Z$32</f>
        <v>4.1009E-5</v>
      </c>
      <c r="AJ55" s="137">
        <f>Summary_LCIA!AA$32</f>
        <v>2.3355999999999998E-2</v>
      </c>
      <c r="AK55" s="137">
        <f>Summary_LCIA!AB$32</f>
        <v>-2.1823000000000001E-5</v>
      </c>
      <c r="AL55" s="137">
        <f>Summary_LCIA!AC$32</f>
        <v>4.8884000000000003E-8</v>
      </c>
      <c r="AM55" s="137">
        <f>Summary_LCIA!AD$32</f>
        <v>4.1103999999999999E-4</v>
      </c>
      <c r="AN55" s="137">
        <f>Summary_LCIA!AE$32</f>
        <v>8.8612999999999995E-4</v>
      </c>
      <c r="AO55" s="137">
        <f>Summary_LCIA!AF$32</f>
        <v>8.4542000000000005E-4</v>
      </c>
      <c r="AP55" s="137">
        <f>Summary_LCIA!AG$32</f>
        <v>5.1165000000000002E-5</v>
      </c>
      <c r="AQ55" s="137">
        <f>Summary_LCIA!AH$32</f>
        <v>8.7036000000000006E-3</v>
      </c>
      <c r="AR55" s="137">
        <f>Summary_LCIA!AI$32</f>
        <v>9.3154999999999996E-4</v>
      </c>
      <c r="AT55" s="137">
        <f t="shared" si="9"/>
        <v>72.345118999999997</v>
      </c>
      <c r="AU55" s="137">
        <f t="shared" si="9"/>
        <v>1055.1679174378648</v>
      </c>
      <c r="AV55" s="137">
        <f t="shared" si="9"/>
        <v>1.121072568</v>
      </c>
      <c r="AW55" s="137">
        <f t="shared" si="9"/>
        <v>71.404078900000002</v>
      </c>
      <c r="AX55" s="137">
        <f t="shared" si="9"/>
        <v>23.398259499999998</v>
      </c>
      <c r="AY55" s="137">
        <f t="shared" si="9"/>
        <v>3.8139801699999998</v>
      </c>
      <c r="AZ55" s="137">
        <f t="shared" si="9"/>
        <v>1.0168555705E-2</v>
      </c>
      <c r="BA55" s="137">
        <f t="shared" si="9"/>
        <v>16.387510755000001</v>
      </c>
      <c r="BB55" s="137">
        <f t="shared" si="9"/>
        <v>4.8499759000000005</v>
      </c>
      <c r="BC55" s="137">
        <f t="shared" si="9"/>
        <v>3.3174857100000001</v>
      </c>
      <c r="BD55" s="137">
        <f t="shared" si="9"/>
        <v>8.7310211450000001E-3</v>
      </c>
      <c r="BE55" s="137">
        <f t="shared" si="9"/>
        <v>4.9726091800000001</v>
      </c>
      <c r="BF55" s="137">
        <f t="shared" si="9"/>
        <v>-4.6462258150000001E-3</v>
      </c>
      <c r="BG55" s="137">
        <f t="shared" si="9"/>
        <v>1.0407648020000001E-5</v>
      </c>
      <c r="BH55" s="137">
        <f t="shared" si="9"/>
        <v>8.7512471199999997E-2</v>
      </c>
      <c r="BI55" s="137">
        <f t="shared" si="9"/>
        <v>0.18866150764999998</v>
      </c>
      <c r="BJ55" s="137">
        <f t="shared" si="8"/>
        <v>0.1799941451</v>
      </c>
      <c r="BK55" s="137">
        <f t="shared" si="8"/>
        <v>1.0893284325E-2</v>
      </c>
      <c r="BL55" s="137">
        <f t="shared" si="8"/>
        <v>1.8530399580000001</v>
      </c>
      <c r="BM55" s="137">
        <f t="shared" si="8"/>
        <v>0.19833165275</v>
      </c>
    </row>
    <row r="56" spans="1:65" x14ac:dyDescent="0.25">
      <c r="A56" s="149">
        <v>241</v>
      </c>
      <c r="B56" s="149">
        <v>6</v>
      </c>
      <c r="C56" s="61">
        <v>43.739162</v>
      </c>
      <c r="D56" s="61">
        <v>-87.781754000000006</v>
      </c>
      <c r="E56" s="61" t="s">
        <v>265</v>
      </c>
      <c r="F56" s="149">
        <v>114</v>
      </c>
      <c r="G56" s="61" t="s">
        <v>639</v>
      </c>
      <c r="H56" s="61" t="s">
        <v>640</v>
      </c>
      <c r="I56" s="61">
        <v>42.947552999999999</v>
      </c>
      <c r="J56" s="61">
        <v>-87.896646000000004</v>
      </c>
      <c r="K56" s="61">
        <v>136.40500399999999</v>
      </c>
      <c r="L56" s="61">
        <v>98.278000000000006</v>
      </c>
      <c r="M56" s="61" t="s">
        <v>617</v>
      </c>
      <c r="N56" s="149">
        <v>5</v>
      </c>
      <c r="O56" s="149">
        <v>6</v>
      </c>
      <c r="P56" s="61" t="s">
        <v>565</v>
      </c>
      <c r="Q56" s="61" t="s">
        <v>564</v>
      </c>
      <c r="R56" s="61">
        <v>41.98028</v>
      </c>
      <c r="S56" s="61">
        <v>-87.908997900000003</v>
      </c>
      <c r="T56" s="61">
        <v>212.905</v>
      </c>
      <c r="U56" s="61" t="s">
        <v>617</v>
      </c>
      <c r="V56" s="61" t="s">
        <v>617</v>
      </c>
      <c r="W56" s="61"/>
      <c r="Y56" s="137">
        <f>Summary_LCIA!H$32</f>
        <v>0.33979999999999999</v>
      </c>
      <c r="Z56" s="137">
        <f>Summary_LCIA!Q$32</f>
        <v>4.9560504329999997</v>
      </c>
      <c r="AA56" s="137">
        <f>Summary_LCIA!R$32</f>
        <v>5.2655999999999996E-3</v>
      </c>
      <c r="AB56" s="137">
        <f>Summary_LCIA!S$32</f>
        <v>0.33538000000000001</v>
      </c>
      <c r="AC56" s="137">
        <f>Summary_LCIA!T$32</f>
        <v>0.1099</v>
      </c>
      <c r="AD56" s="137">
        <f>Summary_LCIA!U$32</f>
        <v>1.7913999999999999E-2</v>
      </c>
      <c r="AE56" s="137">
        <f>Summary_LCIA!V$32</f>
        <v>4.7760999999999999E-5</v>
      </c>
      <c r="AF56" s="137">
        <f>Summary_LCIA!W$32</f>
        <v>7.6970999999999998E-2</v>
      </c>
      <c r="AG56" s="137">
        <f>Summary_LCIA!X$32</f>
        <v>2.2780000000000002E-2</v>
      </c>
      <c r="AH56" s="137">
        <f>Summary_LCIA!Y$32</f>
        <v>1.5582E-2</v>
      </c>
      <c r="AI56" s="137">
        <f>Summary_LCIA!Z$32</f>
        <v>4.1009E-5</v>
      </c>
      <c r="AJ56" s="137">
        <f>Summary_LCIA!AA$32</f>
        <v>2.3355999999999998E-2</v>
      </c>
      <c r="AK56" s="137">
        <f>Summary_LCIA!AB$32</f>
        <v>-2.1823000000000001E-5</v>
      </c>
      <c r="AL56" s="137">
        <f>Summary_LCIA!AC$32</f>
        <v>4.8884000000000003E-8</v>
      </c>
      <c r="AM56" s="137">
        <f>Summary_LCIA!AD$32</f>
        <v>4.1103999999999999E-4</v>
      </c>
      <c r="AN56" s="137">
        <f>Summary_LCIA!AE$32</f>
        <v>8.8612999999999995E-4</v>
      </c>
      <c r="AO56" s="137">
        <f>Summary_LCIA!AF$32</f>
        <v>8.4542000000000005E-4</v>
      </c>
      <c r="AP56" s="137">
        <f>Summary_LCIA!AG$32</f>
        <v>5.1165000000000002E-5</v>
      </c>
      <c r="AQ56" s="137">
        <f>Summary_LCIA!AH$32</f>
        <v>8.7036000000000006E-3</v>
      </c>
      <c r="AR56" s="137">
        <f>Summary_LCIA!AI$32</f>
        <v>9.3154999999999996E-4</v>
      </c>
      <c r="AT56" s="137">
        <f t="shared" si="9"/>
        <v>72.345118999999997</v>
      </c>
      <c r="AU56" s="137">
        <f t="shared" si="9"/>
        <v>1055.1679174378648</v>
      </c>
      <c r="AV56" s="137">
        <f t="shared" si="9"/>
        <v>1.121072568</v>
      </c>
      <c r="AW56" s="137">
        <f t="shared" si="9"/>
        <v>71.404078900000002</v>
      </c>
      <c r="AX56" s="137">
        <f t="shared" si="9"/>
        <v>23.398259499999998</v>
      </c>
      <c r="AY56" s="137">
        <f t="shared" si="9"/>
        <v>3.8139801699999998</v>
      </c>
      <c r="AZ56" s="137">
        <f t="shared" si="9"/>
        <v>1.0168555705E-2</v>
      </c>
      <c r="BA56" s="137">
        <f t="shared" si="9"/>
        <v>16.387510755000001</v>
      </c>
      <c r="BB56" s="137">
        <f t="shared" si="9"/>
        <v>4.8499759000000005</v>
      </c>
      <c r="BC56" s="137">
        <f t="shared" si="9"/>
        <v>3.3174857100000001</v>
      </c>
      <c r="BD56" s="137">
        <f t="shared" si="9"/>
        <v>8.7310211450000001E-3</v>
      </c>
      <c r="BE56" s="137">
        <f t="shared" si="9"/>
        <v>4.9726091800000001</v>
      </c>
      <c r="BF56" s="137">
        <f t="shared" si="9"/>
        <v>-4.6462258150000001E-3</v>
      </c>
      <c r="BG56" s="137">
        <f t="shared" si="9"/>
        <v>1.0407648020000001E-5</v>
      </c>
      <c r="BH56" s="137">
        <f t="shared" si="9"/>
        <v>8.7512471199999997E-2</v>
      </c>
      <c r="BI56" s="137">
        <f t="shared" si="9"/>
        <v>0.18866150764999998</v>
      </c>
      <c r="BJ56" s="137">
        <f t="shared" si="8"/>
        <v>0.1799941451</v>
      </c>
      <c r="BK56" s="137">
        <f t="shared" si="8"/>
        <v>1.0893284325E-2</v>
      </c>
      <c r="BL56" s="137">
        <f t="shared" si="8"/>
        <v>1.8530399580000001</v>
      </c>
      <c r="BM56" s="137">
        <f t="shared" si="8"/>
        <v>0.19833165275</v>
      </c>
    </row>
    <row r="57" spans="1:65" x14ac:dyDescent="0.25">
      <c r="A57" s="149">
        <v>242</v>
      </c>
      <c r="B57" s="149">
        <v>6</v>
      </c>
      <c r="C57" s="61">
        <v>43.739162</v>
      </c>
      <c r="D57" s="61">
        <v>-87.781754000000006</v>
      </c>
      <c r="E57" s="61" t="s">
        <v>265</v>
      </c>
      <c r="F57" s="149">
        <v>114</v>
      </c>
      <c r="G57" s="61" t="s">
        <v>639</v>
      </c>
      <c r="H57" s="61" t="s">
        <v>640</v>
      </c>
      <c r="I57" s="61">
        <v>42.947552999999999</v>
      </c>
      <c r="J57" s="61">
        <v>-87.896646000000004</v>
      </c>
      <c r="K57" s="61">
        <v>136.40500399999999</v>
      </c>
      <c r="L57" s="61">
        <v>98.278000000000006</v>
      </c>
      <c r="M57" s="61" t="s">
        <v>617</v>
      </c>
      <c r="N57" s="149">
        <v>5</v>
      </c>
      <c r="O57" s="149">
        <v>6</v>
      </c>
      <c r="P57" s="61" t="s">
        <v>565</v>
      </c>
      <c r="Q57" s="61" t="s">
        <v>564</v>
      </c>
      <c r="R57" s="61">
        <v>41.98028</v>
      </c>
      <c r="S57" s="61">
        <v>-87.908997900000003</v>
      </c>
      <c r="T57" s="61">
        <v>212.905</v>
      </c>
      <c r="U57" s="61" t="s">
        <v>617</v>
      </c>
      <c r="V57" s="61" t="s">
        <v>617</v>
      </c>
      <c r="W57" s="61"/>
      <c r="Y57" s="137">
        <f>Summary_LCIA!H$32</f>
        <v>0.33979999999999999</v>
      </c>
      <c r="Z57" s="137">
        <f>Summary_LCIA!Q$32</f>
        <v>4.9560504329999997</v>
      </c>
      <c r="AA57" s="137">
        <f>Summary_LCIA!R$32</f>
        <v>5.2655999999999996E-3</v>
      </c>
      <c r="AB57" s="137">
        <f>Summary_LCIA!S$32</f>
        <v>0.33538000000000001</v>
      </c>
      <c r="AC57" s="137">
        <f>Summary_LCIA!T$32</f>
        <v>0.1099</v>
      </c>
      <c r="AD57" s="137">
        <f>Summary_LCIA!U$32</f>
        <v>1.7913999999999999E-2</v>
      </c>
      <c r="AE57" s="137">
        <f>Summary_LCIA!V$32</f>
        <v>4.7760999999999999E-5</v>
      </c>
      <c r="AF57" s="137">
        <f>Summary_LCIA!W$32</f>
        <v>7.6970999999999998E-2</v>
      </c>
      <c r="AG57" s="137">
        <f>Summary_LCIA!X$32</f>
        <v>2.2780000000000002E-2</v>
      </c>
      <c r="AH57" s="137">
        <f>Summary_LCIA!Y$32</f>
        <v>1.5582E-2</v>
      </c>
      <c r="AI57" s="137">
        <f>Summary_LCIA!Z$32</f>
        <v>4.1009E-5</v>
      </c>
      <c r="AJ57" s="137">
        <f>Summary_LCIA!AA$32</f>
        <v>2.3355999999999998E-2</v>
      </c>
      <c r="AK57" s="137">
        <f>Summary_LCIA!AB$32</f>
        <v>-2.1823000000000001E-5</v>
      </c>
      <c r="AL57" s="137">
        <f>Summary_LCIA!AC$32</f>
        <v>4.8884000000000003E-8</v>
      </c>
      <c r="AM57" s="137">
        <f>Summary_LCIA!AD$32</f>
        <v>4.1103999999999999E-4</v>
      </c>
      <c r="AN57" s="137">
        <f>Summary_LCIA!AE$32</f>
        <v>8.8612999999999995E-4</v>
      </c>
      <c r="AO57" s="137">
        <f>Summary_LCIA!AF$32</f>
        <v>8.4542000000000005E-4</v>
      </c>
      <c r="AP57" s="137">
        <f>Summary_LCIA!AG$32</f>
        <v>5.1165000000000002E-5</v>
      </c>
      <c r="AQ57" s="137">
        <f>Summary_LCIA!AH$32</f>
        <v>8.7036000000000006E-3</v>
      </c>
      <c r="AR57" s="137">
        <f>Summary_LCIA!AI$32</f>
        <v>9.3154999999999996E-4</v>
      </c>
      <c r="AT57" s="137">
        <f t="shared" si="9"/>
        <v>72.345118999999997</v>
      </c>
      <c r="AU57" s="137">
        <f t="shared" si="9"/>
        <v>1055.1679174378648</v>
      </c>
      <c r="AV57" s="137">
        <f t="shared" si="9"/>
        <v>1.121072568</v>
      </c>
      <c r="AW57" s="137">
        <f t="shared" si="9"/>
        <v>71.404078900000002</v>
      </c>
      <c r="AX57" s="137">
        <f t="shared" si="9"/>
        <v>23.398259499999998</v>
      </c>
      <c r="AY57" s="137">
        <f t="shared" si="9"/>
        <v>3.8139801699999998</v>
      </c>
      <c r="AZ57" s="137">
        <f t="shared" si="9"/>
        <v>1.0168555705E-2</v>
      </c>
      <c r="BA57" s="137">
        <f t="shared" si="9"/>
        <v>16.387510755000001</v>
      </c>
      <c r="BB57" s="137">
        <f t="shared" si="9"/>
        <v>4.8499759000000005</v>
      </c>
      <c r="BC57" s="137">
        <f t="shared" si="9"/>
        <v>3.3174857100000001</v>
      </c>
      <c r="BD57" s="137">
        <f t="shared" si="9"/>
        <v>8.7310211450000001E-3</v>
      </c>
      <c r="BE57" s="137">
        <f t="shared" si="9"/>
        <v>4.9726091800000001</v>
      </c>
      <c r="BF57" s="137">
        <f t="shared" si="9"/>
        <v>-4.6462258150000001E-3</v>
      </c>
      <c r="BG57" s="137">
        <f t="shared" si="9"/>
        <v>1.0407648020000001E-5</v>
      </c>
      <c r="BH57" s="137">
        <f t="shared" si="9"/>
        <v>8.7512471199999997E-2</v>
      </c>
      <c r="BI57" s="137">
        <f t="shared" si="9"/>
        <v>0.18866150764999998</v>
      </c>
      <c r="BJ57" s="137">
        <f t="shared" si="8"/>
        <v>0.1799941451</v>
      </c>
      <c r="BK57" s="137">
        <f t="shared" si="8"/>
        <v>1.0893284325E-2</v>
      </c>
      <c r="BL57" s="137">
        <f t="shared" si="8"/>
        <v>1.8530399580000001</v>
      </c>
      <c r="BM57" s="137">
        <f t="shared" si="8"/>
        <v>0.19833165275</v>
      </c>
    </row>
    <row r="58" spans="1:65" x14ac:dyDescent="0.25">
      <c r="A58" s="149">
        <v>243</v>
      </c>
      <c r="B58" s="149">
        <v>6</v>
      </c>
      <c r="C58" s="61">
        <v>43.739162</v>
      </c>
      <c r="D58" s="61">
        <v>-87.781754000000006</v>
      </c>
      <c r="E58" s="61" t="s">
        <v>265</v>
      </c>
      <c r="F58" s="149">
        <v>114</v>
      </c>
      <c r="G58" s="61" t="s">
        <v>639</v>
      </c>
      <c r="H58" s="61" t="s">
        <v>640</v>
      </c>
      <c r="I58" s="61">
        <v>42.947552999999999</v>
      </c>
      <c r="J58" s="61">
        <v>-87.896646000000004</v>
      </c>
      <c r="K58" s="61">
        <v>136.40500399999999</v>
      </c>
      <c r="L58" s="61">
        <v>98.278000000000006</v>
      </c>
      <c r="M58" s="61" t="s">
        <v>617</v>
      </c>
      <c r="N58" s="149">
        <v>5</v>
      </c>
      <c r="O58" s="149">
        <v>6</v>
      </c>
      <c r="P58" s="61" t="s">
        <v>565</v>
      </c>
      <c r="Q58" s="61" t="s">
        <v>564</v>
      </c>
      <c r="R58" s="61">
        <v>41.98028</v>
      </c>
      <c r="S58" s="61">
        <v>-87.908997900000003</v>
      </c>
      <c r="T58" s="61">
        <v>212.905</v>
      </c>
      <c r="U58" s="61" t="s">
        <v>617</v>
      </c>
      <c r="V58" s="61" t="s">
        <v>617</v>
      </c>
      <c r="W58" s="61"/>
      <c r="Y58" s="137">
        <f>Summary_LCIA!H$32</f>
        <v>0.33979999999999999</v>
      </c>
      <c r="Z58" s="137">
        <f>Summary_LCIA!Q$32</f>
        <v>4.9560504329999997</v>
      </c>
      <c r="AA58" s="137">
        <f>Summary_LCIA!R$32</f>
        <v>5.2655999999999996E-3</v>
      </c>
      <c r="AB58" s="137">
        <f>Summary_LCIA!S$32</f>
        <v>0.33538000000000001</v>
      </c>
      <c r="AC58" s="137">
        <f>Summary_LCIA!T$32</f>
        <v>0.1099</v>
      </c>
      <c r="AD58" s="137">
        <f>Summary_LCIA!U$32</f>
        <v>1.7913999999999999E-2</v>
      </c>
      <c r="AE58" s="137">
        <f>Summary_LCIA!V$32</f>
        <v>4.7760999999999999E-5</v>
      </c>
      <c r="AF58" s="137">
        <f>Summary_LCIA!W$32</f>
        <v>7.6970999999999998E-2</v>
      </c>
      <c r="AG58" s="137">
        <f>Summary_LCIA!X$32</f>
        <v>2.2780000000000002E-2</v>
      </c>
      <c r="AH58" s="137">
        <f>Summary_LCIA!Y$32</f>
        <v>1.5582E-2</v>
      </c>
      <c r="AI58" s="137">
        <f>Summary_LCIA!Z$32</f>
        <v>4.1009E-5</v>
      </c>
      <c r="AJ58" s="137">
        <f>Summary_LCIA!AA$32</f>
        <v>2.3355999999999998E-2</v>
      </c>
      <c r="AK58" s="137">
        <f>Summary_LCIA!AB$32</f>
        <v>-2.1823000000000001E-5</v>
      </c>
      <c r="AL58" s="137">
        <f>Summary_LCIA!AC$32</f>
        <v>4.8884000000000003E-8</v>
      </c>
      <c r="AM58" s="137">
        <f>Summary_LCIA!AD$32</f>
        <v>4.1103999999999999E-4</v>
      </c>
      <c r="AN58" s="137">
        <f>Summary_LCIA!AE$32</f>
        <v>8.8612999999999995E-4</v>
      </c>
      <c r="AO58" s="137">
        <f>Summary_LCIA!AF$32</f>
        <v>8.4542000000000005E-4</v>
      </c>
      <c r="AP58" s="137">
        <f>Summary_LCIA!AG$32</f>
        <v>5.1165000000000002E-5</v>
      </c>
      <c r="AQ58" s="137">
        <f>Summary_LCIA!AH$32</f>
        <v>8.7036000000000006E-3</v>
      </c>
      <c r="AR58" s="137">
        <f>Summary_LCIA!AI$32</f>
        <v>9.3154999999999996E-4</v>
      </c>
      <c r="AT58" s="137">
        <f t="shared" si="9"/>
        <v>72.345118999999997</v>
      </c>
      <c r="AU58" s="137">
        <f t="shared" si="9"/>
        <v>1055.1679174378648</v>
      </c>
      <c r="AV58" s="137">
        <f t="shared" si="9"/>
        <v>1.121072568</v>
      </c>
      <c r="AW58" s="137">
        <f t="shared" si="9"/>
        <v>71.404078900000002</v>
      </c>
      <c r="AX58" s="137">
        <f t="shared" si="9"/>
        <v>23.398259499999998</v>
      </c>
      <c r="AY58" s="137">
        <f t="shared" si="9"/>
        <v>3.8139801699999998</v>
      </c>
      <c r="AZ58" s="137">
        <f t="shared" si="9"/>
        <v>1.0168555705E-2</v>
      </c>
      <c r="BA58" s="137">
        <f t="shared" si="9"/>
        <v>16.387510755000001</v>
      </c>
      <c r="BB58" s="137">
        <f t="shared" si="9"/>
        <v>4.8499759000000005</v>
      </c>
      <c r="BC58" s="137">
        <f t="shared" si="9"/>
        <v>3.3174857100000001</v>
      </c>
      <c r="BD58" s="137">
        <f t="shared" si="9"/>
        <v>8.7310211450000001E-3</v>
      </c>
      <c r="BE58" s="137">
        <f t="shared" si="9"/>
        <v>4.9726091800000001</v>
      </c>
      <c r="BF58" s="137">
        <f t="shared" si="9"/>
        <v>-4.6462258150000001E-3</v>
      </c>
      <c r="BG58" s="137">
        <f t="shared" si="9"/>
        <v>1.0407648020000001E-5</v>
      </c>
      <c r="BH58" s="137">
        <f t="shared" si="9"/>
        <v>8.7512471199999997E-2</v>
      </c>
      <c r="BI58" s="137">
        <f t="shared" si="9"/>
        <v>0.18866150764999998</v>
      </c>
      <c r="BJ58" s="137">
        <f t="shared" si="8"/>
        <v>0.1799941451</v>
      </c>
      <c r="BK58" s="137">
        <f t="shared" si="8"/>
        <v>1.0893284325E-2</v>
      </c>
      <c r="BL58" s="137">
        <f t="shared" si="8"/>
        <v>1.8530399580000001</v>
      </c>
      <c r="BM58" s="137">
        <f t="shared" si="8"/>
        <v>0.19833165275</v>
      </c>
    </row>
    <row r="59" spans="1:65" x14ac:dyDescent="0.25">
      <c r="A59" s="149">
        <v>253</v>
      </c>
      <c r="B59" s="149">
        <v>6</v>
      </c>
      <c r="C59" s="61">
        <v>43.073051999999997</v>
      </c>
      <c r="D59" s="61">
        <v>-89.401229999999998</v>
      </c>
      <c r="E59" s="61" t="s">
        <v>265</v>
      </c>
      <c r="F59" s="149">
        <v>114</v>
      </c>
      <c r="G59" s="61" t="s">
        <v>639</v>
      </c>
      <c r="H59" s="61" t="s">
        <v>640</v>
      </c>
      <c r="I59" s="61">
        <v>42.947552999999999</v>
      </c>
      <c r="J59" s="61">
        <v>-87.896646000000004</v>
      </c>
      <c r="K59" s="61">
        <v>124.3178211</v>
      </c>
      <c r="L59" s="61">
        <v>138.58099999999999</v>
      </c>
      <c r="M59" s="61" t="s">
        <v>617</v>
      </c>
      <c r="N59" s="149">
        <v>5</v>
      </c>
      <c r="O59" s="149">
        <v>6</v>
      </c>
      <c r="P59" s="61" t="s">
        <v>565</v>
      </c>
      <c r="Q59" s="61" t="s">
        <v>564</v>
      </c>
      <c r="R59" s="61">
        <v>41.98028</v>
      </c>
      <c r="S59" s="61">
        <v>-87.908997900000003</v>
      </c>
      <c r="T59" s="61">
        <v>215.59800000000001</v>
      </c>
      <c r="U59" s="61" t="s">
        <v>617</v>
      </c>
      <c r="V59" s="61" t="s">
        <v>617</v>
      </c>
      <c r="W59" s="61"/>
      <c r="Y59" s="137">
        <f>Summary_LCIA!H$32</f>
        <v>0.33979999999999999</v>
      </c>
      <c r="Z59" s="137">
        <f>Summary_LCIA!Q$32</f>
        <v>4.9560504329999997</v>
      </c>
      <c r="AA59" s="137">
        <f>Summary_LCIA!R$32</f>
        <v>5.2655999999999996E-3</v>
      </c>
      <c r="AB59" s="137">
        <f>Summary_LCIA!S$32</f>
        <v>0.33538000000000001</v>
      </c>
      <c r="AC59" s="137">
        <f>Summary_LCIA!T$32</f>
        <v>0.1099</v>
      </c>
      <c r="AD59" s="137">
        <f>Summary_LCIA!U$32</f>
        <v>1.7913999999999999E-2</v>
      </c>
      <c r="AE59" s="137">
        <f>Summary_LCIA!V$32</f>
        <v>4.7760999999999999E-5</v>
      </c>
      <c r="AF59" s="137">
        <f>Summary_LCIA!W$32</f>
        <v>7.6970999999999998E-2</v>
      </c>
      <c r="AG59" s="137">
        <f>Summary_LCIA!X$32</f>
        <v>2.2780000000000002E-2</v>
      </c>
      <c r="AH59" s="137">
        <f>Summary_LCIA!Y$32</f>
        <v>1.5582E-2</v>
      </c>
      <c r="AI59" s="137">
        <f>Summary_LCIA!Z$32</f>
        <v>4.1009E-5</v>
      </c>
      <c r="AJ59" s="137">
        <f>Summary_LCIA!AA$32</f>
        <v>2.3355999999999998E-2</v>
      </c>
      <c r="AK59" s="137">
        <f>Summary_LCIA!AB$32</f>
        <v>-2.1823000000000001E-5</v>
      </c>
      <c r="AL59" s="137">
        <f>Summary_LCIA!AC$32</f>
        <v>4.8884000000000003E-8</v>
      </c>
      <c r="AM59" s="137">
        <f>Summary_LCIA!AD$32</f>
        <v>4.1103999999999999E-4</v>
      </c>
      <c r="AN59" s="137">
        <f>Summary_LCIA!AE$32</f>
        <v>8.8612999999999995E-4</v>
      </c>
      <c r="AO59" s="137">
        <f>Summary_LCIA!AF$32</f>
        <v>8.4542000000000005E-4</v>
      </c>
      <c r="AP59" s="137">
        <f>Summary_LCIA!AG$32</f>
        <v>5.1165000000000002E-5</v>
      </c>
      <c r="AQ59" s="137">
        <f>Summary_LCIA!AH$32</f>
        <v>8.7036000000000006E-3</v>
      </c>
      <c r="AR59" s="137">
        <f>Summary_LCIA!AI$32</f>
        <v>9.3154999999999996E-4</v>
      </c>
      <c r="AT59" s="137">
        <f t="shared" si="9"/>
        <v>73.260200400000002</v>
      </c>
      <c r="AU59" s="137">
        <f t="shared" si="9"/>
        <v>1068.5145612539341</v>
      </c>
      <c r="AV59" s="137">
        <f t="shared" si="9"/>
        <v>1.1352528287999999</v>
      </c>
      <c r="AW59" s="137">
        <f t="shared" si="9"/>
        <v>72.307257240000013</v>
      </c>
      <c r="AX59" s="137">
        <f t="shared" si="9"/>
        <v>23.6942202</v>
      </c>
      <c r="AY59" s="137">
        <f t="shared" si="9"/>
        <v>3.8622225720000003</v>
      </c>
      <c r="AZ59" s="137">
        <f t="shared" si="9"/>
        <v>1.0297176078E-2</v>
      </c>
      <c r="BA59" s="137">
        <f t="shared" si="9"/>
        <v>16.594793658</v>
      </c>
      <c r="BB59" s="137">
        <f t="shared" si="9"/>
        <v>4.9113224400000011</v>
      </c>
      <c r="BC59" s="137">
        <f t="shared" si="9"/>
        <v>3.3594480360000003</v>
      </c>
      <c r="BD59" s="137">
        <f t="shared" si="9"/>
        <v>8.841458382000001E-3</v>
      </c>
      <c r="BE59" s="137">
        <f t="shared" si="9"/>
        <v>5.0355068879999996</v>
      </c>
      <c r="BF59" s="137">
        <f t="shared" si="9"/>
        <v>-4.7049951540000003E-3</v>
      </c>
      <c r="BG59" s="137">
        <f t="shared" si="9"/>
        <v>1.0539292632E-5</v>
      </c>
      <c r="BH59" s="137">
        <f t="shared" si="9"/>
        <v>8.8619401920000007E-2</v>
      </c>
      <c r="BI59" s="137">
        <f t="shared" si="9"/>
        <v>0.19104785573999999</v>
      </c>
      <c r="BJ59" s="137">
        <f t="shared" si="8"/>
        <v>0.18227086116000002</v>
      </c>
      <c r="BK59" s="137">
        <f t="shared" si="8"/>
        <v>1.1031071670000002E-2</v>
      </c>
      <c r="BL59" s="137">
        <f t="shared" si="8"/>
        <v>1.8764787528000002</v>
      </c>
      <c r="BM59" s="137">
        <f t="shared" si="8"/>
        <v>0.20084031690000001</v>
      </c>
    </row>
    <row r="60" spans="1:65" x14ac:dyDescent="0.25">
      <c r="A60" s="149">
        <v>254</v>
      </c>
      <c r="B60" s="149">
        <v>6</v>
      </c>
      <c r="C60" s="61">
        <v>43.073051999999997</v>
      </c>
      <c r="D60" s="61">
        <v>-89.401229999999998</v>
      </c>
      <c r="E60" s="61" t="s">
        <v>265</v>
      </c>
      <c r="F60" s="149">
        <v>114</v>
      </c>
      <c r="G60" s="61" t="s">
        <v>639</v>
      </c>
      <c r="H60" s="61" t="s">
        <v>640</v>
      </c>
      <c r="I60" s="61">
        <v>42.947552999999999</v>
      </c>
      <c r="J60" s="61">
        <v>-87.896646000000004</v>
      </c>
      <c r="K60" s="61">
        <v>124.3178211</v>
      </c>
      <c r="L60" s="61">
        <v>138.58099999999999</v>
      </c>
      <c r="M60" s="61" t="s">
        <v>617</v>
      </c>
      <c r="N60" s="149">
        <v>5</v>
      </c>
      <c r="O60" s="149">
        <v>6</v>
      </c>
      <c r="P60" s="61" t="s">
        <v>565</v>
      </c>
      <c r="Q60" s="61" t="s">
        <v>564</v>
      </c>
      <c r="R60" s="61">
        <v>41.98028</v>
      </c>
      <c r="S60" s="61">
        <v>-87.908997900000003</v>
      </c>
      <c r="T60" s="61">
        <v>215.59800000000001</v>
      </c>
      <c r="U60" s="61" t="s">
        <v>617</v>
      </c>
      <c r="V60" s="61" t="s">
        <v>617</v>
      </c>
      <c r="W60" s="61"/>
      <c r="Y60" s="137">
        <f>Summary_LCIA!H$32</f>
        <v>0.33979999999999999</v>
      </c>
      <c r="Z60" s="137">
        <f>Summary_LCIA!Q$32</f>
        <v>4.9560504329999997</v>
      </c>
      <c r="AA60" s="137">
        <f>Summary_LCIA!R$32</f>
        <v>5.2655999999999996E-3</v>
      </c>
      <c r="AB60" s="137">
        <f>Summary_LCIA!S$32</f>
        <v>0.33538000000000001</v>
      </c>
      <c r="AC60" s="137">
        <f>Summary_LCIA!T$32</f>
        <v>0.1099</v>
      </c>
      <c r="AD60" s="137">
        <f>Summary_LCIA!U$32</f>
        <v>1.7913999999999999E-2</v>
      </c>
      <c r="AE60" s="137">
        <f>Summary_LCIA!V$32</f>
        <v>4.7760999999999999E-5</v>
      </c>
      <c r="AF60" s="137">
        <f>Summary_LCIA!W$32</f>
        <v>7.6970999999999998E-2</v>
      </c>
      <c r="AG60" s="137">
        <f>Summary_LCIA!X$32</f>
        <v>2.2780000000000002E-2</v>
      </c>
      <c r="AH60" s="137">
        <f>Summary_LCIA!Y$32</f>
        <v>1.5582E-2</v>
      </c>
      <c r="AI60" s="137">
        <f>Summary_LCIA!Z$32</f>
        <v>4.1009E-5</v>
      </c>
      <c r="AJ60" s="137">
        <f>Summary_LCIA!AA$32</f>
        <v>2.3355999999999998E-2</v>
      </c>
      <c r="AK60" s="137">
        <f>Summary_LCIA!AB$32</f>
        <v>-2.1823000000000001E-5</v>
      </c>
      <c r="AL60" s="137">
        <f>Summary_LCIA!AC$32</f>
        <v>4.8884000000000003E-8</v>
      </c>
      <c r="AM60" s="137">
        <f>Summary_LCIA!AD$32</f>
        <v>4.1103999999999999E-4</v>
      </c>
      <c r="AN60" s="137">
        <f>Summary_LCIA!AE$32</f>
        <v>8.8612999999999995E-4</v>
      </c>
      <c r="AO60" s="137">
        <f>Summary_LCIA!AF$32</f>
        <v>8.4542000000000005E-4</v>
      </c>
      <c r="AP60" s="137">
        <f>Summary_LCIA!AG$32</f>
        <v>5.1165000000000002E-5</v>
      </c>
      <c r="AQ60" s="137">
        <f>Summary_LCIA!AH$32</f>
        <v>8.7036000000000006E-3</v>
      </c>
      <c r="AR60" s="137">
        <f>Summary_LCIA!AI$32</f>
        <v>9.3154999999999996E-4</v>
      </c>
      <c r="AT60" s="137">
        <f t="shared" si="9"/>
        <v>73.260200400000002</v>
      </c>
      <c r="AU60" s="137">
        <f t="shared" si="9"/>
        <v>1068.5145612539341</v>
      </c>
      <c r="AV60" s="137">
        <f t="shared" si="9"/>
        <v>1.1352528287999999</v>
      </c>
      <c r="AW60" s="137">
        <f t="shared" si="9"/>
        <v>72.307257240000013</v>
      </c>
      <c r="AX60" s="137">
        <f t="shared" si="9"/>
        <v>23.6942202</v>
      </c>
      <c r="AY60" s="137">
        <f t="shared" si="9"/>
        <v>3.8622225720000003</v>
      </c>
      <c r="AZ60" s="137">
        <f t="shared" si="9"/>
        <v>1.0297176078E-2</v>
      </c>
      <c r="BA60" s="137">
        <f t="shared" si="9"/>
        <v>16.594793658</v>
      </c>
      <c r="BB60" s="137">
        <f t="shared" si="9"/>
        <v>4.9113224400000011</v>
      </c>
      <c r="BC60" s="137">
        <f t="shared" si="9"/>
        <v>3.3594480360000003</v>
      </c>
      <c r="BD60" s="137">
        <f t="shared" si="9"/>
        <v>8.841458382000001E-3</v>
      </c>
      <c r="BE60" s="137">
        <f t="shared" si="9"/>
        <v>5.0355068879999996</v>
      </c>
      <c r="BF60" s="137">
        <f t="shared" si="9"/>
        <v>-4.7049951540000003E-3</v>
      </c>
      <c r="BG60" s="137">
        <f t="shared" si="9"/>
        <v>1.0539292632E-5</v>
      </c>
      <c r="BH60" s="137">
        <f t="shared" si="9"/>
        <v>8.8619401920000007E-2</v>
      </c>
      <c r="BI60" s="137">
        <f t="shared" si="9"/>
        <v>0.19104785573999999</v>
      </c>
      <c r="BJ60" s="137">
        <f t="shared" si="8"/>
        <v>0.18227086116000002</v>
      </c>
      <c r="BK60" s="137">
        <f t="shared" si="8"/>
        <v>1.1031071670000002E-2</v>
      </c>
      <c r="BL60" s="137">
        <f t="shared" si="8"/>
        <v>1.8764787528000002</v>
      </c>
      <c r="BM60" s="137">
        <f t="shared" si="8"/>
        <v>0.20084031690000001</v>
      </c>
    </row>
    <row r="61" spans="1:65" x14ac:dyDescent="0.25">
      <c r="A61" s="149">
        <v>255</v>
      </c>
      <c r="B61" s="149">
        <v>6</v>
      </c>
      <c r="C61" s="61">
        <v>43.073051999999997</v>
      </c>
      <c r="D61" s="61">
        <v>-89.401229999999998</v>
      </c>
      <c r="E61" s="61" t="s">
        <v>265</v>
      </c>
      <c r="F61" s="149">
        <v>114</v>
      </c>
      <c r="G61" s="61" t="s">
        <v>639</v>
      </c>
      <c r="H61" s="61" t="s">
        <v>640</v>
      </c>
      <c r="I61" s="61">
        <v>42.947552999999999</v>
      </c>
      <c r="J61" s="61">
        <v>-87.896646000000004</v>
      </c>
      <c r="K61" s="61">
        <v>124.3178211</v>
      </c>
      <c r="L61" s="61">
        <v>138.58099999999999</v>
      </c>
      <c r="M61" s="61" t="s">
        <v>617</v>
      </c>
      <c r="N61" s="149">
        <v>5</v>
      </c>
      <c r="O61" s="149">
        <v>6</v>
      </c>
      <c r="P61" s="61" t="s">
        <v>565</v>
      </c>
      <c r="Q61" s="61" t="s">
        <v>564</v>
      </c>
      <c r="R61" s="61">
        <v>41.98028</v>
      </c>
      <c r="S61" s="61">
        <v>-87.908997900000003</v>
      </c>
      <c r="T61" s="61">
        <v>215.59800000000001</v>
      </c>
      <c r="U61" s="61" t="s">
        <v>617</v>
      </c>
      <c r="V61" s="61" t="s">
        <v>617</v>
      </c>
      <c r="W61" s="61"/>
      <c r="Y61" s="137">
        <f>Summary_LCIA!H$32</f>
        <v>0.33979999999999999</v>
      </c>
      <c r="Z61" s="137">
        <f>Summary_LCIA!Q$32</f>
        <v>4.9560504329999997</v>
      </c>
      <c r="AA61" s="137">
        <f>Summary_LCIA!R$32</f>
        <v>5.2655999999999996E-3</v>
      </c>
      <c r="AB61" s="137">
        <f>Summary_LCIA!S$32</f>
        <v>0.33538000000000001</v>
      </c>
      <c r="AC61" s="137">
        <f>Summary_LCIA!T$32</f>
        <v>0.1099</v>
      </c>
      <c r="AD61" s="137">
        <f>Summary_LCIA!U$32</f>
        <v>1.7913999999999999E-2</v>
      </c>
      <c r="AE61" s="137">
        <f>Summary_LCIA!V$32</f>
        <v>4.7760999999999999E-5</v>
      </c>
      <c r="AF61" s="137">
        <f>Summary_LCIA!W$32</f>
        <v>7.6970999999999998E-2</v>
      </c>
      <c r="AG61" s="137">
        <f>Summary_LCIA!X$32</f>
        <v>2.2780000000000002E-2</v>
      </c>
      <c r="AH61" s="137">
        <f>Summary_LCIA!Y$32</f>
        <v>1.5582E-2</v>
      </c>
      <c r="AI61" s="137">
        <f>Summary_LCIA!Z$32</f>
        <v>4.1009E-5</v>
      </c>
      <c r="AJ61" s="137">
        <f>Summary_LCIA!AA$32</f>
        <v>2.3355999999999998E-2</v>
      </c>
      <c r="AK61" s="137">
        <f>Summary_LCIA!AB$32</f>
        <v>-2.1823000000000001E-5</v>
      </c>
      <c r="AL61" s="137">
        <f>Summary_LCIA!AC$32</f>
        <v>4.8884000000000003E-8</v>
      </c>
      <c r="AM61" s="137">
        <f>Summary_LCIA!AD$32</f>
        <v>4.1103999999999999E-4</v>
      </c>
      <c r="AN61" s="137">
        <f>Summary_LCIA!AE$32</f>
        <v>8.8612999999999995E-4</v>
      </c>
      <c r="AO61" s="137">
        <f>Summary_LCIA!AF$32</f>
        <v>8.4542000000000005E-4</v>
      </c>
      <c r="AP61" s="137">
        <f>Summary_LCIA!AG$32</f>
        <v>5.1165000000000002E-5</v>
      </c>
      <c r="AQ61" s="137">
        <f>Summary_LCIA!AH$32</f>
        <v>8.7036000000000006E-3</v>
      </c>
      <c r="AR61" s="137">
        <f>Summary_LCIA!AI$32</f>
        <v>9.3154999999999996E-4</v>
      </c>
      <c r="AT61" s="137">
        <f t="shared" si="9"/>
        <v>73.260200400000002</v>
      </c>
      <c r="AU61" s="137">
        <f t="shared" si="9"/>
        <v>1068.5145612539341</v>
      </c>
      <c r="AV61" s="137">
        <f t="shared" si="9"/>
        <v>1.1352528287999999</v>
      </c>
      <c r="AW61" s="137">
        <f t="shared" si="9"/>
        <v>72.307257240000013</v>
      </c>
      <c r="AX61" s="137">
        <f t="shared" si="9"/>
        <v>23.6942202</v>
      </c>
      <c r="AY61" s="137">
        <f t="shared" si="9"/>
        <v>3.8622225720000003</v>
      </c>
      <c r="AZ61" s="137">
        <f t="shared" si="9"/>
        <v>1.0297176078E-2</v>
      </c>
      <c r="BA61" s="137">
        <f t="shared" si="9"/>
        <v>16.594793658</v>
      </c>
      <c r="BB61" s="137">
        <f t="shared" si="9"/>
        <v>4.9113224400000011</v>
      </c>
      <c r="BC61" s="137">
        <f t="shared" si="9"/>
        <v>3.3594480360000003</v>
      </c>
      <c r="BD61" s="137">
        <f t="shared" si="9"/>
        <v>8.841458382000001E-3</v>
      </c>
      <c r="BE61" s="137">
        <f t="shared" si="9"/>
        <v>5.0355068879999996</v>
      </c>
      <c r="BF61" s="137">
        <f t="shared" si="9"/>
        <v>-4.7049951540000003E-3</v>
      </c>
      <c r="BG61" s="137">
        <f t="shared" si="9"/>
        <v>1.0539292632E-5</v>
      </c>
      <c r="BH61" s="137">
        <f t="shared" si="9"/>
        <v>8.8619401920000007E-2</v>
      </c>
      <c r="BI61" s="137">
        <f t="shared" si="9"/>
        <v>0.19104785573999999</v>
      </c>
      <c r="BJ61" s="137">
        <f t="shared" si="8"/>
        <v>0.18227086116000002</v>
      </c>
      <c r="BK61" s="137">
        <f t="shared" si="8"/>
        <v>1.1031071670000002E-2</v>
      </c>
      <c r="BL61" s="137">
        <f t="shared" si="8"/>
        <v>1.8764787528000002</v>
      </c>
      <c r="BM61" s="137">
        <f t="shared" si="8"/>
        <v>0.20084031690000001</v>
      </c>
    </row>
    <row r="62" spans="1:65" x14ac:dyDescent="0.25">
      <c r="A62" s="149">
        <v>256</v>
      </c>
      <c r="B62" s="149">
        <v>6</v>
      </c>
      <c r="C62" s="61">
        <v>43.073051999999997</v>
      </c>
      <c r="D62" s="61">
        <v>-89.401229999999998</v>
      </c>
      <c r="E62" s="61" t="s">
        <v>265</v>
      </c>
      <c r="F62" s="149">
        <v>114</v>
      </c>
      <c r="G62" s="61" t="s">
        <v>639</v>
      </c>
      <c r="H62" s="61" t="s">
        <v>640</v>
      </c>
      <c r="I62" s="61">
        <v>42.947552999999999</v>
      </c>
      <c r="J62" s="61">
        <v>-87.896646000000004</v>
      </c>
      <c r="K62" s="61">
        <v>124.3178211</v>
      </c>
      <c r="L62" s="61">
        <v>138.58099999999999</v>
      </c>
      <c r="M62" s="61" t="s">
        <v>617</v>
      </c>
      <c r="N62" s="149">
        <v>5</v>
      </c>
      <c r="O62" s="149">
        <v>6</v>
      </c>
      <c r="P62" s="61" t="s">
        <v>565</v>
      </c>
      <c r="Q62" s="61" t="s">
        <v>564</v>
      </c>
      <c r="R62" s="61">
        <v>41.98028</v>
      </c>
      <c r="S62" s="61">
        <v>-87.908997900000003</v>
      </c>
      <c r="T62" s="61">
        <v>215.59800000000001</v>
      </c>
      <c r="U62" s="61" t="s">
        <v>617</v>
      </c>
      <c r="V62" s="61" t="s">
        <v>617</v>
      </c>
      <c r="W62" s="61"/>
      <c r="Y62" s="137">
        <f>Summary_LCIA!H$32</f>
        <v>0.33979999999999999</v>
      </c>
      <c r="Z62" s="137">
        <f>Summary_LCIA!Q$32</f>
        <v>4.9560504329999997</v>
      </c>
      <c r="AA62" s="137">
        <f>Summary_LCIA!R$32</f>
        <v>5.2655999999999996E-3</v>
      </c>
      <c r="AB62" s="137">
        <f>Summary_LCIA!S$32</f>
        <v>0.33538000000000001</v>
      </c>
      <c r="AC62" s="137">
        <f>Summary_LCIA!T$32</f>
        <v>0.1099</v>
      </c>
      <c r="AD62" s="137">
        <f>Summary_LCIA!U$32</f>
        <v>1.7913999999999999E-2</v>
      </c>
      <c r="AE62" s="137">
        <f>Summary_LCIA!V$32</f>
        <v>4.7760999999999999E-5</v>
      </c>
      <c r="AF62" s="137">
        <f>Summary_LCIA!W$32</f>
        <v>7.6970999999999998E-2</v>
      </c>
      <c r="AG62" s="137">
        <f>Summary_LCIA!X$32</f>
        <v>2.2780000000000002E-2</v>
      </c>
      <c r="AH62" s="137">
        <f>Summary_LCIA!Y$32</f>
        <v>1.5582E-2</v>
      </c>
      <c r="AI62" s="137">
        <f>Summary_LCIA!Z$32</f>
        <v>4.1009E-5</v>
      </c>
      <c r="AJ62" s="137">
        <f>Summary_LCIA!AA$32</f>
        <v>2.3355999999999998E-2</v>
      </c>
      <c r="AK62" s="137">
        <f>Summary_LCIA!AB$32</f>
        <v>-2.1823000000000001E-5</v>
      </c>
      <c r="AL62" s="137">
        <f>Summary_LCIA!AC$32</f>
        <v>4.8884000000000003E-8</v>
      </c>
      <c r="AM62" s="137">
        <f>Summary_LCIA!AD$32</f>
        <v>4.1103999999999999E-4</v>
      </c>
      <c r="AN62" s="137">
        <f>Summary_LCIA!AE$32</f>
        <v>8.8612999999999995E-4</v>
      </c>
      <c r="AO62" s="137">
        <f>Summary_LCIA!AF$32</f>
        <v>8.4542000000000005E-4</v>
      </c>
      <c r="AP62" s="137">
        <f>Summary_LCIA!AG$32</f>
        <v>5.1165000000000002E-5</v>
      </c>
      <c r="AQ62" s="137">
        <f>Summary_LCIA!AH$32</f>
        <v>8.7036000000000006E-3</v>
      </c>
      <c r="AR62" s="137">
        <f>Summary_LCIA!AI$32</f>
        <v>9.3154999999999996E-4</v>
      </c>
      <c r="AT62" s="137">
        <f t="shared" si="9"/>
        <v>73.260200400000002</v>
      </c>
      <c r="AU62" s="137">
        <f t="shared" si="9"/>
        <v>1068.5145612539341</v>
      </c>
      <c r="AV62" s="137">
        <f t="shared" si="9"/>
        <v>1.1352528287999999</v>
      </c>
      <c r="AW62" s="137">
        <f t="shared" si="9"/>
        <v>72.307257240000013</v>
      </c>
      <c r="AX62" s="137">
        <f t="shared" si="9"/>
        <v>23.6942202</v>
      </c>
      <c r="AY62" s="137">
        <f t="shared" si="9"/>
        <v>3.8622225720000003</v>
      </c>
      <c r="AZ62" s="137">
        <f t="shared" si="9"/>
        <v>1.0297176078E-2</v>
      </c>
      <c r="BA62" s="137">
        <f t="shared" si="9"/>
        <v>16.594793658</v>
      </c>
      <c r="BB62" s="137">
        <f t="shared" si="9"/>
        <v>4.9113224400000011</v>
      </c>
      <c r="BC62" s="137">
        <f t="shared" si="9"/>
        <v>3.3594480360000003</v>
      </c>
      <c r="BD62" s="137">
        <f t="shared" si="9"/>
        <v>8.841458382000001E-3</v>
      </c>
      <c r="BE62" s="137">
        <f t="shared" si="9"/>
        <v>5.0355068879999996</v>
      </c>
      <c r="BF62" s="137">
        <f t="shared" si="9"/>
        <v>-4.7049951540000003E-3</v>
      </c>
      <c r="BG62" s="137">
        <f t="shared" si="9"/>
        <v>1.0539292632E-5</v>
      </c>
      <c r="BH62" s="137">
        <f t="shared" si="9"/>
        <v>8.8619401920000007E-2</v>
      </c>
      <c r="BI62" s="137">
        <f t="shared" si="9"/>
        <v>0.19104785573999999</v>
      </c>
      <c r="BJ62" s="137">
        <f t="shared" si="8"/>
        <v>0.18227086116000002</v>
      </c>
      <c r="BK62" s="137">
        <f t="shared" si="8"/>
        <v>1.1031071670000002E-2</v>
      </c>
      <c r="BL62" s="137">
        <f t="shared" si="8"/>
        <v>1.8764787528000002</v>
      </c>
      <c r="BM62" s="137">
        <f t="shared" si="8"/>
        <v>0.20084031690000001</v>
      </c>
    </row>
    <row r="63" spans="1:65" x14ac:dyDescent="0.25">
      <c r="A63" s="149">
        <v>257</v>
      </c>
      <c r="B63" s="149">
        <v>6</v>
      </c>
      <c r="C63" s="61">
        <v>43.073051999999997</v>
      </c>
      <c r="D63" s="61">
        <v>-89.401229999999998</v>
      </c>
      <c r="E63" s="61" t="s">
        <v>265</v>
      </c>
      <c r="F63" s="149">
        <v>114</v>
      </c>
      <c r="G63" s="61" t="s">
        <v>639</v>
      </c>
      <c r="H63" s="61" t="s">
        <v>640</v>
      </c>
      <c r="I63" s="61">
        <v>42.947552999999999</v>
      </c>
      <c r="J63" s="61">
        <v>-87.896646000000004</v>
      </c>
      <c r="K63" s="61">
        <v>124.3178211</v>
      </c>
      <c r="L63" s="61">
        <v>138.58099999999999</v>
      </c>
      <c r="M63" s="61" t="s">
        <v>617</v>
      </c>
      <c r="N63" s="149">
        <v>5</v>
      </c>
      <c r="O63" s="149">
        <v>6</v>
      </c>
      <c r="P63" s="61" t="s">
        <v>565</v>
      </c>
      <c r="Q63" s="61" t="s">
        <v>564</v>
      </c>
      <c r="R63" s="61">
        <v>41.98028</v>
      </c>
      <c r="S63" s="61">
        <v>-87.908997900000003</v>
      </c>
      <c r="T63" s="61">
        <v>215.59800000000001</v>
      </c>
      <c r="U63" s="61" t="s">
        <v>617</v>
      </c>
      <c r="V63" s="61" t="s">
        <v>617</v>
      </c>
      <c r="W63" s="61"/>
      <c r="Y63" s="137">
        <f>Summary_LCIA!H$32</f>
        <v>0.33979999999999999</v>
      </c>
      <c r="Z63" s="137">
        <f>Summary_LCIA!Q$32</f>
        <v>4.9560504329999997</v>
      </c>
      <c r="AA63" s="137">
        <f>Summary_LCIA!R$32</f>
        <v>5.2655999999999996E-3</v>
      </c>
      <c r="AB63" s="137">
        <f>Summary_LCIA!S$32</f>
        <v>0.33538000000000001</v>
      </c>
      <c r="AC63" s="137">
        <f>Summary_LCIA!T$32</f>
        <v>0.1099</v>
      </c>
      <c r="AD63" s="137">
        <f>Summary_LCIA!U$32</f>
        <v>1.7913999999999999E-2</v>
      </c>
      <c r="AE63" s="137">
        <f>Summary_LCIA!V$32</f>
        <v>4.7760999999999999E-5</v>
      </c>
      <c r="AF63" s="137">
        <f>Summary_LCIA!W$32</f>
        <v>7.6970999999999998E-2</v>
      </c>
      <c r="AG63" s="137">
        <f>Summary_LCIA!X$32</f>
        <v>2.2780000000000002E-2</v>
      </c>
      <c r="AH63" s="137">
        <f>Summary_LCIA!Y$32</f>
        <v>1.5582E-2</v>
      </c>
      <c r="AI63" s="137">
        <f>Summary_LCIA!Z$32</f>
        <v>4.1009E-5</v>
      </c>
      <c r="AJ63" s="137">
        <f>Summary_LCIA!AA$32</f>
        <v>2.3355999999999998E-2</v>
      </c>
      <c r="AK63" s="137">
        <f>Summary_LCIA!AB$32</f>
        <v>-2.1823000000000001E-5</v>
      </c>
      <c r="AL63" s="137">
        <f>Summary_LCIA!AC$32</f>
        <v>4.8884000000000003E-8</v>
      </c>
      <c r="AM63" s="137">
        <f>Summary_LCIA!AD$32</f>
        <v>4.1103999999999999E-4</v>
      </c>
      <c r="AN63" s="137">
        <f>Summary_LCIA!AE$32</f>
        <v>8.8612999999999995E-4</v>
      </c>
      <c r="AO63" s="137">
        <f>Summary_LCIA!AF$32</f>
        <v>8.4542000000000005E-4</v>
      </c>
      <c r="AP63" s="137">
        <f>Summary_LCIA!AG$32</f>
        <v>5.1165000000000002E-5</v>
      </c>
      <c r="AQ63" s="137">
        <f>Summary_LCIA!AH$32</f>
        <v>8.7036000000000006E-3</v>
      </c>
      <c r="AR63" s="137">
        <f>Summary_LCIA!AI$32</f>
        <v>9.3154999999999996E-4</v>
      </c>
      <c r="AT63" s="137">
        <f t="shared" si="9"/>
        <v>73.260200400000002</v>
      </c>
      <c r="AU63" s="137">
        <f t="shared" si="9"/>
        <v>1068.5145612539341</v>
      </c>
      <c r="AV63" s="137">
        <f t="shared" si="9"/>
        <v>1.1352528287999999</v>
      </c>
      <c r="AW63" s="137">
        <f t="shared" si="9"/>
        <v>72.307257240000013</v>
      </c>
      <c r="AX63" s="137">
        <f t="shared" si="9"/>
        <v>23.6942202</v>
      </c>
      <c r="AY63" s="137">
        <f t="shared" si="9"/>
        <v>3.8622225720000003</v>
      </c>
      <c r="AZ63" s="137">
        <f t="shared" si="9"/>
        <v>1.0297176078E-2</v>
      </c>
      <c r="BA63" s="137">
        <f t="shared" si="9"/>
        <v>16.594793658</v>
      </c>
      <c r="BB63" s="137">
        <f t="shared" si="9"/>
        <v>4.9113224400000011</v>
      </c>
      <c r="BC63" s="137">
        <f t="shared" si="9"/>
        <v>3.3594480360000003</v>
      </c>
      <c r="BD63" s="137">
        <f t="shared" si="9"/>
        <v>8.841458382000001E-3</v>
      </c>
      <c r="BE63" s="137">
        <f t="shared" si="9"/>
        <v>5.0355068879999996</v>
      </c>
      <c r="BF63" s="137">
        <f t="shared" si="9"/>
        <v>-4.7049951540000003E-3</v>
      </c>
      <c r="BG63" s="137">
        <f t="shared" si="9"/>
        <v>1.0539292632E-5</v>
      </c>
      <c r="BH63" s="137">
        <f t="shared" si="9"/>
        <v>8.8619401920000007E-2</v>
      </c>
      <c r="BI63" s="137">
        <f t="shared" si="9"/>
        <v>0.19104785573999999</v>
      </c>
      <c r="BJ63" s="137">
        <f t="shared" si="8"/>
        <v>0.18227086116000002</v>
      </c>
      <c r="BK63" s="137">
        <f t="shared" si="8"/>
        <v>1.1031071670000002E-2</v>
      </c>
      <c r="BL63" s="137">
        <f t="shared" si="8"/>
        <v>1.8764787528000002</v>
      </c>
      <c r="BM63" s="137">
        <f t="shared" si="8"/>
        <v>0.20084031690000001</v>
      </c>
    </row>
    <row r="64" spans="1:65" x14ac:dyDescent="0.25">
      <c r="A64" s="149">
        <v>258</v>
      </c>
      <c r="B64" s="149">
        <v>6</v>
      </c>
      <c r="C64" s="61">
        <v>43.073051999999997</v>
      </c>
      <c r="D64" s="61">
        <v>-89.401229999999998</v>
      </c>
      <c r="E64" s="61" t="s">
        <v>265</v>
      </c>
      <c r="F64" s="149">
        <v>114</v>
      </c>
      <c r="G64" s="61" t="s">
        <v>639</v>
      </c>
      <c r="H64" s="61" t="s">
        <v>640</v>
      </c>
      <c r="I64" s="61">
        <v>42.947552999999999</v>
      </c>
      <c r="J64" s="61">
        <v>-87.896646000000004</v>
      </c>
      <c r="K64" s="61">
        <v>124.3178211</v>
      </c>
      <c r="L64" s="61">
        <v>138.58099999999999</v>
      </c>
      <c r="M64" s="61" t="s">
        <v>617</v>
      </c>
      <c r="N64" s="149">
        <v>5</v>
      </c>
      <c r="O64" s="149">
        <v>6</v>
      </c>
      <c r="P64" s="61" t="s">
        <v>565</v>
      </c>
      <c r="Q64" s="61" t="s">
        <v>564</v>
      </c>
      <c r="R64" s="61">
        <v>41.98028</v>
      </c>
      <c r="S64" s="61">
        <v>-87.908997900000003</v>
      </c>
      <c r="T64" s="61">
        <v>215.59800000000001</v>
      </c>
      <c r="U64" s="61" t="s">
        <v>617</v>
      </c>
      <c r="V64" s="61" t="s">
        <v>617</v>
      </c>
      <c r="W64" s="61"/>
      <c r="Y64" s="137">
        <f>Summary_LCIA!H$32</f>
        <v>0.33979999999999999</v>
      </c>
      <c r="Z64" s="137">
        <f>Summary_LCIA!Q$32</f>
        <v>4.9560504329999997</v>
      </c>
      <c r="AA64" s="137">
        <f>Summary_LCIA!R$32</f>
        <v>5.2655999999999996E-3</v>
      </c>
      <c r="AB64" s="137">
        <f>Summary_LCIA!S$32</f>
        <v>0.33538000000000001</v>
      </c>
      <c r="AC64" s="137">
        <f>Summary_LCIA!T$32</f>
        <v>0.1099</v>
      </c>
      <c r="AD64" s="137">
        <f>Summary_LCIA!U$32</f>
        <v>1.7913999999999999E-2</v>
      </c>
      <c r="AE64" s="137">
        <f>Summary_LCIA!V$32</f>
        <v>4.7760999999999999E-5</v>
      </c>
      <c r="AF64" s="137">
        <f>Summary_LCIA!W$32</f>
        <v>7.6970999999999998E-2</v>
      </c>
      <c r="AG64" s="137">
        <f>Summary_LCIA!X$32</f>
        <v>2.2780000000000002E-2</v>
      </c>
      <c r="AH64" s="137">
        <f>Summary_LCIA!Y$32</f>
        <v>1.5582E-2</v>
      </c>
      <c r="AI64" s="137">
        <f>Summary_LCIA!Z$32</f>
        <v>4.1009E-5</v>
      </c>
      <c r="AJ64" s="137">
        <f>Summary_LCIA!AA$32</f>
        <v>2.3355999999999998E-2</v>
      </c>
      <c r="AK64" s="137">
        <f>Summary_LCIA!AB$32</f>
        <v>-2.1823000000000001E-5</v>
      </c>
      <c r="AL64" s="137">
        <f>Summary_LCIA!AC$32</f>
        <v>4.8884000000000003E-8</v>
      </c>
      <c r="AM64" s="137">
        <f>Summary_LCIA!AD$32</f>
        <v>4.1103999999999999E-4</v>
      </c>
      <c r="AN64" s="137">
        <f>Summary_LCIA!AE$32</f>
        <v>8.8612999999999995E-4</v>
      </c>
      <c r="AO64" s="137">
        <f>Summary_LCIA!AF$32</f>
        <v>8.4542000000000005E-4</v>
      </c>
      <c r="AP64" s="137">
        <f>Summary_LCIA!AG$32</f>
        <v>5.1165000000000002E-5</v>
      </c>
      <c r="AQ64" s="137">
        <f>Summary_LCIA!AH$32</f>
        <v>8.7036000000000006E-3</v>
      </c>
      <c r="AR64" s="137">
        <f>Summary_LCIA!AI$32</f>
        <v>9.3154999999999996E-4</v>
      </c>
      <c r="AT64" s="137">
        <f t="shared" si="9"/>
        <v>73.260200400000002</v>
      </c>
      <c r="AU64" s="137">
        <f t="shared" si="9"/>
        <v>1068.5145612539341</v>
      </c>
      <c r="AV64" s="137">
        <f t="shared" si="9"/>
        <v>1.1352528287999999</v>
      </c>
      <c r="AW64" s="137">
        <f t="shared" si="9"/>
        <v>72.307257240000013</v>
      </c>
      <c r="AX64" s="137">
        <f t="shared" si="9"/>
        <v>23.6942202</v>
      </c>
      <c r="AY64" s="137">
        <f t="shared" si="9"/>
        <v>3.8622225720000003</v>
      </c>
      <c r="AZ64" s="137">
        <f t="shared" si="9"/>
        <v>1.0297176078E-2</v>
      </c>
      <c r="BA64" s="137">
        <f t="shared" si="9"/>
        <v>16.594793658</v>
      </c>
      <c r="BB64" s="137">
        <f t="shared" si="9"/>
        <v>4.9113224400000011</v>
      </c>
      <c r="BC64" s="137">
        <f t="shared" si="9"/>
        <v>3.3594480360000003</v>
      </c>
      <c r="BD64" s="137">
        <f t="shared" si="9"/>
        <v>8.841458382000001E-3</v>
      </c>
      <c r="BE64" s="137">
        <f t="shared" si="9"/>
        <v>5.0355068879999996</v>
      </c>
      <c r="BF64" s="137">
        <f t="shared" si="9"/>
        <v>-4.7049951540000003E-3</v>
      </c>
      <c r="BG64" s="137">
        <f t="shared" si="9"/>
        <v>1.0539292632E-5</v>
      </c>
      <c r="BH64" s="137">
        <f t="shared" si="9"/>
        <v>8.8619401920000007E-2</v>
      </c>
      <c r="BI64" s="137">
        <f t="shared" si="9"/>
        <v>0.19104785573999999</v>
      </c>
      <c r="BJ64" s="137">
        <f t="shared" si="8"/>
        <v>0.18227086116000002</v>
      </c>
      <c r="BK64" s="137">
        <f t="shared" si="8"/>
        <v>1.1031071670000002E-2</v>
      </c>
      <c r="BL64" s="137">
        <f t="shared" si="8"/>
        <v>1.8764787528000002</v>
      </c>
      <c r="BM64" s="137">
        <f t="shared" si="8"/>
        <v>0.20084031690000001</v>
      </c>
    </row>
    <row r="65" spans="1:65" x14ac:dyDescent="0.25">
      <c r="A65" s="149">
        <v>259</v>
      </c>
      <c r="B65" s="149">
        <v>6</v>
      </c>
      <c r="C65" s="61">
        <v>43.073051999999997</v>
      </c>
      <c r="D65" s="61">
        <v>-89.401229999999998</v>
      </c>
      <c r="E65" s="61" t="s">
        <v>265</v>
      </c>
      <c r="F65" s="149">
        <v>114</v>
      </c>
      <c r="G65" s="61" t="s">
        <v>639</v>
      </c>
      <c r="H65" s="61" t="s">
        <v>640</v>
      </c>
      <c r="I65" s="61">
        <v>42.947552999999999</v>
      </c>
      <c r="J65" s="61">
        <v>-87.896646000000004</v>
      </c>
      <c r="K65" s="61">
        <v>124.3178211</v>
      </c>
      <c r="L65" s="61">
        <v>138.58099999999999</v>
      </c>
      <c r="M65" s="61" t="s">
        <v>617</v>
      </c>
      <c r="N65" s="149">
        <v>5</v>
      </c>
      <c r="O65" s="149">
        <v>6</v>
      </c>
      <c r="P65" s="61" t="s">
        <v>565</v>
      </c>
      <c r="Q65" s="61" t="s">
        <v>564</v>
      </c>
      <c r="R65" s="61">
        <v>41.98028</v>
      </c>
      <c r="S65" s="61">
        <v>-87.908997900000003</v>
      </c>
      <c r="T65" s="61">
        <v>215.59800000000001</v>
      </c>
      <c r="U65" s="61" t="s">
        <v>617</v>
      </c>
      <c r="V65" s="61" t="s">
        <v>617</v>
      </c>
      <c r="W65" s="61"/>
      <c r="Y65" s="137">
        <f>Summary_LCIA!H$32</f>
        <v>0.33979999999999999</v>
      </c>
      <c r="Z65" s="137">
        <f>Summary_LCIA!Q$32</f>
        <v>4.9560504329999997</v>
      </c>
      <c r="AA65" s="137">
        <f>Summary_LCIA!R$32</f>
        <v>5.2655999999999996E-3</v>
      </c>
      <c r="AB65" s="137">
        <f>Summary_LCIA!S$32</f>
        <v>0.33538000000000001</v>
      </c>
      <c r="AC65" s="137">
        <f>Summary_LCIA!T$32</f>
        <v>0.1099</v>
      </c>
      <c r="AD65" s="137">
        <f>Summary_LCIA!U$32</f>
        <v>1.7913999999999999E-2</v>
      </c>
      <c r="AE65" s="137">
        <f>Summary_LCIA!V$32</f>
        <v>4.7760999999999999E-5</v>
      </c>
      <c r="AF65" s="137">
        <f>Summary_LCIA!W$32</f>
        <v>7.6970999999999998E-2</v>
      </c>
      <c r="AG65" s="137">
        <f>Summary_LCIA!X$32</f>
        <v>2.2780000000000002E-2</v>
      </c>
      <c r="AH65" s="137">
        <f>Summary_LCIA!Y$32</f>
        <v>1.5582E-2</v>
      </c>
      <c r="AI65" s="137">
        <f>Summary_LCIA!Z$32</f>
        <v>4.1009E-5</v>
      </c>
      <c r="AJ65" s="137">
        <f>Summary_LCIA!AA$32</f>
        <v>2.3355999999999998E-2</v>
      </c>
      <c r="AK65" s="137">
        <f>Summary_LCIA!AB$32</f>
        <v>-2.1823000000000001E-5</v>
      </c>
      <c r="AL65" s="137">
        <f>Summary_LCIA!AC$32</f>
        <v>4.8884000000000003E-8</v>
      </c>
      <c r="AM65" s="137">
        <f>Summary_LCIA!AD$32</f>
        <v>4.1103999999999999E-4</v>
      </c>
      <c r="AN65" s="137">
        <f>Summary_LCIA!AE$32</f>
        <v>8.8612999999999995E-4</v>
      </c>
      <c r="AO65" s="137">
        <f>Summary_LCIA!AF$32</f>
        <v>8.4542000000000005E-4</v>
      </c>
      <c r="AP65" s="137">
        <f>Summary_LCIA!AG$32</f>
        <v>5.1165000000000002E-5</v>
      </c>
      <c r="AQ65" s="137">
        <f>Summary_LCIA!AH$32</f>
        <v>8.7036000000000006E-3</v>
      </c>
      <c r="AR65" s="137">
        <f>Summary_LCIA!AI$32</f>
        <v>9.3154999999999996E-4</v>
      </c>
      <c r="AT65" s="137">
        <f t="shared" si="9"/>
        <v>73.260200400000002</v>
      </c>
      <c r="AU65" s="137">
        <f t="shared" si="9"/>
        <v>1068.5145612539341</v>
      </c>
      <c r="AV65" s="137">
        <f t="shared" si="9"/>
        <v>1.1352528287999999</v>
      </c>
      <c r="AW65" s="137">
        <f t="shared" si="9"/>
        <v>72.307257240000013</v>
      </c>
      <c r="AX65" s="137">
        <f t="shared" si="9"/>
        <v>23.6942202</v>
      </c>
      <c r="AY65" s="137">
        <f t="shared" si="9"/>
        <v>3.8622225720000003</v>
      </c>
      <c r="AZ65" s="137">
        <f t="shared" si="9"/>
        <v>1.0297176078E-2</v>
      </c>
      <c r="BA65" s="137">
        <f t="shared" si="9"/>
        <v>16.594793658</v>
      </c>
      <c r="BB65" s="137">
        <f t="shared" si="9"/>
        <v>4.9113224400000011</v>
      </c>
      <c r="BC65" s="137">
        <f t="shared" si="9"/>
        <v>3.3594480360000003</v>
      </c>
      <c r="BD65" s="137">
        <f t="shared" si="9"/>
        <v>8.841458382000001E-3</v>
      </c>
      <c r="BE65" s="137">
        <f t="shared" si="9"/>
        <v>5.0355068879999996</v>
      </c>
      <c r="BF65" s="137">
        <f t="shared" si="9"/>
        <v>-4.7049951540000003E-3</v>
      </c>
      <c r="BG65" s="137">
        <f t="shared" si="9"/>
        <v>1.0539292632E-5</v>
      </c>
      <c r="BH65" s="137">
        <f t="shared" si="9"/>
        <v>8.8619401920000007E-2</v>
      </c>
      <c r="BI65" s="137">
        <f t="shared" si="9"/>
        <v>0.19104785573999999</v>
      </c>
      <c r="BJ65" s="137">
        <f t="shared" si="8"/>
        <v>0.18227086116000002</v>
      </c>
      <c r="BK65" s="137">
        <f t="shared" si="8"/>
        <v>1.1031071670000002E-2</v>
      </c>
      <c r="BL65" s="137">
        <f t="shared" si="8"/>
        <v>1.8764787528000002</v>
      </c>
      <c r="BM65" s="137">
        <f t="shared" si="8"/>
        <v>0.20084031690000001</v>
      </c>
    </row>
    <row r="66" spans="1:65" x14ac:dyDescent="0.25">
      <c r="A66" s="149">
        <v>260</v>
      </c>
      <c r="B66" s="149">
        <v>6</v>
      </c>
      <c r="C66" s="61">
        <v>43.073051999999997</v>
      </c>
      <c r="D66" s="61">
        <v>-89.401229999999998</v>
      </c>
      <c r="E66" s="61" t="s">
        <v>265</v>
      </c>
      <c r="F66" s="149">
        <v>114</v>
      </c>
      <c r="G66" s="61" t="s">
        <v>639</v>
      </c>
      <c r="H66" s="61" t="s">
        <v>640</v>
      </c>
      <c r="I66" s="61">
        <v>42.947552999999999</v>
      </c>
      <c r="J66" s="61">
        <v>-87.896646000000004</v>
      </c>
      <c r="K66" s="61">
        <v>124.3178211</v>
      </c>
      <c r="L66" s="61">
        <v>138.58099999999999</v>
      </c>
      <c r="M66" s="61" t="s">
        <v>617</v>
      </c>
      <c r="N66" s="149">
        <v>5</v>
      </c>
      <c r="O66" s="149">
        <v>6</v>
      </c>
      <c r="P66" s="61" t="s">
        <v>565</v>
      </c>
      <c r="Q66" s="61" t="s">
        <v>564</v>
      </c>
      <c r="R66" s="61">
        <v>41.98028</v>
      </c>
      <c r="S66" s="61">
        <v>-87.908997900000003</v>
      </c>
      <c r="T66" s="61">
        <v>215.59800000000001</v>
      </c>
      <c r="U66" s="61" t="s">
        <v>617</v>
      </c>
      <c r="V66" s="61" t="s">
        <v>617</v>
      </c>
      <c r="W66" s="61"/>
      <c r="Y66" s="137">
        <f>Summary_LCIA!H$32</f>
        <v>0.33979999999999999</v>
      </c>
      <c r="Z66" s="137">
        <f>Summary_LCIA!Q$32</f>
        <v>4.9560504329999997</v>
      </c>
      <c r="AA66" s="137">
        <f>Summary_LCIA!R$32</f>
        <v>5.2655999999999996E-3</v>
      </c>
      <c r="AB66" s="137">
        <f>Summary_LCIA!S$32</f>
        <v>0.33538000000000001</v>
      </c>
      <c r="AC66" s="137">
        <f>Summary_LCIA!T$32</f>
        <v>0.1099</v>
      </c>
      <c r="AD66" s="137">
        <f>Summary_LCIA!U$32</f>
        <v>1.7913999999999999E-2</v>
      </c>
      <c r="AE66" s="137">
        <f>Summary_LCIA!V$32</f>
        <v>4.7760999999999999E-5</v>
      </c>
      <c r="AF66" s="137">
        <f>Summary_LCIA!W$32</f>
        <v>7.6970999999999998E-2</v>
      </c>
      <c r="AG66" s="137">
        <f>Summary_LCIA!X$32</f>
        <v>2.2780000000000002E-2</v>
      </c>
      <c r="AH66" s="137">
        <f>Summary_LCIA!Y$32</f>
        <v>1.5582E-2</v>
      </c>
      <c r="AI66" s="137">
        <f>Summary_LCIA!Z$32</f>
        <v>4.1009E-5</v>
      </c>
      <c r="AJ66" s="137">
        <f>Summary_LCIA!AA$32</f>
        <v>2.3355999999999998E-2</v>
      </c>
      <c r="AK66" s="137">
        <f>Summary_LCIA!AB$32</f>
        <v>-2.1823000000000001E-5</v>
      </c>
      <c r="AL66" s="137">
        <f>Summary_LCIA!AC$32</f>
        <v>4.8884000000000003E-8</v>
      </c>
      <c r="AM66" s="137">
        <f>Summary_LCIA!AD$32</f>
        <v>4.1103999999999999E-4</v>
      </c>
      <c r="AN66" s="137">
        <f>Summary_LCIA!AE$32</f>
        <v>8.8612999999999995E-4</v>
      </c>
      <c r="AO66" s="137">
        <f>Summary_LCIA!AF$32</f>
        <v>8.4542000000000005E-4</v>
      </c>
      <c r="AP66" s="137">
        <f>Summary_LCIA!AG$32</f>
        <v>5.1165000000000002E-5</v>
      </c>
      <c r="AQ66" s="137">
        <f>Summary_LCIA!AH$32</f>
        <v>8.7036000000000006E-3</v>
      </c>
      <c r="AR66" s="137">
        <f>Summary_LCIA!AI$32</f>
        <v>9.3154999999999996E-4</v>
      </c>
      <c r="AT66" s="137">
        <f t="shared" si="9"/>
        <v>73.260200400000002</v>
      </c>
      <c r="AU66" s="137">
        <f t="shared" si="9"/>
        <v>1068.5145612539341</v>
      </c>
      <c r="AV66" s="137">
        <f t="shared" si="9"/>
        <v>1.1352528287999999</v>
      </c>
      <c r="AW66" s="137">
        <f t="shared" si="9"/>
        <v>72.307257240000013</v>
      </c>
      <c r="AX66" s="137">
        <f t="shared" si="9"/>
        <v>23.6942202</v>
      </c>
      <c r="AY66" s="137">
        <f t="shared" si="9"/>
        <v>3.8622225720000003</v>
      </c>
      <c r="AZ66" s="137">
        <f t="shared" si="9"/>
        <v>1.0297176078E-2</v>
      </c>
      <c r="BA66" s="137">
        <f t="shared" si="9"/>
        <v>16.594793658</v>
      </c>
      <c r="BB66" s="137">
        <f t="shared" si="9"/>
        <v>4.9113224400000011</v>
      </c>
      <c r="BC66" s="137">
        <f t="shared" si="9"/>
        <v>3.3594480360000003</v>
      </c>
      <c r="BD66" s="137">
        <f t="shared" si="9"/>
        <v>8.841458382000001E-3</v>
      </c>
      <c r="BE66" s="137">
        <f t="shared" si="9"/>
        <v>5.0355068879999996</v>
      </c>
      <c r="BF66" s="137">
        <f t="shared" si="9"/>
        <v>-4.7049951540000003E-3</v>
      </c>
      <c r="BG66" s="137">
        <f t="shared" si="9"/>
        <v>1.0539292632E-5</v>
      </c>
      <c r="BH66" s="137">
        <f t="shared" si="9"/>
        <v>8.8619401920000007E-2</v>
      </c>
      <c r="BI66" s="137">
        <f t="shared" ref="BI66:BM81" si="10">$T66*AN66</f>
        <v>0.19104785573999999</v>
      </c>
      <c r="BJ66" s="137">
        <f t="shared" si="10"/>
        <v>0.18227086116000002</v>
      </c>
      <c r="BK66" s="137">
        <f t="shared" si="10"/>
        <v>1.1031071670000002E-2</v>
      </c>
      <c r="BL66" s="137">
        <f t="shared" si="10"/>
        <v>1.8764787528000002</v>
      </c>
      <c r="BM66" s="137">
        <f t="shared" si="10"/>
        <v>0.20084031690000001</v>
      </c>
    </row>
    <row r="67" spans="1:65" x14ac:dyDescent="0.25">
      <c r="A67" s="149">
        <v>261</v>
      </c>
      <c r="B67" s="149">
        <v>6</v>
      </c>
      <c r="C67" s="61">
        <v>43.073051999999997</v>
      </c>
      <c r="D67" s="61">
        <v>-89.401229999999998</v>
      </c>
      <c r="E67" s="61" t="s">
        <v>265</v>
      </c>
      <c r="F67" s="149">
        <v>114</v>
      </c>
      <c r="G67" s="61" t="s">
        <v>639</v>
      </c>
      <c r="H67" s="61" t="s">
        <v>640</v>
      </c>
      <c r="I67" s="61">
        <v>42.947552999999999</v>
      </c>
      <c r="J67" s="61">
        <v>-87.896646000000004</v>
      </c>
      <c r="K67" s="61">
        <v>124.3178211</v>
      </c>
      <c r="L67" s="61">
        <v>138.58099999999999</v>
      </c>
      <c r="M67" s="61" t="s">
        <v>617</v>
      </c>
      <c r="N67" s="149">
        <v>5</v>
      </c>
      <c r="O67" s="149">
        <v>6</v>
      </c>
      <c r="P67" s="61" t="s">
        <v>565</v>
      </c>
      <c r="Q67" s="61" t="s">
        <v>564</v>
      </c>
      <c r="R67" s="61">
        <v>41.98028</v>
      </c>
      <c r="S67" s="61">
        <v>-87.908997900000003</v>
      </c>
      <c r="T67" s="61">
        <v>215.59800000000001</v>
      </c>
      <c r="U67" s="61" t="s">
        <v>617</v>
      </c>
      <c r="V67" s="61" t="s">
        <v>617</v>
      </c>
      <c r="W67" s="61"/>
      <c r="Y67" s="137">
        <f>Summary_LCIA!H$32</f>
        <v>0.33979999999999999</v>
      </c>
      <c r="Z67" s="137">
        <f>Summary_LCIA!Q$32</f>
        <v>4.9560504329999997</v>
      </c>
      <c r="AA67" s="137">
        <f>Summary_LCIA!R$32</f>
        <v>5.2655999999999996E-3</v>
      </c>
      <c r="AB67" s="137">
        <f>Summary_LCIA!S$32</f>
        <v>0.33538000000000001</v>
      </c>
      <c r="AC67" s="137">
        <f>Summary_LCIA!T$32</f>
        <v>0.1099</v>
      </c>
      <c r="AD67" s="137">
        <f>Summary_LCIA!U$32</f>
        <v>1.7913999999999999E-2</v>
      </c>
      <c r="AE67" s="137">
        <f>Summary_LCIA!V$32</f>
        <v>4.7760999999999999E-5</v>
      </c>
      <c r="AF67" s="137">
        <f>Summary_LCIA!W$32</f>
        <v>7.6970999999999998E-2</v>
      </c>
      <c r="AG67" s="137">
        <f>Summary_LCIA!X$32</f>
        <v>2.2780000000000002E-2</v>
      </c>
      <c r="AH67" s="137">
        <f>Summary_LCIA!Y$32</f>
        <v>1.5582E-2</v>
      </c>
      <c r="AI67" s="137">
        <f>Summary_LCIA!Z$32</f>
        <v>4.1009E-5</v>
      </c>
      <c r="AJ67" s="137">
        <f>Summary_LCIA!AA$32</f>
        <v>2.3355999999999998E-2</v>
      </c>
      <c r="AK67" s="137">
        <f>Summary_LCIA!AB$32</f>
        <v>-2.1823000000000001E-5</v>
      </c>
      <c r="AL67" s="137">
        <f>Summary_LCIA!AC$32</f>
        <v>4.8884000000000003E-8</v>
      </c>
      <c r="AM67" s="137">
        <f>Summary_LCIA!AD$32</f>
        <v>4.1103999999999999E-4</v>
      </c>
      <c r="AN67" s="137">
        <f>Summary_LCIA!AE$32</f>
        <v>8.8612999999999995E-4</v>
      </c>
      <c r="AO67" s="137">
        <f>Summary_LCIA!AF$32</f>
        <v>8.4542000000000005E-4</v>
      </c>
      <c r="AP67" s="137">
        <f>Summary_LCIA!AG$32</f>
        <v>5.1165000000000002E-5</v>
      </c>
      <c r="AQ67" s="137">
        <f>Summary_LCIA!AH$32</f>
        <v>8.7036000000000006E-3</v>
      </c>
      <c r="AR67" s="137">
        <f>Summary_LCIA!AI$32</f>
        <v>9.3154999999999996E-4</v>
      </c>
      <c r="AT67" s="137">
        <f t="shared" ref="AT67:BI82" si="11">$T67*Y67</f>
        <v>73.260200400000002</v>
      </c>
      <c r="AU67" s="137">
        <f t="shared" si="11"/>
        <v>1068.5145612539341</v>
      </c>
      <c r="AV67" s="137">
        <f t="shared" si="11"/>
        <v>1.1352528287999999</v>
      </c>
      <c r="AW67" s="137">
        <f t="shared" si="11"/>
        <v>72.307257240000013</v>
      </c>
      <c r="AX67" s="137">
        <f t="shared" si="11"/>
        <v>23.6942202</v>
      </c>
      <c r="AY67" s="137">
        <f t="shared" si="11"/>
        <v>3.8622225720000003</v>
      </c>
      <c r="AZ67" s="137">
        <f t="shared" si="11"/>
        <v>1.0297176078E-2</v>
      </c>
      <c r="BA67" s="137">
        <f t="shared" si="11"/>
        <v>16.594793658</v>
      </c>
      <c r="BB67" s="137">
        <f t="shared" si="11"/>
        <v>4.9113224400000011</v>
      </c>
      <c r="BC67" s="137">
        <f t="shared" si="11"/>
        <v>3.3594480360000003</v>
      </c>
      <c r="BD67" s="137">
        <f t="shared" si="11"/>
        <v>8.841458382000001E-3</v>
      </c>
      <c r="BE67" s="137">
        <f t="shared" si="11"/>
        <v>5.0355068879999996</v>
      </c>
      <c r="BF67" s="137">
        <f t="shared" si="11"/>
        <v>-4.7049951540000003E-3</v>
      </c>
      <c r="BG67" s="137">
        <f t="shared" si="11"/>
        <v>1.0539292632E-5</v>
      </c>
      <c r="BH67" s="137">
        <f t="shared" si="11"/>
        <v>8.8619401920000007E-2</v>
      </c>
      <c r="BI67" s="137">
        <f t="shared" si="11"/>
        <v>0.19104785573999999</v>
      </c>
      <c r="BJ67" s="137">
        <f t="shared" si="10"/>
        <v>0.18227086116000002</v>
      </c>
      <c r="BK67" s="137">
        <f t="shared" si="10"/>
        <v>1.1031071670000002E-2</v>
      </c>
      <c r="BL67" s="137">
        <f t="shared" si="10"/>
        <v>1.8764787528000002</v>
      </c>
      <c r="BM67" s="137">
        <f t="shared" si="10"/>
        <v>0.20084031690000001</v>
      </c>
    </row>
    <row r="68" spans="1:65" x14ac:dyDescent="0.25">
      <c r="A68" s="149">
        <v>262</v>
      </c>
      <c r="B68" s="149">
        <v>6</v>
      </c>
      <c r="C68" s="61">
        <v>43.069034000000002</v>
      </c>
      <c r="D68" s="61">
        <v>-89.424563000000006</v>
      </c>
      <c r="E68" s="61" t="s">
        <v>265</v>
      </c>
      <c r="F68" s="149">
        <v>114</v>
      </c>
      <c r="G68" s="61" t="s">
        <v>639</v>
      </c>
      <c r="H68" s="61" t="s">
        <v>640</v>
      </c>
      <c r="I68" s="61">
        <v>42.947552999999999</v>
      </c>
      <c r="J68" s="61">
        <v>-87.896646000000004</v>
      </c>
      <c r="K68" s="61">
        <v>126.0890892</v>
      </c>
      <c r="L68" s="61">
        <v>140.03299999999999</v>
      </c>
      <c r="M68" s="61" t="s">
        <v>617</v>
      </c>
      <c r="N68" s="149">
        <v>5</v>
      </c>
      <c r="O68" s="149">
        <v>6</v>
      </c>
      <c r="P68" s="61" t="s">
        <v>565</v>
      </c>
      <c r="Q68" s="61" t="s">
        <v>564</v>
      </c>
      <c r="R68" s="61">
        <v>41.98028</v>
      </c>
      <c r="S68" s="61">
        <v>-87.908997900000003</v>
      </c>
      <c r="T68" s="61">
        <v>216.43100000000001</v>
      </c>
      <c r="U68" s="61" t="s">
        <v>617</v>
      </c>
      <c r="V68" s="61" t="s">
        <v>617</v>
      </c>
      <c r="W68" s="61"/>
      <c r="Y68" s="137">
        <f>Summary_LCIA!H$32</f>
        <v>0.33979999999999999</v>
      </c>
      <c r="Z68" s="137">
        <f>Summary_LCIA!Q$32</f>
        <v>4.9560504329999997</v>
      </c>
      <c r="AA68" s="137">
        <f>Summary_LCIA!R$32</f>
        <v>5.2655999999999996E-3</v>
      </c>
      <c r="AB68" s="137">
        <f>Summary_LCIA!S$32</f>
        <v>0.33538000000000001</v>
      </c>
      <c r="AC68" s="137">
        <f>Summary_LCIA!T$32</f>
        <v>0.1099</v>
      </c>
      <c r="AD68" s="137">
        <f>Summary_LCIA!U$32</f>
        <v>1.7913999999999999E-2</v>
      </c>
      <c r="AE68" s="137">
        <f>Summary_LCIA!V$32</f>
        <v>4.7760999999999999E-5</v>
      </c>
      <c r="AF68" s="137">
        <f>Summary_LCIA!W$32</f>
        <v>7.6970999999999998E-2</v>
      </c>
      <c r="AG68" s="137">
        <f>Summary_LCIA!X$32</f>
        <v>2.2780000000000002E-2</v>
      </c>
      <c r="AH68" s="137">
        <f>Summary_LCIA!Y$32</f>
        <v>1.5582E-2</v>
      </c>
      <c r="AI68" s="137">
        <f>Summary_LCIA!Z$32</f>
        <v>4.1009E-5</v>
      </c>
      <c r="AJ68" s="137">
        <f>Summary_LCIA!AA$32</f>
        <v>2.3355999999999998E-2</v>
      </c>
      <c r="AK68" s="137">
        <f>Summary_LCIA!AB$32</f>
        <v>-2.1823000000000001E-5</v>
      </c>
      <c r="AL68" s="137">
        <f>Summary_LCIA!AC$32</f>
        <v>4.8884000000000003E-8</v>
      </c>
      <c r="AM68" s="137">
        <f>Summary_LCIA!AD$32</f>
        <v>4.1103999999999999E-4</v>
      </c>
      <c r="AN68" s="137">
        <f>Summary_LCIA!AE$32</f>
        <v>8.8612999999999995E-4</v>
      </c>
      <c r="AO68" s="137">
        <f>Summary_LCIA!AF$32</f>
        <v>8.4542000000000005E-4</v>
      </c>
      <c r="AP68" s="137">
        <f>Summary_LCIA!AG$32</f>
        <v>5.1165000000000002E-5</v>
      </c>
      <c r="AQ68" s="137">
        <f>Summary_LCIA!AH$32</f>
        <v>8.7036000000000006E-3</v>
      </c>
      <c r="AR68" s="137">
        <f>Summary_LCIA!AI$32</f>
        <v>9.3154999999999996E-4</v>
      </c>
      <c r="AT68" s="137">
        <f t="shared" si="11"/>
        <v>73.543253800000002</v>
      </c>
      <c r="AU68" s="137">
        <f t="shared" si="11"/>
        <v>1072.642951264623</v>
      </c>
      <c r="AV68" s="137">
        <f t="shared" si="11"/>
        <v>1.1396390735999999</v>
      </c>
      <c r="AW68" s="137">
        <f t="shared" si="11"/>
        <v>72.586628780000012</v>
      </c>
      <c r="AX68" s="137">
        <f t="shared" si="11"/>
        <v>23.785766900000002</v>
      </c>
      <c r="AY68" s="137">
        <f t="shared" si="11"/>
        <v>3.8771449339999999</v>
      </c>
      <c r="AZ68" s="137">
        <f t="shared" si="11"/>
        <v>1.0336960991E-2</v>
      </c>
      <c r="BA68" s="137">
        <f t="shared" si="11"/>
        <v>16.658910501000001</v>
      </c>
      <c r="BB68" s="137">
        <f t="shared" si="11"/>
        <v>4.9302981800000003</v>
      </c>
      <c r="BC68" s="137">
        <f t="shared" si="11"/>
        <v>3.3724278420000005</v>
      </c>
      <c r="BD68" s="137">
        <f t="shared" si="11"/>
        <v>8.8756188790000013E-3</v>
      </c>
      <c r="BE68" s="137">
        <f t="shared" si="11"/>
        <v>5.0549624360000003</v>
      </c>
      <c r="BF68" s="137">
        <f t="shared" si="11"/>
        <v>-4.7231737130000008E-3</v>
      </c>
      <c r="BG68" s="137">
        <f t="shared" si="11"/>
        <v>1.0580013004000001E-5</v>
      </c>
      <c r="BH68" s="137">
        <f t="shared" si="11"/>
        <v>8.8961798240000001E-2</v>
      </c>
      <c r="BI68" s="137">
        <f t="shared" si="11"/>
        <v>0.19178600202999999</v>
      </c>
      <c r="BJ68" s="137">
        <f t="shared" si="10"/>
        <v>0.18297509602000003</v>
      </c>
      <c r="BK68" s="137">
        <f t="shared" si="10"/>
        <v>1.1073692115E-2</v>
      </c>
      <c r="BL68" s="137">
        <f t="shared" si="10"/>
        <v>1.8837288516000001</v>
      </c>
      <c r="BM68" s="137">
        <f t="shared" si="10"/>
        <v>0.20161629805</v>
      </c>
    </row>
    <row r="69" spans="1:65" x14ac:dyDescent="0.25">
      <c r="A69" s="149">
        <v>263</v>
      </c>
      <c r="B69" s="149">
        <v>6</v>
      </c>
      <c r="C69" s="61">
        <v>43.069034000000002</v>
      </c>
      <c r="D69" s="61">
        <v>-89.424563000000006</v>
      </c>
      <c r="E69" s="61" t="s">
        <v>265</v>
      </c>
      <c r="F69" s="149">
        <v>114</v>
      </c>
      <c r="G69" s="61" t="s">
        <v>639</v>
      </c>
      <c r="H69" s="61" t="s">
        <v>640</v>
      </c>
      <c r="I69" s="61">
        <v>42.947552999999999</v>
      </c>
      <c r="J69" s="61">
        <v>-87.896646000000004</v>
      </c>
      <c r="K69" s="61">
        <v>126.0890892</v>
      </c>
      <c r="L69" s="61">
        <v>140.03299999999999</v>
      </c>
      <c r="M69" s="61" t="s">
        <v>617</v>
      </c>
      <c r="N69" s="149">
        <v>5</v>
      </c>
      <c r="O69" s="149">
        <v>6</v>
      </c>
      <c r="P69" s="61" t="s">
        <v>565</v>
      </c>
      <c r="Q69" s="61" t="s">
        <v>564</v>
      </c>
      <c r="R69" s="61">
        <v>41.98028</v>
      </c>
      <c r="S69" s="61">
        <v>-87.908997900000003</v>
      </c>
      <c r="T69" s="61">
        <v>216.43100000000001</v>
      </c>
      <c r="U69" s="61" t="s">
        <v>617</v>
      </c>
      <c r="V69" s="61" t="s">
        <v>617</v>
      </c>
      <c r="W69" s="61"/>
      <c r="Y69" s="137">
        <f>Summary_LCIA!H$32</f>
        <v>0.33979999999999999</v>
      </c>
      <c r="Z69" s="137">
        <f>Summary_LCIA!Q$32</f>
        <v>4.9560504329999997</v>
      </c>
      <c r="AA69" s="137">
        <f>Summary_LCIA!R$32</f>
        <v>5.2655999999999996E-3</v>
      </c>
      <c r="AB69" s="137">
        <f>Summary_LCIA!S$32</f>
        <v>0.33538000000000001</v>
      </c>
      <c r="AC69" s="137">
        <f>Summary_LCIA!T$32</f>
        <v>0.1099</v>
      </c>
      <c r="AD69" s="137">
        <f>Summary_LCIA!U$32</f>
        <v>1.7913999999999999E-2</v>
      </c>
      <c r="AE69" s="137">
        <f>Summary_LCIA!V$32</f>
        <v>4.7760999999999999E-5</v>
      </c>
      <c r="AF69" s="137">
        <f>Summary_LCIA!W$32</f>
        <v>7.6970999999999998E-2</v>
      </c>
      <c r="AG69" s="137">
        <f>Summary_LCIA!X$32</f>
        <v>2.2780000000000002E-2</v>
      </c>
      <c r="AH69" s="137">
        <f>Summary_LCIA!Y$32</f>
        <v>1.5582E-2</v>
      </c>
      <c r="AI69" s="137">
        <f>Summary_LCIA!Z$32</f>
        <v>4.1009E-5</v>
      </c>
      <c r="AJ69" s="137">
        <f>Summary_LCIA!AA$32</f>
        <v>2.3355999999999998E-2</v>
      </c>
      <c r="AK69" s="137">
        <f>Summary_LCIA!AB$32</f>
        <v>-2.1823000000000001E-5</v>
      </c>
      <c r="AL69" s="137">
        <f>Summary_LCIA!AC$32</f>
        <v>4.8884000000000003E-8</v>
      </c>
      <c r="AM69" s="137">
        <f>Summary_LCIA!AD$32</f>
        <v>4.1103999999999999E-4</v>
      </c>
      <c r="AN69" s="137">
        <f>Summary_LCIA!AE$32</f>
        <v>8.8612999999999995E-4</v>
      </c>
      <c r="AO69" s="137">
        <f>Summary_LCIA!AF$32</f>
        <v>8.4542000000000005E-4</v>
      </c>
      <c r="AP69" s="137">
        <f>Summary_LCIA!AG$32</f>
        <v>5.1165000000000002E-5</v>
      </c>
      <c r="AQ69" s="137">
        <f>Summary_LCIA!AH$32</f>
        <v>8.7036000000000006E-3</v>
      </c>
      <c r="AR69" s="137">
        <f>Summary_LCIA!AI$32</f>
        <v>9.3154999999999996E-4</v>
      </c>
      <c r="AT69" s="137">
        <f t="shared" si="11"/>
        <v>73.543253800000002</v>
      </c>
      <c r="AU69" s="137">
        <f t="shared" si="11"/>
        <v>1072.642951264623</v>
      </c>
      <c r="AV69" s="137">
        <f t="shared" si="11"/>
        <v>1.1396390735999999</v>
      </c>
      <c r="AW69" s="137">
        <f t="shared" si="11"/>
        <v>72.586628780000012</v>
      </c>
      <c r="AX69" s="137">
        <f t="shared" si="11"/>
        <v>23.785766900000002</v>
      </c>
      <c r="AY69" s="137">
        <f t="shared" si="11"/>
        <v>3.8771449339999999</v>
      </c>
      <c r="AZ69" s="137">
        <f t="shared" si="11"/>
        <v>1.0336960991E-2</v>
      </c>
      <c r="BA69" s="137">
        <f t="shared" si="11"/>
        <v>16.658910501000001</v>
      </c>
      <c r="BB69" s="137">
        <f t="shared" si="11"/>
        <v>4.9302981800000003</v>
      </c>
      <c r="BC69" s="137">
        <f t="shared" si="11"/>
        <v>3.3724278420000005</v>
      </c>
      <c r="BD69" s="137">
        <f t="shared" si="11"/>
        <v>8.8756188790000013E-3</v>
      </c>
      <c r="BE69" s="137">
        <f t="shared" si="11"/>
        <v>5.0549624360000003</v>
      </c>
      <c r="BF69" s="137">
        <f t="shared" si="11"/>
        <v>-4.7231737130000008E-3</v>
      </c>
      <c r="BG69" s="137">
        <f t="shared" si="11"/>
        <v>1.0580013004000001E-5</v>
      </c>
      <c r="BH69" s="137">
        <f t="shared" si="11"/>
        <v>8.8961798240000001E-2</v>
      </c>
      <c r="BI69" s="137">
        <f t="shared" si="11"/>
        <v>0.19178600202999999</v>
      </c>
      <c r="BJ69" s="137">
        <f t="shared" si="10"/>
        <v>0.18297509602000003</v>
      </c>
      <c r="BK69" s="137">
        <f t="shared" si="10"/>
        <v>1.1073692115E-2</v>
      </c>
      <c r="BL69" s="137">
        <f t="shared" si="10"/>
        <v>1.8837288516000001</v>
      </c>
      <c r="BM69" s="137">
        <f t="shared" si="10"/>
        <v>0.20161629805</v>
      </c>
    </row>
    <row r="70" spans="1:65" x14ac:dyDescent="0.25">
      <c r="A70" s="149">
        <v>264</v>
      </c>
      <c r="B70" s="149">
        <v>6</v>
      </c>
      <c r="C70" s="61">
        <v>43.069034000000002</v>
      </c>
      <c r="D70" s="61">
        <v>-89.424563000000006</v>
      </c>
      <c r="E70" s="61" t="s">
        <v>265</v>
      </c>
      <c r="F70" s="149">
        <v>114</v>
      </c>
      <c r="G70" s="61" t="s">
        <v>639</v>
      </c>
      <c r="H70" s="61" t="s">
        <v>640</v>
      </c>
      <c r="I70" s="61">
        <v>42.947552999999999</v>
      </c>
      <c r="J70" s="61">
        <v>-87.896646000000004</v>
      </c>
      <c r="K70" s="61">
        <v>126.0890892</v>
      </c>
      <c r="L70" s="61">
        <v>140.03299999999999</v>
      </c>
      <c r="M70" s="61" t="s">
        <v>617</v>
      </c>
      <c r="N70" s="149">
        <v>5</v>
      </c>
      <c r="O70" s="149">
        <v>6</v>
      </c>
      <c r="P70" s="61" t="s">
        <v>565</v>
      </c>
      <c r="Q70" s="61" t="s">
        <v>564</v>
      </c>
      <c r="R70" s="61">
        <v>41.98028</v>
      </c>
      <c r="S70" s="61">
        <v>-87.908997900000003</v>
      </c>
      <c r="T70" s="61">
        <v>216.43100000000001</v>
      </c>
      <c r="U70" s="61" t="s">
        <v>617</v>
      </c>
      <c r="V70" s="61" t="s">
        <v>617</v>
      </c>
      <c r="W70" s="61"/>
      <c r="Y70" s="137">
        <f>Summary_LCIA!H$32</f>
        <v>0.33979999999999999</v>
      </c>
      <c r="Z70" s="137">
        <f>Summary_LCIA!Q$32</f>
        <v>4.9560504329999997</v>
      </c>
      <c r="AA70" s="137">
        <f>Summary_LCIA!R$32</f>
        <v>5.2655999999999996E-3</v>
      </c>
      <c r="AB70" s="137">
        <f>Summary_LCIA!S$32</f>
        <v>0.33538000000000001</v>
      </c>
      <c r="AC70" s="137">
        <f>Summary_LCIA!T$32</f>
        <v>0.1099</v>
      </c>
      <c r="AD70" s="137">
        <f>Summary_LCIA!U$32</f>
        <v>1.7913999999999999E-2</v>
      </c>
      <c r="AE70" s="137">
        <f>Summary_LCIA!V$32</f>
        <v>4.7760999999999999E-5</v>
      </c>
      <c r="AF70" s="137">
        <f>Summary_LCIA!W$32</f>
        <v>7.6970999999999998E-2</v>
      </c>
      <c r="AG70" s="137">
        <f>Summary_LCIA!X$32</f>
        <v>2.2780000000000002E-2</v>
      </c>
      <c r="AH70" s="137">
        <f>Summary_LCIA!Y$32</f>
        <v>1.5582E-2</v>
      </c>
      <c r="AI70" s="137">
        <f>Summary_LCIA!Z$32</f>
        <v>4.1009E-5</v>
      </c>
      <c r="AJ70" s="137">
        <f>Summary_LCIA!AA$32</f>
        <v>2.3355999999999998E-2</v>
      </c>
      <c r="AK70" s="137">
        <f>Summary_LCIA!AB$32</f>
        <v>-2.1823000000000001E-5</v>
      </c>
      <c r="AL70" s="137">
        <f>Summary_LCIA!AC$32</f>
        <v>4.8884000000000003E-8</v>
      </c>
      <c r="AM70" s="137">
        <f>Summary_LCIA!AD$32</f>
        <v>4.1103999999999999E-4</v>
      </c>
      <c r="AN70" s="137">
        <f>Summary_LCIA!AE$32</f>
        <v>8.8612999999999995E-4</v>
      </c>
      <c r="AO70" s="137">
        <f>Summary_LCIA!AF$32</f>
        <v>8.4542000000000005E-4</v>
      </c>
      <c r="AP70" s="137">
        <f>Summary_LCIA!AG$32</f>
        <v>5.1165000000000002E-5</v>
      </c>
      <c r="AQ70" s="137">
        <f>Summary_LCIA!AH$32</f>
        <v>8.7036000000000006E-3</v>
      </c>
      <c r="AR70" s="137">
        <f>Summary_LCIA!AI$32</f>
        <v>9.3154999999999996E-4</v>
      </c>
      <c r="AT70" s="137">
        <f t="shared" si="11"/>
        <v>73.543253800000002</v>
      </c>
      <c r="AU70" s="137">
        <f t="shared" si="11"/>
        <v>1072.642951264623</v>
      </c>
      <c r="AV70" s="137">
        <f t="shared" si="11"/>
        <v>1.1396390735999999</v>
      </c>
      <c r="AW70" s="137">
        <f t="shared" si="11"/>
        <v>72.586628780000012</v>
      </c>
      <c r="AX70" s="137">
        <f t="shared" si="11"/>
        <v>23.785766900000002</v>
      </c>
      <c r="AY70" s="137">
        <f t="shared" si="11"/>
        <v>3.8771449339999999</v>
      </c>
      <c r="AZ70" s="137">
        <f t="shared" si="11"/>
        <v>1.0336960991E-2</v>
      </c>
      <c r="BA70" s="137">
        <f t="shared" si="11"/>
        <v>16.658910501000001</v>
      </c>
      <c r="BB70" s="137">
        <f t="shared" si="11"/>
        <v>4.9302981800000003</v>
      </c>
      <c r="BC70" s="137">
        <f t="shared" si="11"/>
        <v>3.3724278420000005</v>
      </c>
      <c r="BD70" s="137">
        <f t="shared" si="11"/>
        <v>8.8756188790000013E-3</v>
      </c>
      <c r="BE70" s="137">
        <f t="shared" si="11"/>
        <v>5.0549624360000003</v>
      </c>
      <c r="BF70" s="137">
        <f t="shared" si="11"/>
        <v>-4.7231737130000008E-3</v>
      </c>
      <c r="BG70" s="137">
        <f t="shared" si="11"/>
        <v>1.0580013004000001E-5</v>
      </c>
      <c r="BH70" s="137">
        <f t="shared" si="11"/>
        <v>8.8961798240000001E-2</v>
      </c>
      <c r="BI70" s="137">
        <f t="shared" si="11"/>
        <v>0.19178600202999999</v>
      </c>
      <c r="BJ70" s="137">
        <f t="shared" si="10"/>
        <v>0.18297509602000003</v>
      </c>
      <c r="BK70" s="137">
        <f t="shared" si="10"/>
        <v>1.1073692115E-2</v>
      </c>
      <c r="BL70" s="137">
        <f t="shared" si="10"/>
        <v>1.8837288516000001</v>
      </c>
      <c r="BM70" s="137">
        <f t="shared" si="10"/>
        <v>0.20161629805</v>
      </c>
    </row>
    <row r="71" spans="1:65" x14ac:dyDescent="0.25">
      <c r="A71" s="149">
        <v>265</v>
      </c>
      <c r="B71" s="149">
        <v>6</v>
      </c>
      <c r="C71" s="61">
        <v>43.069034000000002</v>
      </c>
      <c r="D71" s="61">
        <v>-89.424563000000006</v>
      </c>
      <c r="E71" s="61" t="s">
        <v>265</v>
      </c>
      <c r="F71" s="149">
        <v>114</v>
      </c>
      <c r="G71" s="61" t="s">
        <v>639</v>
      </c>
      <c r="H71" s="61" t="s">
        <v>640</v>
      </c>
      <c r="I71" s="61">
        <v>42.947552999999999</v>
      </c>
      <c r="J71" s="61">
        <v>-87.896646000000004</v>
      </c>
      <c r="K71" s="61">
        <v>126.0890892</v>
      </c>
      <c r="L71" s="61">
        <v>140.03299999999999</v>
      </c>
      <c r="M71" s="61" t="s">
        <v>617</v>
      </c>
      <c r="N71" s="149">
        <v>5</v>
      </c>
      <c r="O71" s="149">
        <v>6</v>
      </c>
      <c r="P71" s="61" t="s">
        <v>565</v>
      </c>
      <c r="Q71" s="61" t="s">
        <v>564</v>
      </c>
      <c r="R71" s="61">
        <v>41.98028</v>
      </c>
      <c r="S71" s="61">
        <v>-87.908997900000003</v>
      </c>
      <c r="T71" s="61">
        <v>216.43100000000001</v>
      </c>
      <c r="U71" s="61" t="s">
        <v>617</v>
      </c>
      <c r="V71" s="61" t="s">
        <v>617</v>
      </c>
      <c r="W71" s="61"/>
      <c r="Y71" s="137">
        <f>Summary_LCIA!H$32</f>
        <v>0.33979999999999999</v>
      </c>
      <c r="Z71" s="137">
        <f>Summary_LCIA!Q$32</f>
        <v>4.9560504329999997</v>
      </c>
      <c r="AA71" s="137">
        <f>Summary_LCIA!R$32</f>
        <v>5.2655999999999996E-3</v>
      </c>
      <c r="AB71" s="137">
        <f>Summary_LCIA!S$32</f>
        <v>0.33538000000000001</v>
      </c>
      <c r="AC71" s="137">
        <f>Summary_LCIA!T$32</f>
        <v>0.1099</v>
      </c>
      <c r="AD71" s="137">
        <f>Summary_LCIA!U$32</f>
        <v>1.7913999999999999E-2</v>
      </c>
      <c r="AE71" s="137">
        <f>Summary_LCIA!V$32</f>
        <v>4.7760999999999999E-5</v>
      </c>
      <c r="AF71" s="137">
        <f>Summary_LCIA!W$32</f>
        <v>7.6970999999999998E-2</v>
      </c>
      <c r="AG71" s="137">
        <f>Summary_LCIA!X$32</f>
        <v>2.2780000000000002E-2</v>
      </c>
      <c r="AH71" s="137">
        <f>Summary_LCIA!Y$32</f>
        <v>1.5582E-2</v>
      </c>
      <c r="AI71" s="137">
        <f>Summary_LCIA!Z$32</f>
        <v>4.1009E-5</v>
      </c>
      <c r="AJ71" s="137">
        <f>Summary_LCIA!AA$32</f>
        <v>2.3355999999999998E-2</v>
      </c>
      <c r="AK71" s="137">
        <f>Summary_LCIA!AB$32</f>
        <v>-2.1823000000000001E-5</v>
      </c>
      <c r="AL71" s="137">
        <f>Summary_LCIA!AC$32</f>
        <v>4.8884000000000003E-8</v>
      </c>
      <c r="AM71" s="137">
        <f>Summary_LCIA!AD$32</f>
        <v>4.1103999999999999E-4</v>
      </c>
      <c r="AN71" s="137">
        <f>Summary_LCIA!AE$32</f>
        <v>8.8612999999999995E-4</v>
      </c>
      <c r="AO71" s="137">
        <f>Summary_LCIA!AF$32</f>
        <v>8.4542000000000005E-4</v>
      </c>
      <c r="AP71" s="137">
        <f>Summary_LCIA!AG$32</f>
        <v>5.1165000000000002E-5</v>
      </c>
      <c r="AQ71" s="137">
        <f>Summary_LCIA!AH$32</f>
        <v>8.7036000000000006E-3</v>
      </c>
      <c r="AR71" s="137">
        <f>Summary_LCIA!AI$32</f>
        <v>9.3154999999999996E-4</v>
      </c>
      <c r="AT71" s="137">
        <f t="shared" si="11"/>
        <v>73.543253800000002</v>
      </c>
      <c r="AU71" s="137">
        <f t="shared" si="11"/>
        <v>1072.642951264623</v>
      </c>
      <c r="AV71" s="137">
        <f t="shared" si="11"/>
        <v>1.1396390735999999</v>
      </c>
      <c r="AW71" s="137">
        <f t="shared" si="11"/>
        <v>72.586628780000012</v>
      </c>
      <c r="AX71" s="137">
        <f t="shared" si="11"/>
        <v>23.785766900000002</v>
      </c>
      <c r="AY71" s="137">
        <f t="shared" si="11"/>
        <v>3.8771449339999999</v>
      </c>
      <c r="AZ71" s="137">
        <f t="shared" si="11"/>
        <v>1.0336960991E-2</v>
      </c>
      <c r="BA71" s="137">
        <f t="shared" si="11"/>
        <v>16.658910501000001</v>
      </c>
      <c r="BB71" s="137">
        <f t="shared" si="11"/>
        <v>4.9302981800000003</v>
      </c>
      <c r="BC71" s="137">
        <f t="shared" si="11"/>
        <v>3.3724278420000005</v>
      </c>
      <c r="BD71" s="137">
        <f t="shared" si="11"/>
        <v>8.8756188790000013E-3</v>
      </c>
      <c r="BE71" s="137">
        <f t="shared" si="11"/>
        <v>5.0549624360000003</v>
      </c>
      <c r="BF71" s="137">
        <f t="shared" si="11"/>
        <v>-4.7231737130000008E-3</v>
      </c>
      <c r="BG71" s="137">
        <f t="shared" si="11"/>
        <v>1.0580013004000001E-5</v>
      </c>
      <c r="BH71" s="137">
        <f t="shared" si="11"/>
        <v>8.8961798240000001E-2</v>
      </c>
      <c r="BI71" s="137">
        <f t="shared" si="11"/>
        <v>0.19178600202999999</v>
      </c>
      <c r="BJ71" s="137">
        <f t="shared" si="10"/>
        <v>0.18297509602000003</v>
      </c>
      <c r="BK71" s="137">
        <f t="shared" si="10"/>
        <v>1.1073692115E-2</v>
      </c>
      <c r="BL71" s="137">
        <f t="shared" si="10"/>
        <v>1.8837288516000001</v>
      </c>
      <c r="BM71" s="137">
        <f t="shared" si="10"/>
        <v>0.20161629805</v>
      </c>
    </row>
    <row r="72" spans="1:65" x14ac:dyDescent="0.25">
      <c r="A72" s="149">
        <v>266</v>
      </c>
      <c r="B72" s="149">
        <v>6</v>
      </c>
      <c r="C72" s="61">
        <v>43.069034000000002</v>
      </c>
      <c r="D72" s="61">
        <v>-89.424563000000006</v>
      </c>
      <c r="E72" s="61" t="s">
        <v>265</v>
      </c>
      <c r="F72" s="149">
        <v>114</v>
      </c>
      <c r="G72" s="61" t="s">
        <v>639</v>
      </c>
      <c r="H72" s="61" t="s">
        <v>640</v>
      </c>
      <c r="I72" s="61">
        <v>42.947552999999999</v>
      </c>
      <c r="J72" s="61">
        <v>-87.896646000000004</v>
      </c>
      <c r="K72" s="61">
        <v>126.0890892</v>
      </c>
      <c r="L72" s="61">
        <v>140.03299999999999</v>
      </c>
      <c r="M72" s="61" t="s">
        <v>617</v>
      </c>
      <c r="N72" s="149">
        <v>5</v>
      </c>
      <c r="O72" s="149">
        <v>6</v>
      </c>
      <c r="P72" s="61" t="s">
        <v>565</v>
      </c>
      <c r="Q72" s="61" t="s">
        <v>564</v>
      </c>
      <c r="R72" s="61">
        <v>41.98028</v>
      </c>
      <c r="S72" s="61">
        <v>-87.908997900000003</v>
      </c>
      <c r="T72" s="61">
        <v>216.43100000000001</v>
      </c>
      <c r="U72" s="61" t="s">
        <v>617</v>
      </c>
      <c r="V72" s="61" t="s">
        <v>617</v>
      </c>
      <c r="W72" s="61"/>
      <c r="Y72" s="137">
        <f>Summary_LCIA!H$32</f>
        <v>0.33979999999999999</v>
      </c>
      <c r="Z72" s="137">
        <f>Summary_LCIA!Q$32</f>
        <v>4.9560504329999997</v>
      </c>
      <c r="AA72" s="137">
        <f>Summary_LCIA!R$32</f>
        <v>5.2655999999999996E-3</v>
      </c>
      <c r="AB72" s="137">
        <f>Summary_LCIA!S$32</f>
        <v>0.33538000000000001</v>
      </c>
      <c r="AC72" s="137">
        <f>Summary_LCIA!T$32</f>
        <v>0.1099</v>
      </c>
      <c r="AD72" s="137">
        <f>Summary_LCIA!U$32</f>
        <v>1.7913999999999999E-2</v>
      </c>
      <c r="AE72" s="137">
        <f>Summary_LCIA!V$32</f>
        <v>4.7760999999999999E-5</v>
      </c>
      <c r="AF72" s="137">
        <f>Summary_LCIA!W$32</f>
        <v>7.6970999999999998E-2</v>
      </c>
      <c r="AG72" s="137">
        <f>Summary_LCIA!X$32</f>
        <v>2.2780000000000002E-2</v>
      </c>
      <c r="AH72" s="137">
        <f>Summary_LCIA!Y$32</f>
        <v>1.5582E-2</v>
      </c>
      <c r="AI72" s="137">
        <f>Summary_LCIA!Z$32</f>
        <v>4.1009E-5</v>
      </c>
      <c r="AJ72" s="137">
        <f>Summary_LCIA!AA$32</f>
        <v>2.3355999999999998E-2</v>
      </c>
      <c r="AK72" s="137">
        <f>Summary_LCIA!AB$32</f>
        <v>-2.1823000000000001E-5</v>
      </c>
      <c r="AL72" s="137">
        <f>Summary_LCIA!AC$32</f>
        <v>4.8884000000000003E-8</v>
      </c>
      <c r="AM72" s="137">
        <f>Summary_LCIA!AD$32</f>
        <v>4.1103999999999999E-4</v>
      </c>
      <c r="AN72" s="137">
        <f>Summary_LCIA!AE$32</f>
        <v>8.8612999999999995E-4</v>
      </c>
      <c r="AO72" s="137">
        <f>Summary_LCIA!AF$32</f>
        <v>8.4542000000000005E-4</v>
      </c>
      <c r="AP72" s="137">
        <f>Summary_LCIA!AG$32</f>
        <v>5.1165000000000002E-5</v>
      </c>
      <c r="AQ72" s="137">
        <f>Summary_LCIA!AH$32</f>
        <v>8.7036000000000006E-3</v>
      </c>
      <c r="AR72" s="137">
        <f>Summary_LCIA!AI$32</f>
        <v>9.3154999999999996E-4</v>
      </c>
      <c r="AT72" s="137">
        <f t="shared" si="11"/>
        <v>73.543253800000002</v>
      </c>
      <c r="AU72" s="137">
        <f t="shared" si="11"/>
        <v>1072.642951264623</v>
      </c>
      <c r="AV72" s="137">
        <f t="shared" si="11"/>
        <v>1.1396390735999999</v>
      </c>
      <c r="AW72" s="137">
        <f t="shared" si="11"/>
        <v>72.586628780000012</v>
      </c>
      <c r="AX72" s="137">
        <f t="shared" si="11"/>
        <v>23.785766900000002</v>
      </c>
      <c r="AY72" s="137">
        <f t="shared" si="11"/>
        <v>3.8771449339999999</v>
      </c>
      <c r="AZ72" s="137">
        <f t="shared" si="11"/>
        <v>1.0336960991E-2</v>
      </c>
      <c r="BA72" s="137">
        <f t="shared" si="11"/>
        <v>16.658910501000001</v>
      </c>
      <c r="BB72" s="137">
        <f t="shared" si="11"/>
        <v>4.9302981800000003</v>
      </c>
      <c r="BC72" s="137">
        <f t="shared" si="11"/>
        <v>3.3724278420000005</v>
      </c>
      <c r="BD72" s="137">
        <f t="shared" si="11"/>
        <v>8.8756188790000013E-3</v>
      </c>
      <c r="BE72" s="137">
        <f t="shared" si="11"/>
        <v>5.0549624360000003</v>
      </c>
      <c r="BF72" s="137">
        <f t="shared" si="11"/>
        <v>-4.7231737130000008E-3</v>
      </c>
      <c r="BG72" s="137">
        <f t="shared" si="11"/>
        <v>1.0580013004000001E-5</v>
      </c>
      <c r="BH72" s="137">
        <f t="shared" si="11"/>
        <v>8.8961798240000001E-2</v>
      </c>
      <c r="BI72" s="137">
        <f t="shared" si="11"/>
        <v>0.19178600202999999</v>
      </c>
      <c r="BJ72" s="137">
        <f t="shared" si="10"/>
        <v>0.18297509602000003</v>
      </c>
      <c r="BK72" s="137">
        <f t="shared" si="10"/>
        <v>1.1073692115E-2</v>
      </c>
      <c r="BL72" s="137">
        <f t="shared" si="10"/>
        <v>1.8837288516000001</v>
      </c>
      <c r="BM72" s="137">
        <f t="shared" si="10"/>
        <v>0.20161629805</v>
      </c>
    </row>
    <row r="73" spans="1:65" x14ac:dyDescent="0.25">
      <c r="A73" s="149">
        <v>104</v>
      </c>
      <c r="B73" s="149">
        <v>6</v>
      </c>
      <c r="C73" s="61">
        <v>40.428246000000001</v>
      </c>
      <c r="D73" s="61">
        <v>-86.914390999999995</v>
      </c>
      <c r="E73" s="61" t="s">
        <v>265</v>
      </c>
      <c r="F73" s="149">
        <v>107</v>
      </c>
      <c r="G73" s="61" t="s">
        <v>671</v>
      </c>
      <c r="H73" s="61" t="s">
        <v>672</v>
      </c>
      <c r="I73" s="61">
        <v>39.716858999999999</v>
      </c>
      <c r="J73" s="61">
        <v>-86.295595000000006</v>
      </c>
      <c r="K73" s="61">
        <v>130.25631390000001</v>
      </c>
      <c r="L73" s="61">
        <v>113.89400000000001</v>
      </c>
      <c r="M73" s="61" t="s">
        <v>617</v>
      </c>
      <c r="N73" s="149">
        <v>5</v>
      </c>
      <c r="O73" s="149">
        <v>6</v>
      </c>
      <c r="P73" s="61" t="s">
        <v>565</v>
      </c>
      <c r="Q73" s="61" t="s">
        <v>564</v>
      </c>
      <c r="R73" s="61">
        <v>41.98028</v>
      </c>
      <c r="S73" s="61">
        <v>-87.908997900000003</v>
      </c>
      <c r="T73" s="61">
        <v>224.767</v>
      </c>
      <c r="U73" s="61" t="s">
        <v>617</v>
      </c>
      <c r="V73" s="61" t="s">
        <v>617</v>
      </c>
      <c r="W73" s="61"/>
      <c r="Y73" s="137">
        <f>Summary_LCIA!H$32</f>
        <v>0.33979999999999999</v>
      </c>
      <c r="Z73" s="137">
        <f>Summary_LCIA!Q$32</f>
        <v>4.9560504329999997</v>
      </c>
      <c r="AA73" s="137">
        <f>Summary_LCIA!R$32</f>
        <v>5.2655999999999996E-3</v>
      </c>
      <c r="AB73" s="137">
        <f>Summary_LCIA!S$32</f>
        <v>0.33538000000000001</v>
      </c>
      <c r="AC73" s="137">
        <f>Summary_LCIA!T$32</f>
        <v>0.1099</v>
      </c>
      <c r="AD73" s="137">
        <f>Summary_LCIA!U$32</f>
        <v>1.7913999999999999E-2</v>
      </c>
      <c r="AE73" s="137">
        <f>Summary_LCIA!V$32</f>
        <v>4.7760999999999999E-5</v>
      </c>
      <c r="AF73" s="137">
        <f>Summary_LCIA!W$32</f>
        <v>7.6970999999999998E-2</v>
      </c>
      <c r="AG73" s="137">
        <f>Summary_LCIA!X$32</f>
        <v>2.2780000000000002E-2</v>
      </c>
      <c r="AH73" s="137">
        <f>Summary_LCIA!Y$32</f>
        <v>1.5582E-2</v>
      </c>
      <c r="AI73" s="137">
        <f>Summary_LCIA!Z$32</f>
        <v>4.1009E-5</v>
      </c>
      <c r="AJ73" s="137">
        <f>Summary_LCIA!AA$32</f>
        <v>2.3355999999999998E-2</v>
      </c>
      <c r="AK73" s="137">
        <f>Summary_LCIA!AB$32</f>
        <v>-2.1823000000000001E-5</v>
      </c>
      <c r="AL73" s="137">
        <f>Summary_LCIA!AC$32</f>
        <v>4.8884000000000003E-8</v>
      </c>
      <c r="AM73" s="137">
        <f>Summary_LCIA!AD$32</f>
        <v>4.1103999999999999E-4</v>
      </c>
      <c r="AN73" s="137">
        <f>Summary_LCIA!AE$32</f>
        <v>8.8612999999999995E-4</v>
      </c>
      <c r="AO73" s="137">
        <f>Summary_LCIA!AF$32</f>
        <v>8.4542000000000005E-4</v>
      </c>
      <c r="AP73" s="137">
        <f>Summary_LCIA!AG$32</f>
        <v>5.1165000000000002E-5</v>
      </c>
      <c r="AQ73" s="137">
        <f>Summary_LCIA!AH$32</f>
        <v>8.7036000000000006E-3</v>
      </c>
      <c r="AR73" s="137">
        <f>Summary_LCIA!AI$32</f>
        <v>9.3154999999999996E-4</v>
      </c>
      <c r="AT73" s="137">
        <f t="shared" si="11"/>
        <v>76.375826599999996</v>
      </c>
      <c r="AU73" s="137">
        <f t="shared" si="11"/>
        <v>1113.956587674111</v>
      </c>
      <c r="AV73" s="137">
        <f t="shared" si="11"/>
        <v>1.1835331151999999</v>
      </c>
      <c r="AW73" s="137">
        <f t="shared" si="11"/>
        <v>75.382356459999997</v>
      </c>
      <c r="AX73" s="137">
        <f t="shared" si="11"/>
        <v>24.701893299999998</v>
      </c>
      <c r="AY73" s="137">
        <f t="shared" si="11"/>
        <v>4.0264760380000002</v>
      </c>
      <c r="AZ73" s="137">
        <f t="shared" si="11"/>
        <v>1.0735096687E-2</v>
      </c>
      <c r="BA73" s="137">
        <f t="shared" si="11"/>
        <v>17.300540757</v>
      </c>
      <c r="BB73" s="137">
        <f t="shared" si="11"/>
        <v>5.1201922600000005</v>
      </c>
      <c r="BC73" s="137">
        <f t="shared" si="11"/>
        <v>3.5023193940000001</v>
      </c>
      <c r="BD73" s="137">
        <f t="shared" si="11"/>
        <v>9.2174699030000001E-3</v>
      </c>
      <c r="BE73" s="137">
        <f t="shared" si="11"/>
        <v>5.2496580519999991</v>
      </c>
      <c r="BF73" s="137">
        <f t="shared" si="11"/>
        <v>-4.9050902410000003E-3</v>
      </c>
      <c r="BG73" s="137">
        <f t="shared" si="11"/>
        <v>1.0987510028000001E-5</v>
      </c>
      <c r="BH73" s="137">
        <f t="shared" si="11"/>
        <v>9.2388227680000004E-2</v>
      </c>
      <c r="BI73" s="137">
        <f t="shared" si="11"/>
        <v>0.19917278171</v>
      </c>
      <c r="BJ73" s="137">
        <f t="shared" si="10"/>
        <v>0.19002251714000001</v>
      </c>
      <c r="BK73" s="137">
        <f t="shared" si="10"/>
        <v>1.1500203555E-2</v>
      </c>
      <c r="BL73" s="137">
        <f t="shared" si="10"/>
        <v>1.9562820612</v>
      </c>
      <c r="BM73" s="137">
        <f t="shared" si="10"/>
        <v>0.20938169884999999</v>
      </c>
    </row>
    <row r="74" spans="1:65" x14ac:dyDescent="0.25">
      <c r="A74" s="149">
        <v>366</v>
      </c>
      <c r="B74" s="149">
        <v>29</v>
      </c>
      <c r="C74" s="61">
        <v>49.261045000000003</v>
      </c>
      <c r="D74" s="61">
        <v>-123.248794</v>
      </c>
      <c r="E74" s="61" t="s">
        <v>459</v>
      </c>
      <c r="F74" s="149">
        <v>123</v>
      </c>
      <c r="G74" s="61" t="s">
        <v>728</v>
      </c>
      <c r="H74" s="61" t="s">
        <v>729</v>
      </c>
      <c r="I74" s="61">
        <v>49.196691000000001</v>
      </c>
      <c r="J74" s="61">
        <v>-123.181512</v>
      </c>
      <c r="K74" s="61">
        <v>17.860732670000001</v>
      </c>
      <c r="L74" s="61">
        <v>15.871</v>
      </c>
      <c r="M74" s="61" t="s">
        <v>617</v>
      </c>
      <c r="N74" s="149">
        <v>28</v>
      </c>
      <c r="O74" s="149">
        <v>29</v>
      </c>
      <c r="P74" s="61" t="s">
        <v>565</v>
      </c>
      <c r="Q74" s="61" t="s">
        <v>559</v>
      </c>
      <c r="R74" s="61">
        <v>47.450249900000003</v>
      </c>
      <c r="S74" s="61">
        <v>-122.30881650000001</v>
      </c>
      <c r="T74" s="61">
        <v>253.08199999999999</v>
      </c>
      <c r="U74" s="61" t="s">
        <v>617</v>
      </c>
      <c r="V74" s="61" t="s">
        <v>617</v>
      </c>
      <c r="W74" s="61"/>
      <c r="Y74" s="137">
        <f>Summary_LCIA!H$32</f>
        <v>0.33979999999999999</v>
      </c>
      <c r="Z74" s="137">
        <f>Summary_LCIA!Q$32</f>
        <v>4.9560504329999997</v>
      </c>
      <c r="AA74" s="137">
        <f>Summary_LCIA!R$32</f>
        <v>5.2655999999999996E-3</v>
      </c>
      <c r="AB74" s="137">
        <f>Summary_LCIA!S$32</f>
        <v>0.33538000000000001</v>
      </c>
      <c r="AC74" s="137">
        <f>Summary_LCIA!T$32</f>
        <v>0.1099</v>
      </c>
      <c r="AD74" s="137">
        <f>Summary_LCIA!U$32</f>
        <v>1.7913999999999999E-2</v>
      </c>
      <c r="AE74" s="137">
        <f>Summary_LCIA!V$32</f>
        <v>4.7760999999999999E-5</v>
      </c>
      <c r="AF74" s="137">
        <f>Summary_LCIA!W$32</f>
        <v>7.6970999999999998E-2</v>
      </c>
      <c r="AG74" s="137">
        <f>Summary_LCIA!X$32</f>
        <v>2.2780000000000002E-2</v>
      </c>
      <c r="AH74" s="137">
        <f>Summary_LCIA!Y$32</f>
        <v>1.5582E-2</v>
      </c>
      <c r="AI74" s="137">
        <f>Summary_LCIA!Z$32</f>
        <v>4.1009E-5</v>
      </c>
      <c r="AJ74" s="137">
        <f>Summary_LCIA!AA$32</f>
        <v>2.3355999999999998E-2</v>
      </c>
      <c r="AK74" s="137">
        <f>Summary_LCIA!AB$32</f>
        <v>-2.1823000000000001E-5</v>
      </c>
      <c r="AL74" s="137">
        <f>Summary_LCIA!AC$32</f>
        <v>4.8884000000000003E-8</v>
      </c>
      <c r="AM74" s="137">
        <f>Summary_LCIA!AD$32</f>
        <v>4.1103999999999999E-4</v>
      </c>
      <c r="AN74" s="137">
        <f>Summary_LCIA!AE$32</f>
        <v>8.8612999999999995E-4</v>
      </c>
      <c r="AO74" s="137">
        <f>Summary_LCIA!AF$32</f>
        <v>8.4542000000000005E-4</v>
      </c>
      <c r="AP74" s="137">
        <f>Summary_LCIA!AG$32</f>
        <v>5.1165000000000002E-5</v>
      </c>
      <c r="AQ74" s="137">
        <f>Summary_LCIA!AH$32</f>
        <v>8.7036000000000006E-3</v>
      </c>
      <c r="AR74" s="137">
        <f>Summary_LCIA!AI$32</f>
        <v>9.3154999999999996E-4</v>
      </c>
      <c r="AT74" s="137">
        <f t="shared" si="11"/>
        <v>85.997263599999997</v>
      </c>
      <c r="AU74" s="137">
        <f t="shared" si="11"/>
        <v>1254.2871556845059</v>
      </c>
      <c r="AV74" s="137">
        <f t="shared" si="11"/>
        <v>1.3326285791999999</v>
      </c>
      <c r="AW74" s="137">
        <f t="shared" si="11"/>
        <v>84.878641160000001</v>
      </c>
      <c r="AX74" s="137">
        <f t="shared" si="11"/>
        <v>27.8137118</v>
      </c>
      <c r="AY74" s="137">
        <f t="shared" si="11"/>
        <v>4.5337109479999995</v>
      </c>
      <c r="AZ74" s="137">
        <f t="shared" si="11"/>
        <v>1.2087449401999999E-2</v>
      </c>
      <c r="BA74" s="137">
        <f t="shared" si="11"/>
        <v>19.479974622</v>
      </c>
      <c r="BB74" s="137">
        <f t="shared" si="11"/>
        <v>5.7652079600000006</v>
      </c>
      <c r="BC74" s="137">
        <f t="shared" si="11"/>
        <v>3.9435237239999998</v>
      </c>
      <c r="BD74" s="137">
        <f t="shared" si="11"/>
        <v>1.0378639738E-2</v>
      </c>
      <c r="BE74" s="137">
        <f t="shared" si="11"/>
        <v>5.9109831919999998</v>
      </c>
      <c r="BF74" s="137">
        <f t="shared" si="11"/>
        <v>-5.5230084860000001E-3</v>
      </c>
      <c r="BG74" s="137">
        <f t="shared" si="11"/>
        <v>1.2371660488E-5</v>
      </c>
      <c r="BH74" s="137">
        <f t="shared" si="11"/>
        <v>0.10402682528</v>
      </c>
      <c r="BI74" s="137">
        <f t="shared" si="11"/>
        <v>0.22426355265999998</v>
      </c>
      <c r="BJ74" s="137">
        <f t="shared" si="10"/>
        <v>0.21396058444000002</v>
      </c>
      <c r="BK74" s="137">
        <f t="shared" si="10"/>
        <v>1.294894053E-2</v>
      </c>
      <c r="BL74" s="137">
        <f t="shared" si="10"/>
        <v>2.2027244952</v>
      </c>
      <c r="BM74" s="137">
        <f t="shared" si="10"/>
        <v>0.23575853709999997</v>
      </c>
    </row>
    <row r="75" spans="1:65" x14ac:dyDescent="0.25">
      <c r="A75" s="149">
        <v>367</v>
      </c>
      <c r="B75" s="149">
        <v>29</v>
      </c>
      <c r="C75" s="61">
        <v>49.261045000000003</v>
      </c>
      <c r="D75" s="61">
        <v>-123.248794</v>
      </c>
      <c r="E75" s="61" t="s">
        <v>459</v>
      </c>
      <c r="F75" s="149">
        <v>123</v>
      </c>
      <c r="G75" s="61" t="s">
        <v>728</v>
      </c>
      <c r="H75" s="61" t="s">
        <v>729</v>
      </c>
      <c r="I75" s="61">
        <v>49.196691000000001</v>
      </c>
      <c r="J75" s="61">
        <v>-123.181512</v>
      </c>
      <c r="K75" s="61">
        <v>17.860732670000001</v>
      </c>
      <c r="L75" s="61">
        <v>15.871</v>
      </c>
      <c r="M75" s="61" t="s">
        <v>617</v>
      </c>
      <c r="N75" s="149">
        <v>28</v>
      </c>
      <c r="O75" s="149">
        <v>29</v>
      </c>
      <c r="P75" s="61" t="s">
        <v>565</v>
      </c>
      <c r="Q75" s="61" t="s">
        <v>559</v>
      </c>
      <c r="R75" s="61">
        <v>47.450249900000003</v>
      </c>
      <c r="S75" s="61">
        <v>-122.30881650000001</v>
      </c>
      <c r="T75" s="61">
        <v>253.08199999999999</v>
      </c>
      <c r="U75" s="61" t="s">
        <v>617</v>
      </c>
      <c r="V75" s="61" t="s">
        <v>617</v>
      </c>
      <c r="W75" s="61"/>
      <c r="Y75" s="137">
        <f>Summary_LCIA!H$32</f>
        <v>0.33979999999999999</v>
      </c>
      <c r="Z75" s="137">
        <f>Summary_LCIA!Q$32</f>
        <v>4.9560504329999997</v>
      </c>
      <c r="AA75" s="137">
        <f>Summary_LCIA!R$32</f>
        <v>5.2655999999999996E-3</v>
      </c>
      <c r="AB75" s="137">
        <f>Summary_LCIA!S$32</f>
        <v>0.33538000000000001</v>
      </c>
      <c r="AC75" s="137">
        <f>Summary_LCIA!T$32</f>
        <v>0.1099</v>
      </c>
      <c r="AD75" s="137">
        <f>Summary_LCIA!U$32</f>
        <v>1.7913999999999999E-2</v>
      </c>
      <c r="AE75" s="137">
        <f>Summary_LCIA!V$32</f>
        <v>4.7760999999999999E-5</v>
      </c>
      <c r="AF75" s="137">
        <f>Summary_LCIA!W$32</f>
        <v>7.6970999999999998E-2</v>
      </c>
      <c r="AG75" s="137">
        <f>Summary_LCIA!X$32</f>
        <v>2.2780000000000002E-2</v>
      </c>
      <c r="AH75" s="137">
        <f>Summary_LCIA!Y$32</f>
        <v>1.5582E-2</v>
      </c>
      <c r="AI75" s="137">
        <f>Summary_LCIA!Z$32</f>
        <v>4.1009E-5</v>
      </c>
      <c r="AJ75" s="137">
        <f>Summary_LCIA!AA$32</f>
        <v>2.3355999999999998E-2</v>
      </c>
      <c r="AK75" s="137">
        <f>Summary_LCIA!AB$32</f>
        <v>-2.1823000000000001E-5</v>
      </c>
      <c r="AL75" s="137">
        <f>Summary_LCIA!AC$32</f>
        <v>4.8884000000000003E-8</v>
      </c>
      <c r="AM75" s="137">
        <f>Summary_LCIA!AD$32</f>
        <v>4.1103999999999999E-4</v>
      </c>
      <c r="AN75" s="137">
        <f>Summary_LCIA!AE$32</f>
        <v>8.8612999999999995E-4</v>
      </c>
      <c r="AO75" s="137">
        <f>Summary_LCIA!AF$32</f>
        <v>8.4542000000000005E-4</v>
      </c>
      <c r="AP75" s="137">
        <f>Summary_LCIA!AG$32</f>
        <v>5.1165000000000002E-5</v>
      </c>
      <c r="AQ75" s="137">
        <f>Summary_LCIA!AH$32</f>
        <v>8.7036000000000006E-3</v>
      </c>
      <c r="AR75" s="137">
        <f>Summary_LCIA!AI$32</f>
        <v>9.3154999999999996E-4</v>
      </c>
      <c r="AT75" s="137">
        <f t="shared" si="11"/>
        <v>85.997263599999997</v>
      </c>
      <c r="AU75" s="137">
        <f t="shared" si="11"/>
        <v>1254.2871556845059</v>
      </c>
      <c r="AV75" s="137">
        <f t="shared" si="11"/>
        <v>1.3326285791999999</v>
      </c>
      <c r="AW75" s="137">
        <f t="shared" si="11"/>
        <v>84.878641160000001</v>
      </c>
      <c r="AX75" s="137">
        <f t="shared" si="11"/>
        <v>27.8137118</v>
      </c>
      <c r="AY75" s="137">
        <f t="shared" si="11"/>
        <v>4.5337109479999995</v>
      </c>
      <c r="AZ75" s="137">
        <f t="shared" si="11"/>
        <v>1.2087449401999999E-2</v>
      </c>
      <c r="BA75" s="137">
        <f t="shared" si="11"/>
        <v>19.479974622</v>
      </c>
      <c r="BB75" s="137">
        <f t="shared" si="11"/>
        <v>5.7652079600000006</v>
      </c>
      <c r="BC75" s="137">
        <f t="shared" si="11"/>
        <v>3.9435237239999998</v>
      </c>
      <c r="BD75" s="137">
        <f t="shared" si="11"/>
        <v>1.0378639738E-2</v>
      </c>
      <c r="BE75" s="137">
        <f t="shared" si="11"/>
        <v>5.9109831919999998</v>
      </c>
      <c r="BF75" s="137">
        <f t="shared" si="11"/>
        <v>-5.5230084860000001E-3</v>
      </c>
      <c r="BG75" s="137">
        <f t="shared" si="11"/>
        <v>1.2371660488E-5</v>
      </c>
      <c r="BH75" s="137">
        <f t="shared" si="11"/>
        <v>0.10402682528</v>
      </c>
      <c r="BI75" s="137">
        <f t="shared" si="11"/>
        <v>0.22426355265999998</v>
      </c>
      <c r="BJ75" s="137">
        <f t="shared" si="10"/>
        <v>0.21396058444000002</v>
      </c>
      <c r="BK75" s="137">
        <f t="shared" si="10"/>
        <v>1.294894053E-2</v>
      </c>
      <c r="BL75" s="137">
        <f t="shared" si="10"/>
        <v>2.2027244952</v>
      </c>
      <c r="BM75" s="137">
        <f t="shared" si="10"/>
        <v>0.23575853709999997</v>
      </c>
    </row>
    <row r="76" spans="1:65" x14ac:dyDescent="0.25">
      <c r="A76" s="149">
        <v>303</v>
      </c>
      <c r="B76" s="149">
        <v>29</v>
      </c>
      <c r="C76" s="61">
        <v>45.505105999999998</v>
      </c>
      <c r="D76" s="61">
        <v>-122.675026</v>
      </c>
      <c r="E76" s="61" t="s">
        <v>265</v>
      </c>
      <c r="F76" s="149">
        <v>90</v>
      </c>
      <c r="G76" s="61" t="s">
        <v>277</v>
      </c>
      <c r="H76" s="61" t="s">
        <v>697</v>
      </c>
      <c r="I76" s="61">
        <v>45.589768999999997</v>
      </c>
      <c r="J76" s="61">
        <v>-122.595094</v>
      </c>
      <c r="K76" s="61">
        <v>15.812124730000001</v>
      </c>
      <c r="L76" s="61">
        <v>25.564</v>
      </c>
      <c r="M76" s="61" t="s">
        <v>617</v>
      </c>
      <c r="N76" s="149">
        <v>28</v>
      </c>
      <c r="O76" s="149">
        <v>29</v>
      </c>
      <c r="P76" s="61" t="s">
        <v>565</v>
      </c>
      <c r="Q76" s="61" t="s">
        <v>559</v>
      </c>
      <c r="R76" s="61">
        <v>47.450249900000003</v>
      </c>
      <c r="S76" s="61">
        <v>-122.30881650000001</v>
      </c>
      <c r="T76" s="61">
        <v>266.59500000000003</v>
      </c>
      <c r="U76" s="61" t="s">
        <v>617</v>
      </c>
      <c r="V76" s="61" t="s">
        <v>617</v>
      </c>
      <c r="W76" s="61"/>
      <c r="Y76" s="137">
        <f>Summary_LCIA!H$32</f>
        <v>0.33979999999999999</v>
      </c>
      <c r="Z76" s="137">
        <f>Summary_LCIA!Q$32</f>
        <v>4.9560504329999997</v>
      </c>
      <c r="AA76" s="137">
        <f>Summary_LCIA!R$32</f>
        <v>5.2655999999999996E-3</v>
      </c>
      <c r="AB76" s="137">
        <f>Summary_LCIA!S$32</f>
        <v>0.33538000000000001</v>
      </c>
      <c r="AC76" s="137">
        <f>Summary_LCIA!T$32</f>
        <v>0.1099</v>
      </c>
      <c r="AD76" s="137">
        <f>Summary_LCIA!U$32</f>
        <v>1.7913999999999999E-2</v>
      </c>
      <c r="AE76" s="137">
        <f>Summary_LCIA!V$32</f>
        <v>4.7760999999999999E-5</v>
      </c>
      <c r="AF76" s="137">
        <f>Summary_LCIA!W$32</f>
        <v>7.6970999999999998E-2</v>
      </c>
      <c r="AG76" s="137">
        <f>Summary_LCIA!X$32</f>
        <v>2.2780000000000002E-2</v>
      </c>
      <c r="AH76" s="137">
        <f>Summary_LCIA!Y$32</f>
        <v>1.5582E-2</v>
      </c>
      <c r="AI76" s="137">
        <f>Summary_LCIA!Z$32</f>
        <v>4.1009E-5</v>
      </c>
      <c r="AJ76" s="137">
        <f>Summary_LCIA!AA$32</f>
        <v>2.3355999999999998E-2</v>
      </c>
      <c r="AK76" s="137">
        <f>Summary_LCIA!AB$32</f>
        <v>-2.1823000000000001E-5</v>
      </c>
      <c r="AL76" s="137">
        <f>Summary_LCIA!AC$32</f>
        <v>4.8884000000000003E-8</v>
      </c>
      <c r="AM76" s="137">
        <f>Summary_LCIA!AD$32</f>
        <v>4.1103999999999999E-4</v>
      </c>
      <c r="AN76" s="137">
        <f>Summary_LCIA!AE$32</f>
        <v>8.8612999999999995E-4</v>
      </c>
      <c r="AO76" s="137">
        <f>Summary_LCIA!AF$32</f>
        <v>8.4542000000000005E-4</v>
      </c>
      <c r="AP76" s="137">
        <f>Summary_LCIA!AG$32</f>
        <v>5.1165000000000002E-5</v>
      </c>
      <c r="AQ76" s="137">
        <f>Summary_LCIA!AH$32</f>
        <v>8.7036000000000006E-3</v>
      </c>
      <c r="AR76" s="137">
        <f>Summary_LCIA!AI$32</f>
        <v>9.3154999999999996E-4</v>
      </c>
      <c r="AT76" s="137">
        <f t="shared" si="11"/>
        <v>90.588981000000004</v>
      </c>
      <c r="AU76" s="137">
        <f t="shared" si="11"/>
        <v>1321.2582651856351</v>
      </c>
      <c r="AV76" s="137">
        <f t="shared" si="11"/>
        <v>1.403782632</v>
      </c>
      <c r="AW76" s="137">
        <f t="shared" si="11"/>
        <v>89.410631100000018</v>
      </c>
      <c r="AX76" s="137">
        <f t="shared" si="11"/>
        <v>29.298790500000003</v>
      </c>
      <c r="AY76" s="137">
        <f t="shared" si="11"/>
        <v>4.7757828300000007</v>
      </c>
      <c r="AZ76" s="137">
        <f t="shared" si="11"/>
        <v>1.2732843795E-2</v>
      </c>
      <c r="BA76" s="137">
        <f t="shared" si="11"/>
        <v>20.520083745000001</v>
      </c>
      <c r="BB76" s="137">
        <f t="shared" si="11"/>
        <v>6.073034100000001</v>
      </c>
      <c r="BC76" s="137">
        <f t="shared" si="11"/>
        <v>4.1540832900000009</v>
      </c>
      <c r="BD76" s="137">
        <f t="shared" si="11"/>
        <v>1.0932794355000001E-2</v>
      </c>
      <c r="BE76" s="137">
        <f t="shared" si="11"/>
        <v>6.2265928200000005</v>
      </c>
      <c r="BF76" s="137">
        <f t="shared" si="11"/>
        <v>-5.817902685000001E-3</v>
      </c>
      <c r="BG76" s="137">
        <f t="shared" si="11"/>
        <v>1.3032229980000003E-5</v>
      </c>
      <c r="BH76" s="137">
        <f t="shared" si="11"/>
        <v>0.10958120880000001</v>
      </c>
      <c r="BI76" s="137">
        <f t="shared" si="11"/>
        <v>0.23623782735000001</v>
      </c>
      <c r="BJ76" s="137">
        <f t="shared" si="10"/>
        <v>0.22538474490000004</v>
      </c>
      <c r="BK76" s="137">
        <f t="shared" si="10"/>
        <v>1.3640333175000002E-2</v>
      </c>
      <c r="BL76" s="137">
        <f t="shared" si="10"/>
        <v>2.3203362420000002</v>
      </c>
      <c r="BM76" s="137">
        <f t="shared" si="10"/>
        <v>0.24834657225000001</v>
      </c>
    </row>
    <row r="77" spans="1:65" x14ac:dyDescent="0.25">
      <c r="A77" s="149">
        <v>304</v>
      </c>
      <c r="B77" s="149">
        <v>29</v>
      </c>
      <c r="C77" s="61">
        <v>45.505105999999998</v>
      </c>
      <c r="D77" s="61">
        <v>-122.675026</v>
      </c>
      <c r="E77" s="61" t="s">
        <v>265</v>
      </c>
      <c r="F77" s="149">
        <v>90</v>
      </c>
      <c r="G77" s="61" t="s">
        <v>277</v>
      </c>
      <c r="H77" s="61" t="s">
        <v>697</v>
      </c>
      <c r="I77" s="61">
        <v>45.589768999999997</v>
      </c>
      <c r="J77" s="61">
        <v>-122.595094</v>
      </c>
      <c r="K77" s="61">
        <v>15.812124730000001</v>
      </c>
      <c r="L77" s="61">
        <v>25.564</v>
      </c>
      <c r="M77" s="61" t="s">
        <v>617</v>
      </c>
      <c r="N77" s="149">
        <v>28</v>
      </c>
      <c r="O77" s="149">
        <v>29</v>
      </c>
      <c r="P77" s="61" t="s">
        <v>565</v>
      </c>
      <c r="Q77" s="61" t="s">
        <v>559</v>
      </c>
      <c r="R77" s="61">
        <v>47.450249900000003</v>
      </c>
      <c r="S77" s="61">
        <v>-122.30881650000001</v>
      </c>
      <c r="T77" s="61">
        <v>266.59500000000003</v>
      </c>
      <c r="U77" s="61" t="s">
        <v>617</v>
      </c>
      <c r="V77" s="61" t="s">
        <v>617</v>
      </c>
      <c r="W77" s="61"/>
      <c r="Y77" s="137">
        <f>Summary_LCIA!H$32</f>
        <v>0.33979999999999999</v>
      </c>
      <c r="Z77" s="137">
        <f>Summary_LCIA!Q$32</f>
        <v>4.9560504329999997</v>
      </c>
      <c r="AA77" s="137">
        <f>Summary_LCIA!R$32</f>
        <v>5.2655999999999996E-3</v>
      </c>
      <c r="AB77" s="137">
        <f>Summary_LCIA!S$32</f>
        <v>0.33538000000000001</v>
      </c>
      <c r="AC77" s="137">
        <f>Summary_LCIA!T$32</f>
        <v>0.1099</v>
      </c>
      <c r="AD77" s="137">
        <f>Summary_LCIA!U$32</f>
        <v>1.7913999999999999E-2</v>
      </c>
      <c r="AE77" s="137">
        <f>Summary_LCIA!V$32</f>
        <v>4.7760999999999999E-5</v>
      </c>
      <c r="AF77" s="137">
        <f>Summary_LCIA!W$32</f>
        <v>7.6970999999999998E-2</v>
      </c>
      <c r="AG77" s="137">
        <f>Summary_LCIA!X$32</f>
        <v>2.2780000000000002E-2</v>
      </c>
      <c r="AH77" s="137">
        <f>Summary_LCIA!Y$32</f>
        <v>1.5582E-2</v>
      </c>
      <c r="AI77" s="137">
        <f>Summary_LCIA!Z$32</f>
        <v>4.1009E-5</v>
      </c>
      <c r="AJ77" s="137">
        <f>Summary_LCIA!AA$32</f>
        <v>2.3355999999999998E-2</v>
      </c>
      <c r="AK77" s="137">
        <f>Summary_LCIA!AB$32</f>
        <v>-2.1823000000000001E-5</v>
      </c>
      <c r="AL77" s="137">
        <f>Summary_LCIA!AC$32</f>
        <v>4.8884000000000003E-8</v>
      </c>
      <c r="AM77" s="137">
        <f>Summary_LCIA!AD$32</f>
        <v>4.1103999999999999E-4</v>
      </c>
      <c r="AN77" s="137">
        <f>Summary_LCIA!AE$32</f>
        <v>8.8612999999999995E-4</v>
      </c>
      <c r="AO77" s="137">
        <f>Summary_LCIA!AF$32</f>
        <v>8.4542000000000005E-4</v>
      </c>
      <c r="AP77" s="137">
        <f>Summary_LCIA!AG$32</f>
        <v>5.1165000000000002E-5</v>
      </c>
      <c r="AQ77" s="137">
        <f>Summary_LCIA!AH$32</f>
        <v>8.7036000000000006E-3</v>
      </c>
      <c r="AR77" s="137">
        <f>Summary_LCIA!AI$32</f>
        <v>9.3154999999999996E-4</v>
      </c>
      <c r="AT77" s="137">
        <f t="shared" si="11"/>
        <v>90.588981000000004</v>
      </c>
      <c r="AU77" s="137">
        <f t="shared" si="11"/>
        <v>1321.2582651856351</v>
      </c>
      <c r="AV77" s="137">
        <f t="shared" si="11"/>
        <v>1.403782632</v>
      </c>
      <c r="AW77" s="137">
        <f t="shared" si="11"/>
        <v>89.410631100000018</v>
      </c>
      <c r="AX77" s="137">
        <f t="shared" si="11"/>
        <v>29.298790500000003</v>
      </c>
      <c r="AY77" s="137">
        <f t="shared" si="11"/>
        <v>4.7757828300000007</v>
      </c>
      <c r="AZ77" s="137">
        <f t="shared" si="11"/>
        <v>1.2732843795E-2</v>
      </c>
      <c r="BA77" s="137">
        <f t="shared" si="11"/>
        <v>20.520083745000001</v>
      </c>
      <c r="BB77" s="137">
        <f t="shared" si="11"/>
        <v>6.073034100000001</v>
      </c>
      <c r="BC77" s="137">
        <f t="shared" si="11"/>
        <v>4.1540832900000009</v>
      </c>
      <c r="BD77" s="137">
        <f t="shared" si="11"/>
        <v>1.0932794355000001E-2</v>
      </c>
      <c r="BE77" s="137">
        <f t="shared" si="11"/>
        <v>6.2265928200000005</v>
      </c>
      <c r="BF77" s="137">
        <f t="shared" si="11"/>
        <v>-5.817902685000001E-3</v>
      </c>
      <c r="BG77" s="137">
        <f t="shared" si="11"/>
        <v>1.3032229980000003E-5</v>
      </c>
      <c r="BH77" s="137">
        <f t="shared" si="11"/>
        <v>0.10958120880000001</v>
      </c>
      <c r="BI77" s="137">
        <f t="shared" si="11"/>
        <v>0.23623782735000001</v>
      </c>
      <c r="BJ77" s="137">
        <f t="shared" si="10"/>
        <v>0.22538474490000004</v>
      </c>
      <c r="BK77" s="137">
        <f t="shared" si="10"/>
        <v>1.3640333175000002E-2</v>
      </c>
      <c r="BL77" s="137">
        <f t="shared" si="10"/>
        <v>2.3203362420000002</v>
      </c>
      <c r="BM77" s="137">
        <f t="shared" si="10"/>
        <v>0.24834657225000001</v>
      </c>
    </row>
    <row r="78" spans="1:65" x14ac:dyDescent="0.25">
      <c r="A78" s="149">
        <v>305</v>
      </c>
      <c r="B78" s="149">
        <v>29</v>
      </c>
      <c r="C78" s="61">
        <v>45.505105999999998</v>
      </c>
      <c r="D78" s="61">
        <v>-122.675026</v>
      </c>
      <c r="E78" s="61" t="s">
        <v>265</v>
      </c>
      <c r="F78" s="149">
        <v>90</v>
      </c>
      <c r="G78" s="61" t="s">
        <v>277</v>
      </c>
      <c r="H78" s="61" t="s">
        <v>697</v>
      </c>
      <c r="I78" s="61">
        <v>45.589768999999997</v>
      </c>
      <c r="J78" s="61">
        <v>-122.595094</v>
      </c>
      <c r="K78" s="61">
        <v>15.812124730000001</v>
      </c>
      <c r="L78" s="61">
        <v>25.564</v>
      </c>
      <c r="M78" s="61" t="s">
        <v>617</v>
      </c>
      <c r="N78" s="149">
        <v>28</v>
      </c>
      <c r="O78" s="149">
        <v>29</v>
      </c>
      <c r="P78" s="61" t="s">
        <v>565</v>
      </c>
      <c r="Q78" s="61" t="s">
        <v>559</v>
      </c>
      <c r="R78" s="61">
        <v>47.450249900000003</v>
      </c>
      <c r="S78" s="61">
        <v>-122.30881650000001</v>
      </c>
      <c r="T78" s="61">
        <v>266.59500000000003</v>
      </c>
      <c r="U78" s="61" t="s">
        <v>617</v>
      </c>
      <c r="V78" s="61" t="s">
        <v>617</v>
      </c>
      <c r="W78" s="61"/>
      <c r="Y78" s="137">
        <f>Summary_LCIA!H$32</f>
        <v>0.33979999999999999</v>
      </c>
      <c r="Z78" s="137">
        <f>Summary_LCIA!Q$32</f>
        <v>4.9560504329999997</v>
      </c>
      <c r="AA78" s="137">
        <f>Summary_LCIA!R$32</f>
        <v>5.2655999999999996E-3</v>
      </c>
      <c r="AB78" s="137">
        <f>Summary_LCIA!S$32</f>
        <v>0.33538000000000001</v>
      </c>
      <c r="AC78" s="137">
        <f>Summary_LCIA!T$32</f>
        <v>0.1099</v>
      </c>
      <c r="AD78" s="137">
        <f>Summary_LCIA!U$32</f>
        <v>1.7913999999999999E-2</v>
      </c>
      <c r="AE78" s="137">
        <f>Summary_LCIA!V$32</f>
        <v>4.7760999999999999E-5</v>
      </c>
      <c r="AF78" s="137">
        <f>Summary_LCIA!W$32</f>
        <v>7.6970999999999998E-2</v>
      </c>
      <c r="AG78" s="137">
        <f>Summary_LCIA!X$32</f>
        <v>2.2780000000000002E-2</v>
      </c>
      <c r="AH78" s="137">
        <f>Summary_LCIA!Y$32</f>
        <v>1.5582E-2</v>
      </c>
      <c r="AI78" s="137">
        <f>Summary_LCIA!Z$32</f>
        <v>4.1009E-5</v>
      </c>
      <c r="AJ78" s="137">
        <f>Summary_LCIA!AA$32</f>
        <v>2.3355999999999998E-2</v>
      </c>
      <c r="AK78" s="137">
        <f>Summary_LCIA!AB$32</f>
        <v>-2.1823000000000001E-5</v>
      </c>
      <c r="AL78" s="137">
        <f>Summary_LCIA!AC$32</f>
        <v>4.8884000000000003E-8</v>
      </c>
      <c r="AM78" s="137">
        <f>Summary_LCIA!AD$32</f>
        <v>4.1103999999999999E-4</v>
      </c>
      <c r="AN78" s="137">
        <f>Summary_LCIA!AE$32</f>
        <v>8.8612999999999995E-4</v>
      </c>
      <c r="AO78" s="137">
        <f>Summary_LCIA!AF$32</f>
        <v>8.4542000000000005E-4</v>
      </c>
      <c r="AP78" s="137">
        <f>Summary_LCIA!AG$32</f>
        <v>5.1165000000000002E-5</v>
      </c>
      <c r="AQ78" s="137">
        <f>Summary_LCIA!AH$32</f>
        <v>8.7036000000000006E-3</v>
      </c>
      <c r="AR78" s="137">
        <f>Summary_LCIA!AI$32</f>
        <v>9.3154999999999996E-4</v>
      </c>
      <c r="AT78" s="137">
        <f t="shared" si="11"/>
        <v>90.588981000000004</v>
      </c>
      <c r="AU78" s="137">
        <f t="shared" si="11"/>
        <v>1321.2582651856351</v>
      </c>
      <c r="AV78" s="137">
        <f t="shared" si="11"/>
        <v>1.403782632</v>
      </c>
      <c r="AW78" s="137">
        <f t="shared" si="11"/>
        <v>89.410631100000018</v>
      </c>
      <c r="AX78" s="137">
        <f t="shared" si="11"/>
        <v>29.298790500000003</v>
      </c>
      <c r="AY78" s="137">
        <f t="shared" si="11"/>
        <v>4.7757828300000007</v>
      </c>
      <c r="AZ78" s="137">
        <f t="shared" si="11"/>
        <v>1.2732843795E-2</v>
      </c>
      <c r="BA78" s="137">
        <f t="shared" si="11"/>
        <v>20.520083745000001</v>
      </c>
      <c r="BB78" s="137">
        <f t="shared" si="11"/>
        <v>6.073034100000001</v>
      </c>
      <c r="BC78" s="137">
        <f t="shared" si="11"/>
        <v>4.1540832900000009</v>
      </c>
      <c r="BD78" s="137">
        <f t="shared" si="11"/>
        <v>1.0932794355000001E-2</v>
      </c>
      <c r="BE78" s="137">
        <f t="shared" si="11"/>
        <v>6.2265928200000005</v>
      </c>
      <c r="BF78" s="137">
        <f t="shared" si="11"/>
        <v>-5.817902685000001E-3</v>
      </c>
      <c r="BG78" s="137">
        <f t="shared" si="11"/>
        <v>1.3032229980000003E-5</v>
      </c>
      <c r="BH78" s="137">
        <f t="shared" si="11"/>
        <v>0.10958120880000001</v>
      </c>
      <c r="BI78" s="137">
        <f t="shared" si="11"/>
        <v>0.23623782735000001</v>
      </c>
      <c r="BJ78" s="137">
        <f t="shared" si="10"/>
        <v>0.22538474490000004</v>
      </c>
      <c r="BK78" s="137">
        <f t="shared" si="10"/>
        <v>1.3640333175000002E-2</v>
      </c>
      <c r="BL78" s="137">
        <f t="shared" si="10"/>
        <v>2.3203362420000002</v>
      </c>
      <c r="BM78" s="137">
        <f t="shared" si="10"/>
        <v>0.24834657225000001</v>
      </c>
    </row>
    <row r="79" spans="1:65" x14ac:dyDescent="0.25">
      <c r="A79" s="149">
        <v>306</v>
      </c>
      <c r="B79" s="149">
        <v>29</v>
      </c>
      <c r="C79" s="61">
        <v>45.505105999999998</v>
      </c>
      <c r="D79" s="61">
        <v>-122.675026</v>
      </c>
      <c r="E79" s="61" t="s">
        <v>265</v>
      </c>
      <c r="F79" s="149">
        <v>90</v>
      </c>
      <c r="G79" s="61" t="s">
        <v>277</v>
      </c>
      <c r="H79" s="61" t="s">
        <v>697</v>
      </c>
      <c r="I79" s="61">
        <v>45.589768999999997</v>
      </c>
      <c r="J79" s="61">
        <v>-122.595094</v>
      </c>
      <c r="K79" s="61">
        <v>15.812124730000001</v>
      </c>
      <c r="L79" s="61">
        <v>25.564</v>
      </c>
      <c r="M79" s="61" t="s">
        <v>617</v>
      </c>
      <c r="N79" s="149">
        <v>28</v>
      </c>
      <c r="O79" s="149">
        <v>29</v>
      </c>
      <c r="P79" s="61" t="s">
        <v>565</v>
      </c>
      <c r="Q79" s="61" t="s">
        <v>559</v>
      </c>
      <c r="R79" s="61">
        <v>47.450249900000003</v>
      </c>
      <c r="S79" s="61">
        <v>-122.30881650000001</v>
      </c>
      <c r="T79" s="61">
        <v>266.59500000000003</v>
      </c>
      <c r="U79" s="61" t="s">
        <v>617</v>
      </c>
      <c r="V79" s="61" t="s">
        <v>617</v>
      </c>
      <c r="W79" s="61"/>
      <c r="Y79" s="137">
        <f>Summary_LCIA!H$32</f>
        <v>0.33979999999999999</v>
      </c>
      <c r="Z79" s="137">
        <f>Summary_LCIA!Q$32</f>
        <v>4.9560504329999997</v>
      </c>
      <c r="AA79" s="137">
        <f>Summary_LCIA!R$32</f>
        <v>5.2655999999999996E-3</v>
      </c>
      <c r="AB79" s="137">
        <f>Summary_LCIA!S$32</f>
        <v>0.33538000000000001</v>
      </c>
      <c r="AC79" s="137">
        <f>Summary_LCIA!T$32</f>
        <v>0.1099</v>
      </c>
      <c r="AD79" s="137">
        <f>Summary_LCIA!U$32</f>
        <v>1.7913999999999999E-2</v>
      </c>
      <c r="AE79" s="137">
        <f>Summary_LCIA!V$32</f>
        <v>4.7760999999999999E-5</v>
      </c>
      <c r="AF79" s="137">
        <f>Summary_LCIA!W$32</f>
        <v>7.6970999999999998E-2</v>
      </c>
      <c r="AG79" s="137">
        <f>Summary_LCIA!X$32</f>
        <v>2.2780000000000002E-2</v>
      </c>
      <c r="AH79" s="137">
        <f>Summary_LCIA!Y$32</f>
        <v>1.5582E-2</v>
      </c>
      <c r="AI79" s="137">
        <f>Summary_LCIA!Z$32</f>
        <v>4.1009E-5</v>
      </c>
      <c r="AJ79" s="137">
        <f>Summary_LCIA!AA$32</f>
        <v>2.3355999999999998E-2</v>
      </c>
      <c r="AK79" s="137">
        <f>Summary_LCIA!AB$32</f>
        <v>-2.1823000000000001E-5</v>
      </c>
      <c r="AL79" s="137">
        <f>Summary_LCIA!AC$32</f>
        <v>4.8884000000000003E-8</v>
      </c>
      <c r="AM79" s="137">
        <f>Summary_LCIA!AD$32</f>
        <v>4.1103999999999999E-4</v>
      </c>
      <c r="AN79" s="137">
        <f>Summary_LCIA!AE$32</f>
        <v>8.8612999999999995E-4</v>
      </c>
      <c r="AO79" s="137">
        <f>Summary_LCIA!AF$32</f>
        <v>8.4542000000000005E-4</v>
      </c>
      <c r="AP79" s="137">
        <f>Summary_LCIA!AG$32</f>
        <v>5.1165000000000002E-5</v>
      </c>
      <c r="AQ79" s="137">
        <f>Summary_LCIA!AH$32</f>
        <v>8.7036000000000006E-3</v>
      </c>
      <c r="AR79" s="137">
        <f>Summary_LCIA!AI$32</f>
        <v>9.3154999999999996E-4</v>
      </c>
      <c r="AT79" s="137">
        <f t="shared" si="11"/>
        <v>90.588981000000004</v>
      </c>
      <c r="AU79" s="137">
        <f t="shared" si="11"/>
        <v>1321.2582651856351</v>
      </c>
      <c r="AV79" s="137">
        <f t="shared" si="11"/>
        <v>1.403782632</v>
      </c>
      <c r="AW79" s="137">
        <f t="shared" si="11"/>
        <v>89.410631100000018</v>
      </c>
      <c r="AX79" s="137">
        <f t="shared" si="11"/>
        <v>29.298790500000003</v>
      </c>
      <c r="AY79" s="137">
        <f t="shared" si="11"/>
        <v>4.7757828300000007</v>
      </c>
      <c r="AZ79" s="137">
        <f t="shared" si="11"/>
        <v>1.2732843795E-2</v>
      </c>
      <c r="BA79" s="137">
        <f t="shared" si="11"/>
        <v>20.520083745000001</v>
      </c>
      <c r="BB79" s="137">
        <f t="shared" si="11"/>
        <v>6.073034100000001</v>
      </c>
      <c r="BC79" s="137">
        <f t="shared" si="11"/>
        <v>4.1540832900000009</v>
      </c>
      <c r="BD79" s="137">
        <f t="shared" si="11"/>
        <v>1.0932794355000001E-2</v>
      </c>
      <c r="BE79" s="137">
        <f t="shared" si="11"/>
        <v>6.2265928200000005</v>
      </c>
      <c r="BF79" s="137">
        <f t="shared" si="11"/>
        <v>-5.817902685000001E-3</v>
      </c>
      <c r="BG79" s="137">
        <f t="shared" si="11"/>
        <v>1.3032229980000003E-5</v>
      </c>
      <c r="BH79" s="137">
        <f t="shared" si="11"/>
        <v>0.10958120880000001</v>
      </c>
      <c r="BI79" s="137">
        <f t="shared" si="11"/>
        <v>0.23623782735000001</v>
      </c>
      <c r="BJ79" s="137">
        <f t="shared" si="10"/>
        <v>0.22538474490000004</v>
      </c>
      <c r="BK79" s="137">
        <f t="shared" si="10"/>
        <v>1.3640333175000002E-2</v>
      </c>
      <c r="BL79" s="137">
        <f t="shared" si="10"/>
        <v>2.3203362420000002</v>
      </c>
      <c r="BM79" s="137">
        <f t="shared" si="10"/>
        <v>0.24834657225000001</v>
      </c>
    </row>
    <row r="80" spans="1:65" x14ac:dyDescent="0.25">
      <c r="A80" s="149">
        <v>144</v>
      </c>
      <c r="B80" s="149">
        <v>43</v>
      </c>
      <c r="C80" s="61">
        <v>39.332213000000003</v>
      </c>
      <c r="D80" s="61">
        <v>-76.600832999999994</v>
      </c>
      <c r="E80" s="61" t="s">
        <v>265</v>
      </c>
      <c r="F80" s="149">
        <v>82</v>
      </c>
      <c r="G80" s="61" t="s">
        <v>684</v>
      </c>
      <c r="H80" s="61" t="s">
        <v>685</v>
      </c>
      <c r="I80" s="61">
        <v>39.177404000000003</v>
      </c>
      <c r="J80" s="61">
        <v>-76.668391999999997</v>
      </c>
      <c r="K80" s="61">
        <v>25.47228264</v>
      </c>
      <c r="L80" s="61">
        <v>22.373000000000001</v>
      </c>
      <c r="M80" s="61" t="s">
        <v>617</v>
      </c>
      <c r="N80" s="149">
        <v>42</v>
      </c>
      <c r="O80" s="149">
        <v>43</v>
      </c>
      <c r="P80" s="61" t="s">
        <v>565</v>
      </c>
      <c r="Q80" s="61" t="s">
        <v>555</v>
      </c>
      <c r="R80" s="61">
        <v>40.6895314</v>
      </c>
      <c r="S80" s="61">
        <v>-74.174462399999996</v>
      </c>
      <c r="T80" s="61">
        <v>285.99299999999999</v>
      </c>
      <c r="U80" s="61" t="s">
        <v>617</v>
      </c>
      <c r="V80" s="61" t="s">
        <v>617</v>
      </c>
      <c r="W80" s="61"/>
      <c r="Y80" s="137">
        <f>Summary_LCIA!H$32</f>
        <v>0.33979999999999999</v>
      </c>
      <c r="Z80" s="137">
        <f>Summary_LCIA!Q$32</f>
        <v>4.9560504329999997</v>
      </c>
      <c r="AA80" s="137">
        <f>Summary_LCIA!R$32</f>
        <v>5.2655999999999996E-3</v>
      </c>
      <c r="AB80" s="137">
        <f>Summary_LCIA!S$32</f>
        <v>0.33538000000000001</v>
      </c>
      <c r="AC80" s="137">
        <f>Summary_LCIA!T$32</f>
        <v>0.1099</v>
      </c>
      <c r="AD80" s="137">
        <f>Summary_LCIA!U$32</f>
        <v>1.7913999999999999E-2</v>
      </c>
      <c r="AE80" s="137">
        <f>Summary_LCIA!V$32</f>
        <v>4.7760999999999999E-5</v>
      </c>
      <c r="AF80" s="137">
        <f>Summary_LCIA!W$32</f>
        <v>7.6970999999999998E-2</v>
      </c>
      <c r="AG80" s="137">
        <f>Summary_LCIA!X$32</f>
        <v>2.2780000000000002E-2</v>
      </c>
      <c r="AH80" s="137">
        <f>Summary_LCIA!Y$32</f>
        <v>1.5582E-2</v>
      </c>
      <c r="AI80" s="137">
        <f>Summary_LCIA!Z$32</f>
        <v>4.1009E-5</v>
      </c>
      <c r="AJ80" s="137">
        <f>Summary_LCIA!AA$32</f>
        <v>2.3355999999999998E-2</v>
      </c>
      <c r="AK80" s="137">
        <f>Summary_LCIA!AB$32</f>
        <v>-2.1823000000000001E-5</v>
      </c>
      <c r="AL80" s="137">
        <f>Summary_LCIA!AC$32</f>
        <v>4.8884000000000003E-8</v>
      </c>
      <c r="AM80" s="137">
        <f>Summary_LCIA!AD$32</f>
        <v>4.1103999999999999E-4</v>
      </c>
      <c r="AN80" s="137">
        <f>Summary_LCIA!AE$32</f>
        <v>8.8612999999999995E-4</v>
      </c>
      <c r="AO80" s="137">
        <f>Summary_LCIA!AF$32</f>
        <v>8.4542000000000005E-4</v>
      </c>
      <c r="AP80" s="137">
        <f>Summary_LCIA!AG$32</f>
        <v>5.1165000000000002E-5</v>
      </c>
      <c r="AQ80" s="137">
        <f>Summary_LCIA!AH$32</f>
        <v>8.7036000000000006E-3</v>
      </c>
      <c r="AR80" s="137">
        <f>Summary_LCIA!AI$32</f>
        <v>9.3154999999999996E-4</v>
      </c>
      <c r="AT80" s="137">
        <f t="shared" si="11"/>
        <v>97.1804214</v>
      </c>
      <c r="AU80" s="137">
        <f t="shared" si="11"/>
        <v>1417.3957314849688</v>
      </c>
      <c r="AV80" s="137">
        <f t="shared" si="11"/>
        <v>1.5059247407999998</v>
      </c>
      <c r="AW80" s="137">
        <f t="shared" si="11"/>
        <v>95.916332339999997</v>
      </c>
      <c r="AX80" s="137">
        <f t="shared" si="11"/>
        <v>31.430630699999998</v>
      </c>
      <c r="AY80" s="137">
        <f t="shared" si="11"/>
        <v>5.1232786020000001</v>
      </c>
      <c r="AZ80" s="137">
        <f t="shared" si="11"/>
        <v>1.3659311673E-2</v>
      </c>
      <c r="BA80" s="137">
        <f t="shared" si="11"/>
        <v>22.013167202999998</v>
      </c>
      <c r="BB80" s="137">
        <f t="shared" si="11"/>
        <v>6.5149205400000003</v>
      </c>
      <c r="BC80" s="137">
        <f t="shared" si="11"/>
        <v>4.4563429259999996</v>
      </c>
      <c r="BD80" s="137">
        <f t="shared" si="11"/>
        <v>1.1728286936999999E-2</v>
      </c>
      <c r="BE80" s="137">
        <f t="shared" si="11"/>
        <v>6.6796525079999993</v>
      </c>
      <c r="BF80" s="137">
        <f t="shared" si="11"/>
        <v>-6.2412252389999999E-3</v>
      </c>
      <c r="BG80" s="137">
        <f t="shared" si="11"/>
        <v>1.3980481812000001E-5</v>
      </c>
      <c r="BH80" s="137">
        <f t="shared" si="11"/>
        <v>0.11755456271999999</v>
      </c>
      <c r="BI80" s="137">
        <f t="shared" si="11"/>
        <v>0.25342697709000001</v>
      </c>
      <c r="BJ80" s="137">
        <f t="shared" si="10"/>
        <v>0.24178420206000001</v>
      </c>
      <c r="BK80" s="137">
        <f t="shared" si="10"/>
        <v>1.4632831845000001E-2</v>
      </c>
      <c r="BL80" s="137">
        <f t="shared" si="10"/>
        <v>2.4891686748000001</v>
      </c>
      <c r="BM80" s="137">
        <f t="shared" si="10"/>
        <v>0.26641677915</v>
      </c>
    </row>
    <row r="81" spans="1:65" x14ac:dyDescent="0.25">
      <c r="A81" s="149">
        <v>145</v>
      </c>
      <c r="B81" s="149">
        <v>43</v>
      </c>
      <c r="C81" s="61">
        <v>39.332213000000003</v>
      </c>
      <c r="D81" s="61">
        <v>-76.600832999999994</v>
      </c>
      <c r="E81" s="61" t="s">
        <v>265</v>
      </c>
      <c r="F81" s="149">
        <v>82</v>
      </c>
      <c r="G81" s="61" t="s">
        <v>684</v>
      </c>
      <c r="H81" s="61" t="s">
        <v>685</v>
      </c>
      <c r="I81" s="61">
        <v>39.177404000000003</v>
      </c>
      <c r="J81" s="61">
        <v>-76.668391999999997</v>
      </c>
      <c r="K81" s="61">
        <v>25.47228264</v>
      </c>
      <c r="L81" s="61">
        <v>22.373000000000001</v>
      </c>
      <c r="M81" s="61" t="s">
        <v>617</v>
      </c>
      <c r="N81" s="149">
        <v>42</v>
      </c>
      <c r="O81" s="149">
        <v>43</v>
      </c>
      <c r="P81" s="61" t="s">
        <v>565</v>
      </c>
      <c r="Q81" s="61" t="s">
        <v>555</v>
      </c>
      <c r="R81" s="61">
        <v>40.6895314</v>
      </c>
      <c r="S81" s="61">
        <v>-74.174462399999996</v>
      </c>
      <c r="T81" s="61">
        <v>285.99299999999999</v>
      </c>
      <c r="U81" s="61" t="s">
        <v>617</v>
      </c>
      <c r="V81" s="61" t="s">
        <v>617</v>
      </c>
      <c r="W81" s="61"/>
      <c r="Y81" s="137">
        <f>Summary_LCIA!H$32</f>
        <v>0.33979999999999999</v>
      </c>
      <c r="Z81" s="137">
        <f>Summary_LCIA!Q$32</f>
        <v>4.9560504329999997</v>
      </c>
      <c r="AA81" s="137">
        <f>Summary_LCIA!R$32</f>
        <v>5.2655999999999996E-3</v>
      </c>
      <c r="AB81" s="137">
        <f>Summary_LCIA!S$32</f>
        <v>0.33538000000000001</v>
      </c>
      <c r="AC81" s="137">
        <f>Summary_LCIA!T$32</f>
        <v>0.1099</v>
      </c>
      <c r="AD81" s="137">
        <f>Summary_LCIA!U$32</f>
        <v>1.7913999999999999E-2</v>
      </c>
      <c r="AE81" s="137">
        <f>Summary_LCIA!V$32</f>
        <v>4.7760999999999999E-5</v>
      </c>
      <c r="AF81" s="137">
        <f>Summary_LCIA!W$32</f>
        <v>7.6970999999999998E-2</v>
      </c>
      <c r="AG81" s="137">
        <f>Summary_LCIA!X$32</f>
        <v>2.2780000000000002E-2</v>
      </c>
      <c r="AH81" s="137">
        <f>Summary_LCIA!Y$32</f>
        <v>1.5582E-2</v>
      </c>
      <c r="AI81" s="137">
        <f>Summary_LCIA!Z$32</f>
        <v>4.1009E-5</v>
      </c>
      <c r="AJ81" s="137">
        <f>Summary_LCIA!AA$32</f>
        <v>2.3355999999999998E-2</v>
      </c>
      <c r="AK81" s="137">
        <f>Summary_LCIA!AB$32</f>
        <v>-2.1823000000000001E-5</v>
      </c>
      <c r="AL81" s="137">
        <f>Summary_LCIA!AC$32</f>
        <v>4.8884000000000003E-8</v>
      </c>
      <c r="AM81" s="137">
        <f>Summary_LCIA!AD$32</f>
        <v>4.1103999999999999E-4</v>
      </c>
      <c r="AN81" s="137">
        <f>Summary_LCIA!AE$32</f>
        <v>8.8612999999999995E-4</v>
      </c>
      <c r="AO81" s="137">
        <f>Summary_LCIA!AF$32</f>
        <v>8.4542000000000005E-4</v>
      </c>
      <c r="AP81" s="137">
        <f>Summary_LCIA!AG$32</f>
        <v>5.1165000000000002E-5</v>
      </c>
      <c r="AQ81" s="137">
        <f>Summary_LCIA!AH$32</f>
        <v>8.7036000000000006E-3</v>
      </c>
      <c r="AR81" s="137">
        <f>Summary_LCIA!AI$32</f>
        <v>9.3154999999999996E-4</v>
      </c>
      <c r="AT81" s="137">
        <f t="shared" si="11"/>
        <v>97.1804214</v>
      </c>
      <c r="AU81" s="137">
        <f t="shared" si="11"/>
        <v>1417.3957314849688</v>
      </c>
      <c r="AV81" s="137">
        <f t="shared" si="11"/>
        <v>1.5059247407999998</v>
      </c>
      <c r="AW81" s="137">
        <f t="shared" si="11"/>
        <v>95.916332339999997</v>
      </c>
      <c r="AX81" s="137">
        <f t="shared" si="11"/>
        <v>31.430630699999998</v>
      </c>
      <c r="AY81" s="137">
        <f t="shared" si="11"/>
        <v>5.1232786020000001</v>
      </c>
      <c r="AZ81" s="137">
        <f t="shared" si="11"/>
        <v>1.3659311673E-2</v>
      </c>
      <c r="BA81" s="137">
        <f t="shared" si="11"/>
        <v>22.013167202999998</v>
      </c>
      <c r="BB81" s="137">
        <f t="shared" si="11"/>
        <v>6.5149205400000003</v>
      </c>
      <c r="BC81" s="137">
        <f t="shared" si="11"/>
        <v>4.4563429259999996</v>
      </c>
      <c r="BD81" s="137">
        <f t="shared" si="11"/>
        <v>1.1728286936999999E-2</v>
      </c>
      <c r="BE81" s="137">
        <f t="shared" si="11"/>
        <v>6.6796525079999993</v>
      </c>
      <c r="BF81" s="137">
        <f t="shared" si="11"/>
        <v>-6.2412252389999999E-3</v>
      </c>
      <c r="BG81" s="137">
        <f t="shared" si="11"/>
        <v>1.3980481812000001E-5</v>
      </c>
      <c r="BH81" s="137">
        <f t="shared" si="11"/>
        <v>0.11755456271999999</v>
      </c>
      <c r="BI81" s="137">
        <f t="shared" si="11"/>
        <v>0.25342697709000001</v>
      </c>
      <c r="BJ81" s="137">
        <f t="shared" si="10"/>
        <v>0.24178420206000001</v>
      </c>
      <c r="BK81" s="137">
        <f t="shared" si="10"/>
        <v>1.4632831845000001E-2</v>
      </c>
      <c r="BL81" s="137">
        <f t="shared" si="10"/>
        <v>2.4891686748000001</v>
      </c>
      <c r="BM81" s="137">
        <f t="shared" si="10"/>
        <v>0.26641677915</v>
      </c>
    </row>
    <row r="82" spans="1:65" x14ac:dyDescent="0.25">
      <c r="A82" s="149">
        <v>146</v>
      </c>
      <c r="B82" s="149">
        <v>43</v>
      </c>
      <c r="C82" s="61">
        <v>39.332213000000003</v>
      </c>
      <c r="D82" s="61">
        <v>-76.600832999999994</v>
      </c>
      <c r="E82" s="61" t="s">
        <v>265</v>
      </c>
      <c r="F82" s="149">
        <v>82</v>
      </c>
      <c r="G82" s="61" t="s">
        <v>684</v>
      </c>
      <c r="H82" s="61" t="s">
        <v>685</v>
      </c>
      <c r="I82" s="61">
        <v>39.177404000000003</v>
      </c>
      <c r="J82" s="61">
        <v>-76.668391999999997</v>
      </c>
      <c r="K82" s="61">
        <v>25.47228264</v>
      </c>
      <c r="L82" s="61">
        <v>22.373000000000001</v>
      </c>
      <c r="M82" s="61" t="s">
        <v>617</v>
      </c>
      <c r="N82" s="149">
        <v>42</v>
      </c>
      <c r="O82" s="149">
        <v>43</v>
      </c>
      <c r="P82" s="61" t="s">
        <v>565</v>
      </c>
      <c r="Q82" s="61" t="s">
        <v>555</v>
      </c>
      <c r="R82" s="61">
        <v>40.6895314</v>
      </c>
      <c r="S82" s="61">
        <v>-74.174462399999996</v>
      </c>
      <c r="T82" s="61">
        <v>285.99299999999999</v>
      </c>
      <c r="U82" s="61" t="s">
        <v>617</v>
      </c>
      <c r="V82" s="61" t="s">
        <v>617</v>
      </c>
      <c r="W82" s="61"/>
      <c r="Y82" s="137">
        <f>Summary_LCIA!H$32</f>
        <v>0.33979999999999999</v>
      </c>
      <c r="Z82" s="137">
        <f>Summary_LCIA!Q$32</f>
        <v>4.9560504329999997</v>
      </c>
      <c r="AA82" s="137">
        <f>Summary_LCIA!R$32</f>
        <v>5.2655999999999996E-3</v>
      </c>
      <c r="AB82" s="137">
        <f>Summary_LCIA!S$32</f>
        <v>0.33538000000000001</v>
      </c>
      <c r="AC82" s="137">
        <f>Summary_LCIA!T$32</f>
        <v>0.1099</v>
      </c>
      <c r="AD82" s="137">
        <f>Summary_LCIA!U$32</f>
        <v>1.7913999999999999E-2</v>
      </c>
      <c r="AE82" s="137">
        <f>Summary_LCIA!V$32</f>
        <v>4.7760999999999999E-5</v>
      </c>
      <c r="AF82" s="137">
        <f>Summary_LCIA!W$32</f>
        <v>7.6970999999999998E-2</v>
      </c>
      <c r="AG82" s="137">
        <f>Summary_LCIA!X$32</f>
        <v>2.2780000000000002E-2</v>
      </c>
      <c r="AH82" s="137">
        <f>Summary_LCIA!Y$32</f>
        <v>1.5582E-2</v>
      </c>
      <c r="AI82" s="137">
        <f>Summary_LCIA!Z$32</f>
        <v>4.1009E-5</v>
      </c>
      <c r="AJ82" s="137">
        <f>Summary_LCIA!AA$32</f>
        <v>2.3355999999999998E-2</v>
      </c>
      <c r="AK82" s="137">
        <f>Summary_LCIA!AB$32</f>
        <v>-2.1823000000000001E-5</v>
      </c>
      <c r="AL82" s="137">
        <f>Summary_LCIA!AC$32</f>
        <v>4.8884000000000003E-8</v>
      </c>
      <c r="AM82" s="137">
        <f>Summary_LCIA!AD$32</f>
        <v>4.1103999999999999E-4</v>
      </c>
      <c r="AN82" s="137">
        <f>Summary_LCIA!AE$32</f>
        <v>8.8612999999999995E-4</v>
      </c>
      <c r="AO82" s="137">
        <f>Summary_LCIA!AF$32</f>
        <v>8.4542000000000005E-4</v>
      </c>
      <c r="AP82" s="137">
        <f>Summary_LCIA!AG$32</f>
        <v>5.1165000000000002E-5</v>
      </c>
      <c r="AQ82" s="137">
        <f>Summary_LCIA!AH$32</f>
        <v>8.7036000000000006E-3</v>
      </c>
      <c r="AR82" s="137">
        <f>Summary_LCIA!AI$32</f>
        <v>9.3154999999999996E-4</v>
      </c>
      <c r="AT82" s="137">
        <f t="shared" si="11"/>
        <v>97.1804214</v>
      </c>
      <c r="AU82" s="137">
        <f t="shared" si="11"/>
        <v>1417.3957314849688</v>
      </c>
      <c r="AV82" s="137">
        <f t="shared" si="11"/>
        <v>1.5059247407999998</v>
      </c>
      <c r="AW82" s="137">
        <f t="shared" si="11"/>
        <v>95.916332339999997</v>
      </c>
      <c r="AX82" s="137">
        <f t="shared" si="11"/>
        <v>31.430630699999998</v>
      </c>
      <c r="AY82" s="137">
        <f t="shared" si="11"/>
        <v>5.1232786020000001</v>
      </c>
      <c r="AZ82" s="137">
        <f t="shared" si="11"/>
        <v>1.3659311673E-2</v>
      </c>
      <c r="BA82" s="137">
        <f t="shared" si="11"/>
        <v>22.013167202999998</v>
      </c>
      <c r="BB82" s="137">
        <f t="shared" si="11"/>
        <v>6.5149205400000003</v>
      </c>
      <c r="BC82" s="137">
        <f t="shared" si="11"/>
        <v>4.4563429259999996</v>
      </c>
      <c r="BD82" s="137">
        <f t="shared" si="11"/>
        <v>1.1728286936999999E-2</v>
      </c>
      <c r="BE82" s="137">
        <f t="shared" si="11"/>
        <v>6.6796525079999993</v>
      </c>
      <c r="BF82" s="137">
        <f t="shared" si="11"/>
        <v>-6.2412252389999999E-3</v>
      </c>
      <c r="BG82" s="137">
        <f t="shared" si="11"/>
        <v>1.3980481812000001E-5</v>
      </c>
      <c r="BH82" s="137">
        <f t="shared" si="11"/>
        <v>0.11755456271999999</v>
      </c>
      <c r="BI82" s="137">
        <f t="shared" ref="BI82:BM97" si="12">$T82*AN82</f>
        <v>0.25342697709000001</v>
      </c>
      <c r="BJ82" s="137">
        <f t="shared" si="12"/>
        <v>0.24178420206000001</v>
      </c>
      <c r="BK82" s="137">
        <f t="shared" si="12"/>
        <v>1.4632831845000001E-2</v>
      </c>
      <c r="BL82" s="137">
        <f t="shared" si="12"/>
        <v>2.4891686748000001</v>
      </c>
      <c r="BM82" s="137">
        <f t="shared" si="12"/>
        <v>0.26641677915</v>
      </c>
    </row>
    <row r="83" spans="1:65" x14ac:dyDescent="0.25">
      <c r="A83" s="149">
        <v>147</v>
      </c>
      <c r="B83" s="149">
        <v>43</v>
      </c>
      <c r="C83" s="61">
        <v>39.332213000000003</v>
      </c>
      <c r="D83" s="61">
        <v>-76.600832999999994</v>
      </c>
      <c r="E83" s="61" t="s">
        <v>265</v>
      </c>
      <c r="F83" s="149">
        <v>82</v>
      </c>
      <c r="G83" s="61" t="s">
        <v>684</v>
      </c>
      <c r="H83" s="61" t="s">
        <v>685</v>
      </c>
      <c r="I83" s="61">
        <v>39.177404000000003</v>
      </c>
      <c r="J83" s="61">
        <v>-76.668391999999997</v>
      </c>
      <c r="K83" s="61">
        <v>25.47228264</v>
      </c>
      <c r="L83" s="61">
        <v>22.373000000000001</v>
      </c>
      <c r="M83" s="61" t="s">
        <v>617</v>
      </c>
      <c r="N83" s="149">
        <v>42</v>
      </c>
      <c r="O83" s="149">
        <v>43</v>
      </c>
      <c r="P83" s="61" t="s">
        <v>565</v>
      </c>
      <c r="Q83" s="61" t="s">
        <v>555</v>
      </c>
      <c r="R83" s="61">
        <v>40.6895314</v>
      </c>
      <c r="S83" s="61">
        <v>-74.174462399999996</v>
      </c>
      <c r="T83" s="61">
        <v>285.99299999999999</v>
      </c>
      <c r="U83" s="61" t="s">
        <v>617</v>
      </c>
      <c r="V83" s="61" t="s">
        <v>617</v>
      </c>
      <c r="W83" s="61"/>
      <c r="Y83" s="137">
        <f>Summary_LCIA!H$32</f>
        <v>0.33979999999999999</v>
      </c>
      <c r="Z83" s="137">
        <f>Summary_LCIA!Q$32</f>
        <v>4.9560504329999997</v>
      </c>
      <c r="AA83" s="137">
        <f>Summary_LCIA!R$32</f>
        <v>5.2655999999999996E-3</v>
      </c>
      <c r="AB83" s="137">
        <f>Summary_LCIA!S$32</f>
        <v>0.33538000000000001</v>
      </c>
      <c r="AC83" s="137">
        <f>Summary_LCIA!T$32</f>
        <v>0.1099</v>
      </c>
      <c r="AD83" s="137">
        <f>Summary_LCIA!U$32</f>
        <v>1.7913999999999999E-2</v>
      </c>
      <c r="AE83" s="137">
        <f>Summary_LCIA!V$32</f>
        <v>4.7760999999999999E-5</v>
      </c>
      <c r="AF83" s="137">
        <f>Summary_LCIA!W$32</f>
        <v>7.6970999999999998E-2</v>
      </c>
      <c r="AG83" s="137">
        <f>Summary_LCIA!X$32</f>
        <v>2.2780000000000002E-2</v>
      </c>
      <c r="AH83" s="137">
        <f>Summary_LCIA!Y$32</f>
        <v>1.5582E-2</v>
      </c>
      <c r="AI83" s="137">
        <f>Summary_LCIA!Z$32</f>
        <v>4.1009E-5</v>
      </c>
      <c r="AJ83" s="137">
        <f>Summary_LCIA!AA$32</f>
        <v>2.3355999999999998E-2</v>
      </c>
      <c r="AK83" s="137">
        <f>Summary_LCIA!AB$32</f>
        <v>-2.1823000000000001E-5</v>
      </c>
      <c r="AL83" s="137">
        <f>Summary_LCIA!AC$32</f>
        <v>4.8884000000000003E-8</v>
      </c>
      <c r="AM83" s="137">
        <f>Summary_LCIA!AD$32</f>
        <v>4.1103999999999999E-4</v>
      </c>
      <c r="AN83" s="137">
        <f>Summary_LCIA!AE$32</f>
        <v>8.8612999999999995E-4</v>
      </c>
      <c r="AO83" s="137">
        <f>Summary_LCIA!AF$32</f>
        <v>8.4542000000000005E-4</v>
      </c>
      <c r="AP83" s="137">
        <f>Summary_LCIA!AG$32</f>
        <v>5.1165000000000002E-5</v>
      </c>
      <c r="AQ83" s="137">
        <f>Summary_LCIA!AH$32</f>
        <v>8.7036000000000006E-3</v>
      </c>
      <c r="AR83" s="137">
        <f>Summary_LCIA!AI$32</f>
        <v>9.3154999999999996E-4</v>
      </c>
      <c r="AT83" s="137">
        <f t="shared" ref="AT83:BI98" si="13">$T83*Y83</f>
        <v>97.1804214</v>
      </c>
      <c r="AU83" s="137">
        <f t="shared" si="13"/>
        <v>1417.3957314849688</v>
      </c>
      <c r="AV83" s="137">
        <f t="shared" si="13"/>
        <v>1.5059247407999998</v>
      </c>
      <c r="AW83" s="137">
        <f t="shared" si="13"/>
        <v>95.916332339999997</v>
      </c>
      <c r="AX83" s="137">
        <f t="shared" si="13"/>
        <v>31.430630699999998</v>
      </c>
      <c r="AY83" s="137">
        <f t="shared" si="13"/>
        <v>5.1232786020000001</v>
      </c>
      <c r="AZ83" s="137">
        <f t="shared" si="13"/>
        <v>1.3659311673E-2</v>
      </c>
      <c r="BA83" s="137">
        <f t="shared" si="13"/>
        <v>22.013167202999998</v>
      </c>
      <c r="BB83" s="137">
        <f t="shared" si="13"/>
        <v>6.5149205400000003</v>
      </c>
      <c r="BC83" s="137">
        <f t="shared" si="13"/>
        <v>4.4563429259999996</v>
      </c>
      <c r="BD83" s="137">
        <f t="shared" si="13"/>
        <v>1.1728286936999999E-2</v>
      </c>
      <c r="BE83" s="137">
        <f t="shared" si="13"/>
        <v>6.6796525079999993</v>
      </c>
      <c r="BF83" s="137">
        <f t="shared" si="13"/>
        <v>-6.2412252389999999E-3</v>
      </c>
      <c r="BG83" s="137">
        <f t="shared" si="13"/>
        <v>1.3980481812000001E-5</v>
      </c>
      <c r="BH83" s="137">
        <f t="shared" si="13"/>
        <v>0.11755456271999999</v>
      </c>
      <c r="BI83" s="137">
        <f t="shared" si="13"/>
        <v>0.25342697709000001</v>
      </c>
      <c r="BJ83" s="137">
        <f t="shared" si="12"/>
        <v>0.24178420206000001</v>
      </c>
      <c r="BK83" s="137">
        <f t="shared" si="12"/>
        <v>1.4632831845000001E-2</v>
      </c>
      <c r="BL83" s="137">
        <f t="shared" si="12"/>
        <v>2.4891686748000001</v>
      </c>
      <c r="BM83" s="137">
        <f t="shared" si="12"/>
        <v>0.26641677915</v>
      </c>
    </row>
    <row r="84" spans="1:65" x14ac:dyDescent="0.25">
      <c r="A84" s="149">
        <v>148</v>
      </c>
      <c r="B84" s="149">
        <v>43</v>
      </c>
      <c r="C84" s="61">
        <v>39.332213000000003</v>
      </c>
      <c r="D84" s="61">
        <v>-76.600832999999994</v>
      </c>
      <c r="E84" s="61" t="s">
        <v>265</v>
      </c>
      <c r="F84" s="149">
        <v>82</v>
      </c>
      <c r="G84" s="61" t="s">
        <v>684</v>
      </c>
      <c r="H84" s="61" t="s">
        <v>685</v>
      </c>
      <c r="I84" s="61">
        <v>39.177404000000003</v>
      </c>
      <c r="J84" s="61">
        <v>-76.668391999999997</v>
      </c>
      <c r="K84" s="61">
        <v>25.47228264</v>
      </c>
      <c r="L84" s="61">
        <v>22.373000000000001</v>
      </c>
      <c r="M84" s="61" t="s">
        <v>617</v>
      </c>
      <c r="N84" s="149">
        <v>42</v>
      </c>
      <c r="O84" s="149">
        <v>43</v>
      </c>
      <c r="P84" s="61" t="s">
        <v>565</v>
      </c>
      <c r="Q84" s="61" t="s">
        <v>555</v>
      </c>
      <c r="R84" s="61">
        <v>40.6895314</v>
      </c>
      <c r="S84" s="61">
        <v>-74.174462399999996</v>
      </c>
      <c r="T84" s="61">
        <v>285.99299999999999</v>
      </c>
      <c r="U84" s="61" t="s">
        <v>617</v>
      </c>
      <c r="V84" s="61" t="s">
        <v>617</v>
      </c>
      <c r="W84" s="61"/>
      <c r="Y84" s="137">
        <f>Summary_LCIA!H$32</f>
        <v>0.33979999999999999</v>
      </c>
      <c r="Z84" s="137">
        <f>Summary_LCIA!Q$32</f>
        <v>4.9560504329999997</v>
      </c>
      <c r="AA84" s="137">
        <f>Summary_LCIA!R$32</f>
        <v>5.2655999999999996E-3</v>
      </c>
      <c r="AB84" s="137">
        <f>Summary_LCIA!S$32</f>
        <v>0.33538000000000001</v>
      </c>
      <c r="AC84" s="137">
        <f>Summary_LCIA!T$32</f>
        <v>0.1099</v>
      </c>
      <c r="AD84" s="137">
        <f>Summary_LCIA!U$32</f>
        <v>1.7913999999999999E-2</v>
      </c>
      <c r="AE84" s="137">
        <f>Summary_LCIA!V$32</f>
        <v>4.7760999999999999E-5</v>
      </c>
      <c r="AF84" s="137">
        <f>Summary_LCIA!W$32</f>
        <v>7.6970999999999998E-2</v>
      </c>
      <c r="AG84" s="137">
        <f>Summary_LCIA!X$32</f>
        <v>2.2780000000000002E-2</v>
      </c>
      <c r="AH84" s="137">
        <f>Summary_LCIA!Y$32</f>
        <v>1.5582E-2</v>
      </c>
      <c r="AI84" s="137">
        <f>Summary_LCIA!Z$32</f>
        <v>4.1009E-5</v>
      </c>
      <c r="AJ84" s="137">
        <f>Summary_LCIA!AA$32</f>
        <v>2.3355999999999998E-2</v>
      </c>
      <c r="AK84" s="137">
        <f>Summary_LCIA!AB$32</f>
        <v>-2.1823000000000001E-5</v>
      </c>
      <c r="AL84" s="137">
        <f>Summary_LCIA!AC$32</f>
        <v>4.8884000000000003E-8</v>
      </c>
      <c r="AM84" s="137">
        <f>Summary_LCIA!AD$32</f>
        <v>4.1103999999999999E-4</v>
      </c>
      <c r="AN84" s="137">
        <f>Summary_LCIA!AE$32</f>
        <v>8.8612999999999995E-4</v>
      </c>
      <c r="AO84" s="137">
        <f>Summary_LCIA!AF$32</f>
        <v>8.4542000000000005E-4</v>
      </c>
      <c r="AP84" s="137">
        <f>Summary_LCIA!AG$32</f>
        <v>5.1165000000000002E-5</v>
      </c>
      <c r="AQ84" s="137">
        <f>Summary_LCIA!AH$32</f>
        <v>8.7036000000000006E-3</v>
      </c>
      <c r="AR84" s="137">
        <f>Summary_LCIA!AI$32</f>
        <v>9.3154999999999996E-4</v>
      </c>
      <c r="AT84" s="137">
        <f t="shared" si="13"/>
        <v>97.1804214</v>
      </c>
      <c r="AU84" s="137">
        <f t="shared" si="13"/>
        <v>1417.3957314849688</v>
      </c>
      <c r="AV84" s="137">
        <f t="shared" si="13"/>
        <v>1.5059247407999998</v>
      </c>
      <c r="AW84" s="137">
        <f t="shared" si="13"/>
        <v>95.916332339999997</v>
      </c>
      <c r="AX84" s="137">
        <f t="shared" si="13"/>
        <v>31.430630699999998</v>
      </c>
      <c r="AY84" s="137">
        <f t="shared" si="13"/>
        <v>5.1232786020000001</v>
      </c>
      <c r="AZ84" s="137">
        <f t="shared" si="13"/>
        <v>1.3659311673E-2</v>
      </c>
      <c r="BA84" s="137">
        <f t="shared" si="13"/>
        <v>22.013167202999998</v>
      </c>
      <c r="BB84" s="137">
        <f t="shared" si="13"/>
        <v>6.5149205400000003</v>
      </c>
      <c r="BC84" s="137">
        <f t="shared" si="13"/>
        <v>4.4563429259999996</v>
      </c>
      <c r="BD84" s="137">
        <f t="shared" si="13"/>
        <v>1.1728286936999999E-2</v>
      </c>
      <c r="BE84" s="137">
        <f t="shared" si="13"/>
        <v>6.6796525079999993</v>
      </c>
      <c r="BF84" s="137">
        <f t="shared" si="13"/>
        <v>-6.2412252389999999E-3</v>
      </c>
      <c r="BG84" s="137">
        <f t="shared" si="13"/>
        <v>1.3980481812000001E-5</v>
      </c>
      <c r="BH84" s="137">
        <f t="shared" si="13"/>
        <v>0.11755456271999999</v>
      </c>
      <c r="BI84" s="137">
        <f t="shared" si="13"/>
        <v>0.25342697709000001</v>
      </c>
      <c r="BJ84" s="137">
        <f t="shared" si="12"/>
        <v>0.24178420206000001</v>
      </c>
      <c r="BK84" s="137">
        <f t="shared" si="12"/>
        <v>1.4632831845000001E-2</v>
      </c>
      <c r="BL84" s="137">
        <f t="shared" si="12"/>
        <v>2.4891686748000001</v>
      </c>
      <c r="BM84" s="137">
        <f t="shared" si="12"/>
        <v>0.26641677915</v>
      </c>
    </row>
    <row r="85" spans="1:65" x14ac:dyDescent="0.25">
      <c r="A85" s="149">
        <v>149</v>
      </c>
      <c r="B85" s="149">
        <v>43</v>
      </c>
      <c r="C85" s="61">
        <v>39.332213000000003</v>
      </c>
      <c r="D85" s="61">
        <v>-76.600832999999994</v>
      </c>
      <c r="E85" s="61" t="s">
        <v>265</v>
      </c>
      <c r="F85" s="149">
        <v>82</v>
      </c>
      <c r="G85" s="61" t="s">
        <v>684</v>
      </c>
      <c r="H85" s="61" t="s">
        <v>685</v>
      </c>
      <c r="I85" s="61">
        <v>39.177404000000003</v>
      </c>
      <c r="J85" s="61">
        <v>-76.668391999999997</v>
      </c>
      <c r="K85" s="61">
        <v>25.47228264</v>
      </c>
      <c r="L85" s="61">
        <v>22.373000000000001</v>
      </c>
      <c r="M85" s="61" t="s">
        <v>617</v>
      </c>
      <c r="N85" s="149">
        <v>42</v>
      </c>
      <c r="O85" s="149">
        <v>43</v>
      </c>
      <c r="P85" s="61" t="s">
        <v>565</v>
      </c>
      <c r="Q85" s="61" t="s">
        <v>555</v>
      </c>
      <c r="R85" s="61">
        <v>40.6895314</v>
      </c>
      <c r="S85" s="61">
        <v>-74.174462399999996</v>
      </c>
      <c r="T85" s="61">
        <v>285.99299999999999</v>
      </c>
      <c r="U85" s="61" t="s">
        <v>617</v>
      </c>
      <c r="V85" s="61" t="s">
        <v>617</v>
      </c>
      <c r="W85" s="61"/>
      <c r="Y85" s="137">
        <f>Summary_LCIA!H$32</f>
        <v>0.33979999999999999</v>
      </c>
      <c r="Z85" s="137">
        <f>Summary_LCIA!Q$32</f>
        <v>4.9560504329999997</v>
      </c>
      <c r="AA85" s="137">
        <f>Summary_LCIA!R$32</f>
        <v>5.2655999999999996E-3</v>
      </c>
      <c r="AB85" s="137">
        <f>Summary_LCIA!S$32</f>
        <v>0.33538000000000001</v>
      </c>
      <c r="AC85" s="137">
        <f>Summary_LCIA!T$32</f>
        <v>0.1099</v>
      </c>
      <c r="AD85" s="137">
        <f>Summary_LCIA!U$32</f>
        <v>1.7913999999999999E-2</v>
      </c>
      <c r="AE85" s="137">
        <f>Summary_LCIA!V$32</f>
        <v>4.7760999999999999E-5</v>
      </c>
      <c r="AF85" s="137">
        <f>Summary_LCIA!W$32</f>
        <v>7.6970999999999998E-2</v>
      </c>
      <c r="AG85" s="137">
        <f>Summary_LCIA!X$32</f>
        <v>2.2780000000000002E-2</v>
      </c>
      <c r="AH85" s="137">
        <f>Summary_LCIA!Y$32</f>
        <v>1.5582E-2</v>
      </c>
      <c r="AI85" s="137">
        <f>Summary_LCIA!Z$32</f>
        <v>4.1009E-5</v>
      </c>
      <c r="AJ85" s="137">
        <f>Summary_LCIA!AA$32</f>
        <v>2.3355999999999998E-2</v>
      </c>
      <c r="AK85" s="137">
        <f>Summary_LCIA!AB$32</f>
        <v>-2.1823000000000001E-5</v>
      </c>
      <c r="AL85" s="137">
        <f>Summary_LCIA!AC$32</f>
        <v>4.8884000000000003E-8</v>
      </c>
      <c r="AM85" s="137">
        <f>Summary_LCIA!AD$32</f>
        <v>4.1103999999999999E-4</v>
      </c>
      <c r="AN85" s="137">
        <f>Summary_LCIA!AE$32</f>
        <v>8.8612999999999995E-4</v>
      </c>
      <c r="AO85" s="137">
        <f>Summary_LCIA!AF$32</f>
        <v>8.4542000000000005E-4</v>
      </c>
      <c r="AP85" s="137">
        <f>Summary_LCIA!AG$32</f>
        <v>5.1165000000000002E-5</v>
      </c>
      <c r="AQ85" s="137">
        <f>Summary_LCIA!AH$32</f>
        <v>8.7036000000000006E-3</v>
      </c>
      <c r="AR85" s="137">
        <f>Summary_LCIA!AI$32</f>
        <v>9.3154999999999996E-4</v>
      </c>
      <c r="AT85" s="137">
        <f t="shared" si="13"/>
        <v>97.1804214</v>
      </c>
      <c r="AU85" s="137">
        <f t="shared" si="13"/>
        <v>1417.3957314849688</v>
      </c>
      <c r="AV85" s="137">
        <f t="shared" si="13"/>
        <v>1.5059247407999998</v>
      </c>
      <c r="AW85" s="137">
        <f t="shared" si="13"/>
        <v>95.916332339999997</v>
      </c>
      <c r="AX85" s="137">
        <f t="shared" si="13"/>
        <v>31.430630699999998</v>
      </c>
      <c r="AY85" s="137">
        <f t="shared" si="13"/>
        <v>5.1232786020000001</v>
      </c>
      <c r="AZ85" s="137">
        <f t="shared" si="13"/>
        <v>1.3659311673E-2</v>
      </c>
      <c r="BA85" s="137">
        <f t="shared" si="13"/>
        <v>22.013167202999998</v>
      </c>
      <c r="BB85" s="137">
        <f t="shared" si="13"/>
        <v>6.5149205400000003</v>
      </c>
      <c r="BC85" s="137">
        <f t="shared" si="13"/>
        <v>4.4563429259999996</v>
      </c>
      <c r="BD85" s="137">
        <f t="shared" si="13"/>
        <v>1.1728286936999999E-2</v>
      </c>
      <c r="BE85" s="137">
        <f t="shared" si="13"/>
        <v>6.6796525079999993</v>
      </c>
      <c r="BF85" s="137">
        <f t="shared" si="13"/>
        <v>-6.2412252389999999E-3</v>
      </c>
      <c r="BG85" s="137">
        <f t="shared" si="13"/>
        <v>1.3980481812000001E-5</v>
      </c>
      <c r="BH85" s="137">
        <f t="shared" si="13"/>
        <v>0.11755456271999999</v>
      </c>
      <c r="BI85" s="137">
        <f t="shared" si="13"/>
        <v>0.25342697709000001</v>
      </c>
      <c r="BJ85" s="137">
        <f t="shared" si="12"/>
        <v>0.24178420206000001</v>
      </c>
      <c r="BK85" s="137">
        <f t="shared" si="12"/>
        <v>1.4632831845000001E-2</v>
      </c>
      <c r="BL85" s="137">
        <f t="shared" si="12"/>
        <v>2.4891686748000001</v>
      </c>
      <c r="BM85" s="137">
        <f t="shared" si="12"/>
        <v>0.26641677915</v>
      </c>
    </row>
    <row r="86" spans="1:65" x14ac:dyDescent="0.25">
      <c r="A86" s="149">
        <v>150</v>
      </c>
      <c r="B86" s="149">
        <v>43</v>
      </c>
      <c r="C86" s="61">
        <v>39.332213000000003</v>
      </c>
      <c r="D86" s="61">
        <v>-76.600832999999994</v>
      </c>
      <c r="E86" s="61" t="s">
        <v>265</v>
      </c>
      <c r="F86" s="149">
        <v>82</v>
      </c>
      <c r="G86" s="61" t="s">
        <v>684</v>
      </c>
      <c r="H86" s="61" t="s">
        <v>685</v>
      </c>
      <c r="I86" s="61">
        <v>39.177404000000003</v>
      </c>
      <c r="J86" s="61">
        <v>-76.668391999999997</v>
      </c>
      <c r="K86" s="61">
        <v>25.47228264</v>
      </c>
      <c r="L86" s="61">
        <v>22.373000000000001</v>
      </c>
      <c r="M86" s="61" t="s">
        <v>617</v>
      </c>
      <c r="N86" s="149">
        <v>42</v>
      </c>
      <c r="O86" s="149">
        <v>43</v>
      </c>
      <c r="P86" s="61" t="s">
        <v>565</v>
      </c>
      <c r="Q86" s="61" t="s">
        <v>555</v>
      </c>
      <c r="R86" s="61">
        <v>40.6895314</v>
      </c>
      <c r="S86" s="61">
        <v>-74.174462399999996</v>
      </c>
      <c r="T86" s="61">
        <v>285.99299999999999</v>
      </c>
      <c r="U86" s="61" t="s">
        <v>617</v>
      </c>
      <c r="V86" s="61" t="s">
        <v>617</v>
      </c>
      <c r="W86" s="61"/>
      <c r="Y86" s="137">
        <f>Summary_LCIA!H$32</f>
        <v>0.33979999999999999</v>
      </c>
      <c r="Z86" s="137">
        <f>Summary_LCIA!Q$32</f>
        <v>4.9560504329999997</v>
      </c>
      <c r="AA86" s="137">
        <f>Summary_LCIA!R$32</f>
        <v>5.2655999999999996E-3</v>
      </c>
      <c r="AB86" s="137">
        <f>Summary_LCIA!S$32</f>
        <v>0.33538000000000001</v>
      </c>
      <c r="AC86" s="137">
        <f>Summary_LCIA!T$32</f>
        <v>0.1099</v>
      </c>
      <c r="AD86" s="137">
        <f>Summary_LCIA!U$32</f>
        <v>1.7913999999999999E-2</v>
      </c>
      <c r="AE86" s="137">
        <f>Summary_LCIA!V$32</f>
        <v>4.7760999999999999E-5</v>
      </c>
      <c r="AF86" s="137">
        <f>Summary_LCIA!W$32</f>
        <v>7.6970999999999998E-2</v>
      </c>
      <c r="AG86" s="137">
        <f>Summary_LCIA!X$32</f>
        <v>2.2780000000000002E-2</v>
      </c>
      <c r="AH86" s="137">
        <f>Summary_LCIA!Y$32</f>
        <v>1.5582E-2</v>
      </c>
      <c r="AI86" s="137">
        <f>Summary_LCIA!Z$32</f>
        <v>4.1009E-5</v>
      </c>
      <c r="AJ86" s="137">
        <f>Summary_LCIA!AA$32</f>
        <v>2.3355999999999998E-2</v>
      </c>
      <c r="AK86" s="137">
        <f>Summary_LCIA!AB$32</f>
        <v>-2.1823000000000001E-5</v>
      </c>
      <c r="AL86" s="137">
        <f>Summary_LCIA!AC$32</f>
        <v>4.8884000000000003E-8</v>
      </c>
      <c r="AM86" s="137">
        <f>Summary_LCIA!AD$32</f>
        <v>4.1103999999999999E-4</v>
      </c>
      <c r="AN86" s="137">
        <f>Summary_LCIA!AE$32</f>
        <v>8.8612999999999995E-4</v>
      </c>
      <c r="AO86" s="137">
        <f>Summary_LCIA!AF$32</f>
        <v>8.4542000000000005E-4</v>
      </c>
      <c r="AP86" s="137">
        <f>Summary_LCIA!AG$32</f>
        <v>5.1165000000000002E-5</v>
      </c>
      <c r="AQ86" s="137">
        <f>Summary_LCIA!AH$32</f>
        <v>8.7036000000000006E-3</v>
      </c>
      <c r="AR86" s="137">
        <f>Summary_LCIA!AI$32</f>
        <v>9.3154999999999996E-4</v>
      </c>
      <c r="AT86" s="137">
        <f t="shared" si="13"/>
        <v>97.1804214</v>
      </c>
      <c r="AU86" s="137">
        <f t="shared" si="13"/>
        <v>1417.3957314849688</v>
      </c>
      <c r="AV86" s="137">
        <f t="shared" si="13"/>
        <v>1.5059247407999998</v>
      </c>
      <c r="AW86" s="137">
        <f t="shared" si="13"/>
        <v>95.916332339999997</v>
      </c>
      <c r="AX86" s="137">
        <f t="shared" si="13"/>
        <v>31.430630699999998</v>
      </c>
      <c r="AY86" s="137">
        <f t="shared" si="13"/>
        <v>5.1232786020000001</v>
      </c>
      <c r="AZ86" s="137">
        <f t="shared" si="13"/>
        <v>1.3659311673E-2</v>
      </c>
      <c r="BA86" s="137">
        <f t="shared" si="13"/>
        <v>22.013167202999998</v>
      </c>
      <c r="BB86" s="137">
        <f t="shared" si="13"/>
        <v>6.5149205400000003</v>
      </c>
      <c r="BC86" s="137">
        <f t="shared" si="13"/>
        <v>4.4563429259999996</v>
      </c>
      <c r="BD86" s="137">
        <f t="shared" si="13"/>
        <v>1.1728286936999999E-2</v>
      </c>
      <c r="BE86" s="137">
        <f t="shared" si="13"/>
        <v>6.6796525079999993</v>
      </c>
      <c r="BF86" s="137">
        <f t="shared" si="13"/>
        <v>-6.2412252389999999E-3</v>
      </c>
      <c r="BG86" s="137">
        <f t="shared" si="13"/>
        <v>1.3980481812000001E-5</v>
      </c>
      <c r="BH86" s="137">
        <f t="shared" si="13"/>
        <v>0.11755456271999999</v>
      </c>
      <c r="BI86" s="137">
        <f t="shared" si="13"/>
        <v>0.25342697709000001</v>
      </c>
      <c r="BJ86" s="137">
        <f t="shared" si="12"/>
        <v>0.24178420206000001</v>
      </c>
      <c r="BK86" s="137">
        <f t="shared" si="12"/>
        <v>1.4632831845000001E-2</v>
      </c>
      <c r="BL86" s="137">
        <f t="shared" si="12"/>
        <v>2.4891686748000001</v>
      </c>
      <c r="BM86" s="137">
        <f t="shared" si="12"/>
        <v>0.26641677915</v>
      </c>
    </row>
    <row r="87" spans="1:65" x14ac:dyDescent="0.25">
      <c r="A87" s="149">
        <v>151</v>
      </c>
      <c r="B87" s="149">
        <v>43</v>
      </c>
      <c r="C87" s="61">
        <v>39.332213000000003</v>
      </c>
      <c r="D87" s="61">
        <v>-76.600832999999994</v>
      </c>
      <c r="E87" s="61" t="s">
        <v>265</v>
      </c>
      <c r="F87" s="149">
        <v>82</v>
      </c>
      <c r="G87" s="61" t="s">
        <v>684</v>
      </c>
      <c r="H87" s="61" t="s">
        <v>685</v>
      </c>
      <c r="I87" s="61">
        <v>39.177404000000003</v>
      </c>
      <c r="J87" s="61">
        <v>-76.668391999999997</v>
      </c>
      <c r="K87" s="61">
        <v>25.47228264</v>
      </c>
      <c r="L87" s="61">
        <v>22.373000000000001</v>
      </c>
      <c r="M87" s="61" t="s">
        <v>617</v>
      </c>
      <c r="N87" s="149">
        <v>42</v>
      </c>
      <c r="O87" s="149">
        <v>43</v>
      </c>
      <c r="P87" s="61" t="s">
        <v>565</v>
      </c>
      <c r="Q87" s="61" t="s">
        <v>555</v>
      </c>
      <c r="R87" s="61">
        <v>40.6895314</v>
      </c>
      <c r="S87" s="61">
        <v>-74.174462399999996</v>
      </c>
      <c r="T87" s="61">
        <v>285.99299999999999</v>
      </c>
      <c r="U87" s="61" t="s">
        <v>617</v>
      </c>
      <c r="V87" s="61" t="s">
        <v>617</v>
      </c>
      <c r="W87" s="61"/>
      <c r="Y87" s="137">
        <f>Summary_LCIA!H$32</f>
        <v>0.33979999999999999</v>
      </c>
      <c r="Z87" s="137">
        <f>Summary_LCIA!Q$32</f>
        <v>4.9560504329999997</v>
      </c>
      <c r="AA87" s="137">
        <f>Summary_LCIA!R$32</f>
        <v>5.2655999999999996E-3</v>
      </c>
      <c r="AB87" s="137">
        <f>Summary_LCIA!S$32</f>
        <v>0.33538000000000001</v>
      </c>
      <c r="AC87" s="137">
        <f>Summary_LCIA!T$32</f>
        <v>0.1099</v>
      </c>
      <c r="AD87" s="137">
        <f>Summary_LCIA!U$32</f>
        <v>1.7913999999999999E-2</v>
      </c>
      <c r="AE87" s="137">
        <f>Summary_LCIA!V$32</f>
        <v>4.7760999999999999E-5</v>
      </c>
      <c r="AF87" s="137">
        <f>Summary_LCIA!W$32</f>
        <v>7.6970999999999998E-2</v>
      </c>
      <c r="AG87" s="137">
        <f>Summary_LCIA!X$32</f>
        <v>2.2780000000000002E-2</v>
      </c>
      <c r="AH87" s="137">
        <f>Summary_LCIA!Y$32</f>
        <v>1.5582E-2</v>
      </c>
      <c r="AI87" s="137">
        <f>Summary_LCIA!Z$32</f>
        <v>4.1009E-5</v>
      </c>
      <c r="AJ87" s="137">
        <f>Summary_LCIA!AA$32</f>
        <v>2.3355999999999998E-2</v>
      </c>
      <c r="AK87" s="137">
        <f>Summary_LCIA!AB$32</f>
        <v>-2.1823000000000001E-5</v>
      </c>
      <c r="AL87" s="137">
        <f>Summary_LCIA!AC$32</f>
        <v>4.8884000000000003E-8</v>
      </c>
      <c r="AM87" s="137">
        <f>Summary_LCIA!AD$32</f>
        <v>4.1103999999999999E-4</v>
      </c>
      <c r="AN87" s="137">
        <f>Summary_LCIA!AE$32</f>
        <v>8.8612999999999995E-4</v>
      </c>
      <c r="AO87" s="137">
        <f>Summary_LCIA!AF$32</f>
        <v>8.4542000000000005E-4</v>
      </c>
      <c r="AP87" s="137">
        <f>Summary_LCIA!AG$32</f>
        <v>5.1165000000000002E-5</v>
      </c>
      <c r="AQ87" s="137">
        <f>Summary_LCIA!AH$32</f>
        <v>8.7036000000000006E-3</v>
      </c>
      <c r="AR87" s="137">
        <f>Summary_LCIA!AI$32</f>
        <v>9.3154999999999996E-4</v>
      </c>
      <c r="AT87" s="137">
        <f t="shared" si="13"/>
        <v>97.1804214</v>
      </c>
      <c r="AU87" s="137">
        <f t="shared" si="13"/>
        <v>1417.3957314849688</v>
      </c>
      <c r="AV87" s="137">
        <f t="shared" si="13"/>
        <v>1.5059247407999998</v>
      </c>
      <c r="AW87" s="137">
        <f t="shared" si="13"/>
        <v>95.916332339999997</v>
      </c>
      <c r="AX87" s="137">
        <f t="shared" si="13"/>
        <v>31.430630699999998</v>
      </c>
      <c r="AY87" s="137">
        <f t="shared" si="13"/>
        <v>5.1232786020000001</v>
      </c>
      <c r="AZ87" s="137">
        <f t="shared" si="13"/>
        <v>1.3659311673E-2</v>
      </c>
      <c r="BA87" s="137">
        <f t="shared" si="13"/>
        <v>22.013167202999998</v>
      </c>
      <c r="BB87" s="137">
        <f t="shared" si="13"/>
        <v>6.5149205400000003</v>
      </c>
      <c r="BC87" s="137">
        <f t="shared" si="13"/>
        <v>4.4563429259999996</v>
      </c>
      <c r="BD87" s="137">
        <f t="shared" si="13"/>
        <v>1.1728286936999999E-2</v>
      </c>
      <c r="BE87" s="137">
        <f t="shared" si="13"/>
        <v>6.6796525079999993</v>
      </c>
      <c r="BF87" s="137">
        <f t="shared" si="13"/>
        <v>-6.2412252389999999E-3</v>
      </c>
      <c r="BG87" s="137">
        <f t="shared" si="13"/>
        <v>1.3980481812000001E-5</v>
      </c>
      <c r="BH87" s="137">
        <f t="shared" si="13"/>
        <v>0.11755456271999999</v>
      </c>
      <c r="BI87" s="137">
        <f t="shared" si="13"/>
        <v>0.25342697709000001</v>
      </c>
      <c r="BJ87" s="137">
        <f t="shared" si="12"/>
        <v>0.24178420206000001</v>
      </c>
      <c r="BK87" s="137">
        <f t="shared" si="12"/>
        <v>1.4632831845000001E-2</v>
      </c>
      <c r="BL87" s="137">
        <f t="shared" si="12"/>
        <v>2.4891686748000001</v>
      </c>
      <c r="BM87" s="137">
        <f t="shared" si="12"/>
        <v>0.26641677915</v>
      </c>
    </row>
    <row r="88" spans="1:65" x14ac:dyDescent="0.25">
      <c r="A88" s="149">
        <v>307</v>
      </c>
      <c r="B88" s="149">
        <v>43</v>
      </c>
      <c r="C88" s="61">
        <v>41.888157999999997</v>
      </c>
      <c r="D88" s="61">
        <v>-71.477429000000001</v>
      </c>
      <c r="E88" s="61" t="s">
        <v>265</v>
      </c>
      <c r="F88" s="149">
        <v>53</v>
      </c>
      <c r="G88" s="61" t="s">
        <v>565</v>
      </c>
      <c r="H88" s="61" t="s">
        <v>634</v>
      </c>
      <c r="I88" s="61">
        <v>42.365613000000003</v>
      </c>
      <c r="J88" s="61">
        <v>-71.009559999999993</v>
      </c>
      <c r="K88" s="61">
        <v>86.564645630000001</v>
      </c>
      <c r="L88" s="61">
        <v>88.81</v>
      </c>
      <c r="M88" s="61" t="s">
        <v>617</v>
      </c>
      <c r="N88" s="149">
        <v>42</v>
      </c>
      <c r="O88" s="149">
        <v>43</v>
      </c>
      <c r="P88" s="61" t="s">
        <v>565</v>
      </c>
      <c r="Q88" s="61" t="s">
        <v>555</v>
      </c>
      <c r="R88" s="61">
        <v>40.6895314</v>
      </c>
      <c r="S88" s="61">
        <v>-74.174462399999996</v>
      </c>
      <c r="T88" s="61">
        <v>325.79700000000003</v>
      </c>
      <c r="U88" s="61" t="s">
        <v>617</v>
      </c>
      <c r="V88" s="61" t="s">
        <v>617</v>
      </c>
      <c r="W88" s="61"/>
      <c r="Y88" s="137">
        <f>Summary_LCIA!H$32</f>
        <v>0.33979999999999999</v>
      </c>
      <c r="Z88" s="137">
        <f>Summary_LCIA!Q$32</f>
        <v>4.9560504329999997</v>
      </c>
      <c r="AA88" s="137">
        <f>Summary_LCIA!R$32</f>
        <v>5.2655999999999996E-3</v>
      </c>
      <c r="AB88" s="137">
        <f>Summary_LCIA!S$32</f>
        <v>0.33538000000000001</v>
      </c>
      <c r="AC88" s="137">
        <f>Summary_LCIA!T$32</f>
        <v>0.1099</v>
      </c>
      <c r="AD88" s="137">
        <f>Summary_LCIA!U$32</f>
        <v>1.7913999999999999E-2</v>
      </c>
      <c r="AE88" s="137">
        <f>Summary_LCIA!V$32</f>
        <v>4.7760999999999999E-5</v>
      </c>
      <c r="AF88" s="137">
        <f>Summary_LCIA!W$32</f>
        <v>7.6970999999999998E-2</v>
      </c>
      <c r="AG88" s="137">
        <f>Summary_LCIA!X$32</f>
        <v>2.2780000000000002E-2</v>
      </c>
      <c r="AH88" s="137">
        <f>Summary_LCIA!Y$32</f>
        <v>1.5582E-2</v>
      </c>
      <c r="AI88" s="137">
        <f>Summary_LCIA!Z$32</f>
        <v>4.1009E-5</v>
      </c>
      <c r="AJ88" s="137">
        <f>Summary_LCIA!AA$32</f>
        <v>2.3355999999999998E-2</v>
      </c>
      <c r="AK88" s="137">
        <f>Summary_LCIA!AB$32</f>
        <v>-2.1823000000000001E-5</v>
      </c>
      <c r="AL88" s="137">
        <f>Summary_LCIA!AC$32</f>
        <v>4.8884000000000003E-8</v>
      </c>
      <c r="AM88" s="137">
        <f>Summary_LCIA!AD$32</f>
        <v>4.1103999999999999E-4</v>
      </c>
      <c r="AN88" s="137">
        <f>Summary_LCIA!AE$32</f>
        <v>8.8612999999999995E-4</v>
      </c>
      <c r="AO88" s="137">
        <f>Summary_LCIA!AF$32</f>
        <v>8.4542000000000005E-4</v>
      </c>
      <c r="AP88" s="137">
        <f>Summary_LCIA!AG$32</f>
        <v>5.1165000000000002E-5</v>
      </c>
      <c r="AQ88" s="137">
        <f>Summary_LCIA!AH$32</f>
        <v>8.7036000000000006E-3</v>
      </c>
      <c r="AR88" s="137">
        <f>Summary_LCIA!AI$32</f>
        <v>9.3154999999999996E-4</v>
      </c>
      <c r="AT88" s="137">
        <f t="shared" si="13"/>
        <v>110.70582060000001</v>
      </c>
      <c r="AU88" s="137">
        <f t="shared" si="13"/>
        <v>1614.6663629201009</v>
      </c>
      <c r="AV88" s="137">
        <f t="shared" si="13"/>
        <v>1.7155166831999999</v>
      </c>
      <c r="AW88" s="137">
        <f t="shared" si="13"/>
        <v>109.26579786000001</v>
      </c>
      <c r="AX88" s="137">
        <f t="shared" si="13"/>
        <v>35.805090300000003</v>
      </c>
      <c r="AY88" s="137">
        <f t="shared" si="13"/>
        <v>5.8363274580000004</v>
      </c>
      <c r="AZ88" s="137">
        <f t="shared" si="13"/>
        <v>1.5560390517E-2</v>
      </c>
      <c r="BA88" s="137">
        <f t="shared" si="13"/>
        <v>25.076920887</v>
      </c>
      <c r="BB88" s="137">
        <f t="shared" si="13"/>
        <v>7.4216556600000008</v>
      </c>
      <c r="BC88" s="137">
        <f t="shared" si="13"/>
        <v>5.0765688540000005</v>
      </c>
      <c r="BD88" s="137">
        <f t="shared" si="13"/>
        <v>1.3360609173E-2</v>
      </c>
      <c r="BE88" s="137">
        <f t="shared" si="13"/>
        <v>7.6093147319999996</v>
      </c>
      <c r="BF88" s="137">
        <f t="shared" si="13"/>
        <v>-7.1098679310000008E-3</v>
      </c>
      <c r="BG88" s="137">
        <f t="shared" si="13"/>
        <v>1.5926260548000001E-5</v>
      </c>
      <c r="BH88" s="137">
        <f t="shared" si="13"/>
        <v>0.13391559888000001</v>
      </c>
      <c r="BI88" s="137">
        <f t="shared" si="13"/>
        <v>0.28869849560999999</v>
      </c>
      <c r="BJ88" s="137">
        <f t="shared" si="12"/>
        <v>0.27543529974000003</v>
      </c>
      <c r="BK88" s="137">
        <f t="shared" si="12"/>
        <v>1.6669403505000003E-2</v>
      </c>
      <c r="BL88" s="137">
        <f t="shared" si="12"/>
        <v>2.8356067692000004</v>
      </c>
      <c r="BM88" s="137">
        <f t="shared" si="12"/>
        <v>0.30349619535</v>
      </c>
    </row>
    <row r="89" spans="1:65" x14ac:dyDescent="0.25">
      <c r="A89" s="149">
        <v>157</v>
      </c>
      <c r="B89" s="149">
        <v>43</v>
      </c>
      <c r="C89" s="61">
        <v>39.034832000000002</v>
      </c>
      <c r="D89" s="61">
        <v>-76.907473999999993</v>
      </c>
      <c r="E89" s="61" t="s">
        <v>265</v>
      </c>
      <c r="F89" s="149">
        <v>82</v>
      </c>
      <c r="G89" s="61" t="s">
        <v>684</v>
      </c>
      <c r="H89" s="61" t="s">
        <v>685</v>
      </c>
      <c r="I89" s="61">
        <v>39.177404000000003</v>
      </c>
      <c r="J89" s="61">
        <v>-76.668391999999997</v>
      </c>
      <c r="K89" s="61">
        <v>32.055941840000003</v>
      </c>
      <c r="L89" s="61">
        <v>31.834</v>
      </c>
      <c r="M89" s="61" t="s">
        <v>617</v>
      </c>
      <c r="N89" s="149">
        <v>42</v>
      </c>
      <c r="O89" s="149">
        <v>43</v>
      </c>
      <c r="P89" s="61" t="s">
        <v>565</v>
      </c>
      <c r="Q89" s="61" t="s">
        <v>555</v>
      </c>
      <c r="R89" s="61">
        <v>40.6895314</v>
      </c>
      <c r="S89" s="61">
        <v>-74.174462399999996</v>
      </c>
      <c r="T89" s="61">
        <v>328.17399999999998</v>
      </c>
      <c r="U89" s="61" t="s">
        <v>617</v>
      </c>
      <c r="V89" s="61" t="s">
        <v>617</v>
      </c>
      <c r="W89" s="61"/>
      <c r="Y89" s="137">
        <f>Summary_LCIA!H$32</f>
        <v>0.33979999999999999</v>
      </c>
      <c r="Z89" s="137">
        <f>Summary_LCIA!Q$32</f>
        <v>4.9560504329999997</v>
      </c>
      <c r="AA89" s="137">
        <f>Summary_LCIA!R$32</f>
        <v>5.2655999999999996E-3</v>
      </c>
      <c r="AB89" s="137">
        <f>Summary_LCIA!S$32</f>
        <v>0.33538000000000001</v>
      </c>
      <c r="AC89" s="137">
        <f>Summary_LCIA!T$32</f>
        <v>0.1099</v>
      </c>
      <c r="AD89" s="137">
        <f>Summary_LCIA!U$32</f>
        <v>1.7913999999999999E-2</v>
      </c>
      <c r="AE89" s="137">
        <f>Summary_LCIA!V$32</f>
        <v>4.7760999999999999E-5</v>
      </c>
      <c r="AF89" s="137">
        <f>Summary_LCIA!W$32</f>
        <v>7.6970999999999998E-2</v>
      </c>
      <c r="AG89" s="137">
        <f>Summary_LCIA!X$32</f>
        <v>2.2780000000000002E-2</v>
      </c>
      <c r="AH89" s="137">
        <f>Summary_LCIA!Y$32</f>
        <v>1.5582E-2</v>
      </c>
      <c r="AI89" s="137">
        <f>Summary_LCIA!Z$32</f>
        <v>4.1009E-5</v>
      </c>
      <c r="AJ89" s="137">
        <f>Summary_LCIA!AA$32</f>
        <v>2.3355999999999998E-2</v>
      </c>
      <c r="AK89" s="137">
        <f>Summary_LCIA!AB$32</f>
        <v>-2.1823000000000001E-5</v>
      </c>
      <c r="AL89" s="137">
        <f>Summary_LCIA!AC$32</f>
        <v>4.8884000000000003E-8</v>
      </c>
      <c r="AM89" s="137">
        <f>Summary_LCIA!AD$32</f>
        <v>4.1103999999999999E-4</v>
      </c>
      <c r="AN89" s="137">
        <f>Summary_LCIA!AE$32</f>
        <v>8.8612999999999995E-4</v>
      </c>
      <c r="AO89" s="137">
        <f>Summary_LCIA!AF$32</f>
        <v>8.4542000000000005E-4</v>
      </c>
      <c r="AP89" s="137">
        <f>Summary_LCIA!AG$32</f>
        <v>5.1165000000000002E-5</v>
      </c>
      <c r="AQ89" s="137">
        <f>Summary_LCIA!AH$32</f>
        <v>8.7036000000000006E-3</v>
      </c>
      <c r="AR89" s="137">
        <f>Summary_LCIA!AI$32</f>
        <v>9.3154999999999996E-4</v>
      </c>
      <c r="AT89" s="137">
        <f t="shared" si="13"/>
        <v>111.51352519999999</v>
      </c>
      <c r="AU89" s="137">
        <f t="shared" si="13"/>
        <v>1626.4468947993419</v>
      </c>
      <c r="AV89" s="137">
        <f t="shared" si="13"/>
        <v>1.7280330143999998</v>
      </c>
      <c r="AW89" s="137">
        <f t="shared" si="13"/>
        <v>110.06299611999999</v>
      </c>
      <c r="AX89" s="137">
        <f t="shared" si="13"/>
        <v>36.066322599999999</v>
      </c>
      <c r="AY89" s="137">
        <f t="shared" si="13"/>
        <v>5.8789090359999996</v>
      </c>
      <c r="AZ89" s="137">
        <f t="shared" si="13"/>
        <v>1.5673918413999999E-2</v>
      </c>
      <c r="BA89" s="137">
        <f t="shared" si="13"/>
        <v>25.259880953999996</v>
      </c>
      <c r="BB89" s="137">
        <f t="shared" si="13"/>
        <v>7.47580372</v>
      </c>
      <c r="BC89" s="137">
        <f t="shared" si="13"/>
        <v>5.113607268</v>
      </c>
      <c r="BD89" s="137">
        <f t="shared" si="13"/>
        <v>1.3458087565999999E-2</v>
      </c>
      <c r="BE89" s="137">
        <f t="shared" si="13"/>
        <v>7.6648319439999986</v>
      </c>
      <c r="BF89" s="137">
        <f t="shared" si="13"/>
        <v>-7.1617412020000002E-3</v>
      </c>
      <c r="BG89" s="137">
        <f t="shared" si="13"/>
        <v>1.6042457816000001E-5</v>
      </c>
      <c r="BH89" s="137">
        <f t="shared" si="13"/>
        <v>0.13489264095999998</v>
      </c>
      <c r="BI89" s="137">
        <f t="shared" si="13"/>
        <v>0.29080482661999996</v>
      </c>
      <c r="BJ89" s="137">
        <f t="shared" si="12"/>
        <v>0.27744486307999999</v>
      </c>
      <c r="BK89" s="137">
        <f t="shared" si="12"/>
        <v>1.6791022709999999E-2</v>
      </c>
      <c r="BL89" s="137">
        <f t="shared" si="12"/>
        <v>2.8562952263999999</v>
      </c>
      <c r="BM89" s="137">
        <f t="shared" si="12"/>
        <v>0.30571048969999998</v>
      </c>
    </row>
    <row r="90" spans="1:65" x14ac:dyDescent="0.25">
      <c r="A90" s="149">
        <v>111</v>
      </c>
      <c r="B90" s="149">
        <v>43</v>
      </c>
      <c r="C90" s="61">
        <v>39.008927</v>
      </c>
      <c r="D90" s="61">
        <v>-76.895245000000003</v>
      </c>
      <c r="E90" s="61" t="s">
        <v>265</v>
      </c>
      <c r="F90" s="149">
        <v>86</v>
      </c>
      <c r="G90" s="61" t="s">
        <v>630</v>
      </c>
      <c r="H90" s="61" t="s">
        <v>644</v>
      </c>
      <c r="I90" s="61">
        <v>38.851241999999999</v>
      </c>
      <c r="J90" s="61">
        <v>-77.040232000000003</v>
      </c>
      <c r="K90" s="61">
        <v>28.86541089</v>
      </c>
      <c r="L90" s="61">
        <v>30.018999999999998</v>
      </c>
      <c r="M90" s="61" t="s">
        <v>617</v>
      </c>
      <c r="N90" s="149">
        <v>42</v>
      </c>
      <c r="O90" s="149">
        <v>43</v>
      </c>
      <c r="P90" s="61" t="s">
        <v>565</v>
      </c>
      <c r="Q90" s="61" t="s">
        <v>555</v>
      </c>
      <c r="R90" s="61">
        <v>40.6895314</v>
      </c>
      <c r="S90" s="61">
        <v>-74.174462399999996</v>
      </c>
      <c r="T90" s="61">
        <v>329.06599999999997</v>
      </c>
      <c r="U90" s="61" t="s">
        <v>617</v>
      </c>
      <c r="V90" s="61" t="s">
        <v>617</v>
      </c>
      <c r="W90" s="61"/>
      <c r="Y90" s="137">
        <f>Summary_LCIA!H$32</f>
        <v>0.33979999999999999</v>
      </c>
      <c r="Z90" s="137">
        <f>Summary_LCIA!Q$32</f>
        <v>4.9560504329999997</v>
      </c>
      <c r="AA90" s="137">
        <f>Summary_LCIA!R$32</f>
        <v>5.2655999999999996E-3</v>
      </c>
      <c r="AB90" s="137">
        <f>Summary_LCIA!S$32</f>
        <v>0.33538000000000001</v>
      </c>
      <c r="AC90" s="137">
        <f>Summary_LCIA!T$32</f>
        <v>0.1099</v>
      </c>
      <c r="AD90" s="137">
        <f>Summary_LCIA!U$32</f>
        <v>1.7913999999999999E-2</v>
      </c>
      <c r="AE90" s="137">
        <f>Summary_LCIA!V$32</f>
        <v>4.7760999999999999E-5</v>
      </c>
      <c r="AF90" s="137">
        <f>Summary_LCIA!W$32</f>
        <v>7.6970999999999998E-2</v>
      </c>
      <c r="AG90" s="137">
        <f>Summary_LCIA!X$32</f>
        <v>2.2780000000000002E-2</v>
      </c>
      <c r="AH90" s="137">
        <f>Summary_LCIA!Y$32</f>
        <v>1.5582E-2</v>
      </c>
      <c r="AI90" s="137">
        <f>Summary_LCIA!Z$32</f>
        <v>4.1009E-5</v>
      </c>
      <c r="AJ90" s="137">
        <f>Summary_LCIA!AA$32</f>
        <v>2.3355999999999998E-2</v>
      </c>
      <c r="AK90" s="137">
        <f>Summary_LCIA!AB$32</f>
        <v>-2.1823000000000001E-5</v>
      </c>
      <c r="AL90" s="137">
        <f>Summary_LCIA!AC$32</f>
        <v>4.8884000000000003E-8</v>
      </c>
      <c r="AM90" s="137">
        <f>Summary_LCIA!AD$32</f>
        <v>4.1103999999999999E-4</v>
      </c>
      <c r="AN90" s="137">
        <f>Summary_LCIA!AE$32</f>
        <v>8.8612999999999995E-4</v>
      </c>
      <c r="AO90" s="137">
        <f>Summary_LCIA!AF$32</f>
        <v>8.4542000000000005E-4</v>
      </c>
      <c r="AP90" s="137">
        <f>Summary_LCIA!AG$32</f>
        <v>5.1165000000000002E-5</v>
      </c>
      <c r="AQ90" s="137">
        <f>Summary_LCIA!AH$32</f>
        <v>8.7036000000000006E-3</v>
      </c>
      <c r="AR90" s="137">
        <f>Summary_LCIA!AI$32</f>
        <v>9.3154999999999996E-4</v>
      </c>
      <c r="AT90" s="137">
        <f t="shared" si="13"/>
        <v>111.81662679999999</v>
      </c>
      <c r="AU90" s="137">
        <f t="shared" si="13"/>
        <v>1630.8676917855778</v>
      </c>
      <c r="AV90" s="137">
        <f t="shared" si="13"/>
        <v>1.7327299295999998</v>
      </c>
      <c r="AW90" s="137">
        <f t="shared" si="13"/>
        <v>110.36215507999999</v>
      </c>
      <c r="AX90" s="137">
        <f t="shared" si="13"/>
        <v>36.164353399999996</v>
      </c>
      <c r="AY90" s="137">
        <f t="shared" si="13"/>
        <v>5.8948883239999992</v>
      </c>
      <c r="AZ90" s="137">
        <f t="shared" si="13"/>
        <v>1.5716521225999997E-2</v>
      </c>
      <c r="BA90" s="137">
        <f t="shared" si="13"/>
        <v>25.328539085999996</v>
      </c>
      <c r="BB90" s="137">
        <f t="shared" si="13"/>
        <v>7.4961234799999996</v>
      </c>
      <c r="BC90" s="137">
        <f t="shared" si="13"/>
        <v>5.1275064119999998</v>
      </c>
      <c r="BD90" s="137">
        <f t="shared" si="13"/>
        <v>1.3494667593999999E-2</v>
      </c>
      <c r="BE90" s="137">
        <f t="shared" si="13"/>
        <v>7.6856654959999986</v>
      </c>
      <c r="BF90" s="137">
        <f t="shared" si="13"/>
        <v>-7.1812073179999998E-3</v>
      </c>
      <c r="BG90" s="137">
        <f t="shared" si="13"/>
        <v>1.6086062344E-5</v>
      </c>
      <c r="BH90" s="137">
        <f t="shared" si="13"/>
        <v>0.13525928863999997</v>
      </c>
      <c r="BI90" s="137">
        <f t="shared" si="13"/>
        <v>0.29159525457999996</v>
      </c>
      <c r="BJ90" s="137">
        <f t="shared" si="12"/>
        <v>0.27819897772000002</v>
      </c>
      <c r="BK90" s="137">
        <f t="shared" si="12"/>
        <v>1.683666189E-2</v>
      </c>
      <c r="BL90" s="137">
        <f t="shared" si="12"/>
        <v>2.8640588376</v>
      </c>
      <c r="BM90" s="137">
        <f t="shared" si="12"/>
        <v>0.30654143229999997</v>
      </c>
    </row>
    <row r="91" spans="1:65" x14ac:dyDescent="0.25">
      <c r="A91" s="149">
        <v>323</v>
      </c>
      <c r="B91" s="149">
        <v>29</v>
      </c>
      <c r="C91" s="61">
        <v>46.280419999999999</v>
      </c>
      <c r="D91" s="61">
        <v>-119.2752</v>
      </c>
      <c r="E91" s="61" t="s">
        <v>265</v>
      </c>
      <c r="F91" s="149">
        <v>90</v>
      </c>
      <c r="G91" s="61" t="s">
        <v>277</v>
      </c>
      <c r="H91" s="61" t="s">
        <v>697</v>
      </c>
      <c r="I91" s="61">
        <v>45.589768999999997</v>
      </c>
      <c r="J91" s="61">
        <v>-122.595094</v>
      </c>
      <c r="K91" s="61">
        <v>274.9193128</v>
      </c>
      <c r="L91" s="61">
        <v>348.00400000000002</v>
      </c>
      <c r="M91" s="61" t="s">
        <v>617</v>
      </c>
      <c r="N91" s="149">
        <v>28</v>
      </c>
      <c r="O91" s="149">
        <v>29</v>
      </c>
      <c r="P91" s="61" t="s">
        <v>565</v>
      </c>
      <c r="Q91" s="61" t="s">
        <v>559</v>
      </c>
      <c r="R91" s="61">
        <v>47.450249900000003</v>
      </c>
      <c r="S91" s="61">
        <v>-122.30881650000001</v>
      </c>
      <c r="T91" s="61">
        <v>334.65499999999997</v>
      </c>
      <c r="U91" s="61" t="s">
        <v>617</v>
      </c>
      <c r="V91" s="61" t="s">
        <v>617</v>
      </c>
      <c r="W91" s="61"/>
      <c r="Y91" s="137">
        <f>Summary_LCIA!H$32</f>
        <v>0.33979999999999999</v>
      </c>
      <c r="Z91" s="137">
        <f>Summary_LCIA!Q$32</f>
        <v>4.9560504329999997</v>
      </c>
      <c r="AA91" s="137">
        <f>Summary_LCIA!R$32</f>
        <v>5.2655999999999996E-3</v>
      </c>
      <c r="AB91" s="137">
        <f>Summary_LCIA!S$32</f>
        <v>0.33538000000000001</v>
      </c>
      <c r="AC91" s="137">
        <f>Summary_LCIA!T$32</f>
        <v>0.1099</v>
      </c>
      <c r="AD91" s="137">
        <f>Summary_LCIA!U$32</f>
        <v>1.7913999999999999E-2</v>
      </c>
      <c r="AE91" s="137">
        <f>Summary_LCIA!V$32</f>
        <v>4.7760999999999999E-5</v>
      </c>
      <c r="AF91" s="137">
        <f>Summary_LCIA!W$32</f>
        <v>7.6970999999999998E-2</v>
      </c>
      <c r="AG91" s="137">
        <f>Summary_LCIA!X$32</f>
        <v>2.2780000000000002E-2</v>
      </c>
      <c r="AH91" s="137">
        <f>Summary_LCIA!Y$32</f>
        <v>1.5582E-2</v>
      </c>
      <c r="AI91" s="137">
        <f>Summary_LCIA!Z$32</f>
        <v>4.1009E-5</v>
      </c>
      <c r="AJ91" s="137">
        <f>Summary_LCIA!AA$32</f>
        <v>2.3355999999999998E-2</v>
      </c>
      <c r="AK91" s="137">
        <f>Summary_LCIA!AB$32</f>
        <v>-2.1823000000000001E-5</v>
      </c>
      <c r="AL91" s="137">
        <f>Summary_LCIA!AC$32</f>
        <v>4.8884000000000003E-8</v>
      </c>
      <c r="AM91" s="137">
        <f>Summary_LCIA!AD$32</f>
        <v>4.1103999999999999E-4</v>
      </c>
      <c r="AN91" s="137">
        <f>Summary_LCIA!AE$32</f>
        <v>8.8612999999999995E-4</v>
      </c>
      <c r="AO91" s="137">
        <f>Summary_LCIA!AF$32</f>
        <v>8.4542000000000005E-4</v>
      </c>
      <c r="AP91" s="137">
        <f>Summary_LCIA!AG$32</f>
        <v>5.1165000000000002E-5</v>
      </c>
      <c r="AQ91" s="137">
        <f>Summary_LCIA!AH$32</f>
        <v>8.7036000000000006E-3</v>
      </c>
      <c r="AR91" s="137">
        <f>Summary_LCIA!AI$32</f>
        <v>9.3154999999999996E-4</v>
      </c>
      <c r="AT91" s="137">
        <f t="shared" si="13"/>
        <v>113.71576899999999</v>
      </c>
      <c r="AU91" s="137">
        <f t="shared" si="13"/>
        <v>1658.5670576556147</v>
      </c>
      <c r="AV91" s="137">
        <f t="shared" si="13"/>
        <v>1.7621593679999998</v>
      </c>
      <c r="AW91" s="137">
        <f t="shared" si="13"/>
        <v>112.23659389999999</v>
      </c>
      <c r="AX91" s="137">
        <f t="shared" si="13"/>
        <v>36.778584499999994</v>
      </c>
      <c r="AY91" s="137">
        <f t="shared" si="13"/>
        <v>5.9950096699999991</v>
      </c>
      <c r="AZ91" s="137">
        <f t="shared" si="13"/>
        <v>1.5983457454999999E-2</v>
      </c>
      <c r="BA91" s="137">
        <f t="shared" si="13"/>
        <v>25.758730004999997</v>
      </c>
      <c r="BB91" s="137">
        <f t="shared" si="13"/>
        <v>7.6234409000000003</v>
      </c>
      <c r="BC91" s="137">
        <f t="shared" si="13"/>
        <v>5.2145942099999996</v>
      </c>
      <c r="BD91" s="137">
        <f t="shared" si="13"/>
        <v>1.3723866894999999E-2</v>
      </c>
      <c r="BE91" s="137">
        <f t="shared" si="13"/>
        <v>7.8162021799999986</v>
      </c>
      <c r="BF91" s="137">
        <f t="shared" si="13"/>
        <v>-7.3031760649999999E-3</v>
      </c>
      <c r="BG91" s="137">
        <f t="shared" si="13"/>
        <v>1.6359275019999999E-5</v>
      </c>
      <c r="BH91" s="137">
        <f t="shared" si="13"/>
        <v>0.13755659119999999</v>
      </c>
      <c r="BI91" s="137">
        <f t="shared" si="13"/>
        <v>0.29654783514999994</v>
      </c>
      <c r="BJ91" s="137">
        <f t="shared" si="12"/>
        <v>0.2829240301</v>
      </c>
      <c r="BK91" s="137">
        <f t="shared" si="12"/>
        <v>1.7122623074999999E-2</v>
      </c>
      <c r="BL91" s="137">
        <f t="shared" si="12"/>
        <v>2.9127032580000001</v>
      </c>
      <c r="BM91" s="137">
        <f t="shared" si="12"/>
        <v>0.31174786524999998</v>
      </c>
    </row>
    <row r="92" spans="1:65" x14ac:dyDescent="0.25">
      <c r="A92" s="149">
        <v>194</v>
      </c>
      <c r="B92" s="149">
        <v>43</v>
      </c>
      <c r="C92" s="61">
        <v>38.990848999999997</v>
      </c>
      <c r="D92" s="61">
        <v>-76.944141000000002</v>
      </c>
      <c r="E92" s="61" t="s">
        <v>265</v>
      </c>
      <c r="F92" s="149">
        <v>86</v>
      </c>
      <c r="G92" s="61" t="s">
        <v>630</v>
      </c>
      <c r="H92" s="61" t="s">
        <v>644</v>
      </c>
      <c r="I92" s="61">
        <v>38.851241999999999</v>
      </c>
      <c r="J92" s="61">
        <v>-77.040232000000003</v>
      </c>
      <c r="K92" s="61">
        <v>24.195713640000001</v>
      </c>
      <c r="L92" s="61">
        <v>33.975999999999999</v>
      </c>
      <c r="M92" s="61" t="s">
        <v>617</v>
      </c>
      <c r="N92" s="149">
        <v>42</v>
      </c>
      <c r="O92" s="149">
        <v>43</v>
      </c>
      <c r="P92" s="61" t="s">
        <v>565</v>
      </c>
      <c r="Q92" s="61" t="s">
        <v>555</v>
      </c>
      <c r="R92" s="61">
        <v>40.6895314</v>
      </c>
      <c r="S92" s="61">
        <v>-74.174462399999996</v>
      </c>
      <c r="T92" s="61">
        <v>336.69600000000003</v>
      </c>
      <c r="U92" s="61" t="s">
        <v>617</v>
      </c>
      <c r="V92" s="61" t="s">
        <v>617</v>
      </c>
      <c r="W92" s="61"/>
      <c r="Y92" s="137">
        <f>Summary_LCIA!H$32</f>
        <v>0.33979999999999999</v>
      </c>
      <c r="Z92" s="137">
        <f>Summary_LCIA!Q$32</f>
        <v>4.9560504329999997</v>
      </c>
      <c r="AA92" s="137">
        <f>Summary_LCIA!R$32</f>
        <v>5.2655999999999996E-3</v>
      </c>
      <c r="AB92" s="137">
        <f>Summary_LCIA!S$32</f>
        <v>0.33538000000000001</v>
      </c>
      <c r="AC92" s="137">
        <f>Summary_LCIA!T$32</f>
        <v>0.1099</v>
      </c>
      <c r="AD92" s="137">
        <f>Summary_LCIA!U$32</f>
        <v>1.7913999999999999E-2</v>
      </c>
      <c r="AE92" s="137">
        <f>Summary_LCIA!V$32</f>
        <v>4.7760999999999999E-5</v>
      </c>
      <c r="AF92" s="137">
        <f>Summary_LCIA!W$32</f>
        <v>7.6970999999999998E-2</v>
      </c>
      <c r="AG92" s="137">
        <f>Summary_LCIA!X$32</f>
        <v>2.2780000000000002E-2</v>
      </c>
      <c r="AH92" s="137">
        <f>Summary_LCIA!Y$32</f>
        <v>1.5582E-2</v>
      </c>
      <c r="AI92" s="137">
        <f>Summary_LCIA!Z$32</f>
        <v>4.1009E-5</v>
      </c>
      <c r="AJ92" s="137">
        <f>Summary_LCIA!AA$32</f>
        <v>2.3355999999999998E-2</v>
      </c>
      <c r="AK92" s="137">
        <f>Summary_LCIA!AB$32</f>
        <v>-2.1823000000000001E-5</v>
      </c>
      <c r="AL92" s="137">
        <f>Summary_LCIA!AC$32</f>
        <v>4.8884000000000003E-8</v>
      </c>
      <c r="AM92" s="137">
        <f>Summary_LCIA!AD$32</f>
        <v>4.1103999999999999E-4</v>
      </c>
      <c r="AN92" s="137">
        <f>Summary_LCIA!AE$32</f>
        <v>8.8612999999999995E-4</v>
      </c>
      <c r="AO92" s="137">
        <f>Summary_LCIA!AF$32</f>
        <v>8.4542000000000005E-4</v>
      </c>
      <c r="AP92" s="137">
        <f>Summary_LCIA!AG$32</f>
        <v>5.1165000000000002E-5</v>
      </c>
      <c r="AQ92" s="137">
        <f>Summary_LCIA!AH$32</f>
        <v>8.7036000000000006E-3</v>
      </c>
      <c r="AR92" s="137">
        <f>Summary_LCIA!AI$32</f>
        <v>9.3154999999999996E-4</v>
      </c>
      <c r="AT92" s="137">
        <f t="shared" si="13"/>
        <v>114.40930080000001</v>
      </c>
      <c r="AU92" s="137">
        <f t="shared" si="13"/>
        <v>1668.6823565893681</v>
      </c>
      <c r="AV92" s="137">
        <f t="shared" si="13"/>
        <v>1.7729064576</v>
      </c>
      <c r="AW92" s="137">
        <f t="shared" si="13"/>
        <v>112.92110448000001</v>
      </c>
      <c r="AX92" s="137">
        <f t="shared" si="13"/>
        <v>37.002890400000005</v>
      </c>
      <c r="AY92" s="137">
        <f t="shared" si="13"/>
        <v>6.0315721440000001</v>
      </c>
      <c r="AZ92" s="137">
        <f t="shared" si="13"/>
        <v>1.6080937656000001E-2</v>
      </c>
      <c r="BA92" s="137">
        <f t="shared" si="13"/>
        <v>25.915827816</v>
      </c>
      <c r="BB92" s="137">
        <f t="shared" si="13"/>
        <v>7.6699348800000013</v>
      </c>
      <c r="BC92" s="137">
        <f t="shared" si="13"/>
        <v>5.2463970720000006</v>
      </c>
      <c r="BD92" s="137">
        <f t="shared" si="13"/>
        <v>1.3807566264000001E-2</v>
      </c>
      <c r="BE92" s="137">
        <f t="shared" si="13"/>
        <v>7.8638717759999999</v>
      </c>
      <c r="BF92" s="137">
        <f t="shared" si="13"/>
        <v>-7.3477168080000009E-3</v>
      </c>
      <c r="BG92" s="137">
        <f t="shared" si="13"/>
        <v>1.6459047264000001E-5</v>
      </c>
      <c r="BH92" s="137">
        <f t="shared" si="13"/>
        <v>0.13839552384000001</v>
      </c>
      <c r="BI92" s="137">
        <f t="shared" si="13"/>
        <v>0.29835642647999999</v>
      </c>
      <c r="BJ92" s="137">
        <f t="shared" si="12"/>
        <v>0.28464953232000006</v>
      </c>
      <c r="BK92" s="137">
        <f t="shared" si="12"/>
        <v>1.7227050840000001E-2</v>
      </c>
      <c r="BL92" s="137">
        <f t="shared" si="12"/>
        <v>2.9304673056000006</v>
      </c>
      <c r="BM92" s="137">
        <f t="shared" si="12"/>
        <v>0.31364915879999999</v>
      </c>
    </row>
    <row r="93" spans="1:65" x14ac:dyDescent="0.25">
      <c r="A93" s="149">
        <v>195</v>
      </c>
      <c r="B93" s="149">
        <v>43</v>
      </c>
      <c r="C93" s="61">
        <v>38.990848999999997</v>
      </c>
      <c r="D93" s="61">
        <v>-76.944141000000002</v>
      </c>
      <c r="E93" s="61" t="s">
        <v>265</v>
      </c>
      <c r="F93" s="149">
        <v>86</v>
      </c>
      <c r="G93" s="61" t="s">
        <v>630</v>
      </c>
      <c r="H93" s="61" t="s">
        <v>644</v>
      </c>
      <c r="I93" s="61">
        <v>38.851241999999999</v>
      </c>
      <c r="J93" s="61">
        <v>-77.040232000000003</v>
      </c>
      <c r="K93" s="61">
        <v>24.195713640000001</v>
      </c>
      <c r="L93" s="61">
        <v>33.975999999999999</v>
      </c>
      <c r="M93" s="61" t="s">
        <v>617</v>
      </c>
      <c r="N93" s="149">
        <v>42</v>
      </c>
      <c r="O93" s="149">
        <v>43</v>
      </c>
      <c r="P93" s="61" t="s">
        <v>565</v>
      </c>
      <c r="Q93" s="61" t="s">
        <v>555</v>
      </c>
      <c r="R93" s="61">
        <v>40.6895314</v>
      </c>
      <c r="S93" s="61">
        <v>-74.174462399999996</v>
      </c>
      <c r="T93" s="61">
        <v>336.69600000000003</v>
      </c>
      <c r="U93" s="61" t="s">
        <v>617</v>
      </c>
      <c r="V93" s="61" t="s">
        <v>617</v>
      </c>
      <c r="W93" s="61"/>
      <c r="Y93" s="137">
        <f>Summary_LCIA!H$32</f>
        <v>0.33979999999999999</v>
      </c>
      <c r="Z93" s="137">
        <f>Summary_LCIA!Q$32</f>
        <v>4.9560504329999997</v>
      </c>
      <c r="AA93" s="137">
        <f>Summary_LCIA!R$32</f>
        <v>5.2655999999999996E-3</v>
      </c>
      <c r="AB93" s="137">
        <f>Summary_LCIA!S$32</f>
        <v>0.33538000000000001</v>
      </c>
      <c r="AC93" s="137">
        <f>Summary_LCIA!T$32</f>
        <v>0.1099</v>
      </c>
      <c r="AD93" s="137">
        <f>Summary_LCIA!U$32</f>
        <v>1.7913999999999999E-2</v>
      </c>
      <c r="AE93" s="137">
        <f>Summary_LCIA!V$32</f>
        <v>4.7760999999999999E-5</v>
      </c>
      <c r="AF93" s="137">
        <f>Summary_LCIA!W$32</f>
        <v>7.6970999999999998E-2</v>
      </c>
      <c r="AG93" s="137">
        <f>Summary_LCIA!X$32</f>
        <v>2.2780000000000002E-2</v>
      </c>
      <c r="AH93" s="137">
        <f>Summary_LCIA!Y$32</f>
        <v>1.5582E-2</v>
      </c>
      <c r="AI93" s="137">
        <f>Summary_LCIA!Z$32</f>
        <v>4.1009E-5</v>
      </c>
      <c r="AJ93" s="137">
        <f>Summary_LCIA!AA$32</f>
        <v>2.3355999999999998E-2</v>
      </c>
      <c r="AK93" s="137">
        <f>Summary_LCIA!AB$32</f>
        <v>-2.1823000000000001E-5</v>
      </c>
      <c r="AL93" s="137">
        <f>Summary_LCIA!AC$32</f>
        <v>4.8884000000000003E-8</v>
      </c>
      <c r="AM93" s="137">
        <f>Summary_LCIA!AD$32</f>
        <v>4.1103999999999999E-4</v>
      </c>
      <c r="AN93" s="137">
        <f>Summary_LCIA!AE$32</f>
        <v>8.8612999999999995E-4</v>
      </c>
      <c r="AO93" s="137">
        <f>Summary_LCIA!AF$32</f>
        <v>8.4542000000000005E-4</v>
      </c>
      <c r="AP93" s="137">
        <f>Summary_LCIA!AG$32</f>
        <v>5.1165000000000002E-5</v>
      </c>
      <c r="AQ93" s="137">
        <f>Summary_LCIA!AH$32</f>
        <v>8.7036000000000006E-3</v>
      </c>
      <c r="AR93" s="137">
        <f>Summary_LCIA!AI$32</f>
        <v>9.3154999999999996E-4</v>
      </c>
      <c r="AT93" s="137">
        <f t="shared" si="13"/>
        <v>114.40930080000001</v>
      </c>
      <c r="AU93" s="137">
        <f t="shared" si="13"/>
        <v>1668.6823565893681</v>
      </c>
      <c r="AV93" s="137">
        <f t="shared" si="13"/>
        <v>1.7729064576</v>
      </c>
      <c r="AW93" s="137">
        <f t="shared" si="13"/>
        <v>112.92110448000001</v>
      </c>
      <c r="AX93" s="137">
        <f t="shared" si="13"/>
        <v>37.002890400000005</v>
      </c>
      <c r="AY93" s="137">
        <f t="shared" si="13"/>
        <v>6.0315721440000001</v>
      </c>
      <c r="AZ93" s="137">
        <f t="shared" si="13"/>
        <v>1.6080937656000001E-2</v>
      </c>
      <c r="BA93" s="137">
        <f t="shared" si="13"/>
        <v>25.915827816</v>
      </c>
      <c r="BB93" s="137">
        <f t="shared" si="13"/>
        <v>7.6699348800000013</v>
      </c>
      <c r="BC93" s="137">
        <f t="shared" si="13"/>
        <v>5.2463970720000006</v>
      </c>
      <c r="BD93" s="137">
        <f t="shared" si="13"/>
        <v>1.3807566264000001E-2</v>
      </c>
      <c r="BE93" s="137">
        <f t="shared" si="13"/>
        <v>7.8638717759999999</v>
      </c>
      <c r="BF93" s="137">
        <f t="shared" si="13"/>
        <v>-7.3477168080000009E-3</v>
      </c>
      <c r="BG93" s="137">
        <f t="shared" si="13"/>
        <v>1.6459047264000001E-5</v>
      </c>
      <c r="BH93" s="137">
        <f t="shared" si="13"/>
        <v>0.13839552384000001</v>
      </c>
      <c r="BI93" s="137">
        <f t="shared" si="13"/>
        <v>0.29835642647999999</v>
      </c>
      <c r="BJ93" s="137">
        <f t="shared" si="12"/>
        <v>0.28464953232000006</v>
      </c>
      <c r="BK93" s="137">
        <f t="shared" si="12"/>
        <v>1.7227050840000001E-2</v>
      </c>
      <c r="BL93" s="137">
        <f t="shared" si="12"/>
        <v>2.9304673056000006</v>
      </c>
      <c r="BM93" s="137">
        <f t="shared" si="12"/>
        <v>0.31364915879999999</v>
      </c>
    </row>
    <row r="94" spans="1:65" x14ac:dyDescent="0.25">
      <c r="A94" s="149">
        <v>345</v>
      </c>
      <c r="B94" s="149">
        <v>43</v>
      </c>
      <c r="C94" s="61">
        <v>38.990665999999997</v>
      </c>
      <c r="D94" s="61">
        <v>-77.026088000000001</v>
      </c>
      <c r="E94" s="61" t="s">
        <v>265</v>
      </c>
      <c r="F94" s="149">
        <v>86</v>
      </c>
      <c r="G94" s="61" t="s">
        <v>630</v>
      </c>
      <c r="H94" s="61" t="s">
        <v>644</v>
      </c>
      <c r="I94" s="61">
        <v>38.851241999999999</v>
      </c>
      <c r="J94" s="61">
        <v>-77.040232000000003</v>
      </c>
      <c r="K94" s="61">
        <v>22.001929870000001</v>
      </c>
      <c r="L94" s="61">
        <v>20.452000000000002</v>
      </c>
      <c r="M94" s="61" t="s">
        <v>617</v>
      </c>
      <c r="N94" s="149">
        <v>42</v>
      </c>
      <c r="O94" s="149">
        <v>43</v>
      </c>
      <c r="P94" s="61" t="s">
        <v>565</v>
      </c>
      <c r="Q94" s="61" t="s">
        <v>555</v>
      </c>
      <c r="R94" s="61">
        <v>40.6895314</v>
      </c>
      <c r="S94" s="61">
        <v>-74.174462399999996</v>
      </c>
      <c r="T94" s="61">
        <v>338.21699999999998</v>
      </c>
      <c r="U94" s="61" t="s">
        <v>617</v>
      </c>
      <c r="V94" s="61" t="s">
        <v>617</v>
      </c>
      <c r="W94" s="61"/>
      <c r="Y94" s="137">
        <f>Summary_LCIA!H$32</f>
        <v>0.33979999999999999</v>
      </c>
      <c r="Z94" s="137">
        <f>Summary_LCIA!Q$32</f>
        <v>4.9560504329999997</v>
      </c>
      <c r="AA94" s="137">
        <f>Summary_LCIA!R$32</f>
        <v>5.2655999999999996E-3</v>
      </c>
      <c r="AB94" s="137">
        <f>Summary_LCIA!S$32</f>
        <v>0.33538000000000001</v>
      </c>
      <c r="AC94" s="137">
        <f>Summary_LCIA!T$32</f>
        <v>0.1099</v>
      </c>
      <c r="AD94" s="137">
        <f>Summary_LCIA!U$32</f>
        <v>1.7913999999999999E-2</v>
      </c>
      <c r="AE94" s="137">
        <f>Summary_LCIA!V$32</f>
        <v>4.7760999999999999E-5</v>
      </c>
      <c r="AF94" s="137">
        <f>Summary_LCIA!W$32</f>
        <v>7.6970999999999998E-2</v>
      </c>
      <c r="AG94" s="137">
        <f>Summary_LCIA!X$32</f>
        <v>2.2780000000000002E-2</v>
      </c>
      <c r="AH94" s="137">
        <f>Summary_LCIA!Y$32</f>
        <v>1.5582E-2</v>
      </c>
      <c r="AI94" s="137">
        <f>Summary_LCIA!Z$32</f>
        <v>4.1009E-5</v>
      </c>
      <c r="AJ94" s="137">
        <f>Summary_LCIA!AA$32</f>
        <v>2.3355999999999998E-2</v>
      </c>
      <c r="AK94" s="137">
        <f>Summary_LCIA!AB$32</f>
        <v>-2.1823000000000001E-5</v>
      </c>
      <c r="AL94" s="137">
        <f>Summary_LCIA!AC$32</f>
        <v>4.8884000000000003E-8</v>
      </c>
      <c r="AM94" s="137">
        <f>Summary_LCIA!AD$32</f>
        <v>4.1103999999999999E-4</v>
      </c>
      <c r="AN94" s="137">
        <f>Summary_LCIA!AE$32</f>
        <v>8.8612999999999995E-4</v>
      </c>
      <c r="AO94" s="137">
        <f>Summary_LCIA!AF$32</f>
        <v>8.4542000000000005E-4</v>
      </c>
      <c r="AP94" s="137">
        <f>Summary_LCIA!AG$32</f>
        <v>5.1165000000000002E-5</v>
      </c>
      <c r="AQ94" s="137">
        <f>Summary_LCIA!AH$32</f>
        <v>8.7036000000000006E-3</v>
      </c>
      <c r="AR94" s="137">
        <f>Summary_LCIA!AI$32</f>
        <v>9.3154999999999996E-4</v>
      </c>
      <c r="AT94" s="137">
        <f t="shared" si="13"/>
        <v>114.92613659999999</v>
      </c>
      <c r="AU94" s="137">
        <f t="shared" si="13"/>
        <v>1676.2205092979609</v>
      </c>
      <c r="AV94" s="137">
        <f t="shared" si="13"/>
        <v>1.7809154351999998</v>
      </c>
      <c r="AW94" s="137">
        <f t="shared" si="13"/>
        <v>113.43121746</v>
      </c>
      <c r="AX94" s="137">
        <f t="shared" si="13"/>
        <v>37.170048299999998</v>
      </c>
      <c r="AY94" s="137">
        <f t="shared" si="13"/>
        <v>6.0588193379999993</v>
      </c>
      <c r="AZ94" s="137">
        <f t="shared" si="13"/>
        <v>1.6153582136999998E-2</v>
      </c>
      <c r="BA94" s="137">
        <f t="shared" si="13"/>
        <v>26.032900707</v>
      </c>
      <c r="BB94" s="137">
        <f t="shared" si="13"/>
        <v>7.7045832600000006</v>
      </c>
      <c r="BC94" s="137">
        <f t="shared" si="13"/>
        <v>5.2700972940000002</v>
      </c>
      <c r="BD94" s="137">
        <f t="shared" si="13"/>
        <v>1.3869940952999999E-2</v>
      </c>
      <c r="BE94" s="137">
        <f t="shared" si="13"/>
        <v>7.899396251999999</v>
      </c>
      <c r="BF94" s="137">
        <f t="shared" si="13"/>
        <v>-7.3809095910000004E-3</v>
      </c>
      <c r="BG94" s="137">
        <f t="shared" si="13"/>
        <v>1.6533399827999999E-5</v>
      </c>
      <c r="BH94" s="137">
        <f t="shared" si="13"/>
        <v>0.13902071567999999</v>
      </c>
      <c r="BI94" s="137">
        <f t="shared" si="13"/>
        <v>0.29970423020999998</v>
      </c>
      <c r="BJ94" s="137">
        <f t="shared" si="12"/>
        <v>0.28593541614000001</v>
      </c>
      <c r="BK94" s="137">
        <f t="shared" si="12"/>
        <v>1.7304872805E-2</v>
      </c>
      <c r="BL94" s="137">
        <f t="shared" si="12"/>
        <v>2.9437054811999999</v>
      </c>
      <c r="BM94" s="137">
        <f t="shared" si="12"/>
        <v>0.31506604634999996</v>
      </c>
    </row>
    <row r="95" spans="1:65" x14ac:dyDescent="0.25">
      <c r="A95" s="149">
        <v>112</v>
      </c>
      <c r="B95" s="149">
        <v>43</v>
      </c>
      <c r="C95" s="61">
        <v>38.899540000000002</v>
      </c>
      <c r="D95" s="61">
        <v>-77.003996000000001</v>
      </c>
      <c r="E95" s="61" t="s">
        <v>265</v>
      </c>
      <c r="F95" s="149">
        <v>86</v>
      </c>
      <c r="G95" s="61" t="s">
        <v>630</v>
      </c>
      <c r="H95" s="61" t="s">
        <v>644</v>
      </c>
      <c r="I95" s="61">
        <v>38.851241999999999</v>
      </c>
      <c r="J95" s="61">
        <v>-77.040232000000003</v>
      </c>
      <c r="K95" s="61">
        <v>8.4899752769999992</v>
      </c>
      <c r="L95" s="61">
        <v>10.651</v>
      </c>
      <c r="M95" s="61" t="s">
        <v>617</v>
      </c>
      <c r="N95" s="149">
        <v>42</v>
      </c>
      <c r="O95" s="149">
        <v>43</v>
      </c>
      <c r="P95" s="61" t="s">
        <v>565</v>
      </c>
      <c r="Q95" s="61" t="s">
        <v>555</v>
      </c>
      <c r="R95" s="61">
        <v>40.6895314</v>
      </c>
      <c r="S95" s="61">
        <v>-74.174462399999996</v>
      </c>
      <c r="T95" s="61">
        <v>341.99299999999999</v>
      </c>
      <c r="U95" s="61" t="s">
        <v>617</v>
      </c>
      <c r="V95" s="61" t="s">
        <v>617</v>
      </c>
      <c r="W95" s="61"/>
      <c r="Y95" s="137">
        <f>Summary_LCIA!H$32</f>
        <v>0.33979999999999999</v>
      </c>
      <c r="Z95" s="137">
        <f>Summary_LCIA!Q$32</f>
        <v>4.9560504329999997</v>
      </c>
      <c r="AA95" s="137">
        <f>Summary_LCIA!R$32</f>
        <v>5.2655999999999996E-3</v>
      </c>
      <c r="AB95" s="137">
        <f>Summary_LCIA!S$32</f>
        <v>0.33538000000000001</v>
      </c>
      <c r="AC95" s="137">
        <f>Summary_LCIA!T$32</f>
        <v>0.1099</v>
      </c>
      <c r="AD95" s="137">
        <f>Summary_LCIA!U$32</f>
        <v>1.7913999999999999E-2</v>
      </c>
      <c r="AE95" s="137">
        <f>Summary_LCIA!V$32</f>
        <v>4.7760999999999999E-5</v>
      </c>
      <c r="AF95" s="137">
        <f>Summary_LCIA!W$32</f>
        <v>7.6970999999999998E-2</v>
      </c>
      <c r="AG95" s="137">
        <f>Summary_LCIA!X$32</f>
        <v>2.2780000000000002E-2</v>
      </c>
      <c r="AH95" s="137">
        <f>Summary_LCIA!Y$32</f>
        <v>1.5582E-2</v>
      </c>
      <c r="AI95" s="137">
        <f>Summary_LCIA!Z$32</f>
        <v>4.1009E-5</v>
      </c>
      <c r="AJ95" s="137">
        <f>Summary_LCIA!AA$32</f>
        <v>2.3355999999999998E-2</v>
      </c>
      <c r="AK95" s="137">
        <f>Summary_LCIA!AB$32</f>
        <v>-2.1823000000000001E-5</v>
      </c>
      <c r="AL95" s="137">
        <f>Summary_LCIA!AC$32</f>
        <v>4.8884000000000003E-8</v>
      </c>
      <c r="AM95" s="137">
        <f>Summary_LCIA!AD$32</f>
        <v>4.1103999999999999E-4</v>
      </c>
      <c r="AN95" s="137">
        <f>Summary_LCIA!AE$32</f>
        <v>8.8612999999999995E-4</v>
      </c>
      <c r="AO95" s="137">
        <f>Summary_LCIA!AF$32</f>
        <v>8.4542000000000005E-4</v>
      </c>
      <c r="AP95" s="137">
        <f>Summary_LCIA!AG$32</f>
        <v>5.1165000000000002E-5</v>
      </c>
      <c r="AQ95" s="137">
        <f>Summary_LCIA!AH$32</f>
        <v>8.7036000000000006E-3</v>
      </c>
      <c r="AR95" s="137">
        <f>Summary_LCIA!AI$32</f>
        <v>9.3154999999999996E-4</v>
      </c>
      <c r="AT95" s="137">
        <f t="shared" si="13"/>
        <v>116.20922139999999</v>
      </c>
      <c r="AU95" s="137">
        <f t="shared" si="13"/>
        <v>1694.9345557329689</v>
      </c>
      <c r="AV95" s="137">
        <f t="shared" si="13"/>
        <v>1.8007983407999999</v>
      </c>
      <c r="AW95" s="137">
        <f t="shared" si="13"/>
        <v>114.69761234000001</v>
      </c>
      <c r="AX95" s="137">
        <f t="shared" si="13"/>
        <v>37.585030699999997</v>
      </c>
      <c r="AY95" s="137">
        <f t="shared" si="13"/>
        <v>6.1264626019999993</v>
      </c>
      <c r="AZ95" s="137">
        <f t="shared" si="13"/>
        <v>1.6333927673000001E-2</v>
      </c>
      <c r="BA95" s="137">
        <f t="shared" si="13"/>
        <v>26.323543203</v>
      </c>
      <c r="BB95" s="137">
        <f t="shared" si="13"/>
        <v>7.7906005400000007</v>
      </c>
      <c r="BC95" s="137">
        <f t="shared" si="13"/>
        <v>5.3289349259999996</v>
      </c>
      <c r="BD95" s="137">
        <f t="shared" si="13"/>
        <v>1.4024790936999999E-2</v>
      </c>
      <c r="BE95" s="137">
        <f t="shared" si="13"/>
        <v>7.9875885079999991</v>
      </c>
      <c r="BF95" s="137">
        <f t="shared" si="13"/>
        <v>-7.4633132390000004E-3</v>
      </c>
      <c r="BG95" s="137">
        <f t="shared" si="13"/>
        <v>1.6717985812E-5</v>
      </c>
      <c r="BH95" s="137">
        <f t="shared" si="13"/>
        <v>0.14057280272</v>
      </c>
      <c r="BI95" s="137">
        <f t="shared" si="13"/>
        <v>0.30305025709</v>
      </c>
      <c r="BJ95" s="137">
        <f t="shared" si="12"/>
        <v>0.28912772206000004</v>
      </c>
      <c r="BK95" s="137">
        <f t="shared" si="12"/>
        <v>1.7498071845000001E-2</v>
      </c>
      <c r="BL95" s="137">
        <f t="shared" si="12"/>
        <v>2.9765702748000002</v>
      </c>
      <c r="BM95" s="137">
        <f t="shared" si="12"/>
        <v>0.31858357914999996</v>
      </c>
    </row>
    <row r="96" spans="1:65" x14ac:dyDescent="0.25">
      <c r="A96" s="149">
        <v>113</v>
      </c>
      <c r="B96" s="149">
        <v>43</v>
      </c>
      <c r="C96" s="61">
        <v>38.899540000000002</v>
      </c>
      <c r="D96" s="61">
        <v>-77.003996000000001</v>
      </c>
      <c r="E96" s="61" t="s">
        <v>265</v>
      </c>
      <c r="F96" s="149">
        <v>86</v>
      </c>
      <c r="G96" s="61" t="s">
        <v>630</v>
      </c>
      <c r="H96" s="61" t="s">
        <v>644</v>
      </c>
      <c r="I96" s="61">
        <v>38.851241999999999</v>
      </c>
      <c r="J96" s="61">
        <v>-77.040232000000003</v>
      </c>
      <c r="K96" s="61">
        <v>8.4899752769999992</v>
      </c>
      <c r="L96" s="61">
        <v>10.651</v>
      </c>
      <c r="M96" s="61" t="s">
        <v>617</v>
      </c>
      <c r="N96" s="149">
        <v>42</v>
      </c>
      <c r="O96" s="149">
        <v>43</v>
      </c>
      <c r="P96" s="61" t="s">
        <v>565</v>
      </c>
      <c r="Q96" s="61" t="s">
        <v>555</v>
      </c>
      <c r="R96" s="61">
        <v>40.6895314</v>
      </c>
      <c r="S96" s="61">
        <v>-74.174462399999996</v>
      </c>
      <c r="T96" s="61">
        <v>341.99299999999999</v>
      </c>
      <c r="U96" s="61" t="s">
        <v>617</v>
      </c>
      <c r="V96" s="61" t="s">
        <v>617</v>
      </c>
      <c r="W96" s="61"/>
      <c r="Y96" s="137">
        <f>Summary_LCIA!H$32</f>
        <v>0.33979999999999999</v>
      </c>
      <c r="Z96" s="137">
        <f>Summary_LCIA!Q$32</f>
        <v>4.9560504329999997</v>
      </c>
      <c r="AA96" s="137">
        <f>Summary_LCIA!R$32</f>
        <v>5.2655999999999996E-3</v>
      </c>
      <c r="AB96" s="137">
        <f>Summary_LCIA!S$32</f>
        <v>0.33538000000000001</v>
      </c>
      <c r="AC96" s="137">
        <f>Summary_LCIA!T$32</f>
        <v>0.1099</v>
      </c>
      <c r="AD96" s="137">
        <f>Summary_LCIA!U$32</f>
        <v>1.7913999999999999E-2</v>
      </c>
      <c r="AE96" s="137">
        <f>Summary_LCIA!V$32</f>
        <v>4.7760999999999999E-5</v>
      </c>
      <c r="AF96" s="137">
        <f>Summary_LCIA!W$32</f>
        <v>7.6970999999999998E-2</v>
      </c>
      <c r="AG96" s="137">
        <f>Summary_LCIA!X$32</f>
        <v>2.2780000000000002E-2</v>
      </c>
      <c r="AH96" s="137">
        <f>Summary_LCIA!Y$32</f>
        <v>1.5582E-2</v>
      </c>
      <c r="AI96" s="137">
        <f>Summary_LCIA!Z$32</f>
        <v>4.1009E-5</v>
      </c>
      <c r="AJ96" s="137">
        <f>Summary_LCIA!AA$32</f>
        <v>2.3355999999999998E-2</v>
      </c>
      <c r="AK96" s="137">
        <f>Summary_LCIA!AB$32</f>
        <v>-2.1823000000000001E-5</v>
      </c>
      <c r="AL96" s="137">
        <f>Summary_LCIA!AC$32</f>
        <v>4.8884000000000003E-8</v>
      </c>
      <c r="AM96" s="137">
        <f>Summary_LCIA!AD$32</f>
        <v>4.1103999999999999E-4</v>
      </c>
      <c r="AN96" s="137">
        <f>Summary_LCIA!AE$32</f>
        <v>8.8612999999999995E-4</v>
      </c>
      <c r="AO96" s="137">
        <f>Summary_LCIA!AF$32</f>
        <v>8.4542000000000005E-4</v>
      </c>
      <c r="AP96" s="137">
        <f>Summary_LCIA!AG$32</f>
        <v>5.1165000000000002E-5</v>
      </c>
      <c r="AQ96" s="137">
        <f>Summary_LCIA!AH$32</f>
        <v>8.7036000000000006E-3</v>
      </c>
      <c r="AR96" s="137">
        <f>Summary_LCIA!AI$32</f>
        <v>9.3154999999999996E-4</v>
      </c>
      <c r="AT96" s="137">
        <f t="shared" si="13"/>
        <v>116.20922139999999</v>
      </c>
      <c r="AU96" s="137">
        <f t="shared" si="13"/>
        <v>1694.9345557329689</v>
      </c>
      <c r="AV96" s="137">
        <f t="shared" si="13"/>
        <v>1.8007983407999999</v>
      </c>
      <c r="AW96" s="137">
        <f t="shared" si="13"/>
        <v>114.69761234000001</v>
      </c>
      <c r="AX96" s="137">
        <f t="shared" si="13"/>
        <v>37.585030699999997</v>
      </c>
      <c r="AY96" s="137">
        <f t="shared" si="13"/>
        <v>6.1264626019999993</v>
      </c>
      <c r="AZ96" s="137">
        <f t="shared" si="13"/>
        <v>1.6333927673000001E-2</v>
      </c>
      <c r="BA96" s="137">
        <f t="shared" si="13"/>
        <v>26.323543203</v>
      </c>
      <c r="BB96" s="137">
        <f t="shared" si="13"/>
        <v>7.7906005400000007</v>
      </c>
      <c r="BC96" s="137">
        <f t="shared" si="13"/>
        <v>5.3289349259999996</v>
      </c>
      <c r="BD96" s="137">
        <f t="shared" si="13"/>
        <v>1.4024790936999999E-2</v>
      </c>
      <c r="BE96" s="137">
        <f t="shared" si="13"/>
        <v>7.9875885079999991</v>
      </c>
      <c r="BF96" s="137">
        <f t="shared" si="13"/>
        <v>-7.4633132390000004E-3</v>
      </c>
      <c r="BG96" s="137">
        <f t="shared" si="13"/>
        <v>1.6717985812E-5</v>
      </c>
      <c r="BH96" s="137">
        <f t="shared" si="13"/>
        <v>0.14057280272</v>
      </c>
      <c r="BI96" s="137">
        <f t="shared" si="13"/>
        <v>0.30305025709</v>
      </c>
      <c r="BJ96" s="137">
        <f t="shared" si="12"/>
        <v>0.28912772206000004</v>
      </c>
      <c r="BK96" s="137">
        <f t="shared" si="12"/>
        <v>1.7498071845000001E-2</v>
      </c>
      <c r="BL96" s="137">
        <f t="shared" si="12"/>
        <v>2.9765702748000002</v>
      </c>
      <c r="BM96" s="137">
        <f t="shared" si="12"/>
        <v>0.31858357914999996</v>
      </c>
    </row>
    <row r="97" spans="1:65" x14ac:dyDescent="0.25">
      <c r="A97" s="149">
        <v>57</v>
      </c>
      <c r="B97" s="149">
        <v>43</v>
      </c>
      <c r="C97" s="61">
        <v>38.898505</v>
      </c>
      <c r="D97" s="61">
        <v>-77.010475</v>
      </c>
      <c r="E97" s="61" t="s">
        <v>265</v>
      </c>
      <c r="F97" s="149">
        <v>86</v>
      </c>
      <c r="G97" s="61" t="s">
        <v>630</v>
      </c>
      <c r="H97" s="61" t="s">
        <v>644</v>
      </c>
      <c r="I97" s="61">
        <v>38.851241999999999</v>
      </c>
      <c r="J97" s="61">
        <v>-77.040232000000003</v>
      </c>
      <c r="K97" s="61">
        <v>8.0893784039999996</v>
      </c>
      <c r="L97" s="61">
        <v>9.125</v>
      </c>
      <c r="M97" s="61" t="s">
        <v>617</v>
      </c>
      <c r="N97" s="149">
        <v>42</v>
      </c>
      <c r="O97" s="149">
        <v>43</v>
      </c>
      <c r="P97" s="61" t="s">
        <v>565</v>
      </c>
      <c r="Q97" s="61" t="s">
        <v>555</v>
      </c>
      <c r="R97" s="61">
        <v>40.6895314</v>
      </c>
      <c r="S97" s="61">
        <v>-74.174462399999996</v>
      </c>
      <c r="T97" s="61">
        <v>342.65800000000002</v>
      </c>
      <c r="U97" s="61" t="s">
        <v>617</v>
      </c>
      <c r="V97" s="61" t="s">
        <v>617</v>
      </c>
      <c r="W97" s="61"/>
      <c r="Y97" s="137">
        <f>Summary_LCIA!H$32</f>
        <v>0.33979999999999999</v>
      </c>
      <c r="Z97" s="137">
        <f>Summary_LCIA!Q$32</f>
        <v>4.9560504329999997</v>
      </c>
      <c r="AA97" s="137">
        <f>Summary_LCIA!R$32</f>
        <v>5.2655999999999996E-3</v>
      </c>
      <c r="AB97" s="137">
        <f>Summary_LCIA!S$32</f>
        <v>0.33538000000000001</v>
      </c>
      <c r="AC97" s="137">
        <f>Summary_LCIA!T$32</f>
        <v>0.1099</v>
      </c>
      <c r="AD97" s="137">
        <f>Summary_LCIA!U$32</f>
        <v>1.7913999999999999E-2</v>
      </c>
      <c r="AE97" s="137">
        <f>Summary_LCIA!V$32</f>
        <v>4.7760999999999999E-5</v>
      </c>
      <c r="AF97" s="137">
        <f>Summary_LCIA!W$32</f>
        <v>7.6970999999999998E-2</v>
      </c>
      <c r="AG97" s="137">
        <f>Summary_LCIA!X$32</f>
        <v>2.2780000000000002E-2</v>
      </c>
      <c r="AH97" s="137">
        <f>Summary_LCIA!Y$32</f>
        <v>1.5582E-2</v>
      </c>
      <c r="AI97" s="137">
        <f>Summary_LCIA!Z$32</f>
        <v>4.1009E-5</v>
      </c>
      <c r="AJ97" s="137">
        <f>Summary_LCIA!AA$32</f>
        <v>2.3355999999999998E-2</v>
      </c>
      <c r="AK97" s="137">
        <f>Summary_LCIA!AB$32</f>
        <v>-2.1823000000000001E-5</v>
      </c>
      <c r="AL97" s="137">
        <f>Summary_LCIA!AC$32</f>
        <v>4.8884000000000003E-8</v>
      </c>
      <c r="AM97" s="137">
        <f>Summary_LCIA!AD$32</f>
        <v>4.1103999999999999E-4</v>
      </c>
      <c r="AN97" s="137">
        <f>Summary_LCIA!AE$32</f>
        <v>8.8612999999999995E-4</v>
      </c>
      <c r="AO97" s="137">
        <f>Summary_LCIA!AF$32</f>
        <v>8.4542000000000005E-4</v>
      </c>
      <c r="AP97" s="137">
        <f>Summary_LCIA!AG$32</f>
        <v>5.1165000000000002E-5</v>
      </c>
      <c r="AQ97" s="137">
        <f>Summary_LCIA!AH$32</f>
        <v>8.7036000000000006E-3</v>
      </c>
      <c r="AR97" s="137">
        <f>Summary_LCIA!AI$32</f>
        <v>9.3154999999999996E-4</v>
      </c>
      <c r="AT97" s="137">
        <f t="shared" si="13"/>
        <v>116.4351884</v>
      </c>
      <c r="AU97" s="137">
        <f t="shared" si="13"/>
        <v>1698.2303292709139</v>
      </c>
      <c r="AV97" s="137">
        <f t="shared" si="13"/>
        <v>1.8042999648</v>
      </c>
      <c r="AW97" s="137">
        <f t="shared" si="13"/>
        <v>114.92064004000001</v>
      </c>
      <c r="AX97" s="137">
        <f t="shared" si="13"/>
        <v>37.6581142</v>
      </c>
      <c r="AY97" s="137">
        <f t="shared" si="13"/>
        <v>6.1383754120000003</v>
      </c>
      <c r="AZ97" s="137">
        <f t="shared" si="13"/>
        <v>1.6365688738000001E-2</v>
      </c>
      <c r="BA97" s="137">
        <f t="shared" si="13"/>
        <v>26.374728917999999</v>
      </c>
      <c r="BB97" s="137">
        <f t="shared" si="13"/>
        <v>7.8057492400000008</v>
      </c>
      <c r="BC97" s="137">
        <f t="shared" si="13"/>
        <v>5.3392969560000001</v>
      </c>
      <c r="BD97" s="137">
        <f t="shared" si="13"/>
        <v>1.4052061922E-2</v>
      </c>
      <c r="BE97" s="137">
        <f t="shared" si="13"/>
        <v>8.0031202480000001</v>
      </c>
      <c r="BF97" s="137">
        <f t="shared" si="13"/>
        <v>-7.4778255340000009E-3</v>
      </c>
      <c r="BG97" s="137">
        <f t="shared" si="13"/>
        <v>1.6750493672000002E-5</v>
      </c>
      <c r="BH97" s="137">
        <f t="shared" si="13"/>
        <v>0.14084614432000001</v>
      </c>
      <c r="BI97" s="137">
        <f t="shared" si="13"/>
        <v>0.30363953354000001</v>
      </c>
      <c r="BJ97" s="137">
        <f t="shared" si="12"/>
        <v>0.28968992636000002</v>
      </c>
      <c r="BK97" s="137">
        <f t="shared" si="12"/>
        <v>1.7532096570000003E-2</v>
      </c>
      <c r="BL97" s="137">
        <f t="shared" si="12"/>
        <v>2.9823581688000003</v>
      </c>
      <c r="BM97" s="137">
        <f t="shared" si="12"/>
        <v>0.31920305989999997</v>
      </c>
    </row>
    <row r="98" spans="1:65" x14ac:dyDescent="0.25">
      <c r="A98" s="149">
        <v>370</v>
      </c>
      <c r="B98" s="149">
        <v>43</v>
      </c>
      <c r="C98" s="61">
        <v>38.907192000000002</v>
      </c>
      <c r="D98" s="61">
        <v>-77.036871000000005</v>
      </c>
      <c r="E98" s="61" t="s">
        <v>265</v>
      </c>
      <c r="F98" s="149">
        <v>86</v>
      </c>
      <c r="G98" s="61" t="s">
        <v>630</v>
      </c>
      <c r="H98" s="61" t="s">
        <v>644</v>
      </c>
      <c r="I98" s="61">
        <v>38.851241999999999</v>
      </c>
      <c r="J98" s="61">
        <v>-77.040232000000003</v>
      </c>
      <c r="K98" s="61">
        <v>8.800194329</v>
      </c>
      <c r="L98" s="61">
        <v>8.4060000000000006</v>
      </c>
      <c r="M98" s="61" t="s">
        <v>617</v>
      </c>
      <c r="N98" s="149">
        <v>42</v>
      </c>
      <c r="O98" s="149">
        <v>43</v>
      </c>
      <c r="P98" s="61" t="s">
        <v>565</v>
      </c>
      <c r="Q98" s="61" t="s">
        <v>555</v>
      </c>
      <c r="R98" s="61">
        <v>40.6895314</v>
      </c>
      <c r="S98" s="61">
        <v>-74.174462399999996</v>
      </c>
      <c r="T98" s="61">
        <v>344.01499999999999</v>
      </c>
      <c r="U98" s="61" t="s">
        <v>617</v>
      </c>
      <c r="V98" s="61" t="s">
        <v>617</v>
      </c>
      <c r="W98" s="61"/>
      <c r="Y98" s="137">
        <f>Summary_LCIA!H$32</f>
        <v>0.33979999999999999</v>
      </c>
      <c r="Z98" s="137">
        <f>Summary_LCIA!Q$32</f>
        <v>4.9560504329999997</v>
      </c>
      <c r="AA98" s="137">
        <f>Summary_LCIA!R$32</f>
        <v>5.2655999999999996E-3</v>
      </c>
      <c r="AB98" s="137">
        <f>Summary_LCIA!S$32</f>
        <v>0.33538000000000001</v>
      </c>
      <c r="AC98" s="137">
        <f>Summary_LCIA!T$32</f>
        <v>0.1099</v>
      </c>
      <c r="AD98" s="137">
        <f>Summary_LCIA!U$32</f>
        <v>1.7913999999999999E-2</v>
      </c>
      <c r="AE98" s="137">
        <f>Summary_LCIA!V$32</f>
        <v>4.7760999999999999E-5</v>
      </c>
      <c r="AF98" s="137">
        <f>Summary_LCIA!W$32</f>
        <v>7.6970999999999998E-2</v>
      </c>
      <c r="AG98" s="137">
        <f>Summary_LCIA!X$32</f>
        <v>2.2780000000000002E-2</v>
      </c>
      <c r="AH98" s="137">
        <f>Summary_LCIA!Y$32</f>
        <v>1.5582E-2</v>
      </c>
      <c r="AI98" s="137">
        <f>Summary_LCIA!Z$32</f>
        <v>4.1009E-5</v>
      </c>
      <c r="AJ98" s="137">
        <f>Summary_LCIA!AA$32</f>
        <v>2.3355999999999998E-2</v>
      </c>
      <c r="AK98" s="137">
        <f>Summary_LCIA!AB$32</f>
        <v>-2.1823000000000001E-5</v>
      </c>
      <c r="AL98" s="137">
        <f>Summary_LCIA!AC$32</f>
        <v>4.8884000000000003E-8</v>
      </c>
      <c r="AM98" s="137">
        <f>Summary_LCIA!AD$32</f>
        <v>4.1103999999999999E-4</v>
      </c>
      <c r="AN98" s="137">
        <f>Summary_LCIA!AE$32</f>
        <v>8.8612999999999995E-4</v>
      </c>
      <c r="AO98" s="137">
        <f>Summary_LCIA!AF$32</f>
        <v>8.4542000000000005E-4</v>
      </c>
      <c r="AP98" s="137">
        <f>Summary_LCIA!AG$32</f>
        <v>5.1165000000000002E-5</v>
      </c>
      <c r="AQ98" s="137">
        <f>Summary_LCIA!AH$32</f>
        <v>8.7036000000000006E-3</v>
      </c>
      <c r="AR98" s="137">
        <f>Summary_LCIA!AI$32</f>
        <v>9.3154999999999996E-4</v>
      </c>
      <c r="AT98" s="137">
        <f t="shared" si="13"/>
        <v>116.89629699999999</v>
      </c>
      <c r="AU98" s="137">
        <f t="shared" si="13"/>
        <v>1704.9556897084949</v>
      </c>
      <c r="AV98" s="137">
        <f t="shared" si="13"/>
        <v>1.8114453839999998</v>
      </c>
      <c r="AW98" s="137">
        <f t="shared" si="13"/>
        <v>115.3757507</v>
      </c>
      <c r="AX98" s="137">
        <f t="shared" si="13"/>
        <v>37.8072485</v>
      </c>
      <c r="AY98" s="137">
        <f t="shared" si="13"/>
        <v>6.1626847099999997</v>
      </c>
      <c r="AZ98" s="137">
        <f t="shared" si="13"/>
        <v>1.6430500415E-2</v>
      </c>
      <c r="BA98" s="137">
        <f t="shared" si="13"/>
        <v>26.479178564999998</v>
      </c>
      <c r="BB98" s="137">
        <f t="shared" si="13"/>
        <v>7.8366617000000005</v>
      </c>
      <c r="BC98" s="137">
        <f t="shared" si="13"/>
        <v>5.3604417299999998</v>
      </c>
      <c r="BD98" s="137">
        <f t="shared" si="13"/>
        <v>1.4107711134999999E-2</v>
      </c>
      <c r="BE98" s="137">
        <f t="shared" si="13"/>
        <v>8.0348143399999987</v>
      </c>
      <c r="BF98" s="137">
        <f t="shared" si="13"/>
        <v>-7.5074393450000002E-3</v>
      </c>
      <c r="BG98" s="137">
        <f t="shared" si="13"/>
        <v>1.6816829259999999E-5</v>
      </c>
      <c r="BH98" s="137">
        <f t="shared" si="13"/>
        <v>0.14140392559999998</v>
      </c>
      <c r="BI98" s="137">
        <f t="shared" ref="BI98:BM113" si="14">$T98*AN98</f>
        <v>0.30484201194999999</v>
      </c>
      <c r="BJ98" s="137">
        <f t="shared" si="14"/>
        <v>0.29083716129999998</v>
      </c>
      <c r="BK98" s="137">
        <f t="shared" si="14"/>
        <v>1.7601527475E-2</v>
      </c>
      <c r="BL98" s="137">
        <f t="shared" si="14"/>
        <v>2.994168954</v>
      </c>
      <c r="BM98" s="137">
        <f t="shared" si="14"/>
        <v>0.32046717324999996</v>
      </c>
    </row>
    <row r="99" spans="1:65" x14ac:dyDescent="0.25">
      <c r="A99" s="149">
        <v>371</v>
      </c>
      <c r="B99" s="149">
        <v>43</v>
      </c>
      <c r="C99" s="61">
        <v>38.907192000000002</v>
      </c>
      <c r="D99" s="61">
        <v>-77.036871000000005</v>
      </c>
      <c r="E99" s="61" t="s">
        <v>265</v>
      </c>
      <c r="F99" s="149">
        <v>86</v>
      </c>
      <c r="G99" s="61" t="s">
        <v>630</v>
      </c>
      <c r="H99" s="61" t="s">
        <v>644</v>
      </c>
      <c r="I99" s="61">
        <v>38.851241999999999</v>
      </c>
      <c r="J99" s="61">
        <v>-77.040232000000003</v>
      </c>
      <c r="K99" s="61">
        <v>8.800194329</v>
      </c>
      <c r="L99" s="61">
        <v>8.4060000000000006</v>
      </c>
      <c r="M99" s="61" t="s">
        <v>617</v>
      </c>
      <c r="N99" s="149">
        <v>42</v>
      </c>
      <c r="O99" s="149">
        <v>43</v>
      </c>
      <c r="P99" s="61" t="s">
        <v>565</v>
      </c>
      <c r="Q99" s="61" t="s">
        <v>555</v>
      </c>
      <c r="R99" s="61">
        <v>40.6895314</v>
      </c>
      <c r="S99" s="61">
        <v>-74.174462399999996</v>
      </c>
      <c r="T99" s="61">
        <v>344.01499999999999</v>
      </c>
      <c r="U99" s="61" t="s">
        <v>617</v>
      </c>
      <c r="V99" s="61" t="s">
        <v>617</v>
      </c>
      <c r="W99" s="61"/>
      <c r="Y99" s="137">
        <f>Summary_LCIA!H$32</f>
        <v>0.33979999999999999</v>
      </c>
      <c r="Z99" s="137">
        <f>Summary_LCIA!Q$32</f>
        <v>4.9560504329999997</v>
      </c>
      <c r="AA99" s="137">
        <f>Summary_LCIA!R$32</f>
        <v>5.2655999999999996E-3</v>
      </c>
      <c r="AB99" s="137">
        <f>Summary_LCIA!S$32</f>
        <v>0.33538000000000001</v>
      </c>
      <c r="AC99" s="137">
        <f>Summary_LCIA!T$32</f>
        <v>0.1099</v>
      </c>
      <c r="AD99" s="137">
        <f>Summary_LCIA!U$32</f>
        <v>1.7913999999999999E-2</v>
      </c>
      <c r="AE99" s="137">
        <f>Summary_LCIA!V$32</f>
        <v>4.7760999999999999E-5</v>
      </c>
      <c r="AF99" s="137">
        <f>Summary_LCIA!W$32</f>
        <v>7.6970999999999998E-2</v>
      </c>
      <c r="AG99" s="137">
        <f>Summary_LCIA!X$32</f>
        <v>2.2780000000000002E-2</v>
      </c>
      <c r="AH99" s="137">
        <f>Summary_LCIA!Y$32</f>
        <v>1.5582E-2</v>
      </c>
      <c r="AI99" s="137">
        <f>Summary_LCIA!Z$32</f>
        <v>4.1009E-5</v>
      </c>
      <c r="AJ99" s="137">
        <f>Summary_LCIA!AA$32</f>
        <v>2.3355999999999998E-2</v>
      </c>
      <c r="AK99" s="137">
        <f>Summary_LCIA!AB$32</f>
        <v>-2.1823000000000001E-5</v>
      </c>
      <c r="AL99" s="137">
        <f>Summary_LCIA!AC$32</f>
        <v>4.8884000000000003E-8</v>
      </c>
      <c r="AM99" s="137">
        <f>Summary_LCIA!AD$32</f>
        <v>4.1103999999999999E-4</v>
      </c>
      <c r="AN99" s="137">
        <f>Summary_LCIA!AE$32</f>
        <v>8.8612999999999995E-4</v>
      </c>
      <c r="AO99" s="137">
        <f>Summary_LCIA!AF$32</f>
        <v>8.4542000000000005E-4</v>
      </c>
      <c r="AP99" s="137">
        <f>Summary_LCIA!AG$32</f>
        <v>5.1165000000000002E-5</v>
      </c>
      <c r="AQ99" s="137">
        <f>Summary_LCIA!AH$32</f>
        <v>8.7036000000000006E-3</v>
      </c>
      <c r="AR99" s="137">
        <f>Summary_LCIA!AI$32</f>
        <v>9.3154999999999996E-4</v>
      </c>
      <c r="AT99" s="137">
        <f t="shared" ref="AT99:BI114" si="15">$T99*Y99</f>
        <v>116.89629699999999</v>
      </c>
      <c r="AU99" s="137">
        <f t="shared" si="15"/>
        <v>1704.9556897084949</v>
      </c>
      <c r="AV99" s="137">
        <f t="shared" si="15"/>
        <v>1.8114453839999998</v>
      </c>
      <c r="AW99" s="137">
        <f t="shared" si="15"/>
        <v>115.3757507</v>
      </c>
      <c r="AX99" s="137">
        <f t="shared" si="15"/>
        <v>37.8072485</v>
      </c>
      <c r="AY99" s="137">
        <f t="shared" si="15"/>
        <v>6.1626847099999997</v>
      </c>
      <c r="AZ99" s="137">
        <f t="shared" si="15"/>
        <v>1.6430500415E-2</v>
      </c>
      <c r="BA99" s="137">
        <f t="shared" si="15"/>
        <v>26.479178564999998</v>
      </c>
      <c r="BB99" s="137">
        <f t="shared" si="15"/>
        <v>7.8366617000000005</v>
      </c>
      <c r="BC99" s="137">
        <f t="shared" si="15"/>
        <v>5.3604417299999998</v>
      </c>
      <c r="BD99" s="137">
        <f t="shared" si="15"/>
        <v>1.4107711134999999E-2</v>
      </c>
      <c r="BE99" s="137">
        <f t="shared" si="15"/>
        <v>8.0348143399999987</v>
      </c>
      <c r="BF99" s="137">
        <f t="shared" si="15"/>
        <v>-7.5074393450000002E-3</v>
      </c>
      <c r="BG99" s="137">
        <f t="shared" si="15"/>
        <v>1.6816829259999999E-5</v>
      </c>
      <c r="BH99" s="137">
        <f t="shared" si="15"/>
        <v>0.14140392559999998</v>
      </c>
      <c r="BI99" s="137">
        <f t="shared" si="15"/>
        <v>0.30484201194999999</v>
      </c>
      <c r="BJ99" s="137">
        <f t="shared" si="14"/>
        <v>0.29083716129999998</v>
      </c>
      <c r="BK99" s="137">
        <f t="shared" si="14"/>
        <v>1.7601527475E-2</v>
      </c>
      <c r="BL99" s="137">
        <f t="shared" si="14"/>
        <v>2.994168954</v>
      </c>
      <c r="BM99" s="137">
        <f t="shared" si="14"/>
        <v>0.32046717324999996</v>
      </c>
    </row>
    <row r="100" spans="1:65" x14ac:dyDescent="0.25">
      <c r="A100" s="149">
        <v>372</v>
      </c>
      <c r="B100" s="149">
        <v>43</v>
      </c>
      <c r="C100" s="61">
        <v>38.907192000000002</v>
      </c>
      <c r="D100" s="61">
        <v>-77.036871000000005</v>
      </c>
      <c r="E100" s="61" t="s">
        <v>265</v>
      </c>
      <c r="F100" s="149">
        <v>86</v>
      </c>
      <c r="G100" s="61" t="s">
        <v>630</v>
      </c>
      <c r="H100" s="61" t="s">
        <v>644</v>
      </c>
      <c r="I100" s="61">
        <v>38.851241999999999</v>
      </c>
      <c r="J100" s="61">
        <v>-77.040232000000003</v>
      </c>
      <c r="K100" s="61">
        <v>8.800194329</v>
      </c>
      <c r="L100" s="61">
        <v>8.4060000000000006</v>
      </c>
      <c r="M100" s="61" t="s">
        <v>617</v>
      </c>
      <c r="N100" s="149">
        <v>42</v>
      </c>
      <c r="O100" s="149">
        <v>43</v>
      </c>
      <c r="P100" s="61" t="s">
        <v>565</v>
      </c>
      <c r="Q100" s="61" t="s">
        <v>555</v>
      </c>
      <c r="R100" s="61">
        <v>40.6895314</v>
      </c>
      <c r="S100" s="61">
        <v>-74.174462399999996</v>
      </c>
      <c r="T100" s="61">
        <v>344.01499999999999</v>
      </c>
      <c r="U100" s="61" t="s">
        <v>617</v>
      </c>
      <c r="V100" s="61" t="s">
        <v>617</v>
      </c>
      <c r="W100" s="61"/>
      <c r="Y100" s="137">
        <f>Summary_LCIA!H$32</f>
        <v>0.33979999999999999</v>
      </c>
      <c r="Z100" s="137">
        <f>Summary_LCIA!Q$32</f>
        <v>4.9560504329999997</v>
      </c>
      <c r="AA100" s="137">
        <f>Summary_LCIA!R$32</f>
        <v>5.2655999999999996E-3</v>
      </c>
      <c r="AB100" s="137">
        <f>Summary_LCIA!S$32</f>
        <v>0.33538000000000001</v>
      </c>
      <c r="AC100" s="137">
        <f>Summary_LCIA!T$32</f>
        <v>0.1099</v>
      </c>
      <c r="AD100" s="137">
        <f>Summary_LCIA!U$32</f>
        <v>1.7913999999999999E-2</v>
      </c>
      <c r="AE100" s="137">
        <f>Summary_LCIA!V$32</f>
        <v>4.7760999999999999E-5</v>
      </c>
      <c r="AF100" s="137">
        <f>Summary_LCIA!W$32</f>
        <v>7.6970999999999998E-2</v>
      </c>
      <c r="AG100" s="137">
        <f>Summary_LCIA!X$32</f>
        <v>2.2780000000000002E-2</v>
      </c>
      <c r="AH100" s="137">
        <f>Summary_LCIA!Y$32</f>
        <v>1.5582E-2</v>
      </c>
      <c r="AI100" s="137">
        <f>Summary_LCIA!Z$32</f>
        <v>4.1009E-5</v>
      </c>
      <c r="AJ100" s="137">
        <f>Summary_LCIA!AA$32</f>
        <v>2.3355999999999998E-2</v>
      </c>
      <c r="AK100" s="137">
        <f>Summary_LCIA!AB$32</f>
        <v>-2.1823000000000001E-5</v>
      </c>
      <c r="AL100" s="137">
        <f>Summary_LCIA!AC$32</f>
        <v>4.8884000000000003E-8</v>
      </c>
      <c r="AM100" s="137">
        <f>Summary_LCIA!AD$32</f>
        <v>4.1103999999999999E-4</v>
      </c>
      <c r="AN100" s="137">
        <f>Summary_LCIA!AE$32</f>
        <v>8.8612999999999995E-4</v>
      </c>
      <c r="AO100" s="137">
        <f>Summary_LCIA!AF$32</f>
        <v>8.4542000000000005E-4</v>
      </c>
      <c r="AP100" s="137">
        <f>Summary_LCIA!AG$32</f>
        <v>5.1165000000000002E-5</v>
      </c>
      <c r="AQ100" s="137">
        <f>Summary_LCIA!AH$32</f>
        <v>8.7036000000000006E-3</v>
      </c>
      <c r="AR100" s="137">
        <f>Summary_LCIA!AI$32</f>
        <v>9.3154999999999996E-4</v>
      </c>
      <c r="AT100" s="137">
        <f t="shared" si="15"/>
        <v>116.89629699999999</v>
      </c>
      <c r="AU100" s="137">
        <f t="shared" si="15"/>
        <v>1704.9556897084949</v>
      </c>
      <c r="AV100" s="137">
        <f t="shared" si="15"/>
        <v>1.8114453839999998</v>
      </c>
      <c r="AW100" s="137">
        <f t="shared" si="15"/>
        <v>115.3757507</v>
      </c>
      <c r="AX100" s="137">
        <f t="shared" si="15"/>
        <v>37.8072485</v>
      </c>
      <c r="AY100" s="137">
        <f t="shared" si="15"/>
        <v>6.1626847099999997</v>
      </c>
      <c r="AZ100" s="137">
        <f t="shared" si="15"/>
        <v>1.6430500415E-2</v>
      </c>
      <c r="BA100" s="137">
        <f t="shared" si="15"/>
        <v>26.479178564999998</v>
      </c>
      <c r="BB100" s="137">
        <f t="shared" si="15"/>
        <v>7.8366617000000005</v>
      </c>
      <c r="BC100" s="137">
        <f t="shared" si="15"/>
        <v>5.3604417299999998</v>
      </c>
      <c r="BD100" s="137">
        <f t="shared" si="15"/>
        <v>1.4107711134999999E-2</v>
      </c>
      <c r="BE100" s="137">
        <f t="shared" si="15"/>
        <v>8.0348143399999987</v>
      </c>
      <c r="BF100" s="137">
        <f t="shared" si="15"/>
        <v>-7.5074393450000002E-3</v>
      </c>
      <c r="BG100" s="137">
        <f t="shared" si="15"/>
        <v>1.6816829259999999E-5</v>
      </c>
      <c r="BH100" s="137">
        <f t="shared" si="15"/>
        <v>0.14140392559999998</v>
      </c>
      <c r="BI100" s="137">
        <f t="shared" si="15"/>
        <v>0.30484201194999999</v>
      </c>
      <c r="BJ100" s="137">
        <f t="shared" si="14"/>
        <v>0.29083716129999998</v>
      </c>
      <c r="BK100" s="137">
        <f t="shared" si="14"/>
        <v>1.7601527475E-2</v>
      </c>
      <c r="BL100" s="137">
        <f t="shared" si="14"/>
        <v>2.994168954</v>
      </c>
      <c r="BM100" s="137">
        <f t="shared" si="14"/>
        <v>0.32046717324999996</v>
      </c>
    </row>
    <row r="101" spans="1:65" x14ac:dyDescent="0.25">
      <c r="A101" s="149">
        <v>373</v>
      </c>
      <c r="B101" s="149">
        <v>43</v>
      </c>
      <c r="C101" s="61">
        <v>38.907192000000002</v>
      </c>
      <c r="D101" s="61">
        <v>-77.036871000000005</v>
      </c>
      <c r="E101" s="61" t="s">
        <v>265</v>
      </c>
      <c r="F101" s="149">
        <v>86</v>
      </c>
      <c r="G101" s="61" t="s">
        <v>630</v>
      </c>
      <c r="H101" s="61" t="s">
        <v>644</v>
      </c>
      <c r="I101" s="61">
        <v>38.851241999999999</v>
      </c>
      <c r="J101" s="61">
        <v>-77.040232000000003</v>
      </c>
      <c r="K101" s="61">
        <v>8.800194329</v>
      </c>
      <c r="L101" s="61">
        <v>8.4060000000000006</v>
      </c>
      <c r="M101" s="61" t="s">
        <v>617</v>
      </c>
      <c r="N101" s="149">
        <v>42</v>
      </c>
      <c r="O101" s="149">
        <v>43</v>
      </c>
      <c r="P101" s="61" t="s">
        <v>565</v>
      </c>
      <c r="Q101" s="61" t="s">
        <v>555</v>
      </c>
      <c r="R101" s="61">
        <v>40.6895314</v>
      </c>
      <c r="S101" s="61">
        <v>-74.174462399999996</v>
      </c>
      <c r="T101" s="61">
        <v>344.01499999999999</v>
      </c>
      <c r="U101" s="61" t="s">
        <v>617</v>
      </c>
      <c r="V101" s="61" t="s">
        <v>617</v>
      </c>
      <c r="W101" s="61"/>
      <c r="Y101" s="137">
        <f>Summary_LCIA!H$32</f>
        <v>0.33979999999999999</v>
      </c>
      <c r="Z101" s="137">
        <f>Summary_LCIA!Q$32</f>
        <v>4.9560504329999997</v>
      </c>
      <c r="AA101" s="137">
        <f>Summary_LCIA!R$32</f>
        <v>5.2655999999999996E-3</v>
      </c>
      <c r="AB101" s="137">
        <f>Summary_LCIA!S$32</f>
        <v>0.33538000000000001</v>
      </c>
      <c r="AC101" s="137">
        <f>Summary_LCIA!T$32</f>
        <v>0.1099</v>
      </c>
      <c r="AD101" s="137">
        <f>Summary_LCIA!U$32</f>
        <v>1.7913999999999999E-2</v>
      </c>
      <c r="AE101" s="137">
        <f>Summary_LCIA!V$32</f>
        <v>4.7760999999999999E-5</v>
      </c>
      <c r="AF101" s="137">
        <f>Summary_LCIA!W$32</f>
        <v>7.6970999999999998E-2</v>
      </c>
      <c r="AG101" s="137">
        <f>Summary_LCIA!X$32</f>
        <v>2.2780000000000002E-2</v>
      </c>
      <c r="AH101" s="137">
        <f>Summary_LCIA!Y$32</f>
        <v>1.5582E-2</v>
      </c>
      <c r="AI101" s="137">
        <f>Summary_LCIA!Z$32</f>
        <v>4.1009E-5</v>
      </c>
      <c r="AJ101" s="137">
        <f>Summary_LCIA!AA$32</f>
        <v>2.3355999999999998E-2</v>
      </c>
      <c r="AK101" s="137">
        <f>Summary_LCIA!AB$32</f>
        <v>-2.1823000000000001E-5</v>
      </c>
      <c r="AL101" s="137">
        <f>Summary_LCIA!AC$32</f>
        <v>4.8884000000000003E-8</v>
      </c>
      <c r="AM101" s="137">
        <f>Summary_LCIA!AD$32</f>
        <v>4.1103999999999999E-4</v>
      </c>
      <c r="AN101" s="137">
        <f>Summary_LCIA!AE$32</f>
        <v>8.8612999999999995E-4</v>
      </c>
      <c r="AO101" s="137">
        <f>Summary_LCIA!AF$32</f>
        <v>8.4542000000000005E-4</v>
      </c>
      <c r="AP101" s="137">
        <f>Summary_LCIA!AG$32</f>
        <v>5.1165000000000002E-5</v>
      </c>
      <c r="AQ101" s="137">
        <f>Summary_LCIA!AH$32</f>
        <v>8.7036000000000006E-3</v>
      </c>
      <c r="AR101" s="137">
        <f>Summary_LCIA!AI$32</f>
        <v>9.3154999999999996E-4</v>
      </c>
      <c r="AT101" s="137">
        <f t="shared" si="15"/>
        <v>116.89629699999999</v>
      </c>
      <c r="AU101" s="137">
        <f t="shared" si="15"/>
        <v>1704.9556897084949</v>
      </c>
      <c r="AV101" s="137">
        <f t="shared" si="15"/>
        <v>1.8114453839999998</v>
      </c>
      <c r="AW101" s="137">
        <f t="shared" si="15"/>
        <v>115.3757507</v>
      </c>
      <c r="AX101" s="137">
        <f t="shared" si="15"/>
        <v>37.8072485</v>
      </c>
      <c r="AY101" s="137">
        <f t="shared" si="15"/>
        <v>6.1626847099999997</v>
      </c>
      <c r="AZ101" s="137">
        <f t="shared" si="15"/>
        <v>1.6430500415E-2</v>
      </c>
      <c r="BA101" s="137">
        <f t="shared" si="15"/>
        <v>26.479178564999998</v>
      </c>
      <c r="BB101" s="137">
        <f t="shared" si="15"/>
        <v>7.8366617000000005</v>
      </c>
      <c r="BC101" s="137">
        <f t="shared" si="15"/>
        <v>5.3604417299999998</v>
      </c>
      <c r="BD101" s="137">
        <f t="shared" si="15"/>
        <v>1.4107711134999999E-2</v>
      </c>
      <c r="BE101" s="137">
        <f t="shared" si="15"/>
        <v>8.0348143399999987</v>
      </c>
      <c r="BF101" s="137">
        <f t="shared" si="15"/>
        <v>-7.5074393450000002E-3</v>
      </c>
      <c r="BG101" s="137">
        <f t="shared" si="15"/>
        <v>1.6816829259999999E-5</v>
      </c>
      <c r="BH101" s="137">
        <f t="shared" si="15"/>
        <v>0.14140392559999998</v>
      </c>
      <c r="BI101" s="137">
        <f t="shared" si="15"/>
        <v>0.30484201194999999</v>
      </c>
      <c r="BJ101" s="137">
        <f t="shared" si="14"/>
        <v>0.29083716129999998</v>
      </c>
      <c r="BK101" s="137">
        <f t="shared" si="14"/>
        <v>1.7601527475E-2</v>
      </c>
      <c r="BL101" s="137">
        <f t="shared" si="14"/>
        <v>2.994168954</v>
      </c>
      <c r="BM101" s="137">
        <f t="shared" si="14"/>
        <v>0.32046717324999996</v>
      </c>
    </row>
    <row r="102" spans="1:65" x14ac:dyDescent="0.25">
      <c r="A102" s="149">
        <v>374</v>
      </c>
      <c r="B102" s="149">
        <v>43</v>
      </c>
      <c r="C102" s="61">
        <v>38.907192000000002</v>
      </c>
      <c r="D102" s="61">
        <v>-77.036871000000005</v>
      </c>
      <c r="E102" s="61" t="s">
        <v>265</v>
      </c>
      <c r="F102" s="149">
        <v>86</v>
      </c>
      <c r="G102" s="61" t="s">
        <v>630</v>
      </c>
      <c r="H102" s="61" t="s">
        <v>644</v>
      </c>
      <c r="I102" s="61">
        <v>38.851241999999999</v>
      </c>
      <c r="J102" s="61">
        <v>-77.040232000000003</v>
      </c>
      <c r="K102" s="61">
        <v>8.800194329</v>
      </c>
      <c r="L102" s="61">
        <v>8.4060000000000006</v>
      </c>
      <c r="M102" s="61" t="s">
        <v>617</v>
      </c>
      <c r="N102" s="149">
        <v>42</v>
      </c>
      <c r="O102" s="149">
        <v>43</v>
      </c>
      <c r="P102" s="61" t="s">
        <v>565</v>
      </c>
      <c r="Q102" s="61" t="s">
        <v>555</v>
      </c>
      <c r="R102" s="61">
        <v>40.6895314</v>
      </c>
      <c r="S102" s="61">
        <v>-74.174462399999996</v>
      </c>
      <c r="T102" s="61">
        <v>344.01499999999999</v>
      </c>
      <c r="U102" s="61" t="s">
        <v>617</v>
      </c>
      <c r="V102" s="61" t="s">
        <v>617</v>
      </c>
      <c r="W102" s="61"/>
      <c r="Y102" s="137">
        <f>Summary_LCIA!H$32</f>
        <v>0.33979999999999999</v>
      </c>
      <c r="Z102" s="137">
        <f>Summary_LCIA!Q$32</f>
        <v>4.9560504329999997</v>
      </c>
      <c r="AA102" s="137">
        <f>Summary_LCIA!R$32</f>
        <v>5.2655999999999996E-3</v>
      </c>
      <c r="AB102" s="137">
        <f>Summary_LCIA!S$32</f>
        <v>0.33538000000000001</v>
      </c>
      <c r="AC102" s="137">
        <f>Summary_LCIA!T$32</f>
        <v>0.1099</v>
      </c>
      <c r="AD102" s="137">
        <f>Summary_LCIA!U$32</f>
        <v>1.7913999999999999E-2</v>
      </c>
      <c r="AE102" s="137">
        <f>Summary_LCIA!V$32</f>
        <v>4.7760999999999999E-5</v>
      </c>
      <c r="AF102" s="137">
        <f>Summary_LCIA!W$32</f>
        <v>7.6970999999999998E-2</v>
      </c>
      <c r="AG102" s="137">
        <f>Summary_LCIA!X$32</f>
        <v>2.2780000000000002E-2</v>
      </c>
      <c r="AH102" s="137">
        <f>Summary_LCIA!Y$32</f>
        <v>1.5582E-2</v>
      </c>
      <c r="AI102" s="137">
        <f>Summary_LCIA!Z$32</f>
        <v>4.1009E-5</v>
      </c>
      <c r="AJ102" s="137">
        <f>Summary_LCIA!AA$32</f>
        <v>2.3355999999999998E-2</v>
      </c>
      <c r="AK102" s="137">
        <f>Summary_LCIA!AB$32</f>
        <v>-2.1823000000000001E-5</v>
      </c>
      <c r="AL102" s="137">
        <f>Summary_LCIA!AC$32</f>
        <v>4.8884000000000003E-8</v>
      </c>
      <c r="AM102" s="137">
        <f>Summary_LCIA!AD$32</f>
        <v>4.1103999999999999E-4</v>
      </c>
      <c r="AN102" s="137">
        <f>Summary_LCIA!AE$32</f>
        <v>8.8612999999999995E-4</v>
      </c>
      <c r="AO102" s="137">
        <f>Summary_LCIA!AF$32</f>
        <v>8.4542000000000005E-4</v>
      </c>
      <c r="AP102" s="137">
        <f>Summary_LCIA!AG$32</f>
        <v>5.1165000000000002E-5</v>
      </c>
      <c r="AQ102" s="137">
        <f>Summary_LCIA!AH$32</f>
        <v>8.7036000000000006E-3</v>
      </c>
      <c r="AR102" s="137">
        <f>Summary_LCIA!AI$32</f>
        <v>9.3154999999999996E-4</v>
      </c>
      <c r="AT102" s="137">
        <f t="shared" si="15"/>
        <v>116.89629699999999</v>
      </c>
      <c r="AU102" s="137">
        <f t="shared" si="15"/>
        <v>1704.9556897084949</v>
      </c>
      <c r="AV102" s="137">
        <f t="shared" si="15"/>
        <v>1.8114453839999998</v>
      </c>
      <c r="AW102" s="137">
        <f t="shared" si="15"/>
        <v>115.3757507</v>
      </c>
      <c r="AX102" s="137">
        <f t="shared" si="15"/>
        <v>37.8072485</v>
      </c>
      <c r="AY102" s="137">
        <f t="shared" si="15"/>
        <v>6.1626847099999997</v>
      </c>
      <c r="AZ102" s="137">
        <f t="shared" si="15"/>
        <v>1.6430500415E-2</v>
      </c>
      <c r="BA102" s="137">
        <f t="shared" si="15"/>
        <v>26.479178564999998</v>
      </c>
      <c r="BB102" s="137">
        <f t="shared" si="15"/>
        <v>7.8366617000000005</v>
      </c>
      <c r="BC102" s="137">
        <f t="shared" si="15"/>
        <v>5.3604417299999998</v>
      </c>
      <c r="BD102" s="137">
        <f t="shared" si="15"/>
        <v>1.4107711134999999E-2</v>
      </c>
      <c r="BE102" s="137">
        <f t="shared" si="15"/>
        <v>8.0348143399999987</v>
      </c>
      <c r="BF102" s="137">
        <f t="shared" si="15"/>
        <v>-7.5074393450000002E-3</v>
      </c>
      <c r="BG102" s="137">
        <f t="shared" si="15"/>
        <v>1.6816829259999999E-5</v>
      </c>
      <c r="BH102" s="137">
        <f t="shared" si="15"/>
        <v>0.14140392559999998</v>
      </c>
      <c r="BI102" s="137">
        <f t="shared" si="15"/>
        <v>0.30484201194999999</v>
      </c>
      <c r="BJ102" s="137">
        <f t="shared" si="14"/>
        <v>0.29083716129999998</v>
      </c>
      <c r="BK102" s="137">
        <f t="shared" si="14"/>
        <v>1.7601527475E-2</v>
      </c>
      <c r="BL102" s="137">
        <f t="shared" si="14"/>
        <v>2.994168954</v>
      </c>
      <c r="BM102" s="137">
        <f t="shared" si="14"/>
        <v>0.32046717324999996</v>
      </c>
    </row>
    <row r="103" spans="1:65" x14ac:dyDescent="0.25">
      <c r="A103" s="149">
        <v>375</v>
      </c>
      <c r="B103" s="149">
        <v>43</v>
      </c>
      <c r="C103" s="61">
        <v>38.907192000000002</v>
      </c>
      <c r="D103" s="61">
        <v>-77.036871000000005</v>
      </c>
      <c r="E103" s="61" t="s">
        <v>265</v>
      </c>
      <c r="F103" s="149">
        <v>86</v>
      </c>
      <c r="G103" s="61" t="s">
        <v>630</v>
      </c>
      <c r="H103" s="61" t="s">
        <v>644</v>
      </c>
      <c r="I103" s="61">
        <v>38.851241999999999</v>
      </c>
      <c r="J103" s="61">
        <v>-77.040232000000003</v>
      </c>
      <c r="K103" s="61">
        <v>8.800194329</v>
      </c>
      <c r="L103" s="61">
        <v>8.4060000000000006</v>
      </c>
      <c r="M103" s="61" t="s">
        <v>617</v>
      </c>
      <c r="N103" s="149">
        <v>42</v>
      </c>
      <c r="O103" s="149">
        <v>43</v>
      </c>
      <c r="P103" s="61" t="s">
        <v>565</v>
      </c>
      <c r="Q103" s="61" t="s">
        <v>555</v>
      </c>
      <c r="R103" s="61">
        <v>40.6895314</v>
      </c>
      <c r="S103" s="61">
        <v>-74.174462399999996</v>
      </c>
      <c r="T103" s="61">
        <v>344.01499999999999</v>
      </c>
      <c r="U103" s="61" t="s">
        <v>617</v>
      </c>
      <c r="V103" s="61" t="s">
        <v>617</v>
      </c>
      <c r="W103" s="61"/>
      <c r="Y103" s="137">
        <f>Summary_LCIA!H$32</f>
        <v>0.33979999999999999</v>
      </c>
      <c r="Z103" s="137">
        <f>Summary_LCIA!Q$32</f>
        <v>4.9560504329999997</v>
      </c>
      <c r="AA103" s="137">
        <f>Summary_LCIA!R$32</f>
        <v>5.2655999999999996E-3</v>
      </c>
      <c r="AB103" s="137">
        <f>Summary_LCIA!S$32</f>
        <v>0.33538000000000001</v>
      </c>
      <c r="AC103" s="137">
        <f>Summary_LCIA!T$32</f>
        <v>0.1099</v>
      </c>
      <c r="AD103" s="137">
        <f>Summary_LCIA!U$32</f>
        <v>1.7913999999999999E-2</v>
      </c>
      <c r="AE103" s="137">
        <f>Summary_LCIA!V$32</f>
        <v>4.7760999999999999E-5</v>
      </c>
      <c r="AF103" s="137">
        <f>Summary_LCIA!W$32</f>
        <v>7.6970999999999998E-2</v>
      </c>
      <c r="AG103" s="137">
        <f>Summary_LCIA!X$32</f>
        <v>2.2780000000000002E-2</v>
      </c>
      <c r="AH103" s="137">
        <f>Summary_LCIA!Y$32</f>
        <v>1.5582E-2</v>
      </c>
      <c r="AI103" s="137">
        <f>Summary_LCIA!Z$32</f>
        <v>4.1009E-5</v>
      </c>
      <c r="AJ103" s="137">
        <f>Summary_LCIA!AA$32</f>
        <v>2.3355999999999998E-2</v>
      </c>
      <c r="AK103" s="137">
        <f>Summary_LCIA!AB$32</f>
        <v>-2.1823000000000001E-5</v>
      </c>
      <c r="AL103" s="137">
        <f>Summary_LCIA!AC$32</f>
        <v>4.8884000000000003E-8</v>
      </c>
      <c r="AM103" s="137">
        <f>Summary_LCIA!AD$32</f>
        <v>4.1103999999999999E-4</v>
      </c>
      <c r="AN103" s="137">
        <f>Summary_LCIA!AE$32</f>
        <v>8.8612999999999995E-4</v>
      </c>
      <c r="AO103" s="137">
        <f>Summary_LCIA!AF$32</f>
        <v>8.4542000000000005E-4</v>
      </c>
      <c r="AP103" s="137">
        <f>Summary_LCIA!AG$32</f>
        <v>5.1165000000000002E-5</v>
      </c>
      <c r="AQ103" s="137">
        <f>Summary_LCIA!AH$32</f>
        <v>8.7036000000000006E-3</v>
      </c>
      <c r="AR103" s="137">
        <f>Summary_LCIA!AI$32</f>
        <v>9.3154999999999996E-4</v>
      </c>
      <c r="AT103" s="137">
        <f t="shared" si="15"/>
        <v>116.89629699999999</v>
      </c>
      <c r="AU103" s="137">
        <f t="shared" si="15"/>
        <v>1704.9556897084949</v>
      </c>
      <c r="AV103" s="137">
        <f t="shared" si="15"/>
        <v>1.8114453839999998</v>
      </c>
      <c r="AW103" s="137">
        <f t="shared" si="15"/>
        <v>115.3757507</v>
      </c>
      <c r="AX103" s="137">
        <f t="shared" si="15"/>
        <v>37.8072485</v>
      </c>
      <c r="AY103" s="137">
        <f t="shared" si="15"/>
        <v>6.1626847099999997</v>
      </c>
      <c r="AZ103" s="137">
        <f t="shared" si="15"/>
        <v>1.6430500415E-2</v>
      </c>
      <c r="BA103" s="137">
        <f t="shared" si="15"/>
        <v>26.479178564999998</v>
      </c>
      <c r="BB103" s="137">
        <f t="shared" si="15"/>
        <v>7.8366617000000005</v>
      </c>
      <c r="BC103" s="137">
        <f t="shared" si="15"/>
        <v>5.3604417299999998</v>
      </c>
      <c r="BD103" s="137">
        <f t="shared" si="15"/>
        <v>1.4107711134999999E-2</v>
      </c>
      <c r="BE103" s="137">
        <f t="shared" si="15"/>
        <v>8.0348143399999987</v>
      </c>
      <c r="BF103" s="137">
        <f t="shared" si="15"/>
        <v>-7.5074393450000002E-3</v>
      </c>
      <c r="BG103" s="137">
        <f t="shared" si="15"/>
        <v>1.6816829259999999E-5</v>
      </c>
      <c r="BH103" s="137">
        <f t="shared" si="15"/>
        <v>0.14140392559999998</v>
      </c>
      <c r="BI103" s="137">
        <f t="shared" si="15"/>
        <v>0.30484201194999999</v>
      </c>
      <c r="BJ103" s="137">
        <f t="shared" si="14"/>
        <v>0.29083716129999998</v>
      </c>
      <c r="BK103" s="137">
        <f t="shared" si="14"/>
        <v>1.7601527475E-2</v>
      </c>
      <c r="BL103" s="137">
        <f t="shared" si="14"/>
        <v>2.994168954</v>
      </c>
      <c r="BM103" s="137">
        <f t="shared" si="14"/>
        <v>0.32046717324999996</v>
      </c>
    </row>
    <row r="104" spans="1:65" x14ac:dyDescent="0.25">
      <c r="A104" s="149">
        <v>46</v>
      </c>
      <c r="B104" s="149">
        <v>43</v>
      </c>
      <c r="C104" s="61">
        <v>38.90813</v>
      </c>
      <c r="D104" s="61">
        <v>-77.040278999999998</v>
      </c>
      <c r="E104" s="61" t="s">
        <v>265</v>
      </c>
      <c r="F104" s="149">
        <v>86</v>
      </c>
      <c r="G104" s="61" t="s">
        <v>630</v>
      </c>
      <c r="H104" s="61" t="s">
        <v>644</v>
      </c>
      <c r="I104" s="61">
        <v>38.851241999999999</v>
      </c>
      <c r="J104" s="61">
        <v>-77.040232000000003</v>
      </c>
      <c r="K104" s="61">
        <v>8.9128861770000007</v>
      </c>
      <c r="L104" s="61">
        <v>8.7949999999999999</v>
      </c>
      <c r="M104" s="61" t="s">
        <v>617</v>
      </c>
      <c r="N104" s="149">
        <v>42</v>
      </c>
      <c r="O104" s="149">
        <v>43</v>
      </c>
      <c r="P104" s="61" t="s">
        <v>565</v>
      </c>
      <c r="Q104" s="61" t="s">
        <v>555</v>
      </c>
      <c r="R104" s="61">
        <v>40.6895314</v>
      </c>
      <c r="S104" s="61">
        <v>-74.174462399999996</v>
      </c>
      <c r="T104" s="61">
        <v>344.404</v>
      </c>
      <c r="U104" s="61" t="s">
        <v>617</v>
      </c>
      <c r="V104" s="61" t="s">
        <v>617</v>
      </c>
      <c r="W104" s="61"/>
      <c r="Y104" s="137">
        <f>Summary_LCIA!H$32</f>
        <v>0.33979999999999999</v>
      </c>
      <c r="Z104" s="137">
        <f>Summary_LCIA!Q$32</f>
        <v>4.9560504329999997</v>
      </c>
      <c r="AA104" s="137">
        <f>Summary_LCIA!R$32</f>
        <v>5.2655999999999996E-3</v>
      </c>
      <c r="AB104" s="137">
        <f>Summary_LCIA!S$32</f>
        <v>0.33538000000000001</v>
      </c>
      <c r="AC104" s="137">
        <f>Summary_LCIA!T$32</f>
        <v>0.1099</v>
      </c>
      <c r="AD104" s="137">
        <f>Summary_LCIA!U$32</f>
        <v>1.7913999999999999E-2</v>
      </c>
      <c r="AE104" s="137">
        <f>Summary_LCIA!V$32</f>
        <v>4.7760999999999999E-5</v>
      </c>
      <c r="AF104" s="137">
        <f>Summary_LCIA!W$32</f>
        <v>7.6970999999999998E-2</v>
      </c>
      <c r="AG104" s="137">
        <f>Summary_LCIA!X$32</f>
        <v>2.2780000000000002E-2</v>
      </c>
      <c r="AH104" s="137">
        <f>Summary_LCIA!Y$32</f>
        <v>1.5582E-2</v>
      </c>
      <c r="AI104" s="137">
        <f>Summary_LCIA!Z$32</f>
        <v>4.1009E-5</v>
      </c>
      <c r="AJ104" s="137">
        <f>Summary_LCIA!AA$32</f>
        <v>2.3355999999999998E-2</v>
      </c>
      <c r="AK104" s="137">
        <f>Summary_LCIA!AB$32</f>
        <v>-2.1823000000000001E-5</v>
      </c>
      <c r="AL104" s="137">
        <f>Summary_LCIA!AC$32</f>
        <v>4.8884000000000003E-8</v>
      </c>
      <c r="AM104" s="137">
        <f>Summary_LCIA!AD$32</f>
        <v>4.1103999999999999E-4</v>
      </c>
      <c r="AN104" s="137">
        <f>Summary_LCIA!AE$32</f>
        <v>8.8612999999999995E-4</v>
      </c>
      <c r="AO104" s="137">
        <f>Summary_LCIA!AF$32</f>
        <v>8.4542000000000005E-4</v>
      </c>
      <c r="AP104" s="137">
        <f>Summary_LCIA!AG$32</f>
        <v>5.1165000000000002E-5</v>
      </c>
      <c r="AQ104" s="137">
        <f>Summary_LCIA!AH$32</f>
        <v>8.7036000000000006E-3</v>
      </c>
      <c r="AR104" s="137">
        <f>Summary_LCIA!AI$32</f>
        <v>9.3154999999999996E-4</v>
      </c>
      <c r="AT104" s="137">
        <f t="shared" si="15"/>
        <v>117.02847919999999</v>
      </c>
      <c r="AU104" s="137">
        <f t="shared" si="15"/>
        <v>1706.883593326932</v>
      </c>
      <c r="AV104" s="137">
        <f t="shared" si="15"/>
        <v>1.8134937023999997</v>
      </c>
      <c r="AW104" s="137">
        <f t="shared" si="15"/>
        <v>115.50621352</v>
      </c>
      <c r="AX104" s="137">
        <f t="shared" si="15"/>
        <v>37.849999599999997</v>
      </c>
      <c r="AY104" s="137">
        <f t="shared" si="15"/>
        <v>6.1696532560000001</v>
      </c>
      <c r="AZ104" s="137">
        <f t="shared" si="15"/>
        <v>1.6449079443999998E-2</v>
      </c>
      <c r="BA104" s="137">
        <f t="shared" si="15"/>
        <v>26.509120283999998</v>
      </c>
      <c r="BB104" s="137">
        <f t="shared" si="15"/>
        <v>7.8455231200000002</v>
      </c>
      <c r="BC104" s="137">
        <f t="shared" si="15"/>
        <v>5.3665031279999997</v>
      </c>
      <c r="BD104" s="137">
        <f t="shared" si="15"/>
        <v>1.4123663635999999E-2</v>
      </c>
      <c r="BE104" s="137">
        <f t="shared" si="15"/>
        <v>8.0438998239999986</v>
      </c>
      <c r="BF104" s="137">
        <f t="shared" si="15"/>
        <v>-7.5159284920000005E-3</v>
      </c>
      <c r="BG104" s="137">
        <f t="shared" si="15"/>
        <v>1.6835845136000002E-5</v>
      </c>
      <c r="BH104" s="137">
        <f t="shared" si="15"/>
        <v>0.14156382015999999</v>
      </c>
      <c r="BI104" s="137">
        <f t="shared" si="15"/>
        <v>0.30518671651999996</v>
      </c>
      <c r="BJ104" s="137">
        <f t="shared" si="14"/>
        <v>0.29116602967999999</v>
      </c>
      <c r="BK104" s="137">
        <f t="shared" si="14"/>
        <v>1.762143066E-2</v>
      </c>
      <c r="BL104" s="137">
        <f t="shared" si="14"/>
        <v>2.9975546544</v>
      </c>
      <c r="BM104" s="137">
        <f t="shared" si="14"/>
        <v>0.32082954619999998</v>
      </c>
    </row>
    <row r="105" spans="1:65" x14ac:dyDescent="0.25">
      <c r="A105" s="149">
        <v>119</v>
      </c>
      <c r="B105" s="149">
        <v>43</v>
      </c>
      <c r="C105" s="61">
        <v>38.883254999999998</v>
      </c>
      <c r="D105" s="61">
        <v>-77.025096000000005</v>
      </c>
      <c r="E105" s="61" t="s">
        <v>265</v>
      </c>
      <c r="F105" s="149">
        <v>86</v>
      </c>
      <c r="G105" s="61" t="s">
        <v>630</v>
      </c>
      <c r="H105" s="61" t="s">
        <v>644</v>
      </c>
      <c r="I105" s="61">
        <v>38.851241999999999</v>
      </c>
      <c r="J105" s="61">
        <v>-77.040232000000003</v>
      </c>
      <c r="K105" s="61">
        <v>5.3130254810000004</v>
      </c>
      <c r="L105" s="61">
        <v>7.0659999999999998</v>
      </c>
      <c r="M105" s="61" t="s">
        <v>617</v>
      </c>
      <c r="N105" s="149">
        <v>42</v>
      </c>
      <c r="O105" s="149">
        <v>43</v>
      </c>
      <c r="P105" s="61" t="s">
        <v>565</v>
      </c>
      <c r="Q105" s="61" t="s">
        <v>555</v>
      </c>
      <c r="R105" s="61">
        <v>40.6895314</v>
      </c>
      <c r="S105" s="61">
        <v>-74.174462399999996</v>
      </c>
      <c r="T105" s="61">
        <v>347.41399999999999</v>
      </c>
      <c r="U105" s="61" t="s">
        <v>617</v>
      </c>
      <c r="V105" s="61" t="s">
        <v>617</v>
      </c>
      <c r="W105" s="61"/>
      <c r="Y105" s="137">
        <f>Summary_LCIA!H$32</f>
        <v>0.33979999999999999</v>
      </c>
      <c r="Z105" s="137">
        <f>Summary_LCIA!Q$32</f>
        <v>4.9560504329999997</v>
      </c>
      <c r="AA105" s="137">
        <f>Summary_LCIA!R$32</f>
        <v>5.2655999999999996E-3</v>
      </c>
      <c r="AB105" s="137">
        <f>Summary_LCIA!S$32</f>
        <v>0.33538000000000001</v>
      </c>
      <c r="AC105" s="137">
        <f>Summary_LCIA!T$32</f>
        <v>0.1099</v>
      </c>
      <c r="AD105" s="137">
        <f>Summary_LCIA!U$32</f>
        <v>1.7913999999999999E-2</v>
      </c>
      <c r="AE105" s="137">
        <f>Summary_LCIA!V$32</f>
        <v>4.7760999999999999E-5</v>
      </c>
      <c r="AF105" s="137">
        <f>Summary_LCIA!W$32</f>
        <v>7.6970999999999998E-2</v>
      </c>
      <c r="AG105" s="137">
        <f>Summary_LCIA!X$32</f>
        <v>2.2780000000000002E-2</v>
      </c>
      <c r="AH105" s="137">
        <f>Summary_LCIA!Y$32</f>
        <v>1.5582E-2</v>
      </c>
      <c r="AI105" s="137">
        <f>Summary_LCIA!Z$32</f>
        <v>4.1009E-5</v>
      </c>
      <c r="AJ105" s="137">
        <f>Summary_LCIA!AA$32</f>
        <v>2.3355999999999998E-2</v>
      </c>
      <c r="AK105" s="137">
        <f>Summary_LCIA!AB$32</f>
        <v>-2.1823000000000001E-5</v>
      </c>
      <c r="AL105" s="137">
        <f>Summary_LCIA!AC$32</f>
        <v>4.8884000000000003E-8</v>
      </c>
      <c r="AM105" s="137">
        <f>Summary_LCIA!AD$32</f>
        <v>4.1103999999999999E-4</v>
      </c>
      <c r="AN105" s="137">
        <f>Summary_LCIA!AE$32</f>
        <v>8.8612999999999995E-4</v>
      </c>
      <c r="AO105" s="137">
        <f>Summary_LCIA!AF$32</f>
        <v>8.4542000000000005E-4</v>
      </c>
      <c r="AP105" s="137">
        <f>Summary_LCIA!AG$32</f>
        <v>5.1165000000000002E-5</v>
      </c>
      <c r="AQ105" s="137">
        <f>Summary_LCIA!AH$32</f>
        <v>8.7036000000000006E-3</v>
      </c>
      <c r="AR105" s="137">
        <f>Summary_LCIA!AI$32</f>
        <v>9.3154999999999996E-4</v>
      </c>
      <c r="AT105" s="137">
        <f t="shared" si="15"/>
        <v>118.05127719999999</v>
      </c>
      <c r="AU105" s="137">
        <f t="shared" si="15"/>
        <v>1721.8013051302619</v>
      </c>
      <c r="AV105" s="137">
        <f t="shared" si="15"/>
        <v>1.8293431583999997</v>
      </c>
      <c r="AW105" s="137">
        <f t="shared" si="15"/>
        <v>116.51570732</v>
      </c>
      <c r="AX105" s="137">
        <f t="shared" si="15"/>
        <v>38.180798599999996</v>
      </c>
      <c r="AY105" s="137">
        <f t="shared" si="15"/>
        <v>6.2235743959999992</v>
      </c>
      <c r="AZ105" s="137">
        <f t="shared" si="15"/>
        <v>1.6592840054E-2</v>
      </c>
      <c r="BA105" s="137">
        <f t="shared" si="15"/>
        <v>26.740802993999999</v>
      </c>
      <c r="BB105" s="137">
        <f t="shared" si="15"/>
        <v>7.9140909200000005</v>
      </c>
      <c r="BC105" s="137">
        <f t="shared" si="15"/>
        <v>5.4134049480000002</v>
      </c>
      <c r="BD105" s="137">
        <f t="shared" si="15"/>
        <v>1.4247100726E-2</v>
      </c>
      <c r="BE105" s="137">
        <f t="shared" si="15"/>
        <v>8.1142013839999994</v>
      </c>
      <c r="BF105" s="137">
        <f t="shared" si="15"/>
        <v>-7.5816157220000005E-3</v>
      </c>
      <c r="BG105" s="137">
        <f t="shared" si="15"/>
        <v>1.6982985976000001E-5</v>
      </c>
      <c r="BH105" s="137">
        <f t="shared" si="15"/>
        <v>0.14280105056</v>
      </c>
      <c r="BI105" s="137">
        <f t="shared" si="15"/>
        <v>0.30785396781999996</v>
      </c>
      <c r="BJ105" s="137">
        <f t="shared" si="14"/>
        <v>0.29371074388000001</v>
      </c>
      <c r="BK105" s="137">
        <f t="shared" si="14"/>
        <v>1.7775437309999999E-2</v>
      </c>
      <c r="BL105" s="137">
        <f t="shared" si="14"/>
        <v>3.0237524904000002</v>
      </c>
      <c r="BM105" s="137">
        <f t="shared" si="14"/>
        <v>0.32363351169999999</v>
      </c>
    </row>
    <row r="106" spans="1:65" x14ac:dyDescent="0.25">
      <c r="A106" s="149">
        <v>120</v>
      </c>
      <c r="B106" s="149">
        <v>43</v>
      </c>
      <c r="C106" s="61">
        <v>38.883254999999998</v>
      </c>
      <c r="D106" s="61">
        <v>-77.025096000000005</v>
      </c>
      <c r="E106" s="61" t="s">
        <v>265</v>
      </c>
      <c r="F106" s="149">
        <v>86</v>
      </c>
      <c r="G106" s="61" t="s">
        <v>630</v>
      </c>
      <c r="H106" s="61" t="s">
        <v>644</v>
      </c>
      <c r="I106" s="61">
        <v>38.851241999999999</v>
      </c>
      <c r="J106" s="61">
        <v>-77.040232000000003</v>
      </c>
      <c r="K106" s="61">
        <v>5.3130254810000004</v>
      </c>
      <c r="L106" s="61">
        <v>7.0659999999999998</v>
      </c>
      <c r="M106" s="61" t="s">
        <v>617</v>
      </c>
      <c r="N106" s="149">
        <v>42</v>
      </c>
      <c r="O106" s="149">
        <v>43</v>
      </c>
      <c r="P106" s="61" t="s">
        <v>565</v>
      </c>
      <c r="Q106" s="61" t="s">
        <v>555</v>
      </c>
      <c r="R106" s="61">
        <v>40.6895314</v>
      </c>
      <c r="S106" s="61">
        <v>-74.174462399999996</v>
      </c>
      <c r="T106" s="61">
        <v>347.41399999999999</v>
      </c>
      <c r="U106" s="61" t="s">
        <v>617</v>
      </c>
      <c r="V106" s="61" t="s">
        <v>617</v>
      </c>
      <c r="W106" s="61"/>
      <c r="Y106" s="137">
        <f>Summary_LCIA!H$32</f>
        <v>0.33979999999999999</v>
      </c>
      <c r="Z106" s="137">
        <f>Summary_LCIA!Q$32</f>
        <v>4.9560504329999997</v>
      </c>
      <c r="AA106" s="137">
        <f>Summary_LCIA!R$32</f>
        <v>5.2655999999999996E-3</v>
      </c>
      <c r="AB106" s="137">
        <f>Summary_LCIA!S$32</f>
        <v>0.33538000000000001</v>
      </c>
      <c r="AC106" s="137">
        <f>Summary_LCIA!T$32</f>
        <v>0.1099</v>
      </c>
      <c r="AD106" s="137">
        <f>Summary_LCIA!U$32</f>
        <v>1.7913999999999999E-2</v>
      </c>
      <c r="AE106" s="137">
        <f>Summary_LCIA!V$32</f>
        <v>4.7760999999999999E-5</v>
      </c>
      <c r="AF106" s="137">
        <f>Summary_LCIA!W$32</f>
        <v>7.6970999999999998E-2</v>
      </c>
      <c r="AG106" s="137">
        <f>Summary_LCIA!X$32</f>
        <v>2.2780000000000002E-2</v>
      </c>
      <c r="AH106" s="137">
        <f>Summary_LCIA!Y$32</f>
        <v>1.5582E-2</v>
      </c>
      <c r="AI106" s="137">
        <f>Summary_LCIA!Z$32</f>
        <v>4.1009E-5</v>
      </c>
      <c r="AJ106" s="137">
        <f>Summary_LCIA!AA$32</f>
        <v>2.3355999999999998E-2</v>
      </c>
      <c r="AK106" s="137">
        <f>Summary_LCIA!AB$32</f>
        <v>-2.1823000000000001E-5</v>
      </c>
      <c r="AL106" s="137">
        <f>Summary_LCIA!AC$32</f>
        <v>4.8884000000000003E-8</v>
      </c>
      <c r="AM106" s="137">
        <f>Summary_LCIA!AD$32</f>
        <v>4.1103999999999999E-4</v>
      </c>
      <c r="AN106" s="137">
        <f>Summary_LCIA!AE$32</f>
        <v>8.8612999999999995E-4</v>
      </c>
      <c r="AO106" s="137">
        <f>Summary_LCIA!AF$32</f>
        <v>8.4542000000000005E-4</v>
      </c>
      <c r="AP106" s="137">
        <f>Summary_LCIA!AG$32</f>
        <v>5.1165000000000002E-5</v>
      </c>
      <c r="AQ106" s="137">
        <f>Summary_LCIA!AH$32</f>
        <v>8.7036000000000006E-3</v>
      </c>
      <c r="AR106" s="137">
        <f>Summary_LCIA!AI$32</f>
        <v>9.3154999999999996E-4</v>
      </c>
      <c r="AT106" s="137">
        <f t="shared" si="15"/>
        <v>118.05127719999999</v>
      </c>
      <c r="AU106" s="137">
        <f t="shared" si="15"/>
        <v>1721.8013051302619</v>
      </c>
      <c r="AV106" s="137">
        <f t="shared" si="15"/>
        <v>1.8293431583999997</v>
      </c>
      <c r="AW106" s="137">
        <f t="shared" si="15"/>
        <v>116.51570732</v>
      </c>
      <c r="AX106" s="137">
        <f t="shared" si="15"/>
        <v>38.180798599999996</v>
      </c>
      <c r="AY106" s="137">
        <f t="shared" si="15"/>
        <v>6.2235743959999992</v>
      </c>
      <c r="AZ106" s="137">
        <f t="shared" si="15"/>
        <v>1.6592840054E-2</v>
      </c>
      <c r="BA106" s="137">
        <f t="shared" si="15"/>
        <v>26.740802993999999</v>
      </c>
      <c r="BB106" s="137">
        <f t="shared" si="15"/>
        <v>7.9140909200000005</v>
      </c>
      <c r="BC106" s="137">
        <f t="shared" si="15"/>
        <v>5.4134049480000002</v>
      </c>
      <c r="BD106" s="137">
        <f t="shared" si="15"/>
        <v>1.4247100726E-2</v>
      </c>
      <c r="BE106" s="137">
        <f t="shared" si="15"/>
        <v>8.1142013839999994</v>
      </c>
      <c r="BF106" s="137">
        <f t="shared" si="15"/>
        <v>-7.5816157220000005E-3</v>
      </c>
      <c r="BG106" s="137">
        <f t="shared" si="15"/>
        <v>1.6982985976000001E-5</v>
      </c>
      <c r="BH106" s="137">
        <f t="shared" si="15"/>
        <v>0.14280105056</v>
      </c>
      <c r="BI106" s="137">
        <f t="shared" si="15"/>
        <v>0.30785396781999996</v>
      </c>
      <c r="BJ106" s="137">
        <f t="shared" si="14"/>
        <v>0.29371074388000001</v>
      </c>
      <c r="BK106" s="137">
        <f t="shared" si="14"/>
        <v>1.7775437309999999E-2</v>
      </c>
      <c r="BL106" s="137">
        <f t="shared" si="14"/>
        <v>3.0237524904000002</v>
      </c>
      <c r="BM106" s="137">
        <f t="shared" si="14"/>
        <v>0.32363351169999999</v>
      </c>
    </row>
    <row r="107" spans="1:65" x14ac:dyDescent="0.25">
      <c r="A107" s="149">
        <v>51</v>
      </c>
      <c r="B107" s="149">
        <v>43</v>
      </c>
      <c r="C107" s="61">
        <v>38.892378999999998</v>
      </c>
      <c r="D107" s="61">
        <v>-77.048395999999997</v>
      </c>
      <c r="E107" s="61" t="s">
        <v>265</v>
      </c>
      <c r="F107" s="149">
        <v>86</v>
      </c>
      <c r="G107" s="61" t="s">
        <v>630</v>
      </c>
      <c r="H107" s="61" t="s">
        <v>644</v>
      </c>
      <c r="I107" s="61">
        <v>38.851241999999999</v>
      </c>
      <c r="J107" s="61">
        <v>-77.040232000000003</v>
      </c>
      <c r="K107" s="61">
        <v>6.4145804120000003</v>
      </c>
      <c r="L107" s="61">
        <v>7.7</v>
      </c>
      <c r="M107" s="61" t="s">
        <v>617</v>
      </c>
      <c r="N107" s="149">
        <v>42</v>
      </c>
      <c r="O107" s="149">
        <v>43</v>
      </c>
      <c r="P107" s="61" t="s">
        <v>565</v>
      </c>
      <c r="Q107" s="61" t="s">
        <v>555</v>
      </c>
      <c r="R107" s="61">
        <v>40.6895314</v>
      </c>
      <c r="S107" s="61">
        <v>-74.174462399999996</v>
      </c>
      <c r="T107" s="61">
        <v>349.28899999999999</v>
      </c>
      <c r="U107" s="61" t="s">
        <v>617</v>
      </c>
      <c r="V107" s="61" t="s">
        <v>617</v>
      </c>
      <c r="W107" s="61"/>
      <c r="Y107" s="137">
        <f>Summary_LCIA!H$32</f>
        <v>0.33979999999999999</v>
      </c>
      <c r="Z107" s="137">
        <f>Summary_LCIA!Q$32</f>
        <v>4.9560504329999997</v>
      </c>
      <c r="AA107" s="137">
        <f>Summary_LCIA!R$32</f>
        <v>5.2655999999999996E-3</v>
      </c>
      <c r="AB107" s="137">
        <f>Summary_LCIA!S$32</f>
        <v>0.33538000000000001</v>
      </c>
      <c r="AC107" s="137">
        <f>Summary_LCIA!T$32</f>
        <v>0.1099</v>
      </c>
      <c r="AD107" s="137">
        <f>Summary_LCIA!U$32</f>
        <v>1.7913999999999999E-2</v>
      </c>
      <c r="AE107" s="137">
        <f>Summary_LCIA!V$32</f>
        <v>4.7760999999999999E-5</v>
      </c>
      <c r="AF107" s="137">
        <f>Summary_LCIA!W$32</f>
        <v>7.6970999999999998E-2</v>
      </c>
      <c r="AG107" s="137">
        <f>Summary_LCIA!X$32</f>
        <v>2.2780000000000002E-2</v>
      </c>
      <c r="AH107" s="137">
        <f>Summary_LCIA!Y$32</f>
        <v>1.5582E-2</v>
      </c>
      <c r="AI107" s="137">
        <f>Summary_LCIA!Z$32</f>
        <v>4.1009E-5</v>
      </c>
      <c r="AJ107" s="137">
        <f>Summary_LCIA!AA$32</f>
        <v>2.3355999999999998E-2</v>
      </c>
      <c r="AK107" s="137">
        <f>Summary_LCIA!AB$32</f>
        <v>-2.1823000000000001E-5</v>
      </c>
      <c r="AL107" s="137">
        <f>Summary_LCIA!AC$32</f>
        <v>4.8884000000000003E-8</v>
      </c>
      <c r="AM107" s="137">
        <f>Summary_LCIA!AD$32</f>
        <v>4.1103999999999999E-4</v>
      </c>
      <c r="AN107" s="137">
        <f>Summary_LCIA!AE$32</f>
        <v>8.8612999999999995E-4</v>
      </c>
      <c r="AO107" s="137">
        <f>Summary_LCIA!AF$32</f>
        <v>8.4542000000000005E-4</v>
      </c>
      <c r="AP107" s="137">
        <f>Summary_LCIA!AG$32</f>
        <v>5.1165000000000002E-5</v>
      </c>
      <c r="AQ107" s="137">
        <f>Summary_LCIA!AH$32</f>
        <v>8.7036000000000006E-3</v>
      </c>
      <c r="AR107" s="137">
        <f>Summary_LCIA!AI$32</f>
        <v>9.3154999999999996E-4</v>
      </c>
      <c r="AT107" s="137">
        <f t="shared" si="15"/>
        <v>118.6884022</v>
      </c>
      <c r="AU107" s="137">
        <f t="shared" si="15"/>
        <v>1731.0938996921368</v>
      </c>
      <c r="AV107" s="137">
        <f t="shared" si="15"/>
        <v>1.8392161583999997</v>
      </c>
      <c r="AW107" s="137">
        <f t="shared" si="15"/>
        <v>117.14454481999999</v>
      </c>
      <c r="AX107" s="137">
        <f t="shared" si="15"/>
        <v>38.386861099999997</v>
      </c>
      <c r="AY107" s="137">
        <f t="shared" si="15"/>
        <v>6.2571631459999999</v>
      </c>
      <c r="AZ107" s="137">
        <f t="shared" si="15"/>
        <v>1.6682391929E-2</v>
      </c>
      <c r="BA107" s="137">
        <f t="shared" si="15"/>
        <v>26.885123618999998</v>
      </c>
      <c r="BB107" s="137">
        <f t="shared" si="15"/>
        <v>7.95680342</v>
      </c>
      <c r="BC107" s="137">
        <f t="shared" si="15"/>
        <v>5.4426211980000003</v>
      </c>
      <c r="BD107" s="137">
        <f t="shared" si="15"/>
        <v>1.4323992600999999E-2</v>
      </c>
      <c r="BE107" s="137">
        <f t="shared" si="15"/>
        <v>8.1579938839999997</v>
      </c>
      <c r="BF107" s="137">
        <f t="shared" si="15"/>
        <v>-7.6225338470000004E-3</v>
      </c>
      <c r="BG107" s="137">
        <f t="shared" si="15"/>
        <v>1.7074643475999999E-5</v>
      </c>
      <c r="BH107" s="137">
        <f t="shared" si="15"/>
        <v>0.14357175055999999</v>
      </c>
      <c r="BI107" s="137">
        <f t="shared" si="15"/>
        <v>0.30951546156999998</v>
      </c>
      <c r="BJ107" s="137">
        <f t="shared" si="14"/>
        <v>0.29529590638000003</v>
      </c>
      <c r="BK107" s="137">
        <f t="shared" si="14"/>
        <v>1.7871371685000002E-2</v>
      </c>
      <c r="BL107" s="137">
        <f t="shared" si="14"/>
        <v>3.0400717404000002</v>
      </c>
      <c r="BM107" s="137">
        <f t="shared" si="14"/>
        <v>0.32538016794999997</v>
      </c>
    </row>
    <row r="108" spans="1:65" x14ac:dyDescent="0.25">
      <c r="A108" s="149">
        <v>55</v>
      </c>
      <c r="B108" s="149">
        <v>43</v>
      </c>
      <c r="C108" s="61">
        <v>38.892918999999999</v>
      </c>
      <c r="D108" s="61">
        <v>-77.050562999999997</v>
      </c>
      <c r="E108" s="61" t="s">
        <v>265</v>
      </c>
      <c r="F108" s="149">
        <v>86</v>
      </c>
      <c r="G108" s="61" t="s">
        <v>630</v>
      </c>
      <c r="H108" s="61" t="s">
        <v>644</v>
      </c>
      <c r="I108" s="61">
        <v>38.851241999999999</v>
      </c>
      <c r="J108" s="61">
        <v>-77.040232000000003</v>
      </c>
      <c r="K108" s="61">
        <v>6.5036477030000004</v>
      </c>
      <c r="L108" s="61">
        <v>7.6310000000000002</v>
      </c>
      <c r="M108" s="61" t="s">
        <v>617</v>
      </c>
      <c r="N108" s="149">
        <v>42</v>
      </c>
      <c r="O108" s="149">
        <v>43</v>
      </c>
      <c r="P108" s="61" t="s">
        <v>565</v>
      </c>
      <c r="Q108" s="61" t="s">
        <v>555</v>
      </c>
      <c r="R108" s="61">
        <v>40.6895314</v>
      </c>
      <c r="S108" s="61">
        <v>-74.174462399999996</v>
      </c>
      <c r="T108" s="61">
        <v>349.54</v>
      </c>
      <c r="U108" s="61" t="s">
        <v>617</v>
      </c>
      <c r="V108" s="61" t="s">
        <v>617</v>
      </c>
      <c r="W108" s="61"/>
      <c r="Y108" s="137">
        <f>Summary_LCIA!H$32</f>
        <v>0.33979999999999999</v>
      </c>
      <c r="Z108" s="137">
        <f>Summary_LCIA!Q$32</f>
        <v>4.9560504329999997</v>
      </c>
      <c r="AA108" s="137">
        <f>Summary_LCIA!R$32</f>
        <v>5.2655999999999996E-3</v>
      </c>
      <c r="AB108" s="137">
        <f>Summary_LCIA!S$32</f>
        <v>0.33538000000000001</v>
      </c>
      <c r="AC108" s="137">
        <f>Summary_LCIA!T$32</f>
        <v>0.1099</v>
      </c>
      <c r="AD108" s="137">
        <f>Summary_LCIA!U$32</f>
        <v>1.7913999999999999E-2</v>
      </c>
      <c r="AE108" s="137">
        <f>Summary_LCIA!V$32</f>
        <v>4.7760999999999999E-5</v>
      </c>
      <c r="AF108" s="137">
        <f>Summary_LCIA!W$32</f>
        <v>7.6970999999999998E-2</v>
      </c>
      <c r="AG108" s="137">
        <f>Summary_LCIA!X$32</f>
        <v>2.2780000000000002E-2</v>
      </c>
      <c r="AH108" s="137">
        <f>Summary_LCIA!Y$32</f>
        <v>1.5582E-2</v>
      </c>
      <c r="AI108" s="137">
        <f>Summary_LCIA!Z$32</f>
        <v>4.1009E-5</v>
      </c>
      <c r="AJ108" s="137">
        <f>Summary_LCIA!AA$32</f>
        <v>2.3355999999999998E-2</v>
      </c>
      <c r="AK108" s="137">
        <f>Summary_LCIA!AB$32</f>
        <v>-2.1823000000000001E-5</v>
      </c>
      <c r="AL108" s="137">
        <f>Summary_LCIA!AC$32</f>
        <v>4.8884000000000003E-8</v>
      </c>
      <c r="AM108" s="137">
        <f>Summary_LCIA!AD$32</f>
        <v>4.1103999999999999E-4</v>
      </c>
      <c r="AN108" s="137">
        <f>Summary_LCIA!AE$32</f>
        <v>8.8612999999999995E-4</v>
      </c>
      <c r="AO108" s="137">
        <f>Summary_LCIA!AF$32</f>
        <v>8.4542000000000005E-4</v>
      </c>
      <c r="AP108" s="137">
        <f>Summary_LCIA!AG$32</f>
        <v>5.1165000000000002E-5</v>
      </c>
      <c r="AQ108" s="137">
        <f>Summary_LCIA!AH$32</f>
        <v>8.7036000000000006E-3</v>
      </c>
      <c r="AR108" s="137">
        <f>Summary_LCIA!AI$32</f>
        <v>9.3154999999999996E-4</v>
      </c>
      <c r="AT108" s="137">
        <f t="shared" si="15"/>
        <v>118.773692</v>
      </c>
      <c r="AU108" s="137">
        <f t="shared" si="15"/>
        <v>1732.3378683508199</v>
      </c>
      <c r="AV108" s="137">
        <f t="shared" si="15"/>
        <v>1.8405378239999999</v>
      </c>
      <c r="AW108" s="137">
        <f t="shared" si="15"/>
        <v>117.22872520000001</v>
      </c>
      <c r="AX108" s="137">
        <f t="shared" si="15"/>
        <v>38.414445999999998</v>
      </c>
      <c r="AY108" s="137">
        <f t="shared" si="15"/>
        <v>6.26165956</v>
      </c>
      <c r="AZ108" s="137">
        <f t="shared" si="15"/>
        <v>1.669437994E-2</v>
      </c>
      <c r="BA108" s="137">
        <f t="shared" si="15"/>
        <v>26.90444334</v>
      </c>
      <c r="BB108" s="137">
        <f t="shared" si="15"/>
        <v>7.9625212000000012</v>
      </c>
      <c r="BC108" s="137">
        <f t="shared" si="15"/>
        <v>5.4465322800000004</v>
      </c>
      <c r="BD108" s="137">
        <f t="shared" si="15"/>
        <v>1.433428586E-2</v>
      </c>
      <c r="BE108" s="137">
        <f t="shared" si="15"/>
        <v>8.1638562399999994</v>
      </c>
      <c r="BF108" s="137">
        <f t="shared" si="15"/>
        <v>-7.6280114200000006E-3</v>
      </c>
      <c r="BG108" s="137">
        <f t="shared" si="15"/>
        <v>1.7086913360000003E-5</v>
      </c>
      <c r="BH108" s="137">
        <f t="shared" si="15"/>
        <v>0.14367492160000001</v>
      </c>
      <c r="BI108" s="137">
        <f t="shared" si="15"/>
        <v>0.30973788019999998</v>
      </c>
      <c r="BJ108" s="137">
        <f t="shared" si="14"/>
        <v>0.29550810680000006</v>
      </c>
      <c r="BK108" s="137">
        <f t="shared" si="14"/>
        <v>1.78842141E-2</v>
      </c>
      <c r="BL108" s="137">
        <f t="shared" si="14"/>
        <v>3.0422563440000006</v>
      </c>
      <c r="BM108" s="137">
        <f t="shared" si="14"/>
        <v>0.32561398699999999</v>
      </c>
    </row>
    <row r="109" spans="1:65" x14ac:dyDescent="0.25">
      <c r="A109" s="149">
        <v>56</v>
      </c>
      <c r="B109" s="149">
        <v>43</v>
      </c>
      <c r="C109" s="61">
        <v>38.892918999999999</v>
      </c>
      <c r="D109" s="61">
        <v>-77.050562999999997</v>
      </c>
      <c r="E109" s="61" t="s">
        <v>265</v>
      </c>
      <c r="F109" s="149">
        <v>86</v>
      </c>
      <c r="G109" s="61" t="s">
        <v>630</v>
      </c>
      <c r="H109" s="61" t="s">
        <v>644</v>
      </c>
      <c r="I109" s="61">
        <v>38.851241999999999</v>
      </c>
      <c r="J109" s="61">
        <v>-77.040232000000003</v>
      </c>
      <c r="K109" s="61">
        <v>6.5036477030000004</v>
      </c>
      <c r="L109" s="61">
        <v>7.6310000000000002</v>
      </c>
      <c r="M109" s="61" t="s">
        <v>617</v>
      </c>
      <c r="N109" s="149">
        <v>42</v>
      </c>
      <c r="O109" s="149">
        <v>43</v>
      </c>
      <c r="P109" s="61" t="s">
        <v>565</v>
      </c>
      <c r="Q109" s="61" t="s">
        <v>555</v>
      </c>
      <c r="R109" s="61">
        <v>40.6895314</v>
      </c>
      <c r="S109" s="61">
        <v>-74.174462399999996</v>
      </c>
      <c r="T109" s="61">
        <v>349.54</v>
      </c>
      <c r="U109" s="61" t="s">
        <v>617</v>
      </c>
      <c r="V109" s="61" t="s">
        <v>617</v>
      </c>
      <c r="W109" s="61"/>
      <c r="Y109" s="137">
        <f>Summary_LCIA!H$32</f>
        <v>0.33979999999999999</v>
      </c>
      <c r="Z109" s="137">
        <f>Summary_LCIA!Q$32</f>
        <v>4.9560504329999997</v>
      </c>
      <c r="AA109" s="137">
        <f>Summary_LCIA!R$32</f>
        <v>5.2655999999999996E-3</v>
      </c>
      <c r="AB109" s="137">
        <f>Summary_LCIA!S$32</f>
        <v>0.33538000000000001</v>
      </c>
      <c r="AC109" s="137">
        <f>Summary_LCIA!T$32</f>
        <v>0.1099</v>
      </c>
      <c r="AD109" s="137">
        <f>Summary_LCIA!U$32</f>
        <v>1.7913999999999999E-2</v>
      </c>
      <c r="AE109" s="137">
        <f>Summary_LCIA!V$32</f>
        <v>4.7760999999999999E-5</v>
      </c>
      <c r="AF109" s="137">
        <f>Summary_LCIA!W$32</f>
        <v>7.6970999999999998E-2</v>
      </c>
      <c r="AG109" s="137">
        <f>Summary_LCIA!X$32</f>
        <v>2.2780000000000002E-2</v>
      </c>
      <c r="AH109" s="137">
        <f>Summary_LCIA!Y$32</f>
        <v>1.5582E-2</v>
      </c>
      <c r="AI109" s="137">
        <f>Summary_LCIA!Z$32</f>
        <v>4.1009E-5</v>
      </c>
      <c r="AJ109" s="137">
        <f>Summary_LCIA!AA$32</f>
        <v>2.3355999999999998E-2</v>
      </c>
      <c r="AK109" s="137">
        <f>Summary_LCIA!AB$32</f>
        <v>-2.1823000000000001E-5</v>
      </c>
      <c r="AL109" s="137">
        <f>Summary_LCIA!AC$32</f>
        <v>4.8884000000000003E-8</v>
      </c>
      <c r="AM109" s="137">
        <f>Summary_LCIA!AD$32</f>
        <v>4.1103999999999999E-4</v>
      </c>
      <c r="AN109" s="137">
        <f>Summary_LCIA!AE$32</f>
        <v>8.8612999999999995E-4</v>
      </c>
      <c r="AO109" s="137">
        <f>Summary_LCIA!AF$32</f>
        <v>8.4542000000000005E-4</v>
      </c>
      <c r="AP109" s="137">
        <f>Summary_LCIA!AG$32</f>
        <v>5.1165000000000002E-5</v>
      </c>
      <c r="AQ109" s="137">
        <f>Summary_LCIA!AH$32</f>
        <v>8.7036000000000006E-3</v>
      </c>
      <c r="AR109" s="137">
        <f>Summary_LCIA!AI$32</f>
        <v>9.3154999999999996E-4</v>
      </c>
      <c r="AT109" s="137">
        <f t="shared" si="15"/>
        <v>118.773692</v>
      </c>
      <c r="AU109" s="137">
        <f t="shared" si="15"/>
        <v>1732.3378683508199</v>
      </c>
      <c r="AV109" s="137">
        <f t="shared" si="15"/>
        <v>1.8405378239999999</v>
      </c>
      <c r="AW109" s="137">
        <f t="shared" si="15"/>
        <v>117.22872520000001</v>
      </c>
      <c r="AX109" s="137">
        <f t="shared" si="15"/>
        <v>38.414445999999998</v>
      </c>
      <c r="AY109" s="137">
        <f t="shared" si="15"/>
        <v>6.26165956</v>
      </c>
      <c r="AZ109" s="137">
        <f t="shared" si="15"/>
        <v>1.669437994E-2</v>
      </c>
      <c r="BA109" s="137">
        <f t="shared" si="15"/>
        <v>26.90444334</v>
      </c>
      <c r="BB109" s="137">
        <f t="shared" si="15"/>
        <v>7.9625212000000012</v>
      </c>
      <c r="BC109" s="137">
        <f t="shared" si="15"/>
        <v>5.4465322800000004</v>
      </c>
      <c r="BD109" s="137">
        <f t="shared" si="15"/>
        <v>1.433428586E-2</v>
      </c>
      <c r="BE109" s="137">
        <f t="shared" si="15"/>
        <v>8.1638562399999994</v>
      </c>
      <c r="BF109" s="137">
        <f t="shared" si="15"/>
        <v>-7.6280114200000006E-3</v>
      </c>
      <c r="BG109" s="137">
        <f t="shared" si="15"/>
        <v>1.7086913360000003E-5</v>
      </c>
      <c r="BH109" s="137">
        <f t="shared" si="15"/>
        <v>0.14367492160000001</v>
      </c>
      <c r="BI109" s="137">
        <f t="shared" si="15"/>
        <v>0.30973788019999998</v>
      </c>
      <c r="BJ109" s="137">
        <f t="shared" si="14"/>
        <v>0.29550810680000006</v>
      </c>
      <c r="BK109" s="137">
        <f t="shared" si="14"/>
        <v>1.78842141E-2</v>
      </c>
      <c r="BL109" s="137">
        <f t="shared" si="14"/>
        <v>3.0422563440000006</v>
      </c>
      <c r="BM109" s="137">
        <f t="shared" si="14"/>
        <v>0.32561398699999999</v>
      </c>
    </row>
    <row r="110" spans="1:65" x14ac:dyDescent="0.25">
      <c r="A110" s="149">
        <v>134</v>
      </c>
      <c r="B110" s="149">
        <v>43</v>
      </c>
      <c r="C110" s="61">
        <v>38.881621000000003</v>
      </c>
      <c r="D110" s="61">
        <v>-77.090980999999999</v>
      </c>
      <c r="E110" s="61" t="s">
        <v>265</v>
      </c>
      <c r="F110" s="149">
        <v>86</v>
      </c>
      <c r="G110" s="61" t="s">
        <v>630</v>
      </c>
      <c r="H110" s="61" t="s">
        <v>644</v>
      </c>
      <c r="I110" s="61">
        <v>38.851241999999999</v>
      </c>
      <c r="J110" s="61">
        <v>-77.040232000000003</v>
      </c>
      <c r="K110" s="61">
        <v>6.1868912390000004</v>
      </c>
      <c r="L110" s="61">
        <v>8.6340000000000003</v>
      </c>
      <c r="M110" s="61" t="s">
        <v>617</v>
      </c>
      <c r="N110" s="149">
        <v>42</v>
      </c>
      <c r="O110" s="149">
        <v>43</v>
      </c>
      <c r="P110" s="61" t="s">
        <v>565</v>
      </c>
      <c r="Q110" s="61" t="s">
        <v>555</v>
      </c>
      <c r="R110" s="61">
        <v>40.6895314</v>
      </c>
      <c r="S110" s="61">
        <v>-74.174462399999996</v>
      </c>
      <c r="T110" s="61">
        <v>353.63499999999999</v>
      </c>
      <c r="U110" s="61" t="s">
        <v>617</v>
      </c>
      <c r="V110" s="61" t="s">
        <v>617</v>
      </c>
      <c r="W110" s="61"/>
      <c r="Y110" s="137">
        <f>Summary_LCIA!H$32</f>
        <v>0.33979999999999999</v>
      </c>
      <c r="Z110" s="137">
        <f>Summary_LCIA!Q$32</f>
        <v>4.9560504329999997</v>
      </c>
      <c r="AA110" s="137">
        <f>Summary_LCIA!R$32</f>
        <v>5.2655999999999996E-3</v>
      </c>
      <c r="AB110" s="137">
        <f>Summary_LCIA!S$32</f>
        <v>0.33538000000000001</v>
      </c>
      <c r="AC110" s="137">
        <f>Summary_LCIA!T$32</f>
        <v>0.1099</v>
      </c>
      <c r="AD110" s="137">
        <f>Summary_LCIA!U$32</f>
        <v>1.7913999999999999E-2</v>
      </c>
      <c r="AE110" s="137">
        <f>Summary_LCIA!V$32</f>
        <v>4.7760999999999999E-5</v>
      </c>
      <c r="AF110" s="137">
        <f>Summary_LCIA!W$32</f>
        <v>7.6970999999999998E-2</v>
      </c>
      <c r="AG110" s="137">
        <f>Summary_LCIA!X$32</f>
        <v>2.2780000000000002E-2</v>
      </c>
      <c r="AH110" s="137">
        <f>Summary_LCIA!Y$32</f>
        <v>1.5582E-2</v>
      </c>
      <c r="AI110" s="137">
        <f>Summary_LCIA!Z$32</f>
        <v>4.1009E-5</v>
      </c>
      <c r="AJ110" s="137">
        <f>Summary_LCIA!AA$32</f>
        <v>2.3355999999999998E-2</v>
      </c>
      <c r="AK110" s="137">
        <f>Summary_LCIA!AB$32</f>
        <v>-2.1823000000000001E-5</v>
      </c>
      <c r="AL110" s="137">
        <f>Summary_LCIA!AC$32</f>
        <v>4.8884000000000003E-8</v>
      </c>
      <c r="AM110" s="137">
        <f>Summary_LCIA!AD$32</f>
        <v>4.1103999999999999E-4</v>
      </c>
      <c r="AN110" s="137">
        <f>Summary_LCIA!AE$32</f>
        <v>8.8612999999999995E-4</v>
      </c>
      <c r="AO110" s="137">
        <f>Summary_LCIA!AF$32</f>
        <v>8.4542000000000005E-4</v>
      </c>
      <c r="AP110" s="137">
        <f>Summary_LCIA!AG$32</f>
        <v>5.1165000000000002E-5</v>
      </c>
      <c r="AQ110" s="137">
        <f>Summary_LCIA!AH$32</f>
        <v>8.7036000000000006E-3</v>
      </c>
      <c r="AR110" s="137">
        <f>Summary_LCIA!AI$32</f>
        <v>9.3154999999999996E-4</v>
      </c>
      <c r="AT110" s="137">
        <f t="shared" si="15"/>
        <v>120.165173</v>
      </c>
      <c r="AU110" s="137">
        <f t="shared" si="15"/>
        <v>1752.6328948739549</v>
      </c>
      <c r="AV110" s="137">
        <f t="shared" si="15"/>
        <v>1.8621004559999998</v>
      </c>
      <c r="AW110" s="137">
        <f t="shared" si="15"/>
        <v>118.6021063</v>
      </c>
      <c r="AX110" s="137">
        <f t="shared" si="15"/>
        <v>38.864486499999998</v>
      </c>
      <c r="AY110" s="137">
        <f t="shared" si="15"/>
        <v>6.33501739</v>
      </c>
      <c r="AZ110" s="137">
        <f t="shared" si="15"/>
        <v>1.6889961235000001E-2</v>
      </c>
      <c r="BA110" s="137">
        <f t="shared" si="15"/>
        <v>27.219639584999999</v>
      </c>
      <c r="BB110" s="137">
        <f t="shared" si="15"/>
        <v>8.0558053000000012</v>
      </c>
      <c r="BC110" s="137">
        <f t="shared" si="15"/>
        <v>5.5103405700000003</v>
      </c>
      <c r="BD110" s="137">
        <f t="shared" si="15"/>
        <v>1.4502217715E-2</v>
      </c>
      <c r="BE110" s="137">
        <f t="shared" si="15"/>
        <v>8.2594990599999996</v>
      </c>
      <c r="BF110" s="137">
        <f t="shared" si="15"/>
        <v>-7.7173766050000004E-3</v>
      </c>
      <c r="BG110" s="137">
        <f t="shared" si="15"/>
        <v>1.7287093340000001E-5</v>
      </c>
      <c r="BH110" s="137">
        <f t="shared" si="15"/>
        <v>0.14535813040000001</v>
      </c>
      <c r="BI110" s="137">
        <f t="shared" si="15"/>
        <v>0.31336658254999999</v>
      </c>
      <c r="BJ110" s="137">
        <f t="shared" si="14"/>
        <v>0.29897010169999999</v>
      </c>
      <c r="BK110" s="137">
        <f t="shared" si="14"/>
        <v>1.8093734775000002E-2</v>
      </c>
      <c r="BL110" s="137">
        <f t="shared" si="14"/>
        <v>3.0778975860000002</v>
      </c>
      <c r="BM110" s="137">
        <f t="shared" si="14"/>
        <v>0.32942868424999999</v>
      </c>
    </row>
    <row r="111" spans="1:65" x14ac:dyDescent="0.25">
      <c r="A111" s="149">
        <v>14</v>
      </c>
      <c r="B111" s="149">
        <v>43</v>
      </c>
      <c r="C111" s="61">
        <v>39.144460000000002</v>
      </c>
      <c r="D111" s="61">
        <v>-77.216469000000004</v>
      </c>
      <c r="E111" s="61" t="s">
        <v>265</v>
      </c>
      <c r="F111" s="149">
        <v>85</v>
      </c>
      <c r="G111" s="61" t="s">
        <v>630</v>
      </c>
      <c r="H111" s="61" t="s">
        <v>631</v>
      </c>
      <c r="I111" s="61">
        <v>38.953116000000001</v>
      </c>
      <c r="J111" s="61">
        <v>-77.456539000000006</v>
      </c>
      <c r="K111" s="61">
        <v>38.295953089999998</v>
      </c>
      <c r="L111" s="61">
        <v>52.948</v>
      </c>
      <c r="M111" s="61" t="s">
        <v>617</v>
      </c>
      <c r="N111" s="149">
        <v>42</v>
      </c>
      <c r="O111" s="149">
        <v>43</v>
      </c>
      <c r="P111" s="61" t="s">
        <v>565</v>
      </c>
      <c r="Q111" s="61" t="s">
        <v>555</v>
      </c>
      <c r="R111" s="61">
        <v>40.6895314</v>
      </c>
      <c r="S111" s="61">
        <v>-74.174462399999996</v>
      </c>
      <c r="T111" s="61">
        <v>354.65100000000001</v>
      </c>
      <c r="U111" s="61" t="s">
        <v>617</v>
      </c>
      <c r="V111" s="61" t="s">
        <v>617</v>
      </c>
      <c r="W111" s="61"/>
      <c r="Y111" s="137">
        <f>Summary_LCIA!H$32</f>
        <v>0.33979999999999999</v>
      </c>
      <c r="Z111" s="137">
        <f>Summary_LCIA!Q$32</f>
        <v>4.9560504329999997</v>
      </c>
      <c r="AA111" s="137">
        <f>Summary_LCIA!R$32</f>
        <v>5.2655999999999996E-3</v>
      </c>
      <c r="AB111" s="137">
        <f>Summary_LCIA!S$32</f>
        <v>0.33538000000000001</v>
      </c>
      <c r="AC111" s="137">
        <f>Summary_LCIA!T$32</f>
        <v>0.1099</v>
      </c>
      <c r="AD111" s="137">
        <f>Summary_LCIA!U$32</f>
        <v>1.7913999999999999E-2</v>
      </c>
      <c r="AE111" s="137">
        <f>Summary_LCIA!V$32</f>
        <v>4.7760999999999999E-5</v>
      </c>
      <c r="AF111" s="137">
        <f>Summary_LCIA!W$32</f>
        <v>7.6970999999999998E-2</v>
      </c>
      <c r="AG111" s="137">
        <f>Summary_LCIA!X$32</f>
        <v>2.2780000000000002E-2</v>
      </c>
      <c r="AH111" s="137">
        <f>Summary_LCIA!Y$32</f>
        <v>1.5582E-2</v>
      </c>
      <c r="AI111" s="137">
        <f>Summary_LCIA!Z$32</f>
        <v>4.1009E-5</v>
      </c>
      <c r="AJ111" s="137">
        <f>Summary_LCIA!AA$32</f>
        <v>2.3355999999999998E-2</v>
      </c>
      <c r="AK111" s="137">
        <f>Summary_LCIA!AB$32</f>
        <v>-2.1823000000000001E-5</v>
      </c>
      <c r="AL111" s="137">
        <f>Summary_LCIA!AC$32</f>
        <v>4.8884000000000003E-8</v>
      </c>
      <c r="AM111" s="137">
        <f>Summary_LCIA!AD$32</f>
        <v>4.1103999999999999E-4</v>
      </c>
      <c r="AN111" s="137">
        <f>Summary_LCIA!AE$32</f>
        <v>8.8612999999999995E-4</v>
      </c>
      <c r="AO111" s="137">
        <f>Summary_LCIA!AF$32</f>
        <v>8.4542000000000005E-4</v>
      </c>
      <c r="AP111" s="137">
        <f>Summary_LCIA!AG$32</f>
        <v>5.1165000000000002E-5</v>
      </c>
      <c r="AQ111" s="137">
        <f>Summary_LCIA!AH$32</f>
        <v>8.7036000000000006E-3</v>
      </c>
      <c r="AR111" s="137">
        <f>Summary_LCIA!AI$32</f>
        <v>9.3154999999999996E-4</v>
      </c>
      <c r="AT111" s="137">
        <f t="shared" si="15"/>
        <v>120.51040980000001</v>
      </c>
      <c r="AU111" s="137">
        <f t="shared" si="15"/>
        <v>1757.668242113883</v>
      </c>
      <c r="AV111" s="137">
        <f t="shared" si="15"/>
        <v>1.8674503056</v>
      </c>
      <c r="AW111" s="137">
        <f t="shared" si="15"/>
        <v>118.94285238000001</v>
      </c>
      <c r="AX111" s="137">
        <f t="shared" si="15"/>
        <v>38.976144900000001</v>
      </c>
      <c r="AY111" s="137">
        <f t="shared" si="15"/>
        <v>6.3532180140000003</v>
      </c>
      <c r="AZ111" s="137">
        <f t="shared" si="15"/>
        <v>1.6938486411000001E-2</v>
      </c>
      <c r="BA111" s="137">
        <f t="shared" si="15"/>
        <v>27.297842120999999</v>
      </c>
      <c r="BB111" s="137">
        <f t="shared" si="15"/>
        <v>8.0789497800000003</v>
      </c>
      <c r="BC111" s="137">
        <f t="shared" si="15"/>
        <v>5.5261718819999999</v>
      </c>
      <c r="BD111" s="137">
        <f t="shared" si="15"/>
        <v>1.4543882859000001E-2</v>
      </c>
      <c r="BE111" s="137">
        <f t="shared" si="15"/>
        <v>8.2832287559999997</v>
      </c>
      <c r="BF111" s="137">
        <f t="shared" si="15"/>
        <v>-7.7395487730000006E-3</v>
      </c>
      <c r="BG111" s="137">
        <f t="shared" si="15"/>
        <v>1.7336759484000001E-5</v>
      </c>
      <c r="BH111" s="137">
        <f t="shared" si="15"/>
        <v>0.14577574704000001</v>
      </c>
      <c r="BI111" s="137">
        <f t="shared" si="15"/>
        <v>0.31426689063000002</v>
      </c>
      <c r="BJ111" s="137">
        <f t="shared" si="14"/>
        <v>0.29982904842000002</v>
      </c>
      <c r="BK111" s="137">
        <f t="shared" si="14"/>
        <v>1.8145718415000001E-2</v>
      </c>
      <c r="BL111" s="137">
        <f t="shared" si="14"/>
        <v>3.0867404436000001</v>
      </c>
      <c r="BM111" s="137">
        <f t="shared" si="14"/>
        <v>0.33037513904999999</v>
      </c>
    </row>
    <row r="112" spans="1:65" x14ac:dyDescent="0.25">
      <c r="A112" s="149">
        <v>35</v>
      </c>
      <c r="B112" s="149">
        <v>43</v>
      </c>
      <c r="C112" s="61">
        <v>38.805311000000003</v>
      </c>
      <c r="D112" s="61">
        <v>-77.055997000000005</v>
      </c>
      <c r="E112" s="61" t="s">
        <v>265</v>
      </c>
      <c r="F112" s="149">
        <v>86</v>
      </c>
      <c r="G112" s="61" t="s">
        <v>630</v>
      </c>
      <c r="H112" s="61" t="s">
        <v>644</v>
      </c>
      <c r="I112" s="61">
        <v>38.851241999999999</v>
      </c>
      <c r="J112" s="61">
        <v>-77.040232000000003</v>
      </c>
      <c r="K112" s="61">
        <v>7.4606559270000004</v>
      </c>
      <c r="L112" s="61">
        <v>8.0039999999999996</v>
      </c>
      <c r="M112" s="61" t="s">
        <v>617</v>
      </c>
      <c r="N112" s="149">
        <v>42</v>
      </c>
      <c r="O112" s="149">
        <v>43</v>
      </c>
      <c r="P112" s="61" t="s">
        <v>565</v>
      </c>
      <c r="Q112" s="61" t="s">
        <v>555</v>
      </c>
      <c r="R112" s="61">
        <v>40.6895314</v>
      </c>
      <c r="S112" s="61">
        <v>-74.174462399999996</v>
      </c>
      <c r="T112" s="61">
        <v>358.142</v>
      </c>
      <c r="U112" s="61" t="s">
        <v>617</v>
      </c>
      <c r="V112" s="61" t="s">
        <v>617</v>
      </c>
      <c r="W112" s="61"/>
      <c r="Y112" s="137">
        <f>Summary_LCIA!H$32</f>
        <v>0.33979999999999999</v>
      </c>
      <c r="Z112" s="137">
        <f>Summary_LCIA!Q$32</f>
        <v>4.9560504329999997</v>
      </c>
      <c r="AA112" s="137">
        <f>Summary_LCIA!R$32</f>
        <v>5.2655999999999996E-3</v>
      </c>
      <c r="AB112" s="137">
        <f>Summary_LCIA!S$32</f>
        <v>0.33538000000000001</v>
      </c>
      <c r="AC112" s="137">
        <f>Summary_LCIA!T$32</f>
        <v>0.1099</v>
      </c>
      <c r="AD112" s="137">
        <f>Summary_LCIA!U$32</f>
        <v>1.7913999999999999E-2</v>
      </c>
      <c r="AE112" s="137">
        <f>Summary_LCIA!V$32</f>
        <v>4.7760999999999999E-5</v>
      </c>
      <c r="AF112" s="137">
        <f>Summary_LCIA!W$32</f>
        <v>7.6970999999999998E-2</v>
      </c>
      <c r="AG112" s="137">
        <f>Summary_LCIA!X$32</f>
        <v>2.2780000000000002E-2</v>
      </c>
      <c r="AH112" s="137">
        <f>Summary_LCIA!Y$32</f>
        <v>1.5582E-2</v>
      </c>
      <c r="AI112" s="137">
        <f>Summary_LCIA!Z$32</f>
        <v>4.1009E-5</v>
      </c>
      <c r="AJ112" s="137">
        <f>Summary_LCIA!AA$32</f>
        <v>2.3355999999999998E-2</v>
      </c>
      <c r="AK112" s="137">
        <f>Summary_LCIA!AB$32</f>
        <v>-2.1823000000000001E-5</v>
      </c>
      <c r="AL112" s="137">
        <f>Summary_LCIA!AC$32</f>
        <v>4.8884000000000003E-8</v>
      </c>
      <c r="AM112" s="137">
        <f>Summary_LCIA!AD$32</f>
        <v>4.1103999999999999E-4</v>
      </c>
      <c r="AN112" s="137">
        <f>Summary_LCIA!AE$32</f>
        <v>8.8612999999999995E-4</v>
      </c>
      <c r="AO112" s="137">
        <f>Summary_LCIA!AF$32</f>
        <v>8.4542000000000005E-4</v>
      </c>
      <c r="AP112" s="137">
        <f>Summary_LCIA!AG$32</f>
        <v>5.1165000000000002E-5</v>
      </c>
      <c r="AQ112" s="137">
        <f>Summary_LCIA!AH$32</f>
        <v>8.7036000000000006E-3</v>
      </c>
      <c r="AR112" s="137">
        <f>Summary_LCIA!AI$32</f>
        <v>9.3154999999999996E-4</v>
      </c>
      <c r="AT112" s="137">
        <f t="shared" si="15"/>
        <v>121.6966516</v>
      </c>
      <c r="AU112" s="137">
        <f t="shared" si="15"/>
        <v>1774.9698141754859</v>
      </c>
      <c r="AV112" s="137">
        <f t="shared" si="15"/>
        <v>1.8858325151999999</v>
      </c>
      <c r="AW112" s="137">
        <f t="shared" si="15"/>
        <v>120.11366396</v>
      </c>
      <c r="AX112" s="137">
        <f t="shared" si="15"/>
        <v>39.359805799999997</v>
      </c>
      <c r="AY112" s="137">
        <f t="shared" si="15"/>
        <v>6.4157557879999993</v>
      </c>
      <c r="AZ112" s="137">
        <f t="shared" si="15"/>
        <v>1.7105220062E-2</v>
      </c>
      <c r="BA112" s="137">
        <f t="shared" si="15"/>
        <v>27.566547881999998</v>
      </c>
      <c r="BB112" s="137">
        <f t="shared" si="15"/>
        <v>8.1584747600000007</v>
      </c>
      <c r="BC112" s="137">
        <f t="shared" si="15"/>
        <v>5.5805686440000004</v>
      </c>
      <c r="BD112" s="137">
        <f t="shared" si="15"/>
        <v>1.4687045277999999E-2</v>
      </c>
      <c r="BE112" s="137">
        <f t="shared" si="15"/>
        <v>8.3647645519999987</v>
      </c>
      <c r="BF112" s="137">
        <f t="shared" si="15"/>
        <v>-7.8157328659999997E-3</v>
      </c>
      <c r="BG112" s="137">
        <f t="shared" si="15"/>
        <v>1.7507413528E-5</v>
      </c>
      <c r="BH112" s="137">
        <f t="shared" si="15"/>
        <v>0.14721068768000001</v>
      </c>
      <c r="BI112" s="137">
        <f t="shared" si="15"/>
        <v>0.31736037045999999</v>
      </c>
      <c r="BJ112" s="137">
        <f t="shared" si="14"/>
        <v>0.30278040964000003</v>
      </c>
      <c r="BK112" s="137">
        <f t="shared" si="14"/>
        <v>1.8324335430000002E-2</v>
      </c>
      <c r="BL112" s="137">
        <f t="shared" si="14"/>
        <v>3.1171247112000002</v>
      </c>
      <c r="BM112" s="137">
        <f t="shared" si="14"/>
        <v>0.33362718009999998</v>
      </c>
    </row>
    <row r="113" spans="1:65" x14ac:dyDescent="0.25">
      <c r="A113" s="149">
        <v>183</v>
      </c>
      <c r="B113" s="149">
        <v>43</v>
      </c>
      <c r="C113" s="61">
        <v>42.373615999999998</v>
      </c>
      <c r="D113" s="61">
        <v>-71.109734000000003</v>
      </c>
      <c r="E113" s="61" t="s">
        <v>265</v>
      </c>
      <c r="F113" s="149">
        <v>53</v>
      </c>
      <c r="G113" s="61" t="s">
        <v>565</v>
      </c>
      <c r="H113" s="61" t="s">
        <v>634</v>
      </c>
      <c r="I113" s="61">
        <v>42.365613000000003</v>
      </c>
      <c r="J113" s="61">
        <v>-71.009559999999993</v>
      </c>
      <c r="K113" s="61">
        <v>8.3485195930000007</v>
      </c>
      <c r="L113" s="61">
        <v>14.246</v>
      </c>
      <c r="M113" s="61" t="s">
        <v>617</v>
      </c>
      <c r="N113" s="149">
        <v>42</v>
      </c>
      <c r="O113" s="149">
        <v>43</v>
      </c>
      <c r="P113" s="61" t="s">
        <v>565</v>
      </c>
      <c r="Q113" s="61" t="s">
        <v>555</v>
      </c>
      <c r="R113" s="61">
        <v>40.6895314</v>
      </c>
      <c r="S113" s="61">
        <v>-74.174462399999996</v>
      </c>
      <c r="T113" s="61">
        <v>361.38499999999999</v>
      </c>
      <c r="U113" s="61" t="s">
        <v>617</v>
      </c>
      <c r="V113" s="61" t="s">
        <v>617</v>
      </c>
      <c r="W113" s="61"/>
      <c r="Y113" s="137">
        <f>Summary_LCIA!H$32</f>
        <v>0.33979999999999999</v>
      </c>
      <c r="Z113" s="137">
        <f>Summary_LCIA!Q$32</f>
        <v>4.9560504329999997</v>
      </c>
      <c r="AA113" s="137">
        <f>Summary_LCIA!R$32</f>
        <v>5.2655999999999996E-3</v>
      </c>
      <c r="AB113" s="137">
        <f>Summary_LCIA!S$32</f>
        <v>0.33538000000000001</v>
      </c>
      <c r="AC113" s="137">
        <f>Summary_LCIA!T$32</f>
        <v>0.1099</v>
      </c>
      <c r="AD113" s="137">
        <f>Summary_LCIA!U$32</f>
        <v>1.7913999999999999E-2</v>
      </c>
      <c r="AE113" s="137">
        <f>Summary_LCIA!V$32</f>
        <v>4.7760999999999999E-5</v>
      </c>
      <c r="AF113" s="137">
        <f>Summary_LCIA!W$32</f>
        <v>7.6970999999999998E-2</v>
      </c>
      <c r="AG113" s="137">
        <f>Summary_LCIA!X$32</f>
        <v>2.2780000000000002E-2</v>
      </c>
      <c r="AH113" s="137">
        <f>Summary_LCIA!Y$32</f>
        <v>1.5582E-2</v>
      </c>
      <c r="AI113" s="137">
        <f>Summary_LCIA!Z$32</f>
        <v>4.1009E-5</v>
      </c>
      <c r="AJ113" s="137">
        <f>Summary_LCIA!AA$32</f>
        <v>2.3355999999999998E-2</v>
      </c>
      <c r="AK113" s="137">
        <f>Summary_LCIA!AB$32</f>
        <v>-2.1823000000000001E-5</v>
      </c>
      <c r="AL113" s="137">
        <f>Summary_LCIA!AC$32</f>
        <v>4.8884000000000003E-8</v>
      </c>
      <c r="AM113" s="137">
        <f>Summary_LCIA!AD$32</f>
        <v>4.1103999999999999E-4</v>
      </c>
      <c r="AN113" s="137">
        <f>Summary_LCIA!AE$32</f>
        <v>8.8612999999999995E-4</v>
      </c>
      <c r="AO113" s="137">
        <f>Summary_LCIA!AF$32</f>
        <v>8.4542000000000005E-4</v>
      </c>
      <c r="AP113" s="137">
        <f>Summary_LCIA!AG$32</f>
        <v>5.1165000000000002E-5</v>
      </c>
      <c r="AQ113" s="137">
        <f>Summary_LCIA!AH$32</f>
        <v>8.7036000000000006E-3</v>
      </c>
      <c r="AR113" s="137">
        <f>Summary_LCIA!AI$32</f>
        <v>9.3154999999999996E-4</v>
      </c>
      <c r="AT113" s="137">
        <f t="shared" si="15"/>
        <v>122.79862299999999</v>
      </c>
      <c r="AU113" s="137">
        <f t="shared" si="15"/>
        <v>1791.0422857297049</v>
      </c>
      <c r="AV113" s="137">
        <f t="shared" si="15"/>
        <v>1.9029088559999998</v>
      </c>
      <c r="AW113" s="137">
        <f t="shared" si="15"/>
        <v>121.2013013</v>
      </c>
      <c r="AX113" s="137">
        <f t="shared" si="15"/>
        <v>39.7162115</v>
      </c>
      <c r="AY113" s="137">
        <f t="shared" si="15"/>
        <v>6.4738508899999996</v>
      </c>
      <c r="AZ113" s="137">
        <f t="shared" si="15"/>
        <v>1.7260108984999998E-2</v>
      </c>
      <c r="BA113" s="137">
        <f t="shared" si="15"/>
        <v>27.816164834999999</v>
      </c>
      <c r="BB113" s="137">
        <f t="shared" si="15"/>
        <v>8.2323503000000002</v>
      </c>
      <c r="BC113" s="137">
        <f t="shared" si="15"/>
        <v>5.6311010699999997</v>
      </c>
      <c r="BD113" s="137">
        <f t="shared" si="15"/>
        <v>1.4820037465E-2</v>
      </c>
      <c r="BE113" s="137">
        <f t="shared" si="15"/>
        <v>8.4405080599999991</v>
      </c>
      <c r="BF113" s="137">
        <f t="shared" si="15"/>
        <v>-7.8865048550000004E-3</v>
      </c>
      <c r="BG113" s="137">
        <f t="shared" si="15"/>
        <v>1.7665944340000001E-5</v>
      </c>
      <c r="BH113" s="137">
        <f t="shared" si="15"/>
        <v>0.14854369039999998</v>
      </c>
      <c r="BI113" s="137">
        <f t="shared" si="15"/>
        <v>0.32023409004999998</v>
      </c>
      <c r="BJ113" s="137">
        <f t="shared" si="14"/>
        <v>0.30552210670000002</v>
      </c>
      <c r="BK113" s="137">
        <f t="shared" si="14"/>
        <v>1.8490263525000002E-2</v>
      </c>
      <c r="BL113" s="137">
        <f t="shared" si="14"/>
        <v>3.1453504860000003</v>
      </c>
      <c r="BM113" s="137">
        <f t="shared" si="14"/>
        <v>0.33664819674999996</v>
      </c>
    </row>
    <row r="114" spans="1:65" x14ac:dyDescent="0.25">
      <c r="A114" s="149">
        <v>81</v>
      </c>
      <c r="B114" s="149">
        <v>43</v>
      </c>
      <c r="C114" s="61">
        <v>42.339463000000002</v>
      </c>
      <c r="D114" s="61">
        <v>-71.088528999999994</v>
      </c>
      <c r="E114" s="61" t="s">
        <v>265</v>
      </c>
      <c r="F114" s="149">
        <v>53</v>
      </c>
      <c r="G114" s="61" t="s">
        <v>565</v>
      </c>
      <c r="H114" s="61" t="s">
        <v>634</v>
      </c>
      <c r="I114" s="61">
        <v>42.365613000000003</v>
      </c>
      <c r="J114" s="61">
        <v>-71.009559999999993</v>
      </c>
      <c r="K114" s="61">
        <v>8.1732109099999999</v>
      </c>
      <c r="L114" s="61">
        <v>10.691000000000001</v>
      </c>
      <c r="M114" s="61" t="s">
        <v>617</v>
      </c>
      <c r="N114" s="149">
        <v>42</v>
      </c>
      <c r="O114" s="149">
        <v>43</v>
      </c>
      <c r="P114" s="61" t="s">
        <v>565</v>
      </c>
      <c r="Q114" s="61" t="s">
        <v>555</v>
      </c>
      <c r="R114" s="61">
        <v>40.6895314</v>
      </c>
      <c r="S114" s="61">
        <v>-74.174462399999996</v>
      </c>
      <c r="T114" s="61">
        <v>363.32900000000001</v>
      </c>
      <c r="U114" s="61" t="s">
        <v>617</v>
      </c>
      <c r="V114" s="61" t="s">
        <v>617</v>
      </c>
      <c r="W114" s="61"/>
      <c r="Y114" s="137">
        <f>Summary_LCIA!H$32</f>
        <v>0.33979999999999999</v>
      </c>
      <c r="Z114" s="137">
        <f>Summary_LCIA!Q$32</f>
        <v>4.9560504329999997</v>
      </c>
      <c r="AA114" s="137">
        <f>Summary_LCIA!R$32</f>
        <v>5.2655999999999996E-3</v>
      </c>
      <c r="AB114" s="137">
        <f>Summary_LCIA!S$32</f>
        <v>0.33538000000000001</v>
      </c>
      <c r="AC114" s="137">
        <f>Summary_LCIA!T$32</f>
        <v>0.1099</v>
      </c>
      <c r="AD114" s="137">
        <f>Summary_LCIA!U$32</f>
        <v>1.7913999999999999E-2</v>
      </c>
      <c r="AE114" s="137">
        <f>Summary_LCIA!V$32</f>
        <v>4.7760999999999999E-5</v>
      </c>
      <c r="AF114" s="137">
        <f>Summary_LCIA!W$32</f>
        <v>7.6970999999999998E-2</v>
      </c>
      <c r="AG114" s="137">
        <f>Summary_LCIA!X$32</f>
        <v>2.2780000000000002E-2</v>
      </c>
      <c r="AH114" s="137">
        <f>Summary_LCIA!Y$32</f>
        <v>1.5582E-2</v>
      </c>
      <c r="AI114" s="137">
        <f>Summary_LCIA!Z$32</f>
        <v>4.1009E-5</v>
      </c>
      <c r="AJ114" s="137">
        <f>Summary_LCIA!AA$32</f>
        <v>2.3355999999999998E-2</v>
      </c>
      <c r="AK114" s="137">
        <f>Summary_LCIA!AB$32</f>
        <v>-2.1823000000000001E-5</v>
      </c>
      <c r="AL114" s="137">
        <f>Summary_LCIA!AC$32</f>
        <v>4.8884000000000003E-8</v>
      </c>
      <c r="AM114" s="137">
        <f>Summary_LCIA!AD$32</f>
        <v>4.1103999999999999E-4</v>
      </c>
      <c r="AN114" s="137">
        <f>Summary_LCIA!AE$32</f>
        <v>8.8612999999999995E-4</v>
      </c>
      <c r="AO114" s="137">
        <f>Summary_LCIA!AF$32</f>
        <v>8.4542000000000005E-4</v>
      </c>
      <c r="AP114" s="137">
        <f>Summary_LCIA!AG$32</f>
        <v>5.1165000000000002E-5</v>
      </c>
      <c r="AQ114" s="137">
        <f>Summary_LCIA!AH$32</f>
        <v>8.7036000000000006E-3</v>
      </c>
      <c r="AR114" s="137">
        <f>Summary_LCIA!AI$32</f>
        <v>9.3154999999999996E-4</v>
      </c>
      <c r="AT114" s="137">
        <f t="shared" si="15"/>
        <v>123.4591942</v>
      </c>
      <c r="AU114" s="137">
        <f t="shared" si="15"/>
        <v>1800.676847771457</v>
      </c>
      <c r="AV114" s="137">
        <f t="shared" si="15"/>
        <v>1.9131451823999999</v>
      </c>
      <c r="AW114" s="137">
        <f t="shared" si="15"/>
        <v>121.85328002</v>
      </c>
      <c r="AX114" s="137">
        <f t="shared" si="15"/>
        <v>39.9298571</v>
      </c>
      <c r="AY114" s="137">
        <f t="shared" si="15"/>
        <v>6.508675706</v>
      </c>
      <c r="AZ114" s="137">
        <f t="shared" si="15"/>
        <v>1.7352956369E-2</v>
      </c>
      <c r="BA114" s="137">
        <f t="shared" si="15"/>
        <v>27.965796459</v>
      </c>
      <c r="BB114" s="137">
        <f t="shared" si="15"/>
        <v>8.2766346200000012</v>
      </c>
      <c r="BC114" s="137">
        <f t="shared" si="15"/>
        <v>5.6613924780000007</v>
      </c>
      <c r="BD114" s="137">
        <f t="shared" si="15"/>
        <v>1.4899758961000001E-2</v>
      </c>
      <c r="BE114" s="137">
        <f t="shared" si="15"/>
        <v>8.4859121240000004</v>
      </c>
      <c r="BF114" s="137">
        <f t="shared" si="15"/>
        <v>-7.928928767E-3</v>
      </c>
      <c r="BG114" s="137">
        <f t="shared" si="15"/>
        <v>1.7760974836000001E-5</v>
      </c>
      <c r="BH114" s="137">
        <f t="shared" si="15"/>
        <v>0.14934275216000001</v>
      </c>
      <c r="BI114" s="137">
        <f t="shared" ref="BI114:BM129" si="16">$T114*AN114</f>
        <v>0.32195672676999998</v>
      </c>
      <c r="BJ114" s="137">
        <f t="shared" si="16"/>
        <v>0.30716560318000002</v>
      </c>
      <c r="BK114" s="137">
        <f t="shared" si="16"/>
        <v>1.8589728285000003E-2</v>
      </c>
      <c r="BL114" s="137">
        <f t="shared" si="16"/>
        <v>3.1622702844000004</v>
      </c>
      <c r="BM114" s="137">
        <f t="shared" si="16"/>
        <v>0.33845912994999999</v>
      </c>
    </row>
    <row r="115" spans="1:65" x14ac:dyDescent="0.25">
      <c r="A115" s="149">
        <v>82</v>
      </c>
      <c r="B115" s="149">
        <v>43</v>
      </c>
      <c r="C115" s="61">
        <v>42.339463000000002</v>
      </c>
      <c r="D115" s="61">
        <v>-71.088528999999994</v>
      </c>
      <c r="E115" s="61" t="s">
        <v>265</v>
      </c>
      <c r="F115" s="149">
        <v>53</v>
      </c>
      <c r="G115" s="61" t="s">
        <v>565</v>
      </c>
      <c r="H115" s="61" t="s">
        <v>634</v>
      </c>
      <c r="I115" s="61">
        <v>42.365613000000003</v>
      </c>
      <c r="J115" s="61">
        <v>-71.009559999999993</v>
      </c>
      <c r="K115" s="61">
        <v>8.1732109099999999</v>
      </c>
      <c r="L115" s="61">
        <v>10.691000000000001</v>
      </c>
      <c r="M115" s="61" t="s">
        <v>617</v>
      </c>
      <c r="N115" s="149">
        <v>42</v>
      </c>
      <c r="O115" s="149">
        <v>43</v>
      </c>
      <c r="P115" s="61" t="s">
        <v>565</v>
      </c>
      <c r="Q115" s="61" t="s">
        <v>555</v>
      </c>
      <c r="R115" s="61">
        <v>40.6895314</v>
      </c>
      <c r="S115" s="61">
        <v>-74.174462399999996</v>
      </c>
      <c r="T115" s="61">
        <v>363.32900000000001</v>
      </c>
      <c r="U115" s="61" t="s">
        <v>617</v>
      </c>
      <c r="V115" s="61" t="s">
        <v>617</v>
      </c>
      <c r="W115" s="61"/>
      <c r="Y115" s="137">
        <f>Summary_LCIA!H$32</f>
        <v>0.33979999999999999</v>
      </c>
      <c r="Z115" s="137">
        <f>Summary_LCIA!Q$32</f>
        <v>4.9560504329999997</v>
      </c>
      <c r="AA115" s="137">
        <f>Summary_LCIA!R$32</f>
        <v>5.2655999999999996E-3</v>
      </c>
      <c r="AB115" s="137">
        <f>Summary_LCIA!S$32</f>
        <v>0.33538000000000001</v>
      </c>
      <c r="AC115" s="137">
        <f>Summary_LCIA!T$32</f>
        <v>0.1099</v>
      </c>
      <c r="AD115" s="137">
        <f>Summary_LCIA!U$32</f>
        <v>1.7913999999999999E-2</v>
      </c>
      <c r="AE115" s="137">
        <f>Summary_LCIA!V$32</f>
        <v>4.7760999999999999E-5</v>
      </c>
      <c r="AF115" s="137">
        <f>Summary_LCIA!W$32</f>
        <v>7.6970999999999998E-2</v>
      </c>
      <c r="AG115" s="137">
        <f>Summary_LCIA!X$32</f>
        <v>2.2780000000000002E-2</v>
      </c>
      <c r="AH115" s="137">
        <f>Summary_LCIA!Y$32</f>
        <v>1.5582E-2</v>
      </c>
      <c r="AI115" s="137">
        <f>Summary_LCIA!Z$32</f>
        <v>4.1009E-5</v>
      </c>
      <c r="AJ115" s="137">
        <f>Summary_LCIA!AA$32</f>
        <v>2.3355999999999998E-2</v>
      </c>
      <c r="AK115" s="137">
        <f>Summary_LCIA!AB$32</f>
        <v>-2.1823000000000001E-5</v>
      </c>
      <c r="AL115" s="137">
        <f>Summary_LCIA!AC$32</f>
        <v>4.8884000000000003E-8</v>
      </c>
      <c r="AM115" s="137">
        <f>Summary_LCIA!AD$32</f>
        <v>4.1103999999999999E-4</v>
      </c>
      <c r="AN115" s="137">
        <f>Summary_LCIA!AE$32</f>
        <v>8.8612999999999995E-4</v>
      </c>
      <c r="AO115" s="137">
        <f>Summary_LCIA!AF$32</f>
        <v>8.4542000000000005E-4</v>
      </c>
      <c r="AP115" s="137">
        <f>Summary_LCIA!AG$32</f>
        <v>5.1165000000000002E-5</v>
      </c>
      <c r="AQ115" s="137">
        <f>Summary_LCIA!AH$32</f>
        <v>8.7036000000000006E-3</v>
      </c>
      <c r="AR115" s="137">
        <f>Summary_LCIA!AI$32</f>
        <v>9.3154999999999996E-4</v>
      </c>
      <c r="AT115" s="137">
        <f t="shared" ref="AT115:BI130" si="17">$T115*Y115</f>
        <v>123.4591942</v>
      </c>
      <c r="AU115" s="137">
        <f t="shared" si="17"/>
        <v>1800.676847771457</v>
      </c>
      <c r="AV115" s="137">
        <f t="shared" si="17"/>
        <v>1.9131451823999999</v>
      </c>
      <c r="AW115" s="137">
        <f t="shared" si="17"/>
        <v>121.85328002</v>
      </c>
      <c r="AX115" s="137">
        <f t="shared" si="17"/>
        <v>39.9298571</v>
      </c>
      <c r="AY115" s="137">
        <f t="shared" si="17"/>
        <v>6.508675706</v>
      </c>
      <c r="AZ115" s="137">
        <f t="shared" si="17"/>
        <v>1.7352956369E-2</v>
      </c>
      <c r="BA115" s="137">
        <f t="shared" si="17"/>
        <v>27.965796459</v>
      </c>
      <c r="BB115" s="137">
        <f t="shared" si="17"/>
        <v>8.2766346200000012</v>
      </c>
      <c r="BC115" s="137">
        <f t="shared" si="17"/>
        <v>5.6613924780000007</v>
      </c>
      <c r="BD115" s="137">
        <f t="shared" si="17"/>
        <v>1.4899758961000001E-2</v>
      </c>
      <c r="BE115" s="137">
        <f t="shared" si="17"/>
        <v>8.4859121240000004</v>
      </c>
      <c r="BF115" s="137">
        <f t="shared" si="17"/>
        <v>-7.928928767E-3</v>
      </c>
      <c r="BG115" s="137">
        <f t="shared" si="17"/>
        <v>1.7760974836000001E-5</v>
      </c>
      <c r="BH115" s="137">
        <f t="shared" si="17"/>
        <v>0.14934275216000001</v>
      </c>
      <c r="BI115" s="137">
        <f t="shared" si="17"/>
        <v>0.32195672676999998</v>
      </c>
      <c r="BJ115" s="137">
        <f t="shared" si="16"/>
        <v>0.30716560318000002</v>
      </c>
      <c r="BK115" s="137">
        <f t="shared" si="16"/>
        <v>1.8589728285000003E-2</v>
      </c>
      <c r="BL115" s="137">
        <f t="shared" si="16"/>
        <v>3.1622702844000004</v>
      </c>
      <c r="BM115" s="137">
        <f t="shared" si="16"/>
        <v>0.33845912994999999</v>
      </c>
    </row>
    <row r="116" spans="1:65" x14ac:dyDescent="0.25">
      <c r="A116" s="149">
        <v>114</v>
      </c>
      <c r="B116" s="149">
        <v>43</v>
      </c>
      <c r="C116" s="61">
        <v>42.359243999999997</v>
      </c>
      <c r="D116" s="61">
        <v>-71.093138999999994</v>
      </c>
      <c r="E116" s="61" t="s">
        <v>265</v>
      </c>
      <c r="F116" s="149">
        <v>53</v>
      </c>
      <c r="G116" s="61" t="s">
        <v>565</v>
      </c>
      <c r="H116" s="61" t="s">
        <v>634</v>
      </c>
      <c r="I116" s="61">
        <v>42.365613000000003</v>
      </c>
      <c r="J116" s="61">
        <v>-71.009559999999993</v>
      </c>
      <c r="K116" s="61">
        <v>7.2270388560000001</v>
      </c>
      <c r="L116" s="61">
        <v>8.6859999999999999</v>
      </c>
      <c r="M116" s="61" t="s">
        <v>617</v>
      </c>
      <c r="N116" s="149">
        <v>42</v>
      </c>
      <c r="O116" s="149">
        <v>43</v>
      </c>
      <c r="P116" s="61" t="s">
        <v>565</v>
      </c>
      <c r="Q116" s="61" t="s">
        <v>555</v>
      </c>
      <c r="R116" s="61">
        <v>40.6895314</v>
      </c>
      <c r="S116" s="61">
        <v>-74.174462399999996</v>
      </c>
      <c r="T116" s="61">
        <v>363.59300000000002</v>
      </c>
      <c r="U116" s="61" t="s">
        <v>617</v>
      </c>
      <c r="V116" s="61" t="s">
        <v>617</v>
      </c>
      <c r="W116" s="61"/>
      <c r="Y116" s="137">
        <f>Summary_LCIA!H$32</f>
        <v>0.33979999999999999</v>
      </c>
      <c r="Z116" s="137">
        <f>Summary_LCIA!Q$32</f>
        <v>4.9560504329999997</v>
      </c>
      <c r="AA116" s="137">
        <f>Summary_LCIA!R$32</f>
        <v>5.2655999999999996E-3</v>
      </c>
      <c r="AB116" s="137">
        <f>Summary_LCIA!S$32</f>
        <v>0.33538000000000001</v>
      </c>
      <c r="AC116" s="137">
        <f>Summary_LCIA!T$32</f>
        <v>0.1099</v>
      </c>
      <c r="AD116" s="137">
        <f>Summary_LCIA!U$32</f>
        <v>1.7913999999999999E-2</v>
      </c>
      <c r="AE116" s="137">
        <f>Summary_LCIA!V$32</f>
        <v>4.7760999999999999E-5</v>
      </c>
      <c r="AF116" s="137">
        <f>Summary_LCIA!W$32</f>
        <v>7.6970999999999998E-2</v>
      </c>
      <c r="AG116" s="137">
        <f>Summary_LCIA!X$32</f>
        <v>2.2780000000000002E-2</v>
      </c>
      <c r="AH116" s="137">
        <f>Summary_LCIA!Y$32</f>
        <v>1.5582E-2</v>
      </c>
      <c r="AI116" s="137">
        <f>Summary_LCIA!Z$32</f>
        <v>4.1009E-5</v>
      </c>
      <c r="AJ116" s="137">
        <f>Summary_LCIA!AA$32</f>
        <v>2.3355999999999998E-2</v>
      </c>
      <c r="AK116" s="137">
        <f>Summary_LCIA!AB$32</f>
        <v>-2.1823000000000001E-5</v>
      </c>
      <c r="AL116" s="137">
        <f>Summary_LCIA!AC$32</f>
        <v>4.8884000000000003E-8</v>
      </c>
      <c r="AM116" s="137">
        <f>Summary_LCIA!AD$32</f>
        <v>4.1103999999999999E-4</v>
      </c>
      <c r="AN116" s="137">
        <f>Summary_LCIA!AE$32</f>
        <v>8.8612999999999995E-4</v>
      </c>
      <c r="AO116" s="137">
        <f>Summary_LCIA!AF$32</f>
        <v>8.4542000000000005E-4</v>
      </c>
      <c r="AP116" s="137">
        <f>Summary_LCIA!AG$32</f>
        <v>5.1165000000000002E-5</v>
      </c>
      <c r="AQ116" s="137">
        <f>Summary_LCIA!AH$32</f>
        <v>8.7036000000000006E-3</v>
      </c>
      <c r="AR116" s="137">
        <f>Summary_LCIA!AI$32</f>
        <v>9.3154999999999996E-4</v>
      </c>
      <c r="AT116" s="137">
        <f t="shared" si="17"/>
        <v>123.54890140000001</v>
      </c>
      <c r="AU116" s="137">
        <f t="shared" si="17"/>
        <v>1801.9852450857691</v>
      </c>
      <c r="AV116" s="137">
        <f t="shared" si="17"/>
        <v>1.9145353007999999</v>
      </c>
      <c r="AW116" s="137">
        <f t="shared" si="17"/>
        <v>121.94182034000001</v>
      </c>
      <c r="AX116" s="137">
        <f t="shared" si="17"/>
        <v>39.958870699999999</v>
      </c>
      <c r="AY116" s="137">
        <f t="shared" si="17"/>
        <v>6.5134050019999998</v>
      </c>
      <c r="AZ116" s="137">
        <f t="shared" si="17"/>
        <v>1.7365565273000001E-2</v>
      </c>
      <c r="BA116" s="137">
        <f t="shared" si="17"/>
        <v>27.986116803000002</v>
      </c>
      <c r="BB116" s="137">
        <f t="shared" si="17"/>
        <v>8.2826485400000003</v>
      </c>
      <c r="BC116" s="137">
        <f t="shared" si="17"/>
        <v>5.6655061260000004</v>
      </c>
      <c r="BD116" s="137">
        <f t="shared" si="17"/>
        <v>1.4910585337000001E-2</v>
      </c>
      <c r="BE116" s="137">
        <f t="shared" si="17"/>
        <v>8.4920781079999994</v>
      </c>
      <c r="BF116" s="137">
        <f t="shared" si="17"/>
        <v>-7.9346900390000006E-3</v>
      </c>
      <c r="BG116" s="137">
        <f t="shared" si="17"/>
        <v>1.7773880212000002E-5</v>
      </c>
      <c r="BH116" s="137">
        <f t="shared" si="17"/>
        <v>0.14945126672</v>
      </c>
      <c r="BI116" s="137">
        <f t="shared" si="17"/>
        <v>0.32219066508999999</v>
      </c>
      <c r="BJ116" s="137">
        <f t="shared" si="16"/>
        <v>0.30738879406000003</v>
      </c>
      <c r="BK116" s="137">
        <f t="shared" si="16"/>
        <v>1.8603235845000003E-2</v>
      </c>
      <c r="BL116" s="137">
        <f t="shared" si="16"/>
        <v>3.1645680348000003</v>
      </c>
      <c r="BM116" s="137">
        <f t="shared" si="16"/>
        <v>0.33870505914999999</v>
      </c>
    </row>
    <row r="117" spans="1:65" x14ac:dyDescent="0.25">
      <c r="A117" s="149">
        <v>115</v>
      </c>
      <c r="B117" s="149">
        <v>43</v>
      </c>
      <c r="C117" s="61">
        <v>42.359243999999997</v>
      </c>
      <c r="D117" s="61">
        <v>-71.093138999999994</v>
      </c>
      <c r="E117" s="61" t="s">
        <v>265</v>
      </c>
      <c r="F117" s="149">
        <v>53</v>
      </c>
      <c r="G117" s="61" t="s">
        <v>565</v>
      </c>
      <c r="H117" s="61" t="s">
        <v>634</v>
      </c>
      <c r="I117" s="61">
        <v>42.365613000000003</v>
      </c>
      <c r="J117" s="61">
        <v>-71.009559999999993</v>
      </c>
      <c r="K117" s="61">
        <v>7.2270388560000001</v>
      </c>
      <c r="L117" s="61">
        <v>8.6859999999999999</v>
      </c>
      <c r="M117" s="61" t="s">
        <v>617</v>
      </c>
      <c r="N117" s="149">
        <v>42</v>
      </c>
      <c r="O117" s="149">
        <v>43</v>
      </c>
      <c r="P117" s="61" t="s">
        <v>565</v>
      </c>
      <c r="Q117" s="61" t="s">
        <v>555</v>
      </c>
      <c r="R117" s="61">
        <v>40.6895314</v>
      </c>
      <c r="S117" s="61">
        <v>-74.174462399999996</v>
      </c>
      <c r="T117" s="61">
        <v>363.59300000000002</v>
      </c>
      <c r="U117" s="61" t="s">
        <v>617</v>
      </c>
      <c r="V117" s="61" t="s">
        <v>617</v>
      </c>
      <c r="W117" s="61"/>
      <c r="Y117" s="137">
        <f>Summary_LCIA!H$32</f>
        <v>0.33979999999999999</v>
      </c>
      <c r="Z117" s="137">
        <f>Summary_LCIA!Q$32</f>
        <v>4.9560504329999997</v>
      </c>
      <c r="AA117" s="137">
        <f>Summary_LCIA!R$32</f>
        <v>5.2655999999999996E-3</v>
      </c>
      <c r="AB117" s="137">
        <f>Summary_LCIA!S$32</f>
        <v>0.33538000000000001</v>
      </c>
      <c r="AC117" s="137">
        <f>Summary_LCIA!T$32</f>
        <v>0.1099</v>
      </c>
      <c r="AD117" s="137">
        <f>Summary_LCIA!U$32</f>
        <v>1.7913999999999999E-2</v>
      </c>
      <c r="AE117" s="137">
        <f>Summary_LCIA!V$32</f>
        <v>4.7760999999999999E-5</v>
      </c>
      <c r="AF117" s="137">
        <f>Summary_LCIA!W$32</f>
        <v>7.6970999999999998E-2</v>
      </c>
      <c r="AG117" s="137">
        <f>Summary_LCIA!X$32</f>
        <v>2.2780000000000002E-2</v>
      </c>
      <c r="AH117" s="137">
        <f>Summary_LCIA!Y$32</f>
        <v>1.5582E-2</v>
      </c>
      <c r="AI117" s="137">
        <f>Summary_LCIA!Z$32</f>
        <v>4.1009E-5</v>
      </c>
      <c r="AJ117" s="137">
        <f>Summary_LCIA!AA$32</f>
        <v>2.3355999999999998E-2</v>
      </c>
      <c r="AK117" s="137">
        <f>Summary_LCIA!AB$32</f>
        <v>-2.1823000000000001E-5</v>
      </c>
      <c r="AL117" s="137">
        <f>Summary_LCIA!AC$32</f>
        <v>4.8884000000000003E-8</v>
      </c>
      <c r="AM117" s="137">
        <f>Summary_LCIA!AD$32</f>
        <v>4.1103999999999999E-4</v>
      </c>
      <c r="AN117" s="137">
        <f>Summary_LCIA!AE$32</f>
        <v>8.8612999999999995E-4</v>
      </c>
      <c r="AO117" s="137">
        <f>Summary_LCIA!AF$32</f>
        <v>8.4542000000000005E-4</v>
      </c>
      <c r="AP117" s="137">
        <f>Summary_LCIA!AG$32</f>
        <v>5.1165000000000002E-5</v>
      </c>
      <c r="AQ117" s="137">
        <f>Summary_LCIA!AH$32</f>
        <v>8.7036000000000006E-3</v>
      </c>
      <c r="AR117" s="137">
        <f>Summary_LCIA!AI$32</f>
        <v>9.3154999999999996E-4</v>
      </c>
      <c r="AT117" s="137">
        <f t="shared" si="17"/>
        <v>123.54890140000001</v>
      </c>
      <c r="AU117" s="137">
        <f t="shared" si="17"/>
        <v>1801.9852450857691</v>
      </c>
      <c r="AV117" s="137">
        <f t="shared" si="17"/>
        <v>1.9145353007999999</v>
      </c>
      <c r="AW117" s="137">
        <f t="shared" si="17"/>
        <v>121.94182034000001</v>
      </c>
      <c r="AX117" s="137">
        <f t="shared" si="17"/>
        <v>39.958870699999999</v>
      </c>
      <c r="AY117" s="137">
        <f t="shared" si="17"/>
        <v>6.5134050019999998</v>
      </c>
      <c r="AZ117" s="137">
        <f t="shared" si="17"/>
        <v>1.7365565273000001E-2</v>
      </c>
      <c r="BA117" s="137">
        <f t="shared" si="17"/>
        <v>27.986116803000002</v>
      </c>
      <c r="BB117" s="137">
        <f t="shared" si="17"/>
        <v>8.2826485400000003</v>
      </c>
      <c r="BC117" s="137">
        <f t="shared" si="17"/>
        <v>5.6655061260000004</v>
      </c>
      <c r="BD117" s="137">
        <f t="shared" si="17"/>
        <v>1.4910585337000001E-2</v>
      </c>
      <c r="BE117" s="137">
        <f t="shared" si="17"/>
        <v>8.4920781079999994</v>
      </c>
      <c r="BF117" s="137">
        <f t="shared" si="17"/>
        <v>-7.9346900390000006E-3</v>
      </c>
      <c r="BG117" s="137">
        <f t="shared" si="17"/>
        <v>1.7773880212000002E-5</v>
      </c>
      <c r="BH117" s="137">
        <f t="shared" si="17"/>
        <v>0.14945126672</v>
      </c>
      <c r="BI117" s="137">
        <f t="shared" si="17"/>
        <v>0.32219066508999999</v>
      </c>
      <c r="BJ117" s="137">
        <f t="shared" si="16"/>
        <v>0.30738879406000003</v>
      </c>
      <c r="BK117" s="137">
        <f t="shared" si="16"/>
        <v>1.8603235845000003E-2</v>
      </c>
      <c r="BL117" s="137">
        <f t="shared" si="16"/>
        <v>3.1645680348000003</v>
      </c>
      <c r="BM117" s="137">
        <f t="shared" si="16"/>
        <v>0.33870505914999999</v>
      </c>
    </row>
    <row r="118" spans="1:65" x14ac:dyDescent="0.25">
      <c r="A118" s="149">
        <v>116</v>
      </c>
      <c r="B118" s="149">
        <v>43</v>
      </c>
      <c r="C118" s="61">
        <v>42.359243999999997</v>
      </c>
      <c r="D118" s="61">
        <v>-71.093138999999994</v>
      </c>
      <c r="E118" s="61" t="s">
        <v>265</v>
      </c>
      <c r="F118" s="149">
        <v>53</v>
      </c>
      <c r="G118" s="61" t="s">
        <v>565</v>
      </c>
      <c r="H118" s="61" t="s">
        <v>634</v>
      </c>
      <c r="I118" s="61">
        <v>42.365613000000003</v>
      </c>
      <c r="J118" s="61">
        <v>-71.009559999999993</v>
      </c>
      <c r="K118" s="61">
        <v>7.2270388560000001</v>
      </c>
      <c r="L118" s="61">
        <v>8.6859999999999999</v>
      </c>
      <c r="M118" s="61" t="s">
        <v>617</v>
      </c>
      <c r="N118" s="149">
        <v>42</v>
      </c>
      <c r="O118" s="149">
        <v>43</v>
      </c>
      <c r="P118" s="61" t="s">
        <v>565</v>
      </c>
      <c r="Q118" s="61" t="s">
        <v>555</v>
      </c>
      <c r="R118" s="61">
        <v>40.6895314</v>
      </c>
      <c r="S118" s="61">
        <v>-74.174462399999996</v>
      </c>
      <c r="T118" s="61">
        <v>363.59300000000002</v>
      </c>
      <c r="U118" s="61" t="s">
        <v>617</v>
      </c>
      <c r="V118" s="61" t="s">
        <v>617</v>
      </c>
      <c r="W118" s="61"/>
      <c r="Y118" s="137">
        <f>Summary_LCIA!H$32</f>
        <v>0.33979999999999999</v>
      </c>
      <c r="Z118" s="137">
        <f>Summary_LCIA!Q$32</f>
        <v>4.9560504329999997</v>
      </c>
      <c r="AA118" s="137">
        <f>Summary_LCIA!R$32</f>
        <v>5.2655999999999996E-3</v>
      </c>
      <c r="AB118" s="137">
        <f>Summary_LCIA!S$32</f>
        <v>0.33538000000000001</v>
      </c>
      <c r="AC118" s="137">
        <f>Summary_LCIA!T$32</f>
        <v>0.1099</v>
      </c>
      <c r="AD118" s="137">
        <f>Summary_LCIA!U$32</f>
        <v>1.7913999999999999E-2</v>
      </c>
      <c r="AE118" s="137">
        <f>Summary_LCIA!V$32</f>
        <v>4.7760999999999999E-5</v>
      </c>
      <c r="AF118" s="137">
        <f>Summary_LCIA!W$32</f>
        <v>7.6970999999999998E-2</v>
      </c>
      <c r="AG118" s="137">
        <f>Summary_LCIA!X$32</f>
        <v>2.2780000000000002E-2</v>
      </c>
      <c r="AH118" s="137">
        <f>Summary_LCIA!Y$32</f>
        <v>1.5582E-2</v>
      </c>
      <c r="AI118" s="137">
        <f>Summary_LCIA!Z$32</f>
        <v>4.1009E-5</v>
      </c>
      <c r="AJ118" s="137">
        <f>Summary_LCIA!AA$32</f>
        <v>2.3355999999999998E-2</v>
      </c>
      <c r="AK118" s="137">
        <f>Summary_LCIA!AB$32</f>
        <v>-2.1823000000000001E-5</v>
      </c>
      <c r="AL118" s="137">
        <f>Summary_LCIA!AC$32</f>
        <v>4.8884000000000003E-8</v>
      </c>
      <c r="AM118" s="137">
        <f>Summary_LCIA!AD$32</f>
        <v>4.1103999999999999E-4</v>
      </c>
      <c r="AN118" s="137">
        <f>Summary_LCIA!AE$32</f>
        <v>8.8612999999999995E-4</v>
      </c>
      <c r="AO118" s="137">
        <f>Summary_LCIA!AF$32</f>
        <v>8.4542000000000005E-4</v>
      </c>
      <c r="AP118" s="137">
        <f>Summary_LCIA!AG$32</f>
        <v>5.1165000000000002E-5</v>
      </c>
      <c r="AQ118" s="137">
        <f>Summary_LCIA!AH$32</f>
        <v>8.7036000000000006E-3</v>
      </c>
      <c r="AR118" s="137">
        <f>Summary_LCIA!AI$32</f>
        <v>9.3154999999999996E-4</v>
      </c>
      <c r="AT118" s="137">
        <f t="shared" si="17"/>
        <v>123.54890140000001</v>
      </c>
      <c r="AU118" s="137">
        <f t="shared" si="17"/>
        <v>1801.9852450857691</v>
      </c>
      <c r="AV118" s="137">
        <f t="shared" si="17"/>
        <v>1.9145353007999999</v>
      </c>
      <c r="AW118" s="137">
        <f t="shared" si="17"/>
        <v>121.94182034000001</v>
      </c>
      <c r="AX118" s="137">
        <f t="shared" si="17"/>
        <v>39.958870699999999</v>
      </c>
      <c r="AY118" s="137">
        <f t="shared" si="17"/>
        <v>6.5134050019999998</v>
      </c>
      <c r="AZ118" s="137">
        <f t="shared" si="17"/>
        <v>1.7365565273000001E-2</v>
      </c>
      <c r="BA118" s="137">
        <f t="shared" si="17"/>
        <v>27.986116803000002</v>
      </c>
      <c r="BB118" s="137">
        <f t="shared" si="17"/>
        <v>8.2826485400000003</v>
      </c>
      <c r="BC118" s="137">
        <f t="shared" si="17"/>
        <v>5.6655061260000004</v>
      </c>
      <c r="BD118" s="137">
        <f t="shared" si="17"/>
        <v>1.4910585337000001E-2</v>
      </c>
      <c r="BE118" s="137">
        <f t="shared" si="17"/>
        <v>8.4920781079999994</v>
      </c>
      <c r="BF118" s="137">
        <f t="shared" si="17"/>
        <v>-7.9346900390000006E-3</v>
      </c>
      <c r="BG118" s="137">
        <f t="shared" si="17"/>
        <v>1.7773880212000002E-5</v>
      </c>
      <c r="BH118" s="137">
        <f t="shared" si="17"/>
        <v>0.14945126672</v>
      </c>
      <c r="BI118" s="137">
        <f t="shared" si="17"/>
        <v>0.32219066508999999</v>
      </c>
      <c r="BJ118" s="137">
        <f t="shared" si="16"/>
        <v>0.30738879406000003</v>
      </c>
      <c r="BK118" s="137">
        <f t="shared" si="16"/>
        <v>1.8603235845000003E-2</v>
      </c>
      <c r="BL118" s="137">
        <f t="shared" si="16"/>
        <v>3.1645680348000003</v>
      </c>
      <c r="BM118" s="137">
        <f t="shared" si="16"/>
        <v>0.33870505914999999</v>
      </c>
    </row>
    <row r="119" spans="1:65" x14ac:dyDescent="0.25">
      <c r="A119" s="149">
        <v>346</v>
      </c>
      <c r="B119" s="149">
        <v>43</v>
      </c>
      <c r="C119" s="61">
        <v>42.387597</v>
      </c>
      <c r="D119" s="61">
        <v>-71.099497</v>
      </c>
      <c r="E119" s="61" t="s">
        <v>265</v>
      </c>
      <c r="F119" s="149">
        <v>53</v>
      </c>
      <c r="G119" s="61" t="s">
        <v>565</v>
      </c>
      <c r="H119" s="61" t="s">
        <v>634</v>
      </c>
      <c r="I119" s="61">
        <v>42.365613000000003</v>
      </c>
      <c r="J119" s="61">
        <v>-71.009559999999993</v>
      </c>
      <c r="K119" s="61">
        <v>7.8292299280000002</v>
      </c>
      <c r="L119" s="61">
        <v>10.66</v>
      </c>
      <c r="M119" s="61" t="s">
        <v>617</v>
      </c>
      <c r="N119" s="149">
        <v>42</v>
      </c>
      <c r="O119" s="149">
        <v>43</v>
      </c>
      <c r="P119" s="61" t="s">
        <v>565</v>
      </c>
      <c r="Q119" s="61" t="s">
        <v>555</v>
      </c>
      <c r="R119" s="61">
        <v>40.6895314</v>
      </c>
      <c r="S119" s="61">
        <v>-74.174462399999996</v>
      </c>
      <c r="T119" s="61">
        <v>363.73599999999999</v>
      </c>
      <c r="U119" s="61" t="s">
        <v>617</v>
      </c>
      <c r="V119" s="61" t="s">
        <v>617</v>
      </c>
      <c r="W119" s="61"/>
      <c r="Y119" s="137">
        <f>Summary_LCIA!H$32</f>
        <v>0.33979999999999999</v>
      </c>
      <c r="Z119" s="137">
        <f>Summary_LCIA!Q$32</f>
        <v>4.9560504329999997</v>
      </c>
      <c r="AA119" s="137">
        <f>Summary_LCIA!R$32</f>
        <v>5.2655999999999996E-3</v>
      </c>
      <c r="AB119" s="137">
        <f>Summary_LCIA!S$32</f>
        <v>0.33538000000000001</v>
      </c>
      <c r="AC119" s="137">
        <f>Summary_LCIA!T$32</f>
        <v>0.1099</v>
      </c>
      <c r="AD119" s="137">
        <f>Summary_LCIA!U$32</f>
        <v>1.7913999999999999E-2</v>
      </c>
      <c r="AE119" s="137">
        <f>Summary_LCIA!V$32</f>
        <v>4.7760999999999999E-5</v>
      </c>
      <c r="AF119" s="137">
        <f>Summary_LCIA!W$32</f>
        <v>7.6970999999999998E-2</v>
      </c>
      <c r="AG119" s="137">
        <f>Summary_LCIA!X$32</f>
        <v>2.2780000000000002E-2</v>
      </c>
      <c r="AH119" s="137">
        <f>Summary_LCIA!Y$32</f>
        <v>1.5582E-2</v>
      </c>
      <c r="AI119" s="137">
        <f>Summary_LCIA!Z$32</f>
        <v>4.1009E-5</v>
      </c>
      <c r="AJ119" s="137">
        <f>Summary_LCIA!AA$32</f>
        <v>2.3355999999999998E-2</v>
      </c>
      <c r="AK119" s="137">
        <f>Summary_LCIA!AB$32</f>
        <v>-2.1823000000000001E-5</v>
      </c>
      <c r="AL119" s="137">
        <f>Summary_LCIA!AC$32</f>
        <v>4.8884000000000003E-8</v>
      </c>
      <c r="AM119" s="137">
        <f>Summary_LCIA!AD$32</f>
        <v>4.1103999999999999E-4</v>
      </c>
      <c r="AN119" s="137">
        <f>Summary_LCIA!AE$32</f>
        <v>8.8612999999999995E-4</v>
      </c>
      <c r="AO119" s="137">
        <f>Summary_LCIA!AF$32</f>
        <v>8.4542000000000005E-4</v>
      </c>
      <c r="AP119" s="137">
        <f>Summary_LCIA!AG$32</f>
        <v>5.1165000000000002E-5</v>
      </c>
      <c r="AQ119" s="137">
        <f>Summary_LCIA!AH$32</f>
        <v>8.7036000000000006E-3</v>
      </c>
      <c r="AR119" s="137">
        <f>Summary_LCIA!AI$32</f>
        <v>9.3154999999999996E-4</v>
      </c>
      <c r="AT119" s="137">
        <f t="shared" si="17"/>
        <v>123.5974928</v>
      </c>
      <c r="AU119" s="137">
        <f t="shared" si="17"/>
        <v>1802.6939602976879</v>
      </c>
      <c r="AV119" s="137">
        <f t="shared" si="17"/>
        <v>1.9152882815999999</v>
      </c>
      <c r="AW119" s="137">
        <f t="shared" si="17"/>
        <v>121.98977968</v>
      </c>
      <c r="AX119" s="137">
        <f t="shared" si="17"/>
        <v>39.9745864</v>
      </c>
      <c r="AY119" s="137">
        <f t="shared" si="17"/>
        <v>6.5159667039999993</v>
      </c>
      <c r="AZ119" s="137">
        <f t="shared" si="17"/>
        <v>1.7372395095999998E-2</v>
      </c>
      <c r="BA119" s="137">
        <f t="shared" si="17"/>
        <v>27.997123655999999</v>
      </c>
      <c r="BB119" s="137">
        <f t="shared" si="17"/>
        <v>8.2859060800000002</v>
      </c>
      <c r="BC119" s="137">
        <f t="shared" si="17"/>
        <v>5.6677343520000001</v>
      </c>
      <c r="BD119" s="137">
        <f t="shared" si="17"/>
        <v>1.4916449623999999E-2</v>
      </c>
      <c r="BE119" s="137">
        <f t="shared" si="17"/>
        <v>8.4954180159999986</v>
      </c>
      <c r="BF119" s="137">
        <f t="shared" si="17"/>
        <v>-7.9378107280000006E-3</v>
      </c>
      <c r="BG119" s="137">
        <f t="shared" si="17"/>
        <v>1.7780870624E-5</v>
      </c>
      <c r="BH119" s="137">
        <f t="shared" si="17"/>
        <v>0.14951004543999999</v>
      </c>
      <c r="BI119" s="137">
        <f t="shared" si="17"/>
        <v>0.32231738167999996</v>
      </c>
      <c r="BJ119" s="137">
        <f t="shared" si="16"/>
        <v>0.30750968911999998</v>
      </c>
      <c r="BK119" s="137">
        <f t="shared" si="16"/>
        <v>1.8610552440000001E-2</v>
      </c>
      <c r="BL119" s="137">
        <f t="shared" si="16"/>
        <v>3.1658126496000003</v>
      </c>
      <c r="BM119" s="137">
        <f t="shared" si="16"/>
        <v>0.33883827079999995</v>
      </c>
    </row>
    <row r="120" spans="1:65" x14ac:dyDescent="0.25">
      <c r="A120" s="149">
        <v>160</v>
      </c>
      <c r="B120" s="149">
        <v>43</v>
      </c>
      <c r="C120" s="61">
        <v>42.360081999999998</v>
      </c>
      <c r="D120" s="61">
        <v>-71.058880000000002</v>
      </c>
      <c r="E120" s="61" t="s">
        <v>265</v>
      </c>
      <c r="F120" s="149">
        <v>53</v>
      </c>
      <c r="G120" s="61" t="s">
        <v>565</v>
      </c>
      <c r="H120" s="61" t="s">
        <v>634</v>
      </c>
      <c r="I120" s="61">
        <v>42.365613000000003</v>
      </c>
      <c r="J120" s="61">
        <v>-71.009559999999993</v>
      </c>
      <c r="K120" s="61">
        <v>4.3433329829999998</v>
      </c>
      <c r="L120" s="61">
        <v>5.3479999999999999</v>
      </c>
      <c r="M120" s="61" t="s">
        <v>617</v>
      </c>
      <c r="N120" s="149">
        <v>42</v>
      </c>
      <c r="O120" s="149">
        <v>43</v>
      </c>
      <c r="P120" s="61" t="s">
        <v>565</v>
      </c>
      <c r="Q120" s="61" t="s">
        <v>555</v>
      </c>
      <c r="R120" s="61">
        <v>40.6895314</v>
      </c>
      <c r="S120" s="61">
        <v>-74.174462399999996</v>
      </c>
      <c r="T120" s="61">
        <v>367.16399999999999</v>
      </c>
      <c r="U120" s="61" t="s">
        <v>617</v>
      </c>
      <c r="V120" s="61" t="s">
        <v>617</v>
      </c>
      <c r="W120" s="61"/>
      <c r="Y120" s="137">
        <f>Summary_LCIA!H$32</f>
        <v>0.33979999999999999</v>
      </c>
      <c r="Z120" s="137">
        <f>Summary_LCIA!Q$32</f>
        <v>4.9560504329999997</v>
      </c>
      <c r="AA120" s="137">
        <f>Summary_LCIA!R$32</f>
        <v>5.2655999999999996E-3</v>
      </c>
      <c r="AB120" s="137">
        <f>Summary_LCIA!S$32</f>
        <v>0.33538000000000001</v>
      </c>
      <c r="AC120" s="137">
        <f>Summary_LCIA!T$32</f>
        <v>0.1099</v>
      </c>
      <c r="AD120" s="137">
        <f>Summary_LCIA!U$32</f>
        <v>1.7913999999999999E-2</v>
      </c>
      <c r="AE120" s="137">
        <f>Summary_LCIA!V$32</f>
        <v>4.7760999999999999E-5</v>
      </c>
      <c r="AF120" s="137">
        <f>Summary_LCIA!W$32</f>
        <v>7.6970999999999998E-2</v>
      </c>
      <c r="AG120" s="137">
        <f>Summary_LCIA!X$32</f>
        <v>2.2780000000000002E-2</v>
      </c>
      <c r="AH120" s="137">
        <f>Summary_LCIA!Y$32</f>
        <v>1.5582E-2</v>
      </c>
      <c r="AI120" s="137">
        <f>Summary_LCIA!Z$32</f>
        <v>4.1009E-5</v>
      </c>
      <c r="AJ120" s="137">
        <f>Summary_LCIA!AA$32</f>
        <v>2.3355999999999998E-2</v>
      </c>
      <c r="AK120" s="137">
        <f>Summary_LCIA!AB$32</f>
        <v>-2.1823000000000001E-5</v>
      </c>
      <c r="AL120" s="137">
        <f>Summary_LCIA!AC$32</f>
        <v>4.8884000000000003E-8</v>
      </c>
      <c r="AM120" s="137">
        <f>Summary_LCIA!AD$32</f>
        <v>4.1103999999999999E-4</v>
      </c>
      <c r="AN120" s="137">
        <f>Summary_LCIA!AE$32</f>
        <v>8.8612999999999995E-4</v>
      </c>
      <c r="AO120" s="137">
        <f>Summary_LCIA!AF$32</f>
        <v>8.4542000000000005E-4</v>
      </c>
      <c r="AP120" s="137">
        <f>Summary_LCIA!AG$32</f>
        <v>5.1165000000000002E-5</v>
      </c>
      <c r="AQ120" s="137">
        <f>Summary_LCIA!AH$32</f>
        <v>8.7036000000000006E-3</v>
      </c>
      <c r="AR120" s="137">
        <f>Summary_LCIA!AI$32</f>
        <v>9.3154999999999996E-4</v>
      </c>
      <c r="AT120" s="137">
        <f t="shared" si="17"/>
        <v>124.76232719999999</v>
      </c>
      <c r="AU120" s="137">
        <f t="shared" si="17"/>
        <v>1819.6833011820117</v>
      </c>
      <c r="AV120" s="137">
        <f t="shared" si="17"/>
        <v>1.9333387583999997</v>
      </c>
      <c r="AW120" s="137">
        <f t="shared" si="17"/>
        <v>123.13946232000001</v>
      </c>
      <c r="AX120" s="137">
        <f t="shared" si="17"/>
        <v>40.351323600000001</v>
      </c>
      <c r="AY120" s="137">
        <f t="shared" si="17"/>
        <v>6.5773758959999995</v>
      </c>
      <c r="AZ120" s="137">
        <f t="shared" si="17"/>
        <v>1.7536119803999998E-2</v>
      </c>
      <c r="BA120" s="137">
        <f t="shared" si="17"/>
        <v>28.260980243999999</v>
      </c>
      <c r="BB120" s="137">
        <f t="shared" si="17"/>
        <v>8.3639959200000007</v>
      </c>
      <c r="BC120" s="137">
        <f t="shared" si="17"/>
        <v>5.7211494480000002</v>
      </c>
      <c r="BD120" s="137">
        <f t="shared" si="17"/>
        <v>1.5057028476E-2</v>
      </c>
      <c r="BE120" s="137">
        <f t="shared" si="17"/>
        <v>8.575482383999999</v>
      </c>
      <c r="BF120" s="137">
        <f t="shared" si="17"/>
        <v>-8.0126199719999999E-3</v>
      </c>
      <c r="BG120" s="137">
        <f t="shared" si="17"/>
        <v>1.7948444976000001E-5</v>
      </c>
      <c r="BH120" s="137">
        <f t="shared" si="17"/>
        <v>0.15091909056</v>
      </c>
      <c r="BI120" s="137">
        <f t="shared" si="17"/>
        <v>0.32535503531999999</v>
      </c>
      <c r="BJ120" s="137">
        <f t="shared" si="16"/>
        <v>0.31040778887999998</v>
      </c>
      <c r="BK120" s="137">
        <f t="shared" si="16"/>
        <v>1.8785946059999999E-2</v>
      </c>
      <c r="BL120" s="137">
        <f t="shared" si="16"/>
        <v>3.1956485904000003</v>
      </c>
      <c r="BM120" s="137">
        <f t="shared" si="16"/>
        <v>0.3420316242</v>
      </c>
    </row>
    <row r="121" spans="1:65" x14ac:dyDescent="0.25">
      <c r="A121" s="149">
        <v>161</v>
      </c>
      <c r="B121" s="149">
        <v>43</v>
      </c>
      <c r="C121" s="61">
        <v>42.360081999999998</v>
      </c>
      <c r="D121" s="61">
        <v>-71.058880000000002</v>
      </c>
      <c r="E121" s="61" t="s">
        <v>265</v>
      </c>
      <c r="F121" s="149">
        <v>53</v>
      </c>
      <c r="G121" s="61" t="s">
        <v>565</v>
      </c>
      <c r="H121" s="61" t="s">
        <v>634</v>
      </c>
      <c r="I121" s="61">
        <v>42.365613000000003</v>
      </c>
      <c r="J121" s="61">
        <v>-71.009559999999993</v>
      </c>
      <c r="K121" s="61">
        <v>4.3433329829999998</v>
      </c>
      <c r="L121" s="61">
        <v>5.3479999999999999</v>
      </c>
      <c r="M121" s="61" t="s">
        <v>617</v>
      </c>
      <c r="N121" s="149">
        <v>42</v>
      </c>
      <c r="O121" s="149">
        <v>43</v>
      </c>
      <c r="P121" s="61" t="s">
        <v>565</v>
      </c>
      <c r="Q121" s="61" t="s">
        <v>555</v>
      </c>
      <c r="R121" s="61">
        <v>40.6895314</v>
      </c>
      <c r="S121" s="61">
        <v>-74.174462399999996</v>
      </c>
      <c r="T121" s="61">
        <v>367.16399999999999</v>
      </c>
      <c r="U121" s="61" t="s">
        <v>617</v>
      </c>
      <c r="V121" s="61" t="s">
        <v>617</v>
      </c>
      <c r="W121" s="61"/>
      <c r="Y121" s="137">
        <f>Summary_LCIA!H$32</f>
        <v>0.33979999999999999</v>
      </c>
      <c r="Z121" s="137">
        <f>Summary_LCIA!Q$32</f>
        <v>4.9560504329999997</v>
      </c>
      <c r="AA121" s="137">
        <f>Summary_LCIA!R$32</f>
        <v>5.2655999999999996E-3</v>
      </c>
      <c r="AB121" s="137">
        <f>Summary_LCIA!S$32</f>
        <v>0.33538000000000001</v>
      </c>
      <c r="AC121" s="137">
        <f>Summary_LCIA!T$32</f>
        <v>0.1099</v>
      </c>
      <c r="AD121" s="137">
        <f>Summary_LCIA!U$32</f>
        <v>1.7913999999999999E-2</v>
      </c>
      <c r="AE121" s="137">
        <f>Summary_LCIA!V$32</f>
        <v>4.7760999999999999E-5</v>
      </c>
      <c r="AF121" s="137">
        <f>Summary_LCIA!W$32</f>
        <v>7.6970999999999998E-2</v>
      </c>
      <c r="AG121" s="137">
        <f>Summary_LCIA!X$32</f>
        <v>2.2780000000000002E-2</v>
      </c>
      <c r="AH121" s="137">
        <f>Summary_LCIA!Y$32</f>
        <v>1.5582E-2</v>
      </c>
      <c r="AI121" s="137">
        <f>Summary_LCIA!Z$32</f>
        <v>4.1009E-5</v>
      </c>
      <c r="AJ121" s="137">
        <f>Summary_LCIA!AA$32</f>
        <v>2.3355999999999998E-2</v>
      </c>
      <c r="AK121" s="137">
        <f>Summary_LCIA!AB$32</f>
        <v>-2.1823000000000001E-5</v>
      </c>
      <c r="AL121" s="137">
        <f>Summary_LCIA!AC$32</f>
        <v>4.8884000000000003E-8</v>
      </c>
      <c r="AM121" s="137">
        <f>Summary_LCIA!AD$32</f>
        <v>4.1103999999999999E-4</v>
      </c>
      <c r="AN121" s="137">
        <f>Summary_LCIA!AE$32</f>
        <v>8.8612999999999995E-4</v>
      </c>
      <c r="AO121" s="137">
        <f>Summary_LCIA!AF$32</f>
        <v>8.4542000000000005E-4</v>
      </c>
      <c r="AP121" s="137">
        <f>Summary_LCIA!AG$32</f>
        <v>5.1165000000000002E-5</v>
      </c>
      <c r="AQ121" s="137">
        <f>Summary_LCIA!AH$32</f>
        <v>8.7036000000000006E-3</v>
      </c>
      <c r="AR121" s="137">
        <f>Summary_LCIA!AI$32</f>
        <v>9.3154999999999996E-4</v>
      </c>
      <c r="AT121" s="137">
        <f t="shared" si="17"/>
        <v>124.76232719999999</v>
      </c>
      <c r="AU121" s="137">
        <f t="shared" si="17"/>
        <v>1819.6833011820117</v>
      </c>
      <c r="AV121" s="137">
        <f t="shared" si="17"/>
        <v>1.9333387583999997</v>
      </c>
      <c r="AW121" s="137">
        <f t="shared" si="17"/>
        <v>123.13946232000001</v>
      </c>
      <c r="AX121" s="137">
        <f t="shared" si="17"/>
        <v>40.351323600000001</v>
      </c>
      <c r="AY121" s="137">
        <f t="shared" si="17"/>
        <v>6.5773758959999995</v>
      </c>
      <c r="AZ121" s="137">
        <f t="shared" si="17"/>
        <v>1.7536119803999998E-2</v>
      </c>
      <c r="BA121" s="137">
        <f t="shared" si="17"/>
        <v>28.260980243999999</v>
      </c>
      <c r="BB121" s="137">
        <f t="shared" si="17"/>
        <v>8.3639959200000007</v>
      </c>
      <c r="BC121" s="137">
        <f t="shared" si="17"/>
        <v>5.7211494480000002</v>
      </c>
      <c r="BD121" s="137">
        <f t="shared" si="17"/>
        <v>1.5057028476E-2</v>
      </c>
      <c r="BE121" s="137">
        <f t="shared" si="17"/>
        <v>8.575482383999999</v>
      </c>
      <c r="BF121" s="137">
        <f t="shared" si="17"/>
        <v>-8.0126199719999999E-3</v>
      </c>
      <c r="BG121" s="137">
        <f t="shared" si="17"/>
        <v>1.7948444976000001E-5</v>
      </c>
      <c r="BH121" s="137">
        <f t="shared" si="17"/>
        <v>0.15091909056</v>
      </c>
      <c r="BI121" s="137">
        <f t="shared" si="17"/>
        <v>0.32535503531999999</v>
      </c>
      <c r="BJ121" s="137">
        <f t="shared" si="16"/>
        <v>0.31040778887999998</v>
      </c>
      <c r="BK121" s="137">
        <f t="shared" si="16"/>
        <v>1.8785946059999999E-2</v>
      </c>
      <c r="BL121" s="137">
        <f t="shared" si="16"/>
        <v>3.1956485904000003</v>
      </c>
      <c r="BM121" s="137">
        <f t="shared" si="16"/>
        <v>0.3420316242</v>
      </c>
    </row>
    <row r="122" spans="1:65" x14ac:dyDescent="0.25">
      <c r="A122" s="149">
        <v>162</v>
      </c>
      <c r="B122" s="149">
        <v>43</v>
      </c>
      <c r="C122" s="61">
        <v>42.360081999999998</v>
      </c>
      <c r="D122" s="61">
        <v>-71.058880000000002</v>
      </c>
      <c r="E122" s="61" t="s">
        <v>265</v>
      </c>
      <c r="F122" s="149">
        <v>53</v>
      </c>
      <c r="G122" s="61" t="s">
        <v>565</v>
      </c>
      <c r="H122" s="61" t="s">
        <v>634</v>
      </c>
      <c r="I122" s="61">
        <v>42.365613000000003</v>
      </c>
      <c r="J122" s="61">
        <v>-71.009559999999993</v>
      </c>
      <c r="K122" s="61">
        <v>4.3433329829999998</v>
      </c>
      <c r="L122" s="61">
        <v>5.3479999999999999</v>
      </c>
      <c r="M122" s="61" t="s">
        <v>617</v>
      </c>
      <c r="N122" s="149">
        <v>42</v>
      </c>
      <c r="O122" s="149">
        <v>43</v>
      </c>
      <c r="P122" s="61" t="s">
        <v>565</v>
      </c>
      <c r="Q122" s="61" t="s">
        <v>555</v>
      </c>
      <c r="R122" s="61">
        <v>40.6895314</v>
      </c>
      <c r="S122" s="61">
        <v>-74.174462399999996</v>
      </c>
      <c r="T122" s="61">
        <v>367.16399999999999</v>
      </c>
      <c r="U122" s="61" t="s">
        <v>617</v>
      </c>
      <c r="V122" s="61" t="s">
        <v>617</v>
      </c>
      <c r="W122" s="61"/>
      <c r="Y122" s="137">
        <f>Summary_LCIA!H$32</f>
        <v>0.33979999999999999</v>
      </c>
      <c r="Z122" s="137">
        <f>Summary_LCIA!Q$32</f>
        <v>4.9560504329999997</v>
      </c>
      <c r="AA122" s="137">
        <f>Summary_LCIA!R$32</f>
        <v>5.2655999999999996E-3</v>
      </c>
      <c r="AB122" s="137">
        <f>Summary_LCIA!S$32</f>
        <v>0.33538000000000001</v>
      </c>
      <c r="AC122" s="137">
        <f>Summary_LCIA!T$32</f>
        <v>0.1099</v>
      </c>
      <c r="AD122" s="137">
        <f>Summary_LCIA!U$32</f>
        <v>1.7913999999999999E-2</v>
      </c>
      <c r="AE122" s="137">
        <f>Summary_LCIA!V$32</f>
        <v>4.7760999999999999E-5</v>
      </c>
      <c r="AF122" s="137">
        <f>Summary_LCIA!W$32</f>
        <v>7.6970999999999998E-2</v>
      </c>
      <c r="AG122" s="137">
        <f>Summary_LCIA!X$32</f>
        <v>2.2780000000000002E-2</v>
      </c>
      <c r="AH122" s="137">
        <f>Summary_LCIA!Y$32</f>
        <v>1.5582E-2</v>
      </c>
      <c r="AI122" s="137">
        <f>Summary_LCIA!Z$32</f>
        <v>4.1009E-5</v>
      </c>
      <c r="AJ122" s="137">
        <f>Summary_LCIA!AA$32</f>
        <v>2.3355999999999998E-2</v>
      </c>
      <c r="AK122" s="137">
        <f>Summary_LCIA!AB$32</f>
        <v>-2.1823000000000001E-5</v>
      </c>
      <c r="AL122" s="137">
        <f>Summary_LCIA!AC$32</f>
        <v>4.8884000000000003E-8</v>
      </c>
      <c r="AM122" s="137">
        <f>Summary_LCIA!AD$32</f>
        <v>4.1103999999999999E-4</v>
      </c>
      <c r="AN122" s="137">
        <f>Summary_LCIA!AE$32</f>
        <v>8.8612999999999995E-4</v>
      </c>
      <c r="AO122" s="137">
        <f>Summary_LCIA!AF$32</f>
        <v>8.4542000000000005E-4</v>
      </c>
      <c r="AP122" s="137">
        <f>Summary_LCIA!AG$32</f>
        <v>5.1165000000000002E-5</v>
      </c>
      <c r="AQ122" s="137">
        <f>Summary_LCIA!AH$32</f>
        <v>8.7036000000000006E-3</v>
      </c>
      <c r="AR122" s="137">
        <f>Summary_LCIA!AI$32</f>
        <v>9.3154999999999996E-4</v>
      </c>
      <c r="AT122" s="137">
        <f t="shared" si="17"/>
        <v>124.76232719999999</v>
      </c>
      <c r="AU122" s="137">
        <f t="shared" si="17"/>
        <v>1819.6833011820117</v>
      </c>
      <c r="AV122" s="137">
        <f t="shared" si="17"/>
        <v>1.9333387583999997</v>
      </c>
      <c r="AW122" s="137">
        <f t="shared" si="17"/>
        <v>123.13946232000001</v>
      </c>
      <c r="AX122" s="137">
        <f t="shared" si="17"/>
        <v>40.351323600000001</v>
      </c>
      <c r="AY122" s="137">
        <f t="shared" si="17"/>
        <v>6.5773758959999995</v>
      </c>
      <c r="AZ122" s="137">
        <f t="shared" si="17"/>
        <v>1.7536119803999998E-2</v>
      </c>
      <c r="BA122" s="137">
        <f t="shared" si="17"/>
        <v>28.260980243999999</v>
      </c>
      <c r="BB122" s="137">
        <f t="shared" si="17"/>
        <v>8.3639959200000007</v>
      </c>
      <c r="BC122" s="137">
        <f t="shared" si="17"/>
        <v>5.7211494480000002</v>
      </c>
      <c r="BD122" s="137">
        <f t="shared" si="17"/>
        <v>1.5057028476E-2</v>
      </c>
      <c r="BE122" s="137">
        <f t="shared" si="17"/>
        <v>8.575482383999999</v>
      </c>
      <c r="BF122" s="137">
        <f t="shared" si="17"/>
        <v>-8.0126199719999999E-3</v>
      </c>
      <c r="BG122" s="137">
        <f t="shared" si="17"/>
        <v>1.7948444976000001E-5</v>
      </c>
      <c r="BH122" s="137">
        <f t="shared" si="17"/>
        <v>0.15091909056</v>
      </c>
      <c r="BI122" s="137">
        <f t="shared" si="17"/>
        <v>0.32535503531999999</v>
      </c>
      <c r="BJ122" s="137">
        <f t="shared" si="16"/>
        <v>0.31040778887999998</v>
      </c>
      <c r="BK122" s="137">
        <f t="shared" si="16"/>
        <v>1.8785946059999999E-2</v>
      </c>
      <c r="BL122" s="137">
        <f t="shared" si="16"/>
        <v>3.1956485904000003</v>
      </c>
      <c r="BM122" s="137">
        <f t="shared" si="16"/>
        <v>0.3420316242</v>
      </c>
    </row>
    <row r="123" spans="1:65" x14ac:dyDescent="0.25">
      <c r="A123" s="149">
        <v>163</v>
      </c>
      <c r="B123" s="149">
        <v>43</v>
      </c>
      <c r="C123" s="61">
        <v>42.360081999999998</v>
      </c>
      <c r="D123" s="61">
        <v>-71.058880000000002</v>
      </c>
      <c r="E123" s="61" t="s">
        <v>265</v>
      </c>
      <c r="F123" s="149">
        <v>53</v>
      </c>
      <c r="G123" s="61" t="s">
        <v>565</v>
      </c>
      <c r="H123" s="61" t="s">
        <v>634</v>
      </c>
      <c r="I123" s="61">
        <v>42.365613000000003</v>
      </c>
      <c r="J123" s="61">
        <v>-71.009559999999993</v>
      </c>
      <c r="K123" s="61">
        <v>4.3433329829999998</v>
      </c>
      <c r="L123" s="61">
        <v>5.3479999999999999</v>
      </c>
      <c r="M123" s="61" t="s">
        <v>617</v>
      </c>
      <c r="N123" s="149">
        <v>42</v>
      </c>
      <c r="O123" s="149">
        <v>43</v>
      </c>
      <c r="P123" s="61" t="s">
        <v>565</v>
      </c>
      <c r="Q123" s="61" t="s">
        <v>555</v>
      </c>
      <c r="R123" s="61">
        <v>40.6895314</v>
      </c>
      <c r="S123" s="61">
        <v>-74.174462399999996</v>
      </c>
      <c r="T123" s="61">
        <v>367.16399999999999</v>
      </c>
      <c r="U123" s="61" t="s">
        <v>617</v>
      </c>
      <c r="V123" s="61" t="s">
        <v>617</v>
      </c>
      <c r="W123" s="61"/>
      <c r="Y123" s="137">
        <f>Summary_LCIA!H$32</f>
        <v>0.33979999999999999</v>
      </c>
      <c r="Z123" s="137">
        <f>Summary_LCIA!Q$32</f>
        <v>4.9560504329999997</v>
      </c>
      <c r="AA123" s="137">
        <f>Summary_LCIA!R$32</f>
        <v>5.2655999999999996E-3</v>
      </c>
      <c r="AB123" s="137">
        <f>Summary_LCIA!S$32</f>
        <v>0.33538000000000001</v>
      </c>
      <c r="AC123" s="137">
        <f>Summary_LCIA!T$32</f>
        <v>0.1099</v>
      </c>
      <c r="AD123" s="137">
        <f>Summary_LCIA!U$32</f>
        <v>1.7913999999999999E-2</v>
      </c>
      <c r="AE123" s="137">
        <f>Summary_LCIA!V$32</f>
        <v>4.7760999999999999E-5</v>
      </c>
      <c r="AF123" s="137">
        <f>Summary_LCIA!W$32</f>
        <v>7.6970999999999998E-2</v>
      </c>
      <c r="AG123" s="137">
        <f>Summary_LCIA!X$32</f>
        <v>2.2780000000000002E-2</v>
      </c>
      <c r="AH123" s="137">
        <f>Summary_LCIA!Y$32</f>
        <v>1.5582E-2</v>
      </c>
      <c r="AI123" s="137">
        <f>Summary_LCIA!Z$32</f>
        <v>4.1009E-5</v>
      </c>
      <c r="AJ123" s="137">
        <f>Summary_LCIA!AA$32</f>
        <v>2.3355999999999998E-2</v>
      </c>
      <c r="AK123" s="137">
        <f>Summary_LCIA!AB$32</f>
        <v>-2.1823000000000001E-5</v>
      </c>
      <c r="AL123" s="137">
        <f>Summary_LCIA!AC$32</f>
        <v>4.8884000000000003E-8</v>
      </c>
      <c r="AM123" s="137">
        <f>Summary_LCIA!AD$32</f>
        <v>4.1103999999999999E-4</v>
      </c>
      <c r="AN123" s="137">
        <f>Summary_LCIA!AE$32</f>
        <v>8.8612999999999995E-4</v>
      </c>
      <c r="AO123" s="137">
        <f>Summary_LCIA!AF$32</f>
        <v>8.4542000000000005E-4</v>
      </c>
      <c r="AP123" s="137">
        <f>Summary_LCIA!AG$32</f>
        <v>5.1165000000000002E-5</v>
      </c>
      <c r="AQ123" s="137">
        <f>Summary_LCIA!AH$32</f>
        <v>8.7036000000000006E-3</v>
      </c>
      <c r="AR123" s="137">
        <f>Summary_LCIA!AI$32</f>
        <v>9.3154999999999996E-4</v>
      </c>
      <c r="AT123" s="137">
        <f t="shared" si="17"/>
        <v>124.76232719999999</v>
      </c>
      <c r="AU123" s="137">
        <f t="shared" si="17"/>
        <v>1819.6833011820117</v>
      </c>
      <c r="AV123" s="137">
        <f t="shared" si="17"/>
        <v>1.9333387583999997</v>
      </c>
      <c r="AW123" s="137">
        <f t="shared" si="17"/>
        <v>123.13946232000001</v>
      </c>
      <c r="AX123" s="137">
        <f t="shared" si="17"/>
        <v>40.351323600000001</v>
      </c>
      <c r="AY123" s="137">
        <f t="shared" si="17"/>
        <v>6.5773758959999995</v>
      </c>
      <c r="AZ123" s="137">
        <f t="shared" si="17"/>
        <v>1.7536119803999998E-2</v>
      </c>
      <c r="BA123" s="137">
        <f t="shared" si="17"/>
        <v>28.260980243999999</v>
      </c>
      <c r="BB123" s="137">
        <f t="shared" si="17"/>
        <v>8.3639959200000007</v>
      </c>
      <c r="BC123" s="137">
        <f t="shared" si="17"/>
        <v>5.7211494480000002</v>
      </c>
      <c r="BD123" s="137">
        <f t="shared" si="17"/>
        <v>1.5057028476E-2</v>
      </c>
      <c r="BE123" s="137">
        <f t="shared" si="17"/>
        <v>8.575482383999999</v>
      </c>
      <c r="BF123" s="137">
        <f t="shared" si="17"/>
        <v>-8.0126199719999999E-3</v>
      </c>
      <c r="BG123" s="137">
        <f t="shared" si="17"/>
        <v>1.7948444976000001E-5</v>
      </c>
      <c r="BH123" s="137">
        <f t="shared" si="17"/>
        <v>0.15091909056</v>
      </c>
      <c r="BI123" s="137">
        <f t="shared" si="17"/>
        <v>0.32535503531999999</v>
      </c>
      <c r="BJ123" s="137">
        <f t="shared" si="16"/>
        <v>0.31040778887999998</v>
      </c>
      <c r="BK123" s="137">
        <f t="shared" si="16"/>
        <v>1.8785946059999999E-2</v>
      </c>
      <c r="BL123" s="137">
        <f t="shared" si="16"/>
        <v>3.1956485904000003</v>
      </c>
      <c r="BM123" s="137">
        <f t="shared" si="16"/>
        <v>0.3420316242</v>
      </c>
    </row>
    <row r="124" spans="1:65" x14ac:dyDescent="0.25">
      <c r="A124" s="149">
        <v>164</v>
      </c>
      <c r="B124" s="149">
        <v>43</v>
      </c>
      <c r="C124" s="61">
        <v>42.360081999999998</v>
      </c>
      <c r="D124" s="61">
        <v>-71.058880000000002</v>
      </c>
      <c r="E124" s="61" t="s">
        <v>265</v>
      </c>
      <c r="F124" s="149">
        <v>53</v>
      </c>
      <c r="G124" s="61" t="s">
        <v>565</v>
      </c>
      <c r="H124" s="61" t="s">
        <v>634</v>
      </c>
      <c r="I124" s="61">
        <v>42.365613000000003</v>
      </c>
      <c r="J124" s="61">
        <v>-71.009559999999993</v>
      </c>
      <c r="K124" s="61">
        <v>4.3433329829999998</v>
      </c>
      <c r="L124" s="61">
        <v>5.3479999999999999</v>
      </c>
      <c r="M124" s="61" t="s">
        <v>617</v>
      </c>
      <c r="N124" s="149">
        <v>42</v>
      </c>
      <c r="O124" s="149">
        <v>43</v>
      </c>
      <c r="P124" s="61" t="s">
        <v>565</v>
      </c>
      <c r="Q124" s="61" t="s">
        <v>555</v>
      </c>
      <c r="R124" s="61">
        <v>40.6895314</v>
      </c>
      <c r="S124" s="61">
        <v>-74.174462399999996</v>
      </c>
      <c r="T124" s="61">
        <v>367.16399999999999</v>
      </c>
      <c r="U124" s="61" t="s">
        <v>617</v>
      </c>
      <c r="V124" s="61" t="s">
        <v>617</v>
      </c>
      <c r="W124" s="61"/>
      <c r="Y124" s="137">
        <f>Summary_LCIA!H$32</f>
        <v>0.33979999999999999</v>
      </c>
      <c r="Z124" s="137">
        <f>Summary_LCIA!Q$32</f>
        <v>4.9560504329999997</v>
      </c>
      <c r="AA124" s="137">
        <f>Summary_LCIA!R$32</f>
        <v>5.2655999999999996E-3</v>
      </c>
      <c r="AB124" s="137">
        <f>Summary_LCIA!S$32</f>
        <v>0.33538000000000001</v>
      </c>
      <c r="AC124" s="137">
        <f>Summary_LCIA!T$32</f>
        <v>0.1099</v>
      </c>
      <c r="AD124" s="137">
        <f>Summary_LCIA!U$32</f>
        <v>1.7913999999999999E-2</v>
      </c>
      <c r="AE124" s="137">
        <f>Summary_LCIA!V$32</f>
        <v>4.7760999999999999E-5</v>
      </c>
      <c r="AF124" s="137">
        <f>Summary_LCIA!W$32</f>
        <v>7.6970999999999998E-2</v>
      </c>
      <c r="AG124" s="137">
        <f>Summary_LCIA!X$32</f>
        <v>2.2780000000000002E-2</v>
      </c>
      <c r="AH124" s="137">
        <f>Summary_LCIA!Y$32</f>
        <v>1.5582E-2</v>
      </c>
      <c r="AI124" s="137">
        <f>Summary_LCIA!Z$32</f>
        <v>4.1009E-5</v>
      </c>
      <c r="AJ124" s="137">
        <f>Summary_LCIA!AA$32</f>
        <v>2.3355999999999998E-2</v>
      </c>
      <c r="AK124" s="137">
        <f>Summary_LCIA!AB$32</f>
        <v>-2.1823000000000001E-5</v>
      </c>
      <c r="AL124" s="137">
        <f>Summary_LCIA!AC$32</f>
        <v>4.8884000000000003E-8</v>
      </c>
      <c r="AM124" s="137">
        <f>Summary_LCIA!AD$32</f>
        <v>4.1103999999999999E-4</v>
      </c>
      <c r="AN124" s="137">
        <f>Summary_LCIA!AE$32</f>
        <v>8.8612999999999995E-4</v>
      </c>
      <c r="AO124" s="137">
        <f>Summary_LCIA!AF$32</f>
        <v>8.4542000000000005E-4</v>
      </c>
      <c r="AP124" s="137">
        <f>Summary_LCIA!AG$32</f>
        <v>5.1165000000000002E-5</v>
      </c>
      <c r="AQ124" s="137">
        <f>Summary_LCIA!AH$32</f>
        <v>8.7036000000000006E-3</v>
      </c>
      <c r="AR124" s="137">
        <f>Summary_LCIA!AI$32</f>
        <v>9.3154999999999996E-4</v>
      </c>
      <c r="AT124" s="137">
        <f t="shared" si="17"/>
        <v>124.76232719999999</v>
      </c>
      <c r="AU124" s="137">
        <f t="shared" si="17"/>
        <v>1819.6833011820117</v>
      </c>
      <c r="AV124" s="137">
        <f t="shared" si="17"/>
        <v>1.9333387583999997</v>
      </c>
      <c r="AW124" s="137">
        <f t="shared" si="17"/>
        <v>123.13946232000001</v>
      </c>
      <c r="AX124" s="137">
        <f t="shared" si="17"/>
        <v>40.351323600000001</v>
      </c>
      <c r="AY124" s="137">
        <f t="shared" si="17"/>
        <v>6.5773758959999995</v>
      </c>
      <c r="AZ124" s="137">
        <f t="shared" si="17"/>
        <v>1.7536119803999998E-2</v>
      </c>
      <c r="BA124" s="137">
        <f t="shared" si="17"/>
        <v>28.260980243999999</v>
      </c>
      <c r="BB124" s="137">
        <f t="shared" si="17"/>
        <v>8.3639959200000007</v>
      </c>
      <c r="BC124" s="137">
        <f t="shared" si="17"/>
        <v>5.7211494480000002</v>
      </c>
      <c r="BD124" s="137">
        <f t="shared" si="17"/>
        <v>1.5057028476E-2</v>
      </c>
      <c r="BE124" s="137">
        <f t="shared" si="17"/>
        <v>8.575482383999999</v>
      </c>
      <c r="BF124" s="137">
        <f t="shared" si="17"/>
        <v>-8.0126199719999999E-3</v>
      </c>
      <c r="BG124" s="137">
        <f t="shared" si="17"/>
        <v>1.7948444976000001E-5</v>
      </c>
      <c r="BH124" s="137">
        <f t="shared" si="17"/>
        <v>0.15091909056</v>
      </c>
      <c r="BI124" s="137">
        <f t="shared" si="17"/>
        <v>0.32535503531999999</v>
      </c>
      <c r="BJ124" s="137">
        <f t="shared" si="16"/>
        <v>0.31040778887999998</v>
      </c>
      <c r="BK124" s="137">
        <f t="shared" si="16"/>
        <v>1.8785946059999999E-2</v>
      </c>
      <c r="BL124" s="137">
        <f t="shared" si="16"/>
        <v>3.1956485904000003</v>
      </c>
      <c r="BM124" s="137">
        <f t="shared" si="16"/>
        <v>0.3420316242</v>
      </c>
    </row>
    <row r="125" spans="1:65" x14ac:dyDescent="0.25">
      <c r="A125" s="149">
        <v>165</v>
      </c>
      <c r="B125" s="149">
        <v>43</v>
      </c>
      <c r="C125" s="61">
        <v>42.360081999999998</v>
      </c>
      <c r="D125" s="61">
        <v>-71.058880000000002</v>
      </c>
      <c r="E125" s="61" t="s">
        <v>265</v>
      </c>
      <c r="F125" s="149">
        <v>53</v>
      </c>
      <c r="G125" s="61" t="s">
        <v>565</v>
      </c>
      <c r="H125" s="61" t="s">
        <v>634</v>
      </c>
      <c r="I125" s="61">
        <v>42.365613000000003</v>
      </c>
      <c r="J125" s="61">
        <v>-71.009559999999993</v>
      </c>
      <c r="K125" s="61">
        <v>4.3433329829999998</v>
      </c>
      <c r="L125" s="61">
        <v>5.3479999999999999</v>
      </c>
      <c r="M125" s="61" t="s">
        <v>617</v>
      </c>
      <c r="N125" s="149">
        <v>42</v>
      </c>
      <c r="O125" s="149">
        <v>43</v>
      </c>
      <c r="P125" s="61" t="s">
        <v>565</v>
      </c>
      <c r="Q125" s="61" t="s">
        <v>555</v>
      </c>
      <c r="R125" s="61">
        <v>40.6895314</v>
      </c>
      <c r="S125" s="61">
        <v>-74.174462399999996</v>
      </c>
      <c r="T125" s="61">
        <v>367.16399999999999</v>
      </c>
      <c r="U125" s="61" t="s">
        <v>617</v>
      </c>
      <c r="V125" s="61" t="s">
        <v>617</v>
      </c>
      <c r="W125" s="61"/>
      <c r="Y125" s="137">
        <f>Summary_LCIA!H$32</f>
        <v>0.33979999999999999</v>
      </c>
      <c r="Z125" s="137">
        <f>Summary_LCIA!Q$32</f>
        <v>4.9560504329999997</v>
      </c>
      <c r="AA125" s="137">
        <f>Summary_LCIA!R$32</f>
        <v>5.2655999999999996E-3</v>
      </c>
      <c r="AB125" s="137">
        <f>Summary_LCIA!S$32</f>
        <v>0.33538000000000001</v>
      </c>
      <c r="AC125" s="137">
        <f>Summary_LCIA!T$32</f>
        <v>0.1099</v>
      </c>
      <c r="AD125" s="137">
        <f>Summary_LCIA!U$32</f>
        <v>1.7913999999999999E-2</v>
      </c>
      <c r="AE125" s="137">
        <f>Summary_LCIA!V$32</f>
        <v>4.7760999999999999E-5</v>
      </c>
      <c r="AF125" s="137">
        <f>Summary_LCIA!W$32</f>
        <v>7.6970999999999998E-2</v>
      </c>
      <c r="AG125" s="137">
        <f>Summary_LCIA!X$32</f>
        <v>2.2780000000000002E-2</v>
      </c>
      <c r="AH125" s="137">
        <f>Summary_LCIA!Y$32</f>
        <v>1.5582E-2</v>
      </c>
      <c r="AI125" s="137">
        <f>Summary_LCIA!Z$32</f>
        <v>4.1009E-5</v>
      </c>
      <c r="AJ125" s="137">
        <f>Summary_LCIA!AA$32</f>
        <v>2.3355999999999998E-2</v>
      </c>
      <c r="AK125" s="137">
        <f>Summary_LCIA!AB$32</f>
        <v>-2.1823000000000001E-5</v>
      </c>
      <c r="AL125" s="137">
        <f>Summary_LCIA!AC$32</f>
        <v>4.8884000000000003E-8</v>
      </c>
      <c r="AM125" s="137">
        <f>Summary_LCIA!AD$32</f>
        <v>4.1103999999999999E-4</v>
      </c>
      <c r="AN125" s="137">
        <f>Summary_LCIA!AE$32</f>
        <v>8.8612999999999995E-4</v>
      </c>
      <c r="AO125" s="137">
        <f>Summary_LCIA!AF$32</f>
        <v>8.4542000000000005E-4</v>
      </c>
      <c r="AP125" s="137">
        <f>Summary_LCIA!AG$32</f>
        <v>5.1165000000000002E-5</v>
      </c>
      <c r="AQ125" s="137">
        <f>Summary_LCIA!AH$32</f>
        <v>8.7036000000000006E-3</v>
      </c>
      <c r="AR125" s="137">
        <f>Summary_LCIA!AI$32</f>
        <v>9.3154999999999996E-4</v>
      </c>
      <c r="AT125" s="137">
        <f t="shared" si="17"/>
        <v>124.76232719999999</v>
      </c>
      <c r="AU125" s="137">
        <f t="shared" si="17"/>
        <v>1819.6833011820117</v>
      </c>
      <c r="AV125" s="137">
        <f t="shared" si="17"/>
        <v>1.9333387583999997</v>
      </c>
      <c r="AW125" s="137">
        <f t="shared" si="17"/>
        <v>123.13946232000001</v>
      </c>
      <c r="AX125" s="137">
        <f t="shared" si="17"/>
        <v>40.351323600000001</v>
      </c>
      <c r="AY125" s="137">
        <f t="shared" si="17"/>
        <v>6.5773758959999995</v>
      </c>
      <c r="AZ125" s="137">
        <f t="shared" si="17"/>
        <v>1.7536119803999998E-2</v>
      </c>
      <c r="BA125" s="137">
        <f t="shared" si="17"/>
        <v>28.260980243999999</v>
      </c>
      <c r="BB125" s="137">
        <f t="shared" si="17"/>
        <v>8.3639959200000007</v>
      </c>
      <c r="BC125" s="137">
        <f t="shared" si="17"/>
        <v>5.7211494480000002</v>
      </c>
      <c r="BD125" s="137">
        <f t="shared" si="17"/>
        <v>1.5057028476E-2</v>
      </c>
      <c r="BE125" s="137">
        <f t="shared" si="17"/>
        <v>8.575482383999999</v>
      </c>
      <c r="BF125" s="137">
        <f t="shared" si="17"/>
        <v>-8.0126199719999999E-3</v>
      </c>
      <c r="BG125" s="137">
        <f t="shared" si="17"/>
        <v>1.7948444976000001E-5</v>
      </c>
      <c r="BH125" s="137">
        <f t="shared" si="17"/>
        <v>0.15091909056</v>
      </c>
      <c r="BI125" s="137">
        <f t="shared" si="17"/>
        <v>0.32535503531999999</v>
      </c>
      <c r="BJ125" s="137">
        <f t="shared" si="16"/>
        <v>0.31040778887999998</v>
      </c>
      <c r="BK125" s="137">
        <f t="shared" si="16"/>
        <v>1.8785946059999999E-2</v>
      </c>
      <c r="BL125" s="137">
        <f t="shared" si="16"/>
        <v>3.1956485904000003</v>
      </c>
      <c r="BM125" s="137">
        <f t="shared" si="16"/>
        <v>0.3420316242</v>
      </c>
    </row>
    <row r="126" spans="1:65" x14ac:dyDescent="0.25">
      <c r="A126" s="149">
        <v>227</v>
      </c>
      <c r="B126" s="149">
        <v>43</v>
      </c>
      <c r="C126" s="61">
        <v>42.360070999999998</v>
      </c>
      <c r="D126" s="61">
        <v>-71.05883</v>
      </c>
      <c r="E126" s="61" t="s">
        <v>265</v>
      </c>
      <c r="F126" s="149">
        <v>53</v>
      </c>
      <c r="G126" s="61" t="s">
        <v>565</v>
      </c>
      <c r="H126" s="61" t="s">
        <v>634</v>
      </c>
      <c r="I126" s="61">
        <v>42.365613000000003</v>
      </c>
      <c r="J126" s="61">
        <v>-71.009559999999993</v>
      </c>
      <c r="K126" s="61">
        <v>4.3397988529999996</v>
      </c>
      <c r="L126" s="61">
        <v>5.351</v>
      </c>
      <c r="M126" s="61" t="s">
        <v>617</v>
      </c>
      <c r="N126" s="149">
        <v>42</v>
      </c>
      <c r="O126" s="149">
        <v>43</v>
      </c>
      <c r="P126" s="61" t="s">
        <v>565</v>
      </c>
      <c r="Q126" s="61" t="s">
        <v>555</v>
      </c>
      <c r="R126" s="61">
        <v>40.6895314</v>
      </c>
      <c r="S126" s="61">
        <v>-74.174462399999996</v>
      </c>
      <c r="T126" s="61">
        <v>367.16699999999997</v>
      </c>
      <c r="U126" s="61" t="s">
        <v>617</v>
      </c>
      <c r="V126" s="61" t="s">
        <v>617</v>
      </c>
      <c r="W126" s="61"/>
      <c r="Y126" s="137">
        <f>Summary_LCIA!H$32</f>
        <v>0.33979999999999999</v>
      </c>
      <c r="Z126" s="137">
        <f>Summary_LCIA!Q$32</f>
        <v>4.9560504329999997</v>
      </c>
      <c r="AA126" s="137">
        <f>Summary_LCIA!R$32</f>
        <v>5.2655999999999996E-3</v>
      </c>
      <c r="AB126" s="137">
        <f>Summary_LCIA!S$32</f>
        <v>0.33538000000000001</v>
      </c>
      <c r="AC126" s="137">
        <f>Summary_LCIA!T$32</f>
        <v>0.1099</v>
      </c>
      <c r="AD126" s="137">
        <f>Summary_LCIA!U$32</f>
        <v>1.7913999999999999E-2</v>
      </c>
      <c r="AE126" s="137">
        <f>Summary_LCIA!V$32</f>
        <v>4.7760999999999999E-5</v>
      </c>
      <c r="AF126" s="137">
        <f>Summary_LCIA!W$32</f>
        <v>7.6970999999999998E-2</v>
      </c>
      <c r="AG126" s="137">
        <f>Summary_LCIA!X$32</f>
        <v>2.2780000000000002E-2</v>
      </c>
      <c r="AH126" s="137">
        <f>Summary_LCIA!Y$32</f>
        <v>1.5582E-2</v>
      </c>
      <c r="AI126" s="137">
        <f>Summary_LCIA!Z$32</f>
        <v>4.1009E-5</v>
      </c>
      <c r="AJ126" s="137">
        <f>Summary_LCIA!AA$32</f>
        <v>2.3355999999999998E-2</v>
      </c>
      <c r="AK126" s="137">
        <f>Summary_LCIA!AB$32</f>
        <v>-2.1823000000000001E-5</v>
      </c>
      <c r="AL126" s="137">
        <f>Summary_LCIA!AC$32</f>
        <v>4.8884000000000003E-8</v>
      </c>
      <c r="AM126" s="137">
        <f>Summary_LCIA!AD$32</f>
        <v>4.1103999999999999E-4</v>
      </c>
      <c r="AN126" s="137">
        <f>Summary_LCIA!AE$32</f>
        <v>8.8612999999999995E-4</v>
      </c>
      <c r="AO126" s="137">
        <f>Summary_LCIA!AF$32</f>
        <v>8.4542000000000005E-4</v>
      </c>
      <c r="AP126" s="137">
        <f>Summary_LCIA!AG$32</f>
        <v>5.1165000000000002E-5</v>
      </c>
      <c r="AQ126" s="137">
        <f>Summary_LCIA!AH$32</f>
        <v>8.7036000000000006E-3</v>
      </c>
      <c r="AR126" s="137">
        <f>Summary_LCIA!AI$32</f>
        <v>9.3154999999999996E-4</v>
      </c>
      <c r="AT126" s="137">
        <f t="shared" si="17"/>
        <v>124.76334659999999</v>
      </c>
      <c r="AU126" s="137">
        <f t="shared" si="17"/>
        <v>1819.6981693333107</v>
      </c>
      <c r="AV126" s="137">
        <f t="shared" si="17"/>
        <v>1.9333545551999998</v>
      </c>
      <c r="AW126" s="137">
        <f t="shared" si="17"/>
        <v>123.14046845999999</v>
      </c>
      <c r="AX126" s="137">
        <f t="shared" si="17"/>
        <v>40.351653299999995</v>
      </c>
      <c r="AY126" s="137">
        <f t="shared" si="17"/>
        <v>6.577429637999999</v>
      </c>
      <c r="AZ126" s="137">
        <f t="shared" si="17"/>
        <v>1.7536263086999997E-2</v>
      </c>
      <c r="BA126" s="137">
        <f t="shared" si="17"/>
        <v>28.261211156999998</v>
      </c>
      <c r="BB126" s="137">
        <f t="shared" si="17"/>
        <v>8.3640642599999993</v>
      </c>
      <c r="BC126" s="137">
        <f t="shared" si="17"/>
        <v>5.721196194</v>
      </c>
      <c r="BD126" s="137">
        <f t="shared" si="17"/>
        <v>1.5057151502999999E-2</v>
      </c>
      <c r="BE126" s="137">
        <f t="shared" si="17"/>
        <v>8.5755524519999984</v>
      </c>
      <c r="BF126" s="137">
        <f t="shared" si="17"/>
        <v>-8.012685440999999E-3</v>
      </c>
      <c r="BG126" s="137">
        <f t="shared" si="17"/>
        <v>1.7948591628E-5</v>
      </c>
      <c r="BH126" s="137">
        <f t="shared" si="17"/>
        <v>0.15092032368</v>
      </c>
      <c r="BI126" s="137">
        <f t="shared" si="17"/>
        <v>0.32535769370999995</v>
      </c>
      <c r="BJ126" s="137">
        <f t="shared" si="16"/>
        <v>0.31041032514</v>
      </c>
      <c r="BK126" s="137">
        <f t="shared" si="16"/>
        <v>1.8786099554999998E-2</v>
      </c>
      <c r="BL126" s="137">
        <f t="shared" si="16"/>
        <v>3.1956747012000002</v>
      </c>
      <c r="BM126" s="137">
        <f t="shared" si="16"/>
        <v>0.34203441884999997</v>
      </c>
    </row>
    <row r="127" spans="1:65" x14ac:dyDescent="0.25">
      <c r="A127" s="149">
        <v>100</v>
      </c>
      <c r="B127" s="149">
        <v>43</v>
      </c>
      <c r="C127" s="61">
        <v>42.362706000000003</v>
      </c>
      <c r="D127" s="61">
        <v>-71.068657999999999</v>
      </c>
      <c r="E127" s="61" t="s">
        <v>265</v>
      </c>
      <c r="F127" s="149">
        <v>53</v>
      </c>
      <c r="G127" s="61" t="s">
        <v>565</v>
      </c>
      <c r="H127" s="61" t="s">
        <v>634</v>
      </c>
      <c r="I127" s="61">
        <v>42.365613000000003</v>
      </c>
      <c r="J127" s="61">
        <v>-71.009559999999993</v>
      </c>
      <c r="K127" s="61">
        <v>5.0515925839999998</v>
      </c>
      <c r="L127" s="61">
        <v>6.5289999999999999</v>
      </c>
      <c r="M127" s="61" t="s">
        <v>617</v>
      </c>
      <c r="N127" s="149">
        <v>42</v>
      </c>
      <c r="O127" s="149">
        <v>43</v>
      </c>
      <c r="P127" s="61" t="s">
        <v>565</v>
      </c>
      <c r="Q127" s="61" t="s">
        <v>555</v>
      </c>
      <c r="R127" s="61">
        <v>40.6895314</v>
      </c>
      <c r="S127" s="61">
        <v>-74.174462399999996</v>
      </c>
      <c r="T127" s="61">
        <v>368.303</v>
      </c>
      <c r="U127" s="61" t="s">
        <v>617</v>
      </c>
      <c r="V127" s="61" t="s">
        <v>617</v>
      </c>
      <c r="W127" s="61"/>
      <c r="Y127" s="137">
        <f>Summary_LCIA!H$32</f>
        <v>0.33979999999999999</v>
      </c>
      <c r="Z127" s="137">
        <f>Summary_LCIA!Q$32</f>
        <v>4.9560504329999997</v>
      </c>
      <c r="AA127" s="137">
        <f>Summary_LCIA!R$32</f>
        <v>5.2655999999999996E-3</v>
      </c>
      <c r="AB127" s="137">
        <f>Summary_LCIA!S$32</f>
        <v>0.33538000000000001</v>
      </c>
      <c r="AC127" s="137">
        <f>Summary_LCIA!T$32</f>
        <v>0.1099</v>
      </c>
      <c r="AD127" s="137">
        <f>Summary_LCIA!U$32</f>
        <v>1.7913999999999999E-2</v>
      </c>
      <c r="AE127" s="137">
        <f>Summary_LCIA!V$32</f>
        <v>4.7760999999999999E-5</v>
      </c>
      <c r="AF127" s="137">
        <f>Summary_LCIA!W$32</f>
        <v>7.6970999999999998E-2</v>
      </c>
      <c r="AG127" s="137">
        <f>Summary_LCIA!X$32</f>
        <v>2.2780000000000002E-2</v>
      </c>
      <c r="AH127" s="137">
        <f>Summary_LCIA!Y$32</f>
        <v>1.5582E-2</v>
      </c>
      <c r="AI127" s="137">
        <f>Summary_LCIA!Z$32</f>
        <v>4.1009E-5</v>
      </c>
      <c r="AJ127" s="137">
        <f>Summary_LCIA!AA$32</f>
        <v>2.3355999999999998E-2</v>
      </c>
      <c r="AK127" s="137">
        <f>Summary_LCIA!AB$32</f>
        <v>-2.1823000000000001E-5</v>
      </c>
      <c r="AL127" s="137">
        <f>Summary_LCIA!AC$32</f>
        <v>4.8884000000000003E-8</v>
      </c>
      <c r="AM127" s="137">
        <f>Summary_LCIA!AD$32</f>
        <v>4.1103999999999999E-4</v>
      </c>
      <c r="AN127" s="137">
        <f>Summary_LCIA!AE$32</f>
        <v>8.8612999999999995E-4</v>
      </c>
      <c r="AO127" s="137">
        <f>Summary_LCIA!AF$32</f>
        <v>8.4542000000000005E-4</v>
      </c>
      <c r="AP127" s="137">
        <f>Summary_LCIA!AG$32</f>
        <v>5.1165000000000002E-5</v>
      </c>
      <c r="AQ127" s="137">
        <f>Summary_LCIA!AH$32</f>
        <v>8.7036000000000006E-3</v>
      </c>
      <c r="AR127" s="137">
        <f>Summary_LCIA!AI$32</f>
        <v>9.3154999999999996E-4</v>
      </c>
      <c r="AT127" s="137">
        <f t="shared" si="17"/>
        <v>125.14935939999999</v>
      </c>
      <c r="AU127" s="137">
        <f t="shared" si="17"/>
        <v>1825.328242625199</v>
      </c>
      <c r="AV127" s="137">
        <f t="shared" si="17"/>
        <v>1.9393362767999998</v>
      </c>
      <c r="AW127" s="137">
        <f t="shared" si="17"/>
        <v>123.52146014</v>
      </c>
      <c r="AX127" s="137">
        <f t="shared" si="17"/>
        <v>40.476499699999998</v>
      </c>
      <c r="AY127" s="137">
        <f t="shared" si="17"/>
        <v>6.5977799419999998</v>
      </c>
      <c r="AZ127" s="137">
        <f t="shared" si="17"/>
        <v>1.7590519582999998E-2</v>
      </c>
      <c r="BA127" s="137">
        <f t="shared" si="17"/>
        <v>28.348650212999999</v>
      </c>
      <c r="BB127" s="137">
        <f t="shared" si="17"/>
        <v>8.3899423400000011</v>
      </c>
      <c r="BC127" s="137">
        <f t="shared" si="17"/>
        <v>5.7388973459999999</v>
      </c>
      <c r="BD127" s="137">
        <f t="shared" si="17"/>
        <v>1.5103737726999999E-2</v>
      </c>
      <c r="BE127" s="137">
        <f t="shared" si="17"/>
        <v>8.6020848679999986</v>
      </c>
      <c r="BF127" s="137">
        <f t="shared" si="17"/>
        <v>-8.0374763690000007E-3</v>
      </c>
      <c r="BG127" s="137">
        <f t="shared" si="17"/>
        <v>1.8004123852000002E-5</v>
      </c>
      <c r="BH127" s="137">
        <f t="shared" si="17"/>
        <v>0.15138726512</v>
      </c>
      <c r="BI127" s="137">
        <f t="shared" si="17"/>
        <v>0.32636433738999998</v>
      </c>
      <c r="BJ127" s="137">
        <f t="shared" si="16"/>
        <v>0.31137072226000001</v>
      </c>
      <c r="BK127" s="137">
        <f t="shared" si="16"/>
        <v>1.8844222995E-2</v>
      </c>
      <c r="BL127" s="137">
        <f t="shared" si="16"/>
        <v>3.2055619908000001</v>
      </c>
      <c r="BM127" s="137">
        <f t="shared" si="16"/>
        <v>0.34309265964999996</v>
      </c>
    </row>
    <row r="128" spans="1:65" x14ac:dyDescent="0.25">
      <c r="A128" s="149">
        <v>352</v>
      </c>
      <c r="B128" s="149">
        <v>43</v>
      </c>
      <c r="C128" s="61">
        <v>40.793394999999997</v>
      </c>
      <c r="D128" s="61">
        <v>-77.860000999999997</v>
      </c>
      <c r="E128" s="61" t="s">
        <v>265</v>
      </c>
      <c r="F128" s="149">
        <v>106</v>
      </c>
      <c r="G128" s="61" t="s">
        <v>266</v>
      </c>
      <c r="H128" s="61" t="s">
        <v>669</v>
      </c>
      <c r="I128" s="61">
        <v>40.491920999999998</v>
      </c>
      <c r="J128" s="61">
        <v>-80.235223000000005</v>
      </c>
      <c r="K128" s="61">
        <v>212.3657571</v>
      </c>
      <c r="L128" s="61">
        <v>245.108</v>
      </c>
      <c r="M128" s="61" t="s">
        <v>617</v>
      </c>
      <c r="N128" s="149">
        <v>42</v>
      </c>
      <c r="O128" s="149">
        <v>43</v>
      </c>
      <c r="P128" s="61" t="s">
        <v>565</v>
      </c>
      <c r="Q128" s="61" t="s">
        <v>555</v>
      </c>
      <c r="R128" s="61">
        <v>40.6895314</v>
      </c>
      <c r="S128" s="61">
        <v>-74.174462399999996</v>
      </c>
      <c r="T128" s="61">
        <v>375.66</v>
      </c>
      <c r="U128" s="61" t="s">
        <v>617</v>
      </c>
      <c r="V128" s="61" t="s">
        <v>617</v>
      </c>
      <c r="W128" s="61"/>
      <c r="Y128" s="137">
        <f>Summary_LCIA!H$32</f>
        <v>0.33979999999999999</v>
      </c>
      <c r="Z128" s="137">
        <f>Summary_LCIA!Q$32</f>
        <v>4.9560504329999997</v>
      </c>
      <c r="AA128" s="137">
        <f>Summary_LCIA!R$32</f>
        <v>5.2655999999999996E-3</v>
      </c>
      <c r="AB128" s="137">
        <f>Summary_LCIA!S$32</f>
        <v>0.33538000000000001</v>
      </c>
      <c r="AC128" s="137">
        <f>Summary_LCIA!T$32</f>
        <v>0.1099</v>
      </c>
      <c r="AD128" s="137">
        <f>Summary_LCIA!U$32</f>
        <v>1.7913999999999999E-2</v>
      </c>
      <c r="AE128" s="137">
        <f>Summary_LCIA!V$32</f>
        <v>4.7760999999999999E-5</v>
      </c>
      <c r="AF128" s="137">
        <f>Summary_LCIA!W$32</f>
        <v>7.6970999999999998E-2</v>
      </c>
      <c r="AG128" s="137">
        <f>Summary_LCIA!X$32</f>
        <v>2.2780000000000002E-2</v>
      </c>
      <c r="AH128" s="137">
        <f>Summary_LCIA!Y$32</f>
        <v>1.5582E-2</v>
      </c>
      <c r="AI128" s="137">
        <f>Summary_LCIA!Z$32</f>
        <v>4.1009E-5</v>
      </c>
      <c r="AJ128" s="137">
        <f>Summary_LCIA!AA$32</f>
        <v>2.3355999999999998E-2</v>
      </c>
      <c r="AK128" s="137">
        <f>Summary_LCIA!AB$32</f>
        <v>-2.1823000000000001E-5</v>
      </c>
      <c r="AL128" s="137">
        <f>Summary_LCIA!AC$32</f>
        <v>4.8884000000000003E-8</v>
      </c>
      <c r="AM128" s="137">
        <f>Summary_LCIA!AD$32</f>
        <v>4.1103999999999999E-4</v>
      </c>
      <c r="AN128" s="137">
        <f>Summary_LCIA!AE$32</f>
        <v>8.8612999999999995E-4</v>
      </c>
      <c r="AO128" s="137">
        <f>Summary_LCIA!AF$32</f>
        <v>8.4542000000000005E-4</v>
      </c>
      <c r="AP128" s="137">
        <f>Summary_LCIA!AG$32</f>
        <v>5.1165000000000002E-5</v>
      </c>
      <c r="AQ128" s="137">
        <f>Summary_LCIA!AH$32</f>
        <v>8.7036000000000006E-3</v>
      </c>
      <c r="AR128" s="137">
        <f>Summary_LCIA!AI$32</f>
        <v>9.3154999999999996E-4</v>
      </c>
      <c r="AT128" s="137">
        <f t="shared" si="17"/>
        <v>127.64926800000001</v>
      </c>
      <c r="AU128" s="137">
        <f t="shared" si="17"/>
        <v>1861.7899056607801</v>
      </c>
      <c r="AV128" s="137">
        <f t="shared" si="17"/>
        <v>1.9780752960000001</v>
      </c>
      <c r="AW128" s="137">
        <f t="shared" si="17"/>
        <v>125.98885080000001</v>
      </c>
      <c r="AX128" s="137">
        <f t="shared" si="17"/>
        <v>41.285034000000003</v>
      </c>
      <c r="AY128" s="137">
        <f t="shared" si="17"/>
        <v>6.7295732400000006</v>
      </c>
      <c r="AZ128" s="137">
        <f t="shared" si="17"/>
        <v>1.7941897260000002E-2</v>
      </c>
      <c r="BA128" s="137">
        <f t="shared" si="17"/>
        <v>28.91492586</v>
      </c>
      <c r="BB128" s="137">
        <f t="shared" si="17"/>
        <v>8.5575348000000009</v>
      </c>
      <c r="BC128" s="137">
        <f t="shared" si="17"/>
        <v>5.8535341200000008</v>
      </c>
      <c r="BD128" s="137">
        <f t="shared" si="17"/>
        <v>1.5405440940000001E-2</v>
      </c>
      <c r="BE128" s="137">
        <f t="shared" si="17"/>
        <v>8.7739149600000008</v>
      </c>
      <c r="BF128" s="137">
        <f t="shared" si="17"/>
        <v>-8.1980281800000006E-3</v>
      </c>
      <c r="BG128" s="137">
        <f t="shared" si="17"/>
        <v>1.8363763440000003E-5</v>
      </c>
      <c r="BH128" s="137">
        <f t="shared" si="17"/>
        <v>0.15441128640000001</v>
      </c>
      <c r="BI128" s="137">
        <f t="shared" si="17"/>
        <v>0.33288359579999999</v>
      </c>
      <c r="BJ128" s="137">
        <f t="shared" si="16"/>
        <v>0.31759047720000005</v>
      </c>
      <c r="BK128" s="137">
        <f t="shared" si="16"/>
        <v>1.9220643900000001E-2</v>
      </c>
      <c r="BL128" s="137">
        <f t="shared" si="16"/>
        <v>3.2695943760000006</v>
      </c>
      <c r="BM128" s="137">
        <f t="shared" si="16"/>
        <v>0.34994607300000002</v>
      </c>
    </row>
    <row r="129" spans="1:65" x14ac:dyDescent="0.25">
      <c r="A129" s="149">
        <v>353</v>
      </c>
      <c r="B129" s="149">
        <v>43</v>
      </c>
      <c r="C129" s="61">
        <v>40.793394999999997</v>
      </c>
      <c r="D129" s="61">
        <v>-77.860000999999997</v>
      </c>
      <c r="E129" s="61" t="s">
        <v>265</v>
      </c>
      <c r="F129" s="149">
        <v>106</v>
      </c>
      <c r="G129" s="61" t="s">
        <v>266</v>
      </c>
      <c r="H129" s="61" t="s">
        <v>669</v>
      </c>
      <c r="I129" s="61">
        <v>40.491920999999998</v>
      </c>
      <c r="J129" s="61">
        <v>-80.235223000000005</v>
      </c>
      <c r="K129" s="61">
        <v>212.3657571</v>
      </c>
      <c r="L129" s="61">
        <v>245.108</v>
      </c>
      <c r="M129" s="61" t="s">
        <v>617</v>
      </c>
      <c r="N129" s="149">
        <v>42</v>
      </c>
      <c r="O129" s="149">
        <v>43</v>
      </c>
      <c r="P129" s="61" t="s">
        <v>565</v>
      </c>
      <c r="Q129" s="61" t="s">
        <v>555</v>
      </c>
      <c r="R129" s="61">
        <v>40.6895314</v>
      </c>
      <c r="S129" s="61">
        <v>-74.174462399999996</v>
      </c>
      <c r="T129" s="61">
        <v>375.66</v>
      </c>
      <c r="U129" s="61" t="s">
        <v>617</v>
      </c>
      <c r="V129" s="61" t="s">
        <v>617</v>
      </c>
      <c r="W129" s="61"/>
      <c r="Y129" s="137">
        <f>Summary_LCIA!H$32</f>
        <v>0.33979999999999999</v>
      </c>
      <c r="Z129" s="137">
        <f>Summary_LCIA!Q$32</f>
        <v>4.9560504329999997</v>
      </c>
      <c r="AA129" s="137">
        <f>Summary_LCIA!R$32</f>
        <v>5.2655999999999996E-3</v>
      </c>
      <c r="AB129" s="137">
        <f>Summary_LCIA!S$32</f>
        <v>0.33538000000000001</v>
      </c>
      <c r="AC129" s="137">
        <f>Summary_LCIA!T$32</f>
        <v>0.1099</v>
      </c>
      <c r="AD129" s="137">
        <f>Summary_LCIA!U$32</f>
        <v>1.7913999999999999E-2</v>
      </c>
      <c r="AE129" s="137">
        <f>Summary_LCIA!V$32</f>
        <v>4.7760999999999999E-5</v>
      </c>
      <c r="AF129" s="137">
        <f>Summary_LCIA!W$32</f>
        <v>7.6970999999999998E-2</v>
      </c>
      <c r="AG129" s="137">
        <f>Summary_LCIA!X$32</f>
        <v>2.2780000000000002E-2</v>
      </c>
      <c r="AH129" s="137">
        <f>Summary_LCIA!Y$32</f>
        <v>1.5582E-2</v>
      </c>
      <c r="AI129" s="137">
        <f>Summary_LCIA!Z$32</f>
        <v>4.1009E-5</v>
      </c>
      <c r="AJ129" s="137">
        <f>Summary_LCIA!AA$32</f>
        <v>2.3355999999999998E-2</v>
      </c>
      <c r="AK129" s="137">
        <f>Summary_LCIA!AB$32</f>
        <v>-2.1823000000000001E-5</v>
      </c>
      <c r="AL129" s="137">
        <f>Summary_LCIA!AC$32</f>
        <v>4.8884000000000003E-8</v>
      </c>
      <c r="AM129" s="137">
        <f>Summary_LCIA!AD$32</f>
        <v>4.1103999999999999E-4</v>
      </c>
      <c r="AN129" s="137">
        <f>Summary_LCIA!AE$32</f>
        <v>8.8612999999999995E-4</v>
      </c>
      <c r="AO129" s="137">
        <f>Summary_LCIA!AF$32</f>
        <v>8.4542000000000005E-4</v>
      </c>
      <c r="AP129" s="137">
        <f>Summary_LCIA!AG$32</f>
        <v>5.1165000000000002E-5</v>
      </c>
      <c r="AQ129" s="137">
        <f>Summary_LCIA!AH$32</f>
        <v>8.7036000000000006E-3</v>
      </c>
      <c r="AR129" s="137">
        <f>Summary_LCIA!AI$32</f>
        <v>9.3154999999999996E-4</v>
      </c>
      <c r="AT129" s="137">
        <f t="shared" si="17"/>
        <v>127.64926800000001</v>
      </c>
      <c r="AU129" s="137">
        <f t="shared" si="17"/>
        <v>1861.7899056607801</v>
      </c>
      <c r="AV129" s="137">
        <f t="shared" si="17"/>
        <v>1.9780752960000001</v>
      </c>
      <c r="AW129" s="137">
        <f t="shared" si="17"/>
        <v>125.98885080000001</v>
      </c>
      <c r="AX129" s="137">
        <f t="shared" si="17"/>
        <v>41.285034000000003</v>
      </c>
      <c r="AY129" s="137">
        <f t="shared" si="17"/>
        <v>6.7295732400000006</v>
      </c>
      <c r="AZ129" s="137">
        <f t="shared" si="17"/>
        <v>1.7941897260000002E-2</v>
      </c>
      <c r="BA129" s="137">
        <f t="shared" si="17"/>
        <v>28.91492586</v>
      </c>
      <c r="BB129" s="137">
        <f t="shared" si="17"/>
        <v>8.5575348000000009</v>
      </c>
      <c r="BC129" s="137">
        <f t="shared" si="17"/>
        <v>5.8535341200000008</v>
      </c>
      <c r="BD129" s="137">
        <f t="shared" si="17"/>
        <v>1.5405440940000001E-2</v>
      </c>
      <c r="BE129" s="137">
        <f t="shared" si="17"/>
        <v>8.7739149600000008</v>
      </c>
      <c r="BF129" s="137">
        <f t="shared" si="17"/>
        <v>-8.1980281800000006E-3</v>
      </c>
      <c r="BG129" s="137">
        <f t="shared" si="17"/>
        <v>1.8363763440000003E-5</v>
      </c>
      <c r="BH129" s="137">
        <f t="shared" si="17"/>
        <v>0.15441128640000001</v>
      </c>
      <c r="BI129" s="137">
        <f t="shared" si="17"/>
        <v>0.33288359579999999</v>
      </c>
      <c r="BJ129" s="137">
        <f t="shared" si="16"/>
        <v>0.31759047720000005</v>
      </c>
      <c r="BK129" s="137">
        <f t="shared" si="16"/>
        <v>1.9220643900000001E-2</v>
      </c>
      <c r="BL129" s="137">
        <f t="shared" si="16"/>
        <v>3.2695943760000006</v>
      </c>
      <c r="BM129" s="137">
        <f t="shared" si="16"/>
        <v>0.34994607300000002</v>
      </c>
    </row>
    <row r="130" spans="1:65" x14ac:dyDescent="0.25">
      <c r="A130" s="149">
        <v>354</v>
      </c>
      <c r="B130" s="149">
        <v>43</v>
      </c>
      <c r="C130" s="61">
        <v>40.793394999999997</v>
      </c>
      <c r="D130" s="61">
        <v>-77.860000999999997</v>
      </c>
      <c r="E130" s="61" t="s">
        <v>265</v>
      </c>
      <c r="F130" s="149">
        <v>106</v>
      </c>
      <c r="G130" s="61" t="s">
        <v>266</v>
      </c>
      <c r="H130" s="61" t="s">
        <v>669</v>
      </c>
      <c r="I130" s="61">
        <v>40.491920999999998</v>
      </c>
      <c r="J130" s="61">
        <v>-80.235223000000005</v>
      </c>
      <c r="K130" s="61">
        <v>212.3657571</v>
      </c>
      <c r="L130" s="61">
        <v>245.108</v>
      </c>
      <c r="M130" s="61" t="s">
        <v>617</v>
      </c>
      <c r="N130" s="149">
        <v>42</v>
      </c>
      <c r="O130" s="149">
        <v>43</v>
      </c>
      <c r="P130" s="61" t="s">
        <v>565</v>
      </c>
      <c r="Q130" s="61" t="s">
        <v>555</v>
      </c>
      <c r="R130" s="61">
        <v>40.6895314</v>
      </c>
      <c r="S130" s="61">
        <v>-74.174462399999996</v>
      </c>
      <c r="T130" s="61">
        <v>375.66</v>
      </c>
      <c r="U130" s="61" t="s">
        <v>617</v>
      </c>
      <c r="V130" s="61" t="s">
        <v>617</v>
      </c>
      <c r="W130" s="61"/>
      <c r="Y130" s="137">
        <f>Summary_LCIA!H$32</f>
        <v>0.33979999999999999</v>
      </c>
      <c r="Z130" s="137">
        <f>Summary_LCIA!Q$32</f>
        <v>4.9560504329999997</v>
      </c>
      <c r="AA130" s="137">
        <f>Summary_LCIA!R$32</f>
        <v>5.2655999999999996E-3</v>
      </c>
      <c r="AB130" s="137">
        <f>Summary_LCIA!S$32</f>
        <v>0.33538000000000001</v>
      </c>
      <c r="AC130" s="137">
        <f>Summary_LCIA!T$32</f>
        <v>0.1099</v>
      </c>
      <c r="AD130" s="137">
        <f>Summary_LCIA!U$32</f>
        <v>1.7913999999999999E-2</v>
      </c>
      <c r="AE130" s="137">
        <f>Summary_LCIA!V$32</f>
        <v>4.7760999999999999E-5</v>
      </c>
      <c r="AF130" s="137">
        <f>Summary_LCIA!W$32</f>
        <v>7.6970999999999998E-2</v>
      </c>
      <c r="AG130" s="137">
        <f>Summary_LCIA!X$32</f>
        <v>2.2780000000000002E-2</v>
      </c>
      <c r="AH130" s="137">
        <f>Summary_LCIA!Y$32</f>
        <v>1.5582E-2</v>
      </c>
      <c r="AI130" s="137">
        <f>Summary_LCIA!Z$32</f>
        <v>4.1009E-5</v>
      </c>
      <c r="AJ130" s="137">
        <f>Summary_LCIA!AA$32</f>
        <v>2.3355999999999998E-2</v>
      </c>
      <c r="AK130" s="137">
        <f>Summary_LCIA!AB$32</f>
        <v>-2.1823000000000001E-5</v>
      </c>
      <c r="AL130" s="137">
        <f>Summary_LCIA!AC$32</f>
        <v>4.8884000000000003E-8</v>
      </c>
      <c r="AM130" s="137">
        <f>Summary_LCIA!AD$32</f>
        <v>4.1103999999999999E-4</v>
      </c>
      <c r="AN130" s="137">
        <f>Summary_LCIA!AE$32</f>
        <v>8.8612999999999995E-4</v>
      </c>
      <c r="AO130" s="137">
        <f>Summary_LCIA!AF$32</f>
        <v>8.4542000000000005E-4</v>
      </c>
      <c r="AP130" s="137">
        <f>Summary_LCIA!AG$32</f>
        <v>5.1165000000000002E-5</v>
      </c>
      <c r="AQ130" s="137">
        <f>Summary_LCIA!AH$32</f>
        <v>8.7036000000000006E-3</v>
      </c>
      <c r="AR130" s="137">
        <f>Summary_LCIA!AI$32</f>
        <v>9.3154999999999996E-4</v>
      </c>
      <c r="AT130" s="137">
        <f t="shared" si="17"/>
        <v>127.64926800000001</v>
      </c>
      <c r="AU130" s="137">
        <f t="shared" si="17"/>
        <v>1861.7899056607801</v>
      </c>
      <c r="AV130" s="137">
        <f t="shared" si="17"/>
        <v>1.9780752960000001</v>
      </c>
      <c r="AW130" s="137">
        <f t="shared" si="17"/>
        <v>125.98885080000001</v>
      </c>
      <c r="AX130" s="137">
        <f t="shared" si="17"/>
        <v>41.285034000000003</v>
      </c>
      <c r="AY130" s="137">
        <f t="shared" si="17"/>
        <v>6.7295732400000006</v>
      </c>
      <c r="AZ130" s="137">
        <f t="shared" si="17"/>
        <v>1.7941897260000002E-2</v>
      </c>
      <c r="BA130" s="137">
        <f t="shared" si="17"/>
        <v>28.91492586</v>
      </c>
      <c r="BB130" s="137">
        <f t="shared" si="17"/>
        <v>8.5575348000000009</v>
      </c>
      <c r="BC130" s="137">
        <f t="shared" si="17"/>
        <v>5.8535341200000008</v>
      </c>
      <c r="BD130" s="137">
        <f t="shared" si="17"/>
        <v>1.5405440940000001E-2</v>
      </c>
      <c r="BE130" s="137">
        <f t="shared" si="17"/>
        <v>8.7739149600000008</v>
      </c>
      <c r="BF130" s="137">
        <f t="shared" si="17"/>
        <v>-8.1980281800000006E-3</v>
      </c>
      <c r="BG130" s="137">
        <f t="shared" si="17"/>
        <v>1.8363763440000003E-5</v>
      </c>
      <c r="BH130" s="137">
        <f t="shared" si="17"/>
        <v>0.15441128640000001</v>
      </c>
      <c r="BI130" s="137">
        <f t="shared" ref="BI130:BM145" si="18">$T130*AN130</f>
        <v>0.33288359579999999</v>
      </c>
      <c r="BJ130" s="137">
        <f t="shared" si="18"/>
        <v>0.31759047720000005</v>
      </c>
      <c r="BK130" s="137">
        <f t="shared" si="18"/>
        <v>1.9220643900000001E-2</v>
      </c>
      <c r="BL130" s="137">
        <f t="shared" si="18"/>
        <v>3.2695943760000006</v>
      </c>
      <c r="BM130" s="137">
        <f t="shared" si="18"/>
        <v>0.34994607300000002</v>
      </c>
    </row>
    <row r="131" spans="1:65" x14ac:dyDescent="0.25">
      <c r="A131" s="149">
        <v>0</v>
      </c>
      <c r="B131" s="149">
        <v>6</v>
      </c>
      <c r="C131" s="61">
        <v>42.724305000000001</v>
      </c>
      <c r="D131" s="61">
        <v>-84.479605000000006</v>
      </c>
      <c r="E131" s="61" t="s">
        <v>265</v>
      </c>
      <c r="F131" s="149">
        <v>78</v>
      </c>
      <c r="G131" s="61" t="s">
        <v>615</v>
      </c>
      <c r="H131" s="61" t="s">
        <v>616</v>
      </c>
      <c r="I131" s="61">
        <v>42.216248999999998</v>
      </c>
      <c r="J131" s="61">
        <v>-83.355363999999994</v>
      </c>
      <c r="K131" s="61">
        <v>121.7981765</v>
      </c>
      <c r="L131" s="61">
        <v>141.471</v>
      </c>
      <c r="M131" s="61" t="s">
        <v>617</v>
      </c>
      <c r="N131" s="149">
        <v>5</v>
      </c>
      <c r="O131" s="149">
        <v>6</v>
      </c>
      <c r="P131" s="61" t="s">
        <v>565</v>
      </c>
      <c r="Q131" s="61" t="s">
        <v>564</v>
      </c>
      <c r="R131" s="61">
        <v>41.98028</v>
      </c>
      <c r="S131" s="61">
        <v>-87.908997900000003</v>
      </c>
      <c r="T131" s="61">
        <v>383.76100000000002</v>
      </c>
      <c r="U131" s="61" t="s">
        <v>617</v>
      </c>
      <c r="V131" s="61" t="s">
        <v>617</v>
      </c>
      <c r="W131" s="61"/>
      <c r="Y131" s="137">
        <f>Summary_LCIA!H$32</f>
        <v>0.33979999999999999</v>
      </c>
      <c r="Z131" s="137">
        <f>Summary_LCIA!Q$32</f>
        <v>4.9560504329999997</v>
      </c>
      <c r="AA131" s="137">
        <f>Summary_LCIA!R$32</f>
        <v>5.2655999999999996E-3</v>
      </c>
      <c r="AB131" s="137">
        <f>Summary_LCIA!S$32</f>
        <v>0.33538000000000001</v>
      </c>
      <c r="AC131" s="137">
        <f>Summary_LCIA!T$32</f>
        <v>0.1099</v>
      </c>
      <c r="AD131" s="137">
        <f>Summary_LCIA!U$32</f>
        <v>1.7913999999999999E-2</v>
      </c>
      <c r="AE131" s="137">
        <f>Summary_LCIA!V$32</f>
        <v>4.7760999999999999E-5</v>
      </c>
      <c r="AF131" s="137">
        <f>Summary_LCIA!W$32</f>
        <v>7.6970999999999998E-2</v>
      </c>
      <c r="AG131" s="137">
        <f>Summary_LCIA!X$32</f>
        <v>2.2780000000000002E-2</v>
      </c>
      <c r="AH131" s="137">
        <f>Summary_LCIA!Y$32</f>
        <v>1.5582E-2</v>
      </c>
      <c r="AI131" s="137">
        <f>Summary_LCIA!Z$32</f>
        <v>4.1009E-5</v>
      </c>
      <c r="AJ131" s="137">
        <f>Summary_LCIA!AA$32</f>
        <v>2.3355999999999998E-2</v>
      </c>
      <c r="AK131" s="137">
        <f>Summary_LCIA!AB$32</f>
        <v>-2.1823000000000001E-5</v>
      </c>
      <c r="AL131" s="137">
        <f>Summary_LCIA!AC$32</f>
        <v>4.8884000000000003E-8</v>
      </c>
      <c r="AM131" s="137">
        <f>Summary_LCIA!AD$32</f>
        <v>4.1103999999999999E-4</v>
      </c>
      <c r="AN131" s="137">
        <f>Summary_LCIA!AE$32</f>
        <v>8.8612999999999995E-4</v>
      </c>
      <c r="AO131" s="137">
        <f>Summary_LCIA!AF$32</f>
        <v>8.4542000000000005E-4</v>
      </c>
      <c r="AP131" s="137">
        <f>Summary_LCIA!AG$32</f>
        <v>5.1165000000000002E-5</v>
      </c>
      <c r="AQ131" s="137">
        <f>Summary_LCIA!AH$32</f>
        <v>8.7036000000000006E-3</v>
      </c>
      <c r="AR131" s="137">
        <f>Summary_LCIA!AI$32</f>
        <v>9.3154999999999996E-4</v>
      </c>
      <c r="AT131" s="137">
        <f t="shared" ref="AT131:BI146" si="19">$T131*Y131</f>
        <v>130.4019878</v>
      </c>
      <c r="AU131" s="137">
        <f t="shared" si="19"/>
        <v>1901.9388702185131</v>
      </c>
      <c r="AV131" s="137">
        <f t="shared" si="19"/>
        <v>2.0207319215999999</v>
      </c>
      <c r="AW131" s="137">
        <f t="shared" si="19"/>
        <v>128.70576418000002</v>
      </c>
      <c r="AX131" s="137">
        <f t="shared" si="19"/>
        <v>42.175333899999998</v>
      </c>
      <c r="AY131" s="137">
        <f t="shared" si="19"/>
        <v>6.8746945540000004</v>
      </c>
      <c r="AZ131" s="137">
        <f t="shared" si="19"/>
        <v>1.8328809121E-2</v>
      </c>
      <c r="BA131" s="137">
        <f t="shared" si="19"/>
        <v>29.538467931</v>
      </c>
      <c r="BB131" s="137">
        <f t="shared" si="19"/>
        <v>8.7420755800000016</v>
      </c>
      <c r="BC131" s="137">
        <f t="shared" si="19"/>
        <v>5.9797639020000002</v>
      </c>
      <c r="BD131" s="137">
        <f t="shared" si="19"/>
        <v>1.5737654849000002E-2</v>
      </c>
      <c r="BE131" s="137">
        <f t="shared" si="19"/>
        <v>8.9631219160000004</v>
      </c>
      <c r="BF131" s="137">
        <f t="shared" si="19"/>
        <v>-8.3748163030000003E-3</v>
      </c>
      <c r="BG131" s="137">
        <f t="shared" si="19"/>
        <v>1.8759772724000002E-5</v>
      </c>
      <c r="BH131" s="137">
        <f t="shared" si="19"/>
        <v>0.15774112144000002</v>
      </c>
      <c r="BI131" s="137">
        <f t="shared" si="19"/>
        <v>0.34006213492999998</v>
      </c>
      <c r="BJ131" s="137">
        <f t="shared" si="18"/>
        <v>0.32443922462000002</v>
      </c>
      <c r="BK131" s="137">
        <f t="shared" si="18"/>
        <v>1.9635131565000002E-2</v>
      </c>
      <c r="BL131" s="137">
        <f t="shared" si="18"/>
        <v>3.3401022396000006</v>
      </c>
      <c r="BM131" s="137">
        <f t="shared" si="18"/>
        <v>0.35749255955000003</v>
      </c>
    </row>
    <row r="132" spans="1:65" x14ac:dyDescent="0.25">
      <c r="A132" s="149">
        <v>355</v>
      </c>
      <c r="B132" s="149">
        <v>43</v>
      </c>
      <c r="C132" s="61">
        <v>42.470944000000003</v>
      </c>
      <c r="D132" s="61">
        <v>-70.917556000000005</v>
      </c>
      <c r="E132" s="61" t="s">
        <v>265</v>
      </c>
      <c r="F132" s="149">
        <v>53</v>
      </c>
      <c r="G132" s="61" t="s">
        <v>565</v>
      </c>
      <c r="H132" s="61" t="s">
        <v>634</v>
      </c>
      <c r="I132" s="61">
        <v>42.365613000000003</v>
      </c>
      <c r="J132" s="61">
        <v>-71.009559999999993</v>
      </c>
      <c r="K132" s="61">
        <v>18.548969249999999</v>
      </c>
      <c r="L132" s="61">
        <v>17.323</v>
      </c>
      <c r="M132" s="61" t="s">
        <v>617</v>
      </c>
      <c r="N132" s="149">
        <v>42</v>
      </c>
      <c r="O132" s="149">
        <v>43</v>
      </c>
      <c r="P132" s="61" t="s">
        <v>565</v>
      </c>
      <c r="Q132" s="61" t="s">
        <v>555</v>
      </c>
      <c r="R132" s="61">
        <v>40.6895314</v>
      </c>
      <c r="S132" s="61">
        <v>-74.174462399999996</v>
      </c>
      <c r="T132" s="61">
        <v>385.233</v>
      </c>
      <c r="U132" s="61" t="s">
        <v>617</v>
      </c>
      <c r="V132" s="61" t="s">
        <v>617</v>
      </c>
      <c r="W132" s="61"/>
      <c r="Y132" s="137">
        <f>Summary_LCIA!H$32</f>
        <v>0.33979999999999999</v>
      </c>
      <c r="Z132" s="137">
        <f>Summary_LCIA!Q$32</f>
        <v>4.9560504329999997</v>
      </c>
      <c r="AA132" s="137">
        <f>Summary_LCIA!R$32</f>
        <v>5.2655999999999996E-3</v>
      </c>
      <c r="AB132" s="137">
        <f>Summary_LCIA!S$32</f>
        <v>0.33538000000000001</v>
      </c>
      <c r="AC132" s="137">
        <f>Summary_LCIA!T$32</f>
        <v>0.1099</v>
      </c>
      <c r="AD132" s="137">
        <f>Summary_LCIA!U$32</f>
        <v>1.7913999999999999E-2</v>
      </c>
      <c r="AE132" s="137">
        <f>Summary_LCIA!V$32</f>
        <v>4.7760999999999999E-5</v>
      </c>
      <c r="AF132" s="137">
        <f>Summary_LCIA!W$32</f>
        <v>7.6970999999999998E-2</v>
      </c>
      <c r="AG132" s="137">
        <f>Summary_LCIA!X$32</f>
        <v>2.2780000000000002E-2</v>
      </c>
      <c r="AH132" s="137">
        <f>Summary_LCIA!Y$32</f>
        <v>1.5582E-2</v>
      </c>
      <c r="AI132" s="137">
        <f>Summary_LCIA!Z$32</f>
        <v>4.1009E-5</v>
      </c>
      <c r="AJ132" s="137">
        <f>Summary_LCIA!AA$32</f>
        <v>2.3355999999999998E-2</v>
      </c>
      <c r="AK132" s="137">
        <f>Summary_LCIA!AB$32</f>
        <v>-2.1823000000000001E-5</v>
      </c>
      <c r="AL132" s="137">
        <f>Summary_LCIA!AC$32</f>
        <v>4.8884000000000003E-8</v>
      </c>
      <c r="AM132" s="137">
        <f>Summary_LCIA!AD$32</f>
        <v>4.1103999999999999E-4</v>
      </c>
      <c r="AN132" s="137">
        <f>Summary_LCIA!AE$32</f>
        <v>8.8612999999999995E-4</v>
      </c>
      <c r="AO132" s="137">
        <f>Summary_LCIA!AF$32</f>
        <v>8.4542000000000005E-4</v>
      </c>
      <c r="AP132" s="137">
        <f>Summary_LCIA!AG$32</f>
        <v>5.1165000000000002E-5</v>
      </c>
      <c r="AQ132" s="137">
        <f>Summary_LCIA!AH$32</f>
        <v>8.7036000000000006E-3</v>
      </c>
      <c r="AR132" s="137">
        <f>Summary_LCIA!AI$32</f>
        <v>9.3154999999999996E-4</v>
      </c>
      <c r="AT132" s="137">
        <f t="shared" si="19"/>
        <v>130.90217340000001</v>
      </c>
      <c r="AU132" s="137">
        <f t="shared" si="19"/>
        <v>1909.2341764558889</v>
      </c>
      <c r="AV132" s="137">
        <f t="shared" si="19"/>
        <v>2.0284828847999998</v>
      </c>
      <c r="AW132" s="137">
        <f t="shared" si="19"/>
        <v>129.19944354</v>
      </c>
      <c r="AX132" s="137">
        <f t="shared" si="19"/>
        <v>42.3371067</v>
      </c>
      <c r="AY132" s="137">
        <f t="shared" si="19"/>
        <v>6.9010639620000003</v>
      </c>
      <c r="AZ132" s="137">
        <f t="shared" si="19"/>
        <v>1.8399113312999999E-2</v>
      </c>
      <c r="BA132" s="137">
        <f t="shared" si="19"/>
        <v>29.651769243</v>
      </c>
      <c r="BB132" s="137">
        <f t="shared" si="19"/>
        <v>8.7756077399999999</v>
      </c>
      <c r="BC132" s="137">
        <f t="shared" si="19"/>
        <v>6.0027006060000003</v>
      </c>
      <c r="BD132" s="137">
        <f t="shared" si="19"/>
        <v>1.5798020097000001E-2</v>
      </c>
      <c r="BE132" s="137">
        <f t="shared" si="19"/>
        <v>8.997501948</v>
      </c>
      <c r="BF132" s="137">
        <f t="shared" si="19"/>
        <v>-8.4069397590000004E-3</v>
      </c>
      <c r="BG132" s="137">
        <f t="shared" si="19"/>
        <v>1.8831729972000001E-5</v>
      </c>
      <c r="BH132" s="137">
        <f t="shared" si="19"/>
        <v>0.15834617232000001</v>
      </c>
      <c r="BI132" s="137">
        <f t="shared" si="19"/>
        <v>0.34136651828999998</v>
      </c>
      <c r="BJ132" s="137">
        <f t="shared" si="18"/>
        <v>0.32568368286000005</v>
      </c>
      <c r="BK132" s="137">
        <f t="shared" si="18"/>
        <v>1.9710446445000002E-2</v>
      </c>
      <c r="BL132" s="137">
        <f t="shared" si="18"/>
        <v>3.3529139388000004</v>
      </c>
      <c r="BM132" s="137">
        <f t="shared" si="18"/>
        <v>0.35886380114999999</v>
      </c>
    </row>
    <row r="133" spans="1:65" x14ac:dyDescent="0.25">
      <c r="A133" s="149">
        <v>186</v>
      </c>
      <c r="B133" s="149">
        <v>43</v>
      </c>
      <c r="C133" s="61">
        <v>38.894278999999997</v>
      </c>
      <c r="D133" s="61">
        <v>-77.431099000000003</v>
      </c>
      <c r="E133" s="61" t="s">
        <v>265</v>
      </c>
      <c r="F133" s="149">
        <v>85</v>
      </c>
      <c r="G133" s="61" t="s">
        <v>630</v>
      </c>
      <c r="H133" s="61" t="s">
        <v>631</v>
      </c>
      <c r="I133" s="61">
        <v>38.953116000000001</v>
      </c>
      <c r="J133" s="61">
        <v>-77.456539000000006</v>
      </c>
      <c r="K133" s="61">
        <v>9.3021399710000008</v>
      </c>
      <c r="L133" s="61">
        <v>12.042999999999999</v>
      </c>
      <c r="M133" s="61" t="s">
        <v>617</v>
      </c>
      <c r="N133" s="149">
        <v>42</v>
      </c>
      <c r="O133" s="149">
        <v>43</v>
      </c>
      <c r="P133" s="61" t="s">
        <v>565</v>
      </c>
      <c r="Q133" s="61" t="s">
        <v>555</v>
      </c>
      <c r="R133" s="61">
        <v>40.6895314</v>
      </c>
      <c r="S133" s="61">
        <v>-74.174462399999996</v>
      </c>
      <c r="T133" s="61">
        <v>387.10199999999998</v>
      </c>
      <c r="U133" s="61" t="s">
        <v>617</v>
      </c>
      <c r="V133" s="61" t="s">
        <v>617</v>
      </c>
      <c r="W133" s="61"/>
      <c r="Y133" s="137">
        <f>Summary_LCIA!H$32</f>
        <v>0.33979999999999999</v>
      </c>
      <c r="Z133" s="137">
        <f>Summary_LCIA!Q$32</f>
        <v>4.9560504329999997</v>
      </c>
      <c r="AA133" s="137">
        <f>Summary_LCIA!R$32</f>
        <v>5.2655999999999996E-3</v>
      </c>
      <c r="AB133" s="137">
        <f>Summary_LCIA!S$32</f>
        <v>0.33538000000000001</v>
      </c>
      <c r="AC133" s="137">
        <f>Summary_LCIA!T$32</f>
        <v>0.1099</v>
      </c>
      <c r="AD133" s="137">
        <f>Summary_LCIA!U$32</f>
        <v>1.7913999999999999E-2</v>
      </c>
      <c r="AE133" s="137">
        <f>Summary_LCIA!V$32</f>
        <v>4.7760999999999999E-5</v>
      </c>
      <c r="AF133" s="137">
        <f>Summary_LCIA!W$32</f>
        <v>7.6970999999999998E-2</v>
      </c>
      <c r="AG133" s="137">
        <f>Summary_LCIA!X$32</f>
        <v>2.2780000000000002E-2</v>
      </c>
      <c r="AH133" s="137">
        <f>Summary_LCIA!Y$32</f>
        <v>1.5582E-2</v>
      </c>
      <c r="AI133" s="137">
        <f>Summary_LCIA!Z$32</f>
        <v>4.1009E-5</v>
      </c>
      <c r="AJ133" s="137">
        <f>Summary_LCIA!AA$32</f>
        <v>2.3355999999999998E-2</v>
      </c>
      <c r="AK133" s="137">
        <f>Summary_LCIA!AB$32</f>
        <v>-2.1823000000000001E-5</v>
      </c>
      <c r="AL133" s="137">
        <f>Summary_LCIA!AC$32</f>
        <v>4.8884000000000003E-8</v>
      </c>
      <c r="AM133" s="137">
        <f>Summary_LCIA!AD$32</f>
        <v>4.1103999999999999E-4</v>
      </c>
      <c r="AN133" s="137">
        <f>Summary_LCIA!AE$32</f>
        <v>8.8612999999999995E-4</v>
      </c>
      <c r="AO133" s="137">
        <f>Summary_LCIA!AF$32</f>
        <v>8.4542000000000005E-4</v>
      </c>
      <c r="AP133" s="137">
        <f>Summary_LCIA!AG$32</f>
        <v>5.1165000000000002E-5</v>
      </c>
      <c r="AQ133" s="137">
        <f>Summary_LCIA!AH$32</f>
        <v>8.7036000000000006E-3</v>
      </c>
      <c r="AR133" s="137">
        <f>Summary_LCIA!AI$32</f>
        <v>9.3154999999999996E-4</v>
      </c>
      <c r="AT133" s="137">
        <f t="shared" si="19"/>
        <v>131.5372596</v>
      </c>
      <c r="AU133" s="137">
        <f t="shared" si="19"/>
        <v>1918.4970347151657</v>
      </c>
      <c r="AV133" s="137">
        <f t="shared" si="19"/>
        <v>2.0383242911999999</v>
      </c>
      <c r="AW133" s="137">
        <f t="shared" si="19"/>
        <v>129.82626876</v>
      </c>
      <c r="AX133" s="137">
        <f t="shared" si="19"/>
        <v>42.542509799999998</v>
      </c>
      <c r="AY133" s="137">
        <f t="shared" si="19"/>
        <v>6.9345452279999993</v>
      </c>
      <c r="AZ133" s="137">
        <f t="shared" si="19"/>
        <v>1.8488378622E-2</v>
      </c>
      <c r="BA133" s="137">
        <f t="shared" si="19"/>
        <v>29.795628041999997</v>
      </c>
      <c r="BB133" s="137">
        <f t="shared" si="19"/>
        <v>8.8181835599999996</v>
      </c>
      <c r="BC133" s="137">
        <f t="shared" si="19"/>
        <v>6.0318233640000001</v>
      </c>
      <c r="BD133" s="137">
        <f t="shared" si="19"/>
        <v>1.5874665917999999E-2</v>
      </c>
      <c r="BE133" s="137">
        <f t="shared" si="19"/>
        <v>9.041154311999998</v>
      </c>
      <c r="BF133" s="137">
        <f t="shared" si="19"/>
        <v>-8.4477269459999997E-3</v>
      </c>
      <c r="BG133" s="137">
        <f t="shared" si="19"/>
        <v>1.8923094167999998E-5</v>
      </c>
      <c r="BH133" s="137">
        <f t="shared" si="19"/>
        <v>0.15911440607999999</v>
      </c>
      <c r="BI133" s="137">
        <f t="shared" si="19"/>
        <v>0.34302269525999995</v>
      </c>
      <c r="BJ133" s="137">
        <f t="shared" si="18"/>
        <v>0.32726377284000002</v>
      </c>
      <c r="BK133" s="137">
        <f t="shared" si="18"/>
        <v>1.980607383E-2</v>
      </c>
      <c r="BL133" s="137">
        <f t="shared" si="18"/>
        <v>3.3691809672000002</v>
      </c>
      <c r="BM133" s="137">
        <f t="shared" si="18"/>
        <v>0.36060486809999998</v>
      </c>
    </row>
    <row r="134" spans="1:65" x14ac:dyDescent="0.25">
      <c r="A134" s="149">
        <v>201</v>
      </c>
      <c r="B134" s="149">
        <v>29</v>
      </c>
      <c r="C134" s="61">
        <v>44.564565999999999</v>
      </c>
      <c r="D134" s="61">
        <v>-123.262044</v>
      </c>
      <c r="E134" s="61" t="s">
        <v>265</v>
      </c>
      <c r="F134" s="149">
        <v>90</v>
      </c>
      <c r="G134" s="61" t="s">
        <v>277</v>
      </c>
      <c r="H134" s="61" t="s">
        <v>697</v>
      </c>
      <c r="I134" s="61">
        <v>45.589768999999997</v>
      </c>
      <c r="J134" s="61">
        <v>-122.595094</v>
      </c>
      <c r="K134" s="61">
        <v>197.87946479999999</v>
      </c>
      <c r="L134" s="61">
        <v>153.494</v>
      </c>
      <c r="M134" s="61" t="s">
        <v>617</v>
      </c>
      <c r="N134" s="149">
        <v>28</v>
      </c>
      <c r="O134" s="149">
        <v>29</v>
      </c>
      <c r="P134" s="61" t="s">
        <v>565</v>
      </c>
      <c r="Q134" s="61" t="s">
        <v>559</v>
      </c>
      <c r="R134" s="61">
        <v>47.450249900000003</v>
      </c>
      <c r="S134" s="61">
        <v>-122.30881650000001</v>
      </c>
      <c r="T134" s="61">
        <v>399.30799999999999</v>
      </c>
      <c r="U134" s="61" t="s">
        <v>617</v>
      </c>
      <c r="V134" s="61" t="s">
        <v>617</v>
      </c>
      <c r="W134" s="61"/>
      <c r="Y134" s="137">
        <f>Summary_LCIA!H$32</f>
        <v>0.33979999999999999</v>
      </c>
      <c r="Z134" s="137">
        <f>Summary_LCIA!Q$32</f>
        <v>4.9560504329999997</v>
      </c>
      <c r="AA134" s="137">
        <f>Summary_LCIA!R$32</f>
        <v>5.2655999999999996E-3</v>
      </c>
      <c r="AB134" s="137">
        <f>Summary_LCIA!S$32</f>
        <v>0.33538000000000001</v>
      </c>
      <c r="AC134" s="137">
        <f>Summary_LCIA!T$32</f>
        <v>0.1099</v>
      </c>
      <c r="AD134" s="137">
        <f>Summary_LCIA!U$32</f>
        <v>1.7913999999999999E-2</v>
      </c>
      <c r="AE134" s="137">
        <f>Summary_LCIA!V$32</f>
        <v>4.7760999999999999E-5</v>
      </c>
      <c r="AF134" s="137">
        <f>Summary_LCIA!W$32</f>
        <v>7.6970999999999998E-2</v>
      </c>
      <c r="AG134" s="137">
        <f>Summary_LCIA!X$32</f>
        <v>2.2780000000000002E-2</v>
      </c>
      <c r="AH134" s="137">
        <f>Summary_LCIA!Y$32</f>
        <v>1.5582E-2</v>
      </c>
      <c r="AI134" s="137">
        <f>Summary_LCIA!Z$32</f>
        <v>4.1009E-5</v>
      </c>
      <c r="AJ134" s="137">
        <f>Summary_LCIA!AA$32</f>
        <v>2.3355999999999998E-2</v>
      </c>
      <c r="AK134" s="137">
        <f>Summary_LCIA!AB$32</f>
        <v>-2.1823000000000001E-5</v>
      </c>
      <c r="AL134" s="137">
        <f>Summary_LCIA!AC$32</f>
        <v>4.8884000000000003E-8</v>
      </c>
      <c r="AM134" s="137">
        <f>Summary_LCIA!AD$32</f>
        <v>4.1103999999999999E-4</v>
      </c>
      <c r="AN134" s="137">
        <f>Summary_LCIA!AE$32</f>
        <v>8.8612999999999995E-4</v>
      </c>
      <c r="AO134" s="137">
        <f>Summary_LCIA!AF$32</f>
        <v>8.4542000000000005E-4</v>
      </c>
      <c r="AP134" s="137">
        <f>Summary_LCIA!AG$32</f>
        <v>5.1165000000000002E-5</v>
      </c>
      <c r="AQ134" s="137">
        <f>Summary_LCIA!AH$32</f>
        <v>8.7036000000000006E-3</v>
      </c>
      <c r="AR134" s="137">
        <f>Summary_LCIA!AI$32</f>
        <v>9.3154999999999996E-4</v>
      </c>
      <c r="AT134" s="137">
        <f t="shared" si="19"/>
        <v>135.6848584</v>
      </c>
      <c r="AU134" s="137">
        <f t="shared" si="19"/>
        <v>1978.9905863003639</v>
      </c>
      <c r="AV134" s="137">
        <f t="shared" si="19"/>
        <v>2.1025962047999998</v>
      </c>
      <c r="AW134" s="137">
        <f t="shared" si="19"/>
        <v>133.91991704</v>
      </c>
      <c r="AX134" s="137">
        <f t="shared" si="19"/>
        <v>43.883949199999996</v>
      </c>
      <c r="AY134" s="137">
        <f t="shared" si="19"/>
        <v>7.1532035119999993</v>
      </c>
      <c r="AZ134" s="137">
        <f t="shared" si="19"/>
        <v>1.9071349387999998E-2</v>
      </c>
      <c r="BA134" s="137">
        <f t="shared" si="19"/>
        <v>30.735136067999999</v>
      </c>
      <c r="BB134" s="137">
        <f t="shared" si="19"/>
        <v>9.0962362399999996</v>
      </c>
      <c r="BC134" s="137">
        <f t="shared" si="19"/>
        <v>6.222017256</v>
      </c>
      <c r="BD134" s="137">
        <f t="shared" si="19"/>
        <v>1.6375221772000001E-2</v>
      </c>
      <c r="BE134" s="137">
        <f t="shared" si="19"/>
        <v>9.3262376479999993</v>
      </c>
      <c r="BF134" s="137">
        <f t="shared" si="19"/>
        <v>-8.7140984839999998E-3</v>
      </c>
      <c r="BG134" s="137">
        <f t="shared" si="19"/>
        <v>1.9519772272000002E-5</v>
      </c>
      <c r="BH134" s="137">
        <f t="shared" si="19"/>
        <v>0.16413156032000001</v>
      </c>
      <c r="BI134" s="137">
        <f t="shared" si="19"/>
        <v>0.35383879803999996</v>
      </c>
      <c r="BJ134" s="137">
        <f t="shared" si="18"/>
        <v>0.33758296936000004</v>
      </c>
      <c r="BK134" s="137">
        <f t="shared" si="18"/>
        <v>2.0430593819999999E-2</v>
      </c>
      <c r="BL134" s="137">
        <f t="shared" si="18"/>
        <v>3.4754171088000003</v>
      </c>
      <c r="BM134" s="137">
        <f t="shared" si="18"/>
        <v>0.37197536739999998</v>
      </c>
    </row>
    <row r="135" spans="1:65" x14ac:dyDescent="0.25">
      <c r="A135" s="149">
        <v>202</v>
      </c>
      <c r="B135" s="149">
        <v>29</v>
      </c>
      <c r="C135" s="61">
        <v>44.564565999999999</v>
      </c>
      <c r="D135" s="61">
        <v>-123.262044</v>
      </c>
      <c r="E135" s="61" t="s">
        <v>265</v>
      </c>
      <c r="F135" s="149">
        <v>90</v>
      </c>
      <c r="G135" s="61" t="s">
        <v>277</v>
      </c>
      <c r="H135" s="61" t="s">
        <v>697</v>
      </c>
      <c r="I135" s="61">
        <v>45.589768999999997</v>
      </c>
      <c r="J135" s="61">
        <v>-122.595094</v>
      </c>
      <c r="K135" s="61">
        <v>197.87946479999999</v>
      </c>
      <c r="L135" s="61">
        <v>153.494</v>
      </c>
      <c r="M135" s="61" t="s">
        <v>617</v>
      </c>
      <c r="N135" s="149">
        <v>28</v>
      </c>
      <c r="O135" s="149">
        <v>29</v>
      </c>
      <c r="P135" s="61" t="s">
        <v>565</v>
      </c>
      <c r="Q135" s="61" t="s">
        <v>559</v>
      </c>
      <c r="R135" s="61">
        <v>47.450249900000003</v>
      </c>
      <c r="S135" s="61">
        <v>-122.30881650000001</v>
      </c>
      <c r="T135" s="61">
        <v>399.30799999999999</v>
      </c>
      <c r="U135" s="61" t="s">
        <v>617</v>
      </c>
      <c r="V135" s="61" t="s">
        <v>617</v>
      </c>
      <c r="W135" s="61"/>
      <c r="Y135" s="137">
        <f>Summary_LCIA!H$32</f>
        <v>0.33979999999999999</v>
      </c>
      <c r="Z135" s="137">
        <f>Summary_LCIA!Q$32</f>
        <v>4.9560504329999997</v>
      </c>
      <c r="AA135" s="137">
        <f>Summary_LCIA!R$32</f>
        <v>5.2655999999999996E-3</v>
      </c>
      <c r="AB135" s="137">
        <f>Summary_LCIA!S$32</f>
        <v>0.33538000000000001</v>
      </c>
      <c r="AC135" s="137">
        <f>Summary_LCIA!T$32</f>
        <v>0.1099</v>
      </c>
      <c r="AD135" s="137">
        <f>Summary_LCIA!U$32</f>
        <v>1.7913999999999999E-2</v>
      </c>
      <c r="AE135" s="137">
        <f>Summary_LCIA!V$32</f>
        <v>4.7760999999999999E-5</v>
      </c>
      <c r="AF135" s="137">
        <f>Summary_LCIA!W$32</f>
        <v>7.6970999999999998E-2</v>
      </c>
      <c r="AG135" s="137">
        <f>Summary_LCIA!X$32</f>
        <v>2.2780000000000002E-2</v>
      </c>
      <c r="AH135" s="137">
        <f>Summary_LCIA!Y$32</f>
        <v>1.5582E-2</v>
      </c>
      <c r="AI135" s="137">
        <f>Summary_LCIA!Z$32</f>
        <v>4.1009E-5</v>
      </c>
      <c r="AJ135" s="137">
        <f>Summary_LCIA!AA$32</f>
        <v>2.3355999999999998E-2</v>
      </c>
      <c r="AK135" s="137">
        <f>Summary_LCIA!AB$32</f>
        <v>-2.1823000000000001E-5</v>
      </c>
      <c r="AL135" s="137">
        <f>Summary_LCIA!AC$32</f>
        <v>4.8884000000000003E-8</v>
      </c>
      <c r="AM135" s="137">
        <f>Summary_LCIA!AD$32</f>
        <v>4.1103999999999999E-4</v>
      </c>
      <c r="AN135" s="137">
        <f>Summary_LCIA!AE$32</f>
        <v>8.8612999999999995E-4</v>
      </c>
      <c r="AO135" s="137">
        <f>Summary_LCIA!AF$32</f>
        <v>8.4542000000000005E-4</v>
      </c>
      <c r="AP135" s="137">
        <f>Summary_LCIA!AG$32</f>
        <v>5.1165000000000002E-5</v>
      </c>
      <c r="AQ135" s="137">
        <f>Summary_LCIA!AH$32</f>
        <v>8.7036000000000006E-3</v>
      </c>
      <c r="AR135" s="137">
        <f>Summary_LCIA!AI$32</f>
        <v>9.3154999999999996E-4</v>
      </c>
      <c r="AT135" s="137">
        <f t="shared" si="19"/>
        <v>135.6848584</v>
      </c>
      <c r="AU135" s="137">
        <f t="shared" si="19"/>
        <v>1978.9905863003639</v>
      </c>
      <c r="AV135" s="137">
        <f t="shared" si="19"/>
        <v>2.1025962047999998</v>
      </c>
      <c r="AW135" s="137">
        <f t="shared" si="19"/>
        <v>133.91991704</v>
      </c>
      <c r="AX135" s="137">
        <f t="shared" si="19"/>
        <v>43.883949199999996</v>
      </c>
      <c r="AY135" s="137">
        <f t="shared" si="19"/>
        <v>7.1532035119999993</v>
      </c>
      <c r="AZ135" s="137">
        <f t="shared" si="19"/>
        <v>1.9071349387999998E-2</v>
      </c>
      <c r="BA135" s="137">
        <f t="shared" si="19"/>
        <v>30.735136067999999</v>
      </c>
      <c r="BB135" s="137">
        <f t="shared" si="19"/>
        <v>9.0962362399999996</v>
      </c>
      <c r="BC135" s="137">
        <f t="shared" si="19"/>
        <v>6.222017256</v>
      </c>
      <c r="BD135" s="137">
        <f t="shared" si="19"/>
        <v>1.6375221772000001E-2</v>
      </c>
      <c r="BE135" s="137">
        <f t="shared" si="19"/>
        <v>9.3262376479999993</v>
      </c>
      <c r="BF135" s="137">
        <f t="shared" si="19"/>
        <v>-8.7140984839999998E-3</v>
      </c>
      <c r="BG135" s="137">
        <f t="shared" si="19"/>
        <v>1.9519772272000002E-5</v>
      </c>
      <c r="BH135" s="137">
        <f t="shared" si="19"/>
        <v>0.16413156032000001</v>
      </c>
      <c r="BI135" s="137">
        <f t="shared" si="19"/>
        <v>0.35383879803999996</v>
      </c>
      <c r="BJ135" s="137">
        <f t="shared" si="18"/>
        <v>0.33758296936000004</v>
      </c>
      <c r="BK135" s="137">
        <f t="shared" si="18"/>
        <v>2.0430593819999999E-2</v>
      </c>
      <c r="BL135" s="137">
        <f t="shared" si="18"/>
        <v>3.4754171088000003</v>
      </c>
      <c r="BM135" s="137">
        <f t="shared" si="18"/>
        <v>0.37197536739999998</v>
      </c>
    </row>
    <row r="136" spans="1:65" x14ac:dyDescent="0.25">
      <c r="A136" s="149">
        <v>199</v>
      </c>
      <c r="B136" s="149">
        <v>29</v>
      </c>
      <c r="C136" s="61">
        <v>44.564272000000003</v>
      </c>
      <c r="D136" s="61">
        <v>-123.278594</v>
      </c>
      <c r="E136" s="61" t="s">
        <v>265</v>
      </c>
      <c r="F136" s="149">
        <v>90</v>
      </c>
      <c r="G136" s="61" t="s">
        <v>277</v>
      </c>
      <c r="H136" s="61" t="s">
        <v>697</v>
      </c>
      <c r="I136" s="61">
        <v>45.589768999999997</v>
      </c>
      <c r="J136" s="61">
        <v>-122.595094</v>
      </c>
      <c r="K136" s="61">
        <v>197.4951184</v>
      </c>
      <c r="L136" s="61">
        <v>155.84200000000001</v>
      </c>
      <c r="M136" s="61" t="s">
        <v>617</v>
      </c>
      <c r="N136" s="149">
        <v>28</v>
      </c>
      <c r="O136" s="149">
        <v>29</v>
      </c>
      <c r="P136" s="61" t="s">
        <v>565</v>
      </c>
      <c r="Q136" s="61" t="s">
        <v>559</v>
      </c>
      <c r="R136" s="61">
        <v>47.450249900000003</v>
      </c>
      <c r="S136" s="61">
        <v>-122.30881650000001</v>
      </c>
      <c r="T136" s="61">
        <v>401.65699999999998</v>
      </c>
      <c r="U136" s="61" t="s">
        <v>617</v>
      </c>
      <c r="V136" s="61" t="s">
        <v>617</v>
      </c>
      <c r="W136" s="61"/>
      <c r="Y136" s="137">
        <f>Summary_LCIA!H$32</f>
        <v>0.33979999999999999</v>
      </c>
      <c r="Z136" s="137">
        <f>Summary_LCIA!Q$32</f>
        <v>4.9560504329999997</v>
      </c>
      <c r="AA136" s="137">
        <f>Summary_LCIA!R$32</f>
        <v>5.2655999999999996E-3</v>
      </c>
      <c r="AB136" s="137">
        <f>Summary_LCIA!S$32</f>
        <v>0.33538000000000001</v>
      </c>
      <c r="AC136" s="137">
        <f>Summary_LCIA!T$32</f>
        <v>0.1099</v>
      </c>
      <c r="AD136" s="137">
        <f>Summary_LCIA!U$32</f>
        <v>1.7913999999999999E-2</v>
      </c>
      <c r="AE136" s="137">
        <f>Summary_LCIA!V$32</f>
        <v>4.7760999999999999E-5</v>
      </c>
      <c r="AF136" s="137">
        <f>Summary_LCIA!W$32</f>
        <v>7.6970999999999998E-2</v>
      </c>
      <c r="AG136" s="137">
        <f>Summary_LCIA!X$32</f>
        <v>2.2780000000000002E-2</v>
      </c>
      <c r="AH136" s="137">
        <f>Summary_LCIA!Y$32</f>
        <v>1.5582E-2</v>
      </c>
      <c r="AI136" s="137">
        <f>Summary_LCIA!Z$32</f>
        <v>4.1009E-5</v>
      </c>
      <c r="AJ136" s="137">
        <f>Summary_LCIA!AA$32</f>
        <v>2.3355999999999998E-2</v>
      </c>
      <c r="AK136" s="137">
        <f>Summary_LCIA!AB$32</f>
        <v>-2.1823000000000001E-5</v>
      </c>
      <c r="AL136" s="137">
        <f>Summary_LCIA!AC$32</f>
        <v>4.8884000000000003E-8</v>
      </c>
      <c r="AM136" s="137">
        <f>Summary_LCIA!AD$32</f>
        <v>4.1103999999999999E-4</v>
      </c>
      <c r="AN136" s="137">
        <f>Summary_LCIA!AE$32</f>
        <v>8.8612999999999995E-4</v>
      </c>
      <c r="AO136" s="137">
        <f>Summary_LCIA!AF$32</f>
        <v>8.4542000000000005E-4</v>
      </c>
      <c r="AP136" s="137">
        <f>Summary_LCIA!AG$32</f>
        <v>5.1165000000000002E-5</v>
      </c>
      <c r="AQ136" s="137">
        <f>Summary_LCIA!AH$32</f>
        <v>8.7036000000000006E-3</v>
      </c>
      <c r="AR136" s="137">
        <f>Summary_LCIA!AI$32</f>
        <v>9.3154999999999996E-4</v>
      </c>
      <c r="AT136" s="137">
        <f t="shared" si="19"/>
        <v>136.48304859999999</v>
      </c>
      <c r="AU136" s="137">
        <f t="shared" si="19"/>
        <v>1990.6323487674808</v>
      </c>
      <c r="AV136" s="137">
        <f t="shared" si="19"/>
        <v>2.1149650992</v>
      </c>
      <c r="AW136" s="137">
        <f t="shared" si="19"/>
        <v>134.70772466</v>
      </c>
      <c r="AX136" s="137">
        <f t="shared" si="19"/>
        <v>44.1421043</v>
      </c>
      <c r="AY136" s="137">
        <f t="shared" si="19"/>
        <v>7.1952834979999993</v>
      </c>
      <c r="AZ136" s="137">
        <f t="shared" si="19"/>
        <v>1.9183539976999998E-2</v>
      </c>
      <c r="BA136" s="137">
        <f t="shared" si="19"/>
        <v>30.915940946999999</v>
      </c>
      <c r="BB136" s="137">
        <f t="shared" si="19"/>
        <v>9.1497464600000011</v>
      </c>
      <c r="BC136" s="137">
        <f t="shared" si="19"/>
        <v>6.2586193740000002</v>
      </c>
      <c r="BD136" s="137">
        <f t="shared" si="19"/>
        <v>1.6471551912999999E-2</v>
      </c>
      <c r="BE136" s="137">
        <f t="shared" si="19"/>
        <v>9.3811008919999992</v>
      </c>
      <c r="BF136" s="137">
        <f t="shared" si="19"/>
        <v>-8.765360711E-3</v>
      </c>
      <c r="BG136" s="137">
        <f t="shared" si="19"/>
        <v>1.9634600787999999E-5</v>
      </c>
      <c r="BH136" s="137">
        <f t="shared" si="19"/>
        <v>0.16509709328</v>
      </c>
      <c r="BI136" s="137">
        <f t="shared" si="19"/>
        <v>0.35592031740999996</v>
      </c>
      <c r="BJ136" s="137">
        <f t="shared" si="18"/>
        <v>0.33956886093999999</v>
      </c>
      <c r="BK136" s="137">
        <f t="shared" si="18"/>
        <v>2.0550780405E-2</v>
      </c>
      <c r="BL136" s="137">
        <f t="shared" si="18"/>
        <v>3.4958618652000002</v>
      </c>
      <c r="BM136" s="137">
        <f t="shared" si="18"/>
        <v>0.37416357834999997</v>
      </c>
    </row>
    <row r="137" spans="1:65" x14ac:dyDescent="0.25">
      <c r="A137" s="149">
        <v>200</v>
      </c>
      <c r="B137" s="149">
        <v>29</v>
      </c>
      <c r="C137" s="61">
        <v>44.564272000000003</v>
      </c>
      <c r="D137" s="61">
        <v>-123.278594</v>
      </c>
      <c r="E137" s="61" t="s">
        <v>265</v>
      </c>
      <c r="F137" s="149">
        <v>90</v>
      </c>
      <c r="G137" s="61" t="s">
        <v>277</v>
      </c>
      <c r="H137" s="61" t="s">
        <v>697</v>
      </c>
      <c r="I137" s="61">
        <v>45.589768999999997</v>
      </c>
      <c r="J137" s="61">
        <v>-122.595094</v>
      </c>
      <c r="K137" s="61">
        <v>197.4951184</v>
      </c>
      <c r="L137" s="61">
        <v>155.84200000000001</v>
      </c>
      <c r="M137" s="61" t="s">
        <v>617</v>
      </c>
      <c r="N137" s="149">
        <v>28</v>
      </c>
      <c r="O137" s="149">
        <v>29</v>
      </c>
      <c r="P137" s="61" t="s">
        <v>565</v>
      </c>
      <c r="Q137" s="61" t="s">
        <v>559</v>
      </c>
      <c r="R137" s="61">
        <v>47.450249900000003</v>
      </c>
      <c r="S137" s="61">
        <v>-122.30881650000001</v>
      </c>
      <c r="T137" s="61">
        <v>401.65699999999998</v>
      </c>
      <c r="U137" s="61" t="s">
        <v>617</v>
      </c>
      <c r="V137" s="61" t="s">
        <v>617</v>
      </c>
      <c r="W137" s="61"/>
      <c r="Y137" s="137">
        <f>Summary_LCIA!H$32</f>
        <v>0.33979999999999999</v>
      </c>
      <c r="Z137" s="137">
        <f>Summary_LCIA!Q$32</f>
        <v>4.9560504329999997</v>
      </c>
      <c r="AA137" s="137">
        <f>Summary_LCIA!R$32</f>
        <v>5.2655999999999996E-3</v>
      </c>
      <c r="AB137" s="137">
        <f>Summary_LCIA!S$32</f>
        <v>0.33538000000000001</v>
      </c>
      <c r="AC137" s="137">
        <f>Summary_LCIA!T$32</f>
        <v>0.1099</v>
      </c>
      <c r="AD137" s="137">
        <f>Summary_LCIA!U$32</f>
        <v>1.7913999999999999E-2</v>
      </c>
      <c r="AE137" s="137">
        <f>Summary_LCIA!V$32</f>
        <v>4.7760999999999999E-5</v>
      </c>
      <c r="AF137" s="137">
        <f>Summary_LCIA!W$32</f>
        <v>7.6970999999999998E-2</v>
      </c>
      <c r="AG137" s="137">
        <f>Summary_LCIA!X$32</f>
        <v>2.2780000000000002E-2</v>
      </c>
      <c r="AH137" s="137">
        <f>Summary_LCIA!Y$32</f>
        <v>1.5582E-2</v>
      </c>
      <c r="AI137" s="137">
        <f>Summary_LCIA!Z$32</f>
        <v>4.1009E-5</v>
      </c>
      <c r="AJ137" s="137">
        <f>Summary_LCIA!AA$32</f>
        <v>2.3355999999999998E-2</v>
      </c>
      <c r="AK137" s="137">
        <f>Summary_LCIA!AB$32</f>
        <v>-2.1823000000000001E-5</v>
      </c>
      <c r="AL137" s="137">
        <f>Summary_LCIA!AC$32</f>
        <v>4.8884000000000003E-8</v>
      </c>
      <c r="AM137" s="137">
        <f>Summary_LCIA!AD$32</f>
        <v>4.1103999999999999E-4</v>
      </c>
      <c r="AN137" s="137">
        <f>Summary_LCIA!AE$32</f>
        <v>8.8612999999999995E-4</v>
      </c>
      <c r="AO137" s="137">
        <f>Summary_LCIA!AF$32</f>
        <v>8.4542000000000005E-4</v>
      </c>
      <c r="AP137" s="137">
        <f>Summary_LCIA!AG$32</f>
        <v>5.1165000000000002E-5</v>
      </c>
      <c r="AQ137" s="137">
        <f>Summary_LCIA!AH$32</f>
        <v>8.7036000000000006E-3</v>
      </c>
      <c r="AR137" s="137">
        <f>Summary_LCIA!AI$32</f>
        <v>9.3154999999999996E-4</v>
      </c>
      <c r="AT137" s="137">
        <f t="shared" si="19"/>
        <v>136.48304859999999</v>
      </c>
      <c r="AU137" s="137">
        <f t="shared" si="19"/>
        <v>1990.6323487674808</v>
      </c>
      <c r="AV137" s="137">
        <f t="shared" si="19"/>
        <v>2.1149650992</v>
      </c>
      <c r="AW137" s="137">
        <f t="shared" si="19"/>
        <v>134.70772466</v>
      </c>
      <c r="AX137" s="137">
        <f t="shared" si="19"/>
        <v>44.1421043</v>
      </c>
      <c r="AY137" s="137">
        <f t="shared" si="19"/>
        <v>7.1952834979999993</v>
      </c>
      <c r="AZ137" s="137">
        <f t="shared" si="19"/>
        <v>1.9183539976999998E-2</v>
      </c>
      <c r="BA137" s="137">
        <f t="shared" si="19"/>
        <v>30.915940946999999</v>
      </c>
      <c r="BB137" s="137">
        <f t="shared" si="19"/>
        <v>9.1497464600000011</v>
      </c>
      <c r="BC137" s="137">
        <f t="shared" si="19"/>
        <v>6.2586193740000002</v>
      </c>
      <c r="BD137" s="137">
        <f t="shared" si="19"/>
        <v>1.6471551912999999E-2</v>
      </c>
      <c r="BE137" s="137">
        <f t="shared" si="19"/>
        <v>9.3811008919999992</v>
      </c>
      <c r="BF137" s="137">
        <f t="shared" si="19"/>
        <v>-8.765360711E-3</v>
      </c>
      <c r="BG137" s="137">
        <f t="shared" si="19"/>
        <v>1.9634600787999999E-5</v>
      </c>
      <c r="BH137" s="137">
        <f t="shared" si="19"/>
        <v>0.16509709328</v>
      </c>
      <c r="BI137" s="137">
        <f t="shared" si="19"/>
        <v>0.35592031740999996</v>
      </c>
      <c r="BJ137" s="137">
        <f t="shared" si="18"/>
        <v>0.33956886093999999</v>
      </c>
      <c r="BK137" s="137">
        <f t="shared" si="18"/>
        <v>2.0550780405E-2</v>
      </c>
      <c r="BL137" s="137">
        <f t="shared" si="18"/>
        <v>3.4958618652000002</v>
      </c>
      <c r="BM137" s="137">
        <f t="shared" si="18"/>
        <v>0.37416357834999997</v>
      </c>
    </row>
    <row r="138" spans="1:65" x14ac:dyDescent="0.25">
      <c r="A138" s="149">
        <v>52</v>
      </c>
      <c r="B138" s="149">
        <v>43</v>
      </c>
      <c r="C138" s="61">
        <v>39.109959000000003</v>
      </c>
      <c r="D138" s="61">
        <v>-77.556522999999999</v>
      </c>
      <c r="E138" s="61" t="s">
        <v>265</v>
      </c>
      <c r="F138" s="149">
        <v>85</v>
      </c>
      <c r="G138" s="61" t="s">
        <v>630</v>
      </c>
      <c r="H138" s="61" t="s">
        <v>631</v>
      </c>
      <c r="I138" s="61">
        <v>38.953116000000001</v>
      </c>
      <c r="J138" s="61">
        <v>-77.456539000000006</v>
      </c>
      <c r="K138" s="61">
        <v>25.36634257</v>
      </c>
      <c r="L138" s="61">
        <v>25.824000000000002</v>
      </c>
      <c r="M138" s="61" t="s">
        <v>617</v>
      </c>
      <c r="N138" s="149">
        <v>42</v>
      </c>
      <c r="O138" s="149">
        <v>43</v>
      </c>
      <c r="P138" s="61" t="s">
        <v>565</v>
      </c>
      <c r="Q138" s="61" t="s">
        <v>555</v>
      </c>
      <c r="R138" s="61">
        <v>40.6895314</v>
      </c>
      <c r="S138" s="61">
        <v>-74.174462399999996</v>
      </c>
      <c r="T138" s="61">
        <v>404.02199999999999</v>
      </c>
      <c r="U138" s="61" t="s">
        <v>617</v>
      </c>
      <c r="V138" s="61" t="s">
        <v>617</v>
      </c>
      <c r="W138" s="61"/>
      <c r="Y138" s="137">
        <f>Summary_LCIA!H$32</f>
        <v>0.33979999999999999</v>
      </c>
      <c r="Z138" s="137">
        <f>Summary_LCIA!Q$32</f>
        <v>4.9560504329999997</v>
      </c>
      <c r="AA138" s="137">
        <f>Summary_LCIA!R$32</f>
        <v>5.2655999999999996E-3</v>
      </c>
      <c r="AB138" s="137">
        <f>Summary_LCIA!S$32</f>
        <v>0.33538000000000001</v>
      </c>
      <c r="AC138" s="137">
        <f>Summary_LCIA!T$32</f>
        <v>0.1099</v>
      </c>
      <c r="AD138" s="137">
        <f>Summary_LCIA!U$32</f>
        <v>1.7913999999999999E-2</v>
      </c>
      <c r="AE138" s="137">
        <f>Summary_LCIA!V$32</f>
        <v>4.7760999999999999E-5</v>
      </c>
      <c r="AF138" s="137">
        <f>Summary_LCIA!W$32</f>
        <v>7.6970999999999998E-2</v>
      </c>
      <c r="AG138" s="137">
        <f>Summary_LCIA!X$32</f>
        <v>2.2780000000000002E-2</v>
      </c>
      <c r="AH138" s="137">
        <f>Summary_LCIA!Y$32</f>
        <v>1.5582E-2</v>
      </c>
      <c r="AI138" s="137">
        <f>Summary_LCIA!Z$32</f>
        <v>4.1009E-5</v>
      </c>
      <c r="AJ138" s="137">
        <f>Summary_LCIA!AA$32</f>
        <v>2.3355999999999998E-2</v>
      </c>
      <c r="AK138" s="137">
        <f>Summary_LCIA!AB$32</f>
        <v>-2.1823000000000001E-5</v>
      </c>
      <c r="AL138" s="137">
        <f>Summary_LCIA!AC$32</f>
        <v>4.8884000000000003E-8</v>
      </c>
      <c r="AM138" s="137">
        <f>Summary_LCIA!AD$32</f>
        <v>4.1103999999999999E-4</v>
      </c>
      <c r="AN138" s="137">
        <f>Summary_LCIA!AE$32</f>
        <v>8.8612999999999995E-4</v>
      </c>
      <c r="AO138" s="137">
        <f>Summary_LCIA!AF$32</f>
        <v>8.4542000000000005E-4</v>
      </c>
      <c r="AP138" s="137">
        <f>Summary_LCIA!AG$32</f>
        <v>5.1165000000000002E-5</v>
      </c>
      <c r="AQ138" s="137">
        <f>Summary_LCIA!AH$32</f>
        <v>8.7036000000000006E-3</v>
      </c>
      <c r="AR138" s="137">
        <f>Summary_LCIA!AI$32</f>
        <v>9.3154999999999996E-4</v>
      </c>
      <c r="AT138" s="137">
        <f t="shared" si="19"/>
        <v>137.2866756</v>
      </c>
      <c r="AU138" s="137">
        <f t="shared" si="19"/>
        <v>2002.3534080415259</v>
      </c>
      <c r="AV138" s="137">
        <f t="shared" si="19"/>
        <v>2.1274182431999997</v>
      </c>
      <c r="AW138" s="137">
        <f t="shared" si="19"/>
        <v>135.50089836000001</v>
      </c>
      <c r="AX138" s="137">
        <f t="shared" si="19"/>
        <v>44.402017799999996</v>
      </c>
      <c r="AY138" s="137">
        <f t="shared" si="19"/>
        <v>7.2376501079999995</v>
      </c>
      <c r="AZ138" s="137">
        <f t="shared" si="19"/>
        <v>1.9296494742E-2</v>
      </c>
      <c r="BA138" s="137">
        <f t="shared" si="19"/>
        <v>31.097977361999998</v>
      </c>
      <c r="BB138" s="137">
        <f t="shared" si="19"/>
        <v>9.2036211600000009</v>
      </c>
      <c r="BC138" s="137">
        <f t="shared" si="19"/>
        <v>6.2954708039999998</v>
      </c>
      <c r="BD138" s="137">
        <f t="shared" si="19"/>
        <v>1.6568538197999999E-2</v>
      </c>
      <c r="BE138" s="137">
        <f t="shared" si="19"/>
        <v>9.4363378319999995</v>
      </c>
      <c r="BF138" s="137">
        <f t="shared" si="19"/>
        <v>-8.8169721059999998E-3</v>
      </c>
      <c r="BG138" s="137">
        <f t="shared" si="19"/>
        <v>1.9750211448000001E-5</v>
      </c>
      <c r="BH138" s="137">
        <f t="shared" si="19"/>
        <v>0.16606920287999999</v>
      </c>
      <c r="BI138" s="137">
        <f t="shared" si="19"/>
        <v>0.35801601485999995</v>
      </c>
      <c r="BJ138" s="137">
        <f t="shared" si="18"/>
        <v>0.34156827923999999</v>
      </c>
      <c r="BK138" s="137">
        <f t="shared" si="18"/>
        <v>2.0671785630000002E-2</v>
      </c>
      <c r="BL138" s="137">
        <f t="shared" si="18"/>
        <v>3.5164458792</v>
      </c>
      <c r="BM138" s="137">
        <f t="shared" si="18"/>
        <v>0.37636669409999995</v>
      </c>
    </row>
    <row r="139" spans="1:65" x14ac:dyDescent="0.25">
      <c r="A139" s="149">
        <v>131</v>
      </c>
      <c r="B139" s="149">
        <v>6</v>
      </c>
      <c r="C139" s="61">
        <v>42.280825999999998</v>
      </c>
      <c r="D139" s="61">
        <v>-83.743037999999999</v>
      </c>
      <c r="E139" s="61" t="s">
        <v>265</v>
      </c>
      <c r="F139" s="149">
        <v>78</v>
      </c>
      <c r="G139" s="61" t="s">
        <v>615</v>
      </c>
      <c r="H139" s="61" t="s">
        <v>616</v>
      </c>
      <c r="I139" s="61">
        <v>42.216248999999998</v>
      </c>
      <c r="J139" s="61">
        <v>-83.355363999999994</v>
      </c>
      <c r="K139" s="61">
        <v>33.220362780000002</v>
      </c>
      <c r="L139" s="61">
        <v>42.878</v>
      </c>
      <c r="M139" s="61" t="s">
        <v>617</v>
      </c>
      <c r="N139" s="149">
        <v>5</v>
      </c>
      <c r="O139" s="149">
        <v>6</v>
      </c>
      <c r="P139" s="61" t="s">
        <v>565</v>
      </c>
      <c r="Q139" s="61" t="s">
        <v>564</v>
      </c>
      <c r="R139" s="61">
        <v>41.98028</v>
      </c>
      <c r="S139" s="61">
        <v>-87.908997900000003</v>
      </c>
      <c r="T139" s="61">
        <v>414.488</v>
      </c>
      <c r="U139" s="61" t="s">
        <v>617</v>
      </c>
      <c r="V139" s="61" t="s">
        <v>617</v>
      </c>
      <c r="W139" s="61"/>
      <c r="Y139" s="137">
        <f>Summary_LCIA!H$32</f>
        <v>0.33979999999999999</v>
      </c>
      <c r="Z139" s="137">
        <f>Summary_LCIA!Q$32</f>
        <v>4.9560504329999997</v>
      </c>
      <c r="AA139" s="137">
        <f>Summary_LCIA!R$32</f>
        <v>5.2655999999999996E-3</v>
      </c>
      <c r="AB139" s="137">
        <f>Summary_LCIA!S$32</f>
        <v>0.33538000000000001</v>
      </c>
      <c r="AC139" s="137">
        <f>Summary_LCIA!T$32</f>
        <v>0.1099</v>
      </c>
      <c r="AD139" s="137">
        <f>Summary_LCIA!U$32</f>
        <v>1.7913999999999999E-2</v>
      </c>
      <c r="AE139" s="137">
        <f>Summary_LCIA!V$32</f>
        <v>4.7760999999999999E-5</v>
      </c>
      <c r="AF139" s="137">
        <f>Summary_LCIA!W$32</f>
        <v>7.6970999999999998E-2</v>
      </c>
      <c r="AG139" s="137">
        <f>Summary_LCIA!X$32</f>
        <v>2.2780000000000002E-2</v>
      </c>
      <c r="AH139" s="137">
        <f>Summary_LCIA!Y$32</f>
        <v>1.5582E-2</v>
      </c>
      <c r="AI139" s="137">
        <f>Summary_LCIA!Z$32</f>
        <v>4.1009E-5</v>
      </c>
      <c r="AJ139" s="137">
        <f>Summary_LCIA!AA$32</f>
        <v>2.3355999999999998E-2</v>
      </c>
      <c r="AK139" s="137">
        <f>Summary_LCIA!AB$32</f>
        <v>-2.1823000000000001E-5</v>
      </c>
      <c r="AL139" s="137">
        <f>Summary_LCIA!AC$32</f>
        <v>4.8884000000000003E-8</v>
      </c>
      <c r="AM139" s="137">
        <f>Summary_LCIA!AD$32</f>
        <v>4.1103999999999999E-4</v>
      </c>
      <c r="AN139" s="137">
        <f>Summary_LCIA!AE$32</f>
        <v>8.8612999999999995E-4</v>
      </c>
      <c r="AO139" s="137">
        <f>Summary_LCIA!AF$32</f>
        <v>8.4542000000000005E-4</v>
      </c>
      <c r="AP139" s="137">
        <f>Summary_LCIA!AG$32</f>
        <v>5.1165000000000002E-5</v>
      </c>
      <c r="AQ139" s="137">
        <f>Summary_LCIA!AH$32</f>
        <v>8.7036000000000006E-3</v>
      </c>
      <c r="AR139" s="137">
        <f>Summary_LCIA!AI$32</f>
        <v>9.3154999999999996E-4</v>
      </c>
      <c r="AT139" s="137">
        <f t="shared" si="19"/>
        <v>140.8430224</v>
      </c>
      <c r="AU139" s="137">
        <f t="shared" si="19"/>
        <v>2054.223431873304</v>
      </c>
      <c r="AV139" s="137">
        <f t="shared" si="19"/>
        <v>2.1825280127999998</v>
      </c>
      <c r="AW139" s="137">
        <f t="shared" si="19"/>
        <v>139.01098544000001</v>
      </c>
      <c r="AX139" s="137">
        <f t="shared" si="19"/>
        <v>45.552231200000001</v>
      </c>
      <c r="AY139" s="137">
        <f t="shared" si="19"/>
        <v>7.4251380319999996</v>
      </c>
      <c r="AZ139" s="137">
        <f t="shared" si="19"/>
        <v>1.9796361368E-2</v>
      </c>
      <c r="BA139" s="137">
        <f t="shared" si="19"/>
        <v>31.903555848</v>
      </c>
      <c r="BB139" s="137">
        <f t="shared" si="19"/>
        <v>9.4420366400000013</v>
      </c>
      <c r="BC139" s="137">
        <f t="shared" si="19"/>
        <v>6.4585520160000005</v>
      </c>
      <c r="BD139" s="137">
        <f t="shared" si="19"/>
        <v>1.6997738392E-2</v>
      </c>
      <c r="BE139" s="137">
        <f t="shared" si="19"/>
        <v>9.6807817279999995</v>
      </c>
      <c r="BF139" s="137">
        <f t="shared" si="19"/>
        <v>-9.0453716240000009E-3</v>
      </c>
      <c r="BG139" s="137">
        <f t="shared" si="19"/>
        <v>2.0261831392000002E-5</v>
      </c>
      <c r="BH139" s="137">
        <f t="shared" si="19"/>
        <v>0.17037114751999999</v>
      </c>
      <c r="BI139" s="137">
        <f t="shared" si="19"/>
        <v>0.36729025143999999</v>
      </c>
      <c r="BJ139" s="137">
        <f t="shared" si="18"/>
        <v>0.35041644496000002</v>
      </c>
      <c r="BK139" s="137">
        <f t="shared" si="18"/>
        <v>2.1207278520000001E-2</v>
      </c>
      <c r="BL139" s="137">
        <f t="shared" si="18"/>
        <v>3.6075377568000002</v>
      </c>
      <c r="BM139" s="137">
        <f t="shared" si="18"/>
        <v>0.3861162964</v>
      </c>
    </row>
    <row r="140" spans="1:65" x14ac:dyDescent="0.25">
      <c r="A140" s="149">
        <v>98</v>
      </c>
      <c r="B140" s="149">
        <v>6</v>
      </c>
      <c r="C140" s="61">
        <v>42.276254000000002</v>
      </c>
      <c r="D140" s="61">
        <v>-83.741243999999995</v>
      </c>
      <c r="E140" s="61" t="s">
        <v>265</v>
      </c>
      <c r="F140" s="149">
        <v>78</v>
      </c>
      <c r="G140" s="61" t="s">
        <v>615</v>
      </c>
      <c r="H140" s="61" t="s">
        <v>616</v>
      </c>
      <c r="I140" s="61">
        <v>42.216248999999998</v>
      </c>
      <c r="J140" s="61">
        <v>-83.355363999999994</v>
      </c>
      <c r="K140" s="61">
        <v>32.887807850000002</v>
      </c>
      <c r="L140" s="61">
        <v>42.174999999999997</v>
      </c>
      <c r="M140" s="61" t="s">
        <v>617</v>
      </c>
      <c r="N140" s="149">
        <v>5</v>
      </c>
      <c r="O140" s="149">
        <v>6</v>
      </c>
      <c r="P140" s="61" t="s">
        <v>565</v>
      </c>
      <c r="Q140" s="61" t="s">
        <v>564</v>
      </c>
      <c r="R140" s="61">
        <v>41.98028</v>
      </c>
      <c r="S140" s="61">
        <v>-87.908997900000003</v>
      </c>
      <c r="T140" s="61">
        <v>415.20499999999998</v>
      </c>
      <c r="U140" s="61" t="s">
        <v>617</v>
      </c>
      <c r="V140" s="61" t="s">
        <v>617</v>
      </c>
      <c r="W140" s="61"/>
      <c r="Y140" s="137">
        <f>Summary_LCIA!H$32</f>
        <v>0.33979999999999999</v>
      </c>
      <c r="Z140" s="137">
        <f>Summary_LCIA!Q$32</f>
        <v>4.9560504329999997</v>
      </c>
      <c r="AA140" s="137">
        <f>Summary_LCIA!R$32</f>
        <v>5.2655999999999996E-3</v>
      </c>
      <c r="AB140" s="137">
        <f>Summary_LCIA!S$32</f>
        <v>0.33538000000000001</v>
      </c>
      <c r="AC140" s="137">
        <f>Summary_LCIA!T$32</f>
        <v>0.1099</v>
      </c>
      <c r="AD140" s="137">
        <f>Summary_LCIA!U$32</f>
        <v>1.7913999999999999E-2</v>
      </c>
      <c r="AE140" s="137">
        <f>Summary_LCIA!V$32</f>
        <v>4.7760999999999999E-5</v>
      </c>
      <c r="AF140" s="137">
        <f>Summary_LCIA!W$32</f>
        <v>7.6970999999999998E-2</v>
      </c>
      <c r="AG140" s="137">
        <f>Summary_LCIA!X$32</f>
        <v>2.2780000000000002E-2</v>
      </c>
      <c r="AH140" s="137">
        <f>Summary_LCIA!Y$32</f>
        <v>1.5582E-2</v>
      </c>
      <c r="AI140" s="137">
        <f>Summary_LCIA!Z$32</f>
        <v>4.1009E-5</v>
      </c>
      <c r="AJ140" s="137">
        <f>Summary_LCIA!AA$32</f>
        <v>2.3355999999999998E-2</v>
      </c>
      <c r="AK140" s="137">
        <f>Summary_LCIA!AB$32</f>
        <v>-2.1823000000000001E-5</v>
      </c>
      <c r="AL140" s="137">
        <f>Summary_LCIA!AC$32</f>
        <v>4.8884000000000003E-8</v>
      </c>
      <c r="AM140" s="137">
        <f>Summary_LCIA!AD$32</f>
        <v>4.1103999999999999E-4</v>
      </c>
      <c r="AN140" s="137">
        <f>Summary_LCIA!AE$32</f>
        <v>8.8612999999999995E-4</v>
      </c>
      <c r="AO140" s="137">
        <f>Summary_LCIA!AF$32</f>
        <v>8.4542000000000005E-4</v>
      </c>
      <c r="AP140" s="137">
        <f>Summary_LCIA!AG$32</f>
        <v>5.1165000000000002E-5</v>
      </c>
      <c r="AQ140" s="137">
        <f>Summary_LCIA!AH$32</f>
        <v>8.7036000000000006E-3</v>
      </c>
      <c r="AR140" s="137">
        <f>Summary_LCIA!AI$32</f>
        <v>9.3154999999999996E-4</v>
      </c>
      <c r="AT140" s="137">
        <f t="shared" si="19"/>
        <v>141.086659</v>
      </c>
      <c r="AU140" s="137">
        <f t="shared" si="19"/>
        <v>2057.7769200337648</v>
      </c>
      <c r="AV140" s="137">
        <f t="shared" si="19"/>
        <v>2.1863034479999999</v>
      </c>
      <c r="AW140" s="137">
        <f t="shared" si="19"/>
        <v>139.2514529</v>
      </c>
      <c r="AX140" s="137">
        <f t="shared" si="19"/>
        <v>45.631029499999997</v>
      </c>
      <c r="AY140" s="137">
        <f t="shared" si="19"/>
        <v>7.4379823699999994</v>
      </c>
      <c r="AZ140" s="137">
        <f t="shared" si="19"/>
        <v>1.9830606004999998E-2</v>
      </c>
      <c r="BA140" s="137">
        <f t="shared" si="19"/>
        <v>31.958744054999997</v>
      </c>
      <c r="BB140" s="137">
        <f t="shared" si="19"/>
        <v>9.458369900000001</v>
      </c>
      <c r="BC140" s="137">
        <f t="shared" si="19"/>
        <v>6.4697243100000001</v>
      </c>
      <c r="BD140" s="137">
        <f t="shared" si="19"/>
        <v>1.7027141845E-2</v>
      </c>
      <c r="BE140" s="137">
        <f t="shared" si="19"/>
        <v>9.6975279799999985</v>
      </c>
      <c r="BF140" s="137">
        <f t="shared" si="19"/>
        <v>-9.0610187150000007E-3</v>
      </c>
      <c r="BG140" s="137">
        <f t="shared" si="19"/>
        <v>2.029688122E-5</v>
      </c>
      <c r="BH140" s="137">
        <f t="shared" si="19"/>
        <v>0.17066586319999999</v>
      </c>
      <c r="BI140" s="137">
        <f t="shared" si="19"/>
        <v>0.36792560664999996</v>
      </c>
      <c r="BJ140" s="137">
        <f t="shared" si="18"/>
        <v>0.35102261109999999</v>
      </c>
      <c r="BK140" s="137">
        <f t="shared" si="18"/>
        <v>2.1243963825E-2</v>
      </c>
      <c r="BL140" s="137">
        <f t="shared" si="18"/>
        <v>3.6137782380000001</v>
      </c>
      <c r="BM140" s="137">
        <f t="shared" si="18"/>
        <v>0.38678421774999999</v>
      </c>
    </row>
    <row r="141" spans="1:65" x14ac:dyDescent="0.25">
      <c r="A141" s="149">
        <v>361</v>
      </c>
      <c r="B141" s="149">
        <v>6</v>
      </c>
      <c r="C141" s="61">
        <v>41.652805000000001</v>
      </c>
      <c r="D141" s="61">
        <v>-83.537867000000006</v>
      </c>
      <c r="E141" s="61" t="s">
        <v>265</v>
      </c>
      <c r="F141" s="149">
        <v>78</v>
      </c>
      <c r="G141" s="61" t="s">
        <v>615</v>
      </c>
      <c r="H141" s="61" t="s">
        <v>616</v>
      </c>
      <c r="I141" s="61">
        <v>42.216248999999998</v>
      </c>
      <c r="J141" s="61">
        <v>-83.355363999999994</v>
      </c>
      <c r="K141" s="61">
        <v>95.399904230000004</v>
      </c>
      <c r="L141" s="61">
        <v>80.596000000000004</v>
      </c>
      <c r="M141" s="61" t="s">
        <v>617</v>
      </c>
      <c r="N141" s="149">
        <v>5</v>
      </c>
      <c r="O141" s="149">
        <v>6</v>
      </c>
      <c r="P141" s="61" t="s">
        <v>565</v>
      </c>
      <c r="Q141" s="61" t="s">
        <v>564</v>
      </c>
      <c r="R141" s="61">
        <v>41.98028</v>
      </c>
      <c r="S141" s="61">
        <v>-87.908997900000003</v>
      </c>
      <c r="T141" s="61">
        <v>419.88900000000001</v>
      </c>
      <c r="U141" s="61" t="s">
        <v>617</v>
      </c>
      <c r="V141" s="61" t="s">
        <v>617</v>
      </c>
      <c r="W141" s="61"/>
      <c r="Y141" s="137">
        <f>Summary_LCIA!H$32</f>
        <v>0.33979999999999999</v>
      </c>
      <c r="Z141" s="137">
        <f>Summary_LCIA!Q$32</f>
        <v>4.9560504329999997</v>
      </c>
      <c r="AA141" s="137">
        <f>Summary_LCIA!R$32</f>
        <v>5.2655999999999996E-3</v>
      </c>
      <c r="AB141" s="137">
        <f>Summary_LCIA!S$32</f>
        <v>0.33538000000000001</v>
      </c>
      <c r="AC141" s="137">
        <f>Summary_LCIA!T$32</f>
        <v>0.1099</v>
      </c>
      <c r="AD141" s="137">
        <f>Summary_LCIA!U$32</f>
        <v>1.7913999999999999E-2</v>
      </c>
      <c r="AE141" s="137">
        <f>Summary_LCIA!V$32</f>
        <v>4.7760999999999999E-5</v>
      </c>
      <c r="AF141" s="137">
        <f>Summary_LCIA!W$32</f>
        <v>7.6970999999999998E-2</v>
      </c>
      <c r="AG141" s="137">
        <f>Summary_LCIA!X$32</f>
        <v>2.2780000000000002E-2</v>
      </c>
      <c r="AH141" s="137">
        <f>Summary_LCIA!Y$32</f>
        <v>1.5582E-2</v>
      </c>
      <c r="AI141" s="137">
        <f>Summary_LCIA!Z$32</f>
        <v>4.1009E-5</v>
      </c>
      <c r="AJ141" s="137">
        <f>Summary_LCIA!AA$32</f>
        <v>2.3355999999999998E-2</v>
      </c>
      <c r="AK141" s="137">
        <f>Summary_LCIA!AB$32</f>
        <v>-2.1823000000000001E-5</v>
      </c>
      <c r="AL141" s="137">
        <f>Summary_LCIA!AC$32</f>
        <v>4.8884000000000003E-8</v>
      </c>
      <c r="AM141" s="137">
        <f>Summary_LCIA!AD$32</f>
        <v>4.1103999999999999E-4</v>
      </c>
      <c r="AN141" s="137">
        <f>Summary_LCIA!AE$32</f>
        <v>8.8612999999999995E-4</v>
      </c>
      <c r="AO141" s="137">
        <f>Summary_LCIA!AF$32</f>
        <v>8.4542000000000005E-4</v>
      </c>
      <c r="AP141" s="137">
        <f>Summary_LCIA!AG$32</f>
        <v>5.1165000000000002E-5</v>
      </c>
      <c r="AQ141" s="137">
        <f>Summary_LCIA!AH$32</f>
        <v>8.7036000000000006E-3</v>
      </c>
      <c r="AR141" s="137">
        <f>Summary_LCIA!AI$32</f>
        <v>9.3154999999999996E-4</v>
      </c>
      <c r="AT141" s="137">
        <f t="shared" si="19"/>
        <v>142.67828220000001</v>
      </c>
      <c r="AU141" s="137">
        <f t="shared" si="19"/>
        <v>2080.991060261937</v>
      </c>
      <c r="AV141" s="137">
        <f t="shared" si="19"/>
        <v>2.2109675183999999</v>
      </c>
      <c r="AW141" s="137">
        <f t="shared" si="19"/>
        <v>140.82237282</v>
      </c>
      <c r="AX141" s="137">
        <f t="shared" si="19"/>
        <v>46.1458011</v>
      </c>
      <c r="AY141" s="137">
        <f t="shared" si="19"/>
        <v>7.521891546</v>
      </c>
      <c r="AZ141" s="137">
        <f t="shared" si="19"/>
        <v>2.0054318529000002E-2</v>
      </c>
      <c r="BA141" s="137">
        <f t="shared" si="19"/>
        <v>32.319276219000002</v>
      </c>
      <c r="BB141" s="137">
        <f t="shared" si="19"/>
        <v>9.5650714200000007</v>
      </c>
      <c r="BC141" s="137">
        <f t="shared" si="19"/>
        <v>6.5427103980000005</v>
      </c>
      <c r="BD141" s="137">
        <f t="shared" si="19"/>
        <v>1.7219228001000002E-2</v>
      </c>
      <c r="BE141" s="137">
        <f t="shared" si="19"/>
        <v>9.8069274839999991</v>
      </c>
      <c r="BF141" s="137">
        <f t="shared" si="19"/>
        <v>-9.1632376469999999E-3</v>
      </c>
      <c r="BG141" s="137">
        <f t="shared" si="19"/>
        <v>2.0525853876000001E-5</v>
      </c>
      <c r="BH141" s="137">
        <f t="shared" si="19"/>
        <v>0.17259117456</v>
      </c>
      <c r="BI141" s="137">
        <f t="shared" si="19"/>
        <v>0.37207623956999997</v>
      </c>
      <c r="BJ141" s="137">
        <f t="shared" si="18"/>
        <v>0.35498255838000004</v>
      </c>
      <c r="BK141" s="137">
        <f t="shared" si="18"/>
        <v>2.1483620685000003E-2</v>
      </c>
      <c r="BL141" s="137">
        <f t="shared" si="18"/>
        <v>3.6545459004000005</v>
      </c>
      <c r="BM141" s="137">
        <f t="shared" si="18"/>
        <v>0.39114759794999998</v>
      </c>
    </row>
    <row r="142" spans="1:65" x14ac:dyDescent="0.25">
      <c r="A142" s="149">
        <v>362</v>
      </c>
      <c r="B142" s="149">
        <v>6</v>
      </c>
      <c r="C142" s="61">
        <v>41.652805000000001</v>
      </c>
      <c r="D142" s="61">
        <v>-83.537867000000006</v>
      </c>
      <c r="E142" s="61" t="s">
        <v>265</v>
      </c>
      <c r="F142" s="149">
        <v>78</v>
      </c>
      <c r="G142" s="61" t="s">
        <v>615</v>
      </c>
      <c r="H142" s="61" t="s">
        <v>616</v>
      </c>
      <c r="I142" s="61">
        <v>42.216248999999998</v>
      </c>
      <c r="J142" s="61">
        <v>-83.355363999999994</v>
      </c>
      <c r="K142" s="61">
        <v>95.399904230000004</v>
      </c>
      <c r="L142" s="61">
        <v>80.596000000000004</v>
      </c>
      <c r="M142" s="61" t="s">
        <v>617</v>
      </c>
      <c r="N142" s="149">
        <v>5</v>
      </c>
      <c r="O142" s="149">
        <v>6</v>
      </c>
      <c r="P142" s="61" t="s">
        <v>565</v>
      </c>
      <c r="Q142" s="61" t="s">
        <v>564</v>
      </c>
      <c r="R142" s="61">
        <v>41.98028</v>
      </c>
      <c r="S142" s="61">
        <v>-87.908997900000003</v>
      </c>
      <c r="T142" s="61">
        <v>419.88900000000001</v>
      </c>
      <c r="U142" s="61" t="s">
        <v>617</v>
      </c>
      <c r="V142" s="61" t="s">
        <v>617</v>
      </c>
      <c r="W142" s="61"/>
      <c r="Y142" s="137">
        <f>Summary_LCIA!H$32</f>
        <v>0.33979999999999999</v>
      </c>
      <c r="Z142" s="137">
        <f>Summary_LCIA!Q$32</f>
        <v>4.9560504329999997</v>
      </c>
      <c r="AA142" s="137">
        <f>Summary_LCIA!R$32</f>
        <v>5.2655999999999996E-3</v>
      </c>
      <c r="AB142" s="137">
        <f>Summary_LCIA!S$32</f>
        <v>0.33538000000000001</v>
      </c>
      <c r="AC142" s="137">
        <f>Summary_LCIA!T$32</f>
        <v>0.1099</v>
      </c>
      <c r="AD142" s="137">
        <f>Summary_LCIA!U$32</f>
        <v>1.7913999999999999E-2</v>
      </c>
      <c r="AE142" s="137">
        <f>Summary_LCIA!V$32</f>
        <v>4.7760999999999999E-5</v>
      </c>
      <c r="AF142" s="137">
        <f>Summary_LCIA!W$32</f>
        <v>7.6970999999999998E-2</v>
      </c>
      <c r="AG142" s="137">
        <f>Summary_LCIA!X$32</f>
        <v>2.2780000000000002E-2</v>
      </c>
      <c r="AH142" s="137">
        <f>Summary_LCIA!Y$32</f>
        <v>1.5582E-2</v>
      </c>
      <c r="AI142" s="137">
        <f>Summary_LCIA!Z$32</f>
        <v>4.1009E-5</v>
      </c>
      <c r="AJ142" s="137">
        <f>Summary_LCIA!AA$32</f>
        <v>2.3355999999999998E-2</v>
      </c>
      <c r="AK142" s="137">
        <f>Summary_LCIA!AB$32</f>
        <v>-2.1823000000000001E-5</v>
      </c>
      <c r="AL142" s="137">
        <f>Summary_LCIA!AC$32</f>
        <v>4.8884000000000003E-8</v>
      </c>
      <c r="AM142" s="137">
        <f>Summary_LCIA!AD$32</f>
        <v>4.1103999999999999E-4</v>
      </c>
      <c r="AN142" s="137">
        <f>Summary_LCIA!AE$32</f>
        <v>8.8612999999999995E-4</v>
      </c>
      <c r="AO142" s="137">
        <f>Summary_LCIA!AF$32</f>
        <v>8.4542000000000005E-4</v>
      </c>
      <c r="AP142" s="137">
        <f>Summary_LCIA!AG$32</f>
        <v>5.1165000000000002E-5</v>
      </c>
      <c r="AQ142" s="137">
        <f>Summary_LCIA!AH$32</f>
        <v>8.7036000000000006E-3</v>
      </c>
      <c r="AR142" s="137">
        <f>Summary_LCIA!AI$32</f>
        <v>9.3154999999999996E-4</v>
      </c>
      <c r="AT142" s="137">
        <f t="shared" si="19"/>
        <v>142.67828220000001</v>
      </c>
      <c r="AU142" s="137">
        <f t="shared" si="19"/>
        <v>2080.991060261937</v>
      </c>
      <c r="AV142" s="137">
        <f t="shared" si="19"/>
        <v>2.2109675183999999</v>
      </c>
      <c r="AW142" s="137">
        <f t="shared" si="19"/>
        <v>140.82237282</v>
      </c>
      <c r="AX142" s="137">
        <f t="shared" si="19"/>
        <v>46.1458011</v>
      </c>
      <c r="AY142" s="137">
        <f t="shared" si="19"/>
        <v>7.521891546</v>
      </c>
      <c r="AZ142" s="137">
        <f t="shared" si="19"/>
        <v>2.0054318529000002E-2</v>
      </c>
      <c r="BA142" s="137">
        <f t="shared" si="19"/>
        <v>32.319276219000002</v>
      </c>
      <c r="BB142" s="137">
        <f t="shared" si="19"/>
        <v>9.5650714200000007</v>
      </c>
      <c r="BC142" s="137">
        <f t="shared" si="19"/>
        <v>6.5427103980000005</v>
      </c>
      <c r="BD142" s="137">
        <f t="shared" si="19"/>
        <v>1.7219228001000002E-2</v>
      </c>
      <c r="BE142" s="137">
        <f t="shared" si="19"/>
        <v>9.8069274839999991</v>
      </c>
      <c r="BF142" s="137">
        <f t="shared" si="19"/>
        <v>-9.1632376469999999E-3</v>
      </c>
      <c r="BG142" s="137">
        <f t="shared" si="19"/>
        <v>2.0525853876000001E-5</v>
      </c>
      <c r="BH142" s="137">
        <f t="shared" si="19"/>
        <v>0.17259117456</v>
      </c>
      <c r="BI142" s="137">
        <f t="shared" si="19"/>
        <v>0.37207623956999997</v>
      </c>
      <c r="BJ142" s="137">
        <f t="shared" si="18"/>
        <v>0.35498255838000004</v>
      </c>
      <c r="BK142" s="137">
        <f t="shared" si="18"/>
        <v>2.1483620685000003E-2</v>
      </c>
      <c r="BL142" s="137">
        <f t="shared" si="18"/>
        <v>3.6545459004000005</v>
      </c>
      <c r="BM142" s="137">
        <f t="shared" si="18"/>
        <v>0.39114759794999998</v>
      </c>
    </row>
    <row r="143" spans="1:65" x14ac:dyDescent="0.25">
      <c r="A143" s="149">
        <v>315</v>
      </c>
      <c r="B143" s="149">
        <v>15</v>
      </c>
      <c r="C143" s="61">
        <v>52.156661999999997</v>
      </c>
      <c r="D143" s="61">
        <v>4.4867590000000002</v>
      </c>
      <c r="E143" s="61" t="s">
        <v>285</v>
      </c>
      <c r="F143" s="149">
        <v>12</v>
      </c>
      <c r="G143" s="61" t="s">
        <v>679</v>
      </c>
      <c r="H143" s="61" t="s">
        <v>680</v>
      </c>
      <c r="I143" s="61">
        <v>52.310538999999999</v>
      </c>
      <c r="J143" s="61">
        <v>4.7682739999999999</v>
      </c>
      <c r="K143" s="61">
        <v>27.619618039999999</v>
      </c>
      <c r="L143" s="61">
        <v>28.559000000000001</v>
      </c>
      <c r="M143" s="61" t="s">
        <v>589</v>
      </c>
      <c r="N143" s="149">
        <v>14</v>
      </c>
      <c r="O143" s="149">
        <v>15</v>
      </c>
      <c r="P143" s="61" t="s">
        <v>567</v>
      </c>
      <c r="Q143" s="61" t="s">
        <v>566</v>
      </c>
      <c r="R143" s="61">
        <v>50.037932599999998</v>
      </c>
      <c r="S143" s="61">
        <v>8.5621518000000005</v>
      </c>
      <c r="T143" s="61">
        <v>439.27699999999999</v>
      </c>
      <c r="U143" s="61" t="s">
        <v>617</v>
      </c>
      <c r="V143" s="61" t="s">
        <v>617</v>
      </c>
      <c r="W143" s="61"/>
      <c r="Y143" s="137">
        <f>Summary_LCIA!H$32</f>
        <v>0.33979999999999999</v>
      </c>
      <c r="Z143" s="137">
        <f>Summary_LCIA!Q$32</f>
        <v>4.9560504329999997</v>
      </c>
      <c r="AA143" s="137">
        <f>Summary_LCIA!R$32</f>
        <v>5.2655999999999996E-3</v>
      </c>
      <c r="AB143" s="137">
        <f>Summary_LCIA!S$32</f>
        <v>0.33538000000000001</v>
      </c>
      <c r="AC143" s="137">
        <f>Summary_LCIA!T$32</f>
        <v>0.1099</v>
      </c>
      <c r="AD143" s="137">
        <f>Summary_LCIA!U$32</f>
        <v>1.7913999999999999E-2</v>
      </c>
      <c r="AE143" s="137">
        <f>Summary_LCIA!V$32</f>
        <v>4.7760999999999999E-5</v>
      </c>
      <c r="AF143" s="137">
        <f>Summary_LCIA!W$32</f>
        <v>7.6970999999999998E-2</v>
      </c>
      <c r="AG143" s="137">
        <f>Summary_LCIA!X$32</f>
        <v>2.2780000000000002E-2</v>
      </c>
      <c r="AH143" s="137">
        <f>Summary_LCIA!Y$32</f>
        <v>1.5582E-2</v>
      </c>
      <c r="AI143" s="137">
        <f>Summary_LCIA!Z$32</f>
        <v>4.1009E-5</v>
      </c>
      <c r="AJ143" s="137">
        <f>Summary_LCIA!AA$32</f>
        <v>2.3355999999999998E-2</v>
      </c>
      <c r="AK143" s="137">
        <f>Summary_LCIA!AB$32</f>
        <v>-2.1823000000000001E-5</v>
      </c>
      <c r="AL143" s="137">
        <f>Summary_LCIA!AC$32</f>
        <v>4.8884000000000003E-8</v>
      </c>
      <c r="AM143" s="137">
        <f>Summary_LCIA!AD$32</f>
        <v>4.1103999999999999E-4</v>
      </c>
      <c r="AN143" s="137">
        <f>Summary_LCIA!AE$32</f>
        <v>8.8612999999999995E-4</v>
      </c>
      <c r="AO143" s="137">
        <f>Summary_LCIA!AF$32</f>
        <v>8.4542000000000005E-4</v>
      </c>
      <c r="AP143" s="137">
        <f>Summary_LCIA!AG$32</f>
        <v>5.1165000000000002E-5</v>
      </c>
      <c r="AQ143" s="137">
        <f>Summary_LCIA!AH$32</f>
        <v>8.7036000000000006E-3</v>
      </c>
      <c r="AR143" s="137">
        <f>Summary_LCIA!AI$32</f>
        <v>9.3154999999999996E-4</v>
      </c>
      <c r="AT143" s="137">
        <f t="shared" si="19"/>
        <v>149.26632459999999</v>
      </c>
      <c r="AU143" s="137">
        <f t="shared" si="19"/>
        <v>2177.0789660569408</v>
      </c>
      <c r="AV143" s="137">
        <f t="shared" si="19"/>
        <v>2.3130569712</v>
      </c>
      <c r="AW143" s="137">
        <f t="shared" si="19"/>
        <v>147.32472025999999</v>
      </c>
      <c r="AX143" s="137">
        <f t="shared" si="19"/>
        <v>48.276542299999996</v>
      </c>
      <c r="AY143" s="137">
        <f t="shared" si="19"/>
        <v>7.8692081779999992</v>
      </c>
      <c r="AZ143" s="137">
        <f t="shared" si="19"/>
        <v>2.0980308797E-2</v>
      </c>
      <c r="BA143" s="137">
        <f t="shared" si="19"/>
        <v>33.811589966999996</v>
      </c>
      <c r="BB143" s="137">
        <f t="shared" si="19"/>
        <v>10.006730060000001</v>
      </c>
      <c r="BC143" s="137">
        <f t="shared" si="19"/>
        <v>6.8448142140000003</v>
      </c>
      <c r="BD143" s="137">
        <f t="shared" si="19"/>
        <v>1.8014310493000001E-2</v>
      </c>
      <c r="BE143" s="137">
        <f t="shared" si="19"/>
        <v>10.259753611999999</v>
      </c>
      <c r="BF143" s="137">
        <f t="shared" si="19"/>
        <v>-9.5863419710000009E-3</v>
      </c>
      <c r="BG143" s="137">
        <f t="shared" si="19"/>
        <v>2.1473616868000002E-5</v>
      </c>
      <c r="BH143" s="137">
        <f t="shared" si="19"/>
        <v>0.18056041807999998</v>
      </c>
      <c r="BI143" s="137">
        <f t="shared" si="19"/>
        <v>0.38925652800999999</v>
      </c>
      <c r="BJ143" s="137">
        <f t="shared" si="18"/>
        <v>0.37137356133999999</v>
      </c>
      <c r="BK143" s="137">
        <f t="shared" si="18"/>
        <v>2.2475607705000001E-2</v>
      </c>
      <c r="BL143" s="137">
        <f t="shared" si="18"/>
        <v>3.8232912971999999</v>
      </c>
      <c r="BM143" s="137">
        <f t="shared" si="18"/>
        <v>0.40920848934999998</v>
      </c>
    </row>
    <row r="144" spans="1:65" x14ac:dyDescent="0.25">
      <c r="A144" s="149">
        <v>83</v>
      </c>
      <c r="B144" s="149">
        <v>43</v>
      </c>
      <c r="C144" s="61">
        <v>43.110801000000002</v>
      </c>
      <c r="D144" s="61">
        <v>-70.750540000000001</v>
      </c>
      <c r="E144" s="61" t="s">
        <v>265</v>
      </c>
      <c r="F144" s="149">
        <v>53</v>
      </c>
      <c r="G144" s="61" t="s">
        <v>565</v>
      </c>
      <c r="H144" s="61" t="s">
        <v>634</v>
      </c>
      <c r="I144" s="61">
        <v>42.365613000000003</v>
      </c>
      <c r="J144" s="61">
        <v>-71.009559999999993</v>
      </c>
      <c r="K144" s="61">
        <v>116.9533083</v>
      </c>
      <c r="L144" s="61">
        <v>92.052999999999997</v>
      </c>
      <c r="M144" s="61" t="s">
        <v>617</v>
      </c>
      <c r="N144" s="149">
        <v>42</v>
      </c>
      <c r="O144" s="149">
        <v>43</v>
      </c>
      <c r="P144" s="61" t="s">
        <v>565</v>
      </c>
      <c r="Q144" s="61" t="s">
        <v>555</v>
      </c>
      <c r="R144" s="61">
        <v>40.6895314</v>
      </c>
      <c r="S144" s="61">
        <v>-74.174462399999996</v>
      </c>
      <c r="T144" s="61">
        <v>447.81700000000001</v>
      </c>
      <c r="U144" s="61" t="s">
        <v>617</v>
      </c>
      <c r="V144" s="61" t="s">
        <v>617</v>
      </c>
      <c r="W144" s="61"/>
      <c r="Y144" s="137">
        <f>Summary_LCIA!H$32</f>
        <v>0.33979999999999999</v>
      </c>
      <c r="Z144" s="137">
        <f>Summary_LCIA!Q$32</f>
        <v>4.9560504329999997</v>
      </c>
      <c r="AA144" s="137">
        <f>Summary_LCIA!R$32</f>
        <v>5.2655999999999996E-3</v>
      </c>
      <c r="AB144" s="137">
        <f>Summary_LCIA!S$32</f>
        <v>0.33538000000000001</v>
      </c>
      <c r="AC144" s="137">
        <f>Summary_LCIA!T$32</f>
        <v>0.1099</v>
      </c>
      <c r="AD144" s="137">
        <f>Summary_LCIA!U$32</f>
        <v>1.7913999999999999E-2</v>
      </c>
      <c r="AE144" s="137">
        <f>Summary_LCIA!V$32</f>
        <v>4.7760999999999999E-5</v>
      </c>
      <c r="AF144" s="137">
        <f>Summary_LCIA!W$32</f>
        <v>7.6970999999999998E-2</v>
      </c>
      <c r="AG144" s="137">
        <f>Summary_LCIA!X$32</f>
        <v>2.2780000000000002E-2</v>
      </c>
      <c r="AH144" s="137">
        <f>Summary_LCIA!Y$32</f>
        <v>1.5582E-2</v>
      </c>
      <c r="AI144" s="137">
        <f>Summary_LCIA!Z$32</f>
        <v>4.1009E-5</v>
      </c>
      <c r="AJ144" s="137">
        <f>Summary_LCIA!AA$32</f>
        <v>2.3355999999999998E-2</v>
      </c>
      <c r="AK144" s="137">
        <f>Summary_LCIA!AB$32</f>
        <v>-2.1823000000000001E-5</v>
      </c>
      <c r="AL144" s="137">
        <f>Summary_LCIA!AC$32</f>
        <v>4.8884000000000003E-8</v>
      </c>
      <c r="AM144" s="137">
        <f>Summary_LCIA!AD$32</f>
        <v>4.1103999999999999E-4</v>
      </c>
      <c r="AN144" s="137">
        <f>Summary_LCIA!AE$32</f>
        <v>8.8612999999999995E-4</v>
      </c>
      <c r="AO144" s="137">
        <f>Summary_LCIA!AF$32</f>
        <v>8.4542000000000005E-4</v>
      </c>
      <c r="AP144" s="137">
        <f>Summary_LCIA!AG$32</f>
        <v>5.1165000000000002E-5</v>
      </c>
      <c r="AQ144" s="137">
        <f>Summary_LCIA!AH$32</f>
        <v>8.7036000000000006E-3</v>
      </c>
      <c r="AR144" s="137">
        <f>Summary_LCIA!AI$32</f>
        <v>9.3154999999999996E-4</v>
      </c>
      <c r="AT144" s="137">
        <f t="shared" si="19"/>
        <v>152.16821659999999</v>
      </c>
      <c r="AU144" s="137">
        <f t="shared" si="19"/>
        <v>2219.403636754761</v>
      </c>
      <c r="AV144" s="137">
        <f t="shared" si="19"/>
        <v>2.3580251951999998</v>
      </c>
      <c r="AW144" s="137">
        <f t="shared" si="19"/>
        <v>150.18886546000002</v>
      </c>
      <c r="AX144" s="137">
        <f t="shared" si="19"/>
        <v>49.215088299999998</v>
      </c>
      <c r="AY144" s="137">
        <f t="shared" si="19"/>
        <v>8.0221937380000004</v>
      </c>
      <c r="AZ144" s="137">
        <f t="shared" si="19"/>
        <v>2.1388187736999999E-2</v>
      </c>
      <c r="BA144" s="137">
        <f t="shared" si="19"/>
        <v>34.468922307</v>
      </c>
      <c r="BB144" s="137">
        <f t="shared" si="19"/>
        <v>10.20127126</v>
      </c>
      <c r="BC144" s="137">
        <f t="shared" si="19"/>
        <v>6.9778844940000004</v>
      </c>
      <c r="BD144" s="137">
        <f t="shared" si="19"/>
        <v>1.8364527352999999E-2</v>
      </c>
      <c r="BE144" s="137">
        <f t="shared" si="19"/>
        <v>10.459213852</v>
      </c>
      <c r="BF144" s="137">
        <f t="shared" si="19"/>
        <v>-9.7727103910000002E-3</v>
      </c>
      <c r="BG144" s="137">
        <f t="shared" si="19"/>
        <v>2.1891086228000002E-5</v>
      </c>
      <c r="BH144" s="137">
        <f t="shared" si="19"/>
        <v>0.18407069968000001</v>
      </c>
      <c r="BI144" s="137">
        <f t="shared" si="19"/>
        <v>0.39682407820999999</v>
      </c>
      <c r="BJ144" s="137">
        <f t="shared" si="18"/>
        <v>0.37859344814000001</v>
      </c>
      <c r="BK144" s="137">
        <f t="shared" si="18"/>
        <v>2.2912556805000001E-2</v>
      </c>
      <c r="BL144" s="137">
        <f t="shared" si="18"/>
        <v>3.8976200412000002</v>
      </c>
      <c r="BM144" s="137">
        <f t="shared" si="18"/>
        <v>0.41716392634999999</v>
      </c>
    </row>
    <row r="145" spans="1:65" x14ac:dyDescent="0.25">
      <c r="A145" s="149">
        <v>84</v>
      </c>
      <c r="B145" s="149">
        <v>43</v>
      </c>
      <c r="C145" s="61">
        <v>43.110801000000002</v>
      </c>
      <c r="D145" s="61">
        <v>-70.750540000000001</v>
      </c>
      <c r="E145" s="61" t="s">
        <v>265</v>
      </c>
      <c r="F145" s="149">
        <v>53</v>
      </c>
      <c r="G145" s="61" t="s">
        <v>565</v>
      </c>
      <c r="H145" s="61" t="s">
        <v>634</v>
      </c>
      <c r="I145" s="61">
        <v>42.365613000000003</v>
      </c>
      <c r="J145" s="61">
        <v>-71.009559999999993</v>
      </c>
      <c r="K145" s="61">
        <v>116.9533083</v>
      </c>
      <c r="L145" s="61">
        <v>92.052999999999997</v>
      </c>
      <c r="M145" s="61" t="s">
        <v>617</v>
      </c>
      <c r="N145" s="149">
        <v>42</v>
      </c>
      <c r="O145" s="149">
        <v>43</v>
      </c>
      <c r="P145" s="61" t="s">
        <v>565</v>
      </c>
      <c r="Q145" s="61" t="s">
        <v>555</v>
      </c>
      <c r="R145" s="61">
        <v>40.6895314</v>
      </c>
      <c r="S145" s="61">
        <v>-74.174462399999996</v>
      </c>
      <c r="T145" s="61">
        <v>447.81700000000001</v>
      </c>
      <c r="U145" s="61" t="s">
        <v>617</v>
      </c>
      <c r="V145" s="61" t="s">
        <v>617</v>
      </c>
      <c r="W145" s="61"/>
      <c r="Y145" s="137">
        <f>Summary_LCIA!H$32</f>
        <v>0.33979999999999999</v>
      </c>
      <c r="Z145" s="137">
        <f>Summary_LCIA!Q$32</f>
        <v>4.9560504329999997</v>
      </c>
      <c r="AA145" s="137">
        <f>Summary_LCIA!R$32</f>
        <v>5.2655999999999996E-3</v>
      </c>
      <c r="AB145" s="137">
        <f>Summary_LCIA!S$32</f>
        <v>0.33538000000000001</v>
      </c>
      <c r="AC145" s="137">
        <f>Summary_LCIA!T$32</f>
        <v>0.1099</v>
      </c>
      <c r="AD145" s="137">
        <f>Summary_LCIA!U$32</f>
        <v>1.7913999999999999E-2</v>
      </c>
      <c r="AE145" s="137">
        <f>Summary_LCIA!V$32</f>
        <v>4.7760999999999999E-5</v>
      </c>
      <c r="AF145" s="137">
        <f>Summary_LCIA!W$32</f>
        <v>7.6970999999999998E-2</v>
      </c>
      <c r="AG145" s="137">
        <f>Summary_LCIA!X$32</f>
        <v>2.2780000000000002E-2</v>
      </c>
      <c r="AH145" s="137">
        <f>Summary_LCIA!Y$32</f>
        <v>1.5582E-2</v>
      </c>
      <c r="AI145" s="137">
        <f>Summary_LCIA!Z$32</f>
        <v>4.1009E-5</v>
      </c>
      <c r="AJ145" s="137">
        <f>Summary_LCIA!AA$32</f>
        <v>2.3355999999999998E-2</v>
      </c>
      <c r="AK145" s="137">
        <f>Summary_LCIA!AB$32</f>
        <v>-2.1823000000000001E-5</v>
      </c>
      <c r="AL145" s="137">
        <f>Summary_LCIA!AC$32</f>
        <v>4.8884000000000003E-8</v>
      </c>
      <c r="AM145" s="137">
        <f>Summary_LCIA!AD$32</f>
        <v>4.1103999999999999E-4</v>
      </c>
      <c r="AN145" s="137">
        <f>Summary_LCIA!AE$32</f>
        <v>8.8612999999999995E-4</v>
      </c>
      <c r="AO145" s="137">
        <f>Summary_LCIA!AF$32</f>
        <v>8.4542000000000005E-4</v>
      </c>
      <c r="AP145" s="137">
        <f>Summary_LCIA!AG$32</f>
        <v>5.1165000000000002E-5</v>
      </c>
      <c r="AQ145" s="137">
        <f>Summary_LCIA!AH$32</f>
        <v>8.7036000000000006E-3</v>
      </c>
      <c r="AR145" s="137">
        <f>Summary_LCIA!AI$32</f>
        <v>9.3154999999999996E-4</v>
      </c>
      <c r="AT145" s="137">
        <f t="shared" si="19"/>
        <v>152.16821659999999</v>
      </c>
      <c r="AU145" s="137">
        <f t="shared" si="19"/>
        <v>2219.403636754761</v>
      </c>
      <c r="AV145" s="137">
        <f t="shared" si="19"/>
        <v>2.3580251951999998</v>
      </c>
      <c r="AW145" s="137">
        <f t="shared" si="19"/>
        <v>150.18886546000002</v>
      </c>
      <c r="AX145" s="137">
        <f t="shared" si="19"/>
        <v>49.215088299999998</v>
      </c>
      <c r="AY145" s="137">
        <f t="shared" si="19"/>
        <v>8.0221937380000004</v>
      </c>
      <c r="AZ145" s="137">
        <f t="shared" si="19"/>
        <v>2.1388187736999999E-2</v>
      </c>
      <c r="BA145" s="137">
        <f t="shared" si="19"/>
        <v>34.468922307</v>
      </c>
      <c r="BB145" s="137">
        <f t="shared" si="19"/>
        <v>10.20127126</v>
      </c>
      <c r="BC145" s="137">
        <f t="shared" si="19"/>
        <v>6.9778844940000004</v>
      </c>
      <c r="BD145" s="137">
        <f t="shared" si="19"/>
        <v>1.8364527352999999E-2</v>
      </c>
      <c r="BE145" s="137">
        <f t="shared" si="19"/>
        <v>10.459213852</v>
      </c>
      <c r="BF145" s="137">
        <f t="shared" si="19"/>
        <v>-9.7727103910000002E-3</v>
      </c>
      <c r="BG145" s="137">
        <f t="shared" si="19"/>
        <v>2.1891086228000002E-5</v>
      </c>
      <c r="BH145" s="137">
        <f t="shared" si="19"/>
        <v>0.18407069968000001</v>
      </c>
      <c r="BI145" s="137">
        <f t="shared" si="19"/>
        <v>0.39682407820999999</v>
      </c>
      <c r="BJ145" s="137">
        <f t="shared" si="18"/>
        <v>0.37859344814000001</v>
      </c>
      <c r="BK145" s="137">
        <f t="shared" si="18"/>
        <v>2.2912556805000001E-2</v>
      </c>
      <c r="BL145" s="137">
        <f t="shared" si="18"/>
        <v>3.8976200412000002</v>
      </c>
      <c r="BM145" s="137">
        <f t="shared" si="18"/>
        <v>0.41716392634999999</v>
      </c>
    </row>
    <row r="146" spans="1:65" x14ac:dyDescent="0.25">
      <c r="A146" s="149">
        <v>85</v>
      </c>
      <c r="B146" s="149">
        <v>43</v>
      </c>
      <c r="C146" s="61">
        <v>43.110801000000002</v>
      </c>
      <c r="D146" s="61">
        <v>-70.750540000000001</v>
      </c>
      <c r="E146" s="61" t="s">
        <v>265</v>
      </c>
      <c r="F146" s="149">
        <v>53</v>
      </c>
      <c r="G146" s="61" t="s">
        <v>565</v>
      </c>
      <c r="H146" s="61" t="s">
        <v>634</v>
      </c>
      <c r="I146" s="61">
        <v>42.365613000000003</v>
      </c>
      <c r="J146" s="61">
        <v>-71.009559999999993</v>
      </c>
      <c r="K146" s="61">
        <v>116.9533083</v>
      </c>
      <c r="L146" s="61">
        <v>92.052999999999997</v>
      </c>
      <c r="M146" s="61" t="s">
        <v>617</v>
      </c>
      <c r="N146" s="149">
        <v>42</v>
      </c>
      <c r="O146" s="149">
        <v>43</v>
      </c>
      <c r="P146" s="61" t="s">
        <v>565</v>
      </c>
      <c r="Q146" s="61" t="s">
        <v>555</v>
      </c>
      <c r="R146" s="61">
        <v>40.6895314</v>
      </c>
      <c r="S146" s="61">
        <v>-74.174462399999996</v>
      </c>
      <c r="T146" s="61">
        <v>447.81700000000001</v>
      </c>
      <c r="U146" s="61" t="s">
        <v>617</v>
      </c>
      <c r="V146" s="61" t="s">
        <v>617</v>
      </c>
      <c r="W146" s="61"/>
      <c r="Y146" s="137">
        <f>Summary_LCIA!H$32</f>
        <v>0.33979999999999999</v>
      </c>
      <c r="Z146" s="137">
        <f>Summary_LCIA!Q$32</f>
        <v>4.9560504329999997</v>
      </c>
      <c r="AA146" s="137">
        <f>Summary_LCIA!R$32</f>
        <v>5.2655999999999996E-3</v>
      </c>
      <c r="AB146" s="137">
        <f>Summary_LCIA!S$32</f>
        <v>0.33538000000000001</v>
      </c>
      <c r="AC146" s="137">
        <f>Summary_LCIA!T$32</f>
        <v>0.1099</v>
      </c>
      <c r="AD146" s="137">
        <f>Summary_LCIA!U$32</f>
        <v>1.7913999999999999E-2</v>
      </c>
      <c r="AE146" s="137">
        <f>Summary_LCIA!V$32</f>
        <v>4.7760999999999999E-5</v>
      </c>
      <c r="AF146" s="137">
        <f>Summary_LCIA!W$32</f>
        <v>7.6970999999999998E-2</v>
      </c>
      <c r="AG146" s="137">
        <f>Summary_LCIA!X$32</f>
        <v>2.2780000000000002E-2</v>
      </c>
      <c r="AH146" s="137">
        <f>Summary_LCIA!Y$32</f>
        <v>1.5582E-2</v>
      </c>
      <c r="AI146" s="137">
        <f>Summary_LCIA!Z$32</f>
        <v>4.1009E-5</v>
      </c>
      <c r="AJ146" s="137">
        <f>Summary_LCIA!AA$32</f>
        <v>2.3355999999999998E-2</v>
      </c>
      <c r="AK146" s="137">
        <f>Summary_LCIA!AB$32</f>
        <v>-2.1823000000000001E-5</v>
      </c>
      <c r="AL146" s="137">
        <f>Summary_LCIA!AC$32</f>
        <v>4.8884000000000003E-8</v>
      </c>
      <c r="AM146" s="137">
        <f>Summary_LCIA!AD$32</f>
        <v>4.1103999999999999E-4</v>
      </c>
      <c r="AN146" s="137">
        <f>Summary_LCIA!AE$32</f>
        <v>8.8612999999999995E-4</v>
      </c>
      <c r="AO146" s="137">
        <f>Summary_LCIA!AF$32</f>
        <v>8.4542000000000005E-4</v>
      </c>
      <c r="AP146" s="137">
        <f>Summary_LCIA!AG$32</f>
        <v>5.1165000000000002E-5</v>
      </c>
      <c r="AQ146" s="137">
        <f>Summary_LCIA!AH$32</f>
        <v>8.7036000000000006E-3</v>
      </c>
      <c r="AR146" s="137">
        <f>Summary_LCIA!AI$32</f>
        <v>9.3154999999999996E-4</v>
      </c>
      <c r="AT146" s="137">
        <f t="shared" si="19"/>
        <v>152.16821659999999</v>
      </c>
      <c r="AU146" s="137">
        <f t="shared" si="19"/>
        <v>2219.403636754761</v>
      </c>
      <c r="AV146" s="137">
        <f t="shared" si="19"/>
        <v>2.3580251951999998</v>
      </c>
      <c r="AW146" s="137">
        <f t="shared" si="19"/>
        <v>150.18886546000002</v>
      </c>
      <c r="AX146" s="137">
        <f t="shared" si="19"/>
        <v>49.215088299999998</v>
      </c>
      <c r="AY146" s="137">
        <f t="shared" si="19"/>
        <v>8.0221937380000004</v>
      </c>
      <c r="AZ146" s="137">
        <f t="shared" si="19"/>
        <v>2.1388187736999999E-2</v>
      </c>
      <c r="BA146" s="137">
        <f t="shared" si="19"/>
        <v>34.468922307</v>
      </c>
      <c r="BB146" s="137">
        <f t="shared" si="19"/>
        <v>10.20127126</v>
      </c>
      <c r="BC146" s="137">
        <f t="shared" si="19"/>
        <v>6.9778844940000004</v>
      </c>
      <c r="BD146" s="137">
        <f t="shared" si="19"/>
        <v>1.8364527352999999E-2</v>
      </c>
      <c r="BE146" s="137">
        <f t="shared" si="19"/>
        <v>10.459213852</v>
      </c>
      <c r="BF146" s="137">
        <f t="shared" si="19"/>
        <v>-9.7727103910000002E-3</v>
      </c>
      <c r="BG146" s="137">
        <f t="shared" si="19"/>
        <v>2.1891086228000002E-5</v>
      </c>
      <c r="BH146" s="137">
        <f t="shared" si="19"/>
        <v>0.18407069968000001</v>
      </c>
      <c r="BI146" s="137">
        <f t="shared" ref="BI146:BM160" si="20">$T146*AN146</f>
        <v>0.39682407820999999</v>
      </c>
      <c r="BJ146" s="137">
        <f t="shared" si="20"/>
        <v>0.37859344814000001</v>
      </c>
      <c r="BK146" s="137">
        <f t="shared" si="20"/>
        <v>2.2912556805000001E-2</v>
      </c>
      <c r="BL146" s="137">
        <f t="shared" si="20"/>
        <v>3.8976200412000002</v>
      </c>
      <c r="BM146" s="137">
        <f t="shared" si="20"/>
        <v>0.41716392634999999</v>
      </c>
    </row>
    <row r="147" spans="1:65" x14ac:dyDescent="0.25">
      <c r="A147" s="149">
        <v>86</v>
      </c>
      <c r="B147" s="149">
        <v>43</v>
      </c>
      <c r="C147" s="61">
        <v>43.110801000000002</v>
      </c>
      <c r="D147" s="61">
        <v>-70.750540000000001</v>
      </c>
      <c r="E147" s="61" t="s">
        <v>265</v>
      </c>
      <c r="F147" s="149">
        <v>53</v>
      </c>
      <c r="G147" s="61" t="s">
        <v>565</v>
      </c>
      <c r="H147" s="61" t="s">
        <v>634</v>
      </c>
      <c r="I147" s="61">
        <v>42.365613000000003</v>
      </c>
      <c r="J147" s="61">
        <v>-71.009559999999993</v>
      </c>
      <c r="K147" s="61">
        <v>116.9533083</v>
      </c>
      <c r="L147" s="61">
        <v>92.052999999999997</v>
      </c>
      <c r="M147" s="61" t="s">
        <v>617</v>
      </c>
      <c r="N147" s="149">
        <v>42</v>
      </c>
      <c r="O147" s="149">
        <v>43</v>
      </c>
      <c r="P147" s="61" t="s">
        <v>565</v>
      </c>
      <c r="Q147" s="61" t="s">
        <v>555</v>
      </c>
      <c r="R147" s="61">
        <v>40.6895314</v>
      </c>
      <c r="S147" s="61">
        <v>-74.174462399999996</v>
      </c>
      <c r="T147" s="61">
        <v>447.81700000000001</v>
      </c>
      <c r="U147" s="61" t="s">
        <v>617</v>
      </c>
      <c r="V147" s="61" t="s">
        <v>617</v>
      </c>
      <c r="W147" s="61"/>
      <c r="Y147" s="137">
        <f>Summary_LCIA!H$32</f>
        <v>0.33979999999999999</v>
      </c>
      <c r="Z147" s="137">
        <f>Summary_LCIA!Q$32</f>
        <v>4.9560504329999997</v>
      </c>
      <c r="AA147" s="137">
        <f>Summary_LCIA!R$32</f>
        <v>5.2655999999999996E-3</v>
      </c>
      <c r="AB147" s="137">
        <f>Summary_LCIA!S$32</f>
        <v>0.33538000000000001</v>
      </c>
      <c r="AC147" s="137">
        <f>Summary_LCIA!T$32</f>
        <v>0.1099</v>
      </c>
      <c r="AD147" s="137">
        <f>Summary_LCIA!U$32</f>
        <v>1.7913999999999999E-2</v>
      </c>
      <c r="AE147" s="137">
        <f>Summary_LCIA!V$32</f>
        <v>4.7760999999999999E-5</v>
      </c>
      <c r="AF147" s="137">
        <f>Summary_LCIA!W$32</f>
        <v>7.6970999999999998E-2</v>
      </c>
      <c r="AG147" s="137">
        <f>Summary_LCIA!X$32</f>
        <v>2.2780000000000002E-2</v>
      </c>
      <c r="AH147" s="137">
        <f>Summary_LCIA!Y$32</f>
        <v>1.5582E-2</v>
      </c>
      <c r="AI147" s="137">
        <f>Summary_LCIA!Z$32</f>
        <v>4.1009E-5</v>
      </c>
      <c r="AJ147" s="137">
        <f>Summary_LCIA!AA$32</f>
        <v>2.3355999999999998E-2</v>
      </c>
      <c r="AK147" s="137">
        <f>Summary_LCIA!AB$32</f>
        <v>-2.1823000000000001E-5</v>
      </c>
      <c r="AL147" s="137">
        <f>Summary_LCIA!AC$32</f>
        <v>4.8884000000000003E-8</v>
      </c>
      <c r="AM147" s="137">
        <f>Summary_LCIA!AD$32</f>
        <v>4.1103999999999999E-4</v>
      </c>
      <c r="AN147" s="137">
        <f>Summary_LCIA!AE$32</f>
        <v>8.8612999999999995E-4</v>
      </c>
      <c r="AO147" s="137">
        <f>Summary_LCIA!AF$32</f>
        <v>8.4542000000000005E-4</v>
      </c>
      <c r="AP147" s="137">
        <f>Summary_LCIA!AG$32</f>
        <v>5.1165000000000002E-5</v>
      </c>
      <c r="AQ147" s="137">
        <f>Summary_LCIA!AH$32</f>
        <v>8.7036000000000006E-3</v>
      </c>
      <c r="AR147" s="137">
        <f>Summary_LCIA!AI$32</f>
        <v>9.3154999999999996E-4</v>
      </c>
      <c r="AT147" s="137">
        <f t="shared" ref="AT147:BI160" si="21">$T147*Y147</f>
        <v>152.16821659999999</v>
      </c>
      <c r="AU147" s="137">
        <f t="shared" si="21"/>
        <v>2219.403636754761</v>
      </c>
      <c r="AV147" s="137">
        <f t="shared" si="21"/>
        <v>2.3580251951999998</v>
      </c>
      <c r="AW147" s="137">
        <f t="shared" si="21"/>
        <v>150.18886546000002</v>
      </c>
      <c r="AX147" s="137">
        <f t="shared" si="21"/>
        <v>49.215088299999998</v>
      </c>
      <c r="AY147" s="137">
        <f t="shared" si="21"/>
        <v>8.0221937380000004</v>
      </c>
      <c r="AZ147" s="137">
        <f t="shared" si="21"/>
        <v>2.1388187736999999E-2</v>
      </c>
      <c r="BA147" s="137">
        <f t="shared" si="21"/>
        <v>34.468922307</v>
      </c>
      <c r="BB147" s="137">
        <f t="shared" si="21"/>
        <v>10.20127126</v>
      </c>
      <c r="BC147" s="137">
        <f t="shared" si="21"/>
        <v>6.9778844940000004</v>
      </c>
      <c r="BD147" s="137">
        <f t="shared" si="21"/>
        <v>1.8364527352999999E-2</v>
      </c>
      <c r="BE147" s="137">
        <f t="shared" si="21"/>
        <v>10.459213852</v>
      </c>
      <c r="BF147" s="137">
        <f t="shared" si="21"/>
        <v>-9.7727103910000002E-3</v>
      </c>
      <c r="BG147" s="137">
        <f t="shared" si="21"/>
        <v>2.1891086228000002E-5</v>
      </c>
      <c r="BH147" s="137">
        <f t="shared" si="21"/>
        <v>0.18407069968000001</v>
      </c>
      <c r="BI147" s="137">
        <f t="shared" si="21"/>
        <v>0.39682407820999999</v>
      </c>
      <c r="BJ147" s="137">
        <f t="shared" si="20"/>
        <v>0.37859344814000001</v>
      </c>
      <c r="BK147" s="137">
        <f t="shared" si="20"/>
        <v>2.2912556805000001E-2</v>
      </c>
      <c r="BL147" s="137">
        <f t="shared" si="20"/>
        <v>3.8976200412000002</v>
      </c>
      <c r="BM147" s="137">
        <f t="shared" si="20"/>
        <v>0.41716392634999999</v>
      </c>
    </row>
    <row r="148" spans="1:65" x14ac:dyDescent="0.25">
      <c r="A148" s="149">
        <v>87</v>
      </c>
      <c r="B148" s="149">
        <v>43</v>
      </c>
      <c r="C148" s="61">
        <v>43.110801000000002</v>
      </c>
      <c r="D148" s="61">
        <v>-70.750540000000001</v>
      </c>
      <c r="E148" s="61" t="s">
        <v>265</v>
      </c>
      <c r="F148" s="149">
        <v>53</v>
      </c>
      <c r="G148" s="61" t="s">
        <v>565</v>
      </c>
      <c r="H148" s="61" t="s">
        <v>634</v>
      </c>
      <c r="I148" s="61">
        <v>42.365613000000003</v>
      </c>
      <c r="J148" s="61">
        <v>-71.009559999999993</v>
      </c>
      <c r="K148" s="61">
        <v>116.9533083</v>
      </c>
      <c r="L148" s="61">
        <v>92.052999999999997</v>
      </c>
      <c r="M148" s="61" t="s">
        <v>617</v>
      </c>
      <c r="N148" s="149">
        <v>42</v>
      </c>
      <c r="O148" s="149">
        <v>43</v>
      </c>
      <c r="P148" s="61" t="s">
        <v>565</v>
      </c>
      <c r="Q148" s="61" t="s">
        <v>555</v>
      </c>
      <c r="R148" s="61">
        <v>40.6895314</v>
      </c>
      <c r="S148" s="61">
        <v>-74.174462399999996</v>
      </c>
      <c r="T148" s="61">
        <v>447.81700000000001</v>
      </c>
      <c r="U148" s="61" t="s">
        <v>617</v>
      </c>
      <c r="V148" s="61" t="s">
        <v>617</v>
      </c>
      <c r="W148" s="61"/>
      <c r="Y148" s="137">
        <f>Summary_LCIA!H$32</f>
        <v>0.33979999999999999</v>
      </c>
      <c r="Z148" s="137">
        <f>Summary_LCIA!Q$32</f>
        <v>4.9560504329999997</v>
      </c>
      <c r="AA148" s="137">
        <f>Summary_LCIA!R$32</f>
        <v>5.2655999999999996E-3</v>
      </c>
      <c r="AB148" s="137">
        <f>Summary_LCIA!S$32</f>
        <v>0.33538000000000001</v>
      </c>
      <c r="AC148" s="137">
        <f>Summary_LCIA!T$32</f>
        <v>0.1099</v>
      </c>
      <c r="AD148" s="137">
        <f>Summary_LCIA!U$32</f>
        <v>1.7913999999999999E-2</v>
      </c>
      <c r="AE148" s="137">
        <f>Summary_LCIA!V$32</f>
        <v>4.7760999999999999E-5</v>
      </c>
      <c r="AF148" s="137">
        <f>Summary_LCIA!W$32</f>
        <v>7.6970999999999998E-2</v>
      </c>
      <c r="AG148" s="137">
        <f>Summary_LCIA!X$32</f>
        <v>2.2780000000000002E-2</v>
      </c>
      <c r="AH148" s="137">
        <f>Summary_LCIA!Y$32</f>
        <v>1.5582E-2</v>
      </c>
      <c r="AI148" s="137">
        <f>Summary_LCIA!Z$32</f>
        <v>4.1009E-5</v>
      </c>
      <c r="AJ148" s="137">
        <f>Summary_LCIA!AA$32</f>
        <v>2.3355999999999998E-2</v>
      </c>
      <c r="AK148" s="137">
        <f>Summary_LCIA!AB$32</f>
        <v>-2.1823000000000001E-5</v>
      </c>
      <c r="AL148" s="137">
        <f>Summary_LCIA!AC$32</f>
        <v>4.8884000000000003E-8</v>
      </c>
      <c r="AM148" s="137">
        <f>Summary_LCIA!AD$32</f>
        <v>4.1103999999999999E-4</v>
      </c>
      <c r="AN148" s="137">
        <f>Summary_LCIA!AE$32</f>
        <v>8.8612999999999995E-4</v>
      </c>
      <c r="AO148" s="137">
        <f>Summary_LCIA!AF$32</f>
        <v>8.4542000000000005E-4</v>
      </c>
      <c r="AP148" s="137">
        <f>Summary_LCIA!AG$32</f>
        <v>5.1165000000000002E-5</v>
      </c>
      <c r="AQ148" s="137">
        <f>Summary_LCIA!AH$32</f>
        <v>8.7036000000000006E-3</v>
      </c>
      <c r="AR148" s="137">
        <f>Summary_LCIA!AI$32</f>
        <v>9.3154999999999996E-4</v>
      </c>
      <c r="AT148" s="137">
        <f t="shared" si="21"/>
        <v>152.16821659999999</v>
      </c>
      <c r="AU148" s="137">
        <f t="shared" si="21"/>
        <v>2219.403636754761</v>
      </c>
      <c r="AV148" s="137">
        <f t="shared" si="21"/>
        <v>2.3580251951999998</v>
      </c>
      <c r="AW148" s="137">
        <f t="shared" si="21"/>
        <v>150.18886546000002</v>
      </c>
      <c r="AX148" s="137">
        <f t="shared" si="21"/>
        <v>49.215088299999998</v>
      </c>
      <c r="AY148" s="137">
        <f t="shared" si="21"/>
        <v>8.0221937380000004</v>
      </c>
      <c r="AZ148" s="137">
        <f t="shared" si="21"/>
        <v>2.1388187736999999E-2</v>
      </c>
      <c r="BA148" s="137">
        <f t="shared" si="21"/>
        <v>34.468922307</v>
      </c>
      <c r="BB148" s="137">
        <f t="shared" si="21"/>
        <v>10.20127126</v>
      </c>
      <c r="BC148" s="137">
        <f t="shared" si="21"/>
        <v>6.9778844940000004</v>
      </c>
      <c r="BD148" s="137">
        <f t="shared" si="21"/>
        <v>1.8364527352999999E-2</v>
      </c>
      <c r="BE148" s="137">
        <f t="shared" si="21"/>
        <v>10.459213852</v>
      </c>
      <c r="BF148" s="137">
        <f t="shared" si="21"/>
        <v>-9.7727103910000002E-3</v>
      </c>
      <c r="BG148" s="137">
        <f t="shared" si="21"/>
        <v>2.1891086228000002E-5</v>
      </c>
      <c r="BH148" s="137">
        <f t="shared" si="21"/>
        <v>0.18407069968000001</v>
      </c>
      <c r="BI148" s="137">
        <f t="shared" si="21"/>
        <v>0.39682407820999999</v>
      </c>
      <c r="BJ148" s="137">
        <f t="shared" si="20"/>
        <v>0.37859344814000001</v>
      </c>
      <c r="BK148" s="137">
        <f t="shared" si="20"/>
        <v>2.2912556805000001E-2</v>
      </c>
      <c r="BL148" s="137">
        <f t="shared" si="20"/>
        <v>3.8976200412000002</v>
      </c>
      <c r="BM148" s="137">
        <f t="shared" si="20"/>
        <v>0.41716392634999999</v>
      </c>
    </row>
    <row r="149" spans="1:65" x14ac:dyDescent="0.25">
      <c r="A149" s="149">
        <v>88</v>
      </c>
      <c r="B149" s="149">
        <v>43</v>
      </c>
      <c r="C149" s="61">
        <v>43.110801000000002</v>
      </c>
      <c r="D149" s="61">
        <v>-70.750540000000001</v>
      </c>
      <c r="E149" s="61" t="s">
        <v>265</v>
      </c>
      <c r="F149" s="149">
        <v>53</v>
      </c>
      <c r="G149" s="61" t="s">
        <v>565</v>
      </c>
      <c r="H149" s="61" t="s">
        <v>634</v>
      </c>
      <c r="I149" s="61">
        <v>42.365613000000003</v>
      </c>
      <c r="J149" s="61">
        <v>-71.009559999999993</v>
      </c>
      <c r="K149" s="61">
        <v>116.9533083</v>
      </c>
      <c r="L149" s="61">
        <v>92.052999999999997</v>
      </c>
      <c r="M149" s="61" t="s">
        <v>617</v>
      </c>
      <c r="N149" s="149">
        <v>42</v>
      </c>
      <c r="O149" s="149">
        <v>43</v>
      </c>
      <c r="P149" s="61" t="s">
        <v>565</v>
      </c>
      <c r="Q149" s="61" t="s">
        <v>555</v>
      </c>
      <c r="R149" s="61">
        <v>40.6895314</v>
      </c>
      <c r="S149" s="61">
        <v>-74.174462399999996</v>
      </c>
      <c r="T149" s="61">
        <v>447.81700000000001</v>
      </c>
      <c r="U149" s="61" t="s">
        <v>617</v>
      </c>
      <c r="V149" s="61" t="s">
        <v>617</v>
      </c>
      <c r="W149" s="61"/>
      <c r="Y149" s="137">
        <f>Summary_LCIA!H$32</f>
        <v>0.33979999999999999</v>
      </c>
      <c r="Z149" s="137">
        <f>Summary_LCIA!Q$32</f>
        <v>4.9560504329999997</v>
      </c>
      <c r="AA149" s="137">
        <f>Summary_LCIA!R$32</f>
        <v>5.2655999999999996E-3</v>
      </c>
      <c r="AB149" s="137">
        <f>Summary_LCIA!S$32</f>
        <v>0.33538000000000001</v>
      </c>
      <c r="AC149" s="137">
        <f>Summary_LCIA!T$32</f>
        <v>0.1099</v>
      </c>
      <c r="AD149" s="137">
        <f>Summary_LCIA!U$32</f>
        <v>1.7913999999999999E-2</v>
      </c>
      <c r="AE149" s="137">
        <f>Summary_LCIA!V$32</f>
        <v>4.7760999999999999E-5</v>
      </c>
      <c r="AF149" s="137">
        <f>Summary_LCIA!W$32</f>
        <v>7.6970999999999998E-2</v>
      </c>
      <c r="AG149" s="137">
        <f>Summary_LCIA!X$32</f>
        <v>2.2780000000000002E-2</v>
      </c>
      <c r="AH149" s="137">
        <f>Summary_LCIA!Y$32</f>
        <v>1.5582E-2</v>
      </c>
      <c r="AI149" s="137">
        <f>Summary_LCIA!Z$32</f>
        <v>4.1009E-5</v>
      </c>
      <c r="AJ149" s="137">
        <f>Summary_LCIA!AA$32</f>
        <v>2.3355999999999998E-2</v>
      </c>
      <c r="AK149" s="137">
        <f>Summary_LCIA!AB$32</f>
        <v>-2.1823000000000001E-5</v>
      </c>
      <c r="AL149" s="137">
        <f>Summary_LCIA!AC$32</f>
        <v>4.8884000000000003E-8</v>
      </c>
      <c r="AM149" s="137">
        <f>Summary_LCIA!AD$32</f>
        <v>4.1103999999999999E-4</v>
      </c>
      <c r="AN149" s="137">
        <f>Summary_LCIA!AE$32</f>
        <v>8.8612999999999995E-4</v>
      </c>
      <c r="AO149" s="137">
        <f>Summary_LCIA!AF$32</f>
        <v>8.4542000000000005E-4</v>
      </c>
      <c r="AP149" s="137">
        <f>Summary_LCIA!AG$32</f>
        <v>5.1165000000000002E-5</v>
      </c>
      <c r="AQ149" s="137">
        <f>Summary_LCIA!AH$32</f>
        <v>8.7036000000000006E-3</v>
      </c>
      <c r="AR149" s="137">
        <f>Summary_LCIA!AI$32</f>
        <v>9.3154999999999996E-4</v>
      </c>
      <c r="AT149" s="137">
        <f t="shared" si="21"/>
        <v>152.16821659999999</v>
      </c>
      <c r="AU149" s="137">
        <f t="shared" si="21"/>
        <v>2219.403636754761</v>
      </c>
      <c r="AV149" s="137">
        <f t="shared" si="21"/>
        <v>2.3580251951999998</v>
      </c>
      <c r="AW149" s="137">
        <f t="shared" si="21"/>
        <v>150.18886546000002</v>
      </c>
      <c r="AX149" s="137">
        <f t="shared" si="21"/>
        <v>49.215088299999998</v>
      </c>
      <c r="AY149" s="137">
        <f t="shared" si="21"/>
        <v>8.0221937380000004</v>
      </c>
      <c r="AZ149" s="137">
        <f t="shared" si="21"/>
        <v>2.1388187736999999E-2</v>
      </c>
      <c r="BA149" s="137">
        <f t="shared" si="21"/>
        <v>34.468922307</v>
      </c>
      <c r="BB149" s="137">
        <f t="shared" si="21"/>
        <v>10.20127126</v>
      </c>
      <c r="BC149" s="137">
        <f t="shared" si="21"/>
        <v>6.9778844940000004</v>
      </c>
      <c r="BD149" s="137">
        <f t="shared" si="21"/>
        <v>1.8364527352999999E-2</v>
      </c>
      <c r="BE149" s="137">
        <f t="shared" si="21"/>
        <v>10.459213852</v>
      </c>
      <c r="BF149" s="137">
        <f t="shared" si="21"/>
        <v>-9.7727103910000002E-3</v>
      </c>
      <c r="BG149" s="137">
        <f t="shared" si="21"/>
        <v>2.1891086228000002E-5</v>
      </c>
      <c r="BH149" s="137">
        <f t="shared" si="21"/>
        <v>0.18407069968000001</v>
      </c>
      <c r="BI149" s="137">
        <f t="shared" si="21"/>
        <v>0.39682407820999999</v>
      </c>
      <c r="BJ149" s="137">
        <f t="shared" si="20"/>
        <v>0.37859344814000001</v>
      </c>
      <c r="BK149" s="137">
        <f t="shared" si="20"/>
        <v>2.2912556805000001E-2</v>
      </c>
      <c r="BL149" s="137">
        <f t="shared" si="20"/>
        <v>3.8976200412000002</v>
      </c>
      <c r="BM149" s="137">
        <f t="shared" si="20"/>
        <v>0.41716392634999999</v>
      </c>
    </row>
    <row r="150" spans="1:65" x14ac:dyDescent="0.25">
      <c r="A150" s="149">
        <v>211</v>
      </c>
      <c r="B150" s="149">
        <v>43</v>
      </c>
      <c r="C150" s="61">
        <v>43.197862000000001</v>
      </c>
      <c r="D150" s="61">
        <v>-70.873670000000004</v>
      </c>
      <c r="E150" s="61" t="s">
        <v>265</v>
      </c>
      <c r="F150" s="149">
        <v>53</v>
      </c>
      <c r="G150" s="61" t="s">
        <v>565</v>
      </c>
      <c r="H150" s="61" t="s">
        <v>634</v>
      </c>
      <c r="I150" s="61">
        <v>42.365613000000003</v>
      </c>
      <c r="J150" s="61">
        <v>-71.009559999999993</v>
      </c>
      <c r="K150" s="61">
        <v>127.17130450000001</v>
      </c>
      <c r="L150" s="61">
        <v>104.06699999999999</v>
      </c>
      <c r="M150" s="61" t="s">
        <v>617</v>
      </c>
      <c r="N150" s="149">
        <v>42</v>
      </c>
      <c r="O150" s="149">
        <v>43</v>
      </c>
      <c r="P150" s="61" t="s">
        <v>565</v>
      </c>
      <c r="Q150" s="61" t="s">
        <v>555</v>
      </c>
      <c r="R150" s="61">
        <v>40.6895314</v>
      </c>
      <c r="S150" s="61">
        <v>-74.174462399999996</v>
      </c>
      <c r="T150" s="61">
        <v>459.83100000000002</v>
      </c>
      <c r="U150" s="61" t="s">
        <v>617</v>
      </c>
      <c r="V150" s="61" t="s">
        <v>617</v>
      </c>
      <c r="W150" s="61"/>
      <c r="Y150" s="137">
        <f>Summary_LCIA!H$32</f>
        <v>0.33979999999999999</v>
      </c>
      <c r="Z150" s="137">
        <f>Summary_LCIA!Q$32</f>
        <v>4.9560504329999997</v>
      </c>
      <c r="AA150" s="137">
        <f>Summary_LCIA!R$32</f>
        <v>5.2655999999999996E-3</v>
      </c>
      <c r="AB150" s="137">
        <f>Summary_LCIA!S$32</f>
        <v>0.33538000000000001</v>
      </c>
      <c r="AC150" s="137">
        <f>Summary_LCIA!T$32</f>
        <v>0.1099</v>
      </c>
      <c r="AD150" s="137">
        <f>Summary_LCIA!U$32</f>
        <v>1.7913999999999999E-2</v>
      </c>
      <c r="AE150" s="137">
        <f>Summary_LCIA!V$32</f>
        <v>4.7760999999999999E-5</v>
      </c>
      <c r="AF150" s="137">
        <f>Summary_LCIA!W$32</f>
        <v>7.6970999999999998E-2</v>
      </c>
      <c r="AG150" s="137">
        <f>Summary_LCIA!X$32</f>
        <v>2.2780000000000002E-2</v>
      </c>
      <c r="AH150" s="137">
        <f>Summary_LCIA!Y$32</f>
        <v>1.5582E-2</v>
      </c>
      <c r="AI150" s="137">
        <f>Summary_LCIA!Z$32</f>
        <v>4.1009E-5</v>
      </c>
      <c r="AJ150" s="137">
        <f>Summary_LCIA!AA$32</f>
        <v>2.3355999999999998E-2</v>
      </c>
      <c r="AK150" s="137">
        <f>Summary_LCIA!AB$32</f>
        <v>-2.1823000000000001E-5</v>
      </c>
      <c r="AL150" s="137">
        <f>Summary_LCIA!AC$32</f>
        <v>4.8884000000000003E-8</v>
      </c>
      <c r="AM150" s="137">
        <f>Summary_LCIA!AD$32</f>
        <v>4.1103999999999999E-4</v>
      </c>
      <c r="AN150" s="137">
        <f>Summary_LCIA!AE$32</f>
        <v>8.8612999999999995E-4</v>
      </c>
      <c r="AO150" s="137">
        <f>Summary_LCIA!AF$32</f>
        <v>8.4542000000000005E-4</v>
      </c>
      <c r="AP150" s="137">
        <f>Summary_LCIA!AG$32</f>
        <v>5.1165000000000002E-5</v>
      </c>
      <c r="AQ150" s="137">
        <f>Summary_LCIA!AH$32</f>
        <v>8.7036000000000006E-3</v>
      </c>
      <c r="AR150" s="137">
        <f>Summary_LCIA!AI$32</f>
        <v>9.3154999999999996E-4</v>
      </c>
      <c r="AT150" s="137">
        <f t="shared" si="21"/>
        <v>156.25057380000001</v>
      </c>
      <c r="AU150" s="137">
        <f t="shared" si="21"/>
        <v>2278.9456266568232</v>
      </c>
      <c r="AV150" s="137">
        <f t="shared" si="21"/>
        <v>2.4212861135999999</v>
      </c>
      <c r="AW150" s="137">
        <f t="shared" si="21"/>
        <v>154.21812078000002</v>
      </c>
      <c r="AX150" s="137">
        <f t="shared" si="21"/>
        <v>50.535426899999997</v>
      </c>
      <c r="AY150" s="137">
        <f t="shared" si="21"/>
        <v>8.2374125340000006</v>
      </c>
      <c r="AZ150" s="137">
        <f t="shared" si="21"/>
        <v>2.1961988391000001E-2</v>
      </c>
      <c r="BA150" s="137">
        <f t="shared" si="21"/>
        <v>35.393651900999998</v>
      </c>
      <c r="BB150" s="137">
        <f t="shared" si="21"/>
        <v>10.47495018</v>
      </c>
      <c r="BC150" s="137">
        <f t="shared" si="21"/>
        <v>7.1650866420000003</v>
      </c>
      <c r="BD150" s="137">
        <f t="shared" si="21"/>
        <v>1.8857209478999999E-2</v>
      </c>
      <c r="BE150" s="137">
        <f t="shared" si="21"/>
        <v>10.739812836</v>
      </c>
      <c r="BF150" s="137">
        <f t="shared" si="21"/>
        <v>-1.0034891913000001E-2</v>
      </c>
      <c r="BG150" s="137">
        <f t="shared" si="21"/>
        <v>2.2478378604000002E-5</v>
      </c>
      <c r="BH150" s="137">
        <f t="shared" si="21"/>
        <v>0.18900893424000001</v>
      </c>
      <c r="BI150" s="137">
        <f t="shared" si="21"/>
        <v>0.40747004402999998</v>
      </c>
      <c r="BJ150" s="137">
        <f t="shared" si="20"/>
        <v>0.38875032402000004</v>
      </c>
      <c r="BK150" s="137">
        <f t="shared" si="20"/>
        <v>2.3527253115000001E-2</v>
      </c>
      <c r="BL150" s="137">
        <f t="shared" si="20"/>
        <v>4.0021850916000004</v>
      </c>
      <c r="BM150" s="137">
        <f t="shared" si="20"/>
        <v>0.42835556804999997</v>
      </c>
    </row>
    <row r="151" spans="1:65" x14ac:dyDescent="0.25">
      <c r="A151" s="149">
        <v>19</v>
      </c>
      <c r="B151" s="149">
        <v>43</v>
      </c>
      <c r="C151" s="61">
        <v>43.183446000000004</v>
      </c>
      <c r="D151" s="61">
        <v>-70.608591000000004</v>
      </c>
      <c r="E151" s="61" t="s">
        <v>265</v>
      </c>
      <c r="F151" s="149">
        <v>53</v>
      </c>
      <c r="G151" s="61" t="s">
        <v>565</v>
      </c>
      <c r="H151" s="61" t="s">
        <v>634</v>
      </c>
      <c r="I151" s="61">
        <v>42.365613000000003</v>
      </c>
      <c r="J151" s="61">
        <v>-71.009559999999993</v>
      </c>
      <c r="K151" s="61">
        <v>131.74496160000001</v>
      </c>
      <c r="L151" s="61">
        <v>107.55800000000001</v>
      </c>
      <c r="M151" s="61" t="s">
        <v>617</v>
      </c>
      <c r="N151" s="149">
        <v>42</v>
      </c>
      <c r="O151" s="149">
        <v>43</v>
      </c>
      <c r="P151" s="61" t="s">
        <v>565</v>
      </c>
      <c r="Q151" s="61" t="s">
        <v>555</v>
      </c>
      <c r="R151" s="61">
        <v>40.6895314</v>
      </c>
      <c r="S151" s="61">
        <v>-74.174462399999996</v>
      </c>
      <c r="T151" s="61">
        <v>463.322</v>
      </c>
      <c r="U151" s="61" t="s">
        <v>617</v>
      </c>
      <c r="V151" s="61" t="s">
        <v>617</v>
      </c>
      <c r="W151" s="61"/>
      <c r="Y151" s="137">
        <f>Summary_LCIA!H$32</f>
        <v>0.33979999999999999</v>
      </c>
      <c r="Z151" s="137">
        <f>Summary_LCIA!Q$32</f>
        <v>4.9560504329999997</v>
      </c>
      <c r="AA151" s="137">
        <f>Summary_LCIA!R$32</f>
        <v>5.2655999999999996E-3</v>
      </c>
      <c r="AB151" s="137">
        <f>Summary_LCIA!S$32</f>
        <v>0.33538000000000001</v>
      </c>
      <c r="AC151" s="137">
        <f>Summary_LCIA!T$32</f>
        <v>0.1099</v>
      </c>
      <c r="AD151" s="137">
        <f>Summary_LCIA!U$32</f>
        <v>1.7913999999999999E-2</v>
      </c>
      <c r="AE151" s="137">
        <f>Summary_LCIA!V$32</f>
        <v>4.7760999999999999E-5</v>
      </c>
      <c r="AF151" s="137">
        <f>Summary_LCIA!W$32</f>
        <v>7.6970999999999998E-2</v>
      </c>
      <c r="AG151" s="137">
        <f>Summary_LCIA!X$32</f>
        <v>2.2780000000000002E-2</v>
      </c>
      <c r="AH151" s="137">
        <f>Summary_LCIA!Y$32</f>
        <v>1.5582E-2</v>
      </c>
      <c r="AI151" s="137">
        <f>Summary_LCIA!Z$32</f>
        <v>4.1009E-5</v>
      </c>
      <c r="AJ151" s="137">
        <f>Summary_LCIA!AA$32</f>
        <v>2.3355999999999998E-2</v>
      </c>
      <c r="AK151" s="137">
        <f>Summary_LCIA!AB$32</f>
        <v>-2.1823000000000001E-5</v>
      </c>
      <c r="AL151" s="137">
        <f>Summary_LCIA!AC$32</f>
        <v>4.8884000000000003E-8</v>
      </c>
      <c r="AM151" s="137">
        <f>Summary_LCIA!AD$32</f>
        <v>4.1103999999999999E-4</v>
      </c>
      <c r="AN151" s="137">
        <f>Summary_LCIA!AE$32</f>
        <v>8.8612999999999995E-4</v>
      </c>
      <c r="AO151" s="137">
        <f>Summary_LCIA!AF$32</f>
        <v>8.4542000000000005E-4</v>
      </c>
      <c r="AP151" s="137">
        <f>Summary_LCIA!AG$32</f>
        <v>5.1165000000000002E-5</v>
      </c>
      <c r="AQ151" s="137">
        <f>Summary_LCIA!AH$32</f>
        <v>8.7036000000000006E-3</v>
      </c>
      <c r="AR151" s="137">
        <f>Summary_LCIA!AI$32</f>
        <v>9.3154999999999996E-4</v>
      </c>
      <c r="AT151" s="137">
        <f t="shared" si="21"/>
        <v>157.43681559999999</v>
      </c>
      <c r="AU151" s="137">
        <f t="shared" si="21"/>
        <v>2296.2471987184258</v>
      </c>
      <c r="AV151" s="137">
        <f t="shared" si="21"/>
        <v>2.4396683231999998</v>
      </c>
      <c r="AW151" s="137">
        <f t="shared" si="21"/>
        <v>155.38893236000001</v>
      </c>
      <c r="AX151" s="137">
        <f t="shared" si="21"/>
        <v>50.9190878</v>
      </c>
      <c r="AY151" s="137">
        <f t="shared" si="21"/>
        <v>8.2999503079999997</v>
      </c>
      <c r="AZ151" s="137">
        <f t="shared" si="21"/>
        <v>2.2128722042000001E-2</v>
      </c>
      <c r="BA151" s="137">
        <f t="shared" si="21"/>
        <v>35.662357661999998</v>
      </c>
      <c r="BB151" s="137">
        <f t="shared" si="21"/>
        <v>10.554475160000001</v>
      </c>
      <c r="BC151" s="137">
        <f t="shared" si="21"/>
        <v>7.219483404</v>
      </c>
      <c r="BD151" s="137">
        <f t="shared" si="21"/>
        <v>1.9000371897999999E-2</v>
      </c>
      <c r="BE151" s="137">
        <f t="shared" si="21"/>
        <v>10.821348631999999</v>
      </c>
      <c r="BF151" s="137">
        <f t="shared" si="21"/>
        <v>-1.0111076006000001E-2</v>
      </c>
      <c r="BG151" s="137">
        <f t="shared" si="21"/>
        <v>2.2649032648000002E-5</v>
      </c>
      <c r="BH151" s="137">
        <f t="shared" si="21"/>
        <v>0.19044387488</v>
      </c>
      <c r="BI151" s="137">
        <f t="shared" si="21"/>
        <v>0.41056352386</v>
      </c>
      <c r="BJ151" s="137">
        <f t="shared" si="20"/>
        <v>0.39170168524000004</v>
      </c>
      <c r="BK151" s="137">
        <f t="shared" si="20"/>
        <v>2.3705870130000001E-2</v>
      </c>
      <c r="BL151" s="137">
        <f t="shared" si="20"/>
        <v>4.0325693592</v>
      </c>
      <c r="BM151" s="137">
        <f t="shared" si="20"/>
        <v>0.43160760909999996</v>
      </c>
    </row>
    <row r="152" spans="1:65" x14ac:dyDescent="0.25">
      <c r="A152" s="149">
        <v>130</v>
      </c>
      <c r="B152" s="149">
        <v>15</v>
      </c>
      <c r="C152" s="61">
        <v>51.048797</v>
      </c>
      <c r="D152" s="61">
        <v>13.721128999999999</v>
      </c>
      <c r="E152" s="61" t="s">
        <v>281</v>
      </c>
      <c r="F152" s="149">
        <v>38</v>
      </c>
      <c r="G152" s="61" t="s">
        <v>567</v>
      </c>
      <c r="H152" s="61" t="s">
        <v>678</v>
      </c>
      <c r="I152" s="61">
        <v>48.353696999999997</v>
      </c>
      <c r="J152" s="61">
        <v>11.775111000000001</v>
      </c>
      <c r="K152" s="61">
        <v>332.0913797</v>
      </c>
      <c r="L152" s="61">
        <v>445.78</v>
      </c>
      <c r="M152" s="61" t="s">
        <v>617</v>
      </c>
      <c r="N152" s="149">
        <v>14</v>
      </c>
      <c r="O152" s="149">
        <v>15</v>
      </c>
      <c r="P152" s="61" t="s">
        <v>567</v>
      </c>
      <c r="Q152" s="61" t="s">
        <v>566</v>
      </c>
      <c r="R152" s="61">
        <v>50.037932599999998</v>
      </c>
      <c r="S152" s="61">
        <v>8.5621518000000005</v>
      </c>
      <c r="T152" s="61">
        <v>467.15100000000001</v>
      </c>
      <c r="U152" s="61" t="s">
        <v>617</v>
      </c>
      <c r="V152" s="61" t="s">
        <v>617</v>
      </c>
      <c r="W152" s="61"/>
      <c r="Y152" s="137">
        <f>Summary_LCIA!H$32</f>
        <v>0.33979999999999999</v>
      </c>
      <c r="Z152" s="137">
        <f>Summary_LCIA!Q$32</f>
        <v>4.9560504329999997</v>
      </c>
      <c r="AA152" s="137">
        <f>Summary_LCIA!R$32</f>
        <v>5.2655999999999996E-3</v>
      </c>
      <c r="AB152" s="137">
        <f>Summary_LCIA!S$32</f>
        <v>0.33538000000000001</v>
      </c>
      <c r="AC152" s="137">
        <f>Summary_LCIA!T$32</f>
        <v>0.1099</v>
      </c>
      <c r="AD152" s="137">
        <f>Summary_LCIA!U$32</f>
        <v>1.7913999999999999E-2</v>
      </c>
      <c r="AE152" s="137">
        <f>Summary_LCIA!V$32</f>
        <v>4.7760999999999999E-5</v>
      </c>
      <c r="AF152" s="137">
        <f>Summary_LCIA!W$32</f>
        <v>7.6970999999999998E-2</v>
      </c>
      <c r="AG152" s="137">
        <f>Summary_LCIA!X$32</f>
        <v>2.2780000000000002E-2</v>
      </c>
      <c r="AH152" s="137">
        <f>Summary_LCIA!Y$32</f>
        <v>1.5582E-2</v>
      </c>
      <c r="AI152" s="137">
        <f>Summary_LCIA!Z$32</f>
        <v>4.1009E-5</v>
      </c>
      <c r="AJ152" s="137">
        <f>Summary_LCIA!AA$32</f>
        <v>2.3355999999999998E-2</v>
      </c>
      <c r="AK152" s="137">
        <f>Summary_LCIA!AB$32</f>
        <v>-2.1823000000000001E-5</v>
      </c>
      <c r="AL152" s="137">
        <f>Summary_LCIA!AC$32</f>
        <v>4.8884000000000003E-8</v>
      </c>
      <c r="AM152" s="137">
        <f>Summary_LCIA!AD$32</f>
        <v>4.1103999999999999E-4</v>
      </c>
      <c r="AN152" s="137">
        <f>Summary_LCIA!AE$32</f>
        <v>8.8612999999999995E-4</v>
      </c>
      <c r="AO152" s="137">
        <f>Summary_LCIA!AF$32</f>
        <v>8.4542000000000005E-4</v>
      </c>
      <c r="AP152" s="137">
        <f>Summary_LCIA!AG$32</f>
        <v>5.1165000000000002E-5</v>
      </c>
      <c r="AQ152" s="137">
        <f>Summary_LCIA!AH$32</f>
        <v>8.7036000000000006E-3</v>
      </c>
      <c r="AR152" s="137">
        <f>Summary_LCIA!AI$32</f>
        <v>9.3154999999999996E-4</v>
      </c>
      <c r="AT152" s="137">
        <f t="shared" si="21"/>
        <v>158.73790980000001</v>
      </c>
      <c r="AU152" s="137">
        <f t="shared" si="21"/>
        <v>2315.2239158263828</v>
      </c>
      <c r="AV152" s="137">
        <f t="shared" si="21"/>
        <v>2.4598303055999997</v>
      </c>
      <c r="AW152" s="137">
        <f t="shared" si="21"/>
        <v>156.67310238000002</v>
      </c>
      <c r="AX152" s="137">
        <f t="shared" si="21"/>
        <v>51.339894899999997</v>
      </c>
      <c r="AY152" s="137">
        <f t="shared" si="21"/>
        <v>8.3685430140000001</v>
      </c>
      <c r="AZ152" s="137">
        <f t="shared" si="21"/>
        <v>2.2311598911E-2</v>
      </c>
      <c r="BA152" s="137">
        <f t="shared" si="21"/>
        <v>35.957079620999998</v>
      </c>
      <c r="BB152" s="137">
        <f t="shared" si="21"/>
        <v>10.641699780000001</v>
      </c>
      <c r="BC152" s="137">
        <f t="shared" si="21"/>
        <v>7.279146882</v>
      </c>
      <c r="BD152" s="137">
        <f t="shared" si="21"/>
        <v>1.9157395359000001E-2</v>
      </c>
      <c r="BE152" s="137">
        <f t="shared" si="21"/>
        <v>10.910778755999999</v>
      </c>
      <c r="BF152" s="137">
        <f t="shared" si="21"/>
        <v>-1.0194636273000001E-2</v>
      </c>
      <c r="BG152" s="137">
        <f t="shared" si="21"/>
        <v>2.2836209484000001E-5</v>
      </c>
      <c r="BH152" s="137">
        <f t="shared" si="21"/>
        <v>0.19201774703999999</v>
      </c>
      <c r="BI152" s="137">
        <f t="shared" si="21"/>
        <v>0.41395651562999997</v>
      </c>
      <c r="BJ152" s="137">
        <f t="shared" si="20"/>
        <v>0.39493879842000001</v>
      </c>
      <c r="BK152" s="137">
        <f t="shared" si="20"/>
        <v>2.3901780915E-2</v>
      </c>
      <c r="BL152" s="137">
        <f t="shared" si="20"/>
        <v>4.0658954436000005</v>
      </c>
      <c r="BM152" s="137">
        <f t="shared" si="20"/>
        <v>0.43517451405000002</v>
      </c>
    </row>
    <row r="153" spans="1:65" x14ac:dyDescent="0.25">
      <c r="A153" s="149">
        <v>204</v>
      </c>
      <c r="B153" s="149">
        <v>6</v>
      </c>
      <c r="C153" s="61">
        <v>42.32226</v>
      </c>
      <c r="D153" s="61">
        <v>-83.176315000000002</v>
      </c>
      <c r="E153" s="61" t="s">
        <v>265</v>
      </c>
      <c r="F153" s="149">
        <v>78</v>
      </c>
      <c r="G153" s="61" t="s">
        <v>615</v>
      </c>
      <c r="H153" s="61" t="s">
        <v>616</v>
      </c>
      <c r="I153" s="61">
        <v>42.216248999999998</v>
      </c>
      <c r="J153" s="61">
        <v>-83.355363999999994</v>
      </c>
      <c r="K153" s="61">
        <v>23.652639489999999</v>
      </c>
      <c r="L153" s="61">
        <v>22.933</v>
      </c>
      <c r="M153" s="61" t="s">
        <v>617</v>
      </c>
      <c r="N153" s="149">
        <v>5</v>
      </c>
      <c r="O153" s="149">
        <v>6</v>
      </c>
      <c r="P153" s="61" t="s">
        <v>565</v>
      </c>
      <c r="Q153" s="61" t="s">
        <v>564</v>
      </c>
      <c r="R153" s="61">
        <v>41.98028</v>
      </c>
      <c r="S153" s="61">
        <v>-87.908997900000003</v>
      </c>
      <c r="T153" s="61">
        <v>471.61900000000003</v>
      </c>
      <c r="U153" s="61" t="s">
        <v>617</v>
      </c>
      <c r="V153" s="61" t="s">
        <v>617</v>
      </c>
      <c r="W153" s="61"/>
      <c r="Y153" s="137">
        <f>Summary_LCIA!H$32</f>
        <v>0.33979999999999999</v>
      </c>
      <c r="Z153" s="137">
        <f>Summary_LCIA!Q$32</f>
        <v>4.9560504329999997</v>
      </c>
      <c r="AA153" s="137">
        <f>Summary_LCIA!R$32</f>
        <v>5.2655999999999996E-3</v>
      </c>
      <c r="AB153" s="137">
        <f>Summary_LCIA!S$32</f>
        <v>0.33538000000000001</v>
      </c>
      <c r="AC153" s="137">
        <f>Summary_LCIA!T$32</f>
        <v>0.1099</v>
      </c>
      <c r="AD153" s="137">
        <f>Summary_LCIA!U$32</f>
        <v>1.7913999999999999E-2</v>
      </c>
      <c r="AE153" s="137">
        <f>Summary_LCIA!V$32</f>
        <v>4.7760999999999999E-5</v>
      </c>
      <c r="AF153" s="137">
        <f>Summary_LCIA!W$32</f>
        <v>7.6970999999999998E-2</v>
      </c>
      <c r="AG153" s="137">
        <f>Summary_LCIA!X$32</f>
        <v>2.2780000000000002E-2</v>
      </c>
      <c r="AH153" s="137">
        <f>Summary_LCIA!Y$32</f>
        <v>1.5582E-2</v>
      </c>
      <c r="AI153" s="137">
        <f>Summary_LCIA!Z$32</f>
        <v>4.1009E-5</v>
      </c>
      <c r="AJ153" s="137">
        <f>Summary_LCIA!AA$32</f>
        <v>2.3355999999999998E-2</v>
      </c>
      <c r="AK153" s="137">
        <f>Summary_LCIA!AB$32</f>
        <v>-2.1823000000000001E-5</v>
      </c>
      <c r="AL153" s="137">
        <f>Summary_LCIA!AC$32</f>
        <v>4.8884000000000003E-8</v>
      </c>
      <c r="AM153" s="137">
        <f>Summary_LCIA!AD$32</f>
        <v>4.1103999999999999E-4</v>
      </c>
      <c r="AN153" s="137">
        <f>Summary_LCIA!AE$32</f>
        <v>8.8612999999999995E-4</v>
      </c>
      <c r="AO153" s="137">
        <f>Summary_LCIA!AF$32</f>
        <v>8.4542000000000005E-4</v>
      </c>
      <c r="AP153" s="137">
        <f>Summary_LCIA!AG$32</f>
        <v>5.1165000000000002E-5</v>
      </c>
      <c r="AQ153" s="137">
        <f>Summary_LCIA!AH$32</f>
        <v>8.7036000000000006E-3</v>
      </c>
      <c r="AR153" s="137">
        <f>Summary_LCIA!AI$32</f>
        <v>9.3154999999999996E-4</v>
      </c>
      <c r="AT153" s="137">
        <f t="shared" si="21"/>
        <v>160.25613620000001</v>
      </c>
      <c r="AU153" s="137">
        <f t="shared" si="21"/>
        <v>2337.367549161027</v>
      </c>
      <c r="AV153" s="137">
        <f t="shared" si="21"/>
        <v>2.4833570063999999</v>
      </c>
      <c r="AW153" s="137">
        <f t="shared" si="21"/>
        <v>158.17158022000001</v>
      </c>
      <c r="AX153" s="137">
        <f t="shared" si="21"/>
        <v>51.830928100000001</v>
      </c>
      <c r="AY153" s="137">
        <f t="shared" si="21"/>
        <v>8.4485827659999995</v>
      </c>
      <c r="AZ153" s="137">
        <f t="shared" si="21"/>
        <v>2.2524995059000002E-2</v>
      </c>
      <c r="BA153" s="137">
        <f t="shared" si="21"/>
        <v>36.300986049000002</v>
      </c>
      <c r="BB153" s="137">
        <f t="shared" si="21"/>
        <v>10.743480820000002</v>
      </c>
      <c r="BC153" s="137">
        <f t="shared" si="21"/>
        <v>7.3487672580000005</v>
      </c>
      <c r="BD153" s="137">
        <f t="shared" si="21"/>
        <v>1.9340623571000002E-2</v>
      </c>
      <c r="BE153" s="137">
        <f t="shared" si="21"/>
        <v>11.015133364</v>
      </c>
      <c r="BF153" s="137">
        <f t="shared" si="21"/>
        <v>-1.0292141437000002E-2</v>
      </c>
      <c r="BG153" s="137">
        <f t="shared" si="21"/>
        <v>2.3054623196000003E-5</v>
      </c>
      <c r="BH153" s="137">
        <f t="shared" si="21"/>
        <v>0.19385427376</v>
      </c>
      <c r="BI153" s="137">
        <f t="shared" si="21"/>
        <v>0.41791574447000002</v>
      </c>
      <c r="BJ153" s="137">
        <f t="shared" si="20"/>
        <v>0.39871613498000003</v>
      </c>
      <c r="BK153" s="137">
        <f t="shared" si="20"/>
        <v>2.4130386135000001E-2</v>
      </c>
      <c r="BL153" s="137">
        <f t="shared" si="20"/>
        <v>4.1047831284000003</v>
      </c>
      <c r="BM153" s="137">
        <f t="shared" si="20"/>
        <v>0.43933667944999999</v>
      </c>
    </row>
    <row r="154" spans="1:65" x14ac:dyDescent="0.25">
      <c r="A154" s="149">
        <v>380</v>
      </c>
      <c r="B154" s="149">
        <v>6</v>
      </c>
      <c r="C154" s="61">
        <v>42.214205999999997</v>
      </c>
      <c r="D154" s="61">
        <v>-83.149923999999999</v>
      </c>
      <c r="E154" s="61" t="s">
        <v>265</v>
      </c>
      <c r="F154" s="149">
        <v>78</v>
      </c>
      <c r="G154" s="61" t="s">
        <v>615</v>
      </c>
      <c r="H154" s="61" t="s">
        <v>616</v>
      </c>
      <c r="I154" s="61">
        <v>42.216248999999998</v>
      </c>
      <c r="J154" s="61">
        <v>-83.355363999999994</v>
      </c>
      <c r="K154" s="61">
        <v>17.006377449999999</v>
      </c>
      <c r="L154" s="61">
        <v>24.92</v>
      </c>
      <c r="M154" s="61" t="s">
        <v>617</v>
      </c>
      <c r="N154" s="149">
        <v>5</v>
      </c>
      <c r="O154" s="149">
        <v>6</v>
      </c>
      <c r="P154" s="61" t="s">
        <v>565</v>
      </c>
      <c r="Q154" s="61" t="s">
        <v>564</v>
      </c>
      <c r="R154" s="61">
        <v>41.98028</v>
      </c>
      <c r="S154" s="61">
        <v>-87.908997900000003</v>
      </c>
      <c r="T154" s="61">
        <v>473.60700000000003</v>
      </c>
      <c r="U154" s="61" t="s">
        <v>617</v>
      </c>
      <c r="V154" s="61" t="s">
        <v>617</v>
      </c>
      <c r="W154" s="61"/>
      <c r="Y154" s="137">
        <f>Summary_LCIA!H$32</f>
        <v>0.33979999999999999</v>
      </c>
      <c r="Z154" s="137">
        <f>Summary_LCIA!Q$32</f>
        <v>4.9560504329999997</v>
      </c>
      <c r="AA154" s="137">
        <f>Summary_LCIA!R$32</f>
        <v>5.2655999999999996E-3</v>
      </c>
      <c r="AB154" s="137">
        <f>Summary_LCIA!S$32</f>
        <v>0.33538000000000001</v>
      </c>
      <c r="AC154" s="137">
        <f>Summary_LCIA!T$32</f>
        <v>0.1099</v>
      </c>
      <c r="AD154" s="137">
        <f>Summary_LCIA!U$32</f>
        <v>1.7913999999999999E-2</v>
      </c>
      <c r="AE154" s="137">
        <f>Summary_LCIA!V$32</f>
        <v>4.7760999999999999E-5</v>
      </c>
      <c r="AF154" s="137">
        <f>Summary_LCIA!W$32</f>
        <v>7.6970999999999998E-2</v>
      </c>
      <c r="AG154" s="137">
        <f>Summary_LCIA!X$32</f>
        <v>2.2780000000000002E-2</v>
      </c>
      <c r="AH154" s="137">
        <f>Summary_LCIA!Y$32</f>
        <v>1.5582E-2</v>
      </c>
      <c r="AI154" s="137">
        <f>Summary_LCIA!Z$32</f>
        <v>4.1009E-5</v>
      </c>
      <c r="AJ154" s="137">
        <f>Summary_LCIA!AA$32</f>
        <v>2.3355999999999998E-2</v>
      </c>
      <c r="AK154" s="137">
        <f>Summary_LCIA!AB$32</f>
        <v>-2.1823000000000001E-5</v>
      </c>
      <c r="AL154" s="137">
        <f>Summary_LCIA!AC$32</f>
        <v>4.8884000000000003E-8</v>
      </c>
      <c r="AM154" s="137">
        <f>Summary_LCIA!AD$32</f>
        <v>4.1103999999999999E-4</v>
      </c>
      <c r="AN154" s="137">
        <f>Summary_LCIA!AE$32</f>
        <v>8.8612999999999995E-4</v>
      </c>
      <c r="AO154" s="137">
        <f>Summary_LCIA!AF$32</f>
        <v>8.4542000000000005E-4</v>
      </c>
      <c r="AP154" s="137">
        <f>Summary_LCIA!AG$32</f>
        <v>5.1165000000000002E-5</v>
      </c>
      <c r="AQ154" s="137">
        <f>Summary_LCIA!AH$32</f>
        <v>8.7036000000000006E-3</v>
      </c>
      <c r="AR154" s="137">
        <f>Summary_LCIA!AI$32</f>
        <v>9.3154999999999996E-4</v>
      </c>
      <c r="AT154" s="137">
        <f t="shared" si="21"/>
        <v>160.93165859999999</v>
      </c>
      <c r="AU154" s="137">
        <f t="shared" si="21"/>
        <v>2347.2201774218311</v>
      </c>
      <c r="AV154" s="137">
        <f t="shared" si="21"/>
        <v>2.4938250192</v>
      </c>
      <c r="AW154" s="137">
        <f t="shared" si="21"/>
        <v>158.83831566000001</v>
      </c>
      <c r="AX154" s="137">
        <f t="shared" si="21"/>
        <v>52.049409300000001</v>
      </c>
      <c r="AY154" s="137">
        <f t="shared" si="21"/>
        <v>8.484195798</v>
      </c>
      <c r="AZ154" s="137">
        <f t="shared" si="21"/>
        <v>2.2619943927000001E-2</v>
      </c>
      <c r="BA154" s="137">
        <f t="shared" si="21"/>
        <v>36.454004396999999</v>
      </c>
      <c r="BB154" s="137">
        <f t="shared" si="21"/>
        <v>10.788767460000001</v>
      </c>
      <c r="BC154" s="137">
        <f t="shared" si="21"/>
        <v>7.379744274000001</v>
      </c>
      <c r="BD154" s="137">
        <f t="shared" si="21"/>
        <v>1.9422149463000003E-2</v>
      </c>
      <c r="BE154" s="137">
        <f t="shared" si="21"/>
        <v>11.061565092</v>
      </c>
      <c r="BF154" s="137">
        <f t="shared" si="21"/>
        <v>-1.0335525561000002E-2</v>
      </c>
      <c r="BG154" s="137">
        <f t="shared" si="21"/>
        <v>2.3151804588000004E-5</v>
      </c>
      <c r="BH154" s="137">
        <f t="shared" si="21"/>
        <v>0.19467142128000001</v>
      </c>
      <c r="BI154" s="137">
        <f t="shared" si="21"/>
        <v>0.41967737091000001</v>
      </c>
      <c r="BJ154" s="137">
        <f t="shared" si="20"/>
        <v>0.40039682994000003</v>
      </c>
      <c r="BK154" s="137">
        <f t="shared" si="20"/>
        <v>2.4232102155000001E-2</v>
      </c>
      <c r="BL154" s="137">
        <f t="shared" si="20"/>
        <v>4.1220858852000006</v>
      </c>
      <c r="BM154" s="137">
        <f t="shared" si="20"/>
        <v>0.44118860085</v>
      </c>
    </row>
    <row r="155" spans="1:65" x14ac:dyDescent="0.25">
      <c r="A155" s="149">
        <v>218</v>
      </c>
      <c r="B155" s="149">
        <v>6</v>
      </c>
      <c r="C155" s="61">
        <v>42.460591999999998</v>
      </c>
      <c r="D155" s="61">
        <v>-83.134647999999999</v>
      </c>
      <c r="E155" s="61" t="s">
        <v>265</v>
      </c>
      <c r="F155" s="149">
        <v>78</v>
      </c>
      <c r="G155" s="61" t="s">
        <v>615</v>
      </c>
      <c r="H155" s="61" t="s">
        <v>616</v>
      </c>
      <c r="I155" s="61">
        <v>42.216248999999998</v>
      </c>
      <c r="J155" s="61">
        <v>-83.355363999999994</v>
      </c>
      <c r="K155" s="61">
        <v>45.359604679999997</v>
      </c>
      <c r="L155" s="61">
        <v>42.874000000000002</v>
      </c>
      <c r="M155" s="61" t="s">
        <v>617</v>
      </c>
      <c r="N155" s="149">
        <v>5</v>
      </c>
      <c r="O155" s="149">
        <v>6</v>
      </c>
      <c r="P155" s="61" t="s">
        <v>565</v>
      </c>
      <c r="Q155" s="61" t="s">
        <v>564</v>
      </c>
      <c r="R155" s="61">
        <v>41.98028</v>
      </c>
      <c r="S155" s="61">
        <v>-87.908997900000003</v>
      </c>
      <c r="T155" s="61">
        <v>482.85399999999998</v>
      </c>
      <c r="U155" s="61" t="s">
        <v>617</v>
      </c>
      <c r="V155" s="61" t="s">
        <v>617</v>
      </c>
      <c r="W155" s="61"/>
      <c r="Y155" s="137">
        <f>Summary_LCIA!H$32</f>
        <v>0.33979999999999999</v>
      </c>
      <c r="Z155" s="137">
        <f>Summary_LCIA!Q$32</f>
        <v>4.9560504329999997</v>
      </c>
      <c r="AA155" s="137">
        <f>Summary_LCIA!R$32</f>
        <v>5.2655999999999996E-3</v>
      </c>
      <c r="AB155" s="137">
        <f>Summary_LCIA!S$32</f>
        <v>0.33538000000000001</v>
      </c>
      <c r="AC155" s="137">
        <f>Summary_LCIA!T$32</f>
        <v>0.1099</v>
      </c>
      <c r="AD155" s="137">
        <f>Summary_LCIA!U$32</f>
        <v>1.7913999999999999E-2</v>
      </c>
      <c r="AE155" s="137">
        <f>Summary_LCIA!V$32</f>
        <v>4.7760999999999999E-5</v>
      </c>
      <c r="AF155" s="137">
        <f>Summary_LCIA!W$32</f>
        <v>7.6970999999999998E-2</v>
      </c>
      <c r="AG155" s="137">
        <f>Summary_LCIA!X$32</f>
        <v>2.2780000000000002E-2</v>
      </c>
      <c r="AH155" s="137">
        <f>Summary_LCIA!Y$32</f>
        <v>1.5582E-2</v>
      </c>
      <c r="AI155" s="137">
        <f>Summary_LCIA!Z$32</f>
        <v>4.1009E-5</v>
      </c>
      <c r="AJ155" s="137">
        <f>Summary_LCIA!AA$32</f>
        <v>2.3355999999999998E-2</v>
      </c>
      <c r="AK155" s="137">
        <f>Summary_LCIA!AB$32</f>
        <v>-2.1823000000000001E-5</v>
      </c>
      <c r="AL155" s="137">
        <f>Summary_LCIA!AC$32</f>
        <v>4.8884000000000003E-8</v>
      </c>
      <c r="AM155" s="137">
        <f>Summary_LCIA!AD$32</f>
        <v>4.1103999999999999E-4</v>
      </c>
      <c r="AN155" s="137">
        <f>Summary_LCIA!AE$32</f>
        <v>8.8612999999999995E-4</v>
      </c>
      <c r="AO155" s="137">
        <f>Summary_LCIA!AF$32</f>
        <v>8.4542000000000005E-4</v>
      </c>
      <c r="AP155" s="137">
        <f>Summary_LCIA!AG$32</f>
        <v>5.1165000000000002E-5</v>
      </c>
      <c r="AQ155" s="137">
        <f>Summary_LCIA!AH$32</f>
        <v>8.7036000000000006E-3</v>
      </c>
      <c r="AR155" s="137">
        <f>Summary_LCIA!AI$32</f>
        <v>9.3154999999999996E-4</v>
      </c>
      <c r="AT155" s="137">
        <f t="shared" si="21"/>
        <v>164.07378919999999</v>
      </c>
      <c r="AU155" s="137">
        <f t="shared" si="21"/>
        <v>2393.0487757757819</v>
      </c>
      <c r="AV155" s="137">
        <f t="shared" si="21"/>
        <v>2.5425160223999996</v>
      </c>
      <c r="AW155" s="137">
        <f t="shared" si="21"/>
        <v>161.93957452000001</v>
      </c>
      <c r="AX155" s="137">
        <f t="shared" si="21"/>
        <v>53.065654599999995</v>
      </c>
      <c r="AY155" s="137">
        <f t="shared" si="21"/>
        <v>8.649846556</v>
      </c>
      <c r="AZ155" s="137">
        <f t="shared" si="21"/>
        <v>2.3061589893999999E-2</v>
      </c>
      <c r="BA155" s="137">
        <f t="shared" si="21"/>
        <v>37.165755233999995</v>
      </c>
      <c r="BB155" s="137">
        <f t="shared" si="21"/>
        <v>10.999414120000001</v>
      </c>
      <c r="BC155" s="137">
        <f t="shared" si="21"/>
        <v>7.523831028</v>
      </c>
      <c r="BD155" s="137">
        <f t="shared" si="21"/>
        <v>1.9801359686000001E-2</v>
      </c>
      <c r="BE155" s="137">
        <f t="shared" si="21"/>
        <v>11.277538023999998</v>
      </c>
      <c r="BF155" s="137">
        <f t="shared" si="21"/>
        <v>-1.0537322842000001E-2</v>
      </c>
      <c r="BG155" s="137">
        <f t="shared" si="21"/>
        <v>2.3603834936000001E-5</v>
      </c>
      <c r="BH155" s="137">
        <f t="shared" si="21"/>
        <v>0.19847230816</v>
      </c>
      <c r="BI155" s="137">
        <f t="shared" si="21"/>
        <v>0.42787141501999998</v>
      </c>
      <c r="BJ155" s="137">
        <f t="shared" si="20"/>
        <v>0.40821442868000002</v>
      </c>
      <c r="BK155" s="137">
        <f t="shared" si="20"/>
        <v>2.470522491E-2</v>
      </c>
      <c r="BL155" s="137">
        <f t="shared" si="20"/>
        <v>4.2025680744000002</v>
      </c>
      <c r="BM155" s="137">
        <f t="shared" si="20"/>
        <v>0.44980264369999995</v>
      </c>
    </row>
    <row r="156" spans="1:65" x14ac:dyDescent="0.25">
      <c r="A156" s="149">
        <v>268</v>
      </c>
      <c r="B156" s="149">
        <v>6</v>
      </c>
      <c r="C156" s="61">
        <v>43.615583000000001</v>
      </c>
      <c r="D156" s="61">
        <v>-84.247212000000005</v>
      </c>
      <c r="E156" s="61" t="s">
        <v>265</v>
      </c>
      <c r="F156" s="149">
        <v>78</v>
      </c>
      <c r="G156" s="61" t="s">
        <v>615</v>
      </c>
      <c r="H156" s="61" t="s">
        <v>616</v>
      </c>
      <c r="I156" s="61">
        <v>42.216248999999998</v>
      </c>
      <c r="J156" s="61">
        <v>-83.355363999999994</v>
      </c>
      <c r="K156" s="61">
        <v>239.54536110000001</v>
      </c>
      <c r="L156" s="61">
        <v>218.8</v>
      </c>
      <c r="M156" s="61" t="s">
        <v>617</v>
      </c>
      <c r="N156" s="149">
        <v>5</v>
      </c>
      <c r="O156" s="149">
        <v>6</v>
      </c>
      <c r="P156" s="61" t="s">
        <v>565</v>
      </c>
      <c r="Q156" s="61" t="s">
        <v>564</v>
      </c>
      <c r="R156" s="61">
        <v>41.98028</v>
      </c>
      <c r="S156" s="61">
        <v>-87.908997900000003</v>
      </c>
      <c r="T156" s="61">
        <v>493.80099999999999</v>
      </c>
      <c r="U156" s="61" t="s">
        <v>617</v>
      </c>
      <c r="V156" s="61" t="s">
        <v>617</v>
      </c>
      <c r="W156" s="61"/>
      <c r="Y156" s="137">
        <f>Summary_LCIA!H$32</f>
        <v>0.33979999999999999</v>
      </c>
      <c r="Z156" s="137">
        <f>Summary_LCIA!Q$32</f>
        <v>4.9560504329999997</v>
      </c>
      <c r="AA156" s="137">
        <f>Summary_LCIA!R$32</f>
        <v>5.2655999999999996E-3</v>
      </c>
      <c r="AB156" s="137">
        <f>Summary_LCIA!S$32</f>
        <v>0.33538000000000001</v>
      </c>
      <c r="AC156" s="137">
        <f>Summary_LCIA!T$32</f>
        <v>0.1099</v>
      </c>
      <c r="AD156" s="137">
        <f>Summary_LCIA!U$32</f>
        <v>1.7913999999999999E-2</v>
      </c>
      <c r="AE156" s="137">
        <f>Summary_LCIA!V$32</f>
        <v>4.7760999999999999E-5</v>
      </c>
      <c r="AF156" s="137">
        <f>Summary_LCIA!W$32</f>
        <v>7.6970999999999998E-2</v>
      </c>
      <c r="AG156" s="137">
        <f>Summary_LCIA!X$32</f>
        <v>2.2780000000000002E-2</v>
      </c>
      <c r="AH156" s="137">
        <f>Summary_LCIA!Y$32</f>
        <v>1.5582E-2</v>
      </c>
      <c r="AI156" s="137">
        <f>Summary_LCIA!Z$32</f>
        <v>4.1009E-5</v>
      </c>
      <c r="AJ156" s="137">
        <f>Summary_LCIA!AA$32</f>
        <v>2.3355999999999998E-2</v>
      </c>
      <c r="AK156" s="137">
        <f>Summary_LCIA!AB$32</f>
        <v>-2.1823000000000001E-5</v>
      </c>
      <c r="AL156" s="137">
        <f>Summary_LCIA!AC$32</f>
        <v>4.8884000000000003E-8</v>
      </c>
      <c r="AM156" s="137">
        <f>Summary_LCIA!AD$32</f>
        <v>4.1103999999999999E-4</v>
      </c>
      <c r="AN156" s="137">
        <f>Summary_LCIA!AE$32</f>
        <v>8.8612999999999995E-4</v>
      </c>
      <c r="AO156" s="137">
        <f>Summary_LCIA!AF$32</f>
        <v>8.4542000000000005E-4</v>
      </c>
      <c r="AP156" s="137">
        <f>Summary_LCIA!AG$32</f>
        <v>5.1165000000000002E-5</v>
      </c>
      <c r="AQ156" s="137">
        <f>Summary_LCIA!AH$32</f>
        <v>8.7036000000000006E-3</v>
      </c>
      <c r="AR156" s="137">
        <f>Summary_LCIA!AI$32</f>
        <v>9.3154999999999996E-4</v>
      </c>
      <c r="AT156" s="137">
        <f t="shared" si="21"/>
        <v>167.7935798</v>
      </c>
      <c r="AU156" s="137">
        <f t="shared" si="21"/>
        <v>2447.302659865833</v>
      </c>
      <c r="AV156" s="137">
        <f t="shared" si="21"/>
        <v>2.6001585455999998</v>
      </c>
      <c r="AW156" s="137">
        <f t="shared" si="21"/>
        <v>165.61097938</v>
      </c>
      <c r="AX156" s="137">
        <f t="shared" si="21"/>
        <v>54.268729899999997</v>
      </c>
      <c r="AY156" s="137">
        <f t="shared" si="21"/>
        <v>8.845951114</v>
      </c>
      <c r="AZ156" s="137">
        <f t="shared" si="21"/>
        <v>2.3584429561E-2</v>
      </c>
      <c r="BA156" s="137">
        <f t="shared" si="21"/>
        <v>38.008356770999995</v>
      </c>
      <c r="BB156" s="137">
        <f t="shared" si="21"/>
        <v>11.24878678</v>
      </c>
      <c r="BC156" s="137">
        <f t="shared" si="21"/>
        <v>7.694407182</v>
      </c>
      <c r="BD156" s="137">
        <f t="shared" si="21"/>
        <v>2.0250285209000001E-2</v>
      </c>
      <c r="BE156" s="137">
        <f t="shared" si="21"/>
        <v>11.533216155999998</v>
      </c>
      <c r="BF156" s="137">
        <f t="shared" si="21"/>
        <v>-1.0776219223E-2</v>
      </c>
      <c r="BG156" s="137">
        <f t="shared" si="21"/>
        <v>2.4138968083999999E-5</v>
      </c>
      <c r="BH156" s="137">
        <f t="shared" si="21"/>
        <v>0.20297196303999998</v>
      </c>
      <c r="BI156" s="137">
        <f t="shared" si="21"/>
        <v>0.43757188012999998</v>
      </c>
      <c r="BJ156" s="137">
        <f t="shared" si="20"/>
        <v>0.41746924142000003</v>
      </c>
      <c r="BK156" s="137">
        <f t="shared" si="20"/>
        <v>2.5265328165E-2</v>
      </c>
      <c r="BL156" s="137">
        <f t="shared" si="20"/>
        <v>4.2978463836000005</v>
      </c>
      <c r="BM156" s="137">
        <f t="shared" si="20"/>
        <v>0.46000032154999998</v>
      </c>
    </row>
    <row r="157" spans="1:65" x14ac:dyDescent="0.25">
      <c r="A157" s="149">
        <v>269</v>
      </c>
      <c r="B157" s="149">
        <v>6</v>
      </c>
      <c r="C157" s="61">
        <v>43.615583000000001</v>
      </c>
      <c r="D157" s="61">
        <v>-84.247212000000005</v>
      </c>
      <c r="E157" s="61" t="s">
        <v>265</v>
      </c>
      <c r="F157" s="149">
        <v>78</v>
      </c>
      <c r="G157" s="61" t="s">
        <v>615</v>
      </c>
      <c r="H157" s="61" t="s">
        <v>616</v>
      </c>
      <c r="I157" s="61">
        <v>42.216248999999998</v>
      </c>
      <c r="J157" s="61">
        <v>-83.355363999999994</v>
      </c>
      <c r="K157" s="61">
        <v>239.54536110000001</v>
      </c>
      <c r="L157" s="61">
        <v>218.8</v>
      </c>
      <c r="M157" s="61" t="s">
        <v>617</v>
      </c>
      <c r="N157" s="149">
        <v>5</v>
      </c>
      <c r="O157" s="149">
        <v>6</v>
      </c>
      <c r="P157" s="61" t="s">
        <v>565</v>
      </c>
      <c r="Q157" s="61" t="s">
        <v>564</v>
      </c>
      <c r="R157" s="61">
        <v>41.98028</v>
      </c>
      <c r="S157" s="61">
        <v>-87.908997900000003</v>
      </c>
      <c r="T157" s="61">
        <v>493.80099999999999</v>
      </c>
      <c r="U157" s="61" t="s">
        <v>617</v>
      </c>
      <c r="V157" s="61" t="s">
        <v>617</v>
      </c>
      <c r="W157" s="61"/>
      <c r="Y157" s="137">
        <f>Summary_LCIA!H$32</f>
        <v>0.33979999999999999</v>
      </c>
      <c r="Z157" s="137">
        <f>Summary_LCIA!Q$32</f>
        <v>4.9560504329999997</v>
      </c>
      <c r="AA157" s="137">
        <f>Summary_LCIA!R$32</f>
        <v>5.2655999999999996E-3</v>
      </c>
      <c r="AB157" s="137">
        <f>Summary_LCIA!S$32</f>
        <v>0.33538000000000001</v>
      </c>
      <c r="AC157" s="137">
        <f>Summary_LCIA!T$32</f>
        <v>0.1099</v>
      </c>
      <c r="AD157" s="137">
        <f>Summary_LCIA!U$32</f>
        <v>1.7913999999999999E-2</v>
      </c>
      <c r="AE157" s="137">
        <f>Summary_LCIA!V$32</f>
        <v>4.7760999999999999E-5</v>
      </c>
      <c r="AF157" s="137">
        <f>Summary_LCIA!W$32</f>
        <v>7.6970999999999998E-2</v>
      </c>
      <c r="AG157" s="137">
        <f>Summary_LCIA!X$32</f>
        <v>2.2780000000000002E-2</v>
      </c>
      <c r="AH157" s="137">
        <f>Summary_LCIA!Y$32</f>
        <v>1.5582E-2</v>
      </c>
      <c r="AI157" s="137">
        <f>Summary_LCIA!Z$32</f>
        <v>4.1009E-5</v>
      </c>
      <c r="AJ157" s="137">
        <f>Summary_LCIA!AA$32</f>
        <v>2.3355999999999998E-2</v>
      </c>
      <c r="AK157" s="137">
        <f>Summary_LCIA!AB$32</f>
        <v>-2.1823000000000001E-5</v>
      </c>
      <c r="AL157" s="137">
        <f>Summary_LCIA!AC$32</f>
        <v>4.8884000000000003E-8</v>
      </c>
      <c r="AM157" s="137">
        <f>Summary_LCIA!AD$32</f>
        <v>4.1103999999999999E-4</v>
      </c>
      <c r="AN157" s="137">
        <f>Summary_LCIA!AE$32</f>
        <v>8.8612999999999995E-4</v>
      </c>
      <c r="AO157" s="137">
        <f>Summary_LCIA!AF$32</f>
        <v>8.4542000000000005E-4</v>
      </c>
      <c r="AP157" s="137">
        <f>Summary_LCIA!AG$32</f>
        <v>5.1165000000000002E-5</v>
      </c>
      <c r="AQ157" s="137">
        <f>Summary_LCIA!AH$32</f>
        <v>8.7036000000000006E-3</v>
      </c>
      <c r="AR157" s="137">
        <f>Summary_LCIA!AI$32</f>
        <v>9.3154999999999996E-4</v>
      </c>
      <c r="AT157" s="137">
        <f t="shared" si="21"/>
        <v>167.7935798</v>
      </c>
      <c r="AU157" s="137">
        <f t="shared" si="21"/>
        <v>2447.302659865833</v>
      </c>
      <c r="AV157" s="137">
        <f t="shared" si="21"/>
        <v>2.6001585455999998</v>
      </c>
      <c r="AW157" s="137">
        <f t="shared" si="21"/>
        <v>165.61097938</v>
      </c>
      <c r="AX157" s="137">
        <f t="shared" si="21"/>
        <v>54.268729899999997</v>
      </c>
      <c r="AY157" s="137">
        <f t="shared" si="21"/>
        <v>8.845951114</v>
      </c>
      <c r="AZ157" s="137">
        <f t="shared" si="21"/>
        <v>2.3584429561E-2</v>
      </c>
      <c r="BA157" s="137">
        <f t="shared" si="21"/>
        <v>38.008356770999995</v>
      </c>
      <c r="BB157" s="137">
        <f t="shared" si="21"/>
        <v>11.24878678</v>
      </c>
      <c r="BC157" s="137">
        <f t="shared" si="21"/>
        <v>7.694407182</v>
      </c>
      <c r="BD157" s="137">
        <f t="shared" si="21"/>
        <v>2.0250285209000001E-2</v>
      </c>
      <c r="BE157" s="137">
        <f t="shared" si="21"/>
        <v>11.533216155999998</v>
      </c>
      <c r="BF157" s="137">
        <f t="shared" si="21"/>
        <v>-1.0776219223E-2</v>
      </c>
      <c r="BG157" s="137">
        <f t="shared" si="21"/>
        <v>2.4138968083999999E-5</v>
      </c>
      <c r="BH157" s="137">
        <f t="shared" si="21"/>
        <v>0.20297196303999998</v>
      </c>
      <c r="BI157" s="137">
        <f t="shared" si="21"/>
        <v>0.43757188012999998</v>
      </c>
      <c r="BJ157" s="137">
        <f t="shared" si="20"/>
        <v>0.41746924142000003</v>
      </c>
      <c r="BK157" s="137">
        <f t="shared" si="20"/>
        <v>2.5265328165E-2</v>
      </c>
      <c r="BL157" s="137">
        <f t="shared" si="20"/>
        <v>4.2978463836000005</v>
      </c>
      <c r="BM157" s="137">
        <f t="shared" si="20"/>
        <v>0.46000032154999998</v>
      </c>
    </row>
    <row r="158" spans="1:65" x14ac:dyDescent="0.25">
      <c r="A158" s="149">
        <v>270</v>
      </c>
      <c r="B158" s="149">
        <v>6</v>
      </c>
      <c r="C158" s="61">
        <v>43.615583000000001</v>
      </c>
      <c r="D158" s="61">
        <v>-84.247212000000005</v>
      </c>
      <c r="E158" s="61" t="s">
        <v>265</v>
      </c>
      <c r="F158" s="149">
        <v>78</v>
      </c>
      <c r="G158" s="61" t="s">
        <v>615</v>
      </c>
      <c r="H158" s="61" t="s">
        <v>616</v>
      </c>
      <c r="I158" s="61">
        <v>42.216248999999998</v>
      </c>
      <c r="J158" s="61">
        <v>-83.355363999999994</v>
      </c>
      <c r="K158" s="61">
        <v>239.54536110000001</v>
      </c>
      <c r="L158" s="61">
        <v>218.8</v>
      </c>
      <c r="M158" s="61" t="s">
        <v>617</v>
      </c>
      <c r="N158" s="149">
        <v>5</v>
      </c>
      <c r="O158" s="149">
        <v>6</v>
      </c>
      <c r="P158" s="61" t="s">
        <v>565</v>
      </c>
      <c r="Q158" s="61" t="s">
        <v>564</v>
      </c>
      <c r="R158" s="61">
        <v>41.98028</v>
      </c>
      <c r="S158" s="61">
        <v>-87.908997900000003</v>
      </c>
      <c r="T158" s="61">
        <v>493.80099999999999</v>
      </c>
      <c r="U158" s="61" t="s">
        <v>617</v>
      </c>
      <c r="V158" s="61" t="s">
        <v>617</v>
      </c>
      <c r="W158" s="61"/>
      <c r="Y158" s="137">
        <f>Summary_LCIA!H$32</f>
        <v>0.33979999999999999</v>
      </c>
      <c r="Z158" s="137">
        <f>Summary_LCIA!Q$32</f>
        <v>4.9560504329999997</v>
      </c>
      <c r="AA158" s="137">
        <f>Summary_LCIA!R$32</f>
        <v>5.2655999999999996E-3</v>
      </c>
      <c r="AB158" s="137">
        <f>Summary_LCIA!S$32</f>
        <v>0.33538000000000001</v>
      </c>
      <c r="AC158" s="137">
        <f>Summary_LCIA!T$32</f>
        <v>0.1099</v>
      </c>
      <c r="AD158" s="137">
        <f>Summary_LCIA!U$32</f>
        <v>1.7913999999999999E-2</v>
      </c>
      <c r="AE158" s="137">
        <f>Summary_LCIA!V$32</f>
        <v>4.7760999999999999E-5</v>
      </c>
      <c r="AF158" s="137">
        <f>Summary_LCIA!W$32</f>
        <v>7.6970999999999998E-2</v>
      </c>
      <c r="AG158" s="137">
        <f>Summary_LCIA!X$32</f>
        <v>2.2780000000000002E-2</v>
      </c>
      <c r="AH158" s="137">
        <f>Summary_LCIA!Y$32</f>
        <v>1.5582E-2</v>
      </c>
      <c r="AI158" s="137">
        <f>Summary_LCIA!Z$32</f>
        <v>4.1009E-5</v>
      </c>
      <c r="AJ158" s="137">
        <f>Summary_LCIA!AA$32</f>
        <v>2.3355999999999998E-2</v>
      </c>
      <c r="AK158" s="137">
        <f>Summary_LCIA!AB$32</f>
        <v>-2.1823000000000001E-5</v>
      </c>
      <c r="AL158" s="137">
        <f>Summary_LCIA!AC$32</f>
        <v>4.8884000000000003E-8</v>
      </c>
      <c r="AM158" s="137">
        <f>Summary_LCIA!AD$32</f>
        <v>4.1103999999999999E-4</v>
      </c>
      <c r="AN158" s="137">
        <f>Summary_LCIA!AE$32</f>
        <v>8.8612999999999995E-4</v>
      </c>
      <c r="AO158" s="137">
        <f>Summary_LCIA!AF$32</f>
        <v>8.4542000000000005E-4</v>
      </c>
      <c r="AP158" s="137">
        <f>Summary_LCIA!AG$32</f>
        <v>5.1165000000000002E-5</v>
      </c>
      <c r="AQ158" s="137">
        <f>Summary_LCIA!AH$32</f>
        <v>8.7036000000000006E-3</v>
      </c>
      <c r="AR158" s="137">
        <f>Summary_LCIA!AI$32</f>
        <v>9.3154999999999996E-4</v>
      </c>
      <c r="AT158" s="137">
        <f t="shared" si="21"/>
        <v>167.7935798</v>
      </c>
      <c r="AU158" s="137">
        <f t="shared" si="21"/>
        <v>2447.302659865833</v>
      </c>
      <c r="AV158" s="137">
        <f t="shared" si="21"/>
        <v>2.6001585455999998</v>
      </c>
      <c r="AW158" s="137">
        <f t="shared" si="21"/>
        <v>165.61097938</v>
      </c>
      <c r="AX158" s="137">
        <f t="shared" si="21"/>
        <v>54.268729899999997</v>
      </c>
      <c r="AY158" s="137">
        <f t="shared" si="21"/>
        <v>8.845951114</v>
      </c>
      <c r="AZ158" s="137">
        <f t="shared" si="21"/>
        <v>2.3584429561E-2</v>
      </c>
      <c r="BA158" s="137">
        <f t="shared" si="21"/>
        <v>38.008356770999995</v>
      </c>
      <c r="BB158" s="137">
        <f t="shared" si="21"/>
        <v>11.24878678</v>
      </c>
      <c r="BC158" s="137">
        <f t="shared" si="21"/>
        <v>7.694407182</v>
      </c>
      <c r="BD158" s="137">
        <f t="shared" si="21"/>
        <v>2.0250285209000001E-2</v>
      </c>
      <c r="BE158" s="137">
        <f t="shared" si="21"/>
        <v>11.533216155999998</v>
      </c>
      <c r="BF158" s="137">
        <f t="shared" si="21"/>
        <v>-1.0776219223E-2</v>
      </c>
      <c r="BG158" s="137">
        <f t="shared" si="21"/>
        <v>2.4138968083999999E-5</v>
      </c>
      <c r="BH158" s="137">
        <f t="shared" si="21"/>
        <v>0.20297196303999998</v>
      </c>
      <c r="BI158" s="137">
        <f t="shared" si="21"/>
        <v>0.43757188012999998</v>
      </c>
      <c r="BJ158" s="137">
        <f t="shared" si="20"/>
        <v>0.41746924142000003</v>
      </c>
      <c r="BK158" s="137">
        <f t="shared" si="20"/>
        <v>2.5265328165E-2</v>
      </c>
      <c r="BL158" s="137">
        <f t="shared" si="20"/>
        <v>4.2978463836000005</v>
      </c>
      <c r="BM158" s="137">
        <f t="shared" si="20"/>
        <v>0.46000032154999998</v>
      </c>
    </row>
    <row r="159" spans="1:65" x14ac:dyDescent="0.25">
      <c r="A159" s="149">
        <v>271</v>
      </c>
      <c r="B159" s="149">
        <v>6</v>
      </c>
      <c r="C159" s="61">
        <v>43.615583000000001</v>
      </c>
      <c r="D159" s="61">
        <v>-84.247212000000005</v>
      </c>
      <c r="E159" s="61" t="s">
        <v>265</v>
      </c>
      <c r="F159" s="149">
        <v>78</v>
      </c>
      <c r="G159" s="61" t="s">
        <v>615</v>
      </c>
      <c r="H159" s="61" t="s">
        <v>616</v>
      </c>
      <c r="I159" s="61">
        <v>42.216248999999998</v>
      </c>
      <c r="J159" s="61">
        <v>-83.355363999999994</v>
      </c>
      <c r="K159" s="61">
        <v>239.54536110000001</v>
      </c>
      <c r="L159" s="61">
        <v>218.8</v>
      </c>
      <c r="M159" s="61" t="s">
        <v>617</v>
      </c>
      <c r="N159" s="149">
        <v>5</v>
      </c>
      <c r="O159" s="149">
        <v>6</v>
      </c>
      <c r="P159" s="61" t="s">
        <v>565</v>
      </c>
      <c r="Q159" s="61" t="s">
        <v>564</v>
      </c>
      <c r="R159" s="61">
        <v>41.98028</v>
      </c>
      <c r="S159" s="61">
        <v>-87.908997900000003</v>
      </c>
      <c r="T159" s="61">
        <v>493.80099999999999</v>
      </c>
      <c r="U159" s="61" t="s">
        <v>617</v>
      </c>
      <c r="V159" s="61" t="s">
        <v>617</v>
      </c>
      <c r="W159" s="61"/>
      <c r="Y159" s="137">
        <f>Summary_LCIA!H$32</f>
        <v>0.33979999999999999</v>
      </c>
      <c r="Z159" s="137">
        <f>Summary_LCIA!Q$32</f>
        <v>4.9560504329999997</v>
      </c>
      <c r="AA159" s="137">
        <f>Summary_LCIA!R$32</f>
        <v>5.2655999999999996E-3</v>
      </c>
      <c r="AB159" s="137">
        <f>Summary_LCIA!S$32</f>
        <v>0.33538000000000001</v>
      </c>
      <c r="AC159" s="137">
        <f>Summary_LCIA!T$32</f>
        <v>0.1099</v>
      </c>
      <c r="AD159" s="137">
        <f>Summary_LCIA!U$32</f>
        <v>1.7913999999999999E-2</v>
      </c>
      <c r="AE159" s="137">
        <f>Summary_LCIA!V$32</f>
        <v>4.7760999999999999E-5</v>
      </c>
      <c r="AF159" s="137">
        <f>Summary_LCIA!W$32</f>
        <v>7.6970999999999998E-2</v>
      </c>
      <c r="AG159" s="137">
        <f>Summary_LCIA!X$32</f>
        <v>2.2780000000000002E-2</v>
      </c>
      <c r="AH159" s="137">
        <f>Summary_LCIA!Y$32</f>
        <v>1.5582E-2</v>
      </c>
      <c r="AI159" s="137">
        <f>Summary_LCIA!Z$32</f>
        <v>4.1009E-5</v>
      </c>
      <c r="AJ159" s="137">
        <f>Summary_LCIA!AA$32</f>
        <v>2.3355999999999998E-2</v>
      </c>
      <c r="AK159" s="137">
        <f>Summary_LCIA!AB$32</f>
        <v>-2.1823000000000001E-5</v>
      </c>
      <c r="AL159" s="137">
        <f>Summary_LCIA!AC$32</f>
        <v>4.8884000000000003E-8</v>
      </c>
      <c r="AM159" s="137">
        <f>Summary_LCIA!AD$32</f>
        <v>4.1103999999999999E-4</v>
      </c>
      <c r="AN159" s="137">
        <f>Summary_LCIA!AE$32</f>
        <v>8.8612999999999995E-4</v>
      </c>
      <c r="AO159" s="137">
        <f>Summary_LCIA!AF$32</f>
        <v>8.4542000000000005E-4</v>
      </c>
      <c r="AP159" s="137">
        <f>Summary_LCIA!AG$32</f>
        <v>5.1165000000000002E-5</v>
      </c>
      <c r="AQ159" s="137">
        <f>Summary_LCIA!AH$32</f>
        <v>8.7036000000000006E-3</v>
      </c>
      <c r="AR159" s="137">
        <f>Summary_LCIA!AI$32</f>
        <v>9.3154999999999996E-4</v>
      </c>
      <c r="AT159" s="137">
        <f t="shared" si="21"/>
        <v>167.7935798</v>
      </c>
      <c r="AU159" s="137">
        <f t="shared" si="21"/>
        <v>2447.302659865833</v>
      </c>
      <c r="AV159" s="137">
        <f t="shared" si="21"/>
        <v>2.6001585455999998</v>
      </c>
      <c r="AW159" s="137">
        <f t="shared" si="21"/>
        <v>165.61097938</v>
      </c>
      <c r="AX159" s="137">
        <f t="shared" si="21"/>
        <v>54.268729899999997</v>
      </c>
      <c r="AY159" s="137">
        <f t="shared" si="21"/>
        <v>8.845951114</v>
      </c>
      <c r="AZ159" s="137">
        <f t="shared" si="21"/>
        <v>2.3584429561E-2</v>
      </c>
      <c r="BA159" s="137">
        <f t="shared" si="21"/>
        <v>38.008356770999995</v>
      </c>
      <c r="BB159" s="137">
        <f t="shared" si="21"/>
        <v>11.24878678</v>
      </c>
      <c r="BC159" s="137">
        <f t="shared" si="21"/>
        <v>7.694407182</v>
      </c>
      <c r="BD159" s="137">
        <f t="shared" si="21"/>
        <v>2.0250285209000001E-2</v>
      </c>
      <c r="BE159" s="137">
        <f t="shared" si="21"/>
        <v>11.533216155999998</v>
      </c>
      <c r="BF159" s="137">
        <f t="shared" si="21"/>
        <v>-1.0776219223E-2</v>
      </c>
      <c r="BG159" s="137">
        <f t="shared" si="21"/>
        <v>2.4138968083999999E-5</v>
      </c>
      <c r="BH159" s="137">
        <f t="shared" si="21"/>
        <v>0.20297196303999998</v>
      </c>
      <c r="BI159" s="137">
        <f t="shared" si="21"/>
        <v>0.43757188012999998</v>
      </c>
      <c r="BJ159" s="137">
        <f t="shared" si="20"/>
        <v>0.41746924142000003</v>
      </c>
      <c r="BK159" s="137">
        <f t="shared" si="20"/>
        <v>2.5265328165E-2</v>
      </c>
      <c r="BL159" s="137">
        <f t="shared" si="20"/>
        <v>4.2978463836000005</v>
      </c>
      <c r="BM159" s="137">
        <f t="shared" si="20"/>
        <v>0.46000032154999998</v>
      </c>
    </row>
    <row r="160" spans="1:65" x14ac:dyDescent="0.25">
      <c r="A160" s="149">
        <v>54</v>
      </c>
      <c r="B160" s="149">
        <v>6</v>
      </c>
      <c r="C160" s="61">
        <v>42.698954000000001</v>
      </c>
      <c r="D160" s="61">
        <v>-83.249512999999993</v>
      </c>
      <c r="E160" s="61" t="s">
        <v>265</v>
      </c>
      <c r="F160" s="149">
        <v>78</v>
      </c>
      <c r="G160" s="61" t="s">
        <v>615</v>
      </c>
      <c r="H160" s="61" t="s">
        <v>616</v>
      </c>
      <c r="I160" s="61">
        <v>42.216248999999998</v>
      </c>
      <c r="J160" s="61">
        <v>-83.355363999999994</v>
      </c>
      <c r="K160" s="61">
        <v>80.862537599999996</v>
      </c>
      <c r="L160" s="61">
        <v>80.61</v>
      </c>
      <c r="M160" s="61" t="s">
        <v>617</v>
      </c>
      <c r="N160" s="149">
        <v>5</v>
      </c>
      <c r="O160" s="149">
        <v>6</v>
      </c>
      <c r="P160" s="61" t="s">
        <v>565</v>
      </c>
      <c r="Q160" s="61" t="s">
        <v>564</v>
      </c>
      <c r="R160" s="61">
        <v>41.98028</v>
      </c>
      <c r="S160" s="61">
        <v>-87.908997900000003</v>
      </c>
      <c r="T160" s="61">
        <v>497.61799999999999</v>
      </c>
      <c r="U160" s="61" t="s">
        <v>617</v>
      </c>
      <c r="V160" s="61" t="s">
        <v>617</v>
      </c>
      <c r="W160" s="61"/>
      <c r="Y160" s="137">
        <f>Summary_LCIA!H$32</f>
        <v>0.33979999999999999</v>
      </c>
      <c r="Z160" s="137">
        <f>Summary_LCIA!Q$32</f>
        <v>4.9560504329999997</v>
      </c>
      <c r="AA160" s="137">
        <f>Summary_LCIA!R$32</f>
        <v>5.2655999999999996E-3</v>
      </c>
      <c r="AB160" s="137">
        <f>Summary_LCIA!S$32</f>
        <v>0.33538000000000001</v>
      </c>
      <c r="AC160" s="137">
        <f>Summary_LCIA!T$32</f>
        <v>0.1099</v>
      </c>
      <c r="AD160" s="137">
        <f>Summary_LCIA!U$32</f>
        <v>1.7913999999999999E-2</v>
      </c>
      <c r="AE160" s="137">
        <f>Summary_LCIA!V$32</f>
        <v>4.7760999999999999E-5</v>
      </c>
      <c r="AF160" s="137">
        <f>Summary_LCIA!W$32</f>
        <v>7.6970999999999998E-2</v>
      </c>
      <c r="AG160" s="137">
        <f>Summary_LCIA!X$32</f>
        <v>2.2780000000000002E-2</v>
      </c>
      <c r="AH160" s="137">
        <f>Summary_LCIA!Y$32</f>
        <v>1.5582E-2</v>
      </c>
      <c r="AI160" s="137">
        <f>Summary_LCIA!Z$32</f>
        <v>4.1009E-5</v>
      </c>
      <c r="AJ160" s="137">
        <f>Summary_LCIA!AA$32</f>
        <v>2.3355999999999998E-2</v>
      </c>
      <c r="AK160" s="137">
        <f>Summary_LCIA!AB$32</f>
        <v>-2.1823000000000001E-5</v>
      </c>
      <c r="AL160" s="137">
        <f>Summary_LCIA!AC$32</f>
        <v>4.8884000000000003E-8</v>
      </c>
      <c r="AM160" s="137">
        <f>Summary_LCIA!AD$32</f>
        <v>4.1103999999999999E-4</v>
      </c>
      <c r="AN160" s="137">
        <f>Summary_LCIA!AE$32</f>
        <v>8.8612999999999995E-4</v>
      </c>
      <c r="AO160" s="137">
        <f>Summary_LCIA!AF$32</f>
        <v>8.4542000000000005E-4</v>
      </c>
      <c r="AP160" s="137">
        <f>Summary_LCIA!AG$32</f>
        <v>5.1165000000000002E-5</v>
      </c>
      <c r="AQ160" s="137">
        <f>Summary_LCIA!AH$32</f>
        <v>8.7036000000000006E-3</v>
      </c>
      <c r="AR160" s="137">
        <f>Summary_LCIA!AI$32</f>
        <v>9.3154999999999996E-4</v>
      </c>
      <c r="AT160" s="137">
        <f t="shared" si="21"/>
        <v>169.09059639999998</v>
      </c>
      <c r="AU160" s="137">
        <f t="shared" si="21"/>
        <v>2466.2199043685937</v>
      </c>
      <c r="AV160" s="137">
        <f t="shared" si="21"/>
        <v>2.6202573407999998</v>
      </c>
      <c r="AW160" s="137">
        <f t="shared" si="21"/>
        <v>166.89112484</v>
      </c>
      <c r="AX160" s="137">
        <f t="shared" si="21"/>
        <v>54.688218200000001</v>
      </c>
      <c r="AY160" s="137">
        <f t="shared" si="21"/>
        <v>8.9143288519999988</v>
      </c>
      <c r="AZ160" s="137">
        <f t="shared" si="21"/>
        <v>2.3766733297999998E-2</v>
      </c>
      <c r="BA160" s="137">
        <f t="shared" si="21"/>
        <v>38.302155077999998</v>
      </c>
      <c r="BB160" s="137">
        <f t="shared" si="21"/>
        <v>11.335738040000001</v>
      </c>
      <c r="BC160" s="137">
        <f t="shared" si="21"/>
        <v>7.7538836760000001</v>
      </c>
      <c r="BD160" s="137">
        <f t="shared" si="21"/>
        <v>2.0406816562E-2</v>
      </c>
      <c r="BE160" s="137">
        <f t="shared" si="21"/>
        <v>11.622366007999998</v>
      </c>
      <c r="BF160" s="137">
        <f t="shared" si="21"/>
        <v>-1.0859517614000001E-2</v>
      </c>
      <c r="BG160" s="137">
        <f t="shared" si="21"/>
        <v>2.4325558312E-5</v>
      </c>
      <c r="BH160" s="137">
        <f t="shared" si="21"/>
        <v>0.20454090272</v>
      </c>
      <c r="BI160" s="137">
        <f t="shared" si="21"/>
        <v>0.44095423833999997</v>
      </c>
      <c r="BJ160" s="137">
        <f t="shared" si="20"/>
        <v>0.42069620956000003</v>
      </c>
      <c r="BK160" s="137">
        <f t="shared" si="20"/>
        <v>2.5460624970000002E-2</v>
      </c>
      <c r="BL160" s="137">
        <f t="shared" si="20"/>
        <v>4.3310680248000004</v>
      </c>
      <c r="BM160" s="137">
        <f t="shared" si="20"/>
        <v>0.46355604789999999</v>
      </c>
    </row>
    <row r="161" spans="1:65" x14ac:dyDescent="0.25">
      <c r="A161" s="149">
        <v>324</v>
      </c>
      <c r="B161" s="149">
        <v>43</v>
      </c>
      <c r="C161" s="61">
        <v>43.142994000000002</v>
      </c>
      <c r="D161" s="61">
        <v>-77.544745000000006</v>
      </c>
      <c r="E161" s="61" t="s">
        <v>265</v>
      </c>
      <c r="F161" s="149">
        <v>120</v>
      </c>
      <c r="G161" s="61" t="s">
        <v>625</v>
      </c>
      <c r="H161" s="61" t="s">
        <v>626</v>
      </c>
      <c r="I161" s="61">
        <v>42.939706000000001</v>
      </c>
      <c r="J161" s="61">
        <v>-78.729506999999998</v>
      </c>
      <c r="K161" s="61">
        <v>105.8161415</v>
      </c>
      <c r="L161" s="61">
        <v>109.876</v>
      </c>
      <c r="M161" s="61" t="s">
        <v>617</v>
      </c>
      <c r="N161" s="149">
        <v>42</v>
      </c>
      <c r="O161" s="149">
        <v>43</v>
      </c>
      <c r="P161" s="61" t="s">
        <v>565</v>
      </c>
      <c r="Q161" s="61" t="s">
        <v>555</v>
      </c>
      <c r="R161" s="61">
        <v>40.6895314</v>
      </c>
      <c r="S161" s="61">
        <v>-74.174462399999996</v>
      </c>
      <c r="T161" s="61">
        <v>527.03300000000002</v>
      </c>
      <c r="U161" s="61" t="s">
        <v>617</v>
      </c>
      <c r="V161" s="61" t="s">
        <v>569</v>
      </c>
      <c r="W161" s="61" cm="1">
        <f t="array" ref="W161">getDistance(I161,J161,R161,S161)*SA!$B$12</f>
        <v>453.70669460993366</v>
      </c>
      <c r="Y161" s="137">
        <f>Transportation_LCIA!C$61*($W161^Transportation_LCIA!C$60)+Transportation_LCIA!C$62</f>
        <v>0.35179822030380453</v>
      </c>
      <c r="Z161" s="137">
        <f>Transportation_LCIA!D$61*($W161^Transportation_LCIA!D$60)+Transportation_LCIA!D$62</f>
        <v>3.8038685240383758</v>
      </c>
      <c r="AA161" s="137">
        <f>Transportation_LCIA!E$61*($W161^Transportation_LCIA!E$60)+Transportation_LCIA!E$62</f>
        <v>2.0553796700765819E-3</v>
      </c>
      <c r="AB161" s="137">
        <f>Transportation_LCIA!F$61*($W161^Transportation_LCIA!F$60)+Transportation_LCIA!F$62</f>
        <v>0.35179822030380453</v>
      </c>
      <c r="AC161" s="137">
        <f>Transportation_LCIA!G$61*($W161^Transportation_LCIA!G$60)+Transportation_LCIA!G$62</f>
        <v>8.8542301175389054E-2</v>
      </c>
      <c r="AD161" s="137">
        <f>Transportation_LCIA!H$61*($W161^Transportation_LCIA!H$60)+Transportation_LCIA!H$62</f>
        <v>4.7924680402862424E-4</v>
      </c>
      <c r="AE161" s="137">
        <f>Transportation_LCIA!I$61*($W161^Transportation_LCIA!I$60)+Transportation_LCIA!I$62</f>
        <v>1.1104359431323201E-5</v>
      </c>
      <c r="AF161" s="137">
        <f>Transportation_LCIA!J$61*($W161^Transportation_LCIA!J$60)+Transportation_LCIA!J$62</f>
        <v>1.6569820845191208E-2</v>
      </c>
      <c r="AG161" s="137">
        <f>Transportation_LCIA!K$61*($W161^Transportation_LCIA!K$60)+Transportation_LCIA!K$62</f>
        <v>1.9564708397539259E-2</v>
      </c>
      <c r="AH161" s="137">
        <f>Transportation_LCIA!L$61*($W161^Transportation_LCIA!L$60)+Transportation_LCIA!L$62</f>
        <v>4.2690866521771174E-4</v>
      </c>
      <c r="AI161" s="137">
        <f>Transportation_LCIA!M$61*($W161^Transportation_LCIA!M$60)+Transportation_LCIA!M$62</f>
        <v>3.5540325219174092E-4</v>
      </c>
      <c r="AJ161" s="137">
        <f>Transportation_LCIA!N$61*($W161^Transportation_LCIA!N$60)+Transportation_LCIA!N$62</f>
        <v>1.6696019563166051E-3</v>
      </c>
      <c r="AK161" s="137">
        <f>Transportation_LCIA!O$61*($W161^Transportation_LCIA!O$60)+Transportation_LCIA!O$62</f>
        <v>9.376926172545552E-5</v>
      </c>
      <c r="AL161" s="137">
        <f>Transportation_LCIA!P$61*($W161^Transportation_LCIA!P$60)+Transportation_LCIA!P$62</f>
        <v>4.5229183914951175E-8</v>
      </c>
      <c r="AM161" s="137">
        <f>Transportation_LCIA!Q$61*($W161^Transportation_LCIA!Q$60)+Transportation_LCIA!Q$62</f>
        <v>1.6827410039877645E-4</v>
      </c>
      <c r="AN161" s="137">
        <f>Transportation_LCIA!R$61*($W161^Transportation_LCIA!R$60)+Transportation_LCIA!R$62</f>
        <v>5.3343299418952066E-4</v>
      </c>
      <c r="AO161" s="137">
        <f>Transportation_LCIA!S$61*($W161^Transportation_LCIA!S$60)+Transportation_LCIA!S$62</f>
        <v>7.8252838449889344E-6</v>
      </c>
      <c r="AP161" s="137">
        <f>Transportation_LCIA!T$61*($W161^Transportation_LCIA!T$60)+Transportation_LCIA!T$62</f>
        <v>7.8252838449889344E-6</v>
      </c>
      <c r="AQ161" s="137">
        <f>Transportation_LCIA!U$61*($W161^Transportation_LCIA!U$60)+Transportation_LCIA!U$62</f>
        <v>1.1583001340676898E-3</v>
      </c>
      <c r="AR161" s="137">
        <f>Transportation_LCIA!V$61*($W161^Transportation_LCIA!V$60)+Transportation_LCIA!V$62</f>
        <v>4.3832947018607746E-4</v>
      </c>
      <c r="AT161" s="137">
        <f>$W161*Y161+$L161*Summary_LCIA!H$32</f>
        <v>196.94907250369641</v>
      </c>
      <c r="AU161" s="137">
        <f>$W161*Z161+$L161*Summary_LCIA!Q$32</f>
        <v>2270.3916121485263</v>
      </c>
      <c r="AV161" s="137">
        <f>$W161*AA161+$L161*Summary_LCIA!R$32</f>
        <v>1.5111025818789021</v>
      </c>
      <c r="AW161" s="137">
        <f>$W161*AB161+$L161*Summary_LCIA!S$32</f>
        <v>196.4634205836964</v>
      </c>
      <c r="AX161" s="137">
        <f>$W161*AC161+$L161*Summary_LCIA!T$32</f>
        <v>52.24760719944301</v>
      </c>
      <c r="AY161" s="137">
        <f>$W161*AD161+$L161*Summary_LCIA!U$32</f>
        <v>2.1857561473582017</v>
      </c>
      <c r="AZ161" s="137">
        <f>$W161*AE161+$L161*Summary_LCIA!V$32</f>
        <v>1.0285909849346292E-2</v>
      </c>
      <c r="BA161" s="137">
        <f>$W161*AF161+$L161*Summary_LCIA!W$32</f>
        <v>15.975104241950481</v>
      </c>
      <c r="BB161" s="137">
        <f>$W161*AG161+$L161*Summary_LCIA!X$32</f>
        <v>11.37961445805475</v>
      </c>
      <c r="BC161" s="137">
        <f>$W161*AH161+$L161*Summary_LCIA!Y$32</f>
        <v>1.905779151396267</v>
      </c>
      <c r="BD161" s="137">
        <f>$W161*AI161+$L161*Summary_LCIA!Z$32</f>
        <v>0.16575473968953541</v>
      </c>
      <c r="BE161" s="137">
        <f>$W161*AJ161+$L161*Summary_LCIA!AA$32</f>
        <v>3.3237734409146857</v>
      </c>
      <c r="BF161" s="137">
        <f>$W161*AK161+$L161*Summary_LCIA!AB$32</f>
        <v>4.014591784547019E-2</v>
      </c>
      <c r="BG161" s="137">
        <f>$W161*AL161+$L161*Summary_LCIA!AC$32</f>
        <v>2.5891961917957278E-5</v>
      </c>
      <c r="BH161" s="137">
        <f>$W161*AM161+$L161*Summary_LCIA!AD$32</f>
        <v>0.12151051692038897</v>
      </c>
      <c r="BI161" s="137">
        <f>$W161*AN161+$L161*Summary_LCIA!AE$32</f>
        <v>0.33938654046960737</v>
      </c>
      <c r="BJ161" s="137">
        <f>$W161*AO161+$L161*Summary_LCIA!AF$32</f>
        <v>9.6441751587694455E-2</v>
      </c>
      <c r="BK161" s="137">
        <f>$W161*AP161+$L161*Summary_LCIA!AG$32</f>
        <v>9.1721892076944422E-3</v>
      </c>
      <c r="BL161" s="137">
        <f>$W161*AQ161+$L161*Summary_LCIA!AH$32</f>
        <v>1.4818452787940948</v>
      </c>
      <c r="BM161" s="137">
        <f>$W161*AR161+$L161*Summary_LCIA!AI$32</f>
        <v>0.30122800286824869</v>
      </c>
    </row>
    <row r="162" spans="1:65" x14ac:dyDescent="0.25">
      <c r="A162" s="149">
        <v>90</v>
      </c>
      <c r="B162" s="149">
        <v>6</v>
      </c>
      <c r="C162" s="61">
        <v>39.563648000000001</v>
      </c>
      <c r="D162" s="61">
        <v>-84.231724</v>
      </c>
      <c r="E162" s="61" t="s">
        <v>265</v>
      </c>
      <c r="F162" s="149">
        <v>109</v>
      </c>
      <c r="G162" s="61" t="s">
        <v>273</v>
      </c>
      <c r="H162" s="61" t="s">
        <v>665</v>
      </c>
      <c r="I162" s="61">
        <v>39.053274999999999</v>
      </c>
      <c r="J162" s="61">
        <v>-84.663016999999996</v>
      </c>
      <c r="K162" s="61">
        <v>94.489521969999998</v>
      </c>
      <c r="L162" s="61">
        <v>86.263999999999996</v>
      </c>
      <c r="M162" s="61" t="s">
        <v>617</v>
      </c>
      <c r="N162" s="149">
        <v>5</v>
      </c>
      <c r="O162" s="149">
        <v>6</v>
      </c>
      <c r="P162" s="61" t="s">
        <v>565</v>
      </c>
      <c r="Q162" s="61" t="s">
        <v>564</v>
      </c>
      <c r="R162" s="61">
        <v>41.98028</v>
      </c>
      <c r="S162" s="61">
        <v>-87.908997900000003</v>
      </c>
      <c r="T162" s="61">
        <v>528.36800000000005</v>
      </c>
      <c r="U162" s="61" t="s">
        <v>617</v>
      </c>
      <c r="V162" s="61" t="s">
        <v>569</v>
      </c>
      <c r="W162" s="61" cm="1">
        <f t="array" ref="W162">getDistance(I162,J162,R162,S162)*SA!$B$12</f>
        <v>426.22298474711437</v>
      </c>
      <c r="Y162" s="137">
        <f>Transportation_LCIA!C$61*($W162^Transportation_LCIA!C$60)+Transportation_LCIA!C$62</f>
        <v>0.36470937059724018</v>
      </c>
      <c r="Z162" s="137">
        <f>Transportation_LCIA!D$61*($W162^Transportation_LCIA!D$60)+Transportation_LCIA!D$62</f>
        <v>3.9599843643856643</v>
      </c>
      <c r="AA162" s="137">
        <f>Transportation_LCIA!E$61*($W162^Transportation_LCIA!E$60)+Transportation_LCIA!E$62</f>
        <v>2.1590522921276657E-3</v>
      </c>
      <c r="AB162" s="137">
        <f>Transportation_LCIA!F$61*($W162^Transportation_LCIA!F$60)+Transportation_LCIA!F$62</f>
        <v>0.36470937059724018</v>
      </c>
      <c r="AC162" s="137">
        <f>Transportation_LCIA!G$61*($W162^Transportation_LCIA!G$60)+Transportation_LCIA!G$62</f>
        <v>9.2146692060025251E-2</v>
      </c>
      <c r="AD162" s="137">
        <f>Transportation_LCIA!H$61*($W162^Transportation_LCIA!H$60)+Transportation_LCIA!H$62</f>
        <v>5.0249575772855042E-4</v>
      </c>
      <c r="AE162" s="137">
        <f>Transportation_LCIA!I$61*($W162^Transportation_LCIA!I$60)+Transportation_LCIA!I$62</f>
        <v>1.1708483079934808E-5</v>
      </c>
      <c r="AF162" s="137">
        <f>Transportation_LCIA!J$61*($W162^Transportation_LCIA!J$60)+Transportation_LCIA!J$62</f>
        <v>1.7488363461505577E-2</v>
      </c>
      <c r="AG162" s="137">
        <f>Transportation_LCIA!K$61*($W162^Transportation_LCIA!K$60)+Transportation_LCIA!K$62</f>
        <v>2.0421310133522361E-2</v>
      </c>
      <c r="AH162" s="137">
        <f>Transportation_LCIA!L$61*($W162^Transportation_LCIA!L$60)+Transportation_LCIA!L$62</f>
        <v>4.4847627034344826E-4</v>
      </c>
      <c r="AI162" s="137">
        <f>Transportation_LCIA!M$61*($W162^Transportation_LCIA!M$60)+Transportation_LCIA!M$62</f>
        <v>3.6824791490361742E-4</v>
      </c>
      <c r="AJ162" s="137">
        <f>Transportation_LCIA!N$61*($W162^Transportation_LCIA!N$60)+Transportation_LCIA!N$62</f>
        <v>1.7475719590774809E-3</v>
      </c>
      <c r="AK162" s="137">
        <f>Transportation_LCIA!O$61*($W162^Transportation_LCIA!O$60)+Transportation_LCIA!O$62</f>
        <v>9.7603127192632193E-5</v>
      </c>
      <c r="AL162" s="137">
        <f>Transportation_LCIA!P$61*($W162^Transportation_LCIA!P$60)+Transportation_LCIA!P$62</f>
        <v>4.7067607312152108E-8</v>
      </c>
      <c r="AM162" s="137">
        <f>Transportation_LCIA!Q$61*($W162^Transportation_LCIA!Q$60)+Transportation_LCIA!Q$62</f>
        <v>1.7674817037411348E-4</v>
      </c>
      <c r="AN162" s="137">
        <f>Transportation_LCIA!R$61*($W162^Transportation_LCIA!R$60)+Transportation_LCIA!R$62</f>
        <v>5.6242472670821938E-4</v>
      </c>
      <c r="AO162" s="137">
        <f>Transportation_LCIA!S$61*($W162^Transportation_LCIA!S$60)+Transportation_LCIA!S$62</f>
        <v>8.2361540379476893E-6</v>
      </c>
      <c r="AP162" s="137">
        <f>Transportation_LCIA!T$61*($W162^Transportation_LCIA!T$60)+Transportation_LCIA!T$62</f>
        <v>8.2361540379476893E-6</v>
      </c>
      <c r="AQ162" s="137">
        <f>Transportation_LCIA!U$61*($W162^Transportation_LCIA!U$60)+Transportation_LCIA!U$62</f>
        <v>1.2222632354241475E-3</v>
      </c>
      <c r="AR162" s="137">
        <f>Transportation_LCIA!V$61*($W162^Transportation_LCIA!V$60)+Transportation_LCIA!V$62</f>
        <v>4.6051342935052081E-4</v>
      </c>
      <c r="AT162" s="137">
        <f>$W162*Y162+$L162*Summary_LCIA!H$32</f>
        <v>184.76002370119718</v>
      </c>
      <c r="AU162" s="137">
        <f>$W162*Z162+$L162*Summary_LCIA!Q$32</f>
        <v>2115.3650898926744</v>
      </c>
      <c r="AV162" s="137">
        <f>$W162*AA162+$L162*Summary_LCIA!R$32</f>
        <v>1.3744694305757523</v>
      </c>
      <c r="AW162" s="137">
        <f>$W162*AB162+$L162*Summary_LCIA!S$32</f>
        <v>184.37873682119718</v>
      </c>
      <c r="AX162" s="137">
        <f>$W162*AC162+$L162*Summary_LCIA!T$32</f>
        <v>48.755451724397183</v>
      </c>
      <c r="AY162" s="137">
        <f>$W162*AD162+$L162*Summary_LCIA!U$32</f>
        <v>1.7595085376818256</v>
      </c>
      <c r="AZ162" s="137">
        <f>$W162*AE162+$L162*Summary_LCIA!V$32</f>
        <v>9.110479509190899E-3</v>
      </c>
      <c r="BA162" s="137">
        <f>$W162*AF162+$L162*Summary_LCIA!W$32</f>
        <v>14.093768816905282</v>
      </c>
      <c r="BB162" s="137">
        <f>$W162*AG162+$L162*Summary_LCIA!X$32</f>
        <v>10.669125677556393</v>
      </c>
      <c r="BC162" s="137">
        <f>$W162*AH162+$L162*Summary_LCIA!Y$32</f>
        <v>1.5353165425340383</v>
      </c>
      <c r="BD162" s="137">
        <f>$W162*AI162+$L162*Summary_LCIA!Z$32</f>
        <v>0.1604933257931212</v>
      </c>
      <c r="BE162" s="137">
        <f>$W162*AJ162+$L162*Summary_LCIA!AA$32</f>
        <v>2.7596373204583657</v>
      </c>
      <c r="BF162" s="137">
        <f>$W162*AK162+$L162*Summary_LCIA!AB$32</f>
        <v>3.9718156920695934E-2</v>
      </c>
      <c r="BG162" s="137">
        <f>$W162*AL162+$L162*Summary_LCIA!AC$32</f>
        <v>2.4278225449490579E-5</v>
      </c>
      <c r="BH162" s="137">
        <f>$W162*AM162+$L162*Summary_LCIA!AD$32</f>
        <v>0.11079208728544615</v>
      </c>
      <c r="BI162" s="137">
        <f>$W162*AN162+$L162*Summary_LCIA!AE$32</f>
        <v>0.31615946403315737</v>
      </c>
      <c r="BJ162" s="137">
        <f>$W162*AO162+$L162*Summary_LCIA!AF$32</f>
        <v>7.6439749036891061E-2</v>
      </c>
      <c r="BK162" s="137">
        <f>$W162*AP162+$L162*Summary_LCIA!AG$32</f>
        <v>7.9241357168910627E-3</v>
      </c>
      <c r="BL162" s="137">
        <f>$W162*AQ162+$L162*Summary_LCIA!AH$32</f>
        <v>1.271764034749145</v>
      </c>
      <c r="BM162" s="137">
        <f>$W162*AR162+$L162*Summary_LCIA!AI$32</f>
        <v>0.27664063757390833</v>
      </c>
    </row>
    <row r="163" spans="1:65" x14ac:dyDescent="0.25">
      <c r="A163" s="149">
        <v>349</v>
      </c>
      <c r="B163" s="149">
        <v>6</v>
      </c>
      <c r="C163" s="61">
        <v>39.552281000000001</v>
      </c>
      <c r="D163" s="61">
        <v>-84.233271999999999</v>
      </c>
      <c r="E163" s="61" t="s">
        <v>265</v>
      </c>
      <c r="F163" s="149">
        <v>109</v>
      </c>
      <c r="G163" s="61" t="s">
        <v>273</v>
      </c>
      <c r="H163" s="61" t="s">
        <v>665</v>
      </c>
      <c r="I163" s="61">
        <v>39.053274999999999</v>
      </c>
      <c r="J163" s="61">
        <v>-84.663016999999996</v>
      </c>
      <c r="K163" s="61">
        <v>92.693861600000005</v>
      </c>
      <c r="L163" s="61">
        <v>85.906000000000006</v>
      </c>
      <c r="M163" s="61" t="s">
        <v>617</v>
      </c>
      <c r="N163" s="149">
        <v>5</v>
      </c>
      <c r="O163" s="149">
        <v>6</v>
      </c>
      <c r="P163" s="61" t="s">
        <v>565</v>
      </c>
      <c r="Q163" s="61" t="s">
        <v>564</v>
      </c>
      <c r="R163" s="61">
        <v>41.98028</v>
      </c>
      <c r="S163" s="61">
        <v>-87.908997900000003</v>
      </c>
      <c r="T163" s="61">
        <v>529.49400000000003</v>
      </c>
      <c r="U163" s="61" t="s">
        <v>617</v>
      </c>
      <c r="V163" s="61" t="s">
        <v>569</v>
      </c>
      <c r="W163" s="61" cm="1">
        <f t="array" ref="W163">getDistance(I163,J163,R163,S163)*SA!$B$12</f>
        <v>426.22298474711437</v>
      </c>
      <c r="Y163" s="137">
        <f>Transportation_LCIA!C$61*($W163^Transportation_LCIA!C$60)+Transportation_LCIA!C$62</f>
        <v>0.36470937059724018</v>
      </c>
      <c r="Z163" s="137">
        <f>Transportation_LCIA!D$61*($W163^Transportation_LCIA!D$60)+Transportation_LCIA!D$62</f>
        <v>3.9599843643856643</v>
      </c>
      <c r="AA163" s="137">
        <f>Transportation_LCIA!E$61*($W163^Transportation_LCIA!E$60)+Transportation_LCIA!E$62</f>
        <v>2.1590522921276657E-3</v>
      </c>
      <c r="AB163" s="137">
        <f>Transportation_LCIA!F$61*($W163^Transportation_LCIA!F$60)+Transportation_LCIA!F$62</f>
        <v>0.36470937059724018</v>
      </c>
      <c r="AC163" s="137">
        <f>Transportation_LCIA!G$61*($W163^Transportation_LCIA!G$60)+Transportation_LCIA!G$62</f>
        <v>9.2146692060025251E-2</v>
      </c>
      <c r="AD163" s="137">
        <f>Transportation_LCIA!H$61*($W163^Transportation_LCIA!H$60)+Transportation_LCIA!H$62</f>
        <v>5.0249575772855042E-4</v>
      </c>
      <c r="AE163" s="137">
        <f>Transportation_LCIA!I$61*($W163^Transportation_LCIA!I$60)+Transportation_LCIA!I$62</f>
        <v>1.1708483079934808E-5</v>
      </c>
      <c r="AF163" s="137">
        <f>Transportation_LCIA!J$61*($W163^Transportation_LCIA!J$60)+Transportation_LCIA!J$62</f>
        <v>1.7488363461505577E-2</v>
      </c>
      <c r="AG163" s="137">
        <f>Transportation_LCIA!K$61*($W163^Transportation_LCIA!K$60)+Transportation_LCIA!K$62</f>
        <v>2.0421310133522361E-2</v>
      </c>
      <c r="AH163" s="137">
        <f>Transportation_LCIA!L$61*($W163^Transportation_LCIA!L$60)+Transportation_LCIA!L$62</f>
        <v>4.4847627034344826E-4</v>
      </c>
      <c r="AI163" s="137">
        <f>Transportation_LCIA!M$61*($W163^Transportation_LCIA!M$60)+Transportation_LCIA!M$62</f>
        <v>3.6824791490361742E-4</v>
      </c>
      <c r="AJ163" s="137">
        <f>Transportation_LCIA!N$61*($W163^Transportation_LCIA!N$60)+Transportation_LCIA!N$62</f>
        <v>1.7475719590774809E-3</v>
      </c>
      <c r="AK163" s="137">
        <f>Transportation_LCIA!O$61*($W163^Transportation_LCIA!O$60)+Transportation_LCIA!O$62</f>
        <v>9.7603127192632193E-5</v>
      </c>
      <c r="AL163" s="137">
        <f>Transportation_LCIA!P$61*($W163^Transportation_LCIA!P$60)+Transportation_LCIA!P$62</f>
        <v>4.7067607312152108E-8</v>
      </c>
      <c r="AM163" s="137">
        <f>Transportation_LCIA!Q$61*($W163^Transportation_LCIA!Q$60)+Transportation_LCIA!Q$62</f>
        <v>1.7674817037411348E-4</v>
      </c>
      <c r="AN163" s="137">
        <f>Transportation_LCIA!R$61*($W163^Transportation_LCIA!R$60)+Transportation_LCIA!R$62</f>
        <v>5.6242472670821938E-4</v>
      </c>
      <c r="AO163" s="137">
        <f>Transportation_LCIA!S$61*($W163^Transportation_LCIA!S$60)+Transportation_LCIA!S$62</f>
        <v>8.2361540379476893E-6</v>
      </c>
      <c r="AP163" s="137">
        <f>Transportation_LCIA!T$61*($W163^Transportation_LCIA!T$60)+Transportation_LCIA!T$62</f>
        <v>8.2361540379476893E-6</v>
      </c>
      <c r="AQ163" s="137">
        <f>Transportation_LCIA!U$61*($W163^Transportation_LCIA!U$60)+Transportation_LCIA!U$62</f>
        <v>1.2222632354241475E-3</v>
      </c>
      <c r="AR163" s="137">
        <f>Transportation_LCIA!V$61*($W163^Transportation_LCIA!V$60)+Transportation_LCIA!V$62</f>
        <v>4.6051342935052081E-4</v>
      </c>
      <c r="AT163" s="137">
        <f>$W163*Y163+$L163*Summary_LCIA!H$32</f>
        <v>184.63837530119719</v>
      </c>
      <c r="AU163" s="137">
        <f>$W163*Z163+$L163*Summary_LCIA!Q$32</f>
        <v>2113.5908238376605</v>
      </c>
      <c r="AV163" s="137">
        <f>$W163*AA163+$L163*Summary_LCIA!R$32</f>
        <v>1.3725843457757523</v>
      </c>
      <c r="AW163" s="137">
        <f>$W163*AB163+$L163*Summary_LCIA!S$32</f>
        <v>184.2586707811972</v>
      </c>
      <c r="AX163" s="137">
        <f>$W163*AC163+$L163*Summary_LCIA!T$32</f>
        <v>48.716107524397188</v>
      </c>
      <c r="AY163" s="137">
        <f>$W163*AD163+$L163*Summary_LCIA!U$32</f>
        <v>1.7530953256818258</v>
      </c>
      <c r="AZ163" s="137">
        <f>$W163*AE163+$L163*Summary_LCIA!V$32</f>
        <v>9.0933810711909015E-3</v>
      </c>
      <c r="BA163" s="137">
        <f>$W163*AF163+$L163*Summary_LCIA!W$32</f>
        <v>14.066213198905285</v>
      </c>
      <c r="BB163" s="137">
        <f>$W163*AG163+$L163*Summary_LCIA!X$32</f>
        <v>10.660970437556394</v>
      </c>
      <c r="BC163" s="137">
        <f>$W163*AH163+$L163*Summary_LCIA!Y$32</f>
        <v>1.5297381865340385</v>
      </c>
      <c r="BD163" s="137">
        <f>$W163*AI163+$L163*Summary_LCIA!Z$32</f>
        <v>0.16047864457112118</v>
      </c>
      <c r="BE163" s="137">
        <f>$W163*AJ163+$L163*Summary_LCIA!AA$32</f>
        <v>2.7512758724583657</v>
      </c>
      <c r="BF163" s="137">
        <f>$W163*AK163+$L163*Summary_LCIA!AB$32</f>
        <v>3.9725969554695935E-2</v>
      </c>
      <c r="BG163" s="137">
        <f>$W163*AL163+$L163*Summary_LCIA!AC$32</f>
        <v>2.4260724977490579E-5</v>
      </c>
      <c r="BH163" s="137">
        <f>$W163*AM163+$L163*Summary_LCIA!AD$32</f>
        <v>0.11064493496544614</v>
      </c>
      <c r="BI163" s="137">
        <f>$W163*AN163+$L163*Summary_LCIA!AE$32</f>
        <v>0.31584222949315738</v>
      </c>
      <c r="BJ163" s="137">
        <f>$W163*AO163+$L163*Summary_LCIA!AF$32</f>
        <v>7.6137088676891063E-2</v>
      </c>
      <c r="BK163" s="137">
        <f>$W163*AP163+$L163*Summary_LCIA!AG$32</f>
        <v>7.9058186468910635E-3</v>
      </c>
      <c r="BL163" s="137">
        <f>$W163*AQ163+$L163*Summary_LCIA!AH$32</f>
        <v>1.2686481459491452</v>
      </c>
      <c r="BM163" s="137">
        <f>$W163*AR163+$L163*Summary_LCIA!AI$32</f>
        <v>0.27630714267390838</v>
      </c>
    </row>
    <row r="164" spans="1:65" x14ac:dyDescent="0.25">
      <c r="A164" s="149">
        <v>209</v>
      </c>
      <c r="B164" s="149">
        <v>6</v>
      </c>
      <c r="C164" s="61">
        <v>42.810535999999999</v>
      </c>
      <c r="D164" s="61">
        <v>-83.079087000000001</v>
      </c>
      <c r="E164" s="61" t="s">
        <v>265</v>
      </c>
      <c r="F164" s="149">
        <v>78</v>
      </c>
      <c r="G164" s="61" t="s">
        <v>615</v>
      </c>
      <c r="H164" s="61" t="s">
        <v>616</v>
      </c>
      <c r="I164" s="61">
        <v>42.216248999999998</v>
      </c>
      <c r="J164" s="61">
        <v>-83.355363999999994</v>
      </c>
      <c r="K164" s="61">
        <v>102.2416606</v>
      </c>
      <c r="L164" s="61">
        <v>88.736999999999995</v>
      </c>
      <c r="M164" s="61" t="s">
        <v>617</v>
      </c>
      <c r="N164" s="149">
        <v>5</v>
      </c>
      <c r="O164" s="149">
        <v>6</v>
      </c>
      <c r="P164" s="61" t="s">
        <v>565</v>
      </c>
      <c r="Q164" s="61" t="s">
        <v>564</v>
      </c>
      <c r="R164" s="61">
        <v>41.98028</v>
      </c>
      <c r="S164" s="61">
        <v>-87.908997900000003</v>
      </c>
      <c r="T164" s="61">
        <v>532.41999999999996</v>
      </c>
      <c r="U164" s="61" t="s">
        <v>617</v>
      </c>
      <c r="V164" s="61" t="s">
        <v>569</v>
      </c>
      <c r="W164" s="61" cm="1">
        <f t="array" ref="W164">getDistance(I164,J164,R164,S164)*SA!$B$12</f>
        <v>377.55996592631055</v>
      </c>
      <c r="Y164" s="137">
        <f>Transportation_LCIA!C$61*($W164^Transportation_LCIA!C$60)+Transportation_LCIA!C$62</f>
        <v>0.39177321151276934</v>
      </c>
      <c r="Z164" s="137">
        <f>Transportation_LCIA!D$61*($W164^Transportation_LCIA!D$60)+Transportation_LCIA!D$62</f>
        <v>4.2885469298554302</v>
      </c>
      <c r="AA164" s="137">
        <f>Transportation_LCIA!E$61*($W164^Transportation_LCIA!E$60)+Transportation_LCIA!E$62</f>
        <v>2.3774892800205579E-3</v>
      </c>
      <c r="AB164" s="137">
        <f>Transportation_LCIA!F$61*($W164^Transportation_LCIA!F$60)+Transportation_LCIA!F$62</f>
        <v>0.39177321151276934</v>
      </c>
      <c r="AC164" s="137">
        <f>Transportation_LCIA!G$61*($W164^Transportation_LCIA!G$60)+Transportation_LCIA!G$62</f>
        <v>9.9730740674667376E-2</v>
      </c>
      <c r="AD164" s="137">
        <f>Transportation_LCIA!H$61*($W164^Transportation_LCIA!H$60)+Transportation_LCIA!H$62</f>
        <v>5.5159056743946447E-4</v>
      </c>
      <c r="AE164" s="137">
        <f>Transportation_LCIA!I$61*($W164^Transportation_LCIA!I$60)+Transportation_LCIA!I$62</f>
        <v>1.2988810045312625E-5</v>
      </c>
      <c r="AF164" s="137">
        <f>Transportation_LCIA!J$61*($W164^Transportation_LCIA!J$60)+Transportation_LCIA!J$62</f>
        <v>1.9439626149728245E-2</v>
      </c>
      <c r="AG164" s="137">
        <f>Transportation_LCIA!K$61*($W164^Transportation_LCIA!K$60)+Transportation_LCIA!K$62</f>
        <v>2.2227364305679936E-2</v>
      </c>
      <c r="AH164" s="137">
        <f>Transportation_LCIA!L$61*($W164^Transportation_LCIA!L$60)+Transportation_LCIA!L$62</f>
        <v>4.9406726591070139E-4</v>
      </c>
      <c r="AI164" s="137">
        <f>Transportation_LCIA!M$61*($W164^Transportation_LCIA!M$60)+Transportation_LCIA!M$62</f>
        <v>3.9537528709454031E-4</v>
      </c>
      <c r="AJ164" s="137">
        <f>Transportation_LCIA!N$61*($W164^Transportation_LCIA!N$60)+Transportation_LCIA!N$62</f>
        <v>1.9121741222974152E-3</v>
      </c>
      <c r="AK164" s="137">
        <f>Transportation_LCIA!O$61*($W164^Transportation_LCIA!O$60)+Transportation_LCIA!O$62</f>
        <v>1.0567090816044529E-4</v>
      </c>
      <c r="AL164" s="137">
        <f>Transportation_LCIA!P$61*($W164^Transportation_LCIA!P$60)+Transportation_LCIA!P$62</f>
        <v>5.0935129732250114E-8</v>
      </c>
      <c r="AM164" s="137">
        <f>Transportation_LCIA!Q$61*($W164^Transportation_LCIA!Q$60)+Transportation_LCIA!Q$62</f>
        <v>1.9467109253194182E-4</v>
      </c>
      <c r="AN164" s="137">
        <f>Transportation_LCIA!R$61*($W164^Transportation_LCIA!R$60)+Transportation_LCIA!R$62</f>
        <v>6.2387261985424414E-4</v>
      </c>
      <c r="AO164" s="137">
        <f>Transportation_LCIA!S$61*($W164^Transportation_LCIA!S$60)+Transportation_LCIA!S$62</f>
        <v>9.1068518980920511E-6</v>
      </c>
      <c r="AP164" s="137">
        <f>Transportation_LCIA!T$61*($W164^Transportation_LCIA!T$60)+Transportation_LCIA!T$62</f>
        <v>9.1068518980920511E-6</v>
      </c>
      <c r="AQ164" s="137">
        <f>Transportation_LCIA!U$61*($W164^Transportation_LCIA!U$60)+Transportation_LCIA!U$62</f>
        <v>1.3579254338977325E-3</v>
      </c>
      <c r="AR164" s="137">
        <f>Transportation_LCIA!V$61*($W164^Transportation_LCIA!V$60)+Transportation_LCIA!V$62</f>
        <v>5.0746659917131709E-4</v>
      </c>
      <c r="AT164" s="137">
        <f>$W164*Y164+$L164*Summary_LCIA!H$32</f>
        <v>178.07071298960244</v>
      </c>
      <c r="AU164" s="137">
        <f>$W164*Z164+$L164*Summary_LCIA!Q$32</f>
        <v>2058.9686799827209</v>
      </c>
      <c r="AV164" s="137">
        <f>$W164*AA164+$L164*Summary_LCIA!R$32</f>
        <v>1.3648983187547303</v>
      </c>
      <c r="AW164" s="137">
        <f>$W164*AB164+$L164*Summary_LCIA!S$32</f>
        <v>177.67849544960245</v>
      </c>
      <c r="AX164" s="137">
        <f>$W164*AC164+$L164*Summary_LCIA!T$32</f>
        <v>47.406531350933129</v>
      </c>
      <c r="AY164" s="137">
        <f>$W164*AD164+$L164*Summary_LCIA!U$32</f>
        <v>1.7978931338477184</v>
      </c>
      <c r="AZ164" s="137">
        <f>$W164*AE164+$L164*Summary_LCIA!V$32</f>
        <v>9.1422225351315556E-3</v>
      </c>
      <c r="BA164" s="137">
        <f>$W164*AF164+$L164*Summary_LCIA!W$32</f>
        <v>14.169800213711611</v>
      </c>
      <c r="BB164" s="137">
        <f>$W164*AG164+$L164*Summary_LCIA!X$32</f>
        <v>10.413591769884208</v>
      </c>
      <c r="BC164" s="137">
        <f>$W164*AH164+$L164*Summary_LCIA!Y$32</f>
        <v>1.5692399540825497</v>
      </c>
      <c r="BD164" s="137">
        <f>$W164*AI164+$L164*Summary_LCIA!Z$32</f>
        <v>0.15291689555651991</v>
      </c>
      <c r="BE164" s="137">
        <f>$W164*AJ164+$L164*Summary_LCIA!AA$32</f>
        <v>2.794501768459785</v>
      </c>
      <c r="BF164" s="137">
        <f>$W164*AK164+$L164*Summary_LCIA!AB$32</f>
        <v>3.7960596933460017E-2</v>
      </c>
      <c r="BG164" s="137">
        <f>$W164*AL164+$L164*Summary_LCIA!AC$32</f>
        <v>2.3568885354160562E-5</v>
      </c>
      <c r="BH164" s="137">
        <f>$W164*AM164+$L164*Summary_LCIA!AD$32</f>
        <v>0.1099744675431976</v>
      </c>
      <c r="BI164" s="137">
        <f>$W164*AN164+$L164*Summary_LCIA!AE$32</f>
        <v>0.3141818429045265</v>
      </c>
      <c r="BJ164" s="137">
        <f>$W164*AO164+$L164*Summary_LCIA!AF$32</f>
        <v>7.8458417232339595E-2</v>
      </c>
      <c r="BK164" s="137">
        <f>$W164*AP164+$L164*Summary_LCIA!AG$32</f>
        <v>7.9786112973395905E-3</v>
      </c>
      <c r="BL164" s="137">
        <f>$W164*AQ164+$L164*Summary_LCIA!AH$32</f>
        <v>1.2850296337528984</v>
      </c>
      <c r="BM164" s="137">
        <f>$W164*AR164+$L164*Summary_LCIA!AI$32</f>
        <v>0.27426202424186319</v>
      </c>
    </row>
    <row r="165" spans="1:65" x14ac:dyDescent="0.25">
      <c r="A165" s="149">
        <v>10</v>
      </c>
      <c r="B165" s="149">
        <v>43</v>
      </c>
      <c r="C165" s="61">
        <v>43.083925000000001</v>
      </c>
      <c r="D165" s="61">
        <v>-77.674614000000005</v>
      </c>
      <c r="E165" s="61" t="s">
        <v>265</v>
      </c>
      <c r="F165" s="149">
        <v>120</v>
      </c>
      <c r="G165" s="61" t="s">
        <v>625</v>
      </c>
      <c r="H165" s="61" t="s">
        <v>626</v>
      </c>
      <c r="I165" s="61">
        <v>42.939706000000001</v>
      </c>
      <c r="J165" s="61">
        <v>-78.729506999999998</v>
      </c>
      <c r="K165" s="61">
        <v>92.065719849999994</v>
      </c>
      <c r="L165" s="61">
        <v>101.642</v>
      </c>
      <c r="M165" s="61" t="s">
        <v>617</v>
      </c>
      <c r="N165" s="149">
        <v>42</v>
      </c>
      <c r="O165" s="149">
        <v>43</v>
      </c>
      <c r="P165" s="61" t="s">
        <v>565</v>
      </c>
      <c r="Q165" s="61" t="s">
        <v>555</v>
      </c>
      <c r="R165" s="61">
        <v>40.6895314</v>
      </c>
      <c r="S165" s="61">
        <v>-74.174462399999996</v>
      </c>
      <c r="T165" s="61">
        <v>534.476</v>
      </c>
      <c r="U165" s="61" t="s">
        <v>617</v>
      </c>
      <c r="V165" s="61" t="s">
        <v>569</v>
      </c>
      <c r="W165" s="61" cm="1">
        <f t="array" ref="W165">getDistance(I165,J165,R165,S165)*SA!$B$12</f>
        <v>453.70669460993366</v>
      </c>
      <c r="Y165" s="137">
        <f>Transportation_LCIA!C$61*($W165^Transportation_LCIA!C$60)+Transportation_LCIA!C$62</f>
        <v>0.35179822030380453</v>
      </c>
      <c r="Z165" s="137">
        <f>Transportation_LCIA!D$61*($W165^Transportation_LCIA!D$60)+Transportation_LCIA!D$62</f>
        <v>3.8038685240383758</v>
      </c>
      <c r="AA165" s="137">
        <f>Transportation_LCIA!E$61*($W165^Transportation_LCIA!E$60)+Transportation_LCIA!E$62</f>
        <v>2.0553796700765819E-3</v>
      </c>
      <c r="AB165" s="137">
        <f>Transportation_LCIA!F$61*($W165^Transportation_LCIA!F$60)+Transportation_LCIA!F$62</f>
        <v>0.35179822030380453</v>
      </c>
      <c r="AC165" s="137">
        <f>Transportation_LCIA!G$61*($W165^Transportation_LCIA!G$60)+Transportation_LCIA!G$62</f>
        <v>8.8542301175389054E-2</v>
      </c>
      <c r="AD165" s="137">
        <f>Transportation_LCIA!H$61*($W165^Transportation_LCIA!H$60)+Transportation_LCIA!H$62</f>
        <v>4.7924680402862424E-4</v>
      </c>
      <c r="AE165" s="137">
        <f>Transportation_LCIA!I$61*($W165^Transportation_LCIA!I$60)+Transportation_LCIA!I$62</f>
        <v>1.1104359431323201E-5</v>
      </c>
      <c r="AF165" s="137">
        <f>Transportation_LCIA!J$61*($W165^Transportation_LCIA!J$60)+Transportation_LCIA!J$62</f>
        <v>1.6569820845191208E-2</v>
      </c>
      <c r="AG165" s="137">
        <f>Transportation_LCIA!K$61*($W165^Transportation_LCIA!K$60)+Transportation_LCIA!K$62</f>
        <v>1.9564708397539259E-2</v>
      </c>
      <c r="AH165" s="137">
        <f>Transportation_LCIA!L$61*($W165^Transportation_LCIA!L$60)+Transportation_LCIA!L$62</f>
        <v>4.2690866521771174E-4</v>
      </c>
      <c r="AI165" s="137">
        <f>Transportation_LCIA!M$61*($W165^Transportation_LCIA!M$60)+Transportation_LCIA!M$62</f>
        <v>3.5540325219174092E-4</v>
      </c>
      <c r="AJ165" s="137">
        <f>Transportation_LCIA!N$61*($W165^Transportation_LCIA!N$60)+Transportation_LCIA!N$62</f>
        <v>1.6696019563166051E-3</v>
      </c>
      <c r="AK165" s="137">
        <f>Transportation_LCIA!O$61*($W165^Transportation_LCIA!O$60)+Transportation_LCIA!O$62</f>
        <v>9.376926172545552E-5</v>
      </c>
      <c r="AL165" s="137">
        <f>Transportation_LCIA!P$61*($W165^Transportation_LCIA!P$60)+Transportation_LCIA!P$62</f>
        <v>4.5229183914951175E-8</v>
      </c>
      <c r="AM165" s="137">
        <f>Transportation_LCIA!Q$61*($W165^Transportation_LCIA!Q$60)+Transportation_LCIA!Q$62</f>
        <v>1.6827410039877645E-4</v>
      </c>
      <c r="AN165" s="137">
        <f>Transportation_LCIA!R$61*($W165^Transportation_LCIA!R$60)+Transportation_LCIA!R$62</f>
        <v>5.3343299418952066E-4</v>
      </c>
      <c r="AO165" s="137">
        <f>Transportation_LCIA!S$61*($W165^Transportation_LCIA!S$60)+Transportation_LCIA!S$62</f>
        <v>7.8252838449889344E-6</v>
      </c>
      <c r="AP165" s="137">
        <f>Transportation_LCIA!T$61*($W165^Transportation_LCIA!T$60)+Transportation_LCIA!T$62</f>
        <v>7.8252838449889344E-6</v>
      </c>
      <c r="AQ165" s="137">
        <f>Transportation_LCIA!U$61*($W165^Transportation_LCIA!U$60)+Transportation_LCIA!U$62</f>
        <v>1.1583001340676898E-3</v>
      </c>
      <c r="AR165" s="137">
        <f>Transportation_LCIA!V$61*($W165^Transportation_LCIA!V$60)+Transportation_LCIA!V$62</f>
        <v>4.3832947018607746E-4</v>
      </c>
      <c r="AT165" s="137">
        <f>$W165*Y165+$L165*Summary_LCIA!H$32</f>
        <v>194.15115930369643</v>
      </c>
      <c r="AU165" s="137">
        <f>$W165*Z165+$L165*Summary_LCIA!Q$32</f>
        <v>2229.5834928832046</v>
      </c>
      <c r="AV165" s="137">
        <f>$W165*AA165+$L165*Summary_LCIA!R$32</f>
        <v>1.4677456314789019</v>
      </c>
      <c r="AW165" s="137">
        <f>$W165*AB165+$L165*Summary_LCIA!S$32</f>
        <v>193.70190166369642</v>
      </c>
      <c r="AX165" s="137">
        <f>$W165*AC165+$L165*Summary_LCIA!T$32</f>
        <v>51.34269059944301</v>
      </c>
      <c r="AY165" s="137">
        <f>$W165*AD165+$L165*Summary_LCIA!U$32</f>
        <v>2.0382522713582016</v>
      </c>
      <c r="AZ165" s="137">
        <f>$W165*AE165+$L165*Summary_LCIA!V$32</f>
        <v>9.8926457753462926E-3</v>
      </c>
      <c r="BA165" s="137">
        <f>$W165*AF165+$L165*Summary_LCIA!W$32</f>
        <v>15.341325027950479</v>
      </c>
      <c r="BB165" s="137">
        <f>$W165*AG165+$L165*Summary_LCIA!X$32</f>
        <v>11.192043938054749</v>
      </c>
      <c r="BC165" s="137">
        <f>$W165*AH165+$L165*Summary_LCIA!Y$32</f>
        <v>1.7774769633962668</v>
      </c>
      <c r="BD165" s="137">
        <f>$W165*AI165+$L165*Summary_LCIA!Z$32</f>
        <v>0.16541707158353541</v>
      </c>
      <c r="BE165" s="137">
        <f>$W165*AJ165+$L165*Summary_LCIA!AA$32</f>
        <v>3.1314601369146855</v>
      </c>
      <c r="BF165" s="137">
        <f>$W165*AK165+$L165*Summary_LCIA!AB$32</f>
        <v>4.032560842747019E-2</v>
      </c>
      <c r="BG165" s="137">
        <f>$W165*AL165+$L165*Summary_LCIA!AC$32</f>
        <v>2.5489451061957275E-5</v>
      </c>
      <c r="BH165" s="137">
        <f>$W165*AM165+$L165*Summary_LCIA!AD$32</f>
        <v>0.11812601356038899</v>
      </c>
      <c r="BI165" s="137">
        <f>$W165*AN165+$L165*Summary_LCIA!AE$32</f>
        <v>0.33209014604960735</v>
      </c>
      <c r="BJ165" s="137">
        <f>$W165*AO165+$L165*Summary_LCIA!AF$32</f>
        <v>8.9480563307694452E-2</v>
      </c>
      <c r="BK165" s="137">
        <f>$W165*AP165+$L165*Summary_LCIA!AG$32</f>
        <v>8.7508965976944419E-3</v>
      </c>
      <c r="BL165" s="137">
        <f>$W165*AQ165+$L165*Summary_LCIA!AH$32</f>
        <v>1.4101798363940947</v>
      </c>
      <c r="BM165" s="137">
        <f>$W165*AR165+$L165*Summary_LCIA!AI$32</f>
        <v>0.29355762016824866</v>
      </c>
    </row>
    <row r="166" spans="1:65" x14ac:dyDescent="0.25">
      <c r="A166" s="149">
        <v>11</v>
      </c>
      <c r="B166" s="149">
        <v>43</v>
      </c>
      <c r="C166" s="61">
        <v>43.083925000000001</v>
      </c>
      <c r="D166" s="61">
        <v>-77.674614000000005</v>
      </c>
      <c r="E166" s="61" t="s">
        <v>265</v>
      </c>
      <c r="F166" s="149">
        <v>120</v>
      </c>
      <c r="G166" s="61" t="s">
        <v>625</v>
      </c>
      <c r="H166" s="61" t="s">
        <v>626</v>
      </c>
      <c r="I166" s="61">
        <v>42.939706000000001</v>
      </c>
      <c r="J166" s="61">
        <v>-78.729506999999998</v>
      </c>
      <c r="K166" s="61">
        <v>92.065719849999994</v>
      </c>
      <c r="L166" s="61">
        <v>101.642</v>
      </c>
      <c r="M166" s="61" t="s">
        <v>617</v>
      </c>
      <c r="N166" s="149">
        <v>42</v>
      </c>
      <c r="O166" s="149">
        <v>43</v>
      </c>
      <c r="P166" s="61" t="s">
        <v>565</v>
      </c>
      <c r="Q166" s="61" t="s">
        <v>555</v>
      </c>
      <c r="R166" s="61">
        <v>40.6895314</v>
      </c>
      <c r="S166" s="61">
        <v>-74.174462399999996</v>
      </c>
      <c r="T166" s="61">
        <v>534.476</v>
      </c>
      <c r="U166" s="61" t="s">
        <v>617</v>
      </c>
      <c r="V166" s="61" t="s">
        <v>569</v>
      </c>
      <c r="W166" s="61" cm="1">
        <f t="array" ref="W166">getDistance(I166,J166,R166,S166)*SA!$B$12</f>
        <v>453.70669460993366</v>
      </c>
      <c r="Y166" s="137">
        <f>Transportation_LCIA!C$61*($W166^Transportation_LCIA!C$60)+Transportation_LCIA!C$62</f>
        <v>0.35179822030380453</v>
      </c>
      <c r="Z166" s="137">
        <f>Transportation_LCIA!D$61*($W166^Transportation_LCIA!D$60)+Transportation_LCIA!D$62</f>
        <v>3.8038685240383758</v>
      </c>
      <c r="AA166" s="137">
        <f>Transportation_LCIA!E$61*($W166^Transportation_LCIA!E$60)+Transportation_LCIA!E$62</f>
        <v>2.0553796700765819E-3</v>
      </c>
      <c r="AB166" s="137">
        <f>Transportation_LCIA!F$61*($W166^Transportation_LCIA!F$60)+Transportation_LCIA!F$62</f>
        <v>0.35179822030380453</v>
      </c>
      <c r="AC166" s="137">
        <f>Transportation_LCIA!G$61*($W166^Transportation_LCIA!G$60)+Transportation_LCIA!G$62</f>
        <v>8.8542301175389054E-2</v>
      </c>
      <c r="AD166" s="137">
        <f>Transportation_LCIA!H$61*($W166^Transportation_LCIA!H$60)+Transportation_LCIA!H$62</f>
        <v>4.7924680402862424E-4</v>
      </c>
      <c r="AE166" s="137">
        <f>Transportation_LCIA!I$61*($W166^Transportation_LCIA!I$60)+Transportation_LCIA!I$62</f>
        <v>1.1104359431323201E-5</v>
      </c>
      <c r="AF166" s="137">
        <f>Transportation_LCIA!J$61*($W166^Transportation_LCIA!J$60)+Transportation_LCIA!J$62</f>
        <v>1.6569820845191208E-2</v>
      </c>
      <c r="AG166" s="137">
        <f>Transportation_LCIA!K$61*($W166^Transportation_LCIA!K$60)+Transportation_LCIA!K$62</f>
        <v>1.9564708397539259E-2</v>
      </c>
      <c r="AH166" s="137">
        <f>Transportation_LCIA!L$61*($W166^Transportation_LCIA!L$60)+Transportation_LCIA!L$62</f>
        <v>4.2690866521771174E-4</v>
      </c>
      <c r="AI166" s="137">
        <f>Transportation_LCIA!M$61*($W166^Transportation_LCIA!M$60)+Transportation_LCIA!M$62</f>
        <v>3.5540325219174092E-4</v>
      </c>
      <c r="AJ166" s="137">
        <f>Transportation_LCIA!N$61*($W166^Transportation_LCIA!N$60)+Transportation_LCIA!N$62</f>
        <v>1.6696019563166051E-3</v>
      </c>
      <c r="AK166" s="137">
        <f>Transportation_LCIA!O$61*($W166^Transportation_LCIA!O$60)+Transportation_LCIA!O$62</f>
        <v>9.376926172545552E-5</v>
      </c>
      <c r="AL166" s="137">
        <f>Transportation_LCIA!P$61*($W166^Transportation_LCIA!P$60)+Transportation_LCIA!P$62</f>
        <v>4.5229183914951175E-8</v>
      </c>
      <c r="AM166" s="137">
        <f>Transportation_LCIA!Q$61*($W166^Transportation_LCIA!Q$60)+Transportation_LCIA!Q$62</f>
        <v>1.6827410039877645E-4</v>
      </c>
      <c r="AN166" s="137">
        <f>Transportation_LCIA!R$61*($W166^Transportation_LCIA!R$60)+Transportation_LCIA!R$62</f>
        <v>5.3343299418952066E-4</v>
      </c>
      <c r="AO166" s="137">
        <f>Transportation_LCIA!S$61*($W166^Transportation_LCIA!S$60)+Transportation_LCIA!S$62</f>
        <v>7.8252838449889344E-6</v>
      </c>
      <c r="AP166" s="137">
        <f>Transportation_LCIA!T$61*($W166^Transportation_LCIA!T$60)+Transportation_LCIA!T$62</f>
        <v>7.8252838449889344E-6</v>
      </c>
      <c r="AQ166" s="137">
        <f>Transportation_LCIA!U$61*($W166^Transportation_LCIA!U$60)+Transportation_LCIA!U$62</f>
        <v>1.1583001340676898E-3</v>
      </c>
      <c r="AR166" s="137">
        <f>Transportation_LCIA!V$61*($W166^Transportation_LCIA!V$60)+Transportation_LCIA!V$62</f>
        <v>4.3832947018607746E-4</v>
      </c>
      <c r="AT166" s="137">
        <f>$W166*Y166+$L166*Summary_LCIA!H$32</f>
        <v>194.15115930369643</v>
      </c>
      <c r="AU166" s="137">
        <f>$W166*Z166+$L166*Summary_LCIA!Q$32</f>
        <v>2229.5834928832046</v>
      </c>
      <c r="AV166" s="137">
        <f>$W166*AA166+$L166*Summary_LCIA!R$32</f>
        <v>1.4677456314789019</v>
      </c>
      <c r="AW166" s="137">
        <f>$W166*AB166+$L166*Summary_LCIA!S$32</f>
        <v>193.70190166369642</v>
      </c>
      <c r="AX166" s="137">
        <f>$W166*AC166+$L166*Summary_LCIA!T$32</f>
        <v>51.34269059944301</v>
      </c>
      <c r="AY166" s="137">
        <f>$W166*AD166+$L166*Summary_LCIA!U$32</f>
        <v>2.0382522713582016</v>
      </c>
      <c r="AZ166" s="137">
        <f>$W166*AE166+$L166*Summary_LCIA!V$32</f>
        <v>9.8926457753462926E-3</v>
      </c>
      <c r="BA166" s="137">
        <f>$W166*AF166+$L166*Summary_LCIA!W$32</f>
        <v>15.341325027950479</v>
      </c>
      <c r="BB166" s="137">
        <f>$W166*AG166+$L166*Summary_LCIA!X$32</f>
        <v>11.192043938054749</v>
      </c>
      <c r="BC166" s="137">
        <f>$W166*AH166+$L166*Summary_LCIA!Y$32</f>
        <v>1.7774769633962668</v>
      </c>
      <c r="BD166" s="137">
        <f>$W166*AI166+$L166*Summary_LCIA!Z$32</f>
        <v>0.16541707158353541</v>
      </c>
      <c r="BE166" s="137">
        <f>$W166*AJ166+$L166*Summary_LCIA!AA$32</f>
        <v>3.1314601369146855</v>
      </c>
      <c r="BF166" s="137">
        <f>$W166*AK166+$L166*Summary_LCIA!AB$32</f>
        <v>4.032560842747019E-2</v>
      </c>
      <c r="BG166" s="137">
        <f>$W166*AL166+$L166*Summary_LCIA!AC$32</f>
        <v>2.5489451061957275E-5</v>
      </c>
      <c r="BH166" s="137">
        <f>$W166*AM166+$L166*Summary_LCIA!AD$32</f>
        <v>0.11812601356038899</v>
      </c>
      <c r="BI166" s="137">
        <f>$W166*AN166+$L166*Summary_LCIA!AE$32</f>
        <v>0.33209014604960735</v>
      </c>
      <c r="BJ166" s="137">
        <f>$W166*AO166+$L166*Summary_LCIA!AF$32</f>
        <v>8.9480563307694452E-2</v>
      </c>
      <c r="BK166" s="137">
        <f>$W166*AP166+$L166*Summary_LCIA!AG$32</f>
        <v>8.7508965976944419E-3</v>
      </c>
      <c r="BL166" s="137">
        <f>$W166*AQ166+$L166*Summary_LCIA!AH$32</f>
        <v>1.4101798363940947</v>
      </c>
      <c r="BM166" s="137">
        <f>$W166*AR166+$L166*Summary_LCIA!AI$32</f>
        <v>0.29355762016824866</v>
      </c>
    </row>
    <row r="167" spans="1:65" x14ac:dyDescent="0.25">
      <c r="A167" s="149">
        <v>117</v>
      </c>
      <c r="B167" s="149">
        <v>6</v>
      </c>
      <c r="C167" s="61">
        <v>41.720916000000003</v>
      </c>
      <c r="D167" s="61">
        <v>-93.629379999999998</v>
      </c>
      <c r="E167" s="61" t="s">
        <v>265</v>
      </c>
      <c r="F167" s="149">
        <v>121</v>
      </c>
      <c r="G167" s="61" t="s">
        <v>287</v>
      </c>
      <c r="H167" s="61" t="s">
        <v>290</v>
      </c>
      <c r="I167" s="61">
        <v>41.301873000000001</v>
      </c>
      <c r="J167" s="61">
        <v>-95.893741000000006</v>
      </c>
      <c r="K167" s="61">
        <v>200.06094519999999</v>
      </c>
      <c r="L167" s="61">
        <v>235.221</v>
      </c>
      <c r="M167" s="61" t="s">
        <v>617</v>
      </c>
      <c r="N167" s="149">
        <v>5</v>
      </c>
      <c r="O167" s="149">
        <v>6</v>
      </c>
      <c r="P167" s="61" t="s">
        <v>565</v>
      </c>
      <c r="Q167" s="61" t="s">
        <v>564</v>
      </c>
      <c r="R167" s="61">
        <v>41.98028</v>
      </c>
      <c r="S167" s="61">
        <v>-87.908997900000003</v>
      </c>
      <c r="T167" s="61">
        <v>535.13599999999997</v>
      </c>
      <c r="U167" s="61" t="s">
        <v>617</v>
      </c>
      <c r="V167" s="61" t="s">
        <v>569</v>
      </c>
      <c r="W167" s="61" cm="1">
        <f t="array" ref="W167">getDistance(I167,J167,R167,S167)*SA!$B$12</f>
        <v>669.26749072627524</v>
      </c>
      <c r="Y167" s="137">
        <f>Transportation_LCIA!C$61*($W167^Transportation_LCIA!C$60)+Transportation_LCIA!C$62</f>
        <v>0.28504039049137575</v>
      </c>
      <c r="Z167" s="137">
        <f>Transportation_LCIA!D$61*($W167^Transportation_LCIA!D$60)+Transportation_LCIA!D$62</f>
        <v>3.0041649469674656</v>
      </c>
      <c r="AA167" s="137">
        <f>Transportation_LCIA!E$61*($W167^Transportation_LCIA!E$60)+Transportation_LCIA!E$62</f>
        <v>1.525706097435096E-3</v>
      </c>
      <c r="AB167" s="137">
        <f>Transportation_LCIA!F$61*($W167^Transportation_LCIA!F$60)+Transportation_LCIA!F$62</f>
        <v>0.28504039049137575</v>
      </c>
      <c r="AC167" s="137">
        <f>Transportation_LCIA!G$61*($W167^Transportation_LCIA!G$60)+Transportation_LCIA!G$62</f>
        <v>7.0068758885027033E-2</v>
      </c>
      <c r="AD167" s="137">
        <f>Transportation_LCIA!H$61*($W167^Transportation_LCIA!H$60)+Transportation_LCIA!H$62</f>
        <v>3.6107816379944279E-4</v>
      </c>
      <c r="AE167" s="137">
        <f>Transportation_LCIA!I$61*($W167^Transportation_LCIA!I$60)+Transportation_LCIA!I$62</f>
        <v>8.0591675714929097E-6</v>
      </c>
      <c r="AF167" s="137">
        <f>Transportation_LCIA!J$61*($W167^Transportation_LCIA!J$60)+Transportation_LCIA!J$62</f>
        <v>1.1964774828826928E-2</v>
      </c>
      <c r="AG167" s="137">
        <f>Transportation_LCIA!K$61*($W167^Transportation_LCIA!K$60)+Transportation_LCIA!K$62</f>
        <v>1.5195002827775642E-2</v>
      </c>
      <c r="AH167" s="137">
        <f>Transportation_LCIA!L$61*($W167^Transportation_LCIA!L$60)+Transportation_LCIA!L$62</f>
        <v>3.1754527567534542E-4</v>
      </c>
      <c r="AI167" s="137">
        <f>Transportation_LCIA!M$61*($W167^Transportation_LCIA!M$60)+Transportation_LCIA!M$62</f>
        <v>2.9013540374786794E-4</v>
      </c>
      <c r="AJ167" s="137">
        <f>Transportation_LCIA!N$61*($W167^Transportation_LCIA!N$60)+Transportation_LCIA!N$62</f>
        <v>1.2730376617698762E-3</v>
      </c>
      <c r="AK167" s="137">
        <f>Transportation_LCIA!O$61*($W167^Transportation_LCIA!O$60)+Transportation_LCIA!O$62</f>
        <v>7.4124631538667591E-5</v>
      </c>
      <c r="AL167" s="137">
        <f>Transportation_LCIA!P$61*($W167^Transportation_LCIA!P$60)+Transportation_LCIA!P$62</f>
        <v>3.5802611393451831E-8</v>
      </c>
      <c r="AM167" s="137">
        <f>Transportation_LCIA!Q$61*($W167^Transportation_LCIA!Q$60)+Transportation_LCIA!Q$62</f>
        <v>1.2535917081520263E-4</v>
      </c>
      <c r="AN167" s="137">
        <f>Transportation_LCIA!R$61*($W167^Transportation_LCIA!R$60)+Transportation_LCIA!R$62</f>
        <v>3.8732436662072014E-4</v>
      </c>
      <c r="AO167" s="137">
        <f>Transportation_LCIA!S$61*($W167^Transportation_LCIA!S$60)+Transportation_LCIA!S$62</f>
        <v>5.7538657024500324E-6</v>
      </c>
      <c r="AP167" s="137">
        <f>Transportation_LCIA!T$61*($W167^Transportation_LCIA!T$60)+Transportation_LCIA!T$62</f>
        <v>5.7538657024500324E-6</v>
      </c>
      <c r="AQ167" s="137">
        <f>Transportation_LCIA!U$61*($W167^Transportation_LCIA!U$60)+Transportation_LCIA!U$62</f>
        <v>8.3645465454341723E-4</v>
      </c>
      <c r="AR167" s="137">
        <f>Transportation_LCIA!V$61*($W167^Transportation_LCIA!V$60)+Transportation_LCIA!V$62</f>
        <v>3.2616855470196486E-4</v>
      </c>
      <c r="AT167" s="137">
        <f>$W167*Y167+$L167*Summary_LCIA!H$32</f>
        <v>270.69636269980072</v>
      </c>
      <c r="AU167" s="137">
        <f>$W167*Z167+$L167*Summary_LCIA!Q$32</f>
        <v>3176.3570746854425</v>
      </c>
      <c r="AV167" s="137">
        <f>$W167*AA167+$L167*Summary_LCIA!R$32</f>
        <v>2.2596851890161647</v>
      </c>
      <c r="AW167" s="137">
        <f>$W167*AB167+$L167*Summary_LCIA!S$32</f>
        <v>269.6566858798007</v>
      </c>
      <c r="AX167" s="137">
        <f>$W167*AC167+$L167*Summary_LCIA!T$32</f>
        <v>72.745530337286453</v>
      </c>
      <c r="AY167" s="137">
        <f>$W167*AD167+$L167*Summary_LCIA!U$32</f>
        <v>4.4554068706421042</v>
      </c>
      <c r="AZ167" s="137">
        <f>$W167*AE167+$L167*Summary_LCIA!V$32</f>
        <v>1.662812903891563E-2</v>
      </c>
      <c r="BA167" s="137">
        <f>$W167*AF167+$L167*Summary_LCIA!W$32</f>
        <v>26.112830417793898</v>
      </c>
      <c r="BB167" s="137">
        <f>$W167*AG167+$L167*Summary_LCIA!X$32</f>
        <v>15.527855794124061</v>
      </c>
      <c r="BC167" s="137">
        <f>$W167*AH167+$L167*Summary_LCIA!Y$32</f>
        <v>3.8777363518432217</v>
      </c>
      <c r="BD167" s="137">
        <f>$W167*AI167+$L167*Summary_LCIA!Z$32</f>
        <v>0.20382437162619033</v>
      </c>
      <c r="BE167" s="137">
        <f>$W167*AJ167+$L167*Summary_LCIA!AA$32</f>
        <v>6.3458243974927697</v>
      </c>
      <c r="BF167" s="137">
        <f>$W167*AK167+$L167*Summary_LCIA!AB$32</f>
        <v>4.4475978267893776E-2</v>
      </c>
      <c r="BG167" s="137">
        <f>$W167*AL167+$L167*Summary_LCIA!AC$32</f>
        <v>3.5460067252743457E-5</v>
      </c>
      <c r="BH167" s="137">
        <f>$W167*AM167+$L167*Summary_LCIA!AD$32</f>
        <v>0.18058405753101719</v>
      </c>
      <c r="BI167" s="137">
        <f>$W167*AN167+$L167*Summary_LCIA!AE$32</f>
        <v>0.46765999167539324</v>
      </c>
      <c r="BJ167" s="137">
        <f>$W167*AO167+$L167*Summary_LCIA!AF$32</f>
        <v>0.20271141308065474</v>
      </c>
      <c r="BK167" s="137">
        <f>$W167*AP167+$L167*Summary_LCIA!AG$32</f>
        <v>1.5885957725654713E-2</v>
      </c>
      <c r="BL167" s="137">
        <f>$W167*AQ167+$L167*Summary_LCIA!AH$32</f>
        <v>2.6070814033525864</v>
      </c>
      <c r="BM167" s="137">
        <f>$W167*AR167+$L167*Summary_LCIA!AI$32</f>
        <v>0.43741413270919982</v>
      </c>
    </row>
    <row r="168" spans="1:65" x14ac:dyDescent="0.25">
      <c r="A168" s="149">
        <v>118</v>
      </c>
      <c r="B168" s="149">
        <v>6</v>
      </c>
      <c r="C168" s="61">
        <v>41.720916000000003</v>
      </c>
      <c r="D168" s="61">
        <v>-93.629379999999998</v>
      </c>
      <c r="E168" s="61" t="s">
        <v>265</v>
      </c>
      <c r="F168" s="149">
        <v>121</v>
      </c>
      <c r="G168" s="61" t="s">
        <v>287</v>
      </c>
      <c r="H168" s="61" t="s">
        <v>290</v>
      </c>
      <c r="I168" s="61">
        <v>41.301873000000001</v>
      </c>
      <c r="J168" s="61">
        <v>-95.893741000000006</v>
      </c>
      <c r="K168" s="61">
        <v>200.06094519999999</v>
      </c>
      <c r="L168" s="61">
        <v>235.221</v>
      </c>
      <c r="M168" s="61" t="s">
        <v>617</v>
      </c>
      <c r="N168" s="149">
        <v>5</v>
      </c>
      <c r="O168" s="149">
        <v>6</v>
      </c>
      <c r="P168" s="61" t="s">
        <v>565</v>
      </c>
      <c r="Q168" s="61" t="s">
        <v>564</v>
      </c>
      <c r="R168" s="61">
        <v>41.98028</v>
      </c>
      <c r="S168" s="61">
        <v>-87.908997900000003</v>
      </c>
      <c r="T168" s="61">
        <v>535.13599999999997</v>
      </c>
      <c r="U168" s="61" t="s">
        <v>617</v>
      </c>
      <c r="V168" s="61" t="s">
        <v>569</v>
      </c>
      <c r="W168" s="61" cm="1">
        <f t="array" ref="W168">getDistance(I168,J168,R168,S168)*SA!$B$12</f>
        <v>669.26749072627524</v>
      </c>
      <c r="Y168" s="137">
        <f>Transportation_LCIA!C$61*($W168^Transportation_LCIA!C$60)+Transportation_LCIA!C$62</f>
        <v>0.28504039049137575</v>
      </c>
      <c r="Z168" s="137">
        <f>Transportation_LCIA!D$61*($W168^Transportation_LCIA!D$60)+Transportation_LCIA!D$62</f>
        <v>3.0041649469674656</v>
      </c>
      <c r="AA168" s="137">
        <f>Transportation_LCIA!E$61*($W168^Transportation_LCIA!E$60)+Transportation_LCIA!E$62</f>
        <v>1.525706097435096E-3</v>
      </c>
      <c r="AB168" s="137">
        <f>Transportation_LCIA!F$61*($W168^Transportation_LCIA!F$60)+Transportation_LCIA!F$62</f>
        <v>0.28504039049137575</v>
      </c>
      <c r="AC168" s="137">
        <f>Transportation_LCIA!G$61*($W168^Transportation_LCIA!G$60)+Transportation_LCIA!G$62</f>
        <v>7.0068758885027033E-2</v>
      </c>
      <c r="AD168" s="137">
        <f>Transportation_LCIA!H$61*($W168^Transportation_LCIA!H$60)+Transportation_LCIA!H$62</f>
        <v>3.6107816379944279E-4</v>
      </c>
      <c r="AE168" s="137">
        <f>Transportation_LCIA!I$61*($W168^Transportation_LCIA!I$60)+Transportation_LCIA!I$62</f>
        <v>8.0591675714929097E-6</v>
      </c>
      <c r="AF168" s="137">
        <f>Transportation_LCIA!J$61*($W168^Transportation_LCIA!J$60)+Transportation_LCIA!J$62</f>
        <v>1.1964774828826928E-2</v>
      </c>
      <c r="AG168" s="137">
        <f>Transportation_LCIA!K$61*($W168^Transportation_LCIA!K$60)+Transportation_LCIA!K$62</f>
        <v>1.5195002827775642E-2</v>
      </c>
      <c r="AH168" s="137">
        <f>Transportation_LCIA!L$61*($W168^Transportation_LCIA!L$60)+Transportation_LCIA!L$62</f>
        <v>3.1754527567534542E-4</v>
      </c>
      <c r="AI168" s="137">
        <f>Transportation_LCIA!M$61*($W168^Transportation_LCIA!M$60)+Transportation_LCIA!M$62</f>
        <v>2.9013540374786794E-4</v>
      </c>
      <c r="AJ168" s="137">
        <f>Transportation_LCIA!N$61*($W168^Transportation_LCIA!N$60)+Transportation_LCIA!N$62</f>
        <v>1.2730376617698762E-3</v>
      </c>
      <c r="AK168" s="137">
        <f>Transportation_LCIA!O$61*($W168^Transportation_LCIA!O$60)+Transportation_LCIA!O$62</f>
        <v>7.4124631538667591E-5</v>
      </c>
      <c r="AL168" s="137">
        <f>Transportation_LCIA!P$61*($W168^Transportation_LCIA!P$60)+Transportation_LCIA!P$62</f>
        <v>3.5802611393451831E-8</v>
      </c>
      <c r="AM168" s="137">
        <f>Transportation_LCIA!Q$61*($W168^Transportation_LCIA!Q$60)+Transportation_LCIA!Q$62</f>
        <v>1.2535917081520263E-4</v>
      </c>
      <c r="AN168" s="137">
        <f>Transportation_LCIA!R$61*($W168^Transportation_LCIA!R$60)+Transportation_LCIA!R$62</f>
        <v>3.8732436662072014E-4</v>
      </c>
      <c r="AO168" s="137">
        <f>Transportation_LCIA!S$61*($W168^Transportation_LCIA!S$60)+Transportation_LCIA!S$62</f>
        <v>5.7538657024500324E-6</v>
      </c>
      <c r="AP168" s="137">
        <f>Transportation_LCIA!T$61*($W168^Transportation_LCIA!T$60)+Transportation_LCIA!T$62</f>
        <v>5.7538657024500324E-6</v>
      </c>
      <c r="AQ168" s="137">
        <f>Transportation_LCIA!U$61*($W168^Transportation_LCIA!U$60)+Transportation_LCIA!U$62</f>
        <v>8.3645465454341723E-4</v>
      </c>
      <c r="AR168" s="137">
        <f>Transportation_LCIA!V$61*($W168^Transportation_LCIA!V$60)+Transportation_LCIA!V$62</f>
        <v>3.2616855470196486E-4</v>
      </c>
      <c r="AT168" s="137">
        <f>$W168*Y168+$L168*Summary_LCIA!H$32</f>
        <v>270.69636269980072</v>
      </c>
      <c r="AU168" s="137">
        <f>$W168*Z168+$L168*Summary_LCIA!Q$32</f>
        <v>3176.3570746854425</v>
      </c>
      <c r="AV168" s="137">
        <f>$W168*AA168+$L168*Summary_LCIA!R$32</f>
        <v>2.2596851890161647</v>
      </c>
      <c r="AW168" s="137">
        <f>$W168*AB168+$L168*Summary_LCIA!S$32</f>
        <v>269.6566858798007</v>
      </c>
      <c r="AX168" s="137">
        <f>$W168*AC168+$L168*Summary_LCIA!T$32</f>
        <v>72.745530337286453</v>
      </c>
      <c r="AY168" s="137">
        <f>$W168*AD168+$L168*Summary_LCIA!U$32</f>
        <v>4.4554068706421042</v>
      </c>
      <c r="AZ168" s="137">
        <f>$W168*AE168+$L168*Summary_LCIA!V$32</f>
        <v>1.662812903891563E-2</v>
      </c>
      <c r="BA168" s="137">
        <f>$W168*AF168+$L168*Summary_LCIA!W$32</f>
        <v>26.112830417793898</v>
      </c>
      <c r="BB168" s="137">
        <f>$W168*AG168+$L168*Summary_LCIA!X$32</f>
        <v>15.527855794124061</v>
      </c>
      <c r="BC168" s="137">
        <f>$W168*AH168+$L168*Summary_LCIA!Y$32</f>
        <v>3.8777363518432217</v>
      </c>
      <c r="BD168" s="137">
        <f>$W168*AI168+$L168*Summary_LCIA!Z$32</f>
        <v>0.20382437162619033</v>
      </c>
      <c r="BE168" s="137">
        <f>$W168*AJ168+$L168*Summary_LCIA!AA$32</f>
        <v>6.3458243974927697</v>
      </c>
      <c r="BF168" s="137">
        <f>$W168*AK168+$L168*Summary_LCIA!AB$32</f>
        <v>4.4475978267893776E-2</v>
      </c>
      <c r="BG168" s="137">
        <f>$W168*AL168+$L168*Summary_LCIA!AC$32</f>
        <v>3.5460067252743457E-5</v>
      </c>
      <c r="BH168" s="137">
        <f>$W168*AM168+$L168*Summary_LCIA!AD$32</f>
        <v>0.18058405753101719</v>
      </c>
      <c r="BI168" s="137">
        <f>$W168*AN168+$L168*Summary_LCIA!AE$32</f>
        <v>0.46765999167539324</v>
      </c>
      <c r="BJ168" s="137">
        <f>$W168*AO168+$L168*Summary_LCIA!AF$32</f>
        <v>0.20271141308065474</v>
      </c>
      <c r="BK168" s="137">
        <f>$W168*AP168+$L168*Summary_LCIA!AG$32</f>
        <v>1.5885957725654713E-2</v>
      </c>
      <c r="BL168" s="137">
        <f>$W168*AQ168+$L168*Summary_LCIA!AH$32</f>
        <v>2.6070814033525864</v>
      </c>
      <c r="BM168" s="137">
        <f>$W168*AR168+$L168*Summary_LCIA!AI$32</f>
        <v>0.43741413270919982</v>
      </c>
    </row>
    <row r="169" spans="1:65" x14ac:dyDescent="0.25">
      <c r="A169" s="149">
        <v>234</v>
      </c>
      <c r="B169" s="149">
        <v>43</v>
      </c>
      <c r="C169" s="61">
        <v>40.324514000000001</v>
      </c>
      <c r="D169" s="61">
        <v>-79.701155</v>
      </c>
      <c r="E169" s="61" t="s">
        <v>265</v>
      </c>
      <c r="F169" s="149">
        <v>106</v>
      </c>
      <c r="G169" s="61" t="s">
        <v>266</v>
      </c>
      <c r="H169" s="61" t="s">
        <v>669</v>
      </c>
      <c r="I169" s="61">
        <v>40.491920999999998</v>
      </c>
      <c r="J169" s="61">
        <v>-80.235223000000005</v>
      </c>
      <c r="K169" s="61">
        <v>50.994779719999997</v>
      </c>
      <c r="L169" s="61">
        <v>71.013000000000005</v>
      </c>
      <c r="M169" s="61" t="s">
        <v>617</v>
      </c>
      <c r="N169" s="149">
        <v>42</v>
      </c>
      <c r="O169" s="149">
        <v>43</v>
      </c>
      <c r="P169" s="61" t="s">
        <v>565</v>
      </c>
      <c r="Q169" s="61" t="s">
        <v>555</v>
      </c>
      <c r="R169" s="61">
        <v>40.6895314</v>
      </c>
      <c r="S169" s="61">
        <v>-74.174462399999996</v>
      </c>
      <c r="T169" s="61">
        <v>542.74</v>
      </c>
      <c r="U169" s="61" t="s">
        <v>617</v>
      </c>
      <c r="V169" s="61" t="s">
        <v>569</v>
      </c>
      <c r="W169" s="61" cm="1">
        <f t="array" ref="W169">getDistance(I169,J169,R169,S169)*SA!$B$12</f>
        <v>513.433583839015</v>
      </c>
      <c r="Y169" s="137">
        <f>Transportation_LCIA!C$61*($W169^Transportation_LCIA!C$60)+Transportation_LCIA!C$62</f>
        <v>0.32815716511039528</v>
      </c>
      <c r="Z169" s="137">
        <f>Transportation_LCIA!D$61*($W169^Transportation_LCIA!D$60)+Transportation_LCIA!D$62</f>
        <v>3.5191542163843881</v>
      </c>
      <c r="AA169" s="137">
        <f>Transportation_LCIA!E$61*($W169^Transportation_LCIA!E$60)+Transportation_LCIA!E$62</f>
        <v>1.8665206810453132E-3</v>
      </c>
      <c r="AB169" s="137">
        <f>Transportation_LCIA!F$61*($W169^Transportation_LCIA!F$60)+Transportation_LCIA!F$62</f>
        <v>0.32815716511039528</v>
      </c>
      <c r="AC169" s="137">
        <f>Transportation_LCIA!G$61*($W169^Transportation_LCIA!G$60)+Transportation_LCIA!G$62</f>
        <v>8.1967302989677859E-2</v>
      </c>
      <c r="AD169" s="137">
        <f>Transportation_LCIA!H$61*($W169^Transportation_LCIA!H$60)+Transportation_LCIA!H$62</f>
        <v>4.3698853519291556E-4</v>
      </c>
      <c r="AE169" s="137">
        <f>Transportation_LCIA!I$61*($W169^Transportation_LCIA!I$60)+Transportation_LCIA!I$62</f>
        <v>1.0010201729396875E-5</v>
      </c>
      <c r="AF169" s="137">
        <f>Transportation_LCIA!J$61*($W169^Transportation_LCIA!J$60)+Transportation_LCIA!J$62</f>
        <v>1.4910087392935532E-2</v>
      </c>
      <c r="AG169" s="137">
        <f>Transportation_LCIA!K$61*($W169^Transportation_LCIA!K$60)+Transportation_LCIA!K$62</f>
        <v>1.8005284512120634E-2</v>
      </c>
      <c r="AH169" s="137">
        <f>Transportation_LCIA!L$61*($W169^Transportation_LCIA!L$60)+Transportation_LCIA!L$62</f>
        <v>3.8774642038002372E-4</v>
      </c>
      <c r="AI169" s="137">
        <f>Transportation_LCIA!M$61*($W169^Transportation_LCIA!M$60)+Transportation_LCIA!M$62</f>
        <v>3.3205908340433346E-4</v>
      </c>
      <c r="AJ169" s="137">
        <f>Transportation_LCIA!N$61*($W169^Transportation_LCIA!N$60)+Transportation_LCIA!N$62</f>
        <v>1.5278401037459809E-3</v>
      </c>
      <c r="AK169" s="137">
        <f>Transportation_LCIA!O$61*($W169^Transportation_LCIA!O$60)+Transportation_LCIA!O$62</f>
        <v>8.6776433969231709E-5</v>
      </c>
      <c r="AL169" s="137">
        <f>Transportation_LCIA!P$61*($W169^Transportation_LCIA!P$60)+Transportation_LCIA!P$62</f>
        <v>4.187496920977748E-8</v>
      </c>
      <c r="AM169" s="137">
        <f>Transportation_LCIA!Q$61*($W169^Transportation_LCIA!Q$60)+Transportation_LCIA!Q$62</f>
        <v>1.5289540886279419E-4</v>
      </c>
      <c r="AN169" s="137">
        <f>Transportation_LCIA!R$61*($W169^Transportation_LCIA!R$60)+Transportation_LCIA!R$62</f>
        <v>4.8092919779996581E-4</v>
      </c>
      <c r="AO169" s="137">
        <f>Transportation_LCIA!S$61*($W169^Transportation_LCIA!S$60)+Transportation_LCIA!S$62</f>
        <v>7.081081996143308E-6</v>
      </c>
      <c r="AP169" s="137">
        <f>Transportation_LCIA!T$61*($W169^Transportation_LCIA!T$60)+Transportation_LCIA!T$62</f>
        <v>7.081081996143308E-6</v>
      </c>
      <c r="AQ169" s="137">
        <f>Transportation_LCIA!U$61*($W169^Transportation_LCIA!U$60)+Transportation_LCIA!U$62</f>
        <v>1.0425420500377758E-3</v>
      </c>
      <c r="AR169" s="137">
        <f>Transportation_LCIA!V$61*($W169^Transportation_LCIA!V$60)+Transportation_LCIA!V$62</f>
        <v>3.9809863614409633E-4</v>
      </c>
      <c r="AT169" s="137">
        <f>$W169*Y169+$L169*Summary_LCIA!H$32</f>
        <v>192.61712674508161</v>
      </c>
      <c r="AU169" s="137">
        <f>$W169*Z169+$L169*Summary_LCIA!Q$32</f>
        <v>2158.7959707990458</v>
      </c>
      <c r="AV169" s="137">
        <f>$W169*AA169+$L169*Summary_LCIA!R$32</f>
        <v>1.3322604553787343</v>
      </c>
      <c r="AW169" s="137">
        <f>$W169*AB169+$L169*Summary_LCIA!S$32</f>
        <v>192.30324928508162</v>
      </c>
      <c r="AX169" s="137">
        <f>$W169*AC169+$L169*Summary_LCIA!T$32</f>
        <v>49.889094831608709</v>
      </c>
      <c r="AY169" s="137">
        <f>$W169*AD169+$L169*Summary_LCIA!U$32</f>
        <v>1.4964914717206601</v>
      </c>
      <c r="AZ169" s="137">
        <f>$W169*AE169+$L169*Summary_LCIA!V$32</f>
        <v>8.5312256418757434E-3</v>
      </c>
      <c r="BA169" s="137">
        <f>$W169*AF169+$L169*Summary_LCIA!W$32</f>
        <v>13.121281228507806</v>
      </c>
      <c r="BB169" s="137">
        <f>$W169*AG169+$L169*Summary_LCIA!X$32</f>
        <v>10.862193895099209</v>
      </c>
      <c r="BC169" s="137">
        <f>$W169*AH169+$L169*Summary_LCIA!Y$32</f>
        <v>1.305606600236465</v>
      </c>
      <c r="BD169" s="137">
        <f>$W169*AI169+$L169*Summary_LCIA!Z$32</f>
        <v>0.17340245735558532</v>
      </c>
      <c r="BE169" s="137">
        <f>$W169*AJ169+$L169*Summary_LCIA!AA$32</f>
        <v>2.4430240479992715</v>
      </c>
      <c r="BF169" s="137">
        <f>$W169*AK169+$L169*Summary_LCIA!AB$32</f>
        <v>4.3004218786592274E-2</v>
      </c>
      <c r="BG169" s="137">
        <f>$W169*AL169+$L169*Summary_LCIA!AC$32</f>
        <v>2.4971415006524458E-5</v>
      </c>
      <c r="BH169" s="137">
        <f>$W169*AM169+$L169*Summary_LCIA!AD$32</f>
        <v>0.10769082124495591</v>
      </c>
      <c r="BI169" s="137">
        <f>$W169*AN169+$L169*Summary_LCIA!AE$32</f>
        <v>0.30985195128925902</v>
      </c>
      <c r="BJ169" s="137">
        <f>$W169*AO169+$L169*Summary_LCIA!AF$32</f>
        <v>6.367147576673779E-2</v>
      </c>
      <c r="BK169" s="137">
        <f>$W169*AP169+$L169*Summary_LCIA!AG$32</f>
        <v>7.2690454517377852E-3</v>
      </c>
      <c r="BL169" s="137">
        <f>$W169*AQ169+$L169*Summary_LCIA!AH$32</f>
        <v>1.1533448478537691</v>
      </c>
      <c r="BM169" s="137">
        <f>$W169*AR169+$L169*Summary_LCIA!AI$32</f>
        <v>0.27054936962688741</v>
      </c>
    </row>
    <row r="170" spans="1:65" x14ac:dyDescent="0.25">
      <c r="A170" s="149">
        <v>129</v>
      </c>
      <c r="B170" s="149">
        <v>6</v>
      </c>
      <c r="C170" s="61">
        <v>42.028866000000001</v>
      </c>
      <c r="D170" s="61">
        <v>-93.648031000000003</v>
      </c>
      <c r="E170" s="61" t="s">
        <v>265</v>
      </c>
      <c r="F170" s="149">
        <v>121</v>
      </c>
      <c r="G170" s="61" t="s">
        <v>287</v>
      </c>
      <c r="H170" s="61" t="s">
        <v>290</v>
      </c>
      <c r="I170" s="61">
        <v>41.301873000000001</v>
      </c>
      <c r="J170" s="61">
        <v>-95.893741000000006</v>
      </c>
      <c r="K170" s="61">
        <v>222.912556</v>
      </c>
      <c r="L170" s="61">
        <v>279.464</v>
      </c>
      <c r="M170" s="61" t="s">
        <v>617</v>
      </c>
      <c r="N170" s="149">
        <v>5</v>
      </c>
      <c r="O170" s="149">
        <v>6</v>
      </c>
      <c r="P170" s="61" t="s">
        <v>565</v>
      </c>
      <c r="Q170" s="61" t="s">
        <v>564</v>
      </c>
      <c r="R170" s="61">
        <v>41.98028</v>
      </c>
      <c r="S170" s="61">
        <v>-87.908997900000003</v>
      </c>
      <c r="T170" s="61">
        <v>556.37900000000002</v>
      </c>
      <c r="U170" s="61" t="s">
        <v>617</v>
      </c>
      <c r="V170" s="61" t="s">
        <v>569</v>
      </c>
      <c r="W170" s="61" cm="1">
        <f t="array" ref="W170">getDistance(I170,J170,R170,S170)*SA!$B$12</f>
        <v>669.26749072627524</v>
      </c>
      <c r="Y170" s="137">
        <f>Transportation_LCIA!C$61*($W170^Transportation_LCIA!C$60)+Transportation_LCIA!C$62</f>
        <v>0.28504039049137575</v>
      </c>
      <c r="Z170" s="137">
        <f>Transportation_LCIA!D$61*($W170^Transportation_LCIA!D$60)+Transportation_LCIA!D$62</f>
        <v>3.0041649469674656</v>
      </c>
      <c r="AA170" s="137">
        <f>Transportation_LCIA!E$61*($W170^Transportation_LCIA!E$60)+Transportation_LCIA!E$62</f>
        <v>1.525706097435096E-3</v>
      </c>
      <c r="AB170" s="137">
        <f>Transportation_LCIA!F$61*($W170^Transportation_LCIA!F$60)+Transportation_LCIA!F$62</f>
        <v>0.28504039049137575</v>
      </c>
      <c r="AC170" s="137">
        <f>Transportation_LCIA!G$61*($W170^Transportation_LCIA!G$60)+Transportation_LCIA!G$62</f>
        <v>7.0068758885027033E-2</v>
      </c>
      <c r="AD170" s="137">
        <f>Transportation_LCIA!H$61*($W170^Transportation_LCIA!H$60)+Transportation_LCIA!H$62</f>
        <v>3.6107816379944279E-4</v>
      </c>
      <c r="AE170" s="137">
        <f>Transportation_LCIA!I$61*($W170^Transportation_LCIA!I$60)+Transportation_LCIA!I$62</f>
        <v>8.0591675714929097E-6</v>
      </c>
      <c r="AF170" s="137">
        <f>Transportation_LCIA!J$61*($W170^Transportation_LCIA!J$60)+Transportation_LCIA!J$62</f>
        <v>1.1964774828826928E-2</v>
      </c>
      <c r="AG170" s="137">
        <f>Transportation_LCIA!K$61*($W170^Transportation_LCIA!K$60)+Transportation_LCIA!K$62</f>
        <v>1.5195002827775642E-2</v>
      </c>
      <c r="AH170" s="137">
        <f>Transportation_LCIA!L$61*($W170^Transportation_LCIA!L$60)+Transportation_LCIA!L$62</f>
        <v>3.1754527567534542E-4</v>
      </c>
      <c r="AI170" s="137">
        <f>Transportation_LCIA!M$61*($W170^Transportation_LCIA!M$60)+Transportation_LCIA!M$62</f>
        <v>2.9013540374786794E-4</v>
      </c>
      <c r="AJ170" s="137">
        <f>Transportation_LCIA!N$61*($W170^Transportation_LCIA!N$60)+Transportation_LCIA!N$62</f>
        <v>1.2730376617698762E-3</v>
      </c>
      <c r="AK170" s="137">
        <f>Transportation_LCIA!O$61*($W170^Transportation_LCIA!O$60)+Transportation_LCIA!O$62</f>
        <v>7.4124631538667591E-5</v>
      </c>
      <c r="AL170" s="137">
        <f>Transportation_LCIA!P$61*($W170^Transportation_LCIA!P$60)+Transportation_LCIA!P$62</f>
        <v>3.5802611393451831E-8</v>
      </c>
      <c r="AM170" s="137">
        <f>Transportation_LCIA!Q$61*($W170^Transportation_LCIA!Q$60)+Transportation_LCIA!Q$62</f>
        <v>1.2535917081520263E-4</v>
      </c>
      <c r="AN170" s="137">
        <f>Transportation_LCIA!R$61*($W170^Transportation_LCIA!R$60)+Transportation_LCIA!R$62</f>
        <v>3.8732436662072014E-4</v>
      </c>
      <c r="AO170" s="137">
        <f>Transportation_LCIA!S$61*($W170^Transportation_LCIA!S$60)+Transportation_LCIA!S$62</f>
        <v>5.7538657024500324E-6</v>
      </c>
      <c r="AP170" s="137">
        <f>Transportation_LCIA!T$61*($W170^Transportation_LCIA!T$60)+Transportation_LCIA!T$62</f>
        <v>5.7538657024500324E-6</v>
      </c>
      <c r="AQ170" s="137">
        <f>Transportation_LCIA!U$61*($W170^Transportation_LCIA!U$60)+Transportation_LCIA!U$62</f>
        <v>8.3645465454341723E-4</v>
      </c>
      <c r="AR170" s="137">
        <f>Transportation_LCIA!V$61*($W170^Transportation_LCIA!V$60)+Transportation_LCIA!V$62</f>
        <v>3.2616855470196486E-4</v>
      </c>
      <c r="AT170" s="137">
        <f>$W170*Y170+$L170*Summary_LCIA!H$32</f>
        <v>285.73013409980069</v>
      </c>
      <c r="AU170" s="137">
        <f>$W170*Z170+$L170*Summary_LCIA!Q$32</f>
        <v>3395.6276139926613</v>
      </c>
      <c r="AV170" s="137">
        <f>$W170*AA170+$L170*Summary_LCIA!R$32</f>
        <v>2.4926511298161644</v>
      </c>
      <c r="AW170" s="137">
        <f>$W170*AB170+$L170*Summary_LCIA!S$32</f>
        <v>284.49490321980068</v>
      </c>
      <c r="AX170" s="137">
        <f>$W170*AC170+$L170*Summary_LCIA!T$32</f>
        <v>77.607836037286447</v>
      </c>
      <c r="AY170" s="137">
        <f>$W170*AD170+$L170*Summary_LCIA!U$32</f>
        <v>5.247975972642104</v>
      </c>
      <c r="AZ170" s="137">
        <f>$W170*AE170+$L170*Summary_LCIA!V$32</f>
        <v>1.8741218961915627E-2</v>
      </c>
      <c r="BA170" s="137">
        <f>$W170*AF170+$L170*Summary_LCIA!W$32</f>
        <v>29.518258370793895</v>
      </c>
      <c r="BB170" s="137">
        <f>$W170*AG170+$L170*Summary_LCIA!X$32</f>
        <v>16.535711334124059</v>
      </c>
      <c r="BC170" s="137">
        <f>$W170*AH170+$L170*Summary_LCIA!Y$32</f>
        <v>4.5671307778432224</v>
      </c>
      <c r="BD170" s="137">
        <f>$W170*AI170+$L170*Summary_LCIA!Z$32</f>
        <v>0.20563873281319034</v>
      </c>
      <c r="BE170" s="137">
        <f>$W170*AJ170+$L170*Summary_LCIA!AA$32</f>
        <v>7.3791639054927689</v>
      </c>
      <c r="BF170" s="137">
        <f>$W170*AK170+$L170*Summary_LCIA!AB$32</f>
        <v>4.3510463278893782E-2</v>
      </c>
      <c r="BG170" s="137">
        <f>$W170*AL170+$L170*Summary_LCIA!AC$32</f>
        <v>3.7622842064743461E-5</v>
      </c>
      <c r="BH170" s="137">
        <f>$W170*AM170+$L170*Summary_LCIA!AD$32</f>
        <v>0.19876970025101717</v>
      </c>
      <c r="BI170" s="137">
        <f>$W170*AN170+$L170*Summary_LCIA!AE$32</f>
        <v>0.50686504126539322</v>
      </c>
      <c r="BJ170" s="137">
        <f>$W170*AO170+$L170*Summary_LCIA!AF$32</f>
        <v>0.24011533014065473</v>
      </c>
      <c r="BK170" s="137">
        <f>$W170*AP170+$L170*Summary_LCIA!AG$32</f>
        <v>1.8149650820654711E-2</v>
      </c>
      <c r="BL170" s="137">
        <f>$W170*AQ170+$L170*Summary_LCIA!AH$32</f>
        <v>2.9921547781525866</v>
      </c>
      <c r="BM170" s="137">
        <f>$W170*AR170+$L170*Summary_LCIA!AI$32</f>
        <v>0.47862869935919983</v>
      </c>
    </row>
    <row r="171" spans="1:65" x14ac:dyDescent="0.25">
      <c r="A171" s="149">
        <v>188</v>
      </c>
      <c r="B171" s="149">
        <v>6</v>
      </c>
      <c r="C171" s="61">
        <v>42.404803000000001</v>
      </c>
      <c r="D171" s="61">
        <v>-82.191038000000006</v>
      </c>
      <c r="E171" s="61" t="s">
        <v>456</v>
      </c>
      <c r="F171" s="149">
        <v>78</v>
      </c>
      <c r="G171" s="61" t="s">
        <v>615</v>
      </c>
      <c r="H171" s="61" t="s">
        <v>616</v>
      </c>
      <c r="I171" s="61">
        <v>42.216248999999998</v>
      </c>
      <c r="J171" s="61">
        <v>-83.355363999999994</v>
      </c>
      <c r="K171" s="61">
        <v>103.2140149</v>
      </c>
      <c r="L171" s="61">
        <v>119.09</v>
      </c>
      <c r="M171" s="61" t="s">
        <v>617</v>
      </c>
      <c r="N171" s="149">
        <v>5</v>
      </c>
      <c r="O171" s="149">
        <v>6</v>
      </c>
      <c r="P171" s="61" t="s">
        <v>565</v>
      </c>
      <c r="Q171" s="61" t="s">
        <v>564</v>
      </c>
      <c r="R171" s="61">
        <v>41.98028</v>
      </c>
      <c r="S171" s="61">
        <v>-87.908997900000003</v>
      </c>
      <c r="T171" s="61">
        <v>565.01400000000001</v>
      </c>
      <c r="U171" s="61" t="s">
        <v>617</v>
      </c>
      <c r="V171" s="61" t="s">
        <v>569</v>
      </c>
      <c r="W171" s="61" cm="1">
        <f t="array" ref="W171">getDistance(I171,J171,R171,S171)*SA!$B$12</f>
        <v>377.55996592631055</v>
      </c>
      <c r="Y171" s="137">
        <f>Transportation_LCIA!C$61*($W171^Transportation_LCIA!C$60)+Transportation_LCIA!C$62</f>
        <v>0.39177321151276934</v>
      </c>
      <c r="Z171" s="137">
        <f>Transportation_LCIA!D$61*($W171^Transportation_LCIA!D$60)+Transportation_LCIA!D$62</f>
        <v>4.2885469298554302</v>
      </c>
      <c r="AA171" s="137">
        <f>Transportation_LCIA!E$61*($W171^Transportation_LCIA!E$60)+Transportation_LCIA!E$62</f>
        <v>2.3774892800205579E-3</v>
      </c>
      <c r="AB171" s="137">
        <f>Transportation_LCIA!F$61*($W171^Transportation_LCIA!F$60)+Transportation_LCIA!F$62</f>
        <v>0.39177321151276934</v>
      </c>
      <c r="AC171" s="137">
        <f>Transportation_LCIA!G$61*($W171^Transportation_LCIA!G$60)+Transportation_LCIA!G$62</f>
        <v>9.9730740674667376E-2</v>
      </c>
      <c r="AD171" s="137">
        <f>Transportation_LCIA!H$61*($W171^Transportation_LCIA!H$60)+Transportation_LCIA!H$62</f>
        <v>5.5159056743946447E-4</v>
      </c>
      <c r="AE171" s="137">
        <f>Transportation_LCIA!I$61*($W171^Transportation_LCIA!I$60)+Transportation_LCIA!I$62</f>
        <v>1.2988810045312625E-5</v>
      </c>
      <c r="AF171" s="137">
        <f>Transportation_LCIA!J$61*($W171^Transportation_LCIA!J$60)+Transportation_LCIA!J$62</f>
        <v>1.9439626149728245E-2</v>
      </c>
      <c r="AG171" s="137">
        <f>Transportation_LCIA!K$61*($W171^Transportation_LCIA!K$60)+Transportation_LCIA!K$62</f>
        <v>2.2227364305679936E-2</v>
      </c>
      <c r="AH171" s="137">
        <f>Transportation_LCIA!L$61*($W171^Transportation_LCIA!L$60)+Transportation_LCIA!L$62</f>
        <v>4.9406726591070139E-4</v>
      </c>
      <c r="AI171" s="137">
        <f>Transportation_LCIA!M$61*($W171^Transportation_LCIA!M$60)+Transportation_LCIA!M$62</f>
        <v>3.9537528709454031E-4</v>
      </c>
      <c r="AJ171" s="137">
        <f>Transportation_LCIA!N$61*($W171^Transportation_LCIA!N$60)+Transportation_LCIA!N$62</f>
        <v>1.9121741222974152E-3</v>
      </c>
      <c r="AK171" s="137">
        <f>Transportation_LCIA!O$61*($W171^Transportation_LCIA!O$60)+Transportation_LCIA!O$62</f>
        <v>1.0567090816044529E-4</v>
      </c>
      <c r="AL171" s="137">
        <f>Transportation_LCIA!P$61*($W171^Transportation_LCIA!P$60)+Transportation_LCIA!P$62</f>
        <v>5.0935129732250114E-8</v>
      </c>
      <c r="AM171" s="137">
        <f>Transportation_LCIA!Q$61*($W171^Transportation_LCIA!Q$60)+Transportation_LCIA!Q$62</f>
        <v>1.9467109253194182E-4</v>
      </c>
      <c r="AN171" s="137">
        <f>Transportation_LCIA!R$61*($W171^Transportation_LCIA!R$60)+Transportation_LCIA!R$62</f>
        <v>6.2387261985424414E-4</v>
      </c>
      <c r="AO171" s="137">
        <f>Transportation_LCIA!S$61*($W171^Transportation_LCIA!S$60)+Transportation_LCIA!S$62</f>
        <v>9.1068518980920511E-6</v>
      </c>
      <c r="AP171" s="137">
        <f>Transportation_LCIA!T$61*($W171^Transportation_LCIA!T$60)+Transportation_LCIA!T$62</f>
        <v>9.1068518980920511E-6</v>
      </c>
      <c r="AQ171" s="137">
        <f>Transportation_LCIA!U$61*($W171^Transportation_LCIA!U$60)+Transportation_LCIA!U$62</f>
        <v>1.3579254338977325E-3</v>
      </c>
      <c r="AR171" s="137">
        <f>Transportation_LCIA!V$61*($W171^Transportation_LCIA!V$60)+Transportation_LCIA!V$62</f>
        <v>5.0746659917131709E-4</v>
      </c>
      <c r="AT171" s="137">
        <f>$W171*Y171+$L171*Summary_LCIA!H$32</f>
        <v>188.38466238960245</v>
      </c>
      <c r="AU171" s="137">
        <f>$W171*Z171+$L171*Summary_LCIA!Q$32</f>
        <v>2209.39967877557</v>
      </c>
      <c r="AV171" s="137">
        <f>$W171*AA171+$L171*Summary_LCIA!R$32</f>
        <v>1.5247250755547304</v>
      </c>
      <c r="AW171" s="137">
        <f>$W171*AB171+$L171*Summary_LCIA!S$32</f>
        <v>187.85828458960248</v>
      </c>
      <c r="AX171" s="137">
        <f>$W171*AC171+$L171*Summary_LCIA!T$32</f>
        <v>50.74232605093313</v>
      </c>
      <c r="AY171" s="137">
        <f>$W171*AD171+$L171*Summary_LCIA!U$32</f>
        <v>2.3416367758477188</v>
      </c>
      <c r="AZ171" s="137">
        <f>$W171*AE171+$L171*Summary_LCIA!V$32</f>
        <v>1.0591912168131556E-2</v>
      </c>
      <c r="BA171" s="137">
        <f>$W171*AF171+$L171*Summary_LCIA!W$32</f>
        <v>16.506100976711611</v>
      </c>
      <c r="BB171" s="137">
        <f>$W171*AG171+$L171*Summary_LCIA!X$32</f>
        <v>11.105033109884207</v>
      </c>
      <c r="BC171" s="137">
        <f>$W171*AH171+$L171*Summary_LCIA!Y$32</f>
        <v>2.04220040008255</v>
      </c>
      <c r="BD171" s="137">
        <f>$W171*AI171+$L171*Summary_LCIA!Z$32</f>
        <v>0.1541616417335199</v>
      </c>
      <c r="BE171" s="137">
        <f>$W171*AJ171+$L171*Summary_LCIA!AA$32</f>
        <v>3.5034264364597849</v>
      </c>
      <c r="BF171" s="137">
        <f>$W171*AK171+$L171*Summary_LCIA!AB$32</f>
        <v>3.7298203414460017E-2</v>
      </c>
      <c r="BG171" s="137">
        <f>$W171*AL171+$L171*Summary_LCIA!AC$32</f>
        <v>2.5052661406160563E-5</v>
      </c>
      <c r="BH171" s="137">
        <f>$W171*AM171+$L171*Summary_LCIA!AD$32</f>
        <v>0.1224507646631976</v>
      </c>
      <c r="BI171" s="137">
        <f>$W171*AN171+$L171*Summary_LCIA!AE$32</f>
        <v>0.34107854679452648</v>
      </c>
      <c r="BJ171" s="137">
        <f>$W171*AO171+$L171*Summary_LCIA!AF$32</f>
        <v>0.1041194504923396</v>
      </c>
      <c r="BK171" s="137">
        <f>$W171*AP171+$L171*Summary_LCIA!AG$32</f>
        <v>9.5316225423395916E-3</v>
      </c>
      <c r="BL171" s="137">
        <f>$W171*AQ171+$L171*Summary_LCIA!AH$32</f>
        <v>1.5492100045528985</v>
      </c>
      <c r="BM171" s="137">
        <f>$W171*AR171+$L171*Summary_LCIA!AI$32</f>
        <v>0.30253736139186316</v>
      </c>
    </row>
    <row r="172" spans="1:65" x14ac:dyDescent="0.25">
      <c r="A172" s="149">
        <v>231</v>
      </c>
      <c r="B172" s="149">
        <v>43</v>
      </c>
      <c r="C172" s="61">
        <v>40.356509000000003</v>
      </c>
      <c r="D172" s="61">
        <v>-79.919269999999997</v>
      </c>
      <c r="E172" s="61" t="s">
        <v>265</v>
      </c>
      <c r="F172" s="149">
        <v>106</v>
      </c>
      <c r="G172" s="61" t="s">
        <v>266</v>
      </c>
      <c r="H172" s="61" t="s">
        <v>669</v>
      </c>
      <c r="I172" s="61">
        <v>40.491920999999998</v>
      </c>
      <c r="J172" s="61">
        <v>-80.235223000000005</v>
      </c>
      <c r="K172" s="61">
        <v>33.240134609999998</v>
      </c>
      <c r="L172" s="61">
        <v>45.319000000000003</v>
      </c>
      <c r="M172" s="61" t="s">
        <v>617</v>
      </c>
      <c r="N172" s="149">
        <v>42</v>
      </c>
      <c r="O172" s="149">
        <v>43</v>
      </c>
      <c r="P172" s="61" t="s">
        <v>565</v>
      </c>
      <c r="Q172" s="61" t="s">
        <v>555</v>
      </c>
      <c r="R172" s="61">
        <v>40.6895314</v>
      </c>
      <c r="S172" s="61">
        <v>-74.174462399999996</v>
      </c>
      <c r="T172" s="61">
        <v>565.14300000000003</v>
      </c>
      <c r="U172" s="61" t="s">
        <v>617</v>
      </c>
      <c r="V172" s="61" t="s">
        <v>569</v>
      </c>
      <c r="W172" s="61" cm="1">
        <f t="array" ref="W172">getDistance(I172,J172,R172,S172)*SA!$B$12</f>
        <v>513.433583839015</v>
      </c>
      <c r="Y172" s="137">
        <f>Transportation_LCIA!C$61*($W172^Transportation_LCIA!C$60)+Transportation_LCIA!C$62</f>
        <v>0.32815716511039528</v>
      </c>
      <c r="Z172" s="137">
        <f>Transportation_LCIA!D$61*($W172^Transportation_LCIA!D$60)+Transportation_LCIA!D$62</f>
        <v>3.5191542163843881</v>
      </c>
      <c r="AA172" s="137">
        <f>Transportation_LCIA!E$61*($W172^Transportation_LCIA!E$60)+Transportation_LCIA!E$62</f>
        <v>1.8665206810453132E-3</v>
      </c>
      <c r="AB172" s="137">
        <f>Transportation_LCIA!F$61*($W172^Transportation_LCIA!F$60)+Transportation_LCIA!F$62</f>
        <v>0.32815716511039528</v>
      </c>
      <c r="AC172" s="137">
        <f>Transportation_LCIA!G$61*($W172^Transportation_LCIA!G$60)+Transportation_LCIA!G$62</f>
        <v>8.1967302989677859E-2</v>
      </c>
      <c r="AD172" s="137">
        <f>Transportation_LCIA!H$61*($W172^Transportation_LCIA!H$60)+Transportation_LCIA!H$62</f>
        <v>4.3698853519291556E-4</v>
      </c>
      <c r="AE172" s="137">
        <f>Transportation_LCIA!I$61*($W172^Transportation_LCIA!I$60)+Transportation_LCIA!I$62</f>
        <v>1.0010201729396875E-5</v>
      </c>
      <c r="AF172" s="137">
        <f>Transportation_LCIA!J$61*($W172^Transportation_LCIA!J$60)+Transportation_LCIA!J$62</f>
        <v>1.4910087392935532E-2</v>
      </c>
      <c r="AG172" s="137">
        <f>Transportation_LCIA!K$61*($W172^Transportation_LCIA!K$60)+Transportation_LCIA!K$62</f>
        <v>1.8005284512120634E-2</v>
      </c>
      <c r="AH172" s="137">
        <f>Transportation_LCIA!L$61*($W172^Transportation_LCIA!L$60)+Transportation_LCIA!L$62</f>
        <v>3.8774642038002372E-4</v>
      </c>
      <c r="AI172" s="137">
        <f>Transportation_LCIA!M$61*($W172^Transportation_LCIA!M$60)+Transportation_LCIA!M$62</f>
        <v>3.3205908340433346E-4</v>
      </c>
      <c r="AJ172" s="137">
        <f>Transportation_LCIA!N$61*($W172^Transportation_LCIA!N$60)+Transportation_LCIA!N$62</f>
        <v>1.5278401037459809E-3</v>
      </c>
      <c r="AK172" s="137">
        <f>Transportation_LCIA!O$61*($W172^Transportation_LCIA!O$60)+Transportation_LCIA!O$62</f>
        <v>8.6776433969231709E-5</v>
      </c>
      <c r="AL172" s="137">
        <f>Transportation_LCIA!P$61*($W172^Transportation_LCIA!P$60)+Transportation_LCIA!P$62</f>
        <v>4.187496920977748E-8</v>
      </c>
      <c r="AM172" s="137">
        <f>Transportation_LCIA!Q$61*($W172^Transportation_LCIA!Q$60)+Transportation_LCIA!Q$62</f>
        <v>1.5289540886279419E-4</v>
      </c>
      <c r="AN172" s="137">
        <f>Transportation_LCIA!R$61*($W172^Transportation_LCIA!R$60)+Transportation_LCIA!R$62</f>
        <v>4.8092919779996581E-4</v>
      </c>
      <c r="AO172" s="137">
        <f>Transportation_LCIA!S$61*($W172^Transportation_LCIA!S$60)+Transportation_LCIA!S$62</f>
        <v>7.081081996143308E-6</v>
      </c>
      <c r="AP172" s="137">
        <f>Transportation_LCIA!T$61*($W172^Transportation_LCIA!T$60)+Transportation_LCIA!T$62</f>
        <v>7.081081996143308E-6</v>
      </c>
      <c r="AQ172" s="137">
        <f>Transportation_LCIA!U$61*($W172^Transportation_LCIA!U$60)+Transportation_LCIA!U$62</f>
        <v>1.0425420500377758E-3</v>
      </c>
      <c r="AR172" s="137">
        <f>Transportation_LCIA!V$61*($W172^Transportation_LCIA!V$60)+Transportation_LCIA!V$62</f>
        <v>3.9809863614409633E-4</v>
      </c>
      <c r="AT172" s="137">
        <f>$W172*Y172+$L172*Summary_LCIA!H$32</f>
        <v>183.88630554508163</v>
      </c>
      <c r="AU172" s="137">
        <f>$W172*Z172+$L172*Summary_LCIA!Q$32</f>
        <v>2031.4552109735439</v>
      </c>
      <c r="AV172" s="137">
        <f>$W172*AA172+$L172*Summary_LCIA!R$32</f>
        <v>1.1969661289787343</v>
      </c>
      <c r="AW172" s="137">
        <f>$W172*AB172+$L172*Summary_LCIA!S$32</f>
        <v>183.68599556508161</v>
      </c>
      <c r="AX172" s="137">
        <f>$W172*AC172+$L172*Summary_LCIA!T$32</f>
        <v>47.065324231608713</v>
      </c>
      <c r="AY172" s="137">
        <f>$W172*AD172+$L172*Summary_LCIA!U$32</f>
        <v>1.0362091557206601</v>
      </c>
      <c r="AZ172" s="137">
        <f>$W172*AE172+$L172*Summary_LCIA!V$32</f>
        <v>7.3040545078757431E-3</v>
      </c>
      <c r="BA172" s="137">
        <f>$W172*AF172+$L172*Summary_LCIA!W$32</f>
        <v>11.143588354507806</v>
      </c>
      <c r="BB172" s="137">
        <f>$W172*AG172+$L172*Summary_LCIA!X$32</f>
        <v>10.276884575099208</v>
      </c>
      <c r="BC172" s="137">
        <f>$W172*AH172+$L172*Summary_LCIA!Y$32</f>
        <v>0.90524269223646492</v>
      </c>
      <c r="BD172" s="137">
        <f>$W172*AI172+$L172*Summary_LCIA!Z$32</f>
        <v>0.1723487721095853</v>
      </c>
      <c r="BE172" s="137">
        <f>$W172*AJ172+$L172*Summary_LCIA!AA$32</f>
        <v>1.8429149839992716</v>
      </c>
      <c r="BF172" s="137">
        <f>$W172*AK172+$L172*Summary_LCIA!AB$32</f>
        <v>4.3564938948592279E-2</v>
      </c>
      <c r="BG172" s="137">
        <f>$W172*AL172+$L172*Summary_LCIA!AC$32</f>
        <v>2.3715389510524457E-5</v>
      </c>
      <c r="BH172" s="137">
        <f>$W172*AM172+$L172*Summary_LCIA!AD$32</f>
        <v>9.7129559484955913E-2</v>
      </c>
      <c r="BI172" s="137">
        <f>$W172*AN172+$L172*Summary_LCIA!AE$32</f>
        <v>0.287083727069259</v>
      </c>
      <c r="BJ172" s="137">
        <f>$W172*AO172+$L172*Summary_LCIA!AF$32</f>
        <v>4.1949254286737792E-2</v>
      </c>
      <c r="BK172" s="137">
        <f>$W172*AP172+$L172*Summary_LCIA!AG$32</f>
        <v>5.9544119417377847E-3</v>
      </c>
      <c r="BL172" s="137">
        <f>$W172*AQ172+$L172*Summary_LCIA!AH$32</f>
        <v>0.92971454945376908</v>
      </c>
      <c r="BM172" s="137">
        <f>$W172*AR172+$L172*Summary_LCIA!AI$32</f>
        <v>0.24661412392688742</v>
      </c>
    </row>
    <row r="173" spans="1:65" x14ac:dyDescent="0.25">
      <c r="A173" s="149">
        <v>105</v>
      </c>
      <c r="B173" s="149">
        <v>43</v>
      </c>
      <c r="C173" s="61">
        <v>40.299481</v>
      </c>
      <c r="D173" s="61">
        <v>-79.976793999999998</v>
      </c>
      <c r="E173" s="61" t="s">
        <v>265</v>
      </c>
      <c r="F173" s="149">
        <v>106</v>
      </c>
      <c r="G173" s="61" t="s">
        <v>266</v>
      </c>
      <c r="H173" s="61" t="s">
        <v>669</v>
      </c>
      <c r="I173" s="61">
        <v>40.491920999999998</v>
      </c>
      <c r="J173" s="61">
        <v>-80.235223000000005</v>
      </c>
      <c r="K173" s="61">
        <v>36.504344930000002</v>
      </c>
      <c r="L173" s="61">
        <v>41.466000000000001</v>
      </c>
      <c r="M173" s="61" t="s">
        <v>617</v>
      </c>
      <c r="N173" s="149">
        <v>42</v>
      </c>
      <c r="O173" s="149">
        <v>43</v>
      </c>
      <c r="P173" s="61" t="s">
        <v>565</v>
      </c>
      <c r="Q173" s="61" t="s">
        <v>555</v>
      </c>
      <c r="R173" s="61">
        <v>40.6895314</v>
      </c>
      <c r="S173" s="61">
        <v>-74.174462399999996</v>
      </c>
      <c r="T173" s="61">
        <v>576.21100000000001</v>
      </c>
      <c r="U173" s="61" t="s">
        <v>617</v>
      </c>
      <c r="V173" s="61" t="s">
        <v>569</v>
      </c>
      <c r="W173" s="61" cm="1">
        <f t="array" ref="W173">getDistance(I173,J173,R173,S173)*SA!$B$12</f>
        <v>513.433583839015</v>
      </c>
      <c r="Y173" s="137">
        <f>Transportation_LCIA!C$61*($W173^Transportation_LCIA!C$60)+Transportation_LCIA!C$62</f>
        <v>0.32815716511039528</v>
      </c>
      <c r="Z173" s="137">
        <f>Transportation_LCIA!D$61*($W173^Transportation_LCIA!D$60)+Transportation_LCIA!D$62</f>
        <v>3.5191542163843881</v>
      </c>
      <c r="AA173" s="137">
        <f>Transportation_LCIA!E$61*($W173^Transportation_LCIA!E$60)+Transportation_LCIA!E$62</f>
        <v>1.8665206810453132E-3</v>
      </c>
      <c r="AB173" s="137">
        <f>Transportation_LCIA!F$61*($W173^Transportation_LCIA!F$60)+Transportation_LCIA!F$62</f>
        <v>0.32815716511039528</v>
      </c>
      <c r="AC173" s="137">
        <f>Transportation_LCIA!G$61*($W173^Transportation_LCIA!G$60)+Transportation_LCIA!G$62</f>
        <v>8.1967302989677859E-2</v>
      </c>
      <c r="AD173" s="137">
        <f>Transportation_LCIA!H$61*($W173^Transportation_LCIA!H$60)+Transportation_LCIA!H$62</f>
        <v>4.3698853519291556E-4</v>
      </c>
      <c r="AE173" s="137">
        <f>Transportation_LCIA!I$61*($W173^Transportation_LCIA!I$60)+Transportation_LCIA!I$62</f>
        <v>1.0010201729396875E-5</v>
      </c>
      <c r="AF173" s="137">
        <f>Transportation_LCIA!J$61*($W173^Transportation_LCIA!J$60)+Transportation_LCIA!J$62</f>
        <v>1.4910087392935532E-2</v>
      </c>
      <c r="AG173" s="137">
        <f>Transportation_LCIA!K$61*($W173^Transportation_LCIA!K$60)+Transportation_LCIA!K$62</f>
        <v>1.8005284512120634E-2</v>
      </c>
      <c r="AH173" s="137">
        <f>Transportation_LCIA!L$61*($W173^Transportation_LCIA!L$60)+Transportation_LCIA!L$62</f>
        <v>3.8774642038002372E-4</v>
      </c>
      <c r="AI173" s="137">
        <f>Transportation_LCIA!M$61*($W173^Transportation_LCIA!M$60)+Transportation_LCIA!M$62</f>
        <v>3.3205908340433346E-4</v>
      </c>
      <c r="AJ173" s="137">
        <f>Transportation_LCIA!N$61*($W173^Transportation_LCIA!N$60)+Transportation_LCIA!N$62</f>
        <v>1.5278401037459809E-3</v>
      </c>
      <c r="AK173" s="137">
        <f>Transportation_LCIA!O$61*($W173^Transportation_LCIA!O$60)+Transportation_LCIA!O$62</f>
        <v>8.6776433969231709E-5</v>
      </c>
      <c r="AL173" s="137">
        <f>Transportation_LCIA!P$61*($W173^Transportation_LCIA!P$60)+Transportation_LCIA!P$62</f>
        <v>4.187496920977748E-8</v>
      </c>
      <c r="AM173" s="137">
        <f>Transportation_LCIA!Q$61*($W173^Transportation_LCIA!Q$60)+Transportation_LCIA!Q$62</f>
        <v>1.5289540886279419E-4</v>
      </c>
      <c r="AN173" s="137">
        <f>Transportation_LCIA!R$61*($W173^Transportation_LCIA!R$60)+Transportation_LCIA!R$62</f>
        <v>4.8092919779996581E-4</v>
      </c>
      <c r="AO173" s="137">
        <f>Transportation_LCIA!S$61*($W173^Transportation_LCIA!S$60)+Transportation_LCIA!S$62</f>
        <v>7.081081996143308E-6</v>
      </c>
      <c r="AP173" s="137">
        <f>Transportation_LCIA!T$61*($W173^Transportation_LCIA!T$60)+Transportation_LCIA!T$62</f>
        <v>7.081081996143308E-6</v>
      </c>
      <c r="AQ173" s="137">
        <f>Transportation_LCIA!U$61*($W173^Transportation_LCIA!U$60)+Transportation_LCIA!U$62</f>
        <v>1.0425420500377758E-3</v>
      </c>
      <c r="AR173" s="137">
        <f>Transportation_LCIA!V$61*($W173^Transportation_LCIA!V$60)+Transportation_LCIA!V$62</f>
        <v>3.9809863614409633E-4</v>
      </c>
      <c r="AT173" s="137">
        <f>$W173*Y173+$L173*Summary_LCIA!H$32</f>
        <v>182.5770561450816</v>
      </c>
      <c r="AU173" s="137">
        <f>$W173*Z173+$L173*Summary_LCIA!Q$32</f>
        <v>2012.3595486551949</v>
      </c>
      <c r="AV173" s="137">
        <f>$W173*AA173+$L173*Summary_LCIA!R$32</f>
        <v>1.1766777721787343</v>
      </c>
      <c r="AW173" s="137">
        <f>$W173*AB173+$L173*Summary_LCIA!S$32</f>
        <v>182.39377642508163</v>
      </c>
      <c r="AX173" s="137">
        <f>$W173*AC173+$L173*Summary_LCIA!T$32</f>
        <v>46.641879531608708</v>
      </c>
      <c r="AY173" s="137">
        <f>$W173*AD173+$L173*Summary_LCIA!U$32</f>
        <v>0.96718651372066022</v>
      </c>
      <c r="AZ173" s="137">
        <f>$W173*AE173+$L173*Summary_LCIA!V$32</f>
        <v>7.1200313748757431E-3</v>
      </c>
      <c r="BA173" s="137">
        <f>$W173*AF173+$L173*Summary_LCIA!W$32</f>
        <v>10.847019091507807</v>
      </c>
      <c r="BB173" s="137">
        <f>$W173*AG173+$L173*Summary_LCIA!X$32</f>
        <v>10.189113235099208</v>
      </c>
      <c r="BC173" s="137">
        <f>$W173*AH173+$L173*Summary_LCIA!Y$32</f>
        <v>0.84520524623646487</v>
      </c>
      <c r="BD173" s="137">
        <f>$W173*AI173+$L173*Summary_LCIA!Z$32</f>
        <v>0.1721907644325853</v>
      </c>
      <c r="BE173" s="137">
        <f>$W173*AJ173+$L173*Summary_LCIA!AA$32</f>
        <v>1.7529243159992713</v>
      </c>
      <c r="BF173" s="137">
        <f>$W173*AK173+$L173*Summary_LCIA!AB$32</f>
        <v>4.364902296759228E-2</v>
      </c>
      <c r="BG173" s="137">
        <f>$W173*AL173+$L173*Summary_LCIA!AC$32</f>
        <v>2.3527039458524457E-5</v>
      </c>
      <c r="BH173" s="137">
        <f>$W173*AM173+$L173*Summary_LCIA!AD$32</f>
        <v>9.5545822364955915E-2</v>
      </c>
      <c r="BI173" s="137">
        <f>$W173*AN173+$L173*Summary_LCIA!AE$32</f>
        <v>0.28366946817925898</v>
      </c>
      <c r="BJ173" s="137">
        <f>$W173*AO173+$L173*Summary_LCIA!AF$32</f>
        <v>3.8691851026737785E-2</v>
      </c>
      <c r="BK173" s="137">
        <f>$W173*AP173+$L173*Summary_LCIA!AG$32</f>
        <v>5.7572731967377843E-3</v>
      </c>
      <c r="BL173" s="137">
        <f>$W173*AQ173+$L173*Summary_LCIA!AH$32</f>
        <v>0.89617957865376896</v>
      </c>
      <c r="BM173" s="137">
        <f>$W173*AR173+$L173*Summary_LCIA!AI$32</f>
        <v>0.24302486177688742</v>
      </c>
    </row>
    <row r="174" spans="1:65" x14ac:dyDescent="0.25">
      <c r="A174" s="149">
        <v>106</v>
      </c>
      <c r="B174" s="149">
        <v>43</v>
      </c>
      <c r="C174" s="61">
        <v>40.299481</v>
      </c>
      <c r="D174" s="61">
        <v>-79.976793999999998</v>
      </c>
      <c r="E174" s="61" t="s">
        <v>265</v>
      </c>
      <c r="F174" s="149">
        <v>106</v>
      </c>
      <c r="G174" s="61" t="s">
        <v>266</v>
      </c>
      <c r="H174" s="61" t="s">
        <v>669</v>
      </c>
      <c r="I174" s="61">
        <v>40.491920999999998</v>
      </c>
      <c r="J174" s="61">
        <v>-80.235223000000005</v>
      </c>
      <c r="K174" s="61">
        <v>36.504344930000002</v>
      </c>
      <c r="L174" s="61">
        <v>41.466000000000001</v>
      </c>
      <c r="M174" s="61" t="s">
        <v>617</v>
      </c>
      <c r="N174" s="149">
        <v>42</v>
      </c>
      <c r="O174" s="149">
        <v>43</v>
      </c>
      <c r="P174" s="61" t="s">
        <v>565</v>
      </c>
      <c r="Q174" s="61" t="s">
        <v>555</v>
      </c>
      <c r="R174" s="61">
        <v>40.6895314</v>
      </c>
      <c r="S174" s="61">
        <v>-74.174462399999996</v>
      </c>
      <c r="T174" s="61">
        <v>576.21100000000001</v>
      </c>
      <c r="U174" s="61" t="s">
        <v>617</v>
      </c>
      <c r="V174" s="61" t="s">
        <v>569</v>
      </c>
      <c r="W174" s="61" cm="1">
        <f t="array" ref="W174">getDistance(I174,J174,R174,S174)*SA!$B$12</f>
        <v>513.433583839015</v>
      </c>
      <c r="Y174" s="137">
        <f>Transportation_LCIA!C$61*($W174^Transportation_LCIA!C$60)+Transportation_LCIA!C$62</f>
        <v>0.32815716511039528</v>
      </c>
      <c r="Z174" s="137">
        <f>Transportation_LCIA!D$61*($W174^Transportation_LCIA!D$60)+Transportation_LCIA!D$62</f>
        <v>3.5191542163843881</v>
      </c>
      <c r="AA174" s="137">
        <f>Transportation_LCIA!E$61*($W174^Transportation_LCIA!E$60)+Transportation_LCIA!E$62</f>
        <v>1.8665206810453132E-3</v>
      </c>
      <c r="AB174" s="137">
        <f>Transportation_LCIA!F$61*($W174^Transportation_LCIA!F$60)+Transportation_LCIA!F$62</f>
        <v>0.32815716511039528</v>
      </c>
      <c r="AC174" s="137">
        <f>Transportation_LCIA!G$61*($W174^Transportation_LCIA!G$60)+Transportation_LCIA!G$62</f>
        <v>8.1967302989677859E-2</v>
      </c>
      <c r="AD174" s="137">
        <f>Transportation_LCIA!H$61*($W174^Transportation_LCIA!H$60)+Transportation_LCIA!H$62</f>
        <v>4.3698853519291556E-4</v>
      </c>
      <c r="AE174" s="137">
        <f>Transportation_LCIA!I$61*($W174^Transportation_LCIA!I$60)+Transportation_LCIA!I$62</f>
        <v>1.0010201729396875E-5</v>
      </c>
      <c r="AF174" s="137">
        <f>Transportation_LCIA!J$61*($W174^Transportation_LCIA!J$60)+Transportation_LCIA!J$62</f>
        <v>1.4910087392935532E-2</v>
      </c>
      <c r="AG174" s="137">
        <f>Transportation_LCIA!K$61*($W174^Transportation_LCIA!K$60)+Transportation_LCIA!K$62</f>
        <v>1.8005284512120634E-2</v>
      </c>
      <c r="AH174" s="137">
        <f>Transportation_LCIA!L$61*($W174^Transportation_LCIA!L$60)+Transportation_LCIA!L$62</f>
        <v>3.8774642038002372E-4</v>
      </c>
      <c r="AI174" s="137">
        <f>Transportation_LCIA!M$61*($W174^Transportation_LCIA!M$60)+Transportation_LCIA!M$62</f>
        <v>3.3205908340433346E-4</v>
      </c>
      <c r="AJ174" s="137">
        <f>Transportation_LCIA!N$61*($W174^Transportation_LCIA!N$60)+Transportation_LCIA!N$62</f>
        <v>1.5278401037459809E-3</v>
      </c>
      <c r="AK174" s="137">
        <f>Transportation_LCIA!O$61*($W174^Transportation_LCIA!O$60)+Transportation_LCIA!O$62</f>
        <v>8.6776433969231709E-5</v>
      </c>
      <c r="AL174" s="137">
        <f>Transportation_LCIA!P$61*($W174^Transportation_LCIA!P$60)+Transportation_LCIA!P$62</f>
        <v>4.187496920977748E-8</v>
      </c>
      <c r="AM174" s="137">
        <f>Transportation_LCIA!Q$61*($W174^Transportation_LCIA!Q$60)+Transportation_LCIA!Q$62</f>
        <v>1.5289540886279419E-4</v>
      </c>
      <c r="AN174" s="137">
        <f>Transportation_LCIA!R$61*($W174^Transportation_LCIA!R$60)+Transportation_LCIA!R$62</f>
        <v>4.8092919779996581E-4</v>
      </c>
      <c r="AO174" s="137">
        <f>Transportation_LCIA!S$61*($W174^Transportation_LCIA!S$60)+Transportation_LCIA!S$62</f>
        <v>7.081081996143308E-6</v>
      </c>
      <c r="AP174" s="137">
        <f>Transportation_LCIA!T$61*($W174^Transportation_LCIA!T$60)+Transportation_LCIA!T$62</f>
        <v>7.081081996143308E-6</v>
      </c>
      <c r="AQ174" s="137">
        <f>Transportation_LCIA!U$61*($W174^Transportation_LCIA!U$60)+Transportation_LCIA!U$62</f>
        <v>1.0425420500377758E-3</v>
      </c>
      <c r="AR174" s="137">
        <f>Transportation_LCIA!V$61*($W174^Transportation_LCIA!V$60)+Transportation_LCIA!V$62</f>
        <v>3.9809863614409633E-4</v>
      </c>
      <c r="AT174" s="137">
        <f>$W174*Y174+$L174*Summary_LCIA!H$32</f>
        <v>182.5770561450816</v>
      </c>
      <c r="AU174" s="137">
        <f>$W174*Z174+$L174*Summary_LCIA!Q$32</f>
        <v>2012.3595486551949</v>
      </c>
      <c r="AV174" s="137">
        <f>$W174*AA174+$L174*Summary_LCIA!R$32</f>
        <v>1.1766777721787343</v>
      </c>
      <c r="AW174" s="137">
        <f>$W174*AB174+$L174*Summary_LCIA!S$32</f>
        <v>182.39377642508163</v>
      </c>
      <c r="AX174" s="137">
        <f>$W174*AC174+$L174*Summary_LCIA!T$32</f>
        <v>46.641879531608708</v>
      </c>
      <c r="AY174" s="137">
        <f>$W174*AD174+$L174*Summary_LCIA!U$32</f>
        <v>0.96718651372066022</v>
      </c>
      <c r="AZ174" s="137">
        <f>$W174*AE174+$L174*Summary_LCIA!V$32</f>
        <v>7.1200313748757431E-3</v>
      </c>
      <c r="BA174" s="137">
        <f>$W174*AF174+$L174*Summary_LCIA!W$32</f>
        <v>10.847019091507807</v>
      </c>
      <c r="BB174" s="137">
        <f>$W174*AG174+$L174*Summary_LCIA!X$32</f>
        <v>10.189113235099208</v>
      </c>
      <c r="BC174" s="137">
        <f>$W174*AH174+$L174*Summary_LCIA!Y$32</f>
        <v>0.84520524623646487</v>
      </c>
      <c r="BD174" s="137">
        <f>$W174*AI174+$L174*Summary_LCIA!Z$32</f>
        <v>0.1721907644325853</v>
      </c>
      <c r="BE174" s="137">
        <f>$W174*AJ174+$L174*Summary_LCIA!AA$32</f>
        <v>1.7529243159992713</v>
      </c>
      <c r="BF174" s="137">
        <f>$W174*AK174+$L174*Summary_LCIA!AB$32</f>
        <v>4.364902296759228E-2</v>
      </c>
      <c r="BG174" s="137">
        <f>$W174*AL174+$L174*Summary_LCIA!AC$32</f>
        <v>2.3527039458524457E-5</v>
      </c>
      <c r="BH174" s="137">
        <f>$W174*AM174+$L174*Summary_LCIA!AD$32</f>
        <v>9.5545822364955915E-2</v>
      </c>
      <c r="BI174" s="137">
        <f>$W174*AN174+$L174*Summary_LCIA!AE$32</f>
        <v>0.28366946817925898</v>
      </c>
      <c r="BJ174" s="137">
        <f>$W174*AO174+$L174*Summary_LCIA!AF$32</f>
        <v>3.8691851026737785E-2</v>
      </c>
      <c r="BK174" s="137">
        <f>$W174*AP174+$L174*Summary_LCIA!AG$32</f>
        <v>5.7572731967377843E-3</v>
      </c>
      <c r="BL174" s="137">
        <f>$W174*AQ174+$L174*Summary_LCIA!AH$32</f>
        <v>0.89617957865376896</v>
      </c>
      <c r="BM174" s="137">
        <f>$W174*AR174+$L174*Summary_LCIA!AI$32</f>
        <v>0.24302486177688742</v>
      </c>
    </row>
    <row r="175" spans="1:65" x14ac:dyDescent="0.25">
      <c r="A175" s="149">
        <v>107</v>
      </c>
      <c r="B175" s="149">
        <v>43</v>
      </c>
      <c r="C175" s="61">
        <v>40.299481</v>
      </c>
      <c r="D175" s="61">
        <v>-79.976793999999998</v>
      </c>
      <c r="E175" s="61" t="s">
        <v>265</v>
      </c>
      <c r="F175" s="149">
        <v>106</v>
      </c>
      <c r="G175" s="61" t="s">
        <v>266</v>
      </c>
      <c r="H175" s="61" t="s">
        <v>669</v>
      </c>
      <c r="I175" s="61">
        <v>40.491920999999998</v>
      </c>
      <c r="J175" s="61">
        <v>-80.235223000000005</v>
      </c>
      <c r="K175" s="61">
        <v>36.504344930000002</v>
      </c>
      <c r="L175" s="61">
        <v>41.466000000000001</v>
      </c>
      <c r="M175" s="61" t="s">
        <v>617</v>
      </c>
      <c r="N175" s="149">
        <v>42</v>
      </c>
      <c r="O175" s="149">
        <v>43</v>
      </c>
      <c r="P175" s="61" t="s">
        <v>565</v>
      </c>
      <c r="Q175" s="61" t="s">
        <v>555</v>
      </c>
      <c r="R175" s="61">
        <v>40.6895314</v>
      </c>
      <c r="S175" s="61">
        <v>-74.174462399999996</v>
      </c>
      <c r="T175" s="61">
        <v>576.21100000000001</v>
      </c>
      <c r="U175" s="61" t="s">
        <v>617</v>
      </c>
      <c r="V175" s="61" t="s">
        <v>569</v>
      </c>
      <c r="W175" s="61" cm="1">
        <f t="array" ref="W175">getDistance(I175,J175,R175,S175)*SA!$B$12</f>
        <v>513.433583839015</v>
      </c>
      <c r="Y175" s="137">
        <f>Transportation_LCIA!C$61*($W175^Transportation_LCIA!C$60)+Transportation_LCIA!C$62</f>
        <v>0.32815716511039528</v>
      </c>
      <c r="Z175" s="137">
        <f>Transportation_LCIA!D$61*($W175^Transportation_LCIA!D$60)+Transportation_LCIA!D$62</f>
        <v>3.5191542163843881</v>
      </c>
      <c r="AA175" s="137">
        <f>Transportation_LCIA!E$61*($W175^Transportation_LCIA!E$60)+Transportation_LCIA!E$62</f>
        <v>1.8665206810453132E-3</v>
      </c>
      <c r="AB175" s="137">
        <f>Transportation_LCIA!F$61*($W175^Transportation_LCIA!F$60)+Transportation_LCIA!F$62</f>
        <v>0.32815716511039528</v>
      </c>
      <c r="AC175" s="137">
        <f>Transportation_LCIA!G$61*($W175^Transportation_LCIA!G$60)+Transportation_LCIA!G$62</f>
        <v>8.1967302989677859E-2</v>
      </c>
      <c r="AD175" s="137">
        <f>Transportation_LCIA!H$61*($W175^Transportation_LCIA!H$60)+Transportation_LCIA!H$62</f>
        <v>4.3698853519291556E-4</v>
      </c>
      <c r="AE175" s="137">
        <f>Transportation_LCIA!I$61*($W175^Transportation_LCIA!I$60)+Transportation_LCIA!I$62</f>
        <v>1.0010201729396875E-5</v>
      </c>
      <c r="AF175" s="137">
        <f>Transportation_LCIA!J$61*($W175^Transportation_LCIA!J$60)+Transportation_LCIA!J$62</f>
        <v>1.4910087392935532E-2</v>
      </c>
      <c r="AG175" s="137">
        <f>Transportation_LCIA!K$61*($W175^Transportation_LCIA!K$60)+Transportation_LCIA!K$62</f>
        <v>1.8005284512120634E-2</v>
      </c>
      <c r="AH175" s="137">
        <f>Transportation_LCIA!L$61*($W175^Transportation_LCIA!L$60)+Transportation_LCIA!L$62</f>
        <v>3.8774642038002372E-4</v>
      </c>
      <c r="AI175" s="137">
        <f>Transportation_LCIA!M$61*($W175^Transportation_LCIA!M$60)+Transportation_LCIA!M$62</f>
        <v>3.3205908340433346E-4</v>
      </c>
      <c r="AJ175" s="137">
        <f>Transportation_LCIA!N$61*($W175^Transportation_LCIA!N$60)+Transportation_LCIA!N$62</f>
        <v>1.5278401037459809E-3</v>
      </c>
      <c r="AK175" s="137">
        <f>Transportation_LCIA!O$61*($W175^Transportation_LCIA!O$60)+Transportation_LCIA!O$62</f>
        <v>8.6776433969231709E-5</v>
      </c>
      <c r="AL175" s="137">
        <f>Transportation_LCIA!P$61*($W175^Transportation_LCIA!P$60)+Transportation_LCIA!P$62</f>
        <v>4.187496920977748E-8</v>
      </c>
      <c r="AM175" s="137">
        <f>Transportation_LCIA!Q$61*($W175^Transportation_LCIA!Q$60)+Transportation_LCIA!Q$62</f>
        <v>1.5289540886279419E-4</v>
      </c>
      <c r="AN175" s="137">
        <f>Transportation_LCIA!R$61*($W175^Transportation_LCIA!R$60)+Transportation_LCIA!R$62</f>
        <v>4.8092919779996581E-4</v>
      </c>
      <c r="AO175" s="137">
        <f>Transportation_LCIA!S$61*($W175^Transportation_LCIA!S$60)+Transportation_LCIA!S$62</f>
        <v>7.081081996143308E-6</v>
      </c>
      <c r="AP175" s="137">
        <f>Transportation_LCIA!T$61*($W175^Transportation_LCIA!T$60)+Transportation_LCIA!T$62</f>
        <v>7.081081996143308E-6</v>
      </c>
      <c r="AQ175" s="137">
        <f>Transportation_LCIA!U$61*($W175^Transportation_LCIA!U$60)+Transportation_LCIA!U$62</f>
        <v>1.0425420500377758E-3</v>
      </c>
      <c r="AR175" s="137">
        <f>Transportation_LCIA!V$61*($W175^Transportation_LCIA!V$60)+Transportation_LCIA!V$62</f>
        <v>3.9809863614409633E-4</v>
      </c>
      <c r="AT175" s="137">
        <f>$W175*Y175+$L175*Summary_LCIA!H$32</f>
        <v>182.5770561450816</v>
      </c>
      <c r="AU175" s="137">
        <f>$W175*Z175+$L175*Summary_LCIA!Q$32</f>
        <v>2012.3595486551949</v>
      </c>
      <c r="AV175" s="137">
        <f>$W175*AA175+$L175*Summary_LCIA!R$32</f>
        <v>1.1766777721787343</v>
      </c>
      <c r="AW175" s="137">
        <f>$W175*AB175+$L175*Summary_LCIA!S$32</f>
        <v>182.39377642508163</v>
      </c>
      <c r="AX175" s="137">
        <f>$W175*AC175+$L175*Summary_LCIA!T$32</f>
        <v>46.641879531608708</v>
      </c>
      <c r="AY175" s="137">
        <f>$W175*AD175+$L175*Summary_LCIA!U$32</f>
        <v>0.96718651372066022</v>
      </c>
      <c r="AZ175" s="137">
        <f>$W175*AE175+$L175*Summary_LCIA!V$32</f>
        <v>7.1200313748757431E-3</v>
      </c>
      <c r="BA175" s="137">
        <f>$W175*AF175+$L175*Summary_LCIA!W$32</f>
        <v>10.847019091507807</v>
      </c>
      <c r="BB175" s="137">
        <f>$W175*AG175+$L175*Summary_LCIA!X$32</f>
        <v>10.189113235099208</v>
      </c>
      <c r="BC175" s="137">
        <f>$W175*AH175+$L175*Summary_LCIA!Y$32</f>
        <v>0.84520524623646487</v>
      </c>
      <c r="BD175" s="137">
        <f>$W175*AI175+$L175*Summary_LCIA!Z$32</f>
        <v>0.1721907644325853</v>
      </c>
      <c r="BE175" s="137">
        <f>$W175*AJ175+$L175*Summary_LCIA!AA$32</f>
        <v>1.7529243159992713</v>
      </c>
      <c r="BF175" s="137">
        <f>$W175*AK175+$L175*Summary_LCIA!AB$32</f>
        <v>4.364902296759228E-2</v>
      </c>
      <c r="BG175" s="137">
        <f>$W175*AL175+$L175*Summary_LCIA!AC$32</f>
        <v>2.3527039458524457E-5</v>
      </c>
      <c r="BH175" s="137">
        <f>$W175*AM175+$L175*Summary_LCIA!AD$32</f>
        <v>9.5545822364955915E-2</v>
      </c>
      <c r="BI175" s="137">
        <f>$W175*AN175+$L175*Summary_LCIA!AE$32</f>
        <v>0.28366946817925898</v>
      </c>
      <c r="BJ175" s="137">
        <f>$W175*AO175+$L175*Summary_LCIA!AF$32</f>
        <v>3.8691851026737785E-2</v>
      </c>
      <c r="BK175" s="137">
        <f>$W175*AP175+$L175*Summary_LCIA!AG$32</f>
        <v>5.7572731967377843E-3</v>
      </c>
      <c r="BL175" s="137">
        <f>$W175*AQ175+$L175*Summary_LCIA!AH$32</f>
        <v>0.89617957865376896</v>
      </c>
      <c r="BM175" s="137">
        <f>$W175*AR175+$L175*Summary_LCIA!AI$32</f>
        <v>0.24302486177688742</v>
      </c>
    </row>
    <row r="176" spans="1:65" x14ac:dyDescent="0.25">
      <c r="A176" s="149">
        <v>99</v>
      </c>
      <c r="B176" s="149">
        <v>43</v>
      </c>
      <c r="C176" s="61">
        <v>40.444164999999998</v>
      </c>
      <c r="D176" s="61">
        <v>-79.943371999999997</v>
      </c>
      <c r="E176" s="61" t="s">
        <v>265</v>
      </c>
      <c r="F176" s="149">
        <v>106</v>
      </c>
      <c r="G176" s="61" t="s">
        <v>266</v>
      </c>
      <c r="H176" s="61" t="s">
        <v>669</v>
      </c>
      <c r="I176" s="61">
        <v>40.491920999999998</v>
      </c>
      <c r="J176" s="61">
        <v>-80.235223000000005</v>
      </c>
      <c r="K176" s="61">
        <v>25.455054860000001</v>
      </c>
      <c r="L176" s="61">
        <v>32.761000000000003</v>
      </c>
      <c r="M176" s="61" t="s">
        <v>617</v>
      </c>
      <c r="N176" s="149">
        <v>42</v>
      </c>
      <c r="O176" s="149">
        <v>43</v>
      </c>
      <c r="P176" s="61" t="s">
        <v>565</v>
      </c>
      <c r="Q176" s="61" t="s">
        <v>555</v>
      </c>
      <c r="R176" s="61">
        <v>40.6895314</v>
      </c>
      <c r="S176" s="61">
        <v>-74.174462399999996</v>
      </c>
      <c r="T176" s="61">
        <v>578.36400000000003</v>
      </c>
      <c r="U176" s="61" t="s">
        <v>617</v>
      </c>
      <c r="V176" s="61" t="s">
        <v>569</v>
      </c>
      <c r="W176" s="61" cm="1">
        <f t="array" ref="W176">getDistance(I176,J176,R176,S176)*SA!$B$12</f>
        <v>513.433583839015</v>
      </c>
      <c r="Y176" s="137">
        <f>Transportation_LCIA!C$61*($W176^Transportation_LCIA!C$60)+Transportation_LCIA!C$62</f>
        <v>0.32815716511039528</v>
      </c>
      <c r="Z176" s="137">
        <f>Transportation_LCIA!D$61*($W176^Transportation_LCIA!D$60)+Transportation_LCIA!D$62</f>
        <v>3.5191542163843881</v>
      </c>
      <c r="AA176" s="137">
        <f>Transportation_LCIA!E$61*($W176^Transportation_LCIA!E$60)+Transportation_LCIA!E$62</f>
        <v>1.8665206810453132E-3</v>
      </c>
      <c r="AB176" s="137">
        <f>Transportation_LCIA!F$61*($W176^Transportation_LCIA!F$60)+Transportation_LCIA!F$62</f>
        <v>0.32815716511039528</v>
      </c>
      <c r="AC176" s="137">
        <f>Transportation_LCIA!G$61*($W176^Transportation_LCIA!G$60)+Transportation_LCIA!G$62</f>
        <v>8.1967302989677859E-2</v>
      </c>
      <c r="AD176" s="137">
        <f>Transportation_LCIA!H$61*($W176^Transportation_LCIA!H$60)+Transportation_LCIA!H$62</f>
        <v>4.3698853519291556E-4</v>
      </c>
      <c r="AE176" s="137">
        <f>Transportation_LCIA!I$61*($W176^Transportation_LCIA!I$60)+Transportation_LCIA!I$62</f>
        <v>1.0010201729396875E-5</v>
      </c>
      <c r="AF176" s="137">
        <f>Transportation_LCIA!J$61*($W176^Transportation_LCIA!J$60)+Transportation_LCIA!J$62</f>
        <v>1.4910087392935532E-2</v>
      </c>
      <c r="AG176" s="137">
        <f>Transportation_LCIA!K$61*($W176^Transportation_LCIA!K$60)+Transportation_LCIA!K$62</f>
        <v>1.8005284512120634E-2</v>
      </c>
      <c r="AH176" s="137">
        <f>Transportation_LCIA!L$61*($W176^Transportation_LCIA!L$60)+Transportation_LCIA!L$62</f>
        <v>3.8774642038002372E-4</v>
      </c>
      <c r="AI176" s="137">
        <f>Transportation_LCIA!M$61*($W176^Transportation_LCIA!M$60)+Transportation_LCIA!M$62</f>
        <v>3.3205908340433346E-4</v>
      </c>
      <c r="AJ176" s="137">
        <f>Transportation_LCIA!N$61*($W176^Transportation_LCIA!N$60)+Transportation_LCIA!N$62</f>
        <v>1.5278401037459809E-3</v>
      </c>
      <c r="AK176" s="137">
        <f>Transportation_LCIA!O$61*($W176^Transportation_LCIA!O$60)+Transportation_LCIA!O$62</f>
        <v>8.6776433969231709E-5</v>
      </c>
      <c r="AL176" s="137">
        <f>Transportation_LCIA!P$61*($W176^Transportation_LCIA!P$60)+Transportation_LCIA!P$62</f>
        <v>4.187496920977748E-8</v>
      </c>
      <c r="AM176" s="137">
        <f>Transportation_LCIA!Q$61*($W176^Transportation_LCIA!Q$60)+Transportation_LCIA!Q$62</f>
        <v>1.5289540886279419E-4</v>
      </c>
      <c r="AN176" s="137">
        <f>Transportation_LCIA!R$61*($W176^Transportation_LCIA!R$60)+Transportation_LCIA!R$62</f>
        <v>4.8092919779996581E-4</v>
      </c>
      <c r="AO176" s="137">
        <f>Transportation_LCIA!S$61*($W176^Transportation_LCIA!S$60)+Transportation_LCIA!S$62</f>
        <v>7.081081996143308E-6</v>
      </c>
      <c r="AP176" s="137">
        <f>Transportation_LCIA!T$61*($W176^Transportation_LCIA!T$60)+Transportation_LCIA!T$62</f>
        <v>7.081081996143308E-6</v>
      </c>
      <c r="AQ176" s="137">
        <f>Transportation_LCIA!U$61*($W176^Transportation_LCIA!U$60)+Transportation_LCIA!U$62</f>
        <v>1.0425420500377758E-3</v>
      </c>
      <c r="AR176" s="137">
        <f>Transportation_LCIA!V$61*($W176^Transportation_LCIA!V$60)+Transportation_LCIA!V$62</f>
        <v>3.9809863614409633E-4</v>
      </c>
      <c r="AT176" s="137">
        <f>$W176*Y176+$L176*Summary_LCIA!H$32</f>
        <v>179.61909714508161</v>
      </c>
      <c r="AU176" s="137">
        <f>$W176*Z176+$L176*Summary_LCIA!Q$32</f>
        <v>1969.21712963593</v>
      </c>
      <c r="AV176" s="137">
        <f>$W176*AA176+$L176*Summary_LCIA!R$32</f>
        <v>1.1308407241787344</v>
      </c>
      <c r="AW176" s="137">
        <f>$W176*AB176+$L176*Summary_LCIA!S$32</f>
        <v>179.47429352508161</v>
      </c>
      <c r="AX176" s="137">
        <f>$W176*AC176+$L176*Summary_LCIA!T$32</f>
        <v>45.685200031608709</v>
      </c>
      <c r="AY176" s="137">
        <f>$W176*AD176+$L176*Summary_LCIA!U$32</f>
        <v>0.81124514372066026</v>
      </c>
      <c r="AZ176" s="137">
        <f>$W176*AE176+$L176*Summary_LCIA!V$32</f>
        <v>6.7042718698757438E-3</v>
      </c>
      <c r="BA176" s="137">
        <f>$W176*AF176+$L176*Summary_LCIA!W$32</f>
        <v>10.176986536507806</v>
      </c>
      <c r="BB176" s="137">
        <f>$W176*AG176+$L176*Summary_LCIA!X$32</f>
        <v>9.9908133350992081</v>
      </c>
      <c r="BC176" s="137">
        <f>$W176*AH176+$L176*Summary_LCIA!Y$32</f>
        <v>0.70956393623646496</v>
      </c>
      <c r="BD176" s="137">
        <f>$W176*AI176+$L176*Summary_LCIA!Z$32</f>
        <v>0.17183378108758532</v>
      </c>
      <c r="BE176" s="137">
        <f>$W176*AJ176+$L176*Summary_LCIA!AA$32</f>
        <v>1.5496103359992714</v>
      </c>
      <c r="BF176" s="137">
        <f>$W176*AK176+$L176*Summary_LCIA!AB$32</f>
        <v>4.3838992182592275E-2</v>
      </c>
      <c r="BG176" s="137">
        <f>$W176*AL176+$L176*Summary_LCIA!AC$32</f>
        <v>2.3101504238524458E-5</v>
      </c>
      <c r="BH176" s="137">
        <f>$W176*AM176+$L176*Summary_LCIA!AD$32</f>
        <v>9.1967719164955913E-2</v>
      </c>
      <c r="BI176" s="137">
        <f>$W176*AN176+$L176*Summary_LCIA!AE$32</f>
        <v>0.27595570652925899</v>
      </c>
      <c r="BJ176" s="137">
        <f>$W176*AO176+$L176*Summary_LCIA!AF$32</f>
        <v>3.1332469926737792E-2</v>
      </c>
      <c r="BK176" s="137">
        <f>$W176*AP176+$L176*Summary_LCIA!AG$32</f>
        <v>5.3118818717377853E-3</v>
      </c>
      <c r="BL176" s="137">
        <f>$W176*AQ176+$L176*Summary_LCIA!AH$32</f>
        <v>0.82041474065376896</v>
      </c>
      <c r="BM176" s="137">
        <f>$W176*AR176+$L176*Summary_LCIA!AI$32</f>
        <v>0.2349157190268874</v>
      </c>
    </row>
    <row r="177" spans="1:65" x14ac:dyDescent="0.25">
      <c r="A177" s="149">
        <v>95</v>
      </c>
      <c r="B177" s="149">
        <v>43</v>
      </c>
      <c r="C177" s="61">
        <v>40.444389999999999</v>
      </c>
      <c r="D177" s="61">
        <v>-79.953412999999998</v>
      </c>
      <c r="E177" s="61" t="s">
        <v>265</v>
      </c>
      <c r="F177" s="149">
        <v>106</v>
      </c>
      <c r="G177" s="61" t="s">
        <v>266</v>
      </c>
      <c r="H177" s="61" t="s">
        <v>669</v>
      </c>
      <c r="I177" s="61">
        <v>40.491920999999998</v>
      </c>
      <c r="J177" s="61">
        <v>-80.235223000000005</v>
      </c>
      <c r="K177" s="61">
        <v>24.630663819999999</v>
      </c>
      <c r="L177" s="61">
        <v>31.443999999999999</v>
      </c>
      <c r="M177" s="61" t="s">
        <v>617</v>
      </c>
      <c r="N177" s="149">
        <v>42</v>
      </c>
      <c r="O177" s="149">
        <v>43</v>
      </c>
      <c r="P177" s="61" t="s">
        <v>565</v>
      </c>
      <c r="Q177" s="61" t="s">
        <v>555</v>
      </c>
      <c r="R177" s="61">
        <v>40.6895314</v>
      </c>
      <c r="S177" s="61">
        <v>-74.174462399999996</v>
      </c>
      <c r="T177" s="61">
        <v>578.75699999999995</v>
      </c>
      <c r="U177" s="61" t="s">
        <v>617</v>
      </c>
      <c r="V177" s="61" t="s">
        <v>569</v>
      </c>
      <c r="W177" s="61" cm="1">
        <f t="array" ref="W177">getDistance(I177,J177,R177,S177)*SA!$B$12</f>
        <v>513.433583839015</v>
      </c>
      <c r="Y177" s="137">
        <f>Transportation_LCIA!C$61*($W177^Transportation_LCIA!C$60)+Transportation_LCIA!C$62</f>
        <v>0.32815716511039528</v>
      </c>
      <c r="Z177" s="137">
        <f>Transportation_LCIA!D$61*($W177^Transportation_LCIA!D$60)+Transportation_LCIA!D$62</f>
        <v>3.5191542163843881</v>
      </c>
      <c r="AA177" s="137">
        <f>Transportation_LCIA!E$61*($W177^Transportation_LCIA!E$60)+Transportation_LCIA!E$62</f>
        <v>1.8665206810453132E-3</v>
      </c>
      <c r="AB177" s="137">
        <f>Transportation_LCIA!F$61*($W177^Transportation_LCIA!F$60)+Transportation_LCIA!F$62</f>
        <v>0.32815716511039528</v>
      </c>
      <c r="AC177" s="137">
        <f>Transportation_LCIA!G$61*($W177^Transportation_LCIA!G$60)+Transportation_LCIA!G$62</f>
        <v>8.1967302989677859E-2</v>
      </c>
      <c r="AD177" s="137">
        <f>Transportation_LCIA!H$61*($W177^Transportation_LCIA!H$60)+Transportation_LCIA!H$62</f>
        <v>4.3698853519291556E-4</v>
      </c>
      <c r="AE177" s="137">
        <f>Transportation_LCIA!I$61*($W177^Transportation_LCIA!I$60)+Transportation_LCIA!I$62</f>
        <v>1.0010201729396875E-5</v>
      </c>
      <c r="AF177" s="137">
        <f>Transportation_LCIA!J$61*($W177^Transportation_LCIA!J$60)+Transportation_LCIA!J$62</f>
        <v>1.4910087392935532E-2</v>
      </c>
      <c r="AG177" s="137">
        <f>Transportation_LCIA!K$61*($W177^Transportation_LCIA!K$60)+Transportation_LCIA!K$62</f>
        <v>1.8005284512120634E-2</v>
      </c>
      <c r="AH177" s="137">
        <f>Transportation_LCIA!L$61*($W177^Transportation_LCIA!L$60)+Transportation_LCIA!L$62</f>
        <v>3.8774642038002372E-4</v>
      </c>
      <c r="AI177" s="137">
        <f>Transportation_LCIA!M$61*($W177^Transportation_LCIA!M$60)+Transportation_LCIA!M$62</f>
        <v>3.3205908340433346E-4</v>
      </c>
      <c r="AJ177" s="137">
        <f>Transportation_LCIA!N$61*($W177^Transportation_LCIA!N$60)+Transportation_LCIA!N$62</f>
        <v>1.5278401037459809E-3</v>
      </c>
      <c r="AK177" s="137">
        <f>Transportation_LCIA!O$61*($W177^Transportation_LCIA!O$60)+Transportation_LCIA!O$62</f>
        <v>8.6776433969231709E-5</v>
      </c>
      <c r="AL177" s="137">
        <f>Transportation_LCIA!P$61*($W177^Transportation_LCIA!P$60)+Transportation_LCIA!P$62</f>
        <v>4.187496920977748E-8</v>
      </c>
      <c r="AM177" s="137">
        <f>Transportation_LCIA!Q$61*($W177^Transportation_LCIA!Q$60)+Transportation_LCIA!Q$62</f>
        <v>1.5289540886279419E-4</v>
      </c>
      <c r="AN177" s="137">
        <f>Transportation_LCIA!R$61*($W177^Transportation_LCIA!R$60)+Transportation_LCIA!R$62</f>
        <v>4.8092919779996581E-4</v>
      </c>
      <c r="AO177" s="137">
        <f>Transportation_LCIA!S$61*($W177^Transportation_LCIA!S$60)+Transportation_LCIA!S$62</f>
        <v>7.081081996143308E-6</v>
      </c>
      <c r="AP177" s="137">
        <f>Transportation_LCIA!T$61*($W177^Transportation_LCIA!T$60)+Transportation_LCIA!T$62</f>
        <v>7.081081996143308E-6</v>
      </c>
      <c r="AQ177" s="137">
        <f>Transportation_LCIA!U$61*($W177^Transportation_LCIA!U$60)+Transportation_LCIA!U$62</f>
        <v>1.0425420500377758E-3</v>
      </c>
      <c r="AR177" s="137">
        <f>Transportation_LCIA!V$61*($W177^Transportation_LCIA!V$60)+Transportation_LCIA!V$62</f>
        <v>3.9809863614409633E-4</v>
      </c>
      <c r="AT177" s="137">
        <f>$W177*Y177+$L177*Summary_LCIA!H$32</f>
        <v>179.17158054508161</v>
      </c>
      <c r="AU177" s="137">
        <f>$W177*Z177+$L177*Summary_LCIA!Q$32</f>
        <v>1962.6900112156688</v>
      </c>
      <c r="AV177" s="137">
        <f>$W177*AA177+$L177*Summary_LCIA!R$32</f>
        <v>1.1239059289787343</v>
      </c>
      <c r="AW177" s="137">
        <f>$W177*AB177+$L177*Summary_LCIA!S$32</f>
        <v>179.0325980650816</v>
      </c>
      <c r="AX177" s="137">
        <f>$W177*AC177+$L177*Summary_LCIA!T$32</f>
        <v>45.540461731608708</v>
      </c>
      <c r="AY177" s="137">
        <f>$W177*AD177+$L177*Summary_LCIA!U$32</f>
        <v>0.7876524057206602</v>
      </c>
      <c r="AZ177" s="137">
        <f>$W177*AE177+$L177*Summary_LCIA!V$32</f>
        <v>6.6413706328757429E-3</v>
      </c>
      <c r="BA177" s="137">
        <f>$W177*AF177+$L177*Summary_LCIA!W$32</f>
        <v>10.075615729507806</v>
      </c>
      <c r="BB177" s="137">
        <f>$W177*AG177+$L177*Summary_LCIA!X$32</f>
        <v>9.9608120750992075</v>
      </c>
      <c r="BC177" s="137">
        <f>$W177*AH177+$L177*Summary_LCIA!Y$32</f>
        <v>0.68904244223646494</v>
      </c>
      <c r="BD177" s="137">
        <f>$W177*AI177+$L177*Summary_LCIA!Z$32</f>
        <v>0.17177977223458532</v>
      </c>
      <c r="BE177" s="137">
        <f>$W177*AJ177+$L177*Summary_LCIA!AA$32</f>
        <v>1.5188504839992714</v>
      </c>
      <c r="BF177" s="137">
        <f>$W177*AK177+$L177*Summary_LCIA!AB$32</f>
        <v>4.3867733073592277E-2</v>
      </c>
      <c r="BG177" s="137">
        <f>$W177*AL177+$L177*Summary_LCIA!AC$32</f>
        <v>2.3037124010524458E-5</v>
      </c>
      <c r="BH177" s="137">
        <f>$W177*AM177+$L177*Summary_LCIA!AD$32</f>
        <v>9.1426379484955911E-2</v>
      </c>
      <c r="BI177" s="137">
        <f>$W177*AN177+$L177*Summary_LCIA!AE$32</f>
        <v>0.27478867331925899</v>
      </c>
      <c r="BJ177" s="137">
        <f>$W177*AO177+$L177*Summary_LCIA!AF$32</f>
        <v>3.0219051786737786E-2</v>
      </c>
      <c r="BK177" s="137">
        <f>$W177*AP177+$L177*Summary_LCIA!AG$32</f>
        <v>5.2444975667377842E-3</v>
      </c>
      <c r="BL177" s="137">
        <f>$W177*AQ177+$L177*Summary_LCIA!AH$32</f>
        <v>0.808952099453769</v>
      </c>
      <c r="BM177" s="137">
        <f>$W177*AR177+$L177*Summary_LCIA!AI$32</f>
        <v>0.2336888676768874</v>
      </c>
    </row>
    <row r="178" spans="1:65" x14ac:dyDescent="0.25">
      <c r="A178" s="149">
        <v>96</v>
      </c>
      <c r="B178" s="149">
        <v>43</v>
      </c>
      <c r="C178" s="61">
        <v>40.444389999999999</v>
      </c>
      <c r="D178" s="61">
        <v>-79.953412999999998</v>
      </c>
      <c r="E178" s="61" t="s">
        <v>265</v>
      </c>
      <c r="F178" s="149">
        <v>106</v>
      </c>
      <c r="G178" s="61" t="s">
        <v>266</v>
      </c>
      <c r="H178" s="61" t="s">
        <v>669</v>
      </c>
      <c r="I178" s="61">
        <v>40.491920999999998</v>
      </c>
      <c r="J178" s="61">
        <v>-80.235223000000005</v>
      </c>
      <c r="K178" s="61">
        <v>24.630663819999999</v>
      </c>
      <c r="L178" s="61">
        <v>31.443999999999999</v>
      </c>
      <c r="M178" s="61" t="s">
        <v>617</v>
      </c>
      <c r="N178" s="149">
        <v>42</v>
      </c>
      <c r="O178" s="149">
        <v>43</v>
      </c>
      <c r="P178" s="61" t="s">
        <v>565</v>
      </c>
      <c r="Q178" s="61" t="s">
        <v>555</v>
      </c>
      <c r="R178" s="61">
        <v>40.6895314</v>
      </c>
      <c r="S178" s="61">
        <v>-74.174462399999996</v>
      </c>
      <c r="T178" s="61">
        <v>578.75699999999995</v>
      </c>
      <c r="U178" s="61" t="s">
        <v>617</v>
      </c>
      <c r="V178" s="61" t="s">
        <v>569</v>
      </c>
      <c r="W178" s="61" cm="1">
        <f t="array" ref="W178">getDistance(I178,J178,R178,S178)*SA!$B$12</f>
        <v>513.433583839015</v>
      </c>
      <c r="Y178" s="137">
        <f>Transportation_LCIA!C$61*($W178^Transportation_LCIA!C$60)+Transportation_LCIA!C$62</f>
        <v>0.32815716511039528</v>
      </c>
      <c r="Z178" s="137">
        <f>Transportation_LCIA!D$61*($W178^Transportation_LCIA!D$60)+Transportation_LCIA!D$62</f>
        <v>3.5191542163843881</v>
      </c>
      <c r="AA178" s="137">
        <f>Transportation_LCIA!E$61*($W178^Transportation_LCIA!E$60)+Transportation_LCIA!E$62</f>
        <v>1.8665206810453132E-3</v>
      </c>
      <c r="AB178" s="137">
        <f>Transportation_LCIA!F$61*($W178^Transportation_LCIA!F$60)+Transportation_LCIA!F$62</f>
        <v>0.32815716511039528</v>
      </c>
      <c r="AC178" s="137">
        <f>Transportation_LCIA!G$61*($W178^Transportation_LCIA!G$60)+Transportation_LCIA!G$62</f>
        <v>8.1967302989677859E-2</v>
      </c>
      <c r="AD178" s="137">
        <f>Transportation_LCIA!H$61*($W178^Transportation_LCIA!H$60)+Transportation_LCIA!H$62</f>
        <v>4.3698853519291556E-4</v>
      </c>
      <c r="AE178" s="137">
        <f>Transportation_LCIA!I$61*($W178^Transportation_LCIA!I$60)+Transportation_LCIA!I$62</f>
        <v>1.0010201729396875E-5</v>
      </c>
      <c r="AF178" s="137">
        <f>Transportation_LCIA!J$61*($W178^Transportation_LCIA!J$60)+Transportation_LCIA!J$62</f>
        <v>1.4910087392935532E-2</v>
      </c>
      <c r="AG178" s="137">
        <f>Transportation_LCIA!K$61*($W178^Transportation_LCIA!K$60)+Transportation_LCIA!K$62</f>
        <v>1.8005284512120634E-2</v>
      </c>
      <c r="AH178" s="137">
        <f>Transportation_LCIA!L$61*($W178^Transportation_LCIA!L$60)+Transportation_LCIA!L$62</f>
        <v>3.8774642038002372E-4</v>
      </c>
      <c r="AI178" s="137">
        <f>Transportation_LCIA!M$61*($W178^Transportation_LCIA!M$60)+Transportation_LCIA!M$62</f>
        <v>3.3205908340433346E-4</v>
      </c>
      <c r="AJ178" s="137">
        <f>Transportation_LCIA!N$61*($W178^Transportation_LCIA!N$60)+Transportation_LCIA!N$62</f>
        <v>1.5278401037459809E-3</v>
      </c>
      <c r="AK178" s="137">
        <f>Transportation_LCIA!O$61*($W178^Transportation_LCIA!O$60)+Transportation_LCIA!O$62</f>
        <v>8.6776433969231709E-5</v>
      </c>
      <c r="AL178" s="137">
        <f>Transportation_LCIA!P$61*($W178^Transportation_LCIA!P$60)+Transportation_LCIA!P$62</f>
        <v>4.187496920977748E-8</v>
      </c>
      <c r="AM178" s="137">
        <f>Transportation_LCIA!Q$61*($W178^Transportation_LCIA!Q$60)+Transportation_LCIA!Q$62</f>
        <v>1.5289540886279419E-4</v>
      </c>
      <c r="AN178" s="137">
        <f>Transportation_LCIA!R$61*($W178^Transportation_LCIA!R$60)+Transportation_LCIA!R$62</f>
        <v>4.8092919779996581E-4</v>
      </c>
      <c r="AO178" s="137">
        <f>Transportation_LCIA!S$61*($W178^Transportation_LCIA!S$60)+Transportation_LCIA!S$62</f>
        <v>7.081081996143308E-6</v>
      </c>
      <c r="AP178" s="137">
        <f>Transportation_LCIA!T$61*($W178^Transportation_LCIA!T$60)+Transportation_LCIA!T$62</f>
        <v>7.081081996143308E-6</v>
      </c>
      <c r="AQ178" s="137">
        <f>Transportation_LCIA!U$61*($W178^Transportation_LCIA!U$60)+Transportation_LCIA!U$62</f>
        <v>1.0425420500377758E-3</v>
      </c>
      <c r="AR178" s="137">
        <f>Transportation_LCIA!V$61*($W178^Transportation_LCIA!V$60)+Transportation_LCIA!V$62</f>
        <v>3.9809863614409633E-4</v>
      </c>
      <c r="AT178" s="137">
        <f>$W178*Y178+$L178*Summary_LCIA!H$32</f>
        <v>179.17158054508161</v>
      </c>
      <c r="AU178" s="137">
        <f>$W178*Z178+$L178*Summary_LCIA!Q$32</f>
        <v>1962.6900112156688</v>
      </c>
      <c r="AV178" s="137">
        <f>$W178*AA178+$L178*Summary_LCIA!R$32</f>
        <v>1.1239059289787343</v>
      </c>
      <c r="AW178" s="137">
        <f>$W178*AB178+$L178*Summary_LCIA!S$32</f>
        <v>179.0325980650816</v>
      </c>
      <c r="AX178" s="137">
        <f>$W178*AC178+$L178*Summary_LCIA!T$32</f>
        <v>45.540461731608708</v>
      </c>
      <c r="AY178" s="137">
        <f>$W178*AD178+$L178*Summary_LCIA!U$32</f>
        <v>0.7876524057206602</v>
      </c>
      <c r="AZ178" s="137">
        <f>$W178*AE178+$L178*Summary_LCIA!V$32</f>
        <v>6.6413706328757429E-3</v>
      </c>
      <c r="BA178" s="137">
        <f>$W178*AF178+$L178*Summary_LCIA!W$32</f>
        <v>10.075615729507806</v>
      </c>
      <c r="BB178" s="137">
        <f>$W178*AG178+$L178*Summary_LCIA!X$32</f>
        <v>9.9608120750992075</v>
      </c>
      <c r="BC178" s="137">
        <f>$W178*AH178+$L178*Summary_LCIA!Y$32</f>
        <v>0.68904244223646494</v>
      </c>
      <c r="BD178" s="137">
        <f>$W178*AI178+$L178*Summary_LCIA!Z$32</f>
        <v>0.17177977223458532</v>
      </c>
      <c r="BE178" s="137">
        <f>$W178*AJ178+$L178*Summary_LCIA!AA$32</f>
        <v>1.5188504839992714</v>
      </c>
      <c r="BF178" s="137">
        <f>$W178*AK178+$L178*Summary_LCIA!AB$32</f>
        <v>4.3867733073592277E-2</v>
      </c>
      <c r="BG178" s="137">
        <f>$W178*AL178+$L178*Summary_LCIA!AC$32</f>
        <v>2.3037124010524458E-5</v>
      </c>
      <c r="BH178" s="137">
        <f>$W178*AM178+$L178*Summary_LCIA!AD$32</f>
        <v>9.1426379484955911E-2</v>
      </c>
      <c r="BI178" s="137">
        <f>$W178*AN178+$L178*Summary_LCIA!AE$32</f>
        <v>0.27478867331925899</v>
      </c>
      <c r="BJ178" s="137">
        <f>$W178*AO178+$L178*Summary_LCIA!AF$32</f>
        <v>3.0219051786737786E-2</v>
      </c>
      <c r="BK178" s="137">
        <f>$W178*AP178+$L178*Summary_LCIA!AG$32</f>
        <v>5.2444975667377842E-3</v>
      </c>
      <c r="BL178" s="137">
        <f>$W178*AQ178+$L178*Summary_LCIA!AH$32</f>
        <v>0.808952099453769</v>
      </c>
      <c r="BM178" s="137">
        <f>$W178*AR178+$L178*Summary_LCIA!AI$32</f>
        <v>0.2336888676768874</v>
      </c>
    </row>
    <row r="179" spans="1:65" x14ac:dyDescent="0.25">
      <c r="A179" s="149">
        <v>293</v>
      </c>
      <c r="B179" s="149">
        <v>43</v>
      </c>
      <c r="C179" s="61">
        <v>40.440624999999997</v>
      </c>
      <c r="D179" s="61">
        <v>-79.995885999999999</v>
      </c>
      <c r="E179" s="61" t="s">
        <v>265</v>
      </c>
      <c r="F179" s="149">
        <v>106</v>
      </c>
      <c r="G179" s="61" t="s">
        <v>266</v>
      </c>
      <c r="H179" s="61" t="s">
        <v>669</v>
      </c>
      <c r="I179" s="61">
        <v>40.491920999999998</v>
      </c>
      <c r="J179" s="61">
        <v>-80.235223000000005</v>
      </c>
      <c r="K179" s="61">
        <v>21.391265860000001</v>
      </c>
      <c r="L179" s="61">
        <v>27.920999999999999</v>
      </c>
      <c r="M179" s="61" t="s">
        <v>617</v>
      </c>
      <c r="N179" s="149">
        <v>42</v>
      </c>
      <c r="O179" s="149">
        <v>43</v>
      </c>
      <c r="P179" s="61" t="s">
        <v>565</v>
      </c>
      <c r="Q179" s="61" t="s">
        <v>555</v>
      </c>
      <c r="R179" s="61">
        <v>40.6895314</v>
      </c>
      <c r="S179" s="61">
        <v>-74.174462399999996</v>
      </c>
      <c r="T179" s="61">
        <v>581.04700000000003</v>
      </c>
      <c r="U179" s="61" t="s">
        <v>617</v>
      </c>
      <c r="V179" s="61" t="s">
        <v>569</v>
      </c>
      <c r="W179" s="61" cm="1">
        <f t="array" ref="W179">getDistance(I179,J179,R179,S179)*SA!$B$12</f>
        <v>513.433583839015</v>
      </c>
      <c r="Y179" s="137">
        <f>Transportation_LCIA!C$61*($W179^Transportation_LCIA!C$60)+Transportation_LCIA!C$62</f>
        <v>0.32815716511039528</v>
      </c>
      <c r="Z179" s="137">
        <f>Transportation_LCIA!D$61*($W179^Transportation_LCIA!D$60)+Transportation_LCIA!D$62</f>
        <v>3.5191542163843881</v>
      </c>
      <c r="AA179" s="137">
        <f>Transportation_LCIA!E$61*($W179^Transportation_LCIA!E$60)+Transportation_LCIA!E$62</f>
        <v>1.8665206810453132E-3</v>
      </c>
      <c r="AB179" s="137">
        <f>Transportation_LCIA!F$61*($W179^Transportation_LCIA!F$60)+Transportation_LCIA!F$62</f>
        <v>0.32815716511039528</v>
      </c>
      <c r="AC179" s="137">
        <f>Transportation_LCIA!G$61*($W179^Transportation_LCIA!G$60)+Transportation_LCIA!G$62</f>
        <v>8.1967302989677859E-2</v>
      </c>
      <c r="AD179" s="137">
        <f>Transportation_LCIA!H$61*($W179^Transportation_LCIA!H$60)+Transportation_LCIA!H$62</f>
        <v>4.3698853519291556E-4</v>
      </c>
      <c r="AE179" s="137">
        <f>Transportation_LCIA!I$61*($W179^Transportation_LCIA!I$60)+Transportation_LCIA!I$62</f>
        <v>1.0010201729396875E-5</v>
      </c>
      <c r="AF179" s="137">
        <f>Transportation_LCIA!J$61*($W179^Transportation_LCIA!J$60)+Transportation_LCIA!J$62</f>
        <v>1.4910087392935532E-2</v>
      </c>
      <c r="AG179" s="137">
        <f>Transportation_LCIA!K$61*($W179^Transportation_LCIA!K$60)+Transportation_LCIA!K$62</f>
        <v>1.8005284512120634E-2</v>
      </c>
      <c r="AH179" s="137">
        <f>Transportation_LCIA!L$61*($W179^Transportation_LCIA!L$60)+Transportation_LCIA!L$62</f>
        <v>3.8774642038002372E-4</v>
      </c>
      <c r="AI179" s="137">
        <f>Transportation_LCIA!M$61*($W179^Transportation_LCIA!M$60)+Transportation_LCIA!M$62</f>
        <v>3.3205908340433346E-4</v>
      </c>
      <c r="AJ179" s="137">
        <f>Transportation_LCIA!N$61*($W179^Transportation_LCIA!N$60)+Transportation_LCIA!N$62</f>
        <v>1.5278401037459809E-3</v>
      </c>
      <c r="AK179" s="137">
        <f>Transportation_LCIA!O$61*($W179^Transportation_LCIA!O$60)+Transportation_LCIA!O$62</f>
        <v>8.6776433969231709E-5</v>
      </c>
      <c r="AL179" s="137">
        <f>Transportation_LCIA!P$61*($W179^Transportation_LCIA!P$60)+Transportation_LCIA!P$62</f>
        <v>4.187496920977748E-8</v>
      </c>
      <c r="AM179" s="137">
        <f>Transportation_LCIA!Q$61*($W179^Transportation_LCIA!Q$60)+Transportation_LCIA!Q$62</f>
        <v>1.5289540886279419E-4</v>
      </c>
      <c r="AN179" s="137">
        <f>Transportation_LCIA!R$61*($W179^Transportation_LCIA!R$60)+Transportation_LCIA!R$62</f>
        <v>4.8092919779996581E-4</v>
      </c>
      <c r="AO179" s="137">
        <f>Transportation_LCIA!S$61*($W179^Transportation_LCIA!S$60)+Transportation_LCIA!S$62</f>
        <v>7.081081996143308E-6</v>
      </c>
      <c r="AP179" s="137">
        <f>Transportation_LCIA!T$61*($W179^Transportation_LCIA!T$60)+Transportation_LCIA!T$62</f>
        <v>7.081081996143308E-6</v>
      </c>
      <c r="AQ179" s="137">
        <f>Transportation_LCIA!U$61*($W179^Transportation_LCIA!U$60)+Transportation_LCIA!U$62</f>
        <v>1.0425420500377758E-3</v>
      </c>
      <c r="AR179" s="137">
        <f>Transportation_LCIA!V$61*($W179^Transportation_LCIA!V$60)+Transportation_LCIA!V$62</f>
        <v>3.9809863614409633E-4</v>
      </c>
      <c r="AT179" s="137">
        <f>$W179*Y179+$L179*Summary_LCIA!H$32</f>
        <v>177.97446514508161</v>
      </c>
      <c r="AU179" s="137">
        <f>$W179*Z179+$L179*Summary_LCIA!Q$32</f>
        <v>1945.2298455402099</v>
      </c>
      <c r="AV179" s="137">
        <f>$W179*AA179+$L179*Summary_LCIA!R$32</f>
        <v>1.1053552201787342</v>
      </c>
      <c r="AW179" s="137">
        <f>$W179*AB179+$L179*Summary_LCIA!S$32</f>
        <v>177.85105432508161</v>
      </c>
      <c r="AX179" s="137">
        <f>$W179*AC179+$L179*Summary_LCIA!T$32</f>
        <v>45.153284031608706</v>
      </c>
      <c r="AY179" s="137">
        <f>$W179*AD179+$L179*Summary_LCIA!U$32</f>
        <v>0.72454138372066013</v>
      </c>
      <c r="AZ179" s="137">
        <f>$W179*AE179+$L179*Summary_LCIA!V$32</f>
        <v>6.4731086298757436E-3</v>
      </c>
      <c r="BA179" s="137">
        <f>$W179*AF179+$L179*Summary_LCIA!W$32</f>
        <v>9.8044468965078053</v>
      </c>
      <c r="BB179" s="137">
        <f>$W179*AG179+$L179*Summary_LCIA!X$32</f>
        <v>9.8805581350992089</v>
      </c>
      <c r="BC179" s="137">
        <f>$W179*AH179+$L179*Summary_LCIA!Y$32</f>
        <v>0.63414705623646483</v>
      </c>
      <c r="BD179" s="137">
        <f>$W179*AI179+$L179*Summary_LCIA!Z$32</f>
        <v>0.1716352975275853</v>
      </c>
      <c r="BE179" s="137">
        <f>$W179*AJ179+$L179*Summary_LCIA!AA$32</f>
        <v>1.4365672959992715</v>
      </c>
      <c r="BF179" s="137">
        <f>$W179*AK179+$L179*Summary_LCIA!AB$32</f>
        <v>4.394461550259228E-2</v>
      </c>
      <c r="BG179" s="137">
        <f>$W179*AL179+$L179*Summary_LCIA!AC$32</f>
        <v>2.2864905678524456E-5</v>
      </c>
      <c r="BH179" s="137">
        <f>$W179*AM179+$L179*Summary_LCIA!AD$32</f>
        <v>8.9978285564955907E-2</v>
      </c>
      <c r="BI179" s="137">
        <f>$W179*AN179+$L179*Summary_LCIA!AE$32</f>
        <v>0.271666837329259</v>
      </c>
      <c r="BJ179" s="137">
        <f>$W179*AO179+$L179*Summary_LCIA!AF$32</f>
        <v>2.7240637126737785E-2</v>
      </c>
      <c r="BK179" s="137">
        <f>$W179*AP179+$L179*Summary_LCIA!AG$32</f>
        <v>5.0642432717377846E-3</v>
      </c>
      <c r="BL179" s="137">
        <f>$W179*AQ179+$L179*Summary_LCIA!AH$32</f>
        <v>0.77828931665376899</v>
      </c>
      <c r="BM179" s="137">
        <f>$W179*AR179+$L179*Summary_LCIA!AI$32</f>
        <v>0.23040701702688743</v>
      </c>
    </row>
    <row r="180" spans="1:65" x14ac:dyDescent="0.25">
      <c r="A180" s="149">
        <v>294</v>
      </c>
      <c r="B180" s="149">
        <v>43</v>
      </c>
      <c r="C180" s="61">
        <v>40.440624999999997</v>
      </c>
      <c r="D180" s="61">
        <v>-79.995885999999999</v>
      </c>
      <c r="E180" s="61" t="s">
        <v>265</v>
      </c>
      <c r="F180" s="149">
        <v>106</v>
      </c>
      <c r="G180" s="61" t="s">
        <v>266</v>
      </c>
      <c r="H180" s="61" t="s">
        <v>669</v>
      </c>
      <c r="I180" s="61">
        <v>40.491920999999998</v>
      </c>
      <c r="J180" s="61">
        <v>-80.235223000000005</v>
      </c>
      <c r="K180" s="61">
        <v>21.391265860000001</v>
      </c>
      <c r="L180" s="61">
        <v>27.920999999999999</v>
      </c>
      <c r="M180" s="61" t="s">
        <v>617</v>
      </c>
      <c r="N180" s="149">
        <v>42</v>
      </c>
      <c r="O180" s="149">
        <v>43</v>
      </c>
      <c r="P180" s="61" t="s">
        <v>565</v>
      </c>
      <c r="Q180" s="61" t="s">
        <v>555</v>
      </c>
      <c r="R180" s="61">
        <v>40.6895314</v>
      </c>
      <c r="S180" s="61">
        <v>-74.174462399999996</v>
      </c>
      <c r="T180" s="61">
        <v>581.04700000000003</v>
      </c>
      <c r="U180" s="61" t="s">
        <v>617</v>
      </c>
      <c r="V180" s="61" t="s">
        <v>569</v>
      </c>
      <c r="W180" s="61" cm="1">
        <f t="array" ref="W180">getDistance(I180,J180,R180,S180)*SA!$B$12</f>
        <v>513.433583839015</v>
      </c>
      <c r="Y180" s="137">
        <f>Transportation_LCIA!C$61*($W180^Transportation_LCIA!C$60)+Transportation_LCIA!C$62</f>
        <v>0.32815716511039528</v>
      </c>
      <c r="Z180" s="137">
        <f>Transportation_LCIA!D$61*($W180^Transportation_LCIA!D$60)+Transportation_LCIA!D$62</f>
        <v>3.5191542163843881</v>
      </c>
      <c r="AA180" s="137">
        <f>Transportation_LCIA!E$61*($W180^Transportation_LCIA!E$60)+Transportation_LCIA!E$62</f>
        <v>1.8665206810453132E-3</v>
      </c>
      <c r="AB180" s="137">
        <f>Transportation_LCIA!F$61*($W180^Transportation_LCIA!F$60)+Transportation_LCIA!F$62</f>
        <v>0.32815716511039528</v>
      </c>
      <c r="AC180" s="137">
        <f>Transportation_LCIA!G$61*($W180^Transportation_LCIA!G$60)+Transportation_LCIA!G$62</f>
        <v>8.1967302989677859E-2</v>
      </c>
      <c r="AD180" s="137">
        <f>Transportation_LCIA!H$61*($W180^Transportation_LCIA!H$60)+Transportation_LCIA!H$62</f>
        <v>4.3698853519291556E-4</v>
      </c>
      <c r="AE180" s="137">
        <f>Transportation_LCIA!I$61*($W180^Transportation_LCIA!I$60)+Transportation_LCIA!I$62</f>
        <v>1.0010201729396875E-5</v>
      </c>
      <c r="AF180" s="137">
        <f>Transportation_LCIA!J$61*($W180^Transportation_LCIA!J$60)+Transportation_LCIA!J$62</f>
        <v>1.4910087392935532E-2</v>
      </c>
      <c r="AG180" s="137">
        <f>Transportation_LCIA!K$61*($W180^Transportation_LCIA!K$60)+Transportation_LCIA!K$62</f>
        <v>1.8005284512120634E-2</v>
      </c>
      <c r="AH180" s="137">
        <f>Transportation_LCIA!L$61*($W180^Transportation_LCIA!L$60)+Transportation_LCIA!L$62</f>
        <v>3.8774642038002372E-4</v>
      </c>
      <c r="AI180" s="137">
        <f>Transportation_LCIA!M$61*($W180^Transportation_LCIA!M$60)+Transportation_LCIA!M$62</f>
        <v>3.3205908340433346E-4</v>
      </c>
      <c r="AJ180" s="137">
        <f>Transportation_LCIA!N$61*($W180^Transportation_LCIA!N$60)+Transportation_LCIA!N$62</f>
        <v>1.5278401037459809E-3</v>
      </c>
      <c r="AK180" s="137">
        <f>Transportation_LCIA!O$61*($W180^Transportation_LCIA!O$60)+Transportation_LCIA!O$62</f>
        <v>8.6776433969231709E-5</v>
      </c>
      <c r="AL180" s="137">
        <f>Transportation_LCIA!P$61*($W180^Transportation_LCIA!P$60)+Transportation_LCIA!P$62</f>
        <v>4.187496920977748E-8</v>
      </c>
      <c r="AM180" s="137">
        <f>Transportation_LCIA!Q$61*($W180^Transportation_LCIA!Q$60)+Transportation_LCIA!Q$62</f>
        <v>1.5289540886279419E-4</v>
      </c>
      <c r="AN180" s="137">
        <f>Transportation_LCIA!R$61*($W180^Transportation_LCIA!R$60)+Transportation_LCIA!R$62</f>
        <v>4.8092919779996581E-4</v>
      </c>
      <c r="AO180" s="137">
        <f>Transportation_LCIA!S$61*($W180^Transportation_LCIA!S$60)+Transportation_LCIA!S$62</f>
        <v>7.081081996143308E-6</v>
      </c>
      <c r="AP180" s="137">
        <f>Transportation_LCIA!T$61*($W180^Transportation_LCIA!T$60)+Transportation_LCIA!T$62</f>
        <v>7.081081996143308E-6</v>
      </c>
      <c r="AQ180" s="137">
        <f>Transportation_LCIA!U$61*($W180^Transportation_LCIA!U$60)+Transportation_LCIA!U$62</f>
        <v>1.0425420500377758E-3</v>
      </c>
      <c r="AR180" s="137">
        <f>Transportation_LCIA!V$61*($W180^Transportation_LCIA!V$60)+Transportation_LCIA!V$62</f>
        <v>3.9809863614409633E-4</v>
      </c>
      <c r="AT180" s="137">
        <f>$W180*Y180+$L180*Summary_LCIA!H$32</f>
        <v>177.97446514508161</v>
      </c>
      <c r="AU180" s="137">
        <f>$W180*Z180+$L180*Summary_LCIA!Q$32</f>
        <v>1945.2298455402099</v>
      </c>
      <c r="AV180" s="137">
        <f>$W180*AA180+$L180*Summary_LCIA!R$32</f>
        <v>1.1053552201787342</v>
      </c>
      <c r="AW180" s="137">
        <f>$W180*AB180+$L180*Summary_LCIA!S$32</f>
        <v>177.85105432508161</v>
      </c>
      <c r="AX180" s="137">
        <f>$W180*AC180+$L180*Summary_LCIA!T$32</f>
        <v>45.153284031608706</v>
      </c>
      <c r="AY180" s="137">
        <f>$W180*AD180+$L180*Summary_LCIA!U$32</f>
        <v>0.72454138372066013</v>
      </c>
      <c r="AZ180" s="137">
        <f>$W180*AE180+$L180*Summary_LCIA!V$32</f>
        <v>6.4731086298757436E-3</v>
      </c>
      <c r="BA180" s="137">
        <f>$W180*AF180+$L180*Summary_LCIA!W$32</f>
        <v>9.8044468965078053</v>
      </c>
      <c r="BB180" s="137">
        <f>$W180*AG180+$L180*Summary_LCIA!X$32</f>
        <v>9.8805581350992089</v>
      </c>
      <c r="BC180" s="137">
        <f>$W180*AH180+$L180*Summary_LCIA!Y$32</f>
        <v>0.63414705623646483</v>
      </c>
      <c r="BD180" s="137">
        <f>$W180*AI180+$L180*Summary_LCIA!Z$32</f>
        <v>0.1716352975275853</v>
      </c>
      <c r="BE180" s="137">
        <f>$W180*AJ180+$L180*Summary_LCIA!AA$32</f>
        <v>1.4365672959992715</v>
      </c>
      <c r="BF180" s="137">
        <f>$W180*AK180+$L180*Summary_LCIA!AB$32</f>
        <v>4.394461550259228E-2</v>
      </c>
      <c r="BG180" s="137">
        <f>$W180*AL180+$L180*Summary_LCIA!AC$32</f>
        <v>2.2864905678524456E-5</v>
      </c>
      <c r="BH180" s="137">
        <f>$W180*AM180+$L180*Summary_LCIA!AD$32</f>
        <v>8.9978285564955907E-2</v>
      </c>
      <c r="BI180" s="137">
        <f>$W180*AN180+$L180*Summary_LCIA!AE$32</f>
        <v>0.271666837329259</v>
      </c>
      <c r="BJ180" s="137">
        <f>$W180*AO180+$L180*Summary_LCIA!AF$32</f>
        <v>2.7240637126737785E-2</v>
      </c>
      <c r="BK180" s="137">
        <f>$W180*AP180+$L180*Summary_LCIA!AG$32</f>
        <v>5.0642432717377846E-3</v>
      </c>
      <c r="BL180" s="137">
        <f>$W180*AQ180+$L180*Summary_LCIA!AH$32</f>
        <v>0.77828931665376899</v>
      </c>
      <c r="BM180" s="137">
        <f>$W180*AR180+$L180*Summary_LCIA!AI$32</f>
        <v>0.23040701702688743</v>
      </c>
    </row>
    <row r="181" spans="1:65" x14ac:dyDescent="0.25">
      <c r="A181" s="149">
        <v>295</v>
      </c>
      <c r="B181" s="149">
        <v>43</v>
      </c>
      <c r="C181" s="61">
        <v>40.440624999999997</v>
      </c>
      <c r="D181" s="61">
        <v>-79.995885999999999</v>
      </c>
      <c r="E181" s="61" t="s">
        <v>265</v>
      </c>
      <c r="F181" s="149">
        <v>106</v>
      </c>
      <c r="G181" s="61" t="s">
        <v>266</v>
      </c>
      <c r="H181" s="61" t="s">
        <v>669</v>
      </c>
      <c r="I181" s="61">
        <v>40.491920999999998</v>
      </c>
      <c r="J181" s="61">
        <v>-80.235223000000005</v>
      </c>
      <c r="K181" s="61">
        <v>21.391265860000001</v>
      </c>
      <c r="L181" s="61">
        <v>27.920999999999999</v>
      </c>
      <c r="M181" s="61" t="s">
        <v>617</v>
      </c>
      <c r="N181" s="149">
        <v>42</v>
      </c>
      <c r="O181" s="149">
        <v>43</v>
      </c>
      <c r="P181" s="61" t="s">
        <v>565</v>
      </c>
      <c r="Q181" s="61" t="s">
        <v>555</v>
      </c>
      <c r="R181" s="61">
        <v>40.6895314</v>
      </c>
      <c r="S181" s="61">
        <v>-74.174462399999996</v>
      </c>
      <c r="T181" s="61">
        <v>581.04700000000003</v>
      </c>
      <c r="U181" s="61" t="s">
        <v>617</v>
      </c>
      <c r="V181" s="61" t="s">
        <v>569</v>
      </c>
      <c r="W181" s="61" cm="1">
        <f t="array" ref="W181">getDistance(I181,J181,R181,S181)*SA!$B$12</f>
        <v>513.433583839015</v>
      </c>
      <c r="Y181" s="137">
        <f>Transportation_LCIA!C$61*($W181^Transportation_LCIA!C$60)+Transportation_LCIA!C$62</f>
        <v>0.32815716511039528</v>
      </c>
      <c r="Z181" s="137">
        <f>Transportation_LCIA!D$61*($W181^Transportation_LCIA!D$60)+Transportation_LCIA!D$62</f>
        <v>3.5191542163843881</v>
      </c>
      <c r="AA181" s="137">
        <f>Transportation_LCIA!E$61*($W181^Transportation_LCIA!E$60)+Transportation_LCIA!E$62</f>
        <v>1.8665206810453132E-3</v>
      </c>
      <c r="AB181" s="137">
        <f>Transportation_LCIA!F$61*($W181^Transportation_LCIA!F$60)+Transportation_LCIA!F$62</f>
        <v>0.32815716511039528</v>
      </c>
      <c r="AC181" s="137">
        <f>Transportation_LCIA!G$61*($W181^Transportation_LCIA!G$60)+Transportation_LCIA!G$62</f>
        <v>8.1967302989677859E-2</v>
      </c>
      <c r="AD181" s="137">
        <f>Transportation_LCIA!H$61*($W181^Transportation_LCIA!H$60)+Transportation_LCIA!H$62</f>
        <v>4.3698853519291556E-4</v>
      </c>
      <c r="AE181" s="137">
        <f>Transportation_LCIA!I$61*($W181^Transportation_LCIA!I$60)+Transportation_LCIA!I$62</f>
        <v>1.0010201729396875E-5</v>
      </c>
      <c r="AF181" s="137">
        <f>Transportation_LCIA!J$61*($W181^Transportation_LCIA!J$60)+Transportation_LCIA!J$62</f>
        <v>1.4910087392935532E-2</v>
      </c>
      <c r="AG181" s="137">
        <f>Transportation_LCIA!K$61*($W181^Transportation_LCIA!K$60)+Transportation_LCIA!K$62</f>
        <v>1.8005284512120634E-2</v>
      </c>
      <c r="AH181" s="137">
        <f>Transportation_LCIA!L$61*($W181^Transportation_LCIA!L$60)+Transportation_LCIA!L$62</f>
        <v>3.8774642038002372E-4</v>
      </c>
      <c r="AI181" s="137">
        <f>Transportation_LCIA!M$61*($W181^Transportation_LCIA!M$60)+Transportation_LCIA!M$62</f>
        <v>3.3205908340433346E-4</v>
      </c>
      <c r="AJ181" s="137">
        <f>Transportation_LCIA!N$61*($W181^Transportation_LCIA!N$60)+Transportation_LCIA!N$62</f>
        <v>1.5278401037459809E-3</v>
      </c>
      <c r="AK181" s="137">
        <f>Transportation_LCIA!O$61*($W181^Transportation_LCIA!O$60)+Transportation_LCIA!O$62</f>
        <v>8.6776433969231709E-5</v>
      </c>
      <c r="AL181" s="137">
        <f>Transportation_LCIA!P$61*($W181^Transportation_LCIA!P$60)+Transportation_LCIA!P$62</f>
        <v>4.187496920977748E-8</v>
      </c>
      <c r="AM181" s="137">
        <f>Transportation_LCIA!Q$61*($W181^Transportation_LCIA!Q$60)+Transportation_LCIA!Q$62</f>
        <v>1.5289540886279419E-4</v>
      </c>
      <c r="AN181" s="137">
        <f>Transportation_LCIA!R$61*($W181^Transportation_LCIA!R$60)+Transportation_LCIA!R$62</f>
        <v>4.8092919779996581E-4</v>
      </c>
      <c r="AO181" s="137">
        <f>Transportation_LCIA!S$61*($W181^Transportation_LCIA!S$60)+Transportation_LCIA!S$62</f>
        <v>7.081081996143308E-6</v>
      </c>
      <c r="AP181" s="137">
        <f>Transportation_LCIA!T$61*($W181^Transportation_LCIA!T$60)+Transportation_LCIA!T$62</f>
        <v>7.081081996143308E-6</v>
      </c>
      <c r="AQ181" s="137">
        <f>Transportation_LCIA!U$61*($W181^Transportation_LCIA!U$60)+Transportation_LCIA!U$62</f>
        <v>1.0425420500377758E-3</v>
      </c>
      <c r="AR181" s="137">
        <f>Transportation_LCIA!V$61*($W181^Transportation_LCIA!V$60)+Transportation_LCIA!V$62</f>
        <v>3.9809863614409633E-4</v>
      </c>
      <c r="AT181" s="137">
        <f>$W181*Y181+$L181*Summary_LCIA!H$32</f>
        <v>177.97446514508161</v>
      </c>
      <c r="AU181" s="137">
        <f>$W181*Z181+$L181*Summary_LCIA!Q$32</f>
        <v>1945.2298455402099</v>
      </c>
      <c r="AV181" s="137">
        <f>$W181*AA181+$L181*Summary_LCIA!R$32</f>
        <v>1.1053552201787342</v>
      </c>
      <c r="AW181" s="137">
        <f>$W181*AB181+$L181*Summary_LCIA!S$32</f>
        <v>177.85105432508161</v>
      </c>
      <c r="AX181" s="137">
        <f>$W181*AC181+$L181*Summary_LCIA!T$32</f>
        <v>45.153284031608706</v>
      </c>
      <c r="AY181" s="137">
        <f>$W181*AD181+$L181*Summary_LCIA!U$32</f>
        <v>0.72454138372066013</v>
      </c>
      <c r="AZ181" s="137">
        <f>$W181*AE181+$L181*Summary_LCIA!V$32</f>
        <v>6.4731086298757436E-3</v>
      </c>
      <c r="BA181" s="137">
        <f>$W181*AF181+$L181*Summary_LCIA!W$32</f>
        <v>9.8044468965078053</v>
      </c>
      <c r="BB181" s="137">
        <f>$W181*AG181+$L181*Summary_LCIA!X$32</f>
        <v>9.8805581350992089</v>
      </c>
      <c r="BC181" s="137">
        <f>$W181*AH181+$L181*Summary_LCIA!Y$32</f>
        <v>0.63414705623646483</v>
      </c>
      <c r="BD181" s="137">
        <f>$W181*AI181+$L181*Summary_LCIA!Z$32</f>
        <v>0.1716352975275853</v>
      </c>
      <c r="BE181" s="137">
        <f>$W181*AJ181+$L181*Summary_LCIA!AA$32</f>
        <v>1.4365672959992715</v>
      </c>
      <c r="BF181" s="137">
        <f>$W181*AK181+$L181*Summary_LCIA!AB$32</f>
        <v>4.394461550259228E-2</v>
      </c>
      <c r="BG181" s="137">
        <f>$W181*AL181+$L181*Summary_LCIA!AC$32</f>
        <v>2.2864905678524456E-5</v>
      </c>
      <c r="BH181" s="137">
        <f>$W181*AM181+$L181*Summary_LCIA!AD$32</f>
        <v>8.9978285564955907E-2</v>
      </c>
      <c r="BI181" s="137">
        <f>$W181*AN181+$L181*Summary_LCIA!AE$32</f>
        <v>0.271666837329259</v>
      </c>
      <c r="BJ181" s="137">
        <f>$W181*AO181+$L181*Summary_LCIA!AF$32</f>
        <v>2.7240637126737785E-2</v>
      </c>
      <c r="BK181" s="137">
        <f>$W181*AP181+$L181*Summary_LCIA!AG$32</f>
        <v>5.0642432717377846E-3</v>
      </c>
      <c r="BL181" s="137">
        <f>$W181*AQ181+$L181*Summary_LCIA!AH$32</f>
        <v>0.77828931665376899</v>
      </c>
      <c r="BM181" s="137">
        <f>$W181*AR181+$L181*Summary_LCIA!AI$32</f>
        <v>0.23040701702688743</v>
      </c>
    </row>
    <row r="182" spans="1:65" x14ac:dyDescent="0.25">
      <c r="A182" s="149">
        <v>296</v>
      </c>
      <c r="B182" s="149">
        <v>43</v>
      </c>
      <c r="C182" s="61">
        <v>40.440624999999997</v>
      </c>
      <c r="D182" s="61">
        <v>-79.995885999999999</v>
      </c>
      <c r="E182" s="61" t="s">
        <v>265</v>
      </c>
      <c r="F182" s="149">
        <v>106</v>
      </c>
      <c r="G182" s="61" t="s">
        <v>266</v>
      </c>
      <c r="H182" s="61" t="s">
        <v>669</v>
      </c>
      <c r="I182" s="61">
        <v>40.491920999999998</v>
      </c>
      <c r="J182" s="61">
        <v>-80.235223000000005</v>
      </c>
      <c r="K182" s="61">
        <v>21.391265860000001</v>
      </c>
      <c r="L182" s="61">
        <v>27.920999999999999</v>
      </c>
      <c r="M182" s="61" t="s">
        <v>617</v>
      </c>
      <c r="N182" s="149">
        <v>42</v>
      </c>
      <c r="O182" s="149">
        <v>43</v>
      </c>
      <c r="P182" s="61" t="s">
        <v>565</v>
      </c>
      <c r="Q182" s="61" t="s">
        <v>555</v>
      </c>
      <c r="R182" s="61">
        <v>40.6895314</v>
      </c>
      <c r="S182" s="61">
        <v>-74.174462399999996</v>
      </c>
      <c r="T182" s="61">
        <v>581.04700000000003</v>
      </c>
      <c r="U182" s="61" t="s">
        <v>617</v>
      </c>
      <c r="V182" s="61" t="s">
        <v>569</v>
      </c>
      <c r="W182" s="61" cm="1">
        <f t="array" ref="W182">getDistance(I182,J182,R182,S182)*SA!$B$12</f>
        <v>513.433583839015</v>
      </c>
      <c r="Y182" s="137">
        <f>Transportation_LCIA!C$61*($W182^Transportation_LCIA!C$60)+Transportation_LCIA!C$62</f>
        <v>0.32815716511039528</v>
      </c>
      <c r="Z182" s="137">
        <f>Transportation_LCIA!D$61*($W182^Transportation_LCIA!D$60)+Transportation_LCIA!D$62</f>
        <v>3.5191542163843881</v>
      </c>
      <c r="AA182" s="137">
        <f>Transportation_LCIA!E$61*($W182^Transportation_LCIA!E$60)+Transportation_LCIA!E$62</f>
        <v>1.8665206810453132E-3</v>
      </c>
      <c r="AB182" s="137">
        <f>Transportation_LCIA!F$61*($W182^Transportation_LCIA!F$60)+Transportation_LCIA!F$62</f>
        <v>0.32815716511039528</v>
      </c>
      <c r="AC182" s="137">
        <f>Transportation_LCIA!G$61*($W182^Transportation_LCIA!G$60)+Transportation_LCIA!G$62</f>
        <v>8.1967302989677859E-2</v>
      </c>
      <c r="AD182" s="137">
        <f>Transportation_LCIA!H$61*($W182^Transportation_LCIA!H$60)+Transportation_LCIA!H$62</f>
        <v>4.3698853519291556E-4</v>
      </c>
      <c r="AE182" s="137">
        <f>Transportation_LCIA!I$61*($W182^Transportation_LCIA!I$60)+Transportation_LCIA!I$62</f>
        <v>1.0010201729396875E-5</v>
      </c>
      <c r="AF182" s="137">
        <f>Transportation_LCIA!J$61*($W182^Transportation_LCIA!J$60)+Transportation_LCIA!J$62</f>
        <v>1.4910087392935532E-2</v>
      </c>
      <c r="AG182" s="137">
        <f>Transportation_LCIA!K$61*($W182^Transportation_LCIA!K$60)+Transportation_LCIA!K$62</f>
        <v>1.8005284512120634E-2</v>
      </c>
      <c r="AH182" s="137">
        <f>Transportation_LCIA!L$61*($W182^Transportation_LCIA!L$60)+Transportation_LCIA!L$62</f>
        <v>3.8774642038002372E-4</v>
      </c>
      <c r="AI182" s="137">
        <f>Transportation_LCIA!M$61*($W182^Transportation_LCIA!M$60)+Transportation_LCIA!M$62</f>
        <v>3.3205908340433346E-4</v>
      </c>
      <c r="AJ182" s="137">
        <f>Transportation_LCIA!N$61*($W182^Transportation_LCIA!N$60)+Transportation_LCIA!N$62</f>
        <v>1.5278401037459809E-3</v>
      </c>
      <c r="AK182" s="137">
        <f>Transportation_LCIA!O$61*($W182^Transportation_LCIA!O$60)+Transportation_LCIA!O$62</f>
        <v>8.6776433969231709E-5</v>
      </c>
      <c r="AL182" s="137">
        <f>Transportation_LCIA!P$61*($W182^Transportation_LCIA!P$60)+Transportation_LCIA!P$62</f>
        <v>4.187496920977748E-8</v>
      </c>
      <c r="AM182" s="137">
        <f>Transportation_LCIA!Q$61*($W182^Transportation_LCIA!Q$60)+Transportation_LCIA!Q$62</f>
        <v>1.5289540886279419E-4</v>
      </c>
      <c r="AN182" s="137">
        <f>Transportation_LCIA!R$61*($W182^Transportation_LCIA!R$60)+Transportation_LCIA!R$62</f>
        <v>4.8092919779996581E-4</v>
      </c>
      <c r="AO182" s="137">
        <f>Transportation_LCIA!S$61*($W182^Transportation_LCIA!S$60)+Transportation_LCIA!S$62</f>
        <v>7.081081996143308E-6</v>
      </c>
      <c r="AP182" s="137">
        <f>Transportation_LCIA!T$61*($W182^Transportation_LCIA!T$60)+Transportation_LCIA!T$62</f>
        <v>7.081081996143308E-6</v>
      </c>
      <c r="AQ182" s="137">
        <f>Transportation_LCIA!U$61*($W182^Transportation_LCIA!U$60)+Transportation_LCIA!U$62</f>
        <v>1.0425420500377758E-3</v>
      </c>
      <c r="AR182" s="137">
        <f>Transportation_LCIA!V$61*($W182^Transportation_LCIA!V$60)+Transportation_LCIA!V$62</f>
        <v>3.9809863614409633E-4</v>
      </c>
      <c r="AT182" s="137">
        <f>$W182*Y182+$L182*Summary_LCIA!H$32</f>
        <v>177.97446514508161</v>
      </c>
      <c r="AU182" s="137">
        <f>$W182*Z182+$L182*Summary_LCIA!Q$32</f>
        <v>1945.2298455402099</v>
      </c>
      <c r="AV182" s="137">
        <f>$W182*AA182+$L182*Summary_LCIA!R$32</f>
        <v>1.1053552201787342</v>
      </c>
      <c r="AW182" s="137">
        <f>$W182*AB182+$L182*Summary_LCIA!S$32</f>
        <v>177.85105432508161</v>
      </c>
      <c r="AX182" s="137">
        <f>$W182*AC182+$L182*Summary_LCIA!T$32</f>
        <v>45.153284031608706</v>
      </c>
      <c r="AY182" s="137">
        <f>$W182*AD182+$L182*Summary_LCIA!U$32</f>
        <v>0.72454138372066013</v>
      </c>
      <c r="AZ182" s="137">
        <f>$W182*AE182+$L182*Summary_LCIA!V$32</f>
        <v>6.4731086298757436E-3</v>
      </c>
      <c r="BA182" s="137">
        <f>$W182*AF182+$L182*Summary_LCIA!W$32</f>
        <v>9.8044468965078053</v>
      </c>
      <c r="BB182" s="137">
        <f>$W182*AG182+$L182*Summary_LCIA!X$32</f>
        <v>9.8805581350992089</v>
      </c>
      <c r="BC182" s="137">
        <f>$W182*AH182+$L182*Summary_LCIA!Y$32</f>
        <v>0.63414705623646483</v>
      </c>
      <c r="BD182" s="137">
        <f>$W182*AI182+$L182*Summary_LCIA!Z$32</f>
        <v>0.1716352975275853</v>
      </c>
      <c r="BE182" s="137">
        <f>$W182*AJ182+$L182*Summary_LCIA!AA$32</f>
        <v>1.4365672959992715</v>
      </c>
      <c r="BF182" s="137">
        <f>$W182*AK182+$L182*Summary_LCIA!AB$32</f>
        <v>4.394461550259228E-2</v>
      </c>
      <c r="BG182" s="137">
        <f>$W182*AL182+$L182*Summary_LCIA!AC$32</f>
        <v>2.2864905678524456E-5</v>
      </c>
      <c r="BH182" s="137">
        <f>$W182*AM182+$L182*Summary_LCIA!AD$32</f>
        <v>8.9978285564955907E-2</v>
      </c>
      <c r="BI182" s="137">
        <f>$W182*AN182+$L182*Summary_LCIA!AE$32</f>
        <v>0.271666837329259</v>
      </c>
      <c r="BJ182" s="137">
        <f>$W182*AO182+$L182*Summary_LCIA!AF$32</f>
        <v>2.7240637126737785E-2</v>
      </c>
      <c r="BK182" s="137">
        <f>$W182*AP182+$L182*Summary_LCIA!AG$32</f>
        <v>5.0642432717377846E-3</v>
      </c>
      <c r="BL182" s="137">
        <f>$W182*AQ182+$L182*Summary_LCIA!AH$32</f>
        <v>0.77828931665376899</v>
      </c>
      <c r="BM182" s="137">
        <f>$W182*AR182+$L182*Summary_LCIA!AI$32</f>
        <v>0.23040701702688743</v>
      </c>
    </row>
    <row r="183" spans="1:65" x14ac:dyDescent="0.25">
      <c r="A183" s="149">
        <v>297</v>
      </c>
      <c r="B183" s="149">
        <v>43</v>
      </c>
      <c r="C183" s="61">
        <v>40.440624999999997</v>
      </c>
      <c r="D183" s="61">
        <v>-79.995885999999999</v>
      </c>
      <c r="E183" s="61" t="s">
        <v>265</v>
      </c>
      <c r="F183" s="149">
        <v>106</v>
      </c>
      <c r="G183" s="61" t="s">
        <v>266</v>
      </c>
      <c r="H183" s="61" t="s">
        <v>669</v>
      </c>
      <c r="I183" s="61">
        <v>40.491920999999998</v>
      </c>
      <c r="J183" s="61">
        <v>-80.235223000000005</v>
      </c>
      <c r="K183" s="61">
        <v>21.391265860000001</v>
      </c>
      <c r="L183" s="61">
        <v>27.920999999999999</v>
      </c>
      <c r="M183" s="61" t="s">
        <v>617</v>
      </c>
      <c r="N183" s="149">
        <v>42</v>
      </c>
      <c r="O183" s="149">
        <v>43</v>
      </c>
      <c r="P183" s="61" t="s">
        <v>565</v>
      </c>
      <c r="Q183" s="61" t="s">
        <v>555</v>
      </c>
      <c r="R183" s="61">
        <v>40.6895314</v>
      </c>
      <c r="S183" s="61">
        <v>-74.174462399999996</v>
      </c>
      <c r="T183" s="61">
        <v>581.04700000000003</v>
      </c>
      <c r="U183" s="61" t="s">
        <v>617</v>
      </c>
      <c r="V183" s="61" t="s">
        <v>569</v>
      </c>
      <c r="W183" s="61" cm="1">
        <f t="array" ref="W183">getDistance(I183,J183,R183,S183)*SA!$B$12</f>
        <v>513.433583839015</v>
      </c>
      <c r="Y183" s="137">
        <f>Transportation_LCIA!C$61*($W183^Transportation_LCIA!C$60)+Transportation_LCIA!C$62</f>
        <v>0.32815716511039528</v>
      </c>
      <c r="Z183" s="137">
        <f>Transportation_LCIA!D$61*($W183^Transportation_LCIA!D$60)+Transportation_LCIA!D$62</f>
        <v>3.5191542163843881</v>
      </c>
      <c r="AA183" s="137">
        <f>Transportation_LCIA!E$61*($W183^Transportation_LCIA!E$60)+Transportation_LCIA!E$62</f>
        <v>1.8665206810453132E-3</v>
      </c>
      <c r="AB183" s="137">
        <f>Transportation_LCIA!F$61*($W183^Transportation_LCIA!F$60)+Transportation_LCIA!F$62</f>
        <v>0.32815716511039528</v>
      </c>
      <c r="AC183" s="137">
        <f>Transportation_LCIA!G$61*($W183^Transportation_LCIA!G$60)+Transportation_LCIA!G$62</f>
        <v>8.1967302989677859E-2</v>
      </c>
      <c r="AD183" s="137">
        <f>Transportation_LCIA!H$61*($W183^Transportation_LCIA!H$60)+Transportation_LCIA!H$62</f>
        <v>4.3698853519291556E-4</v>
      </c>
      <c r="AE183" s="137">
        <f>Transportation_LCIA!I$61*($W183^Transportation_LCIA!I$60)+Transportation_LCIA!I$62</f>
        <v>1.0010201729396875E-5</v>
      </c>
      <c r="AF183" s="137">
        <f>Transportation_LCIA!J$61*($W183^Transportation_LCIA!J$60)+Transportation_LCIA!J$62</f>
        <v>1.4910087392935532E-2</v>
      </c>
      <c r="AG183" s="137">
        <f>Transportation_LCIA!K$61*($W183^Transportation_LCIA!K$60)+Transportation_LCIA!K$62</f>
        <v>1.8005284512120634E-2</v>
      </c>
      <c r="AH183" s="137">
        <f>Transportation_LCIA!L$61*($W183^Transportation_LCIA!L$60)+Transportation_LCIA!L$62</f>
        <v>3.8774642038002372E-4</v>
      </c>
      <c r="AI183" s="137">
        <f>Transportation_LCIA!M$61*($W183^Transportation_LCIA!M$60)+Transportation_LCIA!M$62</f>
        <v>3.3205908340433346E-4</v>
      </c>
      <c r="AJ183" s="137">
        <f>Transportation_LCIA!N$61*($W183^Transportation_LCIA!N$60)+Transportation_LCIA!N$62</f>
        <v>1.5278401037459809E-3</v>
      </c>
      <c r="AK183" s="137">
        <f>Transportation_LCIA!O$61*($W183^Transportation_LCIA!O$60)+Transportation_LCIA!O$62</f>
        <v>8.6776433969231709E-5</v>
      </c>
      <c r="AL183" s="137">
        <f>Transportation_LCIA!P$61*($W183^Transportation_LCIA!P$60)+Transportation_LCIA!P$62</f>
        <v>4.187496920977748E-8</v>
      </c>
      <c r="AM183" s="137">
        <f>Transportation_LCIA!Q$61*($W183^Transportation_LCIA!Q$60)+Transportation_LCIA!Q$62</f>
        <v>1.5289540886279419E-4</v>
      </c>
      <c r="AN183" s="137">
        <f>Transportation_LCIA!R$61*($W183^Transportation_LCIA!R$60)+Transportation_LCIA!R$62</f>
        <v>4.8092919779996581E-4</v>
      </c>
      <c r="AO183" s="137">
        <f>Transportation_LCIA!S$61*($W183^Transportation_LCIA!S$60)+Transportation_LCIA!S$62</f>
        <v>7.081081996143308E-6</v>
      </c>
      <c r="AP183" s="137">
        <f>Transportation_LCIA!T$61*($W183^Transportation_LCIA!T$60)+Transportation_LCIA!T$62</f>
        <v>7.081081996143308E-6</v>
      </c>
      <c r="AQ183" s="137">
        <f>Transportation_LCIA!U$61*($W183^Transportation_LCIA!U$60)+Transportation_LCIA!U$62</f>
        <v>1.0425420500377758E-3</v>
      </c>
      <c r="AR183" s="137">
        <f>Transportation_LCIA!V$61*($W183^Transportation_LCIA!V$60)+Transportation_LCIA!V$62</f>
        <v>3.9809863614409633E-4</v>
      </c>
      <c r="AT183" s="137">
        <f>$W183*Y183+$L183*Summary_LCIA!H$32</f>
        <v>177.97446514508161</v>
      </c>
      <c r="AU183" s="137">
        <f>$W183*Z183+$L183*Summary_LCIA!Q$32</f>
        <v>1945.2298455402099</v>
      </c>
      <c r="AV183" s="137">
        <f>$W183*AA183+$L183*Summary_LCIA!R$32</f>
        <v>1.1053552201787342</v>
      </c>
      <c r="AW183" s="137">
        <f>$W183*AB183+$L183*Summary_LCIA!S$32</f>
        <v>177.85105432508161</v>
      </c>
      <c r="AX183" s="137">
        <f>$W183*AC183+$L183*Summary_LCIA!T$32</f>
        <v>45.153284031608706</v>
      </c>
      <c r="AY183" s="137">
        <f>$W183*AD183+$L183*Summary_LCIA!U$32</f>
        <v>0.72454138372066013</v>
      </c>
      <c r="AZ183" s="137">
        <f>$W183*AE183+$L183*Summary_LCIA!V$32</f>
        <v>6.4731086298757436E-3</v>
      </c>
      <c r="BA183" s="137">
        <f>$W183*AF183+$L183*Summary_LCIA!W$32</f>
        <v>9.8044468965078053</v>
      </c>
      <c r="BB183" s="137">
        <f>$W183*AG183+$L183*Summary_LCIA!X$32</f>
        <v>9.8805581350992089</v>
      </c>
      <c r="BC183" s="137">
        <f>$W183*AH183+$L183*Summary_LCIA!Y$32</f>
        <v>0.63414705623646483</v>
      </c>
      <c r="BD183" s="137">
        <f>$W183*AI183+$L183*Summary_LCIA!Z$32</f>
        <v>0.1716352975275853</v>
      </c>
      <c r="BE183" s="137">
        <f>$W183*AJ183+$L183*Summary_LCIA!AA$32</f>
        <v>1.4365672959992715</v>
      </c>
      <c r="BF183" s="137">
        <f>$W183*AK183+$L183*Summary_LCIA!AB$32</f>
        <v>4.394461550259228E-2</v>
      </c>
      <c r="BG183" s="137">
        <f>$W183*AL183+$L183*Summary_LCIA!AC$32</f>
        <v>2.2864905678524456E-5</v>
      </c>
      <c r="BH183" s="137">
        <f>$W183*AM183+$L183*Summary_LCIA!AD$32</f>
        <v>8.9978285564955907E-2</v>
      </c>
      <c r="BI183" s="137">
        <f>$W183*AN183+$L183*Summary_LCIA!AE$32</f>
        <v>0.271666837329259</v>
      </c>
      <c r="BJ183" s="137">
        <f>$W183*AO183+$L183*Summary_LCIA!AF$32</f>
        <v>2.7240637126737785E-2</v>
      </c>
      <c r="BK183" s="137">
        <f>$W183*AP183+$L183*Summary_LCIA!AG$32</f>
        <v>5.0642432717377846E-3</v>
      </c>
      <c r="BL183" s="137">
        <f>$W183*AQ183+$L183*Summary_LCIA!AH$32</f>
        <v>0.77828931665376899</v>
      </c>
      <c r="BM183" s="137">
        <f>$W183*AR183+$L183*Summary_LCIA!AI$32</f>
        <v>0.23040701702688743</v>
      </c>
    </row>
    <row r="184" spans="1:65" x14ac:dyDescent="0.25">
      <c r="A184" s="149">
        <v>298</v>
      </c>
      <c r="B184" s="149">
        <v>43</v>
      </c>
      <c r="C184" s="61">
        <v>40.440624999999997</v>
      </c>
      <c r="D184" s="61">
        <v>-79.995885999999999</v>
      </c>
      <c r="E184" s="61" t="s">
        <v>265</v>
      </c>
      <c r="F184" s="149">
        <v>106</v>
      </c>
      <c r="G184" s="61" t="s">
        <v>266</v>
      </c>
      <c r="H184" s="61" t="s">
        <v>669</v>
      </c>
      <c r="I184" s="61">
        <v>40.491920999999998</v>
      </c>
      <c r="J184" s="61">
        <v>-80.235223000000005</v>
      </c>
      <c r="K184" s="61">
        <v>21.391265860000001</v>
      </c>
      <c r="L184" s="61">
        <v>27.920999999999999</v>
      </c>
      <c r="M184" s="61" t="s">
        <v>617</v>
      </c>
      <c r="N184" s="149">
        <v>42</v>
      </c>
      <c r="O184" s="149">
        <v>43</v>
      </c>
      <c r="P184" s="61" t="s">
        <v>565</v>
      </c>
      <c r="Q184" s="61" t="s">
        <v>555</v>
      </c>
      <c r="R184" s="61">
        <v>40.6895314</v>
      </c>
      <c r="S184" s="61">
        <v>-74.174462399999996</v>
      </c>
      <c r="T184" s="61">
        <v>581.04700000000003</v>
      </c>
      <c r="U184" s="61" t="s">
        <v>617</v>
      </c>
      <c r="V184" s="61" t="s">
        <v>569</v>
      </c>
      <c r="W184" s="61" cm="1">
        <f t="array" ref="W184">getDistance(I184,J184,R184,S184)*SA!$B$12</f>
        <v>513.433583839015</v>
      </c>
      <c r="Y184" s="137">
        <f>Transportation_LCIA!C$61*($W184^Transportation_LCIA!C$60)+Transportation_LCIA!C$62</f>
        <v>0.32815716511039528</v>
      </c>
      <c r="Z184" s="137">
        <f>Transportation_LCIA!D$61*($W184^Transportation_LCIA!D$60)+Transportation_LCIA!D$62</f>
        <v>3.5191542163843881</v>
      </c>
      <c r="AA184" s="137">
        <f>Transportation_LCIA!E$61*($W184^Transportation_LCIA!E$60)+Transportation_LCIA!E$62</f>
        <v>1.8665206810453132E-3</v>
      </c>
      <c r="AB184" s="137">
        <f>Transportation_LCIA!F$61*($W184^Transportation_LCIA!F$60)+Transportation_LCIA!F$62</f>
        <v>0.32815716511039528</v>
      </c>
      <c r="AC184" s="137">
        <f>Transportation_LCIA!G$61*($W184^Transportation_LCIA!G$60)+Transportation_LCIA!G$62</f>
        <v>8.1967302989677859E-2</v>
      </c>
      <c r="AD184" s="137">
        <f>Transportation_LCIA!H$61*($W184^Transportation_LCIA!H$60)+Transportation_LCIA!H$62</f>
        <v>4.3698853519291556E-4</v>
      </c>
      <c r="AE184" s="137">
        <f>Transportation_LCIA!I$61*($W184^Transportation_LCIA!I$60)+Transportation_LCIA!I$62</f>
        <v>1.0010201729396875E-5</v>
      </c>
      <c r="AF184" s="137">
        <f>Transportation_LCIA!J$61*($W184^Transportation_LCIA!J$60)+Transportation_LCIA!J$62</f>
        <v>1.4910087392935532E-2</v>
      </c>
      <c r="AG184" s="137">
        <f>Transportation_LCIA!K$61*($W184^Transportation_LCIA!K$60)+Transportation_LCIA!K$62</f>
        <v>1.8005284512120634E-2</v>
      </c>
      <c r="AH184" s="137">
        <f>Transportation_LCIA!L$61*($W184^Transportation_LCIA!L$60)+Transportation_LCIA!L$62</f>
        <v>3.8774642038002372E-4</v>
      </c>
      <c r="AI184" s="137">
        <f>Transportation_LCIA!M$61*($W184^Transportation_LCIA!M$60)+Transportation_LCIA!M$62</f>
        <v>3.3205908340433346E-4</v>
      </c>
      <c r="AJ184" s="137">
        <f>Transportation_LCIA!N$61*($W184^Transportation_LCIA!N$60)+Transportation_LCIA!N$62</f>
        <v>1.5278401037459809E-3</v>
      </c>
      <c r="AK184" s="137">
        <f>Transportation_LCIA!O$61*($W184^Transportation_LCIA!O$60)+Transportation_LCIA!O$62</f>
        <v>8.6776433969231709E-5</v>
      </c>
      <c r="AL184" s="137">
        <f>Transportation_LCIA!P$61*($W184^Transportation_LCIA!P$60)+Transportation_LCIA!P$62</f>
        <v>4.187496920977748E-8</v>
      </c>
      <c r="AM184" s="137">
        <f>Transportation_LCIA!Q$61*($W184^Transportation_LCIA!Q$60)+Transportation_LCIA!Q$62</f>
        <v>1.5289540886279419E-4</v>
      </c>
      <c r="AN184" s="137">
        <f>Transportation_LCIA!R$61*($W184^Transportation_LCIA!R$60)+Transportation_LCIA!R$62</f>
        <v>4.8092919779996581E-4</v>
      </c>
      <c r="AO184" s="137">
        <f>Transportation_LCIA!S$61*($W184^Transportation_LCIA!S$60)+Transportation_LCIA!S$62</f>
        <v>7.081081996143308E-6</v>
      </c>
      <c r="AP184" s="137">
        <f>Transportation_LCIA!T$61*($W184^Transportation_LCIA!T$60)+Transportation_LCIA!T$62</f>
        <v>7.081081996143308E-6</v>
      </c>
      <c r="AQ184" s="137">
        <f>Transportation_LCIA!U$61*($W184^Transportation_LCIA!U$60)+Transportation_LCIA!U$62</f>
        <v>1.0425420500377758E-3</v>
      </c>
      <c r="AR184" s="137">
        <f>Transportation_LCIA!V$61*($W184^Transportation_LCIA!V$60)+Transportation_LCIA!V$62</f>
        <v>3.9809863614409633E-4</v>
      </c>
      <c r="AT184" s="137">
        <f>$W184*Y184+$L184*Summary_LCIA!H$32</f>
        <v>177.97446514508161</v>
      </c>
      <c r="AU184" s="137">
        <f>$W184*Z184+$L184*Summary_LCIA!Q$32</f>
        <v>1945.2298455402099</v>
      </c>
      <c r="AV184" s="137">
        <f>$W184*AA184+$L184*Summary_LCIA!R$32</f>
        <v>1.1053552201787342</v>
      </c>
      <c r="AW184" s="137">
        <f>$W184*AB184+$L184*Summary_LCIA!S$32</f>
        <v>177.85105432508161</v>
      </c>
      <c r="AX184" s="137">
        <f>$W184*AC184+$L184*Summary_LCIA!T$32</f>
        <v>45.153284031608706</v>
      </c>
      <c r="AY184" s="137">
        <f>$W184*AD184+$L184*Summary_LCIA!U$32</f>
        <v>0.72454138372066013</v>
      </c>
      <c r="AZ184" s="137">
        <f>$W184*AE184+$L184*Summary_LCIA!V$32</f>
        <v>6.4731086298757436E-3</v>
      </c>
      <c r="BA184" s="137">
        <f>$W184*AF184+$L184*Summary_LCIA!W$32</f>
        <v>9.8044468965078053</v>
      </c>
      <c r="BB184" s="137">
        <f>$W184*AG184+$L184*Summary_LCIA!X$32</f>
        <v>9.8805581350992089</v>
      </c>
      <c r="BC184" s="137">
        <f>$W184*AH184+$L184*Summary_LCIA!Y$32</f>
        <v>0.63414705623646483</v>
      </c>
      <c r="BD184" s="137">
        <f>$W184*AI184+$L184*Summary_LCIA!Z$32</f>
        <v>0.1716352975275853</v>
      </c>
      <c r="BE184" s="137">
        <f>$W184*AJ184+$L184*Summary_LCIA!AA$32</f>
        <v>1.4365672959992715</v>
      </c>
      <c r="BF184" s="137">
        <f>$W184*AK184+$L184*Summary_LCIA!AB$32</f>
        <v>4.394461550259228E-2</v>
      </c>
      <c r="BG184" s="137">
        <f>$W184*AL184+$L184*Summary_LCIA!AC$32</f>
        <v>2.2864905678524456E-5</v>
      </c>
      <c r="BH184" s="137">
        <f>$W184*AM184+$L184*Summary_LCIA!AD$32</f>
        <v>8.9978285564955907E-2</v>
      </c>
      <c r="BI184" s="137">
        <f>$W184*AN184+$L184*Summary_LCIA!AE$32</f>
        <v>0.271666837329259</v>
      </c>
      <c r="BJ184" s="137">
        <f>$W184*AO184+$L184*Summary_LCIA!AF$32</f>
        <v>2.7240637126737785E-2</v>
      </c>
      <c r="BK184" s="137">
        <f>$W184*AP184+$L184*Summary_LCIA!AG$32</f>
        <v>5.0642432717377846E-3</v>
      </c>
      <c r="BL184" s="137">
        <f>$W184*AQ184+$L184*Summary_LCIA!AH$32</f>
        <v>0.77828931665376899</v>
      </c>
      <c r="BM184" s="137">
        <f>$W184*AR184+$L184*Summary_LCIA!AI$32</f>
        <v>0.23040701702688743</v>
      </c>
    </row>
    <row r="185" spans="1:65" x14ac:dyDescent="0.25">
      <c r="A185" s="149">
        <v>299</v>
      </c>
      <c r="B185" s="149">
        <v>43</v>
      </c>
      <c r="C185" s="61">
        <v>40.440624999999997</v>
      </c>
      <c r="D185" s="61">
        <v>-79.995885999999999</v>
      </c>
      <c r="E185" s="61" t="s">
        <v>265</v>
      </c>
      <c r="F185" s="149">
        <v>106</v>
      </c>
      <c r="G185" s="61" t="s">
        <v>266</v>
      </c>
      <c r="H185" s="61" t="s">
        <v>669</v>
      </c>
      <c r="I185" s="61">
        <v>40.491920999999998</v>
      </c>
      <c r="J185" s="61">
        <v>-80.235223000000005</v>
      </c>
      <c r="K185" s="61">
        <v>21.391265860000001</v>
      </c>
      <c r="L185" s="61">
        <v>27.920999999999999</v>
      </c>
      <c r="M185" s="61" t="s">
        <v>617</v>
      </c>
      <c r="N185" s="149">
        <v>42</v>
      </c>
      <c r="O185" s="149">
        <v>43</v>
      </c>
      <c r="P185" s="61" t="s">
        <v>565</v>
      </c>
      <c r="Q185" s="61" t="s">
        <v>555</v>
      </c>
      <c r="R185" s="61">
        <v>40.6895314</v>
      </c>
      <c r="S185" s="61">
        <v>-74.174462399999996</v>
      </c>
      <c r="T185" s="61">
        <v>581.04700000000003</v>
      </c>
      <c r="U185" s="61" t="s">
        <v>617</v>
      </c>
      <c r="V185" s="61" t="s">
        <v>569</v>
      </c>
      <c r="W185" s="61" cm="1">
        <f t="array" ref="W185">getDistance(I185,J185,R185,S185)*SA!$B$12</f>
        <v>513.433583839015</v>
      </c>
      <c r="Y185" s="137">
        <f>Transportation_LCIA!C$61*($W185^Transportation_LCIA!C$60)+Transportation_LCIA!C$62</f>
        <v>0.32815716511039528</v>
      </c>
      <c r="Z185" s="137">
        <f>Transportation_LCIA!D$61*($W185^Transportation_LCIA!D$60)+Transportation_LCIA!D$62</f>
        <v>3.5191542163843881</v>
      </c>
      <c r="AA185" s="137">
        <f>Transportation_LCIA!E$61*($W185^Transportation_LCIA!E$60)+Transportation_LCIA!E$62</f>
        <v>1.8665206810453132E-3</v>
      </c>
      <c r="AB185" s="137">
        <f>Transportation_LCIA!F$61*($W185^Transportation_LCIA!F$60)+Transportation_LCIA!F$62</f>
        <v>0.32815716511039528</v>
      </c>
      <c r="AC185" s="137">
        <f>Transportation_LCIA!G$61*($W185^Transportation_LCIA!G$60)+Transportation_LCIA!G$62</f>
        <v>8.1967302989677859E-2</v>
      </c>
      <c r="AD185" s="137">
        <f>Transportation_LCIA!H$61*($W185^Transportation_LCIA!H$60)+Transportation_LCIA!H$62</f>
        <v>4.3698853519291556E-4</v>
      </c>
      <c r="AE185" s="137">
        <f>Transportation_LCIA!I$61*($W185^Transportation_LCIA!I$60)+Transportation_LCIA!I$62</f>
        <v>1.0010201729396875E-5</v>
      </c>
      <c r="AF185" s="137">
        <f>Transportation_LCIA!J$61*($W185^Transportation_LCIA!J$60)+Transportation_LCIA!J$62</f>
        <v>1.4910087392935532E-2</v>
      </c>
      <c r="AG185" s="137">
        <f>Transportation_LCIA!K$61*($W185^Transportation_LCIA!K$60)+Transportation_LCIA!K$62</f>
        <v>1.8005284512120634E-2</v>
      </c>
      <c r="AH185" s="137">
        <f>Transportation_LCIA!L$61*($W185^Transportation_LCIA!L$60)+Transportation_LCIA!L$62</f>
        <v>3.8774642038002372E-4</v>
      </c>
      <c r="AI185" s="137">
        <f>Transportation_LCIA!M$61*($W185^Transportation_LCIA!M$60)+Transportation_LCIA!M$62</f>
        <v>3.3205908340433346E-4</v>
      </c>
      <c r="AJ185" s="137">
        <f>Transportation_LCIA!N$61*($W185^Transportation_LCIA!N$60)+Transportation_LCIA!N$62</f>
        <v>1.5278401037459809E-3</v>
      </c>
      <c r="AK185" s="137">
        <f>Transportation_LCIA!O$61*($W185^Transportation_LCIA!O$60)+Transportation_LCIA!O$62</f>
        <v>8.6776433969231709E-5</v>
      </c>
      <c r="AL185" s="137">
        <f>Transportation_LCIA!P$61*($W185^Transportation_LCIA!P$60)+Transportation_LCIA!P$62</f>
        <v>4.187496920977748E-8</v>
      </c>
      <c r="AM185" s="137">
        <f>Transportation_LCIA!Q$61*($W185^Transportation_LCIA!Q$60)+Transportation_LCIA!Q$62</f>
        <v>1.5289540886279419E-4</v>
      </c>
      <c r="AN185" s="137">
        <f>Transportation_LCIA!R$61*($W185^Transportation_LCIA!R$60)+Transportation_LCIA!R$62</f>
        <v>4.8092919779996581E-4</v>
      </c>
      <c r="AO185" s="137">
        <f>Transportation_LCIA!S$61*($W185^Transportation_LCIA!S$60)+Transportation_LCIA!S$62</f>
        <v>7.081081996143308E-6</v>
      </c>
      <c r="AP185" s="137">
        <f>Transportation_LCIA!T$61*($W185^Transportation_LCIA!T$60)+Transportation_LCIA!T$62</f>
        <v>7.081081996143308E-6</v>
      </c>
      <c r="AQ185" s="137">
        <f>Transportation_LCIA!U$61*($W185^Transportation_LCIA!U$60)+Transportation_LCIA!U$62</f>
        <v>1.0425420500377758E-3</v>
      </c>
      <c r="AR185" s="137">
        <f>Transportation_LCIA!V$61*($W185^Transportation_LCIA!V$60)+Transportation_LCIA!V$62</f>
        <v>3.9809863614409633E-4</v>
      </c>
      <c r="AT185" s="137">
        <f>$W185*Y185+$L185*Summary_LCIA!H$32</f>
        <v>177.97446514508161</v>
      </c>
      <c r="AU185" s="137">
        <f>$W185*Z185+$L185*Summary_LCIA!Q$32</f>
        <v>1945.2298455402099</v>
      </c>
      <c r="AV185" s="137">
        <f>$W185*AA185+$L185*Summary_LCIA!R$32</f>
        <v>1.1053552201787342</v>
      </c>
      <c r="AW185" s="137">
        <f>$W185*AB185+$L185*Summary_LCIA!S$32</f>
        <v>177.85105432508161</v>
      </c>
      <c r="AX185" s="137">
        <f>$W185*AC185+$L185*Summary_LCIA!T$32</f>
        <v>45.153284031608706</v>
      </c>
      <c r="AY185" s="137">
        <f>$W185*AD185+$L185*Summary_LCIA!U$32</f>
        <v>0.72454138372066013</v>
      </c>
      <c r="AZ185" s="137">
        <f>$W185*AE185+$L185*Summary_LCIA!V$32</f>
        <v>6.4731086298757436E-3</v>
      </c>
      <c r="BA185" s="137">
        <f>$W185*AF185+$L185*Summary_LCIA!W$32</f>
        <v>9.8044468965078053</v>
      </c>
      <c r="BB185" s="137">
        <f>$W185*AG185+$L185*Summary_LCIA!X$32</f>
        <v>9.8805581350992089</v>
      </c>
      <c r="BC185" s="137">
        <f>$W185*AH185+$L185*Summary_LCIA!Y$32</f>
        <v>0.63414705623646483</v>
      </c>
      <c r="BD185" s="137">
        <f>$W185*AI185+$L185*Summary_LCIA!Z$32</f>
        <v>0.1716352975275853</v>
      </c>
      <c r="BE185" s="137">
        <f>$W185*AJ185+$L185*Summary_LCIA!AA$32</f>
        <v>1.4365672959992715</v>
      </c>
      <c r="BF185" s="137">
        <f>$W185*AK185+$L185*Summary_LCIA!AB$32</f>
        <v>4.394461550259228E-2</v>
      </c>
      <c r="BG185" s="137">
        <f>$W185*AL185+$L185*Summary_LCIA!AC$32</f>
        <v>2.2864905678524456E-5</v>
      </c>
      <c r="BH185" s="137">
        <f>$W185*AM185+$L185*Summary_LCIA!AD$32</f>
        <v>8.9978285564955907E-2</v>
      </c>
      <c r="BI185" s="137">
        <f>$W185*AN185+$L185*Summary_LCIA!AE$32</f>
        <v>0.271666837329259</v>
      </c>
      <c r="BJ185" s="137">
        <f>$W185*AO185+$L185*Summary_LCIA!AF$32</f>
        <v>2.7240637126737785E-2</v>
      </c>
      <c r="BK185" s="137">
        <f>$W185*AP185+$L185*Summary_LCIA!AG$32</f>
        <v>5.0642432717377846E-3</v>
      </c>
      <c r="BL185" s="137">
        <f>$W185*AQ185+$L185*Summary_LCIA!AH$32</f>
        <v>0.77828931665376899</v>
      </c>
      <c r="BM185" s="137">
        <f>$W185*AR185+$L185*Summary_LCIA!AI$32</f>
        <v>0.23040701702688743</v>
      </c>
    </row>
    <row r="186" spans="1:65" x14ac:dyDescent="0.25">
      <c r="A186" s="149">
        <v>300</v>
      </c>
      <c r="B186" s="149">
        <v>43</v>
      </c>
      <c r="C186" s="61">
        <v>40.440624999999997</v>
      </c>
      <c r="D186" s="61">
        <v>-79.995885999999999</v>
      </c>
      <c r="E186" s="61" t="s">
        <v>265</v>
      </c>
      <c r="F186" s="149">
        <v>106</v>
      </c>
      <c r="G186" s="61" t="s">
        <v>266</v>
      </c>
      <c r="H186" s="61" t="s">
        <v>669</v>
      </c>
      <c r="I186" s="61">
        <v>40.491920999999998</v>
      </c>
      <c r="J186" s="61">
        <v>-80.235223000000005</v>
      </c>
      <c r="K186" s="61">
        <v>21.391265860000001</v>
      </c>
      <c r="L186" s="61">
        <v>27.920999999999999</v>
      </c>
      <c r="M186" s="61" t="s">
        <v>617</v>
      </c>
      <c r="N186" s="149">
        <v>42</v>
      </c>
      <c r="O186" s="149">
        <v>43</v>
      </c>
      <c r="P186" s="61" t="s">
        <v>565</v>
      </c>
      <c r="Q186" s="61" t="s">
        <v>555</v>
      </c>
      <c r="R186" s="61">
        <v>40.6895314</v>
      </c>
      <c r="S186" s="61">
        <v>-74.174462399999996</v>
      </c>
      <c r="T186" s="61">
        <v>581.04700000000003</v>
      </c>
      <c r="U186" s="61" t="s">
        <v>617</v>
      </c>
      <c r="V186" s="61" t="s">
        <v>569</v>
      </c>
      <c r="W186" s="61" cm="1">
        <f t="array" ref="W186">getDistance(I186,J186,R186,S186)*SA!$B$12</f>
        <v>513.433583839015</v>
      </c>
      <c r="Y186" s="137">
        <f>Transportation_LCIA!C$61*($W186^Transportation_LCIA!C$60)+Transportation_LCIA!C$62</f>
        <v>0.32815716511039528</v>
      </c>
      <c r="Z186" s="137">
        <f>Transportation_LCIA!D$61*($W186^Transportation_LCIA!D$60)+Transportation_LCIA!D$62</f>
        <v>3.5191542163843881</v>
      </c>
      <c r="AA186" s="137">
        <f>Transportation_LCIA!E$61*($W186^Transportation_LCIA!E$60)+Transportation_LCIA!E$62</f>
        <v>1.8665206810453132E-3</v>
      </c>
      <c r="AB186" s="137">
        <f>Transportation_LCIA!F$61*($W186^Transportation_LCIA!F$60)+Transportation_LCIA!F$62</f>
        <v>0.32815716511039528</v>
      </c>
      <c r="AC186" s="137">
        <f>Transportation_LCIA!G$61*($W186^Transportation_LCIA!G$60)+Transportation_LCIA!G$62</f>
        <v>8.1967302989677859E-2</v>
      </c>
      <c r="AD186" s="137">
        <f>Transportation_LCIA!H$61*($W186^Transportation_LCIA!H$60)+Transportation_LCIA!H$62</f>
        <v>4.3698853519291556E-4</v>
      </c>
      <c r="AE186" s="137">
        <f>Transportation_LCIA!I$61*($W186^Transportation_LCIA!I$60)+Transportation_LCIA!I$62</f>
        <v>1.0010201729396875E-5</v>
      </c>
      <c r="AF186" s="137">
        <f>Transportation_LCIA!J$61*($W186^Transportation_LCIA!J$60)+Transportation_LCIA!J$62</f>
        <v>1.4910087392935532E-2</v>
      </c>
      <c r="AG186" s="137">
        <f>Transportation_LCIA!K$61*($W186^Transportation_LCIA!K$60)+Transportation_LCIA!K$62</f>
        <v>1.8005284512120634E-2</v>
      </c>
      <c r="AH186" s="137">
        <f>Transportation_LCIA!L$61*($W186^Transportation_LCIA!L$60)+Transportation_LCIA!L$62</f>
        <v>3.8774642038002372E-4</v>
      </c>
      <c r="AI186" s="137">
        <f>Transportation_LCIA!M$61*($W186^Transportation_LCIA!M$60)+Transportation_LCIA!M$62</f>
        <v>3.3205908340433346E-4</v>
      </c>
      <c r="AJ186" s="137">
        <f>Transportation_LCIA!N$61*($W186^Transportation_LCIA!N$60)+Transportation_LCIA!N$62</f>
        <v>1.5278401037459809E-3</v>
      </c>
      <c r="AK186" s="137">
        <f>Transportation_LCIA!O$61*($W186^Transportation_LCIA!O$60)+Transportation_LCIA!O$62</f>
        <v>8.6776433969231709E-5</v>
      </c>
      <c r="AL186" s="137">
        <f>Transportation_LCIA!P$61*($W186^Transportation_LCIA!P$60)+Transportation_LCIA!P$62</f>
        <v>4.187496920977748E-8</v>
      </c>
      <c r="AM186" s="137">
        <f>Transportation_LCIA!Q$61*($W186^Transportation_LCIA!Q$60)+Transportation_LCIA!Q$62</f>
        <v>1.5289540886279419E-4</v>
      </c>
      <c r="AN186" s="137">
        <f>Transportation_LCIA!R$61*($W186^Transportation_LCIA!R$60)+Transportation_LCIA!R$62</f>
        <v>4.8092919779996581E-4</v>
      </c>
      <c r="AO186" s="137">
        <f>Transportation_LCIA!S$61*($W186^Transportation_LCIA!S$60)+Transportation_LCIA!S$62</f>
        <v>7.081081996143308E-6</v>
      </c>
      <c r="AP186" s="137">
        <f>Transportation_LCIA!T$61*($W186^Transportation_LCIA!T$60)+Transportation_LCIA!T$62</f>
        <v>7.081081996143308E-6</v>
      </c>
      <c r="AQ186" s="137">
        <f>Transportation_LCIA!U$61*($W186^Transportation_LCIA!U$60)+Transportation_LCIA!U$62</f>
        <v>1.0425420500377758E-3</v>
      </c>
      <c r="AR186" s="137">
        <f>Transportation_LCIA!V$61*($W186^Transportation_LCIA!V$60)+Transportation_LCIA!V$62</f>
        <v>3.9809863614409633E-4</v>
      </c>
      <c r="AT186" s="137">
        <f>$W186*Y186+$L186*Summary_LCIA!H$32</f>
        <v>177.97446514508161</v>
      </c>
      <c r="AU186" s="137">
        <f>$W186*Z186+$L186*Summary_LCIA!Q$32</f>
        <v>1945.2298455402099</v>
      </c>
      <c r="AV186" s="137">
        <f>$W186*AA186+$L186*Summary_LCIA!R$32</f>
        <v>1.1053552201787342</v>
      </c>
      <c r="AW186" s="137">
        <f>$W186*AB186+$L186*Summary_LCIA!S$32</f>
        <v>177.85105432508161</v>
      </c>
      <c r="AX186" s="137">
        <f>$W186*AC186+$L186*Summary_LCIA!T$32</f>
        <v>45.153284031608706</v>
      </c>
      <c r="AY186" s="137">
        <f>$W186*AD186+$L186*Summary_LCIA!U$32</f>
        <v>0.72454138372066013</v>
      </c>
      <c r="AZ186" s="137">
        <f>$W186*AE186+$L186*Summary_LCIA!V$32</f>
        <v>6.4731086298757436E-3</v>
      </c>
      <c r="BA186" s="137">
        <f>$W186*AF186+$L186*Summary_LCIA!W$32</f>
        <v>9.8044468965078053</v>
      </c>
      <c r="BB186" s="137">
        <f>$W186*AG186+$L186*Summary_LCIA!X$32</f>
        <v>9.8805581350992089</v>
      </c>
      <c r="BC186" s="137">
        <f>$W186*AH186+$L186*Summary_LCIA!Y$32</f>
        <v>0.63414705623646483</v>
      </c>
      <c r="BD186" s="137">
        <f>$W186*AI186+$L186*Summary_LCIA!Z$32</f>
        <v>0.1716352975275853</v>
      </c>
      <c r="BE186" s="137">
        <f>$W186*AJ186+$L186*Summary_LCIA!AA$32</f>
        <v>1.4365672959992715</v>
      </c>
      <c r="BF186" s="137">
        <f>$W186*AK186+$L186*Summary_LCIA!AB$32</f>
        <v>4.394461550259228E-2</v>
      </c>
      <c r="BG186" s="137">
        <f>$W186*AL186+$L186*Summary_LCIA!AC$32</f>
        <v>2.2864905678524456E-5</v>
      </c>
      <c r="BH186" s="137">
        <f>$W186*AM186+$L186*Summary_LCIA!AD$32</f>
        <v>8.9978285564955907E-2</v>
      </c>
      <c r="BI186" s="137">
        <f>$W186*AN186+$L186*Summary_LCIA!AE$32</f>
        <v>0.271666837329259</v>
      </c>
      <c r="BJ186" s="137">
        <f>$W186*AO186+$L186*Summary_LCIA!AF$32</f>
        <v>2.7240637126737785E-2</v>
      </c>
      <c r="BK186" s="137">
        <f>$W186*AP186+$L186*Summary_LCIA!AG$32</f>
        <v>5.0642432717377846E-3</v>
      </c>
      <c r="BL186" s="137">
        <f>$W186*AQ186+$L186*Summary_LCIA!AH$32</f>
        <v>0.77828931665376899</v>
      </c>
      <c r="BM186" s="137">
        <f>$W186*AR186+$L186*Summary_LCIA!AI$32</f>
        <v>0.23040701702688743</v>
      </c>
    </row>
    <row r="187" spans="1:65" x14ac:dyDescent="0.25">
      <c r="A187" s="149">
        <v>301</v>
      </c>
      <c r="B187" s="149">
        <v>43</v>
      </c>
      <c r="C187" s="61">
        <v>40.440624999999997</v>
      </c>
      <c r="D187" s="61">
        <v>-79.995885999999999</v>
      </c>
      <c r="E187" s="61" t="s">
        <v>265</v>
      </c>
      <c r="F187" s="149">
        <v>106</v>
      </c>
      <c r="G187" s="61" t="s">
        <v>266</v>
      </c>
      <c r="H187" s="61" t="s">
        <v>669</v>
      </c>
      <c r="I187" s="61">
        <v>40.491920999999998</v>
      </c>
      <c r="J187" s="61">
        <v>-80.235223000000005</v>
      </c>
      <c r="K187" s="61">
        <v>21.391265860000001</v>
      </c>
      <c r="L187" s="61">
        <v>27.920999999999999</v>
      </c>
      <c r="M187" s="61" t="s">
        <v>617</v>
      </c>
      <c r="N187" s="149">
        <v>42</v>
      </c>
      <c r="O187" s="149">
        <v>43</v>
      </c>
      <c r="P187" s="61" t="s">
        <v>565</v>
      </c>
      <c r="Q187" s="61" t="s">
        <v>555</v>
      </c>
      <c r="R187" s="61">
        <v>40.6895314</v>
      </c>
      <c r="S187" s="61">
        <v>-74.174462399999996</v>
      </c>
      <c r="T187" s="61">
        <v>581.04700000000003</v>
      </c>
      <c r="U187" s="61" t="s">
        <v>617</v>
      </c>
      <c r="V187" s="61" t="s">
        <v>569</v>
      </c>
      <c r="W187" s="61" cm="1">
        <f t="array" ref="W187">getDistance(I187,J187,R187,S187)*SA!$B$12</f>
        <v>513.433583839015</v>
      </c>
      <c r="Y187" s="137">
        <f>Transportation_LCIA!C$61*($W187^Transportation_LCIA!C$60)+Transportation_LCIA!C$62</f>
        <v>0.32815716511039528</v>
      </c>
      <c r="Z187" s="137">
        <f>Transportation_LCIA!D$61*($W187^Transportation_LCIA!D$60)+Transportation_LCIA!D$62</f>
        <v>3.5191542163843881</v>
      </c>
      <c r="AA187" s="137">
        <f>Transportation_LCIA!E$61*($W187^Transportation_LCIA!E$60)+Transportation_LCIA!E$62</f>
        <v>1.8665206810453132E-3</v>
      </c>
      <c r="AB187" s="137">
        <f>Transportation_LCIA!F$61*($W187^Transportation_LCIA!F$60)+Transportation_LCIA!F$62</f>
        <v>0.32815716511039528</v>
      </c>
      <c r="AC187" s="137">
        <f>Transportation_LCIA!G$61*($W187^Transportation_LCIA!G$60)+Transportation_LCIA!G$62</f>
        <v>8.1967302989677859E-2</v>
      </c>
      <c r="AD187" s="137">
        <f>Transportation_LCIA!H$61*($W187^Transportation_LCIA!H$60)+Transportation_LCIA!H$62</f>
        <v>4.3698853519291556E-4</v>
      </c>
      <c r="AE187" s="137">
        <f>Transportation_LCIA!I$61*($W187^Transportation_LCIA!I$60)+Transportation_LCIA!I$62</f>
        <v>1.0010201729396875E-5</v>
      </c>
      <c r="AF187" s="137">
        <f>Transportation_LCIA!J$61*($W187^Transportation_LCIA!J$60)+Transportation_LCIA!J$62</f>
        <v>1.4910087392935532E-2</v>
      </c>
      <c r="AG187" s="137">
        <f>Transportation_LCIA!K$61*($W187^Transportation_LCIA!K$60)+Transportation_LCIA!K$62</f>
        <v>1.8005284512120634E-2</v>
      </c>
      <c r="AH187" s="137">
        <f>Transportation_LCIA!L$61*($W187^Transportation_LCIA!L$60)+Transportation_LCIA!L$62</f>
        <v>3.8774642038002372E-4</v>
      </c>
      <c r="AI187" s="137">
        <f>Transportation_LCIA!M$61*($W187^Transportation_LCIA!M$60)+Transportation_LCIA!M$62</f>
        <v>3.3205908340433346E-4</v>
      </c>
      <c r="AJ187" s="137">
        <f>Transportation_LCIA!N$61*($W187^Transportation_LCIA!N$60)+Transportation_LCIA!N$62</f>
        <v>1.5278401037459809E-3</v>
      </c>
      <c r="AK187" s="137">
        <f>Transportation_LCIA!O$61*($W187^Transportation_LCIA!O$60)+Transportation_LCIA!O$62</f>
        <v>8.6776433969231709E-5</v>
      </c>
      <c r="AL187" s="137">
        <f>Transportation_LCIA!P$61*($W187^Transportation_LCIA!P$60)+Transportation_LCIA!P$62</f>
        <v>4.187496920977748E-8</v>
      </c>
      <c r="AM187" s="137">
        <f>Transportation_LCIA!Q$61*($W187^Transportation_LCIA!Q$60)+Transportation_LCIA!Q$62</f>
        <v>1.5289540886279419E-4</v>
      </c>
      <c r="AN187" s="137">
        <f>Transportation_LCIA!R$61*($W187^Transportation_LCIA!R$60)+Transportation_LCIA!R$62</f>
        <v>4.8092919779996581E-4</v>
      </c>
      <c r="AO187" s="137">
        <f>Transportation_LCIA!S$61*($W187^Transportation_LCIA!S$60)+Transportation_LCIA!S$62</f>
        <v>7.081081996143308E-6</v>
      </c>
      <c r="AP187" s="137">
        <f>Transportation_LCIA!T$61*($W187^Transportation_LCIA!T$60)+Transportation_LCIA!T$62</f>
        <v>7.081081996143308E-6</v>
      </c>
      <c r="AQ187" s="137">
        <f>Transportation_LCIA!U$61*($W187^Transportation_LCIA!U$60)+Transportation_LCIA!U$62</f>
        <v>1.0425420500377758E-3</v>
      </c>
      <c r="AR187" s="137">
        <f>Transportation_LCIA!V$61*($W187^Transportation_LCIA!V$60)+Transportation_LCIA!V$62</f>
        <v>3.9809863614409633E-4</v>
      </c>
      <c r="AT187" s="137">
        <f>$W187*Y187+$L187*Summary_LCIA!H$32</f>
        <v>177.97446514508161</v>
      </c>
      <c r="AU187" s="137">
        <f>$W187*Z187+$L187*Summary_LCIA!Q$32</f>
        <v>1945.2298455402099</v>
      </c>
      <c r="AV187" s="137">
        <f>$W187*AA187+$L187*Summary_LCIA!R$32</f>
        <v>1.1053552201787342</v>
      </c>
      <c r="AW187" s="137">
        <f>$W187*AB187+$L187*Summary_LCIA!S$32</f>
        <v>177.85105432508161</v>
      </c>
      <c r="AX187" s="137">
        <f>$W187*AC187+$L187*Summary_LCIA!T$32</f>
        <v>45.153284031608706</v>
      </c>
      <c r="AY187" s="137">
        <f>$W187*AD187+$L187*Summary_LCIA!U$32</f>
        <v>0.72454138372066013</v>
      </c>
      <c r="AZ187" s="137">
        <f>$W187*AE187+$L187*Summary_LCIA!V$32</f>
        <v>6.4731086298757436E-3</v>
      </c>
      <c r="BA187" s="137">
        <f>$W187*AF187+$L187*Summary_LCIA!W$32</f>
        <v>9.8044468965078053</v>
      </c>
      <c r="BB187" s="137">
        <f>$W187*AG187+$L187*Summary_LCIA!X$32</f>
        <v>9.8805581350992089</v>
      </c>
      <c r="BC187" s="137">
        <f>$W187*AH187+$L187*Summary_LCIA!Y$32</f>
        <v>0.63414705623646483</v>
      </c>
      <c r="BD187" s="137">
        <f>$W187*AI187+$L187*Summary_LCIA!Z$32</f>
        <v>0.1716352975275853</v>
      </c>
      <c r="BE187" s="137">
        <f>$W187*AJ187+$L187*Summary_LCIA!AA$32</f>
        <v>1.4365672959992715</v>
      </c>
      <c r="BF187" s="137">
        <f>$W187*AK187+$L187*Summary_LCIA!AB$32</f>
        <v>4.394461550259228E-2</v>
      </c>
      <c r="BG187" s="137">
        <f>$W187*AL187+$L187*Summary_LCIA!AC$32</f>
        <v>2.2864905678524456E-5</v>
      </c>
      <c r="BH187" s="137">
        <f>$W187*AM187+$L187*Summary_LCIA!AD$32</f>
        <v>8.9978285564955907E-2</v>
      </c>
      <c r="BI187" s="137">
        <f>$W187*AN187+$L187*Summary_LCIA!AE$32</f>
        <v>0.271666837329259</v>
      </c>
      <c r="BJ187" s="137">
        <f>$W187*AO187+$L187*Summary_LCIA!AF$32</f>
        <v>2.7240637126737785E-2</v>
      </c>
      <c r="BK187" s="137">
        <f>$W187*AP187+$L187*Summary_LCIA!AG$32</f>
        <v>5.0642432717377846E-3</v>
      </c>
      <c r="BL187" s="137">
        <f>$W187*AQ187+$L187*Summary_LCIA!AH$32</f>
        <v>0.77828931665376899</v>
      </c>
      <c r="BM187" s="137">
        <f>$W187*AR187+$L187*Summary_LCIA!AI$32</f>
        <v>0.23040701702688743</v>
      </c>
    </row>
    <row r="188" spans="1:65" x14ac:dyDescent="0.25">
      <c r="A188" s="149">
        <v>302</v>
      </c>
      <c r="B188" s="149">
        <v>43</v>
      </c>
      <c r="C188" s="61">
        <v>40.440624999999997</v>
      </c>
      <c r="D188" s="61">
        <v>-79.995885999999999</v>
      </c>
      <c r="E188" s="61" t="s">
        <v>265</v>
      </c>
      <c r="F188" s="149">
        <v>106</v>
      </c>
      <c r="G188" s="61" t="s">
        <v>266</v>
      </c>
      <c r="H188" s="61" t="s">
        <v>669</v>
      </c>
      <c r="I188" s="61">
        <v>40.491920999999998</v>
      </c>
      <c r="J188" s="61">
        <v>-80.235223000000005</v>
      </c>
      <c r="K188" s="61">
        <v>21.391265860000001</v>
      </c>
      <c r="L188" s="61">
        <v>27.920999999999999</v>
      </c>
      <c r="M188" s="61" t="s">
        <v>617</v>
      </c>
      <c r="N188" s="149">
        <v>42</v>
      </c>
      <c r="O188" s="149">
        <v>43</v>
      </c>
      <c r="P188" s="61" t="s">
        <v>565</v>
      </c>
      <c r="Q188" s="61" t="s">
        <v>555</v>
      </c>
      <c r="R188" s="61">
        <v>40.6895314</v>
      </c>
      <c r="S188" s="61">
        <v>-74.174462399999996</v>
      </c>
      <c r="T188" s="61">
        <v>581.04700000000003</v>
      </c>
      <c r="U188" s="61" t="s">
        <v>617</v>
      </c>
      <c r="V188" s="61" t="s">
        <v>569</v>
      </c>
      <c r="W188" s="61" cm="1">
        <f t="array" ref="W188">getDistance(I188,J188,R188,S188)*SA!$B$12</f>
        <v>513.433583839015</v>
      </c>
      <c r="Y188" s="137">
        <f>Transportation_LCIA!C$61*($W188^Transportation_LCIA!C$60)+Transportation_LCIA!C$62</f>
        <v>0.32815716511039528</v>
      </c>
      <c r="Z188" s="137">
        <f>Transportation_LCIA!D$61*($W188^Transportation_LCIA!D$60)+Transportation_LCIA!D$62</f>
        <v>3.5191542163843881</v>
      </c>
      <c r="AA188" s="137">
        <f>Transportation_LCIA!E$61*($W188^Transportation_LCIA!E$60)+Transportation_LCIA!E$62</f>
        <v>1.8665206810453132E-3</v>
      </c>
      <c r="AB188" s="137">
        <f>Transportation_LCIA!F$61*($W188^Transportation_LCIA!F$60)+Transportation_LCIA!F$62</f>
        <v>0.32815716511039528</v>
      </c>
      <c r="AC188" s="137">
        <f>Transportation_LCIA!G$61*($W188^Transportation_LCIA!G$60)+Transportation_LCIA!G$62</f>
        <v>8.1967302989677859E-2</v>
      </c>
      <c r="AD188" s="137">
        <f>Transportation_LCIA!H$61*($W188^Transportation_LCIA!H$60)+Transportation_LCIA!H$62</f>
        <v>4.3698853519291556E-4</v>
      </c>
      <c r="AE188" s="137">
        <f>Transportation_LCIA!I$61*($W188^Transportation_LCIA!I$60)+Transportation_LCIA!I$62</f>
        <v>1.0010201729396875E-5</v>
      </c>
      <c r="AF188" s="137">
        <f>Transportation_LCIA!J$61*($W188^Transportation_LCIA!J$60)+Transportation_LCIA!J$62</f>
        <v>1.4910087392935532E-2</v>
      </c>
      <c r="AG188" s="137">
        <f>Transportation_LCIA!K$61*($W188^Transportation_LCIA!K$60)+Transportation_LCIA!K$62</f>
        <v>1.8005284512120634E-2</v>
      </c>
      <c r="AH188" s="137">
        <f>Transportation_LCIA!L$61*($W188^Transportation_LCIA!L$60)+Transportation_LCIA!L$62</f>
        <v>3.8774642038002372E-4</v>
      </c>
      <c r="AI188" s="137">
        <f>Transportation_LCIA!M$61*($W188^Transportation_LCIA!M$60)+Transportation_LCIA!M$62</f>
        <v>3.3205908340433346E-4</v>
      </c>
      <c r="AJ188" s="137">
        <f>Transportation_LCIA!N$61*($W188^Transportation_LCIA!N$60)+Transportation_LCIA!N$62</f>
        <v>1.5278401037459809E-3</v>
      </c>
      <c r="AK188" s="137">
        <f>Transportation_LCIA!O$61*($W188^Transportation_LCIA!O$60)+Transportation_LCIA!O$62</f>
        <v>8.6776433969231709E-5</v>
      </c>
      <c r="AL188" s="137">
        <f>Transportation_LCIA!P$61*($W188^Transportation_LCIA!P$60)+Transportation_LCIA!P$62</f>
        <v>4.187496920977748E-8</v>
      </c>
      <c r="AM188" s="137">
        <f>Transportation_LCIA!Q$61*($W188^Transportation_LCIA!Q$60)+Transportation_LCIA!Q$62</f>
        <v>1.5289540886279419E-4</v>
      </c>
      <c r="AN188" s="137">
        <f>Transportation_LCIA!R$61*($W188^Transportation_LCIA!R$60)+Transportation_LCIA!R$62</f>
        <v>4.8092919779996581E-4</v>
      </c>
      <c r="AO188" s="137">
        <f>Transportation_LCIA!S$61*($W188^Transportation_LCIA!S$60)+Transportation_LCIA!S$62</f>
        <v>7.081081996143308E-6</v>
      </c>
      <c r="AP188" s="137">
        <f>Transportation_LCIA!T$61*($W188^Transportation_LCIA!T$60)+Transportation_LCIA!T$62</f>
        <v>7.081081996143308E-6</v>
      </c>
      <c r="AQ188" s="137">
        <f>Transportation_LCIA!U$61*($W188^Transportation_LCIA!U$60)+Transportation_LCIA!U$62</f>
        <v>1.0425420500377758E-3</v>
      </c>
      <c r="AR188" s="137">
        <f>Transportation_LCIA!V$61*($W188^Transportation_LCIA!V$60)+Transportation_LCIA!V$62</f>
        <v>3.9809863614409633E-4</v>
      </c>
      <c r="AT188" s="137">
        <f>$W188*Y188+$L188*Summary_LCIA!H$32</f>
        <v>177.97446514508161</v>
      </c>
      <c r="AU188" s="137">
        <f>$W188*Z188+$L188*Summary_LCIA!Q$32</f>
        <v>1945.2298455402099</v>
      </c>
      <c r="AV188" s="137">
        <f>$W188*AA188+$L188*Summary_LCIA!R$32</f>
        <v>1.1053552201787342</v>
      </c>
      <c r="AW188" s="137">
        <f>$W188*AB188+$L188*Summary_LCIA!S$32</f>
        <v>177.85105432508161</v>
      </c>
      <c r="AX188" s="137">
        <f>$W188*AC188+$L188*Summary_LCIA!T$32</f>
        <v>45.153284031608706</v>
      </c>
      <c r="AY188" s="137">
        <f>$W188*AD188+$L188*Summary_LCIA!U$32</f>
        <v>0.72454138372066013</v>
      </c>
      <c r="AZ188" s="137">
        <f>$W188*AE188+$L188*Summary_LCIA!V$32</f>
        <v>6.4731086298757436E-3</v>
      </c>
      <c r="BA188" s="137">
        <f>$W188*AF188+$L188*Summary_LCIA!W$32</f>
        <v>9.8044468965078053</v>
      </c>
      <c r="BB188" s="137">
        <f>$W188*AG188+$L188*Summary_LCIA!X$32</f>
        <v>9.8805581350992089</v>
      </c>
      <c r="BC188" s="137">
        <f>$W188*AH188+$L188*Summary_LCIA!Y$32</f>
        <v>0.63414705623646483</v>
      </c>
      <c r="BD188" s="137">
        <f>$W188*AI188+$L188*Summary_LCIA!Z$32</f>
        <v>0.1716352975275853</v>
      </c>
      <c r="BE188" s="137">
        <f>$W188*AJ188+$L188*Summary_LCIA!AA$32</f>
        <v>1.4365672959992715</v>
      </c>
      <c r="BF188" s="137">
        <f>$W188*AK188+$L188*Summary_LCIA!AB$32</f>
        <v>4.394461550259228E-2</v>
      </c>
      <c r="BG188" s="137">
        <f>$W188*AL188+$L188*Summary_LCIA!AC$32</f>
        <v>2.2864905678524456E-5</v>
      </c>
      <c r="BH188" s="137">
        <f>$W188*AM188+$L188*Summary_LCIA!AD$32</f>
        <v>8.9978285564955907E-2</v>
      </c>
      <c r="BI188" s="137">
        <f>$W188*AN188+$L188*Summary_LCIA!AE$32</f>
        <v>0.271666837329259</v>
      </c>
      <c r="BJ188" s="137">
        <f>$W188*AO188+$L188*Summary_LCIA!AF$32</f>
        <v>2.7240637126737785E-2</v>
      </c>
      <c r="BK188" s="137">
        <f>$W188*AP188+$L188*Summary_LCIA!AG$32</f>
        <v>5.0642432717377846E-3</v>
      </c>
      <c r="BL188" s="137">
        <f>$W188*AQ188+$L188*Summary_LCIA!AH$32</f>
        <v>0.77828931665376899</v>
      </c>
      <c r="BM188" s="137">
        <f>$W188*AR188+$L188*Summary_LCIA!AI$32</f>
        <v>0.23040701702688743</v>
      </c>
    </row>
    <row r="189" spans="1:65" x14ac:dyDescent="0.25">
      <c r="A189" s="149">
        <v>177</v>
      </c>
      <c r="B189" s="149">
        <v>43</v>
      </c>
      <c r="C189" s="61">
        <v>42.871099999999998</v>
      </c>
      <c r="D189" s="61">
        <v>-78.859319999999997</v>
      </c>
      <c r="E189" s="61" t="s">
        <v>265</v>
      </c>
      <c r="F189" s="149">
        <v>120</v>
      </c>
      <c r="G189" s="61" t="s">
        <v>625</v>
      </c>
      <c r="H189" s="61" t="s">
        <v>626</v>
      </c>
      <c r="I189" s="61">
        <v>42.939706000000001</v>
      </c>
      <c r="J189" s="61">
        <v>-78.729506999999998</v>
      </c>
      <c r="K189" s="61">
        <v>16.03849787</v>
      </c>
      <c r="L189" s="61">
        <v>20.835000000000001</v>
      </c>
      <c r="M189" s="61" t="s">
        <v>617</v>
      </c>
      <c r="N189" s="149">
        <v>42</v>
      </c>
      <c r="O189" s="149">
        <v>43</v>
      </c>
      <c r="P189" s="61" t="s">
        <v>565</v>
      </c>
      <c r="Q189" s="61" t="s">
        <v>555</v>
      </c>
      <c r="R189" s="61">
        <v>40.6895314</v>
      </c>
      <c r="S189" s="61">
        <v>-74.174462399999996</v>
      </c>
      <c r="T189" s="61">
        <v>593.16399999999999</v>
      </c>
      <c r="U189" s="61" t="s">
        <v>617</v>
      </c>
      <c r="V189" s="61" t="s">
        <v>569</v>
      </c>
      <c r="W189" s="61" cm="1">
        <f t="array" ref="W189">getDistance(I189,J189,R189,S189)*SA!$B$12</f>
        <v>453.70669460993366</v>
      </c>
      <c r="Y189" s="137">
        <f>Transportation_LCIA!C$61*($W189^Transportation_LCIA!C$60)+Transportation_LCIA!C$62</f>
        <v>0.35179822030380453</v>
      </c>
      <c r="Z189" s="137">
        <f>Transportation_LCIA!D$61*($W189^Transportation_LCIA!D$60)+Transportation_LCIA!D$62</f>
        <v>3.8038685240383758</v>
      </c>
      <c r="AA189" s="137">
        <f>Transportation_LCIA!E$61*($W189^Transportation_LCIA!E$60)+Transportation_LCIA!E$62</f>
        <v>2.0553796700765819E-3</v>
      </c>
      <c r="AB189" s="137">
        <f>Transportation_LCIA!F$61*($W189^Transportation_LCIA!F$60)+Transportation_LCIA!F$62</f>
        <v>0.35179822030380453</v>
      </c>
      <c r="AC189" s="137">
        <f>Transportation_LCIA!G$61*($W189^Transportation_LCIA!G$60)+Transportation_LCIA!G$62</f>
        <v>8.8542301175389054E-2</v>
      </c>
      <c r="AD189" s="137">
        <f>Transportation_LCIA!H$61*($W189^Transportation_LCIA!H$60)+Transportation_LCIA!H$62</f>
        <v>4.7924680402862424E-4</v>
      </c>
      <c r="AE189" s="137">
        <f>Transportation_LCIA!I$61*($W189^Transportation_LCIA!I$60)+Transportation_LCIA!I$62</f>
        <v>1.1104359431323201E-5</v>
      </c>
      <c r="AF189" s="137">
        <f>Transportation_LCIA!J$61*($W189^Transportation_LCIA!J$60)+Transportation_LCIA!J$62</f>
        <v>1.6569820845191208E-2</v>
      </c>
      <c r="AG189" s="137">
        <f>Transportation_LCIA!K$61*($W189^Transportation_LCIA!K$60)+Transportation_LCIA!K$62</f>
        <v>1.9564708397539259E-2</v>
      </c>
      <c r="AH189" s="137">
        <f>Transportation_LCIA!L$61*($W189^Transportation_LCIA!L$60)+Transportation_LCIA!L$62</f>
        <v>4.2690866521771174E-4</v>
      </c>
      <c r="AI189" s="137">
        <f>Transportation_LCIA!M$61*($W189^Transportation_LCIA!M$60)+Transportation_LCIA!M$62</f>
        <v>3.5540325219174092E-4</v>
      </c>
      <c r="AJ189" s="137">
        <f>Transportation_LCIA!N$61*($W189^Transportation_LCIA!N$60)+Transportation_LCIA!N$62</f>
        <v>1.6696019563166051E-3</v>
      </c>
      <c r="AK189" s="137">
        <f>Transportation_LCIA!O$61*($W189^Transportation_LCIA!O$60)+Transportation_LCIA!O$62</f>
        <v>9.376926172545552E-5</v>
      </c>
      <c r="AL189" s="137">
        <f>Transportation_LCIA!P$61*($W189^Transportation_LCIA!P$60)+Transportation_LCIA!P$62</f>
        <v>4.5229183914951175E-8</v>
      </c>
      <c r="AM189" s="137">
        <f>Transportation_LCIA!Q$61*($W189^Transportation_LCIA!Q$60)+Transportation_LCIA!Q$62</f>
        <v>1.6827410039877645E-4</v>
      </c>
      <c r="AN189" s="137">
        <f>Transportation_LCIA!R$61*($W189^Transportation_LCIA!R$60)+Transportation_LCIA!R$62</f>
        <v>5.3343299418952066E-4</v>
      </c>
      <c r="AO189" s="137">
        <f>Transportation_LCIA!S$61*($W189^Transportation_LCIA!S$60)+Transportation_LCIA!S$62</f>
        <v>7.8252838449889344E-6</v>
      </c>
      <c r="AP189" s="137">
        <f>Transportation_LCIA!T$61*($W189^Transportation_LCIA!T$60)+Transportation_LCIA!T$62</f>
        <v>7.8252838449889344E-6</v>
      </c>
      <c r="AQ189" s="137">
        <f>Transportation_LCIA!U$61*($W189^Transportation_LCIA!U$60)+Transportation_LCIA!U$62</f>
        <v>1.1583001340676898E-3</v>
      </c>
      <c r="AR189" s="137">
        <f>Transportation_LCIA!V$61*($W189^Transportation_LCIA!V$60)+Transportation_LCIA!V$62</f>
        <v>4.3832947018607746E-4</v>
      </c>
      <c r="AT189" s="137">
        <f>$W189*Y189+$L189*Summary_LCIA!H$32</f>
        <v>166.69294070369642</v>
      </c>
      <c r="AU189" s="137">
        <f>$W189*Z189+$L189*Summary_LCIA!Q$32</f>
        <v>1829.0999255437735</v>
      </c>
      <c r="AV189" s="137">
        <f>$W189*AA189+$L189*Summary_LCIA!R$32</f>
        <v>1.042248292278902</v>
      </c>
      <c r="AW189" s="137">
        <f>$W189*AB189+$L189*Summary_LCIA!S$32</f>
        <v>166.60085000369642</v>
      </c>
      <c r="AX189" s="137">
        <f>$W189*AC189+$L189*Summary_LCIA!T$32</f>
        <v>42.46200129944301</v>
      </c>
      <c r="AY189" s="137">
        <f>$W189*AD189+$L189*Summary_LCIA!U$32</f>
        <v>0.5906756733582017</v>
      </c>
      <c r="AZ189" s="137">
        <f>$W189*AE189+$L189*Summary_LCIA!V$32</f>
        <v>6.033222648346292E-3</v>
      </c>
      <c r="BA189" s="137">
        <f>$W189*AF189+$L189*Summary_LCIA!W$32</f>
        <v>9.1215294309504795</v>
      </c>
      <c r="BB189" s="137">
        <f>$W189*AG189+$L189*Summary_LCIA!X$32</f>
        <v>9.3512604780547495</v>
      </c>
      <c r="BC189" s="137">
        <f>$W189*AH189+$L189*Summary_LCIA!Y$32</f>
        <v>0.51834228939626681</v>
      </c>
      <c r="BD189" s="137">
        <f>$W189*AI189+$L189*Summary_LCIA!Z$32</f>
        <v>0.16210325732053543</v>
      </c>
      <c r="BE189" s="137">
        <f>$W189*AJ189+$L189*Summary_LCIA!AA$32</f>
        <v>1.2441318449146856</v>
      </c>
      <c r="BF189" s="137">
        <f>$W189*AK189+$L189*Summary_LCIA!AB$32</f>
        <v>4.2089059588470187E-2</v>
      </c>
      <c r="BG189" s="137">
        <f>$W189*AL189+$L189*Summary_LCIA!AC$32</f>
        <v>2.1539281673957276E-5</v>
      </c>
      <c r="BH189" s="137">
        <f>$W189*AM189+$L189*Summary_LCIA!AD$32</f>
        <v>8.4911104280388977E-2</v>
      </c>
      <c r="BI189" s="137">
        <f>$W189*AN189+$L189*Summary_LCIA!AE$32</f>
        <v>0.2604846391396074</v>
      </c>
      <c r="BJ189" s="137">
        <f>$W189*AO189+$L189*Summary_LCIA!AF$32</f>
        <v>2.1164709367694445E-2</v>
      </c>
      <c r="BK189" s="137">
        <f>$W189*AP189+$L189*Summary_LCIA!AG$32</f>
        <v>4.6164064426944419E-3</v>
      </c>
      <c r="BL189" s="137">
        <f>$W189*AQ189+$L189*Summary_LCIA!AH$32</f>
        <v>0.70686803119409458</v>
      </c>
      <c r="BM189" s="137">
        <f>$W189*AR189+$L189*Summary_LCIA!AI$32</f>
        <v>0.21828185931824867</v>
      </c>
    </row>
    <row r="190" spans="1:65" x14ac:dyDescent="0.25">
      <c r="A190" s="149">
        <v>178</v>
      </c>
      <c r="B190" s="149">
        <v>43</v>
      </c>
      <c r="C190" s="61">
        <v>42.871099999999998</v>
      </c>
      <c r="D190" s="61">
        <v>-78.859319999999997</v>
      </c>
      <c r="E190" s="61" t="s">
        <v>265</v>
      </c>
      <c r="F190" s="149">
        <v>120</v>
      </c>
      <c r="G190" s="61" t="s">
        <v>625</v>
      </c>
      <c r="H190" s="61" t="s">
        <v>626</v>
      </c>
      <c r="I190" s="61">
        <v>42.939706000000001</v>
      </c>
      <c r="J190" s="61">
        <v>-78.729506999999998</v>
      </c>
      <c r="K190" s="61">
        <v>16.03849787</v>
      </c>
      <c r="L190" s="61">
        <v>20.835000000000001</v>
      </c>
      <c r="M190" s="61" t="s">
        <v>617</v>
      </c>
      <c r="N190" s="149">
        <v>42</v>
      </c>
      <c r="O190" s="149">
        <v>43</v>
      </c>
      <c r="P190" s="61" t="s">
        <v>565</v>
      </c>
      <c r="Q190" s="61" t="s">
        <v>555</v>
      </c>
      <c r="R190" s="61">
        <v>40.6895314</v>
      </c>
      <c r="S190" s="61">
        <v>-74.174462399999996</v>
      </c>
      <c r="T190" s="61">
        <v>593.16399999999999</v>
      </c>
      <c r="U190" s="61" t="s">
        <v>617</v>
      </c>
      <c r="V190" s="61" t="s">
        <v>569</v>
      </c>
      <c r="W190" s="61" cm="1">
        <f t="array" ref="W190">getDistance(I190,J190,R190,S190)*SA!$B$12</f>
        <v>453.70669460993366</v>
      </c>
      <c r="Y190" s="137">
        <f>Transportation_LCIA!C$61*($W190^Transportation_LCIA!C$60)+Transportation_LCIA!C$62</f>
        <v>0.35179822030380453</v>
      </c>
      <c r="Z190" s="137">
        <f>Transportation_LCIA!D$61*($W190^Transportation_LCIA!D$60)+Transportation_LCIA!D$62</f>
        <v>3.8038685240383758</v>
      </c>
      <c r="AA190" s="137">
        <f>Transportation_LCIA!E$61*($W190^Transportation_LCIA!E$60)+Transportation_LCIA!E$62</f>
        <v>2.0553796700765819E-3</v>
      </c>
      <c r="AB190" s="137">
        <f>Transportation_LCIA!F$61*($W190^Transportation_LCIA!F$60)+Transportation_LCIA!F$62</f>
        <v>0.35179822030380453</v>
      </c>
      <c r="AC190" s="137">
        <f>Transportation_LCIA!G$61*($W190^Transportation_LCIA!G$60)+Transportation_LCIA!G$62</f>
        <v>8.8542301175389054E-2</v>
      </c>
      <c r="AD190" s="137">
        <f>Transportation_LCIA!H$61*($W190^Transportation_LCIA!H$60)+Transportation_LCIA!H$62</f>
        <v>4.7924680402862424E-4</v>
      </c>
      <c r="AE190" s="137">
        <f>Transportation_LCIA!I$61*($W190^Transportation_LCIA!I$60)+Transportation_LCIA!I$62</f>
        <v>1.1104359431323201E-5</v>
      </c>
      <c r="AF190" s="137">
        <f>Transportation_LCIA!J$61*($W190^Transportation_LCIA!J$60)+Transportation_LCIA!J$62</f>
        <v>1.6569820845191208E-2</v>
      </c>
      <c r="AG190" s="137">
        <f>Transportation_LCIA!K$61*($W190^Transportation_LCIA!K$60)+Transportation_LCIA!K$62</f>
        <v>1.9564708397539259E-2</v>
      </c>
      <c r="AH190" s="137">
        <f>Transportation_LCIA!L$61*($W190^Transportation_LCIA!L$60)+Transportation_LCIA!L$62</f>
        <v>4.2690866521771174E-4</v>
      </c>
      <c r="AI190" s="137">
        <f>Transportation_LCIA!M$61*($W190^Transportation_LCIA!M$60)+Transportation_LCIA!M$62</f>
        <v>3.5540325219174092E-4</v>
      </c>
      <c r="AJ190" s="137">
        <f>Transportation_LCIA!N$61*($W190^Transportation_LCIA!N$60)+Transportation_LCIA!N$62</f>
        <v>1.6696019563166051E-3</v>
      </c>
      <c r="AK190" s="137">
        <f>Transportation_LCIA!O$61*($W190^Transportation_LCIA!O$60)+Transportation_LCIA!O$62</f>
        <v>9.376926172545552E-5</v>
      </c>
      <c r="AL190" s="137">
        <f>Transportation_LCIA!P$61*($W190^Transportation_LCIA!P$60)+Transportation_LCIA!P$62</f>
        <v>4.5229183914951175E-8</v>
      </c>
      <c r="AM190" s="137">
        <f>Transportation_LCIA!Q$61*($W190^Transportation_LCIA!Q$60)+Transportation_LCIA!Q$62</f>
        <v>1.6827410039877645E-4</v>
      </c>
      <c r="AN190" s="137">
        <f>Transportation_LCIA!R$61*($W190^Transportation_LCIA!R$60)+Transportation_LCIA!R$62</f>
        <v>5.3343299418952066E-4</v>
      </c>
      <c r="AO190" s="137">
        <f>Transportation_LCIA!S$61*($W190^Transportation_LCIA!S$60)+Transportation_LCIA!S$62</f>
        <v>7.8252838449889344E-6</v>
      </c>
      <c r="AP190" s="137">
        <f>Transportation_LCIA!T$61*($W190^Transportation_LCIA!T$60)+Transportation_LCIA!T$62</f>
        <v>7.8252838449889344E-6</v>
      </c>
      <c r="AQ190" s="137">
        <f>Transportation_LCIA!U$61*($W190^Transportation_LCIA!U$60)+Transportation_LCIA!U$62</f>
        <v>1.1583001340676898E-3</v>
      </c>
      <c r="AR190" s="137">
        <f>Transportation_LCIA!V$61*($W190^Transportation_LCIA!V$60)+Transportation_LCIA!V$62</f>
        <v>4.3832947018607746E-4</v>
      </c>
      <c r="AT190" s="137">
        <f>$W190*Y190+$L190*Summary_LCIA!H$32</f>
        <v>166.69294070369642</v>
      </c>
      <c r="AU190" s="137">
        <f>$W190*Z190+$L190*Summary_LCIA!Q$32</f>
        <v>1829.0999255437735</v>
      </c>
      <c r="AV190" s="137">
        <f>$W190*AA190+$L190*Summary_LCIA!R$32</f>
        <v>1.042248292278902</v>
      </c>
      <c r="AW190" s="137">
        <f>$W190*AB190+$L190*Summary_LCIA!S$32</f>
        <v>166.60085000369642</v>
      </c>
      <c r="AX190" s="137">
        <f>$W190*AC190+$L190*Summary_LCIA!T$32</f>
        <v>42.46200129944301</v>
      </c>
      <c r="AY190" s="137">
        <f>$W190*AD190+$L190*Summary_LCIA!U$32</f>
        <v>0.5906756733582017</v>
      </c>
      <c r="AZ190" s="137">
        <f>$W190*AE190+$L190*Summary_LCIA!V$32</f>
        <v>6.033222648346292E-3</v>
      </c>
      <c r="BA190" s="137">
        <f>$W190*AF190+$L190*Summary_LCIA!W$32</f>
        <v>9.1215294309504795</v>
      </c>
      <c r="BB190" s="137">
        <f>$W190*AG190+$L190*Summary_LCIA!X$32</f>
        <v>9.3512604780547495</v>
      </c>
      <c r="BC190" s="137">
        <f>$W190*AH190+$L190*Summary_LCIA!Y$32</f>
        <v>0.51834228939626681</v>
      </c>
      <c r="BD190" s="137">
        <f>$W190*AI190+$L190*Summary_LCIA!Z$32</f>
        <v>0.16210325732053543</v>
      </c>
      <c r="BE190" s="137">
        <f>$W190*AJ190+$L190*Summary_LCIA!AA$32</f>
        <v>1.2441318449146856</v>
      </c>
      <c r="BF190" s="137">
        <f>$W190*AK190+$L190*Summary_LCIA!AB$32</f>
        <v>4.2089059588470187E-2</v>
      </c>
      <c r="BG190" s="137">
        <f>$W190*AL190+$L190*Summary_LCIA!AC$32</f>
        <v>2.1539281673957276E-5</v>
      </c>
      <c r="BH190" s="137">
        <f>$W190*AM190+$L190*Summary_LCIA!AD$32</f>
        <v>8.4911104280388977E-2</v>
      </c>
      <c r="BI190" s="137">
        <f>$W190*AN190+$L190*Summary_LCIA!AE$32</f>
        <v>0.2604846391396074</v>
      </c>
      <c r="BJ190" s="137">
        <f>$W190*AO190+$L190*Summary_LCIA!AF$32</f>
        <v>2.1164709367694445E-2</v>
      </c>
      <c r="BK190" s="137">
        <f>$W190*AP190+$L190*Summary_LCIA!AG$32</f>
        <v>4.6164064426944419E-3</v>
      </c>
      <c r="BL190" s="137">
        <f>$W190*AQ190+$L190*Summary_LCIA!AH$32</f>
        <v>0.70686803119409458</v>
      </c>
      <c r="BM190" s="137">
        <f>$W190*AR190+$L190*Summary_LCIA!AI$32</f>
        <v>0.21828185931824867</v>
      </c>
    </row>
    <row r="191" spans="1:65" x14ac:dyDescent="0.25">
      <c r="A191" s="149">
        <v>179</v>
      </c>
      <c r="B191" s="149">
        <v>43</v>
      </c>
      <c r="C191" s="61">
        <v>42.871099999999998</v>
      </c>
      <c r="D191" s="61">
        <v>-78.859319999999997</v>
      </c>
      <c r="E191" s="61" t="s">
        <v>265</v>
      </c>
      <c r="F191" s="149">
        <v>120</v>
      </c>
      <c r="G191" s="61" t="s">
        <v>625</v>
      </c>
      <c r="H191" s="61" t="s">
        <v>626</v>
      </c>
      <c r="I191" s="61">
        <v>42.939706000000001</v>
      </c>
      <c r="J191" s="61">
        <v>-78.729506999999998</v>
      </c>
      <c r="K191" s="61">
        <v>16.03849787</v>
      </c>
      <c r="L191" s="61">
        <v>20.835000000000001</v>
      </c>
      <c r="M191" s="61" t="s">
        <v>617</v>
      </c>
      <c r="N191" s="149">
        <v>42</v>
      </c>
      <c r="O191" s="149">
        <v>43</v>
      </c>
      <c r="P191" s="61" t="s">
        <v>565</v>
      </c>
      <c r="Q191" s="61" t="s">
        <v>555</v>
      </c>
      <c r="R191" s="61">
        <v>40.6895314</v>
      </c>
      <c r="S191" s="61">
        <v>-74.174462399999996</v>
      </c>
      <c r="T191" s="61">
        <v>593.16399999999999</v>
      </c>
      <c r="U191" s="61" t="s">
        <v>617</v>
      </c>
      <c r="V191" s="61" t="s">
        <v>569</v>
      </c>
      <c r="W191" s="61" cm="1">
        <f t="array" ref="W191">getDistance(I191,J191,R191,S191)*SA!$B$12</f>
        <v>453.70669460993366</v>
      </c>
      <c r="Y191" s="137">
        <f>Transportation_LCIA!C$61*($W191^Transportation_LCIA!C$60)+Transportation_LCIA!C$62</f>
        <v>0.35179822030380453</v>
      </c>
      <c r="Z191" s="137">
        <f>Transportation_LCIA!D$61*($W191^Transportation_LCIA!D$60)+Transportation_LCIA!D$62</f>
        <v>3.8038685240383758</v>
      </c>
      <c r="AA191" s="137">
        <f>Transportation_LCIA!E$61*($W191^Transportation_LCIA!E$60)+Transportation_LCIA!E$62</f>
        <v>2.0553796700765819E-3</v>
      </c>
      <c r="AB191" s="137">
        <f>Transportation_LCIA!F$61*($W191^Transportation_LCIA!F$60)+Transportation_LCIA!F$62</f>
        <v>0.35179822030380453</v>
      </c>
      <c r="AC191" s="137">
        <f>Transportation_LCIA!G$61*($W191^Transportation_LCIA!G$60)+Transportation_LCIA!G$62</f>
        <v>8.8542301175389054E-2</v>
      </c>
      <c r="AD191" s="137">
        <f>Transportation_LCIA!H$61*($W191^Transportation_LCIA!H$60)+Transportation_LCIA!H$62</f>
        <v>4.7924680402862424E-4</v>
      </c>
      <c r="AE191" s="137">
        <f>Transportation_LCIA!I$61*($W191^Transportation_LCIA!I$60)+Transportation_LCIA!I$62</f>
        <v>1.1104359431323201E-5</v>
      </c>
      <c r="AF191" s="137">
        <f>Transportation_LCIA!J$61*($W191^Transportation_LCIA!J$60)+Transportation_LCIA!J$62</f>
        <v>1.6569820845191208E-2</v>
      </c>
      <c r="AG191" s="137">
        <f>Transportation_LCIA!K$61*($W191^Transportation_LCIA!K$60)+Transportation_LCIA!K$62</f>
        <v>1.9564708397539259E-2</v>
      </c>
      <c r="AH191" s="137">
        <f>Transportation_LCIA!L$61*($W191^Transportation_LCIA!L$60)+Transportation_LCIA!L$62</f>
        <v>4.2690866521771174E-4</v>
      </c>
      <c r="AI191" s="137">
        <f>Transportation_LCIA!M$61*($W191^Transportation_LCIA!M$60)+Transportation_LCIA!M$62</f>
        <v>3.5540325219174092E-4</v>
      </c>
      <c r="AJ191" s="137">
        <f>Transportation_LCIA!N$61*($W191^Transportation_LCIA!N$60)+Transportation_LCIA!N$62</f>
        <v>1.6696019563166051E-3</v>
      </c>
      <c r="AK191" s="137">
        <f>Transportation_LCIA!O$61*($W191^Transportation_LCIA!O$60)+Transportation_LCIA!O$62</f>
        <v>9.376926172545552E-5</v>
      </c>
      <c r="AL191" s="137">
        <f>Transportation_LCIA!P$61*($W191^Transportation_LCIA!P$60)+Transportation_LCIA!P$62</f>
        <v>4.5229183914951175E-8</v>
      </c>
      <c r="AM191" s="137">
        <f>Transportation_LCIA!Q$61*($W191^Transportation_LCIA!Q$60)+Transportation_LCIA!Q$62</f>
        <v>1.6827410039877645E-4</v>
      </c>
      <c r="AN191" s="137">
        <f>Transportation_LCIA!R$61*($W191^Transportation_LCIA!R$60)+Transportation_LCIA!R$62</f>
        <v>5.3343299418952066E-4</v>
      </c>
      <c r="AO191" s="137">
        <f>Transportation_LCIA!S$61*($W191^Transportation_LCIA!S$60)+Transportation_LCIA!S$62</f>
        <v>7.8252838449889344E-6</v>
      </c>
      <c r="AP191" s="137">
        <f>Transportation_LCIA!T$61*($W191^Transportation_LCIA!T$60)+Transportation_LCIA!T$62</f>
        <v>7.8252838449889344E-6</v>
      </c>
      <c r="AQ191" s="137">
        <f>Transportation_LCIA!U$61*($W191^Transportation_LCIA!U$60)+Transportation_LCIA!U$62</f>
        <v>1.1583001340676898E-3</v>
      </c>
      <c r="AR191" s="137">
        <f>Transportation_LCIA!V$61*($W191^Transportation_LCIA!V$60)+Transportation_LCIA!V$62</f>
        <v>4.3832947018607746E-4</v>
      </c>
      <c r="AT191" s="137">
        <f>$W191*Y191+$L191*Summary_LCIA!H$32</f>
        <v>166.69294070369642</v>
      </c>
      <c r="AU191" s="137">
        <f>$W191*Z191+$L191*Summary_LCIA!Q$32</f>
        <v>1829.0999255437735</v>
      </c>
      <c r="AV191" s="137">
        <f>$W191*AA191+$L191*Summary_LCIA!R$32</f>
        <v>1.042248292278902</v>
      </c>
      <c r="AW191" s="137">
        <f>$W191*AB191+$L191*Summary_LCIA!S$32</f>
        <v>166.60085000369642</v>
      </c>
      <c r="AX191" s="137">
        <f>$W191*AC191+$L191*Summary_LCIA!T$32</f>
        <v>42.46200129944301</v>
      </c>
      <c r="AY191" s="137">
        <f>$W191*AD191+$L191*Summary_LCIA!U$32</f>
        <v>0.5906756733582017</v>
      </c>
      <c r="AZ191" s="137">
        <f>$W191*AE191+$L191*Summary_LCIA!V$32</f>
        <v>6.033222648346292E-3</v>
      </c>
      <c r="BA191" s="137">
        <f>$W191*AF191+$L191*Summary_LCIA!W$32</f>
        <v>9.1215294309504795</v>
      </c>
      <c r="BB191" s="137">
        <f>$W191*AG191+$L191*Summary_LCIA!X$32</f>
        <v>9.3512604780547495</v>
      </c>
      <c r="BC191" s="137">
        <f>$W191*AH191+$L191*Summary_LCIA!Y$32</f>
        <v>0.51834228939626681</v>
      </c>
      <c r="BD191" s="137">
        <f>$W191*AI191+$L191*Summary_LCIA!Z$32</f>
        <v>0.16210325732053543</v>
      </c>
      <c r="BE191" s="137">
        <f>$W191*AJ191+$L191*Summary_LCIA!AA$32</f>
        <v>1.2441318449146856</v>
      </c>
      <c r="BF191" s="137">
        <f>$W191*AK191+$L191*Summary_LCIA!AB$32</f>
        <v>4.2089059588470187E-2</v>
      </c>
      <c r="BG191" s="137">
        <f>$W191*AL191+$L191*Summary_LCIA!AC$32</f>
        <v>2.1539281673957276E-5</v>
      </c>
      <c r="BH191" s="137">
        <f>$W191*AM191+$L191*Summary_LCIA!AD$32</f>
        <v>8.4911104280388977E-2</v>
      </c>
      <c r="BI191" s="137">
        <f>$W191*AN191+$L191*Summary_LCIA!AE$32</f>
        <v>0.2604846391396074</v>
      </c>
      <c r="BJ191" s="137">
        <f>$W191*AO191+$L191*Summary_LCIA!AF$32</f>
        <v>2.1164709367694445E-2</v>
      </c>
      <c r="BK191" s="137">
        <f>$W191*AP191+$L191*Summary_LCIA!AG$32</f>
        <v>4.6164064426944419E-3</v>
      </c>
      <c r="BL191" s="137">
        <f>$W191*AQ191+$L191*Summary_LCIA!AH$32</f>
        <v>0.70686803119409458</v>
      </c>
      <c r="BM191" s="137">
        <f>$W191*AR191+$L191*Summary_LCIA!AI$32</f>
        <v>0.21828185931824867</v>
      </c>
    </row>
    <row r="192" spans="1:65" x14ac:dyDescent="0.25">
      <c r="A192" s="149">
        <v>281</v>
      </c>
      <c r="B192" s="149">
        <v>43</v>
      </c>
      <c r="C192" s="61">
        <v>39.654181000000001</v>
      </c>
      <c r="D192" s="61">
        <v>-79.959489000000005</v>
      </c>
      <c r="E192" s="61" t="s">
        <v>265</v>
      </c>
      <c r="F192" s="149">
        <v>106</v>
      </c>
      <c r="G192" s="61" t="s">
        <v>266</v>
      </c>
      <c r="H192" s="61" t="s">
        <v>669</v>
      </c>
      <c r="I192" s="61">
        <v>40.491920999999998</v>
      </c>
      <c r="J192" s="61">
        <v>-80.235223000000005</v>
      </c>
      <c r="K192" s="61">
        <v>134.8417848</v>
      </c>
      <c r="L192" s="61">
        <v>124.12</v>
      </c>
      <c r="M192" s="61" t="s">
        <v>617</v>
      </c>
      <c r="N192" s="149">
        <v>42</v>
      </c>
      <c r="O192" s="149">
        <v>43</v>
      </c>
      <c r="P192" s="61" t="s">
        <v>565</v>
      </c>
      <c r="Q192" s="61" t="s">
        <v>555</v>
      </c>
      <c r="R192" s="61">
        <v>40.6895314</v>
      </c>
      <c r="S192" s="61">
        <v>-74.174462399999996</v>
      </c>
      <c r="T192" s="61">
        <v>593.59199999999998</v>
      </c>
      <c r="U192" s="61" t="s">
        <v>617</v>
      </c>
      <c r="V192" s="61" t="s">
        <v>569</v>
      </c>
      <c r="W192" s="61" cm="1">
        <f t="array" ref="W192">getDistance(I192,J192,R192,S192)*SA!$B$12</f>
        <v>513.433583839015</v>
      </c>
      <c r="Y192" s="137">
        <f>Transportation_LCIA!C$61*($W192^Transportation_LCIA!C$60)+Transportation_LCIA!C$62</f>
        <v>0.32815716511039528</v>
      </c>
      <c r="Z192" s="137">
        <f>Transportation_LCIA!D$61*($W192^Transportation_LCIA!D$60)+Transportation_LCIA!D$62</f>
        <v>3.5191542163843881</v>
      </c>
      <c r="AA192" s="137">
        <f>Transportation_LCIA!E$61*($W192^Transportation_LCIA!E$60)+Transportation_LCIA!E$62</f>
        <v>1.8665206810453132E-3</v>
      </c>
      <c r="AB192" s="137">
        <f>Transportation_LCIA!F$61*($W192^Transportation_LCIA!F$60)+Transportation_LCIA!F$62</f>
        <v>0.32815716511039528</v>
      </c>
      <c r="AC192" s="137">
        <f>Transportation_LCIA!G$61*($W192^Transportation_LCIA!G$60)+Transportation_LCIA!G$62</f>
        <v>8.1967302989677859E-2</v>
      </c>
      <c r="AD192" s="137">
        <f>Transportation_LCIA!H$61*($W192^Transportation_LCIA!H$60)+Transportation_LCIA!H$62</f>
        <v>4.3698853519291556E-4</v>
      </c>
      <c r="AE192" s="137">
        <f>Transportation_LCIA!I$61*($W192^Transportation_LCIA!I$60)+Transportation_LCIA!I$62</f>
        <v>1.0010201729396875E-5</v>
      </c>
      <c r="AF192" s="137">
        <f>Transportation_LCIA!J$61*($W192^Transportation_LCIA!J$60)+Transportation_LCIA!J$62</f>
        <v>1.4910087392935532E-2</v>
      </c>
      <c r="AG192" s="137">
        <f>Transportation_LCIA!K$61*($W192^Transportation_LCIA!K$60)+Transportation_LCIA!K$62</f>
        <v>1.8005284512120634E-2</v>
      </c>
      <c r="AH192" s="137">
        <f>Transportation_LCIA!L$61*($W192^Transportation_LCIA!L$60)+Transportation_LCIA!L$62</f>
        <v>3.8774642038002372E-4</v>
      </c>
      <c r="AI192" s="137">
        <f>Transportation_LCIA!M$61*($W192^Transportation_LCIA!M$60)+Transportation_LCIA!M$62</f>
        <v>3.3205908340433346E-4</v>
      </c>
      <c r="AJ192" s="137">
        <f>Transportation_LCIA!N$61*($W192^Transportation_LCIA!N$60)+Transportation_LCIA!N$62</f>
        <v>1.5278401037459809E-3</v>
      </c>
      <c r="AK192" s="137">
        <f>Transportation_LCIA!O$61*($W192^Transportation_LCIA!O$60)+Transportation_LCIA!O$62</f>
        <v>8.6776433969231709E-5</v>
      </c>
      <c r="AL192" s="137">
        <f>Transportation_LCIA!P$61*($W192^Transportation_LCIA!P$60)+Transportation_LCIA!P$62</f>
        <v>4.187496920977748E-8</v>
      </c>
      <c r="AM192" s="137">
        <f>Transportation_LCIA!Q$61*($W192^Transportation_LCIA!Q$60)+Transportation_LCIA!Q$62</f>
        <v>1.5289540886279419E-4</v>
      </c>
      <c r="AN192" s="137">
        <f>Transportation_LCIA!R$61*($W192^Transportation_LCIA!R$60)+Transportation_LCIA!R$62</f>
        <v>4.8092919779996581E-4</v>
      </c>
      <c r="AO192" s="137">
        <f>Transportation_LCIA!S$61*($W192^Transportation_LCIA!S$60)+Transportation_LCIA!S$62</f>
        <v>7.081081996143308E-6</v>
      </c>
      <c r="AP192" s="137">
        <f>Transportation_LCIA!T$61*($W192^Transportation_LCIA!T$60)+Transportation_LCIA!T$62</f>
        <v>7.081081996143308E-6</v>
      </c>
      <c r="AQ192" s="137">
        <f>Transportation_LCIA!U$61*($W192^Transportation_LCIA!U$60)+Transportation_LCIA!U$62</f>
        <v>1.0425420500377758E-3</v>
      </c>
      <c r="AR192" s="137">
        <f>Transportation_LCIA!V$61*($W192^Transportation_LCIA!V$60)+Transportation_LCIA!V$62</f>
        <v>3.9809863614409633E-4</v>
      </c>
      <c r="AT192" s="137">
        <f>$W192*Y192+$L192*Summary_LCIA!H$32</f>
        <v>210.66288534508161</v>
      </c>
      <c r="AU192" s="137">
        <f>$W192*Z192+$L192*Summary_LCIA!Q$32</f>
        <v>2421.9969411443772</v>
      </c>
      <c r="AV192" s="137">
        <f>$W192*AA192+$L192*Summary_LCIA!R$32</f>
        <v>1.6119006745787341</v>
      </c>
      <c r="AW192" s="137">
        <f>$W192*AB192+$L192*Summary_LCIA!S$32</f>
        <v>210.1142749450816</v>
      </c>
      <c r="AX192" s="137">
        <f>$W192*AC192+$L192*Summary_LCIA!T$32</f>
        <v>55.72555413160871</v>
      </c>
      <c r="AY192" s="137">
        <f>$W192*AD192+$L192*Summary_LCIA!U$32</f>
        <v>2.4478502697206603</v>
      </c>
      <c r="AZ192" s="137">
        <f>$W192*AE192+$L192*Summary_LCIA!V$32</f>
        <v>1.1067669068875744E-2</v>
      </c>
      <c r="BA192" s="137">
        <f>$W192*AF192+$L192*Summary_LCIA!W$32</f>
        <v>17.208980125507807</v>
      </c>
      <c r="BB192" s="137">
        <f>$W192*AG192+$L192*Summary_LCIA!X$32</f>
        <v>12.071971355099208</v>
      </c>
      <c r="BC192" s="137">
        <f>$W192*AH192+$L192*Summary_LCIA!Y$32</f>
        <v>2.1331198742364648</v>
      </c>
      <c r="BD192" s="137">
        <f>$W192*AI192+$L192*Summary_LCIA!Z$32</f>
        <v>0.17558032231858531</v>
      </c>
      <c r="BE192" s="137">
        <f>$W192*AJ192+$L192*Summary_LCIA!AA$32</f>
        <v>3.6833911399992716</v>
      </c>
      <c r="BF192" s="137">
        <f>$W192*AK192+$L192*Summary_LCIA!AB$32</f>
        <v>4.1845264725592274E-2</v>
      </c>
      <c r="BG192" s="137">
        <f>$W192*AL192+$L192*Summary_LCIA!AC$32</f>
        <v>2.7567497594524459E-5</v>
      </c>
      <c r="BH192" s="137">
        <f>$W192*AM192+$L192*Summary_LCIA!AD$32</f>
        <v>0.12951992252495592</v>
      </c>
      <c r="BI192" s="137">
        <f>$W192*AN192+$L192*Summary_LCIA!AE$32</f>
        <v>0.35691165719925899</v>
      </c>
      <c r="BJ192" s="137">
        <f>$W192*AO192+$L192*Summary_LCIA!AF$32</f>
        <v>0.1085691957067378</v>
      </c>
      <c r="BK192" s="137">
        <f>$W192*AP192+$L192*Summary_LCIA!AG$32</f>
        <v>9.9862651067377847E-3</v>
      </c>
      <c r="BL192" s="137">
        <f>$W192*AQ192+$L192*Summary_LCIA!AH$32</f>
        <v>1.6155669330537692</v>
      </c>
      <c r="BM192" s="137">
        <f>$W192*AR192+$L192*Summary_LCIA!AI$32</f>
        <v>0.3200211954768874</v>
      </c>
    </row>
    <row r="193" spans="1:65" x14ac:dyDescent="0.25">
      <c r="A193" s="149">
        <v>77</v>
      </c>
      <c r="B193" s="149">
        <v>6</v>
      </c>
      <c r="C193" s="61">
        <v>40.006103000000003</v>
      </c>
      <c r="D193" s="61">
        <v>-83.016536000000002</v>
      </c>
      <c r="E193" s="61" t="s">
        <v>265</v>
      </c>
      <c r="F193" s="149">
        <v>110</v>
      </c>
      <c r="G193" s="61" t="s">
        <v>658</v>
      </c>
      <c r="H193" s="61" t="s">
        <v>659</v>
      </c>
      <c r="I193" s="61">
        <v>39.999940000000002</v>
      </c>
      <c r="J193" s="61">
        <v>-82.887176999999994</v>
      </c>
      <c r="K193" s="61">
        <v>11.068644279999999</v>
      </c>
      <c r="L193" s="61">
        <v>18.408000000000001</v>
      </c>
      <c r="M193" s="61" t="s">
        <v>617</v>
      </c>
      <c r="N193" s="149">
        <v>5</v>
      </c>
      <c r="O193" s="149">
        <v>6</v>
      </c>
      <c r="P193" s="61" t="s">
        <v>565</v>
      </c>
      <c r="Q193" s="61" t="s">
        <v>564</v>
      </c>
      <c r="R193" s="61">
        <v>41.98028</v>
      </c>
      <c r="S193" s="61">
        <v>-87.908997900000003</v>
      </c>
      <c r="T193" s="61">
        <v>601.20799999999997</v>
      </c>
      <c r="U193" s="61" t="s">
        <v>617</v>
      </c>
      <c r="V193" s="61" t="s">
        <v>569</v>
      </c>
      <c r="W193" s="61" cm="1">
        <f t="array" ref="W193">getDistance(I193,J193,R193,S193)*SA!$B$12</f>
        <v>476.46082211216719</v>
      </c>
      <c r="Y193" s="137">
        <f>Transportation_LCIA!C$61*($W193^Transportation_LCIA!C$60)+Transportation_LCIA!C$62</f>
        <v>0.3421495485374596</v>
      </c>
      <c r="Z193" s="137">
        <f>Transportation_LCIA!D$61*($W193^Transportation_LCIA!D$60)+Transportation_LCIA!D$62</f>
        <v>3.6874835022314647</v>
      </c>
      <c r="AA193" s="137">
        <f>Transportation_LCIA!E$61*($W193^Transportation_LCIA!E$60)+Transportation_LCIA!E$62</f>
        <v>1.9781439132864741E-3</v>
      </c>
      <c r="AB193" s="137">
        <f>Transportation_LCIA!F$61*($W193^Transportation_LCIA!F$60)+Transportation_LCIA!F$62</f>
        <v>0.3421495485374596</v>
      </c>
      <c r="AC193" s="137">
        <f>Transportation_LCIA!G$61*($W193^Transportation_LCIA!G$60)+Transportation_LCIA!G$62</f>
        <v>8.585483264216312E-2</v>
      </c>
      <c r="AD193" s="137">
        <f>Transportation_LCIA!H$61*($W193^Transportation_LCIA!H$60)+Transportation_LCIA!H$62</f>
        <v>4.6194970027992912E-4</v>
      </c>
      <c r="AE193" s="137">
        <f>Transportation_LCIA!I$61*($W193^Transportation_LCIA!I$60)+Transportation_LCIA!I$62</f>
        <v>1.0655867543092664E-5</v>
      </c>
      <c r="AF193" s="137">
        <f>Transportation_LCIA!J$61*($W193^Transportation_LCIA!J$60)+Transportation_LCIA!J$62</f>
        <v>1.5888874162923741E-2</v>
      </c>
      <c r="AG193" s="137">
        <f>Transportation_LCIA!K$61*($W193^Transportation_LCIA!K$60)+Transportation_LCIA!K$62</f>
        <v>1.8926799382803748E-2</v>
      </c>
      <c r="AH193" s="137">
        <f>Transportation_LCIA!L$61*($W193^Transportation_LCIA!L$60)+Transportation_LCIA!L$62</f>
        <v>4.1087237564962301E-4</v>
      </c>
      <c r="AI193" s="137">
        <f>Transportation_LCIA!M$61*($W193^Transportation_LCIA!M$60)+Transportation_LCIA!M$62</f>
        <v>3.4584758868402539E-4</v>
      </c>
      <c r="AJ193" s="137">
        <f>Transportation_LCIA!N$61*($W193^Transportation_LCIA!N$60)+Transportation_LCIA!N$62</f>
        <v>1.6115826777894741E-3</v>
      </c>
      <c r="AK193" s="137">
        <f>Transportation_LCIA!O$61*($W193^Transportation_LCIA!O$60)+Transportation_LCIA!O$62</f>
        <v>9.0910885097424208E-5</v>
      </c>
      <c r="AL193" s="137">
        <f>Transportation_LCIA!P$61*($W193^Transportation_LCIA!P$60)+Transportation_LCIA!P$62</f>
        <v>4.3858281937434929E-8</v>
      </c>
      <c r="AM193" s="137">
        <f>Transportation_LCIA!Q$61*($W193^Transportation_LCIA!Q$60)+Transportation_LCIA!Q$62</f>
        <v>1.6197541816227853E-4</v>
      </c>
      <c r="AN193" s="137">
        <f>Transportation_LCIA!R$61*($W193^Transportation_LCIA!R$60)+Transportation_LCIA!R$62</f>
        <v>5.1191111541630801E-4</v>
      </c>
      <c r="AO193" s="137">
        <f>Transportation_LCIA!S$61*($W193^Transportation_LCIA!S$60)+Transportation_LCIA!S$62</f>
        <v>7.5202466562288372E-6</v>
      </c>
      <c r="AP193" s="137">
        <f>Transportation_LCIA!T$61*($W193^Transportation_LCIA!T$60)+Transportation_LCIA!T$62</f>
        <v>7.5202466562288372E-6</v>
      </c>
      <c r="AQ193" s="137">
        <f>Transportation_LCIA!U$61*($W193^Transportation_LCIA!U$60)+Transportation_LCIA!U$62</f>
        <v>1.1108369369812168E-3</v>
      </c>
      <c r="AR193" s="137">
        <f>Transportation_LCIA!V$61*($W193^Transportation_LCIA!V$60)+Transportation_LCIA!V$62</f>
        <v>4.2184744513366603E-4</v>
      </c>
      <c r="AT193" s="137">
        <f>$W193*Y193+$L193*Summary_LCIA!H$32</f>
        <v>169.27589358146486</v>
      </c>
      <c r="AU193" s="137">
        <f>$W193*Z193+$L193*Summary_LCIA!Q$32</f>
        <v>1848.1723973689211</v>
      </c>
      <c r="AV193" s="137">
        <f>$W193*AA193+$L193*Summary_LCIA!R$32</f>
        <v>1.0394372399806531</v>
      </c>
      <c r="AW193" s="137">
        <f>$W193*AB193+$L193*Summary_LCIA!S$32</f>
        <v>169.19453022146487</v>
      </c>
      <c r="AX193" s="137">
        <f>$W193*AC193+$L193*Summary_LCIA!T$32</f>
        <v>42.929503342987566</v>
      </c>
      <c r="AY193" s="137">
        <f>$W193*AD193+$L193*Summary_LCIA!U$32</f>
        <v>0.54986184596984433</v>
      </c>
      <c r="AZ193" s="137">
        <f>$W193*AE193+$L193*Summary_LCIA!V$32</f>
        <v>5.9562878979002899E-3</v>
      </c>
      <c r="BA193" s="137">
        <f>$W193*AF193+$L193*Summary_LCIA!W$32</f>
        <v>8.9873082141034182</v>
      </c>
      <c r="BB193" s="137">
        <f>$W193*AG193+$L193*Summary_LCIA!X$32</f>
        <v>9.4372126338827318</v>
      </c>
      <c r="BC193" s="137">
        <f>$W193*AH193+$L193*Summary_LCIA!Y$32</f>
        <v>0.48259804588519861</v>
      </c>
      <c r="BD193" s="137">
        <f>$W193*AI193+$L193*Summary_LCIA!Z$32</f>
        <v>0.16553772010190138</v>
      </c>
      <c r="BE193" s="137">
        <f>$W193*AJ193+$L193*Summary_LCIA!AA$32</f>
        <v>1.1977932555613007</v>
      </c>
      <c r="BF193" s="137">
        <f>$W193*AK193+$L193*Summary_LCIA!AB$32</f>
        <v>4.2913757268463505E-2</v>
      </c>
      <c r="BG193" s="137">
        <f>$W193*AL193+$L193*Summary_LCIA!AC$32</f>
        <v>2.179660974033746E-5</v>
      </c>
      <c r="BH193" s="137">
        <f>$W193*AM193+$L193*Summary_LCIA!AD$32</f>
        <v>8.4741365219561285E-2</v>
      </c>
      <c r="BI193" s="137">
        <f>$W193*AN193+$L193*Summary_LCIA!AE$32</f>
        <v>0.26021747193961059</v>
      </c>
      <c r="BJ193" s="137">
        <f>$W193*AO193+$L193*Summary_LCIA!AF$32</f>
        <v>1.914559426431307E-2</v>
      </c>
      <c r="BK193" s="137">
        <f>$W193*AP193+$L193*Summary_LCIA!AG$32</f>
        <v>4.5249482243130681E-3</v>
      </c>
      <c r="BL193" s="137">
        <f>$W193*AQ193+$L193*Summary_LCIA!AH$32</f>
        <v>0.6894861490266323</v>
      </c>
      <c r="BM193" s="137">
        <f>$W193*AR193+$L193*Summary_LCIA!AI$32</f>
        <v>0.21814175291430385</v>
      </c>
    </row>
    <row r="194" spans="1:65" x14ac:dyDescent="0.25">
      <c r="A194" s="149">
        <v>78</v>
      </c>
      <c r="B194" s="149">
        <v>6</v>
      </c>
      <c r="C194" s="61">
        <v>40.006103000000003</v>
      </c>
      <c r="D194" s="61">
        <v>-83.016536000000002</v>
      </c>
      <c r="E194" s="61" t="s">
        <v>265</v>
      </c>
      <c r="F194" s="149">
        <v>110</v>
      </c>
      <c r="G194" s="61" t="s">
        <v>658</v>
      </c>
      <c r="H194" s="61" t="s">
        <v>659</v>
      </c>
      <c r="I194" s="61">
        <v>39.999940000000002</v>
      </c>
      <c r="J194" s="61">
        <v>-82.887176999999994</v>
      </c>
      <c r="K194" s="61">
        <v>11.068644279999999</v>
      </c>
      <c r="L194" s="61">
        <v>18.408000000000001</v>
      </c>
      <c r="M194" s="61" t="s">
        <v>617</v>
      </c>
      <c r="N194" s="149">
        <v>5</v>
      </c>
      <c r="O194" s="149">
        <v>6</v>
      </c>
      <c r="P194" s="61" t="s">
        <v>565</v>
      </c>
      <c r="Q194" s="61" t="s">
        <v>564</v>
      </c>
      <c r="R194" s="61">
        <v>41.98028</v>
      </c>
      <c r="S194" s="61">
        <v>-87.908997900000003</v>
      </c>
      <c r="T194" s="61">
        <v>601.20799999999997</v>
      </c>
      <c r="U194" s="61" t="s">
        <v>617</v>
      </c>
      <c r="V194" s="61" t="s">
        <v>569</v>
      </c>
      <c r="W194" s="61" cm="1">
        <f t="array" ref="W194">getDistance(I194,J194,R194,S194)*SA!$B$12</f>
        <v>476.46082211216719</v>
      </c>
      <c r="Y194" s="137">
        <f>Transportation_LCIA!C$61*($W194^Transportation_LCIA!C$60)+Transportation_LCIA!C$62</f>
        <v>0.3421495485374596</v>
      </c>
      <c r="Z194" s="137">
        <f>Transportation_LCIA!D$61*($W194^Transportation_LCIA!D$60)+Transportation_LCIA!D$62</f>
        <v>3.6874835022314647</v>
      </c>
      <c r="AA194" s="137">
        <f>Transportation_LCIA!E$61*($W194^Transportation_LCIA!E$60)+Transportation_LCIA!E$62</f>
        <v>1.9781439132864741E-3</v>
      </c>
      <c r="AB194" s="137">
        <f>Transportation_LCIA!F$61*($W194^Transportation_LCIA!F$60)+Transportation_LCIA!F$62</f>
        <v>0.3421495485374596</v>
      </c>
      <c r="AC194" s="137">
        <f>Transportation_LCIA!G$61*($W194^Transportation_LCIA!G$60)+Transportation_LCIA!G$62</f>
        <v>8.585483264216312E-2</v>
      </c>
      <c r="AD194" s="137">
        <f>Transportation_LCIA!H$61*($W194^Transportation_LCIA!H$60)+Transportation_LCIA!H$62</f>
        <v>4.6194970027992912E-4</v>
      </c>
      <c r="AE194" s="137">
        <f>Transportation_LCIA!I$61*($W194^Transportation_LCIA!I$60)+Transportation_LCIA!I$62</f>
        <v>1.0655867543092664E-5</v>
      </c>
      <c r="AF194" s="137">
        <f>Transportation_LCIA!J$61*($W194^Transportation_LCIA!J$60)+Transportation_LCIA!J$62</f>
        <v>1.5888874162923741E-2</v>
      </c>
      <c r="AG194" s="137">
        <f>Transportation_LCIA!K$61*($W194^Transportation_LCIA!K$60)+Transportation_LCIA!K$62</f>
        <v>1.8926799382803748E-2</v>
      </c>
      <c r="AH194" s="137">
        <f>Transportation_LCIA!L$61*($W194^Transportation_LCIA!L$60)+Transportation_LCIA!L$62</f>
        <v>4.1087237564962301E-4</v>
      </c>
      <c r="AI194" s="137">
        <f>Transportation_LCIA!M$61*($W194^Transportation_LCIA!M$60)+Transportation_LCIA!M$62</f>
        <v>3.4584758868402539E-4</v>
      </c>
      <c r="AJ194" s="137">
        <f>Transportation_LCIA!N$61*($W194^Transportation_LCIA!N$60)+Transportation_LCIA!N$62</f>
        <v>1.6115826777894741E-3</v>
      </c>
      <c r="AK194" s="137">
        <f>Transportation_LCIA!O$61*($W194^Transportation_LCIA!O$60)+Transportation_LCIA!O$62</f>
        <v>9.0910885097424208E-5</v>
      </c>
      <c r="AL194" s="137">
        <f>Transportation_LCIA!P$61*($W194^Transportation_LCIA!P$60)+Transportation_LCIA!P$62</f>
        <v>4.3858281937434929E-8</v>
      </c>
      <c r="AM194" s="137">
        <f>Transportation_LCIA!Q$61*($W194^Transportation_LCIA!Q$60)+Transportation_LCIA!Q$62</f>
        <v>1.6197541816227853E-4</v>
      </c>
      <c r="AN194" s="137">
        <f>Transportation_LCIA!R$61*($W194^Transportation_LCIA!R$60)+Transportation_LCIA!R$62</f>
        <v>5.1191111541630801E-4</v>
      </c>
      <c r="AO194" s="137">
        <f>Transportation_LCIA!S$61*($W194^Transportation_LCIA!S$60)+Transportation_LCIA!S$62</f>
        <v>7.5202466562288372E-6</v>
      </c>
      <c r="AP194" s="137">
        <f>Transportation_LCIA!T$61*($W194^Transportation_LCIA!T$60)+Transportation_LCIA!T$62</f>
        <v>7.5202466562288372E-6</v>
      </c>
      <c r="AQ194" s="137">
        <f>Transportation_LCIA!U$61*($W194^Transportation_LCIA!U$60)+Transportation_LCIA!U$62</f>
        <v>1.1108369369812168E-3</v>
      </c>
      <c r="AR194" s="137">
        <f>Transportation_LCIA!V$61*($W194^Transportation_LCIA!V$60)+Transportation_LCIA!V$62</f>
        <v>4.2184744513366603E-4</v>
      </c>
      <c r="AT194" s="137">
        <f>$W194*Y194+$L194*Summary_LCIA!H$32</f>
        <v>169.27589358146486</v>
      </c>
      <c r="AU194" s="137">
        <f>$W194*Z194+$L194*Summary_LCIA!Q$32</f>
        <v>1848.1723973689211</v>
      </c>
      <c r="AV194" s="137">
        <f>$W194*AA194+$L194*Summary_LCIA!R$32</f>
        <v>1.0394372399806531</v>
      </c>
      <c r="AW194" s="137">
        <f>$W194*AB194+$L194*Summary_LCIA!S$32</f>
        <v>169.19453022146487</v>
      </c>
      <c r="AX194" s="137">
        <f>$W194*AC194+$L194*Summary_LCIA!T$32</f>
        <v>42.929503342987566</v>
      </c>
      <c r="AY194" s="137">
        <f>$W194*AD194+$L194*Summary_LCIA!U$32</f>
        <v>0.54986184596984433</v>
      </c>
      <c r="AZ194" s="137">
        <f>$W194*AE194+$L194*Summary_LCIA!V$32</f>
        <v>5.9562878979002899E-3</v>
      </c>
      <c r="BA194" s="137">
        <f>$W194*AF194+$L194*Summary_LCIA!W$32</f>
        <v>8.9873082141034182</v>
      </c>
      <c r="BB194" s="137">
        <f>$W194*AG194+$L194*Summary_LCIA!X$32</f>
        <v>9.4372126338827318</v>
      </c>
      <c r="BC194" s="137">
        <f>$W194*AH194+$L194*Summary_LCIA!Y$32</f>
        <v>0.48259804588519861</v>
      </c>
      <c r="BD194" s="137">
        <f>$W194*AI194+$L194*Summary_LCIA!Z$32</f>
        <v>0.16553772010190138</v>
      </c>
      <c r="BE194" s="137">
        <f>$W194*AJ194+$L194*Summary_LCIA!AA$32</f>
        <v>1.1977932555613007</v>
      </c>
      <c r="BF194" s="137">
        <f>$W194*AK194+$L194*Summary_LCIA!AB$32</f>
        <v>4.2913757268463505E-2</v>
      </c>
      <c r="BG194" s="137">
        <f>$W194*AL194+$L194*Summary_LCIA!AC$32</f>
        <v>2.179660974033746E-5</v>
      </c>
      <c r="BH194" s="137">
        <f>$W194*AM194+$L194*Summary_LCIA!AD$32</f>
        <v>8.4741365219561285E-2</v>
      </c>
      <c r="BI194" s="137">
        <f>$W194*AN194+$L194*Summary_LCIA!AE$32</f>
        <v>0.26021747193961059</v>
      </c>
      <c r="BJ194" s="137">
        <f>$W194*AO194+$L194*Summary_LCIA!AF$32</f>
        <v>1.914559426431307E-2</v>
      </c>
      <c r="BK194" s="137">
        <f>$W194*AP194+$L194*Summary_LCIA!AG$32</f>
        <v>4.5249482243130681E-3</v>
      </c>
      <c r="BL194" s="137">
        <f>$W194*AQ194+$L194*Summary_LCIA!AH$32</f>
        <v>0.6894861490266323</v>
      </c>
      <c r="BM194" s="137">
        <f>$W194*AR194+$L194*Summary_LCIA!AI$32</f>
        <v>0.21814175291430385</v>
      </c>
    </row>
    <row r="195" spans="1:65" x14ac:dyDescent="0.25">
      <c r="A195" s="149">
        <v>79</v>
      </c>
      <c r="B195" s="149">
        <v>6</v>
      </c>
      <c r="C195" s="61">
        <v>41.615028000000002</v>
      </c>
      <c r="D195" s="61">
        <v>-81.473634000000004</v>
      </c>
      <c r="E195" s="61" t="s">
        <v>265</v>
      </c>
      <c r="F195" s="149">
        <v>105</v>
      </c>
      <c r="G195" s="61" t="s">
        <v>276</v>
      </c>
      <c r="H195" s="61" t="s">
        <v>660</v>
      </c>
      <c r="I195" s="61">
        <v>41.405799000000002</v>
      </c>
      <c r="J195" s="61">
        <v>-81.853866999999994</v>
      </c>
      <c r="K195" s="61">
        <v>48.412403679999997</v>
      </c>
      <c r="L195" s="61">
        <v>45.866999999999997</v>
      </c>
      <c r="M195" s="61" t="s">
        <v>617</v>
      </c>
      <c r="N195" s="149">
        <v>5</v>
      </c>
      <c r="O195" s="149">
        <v>6</v>
      </c>
      <c r="P195" s="61" t="s">
        <v>565</v>
      </c>
      <c r="Q195" s="61" t="s">
        <v>564</v>
      </c>
      <c r="R195" s="61">
        <v>41.98028</v>
      </c>
      <c r="S195" s="61">
        <v>-87.908997900000003</v>
      </c>
      <c r="T195" s="61">
        <v>603.75900000000001</v>
      </c>
      <c r="U195" s="61" t="s">
        <v>617</v>
      </c>
      <c r="V195" s="61" t="s">
        <v>569</v>
      </c>
      <c r="W195" s="61" cm="1">
        <f t="array" ref="W195">getDistance(I195,J195,R195,S195)*SA!$B$12</f>
        <v>508.0035886560301</v>
      </c>
      <c r="Y195" s="137">
        <f>Transportation_LCIA!C$61*($W195^Transportation_LCIA!C$60)+Transportation_LCIA!C$62</f>
        <v>0.33009466965930534</v>
      </c>
      <c r="Z195" s="137">
        <f>Transportation_LCIA!D$61*($W195^Transportation_LCIA!D$60)+Transportation_LCIA!D$62</f>
        <v>3.5424297147150119</v>
      </c>
      <c r="AA195" s="137">
        <f>Transportation_LCIA!E$61*($W195^Transportation_LCIA!E$60)+Transportation_LCIA!E$62</f>
        <v>1.881949117619271E-3</v>
      </c>
      <c r="AB195" s="137">
        <f>Transportation_LCIA!F$61*($W195^Transportation_LCIA!F$60)+Transportation_LCIA!F$62</f>
        <v>0.33009466965930534</v>
      </c>
      <c r="AC195" s="137">
        <f>Transportation_LCIA!G$61*($W195^Transportation_LCIA!G$60)+Transportation_LCIA!G$62</f>
        <v>8.2504889928352365E-2</v>
      </c>
      <c r="AD195" s="137">
        <f>Transportation_LCIA!H$61*($W195^Transportation_LCIA!H$60)+Transportation_LCIA!H$62</f>
        <v>4.4043594058456003E-4</v>
      </c>
      <c r="AE195" s="137">
        <f>Transportation_LCIA!I$61*($W195^Transportation_LCIA!I$60)+Transportation_LCIA!I$62</f>
        <v>1.0099262763484922E-5</v>
      </c>
      <c r="AF195" s="137">
        <f>Transportation_LCIA!J$61*($W195^Transportation_LCIA!J$60)+Transportation_LCIA!J$62</f>
        <v>1.5044986830824957E-2</v>
      </c>
      <c r="AG195" s="137">
        <f>Transportation_LCIA!K$61*($W195^Transportation_LCIA!K$60)+Transportation_LCIA!K$62</f>
        <v>1.8132625491128557E-2</v>
      </c>
      <c r="AH195" s="137">
        <f>Transportation_LCIA!L$61*($W195^Transportation_LCIA!L$60)+Transportation_LCIA!L$62</f>
        <v>3.9093921727928455E-4</v>
      </c>
      <c r="AI195" s="137">
        <f>Transportation_LCIA!M$61*($W195^Transportation_LCIA!M$60)+Transportation_LCIA!M$62</f>
        <v>3.3396334311075232E-4</v>
      </c>
      <c r="AJ195" s="137">
        <f>Transportation_LCIA!N$61*($W195^Transportation_LCIA!N$60)+Transportation_LCIA!N$62</f>
        <v>1.5394070125787397E-3</v>
      </c>
      <c r="AK195" s="137">
        <f>Transportation_LCIA!O$61*($W195^Transportation_LCIA!O$60)+Transportation_LCIA!O$62</f>
        <v>8.7348144302915392E-5</v>
      </c>
      <c r="AL195" s="137">
        <f>Transportation_LCIA!P$61*($W195^Transportation_LCIA!P$60)+Transportation_LCIA!P$62</f>
        <v>4.2149249681484652E-8</v>
      </c>
      <c r="AM195" s="137">
        <f>Transportation_LCIA!Q$61*($W195^Transportation_LCIA!Q$60)+Transportation_LCIA!Q$62</f>
        <v>1.5414876345104929E-4</v>
      </c>
      <c r="AN195" s="137">
        <f>Transportation_LCIA!R$61*($W195^Transportation_LCIA!R$60)+Transportation_LCIA!R$62</f>
        <v>4.8520261212265276E-4</v>
      </c>
      <c r="AO195" s="137">
        <f>Transportation_LCIA!S$61*($W195^Transportation_LCIA!S$60)+Transportation_LCIA!S$62</f>
        <v>7.1416605098105525E-6</v>
      </c>
      <c r="AP195" s="137">
        <f>Transportation_LCIA!T$61*($W195^Transportation_LCIA!T$60)+Transportation_LCIA!T$62</f>
        <v>7.1416605098105525E-6</v>
      </c>
      <c r="AQ195" s="137">
        <f>Transportation_LCIA!U$61*($W195^Transportation_LCIA!U$60)+Transportation_LCIA!U$62</f>
        <v>1.0519598834212809E-3</v>
      </c>
      <c r="AR195" s="137">
        <f>Transportation_LCIA!V$61*($W195^Transportation_LCIA!V$60)+Transportation_LCIA!V$62</f>
        <v>4.0137597393638617E-4</v>
      </c>
      <c r="AT195" s="137">
        <f>$W195*Y195+$L195*Summary_LCIA!H$32</f>
        <v>183.27488338315391</v>
      </c>
      <c r="AU195" s="137">
        <f>$W195*Z195+$L195*Summary_LCIA!Q$32</f>
        <v>2026.8861728473939</v>
      </c>
      <c r="AV195" s="137">
        <f>$W195*AA195+$L195*Summary_LCIA!R$32</f>
        <v>1.1975541806186389</v>
      </c>
      <c r="AW195" s="137">
        <f>$W195*AB195+$L195*Summary_LCIA!S$32</f>
        <v>183.07215124315391</v>
      </c>
      <c r="AX195" s="137">
        <f>$W195*AC195+$L195*Summary_LCIA!T$32</f>
        <v>46.95356346527376</v>
      </c>
      <c r="AY195" s="137">
        <f>$W195*AD195+$L195*Summary_LCIA!U$32</f>
        <v>1.0454044763900505</v>
      </c>
      <c r="AZ195" s="137">
        <f>$W195*AE195+$L195*Summary_LCIA!V$32</f>
        <v>7.3211155136305561E-3</v>
      </c>
      <c r="BA195" s="137">
        <f>$W195*AF195+$L195*Summary_LCIA!W$32</f>
        <v>11.17333615834179</v>
      </c>
      <c r="BB195" s="137">
        <f>$W195*AG195+$L195*Summary_LCIA!X$32</f>
        <v>10.256289081249118</v>
      </c>
      <c r="BC195" s="137">
        <f>$W195*AH195+$L195*Summary_LCIA!Y$32</f>
        <v>0.91329811932425597</v>
      </c>
      <c r="BD195" s="137">
        <f>$W195*AI195+$L195*Summary_LCIA!Z$32</f>
        <v>0.17153553658282725</v>
      </c>
      <c r="BE195" s="137">
        <f>$W195*AJ195+$L195*Summary_LCIA!AA$32</f>
        <v>1.853293938792258</v>
      </c>
      <c r="BF195" s="137">
        <f>$W195*AK195+$L195*Summary_LCIA!AB$32</f>
        <v>4.3372215227325789E-2</v>
      </c>
      <c r="BG195" s="137">
        <f>$W195*AL195+$L195*Summary_LCIA!AC$32</f>
        <v>2.3654132525353234E-5</v>
      </c>
      <c r="BH195" s="137">
        <f>$W195*AM195+$L195*Summary_LCIA!AD$32</f>
        <v>9.7161296700022534E-2</v>
      </c>
      <c r="BI195" s="137">
        <f>$W195*AN195+$L195*Summary_LCIA!AE$32</f>
        <v>0.28712879289358739</v>
      </c>
      <c r="BJ195" s="137">
        <f>$W195*AO195+$L195*Summary_LCIA!AF$32</f>
        <v>4.2404868307946812E-2</v>
      </c>
      <c r="BK195" s="137">
        <f>$W195*AP195+$L195*Summary_LCIA!AG$32</f>
        <v>5.9747742229468142E-3</v>
      </c>
      <c r="BL195" s="137">
        <f>$W195*AQ195+$L195*Summary_LCIA!AH$32</f>
        <v>0.9336074171001898</v>
      </c>
      <c r="BM195" s="137">
        <f>$W195*AR195+$L195*Summary_LCIA!AI$32</f>
        <v>0.24662783900999335</v>
      </c>
    </row>
    <row r="196" spans="1:65" x14ac:dyDescent="0.25">
      <c r="A196" s="149">
        <v>273</v>
      </c>
      <c r="B196" s="149">
        <v>43</v>
      </c>
      <c r="C196" s="61">
        <v>45.501688999999999</v>
      </c>
      <c r="D196" s="61">
        <v>-73.567256</v>
      </c>
      <c r="E196" s="61" t="s">
        <v>458</v>
      </c>
      <c r="F196" s="149">
        <v>124</v>
      </c>
      <c r="G196" s="61" t="s">
        <v>654</v>
      </c>
      <c r="H196" s="61" t="s">
        <v>655</v>
      </c>
      <c r="I196" s="61">
        <v>45.465685000000001</v>
      </c>
      <c r="J196" s="61">
        <v>-73.745480999999998</v>
      </c>
      <c r="K196" s="61">
        <v>15.92927869</v>
      </c>
      <c r="L196" s="61">
        <v>19.553999999999998</v>
      </c>
      <c r="M196" s="61" t="s">
        <v>617</v>
      </c>
      <c r="N196" s="149">
        <v>42</v>
      </c>
      <c r="O196" s="149">
        <v>43</v>
      </c>
      <c r="P196" s="61" t="s">
        <v>565</v>
      </c>
      <c r="Q196" s="61" t="s">
        <v>555</v>
      </c>
      <c r="R196" s="61">
        <v>40.6895314</v>
      </c>
      <c r="S196" s="61">
        <v>-74.174462399999996</v>
      </c>
      <c r="T196" s="61">
        <v>604.83699999999999</v>
      </c>
      <c r="U196" s="61" t="s">
        <v>617</v>
      </c>
      <c r="V196" s="61" t="s">
        <v>569</v>
      </c>
      <c r="W196" s="61" cm="1">
        <f t="array" ref="W196">getDistance(I196,J196,R196,S196)*SA!$B$12</f>
        <v>532.70082587978914</v>
      </c>
      <c r="Y196" s="137">
        <f>Transportation_LCIA!C$61*($W196^Transportation_LCIA!C$60)+Transportation_LCIA!C$62</f>
        <v>0.32157602463370416</v>
      </c>
      <c r="Z196" s="137">
        <f>Transportation_LCIA!D$61*($W196^Transportation_LCIA!D$60)+Transportation_LCIA!D$62</f>
        <v>3.4401752281760434</v>
      </c>
      <c r="AA196" s="137">
        <f>Transportation_LCIA!E$61*($W196^Transportation_LCIA!E$60)+Transportation_LCIA!E$62</f>
        <v>1.8141836341962153E-3</v>
      </c>
      <c r="AB196" s="137">
        <f>Transportation_LCIA!F$61*($W196^Transportation_LCIA!F$60)+Transportation_LCIA!F$62</f>
        <v>0.32157602463370416</v>
      </c>
      <c r="AC196" s="137">
        <f>Transportation_LCIA!G$61*($W196^Transportation_LCIA!G$60)+Transportation_LCIA!G$62</f>
        <v>8.0143040676289495E-2</v>
      </c>
      <c r="AD196" s="137">
        <f>Transportation_LCIA!H$61*($W196^Transportation_LCIA!H$60)+Transportation_LCIA!H$62</f>
        <v>4.2530075100495493E-4</v>
      </c>
      <c r="AE196" s="137">
        <f>Transportation_LCIA!I$61*($W196^Transportation_LCIA!I$60)+Transportation_LCIA!I$62</f>
        <v>9.7085338694522006E-6</v>
      </c>
      <c r="AF196" s="137">
        <f>Transportation_LCIA!J$61*($W196^Transportation_LCIA!J$60)+Transportation_LCIA!J$62</f>
        <v>1.4453429332288598E-2</v>
      </c>
      <c r="AG196" s="137">
        <f>Transportation_LCIA!K$61*($W196^Transportation_LCIA!K$60)+Transportation_LCIA!K$62</f>
        <v>1.7573386146825021E-2</v>
      </c>
      <c r="AH196" s="137">
        <f>Transportation_LCIA!L$61*($W196^Transportation_LCIA!L$60)+Transportation_LCIA!L$62</f>
        <v>3.7692466700234696E-4</v>
      </c>
      <c r="AI196" s="137">
        <f>Transportation_LCIA!M$61*($W196^Transportation_LCIA!M$60)+Transportation_LCIA!M$62</f>
        <v>3.2560324687594627E-4</v>
      </c>
      <c r="AJ196" s="137">
        <f>Transportation_LCIA!N$61*($W196^Transportation_LCIA!N$60)+Transportation_LCIA!N$62</f>
        <v>1.4886217992903391E-3</v>
      </c>
      <c r="AK196" s="137">
        <f>Transportation_LCIA!O$61*($W196^Transportation_LCIA!O$60)+Transportation_LCIA!O$62</f>
        <v>8.4836431112135085E-5</v>
      </c>
      <c r="AL196" s="137">
        <f>Transportation_LCIA!P$61*($W196^Transportation_LCIA!P$60)+Transportation_LCIA!P$62</f>
        <v>4.094417350036071E-8</v>
      </c>
      <c r="AM196" s="137">
        <f>Transportation_LCIA!Q$61*($W196^Transportation_LCIA!Q$60)+Transportation_LCIA!Q$62</f>
        <v>1.4864785211779024E-4</v>
      </c>
      <c r="AN196" s="137">
        <f>Transportation_LCIA!R$61*($W196^Transportation_LCIA!R$60)+Transportation_LCIA!R$62</f>
        <v>4.664545941177262E-4</v>
      </c>
      <c r="AO196" s="137">
        <f>Transportation_LCIA!S$61*($W196^Transportation_LCIA!S$60)+Transportation_LCIA!S$62</f>
        <v>6.8758863533443067E-6</v>
      </c>
      <c r="AP196" s="137">
        <f>Transportation_LCIA!T$61*($W196^Transportation_LCIA!T$60)+Transportation_LCIA!T$62</f>
        <v>6.8758863533443067E-6</v>
      </c>
      <c r="AQ196" s="137">
        <f>Transportation_LCIA!U$61*($W196^Transportation_LCIA!U$60)+Transportation_LCIA!U$62</f>
        <v>1.0106481886833722E-3</v>
      </c>
      <c r="AR196" s="137">
        <f>Transportation_LCIA!V$61*($W196^Transportation_LCIA!V$60)+Transportation_LCIA!V$62</f>
        <v>3.8699391574166265E-4</v>
      </c>
      <c r="AT196" s="137">
        <f>$W196*Y196+$L196*Summary_LCIA!H$32</f>
        <v>177.94826310551363</v>
      </c>
      <c r="AU196" s="137">
        <f>$W196*Z196+$L196*Summary_LCIA!Q$32</f>
        <v>1929.4947953874523</v>
      </c>
      <c r="AV196" s="137">
        <f>$W196*AA196+$L196*Summary_LCIA!R$32</f>
        <v>1.0693806626339211</v>
      </c>
      <c r="AW196" s="137">
        <f>$W196*AB196+$L196*Summary_LCIA!S$32</f>
        <v>177.86183442551362</v>
      </c>
      <c r="AX196" s="137">
        <f>$W196*AC196+$L196*Summary_LCIA!T$32</f>
        <v>44.841248556776947</v>
      </c>
      <c r="AY196" s="137">
        <f>$W196*AD196+$L196*Summary_LCIA!U$32</f>
        <v>0.57684841730763403</v>
      </c>
      <c r="AZ196" s="137">
        <f>$W196*AE196+$L196*Summary_LCIA!V$32</f>
        <v>6.1056626043390922E-3</v>
      </c>
      <c r="BA196" s="137">
        <f>$W196*AF196+$L196*Summary_LCIA!W$32</f>
        <v>9.2044446761053056</v>
      </c>
      <c r="BB196" s="137">
        <f>$W196*AG196+$L196*Summary_LCIA!X$32</f>
        <v>9.8067974339181347</v>
      </c>
      <c r="BC196" s="137">
        <f>$W196*AH196+$L196*Summary_LCIA!Y$32</f>
        <v>0.50547850940661465</v>
      </c>
      <c r="BD196" s="137">
        <f>$W196*AI196+$L196*Summary_LCIA!Z$32</f>
        <v>0.17425100850595746</v>
      </c>
      <c r="BE196" s="137">
        <f>$W196*AJ196+$L196*Summary_LCIA!AA$32</f>
        <v>1.2496932859046213</v>
      </c>
      <c r="BF196" s="137">
        <f>$W196*AK196+$L196*Summary_LCIA!AB$32</f>
        <v>4.47657099761282E-2</v>
      </c>
      <c r="BG196" s="137">
        <f>$W196*AL196+$L196*Summary_LCIA!AC$32</f>
        <v>2.2766872774607524E-5</v>
      </c>
      <c r="BH196" s="137">
        <f>$W196*AM196+$L196*Summary_LCIA!AD$32</f>
        <v>8.7222309748403629E-2</v>
      </c>
      <c r="BI196" s="137">
        <f>$W196*AN196+$L196*Summary_LCIA!AE$32</f>
        <v>0.26580813354193455</v>
      </c>
      <c r="BJ196" s="137">
        <f>$W196*AO196+$L196*Summary_LCIA!AF$32</f>
        <v>2.0194133019082083E-2</v>
      </c>
      <c r="BK196" s="137">
        <f>$W196*AP196+$L196*Summary_LCIA!AG$32</f>
        <v>4.6632707490820834E-3</v>
      </c>
      <c r="BL196" s="137">
        <f>$W196*AQ196+$L196*Summary_LCIA!AH$32</f>
        <v>0.70856331918554538</v>
      </c>
      <c r="BM196" s="137">
        <f>$W196*AR196+$L196*Summary_LCIA!AI$32</f>
        <v>0.22436750722603721</v>
      </c>
    </row>
    <row r="197" spans="1:65" x14ac:dyDescent="0.25">
      <c r="A197" s="149">
        <v>274</v>
      </c>
      <c r="B197" s="149">
        <v>43</v>
      </c>
      <c r="C197" s="61">
        <v>45.501688999999999</v>
      </c>
      <c r="D197" s="61">
        <v>-73.567256</v>
      </c>
      <c r="E197" s="61" t="s">
        <v>458</v>
      </c>
      <c r="F197" s="149">
        <v>124</v>
      </c>
      <c r="G197" s="61" t="s">
        <v>654</v>
      </c>
      <c r="H197" s="61" t="s">
        <v>655</v>
      </c>
      <c r="I197" s="61">
        <v>45.465685000000001</v>
      </c>
      <c r="J197" s="61">
        <v>-73.745480999999998</v>
      </c>
      <c r="K197" s="61">
        <v>15.92927869</v>
      </c>
      <c r="L197" s="61">
        <v>19.553999999999998</v>
      </c>
      <c r="M197" s="61" t="s">
        <v>617</v>
      </c>
      <c r="N197" s="149">
        <v>42</v>
      </c>
      <c r="O197" s="149">
        <v>43</v>
      </c>
      <c r="P197" s="61" t="s">
        <v>565</v>
      </c>
      <c r="Q197" s="61" t="s">
        <v>555</v>
      </c>
      <c r="R197" s="61">
        <v>40.6895314</v>
      </c>
      <c r="S197" s="61">
        <v>-74.174462399999996</v>
      </c>
      <c r="T197" s="61">
        <v>604.83699999999999</v>
      </c>
      <c r="U197" s="61" t="s">
        <v>617</v>
      </c>
      <c r="V197" s="61" t="s">
        <v>569</v>
      </c>
      <c r="W197" s="61" cm="1">
        <f t="array" ref="W197">getDistance(I197,J197,R197,S197)*SA!$B$12</f>
        <v>532.70082587978914</v>
      </c>
      <c r="Y197" s="137">
        <f>Transportation_LCIA!C$61*($W197^Transportation_LCIA!C$60)+Transportation_LCIA!C$62</f>
        <v>0.32157602463370416</v>
      </c>
      <c r="Z197" s="137">
        <f>Transportation_LCIA!D$61*($W197^Transportation_LCIA!D$60)+Transportation_LCIA!D$62</f>
        <v>3.4401752281760434</v>
      </c>
      <c r="AA197" s="137">
        <f>Transportation_LCIA!E$61*($W197^Transportation_LCIA!E$60)+Transportation_LCIA!E$62</f>
        <v>1.8141836341962153E-3</v>
      </c>
      <c r="AB197" s="137">
        <f>Transportation_LCIA!F$61*($W197^Transportation_LCIA!F$60)+Transportation_LCIA!F$62</f>
        <v>0.32157602463370416</v>
      </c>
      <c r="AC197" s="137">
        <f>Transportation_LCIA!G$61*($W197^Transportation_LCIA!G$60)+Transportation_LCIA!G$62</f>
        <v>8.0143040676289495E-2</v>
      </c>
      <c r="AD197" s="137">
        <f>Transportation_LCIA!H$61*($W197^Transportation_LCIA!H$60)+Transportation_LCIA!H$62</f>
        <v>4.2530075100495493E-4</v>
      </c>
      <c r="AE197" s="137">
        <f>Transportation_LCIA!I$61*($W197^Transportation_LCIA!I$60)+Transportation_LCIA!I$62</f>
        <v>9.7085338694522006E-6</v>
      </c>
      <c r="AF197" s="137">
        <f>Transportation_LCIA!J$61*($W197^Transportation_LCIA!J$60)+Transportation_LCIA!J$62</f>
        <v>1.4453429332288598E-2</v>
      </c>
      <c r="AG197" s="137">
        <f>Transportation_LCIA!K$61*($W197^Transportation_LCIA!K$60)+Transportation_LCIA!K$62</f>
        <v>1.7573386146825021E-2</v>
      </c>
      <c r="AH197" s="137">
        <f>Transportation_LCIA!L$61*($W197^Transportation_LCIA!L$60)+Transportation_LCIA!L$62</f>
        <v>3.7692466700234696E-4</v>
      </c>
      <c r="AI197" s="137">
        <f>Transportation_LCIA!M$61*($W197^Transportation_LCIA!M$60)+Transportation_LCIA!M$62</f>
        <v>3.2560324687594627E-4</v>
      </c>
      <c r="AJ197" s="137">
        <f>Transportation_LCIA!N$61*($W197^Transportation_LCIA!N$60)+Transportation_LCIA!N$62</f>
        <v>1.4886217992903391E-3</v>
      </c>
      <c r="AK197" s="137">
        <f>Transportation_LCIA!O$61*($W197^Transportation_LCIA!O$60)+Transportation_LCIA!O$62</f>
        <v>8.4836431112135085E-5</v>
      </c>
      <c r="AL197" s="137">
        <f>Transportation_LCIA!P$61*($W197^Transportation_LCIA!P$60)+Transportation_LCIA!P$62</f>
        <v>4.094417350036071E-8</v>
      </c>
      <c r="AM197" s="137">
        <f>Transportation_LCIA!Q$61*($W197^Transportation_LCIA!Q$60)+Transportation_LCIA!Q$62</f>
        <v>1.4864785211779024E-4</v>
      </c>
      <c r="AN197" s="137">
        <f>Transportation_LCIA!R$61*($W197^Transportation_LCIA!R$60)+Transportation_LCIA!R$62</f>
        <v>4.664545941177262E-4</v>
      </c>
      <c r="AO197" s="137">
        <f>Transportation_LCIA!S$61*($W197^Transportation_LCIA!S$60)+Transportation_LCIA!S$62</f>
        <v>6.8758863533443067E-6</v>
      </c>
      <c r="AP197" s="137">
        <f>Transportation_LCIA!T$61*($W197^Transportation_LCIA!T$60)+Transportation_LCIA!T$62</f>
        <v>6.8758863533443067E-6</v>
      </c>
      <c r="AQ197" s="137">
        <f>Transportation_LCIA!U$61*($W197^Transportation_LCIA!U$60)+Transportation_LCIA!U$62</f>
        <v>1.0106481886833722E-3</v>
      </c>
      <c r="AR197" s="137">
        <f>Transportation_LCIA!V$61*($W197^Transportation_LCIA!V$60)+Transportation_LCIA!V$62</f>
        <v>3.8699391574166265E-4</v>
      </c>
      <c r="AT197" s="137">
        <f>$W197*Y197+$L197*Summary_LCIA!H$32</f>
        <v>177.94826310551363</v>
      </c>
      <c r="AU197" s="137">
        <f>$W197*Z197+$L197*Summary_LCIA!Q$32</f>
        <v>1929.4947953874523</v>
      </c>
      <c r="AV197" s="137">
        <f>$W197*AA197+$L197*Summary_LCIA!R$32</f>
        <v>1.0693806626339211</v>
      </c>
      <c r="AW197" s="137">
        <f>$W197*AB197+$L197*Summary_LCIA!S$32</f>
        <v>177.86183442551362</v>
      </c>
      <c r="AX197" s="137">
        <f>$W197*AC197+$L197*Summary_LCIA!T$32</f>
        <v>44.841248556776947</v>
      </c>
      <c r="AY197" s="137">
        <f>$W197*AD197+$L197*Summary_LCIA!U$32</f>
        <v>0.57684841730763403</v>
      </c>
      <c r="AZ197" s="137">
        <f>$W197*AE197+$L197*Summary_LCIA!V$32</f>
        <v>6.1056626043390922E-3</v>
      </c>
      <c r="BA197" s="137">
        <f>$W197*AF197+$L197*Summary_LCIA!W$32</f>
        <v>9.2044446761053056</v>
      </c>
      <c r="BB197" s="137">
        <f>$W197*AG197+$L197*Summary_LCIA!X$32</f>
        <v>9.8067974339181347</v>
      </c>
      <c r="BC197" s="137">
        <f>$W197*AH197+$L197*Summary_LCIA!Y$32</f>
        <v>0.50547850940661465</v>
      </c>
      <c r="BD197" s="137">
        <f>$W197*AI197+$L197*Summary_LCIA!Z$32</f>
        <v>0.17425100850595746</v>
      </c>
      <c r="BE197" s="137">
        <f>$W197*AJ197+$L197*Summary_LCIA!AA$32</f>
        <v>1.2496932859046213</v>
      </c>
      <c r="BF197" s="137">
        <f>$W197*AK197+$L197*Summary_LCIA!AB$32</f>
        <v>4.47657099761282E-2</v>
      </c>
      <c r="BG197" s="137">
        <f>$W197*AL197+$L197*Summary_LCIA!AC$32</f>
        <v>2.2766872774607524E-5</v>
      </c>
      <c r="BH197" s="137">
        <f>$W197*AM197+$L197*Summary_LCIA!AD$32</f>
        <v>8.7222309748403629E-2</v>
      </c>
      <c r="BI197" s="137">
        <f>$W197*AN197+$L197*Summary_LCIA!AE$32</f>
        <v>0.26580813354193455</v>
      </c>
      <c r="BJ197" s="137">
        <f>$W197*AO197+$L197*Summary_LCIA!AF$32</f>
        <v>2.0194133019082083E-2</v>
      </c>
      <c r="BK197" s="137">
        <f>$W197*AP197+$L197*Summary_LCIA!AG$32</f>
        <v>4.6632707490820834E-3</v>
      </c>
      <c r="BL197" s="137">
        <f>$W197*AQ197+$L197*Summary_LCIA!AH$32</f>
        <v>0.70856331918554538</v>
      </c>
      <c r="BM197" s="137">
        <f>$W197*AR197+$L197*Summary_LCIA!AI$32</f>
        <v>0.22436750722603721</v>
      </c>
    </row>
    <row r="198" spans="1:65" x14ac:dyDescent="0.25">
      <c r="A198" s="149">
        <v>275</v>
      </c>
      <c r="B198" s="149">
        <v>43</v>
      </c>
      <c r="C198" s="61">
        <v>45.501688999999999</v>
      </c>
      <c r="D198" s="61">
        <v>-73.567256</v>
      </c>
      <c r="E198" s="61" t="s">
        <v>458</v>
      </c>
      <c r="F198" s="149">
        <v>124</v>
      </c>
      <c r="G198" s="61" t="s">
        <v>654</v>
      </c>
      <c r="H198" s="61" t="s">
        <v>655</v>
      </c>
      <c r="I198" s="61">
        <v>45.465685000000001</v>
      </c>
      <c r="J198" s="61">
        <v>-73.745480999999998</v>
      </c>
      <c r="K198" s="61">
        <v>15.92927869</v>
      </c>
      <c r="L198" s="61">
        <v>19.553999999999998</v>
      </c>
      <c r="M198" s="61" t="s">
        <v>617</v>
      </c>
      <c r="N198" s="149">
        <v>42</v>
      </c>
      <c r="O198" s="149">
        <v>43</v>
      </c>
      <c r="P198" s="61" t="s">
        <v>565</v>
      </c>
      <c r="Q198" s="61" t="s">
        <v>555</v>
      </c>
      <c r="R198" s="61">
        <v>40.6895314</v>
      </c>
      <c r="S198" s="61">
        <v>-74.174462399999996</v>
      </c>
      <c r="T198" s="61">
        <v>604.83699999999999</v>
      </c>
      <c r="U198" s="61" t="s">
        <v>617</v>
      </c>
      <c r="V198" s="61" t="s">
        <v>569</v>
      </c>
      <c r="W198" s="61" cm="1">
        <f t="array" ref="W198">getDistance(I198,J198,R198,S198)*SA!$B$12</f>
        <v>532.70082587978914</v>
      </c>
      <c r="Y198" s="137">
        <f>Transportation_LCIA!C$61*($W198^Transportation_LCIA!C$60)+Transportation_LCIA!C$62</f>
        <v>0.32157602463370416</v>
      </c>
      <c r="Z198" s="137">
        <f>Transportation_LCIA!D$61*($W198^Transportation_LCIA!D$60)+Transportation_LCIA!D$62</f>
        <v>3.4401752281760434</v>
      </c>
      <c r="AA198" s="137">
        <f>Transportation_LCIA!E$61*($W198^Transportation_LCIA!E$60)+Transportation_LCIA!E$62</f>
        <v>1.8141836341962153E-3</v>
      </c>
      <c r="AB198" s="137">
        <f>Transportation_LCIA!F$61*($W198^Transportation_LCIA!F$60)+Transportation_LCIA!F$62</f>
        <v>0.32157602463370416</v>
      </c>
      <c r="AC198" s="137">
        <f>Transportation_LCIA!G$61*($W198^Transportation_LCIA!G$60)+Transportation_LCIA!G$62</f>
        <v>8.0143040676289495E-2</v>
      </c>
      <c r="AD198" s="137">
        <f>Transportation_LCIA!H$61*($W198^Transportation_LCIA!H$60)+Transportation_LCIA!H$62</f>
        <v>4.2530075100495493E-4</v>
      </c>
      <c r="AE198" s="137">
        <f>Transportation_LCIA!I$61*($W198^Transportation_LCIA!I$60)+Transportation_LCIA!I$62</f>
        <v>9.7085338694522006E-6</v>
      </c>
      <c r="AF198" s="137">
        <f>Transportation_LCIA!J$61*($W198^Transportation_LCIA!J$60)+Transportation_LCIA!J$62</f>
        <v>1.4453429332288598E-2</v>
      </c>
      <c r="AG198" s="137">
        <f>Transportation_LCIA!K$61*($W198^Transportation_LCIA!K$60)+Transportation_LCIA!K$62</f>
        <v>1.7573386146825021E-2</v>
      </c>
      <c r="AH198" s="137">
        <f>Transportation_LCIA!L$61*($W198^Transportation_LCIA!L$60)+Transportation_LCIA!L$62</f>
        <v>3.7692466700234696E-4</v>
      </c>
      <c r="AI198" s="137">
        <f>Transportation_LCIA!M$61*($W198^Transportation_LCIA!M$60)+Transportation_LCIA!M$62</f>
        <v>3.2560324687594627E-4</v>
      </c>
      <c r="AJ198" s="137">
        <f>Transportation_LCIA!N$61*($W198^Transportation_LCIA!N$60)+Transportation_LCIA!N$62</f>
        <v>1.4886217992903391E-3</v>
      </c>
      <c r="AK198" s="137">
        <f>Transportation_LCIA!O$61*($W198^Transportation_LCIA!O$60)+Transportation_LCIA!O$62</f>
        <v>8.4836431112135085E-5</v>
      </c>
      <c r="AL198" s="137">
        <f>Transportation_LCIA!P$61*($W198^Transportation_LCIA!P$60)+Transportation_LCIA!P$62</f>
        <v>4.094417350036071E-8</v>
      </c>
      <c r="AM198" s="137">
        <f>Transportation_LCIA!Q$61*($W198^Transportation_LCIA!Q$60)+Transportation_LCIA!Q$62</f>
        <v>1.4864785211779024E-4</v>
      </c>
      <c r="AN198" s="137">
        <f>Transportation_LCIA!R$61*($W198^Transportation_LCIA!R$60)+Transportation_LCIA!R$62</f>
        <v>4.664545941177262E-4</v>
      </c>
      <c r="AO198" s="137">
        <f>Transportation_LCIA!S$61*($W198^Transportation_LCIA!S$60)+Transportation_LCIA!S$62</f>
        <v>6.8758863533443067E-6</v>
      </c>
      <c r="AP198" s="137">
        <f>Transportation_LCIA!T$61*($W198^Transportation_LCIA!T$60)+Transportation_LCIA!T$62</f>
        <v>6.8758863533443067E-6</v>
      </c>
      <c r="AQ198" s="137">
        <f>Transportation_LCIA!U$61*($W198^Transportation_LCIA!U$60)+Transportation_LCIA!U$62</f>
        <v>1.0106481886833722E-3</v>
      </c>
      <c r="AR198" s="137">
        <f>Transportation_LCIA!V$61*($W198^Transportation_LCIA!V$60)+Transportation_LCIA!V$62</f>
        <v>3.8699391574166265E-4</v>
      </c>
      <c r="AT198" s="137">
        <f>$W198*Y198+$L198*Summary_LCIA!H$32</f>
        <v>177.94826310551363</v>
      </c>
      <c r="AU198" s="137">
        <f>$W198*Z198+$L198*Summary_LCIA!Q$32</f>
        <v>1929.4947953874523</v>
      </c>
      <c r="AV198" s="137">
        <f>$W198*AA198+$L198*Summary_LCIA!R$32</f>
        <v>1.0693806626339211</v>
      </c>
      <c r="AW198" s="137">
        <f>$W198*AB198+$L198*Summary_LCIA!S$32</f>
        <v>177.86183442551362</v>
      </c>
      <c r="AX198" s="137">
        <f>$W198*AC198+$L198*Summary_LCIA!T$32</f>
        <v>44.841248556776947</v>
      </c>
      <c r="AY198" s="137">
        <f>$W198*AD198+$L198*Summary_LCIA!U$32</f>
        <v>0.57684841730763403</v>
      </c>
      <c r="AZ198" s="137">
        <f>$W198*AE198+$L198*Summary_LCIA!V$32</f>
        <v>6.1056626043390922E-3</v>
      </c>
      <c r="BA198" s="137">
        <f>$W198*AF198+$L198*Summary_LCIA!W$32</f>
        <v>9.2044446761053056</v>
      </c>
      <c r="BB198" s="137">
        <f>$W198*AG198+$L198*Summary_LCIA!X$32</f>
        <v>9.8067974339181347</v>
      </c>
      <c r="BC198" s="137">
        <f>$W198*AH198+$L198*Summary_LCIA!Y$32</f>
        <v>0.50547850940661465</v>
      </c>
      <c r="BD198" s="137">
        <f>$W198*AI198+$L198*Summary_LCIA!Z$32</f>
        <v>0.17425100850595746</v>
      </c>
      <c r="BE198" s="137">
        <f>$W198*AJ198+$L198*Summary_LCIA!AA$32</f>
        <v>1.2496932859046213</v>
      </c>
      <c r="BF198" s="137">
        <f>$W198*AK198+$L198*Summary_LCIA!AB$32</f>
        <v>4.47657099761282E-2</v>
      </c>
      <c r="BG198" s="137">
        <f>$W198*AL198+$L198*Summary_LCIA!AC$32</f>
        <v>2.2766872774607524E-5</v>
      </c>
      <c r="BH198" s="137">
        <f>$W198*AM198+$L198*Summary_LCIA!AD$32</f>
        <v>8.7222309748403629E-2</v>
      </c>
      <c r="BI198" s="137">
        <f>$W198*AN198+$L198*Summary_LCIA!AE$32</f>
        <v>0.26580813354193455</v>
      </c>
      <c r="BJ198" s="137">
        <f>$W198*AO198+$L198*Summary_LCIA!AF$32</f>
        <v>2.0194133019082083E-2</v>
      </c>
      <c r="BK198" s="137">
        <f>$W198*AP198+$L198*Summary_LCIA!AG$32</f>
        <v>4.6632707490820834E-3</v>
      </c>
      <c r="BL198" s="137">
        <f>$W198*AQ198+$L198*Summary_LCIA!AH$32</f>
        <v>0.70856331918554538</v>
      </c>
      <c r="BM198" s="137">
        <f>$W198*AR198+$L198*Summary_LCIA!AI$32</f>
        <v>0.22436750722603721</v>
      </c>
    </row>
    <row r="199" spans="1:65" x14ac:dyDescent="0.25">
      <c r="A199" s="149">
        <v>276</v>
      </c>
      <c r="B199" s="149">
        <v>43</v>
      </c>
      <c r="C199" s="61">
        <v>45.501688999999999</v>
      </c>
      <c r="D199" s="61">
        <v>-73.567256</v>
      </c>
      <c r="E199" s="61" t="s">
        <v>458</v>
      </c>
      <c r="F199" s="149">
        <v>124</v>
      </c>
      <c r="G199" s="61" t="s">
        <v>654</v>
      </c>
      <c r="H199" s="61" t="s">
        <v>655</v>
      </c>
      <c r="I199" s="61">
        <v>45.465685000000001</v>
      </c>
      <c r="J199" s="61">
        <v>-73.745480999999998</v>
      </c>
      <c r="K199" s="61">
        <v>15.92927869</v>
      </c>
      <c r="L199" s="61">
        <v>19.553999999999998</v>
      </c>
      <c r="M199" s="61" t="s">
        <v>617</v>
      </c>
      <c r="N199" s="149">
        <v>42</v>
      </c>
      <c r="O199" s="149">
        <v>43</v>
      </c>
      <c r="P199" s="61" t="s">
        <v>565</v>
      </c>
      <c r="Q199" s="61" t="s">
        <v>555</v>
      </c>
      <c r="R199" s="61">
        <v>40.6895314</v>
      </c>
      <c r="S199" s="61">
        <v>-74.174462399999996</v>
      </c>
      <c r="T199" s="61">
        <v>604.83699999999999</v>
      </c>
      <c r="U199" s="61" t="s">
        <v>617</v>
      </c>
      <c r="V199" s="61" t="s">
        <v>569</v>
      </c>
      <c r="W199" s="61" cm="1">
        <f t="array" ref="W199">getDistance(I199,J199,R199,S199)*SA!$B$12</f>
        <v>532.70082587978914</v>
      </c>
      <c r="Y199" s="137">
        <f>Transportation_LCIA!C$61*($W199^Transportation_LCIA!C$60)+Transportation_LCIA!C$62</f>
        <v>0.32157602463370416</v>
      </c>
      <c r="Z199" s="137">
        <f>Transportation_LCIA!D$61*($W199^Transportation_LCIA!D$60)+Transportation_LCIA!D$62</f>
        <v>3.4401752281760434</v>
      </c>
      <c r="AA199" s="137">
        <f>Transportation_LCIA!E$61*($W199^Transportation_LCIA!E$60)+Transportation_LCIA!E$62</f>
        <v>1.8141836341962153E-3</v>
      </c>
      <c r="AB199" s="137">
        <f>Transportation_LCIA!F$61*($W199^Transportation_LCIA!F$60)+Transportation_LCIA!F$62</f>
        <v>0.32157602463370416</v>
      </c>
      <c r="AC199" s="137">
        <f>Transportation_LCIA!G$61*($W199^Transportation_LCIA!G$60)+Transportation_LCIA!G$62</f>
        <v>8.0143040676289495E-2</v>
      </c>
      <c r="AD199" s="137">
        <f>Transportation_LCIA!H$61*($W199^Transportation_LCIA!H$60)+Transportation_LCIA!H$62</f>
        <v>4.2530075100495493E-4</v>
      </c>
      <c r="AE199" s="137">
        <f>Transportation_LCIA!I$61*($W199^Transportation_LCIA!I$60)+Transportation_LCIA!I$62</f>
        <v>9.7085338694522006E-6</v>
      </c>
      <c r="AF199" s="137">
        <f>Transportation_LCIA!J$61*($W199^Transportation_LCIA!J$60)+Transportation_LCIA!J$62</f>
        <v>1.4453429332288598E-2</v>
      </c>
      <c r="AG199" s="137">
        <f>Transportation_LCIA!K$61*($W199^Transportation_LCIA!K$60)+Transportation_LCIA!K$62</f>
        <v>1.7573386146825021E-2</v>
      </c>
      <c r="AH199" s="137">
        <f>Transportation_LCIA!L$61*($W199^Transportation_LCIA!L$60)+Transportation_LCIA!L$62</f>
        <v>3.7692466700234696E-4</v>
      </c>
      <c r="AI199" s="137">
        <f>Transportation_LCIA!M$61*($W199^Transportation_LCIA!M$60)+Transportation_LCIA!M$62</f>
        <v>3.2560324687594627E-4</v>
      </c>
      <c r="AJ199" s="137">
        <f>Transportation_LCIA!N$61*($W199^Transportation_LCIA!N$60)+Transportation_LCIA!N$62</f>
        <v>1.4886217992903391E-3</v>
      </c>
      <c r="AK199" s="137">
        <f>Transportation_LCIA!O$61*($W199^Transportation_LCIA!O$60)+Transportation_LCIA!O$62</f>
        <v>8.4836431112135085E-5</v>
      </c>
      <c r="AL199" s="137">
        <f>Transportation_LCIA!P$61*($W199^Transportation_LCIA!P$60)+Transportation_LCIA!P$62</f>
        <v>4.094417350036071E-8</v>
      </c>
      <c r="AM199" s="137">
        <f>Transportation_LCIA!Q$61*($W199^Transportation_LCIA!Q$60)+Transportation_LCIA!Q$62</f>
        <v>1.4864785211779024E-4</v>
      </c>
      <c r="AN199" s="137">
        <f>Transportation_LCIA!R$61*($W199^Transportation_LCIA!R$60)+Transportation_LCIA!R$62</f>
        <v>4.664545941177262E-4</v>
      </c>
      <c r="AO199" s="137">
        <f>Transportation_LCIA!S$61*($W199^Transportation_LCIA!S$60)+Transportation_LCIA!S$62</f>
        <v>6.8758863533443067E-6</v>
      </c>
      <c r="AP199" s="137">
        <f>Transportation_LCIA!T$61*($W199^Transportation_LCIA!T$60)+Transportation_LCIA!T$62</f>
        <v>6.8758863533443067E-6</v>
      </c>
      <c r="AQ199" s="137">
        <f>Transportation_LCIA!U$61*($W199^Transportation_LCIA!U$60)+Transportation_LCIA!U$62</f>
        <v>1.0106481886833722E-3</v>
      </c>
      <c r="AR199" s="137">
        <f>Transportation_LCIA!V$61*($W199^Transportation_LCIA!V$60)+Transportation_LCIA!V$62</f>
        <v>3.8699391574166265E-4</v>
      </c>
      <c r="AT199" s="137">
        <f>$W199*Y199+$L199*Summary_LCIA!H$32</f>
        <v>177.94826310551363</v>
      </c>
      <c r="AU199" s="137">
        <f>$W199*Z199+$L199*Summary_LCIA!Q$32</f>
        <v>1929.4947953874523</v>
      </c>
      <c r="AV199" s="137">
        <f>$W199*AA199+$L199*Summary_LCIA!R$32</f>
        <v>1.0693806626339211</v>
      </c>
      <c r="AW199" s="137">
        <f>$W199*AB199+$L199*Summary_LCIA!S$32</f>
        <v>177.86183442551362</v>
      </c>
      <c r="AX199" s="137">
        <f>$W199*AC199+$L199*Summary_LCIA!T$32</f>
        <v>44.841248556776947</v>
      </c>
      <c r="AY199" s="137">
        <f>$W199*AD199+$L199*Summary_LCIA!U$32</f>
        <v>0.57684841730763403</v>
      </c>
      <c r="AZ199" s="137">
        <f>$W199*AE199+$L199*Summary_LCIA!V$32</f>
        <v>6.1056626043390922E-3</v>
      </c>
      <c r="BA199" s="137">
        <f>$W199*AF199+$L199*Summary_LCIA!W$32</f>
        <v>9.2044446761053056</v>
      </c>
      <c r="BB199" s="137">
        <f>$W199*AG199+$L199*Summary_LCIA!X$32</f>
        <v>9.8067974339181347</v>
      </c>
      <c r="BC199" s="137">
        <f>$W199*AH199+$L199*Summary_LCIA!Y$32</f>
        <v>0.50547850940661465</v>
      </c>
      <c r="BD199" s="137">
        <f>$W199*AI199+$L199*Summary_LCIA!Z$32</f>
        <v>0.17425100850595746</v>
      </c>
      <c r="BE199" s="137">
        <f>$W199*AJ199+$L199*Summary_LCIA!AA$32</f>
        <v>1.2496932859046213</v>
      </c>
      <c r="BF199" s="137">
        <f>$W199*AK199+$L199*Summary_LCIA!AB$32</f>
        <v>4.47657099761282E-2</v>
      </c>
      <c r="BG199" s="137">
        <f>$W199*AL199+$L199*Summary_LCIA!AC$32</f>
        <v>2.2766872774607524E-5</v>
      </c>
      <c r="BH199" s="137">
        <f>$W199*AM199+$L199*Summary_LCIA!AD$32</f>
        <v>8.7222309748403629E-2</v>
      </c>
      <c r="BI199" s="137">
        <f>$W199*AN199+$L199*Summary_LCIA!AE$32</f>
        <v>0.26580813354193455</v>
      </c>
      <c r="BJ199" s="137">
        <f>$W199*AO199+$L199*Summary_LCIA!AF$32</f>
        <v>2.0194133019082083E-2</v>
      </c>
      <c r="BK199" s="137">
        <f>$W199*AP199+$L199*Summary_LCIA!AG$32</f>
        <v>4.6632707490820834E-3</v>
      </c>
      <c r="BL199" s="137">
        <f>$W199*AQ199+$L199*Summary_LCIA!AH$32</f>
        <v>0.70856331918554538</v>
      </c>
      <c r="BM199" s="137">
        <f>$W199*AR199+$L199*Summary_LCIA!AI$32</f>
        <v>0.22436750722603721</v>
      </c>
    </row>
    <row r="200" spans="1:65" x14ac:dyDescent="0.25">
      <c r="A200" s="149">
        <v>277</v>
      </c>
      <c r="B200" s="149">
        <v>43</v>
      </c>
      <c r="C200" s="61">
        <v>45.501688999999999</v>
      </c>
      <c r="D200" s="61">
        <v>-73.567256</v>
      </c>
      <c r="E200" s="61" t="s">
        <v>458</v>
      </c>
      <c r="F200" s="149">
        <v>124</v>
      </c>
      <c r="G200" s="61" t="s">
        <v>654</v>
      </c>
      <c r="H200" s="61" t="s">
        <v>655</v>
      </c>
      <c r="I200" s="61">
        <v>45.465685000000001</v>
      </c>
      <c r="J200" s="61">
        <v>-73.745480999999998</v>
      </c>
      <c r="K200" s="61">
        <v>15.92927869</v>
      </c>
      <c r="L200" s="61">
        <v>19.553999999999998</v>
      </c>
      <c r="M200" s="61" t="s">
        <v>617</v>
      </c>
      <c r="N200" s="149">
        <v>42</v>
      </c>
      <c r="O200" s="149">
        <v>43</v>
      </c>
      <c r="P200" s="61" t="s">
        <v>565</v>
      </c>
      <c r="Q200" s="61" t="s">
        <v>555</v>
      </c>
      <c r="R200" s="61">
        <v>40.6895314</v>
      </c>
      <c r="S200" s="61">
        <v>-74.174462399999996</v>
      </c>
      <c r="T200" s="61">
        <v>604.83699999999999</v>
      </c>
      <c r="U200" s="61" t="s">
        <v>617</v>
      </c>
      <c r="V200" s="61" t="s">
        <v>569</v>
      </c>
      <c r="W200" s="61" cm="1">
        <f t="array" ref="W200">getDistance(I200,J200,R200,S200)*SA!$B$12</f>
        <v>532.70082587978914</v>
      </c>
      <c r="Y200" s="137">
        <f>Transportation_LCIA!C$61*($W200^Transportation_LCIA!C$60)+Transportation_LCIA!C$62</f>
        <v>0.32157602463370416</v>
      </c>
      <c r="Z200" s="137">
        <f>Transportation_LCIA!D$61*($W200^Transportation_LCIA!D$60)+Transportation_LCIA!D$62</f>
        <v>3.4401752281760434</v>
      </c>
      <c r="AA200" s="137">
        <f>Transportation_LCIA!E$61*($W200^Transportation_LCIA!E$60)+Transportation_LCIA!E$62</f>
        <v>1.8141836341962153E-3</v>
      </c>
      <c r="AB200" s="137">
        <f>Transportation_LCIA!F$61*($W200^Transportation_LCIA!F$60)+Transportation_LCIA!F$62</f>
        <v>0.32157602463370416</v>
      </c>
      <c r="AC200" s="137">
        <f>Transportation_LCIA!G$61*($W200^Transportation_LCIA!G$60)+Transportation_LCIA!G$62</f>
        <v>8.0143040676289495E-2</v>
      </c>
      <c r="AD200" s="137">
        <f>Transportation_LCIA!H$61*($W200^Transportation_LCIA!H$60)+Transportation_LCIA!H$62</f>
        <v>4.2530075100495493E-4</v>
      </c>
      <c r="AE200" s="137">
        <f>Transportation_LCIA!I$61*($W200^Transportation_LCIA!I$60)+Transportation_LCIA!I$62</f>
        <v>9.7085338694522006E-6</v>
      </c>
      <c r="AF200" s="137">
        <f>Transportation_LCIA!J$61*($W200^Transportation_LCIA!J$60)+Transportation_LCIA!J$62</f>
        <v>1.4453429332288598E-2</v>
      </c>
      <c r="AG200" s="137">
        <f>Transportation_LCIA!K$61*($W200^Transportation_LCIA!K$60)+Transportation_LCIA!K$62</f>
        <v>1.7573386146825021E-2</v>
      </c>
      <c r="AH200" s="137">
        <f>Transportation_LCIA!L$61*($W200^Transportation_LCIA!L$60)+Transportation_LCIA!L$62</f>
        <v>3.7692466700234696E-4</v>
      </c>
      <c r="AI200" s="137">
        <f>Transportation_LCIA!M$61*($W200^Transportation_LCIA!M$60)+Transportation_LCIA!M$62</f>
        <v>3.2560324687594627E-4</v>
      </c>
      <c r="AJ200" s="137">
        <f>Transportation_LCIA!N$61*($W200^Transportation_LCIA!N$60)+Transportation_LCIA!N$62</f>
        <v>1.4886217992903391E-3</v>
      </c>
      <c r="AK200" s="137">
        <f>Transportation_LCIA!O$61*($W200^Transportation_LCIA!O$60)+Transportation_LCIA!O$62</f>
        <v>8.4836431112135085E-5</v>
      </c>
      <c r="AL200" s="137">
        <f>Transportation_LCIA!P$61*($W200^Transportation_LCIA!P$60)+Transportation_LCIA!P$62</f>
        <v>4.094417350036071E-8</v>
      </c>
      <c r="AM200" s="137">
        <f>Transportation_LCIA!Q$61*($W200^Transportation_LCIA!Q$60)+Transportation_LCIA!Q$62</f>
        <v>1.4864785211779024E-4</v>
      </c>
      <c r="AN200" s="137">
        <f>Transportation_LCIA!R$61*($W200^Transportation_LCIA!R$60)+Transportation_LCIA!R$62</f>
        <v>4.664545941177262E-4</v>
      </c>
      <c r="AO200" s="137">
        <f>Transportation_LCIA!S$61*($W200^Transportation_LCIA!S$60)+Transportation_LCIA!S$62</f>
        <v>6.8758863533443067E-6</v>
      </c>
      <c r="AP200" s="137">
        <f>Transportation_LCIA!T$61*($W200^Transportation_LCIA!T$60)+Transportation_LCIA!T$62</f>
        <v>6.8758863533443067E-6</v>
      </c>
      <c r="AQ200" s="137">
        <f>Transportation_LCIA!U$61*($W200^Transportation_LCIA!U$60)+Transportation_LCIA!U$62</f>
        <v>1.0106481886833722E-3</v>
      </c>
      <c r="AR200" s="137">
        <f>Transportation_LCIA!V$61*($W200^Transportation_LCIA!V$60)+Transportation_LCIA!V$62</f>
        <v>3.8699391574166265E-4</v>
      </c>
      <c r="AT200" s="137">
        <f>$W200*Y200+$L200*Summary_LCIA!H$32</f>
        <v>177.94826310551363</v>
      </c>
      <c r="AU200" s="137">
        <f>$W200*Z200+$L200*Summary_LCIA!Q$32</f>
        <v>1929.4947953874523</v>
      </c>
      <c r="AV200" s="137">
        <f>$W200*AA200+$L200*Summary_LCIA!R$32</f>
        <v>1.0693806626339211</v>
      </c>
      <c r="AW200" s="137">
        <f>$W200*AB200+$L200*Summary_LCIA!S$32</f>
        <v>177.86183442551362</v>
      </c>
      <c r="AX200" s="137">
        <f>$W200*AC200+$L200*Summary_LCIA!T$32</f>
        <v>44.841248556776947</v>
      </c>
      <c r="AY200" s="137">
        <f>$W200*AD200+$L200*Summary_LCIA!U$32</f>
        <v>0.57684841730763403</v>
      </c>
      <c r="AZ200" s="137">
        <f>$W200*AE200+$L200*Summary_LCIA!V$32</f>
        <v>6.1056626043390922E-3</v>
      </c>
      <c r="BA200" s="137">
        <f>$W200*AF200+$L200*Summary_LCIA!W$32</f>
        <v>9.2044446761053056</v>
      </c>
      <c r="BB200" s="137">
        <f>$W200*AG200+$L200*Summary_LCIA!X$32</f>
        <v>9.8067974339181347</v>
      </c>
      <c r="BC200" s="137">
        <f>$W200*AH200+$L200*Summary_LCIA!Y$32</f>
        <v>0.50547850940661465</v>
      </c>
      <c r="BD200" s="137">
        <f>$W200*AI200+$L200*Summary_LCIA!Z$32</f>
        <v>0.17425100850595746</v>
      </c>
      <c r="BE200" s="137">
        <f>$W200*AJ200+$L200*Summary_LCIA!AA$32</f>
        <v>1.2496932859046213</v>
      </c>
      <c r="BF200" s="137">
        <f>$W200*AK200+$L200*Summary_LCIA!AB$32</f>
        <v>4.47657099761282E-2</v>
      </c>
      <c r="BG200" s="137">
        <f>$W200*AL200+$L200*Summary_LCIA!AC$32</f>
        <v>2.2766872774607524E-5</v>
      </c>
      <c r="BH200" s="137">
        <f>$W200*AM200+$L200*Summary_LCIA!AD$32</f>
        <v>8.7222309748403629E-2</v>
      </c>
      <c r="BI200" s="137">
        <f>$W200*AN200+$L200*Summary_LCIA!AE$32</f>
        <v>0.26580813354193455</v>
      </c>
      <c r="BJ200" s="137">
        <f>$W200*AO200+$L200*Summary_LCIA!AF$32</f>
        <v>2.0194133019082083E-2</v>
      </c>
      <c r="BK200" s="137">
        <f>$W200*AP200+$L200*Summary_LCIA!AG$32</f>
        <v>4.6632707490820834E-3</v>
      </c>
      <c r="BL200" s="137">
        <f>$W200*AQ200+$L200*Summary_LCIA!AH$32</f>
        <v>0.70856331918554538</v>
      </c>
      <c r="BM200" s="137">
        <f>$W200*AR200+$L200*Summary_LCIA!AI$32</f>
        <v>0.22436750722603721</v>
      </c>
    </row>
    <row r="201" spans="1:65" x14ac:dyDescent="0.25">
      <c r="A201" s="149">
        <v>278</v>
      </c>
      <c r="B201" s="149">
        <v>43</v>
      </c>
      <c r="C201" s="61">
        <v>45.501688999999999</v>
      </c>
      <c r="D201" s="61">
        <v>-73.567256</v>
      </c>
      <c r="E201" s="61" t="s">
        <v>458</v>
      </c>
      <c r="F201" s="149">
        <v>124</v>
      </c>
      <c r="G201" s="61" t="s">
        <v>654</v>
      </c>
      <c r="H201" s="61" t="s">
        <v>655</v>
      </c>
      <c r="I201" s="61">
        <v>45.465685000000001</v>
      </c>
      <c r="J201" s="61">
        <v>-73.745480999999998</v>
      </c>
      <c r="K201" s="61">
        <v>15.92927869</v>
      </c>
      <c r="L201" s="61">
        <v>19.553999999999998</v>
      </c>
      <c r="M201" s="61" t="s">
        <v>617</v>
      </c>
      <c r="N201" s="149">
        <v>42</v>
      </c>
      <c r="O201" s="149">
        <v>43</v>
      </c>
      <c r="P201" s="61" t="s">
        <v>565</v>
      </c>
      <c r="Q201" s="61" t="s">
        <v>555</v>
      </c>
      <c r="R201" s="61">
        <v>40.6895314</v>
      </c>
      <c r="S201" s="61">
        <v>-74.174462399999996</v>
      </c>
      <c r="T201" s="61">
        <v>604.83699999999999</v>
      </c>
      <c r="U201" s="61" t="s">
        <v>617</v>
      </c>
      <c r="V201" s="61" t="s">
        <v>569</v>
      </c>
      <c r="W201" s="61" cm="1">
        <f t="array" ref="W201">getDistance(I201,J201,R201,S201)*SA!$B$12</f>
        <v>532.70082587978914</v>
      </c>
      <c r="Y201" s="137">
        <f>Transportation_LCIA!C$61*($W201^Transportation_LCIA!C$60)+Transportation_LCIA!C$62</f>
        <v>0.32157602463370416</v>
      </c>
      <c r="Z201" s="137">
        <f>Transportation_LCIA!D$61*($W201^Transportation_LCIA!D$60)+Transportation_LCIA!D$62</f>
        <v>3.4401752281760434</v>
      </c>
      <c r="AA201" s="137">
        <f>Transportation_LCIA!E$61*($W201^Transportation_LCIA!E$60)+Transportation_LCIA!E$62</f>
        <v>1.8141836341962153E-3</v>
      </c>
      <c r="AB201" s="137">
        <f>Transportation_LCIA!F$61*($W201^Transportation_LCIA!F$60)+Transportation_LCIA!F$62</f>
        <v>0.32157602463370416</v>
      </c>
      <c r="AC201" s="137">
        <f>Transportation_LCIA!G$61*($W201^Transportation_LCIA!G$60)+Transportation_LCIA!G$62</f>
        <v>8.0143040676289495E-2</v>
      </c>
      <c r="AD201" s="137">
        <f>Transportation_LCIA!H$61*($W201^Transportation_LCIA!H$60)+Transportation_LCIA!H$62</f>
        <v>4.2530075100495493E-4</v>
      </c>
      <c r="AE201" s="137">
        <f>Transportation_LCIA!I$61*($W201^Transportation_LCIA!I$60)+Transportation_LCIA!I$62</f>
        <v>9.7085338694522006E-6</v>
      </c>
      <c r="AF201" s="137">
        <f>Transportation_LCIA!J$61*($W201^Transportation_LCIA!J$60)+Transportation_LCIA!J$62</f>
        <v>1.4453429332288598E-2</v>
      </c>
      <c r="AG201" s="137">
        <f>Transportation_LCIA!K$61*($W201^Transportation_LCIA!K$60)+Transportation_LCIA!K$62</f>
        <v>1.7573386146825021E-2</v>
      </c>
      <c r="AH201" s="137">
        <f>Transportation_LCIA!L$61*($W201^Transportation_LCIA!L$60)+Transportation_LCIA!L$62</f>
        <v>3.7692466700234696E-4</v>
      </c>
      <c r="AI201" s="137">
        <f>Transportation_LCIA!M$61*($W201^Transportation_LCIA!M$60)+Transportation_LCIA!M$62</f>
        <v>3.2560324687594627E-4</v>
      </c>
      <c r="AJ201" s="137">
        <f>Transportation_LCIA!N$61*($W201^Transportation_LCIA!N$60)+Transportation_LCIA!N$62</f>
        <v>1.4886217992903391E-3</v>
      </c>
      <c r="AK201" s="137">
        <f>Transportation_LCIA!O$61*($W201^Transportation_LCIA!O$60)+Transportation_LCIA!O$62</f>
        <v>8.4836431112135085E-5</v>
      </c>
      <c r="AL201" s="137">
        <f>Transportation_LCIA!P$61*($W201^Transportation_LCIA!P$60)+Transportation_LCIA!P$62</f>
        <v>4.094417350036071E-8</v>
      </c>
      <c r="AM201" s="137">
        <f>Transportation_LCIA!Q$61*($W201^Transportation_LCIA!Q$60)+Transportation_LCIA!Q$62</f>
        <v>1.4864785211779024E-4</v>
      </c>
      <c r="AN201" s="137">
        <f>Transportation_LCIA!R$61*($W201^Transportation_LCIA!R$60)+Transportation_LCIA!R$62</f>
        <v>4.664545941177262E-4</v>
      </c>
      <c r="AO201" s="137">
        <f>Transportation_LCIA!S$61*($W201^Transportation_LCIA!S$60)+Transportation_LCIA!S$62</f>
        <v>6.8758863533443067E-6</v>
      </c>
      <c r="AP201" s="137">
        <f>Transportation_LCIA!T$61*($W201^Transportation_LCIA!T$60)+Transportation_LCIA!T$62</f>
        <v>6.8758863533443067E-6</v>
      </c>
      <c r="AQ201" s="137">
        <f>Transportation_LCIA!U$61*($W201^Transportation_LCIA!U$60)+Transportation_LCIA!U$62</f>
        <v>1.0106481886833722E-3</v>
      </c>
      <c r="AR201" s="137">
        <f>Transportation_LCIA!V$61*($W201^Transportation_LCIA!V$60)+Transportation_LCIA!V$62</f>
        <v>3.8699391574166265E-4</v>
      </c>
      <c r="AT201" s="137">
        <f>$W201*Y201+$L201*Summary_LCIA!H$32</f>
        <v>177.94826310551363</v>
      </c>
      <c r="AU201" s="137">
        <f>$W201*Z201+$L201*Summary_LCIA!Q$32</f>
        <v>1929.4947953874523</v>
      </c>
      <c r="AV201" s="137">
        <f>$W201*AA201+$L201*Summary_LCIA!R$32</f>
        <v>1.0693806626339211</v>
      </c>
      <c r="AW201" s="137">
        <f>$W201*AB201+$L201*Summary_LCIA!S$32</f>
        <v>177.86183442551362</v>
      </c>
      <c r="AX201" s="137">
        <f>$W201*AC201+$L201*Summary_LCIA!T$32</f>
        <v>44.841248556776947</v>
      </c>
      <c r="AY201" s="137">
        <f>$W201*AD201+$L201*Summary_LCIA!U$32</f>
        <v>0.57684841730763403</v>
      </c>
      <c r="AZ201" s="137">
        <f>$W201*AE201+$L201*Summary_LCIA!V$32</f>
        <v>6.1056626043390922E-3</v>
      </c>
      <c r="BA201" s="137">
        <f>$W201*AF201+$L201*Summary_LCIA!W$32</f>
        <v>9.2044446761053056</v>
      </c>
      <c r="BB201" s="137">
        <f>$W201*AG201+$L201*Summary_LCIA!X$32</f>
        <v>9.8067974339181347</v>
      </c>
      <c r="BC201" s="137">
        <f>$W201*AH201+$L201*Summary_LCIA!Y$32</f>
        <v>0.50547850940661465</v>
      </c>
      <c r="BD201" s="137">
        <f>$W201*AI201+$L201*Summary_LCIA!Z$32</f>
        <v>0.17425100850595746</v>
      </c>
      <c r="BE201" s="137">
        <f>$W201*AJ201+$L201*Summary_LCIA!AA$32</f>
        <v>1.2496932859046213</v>
      </c>
      <c r="BF201" s="137">
        <f>$W201*AK201+$L201*Summary_LCIA!AB$32</f>
        <v>4.47657099761282E-2</v>
      </c>
      <c r="BG201" s="137">
        <f>$W201*AL201+$L201*Summary_LCIA!AC$32</f>
        <v>2.2766872774607524E-5</v>
      </c>
      <c r="BH201" s="137">
        <f>$W201*AM201+$L201*Summary_LCIA!AD$32</f>
        <v>8.7222309748403629E-2</v>
      </c>
      <c r="BI201" s="137">
        <f>$W201*AN201+$L201*Summary_LCIA!AE$32</f>
        <v>0.26580813354193455</v>
      </c>
      <c r="BJ201" s="137">
        <f>$W201*AO201+$L201*Summary_LCIA!AF$32</f>
        <v>2.0194133019082083E-2</v>
      </c>
      <c r="BK201" s="137">
        <f>$W201*AP201+$L201*Summary_LCIA!AG$32</f>
        <v>4.6632707490820834E-3</v>
      </c>
      <c r="BL201" s="137">
        <f>$W201*AQ201+$L201*Summary_LCIA!AH$32</f>
        <v>0.70856331918554538</v>
      </c>
      <c r="BM201" s="137">
        <f>$W201*AR201+$L201*Summary_LCIA!AI$32</f>
        <v>0.22436750722603721</v>
      </c>
    </row>
    <row r="202" spans="1:65" x14ac:dyDescent="0.25">
      <c r="A202" s="149">
        <v>279</v>
      </c>
      <c r="B202" s="149">
        <v>43</v>
      </c>
      <c r="C202" s="61">
        <v>45.501688999999999</v>
      </c>
      <c r="D202" s="61">
        <v>-73.567256</v>
      </c>
      <c r="E202" s="61" t="s">
        <v>458</v>
      </c>
      <c r="F202" s="149">
        <v>124</v>
      </c>
      <c r="G202" s="61" t="s">
        <v>654</v>
      </c>
      <c r="H202" s="61" t="s">
        <v>655</v>
      </c>
      <c r="I202" s="61">
        <v>45.465685000000001</v>
      </c>
      <c r="J202" s="61">
        <v>-73.745480999999998</v>
      </c>
      <c r="K202" s="61">
        <v>15.92927869</v>
      </c>
      <c r="L202" s="61">
        <v>19.553999999999998</v>
      </c>
      <c r="M202" s="61" t="s">
        <v>617</v>
      </c>
      <c r="N202" s="149">
        <v>42</v>
      </c>
      <c r="O202" s="149">
        <v>43</v>
      </c>
      <c r="P202" s="61" t="s">
        <v>565</v>
      </c>
      <c r="Q202" s="61" t="s">
        <v>555</v>
      </c>
      <c r="R202" s="61">
        <v>40.6895314</v>
      </c>
      <c r="S202" s="61">
        <v>-74.174462399999996</v>
      </c>
      <c r="T202" s="61">
        <v>604.83699999999999</v>
      </c>
      <c r="U202" s="61" t="s">
        <v>617</v>
      </c>
      <c r="V202" s="61" t="s">
        <v>569</v>
      </c>
      <c r="W202" s="61" cm="1">
        <f t="array" ref="W202">getDistance(I202,J202,R202,S202)*SA!$B$12</f>
        <v>532.70082587978914</v>
      </c>
      <c r="Y202" s="137">
        <f>Transportation_LCIA!C$61*($W202^Transportation_LCIA!C$60)+Transportation_LCIA!C$62</f>
        <v>0.32157602463370416</v>
      </c>
      <c r="Z202" s="137">
        <f>Transportation_LCIA!D$61*($W202^Transportation_LCIA!D$60)+Transportation_LCIA!D$62</f>
        <v>3.4401752281760434</v>
      </c>
      <c r="AA202" s="137">
        <f>Transportation_LCIA!E$61*($W202^Transportation_LCIA!E$60)+Transportation_LCIA!E$62</f>
        <v>1.8141836341962153E-3</v>
      </c>
      <c r="AB202" s="137">
        <f>Transportation_LCIA!F$61*($W202^Transportation_LCIA!F$60)+Transportation_LCIA!F$62</f>
        <v>0.32157602463370416</v>
      </c>
      <c r="AC202" s="137">
        <f>Transportation_LCIA!G$61*($W202^Transportation_LCIA!G$60)+Transportation_LCIA!G$62</f>
        <v>8.0143040676289495E-2</v>
      </c>
      <c r="AD202" s="137">
        <f>Transportation_LCIA!H$61*($W202^Transportation_LCIA!H$60)+Transportation_LCIA!H$62</f>
        <v>4.2530075100495493E-4</v>
      </c>
      <c r="AE202" s="137">
        <f>Transportation_LCIA!I$61*($W202^Transportation_LCIA!I$60)+Transportation_LCIA!I$62</f>
        <v>9.7085338694522006E-6</v>
      </c>
      <c r="AF202" s="137">
        <f>Transportation_LCIA!J$61*($W202^Transportation_LCIA!J$60)+Transportation_LCIA!J$62</f>
        <v>1.4453429332288598E-2</v>
      </c>
      <c r="AG202" s="137">
        <f>Transportation_LCIA!K$61*($W202^Transportation_LCIA!K$60)+Transportation_LCIA!K$62</f>
        <v>1.7573386146825021E-2</v>
      </c>
      <c r="AH202" s="137">
        <f>Transportation_LCIA!L$61*($W202^Transportation_LCIA!L$60)+Transportation_LCIA!L$62</f>
        <v>3.7692466700234696E-4</v>
      </c>
      <c r="AI202" s="137">
        <f>Transportation_LCIA!M$61*($W202^Transportation_LCIA!M$60)+Transportation_LCIA!M$62</f>
        <v>3.2560324687594627E-4</v>
      </c>
      <c r="AJ202" s="137">
        <f>Transportation_LCIA!N$61*($W202^Transportation_LCIA!N$60)+Transportation_LCIA!N$62</f>
        <v>1.4886217992903391E-3</v>
      </c>
      <c r="AK202" s="137">
        <f>Transportation_LCIA!O$61*($W202^Transportation_LCIA!O$60)+Transportation_LCIA!O$62</f>
        <v>8.4836431112135085E-5</v>
      </c>
      <c r="AL202" s="137">
        <f>Transportation_LCIA!P$61*($W202^Transportation_LCIA!P$60)+Transportation_LCIA!P$62</f>
        <v>4.094417350036071E-8</v>
      </c>
      <c r="AM202" s="137">
        <f>Transportation_LCIA!Q$61*($W202^Transportation_LCIA!Q$60)+Transportation_LCIA!Q$62</f>
        <v>1.4864785211779024E-4</v>
      </c>
      <c r="AN202" s="137">
        <f>Transportation_LCIA!R$61*($W202^Transportation_LCIA!R$60)+Transportation_LCIA!R$62</f>
        <v>4.664545941177262E-4</v>
      </c>
      <c r="AO202" s="137">
        <f>Transportation_LCIA!S$61*($W202^Transportation_LCIA!S$60)+Transportation_LCIA!S$62</f>
        <v>6.8758863533443067E-6</v>
      </c>
      <c r="AP202" s="137">
        <f>Transportation_LCIA!T$61*($W202^Transportation_LCIA!T$60)+Transportation_LCIA!T$62</f>
        <v>6.8758863533443067E-6</v>
      </c>
      <c r="AQ202" s="137">
        <f>Transportation_LCIA!U$61*($W202^Transportation_LCIA!U$60)+Transportation_LCIA!U$62</f>
        <v>1.0106481886833722E-3</v>
      </c>
      <c r="AR202" s="137">
        <f>Transportation_LCIA!V$61*($W202^Transportation_LCIA!V$60)+Transportation_LCIA!V$62</f>
        <v>3.8699391574166265E-4</v>
      </c>
      <c r="AT202" s="137">
        <f>$W202*Y202+$L202*Summary_LCIA!H$32</f>
        <v>177.94826310551363</v>
      </c>
      <c r="AU202" s="137">
        <f>$W202*Z202+$L202*Summary_LCIA!Q$32</f>
        <v>1929.4947953874523</v>
      </c>
      <c r="AV202" s="137">
        <f>$W202*AA202+$L202*Summary_LCIA!R$32</f>
        <v>1.0693806626339211</v>
      </c>
      <c r="AW202" s="137">
        <f>$W202*AB202+$L202*Summary_LCIA!S$32</f>
        <v>177.86183442551362</v>
      </c>
      <c r="AX202" s="137">
        <f>$W202*AC202+$L202*Summary_LCIA!T$32</f>
        <v>44.841248556776947</v>
      </c>
      <c r="AY202" s="137">
        <f>$W202*AD202+$L202*Summary_LCIA!U$32</f>
        <v>0.57684841730763403</v>
      </c>
      <c r="AZ202" s="137">
        <f>$W202*AE202+$L202*Summary_LCIA!V$32</f>
        <v>6.1056626043390922E-3</v>
      </c>
      <c r="BA202" s="137">
        <f>$W202*AF202+$L202*Summary_LCIA!W$32</f>
        <v>9.2044446761053056</v>
      </c>
      <c r="BB202" s="137">
        <f>$W202*AG202+$L202*Summary_LCIA!X$32</f>
        <v>9.8067974339181347</v>
      </c>
      <c r="BC202" s="137">
        <f>$W202*AH202+$L202*Summary_LCIA!Y$32</f>
        <v>0.50547850940661465</v>
      </c>
      <c r="BD202" s="137">
        <f>$W202*AI202+$L202*Summary_LCIA!Z$32</f>
        <v>0.17425100850595746</v>
      </c>
      <c r="BE202" s="137">
        <f>$W202*AJ202+$L202*Summary_LCIA!AA$32</f>
        <v>1.2496932859046213</v>
      </c>
      <c r="BF202" s="137">
        <f>$W202*AK202+$L202*Summary_LCIA!AB$32</f>
        <v>4.47657099761282E-2</v>
      </c>
      <c r="BG202" s="137">
        <f>$W202*AL202+$L202*Summary_LCIA!AC$32</f>
        <v>2.2766872774607524E-5</v>
      </c>
      <c r="BH202" s="137">
        <f>$W202*AM202+$L202*Summary_LCIA!AD$32</f>
        <v>8.7222309748403629E-2</v>
      </c>
      <c r="BI202" s="137">
        <f>$W202*AN202+$L202*Summary_LCIA!AE$32</f>
        <v>0.26580813354193455</v>
      </c>
      <c r="BJ202" s="137">
        <f>$W202*AO202+$L202*Summary_LCIA!AF$32</f>
        <v>2.0194133019082083E-2</v>
      </c>
      <c r="BK202" s="137">
        <f>$W202*AP202+$L202*Summary_LCIA!AG$32</f>
        <v>4.6632707490820834E-3</v>
      </c>
      <c r="BL202" s="137">
        <f>$W202*AQ202+$L202*Summary_LCIA!AH$32</f>
        <v>0.70856331918554538</v>
      </c>
      <c r="BM202" s="137">
        <f>$W202*AR202+$L202*Summary_LCIA!AI$32</f>
        <v>0.22436750722603721</v>
      </c>
    </row>
    <row r="203" spans="1:65" x14ac:dyDescent="0.25">
      <c r="A203" s="149">
        <v>280</v>
      </c>
      <c r="B203" s="149">
        <v>43</v>
      </c>
      <c r="C203" s="61">
        <v>45.501688999999999</v>
      </c>
      <c r="D203" s="61">
        <v>-73.567256</v>
      </c>
      <c r="E203" s="61" t="s">
        <v>458</v>
      </c>
      <c r="F203" s="149">
        <v>124</v>
      </c>
      <c r="G203" s="61" t="s">
        <v>654</v>
      </c>
      <c r="H203" s="61" t="s">
        <v>655</v>
      </c>
      <c r="I203" s="61">
        <v>45.465685000000001</v>
      </c>
      <c r="J203" s="61">
        <v>-73.745480999999998</v>
      </c>
      <c r="K203" s="61">
        <v>15.92927869</v>
      </c>
      <c r="L203" s="61">
        <v>19.553999999999998</v>
      </c>
      <c r="M203" s="61" t="s">
        <v>617</v>
      </c>
      <c r="N203" s="149">
        <v>42</v>
      </c>
      <c r="O203" s="149">
        <v>43</v>
      </c>
      <c r="P203" s="61" t="s">
        <v>565</v>
      </c>
      <c r="Q203" s="61" t="s">
        <v>555</v>
      </c>
      <c r="R203" s="61">
        <v>40.6895314</v>
      </c>
      <c r="S203" s="61">
        <v>-74.174462399999996</v>
      </c>
      <c r="T203" s="61">
        <v>604.83699999999999</v>
      </c>
      <c r="U203" s="61" t="s">
        <v>617</v>
      </c>
      <c r="V203" s="61" t="s">
        <v>569</v>
      </c>
      <c r="W203" s="61" cm="1">
        <f t="array" ref="W203">getDistance(I203,J203,R203,S203)*SA!$B$12</f>
        <v>532.70082587978914</v>
      </c>
      <c r="Y203" s="137">
        <f>Transportation_LCIA!C$61*($W203^Transportation_LCIA!C$60)+Transportation_LCIA!C$62</f>
        <v>0.32157602463370416</v>
      </c>
      <c r="Z203" s="137">
        <f>Transportation_LCIA!D$61*($W203^Transportation_LCIA!D$60)+Transportation_LCIA!D$62</f>
        <v>3.4401752281760434</v>
      </c>
      <c r="AA203" s="137">
        <f>Transportation_LCIA!E$61*($W203^Transportation_LCIA!E$60)+Transportation_LCIA!E$62</f>
        <v>1.8141836341962153E-3</v>
      </c>
      <c r="AB203" s="137">
        <f>Transportation_LCIA!F$61*($W203^Transportation_LCIA!F$60)+Transportation_LCIA!F$62</f>
        <v>0.32157602463370416</v>
      </c>
      <c r="AC203" s="137">
        <f>Transportation_LCIA!G$61*($W203^Transportation_LCIA!G$60)+Transportation_LCIA!G$62</f>
        <v>8.0143040676289495E-2</v>
      </c>
      <c r="AD203" s="137">
        <f>Transportation_LCIA!H$61*($W203^Transportation_LCIA!H$60)+Transportation_LCIA!H$62</f>
        <v>4.2530075100495493E-4</v>
      </c>
      <c r="AE203" s="137">
        <f>Transportation_LCIA!I$61*($W203^Transportation_LCIA!I$60)+Transportation_LCIA!I$62</f>
        <v>9.7085338694522006E-6</v>
      </c>
      <c r="AF203" s="137">
        <f>Transportation_LCIA!J$61*($W203^Transportation_LCIA!J$60)+Transportation_LCIA!J$62</f>
        <v>1.4453429332288598E-2</v>
      </c>
      <c r="AG203" s="137">
        <f>Transportation_LCIA!K$61*($W203^Transportation_LCIA!K$60)+Transportation_LCIA!K$62</f>
        <v>1.7573386146825021E-2</v>
      </c>
      <c r="AH203" s="137">
        <f>Transportation_LCIA!L$61*($W203^Transportation_LCIA!L$60)+Transportation_LCIA!L$62</f>
        <v>3.7692466700234696E-4</v>
      </c>
      <c r="AI203" s="137">
        <f>Transportation_LCIA!M$61*($W203^Transportation_LCIA!M$60)+Transportation_LCIA!M$62</f>
        <v>3.2560324687594627E-4</v>
      </c>
      <c r="AJ203" s="137">
        <f>Transportation_LCIA!N$61*($W203^Transportation_LCIA!N$60)+Transportation_LCIA!N$62</f>
        <v>1.4886217992903391E-3</v>
      </c>
      <c r="AK203" s="137">
        <f>Transportation_LCIA!O$61*($W203^Transportation_LCIA!O$60)+Transportation_LCIA!O$62</f>
        <v>8.4836431112135085E-5</v>
      </c>
      <c r="AL203" s="137">
        <f>Transportation_LCIA!P$61*($W203^Transportation_LCIA!P$60)+Transportation_LCIA!P$62</f>
        <v>4.094417350036071E-8</v>
      </c>
      <c r="AM203" s="137">
        <f>Transportation_LCIA!Q$61*($W203^Transportation_LCIA!Q$60)+Transportation_LCIA!Q$62</f>
        <v>1.4864785211779024E-4</v>
      </c>
      <c r="AN203" s="137">
        <f>Transportation_LCIA!R$61*($W203^Transportation_LCIA!R$60)+Transportation_LCIA!R$62</f>
        <v>4.664545941177262E-4</v>
      </c>
      <c r="AO203" s="137">
        <f>Transportation_LCIA!S$61*($W203^Transportation_LCIA!S$60)+Transportation_LCIA!S$62</f>
        <v>6.8758863533443067E-6</v>
      </c>
      <c r="AP203" s="137">
        <f>Transportation_LCIA!T$61*($W203^Transportation_LCIA!T$60)+Transportation_LCIA!T$62</f>
        <v>6.8758863533443067E-6</v>
      </c>
      <c r="AQ203" s="137">
        <f>Transportation_LCIA!U$61*($W203^Transportation_LCIA!U$60)+Transportation_LCIA!U$62</f>
        <v>1.0106481886833722E-3</v>
      </c>
      <c r="AR203" s="137">
        <f>Transportation_LCIA!V$61*($W203^Transportation_LCIA!V$60)+Transportation_LCIA!V$62</f>
        <v>3.8699391574166265E-4</v>
      </c>
      <c r="AT203" s="137">
        <f>$W203*Y203+$L203*Summary_LCIA!H$32</f>
        <v>177.94826310551363</v>
      </c>
      <c r="AU203" s="137">
        <f>$W203*Z203+$L203*Summary_LCIA!Q$32</f>
        <v>1929.4947953874523</v>
      </c>
      <c r="AV203" s="137">
        <f>$W203*AA203+$L203*Summary_LCIA!R$32</f>
        <v>1.0693806626339211</v>
      </c>
      <c r="AW203" s="137">
        <f>$W203*AB203+$L203*Summary_LCIA!S$32</f>
        <v>177.86183442551362</v>
      </c>
      <c r="AX203" s="137">
        <f>$W203*AC203+$L203*Summary_LCIA!T$32</f>
        <v>44.841248556776947</v>
      </c>
      <c r="AY203" s="137">
        <f>$W203*AD203+$L203*Summary_LCIA!U$32</f>
        <v>0.57684841730763403</v>
      </c>
      <c r="AZ203" s="137">
        <f>$W203*AE203+$L203*Summary_LCIA!V$32</f>
        <v>6.1056626043390922E-3</v>
      </c>
      <c r="BA203" s="137">
        <f>$W203*AF203+$L203*Summary_LCIA!W$32</f>
        <v>9.2044446761053056</v>
      </c>
      <c r="BB203" s="137">
        <f>$W203*AG203+$L203*Summary_LCIA!X$32</f>
        <v>9.8067974339181347</v>
      </c>
      <c r="BC203" s="137">
        <f>$W203*AH203+$L203*Summary_LCIA!Y$32</f>
        <v>0.50547850940661465</v>
      </c>
      <c r="BD203" s="137">
        <f>$W203*AI203+$L203*Summary_LCIA!Z$32</f>
        <v>0.17425100850595746</v>
      </c>
      <c r="BE203" s="137">
        <f>$W203*AJ203+$L203*Summary_LCIA!AA$32</f>
        <v>1.2496932859046213</v>
      </c>
      <c r="BF203" s="137">
        <f>$W203*AK203+$L203*Summary_LCIA!AB$32</f>
        <v>4.47657099761282E-2</v>
      </c>
      <c r="BG203" s="137">
        <f>$W203*AL203+$L203*Summary_LCIA!AC$32</f>
        <v>2.2766872774607524E-5</v>
      </c>
      <c r="BH203" s="137">
        <f>$W203*AM203+$L203*Summary_LCIA!AD$32</f>
        <v>8.7222309748403629E-2</v>
      </c>
      <c r="BI203" s="137">
        <f>$W203*AN203+$L203*Summary_LCIA!AE$32</f>
        <v>0.26580813354193455</v>
      </c>
      <c r="BJ203" s="137">
        <f>$W203*AO203+$L203*Summary_LCIA!AF$32</f>
        <v>2.0194133019082083E-2</v>
      </c>
      <c r="BK203" s="137">
        <f>$W203*AP203+$L203*Summary_LCIA!AG$32</f>
        <v>4.6632707490820834E-3</v>
      </c>
      <c r="BL203" s="137">
        <f>$W203*AQ203+$L203*Summary_LCIA!AH$32</f>
        <v>0.70856331918554538</v>
      </c>
      <c r="BM203" s="137">
        <f>$W203*AR203+$L203*Summary_LCIA!AI$32</f>
        <v>0.22436750722603721</v>
      </c>
    </row>
    <row r="204" spans="1:65" x14ac:dyDescent="0.25">
      <c r="A204" s="149">
        <v>351</v>
      </c>
      <c r="B204" s="149">
        <v>6</v>
      </c>
      <c r="C204" s="61">
        <v>45.176614999999998</v>
      </c>
      <c r="D204" s="61">
        <v>-92.577832999999998</v>
      </c>
      <c r="E204" s="61" t="s">
        <v>265</v>
      </c>
      <c r="F204" s="149">
        <v>57</v>
      </c>
      <c r="G204" s="61" t="s">
        <v>565</v>
      </c>
      <c r="H204" s="61" t="s">
        <v>641</v>
      </c>
      <c r="I204" s="61">
        <v>44.884754999999998</v>
      </c>
      <c r="J204" s="61">
        <v>-93.222284999999999</v>
      </c>
      <c r="K204" s="61">
        <v>71.451382140000007</v>
      </c>
      <c r="L204" s="61">
        <v>80.105999999999995</v>
      </c>
      <c r="M204" s="61" t="s">
        <v>617</v>
      </c>
      <c r="N204" s="149">
        <v>5</v>
      </c>
      <c r="O204" s="149">
        <v>6</v>
      </c>
      <c r="P204" s="61" t="s">
        <v>565</v>
      </c>
      <c r="Q204" s="61" t="s">
        <v>564</v>
      </c>
      <c r="R204" s="61">
        <v>41.98028</v>
      </c>
      <c r="S204" s="61">
        <v>-87.908997900000003</v>
      </c>
      <c r="T204" s="61">
        <v>607.62</v>
      </c>
      <c r="U204" s="61" t="s">
        <v>617</v>
      </c>
      <c r="V204" s="61" t="s">
        <v>569</v>
      </c>
      <c r="W204" s="61" cm="1">
        <f t="array" ref="W204">getDistance(I204,J204,R204,S204)*SA!$B$12</f>
        <v>537.9238360294454</v>
      </c>
      <c r="Y204" s="137">
        <f>Transportation_LCIA!C$61*($W204^Transportation_LCIA!C$60)+Transportation_LCIA!C$62</f>
        <v>0.31986678213898079</v>
      </c>
      <c r="Z204" s="137">
        <f>Transportation_LCIA!D$61*($W204^Transportation_LCIA!D$60)+Transportation_LCIA!D$62</f>
        <v>3.4196837590581142</v>
      </c>
      <c r="AA204" s="137">
        <f>Transportation_LCIA!E$61*($W204^Transportation_LCIA!E$60)+Transportation_LCIA!E$62</f>
        <v>1.8006084167141755E-3</v>
      </c>
      <c r="AB204" s="137">
        <f>Transportation_LCIA!F$61*($W204^Transportation_LCIA!F$60)+Transportation_LCIA!F$62</f>
        <v>0.31986678213898079</v>
      </c>
      <c r="AC204" s="137">
        <f>Transportation_LCIA!G$61*($W204^Transportation_LCIA!G$60)+Transportation_LCIA!G$62</f>
        <v>7.9669699225259488E-2</v>
      </c>
      <c r="AD204" s="137">
        <f>Transportation_LCIA!H$61*($W204^Transportation_LCIA!H$60)+Transportation_LCIA!H$62</f>
        <v>4.2227087470452683E-4</v>
      </c>
      <c r="AE204" s="137">
        <f>Transportation_LCIA!I$61*($W204^Transportation_LCIA!I$60)+Transportation_LCIA!I$62</f>
        <v>9.6304021623867961E-6</v>
      </c>
      <c r="AF204" s="137">
        <f>Transportation_LCIA!J$61*($W204^Transportation_LCIA!J$60)+Transportation_LCIA!J$62</f>
        <v>1.4335225470337743E-2</v>
      </c>
      <c r="AG204" s="137">
        <f>Transportation_LCIA!K$61*($W204^Transportation_LCIA!K$60)+Transportation_LCIA!K$62</f>
        <v>1.7461378929992367E-2</v>
      </c>
      <c r="AH204" s="137">
        <f>Transportation_LCIA!L$61*($W204^Transportation_LCIA!L$60)+Transportation_LCIA!L$62</f>
        <v>3.741200211309115E-4</v>
      </c>
      <c r="AI204" s="137">
        <f>Transportation_LCIA!M$61*($W204^Transportation_LCIA!M$60)+Transportation_LCIA!M$62</f>
        <v>3.2392972305419126E-4</v>
      </c>
      <c r="AJ204" s="137">
        <f>Transportation_LCIA!N$61*($W204^Transportation_LCIA!N$60)+Transportation_LCIA!N$62</f>
        <v>1.4784543299395398E-3</v>
      </c>
      <c r="AK204" s="137">
        <f>Transportation_LCIA!O$61*($W204^Transportation_LCIA!O$60)+Transportation_LCIA!O$62</f>
        <v>8.4333072501823996E-5</v>
      </c>
      <c r="AL204" s="137">
        <f>Transportation_LCIA!P$61*($W204^Transportation_LCIA!P$60)+Transportation_LCIA!P$62</f>
        <v>4.0702648380323872E-8</v>
      </c>
      <c r="AM204" s="137">
        <f>Transportation_LCIA!Q$61*($W204^Transportation_LCIA!Q$60)+Transportation_LCIA!Q$62</f>
        <v>1.4754717709156823E-4</v>
      </c>
      <c r="AN204" s="137">
        <f>Transportation_LCIA!R$61*($W204^Transportation_LCIA!R$60)+Transportation_LCIA!R$62</f>
        <v>4.6270576693556009E-4</v>
      </c>
      <c r="AO204" s="137">
        <f>Transportation_LCIA!S$61*($W204^Transportation_LCIA!S$60)+Transportation_LCIA!S$62</f>
        <v>6.8227398697620497E-6</v>
      </c>
      <c r="AP204" s="137">
        <f>Transportation_LCIA!T$61*($W204^Transportation_LCIA!T$60)+Transportation_LCIA!T$62</f>
        <v>6.8227398697620497E-6</v>
      </c>
      <c r="AQ204" s="137">
        <f>Transportation_LCIA!U$61*($W204^Transportation_LCIA!U$60)+Transportation_LCIA!U$62</f>
        <v>1.002389311334221E-3</v>
      </c>
      <c r="AR204" s="137">
        <f>Transportation_LCIA!V$61*($W204^Transportation_LCIA!V$60)+Transportation_LCIA!V$62</f>
        <v>3.8411685160034487E-4</v>
      </c>
      <c r="AT204" s="137">
        <f>$W204*Y204+$L204*Summary_LCIA!H$32</f>
        <v>199.28398526659544</v>
      </c>
      <c r="AU204" s="137">
        <f>$W204*Z204+$L204*Summary_LCIA!Q$32</f>
        <v>2236.5387816660323</v>
      </c>
      <c r="AV204" s="137">
        <f>$W204*AA204+$L204*Summary_LCIA!R$32</f>
        <v>1.3903963403057955</v>
      </c>
      <c r="AW204" s="137">
        <f>$W204*AB204+$L204*Summary_LCIA!S$32</f>
        <v>198.92991674659544</v>
      </c>
      <c r="AX204" s="137">
        <f>$W204*AC204+$L204*Summary_LCIA!T$32</f>
        <v>51.659879622563714</v>
      </c>
      <c r="AY204" s="137">
        <f>$W204*AD204+$L204*Summary_LCIA!U$32</f>
        <v>1.6621684527645681</v>
      </c>
      <c r="AZ204" s="137">
        <f>$W204*AE204+$L204*Summary_LCIA!V$32</f>
        <v>9.0063655396973707E-3</v>
      </c>
      <c r="BA204" s="137">
        <f>$W204*AF204+$L204*Summary_LCIA!W$32</f>
        <v>13.877098401351088</v>
      </c>
      <c r="BB204" s="137">
        <f>$W204*AG204+$L204*Summary_LCIA!X$32</f>
        <v>11.217706616385227</v>
      </c>
      <c r="BC204" s="137">
        <f>$W204*AH204+$L204*Summary_LCIA!Y$32</f>
        <v>1.4494597689021571</v>
      </c>
      <c r="BD204" s="137">
        <f>$W204*AI204+$L204*Summary_LCIA!Z$32</f>
        <v>0.17753458618326642</v>
      </c>
      <c r="BE204" s="137">
        <f>$W204*AJ204+$L204*Summary_LCIA!AA$32</f>
        <v>2.6662515605554202</v>
      </c>
      <c r="BF204" s="137">
        <f>$W204*AK204+$L204*Summary_LCIA!AB$32</f>
        <v>4.3616616626330505E-2</v>
      </c>
      <c r="BG204" s="137">
        <f>$W204*AL204+$L204*Summary_LCIA!AC$32</f>
        <v>2.5810826457301509E-5</v>
      </c>
      <c r="BH204" s="137">
        <f>$W204*AM204+$L204*Summary_LCIA!AD$32</f>
        <v>0.11229591373641229</v>
      </c>
      <c r="BI204" s="137">
        <f>$W204*AN204+$L204*Summary_LCIA!AE$32</f>
        <v>0.31988479088292299</v>
      </c>
      <c r="BJ204" s="137">
        <f>$W204*AO204+$L204*Summary_LCIA!AF$32</f>
        <v>7.139332892297344E-2</v>
      </c>
      <c r="BK204" s="137">
        <f>$W204*AP204+$L204*Summary_LCIA!AG$32</f>
        <v>7.7687378929734404E-3</v>
      </c>
      <c r="BL204" s="137">
        <f>$W204*AQ204+$L204*Summary_LCIA!AH$32</f>
        <v>1.2364196851478182</v>
      </c>
      <c r="BM204" s="137">
        <f>$W204*AR204+$L204*Summary_LCIA!AI$32</f>
        <v>0.28124835459641073</v>
      </c>
    </row>
    <row r="205" spans="1:65" x14ac:dyDescent="0.25">
      <c r="A205" s="149">
        <v>193</v>
      </c>
      <c r="B205" s="149">
        <v>6</v>
      </c>
      <c r="C205" s="61">
        <v>41.09545</v>
      </c>
      <c r="D205" s="61">
        <v>-81.588757999999999</v>
      </c>
      <c r="E205" s="61" t="s">
        <v>265</v>
      </c>
      <c r="F205" s="149">
        <v>105</v>
      </c>
      <c r="G205" s="61" t="s">
        <v>276</v>
      </c>
      <c r="H205" s="61" t="s">
        <v>660</v>
      </c>
      <c r="I205" s="61">
        <v>41.405799000000002</v>
      </c>
      <c r="J205" s="61">
        <v>-81.853866999999994</v>
      </c>
      <c r="K205" s="61">
        <v>53.820187070000003</v>
      </c>
      <c r="L205" s="61">
        <v>60.753</v>
      </c>
      <c r="M205" s="61" t="s">
        <v>617</v>
      </c>
      <c r="N205" s="149">
        <v>5</v>
      </c>
      <c r="O205" s="149">
        <v>6</v>
      </c>
      <c r="P205" s="61" t="s">
        <v>565</v>
      </c>
      <c r="Q205" s="61" t="s">
        <v>564</v>
      </c>
      <c r="R205" s="61">
        <v>41.98028</v>
      </c>
      <c r="S205" s="61">
        <v>-87.908997900000003</v>
      </c>
      <c r="T205" s="61">
        <v>608.34900000000005</v>
      </c>
      <c r="U205" s="61" t="s">
        <v>617</v>
      </c>
      <c r="V205" s="61" t="s">
        <v>569</v>
      </c>
      <c r="W205" s="61" cm="1">
        <f t="array" ref="W205">getDistance(I205,J205,R205,S205)*SA!$B$12</f>
        <v>508.0035886560301</v>
      </c>
      <c r="Y205" s="137">
        <f>Transportation_LCIA!C$61*($W205^Transportation_LCIA!C$60)+Transportation_LCIA!C$62</f>
        <v>0.33009466965930534</v>
      </c>
      <c r="Z205" s="137">
        <f>Transportation_LCIA!D$61*($W205^Transportation_LCIA!D$60)+Transportation_LCIA!D$62</f>
        <v>3.5424297147150119</v>
      </c>
      <c r="AA205" s="137">
        <f>Transportation_LCIA!E$61*($W205^Transportation_LCIA!E$60)+Transportation_LCIA!E$62</f>
        <v>1.881949117619271E-3</v>
      </c>
      <c r="AB205" s="137">
        <f>Transportation_LCIA!F$61*($W205^Transportation_LCIA!F$60)+Transportation_LCIA!F$62</f>
        <v>0.33009466965930534</v>
      </c>
      <c r="AC205" s="137">
        <f>Transportation_LCIA!G$61*($W205^Transportation_LCIA!G$60)+Transportation_LCIA!G$62</f>
        <v>8.2504889928352365E-2</v>
      </c>
      <c r="AD205" s="137">
        <f>Transportation_LCIA!H$61*($W205^Transportation_LCIA!H$60)+Transportation_LCIA!H$62</f>
        <v>4.4043594058456003E-4</v>
      </c>
      <c r="AE205" s="137">
        <f>Transportation_LCIA!I$61*($W205^Transportation_LCIA!I$60)+Transportation_LCIA!I$62</f>
        <v>1.0099262763484922E-5</v>
      </c>
      <c r="AF205" s="137">
        <f>Transportation_LCIA!J$61*($W205^Transportation_LCIA!J$60)+Transportation_LCIA!J$62</f>
        <v>1.5044986830824957E-2</v>
      </c>
      <c r="AG205" s="137">
        <f>Transportation_LCIA!K$61*($W205^Transportation_LCIA!K$60)+Transportation_LCIA!K$62</f>
        <v>1.8132625491128557E-2</v>
      </c>
      <c r="AH205" s="137">
        <f>Transportation_LCIA!L$61*($W205^Transportation_LCIA!L$60)+Transportation_LCIA!L$62</f>
        <v>3.9093921727928455E-4</v>
      </c>
      <c r="AI205" s="137">
        <f>Transportation_LCIA!M$61*($W205^Transportation_LCIA!M$60)+Transportation_LCIA!M$62</f>
        <v>3.3396334311075232E-4</v>
      </c>
      <c r="AJ205" s="137">
        <f>Transportation_LCIA!N$61*($W205^Transportation_LCIA!N$60)+Transportation_LCIA!N$62</f>
        <v>1.5394070125787397E-3</v>
      </c>
      <c r="AK205" s="137">
        <f>Transportation_LCIA!O$61*($W205^Transportation_LCIA!O$60)+Transportation_LCIA!O$62</f>
        <v>8.7348144302915392E-5</v>
      </c>
      <c r="AL205" s="137">
        <f>Transportation_LCIA!P$61*($W205^Transportation_LCIA!P$60)+Transportation_LCIA!P$62</f>
        <v>4.2149249681484652E-8</v>
      </c>
      <c r="AM205" s="137">
        <f>Transportation_LCIA!Q$61*($W205^Transportation_LCIA!Q$60)+Transportation_LCIA!Q$62</f>
        <v>1.5414876345104929E-4</v>
      </c>
      <c r="AN205" s="137">
        <f>Transportation_LCIA!R$61*($W205^Transportation_LCIA!R$60)+Transportation_LCIA!R$62</f>
        <v>4.8520261212265276E-4</v>
      </c>
      <c r="AO205" s="137">
        <f>Transportation_LCIA!S$61*($W205^Transportation_LCIA!S$60)+Transportation_LCIA!S$62</f>
        <v>7.1416605098105525E-6</v>
      </c>
      <c r="AP205" s="137">
        <f>Transportation_LCIA!T$61*($W205^Transportation_LCIA!T$60)+Transportation_LCIA!T$62</f>
        <v>7.1416605098105525E-6</v>
      </c>
      <c r="AQ205" s="137">
        <f>Transportation_LCIA!U$61*($W205^Transportation_LCIA!U$60)+Transportation_LCIA!U$62</f>
        <v>1.0519598834212809E-3</v>
      </c>
      <c r="AR205" s="137">
        <f>Transportation_LCIA!V$61*($W205^Transportation_LCIA!V$60)+Transportation_LCIA!V$62</f>
        <v>4.0137597393638617E-4</v>
      </c>
      <c r="AT205" s="137">
        <f>$W205*Y205+$L205*Summary_LCIA!H$32</f>
        <v>188.3331461831539</v>
      </c>
      <c r="AU205" s="137">
        <f>$W205*Z205+$L205*Summary_LCIA!Q$32</f>
        <v>2100.661939593032</v>
      </c>
      <c r="AV205" s="137">
        <f>$W205*AA205+$L205*Summary_LCIA!R$32</f>
        <v>1.275937902218639</v>
      </c>
      <c r="AW205" s="137">
        <f>$W205*AB205+$L205*Summary_LCIA!S$32</f>
        <v>188.06461792315389</v>
      </c>
      <c r="AX205" s="137">
        <f>$W205*AC205+$L205*Summary_LCIA!T$32</f>
        <v>48.589534865273762</v>
      </c>
      <c r="AY205" s="137">
        <f>$W205*AD205+$L205*Summary_LCIA!U$32</f>
        <v>1.3120722803900504</v>
      </c>
      <c r="AZ205" s="137">
        <f>$W205*AE205+$L205*Summary_LCIA!V$32</f>
        <v>8.0320857596305559E-3</v>
      </c>
      <c r="BA205" s="137">
        <f>$W205*AF205+$L205*Summary_LCIA!W$32</f>
        <v>12.319126464341792</v>
      </c>
      <c r="BB205" s="137">
        <f>$W205*AG205+$L205*Summary_LCIA!X$32</f>
        <v>10.595392161249118</v>
      </c>
      <c r="BC205" s="137">
        <f>$W205*AH205+$L205*Summary_LCIA!Y$32</f>
        <v>1.145251771324256</v>
      </c>
      <c r="BD205" s="137">
        <f>$W205*AI205+$L205*Summary_LCIA!Z$32</f>
        <v>0.17214599655682725</v>
      </c>
      <c r="BE205" s="137">
        <f>$W205*AJ205+$L205*Summary_LCIA!AA$32</f>
        <v>2.2009713547922578</v>
      </c>
      <c r="BF205" s="137">
        <f>$W205*AK205+$L205*Summary_LCIA!AB$32</f>
        <v>4.3047358049325787E-2</v>
      </c>
      <c r="BG205" s="137">
        <f>$W205*AL205+$L205*Summary_LCIA!AC$32</f>
        <v>2.4381819749353236E-5</v>
      </c>
      <c r="BH205" s="137">
        <f>$W205*AM205+$L205*Summary_LCIA!AD$32</f>
        <v>0.10328003814002254</v>
      </c>
      <c r="BI205" s="137">
        <f>$W205*AN205+$L205*Summary_LCIA!AE$32</f>
        <v>0.30031972407358742</v>
      </c>
      <c r="BJ205" s="137">
        <f>$W205*AO205+$L205*Summary_LCIA!AF$32</f>
        <v>5.4989790427946821E-2</v>
      </c>
      <c r="BK205" s="137">
        <f>$W205*AP205+$L205*Summary_LCIA!AG$32</f>
        <v>6.7364164129468142E-3</v>
      </c>
      <c r="BL205" s="137">
        <f>$W205*AQ205+$L205*Summary_LCIA!AH$32</f>
        <v>1.0631692067001899</v>
      </c>
      <c r="BM205" s="137">
        <f>$W205*AR205+$L205*Summary_LCIA!AI$32</f>
        <v>0.26049489230999334</v>
      </c>
    </row>
    <row r="206" spans="1:65" x14ac:dyDescent="0.25">
      <c r="A206" s="149">
        <v>92</v>
      </c>
      <c r="B206" s="149">
        <v>43</v>
      </c>
      <c r="C206" s="61">
        <v>45.514125999999997</v>
      </c>
      <c r="D206" s="61">
        <v>-73.560551000000004</v>
      </c>
      <c r="E206" s="61" t="s">
        <v>458</v>
      </c>
      <c r="F206" s="149">
        <v>124</v>
      </c>
      <c r="G206" s="61" t="s">
        <v>654</v>
      </c>
      <c r="H206" s="61" t="s">
        <v>655</v>
      </c>
      <c r="I206" s="61">
        <v>45.465685000000001</v>
      </c>
      <c r="J206" s="61">
        <v>-73.745480999999998</v>
      </c>
      <c r="K206" s="61">
        <v>17.39246069</v>
      </c>
      <c r="L206" s="61">
        <v>21.344000000000001</v>
      </c>
      <c r="M206" s="61" t="s">
        <v>617</v>
      </c>
      <c r="N206" s="149">
        <v>42</v>
      </c>
      <c r="O206" s="149">
        <v>43</v>
      </c>
      <c r="P206" s="61" t="s">
        <v>565</v>
      </c>
      <c r="Q206" s="61" t="s">
        <v>555</v>
      </c>
      <c r="R206" s="61">
        <v>40.6895314</v>
      </c>
      <c r="S206" s="61">
        <v>-74.174462399999996</v>
      </c>
      <c r="T206" s="61">
        <v>609.423</v>
      </c>
      <c r="U206" s="61" t="s">
        <v>617</v>
      </c>
      <c r="V206" s="61" t="s">
        <v>569</v>
      </c>
      <c r="W206" s="61" cm="1">
        <f t="array" ref="W206">getDistance(I206,J206,R206,S206)*SA!$B$12</f>
        <v>532.70082587978914</v>
      </c>
      <c r="Y206" s="137">
        <f>Transportation_LCIA!C$61*($W206^Transportation_LCIA!C$60)+Transportation_LCIA!C$62</f>
        <v>0.32157602463370416</v>
      </c>
      <c r="Z206" s="137">
        <f>Transportation_LCIA!D$61*($W206^Transportation_LCIA!D$60)+Transportation_LCIA!D$62</f>
        <v>3.4401752281760434</v>
      </c>
      <c r="AA206" s="137">
        <f>Transportation_LCIA!E$61*($W206^Transportation_LCIA!E$60)+Transportation_LCIA!E$62</f>
        <v>1.8141836341962153E-3</v>
      </c>
      <c r="AB206" s="137">
        <f>Transportation_LCIA!F$61*($W206^Transportation_LCIA!F$60)+Transportation_LCIA!F$62</f>
        <v>0.32157602463370416</v>
      </c>
      <c r="AC206" s="137">
        <f>Transportation_LCIA!G$61*($W206^Transportation_LCIA!G$60)+Transportation_LCIA!G$62</f>
        <v>8.0143040676289495E-2</v>
      </c>
      <c r="AD206" s="137">
        <f>Transportation_LCIA!H$61*($W206^Transportation_LCIA!H$60)+Transportation_LCIA!H$62</f>
        <v>4.2530075100495493E-4</v>
      </c>
      <c r="AE206" s="137">
        <f>Transportation_LCIA!I$61*($W206^Transportation_LCIA!I$60)+Transportation_LCIA!I$62</f>
        <v>9.7085338694522006E-6</v>
      </c>
      <c r="AF206" s="137">
        <f>Transportation_LCIA!J$61*($W206^Transportation_LCIA!J$60)+Transportation_LCIA!J$62</f>
        <v>1.4453429332288598E-2</v>
      </c>
      <c r="AG206" s="137">
        <f>Transportation_LCIA!K$61*($W206^Transportation_LCIA!K$60)+Transportation_LCIA!K$62</f>
        <v>1.7573386146825021E-2</v>
      </c>
      <c r="AH206" s="137">
        <f>Transportation_LCIA!L$61*($W206^Transportation_LCIA!L$60)+Transportation_LCIA!L$62</f>
        <v>3.7692466700234696E-4</v>
      </c>
      <c r="AI206" s="137">
        <f>Transportation_LCIA!M$61*($W206^Transportation_LCIA!M$60)+Transportation_LCIA!M$62</f>
        <v>3.2560324687594627E-4</v>
      </c>
      <c r="AJ206" s="137">
        <f>Transportation_LCIA!N$61*($W206^Transportation_LCIA!N$60)+Transportation_LCIA!N$62</f>
        <v>1.4886217992903391E-3</v>
      </c>
      <c r="AK206" s="137">
        <f>Transportation_LCIA!O$61*($W206^Transportation_LCIA!O$60)+Transportation_LCIA!O$62</f>
        <v>8.4836431112135085E-5</v>
      </c>
      <c r="AL206" s="137">
        <f>Transportation_LCIA!P$61*($W206^Transportation_LCIA!P$60)+Transportation_LCIA!P$62</f>
        <v>4.094417350036071E-8</v>
      </c>
      <c r="AM206" s="137">
        <f>Transportation_LCIA!Q$61*($W206^Transportation_LCIA!Q$60)+Transportation_LCIA!Q$62</f>
        <v>1.4864785211779024E-4</v>
      </c>
      <c r="AN206" s="137">
        <f>Transportation_LCIA!R$61*($W206^Transportation_LCIA!R$60)+Transportation_LCIA!R$62</f>
        <v>4.664545941177262E-4</v>
      </c>
      <c r="AO206" s="137">
        <f>Transportation_LCIA!S$61*($W206^Transportation_LCIA!S$60)+Transportation_LCIA!S$62</f>
        <v>6.8758863533443067E-6</v>
      </c>
      <c r="AP206" s="137">
        <f>Transportation_LCIA!T$61*($W206^Transportation_LCIA!T$60)+Transportation_LCIA!T$62</f>
        <v>6.8758863533443067E-6</v>
      </c>
      <c r="AQ206" s="137">
        <f>Transportation_LCIA!U$61*($W206^Transportation_LCIA!U$60)+Transportation_LCIA!U$62</f>
        <v>1.0106481886833722E-3</v>
      </c>
      <c r="AR206" s="137">
        <f>Transportation_LCIA!V$61*($W206^Transportation_LCIA!V$60)+Transportation_LCIA!V$62</f>
        <v>3.8699391574166265E-4</v>
      </c>
      <c r="AT206" s="137">
        <f>$W206*Y206+$L206*Summary_LCIA!H$32</f>
        <v>178.55650510551362</v>
      </c>
      <c r="AU206" s="137">
        <f>$W206*Z206+$L206*Summary_LCIA!Q$32</f>
        <v>1938.3661256625223</v>
      </c>
      <c r="AV206" s="137">
        <f>$W206*AA206+$L206*Summary_LCIA!R$32</f>
        <v>1.0788060866339211</v>
      </c>
      <c r="AW206" s="137">
        <f>$W206*AB206+$L206*Summary_LCIA!S$32</f>
        <v>178.46216462551362</v>
      </c>
      <c r="AX206" s="137">
        <f>$W206*AC206+$L206*Summary_LCIA!T$32</f>
        <v>45.03796955677695</v>
      </c>
      <c r="AY206" s="137">
        <f>$W206*AD206+$L206*Summary_LCIA!U$32</f>
        <v>0.60891447730763404</v>
      </c>
      <c r="AZ206" s="137">
        <f>$W206*AE206+$L206*Summary_LCIA!V$32</f>
        <v>6.1911547943390918E-3</v>
      </c>
      <c r="BA206" s="137">
        <f>$W206*AF206+$L206*Summary_LCIA!W$32</f>
        <v>9.342222766105305</v>
      </c>
      <c r="BB206" s="137">
        <f>$W206*AG206+$L206*Summary_LCIA!X$32</f>
        <v>9.8475736339181346</v>
      </c>
      <c r="BC206" s="137">
        <f>$W206*AH206+$L206*Summary_LCIA!Y$32</f>
        <v>0.53337028940661479</v>
      </c>
      <c r="BD206" s="137">
        <f>$W206*AI206+$L206*Summary_LCIA!Z$32</f>
        <v>0.17432441461595746</v>
      </c>
      <c r="BE206" s="137">
        <f>$W206*AJ206+$L206*Summary_LCIA!AA$32</f>
        <v>1.2915005259046213</v>
      </c>
      <c r="BF206" s="137">
        <f>$W206*AK206+$L206*Summary_LCIA!AB$32</f>
        <v>4.4726646806128201E-2</v>
      </c>
      <c r="BG206" s="137">
        <f>$W206*AL206+$L206*Summary_LCIA!AC$32</f>
        <v>2.2854375134607526E-5</v>
      </c>
      <c r="BH206" s="137">
        <f>$W206*AM206+$L206*Summary_LCIA!AD$32</f>
        <v>8.7958071348403624E-2</v>
      </c>
      <c r="BI206" s="137">
        <f>$W206*AN206+$L206*Summary_LCIA!AE$32</f>
        <v>0.26739430624193461</v>
      </c>
      <c r="BJ206" s="137">
        <f>$W206*AO206+$L206*Summary_LCIA!AF$32</f>
        <v>2.1707434819082088E-2</v>
      </c>
      <c r="BK206" s="137">
        <f>$W206*AP206+$L206*Summary_LCIA!AG$32</f>
        <v>4.7548560990820837E-3</v>
      </c>
      <c r="BL206" s="137">
        <f>$W206*AQ206+$L206*Summary_LCIA!AH$32</f>
        <v>0.72414276318554538</v>
      </c>
      <c r="BM206" s="137">
        <f>$W206*AR206+$L206*Summary_LCIA!AI$32</f>
        <v>0.22603498172603723</v>
      </c>
    </row>
    <row r="207" spans="1:65" x14ac:dyDescent="0.25">
      <c r="A207" s="149">
        <v>58</v>
      </c>
      <c r="B207" s="149">
        <v>43</v>
      </c>
      <c r="C207" s="61">
        <v>45.504741000000003</v>
      </c>
      <c r="D207" s="61">
        <v>-73.614750999999998</v>
      </c>
      <c r="E207" s="61" t="s">
        <v>458</v>
      </c>
      <c r="F207" s="149">
        <v>124</v>
      </c>
      <c r="G207" s="61" t="s">
        <v>654</v>
      </c>
      <c r="H207" s="61" t="s">
        <v>655</v>
      </c>
      <c r="I207" s="61">
        <v>45.465685000000001</v>
      </c>
      <c r="J207" s="61">
        <v>-73.745480999999998</v>
      </c>
      <c r="K207" s="61">
        <v>12.713174800000001</v>
      </c>
      <c r="L207" s="61">
        <v>14.117000000000001</v>
      </c>
      <c r="M207" s="61" t="s">
        <v>617</v>
      </c>
      <c r="N207" s="149">
        <v>42</v>
      </c>
      <c r="O207" s="149">
        <v>43</v>
      </c>
      <c r="P207" s="61" t="s">
        <v>565</v>
      </c>
      <c r="Q207" s="61" t="s">
        <v>555</v>
      </c>
      <c r="R207" s="61">
        <v>40.6895314</v>
      </c>
      <c r="S207" s="61">
        <v>-74.174462399999996</v>
      </c>
      <c r="T207" s="61">
        <v>610.48800000000006</v>
      </c>
      <c r="U207" s="61" t="s">
        <v>617</v>
      </c>
      <c r="V207" s="61" t="s">
        <v>569</v>
      </c>
      <c r="W207" s="61" cm="1">
        <f t="array" ref="W207">getDistance(I207,J207,R207,S207)*SA!$B$12</f>
        <v>532.70082587978914</v>
      </c>
      <c r="Y207" s="137">
        <f>Transportation_LCIA!C$61*($W207^Transportation_LCIA!C$60)+Transportation_LCIA!C$62</f>
        <v>0.32157602463370416</v>
      </c>
      <c r="Z207" s="137">
        <f>Transportation_LCIA!D$61*($W207^Transportation_LCIA!D$60)+Transportation_LCIA!D$62</f>
        <v>3.4401752281760434</v>
      </c>
      <c r="AA207" s="137">
        <f>Transportation_LCIA!E$61*($W207^Transportation_LCIA!E$60)+Transportation_LCIA!E$62</f>
        <v>1.8141836341962153E-3</v>
      </c>
      <c r="AB207" s="137">
        <f>Transportation_LCIA!F$61*($W207^Transportation_LCIA!F$60)+Transportation_LCIA!F$62</f>
        <v>0.32157602463370416</v>
      </c>
      <c r="AC207" s="137">
        <f>Transportation_LCIA!G$61*($W207^Transportation_LCIA!G$60)+Transportation_LCIA!G$62</f>
        <v>8.0143040676289495E-2</v>
      </c>
      <c r="AD207" s="137">
        <f>Transportation_LCIA!H$61*($W207^Transportation_LCIA!H$60)+Transportation_LCIA!H$62</f>
        <v>4.2530075100495493E-4</v>
      </c>
      <c r="AE207" s="137">
        <f>Transportation_LCIA!I$61*($W207^Transportation_LCIA!I$60)+Transportation_LCIA!I$62</f>
        <v>9.7085338694522006E-6</v>
      </c>
      <c r="AF207" s="137">
        <f>Transportation_LCIA!J$61*($W207^Transportation_LCIA!J$60)+Transportation_LCIA!J$62</f>
        <v>1.4453429332288598E-2</v>
      </c>
      <c r="AG207" s="137">
        <f>Transportation_LCIA!K$61*($W207^Transportation_LCIA!K$60)+Transportation_LCIA!K$62</f>
        <v>1.7573386146825021E-2</v>
      </c>
      <c r="AH207" s="137">
        <f>Transportation_LCIA!L$61*($W207^Transportation_LCIA!L$60)+Transportation_LCIA!L$62</f>
        <v>3.7692466700234696E-4</v>
      </c>
      <c r="AI207" s="137">
        <f>Transportation_LCIA!M$61*($W207^Transportation_LCIA!M$60)+Transportation_LCIA!M$62</f>
        <v>3.2560324687594627E-4</v>
      </c>
      <c r="AJ207" s="137">
        <f>Transportation_LCIA!N$61*($W207^Transportation_LCIA!N$60)+Transportation_LCIA!N$62</f>
        <v>1.4886217992903391E-3</v>
      </c>
      <c r="AK207" s="137">
        <f>Transportation_LCIA!O$61*($W207^Transportation_LCIA!O$60)+Transportation_LCIA!O$62</f>
        <v>8.4836431112135085E-5</v>
      </c>
      <c r="AL207" s="137">
        <f>Transportation_LCIA!P$61*($W207^Transportation_LCIA!P$60)+Transportation_LCIA!P$62</f>
        <v>4.094417350036071E-8</v>
      </c>
      <c r="AM207" s="137">
        <f>Transportation_LCIA!Q$61*($W207^Transportation_LCIA!Q$60)+Transportation_LCIA!Q$62</f>
        <v>1.4864785211779024E-4</v>
      </c>
      <c r="AN207" s="137">
        <f>Transportation_LCIA!R$61*($W207^Transportation_LCIA!R$60)+Transportation_LCIA!R$62</f>
        <v>4.664545941177262E-4</v>
      </c>
      <c r="AO207" s="137">
        <f>Transportation_LCIA!S$61*($W207^Transportation_LCIA!S$60)+Transportation_LCIA!S$62</f>
        <v>6.8758863533443067E-6</v>
      </c>
      <c r="AP207" s="137">
        <f>Transportation_LCIA!T$61*($W207^Transportation_LCIA!T$60)+Transportation_LCIA!T$62</f>
        <v>6.8758863533443067E-6</v>
      </c>
      <c r="AQ207" s="137">
        <f>Transportation_LCIA!U$61*($W207^Transportation_LCIA!U$60)+Transportation_LCIA!U$62</f>
        <v>1.0106481886833722E-3</v>
      </c>
      <c r="AR207" s="137">
        <f>Transportation_LCIA!V$61*($W207^Transportation_LCIA!V$60)+Transportation_LCIA!V$62</f>
        <v>3.8699391574166265E-4</v>
      </c>
      <c r="AT207" s="137">
        <f>$W207*Y207+$L207*Summary_LCIA!H$32</f>
        <v>176.10077050551362</v>
      </c>
      <c r="AU207" s="137">
        <f>$W207*Z207+$L207*Summary_LCIA!Q$32</f>
        <v>1902.5487491832314</v>
      </c>
      <c r="AV207" s="137">
        <f>$W207*AA207+$L207*Summary_LCIA!R$32</f>
        <v>1.040751595433921</v>
      </c>
      <c r="AW207" s="137">
        <f>$W207*AB207+$L207*Summary_LCIA!S$32</f>
        <v>176.03837336551365</v>
      </c>
      <c r="AX207" s="137">
        <f>$W207*AC207+$L207*Summary_LCIA!T$32</f>
        <v>44.243722256776948</v>
      </c>
      <c r="AY207" s="137">
        <f>$W207*AD207+$L207*Summary_LCIA!U$32</f>
        <v>0.47944999930763404</v>
      </c>
      <c r="AZ207" s="137">
        <f>$W207*AE207+$L207*Summary_LCIA!V$32</f>
        <v>5.8459860473390919E-3</v>
      </c>
      <c r="BA207" s="137">
        <f>$W207*AF207+$L207*Summary_LCIA!W$32</f>
        <v>8.7859533491053057</v>
      </c>
      <c r="BB207" s="137">
        <f>$W207*AG207+$L207*Summary_LCIA!X$32</f>
        <v>9.682942573918135</v>
      </c>
      <c r="BC207" s="137">
        <f>$W207*AH207+$L207*Summary_LCIA!Y$32</f>
        <v>0.42075917540661473</v>
      </c>
      <c r="BD207" s="137">
        <f>$W207*AI207+$L207*Summary_LCIA!Z$32</f>
        <v>0.17402804257295745</v>
      </c>
      <c r="BE207" s="137">
        <f>$W207*AJ207+$L207*Summary_LCIA!AA$32</f>
        <v>1.1227067139046212</v>
      </c>
      <c r="BF207" s="137">
        <f>$W207*AK207+$L207*Summary_LCIA!AB$32</f>
        <v>4.4884361627128201E-2</v>
      </c>
      <c r="BG207" s="137">
        <f>$W207*AL207+$L207*Summary_LCIA!AC$32</f>
        <v>2.2501090466607526E-5</v>
      </c>
      <c r="BH207" s="137">
        <f>$W207*AM207+$L207*Summary_LCIA!AD$32</f>
        <v>8.4987485268403634E-2</v>
      </c>
      <c r="BI207" s="137">
        <f>$W207*AN207+$L207*Summary_LCIA!AE$32</f>
        <v>0.26099024473193461</v>
      </c>
      <c r="BJ207" s="137">
        <f>$W207*AO207+$L207*Summary_LCIA!AF$32</f>
        <v>1.5597584479082084E-2</v>
      </c>
      <c r="BK207" s="137">
        <f>$W207*AP207+$L207*Summary_LCIA!AG$32</f>
        <v>4.3850866440820835E-3</v>
      </c>
      <c r="BL207" s="137">
        <f>$W207*AQ207+$L207*Summary_LCIA!AH$32</f>
        <v>0.66124184598554536</v>
      </c>
      <c r="BM207" s="137">
        <f>$W207*AR207+$L207*Summary_LCIA!AI$32</f>
        <v>0.21930266987603722</v>
      </c>
    </row>
    <row r="208" spans="1:65" x14ac:dyDescent="0.25">
      <c r="A208" s="149">
        <v>59</v>
      </c>
      <c r="B208" s="149">
        <v>43</v>
      </c>
      <c r="C208" s="61">
        <v>45.504741000000003</v>
      </c>
      <c r="D208" s="61">
        <v>-73.614750999999998</v>
      </c>
      <c r="E208" s="61" t="s">
        <v>458</v>
      </c>
      <c r="F208" s="149">
        <v>124</v>
      </c>
      <c r="G208" s="61" t="s">
        <v>654</v>
      </c>
      <c r="H208" s="61" t="s">
        <v>655</v>
      </c>
      <c r="I208" s="61">
        <v>45.465685000000001</v>
      </c>
      <c r="J208" s="61">
        <v>-73.745480999999998</v>
      </c>
      <c r="K208" s="61">
        <v>12.713174800000001</v>
      </c>
      <c r="L208" s="61">
        <v>14.117000000000001</v>
      </c>
      <c r="M208" s="61" t="s">
        <v>617</v>
      </c>
      <c r="N208" s="149">
        <v>42</v>
      </c>
      <c r="O208" s="149">
        <v>43</v>
      </c>
      <c r="P208" s="61" t="s">
        <v>565</v>
      </c>
      <c r="Q208" s="61" t="s">
        <v>555</v>
      </c>
      <c r="R208" s="61">
        <v>40.6895314</v>
      </c>
      <c r="S208" s="61">
        <v>-74.174462399999996</v>
      </c>
      <c r="T208" s="61">
        <v>610.48800000000006</v>
      </c>
      <c r="U208" s="61" t="s">
        <v>617</v>
      </c>
      <c r="V208" s="61" t="s">
        <v>569</v>
      </c>
      <c r="W208" s="61" cm="1">
        <f t="array" ref="W208">getDistance(I208,J208,R208,S208)*SA!$B$12</f>
        <v>532.70082587978914</v>
      </c>
      <c r="Y208" s="137">
        <f>Transportation_LCIA!C$61*($W208^Transportation_LCIA!C$60)+Transportation_LCIA!C$62</f>
        <v>0.32157602463370416</v>
      </c>
      <c r="Z208" s="137">
        <f>Transportation_LCIA!D$61*($W208^Transportation_LCIA!D$60)+Transportation_LCIA!D$62</f>
        <v>3.4401752281760434</v>
      </c>
      <c r="AA208" s="137">
        <f>Transportation_LCIA!E$61*($W208^Transportation_LCIA!E$60)+Transportation_LCIA!E$62</f>
        <v>1.8141836341962153E-3</v>
      </c>
      <c r="AB208" s="137">
        <f>Transportation_LCIA!F$61*($W208^Transportation_LCIA!F$60)+Transportation_LCIA!F$62</f>
        <v>0.32157602463370416</v>
      </c>
      <c r="AC208" s="137">
        <f>Transportation_LCIA!G$61*($W208^Transportation_LCIA!G$60)+Transportation_LCIA!G$62</f>
        <v>8.0143040676289495E-2</v>
      </c>
      <c r="AD208" s="137">
        <f>Transportation_LCIA!H$61*($W208^Transportation_LCIA!H$60)+Transportation_LCIA!H$62</f>
        <v>4.2530075100495493E-4</v>
      </c>
      <c r="AE208" s="137">
        <f>Transportation_LCIA!I$61*($W208^Transportation_LCIA!I$60)+Transportation_LCIA!I$62</f>
        <v>9.7085338694522006E-6</v>
      </c>
      <c r="AF208" s="137">
        <f>Transportation_LCIA!J$61*($W208^Transportation_LCIA!J$60)+Transportation_LCIA!J$62</f>
        <v>1.4453429332288598E-2</v>
      </c>
      <c r="AG208" s="137">
        <f>Transportation_LCIA!K$61*($W208^Transportation_LCIA!K$60)+Transportation_LCIA!K$62</f>
        <v>1.7573386146825021E-2</v>
      </c>
      <c r="AH208" s="137">
        <f>Transportation_LCIA!L$61*($W208^Transportation_LCIA!L$60)+Transportation_LCIA!L$62</f>
        <v>3.7692466700234696E-4</v>
      </c>
      <c r="AI208" s="137">
        <f>Transportation_LCIA!M$61*($W208^Transportation_LCIA!M$60)+Transportation_LCIA!M$62</f>
        <v>3.2560324687594627E-4</v>
      </c>
      <c r="AJ208" s="137">
        <f>Transportation_LCIA!N$61*($W208^Transportation_LCIA!N$60)+Transportation_LCIA!N$62</f>
        <v>1.4886217992903391E-3</v>
      </c>
      <c r="AK208" s="137">
        <f>Transportation_LCIA!O$61*($W208^Transportation_LCIA!O$60)+Transportation_LCIA!O$62</f>
        <v>8.4836431112135085E-5</v>
      </c>
      <c r="AL208" s="137">
        <f>Transportation_LCIA!P$61*($W208^Transportation_LCIA!P$60)+Transportation_LCIA!P$62</f>
        <v>4.094417350036071E-8</v>
      </c>
      <c r="AM208" s="137">
        <f>Transportation_LCIA!Q$61*($W208^Transportation_LCIA!Q$60)+Transportation_LCIA!Q$62</f>
        <v>1.4864785211779024E-4</v>
      </c>
      <c r="AN208" s="137">
        <f>Transportation_LCIA!R$61*($W208^Transportation_LCIA!R$60)+Transportation_LCIA!R$62</f>
        <v>4.664545941177262E-4</v>
      </c>
      <c r="AO208" s="137">
        <f>Transportation_LCIA!S$61*($W208^Transportation_LCIA!S$60)+Transportation_LCIA!S$62</f>
        <v>6.8758863533443067E-6</v>
      </c>
      <c r="AP208" s="137">
        <f>Transportation_LCIA!T$61*($W208^Transportation_LCIA!T$60)+Transportation_LCIA!T$62</f>
        <v>6.8758863533443067E-6</v>
      </c>
      <c r="AQ208" s="137">
        <f>Transportation_LCIA!U$61*($W208^Transportation_LCIA!U$60)+Transportation_LCIA!U$62</f>
        <v>1.0106481886833722E-3</v>
      </c>
      <c r="AR208" s="137">
        <f>Transportation_LCIA!V$61*($W208^Transportation_LCIA!V$60)+Transportation_LCIA!V$62</f>
        <v>3.8699391574166265E-4</v>
      </c>
      <c r="AT208" s="137">
        <f>$W208*Y208+$L208*Summary_LCIA!H$32</f>
        <v>176.10077050551362</v>
      </c>
      <c r="AU208" s="137">
        <f>$W208*Z208+$L208*Summary_LCIA!Q$32</f>
        <v>1902.5487491832314</v>
      </c>
      <c r="AV208" s="137">
        <f>$W208*AA208+$L208*Summary_LCIA!R$32</f>
        <v>1.040751595433921</v>
      </c>
      <c r="AW208" s="137">
        <f>$W208*AB208+$L208*Summary_LCIA!S$32</f>
        <v>176.03837336551365</v>
      </c>
      <c r="AX208" s="137">
        <f>$W208*AC208+$L208*Summary_LCIA!T$32</f>
        <v>44.243722256776948</v>
      </c>
      <c r="AY208" s="137">
        <f>$W208*AD208+$L208*Summary_LCIA!U$32</f>
        <v>0.47944999930763404</v>
      </c>
      <c r="AZ208" s="137">
        <f>$W208*AE208+$L208*Summary_LCIA!V$32</f>
        <v>5.8459860473390919E-3</v>
      </c>
      <c r="BA208" s="137">
        <f>$W208*AF208+$L208*Summary_LCIA!W$32</f>
        <v>8.7859533491053057</v>
      </c>
      <c r="BB208" s="137">
        <f>$W208*AG208+$L208*Summary_LCIA!X$32</f>
        <v>9.682942573918135</v>
      </c>
      <c r="BC208" s="137">
        <f>$W208*AH208+$L208*Summary_LCIA!Y$32</f>
        <v>0.42075917540661473</v>
      </c>
      <c r="BD208" s="137">
        <f>$W208*AI208+$L208*Summary_LCIA!Z$32</f>
        <v>0.17402804257295745</v>
      </c>
      <c r="BE208" s="137">
        <f>$W208*AJ208+$L208*Summary_LCIA!AA$32</f>
        <v>1.1227067139046212</v>
      </c>
      <c r="BF208" s="137">
        <f>$W208*AK208+$L208*Summary_LCIA!AB$32</f>
        <v>4.4884361627128201E-2</v>
      </c>
      <c r="BG208" s="137">
        <f>$W208*AL208+$L208*Summary_LCIA!AC$32</f>
        <v>2.2501090466607526E-5</v>
      </c>
      <c r="BH208" s="137">
        <f>$W208*AM208+$L208*Summary_LCIA!AD$32</f>
        <v>8.4987485268403634E-2</v>
      </c>
      <c r="BI208" s="137">
        <f>$W208*AN208+$L208*Summary_LCIA!AE$32</f>
        <v>0.26099024473193461</v>
      </c>
      <c r="BJ208" s="137">
        <f>$W208*AO208+$L208*Summary_LCIA!AF$32</f>
        <v>1.5597584479082084E-2</v>
      </c>
      <c r="BK208" s="137">
        <f>$W208*AP208+$L208*Summary_LCIA!AG$32</f>
        <v>4.3850866440820835E-3</v>
      </c>
      <c r="BL208" s="137">
        <f>$W208*AQ208+$L208*Summary_LCIA!AH$32</f>
        <v>0.66124184598554536</v>
      </c>
      <c r="BM208" s="137">
        <f>$W208*AR208+$L208*Summary_LCIA!AI$32</f>
        <v>0.21930266987603722</v>
      </c>
    </row>
    <row r="209" spans="1:65" x14ac:dyDescent="0.25">
      <c r="A209" s="149">
        <v>60</v>
      </c>
      <c r="B209" s="149">
        <v>43</v>
      </c>
      <c r="C209" s="61">
        <v>45.504741000000003</v>
      </c>
      <c r="D209" s="61">
        <v>-73.614750999999998</v>
      </c>
      <c r="E209" s="61" t="s">
        <v>458</v>
      </c>
      <c r="F209" s="149">
        <v>124</v>
      </c>
      <c r="G209" s="61" t="s">
        <v>654</v>
      </c>
      <c r="H209" s="61" t="s">
        <v>655</v>
      </c>
      <c r="I209" s="61">
        <v>45.465685000000001</v>
      </c>
      <c r="J209" s="61">
        <v>-73.745480999999998</v>
      </c>
      <c r="K209" s="61">
        <v>12.713174800000001</v>
      </c>
      <c r="L209" s="61">
        <v>14.117000000000001</v>
      </c>
      <c r="M209" s="61" t="s">
        <v>617</v>
      </c>
      <c r="N209" s="149">
        <v>42</v>
      </c>
      <c r="O209" s="149">
        <v>43</v>
      </c>
      <c r="P209" s="61" t="s">
        <v>565</v>
      </c>
      <c r="Q209" s="61" t="s">
        <v>555</v>
      </c>
      <c r="R209" s="61">
        <v>40.6895314</v>
      </c>
      <c r="S209" s="61">
        <v>-74.174462399999996</v>
      </c>
      <c r="T209" s="61">
        <v>610.48800000000006</v>
      </c>
      <c r="U209" s="61" t="s">
        <v>617</v>
      </c>
      <c r="V209" s="61" t="s">
        <v>569</v>
      </c>
      <c r="W209" s="61" cm="1">
        <f t="array" ref="W209">getDistance(I209,J209,R209,S209)*SA!$B$12</f>
        <v>532.70082587978914</v>
      </c>
      <c r="Y209" s="137">
        <f>Transportation_LCIA!C$61*($W209^Transportation_LCIA!C$60)+Transportation_LCIA!C$62</f>
        <v>0.32157602463370416</v>
      </c>
      <c r="Z209" s="137">
        <f>Transportation_LCIA!D$61*($W209^Transportation_LCIA!D$60)+Transportation_LCIA!D$62</f>
        <v>3.4401752281760434</v>
      </c>
      <c r="AA209" s="137">
        <f>Transportation_LCIA!E$61*($W209^Transportation_LCIA!E$60)+Transportation_LCIA!E$62</f>
        <v>1.8141836341962153E-3</v>
      </c>
      <c r="AB209" s="137">
        <f>Transportation_LCIA!F$61*($W209^Transportation_LCIA!F$60)+Transportation_LCIA!F$62</f>
        <v>0.32157602463370416</v>
      </c>
      <c r="AC209" s="137">
        <f>Transportation_LCIA!G$61*($W209^Transportation_LCIA!G$60)+Transportation_LCIA!G$62</f>
        <v>8.0143040676289495E-2</v>
      </c>
      <c r="AD209" s="137">
        <f>Transportation_LCIA!H$61*($W209^Transportation_LCIA!H$60)+Transportation_LCIA!H$62</f>
        <v>4.2530075100495493E-4</v>
      </c>
      <c r="AE209" s="137">
        <f>Transportation_LCIA!I$61*($W209^Transportation_LCIA!I$60)+Transportation_LCIA!I$62</f>
        <v>9.7085338694522006E-6</v>
      </c>
      <c r="AF209" s="137">
        <f>Transportation_LCIA!J$61*($W209^Transportation_LCIA!J$60)+Transportation_LCIA!J$62</f>
        <v>1.4453429332288598E-2</v>
      </c>
      <c r="AG209" s="137">
        <f>Transportation_LCIA!K$61*($W209^Transportation_LCIA!K$60)+Transportation_LCIA!K$62</f>
        <v>1.7573386146825021E-2</v>
      </c>
      <c r="AH209" s="137">
        <f>Transportation_LCIA!L$61*($W209^Transportation_LCIA!L$60)+Transportation_LCIA!L$62</f>
        <v>3.7692466700234696E-4</v>
      </c>
      <c r="AI209" s="137">
        <f>Transportation_LCIA!M$61*($W209^Transportation_LCIA!M$60)+Transportation_LCIA!M$62</f>
        <v>3.2560324687594627E-4</v>
      </c>
      <c r="AJ209" s="137">
        <f>Transportation_LCIA!N$61*($W209^Transportation_LCIA!N$60)+Transportation_LCIA!N$62</f>
        <v>1.4886217992903391E-3</v>
      </c>
      <c r="AK209" s="137">
        <f>Transportation_LCIA!O$61*($W209^Transportation_LCIA!O$60)+Transportation_LCIA!O$62</f>
        <v>8.4836431112135085E-5</v>
      </c>
      <c r="AL209" s="137">
        <f>Transportation_LCIA!P$61*($W209^Transportation_LCIA!P$60)+Transportation_LCIA!P$62</f>
        <v>4.094417350036071E-8</v>
      </c>
      <c r="AM209" s="137">
        <f>Transportation_LCIA!Q$61*($W209^Transportation_LCIA!Q$60)+Transportation_LCIA!Q$62</f>
        <v>1.4864785211779024E-4</v>
      </c>
      <c r="AN209" s="137">
        <f>Transportation_LCIA!R$61*($W209^Transportation_LCIA!R$60)+Transportation_LCIA!R$62</f>
        <v>4.664545941177262E-4</v>
      </c>
      <c r="AO209" s="137">
        <f>Transportation_LCIA!S$61*($W209^Transportation_LCIA!S$60)+Transportation_LCIA!S$62</f>
        <v>6.8758863533443067E-6</v>
      </c>
      <c r="AP209" s="137">
        <f>Transportation_LCIA!T$61*($W209^Transportation_LCIA!T$60)+Transportation_LCIA!T$62</f>
        <v>6.8758863533443067E-6</v>
      </c>
      <c r="AQ209" s="137">
        <f>Transportation_LCIA!U$61*($W209^Transportation_LCIA!U$60)+Transportation_LCIA!U$62</f>
        <v>1.0106481886833722E-3</v>
      </c>
      <c r="AR209" s="137">
        <f>Transportation_LCIA!V$61*($W209^Transportation_LCIA!V$60)+Transportation_LCIA!V$62</f>
        <v>3.8699391574166265E-4</v>
      </c>
      <c r="AT209" s="137">
        <f>$W209*Y209+$L209*Summary_LCIA!H$32</f>
        <v>176.10077050551362</v>
      </c>
      <c r="AU209" s="137">
        <f>$W209*Z209+$L209*Summary_LCIA!Q$32</f>
        <v>1902.5487491832314</v>
      </c>
      <c r="AV209" s="137">
        <f>$W209*AA209+$L209*Summary_LCIA!R$32</f>
        <v>1.040751595433921</v>
      </c>
      <c r="AW209" s="137">
        <f>$W209*AB209+$L209*Summary_LCIA!S$32</f>
        <v>176.03837336551365</v>
      </c>
      <c r="AX209" s="137">
        <f>$W209*AC209+$L209*Summary_LCIA!T$32</f>
        <v>44.243722256776948</v>
      </c>
      <c r="AY209" s="137">
        <f>$W209*AD209+$L209*Summary_LCIA!U$32</f>
        <v>0.47944999930763404</v>
      </c>
      <c r="AZ209" s="137">
        <f>$W209*AE209+$L209*Summary_LCIA!V$32</f>
        <v>5.8459860473390919E-3</v>
      </c>
      <c r="BA209" s="137">
        <f>$W209*AF209+$L209*Summary_LCIA!W$32</f>
        <v>8.7859533491053057</v>
      </c>
      <c r="BB209" s="137">
        <f>$W209*AG209+$L209*Summary_LCIA!X$32</f>
        <v>9.682942573918135</v>
      </c>
      <c r="BC209" s="137">
        <f>$W209*AH209+$L209*Summary_LCIA!Y$32</f>
        <v>0.42075917540661473</v>
      </c>
      <c r="BD209" s="137">
        <f>$W209*AI209+$L209*Summary_LCIA!Z$32</f>
        <v>0.17402804257295745</v>
      </c>
      <c r="BE209" s="137">
        <f>$W209*AJ209+$L209*Summary_LCIA!AA$32</f>
        <v>1.1227067139046212</v>
      </c>
      <c r="BF209" s="137">
        <f>$W209*AK209+$L209*Summary_LCIA!AB$32</f>
        <v>4.4884361627128201E-2</v>
      </c>
      <c r="BG209" s="137">
        <f>$W209*AL209+$L209*Summary_LCIA!AC$32</f>
        <v>2.2501090466607526E-5</v>
      </c>
      <c r="BH209" s="137">
        <f>$W209*AM209+$L209*Summary_LCIA!AD$32</f>
        <v>8.4987485268403634E-2</v>
      </c>
      <c r="BI209" s="137">
        <f>$W209*AN209+$L209*Summary_LCIA!AE$32</f>
        <v>0.26099024473193461</v>
      </c>
      <c r="BJ209" s="137">
        <f>$W209*AO209+$L209*Summary_LCIA!AF$32</f>
        <v>1.5597584479082084E-2</v>
      </c>
      <c r="BK209" s="137">
        <f>$W209*AP209+$L209*Summary_LCIA!AG$32</f>
        <v>4.3850866440820835E-3</v>
      </c>
      <c r="BL209" s="137">
        <f>$W209*AQ209+$L209*Summary_LCIA!AH$32</f>
        <v>0.66124184598554536</v>
      </c>
      <c r="BM209" s="137">
        <f>$W209*AR209+$L209*Summary_LCIA!AI$32</f>
        <v>0.21930266987603722</v>
      </c>
    </row>
    <row r="210" spans="1:65" x14ac:dyDescent="0.25">
      <c r="A210" s="149">
        <v>61</v>
      </c>
      <c r="B210" s="149">
        <v>43</v>
      </c>
      <c r="C210" s="61">
        <v>45.504741000000003</v>
      </c>
      <c r="D210" s="61">
        <v>-73.614750999999998</v>
      </c>
      <c r="E210" s="61" t="s">
        <v>458</v>
      </c>
      <c r="F210" s="149">
        <v>124</v>
      </c>
      <c r="G210" s="61" t="s">
        <v>654</v>
      </c>
      <c r="H210" s="61" t="s">
        <v>655</v>
      </c>
      <c r="I210" s="61">
        <v>45.465685000000001</v>
      </c>
      <c r="J210" s="61">
        <v>-73.745480999999998</v>
      </c>
      <c r="K210" s="61">
        <v>12.713174800000001</v>
      </c>
      <c r="L210" s="61">
        <v>14.117000000000001</v>
      </c>
      <c r="M210" s="61" t="s">
        <v>617</v>
      </c>
      <c r="N210" s="149">
        <v>42</v>
      </c>
      <c r="O210" s="149">
        <v>43</v>
      </c>
      <c r="P210" s="61" t="s">
        <v>565</v>
      </c>
      <c r="Q210" s="61" t="s">
        <v>555</v>
      </c>
      <c r="R210" s="61">
        <v>40.6895314</v>
      </c>
      <c r="S210" s="61">
        <v>-74.174462399999996</v>
      </c>
      <c r="T210" s="61">
        <v>610.48800000000006</v>
      </c>
      <c r="U210" s="61" t="s">
        <v>617</v>
      </c>
      <c r="V210" s="61" t="s">
        <v>569</v>
      </c>
      <c r="W210" s="61" cm="1">
        <f t="array" ref="W210">getDistance(I210,J210,R210,S210)*SA!$B$12</f>
        <v>532.70082587978914</v>
      </c>
      <c r="Y210" s="137">
        <f>Transportation_LCIA!C$61*($W210^Transportation_LCIA!C$60)+Transportation_LCIA!C$62</f>
        <v>0.32157602463370416</v>
      </c>
      <c r="Z210" s="137">
        <f>Transportation_LCIA!D$61*($W210^Transportation_LCIA!D$60)+Transportation_LCIA!D$62</f>
        <v>3.4401752281760434</v>
      </c>
      <c r="AA210" s="137">
        <f>Transportation_LCIA!E$61*($W210^Transportation_LCIA!E$60)+Transportation_LCIA!E$62</f>
        <v>1.8141836341962153E-3</v>
      </c>
      <c r="AB210" s="137">
        <f>Transportation_LCIA!F$61*($W210^Transportation_LCIA!F$60)+Transportation_LCIA!F$62</f>
        <v>0.32157602463370416</v>
      </c>
      <c r="AC210" s="137">
        <f>Transportation_LCIA!G$61*($W210^Transportation_LCIA!G$60)+Transportation_LCIA!G$62</f>
        <v>8.0143040676289495E-2</v>
      </c>
      <c r="AD210" s="137">
        <f>Transportation_LCIA!H$61*($W210^Transportation_LCIA!H$60)+Transportation_LCIA!H$62</f>
        <v>4.2530075100495493E-4</v>
      </c>
      <c r="AE210" s="137">
        <f>Transportation_LCIA!I$61*($W210^Transportation_LCIA!I$60)+Transportation_LCIA!I$62</f>
        <v>9.7085338694522006E-6</v>
      </c>
      <c r="AF210" s="137">
        <f>Transportation_LCIA!J$61*($W210^Transportation_LCIA!J$60)+Transportation_LCIA!J$62</f>
        <v>1.4453429332288598E-2</v>
      </c>
      <c r="AG210" s="137">
        <f>Transportation_LCIA!K$61*($W210^Transportation_LCIA!K$60)+Transportation_LCIA!K$62</f>
        <v>1.7573386146825021E-2</v>
      </c>
      <c r="AH210" s="137">
        <f>Transportation_LCIA!L$61*($W210^Transportation_LCIA!L$60)+Transportation_LCIA!L$62</f>
        <v>3.7692466700234696E-4</v>
      </c>
      <c r="AI210" s="137">
        <f>Transportation_LCIA!M$61*($W210^Transportation_LCIA!M$60)+Transportation_LCIA!M$62</f>
        <v>3.2560324687594627E-4</v>
      </c>
      <c r="AJ210" s="137">
        <f>Transportation_LCIA!N$61*($W210^Transportation_LCIA!N$60)+Transportation_LCIA!N$62</f>
        <v>1.4886217992903391E-3</v>
      </c>
      <c r="AK210" s="137">
        <f>Transportation_LCIA!O$61*($W210^Transportation_LCIA!O$60)+Transportation_LCIA!O$62</f>
        <v>8.4836431112135085E-5</v>
      </c>
      <c r="AL210" s="137">
        <f>Transportation_LCIA!P$61*($W210^Transportation_LCIA!P$60)+Transportation_LCIA!P$62</f>
        <v>4.094417350036071E-8</v>
      </c>
      <c r="AM210" s="137">
        <f>Transportation_LCIA!Q$61*($W210^Transportation_LCIA!Q$60)+Transportation_LCIA!Q$62</f>
        <v>1.4864785211779024E-4</v>
      </c>
      <c r="AN210" s="137">
        <f>Transportation_LCIA!R$61*($W210^Transportation_LCIA!R$60)+Transportation_LCIA!R$62</f>
        <v>4.664545941177262E-4</v>
      </c>
      <c r="AO210" s="137">
        <f>Transportation_LCIA!S$61*($W210^Transportation_LCIA!S$60)+Transportation_LCIA!S$62</f>
        <v>6.8758863533443067E-6</v>
      </c>
      <c r="AP210" s="137">
        <f>Transportation_LCIA!T$61*($W210^Transportation_LCIA!T$60)+Transportation_LCIA!T$62</f>
        <v>6.8758863533443067E-6</v>
      </c>
      <c r="AQ210" s="137">
        <f>Transportation_LCIA!U$61*($W210^Transportation_LCIA!U$60)+Transportation_LCIA!U$62</f>
        <v>1.0106481886833722E-3</v>
      </c>
      <c r="AR210" s="137">
        <f>Transportation_LCIA!V$61*($W210^Transportation_LCIA!V$60)+Transportation_LCIA!V$62</f>
        <v>3.8699391574166265E-4</v>
      </c>
      <c r="AT210" s="137">
        <f>$W210*Y210+$L210*Summary_LCIA!H$32</f>
        <v>176.10077050551362</v>
      </c>
      <c r="AU210" s="137">
        <f>$W210*Z210+$L210*Summary_LCIA!Q$32</f>
        <v>1902.5487491832314</v>
      </c>
      <c r="AV210" s="137">
        <f>$W210*AA210+$L210*Summary_LCIA!R$32</f>
        <v>1.040751595433921</v>
      </c>
      <c r="AW210" s="137">
        <f>$W210*AB210+$L210*Summary_LCIA!S$32</f>
        <v>176.03837336551365</v>
      </c>
      <c r="AX210" s="137">
        <f>$W210*AC210+$L210*Summary_LCIA!T$32</f>
        <v>44.243722256776948</v>
      </c>
      <c r="AY210" s="137">
        <f>$W210*AD210+$L210*Summary_LCIA!U$32</f>
        <v>0.47944999930763404</v>
      </c>
      <c r="AZ210" s="137">
        <f>$W210*AE210+$L210*Summary_LCIA!V$32</f>
        <v>5.8459860473390919E-3</v>
      </c>
      <c r="BA210" s="137">
        <f>$W210*AF210+$L210*Summary_LCIA!W$32</f>
        <v>8.7859533491053057</v>
      </c>
      <c r="BB210" s="137">
        <f>$W210*AG210+$L210*Summary_LCIA!X$32</f>
        <v>9.682942573918135</v>
      </c>
      <c r="BC210" s="137">
        <f>$W210*AH210+$L210*Summary_LCIA!Y$32</f>
        <v>0.42075917540661473</v>
      </c>
      <c r="BD210" s="137">
        <f>$W210*AI210+$L210*Summary_LCIA!Z$32</f>
        <v>0.17402804257295745</v>
      </c>
      <c r="BE210" s="137">
        <f>$W210*AJ210+$L210*Summary_LCIA!AA$32</f>
        <v>1.1227067139046212</v>
      </c>
      <c r="BF210" s="137">
        <f>$W210*AK210+$L210*Summary_LCIA!AB$32</f>
        <v>4.4884361627128201E-2</v>
      </c>
      <c r="BG210" s="137">
        <f>$W210*AL210+$L210*Summary_LCIA!AC$32</f>
        <v>2.2501090466607526E-5</v>
      </c>
      <c r="BH210" s="137">
        <f>$W210*AM210+$L210*Summary_LCIA!AD$32</f>
        <v>8.4987485268403634E-2</v>
      </c>
      <c r="BI210" s="137">
        <f>$W210*AN210+$L210*Summary_LCIA!AE$32</f>
        <v>0.26099024473193461</v>
      </c>
      <c r="BJ210" s="137">
        <f>$W210*AO210+$L210*Summary_LCIA!AF$32</f>
        <v>1.5597584479082084E-2</v>
      </c>
      <c r="BK210" s="137">
        <f>$W210*AP210+$L210*Summary_LCIA!AG$32</f>
        <v>4.3850866440820835E-3</v>
      </c>
      <c r="BL210" s="137">
        <f>$W210*AQ210+$L210*Summary_LCIA!AH$32</f>
        <v>0.66124184598554536</v>
      </c>
      <c r="BM210" s="137">
        <f>$W210*AR210+$L210*Summary_LCIA!AI$32</f>
        <v>0.21930266987603722</v>
      </c>
    </row>
    <row r="211" spans="1:65" x14ac:dyDescent="0.25">
      <c r="A211" s="149">
        <v>62</v>
      </c>
      <c r="B211" s="149">
        <v>43</v>
      </c>
      <c r="C211" s="61">
        <v>45.504741000000003</v>
      </c>
      <c r="D211" s="61">
        <v>-73.614750999999998</v>
      </c>
      <c r="E211" s="61" t="s">
        <v>458</v>
      </c>
      <c r="F211" s="149">
        <v>124</v>
      </c>
      <c r="G211" s="61" t="s">
        <v>654</v>
      </c>
      <c r="H211" s="61" t="s">
        <v>655</v>
      </c>
      <c r="I211" s="61">
        <v>45.465685000000001</v>
      </c>
      <c r="J211" s="61">
        <v>-73.745480999999998</v>
      </c>
      <c r="K211" s="61">
        <v>12.713174800000001</v>
      </c>
      <c r="L211" s="61">
        <v>14.117000000000001</v>
      </c>
      <c r="M211" s="61" t="s">
        <v>617</v>
      </c>
      <c r="N211" s="149">
        <v>42</v>
      </c>
      <c r="O211" s="149">
        <v>43</v>
      </c>
      <c r="P211" s="61" t="s">
        <v>565</v>
      </c>
      <c r="Q211" s="61" t="s">
        <v>555</v>
      </c>
      <c r="R211" s="61">
        <v>40.6895314</v>
      </c>
      <c r="S211" s="61">
        <v>-74.174462399999996</v>
      </c>
      <c r="T211" s="61">
        <v>610.48800000000006</v>
      </c>
      <c r="U211" s="61" t="s">
        <v>617</v>
      </c>
      <c r="V211" s="61" t="s">
        <v>569</v>
      </c>
      <c r="W211" s="61" cm="1">
        <f t="array" ref="W211">getDistance(I211,J211,R211,S211)*SA!$B$12</f>
        <v>532.70082587978914</v>
      </c>
      <c r="Y211" s="137">
        <f>Transportation_LCIA!C$61*($W211^Transportation_LCIA!C$60)+Transportation_LCIA!C$62</f>
        <v>0.32157602463370416</v>
      </c>
      <c r="Z211" s="137">
        <f>Transportation_LCIA!D$61*($W211^Transportation_LCIA!D$60)+Transportation_LCIA!D$62</f>
        <v>3.4401752281760434</v>
      </c>
      <c r="AA211" s="137">
        <f>Transportation_LCIA!E$61*($W211^Transportation_LCIA!E$60)+Transportation_LCIA!E$62</f>
        <v>1.8141836341962153E-3</v>
      </c>
      <c r="AB211" s="137">
        <f>Transportation_LCIA!F$61*($W211^Transportation_LCIA!F$60)+Transportation_LCIA!F$62</f>
        <v>0.32157602463370416</v>
      </c>
      <c r="AC211" s="137">
        <f>Transportation_LCIA!G$61*($W211^Transportation_LCIA!G$60)+Transportation_LCIA!G$62</f>
        <v>8.0143040676289495E-2</v>
      </c>
      <c r="AD211" s="137">
        <f>Transportation_LCIA!H$61*($W211^Transportation_LCIA!H$60)+Transportation_LCIA!H$62</f>
        <v>4.2530075100495493E-4</v>
      </c>
      <c r="AE211" s="137">
        <f>Transportation_LCIA!I$61*($W211^Transportation_LCIA!I$60)+Transportation_LCIA!I$62</f>
        <v>9.7085338694522006E-6</v>
      </c>
      <c r="AF211" s="137">
        <f>Transportation_LCIA!J$61*($W211^Transportation_LCIA!J$60)+Transportation_LCIA!J$62</f>
        <v>1.4453429332288598E-2</v>
      </c>
      <c r="AG211" s="137">
        <f>Transportation_LCIA!K$61*($W211^Transportation_LCIA!K$60)+Transportation_LCIA!K$62</f>
        <v>1.7573386146825021E-2</v>
      </c>
      <c r="AH211" s="137">
        <f>Transportation_LCIA!L$61*($W211^Transportation_LCIA!L$60)+Transportation_LCIA!L$62</f>
        <v>3.7692466700234696E-4</v>
      </c>
      <c r="AI211" s="137">
        <f>Transportation_LCIA!M$61*($W211^Transportation_LCIA!M$60)+Transportation_LCIA!M$62</f>
        <v>3.2560324687594627E-4</v>
      </c>
      <c r="AJ211" s="137">
        <f>Transportation_LCIA!N$61*($W211^Transportation_LCIA!N$60)+Transportation_LCIA!N$62</f>
        <v>1.4886217992903391E-3</v>
      </c>
      <c r="AK211" s="137">
        <f>Transportation_LCIA!O$61*($W211^Transportation_LCIA!O$60)+Transportation_LCIA!O$62</f>
        <v>8.4836431112135085E-5</v>
      </c>
      <c r="AL211" s="137">
        <f>Transportation_LCIA!P$61*($W211^Transportation_LCIA!P$60)+Transportation_LCIA!P$62</f>
        <v>4.094417350036071E-8</v>
      </c>
      <c r="AM211" s="137">
        <f>Transportation_LCIA!Q$61*($W211^Transportation_LCIA!Q$60)+Transportation_LCIA!Q$62</f>
        <v>1.4864785211779024E-4</v>
      </c>
      <c r="AN211" s="137">
        <f>Transportation_LCIA!R$61*($W211^Transportation_LCIA!R$60)+Transportation_LCIA!R$62</f>
        <v>4.664545941177262E-4</v>
      </c>
      <c r="AO211" s="137">
        <f>Transportation_LCIA!S$61*($W211^Transportation_LCIA!S$60)+Transportation_LCIA!S$62</f>
        <v>6.8758863533443067E-6</v>
      </c>
      <c r="AP211" s="137">
        <f>Transportation_LCIA!T$61*($W211^Transportation_LCIA!T$60)+Transportation_LCIA!T$62</f>
        <v>6.8758863533443067E-6</v>
      </c>
      <c r="AQ211" s="137">
        <f>Transportation_LCIA!U$61*($W211^Transportation_LCIA!U$60)+Transportation_LCIA!U$62</f>
        <v>1.0106481886833722E-3</v>
      </c>
      <c r="AR211" s="137">
        <f>Transportation_LCIA!V$61*($W211^Transportation_LCIA!V$60)+Transportation_LCIA!V$62</f>
        <v>3.8699391574166265E-4</v>
      </c>
      <c r="AT211" s="137">
        <f>$W211*Y211+$L211*Summary_LCIA!H$32</f>
        <v>176.10077050551362</v>
      </c>
      <c r="AU211" s="137">
        <f>$W211*Z211+$L211*Summary_LCIA!Q$32</f>
        <v>1902.5487491832314</v>
      </c>
      <c r="AV211" s="137">
        <f>$W211*AA211+$L211*Summary_LCIA!R$32</f>
        <v>1.040751595433921</v>
      </c>
      <c r="AW211" s="137">
        <f>$W211*AB211+$L211*Summary_LCIA!S$32</f>
        <v>176.03837336551365</v>
      </c>
      <c r="AX211" s="137">
        <f>$W211*AC211+$L211*Summary_LCIA!T$32</f>
        <v>44.243722256776948</v>
      </c>
      <c r="AY211" s="137">
        <f>$W211*AD211+$L211*Summary_LCIA!U$32</f>
        <v>0.47944999930763404</v>
      </c>
      <c r="AZ211" s="137">
        <f>$W211*AE211+$L211*Summary_LCIA!V$32</f>
        <v>5.8459860473390919E-3</v>
      </c>
      <c r="BA211" s="137">
        <f>$W211*AF211+$L211*Summary_LCIA!W$32</f>
        <v>8.7859533491053057</v>
      </c>
      <c r="BB211" s="137">
        <f>$W211*AG211+$L211*Summary_LCIA!X$32</f>
        <v>9.682942573918135</v>
      </c>
      <c r="BC211" s="137">
        <f>$W211*AH211+$L211*Summary_LCIA!Y$32</f>
        <v>0.42075917540661473</v>
      </c>
      <c r="BD211" s="137">
        <f>$W211*AI211+$L211*Summary_LCIA!Z$32</f>
        <v>0.17402804257295745</v>
      </c>
      <c r="BE211" s="137">
        <f>$W211*AJ211+$L211*Summary_LCIA!AA$32</f>
        <v>1.1227067139046212</v>
      </c>
      <c r="BF211" s="137">
        <f>$W211*AK211+$L211*Summary_LCIA!AB$32</f>
        <v>4.4884361627128201E-2</v>
      </c>
      <c r="BG211" s="137">
        <f>$W211*AL211+$L211*Summary_LCIA!AC$32</f>
        <v>2.2501090466607526E-5</v>
      </c>
      <c r="BH211" s="137">
        <f>$W211*AM211+$L211*Summary_LCIA!AD$32</f>
        <v>8.4987485268403634E-2</v>
      </c>
      <c r="BI211" s="137">
        <f>$W211*AN211+$L211*Summary_LCIA!AE$32</f>
        <v>0.26099024473193461</v>
      </c>
      <c r="BJ211" s="137">
        <f>$W211*AO211+$L211*Summary_LCIA!AF$32</f>
        <v>1.5597584479082084E-2</v>
      </c>
      <c r="BK211" s="137">
        <f>$W211*AP211+$L211*Summary_LCIA!AG$32</f>
        <v>4.3850866440820835E-3</v>
      </c>
      <c r="BL211" s="137">
        <f>$W211*AQ211+$L211*Summary_LCIA!AH$32</f>
        <v>0.66124184598554536</v>
      </c>
      <c r="BM211" s="137">
        <f>$W211*AR211+$L211*Summary_LCIA!AI$32</f>
        <v>0.21930266987603722</v>
      </c>
    </row>
    <row r="212" spans="1:65" x14ac:dyDescent="0.25">
      <c r="A212" s="149">
        <v>230</v>
      </c>
      <c r="B212" s="149">
        <v>6</v>
      </c>
      <c r="C212" s="61">
        <v>44.974069999999998</v>
      </c>
      <c r="D212" s="61">
        <v>-93.024049000000005</v>
      </c>
      <c r="E212" s="61" t="s">
        <v>265</v>
      </c>
      <c r="F212" s="149">
        <v>57</v>
      </c>
      <c r="G212" s="61" t="s">
        <v>565</v>
      </c>
      <c r="H212" s="61" t="s">
        <v>641</v>
      </c>
      <c r="I212" s="61">
        <v>44.884754999999998</v>
      </c>
      <c r="J212" s="61">
        <v>-93.222284999999999</v>
      </c>
      <c r="K212" s="61">
        <v>21.929348569999998</v>
      </c>
      <c r="L212" s="61">
        <v>28.896000000000001</v>
      </c>
      <c r="M212" s="61" t="s">
        <v>617</v>
      </c>
      <c r="N212" s="149">
        <v>5</v>
      </c>
      <c r="O212" s="149">
        <v>6</v>
      </c>
      <c r="P212" s="61" t="s">
        <v>565</v>
      </c>
      <c r="Q212" s="61" t="s">
        <v>564</v>
      </c>
      <c r="R212" s="61">
        <v>41.98028</v>
      </c>
      <c r="S212" s="61">
        <v>-87.908997900000003</v>
      </c>
      <c r="T212" s="61">
        <v>617.125</v>
      </c>
      <c r="U212" s="61" t="s">
        <v>617</v>
      </c>
      <c r="V212" s="61" t="s">
        <v>569</v>
      </c>
      <c r="W212" s="61" cm="1">
        <f t="array" ref="W212">getDistance(I212,J212,R212,S212)*SA!$B$12</f>
        <v>537.9238360294454</v>
      </c>
      <c r="Y212" s="137">
        <f>Transportation_LCIA!C$61*($W212^Transportation_LCIA!C$60)+Transportation_LCIA!C$62</f>
        <v>0.31986678213898079</v>
      </c>
      <c r="Z212" s="137">
        <f>Transportation_LCIA!D$61*($W212^Transportation_LCIA!D$60)+Transportation_LCIA!D$62</f>
        <v>3.4196837590581142</v>
      </c>
      <c r="AA212" s="137">
        <f>Transportation_LCIA!E$61*($W212^Transportation_LCIA!E$60)+Transportation_LCIA!E$62</f>
        <v>1.8006084167141755E-3</v>
      </c>
      <c r="AB212" s="137">
        <f>Transportation_LCIA!F$61*($W212^Transportation_LCIA!F$60)+Transportation_LCIA!F$62</f>
        <v>0.31986678213898079</v>
      </c>
      <c r="AC212" s="137">
        <f>Transportation_LCIA!G$61*($W212^Transportation_LCIA!G$60)+Transportation_LCIA!G$62</f>
        <v>7.9669699225259488E-2</v>
      </c>
      <c r="AD212" s="137">
        <f>Transportation_LCIA!H$61*($W212^Transportation_LCIA!H$60)+Transportation_LCIA!H$62</f>
        <v>4.2227087470452683E-4</v>
      </c>
      <c r="AE212" s="137">
        <f>Transportation_LCIA!I$61*($W212^Transportation_LCIA!I$60)+Transportation_LCIA!I$62</f>
        <v>9.6304021623867961E-6</v>
      </c>
      <c r="AF212" s="137">
        <f>Transportation_LCIA!J$61*($W212^Transportation_LCIA!J$60)+Transportation_LCIA!J$62</f>
        <v>1.4335225470337743E-2</v>
      </c>
      <c r="AG212" s="137">
        <f>Transportation_LCIA!K$61*($W212^Transportation_LCIA!K$60)+Transportation_LCIA!K$62</f>
        <v>1.7461378929992367E-2</v>
      </c>
      <c r="AH212" s="137">
        <f>Transportation_LCIA!L$61*($W212^Transportation_LCIA!L$60)+Transportation_LCIA!L$62</f>
        <v>3.741200211309115E-4</v>
      </c>
      <c r="AI212" s="137">
        <f>Transportation_LCIA!M$61*($W212^Transportation_LCIA!M$60)+Transportation_LCIA!M$62</f>
        <v>3.2392972305419126E-4</v>
      </c>
      <c r="AJ212" s="137">
        <f>Transportation_LCIA!N$61*($W212^Transportation_LCIA!N$60)+Transportation_LCIA!N$62</f>
        <v>1.4784543299395398E-3</v>
      </c>
      <c r="AK212" s="137">
        <f>Transportation_LCIA!O$61*($W212^Transportation_LCIA!O$60)+Transportation_LCIA!O$62</f>
        <v>8.4333072501823996E-5</v>
      </c>
      <c r="AL212" s="137">
        <f>Transportation_LCIA!P$61*($W212^Transportation_LCIA!P$60)+Transportation_LCIA!P$62</f>
        <v>4.0702648380323872E-8</v>
      </c>
      <c r="AM212" s="137">
        <f>Transportation_LCIA!Q$61*($W212^Transportation_LCIA!Q$60)+Transportation_LCIA!Q$62</f>
        <v>1.4754717709156823E-4</v>
      </c>
      <c r="AN212" s="137">
        <f>Transportation_LCIA!R$61*($W212^Transportation_LCIA!R$60)+Transportation_LCIA!R$62</f>
        <v>4.6270576693556009E-4</v>
      </c>
      <c r="AO212" s="137">
        <f>Transportation_LCIA!S$61*($W212^Transportation_LCIA!S$60)+Transportation_LCIA!S$62</f>
        <v>6.8227398697620497E-6</v>
      </c>
      <c r="AP212" s="137">
        <f>Transportation_LCIA!T$61*($W212^Transportation_LCIA!T$60)+Transportation_LCIA!T$62</f>
        <v>6.8227398697620497E-6</v>
      </c>
      <c r="AQ212" s="137">
        <f>Transportation_LCIA!U$61*($W212^Transportation_LCIA!U$60)+Transportation_LCIA!U$62</f>
        <v>1.002389311334221E-3</v>
      </c>
      <c r="AR212" s="137">
        <f>Transportation_LCIA!V$61*($W212^Transportation_LCIA!V$60)+Transportation_LCIA!V$62</f>
        <v>3.8411685160034487E-4</v>
      </c>
      <c r="AT212" s="137">
        <f>$W212*Y212+$L212*Summary_LCIA!H$32</f>
        <v>181.88282726659546</v>
      </c>
      <c r="AU212" s="137">
        <f>$W212*Z212+$L212*Summary_LCIA!Q$32</f>
        <v>1982.7394389921024</v>
      </c>
      <c r="AV212" s="137">
        <f>$W212*AA212+$L212*Summary_LCIA!R$32</f>
        <v>1.1207449643057954</v>
      </c>
      <c r="AW212" s="137">
        <f>$W212*AB212+$L212*Summary_LCIA!S$32</f>
        <v>181.75510694659545</v>
      </c>
      <c r="AX212" s="137">
        <f>$W212*AC212+$L212*Summary_LCIA!T$32</f>
        <v>46.031900622563718</v>
      </c>
      <c r="AY212" s="137">
        <f>$W212*AD212+$L212*Summary_LCIA!U$32</f>
        <v>0.74479251276456837</v>
      </c>
      <c r="AZ212" s="137">
        <f>$W212*AE212+$L212*Summary_LCIA!V$32</f>
        <v>6.560524729697371E-3</v>
      </c>
      <c r="BA212" s="137">
        <f>$W212*AF212+$L212*Summary_LCIA!W$32</f>
        <v>9.9354134913510883</v>
      </c>
      <c r="BB212" s="137">
        <f>$W212*AG212+$L212*Summary_LCIA!X$32</f>
        <v>10.051142816385228</v>
      </c>
      <c r="BC212" s="137">
        <f>$W212*AH212+$L212*Summary_LCIA!Y$32</f>
        <v>0.65150554890215717</v>
      </c>
      <c r="BD212" s="137">
        <f>$W212*AI212+$L212*Summary_LCIA!Z$32</f>
        <v>0.17543451529326642</v>
      </c>
      <c r="BE212" s="137">
        <f>$W212*AJ212+$L212*Summary_LCIA!AA$32</f>
        <v>1.4701908005554205</v>
      </c>
      <c r="BF212" s="137">
        <f>$W212*AK212+$L212*Summary_LCIA!AB$32</f>
        <v>4.4734172456330504E-2</v>
      </c>
      <c r="BG212" s="137">
        <f>$W212*AL212+$L212*Summary_LCIA!AC$32</f>
        <v>2.3307476817301509E-5</v>
      </c>
      <c r="BH212" s="137">
        <f>$W212*AM212+$L212*Summary_LCIA!AD$32</f>
        <v>9.1246555336412294E-2</v>
      </c>
      <c r="BI212" s="137">
        <f>$W212*AN212+$L212*Summary_LCIA!AE$32</f>
        <v>0.274506073582923</v>
      </c>
      <c r="BJ212" s="137">
        <f>$W212*AO212+$L212*Summary_LCIA!AF$32</f>
        <v>2.8099370722973444E-2</v>
      </c>
      <c r="BK212" s="137">
        <f>$W212*AP212+$L212*Summary_LCIA!AG$32</f>
        <v>5.1485782429734409E-3</v>
      </c>
      <c r="BL212" s="137">
        <f>$W212*AQ212+$L212*Summary_LCIA!AH$32</f>
        <v>0.79070832914781819</v>
      </c>
      <c r="BM212" s="137">
        <f>$W212*AR212+$L212*Summary_LCIA!AI$32</f>
        <v>0.23354367909641072</v>
      </c>
    </row>
    <row r="213" spans="1:65" x14ac:dyDescent="0.25">
      <c r="A213" s="149">
        <v>248</v>
      </c>
      <c r="B213" s="149">
        <v>6</v>
      </c>
      <c r="C213" s="61">
        <v>38.019613999999997</v>
      </c>
      <c r="D213" s="61">
        <v>-84.499448999999998</v>
      </c>
      <c r="E213" s="61" t="s">
        <v>265</v>
      </c>
      <c r="F213" s="149">
        <v>109</v>
      </c>
      <c r="G213" s="61" t="s">
        <v>273</v>
      </c>
      <c r="H213" s="61" t="s">
        <v>665</v>
      </c>
      <c r="I213" s="61">
        <v>39.053274999999999</v>
      </c>
      <c r="J213" s="61">
        <v>-84.663016999999996</v>
      </c>
      <c r="K213" s="61">
        <v>172.19998559999999</v>
      </c>
      <c r="L213" s="61">
        <v>132.86199999999999</v>
      </c>
      <c r="M213" s="61" t="s">
        <v>617</v>
      </c>
      <c r="N213" s="149">
        <v>5</v>
      </c>
      <c r="O213" s="149">
        <v>6</v>
      </c>
      <c r="P213" s="61" t="s">
        <v>565</v>
      </c>
      <c r="Q213" s="61" t="s">
        <v>564</v>
      </c>
      <c r="R213" s="61">
        <v>41.98028</v>
      </c>
      <c r="S213" s="61">
        <v>-87.908997900000003</v>
      </c>
      <c r="T213" s="61">
        <v>628.44299999999998</v>
      </c>
      <c r="U213" s="61" t="s">
        <v>617</v>
      </c>
      <c r="V213" s="61" t="s">
        <v>569</v>
      </c>
      <c r="W213" s="61" cm="1">
        <f t="array" ref="W213">getDistance(I213,J213,R213,S213)*SA!$B$12</f>
        <v>426.22298474711437</v>
      </c>
      <c r="Y213" s="137">
        <f>Transportation_LCIA!C$61*($W213^Transportation_LCIA!C$60)+Transportation_LCIA!C$62</f>
        <v>0.36470937059724018</v>
      </c>
      <c r="Z213" s="137">
        <f>Transportation_LCIA!D$61*($W213^Transportation_LCIA!D$60)+Transportation_LCIA!D$62</f>
        <v>3.9599843643856643</v>
      </c>
      <c r="AA213" s="137">
        <f>Transportation_LCIA!E$61*($W213^Transportation_LCIA!E$60)+Transportation_LCIA!E$62</f>
        <v>2.1590522921276657E-3</v>
      </c>
      <c r="AB213" s="137">
        <f>Transportation_LCIA!F$61*($W213^Transportation_LCIA!F$60)+Transportation_LCIA!F$62</f>
        <v>0.36470937059724018</v>
      </c>
      <c r="AC213" s="137">
        <f>Transportation_LCIA!G$61*($W213^Transportation_LCIA!G$60)+Transportation_LCIA!G$62</f>
        <v>9.2146692060025251E-2</v>
      </c>
      <c r="AD213" s="137">
        <f>Transportation_LCIA!H$61*($W213^Transportation_LCIA!H$60)+Transportation_LCIA!H$62</f>
        <v>5.0249575772855042E-4</v>
      </c>
      <c r="AE213" s="137">
        <f>Transportation_LCIA!I$61*($W213^Transportation_LCIA!I$60)+Transportation_LCIA!I$62</f>
        <v>1.1708483079934808E-5</v>
      </c>
      <c r="AF213" s="137">
        <f>Transportation_LCIA!J$61*($W213^Transportation_LCIA!J$60)+Transportation_LCIA!J$62</f>
        <v>1.7488363461505577E-2</v>
      </c>
      <c r="AG213" s="137">
        <f>Transportation_LCIA!K$61*($W213^Transportation_LCIA!K$60)+Transportation_LCIA!K$62</f>
        <v>2.0421310133522361E-2</v>
      </c>
      <c r="AH213" s="137">
        <f>Transportation_LCIA!L$61*($W213^Transportation_LCIA!L$60)+Transportation_LCIA!L$62</f>
        <v>4.4847627034344826E-4</v>
      </c>
      <c r="AI213" s="137">
        <f>Transportation_LCIA!M$61*($W213^Transportation_LCIA!M$60)+Transportation_LCIA!M$62</f>
        <v>3.6824791490361742E-4</v>
      </c>
      <c r="AJ213" s="137">
        <f>Transportation_LCIA!N$61*($W213^Transportation_LCIA!N$60)+Transportation_LCIA!N$62</f>
        <v>1.7475719590774809E-3</v>
      </c>
      <c r="AK213" s="137">
        <f>Transportation_LCIA!O$61*($W213^Transportation_LCIA!O$60)+Transportation_LCIA!O$62</f>
        <v>9.7603127192632193E-5</v>
      </c>
      <c r="AL213" s="137">
        <f>Transportation_LCIA!P$61*($W213^Transportation_LCIA!P$60)+Transportation_LCIA!P$62</f>
        <v>4.7067607312152108E-8</v>
      </c>
      <c r="AM213" s="137">
        <f>Transportation_LCIA!Q$61*($W213^Transportation_LCIA!Q$60)+Transportation_LCIA!Q$62</f>
        <v>1.7674817037411348E-4</v>
      </c>
      <c r="AN213" s="137">
        <f>Transportation_LCIA!R$61*($W213^Transportation_LCIA!R$60)+Transportation_LCIA!R$62</f>
        <v>5.6242472670821938E-4</v>
      </c>
      <c r="AO213" s="137">
        <f>Transportation_LCIA!S$61*($W213^Transportation_LCIA!S$60)+Transportation_LCIA!S$62</f>
        <v>8.2361540379476893E-6</v>
      </c>
      <c r="AP213" s="137">
        <f>Transportation_LCIA!T$61*($W213^Transportation_LCIA!T$60)+Transportation_LCIA!T$62</f>
        <v>8.2361540379476893E-6</v>
      </c>
      <c r="AQ213" s="137">
        <f>Transportation_LCIA!U$61*($W213^Transportation_LCIA!U$60)+Transportation_LCIA!U$62</f>
        <v>1.2222632354241475E-3</v>
      </c>
      <c r="AR213" s="137">
        <f>Transportation_LCIA!V$61*($W213^Transportation_LCIA!V$60)+Transportation_LCIA!V$62</f>
        <v>4.6051342935052081E-4</v>
      </c>
      <c r="AT213" s="137">
        <f>$W213*Y213+$L213*Summary_LCIA!H$32</f>
        <v>200.59402410119719</v>
      </c>
      <c r="AU213" s="137">
        <f>$W213*Z213+$L213*Summary_LCIA!Q$32</f>
        <v>2346.3071279696082</v>
      </c>
      <c r="AV213" s="137">
        <f>$W213*AA213+$L213*Summary_LCIA!R$32</f>
        <v>1.6198358593757523</v>
      </c>
      <c r="AW213" s="137">
        <f>$W213*AB213+$L213*Summary_LCIA!S$32</f>
        <v>200.00677406119718</v>
      </c>
      <c r="AX213" s="137">
        <f>$W213*AC213+$L213*Summary_LCIA!T$32</f>
        <v>53.876571924397183</v>
      </c>
      <c r="AY213" s="137">
        <f>$W213*AD213+$L213*Summary_LCIA!U$32</f>
        <v>2.5942651096818254</v>
      </c>
      <c r="AZ213" s="137">
        <f>$W213*AE213+$L213*Summary_LCIA!V$32</f>
        <v>1.1336046587190899E-2</v>
      </c>
      <c r="BA213" s="137">
        <f>$W213*AF213+$L213*Summary_LCIA!W$32</f>
        <v>17.680463474905284</v>
      </c>
      <c r="BB213" s="137">
        <f>$W213*AG213+$L213*Summary_LCIA!X$32</f>
        <v>11.730628117556392</v>
      </c>
      <c r="BC213" s="137">
        <f>$W213*AH213+$L213*Summary_LCIA!Y$32</f>
        <v>2.2614065785340385</v>
      </c>
      <c r="BD213" s="137">
        <f>$W213*AI213+$L213*Summary_LCIA!Z$32</f>
        <v>0.16240426317512119</v>
      </c>
      <c r="BE213" s="137">
        <f>$W213*AJ213+$L213*Summary_LCIA!AA$32</f>
        <v>3.8479802084583654</v>
      </c>
      <c r="BF213" s="137">
        <f>$W213*AK213+$L213*Summary_LCIA!AB$32</f>
        <v>3.8701248766695936E-2</v>
      </c>
      <c r="BG213" s="137">
        <f>$W213*AL213+$L213*Summary_LCIA!AC$32</f>
        <v>2.6556122081490578E-5</v>
      </c>
      <c r="BH213" s="137">
        <f>$W213*AM213+$L213*Summary_LCIA!AD$32</f>
        <v>0.12994572920544614</v>
      </c>
      <c r="BI213" s="137">
        <f>$W213*AN213+$L213*Summary_LCIA!AE$32</f>
        <v>0.35745134977315735</v>
      </c>
      <c r="BJ213" s="137">
        <f>$W213*AO213+$L213*Summary_LCIA!AF$32</f>
        <v>0.11583463019689107</v>
      </c>
      <c r="BK213" s="137">
        <f>$W213*AP213+$L213*Summary_LCIA!AG$32</f>
        <v>1.0308322386891063E-2</v>
      </c>
      <c r="BL213" s="137">
        <f>$W213*AQ213+$L213*Summary_LCIA!AH$32</f>
        <v>1.6773343875491451</v>
      </c>
      <c r="BM213" s="137">
        <f>$W213*AR213+$L213*Summary_LCIA!AI$32</f>
        <v>0.32004900447390838</v>
      </c>
    </row>
    <row r="214" spans="1:65" x14ac:dyDescent="0.25">
      <c r="A214" s="149">
        <v>196</v>
      </c>
      <c r="B214" s="149">
        <v>6</v>
      </c>
      <c r="C214" s="61">
        <v>38.933138999999997</v>
      </c>
      <c r="D214" s="61">
        <v>-92.373804000000007</v>
      </c>
      <c r="E214" s="61" t="s">
        <v>265</v>
      </c>
      <c r="F214" s="149">
        <v>94</v>
      </c>
      <c r="G214" s="61" t="s">
        <v>693</v>
      </c>
      <c r="H214" s="61" t="s">
        <v>694</v>
      </c>
      <c r="I214" s="61">
        <v>38.749940000000002</v>
      </c>
      <c r="J214" s="61">
        <v>-90.374819000000002</v>
      </c>
      <c r="K214" s="61">
        <v>177.120712</v>
      </c>
      <c r="L214" s="61">
        <v>188.05</v>
      </c>
      <c r="M214" s="61" t="s">
        <v>617</v>
      </c>
      <c r="N214" s="149">
        <v>5</v>
      </c>
      <c r="O214" s="149">
        <v>6</v>
      </c>
      <c r="P214" s="61" t="s">
        <v>565</v>
      </c>
      <c r="Q214" s="61" t="s">
        <v>564</v>
      </c>
      <c r="R214" s="61">
        <v>41.98028</v>
      </c>
      <c r="S214" s="61">
        <v>-87.908997900000003</v>
      </c>
      <c r="T214" s="61">
        <v>628.77</v>
      </c>
      <c r="U214" s="61" t="s">
        <v>617</v>
      </c>
      <c r="V214" s="61" t="s">
        <v>569</v>
      </c>
      <c r="W214" s="61" cm="1">
        <f t="array" ref="W214">getDistance(I214,J214,R214,S214)*SA!$B$12</f>
        <v>415.92837633975137</v>
      </c>
      <c r="Y214" s="137">
        <f>Transportation_LCIA!C$61*($W214^Transportation_LCIA!C$60)+Transportation_LCIA!C$62</f>
        <v>0.36994815840498518</v>
      </c>
      <c r="Z214" s="137">
        <f>Transportation_LCIA!D$61*($W214^Transportation_LCIA!D$60)+Transportation_LCIA!D$62</f>
        <v>4.0234484421955647</v>
      </c>
      <c r="AA214" s="137">
        <f>Transportation_LCIA!E$61*($W214^Transportation_LCIA!E$60)+Transportation_LCIA!E$62</f>
        <v>2.2012194298649938E-3</v>
      </c>
      <c r="AB214" s="137">
        <f>Transportation_LCIA!F$61*($W214^Transportation_LCIA!F$60)+Transportation_LCIA!F$62</f>
        <v>0.36994815840498518</v>
      </c>
      <c r="AC214" s="137">
        <f>Transportation_LCIA!G$61*($W214^Transportation_LCIA!G$60)+Transportation_LCIA!G$62</f>
        <v>9.3611785596409508E-2</v>
      </c>
      <c r="AD214" s="137">
        <f>Transportation_LCIA!H$61*($W214^Transportation_LCIA!H$60)+Transportation_LCIA!H$62</f>
        <v>5.1196174340509932E-4</v>
      </c>
      <c r="AE214" s="137">
        <f>Transportation_LCIA!I$61*($W214^Transportation_LCIA!I$60)+Transportation_LCIA!I$62</f>
        <v>1.1954869488468754E-5</v>
      </c>
      <c r="AF214" s="137">
        <f>Transportation_LCIA!J$61*($W214^Transportation_LCIA!J$60)+Transportation_LCIA!J$62</f>
        <v>1.7863393495932058E-2</v>
      </c>
      <c r="AG214" s="137">
        <f>Transportation_LCIA!K$61*($W214^Transportation_LCIA!K$60)+Transportation_LCIA!K$62</f>
        <v>2.0769827257385139E-2</v>
      </c>
      <c r="AH214" s="137">
        <f>Transportation_LCIA!L$61*($W214^Transportation_LCIA!L$60)+Transportation_LCIA!L$62</f>
        <v>4.5726187815364603E-4</v>
      </c>
      <c r="AI214" s="137">
        <f>Transportation_LCIA!M$61*($W214^Transportation_LCIA!M$60)+Transportation_LCIA!M$62</f>
        <v>3.7347801231547796E-4</v>
      </c>
      <c r="AJ214" s="137">
        <f>Transportation_LCIA!N$61*($W214^Transportation_LCIA!N$60)+Transportation_LCIA!N$62</f>
        <v>1.7793137976698883E-3</v>
      </c>
      <c r="AK214" s="137">
        <f>Transportation_LCIA!O$61*($W214^Transportation_LCIA!O$60)+Transportation_LCIA!O$62</f>
        <v>9.9161576696146439E-5</v>
      </c>
      <c r="AL214" s="137">
        <f>Transportation_LCIA!P$61*($W214^Transportation_LCIA!P$60)+Transportation_LCIA!P$62</f>
        <v>4.7814814061373349E-8</v>
      </c>
      <c r="AM214" s="137">
        <f>Transportation_LCIA!Q$61*($W214^Transportation_LCIA!Q$60)+Transportation_LCIA!Q$62</f>
        <v>1.8020098795436986E-4</v>
      </c>
      <c r="AN214" s="137">
        <f>Transportation_LCIA!R$61*($W214^Transportation_LCIA!R$60)+Transportation_LCIA!R$62</f>
        <v>5.7424922383034498E-4</v>
      </c>
      <c r="AO214" s="137">
        <f>Transportation_LCIA!S$61*($W214^Transportation_LCIA!S$60)+Transportation_LCIA!S$62</f>
        <v>8.4037179670860392E-6</v>
      </c>
      <c r="AP214" s="137">
        <f>Transportation_LCIA!T$61*($W214^Transportation_LCIA!T$60)+Transportation_LCIA!T$62</f>
        <v>8.4037179670860392E-6</v>
      </c>
      <c r="AQ214" s="137">
        <f>Transportation_LCIA!U$61*($W214^Transportation_LCIA!U$60)+Transportation_LCIA!U$62</f>
        <v>1.2483593696332224E-3</v>
      </c>
      <c r="AR214" s="137">
        <f>Transportation_LCIA!V$61*($W214^Transportation_LCIA!V$60)+Transportation_LCIA!V$62</f>
        <v>4.6955543369307253E-4</v>
      </c>
      <c r="AT214" s="137">
        <f>$W214*Y214+$L214*Summary_LCIA!H$32</f>
        <v>217.77132685526664</v>
      </c>
      <c r="AU214" s="137">
        <f>$W214*Z214+$L214*Summary_LCIA!Q$32</f>
        <v>2605.4516617747531</v>
      </c>
      <c r="AV214" s="137">
        <f>$W214*AA214+$L214*Summary_LCIA!R$32</f>
        <v>1.9057457034312602</v>
      </c>
      <c r="AW214" s="137">
        <f>$W214*AB214+$L214*Summary_LCIA!S$32</f>
        <v>216.94014585526662</v>
      </c>
      <c r="AX214" s="137">
        <f>$W214*AC214+$L214*Summary_LCIA!T$32</f>
        <v>59.602492989379527</v>
      </c>
      <c r="AY214" s="137">
        <f>$W214*AD214+$L214*Summary_LCIA!U$32</f>
        <v>3.5816671166825516</v>
      </c>
      <c r="AZ214" s="137">
        <f>$W214*AE214+$L214*Summary_LCIA!V$32</f>
        <v>1.3953825505692444E-2</v>
      </c>
      <c r="BA214" s="137">
        <f>$W214*AF214+$L214*Summary_LCIA!W$32</f>
        <v>21.904288802681094</v>
      </c>
      <c r="BB214" s="137">
        <f>$W214*AG214+$L214*Summary_LCIA!X$32</f>
        <v>12.922539528021312</v>
      </c>
      <c r="BC214" s="137">
        <f>$W214*AH214+$L214*Summary_LCIA!Y$32</f>
        <v>3.1203832905425113</v>
      </c>
      <c r="BD214" s="137">
        <f>$W214*AI214+$L214*Summary_LCIA!Z$32</f>
        <v>0.16305184571097442</v>
      </c>
      <c r="BE214" s="137">
        <f>$W214*AJ214+$L214*Summary_LCIA!AA$32</f>
        <v>5.1321628988637533</v>
      </c>
      <c r="BF214" s="137">
        <f>$W214*AK214+$L214*Summary_LCIA!AB$32</f>
        <v>3.7140298440517916E-2</v>
      </c>
      <c r="BG214" s="137">
        <f>$W214*AL214+$L214*Summary_LCIA!AC$32</f>
        <v>2.908017417753413E-5</v>
      </c>
      <c r="BH214" s="137">
        <f>$W214*AM214+$L214*Summary_LCIA!AD$32</f>
        <v>0.15224677633468015</v>
      </c>
      <c r="BI214" s="137">
        <f>$W214*AN214+$L214*Summary_LCIA!AE$32</f>
        <v>0.40548329378211784</v>
      </c>
      <c r="BJ214" s="137">
        <f>$W214*AO214+$L214*Summary_LCIA!AF$32</f>
        <v>0.16247657576926733</v>
      </c>
      <c r="BK214" s="137">
        <f>$W214*AP214+$L214*Summary_LCIA!AG$32</f>
        <v>1.3116923019267292E-2</v>
      </c>
      <c r="BL214" s="137">
        <f>$W214*AQ214+$L214*Summary_LCIA!AH$32</f>
        <v>2.155940065700062</v>
      </c>
      <c r="BM214" s="137">
        <f>$W214*AR214+$L214*Summary_LCIA!AI$32</f>
        <v>0.37047940663746748</v>
      </c>
    </row>
    <row r="215" spans="1:65" x14ac:dyDescent="0.25">
      <c r="A215" s="149">
        <v>197</v>
      </c>
      <c r="B215" s="149">
        <v>6</v>
      </c>
      <c r="C215" s="61">
        <v>38.933138999999997</v>
      </c>
      <c r="D215" s="61">
        <v>-92.373804000000007</v>
      </c>
      <c r="E215" s="61" t="s">
        <v>265</v>
      </c>
      <c r="F215" s="149">
        <v>94</v>
      </c>
      <c r="G215" s="61" t="s">
        <v>693</v>
      </c>
      <c r="H215" s="61" t="s">
        <v>694</v>
      </c>
      <c r="I215" s="61">
        <v>38.749940000000002</v>
      </c>
      <c r="J215" s="61">
        <v>-90.374819000000002</v>
      </c>
      <c r="K215" s="61">
        <v>177.120712</v>
      </c>
      <c r="L215" s="61">
        <v>188.05</v>
      </c>
      <c r="M215" s="61" t="s">
        <v>617</v>
      </c>
      <c r="N215" s="149">
        <v>5</v>
      </c>
      <c r="O215" s="149">
        <v>6</v>
      </c>
      <c r="P215" s="61" t="s">
        <v>565</v>
      </c>
      <c r="Q215" s="61" t="s">
        <v>564</v>
      </c>
      <c r="R215" s="61">
        <v>41.98028</v>
      </c>
      <c r="S215" s="61">
        <v>-87.908997900000003</v>
      </c>
      <c r="T215" s="61">
        <v>628.77</v>
      </c>
      <c r="U215" s="61" t="s">
        <v>617</v>
      </c>
      <c r="V215" s="61" t="s">
        <v>569</v>
      </c>
      <c r="W215" s="61" cm="1">
        <f t="array" ref="W215">getDistance(I215,J215,R215,S215)*SA!$B$12</f>
        <v>415.92837633975137</v>
      </c>
      <c r="Y215" s="137">
        <f>Transportation_LCIA!C$61*($W215^Transportation_LCIA!C$60)+Transportation_LCIA!C$62</f>
        <v>0.36994815840498518</v>
      </c>
      <c r="Z215" s="137">
        <f>Transportation_LCIA!D$61*($W215^Transportation_LCIA!D$60)+Transportation_LCIA!D$62</f>
        <v>4.0234484421955647</v>
      </c>
      <c r="AA215" s="137">
        <f>Transportation_LCIA!E$61*($W215^Transportation_LCIA!E$60)+Transportation_LCIA!E$62</f>
        <v>2.2012194298649938E-3</v>
      </c>
      <c r="AB215" s="137">
        <f>Transportation_LCIA!F$61*($W215^Transportation_LCIA!F$60)+Transportation_LCIA!F$62</f>
        <v>0.36994815840498518</v>
      </c>
      <c r="AC215" s="137">
        <f>Transportation_LCIA!G$61*($W215^Transportation_LCIA!G$60)+Transportation_LCIA!G$62</f>
        <v>9.3611785596409508E-2</v>
      </c>
      <c r="AD215" s="137">
        <f>Transportation_LCIA!H$61*($W215^Transportation_LCIA!H$60)+Transportation_LCIA!H$62</f>
        <v>5.1196174340509932E-4</v>
      </c>
      <c r="AE215" s="137">
        <f>Transportation_LCIA!I$61*($W215^Transportation_LCIA!I$60)+Transportation_LCIA!I$62</f>
        <v>1.1954869488468754E-5</v>
      </c>
      <c r="AF215" s="137">
        <f>Transportation_LCIA!J$61*($W215^Transportation_LCIA!J$60)+Transportation_LCIA!J$62</f>
        <v>1.7863393495932058E-2</v>
      </c>
      <c r="AG215" s="137">
        <f>Transportation_LCIA!K$61*($W215^Transportation_LCIA!K$60)+Transportation_LCIA!K$62</f>
        <v>2.0769827257385139E-2</v>
      </c>
      <c r="AH215" s="137">
        <f>Transportation_LCIA!L$61*($W215^Transportation_LCIA!L$60)+Transportation_LCIA!L$62</f>
        <v>4.5726187815364603E-4</v>
      </c>
      <c r="AI215" s="137">
        <f>Transportation_LCIA!M$61*($W215^Transportation_LCIA!M$60)+Transportation_LCIA!M$62</f>
        <v>3.7347801231547796E-4</v>
      </c>
      <c r="AJ215" s="137">
        <f>Transportation_LCIA!N$61*($W215^Transportation_LCIA!N$60)+Transportation_LCIA!N$62</f>
        <v>1.7793137976698883E-3</v>
      </c>
      <c r="AK215" s="137">
        <f>Transportation_LCIA!O$61*($W215^Transportation_LCIA!O$60)+Transportation_LCIA!O$62</f>
        <v>9.9161576696146439E-5</v>
      </c>
      <c r="AL215" s="137">
        <f>Transportation_LCIA!P$61*($W215^Transportation_LCIA!P$60)+Transportation_LCIA!P$62</f>
        <v>4.7814814061373349E-8</v>
      </c>
      <c r="AM215" s="137">
        <f>Transportation_LCIA!Q$61*($W215^Transportation_LCIA!Q$60)+Transportation_LCIA!Q$62</f>
        <v>1.8020098795436986E-4</v>
      </c>
      <c r="AN215" s="137">
        <f>Transportation_LCIA!R$61*($W215^Transportation_LCIA!R$60)+Transportation_LCIA!R$62</f>
        <v>5.7424922383034498E-4</v>
      </c>
      <c r="AO215" s="137">
        <f>Transportation_LCIA!S$61*($W215^Transportation_LCIA!S$60)+Transportation_LCIA!S$62</f>
        <v>8.4037179670860392E-6</v>
      </c>
      <c r="AP215" s="137">
        <f>Transportation_LCIA!T$61*($W215^Transportation_LCIA!T$60)+Transportation_LCIA!T$62</f>
        <v>8.4037179670860392E-6</v>
      </c>
      <c r="AQ215" s="137">
        <f>Transportation_LCIA!U$61*($W215^Transportation_LCIA!U$60)+Transportation_LCIA!U$62</f>
        <v>1.2483593696332224E-3</v>
      </c>
      <c r="AR215" s="137">
        <f>Transportation_LCIA!V$61*($W215^Transportation_LCIA!V$60)+Transportation_LCIA!V$62</f>
        <v>4.6955543369307253E-4</v>
      </c>
      <c r="AT215" s="137">
        <f>$W215*Y215+$L215*Summary_LCIA!H$32</f>
        <v>217.77132685526664</v>
      </c>
      <c r="AU215" s="137">
        <f>$W215*Z215+$L215*Summary_LCIA!Q$32</f>
        <v>2605.4516617747531</v>
      </c>
      <c r="AV215" s="137">
        <f>$W215*AA215+$L215*Summary_LCIA!R$32</f>
        <v>1.9057457034312602</v>
      </c>
      <c r="AW215" s="137">
        <f>$W215*AB215+$L215*Summary_LCIA!S$32</f>
        <v>216.94014585526662</v>
      </c>
      <c r="AX215" s="137">
        <f>$W215*AC215+$L215*Summary_LCIA!T$32</f>
        <v>59.602492989379527</v>
      </c>
      <c r="AY215" s="137">
        <f>$W215*AD215+$L215*Summary_LCIA!U$32</f>
        <v>3.5816671166825516</v>
      </c>
      <c r="AZ215" s="137">
        <f>$W215*AE215+$L215*Summary_LCIA!V$32</f>
        <v>1.3953825505692444E-2</v>
      </c>
      <c r="BA215" s="137">
        <f>$W215*AF215+$L215*Summary_LCIA!W$32</f>
        <v>21.904288802681094</v>
      </c>
      <c r="BB215" s="137">
        <f>$W215*AG215+$L215*Summary_LCIA!X$32</f>
        <v>12.922539528021312</v>
      </c>
      <c r="BC215" s="137">
        <f>$W215*AH215+$L215*Summary_LCIA!Y$32</f>
        <v>3.1203832905425113</v>
      </c>
      <c r="BD215" s="137">
        <f>$W215*AI215+$L215*Summary_LCIA!Z$32</f>
        <v>0.16305184571097442</v>
      </c>
      <c r="BE215" s="137">
        <f>$W215*AJ215+$L215*Summary_LCIA!AA$32</f>
        <v>5.1321628988637533</v>
      </c>
      <c r="BF215" s="137">
        <f>$W215*AK215+$L215*Summary_LCIA!AB$32</f>
        <v>3.7140298440517916E-2</v>
      </c>
      <c r="BG215" s="137">
        <f>$W215*AL215+$L215*Summary_LCIA!AC$32</f>
        <v>2.908017417753413E-5</v>
      </c>
      <c r="BH215" s="137">
        <f>$W215*AM215+$L215*Summary_LCIA!AD$32</f>
        <v>0.15224677633468015</v>
      </c>
      <c r="BI215" s="137">
        <f>$W215*AN215+$L215*Summary_LCIA!AE$32</f>
        <v>0.40548329378211784</v>
      </c>
      <c r="BJ215" s="137">
        <f>$W215*AO215+$L215*Summary_LCIA!AF$32</f>
        <v>0.16247657576926733</v>
      </c>
      <c r="BK215" s="137">
        <f>$W215*AP215+$L215*Summary_LCIA!AG$32</f>
        <v>1.3116923019267292E-2</v>
      </c>
      <c r="BL215" s="137">
        <f>$W215*AQ215+$L215*Summary_LCIA!AH$32</f>
        <v>2.155940065700062</v>
      </c>
      <c r="BM215" s="137">
        <f>$W215*AR215+$L215*Summary_LCIA!AI$32</f>
        <v>0.37047940663746748</v>
      </c>
    </row>
    <row r="216" spans="1:65" x14ac:dyDescent="0.25">
      <c r="A216" s="149">
        <v>272</v>
      </c>
      <c r="B216" s="149">
        <v>6</v>
      </c>
      <c r="C216" s="61">
        <v>44.974156000000001</v>
      </c>
      <c r="D216" s="61">
        <v>-93.234200000000001</v>
      </c>
      <c r="E216" s="61" t="s">
        <v>265</v>
      </c>
      <c r="F216" s="149">
        <v>57</v>
      </c>
      <c r="G216" s="61" t="s">
        <v>565</v>
      </c>
      <c r="H216" s="61" t="s">
        <v>641</v>
      </c>
      <c r="I216" s="61">
        <v>44.884754999999998</v>
      </c>
      <c r="J216" s="61">
        <v>-93.222284999999999</v>
      </c>
      <c r="K216" s="61">
        <v>16.087904340000001</v>
      </c>
      <c r="L216" s="61">
        <v>18.332000000000001</v>
      </c>
      <c r="M216" s="61" t="s">
        <v>617</v>
      </c>
      <c r="N216" s="149">
        <v>5</v>
      </c>
      <c r="O216" s="149">
        <v>6</v>
      </c>
      <c r="P216" s="61" t="s">
        <v>565</v>
      </c>
      <c r="Q216" s="61" t="s">
        <v>564</v>
      </c>
      <c r="R216" s="61">
        <v>41.98028</v>
      </c>
      <c r="S216" s="61">
        <v>-87.908997900000003</v>
      </c>
      <c r="T216" s="61">
        <v>632.90800000000002</v>
      </c>
      <c r="U216" s="61" t="s">
        <v>617</v>
      </c>
      <c r="V216" s="61" t="s">
        <v>569</v>
      </c>
      <c r="W216" s="61" cm="1">
        <f t="array" ref="W216">getDistance(I216,J216,R216,S216)*SA!$B$12</f>
        <v>537.9238360294454</v>
      </c>
      <c r="Y216" s="137">
        <f>Transportation_LCIA!C$61*($W216^Transportation_LCIA!C$60)+Transportation_LCIA!C$62</f>
        <v>0.31986678213898079</v>
      </c>
      <c r="Z216" s="137">
        <f>Transportation_LCIA!D$61*($W216^Transportation_LCIA!D$60)+Transportation_LCIA!D$62</f>
        <v>3.4196837590581142</v>
      </c>
      <c r="AA216" s="137">
        <f>Transportation_LCIA!E$61*($W216^Transportation_LCIA!E$60)+Transportation_LCIA!E$62</f>
        <v>1.8006084167141755E-3</v>
      </c>
      <c r="AB216" s="137">
        <f>Transportation_LCIA!F$61*($W216^Transportation_LCIA!F$60)+Transportation_LCIA!F$62</f>
        <v>0.31986678213898079</v>
      </c>
      <c r="AC216" s="137">
        <f>Transportation_LCIA!G$61*($W216^Transportation_LCIA!G$60)+Transportation_LCIA!G$62</f>
        <v>7.9669699225259488E-2</v>
      </c>
      <c r="AD216" s="137">
        <f>Transportation_LCIA!H$61*($W216^Transportation_LCIA!H$60)+Transportation_LCIA!H$62</f>
        <v>4.2227087470452683E-4</v>
      </c>
      <c r="AE216" s="137">
        <f>Transportation_LCIA!I$61*($W216^Transportation_LCIA!I$60)+Transportation_LCIA!I$62</f>
        <v>9.6304021623867961E-6</v>
      </c>
      <c r="AF216" s="137">
        <f>Transportation_LCIA!J$61*($W216^Transportation_LCIA!J$60)+Transportation_LCIA!J$62</f>
        <v>1.4335225470337743E-2</v>
      </c>
      <c r="AG216" s="137">
        <f>Transportation_LCIA!K$61*($W216^Transportation_LCIA!K$60)+Transportation_LCIA!K$62</f>
        <v>1.7461378929992367E-2</v>
      </c>
      <c r="AH216" s="137">
        <f>Transportation_LCIA!L$61*($W216^Transportation_LCIA!L$60)+Transportation_LCIA!L$62</f>
        <v>3.741200211309115E-4</v>
      </c>
      <c r="AI216" s="137">
        <f>Transportation_LCIA!M$61*($W216^Transportation_LCIA!M$60)+Transportation_LCIA!M$62</f>
        <v>3.2392972305419126E-4</v>
      </c>
      <c r="AJ216" s="137">
        <f>Transportation_LCIA!N$61*($W216^Transportation_LCIA!N$60)+Transportation_LCIA!N$62</f>
        <v>1.4784543299395398E-3</v>
      </c>
      <c r="AK216" s="137">
        <f>Transportation_LCIA!O$61*($W216^Transportation_LCIA!O$60)+Transportation_LCIA!O$62</f>
        <v>8.4333072501823996E-5</v>
      </c>
      <c r="AL216" s="137">
        <f>Transportation_LCIA!P$61*($W216^Transportation_LCIA!P$60)+Transportation_LCIA!P$62</f>
        <v>4.0702648380323872E-8</v>
      </c>
      <c r="AM216" s="137">
        <f>Transportation_LCIA!Q$61*($W216^Transportation_LCIA!Q$60)+Transportation_LCIA!Q$62</f>
        <v>1.4754717709156823E-4</v>
      </c>
      <c r="AN216" s="137">
        <f>Transportation_LCIA!R$61*($W216^Transportation_LCIA!R$60)+Transportation_LCIA!R$62</f>
        <v>4.6270576693556009E-4</v>
      </c>
      <c r="AO216" s="137">
        <f>Transportation_LCIA!S$61*($W216^Transportation_LCIA!S$60)+Transportation_LCIA!S$62</f>
        <v>6.8227398697620497E-6</v>
      </c>
      <c r="AP216" s="137">
        <f>Transportation_LCIA!T$61*($W216^Transportation_LCIA!T$60)+Transportation_LCIA!T$62</f>
        <v>6.8227398697620497E-6</v>
      </c>
      <c r="AQ216" s="137">
        <f>Transportation_LCIA!U$61*($W216^Transportation_LCIA!U$60)+Transportation_LCIA!U$62</f>
        <v>1.002389311334221E-3</v>
      </c>
      <c r="AR216" s="137">
        <f>Transportation_LCIA!V$61*($W216^Transportation_LCIA!V$60)+Transportation_LCIA!V$62</f>
        <v>3.8411685160034487E-4</v>
      </c>
      <c r="AT216" s="137">
        <f>$W216*Y216+$L216*Summary_LCIA!H$32</f>
        <v>178.29318006659545</v>
      </c>
      <c r="AU216" s="137">
        <f>$W216*Z216+$L216*Summary_LCIA!Q$32</f>
        <v>1930.3837222178904</v>
      </c>
      <c r="AV216" s="137">
        <f>$W216*AA216+$L216*Summary_LCIA!R$32</f>
        <v>1.0651191659057955</v>
      </c>
      <c r="AW216" s="137">
        <f>$W216*AB216+$L216*Summary_LCIA!S$32</f>
        <v>178.21215262659544</v>
      </c>
      <c r="AX216" s="137">
        <f>$W216*AC216+$L216*Summary_LCIA!T$32</f>
        <v>44.870917022563717</v>
      </c>
      <c r="AY216" s="137">
        <f>$W216*AD216+$L216*Summary_LCIA!U$32</f>
        <v>0.55554901676456836</v>
      </c>
      <c r="AZ216" s="137">
        <f>$W216*AE216+$L216*Summary_LCIA!V$32</f>
        <v>6.0559775256973708E-3</v>
      </c>
      <c r="BA216" s="137">
        <f>$W216*AF216+$L216*Summary_LCIA!W$32</f>
        <v>9.1222918473510894</v>
      </c>
      <c r="BB216" s="137">
        <f>$W216*AG216+$L216*Summary_LCIA!X$32</f>
        <v>9.8104948963852276</v>
      </c>
      <c r="BC216" s="137">
        <f>$W216*AH216+$L216*Summary_LCIA!Y$32</f>
        <v>0.4868973009021571</v>
      </c>
      <c r="BD216" s="137">
        <f>$W216*AI216+$L216*Summary_LCIA!Z$32</f>
        <v>0.17500129621726643</v>
      </c>
      <c r="BE216" s="137">
        <f>$W216*AJ216+$L216*Summary_LCIA!AA$32</f>
        <v>1.2234580165554205</v>
      </c>
      <c r="BF216" s="137">
        <f>$W216*AK216+$L216*Summary_LCIA!AB$32</f>
        <v>4.4964710628330504E-2</v>
      </c>
      <c r="BG216" s="137">
        <f>$W216*AL216+$L216*Summary_LCIA!AC$32</f>
        <v>2.2791066241301509E-5</v>
      </c>
      <c r="BH216" s="137">
        <f>$W216*AM216+$L216*Summary_LCIA!AD$32</f>
        <v>8.6904328776412285E-2</v>
      </c>
      <c r="BI216" s="137">
        <f>$W216*AN216+$L216*Summary_LCIA!AE$32</f>
        <v>0.26514499626292298</v>
      </c>
      <c r="BJ216" s="137">
        <f>$W216*AO216+$L216*Summary_LCIA!AF$32</f>
        <v>1.9168353842973444E-2</v>
      </c>
      <c r="BK216" s="137">
        <f>$W216*AP216+$L216*Summary_LCIA!AG$32</f>
        <v>4.6080711829734403E-3</v>
      </c>
      <c r="BL216" s="137">
        <f>$W216*AQ216+$L216*Summary_LCIA!AH$32</f>
        <v>0.69876349874781818</v>
      </c>
      <c r="BM216" s="137">
        <f>$W216*AR216+$L216*Summary_LCIA!AI$32</f>
        <v>0.22370278489641071</v>
      </c>
    </row>
    <row r="217" spans="1:65" x14ac:dyDescent="0.25">
      <c r="A217" s="149">
        <v>47</v>
      </c>
      <c r="B217" s="149">
        <v>6</v>
      </c>
      <c r="C217" s="61">
        <v>44.983167000000002</v>
      </c>
      <c r="D217" s="61">
        <v>-93.225847999999999</v>
      </c>
      <c r="E217" s="61" t="s">
        <v>265</v>
      </c>
      <c r="F217" s="149">
        <v>57</v>
      </c>
      <c r="G217" s="61" t="s">
        <v>565</v>
      </c>
      <c r="H217" s="61" t="s">
        <v>641</v>
      </c>
      <c r="I217" s="61">
        <v>44.884754999999998</v>
      </c>
      <c r="J217" s="61">
        <v>-93.222284999999999</v>
      </c>
      <c r="K217" s="61">
        <v>17.648848319999999</v>
      </c>
      <c r="L217" s="61">
        <v>19.448</v>
      </c>
      <c r="M217" s="61" t="s">
        <v>617</v>
      </c>
      <c r="N217" s="149">
        <v>5</v>
      </c>
      <c r="O217" s="149">
        <v>6</v>
      </c>
      <c r="P217" s="61" t="s">
        <v>565</v>
      </c>
      <c r="Q217" s="61" t="s">
        <v>564</v>
      </c>
      <c r="R217" s="61">
        <v>41.98028</v>
      </c>
      <c r="S217" s="61">
        <v>-87.908997900000003</v>
      </c>
      <c r="T217" s="61">
        <v>632.95899999999995</v>
      </c>
      <c r="U217" s="61" t="s">
        <v>617</v>
      </c>
      <c r="V217" s="61" t="s">
        <v>569</v>
      </c>
      <c r="W217" s="61" cm="1">
        <f t="array" ref="W217">getDistance(I217,J217,R217,S217)*SA!$B$12</f>
        <v>537.9238360294454</v>
      </c>
      <c r="Y217" s="137">
        <f>Transportation_LCIA!C$61*($W217^Transportation_LCIA!C$60)+Transportation_LCIA!C$62</f>
        <v>0.31986678213898079</v>
      </c>
      <c r="Z217" s="137">
        <f>Transportation_LCIA!D$61*($W217^Transportation_LCIA!D$60)+Transportation_LCIA!D$62</f>
        <v>3.4196837590581142</v>
      </c>
      <c r="AA217" s="137">
        <f>Transportation_LCIA!E$61*($W217^Transportation_LCIA!E$60)+Transportation_LCIA!E$62</f>
        <v>1.8006084167141755E-3</v>
      </c>
      <c r="AB217" s="137">
        <f>Transportation_LCIA!F$61*($W217^Transportation_LCIA!F$60)+Transportation_LCIA!F$62</f>
        <v>0.31986678213898079</v>
      </c>
      <c r="AC217" s="137">
        <f>Transportation_LCIA!G$61*($W217^Transportation_LCIA!G$60)+Transportation_LCIA!G$62</f>
        <v>7.9669699225259488E-2</v>
      </c>
      <c r="AD217" s="137">
        <f>Transportation_LCIA!H$61*($W217^Transportation_LCIA!H$60)+Transportation_LCIA!H$62</f>
        <v>4.2227087470452683E-4</v>
      </c>
      <c r="AE217" s="137">
        <f>Transportation_LCIA!I$61*($W217^Transportation_LCIA!I$60)+Transportation_LCIA!I$62</f>
        <v>9.6304021623867961E-6</v>
      </c>
      <c r="AF217" s="137">
        <f>Transportation_LCIA!J$61*($W217^Transportation_LCIA!J$60)+Transportation_LCIA!J$62</f>
        <v>1.4335225470337743E-2</v>
      </c>
      <c r="AG217" s="137">
        <f>Transportation_LCIA!K$61*($W217^Transportation_LCIA!K$60)+Transportation_LCIA!K$62</f>
        <v>1.7461378929992367E-2</v>
      </c>
      <c r="AH217" s="137">
        <f>Transportation_LCIA!L$61*($W217^Transportation_LCIA!L$60)+Transportation_LCIA!L$62</f>
        <v>3.741200211309115E-4</v>
      </c>
      <c r="AI217" s="137">
        <f>Transportation_LCIA!M$61*($W217^Transportation_LCIA!M$60)+Transportation_LCIA!M$62</f>
        <v>3.2392972305419126E-4</v>
      </c>
      <c r="AJ217" s="137">
        <f>Transportation_LCIA!N$61*($W217^Transportation_LCIA!N$60)+Transportation_LCIA!N$62</f>
        <v>1.4784543299395398E-3</v>
      </c>
      <c r="AK217" s="137">
        <f>Transportation_LCIA!O$61*($W217^Transportation_LCIA!O$60)+Transportation_LCIA!O$62</f>
        <v>8.4333072501823996E-5</v>
      </c>
      <c r="AL217" s="137">
        <f>Transportation_LCIA!P$61*($W217^Transportation_LCIA!P$60)+Transportation_LCIA!P$62</f>
        <v>4.0702648380323872E-8</v>
      </c>
      <c r="AM217" s="137">
        <f>Transportation_LCIA!Q$61*($W217^Transportation_LCIA!Q$60)+Transportation_LCIA!Q$62</f>
        <v>1.4754717709156823E-4</v>
      </c>
      <c r="AN217" s="137">
        <f>Transportation_LCIA!R$61*($W217^Transportation_LCIA!R$60)+Transportation_LCIA!R$62</f>
        <v>4.6270576693556009E-4</v>
      </c>
      <c r="AO217" s="137">
        <f>Transportation_LCIA!S$61*($W217^Transportation_LCIA!S$60)+Transportation_LCIA!S$62</f>
        <v>6.8227398697620497E-6</v>
      </c>
      <c r="AP217" s="137">
        <f>Transportation_LCIA!T$61*($W217^Transportation_LCIA!T$60)+Transportation_LCIA!T$62</f>
        <v>6.8227398697620497E-6</v>
      </c>
      <c r="AQ217" s="137">
        <f>Transportation_LCIA!U$61*($W217^Transportation_LCIA!U$60)+Transportation_LCIA!U$62</f>
        <v>1.002389311334221E-3</v>
      </c>
      <c r="AR217" s="137">
        <f>Transportation_LCIA!V$61*($W217^Transportation_LCIA!V$60)+Transportation_LCIA!V$62</f>
        <v>3.8411685160034487E-4</v>
      </c>
      <c r="AT217" s="137">
        <f>$W217*Y217+$L217*Summary_LCIA!H$32</f>
        <v>178.67239686659545</v>
      </c>
      <c r="AU217" s="137">
        <f>$W217*Z217+$L217*Summary_LCIA!Q$32</f>
        <v>1935.9146745011185</v>
      </c>
      <c r="AV217" s="137">
        <f>$W217*AA217+$L217*Summary_LCIA!R$32</f>
        <v>1.0709955755057954</v>
      </c>
      <c r="AW217" s="137">
        <f>$W217*AB217+$L217*Summary_LCIA!S$32</f>
        <v>178.58643670659544</v>
      </c>
      <c r="AX217" s="137">
        <f>$W217*AC217+$L217*Summary_LCIA!T$32</f>
        <v>44.993565422563719</v>
      </c>
      <c r="AY217" s="137">
        <f>$W217*AD217+$L217*Summary_LCIA!U$32</f>
        <v>0.57554104076456836</v>
      </c>
      <c r="AZ217" s="137">
        <f>$W217*AE217+$L217*Summary_LCIA!V$32</f>
        <v>6.1092788016973709E-3</v>
      </c>
      <c r="BA217" s="137">
        <f>$W217*AF217+$L217*Summary_LCIA!W$32</f>
        <v>9.2081914833510901</v>
      </c>
      <c r="BB217" s="137">
        <f>$W217*AG217+$L217*Summary_LCIA!X$32</f>
        <v>9.8359173763852272</v>
      </c>
      <c r="BC217" s="137">
        <f>$W217*AH217+$L217*Summary_LCIA!Y$32</f>
        <v>0.50428681290215716</v>
      </c>
      <c r="BD217" s="137">
        <f>$W217*AI217+$L217*Summary_LCIA!Z$32</f>
        <v>0.17504706226126643</v>
      </c>
      <c r="BE217" s="137">
        <f>$W217*AJ217+$L217*Summary_LCIA!AA$32</f>
        <v>1.2495233125554206</v>
      </c>
      <c r="BF217" s="137">
        <f>$W217*AK217+$L217*Summary_LCIA!AB$32</f>
        <v>4.49403561603305E-2</v>
      </c>
      <c r="BG217" s="137">
        <f>$W217*AL217+$L217*Summary_LCIA!AC$32</f>
        <v>2.284562078530151E-5</v>
      </c>
      <c r="BH217" s="137">
        <f>$W217*AM217+$L217*Summary_LCIA!AD$32</f>
        <v>8.7363049416412292E-2</v>
      </c>
      <c r="BI217" s="137">
        <f>$W217*AN217+$L217*Summary_LCIA!AE$32</f>
        <v>0.26613391734292302</v>
      </c>
      <c r="BJ217" s="137">
        <f>$W217*AO217+$L217*Summary_LCIA!AF$32</f>
        <v>2.0111842562973443E-2</v>
      </c>
      <c r="BK217" s="137">
        <f>$W217*AP217+$L217*Summary_LCIA!AG$32</f>
        <v>4.6651713229734406E-3</v>
      </c>
      <c r="BL217" s="137">
        <f>$W217*AQ217+$L217*Summary_LCIA!AH$32</f>
        <v>0.70847671634781817</v>
      </c>
      <c r="BM217" s="137">
        <f>$W217*AR217+$L217*Summary_LCIA!AI$32</f>
        <v>0.22474239469641072</v>
      </c>
    </row>
    <row r="218" spans="1:65" x14ac:dyDescent="0.25">
      <c r="A218" s="149">
        <v>33</v>
      </c>
      <c r="B218" s="149">
        <v>6</v>
      </c>
      <c r="C218" s="61">
        <v>47.115026</v>
      </c>
      <c r="D218" s="61">
        <v>-88.545199999999994</v>
      </c>
      <c r="E218" s="61" t="s">
        <v>265</v>
      </c>
      <c r="F218" s="149">
        <v>137</v>
      </c>
      <c r="G218" s="61" t="s">
        <v>642</v>
      </c>
      <c r="H218" s="61" t="s">
        <v>643</v>
      </c>
      <c r="I218" s="61">
        <v>47.168708000000002</v>
      </c>
      <c r="J218" s="61">
        <v>-88.496306000000004</v>
      </c>
      <c r="K218" s="61">
        <v>225.30955169999999</v>
      </c>
      <c r="L218" s="61">
        <v>13.54</v>
      </c>
      <c r="M218" s="61" t="s">
        <v>617</v>
      </c>
      <c r="N218" s="149">
        <v>5</v>
      </c>
      <c r="O218" s="149">
        <v>6</v>
      </c>
      <c r="P218" s="61" t="s">
        <v>565</v>
      </c>
      <c r="Q218" s="61" t="s">
        <v>564</v>
      </c>
      <c r="R218" s="61">
        <v>41.98028</v>
      </c>
      <c r="S218" s="61">
        <v>-87.908997900000003</v>
      </c>
      <c r="T218" s="61">
        <v>646.82100000000003</v>
      </c>
      <c r="U218" s="61" t="s">
        <v>617</v>
      </c>
      <c r="V218" s="61" t="s">
        <v>569</v>
      </c>
      <c r="W218" s="61" cm="1">
        <f t="array" ref="W218">getDistance(I218,J218,R218,S218)*SA!$B$12</f>
        <v>579.41700792204915</v>
      </c>
      <c r="Y218" s="137">
        <f>Transportation_LCIA!C$61*($W218^Transportation_LCIA!C$60)+Transportation_LCIA!C$62</f>
        <v>0.30729882152489507</v>
      </c>
      <c r="Z218" s="137">
        <f>Transportation_LCIA!D$61*($W218^Transportation_LCIA!D$60)+Transportation_LCIA!D$62</f>
        <v>3.2692833329177207</v>
      </c>
      <c r="AA218" s="137">
        <f>Transportation_LCIA!E$61*($W218^Transportation_LCIA!E$60)+Transportation_LCIA!E$62</f>
        <v>1.7010215246835009E-3</v>
      </c>
      <c r="AB218" s="137">
        <f>Transportation_LCIA!F$61*($W218^Transportation_LCIA!F$60)+Transportation_LCIA!F$62</f>
        <v>0.30729882152489507</v>
      </c>
      <c r="AC218" s="137">
        <f>Transportation_LCIA!G$61*($W218^Transportation_LCIA!G$60)+Transportation_LCIA!G$62</f>
        <v>7.6195167434880529E-2</v>
      </c>
      <c r="AD218" s="137">
        <f>Transportation_LCIA!H$61*($W218^Transportation_LCIA!H$60)+Transportation_LCIA!H$62</f>
        <v>4.0006618979584763E-4</v>
      </c>
      <c r="AE218" s="137">
        <f>Transportation_LCIA!I$61*($W218^Transportation_LCIA!I$60)+Transportation_LCIA!I$62</f>
        <v>9.0587319283235716E-6</v>
      </c>
      <c r="AF218" s="137">
        <f>Transportation_LCIA!J$61*($W218^Transportation_LCIA!J$60)+Transportation_LCIA!J$62</f>
        <v>1.3471269072017985E-2</v>
      </c>
      <c r="AG218" s="137">
        <f>Transportation_LCIA!K$61*($W218^Transportation_LCIA!K$60)+Transportation_LCIA!K$62</f>
        <v>1.6639947628133055E-2</v>
      </c>
      <c r="AH218" s="137">
        <f>Transportation_LCIA!L$61*($W218^Transportation_LCIA!L$60)+Transportation_LCIA!L$62</f>
        <v>3.5357540758904505E-4</v>
      </c>
      <c r="AI218" s="137">
        <f>Transportation_LCIA!M$61*($W218^Transportation_LCIA!M$60)+Transportation_LCIA!M$62</f>
        <v>3.1166584326352707E-4</v>
      </c>
      <c r="AJ218" s="137">
        <f>Transportation_LCIA!N$61*($W218^Transportation_LCIA!N$60)+Transportation_LCIA!N$62</f>
        <v>1.4039316702187713E-3</v>
      </c>
      <c r="AK218" s="137">
        <f>Transportation_LCIA!O$61*($W218^Transportation_LCIA!O$60)+Transportation_LCIA!O$62</f>
        <v>8.0638385241804721E-5</v>
      </c>
      <c r="AL218" s="137">
        <f>Transportation_LCIA!P$61*($W218^Transportation_LCIA!P$60)+Transportation_LCIA!P$62</f>
        <v>3.8929598832181193E-8</v>
      </c>
      <c r="AM218" s="137">
        <f>Transportation_LCIA!Q$61*($W218^Transportation_LCIA!Q$60)+Transportation_LCIA!Q$62</f>
        <v>1.394865004676305E-4</v>
      </c>
      <c r="AN218" s="137">
        <f>Transportation_LCIA!R$61*($W218^Transportation_LCIA!R$60)+Transportation_LCIA!R$62</f>
        <v>4.3527760270768294E-4</v>
      </c>
      <c r="AO218" s="137">
        <f>Transportation_LCIA!S$61*($W218^Transportation_LCIA!S$60)+Transportation_LCIA!S$62</f>
        <v>6.4338673498341644E-6</v>
      </c>
      <c r="AP218" s="137">
        <f>Transportation_LCIA!T$61*($W218^Transportation_LCIA!T$60)+Transportation_LCIA!T$62</f>
        <v>6.4338673498341644E-6</v>
      </c>
      <c r="AQ218" s="137">
        <f>Transportation_LCIA!U$61*($W218^Transportation_LCIA!U$60)+Transportation_LCIA!U$62</f>
        <v>9.4198202526368834E-4</v>
      </c>
      <c r="AR218" s="137">
        <f>Transportation_LCIA!V$61*($W218^Transportation_LCIA!V$60)+Transportation_LCIA!V$62</f>
        <v>3.6305370692808487E-4</v>
      </c>
      <c r="AT218" s="137">
        <f>$W218*Y218+$L218*Summary_LCIA!H$32</f>
        <v>182.65505570592649</v>
      </c>
      <c r="AU218" s="137">
        <f>$W218*Z218+$L218*Summary_LCIA!Q$32</f>
        <v>1961.3832896714302</v>
      </c>
      <c r="AV218" s="137">
        <f>$W218*AA218+$L218*Summary_LCIA!R$32</f>
        <v>1.0568970262431161</v>
      </c>
      <c r="AW218" s="137">
        <f>$W218*AB218+$L218*Summary_LCIA!S$32</f>
        <v>182.59520890592651</v>
      </c>
      <c r="AX218" s="137">
        <f>$W218*AC218+$L218*Summary_LCIA!T$32</f>
        <v>45.636821933238032</v>
      </c>
      <c r="AY218" s="137">
        <f>$W218*AD218+$L218*Summary_LCIA!U$32</f>
        <v>0.47436071466228463</v>
      </c>
      <c r="AZ218" s="137">
        <f>$W218*AE218+$L218*Summary_LCIA!V$32</f>
        <v>5.8954672894771789E-3</v>
      </c>
      <c r="BA218" s="137">
        <f>$W218*AF218+$L218*Summary_LCIA!W$32</f>
        <v>8.8476697586214996</v>
      </c>
      <c r="BB218" s="137">
        <f>$W218*AG218+$L218*Summary_LCIA!X$32</f>
        <v>9.9499098666724546</v>
      </c>
      <c r="BC218" s="137">
        <f>$W218*AH218+$L218*Summary_LCIA!Y$32</f>
        <v>0.41584788474006346</v>
      </c>
      <c r="BD218" s="137">
        <f>$W218*AI218+$L218*Summary_LCIA!Z$32</f>
        <v>0.18113975223525519</v>
      </c>
      <c r="BE218" s="137">
        <f>$W218*AJ218+$L218*Summary_LCIA!AA$32</f>
        <v>1.1297021276851655</v>
      </c>
      <c r="BF218" s="137">
        <f>$W218*AK218+$L218*Summary_LCIA!AB$32</f>
        <v>4.6427768480472018E-2</v>
      </c>
      <c r="BG218" s="137">
        <f>$W218*AL218+$L218*Summary_LCIA!AC$32</f>
        <v>2.3218361034948127E-5</v>
      </c>
      <c r="BH218" s="137">
        <f>$W218*AM218+$L218*Summary_LCIA!AD$32</f>
        <v>8.6386332346471972E-2</v>
      </c>
      <c r="BI218" s="137">
        <f>$W218*AN218+$L218*Summary_LCIA!AE$32</f>
        <v>0.26420544637636806</v>
      </c>
      <c r="BJ218" s="137">
        <f>$W218*AO218+$L218*Summary_LCIA!AF$32</f>
        <v>1.5174878969208275E-2</v>
      </c>
      <c r="BK218" s="137">
        <f>$W218*AP218+$L218*Summary_LCIA!AG$32</f>
        <v>4.4206662692082756E-3</v>
      </c>
      <c r="BL218" s="137">
        <f>$W218*AQ218+$L218*Summary_LCIA!AH$32</f>
        <v>0.66364715059463841</v>
      </c>
      <c r="BM218" s="137">
        <f>$W218*AR218+$L218*Summary_LCIA!AI$32</f>
        <v>0.22297267958327946</v>
      </c>
    </row>
    <row r="219" spans="1:65" x14ac:dyDescent="0.25">
      <c r="A219" s="149">
        <v>34</v>
      </c>
      <c r="B219" s="149">
        <v>6</v>
      </c>
      <c r="C219" s="61">
        <v>47.115026</v>
      </c>
      <c r="D219" s="61">
        <v>-88.545199999999994</v>
      </c>
      <c r="E219" s="61" t="s">
        <v>265</v>
      </c>
      <c r="F219" s="149">
        <v>137</v>
      </c>
      <c r="G219" s="61" t="s">
        <v>642</v>
      </c>
      <c r="H219" s="61" t="s">
        <v>643</v>
      </c>
      <c r="I219" s="61">
        <v>47.168708000000002</v>
      </c>
      <c r="J219" s="61">
        <v>-88.496306000000004</v>
      </c>
      <c r="K219" s="61">
        <v>225.30955169999999</v>
      </c>
      <c r="L219" s="61">
        <v>13.54</v>
      </c>
      <c r="M219" s="61" t="s">
        <v>617</v>
      </c>
      <c r="N219" s="149">
        <v>5</v>
      </c>
      <c r="O219" s="149">
        <v>6</v>
      </c>
      <c r="P219" s="61" t="s">
        <v>565</v>
      </c>
      <c r="Q219" s="61" t="s">
        <v>564</v>
      </c>
      <c r="R219" s="61">
        <v>41.98028</v>
      </c>
      <c r="S219" s="61">
        <v>-87.908997900000003</v>
      </c>
      <c r="T219" s="61">
        <v>646.82100000000003</v>
      </c>
      <c r="U219" s="61" t="s">
        <v>617</v>
      </c>
      <c r="V219" s="61" t="s">
        <v>569</v>
      </c>
      <c r="W219" s="61" cm="1">
        <f t="array" ref="W219">getDistance(I219,J219,R219,S219)*SA!$B$12</f>
        <v>579.41700792204915</v>
      </c>
      <c r="Y219" s="137">
        <f>Transportation_LCIA!C$61*($W219^Transportation_LCIA!C$60)+Transportation_LCIA!C$62</f>
        <v>0.30729882152489507</v>
      </c>
      <c r="Z219" s="137">
        <f>Transportation_LCIA!D$61*($W219^Transportation_LCIA!D$60)+Transportation_LCIA!D$62</f>
        <v>3.2692833329177207</v>
      </c>
      <c r="AA219" s="137">
        <f>Transportation_LCIA!E$61*($W219^Transportation_LCIA!E$60)+Transportation_LCIA!E$62</f>
        <v>1.7010215246835009E-3</v>
      </c>
      <c r="AB219" s="137">
        <f>Transportation_LCIA!F$61*($W219^Transportation_LCIA!F$60)+Transportation_LCIA!F$62</f>
        <v>0.30729882152489507</v>
      </c>
      <c r="AC219" s="137">
        <f>Transportation_LCIA!G$61*($W219^Transportation_LCIA!G$60)+Transportation_LCIA!G$62</f>
        <v>7.6195167434880529E-2</v>
      </c>
      <c r="AD219" s="137">
        <f>Transportation_LCIA!H$61*($W219^Transportation_LCIA!H$60)+Transportation_LCIA!H$62</f>
        <v>4.0006618979584763E-4</v>
      </c>
      <c r="AE219" s="137">
        <f>Transportation_LCIA!I$61*($W219^Transportation_LCIA!I$60)+Transportation_LCIA!I$62</f>
        <v>9.0587319283235716E-6</v>
      </c>
      <c r="AF219" s="137">
        <f>Transportation_LCIA!J$61*($W219^Transportation_LCIA!J$60)+Transportation_LCIA!J$62</f>
        <v>1.3471269072017985E-2</v>
      </c>
      <c r="AG219" s="137">
        <f>Transportation_LCIA!K$61*($W219^Transportation_LCIA!K$60)+Transportation_LCIA!K$62</f>
        <v>1.6639947628133055E-2</v>
      </c>
      <c r="AH219" s="137">
        <f>Transportation_LCIA!L$61*($W219^Transportation_LCIA!L$60)+Transportation_LCIA!L$62</f>
        <v>3.5357540758904505E-4</v>
      </c>
      <c r="AI219" s="137">
        <f>Transportation_LCIA!M$61*($W219^Transportation_LCIA!M$60)+Transportation_LCIA!M$62</f>
        <v>3.1166584326352707E-4</v>
      </c>
      <c r="AJ219" s="137">
        <f>Transportation_LCIA!N$61*($W219^Transportation_LCIA!N$60)+Transportation_LCIA!N$62</f>
        <v>1.4039316702187713E-3</v>
      </c>
      <c r="AK219" s="137">
        <f>Transportation_LCIA!O$61*($W219^Transportation_LCIA!O$60)+Transportation_LCIA!O$62</f>
        <v>8.0638385241804721E-5</v>
      </c>
      <c r="AL219" s="137">
        <f>Transportation_LCIA!P$61*($W219^Transportation_LCIA!P$60)+Transportation_LCIA!P$62</f>
        <v>3.8929598832181193E-8</v>
      </c>
      <c r="AM219" s="137">
        <f>Transportation_LCIA!Q$61*($W219^Transportation_LCIA!Q$60)+Transportation_LCIA!Q$62</f>
        <v>1.394865004676305E-4</v>
      </c>
      <c r="AN219" s="137">
        <f>Transportation_LCIA!R$61*($W219^Transportation_LCIA!R$60)+Transportation_LCIA!R$62</f>
        <v>4.3527760270768294E-4</v>
      </c>
      <c r="AO219" s="137">
        <f>Transportation_LCIA!S$61*($W219^Transportation_LCIA!S$60)+Transportation_LCIA!S$62</f>
        <v>6.4338673498341644E-6</v>
      </c>
      <c r="AP219" s="137">
        <f>Transportation_LCIA!T$61*($W219^Transportation_LCIA!T$60)+Transportation_LCIA!T$62</f>
        <v>6.4338673498341644E-6</v>
      </c>
      <c r="AQ219" s="137">
        <f>Transportation_LCIA!U$61*($W219^Transportation_LCIA!U$60)+Transportation_LCIA!U$62</f>
        <v>9.4198202526368834E-4</v>
      </c>
      <c r="AR219" s="137">
        <f>Transportation_LCIA!V$61*($W219^Transportation_LCIA!V$60)+Transportation_LCIA!V$62</f>
        <v>3.6305370692808487E-4</v>
      </c>
      <c r="AT219" s="137">
        <f>$W219*Y219+$L219*Summary_LCIA!H$32</f>
        <v>182.65505570592649</v>
      </c>
      <c r="AU219" s="137">
        <f>$W219*Z219+$L219*Summary_LCIA!Q$32</f>
        <v>1961.3832896714302</v>
      </c>
      <c r="AV219" s="137">
        <f>$W219*AA219+$L219*Summary_LCIA!R$32</f>
        <v>1.0568970262431161</v>
      </c>
      <c r="AW219" s="137">
        <f>$W219*AB219+$L219*Summary_LCIA!S$32</f>
        <v>182.59520890592651</v>
      </c>
      <c r="AX219" s="137">
        <f>$W219*AC219+$L219*Summary_LCIA!T$32</f>
        <v>45.636821933238032</v>
      </c>
      <c r="AY219" s="137">
        <f>$W219*AD219+$L219*Summary_LCIA!U$32</f>
        <v>0.47436071466228463</v>
      </c>
      <c r="AZ219" s="137">
        <f>$W219*AE219+$L219*Summary_LCIA!V$32</f>
        <v>5.8954672894771789E-3</v>
      </c>
      <c r="BA219" s="137">
        <f>$W219*AF219+$L219*Summary_LCIA!W$32</f>
        <v>8.8476697586214996</v>
      </c>
      <c r="BB219" s="137">
        <f>$W219*AG219+$L219*Summary_LCIA!X$32</f>
        <v>9.9499098666724546</v>
      </c>
      <c r="BC219" s="137">
        <f>$W219*AH219+$L219*Summary_LCIA!Y$32</f>
        <v>0.41584788474006346</v>
      </c>
      <c r="BD219" s="137">
        <f>$W219*AI219+$L219*Summary_LCIA!Z$32</f>
        <v>0.18113975223525519</v>
      </c>
      <c r="BE219" s="137">
        <f>$W219*AJ219+$L219*Summary_LCIA!AA$32</f>
        <v>1.1297021276851655</v>
      </c>
      <c r="BF219" s="137">
        <f>$W219*AK219+$L219*Summary_LCIA!AB$32</f>
        <v>4.6427768480472018E-2</v>
      </c>
      <c r="BG219" s="137">
        <f>$W219*AL219+$L219*Summary_LCIA!AC$32</f>
        <v>2.3218361034948127E-5</v>
      </c>
      <c r="BH219" s="137">
        <f>$W219*AM219+$L219*Summary_LCIA!AD$32</f>
        <v>8.6386332346471972E-2</v>
      </c>
      <c r="BI219" s="137">
        <f>$W219*AN219+$L219*Summary_LCIA!AE$32</f>
        <v>0.26420544637636806</v>
      </c>
      <c r="BJ219" s="137">
        <f>$W219*AO219+$L219*Summary_LCIA!AF$32</f>
        <v>1.5174878969208275E-2</v>
      </c>
      <c r="BK219" s="137">
        <f>$W219*AP219+$L219*Summary_LCIA!AG$32</f>
        <v>4.4206662692082756E-3</v>
      </c>
      <c r="BL219" s="137">
        <f>$W219*AQ219+$L219*Summary_LCIA!AH$32</f>
        <v>0.66364715059463841</v>
      </c>
      <c r="BM219" s="137">
        <f>$W219*AR219+$L219*Summary_LCIA!AI$32</f>
        <v>0.22297267958327946</v>
      </c>
    </row>
    <row r="220" spans="1:65" x14ac:dyDescent="0.25">
      <c r="A220" s="149">
        <v>185</v>
      </c>
      <c r="B220" s="149">
        <v>43</v>
      </c>
      <c r="C220" s="61">
        <v>45.376868000000002</v>
      </c>
      <c r="D220" s="61">
        <v>-71.930583999999996</v>
      </c>
      <c r="E220" s="61" t="s">
        <v>458</v>
      </c>
      <c r="F220" s="149">
        <v>124</v>
      </c>
      <c r="G220" s="61" t="s">
        <v>654</v>
      </c>
      <c r="H220" s="61" t="s">
        <v>655</v>
      </c>
      <c r="I220" s="61">
        <v>45.465685000000001</v>
      </c>
      <c r="J220" s="61">
        <v>-73.745480999999998</v>
      </c>
      <c r="K220" s="61">
        <v>143.76694309999999</v>
      </c>
      <c r="L220" s="61">
        <v>167.62799999999999</v>
      </c>
      <c r="M220" s="61" t="s">
        <v>617</v>
      </c>
      <c r="N220" s="149">
        <v>42</v>
      </c>
      <c r="O220" s="149">
        <v>43</v>
      </c>
      <c r="P220" s="61" t="s">
        <v>565</v>
      </c>
      <c r="Q220" s="61" t="s">
        <v>555</v>
      </c>
      <c r="R220" s="61">
        <v>40.6895314</v>
      </c>
      <c r="S220" s="61">
        <v>-74.174462399999996</v>
      </c>
      <c r="T220" s="61">
        <v>665.03599999999994</v>
      </c>
      <c r="U220" s="61" t="s">
        <v>617</v>
      </c>
      <c r="V220" s="61" t="s">
        <v>569</v>
      </c>
      <c r="W220" s="61" cm="1">
        <f t="array" ref="W220">getDistance(I220,J220,R220,S220)*SA!$B$12</f>
        <v>532.70082587978914</v>
      </c>
      <c r="Y220" s="137">
        <f>Transportation_LCIA!C$61*($W220^Transportation_LCIA!C$60)+Transportation_LCIA!C$62</f>
        <v>0.32157602463370416</v>
      </c>
      <c r="Z220" s="137">
        <f>Transportation_LCIA!D$61*($W220^Transportation_LCIA!D$60)+Transportation_LCIA!D$62</f>
        <v>3.4401752281760434</v>
      </c>
      <c r="AA220" s="137">
        <f>Transportation_LCIA!E$61*($W220^Transportation_LCIA!E$60)+Transportation_LCIA!E$62</f>
        <v>1.8141836341962153E-3</v>
      </c>
      <c r="AB220" s="137">
        <f>Transportation_LCIA!F$61*($W220^Transportation_LCIA!F$60)+Transportation_LCIA!F$62</f>
        <v>0.32157602463370416</v>
      </c>
      <c r="AC220" s="137">
        <f>Transportation_LCIA!G$61*($W220^Transportation_LCIA!G$60)+Transportation_LCIA!G$62</f>
        <v>8.0143040676289495E-2</v>
      </c>
      <c r="AD220" s="137">
        <f>Transportation_LCIA!H$61*($W220^Transportation_LCIA!H$60)+Transportation_LCIA!H$62</f>
        <v>4.2530075100495493E-4</v>
      </c>
      <c r="AE220" s="137">
        <f>Transportation_LCIA!I$61*($W220^Transportation_LCIA!I$60)+Transportation_LCIA!I$62</f>
        <v>9.7085338694522006E-6</v>
      </c>
      <c r="AF220" s="137">
        <f>Transportation_LCIA!J$61*($W220^Transportation_LCIA!J$60)+Transportation_LCIA!J$62</f>
        <v>1.4453429332288598E-2</v>
      </c>
      <c r="AG220" s="137">
        <f>Transportation_LCIA!K$61*($W220^Transportation_LCIA!K$60)+Transportation_LCIA!K$62</f>
        <v>1.7573386146825021E-2</v>
      </c>
      <c r="AH220" s="137">
        <f>Transportation_LCIA!L$61*($W220^Transportation_LCIA!L$60)+Transportation_LCIA!L$62</f>
        <v>3.7692466700234696E-4</v>
      </c>
      <c r="AI220" s="137">
        <f>Transportation_LCIA!M$61*($W220^Transportation_LCIA!M$60)+Transportation_LCIA!M$62</f>
        <v>3.2560324687594627E-4</v>
      </c>
      <c r="AJ220" s="137">
        <f>Transportation_LCIA!N$61*($W220^Transportation_LCIA!N$60)+Transportation_LCIA!N$62</f>
        <v>1.4886217992903391E-3</v>
      </c>
      <c r="AK220" s="137">
        <f>Transportation_LCIA!O$61*($W220^Transportation_LCIA!O$60)+Transportation_LCIA!O$62</f>
        <v>8.4836431112135085E-5</v>
      </c>
      <c r="AL220" s="137">
        <f>Transportation_LCIA!P$61*($W220^Transportation_LCIA!P$60)+Transportation_LCIA!P$62</f>
        <v>4.094417350036071E-8</v>
      </c>
      <c r="AM220" s="137">
        <f>Transportation_LCIA!Q$61*($W220^Transportation_LCIA!Q$60)+Transportation_LCIA!Q$62</f>
        <v>1.4864785211779024E-4</v>
      </c>
      <c r="AN220" s="137">
        <f>Transportation_LCIA!R$61*($W220^Transportation_LCIA!R$60)+Transportation_LCIA!R$62</f>
        <v>4.664545941177262E-4</v>
      </c>
      <c r="AO220" s="137">
        <f>Transportation_LCIA!S$61*($W220^Transportation_LCIA!S$60)+Transportation_LCIA!S$62</f>
        <v>6.8758863533443067E-6</v>
      </c>
      <c r="AP220" s="137">
        <f>Transportation_LCIA!T$61*($W220^Transportation_LCIA!T$60)+Transportation_LCIA!T$62</f>
        <v>6.8758863533443067E-6</v>
      </c>
      <c r="AQ220" s="137">
        <f>Transportation_LCIA!U$61*($W220^Transportation_LCIA!U$60)+Transportation_LCIA!U$62</f>
        <v>1.0106481886833722E-3</v>
      </c>
      <c r="AR220" s="137">
        <f>Transportation_LCIA!V$61*($W220^Transportation_LCIA!V$60)+Transportation_LCIA!V$62</f>
        <v>3.8699391574166265E-4</v>
      </c>
      <c r="AT220" s="137">
        <f>$W220*Y220+$L220*Summary_LCIA!H$32</f>
        <v>228.26380830551363</v>
      </c>
      <c r="AU220" s="137">
        <f>$W220*Z220+$L220*Summary_LCIA!Q$32</f>
        <v>2663.3570072034945</v>
      </c>
      <c r="AV220" s="137">
        <f>$W220*AA220+$L220*Summary_LCIA!R$32</f>
        <v>1.8490791170339209</v>
      </c>
      <c r="AW220" s="137">
        <f>$W220*AB220+$L220*Summary_LCIA!S$32</f>
        <v>227.52289254551363</v>
      </c>
      <c r="AX220" s="137">
        <f>$W220*AC220+$L220*Summary_LCIA!T$32</f>
        <v>61.11458115677695</v>
      </c>
      <c r="AY220" s="137">
        <f>$W220*AD220+$L220*Summary_LCIA!U$32</f>
        <v>3.2294460533076337</v>
      </c>
      <c r="AZ220" s="137">
        <f>$W220*AE220+$L220*Summary_LCIA!V$32</f>
        <v>1.317782491833909E-2</v>
      </c>
      <c r="BA220" s="137">
        <f>$W220*AF220+$L220*Summary_LCIA!W$32</f>
        <v>20.601848530105304</v>
      </c>
      <c r="BB220" s="137">
        <f>$W220*AG220+$L220*Summary_LCIA!X$32</f>
        <v>13.179923153918134</v>
      </c>
      <c r="BC220" s="137">
        <f>$W220*AH220+$L220*Summary_LCIA!Y$32</f>
        <v>2.8127675774066145</v>
      </c>
      <c r="BD220" s="137">
        <f>$W220*AI220+$L220*Summary_LCIA!Z$32</f>
        <v>0.18032337517195746</v>
      </c>
      <c r="BE220" s="137">
        <f>$W220*AJ220+$L220*Summary_LCIA!AA$32</f>
        <v>4.7081096299046203</v>
      </c>
      <c r="BF220" s="137">
        <f>$W220*AK220+$L220*Summary_LCIA!AB$32</f>
        <v>4.1534291074128205E-2</v>
      </c>
      <c r="BG220" s="137">
        <f>$W220*AL220+$L220*Summary_LCIA!AC$32</f>
        <v>3.0005322190607525E-5</v>
      </c>
      <c r="BH220" s="137">
        <f>$W220*AM220+$L220*Summary_LCIA!AD$32</f>
        <v>0.1480866467084036</v>
      </c>
      <c r="BI220" s="137">
        <f>$W220*AN220+$L220*Summary_LCIA!AE$32</f>
        <v>0.39702094716193459</v>
      </c>
      <c r="BJ220" s="137">
        <f>$W220*AO220+$L220*Summary_LCIA!AF$32</f>
        <v>0.14537885409908208</v>
      </c>
      <c r="BK220" s="137">
        <f>$W220*AP220+$L220*Summary_LCIA!AG$32</f>
        <v>1.2239476959082084E-2</v>
      </c>
      <c r="BL220" s="137">
        <f>$W220*AQ220+$L220*Summary_LCIA!AH$32</f>
        <v>1.9973401855855455</v>
      </c>
      <c r="BM220" s="137">
        <f>$W220*AR220+$L220*Summary_LCIA!AI$32</f>
        <v>0.36230584192603721</v>
      </c>
    </row>
    <row r="221" spans="1:65" x14ac:dyDescent="0.25">
      <c r="A221" s="149">
        <v>344</v>
      </c>
      <c r="B221" s="149">
        <v>43</v>
      </c>
      <c r="C221" s="61">
        <v>45.404172000000003</v>
      </c>
      <c r="D221" s="61">
        <v>-71.892910999999998</v>
      </c>
      <c r="E221" s="61" t="s">
        <v>458</v>
      </c>
      <c r="F221" s="149">
        <v>124</v>
      </c>
      <c r="G221" s="61" t="s">
        <v>654</v>
      </c>
      <c r="H221" s="61" t="s">
        <v>655</v>
      </c>
      <c r="I221" s="61">
        <v>45.465685000000001</v>
      </c>
      <c r="J221" s="61">
        <v>-73.745480999999998</v>
      </c>
      <c r="K221" s="61">
        <v>146.99097639999999</v>
      </c>
      <c r="L221" s="61">
        <v>171.571</v>
      </c>
      <c r="M221" s="61" t="s">
        <v>617</v>
      </c>
      <c r="N221" s="149">
        <v>42</v>
      </c>
      <c r="O221" s="149">
        <v>43</v>
      </c>
      <c r="P221" s="61" t="s">
        <v>565</v>
      </c>
      <c r="Q221" s="61" t="s">
        <v>555</v>
      </c>
      <c r="R221" s="61">
        <v>40.6895314</v>
      </c>
      <c r="S221" s="61">
        <v>-74.174462399999996</v>
      </c>
      <c r="T221" s="61">
        <v>665.50599999999997</v>
      </c>
      <c r="U221" s="61" t="s">
        <v>617</v>
      </c>
      <c r="V221" s="61" t="s">
        <v>569</v>
      </c>
      <c r="W221" s="61" cm="1">
        <f t="array" ref="W221">getDistance(I221,J221,R221,S221)*SA!$B$12</f>
        <v>532.70082587978914</v>
      </c>
      <c r="Y221" s="137">
        <f>Transportation_LCIA!C$61*($W221^Transportation_LCIA!C$60)+Transportation_LCIA!C$62</f>
        <v>0.32157602463370416</v>
      </c>
      <c r="Z221" s="137">
        <f>Transportation_LCIA!D$61*($W221^Transportation_LCIA!D$60)+Transportation_LCIA!D$62</f>
        <v>3.4401752281760434</v>
      </c>
      <c r="AA221" s="137">
        <f>Transportation_LCIA!E$61*($W221^Transportation_LCIA!E$60)+Transportation_LCIA!E$62</f>
        <v>1.8141836341962153E-3</v>
      </c>
      <c r="AB221" s="137">
        <f>Transportation_LCIA!F$61*($W221^Transportation_LCIA!F$60)+Transportation_LCIA!F$62</f>
        <v>0.32157602463370416</v>
      </c>
      <c r="AC221" s="137">
        <f>Transportation_LCIA!G$61*($W221^Transportation_LCIA!G$60)+Transportation_LCIA!G$62</f>
        <v>8.0143040676289495E-2</v>
      </c>
      <c r="AD221" s="137">
        <f>Transportation_LCIA!H$61*($W221^Transportation_LCIA!H$60)+Transportation_LCIA!H$62</f>
        <v>4.2530075100495493E-4</v>
      </c>
      <c r="AE221" s="137">
        <f>Transportation_LCIA!I$61*($W221^Transportation_LCIA!I$60)+Transportation_LCIA!I$62</f>
        <v>9.7085338694522006E-6</v>
      </c>
      <c r="AF221" s="137">
        <f>Transportation_LCIA!J$61*($W221^Transportation_LCIA!J$60)+Transportation_LCIA!J$62</f>
        <v>1.4453429332288598E-2</v>
      </c>
      <c r="AG221" s="137">
        <f>Transportation_LCIA!K$61*($W221^Transportation_LCIA!K$60)+Transportation_LCIA!K$62</f>
        <v>1.7573386146825021E-2</v>
      </c>
      <c r="AH221" s="137">
        <f>Transportation_LCIA!L$61*($W221^Transportation_LCIA!L$60)+Transportation_LCIA!L$62</f>
        <v>3.7692466700234696E-4</v>
      </c>
      <c r="AI221" s="137">
        <f>Transportation_LCIA!M$61*($W221^Transportation_LCIA!M$60)+Transportation_LCIA!M$62</f>
        <v>3.2560324687594627E-4</v>
      </c>
      <c r="AJ221" s="137">
        <f>Transportation_LCIA!N$61*($W221^Transportation_LCIA!N$60)+Transportation_LCIA!N$62</f>
        <v>1.4886217992903391E-3</v>
      </c>
      <c r="AK221" s="137">
        <f>Transportation_LCIA!O$61*($W221^Transportation_LCIA!O$60)+Transportation_LCIA!O$62</f>
        <v>8.4836431112135085E-5</v>
      </c>
      <c r="AL221" s="137">
        <f>Transportation_LCIA!P$61*($W221^Transportation_LCIA!P$60)+Transportation_LCIA!P$62</f>
        <v>4.094417350036071E-8</v>
      </c>
      <c r="AM221" s="137">
        <f>Transportation_LCIA!Q$61*($W221^Transportation_LCIA!Q$60)+Transportation_LCIA!Q$62</f>
        <v>1.4864785211779024E-4</v>
      </c>
      <c r="AN221" s="137">
        <f>Transportation_LCIA!R$61*($W221^Transportation_LCIA!R$60)+Transportation_LCIA!R$62</f>
        <v>4.664545941177262E-4</v>
      </c>
      <c r="AO221" s="137">
        <f>Transportation_LCIA!S$61*($W221^Transportation_LCIA!S$60)+Transportation_LCIA!S$62</f>
        <v>6.8758863533443067E-6</v>
      </c>
      <c r="AP221" s="137">
        <f>Transportation_LCIA!T$61*($W221^Transportation_LCIA!T$60)+Transportation_LCIA!T$62</f>
        <v>6.8758863533443067E-6</v>
      </c>
      <c r="AQ221" s="137">
        <f>Transportation_LCIA!U$61*($W221^Transportation_LCIA!U$60)+Transportation_LCIA!U$62</f>
        <v>1.0106481886833722E-3</v>
      </c>
      <c r="AR221" s="137">
        <f>Transportation_LCIA!V$61*($W221^Transportation_LCIA!V$60)+Transportation_LCIA!V$62</f>
        <v>3.8699391574166265E-4</v>
      </c>
      <c r="AT221" s="137">
        <f>$W221*Y221+$L221*Summary_LCIA!H$32</f>
        <v>229.60363970551364</v>
      </c>
      <c r="AU221" s="137">
        <f>$W221*Z221+$L221*Summary_LCIA!Q$32</f>
        <v>2682.8987140608133</v>
      </c>
      <c r="AV221" s="137">
        <f>$W221*AA221+$L221*Summary_LCIA!R$32</f>
        <v>1.8698413778339211</v>
      </c>
      <c r="AW221" s="137">
        <f>$W221*AB221+$L221*Summary_LCIA!S$32</f>
        <v>228.84529588551362</v>
      </c>
      <c r="AX221" s="137">
        <f>$W221*AC221+$L221*Summary_LCIA!T$32</f>
        <v>61.547916856776951</v>
      </c>
      <c r="AY221" s="137">
        <f>$W221*AD221+$L221*Summary_LCIA!U$32</f>
        <v>3.3000809553076338</v>
      </c>
      <c r="AZ221" s="137">
        <f>$W221*AE221+$L221*Summary_LCIA!V$32</f>
        <v>1.336614654133909E-2</v>
      </c>
      <c r="BA221" s="137">
        <f>$W221*AF221+$L221*Summary_LCIA!W$32</f>
        <v>20.905345183105304</v>
      </c>
      <c r="BB221" s="137">
        <f>$W221*AG221+$L221*Summary_LCIA!X$32</f>
        <v>13.269744693918135</v>
      </c>
      <c r="BC221" s="137">
        <f>$W221*AH221+$L221*Summary_LCIA!Y$32</f>
        <v>2.8742074034066145</v>
      </c>
      <c r="BD221" s="137">
        <f>$W221*AI221+$L221*Summary_LCIA!Z$32</f>
        <v>0.18048507365895744</v>
      </c>
      <c r="BE221" s="137">
        <f>$W221*AJ221+$L221*Summary_LCIA!AA$32</f>
        <v>4.8002023379046213</v>
      </c>
      <c r="BF221" s="137">
        <f>$W221*AK221+$L221*Summary_LCIA!AB$32</f>
        <v>4.1448242985128197E-2</v>
      </c>
      <c r="BG221" s="137">
        <f>$W221*AL221+$L221*Summary_LCIA!AC$32</f>
        <v>3.0198071802607525E-5</v>
      </c>
      <c r="BH221" s="137">
        <f>$W221*AM221+$L221*Summary_LCIA!AD$32</f>
        <v>0.14970737742840362</v>
      </c>
      <c r="BI221" s="137">
        <f>$W221*AN221+$L221*Summary_LCIA!AE$32</f>
        <v>0.40051495775193457</v>
      </c>
      <c r="BJ221" s="137">
        <f>$W221*AO221+$L221*Summary_LCIA!AF$32</f>
        <v>0.1487123451590821</v>
      </c>
      <c r="BK221" s="137">
        <f>$W221*AP221+$L221*Summary_LCIA!AG$32</f>
        <v>1.2441220554082085E-2</v>
      </c>
      <c r="BL221" s="137">
        <f>$W221*AQ221+$L221*Summary_LCIA!AH$32</f>
        <v>2.0316584803855453</v>
      </c>
      <c r="BM221" s="137">
        <f>$W221*AR221+$L221*Summary_LCIA!AI$32</f>
        <v>0.36597894357603722</v>
      </c>
    </row>
    <row r="222" spans="1:65" x14ac:dyDescent="0.25">
      <c r="A222" s="149">
        <v>287</v>
      </c>
      <c r="B222" s="149">
        <v>43</v>
      </c>
      <c r="C222" s="61">
        <v>45.421529999999997</v>
      </c>
      <c r="D222" s="61">
        <v>-75.697192999999999</v>
      </c>
      <c r="E222" s="61" t="s">
        <v>456</v>
      </c>
      <c r="F222" s="149">
        <v>127</v>
      </c>
      <c r="G222" s="61" t="s">
        <v>635</v>
      </c>
      <c r="H222" s="61" t="s">
        <v>636</v>
      </c>
      <c r="I222" s="61">
        <v>45.319212</v>
      </c>
      <c r="J222" s="61">
        <v>-75.669165000000007</v>
      </c>
      <c r="K222" s="61">
        <v>15.884900010000001</v>
      </c>
      <c r="L222" s="61">
        <v>14.090999999999999</v>
      </c>
      <c r="M222" s="61" t="s">
        <v>617</v>
      </c>
      <c r="N222" s="149">
        <v>42</v>
      </c>
      <c r="O222" s="149">
        <v>43</v>
      </c>
      <c r="P222" s="61" t="s">
        <v>565</v>
      </c>
      <c r="Q222" s="61" t="s">
        <v>555</v>
      </c>
      <c r="R222" s="61">
        <v>40.6895314</v>
      </c>
      <c r="S222" s="61">
        <v>-74.174462399999996</v>
      </c>
      <c r="T222" s="61">
        <v>704.39099999999996</v>
      </c>
      <c r="U222" s="61" t="s">
        <v>617</v>
      </c>
      <c r="V222" s="61" t="s">
        <v>569</v>
      </c>
      <c r="W222" s="61" cm="1">
        <f t="array" ref="W222">getDistance(I222,J222,R222,S222)*SA!$B$12</f>
        <v>529.43931884690528</v>
      </c>
      <c r="Y222" s="137">
        <f>Transportation_LCIA!C$61*($W222^Transportation_LCIA!C$60)+Transportation_LCIA!C$62</f>
        <v>0.32265907727188337</v>
      </c>
      <c r="Z222" s="137">
        <f>Transportation_LCIA!D$61*($W222^Transportation_LCIA!D$60)+Transportation_LCIA!D$62</f>
        <v>3.4531640207907941</v>
      </c>
      <c r="AA222" s="137">
        <f>Transportation_LCIA!E$61*($W222^Transportation_LCIA!E$60)+Transportation_LCIA!E$62</f>
        <v>1.8227893020850289E-3</v>
      </c>
      <c r="AB222" s="137">
        <f>Transportation_LCIA!F$61*($W222^Transportation_LCIA!F$60)+Transportation_LCIA!F$62</f>
        <v>0.32265907727188337</v>
      </c>
      <c r="AC222" s="137">
        <f>Transportation_LCIA!G$61*($W222^Transportation_LCIA!G$60)+Transportation_LCIA!G$62</f>
        <v>8.0443068469756601E-2</v>
      </c>
      <c r="AD222" s="137">
        <f>Transportation_LCIA!H$61*($W222^Transportation_LCIA!H$60)+Transportation_LCIA!H$62</f>
        <v>4.2722183275246164E-4</v>
      </c>
      <c r="AE222" s="137">
        <f>Transportation_LCIA!I$61*($W222^Transportation_LCIA!I$60)+Transportation_LCIA!I$62</f>
        <v>9.7580882669063746E-6</v>
      </c>
      <c r="AF222" s="137">
        <f>Transportation_LCIA!J$61*($W222^Transportation_LCIA!J$60)+Transportation_LCIA!J$62</f>
        <v>1.452841427349187E-2</v>
      </c>
      <c r="AG222" s="137">
        <f>Transportation_LCIA!K$61*($W222^Transportation_LCIA!K$60)+Transportation_LCIA!K$62</f>
        <v>1.7644394367690802E-2</v>
      </c>
      <c r="AH222" s="137">
        <f>Transportation_LCIA!L$61*($W222^Transportation_LCIA!L$60)+Transportation_LCIA!L$62</f>
        <v>3.7870309841583639E-4</v>
      </c>
      <c r="AI222" s="137">
        <f>Transportation_LCIA!M$61*($W222^Transportation_LCIA!M$60)+Transportation_LCIA!M$62</f>
        <v>3.2666434947107312E-4</v>
      </c>
      <c r="AJ222" s="137">
        <f>Transportation_LCIA!N$61*($W222^Transportation_LCIA!N$60)+Transportation_LCIA!N$62</f>
        <v>1.4950682872387905E-3</v>
      </c>
      <c r="AK222" s="137">
        <f>Transportation_LCIA!O$61*($W222^Transportation_LCIA!O$60)+Transportation_LCIA!O$62</f>
        <v>8.5155488326102327E-5</v>
      </c>
      <c r="AL222" s="137">
        <f>Transportation_LCIA!P$61*($W222^Transportation_LCIA!P$60)+Transportation_LCIA!P$62</f>
        <v>4.1097261881908054E-8</v>
      </c>
      <c r="AM222" s="137">
        <f>Transportation_LCIA!Q$61*($W222^Transportation_LCIA!Q$60)+Transportation_LCIA!Q$62</f>
        <v>1.4934582530155702E-4</v>
      </c>
      <c r="AN222" s="137">
        <f>Transportation_LCIA!R$61*($W222^Transportation_LCIA!R$60)+Transportation_LCIA!R$62</f>
        <v>4.6883227487666394E-4</v>
      </c>
      <c r="AO222" s="137">
        <f>Transportation_LCIA!S$61*($W222^Transportation_LCIA!S$60)+Transportation_LCIA!S$62</f>
        <v>6.909593862511241E-6</v>
      </c>
      <c r="AP222" s="137">
        <f>Transportation_LCIA!T$61*($W222^Transportation_LCIA!T$60)+Transportation_LCIA!T$62</f>
        <v>6.909593862511241E-6</v>
      </c>
      <c r="AQ222" s="137">
        <f>Transportation_LCIA!U$61*($W222^Transportation_LCIA!U$60)+Transportation_LCIA!U$62</f>
        <v>1.0158866596849867E-3</v>
      </c>
      <c r="AR222" s="137">
        <f>Transportation_LCIA!V$61*($W222^Transportation_LCIA!V$60)+Transportation_LCIA!V$62</f>
        <v>3.8881846527034328E-4</v>
      </c>
      <c r="AT222" s="137">
        <f>$W222*Y222+$L222*Summary_LCIA!H$32</f>
        <v>175.61652389059691</v>
      </c>
      <c r="AU222" s="137">
        <f>$W222*Z222+$L222*Summary_LCIA!Q$32</f>
        <v>1898.0765136855216</v>
      </c>
      <c r="AV222" s="137">
        <f>$W222*AA222+$L222*Summary_LCIA!R$32</f>
        <v>1.0392538960973234</v>
      </c>
      <c r="AW222" s="137">
        <f>$W222*AB222+$L222*Summary_LCIA!S$32</f>
        <v>175.55424167059692</v>
      </c>
      <c r="AX222" s="137">
        <f>$W222*AC222+$L222*Summary_LCIA!T$32</f>
        <v>44.138324276582892</v>
      </c>
      <c r="AY222" s="137">
        <f>$W222*AD222+$L222*Summary_LCIA!U$32</f>
        <v>0.47861421012898975</v>
      </c>
      <c r="AZ222" s="137">
        <f>$W222*AE222+$L222*Summary_LCIA!V$32</f>
        <v>5.8393158562788901E-3</v>
      </c>
      <c r="BA222" s="137">
        <f>$W222*AF222+$L222*Summary_LCIA!W$32</f>
        <v>8.7765121178831915</v>
      </c>
      <c r="BB222" s="137">
        <f>$W222*AG222+$L222*Summary_LCIA!X$32</f>
        <v>9.6626291154963901</v>
      </c>
      <c r="BC222" s="137">
        <f>$W222*AH222+$L222*Summary_LCIA!Y$32</f>
        <v>0.420066272470493</v>
      </c>
      <c r="BD222" s="137">
        <f>$W222*AI222+$L222*Summary_LCIA!Z$32</f>
        <v>0.17352680849453236</v>
      </c>
      <c r="BE222" s="137">
        <f>$W222*AJ222+$L222*Summary_LCIA!AA$32</f>
        <v>1.1206573316253146</v>
      </c>
      <c r="BF222" s="137">
        <f>$W222*AK222+$L222*Summary_LCIA!AB$32</f>
        <v>4.4777155842447208E-2</v>
      </c>
      <c r="BG222" s="137">
        <f>$W222*AL222+$L222*Summary_LCIA!AC$32</f>
        <v>2.2447330781230284E-5</v>
      </c>
      <c r="BH222" s="137">
        <f>$W222*AM222+$L222*Summary_LCIA!AD$32</f>
        <v>8.4861516660285255E-2</v>
      </c>
      <c r="BI222" s="137">
        <f>$W222*AN222+$L222*Summary_LCIA!AE$32</f>
        <v>0.26070469809414604</v>
      </c>
      <c r="BJ222" s="137">
        <f>$W222*AO222+$L222*Summary_LCIA!AF$32</f>
        <v>1.5571023888076709E-2</v>
      </c>
      <c r="BK222" s="137">
        <f>$W222*AP222+$L222*Summary_LCIA!AG$32</f>
        <v>4.3791766830767092E-3</v>
      </c>
      <c r="BL222" s="137">
        <f>$W222*AQ222+$L222*Summary_LCIA!AH$32</f>
        <v>0.6604927687292772</v>
      </c>
      <c r="BM222" s="137">
        <f>$W222*AR222+$L222*Summary_LCIA!AI$32</f>
        <v>0.21898225445782965</v>
      </c>
    </row>
    <row r="223" spans="1:65" x14ac:dyDescent="0.25">
      <c r="A223" s="149">
        <v>288</v>
      </c>
      <c r="B223" s="149">
        <v>43</v>
      </c>
      <c r="C223" s="61">
        <v>45.421529999999997</v>
      </c>
      <c r="D223" s="61">
        <v>-75.697192999999999</v>
      </c>
      <c r="E223" s="61" t="s">
        <v>456</v>
      </c>
      <c r="F223" s="149">
        <v>127</v>
      </c>
      <c r="G223" s="61" t="s">
        <v>635</v>
      </c>
      <c r="H223" s="61" t="s">
        <v>636</v>
      </c>
      <c r="I223" s="61">
        <v>45.319212</v>
      </c>
      <c r="J223" s="61">
        <v>-75.669165000000007</v>
      </c>
      <c r="K223" s="61">
        <v>15.884900010000001</v>
      </c>
      <c r="L223" s="61">
        <v>14.090999999999999</v>
      </c>
      <c r="M223" s="61" t="s">
        <v>617</v>
      </c>
      <c r="N223" s="149">
        <v>42</v>
      </c>
      <c r="O223" s="149">
        <v>43</v>
      </c>
      <c r="P223" s="61" t="s">
        <v>565</v>
      </c>
      <c r="Q223" s="61" t="s">
        <v>555</v>
      </c>
      <c r="R223" s="61">
        <v>40.6895314</v>
      </c>
      <c r="S223" s="61">
        <v>-74.174462399999996</v>
      </c>
      <c r="T223" s="61">
        <v>704.39099999999996</v>
      </c>
      <c r="U223" s="61" t="s">
        <v>617</v>
      </c>
      <c r="V223" s="61" t="s">
        <v>569</v>
      </c>
      <c r="W223" s="61" cm="1">
        <f t="array" ref="W223">getDistance(I223,J223,R223,S223)*SA!$B$12</f>
        <v>529.43931884690528</v>
      </c>
      <c r="Y223" s="137">
        <f>Transportation_LCIA!C$61*($W223^Transportation_LCIA!C$60)+Transportation_LCIA!C$62</f>
        <v>0.32265907727188337</v>
      </c>
      <c r="Z223" s="137">
        <f>Transportation_LCIA!D$61*($W223^Transportation_LCIA!D$60)+Transportation_LCIA!D$62</f>
        <v>3.4531640207907941</v>
      </c>
      <c r="AA223" s="137">
        <f>Transportation_LCIA!E$61*($W223^Transportation_LCIA!E$60)+Transportation_LCIA!E$62</f>
        <v>1.8227893020850289E-3</v>
      </c>
      <c r="AB223" s="137">
        <f>Transportation_LCIA!F$61*($W223^Transportation_LCIA!F$60)+Transportation_LCIA!F$62</f>
        <v>0.32265907727188337</v>
      </c>
      <c r="AC223" s="137">
        <f>Transportation_LCIA!G$61*($W223^Transportation_LCIA!G$60)+Transportation_LCIA!G$62</f>
        <v>8.0443068469756601E-2</v>
      </c>
      <c r="AD223" s="137">
        <f>Transportation_LCIA!H$61*($W223^Transportation_LCIA!H$60)+Transportation_LCIA!H$62</f>
        <v>4.2722183275246164E-4</v>
      </c>
      <c r="AE223" s="137">
        <f>Transportation_LCIA!I$61*($W223^Transportation_LCIA!I$60)+Transportation_LCIA!I$62</f>
        <v>9.7580882669063746E-6</v>
      </c>
      <c r="AF223" s="137">
        <f>Transportation_LCIA!J$61*($W223^Transportation_LCIA!J$60)+Transportation_LCIA!J$62</f>
        <v>1.452841427349187E-2</v>
      </c>
      <c r="AG223" s="137">
        <f>Transportation_LCIA!K$61*($W223^Transportation_LCIA!K$60)+Transportation_LCIA!K$62</f>
        <v>1.7644394367690802E-2</v>
      </c>
      <c r="AH223" s="137">
        <f>Transportation_LCIA!L$61*($W223^Transportation_LCIA!L$60)+Transportation_LCIA!L$62</f>
        <v>3.7870309841583639E-4</v>
      </c>
      <c r="AI223" s="137">
        <f>Transportation_LCIA!M$61*($W223^Transportation_LCIA!M$60)+Transportation_LCIA!M$62</f>
        <v>3.2666434947107312E-4</v>
      </c>
      <c r="AJ223" s="137">
        <f>Transportation_LCIA!N$61*($W223^Transportation_LCIA!N$60)+Transportation_LCIA!N$62</f>
        <v>1.4950682872387905E-3</v>
      </c>
      <c r="AK223" s="137">
        <f>Transportation_LCIA!O$61*($W223^Transportation_LCIA!O$60)+Transportation_LCIA!O$62</f>
        <v>8.5155488326102327E-5</v>
      </c>
      <c r="AL223" s="137">
        <f>Transportation_LCIA!P$61*($W223^Transportation_LCIA!P$60)+Transportation_LCIA!P$62</f>
        <v>4.1097261881908054E-8</v>
      </c>
      <c r="AM223" s="137">
        <f>Transportation_LCIA!Q$61*($W223^Transportation_LCIA!Q$60)+Transportation_LCIA!Q$62</f>
        <v>1.4934582530155702E-4</v>
      </c>
      <c r="AN223" s="137">
        <f>Transportation_LCIA!R$61*($W223^Transportation_LCIA!R$60)+Transportation_LCIA!R$62</f>
        <v>4.6883227487666394E-4</v>
      </c>
      <c r="AO223" s="137">
        <f>Transportation_LCIA!S$61*($W223^Transportation_LCIA!S$60)+Transportation_LCIA!S$62</f>
        <v>6.909593862511241E-6</v>
      </c>
      <c r="AP223" s="137">
        <f>Transportation_LCIA!T$61*($W223^Transportation_LCIA!T$60)+Transportation_LCIA!T$62</f>
        <v>6.909593862511241E-6</v>
      </c>
      <c r="AQ223" s="137">
        <f>Transportation_LCIA!U$61*($W223^Transportation_LCIA!U$60)+Transportation_LCIA!U$62</f>
        <v>1.0158866596849867E-3</v>
      </c>
      <c r="AR223" s="137">
        <f>Transportation_LCIA!V$61*($W223^Transportation_LCIA!V$60)+Transportation_LCIA!V$62</f>
        <v>3.8881846527034328E-4</v>
      </c>
      <c r="AT223" s="137">
        <f>$W223*Y223+$L223*Summary_LCIA!H$32</f>
        <v>175.61652389059691</v>
      </c>
      <c r="AU223" s="137">
        <f>$W223*Z223+$L223*Summary_LCIA!Q$32</f>
        <v>1898.0765136855216</v>
      </c>
      <c r="AV223" s="137">
        <f>$W223*AA223+$L223*Summary_LCIA!R$32</f>
        <v>1.0392538960973234</v>
      </c>
      <c r="AW223" s="137">
        <f>$W223*AB223+$L223*Summary_LCIA!S$32</f>
        <v>175.55424167059692</v>
      </c>
      <c r="AX223" s="137">
        <f>$W223*AC223+$L223*Summary_LCIA!T$32</f>
        <v>44.138324276582892</v>
      </c>
      <c r="AY223" s="137">
        <f>$W223*AD223+$L223*Summary_LCIA!U$32</f>
        <v>0.47861421012898975</v>
      </c>
      <c r="AZ223" s="137">
        <f>$W223*AE223+$L223*Summary_LCIA!V$32</f>
        <v>5.8393158562788901E-3</v>
      </c>
      <c r="BA223" s="137">
        <f>$W223*AF223+$L223*Summary_LCIA!W$32</f>
        <v>8.7765121178831915</v>
      </c>
      <c r="BB223" s="137">
        <f>$W223*AG223+$L223*Summary_LCIA!X$32</f>
        <v>9.6626291154963901</v>
      </c>
      <c r="BC223" s="137">
        <f>$W223*AH223+$L223*Summary_LCIA!Y$32</f>
        <v>0.420066272470493</v>
      </c>
      <c r="BD223" s="137">
        <f>$W223*AI223+$L223*Summary_LCIA!Z$32</f>
        <v>0.17352680849453236</v>
      </c>
      <c r="BE223" s="137">
        <f>$W223*AJ223+$L223*Summary_LCIA!AA$32</f>
        <v>1.1206573316253146</v>
      </c>
      <c r="BF223" s="137">
        <f>$W223*AK223+$L223*Summary_LCIA!AB$32</f>
        <v>4.4777155842447208E-2</v>
      </c>
      <c r="BG223" s="137">
        <f>$W223*AL223+$L223*Summary_LCIA!AC$32</f>
        <v>2.2447330781230284E-5</v>
      </c>
      <c r="BH223" s="137">
        <f>$W223*AM223+$L223*Summary_LCIA!AD$32</f>
        <v>8.4861516660285255E-2</v>
      </c>
      <c r="BI223" s="137">
        <f>$W223*AN223+$L223*Summary_LCIA!AE$32</f>
        <v>0.26070469809414604</v>
      </c>
      <c r="BJ223" s="137">
        <f>$W223*AO223+$L223*Summary_LCIA!AF$32</f>
        <v>1.5571023888076709E-2</v>
      </c>
      <c r="BK223" s="137">
        <f>$W223*AP223+$L223*Summary_LCIA!AG$32</f>
        <v>4.3791766830767092E-3</v>
      </c>
      <c r="BL223" s="137">
        <f>$W223*AQ223+$L223*Summary_LCIA!AH$32</f>
        <v>0.6604927687292772</v>
      </c>
      <c r="BM223" s="137">
        <f>$W223*AR223+$L223*Summary_LCIA!AI$32</f>
        <v>0.21898225445782965</v>
      </c>
    </row>
    <row r="224" spans="1:65" x14ac:dyDescent="0.25">
      <c r="A224" s="149">
        <v>20</v>
      </c>
      <c r="B224" s="149">
        <v>43</v>
      </c>
      <c r="C224" s="61">
        <v>45.421379000000002</v>
      </c>
      <c r="D224" s="61">
        <v>-75.696757000000005</v>
      </c>
      <c r="E224" s="61" t="s">
        <v>456</v>
      </c>
      <c r="F224" s="149">
        <v>127</v>
      </c>
      <c r="G224" s="61" t="s">
        <v>635</v>
      </c>
      <c r="H224" s="61" t="s">
        <v>636</v>
      </c>
      <c r="I224" s="61">
        <v>45.319212</v>
      </c>
      <c r="J224" s="61">
        <v>-75.669165000000007</v>
      </c>
      <c r="K224" s="61">
        <v>15.86100968</v>
      </c>
      <c r="L224" s="61">
        <v>14.111000000000001</v>
      </c>
      <c r="M224" s="61" t="s">
        <v>617</v>
      </c>
      <c r="N224" s="149">
        <v>42</v>
      </c>
      <c r="O224" s="149">
        <v>43</v>
      </c>
      <c r="P224" s="61" t="s">
        <v>565</v>
      </c>
      <c r="Q224" s="61" t="s">
        <v>555</v>
      </c>
      <c r="R224" s="61">
        <v>40.6895314</v>
      </c>
      <c r="S224" s="61">
        <v>-74.174462399999996</v>
      </c>
      <c r="T224" s="61">
        <v>704.41099999999994</v>
      </c>
      <c r="U224" s="61" t="s">
        <v>617</v>
      </c>
      <c r="V224" s="61" t="s">
        <v>569</v>
      </c>
      <c r="W224" s="61" cm="1">
        <f t="array" ref="W224">getDistance(I224,J224,R224,S224)*SA!$B$12</f>
        <v>529.43931884690528</v>
      </c>
      <c r="Y224" s="137">
        <f>Transportation_LCIA!C$61*($W224^Transportation_LCIA!C$60)+Transportation_LCIA!C$62</f>
        <v>0.32265907727188337</v>
      </c>
      <c r="Z224" s="137">
        <f>Transportation_LCIA!D$61*($W224^Transportation_LCIA!D$60)+Transportation_LCIA!D$62</f>
        <v>3.4531640207907941</v>
      </c>
      <c r="AA224" s="137">
        <f>Transportation_LCIA!E$61*($W224^Transportation_LCIA!E$60)+Transportation_LCIA!E$62</f>
        <v>1.8227893020850289E-3</v>
      </c>
      <c r="AB224" s="137">
        <f>Transportation_LCIA!F$61*($W224^Transportation_LCIA!F$60)+Transportation_LCIA!F$62</f>
        <v>0.32265907727188337</v>
      </c>
      <c r="AC224" s="137">
        <f>Transportation_LCIA!G$61*($W224^Transportation_LCIA!G$60)+Transportation_LCIA!G$62</f>
        <v>8.0443068469756601E-2</v>
      </c>
      <c r="AD224" s="137">
        <f>Transportation_LCIA!H$61*($W224^Transportation_LCIA!H$60)+Transportation_LCIA!H$62</f>
        <v>4.2722183275246164E-4</v>
      </c>
      <c r="AE224" s="137">
        <f>Transportation_LCIA!I$61*($W224^Transportation_LCIA!I$60)+Transportation_LCIA!I$62</f>
        <v>9.7580882669063746E-6</v>
      </c>
      <c r="AF224" s="137">
        <f>Transportation_LCIA!J$61*($W224^Transportation_LCIA!J$60)+Transportation_LCIA!J$62</f>
        <v>1.452841427349187E-2</v>
      </c>
      <c r="AG224" s="137">
        <f>Transportation_LCIA!K$61*($W224^Transportation_LCIA!K$60)+Transportation_LCIA!K$62</f>
        <v>1.7644394367690802E-2</v>
      </c>
      <c r="AH224" s="137">
        <f>Transportation_LCIA!L$61*($W224^Transportation_LCIA!L$60)+Transportation_LCIA!L$62</f>
        <v>3.7870309841583639E-4</v>
      </c>
      <c r="AI224" s="137">
        <f>Transportation_LCIA!M$61*($W224^Transportation_LCIA!M$60)+Transportation_LCIA!M$62</f>
        <v>3.2666434947107312E-4</v>
      </c>
      <c r="AJ224" s="137">
        <f>Transportation_LCIA!N$61*($W224^Transportation_LCIA!N$60)+Transportation_LCIA!N$62</f>
        <v>1.4950682872387905E-3</v>
      </c>
      <c r="AK224" s="137">
        <f>Transportation_LCIA!O$61*($W224^Transportation_LCIA!O$60)+Transportation_LCIA!O$62</f>
        <v>8.5155488326102327E-5</v>
      </c>
      <c r="AL224" s="137">
        <f>Transportation_LCIA!P$61*($W224^Transportation_LCIA!P$60)+Transportation_LCIA!P$62</f>
        <v>4.1097261881908054E-8</v>
      </c>
      <c r="AM224" s="137">
        <f>Transportation_LCIA!Q$61*($W224^Transportation_LCIA!Q$60)+Transportation_LCIA!Q$62</f>
        <v>1.4934582530155702E-4</v>
      </c>
      <c r="AN224" s="137">
        <f>Transportation_LCIA!R$61*($W224^Transportation_LCIA!R$60)+Transportation_LCIA!R$62</f>
        <v>4.6883227487666394E-4</v>
      </c>
      <c r="AO224" s="137">
        <f>Transportation_LCIA!S$61*($W224^Transportation_LCIA!S$60)+Transportation_LCIA!S$62</f>
        <v>6.909593862511241E-6</v>
      </c>
      <c r="AP224" s="137">
        <f>Transportation_LCIA!T$61*($W224^Transportation_LCIA!T$60)+Transportation_LCIA!T$62</f>
        <v>6.909593862511241E-6</v>
      </c>
      <c r="AQ224" s="137">
        <f>Transportation_LCIA!U$61*($W224^Transportation_LCIA!U$60)+Transportation_LCIA!U$62</f>
        <v>1.0158866596849867E-3</v>
      </c>
      <c r="AR224" s="137">
        <f>Transportation_LCIA!V$61*($W224^Transportation_LCIA!V$60)+Transportation_LCIA!V$62</f>
        <v>3.8881846527034328E-4</v>
      </c>
      <c r="AT224" s="137">
        <f>$W224*Y224+$L224*Summary_LCIA!H$32</f>
        <v>175.62331989059692</v>
      </c>
      <c r="AU224" s="137">
        <f>$W224*Z224+$L224*Summary_LCIA!Q$32</f>
        <v>1898.1756346941818</v>
      </c>
      <c r="AV224" s="137">
        <f>$W224*AA224+$L224*Summary_LCIA!R$32</f>
        <v>1.0393592080973235</v>
      </c>
      <c r="AW224" s="137">
        <f>$W224*AB224+$L224*Summary_LCIA!S$32</f>
        <v>175.56094927059692</v>
      </c>
      <c r="AX224" s="137">
        <f>$W224*AC224+$L224*Summary_LCIA!T$32</f>
        <v>44.140522276582892</v>
      </c>
      <c r="AY224" s="137">
        <f>$W224*AD224+$L224*Summary_LCIA!U$32</f>
        <v>0.47897249012898979</v>
      </c>
      <c r="AZ224" s="137">
        <f>$W224*AE224+$L224*Summary_LCIA!V$32</f>
        <v>5.8402710762788896E-3</v>
      </c>
      <c r="BA224" s="137">
        <f>$W224*AF224+$L224*Summary_LCIA!W$32</f>
        <v>8.7780515378831918</v>
      </c>
      <c r="BB224" s="137">
        <f>$W224*AG224+$L224*Summary_LCIA!X$32</f>
        <v>9.6630847154963906</v>
      </c>
      <c r="BC224" s="137">
        <f>$W224*AH224+$L224*Summary_LCIA!Y$32</f>
        <v>0.42037791247049294</v>
      </c>
      <c r="BD224" s="137">
        <f>$W224*AI224+$L224*Summary_LCIA!Z$32</f>
        <v>0.17352762867453236</v>
      </c>
      <c r="BE224" s="137">
        <f>$W224*AJ224+$L224*Summary_LCIA!AA$32</f>
        <v>1.1211244516253145</v>
      </c>
      <c r="BF224" s="137">
        <f>$W224*AK224+$L224*Summary_LCIA!AB$32</f>
        <v>4.4776719382447205E-2</v>
      </c>
      <c r="BG224" s="137">
        <f>$W224*AL224+$L224*Summary_LCIA!AC$32</f>
        <v>2.2448308461230285E-5</v>
      </c>
      <c r="BH224" s="137">
        <f>$W224*AM224+$L224*Summary_LCIA!AD$32</f>
        <v>8.4869737460285255E-2</v>
      </c>
      <c r="BI224" s="137">
        <f>$W224*AN224+$L224*Summary_LCIA!AE$32</f>
        <v>0.26072242069414603</v>
      </c>
      <c r="BJ224" s="137">
        <f>$W224*AO224+$L224*Summary_LCIA!AF$32</f>
        <v>1.5587932288076711E-2</v>
      </c>
      <c r="BK224" s="137">
        <f>$W224*AP224+$L224*Summary_LCIA!AG$32</f>
        <v>4.380199983076709E-3</v>
      </c>
      <c r="BL224" s="137">
        <f>$W224*AQ224+$L224*Summary_LCIA!AH$32</f>
        <v>0.66066684072927728</v>
      </c>
      <c r="BM224" s="137">
        <f>$W224*AR224+$L224*Summary_LCIA!AI$32</f>
        <v>0.21900088545782964</v>
      </c>
    </row>
    <row r="225" spans="1:65" x14ac:dyDescent="0.25">
      <c r="A225" s="149">
        <v>321</v>
      </c>
      <c r="B225" s="149">
        <v>15</v>
      </c>
      <c r="C225" s="61">
        <v>48.849919999999997</v>
      </c>
      <c r="D225" s="61">
        <v>2.637041</v>
      </c>
      <c r="E225" s="61" t="s">
        <v>468</v>
      </c>
      <c r="F225" s="149">
        <v>9</v>
      </c>
      <c r="G225" s="61" t="s">
        <v>570</v>
      </c>
      <c r="H225" s="61" t="s">
        <v>722</v>
      </c>
      <c r="I225" s="61">
        <v>49.009673999999997</v>
      </c>
      <c r="J225" s="61">
        <v>2.5479660000000002</v>
      </c>
      <c r="K225" s="61">
        <v>19.350996810000002</v>
      </c>
      <c r="L225" s="61">
        <v>41.466999999999999</v>
      </c>
      <c r="M225" s="61" t="s">
        <v>589</v>
      </c>
      <c r="N225" s="149">
        <v>14</v>
      </c>
      <c r="O225" s="149">
        <v>15</v>
      </c>
      <c r="P225" s="61" t="s">
        <v>567</v>
      </c>
      <c r="Q225" s="61" t="s">
        <v>566</v>
      </c>
      <c r="R225" s="61">
        <v>50.037932599999998</v>
      </c>
      <c r="S225" s="61">
        <v>8.5621518000000005</v>
      </c>
      <c r="T225" s="61">
        <v>708.65599999999995</v>
      </c>
      <c r="U225" s="61" t="s">
        <v>589</v>
      </c>
      <c r="V225" s="61" t="s">
        <v>569</v>
      </c>
      <c r="W225" s="61" cm="1">
        <f t="array" ref="W225">getDistance(I225,J225,R225,S225)*SA!$B$12</f>
        <v>450.10397451184883</v>
      </c>
      <c r="Y225" s="137">
        <f>Transportation_LCIA!C$61*($W225^Transportation_LCIA!C$60)+Transportation_LCIA!C$62</f>
        <v>0.35340802383957459</v>
      </c>
      <c r="Z225" s="137">
        <f>Transportation_LCIA!D$61*($W225^Transportation_LCIA!D$60)+Transportation_LCIA!D$62</f>
        <v>3.8233102927251448</v>
      </c>
      <c r="AA225" s="137">
        <f>Transportation_LCIA!E$61*($W225^Transportation_LCIA!E$60)+Transportation_LCIA!E$62</f>
        <v>2.0682861241773458E-3</v>
      </c>
      <c r="AB225" s="137">
        <f>Transportation_LCIA!F$61*($W225^Transportation_LCIA!F$60)+Transportation_LCIA!F$62</f>
        <v>0.35340802383957459</v>
      </c>
      <c r="AC225" s="137">
        <f>Transportation_LCIA!G$61*($W225^Transportation_LCIA!G$60)+Transportation_LCIA!G$62</f>
        <v>8.8991202582924381E-2</v>
      </c>
      <c r="AD225" s="137">
        <f>Transportation_LCIA!H$61*($W225^Transportation_LCIA!H$60)+Transportation_LCIA!H$62</f>
        <v>4.8213920111113174E-4</v>
      </c>
      <c r="AE225" s="137">
        <f>Transportation_LCIA!I$61*($W225^Transportation_LCIA!I$60)+Transportation_LCIA!I$62</f>
        <v>1.1179437957480255E-5</v>
      </c>
      <c r="AF225" s="137">
        <f>Transportation_LCIA!J$61*($W225^Transportation_LCIA!J$60)+Transportation_LCIA!J$62</f>
        <v>1.6683894555981089E-2</v>
      </c>
      <c r="AG225" s="137">
        <f>Transportation_LCIA!K$61*($W225^Transportation_LCIA!K$60)+Transportation_LCIA!K$62</f>
        <v>1.9671327663537286E-2</v>
      </c>
      <c r="AH225" s="137">
        <f>Transportation_LCIA!L$61*($W225^Transportation_LCIA!L$60)+Transportation_LCIA!L$62</f>
        <v>4.2959106897467309E-4</v>
      </c>
      <c r="AI225" s="137">
        <f>Transportation_LCIA!M$61*($W225^Transportation_LCIA!M$60)+Transportation_LCIA!M$62</f>
        <v>3.5700119597236054E-4</v>
      </c>
      <c r="AJ225" s="137">
        <f>Transportation_LCIA!N$61*($W225^Transportation_LCIA!N$60)+Transportation_LCIA!N$62</f>
        <v>1.6793030112815474E-3</v>
      </c>
      <c r="AK225" s="137">
        <f>Transportation_LCIA!O$61*($W225^Transportation_LCIA!O$60)+Transportation_LCIA!O$62</f>
        <v>9.424672688289836E-5</v>
      </c>
      <c r="AL225" s="137">
        <f>Transportation_LCIA!P$61*($W225^Transportation_LCIA!P$60)+Transportation_LCIA!P$62</f>
        <v>4.5458159392694596E-8</v>
      </c>
      <c r="AM225" s="137">
        <f>Transportation_LCIA!Q$61*($W225^Transportation_LCIA!Q$60)+Transportation_LCIA!Q$62</f>
        <v>1.693278636274998E-4</v>
      </c>
      <c r="AN225" s="137">
        <f>Transportation_LCIA!R$61*($W225^Transportation_LCIA!R$60)+Transportation_LCIA!R$62</f>
        <v>5.3703589944790683E-4</v>
      </c>
      <c r="AO225" s="137">
        <f>Transportation_LCIA!S$61*($W225^Transportation_LCIA!S$60)+Transportation_LCIA!S$62</f>
        <v>7.8763465849423122E-6</v>
      </c>
      <c r="AP225" s="137">
        <f>Transportation_LCIA!T$61*($W225^Transportation_LCIA!T$60)+Transportation_LCIA!T$62</f>
        <v>7.8763465849423122E-6</v>
      </c>
      <c r="AQ225" s="137">
        <f>Transportation_LCIA!U$61*($W225^Transportation_LCIA!U$60)+Transportation_LCIA!U$62</f>
        <v>1.1662474419532874E-3</v>
      </c>
      <c r="AR225" s="137">
        <f>Transportation_LCIA!V$61*($W225^Transportation_LCIA!V$60)+Transportation_LCIA!V$62</f>
        <v>4.4108749499364595E-4</v>
      </c>
      <c r="AT225" s="137">
        <f>$W225*Y225+$L225*Summary_LCIA!H$34</f>
        <v>162.15807190857075</v>
      </c>
      <c r="AU225" s="137">
        <f ca="1">$W225*Z225+$L225*Summary_LCIA!Q$34</f>
        <v>1772.102603648058</v>
      </c>
      <c r="AV225" s="137">
        <f ca="1">$W225*AA225+$L225*Summary_LCIA!R$34</f>
        <v>1.0369583371199307</v>
      </c>
      <c r="AW225" s="137">
        <f ca="1">$W225*AB225+$L225*Summary_LCIA!S$34</f>
        <v>162.11560970057076</v>
      </c>
      <c r="AX225" s="137">
        <f ca="1">$W225*AC225+$L225*Summary_LCIA!T$34</f>
        <v>40.915443960163373</v>
      </c>
      <c r="AY225" s="137">
        <f ca="1">$W225*AD225+$L225*Summary_LCIA!U$34</f>
        <v>0.29329546388808803</v>
      </c>
      <c r="AZ225" s="137">
        <f ca="1">$W225*AE225+$L225*Summary_LCIA!V$34</f>
        <v>8.3945928884704875E-3</v>
      </c>
      <c r="BA225" s="137">
        <f ca="1">$W225*AF225+$L225*Summary_LCIA!W$34</f>
        <v>9.6056026329836861</v>
      </c>
      <c r="BB225" s="137">
        <f ca="1">$W225*AG225+$L225*Summary_LCIA!X$34</f>
        <v>9.2946881732830136</v>
      </c>
      <c r="BC225" s="137">
        <f ca="1">$W225*AH225+$L225*Summary_LCIA!Y$34</f>
        <v>0.26441849876029411</v>
      </c>
      <c r="BD225" s="137">
        <f ca="1">$W225*AI225+$L225*Summary_LCIA!Z$34</f>
        <v>0.16186967404764291</v>
      </c>
      <c r="BE225" s="137">
        <f ca="1">$W225*AJ225+$L225*Summary_LCIA!AA$34</f>
        <v>0.84139079398754058</v>
      </c>
      <c r="BF225" s="137">
        <f ca="1">$W225*AK225+$L225*Summary_LCIA!AB$34</f>
        <v>4.2133090988425263E-2</v>
      </c>
      <c r="BG225" s="137">
        <f ca="1">$W225*AL225+$L225*Summary_LCIA!AC$34</f>
        <v>2.0613583857344969E-5</v>
      </c>
      <c r="BH225" s="137">
        <f ca="1">$W225*AM225+$L225*Summary_LCIA!AD$34</f>
        <v>8.0825445474337981E-2</v>
      </c>
      <c r="BI225" s="137">
        <f ca="1">$W225*AN225+$L225*Summary_LCIA!AE$34</f>
        <v>0.25415960477704846</v>
      </c>
      <c r="BJ225" s="137">
        <f ca="1">$W225*AO225+$L225*Summary_LCIA!AF$34</f>
        <v>1.3408515522515362E-2</v>
      </c>
      <c r="BK225" s="137">
        <f ca="1">$W225*AP225+$L225*Summary_LCIA!AG$34</f>
        <v>3.6587156952153622E-3</v>
      </c>
      <c r="BL225" s="137">
        <f ca="1">$W225*AQ225+$L225*Summary_LCIA!AH$34</f>
        <v>0.61940687498745128</v>
      </c>
      <c r="BM225" s="137">
        <f ca="1">$W225*AR225+$L225*Summary_LCIA!AI$34</f>
        <v>0.21017709485411526</v>
      </c>
    </row>
    <row r="226" spans="1:65" x14ac:dyDescent="0.25">
      <c r="A226" s="149">
        <v>44</v>
      </c>
      <c r="B226" s="149">
        <v>43</v>
      </c>
      <c r="C226" s="61">
        <v>44.895567</v>
      </c>
      <c r="D226" s="61">
        <v>-68.673552999999998</v>
      </c>
      <c r="E226" s="61" t="s">
        <v>265</v>
      </c>
      <c r="F226" s="149">
        <v>133</v>
      </c>
      <c r="G226" s="61" t="s">
        <v>649</v>
      </c>
      <c r="H226" s="61" t="s">
        <v>650</v>
      </c>
      <c r="I226" s="61">
        <v>46.790733000000003</v>
      </c>
      <c r="J226" s="61">
        <v>-71.388600999999994</v>
      </c>
      <c r="K226" s="61">
        <v>330.02700069999997</v>
      </c>
      <c r="L226" s="61">
        <v>380.17899999999997</v>
      </c>
      <c r="M226" s="61" t="s">
        <v>617</v>
      </c>
      <c r="N226" s="149">
        <v>42</v>
      </c>
      <c r="O226" s="149">
        <v>43</v>
      </c>
      <c r="P226" s="61" t="s">
        <v>565</v>
      </c>
      <c r="Q226" s="61" t="s">
        <v>555</v>
      </c>
      <c r="R226" s="61">
        <v>40.6895314</v>
      </c>
      <c r="S226" s="61">
        <v>-74.174462399999996</v>
      </c>
      <c r="T226" s="61">
        <v>745.89700000000005</v>
      </c>
      <c r="U226" s="61" t="s">
        <v>617</v>
      </c>
      <c r="V226" s="61" t="s">
        <v>569</v>
      </c>
      <c r="W226" s="61" cm="1">
        <f t="array" ref="W226">getDistance(I226,J226,R226,S226)*SA!$B$12</f>
        <v>715.07166113775827</v>
      </c>
      <c r="Y226" s="137">
        <f>Transportation_LCIA!C$61*($W226^Transportation_LCIA!C$60)+Transportation_LCIA!C$62</f>
        <v>0.27568694248660131</v>
      </c>
      <c r="Z226" s="137">
        <f>Transportation_LCIA!D$61*($W226^Transportation_LCIA!D$60)+Transportation_LCIA!D$62</f>
        <v>2.8932700129699978</v>
      </c>
      <c r="AA226" s="137">
        <f>Transportation_LCIA!E$61*($W226^Transportation_LCIA!E$60)+Transportation_LCIA!E$62</f>
        <v>1.4524694877162572E-3</v>
      </c>
      <c r="AB226" s="137">
        <f>Transportation_LCIA!F$61*($W226^Transportation_LCIA!F$60)+Transportation_LCIA!F$62</f>
        <v>0.27568694248660131</v>
      </c>
      <c r="AC226" s="137">
        <f>Transportation_LCIA!G$61*($W226^Transportation_LCIA!G$60)+Transportation_LCIA!G$62</f>
        <v>6.7505486268678722E-2</v>
      </c>
      <c r="AD226" s="137">
        <f>Transportation_LCIA!H$61*($W226^Transportation_LCIA!H$60)+Transportation_LCIA!H$62</f>
        <v>3.4483295035874406E-4</v>
      </c>
      <c r="AE226" s="137">
        <f>Transportation_LCIA!I$61*($W226^Transportation_LCIA!I$60)+Transportation_LCIA!I$62</f>
        <v>7.644394919140504E-6</v>
      </c>
      <c r="AF226" s="137">
        <f>Transportation_LCIA!J$61*($W226^Transportation_LCIA!J$60)+Transportation_LCIA!J$62</f>
        <v>1.134133612007697E-2</v>
      </c>
      <c r="AG226" s="137">
        <f>Transportation_LCIA!K$61*($W226^Transportation_LCIA!K$60)+Transportation_LCIA!K$62</f>
        <v>1.4591850964811854E-2</v>
      </c>
      <c r="AH226" s="137">
        <f>Transportation_LCIA!L$61*($W226^Transportation_LCIA!L$60)+Transportation_LCIA!L$62</f>
        <v>3.0255018732627456E-4</v>
      </c>
      <c r="AI226" s="137">
        <f>Transportation_LCIA!M$61*($W226^Transportation_LCIA!M$60)+Transportation_LCIA!M$62</f>
        <v>2.8116552902711909E-4</v>
      </c>
      <c r="AJ226" s="137">
        <f>Transportation_LCIA!N$61*($W226^Transportation_LCIA!N$60)+Transportation_LCIA!N$62</f>
        <v>1.2184799005035894E-3</v>
      </c>
      <c r="AK226" s="137">
        <f>Transportation_LCIA!O$61*($W226^Transportation_LCIA!O$60)+Transportation_LCIA!O$62</f>
        <v>7.1399640630831436E-5</v>
      </c>
      <c r="AL226" s="137">
        <f>Transportation_LCIA!P$61*($W226^Transportation_LCIA!P$60)+Transportation_LCIA!P$62</f>
        <v>3.4494004981956467E-8</v>
      </c>
      <c r="AM226" s="137">
        <f>Transportation_LCIA!Q$61*($W226^Transportation_LCIA!Q$60)+Transportation_LCIA!Q$62</f>
        <v>1.1948335626517517E-4</v>
      </c>
      <c r="AN226" s="137">
        <f>Transportation_LCIA!R$61*($W226^Transportation_LCIA!R$60)+Transportation_LCIA!R$62</f>
        <v>3.6742799459173149E-4</v>
      </c>
      <c r="AO226" s="137">
        <f>Transportation_LCIA!S$61*($W226^Transportation_LCIA!S$60)+Transportation_LCIA!S$62</f>
        <v>5.4716726515547334E-6</v>
      </c>
      <c r="AP226" s="137">
        <f>Transportation_LCIA!T$61*($W226^Transportation_LCIA!T$60)+Transportation_LCIA!T$62</f>
        <v>5.4716726515547334E-6</v>
      </c>
      <c r="AQ226" s="137">
        <f>Transportation_LCIA!U$61*($W226^Transportation_LCIA!U$60)+Transportation_LCIA!U$62</f>
        <v>7.927044032515311E-4</v>
      </c>
      <c r="AR226" s="137">
        <f>Transportation_LCIA!V$61*($W226^Transportation_LCIA!V$60)+Transportation_LCIA!V$62</f>
        <v>3.1083987945175798E-4</v>
      </c>
      <c r="AT226" s="137">
        <f>$W226*Y226+$L226*Summary_LCIA!H$32</f>
        <v>326.32074411788358</v>
      </c>
      <c r="AU226" s="137">
        <f>$W226*Z226+$L226*Summary_LCIA!Q$32</f>
        <v>3953.0816918620262</v>
      </c>
      <c r="AV226" s="137">
        <f>$W226*AA226+$L226*Summary_LCIA!R$32</f>
        <v>3.0404903117331727</v>
      </c>
      <c r="AW226" s="137">
        <f>$W226*AB226+$L226*Summary_LCIA!S$32</f>
        <v>324.64035293788362</v>
      </c>
      <c r="AX226" s="137">
        <f>$W226*AC226+$L226*Summary_LCIA!T$32</f>
        <v>90.05293230205622</v>
      </c>
      <c r="AY226" s="137">
        <f>$W226*AD226+$L226*Summary_LCIA!U$32</f>
        <v>7.05710687662806</v>
      </c>
      <c r="AZ226" s="137">
        <f>$W226*AE226+$L226*Summary_LCIA!V$32</f>
        <v>2.3624019392222841E-2</v>
      </c>
      <c r="BA226" s="137">
        <f>$W226*AF226+$L226*Summary_LCIA!W$32</f>
        <v>37.372625867905093</v>
      </c>
      <c r="BB226" s="137">
        <f>$W226*AG226+$L226*Summary_LCIA!X$32</f>
        <v>19.094696728482614</v>
      </c>
      <c r="BC226" s="137">
        <f>$W226*AH226+$L226*Summary_LCIA!Y$32</f>
        <v>6.1402942430289391</v>
      </c>
      <c r="BD226" s="137">
        <f>$W226*AI226+$L226*Summary_LCIA!Z$32</f>
        <v>0.21664426250709864</v>
      </c>
      <c r="BE226" s="137">
        <f>$W226*AJ226+$L226*Summary_LCIA!AA$32</f>
        <v>9.7507611705160713</v>
      </c>
      <c r="BF226" s="137">
        <f>$W226*AK226+$L226*Summary_LCIA!AB$32</f>
        <v>4.2759213313527611E-2</v>
      </c>
      <c r="BG226" s="137">
        <f>$W226*AL226+$L226*Summary_LCIA!AC$32</f>
        <v>4.3250355677741722E-5</v>
      </c>
      <c r="BH226" s="137">
        <f>$W226*AM226+$L226*Summary_LCIA!AD$32</f>
        <v>0.24170793820285336</v>
      </c>
      <c r="BI226" s="137">
        <f>$W226*AN226+$L226*Summary_LCIA!AE$32</f>
        <v>0.59962536371122466</v>
      </c>
      <c r="BJ226" s="137">
        <f>$W226*AO226+$L226*Summary_LCIA!AF$32</f>
        <v>0.32532356823214931</v>
      </c>
      <c r="BK226" s="137">
        <f>$W226*AP226+$L226*Summary_LCIA!AG$32</f>
        <v>2.3364496587149283E-2</v>
      </c>
      <c r="BL226" s="137">
        <f>$W226*AQ226+$L226*Summary_LCIA!AH$32</f>
        <v>3.8757663988242879</v>
      </c>
      <c r="BM226" s="137">
        <f>$W226*AR226+$L226*Summary_LCIA!AI$32</f>
        <v>0.57642853639742908</v>
      </c>
    </row>
    <row r="227" spans="1:65" x14ac:dyDescent="0.25">
      <c r="A227" s="149">
        <v>50</v>
      </c>
      <c r="B227" s="149">
        <v>43</v>
      </c>
      <c r="C227" s="61">
        <v>43.638885999999999</v>
      </c>
      <c r="D227" s="61">
        <v>-79.380352000000002</v>
      </c>
      <c r="E227" s="61" t="s">
        <v>456</v>
      </c>
      <c r="F227" s="149">
        <v>130</v>
      </c>
      <c r="G227" s="61" t="s">
        <v>275</v>
      </c>
      <c r="H227" s="61" t="s">
        <v>653</v>
      </c>
      <c r="I227" s="61">
        <v>43.628481999999998</v>
      </c>
      <c r="J227" s="61">
        <v>-79.395957999999993</v>
      </c>
      <c r="K227" s="61">
        <v>2.1920799710000001</v>
      </c>
      <c r="L227" s="61">
        <v>2.4620000000000002</v>
      </c>
      <c r="M227" s="61" t="s">
        <v>617</v>
      </c>
      <c r="N227" s="149">
        <v>42</v>
      </c>
      <c r="O227" s="149">
        <v>43</v>
      </c>
      <c r="P227" s="61" t="s">
        <v>565</v>
      </c>
      <c r="Q227" s="61" t="s">
        <v>555</v>
      </c>
      <c r="R227" s="61">
        <v>40.6895314</v>
      </c>
      <c r="S227" s="61">
        <v>-74.174462399999996</v>
      </c>
      <c r="T227" s="61">
        <v>784.93200000000002</v>
      </c>
      <c r="U227" s="61" t="s">
        <v>617</v>
      </c>
      <c r="V227" s="61" t="s">
        <v>569</v>
      </c>
      <c r="W227" s="61" cm="1">
        <f t="array" ref="W227">getDistance(I227,J227,R227,S227)*SA!$B$12</f>
        <v>541.27512186027764</v>
      </c>
      <c r="Y227" s="137">
        <f>Transportation_LCIA!C$61*($W227^Transportation_LCIA!C$60)+Transportation_LCIA!C$62</f>
        <v>0.31878604820552614</v>
      </c>
      <c r="Z227" s="137">
        <f>Transportation_LCIA!D$61*($W227^Transportation_LCIA!D$60)+Transportation_LCIA!D$62</f>
        <v>3.4067317365432173</v>
      </c>
      <c r="AA227" s="137">
        <f>Transportation_LCIA!E$61*($W227^Transportation_LCIA!E$60)+Transportation_LCIA!E$62</f>
        <v>1.7920287787271288E-3</v>
      </c>
      <c r="AB227" s="137">
        <f>Transportation_LCIA!F$61*($W227^Transportation_LCIA!F$60)+Transportation_LCIA!F$62</f>
        <v>0.31878604820552614</v>
      </c>
      <c r="AC227" s="137">
        <f>Transportation_LCIA!G$61*($W227^Transportation_LCIA!G$60)+Transportation_LCIA!G$62</f>
        <v>7.9370508713586002E-2</v>
      </c>
      <c r="AD227" s="137">
        <f>Transportation_LCIA!H$61*($W227^Transportation_LCIA!H$60)+Transportation_LCIA!H$62</f>
        <v>4.2035633908471618E-4</v>
      </c>
      <c r="AE227" s="137">
        <f>Transportation_LCIA!I$61*($W227^Transportation_LCIA!I$60)+Transportation_LCIA!I$62</f>
        <v>9.5810471583003702E-6</v>
      </c>
      <c r="AF227" s="137">
        <f>Transportation_LCIA!J$61*($W227^Transportation_LCIA!J$60)+Transportation_LCIA!J$62</f>
        <v>1.426057241974343E-2</v>
      </c>
      <c r="AG227" s="137">
        <f>Transportation_LCIA!K$61*($W227^Transportation_LCIA!K$60)+Transportation_LCIA!K$62</f>
        <v>1.7390593610148022E-2</v>
      </c>
      <c r="AH227" s="137">
        <f>Transportation_LCIA!L$61*($W227^Transportation_LCIA!L$60)+Transportation_LCIA!L$62</f>
        <v>3.723479618897653E-4</v>
      </c>
      <c r="AI227" s="137">
        <f>Transportation_LCIA!M$61*($W227^Transportation_LCIA!M$60)+Transportation_LCIA!M$62</f>
        <v>3.228722583115967E-4</v>
      </c>
      <c r="AJ227" s="137">
        <f>Transportation_LCIA!N$61*($W227^Transportation_LCIA!N$60)+Transportation_LCIA!N$62</f>
        <v>1.4720294927440731E-3</v>
      </c>
      <c r="AK227" s="137">
        <f>Transportation_LCIA!O$61*($W227^Transportation_LCIA!O$60)+Transportation_LCIA!O$62</f>
        <v>8.4014911722372877E-5</v>
      </c>
      <c r="AL227" s="137">
        <f>Transportation_LCIA!P$61*($W227^Transportation_LCIA!P$60)+Transportation_LCIA!P$62</f>
        <v>4.0549982267229356E-8</v>
      </c>
      <c r="AM227" s="137">
        <f>Transportation_LCIA!Q$61*($W227^Transportation_LCIA!Q$60)+Transportation_LCIA!Q$62</f>
        <v>1.4685177071714801E-4</v>
      </c>
      <c r="AN227" s="137">
        <f>Transportation_LCIA!R$61*($W227^Transportation_LCIA!R$60)+Transportation_LCIA!R$62</f>
        <v>4.6033768870650074E-4</v>
      </c>
      <c r="AO227" s="137">
        <f>Transportation_LCIA!S$61*($W227^Transportation_LCIA!S$60)+Transportation_LCIA!S$62</f>
        <v>6.7891675624868085E-6</v>
      </c>
      <c r="AP227" s="137">
        <f>Transportation_LCIA!T$61*($W227^Transportation_LCIA!T$60)+Transportation_LCIA!T$62</f>
        <v>6.7891675624868085E-6</v>
      </c>
      <c r="AQ227" s="137">
        <f>Transportation_LCIA!U$61*($W227^Transportation_LCIA!U$60)+Transportation_LCIA!U$62</f>
        <v>9.9717260851609206E-4</v>
      </c>
      <c r="AR227" s="137">
        <f>Transportation_LCIA!V$61*($W227^Transportation_LCIA!V$60)+Transportation_LCIA!V$62</f>
        <v>3.8229923422683721E-4</v>
      </c>
      <c r="AT227" s="137">
        <f>$W227*Y227+$L227*Summary_LCIA!H$32</f>
        <v>173.3875446898025</v>
      </c>
      <c r="AU227" s="137">
        <f>$W227*Z227+$L227*Summary_LCIA!Q$32</f>
        <v>1856.1809320087511</v>
      </c>
      <c r="AV227" s="137">
        <f>$W227*AA227+$L227*Summary_LCIA!R$32</f>
        <v>0.98294450278265111</v>
      </c>
      <c r="AW227" s="137">
        <f>$W227*AB227+$L227*Summary_LCIA!S$32</f>
        <v>173.37666264980248</v>
      </c>
      <c r="AX227" s="137">
        <f>$W227*AC227+$L227*Summary_LCIA!T$32</f>
        <v>43.231855576058493</v>
      </c>
      <c r="AY227" s="137">
        <f>$W227*AD227+$L227*Summary_LCIA!U$32</f>
        <v>0.27163269666281997</v>
      </c>
      <c r="AZ227" s="137">
        <f>$W227*AE227+$L227*Summary_LCIA!V$32</f>
        <v>5.3035700501580995E-3</v>
      </c>
      <c r="BA227" s="137">
        <f>$W227*AF227+$L227*Summary_LCIA!W$32</f>
        <v>7.9083956762939396</v>
      </c>
      <c r="BB227" s="137">
        <f>$W227*AG227+$L227*Summary_LCIA!X$32</f>
        <v>9.4691800355554356</v>
      </c>
      <c r="BC227" s="137">
        <f>$W227*AH227+$L227*Summary_LCIA!Y$32</f>
        <v>0.23990557244630875</v>
      </c>
      <c r="BD227" s="137">
        <f>$W227*AI227+$L227*Summary_LCIA!Z$32</f>
        <v>0.17486368512091255</v>
      </c>
      <c r="BE227" s="137">
        <f>$W227*AJ227+$L227*Summary_LCIA!AA$32</f>
        <v>0.85427541506697091</v>
      </c>
      <c r="BF227" s="137">
        <f>$W227*AK227+$L227*Summary_LCIA!AB$32</f>
        <v>4.5421453354607851E-2</v>
      </c>
      <c r="BG227" s="137">
        <f>$W227*AL227+$L227*Summary_LCIA!AC$32</f>
        <v>2.2069049001126668E-5</v>
      </c>
      <c r="BH227" s="137">
        <f>$W227*AM227+$L227*Summary_LCIA!AD$32</f>
        <v>8.049919057032183E-2</v>
      </c>
      <c r="BI227" s="137">
        <f>$W227*AN227+$L227*Summary_LCIA!AE$32</f>
        <v>0.25135099061148974</v>
      </c>
      <c r="BJ227" s="137">
        <f>$W227*AO227+$L227*Summary_LCIA!AF$32</f>
        <v>5.7562315397148914E-3</v>
      </c>
      <c r="BK227" s="137">
        <f>$W227*AP227+$L227*Summary_LCIA!AG$32</f>
        <v>3.8007757297148915E-3</v>
      </c>
      <c r="BL227" s="137">
        <f>$W227*AQ227+$L227*Summary_LCIA!AH$32</f>
        <v>0.56117298839027863</v>
      </c>
      <c r="BM227" s="137">
        <f>$W227*AR227+$L227*Summary_LCIA!AI$32</f>
        <v>0.20922254069322213</v>
      </c>
    </row>
    <row r="228" spans="1:65" x14ac:dyDescent="0.25">
      <c r="A228" s="149">
        <v>363</v>
      </c>
      <c r="B228" s="149">
        <v>43</v>
      </c>
      <c r="C228" s="61">
        <v>43.653225999999997</v>
      </c>
      <c r="D228" s="61">
        <v>-79.383184</v>
      </c>
      <c r="E228" s="61" t="s">
        <v>456</v>
      </c>
      <c r="F228" s="149">
        <v>130</v>
      </c>
      <c r="G228" s="61" t="s">
        <v>275</v>
      </c>
      <c r="H228" s="61" t="s">
        <v>653</v>
      </c>
      <c r="I228" s="61">
        <v>43.628481999999998</v>
      </c>
      <c r="J228" s="61">
        <v>-79.395957999999993</v>
      </c>
      <c r="K228" s="61">
        <v>4.2005598900000001</v>
      </c>
      <c r="L228" s="61">
        <v>4.1710000000000003</v>
      </c>
      <c r="M228" s="61" t="s">
        <v>617</v>
      </c>
      <c r="N228" s="149">
        <v>42</v>
      </c>
      <c r="O228" s="149">
        <v>43</v>
      </c>
      <c r="P228" s="61" t="s">
        <v>565</v>
      </c>
      <c r="Q228" s="61" t="s">
        <v>555</v>
      </c>
      <c r="R228" s="61">
        <v>40.6895314</v>
      </c>
      <c r="S228" s="61">
        <v>-74.174462399999996</v>
      </c>
      <c r="T228" s="61">
        <v>785.35199999999998</v>
      </c>
      <c r="U228" s="61" t="s">
        <v>617</v>
      </c>
      <c r="V228" s="61" t="s">
        <v>569</v>
      </c>
      <c r="W228" s="61" cm="1">
        <f t="array" ref="W228">getDistance(I228,J228,R228,S228)*SA!$B$12</f>
        <v>541.27512186027764</v>
      </c>
      <c r="Y228" s="137">
        <f>Transportation_LCIA!C$61*($W228^Transportation_LCIA!C$60)+Transportation_LCIA!C$62</f>
        <v>0.31878604820552614</v>
      </c>
      <c r="Z228" s="137">
        <f>Transportation_LCIA!D$61*($W228^Transportation_LCIA!D$60)+Transportation_LCIA!D$62</f>
        <v>3.4067317365432173</v>
      </c>
      <c r="AA228" s="137">
        <f>Transportation_LCIA!E$61*($W228^Transportation_LCIA!E$60)+Transportation_LCIA!E$62</f>
        <v>1.7920287787271288E-3</v>
      </c>
      <c r="AB228" s="137">
        <f>Transportation_LCIA!F$61*($W228^Transportation_LCIA!F$60)+Transportation_LCIA!F$62</f>
        <v>0.31878604820552614</v>
      </c>
      <c r="AC228" s="137">
        <f>Transportation_LCIA!G$61*($W228^Transportation_LCIA!G$60)+Transportation_LCIA!G$62</f>
        <v>7.9370508713586002E-2</v>
      </c>
      <c r="AD228" s="137">
        <f>Transportation_LCIA!H$61*($W228^Transportation_LCIA!H$60)+Transportation_LCIA!H$62</f>
        <v>4.2035633908471618E-4</v>
      </c>
      <c r="AE228" s="137">
        <f>Transportation_LCIA!I$61*($W228^Transportation_LCIA!I$60)+Transportation_LCIA!I$62</f>
        <v>9.5810471583003702E-6</v>
      </c>
      <c r="AF228" s="137">
        <f>Transportation_LCIA!J$61*($W228^Transportation_LCIA!J$60)+Transportation_LCIA!J$62</f>
        <v>1.426057241974343E-2</v>
      </c>
      <c r="AG228" s="137">
        <f>Transportation_LCIA!K$61*($W228^Transportation_LCIA!K$60)+Transportation_LCIA!K$62</f>
        <v>1.7390593610148022E-2</v>
      </c>
      <c r="AH228" s="137">
        <f>Transportation_LCIA!L$61*($W228^Transportation_LCIA!L$60)+Transportation_LCIA!L$62</f>
        <v>3.723479618897653E-4</v>
      </c>
      <c r="AI228" s="137">
        <f>Transportation_LCIA!M$61*($W228^Transportation_LCIA!M$60)+Transportation_LCIA!M$62</f>
        <v>3.228722583115967E-4</v>
      </c>
      <c r="AJ228" s="137">
        <f>Transportation_LCIA!N$61*($W228^Transportation_LCIA!N$60)+Transportation_LCIA!N$62</f>
        <v>1.4720294927440731E-3</v>
      </c>
      <c r="AK228" s="137">
        <f>Transportation_LCIA!O$61*($W228^Transportation_LCIA!O$60)+Transportation_LCIA!O$62</f>
        <v>8.4014911722372877E-5</v>
      </c>
      <c r="AL228" s="137">
        <f>Transportation_LCIA!P$61*($W228^Transportation_LCIA!P$60)+Transportation_LCIA!P$62</f>
        <v>4.0549982267229356E-8</v>
      </c>
      <c r="AM228" s="137">
        <f>Transportation_LCIA!Q$61*($W228^Transportation_LCIA!Q$60)+Transportation_LCIA!Q$62</f>
        <v>1.4685177071714801E-4</v>
      </c>
      <c r="AN228" s="137">
        <f>Transportation_LCIA!R$61*($W228^Transportation_LCIA!R$60)+Transportation_LCIA!R$62</f>
        <v>4.6033768870650074E-4</v>
      </c>
      <c r="AO228" s="137">
        <f>Transportation_LCIA!S$61*($W228^Transportation_LCIA!S$60)+Transportation_LCIA!S$62</f>
        <v>6.7891675624868085E-6</v>
      </c>
      <c r="AP228" s="137">
        <f>Transportation_LCIA!T$61*($W228^Transportation_LCIA!T$60)+Transportation_LCIA!T$62</f>
        <v>6.7891675624868085E-6</v>
      </c>
      <c r="AQ228" s="137">
        <f>Transportation_LCIA!U$61*($W228^Transportation_LCIA!U$60)+Transportation_LCIA!U$62</f>
        <v>9.9717260851609206E-4</v>
      </c>
      <c r="AR228" s="137">
        <f>Transportation_LCIA!V$61*($W228^Transportation_LCIA!V$60)+Transportation_LCIA!V$62</f>
        <v>3.8229923422683721E-4</v>
      </c>
      <c r="AT228" s="137">
        <f>$W228*Y228+$L228*Summary_LCIA!H$32</f>
        <v>173.9682628898025</v>
      </c>
      <c r="AU228" s="137">
        <f>$W228*Z228+$L228*Summary_LCIA!Q$32</f>
        <v>1864.6508221987481</v>
      </c>
      <c r="AV228" s="137">
        <f>$W228*AA228+$L228*Summary_LCIA!R$32</f>
        <v>0.99194341318265111</v>
      </c>
      <c r="AW228" s="137">
        <f>$W228*AB228+$L228*Summary_LCIA!S$32</f>
        <v>173.9498270698025</v>
      </c>
      <c r="AX228" s="137">
        <f>$W228*AC228+$L228*Summary_LCIA!T$32</f>
        <v>43.419674676058492</v>
      </c>
      <c r="AY228" s="137">
        <f>$W228*AD228+$L228*Summary_LCIA!U$32</f>
        <v>0.30224772266281996</v>
      </c>
      <c r="AZ228" s="137">
        <f>$W228*AE228+$L228*Summary_LCIA!V$32</f>
        <v>5.3851935991580998E-3</v>
      </c>
      <c r="BA228" s="137">
        <f>$W228*AF228+$L228*Summary_LCIA!W$32</f>
        <v>8.0399391152939401</v>
      </c>
      <c r="BB228" s="137">
        <f>$W228*AG228+$L228*Summary_LCIA!X$32</f>
        <v>9.5081110555554353</v>
      </c>
      <c r="BC228" s="137">
        <f>$W228*AH228+$L228*Summary_LCIA!Y$32</f>
        <v>0.26653521044630873</v>
      </c>
      <c r="BD228" s="137">
        <f>$W228*AI228+$L228*Summary_LCIA!Z$32</f>
        <v>0.17493376950191253</v>
      </c>
      <c r="BE228" s="137">
        <f>$W228*AJ228+$L228*Summary_LCIA!AA$32</f>
        <v>0.89419081906697084</v>
      </c>
      <c r="BF228" s="137">
        <f>$W228*AK228+$L228*Summary_LCIA!AB$32</f>
        <v>4.5384157847607853E-2</v>
      </c>
      <c r="BG228" s="137">
        <f>$W228*AL228+$L228*Summary_LCIA!AC$32</f>
        <v>2.2152591757126669E-5</v>
      </c>
      <c r="BH228" s="137">
        <f>$W228*AM228+$L228*Summary_LCIA!AD$32</f>
        <v>8.120165793032183E-2</v>
      </c>
      <c r="BI228" s="137">
        <f>$W228*AN228+$L228*Summary_LCIA!AE$32</f>
        <v>0.25286538678148973</v>
      </c>
      <c r="BJ228" s="137">
        <f>$W228*AO228+$L228*Summary_LCIA!AF$32</f>
        <v>7.2010543197148918E-3</v>
      </c>
      <c r="BK228" s="137">
        <f>$W228*AP228+$L228*Summary_LCIA!AG$32</f>
        <v>3.8882167147148913E-3</v>
      </c>
      <c r="BL228" s="137">
        <f>$W228*AQ228+$L228*Summary_LCIA!AH$32</f>
        <v>0.57604744079027859</v>
      </c>
      <c r="BM228" s="137">
        <f>$W228*AR228+$L228*Summary_LCIA!AI$32</f>
        <v>0.21081455964322213</v>
      </c>
    </row>
    <row r="229" spans="1:65" x14ac:dyDescent="0.25">
      <c r="A229" s="149">
        <v>73</v>
      </c>
      <c r="B229" s="149">
        <v>43</v>
      </c>
      <c r="C229" s="61">
        <v>43.660848999999999</v>
      </c>
      <c r="D229" s="61">
        <v>-79.395493999999999</v>
      </c>
      <c r="E229" s="61" t="s">
        <v>456</v>
      </c>
      <c r="F229" s="149">
        <v>130</v>
      </c>
      <c r="G229" s="61" t="s">
        <v>275</v>
      </c>
      <c r="H229" s="61" t="s">
        <v>653</v>
      </c>
      <c r="I229" s="61">
        <v>43.628481999999998</v>
      </c>
      <c r="J229" s="61">
        <v>-79.395957999999993</v>
      </c>
      <c r="K229" s="61">
        <v>5.2007018199999999</v>
      </c>
      <c r="L229" s="61">
        <v>5.4240000000000004</v>
      </c>
      <c r="M229" s="61" t="s">
        <v>617</v>
      </c>
      <c r="N229" s="149">
        <v>42</v>
      </c>
      <c r="O229" s="149">
        <v>43</v>
      </c>
      <c r="P229" s="61" t="s">
        <v>565</v>
      </c>
      <c r="Q229" s="61" t="s">
        <v>555</v>
      </c>
      <c r="R229" s="61">
        <v>40.6895314</v>
      </c>
      <c r="S229" s="61">
        <v>-74.174462399999996</v>
      </c>
      <c r="T229" s="61">
        <v>786.899</v>
      </c>
      <c r="U229" s="61" t="s">
        <v>617</v>
      </c>
      <c r="V229" s="61" t="s">
        <v>569</v>
      </c>
      <c r="W229" s="61" cm="1">
        <f t="array" ref="W229">getDistance(I229,J229,R229,S229)*SA!$B$12</f>
        <v>541.27512186027764</v>
      </c>
      <c r="Y229" s="137">
        <f>Transportation_LCIA!C$61*($W229^Transportation_LCIA!C$60)+Transportation_LCIA!C$62</f>
        <v>0.31878604820552614</v>
      </c>
      <c r="Z229" s="137">
        <f>Transportation_LCIA!D$61*($W229^Transportation_LCIA!D$60)+Transportation_LCIA!D$62</f>
        <v>3.4067317365432173</v>
      </c>
      <c r="AA229" s="137">
        <f>Transportation_LCIA!E$61*($W229^Transportation_LCIA!E$60)+Transportation_LCIA!E$62</f>
        <v>1.7920287787271288E-3</v>
      </c>
      <c r="AB229" s="137">
        <f>Transportation_LCIA!F$61*($W229^Transportation_LCIA!F$60)+Transportation_LCIA!F$62</f>
        <v>0.31878604820552614</v>
      </c>
      <c r="AC229" s="137">
        <f>Transportation_LCIA!G$61*($W229^Transportation_LCIA!G$60)+Transportation_LCIA!G$62</f>
        <v>7.9370508713586002E-2</v>
      </c>
      <c r="AD229" s="137">
        <f>Transportation_LCIA!H$61*($W229^Transportation_LCIA!H$60)+Transportation_LCIA!H$62</f>
        <v>4.2035633908471618E-4</v>
      </c>
      <c r="AE229" s="137">
        <f>Transportation_LCIA!I$61*($W229^Transportation_LCIA!I$60)+Transportation_LCIA!I$62</f>
        <v>9.5810471583003702E-6</v>
      </c>
      <c r="AF229" s="137">
        <f>Transportation_LCIA!J$61*($W229^Transportation_LCIA!J$60)+Transportation_LCIA!J$62</f>
        <v>1.426057241974343E-2</v>
      </c>
      <c r="AG229" s="137">
        <f>Transportation_LCIA!K$61*($W229^Transportation_LCIA!K$60)+Transportation_LCIA!K$62</f>
        <v>1.7390593610148022E-2</v>
      </c>
      <c r="AH229" s="137">
        <f>Transportation_LCIA!L$61*($W229^Transportation_LCIA!L$60)+Transportation_LCIA!L$62</f>
        <v>3.723479618897653E-4</v>
      </c>
      <c r="AI229" s="137">
        <f>Transportation_LCIA!M$61*($W229^Transportation_LCIA!M$60)+Transportation_LCIA!M$62</f>
        <v>3.228722583115967E-4</v>
      </c>
      <c r="AJ229" s="137">
        <f>Transportation_LCIA!N$61*($W229^Transportation_LCIA!N$60)+Transportation_LCIA!N$62</f>
        <v>1.4720294927440731E-3</v>
      </c>
      <c r="AK229" s="137">
        <f>Transportation_LCIA!O$61*($W229^Transportation_LCIA!O$60)+Transportation_LCIA!O$62</f>
        <v>8.4014911722372877E-5</v>
      </c>
      <c r="AL229" s="137">
        <f>Transportation_LCIA!P$61*($W229^Transportation_LCIA!P$60)+Transportation_LCIA!P$62</f>
        <v>4.0549982267229356E-8</v>
      </c>
      <c r="AM229" s="137">
        <f>Transportation_LCIA!Q$61*($W229^Transportation_LCIA!Q$60)+Transportation_LCIA!Q$62</f>
        <v>1.4685177071714801E-4</v>
      </c>
      <c r="AN229" s="137">
        <f>Transportation_LCIA!R$61*($W229^Transportation_LCIA!R$60)+Transportation_LCIA!R$62</f>
        <v>4.6033768870650074E-4</v>
      </c>
      <c r="AO229" s="137">
        <f>Transportation_LCIA!S$61*($W229^Transportation_LCIA!S$60)+Transportation_LCIA!S$62</f>
        <v>6.7891675624868085E-6</v>
      </c>
      <c r="AP229" s="137">
        <f>Transportation_LCIA!T$61*($W229^Transportation_LCIA!T$60)+Transportation_LCIA!T$62</f>
        <v>6.7891675624868085E-6</v>
      </c>
      <c r="AQ229" s="137">
        <f>Transportation_LCIA!U$61*($W229^Transportation_LCIA!U$60)+Transportation_LCIA!U$62</f>
        <v>9.9717260851609206E-4</v>
      </c>
      <c r="AR229" s="137">
        <f>Transportation_LCIA!V$61*($W229^Transportation_LCIA!V$60)+Transportation_LCIA!V$62</f>
        <v>3.8229923422683721E-4</v>
      </c>
      <c r="AT229" s="137">
        <f>$W229*Y229+$L229*Summary_LCIA!H$32</f>
        <v>174.39403228980248</v>
      </c>
      <c r="AU229" s="137">
        <f>$W229*Z229+$L229*Summary_LCIA!Q$32</f>
        <v>1870.8607533912971</v>
      </c>
      <c r="AV229" s="137">
        <f>$W229*AA229+$L229*Summary_LCIA!R$32</f>
        <v>0.99854120998265117</v>
      </c>
      <c r="AW229" s="137">
        <f>$W229*AB229+$L229*Summary_LCIA!S$32</f>
        <v>174.37005820980249</v>
      </c>
      <c r="AX229" s="137">
        <f>$W229*AC229+$L229*Summary_LCIA!T$32</f>
        <v>43.557379376058492</v>
      </c>
      <c r="AY229" s="137">
        <f>$W229*AD229+$L229*Summary_LCIA!U$32</f>
        <v>0.32469396466281997</v>
      </c>
      <c r="AZ229" s="137">
        <f>$W229*AE229+$L229*Summary_LCIA!V$32</f>
        <v>5.4450381321580997E-3</v>
      </c>
      <c r="BA229" s="137">
        <f>$W229*AF229+$L229*Summary_LCIA!W$32</f>
        <v>8.1363837782939399</v>
      </c>
      <c r="BB229" s="137">
        <f>$W229*AG229+$L229*Summary_LCIA!X$32</f>
        <v>9.5366543955554359</v>
      </c>
      <c r="BC229" s="137">
        <f>$W229*AH229+$L229*Summary_LCIA!Y$32</f>
        <v>0.28605945644630876</v>
      </c>
      <c r="BD229" s="137">
        <f>$W229*AI229+$L229*Summary_LCIA!Z$32</f>
        <v>0.17498515377891255</v>
      </c>
      <c r="BE229" s="137">
        <f>$W229*AJ229+$L229*Summary_LCIA!AA$32</f>
        <v>0.9234558870669709</v>
      </c>
      <c r="BF229" s="137">
        <f>$W229*AK229+$L229*Summary_LCIA!AB$32</f>
        <v>4.5356813628607849E-2</v>
      </c>
      <c r="BG229" s="137">
        <f>$W229*AL229+$L229*Summary_LCIA!AC$32</f>
        <v>2.2213843409126666E-5</v>
      </c>
      <c r="BH229" s="137">
        <f>$W229*AM229+$L229*Summary_LCIA!AD$32</f>
        <v>8.1716691050321838E-2</v>
      </c>
      <c r="BI229" s="137">
        <f>$W229*AN229+$L229*Summary_LCIA!AE$32</f>
        <v>0.25397570767148975</v>
      </c>
      <c r="BJ229" s="137">
        <f>$W229*AO229+$L229*Summary_LCIA!AF$32</f>
        <v>8.2603655797148928E-3</v>
      </c>
      <c r="BK229" s="137">
        <f>$W229*AP229+$L229*Summary_LCIA!AG$32</f>
        <v>3.9523264597148911E-3</v>
      </c>
      <c r="BL229" s="137">
        <f>$W229*AQ229+$L229*Summary_LCIA!AH$32</f>
        <v>0.58695305159027866</v>
      </c>
      <c r="BM229" s="137">
        <f>$W229*AR229+$L229*Summary_LCIA!AI$32</f>
        <v>0.21198179179322213</v>
      </c>
    </row>
    <row r="230" spans="1:65" x14ac:dyDescent="0.25">
      <c r="A230" s="149">
        <v>74</v>
      </c>
      <c r="B230" s="149">
        <v>43</v>
      </c>
      <c r="C230" s="61">
        <v>43.660848999999999</v>
      </c>
      <c r="D230" s="61">
        <v>-79.395493999999999</v>
      </c>
      <c r="E230" s="61" t="s">
        <v>456</v>
      </c>
      <c r="F230" s="149">
        <v>130</v>
      </c>
      <c r="G230" s="61" t="s">
        <v>275</v>
      </c>
      <c r="H230" s="61" t="s">
        <v>653</v>
      </c>
      <c r="I230" s="61">
        <v>43.628481999999998</v>
      </c>
      <c r="J230" s="61">
        <v>-79.395957999999993</v>
      </c>
      <c r="K230" s="61">
        <v>5.2007018199999999</v>
      </c>
      <c r="L230" s="61">
        <v>5.4240000000000004</v>
      </c>
      <c r="M230" s="61" t="s">
        <v>617</v>
      </c>
      <c r="N230" s="149">
        <v>42</v>
      </c>
      <c r="O230" s="149">
        <v>43</v>
      </c>
      <c r="P230" s="61" t="s">
        <v>565</v>
      </c>
      <c r="Q230" s="61" t="s">
        <v>555</v>
      </c>
      <c r="R230" s="61">
        <v>40.6895314</v>
      </c>
      <c r="S230" s="61">
        <v>-74.174462399999996</v>
      </c>
      <c r="T230" s="61">
        <v>786.899</v>
      </c>
      <c r="U230" s="61" t="s">
        <v>617</v>
      </c>
      <c r="V230" s="61" t="s">
        <v>569</v>
      </c>
      <c r="W230" s="61" cm="1">
        <f t="array" ref="W230">getDistance(I230,J230,R230,S230)*SA!$B$12</f>
        <v>541.27512186027764</v>
      </c>
      <c r="Y230" s="137">
        <f>Transportation_LCIA!C$61*($W230^Transportation_LCIA!C$60)+Transportation_LCIA!C$62</f>
        <v>0.31878604820552614</v>
      </c>
      <c r="Z230" s="137">
        <f>Transportation_LCIA!D$61*($W230^Transportation_LCIA!D$60)+Transportation_LCIA!D$62</f>
        <v>3.4067317365432173</v>
      </c>
      <c r="AA230" s="137">
        <f>Transportation_LCIA!E$61*($W230^Transportation_LCIA!E$60)+Transportation_LCIA!E$62</f>
        <v>1.7920287787271288E-3</v>
      </c>
      <c r="AB230" s="137">
        <f>Transportation_LCIA!F$61*($W230^Transportation_LCIA!F$60)+Transportation_LCIA!F$62</f>
        <v>0.31878604820552614</v>
      </c>
      <c r="AC230" s="137">
        <f>Transportation_LCIA!G$61*($W230^Transportation_LCIA!G$60)+Transportation_LCIA!G$62</f>
        <v>7.9370508713586002E-2</v>
      </c>
      <c r="AD230" s="137">
        <f>Transportation_LCIA!H$61*($W230^Transportation_LCIA!H$60)+Transportation_LCIA!H$62</f>
        <v>4.2035633908471618E-4</v>
      </c>
      <c r="AE230" s="137">
        <f>Transportation_LCIA!I$61*($W230^Transportation_LCIA!I$60)+Transportation_LCIA!I$62</f>
        <v>9.5810471583003702E-6</v>
      </c>
      <c r="AF230" s="137">
        <f>Transportation_LCIA!J$61*($W230^Transportation_LCIA!J$60)+Transportation_LCIA!J$62</f>
        <v>1.426057241974343E-2</v>
      </c>
      <c r="AG230" s="137">
        <f>Transportation_LCIA!K$61*($W230^Transportation_LCIA!K$60)+Transportation_LCIA!K$62</f>
        <v>1.7390593610148022E-2</v>
      </c>
      <c r="AH230" s="137">
        <f>Transportation_LCIA!L$61*($W230^Transportation_LCIA!L$60)+Transportation_LCIA!L$62</f>
        <v>3.723479618897653E-4</v>
      </c>
      <c r="AI230" s="137">
        <f>Transportation_LCIA!M$61*($W230^Transportation_LCIA!M$60)+Transportation_LCIA!M$62</f>
        <v>3.228722583115967E-4</v>
      </c>
      <c r="AJ230" s="137">
        <f>Transportation_LCIA!N$61*($W230^Transportation_LCIA!N$60)+Transportation_LCIA!N$62</f>
        <v>1.4720294927440731E-3</v>
      </c>
      <c r="AK230" s="137">
        <f>Transportation_LCIA!O$61*($W230^Transportation_LCIA!O$60)+Transportation_LCIA!O$62</f>
        <v>8.4014911722372877E-5</v>
      </c>
      <c r="AL230" s="137">
        <f>Transportation_LCIA!P$61*($W230^Transportation_LCIA!P$60)+Transportation_LCIA!P$62</f>
        <v>4.0549982267229356E-8</v>
      </c>
      <c r="AM230" s="137">
        <f>Transportation_LCIA!Q$61*($W230^Transportation_LCIA!Q$60)+Transportation_LCIA!Q$62</f>
        <v>1.4685177071714801E-4</v>
      </c>
      <c r="AN230" s="137">
        <f>Transportation_LCIA!R$61*($W230^Transportation_LCIA!R$60)+Transportation_LCIA!R$62</f>
        <v>4.6033768870650074E-4</v>
      </c>
      <c r="AO230" s="137">
        <f>Transportation_LCIA!S$61*($W230^Transportation_LCIA!S$60)+Transportation_LCIA!S$62</f>
        <v>6.7891675624868085E-6</v>
      </c>
      <c r="AP230" s="137">
        <f>Transportation_LCIA!T$61*($W230^Transportation_LCIA!T$60)+Transportation_LCIA!T$62</f>
        <v>6.7891675624868085E-6</v>
      </c>
      <c r="AQ230" s="137">
        <f>Transportation_LCIA!U$61*($W230^Transportation_LCIA!U$60)+Transportation_LCIA!U$62</f>
        <v>9.9717260851609206E-4</v>
      </c>
      <c r="AR230" s="137">
        <f>Transportation_LCIA!V$61*($W230^Transportation_LCIA!V$60)+Transportation_LCIA!V$62</f>
        <v>3.8229923422683721E-4</v>
      </c>
      <c r="AT230" s="137">
        <f>$W230*Y230+$L230*Summary_LCIA!H$32</f>
        <v>174.39403228980248</v>
      </c>
      <c r="AU230" s="137">
        <f>$W230*Z230+$L230*Summary_LCIA!Q$32</f>
        <v>1870.8607533912971</v>
      </c>
      <c r="AV230" s="137">
        <f>$W230*AA230+$L230*Summary_LCIA!R$32</f>
        <v>0.99854120998265117</v>
      </c>
      <c r="AW230" s="137">
        <f>$W230*AB230+$L230*Summary_LCIA!S$32</f>
        <v>174.37005820980249</v>
      </c>
      <c r="AX230" s="137">
        <f>$W230*AC230+$L230*Summary_LCIA!T$32</f>
        <v>43.557379376058492</v>
      </c>
      <c r="AY230" s="137">
        <f>$W230*AD230+$L230*Summary_LCIA!U$32</f>
        <v>0.32469396466281997</v>
      </c>
      <c r="AZ230" s="137">
        <f>$W230*AE230+$L230*Summary_LCIA!V$32</f>
        <v>5.4450381321580997E-3</v>
      </c>
      <c r="BA230" s="137">
        <f>$W230*AF230+$L230*Summary_LCIA!W$32</f>
        <v>8.1363837782939399</v>
      </c>
      <c r="BB230" s="137">
        <f>$W230*AG230+$L230*Summary_LCIA!X$32</f>
        <v>9.5366543955554359</v>
      </c>
      <c r="BC230" s="137">
        <f>$W230*AH230+$L230*Summary_LCIA!Y$32</f>
        <v>0.28605945644630876</v>
      </c>
      <c r="BD230" s="137">
        <f>$W230*AI230+$L230*Summary_LCIA!Z$32</f>
        <v>0.17498515377891255</v>
      </c>
      <c r="BE230" s="137">
        <f>$W230*AJ230+$L230*Summary_LCIA!AA$32</f>
        <v>0.9234558870669709</v>
      </c>
      <c r="BF230" s="137">
        <f>$W230*AK230+$L230*Summary_LCIA!AB$32</f>
        <v>4.5356813628607849E-2</v>
      </c>
      <c r="BG230" s="137">
        <f>$W230*AL230+$L230*Summary_LCIA!AC$32</f>
        <v>2.2213843409126666E-5</v>
      </c>
      <c r="BH230" s="137">
        <f>$W230*AM230+$L230*Summary_LCIA!AD$32</f>
        <v>8.1716691050321838E-2</v>
      </c>
      <c r="BI230" s="137">
        <f>$W230*AN230+$L230*Summary_LCIA!AE$32</f>
        <v>0.25397570767148975</v>
      </c>
      <c r="BJ230" s="137">
        <f>$W230*AO230+$L230*Summary_LCIA!AF$32</f>
        <v>8.2603655797148928E-3</v>
      </c>
      <c r="BK230" s="137">
        <f>$W230*AP230+$L230*Summary_LCIA!AG$32</f>
        <v>3.9523264597148911E-3</v>
      </c>
      <c r="BL230" s="137">
        <f>$W230*AQ230+$L230*Summary_LCIA!AH$32</f>
        <v>0.58695305159027866</v>
      </c>
      <c r="BM230" s="137">
        <f>$W230*AR230+$L230*Summary_LCIA!AI$32</f>
        <v>0.21198179179322213</v>
      </c>
    </row>
    <row r="231" spans="1:65" x14ac:dyDescent="0.25">
      <c r="A231" s="149">
        <v>75</v>
      </c>
      <c r="B231" s="149">
        <v>43</v>
      </c>
      <c r="C231" s="61">
        <v>43.660848999999999</v>
      </c>
      <c r="D231" s="61">
        <v>-79.395493999999999</v>
      </c>
      <c r="E231" s="61" t="s">
        <v>456</v>
      </c>
      <c r="F231" s="149">
        <v>130</v>
      </c>
      <c r="G231" s="61" t="s">
        <v>275</v>
      </c>
      <c r="H231" s="61" t="s">
        <v>653</v>
      </c>
      <c r="I231" s="61">
        <v>43.628481999999998</v>
      </c>
      <c r="J231" s="61">
        <v>-79.395957999999993</v>
      </c>
      <c r="K231" s="61">
        <v>5.2007018199999999</v>
      </c>
      <c r="L231" s="61">
        <v>5.4240000000000004</v>
      </c>
      <c r="M231" s="61" t="s">
        <v>617</v>
      </c>
      <c r="N231" s="149">
        <v>42</v>
      </c>
      <c r="O231" s="149">
        <v>43</v>
      </c>
      <c r="P231" s="61" t="s">
        <v>565</v>
      </c>
      <c r="Q231" s="61" t="s">
        <v>555</v>
      </c>
      <c r="R231" s="61">
        <v>40.6895314</v>
      </c>
      <c r="S231" s="61">
        <v>-74.174462399999996</v>
      </c>
      <c r="T231" s="61">
        <v>786.899</v>
      </c>
      <c r="U231" s="61" t="s">
        <v>617</v>
      </c>
      <c r="V231" s="61" t="s">
        <v>569</v>
      </c>
      <c r="W231" s="61" cm="1">
        <f t="array" ref="W231">getDistance(I231,J231,R231,S231)*SA!$B$12</f>
        <v>541.27512186027764</v>
      </c>
      <c r="Y231" s="137">
        <f>Transportation_LCIA!C$61*($W231^Transportation_LCIA!C$60)+Transportation_LCIA!C$62</f>
        <v>0.31878604820552614</v>
      </c>
      <c r="Z231" s="137">
        <f>Transportation_LCIA!D$61*($W231^Transportation_LCIA!D$60)+Transportation_LCIA!D$62</f>
        <v>3.4067317365432173</v>
      </c>
      <c r="AA231" s="137">
        <f>Transportation_LCIA!E$61*($W231^Transportation_LCIA!E$60)+Transportation_LCIA!E$62</f>
        <v>1.7920287787271288E-3</v>
      </c>
      <c r="AB231" s="137">
        <f>Transportation_LCIA!F$61*($W231^Transportation_LCIA!F$60)+Transportation_LCIA!F$62</f>
        <v>0.31878604820552614</v>
      </c>
      <c r="AC231" s="137">
        <f>Transportation_LCIA!G$61*($W231^Transportation_LCIA!G$60)+Transportation_LCIA!G$62</f>
        <v>7.9370508713586002E-2</v>
      </c>
      <c r="AD231" s="137">
        <f>Transportation_LCIA!H$61*($W231^Transportation_LCIA!H$60)+Transportation_LCIA!H$62</f>
        <v>4.2035633908471618E-4</v>
      </c>
      <c r="AE231" s="137">
        <f>Transportation_LCIA!I$61*($W231^Transportation_LCIA!I$60)+Transportation_LCIA!I$62</f>
        <v>9.5810471583003702E-6</v>
      </c>
      <c r="AF231" s="137">
        <f>Transportation_LCIA!J$61*($W231^Transportation_LCIA!J$60)+Transportation_LCIA!J$62</f>
        <v>1.426057241974343E-2</v>
      </c>
      <c r="AG231" s="137">
        <f>Transportation_LCIA!K$61*($W231^Transportation_LCIA!K$60)+Transportation_LCIA!K$62</f>
        <v>1.7390593610148022E-2</v>
      </c>
      <c r="AH231" s="137">
        <f>Transportation_LCIA!L$61*($W231^Transportation_LCIA!L$60)+Transportation_LCIA!L$62</f>
        <v>3.723479618897653E-4</v>
      </c>
      <c r="AI231" s="137">
        <f>Transportation_LCIA!M$61*($W231^Transportation_LCIA!M$60)+Transportation_LCIA!M$62</f>
        <v>3.228722583115967E-4</v>
      </c>
      <c r="AJ231" s="137">
        <f>Transportation_LCIA!N$61*($W231^Transportation_LCIA!N$60)+Transportation_LCIA!N$62</f>
        <v>1.4720294927440731E-3</v>
      </c>
      <c r="AK231" s="137">
        <f>Transportation_LCIA!O$61*($W231^Transportation_LCIA!O$60)+Transportation_LCIA!O$62</f>
        <v>8.4014911722372877E-5</v>
      </c>
      <c r="AL231" s="137">
        <f>Transportation_LCIA!P$61*($W231^Transportation_LCIA!P$60)+Transportation_LCIA!P$62</f>
        <v>4.0549982267229356E-8</v>
      </c>
      <c r="AM231" s="137">
        <f>Transportation_LCIA!Q$61*($W231^Transportation_LCIA!Q$60)+Transportation_LCIA!Q$62</f>
        <v>1.4685177071714801E-4</v>
      </c>
      <c r="AN231" s="137">
        <f>Transportation_LCIA!R$61*($W231^Transportation_LCIA!R$60)+Transportation_LCIA!R$62</f>
        <v>4.6033768870650074E-4</v>
      </c>
      <c r="AO231" s="137">
        <f>Transportation_LCIA!S$61*($W231^Transportation_LCIA!S$60)+Transportation_LCIA!S$62</f>
        <v>6.7891675624868085E-6</v>
      </c>
      <c r="AP231" s="137">
        <f>Transportation_LCIA!T$61*($W231^Transportation_LCIA!T$60)+Transportation_LCIA!T$62</f>
        <v>6.7891675624868085E-6</v>
      </c>
      <c r="AQ231" s="137">
        <f>Transportation_LCIA!U$61*($W231^Transportation_LCIA!U$60)+Transportation_LCIA!U$62</f>
        <v>9.9717260851609206E-4</v>
      </c>
      <c r="AR231" s="137">
        <f>Transportation_LCIA!V$61*($W231^Transportation_LCIA!V$60)+Transportation_LCIA!V$62</f>
        <v>3.8229923422683721E-4</v>
      </c>
      <c r="AT231" s="137">
        <f>$W231*Y231+$L231*Summary_LCIA!H$32</f>
        <v>174.39403228980248</v>
      </c>
      <c r="AU231" s="137">
        <f>$W231*Z231+$L231*Summary_LCIA!Q$32</f>
        <v>1870.8607533912971</v>
      </c>
      <c r="AV231" s="137">
        <f>$W231*AA231+$L231*Summary_LCIA!R$32</f>
        <v>0.99854120998265117</v>
      </c>
      <c r="AW231" s="137">
        <f>$W231*AB231+$L231*Summary_LCIA!S$32</f>
        <v>174.37005820980249</v>
      </c>
      <c r="AX231" s="137">
        <f>$W231*AC231+$L231*Summary_LCIA!T$32</f>
        <v>43.557379376058492</v>
      </c>
      <c r="AY231" s="137">
        <f>$W231*AD231+$L231*Summary_LCIA!U$32</f>
        <v>0.32469396466281997</v>
      </c>
      <c r="AZ231" s="137">
        <f>$W231*AE231+$L231*Summary_LCIA!V$32</f>
        <v>5.4450381321580997E-3</v>
      </c>
      <c r="BA231" s="137">
        <f>$W231*AF231+$L231*Summary_LCIA!W$32</f>
        <v>8.1363837782939399</v>
      </c>
      <c r="BB231" s="137">
        <f>$W231*AG231+$L231*Summary_LCIA!X$32</f>
        <v>9.5366543955554359</v>
      </c>
      <c r="BC231" s="137">
        <f>$W231*AH231+$L231*Summary_LCIA!Y$32</f>
        <v>0.28605945644630876</v>
      </c>
      <c r="BD231" s="137">
        <f>$W231*AI231+$L231*Summary_LCIA!Z$32</f>
        <v>0.17498515377891255</v>
      </c>
      <c r="BE231" s="137">
        <f>$W231*AJ231+$L231*Summary_LCIA!AA$32</f>
        <v>0.9234558870669709</v>
      </c>
      <c r="BF231" s="137">
        <f>$W231*AK231+$L231*Summary_LCIA!AB$32</f>
        <v>4.5356813628607849E-2</v>
      </c>
      <c r="BG231" s="137">
        <f>$W231*AL231+$L231*Summary_LCIA!AC$32</f>
        <v>2.2213843409126666E-5</v>
      </c>
      <c r="BH231" s="137">
        <f>$W231*AM231+$L231*Summary_LCIA!AD$32</f>
        <v>8.1716691050321838E-2</v>
      </c>
      <c r="BI231" s="137">
        <f>$W231*AN231+$L231*Summary_LCIA!AE$32</f>
        <v>0.25397570767148975</v>
      </c>
      <c r="BJ231" s="137">
        <f>$W231*AO231+$L231*Summary_LCIA!AF$32</f>
        <v>8.2603655797148928E-3</v>
      </c>
      <c r="BK231" s="137">
        <f>$W231*AP231+$L231*Summary_LCIA!AG$32</f>
        <v>3.9523264597148911E-3</v>
      </c>
      <c r="BL231" s="137">
        <f>$W231*AQ231+$L231*Summary_LCIA!AH$32</f>
        <v>0.58695305159027866</v>
      </c>
      <c r="BM231" s="137">
        <f>$W231*AR231+$L231*Summary_LCIA!AI$32</f>
        <v>0.21198179179322213</v>
      </c>
    </row>
    <row r="232" spans="1:65" x14ac:dyDescent="0.25">
      <c r="A232" s="149">
        <v>312</v>
      </c>
      <c r="B232" s="149">
        <v>43</v>
      </c>
      <c r="C232" s="61">
        <v>35.779589999999999</v>
      </c>
      <c r="D232" s="61">
        <v>-78.638178999999994</v>
      </c>
      <c r="E232" s="61" t="s">
        <v>265</v>
      </c>
      <c r="F232" s="149">
        <v>97</v>
      </c>
      <c r="G232" s="61" t="s">
        <v>286</v>
      </c>
      <c r="H232" s="61" t="s">
        <v>718</v>
      </c>
      <c r="I232" s="61">
        <v>35.880079000000002</v>
      </c>
      <c r="J232" s="61">
        <v>-78.787996000000007</v>
      </c>
      <c r="K232" s="61">
        <v>20.075432370000001</v>
      </c>
      <c r="L232" s="61">
        <v>23.661999999999999</v>
      </c>
      <c r="M232" s="61" t="s">
        <v>617</v>
      </c>
      <c r="N232" s="149">
        <v>42</v>
      </c>
      <c r="O232" s="149">
        <v>43</v>
      </c>
      <c r="P232" s="61" t="s">
        <v>565</v>
      </c>
      <c r="Q232" s="61" t="s">
        <v>555</v>
      </c>
      <c r="R232" s="61">
        <v>40.6895314</v>
      </c>
      <c r="S232" s="61">
        <v>-74.174462399999996</v>
      </c>
      <c r="T232" s="61">
        <v>791.2</v>
      </c>
      <c r="U232" s="61" t="s">
        <v>617</v>
      </c>
      <c r="V232" s="61" t="s">
        <v>569</v>
      </c>
      <c r="W232" s="61" cm="1">
        <f t="array" ref="W232">getDistance(I232,J232,R232,S232)*SA!$B$12</f>
        <v>669.93316919902929</v>
      </c>
      <c r="Y232" s="137">
        <f>Transportation_LCIA!C$61*($W232^Transportation_LCIA!C$60)+Transportation_LCIA!C$62</f>
        <v>0.28489604921911549</v>
      </c>
      <c r="Z232" s="137">
        <f>Transportation_LCIA!D$61*($W232^Transportation_LCIA!D$60)+Transportation_LCIA!D$62</f>
        <v>3.0024512292346759</v>
      </c>
      <c r="AA232" s="137">
        <f>Transportation_LCIA!E$61*($W232^Transportation_LCIA!E$60)+Transportation_LCIA!E$62</f>
        <v>1.5245738877866799E-3</v>
      </c>
      <c r="AB232" s="137">
        <f>Transportation_LCIA!F$61*($W232^Transportation_LCIA!F$60)+Transportation_LCIA!F$62</f>
        <v>0.28489604921911549</v>
      </c>
      <c r="AC232" s="137">
        <f>Transportation_LCIA!G$61*($W232^Transportation_LCIA!G$60)+Transportation_LCIA!G$62</f>
        <v>7.0029150522824407E-2</v>
      </c>
      <c r="AD232" s="137">
        <f>Transportation_LCIA!H$61*($W232^Transportation_LCIA!H$60)+Transportation_LCIA!H$62</f>
        <v>3.6082682366747387E-4</v>
      </c>
      <c r="AE232" s="137">
        <f>Transportation_LCIA!I$61*($W232^Transportation_LCIA!I$60)+Transportation_LCIA!I$62</f>
        <v>8.0527423160557447E-6</v>
      </c>
      <c r="AF232" s="137">
        <f>Transportation_LCIA!J$61*($W232^Transportation_LCIA!J$60)+Transportation_LCIA!J$62</f>
        <v>1.1955109219563853E-2</v>
      </c>
      <c r="AG232" s="137">
        <f>Transportation_LCIA!K$61*($W232^Transportation_LCIA!K$60)+Transportation_LCIA!K$62</f>
        <v>1.5185676166608942E-2</v>
      </c>
      <c r="AH232" s="137">
        <f>Transportation_LCIA!L$61*($W232^Transportation_LCIA!L$60)+Transportation_LCIA!L$62</f>
        <v>3.1731319427279008E-4</v>
      </c>
      <c r="AI232" s="137">
        <f>Transportation_LCIA!M$61*($W232^Transportation_LCIA!M$60)+Transportation_LCIA!M$62</f>
        <v>2.899966191747527E-4</v>
      </c>
      <c r="AJ232" s="137">
        <f>Transportation_LCIA!N$61*($W232^Transportation_LCIA!N$60)+Transportation_LCIA!N$62</f>
        <v>1.2721936476231921E-3</v>
      </c>
      <c r="AK232" s="137">
        <f>Transportation_LCIA!O$61*($W232^Transportation_LCIA!O$60)+Transportation_LCIA!O$62</f>
        <v>7.4082522641283401E-5</v>
      </c>
      <c r="AL232" s="137">
        <f>Transportation_LCIA!P$61*($W232^Transportation_LCIA!P$60)+Transportation_LCIA!P$62</f>
        <v>3.5782391792209214E-8</v>
      </c>
      <c r="AM232" s="137">
        <f>Transportation_LCIA!Q$61*($W232^Transportation_LCIA!Q$60)+Transportation_LCIA!Q$62</f>
        <v>1.2526821242063582E-4</v>
      </c>
      <c r="AN232" s="137">
        <f>Transportation_LCIA!R$61*($W232^Transportation_LCIA!R$60)+Transportation_LCIA!R$62</f>
        <v>3.8701614200798296E-4</v>
      </c>
      <c r="AO232" s="137">
        <f>Transportation_LCIA!S$61*($W232^Transportation_LCIA!S$60)+Transportation_LCIA!S$62</f>
        <v>5.7494943543369821E-6</v>
      </c>
      <c r="AP232" s="137">
        <f>Transportation_LCIA!T$61*($W232^Transportation_LCIA!T$60)+Transportation_LCIA!T$62</f>
        <v>5.7494943543369821E-6</v>
      </c>
      <c r="AQ232" s="137">
        <f>Transportation_LCIA!U$61*($W232^Transportation_LCIA!U$60)+Transportation_LCIA!U$62</f>
        <v>8.3577673663843112E-4</v>
      </c>
      <c r="AR232" s="137">
        <f>Transportation_LCIA!V$61*($W232^Transportation_LCIA!V$60)+Transportation_LCIA!V$62</f>
        <v>3.2593120598682981E-4</v>
      </c>
      <c r="AT232" s="137">
        <f>$W232*Y232+$L232*Summary_LCIA!H$32</f>
        <v>198.90166074564468</v>
      </c>
      <c r="AU232" s="137">
        <f>$W232*Z232+$L232*Summary_LCIA!Q$32</f>
        <v>2128.7117327123538</v>
      </c>
      <c r="AV232" s="137">
        <f>$W232*AA232+$L232*Summary_LCIA!R$32</f>
        <v>1.1459572435230156</v>
      </c>
      <c r="AW232" s="137">
        <f>$W232*AB232+$L232*Summary_LCIA!S$32</f>
        <v>198.79707470564469</v>
      </c>
      <c r="AX232" s="137">
        <f>$W232*AC232+$L232*Summary_LCIA!T$32</f>
        <v>49.515304546071611</v>
      </c>
      <c r="AY232" s="137">
        <f>$W232*AD232+$L232*Summary_LCIA!U$32</f>
        <v>0.66561092551157008</v>
      </c>
      <c r="AZ232" s="137">
        <f>$W232*AE232+$L232*Summary_LCIA!V$32</f>
        <v>6.5249199625383569E-3</v>
      </c>
      <c r="BA232" s="137">
        <f>$W232*AF232+$L232*Summary_LCIA!W$32</f>
        <v>9.8304120095829468</v>
      </c>
      <c r="BB232" s="137">
        <f>$W232*AG232+$L232*Summary_LCIA!X$32</f>
        <v>10.712408520726495</v>
      </c>
      <c r="BC232" s="137">
        <f>$W232*AH232+$L232*Summary_LCIA!Y$32</f>
        <v>0.58127991786783761</v>
      </c>
      <c r="BD232" s="137">
        <f>$W232*AI232+$L232*Summary_LCIA!Z$32</f>
        <v>0.19524870909874606</v>
      </c>
      <c r="BE232" s="137">
        <f>$W232*AJ232+$L232*Summary_LCIA!AA$32</f>
        <v>1.404934394187078</v>
      </c>
      <c r="BF232" s="137">
        <f>$W232*AK232+$L232*Summary_LCIA!AB$32</f>
        <v>4.9113963349333836E-2</v>
      </c>
      <c r="BG232" s="137">
        <f>$W232*AL232+$L232*Summary_LCIA!AC$32</f>
        <v>2.512850434287605E-5</v>
      </c>
      <c r="BH232" s="137">
        <f>$W232*AM232+$L232*Summary_LCIA!AD$32</f>
        <v>9.3647359026853755E-2</v>
      </c>
      <c r="BI232" s="137">
        <f>$W232*AN232+$L232*Summary_LCIA!AE$32</f>
        <v>0.28024255860658959</v>
      </c>
      <c r="BJ232" s="137">
        <f>$W232*AO232+$L232*Summary_LCIA!AF$32</f>
        <v>2.3856105014092903E-2</v>
      </c>
      <c r="BK232" s="137">
        <f>$W232*AP232+$L232*Summary_LCIA!AG$32</f>
        <v>5.0624432040929012E-3</v>
      </c>
      <c r="BL232" s="137">
        <f>$W232*AQ232+$L232*Summary_LCIA!AH$32</f>
        <v>0.76585914111900655</v>
      </c>
      <c r="BM232" s="137">
        <f>$W232*AR232+$L232*Summary_LCIA!AI$32</f>
        <v>0.24039446186761854</v>
      </c>
    </row>
    <row r="233" spans="1:65" x14ac:dyDescent="0.25">
      <c r="A233" s="149">
        <v>313</v>
      </c>
      <c r="B233" s="149">
        <v>43</v>
      </c>
      <c r="C233" s="61">
        <v>35.779589999999999</v>
      </c>
      <c r="D233" s="61">
        <v>-78.638178999999994</v>
      </c>
      <c r="E233" s="61" t="s">
        <v>265</v>
      </c>
      <c r="F233" s="149">
        <v>97</v>
      </c>
      <c r="G233" s="61" t="s">
        <v>286</v>
      </c>
      <c r="H233" s="61" t="s">
        <v>718</v>
      </c>
      <c r="I233" s="61">
        <v>35.880079000000002</v>
      </c>
      <c r="J233" s="61">
        <v>-78.787996000000007</v>
      </c>
      <c r="K233" s="61">
        <v>20.075432370000001</v>
      </c>
      <c r="L233" s="61">
        <v>23.661999999999999</v>
      </c>
      <c r="M233" s="61" t="s">
        <v>617</v>
      </c>
      <c r="N233" s="149">
        <v>42</v>
      </c>
      <c r="O233" s="149">
        <v>43</v>
      </c>
      <c r="P233" s="61" t="s">
        <v>565</v>
      </c>
      <c r="Q233" s="61" t="s">
        <v>555</v>
      </c>
      <c r="R233" s="61">
        <v>40.6895314</v>
      </c>
      <c r="S233" s="61">
        <v>-74.174462399999996</v>
      </c>
      <c r="T233" s="61">
        <v>791.2</v>
      </c>
      <c r="U233" s="61" t="s">
        <v>617</v>
      </c>
      <c r="V233" s="61" t="s">
        <v>569</v>
      </c>
      <c r="W233" s="61" cm="1">
        <f t="array" ref="W233">getDistance(I233,J233,R233,S233)*SA!$B$12</f>
        <v>669.93316919902929</v>
      </c>
      <c r="Y233" s="137">
        <f>Transportation_LCIA!C$61*($W233^Transportation_LCIA!C$60)+Transportation_LCIA!C$62</f>
        <v>0.28489604921911549</v>
      </c>
      <c r="Z233" s="137">
        <f>Transportation_LCIA!D$61*($W233^Transportation_LCIA!D$60)+Transportation_LCIA!D$62</f>
        <v>3.0024512292346759</v>
      </c>
      <c r="AA233" s="137">
        <f>Transportation_LCIA!E$61*($W233^Transportation_LCIA!E$60)+Transportation_LCIA!E$62</f>
        <v>1.5245738877866799E-3</v>
      </c>
      <c r="AB233" s="137">
        <f>Transportation_LCIA!F$61*($W233^Transportation_LCIA!F$60)+Transportation_LCIA!F$62</f>
        <v>0.28489604921911549</v>
      </c>
      <c r="AC233" s="137">
        <f>Transportation_LCIA!G$61*($W233^Transportation_LCIA!G$60)+Transportation_LCIA!G$62</f>
        <v>7.0029150522824407E-2</v>
      </c>
      <c r="AD233" s="137">
        <f>Transportation_LCIA!H$61*($W233^Transportation_LCIA!H$60)+Transportation_LCIA!H$62</f>
        <v>3.6082682366747387E-4</v>
      </c>
      <c r="AE233" s="137">
        <f>Transportation_LCIA!I$61*($W233^Transportation_LCIA!I$60)+Transportation_LCIA!I$62</f>
        <v>8.0527423160557447E-6</v>
      </c>
      <c r="AF233" s="137">
        <f>Transportation_LCIA!J$61*($W233^Transportation_LCIA!J$60)+Transportation_LCIA!J$62</f>
        <v>1.1955109219563853E-2</v>
      </c>
      <c r="AG233" s="137">
        <f>Transportation_LCIA!K$61*($W233^Transportation_LCIA!K$60)+Transportation_LCIA!K$62</f>
        <v>1.5185676166608942E-2</v>
      </c>
      <c r="AH233" s="137">
        <f>Transportation_LCIA!L$61*($W233^Transportation_LCIA!L$60)+Transportation_LCIA!L$62</f>
        <v>3.1731319427279008E-4</v>
      </c>
      <c r="AI233" s="137">
        <f>Transportation_LCIA!M$61*($W233^Transportation_LCIA!M$60)+Transportation_LCIA!M$62</f>
        <v>2.899966191747527E-4</v>
      </c>
      <c r="AJ233" s="137">
        <f>Transportation_LCIA!N$61*($W233^Transportation_LCIA!N$60)+Transportation_LCIA!N$62</f>
        <v>1.2721936476231921E-3</v>
      </c>
      <c r="AK233" s="137">
        <f>Transportation_LCIA!O$61*($W233^Transportation_LCIA!O$60)+Transportation_LCIA!O$62</f>
        <v>7.4082522641283401E-5</v>
      </c>
      <c r="AL233" s="137">
        <f>Transportation_LCIA!P$61*($W233^Transportation_LCIA!P$60)+Transportation_LCIA!P$62</f>
        <v>3.5782391792209214E-8</v>
      </c>
      <c r="AM233" s="137">
        <f>Transportation_LCIA!Q$61*($W233^Transportation_LCIA!Q$60)+Transportation_LCIA!Q$62</f>
        <v>1.2526821242063582E-4</v>
      </c>
      <c r="AN233" s="137">
        <f>Transportation_LCIA!R$61*($W233^Transportation_LCIA!R$60)+Transportation_LCIA!R$62</f>
        <v>3.8701614200798296E-4</v>
      </c>
      <c r="AO233" s="137">
        <f>Transportation_LCIA!S$61*($W233^Transportation_LCIA!S$60)+Transportation_LCIA!S$62</f>
        <v>5.7494943543369821E-6</v>
      </c>
      <c r="AP233" s="137">
        <f>Transportation_LCIA!T$61*($W233^Transportation_LCIA!T$60)+Transportation_LCIA!T$62</f>
        <v>5.7494943543369821E-6</v>
      </c>
      <c r="AQ233" s="137">
        <f>Transportation_LCIA!U$61*($W233^Transportation_LCIA!U$60)+Transportation_LCIA!U$62</f>
        <v>8.3577673663843112E-4</v>
      </c>
      <c r="AR233" s="137">
        <f>Transportation_LCIA!V$61*($W233^Transportation_LCIA!V$60)+Transportation_LCIA!V$62</f>
        <v>3.2593120598682981E-4</v>
      </c>
      <c r="AT233" s="137">
        <f>$W233*Y233+$L233*Summary_LCIA!H$32</f>
        <v>198.90166074564468</v>
      </c>
      <c r="AU233" s="137">
        <f>$W233*Z233+$L233*Summary_LCIA!Q$32</f>
        <v>2128.7117327123538</v>
      </c>
      <c r="AV233" s="137">
        <f>$W233*AA233+$L233*Summary_LCIA!R$32</f>
        <v>1.1459572435230156</v>
      </c>
      <c r="AW233" s="137">
        <f>$W233*AB233+$L233*Summary_LCIA!S$32</f>
        <v>198.79707470564469</v>
      </c>
      <c r="AX233" s="137">
        <f>$W233*AC233+$L233*Summary_LCIA!T$32</f>
        <v>49.515304546071611</v>
      </c>
      <c r="AY233" s="137">
        <f>$W233*AD233+$L233*Summary_LCIA!U$32</f>
        <v>0.66561092551157008</v>
      </c>
      <c r="AZ233" s="137">
        <f>$W233*AE233+$L233*Summary_LCIA!V$32</f>
        <v>6.5249199625383569E-3</v>
      </c>
      <c r="BA233" s="137">
        <f>$W233*AF233+$L233*Summary_LCIA!W$32</f>
        <v>9.8304120095829468</v>
      </c>
      <c r="BB233" s="137">
        <f>$W233*AG233+$L233*Summary_LCIA!X$32</f>
        <v>10.712408520726495</v>
      </c>
      <c r="BC233" s="137">
        <f>$W233*AH233+$L233*Summary_LCIA!Y$32</f>
        <v>0.58127991786783761</v>
      </c>
      <c r="BD233" s="137">
        <f>$W233*AI233+$L233*Summary_LCIA!Z$32</f>
        <v>0.19524870909874606</v>
      </c>
      <c r="BE233" s="137">
        <f>$W233*AJ233+$L233*Summary_LCIA!AA$32</f>
        <v>1.404934394187078</v>
      </c>
      <c r="BF233" s="137">
        <f>$W233*AK233+$L233*Summary_LCIA!AB$32</f>
        <v>4.9113963349333836E-2</v>
      </c>
      <c r="BG233" s="137">
        <f>$W233*AL233+$L233*Summary_LCIA!AC$32</f>
        <v>2.512850434287605E-5</v>
      </c>
      <c r="BH233" s="137">
        <f>$W233*AM233+$L233*Summary_LCIA!AD$32</f>
        <v>9.3647359026853755E-2</v>
      </c>
      <c r="BI233" s="137">
        <f>$W233*AN233+$L233*Summary_LCIA!AE$32</f>
        <v>0.28024255860658959</v>
      </c>
      <c r="BJ233" s="137">
        <f>$W233*AO233+$L233*Summary_LCIA!AF$32</f>
        <v>2.3856105014092903E-2</v>
      </c>
      <c r="BK233" s="137">
        <f>$W233*AP233+$L233*Summary_LCIA!AG$32</f>
        <v>5.0624432040929012E-3</v>
      </c>
      <c r="BL233" s="137">
        <f>$W233*AQ233+$L233*Summary_LCIA!AH$32</f>
        <v>0.76585914111900655</v>
      </c>
      <c r="BM233" s="137">
        <f>$W233*AR233+$L233*Summary_LCIA!AI$32</f>
        <v>0.24039446186761854</v>
      </c>
    </row>
    <row r="234" spans="1:65" x14ac:dyDescent="0.25">
      <c r="A234" s="149">
        <v>314</v>
      </c>
      <c r="B234" s="149">
        <v>43</v>
      </c>
      <c r="C234" s="61">
        <v>35.779589999999999</v>
      </c>
      <c r="D234" s="61">
        <v>-78.638178999999994</v>
      </c>
      <c r="E234" s="61" t="s">
        <v>265</v>
      </c>
      <c r="F234" s="149">
        <v>97</v>
      </c>
      <c r="G234" s="61" t="s">
        <v>286</v>
      </c>
      <c r="H234" s="61" t="s">
        <v>718</v>
      </c>
      <c r="I234" s="61">
        <v>35.880079000000002</v>
      </c>
      <c r="J234" s="61">
        <v>-78.787996000000007</v>
      </c>
      <c r="K234" s="61">
        <v>20.075432370000001</v>
      </c>
      <c r="L234" s="61">
        <v>23.661999999999999</v>
      </c>
      <c r="M234" s="61" t="s">
        <v>617</v>
      </c>
      <c r="N234" s="149">
        <v>42</v>
      </c>
      <c r="O234" s="149">
        <v>43</v>
      </c>
      <c r="P234" s="61" t="s">
        <v>565</v>
      </c>
      <c r="Q234" s="61" t="s">
        <v>555</v>
      </c>
      <c r="R234" s="61">
        <v>40.6895314</v>
      </c>
      <c r="S234" s="61">
        <v>-74.174462399999996</v>
      </c>
      <c r="T234" s="61">
        <v>791.2</v>
      </c>
      <c r="U234" s="61" t="s">
        <v>617</v>
      </c>
      <c r="V234" s="61" t="s">
        <v>569</v>
      </c>
      <c r="W234" s="61" cm="1">
        <f t="array" ref="W234">getDistance(I234,J234,R234,S234)*SA!$B$12</f>
        <v>669.93316919902929</v>
      </c>
      <c r="Y234" s="137">
        <f>Transportation_LCIA!C$61*($W234^Transportation_LCIA!C$60)+Transportation_LCIA!C$62</f>
        <v>0.28489604921911549</v>
      </c>
      <c r="Z234" s="137">
        <f>Transportation_LCIA!D$61*($W234^Transportation_LCIA!D$60)+Transportation_LCIA!D$62</f>
        <v>3.0024512292346759</v>
      </c>
      <c r="AA234" s="137">
        <f>Transportation_LCIA!E$61*($W234^Transportation_LCIA!E$60)+Transportation_LCIA!E$62</f>
        <v>1.5245738877866799E-3</v>
      </c>
      <c r="AB234" s="137">
        <f>Transportation_LCIA!F$61*($W234^Transportation_LCIA!F$60)+Transportation_LCIA!F$62</f>
        <v>0.28489604921911549</v>
      </c>
      <c r="AC234" s="137">
        <f>Transportation_LCIA!G$61*($W234^Transportation_LCIA!G$60)+Transportation_LCIA!G$62</f>
        <v>7.0029150522824407E-2</v>
      </c>
      <c r="AD234" s="137">
        <f>Transportation_LCIA!H$61*($W234^Transportation_LCIA!H$60)+Transportation_LCIA!H$62</f>
        <v>3.6082682366747387E-4</v>
      </c>
      <c r="AE234" s="137">
        <f>Transportation_LCIA!I$61*($W234^Transportation_LCIA!I$60)+Transportation_LCIA!I$62</f>
        <v>8.0527423160557447E-6</v>
      </c>
      <c r="AF234" s="137">
        <f>Transportation_LCIA!J$61*($W234^Transportation_LCIA!J$60)+Transportation_LCIA!J$62</f>
        <v>1.1955109219563853E-2</v>
      </c>
      <c r="AG234" s="137">
        <f>Transportation_LCIA!K$61*($W234^Transportation_LCIA!K$60)+Transportation_LCIA!K$62</f>
        <v>1.5185676166608942E-2</v>
      </c>
      <c r="AH234" s="137">
        <f>Transportation_LCIA!L$61*($W234^Transportation_LCIA!L$60)+Transportation_LCIA!L$62</f>
        <v>3.1731319427279008E-4</v>
      </c>
      <c r="AI234" s="137">
        <f>Transportation_LCIA!M$61*($W234^Transportation_LCIA!M$60)+Transportation_LCIA!M$62</f>
        <v>2.899966191747527E-4</v>
      </c>
      <c r="AJ234" s="137">
        <f>Transportation_LCIA!N$61*($W234^Transportation_LCIA!N$60)+Transportation_LCIA!N$62</f>
        <v>1.2721936476231921E-3</v>
      </c>
      <c r="AK234" s="137">
        <f>Transportation_LCIA!O$61*($W234^Transportation_LCIA!O$60)+Transportation_LCIA!O$62</f>
        <v>7.4082522641283401E-5</v>
      </c>
      <c r="AL234" s="137">
        <f>Transportation_LCIA!P$61*($W234^Transportation_LCIA!P$60)+Transportation_LCIA!P$62</f>
        <v>3.5782391792209214E-8</v>
      </c>
      <c r="AM234" s="137">
        <f>Transportation_LCIA!Q$61*($W234^Transportation_LCIA!Q$60)+Transportation_LCIA!Q$62</f>
        <v>1.2526821242063582E-4</v>
      </c>
      <c r="AN234" s="137">
        <f>Transportation_LCIA!R$61*($W234^Transportation_LCIA!R$60)+Transportation_LCIA!R$62</f>
        <v>3.8701614200798296E-4</v>
      </c>
      <c r="AO234" s="137">
        <f>Transportation_LCIA!S$61*($W234^Transportation_LCIA!S$60)+Transportation_LCIA!S$62</f>
        <v>5.7494943543369821E-6</v>
      </c>
      <c r="AP234" s="137">
        <f>Transportation_LCIA!T$61*($W234^Transportation_LCIA!T$60)+Transportation_LCIA!T$62</f>
        <v>5.7494943543369821E-6</v>
      </c>
      <c r="AQ234" s="137">
        <f>Transportation_LCIA!U$61*($W234^Transportation_LCIA!U$60)+Transportation_LCIA!U$62</f>
        <v>8.3577673663843112E-4</v>
      </c>
      <c r="AR234" s="137">
        <f>Transportation_LCIA!V$61*($W234^Transportation_LCIA!V$60)+Transportation_LCIA!V$62</f>
        <v>3.2593120598682981E-4</v>
      </c>
      <c r="AT234" s="137">
        <f>$W234*Y234+$L234*Summary_LCIA!H$32</f>
        <v>198.90166074564468</v>
      </c>
      <c r="AU234" s="137">
        <f>$W234*Z234+$L234*Summary_LCIA!Q$32</f>
        <v>2128.7117327123538</v>
      </c>
      <c r="AV234" s="137">
        <f>$W234*AA234+$L234*Summary_LCIA!R$32</f>
        <v>1.1459572435230156</v>
      </c>
      <c r="AW234" s="137">
        <f>$W234*AB234+$L234*Summary_LCIA!S$32</f>
        <v>198.79707470564469</v>
      </c>
      <c r="AX234" s="137">
        <f>$W234*AC234+$L234*Summary_LCIA!T$32</f>
        <v>49.515304546071611</v>
      </c>
      <c r="AY234" s="137">
        <f>$W234*AD234+$L234*Summary_LCIA!U$32</f>
        <v>0.66561092551157008</v>
      </c>
      <c r="AZ234" s="137">
        <f>$W234*AE234+$L234*Summary_LCIA!V$32</f>
        <v>6.5249199625383569E-3</v>
      </c>
      <c r="BA234" s="137">
        <f>$W234*AF234+$L234*Summary_LCIA!W$32</f>
        <v>9.8304120095829468</v>
      </c>
      <c r="BB234" s="137">
        <f>$W234*AG234+$L234*Summary_LCIA!X$32</f>
        <v>10.712408520726495</v>
      </c>
      <c r="BC234" s="137">
        <f>$W234*AH234+$L234*Summary_LCIA!Y$32</f>
        <v>0.58127991786783761</v>
      </c>
      <c r="BD234" s="137">
        <f>$W234*AI234+$L234*Summary_LCIA!Z$32</f>
        <v>0.19524870909874606</v>
      </c>
      <c r="BE234" s="137">
        <f>$W234*AJ234+$L234*Summary_LCIA!AA$32</f>
        <v>1.404934394187078</v>
      </c>
      <c r="BF234" s="137">
        <f>$W234*AK234+$L234*Summary_LCIA!AB$32</f>
        <v>4.9113963349333836E-2</v>
      </c>
      <c r="BG234" s="137">
        <f>$W234*AL234+$L234*Summary_LCIA!AC$32</f>
        <v>2.512850434287605E-5</v>
      </c>
      <c r="BH234" s="137">
        <f>$W234*AM234+$L234*Summary_LCIA!AD$32</f>
        <v>9.3647359026853755E-2</v>
      </c>
      <c r="BI234" s="137">
        <f>$W234*AN234+$L234*Summary_LCIA!AE$32</f>
        <v>0.28024255860658959</v>
      </c>
      <c r="BJ234" s="137">
        <f>$W234*AO234+$L234*Summary_LCIA!AF$32</f>
        <v>2.3856105014092903E-2</v>
      </c>
      <c r="BK234" s="137">
        <f>$W234*AP234+$L234*Summary_LCIA!AG$32</f>
        <v>5.0624432040929012E-3</v>
      </c>
      <c r="BL234" s="137">
        <f>$W234*AQ234+$L234*Summary_LCIA!AH$32</f>
        <v>0.76585914111900655</v>
      </c>
      <c r="BM234" s="137">
        <f>$W234*AR234+$L234*Summary_LCIA!AI$32</f>
        <v>0.24039446186761854</v>
      </c>
    </row>
    <row r="235" spans="1:65" x14ac:dyDescent="0.25">
      <c r="A235" s="149">
        <v>310</v>
      </c>
      <c r="B235" s="149">
        <v>43</v>
      </c>
      <c r="C235" s="61">
        <v>35.785055</v>
      </c>
      <c r="D235" s="61">
        <v>-78.681944999999999</v>
      </c>
      <c r="E235" s="61" t="s">
        <v>265</v>
      </c>
      <c r="F235" s="149">
        <v>97</v>
      </c>
      <c r="G235" s="61" t="s">
        <v>286</v>
      </c>
      <c r="H235" s="61" t="s">
        <v>718</v>
      </c>
      <c r="I235" s="61">
        <v>35.880079000000002</v>
      </c>
      <c r="J235" s="61">
        <v>-78.787996000000007</v>
      </c>
      <c r="K235" s="61">
        <v>17.190043989999999</v>
      </c>
      <c r="L235" s="61">
        <v>19.38</v>
      </c>
      <c r="M235" s="61" t="s">
        <v>617</v>
      </c>
      <c r="N235" s="149">
        <v>42</v>
      </c>
      <c r="O235" s="149">
        <v>43</v>
      </c>
      <c r="P235" s="61" t="s">
        <v>565</v>
      </c>
      <c r="Q235" s="61" t="s">
        <v>555</v>
      </c>
      <c r="R235" s="61">
        <v>40.6895314</v>
      </c>
      <c r="S235" s="61">
        <v>-74.174462399999996</v>
      </c>
      <c r="T235" s="61">
        <v>795.82799999999997</v>
      </c>
      <c r="U235" s="61" t="s">
        <v>617</v>
      </c>
      <c r="V235" s="61" t="s">
        <v>569</v>
      </c>
      <c r="W235" s="61" cm="1">
        <f t="array" ref="W235">getDistance(I235,J235,R235,S235)*SA!$B$12</f>
        <v>669.93316919902929</v>
      </c>
      <c r="Y235" s="137">
        <f>Transportation_LCIA!C$61*($W235^Transportation_LCIA!C$60)+Transportation_LCIA!C$62</f>
        <v>0.28489604921911549</v>
      </c>
      <c r="Z235" s="137">
        <f>Transportation_LCIA!D$61*($W235^Transportation_LCIA!D$60)+Transportation_LCIA!D$62</f>
        <v>3.0024512292346759</v>
      </c>
      <c r="AA235" s="137">
        <f>Transportation_LCIA!E$61*($W235^Transportation_LCIA!E$60)+Transportation_LCIA!E$62</f>
        <v>1.5245738877866799E-3</v>
      </c>
      <c r="AB235" s="137">
        <f>Transportation_LCIA!F$61*($W235^Transportation_LCIA!F$60)+Transportation_LCIA!F$62</f>
        <v>0.28489604921911549</v>
      </c>
      <c r="AC235" s="137">
        <f>Transportation_LCIA!G$61*($W235^Transportation_LCIA!G$60)+Transportation_LCIA!G$62</f>
        <v>7.0029150522824407E-2</v>
      </c>
      <c r="AD235" s="137">
        <f>Transportation_LCIA!H$61*($W235^Transportation_LCIA!H$60)+Transportation_LCIA!H$62</f>
        <v>3.6082682366747387E-4</v>
      </c>
      <c r="AE235" s="137">
        <f>Transportation_LCIA!I$61*($W235^Transportation_LCIA!I$60)+Transportation_LCIA!I$62</f>
        <v>8.0527423160557447E-6</v>
      </c>
      <c r="AF235" s="137">
        <f>Transportation_LCIA!J$61*($W235^Transportation_LCIA!J$60)+Transportation_LCIA!J$62</f>
        <v>1.1955109219563853E-2</v>
      </c>
      <c r="AG235" s="137">
        <f>Transportation_LCIA!K$61*($W235^Transportation_LCIA!K$60)+Transportation_LCIA!K$62</f>
        <v>1.5185676166608942E-2</v>
      </c>
      <c r="AH235" s="137">
        <f>Transportation_LCIA!L$61*($W235^Transportation_LCIA!L$60)+Transportation_LCIA!L$62</f>
        <v>3.1731319427279008E-4</v>
      </c>
      <c r="AI235" s="137">
        <f>Transportation_LCIA!M$61*($W235^Transportation_LCIA!M$60)+Transportation_LCIA!M$62</f>
        <v>2.899966191747527E-4</v>
      </c>
      <c r="AJ235" s="137">
        <f>Transportation_LCIA!N$61*($W235^Transportation_LCIA!N$60)+Transportation_LCIA!N$62</f>
        <v>1.2721936476231921E-3</v>
      </c>
      <c r="AK235" s="137">
        <f>Transportation_LCIA!O$61*($W235^Transportation_LCIA!O$60)+Transportation_LCIA!O$62</f>
        <v>7.4082522641283401E-5</v>
      </c>
      <c r="AL235" s="137">
        <f>Transportation_LCIA!P$61*($W235^Transportation_LCIA!P$60)+Transportation_LCIA!P$62</f>
        <v>3.5782391792209214E-8</v>
      </c>
      <c r="AM235" s="137">
        <f>Transportation_LCIA!Q$61*($W235^Transportation_LCIA!Q$60)+Transportation_LCIA!Q$62</f>
        <v>1.2526821242063582E-4</v>
      </c>
      <c r="AN235" s="137">
        <f>Transportation_LCIA!R$61*($W235^Transportation_LCIA!R$60)+Transportation_LCIA!R$62</f>
        <v>3.8701614200798296E-4</v>
      </c>
      <c r="AO235" s="137">
        <f>Transportation_LCIA!S$61*($W235^Transportation_LCIA!S$60)+Transportation_LCIA!S$62</f>
        <v>5.7494943543369821E-6</v>
      </c>
      <c r="AP235" s="137">
        <f>Transportation_LCIA!T$61*($W235^Transportation_LCIA!T$60)+Transportation_LCIA!T$62</f>
        <v>5.7494943543369821E-6</v>
      </c>
      <c r="AQ235" s="137">
        <f>Transportation_LCIA!U$61*($W235^Transportation_LCIA!U$60)+Transportation_LCIA!U$62</f>
        <v>8.3577673663843112E-4</v>
      </c>
      <c r="AR235" s="137">
        <f>Transportation_LCIA!V$61*($W235^Transportation_LCIA!V$60)+Transportation_LCIA!V$62</f>
        <v>3.2593120598682981E-4</v>
      </c>
      <c r="AT235" s="137">
        <f>$W235*Y235+$L235*Summary_LCIA!H$32</f>
        <v>197.44663714564467</v>
      </c>
      <c r="AU235" s="137">
        <f>$W235*Z235+$L235*Summary_LCIA!Q$32</f>
        <v>2107.4899247582475</v>
      </c>
      <c r="AV235" s="137">
        <f>$W235*AA235+$L235*Summary_LCIA!R$32</f>
        <v>1.1234099443230157</v>
      </c>
      <c r="AW235" s="137">
        <f>$W235*AB235+$L235*Summary_LCIA!S$32</f>
        <v>197.36097754564469</v>
      </c>
      <c r="AX235" s="137">
        <f>$W235*AC235+$L235*Summary_LCIA!T$32</f>
        <v>49.044712746071617</v>
      </c>
      <c r="AY235" s="137">
        <f>$W235*AD235+$L235*Summary_LCIA!U$32</f>
        <v>0.58890317751157006</v>
      </c>
      <c r="AZ235" s="137">
        <f>$W235*AE235+$L235*Summary_LCIA!V$32</f>
        <v>6.3204073605383562E-3</v>
      </c>
      <c r="BA235" s="137">
        <f>$W235*AF235+$L235*Summary_LCIA!W$32</f>
        <v>9.5008221875829459</v>
      </c>
      <c r="BB235" s="137">
        <f>$W235*AG235+$L235*Summary_LCIA!X$32</f>
        <v>10.614864560726495</v>
      </c>
      <c r="BC235" s="137">
        <f>$W235*AH235+$L235*Summary_LCIA!Y$32</f>
        <v>0.51455779386783751</v>
      </c>
      <c r="BD235" s="137">
        <f>$W235*AI235+$L235*Summary_LCIA!Z$32</f>
        <v>0.19507310856074606</v>
      </c>
      <c r="BE235" s="137">
        <f>$W235*AJ235+$L235*Summary_LCIA!AA$32</f>
        <v>1.304924002187078</v>
      </c>
      <c r="BF235" s="137">
        <f>$W235*AK235+$L235*Summary_LCIA!AB$32</f>
        <v>4.9207409435333832E-2</v>
      </c>
      <c r="BG235" s="137">
        <f>$W235*AL235+$L235*Summary_LCIA!AC$32</f>
        <v>2.491918305487605E-5</v>
      </c>
      <c r="BH235" s="137">
        <f>$W235*AM235+$L235*Summary_LCIA!AD$32</f>
        <v>9.1887285746853758E-2</v>
      </c>
      <c r="BI235" s="137">
        <f>$W235*AN235+$L235*Summary_LCIA!AE$32</f>
        <v>0.27644814994658962</v>
      </c>
      <c r="BJ235" s="137">
        <f>$W235*AO235+$L235*Summary_LCIA!AF$32</f>
        <v>2.0236016574092901E-2</v>
      </c>
      <c r="BK235" s="137">
        <f>$W235*AP235+$L235*Summary_LCIA!AG$32</f>
        <v>4.8433546740929015E-3</v>
      </c>
      <c r="BL235" s="137">
        <f>$W235*AQ235+$L235*Summary_LCIA!AH$32</f>
        <v>0.72859032591900652</v>
      </c>
      <c r="BM235" s="137">
        <f>$W235*AR235+$L235*Summary_LCIA!AI$32</f>
        <v>0.23640556476761854</v>
      </c>
    </row>
    <row r="236" spans="1:65" x14ac:dyDescent="0.25">
      <c r="A236" s="149">
        <v>311</v>
      </c>
      <c r="B236" s="149">
        <v>43</v>
      </c>
      <c r="C236" s="61">
        <v>35.785055</v>
      </c>
      <c r="D236" s="61">
        <v>-78.681944999999999</v>
      </c>
      <c r="E236" s="61" t="s">
        <v>265</v>
      </c>
      <c r="F236" s="149">
        <v>97</v>
      </c>
      <c r="G236" s="61" t="s">
        <v>286</v>
      </c>
      <c r="H236" s="61" t="s">
        <v>718</v>
      </c>
      <c r="I236" s="61">
        <v>35.880079000000002</v>
      </c>
      <c r="J236" s="61">
        <v>-78.787996000000007</v>
      </c>
      <c r="K236" s="61">
        <v>17.190043989999999</v>
      </c>
      <c r="L236" s="61">
        <v>19.38</v>
      </c>
      <c r="M236" s="61" t="s">
        <v>617</v>
      </c>
      <c r="N236" s="149">
        <v>42</v>
      </c>
      <c r="O236" s="149">
        <v>43</v>
      </c>
      <c r="P236" s="61" t="s">
        <v>565</v>
      </c>
      <c r="Q236" s="61" t="s">
        <v>555</v>
      </c>
      <c r="R236" s="61">
        <v>40.6895314</v>
      </c>
      <c r="S236" s="61">
        <v>-74.174462399999996</v>
      </c>
      <c r="T236" s="61">
        <v>795.82799999999997</v>
      </c>
      <c r="U236" s="61" t="s">
        <v>617</v>
      </c>
      <c r="V236" s="61" t="s">
        <v>569</v>
      </c>
      <c r="W236" s="61" cm="1">
        <f t="array" ref="W236">getDistance(I236,J236,R236,S236)*SA!$B$12</f>
        <v>669.93316919902929</v>
      </c>
      <c r="Y236" s="137">
        <f>Transportation_LCIA!C$61*($W236^Transportation_LCIA!C$60)+Transportation_LCIA!C$62</f>
        <v>0.28489604921911549</v>
      </c>
      <c r="Z236" s="137">
        <f>Transportation_LCIA!D$61*($W236^Transportation_LCIA!D$60)+Transportation_LCIA!D$62</f>
        <v>3.0024512292346759</v>
      </c>
      <c r="AA236" s="137">
        <f>Transportation_LCIA!E$61*($W236^Transportation_LCIA!E$60)+Transportation_LCIA!E$62</f>
        <v>1.5245738877866799E-3</v>
      </c>
      <c r="AB236" s="137">
        <f>Transportation_LCIA!F$61*($W236^Transportation_LCIA!F$60)+Transportation_LCIA!F$62</f>
        <v>0.28489604921911549</v>
      </c>
      <c r="AC236" s="137">
        <f>Transportation_LCIA!G$61*($W236^Transportation_LCIA!G$60)+Transportation_LCIA!G$62</f>
        <v>7.0029150522824407E-2</v>
      </c>
      <c r="AD236" s="137">
        <f>Transportation_LCIA!H$61*($W236^Transportation_LCIA!H$60)+Transportation_LCIA!H$62</f>
        <v>3.6082682366747387E-4</v>
      </c>
      <c r="AE236" s="137">
        <f>Transportation_LCIA!I$61*($W236^Transportation_LCIA!I$60)+Transportation_LCIA!I$62</f>
        <v>8.0527423160557447E-6</v>
      </c>
      <c r="AF236" s="137">
        <f>Transportation_LCIA!J$61*($W236^Transportation_LCIA!J$60)+Transportation_LCIA!J$62</f>
        <v>1.1955109219563853E-2</v>
      </c>
      <c r="AG236" s="137">
        <f>Transportation_LCIA!K$61*($W236^Transportation_LCIA!K$60)+Transportation_LCIA!K$62</f>
        <v>1.5185676166608942E-2</v>
      </c>
      <c r="AH236" s="137">
        <f>Transportation_LCIA!L$61*($W236^Transportation_LCIA!L$60)+Transportation_LCIA!L$62</f>
        <v>3.1731319427279008E-4</v>
      </c>
      <c r="AI236" s="137">
        <f>Transportation_LCIA!M$61*($W236^Transportation_LCIA!M$60)+Transportation_LCIA!M$62</f>
        <v>2.899966191747527E-4</v>
      </c>
      <c r="AJ236" s="137">
        <f>Transportation_LCIA!N$61*($W236^Transportation_LCIA!N$60)+Transportation_LCIA!N$62</f>
        <v>1.2721936476231921E-3</v>
      </c>
      <c r="AK236" s="137">
        <f>Transportation_LCIA!O$61*($W236^Transportation_LCIA!O$60)+Transportation_LCIA!O$62</f>
        <v>7.4082522641283401E-5</v>
      </c>
      <c r="AL236" s="137">
        <f>Transportation_LCIA!P$61*($W236^Transportation_LCIA!P$60)+Transportation_LCIA!P$62</f>
        <v>3.5782391792209214E-8</v>
      </c>
      <c r="AM236" s="137">
        <f>Transportation_LCIA!Q$61*($W236^Transportation_LCIA!Q$60)+Transportation_LCIA!Q$62</f>
        <v>1.2526821242063582E-4</v>
      </c>
      <c r="AN236" s="137">
        <f>Transportation_LCIA!R$61*($W236^Transportation_LCIA!R$60)+Transportation_LCIA!R$62</f>
        <v>3.8701614200798296E-4</v>
      </c>
      <c r="AO236" s="137">
        <f>Transportation_LCIA!S$61*($W236^Transportation_LCIA!S$60)+Transportation_LCIA!S$62</f>
        <v>5.7494943543369821E-6</v>
      </c>
      <c r="AP236" s="137">
        <f>Transportation_LCIA!T$61*($W236^Transportation_LCIA!T$60)+Transportation_LCIA!T$62</f>
        <v>5.7494943543369821E-6</v>
      </c>
      <c r="AQ236" s="137">
        <f>Transportation_LCIA!U$61*($W236^Transportation_LCIA!U$60)+Transportation_LCIA!U$62</f>
        <v>8.3577673663843112E-4</v>
      </c>
      <c r="AR236" s="137">
        <f>Transportation_LCIA!V$61*($W236^Transportation_LCIA!V$60)+Transportation_LCIA!V$62</f>
        <v>3.2593120598682981E-4</v>
      </c>
      <c r="AT236" s="137">
        <f>$W236*Y236+$L236*Summary_LCIA!H$32</f>
        <v>197.44663714564467</v>
      </c>
      <c r="AU236" s="137">
        <f>$W236*Z236+$L236*Summary_LCIA!Q$32</f>
        <v>2107.4899247582475</v>
      </c>
      <c r="AV236" s="137">
        <f>$W236*AA236+$L236*Summary_LCIA!R$32</f>
        <v>1.1234099443230157</v>
      </c>
      <c r="AW236" s="137">
        <f>$W236*AB236+$L236*Summary_LCIA!S$32</f>
        <v>197.36097754564469</v>
      </c>
      <c r="AX236" s="137">
        <f>$W236*AC236+$L236*Summary_LCIA!T$32</f>
        <v>49.044712746071617</v>
      </c>
      <c r="AY236" s="137">
        <f>$W236*AD236+$L236*Summary_LCIA!U$32</f>
        <v>0.58890317751157006</v>
      </c>
      <c r="AZ236" s="137">
        <f>$W236*AE236+$L236*Summary_LCIA!V$32</f>
        <v>6.3204073605383562E-3</v>
      </c>
      <c r="BA236" s="137">
        <f>$W236*AF236+$L236*Summary_LCIA!W$32</f>
        <v>9.5008221875829459</v>
      </c>
      <c r="BB236" s="137">
        <f>$W236*AG236+$L236*Summary_LCIA!X$32</f>
        <v>10.614864560726495</v>
      </c>
      <c r="BC236" s="137">
        <f>$W236*AH236+$L236*Summary_LCIA!Y$32</f>
        <v>0.51455779386783751</v>
      </c>
      <c r="BD236" s="137">
        <f>$W236*AI236+$L236*Summary_LCIA!Z$32</f>
        <v>0.19507310856074606</v>
      </c>
      <c r="BE236" s="137">
        <f>$W236*AJ236+$L236*Summary_LCIA!AA$32</f>
        <v>1.304924002187078</v>
      </c>
      <c r="BF236" s="137">
        <f>$W236*AK236+$L236*Summary_LCIA!AB$32</f>
        <v>4.9207409435333832E-2</v>
      </c>
      <c r="BG236" s="137">
        <f>$W236*AL236+$L236*Summary_LCIA!AC$32</f>
        <v>2.491918305487605E-5</v>
      </c>
      <c r="BH236" s="137">
        <f>$W236*AM236+$L236*Summary_LCIA!AD$32</f>
        <v>9.1887285746853758E-2</v>
      </c>
      <c r="BI236" s="137">
        <f>$W236*AN236+$L236*Summary_LCIA!AE$32</f>
        <v>0.27644814994658962</v>
      </c>
      <c r="BJ236" s="137">
        <f>$W236*AO236+$L236*Summary_LCIA!AF$32</f>
        <v>2.0236016574092901E-2</v>
      </c>
      <c r="BK236" s="137">
        <f>$W236*AP236+$L236*Summary_LCIA!AG$32</f>
        <v>4.8433546740929015E-3</v>
      </c>
      <c r="BL236" s="137">
        <f>$W236*AQ236+$L236*Summary_LCIA!AH$32</f>
        <v>0.72859032591900652</v>
      </c>
      <c r="BM236" s="137">
        <f>$W236*AR236+$L236*Summary_LCIA!AI$32</f>
        <v>0.23640556476761854</v>
      </c>
    </row>
    <row r="237" spans="1:65" x14ac:dyDescent="0.25">
      <c r="A237" s="149">
        <v>48</v>
      </c>
      <c r="B237" s="149">
        <v>43</v>
      </c>
      <c r="C237" s="61">
        <v>43.472979000000002</v>
      </c>
      <c r="D237" s="61">
        <v>-80.540103000000002</v>
      </c>
      <c r="E237" s="61" t="s">
        <v>456</v>
      </c>
      <c r="F237" s="149">
        <v>139</v>
      </c>
      <c r="G237" s="61" t="s">
        <v>651</v>
      </c>
      <c r="H237" s="61" t="s">
        <v>652</v>
      </c>
      <c r="I237" s="61">
        <v>43.163226000000002</v>
      </c>
      <c r="J237" s="61">
        <v>-79.926573000000005</v>
      </c>
      <c r="K237" s="61">
        <v>67.656494089999995</v>
      </c>
      <c r="L237" s="61">
        <v>75.798000000000002</v>
      </c>
      <c r="M237" s="61" t="s">
        <v>617</v>
      </c>
      <c r="N237" s="149">
        <v>42</v>
      </c>
      <c r="O237" s="149">
        <v>43</v>
      </c>
      <c r="P237" s="61" t="s">
        <v>565</v>
      </c>
      <c r="Q237" s="61" t="s">
        <v>555</v>
      </c>
      <c r="R237" s="61">
        <v>40.6895314</v>
      </c>
      <c r="S237" s="61">
        <v>-74.174462399999996</v>
      </c>
      <c r="T237" s="61">
        <v>803.12199999999996</v>
      </c>
      <c r="U237" s="61" t="s">
        <v>617</v>
      </c>
      <c r="V237" s="61" t="s">
        <v>569</v>
      </c>
      <c r="W237" s="61" cm="1">
        <f t="array" ref="W237">getDistance(I237,J237,R237,S237)*SA!$B$12</f>
        <v>550.64226474870293</v>
      </c>
      <c r="Y237" s="137">
        <f>Transportation_LCIA!C$61*($W237^Transportation_LCIA!C$60)+Transportation_LCIA!C$62</f>
        <v>0.31582951834006651</v>
      </c>
      <c r="Z237" s="137">
        <f>Transportation_LCIA!D$61*($W237^Transportation_LCIA!D$60)+Transportation_LCIA!D$62</f>
        <v>3.3713172365095883</v>
      </c>
      <c r="AA237" s="137">
        <f>Transportation_LCIA!E$61*($W237^Transportation_LCIA!E$60)+Transportation_LCIA!E$62</f>
        <v>1.7685729557347799E-3</v>
      </c>
      <c r="AB237" s="137">
        <f>Transportation_LCIA!F$61*($W237^Transportation_LCIA!F$60)+Transportation_LCIA!F$62</f>
        <v>0.31582951834006651</v>
      </c>
      <c r="AC237" s="137">
        <f>Transportation_LCIA!G$61*($W237^Transportation_LCIA!G$60)+Transportation_LCIA!G$62</f>
        <v>7.8552412903394125E-2</v>
      </c>
      <c r="AD237" s="137">
        <f>Transportation_LCIA!H$61*($W237^Transportation_LCIA!H$60)+Transportation_LCIA!H$62</f>
        <v>4.1512367250764272E-4</v>
      </c>
      <c r="AE237" s="137">
        <f>Transportation_LCIA!I$61*($W237^Transportation_LCIA!I$60)+Transportation_LCIA!I$62</f>
        <v>9.4462147912456424E-6</v>
      </c>
      <c r="AF237" s="137">
        <f>Transportation_LCIA!J$61*($W237^Transportation_LCIA!J$60)+Transportation_LCIA!J$62</f>
        <v>1.4056688928173458E-2</v>
      </c>
      <c r="AG237" s="137">
        <f>Transportation_LCIA!K$61*($W237^Transportation_LCIA!K$60)+Transportation_LCIA!K$62</f>
        <v>1.7197090281413016E-2</v>
      </c>
      <c r="AH237" s="137">
        <f>Transportation_LCIA!L$61*($W237^Transportation_LCIA!L$60)+Transportation_LCIA!L$62</f>
        <v>3.6750532561619483E-4</v>
      </c>
      <c r="AI237" s="137">
        <f>Transportation_LCIA!M$61*($W237^Transportation_LCIA!M$60)+Transportation_LCIA!M$62</f>
        <v>3.1998211847213403E-4</v>
      </c>
      <c r="AJ237" s="137">
        <f>Transportation_LCIA!N$61*($W237^Transportation_LCIA!N$60)+Transportation_LCIA!N$62</f>
        <v>1.4544689729375109E-3</v>
      </c>
      <c r="AK237" s="137">
        <f>Transportation_LCIA!O$61*($W237^Transportation_LCIA!O$60)+Transportation_LCIA!O$62</f>
        <v>8.3144956399104825E-5</v>
      </c>
      <c r="AL237" s="137">
        <f>Transportation_LCIA!P$61*($W237^Transportation_LCIA!P$60)+Transportation_LCIA!P$62</f>
        <v>4.0132527605336209E-8</v>
      </c>
      <c r="AM237" s="137">
        <f>Transportation_LCIA!Q$61*($W237^Transportation_LCIA!Q$60)+Transportation_LCIA!Q$62</f>
        <v>1.4495151463949962E-4</v>
      </c>
      <c r="AN237" s="137">
        <f>Transportation_LCIA!R$61*($W237^Transportation_LCIA!R$60)+Transportation_LCIA!R$62</f>
        <v>4.5386843385268231E-4</v>
      </c>
      <c r="AO237" s="137">
        <f>Transportation_LCIA!S$61*($W237^Transportation_LCIA!S$60)+Transportation_LCIA!S$62</f>
        <v>6.6974509072146396E-6</v>
      </c>
      <c r="AP237" s="137">
        <f>Transportation_LCIA!T$61*($W237^Transportation_LCIA!T$60)+Transportation_LCIA!T$62</f>
        <v>6.6974509072146396E-6</v>
      </c>
      <c r="AQ237" s="137">
        <f>Transportation_LCIA!U$61*($W237^Transportation_LCIA!U$60)+Transportation_LCIA!U$62</f>
        <v>9.829225379503466E-4</v>
      </c>
      <c r="AR237" s="137">
        <f>Transportation_LCIA!V$61*($W237^Transportation_LCIA!V$60)+Transportation_LCIA!V$62</f>
        <v>3.7733288747447675E-4</v>
      </c>
      <c r="AT237" s="137">
        <f>$W237*Y237+$L237*Summary_LCIA!H$32</f>
        <v>199.66524165326624</v>
      </c>
      <c r="AU237" s="137">
        <f>$W237*Z237+$L237*Summary_LCIA!Q$32</f>
        <v>2232.0484690185122</v>
      </c>
      <c r="AV237" s="137">
        <f>$W237*AA237+$L237*Summary_LCIA!R$32</f>
        <v>1.3729729665191068</v>
      </c>
      <c r="AW237" s="137">
        <f>$W237*AB237+$L237*Summary_LCIA!S$32</f>
        <v>199.33021449326623</v>
      </c>
      <c r="AX237" s="137">
        <f>$W237*AC237+$L237*Summary_LCIA!T$32</f>
        <v>51.584478742600176</v>
      </c>
      <c r="AY237" s="137">
        <f>$W237*AD237+$L237*Summary_LCIA!U$32</f>
        <v>1.5864300111804071</v>
      </c>
      <c r="AZ237" s="137">
        <f>$W237*AE237+$L237*Summary_LCIA!V$32</f>
        <v>8.8216733839541969E-3</v>
      </c>
      <c r="BA237" s="137">
        <f>$W237*AF237+$L237*Summary_LCIA!W$32</f>
        <v>13.574454884277451</v>
      </c>
      <c r="BB237" s="137">
        <f>$W237*AG237+$L237*Summary_LCIA!X$32</f>
        <v>11.196123179645173</v>
      </c>
      <c r="BC237" s="137">
        <f>$W237*AH237+$L237*Summary_LCIA!Y$32</f>
        <v>1.3834484008045111</v>
      </c>
      <c r="BD237" s="137">
        <f>$W237*AI237+$L237*Summary_LCIA!Z$32</f>
        <v>0.17930407857658365</v>
      </c>
      <c r="BE237" s="137">
        <f>$W237*AJ237+$L237*Summary_LCIA!AA$32</f>
        <v>2.571230177265031</v>
      </c>
      <c r="BF237" s="137">
        <f>$W237*AK237+$L237*Summary_LCIA!AB$32</f>
        <v>4.4128987340035238E-2</v>
      </c>
      <c r="BG237" s="137">
        <f>$W237*AL237+$L237*Summary_LCIA!AC$32</f>
        <v>2.5803975322692171E-5</v>
      </c>
      <c r="BH237" s="137">
        <f>$W237*AM237+$L237*Summary_LCIA!AD$32</f>
        <v>0.11097244021984884</v>
      </c>
      <c r="BI237" s="137">
        <f>$W237*AN237+$L237*Summary_LCIA!AE$32</f>
        <v>0.31708602405458786</v>
      </c>
      <c r="BJ237" s="137">
        <f>$W237*AO237+$L237*Summary_LCIA!AF$32</f>
        <v>6.7769044695591932E-2</v>
      </c>
      <c r="BK237" s="137">
        <f>$W237*AP237+$L237*Summary_LCIA!AG$32</f>
        <v>7.5661042055919243E-3</v>
      </c>
      <c r="BL237" s="137">
        <f>$W237*AQ237+$L237*Summary_LCIA!AH$32</f>
        <v>1.2009541651695219</v>
      </c>
      <c r="BM237" s="137">
        <f>$W237*AR237+$L237*Summary_LCIA!AI$32</f>
        <v>0.27838506262311336</v>
      </c>
    </row>
    <row r="238" spans="1:65" x14ac:dyDescent="0.25">
      <c r="A238" s="149">
        <v>27</v>
      </c>
      <c r="B238" s="149">
        <v>6</v>
      </c>
      <c r="C238" s="61">
        <v>40.817663000000003</v>
      </c>
      <c r="D238" s="61">
        <v>-96.700036999999995</v>
      </c>
      <c r="E238" s="61" t="s">
        <v>265</v>
      </c>
      <c r="F238" s="149">
        <v>121</v>
      </c>
      <c r="G238" s="61" t="s">
        <v>287</v>
      </c>
      <c r="H238" s="61" t="s">
        <v>290</v>
      </c>
      <c r="I238" s="61">
        <v>41.301873000000001</v>
      </c>
      <c r="J238" s="61">
        <v>-95.893741000000006</v>
      </c>
      <c r="K238" s="61">
        <v>107.8641052</v>
      </c>
      <c r="L238" s="61">
        <v>100.626</v>
      </c>
      <c r="M238" s="61" t="s">
        <v>617</v>
      </c>
      <c r="N238" s="149">
        <v>5</v>
      </c>
      <c r="O238" s="149">
        <v>6</v>
      </c>
      <c r="P238" s="61" t="s">
        <v>565</v>
      </c>
      <c r="Q238" s="61" t="s">
        <v>564</v>
      </c>
      <c r="R238" s="61">
        <v>41.98028</v>
      </c>
      <c r="S238" s="61">
        <v>-87.908997900000003</v>
      </c>
      <c r="T238" s="61">
        <v>836.69100000000003</v>
      </c>
      <c r="U238" s="61" t="s">
        <v>617</v>
      </c>
      <c r="V238" s="61" t="s">
        <v>569</v>
      </c>
      <c r="W238" s="61" cm="1">
        <f t="array" ref="W238">getDistance(I238,J238,R238,S238)*SA!$B$12</f>
        <v>669.26749072627524</v>
      </c>
      <c r="Y238" s="137">
        <f>Transportation_LCIA!C$61*($W238^Transportation_LCIA!C$60)+Transportation_LCIA!C$62</f>
        <v>0.28504039049137575</v>
      </c>
      <c r="Z238" s="137">
        <f>Transportation_LCIA!D$61*($W238^Transportation_LCIA!D$60)+Transportation_LCIA!D$62</f>
        <v>3.0041649469674656</v>
      </c>
      <c r="AA238" s="137">
        <f>Transportation_LCIA!E$61*($W238^Transportation_LCIA!E$60)+Transportation_LCIA!E$62</f>
        <v>1.525706097435096E-3</v>
      </c>
      <c r="AB238" s="137">
        <f>Transportation_LCIA!F$61*($W238^Transportation_LCIA!F$60)+Transportation_LCIA!F$62</f>
        <v>0.28504039049137575</v>
      </c>
      <c r="AC238" s="137">
        <f>Transportation_LCIA!G$61*($W238^Transportation_LCIA!G$60)+Transportation_LCIA!G$62</f>
        <v>7.0068758885027033E-2</v>
      </c>
      <c r="AD238" s="137">
        <f>Transportation_LCIA!H$61*($W238^Transportation_LCIA!H$60)+Transportation_LCIA!H$62</f>
        <v>3.6107816379944279E-4</v>
      </c>
      <c r="AE238" s="137">
        <f>Transportation_LCIA!I$61*($W238^Transportation_LCIA!I$60)+Transportation_LCIA!I$62</f>
        <v>8.0591675714929097E-6</v>
      </c>
      <c r="AF238" s="137">
        <f>Transportation_LCIA!J$61*($W238^Transportation_LCIA!J$60)+Transportation_LCIA!J$62</f>
        <v>1.1964774828826928E-2</v>
      </c>
      <c r="AG238" s="137">
        <f>Transportation_LCIA!K$61*($W238^Transportation_LCIA!K$60)+Transportation_LCIA!K$62</f>
        <v>1.5195002827775642E-2</v>
      </c>
      <c r="AH238" s="137">
        <f>Transportation_LCIA!L$61*($W238^Transportation_LCIA!L$60)+Transportation_LCIA!L$62</f>
        <v>3.1754527567534542E-4</v>
      </c>
      <c r="AI238" s="137">
        <f>Transportation_LCIA!M$61*($W238^Transportation_LCIA!M$60)+Transportation_LCIA!M$62</f>
        <v>2.9013540374786794E-4</v>
      </c>
      <c r="AJ238" s="137">
        <f>Transportation_LCIA!N$61*($W238^Transportation_LCIA!N$60)+Transportation_LCIA!N$62</f>
        <v>1.2730376617698762E-3</v>
      </c>
      <c r="AK238" s="137">
        <f>Transportation_LCIA!O$61*($W238^Transportation_LCIA!O$60)+Transportation_LCIA!O$62</f>
        <v>7.4124631538667591E-5</v>
      </c>
      <c r="AL238" s="137">
        <f>Transportation_LCIA!P$61*($W238^Transportation_LCIA!P$60)+Transportation_LCIA!P$62</f>
        <v>3.5802611393451831E-8</v>
      </c>
      <c r="AM238" s="137">
        <f>Transportation_LCIA!Q$61*($W238^Transportation_LCIA!Q$60)+Transportation_LCIA!Q$62</f>
        <v>1.2535917081520263E-4</v>
      </c>
      <c r="AN238" s="137">
        <f>Transportation_LCIA!R$61*($W238^Transportation_LCIA!R$60)+Transportation_LCIA!R$62</f>
        <v>3.8732436662072014E-4</v>
      </c>
      <c r="AO238" s="137">
        <f>Transportation_LCIA!S$61*($W238^Transportation_LCIA!S$60)+Transportation_LCIA!S$62</f>
        <v>5.7538657024500324E-6</v>
      </c>
      <c r="AP238" s="137">
        <f>Transportation_LCIA!T$61*($W238^Transportation_LCIA!T$60)+Transportation_LCIA!T$62</f>
        <v>5.7538657024500324E-6</v>
      </c>
      <c r="AQ238" s="137">
        <f>Transportation_LCIA!U$61*($W238^Transportation_LCIA!U$60)+Transportation_LCIA!U$62</f>
        <v>8.3645465454341723E-4</v>
      </c>
      <c r="AR238" s="137">
        <f>Transportation_LCIA!V$61*($W238^Transportation_LCIA!V$60)+Transportation_LCIA!V$62</f>
        <v>3.2616855470196486E-4</v>
      </c>
      <c r="AT238" s="137">
        <f>$W238*Y238+$L238*Summary_LCIA!H$32</f>
        <v>224.9609816998007</v>
      </c>
      <c r="AU238" s="137">
        <f>$W238*Z238+$L238*Summary_LCIA!Q$32</f>
        <v>2509.2974666558075</v>
      </c>
      <c r="AV238" s="137">
        <f>$W238*AA238+$L238*Summary_LCIA!R$32</f>
        <v>1.5509617570161645</v>
      </c>
      <c r="AW238" s="137">
        <f>$W238*AB238+$L238*Summary_LCIA!S$32</f>
        <v>224.51621477980069</v>
      </c>
      <c r="AX238" s="137">
        <f>$W238*AC238+$L238*Summary_LCIA!T$32</f>
        <v>57.953539837286442</v>
      </c>
      <c r="AY238" s="137">
        <f>$W238*AD238+$L238*Summary_LCIA!U$32</f>
        <v>2.0442720406421042</v>
      </c>
      <c r="AZ238" s="137">
        <f>$W238*AE238+$L238*Summary_LCIA!V$32</f>
        <v>1.0199737243915629E-2</v>
      </c>
      <c r="BA238" s="137">
        <f>$W238*AF238+$L238*Summary_LCIA!W$32</f>
        <v>15.752918672793896</v>
      </c>
      <c r="BB238" s="137">
        <f>$W238*AG238+$L238*Summary_LCIA!X$32</f>
        <v>12.461781694124062</v>
      </c>
      <c r="BC238" s="137">
        <f>$W238*AH238+$L238*Summary_LCIA!Y$32</f>
        <v>1.7804770618432217</v>
      </c>
      <c r="BD238" s="137">
        <f>$W238*AI238+$L238*Summary_LCIA!Z$32</f>
        <v>0.19830476527119031</v>
      </c>
      <c r="BE238" s="137">
        <f>$W238*AJ238+$L238*Summary_LCIA!AA$32</f>
        <v>3.2022235774927696</v>
      </c>
      <c r="BF238" s="137">
        <f>$W238*AK238+$L238*Summary_LCIA!AB$32</f>
        <v>4.7413244952893778E-2</v>
      </c>
      <c r="BG238" s="137">
        <f>$W238*AL238+$L238*Summary_LCIA!AC$32</f>
        <v>2.8880525272743461E-5</v>
      </c>
      <c r="BH238" s="137">
        <f>$W238*AM238+$L238*Summary_LCIA!AD$32</f>
        <v>0.12526012873101716</v>
      </c>
      <c r="BI238" s="137">
        <f>$W238*AN238+$L238*Summary_LCIA!AE$32</f>
        <v>0.34839132432539327</v>
      </c>
      <c r="BJ238" s="137">
        <f>$W238*AO238+$L238*Summary_LCIA!AF$32</f>
        <v>8.8922108180654713E-2</v>
      </c>
      <c r="BK238" s="137">
        <f>$W238*AP238+$L238*Summary_LCIA!AG$32</f>
        <v>8.9994045506547101E-3</v>
      </c>
      <c r="BL238" s="137">
        <f>$W238*AQ238+$L238*Summary_LCIA!AH$32</f>
        <v>1.4356203613525864</v>
      </c>
      <c r="BM238" s="137">
        <f>$W238*AR238+$L238*Summary_LCIA!AI$32</f>
        <v>0.31203216045919985</v>
      </c>
    </row>
    <row r="239" spans="1:65" x14ac:dyDescent="0.25">
      <c r="A239" s="149">
        <v>28</v>
      </c>
      <c r="B239" s="149">
        <v>6</v>
      </c>
      <c r="C239" s="61">
        <v>40.817663000000003</v>
      </c>
      <c r="D239" s="61">
        <v>-96.700036999999995</v>
      </c>
      <c r="E239" s="61" t="s">
        <v>265</v>
      </c>
      <c r="F239" s="149">
        <v>121</v>
      </c>
      <c r="G239" s="61" t="s">
        <v>287</v>
      </c>
      <c r="H239" s="61" t="s">
        <v>290</v>
      </c>
      <c r="I239" s="61">
        <v>41.301873000000001</v>
      </c>
      <c r="J239" s="61">
        <v>-95.893741000000006</v>
      </c>
      <c r="K239" s="61">
        <v>107.8641052</v>
      </c>
      <c r="L239" s="61">
        <v>100.626</v>
      </c>
      <c r="M239" s="61" t="s">
        <v>617</v>
      </c>
      <c r="N239" s="149">
        <v>5</v>
      </c>
      <c r="O239" s="149">
        <v>6</v>
      </c>
      <c r="P239" s="61" t="s">
        <v>565</v>
      </c>
      <c r="Q239" s="61" t="s">
        <v>564</v>
      </c>
      <c r="R239" s="61">
        <v>41.98028</v>
      </c>
      <c r="S239" s="61">
        <v>-87.908997900000003</v>
      </c>
      <c r="T239" s="61">
        <v>836.69100000000003</v>
      </c>
      <c r="U239" s="61" t="s">
        <v>617</v>
      </c>
      <c r="V239" s="61" t="s">
        <v>569</v>
      </c>
      <c r="W239" s="61" cm="1">
        <f t="array" ref="W239">getDistance(I239,J239,R239,S239)*SA!$B$12</f>
        <v>669.26749072627524</v>
      </c>
      <c r="Y239" s="137">
        <f>Transportation_LCIA!C$61*($W239^Transportation_LCIA!C$60)+Transportation_LCIA!C$62</f>
        <v>0.28504039049137575</v>
      </c>
      <c r="Z239" s="137">
        <f>Transportation_LCIA!D$61*($W239^Transportation_LCIA!D$60)+Transportation_LCIA!D$62</f>
        <v>3.0041649469674656</v>
      </c>
      <c r="AA239" s="137">
        <f>Transportation_LCIA!E$61*($W239^Transportation_LCIA!E$60)+Transportation_LCIA!E$62</f>
        <v>1.525706097435096E-3</v>
      </c>
      <c r="AB239" s="137">
        <f>Transportation_LCIA!F$61*($W239^Transportation_LCIA!F$60)+Transportation_LCIA!F$62</f>
        <v>0.28504039049137575</v>
      </c>
      <c r="AC239" s="137">
        <f>Transportation_LCIA!G$61*($W239^Transportation_LCIA!G$60)+Transportation_LCIA!G$62</f>
        <v>7.0068758885027033E-2</v>
      </c>
      <c r="AD239" s="137">
        <f>Transportation_LCIA!H$61*($W239^Transportation_LCIA!H$60)+Transportation_LCIA!H$62</f>
        <v>3.6107816379944279E-4</v>
      </c>
      <c r="AE239" s="137">
        <f>Transportation_LCIA!I$61*($W239^Transportation_LCIA!I$60)+Transportation_LCIA!I$62</f>
        <v>8.0591675714929097E-6</v>
      </c>
      <c r="AF239" s="137">
        <f>Transportation_LCIA!J$61*($W239^Transportation_LCIA!J$60)+Transportation_LCIA!J$62</f>
        <v>1.1964774828826928E-2</v>
      </c>
      <c r="AG239" s="137">
        <f>Transportation_LCIA!K$61*($W239^Transportation_LCIA!K$60)+Transportation_LCIA!K$62</f>
        <v>1.5195002827775642E-2</v>
      </c>
      <c r="AH239" s="137">
        <f>Transportation_LCIA!L$61*($W239^Transportation_LCIA!L$60)+Transportation_LCIA!L$62</f>
        <v>3.1754527567534542E-4</v>
      </c>
      <c r="AI239" s="137">
        <f>Transportation_LCIA!M$61*($W239^Transportation_LCIA!M$60)+Transportation_LCIA!M$62</f>
        <v>2.9013540374786794E-4</v>
      </c>
      <c r="AJ239" s="137">
        <f>Transportation_LCIA!N$61*($W239^Transportation_LCIA!N$60)+Transportation_LCIA!N$62</f>
        <v>1.2730376617698762E-3</v>
      </c>
      <c r="AK239" s="137">
        <f>Transportation_LCIA!O$61*($W239^Transportation_LCIA!O$60)+Transportation_LCIA!O$62</f>
        <v>7.4124631538667591E-5</v>
      </c>
      <c r="AL239" s="137">
        <f>Transportation_LCIA!P$61*($W239^Transportation_LCIA!P$60)+Transportation_LCIA!P$62</f>
        <v>3.5802611393451831E-8</v>
      </c>
      <c r="AM239" s="137">
        <f>Transportation_LCIA!Q$61*($W239^Transportation_LCIA!Q$60)+Transportation_LCIA!Q$62</f>
        <v>1.2535917081520263E-4</v>
      </c>
      <c r="AN239" s="137">
        <f>Transportation_LCIA!R$61*($W239^Transportation_LCIA!R$60)+Transportation_LCIA!R$62</f>
        <v>3.8732436662072014E-4</v>
      </c>
      <c r="AO239" s="137">
        <f>Transportation_LCIA!S$61*($W239^Transportation_LCIA!S$60)+Transportation_LCIA!S$62</f>
        <v>5.7538657024500324E-6</v>
      </c>
      <c r="AP239" s="137">
        <f>Transportation_LCIA!T$61*($W239^Transportation_LCIA!T$60)+Transportation_LCIA!T$62</f>
        <v>5.7538657024500324E-6</v>
      </c>
      <c r="AQ239" s="137">
        <f>Transportation_LCIA!U$61*($W239^Transportation_LCIA!U$60)+Transportation_LCIA!U$62</f>
        <v>8.3645465454341723E-4</v>
      </c>
      <c r="AR239" s="137">
        <f>Transportation_LCIA!V$61*($W239^Transportation_LCIA!V$60)+Transportation_LCIA!V$62</f>
        <v>3.2616855470196486E-4</v>
      </c>
      <c r="AT239" s="137">
        <f>$W239*Y239+$L239*Summary_LCIA!H$32</f>
        <v>224.9609816998007</v>
      </c>
      <c r="AU239" s="137">
        <f>$W239*Z239+$L239*Summary_LCIA!Q$32</f>
        <v>2509.2974666558075</v>
      </c>
      <c r="AV239" s="137">
        <f>$W239*AA239+$L239*Summary_LCIA!R$32</f>
        <v>1.5509617570161645</v>
      </c>
      <c r="AW239" s="137">
        <f>$W239*AB239+$L239*Summary_LCIA!S$32</f>
        <v>224.51621477980069</v>
      </c>
      <c r="AX239" s="137">
        <f>$W239*AC239+$L239*Summary_LCIA!T$32</f>
        <v>57.953539837286442</v>
      </c>
      <c r="AY239" s="137">
        <f>$W239*AD239+$L239*Summary_LCIA!U$32</f>
        <v>2.0442720406421042</v>
      </c>
      <c r="AZ239" s="137">
        <f>$W239*AE239+$L239*Summary_LCIA!V$32</f>
        <v>1.0199737243915629E-2</v>
      </c>
      <c r="BA239" s="137">
        <f>$W239*AF239+$L239*Summary_LCIA!W$32</f>
        <v>15.752918672793896</v>
      </c>
      <c r="BB239" s="137">
        <f>$W239*AG239+$L239*Summary_LCIA!X$32</f>
        <v>12.461781694124062</v>
      </c>
      <c r="BC239" s="137">
        <f>$W239*AH239+$L239*Summary_LCIA!Y$32</f>
        <v>1.7804770618432217</v>
      </c>
      <c r="BD239" s="137">
        <f>$W239*AI239+$L239*Summary_LCIA!Z$32</f>
        <v>0.19830476527119031</v>
      </c>
      <c r="BE239" s="137">
        <f>$W239*AJ239+$L239*Summary_LCIA!AA$32</f>
        <v>3.2022235774927696</v>
      </c>
      <c r="BF239" s="137">
        <f>$W239*AK239+$L239*Summary_LCIA!AB$32</f>
        <v>4.7413244952893778E-2</v>
      </c>
      <c r="BG239" s="137">
        <f>$W239*AL239+$L239*Summary_LCIA!AC$32</f>
        <v>2.8880525272743461E-5</v>
      </c>
      <c r="BH239" s="137">
        <f>$W239*AM239+$L239*Summary_LCIA!AD$32</f>
        <v>0.12526012873101716</v>
      </c>
      <c r="BI239" s="137">
        <f>$W239*AN239+$L239*Summary_LCIA!AE$32</f>
        <v>0.34839132432539327</v>
      </c>
      <c r="BJ239" s="137">
        <f>$W239*AO239+$L239*Summary_LCIA!AF$32</f>
        <v>8.8922108180654713E-2</v>
      </c>
      <c r="BK239" s="137">
        <f>$W239*AP239+$L239*Summary_LCIA!AG$32</f>
        <v>8.9994045506547101E-3</v>
      </c>
      <c r="BL239" s="137">
        <f>$W239*AQ239+$L239*Summary_LCIA!AH$32</f>
        <v>1.4356203613525864</v>
      </c>
      <c r="BM239" s="137">
        <f>$W239*AR239+$L239*Summary_LCIA!AI$32</f>
        <v>0.31203216045919985</v>
      </c>
    </row>
    <row r="240" spans="1:65" x14ac:dyDescent="0.25">
      <c r="A240" s="149">
        <v>29</v>
      </c>
      <c r="B240" s="149">
        <v>6</v>
      </c>
      <c r="C240" s="61">
        <v>40.817663000000003</v>
      </c>
      <c r="D240" s="61">
        <v>-96.700036999999995</v>
      </c>
      <c r="E240" s="61" t="s">
        <v>265</v>
      </c>
      <c r="F240" s="149">
        <v>121</v>
      </c>
      <c r="G240" s="61" t="s">
        <v>287</v>
      </c>
      <c r="H240" s="61" t="s">
        <v>290</v>
      </c>
      <c r="I240" s="61">
        <v>41.301873000000001</v>
      </c>
      <c r="J240" s="61">
        <v>-95.893741000000006</v>
      </c>
      <c r="K240" s="61">
        <v>107.8641052</v>
      </c>
      <c r="L240" s="61">
        <v>100.626</v>
      </c>
      <c r="M240" s="61" t="s">
        <v>617</v>
      </c>
      <c r="N240" s="149">
        <v>5</v>
      </c>
      <c r="O240" s="149">
        <v>6</v>
      </c>
      <c r="P240" s="61" t="s">
        <v>565</v>
      </c>
      <c r="Q240" s="61" t="s">
        <v>564</v>
      </c>
      <c r="R240" s="61">
        <v>41.98028</v>
      </c>
      <c r="S240" s="61">
        <v>-87.908997900000003</v>
      </c>
      <c r="T240" s="61">
        <v>836.69100000000003</v>
      </c>
      <c r="U240" s="61" t="s">
        <v>617</v>
      </c>
      <c r="V240" s="61" t="s">
        <v>569</v>
      </c>
      <c r="W240" s="61" cm="1">
        <f t="array" ref="W240">getDistance(I240,J240,R240,S240)*SA!$B$12</f>
        <v>669.26749072627524</v>
      </c>
      <c r="Y240" s="137">
        <f>Transportation_LCIA!C$61*($W240^Transportation_LCIA!C$60)+Transportation_LCIA!C$62</f>
        <v>0.28504039049137575</v>
      </c>
      <c r="Z240" s="137">
        <f>Transportation_LCIA!D$61*($W240^Transportation_LCIA!D$60)+Transportation_LCIA!D$62</f>
        <v>3.0041649469674656</v>
      </c>
      <c r="AA240" s="137">
        <f>Transportation_LCIA!E$61*($W240^Transportation_LCIA!E$60)+Transportation_LCIA!E$62</f>
        <v>1.525706097435096E-3</v>
      </c>
      <c r="AB240" s="137">
        <f>Transportation_LCIA!F$61*($W240^Transportation_LCIA!F$60)+Transportation_LCIA!F$62</f>
        <v>0.28504039049137575</v>
      </c>
      <c r="AC240" s="137">
        <f>Transportation_LCIA!G$61*($W240^Transportation_LCIA!G$60)+Transportation_LCIA!G$62</f>
        <v>7.0068758885027033E-2</v>
      </c>
      <c r="AD240" s="137">
        <f>Transportation_LCIA!H$61*($W240^Transportation_LCIA!H$60)+Transportation_LCIA!H$62</f>
        <v>3.6107816379944279E-4</v>
      </c>
      <c r="AE240" s="137">
        <f>Transportation_LCIA!I$61*($W240^Transportation_LCIA!I$60)+Transportation_LCIA!I$62</f>
        <v>8.0591675714929097E-6</v>
      </c>
      <c r="AF240" s="137">
        <f>Transportation_LCIA!J$61*($W240^Transportation_LCIA!J$60)+Transportation_LCIA!J$62</f>
        <v>1.1964774828826928E-2</v>
      </c>
      <c r="AG240" s="137">
        <f>Transportation_LCIA!K$61*($W240^Transportation_LCIA!K$60)+Transportation_LCIA!K$62</f>
        <v>1.5195002827775642E-2</v>
      </c>
      <c r="AH240" s="137">
        <f>Transportation_LCIA!L$61*($W240^Transportation_LCIA!L$60)+Transportation_LCIA!L$62</f>
        <v>3.1754527567534542E-4</v>
      </c>
      <c r="AI240" s="137">
        <f>Transportation_LCIA!M$61*($W240^Transportation_LCIA!M$60)+Transportation_LCIA!M$62</f>
        <v>2.9013540374786794E-4</v>
      </c>
      <c r="AJ240" s="137">
        <f>Transportation_LCIA!N$61*($W240^Transportation_LCIA!N$60)+Transportation_LCIA!N$62</f>
        <v>1.2730376617698762E-3</v>
      </c>
      <c r="AK240" s="137">
        <f>Transportation_LCIA!O$61*($W240^Transportation_LCIA!O$60)+Transportation_LCIA!O$62</f>
        <v>7.4124631538667591E-5</v>
      </c>
      <c r="AL240" s="137">
        <f>Transportation_LCIA!P$61*($W240^Transportation_LCIA!P$60)+Transportation_LCIA!P$62</f>
        <v>3.5802611393451831E-8</v>
      </c>
      <c r="AM240" s="137">
        <f>Transportation_LCIA!Q$61*($W240^Transportation_LCIA!Q$60)+Transportation_LCIA!Q$62</f>
        <v>1.2535917081520263E-4</v>
      </c>
      <c r="AN240" s="137">
        <f>Transportation_LCIA!R$61*($W240^Transportation_LCIA!R$60)+Transportation_LCIA!R$62</f>
        <v>3.8732436662072014E-4</v>
      </c>
      <c r="AO240" s="137">
        <f>Transportation_LCIA!S$61*($W240^Transportation_LCIA!S$60)+Transportation_LCIA!S$62</f>
        <v>5.7538657024500324E-6</v>
      </c>
      <c r="AP240" s="137">
        <f>Transportation_LCIA!T$61*($W240^Transportation_LCIA!T$60)+Transportation_LCIA!T$62</f>
        <v>5.7538657024500324E-6</v>
      </c>
      <c r="AQ240" s="137">
        <f>Transportation_LCIA!U$61*($W240^Transportation_LCIA!U$60)+Transportation_LCIA!U$62</f>
        <v>8.3645465454341723E-4</v>
      </c>
      <c r="AR240" s="137">
        <f>Transportation_LCIA!V$61*($W240^Transportation_LCIA!V$60)+Transportation_LCIA!V$62</f>
        <v>3.2616855470196486E-4</v>
      </c>
      <c r="AT240" s="137">
        <f>$W240*Y240+$L240*Summary_LCIA!H$32</f>
        <v>224.9609816998007</v>
      </c>
      <c r="AU240" s="137">
        <f>$W240*Z240+$L240*Summary_LCIA!Q$32</f>
        <v>2509.2974666558075</v>
      </c>
      <c r="AV240" s="137">
        <f>$W240*AA240+$L240*Summary_LCIA!R$32</f>
        <v>1.5509617570161645</v>
      </c>
      <c r="AW240" s="137">
        <f>$W240*AB240+$L240*Summary_LCIA!S$32</f>
        <v>224.51621477980069</v>
      </c>
      <c r="AX240" s="137">
        <f>$W240*AC240+$L240*Summary_LCIA!T$32</f>
        <v>57.953539837286442</v>
      </c>
      <c r="AY240" s="137">
        <f>$W240*AD240+$L240*Summary_LCIA!U$32</f>
        <v>2.0442720406421042</v>
      </c>
      <c r="AZ240" s="137">
        <f>$W240*AE240+$L240*Summary_LCIA!V$32</f>
        <v>1.0199737243915629E-2</v>
      </c>
      <c r="BA240" s="137">
        <f>$W240*AF240+$L240*Summary_LCIA!W$32</f>
        <v>15.752918672793896</v>
      </c>
      <c r="BB240" s="137">
        <f>$W240*AG240+$L240*Summary_LCIA!X$32</f>
        <v>12.461781694124062</v>
      </c>
      <c r="BC240" s="137">
        <f>$W240*AH240+$L240*Summary_LCIA!Y$32</f>
        <v>1.7804770618432217</v>
      </c>
      <c r="BD240" s="137">
        <f>$W240*AI240+$L240*Summary_LCIA!Z$32</f>
        <v>0.19830476527119031</v>
      </c>
      <c r="BE240" s="137">
        <f>$W240*AJ240+$L240*Summary_LCIA!AA$32</f>
        <v>3.2022235774927696</v>
      </c>
      <c r="BF240" s="137">
        <f>$W240*AK240+$L240*Summary_LCIA!AB$32</f>
        <v>4.7413244952893778E-2</v>
      </c>
      <c r="BG240" s="137">
        <f>$W240*AL240+$L240*Summary_LCIA!AC$32</f>
        <v>2.8880525272743461E-5</v>
      </c>
      <c r="BH240" s="137">
        <f>$W240*AM240+$L240*Summary_LCIA!AD$32</f>
        <v>0.12526012873101716</v>
      </c>
      <c r="BI240" s="137">
        <f>$W240*AN240+$L240*Summary_LCIA!AE$32</f>
        <v>0.34839132432539327</v>
      </c>
      <c r="BJ240" s="137">
        <f>$W240*AO240+$L240*Summary_LCIA!AF$32</f>
        <v>8.8922108180654713E-2</v>
      </c>
      <c r="BK240" s="137">
        <f>$W240*AP240+$L240*Summary_LCIA!AG$32</f>
        <v>8.9994045506547101E-3</v>
      </c>
      <c r="BL240" s="137">
        <f>$W240*AQ240+$L240*Summary_LCIA!AH$32</f>
        <v>1.4356203613525864</v>
      </c>
      <c r="BM240" s="137">
        <f>$W240*AR240+$L240*Summary_LCIA!AI$32</f>
        <v>0.31203216045919985</v>
      </c>
    </row>
    <row r="241" spans="1:65" x14ac:dyDescent="0.25">
      <c r="A241" s="149">
        <v>30</v>
      </c>
      <c r="B241" s="149">
        <v>6</v>
      </c>
      <c r="C241" s="61">
        <v>40.817663000000003</v>
      </c>
      <c r="D241" s="61">
        <v>-96.700036999999995</v>
      </c>
      <c r="E241" s="61" t="s">
        <v>265</v>
      </c>
      <c r="F241" s="149">
        <v>121</v>
      </c>
      <c r="G241" s="61" t="s">
        <v>287</v>
      </c>
      <c r="H241" s="61" t="s">
        <v>290</v>
      </c>
      <c r="I241" s="61">
        <v>41.301873000000001</v>
      </c>
      <c r="J241" s="61">
        <v>-95.893741000000006</v>
      </c>
      <c r="K241" s="61">
        <v>107.8641052</v>
      </c>
      <c r="L241" s="61">
        <v>100.626</v>
      </c>
      <c r="M241" s="61" t="s">
        <v>617</v>
      </c>
      <c r="N241" s="149">
        <v>5</v>
      </c>
      <c r="O241" s="149">
        <v>6</v>
      </c>
      <c r="P241" s="61" t="s">
        <v>565</v>
      </c>
      <c r="Q241" s="61" t="s">
        <v>564</v>
      </c>
      <c r="R241" s="61">
        <v>41.98028</v>
      </c>
      <c r="S241" s="61">
        <v>-87.908997900000003</v>
      </c>
      <c r="T241" s="61">
        <v>836.69100000000003</v>
      </c>
      <c r="U241" s="61" t="s">
        <v>617</v>
      </c>
      <c r="V241" s="61" t="s">
        <v>569</v>
      </c>
      <c r="W241" s="61" cm="1">
        <f t="array" ref="W241">getDistance(I241,J241,R241,S241)*SA!$B$12</f>
        <v>669.26749072627524</v>
      </c>
      <c r="Y241" s="137">
        <f>Transportation_LCIA!C$61*($W241^Transportation_LCIA!C$60)+Transportation_LCIA!C$62</f>
        <v>0.28504039049137575</v>
      </c>
      <c r="Z241" s="137">
        <f>Transportation_LCIA!D$61*($W241^Transportation_LCIA!D$60)+Transportation_LCIA!D$62</f>
        <v>3.0041649469674656</v>
      </c>
      <c r="AA241" s="137">
        <f>Transportation_LCIA!E$61*($W241^Transportation_LCIA!E$60)+Transportation_LCIA!E$62</f>
        <v>1.525706097435096E-3</v>
      </c>
      <c r="AB241" s="137">
        <f>Transportation_LCIA!F$61*($W241^Transportation_LCIA!F$60)+Transportation_LCIA!F$62</f>
        <v>0.28504039049137575</v>
      </c>
      <c r="AC241" s="137">
        <f>Transportation_LCIA!G$61*($W241^Transportation_LCIA!G$60)+Transportation_LCIA!G$62</f>
        <v>7.0068758885027033E-2</v>
      </c>
      <c r="AD241" s="137">
        <f>Transportation_LCIA!H$61*($W241^Transportation_LCIA!H$60)+Transportation_LCIA!H$62</f>
        <v>3.6107816379944279E-4</v>
      </c>
      <c r="AE241" s="137">
        <f>Transportation_LCIA!I$61*($W241^Transportation_LCIA!I$60)+Transportation_LCIA!I$62</f>
        <v>8.0591675714929097E-6</v>
      </c>
      <c r="AF241" s="137">
        <f>Transportation_LCIA!J$61*($W241^Transportation_LCIA!J$60)+Transportation_LCIA!J$62</f>
        <v>1.1964774828826928E-2</v>
      </c>
      <c r="AG241" s="137">
        <f>Transportation_LCIA!K$61*($W241^Transportation_LCIA!K$60)+Transportation_LCIA!K$62</f>
        <v>1.5195002827775642E-2</v>
      </c>
      <c r="AH241" s="137">
        <f>Transportation_LCIA!L$61*($W241^Transportation_LCIA!L$60)+Transportation_LCIA!L$62</f>
        <v>3.1754527567534542E-4</v>
      </c>
      <c r="AI241" s="137">
        <f>Transportation_LCIA!M$61*($W241^Transportation_LCIA!M$60)+Transportation_LCIA!M$62</f>
        <v>2.9013540374786794E-4</v>
      </c>
      <c r="AJ241" s="137">
        <f>Transportation_LCIA!N$61*($W241^Transportation_LCIA!N$60)+Transportation_LCIA!N$62</f>
        <v>1.2730376617698762E-3</v>
      </c>
      <c r="AK241" s="137">
        <f>Transportation_LCIA!O$61*($W241^Transportation_LCIA!O$60)+Transportation_LCIA!O$62</f>
        <v>7.4124631538667591E-5</v>
      </c>
      <c r="AL241" s="137">
        <f>Transportation_LCIA!P$61*($W241^Transportation_LCIA!P$60)+Transportation_LCIA!P$62</f>
        <v>3.5802611393451831E-8</v>
      </c>
      <c r="AM241" s="137">
        <f>Transportation_LCIA!Q$61*($W241^Transportation_LCIA!Q$60)+Transportation_LCIA!Q$62</f>
        <v>1.2535917081520263E-4</v>
      </c>
      <c r="AN241" s="137">
        <f>Transportation_LCIA!R$61*($W241^Transportation_LCIA!R$60)+Transportation_LCIA!R$62</f>
        <v>3.8732436662072014E-4</v>
      </c>
      <c r="AO241" s="137">
        <f>Transportation_LCIA!S$61*($W241^Transportation_LCIA!S$60)+Transportation_LCIA!S$62</f>
        <v>5.7538657024500324E-6</v>
      </c>
      <c r="AP241" s="137">
        <f>Transportation_LCIA!T$61*($W241^Transportation_LCIA!T$60)+Transportation_LCIA!T$62</f>
        <v>5.7538657024500324E-6</v>
      </c>
      <c r="AQ241" s="137">
        <f>Transportation_LCIA!U$61*($W241^Transportation_LCIA!U$60)+Transportation_LCIA!U$62</f>
        <v>8.3645465454341723E-4</v>
      </c>
      <c r="AR241" s="137">
        <f>Transportation_LCIA!V$61*($W241^Transportation_LCIA!V$60)+Transportation_LCIA!V$62</f>
        <v>3.2616855470196486E-4</v>
      </c>
      <c r="AT241" s="137">
        <f>$W241*Y241+$L241*Summary_LCIA!H$32</f>
        <v>224.9609816998007</v>
      </c>
      <c r="AU241" s="137">
        <f>$W241*Z241+$L241*Summary_LCIA!Q$32</f>
        <v>2509.2974666558075</v>
      </c>
      <c r="AV241" s="137">
        <f>$W241*AA241+$L241*Summary_LCIA!R$32</f>
        <v>1.5509617570161645</v>
      </c>
      <c r="AW241" s="137">
        <f>$W241*AB241+$L241*Summary_LCIA!S$32</f>
        <v>224.51621477980069</v>
      </c>
      <c r="AX241" s="137">
        <f>$W241*AC241+$L241*Summary_LCIA!T$32</f>
        <v>57.953539837286442</v>
      </c>
      <c r="AY241" s="137">
        <f>$W241*AD241+$L241*Summary_LCIA!U$32</f>
        <v>2.0442720406421042</v>
      </c>
      <c r="AZ241" s="137">
        <f>$W241*AE241+$L241*Summary_LCIA!V$32</f>
        <v>1.0199737243915629E-2</v>
      </c>
      <c r="BA241" s="137">
        <f>$W241*AF241+$L241*Summary_LCIA!W$32</f>
        <v>15.752918672793896</v>
      </c>
      <c r="BB241" s="137">
        <f>$W241*AG241+$L241*Summary_LCIA!X$32</f>
        <v>12.461781694124062</v>
      </c>
      <c r="BC241" s="137">
        <f>$W241*AH241+$L241*Summary_LCIA!Y$32</f>
        <v>1.7804770618432217</v>
      </c>
      <c r="BD241" s="137">
        <f>$W241*AI241+$L241*Summary_LCIA!Z$32</f>
        <v>0.19830476527119031</v>
      </c>
      <c r="BE241" s="137">
        <f>$W241*AJ241+$L241*Summary_LCIA!AA$32</f>
        <v>3.2022235774927696</v>
      </c>
      <c r="BF241" s="137">
        <f>$W241*AK241+$L241*Summary_LCIA!AB$32</f>
        <v>4.7413244952893778E-2</v>
      </c>
      <c r="BG241" s="137">
        <f>$W241*AL241+$L241*Summary_LCIA!AC$32</f>
        <v>2.8880525272743461E-5</v>
      </c>
      <c r="BH241" s="137">
        <f>$W241*AM241+$L241*Summary_LCIA!AD$32</f>
        <v>0.12526012873101716</v>
      </c>
      <c r="BI241" s="137">
        <f>$W241*AN241+$L241*Summary_LCIA!AE$32</f>
        <v>0.34839132432539327</v>
      </c>
      <c r="BJ241" s="137">
        <f>$W241*AO241+$L241*Summary_LCIA!AF$32</f>
        <v>8.8922108180654713E-2</v>
      </c>
      <c r="BK241" s="137">
        <f>$W241*AP241+$L241*Summary_LCIA!AG$32</f>
        <v>8.9994045506547101E-3</v>
      </c>
      <c r="BL241" s="137">
        <f>$W241*AQ241+$L241*Summary_LCIA!AH$32</f>
        <v>1.4356203613525864</v>
      </c>
      <c r="BM241" s="137">
        <f>$W241*AR241+$L241*Summary_LCIA!AI$32</f>
        <v>0.31203216045919985</v>
      </c>
    </row>
    <row r="242" spans="1:65" x14ac:dyDescent="0.25">
      <c r="A242" s="149">
        <v>31</v>
      </c>
      <c r="B242" s="149">
        <v>6</v>
      </c>
      <c r="C242" s="61">
        <v>40.817663000000003</v>
      </c>
      <c r="D242" s="61">
        <v>-96.700036999999995</v>
      </c>
      <c r="E242" s="61" t="s">
        <v>265</v>
      </c>
      <c r="F242" s="149">
        <v>121</v>
      </c>
      <c r="G242" s="61" t="s">
        <v>287</v>
      </c>
      <c r="H242" s="61" t="s">
        <v>290</v>
      </c>
      <c r="I242" s="61">
        <v>41.301873000000001</v>
      </c>
      <c r="J242" s="61">
        <v>-95.893741000000006</v>
      </c>
      <c r="K242" s="61">
        <v>107.8641052</v>
      </c>
      <c r="L242" s="61">
        <v>100.626</v>
      </c>
      <c r="M242" s="61" t="s">
        <v>617</v>
      </c>
      <c r="N242" s="149">
        <v>5</v>
      </c>
      <c r="O242" s="149">
        <v>6</v>
      </c>
      <c r="P242" s="61" t="s">
        <v>565</v>
      </c>
      <c r="Q242" s="61" t="s">
        <v>564</v>
      </c>
      <c r="R242" s="61">
        <v>41.98028</v>
      </c>
      <c r="S242" s="61">
        <v>-87.908997900000003</v>
      </c>
      <c r="T242" s="61">
        <v>836.69100000000003</v>
      </c>
      <c r="U242" s="61" t="s">
        <v>617</v>
      </c>
      <c r="V242" s="61" t="s">
        <v>569</v>
      </c>
      <c r="W242" s="61" cm="1">
        <f t="array" ref="W242">getDistance(I242,J242,R242,S242)*SA!$B$12</f>
        <v>669.26749072627524</v>
      </c>
      <c r="Y242" s="137">
        <f>Transportation_LCIA!C$61*($W242^Transportation_LCIA!C$60)+Transportation_LCIA!C$62</f>
        <v>0.28504039049137575</v>
      </c>
      <c r="Z242" s="137">
        <f>Transportation_LCIA!D$61*($W242^Transportation_LCIA!D$60)+Transportation_LCIA!D$62</f>
        <v>3.0041649469674656</v>
      </c>
      <c r="AA242" s="137">
        <f>Transportation_LCIA!E$61*($W242^Transportation_LCIA!E$60)+Transportation_LCIA!E$62</f>
        <v>1.525706097435096E-3</v>
      </c>
      <c r="AB242" s="137">
        <f>Transportation_LCIA!F$61*($W242^Transportation_LCIA!F$60)+Transportation_LCIA!F$62</f>
        <v>0.28504039049137575</v>
      </c>
      <c r="AC242" s="137">
        <f>Transportation_LCIA!G$61*($W242^Transportation_LCIA!G$60)+Transportation_LCIA!G$62</f>
        <v>7.0068758885027033E-2</v>
      </c>
      <c r="AD242" s="137">
        <f>Transportation_LCIA!H$61*($W242^Transportation_LCIA!H$60)+Transportation_LCIA!H$62</f>
        <v>3.6107816379944279E-4</v>
      </c>
      <c r="AE242" s="137">
        <f>Transportation_LCIA!I$61*($W242^Transportation_LCIA!I$60)+Transportation_LCIA!I$62</f>
        <v>8.0591675714929097E-6</v>
      </c>
      <c r="AF242" s="137">
        <f>Transportation_LCIA!J$61*($W242^Transportation_LCIA!J$60)+Transportation_LCIA!J$62</f>
        <v>1.1964774828826928E-2</v>
      </c>
      <c r="AG242" s="137">
        <f>Transportation_LCIA!K$61*($W242^Transportation_LCIA!K$60)+Transportation_LCIA!K$62</f>
        <v>1.5195002827775642E-2</v>
      </c>
      <c r="AH242" s="137">
        <f>Transportation_LCIA!L$61*($W242^Transportation_LCIA!L$60)+Transportation_LCIA!L$62</f>
        <v>3.1754527567534542E-4</v>
      </c>
      <c r="AI242" s="137">
        <f>Transportation_LCIA!M$61*($W242^Transportation_LCIA!M$60)+Transportation_LCIA!M$62</f>
        <v>2.9013540374786794E-4</v>
      </c>
      <c r="AJ242" s="137">
        <f>Transportation_LCIA!N$61*($W242^Transportation_LCIA!N$60)+Transportation_LCIA!N$62</f>
        <v>1.2730376617698762E-3</v>
      </c>
      <c r="AK242" s="137">
        <f>Transportation_LCIA!O$61*($W242^Transportation_LCIA!O$60)+Transportation_LCIA!O$62</f>
        <v>7.4124631538667591E-5</v>
      </c>
      <c r="AL242" s="137">
        <f>Transportation_LCIA!P$61*($W242^Transportation_LCIA!P$60)+Transportation_LCIA!P$62</f>
        <v>3.5802611393451831E-8</v>
      </c>
      <c r="AM242" s="137">
        <f>Transportation_LCIA!Q$61*($W242^Transportation_LCIA!Q$60)+Transportation_LCIA!Q$62</f>
        <v>1.2535917081520263E-4</v>
      </c>
      <c r="AN242" s="137">
        <f>Transportation_LCIA!R$61*($W242^Transportation_LCIA!R$60)+Transportation_LCIA!R$62</f>
        <v>3.8732436662072014E-4</v>
      </c>
      <c r="AO242" s="137">
        <f>Transportation_LCIA!S$61*($W242^Transportation_LCIA!S$60)+Transportation_LCIA!S$62</f>
        <v>5.7538657024500324E-6</v>
      </c>
      <c r="AP242" s="137">
        <f>Transportation_LCIA!T$61*($W242^Transportation_LCIA!T$60)+Transportation_LCIA!T$62</f>
        <v>5.7538657024500324E-6</v>
      </c>
      <c r="AQ242" s="137">
        <f>Transportation_LCIA!U$61*($W242^Transportation_LCIA!U$60)+Transportation_LCIA!U$62</f>
        <v>8.3645465454341723E-4</v>
      </c>
      <c r="AR242" s="137">
        <f>Transportation_LCIA!V$61*($W242^Transportation_LCIA!V$60)+Transportation_LCIA!V$62</f>
        <v>3.2616855470196486E-4</v>
      </c>
      <c r="AT242" s="137">
        <f>$W242*Y242+$L242*Summary_LCIA!H$32</f>
        <v>224.9609816998007</v>
      </c>
      <c r="AU242" s="137">
        <f>$W242*Z242+$L242*Summary_LCIA!Q$32</f>
        <v>2509.2974666558075</v>
      </c>
      <c r="AV242" s="137">
        <f>$W242*AA242+$L242*Summary_LCIA!R$32</f>
        <v>1.5509617570161645</v>
      </c>
      <c r="AW242" s="137">
        <f>$W242*AB242+$L242*Summary_LCIA!S$32</f>
        <v>224.51621477980069</v>
      </c>
      <c r="AX242" s="137">
        <f>$W242*AC242+$L242*Summary_LCIA!T$32</f>
        <v>57.953539837286442</v>
      </c>
      <c r="AY242" s="137">
        <f>$W242*AD242+$L242*Summary_LCIA!U$32</f>
        <v>2.0442720406421042</v>
      </c>
      <c r="AZ242" s="137">
        <f>$W242*AE242+$L242*Summary_LCIA!V$32</f>
        <v>1.0199737243915629E-2</v>
      </c>
      <c r="BA242" s="137">
        <f>$W242*AF242+$L242*Summary_LCIA!W$32</f>
        <v>15.752918672793896</v>
      </c>
      <c r="BB242" s="137">
        <f>$W242*AG242+$L242*Summary_LCIA!X$32</f>
        <v>12.461781694124062</v>
      </c>
      <c r="BC242" s="137">
        <f>$W242*AH242+$L242*Summary_LCIA!Y$32</f>
        <v>1.7804770618432217</v>
      </c>
      <c r="BD242" s="137">
        <f>$W242*AI242+$L242*Summary_LCIA!Z$32</f>
        <v>0.19830476527119031</v>
      </c>
      <c r="BE242" s="137">
        <f>$W242*AJ242+$L242*Summary_LCIA!AA$32</f>
        <v>3.2022235774927696</v>
      </c>
      <c r="BF242" s="137">
        <f>$W242*AK242+$L242*Summary_LCIA!AB$32</f>
        <v>4.7413244952893778E-2</v>
      </c>
      <c r="BG242" s="137">
        <f>$W242*AL242+$L242*Summary_LCIA!AC$32</f>
        <v>2.8880525272743461E-5</v>
      </c>
      <c r="BH242" s="137">
        <f>$W242*AM242+$L242*Summary_LCIA!AD$32</f>
        <v>0.12526012873101716</v>
      </c>
      <c r="BI242" s="137">
        <f>$W242*AN242+$L242*Summary_LCIA!AE$32</f>
        <v>0.34839132432539327</v>
      </c>
      <c r="BJ242" s="137">
        <f>$W242*AO242+$L242*Summary_LCIA!AF$32</f>
        <v>8.8922108180654713E-2</v>
      </c>
      <c r="BK242" s="137">
        <f>$W242*AP242+$L242*Summary_LCIA!AG$32</f>
        <v>8.9994045506547101E-3</v>
      </c>
      <c r="BL242" s="137">
        <f>$W242*AQ242+$L242*Summary_LCIA!AH$32</f>
        <v>1.4356203613525864</v>
      </c>
      <c r="BM242" s="137">
        <f>$W242*AR242+$L242*Summary_LCIA!AI$32</f>
        <v>0.31203216045919985</v>
      </c>
    </row>
    <row r="243" spans="1:65" x14ac:dyDescent="0.25">
      <c r="A243" s="149">
        <v>32</v>
      </c>
      <c r="B243" s="149">
        <v>6</v>
      </c>
      <c r="C243" s="61">
        <v>40.817663000000003</v>
      </c>
      <c r="D243" s="61">
        <v>-96.700036999999995</v>
      </c>
      <c r="E243" s="61" t="s">
        <v>265</v>
      </c>
      <c r="F243" s="149">
        <v>121</v>
      </c>
      <c r="G243" s="61" t="s">
        <v>287</v>
      </c>
      <c r="H243" s="61" t="s">
        <v>290</v>
      </c>
      <c r="I243" s="61">
        <v>41.301873000000001</v>
      </c>
      <c r="J243" s="61">
        <v>-95.893741000000006</v>
      </c>
      <c r="K243" s="61">
        <v>107.8641052</v>
      </c>
      <c r="L243" s="61">
        <v>100.626</v>
      </c>
      <c r="M243" s="61" t="s">
        <v>617</v>
      </c>
      <c r="N243" s="149">
        <v>5</v>
      </c>
      <c r="O243" s="149">
        <v>6</v>
      </c>
      <c r="P243" s="61" t="s">
        <v>565</v>
      </c>
      <c r="Q243" s="61" t="s">
        <v>564</v>
      </c>
      <c r="R243" s="61">
        <v>41.98028</v>
      </c>
      <c r="S243" s="61">
        <v>-87.908997900000003</v>
      </c>
      <c r="T243" s="61">
        <v>836.69100000000003</v>
      </c>
      <c r="U243" s="61" t="s">
        <v>617</v>
      </c>
      <c r="V243" s="61" t="s">
        <v>569</v>
      </c>
      <c r="W243" s="61" cm="1">
        <f t="array" ref="W243">getDistance(I243,J243,R243,S243)*SA!$B$12</f>
        <v>669.26749072627524</v>
      </c>
      <c r="Y243" s="137">
        <f>Transportation_LCIA!C$61*($W243^Transportation_LCIA!C$60)+Transportation_LCIA!C$62</f>
        <v>0.28504039049137575</v>
      </c>
      <c r="Z243" s="137">
        <f>Transportation_LCIA!D$61*($W243^Transportation_LCIA!D$60)+Transportation_LCIA!D$62</f>
        <v>3.0041649469674656</v>
      </c>
      <c r="AA243" s="137">
        <f>Transportation_LCIA!E$61*($W243^Transportation_LCIA!E$60)+Transportation_LCIA!E$62</f>
        <v>1.525706097435096E-3</v>
      </c>
      <c r="AB243" s="137">
        <f>Transportation_LCIA!F$61*($W243^Transportation_LCIA!F$60)+Transportation_LCIA!F$62</f>
        <v>0.28504039049137575</v>
      </c>
      <c r="AC243" s="137">
        <f>Transportation_LCIA!G$61*($W243^Transportation_LCIA!G$60)+Transportation_LCIA!G$62</f>
        <v>7.0068758885027033E-2</v>
      </c>
      <c r="AD243" s="137">
        <f>Transportation_LCIA!H$61*($W243^Transportation_LCIA!H$60)+Transportation_LCIA!H$62</f>
        <v>3.6107816379944279E-4</v>
      </c>
      <c r="AE243" s="137">
        <f>Transportation_LCIA!I$61*($W243^Transportation_LCIA!I$60)+Transportation_LCIA!I$62</f>
        <v>8.0591675714929097E-6</v>
      </c>
      <c r="AF243" s="137">
        <f>Transportation_LCIA!J$61*($W243^Transportation_LCIA!J$60)+Transportation_LCIA!J$62</f>
        <v>1.1964774828826928E-2</v>
      </c>
      <c r="AG243" s="137">
        <f>Transportation_LCIA!K$61*($W243^Transportation_LCIA!K$60)+Transportation_LCIA!K$62</f>
        <v>1.5195002827775642E-2</v>
      </c>
      <c r="AH243" s="137">
        <f>Transportation_LCIA!L$61*($W243^Transportation_LCIA!L$60)+Transportation_LCIA!L$62</f>
        <v>3.1754527567534542E-4</v>
      </c>
      <c r="AI243" s="137">
        <f>Transportation_LCIA!M$61*($W243^Transportation_LCIA!M$60)+Transportation_LCIA!M$62</f>
        <v>2.9013540374786794E-4</v>
      </c>
      <c r="AJ243" s="137">
        <f>Transportation_LCIA!N$61*($W243^Transportation_LCIA!N$60)+Transportation_LCIA!N$62</f>
        <v>1.2730376617698762E-3</v>
      </c>
      <c r="AK243" s="137">
        <f>Transportation_LCIA!O$61*($W243^Transportation_LCIA!O$60)+Transportation_LCIA!O$62</f>
        <v>7.4124631538667591E-5</v>
      </c>
      <c r="AL243" s="137">
        <f>Transportation_LCIA!P$61*($W243^Transportation_LCIA!P$60)+Transportation_LCIA!P$62</f>
        <v>3.5802611393451831E-8</v>
      </c>
      <c r="AM243" s="137">
        <f>Transportation_LCIA!Q$61*($W243^Transportation_LCIA!Q$60)+Transportation_LCIA!Q$62</f>
        <v>1.2535917081520263E-4</v>
      </c>
      <c r="AN243" s="137">
        <f>Transportation_LCIA!R$61*($W243^Transportation_LCIA!R$60)+Transportation_LCIA!R$62</f>
        <v>3.8732436662072014E-4</v>
      </c>
      <c r="AO243" s="137">
        <f>Transportation_LCIA!S$61*($W243^Transportation_LCIA!S$60)+Transportation_LCIA!S$62</f>
        <v>5.7538657024500324E-6</v>
      </c>
      <c r="AP243" s="137">
        <f>Transportation_LCIA!T$61*($W243^Transportation_LCIA!T$60)+Transportation_LCIA!T$62</f>
        <v>5.7538657024500324E-6</v>
      </c>
      <c r="AQ243" s="137">
        <f>Transportation_LCIA!U$61*($W243^Transportation_LCIA!U$60)+Transportation_LCIA!U$62</f>
        <v>8.3645465454341723E-4</v>
      </c>
      <c r="AR243" s="137">
        <f>Transportation_LCIA!V$61*($W243^Transportation_LCIA!V$60)+Transportation_LCIA!V$62</f>
        <v>3.2616855470196486E-4</v>
      </c>
      <c r="AT243" s="137">
        <f>$W243*Y243+$L243*Summary_LCIA!H$32</f>
        <v>224.9609816998007</v>
      </c>
      <c r="AU243" s="137">
        <f>$W243*Z243+$L243*Summary_LCIA!Q$32</f>
        <v>2509.2974666558075</v>
      </c>
      <c r="AV243" s="137">
        <f>$W243*AA243+$L243*Summary_LCIA!R$32</f>
        <v>1.5509617570161645</v>
      </c>
      <c r="AW243" s="137">
        <f>$W243*AB243+$L243*Summary_LCIA!S$32</f>
        <v>224.51621477980069</v>
      </c>
      <c r="AX243" s="137">
        <f>$W243*AC243+$L243*Summary_LCIA!T$32</f>
        <v>57.953539837286442</v>
      </c>
      <c r="AY243" s="137">
        <f>$W243*AD243+$L243*Summary_LCIA!U$32</f>
        <v>2.0442720406421042</v>
      </c>
      <c r="AZ243" s="137">
        <f>$W243*AE243+$L243*Summary_LCIA!V$32</f>
        <v>1.0199737243915629E-2</v>
      </c>
      <c r="BA243" s="137">
        <f>$W243*AF243+$L243*Summary_LCIA!W$32</f>
        <v>15.752918672793896</v>
      </c>
      <c r="BB243" s="137">
        <f>$W243*AG243+$L243*Summary_LCIA!X$32</f>
        <v>12.461781694124062</v>
      </c>
      <c r="BC243" s="137">
        <f>$W243*AH243+$L243*Summary_LCIA!Y$32</f>
        <v>1.7804770618432217</v>
      </c>
      <c r="BD243" s="137">
        <f>$W243*AI243+$L243*Summary_LCIA!Z$32</f>
        <v>0.19830476527119031</v>
      </c>
      <c r="BE243" s="137">
        <f>$W243*AJ243+$L243*Summary_LCIA!AA$32</f>
        <v>3.2022235774927696</v>
      </c>
      <c r="BF243" s="137">
        <f>$W243*AK243+$L243*Summary_LCIA!AB$32</f>
        <v>4.7413244952893778E-2</v>
      </c>
      <c r="BG243" s="137">
        <f>$W243*AL243+$L243*Summary_LCIA!AC$32</f>
        <v>2.8880525272743461E-5</v>
      </c>
      <c r="BH243" s="137">
        <f>$W243*AM243+$L243*Summary_LCIA!AD$32</f>
        <v>0.12526012873101716</v>
      </c>
      <c r="BI243" s="137">
        <f>$W243*AN243+$L243*Summary_LCIA!AE$32</f>
        <v>0.34839132432539327</v>
      </c>
      <c r="BJ243" s="137">
        <f>$W243*AO243+$L243*Summary_LCIA!AF$32</f>
        <v>8.8922108180654713E-2</v>
      </c>
      <c r="BK243" s="137">
        <f>$W243*AP243+$L243*Summary_LCIA!AG$32</f>
        <v>8.9994045506547101E-3</v>
      </c>
      <c r="BL243" s="137">
        <f>$W243*AQ243+$L243*Summary_LCIA!AH$32</f>
        <v>1.4356203613525864</v>
      </c>
      <c r="BM243" s="137">
        <f>$W243*AR243+$L243*Summary_LCIA!AI$32</f>
        <v>0.31203216045919985</v>
      </c>
    </row>
    <row r="244" spans="1:65" x14ac:dyDescent="0.25">
      <c r="A244" s="149">
        <v>319</v>
      </c>
      <c r="B244" s="149">
        <v>15</v>
      </c>
      <c r="C244" s="61">
        <v>44.698993000000002</v>
      </c>
      <c r="D244" s="61">
        <v>10.629686</v>
      </c>
      <c r="E244" s="61" t="s">
        <v>421</v>
      </c>
      <c r="F244" s="149">
        <v>51</v>
      </c>
      <c r="G244" s="61" t="s">
        <v>698</v>
      </c>
      <c r="H244" s="61" t="s">
        <v>716</v>
      </c>
      <c r="I244" s="61">
        <v>41.799886999999998</v>
      </c>
      <c r="J244" s="61">
        <v>12.246238</v>
      </c>
      <c r="K244" s="61">
        <v>362.83693729999999</v>
      </c>
      <c r="L244" s="61">
        <v>459.46699999999998</v>
      </c>
      <c r="M244" s="61" t="s">
        <v>617</v>
      </c>
      <c r="N244" s="149">
        <v>14</v>
      </c>
      <c r="O244" s="149">
        <v>15</v>
      </c>
      <c r="P244" s="61" t="s">
        <v>567</v>
      </c>
      <c r="Q244" s="61" t="s">
        <v>566</v>
      </c>
      <c r="R244" s="61">
        <v>50.037932599999998</v>
      </c>
      <c r="S244" s="61">
        <v>8.5621518000000005</v>
      </c>
      <c r="T244" s="61">
        <v>841.529</v>
      </c>
      <c r="U244" s="61" t="s">
        <v>589</v>
      </c>
      <c r="V244" s="61" t="s">
        <v>569</v>
      </c>
      <c r="W244" s="61" cm="1">
        <f t="array" ref="W244">getDistance(I244,J244,R244,S244)*SA!$B$12</f>
        <v>960.33096396061467</v>
      </c>
      <c r="Y244" s="137">
        <f>Transportation_LCIA!C$61*($W244^Transportation_LCIA!C$60)+Transportation_LCIA!C$62</f>
        <v>0.23978916330242275</v>
      </c>
      <c r="Z244" s="137">
        <f>Transportation_LCIA!D$61*($W244^Transportation_LCIA!D$60)+Transportation_LCIA!D$62</f>
        <v>2.4708787889542601</v>
      </c>
      <c r="AA244" s="137">
        <f>Transportation_LCIA!E$61*($W244^Transportation_LCIA!E$60)+Transportation_LCIA!E$62</f>
        <v>1.174109327635068E-3</v>
      </c>
      <c r="AB244" s="137">
        <f>Transportation_LCIA!F$61*($W244^Transportation_LCIA!F$60)+Transportation_LCIA!F$62</f>
        <v>0.23978916330242275</v>
      </c>
      <c r="AC244" s="137">
        <f>Transportation_LCIA!G$61*($W244^Transportation_LCIA!G$60)+Transportation_LCIA!G$62</f>
        <v>5.7737841551702487E-2</v>
      </c>
      <c r="AD244" s="137">
        <f>Transportation_LCIA!H$61*($W244^Transportation_LCIA!H$60)+Transportation_LCIA!H$62</f>
        <v>2.8334647040481186E-4</v>
      </c>
      <c r="AE244" s="137">
        <f>Transportation_LCIA!I$61*($W244^Transportation_LCIA!I$60)+Transportation_LCIA!I$62</f>
        <v>6.0850967306403664E-6</v>
      </c>
      <c r="AF244" s="137">
        <f>Transportation_LCIA!J$61*($W244^Transportation_LCIA!J$60)+Transportation_LCIA!J$62</f>
        <v>9.0078905630086234E-3</v>
      </c>
      <c r="AG244" s="137">
        <f>Transportation_LCIA!K$61*($W244^Transportation_LCIA!K$60)+Transportation_LCIA!K$62</f>
        <v>1.230224715256964E-2</v>
      </c>
      <c r="AH244" s="137">
        <f>Transportation_LCIA!L$61*($W244^Transportation_LCIA!L$60)+Transportation_LCIA!L$62</f>
        <v>2.4590448371425308E-4</v>
      </c>
      <c r="AI244" s="137">
        <f>Transportation_LCIA!M$61*($W244^Transportation_LCIA!M$60)+Transportation_LCIA!M$62</f>
        <v>2.4722323152264391E-4</v>
      </c>
      <c r="AJ244" s="137">
        <f>Transportation_LCIA!N$61*($W244^Transportation_LCIA!N$60)+Transportation_LCIA!N$62</f>
        <v>1.0118732947864647E-3</v>
      </c>
      <c r="AK244" s="137">
        <f>Transportation_LCIA!O$61*($W244^Transportation_LCIA!O$60)+Transportation_LCIA!O$62</f>
        <v>6.1017911221320582E-5</v>
      </c>
      <c r="AL244" s="137">
        <f>Transportation_LCIA!P$61*($W244^Transportation_LCIA!P$60)+Transportation_LCIA!P$62</f>
        <v>2.9505637910099093E-8</v>
      </c>
      <c r="AM244" s="137">
        <f>Transportation_LCIA!Q$61*($W244^Transportation_LCIA!Q$60)+Transportation_LCIA!Q$62</f>
        <v>9.7309772323205714E-5</v>
      </c>
      <c r="AN244" s="137">
        <f>Transportation_LCIA!R$61*($W244^Transportation_LCIA!R$60)+Transportation_LCIA!R$62</f>
        <v>2.926416879903948E-4</v>
      </c>
      <c r="AO244" s="137">
        <f>Transportation_LCIA!S$61*($W244^Transportation_LCIA!S$60)+Transportation_LCIA!S$62</f>
        <v>4.4106471577943657E-6</v>
      </c>
      <c r="AP244" s="137">
        <f>Transportation_LCIA!T$61*($W244^Transportation_LCIA!T$60)+Transportation_LCIA!T$62</f>
        <v>4.4106471577943657E-6</v>
      </c>
      <c r="AQ244" s="137">
        <f>Transportation_LCIA!U$61*($W244^Transportation_LCIA!U$60)+Transportation_LCIA!U$62</f>
        <v>6.284668197431289E-4</v>
      </c>
      <c r="AR244" s="137">
        <f>Transportation_LCIA!V$61*($W244^Transportation_LCIA!V$60)+Transportation_LCIA!V$62</f>
        <v>2.5307125805150313E-4</v>
      </c>
      <c r="AT244" s="137">
        <f>$W244*Y244+$L244*Summary_LCIA!H$32</f>
        <v>386.40384494152488</v>
      </c>
      <c r="AU244" s="137">
        <f>$W244*Z244+$L244*Summary_LCIA!Q$32</f>
        <v>4650.0030335254914</v>
      </c>
      <c r="AV244" s="137">
        <f>$W244*AA244+$L244*Summary_LCIA!R$32</f>
        <v>3.5469029776029339</v>
      </c>
      <c r="AW244" s="137">
        <f>$W244*AB244+$L244*Summary_LCIA!S$32</f>
        <v>384.37300080152488</v>
      </c>
      <c r="AX244" s="137">
        <f>$W244*AC244+$L244*Summary_LCIA!T$32</f>
        <v>105.94286033435168</v>
      </c>
      <c r="AY244" s="137">
        <f>$W244*AD244+$L244*Summary_LCIA!U$32</f>
        <v>8.5029982270586899</v>
      </c>
      <c r="AZ244" s="137">
        <f>$W244*AE244+$L244*Summary_LCIA!V$32</f>
        <v>2.7788310196129446E-2</v>
      </c>
      <c r="BA244" s="137">
        <f>$W244*AF244+$L244*Summary_LCIA!W$32</f>
        <v>44.016190684625798</v>
      </c>
      <c r="BB244" s="137">
        <f>$W244*AG244+$L244*Summary_LCIA!X$32</f>
        <v>22.280887126908929</v>
      </c>
      <c r="BC244" s="137">
        <f>$W244*AH244+$L244*Summary_LCIA!Y$32</f>
        <v>7.3955644838875454</v>
      </c>
      <c r="BD244" s="137">
        <f>$W244*AI244+$L244*Summary_LCIA!Z$32</f>
        <v>0.25625840644459885</v>
      </c>
      <c r="BE244" s="137">
        <f>$W244*AJ244+$L244*Summary_LCIA!AA$32</f>
        <v>11.703044508588288</v>
      </c>
      <c r="BF244" s="137">
        <f>$W244*AK244+$L244*Summary_LCIA!AB$32</f>
        <v>4.8570441161034004E-2</v>
      </c>
      <c r="BG244" s="137">
        <f>$W244*AL244+$L244*Summary_LCIA!AC$32</f>
        <v>5.0795762524478324E-5</v>
      </c>
      <c r="BH244" s="137">
        <f>$W244*AM244+$L244*Summary_LCIA!AD$32</f>
        <v>0.28230890313793211</v>
      </c>
      <c r="BI244" s="137">
        <f>$W244*AN244+$L244*Summary_LCIA!AE$32</f>
        <v>0.68818036703287722</v>
      </c>
      <c r="BJ244" s="137">
        <f>$W244*AO244+$L244*Summary_LCIA!AF$32</f>
        <v>0.39267827217673484</v>
      </c>
      <c r="BK244" s="137">
        <f>$W244*AP244+$L244*Summary_LCIA!AG$32</f>
        <v>2.7744310091734808E-2</v>
      </c>
      <c r="BL244" s="137">
        <f>$W244*AQ244+$L244*Summary_LCIA!AH$32</f>
        <v>4.6025531280211807</v>
      </c>
      <c r="BM244" s="137">
        <f>$W244*AR244+$L244*Summary_LCIA!AI$32</f>
        <v>0.67104864904532546</v>
      </c>
    </row>
    <row r="245" spans="1:65" x14ac:dyDescent="0.25">
      <c r="A245" s="149">
        <v>43</v>
      </c>
      <c r="B245" s="149">
        <v>6</v>
      </c>
      <c r="C245" s="61">
        <v>38.877713999999997</v>
      </c>
      <c r="D245" s="61">
        <v>-94.774396999999993</v>
      </c>
      <c r="E245" s="61" t="s">
        <v>265</v>
      </c>
      <c r="F245" s="149">
        <v>101</v>
      </c>
      <c r="G245" s="61" t="s">
        <v>647</v>
      </c>
      <c r="H245" s="61" t="s">
        <v>648</v>
      </c>
      <c r="I245" s="61">
        <v>39.303586000000003</v>
      </c>
      <c r="J245" s="61">
        <v>-94.70926</v>
      </c>
      <c r="K245" s="61">
        <v>77.391958450000004</v>
      </c>
      <c r="L245" s="61">
        <v>62.118000000000002</v>
      </c>
      <c r="M245" s="61" t="s">
        <v>617</v>
      </c>
      <c r="N245" s="149">
        <v>5</v>
      </c>
      <c r="O245" s="149">
        <v>6</v>
      </c>
      <c r="P245" s="61" t="s">
        <v>565</v>
      </c>
      <c r="Q245" s="61" t="s">
        <v>564</v>
      </c>
      <c r="R245" s="61">
        <v>41.98028</v>
      </c>
      <c r="S245" s="61">
        <v>-87.908997900000003</v>
      </c>
      <c r="T245" s="61">
        <v>858.19299999999998</v>
      </c>
      <c r="U245" s="61" t="s">
        <v>617</v>
      </c>
      <c r="V245" s="61" t="s">
        <v>569</v>
      </c>
      <c r="W245" s="61" cm="1">
        <f t="array" ref="W245">getDistance(I245,J245,R245,S245)*SA!$B$12</f>
        <v>647.4733630144575</v>
      </c>
      <c r="Y245" s="137">
        <f>Transportation_LCIA!C$61*($W245^Transportation_LCIA!C$60)+Transportation_LCIA!C$62</f>
        <v>0.28991652457155515</v>
      </c>
      <c r="Z245" s="137">
        <f>Transportation_LCIA!D$61*($W245^Transportation_LCIA!D$60)+Transportation_LCIA!D$62</f>
        <v>3.0621007939018225</v>
      </c>
      <c r="AA245" s="137">
        <f>Transportation_LCIA!E$61*($W245^Transportation_LCIA!E$60)+Transportation_LCIA!E$62</f>
        <v>1.5639908369269233E-3</v>
      </c>
      <c r="AB245" s="137">
        <f>Transportation_LCIA!F$61*($W245^Transportation_LCIA!F$60)+Transportation_LCIA!F$62</f>
        <v>0.28991652457155515</v>
      </c>
      <c r="AC245" s="137">
        <f>Transportation_LCIA!G$61*($W245^Transportation_LCIA!G$60)+Transportation_LCIA!G$62</f>
        <v>7.1407745133871256E-2</v>
      </c>
      <c r="AD245" s="137">
        <f>Transportation_LCIA!H$61*($W245^Transportation_LCIA!H$60)+Transportation_LCIA!H$62</f>
        <v>3.6958053417538898E-4</v>
      </c>
      <c r="AE245" s="137">
        <f>Transportation_LCIA!I$61*($W245^Transportation_LCIA!I$60)+Transportation_LCIA!I$62</f>
        <v>8.2766666733597734E-6</v>
      </c>
      <c r="AF245" s="137">
        <f>Transportation_LCIA!J$61*($W245^Transportation_LCIA!J$60)+Transportation_LCIA!J$62</f>
        <v>1.2292104272569999E-2</v>
      </c>
      <c r="AG245" s="137">
        <f>Transportation_LCIA!K$61*($W245^Transportation_LCIA!K$60)+Transportation_LCIA!K$62</f>
        <v>1.5510415114736775E-2</v>
      </c>
      <c r="AH245" s="137">
        <f>Transportation_LCIA!L$61*($W245^Transportation_LCIA!L$60)+Transportation_LCIA!L$62</f>
        <v>3.2539764609745288E-4</v>
      </c>
      <c r="AI245" s="137">
        <f>Transportation_LCIA!M$61*($W245^Transportation_LCIA!M$60)+Transportation_LCIA!M$62</f>
        <v>2.9483033400248848E-4</v>
      </c>
      <c r="AJ245" s="137">
        <f>Transportation_LCIA!N$61*($W245^Transportation_LCIA!N$60)+Transportation_LCIA!N$62</f>
        <v>1.3015875854014613E-3</v>
      </c>
      <c r="AK245" s="137">
        <f>Transportation_LCIA!O$61*($W245^Transportation_LCIA!O$60)+Transportation_LCIA!O$62</f>
        <v>7.5548179085519799E-5</v>
      </c>
      <c r="AL245" s="137">
        <f>Transportation_LCIA!P$61*($W245^Transportation_LCIA!P$60)+Transportation_LCIA!P$62</f>
        <v>3.6486124224340038E-8</v>
      </c>
      <c r="AM245" s="137">
        <f>Transportation_LCIA!Q$61*($W245^Transportation_LCIA!Q$60)+Transportation_LCIA!Q$62</f>
        <v>1.2843702129143657E-4</v>
      </c>
      <c r="AN245" s="137">
        <f>Transportation_LCIA!R$61*($W245^Transportation_LCIA!R$60)+Transportation_LCIA!R$62</f>
        <v>3.977581392161846E-4</v>
      </c>
      <c r="AO245" s="137">
        <f>Transportation_LCIA!S$61*($W245^Transportation_LCIA!S$60)+Transportation_LCIA!S$62</f>
        <v>5.9018366684239294E-6</v>
      </c>
      <c r="AP245" s="137">
        <f>Transportation_LCIA!T$61*($W245^Transportation_LCIA!T$60)+Transportation_LCIA!T$62</f>
        <v>5.9018366684239294E-6</v>
      </c>
      <c r="AQ245" s="137">
        <f>Transportation_LCIA!U$61*($W245^Transportation_LCIA!U$60)+Transportation_LCIA!U$62</f>
        <v>8.594058841703753E-4</v>
      </c>
      <c r="AR245" s="137">
        <f>Transportation_LCIA!V$61*($W245^Transportation_LCIA!V$60)+Transportation_LCIA!V$62</f>
        <v>3.3420101797980824E-4</v>
      </c>
      <c r="AT245" s="137">
        <f>$W245*Y245+$L245*Summary_LCIA!H$32</f>
        <v>208.82092355780841</v>
      </c>
      <c r="AU245" s="137">
        <f>$W245*Z245+$L245*Summary_LCIA!Q$32</f>
        <v>2290.4886397139471</v>
      </c>
      <c r="AV245" s="137">
        <f>$W245*AA245+$L245*Summary_LCIA!R$32</f>
        <v>1.339730947708871</v>
      </c>
      <c r="AW245" s="137">
        <f>$W245*AB245+$L245*Summary_LCIA!S$32</f>
        <v>208.54636199780842</v>
      </c>
      <c r="AX245" s="137">
        <f>$W245*AC245+$L245*Summary_LCIA!T$32</f>
        <v>53.061381087106881</v>
      </c>
      <c r="AY245" s="137">
        <f>$W245*AD245+$L245*Summary_LCIA!U$32</f>
        <v>1.3520754033672187</v>
      </c>
      <c r="AZ245" s="137">
        <f>$W245*AE245+$L245*Summary_LCIA!V$32</f>
        <v>8.3257390035499351E-3</v>
      </c>
      <c r="BA245" s="137">
        <f>$W245*AF245+$L245*Summary_LCIA!W$32</f>
        <v>12.740094669885281</v>
      </c>
      <c r="BB245" s="137">
        <f>$W245*AG245+$L245*Summary_LCIA!X$32</f>
        <v>11.457628676088893</v>
      </c>
      <c r="BC245" s="137">
        <f>$W245*AH245+$L245*Summary_LCIA!Y$32</f>
        <v>1.1786089842357061</v>
      </c>
      <c r="BD245" s="137">
        <f>$W245*AI245+$L245*Summary_LCIA!Z$32</f>
        <v>0.19344218493726698</v>
      </c>
      <c r="BE245" s="137">
        <f>$W245*AJ245+$L245*Summary_LCIA!AA$32</f>
        <v>2.2935712991777515</v>
      </c>
      <c r="BF245" s="137">
        <f>$W245*AK245+$L245*Summary_LCIA!AB$32</f>
        <v>4.7559832468120004E-2</v>
      </c>
      <c r="BG245" s="137">
        <f>$W245*AL245+$L245*Summary_LCIA!AC$32</f>
        <v>2.6660369866896708E-5</v>
      </c>
      <c r="BH245" s="137">
        <f>$W245*AM245+$L245*Summary_LCIA!AD$32</f>
        <v>0.10869253283112591</v>
      </c>
      <c r="BI245" s="137">
        <f>$W245*AN245+$L245*Summary_LCIA!AE$32</f>
        <v>0.31258242340467579</v>
      </c>
      <c r="BJ245" s="137">
        <f>$W245*AO245+$L245*Summary_LCIA!AF$32</f>
        <v>5.6337081595666492E-2</v>
      </c>
      <c r="BK245" s="137">
        <f>$W245*AP245+$L245*Summary_LCIA!AG$32</f>
        <v>6.9995495056664834E-3</v>
      </c>
      <c r="BL245" s="137">
        <f>$W245*AQ245+$L245*Summary_LCIA!AH$32</f>
        <v>1.0970926428182062</v>
      </c>
      <c r="BM245" s="137">
        <f>$W245*AR245+$L245*Summary_LCIA!AI$32</f>
        <v>0.27425227993424162</v>
      </c>
    </row>
    <row r="246" spans="1:65" x14ac:dyDescent="0.25">
      <c r="A246" s="149">
        <v>369</v>
      </c>
      <c r="B246" s="149">
        <v>15</v>
      </c>
      <c r="C246" s="61">
        <v>44.496878000000002</v>
      </c>
      <c r="D246" s="61">
        <v>11.352409</v>
      </c>
      <c r="E246" s="61" t="s">
        <v>421</v>
      </c>
      <c r="F246" s="149">
        <v>51</v>
      </c>
      <c r="G246" s="61" t="s">
        <v>698</v>
      </c>
      <c r="H246" s="61" t="s">
        <v>716</v>
      </c>
      <c r="I246" s="61">
        <v>41.799886999999998</v>
      </c>
      <c r="J246" s="61">
        <v>12.246238</v>
      </c>
      <c r="K246" s="61">
        <v>317.25793929999998</v>
      </c>
      <c r="L246" s="61">
        <v>414.30399999999997</v>
      </c>
      <c r="M246" s="61" t="s">
        <v>617</v>
      </c>
      <c r="N246" s="149">
        <v>14</v>
      </c>
      <c r="O246" s="149">
        <v>15</v>
      </c>
      <c r="P246" s="61" t="s">
        <v>567</v>
      </c>
      <c r="Q246" s="61" t="s">
        <v>566</v>
      </c>
      <c r="R246" s="61">
        <v>50.037932599999998</v>
      </c>
      <c r="S246" s="61">
        <v>8.5621518000000005</v>
      </c>
      <c r="T246" s="61">
        <v>898.07799999999997</v>
      </c>
      <c r="U246" s="61" t="s">
        <v>589</v>
      </c>
      <c r="V246" s="61" t="s">
        <v>569</v>
      </c>
      <c r="W246" s="61" cm="1">
        <f t="array" ref="W246">getDistance(I246,J246,R246,S246)*SA!$B$12</f>
        <v>960.33096396061467</v>
      </c>
      <c r="Y246" s="137">
        <f>Transportation_LCIA!C$61*($W246^Transportation_LCIA!C$60)+Transportation_LCIA!C$62</f>
        <v>0.23978916330242275</v>
      </c>
      <c r="Z246" s="137">
        <f>Transportation_LCIA!D$61*($W246^Transportation_LCIA!D$60)+Transportation_LCIA!D$62</f>
        <v>2.4708787889542601</v>
      </c>
      <c r="AA246" s="137">
        <f>Transportation_LCIA!E$61*($W246^Transportation_LCIA!E$60)+Transportation_LCIA!E$62</f>
        <v>1.174109327635068E-3</v>
      </c>
      <c r="AB246" s="137">
        <f>Transportation_LCIA!F$61*($W246^Transportation_LCIA!F$60)+Transportation_LCIA!F$62</f>
        <v>0.23978916330242275</v>
      </c>
      <c r="AC246" s="137">
        <f>Transportation_LCIA!G$61*($W246^Transportation_LCIA!G$60)+Transportation_LCIA!G$62</f>
        <v>5.7737841551702487E-2</v>
      </c>
      <c r="AD246" s="137">
        <f>Transportation_LCIA!H$61*($W246^Transportation_LCIA!H$60)+Transportation_LCIA!H$62</f>
        <v>2.8334647040481186E-4</v>
      </c>
      <c r="AE246" s="137">
        <f>Transportation_LCIA!I$61*($W246^Transportation_LCIA!I$60)+Transportation_LCIA!I$62</f>
        <v>6.0850967306403664E-6</v>
      </c>
      <c r="AF246" s="137">
        <f>Transportation_LCIA!J$61*($W246^Transportation_LCIA!J$60)+Transportation_LCIA!J$62</f>
        <v>9.0078905630086234E-3</v>
      </c>
      <c r="AG246" s="137">
        <f>Transportation_LCIA!K$61*($W246^Transportation_LCIA!K$60)+Transportation_LCIA!K$62</f>
        <v>1.230224715256964E-2</v>
      </c>
      <c r="AH246" s="137">
        <f>Transportation_LCIA!L$61*($W246^Transportation_LCIA!L$60)+Transportation_LCIA!L$62</f>
        <v>2.4590448371425308E-4</v>
      </c>
      <c r="AI246" s="137">
        <f>Transportation_LCIA!M$61*($W246^Transportation_LCIA!M$60)+Transportation_LCIA!M$62</f>
        <v>2.4722323152264391E-4</v>
      </c>
      <c r="AJ246" s="137">
        <f>Transportation_LCIA!N$61*($W246^Transportation_LCIA!N$60)+Transportation_LCIA!N$62</f>
        <v>1.0118732947864647E-3</v>
      </c>
      <c r="AK246" s="137">
        <f>Transportation_LCIA!O$61*($W246^Transportation_LCIA!O$60)+Transportation_LCIA!O$62</f>
        <v>6.1017911221320582E-5</v>
      </c>
      <c r="AL246" s="137">
        <f>Transportation_LCIA!P$61*($W246^Transportation_LCIA!P$60)+Transportation_LCIA!P$62</f>
        <v>2.9505637910099093E-8</v>
      </c>
      <c r="AM246" s="137">
        <f>Transportation_LCIA!Q$61*($W246^Transportation_LCIA!Q$60)+Transportation_LCIA!Q$62</f>
        <v>9.7309772323205714E-5</v>
      </c>
      <c r="AN246" s="137">
        <f>Transportation_LCIA!R$61*($W246^Transportation_LCIA!R$60)+Transportation_LCIA!R$62</f>
        <v>2.926416879903948E-4</v>
      </c>
      <c r="AO246" s="137">
        <f>Transportation_LCIA!S$61*($W246^Transportation_LCIA!S$60)+Transportation_LCIA!S$62</f>
        <v>4.4106471577943657E-6</v>
      </c>
      <c r="AP246" s="137">
        <f>Transportation_LCIA!T$61*($W246^Transportation_LCIA!T$60)+Transportation_LCIA!T$62</f>
        <v>4.4106471577943657E-6</v>
      </c>
      <c r="AQ246" s="137">
        <f>Transportation_LCIA!U$61*($W246^Transportation_LCIA!U$60)+Transportation_LCIA!U$62</f>
        <v>6.284668197431289E-4</v>
      </c>
      <c r="AR246" s="137">
        <f>Transportation_LCIA!V$61*($W246^Transportation_LCIA!V$60)+Transportation_LCIA!V$62</f>
        <v>2.5307125805150313E-4</v>
      </c>
      <c r="AT246" s="137">
        <f>$W246*Y246+$L246*Summary_LCIA!H$32</f>
        <v>371.05745754152485</v>
      </c>
      <c r="AU246" s="137">
        <f>$W246*Z246+$L246*Summary_LCIA!Q$32</f>
        <v>4426.1729278199127</v>
      </c>
      <c r="AV246" s="137">
        <f>$W246*AA246+$L246*Summary_LCIA!R$32</f>
        <v>3.3090926848029341</v>
      </c>
      <c r="AW246" s="137">
        <f>$W246*AB246+$L246*Summary_LCIA!S$32</f>
        <v>369.22623386152486</v>
      </c>
      <c r="AX246" s="137">
        <f>$W246*AC246+$L246*Summary_LCIA!T$32</f>
        <v>100.97944663435167</v>
      </c>
      <c r="AY246" s="137">
        <f>$W246*AD246+$L246*Summary_LCIA!U$32</f>
        <v>7.6939482450586905</v>
      </c>
      <c r="AZ246" s="137">
        <f>$W246*AE246+$L246*Summary_LCIA!V$32</f>
        <v>2.5631280153129446E-2</v>
      </c>
      <c r="BA246" s="137">
        <f>$W246*AF246+$L246*Summary_LCIA!W$32</f>
        <v>40.539949411625791</v>
      </c>
      <c r="BB246" s="137">
        <f>$W246*AG246+$L246*Summary_LCIA!X$32</f>
        <v>21.252073986908929</v>
      </c>
      <c r="BC246" s="137">
        <f>$W246*AH246+$L246*Summary_LCIA!Y$32</f>
        <v>6.6918346178875456</v>
      </c>
      <c r="BD246" s="137">
        <f>$W246*AI246+$L246*Summary_LCIA!Z$32</f>
        <v>0.25440631697759886</v>
      </c>
      <c r="BE246" s="137">
        <f>$W246*AJ246+$L246*Summary_LCIA!AA$32</f>
        <v>10.648217480588288</v>
      </c>
      <c r="BF246" s="137">
        <f>$W246*AK246+$L246*Summary_LCIA!AB$32</f>
        <v>4.9556033310034005E-2</v>
      </c>
      <c r="BG246" s="137">
        <f>$W246*AL246+$L246*Summary_LCIA!AC$32</f>
        <v>4.8588014432478321E-5</v>
      </c>
      <c r="BH246" s="137">
        <f>$W246*AM246+$L246*Summary_LCIA!AD$32</f>
        <v>0.26374510361793208</v>
      </c>
      <c r="BI246" s="137">
        <f>$W246*AN246+$L246*Summary_LCIA!AE$32</f>
        <v>0.64816007784287721</v>
      </c>
      <c r="BJ246" s="137">
        <f>$W246*AO246+$L246*Summary_LCIA!AF$32</f>
        <v>0.35449656871673485</v>
      </c>
      <c r="BK246" s="137">
        <f>$W246*AP246+$L246*Summary_LCIA!AG$32</f>
        <v>2.5433545196734807E-2</v>
      </c>
      <c r="BL246" s="137">
        <f>$W246*AQ246+$L246*Summary_LCIA!AH$32</f>
        <v>4.2094724412211812</v>
      </c>
      <c r="BM246" s="137">
        <f>$W246*AR246+$L246*Summary_LCIA!AI$32</f>
        <v>0.62897705639532542</v>
      </c>
    </row>
    <row r="247" spans="1:65" x14ac:dyDescent="0.25">
      <c r="A247" s="149">
        <v>1</v>
      </c>
      <c r="B247" s="149">
        <v>6</v>
      </c>
      <c r="C247" s="61">
        <v>35.966994</v>
      </c>
      <c r="D247" s="61">
        <v>-84.250535999999997</v>
      </c>
      <c r="E247" s="61" t="s">
        <v>265</v>
      </c>
      <c r="F247" s="149">
        <v>91</v>
      </c>
      <c r="G247" s="61" t="s">
        <v>618</v>
      </c>
      <c r="H247" s="61" t="s">
        <v>619</v>
      </c>
      <c r="I247" s="61">
        <v>36.126317</v>
      </c>
      <c r="J247" s="61">
        <v>-86.677370999999994</v>
      </c>
      <c r="K247" s="61">
        <v>219.57908760000001</v>
      </c>
      <c r="L247" s="61">
        <v>260.76</v>
      </c>
      <c r="M247" s="61" t="s">
        <v>617</v>
      </c>
      <c r="N247" s="149">
        <v>5</v>
      </c>
      <c r="O247" s="149">
        <v>6</v>
      </c>
      <c r="P247" s="61" t="s">
        <v>565</v>
      </c>
      <c r="Q247" s="61" t="s">
        <v>564</v>
      </c>
      <c r="R247" s="61">
        <v>41.98028</v>
      </c>
      <c r="S247" s="61">
        <v>-87.908997900000003</v>
      </c>
      <c r="T247" s="61">
        <v>900.75</v>
      </c>
      <c r="U247" s="61" t="s">
        <v>617</v>
      </c>
      <c r="V247" s="61" t="s">
        <v>569</v>
      </c>
      <c r="W247" s="61" cm="1">
        <f t="array" ref="W247">getDistance(I247,J247,R247,S247)*SA!$B$12</f>
        <v>659.85331554628851</v>
      </c>
      <c r="Y247" s="137">
        <f>Transportation_LCIA!C$61*($W247^Transportation_LCIA!C$60)+Transportation_LCIA!C$62</f>
        <v>0.28711034431731675</v>
      </c>
      <c r="Z247" s="137">
        <f>Transportation_LCIA!D$61*($W247^Transportation_LCIA!D$60)+Transportation_LCIA!D$62</f>
        <v>3.0287489507114906</v>
      </c>
      <c r="AA247" s="137">
        <f>Transportation_LCIA!E$61*($W247^Transportation_LCIA!E$60)+Transportation_LCIA!E$62</f>
        <v>1.541949627580878E-3</v>
      </c>
      <c r="AB247" s="137">
        <f>Transportation_LCIA!F$61*($W247^Transportation_LCIA!F$60)+Transportation_LCIA!F$62</f>
        <v>0.28711034431731675</v>
      </c>
      <c r="AC247" s="137">
        <f>Transportation_LCIA!G$61*($W247^Transportation_LCIA!G$60)+Transportation_LCIA!G$62</f>
        <v>7.0636946621656566E-2</v>
      </c>
      <c r="AD247" s="137">
        <f>Transportation_LCIA!H$61*($W247^Transportation_LCIA!H$60)+Transportation_LCIA!H$62</f>
        <v>3.6468473830708392E-4</v>
      </c>
      <c r="AE247" s="137">
        <f>Transportation_LCIA!I$61*($W247^Transportation_LCIA!I$60)+Transportation_LCIA!I$62</f>
        <v>8.1513931789510452E-6</v>
      </c>
      <c r="AF247" s="137">
        <f>Transportation_LCIA!J$61*($W247^Transportation_LCIA!J$60)+Transportation_LCIA!J$62</f>
        <v>1.2103537939984348E-2</v>
      </c>
      <c r="AG247" s="137">
        <f>Transportation_LCIA!K$61*($W247^Transportation_LCIA!K$60)+Transportation_LCIA!K$62</f>
        <v>1.5328817431613843E-2</v>
      </c>
      <c r="AH247" s="137">
        <f>Transportation_LCIA!L$61*($W247^Transportation_LCIA!L$60)+Transportation_LCIA!L$62</f>
        <v>3.2087577902119551E-4</v>
      </c>
      <c r="AI247" s="137">
        <f>Transportation_LCIA!M$61*($W247^Transportation_LCIA!M$60)+Transportation_LCIA!M$62</f>
        <v>2.9212689587987547E-4</v>
      </c>
      <c r="AJ247" s="137">
        <f>Transportation_LCIA!N$61*($W247^Transportation_LCIA!N$60)+Transportation_LCIA!N$62</f>
        <v>1.2851484558381739E-3</v>
      </c>
      <c r="AK247" s="137">
        <f>Transportation_LCIA!O$61*($W247^Transportation_LCIA!O$60)+Transportation_LCIA!O$62</f>
        <v>7.4728695290617527E-5</v>
      </c>
      <c r="AL247" s="137">
        <f>Transportation_LCIA!P$61*($W247^Transportation_LCIA!P$60)+Transportation_LCIA!P$62</f>
        <v>3.6092660039250887E-8</v>
      </c>
      <c r="AM247" s="137">
        <f>Transportation_LCIA!Q$61*($W247^Transportation_LCIA!Q$60)+Transportation_LCIA!Q$62</f>
        <v>1.266645357867947E-4</v>
      </c>
      <c r="AN247" s="137">
        <f>Transportation_LCIA!R$61*($W247^Transportation_LCIA!R$60)+Transportation_LCIA!R$62</f>
        <v>3.9174853387192332E-4</v>
      </c>
      <c r="AO247" s="137">
        <f>Transportation_LCIA!S$61*($W247^Transportation_LCIA!S$60)+Transportation_LCIA!S$62</f>
        <v>5.816609944944966E-6</v>
      </c>
      <c r="AP247" s="137">
        <f>Transportation_LCIA!T$61*($W247^Transportation_LCIA!T$60)+Transportation_LCIA!T$62</f>
        <v>5.816609944944966E-6</v>
      </c>
      <c r="AQ247" s="137">
        <f>Transportation_LCIA!U$61*($W247^Transportation_LCIA!U$60)+Transportation_LCIA!U$62</f>
        <v>8.4618583701267559E-4</v>
      </c>
      <c r="AR247" s="137">
        <f>Transportation_LCIA!V$61*($W247^Transportation_LCIA!V$60)+Transportation_LCIA!V$62</f>
        <v>3.2957499967912188E-4</v>
      </c>
      <c r="AT247" s="137">
        <f>$W247*Y247+$L247*Summary_LCIA!H$32</f>
        <v>278.05696062541796</v>
      </c>
      <c r="AU247" s="137">
        <f>$W247*Z247+$L247*Summary_LCIA!Q$32</f>
        <v>3290.8697479933994</v>
      </c>
      <c r="AV247" s="137">
        <f>$W247*AA247+$L247*Summary_LCIA!R$32</f>
        <v>2.3905184301646072</v>
      </c>
      <c r="AW247" s="137">
        <f>$W247*AB247+$L247*Summary_LCIA!S$32</f>
        <v>276.90440142541797</v>
      </c>
      <c r="AX247" s="137">
        <f>$W247*AC247+$L247*Summary_LCIA!T$32</f>
        <v>75.267547428366285</v>
      </c>
      <c r="AY247" s="137">
        <f>$W247*AD247+$L247*Summary_LCIA!U$32</f>
        <v>4.9118930737010595</v>
      </c>
      <c r="AZ247" s="137">
        <f>$W247*AE247+$L247*Summary_LCIA!V$32</f>
        <v>1.7832882175452244E-2</v>
      </c>
      <c r="BA247" s="137">
        <f>$W247*AF247+$L247*Summary_LCIA!W$32</f>
        <v>28.057517599538965</v>
      </c>
      <c r="BB247" s="137">
        <f>$W247*AG247+$L247*Summary_LCIA!X$32</f>
        <v>16.054883805654139</v>
      </c>
      <c r="BC247" s="137">
        <f>$W247*AH247+$L247*Summary_LCIA!Y$32</f>
        <v>4.2748932666656341</v>
      </c>
      <c r="BD247" s="137">
        <f>$W247*AI247+$L247*Summary_LCIA!Z$32</f>
        <v>0.20345440764658124</v>
      </c>
      <c r="BE247" s="137">
        <f>$W247*AJ247+$L247*Summary_LCIA!AA$32</f>
        <v>6.9383200295540108</v>
      </c>
      <c r="BF247" s="137">
        <f>$W247*AK247+$L247*Summary_LCIA!AB$32</f>
        <v>4.3619411873962295E-2</v>
      </c>
      <c r="BG247" s="137">
        <f>$W247*AL247+$L247*Summary_LCIA!AC$32</f>
        <v>3.6562853233784732E-5</v>
      </c>
      <c r="BH247" s="137">
        <f>$W247*AM247+$L247*Summary_LCIA!AD$32</f>
        <v>0.19076280430104797</v>
      </c>
      <c r="BI247" s="137">
        <f>$W247*AN247+$L247*Summary_LCIA!AE$32</f>
        <v>0.48956382773578611</v>
      </c>
      <c r="BJ247" s="137">
        <f>$W247*AO247+$L247*Summary_LCIA!AF$32</f>
        <v>0.22428982855741145</v>
      </c>
      <c r="BK247" s="137">
        <f>$W247*AP247+$L247*Summary_LCIA!AG$32</f>
        <v>1.7179894757411451E-2</v>
      </c>
      <c r="BL247" s="137">
        <f>$W247*AQ247+$L247*Summary_LCIA!AH$32</f>
        <v>2.8279092661211256</v>
      </c>
      <c r="BM247" s="137">
        <f>$W247*AR247+$L247*Summary_LCIA!AI$32</f>
        <v>0.46038213425943553</v>
      </c>
    </row>
    <row r="248" spans="1:65" x14ac:dyDescent="0.25">
      <c r="A248" s="149">
        <v>2</v>
      </c>
      <c r="B248" s="149">
        <v>6</v>
      </c>
      <c r="C248" s="61">
        <v>35.966994</v>
      </c>
      <c r="D248" s="61">
        <v>-84.250535999999997</v>
      </c>
      <c r="E248" s="61" t="s">
        <v>265</v>
      </c>
      <c r="F248" s="149">
        <v>91</v>
      </c>
      <c r="G248" s="61" t="s">
        <v>618</v>
      </c>
      <c r="H248" s="61" t="s">
        <v>619</v>
      </c>
      <c r="I248" s="61">
        <v>36.126317</v>
      </c>
      <c r="J248" s="61">
        <v>-86.677370999999994</v>
      </c>
      <c r="K248" s="61">
        <v>219.57908760000001</v>
      </c>
      <c r="L248" s="61">
        <v>260.76</v>
      </c>
      <c r="M248" s="61" t="s">
        <v>617</v>
      </c>
      <c r="N248" s="149">
        <v>5</v>
      </c>
      <c r="O248" s="149">
        <v>6</v>
      </c>
      <c r="P248" s="61" t="s">
        <v>565</v>
      </c>
      <c r="Q248" s="61" t="s">
        <v>564</v>
      </c>
      <c r="R248" s="61">
        <v>41.98028</v>
      </c>
      <c r="S248" s="61">
        <v>-87.908997900000003</v>
      </c>
      <c r="T248" s="61">
        <v>900.75</v>
      </c>
      <c r="U248" s="61" t="s">
        <v>617</v>
      </c>
      <c r="V248" s="61" t="s">
        <v>569</v>
      </c>
      <c r="W248" s="61" cm="1">
        <f t="array" ref="W248">getDistance(I248,J248,R248,S248)*SA!$B$12</f>
        <v>659.85331554628851</v>
      </c>
      <c r="Y248" s="137">
        <f>Transportation_LCIA!C$61*($W248^Transportation_LCIA!C$60)+Transportation_LCIA!C$62</f>
        <v>0.28711034431731675</v>
      </c>
      <c r="Z248" s="137">
        <f>Transportation_LCIA!D$61*($W248^Transportation_LCIA!D$60)+Transportation_LCIA!D$62</f>
        <v>3.0287489507114906</v>
      </c>
      <c r="AA248" s="137">
        <f>Transportation_LCIA!E$61*($W248^Transportation_LCIA!E$60)+Transportation_LCIA!E$62</f>
        <v>1.541949627580878E-3</v>
      </c>
      <c r="AB248" s="137">
        <f>Transportation_LCIA!F$61*($W248^Transportation_LCIA!F$60)+Transportation_LCIA!F$62</f>
        <v>0.28711034431731675</v>
      </c>
      <c r="AC248" s="137">
        <f>Transportation_LCIA!G$61*($W248^Transportation_LCIA!G$60)+Transportation_LCIA!G$62</f>
        <v>7.0636946621656566E-2</v>
      </c>
      <c r="AD248" s="137">
        <f>Transportation_LCIA!H$61*($W248^Transportation_LCIA!H$60)+Transportation_LCIA!H$62</f>
        <v>3.6468473830708392E-4</v>
      </c>
      <c r="AE248" s="137">
        <f>Transportation_LCIA!I$61*($W248^Transportation_LCIA!I$60)+Transportation_LCIA!I$62</f>
        <v>8.1513931789510452E-6</v>
      </c>
      <c r="AF248" s="137">
        <f>Transportation_LCIA!J$61*($W248^Transportation_LCIA!J$60)+Transportation_LCIA!J$62</f>
        <v>1.2103537939984348E-2</v>
      </c>
      <c r="AG248" s="137">
        <f>Transportation_LCIA!K$61*($W248^Transportation_LCIA!K$60)+Transportation_LCIA!K$62</f>
        <v>1.5328817431613843E-2</v>
      </c>
      <c r="AH248" s="137">
        <f>Transportation_LCIA!L$61*($W248^Transportation_LCIA!L$60)+Transportation_LCIA!L$62</f>
        <v>3.2087577902119551E-4</v>
      </c>
      <c r="AI248" s="137">
        <f>Transportation_LCIA!M$61*($W248^Transportation_LCIA!M$60)+Transportation_LCIA!M$62</f>
        <v>2.9212689587987547E-4</v>
      </c>
      <c r="AJ248" s="137">
        <f>Transportation_LCIA!N$61*($W248^Transportation_LCIA!N$60)+Transportation_LCIA!N$62</f>
        <v>1.2851484558381739E-3</v>
      </c>
      <c r="AK248" s="137">
        <f>Transportation_LCIA!O$61*($W248^Transportation_LCIA!O$60)+Transportation_LCIA!O$62</f>
        <v>7.4728695290617527E-5</v>
      </c>
      <c r="AL248" s="137">
        <f>Transportation_LCIA!P$61*($W248^Transportation_LCIA!P$60)+Transportation_LCIA!P$62</f>
        <v>3.6092660039250887E-8</v>
      </c>
      <c r="AM248" s="137">
        <f>Transportation_LCIA!Q$61*($W248^Transportation_LCIA!Q$60)+Transportation_LCIA!Q$62</f>
        <v>1.266645357867947E-4</v>
      </c>
      <c r="AN248" s="137">
        <f>Transportation_LCIA!R$61*($W248^Transportation_LCIA!R$60)+Transportation_LCIA!R$62</f>
        <v>3.9174853387192332E-4</v>
      </c>
      <c r="AO248" s="137">
        <f>Transportation_LCIA!S$61*($W248^Transportation_LCIA!S$60)+Transportation_LCIA!S$62</f>
        <v>5.816609944944966E-6</v>
      </c>
      <c r="AP248" s="137">
        <f>Transportation_LCIA!T$61*($W248^Transportation_LCIA!T$60)+Transportation_LCIA!T$62</f>
        <v>5.816609944944966E-6</v>
      </c>
      <c r="AQ248" s="137">
        <f>Transportation_LCIA!U$61*($W248^Transportation_LCIA!U$60)+Transportation_LCIA!U$62</f>
        <v>8.4618583701267559E-4</v>
      </c>
      <c r="AR248" s="137">
        <f>Transportation_LCIA!V$61*($W248^Transportation_LCIA!V$60)+Transportation_LCIA!V$62</f>
        <v>3.2957499967912188E-4</v>
      </c>
      <c r="AT248" s="137">
        <f>$W248*Y248+$L248*Summary_LCIA!H$32</f>
        <v>278.05696062541796</v>
      </c>
      <c r="AU248" s="137">
        <f>$W248*Z248+$L248*Summary_LCIA!Q$32</f>
        <v>3290.8697479933994</v>
      </c>
      <c r="AV248" s="137">
        <f>$W248*AA248+$L248*Summary_LCIA!R$32</f>
        <v>2.3905184301646072</v>
      </c>
      <c r="AW248" s="137">
        <f>$W248*AB248+$L248*Summary_LCIA!S$32</f>
        <v>276.90440142541797</v>
      </c>
      <c r="AX248" s="137">
        <f>$W248*AC248+$L248*Summary_LCIA!T$32</f>
        <v>75.267547428366285</v>
      </c>
      <c r="AY248" s="137">
        <f>$W248*AD248+$L248*Summary_LCIA!U$32</f>
        <v>4.9118930737010595</v>
      </c>
      <c r="AZ248" s="137">
        <f>$W248*AE248+$L248*Summary_LCIA!V$32</f>
        <v>1.7832882175452244E-2</v>
      </c>
      <c r="BA248" s="137">
        <f>$W248*AF248+$L248*Summary_LCIA!W$32</f>
        <v>28.057517599538965</v>
      </c>
      <c r="BB248" s="137">
        <f>$W248*AG248+$L248*Summary_LCIA!X$32</f>
        <v>16.054883805654139</v>
      </c>
      <c r="BC248" s="137">
        <f>$W248*AH248+$L248*Summary_LCIA!Y$32</f>
        <v>4.2748932666656341</v>
      </c>
      <c r="BD248" s="137">
        <f>$W248*AI248+$L248*Summary_LCIA!Z$32</f>
        <v>0.20345440764658124</v>
      </c>
      <c r="BE248" s="137">
        <f>$W248*AJ248+$L248*Summary_LCIA!AA$32</f>
        <v>6.9383200295540108</v>
      </c>
      <c r="BF248" s="137">
        <f>$W248*AK248+$L248*Summary_LCIA!AB$32</f>
        <v>4.3619411873962295E-2</v>
      </c>
      <c r="BG248" s="137">
        <f>$W248*AL248+$L248*Summary_LCIA!AC$32</f>
        <v>3.6562853233784732E-5</v>
      </c>
      <c r="BH248" s="137">
        <f>$W248*AM248+$L248*Summary_LCIA!AD$32</f>
        <v>0.19076280430104797</v>
      </c>
      <c r="BI248" s="137">
        <f>$W248*AN248+$L248*Summary_LCIA!AE$32</f>
        <v>0.48956382773578611</v>
      </c>
      <c r="BJ248" s="137">
        <f>$W248*AO248+$L248*Summary_LCIA!AF$32</f>
        <v>0.22428982855741145</v>
      </c>
      <c r="BK248" s="137">
        <f>$W248*AP248+$L248*Summary_LCIA!AG$32</f>
        <v>1.7179894757411451E-2</v>
      </c>
      <c r="BL248" s="137">
        <f>$W248*AQ248+$L248*Summary_LCIA!AH$32</f>
        <v>2.8279092661211256</v>
      </c>
      <c r="BM248" s="137">
        <f>$W248*AR248+$L248*Summary_LCIA!AI$32</f>
        <v>0.46038213425943553</v>
      </c>
    </row>
    <row r="249" spans="1:65" x14ac:dyDescent="0.25">
      <c r="A249" s="149">
        <v>187</v>
      </c>
      <c r="B249" s="149">
        <v>43</v>
      </c>
      <c r="C249" s="61">
        <v>35.227086999999997</v>
      </c>
      <c r="D249" s="61">
        <v>-80.843126999999996</v>
      </c>
      <c r="E249" s="61" t="s">
        <v>265</v>
      </c>
      <c r="F249" s="149">
        <v>34</v>
      </c>
      <c r="G249" s="61" t="s">
        <v>565</v>
      </c>
      <c r="H249" s="61" t="s">
        <v>633</v>
      </c>
      <c r="I249" s="61">
        <v>35.214402999999997</v>
      </c>
      <c r="J249" s="61">
        <v>-80.947315000000003</v>
      </c>
      <c r="K249" s="61">
        <v>9.8802151649999992</v>
      </c>
      <c r="L249" s="61">
        <v>12.212999999999999</v>
      </c>
      <c r="M249" s="61" t="s">
        <v>617</v>
      </c>
      <c r="N249" s="149">
        <v>42</v>
      </c>
      <c r="O249" s="149">
        <v>43</v>
      </c>
      <c r="P249" s="61" t="s">
        <v>565</v>
      </c>
      <c r="Q249" s="61" t="s">
        <v>555</v>
      </c>
      <c r="R249" s="61">
        <v>40.6895314</v>
      </c>
      <c r="S249" s="61">
        <v>-74.174462399999996</v>
      </c>
      <c r="T249" s="61">
        <v>985.30100000000004</v>
      </c>
      <c r="U249" s="61" t="s">
        <v>617</v>
      </c>
      <c r="V249" s="61" t="s">
        <v>569</v>
      </c>
      <c r="W249" s="61" cm="1">
        <f t="array" ref="W249">getDistance(I249,J249,R249,S249)*SA!$B$12</f>
        <v>851.05121377634293</v>
      </c>
      <c r="Y249" s="137">
        <f>Transportation_LCIA!C$61*($W249^Transportation_LCIA!C$60)+Transportation_LCIA!C$62</f>
        <v>0.25343049240533111</v>
      </c>
      <c r="Z249" s="137">
        <f>Transportation_LCIA!D$61*($W249^Transportation_LCIA!D$60)+Transportation_LCIA!D$62</f>
        <v>2.6307480783429384</v>
      </c>
      <c r="AA249" s="137">
        <f>Transportation_LCIA!E$61*($W249^Transportation_LCIA!E$60)+Transportation_LCIA!E$62</f>
        <v>1.2793461318450019E-3</v>
      </c>
      <c r="AB249" s="137">
        <f>Transportation_LCIA!F$61*($W249^Transportation_LCIA!F$60)+Transportation_LCIA!F$62</f>
        <v>0.25343049240533111</v>
      </c>
      <c r="AC249" s="137">
        <f>Transportation_LCIA!G$61*($W249^Transportation_LCIA!G$60)+Transportation_LCIA!G$62</f>
        <v>6.1435625769608669E-2</v>
      </c>
      <c r="AD249" s="137">
        <f>Transportation_LCIA!H$61*($W249^Transportation_LCIA!H$60)+Transportation_LCIA!H$62</f>
        <v>3.065402716805851E-4</v>
      </c>
      <c r="AE249" s="137">
        <f>Transportation_LCIA!I$61*($W249^Transportation_LCIA!I$60)+Transportation_LCIA!I$62</f>
        <v>6.6711792632361422E-6</v>
      </c>
      <c r="AF249" s="137">
        <f>Transportation_LCIA!J$61*($W249^Transportation_LCIA!J$60)+Transportation_LCIA!J$62</f>
        <v>9.8828828449766624E-3</v>
      </c>
      <c r="AG249" s="137">
        <f>Transportation_LCIA!K$61*($W249^Transportation_LCIA!K$60)+Transportation_LCIA!K$62</f>
        <v>1.3167278527053671E-2</v>
      </c>
      <c r="AH249" s="137">
        <f>Transportation_LCIA!L$61*($W249^Transportation_LCIA!L$60)+Transportation_LCIA!L$62</f>
        <v>2.6725039435791071E-4</v>
      </c>
      <c r="AI249" s="137">
        <f>Transportation_LCIA!M$61*($W249^Transportation_LCIA!M$60)+Transportation_LCIA!M$62</f>
        <v>2.6002531765647143E-4</v>
      </c>
      <c r="AJ249" s="137">
        <f>Transportation_LCIA!N$61*($W249^Transportation_LCIA!N$60)+Transportation_LCIA!N$62</f>
        <v>1.0898312653906447E-3</v>
      </c>
      <c r="AK249" s="137">
        <f>Transportation_LCIA!O$61*($W249^Transportation_LCIA!O$60)+Transportation_LCIA!O$62</f>
        <v>6.4947739462206474E-5</v>
      </c>
      <c r="AL249" s="137">
        <f>Transportation_LCIA!P$61*($W249^Transportation_LCIA!P$60)+Transportation_LCIA!P$62</f>
        <v>3.139446307580722E-8</v>
      </c>
      <c r="AM249" s="137">
        <f>Transportation_LCIA!Q$61*($W249^Transportation_LCIA!Q$60)+Transportation_LCIA!Q$62</f>
        <v>1.0566088004157003E-4</v>
      </c>
      <c r="AN249" s="137">
        <f>Transportation_LCIA!R$61*($W249^Transportation_LCIA!R$60)+Transportation_LCIA!R$62</f>
        <v>3.2074864831290064E-4</v>
      </c>
      <c r="AO249" s="137">
        <f>Transportation_LCIA!S$61*($W249^Transportation_LCIA!S$60)+Transportation_LCIA!S$62</f>
        <v>4.8094770187755473E-6</v>
      </c>
      <c r="AP249" s="137">
        <f>Transportation_LCIA!T$61*($W249^Transportation_LCIA!T$60)+Transportation_LCIA!T$62</f>
        <v>4.8094770187755473E-6</v>
      </c>
      <c r="AQ249" s="137">
        <f>Transportation_LCIA!U$61*($W249^Transportation_LCIA!U$60)+Transportation_LCIA!U$62</f>
        <v>6.9015010201870343E-4</v>
      </c>
      <c r="AR249" s="137">
        <f>Transportation_LCIA!V$61*($W249^Transportation_LCIA!V$60)+Transportation_LCIA!V$62</f>
        <v>2.7481283900177808E-4</v>
      </c>
      <c r="AT249" s="137">
        <f>$W249*Y249+$L249*Summary_LCIA!H$32</f>
        <v>219.83230556949331</v>
      </c>
      <c r="AU249" s="137">
        <f>$W249*Z249+$L249*Summary_LCIA!Q$32</f>
        <v>2299.4295891517686</v>
      </c>
      <c r="AV249" s="137">
        <f>$W249*AA249+$L249*Summary_LCIA!R$32</f>
        <v>1.1530978511467582</v>
      </c>
      <c r="AW249" s="137">
        <f>$W249*AB249+$L249*Summary_LCIA!S$32</f>
        <v>219.7783241094933</v>
      </c>
      <c r="AX249" s="137">
        <f>$W249*AC249+$L249*Summary_LCIA!T$32</f>
        <v>53.627072580334634</v>
      </c>
      <c r="AY249" s="137">
        <f>$W249*AD249+$L249*Summary_LCIA!U$32</f>
        <v>0.47966515228509182</v>
      </c>
      <c r="AZ249" s="137">
        <f>$W249*AE249+$L249*Summary_LCIA!V$32</f>
        <v>6.260820302296688E-3</v>
      </c>
      <c r="BA249" s="137">
        <f>$W249*AF249+$L249*Summary_LCIA!W$32</f>
        <v>9.3508862638267853</v>
      </c>
      <c r="BB249" s="137">
        <f>$W249*AG249+$L249*Summary_LCIA!X$32</f>
        <v>11.484240512580204</v>
      </c>
      <c r="BC249" s="137">
        <f>$W249*AH249+$L249*Summary_LCIA!Y$32</f>
        <v>0.4177467385005062</v>
      </c>
      <c r="BD249" s="137">
        <f>$W249*AI249+$L249*Summary_LCIA!Z$32</f>
        <v>0.22179570512111915</v>
      </c>
      <c r="BE249" s="137">
        <f>$W249*AJ249+$L249*Summary_LCIA!AA$32</f>
        <v>1.2127490492221158</v>
      </c>
      <c r="BF249" s="137">
        <f>$W249*AK249+$L249*Summary_LCIA!AB$32</f>
        <v>5.5007328202340507E-2</v>
      </c>
      <c r="BG249" s="137">
        <f>$W249*AL249+$L249*Summary_LCIA!AC$32</f>
        <v>2.7315316198522317E-5</v>
      </c>
      <c r="BH249" s="137">
        <f>$W249*AM249+$L249*Summary_LCIA!AD$32</f>
        <v>9.4942851728054736E-2</v>
      </c>
      <c r="BI249" s="137">
        <f>$W249*AN249+$L249*Summary_LCIA!AE$32</f>
        <v>0.28379583215381543</v>
      </c>
      <c r="BJ249" s="137">
        <f>$W249*AO249+$L249*Summary_LCIA!AF$32</f>
        <v>1.4418225714458357E-2</v>
      </c>
      <c r="BK249" s="137">
        <f>$W249*AP249+$L249*Summary_LCIA!AG$32</f>
        <v>4.7179893994583576E-3</v>
      </c>
      <c r="BL249" s="137">
        <f>$W249*AQ249+$L249*Summary_LCIA!AH$32</f>
        <v>0.69365014881088438</v>
      </c>
      <c r="BM249" s="137">
        <f>$W249*AR249+$L249*Summary_LCIA!AI$32</f>
        <v>0.24525682034378596</v>
      </c>
    </row>
    <row r="250" spans="1:65" x14ac:dyDescent="0.25">
      <c r="A250" s="149">
        <v>53</v>
      </c>
      <c r="B250" s="149">
        <v>43</v>
      </c>
      <c r="C250" s="61">
        <v>35.227164999999999</v>
      </c>
      <c r="D250" s="61">
        <v>-80.846342000000007</v>
      </c>
      <c r="E250" s="61" t="s">
        <v>265</v>
      </c>
      <c r="F250" s="149">
        <v>34</v>
      </c>
      <c r="G250" s="61" t="s">
        <v>565</v>
      </c>
      <c r="H250" s="61" t="s">
        <v>633</v>
      </c>
      <c r="I250" s="61">
        <v>35.214402999999997</v>
      </c>
      <c r="J250" s="61">
        <v>-80.947315000000003</v>
      </c>
      <c r="K250" s="61">
        <v>9.5962039079999997</v>
      </c>
      <c r="L250" s="61">
        <v>11.887</v>
      </c>
      <c r="M250" s="61" t="s">
        <v>617</v>
      </c>
      <c r="N250" s="149">
        <v>42</v>
      </c>
      <c r="O250" s="149">
        <v>43</v>
      </c>
      <c r="P250" s="61" t="s">
        <v>565</v>
      </c>
      <c r="Q250" s="61" t="s">
        <v>555</v>
      </c>
      <c r="R250" s="61">
        <v>40.6895314</v>
      </c>
      <c r="S250" s="61">
        <v>-74.174462399999996</v>
      </c>
      <c r="T250" s="61">
        <v>986.80700000000002</v>
      </c>
      <c r="U250" s="61" t="s">
        <v>617</v>
      </c>
      <c r="V250" s="61" t="s">
        <v>569</v>
      </c>
      <c r="W250" s="61" cm="1">
        <f t="array" ref="W250">getDistance(I250,J250,R250,S250)*SA!$B$12</f>
        <v>851.05121377634293</v>
      </c>
      <c r="Y250" s="137">
        <f>Transportation_LCIA!C$61*($W250^Transportation_LCIA!C$60)+Transportation_LCIA!C$62</f>
        <v>0.25343049240533111</v>
      </c>
      <c r="Z250" s="137">
        <f>Transportation_LCIA!D$61*($W250^Transportation_LCIA!D$60)+Transportation_LCIA!D$62</f>
        <v>2.6307480783429384</v>
      </c>
      <c r="AA250" s="137">
        <f>Transportation_LCIA!E$61*($W250^Transportation_LCIA!E$60)+Transportation_LCIA!E$62</f>
        <v>1.2793461318450019E-3</v>
      </c>
      <c r="AB250" s="137">
        <f>Transportation_LCIA!F$61*($W250^Transportation_LCIA!F$60)+Transportation_LCIA!F$62</f>
        <v>0.25343049240533111</v>
      </c>
      <c r="AC250" s="137">
        <f>Transportation_LCIA!G$61*($W250^Transportation_LCIA!G$60)+Transportation_LCIA!G$62</f>
        <v>6.1435625769608669E-2</v>
      </c>
      <c r="AD250" s="137">
        <f>Transportation_LCIA!H$61*($W250^Transportation_LCIA!H$60)+Transportation_LCIA!H$62</f>
        <v>3.065402716805851E-4</v>
      </c>
      <c r="AE250" s="137">
        <f>Transportation_LCIA!I$61*($W250^Transportation_LCIA!I$60)+Transportation_LCIA!I$62</f>
        <v>6.6711792632361422E-6</v>
      </c>
      <c r="AF250" s="137">
        <f>Transportation_LCIA!J$61*($W250^Transportation_LCIA!J$60)+Transportation_LCIA!J$62</f>
        <v>9.8828828449766624E-3</v>
      </c>
      <c r="AG250" s="137">
        <f>Transportation_LCIA!K$61*($W250^Transportation_LCIA!K$60)+Transportation_LCIA!K$62</f>
        <v>1.3167278527053671E-2</v>
      </c>
      <c r="AH250" s="137">
        <f>Transportation_LCIA!L$61*($W250^Transportation_LCIA!L$60)+Transportation_LCIA!L$62</f>
        <v>2.6725039435791071E-4</v>
      </c>
      <c r="AI250" s="137">
        <f>Transportation_LCIA!M$61*($W250^Transportation_LCIA!M$60)+Transportation_LCIA!M$62</f>
        <v>2.6002531765647143E-4</v>
      </c>
      <c r="AJ250" s="137">
        <f>Transportation_LCIA!N$61*($W250^Transportation_LCIA!N$60)+Transportation_LCIA!N$62</f>
        <v>1.0898312653906447E-3</v>
      </c>
      <c r="AK250" s="137">
        <f>Transportation_LCIA!O$61*($W250^Transportation_LCIA!O$60)+Transportation_LCIA!O$62</f>
        <v>6.4947739462206474E-5</v>
      </c>
      <c r="AL250" s="137">
        <f>Transportation_LCIA!P$61*($W250^Transportation_LCIA!P$60)+Transportation_LCIA!P$62</f>
        <v>3.139446307580722E-8</v>
      </c>
      <c r="AM250" s="137">
        <f>Transportation_LCIA!Q$61*($W250^Transportation_LCIA!Q$60)+Transportation_LCIA!Q$62</f>
        <v>1.0566088004157003E-4</v>
      </c>
      <c r="AN250" s="137">
        <f>Transportation_LCIA!R$61*($W250^Transportation_LCIA!R$60)+Transportation_LCIA!R$62</f>
        <v>3.2074864831290064E-4</v>
      </c>
      <c r="AO250" s="137">
        <f>Transportation_LCIA!S$61*($W250^Transportation_LCIA!S$60)+Transportation_LCIA!S$62</f>
        <v>4.8094770187755473E-6</v>
      </c>
      <c r="AP250" s="137">
        <f>Transportation_LCIA!T$61*($W250^Transportation_LCIA!T$60)+Transportation_LCIA!T$62</f>
        <v>4.8094770187755473E-6</v>
      </c>
      <c r="AQ250" s="137">
        <f>Transportation_LCIA!U$61*($W250^Transportation_LCIA!U$60)+Transportation_LCIA!U$62</f>
        <v>6.9015010201870343E-4</v>
      </c>
      <c r="AR250" s="137">
        <f>Transportation_LCIA!V$61*($W250^Transportation_LCIA!V$60)+Transportation_LCIA!V$62</f>
        <v>2.7481283900177808E-4</v>
      </c>
      <c r="AT250" s="137">
        <f>$W250*Y250+$L250*Summary_LCIA!H$32</f>
        <v>219.72153076949331</v>
      </c>
      <c r="AU250" s="137">
        <f>$W250*Z250+$L250*Summary_LCIA!Q$32</f>
        <v>2297.8139167106106</v>
      </c>
      <c r="AV250" s="137">
        <f>$W250*AA250+$L250*Summary_LCIA!R$32</f>
        <v>1.1513812655467581</v>
      </c>
      <c r="AW250" s="137">
        <f>$W250*AB250+$L250*Summary_LCIA!S$32</f>
        <v>219.66899022949332</v>
      </c>
      <c r="AX250" s="137">
        <f>$W250*AC250+$L250*Summary_LCIA!T$32</f>
        <v>53.591245180334631</v>
      </c>
      <c r="AY250" s="137">
        <f>$W250*AD250+$L250*Summary_LCIA!U$32</f>
        <v>0.47382518828509185</v>
      </c>
      <c r="AZ250" s="137">
        <f>$W250*AE250+$L250*Summary_LCIA!V$32</f>
        <v>6.245250216296688E-3</v>
      </c>
      <c r="BA250" s="137">
        <f>$W250*AF250+$L250*Summary_LCIA!W$32</f>
        <v>9.3257937178267856</v>
      </c>
      <c r="BB250" s="137">
        <f>$W250*AG250+$L250*Summary_LCIA!X$32</f>
        <v>11.476814232580203</v>
      </c>
      <c r="BC250" s="137">
        <f>$W250*AH250+$L250*Summary_LCIA!Y$32</f>
        <v>0.41266700650050625</v>
      </c>
      <c r="BD250" s="137">
        <f>$W250*AI250+$L250*Summary_LCIA!Z$32</f>
        <v>0.22178233618711915</v>
      </c>
      <c r="BE250" s="137">
        <f>$W250*AJ250+$L250*Summary_LCIA!AA$32</f>
        <v>1.2051349932221158</v>
      </c>
      <c r="BF250" s="137">
        <f>$W250*AK250+$L250*Summary_LCIA!AB$32</f>
        <v>5.5014442500340509E-2</v>
      </c>
      <c r="BG250" s="137">
        <f>$W250*AL250+$L250*Summary_LCIA!AC$32</f>
        <v>2.7299380014522316E-5</v>
      </c>
      <c r="BH250" s="137">
        <f>$W250*AM250+$L250*Summary_LCIA!AD$32</f>
        <v>9.4808852688054737E-2</v>
      </c>
      <c r="BI250" s="137">
        <f>$W250*AN250+$L250*Summary_LCIA!AE$32</f>
        <v>0.28350695377381546</v>
      </c>
      <c r="BJ250" s="137">
        <f>$W250*AO250+$L250*Summary_LCIA!AF$32</f>
        <v>1.4142618794458358E-2</v>
      </c>
      <c r="BK250" s="137">
        <f>$W250*AP250+$L250*Summary_LCIA!AG$32</f>
        <v>4.7013096094583569E-3</v>
      </c>
      <c r="BL250" s="137">
        <f>$W250*AQ250+$L250*Summary_LCIA!AH$32</f>
        <v>0.69081277521088447</v>
      </c>
      <c r="BM250" s="137">
        <f>$W250*AR250+$L250*Summary_LCIA!AI$32</f>
        <v>0.24495313504378596</v>
      </c>
    </row>
    <row r="251" spans="1:65" x14ac:dyDescent="0.25">
      <c r="A251" s="149">
        <v>189</v>
      </c>
      <c r="B251" s="149">
        <v>6</v>
      </c>
      <c r="C251" s="61">
        <v>35.045630000000003</v>
      </c>
      <c r="D251" s="61">
        <v>-85.30968</v>
      </c>
      <c r="E251" s="61" t="s">
        <v>265</v>
      </c>
      <c r="F251" s="149">
        <v>91</v>
      </c>
      <c r="G251" s="61" t="s">
        <v>618</v>
      </c>
      <c r="H251" s="61" t="s">
        <v>619</v>
      </c>
      <c r="I251" s="61">
        <v>36.126317</v>
      </c>
      <c r="J251" s="61">
        <v>-86.677370999999994</v>
      </c>
      <c r="K251" s="61">
        <v>216.8818096</v>
      </c>
      <c r="L251" s="61">
        <v>207.744</v>
      </c>
      <c r="M251" s="61" t="s">
        <v>617</v>
      </c>
      <c r="N251" s="149">
        <v>5</v>
      </c>
      <c r="O251" s="149">
        <v>6</v>
      </c>
      <c r="P251" s="61" t="s">
        <v>565</v>
      </c>
      <c r="Q251" s="61" t="s">
        <v>564</v>
      </c>
      <c r="R251" s="61">
        <v>41.98028</v>
      </c>
      <c r="S251" s="61">
        <v>-87.908997900000003</v>
      </c>
      <c r="T251" s="61">
        <v>994.86800000000005</v>
      </c>
      <c r="U251" s="61" t="s">
        <v>617</v>
      </c>
      <c r="V251" s="61" t="s">
        <v>569</v>
      </c>
      <c r="W251" s="61" cm="1">
        <f t="array" ref="W251">getDistance(I251,J251,R251,S251)*SA!$B$12</f>
        <v>659.85331554628851</v>
      </c>
      <c r="Y251" s="137">
        <f>Transportation_LCIA!C$61*($W251^Transportation_LCIA!C$60)+Transportation_LCIA!C$62</f>
        <v>0.28711034431731675</v>
      </c>
      <c r="Z251" s="137">
        <f>Transportation_LCIA!D$61*($W251^Transportation_LCIA!D$60)+Transportation_LCIA!D$62</f>
        <v>3.0287489507114906</v>
      </c>
      <c r="AA251" s="137">
        <f>Transportation_LCIA!E$61*($W251^Transportation_LCIA!E$60)+Transportation_LCIA!E$62</f>
        <v>1.541949627580878E-3</v>
      </c>
      <c r="AB251" s="137">
        <f>Transportation_LCIA!F$61*($W251^Transportation_LCIA!F$60)+Transportation_LCIA!F$62</f>
        <v>0.28711034431731675</v>
      </c>
      <c r="AC251" s="137">
        <f>Transportation_LCIA!G$61*($W251^Transportation_LCIA!G$60)+Transportation_LCIA!G$62</f>
        <v>7.0636946621656566E-2</v>
      </c>
      <c r="AD251" s="137">
        <f>Transportation_LCIA!H$61*($W251^Transportation_LCIA!H$60)+Transportation_LCIA!H$62</f>
        <v>3.6468473830708392E-4</v>
      </c>
      <c r="AE251" s="137">
        <f>Transportation_LCIA!I$61*($W251^Transportation_LCIA!I$60)+Transportation_LCIA!I$62</f>
        <v>8.1513931789510452E-6</v>
      </c>
      <c r="AF251" s="137">
        <f>Transportation_LCIA!J$61*($W251^Transportation_LCIA!J$60)+Transportation_LCIA!J$62</f>
        <v>1.2103537939984348E-2</v>
      </c>
      <c r="AG251" s="137">
        <f>Transportation_LCIA!K$61*($W251^Transportation_LCIA!K$60)+Transportation_LCIA!K$62</f>
        <v>1.5328817431613843E-2</v>
      </c>
      <c r="AH251" s="137">
        <f>Transportation_LCIA!L$61*($W251^Transportation_LCIA!L$60)+Transportation_LCIA!L$62</f>
        <v>3.2087577902119551E-4</v>
      </c>
      <c r="AI251" s="137">
        <f>Transportation_LCIA!M$61*($W251^Transportation_LCIA!M$60)+Transportation_LCIA!M$62</f>
        <v>2.9212689587987547E-4</v>
      </c>
      <c r="AJ251" s="137">
        <f>Transportation_LCIA!N$61*($W251^Transportation_LCIA!N$60)+Transportation_LCIA!N$62</f>
        <v>1.2851484558381739E-3</v>
      </c>
      <c r="AK251" s="137">
        <f>Transportation_LCIA!O$61*($W251^Transportation_LCIA!O$60)+Transportation_LCIA!O$62</f>
        <v>7.4728695290617527E-5</v>
      </c>
      <c r="AL251" s="137">
        <f>Transportation_LCIA!P$61*($W251^Transportation_LCIA!P$60)+Transportation_LCIA!P$62</f>
        <v>3.6092660039250887E-8</v>
      </c>
      <c r="AM251" s="137">
        <f>Transportation_LCIA!Q$61*($W251^Transportation_LCIA!Q$60)+Transportation_LCIA!Q$62</f>
        <v>1.266645357867947E-4</v>
      </c>
      <c r="AN251" s="137">
        <f>Transportation_LCIA!R$61*($W251^Transportation_LCIA!R$60)+Transportation_LCIA!R$62</f>
        <v>3.9174853387192332E-4</v>
      </c>
      <c r="AO251" s="137">
        <f>Transportation_LCIA!S$61*($W251^Transportation_LCIA!S$60)+Transportation_LCIA!S$62</f>
        <v>5.816609944944966E-6</v>
      </c>
      <c r="AP251" s="137">
        <f>Transportation_LCIA!T$61*($W251^Transportation_LCIA!T$60)+Transportation_LCIA!T$62</f>
        <v>5.816609944944966E-6</v>
      </c>
      <c r="AQ251" s="137">
        <f>Transportation_LCIA!U$61*($W251^Transportation_LCIA!U$60)+Transportation_LCIA!U$62</f>
        <v>8.4618583701267559E-4</v>
      </c>
      <c r="AR251" s="137">
        <f>Transportation_LCIA!V$61*($W251^Transportation_LCIA!V$60)+Transportation_LCIA!V$62</f>
        <v>3.2957499967912188E-4</v>
      </c>
      <c r="AT251" s="137">
        <f>$W251*Y251+$L251*Summary_LCIA!H$32</f>
        <v>260.04212382541795</v>
      </c>
      <c r="AU251" s="137">
        <f>$W251*Z251+$L251*Summary_LCIA!Q$32</f>
        <v>3028.1197782374711</v>
      </c>
      <c r="AV251" s="137">
        <f>$W251*AA251+$L251*Summary_LCIA!R$32</f>
        <v>2.1113573805646073</v>
      </c>
      <c r="AW251" s="137">
        <f>$W251*AB251+$L251*Summary_LCIA!S$32</f>
        <v>259.12389534541796</v>
      </c>
      <c r="AX251" s="137">
        <f>$W251*AC251+$L251*Summary_LCIA!T$32</f>
        <v>69.441089028366292</v>
      </c>
      <c r="AY251" s="137">
        <f>$W251*AD251+$L251*Summary_LCIA!U$32</f>
        <v>3.96216444970106</v>
      </c>
      <c r="AZ251" s="137">
        <f>$W251*AE251+$L251*Summary_LCIA!V$32</f>
        <v>1.5300784999452248E-2</v>
      </c>
      <c r="BA251" s="137">
        <f>$W251*AF251+$L251*Summary_LCIA!W$32</f>
        <v>23.976823063538966</v>
      </c>
      <c r="BB251" s="137">
        <f>$W251*AG251+$L251*Summary_LCIA!X$32</f>
        <v>14.847179325654139</v>
      </c>
      <c r="BC251" s="137">
        <f>$W251*AH251+$L251*Summary_LCIA!Y$32</f>
        <v>3.448797954665634</v>
      </c>
      <c r="BD251" s="137">
        <f>$W251*AI251+$L251*Summary_LCIA!Z$32</f>
        <v>0.20128027450258124</v>
      </c>
      <c r="BE251" s="137">
        <f>$W251*AJ251+$L251*Summary_LCIA!AA$32</f>
        <v>5.7000783335540115</v>
      </c>
      <c r="BF251" s="137">
        <f>$W251*AK251+$L251*Summary_LCIA!AB$32</f>
        <v>4.4776380041962292E-2</v>
      </c>
      <c r="BG251" s="137">
        <f>$W251*AL251+$L251*Summary_LCIA!AC$32</f>
        <v>3.397121908978473E-5</v>
      </c>
      <c r="BH251" s="137">
        <f>$W251*AM251+$L251*Summary_LCIA!AD$32</f>
        <v>0.168971107661048</v>
      </c>
      <c r="BI251" s="137">
        <f>$W251*AN251+$L251*Summary_LCIA!AE$32</f>
        <v>0.44258475965578609</v>
      </c>
      <c r="BJ251" s="137">
        <f>$W251*AO251+$L251*Summary_LCIA!AF$32</f>
        <v>0.17946904183741144</v>
      </c>
      <c r="BK251" s="137">
        <f>$W251*AP251+$L251*Summary_LCIA!AG$32</f>
        <v>1.446733111741145E-2</v>
      </c>
      <c r="BL251" s="137">
        <f>$W251*AQ251+$L251*Summary_LCIA!AH$32</f>
        <v>2.3664792085211253</v>
      </c>
      <c r="BM251" s="137">
        <f>$W251*AR251+$L251*Summary_LCIA!AI$32</f>
        <v>0.41099507945943559</v>
      </c>
    </row>
    <row r="252" spans="1:65" x14ac:dyDescent="0.25">
      <c r="A252" s="149">
        <v>190</v>
      </c>
      <c r="B252" s="149">
        <v>6</v>
      </c>
      <c r="C252" s="61">
        <v>35.045630000000003</v>
      </c>
      <c r="D252" s="61">
        <v>-85.30968</v>
      </c>
      <c r="E252" s="61" t="s">
        <v>265</v>
      </c>
      <c r="F252" s="149">
        <v>91</v>
      </c>
      <c r="G252" s="61" t="s">
        <v>618</v>
      </c>
      <c r="H252" s="61" t="s">
        <v>619</v>
      </c>
      <c r="I252" s="61">
        <v>36.126317</v>
      </c>
      <c r="J252" s="61">
        <v>-86.677370999999994</v>
      </c>
      <c r="K252" s="61">
        <v>216.8818096</v>
      </c>
      <c r="L252" s="61">
        <v>207.744</v>
      </c>
      <c r="M252" s="61" t="s">
        <v>617</v>
      </c>
      <c r="N252" s="149">
        <v>5</v>
      </c>
      <c r="O252" s="149">
        <v>6</v>
      </c>
      <c r="P252" s="61" t="s">
        <v>565</v>
      </c>
      <c r="Q252" s="61" t="s">
        <v>564</v>
      </c>
      <c r="R252" s="61">
        <v>41.98028</v>
      </c>
      <c r="S252" s="61">
        <v>-87.908997900000003</v>
      </c>
      <c r="T252" s="61">
        <v>994.86800000000005</v>
      </c>
      <c r="U252" s="61" t="s">
        <v>617</v>
      </c>
      <c r="V252" s="61" t="s">
        <v>569</v>
      </c>
      <c r="W252" s="61" cm="1">
        <f t="array" ref="W252">getDistance(I252,J252,R252,S252)*SA!$B$12</f>
        <v>659.85331554628851</v>
      </c>
      <c r="Y252" s="137">
        <f>Transportation_LCIA!C$61*($W252^Transportation_LCIA!C$60)+Transportation_LCIA!C$62</f>
        <v>0.28711034431731675</v>
      </c>
      <c r="Z252" s="137">
        <f>Transportation_LCIA!D$61*($W252^Transportation_LCIA!D$60)+Transportation_LCIA!D$62</f>
        <v>3.0287489507114906</v>
      </c>
      <c r="AA252" s="137">
        <f>Transportation_LCIA!E$61*($W252^Transportation_LCIA!E$60)+Transportation_LCIA!E$62</f>
        <v>1.541949627580878E-3</v>
      </c>
      <c r="AB252" s="137">
        <f>Transportation_LCIA!F$61*($W252^Transportation_LCIA!F$60)+Transportation_LCIA!F$62</f>
        <v>0.28711034431731675</v>
      </c>
      <c r="AC252" s="137">
        <f>Transportation_LCIA!G$61*($W252^Transportation_LCIA!G$60)+Transportation_LCIA!G$62</f>
        <v>7.0636946621656566E-2</v>
      </c>
      <c r="AD252" s="137">
        <f>Transportation_LCIA!H$61*($W252^Transportation_LCIA!H$60)+Transportation_LCIA!H$62</f>
        <v>3.6468473830708392E-4</v>
      </c>
      <c r="AE252" s="137">
        <f>Transportation_LCIA!I$61*($W252^Transportation_LCIA!I$60)+Transportation_LCIA!I$62</f>
        <v>8.1513931789510452E-6</v>
      </c>
      <c r="AF252" s="137">
        <f>Transportation_LCIA!J$61*($W252^Transportation_LCIA!J$60)+Transportation_LCIA!J$62</f>
        <v>1.2103537939984348E-2</v>
      </c>
      <c r="AG252" s="137">
        <f>Transportation_LCIA!K$61*($W252^Transportation_LCIA!K$60)+Transportation_LCIA!K$62</f>
        <v>1.5328817431613843E-2</v>
      </c>
      <c r="AH252" s="137">
        <f>Transportation_LCIA!L$61*($W252^Transportation_LCIA!L$60)+Transportation_LCIA!L$62</f>
        <v>3.2087577902119551E-4</v>
      </c>
      <c r="AI252" s="137">
        <f>Transportation_LCIA!M$61*($W252^Transportation_LCIA!M$60)+Transportation_LCIA!M$62</f>
        <v>2.9212689587987547E-4</v>
      </c>
      <c r="AJ252" s="137">
        <f>Transportation_LCIA!N$61*($W252^Transportation_LCIA!N$60)+Transportation_LCIA!N$62</f>
        <v>1.2851484558381739E-3</v>
      </c>
      <c r="AK252" s="137">
        <f>Transportation_LCIA!O$61*($W252^Transportation_LCIA!O$60)+Transportation_LCIA!O$62</f>
        <v>7.4728695290617527E-5</v>
      </c>
      <c r="AL252" s="137">
        <f>Transportation_LCIA!P$61*($W252^Transportation_LCIA!P$60)+Transportation_LCIA!P$62</f>
        <v>3.6092660039250887E-8</v>
      </c>
      <c r="AM252" s="137">
        <f>Transportation_LCIA!Q$61*($W252^Transportation_LCIA!Q$60)+Transportation_LCIA!Q$62</f>
        <v>1.266645357867947E-4</v>
      </c>
      <c r="AN252" s="137">
        <f>Transportation_LCIA!R$61*($W252^Transportation_LCIA!R$60)+Transportation_LCIA!R$62</f>
        <v>3.9174853387192332E-4</v>
      </c>
      <c r="AO252" s="137">
        <f>Transportation_LCIA!S$61*($W252^Transportation_LCIA!S$60)+Transportation_LCIA!S$62</f>
        <v>5.816609944944966E-6</v>
      </c>
      <c r="AP252" s="137">
        <f>Transportation_LCIA!T$61*($W252^Transportation_LCIA!T$60)+Transportation_LCIA!T$62</f>
        <v>5.816609944944966E-6</v>
      </c>
      <c r="AQ252" s="137">
        <f>Transportation_LCIA!U$61*($W252^Transportation_LCIA!U$60)+Transportation_LCIA!U$62</f>
        <v>8.4618583701267559E-4</v>
      </c>
      <c r="AR252" s="137">
        <f>Transportation_LCIA!V$61*($W252^Transportation_LCIA!V$60)+Transportation_LCIA!V$62</f>
        <v>3.2957499967912188E-4</v>
      </c>
      <c r="AT252" s="137">
        <f>$W252*Y252+$L252*Summary_LCIA!H$32</f>
        <v>260.04212382541795</v>
      </c>
      <c r="AU252" s="137">
        <f>$W252*Z252+$L252*Summary_LCIA!Q$32</f>
        <v>3028.1197782374711</v>
      </c>
      <c r="AV252" s="137">
        <f>$W252*AA252+$L252*Summary_LCIA!R$32</f>
        <v>2.1113573805646073</v>
      </c>
      <c r="AW252" s="137">
        <f>$W252*AB252+$L252*Summary_LCIA!S$32</f>
        <v>259.12389534541796</v>
      </c>
      <c r="AX252" s="137">
        <f>$W252*AC252+$L252*Summary_LCIA!T$32</f>
        <v>69.441089028366292</v>
      </c>
      <c r="AY252" s="137">
        <f>$W252*AD252+$L252*Summary_LCIA!U$32</f>
        <v>3.96216444970106</v>
      </c>
      <c r="AZ252" s="137">
        <f>$W252*AE252+$L252*Summary_LCIA!V$32</f>
        <v>1.5300784999452248E-2</v>
      </c>
      <c r="BA252" s="137">
        <f>$W252*AF252+$L252*Summary_LCIA!W$32</f>
        <v>23.976823063538966</v>
      </c>
      <c r="BB252" s="137">
        <f>$W252*AG252+$L252*Summary_LCIA!X$32</f>
        <v>14.847179325654139</v>
      </c>
      <c r="BC252" s="137">
        <f>$W252*AH252+$L252*Summary_LCIA!Y$32</f>
        <v>3.448797954665634</v>
      </c>
      <c r="BD252" s="137">
        <f>$W252*AI252+$L252*Summary_LCIA!Z$32</f>
        <v>0.20128027450258124</v>
      </c>
      <c r="BE252" s="137">
        <f>$W252*AJ252+$L252*Summary_LCIA!AA$32</f>
        <v>5.7000783335540115</v>
      </c>
      <c r="BF252" s="137">
        <f>$W252*AK252+$L252*Summary_LCIA!AB$32</f>
        <v>4.4776380041962292E-2</v>
      </c>
      <c r="BG252" s="137">
        <f>$W252*AL252+$L252*Summary_LCIA!AC$32</f>
        <v>3.397121908978473E-5</v>
      </c>
      <c r="BH252" s="137">
        <f>$W252*AM252+$L252*Summary_LCIA!AD$32</f>
        <v>0.168971107661048</v>
      </c>
      <c r="BI252" s="137">
        <f>$W252*AN252+$L252*Summary_LCIA!AE$32</f>
        <v>0.44258475965578609</v>
      </c>
      <c r="BJ252" s="137">
        <f>$W252*AO252+$L252*Summary_LCIA!AF$32</f>
        <v>0.17946904183741144</v>
      </c>
      <c r="BK252" s="137">
        <f>$W252*AP252+$L252*Summary_LCIA!AG$32</f>
        <v>1.446733111741145E-2</v>
      </c>
      <c r="BL252" s="137">
        <f>$W252*AQ252+$L252*Summary_LCIA!AH$32</f>
        <v>2.3664792085211253</v>
      </c>
      <c r="BM252" s="137">
        <f>$W252*AR252+$L252*Summary_LCIA!AI$32</f>
        <v>0.41099507945943559</v>
      </c>
    </row>
    <row r="253" spans="1:65" x14ac:dyDescent="0.25">
      <c r="A253" s="149">
        <v>236</v>
      </c>
      <c r="B253" s="149">
        <v>43</v>
      </c>
      <c r="C253" s="61">
        <v>36.31344</v>
      </c>
      <c r="D253" s="61">
        <v>-82.353472999999994</v>
      </c>
      <c r="E253" s="61" t="s">
        <v>265</v>
      </c>
      <c r="F253" s="149">
        <v>34</v>
      </c>
      <c r="G253" s="61" t="s">
        <v>565</v>
      </c>
      <c r="H253" s="61" t="s">
        <v>633</v>
      </c>
      <c r="I253" s="61">
        <v>35.214402999999997</v>
      </c>
      <c r="J253" s="61">
        <v>-80.947315000000003</v>
      </c>
      <c r="K253" s="61">
        <v>212.4742573</v>
      </c>
      <c r="L253" s="61">
        <v>236.197</v>
      </c>
      <c r="M253" s="61" t="s">
        <v>617</v>
      </c>
      <c r="N253" s="149">
        <v>42</v>
      </c>
      <c r="O253" s="149">
        <v>43</v>
      </c>
      <c r="P253" s="61" t="s">
        <v>565</v>
      </c>
      <c r="Q253" s="61" t="s">
        <v>555</v>
      </c>
      <c r="R253" s="61">
        <v>40.6895314</v>
      </c>
      <c r="S253" s="61">
        <v>-74.174462399999996</v>
      </c>
      <c r="T253" s="61">
        <v>999.64099999999996</v>
      </c>
      <c r="U253" s="61" t="s">
        <v>617</v>
      </c>
      <c r="V253" s="61" t="s">
        <v>569</v>
      </c>
      <c r="W253" s="61" cm="1">
        <f t="array" ref="W253">getDistance(I253,J253,R253,S253)*SA!$B$12</f>
        <v>851.05121377634293</v>
      </c>
      <c r="Y253" s="137">
        <f>Transportation_LCIA!C$61*($W253^Transportation_LCIA!C$60)+Transportation_LCIA!C$62</f>
        <v>0.25343049240533111</v>
      </c>
      <c r="Z253" s="137">
        <f>Transportation_LCIA!D$61*($W253^Transportation_LCIA!D$60)+Transportation_LCIA!D$62</f>
        <v>2.6307480783429384</v>
      </c>
      <c r="AA253" s="137">
        <f>Transportation_LCIA!E$61*($W253^Transportation_LCIA!E$60)+Transportation_LCIA!E$62</f>
        <v>1.2793461318450019E-3</v>
      </c>
      <c r="AB253" s="137">
        <f>Transportation_LCIA!F$61*($W253^Transportation_LCIA!F$60)+Transportation_LCIA!F$62</f>
        <v>0.25343049240533111</v>
      </c>
      <c r="AC253" s="137">
        <f>Transportation_LCIA!G$61*($W253^Transportation_LCIA!G$60)+Transportation_LCIA!G$62</f>
        <v>6.1435625769608669E-2</v>
      </c>
      <c r="AD253" s="137">
        <f>Transportation_LCIA!H$61*($W253^Transportation_LCIA!H$60)+Transportation_LCIA!H$62</f>
        <v>3.065402716805851E-4</v>
      </c>
      <c r="AE253" s="137">
        <f>Transportation_LCIA!I$61*($W253^Transportation_LCIA!I$60)+Transportation_LCIA!I$62</f>
        <v>6.6711792632361422E-6</v>
      </c>
      <c r="AF253" s="137">
        <f>Transportation_LCIA!J$61*($W253^Transportation_LCIA!J$60)+Transportation_LCIA!J$62</f>
        <v>9.8828828449766624E-3</v>
      </c>
      <c r="AG253" s="137">
        <f>Transportation_LCIA!K$61*($W253^Transportation_LCIA!K$60)+Transportation_LCIA!K$62</f>
        <v>1.3167278527053671E-2</v>
      </c>
      <c r="AH253" s="137">
        <f>Transportation_LCIA!L$61*($W253^Transportation_LCIA!L$60)+Transportation_LCIA!L$62</f>
        <v>2.6725039435791071E-4</v>
      </c>
      <c r="AI253" s="137">
        <f>Transportation_LCIA!M$61*($W253^Transportation_LCIA!M$60)+Transportation_LCIA!M$62</f>
        <v>2.6002531765647143E-4</v>
      </c>
      <c r="AJ253" s="137">
        <f>Transportation_LCIA!N$61*($W253^Transportation_LCIA!N$60)+Transportation_LCIA!N$62</f>
        <v>1.0898312653906447E-3</v>
      </c>
      <c r="AK253" s="137">
        <f>Transportation_LCIA!O$61*($W253^Transportation_LCIA!O$60)+Transportation_LCIA!O$62</f>
        <v>6.4947739462206474E-5</v>
      </c>
      <c r="AL253" s="137">
        <f>Transportation_LCIA!P$61*($W253^Transportation_LCIA!P$60)+Transportation_LCIA!P$62</f>
        <v>3.139446307580722E-8</v>
      </c>
      <c r="AM253" s="137">
        <f>Transportation_LCIA!Q$61*($W253^Transportation_LCIA!Q$60)+Transportation_LCIA!Q$62</f>
        <v>1.0566088004157003E-4</v>
      </c>
      <c r="AN253" s="137">
        <f>Transportation_LCIA!R$61*($W253^Transportation_LCIA!R$60)+Transportation_LCIA!R$62</f>
        <v>3.2074864831290064E-4</v>
      </c>
      <c r="AO253" s="137">
        <f>Transportation_LCIA!S$61*($W253^Transportation_LCIA!S$60)+Transportation_LCIA!S$62</f>
        <v>4.8094770187755473E-6</v>
      </c>
      <c r="AP253" s="137">
        <f>Transportation_LCIA!T$61*($W253^Transportation_LCIA!T$60)+Transportation_LCIA!T$62</f>
        <v>4.8094770187755473E-6</v>
      </c>
      <c r="AQ253" s="137">
        <f>Transportation_LCIA!U$61*($W253^Transportation_LCIA!U$60)+Transportation_LCIA!U$62</f>
        <v>6.9015010201870343E-4</v>
      </c>
      <c r="AR253" s="137">
        <f>Transportation_LCIA!V$61*($W253^Transportation_LCIA!V$60)+Transportation_LCIA!V$62</f>
        <v>2.7481283900177808E-4</v>
      </c>
      <c r="AT253" s="137">
        <f>$W253*Y253+$L253*Summary_LCIA!H$32</f>
        <v>295.94206876949329</v>
      </c>
      <c r="AU253" s="137">
        <f>$W253*Z253+$L253*Summary_LCIA!Q$32</f>
        <v>3409.5055893368408</v>
      </c>
      <c r="AV253" s="137">
        <f>$W253*AA253+$L253*Summary_LCIA!R$32</f>
        <v>2.3325080015467581</v>
      </c>
      <c r="AW253" s="137">
        <f>$W253*AB253+$L253*Summary_LCIA!S$32</f>
        <v>294.89807802949332</v>
      </c>
      <c r="AX253" s="137">
        <f>$W253*AC253+$L253*Summary_LCIA!T$32</f>
        <v>78.242914180334637</v>
      </c>
      <c r="AY253" s="137">
        <f>$W253*AD253+$L253*Summary_LCIA!U$32</f>
        <v>4.4921145282850921</v>
      </c>
      <c r="AZ253" s="137">
        <f>$W253*AE253+$L253*Summary_LCIA!V$32</f>
        <v>1.6958520126296686E-2</v>
      </c>
      <c r="BA253" s="137">
        <f>$W253*AF253+$L253*Summary_LCIA!W$32</f>
        <v>26.591158727826787</v>
      </c>
      <c r="BB253" s="137">
        <f>$W253*AG253+$L253*Summary_LCIA!X$32</f>
        <v>16.586596032580204</v>
      </c>
      <c r="BC253" s="137">
        <f>$W253*AH253+$L253*Summary_LCIA!Y$32</f>
        <v>3.9078654265005066</v>
      </c>
      <c r="BD253" s="137">
        <f>$W253*AI253+$L253*Summary_LCIA!Z$32</f>
        <v>0.23098106497711915</v>
      </c>
      <c r="BE253" s="137">
        <f>$W253*AJ253+$L253*Summary_LCIA!AA$32</f>
        <v>6.4441193532221153</v>
      </c>
      <c r="BF253" s="137">
        <f>$W253*AK253+$L253*Summary_LCIA!AB$32</f>
        <v>5.0119325370340508E-2</v>
      </c>
      <c r="BG253" s="137">
        <f>$W253*AL253+$L253*Summary_LCIA!AC$32</f>
        <v>3.8264550054522314E-5</v>
      </c>
      <c r="BH253" s="137">
        <f>$W253*AM253+$L253*Summary_LCIA!AD$32</f>
        <v>0.18700923508805473</v>
      </c>
      <c r="BI253" s="137">
        <f>$W253*AN253+$L253*Summary_LCIA!AE$32</f>
        <v>0.48227477407381547</v>
      </c>
      <c r="BJ253" s="137">
        <f>$W253*AO253+$L253*Summary_LCIA!AF$32</f>
        <v>0.20377877899445837</v>
      </c>
      <c r="BK253" s="137">
        <f>$W253*AP253+$L253*Summary_LCIA!AG$32</f>
        <v>1.6178130759458356E-2</v>
      </c>
      <c r="BL253" s="137">
        <f>$W253*AQ253+$L253*Summary_LCIA!AH$32</f>
        <v>2.6431172912108849</v>
      </c>
      <c r="BM253" s="137">
        <f>$W253*AR253+$L253*Summary_LCIA!AI$32</f>
        <v>0.45390911554378599</v>
      </c>
    </row>
    <row r="254" spans="1:65" x14ac:dyDescent="0.25">
      <c r="A254" s="149">
        <v>237</v>
      </c>
      <c r="B254" s="149">
        <v>43</v>
      </c>
      <c r="C254" s="61">
        <v>36.31344</v>
      </c>
      <c r="D254" s="61">
        <v>-82.353472999999994</v>
      </c>
      <c r="E254" s="61" t="s">
        <v>265</v>
      </c>
      <c r="F254" s="149">
        <v>34</v>
      </c>
      <c r="G254" s="61" t="s">
        <v>565</v>
      </c>
      <c r="H254" s="61" t="s">
        <v>633</v>
      </c>
      <c r="I254" s="61">
        <v>35.214402999999997</v>
      </c>
      <c r="J254" s="61">
        <v>-80.947315000000003</v>
      </c>
      <c r="K254" s="61">
        <v>212.4742573</v>
      </c>
      <c r="L254" s="61">
        <v>236.197</v>
      </c>
      <c r="M254" s="61" t="s">
        <v>617</v>
      </c>
      <c r="N254" s="149">
        <v>42</v>
      </c>
      <c r="O254" s="149">
        <v>43</v>
      </c>
      <c r="P254" s="61" t="s">
        <v>565</v>
      </c>
      <c r="Q254" s="61" t="s">
        <v>555</v>
      </c>
      <c r="R254" s="61">
        <v>40.6895314</v>
      </c>
      <c r="S254" s="61">
        <v>-74.174462399999996</v>
      </c>
      <c r="T254" s="61">
        <v>999.64099999999996</v>
      </c>
      <c r="U254" s="61" t="s">
        <v>617</v>
      </c>
      <c r="V254" s="61" t="s">
        <v>569</v>
      </c>
      <c r="W254" s="61" cm="1">
        <f t="array" ref="W254">getDistance(I254,J254,R254,S254)*SA!$B$12</f>
        <v>851.05121377634293</v>
      </c>
      <c r="Y254" s="137">
        <f>Transportation_LCIA!C$61*($W254^Transportation_LCIA!C$60)+Transportation_LCIA!C$62</f>
        <v>0.25343049240533111</v>
      </c>
      <c r="Z254" s="137">
        <f>Transportation_LCIA!D$61*($W254^Transportation_LCIA!D$60)+Transportation_LCIA!D$62</f>
        <v>2.6307480783429384</v>
      </c>
      <c r="AA254" s="137">
        <f>Transportation_LCIA!E$61*($W254^Transportation_LCIA!E$60)+Transportation_LCIA!E$62</f>
        <v>1.2793461318450019E-3</v>
      </c>
      <c r="AB254" s="137">
        <f>Transportation_LCIA!F$61*($W254^Transportation_LCIA!F$60)+Transportation_LCIA!F$62</f>
        <v>0.25343049240533111</v>
      </c>
      <c r="AC254" s="137">
        <f>Transportation_LCIA!G$61*($W254^Transportation_LCIA!G$60)+Transportation_LCIA!G$62</f>
        <v>6.1435625769608669E-2</v>
      </c>
      <c r="AD254" s="137">
        <f>Transportation_LCIA!H$61*($W254^Transportation_LCIA!H$60)+Transportation_LCIA!H$62</f>
        <v>3.065402716805851E-4</v>
      </c>
      <c r="AE254" s="137">
        <f>Transportation_LCIA!I$61*($W254^Transportation_LCIA!I$60)+Transportation_LCIA!I$62</f>
        <v>6.6711792632361422E-6</v>
      </c>
      <c r="AF254" s="137">
        <f>Transportation_LCIA!J$61*($W254^Transportation_LCIA!J$60)+Transportation_LCIA!J$62</f>
        <v>9.8828828449766624E-3</v>
      </c>
      <c r="AG254" s="137">
        <f>Transportation_LCIA!K$61*($W254^Transportation_LCIA!K$60)+Transportation_LCIA!K$62</f>
        <v>1.3167278527053671E-2</v>
      </c>
      <c r="AH254" s="137">
        <f>Transportation_LCIA!L$61*($W254^Transportation_LCIA!L$60)+Transportation_LCIA!L$62</f>
        <v>2.6725039435791071E-4</v>
      </c>
      <c r="AI254" s="137">
        <f>Transportation_LCIA!M$61*($W254^Transportation_LCIA!M$60)+Transportation_LCIA!M$62</f>
        <v>2.6002531765647143E-4</v>
      </c>
      <c r="AJ254" s="137">
        <f>Transportation_LCIA!N$61*($W254^Transportation_LCIA!N$60)+Transportation_LCIA!N$62</f>
        <v>1.0898312653906447E-3</v>
      </c>
      <c r="AK254" s="137">
        <f>Transportation_LCIA!O$61*($W254^Transportation_LCIA!O$60)+Transportation_LCIA!O$62</f>
        <v>6.4947739462206474E-5</v>
      </c>
      <c r="AL254" s="137">
        <f>Transportation_LCIA!P$61*($W254^Transportation_LCIA!P$60)+Transportation_LCIA!P$62</f>
        <v>3.139446307580722E-8</v>
      </c>
      <c r="AM254" s="137">
        <f>Transportation_LCIA!Q$61*($W254^Transportation_LCIA!Q$60)+Transportation_LCIA!Q$62</f>
        <v>1.0566088004157003E-4</v>
      </c>
      <c r="AN254" s="137">
        <f>Transportation_LCIA!R$61*($W254^Transportation_LCIA!R$60)+Transportation_LCIA!R$62</f>
        <v>3.2074864831290064E-4</v>
      </c>
      <c r="AO254" s="137">
        <f>Transportation_LCIA!S$61*($W254^Transportation_LCIA!S$60)+Transportation_LCIA!S$62</f>
        <v>4.8094770187755473E-6</v>
      </c>
      <c r="AP254" s="137">
        <f>Transportation_LCIA!T$61*($W254^Transportation_LCIA!T$60)+Transportation_LCIA!T$62</f>
        <v>4.8094770187755473E-6</v>
      </c>
      <c r="AQ254" s="137">
        <f>Transportation_LCIA!U$61*($W254^Transportation_LCIA!U$60)+Transportation_LCIA!U$62</f>
        <v>6.9015010201870343E-4</v>
      </c>
      <c r="AR254" s="137">
        <f>Transportation_LCIA!V$61*($W254^Transportation_LCIA!V$60)+Transportation_LCIA!V$62</f>
        <v>2.7481283900177808E-4</v>
      </c>
      <c r="AT254" s="137">
        <f>$W254*Y254+$L254*Summary_LCIA!H$32</f>
        <v>295.94206876949329</v>
      </c>
      <c r="AU254" s="137">
        <f>$W254*Z254+$L254*Summary_LCIA!Q$32</f>
        <v>3409.5055893368408</v>
      </c>
      <c r="AV254" s="137">
        <f>$W254*AA254+$L254*Summary_LCIA!R$32</f>
        <v>2.3325080015467581</v>
      </c>
      <c r="AW254" s="137">
        <f>$W254*AB254+$L254*Summary_LCIA!S$32</f>
        <v>294.89807802949332</v>
      </c>
      <c r="AX254" s="137">
        <f>$W254*AC254+$L254*Summary_LCIA!T$32</f>
        <v>78.242914180334637</v>
      </c>
      <c r="AY254" s="137">
        <f>$W254*AD254+$L254*Summary_LCIA!U$32</f>
        <v>4.4921145282850921</v>
      </c>
      <c r="AZ254" s="137">
        <f>$W254*AE254+$L254*Summary_LCIA!V$32</f>
        <v>1.6958520126296686E-2</v>
      </c>
      <c r="BA254" s="137">
        <f>$W254*AF254+$L254*Summary_LCIA!W$32</f>
        <v>26.591158727826787</v>
      </c>
      <c r="BB254" s="137">
        <f>$W254*AG254+$L254*Summary_LCIA!X$32</f>
        <v>16.586596032580204</v>
      </c>
      <c r="BC254" s="137">
        <f>$W254*AH254+$L254*Summary_LCIA!Y$32</f>
        <v>3.9078654265005066</v>
      </c>
      <c r="BD254" s="137">
        <f>$W254*AI254+$L254*Summary_LCIA!Z$32</f>
        <v>0.23098106497711915</v>
      </c>
      <c r="BE254" s="137">
        <f>$W254*AJ254+$L254*Summary_LCIA!AA$32</f>
        <v>6.4441193532221153</v>
      </c>
      <c r="BF254" s="137">
        <f>$W254*AK254+$L254*Summary_LCIA!AB$32</f>
        <v>5.0119325370340508E-2</v>
      </c>
      <c r="BG254" s="137">
        <f>$W254*AL254+$L254*Summary_LCIA!AC$32</f>
        <v>3.8264550054522314E-5</v>
      </c>
      <c r="BH254" s="137">
        <f>$W254*AM254+$L254*Summary_LCIA!AD$32</f>
        <v>0.18700923508805473</v>
      </c>
      <c r="BI254" s="137">
        <f>$W254*AN254+$L254*Summary_LCIA!AE$32</f>
        <v>0.48227477407381547</v>
      </c>
      <c r="BJ254" s="137">
        <f>$W254*AO254+$L254*Summary_LCIA!AF$32</f>
        <v>0.20377877899445837</v>
      </c>
      <c r="BK254" s="137">
        <f>$W254*AP254+$L254*Summary_LCIA!AG$32</f>
        <v>1.6178130759458356E-2</v>
      </c>
      <c r="BL254" s="137">
        <f>$W254*AQ254+$L254*Summary_LCIA!AH$32</f>
        <v>2.6431172912108849</v>
      </c>
      <c r="BM254" s="137">
        <f>$W254*AR254+$L254*Summary_LCIA!AI$32</f>
        <v>0.45390911554378599</v>
      </c>
    </row>
    <row r="255" spans="1:65" x14ac:dyDescent="0.25">
      <c r="A255" s="149">
        <v>24</v>
      </c>
      <c r="B255" s="149">
        <v>6</v>
      </c>
      <c r="C255" s="61">
        <v>46.891579</v>
      </c>
      <c r="D255" s="61">
        <v>-96.800127000000003</v>
      </c>
      <c r="E255" s="61" t="s">
        <v>265</v>
      </c>
      <c r="F255" s="149">
        <v>57</v>
      </c>
      <c r="G255" s="61" t="s">
        <v>565</v>
      </c>
      <c r="H255" s="61" t="s">
        <v>641</v>
      </c>
      <c r="I255" s="61">
        <v>44.884754999999998</v>
      </c>
      <c r="J255" s="61">
        <v>-93.222284999999999</v>
      </c>
      <c r="K255" s="61">
        <v>473.17089249999998</v>
      </c>
      <c r="L255" s="61">
        <v>397.00400000000002</v>
      </c>
      <c r="M255" s="61" t="s">
        <v>617</v>
      </c>
      <c r="N255" s="149">
        <v>5</v>
      </c>
      <c r="O255" s="149">
        <v>6</v>
      </c>
      <c r="P255" s="61" t="s">
        <v>565</v>
      </c>
      <c r="Q255" s="61" t="s">
        <v>564</v>
      </c>
      <c r="R255" s="61">
        <v>41.98028</v>
      </c>
      <c r="S255" s="61">
        <v>-87.908997900000003</v>
      </c>
      <c r="T255" s="61">
        <v>1014.241</v>
      </c>
      <c r="U255" s="61" t="s">
        <v>617</v>
      </c>
      <c r="V255" s="61" t="s">
        <v>569</v>
      </c>
      <c r="W255" s="61" cm="1">
        <f t="array" ref="W255">getDistance(I255,J255,R255,S255)*SA!$B$12</f>
        <v>537.9238360294454</v>
      </c>
      <c r="Y255" s="137">
        <f>Transportation_LCIA!C$61*($W255^Transportation_LCIA!C$60)+Transportation_LCIA!C$62</f>
        <v>0.31986678213898079</v>
      </c>
      <c r="Z255" s="137">
        <f>Transportation_LCIA!D$61*($W255^Transportation_LCIA!D$60)+Transportation_LCIA!D$62</f>
        <v>3.4196837590581142</v>
      </c>
      <c r="AA255" s="137">
        <f>Transportation_LCIA!E$61*($W255^Transportation_LCIA!E$60)+Transportation_LCIA!E$62</f>
        <v>1.8006084167141755E-3</v>
      </c>
      <c r="AB255" s="137">
        <f>Transportation_LCIA!F$61*($W255^Transportation_LCIA!F$60)+Transportation_LCIA!F$62</f>
        <v>0.31986678213898079</v>
      </c>
      <c r="AC255" s="137">
        <f>Transportation_LCIA!G$61*($W255^Transportation_LCIA!G$60)+Transportation_LCIA!G$62</f>
        <v>7.9669699225259488E-2</v>
      </c>
      <c r="AD255" s="137">
        <f>Transportation_LCIA!H$61*($W255^Transportation_LCIA!H$60)+Transportation_LCIA!H$62</f>
        <v>4.2227087470452683E-4</v>
      </c>
      <c r="AE255" s="137">
        <f>Transportation_LCIA!I$61*($W255^Transportation_LCIA!I$60)+Transportation_LCIA!I$62</f>
        <v>9.6304021623867961E-6</v>
      </c>
      <c r="AF255" s="137">
        <f>Transportation_LCIA!J$61*($W255^Transportation_LCIA!J$60)+Transportation_LCIA!J$62</f>
        <v>1.4335225470337743E-2</v>
      </c>
      <c r="AG255" s="137">
        <f>Transportation_LCIA!K$61*($W255^Transportation_LCIA!K$60)+Transportation_LCIA!K$62</f>
        <v>1.7461378929992367E-2</v>
      </c>
      <c r="AH255" s="137">
        <f>Transportation_LCIA!L$61*($W255^Transportation_LCIA!L$60)+Transportation_LCIA!L$62</f>
        <v>3.741200211309115E-4</v>
      </c>
      <c r="AI255" s="137">
        <f>Transportation_LCIA!M$61*($W255^Transportation_LCIA!M$60)+Transportation_LCIA!M$62</f>
        <v>3.2392972305419126E-4</v>
      </c>
      <c r="AJ255" s="137">
        <f>Transportation_LCIA!N$61*($W255^Transportation_LCIA!N$60)+Transportation_LCIA!N$62</f>
        <v>1.4784543299395398E-3</v>
      </c>
      <c r="AK255" s="137">
        <f>Transportation_LCIA!O$61*($W255^Transportation_LCIA!O$60)+Transportation_LCIA!O$62</f>
        <v>8.4333072501823996E-5</v>
      </c>
      <c r="AL255" s="137">
        <f>Transportation_LCIA!P$61*($W255^Transportation_LCIA!P$60)+Transportation_LCIA!P$62</f>
        <v>4.0702648380323872E-8</v>
      </c>
      <c r="AM255" s="137">
        <f>Transportation_LCIA!Q$61*($W255^Transportation_LCIA!Q$60)+Transportation_LCIA!Q$62</f>
        <v>1.4754717709156823E-4</v>
      </c>
      <c r="AN255" s="137">
        <f>Transportation_LCIA!R$61*($W255^Transportation_LCIA!R$60)+Transportation_LCIA!R$62</f>
        <v>4.6270576693556009E-4</v>
      </c>
      <c r="AO255" s="137">
        <f>Transportation_LCIA!S$61*($W255^Transportation_LCIA!S$60)+Transportation_LCIA!S$62</f>
        <v>6.8227398697620497E-6</v>
      </c>
      <c r="AP255" s="137">
        <f>Transportation_LCIA!T$61*($W255^Transportation_LCIA!T$60)+Transportation_LCIA!T$62</f>
        <v>6.8227398697620497E-6</v>
      </c>
      <c r="AQ255" s="137">
        <f>Transportation_LCIA!U$61*($W255^Transportation_LCIA!U$60)+Transportation_LCIA!U$62</f>
        <v>1.002389311334221E-3</v>
      </c>
      <c r="AR255" s="137">
        <f>Transportation_LCIA!V$61*($W255^Transportation_LCIA!V$60)+Transportation_LCIA!V$62</f>
        <v>3.8411685160034487E-4</v>
      </c>
      <c r="AT255" s="137">
        <f>$W255*Y255+$L255*Summary_LCIA!H$32</f>
        <v>306.96592566659547</v>
      </c>
      <c r="AU255" s="137">
        <f>$W255*Z255+$L255*Summary_LCIA!Q$32</f>
        <v>3807.1012517828667</v>
      </c>
      <c r="AV255" s="137">
        <f>$W255*AA255+$L255*Summary_LCIA!R$32</f>
        <v>3.0590544491057954</v>
      </c>
      <c r="AW255" s="137">
        <f>$W255*AB255+$L255*Summary_LCIA!S$32</f>
        <v>305.21116798659546</v>
      </c>
      <c r="AX255" s="137">
        <f>$W255*AC255+$L255*Summary_LCIA!T$32</f>
        <v>86.486969822563708</v>
      </c>
      <c r="AY255" s="137">
        <f>$W255*AD255+$L255*Summary_LCIA!U$32</f>
        <v>7.3390792247645686</v>
      </c>
      <c r="AZ255" s="137">
        <f>$W255*AE255+$L255*Summary_LCIA!V$32</f>
        <v>2.4141730917697373E-2</v>
      </c>
      <c r="BA255" s="137">
        <f>$W255*AF255+$L255*Summary_LCIA!W$32</f>
        <v>38.269054359351088</v>
      </c>
      <c r="BB255" s="137">
        <f>$W255*AG255+$L255*Summary_LCIA!X$32</f>
        <v>18.436643056385229</v>
      </c>
      <c r="BC255" s="137">
        <f>$W255*AH255+$L255*Summary_LCIA!Y$32</f>
        <v>6.3873644049021578</v>
      </c>
      <c r="BD255" s="137">
        <f>$W255*AI255+$L255*Summary_LCIA!Z$32</f>
        <v>0.19053025626526643</v>
      </c>
      <c r="BE255" s="137">
        <f>$W255*AJ255+$L255*Summary_LCIA!AA$32</f>
        <v>10.06772124855542</v>
      </c>
      <c r="BF255" s="137">
        <f>$W255*AK255+$L255*Summary_LCIA!AB$32</f>
        <v>3.6700951572330498E-2</v>
      </c>
      <c r="BG255" s="137">
        <f>$W255*AL255+$L255*Summary_LCIA!AC$32</f>
        <v>4.1302068289301513E-5</v>
      </c>
      <c r="BH255" s="137">
        <f>$W255*AM255+$L255*Summary_LCIA!AD$32</f>
        <v>0.24255366765641229</v>
      </c>
      <c r="BI255" s="137">
        <f>$W255*AN255+$L255*Summary_LCIA!AE$32</f>
        <v>0.60069761562292301</v>
      </c>
      <c r="BJ255" s="137">
        <f>$W255*AO255+$L255*Summary_LCIA!AF$32</f>
        <v>0.33930523608297347</v>
      </c>
      <c r="BK255" s="137">
        <f>$W255*AP255+$L255*Summary_LCIA!AG$32</f>
        <v>2.3982824062973442E-2</v>
      </c>
      <c r="BL255" s="137">
        <f>$W255*AQ255+$L255*Summary_LCIA!AH$32</f>
        <v>3.9945731179478186</v>
      </c>
      <c r="BM255" s="137">
        <f>$W255*AR255+$L255*Summary_LCIA!AI$32</f>
        <v>0.57645468649641074</v>
      </c>
    </row>
    <row r="256" spans="1:65" x14ac:dyDescent="0.25">
      <c r="A256" s="149">
        <v>25</v>
      </c>
      <c r="B256" s="149">
        <v>6</v>
      </c>
      <c r="C256" s="61">
        <v>46.891579</v>
      </c>
      <c r="D256" s="61">
        <v>-96.800127000000003</v>
      </c>
      <c r="E256" s="61" t="s">
        <v>265</v>
      </c>
      <c r="F256" s="149">
        <v>57</v>
      </c>
      <c r="G256" s="61" t="s">
        <v>565</v>
      </c>
      <c r="H256" s="61" t="s">
        <v>641</v>
      </c>
      <c r="I256" s="61">
        <v>44.884754999999998</v>
      </c>
      <c r="J256" s="61">
        <v>-93.222284999999999</v>
      </c>
      <c r="K256" s="61">
        <v>473.17089249999998</v>
      </c>
      <c r="L256" s="61">
        <v>397.00400000000002</v>
      </c>
      <c r="M256" s="61" t="s">
        <v>617</v>
      </c>
      <c r="N256" s="149">
        <v>5</v>
      </c>
      <c r="O256" s="149">
        <v>6</v>
      </c>
      <c r="P256" s="61" t="s">
        <v>565</v>
      </c>
      <c r="Q256" s="61" t="s">
        <v>564</v>
      </c>
      <c r="R256" s="61">
        <v>41.98028</v>
      </c>
      <c r="S256" s="61">
        <v>-87.908997900000003</v>
      </c>
      <c r="T256" s="61">
        <v>1014.241</v>
      </c>
      <c r="U256" s="61" t="s">
        <v>617</v>
      </c>
      <c r="V256" s="61" t="s">
        <v>569</v>
      </c>
      <c r="W256" s="61" cm="1">
        <f t="array" ref="W256">getDistance(I256,J256,R256,S256)*SA!$B$12</f>
        <v>537.9238360294454</v>
      </c>
      <c r="Y256" s="137">
        <f>Transportation_LCIA!C$61*($W256^Transportation_LCIA!C$60)+Transportation_LCIA!C$62</f>
        <v>0.31986678213898079</v>
      </c>
      <c r="Z256" s="137">
        <f>Transportation_LCIA!D$61*($W256^Transportation_LCIA!D$60)+Transportation_LCIA!D$62</f>
        <v>3.4196837590581142</v>
      </c>
      <c r="AA256" s="137">
        <f>Transportation_LCIA!E$61*($W256^Transportation_LCIA!E$60)+Transportation_LCIA!E$62</f>
        <v>1.8006084167141755E-3</v>
      </c>
      <c r="AB256" s="137">
        <f>Transportation_LCIA!F$61*($W256^Transportation_LCIA!F$60)+Transportation_LCIA!F$62</f>
        <v>0.31986678213898079</v>
      </c>
      <c r="AC256" s="137">
        <f>Transportation_LCIA!G$61*($W256^Transportation_LCIA!G$60)+Transportation_LCIA!G$62</f>
        <v>7.9669699225259488E-2</v>
      </c>
      <c r="AD256" s="137">
        <f>Transportation_LCIA!H$61*($W256^Transportation_LCIA!H$60)+Transportation_LCIA!H$62</f>
        <v>4.2227087470452683E-4</v>
      </c>
      <c r="AE256" s="137">
        <f>Transportation_LCIA!I$61*($W256^Transportation_LCIA!I$60)+Transportation_LCIA!I$62</f>
        <v>9.6304021623867961E-6</v>
      </c>
      <c r="AF256" s="137">
        <f>Transportation_LCIA!J$61*($W256^Transportation_LCIA!J$60)+Transportation_LCIA!J$62</f>
        <v>1.4335225470337743E-2</v>
      </c>
      <c r="AG256" s="137">
        <f>Transportation_LCIA!K$61*($W256^Transportation_LCIA!K$60)+Transportation_LCIA!K$62</f>
        <v>1.7461378929992367E-2</v>
      </c>
      <c r="AH256" s="137">
        <f>Transportation_LCIA!L$61*($W256^Transportation_LCIA!L$60)+Transportation_LCIA!L$62</f>
        <v>3.741200211309115E-4</v>
      </c>
      <c r="AI256" s="137">
        <f>Transportation_LCIA!M$61*($W256^Transportation_LCIA!M$60)+Transportation_LCIA!M$62</f>
        <v>3.2392972305419126E-4</v>
      </c>
      <c r="AJ256" s="137">
        <f>Transportation_LCIA!N$61*($W256^Transportation_LCIA!N$60)+Transportation_LCIA!N$62</f>
        <v>1.4784543299395398E-3</v>
      </c>
      <c r="AK256" s="137">
        <f>Transportation_LCIA!O$61*($W256^Transportation_LCIA!O$60)+Transportation_LCIA!O$62</f>
        <v>8.4333072501823996E-5</v>
      </c>
      <c r="AL256" s="137">
        <f>Transportation_LCIA!P$61*($W256^Transportation_LCIA!P$60)+Transportation_LCIA!P$62</f>
        <v>4.0702648380323872E-8</v>
      </c>
      <c r="AM256" s="137">
        <f>Transportation_LCIA!Q$61*($W256^Transportation_LCIA!Q$60)+Transportation_LCIA!Q$62</f>
        <v>1.4754717709156823E-4</v>
      </c>
      <c r="AN256" s="137">
        <f>Transportation_LCIA!R$61*($W256^Transportation_LCIA!R$60)+Transportation_LCIA!R$62</f>
        <v>4.6270576693556009E-4</v>
      </c>
      <c r="AO256" s="137">
        <f>Transportation_LCIA!S$61*($W256^Transportation_LCIA!S$60)+Transportation_LCIA!S$62</f>
        <v>6.8227398697620497E-6</v>
      </c>
      <c r="AP256" s="137">
        <f>Transportation_LCIA!T$61*($W256^Transportation_LCIA!T$60)+Transportation_LCIA!T$62</f>
        <v>6.8227398697620497E-6</v>
      </c>
      <c r="AQ256" s="137">
        <f>Transportation_LCIA!U$61*($W256^Transportation_LCIA!U$60)+Transportation_LCIA!U$62</f>
        <v>1.002389311334221E-3</v>
      </c>
      <c r="AR256" s="137">
        <f>Transportation_LCIA!V$61*($W256^Transportation_LCIA!V$60)+Transportation_LCIA!V$62</f>
        <v>3.8411685160034487E-4</v>
      </c>
      <c r="AT256" s="137">
        <f>$W256*Y256+$L256*Summary_LCIA!H$32</f>
        <v>306.96592566659547</v>
      </c>
      <c r="AU256" s="137">
        <f>$W256*Z256+$L256*Summary_LCIA!Q$32</f>
        <v>3807.1012517828667</v>
      </c>
      <c r="AV256" s="137">
        <f>$W256*AA256+$L256*Summary_LCIA!R$32</f>
        <v>3.0590544491057954</v>
      </c>
      <c r="AW256" s="137">
        <f>$W256*AB256+$L256*Summary_LCIA!S$32</f>
        <v>305.21116798659546</v>
      </c>
      <c r="AX256" s="137">
        <f>$W256*AC256+$L256*Summary_LCIA!T$32</f>
        <v>86.486969822563708</v>
      </c>
      <c r="AY256" s="137">
        <f>$W256*AD256+$L256*Summary_LCIA!U$32</f>
        <v>7.3390792247645686</v>
      </c>
      <c r="AZ256" s="137">
        <f>$W256*AE256+$L256*Summary_LCIA!V$32</f>
        <v>2.4141730917697373E-2</v>
      </c>
      <c r="BA256" s="137">
        <f>$W256*AF256+$L256*Summary_LCIA!W$32</f>
        <v>38.269054359351088</v>
      </c>
      <c r="BB256" s="137">
        <f>$W256*AG256+$L256*Summary_LCIA!X$32</f>
        <v>18.436643056385229</v>
      </c>
      <c r="BC256" s="137">
        <f>$W256*AH256+$L256*Summary_LCIA!Y$32</f>
        <v>6.3873644049021578</v>
      </c>
      <c r="BD256" s="137">
        <f>$W256*AI256+$L256*Summary_LCIA!Z$32</f>
        <v>0.19053025626526643</v>
      </c>
      <c r="BE256" s="137">
        <f>$W256*AJ256+$L256*Summary_LCIA!AA$32</f>
        <v>10.06772124855542</v>
      </c>
      <c r="BF256" s="137">
        <f>$W256*AK256+$L256*Summary_LCIA!AB$32</f>
        <v>3.6700951572330498E-2</v>
      </c>
      <c r="BG256" s="137">
        <f>$W256*AL256+$L256*Summary_LCIA!AC$32</f>
        <v>4.1302068289301513E-5</v>
      </c>
      <c r="BH256" s="137">
        <f>$W256*AM256+$L256*Summary_LCIA!AD$32</f>
        <v>0.24255366765641229</v>
      </c>
      <c r="BI256" s="137">
        <f>$W256*AN256+$L256*Summary_LCIA!AE$32</f>
        <v>0.60069761562292301</v>
      </c>
      <c r="BJ256" s="137">
        <f>$W256*AO256+$L256*Summary_LCIA!AF$32</f>
        <v>0.33930523608297347</v>
      </c>
      <c r="BK256" s="137">
        <f>$W256*AP256+$L256*Summary_LCIA!AG$32</f>
        <v>2.3982824062973442E-2</v>
      </c>
      <c r="BL256" s="137">
        <f>$W256*AQ256+$L256*Summary_LCIA!AH$32</f>
        <v>3.9945731179478186</v>
      </c>
      <c r="BM256" s="137">
        <f>$W256*AR256+$L256*Summary_LCIA!AI$32</f>
        <v>0.57645468649641074</v>
      </c>
    </row>
    <row r="257" spans="1:65" x14ac:dyDescent="0.25">
      <c r="A257" s="149">
        <v>26</v>
      </c>
      <c r="B257" s="149">
        <v>6</v>
      </c>
      <c r="C257" s="61">
        <v>46.891579</v>
      </c>
      <c r="D257" s="61">
        <v>-96.800127000000003</v>
      </c>
      <c r="E257" s="61" t="s">
        <v>265</v>
      </c>
      <c r="F257" s="149">
        <v>57</v>
      </c>
      <c r="G257" s="61" t="s">
        <v>565</v>
      </c>
      <c r="H257" s="61" t="s">
        <v>641</v>
      </c>
      <c r="I257" s="61">
        <v>44.884754999999998</v>
      </c>
      <c r="J257" s="61">
        <v>-93.222284999999999</v>
      </c>
      <c r="K257" s="61">
        <v>473.17089249999998</v>
      </c>
      <c r="L257" s="61">
        <v>397.00400000000002</v>
      </c>
      <c r="M257" s="61" t="s">
        <v>617</v>
      </c>
      <c r="N257" s="149">
        <v>5</v>
      </c>
      <c r="O257" s="149">
        <v>6</v>
      </c>
      <c r="P257" s="61" t="s">
        <v>565</v>
      </c>
      <c r="Q257" s="61" t="s">
        <v>564</v>
      </c>
      <c r="R257" s="61">
        <v>41.98028</v>
      </c>
      <c r="S257" s="61">
        <v>-87.908997900000003</v>
      </c>
      <c r="T257" s="61">
        <v>1014.241</v>
      </c>
      <c r="U257" s="61" t="s">
        <v>617</v>
      </c>
      <c r="V257" s="61" t="s">
        <v>569</v>
      </c>
      <c r="W257" s="61" cm="1">
        <f t="array" ref="W257">getDistance(I257,J257,R257,S257)*SA!$B$12</f>
        <v>537.9238360294454</v>
      </c>
      <c r="Y257" s="137">
        <f>Transportation_LCIA!C$61*($W257^Transportation_LCIA!C$60)+Transportation_LCIA!C$62</f>
        <v>0.31986678213898079</v>
      </c>
      <c r="Z257" s="137">
        <f>Transportation_LCIA!D$61*($W257^Transportation_LCIA!D$60)+Transportation_LCIA!D$62</f>
        <v>3.4196837590581142</v>
      </c>
      <c r="AA257" s="137">
        <f>Transportation_LCIA!E$61*($W257^Transportation_LCIA!E$60)+Transportation_LCIA!E$62</f>
        <v>1.8006084167141755E-3</v>
      </c>
      <c r="AB257" s="137">
        <f>Transportation_LCIA!F$61*($W257^Transportation_LCIA!F$60)+Transportation_LCIA!F$62</f>
        <v>0.31986678213898079</v>
      </c>
      <c r="AC257" s="137">
        <f>Transportation_LCIA!G$61*($W257^Transportation_LCIA!G$60)+Transportation_LCIA!G$62</f>
        <v>7.9669699225259488E-2</v>
      </c>
      <c r="AD257" s="137">
        <f>Transportation_LCIA!H$61*($W257^Transportation_LCIA!H$60)+Transportation_LCIA!H$62</f>
        <v>4.2227087470452683E-4</v>
      </c>
      <c r="AE257" s="137">
        <f>Transportation_LCIA!I$61*($W257^Transportation_LCIA!I$60)+Transportation_LCIA!I$62</f>
        <v>9.6304021623867961E-6</v>
      </c>
      <c r="AF257" s="137">
        <f>Transportation_LCIA!J$61*($W257^Transportation_LCIA!J$60)+Transportation_LCIA!J$62</f>
        <v>1.4335225470337743E-2</v>
      </c>
      <c r="AG257" s="137">
        <f>Transportation_LCIA!K$61*($W257^Transportation_LCIA!K$60)+Transportation_LCIA!K$62</f>
        <v>1.7461378929992367E-2</v>
      </c>
      <c r="AH257" s="137">
        <f>Transportation_LCIA!L$61*($W257^Transportation_LCIA!L$60)+Transportation_LCIA!L$62</f>
        <v>3.741200211309115E-4</v>
      </c>
      <c r="AI257" s="137">
        <f>Transportation_LCIA!M$61*($W257^Transportation_LCIA!M$60)+Transportation_LCIA!M$62</f>
        <v>3.2392972305419126E-4</v>
      </c>
      <c r="AJ257" s="137">
        <f>Transportation_LCIA!N$61*($W257^Transportation_LCIA!N$60)+Transportation_LCIA!N$62</f>
        <v>1.4784543299395398E-3</v>
      </c>
      <c r="AK257" s="137">
        <f>Transportation_LCIA!O$61*($W257^Transportation_LCIA!O$60)+Transportation_LCIA!O$62</f>
        <v>8.4333072501823996E-5</v>
      </c>
      <c r="AL257" s="137">
        <f>Transportation_LCIA!P$61*($W257^Transportation_LCIA!P$60)+Transportation_LCIA!P$62</f>
        <v>4.0702648380323872E-8</v>
      </c>
      <c r="AM257" s="137">
        <f>Transportation_LCIA!Q$61*($W257^Transportation_LCIA!Q$60)+Transportation_LCIA!Q$62</f>
        <v>1.4754717709156823E-4</v>
      </c>
      <c r="AN257" s="137">
        <f>Transportation_LCIA!R$61*($W257^Transportation_LCIA!R$60)+Transportation_LCIA!R$62</f>
        <v>4.6270576693556009E-4</v>
      </c>
      <c r="AO257" s="137">
        <f>Transportation_LCIA!S$61*($W257^Transportation_LCIA!S$60)+Transportation_LCIA!S$62</f>
        <v>6.8227398697620497E-6</v>
      </c>
      <c r="AP257" s="137">
        <f>Transportation_LCIA!T$61*($W257^Transportation_LCIA!T$60)+Transportation_LCIA!T$62</f>
        <v>6.8227398697620497E-6</v>
      </c>
      <c r="AQ257" s="137">
        <f>Transportation_LCIA!U$61*($W257^Transportation_LCIA!U$60)+Transportation_LCIA!U$62</f>
        <v>1.002389311334221E-3</v>
      </c>
      <c r="AR257" s="137">
        <f>Transportation_LCIA!V$61*($W257^Transportation_LCIA!V$60)+Transportation_LCIA!V$62</f>
        <v>3.8411685160034487E-4</v>
      </c>
      <c r="AT257" s="137">
        <f>$W257*Y257+$L257*Summary_LCIA!H$32</f>
        <v>306.96592566659547</v>
      </c>
      <c r="AU257" s="137">
        <f>$W257*Z257+$L257*Summary_LCIA!Q$32</f>
        <v>3807.1012517828667</v>
      </c>
      <c r="AV257" s="137">
        <f>$W257*AA257+$L257*Summary_LCIA!R$32</f>
        <v>3.0590544491057954</v>
      </c>
      <c r="AW257" s="137">
        <f>$W257*AB257+$L257*Summary_LCIA!S$32</f>
        <v>305.21116798659546</v>
      </c>
      <c r="AX257" s="137">
        <f>$W257*AC257+$L257*Summary_LCIA!T$32</f>
        <v>86.486969822563708</v>
      </c>
      <c r="AY257" s="137">
        <f>$W257*AD257+$L257*Summary_LCIA!U$32</f>
        <v>7.3390792247645686</v>
      </c>
      <c r="AZ257" s="137">
        <f>$W257*AE257+$L257*Summary_LCIA!V$32</f>
        <v>2.4141730917697373E-2</v>
      </c>
      <c r="BA257" s="137">
        <f>$W257*AF257+$L257*Summary_LCIA!W$32</f>
        <v>38.269054359351088</v>
      </c>
      <c r="BB257" s="137">
        <f>$W257*AG257+$L257*Summary_LCIA!X$32</f>
        <v>18.436643056385229</v>
      </c>
      <c r="BC257" s="137">
        <f>$W257*AH257+$L257*Summary_LCIA!Y$32</f>
        <v>6.3873644049021578</v>
      </c>
      <c r="BD257" s="137">
        <f>$W257*AI257+$L257*Summary_LCIA!Z$32</f>
        <v>0.19053025626526643</v>
      </c>
      <c r="BE257" s="137">
        <f>$W257*AJ257+$L257*Summary_LCIA!AA$32</f>
        <v>10.06772124855542</v>
      </c>
      <c r="BF257" s="137">
        <f>$W257*AK257+$L257*Summary_LCIA!AB$32</f>
        <v>3.6700951572330498E-2</v>
      </c>
      <c r="BG257" s="137">
        <f>$W257*AL257+$L257*Summary_LCIA!AC$32</f>
        <v>4.1302068289301513E-5</v>
      </c>
      <c r="BH257" s="137">
        <f>$W257*AM257+$L257*Summary_LCIA!AD$32</f>
        <v>0.24255366765641229</v>
      </c>
      <c r="BI257" s="137">
        <f>$W257*AN257+$L257*Summary_LCIA!AE$32</f>
        <v>0.60069761562292301</v>
      </c>
      <c r="BJ257" s="137">
        <f>$W257*AO257+$L257*Summary_LCIA!AF$32</f>
        <v>0.33930523608297347</v>
      </c>
      <c r="BK257" s="137">
        <f>$W257*AP257+$L257*Summary_LCIA!AG$32</f>
        <v>2.3982824062973442E-2</v>
      </c>
      <c r="BL257" s="137">
        <f>$W257*AQ257+$L257*Summary_LCIA!AH$32</f>
        <v>3.9945731179478186</v>
      </c>
      <c r="BM257" s="137">
        <f>$W257*AR257+$L257*Summary_LCIA!AI$32</f>
        <v>0.57645468649641074</v>
      </c>
    </row>
    <row r="258" spans="1:65" x14ac:dyDescent="0.25">
      <c r="A258" s="149">
        <v>214</v>
      </c>
      <c r="B258" s="149">
        <v>6</v>
      </c>
      <c r="C258" s="61">
        <v>35.998092999999997</v>
      </c>
      <c r="D258" s="61">
        <v>-94.089990999999998</v>
      </c>
      <c r="E258" s="61" t="s">
        <v>265</v>
      </c>
      <c r="F258" s="149">
        <v>94</v>
      </c>
      <c r="G258" s="61" t="s">
        <v>565</v>
      </c>
      <c r="H258" s="61" t="s">
        <v>700</v>
      </c>
      <c r="I258" s="61">
        <v>36.278663000000002</v>
      </c>
      <c r="J258" s="61">
        <v>-94.306483</v>
      </c>
      <c r="K258" s="61">
        <v>583.37919480000005</v>
      </c>
      <c r="L258" s="61">
        <v>58.906999999999996</v>
      </c>
      <c r="M258" s="61" t="s">
        <v>617</v>
      </c>
      <c r="N258" s="149">
        <v>5</v>
      </c>
      <c r="O258" s="149">
        <v>6</v>
      </c>
      <c r="P258" s="61" t="s">
        <v>565</v>
      </c>
      <c r="Q258" s="61" t="s">
        <v>564</v>
      </c>
      <c r="R258" s="61">
        <v>41.98028</v>
      </c>
      <c r="S258" s="61">
        <v>-87.908997900000003</v>
      </c>
      <c r="T258" s="61">
        <v>1033.424</v>
      </c>
      <c r="U258" s="61" t="s">
        <v>617</v>
      </c>
      <c r="V258" s="61" t="s">
        <v>569</v>
      </c>
      <c r="W258" s="61" cm="1">
        <f t="array" ref="W258">getDistance(I258,J258,R258,S258)*SA!$B$12</f>
        <v>841.08228791697036</v>
      </c>
      <c r="Y258" s="137">
        <f>Transportation_LCIA!C$61*($W258^Transportation_LCIA!C$60)+Transportation_LCIA!C$62</f>
        <v>0.25483648971312539</v>
      </c>
      <c r="Z258" s="137">
        <f>Transportation_LCIA!D$61*($W258^Transportation_LCIA!D$60)+Transportation_LCIA!D$62</f>
        <v>2.6472723861775869</v>
      </c>
      <c r="AA258" s="137">
        <f>Transportation_LCIA!E$61*($W258^Transportation_LCIA!E$60)+Transportation_LCIA!E$62</f>
        <v>1.2902322112089038E-3</v>
      </c>
      <c r="AB258" s="137">
        <f>Transportation_LCIA!F$61*($W258^Transportation_LCIA!F$60)+Transportation_LCIA!F$62</f>
        <v>0.25483648971312539</v>
      </c>
      <c r="AC258" s="137">
        <f>Transportation_LCIA!G$61*($W258^Transportation_LCIA!G$60)+Transportation_LCIA!G$62</f>
        <v>6.1817770666351725E-2</v>
      </c>
      <c r="AD258" s="137">
        <f>Transportation_LCIA!H$61*($W258^Transportation_LCIA!H$60)+Transportation_LCIA!H$62</f>
        <v>3.0894329660543525E-4</v>
      </c>
      <c r="AE258" s="137">
        <f>Transportation_LCIA!I$61*($W258^Transportation_LCIA!I$60)+Transportation_LCIA!I$62</f>
        <v>6.7320549290728598E-6</v>
      </c>
      <c r="AF258" s="137">
        <f>Transportation_LCIA!J$61*($W258^Transportation_LCIA!J$60)+Transportation_LCIA!J$62</f>
        <v>9.973917442371992E-3</v>
      </c>
      <c r="AG258" s="137">
        <f>Transportation_LCIA!K$61*($W258^Transportation_LCIA!K$60)+Transportation_LCIA!K$62</f>
        <v>1.3256802550257076E-2</v>
      </c>
      <c r="AH258" s="137">
        <f>Transportation_LCIA!L$61*($W258^Transportation_LCIA!L$60)+Transportation_LCIA!L$62</f>
        <v>2.6946356013672829E-4</v>
      </c>
      <c r="AI258" s="137">
        <f>Transportation_LCIA!M$61*($W258^Transportation_LCIA!M$60)+Transportation_LCIA!M$62</f>
        <v>2.6135180851105747E-4</v>
      </c>
      <c r="AJ258" s="137">
        <f>Transportation_LCIA!N$61*($W258^Transportation_LCIA!N$60)+Transportation_LCIA!N$62</f>
        <v>1.0979065814177152E-3</v>
      </c>
      <c r="AK258" s="137">
        <f>Transportation_LCIA!O$61*($W258^Transportation_LCIA!O$60)+Transportation_LCIA!O$62</f>
        <v>6.5353896392131321E-5</v>
      </c>
      <c r="AL258" s="137">
        <f>Transportation_LCIA!P$61*($W258^Transportation_LCIA!P$60)+Transportation_LCIA!P$62</f>
        <v>3.1589636452966191E-8</v>
      </c>
      <c r="AM258" s="137">
        <f>Transportation_LCIA!Q$61*($W258^Transportation_LCIA!Q$60)+Transportation_LCIA!Q$62</f>
        <v>1.0652706733180661E-4</v>
      </c>
      <c r="AN258" s="137">
        <f>Transportation_LCIA!R$61*($W258^Transportation_LCIA!R$60)+Transportation_LCIA!R$62</f>
        <v>3.2366826181379828E-4</v>
      </c>
      <c r="AO258" s="137">
        <f>Transportation_LCIA!S$61*($W258^Transportation_LCIA!S$60)+Transportation_LCIA!S$62</f>
        <v>4.850900823039175E-6</v>
      </c>
      <c r="AP258" s="137">
        <f>Transportation_LCIA!T$61*($W258^Transportation_LCIA!T$60)+Transportation_LCIA!T$62</f>
        <v>4.850900823039175E-6</v>
      </c>
      <c r="AQ258" s="137">
        <f>Transportation_LCIA!U$61*($W258^Transportation_LCIA!U$60)+Transportation_LCIA!U$62</f>
        <v>6.965605332122526E-4</v>
      </c>
      <c r="AR258" s="137">
        <f>Transportation_LCIA!V$61*($W258^Transportation_LCIA!V$60)+Transportation_LCIA!V$62</f>
        <v>2.7706903123845639E-4</v>
      </c>
      <c r="AT258" s="137">
        <f>$W258*Y258+$L258*Summary_LCIA!H$32</f>
        <v>234.35505641264498</v>
      </c>
      <c r="AU258" s="137">
        <f>$W258*Z258+$L258*Summary_LCIA!Q$32</f>
        <v>2518.5199781623933</v>
      </c>
      <c r="AV258" s="137">
        <f>$W258*AA258+$L258*Summary_LCIA!R$32</f>
        <v>1.3953721593477566</v>
      </c>
      <c r="AW258" s="137">
        <f>$W258*AB258+$L258*Summary_LCIA!S$32</f>
        <v>234.09468747264498</v>
      </c>
      <c r="AX258" s="137">
        <f>$W258*AC258+$L258*Summary_LCIA!T$32</f>
        <v>58.467711285981686</v>
      </c>
      <c r="AY258" s="137">
        <f>$W258*AD258+$L258*Summary_LCIA!U$32</f>
        <v>1.3151067327455106</v>
      </c>
      <c r="AZ258" s="137">
        <f>$W258*AE258+$L258*Summary_LCIA!V$32</f>
        <v>8.4756693891273188E-3</v>
      </c>
      <c r="BA258" s="137">
        <f>$W258*AF258+$L258*Summary_LCIA!W$32</f>
        <v>12.923015998925212</v>
      </c>
      <c r="BB258" s="137">
        <f>$W258*AG258+$L258*Summary_LCIA!X$32</f>
        <v>12.491963279433749</v>
      </c>
      <c r="BC258" s="137">
        <f>$W258*AH258+$L258*Summary_LCIA!Y$32</f>
        <v>1.1445299016700514</v>
      </c>
      <c r="BD258" s="137">
        <f>$W258*AI258+$L258*Summary_LCIA!Z$32</f>
        <v>0.22223409421671814</v>
      </c>
      <c r="BE258" s="137">
        <f>$W258*AJ258+$L258*Summary_LCIA!AA$32</f>
        <v>2.299261671417911</v>
      </c>
      <c r="BF258" s="137">
        <f>$W258*AK258+$L258*Summary_LCIA!AB$32</f>
        <v>5.3682477240782449E-2</v>
      </c>
      <c r="BG258" s="137">
        <f>$W258*AL258+$L258*Summary_LCIA!AC$32</f>
        <v>2.9449093490326133E-5</v>
      </c>
      <c r="BH258" s="137">
        <f>$W258*AM258+$L258*Summary_LCIA!AD$32</f>
        <v>0.11381116279652105</v>
      </c>
      <c r="BI258" s="137">
        <f>$W258*AN258+$L258*Summary_LCIA!AE$32</f>
        <v>0.32443090208245845</v>
      </c>
      <c r="BJ258" s="137">
        <f>$W258*AO258+$L258*Summary_LCIA!AF$32</f>
        <v>5.3881162702700103E-2</v>
      </c>
      <c r="BK258" s="137">
        <f>$W258*AP258+$L258*Summary_LCIA!AG$32</f>
        <v>7.0939834177001036E-3</v>
      </c>
      <c r="BL258" s="137">
        <f>$W258*AQ258+$L258*Summary_LCIA!AH$32</f>
        <v>1.0985676921468261</v>
      </c>
      <c r="BM258" s="137">
        <f>$W258*AR258+$L258*Summary_LCIA!AI$32</f>
        <v>0.28791267055497943</v>
      </c>
    </row>
    <row r="259" spans="1:65" x14ac:dyDescent="0.25">
      <c r="A259" s="149">
        <v>215</v>
      </c>
      <c r="B259" s="149">
        <v>6</v>
      </c>
      <c r="C259" s="61">
        <v>35.998092999999997</v>
      </c>
      <c r="D259" s="61">
        <v>-94.089990999999998</v>
      </c>
      <c r="E259" s="61" t="s">
        <v>265</v>
      </c>
      <c r="F259" s="149">
        <v>94</v>
      </c>
      <c r="G259" s="61" t="s">
        <v>565</v>
      </c>
      <c r="H259" s="61" t="s">
        <v>700</v>
      </c>
      <c r="I259" s="61">
        <v>36.278663000000002</v>
      </c>
      <c r="J259" s="61">
        <v>-94.306483</v>
      </c>
      <c r="K259" s="61">
        <v>583.37919480000005</v>
      </c>
      <c r="L259" s="61">
        <v>58.906999999999996</v>
      </c>
      <c r="M259" s="61" t="s">
        <v>617</v>
      </c>
      <c r="N259" s="149">
        <v>5</v>
      </c>
      <c r="O259" s="149">
        <v>6</v>
      </c>
      <c r="P259" s="61" t="s">
        <v>565</v>
      </c>
      <c r="Q259" s="61" t="s">
        <v>564</v>
      </c>
      <c r="R259" s="61">
        <v>41.98028</v>
      </c>
      <c r="S259" s="61">
        <v>-87.908997900000003</v>
      </c>
      <c r="T259" s="61">
        <v>1033.424</v>
      </c>
      <c r="U259" s="61" t="s">
        <v>617</v>
      </c>
      <c r="V259" s="61" t="s">
        <v>569</v>
      </c>
      <c r="W259" s="61" cm="1">
        <f t="array" ref="W259">getDistance(I259,J259,R259,S259)*SA!$B$12</f>
        <v>841.08228791697036</v>
      </c>
      <c r="Y259" s="137">
        <f>Transportation_LCIA!C$61*($W259^Transportation_LCIA!C$60)+Transportation_LCIA!C$62</f>
        <v>0.25483648971312539</v>
      </c>
      <c r="Z259" s="137">
        <f>Transportation_LCIA!D$61*($W259^Transportation_LCIA!D$60)+Transportation_LCIA!D$62</f>
        <v>2.6472723861775869</v>
      </c>
      <c r="AA259" s="137">
        <f>Transportation_LCIA!E$61*($W259^Transportation_LCIA!E$60)+Transportation_LCIA!E$62</f>
        <v>1.2902322112089038E-3</v>
      </c>
      <c r="AB259" s="137">
        <f>Transportation_LCIA!F$61*($W259^Transportation_LCIA!F$60)+Transportation_LCIA!F$62</f>
        <v>0.25483648971312539</v>
      </c>
      <c r="AC259" s="137">
        <f>Transportation_LCIA!G$61*($W259^Transportation_LCIA!G$60)+Transportation_LCIA!G$62</f>
        <v>6.1817770666351725E-2</v>
      </c>
      <c r="AD259" s="137">
        <f>Transportation_LCIA!H$61*($W259^Transportation_LCIA!H$60)+Transportation_LCIA!H$62</f>
        <v>3.0894329660543525E-4</v>
      </c>
      <c r="AE259" s="137">
        <f>Transportation_LCIA!I$61*($W259^Transportation_LCIA!I$60)+Transportation_LCIA!I$62</f>
        <v>6.7320549290728598E-6</v>
      </c>
      <c r="AF259" s="137">
        <f>Transportation_LCIA!J$61*($W259^Transportation_LCIA!J$60)+Transportation_LCIA!J$62</f>
        <v>9.973917442371992E-3</v>
      </c>
      <c r="AG259" s="137">
        <f>Transportation_LCIA!K$61*($W259^Transportation_LCIA!K$60)+Transportation_LCIA!K$62</f>
        <v>1.3256802550257076E-2</v>
      </c>
      <c r="AH259" s="137">
        <f>Transportation_LCIA!L$61*($W259^Transportation_LCIA!L$60)+Transportation_LCIA!L$62</f>
        <v>2.6946356013672829E-4</v>
      </c>
      <c r="AI259" s="137">
        <f>Transportation_LCIA!M$61*($W259^Transportation_LCIA!M$60)+Transportation_LCIA!M$62</f>
        <v>2.6135180851105747E-4</v>
      </c>
      <c r="AJ259" s="137">
        <f>Transportation_LCIA!N$61*($W259^Transportation_LCIA!N$60)+Transportation_LCIA!N$62</f>
        <v>1.0979065814177152E-3</v>
      </c>
      <c r="AK259" s="137">
        <f>Transportation_LCIA!O$61*($W259^Transportation_LCIA!O$60)+Transportation_LCIA!O$62</f>
        <v>6.5353896392131321E-5</v>
      </c>
      <c r="AL259" s="137">
        <f>Transportation_LCIA!P$61*($W259^Transportation_LCIA!P$60)+Transportation_LCIA!P$62</f>
        <v>3.1589636452966191E-8</v>
      </c>
      <c r="AM259" s="137">
        <f>Transportation_LCIA!Q$61*($W259^Transportation_LCIA!Q$60)+Transportation_LCIA!Q$62</f>
        <v>1.0652706733180661E-4</v>
      </c>
      <c r="AN259" s="137">
        <f>Transportation_LCIA!R$61*($W259^Transportation_LCIA!R$60)+Transportation_LCIA!R$62</f>
        <v>3.2366826181379828E-4</v>
      </c>
      <c r="AO259" s="137">
        <f>Transportation_LCIA!S$61*($W259^Transportation_LCIA!S$60)+Transportation_LCIA!S$62</f>
        <v>4.850900823039175E-6</v>
      </c>
      <c r="AP259" s="137">
        <f>Transportation_LCIA!T$61*($W259^Transportation_LCIA!T$60)+Transportation_LCIA!T$62</f>
        <v>4.850900823039175E-6</v>
      </c>
      <c r="AQ259" s="137">
        <f>Transportation_LCIA!U$61*($W259^Transportation_LCIA!U$60)+Transportation_LCIA!U$62</f>
        <v>6.965605332122526E-4</v>
      </c>
      <c r="AR259" s="137">
        <f>Transportation_LCIA!V$61*($W259^Transportation_LCIA!V$60)+Transportation_LCIA!V$62</f>
        <v>2.7706903123845639E-4</v>
      </c>
      <c r="AT259" s="137">
        <f>$W259*Y259+$L259*Summary_LCIA!H$32</f>
        <v>234.35505641264498</v>
      </c>
      <c r="AU259" s="137">
        <f>$W259*Z259+$L259*Summary_LCIA!Q$32</f>
        <v>2518.5199781623933</v>
      </c>
      <c r="AV259" s="137">
        <f>$W259*AA259+$L259*Summary_LCIA!R$32</f>
        <v>1.3953721593477566</v>
      </c>
      <c r="AW259" s="137">
        <f>$W259*AB259+$L259*Summary_LCIA!S$32</f>
        <v>234.09468747264498</v>
      </c>
      <c r="AX259" s="137">
        <f>$W259*AC259+$L259*Summary_LCIA!T$32</f>
        <v>58.467711285981686</v>
      </c>
      <c r="AY259" s="137">
        <f>$W259*AD259+$L259*Summary_LCIA!U$32</f>
        <v>1.3151067327455106</v>
      </c>
      <c r="AZ259" s="137">
        <f>$W259*AE259+$L259*Summary_LCIA!V$32</f>
        <v>8.4756693891273188E-3</v>
      </c>
      <c r="BA259" s="137">
        <f>$W259*AF259+$L259*Summary_LCIA!W$32</f>
        <v>12.923015998925212</v>
      </c>
      <c r="BB259" s="137">
        <f>$W259*AG259+$L259*Summary_LCIA!X$32</f>
        <v>12.491963279433749</v>
      </c>
      <c r="BC259" s="137">
        <f>$W259*AH259+$L259*Summary_LCIA!Y$32</f>
        <v>1.1445299016700514</v>
      </c>
      <c r="BD259" s="137">
        <f>$W259*AI259+$L259*Summary_LCIA!Z$32</f>
        <v>0.22223409421671814</v>
      </c>
      <c r="BE259" s="137">
        <f>$W259*AJ259+$L259*Summary_LCIA!AA$32</f>
        <v>2.299261671417911</v>
      </c>
      <c r="BF259" s="137">
        <f>$W259*AK259+$L259*Summary_LCIA!AB$32</f>
        <v>5.3682477240782449E-2</v>
      </c>
      <c r="BG259" s="137">
        <f>$W259*AL259+$L259*Summary_LCIA!AC$32</f>
        <v>2.9449093490326133E-5</v>
      </c>
      <c r="BH259" s="137">
        <f>$W259*AM259+$L259*Summary_LCIA!AD$32</f>
        <v>0.11381116279652105</v>
      </c>
      <c r="BI259" s="137">
        <f>$W259*AN259+$L259*Summary_LCIA!AE$32</f>
        <v>0.32443090208245845</v>
      </c>
      <c r="BJ259" s="137">
        <f>$W259*AO259+$L259*Summary_LCIA!AF$32</f>
        <v>5.3881162702700103E-2</v>
      </c>
      <c r="BK259" s="137">
        <f>$W259*AP259+$L259*Summary_LCIA!AG$32</f>
        <v>7.0939834177001036E-3</v>
      </c>
      <c r="BL259" s="137">
        <f>$W259*AQ259+$L259*Summary_LCIA!AH$32</f>
        <v>1.0985676921468261</v>
      </c>
      <c r="BM259" s="137">
        <f>$W259*AR259+$L259*Summary_LCIA!AI$32</f>
        <v>0.28791267055497943</v>
      </c>
    </row>
    <row r="260" spans="1:65" x14ac:dyDescent="0.25">
      <c r="A260" s="149">
        <v>216</v>
      </c>
      <c r="B260" s="149">
        <v>6</v>
      </c>
      <c r="C260" s="61">
        <v>35.998092999999997</v>
      </c>
      <c r="D260" s="61">
        <v>-94.089990999999998</v>
      </c>
      <c r="E260" s="61" t="s">
        <v>265</v>
      </c>
      <c r="F260" s="149">
        <v>94</v>
      </c>
      <c r="G260" s="61" t="s">
        <v>565</v>
      </c>
      <c r="H260" s="61" t="s">
        <v>700</v>
      </c>
      <c r="I260" s="61">
        <v>36.278663000000002</v>
      </c>
      <c r="J260" s="61">
        <v>-94.306483</v>
      </c>
      <c r="K260" s="61">
        <v>583.37919480000005</v>
      </c>
      <c r="L260" s="61">
        <v>58.906999999999996</v>
      </c>
      <c r="M260" s="61" t="s">
        <v>617</v>
      </c>
      <c r="N260" s="149">
        <v>5</v>
      </c>
      <c r="O260" s="149">
        <v>6</v>
      </c>
      <c r="P260" s="61" t="s">
        <v>565</v>
      </c>
      <c r="Q260" s="61" t="s">
        <v>564</v>
      </c>
      <c r="R260" s="61">
        <v>41.98028</v>
      </c>
      <c r="S260" s="61">
        <v>-87.908997900000003</v>
      </c>
      <c r="T260" s="61">
        <v>1033.424</v>
      </c>
      <c r="U260" s="61" t="s">
        <v>617</v>
      </c>
      <c r="V260" s="61" t="s">
        <v>569</v>
      </c>
      <c r="W260" s="61" cm="1">
        <f t="array" ref="W260">getDistance(I260,J260,R260,S260)*SA!$B$12</f>
        <v>841.08228791697036</v>
      </c>
      <c r="Y260" s="137">
        <f>Transportation_LCIA!C$61*($W260^Transportation_LCIA!C$60)+Transportation_LCIA!C$62</f>
        <v>0.25483648971312539</v>
      </c>
      <c r="Z260" s="137">
        <f>Transportation_LCIA!D$61*($W260^Transportation_LCIA!D$60)+Transportation_LCIA!D$62</f>
        <v>2.6472723861775869</v>
      </c>
      <c r="AA260" s="137">
        <f>Transportation_LCIA!E$61*($W260^Transportation_LCIA!E$60)+Transportation_LCIA!E$62</f>
        <v>1.2902322112089038E-3</v>
      </c>
      <c r="AB260" s="137">
        <f>Transportation_LCIA!F$61*($W260^Transportation_LCIA!F$60)+Transportation_LCIA!F$62</f>
        <v>0.25483648971312539</v>
      </c>
      <c r="AC260" s="137">
        <f>Transportation_LCIA!G$61*($W260^Transportation_LCIA!G$60)+Transportation_LCIA!G$62</f>
        <v>6.1817770666351725E-2</v>
      </c>
      <c r="AD260" s="137">
        <f>Transportation_LCIA!H$61*($W260^Transportation_LCIA!H$60)+Transportation_LCIA!H$62</f>
        <v>3.0894329660543525E-4</v>
      </c>
      <c r="AE260" s="137">
        <f>Transportation_LCIA!I$61*($W260^Transportation_LCIA!I$60)+Transportation_LCIA!I$62</f>
        <v>6.7320549290728598E-6</v>
      </c>
      <c r="AF260" s="137">
        <f>Transportation_LCIA!J$61*($W260^Transportation_LCIA!J$60)+Transportation_LCIA!J$62</f>
        <v>9.973917442371992E-3</v>
      </c>
      <c r="AG260" s="137">
        <f>Transportation_LCIA!K$61*($W260^Transportation_LCIA!K$60)+Transportation_LCIA!K$62</f>
        <v>1.3256802550257076E-2</v>
      </c>
      <c r="AH260" s="137">
        <f>Transportation_LCIA!L$61*($W260^Transportation_LCIA!L$60)+Transportation_LCIA!L$62</f>
        <v>2.6946356013672829E-4</v>
      </c>
      <c r="AI260" s="137">
        <f>Transportation_LCIA!M$61*($W260^Transportation_LCIA!M$60)+Transportation_LCIA!M$62</f>
        <v>2.6135180851105747E-4</v>
      </c>
      <c r="AJ260" s="137">
        <f>Transportation_LCIA!N$61*($W260^Transportation_LCIA!N$60)+Transportation_LCIA!N$62</f>
        <v>1.0979065814177152E-3</v>
      </c>
      <c r="AK260" s="137">
        <f>Transportation_LCIA!O$61*($W260^Transportation_LCIA!O$60)+Transportation_LCIA!O$62</f>
        <v>6.5353896392131321E-5</v>
      </c>
      <c r="AL260" s="137">
        <f>Transportation_LCIA!P$61*($W260^Transportation_LCIA!P$60)+Transportation_LCIA!P$62</f>
        <v>3.1589636452966191E-8</v>
      </c>
      <c r="AM260" s="137">
        <f>Transportation_LCIA!Q$61*($W260^Transportation_LCIA!Q$60)+Transportation_LCIA!Q$62</f>
        <v>1.0652706733180661E-4</v>
      </c>
      <c r="AN260" s="137">
        <f>Transportation_LCIA!R$61*($W260^Transportation_LCIA!R$60)+Transportation_LCIA!R$62</f>
        <v>3.2366826181379828E-4</v>
      </c>
      <c r="AO260" s="137">
        <f>Transportation_LCIA!S$61*($W260^Transportation_LCIA!S$60)+Transportation_LCIA!S$62</f>
        <v>4.850900823039175E-6</v>
      </c>
      <c r="AP260" s="137">
        <f>Transportation_LCIA!T$61*($W260^Transportation_LCIA!T$60)+Transportation_LCIA!T$62</f>
        <v>4.850900823039175E-6</v>
      </c>
      <c r="AQ260" s="137">
        <f>Transportation_LCIA!U$61*($W260^Transportation_LCIA!U$60)+Transportation_LCIA!U$62</f>
        <v>6.965605332122526E-4</v>
      </c>
      <c r="AR260" s="137">
        <f>Transportation_LCIA!V$61*($W260^Transportation_LCIA!V$60)+Transportation_LCIA!V$62</f>
        <v>2.7706903123845639E-4</v>
      </c>
      <c r="AT260" s="137">
        <f>$W260*Y260+$L260*Summary_LCIA!H$32</f>
        <v>234.35505641264498</v>
      </c>
      <c r="AU260" s="137">
        <f>$W260*Z260+$L260*Summary_LCIA!Q$32</f>
        <v>2518.5199781623933</v>
      </c>
      <c r="AV260" s="137">
        <f>$W260*AA260+$L260*Summary_LCIA!R$32</f>
        <v>1.3953721593477566</v>
      </c>
      <c r="AW260" s="137">
        <f>$W260*AB260+$L260*Summary_LCIA!S$32</f>
        <v>234.09468747264498</v>
      </c>
      <c r="AX260" s="137">
        <f>$W260*AC260+$L260*Summary_LCIA!T$32</f>
        <v>58.467711285981686</v>
      </c>
      <c r="AY260" s="137">
        <f>$W260*AD260+$L260*Summary_LCIA!U$32</f>
        <v>1.3151067327455106</v>
      </c>
      <c r="AZ260" s="137">
        <f>$W260*AE260+$L260*Summary_LCIA!V$32</f>
        <v>8.4756693891273188E-3</v>
      </c>
      <c r="BA260" s="137">
        <f>$W260*AF260+$L260*Summary_LCIA!W$32</f>
        <v>12.923015998925212</v>
      </c>
      <c r="BB260" s="137">
        <f>$W260*AG260+$L260*Summary_LCIA!X$32</f>
        <v>12.491963279433749</v>
      </c>
      <c r="BC260" s="137">
        <f>$W260*AH260+$L260*Summary_LCIA!Y$32</f>
        <v>1.1445299016700514</v>
      </c>
      <c r="BD260" s="137">
        <f>$W260*AI260+$L260*Summary_LCIA!Z$32</f>
        <v>0.22223409421671814</v>
      </c>
      <c r="BE260" s="137">
        <f>$W260*AJ260+$L260*Summary_LCIA!AA$32</f>
        <v>2.299261671417911</v>
      </c>
      <c r="BF260" s="137">
        <f>$W260*AK260+$L260*Summary_LCIA!AB$32</f>
        <v>5.3682477240782449E-2</v>
      </c>
      <c r="BG260" s="137">
        <f>$W260*AL260+$L260*Summary_LCIA!AC$32</f>
        <v>2.9449093490326133E-5</v>
      </c>
      <c r="BH260" s="137">
        <f>$W260*AM260+$L260*Summary_LCIA!AD$32</f>
        <v>0.11381116279652105</v>
      </c>
      <c r="BI260" s="137">
        <f>$W260*AN260+$L260*Summary_LCIA!AE$32</f>
        <v>0.32443090208245845</v>
      </c>
      <c r="BJ260" s="137">
        <f>$W260*AO260+$L260*Summary_LCIA!AF$32</f>
        <v>5.3881162702700103E-2</v>
      </c>
      <c r="BK260" s="137">
        <f>$W260*AP260+$L260*Summary_LCIA!AG$32</f>
        <v>7.0939834177001036E-3</v>
      </c>
      <c r="BL260" s="137">
        <f>$W260*AQ260+$L260*Summary_LCIA!AH$32</f>
        <v>1.0985676921468261</v>
      </c>
      <c r="BM260" s="137">
        <f>$W260*AR260+$L260*Summary_LCIA!AI$32</f>
        <v>0.28791267055497943</v>
      </c>
    </row>
    <row r="261" spans="1:65" x14ac:dyDescent="0.25">
      <c r="A261" s="149">
        <v>41</v>
      </c>
      <c r="B261" s="149">
        <v>6</v>
      </c>
      <c r="C261" s="61">
        <v>35.099532000000004</v>
      </c>
      <c r="D261" s="61">
        <v>-92.440676999999994</v>
      </c>
      <c r="E261" s="61" t="s">
        <v>265</v>
      </c>
      <c r="F261" s="149">
        <v>91</v>
      </c>
      <c r="G261" s="61" t="s">
        <v>565</v>
      </c>
      <c r="H261" s="61" t="s">
        <v>646</v>
      </c>
      <c r="I261" s="61">
        <v>34.904254999999999</v>
      </c>
      <c r="J261" s="61">
        <v>-92.470821999999998</v>
      </c>
      <c r="K261" s="61">
        <v>552.08197859999996</v>
      </c>
      <c r="L261" s="61">
        <v>69.558000000000007</v>
      </c>
      <c r="M261" s="61" t="s">
        <v>617</v>
      </c>
      <c r="N261" s="149">
        <v>5</v>
      </c>
      <c r="O261" s="149">
        <v>6</v>
      </c>
      <c r="P261" s="61" t="s">
        <v>565</v>
      </c>
      <c r="Q261" s="61" t="s">
        <v>564</v>
      </c>
      <c r="R261" s="61">
        <v>41.98028</v>
      </c>
      <c r="S261" s="61">
        <v>-87.908997900000003</v>
      </c>
      <c r="T261" s="61">
        <v>1039.808</v>
      </c>
      <c r="U261" s="61" t="s">
        <v>617</v>
      </c>
      <c r="V261" s="61" t="s">
        <v>569</v>
      </c>
      <c r="W261" s="61" cm="1">
        <f t="array" ref="W261">getDistance(I261,J261,R261,S261)*SA!$B$12</f>
        <v>881.76844828334811</v>
      </c>
      <c r="Y261" s="137">
        <f>Transportation_LCIA!C$61*($W261^Transportation_LCIA!C$60)+Transportation_LCIA!C$62</f>
        <v>0.24928238824697607</v>
      </c>
      <c r="Z261" s="137">
        <f>Transportation_LCIA!D$61*($W261^Transportation_LCIA!D$60)+Transportation_LCIA!D$62</f>
        <v>2.5820463246023846</v>
      </c>
      <c r="AA261" s="137">
        <f>Transportation_LCIA!E$61*($W261^Transportation_LCIA!E$60)+Transportation_LCIA!E$62</f>
        <v>1.2472710258653861E-3</v>
      </c>
      <c r="AB261" s="137">
        <f>Transportation_LCIA!F$61*($W261^Transportation_LCIA!F$60)+Transportation_LCIA!F$62</f>
        <v>0.24928238824697607</v>
      </c>
      <c r="AC261" s="137">
        <f>Transportation_LCIA!G$61*($W261^Transportation_LCIA!G$60)+Transportation_LCIA!G$62</f>
        <v>6.0309270822787774E-2</v>
      </c>
      <c r="AD261" s="137">
        <f>Transportation_LCIA!H$61*($W261^Transportation_LCIA!H$60)+Transportation_LCIA!H$62</f>
        <v>2.9946393440219324E-4</v>
      </c>
      <c r="AE261" s="137">
        <f>Transportation_LCIA!I$61*($W261^Transportation_LCIA!I$60)+Transportation_LCIA!I$62</f>
        <v>6.4920785808823515E-6</v>
      </c>
      <c r="AF261" s="137">
        <f>Transportation_LCIA!J$61*($W261^Transportation_LCIA!J$60)+Transportation_LCIA!J$62</f>
        <v>9.6152121456146433E-3</v>
      </c>
      <c r="AG261" s="137">
        <f>Transportation_LCIA!K$61*($W261^Transportation_LCIA!K$60)+Transportation_LCIA!K$62</f>
        <v>1.2903546660169671E-2</v>
      </c>
      <c r="AH261" s="137">
        <f>Transportation_LCIA!L$61*($W261^Transportation_LCIA!L$60)+Transportation_LCIA!L$62</f>
        <v>2.6073484233971722E-4</v>
      </c>
      <c r="AI261" s="137">
        <f>Transportation_LCIA!M$61*($W261^Transportation_LCIA!M$60)+Transportation_LCIA!M$62</f>
        <v>2.5611923805786527E-4</v>
      </c>
      <c r="AJ261" s="137">
        <f>Transportation_LCIA!N$61*($W261^Transportation_LCIA!N$60)+Transportation_LCIA!N$62</f>
        <v>1.0660496523671992E-3</v>
      </c>
      <c r="AK261" s="137">
        <f>Transportation_LCIA!O$61*($W261^Transportation_LCIA!O$60)+Transportation_LCIA!O$62</f>
        <v>6.3750643740196109E-5</v>
      </c>
      <c r="AL261" s="137">
        <f>Transportation_LCIA!P$61*($W261^Transportation_LCIA!P$60)+Transportation_LCIA!P$62</f>
        <v>3.0819170729281392E-8</v>
      </c>
      <c r="AM261" s="137">
        <f>Transportation_LCIA!Q$61*($W261^Transportation_LCIA!Q$60)+Transportation_LCIA!Q$62</f>
        <v>1.0311118496175203E-4</v>
      </c>
      <c r="AN261" s="137">
        <f>Transportation_LCIA!R$61*($W261^Transportation_LCIA!R$60)+Transportation_LCIA!R$62</f>
        <v>3.1215912043344745E-4</v>
      </c>
      <c r="AO261" s="137">
        <f>Transportation_LCIA!S$61*($W261^Transportation_LCIA!S$60)+Transportation_LCIA!S$62</f>
        <v>4.6876028483773633E-6</v>
      </c>
      <c r="AP261" s="137">
        <f>Transportation_LCIA!T$61*($W261^Transportation_LCIA!T$60)+Transportation_LCIA!T$62</f>
        <v>4.6876028483773633E-6</v>
      </c>
      <c r="AQ261" s="137">
        <f>Transportation_LCIA!U$61*($W261^Transportation_LCIA!U$60)+Transportation_LCIA!U$62</f>
        <v>6.7129382585122725E-4</v>
      </c>
      <c r="AR261" s="137">
        <f>Transportation_LCIA!V$61*($W261^Transportation_LCIA!V$60)+Transportation_LCIA!V$62</f>
        <v>2.6817274724964102E-4</v>
      </c>
      <c r="AT261" s="137">
        <f>$W261*Y261+$L261*Summary_LCIA!H$32</f>
        <v>243.44515306890324</v>
      </c>
      <c r="AU261" s="137">
        <f>$W261*Z261+$L261*Summary_LCIA!Q$32</f>
        <v>2621.4999370589808</v>
      </c>
      <c r="AV261" s="137">
        <f>$W261*AA261+$L261*Summary_LCIA!R$32</f>
        <v>1.4660688418661012</v>
      </c>
      <c r="AW261" s="137">
        <f>$W261*AB261+$L261*Summary_LCIA!S$32</f>
        <v>243.13770670890324</v>
      </c>
      <c r="AX261" s="137">
        <f>$W261*AC261+$L261*Summary_LCIA!T$32</f>
        <v>60.823236350509781</v>
      </c>
      <c r="AY261" s="137">
        <f>$W261*AD261+$L261*Summary_LCIA!U$32</f>
        <v>1.5101198607546484</v>
      </c>
      <c r="AZ261" s="137">
        <f>$W261*AE261+$L261*Summary_LCIA!V$32</f>
        <v>9.046669694398192E-3</v>
      </c>
      <c r="BA261" s="137">
        <f>$W261*AF261+$L261*Summary_LCIA!W$32</f>
        <v>13.832339511553826</v>
      </c>
      <c r="BB261" s="137">
        <f>$W261*AG261+$L261*Summary_LCIA!X$32</f>
        <v>12.962471555889589</v>
      </c>
      <c r="BC261" s="137">
        <f>$W261*AH261+$L261*Summary_LCIA!Y$32</f>
        <v>1.3137605133432961</v>
      </c>
      <c r="BD261" s="137">
        <f>$W261*AI261+$L261*Summary_LCIA!Z$32</f>
        <v>0.22869036713979729</v>
      </c>
      <c r="BE261" s="137">
        <f>$W261*AJ261+$L261*Summary_LCIA!AA$32</f>
        <v>2.564605595760828</v>
      </c>
      <c r="BF261" s="137">
        <f>$W261*AK261+$L261*Summary_LCIA!AB$32</f>
        <v>5.469534197385726E-2</v>
      </c>
      <c r="BG261" s="137">
        <f>$W261*AL261+$L261*Summary_LCIA!AC$32</f>
        <v>3.0575645623338033E-5</v>
      </c>
      <c r="BH261" s="137">
        <f>$W261*AM261+$L261*Summary_LCIA!AD$32</f>
        <v>0.11951130988438138</v>
      </c>
      <c r="BI261" s="137">
        <f>$W261*AN261+$L261*Summary_LCIA!AE$32</f>
        <v>0.33688949378209571</v>
      </c>
      <c r="BJ261" s="137">
        <f>$W261*AO261+$L261*Summary_LCIA!AF$32</f>
        <v>6.2939104649782321E-2</v>
      </c>
      <c r="BK261" s="137">
        <f>$W261*AP261+$L261*Summary_LCIA!AG$32</f>
        <v>7.6923153597823106E-3</v>
      </c>
      <c r="BL261" s="137">
        <f>$W261*AQ261+$L261*Summary_LCIA!AH$32</f>
        <v>1.1973307239630289</v>
      </c>
      <c r="BM261" s="137">
        <f>$W261*AR261+$L261*Summary_LCIA!AI$32</f>
        <v>0.30126302211419848</v>
      </c>
    </row>
    <row r="262" spans="1:65" x14ac:dyDescent="0.25">
      <c r="A262" s="149">
        <v>42</v>
      </c>
      <c r="B262" s="149">
        <v>6</v>
      </c>
      <c r="C262" s="61">
        <v>35.099532000000004</v>
      </c>
      <c r="D262" s="61">
        <v>-92.440676999999994</v>
      </c>
      <c r="E262" s="61" t="s">
        <v>265</v>
      </c>
      <c r="F262" s="149">
        <v>91</v>
      </c>
      <c r="G262" s="61" t="s">
        <v>565</v>
      </c>
      <c r="H262" s="61" t="s">
        <v>646</v>
      </c>
      <c r="I262" s="61">
        <v>34.904254999999999</v>
      </c>
      <c r="J262" s="61">
        <v>-92.470821999999998</v>
      </c>
      <c r="K262" s="61">
        <v>552.08197859999996</v>
      </c>
      <c r="L262" s="61">
        <v>69.558000000000007</v>
      </c>
      <c r="M262" s="61" t="s">
        <v>617</v>
      </c>
      <c r="N262" s="149">
        <v>5</v>
      </c>
      <c r="O262" s="149">
        <v>6</v>
      </c>
      <c r="P262" s="61" t="s">
        <v>565</v>
      </c>
      <c r="Q262" s="61" t="s">
        <v>564</v>
      </c>
      <c r="R262" s="61">
        <v>41.98028</v>
      </c>
      <c r="S262" s="61">
        <v>-87.908997900000003</v>
      </c>
      <c r="T262" s="61">
        <v>1039.808</v>
      </c>
      <c r="U262" s="61" t="s">
        <v>617</v>
      </c>
      <c r="V262" s="61" t="s">
        <v>569</v>
      </c>
      <c r="W262" s="61" cm="1">
        <f t="array" ref="W262">getDistance(I262,J262,R262,S262)*SA!$B$12</f>
        <v>881.76844828334811</v>
      </c>
      <c r="Y262" s="137">
        <f>Transportation_LCIA!C$61*($W262^Transportation_LCIA!C$60)+Transportation_LCIA!C$62</f>
        <v>0.24928238824697607</v>
      </c>
      <c r="Z262" s="137">
        <f>Transportation_LCIA!D$61*($W262^Transportation_LCIA!D$60)+Transportation_LCIA!D$62</f>
        <v>2.5820463246023846</v>
      </c>
      <c r="AA262" s="137">
        <f>Transportation_LCIA!E$61*($W262^Transportation_LCIA!E$60)+Transportation_LCIA!E$62</f>
        <v>1.2472710258653861E-3</v>
      </c>
      <c r="AB262" s="137">
        <f>Transportation_LCIA!F$61*($W262^Transportation_LCIA!F$60)+Transportation_LCIA!F$62</f>
        <v>0.24928238824697607</v>
      </c>
      <c r="AC262" s="137">
        <f>Transportation_LCIA!G$61*($W262^Transportation_LCIA!G$60)+Transportation_LCIA!G$62</f>
        <v>6.0309270822787774E-2</v>
      </c>
      <c r="AD262" s="137">
        <f>Transportation_LCIA!H$61*($W262^Transportation_LCIA!H$60)+Transportation_LCIA!H$62</f>
        <v>2.9946393440219324E-4</v>
      </c>
      <c r="AE262" s="137">
        <f>Transportation_LCIA!I$61*($W262^Transportation_LCIA!I$60)+Transportation_LCIA!I$62</f>
        <v>6.4920785808823515E-6</v>
      </c>
      <c r="AF262" s="137">
        <f>Transportation_LCIA!J$61*($W262^Transportation_LCIA!J$60)+Transportation_LCIA!J$62</f>
        <v>9.6152121456146433E-3</v>
      </c>
      <c r="AG262" s="137">
        <f>Transportation_LCIA!K$61*($W262^Transportation_LCIA!K$60)+Transportation_LCIA!K$62</f>
        <v>1.2903546660169671E-2</v>
      </c>
      <c r="AH262" s="137">
        <f>Transportation_LCIA!L$61*($W262^Transportation_LCIA!L$60)+Transportation_LCIA!L$62</f>
        <v>2.6073484233971722E-4</v>
      </c>
      <c r="AI262" s="137">
        <f>Transportation_LCIA!M$61*($W262^Transportation_LCIA!M$60)+Transportation_LCIA!M$62</f>
        <v>2.5611923805786527E-4</v>
      </c>
      <c r="AJ262" s="137">
        <f>Transportation_LCIA!N$61*($W262^Transportation_LCIA!N$60)+Transportation_LCIA!N$62</f>
        <v>1.0660496523671992E-3</v>
      </c>
      <c r="AK262" s="137">
        <f>Transportation_LCIA!O$61*($W262^Transportation_LCIA!O$60)+Transportation_LCIA!O$62</f>
        <v>6.3750643740196109E-5</v>
      </c>
      <c r="AL262" s="137">
        <f>Transportation_LCIA!P$61*($W262^Transportation_LCIA!P$60)+Transportation_LCIA!P$62</f>
        <v>3.0819170729281392E-8</v>
      </c>
      <c r="AM262" s="137">
        <f>Transportation_LCIA!Q$61*($W262^Transportation_LCIA!Q$60)+Transportation_LCIA!Q$62</f>
        <v>1.0311118496175203E-4</v>
      </c>
      <c r="AN262" s="137">
        <f>Transportation_LCIA!R$61*($W262^Transportation_LCIA!R$60)+Transportation_LCIA!R$62</f>
        <v>3.1215912043344745E-4</v>
      </c>
      <c r="AO262" s="137">
        <f>Transportation_LCIA!S$61*($W262^Transportation_LCIA!S$60)+Transportation_LCIA!S$62</f>
        <v>4.6876028483773633E-6</v>
      </c>
      <c r="AP262" s="137">
        <f>Transportation_LCIA!T$61*($W262^Transportation_LCIA!T$60)+Transportation_LCIA!T$62</f>
        <v>4.6876028483773633E-6</v>
      </c>
      <c r="AQ262" s="137">
        <f>Transportation_LCIA!U$61*($W262^Transportation_LCIA!U$60)+Transportation_LCIA!U$62</f>
        <v>6.7129382585122725E-4</v>
      </c>
      <c r="AR262" s="137">
        <f>Transportation_LCIA!V$61*($W262^Transportation_LCIA!V$60)+Transportation_LCIA!V$62</f>
        <v>2.6817274724964102E-4</v>
      </c>
      <c r="AT262" s="137">
        <f>$W262*Y262+$L262*Summary_LCIA!H$32</f>
        <v>243.44515306890324</v>
      </c>
      <c r="AU262" s="137">
        <f>$W262*Z262+$L262*Summary_LCIA!Q$32</f>
        <v>2621.4999370589808</v>
      </c>
      <c r="AV262" s="137">
        <f>$W262*AA262+$L262*Summary_LCIA!R$32</f>
        <v>1.4660688418661012</v>
      </c>
      <c r="AW262" s="137">
        <f>$W262*AB262+$L262*Summary_LCIA!S$32</f>
        <v>243.13770670890324</v>
      </c>
      <c r="AX262" s="137">
        <f>$W262*AC262+$L262*Summary_LCIA!T$32</f>
        <v>60.823236350509781</v>
      </c>
      <c r="AY262" s="137">
        <f>$W262*AD262+$L262*Summary_LCIA!U$32</f>
        <v>1.5101198607546484</v>
      </c>
      <c r="AZ262" s="137">
        <f>$W262*AE262+$L262*Summary_LCIA!V$32</f>
        <v>9.046669694398192E-3</v>
      </c>
      <c r="BA262" s="137">
        <f>$W262*AF262+$L262*Summary_LCIA!W$32</f>
        <v>13.832339511553826</v>
      </c>
      <c r="BB262" s="137">
        <f>$W262*AG262+$L262*Summary_LCIA!X$32</f>
        <v>12.962471555889589</v>
      </c>
      <c r="BC262" s="137">
        <f>$W262*AH262+$L262*Summary_LCIA!Y$32</f>
        <v>1.3137605133432961</v>
      </c>
      <c r="BD262" s="137">
        <f>$W262*AI262+$L262*Summary_LCIA!Z$32</f>
        <v>0.22869036713979729</v>
      </c>
      <c r="BE262" s="137">
        <f>$W262*AJ262+$L262*Summary_LCIA!AA$32</f>
        <v>2.564605595760828</v>
      </c>
      <c r="BF262" s="137">
        <f>$W262*AK262+$L262*Summary_LCIA!AB$32</f>
        <v>5.469534197385726E-2</v>
      </c>
      <c r="BG262" s="137">
        <f>$W262*AL262+$L262*Summary_LCIA!AC$32</f>
        <v>3.0575645623338033E-5</v>
      </c>
      <c r="BH262" s="137">
        <f>$W262*AM262+$L262*Summary_LCIA!AD$32</f>
        <v>0.11951130988438138</v>
      </c>
      <c r="BI262" s="137">
        <f>$W262*AN262+$L262*Summary_LCIA!AE$32</f>
        <v>0.33688949378209571</v>
      </c>
      <c r="BJ262" s="137">
        <f>$W262*AO262+$L262*Summary_LCIA!AF$32</f>
        <v>6.2939104649782321E-2</v>
      </c>
      <c r="BK262" s="137">
        <f>$W262*AP262+$L262*Summary_LCIA!AG$32</f>
        <v>7.6923153597823106E-3</v>
      </c>
      <c r="BL262" s="137">
        <f>$W262*AQ262+$L262*Summary_LCIA!AH$32</f>
        <v>1.1973307239630289</v>
      </c>
      <c r="BM262" s="137">
        <f>$W262*AR262+$L262*Summary_LCIA!AI$32</f>
        <v>0.30126302211419848</v>
      </c>
    </row>
    <row r="263" spans="1:65" x14ac:dyDescent="0.25">
      <c r="A263" s="149">
        <v>80</v>
      </c>
      <c r="B263" s="149">
        <v>43</v>
      </c>
      <c r="C263" s="61">
        <v>45.948258000000003</v>
      </c>
      <c r="D263" s="61">
        <v>-66.641317999999998</v>
      </c>
      <c r="E263" s="61" t="s">
        <v>460</v>
      </c>
      <c r="F263" s="149">
        <v>141</v>
      </c>
      <c r="G263" s="61" t="s">
        <v>661</v>
      </c>
      <c r="H263" s="61" t="s">
        <v>662</v>
      </c>
      <c r="I263" s="61">
        <v>46.116180999999997</v>
      </c>
      <c r="J263" s="61">
        <v>-64.688446999999996</v>
      </c>
      <c r="K263" s="61">
        <v>162.62382070000001</v>
      </c>
      <c r="L263" s="61">
        <v>184.447</v>
      </c>
      <c r="M263" s="61" t="s">
        <v>617</v>
      </c>
      <c r="N263" s="149">
        <v>42</v>
      </c>
      <c r="O263" s="149">
        <v>43</v>
      </c>
      <c r="P263" s="61" t="s">
        <v>565</v>
      </c>
      <c r="Q263" s="61" t="s">
        <v>555</v>
      </c>
      <c r="R263" s="61">
        <v>40.6895314</v>
      </c>
      <c r="S263" s="61">
        <v>-74.174462399999996</v>
      </c>
      <c r="T263" s="61">
        <v>1042.354</v>
      </c>
      <c r="U263" s="61" t="s">
        <v>617</v>
      </c>
      <c r="V263" s="61" t="s">
        <v>569</v>
      </c>
      <c r="W263" s="61" cm="1">
        <f t="array" ref="W263">getDistance(I263,J263,R263,S263)*SA!$B$12</f>
        <v>976.21921839853326</v>
      </c>
      <c r="Y263" s="137">
        <f>Transportation_LCIA!C$61*($W263^Transportation_LCIA!C$60)+Transportation_LCIA!C$62</f>
        <v>0.23804060106334077</v>
      </c>
      <c r="Z263" s="137">
        <f>Transportation_LCIA!D$61*($W263^Transportation_LCIA!D$60)+Transportation_LCIA!D$62</f>
        <v>2.4504484062130265</v>
      </c>
      <c r="AA263" s="137">
        <f>Transportation_LCIA!E$61*($W263^Transportation_LCIA!E$60)+Transportation_LCIA!E$62</f>
        <v>1.1606720913959455E-3</v>
      </c>
      <c r="AB263" s="137">
        <f>Transportation_LCIA!F$61*($W263^Transportation_LCIA!F$60)+Transportation_LCIA!F$62</f>
        <v>0.23804060106334077</v>
      </c>
      <c r="AC263" s="137">
        <f>Transportation_LCIA!G$61*($W263^Transportation_LCIA!G$60)+Transportation_LCIA!G$62</f>
        <v>5.726520247855086E-2</v>
      </c>
      <c r="AD263" s="137">
        <f>Transportation_LCIA!H$61*($W263^Transportation_LCIA!H$60)+Transportation_LCIA!H$62</f>
        <v>2.8038992352398014E-4</v>
      </c>
      <c r="AE263" s="137">
        <f>Transportation_LCIA!I$61*($W263^Transportation_LCIA!I$60)+Transportation_LCIA!I$62</f>
        <v>6.0105898982720086E-6</v>
      </c>
      <c r="AF263" s="137">
        <f>Transportation_LCIA!J$61*($W263^Transportation_LCIA!J$60)+Transportation_LCIA!J$62</f>
        <v>8.896852176798465E-3</v>
      </c>
      <c r="AG263" s="137">
        <f>Transportation_LCIA!K$61*($W263^Transportation_LCIA!K$60)+Transportation_LCIA!K$62</f>
        <v>1.2191850397092132E-2</v>
      </c>
      <c r="AH263" s="137">
        <f>Transportation_LCIA!L$61*($W263^Transportation_LCIA!L$60)+Transportation_LCIA!L$62</f>
        <v>2.431855860123998E-4</v>
      </c>
      <c r="AI263" s="137">
        <f>Transportation_LCIA!M$61*($W263^Transportation_LCIA!M$60)+Transportation_LCIA!M$62</f>
        <v>2.4559148071851629E-4</v>
      </c>
      <c r="AJ263" s="137">
        <f>Transportation_LCIA!N$61*($W263^Transportation_LCIA!N$60)+Transportation_LCIA!N$62</f>
        <v>1.0019337441737129E-3</v>
      </c>
      <c r="AK263" s="137">
        <f>Transportation_LCIA!O$61*($W263^Transportation_LCIA!O$60)+Transportation_LCIA!O$62</f>
        <v>6.0515654755985323E-5</v>
      </c>
      <c r="AL263" s="137">
        <f>Transportation_LCIA!P$61*($W263^Transportation_LCIA!P$60)+Transportation_LCIA!P$62</f>
        <v>2.9264180015516956E-8</v>
      </c>
      <c r="AM263" s="137">
        <f>Transportation_LCIA!Q$61*($W263^Transportation_LCIA!Q$60)+Transportation_LCIA!Q$62</f>
        <v>9.6246506035158898E-5</v>
      </c>
      <c r="AN263" s="137">
        <f>Transportation_LCIA!R$61*($W263^Transportation_LCIA!R$60)+Transportation_LCIA!R$62</f>
        <v>2.8906877213541162E-4</v>
      </c>
      <c r="AO263" s="137">
        <f>Transportation_LCIA!S$61*($W263^Transportation_LCIA!S$60)+Transportation_LCIA!S$62</f>
        <v>4.3599423404604346E-6</v>
      </c>
      <c r="AP263" s="137">
        <f>Transportation_LCIA!T$61*($W263^Transportation_LCIA!T$60)+Transportation_LCIA!T$62</f>
        <v>4.3599423404604346E-6</v>
      </c>
      <c r="AQ263" s="137">
        <f>Transportation_LCIA!U$61*($W263^Transportation_LCIA!U$60)+Transportation_LCIA!U$62</f>
        <v>6.2062975697497851E-4</v>
      </c>
      <c r="AR263" s="137">
        <f>Transportation_LCIA!V$61*($W263^Transportation_LCIA!V$60)+Transportation_LCIA!V$62</f>
        <v>2.503045929040431E-4</v>
      </c>
      <c r="AT263" s="137">
        <f>$W263*Y263+$L263*Summary_LCIA!H$32</f>
        <v>295.0549001171716</v>
      </c>
      <c r="AU263" s="137">
        <f>$W263*Z263+$L263*Summary_LCIA!Q$32</f>
        <v>3306.3034620547633</v>
      </c>
      <c r="AV263" s="137">
        <f>$W263*AA263+$L263*Summary_LCIA!R$32</f>
        <v>2.1042945250795406</v>
      </c>
      <c r="AW263" s="137">
        <f>$W263*AB263+$L263*Summary_LCIA!S$32</f>
        <v>294.2396443771716</v>
      </c>
      <c r="AX263" s="137">
        <f>$W263*AC263+$L263*Summary_LCIA!T$32</f>
        <v>76.174116505044665</v>
      </c>
      <c r="AY263" s="137">
        <f>$W263*AD263+$L263*Summary_LCIA!U$32</f>
        <v>3.5779055899894043</v>
      </c>
      <c r="AZ263" s="137">
        <f>$W263*AE263+$L263*Summary_LCIA!V$32</f>
        <v>1.4677026539605219E-2</v>
      </c>
      <c r="BA263" s="137">
        <f>$W263*AF263+$L263*Summary_LCIA!W$32</f>
        <v>22.882348115241484</v>
      </c>
      <c r="BB263" s="137">
        <f>$W263*AG263+$L263*Summary_LCIA!X$32</f>
        <v>16.103621325481129</v>
      </c>
      <c r="BC263" s="137">
        <f>$W263*AH263+$L263*Summary_LCIA!Y$32</f>
        <v>3.1114555967028146</v>
      </c>
      <c r="BD263" s="137">
        <f>$W263*AI263+$L263*Summary_LCIA!Z$32</f>
        <v>0.24731511037536844</v>
      </c>
      <c r="BE263" s="137">
        <f>$W263*AJ263+$L263*Summary_LCIA!AA$32</f>
        <v>5.2860511086243775</v>
      </c>
      <c r="BF263" s="137">
        <f>$W263*AK263+$L263*Summary_LCIA!AB$32</f>
        <v>5.5051358305763472E-2</v>
      </c>
      <c r="BG263" s="137">
        <f>$W263*AL263+$L263*Summary_LCIA!AC$32</f>
        <v>3.7584762089821938E-5</v>
      </c>
      <c r="BH263" s="137">
        <f>$W263*AM263+$L263*Summary_LCIA!AD$32</f>
        <v>0.16977278377523253</v>
      </c>
      <c r="BI263" s="137">
        <f>$W263*AN263+$L263*Summary_LCIA!AE$32</f>
        <v>0.44563851090745521</v>
      </c>
      <c r="BJ263" s="137">
        <f>$W263*AO263+$L263*Summary_LCIA!AF$32</f>
        <v>0.16019144224386697</v>
      </c>
      <c r="BK263" s="137">
        <f>$W263*AP263+$L263*Summary_LCIA!AG$32</f>
        <v>1.3693490258866958E-2</v>
      </c>
      <c r="BL263" s="137">
        <f>$W263*AQ263+$L263*Summary_LCIA!AH$32</f>
        <v>2.2112236054689851</v>
      </c>
      <c r="BM263" s="137">
        <f>$W263*AR263+$L263*Summary_LCIA!AI$32</f>
        <v>0.41617375689634806</v>
      </c>
    </row>
    <row r="264" spans="1:65" x14ac:dyDescent="0.25">
      <c r="A264" s="149">
        <v>49</v>
      </c>
      <c r="B264" s="149">
        <v>43</v>
      </c>
      <c r="C264" s="61">
        <v>35.612105</v>
      </c>
      <c r="D264" s="61">
        <v>-82.563284999999993</v>
      </c>
      <c r="E264" s="61" t="s">
        <v>265</v>
      </c>
      <c r="F264" s="149">
        <v>34</v>
      </c>
      <c r="G264" s="61" t="s">
        <v>565</v>
      </c>
      <c r="H264" s="61" t="s">
        <v>633</v>
      </c>
      <c r="I264" s="61">
        <v>35.214402999999997</v>
      </c>
      <c r="J264" s="61">
        <v>-80.947315000000003</v>
      </c>
      <c r="K264" s="61">
        <v>157.0640918</v>
      </c>
      <c r="L264" s="61">
        <v>199.89699999999999</v>
      </c>
      <c r="M264" s="61" t="s">
        <v>617</v>
      </c>
      <c r="N264" s="149">
        <v>42</v>
      </c>
      <c r="O264" s="149">
        <v>43</v>
      </c>
      <c r="P264" s="61" t="s">
        <v>565</v>
      </c>
      <c r="Q264" s="61" t="s">
        <v>555</v>
      </c>
      <c r="R264" s="61">
        <v>40.6895314</v>
      </c>
      <c r="S264" s="61">
        <v>-74.174462399999996</v>
      </c>
      <c r="T264" s="61">
        <v>1091.4839999999999</v>
      </c>
      <c r="U264" s="61" t="s">
        <v>617</v>
      </c>
      <c r="V264" s="61" t="s">
        <v>569</v>
      </c>
      <c r="W264" s="61" cm="1">
        <f t="array" ref="W264">getDistance(I264,J264,R264,S264)*SA!$B$12</f>
        <v>851.05121377634293</v>
      </c>
      <c r="Y264" s="137">
        <f>Transportation_LCIA!C$61*($W264^Transportation_LCIA!C$60)+Transportation_LCIA!C$62</f>
        <v>0.25343049240533111</v>
      </c>
      <c r="Z264" s="137">
        <f>Transportation_LCIA!D$61*($W264^Transportation_LCIA!D$60)+Transportation_LCIA!D$62</f>
        <v>2.6307480783429384</v>
      </c>
      <c r="AA264" s="137">
        <f>Transportation_LCIA!E$61*($W264^Transportation_LCIA!E$60)+Transportation_LCIA!E$62</f>
        <v>1.2793461318450019E-3</v>
      </c>
      <c r="AB264" s="137">
        <f>Transportation_LCIA!F$61*($W264^Transportation_LCIA!F$60)+Transportation_LCIA!F$62</f>
        <v>0.25343049240533111</v>
      </c>
      <c r="AC264" s="137">
        <f>Transportation_LCIA!G$61*($W264^Transportation_LCIA!G$60)+Transportation_LCIA!G$62</f>
        <v>6.1435625769608669E-2</v>
      </c>
      <c r="AD264" s="137">
        <f>Transportation_LCIA!H$61*($W264^Transportation_LCIA!H$60)+Transportation_LCIA!H$62</f>
        <v>3.065402716805851E-4</v>
      </c>
      <c r="AE264" s="137">
        <f>Transportation_LCIA!I$61*($W264^Transportation_LCIA!I$60)+Transportation_LCIA!I$62</f>
        <v>6.6711792632361422E-6</v>
      </c>
      <c r="AF264" s="137">
        <f>Transportation_LCIA!J$61*($W264^Transportation_LCIA!J$60)+Transportation_LCIA!J$62</f>
        <v>9.8828828449766624E-3</v>
      </c>
      <c r="AG264" s="137">
        <f>Transportation_LCIA!K$61*($W264^Transportation_LCIA!K$60)+Transportation_LCIA!K$62</f>
        <v>1.3167278527053671E-2</v>
      </c>
      <c r="AH264" s="137">
        <f>Transportation_LCIA!L$61*($W264^Transportation_LCIA!L$60)+Transportation_LCIA!L$62</f>
        <v>2.6725039435791071E-4</v>
      </c>
      <c r="AI264" s="137">
        <f>Transportation_LCIA!M$61*($W264^Transportation_LCIA!M$60)+Transportation_LCIA!M$62</f>
        <v>2.6002531765647143E-4</v>
      </c>
      <c r="AJ264" s="137">
        <f>Transportation_LCIA!N$61*($W264^Transportation_LCIA!N$60)+Transportation_LCIA!N$62</f>
        <v>1.0898312653906447E-3</v>
      </c>
      <c r="AK264" s="137">
        <f>Transportation_LCIA!O$61*($W264^Transportation_LCIA!O$60)+Transportation_LCIA!O$62</f>
        <v>6.4947739462206474E-5</v>
      </c>
      <c r="AL264" s="137">
        <f>Transportation_LCIA!P$61*($W264^Transportation_LCIA!P$60)+Transportation_LCIA!P$62</f>
        <v>3.139446307580722E-8</v>
      </c>
      <c r="AM264" s="137">
        <f>Transportation_LCIA!Q$61*($W264^Transportation_LCIA!Q$60)+Transportation_LCIA!Q$62</f>
        <v>1.0566088004157003E-4</v>
      </c>
      <c r="AN264" s="137">
        <f>Transportation_LCIA!R$61*($W264^Transportation_LCIA!R$60)+Transportation_LCIA!R$62</f>
        <v>3.2074864831290064E-4</v>
      </c>
      <c r="AO264" s="137">
        <f>Transportation_LCIA!S$61*($W264^Transportation_LCIA!S$60)+Transportation_LCIA!S$62</f>
        <v>4.8094770187755473E-6</v>
      </c>
      <c r="AP264" s="137">
        <f>Transportation_LCIA!T$61*($W264^Transportation_LCIA!T$60)+Transportation_LCIA!T$62</f>
        <v>4.8094770187755473E-6</v>
      </c>
      <c r="AQ264" s="137">
        <f>Transportation_LCIA!U$61*($W264^Transportation_LCIA!U$60)+Transportation_LCIA!U$62</f>
        <v>6.9015010201870343E-4</v>
      </c>
      <c r="AR264" s="137">
        <f>Transportation_LCIA!V$61*($W264^Transportation_LCIA!V$60)+Transportation_LCIA!V$62</f>
        <v>2.7481283900177808E-4</v>
      </c>
      <c r="AT264" s="137">
        <f>$W264*Y264+$L264*Summary_LCIA!H$32</f>
        <v>283.60732876949328</v>
      </c>
      <c r="AU264" s="137">
        <f>$W264*Z264+$L264*Summary_LCIA!Q$32</f>
        <v>3229.6009586189402</v>
      </c>
      <c r="AV264" s="137">
        <f>$W264*AA264+$L264*Summary_LCIA!R$32</f>
        <v>2.141366721546758</v>
      </c>
      <c r="AW264" s="137">
        <f>$W264*AB264+$L264*Summary_LCIA!S$32</f>
        <v>282.72378402949329</v>
      </c>
      <c r="AX264" s="137">
        <f>$W264*AC264+$L264*Summary_LCIA!T$32</f>
        <v>74.253544180334629</v>
      </c>
      <c r="AY264" s="137">
        <f>$W264*AD264+$L264*Summary_LCIA!U$32</f>
        <v>3.8418363282850914</v>
      </c>
      <c r="AZ264" s="137">
        <f>$W264*AE264+$L264*Summary_LCIA!V$32</f>
        <v>1.5224795826296687E-2</v>
      </c>
      <c r="BA264" s="137">
        <f>$W264*AF264+$L264*Summary_LCIA!W$32</f>
        <v>23.797111427826785</v>
      </c>
      <c r="BB264" s="137">
        <f>$W264*AG264+$L264*Summary_LCIA!X$32</f>
        <v>15.759682032580203</v>
      </c>
      <c r="BC264" s="137">
        <f>$W264*AH264+$L264*Summary_LCIA!Y$32</f>
        <v>3.3422388265005063</v>
      </c>
      <c r="BD264" s="137">
        <f>$W264*AI264+$L264*Summary_LCIA!Z$32</f>
        <v>0.22949243827711915</v>
      </c>
      <c r="BE264" s="137">
        <f>$W264*AJ264+$L264*Summary_LCIA!AA$32</f>
        <v>5.5962965532221149</v>
      </c>
      <c r="BF264" s="137">
        <f>$W264*AK264+$L264*Summary_LCIA!AB$32</f>
        <v>5.0911500270340512E-2</v>
      </c>
      <c r="BG264" s="137">
        <f>$W264*AL264+$L264*Summary_LCIA!AC$32</f>
        <v>3.6490060854522313E-5</v>
      </c>
      <c r="BH264" s="137">
        <f>$W264*AM264+$L264*Summary_LCIA!AD$32</f>
        <v>0.17208848308805474</v>
      </c>
      <c r="BI264" s="137">
        <f>$W264*AN264+$L264*Summary_LCIA!AE$32</f>
        <v>0.45010825507381547</v>
      </c>
      <c r="BJ264" s="137">
        <f>$W264*AO264+$L264*Summary_LCIA!AF$32</f>
        <v>0.17309003299445835</v>
      </c>
      <c r="BK264" s="137">
        <f>$W264*AP264+$L264*Summary_LCIA!AG$32</f>
        <v>1.4320841259458357E-2</v>
      </c>
      <c r="BL264" s="137">
        <f>$W264*AQ264+$L264*Summary_LCIA!AH$32</f>
        <v>2.3271766112108843</v>
      </c>
      <c r="BM264" s="137">
        <f>$W264*AR264+$L264*Summary_LCIA!AI$32</f>
        <v>0.42009385054378595</v>
      </c>
    </row>
    <row r="265" spans="1:65" x14ac:dyDescent="0.25">
      <c r="A265" s="149">
        <v>97</v>
      </c>
      <c r="B265" s="149">
        <v>43</v>
      </c>
      <c r="C265" s="61">
        <v>34.814366999999997</v>
      </c>
      <c r="D265" s="61">
        <v>-82.327129999999997</v>
      </c>
      <c r="E265" s="61" t="s">
        <v>265</v>
      </c>
      <c r="F265" s="149">
        <v>34</v>
      </c>
      <c r="G265" s="61" t="s">
        <v>565</v>
      </c>
      <c r="H265" s="61" t="s">
        <v>633</v>
      </c>
      <c r="I265" s="61">
        <v>35.214402999999997</v>
      </c>
      <c r="J265" s="61">
        <v>-80.947315000000003</v>
      </c>
      <c r="K265" s="61">
        <v>145.6865875</v>
      </c>
      <c r="L265" s="61">
        <v>156.35</v>
      </c>
      <c r="M265" s="61" t="s">
        <v>617</v>
      </c>
      <c r="N265" s="149">
        <v>42</v>
      </c>
      <c r="O265" s="149">
        <v>43</v>
      </c>
      <c r="P265" s="61" t="s">
        <v>565</v>
      </c>
      <c r="Q265" s="61" t="s">
        <v>555</v>
      </c>
      <c r="R265" s="61">
        <v>40.6895314</v>
      </c>
      <c r="S265" s="61">
        <v>-74.174462399999996</v>
      </c>
      <c r="T265" s="61">
        <v>1136.614</v>
      </c>
      <c r="U265" s="61" t="s">
        <v>617</v>
      </c>
      <c r="V265" s="61" t="s">
        <v>569</v>
      </c>
      <c r="W265" s="61" cm="1">
        <f t="array" ref="W265">getDistance(I265,J265,R265,S265)*SA!$B$12</f>
        <v>851.05121377634293</v>
      </c>
      <c r="Y265" s="137">
        <f>Transportation_LCIA!C$61*($W265^Transportation_LCIA!C$60)+Transportation_LCIA!C$62</f>
        <v>0.25343049240533111</v>
      </c>
      <c r="Z265" s="137">
        <f>Transportation_LCIA!D$61*($W265^Transportation_LCIA!D$60)+Transportation_LCIA!D$62</f>
        <v>2.6307480783429384</v>
      </c>
      <c r="AA265" s="137">
        <f>Transportation_LCIA!E$61*($W265^Transportation_LCIA!E$60)+Transportation_LCIA!E$62</f>
        <v>1.2793461318450019E-3</v>
      </c>
      <c r="AB265" s="137">
        <f>Transportation_LCIA!F$61*($W265^Transportation_LCIA!F$60)+Transportation_LCIA!F$62</f>
        <v>0.25343049240533111</v>
      </c>
      <c r="AC265" s="137">
        <f>Transportation_LCIA!G$61*($W265^Transportation_LCIA!G$60)+Transportation_LCIA!G$62</f>
        <v>6.1435625769608669E-2</v>
      </c>
      <c r="AD265" s="137">
        <f>Transportation_LCIA!H$61*($W265^Transportation_LCIA!H$60)+Transportation_LCIA!H$62</f>
        <v>3.065402716805851E-4</v>
      </c>
      <c r="AE265" s="137">
        <f>Transportation_LCIA!I$61*($W265^Transportation_LCIA!I$60)+Transportation_LCIA!I$62</f>
        <v>6.6711792632361422E-6</v>
      </c>
      <c r="AF265" s="137">
        <f>Transportation_LCIA!J$61*($W265^Transportation_LCIA!J$60)+Transportation_LCIA!J$62</f>
        <v>9.8828828449766624E-3</v>
      </c>
      <c r="AG265" s="137">
        <f>Transportation_LCIA!K$61*($W265^Transportation_LCIA!K$60)+Transportation_LCIA!K$62</f>
        <v>1.3167278527053671E-2</v>
      </c>
      <c r="AH265" s="137">
        <f>Transportation_LCIA!L$61*($W265^Transportation_LCIA!L$60)+Transportation_LCIA!L$62</f>
        <v>2.6725039435791071E-4</v>
      </c>
      <c r="AI265" s="137">
        <f>Transportation_LCIA!M$61*($W265^Transportation_LCIA!M$60)+Transportation_LCIA!M$62</f>
        <v>2.6002531765647143E-4</v>
      </c>
      <c r="AJ265" s="137">
        <f>Transportation_LCIA!N$61*($W265^Transportation_LCIA!N$60)+Transportation_LCIA!N$62</f>
        <v>1.0898312653906447E-3</v>
      </c>
      <c r="AK265" s="137">
        <f>Transportation_LCIA!O$61*($W265^Transportation_LCIA!O$60)+Transportation_LCIA!O$62</f>
        <v>6.4947739462206474E-5</v>
      </c>
      <c r="AL265" s="137">
        <f>Transportation_LCIA!P$61*($W265^Transportation_LCIA!P$60)+Transportation_LCIA!P$62</f>
        <v>3.139446307580722E-8</v>
      </c>
      <c r="AM265" s="137">
        <f>Transportation_LCIA!Q$61*($W265^Transportation_LCIA!Q$60)+Transportation_LCIA!Q$62</f>
        <v>1.0566088004157003E-4</v>
      </c>
      <c r="AN265" s="137">
        <f>Transportation_LCIA!R$61*($W265^Transportation_LCIA!R$60)+Transportation_LCIA!R$62</f>
        <v>3.2074864831290064E-4</v>
      </c>
      <c r="AO265" s="137">
        <f>Transportation_LCIA!S$61*($W265^Transportation_LCIA!S$60)+Transportation_LCIA!S$62</f>
        <v>4.8094770187755473E-6</v>
      </c>
      <c r="AP265" s="137">
        <f>Transportation_LCIA!T$61*($W265^Transportation_LCIA!T$60)+Transportation_LCIA!T$62</f>
        <v>4.8094770187755473E-6</v>
      </c>
      <c r="AQ265" s="137">
        <f>Transportation_LCIA!U$61*($W265^Transportation_LCIA!U$60)+Transportation_LCIA!U$62</f>
        <v>6.9015010201870343E-4</v>
      </c>
      <c r="AR265" s="137">
        <f>Transportation_LCIA!V$61*($W265^Transportation_LCIA!V$60)+Transportation_LCIA!V$62</f>
        <v>2.7481283900177808E-4</v>
      </c>
      <c r="AT265" s="137">
        <f>$W265*Y265+$L265*Summary_LCIA!H$32</f>
        <v>268.81005816949329</v>
      </c>
      <c r="AU265" s="137">
        <f>$W265*Z265+$L265*Summary_LCIA!Q$32</f>
        <v>3013.7798304130893</v>
      </c>
      <c r="AV265" s="137">
        <f>$W265*AA265+$L265*Summary_LCIA!R$32</f>
        <v>1.9120656383467582</v>
      </c>
      <c r="AW265" s="137">
        <f>$W265*AB265+$L265*Summary_LCIA!S$32</f>
        <v>268.11899116949331</v>
      </c>
      <c r="AX265" s="137">
        <f>$W265*AC265+$L265*Summary_LCIA!T$32</f>
        <v>69.467728880334633</v>
      </c>
      <c r="AY265" s="137">
        <f>$W265*AD265+$L265*Summary_LCIA!U$32</f>
        <v>3.0617353702850916</v>
      </c>
      <c r="AZ265" s="137">
        <f>$W265*AE265+$L265*Summary_LCIA!V$32</f>
        <v>1.3144947559296688E-2</v>
      </c>
      <c r="BA265" s="137">
        <f>$W265*AF265+$L265*Summary_LCIA!W$32</f>
        <v>20.445255290826786</v>
      </c>
      <c r="BB265" s="137">
        <f>$W265*AG265+$L265*Summary_LCIA!X$32</f>
        <v>14.767681372580203</v>
      </c>
      <c r="BC265" s="137">
        <f>$W265*AH265+$L265*Summary_LCIA!Y$32</f>
        <v>2.6636894725005065</v>
      </c>
      <c r="BD265" s="137">
        <f>$W265*AI265+$L265*Summary_LCIA!Z$32</f>
        <v>0.22770661935411915</v>
      </c>
      <c r="BE265" s="137">
        <f>$W265*AJ265+$L265*Summary_LCIA!AA$32</f>
        <v>4.5792128212221153</v>
      </c>
      <c r="BF265" s="137">
        <f>$W265*AK265+$L265*Summary_LCIA!AB$32</f>
        <v>5.1861826451340506E-2</v>
      </c>
      <c r="BG265" s="137">
        <f>$W265*AL265+$L265*Summary_LCIA!AC$32</f>
        <v>3.4361309306522315E-5</v>
      </c>
      <c r="BH265" s="137">
        <f>$W265*AM265+$L265*Summary_LCIA!AD$32</f>
        <v>0.15418892420805475</v>
      </c>
      <c r="BI265" s="137">
        <f>$W265*AN265+$L265*Summary_LCIA!AE$32</f>
        <v>0.41151995196381541</v>
      </c>
      <c r="BJ265" s="137">
        <f>$W265*AO265+$L265*Summary_LCIA!AF$32</f>
        <v>0.13627452825445835</v>
      </c>
      <c r="BK265" s="137">
        <f>$W265*AP265+$L265*Summary_LCIA!AG$32</f>
        <v>1.2092759004458357E-2</v>
      </c>
      <c r="BL265" s="137">
        <f>$W265*AQ265+$L265*Summary_LCIA!AH$32</f>
        <v>1.9481609420108845</v>
      </c>
      <c r="BM265" s="137">
        <f>$W265*AR265+$L265*Summary_LCIA!AI$32</f>
        <v>0.37952764269378592</v>
      </c>
    </row>
    <row r="266" spans="1:65" x14ac:dyDescent="0.25">
      <c r="A266" s="149">
        <v>63</v>
      </c>
      <c r="B266" s="149">
        <v>29</v>
      </c>
      <c r="C266" s="61">
        <v>51.075544999999998</v>
      </c>
      <c r="D266" s="61">
        <v>-114.12975400000001</v>
      </c>
      <c r="E266" s="61" t="s">
        <v>462</v>
      </c>
      <c r="F266" s="149">
        <v>125</v>
      </c>
      <c r="G266" s="61" t="s">
        <v>656</v>
      </c>
      <c r="H266" s="61" t="s">
        <v>657</v>
      </c>
      <c r="I266" s="61">
        <v>51.121502999999997</v>
      </c>
      <c r="J266" s="61">
        <v>-114.007616</v>
      </c>
      <c r="K266" s="61">
        <v>10.47008467</v>
      </c>
      <c r="L266" s="61">
        <v>15.291</v>
      </c>
      <c r="M266" s="61" t="s">
        <v>617</v>
      </c>
      <c r="N266" s="149">
        <v>28</v>
      </c>
      <c r="O266" s="149">
        <v>29</v>
      </c>
      <c r="P266" s="61" t="s">
        <v>565</v>
      </c>
      <c r="Q266" s="61" t="s">
        <v>559</v>
      </c>
      <c r="R266" s="61">
        <v>47.450249900000003</v>
      </c>
      <c r="S266" s="61">
        <v>-122.30881650000001</v>
      </c>
      <c r="T266" s="61">
        <v>1138.5450000000001</v>
      </c>
      <c r="U266" s="61" t="s">
        <v>617</v>
      </c>
      <c r="V266" s="61" t="s">
        <v>569</v>
      </c>
      <c r="W266" s="61" cm="1">
        <f t="array" ref="W266">getDistance(I266,J266,R266,S266)*SA!$B$12</f>
        <v>728.64359849106268</v>
      </c>
      <c r="Y266" s="137">
        <f>Transportation_LCIA!C$61*($W266^Transportation_LCIA!C$60)+Transportation_LCIA!C$62</f>
        <v>0.2731236986367126</v>
      </c>
      <c r="Z266" s="137">
        <f>Transportation_LCIA!D$61*($W266^Transportation_LCIA!D$60)+Transportation_LCIA!D$62</f>
        <v>2.8629364723129571</v>
      </c>
      <c r="AA266" s="137">
        <f>Transportation_LCIA!E$61*($W266^Transportation_LCIA!E$60)+Transportation_LCIA!E$62</f>
        <v>1.4324472391760977E-3</v>
      </c>
      <c r="AB266" s="137">
        <f>Transportation_LCIA!F$61*($W266^Transportation_LCIA!F$60)+Transportation_LCIA!F$62</f>
        <v>0.2731236986367126</v>
      </c>
      <c r="AC266" s="137">
        <f>Transportation_LCIA!G$61*($W266^Transportation_LCIA!G$60)+Transportation_LCIA!G$62</f>
        <v>6.6804267943327042E-2</v>
      </c>
      <c r="AD266" s="137">
        <f>Transportation_LCIA!H$61*($W266^Transportation_LCIA!H$60)+Transportation_LCIA!H$62</f>
        <v>3.4039623073025302E-4</v>
      </c>
      <c r="AE266" s="137">
        <f>Transportation_LCIA!I$61*($W266^Transportation_LCIA!I$60)+Transportation_LCIA!I$62</f>
        <v>7.5313047486579253E-6</v>
      </c>
      <c r="AF266" s="137">
        <f>Transportation_LCIA!J$61*($W266^Transportation_LCIA!J$60)+Transportation_LCIA!J$62</f>
        <v>1.1171536460231862E-2</v>
      </c>
      <c r="AG266" s="137">
        <f>Transportation_LCIA!K$61*($W266^Transportation_LCIA!K$60)+Transportation_LCIA!K$62</f>
        <v>1.4427005322781314E-2</v>
      </c>
      <c r="AH266" s="137">
        <f>Transportation_LCIA!L$61*($W266^Transportation_LCIA!L$60)+Transportation_LCIA!L$62</f>
        <v>2.9845682610086144E-4</v>
      </c>
      <c r="AI266" s="137">
        <f>Transportation_LCIA!M$61*($W266^Transportation_LCIA!M$60)+Transportation_LCIA!M$62</f>
        <v>2.7871591009555731E-4</v>
      </c>
      <c r="AJ266" s="137">
        <f>Transportation_LCIA!N$61*($W266^Transportation_LCIA!N$60)+Transportation_LCIA!N$62</f>
        <v>1.2035776980627529E-3</v>
      </c>
      <c r="AK266" s="137">
        <f>Transportation_LCIA!O$61*($W266^Transportation_LCIA!O$60)+Transportation_LCIA!O$62</f>
        <v>7.0654220111155368E-5</v>
      </c>
      <c r="AL266" s="137">
        <f>Transportation_LCIA!P$61*($W266^Transportation_LCIA!P$60)+Transportation_LCIA!P$62</f>
        <v>3.4135986584869326E-8</v>
      </c>
      <c r="AM266" s="137">
        <f>Transportation_LCIA!Q$61*($W266^Transportation_LCIA!Q$60)+Transportation_LCIA!Q$62</f>
        <v>1.1787978430654126E-4</v>
      </c>
      <c r="AN266" s="137">
        <f>Transportation_LCIA!R$61*($W266^Transportation_LCIA!R$60)+Transportation_LCIA!R$62</f>
        <v>3.620033512007317E-4</v>
      </c>
      <c r="AO266" s="137">
        <f>Transportation_LCIA!S$61*($W266^Transportation_LCIA!S$60)+Transportation_LCIA!S$62</f>
        <v>5.3947284428738964E-6</v>
      </c>
      <c r="AP266" s="137">
        <f>Transportation_LCIA!T$61*($W266^Transportation_LCIA!T$60)+Transportation_LCIA!T$62</f>
        <v>5.3947284428738964E-6</v>
      </c>
      <c r="AQ266" s="137">
        <f>Transportation_LCIA!U$61*($W266^Transportation_LCIA!U$60)+Transportation_LCIA!U$62</f>
        <v>7.807798829957284E-4</v>
      </c>
      <c r="AR266" s="137">
        <f>Transportation_LCIA!V$61*($W266^Transportation_LCIA!V$60)+Transportation_LCIA!V$62</f>
        <v>3.0665789662484431E-4</v>
      </c>
      <c r="AT266" s="137">
        <f>$W266*Y266+$L266*Summary_LCIA!H$32</f>
        <v>204.2057164078428</v>
      </c>
      <c r="AU266" s="137">
        <f>$W266*Z266+$L266*Summary_LCIA!Q$32</f>
        <v>2161.8433006084247</v>
      </c>
      <c r="AV266" s="137">
        <f>$W266*AA266+$L266*Summary_LCIA!R$32</f>
        <v>1.1242598006018598</v>
      </c>
      <c r="AW266" s="137">
        <f>$W266*AB266+$L266*Summary_LCIA!S$32</f>
        <v>204.13813018784282</v>
      </c>
      <c r="AX266" s="137">
        <f>$W266*AC266+$L266*Summary_LCIA!T$32</f>
        <v>50.356983088786954</v>
      </c>
      <c r="AY266" s="137">
        <f>$W266*AD266+$L266*Summary_LCIA!U$32</f>
        <v>0.52195050847208557</v>
      </c>
      <c r="AZ266" s="137">
        <f>$W266*AE266+$L266*Summary_LCIA!V$32</f>
        <v>6.2179504443949391E-3</v>
      </c>
      <c r="BA266" s="137">
        <f>$W266*AF266+$L266*Summary_LCIA!W$32</f>
        <v>9.3170320880574522</v>
      </c>
      <c r="BB266" s="137">
        <f>$W266*AG266+$L266*Summary_LCIA!X$32</f>
        <v>10.860474053841092</v>
      </c>
      <c r="BC266" s="137">
        <f>$W266*AH266+$L266*Summary_LCIA!Y$32</f>
        <v>0.45573301776435304</v>
      </c>
      <c r="BD266" s="137">
        <f>$W266*AI266+$L266*Summary_LCIA!Z$32</f>
        <v>0.20371163230773839</v>
      </c>
      <c r="BE266" s="137">
        <f>$W266*AJ266+$L266*Summary_LCIA!AA$32</f>
        <v>1.234115780980034</v>
      </c>
      <c r="BF266" s="137">
        <f>$W266*AK266+$L266*Summary_LCIA!AB$32</f>
        <v>5.1148049697371863E-2</v>
      </c>
      <c r="BG266" s="137">
        <f>$W266*AL266+$L266*Summary_LCIA!AC$32</f>
        <v>2.5620453347241825E-5</v>
      </c>
      <c r="BH266" s="137">
        <f>$W266*AM266+$L266*Summary_LCIA!AD$32</f>
        <v>9.2177562866468513E-2</v>
      </c>
      <c r="BI266" s="137">
        <f>$W266*AN266+$L266*Summary_LCIA!AE$32</f>
        <v>0.2773212383147251</v>
      </c>
      <c r="BJ266" s="137">
        <f>$W266*AO266+$L266*Summary_LCIA!AF$32</f>
        <v>1.6858151565497727E-2</v>
      </c>
      <c r="BK266" s="137">
        <f>$W266*AP266+$L266*Summary_LCIA!AG$32</f>
        <v>4.7131983604977237E-3</v>
      </c>
      <c r="BL266" s="137">
        <f>$W266*AQ266+$L266*Summary_LCIA!AH$32</f>
        <v>0.70199701117543833</v>
      </c>
      <c r="BM266" s="137">
        <f>$W266*AR266+$L266*Summary_LCIA!AI$32</f>
        <v>0.23768864435242687</v>
      </c>
    </row>
    <row r="267" spans="1:65" x14ac:dyDescent="0.25">
      <c r="A267" s="149">
        <v>64</v>
      </c>
      <c r="B267" s="149">
        <v>29</v>
      </c>
      <c r="C267" s="61">
        <v>51.075544999999998</v>
      </c>
      <c r="D267" s="61">
        <v>-114.12975400000001</v>
      </c>
      <c r="E267" s="61" t="s">
        <v>462</v>
      </c>
      <c r="F267" s="149">
        <v>125</v>
      </c>
      <c r="G267" s="61" t="s">
        <v>656</v>
      </c>
      <c r="H267" s="61" t="s">
        <v>657</v>
      </c>
      <c r="I267" s="61">
        <v>51.121502999999997</v>
      </c>
      <c r="J267" s="61">
        <v>-114.007616</v>
      </c>
      <c r="K267" s="61">
        <v>10.47008467</v>
      </c>
      <c r="L267" s="61">
        <v>15.291</v>
      </c>
      <c r="M267" s="61" t="s">
        <v>617</v>
      </c>
      <c r="N267" s="149">
        <v>28</v>
      </c>
      <c r="O267" s="149">
        <v>29</v>
      </c>
      <c r="P267" s="61" t="s">
        <v>565</v>
      </c>
      <c r="Q267" s="61" t="s">
        <v>559</v>
      </c>
      <c r="R267" s="61">
        <v>47.450249900000003</v>
      </c>
      <c r="S267" s="61">
        <v>-122.30881650000001</v>
      </c>
      <c r="T267" s="61">
        <v>1138.5450000000001</v>
      </c>
      <c r="U267" s="61" t="s">
        <v>617</v>
      </c>
      <c r="V267" s="61" t="s">
        <v>569</v>
      </c>
      <c r="W267" s="61" cm="1">
        <f t="array" ref="W267">getDistance(I267,J267,R267,S267)*SA!$B$12</f>
        <v>728.64359849106268</v>
      </c>
      <c r="Y267" s="137">
        <f>Transportation_LCIA!C$61*($W267^Transportation_LCIA!C$60)+Transportation_LCIA!C$62</f>
        <v>0.2731236986367126</v>
      </c>
      <c r="Z267" s="137">
        <f>Transportation_LCIA!D$61*($W267^Transportation_LCIA!D$60)+Transportation_LCIA!D$62</f>
        <v>2.8629364723129571</v>
      </c>
      <c r="AA267" s="137">
        <f>Transportation_LCIA!E$61*($W267^Transportation_LCIA!E$60)+Transportation_LCIA!E$62</f>
        <v>1.4324472391760977E-3</v>
      </c>
      <c r="AB267" s="137">
        <f>Transportation_LCIA!F$61*($W267^Transportation_LCIA!F$60)+Transportation_LCIA!F$62</f>
        <v>0.2731236986367126</v>
      </c>
      <c r="AC267" s="137">
        <f>Transportation_LCIA!G$61*($W267^Transportation_LCIA!G$60)+Transportation_LCIA!G$62</f>
        <v>6.6804267943327042E-2</v>
      </c>
      <c r="AD267" s="137">
        <f>Transportation_LCIA!H$61*($W267^Transportation_LCIA!H$60)+Transportation_LCIA!H$62</f>
        <v>3.4039623073025302E-4</v>
      </c>
      <c r="AE267" s="137">
        <f>Transportation_LCIA!I$61*($W267^Transportation_LCIA!I$60)+Transportation_LCIA!I$62</f>
        <v>7.5313047486579253E-6</v>
      </c>
      <c r="AF267" s="137">
        <f>Transportation_LCIA!J$61*($W267^Transportation_LCIA!J$60)+Transportation_LCIA!J$62</f>
        <v>1.1171536460231862E-2</v>
      </c>
      <c r="AG267" s="137">
        <f>Transportation_LCIA!K$61*($W267^Transportation_LCIA!K$60)+Transportation_LCIA!K$62</f>
        <v>1.4427005322781314E-2</v>
      </c>
      <c r="AH267" s="137">
        <f>Transportation_LCIA!L$61*($W267^Transportation_LCIA!L$60)+Transportation_LCIA!L$62</f>
        <v>2.9845682610086144E-4</v>
      </c>
      <c r="AI267" s="137">
        <f>Transportation_LCIA!M$61*($W267^Transportation_LCIA!M$60)+Transportation_LCIA!M$62</f>
        <v>2.7871591009555731E-4</v>
      </c>
      <c r="AJ267" s="137">
        <f>Transportation_LCIA!N$61*($W267^Transportation_LCIA!N$60)+Transportation_LCIA!N$62</f>
        <v>1.2035776980627529E-3</v>
      </c>
      <c r="AK267" s="137">
        <f>Transportation_LCIA!O$61*($W267^Transportation_LCIA!O$60)+Transportation_LCIA!O$62</f>
        <v>7.0654220111155368E-5</v>
      </c>
      <c r="AL267" s="137">
        <f>Transportation_LCIA!P$61*($W267^Transportation_LCIA!P$60)+Transportation_LCIA!P$62</f>
        <v>3.4135986584869326E-8</v>
      </c>
      <c r="AM267" s="137">
        <f>Transportation_LCIA!Q$61*($W267^Transportation_LCIA!Q$60)+Transportation_LCIA!Q$62</f>
        <v>1.1787978430654126E-4</v>
      </c>
      <c r="AN267" s="137">
        <f>Transportation_LCIA!R$61*($W267^Transportation_LCIA!R$60)+Transportation_LCIA!R$62</f>
        <v>3.620033512007317E-4</v>
      </c>
      <c r="AO267" s="137">
        <f>Transportation_LCIA!S$61*($W267^Transportation_LCIA!S$60)+Transportation_LCIA!S$62</f>
        <v>5.3947284428738964E-6</v>
      </c>
      <c r="AP267" s="137">
        <f>Transportation_LCIA!T$61*($W267^Transportation_LCIA!T$60)+Transportation_LCIA!T$62</f>
        <v>5.3947284428738964E-6</v>
      </c>
      <c r="AQ267" s="137">
        <f>Transportation_LCIA!U$61*($W267^Transportation_LCIA!U$60)+Transportation_LCIA!U$62</f>
        <v>7.807798829957284E-4</v>
      </c>
      <c r="AR267" s="137">
        <f>Transportation_LCIA!V$61*($W267^Transportation_LCIA!V$60)+Transportation_LCIA!V$62</f>
        <v>3.0665789662484431E-4</v>
      </c>
      <c r="AT267" s="137">
        <f>$W267*Y267+$L267*Summary_LCIA!H$32</f>
        <v>204.2057164078428</v>
      </c>
      <c r="AU267" s="137">
        <f>$W267*Z267+$L267*Summary_LCIA!Q$32</f>
        <v>2161.8433006084247</v>
      </c>
      <c r="AV267" s="137">
        <f>$W267*AA267+$L267*Summary_LCIA!R$32</f>
        <v>1.1242598006018598</v>
      </c>
      <c r="AW267" s="137">
        <f>$W267*AB267+$L267*Summary_LCIA!S$32</f>
        <v>204.13813018784282</v>
      </c>
      <c r="AX267" s="137">
        <f>$W267*AC267+$L267*Summary_LCIA!T$32</f>
        <v>50.356983088786954</v>
      </c>
      <c r="AY267" s="137">
        <f>$W267*AD267+$L267*Summary_LCIA!U$32</f>
        <v>0.52195050847208557</v>
      </c>
      <c r="AZ267" s="137">
        <f>$W267*AE267+$L267*Summary_LCIA!V$32</f>
        <v>6.2179504443949391E-3</v>
      </c>
      <c r="BA267" s="137">
        <f>$W267*AF267+$L267*Summary_LCIA!W$32</f>
        <v>9.3170320880574522</v>
      </c>
      <c r="BB267" s="137">
        <f>$W267*AG267+$L267*Summary_LCIA!X$32</f>
        <v>10.860474053841092</v>
      </c>
      <c r="BC267" s="137">
        <f>$W267*AH267+$L267*Summary_LCIA!Y$32</f>
        <v>0.45573301776435304</v>
      </c>
      <c r="BD267" s="137">
        <f>$W267*AI267+$L267*Summary_LCIA!Z$32</f>
        <v>0.20371163230773839</v>
      </c>
      <c r="BE267" s="137">
        <f>$W267*AJ267+$L267*Summary_LCIA!AA$32</f>
        <v>1.234115780980034</v>
      </c>
      <c r="BF267" s="137">
        <f>$W267*AK267+$L267*Summary_LCIA!AB$32</f>
        <v>5.1148049697371863E-2</v>
      </c>
      <c r="BG267" s="137">
        <f>$W267*AL267+$L267*Summary_LCIA!AC$32</f>
        <v>2.5620453347241825E-5</v>
      </c>
      <c r="BH267" s="137">
        <f>$W267*AM267+$L267*Summary_LCIA!AD$32</f>
        <v>9.2177562866468513E-2</v>
      </c>
      <c r="BI267" s="137">
        <f>$W267*AN267+$L267*Summary_LCIA!AE$32</f>
        <v>0.2773212383147251</v>
      </c>
      <c r="BJ267" s="137">
        <f>$W267*AO267+$L267*Summary_LCIA!AF$32</f>
        <v>1.6858151565497727E-2</v>
      </c>
      <c r="BK267" s="137">
        <f>$W267*AP267+$L267*Summary_LCIA!AG$32</f>
        <v>4.7131983604977237E-3</v>
      </c>
      <c r="BL267" s="137">
        <f>$W267*AQ267+$L267*Summary_LCIA!AH$32</f>
        <v>0.70199701117543833</v>
      </c>
      <c r="BM267" s="137">
        <f>$W267*AR267+$L267*Summary_LCIA!AI$32</f>
        <v>0.23768864435242687</v>
      </c>
    </row>
    <row r="268" spans="1:65" x14ac:dyDescent="0.25">
      <c r="A268" s="149">
        <v>65</v>
      </c>
      <c r="B268" s="149">
        <v>29</v>
      </c>
      <c r="C268" s="61">
        <v>51.075544999999998</v>
      </c>
      <c r="D268" s="61">
        <v>-114.12975400000001</v>
      </c>
      <c r="E268" s="61" t="s">
        <v>462</v>
      </c>
      <c r="F268" s="149">
        <v>125</v>
      </c>
      <c r="G268" s="61" t="s">
        <v>656</v>
      </c>
      <c r="H268" s="61" t="s">
        <v>657</v>
      </c>
      <c r="I268" s="61">
        <v>51.121502999999997</v>
      </c>
      <c r="J268" s="61">
        <v>-114.007616</v>
      </c>
      <c r="K268" s="61">
        <v>10.47008467</v>
      </c>
      <c r="L268" s="61">
        <v>15.291</v>
      </c>
      <c r="M268" s="61" t="s">
        <v>617</v>
      </c>
      <c r="N268" s="149">
        <v>28</v>
      </c>
      <c r="O268" s="149">
        <v>29</v>
      </c>
      <c r="P268" s="61" t="s">
        <v>565</v>
      </c>
      <c r="Q268" s="61" t="s">
        <v>559</v>
      </c>
      <c r="R268" s="61">
        <v>47.450249900000003</v>
      </c>
      <c r="S268" s="61">
        <v>-122.30881650000001</v>
      </c>
      <c r="T268" s="61">
        <v>1138.5450000000001</v>
      </c>
      <c r="U268" s="61" t="s">
        <v>617</v>
      </c>
      <c r="V268" s="61" t="s">
        <v>569</v>
      </c>
      <c r="W268" s="61" cm="1">
        <f t="array" ref="W268">getDistance(I268,J268,R268,S268)*SA!$B$12</f>
        <v>728.64359849106268</v>
      </c>
      <c r="Y268" s="137">
        <f>Transportation_LCIA!C$61*($W268^Transportation_LCIA!C$60)+Transportation_LCIA!C$62</f>
        <v>0.2731236986367126</v>
      </c>
      <c r="Z268" s="137">
        <f>Transportation_LCIA!D$61*($W268^Transportation_LCIA!D$60)+Transportation_LCIA!D$62</f>
        <v>2.8629364723129571</v>
      </c>
      <c r="AA268" s="137">
        <f>Transportation_LCIA!E$61*($W268^Transportation_LCIA!E$60)+Transportation_LCIA!E$62</f>
        <v>1.4324472391760977E-3</v>
      </c>
      <c r="AB268" s="137">
        <f>Transportation_LCIA!F$61*($W268^Transportation_LCIA!F$60)+Transportation_LCIA!F$62</f>
        <v>0.2731236986367126</v>
      </c>
      <c r="AC268" s="137">
        <f>Transportation_LCIA!G$61*($W268^Transportation_LCIA!G$60)+Transportation_LCIA!G$62</f>
        <v>6.6804267943327042E-2</v>
      </c>
      <c r="AD268" s="137">
        <f>Transportation_LCIA!H$61*($W268^Transportation_LCIA!H$60)+Transportation_LCIA!H$62</f>
        <v>3.4039623073025302E-4</v>
      </c>
      <c r="AE268" s="137">
        <f>Transportation_LCIA!I$61*($W268^Transportation_LCIA!I$60)+Transportation_LCIA!I$62</f>
        <v>7.5313047486579253E-6</v>
      </c>
      <c r="AF268" s="137">
        <f>Transportation_LCIA!J$61*($W268^Transportation_LCIA!J$60)+Transportation_LCIA!J$62</f>
        <v>1.1171536460231862E-2</v>
      </c>
      <c r="AG268" s="137">
        <f>Transportation_LCIA!K$61*($W268^Transportation_LCIA!K$60)+Transportation_LCIA!K$62</f>
        <v>1.4427005322781314E-2</v>
      </c>
      <c r="AH268" s="137">
        <f>Transportation_LCIA!L$61*($W268^Transportation_LCIA!L$60)+Transportation_LCIA!L$62</f>
        <v>2.9845682610086144E-4</v>
      </c>
      <c r="AI268" s="137">
        <f>Transportation_LCIA!M$61*($W268^Transportation_LCIA!M$60)+Transportation_LCIA!M$62</f>
        <v>2.7871591009555731E-4</v>
      </c>
      <c r="AJ268" s="137">
        <f>Transportation_LCIA!N$61*($W268^Transportation_LCIA!N$60)+Transportation_LCIA!N$62</f>
        <v>1.2035776980627529E-3</v>
      </c>
      <c r="AK268" s="137">
        <f>Transportation_LCIA!O$61*($W268^Transportation_LCIA!O$60)+Transportation_LCIA!O$62</f>
        <v>7.0654220111155368E-5</v>
      </c>
      <c r="AL268" s="137">
        <f>Transportation_LCIA!P$61*($W268^Transportation_LCIA!P$60)+Transportation_LCIA!P$62</f>
        <v>3.4135986584869326E-8</v>
      </c>
      <c r="AM268" s="137">
        <f>Transportation_LCIA!Q$61*($W268^Transportation_LCIA!Q$60)+Transportation_LCIA!Q$62</f>
        <v>1.1787978430654126E-4</v>
      </c>
      <c r="AN268" s="137">
        <f>Transportation_LCIA!R$61*($W268^Transportation_LCIA!R$60)+Transportation_LCIA!R$62</f>
        <v>3.620033512007317E-4</v>
      </c>
      <c r="AO268" s="137">
        <f>Transportation_LCIA!S$61*($W268^Transportation_LCIA!S$60)+Transportation_LCIA!S$62</f>
        <v>5.3947284428738964E-6</v>
      </c>
      <c r="AP268" s="137">
        <f>Transportation_LCIA!T$61*($W268^Transportation_LCIA!T$60)+Transportation_LCIA!T$62</f>
        <v>5.3947284428738964E-6</v>
      </c>
      <c r="AQ268" s="137">
        <f>Transportation_LCIA!U$61*($W268^Transportation_LCIA!U$60)+Transportation_LCIA!U$62</f>
        <v>7.807798829957284E-4</v>
      </c>
      <c r="AR268" s="137">
        <f>Transportation_LCIA!V$61*($W268^Transportation_LCIA!V$60)+Transportation_LCIA!V$62</f>
        <v>3.0665789662484431E-4</v>
      </c>
      <c r="AT268" s="137">
        <f>$W268*Y268+$L268*Summary_LCIA!H$32</f>
        <v>204.2057164078428</v>
      </c>
      <c r="AU268" s="137">
        <f>$W268*Z268+$L268*Summary_LCIA!Q$32</f>
        <v>2161.8433006084247</v>
      </c>
      <c r="AV268" s="137">
        <f>$W268*AA268+$L268*Summary_LCIA!R$32</f>
        <v>1.1242598006018598</v>
      </c>
      <c r="AW268" s="137">
        <f>$W268*AB268+$L268*Summary_LCIA!S$32</f>
        <v>204.13813018784282</v>
      </c>
      <c r="AX268" s="137">
        <f>$W268*AC268+$L268*Summary_LCIA!T$32</f>
        <v>50.356983088786954</v>
      </c>
      <c r="AY268" s="137">
        <f>$W268*AD268+$L268*Summary_LCIA!U$32</f>
        <v>0.52195050847208557</v>
      </c>
      <c r="AZ268" s="137">
        <f>$W268*AE268+$L268*Summary_LCIA!V$32</f>
        <v>6.2179504443949391E-3</v>
      </c>
      <c r="BA268" s="137">
        <f>$W268*AF268+$L268*Summary_LCIA!W$32</f>
        <v>9.3170320880574522</v>
      </c>
      <c r="BB268" s="137">
        <f>$W268*AG268+$L268*Summary_LCIA!X$32</f>
        <v>10.860474053841092</v>
      </c>
      <c r="BC268" s="137">
        <f>$W268*AH268+$L268*Summary_LCIA!Y$32</f>
        <v>0.45573301776435304</v>
      </c>
      <c r="BD268" s="137">
        <f>$W268*AI268+$L268*Summary_LCIA!Z$32</f>
        <v>0.20371163230773839</v>
      </c>
      <c r="BE268" s="137">
        <f>$W268*AJ268+$L268*Summary_LCIA!AA$32</f>
        <v>1.234115780980034</v>
      </c>
      <c r="BF268" s="137">
        <f>$W268*AK268+$L268*Summary_LCIA!AB$32</f>
        <v>5.1148049697371863E-2</v>
      </c>
      <c r="BG268" s="137">
        <f>$W268*AL268+$L268*Summary_LCIA!AC$32</f>
        <v>2.5620453347241825E-5</v>
      </c>
      <c r="BH268" s="137">
        <f>$W268*AM268+$L268*Summary_LCIA!AD$32</f>
        <v>9.2177562866468513E-2</v>
      </c>
      <c r="BI268" s="137">
        <f>$W268*AN268+$L268*Summary_LCIA!AE$32</f>
        <v>0.2773212383147251</v>
      </c>
      <c r="BJ268" s="137">
        <f>$W268*AO268+$L268*Summary_LCIA!AF$32</f>
        <v>1.6858151565497727E-2</v>
      </c>
      <c r="BK268" s="137">
        <f>$W268*AP268+$L268*Summary_LCIA!AG$32</f>
        <v>4.7131983604977237E-3</v>
      </c>
      <c r="BL268" s="137">
        <f>$W268*AQ268+$L268*Summary_LCIA!AH$32</f>
        <v>0.70199701117543833</v>
      </c>
      <c r="BM268" s="137">
        <f>$W268*AR268+$L268*Summary_LCIA!AI$32</f>
        <v>0.23768864435242687</v>
      </c>
    </row>
    <row r="269" spans="1:65" x14ac:dyDescent="0.25">
      <c r="A269" s="149">
        <v>66</v>
      </c>
      <c r="B269" s="149">
        <v>29</v>
      </c>
      <c r="C269" s="61">
        <v>51.075544999999998</v>
      </c>
      <c r="D269" s="61">
        <v>-114.12975400000001</v>
      </c>
      <c r="E269" s="61" t="s">
        <v>462</v>
      </c>
      <c r="F269" s="149">
        <v>125</v>
      </c>
      <c r="G269" s="61" t="s">
        <v>656</v>
      </c>
      <c r="H269" s="61" t="s">
        <v>657</v>
      </c>
      <c r="I269" s="61">
        <v>51.121502999999997</v>
      </c>
      <c r="J269" s="61">
        <v>-114.007616</v>
      </c>
      <c r="K269" s="61">
        <v>10.47008467</v>
      </c>
      <c r="L269" s="61">
        <v>15.291</v>
      </c>
      <c r="M269" s="61" t="s">
        <v>617</v>
      </c>
      <c r="N269" s="149">
        <v>28</v>
      </c>
      <c r="O269" s="149">
        <v>29</v>
      </c>
      <c r="P269" s="61" t="s">
        <v>565</v>
      </c>
      <c r="Q269" s="61" t="s">
        <v>559</v>
      </c>
      <c r="R269" s="61">
        <v>47.450249900000003</v>
      </c>
      <c r="S269" s="61">
        <v>-122.30881650000001</v>
      </c>
      <c r="T269" s="61">
        <v>1138.5450000000001</v>
      </c>
      <c r="U269" s="61" t="s">
        <v>617</v>
      </c>
      <c r="V269" s="61" t="s">
        <v>569</v>
      </c>
      <c r="W269" s="61" cm="1">
        <f t="array" ref="W269">getDistance(I269,J269,R269,S269)*SA!$B$12</f>
        <v>728.64359849106268</v>
      </c>
      <c r="Y269" s="137">
        <f>Transportation_LCIA!C$61*($W269^Transportation_LCIA!C$60)+Transportation_LCIA!C$62</f>
        <v>0.2731236986367126</v>
      </c>
      <c r="Z269" s="137">
        <f>Transportation_LCIA!D$61*($W269^Transportation_LCIA!D$60)+Transportation_LCIA!D$62</f>
        <v>2.8629364723129571</v>
      </c>
      <c r="AA269" s="137">
        <f>Transportation_LCIA!E$61*($W269^Transportation_LCIA!E$60)+Transportation_LCIA!E$62</f>
        <v>1.4324472391760977E-3</v>
      </c>
      <c r="AB269" s="137">
        <f>Transportation_LCIA!F$61*($W269^Transportation_LCIA!F$60)+Transportation_LCIA!F$62</f>
        <v>0.2731236986367126</v>
      </c>
      <c r="AC269" s="137">
        <f>Transportation_LCIA!G$61*($W269^Transportation_LCIA!G$60)+Transportation_LCIA!G$62</f>
        <v>6.6804267943327042E-2</v>
      </c>
      <c r="AD269" s="137">
        <f>Transportation_LCIA!H$61*($W269^Transportation_LCIA!H$60)+Transportation_LCIA!H$62</f>
        <v>3.4039623073025302E-4</v>
      </c>
      <c r="AE269" s="137">
        <f>Transportation_LCIA!I$61*($W269^Transportation_LCIA!I$60)+Transportation_LCIA!I$62</f>
        <v>7.5313047486579253E-6</v>
      </c>
      <c r="AF269" s="137">
        <f>Transportation_LCIA!J$61*($W269^Transportation_LCIA!J$60)+Transportation_LCIA!J$62</f>
        <v>1.1171536460231862E-2</v>
      </c>
      <c r="AG269" s="137">
        <f>Transportation_LCIA!K$61*($W269^Transportation_LCIA!K$60)+Transportation_LCIA!K$62</f>
        <v>1.4427005322781314E-2</v>
      </c>
      <c r="AH269" s="137">
        <f>Transportation_LCIA!L$61*($W269^Transportation_LCIA!L$60)+Transportation_LCIA!L$62</f>
        <v>2.9845682610086144E-4</v>
      </c>
      <c r="AI269" s="137">
        <f>Transportation_LCIA!M$61*($W269^Transportation_LCIA!M$60)+Transportation_LCIA!M$62</f>
        <v>2.7871591009555731E-4</v>
      </c>
      <c r="AJ269" s="137">
        <f>Transportation_LCIA!N$61*($W269^Transportation_LCIA!N$60)+Transportation_LCIA!N$62</f>
        <v>1.2035776980627529E-3</v>
      </c>
      <c r="AK269" s="137">
        <f>Transportation_LCIA!O$61*($W269^Transportation_LCIA!O$60)+Transportation_LCIA!O$62</f>
        <v>7.0654220111155368E-5</v>
      </c>
      <c r="AL269" s="137">
        <f>Transportation_LCIA!P$61*($W269^Transportation_LCIA!P$60)+Transportation_LCIA!P$62</f>
        <v>3.4135986584869326E-8</v>
      </c>
      <c r="AM269" s="137">
        <f>Transportation_LCIA!Q$61*($W269^Transportation_LCIA!Q$60)+Transportation_LCIA!Q$62</f>
        <v>1.1787978430654126E-4</v>
      </c>
      <c r="AN269" s="137">
        <f>Transportation_LCIA!R$61*($W269^Transportation_LCIA!R$60)+Transportation_LCIA!R$62</f>
        <v>3.620033512007317E-4</v>
      </c>
      <c r="AO269" s="137">
        <f>Transportation_LCIA!S$61*($W269^Transportation_LCIA!S$60)+Transportation_LCIA!S$62</f>
        <v>5.3947284428738964E-6</v>
      </c>
      <c r="AP269" s="137">
        <f>Transportation_LCIA!T$61*($W269^Transportation_LCIA!T$60)+Transportation_LCIA!T$62</f>
        <v>5.3947284428738964E-6</v>
      </c>
      <c r="AQ269" s="137">
        <f>Transportation_LCIA!U$61*($W269^Transportation_LCIA!U$60)+Transportation_LCIA!U$62</f>
        <v>7.807798829957284E-4</v>
      </c>
      <c r="AR269" s="137">
        <f>Transportation_LCIA!V$61*($W269^Transportation_LCIA!V$60)+Transportation_LCIA!V$62</f>
        <v>3.0665789662484431E-4</v>
      </c>
      <c r="AT269" s="137">
        <f>$W269*Y269+$L269*Summary_LCIA!H$32</f>
        <v>204.2057164078428</v>
      </c>
      <c r="AU269" s="137">
        <f>$W269*Z269+$L269*Summary_LCIA!Q$32</f>
        <v>2161.8433006084247</v>
      </c>
      <c r="AV269" s="137">
        <f>$W269*AA269+$L269*Summary_LCIA!R$32</f>
        <v>1.1242598006018598</v>
      </c>
      <c r="AW269" s="137">
        <f>$W269*AB269+$L269*Summary_LCIA!S$32</f>
        <v>204.13813018784282</v>
      </c>
      <c r="AX269" s="137">
        <f>$W269*AC269+$L269*Summary_LCIA!T$32</f>
        <v>50.356983088786954</v>
      </c>
      <c r="AY269" s="137">
        <f>$W269*AD269+$L269*Summary_LCIA!U$32</f>
        <v>0.52195050847208557</v>
      </c>
      <c r="AZ269" s="137">
        <f>$W269*AE269+$L269*Summary_LCIA!V$32</f>
        <v>6.2179504443949391E-3</v>
      </c>
      <c r="BA269" s="137">
        <f>$W269*AF269+$L269*Summary_LCIA!W$32</f>
        <v>9.3170320880574522</v>
      </c>
      <c r="BB269" s="137">
        <f>$W269*AG269+$L269*Summary_LCIA!X$32</f>
        <v>10.860474053841092</v>
      </c>
      <c r="BC269" s="137">
        <f>$W269*AH269+$L269*Summary_LCIA!Y$32</f>
        <v>0.45573301776435304</v>
      </c>
      <c r="BD269" s="137">
        <f>$W269*AI269+$L269*Summary_LCIA!Z$32</f>
        <v>0.20371163230773839</v>
      </c>
      <c r="BE269" s="137">
        <f>$W269*AJ269+$L269*Summary_LCIA!AA$32</f>
        <v>1.234115780980034</v>
      </c>
      <c r="BF269" s="137">
        <f>$W269*AK269+$L269*Summary_LCIA!AB$32</f>
        <v>5.1148049697371863E-2</v>
      </c>
      <c r="BG269" s="137">
        <f>$W269*AL269+$L269*Summary_LCIA!AC$32</f>
        <v>2.5620453347241825E-5</v>
      </c>
      <c r="BH269" s="137">
        <f>$W269*AM269+$L269*Summary_LCIA!AD$32</f>
        <v>9.2177562866468513E-2</v>
      </c>
      <c r="BI269" s="137">
        <f>$W269*AN269+$L269*Summary_LCIA!AE$32</f>
        <v>0.2773212383147251</v>
      </c>
      <c r="BJ269" s="137">
        <f>$W269*AO269+$L269*Summary_LCIA!AF$32</f>
        <v>1.6858151565497727E-2</v>
      </c>
      <c r="BK269" s="137">
        <f>$W269*AP269+$L269*Summary_LCIA!AG$32</f>
        <v>4.7131983604977237E-3</v>
      </c>
      <c r="BL269" s="137">
        <f>$W269*AQ269+$L269*Summary_LCIA!AH$32</f>
        <v>0.70199701117543833</v>
      </c>
      <c r="BM269" s="137">
        <f>$W269*AR269+$L269*Summary_LCIA!AI$32</f>
        <v>0.23768864435242687</v>
      </c>
    </row>
    <row r="270" spans="1:65" x14ac:dyDescent="0.25">
      <c r="A270" s="149">
        <v>67</v>
      </c>
      <c r="B270" s="149">
        <v>29</v>
      </c>
      <c r="C270" s="61">
        <v>51.075544999999998</v>
      </c>
      <c r="D270" s="61">
        <v>-114.12975400000001</v>
      </c>
      <c r="E270" s="61" t="s">
        <v>462</v>
      </c>
      <c r="F270" s="149">
        <v>125</v>
      </c>
      <c r="G270" s="61" t="s">
        <v>656</v>
      </c>
      <c r="H270" s="61" t="s">
        <v>657</v>
      </c>
      <c r="I270" s="61">
        <v>51.121502999999997</v>
      </c>
      <c r="J270" s="61">
        <v>-114.007616</v>
      </c>
      <c r="K270" s="61">
        <v>10.47008467</v>
      </c>
      <c r="L270" s="61">
        <v>15.291</v>
      </c>
      <c r="M270" s="61" t="s">
        <v>617</v>
      </c>
      <c r="N270" s="149">
        <v>28</v>
      </c>
      <c r="O270" s="149">
        <v>29</v>
      </c>
      <c r="P270" s="61" t="s">
        <v>565</v>
      </c>
      <c r="Q270" s="61" t="s">
        <v>559</v>
      </c>
      <c r="R270" s="61">
        <v>47.450249900000003</v>
      </c>
      <c r="S270" s="61">
        <v>-122.30881650000001</v>
      </c>
      <c r="T270" s="61">
        <v>1138.5450000000001</v>
      </c>
      <c r="U270" s="61" t="s">
        <v>617</v>
      </c>
      <c r="V270" s="61" t="s">
        <v>569</v>
      </c>
      <c r="W270" s="61" cm="1">
        <f t="array" ref="W270">getDistance(I270,J270,R270,S270)*SA!$B$12</f>
        <v>728.64359849106268</v>
      </c>
      <c r="Y270" s="137">
        <f>Transportation_LCIA!C$61*($W270^Transportation_LCIA!C$60)+Transportation_LCIA!C$62</f>
        <v>0.2731236986367126</v>
      </c>
      <c r="Z270" s="137">
        <f>Transportation_LCIA!D$61*($W270^Transportation_LCIA!D$60)+Transportation_LCIA!D$62</f>
        <v>2.8629364723129571</v>
      </c>
      <c r="AA270" s="137">
        <f>Transportation_LCIA!E$61*($W270^Transportation_LCIA!E$60)+Transportation_LCIA!E$62</f>
        <v>1.4324472391760977E-3</v>
      </c>
      <c r="AB270" s="137">
        <f>Transportation_LCIA!F$61*($W270^Transportation_LCIA!F$60)+Transportation_LCIA!F$62</f>
        <v>0.2731236986367126</v>
      </c>
      <c r="AC270" s="137">
        <f>Transportation_LCIA!G$61*($W270^Transportation_LCIA!G$60)+Transportation_LCIA!G$62</f>
        <v>6.6804267943327042E-2</v>
      </c>
      <c r="AD270" s="137">
        <f>Transportation_LCIA!H$61*($W270^Transportation_LCIA!H$60)+Transportation_LCIA!H$62</f>
        <v>3.4039623073025302E-4</v>
      </c>
      <c r="AE270" s="137">
        <f>Transportation_LCIA!I$61*($W270^Transportation_LCIA!I$60)+Transportation_LCIA!I$62</f>
        <v>7.5313047486579253E-6</v>
      </c>
      <c r="AF270" s="137">
        <f>Transportation_LCIA!J$61*($W270^Transportation_LCIA!J$60)+Transportation_LCIA!J$62</f>
        <v>1.1171536460231862E-2</v>
      </c>
      <c r="AG270" s="137">
        <f>Transportation_LCIA!K$61*($W270^Transportation_LCIA!K$60)+Transportation_LCIA!K$62</f>
        <v>1.4427005322781314E-2</v>
      </c>
      <c r="AH270" s="137">
        <f>Transportation_LCIA!L$61*($W270^Transportation_LCIA!L$60)+Transportation_LCIA!L$62</f>
        <v>2.9845682610086144E-4</v>
      </c>
      <c r="AI270" s="137">
        <f>Transportation_LCIA!M$61*($W270^Transportation_LCIA!M$60)+Transportation_LCIA!M$62</f>
        <v>2.7871591009555731E-4</v>
      </c>
      <c r="AJ270" s="137">
        <f>Transportation_LCIA!N$61*($W270^Transportation_LCIA!N$60)+Transportation_LCIA!N$62</f>
        <v>1.2035776980627529E-3</v>
      </c>
      <c r="AK270" s="137">
        <f>Transportation_LCIA!O$61*($W270^Transportation_LCIA!O$60)+Transportation_LCIA!O$62</f>
        <v>7.0654220111155368E-5</v>
      </c>
      <c r="AL270" s="137">
        <f>Transportation_LCIA!P$61*($W270^Transportation_LCIA!P$60)+Transportation_LCIA!P$62</f>
        <v>3.4135986584869326E-8</v>
      </c>
      <c r="AM270" s="137">
        <f>Transportation_LCIA!Q$61*($W270^Transportation_LCIA!Q$60)+Transportation_LCIA!Q$62</f>
        <v>1.1787978430654126E-4</v>
      </c>
      <c r="AN270" s="137">
        <f>Transportation_LCIA!R$61*($W270^Transportation_LCIA!R$60)+Transportation_LCIA!R$62</f>
        <v>3.620033512007317E-4</v>
      </c>
      <c r="AO270" s="137">
        <f>Transportation_LCIA!S$61*($W270^Transportation_LCIA!S$60)+Transportation_LCIA!S$62</f>
        <v>5.3947284428738964E-6</v>
      </c>
      <c r="AP270" s="137">
        <f>Transportation_LCIA!T$61*($W270^Transportation_LCIA!T$60)+Transportation_LCIA!T$62</f>
        <v>5.3947284428738964E-6</v>
      </c>
      <c r="AQ270" s="137">
        <f>Transportation_LCIA!U$61*($W270^Transportation_LCIA!U$60)+Transportation_LCIA!U$62</f>
        <v>7.807798829957284E-4</v>
      </c>
      <c r="AR270" s="137">
        <f>Transportation_LCIA!V$61*($W270^Transportation_LCIA!V$60)+Transportation_LCIA!V$62</f>
        <v>3.0665789662484431E-4</v>
      </c>
      <c r="AT270" s="137">
        <f>$W270*Y270+$L270*Summary_LCIA!H$32</f>
        <v>204.2057164078428</v>
      </c>
      <c r="AU270" s="137">
        <f>$W270*Z270+$L270*Summary_LCIA!Q$32</f>
        <v>2161.8433006084247</v>
      </c>
      <c r="AV270" s="137">
        <f>$W270*AA270+$L270*Summary_LCIA!R$32</f>
        <v>1.1242598006018598</v>
      </c>
      <c r="AW270" s="137">
        <f>$W270*AB270+$L270*Summary_LCIA!S$32</f>
        <v>204.13813018784282</v>
      </c>
      <c r="AX270" s="137">
        <f>$W270*AC270+$L270*Summary_LCIA!T$32</f>
        <v>50.356983088786954</v>
      </c>
      <c r="AY270" s="137">
        <f>$W270*AD270+$L270*Summary_LCIA!U$32</f>
        <v>0.52195050847208557</v>
      </c>
      <c r="AZ270" s="137">
        <f>$W270*AE270+$L270*Summary_LCIA!V$32</f>
        <v>6.2179504443949391E-3</v>
      </c>
      <c r="BA270" s="137">
        <f>$W270*AF270+$L270*Summary_LCIA!W$32</f>
        <v>9.3170320880574522</v>
      </c>
      <c r="BB270" s="137">
        <f>$W270*AG270+$L270*Summary_LCIA!X$32</f>
        <v>10.860474053841092</v>
      </c>
      <c r="BC270" s="137">
        <f>$W270*AH270+$L270*Summary_LCIA!Y$32</f>
        <v>0.45573301776435304</v>
      </c>
      <c r="BD270" s="137">
        <f>$W270*AI270+$L270*Summary_LCIA!Z$32</f>
        <v>0.20371163230773839</v>
      </c>
      <c r="BE270" s="137">
        <f>$W270*AJ270+$L270*Summary_LCIA!AA$32</f>
        <v>1.234115780980034</v>
      </c>
      <c r="BF270" s="137">
        <f>$W270*AK270+$L270*Summary_LCIA!AB$32</f>
        <v>5.1148049697371863E-2</v>
      </c>
      <c r="BG270" s="137">
        <f>$W270*AL270+$L270*Summary_LCIA!AC$32</f>
        <v>2.5620453347241825E-5</v>
      </c>
      <c r="BH270" s="137">
        <f>$W270*AM270+$L270*Summary_LCIA!AD$32</f>
        <v>9.2177562866468513E-2</v>
      </c>
      <c r="BI270" s="137">
        <f>$W270*AN270+$L270*Summary_LCIA!AE$32</f>
        <v>0.2773212383147251</v>
      </c>
      <c r="BJ270" s="137">
        <f>$W270*AO270+$L270*Summary_LCIA!AF$32</f>
        <v>1.6858151565497727E-2</v>
      </c>
      <c r="BK270" s="137">
        <f>$W270*AP270+$L270*Summary_LCIA!AG$32</f>
        <v>4.7131983604977237E-3</v>
      </c>
      <c r="BL270" s="137">
        <f>$W270*AQ270+$L270*Summary_LCIA!AH$32</f>
        <v>0.70199701117543833</v>
      </c>
      <c r="BM270" s="137">
        <f>$W270*AR270+$L270*Summary_LCIA!AI$32</f>
        <v>0.23768864435242687</v>
      </c>
    </row>
    <row r="271" spans="1:65" x14ac:dyDescent="0.25">
      <c r="A271" s="149">
        <v>68</v>
      </c>
      <c r="B271" s="149">
        <v>29</v>
      </c>
      <c r="C271" s="61">
        <v>51.075544999999998</v>
      </c>
      <c r="D271" s="61">
        <v>-114.12975400000001</v>
      </c>
      <c r="E271" s="61" t="s">
        <v>462</v>
      </c>
      <c r="F271" s="149">
        <v>125</v>
      </c>
      <c r="G271" s="61" t="s">
        <v>656</v>
      </c>
      <c r="H271" s="61" t="s">
        <v>657</v>
      </c>
      <c r="I271" s="61">
        <v>51.121502999999997</v>
      </c>
      <c r="J271" s="61">
        <v>-114.007616</v>
      </c>
      <c r="K271" s="61">
        <v>10.47008467</v>
      </c>
      <c r="L271" s="61">
        <v>15.291</v>
      </c>
      <c r="M271" s="61" t="s">
        <v>617</v>
      </c>
      <c r="N271" s="149">
        <v>28</v>
      </c>
      <c r="O271" s="149">
        <v>29</v>
      </c>
      <c r="P271" s="61" t="s">
        <v>565</v>
      </c>
      <c r="Q271" s="61" t="s">
        <v>559</v>
      </c>
      <c r="R271" s="61">
        <v>47.450249900000003</v>
      </c>
      <c r="S271" s="61">
        <v>-122.30881650000001</v>
      </c>
      <c r="T271" s="61">
        <v>1138.5450000000001</v>
      </c>
      <c r="U271" s="61" t="s">
        <v>617</v>
      </c>
      <c r="V271" s="61" t="s">
        <v>569</v>
      </c>
      <c r="W271" s="61" cm="1">
        <f t="array" ref="W271">getDistance(I271,J271,R271,S271)*SA!$B$12</f>
        <v>728.64359849106268</v>
      </c>
      <c r="Y271" s="137">
        <f>Transportation_LCIA!C$61*($W271^Transportation_LCIA!C$60)+Transportation_LCIA!C$62</f>
        <v>0.2731236986367126</v>
      </c>
      <c r="Z271" s="137">
        <f>Transportation_LCIA!D$61*($W271^Transportation_LCIA!D$60)+Transportation_LCIA!D$62</f>
        <v>2.8629364723129571</v>
      </c>
      <c r="AA271" s="137">
        <f>Transportation_LCIA!E$61*($W271^Transportation_LCIA!E$60)+Transportation_LCIA!E$62</f>
        <v>1.4324472391760977E-3</v>
      </c>
      <c r="AB271" s="137">
        <f>Transportation_LCIA!F$61*($W271^Transportation_LCIA!F$60)+Transportation_LCIA!F$62</f>
        <v>0.2731236986367126</v>
      </c>
      <c r="AC271" s="137">
        <f>Transportation_LCIA!G$61*($W271^Transportation_LCIA!G$60)+Transportation_LCIA!G$62</f>
        <v>6.6804267943327042E-2</v>
      </c>
      <c r="AD271" s="137">
        <f>Transportation_LCIA!H$61*($W271^Transportation_LCIA!H$60)+Transportation_LCIA!H$62</f>
        <v>3.4039623073025302E-4</v>
      </c>
      <c r="AE271" s="137">
        <f>Transportation_LCIA!I$61*($W271^Transportation_LCIA!I$60)+Transportation_LCIA!I$62</f>
        <v>7.5313047486579253E-6</v>
      </c>
      <c r="AF271" s="137">
        <f>Transportation_LCIA!J$61*($W271^Transportation_LCIA!J$60)+Transportation_LCIA!J$62</f>
        <v>1.1171536460231862E-2</v>
      </c>
      <c r="AG271" s="137">
        <f>Transportation_LCIA!K$61*($W271^Transportation_LCIA!K$60)+Transportation_LCIA!K$62</f>
        <v>1.4427005322781314E-2</v>
      </c>
      <c r="AH271" s="137">
        <f>Transportation_LCIA!L$61*($W271^Transportation_LCIA!L$60)+Transportation_LCIA!L$62</f>
        <v>2.9845682610086144E-4</v>
      </c>
      <c r="AI271" s="137">
        <f>Transportation_LCIA!M$61*($W271^Transportation_LCIA!M$60)+Transportation_LCIA!M$62</f>
        <v>2.7871591009555731E-4</v>
      </c>
      <c r="AJ271" s="137">
        <f>Transportation_LCIA!N$61*($W271^Transportation_LCIA!N$60)+Transportation_LCIA!N$62</f>
        <v>1.2035776980627529E-3</v>
      </c>
      <c r="AK271" s="137">
        <f>Transportation_LCIA!O$61*($W271^Transportation_LCIA!O$60)+Transportation_LCIA!O$62</f>
        <v>7.0654220111155368E-5</v>
      </c>
      <c r="AL271" s="137">
        <f>Transportation_LCIA!P$61*($W271^Transportation_LCIA!P$60)+Transportation_LCIA!P$62</f>
        <v>3.4135986584869326E-8</v>
      </c>
      <c r="AM271" s="137">
        <f>Transportation_LCIA!Q$61*($W271^Transportation_LCIA!Q$60)+Transportation_LCIA!Q$62</f>
        <v>1.1787978430654126E-4</v>
      </c>
      <c r="AN271" s="137">
        <f>Transportation_LCIA!R$61*($W271^Transportation_LCIA!R$60)+Transportation_LCIA!R$62</f>
        <v>3.620033512007317E-4</v>
      </c>
      <c r="AO271" s="137">
        <f>Transportation_LCIA!S$61*($W271^Transportation_LCIA!S$60)+Transportation_LCIA!S$62</f>
        <v>5.3947284428738964E-6</v>
      </c>
      <c r="AP271" s="137">
        <f>Transportation_LCIA!T$61*($W271^Transportation_LCIA!T$60)+Transportation_LCIA!T$62</f>
        <v>5.3947284428738964E-6</v>
      </c>
      <c r="AQ271" s="137">
        <f>Transportation_LCIA!U$61*($W271^Transportation_LCIA!U$60)+Transportation_LCIA!U$62</f>
        <v>7.807798829957284E-4</v>
      </c>
      <c r="AR271" s="137">
        <f>Transportation_LCIA!V$61*($W271^Transportation_LCIA!V$60)+Transportation_LCIA!V$62</f>
        <v>3.0665789662484431E-4</v>
      </c>
      <c r="AT271" s="137">
        <f>$W271*Y271+$L271*Summary_LCIA!H$32</f>
        <v>204.2057164078428</v>
      </c>
      <c r="AU271" s="137">
        <f>$W271*Z271+$L271*Summary_LCIA!Q$32</f>
        <v>2161.8433006084247</v>
      </c>
      <c r="AV271" s="137">
        <f>$W271*AA271+$L271*Summary_LCIA!R$32</f>
        <v>1.1242598006018598</v>
      </c>
      <c r="AW271" s="137">
        <f>$W271*AB271+$L271*Summary_LCIA!S$32</f>
        <v>204.13813018784282</v>
      </c>
      <c r="AX271" s="137">
        <f>$W271*AC271+$L271*Summary_LCIA!T$32</f>
        <v>50.356983088786954</v>
      </c>
      <c r="AY271" s="137">
        <f>$W271*AD271+$L271*Summary_LCIA!U$32</f>
        <v>0.52195050847208557</v>
      </c>
      <c r="AZ271" s="137">
        <f>$W271*AE271+$L271*Summary_LCIA!V$32</f>
        <v>6.2179504443949391E-3</v>
      </c>
      <c r="BA271" s="137">
        <f>$W271*AF271+$L271*Summary_LCIA!W$32</f>
        <v>9.3170320880574522</v>
      </c>
      <c r="BB271" s="137">
        <f>$W271*AG271+$L271*Summary_LCIA!X$32</f>
        <v>10.860474053841092</v>
      </c>
      <c r="BC271" s="137">
        <f>$W271*AH271+$L271*Summary_LCIA!Y$32</f>
        <v>0.45573301776435304</v>
      </c>
      <c r="BD271" s="137">
        <f>$W271*AI271+$L271*Summary_LCIA!Z$32</f>
        <v>0.20371163230773839</v>
      </c>
      <c r="BE271" s="137">
        <f>$W271*AJ271+$L271*Summary_LCIA!AA$32</f>
        <v>1.234115780980034</v>
      </c>
      <c r="BF271" s="137">
        <f>$W271*AK271+$L271*Summary_LCIA!AB$32</f>
        <v>5.1148049697371863E-2</v>
      </c>
      <c r="BG271" s="137">
        <f>$W271*AL271+$L271*Summary_LCIA!AC$32</f>
        <v>2.5620453347241825E-5</v>
      </c>
      <c r="BH271" s="137">
        <f>$W271*AM271+$L271*Summary_LCIA!AD$32</f>
        <v>9.2177562866468513E-2</v>
      </c>
      <c r="BI271" s="137">
        <f>$W271*AN271+$L271*Summary_LCIA!AE$32</f>
        <v>0.2773212383147251</v>
      </c>
      <c r="BJ271" s="137">
        <f>$W271*AO271+$L271*Summary_LCIA!AF$32</f>
        <v>1.6858151565497727E-2</v>
      </c>
      <c r="BK271" s="137">
        <f>$W271*AP271+$L271*Summary_LCIA!AG$32</f>
        <v>4.7131983604977237E-3</v>
      </c>
      <c r="BL271" s="137">
        <f>$W271*AQ271+$L271*Summary_LCIA!AH$32</f>
        <v>0.70199701117543833</v>
      </c>
      <c r="BM271" s="137">
        <f>$W271*AR271+$L271*Summary_LCIA!AI$32</f>
        <v>0.23768864435242687</v>
      </c>
    </row>
    <row r="272" spans="1:65" x14ac:dyDescent="0.25">
      <c r="A272" s="149">
        <v>69</v>
      </c>
      <c r="B272" s="149">
        <v>29</v>
      </c>
      <c r="C272" s="61">
        <v>51.075544999999998</v>
      </c>
      <c r="D272" s="61">
        <v>-114.12975400000001</v>
      </c>
      <c r="E272" s="61" t="s">
        <v>462</v>
      </c>
      <c r="F272" s="149">
        <v>125</v>
      </c>
      <c r="G272" s="61" t="s">
        <v>656</v>
      </c>
      <c r="H272" s="61" t="s">
        <v>657</v>
      </c>
      <c r="I272" s="61">
        <v>51.121502999999997</v>
      </c>
      <c r="J272" s="61">
        <v>-114.007616</v>
      </c>
      <c r="K272" s="61">
        <v>10.47008467</v>
      </c>
      <c r="L272" s="61">
        <v>15.291</v>
      </c>
      <c r="M272" s="61" t="s">
        <v>617</v>
      </c>
      <c r="N272" s="149">
        <v>28</v>
      </c>
      <c r="O272" s="149">
        <v>29</v>
      </c>
      <c r="P272" s="61" t="s">
        <v>565</v>
      </c>
      <c r="Q272" s="61" t="s">
        <v>559</v>
      </c>
      <c r="R272" s="61">
        <v>47.450249900000003</v>
      </c>
      <c r="S272" s="61">
        <v>-122.30881650000001</v>
      </c>
      <c r="T272" s="61">
        <v>1138.5450000000001</v>
      </c>
      <c r="U272" s="61" t="s">
        <v>617</v>
      </c>
      <c r="V272" s="61" t="s">
        <v>569</v>
      </c>
      <c r="W272" s="61" cm="1">
        <f t="array" ref="W272">getDistance(I272,J272,R272,S272)*SA!$B$12</f>
        <v>728.64359849106268</v>
      </c>
      <c r="Y272" s="137">
        <f>Transportation_LCIA!C$61*($W272^Transportation_LCIA!C$60)+Transportation_LCIA!C$62</f>
        <v>0.2731236986367126</v>
      </c>
      <c r="Z272" s="137">
        <f>Transportation_LCIA!D$61*($W272^Transportation_LCIA!D$60)+Transportation_LCIA!D$62</f>
        <v>2.8629364723129571</v>
      </c>
      <c r="AA272" s="137">
        <f>Transportation_LCIA!E$61*($W272^Transportation_LCIA!E$60)+Transportation_LCIA!E$62</f>
        <v>1.4324472391760977E-3</v>
      </c>
      <c r="AB272" s="137">
        <f>Transportation_LCIA!F$61*($W272^Transportation_LCIA!F$60)+Transportation_LCIA!F$62</f>
        <v>0.2731236986367126</v>
      </c>
      <c r="AC272" s="137">
        <f>Transportation_LCIA!G$61*($W272^Transportation_LCIA!G$60)+Transportation_LCIA!G$62</f>
        <v>6.6804267943327042E-2</v>
      </c>
      <c r="AD272" s="137">
        <f>Transportation_LCIA!H$61*($W272^Transportation_LCIA!H$60)+Transportation_LCIA!H$62</f>
        <v>3.4039623073025302E-4</v>
      </c>
      <c r="AE272" s="137">
        <f>Transportation_LCIA!I$61*($W272^Transportation_LCIA!I$60)+Transportation_LCIA!I$62</f>
        <v>7.5313047486579253E-6</v>
      </c>
      <c r="AF272" s="137">
        <f>Transportation_LCIA!J$61*($W272^Transportation_LCIA!J$60)+Transportation_LCIA!J$62</f>
        <v>1.1171536460231862E-2</v>
      </c>
      <c r="AG272" s="137">
        <f>Transportation_LCIA!K$61*($W272^Transportation_LCIA!K$60)+Transportation_LCIA!K$62</f>
        <v>1.4427005322781314E-2</v>
      </c>
      <c r="AH272" s="137">
        <f>Transportation_LCIA!L$61*($W272^Transportation_LCIA!L$60)+Transportation_LCIA!L$62</f>
        <v>2.9845682610086144E-4</v>
      </c>
      <c r="AI272" s="137">
        <f>Transportation_LCIA!M$61*($W272^Transportation_LCIA!M$60)+Transportation_LCIA!M$62</f>
        <v>2.7871591009555731E-4</v>
      </c>
      <c r="AJ272" s="137">
        <f>Transportation_LCIA!N$61*($W272^Transportation_LCIA!N$60)+Transportation_LCIA!N$62</f>
        <v>1.2035776980627529E-3</v>
      </c>
      <c r="AK272" s="137">
        <f>Transportation_LCIA!O$61*($W272^Transportation_LCIA!O$60)+Transportation_LCIA!O$62</f>
        <v>7.0654220111155368E-5</v>
      </c>
      <c r="AL272" s="137">
        <f>Transportation_LCIA!P$61*($W272^Transportation_LCIA!P$60)+Transportation_LCIA!P$62</f>
        <v>3.4135986584869326E-8</v>
      </c>
      <c r="AM272" s="137">
        <f>Transportation_LCIA!Q$61*($W272^Transportation_LCIA!Q$60)+Transportation_LCIA!Q$62</f>
        <v>1.1787978430654126E-4</v>
      </c>
      <c r="AN272" s="137">
        <f>Transportation_LCIA!R$61*($W272^Transportation_LCIA!R$60)+Transportation_LCIA!R$62</f>
        <v>3.620033512007317E-4</v>
      </c>
      <c r="AO272" s="137">
        <f>Transportation_LCIA!S$61*($W272^Transportation_LCIA!S$60)+Transportation_LCIA!S$62</f>
        <v>5.3947284428738964E-6</v>
      </c>
      <c r="AP272" s="137">
        <f>Transportation_LCIA!T$61*($W272^Transportation_LCIA!T$60)+Transportation_LCIA!T$62</f>
        <v>5.3947284428738964E-6</v>
      </c>
      <c r="AQ272" s="137">
        <f>Transportation_LCIA!U$61*($W272^Transportation_LCIA!U$60)+Transportation_LCIA!U$62</f>
        <v>7.807798829957284E-4</v>
      </c>
      <c r="AR272" s="137">
        <f>Transportation_LCIA!V$61*($W272^Transportation_LCIA!V$60)+Transportation_LCIA!V$62</f>
        <v>3.0665789662484431E-4</v>
      </c>
      <c r="AT272" s="137">
        <f>$W272*Y272+$L272*Summary_LCIA!H$32</f>
        <v>204.2057164078428</v>
      </c>
      <c r="AU272" s="137">
        <f>$W272*Z272+$L272*Summary_LCIA!Q$32</f>
        <v>2161.8433006084247</v>
      </c>
      <c r="AV272" s="137">
        <f>$W272*AA272+$L272*Summary_LCIA!R$32</f>
        <v>1.1242598006018598</v>
      </c>
      <c r="AW272" s="137">
        <f>$W272*AB272+$L272*Summary_LCIA!S$32</f>
        <v>204.13813018784282</v>
      </c>
      <c r="AX272" s="137">
        <f>$W272*AC272+$L272*Summary_LCIA!T$32</f>
        <v>50.356983088786954</v>
      </c>
      <c r="AY272" s="137">
        <f>$W272*AD272+$L272*Summary_LCIA!U$32</f>
        <v>0.52195050847208557</v>
      </c>
      <c r="AZ272" s="137">
        <f>$W272*AE272+$L272*Summary_LCIA!V$32</f>
        <v>6.2179504443949391E-3</v>
      </c>
      <c r="BA272" s="137">
        <f>$W272*AF272+$L272*Summary_LCIA!W$32</f>
        <v>9.3170320880574522</v>
      </c>
      <c r="BB272" s="137">
        <f>$W272*AG272+$L272*Summary_LCIA!X$32</f>
        <v>10.860474053841092</v>
      </c>
      <c r="BC272" s="137">
        <f>$W272*AH272+$L272*Summary_LCIA!Y$32</f>
        <v>0.45573301776435304</v>
      </c>
      <c r="BD272" s="137">
        <f>$W272*AI272+$L272*Summary_LCIA!Z$32</f>
        <v>0.20371163230773839</v>
      </c>
      <c r="BE272" s="137">
        <f>$W272*AJ272+$L272*Summary_LCIA!AA$32</f>
        <v>1.234115780980034</v>
      </c>
      <c r="BF272" s="137">
        <f>$W272*AK272+$L272*Summary_LCIA!AB$32</f>
        <v>5.1148049697371863E-2</v>
      </c>
      <c r="BG272" s="137">
        <f>$W272*AL272+$L272*Summary_LCIA!AC$32</f>
        <v>2.5620453347241825E-5</v>
      </c>
      <c r="BH272" s="137">
        <f>$W272*AM272+$L272*Summary_LCIA!AD$32</f>
        <v>9.2177562866468513E-2</v>
      </c>
      <c r="BI272" s="137">
        <f>$W272*AN272+$L272*Summary_LCIA!AE$32</f>
        <v>0.2773212383147251</v>
      </c>
      <c r="BJ272" s="137">
        <f>$W272*AO272+$L272*Summary_LCIA!AF$32</f>
        <v>1.6858151565497727E-2</v>
      </c>
      <c r="BK272" s="137">
        <f>$W272*AP272+$L272*Summary_LCIA!AG$32</f>
        <v>4.7131983604977237E-3</v>
      </c>
      <c r="BL272" s="137">
        <f>$W272*AQ272+$L272*Summary_LCIA!AH$32</f>
        <v>0.70199701117543833</v>
      </c>
      <c r="BM272" s="137">
        <f>$W272*AR272+$L272*Summary_LCIA!AI$32</f>
        <v>0.23768864435242687</v>
      </c>
    </row>
    <row r="273" spans="1:65" x14ac:dyDescent="0.25">
      <c r="A273" s="149">
        <v>70</v>
      </c>
      <c r="B273" s="149">
        <v>29</v>
      </c>
      <c r="C273" s="61">
        <v>51.075544999999998</v>
      </c>
      <c r="D273" s="61">
        <v>-114.12975400000001</v>
      </c>
      <c r="E273" s="61" t="s">
        <v>462</v>
      </c>
      <c r="F273" s="149">
        <v>125</v>
      </c>
      <c r="G273" s="61" t="s">
        <v>656</v>
      </c>
      <c r="H273" s="61" t="s">
        <v>657</v>
      </c>
      <c r="I273" s="61">
        <v>51.121502999999997</v>
      </c>
      <c r="J273" s="61">
        <v>-114.007616</v>
      </c>
      <c r="K273" s="61">
        <v>10.47008467</v>
      </c>
      <c r="L273" s="61">
        <v>15.291</v>
      </c>
      <c r="M273" s="61" t="s">
        <v>617</v>
      </c>
      <c r="N273" s="149">
        <v>28</v>
      </c>
      <c r="O273" s="149">
        <v>29</v>
      </c>
      <c r="P273" s="61" t="s">
        <v>565</v>
      </c>
      <c r="Q273" s="61" t="s">
        <v>559</v>
      </c>
      <c r="R273" s="61">
        <v>47.450249900000003</v>
      </c>
      <c r="S273" s="61">
        <v>-122.30881650000001</v>
      </c>
      <c r="T273" s="61">
        <v>1138.5450000000001</v>
      </c>
      <c r="U273" s="61" t="s">
        <v>617</v>
      </c>
      <c r="V273" s="61" t="s">
        <v>569</v>
      </c>
      <c r="W273" s="61" cm="1">
        <f t="array" ref="W273">getDistance(I273,J273,R273,S273)*SA!$B$12</f>
        <v>728.64359849106268</v>
      </c>
      <c r="Y273" s="137">
        <f>Transportation_LCIA!C$61*($W273^Transportation_LCIA!C$60)+Transportation_LCIA!C$62</f>
        <v>0.2731236986367126</v>
      </c>
      <c r="Z273" s="137">
        <f>Transportation_LCIA!D$61*($W273^Transportation_LCIA!D$60)+Transportation_LCIA!D$62</f>
        <v>2.8629364723129571</v>
      </c>
      <c r="AA273" s="137">
        <f>Transportation_LCIA!E$61*($W273^Transportation_LCIA!E$60)+Transportation_LCIA!E$62</f>
        <v>1.4324472391760977E-3</v>
      </c>
      <c r="AB273" s="137">
        <f>Transportation_LCIA!F$61*($W273^Transportation_LCIA!F$60)+Transportation_LCIA!F$62</f>
        <v>0.2731236986367126</v>
      </c>
      <c r="AC273" s="137">
        <f>Transportation_LCIA!G$61*($W273^Transportation_LCIA!G$60)+Transportation_LCIA!G$62</f>
        <v>6.6804267943327042E-2</v>
      </c>
      <c r="AD273" s="137">
        <f>Transportation_LCIA!H$61*($W273^Transportation_LCIA!H$60)+Transportation_LCIA!H$62</f>
        <v>3.4039623073025302E-4</v>
      </c>
      <c r="AE273" s="137">
        <f>Transportation_LCIA!I$61*($W273^Transportation_LCIA!I$60)+Transportation_LCIA!I$62</f>
        <v>7.5313047486579253E-6</v>
      </c>
      <c r="AF273" s="137">
        <f>Transportation_LCIA!J$61*($W273^Transportation_LCIA!J$60)+Transportation_LCIA!J$62</f>
        <v>1.1171536460231862E-2</v>
      </c>
      <c r="AG273" s="137">
        <f>Transportation_LCIA!K$61*($W273^Transportation_LCIA!K$60)+Transportation_LCIA!K$62</f>
        <v>1.4427005322781314E-2</v>
      </c>
      <c r="AH273" s="137">
        <f>Transportation_LCIA!L$61*($W273^Transportation_LCIA!L$60)+Transportation_LCIA!L$62</f>
        <v>2.9845682610086144E-4</v>
      </c>
      <c r="AI273" s="137">
        <f>Transportation_LCIA!M$61*($W273^Transportation_LCIA!M$60)+Transportation_LCIA!M$62</f>
        <v>2.7871591009555731E-4</v>
      </c>
      <c r="AJ273" s="137">
        <f>Transportation_LCIA!N$61*($W273^Transportation_LCIA!N$60)+Transportation_LCIA!N$62</f>
        <v>1.2035776980627529E-3</v>
      </c>
      <c r="AK273" s="137">
        <f>Transportation_LCIA!O$61*($W273^Transportation_LCIA!O$60)+Transportation_LCIA!O$62</f>
        <v>7.0654220111155368E-5</v>
      </c>
      <c r="AL273" s="137">
        <f>Transportation_LCIA!P$61*($W273^Transportation_LCIA!P$60)+Transportation_LCIA!P$62</f>
        <v>3.4135986584869326E-8</v>
      </c>
      <c r="AM273" s="137">
        <f>Transportation_LCIA!Q$61*($W273^Transportation_LCIA!Q$60)+Transportation_LCIA!Q$62</f>
        <v>1.1787978430654126E-4</v>
      </c>
      <c r="AN273" s="137">
        <f>Transportation_LCIA!R$61*($W273^Transportation_LCIA!R$60)+Transportation_LCIA!R$62</f>
        <v>3.620033512007317E-4</v>
      </c>
      <c r="AO273" s="137">
        <f>Transportation_LCIA!S$61*($W273^Transportation_LCIA!S$60)+Transportation_LCIA!S$62</f>
        <v>5.3947284428738964E-6</v>
      </c>
      <c r="AP273" s="137">
        <f>Transportation_LCIA!T$61*($W273^Transportation_LCIA!T$60)+Transportation_LCIA!T$62</f>
        <v>5.3947284428738964E-6</v>
      </c>
      <c r="AQ273" s="137">
        <f>Transportation_LCIA!U$61*($W273^Transportation_LCIA!U$60)+Transportation_LCIA!U$62</f>
        <v>7.807798829957284E-4</v>
      </c>
      <c r="AR273" s="137">
        <f>Transportation_LCIA!V$61*($W273^Transportation_LCIA!V$60)+Transportation_LCIA!V$62</f>
        <v>3.0665789662484431E-4</v>
      </c>
      <c r="AT273" s="137">
        <f>$W273*Y273+$L273*Summary_LCIA!H$32</f>
        <v>204.2057164078428</v>
      </c>
      <c r="AU273" s="137">
        <f>$W273*Z273+$L273*Summary_LCIA!Q$32</f>
        <v>2161.8433006084247</v>
      </c>
      <c r="AV273" s="137">
        <f>$W273*AA273+$L273*Summary_LCIA!R$32</f>
        <v>1.1242598006018598</v>
      </c>
      <c r="AW273" s="137">
        <f>$W273*AB273+$L273*Summary_LCIA!S$32</f>
        <v>204.13813018784282</v>
      </c>
      <c r="AX273" s="137">
        <f>$W273*AC273+$L273*Summary_LCIA!T$32</f>
        <v>50.356983088786954</v>
      </c>
      <c r="AY273" s="137">
        <f>$W273*AD273+$L273*Summary_LCIA!U$32</f>
        <v>0.52195050847208557</v>
      </c>
      <c r="AZ273" s="137">
        <f>$W273*AE273+$L273*Summary_LCIA!V$32</f>
        <v>6.2179504443949391E-3</v>
      </c>
      <c r="BA273" s="137">
        <f>$W273*AF273+$L273*Summary_LCIA!W$32</f>
        <v>9.3170320880574522</v>
      </c>
      <c r="BB273" s="137">
        <f>$W273*AG273+$L273*Summary_LCIA!X$32</f>
        <v>10.860474053841092</v>
      </c>
      <c r="BC273" s="137">
        <f>$W273*AH273+$L273*Summary_LCIA!Y$32</f>
        <v>0.45573301776435304</v>
      </c>
      <c r="BD273" s="137">
        <f>$W273*AI273+$L273*Summary_LCIA!Z$32</f>
        <v>0.20371163230773839</v>
      </c>
      <c r="BE273" s="137">
        <f>$W273*AJ273+$L273*Summary_LCIA!AA$32</f>
        <v>1.234115780980034</v>
      </c>
      <c r="BF273" s="137">
        <f>$W273*AK273+$L273*Summary_LCIA!AB$32</f>
        <v>5.1148049697371863E-2</v>
      </c>
      <c r="BG273" s="137">
        <f>$W273*AL273+$L273*Summary_LCIA!AC$32</f>
        <v>2.5620453347241825E-5</v>
      </c>
      <c r="BH273" s="137">
        <f>$W273*AM273+$L273*Summary_LCIA!AD$32</f>
        <v>9.2177562866468513E-2</v>
      </c>
      <c r="BI273" s="137">
        <f>$W273*AN273+$L273*Summary_LCIA!AE$32</f>
        <v>0.2773212383147251</v>
      </c>
      <c r="BJ273" s="137">
        <f>$W273*AO273+$L273*Summary_LCIA!AF$32</f>
        <v>1.6858151565497727E-2</v>
      </c>
      <c r="BK273" s="137">
        <f>$W273*AP273+$L273*Summary_LCIA!AG$32</f>
        <v>4.7131983604977237E-3</v>
      </c>
      <c r="BL273" s="137">
        <f>$W273*AQ273+$L273*Summary_LCIA!AH$32</f>
        <v>0.70199701117543833</v>
      </c>
      <c r="BM273" s="137">
        <f>$W273*AR273+$L273*Summary_LCIA!AI$32</f>
        <v>0.23768864435242687</v>
      </c>
    </row>
    <row r="274" spans="1:65" x14ac:dyDescent="0.25">
      <c r="A274" s="149">
        <v>71</v>
      </c>
      <c r="B274" s="149">
        <v>29</v>
      </c>
      <c r="C274" s="61">
        <v>51.075544999999998</v>
      </c>
      <c r="D274" s="61">
        <v>-114.12975400000001</v>
      </c>
      <c r="E274" s="61" t="s">
        <v>462</v>
      </c>
      <c r="F274" s="149">
        <v>125</v>
      </c>
      <c r="G274" s="61" t="s">
        <v>656</v>
      </c>
      <c r="H274" s="61" t="s">
        <v>657</v>
      </c>
      <c r="I274" s="61">
        <v>51.121502999999997</v>
      </c>
      <c r="J274" s="61">
        <v>-114.007616</v>
      </c>
      <c r="K274" s="61">
        <v>10.47008467</v>
      </c>
      <c r="L274" s="61">
        <v>15.291</v>
      </c>
      <c r="M274" s="61" t="s">
        <v>617</v>
      </c>
      <c r="N274" s="149">
        <v>28</v>
      </c>
      <c r="O274" s="149">
        <v>29</v>
      </c>
      <c r="P274" s="61" t="s">
        <v>565</v>
      </c>
      <c r="Q274" s="61" t="s">
        <v>559</v>
      </c>
      <c r="R274" s="61">
        <v>47.450249900000003</v>
      </c>
      <c r="S274" s="61">
        <v>-122.30881650000001</v>
      </c>
      <c r="T274" s="61">
        <v>1138.5450000000001</v>
      </c>
      <c r="U274" s="61" t="s">
        <v>617</v>
      </c>
      <c r="V274" s="61" t="s">
        <v>569</v>
      </c>
      <c r="W274" s="61" cm="1">
        <f t="array" ref="W274">getDistance(I274,J274,R274,S274)*SA!$B$12</f>
        <v>728.64359849106268</v>
      </c>
      <c r="Y274" s="137">
        <f>Transportation_LCIA!C$61*($W274^Transportation_LCIA!C$60)+Transportation_LCIA!C$62</f>
        <v>0.2731236986367126</v>
      </c>
      <c r="Z274" s="137">
        <f>Transportation_LCIA!D$61*($W274^Transportation_LCIA!D$60)+Transportation_LCIA!D$62</f>
        <v>2.8629364723129571</v>
      </c>
      <c r="AA274" s="137">
        <f>Transportation_LCIA!E$61*($W274^Transportation_LCIA!E$60)+Transportation_LCIA!E$62</f>
        <v>1.4324472391760977E-3</v>
      </c>
      <c r="AB274" s="137">
        <f>Transportation_LCIA!F$61*($W274^Transportation_LCIA!F$60)+Transportation_LCIA!F$62</f>
        <v>0.2731236986367126</v>
      </c>
      <c r="AC274" s="137">
        <f>Transportation_LCIA!G$61*($W274^Transportation_LCIA!G$60)+Transportation_LCIA!G$62</f>
        <v>6.6804267943327042E-2</v>
      </c>
      <c r="AD274" s="137">
        <f>Transportation_LCIA!H$61*($W274^Transportation_LCIA!H$60)+Transportation_LCIA!H$62</f>
        <v>3.4039623073025302E-4</v>
      </c>
      <c r="AE274" s="137">
        <f>Transportation_LCIA!I$61*($W274^Transportation_LCIA!I$60)+Transportation_LCIA!I$62</f>
        <v>7.5313047486579253E-6</v>
      </c>
      <c r="AF274" s="137">
        <f>Transportation_LCIA!J$61*($W274^Transportation_LCIA!J$60)+Transportation_LCIA!J$62</f>
        <v>1.1171536460231862E-2</v>
      </c>
      <c r="AG274" s="137">
        <f>Transportation_LCIA!K$61*($W274^Transportation_LCIA!K$60)+Transportation_LCIA!K$62</f>
        <v>1.4427005322781314E-2</v>
      </c>
      <c r="AH274" s="137">
        <f>Transportation_LCIA!L$61*($W274^Transportation_LCIA!L$60)+Transportation_LCIA!L$62</f>
        <v>2.9845682610086144E-4</v>
      </c>
      <c r="AI274" s="137">
        <f>Transportation_LCIA!M$61*($W274^Transportation_LCIA!M$60)+Transportation_LCIA!M$62</f>
        <v>2.7871591009555731E-4</v>
      </c>
      <c r="AJ274" s="137">
        <f>Transportation_LCIA!N$61*($W274^Transportation_LCIA!N$60)+Transportation_LCIA!N$62</f>
        <v>1.2035776980627529E-3</v>
      </c>
      <c r="AK274" s="137">
        <f>Transportation_LCIA!O$61*($W274^Transportation_LCIA!O$60)+Transportation_LCIA!O$62</f>
        <v>7.0654220111155368E-5</v>
      </c>
      <c r="AL274" s="137">
        <f>Transportation_LCIA!P$61*($W274^Transportation_LCIA!P$60)+Transportation_LCIA!P$62</f>
        <v>3.4135986584869326E-8</v>
      </c>
      <c r="AM274" s="137">
        <f>Transportation_LCIA!Q$61*($W274^Transportation_LCIA!Q$60)+Transportation_LCIA!Q$62</f>
        <v>1.1787978430654126E-4</v>
      </c>
      <c r="AN274" s="137">
        <f>Transportation_LCIA!R$61*($W274^Transportation_LCIA!R$60)+Transportation_LCIA!R$62</f>
        <v>3.620033512007317E-4</v>
      </c>
      <c r="AO274" s="137">
        <f>Transportation_LCIA!S$61*($W274^Transportation_LCIA!S$60)+Transportation_LCIA!S$62</f>
        <v>5.3947284428738964E-6</v>
      </c>
      <c r="AP274" s="137">
        <f>Transportation_LCIA!T$61*($W274^Transportation_LCIA!T$60)+Transportation_LCIA!T$62</f>
        <v>5.3947284428738964E-6</v>
      </c>
      <c r="AQ274" s="137">
        <f>Transportation_LCIA!U$61*($W274^Transportation_LCIA!U$60)+Transportation_LCIA!U$62</f>
        <v>7.807798829957284E-4</v>
      </c>
      <c r="AR274" s="137">
        <f>Transportation_LCIA!V$61*($W274^Transportation_LCIA!V$60)+Transportation_LCIA!V$62</f>
        <v>3.0665789662484431E-4</v>
      </c>
      <c r="AT274" s="137">
        <f>$W274*Y274+$L274*Summary_LCIA!H$32</f>
        <v>204.2057164078428</v>
      </c>
      <c r="AU274" s="137">
        <f>$W274*Z274+$L274*Summary_LCIA!Q$32</f>
        <v>2161.8433006084247</v>
      </c>
      <c r="AV274" s="137">
        <f>$W274*AA274+$L274*Summary_LCIA!R$32</f>
        <v>1.1242598006018598</v>
      </c>
      <c r="AW274" s="137">
        <f>$W274*AB274+$L274*Summary_LCIA!S$32</f>
        <v>204.13813018784282</v>
      </c>
      <c r="AX274" s="137">
        <f>$W274*AC274+$L274*Summary_LCIA!T$32</f>
        <v>50.356983088786954</v>
      </c>
      <c r="AY274" s="137">
        <f>$W274*AD274+$L274*Summary_LCIA!U$32</f>
        <v>0.52195050847208557</v>
      </c>
      <c r="AZ274" s="137">
        <f>$W274*AE274+$L274*Summary_LCIA!V$32</f>
        <v>6.2179504443949391E-3</v>
      </c>
      <c r="BA274" s="137">
        <f>$W274*AF274+$L274*Summary_LCIA!W$32</f>
        <v>9.3170320880574522</v>
      </c>
      <c r="BB274" s="137">
        <f>$W274*AG274+$L274*Summary_LCIA!X$32</f>
        <v>10.860474053841092</v>
      </c>
      <c r="BC274" s="137">
        <f>$W274*AH274+$L274*Summary_LCIA!Y$32</f>
        <v>0.45573301776435304</v>
      </c>
      <c r="BD274" s="137">
        <f>$W274*AI274+$L274*Summary_LCIA!Z$32</f>
        <v>0.20371163230773839</v>
      </c>
      <c r="BE274" s="137">
        <f>$W274*AJ274+$L274*Summary_LCIA!AA$32</f>
        <v>1.234115780980034</v>
      </c>
      <c r="BF274" s="137">
        <f>$W274*AK274+$L274*Summary_LCIA!AB$32</f>
        <v>5.1148049697371863E-2</v>
      </c>
      <c r="BG274" s="137">
        <f>$W274*AL274+$L274*Summary_LCIA!AC$32</f>
        <v>2.5620453347241825E-5</v>
      </c>
      <c r="BH274" s="137">
        <f>$W274*AM274+$L274*Summary_LCIA!AD$32</f>
        <v>9.2177562866468513E-2</v>
      </c>
      <c r="BI274" s="137">
        <f>$W274*AN274+$L274*Summary_LCIA!AE$32</f>
        <v>0.2773212383147251</v>
      </c>
      <c r="BJ274" s="137">
        <f>$W274*AO274+$L274*Summary_LCIA!AF$32</f>
        <v>1.6858151565497727E-2</v>
      </c>
      <c r="BK274" s="137">
        <f>$W274*AP274+$L274*Summary_LCIA!AG$32</f>
        <v>4.7131983604977237E-3</v>
      </c>
      <c r="BL274" s="137">
        <f>$W274*AQ274+$L274*Summary_LCIA!AH$32</f>
        <v>0.70199701117543833</v>
      </c>
      <c r="BM274" s="137">
        <f>$W274*AR274+$L274*Summary_LCIA!AI$32</f>
        <v>0.23768864435242687</v>
      </c>
    </row>
    <row r="275" spans="1:65" x14ac:dyDescent="0.25">
      <c r="A275" s="149">
        <v>72</v>
      </c>
      <c r="B275" s="149">
        <v>29</v>
      </c>
      <c r="C275" s="61">
        <v>51.075544999999998</v>
      </c>
      <c r="D275" s="61">
        <v>-114.12975400000001</v>
      </c>
      <c r="E275" s="61" t="s">
        <v>462</v>
      </c>
      <c r="F275" s="149">
        <v>125</v>
      </c>
      <c r="G275" s="61" t="s">
        <v>656</v>
      </c>
      <c r="H275" s="61" t="s">
        <v>657</v>
      </c>
      <c r="I275" s="61">
        <v>51.121502999999997</v>
      </c>
      <c r="J275" s="61">
        <v>-114.007616</v>
      </c>
      <c r="K275" s="61">
        <v>10.47008467</v>
      </c>
      <c r="L275" s="61">
        <v>15.291</v>
      </c>
      <c r="M275" s="61" t="s">
        <v>617</v>
      </c>
      <c r="N275" s="149">
        <v>28</v>
      </c>
      <c r="O275" s="149">
        <v>29</v>
      </c>
      <c r="P275" s="61" t="s">
        <v>565</v>
      </c>
      <c r="Q275" s="61" t="s">
        <v>559</v>
      </c>
      <c r="R275" s="61">
        <v>47.450249900000003</v>
      </c>
      <c r="S275" s="61">
        <v>-122.30881650000001</v>
      </c>
      <c r="T275" s="61">
        <v>1138.5450000000001</v>
      </c>
      <c r="U275" s="61" t="s">
        <v>617</v>
      </c>
      <c r="V275" s="61" t="s">
        <v>569</v>
      </c>
      <c r="W275" s="61" cm="1">
        <f t="array" ref="W275">getDistance(I275,J275,R275,S275)*SA!$B$12</f>
        <v>728.64359849106268</v>
      </c>
      <c r="Y275" s="137">
        <f>Transportation_LCIA!C$61*($W275^Transportation_LCIA!C$60)+Transportation_LCIA!C$62</f>
        <v>0.2731236986367126</v>
      </c>
      <c r="Z275" s="137">
        <f>Transportation_LCIA!D$61*($W275^Transportation_LCIA!D$60)+Transportation_LCIA!D$62</f>
        <v>2.8629364723129571</v>
      </c>
      <c r="AA275" s="137">
        <f>Transportation_LCIA!E$61*($W275^Transportation_LCIA!E$60)+Transportation_LCIA!E$62</f>
        <v>1.4324472391760977E-3</v>
      </c>
      <c r="AB275" s="137">
        <f>Transportation_LCIA!F$61*($W275^Transportation_LCIA!F$60)+Transportation_LCIA!F$62</f>
        <v>0.2731236986367126</v>
      </c>
      <c r="AC275" s="137">
        <f>Transportation_LCIA!G$61*($W275^Transportation_LCIA!G$60)+Transportation_LCIA!G$62</f>
        <v>6.6804267943327042E-2</v>
      </c>
      <c r="AD275" s="137">
        <f>Transportation_LCIA!H$61*($W275^Transportation_LCIA!H$60)+Transportation_LCIA!H$62</f>
        <v>3.4039623073025302E-4</v>
      </c>
      <c r="AE275" s="137">
        <f>Transportation_LCIA!I$61*($W275^Transportation_LCIA!I$60)+Transportation_LCIA!I$62</f>
        <v>7.5313047486579253E-6</v>
      </c>
      <c r="AF275" s="137">
        <f>Transportation_LCIA!J$61*($W275^Transportation_LCIA!J$60)+Transportation_LCIA!J$62</f>
        <v>1.1171536460231862E-2</v>
      </c>
      <c r="AG275" s="137">
        <f>Transportation_LCIA!K$61*($W275^Transportation_LCIA!K$60)+Transportation_LCIA!K$62</f>
        <v>1.4427005322781314E-2</v>
      </c>
      <c r="AH275" s="137">
        <f>Transportation_LCIA!L$61*($W275^Transportation_LCIA!L$60)+Transportation_LCIA!L$62</f>
        <v>2.9845682610086144E-4</v>
      </c>
      <c r="AI275" s="137">
        <f>Transportation_LCIA!M$61*($W275^Transportation_LCIA!M$60)+Transportation_LCIA!M$62</f>
        <v>2.7871591009555731E-4</v>
      </c>
      <c r="AJ275" s="137">
        <f>Transportation_LCIA!N$61*($W275^Transportation_LCIA!N$60)+Transportation_LCIA!N$62</f>
        <v>1.2035776980627529E-3</v>
      </c>
      <c r="AK275" s="137">
        <f>Transportation_LCIA!O$61*($W275^Transportation_LCIA!O$60)+Transportation_LCIA!O$62</f>
        <v>7.0654220111155368E-5</v>
      </c>
      <c r="AL275" s="137">
        <f>Transportation_LCIA!P$61*($W275^Transportation_LCIA!P$60)+Transportation_LCIA!P$62</f>
        <v>3.4135986584869326E-8</v>
      </c>
      <c r="AM275" s="137">
        <f>Transportation_LCIA!Q$61*($W275^Transportation_LCIA!Q$60)+Transportation_LCIA!Q$62</f>
        <v>1.1787978430654126E-4</v>
      </c>
      <c r="AN275" s="137">
        <f>Transportation_LCIA!R$61*($W275^Transportation_LCIA!R$60)+Transportation_LCIA!R$62</f>
        <v>3.620033512007317E-4</v>
      </c>
      <c r="AO275" s="137">
        <f>Transportation_LCIA!S$61*($W275^Transportation_LCIA!S$60)+Transportation_LCIA!S$62</f>
        <v>5.3947284428738964E-6</v>
      </c>
      <c r="AP275" s="137">
        <f>Transportation_LCIA!T$61*($W275^Transportation_LCIA!T$60)+Transportation_LCIA!T$62</f>
        <v>5.3947284428738964E-6</v>
      </c>
      <c r="AQ275" s="137">
        <f>Transportation_LCIA!U$61*($W275^Transportation_LCIA!U$60)+Transportation_LCIA!U$62</f>
        <v>7.807798829957284E-4</v>
      </c>
      <c r="AR275" s="137">
        <f>Transportation_LCIA!V$61*($W275^Transportation_LCIA!V$60)+Transportation_LCIA!V$62</f>
        <v>3.0665789662484431E-4</v>
      </c>
      <c r="AT275" s="137">
        <f>$W275*Y275+$L275*Summary_LCIA!H$32</f>
        <v>204.2057164078428</v>
      </c>
      <c r="AU275" s="137">
        <f>$W275*Z275+$L275*Summary_LCIA!Q$32</f>
        <v>2161.8433006084247</v>
      </c>
      <c r="AV275" s="137">
        <f>$W275*AA275+$L275*Summary_LCIA!R$32</f>
        <v>1.1242598006018598</v>
      </c>
      <c r="AW275" s="137">
        <f>$W275*AB275+$L275*Summary_LCIA!S$32</f>
        <v>204.13813018784282</v>
      </c>
      <c r="AX275" s="137">
        <f>$W275*AC275+$L275*Summary_LCIA!T$32</f>
        <v>50.356983088786954</v>
      </c>
      <c r="AY275" s="137">
        <f>$W275*AD275+$L275*Summary_LCIA!U$32</f>
        <v>0.52195050847208557</v>
      </c>
      <c r="AZ275" s="137">
        <f>$W275*AE275+$L275*Summary_LCIA!V$32</f>
        <v>6.2179504443949391E-3</v>
      </c>
      <c r="BA275" s="137">
        <f>$W275*AF275+$L275*Summary_LCIA!W$32</f>
        <v>9.3170320880574522</v>
      </c>
      <c r="BB275" s="137">
        <f>$W275*AG275+$L275*Summary_LCIA!X$32</f>
        <v>10.860474053841092</v>
      </c>
      <c r="BC275" s="137">
        <f>$W275*AH275+$L275*Summary_LCIA!Y$32</f>
        <v>0.45573301776435304</v>
      </c>
      <c r="BD275" s="137">
        <f>$W275*AI275+$L275*Summary_LCIA!Z$32</f>
        <v>0.20371163230773839</v>
      </c>
      <c r="BE275" s="137">
        <f>$W275*AJ275+$L275*Summary_LCIA!AA$32</f>
        <v>1.234115780980034</v>
      </c>
      <c r="BF275" s="137">
        <f>$W275*AK275+$L275*Summary_LCIA!AB$32</f>
        <v>5.1148049697371863E-2</v>
      </c>
      <c r="BG275" s="137">
        <f>$W275*AL275+$L275*Summary_LCIA!AC$32</f>
        <v>2.5620453347241825E-5</v>
      </c>
      <c r="BH275" s="137">
        <f>$W275*AM275+$L275*Summary_LCIA!AD$32</f>
        <v>9.2177562866468513E-2</v>
      </c>
      <c r="BI275" s="137">
        <f>$W275*AN275+$L275*Summary_LCIA!AE$32</f>
        <v>0.2773212383147251</v>
      </c>
      <c r="BJ275" s="137">
        <f>$W275*AO275+$L275*Summary_LCIA!AF$32</f>
        <v>1.6858151565497727E-2</v>
      </c>
      <c r="BK275" s="137">
        <f>$W275*AP275+$L275*Summary_LCIA!AG$32</f>
        <v>4.7131983604977237E-3</v>
      </c>
      <c r="BL275" s="137">
        <f>$W275*AQ275+$L275*Summary_LCIA!AH$32</f>
        <v>0.70199701117543833</v>
      </c>
      <c r="BM275" s="137">
        <f>$W275*AR275+$L275*Summary_LCIA!AI$32</f>
        <v>0.23768864435242687</v>
      </c>
    </row>
    <row r="276" spans="1:65" x14ac:dyDescent="0.25">
      <c r="A276" s="149">
        <v>224</v>
      </c>
      <c r="B276" s="149">
        <v>6</v>
      </c>
      <c r="C276" s="61">
        <v>34.023434000000002</v>
      </c>
      <c r="D276" s="61">
        <v>-84.615489999999994</v>
      </c>
      <c r="E276" s="61" t="s">
        <v>265</v>
      </c>
      <c r="F276" s="149">
        <v>1</v>
      </c>
      <c r="G276" s="61" t="s">
        <v>565</v>
      </c>
      <c r="H276" s="61" t="s">
        <v>681</v>
      </c>
      <c r="I276" s="61">
        <v>33.640728000000003</v>
      </c>
      <c r="J276" s="61">
        <v>-84.427700000000002</v>
      </c>
      <c r="K276" s="61">
        <v>65.192234650000003</v>
      </c>
      <c r="L276" s="61">
        <v>57.293999999999997</v>
      </c>
      <c r="M276" s="61" t="s">
        <v>617</v>
      </c>
      <c r="N276" s="149">
        <v>5</v>
      </c>
      <c r="O276" s="149">
        <v>6</v>
      </c>
      <c r="P276" s="61" t="s">
        <v>565</v>
      </c>
      <c r="Q276" s="61" t="s">
        <v>564</v>
      </c>
      <c r="R276" s="61">
        <v>41.98028</v>
      </c>
      <c r="S276" s="61">
        <v>-87.908997900000003</v>
      </c>
      <c r="T276" s="61">
        <v>1142.6559999999999</v>
      </c>
      <c r="U276" s="61" t="s">
        <v>617</v>
      </c>
      <c r="V276" s="61" t="s">
        <v>569</v>
      </c>
      <c r="W276" s="61" cm="1">
        <f t="array" ref="W276">getDistance(I276,J276,R276,S276)*SA!$B$12</f>
        <v>976.67906347990493</v>
      </c>
      <c r="Y276" s="137">
        <f>Transportation_LCIA!C$61*($W276^Transportation_LCIA!C$60)+Transportation_LCIA!C$62</f>
        <v>0.23799077256655485</v>
      </c>
      <c r="Z276" s="137">
        <f>Transportation_LCIA!D$61*($W276^Transportation_LCIA!D$60)+Transportation_LCIA!D$62</f>
        <v>2.4498664186649894</v>
      </c>
      <c r="AA276" s="137">
        <f>Transportation_LCIA!E$61*($W276^Transportation_LCIA!E$60)+Transportation_LCIA!E$62</f>
        <v>1.1602893527513285E-3</v>
      </c>
      <c r="AB276" s="137">
        <f>Transportation_LCIA!F$61*($W276^Transportation_LCIA!F$60)+Transportation_LCIA!F$62</f>
        <v>0.23799077256655485</v>
      </c>
      <c r="AC276" s="137">
        <f>Transportation_LCIA!G$61*($W276^Transportation_LCIA!G$60)+Transportation_LCIA!G$62</f>
        <v>5.7251738416183251E-2</v>
      </c>
      <c r="AD276" s="137">
        <f>Transportation_LCIA!H$61*($W276^Transportation_LCIA!H$60)+Transportation_LCIA!H$62</f>
        <v>2.8030572808339046E-4</v>
      </c>
      <c r="AE276" s="137">
        <f>Transportation_LCIA!I$61*($W276^Transportation_LCIA!I$60)+Transportation_LCIA!I$62</f>
        <v>6.0084688172437592E-6</v>
      </c>
      <c r="AF276" s="137">
        <f>Transportation_LCIA!J$61*($W276^Transportation_LCIA!J$60)+Transportation_LCIA!J$62</f>
        <v>8.8936917837252362E-3</v>
      </c>
      <c r="AG276" s="137">
        <f>Transportation_LCIA!K$61*($W276^Transportation_LCIA!K$60)+Transportation_LCIA!K$62</f>
        <v>1.2188706109794917E-2</v>
      </c>
      <c r="AH276" s="137">
        <f>Transportation_LCIA!L$61*($W276^Transportation_LCIA!L$60)+Transportation_LCIA!L$62</f>
        <v>2.4310816549771977E-4</v>
      </c>
      <c r="AI276" s="137">
        <f>Transportation_LCIA!M$61*($W276^Transportation_LCIA!M$60)+Transportation_LCIA!M$62</f>
        <v>2.455450128432447E-4</v>
      </c>
      <c r="AJ276" s="137">
        <f>Transportation_LCIA!N$61*($W276^Transportation_LCIA!N$60)+Transportation_LCIA!N$62</f>
        <v>1.0016506819662974E-3</v>
      </c>
      <c r="AK276" s="137">
        <f>Transportation_LCIA!O$61*($W276^Transportation_LCIA!O$60)+Transportation_LCIA!O$62</f>
        <v>6.050134712780058E-5</v>
      </c>
      <c r="AL276" s="137">
        <f>Transportation_LCIA!P$61*($W276^Transportation_LCIA!P$60)+Transportation_LCIA!P$62</f>
        <v>2.9257301489528483E-8</v>
      </c>
      <c r="AM276" s="137">
        <f>Transportation_LCIA!Q$61*($W276^Transportation_LCIA!Q$60)+Transportation_LCIA!Q$62</f>
        <v>9.6216231090364335E-5</v>
      </c>
      <c r="AN276" s="137">
        <f>Transportation_LCIA!R$61*($W276^Transportation_LCIA!R$60)+Transportation_LCIA!R$62</f>
        <v>2.8896705818992006E-4</v>
      </c>
      <c r="AO276" s="137">
        <f>Transportation_LCIA!S$61*($W276^Transportation_LCIA!S$60)+Transportation_LCIA!S$62</f>
        <v>4.3584988519816731E-6</v>
      </c>
      <c r="AP276" s="137">
        <f>Transportation_LCIA!T$61*($W276^Transportation_LCIA!T$60)+Transportation_LCIA!T$62</f>
        <v>4.3584988519816731E-6</v>
      </c>
      <c r="AQ276" s="137">
        <f>Transportation_LCIA!U$61*($W276^Transportation_LCIA!U$60)+Transportation_LCIA!U$62</f>
        <v>6.204066649837317E-4</v>
      </c>
      <c r="AR276" s="137">
        <f>Transportation_LCIA!V$61*($W276^Transportation_LCIA!V$60)+Transportation_LCIA!V$62</f>
        <v>2.502258212971912E-4</v>
      </c>
      <c r="AT276" s="137">
        <f>$W276*Y276+$L276*Summary_LCIA!H$32</f>
        <v>251.90910606716184</v>
      </c>
      <c r="AU276" s="137">
        <f>$W276*Z276+$L276*Summary_LCIA!Q$32</f>
        <v>2676.6851929408922</v>
      </c>
      <c r="AV276" s="137">
        <f>$W276*AA276+$L276*Summary_LCIA!R$32</f>
        <v>1.4349176048108725</v>
      </c>
      <c r="AW276" s="137">
        <f>$W276*AB276+$L276*Summary_LCIA!S$32</f>
        <v>251.65586658716185</v>
      </c>
      <c r="AX276" s="137">
        <f>$W276*AC276+$L276*Summary_LCIA!T$32</f>
        <v>62.213184858914353</v>
      </c>
      <c r="AY276" s="137">
        <f>$W276*AD276+$L276*Summary_LCIA!U$32</f>
        <v>1.3001334519925387</v>
      </c>
      <c r="AZ276" s="137">
        <f>$W276*AE276+$L276*Summary_LCIA!V$32</f>
        <v>8.6047644313738472E-3</v>
      </c>
      <c r="BA276" s="137">
        <f>$W276*AF276+$L276*Summary_LCIA!W$32</f>
        <v>13.096259036207687</v>
      </c>
      <c r="BB276" s="137">
        <f>$W276*AG276+$L276*Summary_LCIA!X$32</f>
        <v>13.209611388346294</v>
      </c>
      <c r="BC276" s="137">
        <f>$W276*AH276+$L276*Summary_LCIA!Y$32</f>
        <v>1.1301937634026307</v>
      </c>
      <c r="BD276" s="137">
        <f>$W276*AI276+$L276*Summary_LCIA!Z$32</f>
        <v>0.24216824283190147</v>
      </c>
      <c r="BE276" s="137">
        <f>$W276*AJ276+$L276*Summary_LCIA!AA$32</f>
        <v>2.3164499139968511</v>
      </c>
      <c r="BF276" s="137">
        <f>$W276*AK276+$L276*Summary_LCIA!AB$32</f>
        <v>5.7840072090052902E-2</v>
      </c>
      <c r="BG276" s="137">
        <f>$W276*AL276+$L276*Summary_LCIA!AC$32</f>
        <v>3.1375753714741908E-5</v>
      </c>
      <c r="BH276" s="137">
        <f>$W276*AM276+$L276*Summary_LCIA!AD$32</f>
        <v>0.11752250423290315</v>
      </c>
      <c r="BI276" s="137">
        <f>$W276*AN276+$L276*Summary_LCIA!AE$32</f>
        <v>0.33299800798947432</v>
      </c>
      <c r="BJ276" s="137">
        <f>$W276*AO276+$L276*Summary_LCIA!AF$32</f>
        <v>5.2694348056931704E-2</v>
      </c>
      <c r="BK276" s="137">
        <f>$W276*AP276+$L276*Summary_LCIA!AG$32</f>
        <v>7.1883020869317011E-3</v>
      </c>
      <c r="BL276" s="137">
        <f>$W276*AQ276+$L276*Summary_LCIA!AH$32</f>
        <v>1.1046022589330022</v>
      </c>
      <c r="BM276" s="137">
        <f>$W276*AR276+$L276*Summary_LCIA!AI$32</f>
        <v>0.29776254650303075</v>
      </c>
    </row>
    <row r="277" spans="1:65" x14ac:dyDescent="0.25">
      <c r="A277" s="149">
        <v>358</v>
      </c>
      <c r="B277" s="149">
        <v>6</v>
      </c>
      <c r="C277" s="61">
        <v>33.812429000000002</v>
      </c>
      <c r="D277" s="61">
        <v>-84.420958999999996</v>
      </c>
      <c r="E277" s="61" t="s">
        <v>265</v>
      </c>
      <c r="F277" s="149">
        <v>1</v>
      </c>
      <c r="G277" s="61" t="s">
        <v>565</v>
      </c>
      <c r="H277" s="61" t="s">
        <v>681</v>
      </c>
      <c r="I277" s="61">
        <v>33.640728000000003</v>
      </c>
      <c r="J277" s="61">
        <v>-84.427700000000002</v>
      </c>
      <c r="K277" s="61">
        <v>28.524966559999999</v>
      </c>
      <c r="L277" s="61">
        <v>24.202000000000002</v>
      </c>
      <c r="M277" s="61" t="s">
        <v>617</v>
      </c>
      <c r="N277" s="149">
        <v>5</v>
      </c>
      <c r="O277" s="149">
        <v>6</v>
      </c>
      <c r="P277" s="61" t="s">
        <v>565</v>
      </c>
      <c r="Q277" s="61" t="s">
        <v>564</v>
      </c>
      <c r="R277" s="61">
        <v>41.98028</v>
      </c>
      <c r="S277" s="61">
        <v>-87.908997900000003</v>
      </c>
      <c r="T277" s="61">
        <v>1173.1790000000001</v>
      </c>
      <c r="U277" s="61" t="s">
        <v>617</v>
      </c>
      <c r="V277" s="61" t="s">
        <v>569</v>
      </c>
      <c r="W277" s="61" cm="1">
        <f t="array" ref="W277">getDistance(I277,J277,R277,S277)*SA!$B$12</f>
        <v>976.67906347990493</v>
      </c>
      <c r="Y277" s="137">
        <f>Transportation_LCIA!C$61*($W277^Transportation_LCIA!C$60)+Transportation_LCIA!C$62</f>
        <v>0.23799077256655485</v>
      </c>
      <c r="Z277" s="137">
        <f>Transportation_LCIA!D$61*($W277^Transportation_LCIA!D$60)+Transportation_LCIA!D$62</f>
        <v>2.4498664186649894</v>
      </c>
      <c r="AA277" s="137">
        <f>Transportation_LCIA!E$61*($W277^Transportation_LCIA!E$60)+Transportation_LCIA!E$62</f>
        <v>1.1602893527513285E-3</v>
      </c>
      <c r="AB277" s="137">
        <f>Transportation_LCIA!F$61*($W277^Transportation_LCIA!F$60)+Transportation_LCIA!F$62</f>
        <v>0.23799077256655485</v>
      </c>
      <c r="AC277" s="137">
        <f>Transportation_LCIA!G$61*($W277^Transportation_LCIA!G$60)+Transportation_LCIA!G$62</f>
        <v>5.7251738416183251E-2</v>
      </c>
      <c r="AD277" s="137">
        <f>Transportation_LCIA!H$61*($W277^Transportation_LCIA!H$60)+Transportation_LCIA!H$62</f>
        <v>2.8030572808339046E-4</v>
      </c>
      <c r="AE277" s="137">
        <f>Transportation_LCIA!I$61*($W277^Transportation_LCIA!I$60)+Transportation_LCIA!I$62</f>
        <v>6.0084688172437592E-6</v>
      </c>
      <c r="AF277" s="137">
        <f>Transportation_LCIA!J$61*($W277^Transportation_LCIA!J$60)+Transportation_LCIA!J$62</f>
        <v>8.8936917837252362E-3</v>
      </c>
      <c r="AG277" s="137">
        <f>Transportation_LCIA!K$61*($W277^Transportation_LCIA!K$60)+Transportation_LCIA!K$62</f>
        <v>1.2188706109794917E-2</v>
      </c>
      <c r="AH277" s="137">
        <f>Transportation_LCIA!L$61*($W277^Transportation_LCIA!L$60)+Transportation_LCIA!L$62</f>
        <v>2.4310816549771977E-4</v>
      </c>
      <c r="AI277" s="137">
        <f>Transportation_LCIA!M$61*($W277^Transportation_LCIA!M$60)+Transportation_LCIA!M$62</f>
        <v>2.455450128432447E-4</v>
      </c>
      <c r="AJ277" s="137">
        <f>Transportation_LCIA!N$61*($W277^Transportation_LCIA!N$60)+Transportation_LCIA!N$62</f>
        <v>1.0016506819662974E-3</v>
      </c>
      <c r="AK277" s="137">
        <f>Transportation_LCIA!O$61*($W277^Transportation_LCIA!O$60)+Transportation_LCIA!O$62</f>
        <v>6.050134712780058E-5</v>
      </c>
      <c r="AL277" s="137">
        <f>Transportation_LCIA!P$61*($W277^Transportation_LCIA!P$60)+Transportation_LCIA!P$62</f>
        <v>2.9257301489528483E-8</v>
      </c>
      <c r="AM277" s="137">
        <f>Transportation_LCIA!Q$61*($W277^Transportation_LCIA!Q$60)+Transportation_LCIA!Q$62</f>
        <v>9.6216231090364335E-5</v>
      </c>
      <c r="AN277" s="137">
        <f>Transportation_LCIA!R$61*($W277^Transportation_LCIA!R$60)+Transportation_LCIA!R$62</f>
        <v>2.8896705818992006E-4</v>
      </c>
      <c r="AO277" s="137">
        <f>Transportation_LCIA!S$61*($W277^Transportation_LCIA!S$60)+Transportation_LCIA!S$62</f>
        <v>4.3584988519816731E-6</v>
      </c>
      <c r="AP277" s="137">
        <f>Transportation_LCIA!T$61*($W277^Transportation_LCIA!T$60)+Transportation_LCIA!T$62</f>
        <v>4.3584988519816731E-6</v>
      </c>
      <c r="AQ277" s="137">
        <f>Transportation_LCIA!U$61*($W277^Transportation_LCIA!U$60)+Transportation_LCIA!U$62</f>
        <v>6.204066649837317E-4</v>
      </c>
      <c r="AR277" s="137">
        <f>Transportation_LCIA!V$61*($W277^Transportation_LCIA!V$60)+Transportation_LCIA!V$62</f>
        <v>2.502258212971912E-4</v>
      </c>
      <c r="AT277" s="137">
        <f>$W277*Y277+$L277*Summary_LCIA!H$32</f>
        <v>240.66444446716184</v>
      </c>
      <c r="AU277" s="137">
        <f>$W277*Z277+$L277*Summary_LCIA!Q$32</f>
        <v>2512.6795720120563</v>
      </c>
      <c r="AV277" s="137">
        <f>$W277*AA277+$L277*Summary_LCIA!R$32</f>
        <v>1.2606683696108725</v>
      </c>
      <c r="AW277" s="137">
        <f>$W277*AB277+$L277*Summary_LCIA!S$32</f>
        <v>240.55747162716185</v>
      </c>
      <c r="AX277" s="137">
        <f>$W277*AC277+$L277*Summary_LCIA!T$32</f>
        <v>58.576374058914354</v>
      </c>
      <c r="AY277" s="137">
        <f>$W277*AD277+$L277*Summary_LCIA!U$32</f>
        <v>0.7073233639925387</v>
      </c>
      <c r="AZ277" s="137">
        <f>$W277*AE277+$L277*Summary_LCIA!V$32</f>
        <v>7.0242574193738472E-3</v>
      </c>
      <c r="BA277" s="137">
        <f>$W277*AF277+$L277*Summary_LCIA!W$32</f>
        <v>10.549134704207688</v>
      </c>
      <c r="BB277" s="137">
        <f>$W277*AG277+$L277*Summary_LCIA!X$32</f>
        <v>12.455775628346295</v>
      </c>
      <c r="BC277" s="137">
        <f>$W277*AH277+$L277*Summary_LCIA!Y$32</f>
        <v>0.61455421940263066</v>
      </c>
      <c r="BD277" s="137">
        <f>$W277*AI277+$L277*Summary_LCIA!Z$32</f>
        <v>0.24081117300390148</v>
      </c>
      <c r="BE277" s="137">
        <f>$W277*AJ277+$L277*Summary_LCIA!AA$32</f>
        <v>1.5435531619968514</v>
      </c>
      <c r="BF277" s="137">
        <f>$W277*AK277+$L277*Summary_LCIA!AB$32</f>
        <v>5.8562238806052908E-2</v>
      </c>
      <c r="BG277" s="137">
        <f>$W277*AL277+$L277*Summary_LCIA!AC$32</f>
        <v>2.9758084386741906E-5</v>
      </c>
      <c r="BH277" s="137">
        <f>$W277*AM277+$L277*Summary_LCIA!AD$32</f>
        <v>0.10392036855290315</v>
      </c>
      <c r="BI277" s="137">
        <f>$W277*AN277+$L277*Summary_LCIA!AE$32</f>
        <v>0.30367419402947432</v>
      </c>
      <c r="BJ277" s="137">
        <f>$W277*AO277+$L277*Summary_LCIA!AF$32</f>
        <v>2.4717709416931705E-2</v>
      </c>
      <c r="BK277" s="137">
        <f>$W277*AP277+$L277*Summary_LCIA!AG$32</f>
        <v>5.4951499069317011E-3</v>
      </c>
      <c r="BL277" s="137">
        <f>$W277*AQ277+$L277*Summary_LCIA!AH$32</f>
        <v>0.81658272773300222</v>
      </c>
      <c r="BM277" s="137">
        <f>$W277*AR277+$L277*Summary_LCIA!AI$32</f>
        <v>0.26693569390303074</v>
      </c>
    </row>
    <row r="278" spans="1:65" x14ac:dyDescent="0.25">
      <c r="A278" s="149">
        <v>359</v>
      </c>
      <c r="B278" s="149">
        <v>6</v>
      </c>
      <c r="C278" s="61">
        <v>33.812429000000002</v>
      </c>
      <c r="D278" s="61">
        <v>-84.420958999999996</v>
      </c>
      <c r="E278" s="61" t="s">
        <v>265</v>
      </c>
      <c r="F278" s="149">
        <v>1</v>
      </c>
      <c r="G278" s="61" t="s">
        <v>565</v>
      </c>
      <c r="H278" s="61" t="s">
        <v>681</v>
      </c>
      <c r="I278" s="61">
        <v>33.640728000000003</v>
      </c>
      <c r="J278" s="61">
        <v>-84.427700000000002</v>
      </c>
      <c r="K278" s="61">
        <v>28.524966559999999</v>
      </c>
      <c r="L278" s="61">
        <v>24.202000000000002</v>
      </c>
      <c r="M278" s="61" t="s">
        <v>617</v>
      </c>
      <c r="N278" s="149">
        <v>5</v>
      </c>
      <c r="O278" s="149">
        <v>6</v>
      </c>
      <c r="P278" s="61" t="s">
        <v>565</v>
      </c>
      <c r="Q278" s="61" t="s">
        <v>564</v>
      </c>
      <c r="R278" s="61">
        <v>41.98028</v>
      </c>
      <c r="S278" s="61">
        <v>-87.908997900000003</v>
      </c>
      <c r="T278" s="61">
        <v>1173.1790000000001</v>
      </c>
      <c r="U278" s="61" t="s">
        <v>617</v>
      </c>
      <c r="V278" s="61" t="s">
        <v>569</v>
      </c>
      <c r="W278" s="61" cm="1">
        <f t="array" ref="W278">getDistance(I278,J278,R278,S278)*SA!$B$12</f>
        <v>976.67906347990493</v>
      </c>
      <c r="Y278" s="137">
        <f>Transportation_LCIA!C$61*($W278^Transportation_LCIA!C$60)+Transportation_LCIA!C$62</f>
        <v>0.23799077256655485</v>
      </c>
      <c r="Z278" s="137">
        <f>Transportation_LCIA!D$61*($W278^Transportation_LCIA!D$60)+Transportation_LCIA!D$62</f>
        <v>2.4498664186649894</v>
      </c>
      <c r="AA278" s="137">
        <f>Transportation_LCIA!E$61*($W278^Transportation_LCIA!E$60)+Transportation_LCIA!E$62</f>
        <v>1.1602893527513285E-3</v>
      </c>
      <c r="AB278" s="137">
        <f>Transportation_LCIA!F$61*($W278^Transportation_LCIA!F$60)+Transportation_LCIA!F$62</f>
        <v>0.23799077256655485</v>
      </c>
      <c r="AC278" s="137">
        <f>Transportation_LCIA!G$61*($W278^Transportation_LCIA!G$60)+Transportation_LCIA!G$62</f>
        <v>5.7251738416183251E-2</v>
      </c>
      <c r="AD278" s="137">
        <f>Transportation_LCIA!H$61*($W278^Transportation_LCIA!H$60)+Transportation_LCIA!H$62</f>
        <v>2.8030572808339046E-4</v>
      </c>
      <c r="AE278" s="137">
        <f>Transportation_LCIA!I$61*($W278^Transportation_LCIA!I$60)+Transportation_LCIA!I$62</f>
        <v>6.0084688172437592E-6</v>
      </c>
      <c r="AF278" s="137">
        <f>Transportation_LCIA!J$61*($W278^Transportation_LCIA!J$60)+Transportation_LCIA!J$62</f>
        <v>8.8936917837252362E-3</v>
      </c>
      <c r="AG278" s="137">
        <f>Transportation_LCIA!K$61*($W278^Transportation_LCIA!K$60)+Transportation_LCIA!K$62</f>
        <v>1.2188706109794917E-2</v>
      </c>
      <c r="AH278" s="137">
        <f>Transportation_LCIA!L$61*($W278^Transportation_LCIA!L$60)+Transportation_LCIA!L$62</f>
        <v>2.4310816549771977E-4</v>
      </c>
      <c r="AI278" s="137">
        <f>Transportation_LCIA!M$61*($W278^Transportation_LCIA!M$60)+Transportation_LCIA!M$62</f>
        <v>2.455450128432447E-4</v>
      </c>
      <c r="AJ278" s="137">
        <f>Transportation_LCIA!N$61*($W278^Transportation_LCIA!N$60)+Transportation_LCIA!N$62</f>
        <v>1.0016506819662974E-3</v>
      </c>
      <c r="AK278" s="137">
        <f>Transportation_LCIA!O$61*($W278^Transportation_LCIA!O$60)+Transportation_LCIA!O$62</f>
        <v>6.050134712780058E-5</v>
      </c>
      <c r="AL278" s="137">
        <f>Transportation_LCIA!P$61*($W278^Transportation_LCIA!P$60)+Transportation_LCIA!P$62</f>
        <v>2.9257301489528483E-8</v>
      </c>
      <c r="AM278" s="137">
        <f>Transportation_LCIA!Q$61*($W278^Transportation_LCIA!Q$60)+Transportation_LCIA!Q$62</f>
        <v>9.6216231090364335E-5</v>
      </c>
      <c r="AN278" s="137">
        <f>Transportation_LCIA!R$61*($W278^Transportation_LCIA!R$60)+Transportation_LCIA!R$62</f>
        <v>2.8896705818992006E-4</v>
      </c>
      <c r="AO278" s="137">
        <f>Transportation_LCIA!S$61*($W278^Transportation_LCIA!S$60)+Transportation_LCIA!S$62</f>
        <v>4.3584988519816731E-6</v>
      </c>
      <c r="AP278" s="137">
        <f>Transportation_LCIA!T$61*($W278^Transportation_LCIA!T$60)+Transportation_LCIA!T$62</f>
        <v>4.3584988519816731E-6</v>
      </c>
      <c r="AQ278" s="137">
        <f>Transportation_LCIA!U$61*($W278^Transportation_LCIA!U$60)+Transportation_LCIA!U$62</f>
        <v>6.204066649837317E-4</v>
      </c>
      <c r="AR278" s="137">
        <f>Transportation_LCIA!V$61*($W278^Transportation_LCIA!V$60)+Transportation_LCIA!V$62</f>
        <v>2.502258212971912E-4</v>
      </c>
      <c r="AT278" s="137">
        <f>$W278*Y278+$L278*Summary_LCIA!H$32</f>
        <v>240.66444446716184</v>
      </c>
      <c r="AU278" s="137">
        <f>$W278*Z278+$L278*Summary_LCIA!Q$32</f>
        <v>2512.6795720120563</v>
      </c>
      <c r="AV278" s="137">
        <f>$W278*AA278+$L278*Summary_LCIA!R$32</f>
        <v>1.2606683696108725</v>
      </c>
      <c r="AW278" s="137">
        <f>$W278*AB278+$L278*Summary_LCIA!S$32</f>
        <v>240.55747162716185</v>
      </c>
      <c r="AX278" s="137">
        <f>$W278*AC278+$L278*Summary_LCIA!T$32</f>
        <v>58.576374058914354</v>
      </c>
      <c r="AY278" s="137">
        <f>$W278*AD278+$L278*Summary_LCIA!U$32</f>
        <v>0.7073233639925387</v>
      </c>
      <c r="AZ278" s="137">
        <f>$W278*AE278+$L278*Summary_LCIA!V$32</f>
        <v>7.0242574193738472E-3</v>
      </c>
      <c r="BA278" s="137">
        <f>$W278*AF278+$L278*Summary_LCIA!W$32</f>
        <v>10.549134704207688</v>
      </c>
      <c r="BB278" s="137">
        <f>$W278*AG278+$L278*Summary_LCIA!X$32</f>
        <v>12.455775628346295</v>
      </c>
      <c r="BC278" s="137">
        <f>$W278*AH278+$L278*Summary_LCIA!Y$32</f>
        <v>0.61455421940263066</v>
      </c>
      <c r="BD278" s="137">
        <f>$W278*AI278+$L278*Summary_LCIA!Z$32</f>
        <v>0.24081117300390148</v>
      </c>
      <c r="BE278" s="137">
        <f>$W278*AJ278+$L278*Summary_LCIA!AA$32</f>
        <v>1.5435531619968514</v>
      </c>
      <c r="BF278" s="137">
        <f>$W278*AK278+$L278*Summary_LCIA!AB$32</f>
        <v>5.8562238806052908E-2</v>
      </c>
      <c r="BG278" s="137">
        <f>$W278*AL278+$L278*Summary_LCIA!AC$32</f>
        <v>2.9758084386741906E-5</v>
      </c>
      <c r="BH278" s="137">
        <f>$W278*AM278+$L278*Summary_LCIA!AD$32</f>
        <v>0.10392036855290315</v>
      </c>
      <c r="BI278" s="137">
        <f>$W278*AN278+$L278*Summary_LCIA!AE$32</f>
        <v>0.30367419402947432</v>
      </c>
      <c r="BJ278" s="137">
        <f>$W278*AO278+$L278*Summary_LCIA!AF$32</f>
        <v>2.4717709416931705E-2</v>
      </c>
      <c r="BK278" s="137">
        <f>$W278*AP278+$L278*Summary_LCIA!AG$32</f>
        <v>5.4951499069317011E-3</v>
      </c>
      <c r="BL278" s="137">
        <f>$W278*AQ278+$L278*Summary_LCIA!AH$32</f>
        <v>0.81658272773300222</v>
      </c>
      <c r="BM278" s="137">
        <f>$W278*AR278+$L278*Summary_LCIA!AI$32</f>
        <v>0.26693569390303074</v>
      </c>
    </row>
    <row r="279" spans="1:65" x14ac:dyDescent="0.25">
      <c r="A279" s="149">
        <v>286</v>
      </c>
      <c r="B279" s="149">
        <v>6</v>
      </c>
      <c r="C279" s="61">
        <v>33.771270999999999</v>
      </c>
      <c r="D279" s="61">
        <v>-84.389756000000006</v>
      </c>
      <c r="E279" s="61" t="s">
        <v>265</v>
      </c>
      <c r="F279" s="149">
        <v>1</v>
      </c>
      <c r="G279" s="61" t="s">
        <v>565</v>
      </c>
      <c r="H279" s="61" t="s">
        <v>681</v>
      </c>
      <c r="I279" s="61">
        <v>33.640728000000003</v>
      </c>
      <c r="J279" s="61">
        <v>-84.427700000000002</v>
      </c>
      <c r="K279" s="61">
        <v>22.091562750000001</v>
      </c>
      <c r="L279" s="61">
        <v>18.202999999999999</v>
      </c>
      <c r="M279" s="61" t="s">
        <v>617</v>
      </c>
      <c r="N279" s="149">
        <v>5</v>
      </c>
      <c r="O279" s="149">
        <v>6</v>
      </c>
      <c r="P279" s="61" t="s">
        <v>565</v>
      </c>
      <c r="Q279" s="61" t="s">
        <v>564</v>
      </c>
      <c r="R279" s="61">
        <v>41.98028</v>
      </c>
      <c r="S279" s="61">
        <v>-87.908997900000003</v>
      </c>
      <c r="T279" s="61">
        <v>1177.3019999999999</v>
      </c>
      <c r="U279" s="61" t="s">
        <v>617</v>
      </c>
      <c r="V279" s="61" t="s">
        <v>569</v>
      </c>
      <c r="W279" s="61" cm="1">
        <f t="array" ref="W279">getDistance(I279,J279,R279,S279)*SA!$B$12</f>
        <v>976.67906347990493</v>
      </c>
      <c r="Y279" s="137">
        <f>Transportation_LCIA!C$61*($W279^Transportation_LCIA!C$60)+Transportation_LCIA!C$62</f>
        <v>0.23799077256655485</v>
      </c>
      <c r="Z279" s="137">
        <f>Transportation_LCIA!D$61*($W279^Transportation_LCIA!D$60)+Transportation_LCIA!D$62</f>
        <v>2.4498664186649894</v>
      </c>
      <c r="AA279" s="137">
        <f>Transportation_LCIA!E$61*($W279^Transportation_LCIA!E$60)+Transportation_LCIA!E$62</f>
        <v>1.1602893527513285E-3</v>
      </c>
      <c r="AB279" s="137">
        <f>Transportation_LCIA!F$61*($W279^Transportation_LCIA!F$60)+Transportation_LCIA!F$62</f>
        <v>0.23799077256655485</v>
      </c>
      <c r="AC279" s="137">
        <f>Transportation_LCIA!G$61*($W279^Transportation_LCIA!G$60)+Transportation_LCIA!G$62</f>
        <v>5.7251738416183251E-2</v>
      </c>
      <c r="AD279" s="137">
        <f>Transportation_LCIA!H$61*($W279^Transportation_LCIA!H$60)+Transportation_LCIA!H$62</f>
        <v>2.8030572808339046E-4</v>
      </c>
      <c r="AE279" s="137">
        <f>Transportation_LCIA!I$61*($W279^Transportation_LCIA!I$60)+Transportation_LCIA!I$62</f>
        <v>6.0084688172437592E-6</v>
      </c>
      <c r="AF279" s="137">
        <f>Transportation_LCIA!J$61*($W279^Transportation_LCIA!J$60)+Transportation_LCIA!J$62</f>
        <v>8.8936917837252362E-3</v>
      </c>
      <c r="AG279" s="137">
        <f>Transportation_LCIA!K$61*($W279^Transportation_LCIA!K$60)+Transportation_LCIA!K$62</f>
        <v>1.2188706109794917E-2</v>
      </c>
      <c r="AH279" s="137">
        <f>Transportation_LCIA!L$61*($W279^Transportation_LCIA!L$60)+Transportation_LCIA!L$62</f>
        <v>2.4310816549771977E-4</v>
      </c>
      <c r="AI279" s="137">
        <f>Transportation_LCIA!M$61*($W279^Transportation_LCIA!M$60)+Transportation_LCIA!M$62</f>
        <v>2.455450128432447E-4</v>
      </c>
      <c r="AJ279" s="137">
        <f>Transportation_LCIA!N$61*($W279^Transportation_LCIA!N$60)+Transportation_LCIA!N$62</f>
        <v>1.0016506819662974E-3</v>
      </c>
      <c r="AK279" s="137">
        <f>Transportation_LCIA!O$61*($W279^Transportation_LCIA!O$60)+Transportation_LCIA!O$62</f>
        <v>6.050134712780058E-5</v>
      </c>
      <c r="AL279" s="137">
        <f>Transportation_LCIA!P$61*($W279^Transportation_LCIA!P$60)+Transportation_LCIA!P$62</f>
        <v>2.9257301489528483E-8</v>
      </c>
      <c r="AM279" s="137">
        <f>Transportation_LCIA!Q$61*($W279^Transportation_LCIA!Q$60)+Transportation_LCIA!Q$62</f>
        <v>9.6216231090364335E-5</v>
      </c>
      <c r="AN279" s="137">
        <f>Transportation_LCIA!R$61*($W279^Transportation_LCIA!R$60)+Transportation_LCIA!R$62</f>
        <v>2.8896705818992006E-4</v>
      </c>
      <c r="AO279" s="137">
        <f>Transportation_LCIA!S$61*($W279^Transportation_LCIA!S$60)+Transportation_LCIA!S$62</f>
        <v>4.3584988519816731E-6</v>
      </c>
      <c r="AP279" s="137">
        <f>Transportation_LCIA!T$61*($W279^Transportation_LCIA!T$60)+Transportation_LCIA!T$62</f>
        <v>4.3584988519816731E-6</v>
      </c>
      <c r="AQ279" s="137">
        <f>Transportation_LCIA!U$61*($W279^Transportation_LCIA!U$60)+Transportation_LCIA!U$62</f>
        <v>6.204066649837317E-4</v>
      </c>
      <c r="AR279" s="137">
        <f>Transportation_LCIA!V$61*($W279^Transportation_LCIA!V$60)+Transportation_LCIA!V$62</f>
        <v>2.502258212971912E-4</v>
      </c>
      <c r="AT279" s="137">
        <f>$W279*Y279+$L279*Summary_LCIA!H$32</f>
        <v>238.62598426716184</v>
      </c>
      <c r="AU279" s="137">
        <f>$W279*Z279+$L279*Summary_LCIA!Q$32</f>
        <v>2482.9482254644895</v>
      </c>
      <c r="AV279" s="137">
        <f>$W279*AA279+$L279*Summary_LCIA!R$32</f>
        <v>1.2290800352108726</v>
      </c>
      <c r="AW279" s="137">
        <f>$W279*AB279+$L279*Summary_LCIA!S$32</f>
        <v>238.54552700716187</v>
      </c>
      <c r="AX279" s="137">
        <f>$W279*AC279+$L279*Summary_LCIA!T$32</f>
        <v>57.917083958914354</v>
      </c>
      <c r="AY279" s="137">
        <f>$W279*AD279+$L279*Summary_LCIA!U$32</f>
        <v>0.59985727799253863</v>
      </c>
      <c r="AZ279" s="137">
        <f>$W279*AE279+$L279*Summary_LCIA!V$32</f>
        <v>6.7377391803738465E-3</v>
      </c>
      <c r="BA279" s="137">
        <f>$W279*AF279+$L279*Summary_LCIA!W$32</f>
        <v>10.087385675207688</v>
      </c>
      <c r="BB279" s="137">
        <f>$W279*AG279+$L279*Summary_LCIA!X$32</f>
        <v>12.319118408346295</v>
      </c>
      <c r="BC279" s="137">
        <f>$W279*AH279+$L279*Summary_LCIA!Y$32</f>
        <v>0.52107780140263071</v>
      </c>
      <c r="BD279" s="137">
        <f>$W279*AI279+$L279*Summary_LCIA!Z$32</f>
        <v>0.24056516001290146</v>
      </c>
      <c r="BE279" s="137">
        <f>$W279*AJ279+$L279*Summary_LCIA!AA$32</f>
        <v>1.4034405179968514</v>
      </c>
      <c r="BF279" s="137">
        <f>$W279*AK279+$L279*Summary_LCIA!AB$32</f>
        <v>5.8693154983052907E-2</v>
      </c>
      <c r="BG279" s="137">
        <f>$W279*AL279+$L279*Summary_LCIA!AC$32</f>
        <v>2.9464829270741907E-5</v>
      </c>
      <c r="BH279" s="137">
        <f>$W279*AM279+$L279*Summary_LCIA!AD$32</f>
        <v>0.10145453959290315</v>
      </c>
      <c r="BI279" s="137">
        <f>$W279*AN279+$L279*Summary_LCIA!AE$32</f>
        <v>0.29835830015947434</v>
      </c>
      <c r="BJ279" s="137">
        <f>$W279*AO279+$L279*Summary_LCIA!AF$32</f>
        <v>1.9646034836931701E-2</v>
      </c>
      <c r="BK279" s="137">
        <f>$W279*AP279+$L279*Summary_LCIA!AG$32</f>
        <v>5.1882110719317009E-3</v>
      </c>
      <c r="BL279" s="137">
        <f>$W279*AQ279+$L279*Summary_LCIA!AH$32</f>
        <v>0.76436983133300218</v>
      </c>
      <c r="BM279" s="137">
        <f>$W279*AR279+$L279*Summary_LCIA!AI$32</f>
        <v>0.26134732545303074</v>
      </c>
    </row>
    <row r="280" spans="1:65" x14ac:dyDescent="0.25">
      <c r="A280" s="149">
        <v>137</v>
      </c>
      <c r="B280" s="149">
        <v>6</v>
      </c>
      <c r="C280" s="61">
        <v>33.748995000000001</v>
      </c>
      <c r="D280" s="61">
        <v>-84.387981999999994</v>
      </c>
      <c r="E280" s="61" t="s">
        <v>265</v>
      </c>
      <c r="F280" s="149">
        <v>1</v>
      </c>
      <c r="G280" s="61" t="s">
        <v>565</v>
      </c>
      <c r="H280" s="61" t="s">
        <v>681</v>
      </c>
      <c r="I280" s="61">
        <v>33.640728000000003</v>
      </c>
      <c r="J280" s="61">
        <v>-84.427700000000002</v>
      </c>
      <c r="K280" s="61">
        <v>18.49134737</v>
      </c>
      <c r="L280" s="61">
        <v>14.686999999999999</v>
      </c>
      <c r="M280" s="61" t="s">
        <v>617</v>
      </c>
      <c r="N280" s="149">
        <v>5</v>
      </c>
      <c r="O280" s="149">
        <v>6</v>
      </c>
      <c r="P280" s="61" t="s">
        <v>565</v>
      </c>
      <c r="Q280" s="61" t="s">
        <v>564</v>
      </c>
      <c r="R280" s="61">
        <v>41.98028</v>
      </c>
      <c r="S280" s="61">
        <v>-87.908997900000003</v>
      </c>
      <c r="T280" s="61">
        <v>1180.386</v>
      </c>
      <c r="U280" s="61" t="s">
        <v>617</v>
      </c>
      <c r="V280" s="61" t="s">
        <v>569</v>
      </c>
      <c r="W280" s="61" cm="1">
        <f t="array" ref="W280">getDistance(I280,J280,R280,S280)*SA!$B$12</f>
        <v>976.67906347990493</v>
      </c>
      <c r="Y280" s="137">
        <f>Transportation_LCIA!C$61*($W280^Transportation_LCIA!C$60)+Transportation_LCIA!C$62</f>
        <v>0.23799077256655485</v>
      </c>
      <c r="Z280" s="137">
        <f>Transportation_LCIA!D$61*($W280^Transportation_LCIA!D$60)+Transportation_LCIA!D$62</f>
        <v>2.4498664186649894</v>
      </c>
      <c r="AA280" s="137">
        <f>Transportation_LCIA!E$61*($W280^Transportation_LCIA!E$60)+Transportation_LCIA!E$62</f>
        <v>1.1602893527513285E-3</v>
      </c>
      <c r="AB280" s="137">
        <f>Transportation_LCIA!F$61*($W280^Transportation_LCIA!F$60)+Transportation_LCIA!F$62</f>
        <v>0.23799077256655485</v>
      </c>
      <c r="AC280" s="137">
        <f>Transportation_LCIA!G$61*($W280^Transportation_LCIA!G$60)+Transportation_LCIA!G$62</f>
        <v>5.7251738416183251E-2</v>
      </c>
      <c r="AD280" s="137">
        <f>Transportation_LCIA!H$61*($W280^Transportation_LCIA!H$60)+Transportation_LCIA!H$62</f>
        <v>2.8030572808339046E-4</v>
      </c>
      <c r="AE280" s="137">
        <f>Transportation_LCIA!I$61*($W280^Transportation_LCIA!I$60)+Transportation_LCIA!I$62</f>
        <v>6.0084688172437592E-6</v>
      </c>
      <c r="AF280" s="137">
        <f>Transportation_LCIA!J$61*($W280^Transportation_LCIA!J$60)+Transportation_LCIA!J$62</f>
        <v>8.8936917837252362E-3</v>
      </c>
      <c r="AG280" s="137">
        <f>Transportation_LCIA!K$61*($W280^Transportation_LCIA!K$60)+Transportation_LCIA!K$62</f>
        <v>1.2188706109794917E-2</v>
      </c>
      <c r="AH280" s="137">
        <f>Transportation_LCIA!L$61*($W280^Transportation_LCIA!L$60)+Transportation_LCIA!L$62</f>
        <v>2.4310816549771977E-4</v>
      </c>
      <c r="AI280" s="137">
        <f>Transportation_LCIA!M$61*($W280^Transportation_LCIA!M$60)+Transportation_LCIA!M$62</f>
        <v>2.455450128432447E-4</v>
      </c>
      <c r="AJ280" s="137">
        <f>Transportation_LCIA!N$61*($W280^Transportation_LCIA!N$60)+Transportation_LCIA!N$62</f>
        <v>1.0016506819662974E-3</v>
      </c>
      <c r="AK280" s="137">
        <f>Transportation_LCIA!O$61*($W280^Transportation_LCIA!O$60)+Transportation_LCIA!O$62</f>
        <v>6.050134712780058E-5</v>
      </c>
      <c r="AL280" s="137">
        <f>Transportation_LCIA!P$61*($W280^Transportation_LCIA!P$60)+Transportation_LCIA!P$62</f>
        <v>2.9257301489528483E-8</v>
      </c>
      <c r="AM280" s="137">
        <f>Transportation_LCIA!Q$61*($W280^Transportation_LCIA!Q$60)+Transportation_LCIA!Q$62</f>
        <v>9.6216231090364335E-5</v>
      </c>
      <c r="AN280" s="137">
        <f>Transportation_LCIA!R$61*($W280^Transportation_LCIA!R$60)+Transportation_LCIA!R$62</f>
        <v>2.8896705818992006E-4</v>
      </c>
      <c r="AO280" s="137">
        <f>Transportation_LCIA!S$61*($W280^Transportation_LCIA!S$60)+Transportation_LCIA!S$62</f>
        <v>4.3584988519816731E-6</v>
      </c>
      <c r="AP280" s="137">
        <f>Transportation_LCIA!T$61*($W280^Transportation_LCIA!T$60)+Transportation_LCIA!T$62</f>
        <v>4.3584988519816731E-6</v>
      </c>
      <c r="AQ280" s="137">
        <f>Transportation_LCIA!U$61*($W280^Transportation_LCIA!U$60)+Transportation_LCIA!U$62</f>
        <v>6.204066649837317E-4</v>
      </c>
      <c r="AR280" s="137">
        <f>Transportation_LCIA!V$61*($W280^Transportation_LCIA!V$60)+Transportation_LCIA!V$62</f>
        <v>2.502258212971912E-4</v>
      </c>
      <c r="AT280" s="137">
        <f>$W280*Y280+$L280*Summary_LCIA!H$32</f>
        <v>237.43124746716185</v>
      </c>
      <c r="AU280" s="137">
        <f>$W280*Z280+$L280*Summary_LCIA!Q$32</f>
        <v>2465.5227521420616</v>
      </c>
      <c r="AV280" s="137">
        <f>$W280*AA280+$L280*Summary_LCIA!R$32</f>
        <v>1.2105661856108725</v>
      </c>
      <c r="AW280" s="137">
        <f>$W280*AB280+$L280*Summary_LCIA!S$32</f>
        <v>237.36633092716184</v>
      </c>
      <c r="AX280" s="137">
        <f>$W280*AC280+$L280*Summary_LCIA!T$32</f>
        <v>57.530675558914353</v>
      </c>
      <c r="AY280" s="137">
        <f>$W280*AD280+$L280*Summary_LCIA!U$32</f>
        <v>0.53687165399253867</v>
      </c>
      <c r="AZ280" s="137">
        <f>$W280*AE280+$L280*Summary_LCIA!V$32</f>
        <v>6.5698115043738466E-3</v>
      </c>
      <c r="BA280" s="137">
        <f>$W280*AF280+$L280*Summary_LCIA!W$32</f>
        <v>9.8167556392076882</v>
      </c>
      <c r="BB280" s="137">
        <f>$W280*AG280+$L280*Summary_LCIA!X$32</f>
        <v>12.239023928346295</v>
      </c>
      <c r="BC280" s="137">
        <f>$W280*AH280+$L280*Summary_LCIA!Y$32</f>
        <v>0.46629148940263065</v>
      </c>
      <c r="BD280" s="137">
        <f>$W280*AI280+$L280*Summary_LCIA!Z$32</f>
        <v>0.24042097236890148</v>
      </c>
      <c r="BE280" s="137">
        <f>$W280*AJ280+$L280*Summary_LCIA!AA$32</f>
        <v>1.3213208219968515</v>
      </c>
      <c r="BF280" s="137">
        <f>$W280*AK280+$L280*Summary_LCIA!AB$32</f>
        <v>5.8769884651052907E-2</v>
      </c>
      <c r="BG280" s="137">
        <f>$W280*AL280+$L280*Summary_LCIA!AC$32</f>
        <v>2.9292953126741906E-5</v>
      </c>
      <c r="BH280" s="137">
        <f>$W280*AM280+$L280*Summary_LCIA!AD$32</f>
        <v>0.10000932295290316</v>
      </c>
      <c r="BI280" s="137">
        <f>$W280*AN280+$L280*Summary_LCIA!AE$32</f>
        <v>0.29524266707947433</v>
      </c>
      <c r="BJ280" s="137">
        <f>$W280*AO280+$L280*Summary_LCIA!AF$32</f>
        <v>1.6673538116931702E-2</v>
      </c>
      <c r="BK280" s="137">
        <f>$W280*AP280+$L280*Summary_LCIA!AG$32</f>
        <v>5.0083149319317009E-3</v>
      </c>
      <c r="BL280" s="137">
        <f>$W280*AQ280+$L280*Summary_LCIA!AH$32</f>
        <v>0.73376797373300218</v>
      </c>
      <c r="BM280" s="137">
        <f>$W280*AR280+$L280*Summary_LCIA!AI$32</f>
        <v>0.25807199565303074</v>
      </c>
    </row>
    <row r="281" spans="1:65" x14ac:dyDescent="0.25">
      <c r="A281" s="149">
        <v>138</v>
      </c>
      <c r="B281" s="149">
        <v>6</v>
      </c>
      <c r="C281" s="61">
        <v>33.748995000000001</v>
      </c>
      <c r="D281" s="61">
        <v>-84.387981999999994</v>
      </c>
      <c r="E281" s="61" t="s">
        <v>265</v>
      </c>
      <c r="F281" s="149">
        <v>1</v>
      </c>
      <c r="G281" s="61" t="s">
        <v>565</v>
      </c>
      <c r="H281" s="61" t="s">
        <v>681</v>
      </c>
      <c r="I281" s="61">
        <v>33.640728000000003</v>
      </c>
      <c r="J281" s="61">
        <v>-84.427700000000002</v>
      </c>
      <c r="K281" s="61">
        <v>18.49134737</v>
      </c>
      <c r="L281" s="61">
        <v>14.686999999999999</v>
      </c>
      <c r="M281" s="61" t="s">
        <v>617</v>
      </c>
      <c r="N281" s="149">
        <v>5</v>
      </c>
      <c r="O281" s="149">
        <v>6</v>
      </c>
      <c r="P281" s="61" t="s">
        <v>565</v>
      </c>
      <c r="Q281" s="61" t="s">
        <v>564</v>
      </c>
      <c r="R281" s="61">
        <v>41.98028</v>
      </c>
      <c r="S281" s="61">
        <v>-87.908997900000003</v>
      </c>
      <c r="T281" s="61">
        <v>1180.386</v>
      </c>
      <c r="U281" s="61" t="s">
        <v>617</v>
      </c>
      <c r="V281" s="61" t="s">
        <v>569</v>
      </c>
      <c r="W281" s="61" cm="1">
        <f t="array" ref="W281">getDistance(I281,J281,R281,S281)*SA!$B$12</f>
        <v>976.67906347990493</v>
      </c>
      <c r="Y281" s="137">
        <f>Transportation_LCIA!C$61*($W281^Transportation_LCIA!C$60)+Transportation_LCIA!C$62</f>
        <v>0.23799077256655485</v>
      </c>
      <c r="Z281" s="137">
        <f>Transportation_LCIA!D$61*($W281^Transportation_LCIA!D$60)+Transportation_LCIA!D$62</f>
        <v>2.4498664186649894</v>
      </c>
      <c r="AA281" s="137">
        <f>Transportation_LCIA!E$61*($W281^Transportation_LCIA!E$60)+Transportation_LCIA!E$62</f>
        <v>1.1602893527513285E-3</v>
      </c>
      <c r="AB281" s="137">
        <f>Transportation_LCIA!F$61*($W281^Transportation_LCIA!F$60)+Transportation_LCIA!F$62</f>
        <v>0.23799077256655485</v>
      </c>
      <c r="AC281" s="137">
        <f>Transportation_LCIA!G$61*($W281^Transportation_LCIA!G$60)+Transportation_LCIA!G$62</f>
        <v>5.7251738416183251E-2</v>
      </c>
      <c r="AD281" s="137">
        <f>Transportation_LCIA!H$61*($W281^Transportation_LCIA!H$60)+Transportation_LCIA!H$62</f>
        <v>2.8030572808339046E-4</v>
      </c>
      <c r="AE281" s="137">
        <f>Transportation_LCIA!I$61*($W281^Transportation_LCIA!I$60)+Transportation_LCIA!I$62</f>
        <v>6.0084688172437592E-6</v>
      </c>
      <c r="AF281" s="137">
        <f>Transportation_LCIA!J$61*($W281^Transportation_LCIA!J$60)+Transportation_LCIA!J$62</f>
        <v>8.8936917837252362E-3</v>
      </c>
      <c r="AG281" s="137">
        <f>Transportation_LCIA!K$61*($W281^Transportation_LCIA!K$60)+Transportation_LCIA!K$62</f>
        <v>1.2188706109794917E-2</v>
      </c>
      <c r="AH281" s="137">
        <f>Transportation_LCIA!L$61*($W281^Transportation_LCIA!L$60)+Transportation_LCIA!L$62</f>
        <v>2.4310816549771977E-4</v>
      </c>
      <c r="AI281" s="137">
        <f>Transportation_LCIA!M$61*($W281^Transportation_LCIA!M$60)+Transportation_LCIA!M$62</f>
        <v>2.455450128432447E-4</v>
      </c>
      <c r="AJ281" s="137">
        <f>Transportation_LCIA!N$61*($W281^Transportation_LCIA!N$60)+Transportation_LCIA!N$62</f>
        <v>1.0016506819662974E-3</v>
      </c>
      <c r="AK281" s="137">
        <f>Transportation_LCIA!O$61*($W281^Transportation_LCIA!O$60)+Transportation_LCIA!O$62</f>
        <v>6.050134712780058E-5</v>
      </c>
      <c r="AL281" s="137">
        <f>Transportation_LCIA!P$61*($W281^Transportation_LCIA!P$60)+Transportation_LCIA!P$62</f>
        <v>2.9257301489528483E-8</v>
      </c>
      <c r="AM281" s="137">
        <f>Transportation_LCIA!Q$61*($W281^Transportation_LCIA!Q$60)+Transportation_LCIA!Q$62</f>
        <v>9.6216231090364335E-5</v>
      </c>
      <c r="AN281" s="137">
        <f>Transportation_LCIA!R$61*($W281^Transportation_LCIA!R$60)+Transportation_LCIA!R$62</f>
        <v>2.8896705818992006E-4</v>
      </c>
      <c r="AO281" s="137">
        <f>Transportation_LCIA!S$61*($W281^Transportation_LCIA!S$60)+Transportation_LCIA!S$62</f>
        <v>4.3584988519816731E-6</v>
      </c>
      <c r="AP281" s="137">
        <f>Transportation_LCIA!T$61*($W281^Transportation_LCIA!T$60)+Transportation_LCIA!T$62</f>
        <v>4.3584988519816731E-6</v>
      </c>
      <c r="AQ281" s="137">
        <f>Transportation_LCIA!U$61*($W281^Transportation_LCIA!U$60)+Transportation_LCIA!U$62</f>
        <v>6.204066649837317E-4</v>
      </c>
      <c r="AR281" s="137">
        <f>Transportation_LCIA!V$61*($W281^Transportation_LCIA!V$60)+Transportation_LCIA!V$62</f>
        <v>2.502258212971912E-4</v>
      </c>
      <c r="AT281" s="137">
        <f>$W281*Y281+$L281*Summary_LCIA!H$32</f>
        <v>237.43124746716185</v>
      </c>
      <c r="AU281" s="137">
        <f>$W281*Z281+$L281*Summary_LCIA!Q$32</f>
        <v>2465.5227521420616</v>
      </c>
      <c r="AV281" s="137">
        <f>$W281*AA281+$L281*Summary_LCIA!R$32</f>
        <v>1.2105661856108725</v>
      </c>
      <c r="AW281" s="137">
        <f>$W281*AB281+$L281*Summary_LCIA!S$32</f>
        <v>237.36633092716184</v>
      </c>
      <c r="AX281" s="137">
        <f>$W281*AC281+$L281*Summary_LCIA!T$32</f>
        <v>57.530675558914353</v>
      </c>
      <c r="AY281" s="137">
        <f>$W281*AD281+$L281*Summary_LCIA!U$32</f>
        <v>0.53687165399253867</v>
      </c>
      <c r="AZ281" s="137">
        <f>$W281*AE281+$L281*Summary_LCIA!V$32</f>
        <v>6.5698115043738466E-3</v>
      </c>
      <c r="BA281" s="137">
        <f>$W281*AF281+$L281*Summary_LCIA!W$32</f>
        <v>9.8167556392076882</v>
      </c>
      <c r="BB281" s="137">
        <f>$W281*AG281+$L281*Summary_LCIA!X$32</f>
        <v>12.239023928346295</v>
      </c>
      <c r="BC281" s="137">
        <f>$W281*AH281+$L281*Summary_LCIA!Y$32</f>
        <v>0.46629148940263065</v>
      </c>
      <c r="BD281" s="137">
        <f>$W281*AI281+$L281*Summary_LCIA!Z$32</f>
        <v>0.24042097236890148</v>
      </c>
      <c r="BE281" s="137">
        <f>$W281*AJ281+$L281*Summary_LCIA!AA$32</f>
        <v>1.3213208219968515</v>
      </c>
      <c r="BF281" s="137">
        <f>$W281*AK281+$L281*Summary_LCIA!AB$32</f>
        <v>5.8769884651052907E-2</v>
      </c>
      <c r="BG281" s="137">
        <f>$W281*AL281+$L281*Summary_LCIA!AC$32</f>
        <v>2.9292953126741906E-5</v>
      </c>
      <c r="BH281" s="137">
        <f>$W281*AM281+$L281*Summary_LCIA!AD$32</f>
        <v>0.10000932295290316</v>
      </c>
      <c r="BI281" s="137">
        <f>$W281*AN281+$L281*Summary_LCIA!AE$32</f>
        <v>0.29524266707947433</v>
      </c>
      <c r="BJ281" s="137">
        <f>$W281*AO281+$L281*Summary_LCIA!AF$32</f>
        <v>1.6673538116931702E-2</v>
      </c>
      <c r="BK281" s="137">
        <f>$W281*AP281+$L281*Summary_LCIA!AG$32</f>
        <v>5.0083149319317009E-3</v>
      </c>
      <c r="BL281" s="137">
        <f>$W281*AQ281+$L281*Summary_LCIA!AH$32</f>
        <v>0.73376797373300218</v>
      </c>
      <c r="BM281" s="137">
        <f>$W281*AR281+$L281*Summary_LCIA!AI$32</f>
        <v>0.25807199565303074</v>
      </c>
    </row>
    <row r="282" spans="1:65" x14ac:dyDescent="0.25">
      <c r="A282" s="149">
        <v>139</v>
      </c>
      <c r="B282" s="149">
        <v>6</v>
      </c>
      <c r="C282" s="61">
        <v>33.748995000000001</v>
      </c>
      <c r="D282" s="61">
        <v>-84.387981999999994</v>
      </c>
      <c r="E282" s="61" t="s">
        <v>265</v>
      </c>
      <c r="F282" s="149">
        <v>1</v>
      </c>
      <c r="G282" s="61" t="s">
        <v>565</v>
      </c>
      <c r="H282" s="61" t="s">
        <v>681</v>
      </c>
      <c r="I282" s="61">
        <v>33.640728000000003</v>
      </c>
      <c r="J282" s="61">
        <v>-84.427700000000002</v>
      </c>
      <c r="K282" s="61">
        <v>18.49134737</v>
      </c>
      <c r="L282" s="61">
        <v>14.686999999999999</v>
      </c>
      <c r="M282" s="61" t="s">
        <v>617</v>
      </c>
      <c r="N282" s="149">
        <v>5</v>
      </c>
      <c r="O282" s="149">
        <v>6</v>
      </c>
      <c r="P282" s="61" t="s">
        <v>565</v>
      </c>
      <c r="Q282" s="61" t="s">
        <v>564</v>
      </c>
      <c r="R282" s="61">
        <v>41.98028</v>
      </c>
      <c r="S282" s="61">
        <v>-87.908997900000003</v>
      </c>
      <c r="T282" s="61">
        <v>1180.386</v>
      </c>
      <c r="U282" s="61" t="s">
        <v>617</v>
      </c>
      <c r="V282" s="61" t="s">
        <v>569</v>
      </c>
      <c r="W282" s="61" cm="1">
        <f t="array" ref="W282">getDistance(I282,J282,R282,S282)*SA!$B$12</f>
        <v>976.67906347990493</v>
      </c>
      <c r="Y282" s="137">
        <f>Transportation_LCIA!C$61*($W282^Transportation_LCIA!C$60)+Transportation_LCIA!C$62</f>
        <v>0.23799077256655485</v>
      </c>
      <c r="Z282" s="137">
        <f>Transportation_LCIA!D$61*($W282^Transportation_LCIA!D$60)+Transportation_LCIA!D$62</f>
        <v>2.4498664186649894</v>
      </c>
      <c r="AA282" s="137">
        <f>Transportation_LCIA!E$61*($W282^Transportation_LCIA!E$60)+Transportation_LCIA!E$62</f>
        <v>1.1602893527513285E-3</v>
      </c>
      <c r="AB282" s="137">
        <f>Transportation_LCIA!F$61*($W282^Transportation_LCIA!F$60)+Transportation_LCIA!F$62</f>
        <v>0.23799077256655485</v>
      </c>
      <c r="AC282" s="137">
        <f>Transportation_LCIA!G$61*($W282^Transportation_LCIA!G$60)+Transportation_LCIA!G$62</f>
        <v>5.7251738416183251E-2</v>
      </c>
      <c r="AD282" s="137">
        <f>Transportation_LCIA!H$61*($W282^Transportation_LCIA!H$60)+Transportation_LCIA!H$62</f>
        <v>2.8030572808339046E-4</v>
      </c>
      <c r="AE282" s="137">
        <f>Transportation_LCIA!I$61*($W282^Transportation_LCIA!I$60)+Transportation_LCIA!I$62</f>
        <v>6.0084688172437592E-6</v>
      </c>
      <c r="AF282" s="137">
        <f>Transportation_LCIA!J$61*($W282^Transportation_LCIA!J$60)+Transportation_LCIA!J$62</f>
        <v>8.8936917837252362E-3</v>
      </c>
      <c r="AG282" s="137">
        <f>Transportation_LCIA!K$61*($W282^Transportation_LCIA!K$60)+Transportation_LCIA!K$62</f>
        <v>1.2188706109794917E-2</v>
      </c>
      <c r="AH282" s="137">
        <f>Transportation_LCIA!L$61*($W282^Transportation_LCIA!L$60)+Transportation_LCIA!L$62</f>
        <v>2.4310816549771977E-4</v>
      </c>
      <c r="AI282" s="137">
        <f>Transportation_LCIA!M$61*($W282^Transportation_LCIA!M$60)+Transportation_LCIA!M$62</f>
        <v>2.455450128432447E-4</v>
      </c>
      <c r="AJ282" s="137">
        <f>Transportation_LCIA!N$61*($W282^Transportation_LCIA!N$60)+Transportation_LCIA!N$62</f>
        <v>1.0016506819662974E-3</v>
      </c>
      <c r="AK282" s="137">
        <f>Transportation_LCIA!O$61*($W282^Transportation_LCIA!O$60)+Transportation_LCIA!O$62</f>
        <v>6.050134712780058E-5</v>
      </c>
      <c r="AL282" s="137">
        <f>Transportation_LCIA!P$61*($W282^Transportation_LCIA!P$60)+Transportation_LCIA!P$62</f>
        <v>2.9257301489528483E-8</v>
      </c>
      <c r="AM282" s="137">
        <f>Transportation_LCIA!Q$61*($W282^Transportation_LCIA!Q$60)+Transportation_LCIA!Q$62</f>
        <v>9.6216231090364335E-5</v>
      </c>
      <c r="AN282" s="137">
        <f>Transportation_LCIA!R$61*($W282^Transportation_LCIA!R$60)+Transportation_LCIA!R$62</f>
        <v>2.8896705818992006E-4</v>
      </c>
      <c r="AO282" s="137">
        <f>Transportation_LCIA!S$61*($W282^Transportation_LCIA!S$60)+Transportation_LCIA!S$62</f>
        <v>4.3584988519816731E-6</v>
      </c>
      <c r="AP282" s="137">
        <f>Transportation_LCIA!T$61*($W282^Transportation_LCIA!T$60)+Transportation_LCIA!T$62</f>
        <v>4.3584988519816731E-6</v>
      </c>
      <c r="AQ282" s="137">
        <f>Transportation_LCIA!U$61*($W282^Transportation_LCIA!U$60)+Transportation_LCIA!U$62</f>
        <v>6.204066649837317E-4</v>
      </c>
      <c r="AR282" s="137">
        <f>Transportation_LCIA!V$61*($W282^Transportation_LCIA!V$60)+Transportation_LCIA!V$62</f>
        <v>2.502258212971912E-4</v>
      </c>
      <c r="AT282" s="137">
        <f>$W282*Y282+$L282*Summary_LCIA!H$32</f>
        <v>237.43124746716185</v>
      </c>
      <c r="AU282" s="137">
        <f>$W282*Z282+$L282*Summary_LCIA!Q$32</f>
        <v>2465.5227521420616</v>
      </c>
      <c r="AV282" s="137">
        <f>$W282*AA282+$L282*Summary_LCIA!R$32</f>
        <v>1.2105661856108725</v>
      </c>
      <c r="AW282" s="137">
        <f>$W282*AB282+$L282*Summary_LCIA!S$32</f>
        <v>237.36633092716184</v>
      </c>
      <c r="AX282" s="137">
        <f>$W282*AC282+$L282*Summary_LCIA!T$32</f>
        <v>57.530675558914353</v>
      </c>
      <c r="AY282" s="137">
        <f>$W282*AD282+$L282*Summary_LCIA!U$32</f>
        <v>0.53687165399253867</v>
      </c>
      <c r="AZ282" s="137">
        <f>$W282*AE282+$L282*Summary_LCIA!V$32</f>
        <v>6.5698115043738466E-3</v>
      </c>
      <c r="BA282" s="137">
        <f>$W282*AF282+$L282*Summary_LCIA!W$32</f>
        <v>9.8167556392076882</v>
      </c>
      <c r="BB282" s="137">
        <f>$W282*AG282+$L282*Summary_LCIA!X$32</f>
        <v>12.239023928346295</v>
      </c>
      <c r="BC282" s="137">
        <f>$W282*AH282+$L282*Summary_LCIA!Y$32</f>
        <v>0.46629148940263065</v>
      </c>
      <c r="BD282" s="137">
        <f>$W282*AI282+$L282*Summary_LCIA!Z$32</f>
        <v>0.24042097236890148</v>
      </c>
      <c r="BE282" s="137">
        <f>$W282*AJ282+$L282*Summary_LCIA!AA$32</f>
        <v>1.3213208219968515</v>
      </c>
      <c r="BF282" s="137">
        <f>$W282*AK282+$L282*Summary_LCIA!AB$32</f>
        <v>5.8769884651052907E-2</v>
      </c>
      <c r="BG282" s="137">
        <f>$W282*AL282+$L282*Summary_LCIA!AC$32</f>
        <v>2.9292953126741906E-5</v>
      </c>
      <c r="BH282" s="137">
        <f>$W282*AM282+$L282*Summary_LCIA!AD$32</f>
        <v>0.10000932295290316</v>
      </c>
      <c r="BI282" s="137">
        <f>$W282*AN282+$L282*Summary_LCIA!AE$32</f>
        <v>0.29524266707947433</v>
      </c>
      <c r="BJ282" s="137">
        <f>$W282*AO282+$L282*Summary_LCIA!AF$32</f>
        <v>1.6673538116931702E-2</v>
      </c>
      <c r="BK282" s="137">
        <f>$W282*AP282+$L282*Summary_LCIA!AG$32</f>
        <v>5.0083149319317009E-3</v>
      </c>
      <c r="BL282" s="137">
        <f>$W282*AQ282+$L282*Summary_LCIA!AH$32</f>
        <v>0.73376797373300218</v>
      </c>
      <c r="BM282" s="137">
        <f>$W282*AR282+$L282*Summary_LCIA!AI$32</f>
        <v>0.25807199565303074</v>
      </c>
    </row>
    <row r="283" spans="1:65" x14ac:dyDescent="0.25">
      <c r="A283" s="149">
        <v>203</v>
      </c>
      <c r="B283" s="149">
        <v>29</v>
      </c>
      <c r="C283" s="61">
        <v>38.544907000000002</v>
      </c>
      <c r="D283" s="61">
        <v>-121.740517</v>
      </c>
      <c r="E283" s="61" t="s">
        <v>265</v>
      </c>
      <c r="F283" s="149">
        <v>100</v>
      </c>
      <c r="G283" s="61" t="s">
        <v>280</v>
      </c>
      <c r="H283" s="61" t="s">
        <v>627</v>
      </c>
      <c r="I283" s="61">
        <v>38.695084999999999</v>
      </c>
      <c r="J283" s="61">
        <v>-121.590065</v>
      </c>
      <c r="K283" s="61">
        <v>29.866794039999998</v>
      </c>
      <c r="L283" s="61">
        <v>36.277000000000001</v>
      </c>
      <c r="M283" s="61" t="s">
        <v>617</v>
      </c>
      <c r="N283" s="149">
        <v>28</v>
      </c>
      <c r="O283" s="149">
        <v>29</v>
      </c>
      <c r="P283" s="61" t="s">
        <v>565</v>
      </c>
      <c r="Q283" s="61" t="s">
        <v>559</v>
      </c>
      <c r="R283" s="61">
        <v>47.450249900000003</v>
      </c>
      <c r="S283" s="61">
        <v>-122.30881650000001</v>
      </c>
      <c r="T283" s="61">
        <v>1183.703</v>
      </c>
      <c r="U283" s="61" t="s">
        <v>617</v>
      </c>
      <c r="V283" s="61" t="s">
        <v>569</v>
      </c>
      <c r="W283" s="61" cm="1">
        <f t="array" ref="W283">getDistance(I283,J283,R283,S283)*SA!$B$12</f>
        <v>976.14037070709026</v>
      </c>
      <c r="Y283" s="137">
        <f>Transportation_LCIA!C$61*($W283^Transportation_LCIA!C$60)+Transportation_LCIA!C$62</f>
        <v>0.23804914927990986</v>
      </c>
      <c r="Z283" s="137">
        <f>Transportation_LCIA!D$61*($W283^Transportation_LCIA!D$60)+Transportation_LCIA!D$62</f>
        <v>2.4505482489837318</v>
      </c>
      <c r="AA283" s="137">
        <f>Transportation_LCIA!E$61*($W283^Transportation_LCIA!E$60)+Transportation_LCIA!E$62</f>
        <v>1.160737752277303E-3</v>
      </c>
      <c r="AB283" s="137">
        <f>Transportation_LCIA!F$61*($W283^Transportation_LCIA!F$60)+Transportation_LCIA!F$62</f>
        <v>0.23804914927990986</v>
      </c>
      <c r="AC283" s="137">
        <f>Transportation_LCIA!G$61*($W283^Transportation_LCIA!G$60)+Transportation_LCIA!G$62</f>
        <v>5.7267512301772003E-2</v>
      </c>
      <c r="AD283" s="137">
        <f>Transportation_LCIA!H$61*($W283^Transportation_LCIA!H$60)+Transportation_LCIA!H$62</f>
        <v>2.8040436780251598E-4</v>
      </c>
      <c r="AE283" s="137">
        <f>Transportation_LCIA!I$61*($W283^Transportation_LCIA!I$60)+Transportation_LCIA!I$62</f>
        <v>6.0109537874923005E-6</v>
      </c>
      <c r="AF283" s="137">
        <f>Transportation_LCIA!J$61*($W283^Transportation_LCIA!J$60)+Transportation_LCIA!J$62</f>
        <v>8.8973943725000858E-3</v>
      </c>
      <c r="AG283" s="137">
        <f>Transportation_LCIA!K$61*($W283^Transportation_LCIA!K$60)+Transportation_LCIA!K$62</f>
        <v>1.2192389817628976E-2</v>
      </c>
      <c r="AH283" s="137">
        <f>Transportation_LCIA!L$61*($W283^Transportation_LCIA!L$60)+Transportation_LCIA!L$62</f>
        <v>2.4319886804858096E-4</v>
      </c>
      <c r="AI283" s="137">
        <f>Transportation_LCIA!M$61*($W283^Transportation_LCIA!M$60)+Transportation_LCIA!M$62</f>
        <v>2.4559945258934175E-4</v>
      </c>
      <c r="AJ283" s="137">
        <f>Transportation_LCIA!N$61*($W283^Transportation_LCIA!N$60)+Transportation_LCIA!N$62</f>
        <v>1.001982305305515E-3</v>
      </c>
      <c r="AK283" s="137">
        <f>Transportation_LCIA!O$61*($W283^Transportation_LCIA!O$60)+Transportation_LCIA!O$62</f>
        <v>6.0518109297697417E-5</v>
      </c>
      <c r="AL283" s="137">
        <f>Transportation_LCIA!P$61*($W283^Transportation_LCIA!P$60)+Transportation_LCIA!P$62</f>
        <v>2.9265360058337515E-8</v>
      </c>
      <c r="AM283" s="137">
        <f>Transportation_LCIA!Q$61*($W283^Transportation_LCIA!Q$60)+Transportation_LCIA!Q$62</f>
        <v>9.6251699924323629E-5</v>
      </c>
      <c r="AN283" s="137">
        <f>Transportation_LCIA!R$61*($W283^Transportation_LCIA!R$60)+Transportation_LCIA!R$62</f>
        <v>2.8908622201941005E-4</v>
      </c>
      <c r="AO283" s="137">
        <f>Transportation_LCIA!S$61*($W283^Transportation_LCIA!S$60)+Transportation_LCIA!S$62</f>
        <v>4.3601899829475127E-6</v>
      </c>
      <c r="AP283" s="137">
        <f>Transportation_LCIA!T$61*($W283^Transportation_LCIA!T$60)+Transportation_LCIA!T$62</f>
        <v>4.3601899829475127E-6</v>
      </c>
      <c r="AQ283" s="137">
        <f>Transportation_LCIA!U$61*($W283^Transportation_LCIA!U$60)+Transportation_LCIA!U$62</f>
        <v>6.206680303627221E-4</v>
      </c>
      <c r="AR283" s="137">
        <f>Transportation_LCIA!V$61*($W283^Transportation_LCIA!V$60)+Transportation_LCIA!V$62</f>
        <v>2.5031810678043397E-4</v>
      </c>
      <c r="AT283" s="137">
        <f>$W283*Y283+$L283*Summary_LCIA!H$32</f>
        <v>244.6963094245987</v>
      </c>
      <c r="AU283" s="137">
        <f>$W283*Z283+$L283*Summary_LCIA!Q$32</f>
        <v>2571.8697177565318</v>
      </c>
      <c r="AV283" s="137">
        <f>$W283*AA283+$L283*Summary_LCIA!R$32</f>
        <v>1.3240631510016811</v>
      </c>
      <c r="AW283" s="137">
        <f>$W283*AB283+$L283*Summary_LCIA!S$32</f>
        <v>244.53596508459867</v>
      </c>
      <c r="AX283" s="137">
        <f>$W283*AC283+$L283*Summary_LCIA!T$32</f>
        <v>59.887972987724574</v>
      </c>
      <c r="AY283" s="137">
        <f>$W283*AD283+$L283*Summary_LCIA!U$32</f>
        <v>0.92358020153463527</v>
      </c>
      <c r="AZ283" s="137">
        <f>$W283*AE283+$L283*Summary_LCIA!V$32</f>
        <v>7.6001604554259226E-3</v>
      </c>
      <c r="BA283" s="137">
        <f>$W283*AF283+$L283*Summary_LCIA!W$32</f>
        <v>11.477382808099412</v>
      </c>
      <c r="BB283" s="137">
        <f>$W283*AG283+$L283*Summary_LCIA!X$32</f>
        <v>12.727873976385702</v>
      </c>
      <c r="BC283" s="137">
        <f>$W283*AH283+$L283*Summary_LCIA!Y$32</f>
        <v>0.80266444721248664</v>
      </c>
      <c r="BD283" s="137">
        <f>$W283*AI283+$L283*Summary_LCIA!Z$32</f>
        <v>0.24122722418901849</v>
      </c>
      <c r="BE283" s="137">
        <f>$W283*AJ283+$L283*Summary_LCIA!AA$32</f>
        <v>1.8253609909428703</v>
      </c>
      <c r="BF283" s="137">
        <f>$W283*AK283+$L283*Summary_LCIA!AB$32</f>
        <v>5.8282496673346562E-2</v>
      </c>
      <c r="BG283" s="137">
        <f>$W283*AL283+$L283*Summary_LCIA!AC$32</f>
        <v>3.0340464284222055E-5</v>
      </c>
      <c r="BH283" s="137">
        <f>$W283*AM283+$L283*Summary_LCIA!AD$32</f>
        <v>0.10886646812531688</v>
      </c>
      <c r="BI283" s="137">
        <f>$W283*AN283+$L283*Summary_LCIA!AE$32</f>
        <v>0.31433486993833909</v>
      </c>
      <c r="BJ283" s="137">
        <f>$W283*AO283+$L283*Summary_LCIA!AF$32</f>
        <v>3.4925458806307728E-2</v>
      </c>
      <c r="BK283" s="137">
        <f>$W283*AP283+$L283*Summary_LCIA!AG$32</f>
        <v>6.1122701713077271E-3</v>
      </c>
      <c r="BL283" s="137">
        <f>$W283*AQ283+$L283*Summary_LCIA!AH$32</f>
        <v>0.92159961844430716</v>
      </c>
      <c r="BM283" s="137">
        <f>$W283*AR283+$L283*Summary_LCIA!AI$32</f>
        <v>0.27813944889734982</v>
      </c>
    </row>
    <row r="284" spans="1:65" x14ac:dyDescent="0.25">
      <c r="A284" s="149">
        <v>12</v>
      </c>
      <c r="B284" s="149">
        <v>29</v>
      </c>
      <c r="C284" s="61">
        <v>38.538727999999999</v>
      </c>
      <c r="D284" s="61">
        <v>-121.75308200000001</v>
      </c>
      <c r="E284" s="61" t="s">
        <v>265</v>
      </c>
      <c r="F284" s="149">
        <v>100</v>
      </c>
      <c r="G284" s="61" t="s">
        <v>280</v>
      </c>
      <c r="H284" s="61" t="s">
        <v>627</v>
      </c>
      <c r="I284" s="61">
        <v>38.695084999999999</v>
      </c>
      <c r="J284" s="61">
        <v>-121.590065</v>
      </c>
      <c r="K284" s="61">
        <v>31.070852179999999</v>
      </c>
      <c r="L284" s="61">
        <v>34.07</v>
      </c>
      <c r="M284" s="61" t="s">
        <v>617</v>
      </c>
      <c r="N284" s="149">
        <v>28</v>
      </c>
      <c r="O284" s="149">
        <v>29</v>
      </c>
      <c r="P284" s="61" t="s">
        <v>565</v>
      </c>
      <c r="Q284" s="61" t="s">
        <v>559</v>
      </c>
      <c r="R284" s="61">
        <v>47.450249900000003</v>
      </c>
      <c r="S284" s="61">
        <v>-122.30881650000001</v>
      </c>
      <c r="T284" s="61">
        <v>1184.68</v>
      </c>
      <c r="U284" s="61" t="s">
        <v>617</v>
      </c>
      <c r="V284" s="61" t="s">
        <v>569</v>
      </c>
      <c r="W284" s="61" cm="1">
        <f t="array" ref="W284">getDistance(I284,J284,R284,S284)*SA!$B$12</f>
        <v>976.14037070709026</v>
      </c>
      <c r="Y284" s="137">
        <f>Transportation_LCIA!C$61*($W284^Transportation_LCIA!C$60)+Transportation_LCIA!C$62</f>
        <v>0.23804914927990986</v>
      </c>
      <c r="Z284" s="137">
        <f>Transportation_LCIA!D$61*($W284^Transportation_LCIA!D$60)+Transportation_LCIA!D$62</f>
        <v>2.4505482489837318</v>
      </c>
      <c r="AA284" s="137">
        <f>Transportation_LCIA!E$61*($W284^Transportation_LCIA!E$60)+Transportation_LCIA!E$62</f>
        <v>1.160737752277303E-3</v>
      </c>
      <c r="AB284" s="137">
        <f>Transportation_LCIA!F$61*($W284^Transportation_LCIA!F$60)+Transportation_LCIA!F$62</f>
        <v>0.23804914927990986</v>
      </c>
      <c r="AC284" s="137">
        <f>Transportation_LCIA!G$61*($W284^Transportation_LCIA!G$60)+Transportation_LCIA!G$62</f>
        <v>5.7267512301772003E-2</v>
      </c>
      <c r="AD284" s="137">
        <f>Transportation_LCIA!H$61*($W284^Transportation_LCIA!H$60)+Transportation_LCIA!H$62</f>
        <v>2.8040436780251598E-4</v>
      </c>
      <c r="AE284" s="137">
        <f>Transportation_LCIA!I$61*($W284^Transportation_LCIA!I$60)+Transportation_LCIA!I$62</f>
        <v>6.0109537874923005E-6</v>
      </c>
      <c r="AF284" s="137">
        <f>Transportation_LCIA!J$61*($W284^Transportation_LCIA!J$60)+Transportation_LCIA!J$62</f>
        <v>8.8973943725000858E-3</v>
      </c>
      <c r="AG284" s="137">
        <f>Transportation_LCIA!K$61*($W284^Transportation_LCIA!K$60)+Transportation_LCIA!K$62</f>
        <v>1.2192389817628976E-2</v>
      </c>
      <c r="AH284" s="137">
        <f>Transportation_LCIA!L$61*($W284^Transportation_LCIA!L$60)+Transportation_LCIA!L$62</f>
        <v>2.4319886804858096E-4</v>
      </c>
      <c r="AI284" s="137">
        <f>Transportation_LCIA!M$61*($W284^Transportation_LCIA!M$60)+Transportation_LCIA!M$62</f>
        <v>2.4559945258934175E-4</v>
      </c>
      <c r="AJ284" s="137">
        <f>Transportation_LCIA!N$61*($W284^Transportation_LCIA!N$60)+Transportation_LCIA!N$62</f>
        <v>1.001982305305515E-3</v>
      </c>
      <c r="AK284" s="137">
        <f>Transportation_LCIA!O$61*($W284^Transportation_LCIA!O$60)+Transportation_LCIA!O$62</f>
        <v>6.0518109297697417E-5</v>
      </c>
      <c r="AL284" s="137">
        <f>Transportation_LCIA!P$61*($W284^Transportation_LCIA!P$60)+Transportation_LCIA!P$62</f>
        <v>2.9265360058337515E-8</v>
      </c>
      <c r="AM284" s="137">
        <f>Transportation_LCIA!Q$61*($W284^Transportation_LCIA!Q$60)+Transportation_LCIA!Q$62</f>
        <v>9.6251699924323629E-5</v>
      </c>
      <c r="AN284" s="137">
        <f>Transportation_LCIA!R$61*($W284^Transportation_LCIA!R$60)+Transportation_LCIA!R$62</f>
        <v>2.8908622201941005E-4</v>
      </c>
      <c r="AO284" s="137">
        <f>Transportation_LCIA!S$61*($W284^Transportation_LCIA!S$60)+Transportation_LCIA!S$62</f>
        <v>4.3601899829475127E-6</v>
      </c>
      <c r="AP284" s="137">
        <f>Transportation_LCIA!T$61*($W284^Transportation_LCIA!T$60)+Transportation_LCIA!T$62</f>
        <v>4.3601899829475127E-6</v>
      </c>
      <c r="AQ284" s="137">
        <f>Transportation_LCIA!U$61*($W284^Transportation_LCIA!U$60)+Transportation_LCIA!U$62</f>
        <v>6.206680303627221E-4</v>
      </c>
      <c r="AR284" s="137">
        <f>Transportation_LCIA!V$61*($W284^Transportation_LCIA!V$60)+Transportation_LCIA!V$62</f>
        <v>2.5031810678043397E-4</v>
      </c>
      <c r="AT284" s="137">
        <f>$W284*Y284+$L284*Summary_LCIA!H$32</f>
        <v>243.94637082459869</v>
      </c>
      <c r="AU284" s="137">
        <f>$W284*Z284+$L284*Summary_LCIA!Q$32</f>
        <v>2560.9317144509009</v>
      </c>
      <c r="AV284" s="137">
        <f>$W284*AA284+$L284*Summary_LCIA!R$32</f>
        <v>1.3124419718016811</v>
      </c>
      <c r="AW284" s="137">
        <f>$W284*AB284+$L284*Summary_LCIA!S$32</f>
        <v>243.79578142459869</v>
      </c>
      <c r="AX284" s="137">
        <f>$W284*AC284+$L284*Summary_LCIA!T$32</f>
        <v>59.645423687724573</v>
      </c>
      <c r="AY284" s="137">
        <f>$W284*AD284+$L284*Summary_LCIA!U$32</f>
        <v>0.88404400353463519</v>
      </c>
      <c r="AZ284" s="137">
        <f>$W284*AE284+$L284*Summary_LCIA!V$32</f>
        <v>7.4947519284259221E-3</v>
      </c>
      <c r="BA284" s="137">
        <f>$W284*AF284+$L284*Summary_LCIA!W$32</f>
        <v>11.307507811099413</v>
      </c>
      <c r="BB284" s="137">
        <f>$W284*AG284+$L284*Summary_LCIA!X$32</f>
        <v>12.677598516385702</v>
      </c>
      <c r="BC284" s="137">
        <f>$W284*AH284+$L284*Summary_LCIA!Y$32</f>
        <v>0.7682749732124865</v>
      </c>
      <c r="BD284" s="137">
        <f>$W284*AI284+$L284*Summary_LCIA!Z$32</f>
        <v>0.24113671732601849</v>
      </c>
      <c r="BE284" s="137">
        <f>$W284*AJ284+$L284*Summary_LCIA!AA$32</f>
        <v>1.7738142989428702</v>
      </c>
      <c r="BF284" s="137">
        <f>$W284*AK284+$L284*Summary_LCIA!AB$32</f>
        <v>5.8330660034346567E-2</v>
      </c>
      <c r="BG284" s="137">
        <f>$W284*AL284+$L284*Summary_LCIA!AC$32</f>
        <v>3.0232577296222055E-5</v>
      </c>
      <c r="BH284" s="137">
        <f>$W284*AM284+$L284*Summary_LCIA!AD$32</f>
        <v>0.10795930284531688</v>
      </c>
      <c r="BI284" s="137">
        <f>$W284*AN284+$L284*Summary_LCIA!AE$32</f>
        <v>0.31237918102833911</v>
      </c>
      <c r="BJ284" s="137">
        <f>$W284*AO284+$L284*Summary_LCIA!AF$32</f>
        <v>3.3059616866307727E-2</v>
      </c>
      <c r="BK284" s="137">
        <f>$W284*AP284+$L284*Summary_LCIA!AG$32</f>
        <v>5.999349016307727E-3</v>
      </c>
      <c r="BL284" s="137">
        <f>$W284*AQ284+$L284*Summary_LCIA!AH$32</f>
        <v>0.90239077324430705</v>
      </c>
      <c r="BM284" s="137">
        <f>$W284*AR284+$L284*Summary_LCIA!AI$32</f>
        <v>0.27608351804734982</v>
      </c>
    </row>
    <row r="285" spans="1:65" x14ac:dyDescent="0.25">
      <c r="A285" s="149">
        <v>205</v>
      </c>
      <c r="B285" s="149">
        <v>6</v>
      </c>
      <c r="C285" s="61">
        <v>33.774827999999999</v>
      </c>
      <c r="D285" s="61">
        <v>-84.296312</v>
      </c>
      <c r="E285" s="61" t="s">
        <v>265</v>
      </c>
      <c r="F285" s="149">
        <v>1</v>
      </c>
      <c r="G285" s="61" t="s">
        <v>565</v>
      </c>
      <c r="H285" s="61" t="s">
        <v>681</v>
      </c>
      <c r="I285" s="61">
        <v>33.640728000000003</v>
      </c>
      <c r="J285" s="61">
        <v>-84.427700000000002</v>
      </c>
      <c r="K285" s="61">
        <v>25.823667189999998</v>
      </c>
      <c r="L285" s="61">
        <v>26.882999999999999</v>
      </c>
      <c r="M285" s="61" t="s">
        <v>617</v>
      </c>
      <c r="N285" s="149">
        <v>5</v>
      </c>
      <c r="O285" s="149">
        <v>6</v>
      </c>
      <c r="P285" s="61" t="s">
        <v>565</v>
      </c>
      <c r="Q285" s="61" t="s">
        <v>564</v>
      </c>
      <c r="R285" s="61">
        <v>41.98028</v>
      </c>
      <c r="S285" s="61">
        <v>-87.908997900000003</v>
      </c>
      <c r="T285" s="61">
        <v>1188.9960000000001</v>
      </c>
      <c r="U285" s="61" t="s">
        <v>617</v>
      </c>
      <c r="V285" s="61" t="s">
        <v>569</v>
      </c>
      <c r="W285" s="61" cm="1">
        <f t="array" ref="W285">getDistance(I285,J285,R285,S285)*SA!$B$12</f>
        <v>976.67906347990493</v>
      </c>
      <c r="Y285" s="137">
        <f>Transportation_LCIA!C$61*($W285^Transportation_LCIA!C$60)+Transportation_LCIA!C$62</f>
        <v>0.23799077256655485</v>
      </c>
      <c r="Z285" s="137">
        <f>Transportation_LCIA!D$61*($W285^Transportation_LCIA!D$60)+Transportation_LCIA!D$62</f>
        <v>2.4498664186649894</v>
      </c>
      <c r="AA285" s="137">
        <f>Transportation_LCIA!E$61*($W285^Transportation_LCIA!E$60)+Transportation_LCIA!E$62</f>
        <v>1.1602893527513285E-3</v>
      </c>
      <c r="AB285" s="137">
        <f>Transportation_LCIA!F$61*($W285^Transportation_LCIA!F$60)+Transportation_LCIA!F$62</f>
        <v>0.23799077256655485</v>
      </c>
      <c r="AC285" s="137">
        <f>Transportation_LCIA!G$61*($W285^Transportation_LCIA!G$60)+Transportation_LCIA!G$62</f>
        <v>5.7251738416183251E-2</v>
      </c>
      <c r="AD285" s="137">
        <f>Transportation_LCIA!H$61*($W285^Transportation_LCIA!H$60)+Transportation_LCIA!H$62</f>
        <v>2.8030572808339046E-4</v>
      </c>
      <c r="AE285" s="137">
        <f>Transportation_LCIA!I$61*($W285^Transportation_LCIA!I$60)+Transportation_LCIA!I$62</f>
        <v>6.0084688172437592E-6</v>
      </c>
      <c r="AF285" s="137">
        <f>Transportation_LCIA!J$61*($W285^Transportation_LCIA!J$60)+Transportation_LCIA!J$62</f>
        <v>8.8936917837252362E-3</v>
      </c>
      <c r="AG285" s="137">
        <f>Transportation_LCIA!K$61*($W285^Transportation_LCIA!K$60)+Transportation_LCIA!K$62</f>
        <v>1.2188706109794917E-2</v>
      </c>
      <c r="AH285" s="137">
        <f>Transportation_LCIA!L$61*($W285^Transportation_LCIA!L$60)+Transportation_LCIA!L$62</f>
        <v>2.4310816549771977E-4</v>
      </c>
      <c r="AI285" s="137">
        <f>Transportation_LCIA!M$61*($W285^Transportation_LCIA!M$60)+Transportation_LCIA!M$62</f>
        <v>2.455450128432447E-4</v>
      </c>
      <c r="AJ285" s="137">
        <f>Transportation_LCIA!N$61*($W285^Transportation_LCIA!N$60)+Transportation_LCIA!N$62</f>
        <v>1.0016506819662974E-3</v>
      </c>
      <c r="AK285" s="137">
        <f>Transportation_LCIA!O$61*($W285^Transportation_LCIA!O$60)+Transportation_LCIA!O$62</f>
        <v>6.050134712780058E-5</v>
      </c>
      <c r="AL285" s="137">
        <f>Transportation_LCIA!P$61*($W285^Transportation_LCIA!P$60)+Transportation_LCIA!P$62</f>
        <v>2.9257301489528483E-8</v>
      </c>
      <c r="AM285" s="137">
        <f>Transportation_LCIA!Q$61*($W285^Transportation_LCIA!Q$60)+Transportation_LCIA!Q$62</f>
        <v>9.6216231090364335E-5</v>
      </c>
      <c r="AN285" s="137">
        <f>Transportation_LCIA!R$61*($W285^Transportation_LCIA!R$60)+Transportation_LCIA!R$62</f>
        <v>2.8896705818992006E-4</v>
      </c>
      <c r="AO285" s="137">
        <f>Transportation_LCIA!S$61*($W285^Transportation_LCIA!S$60)+Transportation_LCIA!S$62</f>
        <v>4.3584988519816731E-6</v>
      </c>
      <c r="AP285" s="137">
        <f>Transportation_LCIA!T$61*($W285^Transportation_LCIA!T$60)+Transportation_LCIA!T$62</f>
        <v>4.3584988519816731E-6</v>
      </c>
      <c r="AQ285" s="137">
        <f>Transportation_LCIA!U$61*($W285^Transportation_LCIA!U$60)+Transportation_LCIA!U$62</f>
        <v>6.204066649837317E-4</v>
      </c>
      <c r="AR285" s="137">
        <f>Transportation_LCIA!V$61*($W285^Transportation_LCIA!V$60)+Transportation_LCIA!V$62</f>
        <v>2.502258212971912E-4</v>
      </c>
      <c r="AT285" s="137">
        <f>$W285*Y285+$L285*Summary_LCIA!H$32</f>
        <v>241.57544826716185</v>
      </c>
      <c r="AU285" s="137">
        <f>$W285*Z285+$L285*Summary_LCIA!Q$32</f>
        <v>2525.9667432229294</v>
      </c>
      <c r="AV285" s="137">
        <f>$W285*AA285+$L285*Summary_LCIA!R$32</f>
        <v>1.2747854432108725</v>
      </c>
      <c r="AW285" s="137">
        <f>$W285*AB285+$L285*Summary_LCIA!S$32</f>
        <v>241.45662540716185</v>
      </c>
      <c r="AX285" s="137">
        <f>$W285*AC285+$L285*Summary_LCIA!T$32</f>
        <v>58.871015958914349</v>
      </c>
      <c r="AY285" s="137">
        <f>$W285*AD285+$L285*Summary_LCIA!U$32</f>
        <v>0.75535079799253868</v>
      </c>
      <c r="AZ285" s="137">
        <f>$W285*AE285+$L285*Summary_LCIA!V$32</f>
        <v>7.1523046603738467E-3</v>
      </c>
      <c r="BA285" s="137">
        <f>$W285*AF285+$L285*Summary_LCIA!W$32</f>
        <v>10.755493955207688</v>
      </c>
      <c r="BB285" s="137">
        <f>$W285*AG285+$L285*Summary_LCIA!X$32</f>
        <v>12.516848808346296</v>
      </c>
      <c r="BC285" s="137">
        <f>$W285*AH285+$L285*Summary_LCIA!Y$32</f>
        <v>0.65632956140263066</v>
      </c>
      <c r="BD285" s="137">
        <f>$W285*AI285+$L285*Summary_LCIA!Z$32</f>
        <v>0.24092111813290146</v>
      </c>
      <c r="BE285" s="137">
        <f>$W285*AJ285+$L285*Summary_LCIA!AA$32</f>
        <v>1.6061705979968512</v>
      </c>
      <c r="BF285" s="137">
        <f>$W285*AK285+$L285*Summary_LCIA!AB$32</f>
        <v>5.8503731343052909E-2</v>
      </c>
      <c r="BG285" s="137">
        <f>$W285*AL285+$L285*Summary_LCIA!AC$32</f>
        <v>2.9889142390741906E-5</v>
      </c>
      <c r="BH285" s="137">
        <f>$W285*AM285+$L285*Summary_LCIA!AD$32</f>
        <v>0.10502236679290315</v>
      </c>
      <c r="BI285" s="137">
        <f>$W285*AN285+$L285*Summary_LCIA!AE$32</f>
        <v>0.30604990855947434</v>
      </c>
      <c r="BJ285" s="137">
        <f>$W285*AO285+$L285*Summary_LCIA!AF$32</f>
        <v>2.6984280436931702E-2</v>
      </c>
      <c r="BK285" s="137">
        <f>$W285*AP285+$L285*Summary_LCIA!AG$32</f>
        <v>5.632323271931701E-3</v>
      </c>
      <c r="BL285" s="137">
        <f>$W285*AQ285+$L285*Summary_LCIA!AH$32</f>
        <v>0.83991707933300219</v>
      </c>
      <c r="BM285" s="137">
        <f>$W285*AR285+$L285*Summary_LCIA!AI$32</f>
        <v>0.26943317945303075</v>
      </c>
    </row>
    <row r="286" spans="1:65" x14ac:dyDescent="0.25">
      <c r="A286" s="149">
        <v>18</v>
      </c>
      <c r="B286" s="149">
        <v>43</v>
      </c>
      <c r="C286" s="61">
        <v>34.679338999999999</v>
      </c>
      <c r="D286" s="61">
        <v>-82.835136000000006</v>
      </c>
      <c r="E286" s="61" t="s">
        <v>265</v>
      </c>
      <c r="F286" s="149">
        <v>34</v>
      </c>
      <c r="G286" s="61" t="s">
        <v>565</v>
      </c>
      <c r="H286" s="61" t="s">
        <v>633</v>
      </c>
      <c r="I286" s="61">
        <v>35.214402999999997</v>
      </c>
      <c r="J286" s="61">
        <v>-80.947315000000003</v>
      </c>
      <c r="K286" s="61">
        <v>198.3898093</v>
      </c>
      <c r="L286" s="61">
        <v>211.65</v>
      </c>
      <c r="M286" s="61" t="s">
        <v>617</v>
      </c>
      <c r="N286" s="149">
        <v>42</v>
      </c>
      <c r="O286" s="149">
        <v>43</v>
      </c>
      <c r="P286" s="61" t="s">
        <v>565</v>
      </c>
      <c r="Q286" s="61" t="s">
        <v>555</v>
      </c>
      <c r="R286" s="61">
        <v>40.6895314</v>
      </c>
      <c r="S286" s="61">
        <v>-74.174462399999996</v>
      </c>
      <c r="T286" s="61">
        <v>1191.914</v>
      </c>
      <c r="U286" s="61" t="s">
        <v>617</v>
      </c>
      <c r="V286" s="61" t="s">
        <v>569</v>
      </c>
      <c r="W286" s="61" cm="1">
        <f t="array" ref="W286">getDistance(I286,J286,R286,S286)*SA!$B$12</f>
        <v>851.05121377634293</v>
      </c>
      <c r="Y286" s="137">
        <f>Transportation_LCIA!C$61*($W286^Transportation_LCIA!C$60)+Transportation_LCIA!C$62</f>
        <v>0.25343049240533111</v>
      </c>
      <c r="Z286" s="137">
        <f>Transportation_LCIA!D$61*($W286^Transportation_LCIA!D$60)+Transportation_LCIA!D$62</f>
        <v>2.6307480783429384</v>
      </c>
      <c r="AA286" s="137">
        <f>Transportation_LCIA!E$61*($W286^Transportation_LCIA!E$60)+Transportation_LCIA!E$62</f>
        <v>1.2793461318450019E-3</v>
      </c>
      <c r="AB286" s="137">
        <f>Transportation_LCIA!F$61*($W286^Transportation_LCIA!F$60)+Transportation_LCIA!F$62</f>
        <v>0.25343049240533111</v>
      </c>
      <c r="AC286" s="137">
        <f>Transportation_LCIA!G$61*($W286^Transportation_LCIA!G$60)+Transportation_LCIA!G$62</f>
        <v>6.1435625769608669E-2</v>
      </c>
      <c r="AD286" s="137">
        <f>Transportation_LCIA!H$61*($W286^Transportation_LCIA!H$60)+Transportation_LCIA!H$62</f>
        <v>3.065402716805851E-4</v>
      </c>
      <c r="AE286" s="137">
        <f>Transportation_LCIA!I$61*($W286^Transportation_LCIA!I$60)+Transportation_LCIA!I$62</f>
        <v>6.6711792632361422E-6</v>
      </c>
      <c r="AF286" s="137">
        <f>Transportation_LCIA!J$61*($W286^Transportation_LCIA!J$60)+Transportation_LCIA!J$62</f>
        <v>9.8828828449766624E-3</v>
      </c>
      <c r="AG286" s="137">
        <f>Transportation_LCIA!K$61*($W286^Transportation_LCIA!K$60)+Transportation_LCIA!K$62</f>
        <v>1.3167278527053671E-2</v>
      </c>
      <c r="AH286" s="137">
        <f>Transportation_LCIA!L$61*($W286^Transportation_LCIA!L$60)+Transportation_LCIA!L$62</f>
        <v>2.6725039435791071E-4</v>
      </c>
      <c r="AI286" s="137">
        <f>Transportation_LCIA!M$61*($W286^Transportation_LCIA!M$60)+Transportation_LCIA!M$62</f>
        <v>2.6002531765647143E-4</v>
      </c>
      <c r="AJ286" s="137">
        <f>Transportation_LCIA!N$61*($W286^Transportation_LCIA!N$60)+Transportation_LCIA!N$62</f>
        <v>1.0898312653906447E-3</v>
      </c>
      <c r="AK286" s="137">
        <f>Transportation_LCIA!O$61*($W286^Transportation_LCIA!O$60)+Transportation_LCIA!O$62</f>
        <v>6.4947739462206474E-5</v>
      </c>
      <c r="AL286" s="137">
        <f>Transportation_LCIA!P$61*($W286^Transportation_LCIA!P$60)+Transportation_LCIA!P$62</f>
        <v>3.139446307580722E-8</v>
      </c>
      <c r="AM286" s="137">
        <f>Transportation_LCIA!Q$61*($W286^Transportation_LCIA!Q$60)+Transportation_LCIA!Q$62</f>
        <v>1.0566088004157003E-4</v>
      </c>
      <c r="AN286" s="137">
        <f>Transportation_LCIA!R$61*($W286^Transportation_LCIA!R$60)+Transportation_LCIA!R$62</f>
        <v>3.2074864831290064E-4</v>
      </c>
      <c r="AO286" s="137">
        <f>Transportation_LCIA!S$61*($W286^Transportation_LCIA!S$60)+Transportation_LCIA!S$62</f>
        <v>4.8094770187755473E-6</v>
      </c>
      <c r="AP286" s="137">
        <f>Transportation_LCIA!T$61*($W286^Transportation_LCIA!T$60)+Transportation_LCIA!T$62</f>
        <v>4.8094770187755473E-6</v>
      </c>
      <c r="AQ286" s="137">
        <f>Transportation_LCIA!U$61*($W286^Transportation_LCIA!U$60)+Transportation_LCIA!U$62</f>
        <v>6.9015010201870343E-4</v>
      </c>
      <c r="AR286" s="137">
        <f>Transportation_LCIA!V$61*($W286^Transportation_LCIA!V$60)+Transportation_LCIA!V$62</f>
        <v>2.7481283900177808E-4</v>
      </c>
      <c r="AT286" s="137">
        <f>$W286*Y286+$L286*Summary_LCIA!H$32</f>
        <v>287.60099816949332</v>
      </c>
      <c r="AU286" s="137">
        <f>$W286*Z286+$L286*Summary_LCIA!Q$32</f>
        <v>3287.8494193579895</v>
      </c>
      <c r="AV286" s="137">
        <f>$W286*AA286+$L286*Summary_LCIA!R$32</f>
        <v>2.203253318346758</v>
      </c>
      <c r="AW286" s="137">
        <f>$W286*AB286+$L286*Summary_LCIA!S$32</f>
        <v>286.66550516949331</v>
      </c>
      <c r="AX286" s="137">
        <f>$W286*AC286+$L286*Summary_LCIA!T$32</f>
        <v>75.545198880334638</v>
      </c>
      <c r="AY286" s="137">
        <f>$W286*AD286+$L286*Summary_LCIA!U$32</f>
        <v>4.0523795702850922</v>
      </c>
      <c r="AZ286" s="137">
        <f>$W286*AE286+$L286*Summary_LCIA!V$32</f>
        <v>1.5786130859296688E-2</v>
      </c>
      <c r="BA286" s="137">
        <f>$W286*AF286+$L286*Summary_LCIA!W$32</f>
        <v>24.701751590826788</v>
      </c>
      <c r="BB286" s="137">
        <f>$W286*AG286+$L286*Summary_LCIA!X$32</f>
        <v>16.027415372580204</v>
      </c>
      <c r="BC286" s="137">
        <f>$W286*AH286+$L286*Summary_LCIA!Y$32</f>
        <v>3.5253740725005063</v>
      </c>
      <c r="BD286" s="137">
        <f>$W286*AI286+$L286*Summary_LCIA!Z$32</f>
        <v>0.22997441705411914</v>
      </c>
      <c r="BE286" s="137">
        <f>$W286*AJ286+$L286*Summary_LCIA!AA$32</f>
        <v>5.8707996212221154</v>
      </c>
      <c r="BF286" s="137">
        <f>$W286*AK286+$L286*Summary_LCIA!AB$32</f>
        <v>5.0655014551340506E-2</v>
      </c>
      <c r="BG286" s="137">
        <f>$W286*AL286+$L286*Summary_LCIA!AC$32</f>
        <v>3.7064594506522315E-5</v>
      </c>
      <c r="BH286" s="137">
        <f>$W286*AM286+$L286*Summary_LCIA!AD$32</f>
        <v>0.17691943620805473</v>
      </c>
      <c r="BI286" s="137">
        <f>$W286*AN286+$L286*Summary_LCIA!AE$32</f>
        <v>0.46052294096381541</v>
      </c>
      <c r="BJ286" s="137">
        <f>$W286*AO286+$L286*Summary_LCIA!AF$32</f>
        <v>0.18302625425445837</v>
      </c>
      <c r="BK286" s="137">
        <f>$W286*AP286+$L286*Summary_LCIA!AG$32</f>
        <v>1.4922183504458357E-2</v>
      </c>
      <c r="BL286" s="137">
        <f>$W286*AQ286+$L286*Summary_LCIA!AH$32</f>
        <v>2.4294700220108845</v>
      </c>
      <c r="BM286" s="137">
        <f>$W286*AR286+$L286*Summary_LCIA!AI$32</f>
        <v>0.43104235769378596</v>
      </c>
    </row>
    <row r="287" spans="1:65" x14ac:dyDescent="0.25">
      <c r="A287" s="149">
        <v>325</v>
      </c>
      <c r="B287" s="149">
        <v>29</v>
      </c>
      <c r="C287" s="61">
        <v>38.581572000000001</v>
      </c>
      <c r="D287" s="61">
        <v>-121.4944</v>
      </c>
      <c r="E287" s="61" t="s">
        <v>265</v>
      </c>
      <c r="F287" s="149">
        <v>100</v>
      </c>
      <c r="G287" s="61" t="s">
        <v>280</v>
      </c>
      <c r="H287" s="61" t="s">
        <v>627</v>
      </c>
      <c r="I287" s="61">
        <v>38.695084999999999</v>
      </c>
      <c r="J287" s="61">
        <v>-121.590065</v>
      </c>
      <c r="K287" s="61">
        <v>32.424409709999999</v>
      </c>
      <c r="L287" s="61">
        <v>18.324999999999999</v>
      </c>
      <c r="M287" s="61" t="s">
        <v>617</v>
      </c>
      <c r="N287" s="149">
        <v>28</v>
      </c>
      <c r="O287" s="149">
        <v>29</v>
      </c>
      <c r="P287" s="61" t="s">
        <v>565</v>
      </c>
      <c r="Q287" s="61" t="s">
        <v>559</v>
      </c>
      <c r="R287" s="61">
        <v>47.450249900000003</v>
      </c>
      <c r="S287" s="61">
        <v>-122.30881650000001</v>
      </c>
      <c r="T287" s="61">
        <v>1196.8589999999999</v>
      </c>
      <c r="U287" s="61" t="s">
        <v>617</v>
      </c>
      <c r="V287" s="61" t="s">
        <v>569</v>
      </c>
      <c r="W287" s="61" cm="1">
        <f t="array" ref="W287">getDistance(I287,J287,R287,S287)*SA!$B$12</f>
        <v>976.14037070709026</v>
      </c>
      <c r="Y287" s="137">
        <f>Transportation_LCIA!C$61*($W287^Transportation_LCIA!C$60)+Transportation_LCIA!C$62</f>
        <v>0.23804914927990986</v>
      </c>
      <c r="Z287" s="137">
        <f>Transportation_LCIA!D$61*($W287^Transportation_LCIA!D$60)+Transportation_LCIA!D$62</f>
        <v>2.4505482489837318</v>
      </c>
      <c r="AA287" s="137">
        <f>Transportation_LCIA!E$61*($W287^Transportation_LCIA!E$60)+Transportation_LCIA!E$62</f>
        <v>1.160737752277303E-3</v>
      </c>
      <c r="AB287" s="137">
        <f>Transportation_LCIA!F$61*($W287^Transportation_LCIA!F$60)+Transportation_LCIA!F$62</f>
        <v>0.23804914927990986</v>
      </c>
      <c r="AC287" s="137">
        <f>Transportation_LCIA!G$61*($W287^Transportation_LCIA!G$60)+Transportation_LCIA!G$62</f>
        <v>5.7267512301772003E-2</v>
      </c>
      <c r="AD287" s="137">
        <f>Transportation_LCIA!H$61*($W287^Transportation_LCIA!H$60)+Transportation_LCIA!H$62</f>
        <v>2.8040436780251598E-4</v>
      </c>
      <c r="AE287" s="137">
        <f>Transportation_LCIA!I$61*($W287^Transportation_LCIA!I$60)+Transportation_LCIA!I$62</f>
        <v>6.0109537874923005E-6</v>
      </c>
      <c r="AF287" s="137">
        <f>Transportation_LCIA!J$61*($W287^Transportation_LCIA!J$60)+Transportation_LCIA!J$62</f>
        <v>8.8973943725000858E-3</v>
      </c>
      <c r="AG287" s="137">
        <f>Transportation_LCIA!K$61*($W287^Transportation_LCIA!K$60)+Transportation_LCIA!K$62</f>
        <v>1.2192389817628976E-2</v>
      </c>
      <c r="AH287" s="137">
        <f>Transportation_LCIA!L$61*($W287^Transportation_LCIA!L$60)+Transportation_LCIA!L$62</f>
        <v>2.4319886804858096E-4</v>
      </c>
      <c r="AI287" s="137">
        <f>Transportation_LCIA!M$61*($W287^Transportation_LCIA!M$60)+Transportation_LCIA!M$62</f>
        <v>2.4559945258934175E-4</v>
      </c>
      <c r="AJ287" s="137">
        <f>Transportation_LCIA!N$61*($W287^Transportation_LCIA!N$60)+Transportation_LCIA!N$62</f>
        <v>1.001982305305515E-3</v>
      </c>
      <c r="AK287" s="137">
        <f>Transportation_LCIA!O$61*($W287^Transportation_LCIA!O$60)+Transportation_LCIA!O$62</f>
        <v>6.0518109297697417E-5</v>
      </c>
      <c r="AL287" s="137">
        <f>Transportation_LCIA!P$61*($W287^Transportation_LCIA!P$60)+Transportation_LCIA!P$62</f>
        <v>2.9265360058337515E-8</v>
      </c>
      <c r="AM287" s="137">
        <f>Transportation_LCIA!Q$61*($W287^Transportation_LCIA!Q$60)+Transportation_LCIA!Q$62</f>
        <v>9.6251699924323629E-5</v>
      </c>
      <c r="AN287" s="137">
        <f>Transportation_LCIA!R$61*($W287^Transportation_LCIA!R$60)+Transportation_LCIA!R$62</f>
        <v>2.8908622201941005E-4</v>
      </c>
      <c r="AO287" s="137">
        <f>Transportation_LCIA!S$61*($W287^Transportation_LCIA!S$60)+Transportation_LCIA!S$62</f>
        <v>4.3601899829475127E-6</v>
      </c>
      <c r="AP287" s="137">
        <f>Transportation_LCIA!T$61*($W287^Transportation_LCIA!T$60)+Transportation_LCIA!T$62</f>
        <v>4.3601899829475127E-6</v>
      </c>
      <c r="AQ287" s="137">
        <f>Transportation_LCIA!U$61*($W287^Transportation_LCIA!U$60)+Transportation_LCIA!U$62</f>
        <v>6.206680303627221E-4</v>
      </c>
      <c r="AR287" s="137">
        <f>Transportation_LCIA!V$61*($W287^Transportation_LCIA!V$60)+Transportation_LCIA!V$62</f>
        <v>2.5031810678043397E-4</v>
      </c>
      <c r="AT287" s="137">
        <f>$W287*Y287+$L287*Summary_LCIA!H$32</f>
        <v>238.59621982459868</v>
      </c>
      <c r="AU287" s="137">
        <f>$W287*Z287+$L287*Summary_LCIA!Q$32</f>
        <v>2482.8987003833158</v>
      </c>
      <c r="AV287" s="137">
        <f>$W287*AA287+$L287*Summary_LCIA!R$32</f>
        <v>1.2295350998016812</v>
      </c>
      <c r="AW287" s="137">
        <f>$W287*AB287+$L287*Summary_LCIA!S$32</f>
        <v>238.51522332459868</v>
      </c>
      <c r="AX287" s="137">
        <f>$W287*AC287+$L287*Summary_LCIA!T$32</f>
        <v>57.915048187724572</v>
      </c>
      <c r="AY287" s="137">
        <f>$W287*AD287+$L287*Summary_LCIA!U$32</f>
        <v>0.60198807353463524</v>
      </c>
      <c r="AZ287" s="137">
        <f>$W287*AE287+$L287*Summary_LCIA!V$32</f>
        <v>6.7427549834259224E-3</v>
      </c>
      <c r="BA287" s="137">
        <f>$W287*AF287+$L287*Summary_LCIA!W$32</f>
        <v>10.095599416099413</v>
      </c>
      <c r="BB287" s="137">
        <f>$W287*AG287+$L287*Summary_LCIA!X$32</f>
        <v>12.318927416385701</v>
      </c>
      <c r="BC287" s="137">
        <f>$W287*AH287+$L287*Summary_LCIA!Y$32</f>
        <v>0.52293638321248648</v>
      </c>
      <c r="BD287" s="137">
        <f>$W287*AI287+$L287*Summary_LCIA!Z$32</f>
        <v>0.24049103062101848</v>
      </c>
      <c r="BE287" s="137">
        <f>$W287*AJ287+$L287*Summary_LCIA!AA$32</f>
        <v>1.4060740789428703</v>
      </c>
      <c r="BF287" s="137">
        <f>$W287*AK287+$L287*Summary_LCIA!AB$32</f>
        <v>5.8674263169346562E-2</v>
      </c>
      <c r="BG287" s="137">
        <f>$W287*AL287+$L287*Summary_LCIA!AC$32</f>
        <v>2.9462898716222054E-5</v>
      </c>
      <c r="BH287" s="137">
        <f>$W287*AM287+$L287*Summary_LCIA!AD$32</f>
        <v>0.10148747804531688</v>
      </c>
      <c r="BI287" s="137">
        <f>$W287*AN287+$L287*Summary_LCIA!AE$32</f>
        <v>0.29842706417833909</v>
      </c>
      <c r="BJ287" s="137">
        <f>$W287*AO287+$L287*Summary_LCIA!AF$32</f>
        <v>1.9748478966307728E-2</v>
      </c>
      <c r="BK287" s="137">
        <f>$W287*AP287+$L287*Summary_LCIA!AG$32</f>
        <v>5.1937560913077269E-3</v>
      </c>
      <c r="BL287" s="137">
        <f>$W287*AQ287+$L287*Summary_LCIA!AH$32</f>
        <v>0.7653525912443071</v>
      </c>
      <c r="BM287" s="137">
        <f>$W287*AR287+$L287*Summary_LCIA!AI$32</f>
        <v>0.26141626329734979</v>
      </c>
    </row>
    <row r="288" spans="1:65" x14ac:dyDescent="0.25">
      <c r="A288" s="149">
        <v>158</v>
      </c>
      <c r="B288" s="149">
        <v>29</v>
      </c>
      <c r="C288" s="61">
        <v>37.871523000000003</v>
      </c>
      <c r="D288" s="61">
        <v>-122.273042</v>
      </c>
      <c r="E288" s="61" t="s">
        <v>265</v>
      </c>
      <c r="F288" s="149">
        <v>99</v>
      </c>
      <c r="G288" s="61" t="s">
        <v>623</v>
      </c>
      <c r="H288" s="61" t="s">
        <v>624</v>
      </c>
      <c r="I288" s="61">
        <v>37.712569000000002</v>
      </c>
      <c r="J288" s="61">
        <v>-122.21974299999999</v>
      </c>
      <c r="K288" s="61">
        <v>40.270393179999999</v>
      </c>
      <c r="L288" s="61">
        <v>24.324000000000002</v>
      </c>
      <c r="M288" s="61" t="s">
        <v>617</v>
      </c>
      <c r="N288" s="149">
        <v>28</v>
      </c>
      <c r="O288" s="149">
        <v>29</v>
      </c>
      <c r="P288" s="61" t="s">
        <v>565</v>
      </c>
      <c r="Q288" s="61" t="s">
        <v>559</v>
      </c>
      <c r="R288" s="61">
        <v>47.450249900000003</v>
      </c>
      <c r="S288" s="61">
        <v>-122.30881650000001</v>
      </c>
      <c r="T288" s="61">
        <v>1269.6880000000001</v>
      </c>
      <c r="U288" s="61" t="s">
        <v>617</v>
      </c>
      <c r="V288" s="61" t="s">
        <v>569</v>
      </c>
      <c r="W288" s="61" cm="1">
        <f t="array" ref="W288">getDistance(I288,J288,R288,S288)*SA!$B$12</f>
        <v>1083.7067192187251</v>
      </c>
      <c r="Y288" s="137">
        <f>Transportation_LCIA!C$61*($W288^Transportation_LCIA!C$60)+Transportation_LCIA!C$62</f>
        <v>0.22745670793590661</v>
      </c>
      <c r="Z288" s="137">
        <f>Transportation_LCIA!D$61*($W288^Transportation_LCIA!D$60)+Transportation_LCIA!D$62</f>
        <v>2.3271050405397338</v>
      </c>
      <c r="AA288" s="137">
        <f>Transportation_LCIA!E$61*($W288^Transportation_LCIA!E$60)+Transportation_LCIA!E$62</f>
        <v>1.0796071266874865E-3</v>
      </c>
      <c r="AB288" s="137">
        <f>Transportation_LCIA!F$61*($W288^Transportation_LCIA!F$60)+Transportation_LCIA!F$62</f>
        <v>0.22745670793590661</v>
      </c>
      <c r="AC288" s="137">
        <f>Transportation_LCIA!G$61*($W288^Transportation_LCIA!G$60)+Transportation_LCIA!G$62</f>
        <v>5.4411330360243829E-2</v>
      </c>
      <c r="AD288" s="137">
        <f>Transportation_LCIA!H$61*($W288^Transportation_LCIA!H$60)+Transportation_LCIA!H$62</f>
        <v>2.6257910570795154E-4</v>
      </c>
      <c r="AE288" s="137">
        <f>Transportation_LCIA!I$61*($W288^Transportation_LCIA!I$60)+Transportation_LCIA!I$62</f>
        <v>5.5627834005164701E-6</v>
      </c>
      <c r="AF288" s="137">
        <f>Transportation_LCIA!J$61*($W288^Transportation_LCIA!J$60)+Transportation_LCIA!J$62</f>
        <v>8.2304885314531239E-3</v>
      </c>
      <c r="AG288" s="137">
        <f>Transportation_LCIA!K$61*($W288^Transportation_LCIA!K$60)+Transportation_LCIA!K$62</f>
        <v>1.1526128098589581E-2</v>
      </c>
      <c r="AH288" s="137">
        <f>Transportation_LCIA!L$61*($W288^Transportation_LCIA!L$60)+Transportation_LCIA!L$62</f>
        <v>2.2681720311816129E-4</v>
      </c>
      <c r="AI288" s="137">
        <f>Transportation_LCIA!M$61*($W288^Transportation_LCIA!M$60)+Transportation_LCIA!M$62</f>
        <v>2.3576226353069502E-4</v>
      </c>
      <c r="AJ288" s="137">
        <f>Transportation_LCIA!N$61*($W288^Transportation_LCIA!N$60)+Transportation_LCIA!N$62</f>
        <v>9.4204492933100935E-4</v>
      </c>
      <c r="AK288" s="137">
        <f>Transportation_LCIA!O$61*($W288^Transportation_LCIA!O$60)+Transportation_LCIA!O$62</f>
        <v>5.7483163787402971E-5</v>
      </c>
      <c r="AL288" s="137">
        <f>Transportation_LCIA!P$61*($W288^Transportation_LCIA!P$60)+Transportation_LCIA!P$62</f>
        <v>2.7806040623323073E-8</v>
      </c>
      <c r="AM288" s="137">
        <f>Transportation_LCIA!Q$61*($W288^Transportation_LCIA!Q$60)+Transportation_LCIA!Q$62</f>
        <v>8.9847671545088305E-5</v>
      </c>
      <c r="AN288" s="137">
        <f>Transportation_LCIA!R$61*($W288^Transportation_LCIA!R$60)+Transportation_LCIA!R$62</f>
        <v>2.6759576802836684E-4</v>
      </c>
      <c r="AO288" s="137">
        <f>Transportation_LCIA!S$61*($W288^Transportation_LCIA!S$60)+Transportation_LCIA!S$62</f>
        <v>4.0551779544391714E-6</v>
      </c>
      <c r="AP288" s="137">
        <f>Transportation_LCIA!T$61*($W288^Transportation_LCIA!T$60)+Transportation_LCIA!T$62</f>
        <v>4.0551779544391714E-6</v>
      </c>
      <c r="AQ288" s="137">
        <f>Transportation_LCIA!U$61*($W288^Transportation_LCIA!U$60)+Transportation_LCIA!U$62</f>
        <v>5.7355015024913001E-4</v>
      </c>
      <c r="AR288" s="137">
        <f>Transportation_LCIA!V$61*($W288^Transportation_LCIA!V$60)+Transportation_LCIA!V$62</f>
        <v>2.3366216352403273E-4</v>
      </c>
      <c r="AT288" s="137">
        <f>$W288*Y288+$L288*Summary_LCIA!H$32</f>
        <v>254.76165792151309</v>
      </c>
      <c r="AU288" s="137">
        <f>$W288*Z288+$L288*Summary_LCIA!Q$32</f>
        <v>2642.4503394929652</v>
      </c>
      <c r="AV288" s="137">
        <f>$W288*AA288+$L288*Summary_LCIA!R$32</f>
        <v>1.2980579517076505</v>
      </c>
      <c r="AW288" s="137">
        <f>$W288*AB288+$L288*Summary_LCIA!S$32</f>
        <v>254.6541458415131</v>
      </c>
      <c r="AX288" s="137">
        <f>$W288*AC288+$L288*Summary_LCIA!T$32</f>
        <v>61.639131913026048</v>
      </c>
      <c r="AY288" s="137">
        <f>$W288*AD288+$L288*Summary_LCIA!U$32</f>
        <v>0.72029887718215102</v>
      </c>
      <c r="AZ288" s="137">
        <f>$W288*AE288+$L288*Summary_LCIA!V$32</f>
        <v>7.1901643126980868E-3</v>
      </c>
      <c r="BA288" s="137">
        <f>$W288*AF288+$L288*Summary_LCIA!W$32</f>
        <v>10.791678327988407</v>
      </c>
      <c r="BB288" s="137">
        <f>$W288*AG288+$L288*Summary_LCIA!X$32</f>
        <v>13.045043187017278</v>
      </c>
      <c r="BC288" s="137">
        <f>$W288*AH288+$L288*Summary_LCIA!Y$32</f>
        <v>0.62481989505354985</v>
      </c>
      <c r="BD288" s="137">
        <f>$W288*AI288+$L288*Summary_LCIA!Z$32</f>
        <v>0.25649465204242994</v>
      </c>
      <c r="BE288" s="137">
        <f>$W288*AJ288+$L288*Summary_LCIA!AA$32</f>
        <v>1.5890117637219436</v>
      </c>
      <c r="BF288" s="137">
        <f>$W288*AK288+$L288*Summary_LCIA!AB$32</f>
        <v>6.1764068186359093E-2</v>
      </c>
      <c r="BG288" s="137">
        <f>$W288*AL288+$L288*Summary_LCIA!AC$32</f>
        <v>3.1322647474364037E-5</v>
      </c>
      <c r="BH288" s="137">
        <f>$W288*AM288+$L288*Summary_LCIA!AD$32</f>
        <v>0.10736666231956925</v>
      </c>
      <c r="BI288" s="137">
        <f>$W288*AN288+$L288*Summary_LCIA!AE$32</f>
        <v>0.31154955796683648</v>
      </c>
      <c r="BJ288" s="137">
        <f>$W288*AO288+$L288*Summary_LCIA!AF$32</f>
        <v>2.495861967685338E-2</v>
      </c>
      <c r="BK288" s="137">
        <f>$W288*AP288+$L288*Summary_LCIA!AG$32</f>
        <v>5.6391610568533755E-3</v>
      </c>
      <c r="BL288" s="137">
        <f>$W288*AQ288+$L288*Summary_LCIA!AH$32</f>
        <v>0.83326651803389162</v>
      </c>
      <c r="BM288" s="137">
        <f>$W288*AR288+$L288*Summary_LCIA!AI$32</f>
        <v>0.27588027883817878</v>
      </c>
    </row>
    <row r="289" spans="1:65" x14ac:dyDescent="0.25">
      <c r="A289" s="149">
        <v>159</v>
      </c>
      <c r="B289" s="149">
        <v>29</v>
      </c>
      <c r="C289" s="61">
        <v>37.871523000000003</v>
      </c>
      <c r="D289" s="61">
        <v>-122.273042</v>
      </c>
      <c r="E289" s="61" t="s">
        <v>265</v>
      </c>
      <c r="F289" s="149">
        <v>99</v>
      </c>
      <c r="G289" s="61" t="s">
        <v>623</v>
      </c>
      <c r="H289" s="61" t="s">
        <v>624</v>
      </c>
      <c r="I289" s="61">
        <v>37.712569000000002</v>
      </c>
      <c r="J289" s="61">
        <v>-122.21974299999999</v>
      </c>
      <c r="K289" s="61">
        <v>40.270393179999999</v>
      </c>
      <c r="L289" s="61">
        <v>24.324000000000002</v>
      </c>
      <c r="M289" s="61" t="s">
        <v>617</v>
      </c>
      <c r="N289" s="149">
        <v>28</v>
      </c>
      <c r="O289" s="149">
        <v>29</v>
      </c>
      <c r="P289" s="61" t="s">
        <v>565</v>
      </c>
      <c r="Q289" s="61" t="s">
        <v>559</v>
      </c>
      <c r="R289" s="61">
        <v>47.450249900000003</v>
      </c>
      <c r="S289" s="61">
        <v>-122.30881650000001</v>
      </c>
      <c r="T289" s="61">
        <v>1269.6880000000001</v>
      </c>
      <c r="U289" s="61" t="s">
        <v>617</v>
      </c>
      <c r="V289" s="61" t="s">
        <v>569</v>
      </c>
      <c r="W289" s="61" cm="1">
        <f t="array" ref="W289">getDistance(I289,J289,R289,S289)*SA!$B$12</f>
        <v>1083.7067192187251</v>
      </c>
      <c r="Y289" s="137">
        <f>Transportation_LCIA!C$61*($W289^Transportation_LCIA!C$60)+Transportation_LCIA!C$62</f>
        <v>0.22745670793590661</v>
      </c>
      <c r="Z289" s="137">
        <f>Transportation_LCIA!D$61*($W289^Transportation_LCIA!D$60)+Transportation_LCIA!D$62</f>
        <v>2.3271050405397338</v>
      </c>
      <c r="AA289" s="137">
        <f>Transportation_LCIA!E$61*($W289^Transportation_LCIA!E$60)+Transportation_LCIA!E$62</f>
        <v>1.0796071266874865E-3</v>
      </c>
      <c r="AB289" s="137">
        <f>Transportation_LCIA!F$61*($W289^Transportation_LCIA!F$60)+Transportation_LCIA!F$62</f>
        <v>0.22745670793590661</v>
      </c>
      <c r="AC289" s="137">
        <f>Transportation_LCIA!G$61*($W289^Transportation_LCIA!G$60)+Transportation_LCIA!G$62</f>
        <v>5.4411330360243829E-2</v>
      </c>
      <c r="AD289" s="137">
        <f>Transportation_LCIA!H$61*($W289^Transportation_LCIA!H$60)+Transportation_LCIA!H$62</f>
        <v>2.6257910570795154E-4</v>
      </c>
      <c r="AE289" s="137">
        <f>Transportation_LCIA!I$61*($W289^Transportation_LCIA!I$60)+Transportation_LCIA!I$62</f>
        <v>5.5627834005164701E-6</v>
      </c>
      <c r="AF289" s="137">
        <f>Transportation_LCIA!J$61*($W289^Transportation_LCIA!J$60)+Transportation_LCIA!J$62</f>
        <v>8.2304885314531239E-3</v>
      </c>
      <c r="AG289" s="137">
        <f>Transportation_LCIA!K$61*($W289^Transportation_LCIA!K$60)+Transportation_LCIA!K$62</f>
        <v>1.1526128098589581E-2</v>
      </c>
      <c r="AH289" s="137">
        <f>Transportation_LCIA!L$61*($W289^Transportation_LCIA!L$60)+Transportation_LCIA!L$62</f>
        <v>2.2681720311816129E-4</v>
      </c>
      <c r="AI289" s="137">
        <f>Transportation_LCIA!M$61*($W289^Transportation_LCIA!M$60)+Transportation_LCIA!M$62</f>
        <v>2.3576226353069502E-4</v>
      </c>
      <c r="AJ289" s="137">
        <f>Transportation_LCIA!N$61*($W289^Transportation_LCIA!N$60)+Transportation_LCIA!N$62</f>
        <v>9.4204492933100935E-4</v>
      </c>
      <c r="AK289" s="137">
        <f>Transportation_LCIA!O$61*($W289^Transportation_LCIA!O$60)+Transportation_LCIA!O$62</f>
        <v>5.7483163787402971E-5</v>
      </c>
      <c r="AL289" s="137">
        <f>Transportation_LCIA!P$61*($W289^Transportation_LCIA!P$60)+Transportation_LCIA!P$62</f>
        <v>2.7806040623323073E-8</v>
      </c>
      <c r="AM289" s="137">
        <f>Transportation_LCIA!Q$61*($W289^Transportation_LCIA!Q$60)+Transportation_LCIA!Q$62</f>
        <v>8.9847671545088305E-5</v>
      </c>
      <c r="AN289" s="137">
        <f>Transportation_LCIA!R$61*($W289^Transportation_LCIA!R$60)+Transportation_LCIA!R$62</f>
        <v>2.6759576802836684E-4</v>
      </c>
      <c r="AO289" s="137">
        <f>Transportation_LCIA!S$61*($W289^Transportation_LCIA!S$60)+Transportation_LCIA!S$62</f>
        <v>4.0551779544391714E-6</v>
      </c>
      <c r="AP289" s="137">
        <f>Transportation_LCIA!T$61*($W289^Transportation_LCIA!T$60)+Transportation_LCIA!T$62</f>
        <v>4.0551779544391714E-6</v>
      </c>
      <c r="AQ289" s="137">
        <f>Transportation_LCIA!U$61*($W289^Transportation_LCIA!U$60)+Transportation_LCIA!U$62</f>
        <v>5.7355015024913001E-4</v>
      </c>
      <c r="AR289" s="137">
        <f>Transportation_LCIA!V$61*($W289^Transportation_LCIA!V$60)+Transportation_LCIA!V$62</f>
        <v>2.3366216352403273E-4</v>
      </c>
      <c r="AT289" s="137">
        <f>$W289*Y289+$L289*Summary_LCIA!H$32</f>
        <v>254.76165792151309</v>
      </c>
      <c r="AU289" s="137">
        <f>$W289*Z289+$L289*Summary_LCIA!Q$32</f>
        <v>2642.4503394929652</v>
      </c>
      <c r="AV289" s="137">
        <f>$W289*AA289+$L289*Summary_LCIA!R$32</f>
        <v>1.2980579517076505</v>
      </c>
      <c r="AW289" s="137">
        <f>$W289*AB289+$L289*Summary_LCIA!S$32</f>
        <v>254.6541458415131</v>
      </c>
      <c r="AX289" s="137">
        <f>$W289*AC289+$L289*Summary_LCIA!T$32</f>
        <v>61.639131913026048</v>
      </c>
      <c r="AY289" s="137">
        <f>$W289*AD289+$L289*Summary_LCIA!U$32</f>
        <v>0.72029887718215102</v>
      </c>
      <c r="AZ289" s="137">
        <f>$W289*AE289+$L289*Summary_LCIA!V$32</f>
        <v>7.1901643126980868E-3</v>
      </c>
      <c r="BA289" s="137">
        <f>$W289*AF289+$L289*Summary_LCIA!W$32</f>
        <v>10.791678327988407</v>
      </c>
      <c r="BB289" s="137">
        <f>$W289*AG289+$L289*Summary_LCIA!X$32</f>
        <v>13.045043187017278</v>
      </c>
      <c r="BC289" s="137">
        <f>$W289*AH289+$L289*Summary_LCIA!Y$32</f>
        <v>0.62481989505354985</v>
      </c>
      <c r="BD289" s="137">
        <f>$W289*AI289+$L289*Summary_LCIA!Z$32</f>
        <v>0.25649465204242994</v>
      </c>
      <c r="BE289" s="137">
        <f>$W289*AJ289+$L289*Summary_LCIA!AA$32</f>
        <v>1.5890117637219436</v>
      </c>
      <c r="BF289" s="137">
        <f>$W289*AK289+$L289*Summary_LCIA!AB$32</f>
        <v>6.1764068186359093E-2</v>
      </c>
      <c r="BG289" s="137">
        <f>$W289*AL289+$L289*Summary_LCIA!AC$32</f>
        <v>3.1322647474364037E-5</v>
      </c>
      <c r="BH289" s="137">
        <f>$W289*AM289+$L289*Summary_LCIA!AD$32</f>
        <v>0.10736666231956925</v>
      </c>
      <c r="BI289" s="137">
        <f>$W289*AN289+$L289*Summary_LCIA!AE$32</f>
        <v>0.31154955796683648</v>
      </c>
      <c r="BJ289" s="137">
        <f>$W289*AO289+$L289*Summary_LCIA!AF$32</f>
        <v>2.495861967685338E-2</v>
      </c>
      <c r="BK289" s="137">
        <f>$W289*AP289+$L289*Summary_LCIA!AG$32</f>
        <v>5.6391610568533755E-3</v>
      </c>
      <c r="BL289" s="137">
        <f>$W289*AQ289+$L289*Summary_LCIA!AH$32</f>
        <v>0.83326651803389162</v>
      </c>
      <c r="BM289" s="137">
        <f>$W289*AR289+$L289*Summary_LCIA!AI$32</f>
        <v>0.27588027883817878</v>
      </c>
    </row>
    <row r="290" spans="1:65" x14ac:dyDescent="0.25">
      <c r="A290" s="149">
        <v>360</v>
      </c>
      <c r="B290" s="149">
        <v>29</v>
      </c>
      <c r="C290" s="61">
        <v>37.92633</v>
      </c>
      <c r="D290" s="61">
        <v>-122.38489</v>
      </c>
      <c r="E290" s="61" t="s">
        <v>265</v>
      </c>
      <c r="F290" s="149">
        <v>99</v>
      </c>
      <c r="G290" s="61" t="s">
        <v>623</v>
      </c>
      <c r="H290" s="61" t="s">
        <v>624</v>
      </c>
      <c r="I290" s="61">
        <v>37.712569000000002</v>
      </c>
      <c r="J290" s="61">
        <v>-122.21974299999999</v>
      </c>
      <c r="K290" s="61">
        <v>60.952904539999999</v>
      </c>
      <c r="L290" s="61">
        <v>37.832000000000001</v>
      </c>
      <c r="M290" s="61" t="s">
        <v>617</v>
      </c>
      <c r="N290" s="149">
        <v>28</v>
      </c>
      <c r="O290" s="149">
        <v>29</v>
      </c>
      <c r="P290" s="61" t="s">
        <v>565</v>
      </c>
      <c r="Q290" s="61" t="s">
        <v>559</v>
      </c>
      <c r="R290" s="61">
        <v>47.450249900000003</v>
      </c>
      <c r="S290" s="61">
        <v>-122.30881650000001</v>
      </c>
      <c r="T290" s="61">
        <v>1269.7449999999999</v>
      </c>
      <c r="U290" s="61" t="s">
        <v>617</v>
      </c>
      <c r="V290" s="61" t="s">
        <v>569</v>
      </c>
      <c r="W290" s="61" cm="1">
        <f t="array" ref="W290">getDistance(I290,J290,R290,S290)*SA!$B$12</f>
        <v>1083.7067192187251</v>
      </c>
      <c r="Y290" s="137">
        <f>Transportation_LCIA!C$61*($W290^Transportation_LCIA!C$60)+Transportation_LCIA!C$62</f>
        <v>0.22745670793590661</v>
      </c>
      <c r="Z290" s="137">
        <f>Transportation_LCIA!D$61*($W290^Transportation_LCIA!D$60)+Transportation_LCIA!D$62</f>
        <v>2.3271050405397338</v>
      </c>
      <c r="AA290" s="137">
        <f>Transportation_LCIA!E$61*($W290^Transportation_LCIA!E$60)+Transportation_LCIA!E$62</f>
        <v>1.0796071266874865E-3</v>
      </c>
      <c r="AB290" s="137">
        <f>Transportation_LCIA!F$61*($W290^Transportation_LCIA!F$60)+Transportation_LCIA!F$62</f>
        <v>0.22745670793590661</v>
      </c>
      <c r="AC290" s="137">
        <f>Transportation_LCIA!G$61*($W290^Transportation_LCIA!G$60)+Transportation_LCIA!G$62</f>
        <v>5.4411330360243829E-2</v>
      </c>
      <c r="AD290" s="137">
        <f>Transportation_LCIA!H$61*($W290^Transportation_LCIA!H$60)+Transportation_LCIA!H$62</f>
        <v>2.6257910570795154E-4</v>
      </c>
      <c r="AE290" s="137">
        <f>Transportation_LCIA!I$61*($W290^Transportation_LCIA!I$60)+Transportation_LCIA!I$62</f>
        <v>5.5627834005164701E-6</v>
      </c>
      <c r="AF290" s="137">
        <f>Transportation_LCIA!J$61*($W290^Transportation_LCIA!J$60)+Transportation_LCIA!J$62</f>
        <v>8.2304885314531239E-3</v>
      </c>
      <c r="AG290" s="137">
        <f>Transportation_LCIA!K$61*($W290^Transportation_LCIA!K$60)+Transportation_LCIA!K$62</f>
        <v>1.1526128098589581E-2</v>
      </c>
      <c r="AH290" s="137">
        <f>Transportation_LCIA!L$61*($W290^Transportation_LCIA!L$60)+Transportation_LCIA!L$62</f>
        <v>2.2681720311816129E-4</v>
      </c>
      <c r="AI290" s="137">
        <f>Transportation_LCIA!M$61*($W290^Transportation_LCIA!M$60)+Transportation_LCIA!M$62</f>
        <v>2.3576226353069502E-4</v>
      </c>
      <c r="AJ290" s="137">
        <f>Transportation_LCIA!N$61*($W290^Transportation_LCIA!N$60)+Transportation_LCIA!N$62</f>
        <v>9.4204492933100935E-4</v>
      </c>
      <c r="AK290" s="137">
        <f>Transportation_LCIA!O$61*($W290^Transportation_LCIA!O$60)+Transportation_LCIA!O$62</f>
        <v>5.7483163787402971E-5</v>
      </c>
      <c r="AL290" s="137">
        <f>Transportation_LCIA!P$61*($W290^Transportation_LCIA!P$60)+Transportation_LCIA!P$62</f>
        <v>2.7806040623323073E-8</v>
      </c>
      <c r="AM290" s="137">
        <f>Transportation_LCIA!Q$61*($W290^Transportation_LCIA!Q$60)+Transportation_LCIA!Q$62</f>
        <v>8.9847671545088305E-5</v>
      </c>
      <c r="AN290" s="137">
        <f>Transportation_LCIA!R$61*($W290^Transportation_LCIA!R$60)+Transportation_LCIA!R$62</f>
        <v>2.6759576802836684E-4</v>
      </c>
      <c r="AO290" s="137">
        <f>Transportation_LCIA!S$61*($W290^Transportation_LCIA!S$60)+Transportation_LCIA!S$62</f>
        <v>4.0551779544391714E-6</v>
      </c>
      <c r="AP290" s="137">
        <f>Transportation_LCIA!T$61*($W290^Transportation_LCIA!T$60)+Transportation_LCIA!T$62</f>
        <v>4.0551779544391714E-6</v>
      </c>
      <c r="AQ290" s="137">
        <f>Transportation_LCIA!U$61*($W290^Transportation_LCIA!U$60)+Transportation_LCIA!U$62</f>
        <v>5.7355015024913001E-4</v>
      </c>
      <c r="AR290" s="137">
        <f>Transportation_LCIA!V$61*($W290^Transportation_LCIA!V$60)+Transportation_LCIA!V$62</f>
        <v>2.3366216352403273E-4</v>
      </c>
      <c r="AT290" s="137">
        <f>$W290*Y290+$L290*Summary_LCIA!H$32</f>
        <v>259.35167632151308</v>
      </c>
      <c r="AU290" s="137">
        <f>$W290*Z290+$L290*Summary_LCIA!Q$32</f>
        <v>2709.3966687419288</v>
      </c>
      <c r="AV290" s="137">
        <f>$W290*AA290+$L290*Summary_LCIA!R$32</f>
        <v>1.3691856765076504</v>
      </c>
      <c r="AW290" s="137">
        <f>$W290*AB290+$L290*Summary_LCIA!S$32</f>
        <v>259.18445888151308</v>
      </c>
      <c r="AX290" s="137">
        <f>$W290*AC290+$L290*Summary_LCIA!T$32</f>
        <v>63.123661113026053</v>
      </c>
      <c r="AY290" s="137">
        <f>$W290*AD290+$L290*Summary_LCIA!U$32</f>
        <v>0.962281189182151</v>
      </c>
      <c r="AZ290" s="137">
        <f>$W290*AE290+$L290*Summary_LCIA!V$32</f>
        <v>7.8353199006980859E-3</v>
      </c>
      <c r="BA290" s="137">
        <f>$W290*AF290+$L290*Summary_LCIA!W$32</f>
        <v>11.831402595988408</v>
      </c>
      <c r="BB290" s="137">
        <f>$W290*AG290+$L290*Summary_LCIA!X$32</f>
        <v>13.352755427017277</v>
      </c>
      <c r="BC290" s="137">
        <f>$W290*AH290+$L290*Summary_LCIA!Y$32</f>
        <v>0.83530155105354986</v>
      </c>
      <c r="BD290" s="137">
        <f>$W290*AI290+$L290*Summary_LCIA!Z$32</f>
        <v>0.25704860161442994</v>
      </c>
      <c r="BE290" s="137">
        <f>$W290*AJ290+$L290*Summary_LCIA!AA$32</f>
        <v>1.9045046117219437</v>
      </c>
      <c r="BF290" s="137">
        <f>$W290*AK290+$L290*Summary_LCIA!AB$32</f>
        <v>6.1469283102359093E-2</v>
      </c>
      <c r="BG290" s="137">
        <f>$W290*AL290+$L290*Summary_LCIA!AC$32</f>
        <v>3.1982972546364039E-5</v>
      </c>
      <c r="BH290" s="137">
        <f>$W290*AM290+$L290*Summary_LCIA!AD$32</f>
        <v>0.11291899063956924</v>
      </c>
      <c r="BI290" s="137">
        <f>$W290*AN290+$L290*Summary_LCIA!AE$32</f>
        <v>0.32351940200683643</v>
      </c>
      <c r="BJ290" s="137">
        <f>$W290*AO290+$L290*Summary_LCIA!AF$32</f>
        <v>3.6378553036853375E-2</v>
      </c>
      <c r="BK290" s="137">
        <f>$W290*AP290+$L290*Summary_LCIA!AG$32</f>
        <v>6.330297876853375E-3</v>
      </c>
      <c r="BL290" s="137">
        <f>$W290*AQ290+$L290*Summary_LCIA!AH$32</f>
        <v>0.95083474683389158</v>
      </c>
      <c r="BM290" s="137">
        <f>$W290*AR290+$L290*Summary_LCIA!AI$32</f>
        <v>0.28846365623817882</v>
      </c>
    </row>
    <row r="291" spans="1:65" x14ac:dyDescent="0.25">
      <c r="A291" s="149">
        <v>326</v>
      </c>
      <c r="B291" s="149">
        <v>29</v>
      </c>
      <c r="C291" s="61">
        <v>37.827178000000004</v>
      </c>
      <c r="D291" s="61">
        <v>-122.291308</v>
      </c>
      <c r="E291" s="61" t="s">
        <v>265</v>
      </c>
      <c r="F291" s="149">
        <v>99</v>
      </c>
      <c r="G291" s="61" t="s">
        <v>623</v>
      </c>
      <c r="H291" s="61" t="s">
        <v>624</v>
      </c>
      <c r="I291" s="61">
        <v>37.712569000000002</v>
      </c>
      <c r="J291" s="61">
        <v>-122.21974299999999</v>
      </c>
      <c r="K291" s="61">
        <v>31.383945929999999</v>
      </c>
      <c r="L291" s="61">
        <v>20.917000000000002</v>
      </c>
      <c r="M291" s="61" t="s">
        <v>617</v>
      </c>
      <c r="N291" s="149">
        <v>28</v>
      </c>
      <c r="O291" s="149">
        <v>29</v>
      </c>
      <c r="P291" s="61" t="s">
        <v>565</v>
      </c>
      <c r="Q291" s="61" t="s">
        <v>559</v>
      </c>
      <c r="R291" s="61">
        <v>47.450249900000003</v>
      </c>
      <c r="S291" s="61">
        <v>-122.30881650000001</v>
      </c>
      <c r="T291" s="61">
        <v>1271.547</v>
      </c>
      <c r="U291" s="61" t="s">
        <v>617</v>
      </c>
      <c r="V291" s="61" t="s">
        <v>569</v>
      </c>
      <c r="W291" s="61" cm="1">
        <f t="array" ref="W291">getDistance(I291,J291,R291,S291)*SA!$B$12</f>
        <v>1083.7067192187251</v>
      </c>
      <c r="Y291" s="137">
        <f>Transportation_LCIA!C$61*($W291^Transportation_LCIA!C$60)+Transportation_LCIA!C$62</f>
        <v>0.22745670793590661</v>
      </c>
      <c r="Z291" s="137">
        <f>Transportation_LCIA!D$61*($W291^Transportation_LCIA!D$60)+Transportation_LCIA!D$62</f>
        <v>2.3271050405397338</v>
      </c>
      <c r="AA291" s="137">
        <f>Transportation_LCIA!E$61*($W291^Transportation_LCIA!E$60)+Transportation_LCIA!E$62</f>
        <v>1.0796071266874865E-3</v>
      </c>
      <c r="AB291" s="137">
        <f>Transportation_LCIA!F$61*($W291^Transportation_LCIA!F$60)+Transportation_LCIA!F$62</f>
        <v>0.22745670793590661</v>
      </c>
      <c r="AC291" s="137">
        <f>Transportation_LCIA!G$61*($W291^Transportation_LCIA!G$60)+Transportation_LCIA!G$62</f>
        <v>5.4411330360243829E-2</v>
      </c>
      <c r="AD291" s="137">
        <f>Transportation_LCIA!H$61*($W291^Transportation_LCIA!H$60)+Transportation_LCIA!H$62</f>
        <v>2.6257910570795154E-4</v>
      </c>
      <c r="AE291" s="137">
        <f>Transportation_LCIA!I$61*($W291^Transportation_LCIA!I$60)+Transportation_LCIA!I$62</f>
        <v>5.5627834005164701E-6</v>
      </c>
      <c r="AF291" s="137">
        <f>Transportation_LCIA!J$61*($W291^Transportation_LCIA!J$60)+Transportation_LCIA!J$62</f>
        <v>8.2304885314531239E-3</v>
      </c>
      <c r="AG291" s="137">
        <f>Transportation_LCIA!K$61*($W291^Transportation_LCIA!K$60)+Transportation_LCIA!K$62</f>
        <v>1.1526128098589581E-2</v>
      </c>
      <c r="AH291" s="137">
        <f>Transportation_LCIA!L$61*($W291^Transportation_LCIA!L$60)+Transportation_LCIA!L$62</f>
        <v>2.2681720311816129E-4</v>
      </c>
      <c r="AI291" s="137">
        <f>Transportation_LCIA!M$61*($W291^Transportation_LCIA!M$60)+Transportation_LCIA!M$62</f>
        <v>2.3576226353069502E-4</v>
      </c>
      <c r="AJ291" s="137">
        <f>Transportation_LCIA!N$61*($W291^Transportation_LCIA!N$60)+Transportation_LCIA!N$62</f>
        <v>9.4204492933100935E-4</v>
      </c>
      <c r="AK291" s="137">
        <f>Transportation_LCIA!O$61*($W291^Transportation_LCIA!O$60)+Transportation_LCIA!O$62</f>
        <v>5.7483163787402971E-5</v>
      </c>
      <c r="AL291" s="137">
        <f>Transportation_LCIA!P$61*($W291^Transportation_LCIA!P$60)+Transportation_LCIA!P$62</f>
        <v>2.7806040623323073E-8</v>
      </c>
      <c r="AM291" s="137">
        <f>Transportation_LCIA!Q$61*($W291^Transportation_LCIA!Q$60)+Transportation_LCIA!Q$62</f>
        <v>8.9847671545088305E-5</v>
      </c>
      <c r="AN291" s="137">
        <f>Transportation_LCIA!R$61*($W291^Transportation_LCIA!R$60)+Transportation_LCIA!R$62</f>
        <v>2.6759576802836684E-4</v>
      </c>
      <c r="AO291" s="137">
        <f>Transportation_LCIA!S$61*($W291^Transportation_LCIA!S$60)+Transportation_LCIA!S$62</f>
        <v>4.0551779544391714E-6</v>
      </c>
      <c r="AP291" s="137">
        <f>Transportation_LCIA!T$61*($W291^Transportation_LCIA!T$60)+Transportation_LCIA!T$62</f>
        <v>4.0551779544391714E-6</v>
      </c>
      <c r="AQ291" s="137">
        <f>Transportation_LCIA!U$61*($W291^Transportation_LCIA!U$60)+Transportation_LCIA!U$62</f>
        <v>5.7355015024913001E-4</v>
      </c>
      <c r="AR291" s="137">
        <f>Transportation_LCIA!V$61*($W291^Transportation_LCIA!V$60)+Transportation_LCIA!V$62</f>
        <v>2.3366216352403273E-4</v>
      </c>
      <c r="AT291" s="137">
        <f>$W291*Y291+$L291*Summary_LCIA!H$32</f>
        <v>253.60395932151309</v>
      </c>
      <c r="AU291" s="137">
        <f>$W291*Z291+$L291*Summary_LCIA!Q$32</f>
        <v>2625.5650756677342</v>
      </c>
      <c r="AV291" s="137">
        <f>$W291*AA291+$L291*Summary_LCIA!R$32</f>
        <v>1.2801180525076505</v>
      </c>
      <c r="AW291" s="137">
        <f>$W291*AB291+$L291*Summary_LCIA!S$32</f>
        <v>253.51150618151308</v>
      </c>
      <c r="AX291" s="137">
        <f>$W291*AC291+$L291*Summary_LCIA!T$32</f>
        <v>61.264702613026053</v>
      </c>
      <c r="AY291" s="137">
        <f>$W291*AD291+$L291*Summary_LCIA!U$32</f>
        <v>0.65926587918215096</v>
      </c>
      <c r="AZ291" s="137">
        <f>$W291*AE291+$L291*Summary_LCIA!V$32</f>
        <v>7.0274425856980864E-3</v>
      </c>
      <c r="BA291" s="137">
        <f>$W291*AF291+$L291*Summary_LCIA!W$32</f>
        <v>10.529438130988407</v>
      </c>
      <c r="BB291" s="137">
        <f>$W291*AG291+$L291*Summary_LCIA!X$32</f>
        <v>12.967431727017276</v>
      </c>
      <c r="BC291" s="137">
        <f>$W291*AH291+$L291*Summary_LCIA!Y$32</f>
        <v>0.57173202105354981</v>
      </c>
      <c r="BD291" s="137">
        <f>$W291*AI291+$L291*Summary_LCIA!Z$32</f>
        <v>0.25635493437942997</v>
      </c>
      <c r="BE291" s="137">
        <f>$W291*AJ291+$L291*Summary_LCIA!AA$32</f>
        <v>1.5094378717219437</v>
      </c>
      <c r="BF291" s="137">
        <f>$W291*AK291+$L291*Summary_LCIA!AB$32</f>
        <v>6.1838419147359096E-2</v>
      </c>
      <c r="BG291" s="137">
        <f>$W291*AL291+$L291*Summary_LCIA!AC$32</f>
        <v>3.115609968636404E-5</v>
      </c>
      <c r="BH291" s="137">
        <f>$W291*AM291+$L291*Summary_LCIA!AD$32</f>
        <v>0.10596624903956925</v>
      </c>
      <c r="BI291" s="137">
        <f>$W291*AN291+$L291*Summary_LCIA!AE$32</f>
        <v>0.30853051305683643</v>
      </c>
      <c r="BJ291" s="137">
        <f>$W291*AO291+$L291*Summary_LCIA!AF$32</f>
        <v>2.2078273736853379E-2</v>
      </c>
      <c r="BK291" s="137">
        <f>$W291*AP291+$L291*Summary_LCIA!AG$32</f>
        <v>5.4648419018533748E-3</v>
      </c>
      <c r="BL291" s="137">
        <f>$W291*AQ291+$L291*Summary_LCIA!AH$32</f>
        <v>0.80361335283389157</v>
      </c>
      <c r="BM291" s="137">
        <f>$W291*AR291+$L291*Summary_LCIA!AI$32</f>
        <v>0.27270648798817881</v>
      </c>
    </row>
    <row r="292" spans="1:65" x14ac:dyDescent="0.25">
      <c r="A292" s="149">
        <v>327</v>
      </c>
      <c r="B292" s="149">
        <v>29</v>
      </c>
      <c r="C292" s="61">
        <v>37.827178000000004</v>
      </c>
      <c r="D292" s="61">
        <v>-122.291308</v>
      </c>
      <c r="E292" s="61" t="s">
        <v>265</v>
      </c>
      <c r="F292" s="149">
        <v>99</v>
      </c>
      <c r="G292" s="61" t="s">
        <v>623</v>
      </c>
      <c r="H292" s="61" t="s">
        <v>624</v>
      </c>
      <c r="I292" s="61">
        <v>37.712569000000002</v>
      </c>
      <c r="J292" s="61">
        <v>-122.21974299999999</v>
      </c>
      <c r="K292" s="61">
        <v>31.383945929999999</v>
      </c>
      <c r="L292" s="61">
        <v>20.917000000000002</v>
      </c>
      <c r="M292" s="61" t="s">
        <v>617</v>
      </c>
      <c r="N292" s="149">
        <v>28</v>
      </c>
      <c r="O292" s="149">
        <v>29</v>
      </c>
      <c r="P292" s="61" t="s">
        <v>565</v>
      </c>
      <c r="Q292" s="61" t="s">
        <v>559</v>
      </c>
      <c r="R292" s="61">
        <v>47.450249900000003</v>
      </c>
      <c r="S292" s="61">
        <v>-122.30881650000001</v>
      </c>
      <c r="T292" s="61">
        <v>1271.547</v>
      </c>
      <c r="U292" s="61" t="s">
        <v>617</v>
      </c>
      <c r="V292" s="61" t="s">
        <v>569</v>
      </c>
      <c r="W292" s="61" cm="1">
        <f t="array" ref="W292">getDistance(I292,J292,R292,S292)*SA!$B$12</f>
        <v>1083.7067192187251</v>
      </c>
      <c r="Y292" s="137">
        <f>Transportation_LCIA!C$61*($W292^Transportation_LCIA!C$60)+Transportation_LCIA!C$62</f>
        <v>0.22745670793590661</v>
      </c>
      <c r="Z292" s="137">
        <f>Transportation_LCIA!D$61*($W292^Transportation_LCIA!D$60)+Transportation_LCIA!D$62</f>
        <v>2.3271050405397338</v>
      </c>
      <c r="AA292" s="137">
        <f>Transportation_LCIA!E$61*($W292^Transportation_LCIA!E$60)+Transportation_LCIA!E$62</f>
        <v>1.0796071266874865E-3</v>
      </c>
      <c r="AB292" s="137">
        <f>Transportation_LCIA!F$61*($W292^Transportation_LCIA!F$60)+Transportation_LCIA!F$62</f>
        <v>0.22745670793590661</v>
      </c>
      <c r="AC292" s="137">
        <f>Transportation_LCIA!G$61*($W292^Transportation_LCIA!G$60)+Transportation_LCIA!G$62</f>
        <v>5.4411330360243829E-2</v>
      </c>
      <c r="AD292" s="137">
        <f>Transportation_LCIA!H$61*($W292^Transportation_LCIA!H$60)+Transportation_LCIA!H$62</f>
        <v>2.6257910570795154E-4</v>
      </c>
      <c r="AE292" s="137">
        <f>Transportation_LCIA!I$61*($W292^Transportation_LCIA!I$60)+Transportation_LCIA!I$62</f>
        <v>5.5627834005164701E-6</v>
      </c>
      <c r="AF292" s="137">
        <f>Transportation_LCIA!J$61*($W292^Transportation_LCIA!J$60)+Transportation_LCIA!J$62</f>
        <v>8.2304885314531239E-3</v>
      </c>
      <c r="AG292" s="137">
        <f>Transportation_LCIA!K$61*($W292^Transportation_LCIA!K$60)+Transportation_LCIA!K$62</f>
        <v>1.1526128098589581E-2</v>
      </c>
      <c r="AH292" s="137">
        <f>Transportation_LCIA!L$61*($W292^Transportation_LCIA!L$60)+Transportation_LCIA!L$62</f>
        <v>2.2681720311816129E-4</v>
      </c>
      <c r="AI292" s="137">
        <f>Transportation_LCIA!M$61*($W292^Transportation_LCIA!M$60)+Transportation_LCIA!M$62</f>
        <v>2.3576226353069502E-4</v>
      </c>
      <c r="AJ292" s="137">
        <f>Transportation_LCIA!N$61*($W292^Transportation_LCIA!N$60)+Transportation_LCIA!N$62</f>
        <v>9.4204492933100935E-4</v>
      </c>
      <c r="AK292" s="137">
        <f>Transportation_LCIA!O$61*($W292^Transportation_LCIA!O$60)+Transportation_LCIA!O$62</f>
        <v>5.7483163787402971E-5</v>
      </c>
      <c r="AL292" s="137">
        <f>Transportation_LCIA!P$61*($W292^Transportation_LCIA!P$60)+Transportation_LCIA!P$62</f>
        <v>2.7806040623323073E-8</v>
      </c>
      <c r="AM292" s="137">
        <f>Transportation_LCIA!Q$61*($W292^Transportation_LCIA!Q$60)+Transportation_LCIA!Q$62</f>
        <v>8.9847671545088305E-5</v>
      </c>
      <c r="AN292" s="137">
        <f>Transportation_LCIA!R$61*($W292^Transportation_LCIA!R$60)+Transportation_LCIA!R$62</f>
        <v>2.6759576802836684E-4</v>
      </c>
      <c r="AO292" s="137">
        <f>Transportation_LCIA!S$61*($W292^Transportation_LCIA!S$60)+Transportation_LCIA!S$62</f>
        <v>4.0551779544391714E-6</v>
      </c>
      <c r="AP292" s="137">
        <f>Transportation_LCIA!T$61*($W292^Transportation_LCIA!T$60)+Transportation_LCIA!T$62</f>
        <v>4.0551779544391714E-6</v>
      </c>
      <c r="AQ292" s="137">
        <f>Transportation_LCIA!U$61*($W292^Transportation_LCIA!U$60)+Transportation_LCIA!U$62</f>
        <v>5.7355015024913001E-4</v>
      </c>
      <c r="AR292" s="137">
        <f>Transportation_LCIA!V$61*($W292^Transportation_LCIA!V$60)+Transportation_LCIA!V$62</f>
        <v>2.3366216352403273E-4</v>
      </c>
      <c r="AT292" s="137">
        <f>$W292*Y292+$L292*Summary_LCIA!H$32</f>
        <v>253.60395932151309</v>
      </c>
      <c r="AU292" s="137">
        <f>$W292*Z292+$L292*Summary_LCIA!Q$32</f>
        <v>2625.5650756677342</v>
      </c>
      <c r="AV292" s="137">
        <f>$W292*AA292+$L292*Summary_LCIA!R$32</f>
        <v>1.2801180525076505</v>
      </c>
      <c r="AW292" s="137">
        <f>$W292*AB292+$L292*Summary_LCIA!S$32</f>
        <v>253.51150618151308</v>
      </c>
      <c r="AX292" s="137">
        <f>$W292*AC292+$L292*Summary_LCIA!T$32</f>
        <v>61.264702613026053</v>
      </c>
      <c r="AY292" s="137">
        <f>$W292*AD292+$L292*Summary_LCIA!U$32</f>
        <v>0.65926587918215096</v>
      </c>
      <c r="AZ292" s="137">
        <f>$W292*AE292+$L292*Summary_LCIA!V$32</f>
        <v>7.0274425856980864E-3</v>
      </c>
      <c r="BA292" s="137">
        <f>$W292*AF292+$L292*Summary_LCIA!W$32</f>
        <v>10.529438130988407</v>
      </c>
      <c r="BB292" s="137">
        <f>$W292*AG292+$L292*Summary_LCIA!X$32</f>
        <v>12.967431727017276</v>
      </c>
      <c r="BC292" s="137">
        <f>$W292*AH292+$L292*Summary_LCIA!Y$32</f>
        <v>0.57173202105354981</v>
      </c>
      <c r="BD292" s="137">
        <f>$W292*AI292+$L292*Summary_LCIA!Z$32</f>
        <v>0.25635493437942997</v>
      </c>
      <c r="BE292" s="137">
        <f>$W292*AJ292+$L292*Summary_LCIA!AA$32</f>
        <v>1.5094378717219437</v>
      </c>
      <c r="BF292" s="137">
        <f>$W292*AK292+$L292*Summary_LCIA!AB$32</f>
        <v>6.1838419147359096E-2</v>
      </c>
      <c r="BG292" s="137">
        <f>$W292*AL292+$L292*Summary_LCIA!AC$32</f>
        <v>3.115609968636404E-5</v>
      </c>
      <c r="BH292" s="137">
        <f>$W292*AM292+$L292*Summary_LCIA!AD$32</f>
        <v>0.10596624903956925</v>
      </c>
      <c r="BI292" s="137">
        <f>$W292*AN292+$L292*Summary_LCIA!AE$32</f>
        <v>0.30853051305683643</v>
      </c>
      <c r="BJ292" s="137">
        <f>$W292*AO292+$L292*Summary_LCIA!AF$32</f>
        <v>2.2078273736853379E-2</v>
      </c>
      <c r="BK292" s="137">
        <f>$W292*AP292+$L292*Summary_LCIA!AG$32</f>
        <v>5.4648419018533748E-3</v>
      </c>
      <c r="BL292" s="137">
        <f>$W292*AQ292+$L292*Summary_LCIA!AH$32</f>
        <v>0.80361335283389157</v>
      </c>
      <c r="BM292" s="137">
        <f>$W292*AR292+$L292*Summary_LCIA!AI$32</f>
        <v>0.27270648798817881</v>
      </c>
    </row>
    <row r="293" spans="1:65" x14ac:dyDescent="0.25">
      <c r="A293" s="149">
        <v>4</v>
      </c>
      <c r="B293" s="149">
        <v>29</v>
      </c>
      <c r="C293" s="61">
        <v>37.875985</v>
      </c>
      <c r="D293" s="61">
        <v>-122.25001399999999</v>
      </c>
      <c r="E293" s="61" t="s">
        <v>265</v>
      </c>
      <c r="F293" s="149">
        <v>99</v>
      </c>
      <c r="G293" s="61" t="s">
        <v>623</v>
      </c>
      <c r="H293" s="61" t="s">
        <v>624</v>
      </c>
      <c r="I293" s="61">
        <v>37.712569000000002</v>
      </c>
      <c r="J293" s="61">
        <v>-122.21974299999999</v>
      </c>
      <c r="K293" s="61">
        <v>39.814875569999998</v>
      </c>
      <c r="L293" s="61">
        <v>26.879000000000001</v>
      </c>
      <c r="M293" s="61" t="s">
        <v>617</v>
      </c>
      <c r="N293" s="149">
        <v>28</v>
      </c>
      <c r="O293" s="149">
        <v>29</v>
      </c>
      <c r="P293" s="61" t="s">
        <v>565</v>
      </c>
      <c r="Q293" s="61" t="s">
        <v>559</v>
      </c>
      <c r="R293" s="61">
        <v>47.450249900000003</v>
      </c>
      <c r="S293" s="61">
        <v>-122.30881650000001</v>
      </c>
      <c r="T293" s="61">
        <v>1272.7180000000001</v>
      </c>
      <c r="U293" s="61" t="s">
        <v>617</v>
      </c>
      <c r="V293" s="61" t="s">
        <v>569</v>
      </c>
      <c r="W293" s="61" cm="1">
        <f t="array" ref="W293">getDistance(I293,J293,R293,S293)*SA!$B$12</f>
        <v>1083.7067192187251</v>
      </c>
      <c r="Y293" s="137">
        <f>Transportation_LCIA!C$61*($W293^Transportation_LCIA!C$60)+Transportation_LCIA!C$62</f>
        <v>0.22745670793590661</v>
      </c>
      <c r="Z293" s="137">
        <f>Transportation_LCIA!D$61*($W293^Transportation_LCIA!D$60)+Transportation_LCIA!D$62</f>
        <v>2.3271050405397338</v>
      </c>
      <c r="AA293" s="137">
        <f>Transportation_LCIA!E$61*($W293^Transportation_LCIA!E$60)+Transportation_LCIA!E$62</f>
        <v>1.0796071266874865E-3</v>
      </c>
      <c r="AB293" s="137">
        <f>Transportation_LCIA!F$61*($W293^Transportation_LCIA!F$60)+Transportation_LCIA!F$62</f>
        <v>0.22745670793590661</v>
      </c>
      <c r="AC293" s="137">
        <f>Transportation_LCIA!G$61*($W293^Transportation_LCIA!G$60)+Transportation_LCIA!G$62</f>
        <v>5.4411330360243829E-2</v>
      </c>
      <c r="AD293" s="137">
        <f>Transportation_LCIA!H$61*($W293^Transportation_LCIA!H$60)+Transportation_LCIA!H$62</f>
        <v>2.6257910570795154E-4</v>
      </c>
      <c r="AE293" s="137">
        <f>Transportation_LCIA!I$61*($W293^Transportation_LCIA!I$60)+Transportation_LCIA!I$62</f>
        <v>5.5627834005164701E-6</v>
      </c>
      <c r="AF293" s="137">
        <f>Transportation_LCIA!J$61*($W293^Transportation_LCIA!J$60)+Transportation_LCIA!J$62</f>
        <v>8.2304885314531239E-3</v>
      </c>
      <c r="AG293" s="137">
        <f>Transportation_LCIA!K$61*($W293^Transportation_LCIA!K$60)+Transportation_LCIA!K$62</f>
        <v>1.1526128098589581E-2</v>
      </c>
      <c r="AH293" s="137">
        <f>Transportation_LCIA!L$61*($W293^Transportation_LCIA!L$60)+Transportation_LCIA!L$62</f>
        <v>2.2681720311816129E-4</v>
      </c>
      <c r="AI293" s="137">
        <f>Transportation_LCIA!M$61*($W293^Transportation_LCIA!M$60)+Transportation_LCIA!M$62</f>
        <v>2.3576226353069502E-4</v>
      </c>
      <c r="AJ293" s="137">
        <f>Transportation_LCIA!N$61*($W293^Transportation_LCIA!N$60)+Transportation_LCIA!N$62</f>
        <v>9.4204492933100935E-4</v>
      </c>
      <c r="AK293" s="137">
        <f>Transportation_LCIA!O$61*($W293^Transportation_LCIA!O$60)+Transportation_LCIA!O$62</f>
        <v>5.7483163787402971E-5</v>
      </c>
      <c r="AL293" s="137">
        <f>Transportation_LCIA!P$61*($W293^Transportation_LCIA!P$60)+Transportation_LCIA!P$62</f>
        <v>2.7806040623323073E-8</v>
      </c>
      <c r="AM293" s="137">
        <f>Transportation_LCIA!Q$61*($W293^Transportation_LCIA!Q$60)+Transportation_LCIA!Q$62</f>
        <v>8.9847671545088305E-5</v>
      </c>
      <c r="AN293" s="137">
        <f>Transportation_LCIA!R$61*($W293^Transportation_LCIA!R$60)+Transportation_LCIA!R$62</f>
        <v>2.6759576802836684E-4</v>
      </c>
      <c r="AO293" s="137">
        <f>Transportation_LCIA!S$61*($W293^Transportation_LCIA!S$60)+Transportation_LCIA!S$62</f>
        <v>4.0551779544391714E-6</v>
      </c>
      <c r="AP293" s="137">
        <f>Transportation_LCIA!T$61*($W293^Transportation_LCIA!T$60)+Transportation_LCIA!T$62</f>
        <v>4.0551779544391714E-6</v>
      </c>
      <c r="AQ293" s="137">
        <f>Transportation_LCIA!U$61*($W293^Transportation_LCIA!U$60)+Transportation_LCIA!U$62</f>
        <v>5.7355015024913001E-4</v>
      </c>
      <c r="AR293" s="137">
        <f>Transportation_LCIA!V$61*($W293^Transportation_LCIA!V$60)+Transportation_LCIA!V$62</f>
        <v>2.3366216352403273E-4</v>
      </c>
      <c r="AT293" s="137">
        <f>$W293*Y293+$L293*Summary_LCIA!H$32</f>
        <v>255.62984692151309</v>
      </c>
      <c r="AU293" s="137">
        <f>$W293*Z293+$L293*Summary_LCIA!Q$32</f>
        <v>2655.1130483492802</v>
      </c>
      <c r="AV293" s="137">
        <f>$W293*AA293+$L293*Summary_LCIA!R$32</f>
        <v>1.3115115597076503</v>
      </c>
      <c r="AW293" s="137">
        <f>$W293*AB293+$L293*Summary_LCIA!S$32</f>
        <v>255.51104174151308</v>
      </c>
      <c r="AX293" s="137">
        <f>$W293*AC293+$L293*Summary_LCIA!T$32</f>
        <v>61.919926413026047</v>
      </c>
      <c r="AY293" s="137">
        <f>$W293*AD293+$L293*Summary_LCIA!U$32</f>
        <v>0.76606914718215102</v>
      </c>
      <c r="AZ293" s="137">
        <f>$W293*AE293+$L293*Summary_LCIA!V$32</f>
        <v>7.3121936676980867E-3</v>
      </c>
      <c r="BA293" s="137">
        <f>$W293*AF293+$L293*Summary_LCIA!W$32</f>
        <v>10.988339232988407</v>
      </c>
      <c r="BB293" s="137">
        <f>$W293*AG293+$L293*Summary_LCIA!X$32</f>
        <v>13.103246087017277</v>
      </c>
      <c r="BC293" s="137">
        <f>$W293*AH293+$L293*Summary_LCIA!Y$32</f>
        <v>0.66463190505354974</v>
      </c>
      <c r="BD293" s="137">
        <f>$W293*AI293+$L293*Summary_LCIA!Z$32</f>
        <v>0.25659943003742997</v>
      </c>
      <c r="BE293" s="137">
        <f>$W293*AJ293+$L293*Summary_LCIA!AA$32</f>
        <v>1.6486863437219439</v>
      </c>
      <c r="BF293" s="137">
        <f>$W293*AK293+$L293*Summary_LCIA!AB$32</f>
        <v>6.1708310421359096E-2</v>
      </c>
      <c r="BG293" s="137">
        <f>$W293*AL293+$L293*Summary_LCIA!AC$32</f>
        <v>3.1447546094364037E-5</v>
      </c>
      <c r="BH293" s="137">
        <f>$W293*AM293+$L293*Summary_LCIA!AD$32</f>
        <v>0.10841686951956925</v>
      </c>
      <c r="BI293" s="137">
        <f>$W293*AN293+$L293*Summary_LCIA!AE$32</f>
        <v>0.31381362011683644</v>
      </c>
      <c r="BJ293" s="137">
        <f>$W293*AO293+$L293*Summary_LCIA!AF$32</f>
        <v>2.7118667776853379E-2</v>
      </c>
      <c r="BK293" s="137">
        <f>$W293*AP293+$L293*Summary_LCIA!AG$32</f>
        <v>5.7698876318533748E-3</v>
      </c>
      <c r="BL293" s="137">
        <f>$W293*AQ293+$L293*Summary_LCIA!AH$32</f>
        <v>0.8555042160338916</v>
      </c>
      <c r="BM293" s="137">
        <f>$W293*AR293+$L293*Summary_LCIA!AI$32</f>
        <v>0.27826038908817879</v>
      </c>
    </row>
    <row r="294" spans="1:65" x14ac:dyDescent="0.25">
      <c r="A294" s="149">
        <v>5</v>
      </c>
      <c r="B294" s="149">
        <v>29</v>
      </c>
      <c r="C294" s="61">
        <v>37.875985</v>
      </c>
      <c r="D294" s="61">
        <v>-122.25001399999999</v>
      </c>
      <c r="E294" s="61" t="s">
        <v>265</v>
      </c>
      <c r="F294" s="149">
        <v>99</v>
      </c>
      <c r="G294" s="61" t="s">
        <v>623</v>
      </c>
      <c r="H294" s="61" t="s">
        <v>624</v>
      </c>
      <c r="I294" s="61">
        <v>37.712569000000002</v>
      </c>
      <c r="J294" s="61">
        <v>-122.21974299999999</v>
      </c>
      <c r="K294" s="61">
        <v>39.814875569999998</v>
      </c>
      <c r="L294" s="61">
        <v>26.879000000000001</v>
      </c>
      <c r="M294" s="61" t="s">
        <v>617</v>
      </c>
      <c r="N294" s="149">
        <v>28</v>
      </c>
      <c r="O294" s="149">
        <v>29</v>
      </c>
      <c r="P294" s="61" t="s">
        <v>565</v>
      </c>
      <c r="Q294" s="61" t="s">
        <v>559</v>
      </c>
      <c r="R294" s="61">
        <v>47.450249900000003</v>
      </c>
      <c r="S294" s="61">
        <v>-122.30881650000001</v>
      </c>
      <c r="T294" s="61">
        <v>1272.7180000000001</v>
      </c>
      <c r="U294" s="61" t="s">
        <v>617</v>
      </c>
      <c r="V294" s="61" t="s">
        <v>569</v>
      </c>
      <c r="W294" s="61" cm="1">
        <f t="array" ref="W294">getDistance(I294,J294,R294,S294)*SA!$B$12</f>
        <v>1083.7067192187251</v>
      </c>
      <c r="Y294" s="137">
        <f>Transportation_LCIA!C$61*($W294^Transportation_LCIA!C$60)+Transportation_LCIA!C$62</f>
        <v>0.22745670793590661</v>
      </c>
      <c r="Z294" s="137">
        <f>Transportation_LCIA!D$61*($W294^Transportation_LCIA!D$60)+Transportation_LCIA!D$62</f>
        <v>2.3271050405397338</v>
      </c>
      <c r="AA294" s="137">
        <f>Transportation_LCIA!E$61*($W294^Transportation_LCIA!E$60)+Transportation_LCIA!E$62</f>
        <v>1.0796071266874865E-3</v>
      </c>
      <c r="AB294" s="137">
        <f>Transportation_LCIA!F$61*($W294^Transportation_LCIA!F$60)+Transportation_LCIA!F$62</f>
        <v>0.22745670793590661</v>
      </c>
      <c r="AC294" s="137">
        <f>Transportation_LCIA!G$61*($W294^Transportation_LCIA!G$60)+Transportation_LCIA!G$62</f>
        <v>5.4411330360243829E-2</v>
      </c>
      <c r="AD294" s="137">
        <f>Transportation_LCIA!H$61*($W294^Transportation_LCIA!H$60)+Transportation_LCIA!H$62</f>
        <v>2.6257910570795154E-4</v>
      </c>
      <c r="AE294" s="137">
        <f>Transportation_LCIA!I$61*($W294^Transportation_LCIA!I$60)+Transportation_LCIA!I$62</f>
        <v>5.5627834005164701E-6</v>
      </c>
      <c r="AF294" s="137">
        <f>Transportation_LCIA!J$61*($W294^Transportation_LCIA!J$60)+Transportation_LCIA!J$62</f>
        <v>8.2304885314531239E-3</v>
      </c>
      <c r="AG294" s="137">
        <f>Transportation_LCIA!K$61*($W294^Transportation_LCIA!K$60)+Transportation_LCIA!K$62</f>
        <v>1.1526128098589581E-2</v>
      </c>
      <c r="AH294" s="137">
        <f>Transportation_LCIA!L$61*($W294^Transportation_LCIA!L$60)+Transportation_LCIA!L$62</f>
        <v>2.2681720311816129E-4</v>
      </c>
      <c r="AI294" s="137">
        <f>Transportation_LCIA!M$61*($W294^Transportation_LCIA!M$60)+Transportation_LCIA!M$62</f>
        <v>2.3576226353069502E-4</v>
      </c>
      <c r="AJ294" s="137">
        <f>Transportation_LCIA!N$61*($W294^Transportation_LCIA!N$60)+Transportation_LCIA!N$62</f>
        <v>9.4204492933100935E-4</v>
      </c>
      <c r="AK294" s="137">
        <f>Transportation_LCIA!O$61*($W294^Transportation_LCIA!O$60)+Transportation_LCIA!O$62</f>
        <v>5.7483163787402971E-5</v>
      </c>
      <c r="AL294" s="137">
        <f>Transportation_LCIA!P$61*($W294^Transportation_LCIA!P$60)+Transportation_LCIA!P$62</f>
        <v>2.7806040623323073E-8</v>
      </c>
      <c r="AM294" s="137">
        <f>Transportation_LCIA!Q$61*($W294^Transportation_LCIA!Q$60)+Transportation_LCIA!Q$62</f>
        <v>8.9847671545088305E-5</v>
      </c>
      <c r="AN294" s="137">
        <f>Transportation_LCIA!R$61*($W294^Transportation_LCIA!R$60)+Transportation_LCIA!R$62</f>
        <v>2.6759576802836684E-4</v>
      </c>
      <c r="AO294" s="137">
        <f>Transportation_LCIA!S$61*($W294^Transportation_LCIA!S$60)+Transportation_LCIA!S$62</f>
        <v>4.0551779544391714E-6</v>
      </c>
      <c r="AP294" s="137">
        <f>Transportation_LCIA!T$61*($W294^Transportation_LCIA!T$60)+Transportation_LCIA!T$62</f>
        <v>4.0551779544391714E-6</v>
      </c>
      <c r="AQ294" s="137">
        <f>Transportation_LCIA!U$61*($W294^Transportation_LCIA!U$60)+Transportation_LCIA!U$62</f>
        <v>5.7355015024913001E-4</v>
      </c>
      <c r="AR294" s="137">
        <f>Transportation_LCIA!V$61*($W294^Transportation_LCIA!V$60)+Transportation_LCIA!V$62</f>
        <v>2.3366216352403273E-4</v>
      </c>
      <c r="AT294" s="137">
        <f>$W294*Y294+$L294*Summary_LCIA!H$32</f>
        <v>255.62984692151309</v>
      </c>
      <c r="AU294" s="137">
        <f>$W294*Z294+$L294*Summary_LCIA!Q$32</f>
        <v>2655.1130483492802</v>
      </c>
      <c r="AV294" s="137">
        <f>$W294*AA294+$L294*Summary_LCIA!R$32</f>
        <v>1.3115115597076503</v>
      </c>
      <c r="AW294" s="137">
        <f>$W294*AB294+$L294*Summary_LCIA!S$32</f>
        <v>255.51104174151308</v>
      </c>
      <c r="AX294" s="137">
        <f>$W294*AC294+$L294*Summary_LCIA!T$32</f>
        <v>61.919926413026047</v>
      </c>
      <c r="AY294" s="137">
        <f>$W294*AD294+$L294*Summary_LCIA!U$32</f>
        <v>0.76606914718215102</v>
      </c>
      <c r="AZ294" s="137">
        <f>$W294*AE294+$L294*Summary_LCIA!V$32</f>
        <v>7.3121936676980867E-3</v>
      </c>
      <c r="BA294" s="137">
        <f>$W294*AF294+$L294*Summary_LCIA!W$32</f>
        <v>10.988339232988407</v>
      </c>
      <c r="BB294" s="137">
        <f>$W294*AG294+$L294*Summary_LCIA!X$32</f>
        <v>13.103246087017277</v>
      </c>
      <c r="BC294" s="137">
        <f>$W294*AH294+$L294*Summary_LCIA!Y$32</f>
        <v>0.66463190505354974</v>
      </c>
      <c r="BD294" s="137">
        <f>$W294*AI294+$L294*Summary_LCIA!Z$32</f>
        <v>0.25659943003742997</v>
      </c>
      <c r="BE294" s="137">
        <f>$W294*AJ294+$L294*Summary_LCIA!AA$32</f>
        <v>1.6486863437219439</v>
      </c>
      <c r="BF294" s="137">
        <f>$W294*AK294+$L294*Summary_LCIA!AB$32</f>
        <v>6.1708310421359096E-2</v>
      </c>
      <c r="BG294" s="137">
        <f>$W294*AL294+$L294*Summary_LCIA!AC$32</f>
        <v>3.1447546094364037E-5</v>
      </c>
      <c r="BH294" s="137">
        <f>$W294*AM294+$L294*Summary_LCIA!AD$32</f>
        <v>0.10841686951956925</v>
      </c>
      <c r="BI294" s="137">
        <f>$W294*AN294+$L294*Summary_LCIA!AE$32</f>
        <v>0.31381362011683644</v>
      </c>
      <c r="BJ294" s="137">
        <f>$W294*AO294+$L294*Summary_LCIA!AF$32</f>
        <v>2.7118667776853379E-2</v>
      </c>
      <c r="BK294" s="137">
        <f>$W294*AP294+$L294*Summary_LCIA!AG$32</f>
        <v>5.7698876318533748E-3</v>
      </c>
      <c r="BL294" s="137">
        <f>$W294*AQ294+$L294*Summary_LCIA!AH$32</f>
        <v>0.8555042160338916</v>
      </c>
      <c r="BM294" s="137">
        <f>$W294*AR294+$L294*Summary_LCIA!AI$32</f>
        <v>0.27826038908817879</v>
      </c>
    </row>
    <row r="295" spans="1:65" x14ac:dyDescent="0.25">
      <c r="A295" s="149">
        <v>6</v>
      </c>
      <c r="B295" s="149">
        <v>29</v>
      </c>
      <c r="C295" s="61">
        <v>37.875985</v>
      </c>
      <c r="D295" s="61">
        <v>-122.25001399999999</v>
      </c>
      <c r="E295" s="61" t="s">
        <v>265</v>
      </c>
      <c r="F295" s="149">
        <v>99</v>
      </c>
      <c r="G295" s="61" t="s">
        <v>623</v>
      </c>
      <c r="H295" s="61" t="s">
        <v>624</v>
      </c>
      <c r="I295" s="61">
        <v>37.712569000000002</v>
      </c>
      <c r="J295" s="61">
        <v>-122.21974299999999</v>
      </c>
      <c r="K295" s="61">
        <v>39.814875569999998</v>
      </c>
      <c r="L295" s="61">
        <v>26.879000000000001</v>
      </c>
      <c r="M295" s="61" t="s">
        <v>617</v>
      </c>
      <c r="N295" s="149">
        <v>28</v>
      </c>
      <c r="O295" s="149">
        <v>29</v>
      </c>
      <c r="P295" s="61" t="s">
        <v>565</v>
      </c>
      <c r="Q295" s="61" t="s">
        <v>559</v>
      </c>
      <c r="R295" s="61">
        <v>47.450249900000003</v>
      </c>
      <c r="S295" s="61">
        <v>-122.30881650000001</v>
      </c>
      <c r="T295" s="61">
        <v>1272.7180000000001</v>
      </c>
      <c r="U295" s="61" t="s">
        <v>617</v>
      </c>
      <c r="V295" s="61" t="s">
        <v>569</v>
      </c>
      <c r="W295" s="61" cm="1">
        <f t="array" ref="W295">getDistance(I295,J295,R295,S295)*SA!$B$12</f>
        <v>1083.7067192187251</v>
      </c>
      <c r="Y295" s="137">
        <f>Transportation_LCIA!C$61*($W295^Transportation_LCIA!C$60)+Transportation_LCIA!C$62</f>
        <v>0.22745670793590661</v>
      </c>
      <c r="Z295" s="137">
        <f>Transportation_LCIA!D$61*($W295^Transportation_LCIA!D$60)+Transportation_LCIA!D$62</f>
        <v>2.3271050405397338</v>
      </c>
      <c r="AA295" s="137">
        <f>Transportation_LCIA!E$61*($W295^Transportation_LCIA!E$60)+Transportation_LCIA!E$62</f>
        <v>1.0796071266874865E-3</v>
      </c>
      <c r="AB295" s="137">
        <f>Transportation_LCIA!F$61*($W295^Transportation_LCIA!F$60)+Transportation_LCIA!F$62</f>
        <v>0.22745670793590661</v>
      </c>
      <c r="AC295" s="137">
        <f>Transportation_LCIA!G$61*($W295^Transportation_LCIA!G$60)+Transportation_LCIA!G$62</f>
        <v>5.4411330360243829E-2</v>
      </c>
      <c r="AD295" s="137">
        <f>Transportation_LCIA!H$61*($W295^Transportation_LCIA!H$60)+Transportation_LCIA!H$62</f>
        <v>2.6257910570795154E-4</v>
      </c>
      <c r="AE295" s="137">
        <f>Transportation_LCIA!I$61*($W295^Transportation_LCIA!I$60)+Transportation_LCIA!I$62</f>
        <v>5.5627834005164701E-6</v>
      </c>
      <c r="AF295" s="137">
        <f>Transportation_LCIA!J$61*($W295^Transportation_LCIA!J$60)+Transportation_LCIA!J$62</f>
        <v>8.2304885314531239E-3</v>
      </c>
      <c r="AG295" s="137">
        <f>Transportation_LCIA!K$61*($W295^Transportation_LCIA!K$60)+Transportation_LCIA!K$62</f>
        <v>1.1526128098589581E-2</v>
      </c>
      <c r="AH295" s="137">
        <f>Transportation_LCIA!L$61*($W295^Transportation_LCIA!L$60)+Transportation_LCIA!L$62</f>
        <v>2.2681720311816129E-4</v>
      </c>
      <c r="AI295" s="137">
        <f>Transportation_LCIA!M$61*($W295^Transportation_LCIA!M$60)+Transportation_LCIA!M$62</f>
        <v>2.3576226353069502E-4</v>
      </c>
      <c r="AJ295" s="137">
        <f>Transportation_LCIA!N$61*($W295^Transportation_LCIA!N$60)+Transportation_LCIA!N$62</f>
        <v>9.4204492933100935E-4</v>
      </c>
      <c r="AK295" s="137">
        <f>Transportation_LCIA!O$61*($W295^Transportation_LCIA!O$60)+Transportation_LCIA!O$62</f>
        <v>5.7483163787402971E-5</v>
      </c>
      <c r="AL295" s="137">
        <f>Transportation_LCIA!P$61*($W295^Transportation_LCIA!P$60)+Transportation_LCIA!P$62</f>
        <v>2.7806040623323073E-8</v>
      </c>
      <c r="AM295" s="137">
        <f>Transportation_LCIA!Q$61*($W295^Transportation_LCIA!Q$60)+Transportation_LCIA!Q$62</f>
        <v>8.9847671545088305E-5</v>
      </c>
      <c r="AN295" s="137">
        <f>Transportation_LCIA!R$61*($W295^Transportation_LCIA!R$60)+Transportation_LCIA!R$62</f>
        <v>2.6759576802836684E-4</v>
      </c>
      <c r="AO295" s="137">
        <f>Transportation_LCIA!S$61*($W295^Transportation_LCIA!S$60)+Transportation_LCIA!S$62</f>
        <v>4.0551779544391714E-6</v>
      </c>
      <c r="AP295" s="137">
        <f>Transportation_LCIA!T$61*($W295^Transportation_LCIA!T$60)+Transportation_LCIA!T$62</f>
        <v>4.0551779544391714E-6</v>
      </c>
      <c r="AQ295" s="137">
        <f>Transportation_LCIA!U$61*($W295^Transportation_LCIA!U$60)+Transportation_LCIA!U$62</f>
        <v>5.7355015024913001E-4</v>
      </c>
      <c r="AR295" s="137">
        <f>Transportation_LCIA!V$61*($W295^Transportation_LCIA!V$60)+Transportation_LCIA!V$62</f>
        <v>2.3366216352403273E-4</v>
      </c>
      <c r="AT295" s="137">
        <f>$W295*Y295+$L295*Summary_LCIA!H$32</f>
        <v>255.62984692151309</v>
      </c>
      <c r="AU295" s="137">
        <f>$W295*Z295+$L295*Summary_LCIA!Q$32</f>
        <v>2655.1130483492802</v>
      </c>
      <c r="AV295" s="137">
        <f>$W295*AA295+$L295*Summary_LCIA!R$32</f>
        <v>1.3115115597076503</v>
      </c>
      <c r="AW295" s="137">
        <f>$W295*AB295+$L295*Summary_LCIA!S$32</f>
        <v>255.51104174151308</v>
      </c>
      <c r="AX295" s="137">
        <f>$W295*AC295+$L295*Summary_LCIA!T$32</f>
        <v>61.919926413026047</v>
      </c>
      <c r="AY295" s="137">
        <f>$W295*AD295+$L295*Summary_LCIA!U$32</f>
        <v>0.76606914718215102</v>
      </c>
      <c r="AZ295" s="137">
        <f>$W295*AE295+$L295*Summary_LCIA!V$32</f>
        <v>7.3121936676980867E-3</v>
      </c>
      <c r="BA295" s="137">
        <f>$W295*AF295+$L295*Summary_LCIA!W$32</f>
        <v>10.988339232988407</v>
      </c>
      <c r="BB295" s="137">
        <f>$W295*AG295+$L295*Summary_LCIA!X$32</f>
        <v>13.103246087017277</v>
      </c>
      <c r="BC295" s="137">
        <f>$W295*AH295+$L295*Summary_LCIA!Y$32</f>
        <v>0.66463190505354974</v>
      </c>
      <c r="BD295" s="137">
        <f>$W295*AI295+$L295*Summary_LCIA!Z$32</f>
        <v>0.25659943003742997</v>
      </c>
      <c r="BE295" s="137">
        <f>$W295*AJ295+$L295*Summary_LCIA!AA$32</f>
        <v>1.6486863437219439</v>
      </c>
      <c r="BF295" s="137">
        <f>$W295*AK295+$L295*Summary_LCIA!AB$32</f>
        <v>6.1708310421359096E-2</v>
      </c>
      <c r="BG295" s="137">
        <f>$W295*AL295+$L295*Summary_LCIA!AC$32</f>
        <v>3.1447546094364037E-5</v>
      </c>
      <c r="BH295" s="137">
        <f>$W295*AM295+$L295*Summary_LCIA!AD$32</f>
        <v>0.10841686951956925</v>
      </c>
      <c r="BI295" s="137">
        <f>$W295*AN295+$L295*Summary_LCIA!AE$32</f>
        <v>0.31381362011683644</v>
      </c>
      <c r="BJ295" s="137">
        <f>$W295*AO295+$L295*Summary_LCIA!AF$32</f>
        <v>2.7118667776853379E-2</v>
      </c>
      <c r="BK295" s="137">
        <f>$W295*AP295+$L295*Summary_LCIA!AG$32</f>
        <v>5.7698876318533748E-3</v>
      </c>
      <c r="BL295" s="137">
        <f>$W295*AQ295+$L295*Summary_LCIA!AH$32</f>
        <v>0.8555042160338916</v>
      </c>
      <c r="BM295" s="137">
        <f>$W295*AR295+$L295*Summary_LCIA!AI$32</f>
        <v>0.27826038908817879</v>
      </c>
    </row>
    <row r="296" spans="1:65" x14ac:dyDescent="0.25">
      <c r="A296" s="149">
        <v>7</v>
      </c>
      <c r="B296" s="149">
        <v>29</v>
      </c>
      <c r="C296" s="61">
        <v>37.875985</v>
      </c>
      <c r="D296" s="61">
        <v>-122.25001399999999</v>
      </c>
      <c r="E296" s="61" t="s">
        <v>265</v>
      </c>
      <c r="F296" s="149">
        <v>99</v>
      </c>
      <c r="G296" s="61" t="s">
        <v>623</v>
      </c>
      <c r="H296" s="61" t="s">
        <v>624</v>
      </c>
      <c r="I296" s="61">
        <v>37.712569000000002</v>
      </c>
      <c r="J296" s="61">
        <v>-122.21974299999999</v>
      </c>
      <c r="K296" s="61">
        <v>39.814875569999998</v>
      </c>
      <c r="L296" s="61">
        <v>26.879000000000001</v>
      </c>
      <c r="M296" s="61" t="s">
        <v>617</v>
      </c>
      <c r="N296" s="149">
        <v>28</v>
      </c>
      <c r="O296" s="149">
        <v>29</v>
      </c>
      <c r="P296" s="61" t="s">
        <v>565</v>
      </c>
      <c r="Q296" s="61" t="s">
        <v>559</v>
      </c>
      <c r="R296" s="61">
        <v>47.450249900000003</v>
      </c>
      <c r="S296" s="61">
        <v>-122.30881650000001</v>
      </c>
      <c r="T296" s="61">
        <v>1272.7180000000001</v>
      </c>
      <c r="U296" s="61" t="s">
        <v>617</v>
      </c>
      <c r="V296" s="61" t="s">
        <v>569</v>
      </c>
      <c r="W296" s="61" cm="1">
        <f t="array" ref="W296">getDistance(I296,J296,R296,S296)*SA!$B$12</f>
        <v>1083.7067192187251</v>
      </c>
      <c r="Y296" s="137">
        <f>Transportation_LCIA!C$61*($W296^Transportation_LCIA!C$60)+Transportation_LCIA!C$62</f>
        <v>0.22745670793590661</v>
      </c>
      <c r="Z296" s="137">
        <f>Transportation_LCIA!D$61*($W296^Transportation_LCIA!D$60)+Transportation_LCIA!D$62</f>
        <v>2.3271050405397338</v>
      </c>
      <c r="AA296" s="137">
        <f>Transportation_LCIA!E$61*($W296^Transportation_LCIA!E$60)+Transportation_LCIA!E$62</f>
        <v>1.0796071266874865E-3</v>
      </c>
      <c r="AB296" s="137">
        <f>Transportation_LCIA!F$61*($W296^Transportation_LCIA!F$60)+Transportation_LCIA!F$62</f>
        <v>0.22745670793590661</v>
      </c>
      <c r="AC296" s="137">
        <f>Transportation_LCIA!G$61*($W296^Transportation_LCIA!G$60)+Transportation_LCIA!G$62</f>
        <v>5.4411330360243829E-2</v>
      </c>
      <c r="AD296" s="137">
        <f>Transportation_LCIA!H$61*($W296^Transportation_LCIA!H$60)+Transportation_LCIA!H$62</f>
        <v>2.6257910570795154E-4</v>
      </c>
      <c r="AE296" s="137">
        <f>Transportation_LCIA!I$61*($W296^Transportation_LCIA!I$60)+Transportation_LCIA!I$62</f>
        <v>5.5627834005164701E-6</v>
      </c>
      <c r="AF296" s="137">
        <f>Transportation_LCIA!J$61*($W296^Transportation_LCIA!J$60)+Transportation_LCIA!J$62</f>
        <v>8.2304885314531239E-3</v>
      </c>
      <c r="AG296" s="137">
        <f>Transportation_LCIA!K$61*($W296^Transportation_LCIA!K$60)+Transportation_LCIA!K$62</f>
        <v>1.1526128098589581E-2</v>
      </c>
      <c r="AH296" s="137">
        <f>Transportation_LCIA!L$61*($W296^Transportation_LCIA!L$60)+Transportation_LCIA!L$62</f>
        <v>2.2681720311816129E-4</v>
      </c>
      <c r="AI296" s="137">
        <f>Transportation_LCIA!M$61*($W296^Transportation_LCIA!M$60)+Transportation_LCIA!M$62</f>
        <v>2.3576226353069502E-4</v>
      </c>
      <c r="AJ296" s="137">
        <f>Transportation_LCIA!N$61*($W296^Transportation_LCIA!N$60)+Transportation_LCIA!N$62</f>
        <v>9.4204492933100935E-4</v>
      </c>
      <c r="AK296" s="137">
        <f>Transportation_LCIA!O$61*($W296^Transportation_LCIA!O$60)+Transportation_LCIA!O$62</f>
        <v>5.7483163787402971E-5</v>
      </c>
      <c r="AL296" s="137">
        <f>Transportation_LCIA!P$61*($W296^Transportation_LCIA!P$60)+Transportation_LCIA!P$62</f>
        <v>2.7806040623323073E-8</v>
      </c>
      <c r="AM296" s="137">
        <f>Transportation_LCIA!Q$61*($W296^Transportation_LCIA!Q$60)+Transportation_LCIA!Q$62</f>
        <v>8.9847671545088305E-5</v>
      </c>
      <c r="AN296" s="137">
        <f>Transportation_LCIA!R$61*($W296^Transportation_LCIA!R$60)+Transportation_LCIA!R$62</f>
        <v>2.6759576802836684E-4</v>
      </c>
      <c r="AO296" s="137">
        <f>Transportation_LCIA!S$61*($W296^Transportation_LCIA!S$60)+Transportation_LCIA!S$62</f>
        <v>4.0551779544391714E-6</v>
      </c>
      <c r="AP296" s="137">
        <f>Transportation_LCIA!T$61*($W296^Transportation_LCIA!T$60)+Transportation_LCIA!T$62</f>
        <v>4.0551779544391714E-6</v>
      </c>
      <c r="AQ296" s="137">
        <f>Transportation_LCIA!U$61*($W296^Transportation_LCIA!U$60)+Transportation_LCIA!U$62</f>
        <v>5.7355015024913001E-4</v>
      </c>
      <c r="AR296" s="137">
        <f>Transportation_LCIA!V$61*($W296^Transportation_LCIA!V$60)+Transportation_LCIA!V$62</f>
        <v>2.3366216352403273E-4</v>
      </c>
      <c r="AT296" s="137">
        <f>$W296*Y296+$L296*Summary_LCIA!H$32</f>
        <v>255.62984692151309</v>
      </c>
      <c r="AU296" s="137">
        <f>$W296*Z296+$L296*Summary_LCIA!Q$32</f>
        <v>2655.1130483492802</v>
      </c>
      <c r="AV296" s="137">
        <f>$W296*AA296+$L296*Summary_LCIA!R$32</f>
        <v>1.3115115597076503</v>
      </c>
      <c r="AW296" s="137">
        <f>$W296*AB296+$L296*Summary_LCIA!S$32</f>
        <v>255.51104174151308</v>
      </c>
      <c r="AX296" s="137">
        <f>$W296*AC296+$L296*Summary_LCIA!T$32</f>
        <v>61.919926413026047</v>
      </c>
      <c r="AY296" s="137">
        <f>$W296*AD296+$L296*Summary_LCIA!U$32</f>
        <v>0.76606914718215102</v>
      </c>
      <c r="AZ296" s="137">
        <f>$W296*AE296+$L296*Summary_LCIA!V$32</f>
        <v>7.3121936676980867E-3</v>
      </c>
      <c r="BA296" s="137">
        <f>$W296*AF296+$L296*Summary_LCIA!W$32</f>
        <v>10.988339232988407</v>
      </c>
      <c r="BB296" s="137">
        <f>$W296*AG296+$L296*Summary_LCIA!X$32</f>
        <v>13.103246087017277</v>
      </c>
      <c r="BC296" s="137">
        <f>$W296*AH296+$L296*Summary_LCIA!Y$32</f>
        <v>0.66463190505354974</v>
      </c>
      <c r="BD296" s="137">
        <f>$W296*AI296+$L296*Summary_LCIA!Z$32</f>
        <v>0.25659943003742997</v>
      </c>
      <c r="BE296" s="137">
        <f>$W296*AJ296+$L296*Summary_LCIA!AA$32</f>
        <v>1.6486863437219439</v>
      </c>
      <c r="BF296" s="137">
        <f>$W296*AK296+$L296*Summary_LCIA!AB$32</f>
        <v>6.1708310421359096E-2</v>
      </c>
      <c r="BG296" s="137">
        <f>$W296*AL296+$L296*Summary_LCIA!AC$32</f>
        <v>3.1447546094364037E-5</v>
      </c>
      <c r="BH296" s="137">
        <f>$W296*AM296+$L296*Summary_LCIA!AD$32</f>
        <v>0.10841686951956925</v>
      </c>
      <c r="BI296" s="137">
        <f>$W296*AN296+$L296*Summary_LCIA!AE$32</f>
        <v>0.31381362011683644</v>
      </c>
      <c r="BJ296" s="137">
        <f>$W296*AO296+$L296*Summary_LCIA!AF$32</f>
        <v>2.7118667776853379E-2</v>
      </c>
      <c r="BK296" s="137">
        <f>$W296*AP296+$L296*Summary_LCIA!AG$32</f>
        <v>5.7698876318533748E-3</v>
      </c>
      <c r="BL296" s="137">
        <f>$W296*AQ296+$L296*Summary_LCIA!AH$32</f>
        <v>0.8555042160338916</v>
      </c>
      <c r="BM296" s="137">
        <f>$W296*AR296+$L296*Summary_LCIA!AI$32</f>
        <v>0.27826038908817879</v>
      </c>
    </row>
    <row r="297" spans="1:65" x14ac:dyDescent="0.25">
      <c r="A297" s="149">
        <v>8</v>
      </c>
      <c r="B297" s="149">
        <v>29</v>
      </c>
      <c r="C297" s="61">
        <v>37.875985</v>
      </c>
      <c r="D297" s="61">
        <v>-122.25001399999999</v>
      </c>
      <c r="E297" s="61" t="s">
        <v>265</v>
      </c>
      <c r="F297" s="149">
        <v>99</v>
      </c>
      <c r="G297" s="61" t="s">
        <v>623</v>
      </c>
      <c r="H297" s="61" t="s">
        <v>624</v>
      </c>
      <c r="I297" s="61">
        <v>37.712569000000002</v>
      </c>
      <c r="J297" s="61">
        <v>-122.21974299999999</v>
      </c>
      <c r="K297" s="61">
        <v>39.814875569999998</v>
      </c>
      <c r="L297" s="61">
        <v>26.879000000000001</v>
      </c>
      <c r="M297" s="61" t="s">
        <v>617</v>
      </c>
      <c r="N297" s="149">
        <v>28</v>
      </c>
      <c r="O297" s="149">
        <v>29</v>
      </c>
      <c r="P297" s="61" t="s">
        <v>565</v>
      </c>
      <c r="Q297" s="61" t="s">
        <v>559</v>
      </c>
      <c r="R297" s="61">
        <v>47.450249900000003</v>
      </c>
      <c r="S297" s="61">
        <v>-122.30881650000001</v>
      </c>
      <c r="T297" s="61">
        <v>1272.7180000000001</v>
      </c>
      <c r="U297" s="61" t="s">
        <v>617</v>
      </c>
      <c r="V297" s="61" t="s">
        <v>569</v>
      </c>
      <c r="W297" s="61" cm="1">
        <f t="array" ref="W297">getDistance(I297,J297,R297,S297)*SA!$B$12</f>
        <v>1083.7067192187251</v>
      </c>
      <c r="Y297" s="137">
        <f>Transportation_LCIA!C$61*($W297^Transportation_LCIA!C$60)+Transportation_LCIA!C$62</f>
        <v>0.22745670793590661</v>
      </c>
      <c r="Z297" s="137">
        <f>Transportation_LCIA!D$61*($W297^Transportation_LCIA!D$60)+Transportation_LCIA!D$62</f>
        <v>2.3271050405397338</v>
      </c>
      <c r="AA297" s="137">
        <f>Transportation_LCIA!E$61*($W297^Transportation_LCIA!E$60)+Transportation_LCIA!E$62</f>
        <v>1.0796071266874865E-3</v>
      </c>
      <c r="AB297" s="137">
        <f>Transportation_LCIA!F$61*($W297^Transportation_LCIA!F$60)+Transportation_LCIA!F$62</f>
        <v>0.22745670793590661</v>
      </c>
      <c r="AC297" s="137">
        <f>Transportation_LCIA!G$61*($W297^Transportation_LCIA!G$60)+Transportation_LCIA!G$62</f>
        <v>5.4411330360243829E-2</v>
      </c>
      <c r="AD297" s="137">
        <f>Transportation_LCIA!H$61*($W297^Transportation_LCIA!H$60)+Transportation_LCIA!H$62</f>
        <v>2.6257910570795154E-4</v>
      </c>
      <c r="AE297" s="137">
        <f>Transportation_LCIA!I$61*($W297^Transportation_LCIA!I$60)+Transportation_LCIA!I$62</f>
        <v>5.5627834005164701E-6</v>
      </c>
      <c r="AF297" s="137">
        <f>Transportation_LCIA!J$61*($W297^Transportation_LCIA!J$60)+Transportation_LCIA!J$62</f>
        <v>8.2304885314531239E-3</v>
      </c>
      <c r="AG297" s="137">
        <f>Transportation_LCIA!K$61*($W297^Transportation_LCIA!K$60)+Transportation_LCIA!K$62</f>
        <v>1.1526128098589581E-2</v>
      </c>
      <c r="AH297" s="137">
        <f>Transportation_LCIA!L$61*($W297^Transportation_LCIA!L$60)+Transportation_LCIA!L$62</f>
        <v>2.2681720311816129E-4</v>
      </c>
      <c r="AI297" s="137">
        <f>Transportation_LCIA!M$61*($W297^Transportation_LCIA!M$60)+Transportation_LCIA!M$62</f>
        <v>2.3576226353069502E-4</v>
      </c>
      <c r="AJ297" s="137">
        <f>Transportation_LCIA!N$61*($W297^Transportation_LCIA!N$60)+Transportation_LCIA!N$62</f>
        <v>9.4204492933100935E-4</v>
      </c>
      <c r="AK297" s="137">
        <f>Transportation_LCIA!O$61*($W297^Transportation_LCIA!O$60)+Transportation_LCIA!O$62</f>
        <v>5.7483163787402971E-5</v>
      </c>
      <c r="AL297" s="137">
        <f>Transportation_LCIA!P$61*($W297^Transportation_LCIA!P$60)+Transportation_LCIA!P$62</f>
        <v>2.7806040623323073E-8</v>
      </c>
      <c r="AM297" s="137">
        <f>Transportation_LCIA!Q$61*($W297^Transportation_LCIA!Q$60)+Transportation_LCIA!Q$62</f>
        <v>8.9847671545088305E-5</v>
      </c>
      <c r="AN297" s="137">
        <f>Transportation_LCIA!R$61*($W297^Transportation_LCIA!R$60)+Transportation_LCIA!R$62</f>
        <v>2.6759576802836684E-4</v>
      </c>
      <c r="AO297" s="137">
        <f>Transportation_LCIA!S$61*($W297^Transportation_LCIA!S$60)+Transportation_LCIA!S$62</f>
        <v>4.0551779544391714E-6</v>
      </c>
      <c r="AP297" s="137">
        <f>Transportation_LCIA!T$61*($W297^Transportation_LCIA!T$60)+Transportation_LCIA!T$62</f>
        <v>4.0551779544391714E-6</v>
      </c>
      <c r="AQ297" s="137">
        <f>Transportation_LCIA!U$61*($W297^Transportation_LCIA!U$60)+Transportation_LCIA!U$62</f>
        <v>5.7355015024913001E-4</v>
      </c>
      <c r="AR297" s="137">
        <f>Transportation_LCIA!V$61*($W297^Transportation_LCIA!V$60)+Transportation_LCIA!V$62</f>
        <v>2.3366216352403273E-4</v>
      </c>
      <c r="AT297" s="137">
        <f>$W297*Y297+$L297*Summary_LCIA!H$32</f>
        <v>255.62984692151309</v>
      </c>
      <c r="AU297" s="137">
        <f>$W297*Z297+$L297*Summary_LCIA!Q$32</f>
        <v>2655.1130483492802</v>
      </c>
      <c r="AV297" s="137">
        <f>$W297*AA297+$L297*Summary_LCIA!R$32</f>
        <v>1.3115115597076503</v>
      </c>
      <c r="AW297" s="137">
        <f>$W297*AB297+$L297*Summary_LCIA!S$32</f>
        <v>255.51104174151308</v>
      </c>
      <c r="AX297" s="137">
        <f>$W297*AC297+$L297*Summary_LCIA!T$32</f>
        <v>61.919926413026047</v>
      </c>
      <c r="AY297" s="137">
        <f>$W297*AD297+$L297*Summary_LCIA!U$32</f>
        <v>0.76606914718215102</v>
      </c>
      <c r="AZ297" s="137">
        <f>$W297*AE297+$L297*Summary_LCIA!V$32</f>
        <v>7.3121936676980867E-3</v>
      </c>
      <c r="BA297" s="137">
        <f>$W297*AF297+$L297*Summary_LCIA!W$32</f>
        <v>10.988339232988407</v>
      </c>
      <c r="BB297" s="137">
        <f>$W297*AG297+$L297*Summary_LCIA!X$32</f>
        <v>13.103246087017277</v>
      </c>
      <c r="BC297" s="137">
        <f>$W297*AH297+$L297*Summary_LCIA!Y$32</f>
        <v>0.66463190505354974</v>
      </c>
      <c r="BD297" s="137">
        <f>$W297*AI297+$L297*Summary_LCIA!Z$32</f>
        <v>0.25659943003742997</v>
      </c>
      <c r="BE297" s="137">
        <f>$W297*AJ297+$L297*Summary_LCIA!AA$32</f>
        <v>1.6486863437219439</v>
      </c>
      <c r="BF297" s="137">
        <f>$W297*AK297+$L297*Summary_LCIA!AB$32</f>
        <v>6.1708310421359096E-2</v>
      </c>
      <c r="BG297" s="137">
        <f>$W297*AL297+$L297*Summary_LCIA!AC$32</f>
        <v>3.1447546094364037E-5</v>
      </c>
      <c r="BH297" s="137">
        <f>$W297*AM297+$L297*Summary_LCIA!AD$32</f>
        <v>0.10841686951956925</v>
      </c>
      <c r="BI297" s="137">
        <f>$W297*AN297+$L297*Summary_LCIA!AE$32</f>
        <v>0.31381362011683644</v>
      </c>
      <c r="BJ297" s="137">
        <f>$W297*AO297+$L297*Summary_LCIA!AF$32</f>
        <v>2.7118667776853379E-2</v>
      </c>
      <c r="BK297" s="137">
        <f>$W297*AP297+$L297*Summary_LCIA!AG$32</f>
        <v>5.7698876318533748E-3</v>
      </c>
      <c r="BL297" s="137">
        <f>$W297*AQ297+$L297*Summary_LCIA!AH$32</f>
        <v>0.8555042160338916</v>
      </c>
      <c r="BM297" s="137">
        <f>$W297*AR297+$L297*Summary_LCIA!AI$32</f>
        <v>0.27826038908817879</v>
      </c>
    </row>
    <row r="298" spans="1:65" x14ac:dyDescent="0.25">
      <c r="A298" s="149">
        <v>9</v>
      </c>
      <c r="B298" s="149">
        <v>29</v>
      </c>
      <c r="C298" s="61">
        <v>37.875985</v>
      </c>
      <c r="D298" s="61">
        <v>-122.25001399999999</v>
      </c>
      <c r="E298" s="61" t="s">
        <v>265</v>
      </c>
      <c r="F298" s="149">
        <v>99</v>
      </c>
      <c r="G298" s="61" t="s">
        <v>623</v>
      </c>
      <c r="H298" s="61" t="s">
        <v>624</v>
      </c>
      <c r="I298" s="61">
        <v>37.712569000000002</v>
      </c>
      <c r="J298" s="61">
        <v>-122.21974299999999</v>
      </c>
      <c r="K298" s="61">
        <v>39.814875569999998</v>
      </c>
      <c r="L298" s="61">
        <v>26.879000000000001</v>
      </c>
      <c r="M298" s="61" t="s">
        <v>617</v>
      </c>
      <c r="N298" s="149">
        <v>28</v>
      </c>
      <c r="O298" s="149">
        <v>29</v>
      </c>
      <c r="P298" s="61" t="s">
        <v>565</v>
      </c>
      <c r="Q298" s="61" t="s">
        <v>559</v>
      </c>
      <c r="R298" s="61">
        <v>47.450249900000003</v>
      </c>
      <c r="S298" s="61">
        <v>-122.30881650000001</v>
      </c>
      <c r="T298" s="61">
        <v>1272.7180000000001</v>
      </c>
      <c r="U298" s="61" t="s">
        <v>617</v>
      </c>
      <c r="V298" s="61" t="s">
        <v>569</v>
      </c>
      <c r="W298" s="61" cm="1">
        <f t="array" ref="W298">getDistance(I298,J298,R298,S298)*SA!$B$12</f>
        <v>1083.7067192187251</v>
      </c>
      <c r="Y298" s="137">
        <f>Transportation_LCIA!C$61*($W298^Transportation_LCIA!C$60)+Transportation_LCIA!C$62</f>
        <v>0.22745670793590661</v>
      </c>
      <c r="Z298" s="137">
        <f>Transportation_LCIA!D$61*($W298^Transportation_LCIA!D$60)+Transportation_LCIA!D$62</f>
        <v>2.3271050405397338</v>
      </c>
      <c r="AA298" s="137">
        <f>Transportation_LCIA!E$61*($W298^Transportation_LCIA!E$60)+Transportation_LCIA!E$62</f>
        <v>1.0796071266874865E-3</v>
      </c>
      <c r="AB298" s="137">
        <f>Transportation_LCIA!F$61*($W298^Transportation_LCIA!F$60)+Transportation_LCIA!F$62</f>
        <v>0.22745670793590661</v>
      </c>
      <c r="AC298" s="137">
        <f>Transportation_LCIA!G$61*($W298^Transportation_LCIA!G$60)+Transportation_LCIA!G$62</f>
        <v>5.4411330360243829E-2</v>
      </c>
      <c r="AD298" s="137">
        <f>Transportation_LCIA!H$61*($W298^Transportation_LCIA!H$60)+Transportation_LCIA!H$62</f>
        <v>2.6257910570795154E-4</v>
      </c>
      <c r="AE298" s="137">
        <f>Transportation_LCIA!I$61*($W298^Transportation_LCIA!I$60)+Transportation_LCIA!I$62</f>
        <v>5.5627834005164701E-6</v>
      </c>
      <c r="AF298" s="137">
        <f>Transportation_LCIA!J$61*($W298^Transportation_LCIA!J$60)+Transportation_LCIA!J$62</f>
        <v>8.2304885314531239E-3</v>
      </c>
      <c r="AG298" s="137">
        <f>Transportation_LCIA!K$61*($W298^Transportation_LCIA!K$60)+Transportation_LCIA!K$62</f>
        <v>1.1526128098589581E-2</v>
      </c>
      <c r="AH298" s="137">
        <f>Transportation_LCIA!L$61*($W298^Transportation_LCIA!L$60)+Transportation_LCIA!L$62</f>
        <v>2.2681720311816129E-4</v>
      </c>
      <c r="AI298" s="137">
        <f>Transportation_LCIA!M$61*($W298^Transportation_LCIA!M$60)+Transportation_LCIA!M$62</f>
        <v>2.3576226353069502E-4</v>
      </c>
      <c r="AJ298" s="137">
        <f>Transportation_LCIA!N$61*($W298^Transportation_LCIA!N$60)+Transportation_LCIA!N$62</f>
        <v>9.4204492933100935E-4</v>
      </c>
      <c r="AK298" s="137">
        <f>Transportation_LCIA!O$61*($W298^Transportation_LCIA!O$60)+Transportation_LCIA!O$62</f>
        <v>5.7483163787402971E-5</v>
      </c>
      <c r="AL298" s="137">
        <f>Transportation_LCIA!P$61*($W298^Transportation_LCIA!P$60)+Transportation_LCIA!P$62</f>
        <v>2.7806040623323073E-8</v>
      </c>
      <c r="AM298" s="137">
        <f>Transportation_LCIA!Q$61*($W298^Transportation_LCIA!Q$60)+Transportation_LCIA!Q$62</f>
        <v>8.9847671545088305E-5</v>
      </c>
      <c r="AN298" s="137">
        <f>Transportation_LCIA!R$61*($W298^Transportation_LCIA!R$60)+Transportation_LCIA!R$62</f>
        <v>2.6759576802836684E-4</v>
      </c>
      <c r="AO298" s="137">
        <f>Transportation_LCIA!S$61*($W298^Transportation_LCIA!S$60)+Transportation_LCIA!S$62</f>
        <v>4.0551779544391714E-6</v>
      </c>
      <c r="AP298" s="137">
        <f>Transportation_LCIA!T$61*($W298^Transportation_LCIA!T$60)+Transportation_LCIA!T$62</f>
        <v>4.0551779544391714E-6</v>
      </c>
      <c r="AQ298" s="137">
        <f>Transportation_LCIA!U$61*($W298^Transportation_LCIA!U$60)+Transportation_LCIA!U$62</f>
        <v>5.7355015024913001E-4</v>
      </c>
      <c r="AR298" s="137">
        <f>Transportation_LCIA!V$61*($W298^Transportation_LCIA!V$60)+Transportation_LCIA!V$62</f>
        <v>2.3366216352403273E-4</v>
      </c>
      <c r="AT298" s="137">
        <f>$W298*Y298+$L298*Summary_LCIA!H$32</f>
        <v>255.62984692151309</v>
      </c>
      <c r="AU298" s="137">
        <f>$W298*Z298+$L298*Summary_LCIA!Q$32</f>
        <v>2655.1130483492802</v>
      </c>
      <c r="AV298" s="137">
        <f>$W298*AA298+$L298*Summary_LCIA!R$32</f>
        <v>1.3115115597076503</v>
      </c>
      <c r="AW298" s="137">
        <f>$W298*AB298+$L298*Summary_LCIA!S$32</f>
        <v>255.51104174151308</v>
      </c>
      <c r="AX298" s="137">
        <f>$W298*AC298+$L298*Summary_LCIA!T$32</f>
        <v>61.919926413026047</v>
      </c>
      <c r="AY298" s="137">
        <f>$W298*AD298+$L298*Summary_LCIA!U$32</f>
        <v>0.76606914718215102</v>
      </c>
      <c r="AZ298" s="137">
        <f>$W298*AE298+$L298*Summary_LCIA!V$32</f>
        <v>7.3121936676980867E-3</v>
      </c>
      <c r="BA298" s="137">
        <f>$W298*AF298+$L298*Summary_LCIA!W$32</f>
        <v>10.988339232988407</v>
      </c>
      <c r="BB298" s="137">
        <f>$W298*AG298+$L298*Summary_LCIA!X$32</f>
        <v>13.103246087017277</v>
      </c>
      <c r="BC298" s="137">
        <f>$W298*AH298+$L298*Summary_LCIA!Y$32</f>
        <v>0.66463190505354974</v>
      </c>
      <c r="BD298" s="137">
        <f>$W298*AI298+$L298*Summary_LCIA!Z$32</f>
        <v>0.25659943003742997</v>
      </c>
      <c r="BE298" s="137">
        <f>$W298*AJ298+$L298*Summary_LCIA!AA$32</f>
        <v>1.6486863437219439</v>
      </c>
      <c r="BF298" s="137">
        <f>$W298*AK298+$L298*Summary_LCIA!AB$32</f>
        <v>6.1708310421359096E-2</v>
      </c>
      <c r="BG298" s="137">
        <f>$W298*AL298+$L298*Summary_LCIA!AC$32</f>
        <v>3.1447546094364037E-5</v>
      </c>
      <c r="BH298" s="137">
        <f>$W298*AM298+$L298*Summary_LCIA!AD$32</f>
        <v>0.10841686951956925</v>
      </c>
      <c r="BI298" s="137">
        <f>$W298*AN298+$L298*Summary_LCIA!AE$32</f>
        <v>0.31381362011683644</v>
      </c>
      <c r="BJ298" s="137">
        <f>$W298*AO298+$L298*Summary_LCIA!AF$32</f>
        <v>2.7118667776853379E-2</v>
      </c>
      <c r="BK298" s="137">
        <f>$W298*AP298+$L298*Summary_LCIA!AG$32</f>
        <v>5.7698876318533748E-3</v>
      </c>
      <c r="BL298" s="137">
        <f>$W298*AQ298+$L298*Summary_LCIA!AH$32</f>
        <v>0.8555042160338916</v>
      </c>
      <c r="BM298" s="137">
        <f>$W298*AR298+$L298*Summary_LCIA!AI$32</f>
        <v>0.27826038908817879</v>
      </c>
    </row>
    <row r="299" spans="1:65" x14ac:dyDescent="0.25">
      <c r="A299" s="149">
        <v>135</v>
      </c>
      <c r="B299" s="149">
        <v>6</v>
      </c>
      <c r="C299" s="61">
        <v>33.954258000000003</v>
      </c>
      <c r="D299" s="61">
        <v>-83.374932000000001</v>
      </c>
      <c r="E299" s="61" t="s">
        <v>265</v>
      </c>
      <c r="F299" s="149">
        <v>1</v>
      </c>
      <c r="G299" s="61" t="s">
        <v>565</v>
      </c>
      <c r="H299" s="61" t="s">
        <v>681</v>
      </c>
      <c r="I299" s="61">
        <v>33.640728000000003</v>
      </c>
      <c r="J299" s="61">
        <v>-84.427700000000002</v>
      </c>
      <c r="K299" s="61">
        <v>112.66856199999999</v>
      </c>
      <c r="L299" s="61">
        <v>131.636</v>
      </c>
      <c r="M299" s="61" t="s">
        <v>617</v>
      </c>
      <c r="N299" s="149">
        <v>5</v>
      </c>
      <c r="O299" s="149">
        <v>6</v>
      </c>
      <c r="P299" s="61" t="s">
        <v>565</v>
      </c>
      <c r="Q299" s="61" t="s">
        <v>564</v>
      </c>
      <c r="R299" s="61">
        <v>41.98028</v>
      </c>
      <c r="S299" s="61">
        <v>-87.908997900000003</v>
      </c>
      <c r="T299" s="61">
        <v>1275.8620000000001</v>
      </c>
      <c r="U299" s="61" t="s">
        <v>617</v>
      </c>
      <c r="V299" s="61" t="s">
        <v>569</v>
      </c>
      <c r="W299" s="61" cm="1">
        <f t="array" ref="W299">getDistance(I299,J299,R299,S299)*SA!$B$12</f>
        <v>976.67906347990493</v>
      </c>
      <c r="Y299" s="137">
        <f>Transportation_LCIA!C$61*($W299^Transportation_LCIA!C$60)+Transportation_LCIA!C$62</f>
        <v>0.23799077256655485</v>
      </c>
      <c r="Z299" s="137">
        <f>Transportation_LCIA!D$61*($W299^Transportation_LCIA!D$60)+Transportation_LCIA!D$62</f>
        <v>2.4498664186649894</v>
      </c>
      <c r="AA299" s="137">
        <f>Transportation_LCIA!E$61*($W299^Transportation_LCIA!E$60)+Transportation_LCIA!E$62</f>
        <v>1.1602893527513285E-3</v>
      </c>
      <c r="AB299" s="137">
        <f>Transportation_LCIA!F$61*($W299^Transportation_LCIA!F$60)+Transportation_LCIA!F$62</f>
        <v>0.23799077256655485</v>
      </c>
      <c r="AC299" s="137">
        <f>Transportation_LCIA!G$61*($W299^Transportation_LCIA!G$60)+Transportation_LCIA!G$62</f>
        <v>5.7251738416183251E-2</v>
      </c>
      <c r="AD299" s="137">
        <f>Transportation_LCIA!H$61*($W299^Transportation_LCIA!H$60)+Transportation_LCIA!H$62</f>
        <v>2.8030572808339046E-4</v>
      </c>
      <c r="AE299" s="137">
        <f>Transportation_LCIA!I$61*($W299^Transportation_LCIA!I$60)+Transportation_LCIA!I$62</f>
        <v>6.0084688172437592E-6</v>
      </c>
      <c r="AF299" s="137">
        <f>Transportation_LCIA!J$61*($W299^Transportation_LCIA!J$60)+Transportation_LCIA!J$62</f>
        <v>8.8936917837252362E-3</v>
      </c>
      <c r="AG299" s="137">
        <f>Transportation_LCIA!K$61*($W299^Transportation_LCIA!K$60)+Transportation_LCIA!K$62</f>
        <v>1.2188706109794917E-2</v>
      </c>
      <c r="AH299" s="137">
        <f>Transportation_LCIA!L$61*($W299^Transportation_LCIA!L$60)+Transportation_LCIA!L$62</f>
        <v>2.4310816549771977E-4</v>
      </c>
      <c r="AI299" s="137">
        <f>Transportation_LCIA!M$61*($W299^Transportation_LCIA!M$60)+Transportation_LCIA!M$62</f>
        <v>2.455450128432447E-4</v>
      </c>
      <c r="AJ299" s="137">
        <f>Transportation_LCIA!N$61*($W299^Transportation_LCIA!N$60)+Transportation_LCIA!N$62</f>
        <v>1.0016506819662974E-3</v>
      </c>
      <c r="AK299" s="137">
        <f>Transportation_LCIA!O$61*($W299^Transportation_LCIA!O$60)+Transportation_LCIA!O$62</f>
        <v>6.050134712780058E-5</v>
      </c>
      <c r="AL299" s="137">
        <f>Transportation_LCIA!P$61*($W299^Transportation_LCIA!P$60)+Transportation_LCIA!P$62</f>
        <v>2.9257301489528483E-8</v>
      </c>
      <c r="AM299" s="137">
        <f>Transportation_LCIA!Q$61*($W299^Transportation_LCIA!Q$60)+Transportation_LCIA!Q$62</f>
        <v>9.6216231090364335E-5</v>
      </c>
      <c r="AN299" s="137">
        <f>Transportation_LCIA!R$61*($W299^Transportation_LCIA!R$60)+Transportation_LCIA!R$62</f>
        <v>2.8896705818992006E-4</v>
      </c>
      <c r="AO299" s="137">
        <f>Transportation_LCIA!S$61*($W299^Transportation_LCIA!S$60)+Transportation_LCIA!S$62</f>
        <v>4.3584988519816731E-6</v>
      </c>
      <c r="AP299" s="137">
        <f>Transportation_LCIA!T$61*($W299^Transportation_LCIA!T$60)+Transportation_LCIA!T$62</f>
        <v>4.3584988519816731E-6</v>
      </c>
      <c r="AQ299" s="137">
        <f>Transportation_LCIA!U$61*($W299^Transportation_LCIA!U$60)+Transportation_LCIA!U$62</f>
        <v>6.204066649837317E-4</v>
      </c>
      <c r="AR299" s="137">
        <f>Transportation_LCIA!V$61*($W299^Transportation_LCIA!V$60)+Transportation_LCIA!V$62</f>
        <v>2.502258212971912E-4</v>
      </c>
      <c r="AT299" s="137">
        <f>$W299*Y299+$L299*Summary_LCIA!H$32</f>
        <v>277.17051766716185</v>
      </c>
      <c r="AU299" s="137">
        <f>$W299*Z299+$L299*Summary_LCIA!Q$32</f>
        <v>3045.1278942309782</v>
      </c>
      <c r="AV299" s="137">
        <f>$W299*AA299+$L299*Summary_LCIA!R$32</f>
        <v>1.8263728400108725</v>
      </c>
      <c r="AW299" s="137">
        <f>$W299*AB299+$L299*Summary_LCIA!S$32</f>
        <v>276.58868654716184</v>
      </c>
      <c r="AX299" s="137">
        <f>$W299*AC299+$L299*Summary_LCIA!T$32</f>
        <v>70.383370658914345</v>
      </c>
      <c r="AY299" s="137">
        <f>$W299*AD299+$L299*Summary_LCIA!U$32</f>
        <v>2.6318960399925384</v>
      </c>
      <c r="AZ299" s="137">
        <f>$W299*AE299+$L299*Summary_LCIA!V$32</f>
        <v>1.2155412693373845E-2</v>
      </c>
      <c r="BA299" s="137">
        <f>$W299*AF299+$L299*Summary_LCIA!W$32</f>
        <v>18.81843711820769</v>
      </c>
      <c r="BB299" s="137">
        <f>$W299*AG299+$L299*Summary_LCIA!X$32</f>
        <v>14.903122148346295</v>
      </c>
      <c r="BC299" s="137">
        <f>$W299*AH299+$L299*Summary_LCIA!Y$32</f>
        <v>2.2885908074026307</v>
      </c>
      <c r="BD299" s="137">
        <f>$W299*AI299+$L299*Summary_LCIA!Z$32</f>
        <v>0.24521693390990146</v>
      </c>
      <c r="BE299" s="137">
        <f>$W299*AJ299+$L299*Summary_LCIA!AA$32</f>
        <v>4.052781665996851</v>
      </c>
      <c r="BF299" s="137">
        <f>$W299*AK299+$L299*Summary_LCIA!AB$32</f>
        <v>5.6217706624052906E-2</v>
      </c>
      <c r="BG299" s="137">
        <f>$W299*AL299+$L299*Summary_LCIA!AC$32</f>
        <v>3.5009888042741905E-5</v>
      </c>
      <c r="BH299" s="137">
        <f>$W299*AM299+$L299*Summary_LCIA!AD$32</f>
        <v>0.14808003991290314</v>
      </c>
      <c r="BI299" s="137">
        <f>$W299*AN299+$L299*Summary_LCIA!AE$32</f>
        <v>0.39887468444947433</v>
      </c>
      <c r="BJ299" s="137">
        <f>$W299*AO299+$L299*Summary_LCIA!AF$32</f>
        <v>0.1155445616969317</v>
      </c>
      <c r="BK299" s="137">
        <f>$W299*AP299+$L299*Summary_LCIA!AG$32</f>
        <v>1.0992010516931702E-2</v>
      </c>
      <c r="BL299" s="137">
        <f>$W299*AQ299+$L299*Summary_LCIA!AH$32</f>
        <v>1.7516452901330024</v>
      </c>
      <c r="BM299" s="137">
        <f>$W299*AR299+$L299*Summary_LCIA!AI$32</f>
        <v>0.36701583660303072</v>
      </c>
    </row>
    <row r="300" spans="1:65" x14ac:dyDescent="0.25">
      <c r="A300" s="149">
        <v>136</v>
      </c>
      <c r="B300" s="149">
        <v>6</v>
      </c>
      <c r="C300" s="61">
        <v>33.954258000000003</v>
      </c>
      <c r="D300" s="61">
        <v>-83.374932000000001</v>
      </c>
      <c r="E300" s="61" t="s">
        <v>265</v>
      </c>
      <c r="F300" s="149">
        <v>1</v>
      </c>
      <c r="G300" s="61" t="s">
        <v>565</v>
      </c>
      <c r="H300" s="61" t="s">
        <v>681</v>
      </c>
      <c r="I300" s="61">
        <v>33.640728000000003</v>
      </c>
      <c r="J300" s="61">
        <v>-84.427700000000002</v>
      </c>
      <c r="K300" s="61">
        <v>112.66856199999999</v>
      </c>
      <c r="L300" s="61">
        <v>131.636</v>
      </c>
      <c r="M300" s="61" t="s">
        <v>617</v>
      </c>
      <c r="N300" s="149">
        <v>5</v>
      </c>
      <c r="O300" s="149">
        <v>6</v>
      </c>
      <c r="P300" s="61" t="s">
        <v>565</v>
      </c>
      <c r="Q300" s="61" t="s">
        <v>564</v>
      </c>
      <c r="R300" s="61">
        <v>41.98028</v>
      </c>
      <c r="S300" s="61">
        <v>-87.908997900000003</v>
      </c>
      <c r="T300" s="61">
        <v>1275.8620000000001</v>
      </c>
      <c r="U300" s="61" t="s">
        <v>617</v>
      </c>
      <c r="V300" s="61" t="s">
        <v>569</v>
      </c>
      <c r="W300" s="61" cm="1">
        <f t="array" ref="W300">getDistance(I300,J300,R300,S300)*SA!$B$12</f>
        <v>976.67906347990493</v>
      </c>
      <c r="Y300" s="137">
        <f>Transportation_LCIA!C$61*($W300^Transportation_LCIA!C$60)+Transportation_LCIA!C$62</f>
        <v>0.23799077256655485</v>
      </c>
      <c r="Z300" s="137">
        <f>Transportation_LCIA!D$61*($W300^Transportation_LCIA!D$60)+Transportation_LCIA!D$62</f>
        <v>2.4498664186649894</v>
      </c>
      <c r="AA300" s="137">
        <f>Transportation_LCIA!E$61*($W300^Transportation_LCIA!E$60)+Transportation_LCIA!E$62</f>
        <v>1.1602893527513285E-3</v>
      </c>
      <c r="AB300" s="137">
        <f>Transportation_LCIA!F$61*($W300^Transportation_LCIA!F$60)+Transportation_LCIA!F$62</f>
        <v>0.23799077256655485</v>
      </c>
      <c r="AC300" s="137">
        <f>Transportation_LCIA!G$61*($W300^Transportation_LCIA!G$60)+Transportation_LCIA!G$62</f>
        <v>5.7251738416183251E-2</v>
      </c>
      <c r="AD300" s="137">
        <f>Transportation_LCIA!H$61*($W300^Transportation_LCIA!H$60)+Transportation_LCIA!H$62</f>
        <v>2.8030572808339046E-4</v>
      </c>
      <c r="AE300" s="137">
        <f>Transportation_LCIA!I$61*($W300^Transportation_LCIA!I$60)+Transportation_LCIA!I$62</f>
        <v>6.0084688172437592E-6</v>
      </c>
      <c r="AF300" s="137">
        <f>Transportation_LCIA!J$61*($W300^Transportation_LCIA!J$60)+Transportation_LCIA!J$62</f>
        <v>8.8936917837252362E-3</v>
      </c>
      <c r="AG300" s="137">
        <f>Transportation_LCIA!K$61*($W300^Transportation_LCIA!K$60)+Transportation_LCIA!K$62</f>
        <v>1.2188706109794917E-2</v>
      </c>
      <c r="AH300" s="137">
        <f>Transportation_LCIA!L$61*($W300^Transportation_LCIA!L$60)+Transportation_LCIA!L$62</f>
        <v>2.4310816549771977E-4</v>
      </c>
      <c r="AI300" s="137">
        <f>Transportation_LCIA!M$61*($W300^Transportation_LCIA!M$60)+Transportation_LCIA!M$62</f>
        <v>2.455450128432447E-4</v>
      </c>
      <c r="AJ300" s="137">
        <f>Transportation_LCIA!N$61*($W300^Transportation_LCIA!N$60)+Transportation_LCIA!N$62</f>
        <v>1.0016506819662974E-3</v>
      </c>
      <c r="AK300" s="137">
        <f>Transportation_LCIA!O$61*($W300^Transportation_LCIA!O$60)+Transportation_LCIA!O$62</f>
        <v>6.050134712780058E-5</v>
      </c>
      <c r="AL300" s="137">
        <f>Transportation_LCIA!P$61*($W300^Transportation_LCIA!P$60)+Transportation_LCIA!P$62</f>
        <v>2.9257301489528483E-8</v>
      </c>
      <c r="AM300" s="137">
        <f>Transportation_LCIA!Q$61*($W300^Transportation_LCIA!Q$60)+Transportation_LCIA!Q$62</f>
        <v>9.6216231090364335E-5</v>
      </c>
      <c r="AN300" s="137">
        <f>Transportation_LCIA!R$61*($W300^Transportation_LCIA!R$60)+Transportation_LCIA!R$62</f>
        <v>2.8896705818992006E-4</v>
      </c>
      <c r="AO300" s="137">
        <f>Transportation_LCIA!S$61*($W300^Transportation_LCIA!S$60)+Transportation_LCIA!S$62</f>
        <v>4.3584988519816731E-6</v>
      </c>
      <c r="AP300" s="137">
        <f>Transportation_LCIA!T$61*($W300^Transportation_LCIA!T$60)+Transportation_LCIA!T$62</f>
        <v>4.3584988519816731E-6</v>
      </c>
      <c r="AQ300" s="137">
        <f>Transportation_LCIA!U$61*($W300^Transportation_LCIA!U$60)+Transportation_LCIA!U$62</f>
        <v>6.204066649837317E-4</v>
      </c>
      <c r="AR300" s="137">
        <f>Transportation_LCIA!V$61*($W300^Transportation_LCIA!V$60)+Transportation_LCIA!V$62</f>
        <v>2.502258212971912E-4</v>
      </c>
      <c r="AT300" s="137">
        <f>$W300*Y300+$L300*Summary_LCIA!H$32</f>
        <v>277.17051766716185</v>
      </c>
      <c r="AU300" s="137">
        <f>$W300*Z300+$L300*Summary_LCIA!Q$32</f>
        <v>3045.1278942309782</v>
      </c>
      <c r="AV300" s="137">
        <f>$W300*AA300+$L300*Summary_LCIA!R$32</f>
        <v>1.8263728400108725</v>
      </c>
      <c r="AW300" s="137">
        <f>$W300*AB300+$L300*Summary_LCIA!S$32</f>
        <v>276.58868654716184</v>
      </c>
      <c r="AX300" s="137">
        <f>$W300*AC300+$L300*Summary_LCIA!T$32</f>
        <v>70.383370658914345</v>
      </c>
      <c r="AY300" s="137">
        <f>$W300*AD300+$L300*Summary_LCIA!U$32</f>
        <v>2.6318960399925384</v>
      </c>
      <c r="AZ300" s="137">
        <f>$W300*AE300+$L300*Summary_LCIA!V$32</f>
        <v>1.2155412693373845E-2</v>
      </c>
      <c r="BA300" s="137">
        <f>$W300*AF300+$L300*Summary_LCIA!W$32</f>
        <v>18.81843711820769</v>
      </c>
      <c r="BB300" s="137">
        <f>$W300*AG300+$L300*Summary_LCIA!X$32</f>
        <v>14.903122148346295</v>
      </c>
      <c r="BC300" s="137">
        <f>$W300*AH300+$L300*Summary_LCIA!Y$32</f>
        <v>2.2885908074026307</v>
      </c>
      <c r="BD300" s="137">
        <f>$W300*AI300+$L300*Summary_LCIA!Z$32</f>
        <v>0.24521693390990146</v>
      </c>
      <c r="BE300" s="137">
        <f>$W300*AJ300+$L300*Summary_LCIA!AA$32</f>
        <v>4.052781665996851</v>
      </c>
      <c r="BF300" s="137">
        <f>$W300*AK300+$L300*Summary_LCIA!AB$32</f>
        <v>5.6217706624052906E-2</v>
      </c>
      <c r="BG300" s="137">
        <f>$W300*AL300+$L300*Summary_LCIA!AC$32</f>
        <v>3.5009888042741905E-5</v>
      </c>
      <c r="BH300" s="137">
        <f>$W300*AM300+$L300*Summary_LCIA!AD$32</f>
        <v>0.14808003991290314</v>
      </c>
      <c r="BI300" s="137">
        <f>$W300*AN300+$L300*Summary_LCIA!AE$32</f>
        <v>0.39887468444947433</v>
      </c>
      <c r="BJ300" s="137">
        <f>$W300*AO300+$L300*Summary_LCIA!AF$32</f>
        <v>0.1155445616969317</v>
      </c>
      <c r="BK300" s="137">
        <f>$W300*AP300+$L300*Summary_LCIA!AG$32</f>
        <v>1.0992010516931702E-2</v>
      </c>
      <c r="BL300" s="137">
        <f>$W300*AQ300+$L300*Summary_LCIA!AH$32</f>
        <v>1.7516452901330024</v>
      </c>
      <c r="BM300" s="137">
        <f>$W300*AR300+$L300*Summary_LCIA!AI$32</f>
        <v>0.36701583660303072</v>
      </c>
    </row>
    <row r="301" spans="1:65" x14ac:dyDescent="0.25">
      <c r="A301" s="149">
        <v>328</v>
      </c>
      <c r="B301" s="149">
        <v>29</v>
      </c>
      <c r="C301" s="61">
        <v>37.774929</v>
      </c>
      <c r="D301" s="61">
        <v>-122.419415</v>
      </c>
      <c r="E301" s="61" t="s">
        <v>265</v>
      </c>
      <c r="F301" s="149">
        <v>99</v>
      </c>
      <c r="G301" s="61" t="s">
        <v>623</v>
      </c>
      <c r="H301" s="61" t="s">
        <v>624</v>
      </c>
      <c r="I301" s="61">
        <v>37.712569000000002</v>
      </c>
      <c r="J301" s="61">
        <v>-122.21974299999999</v>
      </c>
      <c r="K301" s="61">
        <v>31.718590620000001</v>
      </c>
      <c r="L301" s="61">
        <v>34.848999999999997</v>
      </c>
      <c r="M301" s="61" t="s">
        <v>617</v>
      </c>
      <c r="N301" s="149">
        <v>28</v>
      </c>
      <c r="O301" s="149">
        <v>29</v>
      </c>
      <c r="P301" s="61" t="s">
        <v>565</v>
      </c>
      <c r="Q301" s="61" t="s">
        <v>559</v>
      </c>
      <c r="R301" s="61">
        <v>47.450249900000003</v>
      </c>
      <c r="S301" s="61">
        <v>-122.30881650000001</v>
      </c>
      <c r="T301" s="61">
        <v>1286.1210000000001</v>
      </c>
      <c r="U301" s="61" t="s">
        <v>617</v>
      </c>
      <c r="V301" s="61" t="s">
        <v>569</v>
      </c>
      <c r="W301" s="61" cm="1">
        <f t="array" ref="W301">getDistance(I301,J301,R301,S301)*SA!$B$12</f>
        <v>1083.7067192187251</v>
      </c>
      <c r="Y301" s="137">
        <f>Transportation_LCIA!C$61*($W301^Transportation_LCIA!C$60)+Transportation_LCIA!C$62</f>
        <v>0.22745670793590661</v>
      </c>
      <c r="Z301" s="137">
        <f>Transportation_LCIA!D$61*($W301^Transportation_LCIA!D$60)+Transportation_LCIA!D$62</f>
        <v>2.3271050405397338</v>
      </c>
      <c r="AA301" s="137">
        <f>Transportation_LCIA!E$61*($W301^Transportation_LCIA!E$60)+Transportation_LCIA!E$62</f>
        <v>1.0796071266874865E-3</v>
      </c>
      <c r="AB301" s="137">
        <f>Transportation_LCIA!F$61*($W301^Transportation_LCIA!F$60)+Transportation_LCIA!F$62</f>
        <v>0.22745670793590661</v>
      </c>
      <c r="AC301" s="137">
        <f>Transportation_LCIA!G$61*($W301^Transportation_LCIA!G$60)+Transportation_LCIA!G$62</f>
        <v>5.4411330360243829E-2</v>
      </c>
      <c r="AD301" s="137">
        <f>Transportation_LCIA!H$61*($W301^Transportation_LCIA!H$60)+Transportation_LCIA!H$62</f>
        <v>2.6257910570795154E-4</v>
      </c>
      <c r="AE301" s="137">
        <f>Transportation_LCIA!I$61*($W301^Transportation_LCIA!I$60)+Transportation_LCIA!I$62</f>
        <v>5.5627834005164701E-6</v>
      </c>
      <c r="AF301" s="137">
        <f>Transportation_LCIA!J$61*($W301^Transportation_LCIA!J$60)+Transportation_LCIA!J$62</f>
        <v>8.2304885314531239E-3</v>
      </c>
      <c r="AG301" s="137">
        <f>Transportation_LCIA!K$61*($W301^Transportation_LCIA!K$60)+Transportation_LCIA!K$62</f>
        <v>1.1526128098589581E-2</v>
      </c>
      <c r="AH301" s="137">
        <f>Transportation_LCIA!L$61*($W301^Transportation_LCIA!L$60)+Transportation_LCIA!L$62</f>
        <v>2.2681720311816129E-4</v>
      </c>
      <c r="AI301" s="137">
        <f>Transportation_LCIA!M$61*($W301^Transportation_LCIA!M$60)+Transportation_LCIA!M$62</f>
        <v>2.3576226353069502E-4</v>
      </c>
      <c r="AJ301" s="137">
        <f>Transportation_LCIA!N$61*($W301^Transportation_LCIA!N$60)+Transportation_LCIA!N$62</f>
        <v>9.4204492933100935E-4</v>
      </c>
      <c r="AK301" s="137">
        <f>Transportation_LCIA!O$61*($W301^Transportation_LCIA!O$60)+Transportation_LCIA!O$62</f>
        <v>5.7483163787402971E-5</v>
      </c>
      <c r="AL301" s="137">
        <f>Transportation_LCIA!P$61*($W301^Transportation_LCIA!P$60)+Transportation_LCIA!P$62</f>
        <v>2.7806040623323073E-8</v>
      </c>
      <c r="AM301" s="137">
        <f>Transportation_LCIA!Q$61*($W301^Transportation_LCIA!Q$60)+Transportation_LCIA!Q$62</f>
        <v>8.9847671545088305E-5</v>
      </c>
      <c r="AN301" s="137">
        <f>Transportation_LCIA!R$61*($W301^Transportation_LCIA!R$60)+Transportation_LCIA!R$62</f>
        <v>2.6759576802836684E-4</v>
      </c>
      <c r="AO301" s="137">
        <f>Transportation_LCIA!S$61*($W301^Transportation_LCIA!S$60)+Transportation_LCIA!S$62</f>
        <v>4.0551779544391714E-6</v>
      </c>
      <c r="AP301" s="137">
        <f>Transportation_LCIA!T$61*($W301^Transportation_LCIA!T$60)+Transportation_LCIA!T$62</f>
        <v>4.0551779544391714E-6</v>
      </c>
      <c r="AQ301" s="137">
        <f>Transportation_LCIA!U$61*($W301^Transportation_LCIA!U$60)+Transportation_LCIA!U$62</f>
        <v>5.7355015024913001E-4</v>
      </c>
      <c r="AR301" s="137">
        <f>Transportation_LCIA!V$61*($W301^Transportation_LCIA!V$60)+Transportation_LCIA!V$62</f>
        <v>2.3366216352403273E-4</v>
      </c>
      <c r="AT301" s="137">
        <f>$W301*Y301+$L301*Summary_LCIA!H$32</f>
        <v>258.33805292151311</v>
      </c>
      <c r="AU301" s="137">
        <f>$W301*Z301+$L301*Summary_LCIA!Q$32</f>
        <v>2694.6127703002899</v>
      </c>
      <c r="AV301" s="137">
        <f>$W301*AA301+$L301*Summary_LCIA!R$32</f>
        <v>1.3534783917076505</v>
      </c>
      <c r="AW301" s="137">
        <f>$W301*AB301+$L301*Summary_LCIA!S$32</f>
        <v>258.18402034151308</v>
      </c>
      <c r="AX301" s="137">
        <f>$W301*AC301+$L301*Summary_LCIA!T$32</f>
        <v>62.795829413026048</v>
      </c>
      <c r="AY301" s="137">
        <f>$W301*AD301+$L301*Summary_LCIA!U$32</f>
        <v>0.9088437271821509</v>
      </c>
      <c r="AZ301" s="137">
        <f>$W301*AE301+$L301*Summary_LCIA!V$32</f>
        <v>7.6928488376980866E-3</v>
      </c>
      <c r="BA301" s="137">
        <f>$W301*AF301+$L301*Summary_LCIA!W$32</f>
        <v>11.601798102988408</v>
      </c>
      <c r="BB301" s="137">
        <f>$W301*AG301+$L301*Summary_LCIA!X$32</f>
        <v>13.284802687017276</v>
      </c>
      <c r="BC301" s="137">
        <f>$W301*AH301+$L301*Summary_LCIA!Y$32</f>
        <v>0.78882044505354976</v>
      </c>
      <c r="BD301" s="137">
        <f>$W301*AI301+$L301*Summary_LCIA!Z$32</f>
        <v>0.25692627176742994</v>
      </c>
      <c r="BE301" s="137">
        <f>$W301*AJ301+$L301*Summary_LCIA!AA$32</f>
        <v>1.8348336637219438</v>
      </c>
      <c r="BF301" s="137">
        <f>$W301*AK301+$L301*Summary_LCIA!AB$32</f>
        <v>6.1534381111359095E-2</v>
      </c>
      <c r="BG301" s="137">
        <f>$W301*AL301+$L301*Summary_LCIA!AC$32</f>
        <v>3.1837151574364036E-5</v>
      </c>
      <c r="BH301" s="137">
        <f>$W301*AM301+$L301*Summary_LCIA!AD$32</f>
        <v>0.11169285831956924</v>
      </c>
      <c r="BI301" s="137">
        <f>$W301*AN301+$L301*Summary_LCIA!AE$32</f>
        <v>0.32087607621683645</v>
      </c>
      <c r="BJ301" s="137">
        <f>$W301*AO301+$L301*Summary_LCIA!AF$32</f>
        <v>3.3856665176853373E-2</v>
      </c>
      <c r="BK301" s="137">
        <f>$W301*AP301+$L301*Summary_LCIA!AG$32</f>
        <v>6.1776726818533753E-3</v>
      </c>
      <c r="BL301" s="137">
        <f>$W301*AQ301+$L301*Summary_LCIA!AH$32</f>
        <v>0.92487190803389152</v>
      </c>
      <c r="BM301" s="137">
        <f>$W301*AR301+$L301*Summary_LCIA!AI$32</f>
        <v>0.28568484258817878</v>
      </c>
    </row>
    <row r="302" spans="1:65" x14ac:dyDescent="0.25">
      <c r="A302" s="149">
        <v>21</v>
      </c>
      <c r="B302" s="149">
        <v>29</v>
      </c>
      <c r="C302" s="61">
        <v>53.523218999999997</v>
      </c>
      <c r="D302" s="61">
        <v>-113.526319</v>
      </c>
      <c r="E302" s="61" t="s">
        <v>462</v>
      </c>
      <c r="F302" s="149">
        <v>126</v>
      </c>
      <c r="G302" s="61" t="s">
        <v>637</v>
      </c>
      <c r="H302" s="61" t="s">
        <v>638</v>
      </c>
      <c r="I302" s="61">
        <v>53.305436999999998</v>
      </c>
      <c r="J302" s="61">
        <v>-113.577381</v>
      </c>
      <c r="K302" s="61">
        <v>42.053707780000003</v>
      </c>
      <c r="L302" s="61">
        <v>28.959</v>
      </c>
      <c r="M302" s="61" t="s">
        <v>617</v>
      </c>
      <c r="N302" s="149">
        <v>28</v>
      </c>
      <c r="O302" s="149">
        <v>29</v>
      </c>
      <c r="P302" s="61" t="s">
        <v>565</v>
      </c>
      <c r="Q302" s="61" t="s">
        <v>559</v>
      </c>
      <c r="R302" s="61">
        <v>47.450249900000003</v>
      </c>
      <c r="S302" s="61">
        <v>-122.30881650000001</v>
      </c>
      <c r="T302" s="61">
        <v>1292.5229999999999</v>
      </c>
      <c r="U302" s="61" t="s">
        <v>617</v>
      </c>
      <c r="V302" s="61" t="s">
        <v>569</v>
      </c>
      <c r="W302" s="61" cm="1">
        <f t="array" ref="W302">getDistance(I302,J302,R302,S302)*SA!$B$12</f>
        <v>899.37041179037806</v>
      </c>
      <c r="Y302" s="137">
        <f>Transportation_LCIA!C$61*($W302^Transportation_LCIA!C$60)+Transportation_LCIA!C$62</f>
        <v>0.2470230393938033</v>
      </c>
      <c r="Z302" s="137">
        <f>Transportation_LCIA!D$61*($W302^Transportation_LCIA!D$60)+Transportation_LCIA!D$62</f>
        <v>2.555551779942963</v>
      </c>
      <c r="AA302" s="137">
        <f>Transportation_LCIA!E$61*($W302^Transportation_LCIA!E$60)+Transportation_LCIA!E$62</f>
        <v>1.2298275386163583E-3</v>
      </c>
      <c r="AB302" s="137">
        <f>Transportation_LCIA!F$61*($W302^Transportation_LCIA!F$60)+Transportation_LCIA!F$62</f>
        <v>0.2470230393938033</v>
      </c>
      <c r="AC302" s="137">
        <f>Transportation_LCIA!G$61*($W302^Transportation_LCIA!G$60)+Transportation_LCIA!G$62</f>
        <v>5.9696472507371229E-2</v>
      </c>
      <c r="AD302" s="137">
        <f>Transportation_LCIA!H$61*($W302^Transportation_LCIA!H$60)+Transportation_LCIA!H$62</f>
        <v>2.956181579716859E-4</v>
      </c>
      <c r="AE302" s="137">
        <f>Transportation_LCIA!I$61*($W302^Transportation_LCIA!I$60)+Transportation_LCIA!I$62</f>
        <v>6.3948472765901966E-6</v>
      </c>
      <c r="AF302" s="137">
        <f>Transportation_LCIA!J$61*($W302^Transportation_LCIA!J$60)+Transportation_LCIA!J$62</f>
        <v>9.4699993728709006E-3</v>
      </c>
      <c r="AG302" s="137">
        <f>Transportation_LCIA!K$61*($W302^Transportation_LCIA!K$60)+Transportation_LCIA!K$62</f>
        <v>1.2760149255241295E-2</v>
      </c>
      <c r="AH302" s="137">
        <f>Transportation_LCIA!L$61*($W302^Transportation_LCIA!L$60)+Transportation_LCIA!L$62</f>
        <v>2.5719491904463085E-4</v>
      </c>
      <c r="AI302" s="137">
        <f>Transportation_LCIA!M$61*($W302^Transportation_LCIA!M$60)+Transportation_LCIA!M$62</f>
        <v>2.5399647844843597E-4</v>
      </c>
      <c r="AJ302" s="137">
        <f>Transportation_LCIA!N$61*($W302^Transportation_LCIA!N$60)+Transportation_LCIA!N$62</f>
        <v>1.0531239575043284E-3</v>
      </c>
      <c r="AK302" s="137">
        <f>Transportation_LCIA!O$61*($W302^Transportation_LCIA!O$60)+Transportation_LCIA!O$62</f>
        <v>6.3099380100455315E-5</v>
      </c>
      <c r="AL302" s="137">
        <f>Transportation_LCIA!P$61*($W302^Transportation_LCIA!P$60)+Transportation_LCIA!P$62</f>
        <v>3.0506162785875581E-8</v>
      </c>
      <c r="AM302" s="137">
        <f>Transportation_LCIA!Q$61*($W302^Transportation_LCIA!Q$60)+Transportation_LCIA!Q$62</f>
        <v>1.0172615447217155E-4</v>
      </c>
      <c r="AN302" s="137">
        <f>Transportation_LCIA!R$61*($W302^Transportation_LCIA!R$60)+Transportation_LCIA!R$62</f>
        <v>3.0749610461663126E-4</v>
      </c>
      <c r="AO302" s="137">
        <f>Transportation_LCIA!S$61*($W302^Transportation_LCIA!S$60)+Transportation_LCIA!S$62</f>
        <v>4.6214375674600108E-6</v>
      </c>
      <c r="AP302" s="137">
        <f>Transportation_LCIA!T$61*($W302^Transportation_LCIA!T$60)+Transportation_LCIA!T$62</f>
        <v>4.6214375674600108E-6</v>
      </c>
      <c r="AQ302" s="137">
        <f>Transportation_LCIA!U$61*($W302^Transportation_LCIA!U$60)+Transportation_LCIA!U$62</f>
        <v>6.6105936403638922E-4</v>
      </c>
      <c r="AR302" s="137">
        <f>Transportation_LCIA!V$61*($W302^Transportation_LCIA!V$60)+Transportation_LCIA!V$62</f>
        <v>2.6456652171685113E-4</v>
      </c>
      <c r="AT302" s="137">
        <f>$W302*Y302+$L302*Summary_LCIA!H$32</f>
        <v>232.00548086131565</v>
      </c>
      <c r="AU302" s="137">
        <f>$W302*Z302+$L302*Summary_LCIA!Q$32</f>
        <v>2441.9099211681832</v>
      </c>
      <c r="AV302" s="137">
        <f>$W302*AA302+$L302*Summary_LCIA!R$32</f>
        <v>1.2585570102365411</v>
      </c>
      <c r="AW302" s="137">
        <f>$W302*AB302+$L302*Summary_LCIA!S$32</f>
        <v>231.87748208131566</v>
      </c>
      <c r="AX302" s="137">
        <f>$W302*AC302+$L302*Summary_LCIA!T$32</f>
        <v>56.871835161387445</v>
      </c>
      <c r="AY302" s="137">
        <f>$W302*AD302+$L302*Summary_LCIA!U$32</f>
        <v>0.78464175046770812</v>
      </c>
      <c r="AZ302" s="137">
        <f>$W302*AE302+$L302*Summary_LCIA!V$32</f>
        <v>7.1344472274835029E-3</v>
      </c>
      <c r="BA302" s="137">
        <f>$W302*AF302+$L302*Summary_LCIA!W$32</f>
        <v>10.746040424633524</v>
      </c>
      <c r="BB302" s="137">
        <f>$W302*AG302+$L302*Summary_LCIA!X$32</f>
        <v>12.135786710193051</v>
      </c>
      <c r="BC302" s="137">
        <f>$W302*AH302+$L302*Summary_LCIA!Y$32</f>
        <v>0.68255263825156254</v>
      </c>
      <c r="BD302" s="137">
        <f>$W302*AI302+$L302*Summary_LCIA!Z$32</f>
        <v>0.22962449704647572</v>
      </c>
      <c r="BE302" s="137">
        <f>$W302*AJ302+$L302*Summary_LCIA!AA$32</f>
        <v>1.6235149313269803</v>
      </c>
      <c r="BF302" s="137">
        <f>$W302*AK302+$L302*Summary_LCIA!AB$32</f>
        <v>5.6117743207664085E-2</v>
      </c>
      <c r="BG302" s="137">
        <f>$W302*AL302+$L302*Summary_LCIA!AC$32</f>
        <v>2.8851971942877227E-5</v>
      </c>
      <c r="BH302" s="137">
        <f>$W302*AM302+$L302*Summary_LCIA!AD$32</f>
        <v>0.10339280079748854</v>
      </c>
      <c r="BI302" s="137">
        <f>$W302*AN302+$L302*Summary_LCIA!AE$32</f>
        <v>0.30221433690299682</v>
      </c>
      <c r="BJ302" s="137">
        <f>$W302*AO302+$L302*Summary_LCIA!AF$32</f>
        <v>2.8638901988110033E-2</v>
      </c>
      <c r="BK302" s="137">
        <f>$W302*AP302+$L302*Summary_LCIA!AG$32</f>
        <v>5.6380714431100327E-3</v>
      </c>
      <c r="BL302" s="137">
        <f>$W302*AQ302+$L302*Summary_LCIA!AH$32</f>
        <v>0.84658478485129285</v>
      </c>
      <c r="BM302" s="137">
        <f>$W302*AR302+$L302*Summary_LCIA!AI$32</f>
        <v>0.2649200580324324</v>
      </c>
    </row>
    <row r="303" spans="1:65" x14ac:dyDescent="0.25">
      <c r="A303" s="149">
        <v>22</v>
      </c>
      <c r="B303" s="149">
        <v>29</v>
      </c>
      <c r="C303" s="61">
        <v>53.523218999999997</v>
      </c>
      <c r="D303" s="61">
        <v>-113.526319</v>
      </c>
      <c r="E303" s="61" t="s">
        <v>462</v>
      </c>
      <c r="F303" s="149">
        <v>126</v>
      </c>
      <c r="G303" s="61" t="s">
        <v>637</v>
      </c>
      <c r="H303" s="61" t="s">
        <v>638</v>
      </c>
      <c r="I303" s="61">
        <v>53.305436999999998</v>
      </c>
      <c r="J303" s="61">
        <v>-113.577381</v>
      </c>
      <c r="K303" s="61">
        <v>42.053707780000003</v>
      </c>
      <c r="L303" s="61">
        <v>28.959</v>
      </c>
      <c r="M303" s="61" t="s">
        <v>617</v>
      </c>
      <c r="N303" s="149">
        <v>28</v>
      </c>
      <c r="O303" s="149">
        <v>29</v>
      </c>
      <c r="P303" s="61" t="s">
        <v>565</v>
      </c>
      <c r="Q303" s="61" t="s">
        <v>559</v>
      </c>
      <c r="R303" s="61">
        <v>47.450249900000003</v>
      </c>
      <c r="S303" s="61">
        <v>-122.30881650000001</v>
      </c>
      <c r="T303" s="61">
        <v>1292.5229999999999</v>
      </c>
      <c r="U303" s="61" t="s">
        <v>617</v>
      </c>
      <c r="V303" s="61" t="s">
        <v>569</v>
      </c>
      <c r="W303" s="61" cm="1">
        <f t="array" ref="W303">getDistance(I303,J303,R303,S303)*SA!$B$12</f>
        <v>899.37041179037806</v>
      </c>
      <c r="Y303" s="137">
        <f>Transportation_LCIA!C$61*($W303^Transportation_LCIA!C$60)+Transportation_LCIA!C$62</f>
        <v>0.2470230393938033</v>
      </c>
      <c r="Z303" s="137">
        <f>Transportation_LCIA!D$61*($W303^Transportation_LCIA!D$60)+Transportation_LCIA!D$62</f>
        <v>2.555551779942963</v>
      </c>
      <c r="AA303" s="137">
        <f>Transportation_LCIA!E$61*($W303^Transportation_LCIA!E$60)+Transportation_LCIA!E$62</f>
        <v>1.2298275386163583E-3</v>
      </c>
      <c r="AB303" s="137">
        <f>Transportation_LCIA!F$61*($W303^Transportation_LCIA!F$60)+Transportation_LCIA!F$62</f>
        <v>0.2470230393938033</v>
      </c>
      <c r="AC303" s="137">
        <f>Transportation_LCIA!G$61*($W303^Transportation_LCIA!G$60)+Transportation_LCIA!G$62</f>
        <v>5.9696472507371229E-2</v>
      </c>
      <c r="AD303" s="137">
        <f>Transportation_LCIA!H$61*($W303^Transportation_LCIA!H$60)+Transportation_LCIA!H$62</f>
        <v>2.956181579716859E-4</v>
      </c>
      <c r="AE303" s="137">
        <f>Transportation_LCIA!I$61*($W303^Transportation_LCIA!I$60)+Transportation_LCIA!I$62</f>
        <v>6.3948472765901966E-6</v>
      </c>
      <c r="AF303" s="137">
        <f>Transportation_LCIA!J$61*($W303^Transportation_LCIA!J$60)+Transportation_LCIA!J$62</f>
        <v>9.4699993728709006E-3</v>
      </c>
      <c r="AG303" s="137">
        <f>Transportation_LCIA!K$61*($W303^Transportation_LCIA!K$60)+Transportation_LCIA!K$62</f>
        <v>1.2760149255241295E-2</v>
      </c>
      <c r="AH303" s="137">
        <f>Transportation_LCIA!L$61*($W303^Transportation_LCIA!L$60)+Transportation_LCIA!L$62</f>
        <v>2.5719491904463085E-4</v>
      </c>
      <c r="AI303" s="137">
        <f>Transportation_LCIA!M$61*($W303^Transportation_LCIA!M$60)+Transportation_LCIA!M$62</f>
        <v>2.5399647844843597E-4</v>
      </c>
      <c r="AJ303" s="137">
        <f>Transportation_LCIA!N$61*($W303^Transportation_LCIA!N$60)+Transportation_LCIA!N$62</f>
        <v>1.0531239575043284E-3</v>
      </c>
      <c r="AK303" s="137">
        <f>Transportation_LCIA!O$61*($W303^Transportation_LCIA!O$60)+Transportation_LCIA!O$62</f>
        <v>6.3099380100455315E-5</v>
      </c>
      <c r="AL303" s="137">
        <f>Transportation_LCIA!P$61*($W303^Transportation_LCIA!P$60)+Transportation_LCIA!P$62</f>
        <v>3.0506162785875581E-8</v>
      </c>
      <c r="AM303" s="137">
        <f>Transportation_LCIA!Q$61*($W303^Transportation_LCIA!Q$60)+Transportation_LCIA!Q$62</f>
        <v>1.0172615447217155E-4</v>
      </c>
      <c r="AN303" s="137">
        <f>Transportation_LCIA!R$61*($W303^Transportation_LCIA!R$60)+Transportation_LCIA!R$62</f>
        <v>3.0749610461663126E-4</v>
      </c>
      <c r="AO303" s="137">
        <f>Transportation_LCIA!S$61*($W303^Transportation_LCIA!S$60)+Transportation_LCIA!S$62</f>
        <v>4.6214375674600108E-6</v>
      </c>
      <c r="AP303" s="137">
        <f>Transportation_LCIA!T$61*($W303^Transportation_LCIA!T$60)+Transportation_LCIA!T$62</f>
        <v>4.6214375674600108E-6</v>
      </c>
      <c r="AQ303" s="137">
        <f>Transportation_LCIA!U$61*($W303^Transportation_LCIA!U$60)+Transportation_LCIA!U$62</f>
        <v>6.6105936403638922E-4</v>
      </c>
      <c r="AR303" s="137">
        <f>Transportation_LCIA!V$61*($W303^Transportation_LCIA!V$60)+Transportation_LCIA!V$62</f>
        <v>2.6456652171685113E-4</v>
      </c>
      <c r="AT303" s="137">
        <f>$W303*Y303+$L303*Summary_LCIA!H$32</f>
        <v>232.00548086131565</v>
      </c>
      <c r="AU303" s="137">
        <f>$W303*Z303+$L303*Summary_LCIA!Q$32</f>
        <v>2441.9099211681832</v>
      </c>
      <c r="AV303" s="137">
        <f>$W303*AA303+$L303*Summary_LCIA!R$32</f>
        <v>1.2585570102365411</v>
      </c>
      <c r="AW303" s="137">
        <f>$W303*AB303+$L303*Summary_LCIA!S$32</f>
        <v>231.87748208131566</v>
      </c>
      <c r="AX303" s="137">
        <f>$W303*AC303+$L303*Summary_LCIA!T$32</f>
        <v>56.871835161387445</v>
      </c>
      <c r="AY303" s="137">
        <f>$W303*AD303+$L303*Summary_LCIA!U$32</f>
        <v>0.78464175046770812</v>
      </c>
      <c r="AZ303" s="137">
        <f>$W303*AE303+$L303*Summary_LCIA!V$32</f>
        <v>7.1344472274835029E-3</v>
      </c>
      <c r="BA303" s="137">
        <f>$W303*AF303+$L303*Summary_LCIA!W$32</f>
        <v>10.746040424633524</v>
      </c>
      <c r="BB303" s="137">
        <f>$W303*AG303+$L303*Summary_LCIA!X$32</f>
        <v>12.135786710193051</v>
      </c>
      <c r="BC303" s="137">
        <f>$W303*AH303+$L303*Summary_LCIA!Y$32</f>
        <v>0.68255263825156254</v>
      </c>
      <c r="BD303" s="137">
        <f>$W303*AI303+$L303*Summary_LCIA!Z$32</f>
        <v>0.22962449704647572</v>
      </c>
      <c r="BE303" s="137">
        <f>$W303*AJ303+$L303*Summary_LCIA!AA$32</f>
        <v>1.6235149313269803</v>
      </c>
      <c r="BF303" s="137">
        <f>$W303*AK303+$L303*Summary_LCIA!AB$32</f>
        <v>5.6117743207664085E-2</v>
      </c>
      <c r="BG303" s="137">
        <f>$W303*AL303+$L303*Summary_LCIA!AC$32</f>
        <v>2.8851971942877227E-5</v>
      </c>
      <c r="BH303" s="137">
        <f>$W303*AM303+$L303*Summary_LCIA!AD$32</f>
        <v>0.10339280079748854</v>
      </c>
      <c r="BI303" s="137">
        <f>$W303*AN303+$L303*Summary_LCIA!AE$32</f>
        <v>0.30221433690299682</v>
      </c>
      <c r="BJ303" s="137">
        <f>$W303*AO303+$L303*Summary_LCIA!AF$32</f>
        <v>2.8638901988110033E-2</v>
      </c>
      <c r="BK303" s="137">
        <f>$W303*AP303+$L303*Summary_LCIA!AG$32</f>
        <v>5.6380714431100327E-3</v>
      </c>
      <c r="BL303" s="137">
        <f>$W303*AQ303+$L303*Summary_LCIA!AH$32</f>
        <v>0.84658478485129285</v>
      </c>
      <c r="BM303" s="137">
        <f>$W303*AR303+$L303*Summary_LCIA!AI$32</f>
        <v>0.2649200580324324</v>
      </c>
    </row>
    <row r="304" spans="1:65" x14ac:dyDescent="0.25">
      <c r="A304" s="149">
        <v>101</v>
      </c>
      <c r="B304" s="149">
        <v>43</v>
      </c>
      <c r="C304" s="61">
        <v>46.256036000000002</v>
      </c>
      <c r="D304" s="61">
        <v>-63.137495000000001</v>
      </c>
      <c r="E304" s="61" t="s">
        <v>461</v>
      </c>
      <c r="F304" s="149">
        <v>141</v>
      </c>
      <c r="G304" s="61" t="s">
        <v>661</v>
      </c>
      <c r="H304" s="61" t="s">
        <v>662</v>
      </c>
      <c r="I304" s="61">
        <v>46.116180999999997</v>
      </c>
      <c r="J304" s="61">
        <v>-64.688446999999996</v>
      </c>
      <c r="K304" s="61">
        <v>129.61196319999999</v>
      </c>
      <c r="L304" s="61">
        <v>158.78800000000001</v>
      </c>
      <c r="M304" s="61" t="s">
        <v>617</v>
      </c>
      <c r="N304" s="149">
        <v>42</v>
      </c>
      <c r="O304" s="149">
        <v>43</v>
      </c>
      <c r="P304" s="61" t="s">
        <v>565</v>
      </c>
      <c r="Q304" s="61" t="s">
        <v>555</v>
      </c>
      <c r="R304" s="61">
        <v>40.6895314</v>
      </c>
      <c r="S304" s="61">
        <v>-74.174462399999996</v>
      </c>
      <c r="T304" s="61">
        <v>1316.777</v>
      </c>
      <c r="U304" s="61" t="s">
        <v>617</v>
      </c>
      <c r="V304" s="61" t="s">
        <v>569</v>
      </c>
      <c r="W304" s="61" cm="1">
        <f t="array" ref="W304">getDistance(I304,J304,R304,S304)*SA!$B$12</f>
        <v>976.21921839853326</v>
      </c>
      <c r="Y304" s="137">
        <f>Transportation_LCIA!C$61*($W304^Transportation_LCIA!C$60)+Transportation_LCIA!C$62</f>
        <v>0.23804060106334077</v>
      </c>
      <c r="Z304" s="137">
        <f>Transportation_LCIA!D$61*($W304^Transportation_LCIA!D$60)+Transportation_LCIA!D$62</f>
        <v>2.4504484062130265</v>
      </c>
      <c r="AA304" s="137">
        <f>Transportation_LCIA!E$61*($W304^Transportation_LCIA!E$60)+Transportation_LCIA!E$62</f>
        <v>1.1606720913959455E-3</v>
      </c>
      <c r="AB304" s="137">
        <f>Transportation_LCIA!F$61*($W304^Transportation_LCIA!F$60)+Transportation_LCIA!F$62</f>
        <v>0.23804060106334077</v>
      </c>
      <c r="AC304" s="137">
        <f>Transportation_LCIA!G$61*($W304^Transportation_LCIA!G$60)+Transportation_LCIA!G$62</f>
        <v>5.726520247855086E-2</v>
      </c>
      <c r="AD304" s="137">
        <f>Transportation_LCIA!H$61*($W304^Transportation_LCIA!H$60)+Transportation_LCIA!H$62</f>
        <v>2.8038992352398014E-4</v>
      </c>
      <c r="AE304" s="137">
        <f>Transportation_LCIA!I$61*($W304^Transportation_LCIA!I$60)+Transportation_LCIA!I$62</f>
        <v>6.0105898982720086E-6</v>
      </c>
      <c r="AF304" s="137">
        <f>Transportation_LCIA!J$61*($W304^Transportation_LCIA!J$60)+Transportation_LCIA!J$62</f>
        <v>8.896852176798465E-3</v>
      </c>
      <c r="AG304" s="137">
        <f>Transportation_LCIA!K$61*($W304^Transportation_LCIA!K$60)+Transportation_LCIA!K$62</f>
        <v>1.2191850397092132E-2</v>
      </c>
      <c r="AH304" s="137">
        <f>Transportation_LCIA!L$61*($W304^Transportation_LCIA!L$60)+Transportation_LCIA!L$62</f>
        <v>2.431855860123998E-4</v>
      </c>
      <c r="AI304" s="137">
        <f>Transportation_LCIA!M$61*($W304^Transportation_LCIA!M$60)+Transportation_LCIA!M$62</f>
        <v>2.4559148071851629E-4</v>
      </c>
      <c r="AJ304" s="137">
        <f>Transportation_LCIA!N$61*($W304^Transportation_LCIA!N$60)+Transportation_LCIA!N$62</f>
        <v>1.0019337441737129E-3</v>
      </c>
      <c r="AK304" s="137">
        <f>Transportation_LCIA!O$61*($W304^Transportation_LCIA!O$60)+Transportation_LCIA!O$62</f>
        <v>6.0515654755985323E-5</v>
      </c>
      <c r="AL304" s="137">
        <f>Transportation_LCIA!P$61*($W304^Transportation_LCIA!P$60)+Transportation_LCIA!P$62</f>
        <v>2.9264180015516956E-8</v>
      </c>
      <c r="AM304" s="137">
        <f>Transportation_LCIA!Q$61*($W304^Transportation_LCIA!Q$60)+Transportation_LCIA!Q$62</f>
        <v>9.6246506035158898E-5</v>
      </c>
      <c r="AN304" s="137">
        <f>Transportation_LCIA!R$61*($W304^Transportation_LCIA!R$60)+Transportation_LCIA!R$62</f>
        <v>2.8906877213541162E-4</v>
      </c>
      <c r="AO304" s="137">
        <f>Transportation_LCIA!S$61*($W304^Transportation_LCIA!S$60)+Transportation_LCIA!S$62</f>
        <v>4.3599423404604346E-6</v>
      </c>
      <c r="AP304" s="137">
        <f>Transportation_LCIA!T$61*($W304^Transportation_LCIA!T$60)+Transportation_LCIA!T$62</f>
        <v>4.3599423404604346E-6</v>
      </c>
      <c r="AQ304" s="137">
        <f>Transportation_LCIA!U$61*($W304^Transportation_LCIA!U$60)+Transportation_LCIA!U$62</f>
        <v>6.2062975697497851E-4</v>
      </c>
      <c r="AR304" s="137">
        <f>Transportation_LCIA!V$61*($W304^Transportation_LCIA!V$60)+Transportation_LCIA!V$62</f>
        <v>2.503045929040431E-4</v>
      </c>
      <c r="AT304" s="137">
        <f>$W304*Y304+$L304*Summary_LCIA!H$32</f>
        <v>286.33597191717161</v>
      </c>
      <c r="AU304" s="137">
        <f>$W304*Z304+$L304*Summary_LCIA!Q$32</f>
        <v>3179.1361639944162</v>
      </c>
      <c r="AV304" s="137">
        <f>$W304*AA304+$L304*Summary_LCIA!R$32</f>
        <v>1.9691844946795407</v>
      </c>
      <c r="AW304" s="137">
        <f>$W304*AB304+$L304*Summary_LCIA!S$32</f>
        <v>285.63412895717158</v>
      </c>
      <c r="AX304" s="137">
        <f>$W304*AC304+$L304*Summary_LCIA!T$32</f>
        <v>73.354192405044671</v>
      </c>
      <c r="AY304" s="137">
        <f>$W304*AD304+$L304*Summary_LCIA!U$32</f>
        <v>3.1182502639894043</v>
      </c>
      <c r="AZ304" s="137">
        <f>$W304*AE304+$L304*Summary_LCIA!V$32</f>
        <v>1.345152704060522E-2</v>
      </c>
      <c r="BA304" s="137">
        <f>$W304*AF304+$L304*Summary_LCIA!W$32</f>
        <v>20.907349226241486</v>
      </c>
      <c r="BB304" s="137">
        <f>$W304*AG304+$L304*Summary_LCIA!X$32</f>
        <v>15.519109305481129</v>
      </c>
      <c r="BC304" s="137">
        <f>$W304*AH304+$L304*Summary_LCIA!Y$32</f>
        <v>2.7116370587028147</v>
      </c>
      <c r="BD304" s="137">
        <f>$W304*AI304+$L304*Summary_LCIA!Z$32</f>
        <v>0.24626286044436843</v>
      </c>
      <c r="BE304" s="137">
        <f>$W304*AJ304+$L304*Summary_LCIA!AA$32</f>
        <v>4.6867595046243782</v>
      </c>
      <c r="BF304" s="137">
        <f>$W304*AK304+$L304*Summary_LCIA!AB$32</f>
        <v>5.5611314662763471E-2</v>
      </c>
      <c r="BG304" s="137">
        <f>$W304*AL304+$L304*Summary_LCIA!AC$32</f>
        <v>3.6330447533821945E-5</v>
      </c>
      <c r="BH304" s="137">
        <f>$W304*AM304+$L304*Summary_LCIA!AD$32</f>
        <v>0.15922590841523254</v>
      </c>
      <c r="BI304" s="137">
        <f>$W304*AN304+$L304*Summary_LCIA!AE$32</f>
        <v>0.42290130123745523</v>
      </c>
      <c r="BJ304" s="137">
        <f>$W304*AO304+$L304*Summary_LCIA!AF$32</f>
        <v>0.13849881046386697</v>
      </c>
      <c r="BK304" s="137">
        <f>$W304*AP304+$L304*Summary_LCIA!AG$32</f>
        <v>1.2380647523866958E-2</v>
      </c>
      <c r="BL304" s="137">
        <f>$W304*AQ304+$L304*Summary_LCIA!AH$32</f>
        <v>1.9878979330689854</v>
      </c>
      <c r="BM304" s="137">
        <f>$W304*AR304+$L304*Summary_LCIA!AI$32</f>
        <v>0.39227111544634802</v>
      </c>
    </row>
    <row r="305" spans="1:65" x14ac:dyDescent="0.25">
      <c r="A305" s="149">
        <v>102</v>
      </c>
      <c r="B305" s="149">
        <v>43</v>
      </c>
      <c r="C305" s="61">
        <v>46.256036000000002</v>
      </c>
      <c r="D305" s="61">
        <v>-63.137495000000001</v>
      </c>
      <c r="E305" s="61" t="s">
        <v>461</v>
      </c>
      <c r="F305" s="149">
        <v>141</v>
      </c>
      <c r="G305" s="61" t="s">
        <v>661</v>
      </c>
      <c r="H305" s="61" t="s">
        <v>662</v>
      </c>
      <c r="I305" s="61">
        <v>46.116180999999997</v>
      </c>
      <c r="J305" s="61">
        <v>-64.688446999999996</v>
      </c>
      <c r="K305" s="61">
        <v>129.61196319999999</v>
      </c>
      <c r="L305" s="61">
        <v>158.78800000000001</v>
      </c>
      <c r="M305" s="61" t="s">
        <v>617</v>
      </c>
      <c r="N305" s="149">
        <v>42</v>
      </c>
      <c r="O305" s="149">
        <v>43</v>
      </c>
      <c r="P305" s="61" t="s">
        <v>565</v>
      </c>
      <c r="Q305" s="61" t="s">
        <v>555</v>
      </c>
      <c r="R305" s="61">
        <v>40.6895314</v>
      </c>
      <c r="S305" s="61">
        <v>-74.174462399999996</v>
      </c>
      <c r="T305" s="61">
        <v>1316.777</v>
      </c>
      <c r="U305" s="61" t="s">
        <v>617</v>
      </c>
      <c r="V305" s="61" t="s">
        <v>569</v>
      </c>
      <c r="W305" s="61" cm="1">
        <f t="array" ref="W305">getDistance(I305,J305,R305,S305)*SA!$B$12</f>
        <v>976.21921839853326</v>
      </c>
      <c r="Y305" s="137">
        <f>Transportation_LCIA!C$61*($W305^Transportation_LCIA!C$60)+Transportation_LCIA!C$62</f>
        <v>0.23804060106334077</v>
      </c>
      <c r="Z305" s="137">
        <f>Transportation_LCIA!D$61*($W305^Transportation_LCIA!D$60)+Transportation_LCIA!D$62</f>
        <v>2.4504484062130265</v>
      </c>
      <c r="AA305" s="137">
        <f>Transportation_LCIA!E$61*($W305^Transportation_LCIA!E$60)+Transportation_LCIA!E$62</f>
        <v>1.1606720913959455E-3</v>
      </c>
      <c r="AB305" s="137">
        <f>Transportation_LCIA!F$61*($W305^Transportation_LCIA!F$60)+Transportation_LCIA!F$62</f>
        <v>0.23804060106334077</v>
      </c>
      <c r="AC305" s="137">
        <f>Transportation_LCIA!G$61*($W305^Transportation_LCIA!G$60)+Transportation_LCIA!G$62</f>
        <v>5.726520247855086E-2</v>
      </c>
      <c r="AD305" s="137">
        <f>Transportation_LCIA!H$61*($W305^Transportation_LCIA!H$60)+Transportation_LCIA!H$62</f>
        <v>2.8038992352398014E-4</v>
      </c>
      <c r="AE305" s="137">
        <f>Transportation_LCIA!I$61*($W305^Transportation_LCIA!I$60)+Transportation_LCIA!I$62</f>
        <v>6.0105898982720086E-6</v>
      </c>
      <c r="AF305" s="137">
        <f>Transportation_LCIA!J$61*($W305^Transportation_LCIA!J$60)+Transportation_LCIA!J$62</f>
        <v>8.896852176798465E-3</v>
      </c>
      <c r="AG305" s="137">
        <f>Transportation_LCIA!K$61*($W305^Transportation_LCIA!K$60)+Transportation_LCIA!K$62</f>
        <v>1.2191850397092132E-2</v>
      </c>
      <c r="AH305" s="137">
        <f>Transportation_LCIA!L$61*($W305^Transportation_LCIA!L$60)+Transportation_LCIA!L$62</f>
        <v>2.431855860123998E-4</v>
      </c>
      <c r="AI305" s="137">
        <f>Transportation_LCIA!M$61*($W305^Transportation_LCIA!M$60)+Transportation_LCIA!M$62</f>
        <v>2.4559148071851629E-4</v>
      </c>
      <c r="AJ305" s="137">
        <f>Transportation_LCIA!N$61*($W305^Transportation_LCIA!N$60)+Transportation_LCIA!N$62</f>
        <v>1.0019337441737129E-3</v>
      </c>
      <c r="AK305" s="137">
        <f>Transportation_LCIA!O$61*($W305^Transportation_LCIA!O$60)+Transportation_LCIA!O$62</f>
        <v>6.0515654755985323E-5</v>
      </c>
      <c r="AL305" s="137">
        <f>Transportation_LCIA!P$61*($W305^Transportation_LCIA!P$60)+Transportation_LCIA!P$62</f>
        <v>2.9264180015516956E-8</v>
      </c>
      <c r="AM305" s="137">
        <f>Transportation_LCIA!Q$61*($W305^Transportation_LCIA!Q$60)+Transportation_LCIA!Q$62</f>
        <v>9.6246506035158898E-5</v>
      </c>
      <c r="AN305" s="137">
        <f>Transportation_LCIA!R$61*($W305^Transportation_LCIA!R$60)+Transportation_LCIA!R$62</f>
        <v>2.8906877213541162E-4</v>
      </c>
      <c r="AO305" s="137">
        <f>Transportation_LCIA!S$61*($W305^Transportation_LCIA!S$60)+Transportation_LCIA!S$62</f>
        <v>4.3599423404604346E-6</v>
      </c>
      <c r="AP305" s="137">
        <f>Transportation_LCIA!T$61*($W305^Transportation_LCIA!T$60)+Transportation_LCIA!T$62</f>
        <v>4.3599423404604346E-6</v>
      </c>
      <c r="AQ305" s="137">
        <f>Transportation_LCIA!U$61*($W305^Transportation_LCIA!U$60)+Transportation_LCIA!U$62</f>
        <v>6.2062975697497851E-4</v>
      </c>
      <c r="AR305" s="137">
        <f>Transportation_LCIA!V$61*($W305^Transportation_LCIA!V$60)+Transportation_LCIA!V$62</f>
        <v>2.503045929040431E-4</v>
      </c>
      <c r="AT305" s="137">
        <f>$W305*Y305+$L305*Summary_LCIA!H$32</f>
        <v>286.33597191717161</v>
      </c>
      <c r="AU305" s="137">
        <f>$W305*Z305+$L305*Summary_LCIA!Q$32</f>
        <v>3179.1361639944162</v>
      </c>
      <c r="AV305" s="137">
        <f>$W305*AA305+$L305*Summary_LCIA!R$32</f>
        <v>1.9691844946795407</v>
      </c>
      <c r="AW305" s="137">
        <f>$W305*AB305+$L305*Summary_LCIA!S$32</f>
        <v>285.63412895717158</v>
      </c>
      <c r="AX305" s="137">
        <f>$W305*AC305+$L305*Summary_LCIA!T$32</f>
        <v>73.354192405044671</v>
      </c>
      <c r="AY305" s="137">
        <f>$W305*AD305+$L305*Summary_LCIA!U$32</f>
        <v>3.1182502639894043</v>
      </c>
      <c r="AZ305" s="137">
        <f>$W305*AE305+$L305*Summary_LCIA!V$32</f>
        <v>1.345152704060522E-2</v>
      </c>
      <c r="BA305" s="137">
        <f>$W305*AF305+$L305*Summary_LCIA!W$32</f>
        <v>20.907349226241486</v>
      </c>
      <c r="BB305" s="137">
        <f>$W305*AG305+$L305*Summary_LCIA!X$32</f>
        <v>15.519109305481129</v>
      </c>
      <c r="BC305" s="137">
        <f>$W305*AH305+$L305*Summary_LCIA!Y$32</f>
        <v>2.7116370587028147</v>
      </c>
      <c r="BD305" s="137">
        <f>$W305*AI305+$L305*Summary_LCIA!Z$32</f>
        <v>0.24626286044436843</v>
      </c>
      <c r="BE305" s="137">
        <f>$W305*AJ305+$L305*Summary_LCIA!AA$32</f>
        <v>4.6867595046243782</v>
      </c>
      <c r="BF305" s="137">
        <f>$W305*AK305+$L305*Summary_LCIA!AB$32</f>
        <v>5.5611314662763471E-2</v>
      </c>
      <c r="BG305" s="137">
        <f>$W305*AL305+$L305*Summary_LCIA!AC$32</f>
        <v>3.6330447533821945E-5</v>
      </c>
      <c r="BH305" s="137">
        <f>$W305*AM305+$L305*Summary_LCIA!AD$32</f>
        <v>0.15922590841523254</v>
      </c>
      <c r="BI305" s="137">
        <f>$W305*AN305+$L305*Summary_LCIA!AE$32</f>
        <v>0.42290130123745523</v>
      </c>
      <c r="BJ305" s="137">
        <f>$W305*AO305+$L305*Summary_LCIA!AF$32</f>
        <v>0.13849881046386697</v>
      </c>
      <c r="BK305" s="137">
        <f>$W305*AP305+$L305*Summary_LCIA!AG$32</f>
        <v>1.2380647523866958E-2</v>
      </c>
      <c r="BL305" s="137">
        <f>$W305*AQ305+$L305*Summary_LCIA!AH$32</f>
        <v>1.9878979330689854</v>
      </c>
      <c r="BM305" s="137">
        <f>$W305*AR305+$L305*Summary_LCIA!AI$32</f>
        <v>0.39227111544634802</v>
      </c>
    </row>
    <row r="306" spans="1:65" x14ac:dyDescent="0.25">
      <c r="A306" s="149">
        <v>140</v>
      </c>
      <c r="B306" s="149">
        <v>6</v>
      </c>
      <c r="C306" s="61">
        <v>32.590955999999998</v>
      </c>
      <c r="D306" s="61">
        <v>-85.492979000000005</v>
      </c>
      <c r="E306" s="61" t="s">
        <v>265</v>
      </c>
      <c r="F306" s="149">
        <v>1</v>
      </c>
      <c r="G306" s="61" t="s">
        <v>565</v>
      </c>
      <c r="H306" s="61" t="s">
        <v>681</v>
      </c>
      <c r="I306" s="61">
        <v>33.640728000000003</v>
      </c>
      <c r="J306" s="61">
        <v>-84.427700000000002</v>
      </c>
      <c r="K306" s="61">
        <v>204.5911443</v>
      </c>
      <c r="L306" s="61">
        <v>172.04300000000001</v>
      </c>
      <c r="M306" s="61" t="s">
        <v>617</v>
      </c>
      <c r="N306" s="149">
        <v>5</v>
      </c>
      <c r="O306" s="149">
        <v>6</v>
      </c>
      <c r="P306" s="61" t="s">
        <v>565</v>
      </c>
      <c r="Q306" s="61" t="s">
        <v>564</v>
      </c>
      <c r="R306" s="61">
        <v>41.98028</v>
      </c>
      <c r="S306" s="61">
        <v>-87.908997900000003</v>
      </c>
      <c r="T306" s="61">
        <v>1320.182</v>
      </c>
      <c r="U306" s="61" t="s">
        <v>617</v>
      </c>
      <c r="V306" s="61" t="s">
        <v>569</v>
      </c>
      <c r="W306" s="61" cm="1">
        <f t="array" ref="W306">getDistance(I306,J306,R306,S306)*SA!$B$12</f>
        <v>976.67906347990493</v>
      </c>
      <c r="Y306" s="137">
        <f>Transportation_LCIA!C$61*($W306^Transportation_LCIA!C$60)+Transportation_LCIA!C$62</f>
        <v>0.23799077256655485</v>
      </c>
      <c r="Z306" s="137">
        <f>Transportation_LCIA!D$61*($W306^Transportation_LCIA!D$60)+Transportation_LCIA!D$62</f>
        <v>2.4498664186649894</v>
      </c>
      <c r="AA306" s="137">
        <f>Transportation_LCIA!E$61*($W306^Transportation_LCIA!E$60)+Transportation_LCIA!E$62</f>
        <v>1.1602893527513285E-3</v>
      </c>
      <c r="AB306" s="137">
        <f>Transportation_LCIA!F$61*($W306^Transportation_LCIA!F$60)+Transportation_LCIA!F$62</f>
        <v>0.23799077256655485</v>
      </c>
      <c r="AC306" s="137">
        <f>Transportation_LCIA!G$61*($W306^Transportation_LCIA!G$60)+Transportation_LCIA!G$62</f>
        <v>5.7251738416183251E-2</v>
      </c>
      <c r="AD306" s="137">
        <f>Transportation_LCIA!H$61*($W306^Transportation_LCIA!H$60)+Transportation_LCIA!H$62</f>
        <v>2.8030572808339046E-4</v>
      </c>
      <c r="AE306" s="137">
        <f>Transportation_LCIA!I$61*($W306^Transportation_LCIA!I$60)+Transportation_LCIA!I$62</f>
        <v>6.0084688172437592E-6</v>
      </c>
      <c r="AF306" s="137">
        <f>Transportation_LCIA!J$61*($W306^Transportation_LCIA!J$60)+Transportation_LCIA!J$62</f>
        <v>8.8936917837252362E-3</v>
      </c>
      <c r="AG306" s="137">
        <f>Transportation_LCIA!K$61*($W306^Transportation_LCIA!K$60)+Transportation_LCIA!K$62</f>
        <v>1.2188706109794917E-2</v>
      </c>
      <c r="AH306" s="137">
        <f>Transportation_LCIA!L$61*($W306^Transportation_LCIA!L$60)+Transportation_LCIA!L$62</f>
        <v>2.4310816549771977E-4</v>
      </c>
      <c r="AI306" s="137">
        <f>Transportation_LCIA!M$61*($W306^Transportation_LCIA!M$60)+Transportation_LCIA!M$62</f>
        <v>2.455450128432447E-4</v>
      </c>
      <c r="AJ306" s="137">
        <f>Transportation_LCIA!N$61*($W306^Transportation_LCIA!N$60)+Transportation_LCIA!N$62</f>
        <v>1.0016506819662974E-3</v>
      </c>
      <c r="AK306" s="137">
        <f>Transportation_LCIA!O$61*($W306^Transportation_LCIA!O$60)+Transportation_LCIA!O$62</f>
        <v>6.050134712780058E-5</v>
      </c>
      <c r="AL306" s="137">
        <f>Transportation_LCIA!P$61*($W306^Transportation_LCIA!P$60)+Transportation_LCIA!P$62</f>
        <v>2.9257301489528483E-8</v>
      </c>
      <c r="AM306" s="137">
        <f>Transportation_LCIA!Q$61*($W306^Transportation_LCIA!Q$60)+Transportation_LCIA!Q$62</f>
        <v>9.6216231090364335E-5</v>
      </c>
      <c r="AN306" s="137">
        <f>Transportation_LCIA!R$61*($W306^Transportation_LCIA!R$60)+Transportation_LCIA!R$62</f>
        <v>2.8896705818992006E-4</v>
      </c>
      <c r="AO306" s="137">
        <f>Transportation_LCIA!S$61*($W306^Transportation_LCIA!S$60)+Transportation_LCIA!S$62</f>
        <v>4.3584988519816731E-6</v>
      </c>
      <c r="AP306" s="137">
        <f>Transportation_LCIA!T$61*($W306^Transportation_LCIA!T$60)+Transportation_LCIA!T$62</f>
        <v>4.3584988519816731E-6</v>
      </c>
      <c r="AQ306" s="137">
        <f>Transportation_LCIA!U$61*($W306^Transportation_LCIA!U$60)+Transportation_LCIA!U$62</f>
        <v>6.204066649837317E-4</v>
      </c>
      <c r="AR306" s="137">
        <f>Transportation_LCIA!V$61*($W306^Transportation_LCIA!V$60)+Transportation_LCIA!V$62</f>
        <v>2.502258212971912E-4</v>
      </c>
      <c r="AT306" s="137">
        <f>$W306*Y306+$L306*Summary_LCIA!H$32</f>
        <v>290.90081626716187</v>
      </c>
      <c r="AU306" s="137">
        <f>$W306*Z306+$L306*Summary_LCIA!Q$32</f>
        <v>3245.3870240772094</v>
      </c>
      <c r="AV306" s="137">
        <f>$W306*AA306+$L306*Summary_LCIA!R$32</f>
        <v>2.0391399392108722</v>
      </c>
      <c r="AW306" s="137">
        <f>$W306*AB306+$L306*Summary_LCIA!S$32</f>
        <v>290.14038620716184</v>
      </c>
      <c r="AX306" s="137">
        <f>$W306*AC306+$L306*Summary_LCIA!T$32</f>
        <v>74.82409995891436</v>
      </c>
      <c r="AY306" s="137">
        <f>$W306*AD306+$L306*Summary_LCIA!U$32</f>
        <v>3.3557470379925389</v>
      </c>
      <c r="AZ306" s="137">
        <f>$W306*AE306+$L306*Summary_LCIA!V$32</f>
        <v>1.4085291420373847E-2</v>
      </c>
      <c r="BA306" s="137">
        <f>$W306*AF306+$L306*Summary_LCIA!W$32</f>
        <v>21.928604315207689</v>
      </c>
      <c r="BB306" s="137">
        <f>$W306*AG306+$L306*Summary_LCIA!X$32</f>
        <v>15.823593608346297</v>
      </c>
      <c r="BC306" s="137">
        <f>$W306*AH306+$L306*Summary_LCIA!Y$32</f>
        <v>2.9182126814026312</v>
      </c>
      <c r="BD306" s="137">
        <f>$W306*AI306+$L306*Summary_LCIA!Z$32</f>
        <v>0.24687398457290147</v>
      </c>
      <c r="BE306" s="137">
        <f>$W306*AJ306+$L306*Summary_LCIA!AA$32</f>
        <v>4.9965275579968509</v>
      </c>
      <c r="BF306" s="137">
        <f>$W306*AK306+$L306*Summary_LCIA!AB$32</f>
        <v>5.5335904663052903E-2</v>
      </c>
      <c r="BG306" s="137">
        <f>$W306*AL306+$L306*Summary_LCIA!AC$32</f>
        <v>3.6985143830741905E-5</v>
      </c>
      <c r="BH306" s="137">
        <f>$W306*AM306+$L306*Summary_LCIA!AD$32</f>
        <v>0.16468893319290318</v>
      </c>
      <c r="BI306" s="137">
        <f>$W306*AN306+$L306*Summary_LCIA!AE$32</f>
        <v>0.43468053935947437</v>
      </c>
      <c r="BJ306" s="137">
        <f>$W306*AO306+$L306*Summary_LCIA!AF$32</f>
        <v>0.14970544763693172</v>
      </c>
      <c r="BK306" s="137">
        <f>$W306*AP306+$L306*Summary_LCIA!AG$32</f>
        <v>1.3059434671931701E-2</v>
      </c>
      <c r="BL306" s="137">
        <f>$W306*AQ306+$L306*Summary_LCIA!AH$32</f>
        <v>2.1033316553330024</v>
      </c>
      <c r="BM306" s="137">
        <f>$W306*AR306+$L306*Summary_LCIA!AI$32</f>
        <v>0.40465697745303075</v>
      </c>
    </row>
    <row r="307" spans="1:65" x14ac:dyDescent="0.25">
      <c r="A307" s="149">
        <v>141</v>
      </c>
      <c r="B307" s="149">
        <v>6</v>
      </c>
      <c r="C307" s="61">
        <v>32.590955999999998</v>
      </c>
      <c r="D307" s="61">
        <v>-85.492979000000005</v>
      </c>
      <c r="E307" s="61" t="s">
        <v>265</v>
      </c>
      <c r="F307" s="149">
        <v>1</v>
      </c>
      <c r="G307" s="61" t="s">
        <v>565</v>
      </c>
      <c r="H307" s="61" t="s">
        <v>681</v>
      </c>
      <c r="I307" s="61">
        <v>33.640728000000003</v>
      </c>
      <c r="J307" s="61">
        <v>-84.427700000000002</v>
      </c>
      <c r="K307" s="61">
        <v>204.5911443</v>
      </c>
      <c r="L307" s="61">
        <v>172.04300000000001</v>
      </c>
      <c r="M307" s="61" t="s">
        <v>617</v>
      </c>
      <c r="N307" s="149">
        <v>5</v>
      </c>
      <c r="O307" s="149">
        <v>6</v>
      </c>
      <c r="P307" s="61" t="s">
        <v>565</v>
      </c>
      <c r="Q307" s="61" t="s">
        <v>564</v>
      </c>
      <c r="R307" s="61">
        <v>41.98028</v>
      </c>
      <c r="S307" s="61">
        <v>-87.908997900000003</v>
      </c>
      <c r="T307" s="61">
        <v>1320.182</v>
      </c>
      <c r="U307" s="61" t="s">
        <v>617</v>
      </c>
      <c r="V307" s="61" t="s">
        <v>569</v>
      </c>
      <c r="W307" s="61" cm="1">
        <f t="array" ref="W307">getDistance(I307,J307,R307,S307)*SA!$B$12</f>
        <v>976.67906347990493</v>
      </c>
      <c r="Y307" s="137">
        <f>Transportation_LCIA!C$61*($W307^Transportation_LCIA!C$60)+Transportation_LCIA!C$62</f>
        <v>0.23799077256655485</v>
      </c>
      <c r="Z307" s="137">
        <f>Transportation_LCIA!D$61*($W307^Transportation_LCIA!D$60)+Transportation_LCIA!D$62</f>
        <v>2.4498664186649894</v>
      </c>
      <c r="AA307" s="137">
        <f>Transportation_LCIA!E$61*($W307^Transportation_LCIA!E$60)+Transportation_LCIA!E$62</f>
        <v>1.1602893527513285E-3</v>
      </c>
      <c r="AB307" s="137">
        <f>Transportation_LCIA!F$61*($W307^Transportation_LCIA!F$60)+Transportation_LCIA!F$62</f>
        <v>0.23799077256655485</v>
      </c>
      <c r="AC307" s="137">
        <f>Transportation_LCIA!G$61*($W307^Transportation_LCIA!G$60)+Transportation_LCIA!G$62</f>
        <v>5.7251738416183251E-2</v>
      </c>
      <c r="AD307" s="137">
        <f>Transportation_LCIA!H$61*($W307^Transportation_LCIA!H$60)+Transportation_LCIA!H$62</f>
        <v>2.8030572808339046E-4</v>
      </c>
      <c r="AE307" s="137">
        <f>Transportation_LCIA!I$61*($W307^Transportation_LCIA!I$60)+Transportation_LCIA!I$62</f>
        <v>6.0084688172437592E-6</v>
      </c>
      <c r="AF307" s="137">
        <f>Transportation_LCIA!J$61*($W307^Transportation_LCIA!J$60)+Transportation_LCIA!J$62</f>
        <v>8.8936917837252362E-3</v>
      </c>
      <c r="AG307" s="137">
        <f>Transportation_LCIA!K$61*($W307^Transportation_LCIA!K$60)+Transportation_LCIA!K$62</f>
        <v>1.2188706109794917E-2</v>
      </c>
      <c r="AH307" s="137">
        <f>Transportation_LCIA!L$61*($W307^Transportation_LCIA!L$60)+Transportation_LCIA!L$62</f>
        <v>2.4310816549771977E-4</v>
      </c>
      <c r="AI307" s="137">
        <f>Transportation_LCIA!M$61*($W307^Transportation_LCIA!M$60)+Transportation_LCIA!M$62</f>
        <v>2.455450128432447E-4</v>
      </c>
      <c r="AJ307" s="137">
        <f>Transportation_LCIA!N$61*($W307^Transportation_LCIA!N$60)+Transportation_LCIA!N$62</f>
        <v>1.0016506819662974E-3</v>
      </c>
      <c r="AK307" s="137">
        <f>Transportation_LCIA!O$61*($W307^Transportation_LCIA!O$60)+Transportation_LCIA!O$62</f>
        <v>6.050134712780058E-5</v>
      </c>
      <c r="AL307" s="137">
        <f>Transportation_LCIA!P$61*($W307^Transportation_LCIA!P$60)+Transportation_LCIA!P$62</f>
        <v>2.9257301489528483E-8</v>
      </c>
      <c r="AM307" s="137">
        <f>Transportation_LCIA!Q$61*($W307^Transportation_LCIA!Q$60)+Transportation_LCIA!Q$62</f>
        <v>9.6216231090364335E-5</v>
      </c>
      <c r="AN307" s="137">
        <f>Transportation_LCIA!R$61*($W307^Transportation_LCIA!R$60)+Transportation_LCIA!R$62</f>
        <v>2.8896705818992006E-4</v>
      </c>
      <c r="AO307" s="137">
        <f>Transportation_LCIA!S$61*($W307^Transportation_LCIA!S$60)+Transportation_LCIA!S$62</f>
        <v>4.3584988519816731E-6</v>
      </c>
      <c r="AP307" s="137">
        <f>Transportation_LCIA!T$61*($W307^Transportation_LCIA!T$60)+Transportation_LCIA!T$62</f>
        <v>4.3584988519816731E-6</v>
      </c>
      <c r="AQ307" s="137">
        <f>Transportation_LCIA!U$61*($W307^Transportation_LCIA!U$60)+Transportation_LCIA!U$62</f>
        <v>6.204066649837317E-4</v>
      </c>
      <c r="AR307" s="137">
        <f>Transportation_LCIA!V$61*($W307^Transportation_LCIA!V$60)+Transportation_LCIA!V$62</f>
        <v>2.502258212971912E-4</v>
      </c>
      <c r="AT307" s="137">
        <f>$W307*Y307+$L307*Summary_LCIA!H$32</f>
        <v>290.90081626716187</v>
      </c>
      <c r="AU307" s="137">
        <f>$W307*Z307+$L307*Summary_LCIA!Q$32</f>
        <v>3245.3870240772094</v>
      </c>
      <c r="AV307" s="137">
        <f>$W307*AA307+$L307*Summary_LCIA!R$32</f>
        <v>2.0391399392108722</v>
      </c>
      <c r="AW307" s="137">
        <f>$W307*AB307+$L307*Summary_LCIA!S$32</f>
        <v>290.14038620716184</v>
      </c>
      <c r="AX307" s="137">
        <f>$W307*AC307+$L307*Summary_LCIA!T$32</f>
        <v>74.82409995891436</v>
      </c>
      <c r="AY307" s="137">
        <f>$W307*AD307+$L307*Summary_LCIA!U$32</f>
        <v>3.3557470379925389</v>
      </c>
      <c r="AZ307" s="137">
        <f>$W307*AE307+$L307*Summary_LCIA!V$32</f>
        <v>1.4085291420373847E-2</v>
      </c>
      <c r="BA307" s="137">
        <f>$W307*AF307+$L307*Summary_LCIA!W$32</f>
        <v>21.928604315207689</v>
      </c>
      <c r="BB307" s="137">
        <f>$W307*AG307+$L307*Summary_LCIA!X$32</f>
        <v>15.823593608346297</v>
      </c>
      <c r="BC307" s="137">
        <f>$W307*AH307+$L307*Summary_LCIA!Y$32</f>
        <v>2.9182126814026312</v>
      </c>
      <c r="BD307" s="137">
        <f>$W307*AI307+$L307*Summary_LCIA!Z$32</f>
        <v>0.24687398457290147</v>
      </c>
      <c r="BE307" s="137">
        <f>$W307*AJ307+$L307*Summary_LCIA!AA$32</f>
        <v>4.9965275579968509</v>
      </c>
      <c r="BF307" s="137">
        <f>$W307*AK307+$L307*Summary_LCIA!AB$32</f>
        <v>5.5335904663052903E-2</v>
      </c>
      <c r="BG307" s="137">
        <f>$W307*AL307+$L307*Summary_LCIA!AC$32</f>
        <v>3.6985143830741905E-5</v>
      </c>
      <c r="BH307" s="137">
        <f>$W307*AM307+$L307*Summary_LCIA!AD$32</f>
        <v>0.16468893319290318</v>
      </c>
      <c r="BI307" s="137">
        <f>$W307*AN307+$L307*Summary_LCIA!AE$32</f>
        <v>0.43468053935947437</v>
      </c>
      <c r="BJ307" s="137">
        <f>$W307*AO307+$L307*Summary_LCIA!AF$32</f>
        <v>0.14970544763693172</v>
      </c>
      <c r="BK307" s="137">
        <f>$W307*AP307+$L307*Summary_LCIA!AG$32</f>
        <v>1.3059434671931701E-2</v>
      </c>
      <c r="BL307" s="137">
        <f>$W307*AQ307+$L307*Summary_LCIA!AH$32</f>
        <v>2.1033316553330024</v>
      </c>
      <c r="BM307" s="137">
        <f>$W307*AR307+$L307*Summary_LCIA!AI$32</f>
        <v>0.40465697745303075</v>
      </c>
    </row>
    <row r="308" spans="1:65" x14ac:dyDescent="0.25">
      <c r="A308" s="149">
        <v>334</v>
      </c>
      <c r="B308" s="149">
        <v>29</v>
      </c>
      <c r="C308" s="61">
        <v>36.974117</v>
      </c>
      <c r="D308" s="61">
        <v>-122.030796</v>
      </c>
      <c r="E308" s="61" t="s">
        <v>265</v>
      </c>
      <c r="F308" s="149">
        <v>95</v>
      </c>
      <c r="G308" s="61" t="s">
        <v>723</v>
      </c>
      <c r="H308" s="61" t="s">
        <v>724</v>
      </c>
      <c r="I308" s="61">
        <v>37.363947000000003</v>
      </c>
      <c r="J308" s="61">
        <v>-121.928938</v>
      </c>
      <c r="K308" s="61">
        <v>85.919231850000003</v>
      </c>
      <c r="L308" s="61">
        <v>54.384999999999998</v>
      </c>
      <c r="M308" s="61" t="s">
        <v>617</v>
      </c>
      <c r="N308" s="149">
        <v>28</v>
      </c>
      <c r="O308" s="149">
        <v>29</v>
      </c>
      <c r="P308" s="61" t="s">
        <v>565</v>
      </c>
      <c r="Q308" s="61" t="s">
        <v>559</v>
      </c>
      <c r="R308" s="61">
        <v>47.450249900000003</v>
      </c>
      <c r="S308" s="61">
        <v>-122.30881650000001</v>
      </c>
      <c r="T308" s="61">
        <v>1380.702</v>
      </c>
      <c r="U308" s="61" t="s">
        <v>617</v>
      </c>
      <c r="V308" s="61" t="s">
        <v>569</v>
      </c>
      <c r="W308" s="61" cm="1">
        <f t="array" ref="W308">getDistance(I308,J308,R308,S308)*SA!$B$12</f>
        <v>1122.8885161222759</v>
      </c>
      <c r="Y308" s="137">
        <f>Transportation_LCIA!C$61*($W308^Transportation_LCIA!C$60)+Transportation_LCIA!C$62</f>
        <v>0.22406410080587294</v>
      </c>
      <c r="Z308" s="137">
        <f>Transportation_LCIA!D$61*($W308^Transportation_LCIA!D$60)+Transportation_LCIA!D$62</f>
        <v>2.2876891547268983</v>
      </c>
      <c r="AA308" s="137">
        <f>Transportation_LCIA!E$61*($W308^Transportation_LCIA!E$60)+Transportation_LCIA!E$62</f>
        <v>1.053724159324039E-3</v>
      </c>
      <c r="AB308" s="137">
        <f>Transportation_LCIA!F$61*($W308^Transportation_LCIA!F$60)+Transportation_LCIA!F$62</f>
        <v>0.22406410080587294</v>
      </c>
      <c r="AC308" s="137">
        <f>Transportation_LCIA!G$61*($W308^Transportation_LCIA!G$60)+Transportation_LCIA!G$62</f>
        <v>5.3499177250901447E-2</v>
      </c>
      <c r="AD308" s="137">
        <f>Transportation_LCIA!H$61*($W308^Transportation_LCIA!H$60)+Transportation_LCIA!H$62</f>
        <v>2.5690203206666127E-4</v>
      </c>
      <c r="AE308" s="137">
        <f>Transportation_LCIA!I$61*($W308^Transportation_LCIA!I$60)+Transportation_LCIA!I$62</f>
        <v>5.4204396335412955E-6</v>
      </c>
      <c r="AF308" s="137">
        <f>Transportation_LCIA!J$61*($W308^Transportation_LCIA!J$60)+Transportation_LCIA!J$62</f>
        <v>8.0190520461417836E-3</v>
      </c>
      <c r="AG308" s="137">
        <f>Transportation_LCIA!K$61*($W308^Transportation_LCIA!K$60)+Transportation_LCIA!K$62</f>
        <v>1.1313679973660994E-2</v>
      </c>
      <c r="AH308" s="137">
        <f>Transportation_LCIA!L$61*($W308^Transportation_LCIA!L$60)+Transportation_LCIA!L$62</f>
        <v>2.2160397302970679E-4</v>
      </c>
      <c r="AI308" s="137">
        <f>Transportation_LCIA!M$61*($W308^Transportation_LCIA!M$60)+Transportation_LCIA!M$62</f>
        <v>2.3262956020381003E-4</v>
      </c>
      <c r="AJ308" s="137">
        <f>Transportation_LCIA!N$61*($W308^Transportation_LCIA!N$60)+Transportation_LCIA!N$62</f>
        <v>9.2295162299593379E-4</v>
      </c>
      <c r="AK308" s="137">
        <f>Transportation_LCIA!O$61*($W308^Transportation_LCIA!O$60)+Transportation_LCIA!O$62</f>
        <v>5.6514002355368607E-5</v>
      </c>
      <c r="AL308" s="137">
        <f>Transportation_LCIA!P$61*($W308^Transportation_LCIA!P$60)+Transportation_LCIA!P$62</f>
        <v>2.7339923792184087E-8</v>
      </c>
      <c r="AM308" s="137">
        <f>Transportation_LCIA!Q$61*($W308^Transportation_LCIA!Q$60)+Transportation_LCIA!Q$62</f>
        <v>8.7810539654600102E-5</v>
      </c>
      <c r="AN308" s="137">
        <f>Transportation_LCIA!R$61*($W308^Transportation_LCIA!R$60)+Transportation_LCIA!R$62</f>
        <v>2.607706204398866E-4</v>
      </c>
      <c r="AO308" s="137">
        <f>Transportation_LCIA!S$61*($W308^Transportation_LCIA!S$60)+Transportation_LCIA!S$62</f>
        <v>3.9582973450462707E-6</v>
      </c>
      <c r="AP308" s="137">
        <f>Transportation_LCIA!T$61*($W308^Transportation_LCIA!T$60)+Transportation_LCIA!T$62</f>
        <v>3.9582973450462707E-6</v>
      </c>
      <c r="AQ308" s="137">
        <f>Transportation_LCIA!U$61*($W308^Transportation_LCIA!U$60)+Transportation_LCIA!U$62</f>
        <v>5.5859379412890307E-4</v>
      </c>
      <c r="AR308" s="137">
        <f>Transportation_LCIA!V$61*($W308^Transportation_LCIA!V$60)+Transportation_LCIA!V$62</f>
        <v>2.2836675907980154E-4</v>
      </c>
      <c r="AT308" s="137">
        <f>$W308*Y308+$L308*Summary_LCIA!H$32</f>
        <v>270.07902867017873</v>
      </c>
      <c r="AU308" s="137">
        <f>$W308*Z308+$L308*Summary_LCIA!Q$32</f>
        <v>2838.3546830990153</v>
      </c>
      <c r="AV308" s="137">
        <f>$W308*AA308+$L308*Summary_LCIA!R$32</f>
        <v>1.4695844136655627</v>
      </c>
      <c r="AW308" s="137">
        <f>$W308*AB308+$L308*Summary_LCIA!S$32</f>
        <v>269.83864697017873</v>
      </c>
      <c r="AX308" s="137">
        <f>$W308*AC308+$L308*Summary_LCIA!T$32</f>
        <v>66.050523257027351</v>
      </c>
      <c r="AY308" s="137">
        <f>$W308*AD308+$L308*Summary_LCIA!U$32</f>
        <v>1.2627252315761306</v>
      </c>
      <c r="AZ308" s="137">
        <f>$W308*AE308+$L308*Summary_LCIA!V$32</f>
        <v>8.6840314018375581E-3</v>
      </c>
      <c r="BA308" s="137">
        <f>$W308*AF308+$L308*Summary_LCIA!W$32</f>
        <v>13.190569287799446</v>
      </c>
      <c r="BB308" s="137">
        <f>$W308*AG308+$L308*Summary_LCIA!X$32</f>
        <v>13.942891617506502</v>
      </c>
      <c r="BC308" s="137">
        <f>$W308*AH308+$L308*Summary_LCIA!Y$32</f>
        <v>1.0962636264421282</v>
      </c>
      <c r="BD308" s="137">
        <f>$W308*AI308+$L308*Summary_LCIA!Z$32</f>
        <v>0.26344733612843391</v>
      </c>
      <c r="BE308" s="137">
        <f>$W308*AJ308+$L308*Summary_LCIA!AA$32</f>
        <v>2.3065878383985501</v>
      </c>
      <c r="BF308" s="137">
        <f>$W308*AK308+$L308*Summary_LCIA!AB$32</f>
        <v>6.2272080389950656E-2</v>
      </c>
      <c r="BG308" s="137">
        <f>$W308*AL308+$L308*Summary_LCIA!AC$32</f>
        <v>3.3358242797901699E-5</v>
      </c>
      <c r="BH308" s="137">
        <f>$W308*AM308+$L308*Summary_LCIA!AD$32</f>
        <v>0.12095585697265017</v>
      </c>
      <c r="BI308" s="137">
        <f>$W308*AN308+$L308*Summary_LCIA!AE$32</f>
        <v>0.34100851508402946</v>
      </c>
      <c r="BJ308" s="137">
        <f>$W308*AO308+$L308*Summary_LCIA!AF$32</f>
        <v>5.0422893332149755E-2</v>
      </c>
      <c r="BK308" s="137">
        <f>$W308*AP308+$L308*Summary_LCIA!AG$32</f>
        <v>7.2273351571497512E-3</v>
      </c>
      <c r="BL308" s="137">
        <f>$W308*AQ308+$L308*Summary_LCIA!AH$32</f>
        <v>1.100583842604516</v>
      </c>
      <c r="BM308" s="137">
        <f>$W308*AR308+$L308*Summary_LCIA!AI$32</f>
        <v>0.30709275798477159</v>
      </c>
    </row>
    <row r="309" spans="1:65" x14ac:dyDescent="0.25">
      <c r="A309" s="149">
        <v>290</v>
      </c>
      <c r="B309" s="149">
        <v>6</v>
      </c>
      <c r="C309" s="61">
        <v>30.421309000000001</v>
      </c>
      <c r="D309" s="61">
        <v>-87.216915</v>
      </c>
      <c r="E309" s="61" t="s">
        <v>265</v>
      </c>
      <c r="F309" s="149">
        <v>98</v>
      </c>
      <c r="G309" s="61" t="s">
        <v>713</v>
      </c>
      <c r="H309" s="61" t="s">
        <v>714</v>
      </c>
      <c r="I309" s="61">
        <v>29.991091000000001</v>
      </c>
      <c r="J309" s="61">
        <v>-90.259230000000002</v>
      </c>
      <c r="K309" s="61">
        <v>302.75969529999998</v>
      </c>
      <c r="L309" s="61">
        <v>342.399</v>
      </c>
      <c r="M309" s="61" t="s">
        <v>617</v>
      </c>
      <c r="N309" s="149">
        <v>5</v>
      </c>
      <c r="O309" s="149">
        <v>6</v>
      </c>
      <c r="P309" s="61" t="s">
        <v>565</v>
      </c>
      <c r="Q309" s="61" t="s">
        <v>564</v>
      </c>
      <c r="R309" s="61">
        <v>41.98028</v>
      </c>
      <c r="S309" s="61">
        <v>-87.908997900000003</v>
      </c>
      <c r="T309" s="61">
        <v>1495.1489999999999</v>
      </c>
      <c r="U309" s="61" t="s">
        <v>617</v>
      </c>
      <c r="V309" s="61" t="s">
        <v>569</v>
      </c>
      <c r="W309" s="61" cm="1">
        <f t="array" ref="W309">getDistance(I309,J309,R309,S309)*SA!$B$12</f>
        <v>1349.8306218678963</v>
      </c>
      <c r="Y309" s="137">
        <f>Transportation_LCIA!C$61*($W309^Transportation_LCIA!C$60)+Transportation_LCIA!C$62</f>
        <v>0.20801288224603856</v>
      </c>
      <c r="Z309" s="137">
        <f>Transportation_LCIA!D$61*($W309^Transportation_LCIA!D$60)+Transportation_LCIA!D$62</f>
        <v>2.1020713520322163</v>
      </c>
      <c r="AA309" s="137">
        <f>Transportation_LCIA!E$61*($W309^Transportation_LCIA!E$60)+Transportation_LCIA!E$62</f>
        <v>9.3199534224582881E-4</v>
      </c>
      <c r="AB309" s="137">
        <f>Transportation_LCIA!F$61*($W309^Transportation_LCIA!F$60)+Transportation_LCIA!F$62</f>
        <v>0.20801288224603856</v>
      </c>
      <c r="AC309" s="137">
        <f>Transportation_LCIA!G$61*($W309^Transportation_LCIA!G$60)+Transportation_LCIA!G$62</f>
        <v>4.9202485658922233E-2</v>
      </c>
      <c r="AD309" s="137">
        <f>Transportation_LCIA!H$61*($W309^Transportation_LCIA!H$60)+Transportation_LCIA!H$62</f>
        <v>2.3027146754317382E-4</v>
      </c>
      <c r="AE309" s="137">
        <f>Transportation_LCIA!I$61*($W309^Transportation_LCIA!I$60)+Transportation_LCIA!I$62</f>
        <v>4.7554938620881842E-6</v>
      </c>
      <c r="AF309" s="137">
        <f>Transportation_LCIA!J$61*($W309^Transportation_LCIA!J$60)+Transportation_LCIA!J$62</f>
        <v>7.0340266547689436E-3</v>
      </c>
      <c r="AG309" s="137">
        <f>Transportation_LCIA!K$61*($W309^Transportation_LCIA!K$60)+Transportation_LCIA!K$62</f>
        <v>1.0315298317133719E-2</v>
      </c>
      <c r="AH309" s="137">
        <f>Transportation_LCIA!L$61*($W309^Transportation_LCIA!L$60)+Transportation_LCIA!L$62</f>
        <v>1.9717823496531628E-4</v>
      </c>
      <c r="AI309" s="137">
        <f>Transportation_LCIA!M$61*($W309^Transportation_LCIA!M$60)+Transportation_LCIA!M$62</f>
        <v>2.1793644347759404E-4</v>
      </c>
      <c r="AJ309" s="137">
        <f>Transportation_LCIA!N$61*($W309^Transportation_LCIA!N$60)+Transportation_LCIA!N$62</f>
        <v>8.3335724645946727E-4</v>
      </c>
      <c r="AK309" s="137">
        <f>Transportation_LCIA!O$61*($W309^Transportation_LCIA!O$60)+Transportation_LCIA!O$62</f>
        <v>5.1949358329612822E-5</v>
      </c>
      <c r="AL309" s="137">
        <f>Transportation_LCIA!P$61*($W309^Transportation_LCIA!P$60)+Transportation_LCIA!P$62</f>
        <v>2.5143803133458951E-8</v>
      </c>
      <c r="AM309" s="137">
        <f>Transportation_LCIA!Q$61*($W309^Transportation_LCIA!Q$60)+Transportation_LCIA!Q$62</f>
        <v>7.8271982505673888E-5</v>
      </c>
      <c r="AN309" s="137">
        <f>Transportation_LCIA!R$61*($W309^Transportation_LCIA!R$60)+Transportation_LCIA!R$62</f>
        <v>2.2889077892715784E-4</v>
      </c>
      <c r="AO309" s="137">
        <f>Transportation_LCIA!S$61*($W309^Transportation_LCIA!S$60)+Transportation_LCIA!S$62</f>
        <v>3.5056897062849549E-6</v>
      </c>
      <c r="AP309" s="137">
        <f>Transportation_LCIA!T$61*($W309^Transportation_LCIA!T$60)+Transportation_LCIA!T$62</f>
        <v>3.5056897062849549E-6</v>
      </c>
      <c r="AQ309" s="137">
        <f>Transportation_LCIA!U$61*($W309^Transportation_LCIA!U$60)+Transportation_LCIA!U$62</f>
        <v>4.8878869207367895E-4</v>
      </c>
      <c r="AR309" s="137">
        <f>Transportation_LCIA!V$61*($W309^Transportation_LCIA!V$60)+Transportation_LCIA!V$62</f>
        <v>2.0359224667631099E-4</v>
      </c>
      <c r="AT309" s="137">
        <f>$W309*Y309+$L309*Summary_LCIA!H$32</f>
        <v>397.12933839870368</v>
      </c>
      <c r="AU309" s="137">
        <f>$W309*Z309+$L309*Summary_LCIA!Q$32</f>
        <v>4534.3869925331028</v>
      </c>
      <c r="AV309" s="137">
        <f>$W309*AA309+$L309*Summary_LCIA!R$32</f>
        <v>3.0609720268016698</v>
      </c>
      <c r="AW309" s="137">
        <f>$W309*AB309+$L309*Summary_LCIA!S$32</f>
        <v>395.61593481870375</v>
      </c>
      <c r="AX309" s="137">
        <f>$W309*AC309+$L309*Summary_LCIA!T$32</f>
        <v>104.04467191442924</v>
      </c>
      <c r="AY309" s="137">
        <f>$W309*AD309+$L309*Summary_LCIA!U$32</f>
        <v>6.4445631642322354</v>
      </c>
      <c r="AZ309" s="137">
        <f>$W309*AE309+$L309*Summary_LCIA!V$32</f>
        <v>2.2772429876151457E-2</v>
      </c>
      <c r="BA309" s="137">
        <f>$W309*AF309+$L309*Summary_LCIA!W$32</f>
        <v>35.84953800264212</v>
      </c>
      <c r="BB309" s="137">
        <f>$W309*AG309+$L309*Summary_LCIA!X$32</f>
        <v>21.72375476216947</v>
      </c>
      <c r="BC309" s="137">
        <f>$W309*AH309+$L309*Summary_LCIA!Y$32</f>
        <v>5.6014184375220477</v>
      </c>
      <c r="BD309" s="137">
        <f>$W309*AI309+$L309*Summary_LCIA!Z$32</f>
        <v>0.30821872561803837</v>
      </c>
      <c r="BE309" s="137">
        <f>$W309*AJ309+$L309*Summary_LCIA!AA$32</f>
        <v>9.1219621742264998</v>
      </c>
      <c r="BF309" s="137">
        <f>$W309*AK309+$L309*Summary_LCIA!AB$32</f>
        <v>6.2650661282699457E-2</v>
      </c>
      <c r="BG309" s="137">
        <f>$W309*AL309+$L309*Summary_LCIA!AC$32</f>
        <v>5.0677708135760855E-5</v>
      </c>
      <c r="BH309" s="137">
        <f>$W309*AM309+$L309*Summary_LCIA!AD$32</f>
        <v>0.24639360378046687</v>
      </c>
      <c r="BI309" s="137">
        <f>$W309*AN309+$L309*Summary_LCIA!AE$32</f>
        <v>0.61237380832907262</v>
      </c>
      <c r="BJ309" s="137">
        <f>$W309*AO309+$L309*Summary_LCIA!AF$32</f>
        <v>0.29420304989631052</v>
      </c>
      <c r="BK309" s="137">
        <f>$W309*AP309+$L309*Summary_LCIA!AG$32</f>
        <v>2.2250932151310507E-2</v>
      </c>
      <c r="BL309" s="137">
        <f>$W309*AQ309+$L309*Summary_LCIA!AH$32</f>
        <v>3.6398858805838099</v>
      </c>
      <c r="BM309" s="137">
        <f>$W309*AR309+$L309*Summary_LCIA!AI$32</f>
        <v>0.59377683738856701</v>
      </c>
    </row>
    <row r="310" spans="1:65" x14ac:dyDescent="0.25">
      <c r="A310" s="149">
        <v>103</v>
      </c>
      <c r="B310" s="149">
        <v>6</v>
      </c>
      <c r="C310" s="61">
        <v>32.890006</v>
      </c>
      <c r="D310" s="61">
        <v>-96.949909000000005</v>
      </c>
      <c r="E310" s="61" t="s">
        <v>265</v>
      </c>
      <c r="F310" s="149">
        <v>10</v>
      </c>
      <c r="G310" s="61" t="s">
        <v>565</v>
      </c>
      <c r="H310" s="61" t="s">
        <v>670</v>
      </c>
      <c r="I310" s="61">
        <v>32.899808999999998</v>
      </c>
      <c r="J310" s="61">
        <v>-97.040334999999999</v>
      </c>
      <c r="K310" s="61">
        <v>8.8253574990000008</v>
      </c>
      <c r="L310" s="61">
        <v>16.529</v>
      </c>
      <c r="M310" s="61" t="s">
        <v>617</v>
      </c>
      <c r="N310" s="149">
        <v>5</v>
      </c>
      <c r="O310" s="149">
        <v>6</v>
      </c>
      <c r="P310" s="61" t="s">
        <v>565</v>
      </c>
      <c r="Q310" s="61" t="s">
        <v>564</v>
      </c>
      <c r="R310" s="61">
        <v>41.98028</v>
      </c>
      <c r="S310" s="61">
        <v>-87.908997900000003</v>
      </c>
      <c r="T310" s="61">
        <v>1496.624</v>
      </c>
      <c r="U310" s="61" t="s">
        <v>617</v>
      </c>
      <c r="V310" s="61" t="s">
        <v>569</v>
      </c>
      <c r="W310" s="61" cm="1">
        <f t="array" ref="W310">getDistance(I310,J310,R310,S310)*SA!$B$12</f>
        <v>1291.7872894344653</v>
      </c>
      <c r="Y310" s="137">
        <f>Transportation_LCIA!C$61*($W310^Transportation_LCIA!C$60)+Transportation_LCIA!C$62</f>
        <v>0.21162337694705974</v>
      </c>
      <c r="Z310" s="137">
        <f>Transportation_LCIA!D$61*($W310^Transportation_LCIA!D$60)+Transportation_LCIA!D$62</f>
        <v>2.1436925093962591</v>
      </c>
      <c r="AA310" s="137">
        <f>Transportation_LCIA!E$61*($W310^Transportation_LCIA!E$60)+Transportation_LCIA!E$62</f>
        <v>9.5926653653794739E-4</v>
      </c>
      <c r="AB310" s="137">
        <f>Transportation_LCIA!F$61*($W310^Transportation_LCIA!F$60)+Transportation_LCIA!F$62</f>
        <v>0.21162337694705974</v>
      </c>
      <c r="AC310" s="137">
        <f>Transportation_LCIA!G$61*($W310^Transportation_LCIA!G$60)+Transportation_LCIA!G$62</f>
        <v>5.0166111254428214E-2</v>
      </c>
      <c r="AD310" s="137">
        <f>Transportation_LCIA!H$61*($W310^Transportation_LCIA!H$60)+Transportation_LCIA!H$62</f>
        <v>2.362271635301581E-4</v>
      </c>
      <c r="AE310" s="137">
        <f>Transportation_LCIA!I$61*($W310^Transportation_LCIA!I$60)+Transportation_LCIA!I$62</f>
        <v>4.9037849811358031E-6</v>
      </c>
      <c r="AF310" s="137">
        <f>Transportation_LCIA!J$61*($W310^Transportation_LCIA!J$60)+Transportation_LCIA!J$62</f>
        <v>7.2532951539258875E-3</v>
      </c>
      <c r="AG310" s="137">
        <f>Transportation_LCIA!K$61*($W310^Transportation_LCIA!K$60)+Transportation_LCIA!K$62</f>
        <v>1.0538851486483609E-2</v>
      </c>
      <c r="AH310" s="137">
        <f>Transportation_LCIA!L$61*($W310^Transportation_LCIA!L$60)+Transportation_LCIA!L$62</f>
        <v>2.0263646324956692E-4</v>
      </c>
      <c r="AI310" s="137">
        <f>Transportation_LCIA!M$61*($W310^Transportation_LCIA!M$60)+Transportation_LCIA!M$62</f>
        <v>2.2122211944254895E-4</v>
      </c>
      <c r="AJ310" s="137">
        <f>Transportation_LCIA!N$61*($W310^Transportation_LCIA!N$60)+Transportation_LCIA!N$62</f>
        <v>8.5339873787620762E-4</v>
      </c>
      <c r="AK310" s="137">
        <f>Transportation_LCIA!O$61*($W310^Transportation_LCIA!O$60)+Transportation_LCIA!O$62</f>
        <v>5.2972989604295252E-5</v>
      </c>
      <c r="AL310" s="137">
        <f>Transportation_LCIA!P$61*($W310^Transportation_LCIA!P$60)+Transportation_LCIA!P$62</f>
        <v>2.5636403079485934E-8</v>
      </c>
      <c r="AM310" s="137">
        <f>Transportation_LCIA!Q$61*($W310^Transportation_LCIA!Q$60)+Transportation_LCIA!Q$62</f>
        <v>8.0402568993147012E-5</v>
      </c>
      <c r="AN310" s="137">
        <f>Transportation_LCIA!R$61*($W310^Transportation_LCIA!R$60)+Transportation_LCIA!R$62</f>
        <v>2.3599989309131735E-4</v>
      </c>
      <c r="AO310" s="137">
        <f>Transportation_LCIA!S$61*($W310^Transportation_LCIA!S$60)+Transportation_LCIA!S$62</f>
        <v>3.6066326626138448E-6</v>
      </c>
      <c r="AP310" s="137">
        <f>Transportation_LCIA!T$61*($W310^Transportation_LCIA!T$60)+Transportation_LCIA!T$62</f>
        <v>3.6066326626138448E-6</v>
      </c>
      <c r="AQ310" s="137">
        <f>Transportation_LCIA!U$61*($W310^Transportation_LCIA!U$60)+Transportation_LCIA!U$62</f>
        <v>5.0434671044135519E-4</v>
      </c>
      <c r="AR310" s="137">
        <f>Transportation_LCIA!V$61*($W310^Transportation_LCIA!V$60)+Transportation_LCIA!V$62</f>
        <v>2.0912294122374305E-4</v>
      </c>
      <c r="AT310" s="137">
        <f>$W310*Y310+$L310*Summary_LCIA!H$32</f>
        <v>278.98894268741037</v>
      </c>
      <c r="AU310" s="137">
        <f>$W310*Z310+$L310*Summary_LCIA!Q$32</f>
        <v>2851.1132937010179</v>
      </c>
      <c r="AV310" s="137">
        <f>$W310*AA310+$L310*Summary_LCIA!R$32</f>
        <v>1.3262034214795424</v>
      </c>
      <c r="AW310" s="137">
        <f>$W310*AB310+$L310*Summary_LCIA!S$32</f>
        <v>278.9158845074104</v>
      </c>
      <c r="AX310" s="137">
        <f>$W310*AC310+$L310*Summary_LCIA!T$32</f>
        <v>66.620481978825651</v>
      </c>
      <c r="AY310" s="137">
        <f>$W310*AD310+$L310*Summary_LCIA!U$32</f>
        <v>0.60125575326741509</v>
      </c>
      <c r="AZ310" s="137">
        <f>$W310*AE310+$L310*Summary_LCIA!V$32</f>
        <v>7.1240886777508595E-3</v>
      </c>
      <c r="BA310" s="137">
        <f>$W310*AF310+$L310*Summary_LCIA!W$32</f>
        <v>10.641968145358065</v>
      </c>
      <c r="BB310" s="137">
        <f>$W310*AG310+$L310*Summary_LCIA!X$32</f>
        <v>13.990485015477047</v>
      </c>
      <c r="BC310" s="137">
        <f>$W310*AH310+$L310*Summary_LCIA!Y$32</f>
        <v>0.51931808560174475</v>
      </c>
      <c r="BD310" s="137">
        <f>$W310*AI310+$L310*Summary_LCIA!Z$32</f>
        <v>0.28644975979863785</v>
      </c>
      <c r="BE310" s="137">
        <f>$W310*AJ310+$L310*Summary_LCIA!AA$32</f>
        <v>1.4884609664078998</v>
      </c>
      <c r="BF310" s="137">
        <f>$W310*AK310+$L310*Summary_LCIA!AB$32</f>
        <v>6.806912228717267E-2</v>
      </c>
      <c r="BG310" s="137">
        <f>$W310*AL310+$L310*Summary_LCIA!AC$32</f>
        <v>3.3924783280898512E-5</v>
      </c>
      <c r="BH310" s="137">
        <f>$W310*AM310+$L310*Summary_LCIA!AD$32</f>
        <v>0.11065709682322497</v>
      </c>
      <c r="BI310" s="137">
        <f>$W310*AN310+$L310*Summary_LCIA!AE$32</f>
        <v>0.31950850497325645</v>
      </c>
      <c r="BJ310" s="137">
        <f>$W310*AO310+$L310*Summary_LCIA!AF$32</f>
        <v>1.8632949411223749E-2</v>
      </c>
      <c r="BK310" s="137">
        <f>$W310*AP310+$L310*Summary_LCIA!AG$32</f>
        <v>5.5047085162237466E-3</v>
      </c>
      <c r="BL310" s="137">
        <f>$W310*AQ310+$L310*Summary_LCIA!AH$32</f>
        <v>0.79537047441622732</v>
      </c>
      <c r="BM310" s="137">
        <f>$W310*AR310+$L310*Summary_LCIA!AI$32</f>
        <v>0.28553994735198207</v>
      </c>
    </row>
    <row r="311" spans="1:65" x14ac:dyDescent="0.25">
      <c r="A311" s="149">
        <v>222</v>
      </c>
      <c r="B311" s="149">
        <v>6</v>
      </c>
      <c r="C311" s="61">
        <v>40.585259999999998</v>
      </c>
      <c r="D311" s="61">
        <v>-105.084423</v>
      </c>
      <c r="E311" s="61" t="s">
        <v>265</v>
      </c>
      <c r="F311" s="149">
        <v>16</v>
      </c>
      <c r="G311" s="61" t="s">
        <v>565</v>
      </c>
      <c r="H311" s="61" t="s">
        <v>645</v>
      </c>
      <c r="I311" s="61">
        <v>39.856096000000001</v>
      </c>
      <c r="J311" s="61">
        <v>-104.673738</v>
      </c>
      <c r="K311" s="61">
        <v>156.25087780000001</v>
      </c>
      <c r="L311" s="61">
        <v>114.667</v>
      </c>
      <c r="M311" s="61" t="s">
        <v>617</v>
      </c>
      <c r="N311" s="149">
        <v>5</v>
      </c>
      <c r="O311" s="149">
        <v>6</v>
      </c>
      <c r="P311" s="61" t="s">
        <v>565</v>
      </c>
      <c r="Q311" s="61" t="s">
        <v>564</v>
      </c>
      <c r="R311" s="61">
        <v>41.98028</v>
      </c>
      <c r="S311" s="61">
        <v>-87.908997900000003</v>
      </c>
      <c r="T311" s="61">
        <v>1576.604</v>
      </c>
      <c r="U311" s="61" t="s">
        <v>617</v>
      </c>
      <c r="V311" s="61" t="s">
        <v>569</v>
      </c>
      <c r="W311" s="61" cm="1">
        <f t="array" ref="W311">getDistance(I311,J311,R311,S311)*SA!$B$12</f>
        <v>1429.4950991616145</v>
      </c>
      <c r="Y311" s="137">
        <f>Transportation_LCIA!C$61*($W311^Transportation_LCIA!C$60)+Transportation_LCIA!C$62</f>
        <v>0.20349821617970421</v>
      </c>
      <c r="Z311" s="137">
        <f>Transportation_LCIA!D$61*($W311^Transportation_LCIA!D$60)+Transportation_LCIA!D$62</f>
        <v>2.0501411564925682</v>
      </c>
      <c r="AA311" s="137">
        <f>Transportation_LCIA!E$61*($W311^Transportation_LCIA!E$60)+Transportation_LCIA!E$62</f>
        <v>8.9799039356792888E-4</v>
      </c>
      <c r="AB311" s="137">
        <f>Transportation_LCIA!F$61*($W311^Transportation_LCIA!F$60)+Transportation_LCIA!F$62</f>
        <v>0.20349821617970421</v>
      </c>
      <c r="AC311" s="137">
        <f>Transportation_LCIA!G$61*($W311^Transportation_LCIA!G$60)+Transportation_LCIA!G$62</f>
        <v>4.8000028211733513E-2</v>
      </c>
      <c r="AD311" s="137">
        <f>Transportation_LCIA!H$61*($W311^Transportation_LCIA!H$60)+Transportation_LCIA!H$62</f>
        <v>2.2285424318591637E-4</v>
      </c>
      <c r="AE311" s="137">
        <f>Transportation_LCIA!I$61*($W311^Transportation_LCIA!I$60)+Transportation_LCIA!I$62</f>
        <v>4.571174071441499E-6</v>
      </c>
      <c r="AF311" s="137">
        <f>Transportation_LCIA!J$61*($W311^Transportation_LCIA!J$60)+Transportation_LCIA!J$62</f>
        <v>6.7618339751164165E-3</v>
      </c>
      <c r="AG311" s="137">
        <f>Transportation_LCIA!K$61*($W311^Transportation_LCIA!K$60)+Transportation_LCIA!K$62</f>
        <v>1.0036647213890358E-2</v>
      </c>
      <c r="AH311" s="137">
        <f>Transportation_LCIA!L$61*($W311^Transportation_LCIA!L$60)+Transportation_LCIA!L$62</f>
        <v>1.9038435373879868E-4</v>
      </c>
      <c r="AI311" s="137">
        <f>Transportation_LCIA!M$61*($W311^Transportation_LCIA!M$60)+Transportation_LCIA!M$62</f>
        <v>2.1384473386264609E-4</v>
      </c>
      <c r="AJ311" s="137">
        <f>Transportation_LCIA!N$61*($W311^Transportation_LCIA!N$60)+Transportation_LCIA!N$62</f>
        <v>8.0839367892004054E-4</v>
      </c>
      <c r="AK311" s="137">
        <f>Transportation_LCIA!O$61*($W311^Transportation_LCIA!O$60)+Transportation_LCIA!O$62</f>
        <v>5.067209999252372E-5</v>
      </c>
      <c r="AL311" s="137">
        <f>Transportation_LCIA!P$61*($W311^Transportation_LCIA!P$60)+Transportation_LCIA!P$62</f>
        <v>2.4529050433273688E-8</v>
      </c>
      <c r="AM311" s="137">
        <f>Transportation_LCIA!Q$61*($W311^Transportation_LCIA!Q$60)+Transportation_LCIA!Q$62</f>
        <v>7.5620829602403238E-5</v>
      </c>
      <c r="AN311" s="137">
        <f>Transportation_LCIA!R$61*($W311^Transportation_LCIA!R$60)+Transportation_LCIA!R$62</f>
        <v>2.2005485991627286E-4</v>
      </c>
      <c r="AO311" s="137">
        <f>Transportation_LCIA!S$61*($W311^Transportation_LCIA!S$60)+Transportation_LCIA!S$62</f>
        <v>3.3802166707550345E-6</v>
      </c>
      <c r="AP311" s="137">
        <f>Transportation_LCIA!T$61*($W311^Transportation_LCIA!T$60)+Transportation_LCIA!T$62</f>
        <v>3.3802166707550345E-6</v>
      </c>
      <c r="AQ311" s="137">
        <f>Transportation_LCIA!U$61*($W311^Transportation_LCIA!U$60)+Transportation_LCIA!U$62</f>
        <v>4.6945882310058874E-4</v>
      </c>
      <c r="AR311" s="137">
        <f>Transportation_LCIA!V$61*($W311^Transportation_LCIA!V$60)+Transportation_LCIA!V$62</f>
        <v>1.9671290669076797E-4</v>
      </c>
      <c r="AT311" s="137">
        <f>$W311*Y311+$L311*Summary_LCIA!H$32</f>
        <v>329.86354931701794</v>
      </c>
      <c r="AU311" s="137">
        <f>$W311*Z311+$L311*Summary_LCIA!Q$32</f>
        <v>3498.9621707964616</v>
      </c>
      <c r="AV311" s="137">
        <f>$W311*AA311+$L311*Summary_LCIA!R$32</f>
        <v>1.8874634218995636</v>
      </c>
      <c r="AW311" s="137">
        <f>$W311*AB311+$L311*Summary_LCIA!S$32</f>
        <v>329.3567211770179</v>
      </c>
      <c r="AX311" s="137">
        <f>$W311*AC311+$L311*Summary_LCIA!T$32</f>
        <v>81.217708388292294</v>
      </c>
      <c r="AY311" s="137">
        <f>$W311*AD311+$L311*Summary_LCIA!U$32</f>
        <v>2.3727136864616378</v>
      </c>
      <c r="AZ311" s="137">
        <f>$W311*AE311+$L311*Summary_LCIA!V$32</f>
        <v>1.2011081519540267E-2</v>
      </c>
      <c r="BA311" s="137">
        <f>$W311*AF311+$L311*Summary_LCIA!W$32</f>
        <v>18.492042185773414</v>
      </c>
      <c r="BB311" s="137">
        <f>$W311*AG311+$L311*Summary_LCIA!X$32</f>
        <v>16.95945226427034</v>
      </c>
      <c r="BC311" s="137">
        <f>$W311*AH311+$L311*Summary_LCIA!Y$32</f>
        <v>2.0588946946266637</v>
      </c>
      <c r="BD311" s="137">
        <f>$W311*AI311+$L311*Summary_LCIA!Z$32</f>
        <v>0.31039237804117237</v>
      </c>
      <c r="BE311" s="137">
        <f>$W311*AJ311+$L311*Summary_LCIA!AA$32</f>
        <v>3.8337572542094258</v>
      </c>
      <c r="BF311" s="137">
        <f>$W311*AK311+$L311*Summary_LCIA!AB$32</f>
        <v>6.9933140662539944E-2</v>
      </c>
      <c r="BG311" s="137">
        <f>$W311*AL311+$L311*Summary_LCIA!AC$32</f>
        <v>4.0669539009452814E-5</v>
      </c>
      <c r="BH311" s="137">
        <f>$W311*AM311+$L311*Summary_LCIA!AD$32</f>
        <v>0.15523232899117095</v>
      </c>
      <c r="BI311" s="137">
        <f>$W311*AN311+$L311*Summary_LCIA!AE$32</f>
        <v>0.41617721250700768</v>
      </c>
      <c r="BJ311" s="137">
        <f>$W311*AO311+$L311*Summary_LCIA!AF$32</f>
        <v>0.10177377830494871</v>
      </c>
      <c r="BK311" s="137">
        <f>$W311*AP311+$L311*Summary_LCIA!AG$32</f>
        <v>1.0698940219948711E-2</v>
      </c>
      <c r="BL311" s="137">
        <f>$W311*AQ311+$L311*Summary_LCIA!AH$32</f>
        <v>1.669104788080471</v>
      </c>
      <c r="BM311" s="137">
        <f>$W311*AR311+$L311*Summary_LCIA!AI$32</f>
        <v>0.38801817990628873</v>
      </c>
    </row>
    <row r="312" spans="1:65" x14ac:dyDescent="0.25">
      <c r="A312" s="149">
        <v>219</v>
      </c>
      <c r="B312" s="149">
        <v>6</v>
      </c>
      <c r="C312" s="61">
        <v>40.570262999999997</v>
      </c>
      <c r="D312" s="61">
        <v>-105.090346</v>
      </c>
      <c r="E312" s="61" t="s">
        <v>265</v>
      </c>
      <c r="F312" s="149">
        <v>16</v>
      </c>
      <c r="G312" s="61" t="s">
        <v>565</v>
      </c>
      <c r="H312" s="61" t="s">
        <v>645</v>
      </c>
      <c r="I312" s="61">
        <v>39.856096000000001</v>
      </c>
      <c r="J312" s="61">
        <v>-104.673738</v>
      </c>
      <c r="K312" s="61">
        <v>153.5848848</v>
      </c>
      <c r="L312" s="61">
        <v>113.407</v>
      </c>
      <c r="M312" s="61" t="s">
        <v>617</v>
      </c>
      <c r="N312" s="149">
        <v>5</v>
      </c>
      <c r="O312" s="149">
        <v>6</v>
      </c>
      <c r="P312" s="61" t="s">
        <v>565</v>
      </c>
      <c r="Q312" s="61" t="s">
        <v>564</v>
      </c>
      <c r="R312" s="61">
        <v>41.98028</v>
      </c>
      <c r="S312" s="61">
        <v>-87.908997900000003</v>
      </c>
      <c r="T312" s="61">
        <v>1578.402</v>
      </c>
      <c r="U312" s="61" t="s">
        <v>617</v>
      </c>
      <c r="V312" s="61" t="s">
        <v>569</v>
      </c>
      <c r="W312" s="61" cm="1">
        <f t="array" ref="W312">getDistance(I312,J312,R312,S312)*SA!$B$12</f>
        <v>1429.4950991616145</v>
      </c>
      <c r="Y312" s="137">
        <f>Transportation_LCIA!C$61*($W312^Transportation_LCIA!C$60)+Transportation_LCIA!C$62</f>
        <v>0.20349821617970421</v>
      </c>
      <c r="Z312" s="137">
        <f>Transportation_LCIA!D$61*($W312^Transportation_LCIA!D$60)+Transportation_LCIA!D$62</f>
        <v>2.0501411564925682</v>
      </c>
      <c r="AA312" s="137">
        <f>Transportation_LCIA!E$61*($W312^Transportation_LCIA!E$60)+Transportation_LCIA!E$62</f>
        <v>8.9799039356792888E-4</v>
      </c>
      <c r="AB312" s="137">
        <f>Transportation_LCIA!F$61*($W312^Transportation_LCIA!F$60)+Transportation_LCIA!F$62</f>
        <v>0.20349821617970421</v>
      </c>
      <c r="AC312" s="137">
        <f>Transportation_LCIA!G$61*($W312^Transportation_LCIA!G$60)+Transportation_LCIA!G$62</f>
        <v>4.8000028211733513E-2</v>
      </c>
      <c r="AD312" s="137">
        <f>Transportation_LCIA!H$61*($W312^Transportation_LCIA!H$60)+Transportation_LCIA!H$62</f>
        <v>2.2285424318591637E-4</v>
      </c>
      <c r="AE312" s="137">
        <f>Transportation_LCIA!I$61*($W312^Transportation_LCIA!I$60)+Transportation_LCIA!I$62</f>
        <v>4.571174071441499E-6</v>
      </c>
      <c r="AF312" s="137">
        <f>Transportation_LCIA!J$61*($W312^Transportation_LCIA!J$60)+Transportation_LCIA!J$62</f>
        <v>6.7618339751164165E-3</v>
      </c>
      <c r="AG312" s="137">
        <f>Transportation_LCIA!K$61*($W312^Transportation_LCIA!K$60)+Transportation_LCIA!K$62</f>
        <v>1.0036647213890358E-2</v>
      </c>
      <c r="AH312" s="137">
        <f>Transportation_LCIA!L$61*($W312^Transportation_LCIA!L$60)+Transportation_LCIA!L$62</f>
        <v>1.9038435373879868E-4</v>
      </c>
      <c r="AI312" s="137">
        <f>Transportation_LCIA!M$61*($W312^Transportation_LCIA!M$60)+Transportation_LCIA!M$62</f>
        <v>2.1384473386264609E-4</v>
      </c>
      <c r="AJ312" s="137">
        <f>Transportation_LCIA!N$61*($W312^Transportation_LCIA!N$60)+Transportation_LCIA!N$62</f>
        <v>8.0839367892004054E-4</v>
      </c>
      <c r="AK312" s="137">
        <f>Transportation_LCIA!O$61*($W312^Transportation_LCIA!O$60)+Transportation_LCIA!O$62</f>
        <v>5.067209999252372E-5</v>
      </c>
      <c r="AL312" s="137">
        <f>Transportation_LCIA!P$61*($W312^Transportation_LCIA!P$60)+Transportation_LCIA!P$62</f>
        <v>2.4529050433273688E-8</v>
      </c>
      <c r="AM312" s="137">
        <f>Transportation_LCIA!Q$61*($W312^Transportation_LCIA!Q$60)+Transportation_LCIA!Q$62</f>
        <v>7.5620829602403238E-5</v>
      </c>
      <c r="AN312" s="137">
        <f>Transportation_LCIA!R$61*($W312^Transportation_LCIA!R$60)+Transportation_LCIA!R$62</f>
        <v>2.2005485991627286E-4</v>
      </c>
      <c r="AO312" s="137">
        <f>Transportation_LCIA!S$61*($W312^Transportation_LCIA!S$60)+Transportation_LCIA!S$62</f>
        <v>3.3802166707550345E-6</v>
      </c>
      <c r="AP312" s="137">
        <f>Transportation_LCIA!T$61*($W312^Transportation_LCIA!T$60)+Transportation_LCIA!T$62</f>
        <v>3.3802166707550345E-6</v>
      </c>
      <c r="AQ312" s="137">
        <f>Transportation_LCIA!U$61*($W312^Transportation_LCIA!U$60)+Transportation_LCIA!U$62</f>
        <v>4.6945882310058874E-4</v>
      </c>
      <c r="AR312" s="137">
        <f>Transportation_LCIA!V$61*($W312^Transportation_LCIA!V$60)+Transportation_LCIA!V$62</f>
        <v>1.9671290669076797E-4</v>
      </c>
      <c r="AT312" s="137">
        <f>$W312*Y312+$L312*Summary_LCIA!H$32</f>
        <v>329.43540131701792</v>
      </c>
      <c r="AU312" s="137">
        <f>$W312*Z312+$L312*Summary_LCIA!Q$32</f>
        <v>3492.7175472508816</v>
      </c>
      <c r="AV312" s="137">
        <f>$W312*AA312+$L312*Summary_LCIA!R$32</f>
        <v>1.8808287658995635</v>
      </c>
      <c r="AW312" s="137">
        <f>$W312*AB312+$L312*Summary_LCIA!S$32</f>
        <v>328.93414237701791</v>
      </c>
      <c r="AX312" s="137">
        <f>$W312*AC312+$L312*Summary_LCIA!T$32</f>
        <v>81.079234388292292</v>
      </c>
      <c r="AY312" s="137">
        <f>$W312*AD312+$L312*Summary_LCIA!U$32</f>
        <v>2.3501420464616376</v>
      </c>
      <c r="AZ312" s="137">
        <f>$W312*AE312+$L312*Summary_LCIA!V$32</f>
        <v>1.1950902659540266E-2</v>
      </c>
      <c r="BA312" s="137">
        <f>$W312*AF312+$L312*Summary_LCIA!W$32</f>
        <v>18.395058725773417</v>
      </c>
      <c r="BB312" s="137">
        <f>$W312*AG312+$L312*Summary_LCIA!X$32</f>
        <v>16.930749464270338</v>
      </c>
      <c r="BC312" s="137">
        <f>$W312*AH312+$L312*Summary_LCIA!Y$32</f>
        <v>2.0392613746266637</v>
      </c>
      <c r="BD312" s="137">
        <f>$W312*AI312+$L312*Summary_LCIA!Z$32</f>
        <v>0.31034070670117236</v>
      </c>
      <c r="BE312" s="137">
        <f>$W312*AJ312+$L312*Summary_LCIA!AA$32</f>
        <v>3.8043286942094254</v>
      </c>
      <c r="BF312" s="137">
        <f>$W312*AK312+$L312*Summary_LCIA!AB$32</f>
        <v>6.9960637642539944E-2</v>
      </c>
      <c r="BG312" s="137">
        <f>$W312*AL312+$L312*Summary_LCIA!AC$32</f>
        <v>4.0607945169452815E-5</v>
      </c>
      <c r="BH312" s="137">
        <f>$W312*AM312+$L312*Summary_LCIA!AD$32</f>
        <v>0.15471441859117097</v>
      </c>
      <c r="BI312" s="137">
        <f>$W312*AN312+$L312*Summary_LCIA!AE$32</f>
        <v>0.41506068870700769</v>
      </c>
      <c r="BJ312" s="137">
        <f>$W312*AO312+$L312*Summary_LCIA!AF$32</f>
        <v>0.10070854910494871</v>
      </c>
      <c r="BK312" s="137">
        <f>$W312*AP312+$L312*Summary_LCIA!AG$32</f>
        <v>1.0634472319948711E-2</v>
      </c>
      <c r="BL312" s="137">
        <f>$W312*AQ312+$L312*Summary_LCIA!AH$32</f>
        <v>1.6581382520804708</v>
      </c>
      <c r="BM312" s="137">
        <f>$W312*AR312+$L312*Summary_LCIA!AI$32</f>
        <v>0.38684442690628873</v>
      </c>
    </row>
    <row r="313" spans="1:65" x14ac:dyDescent="0.25">
      <c r="A313" s="149">
        <v>220</v>
      </c>
      <c r="B313" s="149">
        <v>6</v>
      </c>
      <c r="C313" s="61">
        <v>40.570262999999997</v>
      </c>
      <c r="D313" s="61">
        <v>-105.090346</v>
      </c>
      <c r="E313" s="61" t="s">
        <v>265</v>
      </c>
      <c r="F313" s="149">
        <v>16</v>
      </c>
      <c r="G313" s="61" t="s">
        <v>565</v>
      </c>
      <c r="H313" s="61" t="s">
        <v>645</v>
      </c>
      <c r="I313" s="61">
        <v>39.856096000000001</v>
      </c>
      <c r="J313" s="61">
        <v>-104.673738</v>
      </c>
      <c r="K313" s="61">
        <v>153.5848848</v>
      </c>
      <c r="L313" s="61">
        <v>113.407</v>
      </c>
      <c r="M313" s="61" t="s">
        <v>617</v>
      </c>
      <c r="N313" s="149">
        <v>5</v>
      </c>
      <c r="O313" s="149">
        <v>6</v>
      </c>
      <c r="P313" s="61" t="s">
        <v>565</v>
      </c>
      <c r="Q313" s="61" t="s">
        <v>564</v>
      </c>
      <c r="R313" s="61">
        <v>41.98028</v>
      </c>
      <c r="S313" s="61">
        <v>-87.908997900000003</v>
      </c>
      <c r="T313" s="61">
        <v>1578.402</v>
      </c>
      <c r="U313" s="61" t="s">
        <v>617</v>
      </c>
      <c r="V313" s="61" t="s">
        <v>569</v>
      </c>
      <c r="W313" s="61" cm="1">
        <f t="array" ref="W313">getDistance(I313,J313,R313,S313)*SA!$B$12</f>
        <v>1429.4950991616145</v>
      </c>
      <c r="Y313" s="137">
        <f>Transportation_LCIA!C$61*($W313^Transportation_LCIA!C$60)+Transportation_LCIA!C$62</f>
        <v>0.20349821617970421</v>
      </c>
      <c r="Z313" s="137">
        <f>Transportation_LCIA!D$61*($W313^Transportation_LCIA!D$60)+Transportation_LCIA!D$62</f>
        <v>2.0501411564925682</v>
      </c>
      <c r="AA313" s="137">
        <f>Transportation_LCIA!E$61*($W313^Transportation_LCIA!E$60)+Transportation_LCIA!E$62</f>
        <v>8.9799039356792888E-4</v>
      </c>
      <c r="AB313" s="137">
        <f>Transportation_LCIA!F$61*($W313^Transportation_LCIA!F$60)+Transportation_LCIA!F$62</f>
        <v>0.20349821617970421</v>
      </c>
      <c r="AC313" s="137">
        <f>Transportation_LCIA!G$61*($W313^Transportation_LCIA!G$60)+Transportation_LCIA!G$62</f>
        <v>4.8000028211733513E-2</v>
      </c>
      <c r="AD313" s="137">
        <f>Transportation_LCIA!H$61*($W313^Transportation_LCIA!H$60)+Transportation_LCIA!H$62</f>
        <v>2.2285424318591637E-4</v>
      </c>
      <c r="AE313" s="137">
        <f>Transportation_LCIA!I$61*($W313^Transportation_LCIA!I$60)+Transportation_LCIA!I$62</f>
        <v>4.571174071441499E-6</v>
      </c>
      <c r="AF313" s="137">
        <f>Transportation_LCIA!J$61*($W313^Transportation_LCIA!J$60)+Transportation_LCIA!J$62</f>
        <v>6.7618339751164165E-3</v>
      </c>
      <c r="AG313" s="137">
        <f>Transportation_LCIA!K$61*($W313^Transportation_LCIA!K$60)+Transportation_LCIA!K$62</f>
        <v>1.0036647213890358E-2</v>
      </c>
      <c r="AH313" s="137">
        <f>Transportation_LCIA!L$61*($W313^Transportation_LCIA!L$60)+Transportation_LCIA!L$62</f>
        <v>1.9038435373879868E-4</v>
      </c>
      <c r="AI313" s="137">
        <f>Transportation_LCIA!M$61*($W313^Transportation_LCIA!M$60)+Transportation_LCIA!M$62</f>
        <v>2.1384473386264609E-4</v>
      </c>
      <c r="AJ313" s="137">
        <f>Transportation_LCIA!N$61*($W313^Transportation_LCIA!N$60)+Transportation_LCIA!N$62</f>
        <v>8.0839367892004054E-4</v>
      </c>
      <c r="AK313" s="137">
        <f>Transportation_LCIA!O$61*($W313^Transportation_LCIA!O$60)+Transportation_LCIA!O$62</f>
        <v>5.067209999252372E-5</v>
      </c>
      <c r="AL313" s="137">
        <f>Transportation_LCIA!P$61*($W313^Transportation_LCIA!P$60)+Transportation_LCIA!P$62</f>
        <v>2.4529050433273688E-8</v>
      </c>
      <c r="AM313" s="137">
        <f>Transportation_LCIA!Q$61*($W313^Transportation_LCIA!Q$60)+Transportation_LCIA!Q$62</f>
        <v>7.5620829602403238E-5</v>
      </c>
      <c r="AN313" s="137">
        <f>Transportation_LCIA!R$61*($W313^Transportation_LCIA!R$60)+Transportation_LCIA!R$62</f>
        <v>2.2005485991627286E-4</v>
      </c>
      <c r="AO313" s="137">
        <f>Transportation_LCIA!S$61*($W313^Transportation_LCIA!S$60)+Transportation_LCIA!S$62</f>
        <v>3.3802166707550345E-6</v>
      </c>
      <c r="AP313" s="137">
        <f>Transportation_LCIA!T$61*($W313^Transportation_LCIA!T$60)+Transportation_LCIA!T$62</f>
        <v>3.3802166707550345E-6</v>
      </c>
      <c r="AQ313" s="137">
        <f>Transportation_LCIA!U$61*($W313^Transportation_LCIA!U$60)+Transportation_LCIA!U$62</f>
        <v>4.6945882310058874E-4</v>
      </c>
      <c r="AR313" s="137">
        <f>Transportation_LCIA!V$61*($W313^Transportation_LCIA!V$60)+Transportation_LCIA!V$62</f>
        <v>1.9671290669076797E-4</v>
      </c>
      <c r="AT313" s="137">
        <f>$W313*Y313+$L313*Summary_LCIA!H$32</f>
        <v>329.43540131701792</v>
      </c>
      <c r="AU313" s="137">
        <f>$W313*Z313+$L313*Summary_LCIA!Q$32</f>
        <v>3492.7175472508816</v>
      </c>
      <c r="AV313" s="137">
        <f>$W313*AA313+$L313*Summary_LCIA!R$32</f>
        <v>1.8808287658995635</v>
      </c>
      <c r="AW313" s="137">
        <f>$W313*AB313+$L313*Summary_LCIA!S$32</f>
        <v>328.93414237701791</v>
      </c>
      <c r="AX313" s="137">
        <f>$W313*AC313+$L313*Summary_LCIA!T$32</f>
        <v>81.079234388292292</v>
      </c>
      <c r="AY313" s="137">
        <f>$W313*AD313+$L313*Summary_LCIA!U$32</f>
        <v>2.3501420464616376</v>
      </c>
      <c r="AZ313" s="137">
        <f>$W313*AE313+$L313*Summary_LCIA!V$32</f>
        <v>1.1950902659540266E-2</v>
      </c>
      <c r="BA313" s="137">
        <f>$W313*AF313+$L313*Summary_LCIA!W$32</f>
        <v>18.395058725773417</v>
      </c>
      <c r="BB313" s="137">
        <f>$W313*AG313+$L313*Summary_LCIA!X$32</f>
        <v>16.930749464270338</v>
      </c>
      <c r="BC313" s="137">
        <f>$W313*AH313+$L313*Summary_LCIA!Y$32</f>
        <v>2.0392613746266637</v>
      </c>
      <c r="BD313" s="137">
        <f>$W313*AI313+$L313*Summary_LCIA!Z$32</f>
        <v>0.31034070670117236</v>
      </c>
      <c r="BE313" s="137">
        <f>$W313*AJ313+$L313*Summary_LCIA!AA$32</f>
        <v>3.8043286942094254</v>
      </c>
      <c r="BF313" s="137">
        <f>$W313*AK313+$L313*Summary_LCIA!AB$32</f>
        <v>6.9960637642539944E-2</v>
      </c>
      <c r="BG313" s="137">
        <f>$W313*AL313+$L313*Summary_LCIA!AC$32</f>
        <v>4.0607945169452815E-5</v>
      </c>
      <c r="BH313" s="137">
        <f>$W313*AM313+$L313*Summary_LCIA!AD$32</f>
        <v>0.15471441859117097</v>
      </c>
      <c r="BI313" s="137">
        <f>$W313*AN313+$L313*Summary_LCIA!AE$32</f>
        <v>0.41506068870700769</v>
      </c>
      <c r="BJ313" s="137">
        <f>$W313*AO313+$L313*Summary_LCIA!AF$32</f>
        <v>0.10070854910494871</v>
      </c>
      <c r="BK313" s="137">
        <f>$W313*AP313+$L313*Summary_LCIA!AG$32</f>
        <v>1.0634472319948711E-2</v>
      </c>
      <c r="BL313" s="137">
        <f>$W313*AQ313+$L313*Summary_LCIA!AH$32</f>
        <v>1.6581382520804708</v>
      </c>
      <c r="BM313" s="137">
        <f>$W313*AR313+$L313*Summary_LCIA!AI$32</f>
        <v>0.38684442690628873</v>
      </c>
    </row>
    <row r="314" spans="1:65" x14ac:dyDescent="0.25">
      <c r="A314" s="149">
        <v>221</v>
      </c>
      <c r="B314" s="149">
        <v>6</v>
      </c>
      <c r="C314" s="61">
        <v>40.570262999999997</v>
      </c>
      <c r="D314" s="61">
        <v>-105.090346</v>
      </c>
      <c r="E314" s="61" t="s">
        <v>265</v>
      </c>
      <c r="F314" s="149">
        <v>16</v>
      </c>
      <c r="G314" s="61" t="s">
        <v>565</v>
      </c>
      <c r="H314" s="61" t="s">
        <v>645</v>
      </c>
      <c r="I314" s="61">
        <v>39.856096000000001</v>
      </c>
      <c r="J314" s="61">
        <v>-104.673738</v>
      </c>
      <c r="K314" s="61">
        <v>153.5848848</v>
      </c>
      <c r="L314" s="61">
        <v>113.407</v>
      </c>
      <c r="M314" s="61" t="s">
        <v>617</v>
      </c>
      <c r="N314" s="149">
        <v>5</v>
      </c>
      <c r="O314" s="149">
        <v>6</v>
      </c>
      <c r="P314" s="61" t="s">
        <v>565</v>
      </c>
      <c r="Q314" s="61" t="s">
        <v>564</v>
      </c>
      <c r="R314" s="61">
        <v>41.98028</v>
      </c>
      <c r="S314" s="61">
        <v>-87.908997900000003</v>
      </c>
      <c r="T314" s="61">
        <v>1578.402</v>
      </c>
      <c r="U314" s="61" t="s">
        <v>617</v>
      </c>
      <c r="V314" s="61" t="s">
        <v>569</v>
      </c>
      <c r="W314" s="61" cm="1">
        <f t="array" ref="W314">getDistance(I314,J314,R314,S314)*SA!$B$12</f>
        <v>1429.4950991616145</v>
      </c>
      <c r="Y314" s="137">
        <f>Transportation_LCIA!C$61*($W314^Transportation_LCIA!C$60)+Transportation_LCIA!C$62</f>
        <v>0.20349821617970421</v>
      </c>
      <c r="Z314" s="137">
        <f>Transportation_LCIA!D$61*($W314^Transportation_LCIA!D$60)+Transportation_LCIA!D$62</f>
        <v>2.0501411564925682</v>
      </c>
      <c r="AA314" s="137">
        <f>Transportation_LCIA!E$61*($W314^Transportation_LCIA!E$60)+Transportation_LCIA!E$62</f>
        <v>8.9799039356792888E-4</v>
      </c>
      <c r="AB314" s="137">
        <f>Transportation_LCIA!F$61*($W314^Transportation_LCIA!F$60)+Transportation_LCIA!F$62</f>
        <v>0.20349821617970421</v>
      </c>
      <c r="AC314" s="137">
        <f>Transportation_LCIA!G$61*($W314^Transportation_LCIA!G$60)+Transportation_LCIA!G$62</f>
        <v>4.8000028211733513E-2</v>
      </c>
      <c r="AD314" s="137">
        <f>Transportation_LCIA!H$61*($W314^Transportation_LCIA!H$60)+Transportation_LCIA!H$62</f>
        <v>2.2285424318591637E-4</v>
      </c>
      <c r="AE314" s="137">
        <f>Transportation_LCIA!I$61*($W314^Transportation_LCIA!I$60)+Transportation_LCIA!I$62</f>
        <v>4.571174071441499E-6</v>
      </c>
      <c r="AF314" s="137">
        <f>Transportation_LCIA!J$61*($W314^Transportation_LCIA!J$60)+Transportation_LCIA!J$62</f>
        <v>6.7618339751164165E-3</v>
      </c>
      <c r="AG314" s="137">
        <f>Transportation_LCIA!K$61*($W314^Transportation_LCIA!K$60)+Transportation_LCIA!K$62</f>
        <v>1.0036647213890358E-2</v>
      </c>
      <c r="AH314" s="137">
        <f>Transportation_LCIA!L$61*($W314^Transportation_LCIA!L$60)+Transportation_LCIA!L$62</f>
        <v>1.9038435373879868E-4</v>
      </c>
      <c r="AI314" s="137">
        <f>Transportation_LCIA!M$61*($W314^Transportation_LCIA!M$60)+Transportation_LCIA!M$62</f>
        <v>2.1384473386264609E-4</v>
      </c>
      <c r="AJ314" s="137">
        <f>Transportation_LCIA!N$61*($W314^Transportation_LCIA!N$60)+Transportation_LCIA!N$62</f>
        <v>8.0839367892004054E-4</v>
      </c>
      <c r="AK314" s="137">
        <f>Transportation_LCIA!O$61*($W314^Transportation_LCIA!O$60)+Transportation_LCIA!O$62</f>
        <v>5.067209999252372E-5</v>
      </c>
      <c r="AL314" s="137">
        <f>Transportation_LCIA!P$61*($W314^Transportation_LCIA!P$60)+Transportation_LCIA!P$62</f>
        <v>2.4529050433273688E-8</v>
      </c>
      <c r="AM314" s="137">
        <f>Transportation_LCIA!Q$61*($W314^Transportation_LCIA!Q$60)+Transportation_LCIA!Q$62</f>
        <v>7.5620829602403238E-5</v>
      </c>
      <c r="AN314" s="137">
        <f>Transportation_LCIA!R$61*($W314^Transportation_LCIA!R$60)+Transportation_LCIA!R$62</f>
        <v>2.2005485991627286E-4</v>
      </c>
      <c r="AO314" s="137">
        <f>Transportation_LCIA!S$61*($W314^Transportation_LCIA!S$60)+Transportation_LCIA!S$62</f>
        <v>3.3802166707550345E-6</v>
      </c>
      <c r="AP314" s="137">
        <f>Transportation_LCIA!T$61*($W314^Transportation_LCIA!T$60)+Transportation_LCIA!T$62</f>
        <v>3.3802166707550345E-6</v>
      </c>
      <c r="AQ314" s="137">
        <f>Transportation_LCIA!U$61*($W314^Transportation_LCIA!U$60)+Transportation_LCIA!U$62</f>
        <v>4.6945882310058874E-4</v>
      </c>
      <c r="AR314" s="137">
        <f>Transportation_LCIA!V$61*($W314^Transportation_LCIA!V$60)+Transportation_LCIA!V$62</f>
        <v>1.9671290669076797E-4</v>
      </c>
      <c r="AT314" s="137">
        <f>$W314*Y314+$L314*Summary_LCIA!H$32</f>
        <v>329.43540131701792</v>
      </c>
      <c r="AU314" s="137">
        <f>$W314*Z314+$L314*Summary_LCIA!Q$32</f>
        <v>3492.7175472508816</v>
      </c>
      <c r="AV314" s="137">
        <f>$W314*AA314+$L314*Summary_LCIA!R$32</f>
        <v>1.8808287658995635</v>
      </c>
      <c r="AW314" s="137">
        <f>$W314*AB314+$L314*Summary_LCIA!S$32</f>
        <v>328.93414237701791</v>
      </c>
      <c r="AX314" s="137">
        <f>$W314*AC314+$L314*Summary_LCIA!T$32</f>
        <v>81.079234388292292</v>
      </c>
      <c r="AY314" s="137">
        <f>$W314*AD314+$L314*Summary_LCIA!U$32</f>
        <v>2.3501420464616376</v>
      </c>
      <c r="AZ314" s="137">
        <f>$W314*AE314+$L314*Summary_LCIA!V$32</f>
        <v>1.1950902659540266E-2</v>
      </c>
      <c r="BA314" s="137">
        <f>$W314*AF314+$L314*Summary_LCIA!W$32</f>
        <v>18.395058725773417</v>
      </c>
      <c r="BB314" s="137">
        <f>$W314*AG314+$L314*Summary_LCIA!X$32</f>
        <v>16.930749464270338</v>
      </c>
      <c r="BC314" s="137">
        <f>$W314*AH314+$L314*Summary_LCIA!Y$32</f>
        <v>2.0392613746266637</v>
      </c>
      <c r="BD314" s="137">
        <f>$W314*AI314+$L314*Summary_LCIA!Z$32</f>
        <v>0.31034070670117236</v>
      </c>
      <c r="BE314" s="137">
        <f>$W314*AJ314+$L314*Summary_LCIA!AA$32</f>
        <v>3.8043286942094254</v>
      </c>
      <c r="BF314" s="137">
        <f>$W314*AK314+$L314*Summary_LCIA!AB$32</f>
        <v>6.9960637642539944E-2</v>
      </c>
      <c r="BG314" s="137">
        <f>$W314*AL314+$L314*Summary_LCIA!AC$32</f>
        <v>4.0607945169452815E-5</v>
      </c>
      <c r="BH314" s="137">
        <f>$W314*AM314+$L314*Summary_LCIA!AD$32</f>
        <v>0.15471441859117097</v>
      </c>
      <c r="BI314" s="137">
        <f>$W314*AN314+$L314*Summary_LCIA!AE$32</f>
        <v>0.41506068870700769</v>
      </c>
      <c r="BJ314" s="137">
        <f>$W314*AO314+$L314*Summary_LCIA!AF$32</f>
        <v>0.10070854910494871</v>
      </c>
      <c r="BK314" s="137">
        <f>$W314*AP314+$L314*Summary_LCIA!AG$32</f>
        <v>1.0634472319948711E-2</v>
      </c>
      <c r="BL314" s="137">
        <f>$W314*AQ314+$L314*Summary_LCIA!AH$32</f>
        <v>1.6581382520804708</v>
      </c>
      <c r="BM314" s="137">
        <f>$W314*AR314+$L314*Summary_LCIA!AI$32</f>
        <v>0.38684442690628873</v>
      </c>
    </row>
    <row r="315" spans="1:65" x14ac:dyDescent="0.25">
      <c r="A315" s="149">
        <v>207</v>
      </c>
      <c r="B315" s="149">
        <v>6</v>
      </c>
      <c r="C315" s="61">
        <v>39.739235999999998</v>
      </c>
      <c r="D315" s="61">
        <v>-104.990251</v>
      </c>
      <c r="E315" s="61" t="s">
        <v>265</v>
      </c>
      <c r="F315" s="149">
        <v>16</v>
      </c>
      <c r="G315" s="61" t="s">
        <v>565</v>
      </c>
      <c r="H315" s="61" t="s">
        <v>645</v>
      </c>
      <c r="I315" s="61">
        <v>39.856096000000001</v>
      </c>
      <c r="J315" s="61">
        <v>-104.673738</v>
      </c>
      <c r="K315" s="61">
        <v>32.480303239999998</v>
      </c>
      <c r="L315" s="61">
        <v>43.084000000000003</v>
      </c>
      <c r="M315" s="61" t="s">
        <v>617</v>
      </c>
      <c r="N315" s="149">
        <v>5</v>
      </c>
      <c r="O315" s="149">
        <v>6</v>
      </c>
      <c r="P315" s="61" t="s">
        <v>565</v>
      </c>
      <c r="Q315" s="61" t="s">
        <v>564</v>
      </c>
      <c r="R315" s="61">
        <v>41.98028</v>
      </c>
      <c r="S315" s="61">
        <v>-87.908997900000003</v>
      </c>
      <c r="T315" s="61">
        <v>1611.23</v>
      </c>
      <c r="U315" s="61" t="s">
        <v>617</v>
      </c>
      <c r="V315" s="61" t="s">
        <v>569</v>
      </c>
      <c r="W315" s="61" cm="1">
        <f t="array" ref="W315">getDistance(I315,J315,R315,S315)*SA!$B$12</f>
        <v>1429.4950991616145</v>
      </c>
      <c r="Y315" s="137">
        <f>Transportation_LCIA!C$61*($W315^Transportation_LCIA!C$60)+Transportation_LCIA!C$62</f>
        <v>0.20349821617970421</v>
      </c>
      <c r="Z315" s="137">
        <f>Transportation_LCIA!D$61*($W315^Transportation_LCIA!D$60)+Transportation_LCIA!D$62</f>
        <v>2.0501411564925682</v>
      </c>
      <c r="AA315" s="137">
        <f>Transportation_LCIA!E$61*($W315^Transportation_LCIA!E$60)+Transportation_LCIA!E$62</f>
        <v>8.9799039356792888E-4</v>
      </c>
      <c r="AB315" s="137">
        <f>Transportation_LCIA!F$61*($W315^Transportation_LCIA!F$60)+Transportation_LCIA!F$62</f>
        <v>0.20349821617970421</v>
      </c>
      <c r="AC315" s="137">
        <f>Transportation_LCIA!G$61*($W315^Transportation_LCIA!G$60)+Transportation_LCIA!G$62</f>
        <v>4.8000028211733513E-2</v>
      </c>
      <c r="AD315" s="137">
        <f>Transportation_LCIA!H$61*($W315^Transportation_LCIA!H$60)+Transportation_LCIA!H$62</f>
        <v>2.2285424318591637E-4</v>
      </c>
      <c r="AE315" s="137">
        <f>Transportation_LCIA!I$61*($W315^Transportation_LCIA!I$60)+Transportation_LCIA!I$62</f>
        <v>4.571174071441499E-6</v>
      </c>
      <c r="AF315" s="137">
        <f>Transportation_LCIA!J$61*($W315^Transportation_LCIA!J$60)+Transportation_LCIA!J$62</f>
        <v>6.7618339751164165E-3</v>
      </c>
      <c r="AG315" s="137">
        <f>Transportation_LCIA!K$61*($W315^Transportation_LCIA!K$60)+Transportation_LCIA!K$62</f>
        <v>1.0036647213890358E-2</v>
      </c>
      <c r="AH315" s="137">
        <f>Transportation_LCIA!L$61*($W315^Transportation_LCIA!L$60)+Transportation_LCIA!L$62</f>
        <v>1.9038435373879868E-4</v>
      </c>
      <c r="AI315" s="137">
        <f>Transportation_LCIA!M$61*($W315^Transportation_LCIA!M$60)+Transportation_LCIA!M$62</f>
        <v>2.1384473386264609E-4</v>
      </c>
      <c r="AJ315" s="137">
        <f>Transportation_LCIA!N$61*($W315^Transportation_LCIA!N$60)+Transportation_LCIA!N$62</f>
        <v>8.0839367892004054E-4</v>
      </c>
      <c r="AK315" s="137">
        <f>Transportation_LCIA!O$61*($W315^Transportation_LCIA!O$60)+Transportation_LCIA!O$62</f>
        <v>5.067209999252372E-5</v>
      </c>
      <c r="AL315" s="137">
        <f>Transportation_LCIA!P$61*($W315^Transportation_LCIA!P$60)+Transportation_LCIA!P$62</f>
        <v>2.4529050433273688E-8</v>
      </c>
      <c r="AM315" s="137">
        <f>Transportation_LCIA!Q$61*($W315^Transportation_LCIA!Q$60)+Transportation_LCIA!Q$62</f>
        <v>7.5620829602403238E-5</v>
      </c>
      <c r="AN315" s="137">
        <f>Transportation_LCIA!R$61*($W315^Transportation_LCIA!R$60)+Transportation_LCIA!R$62</f>
        <v>2.2005485991627286E-4</v>
      </c>
      <c r="AO315" s="137">
        <f>Transportation_LCIA!S$61*($W315^Transportation_LCIA!S$60)+Transportation_LCIA!S$62</f>
        <v>3.3802166707550345E-6</v>
      </c>
      <c r="AP315" s="137">
        <f>Transportation_LCIA!T$61*($W315^Transportation_LCIA!T$60)+Transportation_LCIA!T$62</f>
        <v>3.3802166707550345E-6</v>
      </c>
      <c r="AQ315" s="137">
        <f>Transportation_LCIA!U$61*($W315^Transportation_LCIA!U$60)+Transportation_LCIA!U$62</f>
        <v>4.6945882310058874E-4</v>
      </c>
      <c r="AR315" s="137">
        <f>Transportation_LCIA!V$61*($W315^Transportation_LCIA!V$60)+Transportation_LCIA!V$62</f>
        <v>1.9671290669076797E-4</v>
      </c>
      <c r="AT315" s="137">
        <f>$W315*Y315+$L315*Summary_LCIA!H$32</f>
        <v>305.53964591701794</v>
      </c>
      <c r="AU315" s="137">
        <f>$W315*Z315+$L315*Summary_LCIA!Q$32</f>
        <v>3144.1932126510228</v>
      </c>
      <c r="AV315" s="137">
        <f>$W315*AA315+$L315*Summary_LCIA!R$32</f>
        <v>1.5105359770995637</v>
      </c>
      <c r="AW315" s="137">
        <f>$W315*AB315+$L315*Summary_LCIA!S$32</f>
        <v>305.34921463701795</v>
      </c>
      <c r="AX315" s="137">
        <f>$W315*AC315+$L315*Summary_LCIA!T$32</f>
        <v>73.350736688292287</v>
      </c>
      <c r="AY315" s="137">
        <f>$W315*AD315+$L315*Summary_LCIA!U$32</f>
        <v>1.0903758244616382</v>
      </c>
      <c r="AZ315" s="137">
        <f>$W315*AE315+$L315*Summary_LCIA!V$32</f>
        <v>8.5922058565402679E-3</v>
      </c>
      <c r="BA315" s="137">
        <f>$W315*AF315+$L315*Summary_LCIA!W$32</f>
        <v>12.982227092773416</v>
      </c>
      <c r="BB315" s="137">
        <f>$W315*AG315+$L315*Summary_LCIA!X$32</f>
        <v>15.32879152427034</v>
      </c>
      <c r="BC315" s="137">
        <f>$W315*AH315+$L315*Summary_LCIA!Y$32</f>
        <v>0.94348838862666395</v>
      </c>
      <c r="BD315" s="137">
        <f>$W315*AI315+$L315*Summary_LCIA!Z$32</f>
        <v>0.30745683079417235</v>
      </c>
      <c r="BE315" s="137">
        <f>$W315*AJ315+$L315*Summary_LCIA!AA$32</f>
        <v>2.1618647062094256</v>
      </c>
      <c r="BF315" s="137">
        <f>$W315*AK315+$L315*Summary_LCIA!AB$32</f>
        <v>7.1495296471539946E-2</v>
      </c>
      <c r="BG315" s="137">
        <f>$W315*AL315+$L315*Summary_LCIA!AC$32</f>
        <v>3.7170275637452815E-5</v>
      </c>
      <c r="BH315" s="137">
        <f>$W315*AM315+$L315*Summary_LCIA!AD$32</f>
        <v>0.12580885267117098</v>
      </c>
      <c r="BI315" s="137">
        <f>$W315*AN315+$L315*Summary_LCIA!AE$32</f>
        <v>0.35274536871700768</v>
      </c>
      <c r="BJ315" s="137">
        <f>$W315*AO315+$L315*Summary_LCIA!AF$32</f>
        <v>4.1256078444948711E-2</v>
      </c>
      <c r="BK315" s="137">
        <f>$W315*AP315+$L315*Summary_LCIA!AG$32</f>
        <v>7.0363960249487109E-3</v>
      </c>
      <c r="BL315" s="137">
        <f>$W315*AQ315+$L315*Summary_LCIA!AH$32</f>
        <v>1.0460749892804708</v>
      </c>
      <c r="BM315" s="137">
        <f>$W315*AR315+$L315*Summary_LCIA!AI$32</f>
        <v>0.32133503625628873</v>
      </c>
    </row>
    <row r="316" spans="1:65" x14ac:dyDescent="0.25">
      <c r="A316" s="149">
        <v>208</v>
      </c>
      <c r="B316" s="149">
        <v>6</v>
      </c>
      <c r="C316" s="61">
        <v>39.739235999999998</v>
      </c>
      <c r="D316" s="61">
        <v>-104.990251</v>
      </c>
      <c r="E316" s="61" t="s">
        <v>265</v>
      </c>
      <c r="F316" s="149">
        <v>16</v>
      </c>
      <c r="G316" s="61" t="s">
        <v>565</v>
      </c>
      <c r="H316" s="61" t="s">
        <v>645</v>
      </c>
      <c r="I316" s="61">
        <v>39.856096000000001</v>
      </c>
      <c r="J316" s="61">
        <v>-104.673738</v>
      </c>
      <c r="K316" s="61">
        <v>32.480303239999998</v>
      </c>
      <c r="L316" s="61">
        <v>43.084000000000003</v>
      </c>
      <c r="M316" s="61" t="s">
        <v>617</v>
      </c>
      <c r="N316" s="149">
        <v>5</v>
      </c>
      <c r="O316" s="149">
        <v>6</v>
      </c>
      <c r="P316" s="61" t="s">
        <v>565</v>
      </c>
      <c r="Q316" s="61" t="s">
        <v>564</v>
      </c>
      <c r="R316" s="61">
        <v>41.98028</v>
      </c>
      <c r="S316" s="61">
        <v>-87.908997900000003</v>
      </c>
      <c r="T316" s="61">
        <v>1611.23</v>
      </c>
      <c r="U316" s="61" t="s">
        <v>617</v>
      </c>
      <c r="V316" s="61" t="s">
        <v>569</v>
      </c>
      <c r="W316" s="61" cm="1">
        <f t="array" ref="W316">getDistance(I316,J316,R316,S316)*SA!$B$12</f>
        <v>1429.4950991616145</v>
      </c>
      <c r="Y316" s="137">
        <f>Transportation_LCIA!C$61*($W316^Transportation_LCIA!C$60)+Transportation_LCIA!C$62</f>
        <v>0.20349821617970421</v>
      </c>
      <c r="Z316" s="137">
        <f>Transportation_LCIA!D$61*($W316^Transportation_LCIA!D$60)+Transportation_LCIA!D$62</f>
        <v>2.0501411564925682</v>
      </c>
      <c r="AA316" s="137">
        <f>Transportation_LCIA!E$61*($W316^Transportation_LCIA!E$60)+Transportation_LCIA!E$62</f>
        <v>8.9799039356792888E-4</v>
      </c>
      <c r="AB316" s="137">
        <f>Transportation_LCIA!F$61*($W316^Transportation_LCIA!F$60)+Transportation_LCIA!F$62</f>
        <v>0.20349821617970421</v>
      </c>
      <c r="AC316" s="137">
        <f>Transportation_LCIA!G$61*($W316^Transportation_LCIA!G$60)+Transportation_LCIA!G$62</f>
        <v>4.8000028211733513E-2</v>
      </c>
      <c r="AD316" s="137">
        <f>Transportation_LCIA!H$61*($W316^Transportation_LCIA!H$60)+Transportation_LCIA!H$62</f>
        <v>2.2285424318591637E-4</v>
      </c>
      <c r="AE316" s="137">
        <f>Transportation_LCIA!I$61*($W316^Transportation_LCIA!I$60)+Transportation_LCIA!I$62</f>
        <v>4.571174071441499E-6</v>
      </c>
      <c r="AF316" s="137">
        <f>Transportation_LCIA!J$61*($W316^Transportation_LCIA!J$60)+Transportation_LCIA!J$62</f>
        <v>6.7618339751164165E-3</v>
      </c>
      <c r="AG316" s="137">
        <f>Transportation_LCIA!K$61*($W316^Transportation_LCIA!K$60)+Transportation_LCIA!K$62</f>
        <v>1.0036647213890358E-2</v>
      </c>
      <c r="AH316" s="137">
        <f>Transportation_LCIA!L$61*($W316^Transportation_LCIA!L$60)+Transportation_LCIA!L$62</f>
        <v>1.9038435373879868E-4</v>
      </c>
      <c r="AI316" s="137">
        <f>Transportation_LCIA!M$61*($W316^Transportation_LCIA!M$60)+Transportation_LCIA!M$62</f>
        <v>2.1384473386264609E-4</v>
      </c>
      <c r="AJ316" s="137">
        <f>Transportation_LCIA!N$61*($W316^Transportation_LCIA!N$60)+Transportation_LCIA!N$62</f>
        <v>8.0839367892004054E-4</v>
      </c>
      <c r="AK316" s="137">
        <f>Transportation_LCIA!O$61*($W316^Transportation_LCIA!O$60)+Transportation_LCIA!O$62</f>
        <v>5.067209999252372E-5</v>
      </c>
      <c r="AL316" s="137">
        <f>Transportation_LCIA!P$61*($W316^Transportation_LCIA!P$60)+Transportation_LCIA!P$62</f>
        <v>2.4529050433273688E-8</v>
      </c>
      <c r="AM316" s="137">
        <f>Transportation_LCIA!Q$61*($W316^Transportation_LCIA!Q$60)+Transportation_LCIA!Q$62</f>
        <v>7.5620829602403238E-5</v>
      </c>
      <c r="AN316" s="137">
        <f>Transportation_LCIA!R$61*($W316^Transportation_LCIA!R$60)+Transportation_LCIA!R$62</f>
        <v>2.2005485991627286E-4</v>
      </c>
      <c r="AO316" s="137">
        <f>Transportation_LCIA!S$61*($W316^Transportation_LCIA!S$60)+Transportation_LCIA!S$62</f>
        <v>3.3802166707550345E-6</v>
      </c>
      <c r="AP316" s="137">
        <f>Transportation_LCIA!T$61*($W316^Transportation_LCIA!T$60)+Transportation_LCIA!T$62</f>
        <v>3.3802166707550345E-6</v>
      </c>
      <c r="AQ316" s="137">
        <f>Transportation_LCIA!U$61*($W316^Transportation_LCIA!U$60)+Transportation_LCIA!U$62</f>
        <v>4.6945882310058874E-4</v>
      </c>
      <c r="AR316" s="137">
        <f>Transportation_LCIA!V$61*($W316^Transportation_LCIA!V$60)+Transportation_LCIA!V$62</f>
        <v>1.9671290669076797E-4</v>
      </c>
      <c r="AT316" s="137">
        <f>$W316*Y316+$L316*Summary_LCIA!H$32</f>
        <v>305.53964591701794</v>
      </c>
      <c r="AU316" s="137">
        <f>$W316*Z316+$L316*Summary_LCIA!Q$32</f>
        <v>3144.1932126510228</v>
      </c>
      <c r="AV316" s="137">
        <f>$W316*AA316+$L316*Summary_LCIA!R$32</f>
        <v>1.5105359770995637</v>
      </c>
      <c r="AW316" s="137">
        <f>$W316*AB316+$L316*Summary_LCIA!S$32</f>
        <v>305.34921463701795</v>
      </c>
      <c r="AX316" s="137">
        <f>$W316*AC316+$L316*Summary_LCIA!T$32</f>
        <v>73.350736688292287</v>
      </c>
      <c r="AY316" s="137">
        <f>$W316*AD316+$L316*Summary_LCIA!U$32</f>
        <v>1.0903758244616382</v>
      </c>
      <c r="AZ316" s="137">
        <f>$W316*AE316+$L316*Summary_LCIA!V$32</f>
        <v>8.5922058565402679E-3</v>
      </c>
      <c r="BA316" s="137">
        <f>$W316*AF316+$L316*Summary_LCIA!W$32</f>
        <v>12.982227092773416</v>
      </c>
      <c r="BB316" s="137">
        <f>$W316*AG316+$L316*Summary_LCIA!X$32</f>
        <v>15.32879152427034</v>
      </c>
      <c r="BC316" s="137">
        <f>$W316*AH316+$L316*Summary_LCIA!Y$32</f>
        <v>0.94348838862666395</v>
      </c>
      <c r="BD316" s="137">
        <f>$W316*AI316+$L316*Summary_LCIA!Z$32</f>
        <v>0.30745683079417235</v>
      </c>
      <c r="BE316" s="137">
        <f>$W316*AJ316+$L316*Summary_LCIA!AA$32</f>
        <v>2.1618647062094256</v>
      </c>
      <c r="BF316" s="137">
        <f>$W316*AK316+$L316*Summary_LCIA!AB$32</f>
        <v>7.1495296471539946E-2</v>
      </c>
      <c r="BG316" s="137">
        <f>$W316*AL316+$L316*Summary_LCIA!AC$32</f>
        <v>3.7170275637452815E-5</v>
      </c>
      <c r="BH316" s="137">
        <f>$W316*AM316+$L316*Summary_LCIA!AD$32</f>
        <v>0.12580885267117098</v>
      </c>
      <c r="BI316" s="137">
        <f>$W316*AN316+$L316*Summary_LCIA!AE$32</f>
        <v>0.35274536871700768</v>
      </c>
      <c r="BJ316" s="137">
        <f>$W316*AO316+$L316*Summary_LCIA!AF$32</f>
        <v>4.1256078444948711E-2</v>
      </c>
      <c r="BK316" s="137">
        <f>$W316*AP316+$L316*Summary_LCIA!AG$32</f>
        <v>7.0363960249487109E-3</v>
      </c>
      <c r="BL316" s="137">
        <f>$W316*AQ316+$L316*Summary_LCIA!AH$32</f>
        <v>1.0460749892804708</v>
      </c>
      <c r="BM316" s="137">
        <f>$W316*AR316+$L316*Summary_LCIA!AI$32</f>
        <v>0.32133503625628873</v>
      </c>
    </row>
    <row r="317" spans="1:65" x14ac:dyDescent="0.25">
      <c r="A317" s="149">
        <v>226</v>
      </c>
      <c r="B317" s="149">
        <v>6</v>
      </c>
      <c r="C317" s="61">
        <v>39.755543000000003</v>
      </c>
      <c r="D317" s="61">
        <v>-105.22110000000001</v>
      </c>
      <c r="E317" s="61" t="s">
        <v>265</v>
      </c>
      <c r="F317" s="149">
        <v>16</v>
      </c>
      <c r="G317" s="61" t="s">
        <v>565</v>
      </c>
      <c r="H317" s="61" t="s">
        <v>645</v>
      </c>
      <c r="I317" s="61">
        <v>39.856096000000001</v>
      </c>
      <c r="J317" s="61">
        <v>-104.673738</v>
      </c>
      <c r="K317" s="61">
        <v>48.393650190000002</v>
      </c>
      <c r="L317" s="61">
        <v>58.264000000000003</v>
      </c>
      <c r="M317" s="61" t="s">
        <v>617</v>
      </c>
      <c r="N317" s="149">
        <v>5</v>
      </c>
      <c r="O317" s="149">
        <v>6</v>
      </c>
      <c r="P317" s="61" t="s">
        <v>565</v>
      </c>
      <c r="Q317" s="61" t="s">
        <v>564</v>
      </c>
      <c r="R317" s="61">
        <v>41.98028</v>
      </c>
      <c r="S317" s="61">
        <v>-87.908997900000003</v>
      </c>
      <c r="T317" s="61">
        <v>1623.326</v>
      </c>
      <c r="U317" s="61" t="s">
        <v>617</v>
      </c>
      <c r="V317" s="61" t="s">
        <v>569</v>
      </c>
      <c r="W317" s="61" cm="1">
        <f t="array" ref="W317">getDistance(I317,J317,R317,S317)*SA!$B$12</f>
        <v>1429.4950991616145</v>
      </c>
      <c r="Y317" s="137">
        <f>Transportation_LCIA!C$61*($W317^Transportation_LCIA!C$60)+Transportation_LCIA!C$62</f>
        <v>0.20349821617970421</v>
      </c>
      <c r="Z317" s="137">
        <f>Transportation_LCIA!D$61*($W317^Transportation_LCIA!D$60)+Transportation_LCIA!D$62</f>
        <v>2.0501411564925682</v>
      </c>
      <c r="AA317" s="137">
        <f>Transportation_LCIA!E$61*($W317^Transportation_LCIA!E$60)+Transportation_LCIA!E$62</f>
        <v>8.9799039356792888E-4</v>
      </c>
      <c r="AB317" s="137">
        <f>Transportation_LCIA!F$61*($W317^Transportation_LCIA!F$60)+Transportation_LCIA!F$62</f>
        <v>0.20349821617970421</v>
      </c>
      <c r="AC317" s="137">
        <f>Transportation_LCIA!G$61*($W317^Transportation_LCIA!G$60)+Transportation_LCIA!G$62</f>
        <v>4.8000028211733513E-2</v>
      </c>
      <c r="AD317" s="137">
        <f>Transportation_LCIA!H$61*($W317^Transportation_LCIA!H$60)+Transportation_LCIA!H$62</f>
        <v>2.2285424318591637E-4</v>
      </c>
      <c r="AE317" s="137">
        <f>Transportation_LCIA!I$61*($W317^Transportation_LCIA!I$60)+Transportation_LCIA!I$62</f>
        <v>4.571174071441499E-6</v>
      </c>
      <c r="AF317" s="137">
        <f>Transportation_LCIA!J$61*($W317^Transportation_LCIA!J$60)+Transportation_LCIA!J$62</f>
        <v>6.7618339751164165E-3</v>
      </c>
      <c r="AG317" s="137">
        <f>Transportation_LCIA!K$61*($W317^Transportation_LCIA!K$60)+Transportation_LCIA!K$62</f>
        <v>1.0036647213890358E-2</v>
      </c>
      <c r="AH317" s="137">
        <f>Transportation_LCIA!L$61*($W317^Transportation_LCIA!L$60)+Transportation_LCIA!L$62</f>
        <v>1.9038435373879868E-4</v>
      </c>
      <c r="AI317" s="137">
        <f>Transportation_LCIA!M$61*($W317^Transportation_LCIA!M$60)+Transportation_LCIA!M$62</f>
        <v>2.1384473386264609E-4</v>
      </c>
      <c r="AJ317" s="137">
        <f>Transportation_LCIA!N$61*($W317^Transportation_LCIA!N$60)+Transportation_LCIA!N$62</f>
        <v>8.0839367892004054E-4</v>
      </c>
      <c r="AK317" s="137">
        <f>Transportation_LCIA!O$61*($W317^Transportation_LCIA!O$60)+Transportation_LCIA!O$62</f>
        <v>5.067209999252372E-5</v>
      </c>
      <c r="AL317" s="137">
        <f>Transportation_LCIA!P$61*($W317^Transportation_LCIA!P$60)+Transportation_LCIA!P$62</f>
        <v>2.4529050433273688E-8</v>
      </c>
      <c r="AM317" s="137">
        <f>Transportation_LCIA!Q$61*($W317^Transportation_LCIA!Q$60)+Transportation_LCIA!Q$62</f>
        <v>7.5620829602403238E-5</v>
      </c>
      <c r="AN317" s="137">
        <f>Transportation_LCIA!R$61*($W317^Transportation_LCIA!R$60)+Transportation_LCIA!R$62</f>
        <v>2.2005485991627286E-4</v>
      </c>
      <c r="AO317" s="137">
        <f>Transportation_LCIA!S$61*($W317^Transportation_LCIA!S$60)+Transportation_LCIA!S$62</f>
        <v>3.3802166707550345E-6</v>
      </c>
      <c r="AP317" s="137">
        <f>Transportation_LCIA!T$61*($W317^Transportation_LCIA!T$60)+Transportation_LCIA!T$62</f>
        <v>3.3802166707550345E-6</v>
      </c>
      <c r="AQ317" s="137">
        <f>Transportation_LCIA!U$61*($W317^Transportation_LCIA!U$60)+Transportation_LCIA!U$62</f>
        <v>4.6945882310058874E-4</v>
      </c>
      <c r="AR317" s="137">
        <f>Transportation_LCIA!V$61*($W317^Transportation_LCIA!V$60)+Transportation_LCIA!V$62</f>
        <v>1.9671290669076797E-4</v>
      </c>
      <c r="AT317" s="137">
        <f>$W317*Y317+$L317*Summary_LCIA!H$32</f>
        <v>310.69780991701793</v>
      </c>
      <c r="AU317" s="137">
        <f>$W317*Z317+$L317*Summary_LCIA!Q$32</f>
        <v>3219.4260582239626</v>
      </c>
      <c r="AV317" s="137">
        <f>$W317*AA317+$L317*Summary_LCIA!R$32</f>
        <v>1.5904677850995637</v>
      </c>
      <c r="AW317" s="137">
        <f>$W317*AB317+$L317*Summary_LCIA!S$32</f>
        <v>310.44028303701793</v>
      </c>
      <c r="AX317" s="137">
        <f>$W317*AC317+$L317*Summary_LCIA!T$32</f>
        <v>75.019018688292292</v>
      </c>
      <c r="AY317" s="137">
        <f>$W317*AD317+$L317*Summary_LCIA!U$32</f>
        <v>1.3623103444616382</v>
      </c>
      <c r="AZ317" s="137">
        <f>$W317*AE317+$L317*Summary_LCIA!V$32</f>
        <v>9.3172178365402668E-3</v>
      </c>
      <c r="BA317" s="137">
        <f>$W317*AF317+$L317*Summary_LCIA!W$32</f>
        <v>14.150646872773416</v>
      </c>
      <c r="BB317" s="137">
        <f>$W317*AG317+$L317*Summary_LCIA!X$32</f>
        <v>15.67459192427034</v>
      </c>
      <c r="BC317" s="137">
        <f>$W317*AH317+$L317*Summary_LCIA!Y$32</f>
        <v>1.1800231486266639</v>
      </c>
      <c r="BD317" s="137">
        <f>$W317*AI317+$L317*Summary_LCIA!Z$32</f>
        <v>0.30807934741417237</v>
      </c>
      <c r="BE317" s="137">
        <f>$W317*AJ317+$L317*Summary_LCIA!AA$32</f>
        <v>2.5164087862094258</v>
      </c>
      <c r="BF317" s="137">
        <f>$W317*AK317+$L317*Summary_LCIA!AB$32</f>
        <v>7.1164023331539941E-2</v>
      </c>
      <c r="BG317" s="137">
        <f>$W317*AL317+$L317*Summary_LCIA!AC$32</f>
        <v>3.7912334757452815E-5</v>
      </c>
      <c r="BH317" s="137">
        <f>$W317*AM317+$L317*Summary_LCIA!AD$32</f>
        <v>0.13204843987117096</v>
      </c>
      <c r="BI317" s="137">
        <f>$W317*AN317+$L317*Summary_LCIA!AE$32</f>
        <v>0.36619682211700766</v>
      </c>
      <c r="BJ317" s="137">
        <f>$W317*AO317+$L317*Summary_LCIA!AF$32</f>
        <v>5.4089554044948716E-2</v>
      </c>
      <c r="BK317" s="137">
        <f>$W317*AP317+$L317*Summary_LCIA!AG$32</f>
        <v>7.8130807249487105E-3</v>
      </c>
      <c r="BL317" s="137">
        <f>$W317*AQ317+$L317*Summary_LCIA!AH$32</f>
        <v>1.1781956372804709</v>
      </c>
      <c r="BM317" s="137">
        <f>$W317*AR317+$L317*Summary_LCIA!AI$32</f>
        <v>0.33547596525628876</v>
      </c>
    </row>
    <row r="318" spans="1:65" x14ac:dyDescent="0.25">
      <c r="A318" s="149">
        <v>39</v>
      </c>
      <c r="B318" s="149">
        <v>6</v>
      </c>
      <c r="C318" s="61">
        <v>39.740726000000002</v>
      </c>
      <c r="D318" s="61">
        <v>-105.168615</v>
      </c>
      <c r="E318" s="61" t="s">
        <v>265</v>
      </c>
      <c r="F318" s="149">
        <v>16</v>
      </c>
      <c r="G318" s="61" t="s">
        <v>565</v>
      </c>
      <c r="H318" s="61" t="s">
        <v>645</v>
      </c>
      <c r="I318" s="61">
        <v>39.856096000000001</v>
      </c>
      <c r="J318" s="61">
        <v>-104.673738</v>
      </c>
      <c r="K318" s="61">
        <v>45.014100849999998</v>
      </c>
      <c r="L318" s="61">
        <v>58.618000000000002</v>
      </c>
      <c r="M318" s="61" t="s">
        <v>617</v>
      </c>
      <c r="N318" s="149">
        <v>5</v>
      </c>
      <c r="O318" s="149">
        <v>6</v>
      </c>
      <c r="P318" s="61" t="s">
        <v>565</v>
      </c>
      <c r="Q318" s="61" t="s">
        <v>564</v>
      </c>
      <c r="R318" s="61">
        <v>41.98028</v>
      </c>
      <c r="S318" s="61">
        <v>-87.908997900000003</v>
      </c>
      <c r="T318" s="61">
        <v>1623.68</v>
      </c>
      <c r="U318" s="61" t="s">
        <v>617</v>
      </c>
      <c r="V318" s="61" t="s">
        <v>569</v>
      </c>
      <c r="W318" s="61" cm="1">
        <f t="array" ref="W318">getDistance(I318,J318,R318,S318)*SA!$B$12</f>
        <v>1429.4950991616145</v>
      </c>
      <c r="Y318" s="137">
        <f>Transportation_LCIA!C$61*($W318^Transportation_LCIA!C$60)+Transportation_LCIA!C$62</f>
        <v>0.20349821617970421</v>
      </c>
      <c r="Z318" s="137">
        <f>Transportation_LCIA!D$61*($W318^Transportation_LCIA!D$60)+Transportation_LCIA!D$62</f>
        <v>2.0501411564925682</v>
      </c>
      <c r="AA318" s="137">
        <f>Transportation_LCIA!E$61*($W318^Transportation_LCIA!E$60)+Transportation_LCIA!E$62</f>
        <v>8.9799039356792888E-4</v>
      </c>
      <c r="AB318" s="137">
        <f>Transportation_LCIA!F$61*($W318^Transportation_LCIA!F$60)+Transportation_LCIA!F$62</f>
        <v>0.20349821617970421</v>
      </c>
      <c r="AC318" s="137">
        <f>Transportation_LCIA!G$61*($W318^Transportation_LCIA!G$60)+Transportation_LCIA!G$62</f>
        <v>4.8000028211733513E-2</v>
      </c>
      <c r="AD318" s="137">
        <f>Transportation_LCIA!H$61*($W318^Transportation_LCIA!H$60)+Transportation_LCIA!H$62</f>
        <v>2.2285424318591637E-4</v>
      </c>
      <c r="AE318" s="137">
        <f>Transportation_LCIA!I$61*($W318^Transportation_LCIA!I$60)+Transportation_LCIA!I$62</f>
        <v>4.571174071441499E-6</v>
      </c>
      <c r="AF318" s="137">
        <f>Transportation_LCIA!J$61*($W318^Transportation_LCIA!J$60)+Transportation_LCIA!J$62</f>
        <v>6.7618339751164165E-3</v>
      </c>
      <c r="AG318" s="137">
        <f>Transportation_LCIA!K$61*($W318^Transportation_LCIA!K$60)+Transportation_LCIA!K$62</f>
        <v>1.0036647213890358E-2</v>
      </c>
      <c r="AH318" s="137">
        <f>Transportation_LCIA!L$61*($W318^Transportation_LCIA!L$60)+Transportation_LCIA!L$62</f>
        <v>1.9038435373879868E-4</v>
      </c>
      <c r="AI318" s="137">
        <f>Transportation_LCIA!M$61*($W318^Transportation_LCIA!M$60)+Transportation_LCIA!M$62</f>
        <v>2.1384473386264609E-4</v>
      </c>
      <c r="AJ318" s="137">
        <f>Transportation_LCIA!N$61*($W318^Transportation_LCIA!N$60)+Transportation_LCIA!N$62</f>
        <v>8.0839367892004054E-4</v>
      </c>
      <c r="AK318" s="137">
        <f>Transportation_LCIA!O$61*($W318^Transportation_LCIA!O$60)+Transportation_LCIA!O$62</f>
        <v>5.067209999252372E-5</v>
      </c>
      <c r="AL318" s="137">
        <f>Transportation_LCIA!P$61*($W318^Transportation_LCIA!P$60)+Transportation_LCIA!P$62</f>
        <v>2.4529050433273688E-8</v>
      </c>
      <c r="AM318" s="137">
        <f>Transportation_LCIA!Q$61*($W318^Transportation_LCIA!Q$60)+Transportation_LCIA!Q$62</f>
        <v>7.5620829602403238E-5</v>
      </c>
      <c r="AN318" s="137">
        <f>Transportation_LCIA!R$61*($W318^Transportation_LCIA!R$60)+Transportation_LCIA!R$62</f>
        <v>2.2005485991627286E-4</v>
      </c>
      <c r="AO318" s="137">
        <f>Transportation_LCIA!S$61*($W318^Transportation_LCIA!S$60)+Transportation_LCIA!S$62</f>
        <v>3.3802166707550345E-6</v>
      </c>
      <c r="AP318" s="137">
        <f>Transportation_LCIA!T$61*($W318^Transportation_LCIA!T$60)+Transportation_LCIA!T$62</f>
        <v>3.3802166707550345E-6</v>
      </c>
      <c r="AQ318" s="137">
        <f>Transportation_LCIA!U$61*($W318^Transportation_LCIA!U$60)+Transportation_LCIA!U$62</f>
        <v>4.6945882310058874E-4</v>
      </c>
      <c r="AR318" s="137">
        <f>Transportation_LCIA!V$61*($W318^Transportation_LCIA!V$60)+Transportation_LCIA!V$62</f>
        <v>1.9671290669076797E-4</v>
      </c>
      <c r="AT318" s="137">
        <f>$W318*Y318+$L318*Summary_LCIA!H$32</f>
        <v>310.81809911701794</v>
      </c>
      <c r="AU318" s="137">
        <f>$W318*Z318+$L318*Summary_LCIA!Q$32</f>
        <v>3221.1805000772447</v>
      </c>
      <c r="AV318" s="137">
        <f>$W318*AA318+$L318*Summary_LCIA!R$32</f>
        <v>1.5923318074995636</v>
      </c>
      <c r="AW318" s="137">
        <f>$W318*AB318+$L318*Summary_LCIA!S$32</f>
        <v>310.55900755701794</v>
      </c>
      <c r="AX318" s="137">
        <f>$W318*AC318+$L318*Summary_LCIA!T$32</f>
        <v>75.057923288292287</v>
      </c>
      <c r="AY318" s="137">
        <f>$W318*AD318+$L318*Summary_LCIA!U$32</f>
        <v>1.3686519004616382</v>
      </c>
      <c r="AZ318" s="137">
        <f>$W318*AE318+$L318*Summary_LCIA!V$32</f>
        <v>9.3341252305402661E-3</v>
      </c>
      <c r="BA318" s="137">
        <f>$W318*AF318+$L318*Summary_LCIA!W$32</f>
        <v>14.177894606773416</v>
      </c>
      <c r="BB318" s="137">
        <f>$W318*AG318+$L318*Summary_LCIA!X$32</f>
        <v>15.68265604427034</v>
      </c>
      <c r="BC318" s="137">
        <f>$W318*AH318+$L318*Summary_LCIA!Y$32</f>
        <v>1.1855391766266639</v>
      </c>
      <c r="BD318" s="137">
        <f>$W318*AI318+$L318*Summary_LCIA!Z$32</f>
        <v>0.30809386460017235</v>
      </c>
      <c r="BE318" s="137">
        <f>$W318*AJ318+$L318*Summary_LCIA!AA$32</f>
        <v>2.5246768102094257</v>
      </c>
      <c r="BF318" s="137">
        <f>$W318*AK318+$L318*Summary_LCIA!AB$32</f>
        <v>7.1156297989539943E-2</v>
      </c>
      <c r="BG318" s="137">
        <f>$W318*AL318+$L318*Summary_LCIA!AC$32</f>
        <v>3.7929639693452813E-5</v>
      </c>
      <c r="BH318" s="137">
        <f>$W318*AM318+$L318*Summary_LCIA!AD$32</f>
        <v>0.13219394803117096</v>
      </c>
      <c r="BI318" s="137">
        <f>$W318*AN318+$L318*Summary_LCIA!AE$32</f>
        <v>0.36651051213700769</v>
      </c>
      <c r="BJ318" s="137">
        <f>$W318*AO318+$L318*Summary_LCIA!AF$32</f>
        <v>5.438883272494871E-2</v>
      </c>
      <c r="BK318" s="137">
        <f>$W318*AP318+$L318*Summary_LCIA!AG$32</f>
        <v>7.8311931349487104E-3</v>
      </c>
      <c r="BL318" s="137">
        <f>$W318*AQ318+$L318*Summary_LCIA!AH$32</f>
        <v>1.181276711680471</v>
      </c>
      <c r="BM318" s="137">
        <f>$W318*AR318+$L318*Summary_LCIA!AI$32</f>
        <v>0.33580573395628877</v>
      </c>
    </row>
    <row r="319" spans="1:65" x14ac:dyDescent="0.25">
      <c r="A319" s="149">
        <v>40</v>
      </c>
      <c r="B319" s="149">
        <v>6</v>
      </c>
      <c r="C319" s="61">
        <v>39.740726000000002</v>
      </c>
      <c r="D319" s="61">
        <v>-105.168615</v>
      </c>
      <c r="E319" s="61" t="s">
        <v>265</v>
      </c>
      <c r="F319" s="149">
        <v>16</v>
      </c>
      <c r="G319" s="61" t="s">
        <v>565</v>
      </c>
      <c r="H319" s="61" t="s">
        <v>645</v>
      </c>
      <c r="I319" s="61">
        <v>39.856096000000001</v>
      </c>
      <c r="J319" s="61">
        <v>-104.673738</v>
      </c>
      <c r="K319" s="61">
        <v>45.014100849999998</v>
      </c>
      <c r="L319" s="61">
        <v>58.618000000000002</v>
      </c>
      <c r="M319" s="61" t="s">
        <v>617</v>
      </c>
      <c r="N319" s="149">
        <v>5</v>
      </c>
      <c r="O319" s="149">
        <v>6</v>
      </c>
      <c r="P319" s="61" t="s">
        <v>565</v>
      </c>
      <c r="Q319" s="61" t="s">
        <v>564</v>
      </c>
      <c r="R319" s="61">
        <v>41.98028</v>
      </c>
      <c r="S319" s="61">
        <v>-87.908997900000003</v>
      </c>
      <c r="T319" s="61">
        <v>1623.68</v>
      </c>
      <c r="U319" s="61" t="s">
        <v>617</v>
      </c>
      <c r="V319" s="61" t="s">
        <v>569</v>
      </c>
      <c r="W319" s="61" cm="1">
        <f t="array" ref="W319">getDistance(I319,J319,R319,S319)*SA!$B$12</f>
        <v>1429.4950991616145</v>
      </c>
      <c r="Y319" s="137">
        <f>Transportation_LCIA!C$61*($W319^Transportation_LCIA!C$60)+Transportation_LCIA!C$62</f>
        <v>0.20349821617970421</v>
      </c>
      <c r="Z319" s="137">
        <f>Transportation_LCIA!D$61*($W319^Transportation_LCIA!D$60)+Transportation_LCIA!D$62</f>
        <v>2.0501411564925682</v>
      </c>
      <c r="AA319" s="137">
        <f>Transportation_LCIA!E$61*($W319^Transportation_LCIA!E$60)+Transportation_LCIA!E$62</f>
        <v>8.9799039356792888E-4</v>
      </c>
      <c r="AB319" s="137">
        <f>Transportation_LCIA!F$61*($W319^Transportation_LCIA!F$60)+Transportation_LCIA!F$62</f>
        <v>0.20349821617970421</v>
      </c>
      <c r="AC319" s="137">
        <f>Transportation_LCIA!G$61*($W319^Transportation_LCIA!G$60)+Transportation_LCIA!G$62</f>
        <v>4.8000028211733513E-2</v>
      </c>
      <c r="AD319" s="137">
        <f>Transportation_LCIA!H$61*($W319^Transportation_LCIA!H$60)+Transportation_LCIA!H$62</f>
        <v>2.2285424318591637E-4</v>
      </c>
      <c r="AE319" s="137">
        <f>Transportation_LCIA!I$61*($W319^Transportation_LCIA!I$60)+Transportation_LCIA!I$62</f>
        <v>4.571174071441499E-6</v>
      </c>
      <c r="AF319" s="137">
        <f>Transportation_LCIA!J$61*($W319^Transportation_LCIA!J$60)+Transportation_LCIA!J$62</f>
        <v>6.7618339751164165E-3</v>
      </c>
      <c r="AG319" s="137">
        <f>Transportation_LCIA!K$61*($W319^Transportation_LCIA!K$60)+Transportation_LCIA!K$62</f>
        <v>1.0036647213890358E-2</v>
      </c>
      <c r="AH319" s="137">
        <f>Transportation_LCIA!L$61*($W319^Transportation_LCIA!L$60)+Transportation_LCIA!L$62</f>
        <v>1.9038435373879868E-4</v>
      </c>
      <c r="AI319" s="137">
        <f>Transportation_LCIA!M$61*($W319^Transportation_LCIA!M$60)+Transportation_LCIA!M$62</f>
        <v>2.1384473386264609E-4</v>
      </c>
      <c r="AJ319" s="137">
        <f>Transportation_LCIA!N$61*($W319^Transportation_LCIA!N$60)+Transportation_LCIA!N$62</f>
        <v>8.0839367892004054E-4</v>
      </c>
      <c r="AK319" s="137">
        <f>Transportation_LCIA!O$61*($W319^Transportation_LCIA!O$60)+Transportation_LCIA!O$62</f>
        <v>5.067209999252372E-5</v>
      </c>
      <c r="AL319" s="137">
        <f>Transportation_LCIA!P$61*($W319^Transportation_LCIA!P$60)+Transportation_LCIA!P$62</f>
        <v>2.4529050433273688E-8</v>
      </c>
      <c r="AM319" s="137">
        <f>Transportation_LCIA!Q$61*($W319^Transportation_LCIA!Q$60)+Transportation_LCIA!Q$62</f>
        <v>7.5620829602403238E-5</v>
      </c>
      <c r="AN319" s="137">
        <f>Transportation_LCIA!R$61*($W319^Transportation_LCIA!R$60)+Transportation_LCIA!R$62</f>
        <v>2.2005485991627286E-4</v>
      </c>
      <c r="AO319" s="137">
        <f>Transportation_LCIA!S$61*($W319^Transportation_LCIA!S$60)+Transportation_LCIA!S$62</f>
        <v>3.3802166707550345E-6</v>
      </c>
      <c r="AP319" s="137">
        <f>Transportation_LCIA!T$61*($W319^Transportation_LCIA!T$60)+Transportation_LCIA!T$62</f>
        <v>3.3802166707550345E-6</v>
      </c>
      <c r="AQ319" s="137">
        <f>Transportation_LCIA!U$61*($W319^Transportation_LCIA!U$60)+Transportation_LCIA!U$62</f>
        <v>4.6945882310058874E-4</v>
      </c>
      <c r="AR319" s="137">
        <f>Transportation_LCIA!V$61*($W319^Transportation_LCIA!V$60)+Transportation_LCIA!V$62</f>
        <v>1.9671290669076797E-4</v>
      </c>
      <c r="AT319" s="137">
        <f>$W319*Y319+$L319*Summary_LCIA!H$32</f>
        <v>310.81809911701794</v>
      </c>
      <c r="AU319" s="137">
        <f>$W319*Z319+$L319*Summary_LCIA!Q$32</f>
        <v>3221.1805000772447</v>
      </c>
      <c r="AV319" s="137">
        <f>$W319*AA319+$L319*Summary_LCIA!R$32</f>
        <v>1.5923318074995636</v>
      </c>
      <c r="AW319" s="137">
        <f>$W319*AB319+$L319*Summary_LCIA!S$32</f>
        <v>310.55900755701794</v>
      </c>
      <c r="AX319" s="137">
        <f>$W319*AC319+$L319*Summary_LCIA!T$32</f>
        <v>75.057923288292287</v>
      </c>
      <c r="AY319" s="137">
        <f>$W319*AD319+$L319*Summary_LCIA!U$32</f>
        <v>1.3686519004616382</v>
      </c>
      <c r="AZ319" s="137">
        <f>$W319*AE319+$L319*Summary_LCIA!V$32</f>
        <v>9.3341252305402661E-3</v>
      </c>
      <c r="BA319" s="137">
        <f>$W319*AF319+$L319*Summary_LCIA!W$32</f>
        <v>14.177894606773416</v>
      </c>
      <c r="BB319" s="137">
        <f>$W319*AG319+$L319*Summary_LCIA!X$32</f>
        <v>15.68265604427034</v>
      </c>
      <c r="BC319" s="137">
        <f>$W319*AH319+$L319*Summary_LCIA!Y$32</f>
        <v>1.1855391766266639</v>
      </c>
      <c r="BD319" s="137">
        <f>$W319*AI319+$L319*Summary_LCIA!Z$32</f>
        <v>0.30809386460017235</v>
      </c>
      <c r="BE319" s="137">
        <f>$W319*AJ319+$L319*Summary_LCIA!AA$32</f>
        <v>2.5246768102094257</v>
      </c>
      <c r="BF319" s="137">
        <f>$W319*AK319+$L319*Summary_LCIA!AB$32</f>
        <v>7.1156297989539943E-2</v>
      </c>
      <c r="BG319" s="137">
        <f>$W319*AL319+$L319*Summary_LCIA!AC$32</f>
        <v>3.7929639693452813E-5</v>
      </c>
      <c r="BH319" s="137">
        <f>$W319*AM319+$L319*Summary_LCIA!AD$32</f>
        <v>0.13219394803117096</v>
      </c>
      <c r="BI319" s="137">
        <f>$W319*AN319+$L319*Summary_LCIA!AE$32</f>
        <v>0.36651051213700769</v>
      </c>
      <c r="BJ319" s="137">
        <f>$W319*AO319+$L319*Summary_LCIA!AF$32</f>
        <v>5.438883272494871E-2</v>
      </c>
      <c r="BK319" s="137">
        <f>$W319*AP319+$L319*Summary_LCIA!AG$32</f>
        <v>7.8311931349487104E-3</v>
      </c>
      <c r="BL319" s="137">
        <f>$W319*AQ319+$L319*Summary_LCIA!AH$32</f>
        <v>1.181276711680471</v>
      </c>
      <c r="BM319" s="137">
        <f>$W319*AR319+$L319*Summary_LCIA!AI$32</f>
        <v>0.33580573395628877</v>
      </c>
    </row>
    <row r="320" spans="1:65" x14ac:dyDescent="0.25">
      <c r="A320" s="149">
        <v>36</v>
      </c>
      <c r="B320" s="149">
        <v>6</v>
      </c>
      <c r="C320" s="61">
        <v>39.750858999999998</v>
      </c>
      <c r="D320" s="61">
        <v>-105.22386899999999</v>
      </c>
      <c r="E320" s="61" t="s">
        <v>265</v>
      </c>
      <c r="F320" s="149">
        <v>16</v>
      </c>
      <c r="G320" s="61" t="s">
        <v>565</v>
      </c>
      <c r="H320" s="61" t="s">
        <v>645</v>
      </c>
      <c r="I320" s="61">
        <v>39.856096000000001</v>
      </c>
      <c r="J320" s="61">
        <v>-104.673738</v>
      </c>
      <c r="K320" s="61">
        <v>48.817587850000002</v>
      </c>
      <c r="L320" s="61">
        <v>58.978000000000002</v>
      </c>
      <c r="M320" s="61" t="s">
        <v>617</v>
      </c>
      <c r="N320" s="149">
        <v>5</v>
      </c>
      <c r="O320" s="149">
        <v>6</v>
      </c>
      <c r="P320" s="61" t="s">
        <v>565</v>
      </c>
      <c r="Q320" s="61" t="s">
        <v>564</v>
      </c>
      <c r="R320" s="61">
        <v>41.98028</v>
      </c>
      <c r="S320" s="61">
        <v>-87.908997900000003</v>
      </c>
      <c r="T320" s="61">
        <v>1624.04</v>
      </c>
      <c r="U320" s="61" t="s">
        <v>617</v>
      </c>
      <c r="V320" s="61" t="s">
        <v>569</v>
      </c>
      <c r="W320" s="61" cm="1">
        <f t="array" ref="W320">getDistance(I320,J320,R320,S320)*SA!$B$12</f>
        <v>1429.4950991616145</v>
      </c>
      <c r="Y320" s="137">
        <f>Transportation_LCIA!C$61*($W320^Transportation_LCIA!C$60)+Transportation_LCIA!C$62</f>
        <v>0.20349821617970421</v>
      </c>
      <c r="Z320" s="137">
        <f>Transportation_LCIA!D$61*($W320^Transportation_LCIA!D$60)+Transportation_LCIA!D$62</f>
        <v>2.0501411564925682</v>
      </c>
      <c r="AA320" s="137">
        <f>Transportation_LCIA!E$61*($W320^Transportation_LCIA!E$60)+Transportation_LCIA!E$62</f>
        <v>8.9799039356792888E-4</v>
      </c>
      <c r="AB320" s="137">
        <f>Transportation_LCIA!F$61*($W320^Transportation_LCIA!F$60)+Transportation_LCIA!F$62</f>
        <v>0.20349821617970421</v>
      </c>
      <c r="AC320" s="137">
        <f>Transportation_LCIA!G$61*($W320^Transportation_LCIA!G$60)+Transportation_LCIA!G$62</f>
        <v>4.8000028211733513E-2</v>
      </c>
      <c r="AD320" s="137">
        <f>Transportation_LCIA!H$61*($W320^Transportation_LCIA!H$60)+Transportation_LCIA!H$62</f>
        <v>2.2285424318591637E-4</v>
      </c>
      <c r="AE320" s="137">
        <f>Transportation_LCIA!I$61*($W320^Transportation_LCIA!I$60)+Transportation_LCIA!I$62</f>
        <v>4.571174071441499E-6</v>
      </c>
      <c r="AF320" s="137">
        <f>Transportation_LCIA!J$61*($W320^Transportation_LCIA!J$60)+Transportation_LCIA!J$62</f>
        <v>6.7618339751164165E-3</v>
      </c>
      <c r="AG320" s="137">
        <f>Transportation_LCIA!K$61*($W320^Transportation_LCIA!K$60)+Transportation_LCIA!K$62</f>
        <v>1.0036647213890358E-2</v>
      </c>
      <c r="AH320" s="137">
        <f>Transportation_LCIA!L$61*($W320^Transportation_LCIA!L$60)+Transportation_LCIA!L$62</f>
        <v>1.9038435373879868E-4</v>
      </c>
      <c r="AI320" s="137">
        <f>Transportation_LCIA!M$61*($W320^Transportation_LCIA!M$60)+Transportation_LCIA!M$62</f>
        <v>2.1384473386264609E-4</v>
      </c>
      <c r="AJ320" s="137">
        <f>Transportation_LCIA!N$61*($W320^Transportation_LCIA!N$60)+Transportation_LCIA!N$62</f>
        <v>8.0839367892004054E-4</v>
      </c>
      <c r="AK320" s="137">
        <f>Transportation_LCIA!O$61*($W320^Transportation_LCIA!O$60)+Transportation_LCIA!O$62</f>
        <v>5.067209999252372E-5</v>
      </c>
      <c r="AL320" s="137">
        <f>Transportation_LCIA!P$61*($W320^Transportation_LCIA!P$60)+Transportation_LCIA!P$62</f>
        <v>2.4529050433273688E-8</v>
      </c>
      <c r="AM320" s="137">
        <f>Transportation_LCIA!Q$61*($W320^Transportation_LCIA!Q$60)+Transportation_LCIA!Q$62</f>
        <v>7.5620829602403238E-5</v>
      </c>
      <c r="AN320" s="137">
        <f>Transportation_LCIA!R$61*($W320^Transportation_LCIA!R$60)+Transportation_LCIA!R$62</f>
        <v>2.2005485991627286E-4</v>
      </c>
      <c r="AO320" s="137">
        <f>Transportation_LCIA!S$61*($W320^Transportation_LCIA!S$60)+Transportation_LCIA!S$62</f>
        <v>3.3802166707550345E-6</v>
      </c>
      <c r="AP320" s="137">
        <f>Transportation_LCIA!T$61*($W320^Transportation_LCIA!T$60)+Transportation_LCIA!T$62</f>
        <v>3.3802166707550345E-6</v>
      </c>
      <c r="AQ320" s="137">
        <f>Transportation_LCIA!U$61*($W320^Transportation_LCIA!U$60)+Transportation_LCIA!U$62</f>
        <v>4.6945882310058874E-4</v>
      </c>
      <c r="AR320" s="137">
        <f>Transportation_LCIA!V$61*($W320^Transportation_LCIA!V$60)+Transportation_LCIA!V$62</f>
        <v>1.9671290669076797E-4</v>
      </c>
      <c r="AT320" s="137">
        <f>$W320*Y320+$L320*Summary_LCIA!H$32</f>
        <v>310.94042711701792</v>
      </c>
      <c r="AU320" s="137">
        <f>$W320*Z320+$L320*Summary_LCIA!Q$32</f>
        <v>3222.9646782331247</v>
      </c>
      <c r="AV320" s="137">
        <f>$W320*AA320+$L320*Summary_LCIA!R$32</f>
        <v>1.5942274234995635</v>
      </c>
      <c r="AW320" s="137">
        <f>$W320*AB320+$L320*Summary_LCIA!S$32</f>
        <v>310.67974435701791</v>
      </c>
      <c r="AX320" s="137">
        <f>$W320*AC320+$L320*Summary_LCIA!T$32</f>
        <v>75.097487288292285</v>
      </c>
      <c r="AY320" s="137">
        <f>$W320*AD320+$L320*Summary_LCIA!U$32</f>
        <v>1.3751009404616381</v>
      </c>
      <c r="AZ320" s="137">
        <f>$W320*AE320+$L320*Summary_LCIA!V$32</f>
        <v>9.3513191905402679E-3</v>
      </c>
      <c r="BA320" s="137">
        <f>$W320*AF320+$L320*Summary_LCIA!W$32</f>
        <v>14.205604166773416</v>
      </c>
      <c r="BB320" s="137">
        <f>$W320*AG320+$L320*Summary_LCIA!X$32</f>
        <v>15.690856844270339</v>
      </c>
      <c r="BC320" s="137">
        <f>$W320*AH320+$L320*Summary_LCIA!Y$32</f>
        <v>1.191148696626664</v>
      </c>
      <c r="BD320" s="137">
        <f>$W320*AI320+$L320*Summary_LCIA!Z$32</f>
        <v>0.30810862784017234</v>
      </c>
      <c r="BE320" s="137">
        <f>$W320*AJ320+$L320*Summary_LCIA!AA$32</f>
        <v>2.5330849702094258</v>
      </c>
      <c r="BF320" s="137">
        <f>$W320*AK320+$L320*Summary_LCIA!AB$32</f>
        <v>7.1148441709539947E-2</v>
      </c>
      <c r="BG320" s="137">
        <f>$W320*AL320+$L320*Summary_LCIA!AC$32</f>
        <v>3.7947237933452815E-5</v>
      </c>
      <c r="BH320" s="137">
        <f>$W320*AM320+$L320*Summary_LCIA!AD$32</f>
        <v>0.13234192243117096</v>
      </c>
      <c r="BI320" s="137">
        <f>$W320*AN320+$L320*Summary_LCIA!AE$32</f>
        <v>0.36682951893700766</v>
      </c>
      <c r="BJ320" s="137">
        <f>$W320*AO320+$L320*Summary_LCIA!AF$32</f>
        <v>5.4693183924948714E-2</v>
      </c>
      <c r="BK320" s="137">
        <f>$W320*AP320+$L320*Summary_LCIA!AG$32</f>
        <v>7.8496125349487109E-3</v>
      </c>
      <c r="BL320" s="137">
        <f>$W320*AQ320+$L320*Summary_LCIA!AH$32</f>
        <v>1.1844100076804709</v>
      </c>
      <c r="BM320" s="137">
        <f>$W320*AR320+$L320*Summary_LCIA!AI$32</f>
        <v>0.33614109195628872</v>
      </c>
    </row>
    <row r="321" spans="1:65" x14ac:dyDescent="0.25">
      <c r="A321" s="149">
        <v>37</v>
      </c>
      <c r="B321" s="149">
        <v>6</v>
      </c>
      <c r="C321" s="61">
        <v>39.750858999999998</v>
      </c>
      <c r="D321" s="61">
        <v>-105.22386899999999</v>
      </c>
      <c r="E321" s="61" t="s">
        <v>265</v>
      </c>
      <c r="F321" s="149">
        <v>16</v>
      </c>
      <c r="G321" s="61" t="s">
        <v>565</v>
      </c>
      <c r="H321" s="61" t="s">
        <v>645</v>
      </c>
      <c r="I321" s="61">
        <v>39.856096000000001</v>
      </c>
      <c r="J321" s="61">
        <v>-104.673738</v>
      </c>
      <c r="K321" s="61">
        <v>48.817587850000002</v>
      </c>
      <c r="L321" s="61">
        <v>58.978000000000002</v>
      </c>
      <c r="M321" s="61" t="s">
        <v>617</v>
      </c>
      <c r="N321" s="149">
        <v>5</v>
      </c>
      <c r="O321" s="149">
        <v>6</v>
      </c>
      <c r="P321" s="61" t="s">
        <v>565</v>
      </c>
      <c r="Q321" s="61" t="s">
        <v>564</v>
      </c>
      <c r="R321" s="61">
        <v>41.98028</v>
      </c>
      <c r="S321" s="61">
        <v>-87.908997900000003</v>
      </c>
      <c r="T321" s="61">
        <v>1624.04</v>
      </c>
      <c r="U321" s="61" t="s">
        <v>617</v>
      </c>
      <c r="V321" s="61" t="s">
        <v>569</v>
      </c>
      <c r="W321" s="61" cm="1">
        <f t="array" ref="W321">getDistance(I321,J321,R321,S321)*SA!$B$12</f>
        <v>1429.4950991616145</v>
      </c>
      <c r="Y321" s="137">
        <f>Transportation_LCIA!C$61*($W321^Transportation_LCIA!C$60)+Transportation_LCIA!C$62</f>
        <v>0.20349821617970421</v>
      </c>
      <c r="Z321" s="137">
        <f>Transportation_LCIA!D$61*($W321^Transportation_LCIA!D$60)+Transportation_LCIA!D$62</f>
        <v>2.0501411564925682</v>
      </c>
      <c r="AA321" s="137">
        <f>Transportation_LCIA!E$61*($W321^Transportation_LCIA!E$60)+Transportation_LCIA!E$62</f>
        <v>8.9799039356792888E-4</v>
      </c>
      <c r="AB321" s="137">
        <f>Transportation_LCIA!F$61*($W321^Transportation_LCIA!F$60)+Transportation_LCIA!F$62</f>
        <v>0.20349821617970421</v>
      </c>
      <c r="AC321" s="137">
        <f>Transportation_LCIA!G$61*($W321^Transportation_LCIA!G$60)+Transportation_LCIA!G$62</f>
        <v>4.8000028211733513E-2</v>
      </c>
      <c r="AD321" s="137">
        <f>Transportation_LCIA!H$61*($W321^Transportation_LCIA!H$60)+Transportation_LCIA!H$62</f>
        <v>2.2285424318591637E-4</v>
      </c>
      <c r="AE321" s="137">
        <f>Transportation_LCIA!I$61*($W321^Transportation_LCIA!I$60)+Transportation_LCIA!I$62</f>
        <v>4.571174071441499E-6</v>
      </c>
      <c r="AF321" s="137">
        <f>Transportation_LCIA!J$61*($W321^Transportation_LCIA!J$60)+Transportation_LCIA!J$62</f>
        <v>6.7618339751164165E-3</v>
      </c>
      <c r="AG321" s="137">
        <f>Transportation_LCIA!K$61*($W321^Transportation_LCIA!K$60)+Transportation_LCIA!K$62</f>
        <v>1.0036647213890358E-2</v>
      </c>
      <c r="AH321" s="137">
        <f>Transportation_LCIA!L$61*($W321^Transportation_LCIA!L$60)+Transportation_LCIA!L$62</f>
        <v>1.9038435373879868E-4</v>
      </c>
      <c r="AI321" s="137">
        <f>Transportation_LCIA!M$61*($W321^Transportation_LCIA!M$60)+Transportation_LCIA!M$62</f>
        <v>2.1384473386264609E-4</v>
      </c>
      <c r="AJ321" s="137">
        <f>Transportation_LCIA!N$61*($W321^Transportation_LCIA!N$60)+Transportation_LCIA!N$62</f>
        <v>8.0839367892004054E-4</v>
      </c>
      <c r="AK321" s="137">
        <f>Transportation_LCIA!O$61*($W321^Transportation_LCIA!O$60)+Transportation_LCIA!O$62</f>
        <v>5.067209999252372E-5</v>
      </c>
      <c r="AL321" s="137">
        <f>Transportation_LCIA!P$61*($W321^Transportation_LCIA!P$60)+Transportation_LCIA!P$62</f>
        <v>2.4529050433273688E-8</v>
      </c>
      <c r="AM321" s="137">
        <f>Transportation_LCIA!Q$61*($W321^Transportation_LCIA!Q$60)+Transportation_LCIA!Q$62</f>
        <v>7.5620829602403238E-5</v>
      </c>
      <c r="AN321" s="137">
        <f>Transportation_LCIA!R$61*($W321^Transportation_LCIA!R$60)+Transportation_LCIA!R$62</f>
        <v>2.2005485991627286E-4</v>
      </c>
      <c r="AO321" s="137">
        <f>Transportation_LCIA!S$61*($W321^Transportation_LCIA!S$60)+Transportation_LCIA!S$62</f>
        <v>3.3802166707550345E-6</v>
      </c>
      <c r="AP321" s="137">
        <f>Transportation_LCIA!T$61*($W321^Transportation_LCIA!T$60)+Transportation_LCIA!T$62</f>
        <v>3.3802166707550345E-6</v>
      </c>
      <c r="AQ321" s="137">
        <f>Transportation_LCIA!U$61*($W321^Transportation_LCIA!U$60)+Transportation_LCIA!U$62</f>
        <v>4.6945882310058874E-4</v>
      </c>
      <c r="AR321" s="137">
        <f>Transportation_LCIA!V$61*($W321^Transportation_LCIA!V$60)+Transportation_LCIA!V$62</f>
        <v>1.9671290669076797E-4</v>
      </c>
      <c r="AT321" s="137">
        <f>$W321*Y321+$L321*Summary_LCIA!H$32</f>
        <v>310.94042711701792</v>
      </c>
      <c r="AU321" s="137">
        <f>$W321*Z321+$L321*Summary_LCIA!Q$32</f>
        <v>3222.9646782331247</v>
      </c>
      <c r="AV321" s="137">
        <f>$W321*AA321+$L321*Summary_LCIA!R$32</f>
        <v>1.5942274234995635</v>
      </c>
      <c r="AW321" s="137">
        <f>$W321*AB321+$L321*Summary_LCIA!S$32</f>
        <v>310.67974435701791</v>
      </c>
      <c r="AX321" s="137">
        <f>$W321*AC321+$L321*Summary_LCIA!T$32</f>
        <v>75.097487288292285</v>
      </c>
      <c r="AY321" s="137">
        <f>$W321*AD321+$L321*Summary_LCIA!U$32</f>
        <v>1.3751009404616381</v>
      </c>
      <c r="AZ321" s="137">
        <f>$W321*AE321+$L321*Summary_LCIA!V$32</f>
        <v>9.3513191905402679E-3</v>
      </c>
      <c r="BA321" s="137">
        <f>$W321*AF321+$L321*Summary_LCIA!W$32</f>
        <v>14.205604166773416</v>
      </c>
      <c r="BB321" s="137">
        <f>$W321*AG321+$L321*Summary_LCIA!X$32</f>
        <v>15.690856844270339</v>
      </c>
      <c r="BC321" s="137">
        <f>$W321*AH321+$L321*Summary_LCIA!Y$32</f>
        <v>1.191148696626664</v>
      </c>
      <c r="BD321" s="137">
        <f>$W321*AI321+$L321*Summary_LCIA!Z$32</f>
        <v>0.30810862784017234</v>
      </c>
      <c r="BE321" s="137">
        <f>$W321*AJ321+$L321*Summary_LCIA!AA$32</f>
        <v>2.5330849702094258</v>
      </c>
      <c r="BF321" s="137">
        <f>$W321*AK321+$L321*Summary_LCIA!AB$32</f>
        <v>7.1148441709539947E-2</v>
      </c>
      <c r="BG321" s="137">
        <f>$W321*AL321+$L321*Summary_LCIA!AC$32</f>
        <v>3.7947237933452815E-5</v>
      </c>
      <c r="BH321" s="137">
        <f>$W321*AM321+$L321*Summary_LCIA!AD$32</f>
        <v>0.13234192243117096</v>
      </c>
      <c r="BI321" s="137">
        <f>$W321*AN321+$L321*Summary_LCIA!AE$32</f>
        <v>0.36682951893700766</v>
      </c>
      <c r="BJ321" s="137">
        <f>$W321*AO321+$L321*Summary_LCIA!AF$32</f>
        <v>5.4693183924948714E-2</v>
      </c>
      <c r="BK321" s="137">
        <f>$W321*AP321+$L321*Summary_LCIA!AG$32</f>
        <v>7.8496125349487109E-3</v>
      </c>
      <c r="BL321" s="137">
        <f>$W321*AQ321+$L321*Summary_LCIA!AH$32</f>
        <v>1.1844100076804709</v>
      </c>
      <c r="BM321" s="137">
        <f>$W321*AR321+$L321*Summary_LCIA!AI$32</f>
        <v>0.33614109195628872</v>
      </c>
    </row>
    <row r="322" spans="1:65" x14ac:dyDescent="0.25">
      <c r="A322" s="149">
        <v>38</v>
      </c>
      <c r="B322" s="149">
        <v>6</v>
      </c>
      <c r="C322" s="61">
        <v>39.750858999999998</v>
      </c>
      <c r="D322" s="61">
        <v>-105.22386899999999</v>
      </c>
      <c r="E322" s="61" t="s">
        <v>265</v>
      </c>
      <c r="F322" s="149">
        <v>16</v>
      </c>
      <c r="G322" s="61" t="s">
        <v>565</v>
      </c>
      <c r="H322" s="61" t="s">
        <v>645</v>
      </c>
      <c r="I322" s="61">
        <v>39.856096000000001</v>
      </c>
      <c r="J322" s="61">
        <v>-104.673738</v>
      </c>
      <c r="K322" s="61">
        <v>48.817587850000002</v>
      </c>
      <c r="L322" s="61">
        <v>58.978000000000002</v>
      </c>
      <c r="M322" s="61" t="s">
        <v>617</v>
      </c>
      <c r="N322" s="149">
        <v>5</v>
      </c>
      <c r="O322" s="149">
        <v>6</v>
      </c>
      <c r="P322" s="61" t="s">
        <v>565</v>
      </c>
      <c r="Q322" s="61" t="s">
        <v>564</v>
      </c>
      <c r="R322" s="61">
        <v>41.98028</v>
      </c>
      <c r="S322" s="61">
        <v>-87.908997900000003</v>
      </c>
      <c r="T322" s="61">
        <v>1624.04</v>
      </c>
      <c r="U322" s="61" t="s">
        <v>617</v>
      </c>
      <c r="V322" s="61" t="s">
        <v>569</v>
      </c>
      <c r="W322" s="61" cm="1">
        <f t="array" ref="W322">getDistance(I322,J322,R322,S322)*SA!$B$12</f>
        <v>1429.4950991616145</v>
      </c>
      <c r="Y322" s="137">
        <f>Transportation_LCIA!C$61*($W322^Transportation_LCIA!C$60)+Transportation_LCIA!C$62</f>
        <v>0.20349821617970421</v>
      </c>
      <c r="Z322" s="137">
        <f>Transportation_LCIA!D$61*($W322^Transportation_LCIA!D$60)+Transportation_LCIA!D$62</f>
        <v>2.0501411564925682</v>
      </c>
      <c r="AA322" s="137">
        <f>Transportation_LCIA!E$61*($W322^Transportation_LCIA!E$60)+Transportation_LCIA!E$62</f>
        <v>8.9799039356792888E-4</v>
      </c>
      <c r="AB322" s="137">
        <f>Transportation_LCIA!F$61*($W322^Transportation_LCIA!F$60)+Transportation_LCIA!F$62</f>
        <v>0.20349821617970421</v>
      </c>
      <c r="AC322" s="137">
        <f>Transportation_LCIA!G$61*($W322^Transportation_LCIA!G$60)+Transportation_LCIA!G$62</f>
        <v>4.8000028211733513E-2</v>
      </c>
      <c r="AD322" s="137">
        <f>Transportation_LCIA!H$61*($W322^Transportation_LCIA!H$60)+Transportation_LCIA!H$62</f>
        <v>2.2285424318591637E-4</v>
      </c>
      <c r="AE322" s="137">
        <f>Transportation_LCIA!I$61*($W322^Transportation_LCIA!I$60)+Transportation_LCIA!I$62</f>
        <v>4.571174071441499E-6</v>
      </c>
      <c r="AF322" s="137">
        <f>Transportation_LCIA!J$61*($W322^Transportation_LCIA!J$60)+Transportation_LCIA!J$62</f>
        <v>6.7618339751164165E-3</v>
      </c>
      <c r="AG322" s="137">
        <f>Transportation_LCIA!K$61*($W322^Transportation_LCIA!K$60)+Transportation_LCIA!K$62</f>
        <v>1.0036647213890358E-2</v>
      </c>
      <c r="AH322" s="137">
        <f>Transportation_LCIA!L$61*($W322^Transportation_LCIA!L$60)+Transportation_LCIA!L$62</f>
        <v>1.9038435373879868E-4</v>
      </c>
      <c r="AI322" s="137">
        <f>Transportation_LCIA!M$61*($W322^Transportation_LCIA!M$60)+Transportation_LCIA!M$62</f>
        <v>2.1384473386264609E-4</v>
      </c>
      <c r="AJ322" s="137">
        <f>Transportation_LCIA!N$61*($W322^Transportation_LCIA!N$60)+Transportation_LCIA!N$62</f>
        <v>8.0839367892004054E-4</v>
      </c>
      <c r="AK322" s="137">
        <f>Transportation_LCIA!O$61*($W322^Transportation_LCIA!O$60)+Transportation_LCIA!O$62</f>
        <v>5.067209999252372E-5</v>
      </c>
      <c r="AL322" s="137">
        <f>Transportation_LCIA!P$61*($W322^Transportation_LCIA!P$60)+Transportation_LCIA!P$62</f>
        <v>2.4529050433273688E-8</v>
      </c>
      <c r="AM322" s="137">
        <f>Transportation_LCIA!Q$61*($W322^Transportation_LCIA!Q$60)+Transportation_LCIA!Q$62</f>
        <v>7.5620829602403238E-5</v>
      </c>
      <c r="AN322" s="137">
        <f>Transportation_LCIA!R$61*($W322^Transportation_LCIA!R$60)+Transportation_LCIA!R$62</f>
        <v>2.2005485991627286E-4</v>
      </c>
      <c r="AO322" s="137">
        <f>Transportation_LCIA!S$61*($W322^Transportation_LCIA!S$60)+Transportation_LCIA!S$62</f>
        <v>3.3802166707550345E-6</v>
      </c>
      <c r="AP322" s="137">
        <f>Transportation_LCIA!T$61*($W322^Transportation_LCIA!T$60)+Transportation_LCIA!T$62</f>
        <v>3.3802166707550345E-6</v>
      </c>
      <c r="AQ322" s="137">
        <f>Transportation_LCIA!U$61*($W322^Transportation_LCIA!U$60)+Transportation_LCIA!U$62</f>
        <v>4.6945882310058874E-4</v>
      </c>
      <c r="AR322" s="137">
        <f>Transportation_LCIA!V$61*($W322^Transportation_LCIA!V$60)+Transportation_LCIA!V$62</f>
        <v>1.9671290669076797E-4</v>
      </c>
      <c r="AT322" s="137">
        <f>$W322*Y322+$L322*Summary_LCIA!H$32</f>
        <v>310.94042711701792</v>
      </c>
      <c r="AU322" s="137">
        <f>$W322*Z322+$L322*Summary_LCIA!Q$32</f>
        <v>3222.9646782331247</v>
      </c>
      <c r="AV322" s="137">
        <f>$W322*AA322+$L322*Summary_LCIA!R$32</f>
        <v>1.5942274234995635</v>
      </c>
      <c r="AW322" s="137">
        <f>$W322*AB322+$L322*Summary_LCIA!S$32</f>
        <v>310.67974435701791</v>
      </c>
      <c r="AX322" s="137">
        <f>$W322*AC322+$L322*Summary_LCIA!T$32</f>
        <v>75.097487288292285</v>
      </c>
      <c r="AY322" s="137">
        <f>$W322*AD322+$L322*Summary_LCIA!U$32</f>
        <v>1.3751009404616381</v>
      </c>
      <c r="AZ322" s="137">
        <f>$W322*AE322+$L322*Summary_LCIA!V$32</f>
        <v>9.3513191905402679E-3</v>
      </c>
      <c r="BA322" s="137">
        <f>$W322*AF322+$L322*Summary_LCIA!W$32</f>
        <v>14.205604166773416</v>
      </c>
      <c r="BB322" s="137">
        <f>$W322*AG322+$L322*Summary_LCIA!X$32</f>
        <v>15.690856844270339</v>
      </c>
      <c r="BC322" s="137">
        <f>$W322*AH322+$L322*Summary_LCIA!Y$32</f>
        <v>1.191148696626664</v>
      </c>
      <c r="BD322" s="137">
        <f>$W322*AI322+$L322*Summary_LCIA!Z$32</f>
        <v>0.30810862784017234</v>
      </c>
      <c r="BE322" s="137">
        <f>$W322*AJ322+$L322*Summary_LCIA!AA$32</f>
        <v>2.5330849702094258</v>
      </c>
      <c r="BF322" s="137">
        <f>$W322*AK322+$L322*Summary_LCIA!AB$32</f>
        <v>7.1148441709539947E-2</v>
      </c>
      <c r="BG322" s="137">
        <f>$W322*AL322+$L322*Summary_LCIA!AC$32</f>
        <v>3.7947237933452815E-5</v>
      </c>
      <c r="BH322" s="137">
        <f>$W322*AM322+$L322*Summary_LCIA!AD$32</f>
        <v>0.13234192243117096</v>
      </c>
      <c r="BI322" s="137">
        <f>$W322*AN322+$L322*Summary_LCIA!AE$32</f>
        <v>0.36682951893700766</v>
      </c>
      <c r="BJ322" s="137">
        <f>$W322*AO322+$L322*Summary_LCIA!AF$32</f>
        <v>5.4693183924948714E-2</v>
      </c>
      <c r="BK322" s="137">
        <f>$W322*AP322+$L322*Summary_LCIA!AG$32</f>
        <v>7.8496125349487109E-3</v>
      </c>
      <c r="BL322" s="137">
        <f>$W322*AQ322+$L322*Summary_LCIA!AH$32</f>
        <v>1.1844100076804709</v>
      </c>
      <c r="BM322" s="137">
        <f>$W322*AR322+$L322*Summary_LCIA!AI$32</f>
        <v>0.33614109195628872</v>
      </c>
    </row>
    <row r="323" spans="1:65" x14ac:dyDescent="0.25">
      <c r="A323" s="149">
        <v>89</v>
      </c>
      <c r="B323" s="149">
        <v>29</v>
      </c>
      <c r="C323" s="61">
        <v>35.244402000000001</v>
      </c>
      <c r="D323" s="61">
        <v>-120.672275</v>
      </c>
      <c r="E323" s="61" t="s">
        <v>265</v>
      </c>
      <c r="F323" s="149">
        <v>116</v>
      </c>
      <c r="G323" s="61" t="s">
        <v>663</v>
      </c>
      <c r="H323" s="61" t="s">
        <v>664</v>
      </c>
      <c r="I323" s="61">
        <v>34.198312000000001</v>
      </c>
      <c r="J323" s="61">
        <v>-118.357404</v>
      </c>
      <c r="K323" s="61">
        <v>417.80808230000002</v>
      </c>
      <c r="L323" s="61">
        <v>289.17599999999999</v>
      </c>
      <c r="M323" s="61" t="s">
        <v>617</v>
      </c>
      <c r="N323" s="149">
        <v>28</v>
      </c>
      <c r="O323" s="149">
        <v>29</v>
      </c>
      <c r="P323" s="61" t="s">
        <v>565</v>
      </c>
      <c r="Q323" s="61" t="s">
        <v>559</v>
      </c>
      <c r="R323" s="61">
        <v>47.450249900000003</v>
      </c>
      <c r="S323" s="61">
        <v>-122.30881650000001</v>
      </c>
      <c r="T323" s="61">
        <v>1632.4849999999999</v>
      </c>
      <c r="U323" s="61" t="s">
        <v>617</v>
      </c>
      <c r="V323" s="61" t="s">
        <v>569</v>
      </c>
      <c r="W323" s="61" cm="1">
        <f t="array" ref="W323">getDistance(I323,J323,R323,S323)*SA!$B$12</f>
        <v>1511.1483305430299</v>
      </c>
      <c r="Y323" s="137">
        <f>Transportation_LCIA!C$61*($W323^Transportation_LCIA!C$60)+Transportation_LCIA!C$62</f>
        <v>0.19932703612554409</v>
      </c>
      <c r="Z323" s="137">
        <f>Transportation_LCIA!D$61*($W323^Transportation_LCIA!D$60)+Transportation_LCIA!D$62</f>
        <v>2.0022793907023462</v>
      </c>
      <c r="AA323" s="137">
        <f>Transportation_LCIA!E$61*($W323^Transportation_LCIA!E$60)+Transportation_LCIA!E$62</f>
        <v>8.6667111789983731E-4</v>
      </c>
      <c r="AB323" s="137">
        <f>Transportation_LCIA!F$61*($W323^Transportation_LCIA!F$60)+Transportation_LCIA!F$62</f>
        <v>0.19932703612554409</v>
      </c>
      <c r="AC323" s="137">
        <f>Transportation_LCIA!G$61*($W323^Transportation_LCIA!G$60)+Transportation_LCIA!G$62</f>
        <v>4.6891617890135115E-2</v>
      </c>
      <c r="AD323" s="137">
        <f>Transportation_LCIA!H$61*($W323^Transportation_LCIA!H$60)+Transportation_LCIA!H$62</f>
        <v>2.1603211293050474E-4</v>
      </c>
      <c r="AE323" s="137">
        <f>Transportation_LCIA!I$61*($W323^Transportation_LCIA!I$60)+Transportation_LCIA!I$62</f>
        <v>4.4020136776170753E-6</v>
      </c>
      <c r="AF323" s="137">
        <f>Transportation_LCIA!J$61*($W323^Transportation_LCIA!J$60)+Transportation_LCIA!J$62</f>
        <v>6.5123852534487081E-3</v>
      </c>
      <c r="AG323" s="137">
        <f>Transportation_LCIA!K$61*($W323^Transportation_LCIA!K$60)+Transportation_LCIA!K$62</f>
        <v>9.780107958677238E-3</v>
      </c>
      <c r="AH323" s="137">
        <f>Transportation_LCIA!L$61*($W323^Transportation_LCIA!L$60)+Transportation_LCIA!L$62</f>
        <v>1.8413945371793634E-4</v>
      </c>
      <c r="AI323" s="137">
        <f>Transportation_LCIA!M$61*($W323^Transportation_LCIA!M$60)+Transportation_LCIA!M$62</f>
        <v>2.1008158671653143E-4</v>
      </c>
      <c r="AJ323" s="137">
        <f>Transportation_LCIA!N$61*($W323^Transportation_LCIA!N$60)+Transportation_LCIA!N$62</f>
        <v>7.8542897302297547E-4</v>
      </c>
      <c r="AK323" s="137">
        <f>Transportation_LCIA!O$61*($W323^Transportation_LCIA!O$60)+Transportation_LCIA!O$62</f>
        <v>4.9494818441673569E-5</v>
      </c>
      <c r="AL323" s="137">
        <f>Transportation_LCIA!P$61*($W323^Transportation_LCIA!P$60)+Transportation_LCIA!P$62</f>
        <v>2.3962313894741896E-8</v>
      </c>
      <c r="AM323" s="137">
        <f>Transportation_LCIA!Q$61*($W323^Transportation_LCIA!Q$60)+Transportation_LCIA!Q$62</f>
        <v>7.3184722553846097E-5</v>
      </c>
      <c r="AN323" s="137">
        <f>Transportation_LCIA!R$61*($W323^Transportation_LCIA!R$60)+Transportation_LCIA!R$62</f>
        <v>2.1194608127387442E-4</v>
      </c>
      <c r="AO323" s="137">
        <f>Transportation_LCIA!S$61*($W323^Transportation_LCIA!S$60)+Transportation_LCIA!S$62</f>
        <v>3.265057974169787E-6</v>
      </c>
      <c r="AP323" s="137">
        <f>Transportation_LCIA!T$61*($W323^Transportation_LCIA!T$60)+Transportation_LCIA!T$62</f>
        <v>3.265057974169787E-6</v>
      </c>
      <c r="AQ323" s="137">
        <f>Transportation_LCIA!U$61*($W323^Transportation_LCIA!U$60)+Transportation_LCIA!U$62</f>
        <v>4.5172705345025856E-4</v>
      </c>
      <c r="AR323" s="137">
        <f>Transportation_LCIA!V$61*($W323^Transportation_LCIA!V$60)+Transportation_LCIA!V$62</f>
        <v>1.9039431751006873E-4</v>
      </c>
      <c r="AT323" s="137">
        <f>$W323*Y323+$L323*Summary_LCIA!H$32</f>
        <v>399.47472267320614</v>
      </c>
      <c r="AU323" s="137">
        <f>$W323*Z323+$L323*Summary_LCIA!Q$32</f>
        <v>4458.9119985537736</v>
      </c>
      <c r="AV323" s="137">
        <f>$W323*AA323+$L323*Summary_LCIA!R$32</f>
        <v>2.8323537585442002</v>
      </c>
      <c r="AW323" s="137">
        <f>$W323*AB323+$L323*Summary_LCIA!S$32</f>
        <v>398.19656475320613</v>
      </c>
      <c r="AX323" s="137">
        <f>$W323*AC323+$L323*Summary_LCIA!T$32</f>
        <v>102.64063249113936</v>
      </c>
      <c r="AY323" s="137">
        <f>$W323*AD323+$L323*Summary_LCIA!U$32</f>
        <v>5.5067554307986146</v>
      </c>
      <c r="AZ323" s="137">
        <f>$W323*AE323+$L323*Summary_LCIA!V$32</f>
        <v>2.0463430555958628E-2</v>
      </c>
      <c r="BA323" s="137">
        <f>$W323*AF323+$L323*Summary_LCIA!W$32</f>
        <v>32.099345999602058</v>
      </c>
      <c r="BB323" s="137">
        <f>$W323*AG323+$L323*Summary_LCIA!X$32</f>
        <v>21.366623094285707</v>
      </c>
      <c r="BC323" s="137">
        <f>$W323*AH323+$L323*Summary_LCIA!Y$32</f>
        <v>4.7842024600729651</v>
      </c>
      <c r="BD323" s="137">
        <f>$W323*AI323+$L323*Summary_LCIA!Z$32</f>
        <v>0.32932325762851727</v>
      </c>
      <c r="BE323" s="137">
        <f>$W323*AJ323+$L323*Summary_LCIA!AA$32</f>
        <v>7.9408943373437948</v>
      </c>
      <c r="BF323" s="137">
        <f>$W323*AK323+$L323*Summary_LCIA!AB$32</f>
        <v>6.8483324410665389E-2</v>
      </c>
      <c r="BG323" s="137">
        <f>$W323*AL323+$L323*Summary_LCIA!AC$32</f>
        <v>5.0346690221987267E-5</v>
      </c>
      <c r="BH323" s="137">
        <f>$W323*AM323+$L323*Summary_LCIA!AD$32</f>
        <v>0.22945587434849934</v>
      </c>
      <c r="BI323" s="137">
        <f>$W323*AN323+$L323*Summary_LCIA!AE$32</f>
        <v>0.57652949576215262</v>
      </c>
      <c r="BJ323" s="137">
        <f>$W323*AO323+$L323*Summary_LCIA!AF$32</f>
        <v>0.2494091608267929</v>
      </c>
      <c r="BK323" s="137">
        <f>$W323*AP323+$L323*Summary_LCIA!AG$32</f>
        <v>1.9729676946792882E-2</v>
      </c>
      <c r="BL323" s="137">
        <f>$W323*AQ323+$L323*Summary_LCIA!AH$32</f>
        <v>3.1994988162824805</v>
      </c>
      <c r="BM323" s="137">
        <f>$W323*AR323+$L323*Summary_LCIA!AI$32</f>
        <v>0.55709595785021992</v>
      </c>
    </row>
    <row r="324" spans="1:65" x14ac:dyDescent="0.25">
      <c r="A324" s="149">
        <v>166</v>
      </c>
      <c r="B324" s="149">
        <v>6</v>
      </c>
      <c r="C324" s="61">
        <v>40.014986</v>
      </c>
      <c r="D324" s="61">
        <v>-105.270546</v>
      </c>
      <c r="E324" s="61" t="s">
        <v>265</v>
      </c>
      <c r="F324" s="149">
        <v>16</v>
      </c>
      <c r="G324" s="61" t="s">
        <v>565</v>
      </c>
      <c r="H324" s="61" t="s">
        <v>645</v>
      </c>
      <c r="I324" s="61">
        <v>39.856096000000001</v>
      </c>
      <c r="J324" s="61">
        <v>-104.673738</v>
      </c>
      <c r="K324" s="61">
        <v>66.833860599999994</v>
      </c>
      <c r="L324" s="61">
        <v>70.700999999999993</v>
      </c>
      <c r="M324" s="61" t="s">
        <v>617</v>
      </c>
      <c r="N324" s="149">
        <v>5</v>
      </c>
      <c r="O324" s="149">
        <v>6</v>
      </c>
      <c r="P324" s="61" t="s">
        <v>565</v>
      </c>
      <c r="Q324" s="61" t="s">
        <v>564</v>
      </c>
      <c r="R324" s="61">
        <v>41.98028</v>
      </c>
      <c r="S324" s="61">
        <v>-87.908997900000003</v>
      </c>
      <c r="T324" s="61">
        <v>1634.5219999999999</v>
      </c>
      <c r="U324" s="61" t="s">
        <v>617</v>
      </c>
      <c r="V324" s="61" t="s">
        <v>569</v>
      </c>
      <c r="W324" s="61" cm="1">
        <f t="array" ref="W324">getDistance(I324,J324,R324,S324)*SA!$B$12</f>
        <v>1429.4950991616145</v>
      </c>
      <c r="Y324" s="137">
        <f>Transportation_LCIA!C$61*($W324^Transportation_LCIA!C$60)+Transportation_LCIA!C$62</f>
        <v>0.20349821617970421</v>
      </c>
      <c r="Z324" s="137">
        <f>Transportation_LCIA!D$61*($W324^Transportation_LCIA!D$60)+Transportation_LCIA!D$62</f>
        <v>2.0501411564925682</v>
      </c>
      <c r="AA324" s="137">
        <f>Transportation_LCIA!E$61*($W324^Transportation_LCIA!E$60)+Transportation_LCIA!E$62</f>
        <v>8.9799039356792888E-4</v>
      </c>
      <c r="AB324" s="137">
        <f>Transportation_LCIA!F$61*($W324^Transportation_LCIA!F$60)+Transportation_LCIA!F$62</f>
        <v>0.20349821617970421</v>
      </c>
      <c r="AC324" s="137">
        <f>Transportation_LCIA!G$61*($W324^Transportation_LCIA!G$60)+Transportation_LCIA!G$62</f>
        <v>4.8000028211733513E-2</v>
      </c>
      <c r="AD324" s="137">
        <f>Transportation_LCIA!H$61*($W324^Transportation_LCIA!H$60)+Transportation_LCIA!H$62</f>
        <v>2.2285424318591637E-4</v>
      </c>
      <c r="AE324" s="137">
        <f>Transportation_LCIA!I$61*($W324^Transportation_LCIA!I$60)+Transportation_LCIA!I$62</f>
        <v>4.571174071441499E-6</v>
      </c>
      <c r="AF324" s="137">
        <f>Transportation_LCIA!J$61*($W324^Transportation_LCIA!J$60)+Transportation_LCIA!J$62</f>
        <v>6.7618339751164165E-3</v>
      </c>
      <c r="AG324" s="137">
        <f>Transportation_LCIA!K$61*($W324^Transportation_LCIA!K$60)+Transportation_LCIA!K$62</f>
        <v>1.0036647213890358E-2</v>
      </c>
      <c r="AH324" s="137">
        <f>Transportation_LCIA!L$61*($W324^Transportation_LCIA!L$60)+Transportation_LCIA!L$62</f>
        <v>1.9038435373879868E-4</v>
      </c>
      <c r="AI324" s="137">
        <f>Transportation_LCIA!M$61*($W324^Transportation_LCIA!M$60)+Transportation_LCIA!M$62</f>
        <v>2.1384473386264609E-4</v>
      </c>
      <c r="AJ324" s="137">
        <f>Transportation_LCIA!N$61*($W324^Transportation_LCIA!N$60)+Transportation_LCIA!N$62</f>
        <v>8.0839367892004054E-4</v>
      </c>
      <c r="AK324" s="137">
        <f>Transportation_LCIA!O$61*($W324^Transportation_LCIA!O$60)+Transportation_LCIA!O$62</f>
        <v>5.067209999252372E-5</v>
      </c>
      <c r="AL324" s="137">
        <f>Transportation_LCIA!P$61*($W324^Transportation_LCIA!P$60)+Transportation_LCIA!P$62</f>
        <v>2.4529050433273688E-8</v>
      </c>
      <c r="AM324" s="137">
        <f>Transportation_LCIA!Q$61*($W324^Transportation_LCIA!Q$60)+Transportation_LCIA!Q$62</f>
        <v>7.5620829602403238E-5</v>
      </c>
      <c r="AN324" s="137">
        <f>Transportation_LCIA!R$61*($W324^Transportation_LCIA!R$60)+Transportation_LCIA!R$62</f>
        <v>2.2005485991627286E-4</v>
      </c>
      <c r="AO324" s="137">
        <f>Transportation_LCIA!S$61*($W324^Transportation_LCIA!S$60)+Transportation_LCIA!S$62</f>
        <v>3.3802166707550345E-6</v>
      </c>
      <c r="AP324" s="137">
        <f>Transportation_LCIA!T$61*($W324^Transportation_LCIA!T$60)+Transportation_LCIA!T$62</f>
        <v>3.3802166707550345E-6</v>
      </c>
      <c r="AQ324" s="137">
        <f>Transportation_LCIA!U$61*($W324^Transportation_LCIA!U$60)+Transportation_LCIA!U$62</f>
        <v>4.6945882310058874E-4</v>
      </c>
      <c r="AR324" s="137">
        <f>Transportation_LCIA!V$61*($W324^Transportation_LCIA!V$60)+Transportation_LCIA!V$62</f>
        <v>1.9671290669076797E-4</v>
      </c>
      <c r="AT324" s="137">
        <f>$W324*Y324+$L324*Summary_LCIA!H$32</f>
        <v>314.92390251701795</v>
      </c>
      <c r="AU324" s="137">
        <f>$W324*Z324+$L324*Summary_LCIA!Q$32</f>
        <v>3281.0644574591838</v>
      </c>
      <c r="AV324" s="137">
        <f>$W324*AA324+$L324*Summary_LCIA!R$32</f>
        <v>1.6559560522995636</v>
      </c>
      <c r="AW324" s="137">
        <f>$W324*AB324+$L324*Summary_LCIA!S$32</f>
        <v>314.61140409701795</v>
      </c>
      <c r="AX324" s="137">
        <f>$W324*AC324+$L324*Summary_LCIA!T$32</f>
        <v>76.385844988292291</v>
      </c>
      <c r="AY324" s="137">
        <f>$W324*AD324+$L324*Summary_LCIA!U$32</f>
        <v>1.585106762461638</v>
      </c>
      <c r="AZ324" s="137">
        <f>$W324*AE324+$L324*Summary_LCIA!V$32</f>
        <v>9.9112213935402659E-3</v>
      </c>
      <c r="BA324" s="137">
        <f>$W324*AF324+$L324*Summary_LCIA!W$32</f>
        <v>15.107935199773415</v>
      </c>
      <c r="BB324" s="137">
        <f>$W324*AG324+$L324*Summary_LCIA!X$32</f>
        <v>15.957906784270339</v>
      </c>
      <c r="BC324" s="137">
        <f>$W324*AH324+$L324*Summary_LCIA!Y$32</f>
        <v>1.3738164826266637</v>
      </c>
      <c r="BD324" s="137">
        <f>$W324*AI324+$L324*Summary_LCIA!Z$32</f>
        <v>0.30858937634717232</v>
      </c>
      <c r="BE324" s="137">
        <f>$W324*AJ324+$L324*Summary_LCIA!AA$32</f>
        <v>2.8068873582094254</v>
      </c>
      <c r="BF324" s="137">
        <f>$W324*AK324+$L324*Summary_LCIA!AB$32</f>
        <v>7.0892610680539939E-2</v>
      </c>
      <c r="BG324" s="137">
        <f>$W324*AL324+$L324*Summary_LCIA!AC$32</f>
        <v>3.8520305065452816E-5</v>
      </c>
      <c r="BH324" s="137">
        <f>$W324*AM324+$L324*Summary_LCIA!AD$32</f>
        <v>0.13716054435117098</v>
      </c>
      <c r="BI324" s="137">
        <f>$W324*AN324+$L324*Summary_LCIA!AE$32</f>
        <v>0.37721762092700767</v>
      </c>
      <c r="BJ324" s="137">
        <f>$W324*AO324+$L324*Summary_LCIA!AF$32</f>
        <v>6.4604042584948715E-2</v>
      </c>
      <c r="BK324" s="137">
        <f>$W324*AP324+$L324*Summary_LCIA!AG$32</f>
        <v>8.4494198299487101E-3</v>
      </c>
      <c r="BL324" s="137">
        <f>$W324*AQ324+$L324*Summary_LCIA!AH$32</f>
        <v>1.2864423104804708</v>
      </c>
      <c r="BM324" s="137">
        <f>$W324*AR324+$L324*Summary_LCIA!AI$32</f>
        <v>0.34706165260628874</v>
      </c>
    </row>
    <row r="325" spans="1:65" x14ac:dyDescent="0.25">
      <c r="A325" s="149">
        <v>167</v>
      </c>
      <c r="B325" s="149">
        <v>6</v>
      </c>
      <c r="C325" s="61">
        <v>40.014986</v>
      </c>
      <c r="D325" s="61">
        <v>-105.270546</v>
      </c>
      <c r="E325" s="61" t="s">
        <v>265</v>
      </c>
      <c r="F325" s="149">
        <v>16</v>
      </c>
      <c r="G325" s="61" t="s">
        <v>565</v>
      </c>
      <c r="H325" s="61" t="s">
        <v>645</v>
      </c>
      <c r="I325" s="61">
        <v>39.856096000000001</v>
      </c>
      <c r="J325" s="61">
        <v>-104.673738</v>
      </c>
      <c r="K325" s="61">
        <v>66.833860599999994</v>
      </c>
      <c r="L325" s="61">
        <v>70.700999999999993</v>
      </c>
      <c r="M325" s="61" t="s">
        <v>617</v>
      </c>
      <c r="N325" s="149">
        <v>5</v>
      </c>
      <c r="O325" s="149">
        <v>6</v>
      </c>
      <c r="P325" s="61" t="s">
        <v>565</v>
      </c>
      <c r="Q325" s="61" t="s">
        <v>564</v>
      </c>
      <c r="R325" s="61">
        <v>41.98028</v>
      </c>
      <c r="S325" s="61">
        <v>-87.908997900000003</v>
      </c>
      <c r="T325" s="61">
        <v>1634.5219999999999</v>
      </c>
      <c r="U325" s="61" t="s">
        <v>617</v>
      </c>
      <c r="V325" s="61" t="s">
        <v>569</v>
      </c>
      <c r="W325" s="61" cm="1">
        <f t="array" ref="W325">getDistance(I325,J325,R325,S325)*SA!$B$12</f>
        <v>1429.4950991616145</v>
      </c>
      <c r="Y325" s="137">
        <f>Transportation_LCIA!C$61*($W325^Transportation_LCIA!C$60)+Transportation_LCIA!C$62</f>
        <v>0.20349821617970421</v>
      </c>
      <c r="Z325" s="137">
        <f>Transportation_LCIA!D$61*($W325^Transportation_LCIA!D$60)+Transportation_LCIA!D$62</f>
        <v>2.0501411564925682</v>
      </c>
      <c r="AA325" s="137">
        <f>Transportation_LCIA!E$61*($W325^Transportation_LCIA!E$60)+Transportation_LCIA!E$62</f>
        <v>8.9799039356792888E-4</v>
      </c>
      <c r="AB325" s="137">
        <f>Transportation_LCIA!F$61*($W325^Transportation_LCIA!F$60)+Transportation_LCIA!F$62</f>
        <v>0.20349821617970421</v>
      </c>
      <c r="AC325" s="137">
        <f>Transportation_LCIA!G$61*($W325^Transportation_LCIA!G$60)+Transportation_LCIA!G$62</f>
        <v>4.8000028211733513E-2</v>
      </c>
      <c r="AD325" s="137">
        <f>Transportation_LCIA!H$61*($W325^Transportation_LCIA!H$60)+Transportation_LCIA!H$62</f>
        <v>2.2285424318591637E-4</v>
      </c>
      <c r="AE325" s="137">
        <f>Transportation_LCIA!I$61*($W325^Transportation_LCIA!I$60)+Transportation_LCIA!I$62</f>
        <v>4.571174071441499E-6</v>
      </c>
      <c r="AF325" s="137">
        <f>Transportation_LCIA!J$61*($W325^Transportation_LCIA!J$60)+Transportation_LCIA!J$62</f>
        <v>6.7618339751164165E-3</v>
      </c>
      <c r="AG325" s="137">
        <f>Transportation_LCIA!K$61*($W325^Transportation_LCIA!K$60)+Transportation_LCIA!K$62</f>
        <v>1.0036647213890358E-2</v>
      </c>
      <c r="AH325" s="137">
        <f>Transportation_LCIA!L$61*($W325^Transportation_LCIA!L$60)+Transportation_LCIA!L$62</f>
        <v>1.9038435373879868E-4</v>
      </c>
      <c r="AI325" s="137">
        <f>Transportation_LCIA!M$61*($W325^Transportation_LCIA!M$60)+Transportation_LCIA!M$62</f>
        <v>2.1384473386264609E-4</v>
      </c>
      <c r="AJ325" s="137">
        <f>Transportation_LCIA!N$61*($W325^Transportation_LCIA!N$60)+Transportation_LCIA!N$62</f>
        <v>8.0839367892004054E-4</v>
      </c>
      <c r="AK325" s="137">
        <f>Transportation_LCIA!O$61*($W325^Transportation_LCIA!O$60)+Transportation_LCIA!O$62</f>
        <v>5.067209999252372E-5</v>
      </c>
      <c r="AL325" s="137">
        <f>Transportation_LCIA!P$61*($W325^Transportation_LCIA!P$60)+Transportation_LCIA!P$62</f>
        <v>2.4529050433273688E-8</v>
      </c>
      <c r="AM325" s="137">
        <f>Transportation_LCIA!Q$61*($W325^Transportation_LCIA!Q$60)+Transportation_LCIA!Q$62</f>
        <v>7.5620829602403238E-5</v>
      </c>
      <c r="AN325" s="137">
        <f>Transportation_LCIA!R$61*($W325^Transportation_LCIA!R$60)+Transportation_LCIA!R$62</f>
        <v>2.2005485991627286E-4</v>
      </c>
      <c r="AO325" s="137">
        <f>Transportation_LCIA!S$61*($W325^Transportation_LCIA!S$60)+Transportation_LCIA!S$62</f>
        <v>3.3802166707550345E-6</v>
      </c>
      <c r="AP325" s="137">
        <f>Transportation_LCIA!T$61*($W325^Transportation_LCIA!T$60)+Transportation_LCIA!T$62</f>
        <v>3.3802166707550345E-6</v>
      </c>
      <c r="AQ325" s="137">
        <f>Transportation_LCIA!U$61*($W325^Transportation_LCIA!U$60)+Transportation_LCIA!U$62</f>
        <v>4.6945882310058874E-4</v>
      </c>
      <c r="AR325" s="137">
        <f>Transportation_LCIA!V$61*($W325^Transportation_LCIA!V$60)+Transportation_LCIA!V$62</f>
        <v>1.9671290669076797E-4</v>
      </c>
      <c r="AT325" s="137">
        <f>$W325*Y325+$L325*Summary_LCIA!H$32</f>
        <v>314.92390251701795</v>
      </c>
      <c r="AU325" s="137">
        <f>$W325*Z325+$L325*Summary_LCIA!Q$32</f>
        <v>3281.0644574591838</v>
      </c>
      <c r="AV325" s="137">
        <f>$W325*AA325+$L325*Summary_LCIA!R$32</f>
        <v>1.6559560522995636</v>
      </c>
      <c r="AW325" s="137">
        <f>$W325*AB325+$L325*Summary_LCIA!S$32</f>
        <v>314.61140409701795</v>
      </c>
      <c r="AX325" s="137">
        <f>$W325*AC325+$L325*Summary_LCIA!T$32</f>
        <v>76.385844988292291</v>
      </c>
      <c r="AY325" s="137">
        <f>$W325*AD325+$L325*Summary_LCIA!U$32</f>
        <v>1.585106762461638</v>
      </c>
      <c r="AZ325" s="137">
        <f>$W325*AE325+$L325*Summary_LCIA!V$32</f>
        <v>9.9112213935402659E-3</v>
      </c>
      <c r="BA325" s="137">
        <f>$W325*AF325+$L325*Summary_LCIA!W$32</f>
        <v>15.107935199773415</v>
      </c>
      <c r="BB325" s="137">
        <f>$W325*AG325+$L325*Summary_LCIA!X$32</f>
        <v>15.957906784270339</v>
      </c>
      <c r="BC325" s="137">
        <f>$W325*AH325+$L325*Summary_LCIA!Y$32</f>
        <v>1.3738164826266637</v>
      </c>
      <c r="BD325" s="137">
        <f>$W325*AI325+$L325*Summary_LCIA!Z$32</f>
        <v>0.30858937634717232</v>
      </c>
      <c r="BE325" s="137">
        <f>$W325*AJ325+$L325*Summary_LCIA!AA$32</f>
        <v>2.8068873582094254</v>
      </c>
      <c r="BF325" s="137">
        <f>$W325*AK325+$L325*Summary_LCIA!AB$32</f>
        <v>7.0892610680539939E-2</v>
      </c>
      <c r="BG325" s="137">
        <f>$W325*AL325+$L325*Summary_LCIA!AC$32</f>
        <v>3.8520305065452816E-5</v>
      </c>
      <c r="BH325" s="137">
        <f>$W325*AM325+$L325*Summary_LCIA!AD$32</f>
        <v>0.13716054435117098</v>
      </c>
      <c r="BI325" s="137">
        <f>$W325*AN325+$L325*Summary_LCIA!AE$32</f>
        <v>0.37721762092700767</v>
      </c>
      <c r="BJ325" s="137">
        <f>$W325*AO325+$L325*Summary_LCIA!AF$32</f>
        <v>6.4604042584948715E-2</v>
      </c>
      <c r="BK325" s="137">
        <f>$W325*AP325+$L325*Summary_LCIA!AG$32</f>
        <v>8.4494198299487101E-3</v>
      </c>
      <c r="BL325" s="137">
        <f>$W325*AQ325+$L325*Summary_LCIA!AH$32</f>
        <v>1.2864423104804708</v>
      </c>
      <c r="BM325" s="137">
        <f>$W325*AR325+$L325*Summary_LCIA!AI$32</f>
        <v>0.34706165260628874</v>
      </c>
    </row>
    <row r="326" spans="1:65" x14ac:dyDescent="0.25">
      <c r="A326" s="149">
        <v>168</v>
      </c>
      <c r="B326" s="149">
        <v>6</v>
      </c>
      <c r="C326" s="61">
        <v>40.014986</v>
      </c>
      <c r="D326" s="61">
        <v>-105.270546</v>
      </c>
      <c r="E326" s="61" t="s">
        <v>265</v>
      </c>
      <c r="F326" s="149">
        <v>16</v>
      </c>
      <c r="G326" s="61" t="s">
        <v>565</v>
      </c>
      <c r="H326" s="61" t="s">
        <v>645</v>
      </c>
      <c r="I326" s="61">
        <v>39.856096000000001</v>
      </c>
      <c r="J326" s="61">
        <v>-104.673738</v>
      </c>
      <c r="K326" s="61">
        <v>66.833860599999994</v>
      </c>
      <c r="L326" s="61">
        <v>70.700999999999993</v>
      </c>
      <c r="M326" s="61" t="s">
        <v>617</v>
      </c>
      <c r="N326" s="149">
        <v>5</v>
      </c>
      <c r="O326" s="149">
        <v>6</v>
      </c>
      <c r="P326" s="61" t="s">
        <v>565</v>
      </c>
      <c r="Q326" s="61" t="s">
        <v>564</v>
      </c>
      <c r="R326" s="61">
        <v>41.98028</v>
      </c>
      <c r="S326" s="61">
        <v>-87.908997900000003</v>
      </c>
      <c r="T326" s="61">
        <v>1634.5219999999999</v>
      </c>
      <c r="U326" s="61" t="s">
        <v>617</v>
      </c>
      <c r="V326" s="61" t="s">
        <v>569</v>
      </c>
      <c r="W326" s="61" cm="1">
        <f t="array" ref="W326">getDistance(I326,J326,R326,S326)*SA!$B$12</f>
        <v>1429.4950991616145</v>
      </c>
      <c r="Y326" s="137">
        <f>Transportation_LCIA!C$61*($W326^Transportation_LCIA!C$60)+Transportation_LCIA!C$62</f>
        <v>0.20349821617970421</v>
      </c>
      <c r="Z326" s="137">
        <f>Transportation_LCIA!D$61*($W326^Transportation_LCIA!D$60)+Transportation_LCIA!D$62</f>
        <v>2.0501411564925682</v>
      </c>
      <c r="AA326" s="137">
        <f>Transportation_LCIA!E$61*($W326^Transportation_LCIA!E$60)+Transportation_LCIA!E$62</f>
        <v>8.9799039356792888E-4</v>
      </c>
      <c r="AB326" s="137">
        <f>Transportation_LCIA!F$61*($W326^Transportation_LCIA!F$60)+Transportation_LCIA!F$62</f>
        <v>0.20349821617970421</v>
      </c>
      <c r="AC326" s="137">
        <f>Transportation_LCIA!G$61*($W326^Transportation_LCIA!G$60)+Transportation_LCIA!G$62</f>
        <v>4.8000028211733513E-2</v>
      </c>
      <c r="AD326" s="137">
        <f>Transportation_LCIA!H$61*($W326^Transportation_LCIA!H$60)+Transportation_LCIA!H$62</f>
        <v>2.2285424318591637E-4</v>
      </c>
      <c r="AE326" s="137">
        <f>Transportation_LCIA!I$61*($W326^Transportation_LCIA!I$60)+Transportation_LCIA!I$62</f>
        <v>4.571174071441499E-6</v>
      </c>
      <c r="AF326" s="137">
        <f>Transportation_LCIA!J$61*($W326^Transportation_LCIA!J$60)+Transportation_LCIA!J$62</f>
        <v>6.7618339751164165E-3</v>
      </c>
      <c r="AG326" s="137">
        <f>Transportation_LCIA!K$61*($W326^Transportation_LCIA!K$60)+Transportation_LCIA!K$62</f>
        <v>1.0036647213890358E-2</v>
      </c>
      <c r="AH326" s="137">
        <f>Transportation_LCIA!L$61*($W326^Transportation_LCIA!L$60)+Transportation_LCIA!L$62</f>
        <v>1.9038435373879868E-4</v>
      </c>
      <c r="AI326" s="137">
        <f>Transportation_LCIA!M$61*($W326^Transportation_LCIA!M$60)+Transportation_LCIA!M$62</f>
        <v>2.1384473386264609E-4</v>
      </c>
      <c r="AJ326" s="137">
        <f>Transportation_LCIA!N$61*($W326^Transportation_LCIA!N$60)+Transportation_LCIA!N$62</f>
        <v>8.0839367892004054E-4</v>
      </c>
      <c r="AK326" s="137">
        <f>Transportation_LCIA!O$61*($W326^Transportation_LCIA!O$60)+Transportation_LCIA!O$62</f>
        <v>5.067209999252372E-5</v>
      </c>
      <c r="AL326" s="137">
        <f>Transportation_LCIA!P$61*($W326^Transportation_LCIA!P$60)+Transportation_LCIA!P$62</f>
        <v>2.4529050433273688E-8</v>
      </c>
      <c r="AM326" s="137">
        <f>Transportation_LCIA!Q$61*($W326^Transportation_LCIA!Q$60)+Transportation_LCIA!Q$62</f>
        <v>7.5620829602403238E-5</v>
      </c>
      <c r="AN326" s="137">
        <f>Transportation_LCIA!R$61*($W326^Transportation_LCIA!R$60)+Transportation_LCIA!R$62</f>
        <v>2.2005485991627286E-4</v>
      </c>
      <c r="AO326" s="137">
        <f>Transportation_LCIA!S$61*($W326^Transportation_LCIA!S$60)+Transportation_LCIA!S$62</f>
        <v>3.3802166707550345E-6</v>
      </c>
      <c r="AP326" s="137">
        <f>Transportation_LCIA!T$61*($W326^Transportation_LCIA!T$60)+Transportation_LCIA!T$62</f>
        <v>3.3802166707550345E-6</v>
      </c>
      <c r="AQ326" s="137">
        <f>Transportation_LCIA!U$61*($W326^Transportation_LCIA!U$60)+Transportation_LCIA!U$62</f>
        <v>4.6945882310058874E-4</v>
      </c>
      <c r="AR326" s="137">
        <f>Transportation_LCIA!V$61*($W326^Transportation_LCIA!V$60)+Transportation_LCIA!V$62</f>
        <v>1.9671290669076797E-4</v>
      </c>
      <c r="AT326" s="137">
        <f>$W326*Y326+$L326*Summary_LCIA!H$32</f>
        <v>314.92390251701795</v>
      </c>
      <c r="AU326" s="137">
        <f>$W326*Z326+$L326*Summary_LCIA!Q$32</f>
        <v>3281.0644574591838</v>
      </c>
      <c r="AV326" s="137">
        <f>$W326*AA326+$L326*Summary_LCIA!R$32</f>
        <v>1.6559560522995636</v>
      </c>
      <c r="AW326" s="137">
        <f>$W326*AB326+$L326*Summary_LCIA!S$32</f>
        <v>314.61140409701795</v>
      </c>
      <c r="AX326" s="137">
        <f>$W326*AC326+$L326*Summary_LCIA!T$32</f>
        <v>76.385844988292291</v>
      </c>
      <c r="AY326" s="137">
        <f>$W326*AD326+$L326*Summary_LCIA!U$32</f>
        <v>1.585106762461638</v>
      </c>
      <c r="AZ326" s="137">
        <f>$W326*AE326+$L326*Summary_LCIA!V$32</f>
        <v>9.9112213935402659E-3</v>
      </c>
      <c r="BA326" s="137">
        <f>$W326*AF326+$L326*Summary_LCIA!W$32</f>
        <v>15.107935199773415</v>
      </c>
      <c r="BB326" s="137">
        <f>$W326*AG326+$L326*Summary_LCIA!X$32</f>
        <v>15.957906784270339</v>
      </c>
      <c r="BC326" s="137">
        <f>$W326*AH326+$L326*Summary_LCIA!Y$32</f>
        <v>1.3738164826266637</v>
      </c>
      <c r="BD326" s="137">
        <f>$W326*AI326+$L326*Summary_LCIA!Z$32</f>
        <v>0.30858937634717232</v>
      </c>
      <c r="BE326" s="137">
        <f>$W326*AJ326+$L326*Summary_LCIA!AA$32</f>
        <v>2.8068873582094254</v>
      </c>
      <c r="BF326" s="137">
        <f>$W326*AK326+$L326*Summary_LCIA!AB$32</f>
        <v>7.0892610680539939E-2</v>
      </c>
      <c r="BG326" s="137">
        <f>$W326*AL326+$L326*Summary_LCIA!AC$32</f>
        <v>3.8520305065452816E-5</v>
      </c>
      <c r="BH326" s="137">
        <f>$W326*AM326+$L326*Summary_LCIA!AD$32</f>
        <v>0.13716054435117098</v>
      </c>
      <c r="BI326" s="137">
        <f>$W326*AN326+$L326*Summary_LCIA!AE$32</f>
        <v>0.37721762092700767</v>
      </c>
      <c r="BJ326" s="137">
        <f>$W326*AO326+$L326*Summary_LCIA!AF$32</f>
        <v>6.4604042584948715E-2</v>
      </c>
      <c r="BK326" s="137">
        <f>$W326*AP326+$L326*Summary_LCIA!AG$32</f>
        <v>8.4494198299487101E-3</v>
      </c>
      <c r="BL326" s="137">
        <f>$W326*AQ326+$L326*Summary_LCIA!AH$32</f>
        <v>1.2864423104804708</v>
      </c>
      <c r="BM326" s="137">
        <f>$W326*AR326+$L326*Summary_LCIA!AI$32</f>
        <v>0.34706165260628874</v>
      </c>
    </row>
    <row r="327" spans="1:65" x14ac:dyDescent="0.25">
      <c r="A327" s="149">
        <v>169</v>
      </c>
      <c r="B327" s="149">
        <v>6</v>
      </c>
      <c r="C327" s="61">
        <v>40.014986</v>
      </c>
      <c r="D327" s="61">
        <v>-105.270546</v>
      </c>
      <c r="E327" s="61" t="s">
        <v>265</v>
      </c>
      <c r="F327" s="149">
        <v>16</v>
      </c>
      <c r="G327" s="61" t="s">
        <v>565</v>
      </c>
      <c r="H327" s="61" t="s">
        <v>645</v>
      </c>
      <c r="I327" s="61">
        <v>39.856096000000001</v>
      </c>
      <c r="J327" s="61">
        <v>-104.673738</v>
      </c>
      <c r="K327" s="61">
        <v>66.833860599999994</v>
      </c>
      <c r="L327" s="61">
        <v>70.700999999999993</v>
      </c>
      <c r="M327" s="61" t="s">
        <v>617</v>
      </c>
      <c r="N327" s="149">
        <v>5</v>
      </c>
      <c r="O327" s="149">
        <v>6</v>
      </c>
      <c r="P327" s="61" t="s">
        <v>565</v>
      </c>
      <c r="Q327" s="61" t="s">
        <v>564</v>
      </c>
      <c r="R327" s="61">
        <v>41.98028</v>
      </c>
      <c r="S327" s="61">
        <v>-87.908997900000003</v>
      </c>
      <c r="T327" s="61">
        <v>1634.5219999999999</v>
      </c>
      <c r="U327" s="61" t="s">
        <v>617</v>
      </c>
      <c r="V327" s="61" t="s">
        <v>569</v>
      </c>
      <c r="W327" s="61" cm="1">
        <f t="array" ref="W327">getDistance(I327,J327,R327,S327)*SA!$B$12</f>
        <v>1429.4950991616145</v>
      </c>
      <c r="Y327" s="137">
        <f>Transportation_LCIA!C$61*($W327^Transportation_LCIA!C$60)+Transportation_LCIA!C$62</f>
        <v>0.20349821617970421</v>
      </c>
      <c r="Z327" s="137">
        <f>Transportation_LCIA!D$61*($W327^Transportation_LCIA!D$60)+Transportation_LCIA!D$62</f>
        <v>2.0501411564925682</v>
      </c>
      <c r="AA327" s="137">
        <f>Transportation_LCIA!E$61*($W327^Transportation_LCIA!E$60)+Transportation_LCIA!E$62</f>
        <v>8.9799039356792888E-4</v>
      </c>
      <c r="AB327" s="137">
        <f>Transportation_LCIA!F$61*($W327^Transportation_LCIA!F$60)+Transportation_LCIA!F$62</f>
        <v>0.20349821617970421</v>
      </c>
      <c r="AC327" s="137">
        <f>Transportation_LCIA!G$61*($W327^Transportation_LCIA!G$60)+Transportation_LCIA!G$62</f>
        <v>4.8000028211733513E-2</v>
      </c>
      <c r="AD327" s="137">
        <f>Transportation_LCIA!H$61*($W327^Transportation_LCIA!H$60)+Transportation_LCIA!H$62</f>
        <v>2.2285424318591637E-4</v>
      </c>
      <c r="AE327" s="137">
        <f>Transportation_LCIA!I$61*($W327^Transportation_LCIA!I$60)+Transportation_LCIA!I$62</f>
        <v>4.571174071441499E-6</v>
      </c>
      <c r="AF327" s="137">
        <f>Transportation_LCIA!J$61*($W327^Transportation_LCIA!J$60)+Transportation_LCIA!J$62</f>
        <v>6.7618339751164165E-3</v>
      </c>
      <c r="AG327" s="137">
        <f>Transportation_LCIA!K$61*($W327^Transportation_LCIA!K$60)+Transportation_LCIA!K$62</f>
        <v>1.0036647213890358E-2</v>
      </c>
      <c r="AH327" s="137">
        <f>Transportation_LCIA!L$61*($W327^Transportation_LCIA!L$60)+Transportation_LCIA!L$62</f>
        <v>1.9038435373879868E-4</v>
      </c>
      <c r="AI327" s="137">
        <f>Transportation_LCIA!M$61*($W327^Transportation_LCIA!M$60)+Transportation_LCIA!M$62</f>
        <v>2.1384473386264609E-4</v>
      </c>
      <c r="AJ327" s="137">
        <f>Transportation_LCIA!N$61*($W327^Transportation_LCIA!N$60)+Transportation_LCIA!N$62</f>
        <v>8.0839367892004054E-4</v>
      </c>
      <c r="AK327" s="137">
        <f>Transportation_LCIA!O$61*($W327^Transportation_LCIA!O$60)+Transportation_LCIA!O$62</f>
        <v>5.067209999252372E-5</v>
      </c>
      <c r="AL327" s="137">
        <f>Transportation_LCIA!P$61*($W327^Transportation_LCIA!P$60)+Transportation_LCIA!P$62</f>
        <v>2.4529050433273688E-8</v>
      </c>
      <c r="AM327" s="137">
        <f>Transportation_LCIA!Q$61*($W327^Transportation_LCIA!Q$60)+Transportation_LCIA!Q$62</f>
        <v>7.5620829602403238E-5</v>
      </c>
      <c r="AN327" s="137">
        <f>Transportation_LCIA!R$61*($W327^Transportation_LCIA!R$60)+Transportation_LCIA!R$62</f>
        <v>2.2005485991627286E-4</v>
      </c>
      <c r="AO327" s="137">
        <f>Transportation_LCIA!S$61*($W327^Transportation_LCIA!S$60)+Transportation_LCIA!S$62</f>
        <v>3.3802166707550345E-6</v>
      </c>
      <c r="AP327" s="137">
        <f>Transportation_LCIA!T$61*($W327^Transportation_LCIA!T$60)+Transportation_LCIA!T$62</f>
        <v>3.3802166707550345E-6</v>
      </c>
      <c r="AQ327" s="137">
        <f>Transportation_LCIA!U$61*($W327^Transportation_LCIA!U$60)+Transportation_LCIA!U$62</f>
        <v>4.6945882310058874E-4</v>
      </c>
      <c r="AR327" s="137">
        <f>Transportation_LCIA!V$61*($W327^Transportation_LCIA!V$60)+Transportation_LCIA!V$62</f>
        <v>1.9671290669076797E-4</v>
      </c>
      <c r="AT327" s="137">
        <f>$W327*Y327+$L327*Summary_LCIA!H$32</f>
        <v>314.92390251701795</v>
      </c>
      <c r="AU327" s="137">
        <f>$W327*Z327+$L327*Summary_LCIA!Q$32</f>
        <v>3281.0644574591838</v>
      </c>
      <c r="AV327" s="137">
        <f>$W327*AA327+$L327*Summary_LCIA!R$32</f>
        <v>1.6559560522995636</v>
      </c>
      <c r="AW327" s="137">
        <f>$W327*AB327+$L327*Summary_LCIA!S$32</f>
        <v>314.61140409701795</v>
      </c>
      <c r="AX327" s="137">
        <f>$W327*AC327+$L327*Summary_LCIA!T$32</f>
        <v>76.385844988292291</v>
      </c>
      <c r="AY327" s="137">
        <f>$W327*AD327+$L327*Summary_LCIA!U$32</f>
        <v>1.585106762461638</v>
      </c>
      <c r="AZ327" s="137">
        <f>$W327*AE327+$L327*Summary_LCIA!V$32</f>
        <v>9.9112213935402659E-3</v>
      </c>
      <c r="BA327" s="137">
        <f>$W327*AF327+$L327*Summary_LCIA!W$32</f>
        <v>15.107935199773415</v>
      </c>
      <c r="BB327" s="137">
        <f>$W327*AG327+$L327*Summary_LCIA!X$32</f>
        <v>15.957906784270339</v>
      </c>
      <c r="BC327" s="137">
        <f>$W327*AH327+$L327*Summary_LCIA!Y$32</f>
        <v>1.3738164826266637</v>
      </c>
      <c r="BD327" s="137">
        <f>$W327*AI327+$L327*Summary_LCIA!Z$32</f>
        <v>0.30858937634717232</v>
      </c>
      <c r="BE327" s="137">
        <f>$W327*AJ327+$L327*Summary_LCIA!AA$32</f>
        <v>2.8068873582094254</v>
      </c>
      <c r="BF327" s="137">
        <f>$W327*AK327+$L327*Summary_LCIA!AB$32</f>
        <v>7.0892610680539939E-2</v>
      </c>
      <c r="BG327" s="137">
        <f>$W327*AL327+$L327*Summary_LCIA!AC$32</f>
        <v>3.8520305065452816E-5</v>
      </c>
      <c r="BH327" s="137">
        <f>$W327*AM327+$L327*Summary_LCIA!AD$32</f>
        <v>0.13716054435117098</v>
      </c>
      <c r="BI327" s="137">
        <f>$W327*AN327+$L327*Summary_LCIA!AE$32</f>
        <v>0.37721762092700767</v>
      </c>
      <c r="BJ327" s="137">
        <f>$W327*AO327+$L327*Summary_LCIA!AF$32</f>
        <v>6.4604042584948715E-2</v>
      </c>
      <c r="BK327" s="137">
        <f>$W327*AP327+$L327*Summary_LCIA!AG$32</f>
        <v>8.4494198299487101E-3</v>
      </c>
      <c r="BL327" s="137">
        <f>$W327*AQ327+$L327*Summary_LCIA!AH$32</f>
        <v>1.2864423104804708</v>
      </c>
      <c r="BM327" s="137">
        <f>$W327*AR327+$L327*Summary_LCIA!AI$32</f>
        <v>0.34706165260628874</v>
      </c>
    </row>
    <row r="328" spans="1:65" x14ac:dyDescent="0.25">
      <c r="A328" s="149">
        <v>170</v>
      </c>
      <c r="B328" s="149">
        <v>6</v>
      </c>
      <c r="C328" s="61">
        <v>40.014986</v>
      </c>
      <c r="D328" s="61">
        <v>-105.270546</v>
      </c>
      <c r="E328" s="61" t="s">
        <v>265</v>
      </c>
      <c r="F328" s="149">
        <v>16</v>
      </c>
      <c r="G328" s="61" t="s">
        <v>565</v>
      </c>
      <c r="H328" s="61" t="s">
        <v>645</v>
      </c>
      <c r="I328" s="61">
        <v>39.856096000000001</v>
      </c>
      <c r="J328" s="61">
        <v>-104.673738</v>
      </c>
      <c r="K328" s="61">
        <v>66.833860599999994</v>
      </c>
      <c r="L328" s="61">
        <v>70.700999999999993</v>
      </c>
      <c r="M328" s="61" t="s">
        <v>617</v>
      </c>
      <c r="N328" s="149">
        <v>5</v>
      </c>
      <c r="O328" s="149">
        <v>6</v>
      </c>
      <c r="P328" s="61" t="s">
        <v>565</v>
      </c>
      <c r="Q328" s="61" t="s">
        <v>564</v>
      </c>
      <c r="R328" s="61">
        <v>41.98028</v>
      </c>
      <c r="S328" s="61">
        <v>-87.908997900000003</v>
      </c>
      <c r="T328" s="61">
        <v>1634.5219999999999</v>
      </c>
      <c r="U328" s="61" t="s">
        <v>617</v>
      </c>
      <c r="V328" s="61" t="s">
        <v>569</v>
      </c>
      <c r="W328" s="61" cm="1">
        <f t="array" ref="W328">getDistance(I328,J328,R328,S328)*SA!$B$12</f>
        <v>1429.4950991616145</v>
      </c>
      <c r="Y328" s="137">
        <f>Transportation_LCIA!C$61*($W328^Transportation_LCIA!C$60)+Transportation_LCIA!C$62</f>
        <v>0.20349821617970421</v>
      </c>
      <c r="Z328" s="137">
        <f>Transportation_LCIA!D$61*($W328^Transportation_LCIA!D$60)+Transportation_LCIA!D$62</f>
        <v>2.0501411564925682</v>
      </c>
      <c r="AA328" s="137">
        <f>Transportation_LCIA!E$61*($W328^Transportation_LCIA!E$60)+Transportation_LCIA!E$62</f>
        <v>8.9799039356792888E-4</v>
      </c>
      <c r="AB328" s="137">
        <f>Transportation_LCIA!F$61*($W328^Transportation_LCIA!F$60)+Transportation_LCIA!F$62</f>
        <v>0.20349821617970421</v>
      </c>
      <c r="AC328" s="137">
        <f>Transportation_LCIA!G$61*($W328^Transportation_LCIA!G$60)+Transportation_LCIA!G$62</f>
        <v>4.8000028211733513E-2</v>
      </c>
      <c r="AD328" s="137">
        <f>Transportation_LCIA!H$61*($W328^Transportation_LCIA!H$60)+Transportation_LCIA!H$62</f>
        <v>2.2285424318591637E-4</v>
      </c>
      <c r="AE328" s="137">
        <f>Transportation_LCIA!I$61*($W328^Transportation_LCIA!I$60)+Transportation_LCIA!I$62</f>
        <v>4.571174071441499E-6</v>
      </c>
      <c r="AF328" s="137">
        <f>Transportation_LCIA!J$61*($W328^Transportation_LCIA!J$60)+Transportation_LCIA!J$62</f>
        <v>6.7618339751164165E-3</v>
      </c>
      <c r="AG328" s="137">
        <f>Transportation_LCIA!K$61*($W328^Transportation_LCIA!K$60)+Transportation_LCIA!K$62</f>
        <v>1.0036647213890358E-2</v>
      </c>
      <c r="AH328" s="137">
        <f>Transportation_LCIA!L$61*($W328^Transportation_LCIA!L$60)+Transportation_LCIA!L$62</f>
        <v>1.9038435373879868E-4</v>
      </c>
      <c r="AI328" s="137">
        <f>Transportation_LCIA!M$61*($W328^Transportation_LCIA!M$60)+Transportation_LCIA!M$62</f>
        <v>2.1384473386264609E-4</v>
      </c>
      <c r="AJ328" s="137">
        <f>Transportation_LCIA!N$61*($W328^Transportation_LCIA!N$60)+Transportation_LCIA!N$62</f>
        <v>8.0839367892004054E-4</v>
      </c>
      <c r="AK328" s="137">
        <f>Transportation_LCIA!O$61*($W328^Transportation_LCIA!O$60)+Transportation_LCIA!O$62</f>
        <v>5.067209999252372E-5</v>
      </c>
      <c r="AL328" s="137">
        <f>Transportation_LCIA!P$61*($W328^Transportation_LCIA!P$60)+Transportation_LCIA!P$62</f>
        <v>2.4529050433273688E-8</v>
      </c>
      <c r="AM328" s="137">
        <f>Transportation_LCIA!Q$61*($W328^Transportation_LCIA!Q$60)+Transportation_LCIA!Q$62</f>
        <v>7.5620829602403238E-5</v>
      </c>
      <c r="AN328" s="137">
        <f>Transportation_LCIA!R$61*($W328^Transportation_LCIA!R$60)+Transportation_LCIA!R$62</f>
        <v>2.2005485991627286E-4</v>
      </c>
      <c r="AO328" s="137">
        <f>Transportation_LCIA!S$61*($W328^Transportation_LCIA!S$60)+Transportation_LCIA!S$62</f>
        <v>3.3802166707550345E-6</v>
      </c>
      <c r="AP328" s="137">
        <f>Transportation_LCIA!T$61*($W328^Transportation_LCIA!T$60)+Transportation_LCIA!T$62</f>
        <v>3.3802166707550345E-6</v>
      </c>
      <c r="AQ328" s="137">
        <f>Transportation_LCIA!U$61*($W328^Transportation_LCIA!U$60)+Transportation_LCIA!U$62</f>
        <v>4.6945882310058874E-4</v>
      </c>
      <c r="AR328" s="137">
        <f>Transportation_LCIA!V$61*($W328^Transportation_LCIA!V$60)+Transportation_LCIA!V$62</f>
        <v>1.9671290669076797E-4</v>
      </c>
      <c r="AT328" s="137">
        <f>$W328*Y328+$L328*Summary_LCIA!H$32</f>
        <v>314.92390251701795</v>
      </c>
      <c r="AU328" s="137">
        <f>$W328*Z328+$L328*Summary_LCIA!Q$32</f>
        <v>3281.0644574591838</v>
      </c>
      <c r="AV328" s="137">
        <f>$W328*AA328+$L328*Summary_LCIA!R$32</f>
        <v>1.6559560522995636</v>
      </c>
      <c r="AW328" s="137">
        <f>$W328*AB328+$L328*Summary_LCIA!S$32</f>
        <v>314.61140409701795</v>
      </c>
      <c r="AX328" s="137">
        <f>$W328*AC328+$L328*Summary_LCIA!T$32</f>
        <v>76.385844988292291</v>
      </c>
      <c r="AY328" s="137">
        <f>$W328*AD328+$L328*Summary_LCIA!U$32</f>
        <v>1.585106762461638</v>
      </c>
      <c r="AZ328" s="137">
        <f>$W328*AE328+$L328*Summary_LCIA!V$32</f>
        <v>9.9112213935402659E-3</v>
      </c>
      <c r="BA328" s="137">
        <f>$W328*AF328+$L328*Summary_LCIA!W$32</f>
        <v>15.107935199773415</v>
      </c>
      <c r="BB328" s="137">
        <f>$W328*AG328+$L328*Summary_LCIA!X$32</f>
        <v>15.957906784270339</v>
      </c>
      <c r="BC328" s="137">
        <f>$W328*AH328+$L328*Summary_LCIA!Y$32</f>
        <v>1.3738164826266637</v>
      </c>
      <c r="BD328" s="137">
        <f>$W328*AI328+$L328*Summary_LCIA!Z$32</f>
        <v>0.30858937634717232</v>
      </c>
      <c r="BE328" s="137">
        <f>$W328*AJ328+$L328*Summary_LCIA!AA$32</f>
        <v>2.8068873582094254</v>
      </c>
      <c r="BF328" s="137">
        <f>$W328*AK328+$L328*Summary_LCIA!AB$32</f>
        <v>7.0892610680539939E-2</v>
      </c>
      <c r="BG328" s="137">
        <f>$W328*AL328+$L328*Summary_LCIA!AC$32</f>
        <v>3.8520305065452816E-5</v>
      </c>
      <c r="BH328" s="137">
        <f>$W328*AM328+$L328*Summary_LCIA!AD$32</f>
        <v>0.13716054435117098</v>
      </c>
      <c r="BI328" s="137">
        <f>$W328*AN328+$L328*Summary_LCIA!AE$32</f>
        <v>0.37721762092700767</v>
      </c>
      <c r="BJ328" s="137">
        <f>$W328*AO328+$L328*Summary_LCIA!AF$32</f>
        <v>6.4604042584948715E-2</v>
      </c>
      <c r="BK328" s="137">
        <f>$W328*AP328+$L328*Summary_LCIA!AG$32</f>
        <v>8.4494198299487101E-3</v>
      </c>
      <c r="BL328" s="137">
        <f>$W328*AQ328+$L328*Summary_LCIA!AH$32</f>
        <v>1.2864423104804708</v>
      </c>
      <c r="BM328" s="137">
        <f>$W328*AR328+$L328*Summary_LCIA!AI$32</f>
        <v>0.34706165260628874</v>
      </c>
    </row>
    <row r="329" spans="1:65" x14ac:dyDescent="0.25">
      <c r="A329" s="149">
        <v>171</v>
      </c>
      <c r="B329" s="149">
        <v>6</v>
      </c>
      <c r="C329" s="61">
        <v>40.014986</v>
      </c>
      <c r="D329" s="61">
        <v>-105.270546</v>
      </c>
      <c r="E329" s="61" t="s">
        <v>265</v>
      </c>
      <c r="F329" s="149">
        <v>16</v>
      </c>
      <c r="G329" s="61" t="s">
        <v>565</v>
      </c>
      <c r="H329" s="61" t="s">
        <v>645</v>
      </c>
      <c r="I329" s="61">
        <v>39.856096000000001</v>
      </c>
      <c r="J329" s="61">
        <v>-104.673738</v>
      </c>
      <c r="K329" s="61">
        <v>66.833860599999994</v>
      </c>
      <c r="L329" s="61">
        <v>70.700999999999993</v>
      </c>
      <c r="M329" s="61" t="s">
        <v>617</v>
      </c>
      <c r="N329" s="149">
        <v>5</v>
      </c>
      <c r="O329" s="149">
        <v>6</v>
      </c>
      <c r="P329" s="61" t="s">
        <v>565</v>
      </c>
      <c r="Q329" s="61" t="s">
        <v>564</v>
      </c>
      <c r="R329" s="61">
        <v>41.98028</v>
      </c>
      <c r="S329" s="61">
        <v>-87.908997900000003</v>
      </c>
      <c r="T329" s="61">
        <v>1634.5219999999999</v>
      </c>
      <c r="U329" s="61" t="s">
        <v>617</v>
      </c>
      <c r="V329" s="61" t="s">
        <v>569</v>
      </c>
      <c r="W329" s="61" cm="1">
        <f t="array" ref="W329">getDistance(I329,J329,R329,S329)*SA!$B$12</f>
        <v>1429.4950991616145</v>
      </c>
      <c r="Y329" s="137">
        <f>Transportation_LCIA!C$61*($W329^Transportation_LCIA!C$60)+Transportation_LCIA!C$62</f>
        <v>0.20349821617970421</v>
      </c>
      <c r="Z329" s="137">
        <f>Transportation_LCIA!D$61*($W329^Transportation_LCIA!D$60)+Transportation_LCIA!D$62</f>
        <v>2.0501411564925682</v>
      </c>
      <c r="AA329" s="137">
        <f>Transportation_LCIA!E$61*($W329^Transportation_LCIA!E$60)+Transportation_LCIA!E$62</f>
        <v>8.9799039356792888E-4</v>
      </c>
      <c r="AB329" s="137">
        <f>Transportation_LCIA!F$61*($W329^Transportation_LCIA!F$60)+Transportation_LCIA!F$62</f>
        <v>0.20349821617970421</v>
      </c>
      <c r="AC329" s="137">
        <f>Transportation_LCIA!G$61*($W329^Transportation_LCIA!G$60)+Transportation_LCIA!G$62</f>
        <v>4.8000028211733513E-2</v>
      </c>
      <c r="AD329" s="137">
        <f>Transportation_LCIA!H$61*($W329^Transportation_LCIA!H$60)+Transportation_LCIA!H$62</f>
        <v>2.2285424318591637E-4</v>
      </c>
      <c r="AE329" s="137">
        <f>Transportation_LCIA!I$61*($W329^Transportation_LCIA!I$60)+Transportation_LCIA!I$62</f>
        <v>4.571174071441499E-6</v>
      </c>
      <c r="AF329" s="137">
        <f>Transportation_LCIA!J$61*($W329^Transportation_LCIA!J$60)+Transportation_LCIA!J$62</f>
        <v>6.7618339751164165E-3</v>
      </c>
      <c r="AG329" s="137">
        <f>Transportation_LCIA!K$61*($W329^Transportation_LCIA!K$60)+Transportation_LCIA!K$62</f>
        <v>1.0036647213890358E-2</v>
      </c>
      <c r="AH329" s="137">
        <f>Transportation_LCIA!L$61*($W329^Transportation_LCIA!L$60)+Transportation_LCIA!L$62</f>
        <v>1.9038435373879868E-4</v>
      </c>
      <c r="AI329" s="137">
        <f>Transportation_LCIA!M$61*($W329^Transportation_LCIA!M$60)+Transportation_LCIA!M$62</f>
        <v>2.1384473386264609E-4</v>
      </c>
      <c r="AJ329" s="137">
        <f>Transportation_LCIA!N$61*($W329^Transportation_LCIA!N$60)+Transportation_LCIA!N$62</f>
        <v>8.0839367892004054E-4</v>
      </c>
      <c r="AK329" s="137">
        <f>Transportation_LCIA!O$61*($W329^Transportation_LCIA!O$60)+Transportation_LCIA!O$62</f>
        <v>5.067209999252372E-5</v>
      </c>
      <c r="AL329" s="137">
        <f>Transportation_LCIA!P$61*($W329^Transportation_LCIA!P$60)+Transportation_LCIA!P$62</f>
        <v>2.4529050433273688E-8</v>
      </c>
      <c r="AM329" s="137">
        <f>Transportation_LCIA!Q$61*($W329^Transportation_LCIA!Q$60)+Transportation_LCIA!Q$62</f>
        <v>7.5620829602403238E-5</v>
      </c>
      <c r="AN329" s="137">
        <f>Transportation_LCIA!R$61*($W329^Transportation_LCIA!R$60)+Transportation_LCIA!R$62</f>
        <v>2.2005485991627286E-4</v>
      </c>
      <c r="AO329" s="137">
        <f>Transportation_LCIA!S$61*($W329^Transportation_LCIA!S$60)+Transportation_LCIA!S$62</f>
        <v>3.3802166707550345E-6</v>
      </c>
      <c r="AP329" s="137">
        <f>Transportation_LCIA!T$61*($W329^Transportation_LCIA!T$60)+Transportation_LCIA!T$62</f>
        <v>3.3802166707550345E-6</v>
      </c>
      <c r="AQ329" s="137">
        <f>Transportation_LCIA!U$61*($W329^Transportation_LCIA!U$60)+Transportation_LCIA!U$62</f>
        <v>4.6945882310058874E-4</v>
      </c>
      <c r="AR329" s="137">
        <f>Transportation_LCIA!V$61*($W329^Transportation_LCIA!V$60)+Transportation_LCIA!V$62</f>
        <v>1.9671290669076797E-4</v>
      </c>
      <c r="AT329" s="137">
        <f>$W329*Y329+$L329*Summary_LCIA!H$32</f>
        <v>314.92390251701795</v>
      </c>
      <c r="AU329" s="137">
        <f>$W329*Z329+$L329*Summary_LCIA!Q$32</f>
        <v>3281.0644574591838</v>
      </c>
      <c r="AV329" s="137">
        <f>$W329*AA329+$L329*Summary_LCIA!R$32</f>
        <v>1.6559560522995636</v>
      </c>
      <c r="AW329" s="137">
        <f>$W329*AB329+$L329*Summary_LCIA!S$32</f>
        <v>314.61140409701795</v>
      </c>
      <c r="AX329" s="137">
        <f>$W329*AC329+$L329*Summary_LCIA!T$32</f>
        <v>76.385844988292291</v>
      </c>
      <c r="AY329" s="137">
        <f>$W329*AD329+$L329*Summary_LCIA!U$32</f>
        <v>1.585106762461638</v>
      </c>
      <c r="AZ329" s="137">
        <f>$W329*AE329+$L329*Summary_LCIA!V$32</f>
        <v>9.9112213935402659E-3</v>
      </c>
      <c r="BA329" s="137">
        <f>$W329*AF329+$L329*Summary_LCIA!W$32</f>
        <v>15.107935199773415</v>
      </c>
      <c r="BB329" s="137">
        <f>$W329*AG329+$L329*Summary_LCIA!X$32</f>
        <v>15.957906784270339</v>
      </c>
      <c r="BC329" s="137">
        <f>$W329*AH329+$L329*Summary_LCIA!Y$32</f>
        <v>1.3738164826266637</v>
      </c>
      <c r="BD329" s="137">
        <f>$W329*AI329+$L329*Summary_LCIA!Z$32</f>
        <v>0.30858937634717232</v>
      </c>
      <c r="BE329" s="137">
        <f>$W329*AJ329+$L329*Summary_LCIA!AA$32</f>
        <v>2.8068873582094254</v>
      </c>
      <c r="BF329" s="137">
        <f>$W329*AK329+$L329*Summary_LCIA!AB$32</f>
        <v>7.0892610680539939E-2</v>
      </c>
      <c r="BG329" s="137">
        <f>$W329*AL329+$L329*Summary_LCIA!AC$32</f>
        <v>3.8520305065452816E-5</v>
      </c>
      <c r="BH329" s="137">
        <f>$W329*AM329+$L329*Summary_LCIA!AD$32</f>
        <v>0.13716054435117098</v>
      </c>
      <c r="BI329" s="137">
        <f>$W329*AN329+$L329*Summary_LCIA!AE$32</f>
        <v>0.37721762092700767</v>
      </c>
      <c r="BJ329" s="137">
        <f>$W329*AO329+$L329*Summary_LCIA!AF$32</f>
        <v>6.4604042584948715E-2</v>
      </c>
      <c r="BK329" s="137">
        <f>$W329*AP329+$L329*Summary_LCIA!AG$32</f>
        <v>8.4494198299487101E-3</v>
      </c>
      <c r="BL329" s="137">
        <f>$W329*AQ329+$L329*Summary_LCIA!AH$32</f>
        <v>1.2864423104804708</v>
      </c>
      <c r="BM329" s="137">
        <f>$W329*AR329+$L329*Summary_LCIA!AI$32</f>
        <v>0.34706165260628874</v>
      </c>
    </row>
    <row r="330" spans="1:65" x14ac:dyDescent="0.25">
      <c r="A330" s="149">
        <v>172</v>
      </c>
      <c r="B330" s="149">
        <v>6</v>
      </c>
      <c r="C330" s="61">
        <v>40.014986</v>
      </c>
      <c r="D330" s="61">
        <v>-105.270546</v>
      </c>
      <c r="E330" s="61" t="s">
        <v>265</v>
      </c>
      <c r="F330" s="149">
        <v>16</v>
      </c>
      <c r="G330" s="61" t="s">
        <v>565</v>
      </c>
      <c r="H330" s="61" t="s">
        <v>645</v>
      </c>
      <c r="I330" s="61">
        <v>39.856096000000001</v>
      </c>
      <c r="J330" s="61">
        <v>-104.673738</v>
      </c>
      <c r="K330" s="61">
        <v>66.833860599999994</v>
      </c>
      <c r="L330" s="61">
        <v>70.700999999999993</v>
      </c>
      <c r="M330" s="61" t="s">
        <v>617</v>
      </c>
      <c r="N330" s="149">
        <v>5</v>
      </c>
      <c r="O330" s="149">
        <v>6</v>
      </c>
      <c r="P330" s="61" t="s">
        <v>565</v>
      </c>
      <c r="Q330" s="61" t="s">
        <v>564</v>
      </c>
      <c r="R330" s="61">
        <v>41.98028</v>
      </c>
      <c r="S330" s="61">
        <v>-87.908997900000003</v>
      </c>
      <c r="T330" s="61">
        <v>1634.5219999999999</v>
      </c>
      <c r="U330" s="61" t="s">
        <v>617</v>
      </c>
      <c r="V330" s="61" t="s">
        <v>569</v>
      </c>
      <c r="W330" s="61" cm="1">
        <f t="array" ref="W330">getDistance(I330,J330,R330,S330)*SA!$B$12</f>
        <v>1429.4950991616145</v>
      </c>
      <c r="Y330" s="137">
        <f>Transportation_LCIA!C$61*($W330^Transportation_LCIA!C$60)+Transportation_LCIA!C$62</f>
        <v>0.20349821617970421</v>
      </c>
      <c r="Z330" s="137">
        <f>Transportation_LCIA!D$61*($W330^Transportation_LCIA!D$60)+Transportation_LCIA!D$62</f>
        <v>2.0501411564925682</v>
      </c>
      <c r="AA330" s="137">
        <f>Transportation_LCIA!E$61*($W330^Transportation_LCIA!E$60)+Transportation_LCIA!E$62</f>
        <v>8.9799039356792888E-4</v>
      </c>
      <c r="AB330" s="137">
        <f>Transportation_LCIA!F$61*($W330^Transportation_LCIA!F$60)+Transportation_LCIA!F$62</f>
        <v>0.20349821617970421</v>
      </c>
      <c r="AC330" s="137">
        <f>Transportation_LCIA!G$61*($W330^Transportation_LCIA!G$60)+Transportation_LCIA!G$62</f>
        <v>4.8000028211733513E-2</v>
      </c>
      <c r="AD330" s="137">
        <f>Transportation_LCIA!H$61*($W330^Transportation_LCIA!H$60)+Transportation_LCIA!H$62</f>
        <v>2.2285424318591637E-4</v>
      </c>
      <c r="AE330" s="137">
        <f>Transportation_LCIA!I$61*($W330^Transportation_LCIA!I$60)+Transportation_LCIA!I$62</f>
        <v>4.571174071441499E-6</v>
      </c>
      <c r="AF330" s="137">
        <f>Transportation_LCIA!J$61*($W330^Transportation_LCIA!J$60)+Transportation_LCIA!J$62</f>
        <v>6.7618339751164165E-3</v>
      </c>
      <c r="AG330" s="137">
        <f>Transportation_LCIA!K$61*($W330^Transportation_LCIA!K$60)+Transportation_LCIA!K$62</f>
        <v>1.0036647213890358E-2</v>
      </c>
      <c r="AH330" s="137">
        <f>Transportation_LCIA!L$61*($W330^Transportation_LCIA!L$60)+Transportation_LCIA!L$62</f>
        <v>1.9038435373879868E-4</v>
      </c>
      <c r="AI330" s="137">
        <f>Transportation_LCIA!M$61*($W330^Transportation_LCIA!M$60)+Transportation_LCIA!M$62</f>
        <v>2.1384473386264609E-4</v>
      </c>
      <c r="AJ330" s="137">
        <f>Transportation_LCIA!N$61*($W330^Transportation_LCIA!N$60)+Transportation_LCIA!N$62</f>
        <v>8.0839367892004054E-4</v>
      </c>
      <c r="AK330" s="137">
        <f>Transportation_LCIA!O$61*($W330^Transportation_LCIA!O$60)+Transportation_LCIA!O$62</f>
        <v>5.067209999252372E-5</v>
      </c>
      <c r="AL330" s="137">
        <f>Transportation_LCIA!P$61*($W330^Transportation_LCIA!P$60)+Transportation_LCIA!P$62</f>
        <v>2.4529050433273688E-8</v>
      </c>
      <c r="AM330" s="137">
        <f>Transportation_LCIA!Q$61*($W330^Transportation_LCIA!Q$60)+Transportation_LCIA!Q$62</f>
        <v>7.5620829602403238E-5</v>
      </c>
      <c r="AN330" s="137">
        <f>Transportation_LCIA!R$61*($W330^Transportation_LCIA!R$60)+Transportation_LCIA!R$62</f>
        <v>2.2005485991627286E-4</v>
      </c>
      <c r="AO330" s="137">
        <f>Transportation_LCIA!S$61*($W330^Transportation_LCIA!S$60)+Transportation_LCIA!S$62</f>
        <v>3.3802166707550345E-6</v>
      </c>
      <c r="AP330" s="137">
        <f>Transportation_LCIA!T$61*($W330^Transportation_LCIA!T$60)+Transportation_LCIA!T$62</f>
        <v>3.3802166707550345E-6</v>
      </c>
      <c r="AQ330" s="137">
        <f>Transportation_LCIA!U$61*($W330^Transportation_LCIA!U$60)+Transportation_LCIA!U$62</f>
        <v>4.6945882310058874E-4</v>
      </c>
      <c r="AR330" s="137">
        <f>Transportation_LCIA!V$61*($W330^Transportation_LCIA!V$60)+Transportation_LCIA!V$62</f>
        <v>1.9671290669076797E-4</v>
      </c>
      <c r="AT330" s="137">
        <f>$W330*Y330+$L330*Summary_LCIA!H$32</f>
        <v>314.92390251701795</v>
      </c>
      <c r="AU330" s="137">
        <f>$W330*Z330+$L330*Summary_LCIA!Q$32</f>
        <v>3281.0644574591838</v>
      </c>
      <c r="AV330" s="137">
        <f>$W330*AA330+$L330*Summary_LCIA!R$32</f>
        <v>1.6559560522995636</v>
      </c>
      <c r="AW330" s="137">
        <f>$W330*AB330+$L330*Summary_LCIA!S$32</f>
        <v>314.61140409701795</v>
      </c>
      <c r="AX330" s="137">
        <f>$W330*AC330+$L330*Summary_LCIA!T$32</f>
        <v>76.385844988292291</v>
      </c>
      <c r="AY330" s="137">
        <f>$W330*AD330+$L330*Summary_LCIA!U$32</f>
        <v>1.585106762461638</v>
      </c>
      <c r="AZ330" s="137">
        <f>$W330*AE330+$L330*Summary_LCIA!V$32</f>
        <v>9.9112213935402659E-3</v>
      </c>
      <c r="BA330" s="137">
        <f>$W330*AF330+$L330*Summary_LCIA!W$32</f>
        <v>15.107935199773415</v>
      </c>
      <c r="BB330" s="137">
        <f>$W330*AG330+$L330*Summary_LCIA!X$32</f>
        <v>15.957906784270339</v>
      </c>
      <c r="BC330" s="137">
        <f>$W330*AH330+$L330*Summary_LCIA!Y$32</f>
        <v>1.3738164826266637</v>
      </c>
      <c r="BD330" s="137">
        <f>$W330*AI330+$L330*Summary_LCIA!Z$32</f>
        <v>0.30858937634717232</v>
      </c>
      <c r="BE330" s="137">
        <f>$W330*AJ330+$L330*Summary_LCIA!AA$32</f>
        <v>2.8068873582094254</v>
      </c>
      <c r="BF330" s="137">
        <f>$W330*AK330+$L330*Summary_LCIA!AB$32</f>
        <v>7.0892610680539939E-2</v>
      </c>
      <c r="BG330" s="137">
        <f>$W330*AL330+$L330*Summary_LCIA!AC$32</f>
        <v>3.8520305065452816E-5</v>
      </c>
      <c r="BH330" s="137">
        <f>$W330*AM330+$L330*Summary_LCIA!AD$32</f>
        <v>0.13716054435117098</v>
      </c>
      <c r="BI330" s="137">
        <f>$W330*AN330+$L330*Summary_LCIA!AE$32</f>
        <v>0.37721762092700767</v>
      </c>
      <c r="BJ330" s="137">
        <f>$W330*AO330+$L330*Summary_LCIA!AF$32</f>
        <v>6.4604042584948715E-2</v>
      </c>
      <c r="BK330" s="137">
        <f>$W330*AP330+$L330*Summary_LCIA!AG$32</f>
        <v>8.4494198299487101E-3</v>
      </c>
      <c r="BL330" s="137">
        <f>$W330*AQ330+$L330*Summary_LCIA!AH$32</f>
        <v>1.2864423104804708</v>
      </c>
      <c r="BM330" s="137">
        <f>$W330*AR330+$L330*Summary_LCIA!AI$32</f>
        <v>0.34706165260628874</v>
      </c>
    </row>
    <row r="331" spans="1:65" x14ac:dyDescent="0.25">
      <c r="A331" s="149">
        <v>206</v>
      </c>
      <c r="B331" s="149">
        <v>6</v>
      </c>
      <c r="C331" s="61">
        <v>39.514285000000001</v>
      </c>
      <c r="D331" s="61">
        <v>-104.845462</v>
      </c>
      <c r="E331" s="61" t="s">
        <v>265</v>
      </c>
      <c r="F331" s="149">
        <v>16</v>
      </c>
      <c r="G331" s="61" t="s">
        <v>565</v>
      </c>
      <c r="H331" s="61" t="s">
        <v>645</v>
      </c>
      <c r="I331" s="61">
        <v>39.856096000000001</v>
      </c>
      <c r="J331" s="61">
        <v>-104.673738</v>
      </c>
      <c r="K331" s="61">
        <v>66.458705199999997</v>
      </c>
      <c r="L331" s="61">
        <v>55.151000000000003</v>
      </c>
      <c r="M331" s="61" t="s">
        <v>617</v>
      </c>
      <c r="N331" s="149">
        <v>5</v>
      </c>
      <c r="O331" s="149">
        <v>6</v>
      </c>
      <c r="P331" s="61" t="s">
        <v>565</v>
      </c>
      <c r="Q331" s="61" t="s">
        <v>564</v>
      </c>
      <c r="R331" s="61">
        <v>41.98028</v>
      </c>
      <c r="S331" s="61">
        <v>-87.908997900000003</v>
      </c>
      <c r="T331" s="61">
        <v>1638.0509999999999</v>
      </c>
      <c r="U331" s="61" t="s">
        <v>617</v>
      </c>
      <c r="V331" s="61" t="s">
        <v>569</v>
      </c>
      <c r="W331" s="61" cm="1">
        <f t="array" ref="W331">getDistance(I331,J331,R331,S331)*SA!$B$12</f>
        <v>1429.4950991616145</v>
      </c>
      <c r="Y331" s="137">
        <f>Transportation_LCIA!C$61*($W331^Transportation_LCIA!C$60)+Transportation_LCIA!C$62</f>
        <v>0.20349821617970421</v>
      </c>
      <c r="Z331" s="137">
        <f>Transportation_LCIA!D$61*($W331^Transportation_LCIA!D$60)+Transportation_LCIA!D$62</f>
        <v>2.0501411564925682</v>
      </c>
      <c r="AA331" s="137">
        <f>Transportation_LCIA!E$61*($W331^Transportation_LCIA!E$60)+Transportation_LCIA!E$62</f>
        <v>8.9799039356792888E-4</v>
      </c>
      <c r="AB331" s="137">
        <f>Transportation_LCIA!F$61*($W331^Transportation_LCIA!F$60)+Transportation_LCIA!F$62</f>
        <v>0.20349821617970421</v>
      </c>
      <c r="AC331" s="137">
        <f>Transportation_LCIA!G$61*($W331^Transportation_LCIA!G$60)+Transportation_LCIA!G$62</f>
        <v>4.8000028211733513E-2</v>
      </c>
      <c r="AD331" s="137">
        <f>Transportation_LCIA!H$61*($W331^Transportation_LCIA!H$60)+Transportation_LCIA!H$62</f>
        <v>2.2285424318591637E-4</v>
      </c>
      <c r="AE331" s="137">
        <f>Transportation_LCIA!I$61*($W331^Transportation_LCIA!I$60)+Transportation_LCIA!I$62</f>
        <v>4.571174071441499E-6</v>
      </c>
      <c r="AF331" s="137">
        <f>Transportation_LCIA!J$61*($W331^Transportation_LCIA!J$60)+Transportation_LCIA!J$62</f>
        <v>6.7618339751164165E-3</v>
      </c>
      <c r="AG331" s="137">
        <f>Transportation_LCIA!K$61*($W331^Transportation_LCIA!K$60)+Transportation_LCIA!K$62</f>
        <v>1.0036647213890358E-2</v>
      </c>
      <c r="AH331" s="137">
        <f>Transportation_LCIA!L$61*($W331^Transportation_LCIA!L$60)+Transportation_LCIA!L$62</f>
        <v>1.9038435373879868E-4</v>
      </c>
      <c r="AI331" s="137">
        <f>Transportation_LCIA!M$61*($W331^Transportation_LCIA!M$60)+Transportation_LCIA!M$62</f>
        <v>2.1384473386264609E-4</v>
      </c>
      <c r="AJ331" s="137">
        <f>Transportation_LCIA!N$61*($W331^Transportation_LCIA!N$60)+Transportation_LCIA!N$62</f>
        <v>8.0839367892004054E-4</v>
      </c>
      <c r="AK331" s="137">
        <f>Transportation_LCIA!O$61*($W331^Transportation_LCIA!O$60)+Transportation_LCIA!O$62</f>
        <v>5.067209999252372E-5</v>
      </c>
      <c r="AL331" s="137">
        <f>Transportation_LCIA!P$61*($W331^Transportation_LCIA!P$60)+Transportation_LCIA!P$62</f>
        <v>2.4529050433273688E-8</v>
      </c>
      <c r="AM331" s="137">
        <f>Transportation_LCIA!Q$61*($W331^Transportation_LCIA!Q$60)+Transportation_LCIA!Q$62</f>
        <v>7.5620829602403238E-5</v>
      </c>
      <c r="AN331" s="137">
        <f>Transportation_LCIA!R$61*($W331^Transportation_LCIA!R$60)+Transportation_LCIA!R$62</f>
        <v>2.2005485991627286E-4</v>
      </c>
      <c r="AO331" s="137">
        <f>Transportation_LCIA!S$61*($W331^Transportation_LCIA!S$60)+Transportation_LCIA!S$62</f>
        <v>3.3802166707550345E-6</v>
      </c>
      <c r="AP331" s="137">
        <f>Transportation_LCIA!T$61*($W331^Transportation_LCIA!T$60)+Transportation_LCIA!T$62</f>
        <v>3.3802166707550345E-6</v>
      </c>
      <c r="AQ331" s="137">
        <f>Transportation_LCIA!U$61*($W331^Transportation_LCIA!U$60)+Transportation_LCIA!U$62</f>
        <v>4.6945882310058874E-4</v>
      </c>
      <c r="AR331" s="137">
        <f>Transportation_LCIA!V$61*($W331^Transportation_LCIA!V$60)+Transportation_LCIA!V$62</f>
        <v>1.9671290669076797E-4</v>
      </c>
      <c r="AT331" s="137">
        <f>$W331*Y331+$L331*Summary_LCIA!H$32</f>
        <v>309.64001251701791</v>
      </c>
      <c r="AU331" s="137">
        <f>$W331*Z331+$L331*Summary_LCIA!Q$32</f>
        <v>3203.9978732260338</v>
      </c>
      <c r="AV331" s="137">
        <f>$W331*AA331+$L331*Summary_LCIA!R$32</f>
        <v>1.5740759722995636</v>
      </c>
      <c r="AW331" s="137">
        <f>$W331*AB331+$L331*Summary_LCIA!S$32</f>
        <v>309.39624509701792</v>
      </c>
      <c r="AX331" s="137">
        <f>$W331*AC331+$L331*Summary_LCIA!T$32</f>
        <v>74.676899988292291</v>
      </c>
      <c r="AY331" s="137">
        <f>$W331*AD331+$L331*Summary_LCIA!U$32</f>
        <v>1.306544062461638</v>
      </c>
      <c r="AZ331" s="137">
        <f>$W331*AE331+$L331*Summary_LCIA!V$32</f>
        <v>9.1685378435402663E-3</v>
      </c>
      <c r="BA331" s="137">
        <f>$W331*AF331+$L331*Summary_LCIA!W$32</f>
        <v>13.911036149773416</v>
      </c>
      <c r="BB331" s="137">
        <f>$W331*AG331+$L331*Summary_LCIA!X$32</f>
        <v>15.603677784270339</v>
      </c>
      <c r="BC331" s="137">
        <f>$W331*AH331+$L331*Summary_LCIA!Y$32</f>
        <v>1.1315163826266641</v>
      </c>
      <c r="BD331" s="137">
        <f>$W331*AI331+$L331*Summary_LCIA!Z$32</f>
        <v>0.30795168639717235</v>
      </c>
      <c r="BE331" s="137">
        <f>$W331*AJ331+$L331*Summary_LCIA!AA$32</f>
        <v>2.4437015582094257</v>
      </c>
      <c r="BF331" s="137">
        <f>$W331*AK331+$L331*Summary_LCIA!AB$32</f>
        <v>7.1231958330539941E-2</v>
      </c>
      <c r="BG331" s="137">
        <f>$W331*AL331+$L331*Summary_LCIA!AC$32</f>
        <v>3.7760158865452814E-5</v>
      </c>
      <c r="BH331" s="137">
        <f>$W331*AM331+$L331*Summary_LCIA!AD$32</f>
        <v>0.13076887235117096</v>
      </c>
      <c r="BI331" s="137">
        <f>$W331*AN331+$L331*Summary_LCIA!AE$32</f>
        <v>0.36343829942700767</v>
      </c>
      <c r="BJ331" s="137">
        <f>$W331*AO331+$L331*Summary_LCIA!AF$32</f>
        <v>5.1457761584948712E-2</v>
      </c>
      <c r="BK331" s="137">
        <f>$W331*AP331+$L331*Summary_LCIA!AG$32</f>
        <v>7.653804079948711E-3</v>
      </c>
      <c r="BL331" s="137">
        <f>$W331*AQ331+$L331*Summary_LCIA!AH$32</f>
        <v>1.1511013304804709</v>
      </c>
      <c r="BM331" s="137">
        <f>$W331*AR331+$L331*Summary_LCIA!AI$32</f>
        <v>0.33257605010628877</v>
      </c>
    </row>
    <row r="332" spans="1:65" x14ac:dyDescent="0.25">
      <c r="A332" s="149">
        <v>320</v>
      </c>
      <c r="B332" s="149">
        <v>29</v>
      </c>
      <c r="C332" s="61">
        <v>50.445211</v>
      </c>
      <c r="D332" s="61">
        <v>-104.618894</v>
      </c>
      <c r="E332" s="61" t="s">
        <v>457</v>
      </c>
      <c r="F332" s="149">
        <v>136</v>
      </c>
      <c r="G332" s="61" t="s">
        <v>720</v>
      </c>
      <c r="H332" s="61" t="s">
        <v>721</v>
      </c>
      <c r="I332" s="61">
        <v>50.432102999999998</v>
      </c>
      <c r="J332" s="61">
        <v>-104.66394099999999</v>
      </c>
      <c r="K332" s="61">
        <v>3.6963417160000001</v>
      </c>
      <c r="L332" s="61">
        <v>4.2089999999999996</v>
      </c>
      <c r="M332" s="61" t="s">
        <v>617</v>
      </c>
      <c r="N332" s="149">
        <v>28</v>
      </c>
      <c r="O332" s="149">
        <v>29</v>
      </c>
      <c r="P332" s="61" t="s">
        <v>565</v>
      </c>
      <c r="Q332" s="61" t="s">
        <v>559</v>
      </c>
      <c r="R332" s="61">
        <v>47.450249900000003</v>
      </c>
      <c r="S332" s="61">
        <v>-122.30881650000001</v>
      </c>
      <c r="T332" s="61">
        <v>1679.0060000000001</v>
      </c>
      <c r="U332" s="61" t="s">
        <v>617</v>
      </c>
      <c r="V332" s="61" t="s">
        <v>569</v>
      </c>
      <c r="W332" s="61" cm="1">
        <f t="array" ref="W332">getDistance(I332,J332,R332,S332)*SA!$B$12</f>
        <v>1331.0890894758259</v>
      </c>
      <c r="Y332" s="137">
        <f>Transportation_LCIA!C$61*($W332^Transportation_LCIA!C$60)+Transportation_LCIA!C$62</f>
        <v>0.20914700925817337</v>
      </c>
      <c r="Z332" s="137">
        <f>Transportation_LCIA!D$61*($W332^Transportation_LCIA!D$60)+Transportation_LCIA!D$62</f>
        <v>2.1151367980536731</v>
      </c>
      <c r="AA332" s="137">
        <f>Transportation_LCIA!E$61*($W332^Transportation_LCIA!E$60)+Transportation_LCIA!E$62</f>
        <v>9.4055456165089845E-4</v>
      </c>
      <c r="AB332" s="137">
        <f>Transportation_LCIA!F$61*($W332^Transportation_LCIA!F$60)+Transportation_LCIA!F$62</f>
        <v>0.20914700925817337</v>
      </c>
      <c r="AC332" s="137">
        <f>Transportation_LCIA!G$61*($W332^Transportation_LCIA!G$60)+Transportation_LCIA!G$62</f>
        <v>4.9504992383433567E-2</v>
      </c>
      <c r="AD332" s="137">
        <f>Transportation_LCIA!H$61*($W332^Transportation_LCIA!H$60)+Transportation_LCIA!H$62</f>
        <v>2.3214001568787584E-4</v>
      </c>
      <c r="AE332" s="137">
        <f>Transportation_LCIA!I$61*($W332^Transportation_LCIA!I$60)+Transportation_LCIA!I$62</f>
        <v>4.801991617621255E-6</v>
      </c>
      <c r="AF332" s="137">
        <f>Transportation_LCIA!J$61*($W332^Transportation_LCIA!J$60)+Transportation_LCIA!J$62</f>
        <v>7.1027535135466391E-3</v>
      </c>
      <c r="AG332" s="137">
        <f>Transportation_LCIA!K$61*($W332^Transportation_LCIA!K$60)+Transportation_LCIA!K$62</f>
        <v>1.0385454116141481E-2</v>
      </c>
      <c r="AH332" s="137">
        <f>Transportation_LCIA!L$61*($W332^Transportation_LCIA!L$60)+Transportation_LCIA!L$62</f>
        <v>1.9889042074276654E-4</v>
      </c>
      <c r="AI332" s="137">
        <f>Transportation_LCIA!M$61*($W332^Transportation_LCIA!M$60)+Transportation_LCIA!M$62</f>
        <v>2.1896727545300462E-4</v>
      </c>
      <c r="AJ332" s="137">
        <f>Transportation_LCIA!N$61*($W332^Transportation_LCIA!N$60)+Transportation_LCIA!N$62</f>
        <v>8.3964538445239058E-4</v>
      </c>
      <c r="AK332" s="137">
        <f>Transportation_LCIA!O$61*($W332^Transportation_LCIA!O$60)+Transportation_LCIA!O$62</f>
        <v>5.2270696578181651E-5</v>
      </c>
      <c r="AL332" s="137">
        <f>Transportation_LCIA!P$61*($W332^Transportation_LCIA!P$60)+Transportation_LCIA!P$62</f>
        <v>2.5298447615687669E-8</v>
      </c>
      <c r="AM332" s="137">
        <f>Transportation_LCIA!Q$61*($W332^Transportation_LCIA!Q$60)+Transportation_LCIA!Q$62</f>
        <v>7.8940263750911871E-5</v>
      </c>
      <c r="AN332" s="137">
        <f>Transportation_LCIA!R$61*($W332^Transportation_LCIA!R$60)+Transportation_LCIA!R$62</f>
        <v>2.3111986159400004E-4</v>
      </c>
      <c r="AO332" s="137">
        <f>Transportation_LCIA!S$61*($W332^Transportation_LCIA!S$60)+Transportation_LCIA!S$62</f>
        <v>3.5373414850632713E-6</v>
      </c>
      <c r="AP332" s="137">
        <f>Transportation_LCIA!T$61*($W332^Transportation_LCIA!T$60)+Transportation_LCIA!T$62</f>
        <v>3.5373414850632713E-6</v>
      </c>
      <c r="AQ332" s="137">
        <f>Transportation_LCIA!U$61*($W332^Transportation_LCIA!U$60)+Transportation_LCIA!U$62</f>
        <v>4.9366640910580937E-4</v>
      </c>
      <c r="AR332" s="137">
        <f>Transportation_LCIA!V$61*($W332^Transportation_LCIA!V$60)+Transportation_LCIA!V$62</f>
        <v>2.0532680681970472E-4</v>
      </c>
      <c r="AT332" s="137">
        <f>$W332*Y332+$L332*Summary_LCIA!H$32</f>
        <v>279.82352032005412</v>
      </c>
      <c r="AU332" s="137">
        <f>$W332*Z332+$L332*Summary_LCIA!Q$32</f>
        <v>2836.2955309105746</v>
      </c>
      <c r="AV332" s="137">
        <f>$W332*AA332+$L332*Summary_LCIA!R$32</f>
        <v>1.2741248254702291</v>
      </c>
      <c r="AW332" s="137">
        <f>$W332*AB332+$L332*Summary_LCIA!S$32</f>
        <v>279.80491654005408</v>
      </c>
      <c r="AX332" s="137">
        <f>$W332*AC332+$L332*Summary_LCIA!T$32</f>
        <v>66.358124336172281</v>
      </c>
      <c r="AY332" s="137">
        <f>$W332*AD332+$L332*Summary_LCIA!U$32</f>
        <v>0.38439906811287861</v>
      </c>
      <c r="AZ332" s="137">
        <f>$W332*AE332+$L332*Summary_LCIA!V$32</f>
        <v>6.5929046989700243E-3</v>
      </c>
      <c r="BA332" s="137">
        <f>$W332*AF332+$L332*Summary_LCIA!W$32</f>
        <v>9.7783686461180199</v>
      </c>
      <c r="BB332" s="137">
        <f>$W332*AG332+$L332*Summary_LCIA!X$32</f>
        <v>13.919845683247731</v>
      </c>
      <c r="BC332" s="137">
        <f>$W332*AH332+$L332*Summary_LCIA!Y$32</f>
        <v>0.33032550705195307</v>
      </c>
      <c r="BD332" s="137">
        <f>$W332*AI332+$L332*Summary_LCIA!Z$32</f>
        <v>0.29163755818874232</v>
      </c>
      <c r="BE332" s="137">
        <f>$W332*AJ332+$L332*Summary_LCIA!AA$32</f>
        <v>1.2159482142733122</v>
      </c>
      <c r="BF332" s="137">
        <f>$W332*AK332+$L332*Summary_LCIA!AB$32</f>
        <v>6.9485100907518985E-2</v>
      </c>
      <c r="BG332" s="137">
        <f>$W332*AL332+$L332*Summary_LCIA!AC$32</f>
        <v>3.3880240357917577E-5</v>
      </c>
      <c r="BH332" s="137">
        <f>$W332*AM332+$L332*Summary_LCIA!AD$32</f>
        <v>0.10680659115918283</v>
      </c>
      <c r="BI332" s="137">
        <f>$W332*AN332+$L332*Summary_LCIA!AE$32</f>
        <v>0.31137084729893638</v>
      </c>
      <c r="BJ332" s="137">
        <f>$W332*AO332+$L332*Summary_LCIA!AF$32</f>
        <v>8.2668894365179359E-3</v>
      </c>
      <c r="BK332" s="137">
        <f>$W332*AP332+$L332*Summary_LCIA!AG$32</f>
        <v>4.9238701415179357E-3</v>
      </c>
      <c r="BL332" s="137">
        <f>$W332*AQ332+$L332*Summary_LCIA!AH$32</f>
        <v>0.69374742340145235</v>
      </c>
      <c r="BM332" s="137">
        <f>$W332*AR332+$L332*Summary_LCIA!AI$32</f>
        <v>0.27722916628461958</v>
      </c>
    </row>
    <row r="333" spans="1:65" x14ac:dyDescent="0.25">
      <c r="A333" s="149">
        <v>173</v>
      </c>
      <c r="B333" s="149">
        <v>6</v>
      </c>
      <c r="C333" s="61">
        <v>39.481653999999999</v>
      </c>
      <c r="D333" s="61">
        <v>-106.038352</v>
      </c>
      <c r="E333" s="61" t="s">
        <v>265</v>
      </c>
      <c r="F333" s="149">
        <v>16</v>
      </c>
      <c r="G333" s="61" t="s">
        <v>565</v>
      </c>
      <c r="H333" s="61" t="s">
        <v>645</v>
      </c>
      <c r="I333" s="61">
        <v>39.856096000000001</v>
      </c>
      <c r="J333" s="61">
        <v>-104.673738</v>
      </c>
      <c r="K333" s="61">
        <v>128.04936520000001</v>
      </c>
      <c r="L333" s="61">
        <v>168.03800000000001</v>
      </c>
      <c r="M333" s="61" t="s">
        <v>617</v>
      </c>
      <c r="N333" s="149">
        <v>5</v>
      </c>
      <c r="O333" s="149">
        <v>6</v>
      </c>
      <c r="P333" s="61" t="s">
        <v>565</v>
      </c>
      <c r="Q333" s="61" t="s">
        <v>564</v>
      </c>
      <c r="R333" s="61">
        <v>41.98028</v>
      </c>
      <c r="S333" s="61">
        <v>-87.908997900000003</v>
      </c>
      <c r="T333" s="61">
        <v>1733.1</v>
      </c>
      <c r="U333" s="61" t="s">
        <v>617</v>
      </c>
      <c r="V333" s="61" t="s">
        <v>569</v>
      </c>
      <c r="W333" s="61" cm="1">
        <f t="array" ref="W333">getDistance(I333,J333,R333,S333)*SA!$B$12</f>
        <v>1429.4950991616145</v>
      </c>
      <c r="Y333" s="137">
        <f>Transportation_LCIA!C$61*($W333^Transportation_LCIA!C$60)+Transportation_LCIA!C$62</f>
        <v>0.20349821617970421</v>
      </c>
      <c r="Z333" s="137">
        <f>Transportation_LCIA!D$61*($W333^Transportation_LCIA!D$60)+Transportation_LCIA!D$62</f>
        <v>2.0501411564925682</v>
      </c>
      <c r="AA333" s="137">
        <f>Transportation_LCIA!E$61*($W333^Transportation_LCIA!E$60)+Transportation_LCIA!E$62</f>
        <v>8.9799039356792888E-4</v>
      </c>
      <c r="AB333" s="137">
        <f>Transportation_LCIA!F$61*($W333^Transportation_LCIA!F$60)+Transportation_LCIA!F$62</f>
        <v>0.20349821617970421</v>
      </c>
      <c r="AC333" s="137">
        <f>Transportation_LCIA!G$61*($W333^Transportation_LCIA!G$60)+Transportation_LCIA!G$62</f>
        <v>4.8000028211733513E-2</v>
      </c>
      <c r="AD333" s="137">
        <f>Transportation_LCIA!H$61*($W333^Transportation_LCIA!H$60)+Transportation_LCIA!H$62</f>
        <v>2.2285424318591637E-4</v>
      </c>
      <c r="AE333" s="137">
        <f>Transportation_LCIA!I$61*($W333^Transportation_LCIA!I$60)+Transportation_LCIA!I$62</f>
        <v>4.571174071441499E-6</v>
      </c>
      <c r="AF333" s="137">
        <f>Transportation_LCIA!J$61*($W333^Transportation_LCIA!J$60)+Transportation_LCIA!J$62</f>
        <v>6.7618339751164165E-3</v>
      </c>
      <c r="AG333" s="137">
        <f>Transportation_LCIA!K$61*($W333^Transportation_LCIA!K$60)+Transportation_LCIA!K$62</f>
        <v>1.0036647213890358E-2</v>
      </c>
      <c r="AH333" s="137">
        <f>Transportation_LCIA!L$61*($W333^Transportation_LCIA!L$60)+Transportation_LCIA!L$62</f>
        <v>1.9038435373879868E-4</v>
      </c>
      <c r="AI333" s="137">
        <f>Transportation_LCIA!M$61*($W333^Transportation_LCIA!M$60)+Transportation_LCIA!M$62</f>
        <v>2.1384473386264609E-4</v>
      </c>
      <c r="AJ333" s="137">
        <f>Transportation_LCIA!N$61*($W333^Transportation_LCIA!N$60)+Transportation_LCIA!N$62</f>
        <v>8.0839367892004054E-4</v>
      </c>
      <c r="AK333" s="137">
        <f>Transportation_LCIA!O$61*($W333^Transportation_LCIA!O$60)+Transportation_LCIA!O$62</f>
        <v>5.067209999252372E-5</v>
      </c>
      <c r="AL333" s="137">
        <f>Transportation_LCIA!P$61*($W333^Transportation_LCIA!P$60)+Transportation_LCIA!P$62</f>
        <v>2.4529050433273688E-8</v>
      </c>
      <c r="AM333" s="137">
        <f>Transportation_LCIA!Q$61*($W333^Transportation_LCIA!Q$60)+Transportation_LCIA!Q$62</f>
        <v>7.5620829602403238E-5</v>
      </c>
      <c r="AN333" s="137">
        <f>Transportation_LCIA!R$61*($W333^Transportation_LCIA!R$60)+Transportation_LCIA!R$62</f>
        <v>2.2005485991627286E-4</v>
      </c>
      <c r="AO333" s="137">
        <f>Transportation_LCIA!S$61*($W333^Transportation_LCIA!S$60)+Transportation_LCIA!S$62</f>
        <v>3.3802166707550345E-6</v>
      </c>
      <c r="AP333" s="137">
        <f>Transportation_LCIA!T$61*($W333^Transportation_LCIA!T$60)+Transportation_LCIA!T$62</f>
        <v>3.3802166707550345E-6</v>
      </c>
      <c r="AQ333" s="137">
        <f>Transportation_LCIA!U$61*($W333^Transportation_LCIA!U$60)+Transportation_LCIA!U$62</f>
        <v>4.6945882310058874E-4</v>
      </c>
      <c r="AR333" s="137">
        <f>Transportation_LCIA!V$61*($W333^Transportation_LCIA!V$60)+Transportation_LCIA!V$62</f>
        <v>1.9671290669076797E-4</v>
      </c>
      <c r="AT333" s="137">
        <f>$W333*Y333+$L333*Summary_LCIA!H$32</f>
        <v>347.99901511701796</v>
      </c>
      <c r="AU333" s="137">
        <f>$W333*Z333+$L333*Summary_LCIA!Q$32</f>
        <v>3763.471538456105</v>
      </c>
      <c r="AV333" s="137">
        <f>$W333*AA333+$L333*Summary_LCIA!R$32</f>
        <v>2.1684937594995635</v>
      </c>
      <c r="AW333" s="137">
        <f>$W333*AB333+$L333*Summary_LCIA!S$32</f>
        <v>347.25628715701794</v>
      </c>
      <c r="AX333" s="137">
        <f>$W333*AC333+$L333*Summary_LCIA!T$32</f>
        <v>87.083181288292295</v>
      </c>
      <c r="AY333" s="137">
        <f>$W333*AD333+$L333*Summary_LCIA!U$32</f>
        <v>3.3288017804616379</v>
      </c>
      <c r="AZ333" s="137">
        <f>$W333*AE333+$L333*Summary_LCIA!V$32</f>
        <v>1.4560133850540266E-2</v>
      </c>
      <c r="BA333" s="137">
        <f>$W333*AF333+$L333*Summary_LCIA!W$32</f>
        <v>22.600061426773415</v>
      </c>
      <c r="BB333" s="137">
        <f>$W333*AG333+$L333*Summary_LCIA!X$32</f>
        <v>18.175243644270338</v>
      </c>
      <c r="BC333" s="137">
        <f>$W333*AH333+$L333*Summary_LCIA!Y$32</f>
        <v>2.8905216166266641</v>
      </c>
      <c r="BD333" s="137">
        <f>$W333*AI333+$L333*Summary_LCIA!Z$32</f>
        <v>0.31258106938017233</v>
      </c>
      <c r="BE333" s="137">
        <f>$W333*AJ333+$L333*Summary_LCIA!AA$32</f>
        <v>5.0802903302094258</v>
      </c>
      <c r="BF333" s="137">
        <f>$W333*AK333+$L333*Summary_LCIA!AB$32</f>
        <v>6.8768425329539945E-2</v>
      </c>
      <c r="BG333" s="137">
        <f>$W333*AL333+$L333*Summary_LCIA!AC$32</f>
        <v>4.3278526973452818E-5</v>
      </c>
      <c r="BH333" s="137">
        <f>$W333*AM333+$L333*Summary_LCIA!AD$32</f>
        <v>0.17716994483117099</v>
      </c>
      <c r="BI333" s="137">
        <f>$W333*AN333+$L333*Summary_LCIA!AE$32</f>
        <v>0.46347085673700772</v>
      </c>
      <c r="BJ333" s="137">
        <f>$W333*AO333+$L333*Summary_LCIA!AF$32</f>
        <v>0.14689468912494874</v>
      </c>
      <c r="BK333" s="137">
        <f>$W333*AP333+$L333*Summary_LCIA!AG$32</f>
        <v>1.3429667434948712E-2</v>
      </c>
      <c r="BL333" s="137">
        <f>$W333*AQ333+$L333*Summary_LCIA!AH$32</f>
        <v>2.133624623680471</v>
      </c>
      <c r="BM333" s="137">
        <f>$W333*AR333+$L333*Summary_LCIA!AI$32</f>
        <v>0.43773593495628871</v>
      </c>
    </row>
    <row r="334" spans="1:65" x14ac:dyDescent="0.25">
      <c r="A334" s="149">
        <v>174</v>
      </c>
      <c r="B334" s="149">
        <v>6</v>
      </c>
      <c r="C334" s="61">
        <v>39.481653999999999</v>
      </c>
      <c r="D334" s="61">
        <v>-106.038352</v>
      </c>
      <c r="E334" s="61" t="s">
        <v>265</v>
      </c>
      <c r="F334" s="149">
        <v>16</v>
      </c>
      <c r="G334" s="61" t="s">
        <v>565</v>
      </c>
      <c r="H334" s="61" t="s">
        <v>645</v>
      </c>
      <c r="I334" s="61">
        <v>39.856096000000001</v>
      </c>
      <c r="J334" s="61">
        <v>-104.673738</v>
      </c>
      <c r="K334" s="61">
        <v>128.04936520000001</v>
      </c>
      <c r="L334" s="61">
        <v>168.03800000000001</v>
      </c>
      <c r="M334" s="61" t="s">
        <v>617</v>
      </c>
      <c r="N334" s="149">
        <v>5</v>
      </c>
      <c r="O334" s="149">
        <v>6</v>
      </c>
      <c r="P334" s="61" t="s">
        <v>565</v>
      </c>
      <c r="Q334" s="61" t="s">
        <v>564</v>
      </c>
      <c r="R334" s="61">
        <v>41.98028</v>
      </c>
      <c r="S334" s="61">
        <v>-87.908997900000003</v>
      </c>
      <c r="T334" s="61">
        <v>1733.1</v>
      </c>
      <c r="U334" s="61" t="s">
        <v>617</v>
      </c>
      <c r="V334" s="61" t="s">
        <v>569</v>
      </c>
      <c r="W334" s="61" cm="1">
        <f t="array" ref="W334">getDistance(I334,J334,R334,S334)*SA!$B$12</f>
        <v>1429.4950991616145</v>
      </c>
      <c r="Y334" s="137">
        <f>Transportation_LCIA!C$61*($W334^Transportation_LCIA!C$60)+Transportation_LCIA!C$62</f>
        <v>0.20349821617970421</v>
      </c>
      <c r="Z334" s="137">
        <f>Transportation_LCIA!D$61*($W334^Transportation_LCIA!D$60)+Transportation_LCIA!D$62</f>
        <v>2.0501411564925682</v>
      </c>
      <c r="AA334" s="137">
        <f>Transportation_LCIA!E$61*($W334^Transportation_LCIA!E$60)+Transportation_LCIA!E$62</f>
        <v>8.9799039356792888E-4</v>
      </c>
      <c r="AB334" s="137">
        <f>Transportation_LCIA!F$61*($W334^Transportation_LCIA!F$60)+Transportation_LCIA!F$62</f>
        <v>0.20349821617970421</v>
      </c>
      <c r="AC334" s="137">
        <f>Transportation_LCIA!G$61*($W334^Transportation_LCIA!G$60)+Transportation_LCIA!G$62</f>
        <v>4.8000028211733513E-2</v>
      </c>
      <c r="AD334" s="137">
        <f>Transportation_LCIA!H$61*($W334^Transportation_LCIA!H$60)+Transportation_LCIA!H$62</f>
        <v>2.2285424318591637E-4</v>
      </c>
      <c r="AE334" s="137">
        <f>Transportation_LCIA!I$61*($W334^Transportation_LCIA!I$60)+Transportation_LCIA!I$62</f>
        <v>4.571174071441499E-6</v>
      </c>
      <c r="AF334" s="137">
        <f>Transportation_LCIA!J$61*($W334^Transportation_LCIA!J$60)+Transportation_LCIA!J$62</f>
        <v>6.7618339751164165E-3</v>
      </c>
      <c r="AG334" s="137">
        <f>Transportation_LCIA!K$61*($W334^Transportation_LCIA!K$60)+Transportation_LCIA!K$62</f>
        <v>1.0036647213890358E-2</v>
      </c>
      <c r="AH334" s="137">
        <f>Transportation_LCIA!L$61*($W334^Transportation_LCIA!L$60)+Transportation_LCIA!L$62</f>
        <v>1.9038435373879868E-4</v>
      </c>
      <c r="AI334" s="137">
        <f>Transportation_LCIA!M$61*($W334^Transportation_LCIA!M$60)+Transportation_LCIA!M$62</f>
        <v>2.1384473386264609E-4</v>
      </c>
      <c r="AJ334" s="137">
        <f>Transportation_LCIA!N$61*($W334^Transportation_LCIA!N$60)+Transportation_LCIA!N$62</f>
        <v>8.0839367892004054E-4</v>
      </c>
      <c r="AK334" s="137">
        <f>Transportation_LCIA!O$61*($W334^Transportation_LCIA!O$60)+Transportation_LCIA!O$62</f>
        <v>5.067209999252372E-5</v>
      </c>
      <c r="AL334" s="137">
        <f>Transportation_LCIA!P$61*($W334^Transportation_LCIA!P$60)+Transportation_LCIA!P$62</f>
        <v>2.4529050433273688E-8</v>
      </c>
      <c r="AM334" s="137">
        <f>Transportation_LCIA!Q$61*($W334^Transportation_LCIA!Q$60)+Transportation_LCIA!Q$62</f>
        <v>7.5620829602403238E-5</v>
      </c>
      <c r="AN334" s="137">
        <f>Transportation_LCIA!R$61*($W334^Transportation_LCIA!R$60)+Transportation_LCIA!R$62</f>
        <v>2.2005485991627286E-4</v>
      </c>
      <c r="AO334" s="137">
        <f>Transportation_LCIA!S$61*($W334^Transportation_LCIA!S$60)+Transportation_LCIA!S$62</f>
        <v>3.3802166707550345E-6</v>
      </c>
      <c r="AP334" s="137">
        <f>Transportation_LCIA!T$61*($W334^Transportation_LCIA!T$60)+Transportation_LCIA!T$62</f>
        <v>3.3802166707550345E-6</v>
      </c>
      <c r="AQ334" s="137">
        <f>Transportation_LCIA!U$61*($W334^Transportation_LCIA!U$60)+Transportation_LCIA!U$62</f>
        <v>4.6945882310058874E-4</v>
      </c>
      <c r="AR334" s="137">
        <f>Transportation_LCIA!V$61*($W334^Transportation_LCIA!V$60)+Transportation_LCIA!V$62</f>
        <v>1.9671290669076797E-4</v>
      </c>
      <c r="AT334" s="137">
        <f>$W334*Y334+$L334*Summary_LCIA!H$32</f>
        <v>347.99901511701796</v>
      </c>
      <c r="AU334" s="137">
        <f>$W334*Z334+$L334*Summary_LCIA!Q$32</f>
        <v>3763.471538456105</v>
      </c>
      <c r="AV334" s="137">
        <f>$W334*AA334+$L334*Summary_LCIA!R$32</f>
        <v>2.1684937594995635</v>
      </c>
      <c r="AW334" s="137">
        <f>$W334*AB334+$L334*Summary_LCIA!S$32</f>
        <v>347.25628715701794</v>
      </c>
      <c r="AX334" s="137">
        <f>$W334*AC334+$L334*Summary_LCIA!T$32</f>
        <v>87.083181288292295</v>
      </c>
      <c r="AY334" s="137">
        <f>$W334*AD334+$L334*Summary_LCIA!U$32</f>
        <v>3.3288017804616379</v>
      </c>
      <c r="AZ334" s="137">
        <f>$W334*AE334+$L334*Summary_LCIA!V$32</f>
        <v>1.4560133850540266E-2</v>
      </c>
      <c r="BA334" s="137">
        <f>$W334*AF334+$L334*Summary_LCIA!W$32</f>
        <v>22.600061426773415</v>
      </c>
      <c r="BB334" s="137">
        <f>$W334*AG334+$L334*Summary_LCIA!X$32</f>
        <v>18.175243644270338</v>
      </c>
      <c r="BC334" s="137">
        <f>$W334*AH334+$L334*Summary_LCIA!Y$32</f>
        <v>2.8905216166266641</v>
      </c>
      <c r="BD334" s="137">
        <f>$W334*AI334+$L334*Summary_LCIA!Z$32</f>
        <v>0.31258106938017233</v>
      </c>
      <c r="BE334" s="137">
        <f>$W334*AJ334+$L334*Summary_LCIA!AA$32</f>
        <v>5.0802903302094258</v>
      </c>
      <c r="BF334" s="137">
        <f>$W334*AK334+$L334*Summary_LCIA!AB$32</f>
        <v>6.8768425329539945E-2</v>
      </c>
      <c r="BG334" s="137">
        <f>$W334*AL334+$L334*Summary_LCIA!AC$32</f>
        <v>4.3278526973452818E-5</v>
      </c>
      <c r="BH334" s="137">
        <f>$W334*AM334+$L334*Summary_LCIA!AD$32</f>
        <v>0.17716994483117099</v>
      </c>
      <c r="BI334" s="137">
        <f>$W334*AN334+$L334*Summary_LCIA!AE$32</f>
        <v>0.46347085673700772</v>
      </c>
      <c r="BJ334" s="137">
        <f>$W334*AO334+$L334*Summary_LCIA!AF$32</f>
        <v>0.14689468912494874</v>
      </c>
      <c r="BK334" s="137">
        <f>$W334*AP334+$L334*Summary_LCIA!AG$32</f>
        <v>1.3429667434948712E-2</v>
      </c>
      <c r="BL334" s="137">
        <f>$W334*AQ334+$L334*Summary_LCIA!AH$32</f>
        <v>2.133624623680471</v>
      </c>
      <c r="BM334" s="137">
        <f>$W334*AR334+$L334*Summary_LCIA!AI$32</f>
        <v>0.43773593495628871</v>
      </c>
    </row>
    <row r="335" spans="1:65" x14ac:dyDescent="0.25">
      <c r="A335" s="149">
        <v>91</v>
      </c>
      <c r="B335" s="149">
        <v>6</v>
      </c>
      <c r="C335" s="61">
        <v>30.618675</v>
      </c>
      <c r="D335" s="61">
        <v>-96.336455000000001</v>
      </c>
      <c r="E335" s="61" t="s">
        <v>265</v>
      </c>
      <c r="F335" s="149">
        <v>92</v>
      </c>
      <c r="G335" s="61" t="s">
        <v>666</v>
      </c>
      <c r="H335" s="61" t="s">
        <v>667</v>
      </c>
      <c r="I335" s="61">
        <v>30.197471</v>
      </c>
      <c r="J335" s="61">
        <v>-97.666353000000001</v>
      </c>
      <c r="K335" s="61">
        <v>145.74323620000001</v>
      </c>
      <c r="L335" s="61">
        <v>167.483</v>
      </c>
      <c r="M335" s="61" t="s">
        <v>617</v>
      </c>
      <c r="N335" s="149">
        <v>5</v>
      </c>
      <c r="O335" s="149">
        <v>6</v>
      </c>
      <c r="P335" s="61" t="s">
        <v>565</v>
      </c>
      <c r="Q335" s="61" t="s">
        <v>564</v>
      </c>
      <c r="R335" s="61">
        <v>41.98028</v>
      </c>
      <c r="S335" s="61">
        <v>-87.908997900000003</v>
      </c>
      <c r="T335" s="61">
        <v>1736.712</v>
      </c>
      <c r="U335" s="61" t="s">
        <v>617</v>
      </c>
      <c r="V335" s="61" t="s">
        <v>569</v>
      </c>
      <c r="W335" s="61" cm="1">
        <f t="array" ref="W335">getDistance(I335,J335,R335,S335)*SA!$B$12</f>
        <v>1575.2575220458498</v>
      </c>
      <c r="Y335" s="137">
        <f>Transportation_LCIA!C$61*($W335^Transportation_LCIA!C$60)+Transportation_LCIA!C$62</f>
        <v>0.19633171878830921</v>
      </c>
      <c r="Z335" s="137">
        <f>Transportation_LCIA!D$61*($W335^Transportation_LCIA!D$60)+Transportation_LCIA!D$62</f>
        <v>1.9679824485164779</v>
      </c>
      <c r="AA335" s="137">
        <f>Transportation_LCIA!E$61*($W335^Transportation_LCIA!E$60)+Transportation_LCIA!E$62</f>
        <v>8.4424156539261459E-4</v>
      </c>
      <c r="AB335" s="137">
        <f>Transportation_LCIA!F$61*($W335^Transportation_LCIA!F$60)+Transportation_LCIA!F$62</f>
        <v>0.19633171878830921</v>
      </c>
      <c r="AC335" s="137">
        <f>Transportation_LCIA!G$61*($W335^Transportation_LCIA!G$60)+Transportation_LCIA!G$62</f>
        <v>4.6097251719088815E-2</v>
      </c>
      <c r="AD335" s="137">
        <f>Transportation_LCIA!H$61*($W335^Transportation_LCIA!H$60)+Transportation_LCIA!H$62</f>
        <v>2.1115211481011876E-4</v>
      </c>
      <c r="AE335" s="137">
        <f>Transportation_LCIA!I$61*($W335^Transportation_LCIA!I$60)+Transportation_LCIA!I$62</f>
        <v>4.2812383937410747E-6</v>
      </c>
      <c r="AF335" s="137">
        <f>Transportation_LCIA!J$61*($W335^Transportation_LCIA!J$60)+Transportation_LCIA!J$62</f>
        <v>6.3345062329674112E-3</v>
      </c>
      <c r="AG335" s="137">
        <f>Transportation_LCIA!K$61*($W335^Transportation_LCIA!K$60)+Transportation_LCIA!K$62</f>
        <v>9.5964496315269782E-3</v>
      </c>
      <c r="AH335" s="137">
        <f>Transportation_LCIA!L$61*($W335^Transportation_LCIA!L$60)+Transportation_LCIA!L$62</f>
        <v>1.7967476106705156E-4</v>
      </c>
      <c r="AI335" s="137">
        <f>Transportation_LCIA!M$61*($W335^Transportation_LCIA!M$60)+Transportation_LCIA!M$62</f>
        <v>2.0738990871772508E-4</v>
      </c>
      <c r="AJ335" s="137">
        <f>Transportation_LCIA!N$61*($W335^Transportation_LCIA!N$60)+Transportation_LCIA!N$62</f>
        <v>7.6899942106649333E-4</v>
      </c>
      <c r="AK335" s="137">
        <f>Transportation_LCIA!O$61*($W335^Transportation_LCIA!O$60)+Transportation_LCIA!O$62</f>
        <v>4.8651143184579487E-5</v>
      </c>
      <c r="AL335" s="137">
        <f>Transportation_LCIA!P$61*($W335^Transportation_LCIA!P$60)+Transportation_LCIA!P$62</f>
        <v>2.3556109695339234E-8</v>
      </c>
      <c r="AM335" s="137">
        <f>Transportation_LCIA!Q$61*($W335^Transportation_LCIA!Q$60)+Transportation_LCIA!Q$62</f>
        <v>7.1443570584843764E-5</v>
      </c>
      <c r="AN335" s="137">
        <f>Transportation_LCIA!R$61*($W335^Transportation_LCIA!R$60)+Transportation_LCIA!R$62</f>
        <v>2.0615692860190515E-4</v>
      </c>
      <c r="AO335" s="137">
        <f>Transportation_LCIA!S$61*($W335^Transportation_LCIA!S$60)+Transportation_LCIA!S$62</f>
        <v>3.1828350296720298E-6</v>
      </c>
      <c r="AP335" s="137">
        <f>Transportation_LCIA!T$61*($W335^Transportation_LCIA!T$60)+Transportation_LCIA!T$62</f>
        <v>3.1828350296720298E-6</v>
      </c>
      <c r="AQ335" s="137">
        <f>Transportation_LCIA!U$61*($W335^Transportation_LCIA!U$60)+Transportation_LCIA!U$62</f>
        <v>4.3907223131125399E-4</v>
      </c>
      <c r="AR335" s="137">
        <f>Transportation_LCIA!V$61*($W335^Transportation_LCIA!V$60)+Transportation_LCIA!V$62</f>
        <v>1.8587993651001495E-4</v>
      </c>
      <c r="AT335" s="137">
        <f>$W335*Y335+$L335*Summary_LCIA!H$32</f>
        <v>366.18374023747458</v>
      </c>
      <c r="AU335" s="137">
        <f>$W335*Z335+$L335*Summary_LCIA!Q$32</f>
        <v>3930.1333499499297</v>
      </c>
      <c r="AV335" s="137">
        <f>$W335*AA335+$L335*Summary_LCIA!R$32</f>
        <v>2.2117963611084792</v>
      </c>
      <c r="AW335" s="137">
        <f>$W335*AB335+$L335*Summary_LCIA!S$32</f>
        <v>365.44346537747458</v>
      </c>
      <c r="AX335" s="137">
        <f>$W335*AC335+$L335*Summary_LCIA!T$32</f>
        <v>91.021424216135628</v>
      </c>
      <c r="AY335" s="137">
        <f>$W335*AD335+$L335*Summary_LCIA!U$32</f>
        <v>3.3329094191505284</v>
      </c>
      <c r="AZ335" s="137">
        <f>$W335*AE335+$L335*Summary_LCIA!V$32</f>
        <v>1.4743208546412119E-2</v>
      </c>
      <c r="BA335" s="137">
        <f>$W335*AF335+$L335*Summary_LCIA!W$32</f>
        <v>22.869812584928233</v>
      </c>
      <c r="BB335" s="137">
        <f>$W335*AG335+$L335*Summary_LCIA!X$32</f>
        <v>18.932142206996996</v>
      </c>
      <c r="BC335" s="137">
        <f>$W335*AH335+$L335*Summary_LCIA!Y$32</f>
        <v>2.8927541248926638</v>
      </c>
      <c r="BD335" s="137">
        <f>$W335*AI335+$L335*Summary_LCIA!Z$32</f>
        <v>0.33356082405099857</v>
      </c>
      <c r="BE335" s="137">
        <f>$W335*AJ335+$L335*Summary_LCIA!AA$32</f>
        <v>5.1231050704838967</v>
      </c>
      <c r="BF335" s="137">
        <f>$W335*AK335+$L335*Summary_LCIA!AB$32</f>
        <v>7.2983097748638523E-2</v>
      </c>
      <c r="BG335" s="137">
        <f>$W335*AL335+$L335*Summary_LCIA!AC$32</f>
        <v>4.5294177959720301E-5</v>
      </c>
      <c r="BH335" s="137">
        <f>$W335*AM335+$L335*Summary_LCIA!AD$32</f>
        <v>0.18138423428558875</v>
      </c>
      <c r="BI335" s="137">
        <f>$W335*AN335+$L335*Summary_LCIA!AE$32</f>
        <v>0.47316196329202026</v>
      </c>
      <c r="BJ335" s="137">
        <f>$W335*AO335+$L335*Summary_LCIA!AF$32</f>
        <v>0.1466072626819219</v>
      </c>
      <c r="BK335" s="137">
        <f>$W335*AP335+$L335*Summary_LCIA!AG$32</f>
        <v>1.3583052516921891E-2</v>
      </c>
      <c r="BL335" s="137">
        <f>$W335*AQ335+$L335*Summary_LCIA!AH$32</f>
        <v>2.1493568738945084</v>
      </c>
      <c r="BM335" s="137">
        <f>$W335*AR335+$L335*Summary_LCIA!AI$32</f>
        <v>0.44882755683480602</v>
      </c>
    </row>
    <row r="336" spans="1:65" x14ac:dyDescent="0.25">
      <c r="A336" s="149">
        <v>348</v>
      </c>
      <c r="B336" s="149">
        <v>6</v>
      </c>
      <c r="C336" s="61">
        <v>30.079940000000001</v>
      </c>
      <c r="D336" s="61">
        <v>-95.417159999999996</v>
      </c>
      <c r="E336" s="61" t="s">
        <v>265</v>
      </c>
      <c r="F336" s="149">
        <v>47</v>
      </c>
      <c r="G336" s="61" t="s">
        <v>565</v>
      </c>
      <c r="H336" s="61" t="s">
        <v>688</v>
      </c>
      <c r="I336" s="61">
        <v>29.990220000000001</v>
      </c>
      <c r="J336" s="61">
        <v>-95.336782999999997</v>
      </c>
      <c r="K336" s="61">
        <v>18.611022930000001</v>
      </c>
      <c r="L336" s="61">
        <v>20.567</v>
      </c>
      <c r="M336" s="61" t="s">
        <v>617</v>
      </c>
      <c r="N336" s="149">
        <v>5</v>
      </c>
      <c r="O336" s="149">
        <v>6</v>
      </c>
      <c r="P336" s="61" t="s">
        <v>565</v>
      </c>
      <c r="Q336" s="61" t="s">
        <v>564</v>
      </c>
      <c r="R336" s="61">
        <v>41.98028</v>
      </c>
      <c r="S336" s="61">
        <v>-87.908997900000003</v>
      </c>
      <c r="T336" s="61">
        <v>1742.0730000000001</v>
      </c>
      <c r="U336" s="61" t="s">
        <v>617</v>
      </c>
      <c r="V336" s="61" t="s">
        <v>569</v>
      </c>
      <c r="W336" s="61" cm="1">
        <f t="array" ref="W336">getDistance(I336,J336,R336,S336)*SA!$B$12</f>
        <v>1490.6516068471742</v>
      </c>
      <c r="Y336" s="137">
        <f>Transportation_LCIA!C$61*($W336^Transportation_LCIA!C$60)+Transportation_LCIA!C$62</f>
        <v>0.20033456701279334</v>
      </c>
      <c r="Z336" s="137">
        <f>Transportation_LCIA!D$61*($W336^Transportation_LCIA!D$60)+Transportation_LCIA!D$62</f>
        <v>2.0138295851147205</v>
      </c>
      <c r="AA336" s="137">
        <f>Transportation_LCIA!E$61*($W336^Transportation_LCIA!E$60)+Transportation_LCIA!E$62</f>
        <v>8.742272607546299E-4</v>
      </c>
      <c r="AB336" s="137">
        <f>Transportation_LCIA!F$61*($W336^Transportation_LCIA!F$60)+Transportation_LCIA!F$62</f>
        <v>0.20033456701279334</v>
      </c>
      <c r="AC336" s="137">
        <f>Transportation_LCIA!G$61*($W336^Transportation_LCIA!G$60)+Transportation_LCIA!G$62</f>
        <v>4.7159118271410991E-2</v>
      </c>
      <c r="AD336" s="137">
        <f>Transportation_LCIA!H$61*($W336^Transportation_LCIA!H$60)+Transportation_LCIA!H$62</f>
        <v>2.1767719252658522E-4</v>
      </c>
      <c r="AE336" s="137">
        <f>Transportation_LCIA!I$61*($W336^Transportation_LCIA!I$60)+Transportation_LCIA!I$62</f>
        <v>4.4427712820296799E-6</v>
      </c>
      <c r="AF336" s="137">
        <f>Transportation_LCIA!J$61*($W336^Transportation_LCIA!J$60)+Transportation_LCIA!J$62</f>
        <v>6.5724552990164518E-3</v>
      </c>
      <c r="AG336" s="137">
        <f>Transportation_LCIA!K$61*($W336^Transportation_LCIA!K$60)+Transportation_LCIA!K$62</f>
        <v>9.8419916362103219E-3</v>
      </c>
      <c r="AH336" s="137">
        <f>Transportation_LCIA!L$61*($W336^Transportation_LCIA!L$60)+Transportation_LCIA!L$62</f>
        <v>1.856449884239458E-4</v>
      </c>
      <c r="AI336" s="137">
        <f>Transportation_LCIA!M$61*($W336^Transportation_LCIA!M$60)+Transportation_LCIA!M$62</f>
        <v>2.1098900189273081E-4</v>
      </c>
      <c r="AJ336" s="137">
        <f>Transportation_LCIA!N$61*($W336^Transportation_LCIA!N$60)+Transportation_LCIA!N$62</f>
        <v>7.9096701389764698E-4</v>
      </c>
      <c r="AK336" s="137">
        <f>Transportation_LCIA!O$61*($W336^Transportation_LCIA!O$60)+Transportation_LCIA!O$62</f>
        <v>4.9778932824492302E-5</v>
      </c>
      <c r="AL336" s="137">
        <f>Transportation_LCIA!P$61*($W336^Transportation_LCIA!P$60)+Transportation_LCIA!P$62</f>
        <v>2.4099094262166891E-8</v>
      </c>
      <c r="AM336" s="137">
        <f>Transportation_LCIA!Q$61*($W336^Transportation_LCIA!Q$60)+Transportation_LCIA!Q$62</f>
        <v>7.3771950781714518E-5</v>
      </c>
      <c r="AN336" s="137">
        <f>Transportation_LCIA!R$61*($W336^Transportation_LCIA!R$60)+Transportation_LCIA!R$62</f>
        <v>2.1389977634216263E-4</v>
      </c>
      <c r="AO336" s="137">
        <f>Transportation_LCIA!S$61*($W336^Transportation_LCIA!S$60)+Transportation_LCIA!S$62</f>
        <v>3.2928048480826389E-6</v>
      </c>
      <c r="AP336" s="137">
        <f>Transportation_LCIA!T$61*($W336^Transportation_LCIA!T$60)+Transportation_LCIA!T$62</f>
        <v>3.2928048480826389E-6</v>
      </c>
      <c r="AQ336" s="137">
        <f>Transportation_LCIA!U$61*($W336^Transportation_LCIA!U$60)+Transportation_LCIA!U$62</f>
        <v>4.559986054108007E-4</v>
      </c>
      <c r="AR336" s="137">
        <f>Transportation_LCIA!V$61*($W336^Transportation_LCIA!V$60)+Transportation_LCIA!V$62</f>
        <v>1.9191717787183445E-4</v>
      </c>
      <c r="AT336" s="137">
        <f>$W336*Y336+$L336*Summary_LCIA!H$32</f>
        <v>305.61771082465327</v>
      </c>
      <c r="AU336" s="137">
        <f>$W336*Z336+$L336*Summary_LCIA!Q$32</f>
        <v>3103.8493962231473</v>
      </c>
      <c r="AV336" s="137">
        <f>$W336*AA336+$L336*Summary_LCIA!R$32</f>
        <v>1.4114658661934927</v>
      </c>
      <c r="AW336" s="137">
        <f>$W336*AB336+$L336*Summary_LCIA!S$32</f>
        <v>305.52680468465326</v>
      </c>
      <c r="AX336" s="137">
        <f>$W336*AC336+$L336*Summary_LCIA!T$32</f>
        <v>72.558128728774733</v>
      </c>
      <c r="AY336" s="137">
        <f>$W336*AD336+$L336*Summary_LCIA!U$32</f>
        <v>0.6929180948137359</v>
      </c>
      <c r="AZ336" s="137">
        <f>$W336*AE336+$L336*Summary_LCIA!V$32</f>
        <v>7.6049246374120232E-3</v>
      </c>
      <c r="BA336" s="137">
        <f>$W336*AF336+$L336*Summary_LCIA!W$32</f>
        <v>11.380303609410099</v>
      </c>
      <c r="BB336" s="137">
        <f>$W336*AG336+$L336*Summary_LCIA!X$32</f>
        <v>15.139496907093365</v>
      </c>
      <c r="BC336" s="137">
        <f>$W336*AH336+$L336*Summary_LCIA!Y$32</f>
        <v>0.59720699429727986</v>
      </c>
      <c r="BD336" s="137">
        <f>$W336*AI336+$L336*Summary_LCIA!Z$32</f>
        <v>0.31535452680148063</v>
      </c>
      <c r="BE336" s="137">
        <f>$W336*AJ336+$L336*Summary_LCIA!AA$32</f>
        <v>1.6594191022296387</v>
      </c>
      <c r="BF336" s="137">
        <f>$W336*AK336+$L336*Summary_LCIA!AB$32</f>
        <v>7.3754212560966995E-2</v>
      </c>
      <c r="BG336" s="137">
        <f>$W336*AL336+$L336*Summary_LCIA!AC$32</f>
        <v>3.6928750813460594E-5</v>
      </c>
      <c r="BH336" s="137">
        <f>$W336*AM336+$L336*Summary_LCIA!AD$32</f>
        <v>0.11842213665301339</v>
      </c>
      <c r="BI336" s="137">
        <f>$W336*AN336+$L336*Summary_LCIA!AE$32</f>
        <v>0.33707508101869588</v>
      </c>
      <c r="BJ336" s="137">
        <f>$W336*AO336+$L336*Summary_LCIA!AF$32</f>
        <v>2.2296177977828551E-2</v>
      </c>
      <c r="BK336" s="137">
        <f>$W336*AP336+$L336*Summary_LCIA!AG$32</f>
        <v>5.9607353928285509E-3</v>
      </c>
      <c r="BL336" s="137">
        <f>$W336*AQ336+$L336*Summary_LCIA!AH$32</f>
        <v>0.85874199507568061</v>
      </c>
      <c r="BM336" s="137">
        <f>$W336*AR336+$L336*Summary_LCIA!AI$32</f>
        <v>0.30524083842622496</v>
      </c>
    </row>
    <row r="337" spans="1:65" x14ac:dyDescent="0.25">
      <c r="A337" s="149">
        <v>232</v>
      </c>
      <c r="B337" s="149">
        <v>6</v>
      </c>
      <c r="C337" s="61">
        <v>29.760427</v>
      </c>
      <c r="D337" s="61">
        <v>-95.369803000000005</v>
      </c>
      <c r="E337" s="61" t="s">
        <v>265</v>
      </c>
      <c r="F337" s="149">
        <v>96</v>
      </c>
      <c r="G337" s="61" t="s">
        <v>267</v>
      </c>
      <c r="H337" s="61" t="s">
        <v>703</v>
      </c>
      <c r="I337" s="61">
        <v>29.645907999999999</v>
      </c>
      <c r="J337" s="61">
        <v>-95.276904999999999</v>
      </c>
      <c r="K337" s="61">
        <v>23.33220326</v>
      </c>
      <c r="L337" s="61">
        <v>20.425999999999998</v>
      </c>
      <c r="M337" s="61" t="s">
        <v>617</v>
      </c>
      <c r="N337" s="149">
        <v>5</v>
      </c>
      <c r="O337" s="149">
        <v>6</v>
      </c>
      <c r="P337" s="61" t="s">
        <v>565</v>
      </c>
      <c r="Q337" s="61" t="s">
        <v>564</v>
      </c>
      <c r="R337" s="61">
        <v>41.98028</v>
      </c>
      <c r="S337" s="61">
        <v>-87.908997900000003</v>
      </c>
      <c r="T337" s="61">
        <v>1766.3979999999999</v>
      </c>
      <c r="U337" s="61" t="s">
        <v>617</v>
      </c>
      <c r="V337" s="61" t="s">
        <v>569</v>
      </c>
      <c r="W337" s="61" cm="1">
        <f t="array" ref="W337">getDistance(I337,J337,R337,S337)*SA!$B$12</f>
        <v>1523.1879893303537</v>
      </c>
      <c r="Y337" s="137">
        <f>Transportation_LCIA!C$61*($W337^Transportation_LCIA!C$60)+Transportation_LCIA!C$62</f>
        <v>0.19874685022197358</v>
      </c>
      <c r="Z337" s="137">
        <f>Transportation_LCIA!D$61*($W337^Transportation_LCIA!D$60)+Transportation_LCIA!D$62</f>
        <v>1.9956313392456919</v>
      </c>
      <c r="AA337" s="137">
        <f>Transportation_LCIA!E$61*($W337^Transportation_LCIA!E$60)+Transportation_LCIA!E$62</f>
        <v>8.6232253270463887E-4</v>
      </c>
      <c r="AB337" s="137">
        <f>Transportation_LCIA!F$61*($W337^Transportation_LCIA!F$60)+Transportation_LCIA!F$62</f>
        <v>0.19874685022197358</v>
      </c>
      <c r="AC337" s="137">
        <f>Transportation_LCIA!G$61*($W337^Transportation_LCIA!G$60)+Transportation_LCIA!G$62</f>
        <v>4.6737646026981994E-2</v>
      </c>
      <c r="AD337" s="137">
        <f>Transportation_LCIA!H$61*($W337^Transportation_LCIA!H$60)+Transportation_LCIA!H$62</f>
        <v>2.1508561071549695E-4</v>
      </c>
      <c r="AE337" s="137">
        <f>Transportation_LCIA!I$61*($W337^Transportation_LCIA!I$60)+Transportation_LCIA!I$62</f>
        <v>4.3785734839236551E-6</v>
      </c>
      <c r="AF337" s="137">
        <f>Transportation_LCIA!J$61*($W337^Transportation_LCIA!J$60)+Transportation_LCIA!J$62</f>
        <v>6.4778477065107216E-3</v>
      </c>
      <c r="AG337" s="137">
        <f>Transportation_LCIA!K$61*($W337^Transportation_LCIA!K$60)+Transportation_LCIA!K$62</f>
        <v>9.7444964678929345E-3</v>
      </c>
      <c r="AH337" s="137">
        <f>Transportation_LCIA!L$61*($W337^Transportation_LCIA!L$60)+Transportation_LCIA!L$62</f>
        <v>1.8327334259515365E-4</v>
      </c>
      <c r="AI337" s="137">
        <f>Transportation_LCIA!M$61*($W337^Transportation_LCIA!M$60)+Transportation_LCIA!M$62</f>
        <v>2.0955950967481058E-4</v>
      </c>
      <c r="AJ337" s="137">
        <f>Transportation_LCIA!N$61*($W337^Transportation_LCIA!N$60)+Transportation_LCIA!N$62</f>
        <v>7.822425359019264E-4</v>
      </c>
      <c r="AK337" s="137">
        <f>Transportation_LCIA!O$61*($W337^Transportation_LCIA!O$60)+Transportation_LCIA!O$62</f>
        <v>4.9331285751507294E-5</v>
      </c>
      <c r="AL337" s="137">
        <f>Transportation_LCIA!P$61*($W337^Transportation_LCIA!P$60)+Transportation_LCIA!P$62</f>
        <v>2.388358207675034E-8</v>
      </c>
      <c r="AM337" s="137">
        <f>Transportation_LCIA!Q$61*($W337^Transportation_LCIA!Q$60)+Transportation_LCIA!Q$62</f>
        <v>7.2846920849463197E-5</v>
      </c>
      <c r="AN337" s="137">
        <f>Transportation_LCIA!R$61*($W337^Transportation_LCIA!R$60)+Transportation_LCIA!R$62</f>
        <v>2.1082249888221342E-4</v>
      </c>
      <c r="AO337" s="137">
        <f>Transportation_LCIA!S$61*($W337^Transportation_LCIA!S$60)+Transportation_LCIA!S$62</f>
        <v>3.2491002717784391E-6</v>
      </c>
      <c r="AP337" s="137">
        <f>Transportation_LCIA!T$61*($W337^Transportation_LCIA!T$60)+Transportation_LCIA!T$62</f>
        <v>3.2491002717784391E-6</v>
      </c>
      <c r="AQ337" s="137">
        <f>Transportation_LCIA!U$61*($W337^Transportation_LCIA!U$60)+Transportation_LCIA!U$62</f>
        <v>4.4927065234843784E-4</v>
      </c>
      <c r="AR337" s="137">
        <f>Transportation_LCIA!V$61*($W337^Transportation_LCIA!V$60)+Transportation_LCIA!V$62</f>
        <v>1.8951836821366741E-4</v>
      </c>
      <c r="AT337" s="137">
        <f>$W337*Y337+$L337*Summary_LCIA!H$32</f>
        <v>309.66956997534891</v>
      </c>
      <c r="AU337" s="137">
        <f>$W337*Z337+$L337*Summary_LCIA!Q$32</f>
        <v>3140.9539732147446</v>
      </c>
      <c r="AV337" s="137">
        <f>$W337*AA337+$L337*Summary_LCIA!R$32</f>
        <v>1.4210344703446369</v>
      </c>
      <c r="AW337" s="137">
        <f>$W337*AB337+$L337*Summary_LCIA!S$32</f>
        <v>309.57928705534891</v>
      </c>
      <c r="AX337" s="137">
        <f>$W337*AC337+$L337*Summary_LCIA!T$32</f>
        <v>73.435038477872496</v>
      </c>
      <c r="AY337" s="137">
        <f>$W337*AD337+$L337*Summary_LCIA!U$32</f>
        <v>0.693527182919629</v>
      </c>
      <c r="AZ337" s="137">
        <f>$W337*AE337+$L337*Summary_LCIA!V$32</f>
        <v>7.6449567271128739E-3</v>
      </c>
      <c r="BA337" s="137">
        <f>$W337*AF337+$L337*Summary_LCIA!W$32</f>
        <v>11.439189469268308</v>
      </c>
      <c r="BB337" s="137">
        <f>$W337*AG337+$L337*Summary_LCIA!X$32</f>
        <v>15.308004261966573</v>
      </c>
      <c r="BC337" s="137">
        <f>$W337*AH337+$L337*Summary_LCIA!Y$32</f>
        <v>0.59743768620536519</v>
      </c>
      <c r="BD337" s="137">
        <f>$W337*AI337+$L337*Summary_LCIA!Z$32</f>
        <v>0.3200361780206295</v>
      </c>
      <c r="BE337" s="137">
        <f>$W337*AJ337+$L337*Summary_LCIA!AA$32</f>
        <v>1.6685720914291324</v>
      </c>
      <c r="BF337" s="137">
        <f>$W337*AK337+$L337*Summary_LCIA!AB$32</f>
        <v>7.4695065356919527E-2</v>
      </c>
      <c r="BG337" s="137">
        <f>$W337*AL337+$L337*Summary_LCIA!AC$32</f>
        <v>3.737768994549183E-5</v>
      </c>
      <c r="BH337" s="137">
        <f>$W337*AM337+$L337*Summary_LCIA!AD$32</f>
        <v>0.11935545793760127</v>
      </c>
      <c r="BI337" s="137">
        <f>$W337*AN337+$L337*Summary_LCIA!AE$32</f>
        <v>0.33922238955799944</v>
      </c>
      <c r="BJ337" s="137">
        <f>$W337*AO337+$L337*Summary_LCIA!AF$32</f>
        <v>2.2217539430102906E-2</v>
      </c>
      <c r="BK337" s="137">
        <f>$W337*AP337+$L337*Summary_LCIA!AG$32</f>
        <v>5.9940868001029067E-3</v>
      </c>
      <c r="BL337" s="137">
        <f>$W337*AQ337+$L337*Summary_LCIA!AH$32</f>
        <v>0.86210339521575341</v>
      </c>
      <c r="BM337" s="137">
        <f>$W337*AR337+$L337*Summary_LCIA!AI$32</f>
        <v>0.30769994252054567</v>
      </c>
    </row>
    <row r="338" spans="1:65" x14ac:dyDescent="0.25">
      <c r="A338" s="149">
        <v>333</v>
      </c>
      <c r="B338" s="149">
        <v>29</v>
      </c>
      <c r="C338" s="61">
        <v>34.420831</v>
      </c>
      <c r="D338" s="61">
        <v>-119.69819</v>
      </c>
      <c r="E338" s="61" t="s">
        <v>265</v>
      </c>
      <c r="F338" s="149">
        <v>116</v>
      </c>
      <c r="G338" s="61" t="s">
        <v>663</v>
      </c>
      <c r="H338" s="61" t="s">
        <v>664</v>
      </c>
      <c r="I338" s="61">
        <v>34.198312000000001</v>
      </c>
      <c r="J338" s="61">
        <v>-118.357404</v>
      </c>
      <c r="K338" s="61">
        <v>171.82591690000001</v>
      </c>
      <c r="L338" s="61">
        <v>142.99199999999999</v>
      </c>
      <c r="M338" s="61" t="s">
        <v>617</v>
      </c>
      <c r="N338" s="149">
        <v>28</v>
      </c>
      <c r="O338" s="149">
        <v>29</v>
      </c>
      <c r="P338" s="61" t="s">
        <v>565</v>
      </c>
      <c r="Q338" s="61" t="s">
        <v>559</v>
      </c>
      <c r="R338" s="61">
        <v>47.450249900000003</v>
      </c>
      <c r="S338" s="61">
        <v>-122.30881650000001</v>
      </c>
      <c r="T338" s="61">
        <v>1778.6859999999999</v>
      </c>
      <c r="U338" s="61" t="s">
        <v>617</v>
      </c>
      <c r="V338" s="61" t="s">
        <v>569</v>
      </c>
      <c r="W338" s="61" cm="1">
        <f t="array" ref="W338">getDistance(I338,J338,R338,S338)*SA!$B$12</f>
        <v>1511.1483305430299</v>
      </c>
      <c r="Y338" s="137">
        <f>Transportation_LCIA!C$61*($W338^Transportation_LCIA!C$60)+Transportation_LCIA!C$62</f>
        <v>0.19932703612554409</v>
      </c>
      <c r="Z338" s="137">
        <f>Transportation_LCIA!D$61*($W338^Transportation_LCIA!D$60)+Transportation_LCIA!D$62</f>
        <v>2.0022793907023462</v>
      </c>
      <c r="AA338" s="137">
        <f>Transportation_LCIA!E$61*($W338^Transportation_LCIA!E$60)+Transportation_LCIA!E$62</f>
        <v>8.6667111789983731E-4</v>
      </c>
      <c r="AB338" s="137">
        <f>Transportation_LCIA!F$61*($W338^Transportation_LCIA!F$60)+Transportation_LCIA!F$62</f>
        <v>0.19932703612554409</v>
      </c>
      <c r="AC338" s="137">
        <f>Transportation_LCIA!G$61*($W338^Transportation_LCIA!G$60)+Transportation_LCIA!G$62</f>
        <v>4.6891617890135115E-2</v>
      </c>
      <c r="AD338" s="137">
        <f>Transportation_LCIA!H$61*($W338^Transportation_LCIA!H$60)+Transportation_LCIA!H$62</f>
        <v>2.1603211293050474E-4</v>
      </c>
      <c r="AE338" s="137">
        <f>Transportation_LCIA!I$61*($W338^Transportation_LCIA!I$60)+Transportation_LCIA!I$62</f>
        <v>4.4020136776170753E-6</v>
      </c>
      <c r="AF338" s="137">
        <f>Transportation_LCIA!J$61*($W338^Transportation_LCIA!J$60)+Transportation_LCIA!J$62</f>
        <v>6.5123852534487081E-3</v>
      </c>
      <c r="AG338" s="137">
        <f>Transportation_LCIA!K$61*($W338^Transportation_LCIA!K$60)+Transportation_LCIA!K$62</f>
        <v>9.780107958677238E-3</v>
      </c>
      <c r="AH338" s="137">
        <f>Transportation_LCIA!L$61*($W338^Transportation_LCIA!L$60)+Transportation_LCIA!L$62</f>
        <v>1.8413945371793634E-4</v>
      </c>
      <c r="AI338" s="137">
        <f>Transportation_LCIA!M$61*($W338^Transportation_LCIA!M$60)+Transportation_LCIA!M$62</f>
        <v>2.1008158671653143E-4</v>
      </c>
      <c r="AJ338" s="137">
        <f>Transportation_LCIA!N$61*($W338^Transportation_LCIA!N$60)+Transportation_LCIA!N$62</f>
        <v>7.8542897302297547E-4</v>
      </c>
      <c r="AK338" s="137">
        <f>Transportation_LCIA!O$61*($W338^Transportation_LCIA!O$60)+Transportation_LCIA!O$62</f>
        <v>4.9494818441673569E-5</v>
      </c>
      <c r="AL338" s="137">
        <f>Transportation_LCIA!P$61*($W338^Transportation_LCIA!P$60)+Transportation_LCIA!P$62</f>
        <v>2.3962313894741896E-8</v>
      </c>
      <c r="AM338" s="137">
        <f>Transportation_LCIA!Q$61*($W338^Transportation_LCIA!Q$60)+Transportation_LCIA!Q$62</f>
        <v>7.3184722553846097E-5</v>
      </c>
      <c r="AN338" s="137">
        <f>Transportation_LCIA!R$61*($W338^Transportation_LCIA!R$60)+Transportation_LCIA!R$62</f>
        <v>2.1194608127387442E-4</v>
      </c>
      <c r="AO338" s="137">
        <f>Transportation_LCIA!S$61*($W338^Transportation_LCIA!S$60)+Transportation_LCIA!S$62</f>
        <v>3.265057974169787E-6</v>
      </c>
      <c r="AP338" s="137">
        <f>Transportation_LCIA!T$61*($W338^Transportation_LCIA!T$60)+Transportation_LCIA!T$62</f>
        <v>3.265057974169787E-6</v>
      </c>
      <c r="AQ338" s="137">
        <f>Transportation_LCIA!U$61*($W338^Transportation_LCIA!U$60)+Transportation_LCIA!U$62</f>
        <v>4.5172705345025856E-4</v>
      </c>
      <c r="AR338" s="137">
        <f>Transportation_LCIA!V$61*($W338^Transportation_LCIA!V$60)+Transportation_LCIA!V$62</f>
        <v>1.9039431751006873E-4</v>
      </c>
      <c r="AT338" s="137">
        <f>$W338*Y338+$L338*Summary_LCIA!H$32</f>
        <v>349.80139947320612</v>
      </c>
      <c r="AU338" s="137">
        <f>$W338*Z338+$L338*Summary_LCIA!Q$32</f>
        <v>3734.4167220561017</v>
      </c>
      <c r="AV338" s="137">
        <f>$W338*AA338+$L338*Summary_LCIA!R$32</f>
        <v>2.0626072881442004</v>
      </c>
      <c r="AW338" s="137">
        <f>$W338*AB338+$L338*Summary_LCIA!S$32</f>
        <v>349.16937483320612</v>
      </c>
      <c r="AX338" s="137">
        <f>$W338*AC338+$L338*Summary_LCIA!T$32</f>
        <v>86.575010891139357</v>
      </c>
      <c r="AY338" s="137">
        <f>$W338*AD338+$L338*Summary_LCIA!U$32</f>
        <v>2.8880152547986153</v>
      </c>
      <c r="AZ338" s="137">
        <f>$W338*AE338+$L338*Summary_LCIA!V$32</f>
        <v>1.3481536531958625E-2</v>
      </c>
      <c r="BA338" s="137">
        <f>$W338*AF338+$L338*Summary_LCIA!W$32</f>
        <v>20.84741733560206</v>
      </c>
      <c r="BB338" s="137">
        <f>$W338*AG338+$L338*Summary_LCIA!X$32</f>
        <v>18.03655157428571</v>
      </c>
      <c r="BC338" s="137">
        <f>$W338*AH338+$L338*Summary_LCIA!Y$32</f>
        <v>2.5063633720729648</v>
      </c>
      <c r="BD338" s="137">
        <f>$W338*AI338+$L338*Summary_LCIA!Z$32</f>
        <v>0.32332839797251728</v>
      </c>
      <c r="BE338" s="137">
        <f>$W338*AJ338+$L338*Summary_LCIA!AA$32</f>
        <v>4.5266208333437952</v>
      </c>
      <c r="BF338" s="137">
        <f>$W338*AK338+$L338*Summary_LCIA!AB$32</f>
        <v>7.1673497842665385E-2</v>
      </c>
      <c r="BG338" s="137">
        <f>$W338*AL338+$L338*Summary_LCIA!AC$32</f>
        <v>4.3200631565987265E-5</v>
      </c>
      <c r="BH338" s="137">
        <f>$W338*AM338+$L338*Summary_LCIA!AD$32</f>
        <v>0.16936840298849937</v>
      </c>
      <c r="BI338" s="137">
        <f>$W338*AN338+$L338*Summary_LCIA!AE$32</f>
        <v>0.4469914678421526</v>
      </c>
      <c r="BJ338" s="137">
        <f>$W338*AO338+$L338*Summary_LCIA!AF$32</f>
        <v>0.1258222835467929</v>
      </c>
      <c r="BK338" s="137">
        <f>$W338*AP338+$L338*Summary_LCIA!AG$32</f>
        <v>1.2250172586792882E-2</v>
      </c>
      <c r="BL338" s="137">
        <f>$W338*AQ338+$L338*Summary_LCIA!AH$32</f>
        <v>1.9271717538824804</v>
      </c>
      <c r="BM338" s="137">
        <f>$W338*AR338+$L338*Summary_LCIA!AI$32</f>
        <v>0.42091825265021987</v>
      </c>
    </row>
    <row r="339" spans="1:65" x14ac:dyDescent="0.25">
      <c r="A339" s="149">
        <v>329</v>
      </c>
      <c r="B339" s="149">
        <v>29</v>
      </c>
      <c r="C339" s="61">
        <v>34.413587</v>
      </c>
      <c r="D339" s="61">
        <v>-119.849698</v>
      </c>
      <c r="E339" s="61" t="s">
        <v>265</v>
      </c>
      <c r="F339" s="149">
        <v>116</v>
      </c>
      <c r="G339" s="61" t="s">
        <v>663</v>
      </c>
      <c r="H339" s="61" t="s">
        <v>664</v>
      </c>
      <c r="I339" s="61">
        <v>34.198312000000001</v>
      </c>
      <c r="J339" s="61">
        <v>-118.357404</v>
      </c>
      <c r="K339" s="61">
        <v>186.5655932</v>
      </c>
      <c r="L339" s="61">
        <v>160.434</v>
      </c>
      <c r="M339" s="61" t="s">
        <v>617</v>
      </c>
      <c r="N339" s="149">
        <v>28</v>
      </c>
      <c r="O339" s="149">
        <v>29</v>
      </c>
      <c r="P339" s="61" t="s">
        <v>565</v>
      </c>
      <c r="Q339" s="61" t="s">
        <v>559</v>
      </c>
      <c r="R339" s="61">
        <v>47.450249900000003</v>
      </c>
      <c r="S339" s="61">
        <v>-122.30881650000001</v>
      </c>
      <c r="T339" s="61">
        <v>1784.521</v>
      </c>
      <c r="U339" s="61" t="s">
        <v>617</v>
      </c>
      <c r="V339" s="61" t="s">
        <v>569</v>
      </c>
      <c r="W339" s="61" cm="1">
        <f t="array" ref="W339">getDistance(I339,J339,R339,S339)*SA!$B$12</f>
        <v>1511.1483305430299</v>
      </c>
      <c r="Y339" s="137">
        <f>Transportation_LCIA!C$61*($W339^Transportation_LCIA!C$60)+Transportation_LCIA!C$62</f>
        <v>0.19932703612554409</v>
      </c>
      <c r="Z339" s="137">
        <f>Transportation_LCIA!D$61*($W339^Transportation_LCIA!D$60)+Transportation_LCIA!D$62</f>
        <v>2.0022793907023462</v>
      </c>
      <c r="AA339" s="137">
        <f>Transportation_LCIA!E$61*($W339^Transportation_LCIA!E$60)+Transportation_LCIA!E$62</f>
        <v>8.6667111789983731E-4</v>
      </c>
      <c r="AB339" s="137">
        <f>Transportation_LCIA!F$61*($W339^Transportation_LCIA!F$60)+Transportation_LCIA!F$62</f>
        <v>0.19932703612554409</v>
      </c>
      <c r="AC339" s="137">
        <f>Transportation_LCIA!G$61*($W339^Transportation_LCIA!G$60)+Transportation_LCIA!G$62</f>
        <v>4.6891617890135115E-2</v>
      </c>
      <c r="AD339" s="137">
        <f>Transportation_LCIA!H$61*($W339^Transportation_LCIA!H$60)+Transportation_LCIA!H$62</f>
        <v>2.1603211293050474E-4</v>
      </c>
      <c r="AE339" s="137">
        <f>Transportation_LCIA!I$61*($W339^Transportation_LCIA!I$60)+Transportation_LCIA!I$62</f>
        <v>4.4020136776170753E-6</v>
      </c>
      <c r="AF339" s="137">
        <f>Transportation_LCIA!J$61*($W339^Transportation_LCIA!J$60)+Transportation_LCIA!J$62</f>
        <v>6.5123852534487081E-3</v>
      </c>
      <c r="AG339" s="137">
        <f>Transportation_LCIA!K$61*($W339^Transportation_LCIA!K$60)+Transportation_LCIA!K$62</f>
        <v>9.780107958677238E-3</v>
      </c>
      <c r="AH339" s="137">
        <f>Transportation_LCIA!L$61*($W339^Transportation_LCIA!L$60)+Transportation_LCIA!L$62</f>
        <v>1.8413945371793634E-4</v>
      </c>
      <c r="AI339" s="137">
        <f>Transportation_LCIA!M$61*($W339^Transportation_LCIA!M$60)+Transportation_LCIA!M$62</f>
        <v>2.1008158671653143E-4</v>
      </c>
      <c r="AJ339" s="137">
        <f>Transportation_LCIA!N$61*($W339^Transportation_LCIA!N$60)+Transportation_LCIA!N$62</f>
        <v>7.8542897302297547E-4</v>
      </c>
      <c r="AK339" s="137">
        <f>Transportation_LCIA!O$61*($W339^Transportation_LCIA!O$60)+Transportation_LCIA!O$62</f>
        <v>4.9494818441673569E-5</v>
      </c>
      <c r="AL339" s="137">
        <f>Transportation_LCIA!P$61*($W339^Transportation_LCIA!P$60)+Transportation_LCIA!P$62</f>
        <v>2.3962313894741896E-8</v>
      </c>
      <c r="AM339" s="137">
        <f>Transportation_LCIA!Q$61*($W339^Transportation_LCIA!Q$60)+Transportation_LCIA!Q$62</f>
        <v>7.3184722553846097E-5</v>
      </c>
      <c r="AN339" s="137">
        <f>Transportation_LCIA!R$61*($W339^Transportation_LCIA!R$60)+Transportation_LCIA!R$62</f>
        <v>2.1194608127387442E-4</v>
      </c>
      <c r="AO339" s="137">
        <f>Transportation_LCIA!S$61*($W339^Transportation_LCIA!S$60)+Transportation_LCIA!S$62</f>
        <v>3.265057974169787E-6</v>
      </c>
      <c r="AP339" s="137">
        <f>Transportation_LCIA!T$61*($W339^Transportation_LCIA!T$60)+Transportation_LCIA!T$62</f>
        <v>3.265057974169787E-6</v>
      </c>
      <c r="AQ339" s="137">
        <f>Transportation_LCIA!U$61*($W339^Transportation_LCIA!U$60)+Transportation_LCIA!U$62</f>
        <v>4.5172705345025856E-4</v>
      </c>
      <c r="AR339" s="137">
        <f>Transportation_LCIA!V$61*($W339^Transportation_LCIA!V$60)+Transportation_LCIA!V$62</f>
        <v>1.9039431751006873E-4</v>
      </c>
      <c r="AT339" s="137">
        <f>$W339*Y339+$L339*Summary_LCIA!H$32</f>
        <v>355.72819107320612</v>
      </c>
      <c r="AU339" s="137">
        <f>$W339*Z339+$L339*Summary_LCIA!Q$32</f>
        <v>3820.8601537084878</v>
      </c>
      <c r="AV339" s="137">
        <f>$W339*AA339+$L339*Summary_LCIA!R$32</f>
        <v>2.1544498833442005</v>
      </c>
      <c r="AW339" s="137">
        <f>$W339*AB339+$L339*Summary_LCIA!S$32</f>
        <v>355.01907279320613</v>
      </c>
      <c r="AX339" s="137">
        <f>$W339*AC339+$L339*Summary_LCIA!T$32</f>
        <v>88.491886691139356</v>
      </c>
      <c r="AY339" s="137">
        <f>$W339*AD339+$L339*Summary_LCIA!U$32</f>
        <v>3.2004712427986153</v>
      </c>
      <c r="AZ339" s="137">
        <f>$W339*AE339+$L339*Summary_LCIA!V$32</f>
        <v>1.4314583893958628E-2</v>
      </c>
      <c r="BA339" s="137">
        <f>$W339*AF339+$L339*Summary_LCIA!W$32</f>
        <v>22.189945517602062</v>
      </c>
      <c r="BB339" s="137">
        <f>$W339*AG339+$L339*Summary_LCIA!X$32</f>
        <v>18.43388033428571</v>
      </c>
      <c r="BC339" s="137">
        <f>$W339*AH339+$L339*Summary_LCIA!Y$32</f>
        <v>2.7781446160729653</v>
      </c>
      <c r="BD339" s="137">
        <f>$W339*AI339+$L339*Summary_LCIA!Z$32</f>
        <v>0.32404367695051728</v>
      </c>
      <c r="BE339" s="137">
        <f>$W339*AJ339+$L339*Summary_LCIA!AA$32</f>
        <v>4.9339961853437959</v>
      </c>
      <c r="BF339" s="137">
        <f>$W339*AK339+$L339*Summary_LCIA!AB$32</f>
        <v>7.1292861076665381E-2</v>
      </c>
      <c r="BG339" s="137">
        <f>$W339*AL339+$L339*Summary_LCIA!AC$32</f>
        <v>4.4053266293987261E-5</v>
      </c>
      <c r="BH339" s="137">
        <f>$W339*AM339+$L339*Summary_LCIA!AD$32</f>
        <v>0.17653776266849935</v>
      </c>
      <c r="BI339" s="137">
        <f>$W339*AN339+$L339*Summary_LCIA!AE$32</f>
        <v>0.46244734730215264</v>
      </c>
      <c r="BJ339" s="137">
        <f>$W339*AO339+$L339*Summary_LCIA!AF$32</f>
        <v>0.14056809918679289</v>
      </c>
      <c r="BK339" s="137">
        <f>$W339*AP339+$L339*Summary_LCIA!AG$32</f>
        <v>1.3142592516792881E-2</v>
      </c>
      <c r="BL339" s="137">
        <f>$W339*AQ339+$L339*Summary_LCIA!AH$32</f>
        <v>2.0789799450824802</v>
      </c>
      <c r="BM339" s="137">
        <f>$W339*AR339+$L339*Summary_LCIA!AI$32</f>
        <v>0.4371663477502199</v>
      </c>
    </row>
    <row r="340" spans="1:65" x14ac:dyDescent="0.25">
      <c r="A340" s="149">
        <v>330</v>
      </c>
      <c r="B340" s="149">
        <v>29</v>
      </c>
      <c r="C340" s="61">
        <v>34.413587</v>
      </c>
      <c r="D340" s="61">
        <v>-119.849698</v>
      </c>
      <c r="E340" s="61" t="s">
        <v>265</v>
      </c>
      <c r="F340" s="149">
        <v>116</v>
      </c>
      <c r="G340" s="61" t="s">
        <v>663</v>
      </c>
      <c r="H340" s="61" t="s">
        <v>664</v>
      </c>
      <c r="I340" s="61">
        <v>34.198312000000001</v>
      </c>
      <c r="J340" s="61">
        <v>-118.357404</v>
      </c>
      <c r="K340" s="61">
        <v>186.5655932</v>
      </c>
      <c r="L340" s="61">
        <v>160.434</v>
      </c>
      <c r="M340" s="61" t="s">
        <v>617</v>
      </c>
      <c r="N340" s="149">
        <v>28</v>
      </c>
      <c r="O340" s="149">
        <v>29</v>
      </c>
      <c r="P340" s="61" t="s">
        <v>565</v>
      </c>
      <c r="Q340" s="61" t="s">
        <v>559</v>
      </c>
      <c r="R340" s="61">
        <v>47.450249900000003</v>
      </c>
      <c r="S340" s="61">
        <v>-122.30881650000001</v>
      </c>
      <c r="T340" s="61">
        <v>1784.521</v>
      </c>
      <c r="U340" s="61" t="s">
        <v>617</v>
      </c>
      <c r="V340" s="61" t="s">
        <v>569</v>
      </c>
      <c r="W340" s="61" cm="1">
        <f t="array" ref="W340">getDistance(I340,J340,R340,S340)*SA!$B$12</f>
        <v>1511.1483305430299</v>
      </c>
      <c r="Y340" s="137">
        <f>Transportation_LCIA!C$61*($W340^Transportation_LCIA!C$60)+Transportation_LCIA!C$62</f>
        <v>0.19932703612554409</v>
      </c>
      <c r="Z340" s="137">
        <f>Transportation_LCIA!D$61*($W340^Transportation_LCIA!D$60)+Transportation_LCIA!D$62</f>
        <v>2.0022793907023462</v>
      </c>
      <c r="AA340" s="137">
        <f>Transportation_LCIA!E$61*($W340^Transportation_LCIA!E$60)+Transportation_LCIA!E$62</f>
        <v>8.6667111789983731E-4</v>
      </c>
      <c r="AB340" s="137">
        <f>Transportation_LCIA!F$61*($W340^Transportation_LCIA!F$60)+Transportation_LCIA!F$62</f>
        <v>0.19932703612554409</v>
      </c>
      <c r="AC340" s="137">
        <f>Transportation_LCIA!G$61*($W340^Transportation_LCIA!G$60)+Transportation_LCIA!G$62</f>
        <v>4.6891617890135115E-2</v>
      </c>
      <c r="AD340" s="137">
        <f>Transportation_LCIA!H$61*($W340^Transportation_LCIA!H$60)+Transportation_LCIA!H$62</f>
        <v>2.1603211293050474E-4</v>
      </c>
      <c r="AE340" s="137">
        <f>Transportation_LCIA!I$61*($W340^Transportation_LCIA!I$60)+Transportation_LCIA!I$62</f>
        <v>4.4020136776170753E-6</v>
      </c>
      <c r="AF340" s="137">
        <f>Transportation_LCIA!J$61*($W340^Transportation_LCIA!J$60)+Transportation_LCIA!J$62</f>
        <v>6.5123852534487081E-3</v>
      </c>
      <c r="AG340" s="137">
        <f>Transportation_LCIA!K$61*($W340^Transportation_LCIA!K$60)+Transportation_LCIA!K$62</f>
        <v>9.780107958677238E-3</v>
      </c>
      <c r="AH340" s="137">
        <f>Transportation_LCIA!L$61*($W340^Transportation_LCIA!L$60)+Transportation_LCIA!L$62</f>
        <v>1.8413945371793634E-4</v>
      </c>
      <c r="AI340" s="137">
        <f>Transportation_LCIA!M$61*($W340^Transportation_LCIA!M$60)+Transportation_LCIA!M$62</f>
        <v>2.1008158671653143E-4</v>
      </c>
      <c r="AJ340" s="137">
        <f>Transportation_LCIA!N$61*($W340^Transportation_LCIA!N$60)+Transportation_LCIA!N$62</f>
        <v>7.8542897302297547E-4</v>
      </c>
      <c r="AK340" s="137">
        <f>Transportation_LCIA!O$61*($W340^Transportation_LCIA!O$60)+Transportation_LCIA!O$62</f>
        <v>4.9494818441673569E-5</v>
      </c>
      <c r="AL340" s="137">
        <f>Transportation_LCIA!P$61*($W340^Transportation_LCIA!P$60)+Transportation_LCIA!P$62</f>
        <v>2.3962313894741896E-8</v>
      </c>
      <c r="AM340" s="137">
        <f>Transportation_LCIA!Q$61*($W340^Transportation_LCIA!Q$60)+Transportation_LCIA!Q$62</f>
        <v>7.3184722553846097E-5</v>
      </c>
      <c r="AN340" s="137">
        <f>Transportation_LCIA!R$61*($W340^Transportation_LCIA!R$60)+Transportation_LCIA!R$62</f>
        <v>2.1194608127387442E-4</v>
      </c>
      <c r="AO340" s="137">
        <f>Transportation_LCIA!S$61*($W340^Transportation_LCIA!S$60)+Transportation_LCIA!S$62</f>
        <v>3.265057974169787E-6</v>
      </c>
      <c r="AP340" s="137">
        <f>Transportation_LCIA!T$61*($W340^Transportation_LCIA!T$60)+Transportation_LCIA!T$62</f>
        <v>3.265057974169787E-6</v>
      </c>
      <c r="AQ340" s="137">
        <f>Transportation_LCIA!U$61*($W340^Transportation_LCIA!U$60)+Transportation_LCIA!U$62</f>
        <v>4.5172705345025856E-4</v>
      </c>
      <c r="AR340" s="137">
        <f>Transportation_LCIA!V$61*($W340^Transportation_LCIA!V$60)+Transportation_LCIA!V$62</f>
        <v>1.9039431751006873E-4</v>
      </c>
      <c r="AT340" s="137">
        <f>$W340*Y340+$L340*Summary_LCIA!H$32</f>
        <v>355.72819107320612</v>
      </c>
      <c r="AU340" s="137">
        <f>$W340*Z340+$L340*Summary_LCIA!Q$32</f>
        <v>3820.8601537084878</v>
      </c>
      <c r="AV340" s="137">
        <f>$W340*AA340+$L340*Summary_LCIA!R$32</f>
        <v>2.1544498833442005</v>
      </c>
      <c r="AW340" s="137">
        <f>$W340*AB340+$L340*Summary_LCIA!S$32</f>
        <v>355.01907279320613</v>
      </c>
      <c r="AX340" s="137">
        <f>$W340*AC340+$L340*Summary_LCIA!T$32</f>
        <v>88.491886691139356</v>
      </c>
      <c r="AY340" s="137">
        <f>$W340*AD340+$L340*Summary_LCIA!U$32</f>
        <v>3.2004712427986153</v>
      </c>
      <c r="AZ340" s="137">
        <f>$W340*AE340+$L340*Summary_LCIA!V$32</f>
        <v>1.4314583893958628E-2</v>
      </c>
      <c r="BA340" s="137">
        <f>$W340*AF340+$L340*Summary_LCIA!W$32</f>
        <v>22.189945517602062</v>
      </c>
      <c r="BB340" s="137">
        <f>$W340*AG340+$L340*Summary_LCIA!X$32</f>
        <v>18.43388033428571</v>
      </c>
      <c r="BC340" s="137">
        <f>$W340*AH340+$L340*Summary_LCIA!Y$32</f>
        <v>2.7781446160729653</v>
      </c>
      <c r="BD340" s="137">
        <f>$W340*AI340+$L340*Summary_LCIA!Z$32</f>
        <v>0.32404367695051728</v>
      </c>
      <c r="BE340" s="137">
        <f>$W340*AJ340+$L340*Summary_LCIA!AA$32</f>
        <v>4.9339961853437959</v>
      </c>
      <c r="BF340" s="137">
        <f>$W340*AK340+$L340*Summary_LCIA!AB$32</f>
        <v>7.1292861076665381E-2</v>
      </c>
      <c r="BG340" s="137">
        <f>$W340*AL340+$L340*Summary_LCIA!AC$32</f>
        <v>4.4053266293987261E-5</v>
      </c>
      <c r="BH340" s="137">
        <f>$W340*AM340+$L340*Summary_LCIA!AD$32</f>
        <v>0.17653776266849935</v>
      </c>
      <c r="BI340" s="137">
        <f>$W340*AN340+$L340*Summary_LCIA!AE$32</f>
        <v>0.46244734730215264</v>
      </c>
      <c r="BJ340" s="137">
        <f>$W340*AO340+$L340*Summary_LCIA!AF$32</f>
        <v>0.14056809918679289</v>
      </c>
      <c r="BK340" s="137">
        <f>$W340*AP340+$L340*Summary_LCIA!AG$32</f>
        <v>1.3142592516792881E-2</v>
      </c>
      <c r="BL340" s="137">
        <f>$W340*AQ340+$L340*Summary_LCIA!AH$32</f>
        <v>2.0789799450824802</v>
      </c>
      <c r="BM340" s="137">
        <f>$W340*AR340+$L340*Summary_LCIA!AI$32</f>
        <v>0.4371663477502199</v>
      </c>
    </row>
    <row r="341" spans="1:65" x14ac:dyDescent="0.25">
      <c r="A341" s="149">
        <v>331</v>
      </c>
      <c r="B341" s="149">
        <v>29</v>
      </c>
      <c r="C341" s="61">
        <v>34.413587</v>
      </c>
      <c r="D341" s="61">
        <v>-119.849698</v>
      </c>
      <c r="E341" s="61" t="s">
        <v>265</v>
      </c>
      <c r="F341" s="149">
        <v>116</v>
      </c>
      <c r="G341" s="61" t="s">
        <v>663</v>
      </c>
      <c r="H341" s="61" t="s">
        <v>664</v>
      </c>
      <c r="I341" s="61">
        <v>34.198312000000001</v>
      </c>
      <c r="J341" s="61">
        <v>-118.357404</v>
      </c>
      <c r="K341" s="61">
        <v>186.5655932</v>
      </c>
      <c r="L341" s="61">
        <v>160.434</v>
      </c>
      <c r="M341" s="61" t="s">
        <v>617</v>
      </c>
      <c r="N341" s="149">
        <v>28</v>
      </c>
      <c r="O341" s="149">
        <v>29</v>
      </c>
      <c r="P341" s="61" t="s">
        <v>565</v>
      </c>
      <c r="Q341" s="61" t="s">
        <v>559</v>
      </c>
      <c r="R341" s="61">
        <v>47.450249900000003</v>
      </c>
      <c r="S341" s="61">
        <v>-122.30881650000001</v>
      </c>
      <c r="T341" s="61">
        <v>1784.521</v>
      </c>
      <c r="U341" s="61" t="s">
        <v>617</v>
      </c>
      <c r="V341" s="61" t="s">
        <v>569</v>
      </c>
      <c r="W341" s="61" cm="1">
        <f t="array" ref="W341">getDistance(I341,J341,R341,S341)*SA!$B$12</f>
        <v>1511.1483305430299</v>
      </c>
      <c r="Y341" s="137">
        <f>Transportation_LCIA!C$61*($W341^Transportation_LCIA!C$60)+Transportation_LCIA!C$62</f>
        <v>0.19932703612554409</v>
      </c>
      <c r="Z341" s="137">
        <f>Transportation_LCIA!D$61*($W341^Transportation_LCIA!D$60)+Transportation_LCIA!D$62</f>
        <v>2.0022793907023462</v>
      </c>
      <c r="AA341" s="137">
        <f>Transportation_LCIA!E$61*($W341^Transportation_LCIA!E$60)+Transportation_LCIA!E$62</f>
        <v>8.6667111789983731E-4</v>
      </c>
      <c r="AB341" s="137">
        <f>Transportation_LCIA!F$61*($W341^Transportation_LCIA!F$60)+Transportation_LCIA!F$62</f>
        <v>0.19932703612554409</v>
      </c>
      <c r="AC341" s="137">
        <f>Transportation_LCIA!G$61*($W341^Transportation_LCIA!G$60)+Transportation_LCIA!G$62</f>
        <v>4.6891617890135115E-2</v>
      </c>
      <c r="AD341" s="137">
        <f>Transportation_LCIA!H$61*($W341^Transportation_LCIA!H$60)+Transportation_LCIA!H$62</f>
        <v>2.1603211293050474E-4</v>
      </c>
      <c r="AE341" s="137">
        <f>Transportation_LCIA!I$61*($W341^Transportation_LCIA!I$60)+Transportation_LCIA!I$62</f>
        <v>4.4020136776170753E-6</v>
      </c>
      <c r="AF341" s="137">
        <f>Transportation_LCIA!J$61*($W341^Transportation_LCIA!J$60)+Transportation_LCIA!J$62</f>
        <v>6.5123852534487081E-3</v>
      </c>
      <c r="AG341" s="137">
        <f>Transportation_LCIA!K$61*($W341^Transportation_LCIA!K$60)+Transportation_LCIA!K$62</f>
        <v>9.780107958677238E-3</v>
      </c>
      <c r="AH341" s="137">
        <f>Transportation_LCIA!L$61*($W341^Transportation_LCIA!L$60)+Transportation_LCIA!L$62</f>
        <v>1.8413945371793634E-4</v>
      </c>
      <c r="AI341" s="137">
        <f>Transportation_LCIA!M$61*($W341^Transportation_LCIA!M$60)+Transportation_LCIA!M$62</f>
        <v>2.1008158671653143E-4</v>
      </c>
      <c r="AJ341" s="137">
        <f>Transportation_LCIA!N$61*($W341^Transportation_LCIA!N$60)+Transportation_LCIA!N$62</f>
        <v>7.8542897302297547E-4</v>
      </c>
      <c r="AK341" s="137">
        <f>Transportation_LCIA!O$61*($W341^Transportation_LCIA!O$60)+Transportation_LCIA!O$62</f>
        <v>4.9494818441673569E-5</v>
      </c>
      <c r="AL341" s="137">
        <f>Transportation_LCIA!P$61*($W341^Transportation_LCIA!P$60)+Transportation_LCIA!P$62</f>
        <v>2.3962313894741896E-8</v>
      </c>
      <c r="AM341" s="137">
        <f>Transportation_LCIA!Q$61*($W341^Transportation_LCIA!Q$60)+Transportation_LCIA!Q$62</f>
        <v>7.3184722553846097E-5</v>
      </c>
      <c r="AN341" s="137">
        <f>Transportation_LCIA!R$61*($W341^Transportation_LCIA!R$60)+Transportation_LCIA!R$62</f>
        <v>2.1194608127387442E-4</v>
      </c>
      <c r="AO341" s="137">
        <f>Transportation_LCIA!S$61*($W341^Transportation_LCIA!S$60)+Transportation_LCIA!S$62</f>
        <v>3.265057974169787E-6</v>
      </c>
      <c r="AP341" s="137">
        <f>Transportation_LCIA!T$61*($W341^Transportation_LCIA!T$60)+Transportation_LCIA!T$62</f>
        <v>3.265057974169787E-6</v>
      </c>
      <c r="AQ341" s="137">
        <f>Transportation_LCIA!U$61*($W341^Transportation_LCIA!U$60)+Transportation_LCIA!U$62</f>
        <v>4.5172705345025856E-4</v>
      </c>
      <c r="AR341" s="137">
        <f>Transportation_LCIA!V$61*($W341^Transportation_LCIA!V$60)+Transportation_LCIA!V$62</f>
        <v>1.9039431751006873E-4</v>
      </c>
      <c r="AT341" s="137">
        <f>$W341*Y341+$L341*Summary_LCIA!H$32</f>
        <v>355.72819107320612</v>
      </c>
      <c r="AU341" s="137">
        <f>$W341*Z341+$L341*Summary_LCIA!Q$32</f>
        <v>3820.8601537084878</v>
      </c>
      <c r="AV341" s="137">
        <f>$W341*AA341+$L341*Summary_LCIA!R$32</f>
        <v>2.1544498833442005</v>
      </c>
      <c r="AW341" s="137">
        <f>$W341*AB341+$L341*Summary_LCIA!S$32</f>
        <v>355.01907279320613</v>
      </c>
      <c r="AX341" s="137">
        <f>$W341*AC341+$L341*Summary_LCIA!T$32</f>
        <v>88.491886691139356</v>
      </c>
      <c r="AY341" s="137">
        <f>$W341*AD341+$L341*Summary_LCIA!U$32</f>
        <v>3.2004712427986153</v>
      </c>
      <c r="AZ341" s="137">
        <f>$W341*AE341+$L341*Summary_LCIA!V$32</f>
        <v>1.4314583893958628E-2</v>
      </c>
      <c r="BA341" s="137">
        <f>$W341*AF341+$L341*Summary_LCIA!W$32</f>
        <v>22.189945517602062</v>
      </c>
      <c r="BB341" s="137">
        <f>$W341*AG341+$L341*Summary_LCIA!X$32</f>
        <v>18.43388033428571</v>
      </c>
      <c r="BC341" s="137">
        <f>$W341*AH341+$L341*Summary_LCIA!Y$32</f>
        <v>2.7781446160729653</v>
      </c>
      <c r="BD341" s="137">
        <f>$W341*AI341+$L341*Summary_LCIA!Z$32</f>
        <v>0.32404367695051728</v>
      </c>
      <c r="BE341" s="137">
        <f>$W341*AJ341+$L341*Summary_LCIA!AA$32</f>
        <v>4.9339961853437959</v>
      </c>
      <c r="BF341" s="137">
        <f>$W341*AK341+$L341*Summary_LCIA!AB$32</f>
        <v>7.1292861076665381E-2</v>
      </c>
      <c r="BG341" s="137">
        <f>$W341*AL341+$L341*Summary_LCIA!AC$32</f>
        <v>4.4053266293987261E-5</v>
      </c>
      <c r="BH341" s="137">
        <f>$W341*AM341+$L341*Summary_LCIA!AD$32</f>
        <v>0.17653776266849935</v>
      </c>
      <c r="BI341" s="137">
        <f>$W341*AN341+$L341*Summary_LCIA!AE$32</f>
        <v>0.46244734730215264</v>
      </c>
      <c r="BJ341" s="137">
        <f>$W341*AO341+$L341*Summary_LCIA!AF$32</f>
        <v>0.14056809918679289</v>
      </c>
      <c r="BK341" s="137">
        <f>$W341*AP341+$L341*Summary_LCIA!AG$32</f>
        <v>1.3142592516792881E-2</v>
      </c>
      <c r="BL341" s="137">
        <f>$W341*AQ341+$L341*Summary_LCIA!AH$32</f>
        <v>2.0789799450824802</v>
      </c>
      <c r="BM341" s="137">
        <f>$W341*AR341+$L341*Summary_LCIA!AI$32</f>
        <v>0.4371663477502199</v>
      </c>
    </row>
    <row r="342" spans="1:65" x14ac:dyDescent="0.25">
      <c r="A342" s="149">
        <v>332</v>
      </c>
      <c r="B342" s="149">
        <v>29</v>
      </c>
      <c r="C342" s="61">
        <v>34.413587</v>
      </c>
      <c r="D342" s="61">
        <v>-119.849698</v>
      </c>
      <c r="E342" s="61" t="s">
        <v>265</v>
      </c>
      <c r="F342" s="149">
        <v>116</v>
      </c>
      <c r="G342" s="61" t="s">
        <v>663</v>
      </c>
      <c r="H342" s="61" t="s">
        <v>664</v>
      </c>
      <c r="I342" s="61">
        <v>34.198312000000001</v>
      </c>
      <c r="J342" s="61">
        <v>-118.357404</v>
      </c>
      <c r="K342" s="61">
        <v>186.5655932</v>
      </c>
      <c r="L342" s="61">
        <v>160.434</v>
      </c>
      <c r="M342" s="61" t="s">
        <v>617</v>
      </c>
      <c r="N342" s="149">
        <v>28</v>
      </c>
      <c r="O342" s="149">
        <v>29</v>
      </c>
      <c r="P342" s="61" t="s">
        <v>565</v>
      </c>
      <c r="Q342" s="61" t="s">
        <v>559</v>
      </c>
      <c r="R342" s="61">
        <v>47.450249900000003</v>
      </c>
      <c r="S342" s="61">
        <v>-122.30881650000001</v>
      </c>
      <c r="T342" s="61">
        <v>1784.521</v>
      </c>
      <c r="U342" s="61" t="s">
        <v>617</v>
      </c>
      <c r="V342" s="61" t="s">
        <v>569</v>
      </c>
      <c r="W342" s="61" cm="1">
        <f t="array" ref="W342">getDistance(I342,J342,R342,S342)*SA!$B$12</f>
        <v>1511.1483305430299</v>
      </c>
      <c r="Y342" s="137">
        <f>Transportation_LCIA!C$61*($W342^Transportation_LCIA!C$60)+Transportation_LCIA!C$62</f>
        <v>0.19932703612554409</v>
      </c>
      <c r="Z342" s="137">
        <f>Transportation_LCIA!D$61*($W342^Transportation_LCIA!D$60)+Transportation_LCIA!D$62</f>
        <v>2.0022793907023462</v>
      </c>
      <c r="AA342" s="137">
        <f>Transportation_LCIA!E$61*($W342^Transportation_LCIA!E$60)+Transportation_LCIA!E$62</f>
        <v>8.6667111789983731E-4</v>
      </c>
      <c r="AB342" s="137">
        <f>Transportation_LCIA!F$61*($W342^Transportation_LCIA!F$60)+Transportation_LCIA!F$62</f>
        <v>0.19932703612554409</v>
      </c>
      <c r="AC342" s="137">
        <f>Transportation_LCIA!G$61*($W342^Transportation_LCIA!G$60)+Transportation_LCIA!G$62</f>
        <v>4.6891617890135115E-2</v>
      </c>
      <c r="AD342" s="137">
        <f>Transportation_LCIA!H$61*($W342^Transportation_LCIA!H$60)+Transportation_LCIA!H$62</f>
        <v>2.1603211293050474E-4</v>
      </c>
      <c r="AE342" s="137">
        <f>Transportation_LCIA!I$61*($W342^Transportation_LCIA!I$60)+Transportation_LCIA!I$62</f>
        <v>4.4020136776170753E-6</v>
      </c>
      <c r="AF342" s="137">
        <f>Transportation_LCIA!J$61*($W342^Transportation_LCIA!J$60)+Transportation_LCIA!J$62</f>
        <v>6.5123852534487081E-3</v>
      </c>
      <c r="AG342" s="137">
        <f>Transportation_LCIA!K$61*($W342^Transportation_LCIA!K$60)+Transportation_LCIA!K$62</f>
        <v>9.780107958677238E-3</v>
      </c>
      <c r="AH342" s="137">
        <f>Transportation_LCIA!L$61*($W342^Transportation_LCIA!L$60)+Transportation_LCIA!L$62</f>
        <v>1.8413945371793634E-4</v>
      </c>
      <c r="AI342" s="137">
        <f>Transportation_LCIA!M$61*($W342^Transportation_LCIA!M$60)+Transportation_LCIA!M$62</f>
        <v>2.1008158671653143E-4</v>
      </c>
      <c r="AJ342" s="137">
        <f>Transportation_LCIA!N$61*($W342^Transportation_LCIA!N$60)+Transportation_LCIA!N$62</f>
        <v>7.8542897302297547E-4</v>
      </c>
      <c r="AK342" s="137">
        <f>Transportation_LCIA!O$61*($W342^Transportation_LCIA!O$60)+Transportation_LCIA!O$62</f>
        <v>4.9494818441673569E-5</v>
      </c>
      <c r="AL342" s="137">
        <f>Transportation_LCIA!P$61*($W342^Transportation_LCIA!P$60)+Transportation_LCIA!P$62</f>
        <v>2.3962313894741896E-8</v>
      </c>
      <c r="AM342" s="137">
        <f>Transportation_LCIA!Q$61*($W342^Transportation_LCIA!Q$60)+Transportation_LCIA!Q$62</f>
        <v>7.3184722553846097E-5</v>
      </c>
      <c r="AN342" s="137">
        <f>Transportation_LCIA!R$61*($W342^Transportation_LCIA!R$60)+Transportation_LCIA!R$62</f>
        <v>2.1194608127387442E-4</v>
      </c>
      <c r="AO342" s="137">
        <f>Transportation_LCIA!S$61*($W342^Transportation_LCIA!S$60)+Transportation_LCIA!S$62</f>
        <v>3.265057974169787E-6</v>
      </c>
      <c r="AP342" s="137">
        <f>Transportation_LCIA!T$61*($W342^Transportation_LCIA!T$60)+Transportation_LCIA!T$62</f>
        <v>3.265057974169787E-6</v>
      </c>
      <c r="AQ342" s="137">
        <f>Transportation_LCIA!U$61*($W342^Transportation_LCIA!U$60)+Transportation_LCIA!U$62</f>
        <v>4.5172705345025856E-4</v>
      </c>
      <c r="AR342" s="137">
        <f>Transportation_LCIA!V$61*($W342^Transportation_LCIA!V$60)+Transportation_LCIA!V$62</f>
        <v>1.9039431751006873E-4</v>
      </c>
      <c r="AT342" s="137">
        <f>$W342*Y342+$L342*Summary_LCIA!H$32</f>
        <v>355.72819107320612</v>
      </c>
      <c r="AU342" s="137">
        <f>$W342*Z342+$L342*Summary_LCIA!Q$32</f>
        <v>3820.8601537084878</v>
      </c>
      <c r="AV342" s="137">
        <f>$W342*AA342+$L342*Summary_LCIA!R$32</f>
        <v>2.1544498833442005</v>
      </c>
      <c r="AW342" s="137">
        <f>$W342*AB342+$L342*Summary_LCIA!S$32</f>
        <v>355.01907279320613</v>
      </c>
      <c r="AX342" s="137">
        <f>$W342*AC342+$L342*Summary_LCIA!T$32</f>
        <v>88.491886691139356</v>
      </c>
      <c r="AY342" s="137">
        <f>$W342*AD342+$L342*Summary_LCIA!U$32</f>
        <v>3.2004712427986153</v>
      </c>
      <c r="AZ342" s="137">
        <f>$W342*AE342+$L342*Summary_LCIA!V$32</f>
        <v>1.4314583893958628E-2</v>
      </c>
      <c r="BA342" s="137">
        <f>$W342*AF342+$L342*Summary_LCIA!W$32</f>
        <v>22.189945517602062</v>
      </c>
      <c r="BB342" s="137">
        <f>$W342*AG342+$L342*Summary_LCIA!X$32</f>
        <v>18.43388033428571</v>
      </c>
      <c r="BC342" s="137">
        <f>$W342*AH342+$L342*Summary_LCIA!Y$32</f>
        <v>2.7781446160729653</v>
      </c>
      <c r="BD342" s="137">
        <f>$W342*AI342+$L342*Summary_LCIA!Z$32</f>
        <v>0.32404367695051728</v>
      </c>
      <c r="BE342" s="137">
        <f>$W342*AJ342+$L342*Summary_LCIA!AA$32</f>
        <v>4.9339961853437959</v>
      </c>
      <c r="BF342" s="137">
        <f>$W342*AK342+$L342*Summary_LCIA!AB$32</f>
        <v>7.1292861076665381E-2</v>
      </c>
      <c r="BG342" s="137">
        <f>$W342*AL342+$L342*Summary_LCIA!AC$32</f>
        <v>4.4053266293987261E-5</v>
      </c>
      <c r="BH342" s="137">
        <f>$W342*AM342+$L342*Summary_LCIA!AD$32</f>
        <v>0.17653776266849935</v>
      </c>
      <c r="BI342" s="137">
        <f>$W342*AN342+$L342*Summary_LCIA!AE$32</f>
        <v>0.46244734730215264</v>
      </c>
      <c r="BJ342" s="137">
        <f>$W342*AO342+$L342*Summary_LCIA!AF$32</f>
        <v>0.14056809918679289</v>
      </c>
      <c r="BK342" s="137">
        <f>$W342*AP342+$L342*Summary_LCIA!AG$32</f>
        <v>1.3142592516792881E-2</v>
      </c>
      <c r="BL342" s="137">
        <f>$W342*AQ342+$L342*Summary_LCIA!AH$32</f>
        <v>2.0789799450824802</v>
      </c>
      <c r="BM342" s="137">
        <f>$W342*AR342+$L342*Summary_LCIA!AI$32</f>
        <v>0.4371663477502199</v>
      </c>
    </row>
    <row r="343" spans="1:65" x14ac:dyDescent="0.25">
      <c r="A343" s="149">
        <v>155</v>
      </c>
      <c r="B343" s="149">
        <v>6</v>
      </c>
      <c r="C343" s="61">
        <v>30.080174</v>
      </c>
      <c r="D343" s="61">
        <v>-94.126555999999994</v>
      </c>
      <c r="E343" s="61" t="s">
        <v>265</v>
      </c>
      <c r="F343" s="149">
        <v>47</v>
      </c>
      <c r="G343" s="61" t="s">
        <v>565</v>
      </c>
      <c r="H343" s="61" t="s">
        <v>688</v>
      </c>
      <c r="I343" s="61">
        <v>29.990220000000001</v>
      </c>
      <c r="J343" s="61">
        <v>-95.336782999999997</v>
      </c>
      <c r="K343" s="61">
        <v>117.32741729999999</v>
      </c>
      <c r="L343" s="61">
        <v>153.17099999999999</v>
      </c>
      <c r="M343" s="61" t="s">
        <v>617</v>
      </c>
      <c r="N343" s="149">
        <v>5</v>
      </c>
      <c r="O343" s="149">
        <v>6</v>
      </c>
      <c r="P343" s="61" t="s">
        <v>565</v>
      </c>
      <c r="Q343" s="61" t="s">
        <v>564</v>
      </c>
      <c r="R343" s="61">
        <v>41.98028</v>
      </c>
      <c r="S343" s="61">
        <v>-87.908997900000003</v>
      </c>
      <c r="T343" s="61">
        <v>1791.9670000000001</v>
      </c>
      <c r="U343" s="61" t="s">
        <v>617</v>
      </c>
      <c r="V343" s="61" t="s">
        <v>569</v>
      </c>
      <c r="W343" s="61" cm="1">
        <f t="array" ref="W343">getDistance(I343,J343,R343,S343)*SA!$B$12</f>
        <v>1490.6516068471742</v>
      </c>
      <c r="Y343" s="137">
        <f>Transportation_LCIA!C$61*($W343^Transportation_LCIA!C$60)+Transportation_LCIA!C$62</f>
        <v>0.20033456701279334</v>
      </c>
      <c r="Z343" s="137">
        <f>Transportation_LCIA!D$61*($W343^Transportation_LCIA!D$60)+Transportation_LCIA!D$62</f>
        <v>2.0138295851147205</v>
      </c>
      <c r="AA343" s="137">
        <f>Transportation_LCIA!E$61*($W343^Transportation_LCIA!E$60)+Transportation_LCIA!E$62</f>
        <v>8.742272607546299E-4</v>
      </c>
      <c r="AB343" s="137">
        <f>Transportation_LCIA!F$61*($W343^Transportation_LCIA!F$60)+Transportation_LCIA!F$62</f>
        <v>0.20033456701279334</v>
      </c>
      <c r="AC343" s="137">
        <f>Transportation_LCIA!G$61*($W343^Transportation_LCIA!G$60)+Transportation_LCIA!G$62</f>
        <v>4.7159118271410991E-2</v>
      </c>
      <c r="AD343" s="137">
        <f>Transportation_LCIA!H$61*($W343^Transportation_LCIA!H$60)+Transportation_LCIA!H$62</f>
        <v>2.1767719252658522E-4</v>
      </c>
      <c r="AE343" s="137">
        <f>Transportation_LCIA!I$61*($W343^Transportation_LCIA!I$60)+Transportation_LCIA!I$62</f>
        <v>4.4427712820296799E-6</v>
      </c>
      <c r="AF343" s="137">
        <f>Transportation_LCIA!J$61*($W343^Transportation_LCIA!J$60)+Transportation_LCIA!J$62</f>
        <v>6.5724552990164518E-3</v>
      </c>
      <c r="AG343" s="137">
        <f>Transportation_LCIA!K$61*($W343^Transportation_LCIA!K$60)+Transportation_LCIA!K$62</f>
        <v>9.8419916362103219E-3</v>
      </c>
      <c r="AH343" s="137">
        <f>Transportation_LCIA!L$61*($W343^Transportation_LCIA!L$60)+Transportation_LCIA!L$62</f>
        <v>1.856449884239458E-4</v>
      </c>
      <c r="AI343" s="137">
        <f>Transportation_LCIA!M$61*($W343^Transportation_LCIA!M$60)+Transportation_LCIA!M$62</f>
        <v>2.1098900189273081E-4</v>
      </c>
      <c r="AJ343" s="137">
        <f>Transportation_LCIA!N$61*($W343^Transportation_LCIA!N$60)+Transportation_LCIA!N$62</f>
        <v>7.9096701389764698E-4</v>
      </c>
      <c r="AK343" s="137">
        <f>Transportation_LCIA!O$61*($W343^Transportation_LCIA!O$60)+Transportation_LCIA!O$62</f>
        <v>4.9778932824492302E-5</v>
      </c>
      <c r="AL343" s="137">
        <f>Transportation_LCIA!P$61*($W343^Transportation_LCIA!P$60)+Transportation_LCIA!P$62</f>
        <v>2.4099094262166891E-8</v>
      </c>
      <c r="AM343" s="137">
        <f>Transportation_LCIA!Q$61*($W343^Transportation_LCIA!Q$60)+Transportation_LCIA!Q$62</f>
        <v>7.3771950781714518E-5</v>
      </c>
      <c r="AN343" s="137">
        <f>Transportation_LCIA!R$61*($W343^Transportation_LCIA!R$60)+Transportation_LCIA!R$62</f>
        <v>2.1389977634216263E-4</v>
      </c>
      <c r="AO343" s="137">
        <f>Transportation_LCIA!S$61*($W343^Transportation_LCIA!S$60)+Transportation_LCIA!S$62</f>
        <v>3.2928048480826389E-6</v>
      </c>
      <c r="AP343" s="137">
        <f>Transportation_LCIA!T$61*($W343^Transportation_LCIA!T$60)+Transportation_LCIA!T$62</f>
        <v>3.2928048480826389E-6</v>
      </c>
      <c r="AQ343" s="137">
        <f>Transportation_LCIA!U$61*($W343^Transportation_LCIA!U$60)+Transportation_LCIA!U$62</f>
        <v>4.559986054108007E-4</v>
      </c>
      <c r="AR343" s="137">
        <f>Transportation_LCIA!V$61*($W343^Transportation_LCIA!V$60)+Transportation_LCIA!V$62</f>
        <v>1.9191717787183445E-4</v>
      </c>
      <c r="AT343" s="137">
        <f>$W343*Y343+$L343*Summary_LCIA!H$32</f>
        <v>350.6765500246533</v>
      </c>
      <c r="AU343" s="137">
        <f>$W343*Z343+$L343*Summary_LCIA!Q$32</f>
        <v>3761.0415078406795</v>
      </c>
      <c r="AV343" s="137">
        <f>$W343*AA343+$L343*Summary_LCIA!R$32</f>
        <v>2.1097054885934927</v>
      </c>
      <c r="AW343" s="137">
        <f>$W343*AB343+$L343*Summary_LCIA!S$32</f>
        <v>349.99953420465329</v>
      </c>
      <c r="AX343" s="137">
        <f>$W343*AC343+$L343*Summary_LCIA!T$32</f>
        <v>87.131308328774722</v>
      </c>
      <c r="AY343" s="137">
        <f>$W343*AD343+$L343*Summary_LCIA!U$32</f>
        <v>3.0683861508137356</v>
      </c>
      <c r="AZ343" s="137">
        <f>$W343*AE343+$L343*Summary_LCIA!V$32</f>
        <v>1.3938224281412021E-2</v>
      </c>
      <c r="BA343" s="137">
        <f>$W343*AF343+$L343*Summary_LCIA!W$32</f>
        <v>21.586966093410098</v>
      </c>
      <c r="BB343" s="137">
        <f>$W343*AG343+$L343*Summary_LCIA!X$32</f>
        <v>18.160216027093366</v>
      </c>
      <c r="BC343" s="137">
        <f>$W343*AH343+$L343*Summary_LCIA!Y$32</f>
        <v>2.66344252229728</v>
      </c>
      <c r="BD343" s="137">
        <f>$W343*AI343+$L343*Summary_LCIA!Z$32</f>
        <v>0.32079248423748064</v>
      </c>
      <c r="BE343" s="137">
        <f>$W343*AJ343+$L343*Summary_LCIA!AA$32</f>
        <v>4.7565181262296381</v>
      </c>
      <c r="BF343" s="137">
        <f>$W343*AK343+$L343*Summary_LCIA!AB$32</f>
        <v>7.0860395468966997E-2</v>
      </c>
      <c r="BG343" s="137">
        <f>$W343*AL343+$L343*Summary_LCIA!AC$32</f>
        <v>4.3410964749460596E-5</v>
      </c>
      <c r="BH343" s="137">
        <f>$W343*AM343+$L343*Summary_LCIA!AD$32</f>
        <v>0.1729276848130134</v>
      </c>
      <c r="BI343" s="137">
        <f>$W343*AN343+$L343*Summary_LCIA!AE$32</f>
        <v>0.45457946353869583</v>
      </c>
      <c r="BJ343" s="137">
        <f>$W343*AO343+$L343*Summary_LCIA!AF$32</f>
        <v>0.13440225165782854</v>
      </c>
      <c r="BK343" s="137">
        <f>$W343*AP343+$L343*Summary_LCIA!AG$32</f>
        <v>1.2745419052828551E-2</v>
      </c>
      <c r="BL343" s="137">
        <f>$W343*AQ343+$L343*Summary_LCIA!AH$32</f>
        <v>2.0128741694756807</v>
      </c>
      <c r="BM343" s="137">
        <f>$W343*AR343+$L343*Summary_LCIA!AI$32</f>
        <v>0.42876809462622495</v>
      </c>
    </row>
    <row r="344" spans="1:65" x14ac:dyDescent="0.25">
      <c r="A344" s="149">
        <v>156</v>
      </c>
      <c r="B344" s="149">
        <v>6</v>
      </c>
      <c r="C344" s="61">
        <v>30.080174</v>
      </c>
      <c r="D344" s="61">
        <v>-94.126555999999994</v>
      </c>
      <c r="E344" s="61" t="s">
        <v>265</v>
      </c>
      <c r="F344" s="149">
        <v>47</v>
      </c>
      <c r="G344" s="61" t="s">
        <v>565</v>
      </c>
      <c r="H344" s="61" t="s">
        <v>688</v>
      </c>
      <c r="I344" s="61">
        <v>29.990220000000001</v>
      </c>
      <c r="J344" s="61">
        <v>-95.336782999999997</v>
      </c>
      <c r="K344" s="61">
        <v>117.32741729999999</v>
      </c>
      <c r="L344" s="61">
        <v>153.17099999999999</v>
      </c>
      <c r="M344" s="61" t="s">
        <v>617</v>
      </c>
      <c r="N344" s="149">
        <v>5</v>
      </c>
      <c r="O344" s="149">
        <v>6</v>
      </c>
      <c r="P344" s="61" t="s">
        <v>565</v>
      </c>
      <c r="Q344" s="61" t="s">
        <v>564</v>
      </c>
      <c r="R344" s="61">
        <v>41.98028</v>
      </c>
      <c r="S344" s="61">
        <v>-87.908997900000003</v>
      </c>
      <c r="T344" s="61">
        <v>1791.9670000000001</v>
      </c>
      <c r="U344" s="61" t="s">
        <v>617</v>
      </c>
      <c r="V344" s="61" t="s">
        <v>569</v>
      </c>
      <c r="W344" s="61" cm="1">
        <f t="array" ref="W344">getDistance(I344,J344,R344,S344)*SA!$B$12</f>
        <v>1490.6516068471742</v>
      </c>
      <c r="Y344" s="137">
        <f>Transportation_LCIA!C$61*($W344^Transportation_LCIA!C$60)+Transportation_LCIA!C$62</f>
        <v>0.20033456701279334</v>
      </c>
      <c r="Z344" s="137">
        <f>Transportation_LCIA!D$61*($W344^Transportation_LCIA!D$60)+Transportation_LCIA!D$62</f>
        <v>2.0138295851147205</v>
      </c>
      <c r="AA344" s="137">
        <f>Transportation_LCIA!E$61*($W344^Transportation_LCIA!E$60)+Transportation_LCIA!E$62</f>
        <v>8.742272607546299E-4</v>
      </c>
      <c r="AB344" s="137">
        <f>Transportation_LCIA!F$61*($W344^Transportation_LCIA!F$60)+Transportation_LCIA!F$62</f>
        <v>0.20033456701279334</v>
      </c>
      <c r="AC344" s="137">
        <f>Transportation_LCIA!G$61*($W344^Transportation_LCIA!G$60)+Transportation_LCIA!G$62</f>
        <v>4.7159118271410991E-2</v>
      </c>
      <c r="AD344" s="137">
        <f>Transportation_LCIA!H$61*($W344^Transportation_LCIA!H$60)+Transportation_LCIA!H$62</f>
        <v>2.1767719252658522E-4</v>
      </c>
      <c r="AE344" s="137">
        <f>Transportation_LCIA!I$61*($W344^Transportation_LCIA!I$60)+Transportation_LCIA!I$62</f>
        <v>4.4427712820296799E-6</v>
      </c>
      <c r="AF344" s="137">
        <f>Transportation_LCIA!J$61*($W344^Transportation_LCIA!J$60)+Transportation_LCIA!J$62</f>
        <v>6.5724552990164518E-3</v>
      </c>
      <c r="AG344" s="137">
        <f>Transportation_LCIA!K$61*($W344^Transportation_LCIA!K$60)+Transportation_LCIA!K$62</f>
        <v>9.8419916362103219E-3</v>
      </c>
      <c r="AH344" s="137">
        <f>Transportation_LCIA!L$61*($W344^Transportation_LCIA!L$60)+Transportation_LCIA!L$62</f>
        <v>1.856449884239458E-4</v>
      </c>
      <c r="AI344" s="137">
        <f>Transportation_LCIA!M$61*($W344^Transportation_LCIA!M$60)+Transportation_LCIA!M$62</f>
        <v>2.1098900189273081E-4</v>
      </c>
      <c r="AJ344" s="137">
        <f>Transportation_LCIA!N$61*($W344^Transportation_LCIA!N$60)+Transportation_LCIA!N$62</f>
        <v>7.9096701389764698E-4</v>
      </c>
      <c r="AK344" s="137">
        <f>Transportation_LCIA!O$61*($W344^Transportation_LCIA!O$60)+Transportation_LCIA!O$62</f>
        <v>4.9778932824492302E-5</v>
      </c>
      <c r="AL344" s="137">
        <f>Transportation_LCIA!P$61*($W344^Transportation_LCIA!P$60)+Transportation_LCIA!P$62</f>
        <v>2.4099094262166891E-8</v>
      </c>
      <c r="AM344" s="137">
        <f>Transportation_LCIA!Q$61*($W344^Transportation_LCIA!Q$60)+Transportation_LCIA!Q$62</f>
        <v>7.3771950781714518E-5</v>
      </c>
      <c r="AN344" s="137">
        <f>Transportation_LCIA!R$61*($W344^Transportation_LCIA!R$60)+Transportation_LCIA!R$62</f>
        <v>2.1389977634216263E-4</v>
      </c>
      <c r="AO344" s="137">
        <f>Transportation_LCIA!S$61*($W344^Transportation_LCIA!S$60)+Transportation_LCIA!S$62</f>
        <v>3.2928048480826389E-6</v>
      </c>
      <c r="AP344" s="137">
        <f>Transportation_LCIA!T$61*($W344^Transportation_LCIA!T$60)+Transportation_LCIA!T$62</f>
        <v>3.2928048480826389E-6</v>
      </c>
      <c r="AQ344" s="137">
        <f>Transportation_LCIA!U$61*($W344^Transportation_LCIA!U$60)+Transportation_LCIA!U$62</f>
        <v>4.559986054108007E-4</v>
      </c>
      <c r="AR344" s="137">
        <f>Transportation_LCIA!V$61*($W344^Transportation_LCIA!V$60)+Transportation_LCIA!V$62</f>
        <v>1.9191717787183445E-4</v>
      </c>
      <c r="AT344" s="137">
        <f>$W344*Y344+$L344*Summary_LCIA!H$32</f>
        <v>350.6765500246533</v>
      </c>
      <c r="AU344" s="137">
        <f>$W344*Z344+$L344*Summary_LCIA!Q$32</f>
        <v>3761.0415078406795</v>
      </c>
      <c r="AV344" s="137">
        <f>$W344*AA344+$L344*Summary_LCIA!R$32</f>
        <v>2.1097054885934927</v>
      </c>
      <c r="AW344" s="137">
        <f>$W344*AB344+$L344*Summary_LCIA!S$32</f>
        <v>349.99953420465329</v>
      </c>
      <c r="AX344" s="137">
        <f>$W344*AC344+$L344*Summary_LCIA!T$32</f>
        <v>87.131308328774722</v>
      </c>
      <c r="AY344" s="137">
        <f>$W344*AD344+$L344*Summary_LCIA!U$32</f>
        <v>3.0683861508137356</v>
      </c>
      <c r="AZ344" s="137">
        <f>$W344*AE344+$L344*Summary_LCIA!V$32</f>
        <v>1.3938224281412021E-2</v>
      </c>
      <c r="BA344" s="137">
        <f>$W344*AF344+$L344*Summary_LCIA!W$32</f>
        <v>21.586966093410098</v>
      </c>
      <c r="BB344" s="137">
        <f>$W344*AG344+$L344*Summary_LCIA!X$32</f>
        <v>18.160216027093366</v>
      </c>
      <c r="BC344" s="137">
        <f>$W344*AH344+$L344*Summary_LCIA!Y$32</f>
        <v>2.66344252229728</v>
      </c>
      <c r="BD344" s="137">
        <f>$W344*AI344+$L344*Summary_LCIA!Z$32</f>
        <v>0.32079248423748064</v>
      </c>
      <c r="BE344" s="137">
        <f>$W344*AJ344+$L344*Summary_LCIA!AA$32</f>
        <v>4.7565181262296381</v>
      </c>
      <c r="BF344" s="137">
        <f>$W344*AK344+$L344*Summary_LCIA!AB$32</f>
        <v>7.0860395468966997E-2</v>
      </c>
      <c r="BG344" s="137">
        <f>$W344*AL344+$L344*Summary_LCIA!AC$32</f>
        <v>4.3410964749460596E-5</v>
      </c>
      <c r="BH344" s="137">
        <f>$W344*AM344+$L344*Summary_LCIA!AD$32</f>
        <v>0.1729276848130134</v>
      </c>
      <c r="BI344" s="137">
        <f>$W344*AN344+$L344*Summary_LCIA!AE$32</f>
        <v>0.45457946353869583</v>
      </c>
      <c r="BJ344" s="137">
        <f>$W344*AO344+$L344*Summary_LCIA!AF$32</f>
        <v>0.13440225165782854</v>
      </c>
      <c r="BK344" s="137">
        <f>$W344*AP344+$L344*Summary_LCIA!AG$32</f>
        <v>1.2745419052828551E-2</v>
      </c>
      <c r="BL344" s="137">
        <f>$W344*AQ344+$L344*Summary_LCIA!AH$32</f>
        <v>2.0128741694756807</v>
      </c>
      <c r="BM344" s="137">
        <f>$W344*AR344+$L344*Summary_LCIA!AI$32</f>
        <v>0.42876809462622495</v>
      </c>
    </row>
    <row r="345" spans="1:65" x14ac:dyDescent="0.25">
      <c r="A345" s="149">
        <v>238</v>
      </c>
      <c r="B345" s="149">
        <v>6</v>
      </c>
      <c r="C345" s="61">
        <v>29.785777</v>
      </c>
      <c r="D345" s="61">
        <v>-95.824509000000006</v>
      </c>
      <c r="E345" s="61" t="s">
        <v>265</v>
      </c>
      <c r="F345" s="149">
        <v>47</v>
      </c>
      <c r="G345" s="61" t="s">
        <v>565</v>
      </c>
      <c r="H345" s="61" t="s">
        <v>688</v>
      </c>
      <c r="I345" s="61">
        <v>29.990220000000001</v>
      </c>
      <c r="J345" s="61">
        <v>-95.336782999999997</v>
      </c>
      <c r="K345" s="61">
        <v>58.812302199999998</v>
      </c>
      <c r="L345" s="61">
        <v>71.41</v>
      </c>
      <c r="M345" s="61" t="s">
        <v>617</v>
      </c>
      <c r="N345" s="149">
        <v>5</v>
      </c>
      <c r="O345" s="149">
        <v>6</v>
      </c>
      <c r="P345" s="61" t="s">
        <v>565</v>
      </c>
      <c r="Q345" s="61" t="s">
        <v>564</v>
      </c>
      <c r="R345" s="61">
        <v>41.98028</v>
      </c>
      <c r="S345" s="61">
        <v>-87.908997900000003</v>
      </c>
      <c r="T345" s="61">
        <v>1810.3689999999999</v>
      </c>
      <c r="U345" s="61" t="s">
        <v>617</v>
      </c>
      <c r="V345" s="61" t="s">
        <v>569</v>
      </c>
      <c r="W345" s="61" cm="1">
        <f t="array" ref="W345">getDistance(I345,J345,R345,S345)*SA!$B$12</f>
        <v>1490.6516068471742</v>
      </c>
      <c r="Y345" s="137">
        <f>Transportation_LCIA!C$61*($W345^Transportation_LCIA!C$60)+Transportation_LCIA!C$62</f>
        <v>0.20033456701279334</v>
      </c>
      <c r="Z345" s="137">
        <f>Transportation_LCIA!D$61*($W345^Transportation_LCIA!D$60)+Transportation_LCIA!D$62</f>
        <v>2.0138295851147205</v>
      </c>
      <c r="AA345" s="137">
        <f>Transportation_LCIA!E$61*($W345^Transportation_LCIA!E$60)+Transportation_LCIA!E$62</f>
        <v>8.742272607546299E-4</v>
      </c>
      <c r="AB345" s="137">
        <f>Transportation_LCIA!F$61*($W345^Transportation_LCIA!F$60)+Transportation_LCIA!F$62</f>
        <v>0.20033456701279334</v>
      </c>
      <c r="AC345" s="137">
        <f>Transportation_LCIA!G$61*($W345^Transportation_LCIA!G$60)+Transportation_LCIA!G$62</f>
        <v>4.7159118271410991E-2</v>
      </c>
      <c r="AD345" s="137">
        <f>Transportation_LCIA!H$61*($W345^Transportation_LCIA!H$60)+Transportation_LCIA!H$62</f>
        <v>2.1767719252658522E-4</v>
      </c>
      <c r="AE345" s="137">
        <f>Transportation_LCIA!I$61*($W345^Transportation_LCIA!I$60)+Transportation_LCIA!I$62</f>
        <v>4.4427712820296799E-6</v>
      </c>
      <c r="AF345" s="137">
        <f>Transportation_LCIA!J$61*($W345^Transportation_LCIA!J$60)+Transportation_LCIA!J$62</f>
        <v>6.5724552990164518E-3</v>
      </c>
      <c r="AG345" s="137">
        <f>Transportation_LCIA!K$61*($W345^Transportation_LCIA!K$60)+Transportation_LCIA!K$62</f>
        <v>9.8419916362103219E-3</v>
      </c>
      <c r="AH345" s="137">
        <f>Transportation_LCIA!L$61*($W345^Transportation_LCIA!L$60)+Transportation_LCIA!L$62</f>
        <v>1.856449884239458E-4</v>
      </c>
      <c r="AI345" s="137">
        <f>Transportation_LCIA!M$61*($W345^Transportation_LCIA!M$60)+Transportation_LCIA!M$62</f>
        <v>2.1098900189273081E-4</v>
      </c>
      <c r="AJ345" s="137">
        <f>Transportation_LCIA!N$61*($W345^Transportation_LCIA!N$60)+Transportation_LCIA!N$62</f>
        <v>7.9096701389764698E-4</v>
      </c>
      <c r="AK345" s="137">
        <f>Transportation_LCIA!O$61*($W345^Transportation_LCIA!O$60)+Transportation_LCIA!O$62</f>
        <v>4.9778932824492302E-5</v>
      </c>
      <c r="AL345" s="137">
        <f>Transportation_LCIA!P$61*($W345^Transportation_LCIA!P$60)+Transportation_LCIA!P$62</f>
        <v>2.4099094262166891E-8</v>
      </c>
      <c r="AM345" s="137">
        <f>Transportation_LCIA!Q$61*($W345^Transportation_LCIA!Q$60)+Transportation_LCIA!Q$62</f>
        <v>7.3771950781714518E-5</v>
      </c>
      <c r="AN345" s="137">
        <f>Transportation_LCIA!R$61*($W345^Transportation_LCIA!R$60)+Transportation_LCIA!R$62</f>
        <v>2.1389977634216263E-4</v>
      </c>
      <c r="AO345" s="137">
        <f>Transportation_LCIA!S$61*($W345^Transportation_LCIA!S$60)+Transportation_LCIA!S$62</f>
        <v>3.2928048480826389E-6</v>
      </c>
      <c r="AP345" s="137">
        <f>Transportation_LCIA!T$61*($W345^Transportation_LCIA!T$60)+Transportation_LCIA!T$62</f>
        <v>3.2928048480826389E-6</v>
      </c>
      <c r="AQ345" s="137">
        <f>Transportation_LCIA!U$61*($W345^Transportation_LCIA!U$60)+Transportation_LCIA!U$62</f>
        <v>4.559986054108007E-4</v>
      </c>
      <c r="AR345" s="137">
        <f>Transportation_LCIA!V$61*($W345^Transportation_LCIA!V$60)+Transportation_LCIA!V$62</f>
        <v>1.9191717787183445E-4</v>
      </c>
      <c r="AT345" s="137">
        <f>$W345*Y345+$L345*Summary_LCIA!H$32</f>
        <v>322.89416222465326</v>
      </c>
      <c r="AU345" s="137">
        <f>$W345*Z345+$L345*Summary_LCIA!Q$32</f>
        <v>3355.8298683881662</v>
      </c>
      <c r="AV345" s="137">
        <f>$W345*AA345+$L345*Summary_LCIA!R$32</f>
        <v>1.6791847669934925</v>
      </c>
      <c r="AW345" s="137">
        <f>$W345*AB345+$L345*Summary_LCIA!S$32</f>
        <v>322.57853002465328</v>
      </c>
      <c r="AX345" s="137">
        <f>$W345*AC345+$L345*Summary_LCIA!T$32</f>
        <v>78.145774428774729</v>
      </c>
      <c r="AY345" s="137">
        <f>$W345*AD345+$L345*Summary_LCIA!U$32</f>
        <v>1.6037195968137357</v>
      </c>
      <c r="AZ345" s="137">
        <f>$W345*AE345+$L345*Summary_LCIA!V$32</f>
        <v>1.0033237160412023E-2</v>
      </c>
      <c r="BA345" s="137">
        <f>$W345*AF345+$L345*Summary_LCIA!W$32</f>
        <v>15.293740162410099</v>
      </c>
      <c r="BB345" s="137">
        <f>$W345*AG345+$L345*Summary_LCIA!X$32</f>
        <v>16.297700447093366</v>
      </c>
      <c r="BC345" s="137">
        <f>$W345*AH345+$L345*Summary_LCIA!Y$32</f>
        <v>1.3894426202972796</v>
      </c>
      <c r="BD345" s="137">
        <f>$W345*AI345+$L345*Summary_LCIA!Z$32</f>
        <v>0.31743954738848068</v>
      </c>
      <c r="BE345" s="137">
        <f>$W345*AJ345+$L345*Summary_LCIA!AA$32</f>
        <v>2.8469082102296381</v>
      </c>
      <c r="BF345" s="137">
        <f>$W345*AK345+$L345*Summary_LCIA!AB$32</f>
        <v>7.2644665771966987E-2</v>
      </c>
      <c r="BG345" s="137">
        <f>$W345*AL345+$L345*Summary_LCIA!AC$32</f>
        <v>3.9414160025460594E-5</v>
      </c>
      <c r="BH345" s="137">
        <f>$W345*AM345+$L345*Summary_LCIA!AD$32</f>
        <v>0.13932064337301339</v>
      </c>
      <c r="BI345" s="137">
        <f>$W345*AN345+$L345*Summary_LCIA!AE$32</f>
        <v>0.38212858860869586</v>
      </c>
      <c r="BJ345" s="137">
        <f>$W345*AO345+$L345*Summary_LCIA!AF$32</f>
        <v>6.5279867037828551E-2</v>
      </c>
      <c r="BK345" s="137">
        <f>$W345*AP345+$L345*Summary_LCIA!AG$32</f>
        <v>8.5621174878285512E-3</v>
      </c>
      <c r="BL345" s="137">
        <f>$W345*AQ345+$L345*Summary_LCIA!AH$32</f>
        <v>1.3012591298756806</v>
      </c>
      <c r="BM345" s="137">
        <f>$W345*AR345+$L345*Summary_LCIA!AI$32</f>
        <v>0.35260363507622494</v>
      </c>
    </row>
    <row r="346" spans="1:65" x14ac:dyDescent="0.25">
      <c r="A346" s="149">
        <v>252</v>
      </c>
      <c r="B346" s="149">
        <v>29</v>
      </c>
      <c r="C346" s="61">
        <v>34.029510999999999</v>
      </c>
      <c r="D346" s="61">
        <v>-118.28482</v>
      </c>
      <c r="E346" s="61" t="s">
        <v>265</v>
      </c>
      <c r="F346" s="149">
        <v>3</v>
      </c>
      <c r="G346" s="61" t="s">
        <v>565</v>
      </c>
      <c r="H346" s="61" t="s">
        <v>710</v>
      </c>
      <c r="I346" s="61">
        <v>33.941589</v>
      </c>
      <c r="J346" s="61">
        <v>-118.40853</v>
      </c>
      <c r="K346" s="61">
        <v>18.890506299999998</v>
      </c>
      <c r="L346" s="61">
        <v>28.658000000000001</v>
      </c>
      <c r="M346" s="61" t="s">
        <v>617</v>
      </c>
      <c r="N346" s="149">
        <v>28</v>
      </c>
      <c r="O346" s="149">
        <v>29</v>
      </c>
      <c r="P346" s="61" t="s">
        <v>565</v>
      </c>
      <c r="Q346" s="61" t="s">
        <v>559</v>
      </c>
      <c r="R346" s="61">
        <v>47.450249900000003</v>
      </c>
      <c r="S346" s="61">
        <v>-122.30881650000001</v>
      </c>
      <c r="T346" s="61">
        <v>1816.835</v>
      </c>
      <c r="U346" s="61" t="s">
        <v>617</v>
      </c>
      <c r="V346" s="61" t="s">
        <v>569</v>
      </c>
      <c r="W346" s="61" cm="1">
        <f t="array" ref="W346">getDistance(I346,J346,R346,S346)*SA!$B$12</f>
        <v>1538.2131375165659</v>
      </c>
      <c r="Y346" s="137">
        <f>Transportation_LCIA!C$61*($W346^Transportation_LCIA!C$60)+Transportation_LCIA!C$62</f>
        <v>0.19803451651508225</v>
      </c>
      <c r="Z346" s="137">
        <f>Transportation_LCIA!D$61*($W346^Transportation_LCIA!D$60)+Transportation_LCIA!D$62</f>
        <v>1.9874722179868876</v>
      </c>
      <c r="AA346" s="137">
        <f>Transportation_LCIA!E$61*($W346^Transportation_LCIA!E$60)+Transportation_LCIA!E$62</f>
        <v>8.5698611298908891E-4</v>
      </c>
      <c r="AB346" s="137">
        <f>Transportation_LCIA!F$61*($W346^Transportation_LCIA!F$60)+Transportation_LCIA!F$62</f>
        <v>0.19803451651508225</v>
      </c>
      <c r="AC346" s="137">
        <f>Transportation_LCIA!G$61*($W346^Transportation_LCIA!G$60)+Transportation_LCIA!G$62</f>
        <v>4.6548672861604135E-2</v>
      </c>
      <c r="AD346" s="137">
        <f>Transportation_LCIA!H$61*($W346^Transportation_LCIA!H$60)+Transportation_LCIA!H$62</f>
        <v>2.139243472795867E-4</v>
      </c>
      <c r="AE346" s="137">
        <f>Transportation_LCIA!I$61*($W346^Transportation_LCIA!I$60)+Transportation_LCIA!I$62</f>
        <v>4.3498246177473449E-6</v>
      </c>
      <c r="AF346" s="137">
        <f>Transportation_LCIA!J$61*($W346^Transportation_LCIA!J$60)+Transportation_LCIA!J$62</f>
        <v>6.4354977192761691E-3</v>
      </c>
      <c r="AG346" s="137">
        <f>Transportation_LCIA!K$61*($W346^Transportation_LCIA!K$60)+Transportation_LCIA!K$62</f>
        <v>9.7007981812154143E-3</v>
      </c>
      <c r="AH346" s="137">
        <f>Transportation_LCIA!L$61*($W346^Transportation_LCIA!L$60)+Transportation_LCIA!L$62</f>
        <v>1.8221081520186362E-4</v>
      </c>
      <c r="AI346" s="137">
        <f>Transportation_LCIA!M$61*($W346^Transportation_LCIA!M$60)+Transportation_LCIA!M$62</f>
        <v>2.0891898088752427E-4</v>
      </c>
      <c r="AJ346" s="137">
        <f>Transportation_LCIA!N$61*($W346^Transportation_LCIA!N$60)+Transportation_LCIA!N$62</f>
        <v>7.7833298962309101E-4</v>
      </c>
      <c r="AK346" s="137">
        <f>Transportation_LCIA!O$61*($W346^Transportation_LCIA!O$60)+Transportation_LCIA!O$62</f>
        <v>4.9130580490604287E-5</v>
      </c>
      <c r="AL346" s="137">
        <f>Transportation_LCIA!P$61*($W346^Transportation_LCIA!P$60)+Transportation_LCIA!P$62</f>
        <v>2.3786950982267505E-8</v>
      </c>
      <c r="AM346" s="137">
        <f>Transportation_LCIA!Q$61*($W346^Transportation_LCIA!Q$60)+Transportation_LCIA!Q$62</f>
        <v>7.2432534520129642E-5</v>
      </c>
      <c r="AN346" s="137">
        <f>Transportation_LCIA!R$61*($W346^Transportation_LCIA!R$60)+Transportation_LCIA!R$62</f>
        <v>2.0944446201987736E-4</v>
      </c>
      <c r="AO346" s="137">
        <f>Transportation_LCIA!S$61*($W346^Transportation_LCIA!S$60)+Transportation_LCIA!S$62</f>
        <v>3.22952837262539E-6</v>
      </c>
      <c r="AP346" s="137">
        <f>Transportation_LCIA!T$61*($W346^Transportation_LCIA!T$60)+Transportation_LCIA!T$62</f>
        <v>3.22952837262539E-6</v>
      </c>
      <c r="AQ346" s="137">
        <f>Transportation_LCIA!U$61*($W346^Transportation_LCIA!U$60)+Transportation_LCIA!U$62</f>
        <v>4.4625815397976898E-4</v>
      </c>
      <c r="AR346" s="137">
        <f>Transportation_LCIA!V$61*($W346^Transportation_LCIA!V$60)+Transportation_LCIA!V$62</f>
        <v>1.8844390149648293E-4</v>
      </c>
      <c r="AT346" s="137">
        <f>$W346*Y346+$L346*Summary_LCIA!H$32</f>
        <v>314.35728338524086</v>
      </c>
      <c r="AU346" s="137">
        <f>$W346*Z346+$L346*Summary_LCIA!Q$32</f>
        <v>3199.1863694655326</v>
      </c>
      <c r="AV346" s="137">
        <f>$W346*AA346+$L346*Summary_LCIA!R$32</f>
        <v>1.4691288624690728</v>
      </c>
      <c r="AW346" s="137">
        <f>$W346*AB346+$L346*Summary_LCIA!S$32</f>
        <v>314.23061502524087</v>
      </c>
      <c r="AX346" s="137">
        <f>$W346*AC346+$L346*Summary_LCIA!T$32</f>
        <v>74.75129432968032</v>
      </c>
      <c r="AY346" s="137">
        <f>$W346*AD346+$L346*Summary_LCIA!U$32</f>
        <v>0.84244065342011654</v>
      </c>
      <c r="AZ346" s="137">
        <f>$W346*AE346+$L346*Summary_LCIA!V$32</f>
        <v>8.0596921109119396E-3</v>
      </c>
      <c r="BA346" s="137">
        <f>$W346*AF346+$L346*Summary_LCIA!W$32</f>
        <v>12.105002056248502</v>
      </c>
      <c r="BB346" s="137">
        <f>$W346*AG346+$L346*Summary_LCIA!X$32</f>
        <v>15.574724446742358</v>
      </c>
      <c r="BC346" s="137">
        <f>$W346*AH346+$L346*Summary_LCIA!Y$32</f>
        <v>0.72682802574110994</v>
      </c>
      <c r="BD346" s="137">
        <f>$W346*AI346+$L346*Summary_LCIA!Z$32</f>
        <v>0.32253715699976215</v>
      </c>
      <c r="BE346" s="137">
        <f>$W346*AJ346+$L346*Summary_LCIA!AA$32</f>
        <v>1.8665782780007836</v>
      </c>
      <c r="BF346" s="137">
        <f>$W346*AK346+$L346*Summary_LCIA!AB$32</f>
        <v>7.4947900830462613E-2</v>
      </c>
      <c r="BG346" s="137">
        <f>$W346*AL346+$L346*Summary_LCIA!AC$32</f>
        <v>3.7990318174386456E-5</v>
      </c>
      <c r="BH346" s="137">
        <f>$W346*AM346+$L346*Summary_LCIA!AD$32</f>
        <v>0.12319626050248558</v>
      </c>
      <c r="BI346" s="137">
        <f>$W346*AN346+$L346*Summary_LCIA!AE$32</f>
        <v>0.34756493659906479</v>
      </c>
      <c r="BJ346" s="137">
        <f>$W346*AO346+$L346*Summary_LCIA!AF$32</f>
        <v>2.9195749330754871E-2</v>
      </c>
      <c r="BK346" s="137">
        <f>$W346*AP346+$L346*Summary_LCIA!AG$32</f>
        <v>6.4339895407548708E-3</v>
      </c>
      <c r="BL346" s="137">
        <f>$W346*AQ346+$L346*Summary_LCIA!AH$32</f>
        <v>0.93586792397557128</v>
      </c>
      <c r="BM346" s="137">
        <f>$W346*AR346+$L346*Summary_LCIA!AI$32</f>
        <v>0.31656324486676773</v>
      </c>
    </row>
    <row r="347" spans="1:65" x14ac:dyDescent="0.25">
      <c r="A347" s="149">
        <v>142</v>
      </c>
      <c r="B347" s="149">
        <v>6</v>
      </c>
      <c r="C347" s="61">
        <v>30.122962999999999</v>
      </c>
      <c r="D347" s="61">
        <v>-97.611422000000005</v>
      </c>
      <c r="E347" s="61" t="s">
        <v>265</v>
      </c>
      <c r="F347" s="149">
        <v>92</v>
      </c>
      <c r="G347" s="61" t="s">
        <v>666</v>
      </c>
      <c r="H347" s="61" t="s">
        <v>667</v>
      </c>
      <c r="I347" s="61">
        <v>30.197471</v>
      </c>
      <c r="J347" s="61">
        <v>-97.666353000000001</v>
      </c>
      <c r="K347" s="61">
        <v>15.382665169999999</v>
      </c>
      <c r="L347" s="61">
        <v>15.595000000000001</v>
      </c>
      <c r="M347" s="61" t="s">
        <v>617</v>
      </c>
      <c r="N347" s="149">
        <v>5</v>
      </c>
      <c r="O347" s="149">
        <v>6</v>
      </c>
      <c r="P347" s="61" t="s">
        <v>565</v>
      </c>
      <c r="Q347" s="61" t="s">
        <v>564</v>
      </c>
      <c r="R347" s="61">
        <v>41.98028</v>
      </c>
      <c r="S347" s="61">
        <v>-87.908997900000003</v>
      </c>
      <c r="T347" s="61">
        <v>1830.2260000000001</v>
      </c>
      <c r="U347" s="61" t="s">
        <v>617</v>
      </c>
      <c r="V347" s="61" t="s">
        <v>569</v>
      </c>
      <c r="W347" s="61" cm="1">
        <f t="array" ref="W347">getDistance(I347,J347,R347,S347)*SA!$B$12</f>
        <v>1575.2575220458498</v>
      </c>
      <c r="Y347" s="137">
        <f>Transportation_LCIA!C$61*($W347^Transportation_LCIA!C$60)+Transportation_LCIA!C$62</f>
        <v>0.19633171878830921</v>
      </c>
      <c r="Z347" s="137">
        <f>Transportation_LCIA!D$61*($W347^Transportation_LCIA!D$60)+Transportation_LCIA!D$62</f>
        <v>1.9679824485164779</v>
      </c>
      <c r="AA347" s="137">
        <f>Transportation_LCIA!E$61*($W347^Transportation_LCIA!E$60)+Transportation_LCIA!E$62</f>
        <v>8.4424156539261459E-4</v>
      </c>
      <c r="AB347" s="137">
        <f>Transportation_LCIA!F$61*($W347^Transportation_LCIA!F$60)+Transportation_LCIA!F$62</f>
        <v>0.19633171878830921</v>
      </c>
      <c r="AC347" s="137">
        <f>Transportation_LCIA!G$61*($W347^Transportation_LCIA!G$60)+Transportation_LCIA!G$62</f>
        <v>4.6097251719088815E-2</v>
      </c>
      <c r="AD347" s="137">
        <f>Transportation_LCIA!H$61*($W347^Transportation_LCIA!H$60)+Transportation_LCIA!H$62</f>
        <v>2.1115211481011876E-4</v>
      </c>
      <c r="AE347" s="137">
        <f>Transportation_LCIA!I$61*($W347^Transportation_LCIA!I$60)+Transportation_LCIA!I$62</f>
        <v>4.2812383937410747E-6</v>
      </c>
      <c r="AF347" s="137">
        <f>Transportation_LCIA!J$61*($W347^Transportation_LCIA!J$60)+Transportation_LCIA!J$62</f>
        <v>6.3345062329674112E-3</v>
      </c>
      <c r="AG347" s="137">
        <f>Transportation_LCIA!K$61*($W347^Transportation_LCIA!K$60)+Transportation_LCIA!K$62</f>
        <v>9.5964496315269782E-3</v>
      </c>
      <c r="AH347" s="137">
        <f>Transportation_LCIA!L$61*($W347^Transportation_LCIA!L$60)+Transportation_LCIA!L$62</f>
        <v>1.7967476106705156E-4</v>
      </c>
      <c r="AI347" s="137">
        <f>Transportation_LCIA!M$61*($W347^Transportation_LCIA!M$60)+Transportation_LCIA!M$62</f>
        <v>2.0738990871772508E-4</v>
      </c>
      <c r="AJ347" s="137">
        <f>Transportation_LCIA!N$61*($W347^Transportation_LCIA!N$60)+Transportation_LCIA!N$62</f>
        <v>7.6899942106649333E-4</v>
      </c>
      <c r="AK347" s="137">
        <f>Transportation_LCIA!O$61*($W347^Transportation_LCIA!O$60)+Transportation_LCIA!O$62</f>
        <v>4.8651143184579487E-5</v>
      </c>
      <c r="AL347" s="137">
        <f>Transportation_LCIA!P$61*($W347^Transportation_LCIA!P$60)+Transportation_LCIA!P$62</f>
        <v>2.3556109695339234E-8</v>
      </c>
      <c r="AM347" s="137">
        <f>Transportation_LCIA!Q$61*($W347^Transportation_LCIA!Q$60)+Transportation_LCIA!Q$62</f>
        <v>7.1443570584843764E-5</v>
      </c>
      <c r="AN347" s="137">
        <f>Transportation_LCIA!R$61*($W347^Transportation_LCIA!R$60)+Transportation_LCIA!R$62</f>
        <v>2.0615692860190515E-4</v>
      </c>
      <c r="AO347" s="137">
        <f>Transportation_LCIA!S$61*($W347^Transportation_LCIA!S$60)+Transportation_LCIA!S$62</f>
        <v>3.1828350296720298E-6</v>
      </c>
      <c r="AP347" s="137">
        <f>Transportation_LCIA!T$61*($W347^Transportation_LCIA!T$60)+Transportation_LCIA!T$62</f>
        <v>3.1828350296720298E-6</v>
      </c>
      <c r="AQ347" s="137">
        <f>Transportation_LCIA!U$61*($W347^Transportation_LCIA!U$60)+Transportation_LCIA!U$62</f>
        <v>4.3907223131125399E-4</v>
      </c>
      <c r="AR347" s="137">
        <f>Transportation_LCIA!V$61*($W347^Transportation_LCIA!V$60)+Transportation_LCIA!V$62</f>
        <v>1.8587993651001495E-4</v>
      </c>
      <c r="AT347" s="137">
        <f>$W347*Y347+$L347*Summary_LCIA!H$32</f>
        <v>314.57219783747456</v>
      </c>
      <c r="AU347" s="137">
        <f>$W347*Z347+$L347*Summary_LCIA!Q$32</f>
        <v>3177.3687617824257</v>
      </c>
      <c r="AV347" s="137">
        <f>$W347*AA347+$L347*Summary_LCIA!R$32</f>
        <v>1.4120149083084792</v>
      </c>
      <c r="AW347" s="137">
        <f>$W347*AB347+$L347*Summary_LCIA!S$32</f>
        <v>314.50326793747456</v>
      </c>
      <c r="AX347" s="137">
        <f>$W347*AC347+$L347*Summary_LCIA!T$32</f>
        <v>74.328933016135636</v>
      </c>
      <c r="AY347" s="137">
        <f>$W347*AD347+$L347*Summary_LCIA!U$32</f>
        <v>0.61198778715052848</v>
      </c>
      <c r="AZ347" s="137">
        <f>$W347*AE347+$L347*Summary_LCIA!V$32</f>
        <v>7.4888857784121193E-3</v>
      </c>
      <c r="BA347" s="137">
        <f>$W347*AF347+$L347*Summary_LCIA!W$32</f>
        <v>11.178841336928235</v>
      </c>
      <c r="BB347" s="137">
        <f>$W347*AG347+$L347*Summary_LCIA!X$32</f>
        <v>15.472133566996996</v>
      </c>
      <c r="BC347" s="137">
        <f>$W347*AH347+$L347*Summary_LCIA!Y$32</f>
        <v>0.52603530889266381</v>
      </c>
      <c r="BD347" s="137">
        <f>$W347*AI347+$L347*Summary_LCIA!Z$32</f>
        <v>0.3273320490589986</v>
      </c>
      <c r="BE347" s="137">
        <f>$W347*AJ347+$L347*Summary_LCIA!AA$32</f>
        <v>1.5756089424838973</v>
      </c>
      <c r="BF347" s="137">
        <f>$W347*AK347+$L347*Summary_LCIA!AB$32</f>
        <v>7.6297749572638518E-2</v>
      </c>
      <c r="BG347" s="137">
        <f>$W347*AL347+$L347*Summary_LCIA!AC$32</f>
        <v>3.7869284967720298E-5</v>
      </c>
      <c r="BH347" s="137">
        <f>$W347*AM347+$L347*Summary_LCIA!AD$32</f>
        <v>0.11895219076558876</v>
      </c>
      <c r="BI347" s="137">
        <f>$W347*AN347+$L347*Summary_LCIA!AE$32</f>
        <v>0.33856944985202025</v>
      </c>
      <c r="BJ347" s="137">
        <f>$W347*AO347+$L347*Summary_LCIA!AF$32</f>
        <v>1.8198109721921891E-2</v>
      </c>
      <c r="BK347" s="137">
        <f>$W347*AP347+$L347*Summary_LCIA!AG$32</f>
        <v>5.8117029969218907E-3</v>
      </c>
      <c r="BL347" s="137">
        <f>$W347*AQ347+$L347*Summary_LCIA!AH$32</f>
        <v>0.82738447709450813</v>
      </c>
      <c r="BM347" s="137">
        <f>$W347*AR347+$L347*Summary_LCIA!AI$32</f>
        <v>0.30733629043480604</v>
      </c>
    </row>
    <row r="348" spans="1:65" x14ac:dyDescent="0.25">
      <c r="A348" s="149">
        <v>198</v>
      </c>
      <c r="B348" s="149">
        <v>29</v>
      </c>
      <c r="C348" s="61">
        <v>33.875292999999999</v>
      </c>
      <c r="D348" s="61">
        <v>-117.56643800000001</v>
      </c>
      <c r="E348" s="61" t="s">
        <v>265</v>
      </c>
      <c r="F348" s="149">
        <v>102</v>
      </c>
      <c r="G348" s="61" t="s">
        <v>695</v>
      </c>
      <c r="H348" s="61" t="s">
        <v>696</v>
      </c>
      <c r="I348" s="61">
        <v>33.676189999999998</v>
      </c>
      <c r="J348" s="61">
        <v>-117.867476</v>
      </c>
      <c r="K348" s="61">
        <v>43.554003680000001</v>
      </c>
      <c r="L348" s="61">
        <v>47.546999999999997</v>
      </c>
      <c r="M348" s="61" t="s">
        <v>617</v>
      </c>
      <c r="N348" s="149">
        <v>28</v>
      </c>
      <c r="O348" s="149">
        <v>29</v>
      </c>
      <c r="P348" s="61" t="s">
        <v>565</v>
      </c>
      <c r="Q348" s="61" t="s">
        <v>559</v>
      </c>
      <c r="R348" s="61">
        <v>47.450249900000003</v>
      </c>
      <c r="S348" s="61">
        <v>-122.30881650000001</v>
      </c>
      <c r="T348" s="61">
        <v>1885.6669999999999</v>
      </c>
      <c r="U348" s="61" t="s">
        <v>617</v>
      </c>
      <c r="V348" s="61" t="s">
        <v>569</v>
      </c>
      <c r="W348" s="61" cm="1">
        <f t="array" ref="W348">getDistance(I348,J348,R348,S348)*SA!$B$12</f>
        <v>1577.3062133443486</v>
      </c>
      <c r="Y348" s="137">
        <f>Transportation_LCIA!C$61*($W348^Transportation_LCIA!C$60)+Transportation_LCIA!C$62</f>
        <v>0.19623969519849316</v>
      </c>
      <c r="Z348" s="137">
        <f>Transportation_LCIA!D$61*($W348^Transportation_LCIA!D$60)+Transportation_LCIA!D$62</f>
        <v>1.9669297465185211</v>
      </c>
      <c r="AA348" s="137">
        <f>Transportation_LCIA!E$61*($W348^Transportation_LCIA!E$60)+Transportation_LCIA!E$62</f>
        <v>8.4355329917304325E-4</v>
      </c>
      <c r="AB348" s="137">
        <f>Transportation_LCIA!F$61*($W348^Transportation_LCIA!F$60)+Transportation_LCIA!F$62</f>
        <v>0.19623969519849316</v>
      </c>
      <c r="AC348" s="137">
        <f>Transportation_LCIA!G$61*($W348^Transportation_LCIA!G$60)+Transportation_LCIA!G$62</f>
        <v>4.6072868306636899E-2</v>
      </c>
      <c r="AD348" s="137">
        <f>Transportation_LCIA!H$61*($W348^Transportation_LCIA!H$60)+Transportation_LCIA!H$62</f>
        <v>2.1100244649119928E-4</v>
      </c>
      <c r="AE348" s="137">
        <f>Transportation_LCIA!I$61*($W348^Transportation_LCIA!I$60)+Transportation_LCIA!I$62</f>
        <v>4.2775373447784479E-6</v>
      </c>
      <c r="AF348" s="137">
        <f>Transportation_LCIA!J$61*($W348^Transportation_LCIA!J$60)+Transportation_LCIA!J$62</f>
        <v>6.3290582720036473E-3</v>
      </c>
      <c r="AG348" s="137">
        <f>Transportation_LCIA!K$61*($W348^Transportation_LCIA!K$60)+Transportation_LCIA!K$62</f>
        <v>9.5908148240321719E-3</v>
      </c>
      <c r="AH348" s="137">
        <f>Transportation_LCIA!L$61*($W348^Transportation_LCIA!L$60)+Transportation_LCIA!L$62</f>
        <v>1.7953786268847866E-4</v>
      </c>
      <c r="AI348" s="137">
        <f>Transportation_LCIA!M$61*($W348^Transportation_LCIA!M$60)+Transportation_LCIA!M$62</f>
        <v>2.0730735796482862E-4</v>
      </c>
      <c r="AJ348" s="137">
        <f>Transportation_LCIA!N$61*($W348^Transportation_LCIA!N$60)+Transportation_LCIA!N$62</f>
        <v>7.6849549731684277E-4</v>
      </c>
      <c r="AK348" s="137">
        <f>Transportation_LCIA!O$61*($W348^Transportation_LCIA!O$60)+Transportation_LCIA!O$62</f>
        <v>4.8625246874256616E-5</v>
      </c>
      <c r="AL348" s="137">
        <f>Transportation_LCIA!P$61*($W348^Transportation_LCIA!P$60)+Transportation_LCIA!P$62</f>
        <v>2.35436405350321E-8</v>
      </c>
      <c r="AM348" s="137">
        <f>Transportation_LCIA!Q$61*($W348^Transportation_LCIA!Q$60)+Transportation_LCIA!Q$62</f>
        <v>7.1390189463973474E-5</v>
      </c>
      <c r="AN348" s="137">
        <f>Transportation_LCIA!R$61*($W348^Transportation_LCIA!R$60)+Transportation_LCIA!R$62</f>
        <v>2.0597952886028842E-4</v>
      </c>
      <c r="AO348" s="137">
        <f>Transportation_LCIA!S$61*($W348^Transportation_LCIA!S$60)+Transportation_LCIA!S$62</f>
        <v>3.180315338697833E-6</v>
      </c>
      <c r="AP348" s="137">
        <f>Transportation_LCIA!T$61*($W348^Transportation_LCIA!T$60)+Transportation_LCIA!T$62</f>
        <v>3.180315338697833E-6</v>
      </c>
      <c r="AQ348" s="137">
        <f>Transportation_LCIA!U$61*($W348^Transportation_LCIA!U$60)+Transportation_LCIA!U$62</f>
        <v>4.3868450517731573E-4</v>
      </c>
      <c r="AR348" s="137">
        <f>Transportation_LCIA!V$61*($W348^Transportation_LCIA!V$60)+Transportation_LCIA!V$62</f>
        <v>1.8574155523132219E-4</v>
      </c>
      <c r="AT348" s="137">
        <f>$W348*Y348+$L348*Summary_LCIA!H$32</f>
        <v>325.6865611413844</v>
      </c>
      <c r="AU348" s="137">
        <f>$W348*Z348+$L348*Summary_LCIA!Q$32</f>
        <v>3338.0958403333389</v>
      </c>
      <c r="AV348" s="137">
        <f>$W348*AA348+$L348*Summary_LCIA!R$32</f>
        <v>1.5809053432727651</v>
      </c>
      <c r="AW348" s="137">
        <f>$W348*AB348+$L348*Summary_LCIA!S$32</f>
        <v>325.4764034013844</v>
      </c>
      <c r="AX348" s="137">
        <f>$W348*AC348+$L348*Summary_LCIA!T$32</f>
        <v>77.896436746654288</v>
      </c>
      <c r="AY348" s="137">
        <f>$W348*AD348+$L348*Summary_LCIA!U$32</f>
        <v>1.1845724278814269</v>
      </c>
      <c r="AZ348" s="137">
        <f>$W348*AE348+$L348*Summary_LCIA!V$32</f>
        <v>9.0178784987315335E-3</v>
      </c>
      <c r="BA348" s="137">
        <f>$W348*AF348+$L348*Summary_LCIA!W$32</f>
        <v>13.642603074049799</v>
      </c>
      <c r="BB348" s="137">
        <f>$W348*AG348+$L348*Summary_LCIA!X$32</f>
        <v>16.210772472981031</v>
      </c>
      <c r="BC348" s="137">
        <f>$W348*AH348+$L348*Summary_LCIA!Y$32</f>
        <v>1.0240635403491019</v>
      </c>
      <c r="BD348" s="137">
        <f>$W348*AI348+$L348*Summary_LCIA!Z$32</f>
        <v>0.32893703871292523</v>
      </c>
      <c r="BE348" s="137">
        <f>$W348*AJ348+$L348*Summary_LCIA!AA$32</f>
        <v>2.3226604548450114</v>
      </c>
      <c r="BF348" s="137">
        <f>$W348*AK348+$L348*Summary_LCIA!AB$32</f>
        <v>7.5659285839167825E-2</v>
      </c>
      <c r="BG348" s="137">
        <f>$W348*AL348+$L348*Summary_LCIA!AC$32</f>
        <v>3.9459818048651994E-5</v>
      </c>
      <c r="BH348" s="137">
        <f>$W348*AM348+$L348*Summary_LCIA!AD$32</f>
        <v>0.13214790829335563</v>
      </c>
      <c r="BI348" s="137">
        <f>$W348*AN348+$L348*Summary_LCIA!AE$32</f>
        <v>0.36702561380307452</v>
      </c>
      <c r="BJ348" s="137">
        <f>$W348*AO348+$L348*Summary_LCIA!AF$32</f>
        <v>4.5213515884122431E-2</v>
      </c>
      <c r="BK348" s="137">
        <f>$W348*AP348+$L348*Summary_LCIA!AG$32</f>
        <v>7.4490733991224283E-3</v>
      </c>
      <c r="BL348" s="137">
        <f>$W348*AQ348+$L348*Summary_LCIA!AH$32</f>
        <v>1.105769864914071</v>
      </c>
      <c r="BM348" s="137">
        <f>$W348*AR348+$L348*Summary_LCIA!AI$32</f>
        <v>0.33726371699260699</v>
      </c>
    </row>
    <row r="349" spans="1:65" x14ac:dyDescent="0.25">
      <c r="A349" s="149">
        <v>250</v>
      </c>
      <c r="B349" s="149">
        <v>29</v>
      </c>
      <c r="C349" s="61">
        <v>34.048347</v>
      </c>
      <c r="D349" s="61">
        <v>-117.26115299999999</v>
      </c>
      <c r="E349" s="61" t="s">
        <v>265</v>
      </c>
      <c r="F349" s="149">
        <v>117</v>
      </c>
      <c r="G349" s="61" t="s">
        <v>708</v>
      </c>
      <c r="H349" s="61" t="s">
        <v>709</v>
      </c>
      <c r="I349" s="61">
        <v>34.060307000000002</v>
      </c>
      <c r="J349" s="61">
        <v>-117.597893</v>
      </c>
      <c r="K349" s="61">
        <v>36.386226209999997</v>
      </c>
      <c r="L349" s="61">
        <v>34.886000000000003</v>
      </c>
      <c r="M349" s="61" t="s">
        <v>617</v>
      </c>
      <c r="N349" s="149">
        <v>28</v>
      </c>
      <c r="O349" s="149">
        <v>29</v>
      </c>
      <c r="P349" s="61" t="s">
        <v>565</v>
      </c>
      <c r="Q349" s="61" t="s">
        <v>559</v>
      </c>
      <c r="R349" s="61">
        <v>47.450249900000003</v>
      </c>
      <c r="S349" s="61">
        <v>-122.30881650000001</v>
      </c>
      <c r="T349" s="61">
        <v>1906.99</v>
      </c>
      <c r="U349" s="61" t="s">
        <v>617</v>
      </c>
      <c r="V349" s="61" t="s">
        <v>569</v>
      </c>
      <c r="W349" s="61" cm="1">
        <f t="array" ref="W349">getDistance(I349,J349,R349,S349)*SA!$B$12</f>
        <v>1541.2515040035603</v>
      </c>
      <c r="Y349" s="137">
        <f>Transportation_LCIA!C$61*($W349^Transportation_LCIA!C$60)+Transportation_LCIA!C$62</f>
        <v>0.19789202204130318</v>
      </c>
      <c r="Z349" s="137">
        <f>Transportation_LCIA!D$61*($W349^Transportation_LCIA!D$60)+Transportation_LCIA!D$62</f>
        <v>1.9858404941923544</v>
      </c>
      <c r="AA349" s="137">
        <f>Transportation_LCIA!E$61*($W349^Transportation_LCIA!E$60)+Transportation_LCIA!E$62</f>
        <v>8.5591897159041164E-4</v>
      </c>
      <c r="AB349" s="137">
        <f>Transportation_LCIA!F$61*($W349^Transportation_LCIA!F$60)+Transportation_LCIA!F$62</f>
        <v>0.19789202204130318</v>
      </c>
      <c r="AC349" s="137">
        <f>Transportation_LCIA!G$61*($W349^Transportation_LCIA!G$60)+Transportation_LCIA!G$62</f>
        <v>4.6510879990504274E-2</v>
      </c>
      <c r="AD349" s="137">
        <f>Transportation_LCIA!H$61*($W349^Transportation_LCIA!H$60)+Transportation_LCIA!H$62</f>
        <v>2.1369215864063765E-4</v>
      </c>
      <c r="AE349" s="137">
        <f>Transportation_LCIA!I$61*($W349^Transportation_LCIA!I$60)+Transportation_LCIA!I$62</f>
        <v>4.3440777469067945E-6</v>
      </c>
      <c r="AF349" s="137">
        <f>Transportation_LCIA!J$61*($W349^Transportation_LCIA!J$60)+Transportation_LCIA!J$62</f>
        <v>6.427033264431282E-3</v>
      </c>
      <c r="AG349" s="137">
        <f>Transportation_LCIA!K$61*($W349^Transportation_LCIA!K$60)+Transportation_LCIA!K$62</f>
        <v>9.6920600623808841E-3</v>
      </c>
      <c r="AH349" s="137">
        <f>Transportation_LCIA!L$61*($W349^Transportation_LCIA!L$60)+Transportation_LCIA!L$62</f>
        <v>1.8199838218489338E-4</v>
      </c>
      <c r="AI349" s="137">
        <f>Transportation_LCIA!M$61*($W349^Transportation_LCIA!M$60)+Transportation_LCIA!M$62</f>
        <v>2.0879091145014833E-4</v>
      </c>
      <c r="AJ349" s="137">
        <f>Transportation_LCIA!N$61*($W349^Transportation_LCIA!N$60)+Transportation_LCIA!N$62</f>
        <v>7.7755128176193043E-4</v>
      </c>
      <c r="AK349" s="137">
        <f>Transportation_LCIA!O$61*($W349^Transportation_LCIA!O$60)+Transportation_LCIA!O$62</f>
        <v>4.9090441592382919E-5</v>
      </c>
      <c r="AL349" s="137">
        <f>Transportation_LCIA!P$61*($W349^Transportation_LCIA!P$60)+Transportation_LCIA!P$62</f>
        <v>2.3767625432154345E-8</v>
      </c>
      <c r="AM349" s="137">
        <f>Transportation_LCIA!Q$61*($W349^Transportation_LCIA!Q$60)+Transportation_LCIA!Q$62</f>
        <v>7.23496884245991E-5</v>
      </c>
      <c r="AN349" s="137">
        <f>Transportation_LCIA!R$61*($W349^Transportation_LCIA!R$60)+Transportation_LCIA!R$62</f>
        <v>2.0916899529466887E-4</v>
      </c>
      <c r="AO349" s="137">
        <f>Transportation_LCIA!S$61*($W349^Transportation_LCIA!S$60)+Transportation_LCIA!S$62</f>
        <v>3.2256159502390438E-6</v>
      </c>
      <c r="AP349" s="137">
        <f>Transportation_LCIA!T$61*($W349^Transportation_LCIA!T$60)+Transportation_LCIA!T$62</f>
        <v>3.2256159502390438E-6</v>
      </c>
      <c r="AQ349" s="137">
        <f>Transportation_LCIA!U$61*($W349^Transportation_LCIA!U$60)+Transportation_LCIA!U$62</f>
        <v>4.456559879408675E-4</v>
      </c>
      <c r="AR349" s="137">
        <f>Transportation_LCIA!V$61*($W349^Transportation_LCIA!V$60)+Transportation_LCIA!V$62</f>
        <v>1.8822909870757731E-4</v>
      </c>
      <c r="AT349" s="137">
        <f>$W349*Y349+$L349*Summary_LCIA!H$32</f>
        <v>316.85563940146426</v>
      </c>
      <c r="AU349" s="137">
        <f>$W349*Z349+$L349*Summary_LCIA!Q$32</f>
        <v>3233.5764237907779</v>
      </c>
      <c r="AV349" s="137">
        <f>$W349*AA349+$L349*Summary_LCIA!R$32</f>
        <v>1.5028821238689025</v>
      </c>
      <c r="AW349" s="137">
        <f>$W349*AB349+$L349*Summary_LCIA!S$32</f>
        <v>316.70144328146426</v>
      </c>
      <c r="AX349" s="137">
        <f>$W349*AC349+$L349*Summary_LCIA!T$32</f>
        <v>75.518935137893806</v>
      </c>
      <c r="AY349" s="137">
        <f>$W349*AD349+$L349*Summary_LCIA!U$32</f>
        <v>0.95430116489865024</v>
      </c>
      <c r="AZ349" s="137">
        <f>$W349*AE349+$L349*Summary_LCIA!V$32</f>
        <v>8.3615066069284948E-3</v>
      </c>
      <c r="BA349" s="137">
        <f>$W349*AF349+$L349*Summary_LCIA!W$32</f>
        <v>12.590884991085625</v>
      </c>
      <c r="BB349" s="137">
        <f>$W349*AG349+$L349*Summary_LCIA!X$32</f>
        <v>15.732605228037377</v>
      </c>
      <c r="BC349" s="137">
        <f>$W349*AH349+$L349*Summary_LCIA!Y$32</f>
        <v>0.82409893226868181</v>
      </c>
      <c r="BD349" s="137">
        <f>$W349*AI349+$L349*Summary_LCIA!Z$32</f>
        <v>0.32322994626881529</v>
      </c>
      <c r="BE349" s="137">
        <f>$W349*AJ349+$L349*Summary_LCIA!AA$32</f>
        <v>2.0131994984554713</v>
      </c>
      <c r="BF349" s="137">
        <f>$W349*AK349+$L349*Summary_LCIA!AB$32</f>
        <v>7.4899399758459106E-2</v>
      </c>
      <c r="BG349" s="137">
        <f>$W349*AL349+$L349*Summary_LCIA!AC$32</f>
        <v>3.8337255667901152E-5</v>
      </c>
      <c r="BH349" s="137">
        <f>$W349*AM349+$L349*Summary_LCIA!AD$32</f>
        <v>0.12584860753860233</v>
      </c>
      <c r="BI349" s="137">
        <f>$W349*AN349+$L349*Summary_LCIA!AE$32</f>
        <v>0.35329555976882204</v>
      </c>
      <c r="BJ349" s="137">
        <f>$W349*AO349+$L349*Summary_LCIA!AF$32</f>
        <v>3.4464807554643803E-2</v>
      </c>
      <c r="BK349" s="137">
        <f>$W349*AP349+$L349*Summary_LCIA!AG$32</f>
        <v>6.7564276246438E-3</v>
      </c>
      <c r="BL349" s="137">
        <f>$W349*AQ349+$L349*Summary_LCIA!AH$32</f>
        <v>0.99050175128205464</v>
      </c>
      <c r="BM349" s="137">
        <f>$W349*AR349+$L349*Summary_LCIA!AI$32</f>
        <v>0.32260643478028811</v>
      </c>
    </row>
    <row r="350" spans="1:65" x14ac:dyDescent="0.25">
      <c r="A350" s="149">
        <v>267</v>
      </c>
      <c r="B350" s="149">
        <v>43</v>
      </c>
      <c r="C350" s="61">
        <v>26.301392</v>
      </c>
      <c r="D350" s="61">
        <v>-80.632692000000006</v>
      </c>
      <c r="E350" s="61" t="s">
        <v>265</v>
      </c>
      <c r="F350" s="149">
        <v>79</v>
      </c>
      <c r="G350" s="61" t="s">
        <v>711</v>
      </c>
      <c r="H350" s="61" t="s">
        <v>712</v>
      </c>
      <c r="I350" s="61">
        <v>26.074234000000001</v>
      </c>
      <c r="J350" s="61">
        <v>-80.150602000000006</v>
      </c>
      <c r="K350" s="61">
        <v>58.788354300000002</v>
      </c>
      <c r="L350" s="61">
        <v>65.929000000000002</v>
      </c>
      <c r="M350" s="61" t="s">
        <v>617</v>
      </c>
      <c r="N350" s="149">
        <v>42</v>
      </c>
      <c r="O350" s="149">
        <v>43</v>
      </c>
      <c r="P350" s="61" t="s">
        <v>565</v>
      </c>
      <c r="Q350" s="61" t="s">
        <v>555</v>
      </c>
      <c r="R350" s="61">
        <v>40.6895314</v>
      </c>
      <c r="S350" s="61">
        <v>-74.174462399999996</v>
      </c>
      <c r="T350" s="61">
        <v>2006.537</v>
      </c>
      <c r="U350" s="61" t="s">
        <v>617</v>
      </c>
      <c r="V350" s="61" t="s">
        <v>569</v>
      </c>
      <c r="W350" s="61" cm="1">
        <f t="array" ref="W350">getDistance(I350,J350,R350,S350)*SA!$B$12</f>
        <v>1716.1962139614216</v>
      </c>
      <c r="Y350" s="137">
        <f>Transportation_LCIA!C$61*($W350^Transportation_LCIA!C$60)+Transportation_LCIA!C$62</f>
        <v>0.19047416276416362</v>
      </c>
      <c r="Z350" s="137">
        <f>Transportation_LCIA!D$61*($W350^Transportation_LCIA!D$60)+Transportation_LCIA!D$62</f>
        <v>1.9010961669791748</v>
      </c>
      <c r="AA350" s="137">
        <f>Transportation_LCIA!E$61*($W350^Transportation_LCIA!E$60)+Transportation_LCIA!E$62</f>
        <v>8.0053291966334836E-4</v>
      </c>
      <c r="AB350" s="137">
        <f>Transportation_LCIA!F$61*($W350^Transportation_LCIA!F$60)+Transportation_LCIA!F$62</f>
        <v>0.19047416276416362</v>
      </c>
      <c r="AC350" s="137">
        <f>Transportation_LCIA!G$61*($W350^Transportation_LCIA!G$60)+Transportation_LCIA!G$62</f>
        <v>4.4547821942970287E-2</v>
      </c>
      <c r="AD350" s="137">
        <f>Transportation_LCIA!H$61*($W350^Transportation_LCIA!H$60)+Transportation_LCIA!H$62</f>
        <v>2.016568976782098E-4</v>
      </c>
      <c r="AE350" s="137">
        <f>Transportation_LCIA!I$61*($W350^Transportation_LCIA!I$60)+Transportation_LCIA!I$62</f>
        <v>4.0468165124325371E-6</v>
      </c>
      <c r="AF350" s="137">
        <f>Transportation_LCIA!J$61*($W350^Transportation_LCIA!J$60)+Transportation_LCIA!J$62</f>
        <v>5.9898000392593085E-3</v>
      </c>
      <c r="AG350" s="137">
        <f>Transportation_LCIA!K$61*($W350^Transportation_LCIA!K$60)+Transportation_LCIA!K$62</f>
        <v>9.2387159995186881E-3</v>
      </c>
      <c r="AH350" s="137">
        <f>Transportation_LCIA!L$61*($W350^Transportation_LCIA!L$60)+Transportation_LCIA!L$62</f>
        <v>1.7099368687119185E-4</v>
      </c>
      <c r="AI350" s="137">
        <f>Transportation_LCIA!M$61*($W350^Transportation_LCIA!M$60)+Transportation_LCIA!M$62</f>
        <v>2.0215303239330391E-4</v>
      </c>
      <c r="AJ350" s="137">
        <f>Transportation_LCIA!N$61*($W350^Transportation_LCIA!N$60)+Transportation_LCIA!N$62</f>
        <v>7.3702551982918782E-4</v>
      </c>
      <c r="AK350" s="137">
        <f>Transportation_LCIA!O$61*($W350^Transportation_LCIA!O$60)+Transportation_LCIA!O$62</f>
        <v>4.7005658970535678E-5</v>
      </c>
      <c r="AL350" s="137">
        <f>Transportation_LCIA!P$61*($W350^Transportation_LCIA!P$60)+Transportation_LCIA!P$62</f>
        <v>2.2763696942028804E-8</v>
      </c>
      <c r="AM350" s="137">
        <f>Transportation_LCIA!Q$61*($W350^Transportation_LCIA!Q$60)+Transportation_LCIA!Q$62</f>
        <v>6.8059376564174625E-5</v>
      </c>
      <c r="AN350" s="137">
        <f>Transportation_LCIA!R$61*($W350^Transportation_LCIA!R$60)+Transportation_LCIA!R$62</f>
        <v>1.9492099022336534E-4</v>
      </c>
      <c r="AO350" s="137">
        <f>Transportation_LCIA!S$61*($W350^Transportation_LCIA!S$60)+Transportation_LCIA!S$62</f>
        <v>3.0232342334406749E-6</v>
      </c>
      <c r="AP350" s="137">
        <f>Transportation_LCIA!T$61*($W350^Transportation_LCIA!T$60)+Transportation_LCIA!T$62</f>
        <v>3.0232342334406749E-6</v>
      </c>
      <c r="AQ350" s="137">
        <f>Transportation_LCIA!U$61*($W350^Transportation_LCIA!U$60)+Transportation_LCIA!U$62</f>
        <v>4.1452240680880801E-4</v>
      </c>
      <c r="AR350" s="137">
        <f>Transportation_LCIA!V$61*($W350^Transportation_LCIA!V$60)+Transportation_LCIA!V$62</f>
        <v>1.7710980439417036E-4</v>
      </c>
      <c r="AT350" s="137">
        <f>$W350*Y350+$L350*Summary_LCIA!H$32</f>
        <v>349.29371119332916</v>
      </c>
      <c r="AU350" s="137">
        <f>$W350*Z350+$L350*Summary_LCIA!Q$32</f>
        <v>3589.4014931434872</v>
      </c>
      <c r="AV350" s="137">
        <f>$W350*AA350+$L350*Summary_LCIA!R$32</f>
        <v>1.7210273082777214</v>
      </c>
      <c r="AW350" s="137">
        <f>$W350*AB350+$L350*Summary_LCIA!S$32</f>
        <v>349.00230501332919</v>
      </c>
      <c r="AX350" s="137">
        <f>$W350*AC350+$L350*Summary_LCIA!T$32</f>
        <v>83.698400458753142</v>
      </c>
      <c r="AY350" s="137">
        <f>$W350*AD350+$L350*Summary_LCIA!U$32</f>
        <v>1.5271349103145495</v>
      </c>
      <c r="AZ350" s="137">
        <f>$W350*AE350+$L350*Summary_LCIA!V$32</f>
        <v>1.0093966146233284E-2</v>
      </c>
      <c r="BA350" s="137">
        <f>$W350*AF350+$L350*Summary_LCIA!W$32</f>
        <v>15.354293208762799</v>
      </c>
      <c r="BB350" s="137">
        <f>$W350*AG350+$L350*Summary_LCIA!X$32</f>
        <v>17.357312040238781</v>
      </c>
      <c r="BC350" s="137">
        <f>$W350*AH350+$L350*Summary_LCIA!Y$32</f>
        <v>1.3207643960196442</v>
      </c>
      <c r="BD350" s="137">
        <f>$W350*AI350+$L350*Summary_LCIA!Z$32</f>
        <v>0.3496379511952088</v>
      </c>
      <c r="BE350" s="137">
        <f>$W350*AJ350+$L350*Summary_LCIA!AA$32</f>
        <v>2.8047181307238009</v>
      </c>
      <c r="BF350" s="137">
        <f>$W350*AK350+$L350*Summary_LCIA!AB$32</f>
        <v>7.9232165392995074E-2</v>
      </c>
      <c r="BG350" s="137">
        <f>$W350*AL350+$L350*Summary_LCIA!AC$32</f>
        <v>4.2289843743675026E-5</v>
      </c>
      <c r="BH350" s="137">
        <f>$W350*AM350+$L350*Summary_LCIA!AD$32</f>
        <v>0.14390270054401119</v>
      </c>
      <c r="BI350" s="137">
        <f>$W350*AN350+$L350*Summary_LCIA!AE$32</f>
        <v>0.39294433021295083</v>
      </c>
      <c r="BJ350" s="137">
        <f>$W350*AO350+$L350*Summary_LCIA!AF$32</f>
        <v>6.092615832534945E-2</v>
      </c>
      <c r="BK350" s="137">
        <f>$W350*AP350+$L350*Summary_LCIA!AG$32</f>
        <v>8.5617204303494471E-3</v>
      </c>
      <c r="BL350" s="137">
        <f>$W350*AQ350+$L350*Summary_LCIA!AH$32</f>
        <v>1.2852214295674527</v>
      </c>
      <c r="BM350" s="137">
        <f>$W350*AR350+$L350*Summary_LCIA!AI$32</f>
        <v>0.36537133570672309</v>
      </c>
    </row>
    <row r="351" spans="1:65" x14ac:dyDescent="0.25">
      <c r="A351" s="149">
        <v>128</v>
      </c>
      <c r="B351" s="149">
        <v>6</v>
      </c>
      <c r="C351" s="61">
        <v>35.686974999999997</v>
      </c>
      <c r="D351" s="61">
        <v>-105.937799</v>
      </c>
      <c r="E351" s="61" t="s">
        <v>265</v>
      </c>
      <c r="F351" s="149">
        <v>119</v>
      </c>
      <c r="G351" s="61" t="s">
        <v>676</v>
      </c>
      <c r="H351" s="61" t="s">
        <v>677</v>
      </c>
      <c r="I351" s="61">
        <v>35.043332999999997</v>
      </c>
      <c r="J351" s="61">
        <v>-106.612909</v>
      </c>
      <c r="K351" s="61">
        <v>132.83882500000001</v>
      </c>
      <c r="L351" s="61">
        <v>108.321</v>
      </c>
      <c r="M351" s="61" t="s">
        <v>617</v>
      </c>
      <c r="N351" s="149">
        <v>5</v>
      </c>
      <c r="O351" s="149">
        <v>6</v>
      </c>
      <c r="P351" s="61" t="s">
        <v>565</v>
      </c>
      <c r="Q351" s="61" t="s">
        <v>564</v>
      </c>
      <c r="R351" s="61">
        <v>41.98028</v>
      </c>
      <c r="S351" s="61">
        <v>-87.908997900000003</v>
      </c>
      <c r="T351" s="61">
        <v>2036.2829999999999</v>
      </c>
      <c r="U351" s="61" t="s">
        <v>617</v>
      </c>
      <c r="V351" s="61" t="s">
        <v>569</v>
      </c>
      <c r="W351" s="61" cm="1">
        <f t="array" ref="W351">getDistance(I351,J351,R351,S351)*SA!$B$12</f>
        <v>1799.4552047865864</v>
      </c>
      <c r="Y351" s="137">
        <f>Transportation_LCIA!C$61*($W351^Transportation_LCIA!C$60)+Transportation_LCIA!C$62</f>
        <v>0.18741210952832638</v>
      </c>
      <c r="Z351" s="137">
        <f>Transportation_LCIA!D$61*($W351^Transportation_LCIA!D$60)+Transportation_LCIA!D$62</f>
        <v>1.8662325870477474</v>
      </c>
      <c r="AA351" s="137">
        <f>Transportation_LCIA!E$61*($W351^Transportation_LCIA!E$60)+Transportation_LCIA!E$62</f>
        <v>7.7776896386688699E-4</v>
      </c>
      <c r="AB351" s="137">
        <f>Transportation_LCIA!F$61*($W351^Transportation_LCIA!F$60)+Transportation_LCIA!F$62</f>
        <v>0.18741210952832638</v>
      </c>
      <c r="AC351" s="137">
        <f>Transportation_LCIA!G$61*($W351^Transportation_LCIA!G$60)+Transportation_LCIA!G$62</f>
        <v>4.3740065560254671E-2</v>
      </c>
      <c r="AD351" s="137">
        <f>Transportation_LCIA!H$61*($W351^Transportation_LCIA!H$60)+Transportation_LCIA!H$62</f>
        <v>1.9671965094143705E-4</v>
      </c>
      <c r="AE351" s="137">
        <f>Transportation_LCIA!I$61*($W351^Transportation_LCIA!I$60)+Transportation_LCIA!I$62</f>
        <v>3.9252399959835717E-6</v>
      </c>
      <c r="AF351" s="137">
        <f>Transportation_LCIA!J$61*($W351^Transportation_LCIA!J$60)+Transportation_LCIA!J$62</f>
        <v>5.8113308310632269E-3</v>
      </c>
      <c r="AG351" s="137">
        <f>Transportation_LCIA!K$61*($W351^Transportation_LCIA!K$60)+Transportation_LCIA!K$62</f>
        <v>9.0524940156651544E-3</v>
      </c>
      <c r="AH351" s="137">
        <f>Transportation_LCIA!L$61*($W351^Transportation_LCIA!L$60)+Transportation_LCIA!L$62</f>
        <v>1.6648310975722405E-4</v>
      </c>
      <c r="AI351" s="137">
        <f>Transportation_LCIA!M$61*($W351^Transportation_LCIA!M$60)+Transportation_LCIA!M$62</f>
        <v>1.994302427678964E-4</v>
      </c>
      <c r="AJ351" s="137">
        <f>Transportation_LCIA!N$61*($W351^Transportation_LCIA!N$60)+Transportation_LCIA!N$62</f>
        <v>7.2039655470773395E-4</v>
      </c>
      <c r="AK351" s="137">
        <f>Transportation_LCIA!O$61*($W351^Transportation_LCIA!O$60)+Transportation_LCIA!O$62</f>
        <v>4.6147895482909169E-5</v>
      </c>
      <c r="AL351" s="137">
        <f>Transportation_LCIA!P$61*($W351^Transportation_LCIA!P$60)+Transportation_LCIA!P$62</f>
        <v>2.2350536135057485E-8</v>
      </c>
      <c r="AM351" s="137">
        <f>Transportation_LCIA!Q$61*($W351^Transportation_LCIA!Q$60)+Transportation_LCIA!Q$62</f>
        <v>6.6301692188873318E-5</v>
      </c>
      <c r="AN351" s="137">
        <f>Transportation_LCIA!R$61*($W351^Transportation_LCIA!R$60)+Transportation_LCIA!R$62</f>
        <v>1.8909414304345409E-4</v>
      </c>
      <c r="AO351" s="137">
        <f>Transportation_LCIA!S$61*($W351^Transportation_LCIA!S$60)+Transportation_LCIA!S$62</f>
        <v>2.9404571998212598E-6</v>
      </c>
      <c r="AP351" s="137">
        <f>Transportation_LCIA!T$61*($W351^Transportation_LCIA!T$60)+Transportation_LCIA!T$62</f>
        <v>2.9404571998212598E-6</v>
      </c>
      <c r="AQ351" s="137">
        <f>Transportation_LCIA!U$61*($W351^Transportation_LCIA!U$60)+Transportation_LCIA!U$62</f>
        <v>4.0179738274225436E-4</v>
      </c>
      <c r="AR351" s="137">
        <f>Transportation_LCIA!V$61*($W351^Transportation_LCIA!V$60)+Transportation_LCIA!V$62</f>
        <v>1.7255710874272521E-4</v>
      </c>
      <c r="AT351" s="137">
        <f>$W351*Y351+$L351*Summary_LCIA!H$32</f>
        <v>374.04717173078069</v>
      </c>
      <c r="AU351" s="137">
        <f>$W351*Z351+$L351*Summary_LCIA!Q$32</f>
        <v>3895.0462810583981</v>
      </c>
      <c r="AV351" s="137">
        <f>$W351*AA351+$L351*Summary_LCIA!R$32</f>
        <v>1.9699354677517402</v>
      </c>
      <c r="AW351" s="137">
        <f>$W351*AB351+$L351*Summary_LCIA!S$32</f>
        <v>373.56839291078069</v>
      </c>
      <c r="AX351" s="137">
        <f>$W351*AC351+$L351*Summary_LCIA!T$32</f>
        <v>90.612766530106782</v>
      </c>
      <c r="AY351" s="137">
        <f>$W351*AD351+$L351*Summary_LCIA!U$32</f>
        <v>2.2944505937703692</v>
      </c>
      <c r="AZ351" s="137">
        <f>$W351*AE351+$L351*Summary_LCIA!V$32</f>
        <v>1.2236812821809117E-2</v>
      </c>
      <c r="BA351" s="137">
        <f>$W351*AF351+$L351*Summary_LCIA!W$32</f>
        <v>18.794805201693482</v>
      </c>
      <c r="BB351" s="137">
        <f>$W351*AG351+$L351*Summary_LCIA!X$32</f>
        <v>18.757109852788087</v>
      </c>
      <c r="BC351" s="137">
        <f>$W351*AH351+$L351*Summary_LCIA!Y$32</f>
        <v>1.9874367203616934</v>
      </c>
      <c r="BD351" s="137">
        <f>$W351*AI351+$L351*Summary_LCIA!Z$32</f>
        <v>0.36330792422954367</v>
      </c>
      <c r="BE351" s="137">
        <f>$W351*AJ351+$L351*Summary_LCIA!AA$32</f>
        <v>3.8262666058791566</v>
      </c>
      <c r="BF351" s="137">
        <f>$W351*AK351+$L351*Summary_LCIA!AB$32</f>
        <v>8.0677181533668305E-2</v>
      </c>
      <c r="BG351" s="137">
        <f>$W351*AL351+$L351*Summary_LCIA!AC$32</f>
        <v>4.5513952341999866E-5</v>
      </c>
      <c r="BH351" s="137">
        <f>$W351*AM351+$L351*Summary_LCIA!AD$32</f>
        <v>0.16383118893542625</v>
      </c>
      <c r="BI351" s="137">
        <f>$W351*AN351+$L351*Summary_LCIA!AE$32</f>
        <v>0.43625292762420276</v>
      </c>
      <c r="BJ351" s="137">
        <f>$W351*AO351+$L351*Summary_LCIA!AF$32</f>
        <v>9.686796083267056E-2</v>
      </c>
      <c r="BK351" s="137">
        <f>$W351*AP351+$L351*Summary_LCIA!AG$32</f>
        <v>1.0833464977670557E-2</v>
      </c>
      <c r="BL351" s="137">
        <f>$W351*AQ351+$L351*Summary_LCIA!AH$32</f>
        <v>1.6657990472451778</v>
      </c>
      <c r="BM351" s="137">
        <f>$W351*AR351+$L351*Summary_LCIA!AI$32</f>
        <v>0.41141521500002187</v>
      </c>
    </row>
    <row r="352" spans="1:65" x14ac:dyDescent="0.25">
      <c r="A352" s="149">
        <v>127</v>
      </c>
      <c r="B352" s="149">
        <v>6</v>
      </c>
      <c r="C352" s="61">
        <v>35.084386000000002</v>
      </c>
      <c r="D352" s="61">
        <v>-106.65042200000001</v>
      </c>
      <c r="E352" s="61" t="s">
        <v>265</v>
      </c>
      <c r="F352" s="149">
        <v>119</v>
      </c>
      <c r="G352" s="61" t="s">
        <v>676</v>
      </c>
      <c r="H352" s="61" t="s">
        <v>677</v>
      </c>
      <c r="I352" s="61">
        <v>35.043332999999997</v>
      </c>
      <c r="J352" s="61">
        <v>-106.612909</v>
      </c>
      <c r="K352" s="61">
        <v>9.8032842630000001</v>
      </c>
      <c r="L352" s="61">
        <v>7.4539999999999997</v>
      </c>
      <c r="M352" s="61" t="s">
        <v>617</v>
      </c>
      <c r="N352" s="149">
        <v>5</v>
      </c>
      <c r="O352" s="149">
        <v>6</v>
      </c>
      <c r="P352" s="61" t="s">
        <v>565</v>
      </c>
      <c r="Q352" s="61" t="s">
        <v>564</v>
      </c>
      <c r="R352" s="61">
        <v>41.98028</v>
      </c>
      <c r="S352" s="61">
        <v>-87.908997900000003</v>
      </c>
      <c r="T352" s="61">
        <v>2154.0100000000002</v>
      </c>
      <c r="U352" s="61" t="s">
        <v>617</v>
      </c>
      <c r="V352" s="61" t="s">
        <v>569</v>
      </c>
      <c r="W352" s="61" cm="1">
        <f t="array" ref="W352">getDistance(I352,J352,R352,S352)*SA!$B$12</f>
        <v>1799.4552047865864</v>
      </c>
      <c r="Y352" s="137">
        <f>Transportation_LCIA!C$61*($W352^Transportation_LCIA!C$60)+Transportation_LCIA!C$62</f>
        <v>0.18741210952832638</v>
      </c>
      <c r="Z352" s="137">
        <f>Transportation_LCIA!D$61*($W352^Transportation_LCIA!D$60)+Transportation_LCIA!D$62</f>
        <v>1.8662325870477474</v>
      </c>
      <c r="AA352" s="137">
        <f>Transportation_LCIA!E$61*($W352^Transportation_LCIA!E$60)+Transportation_LCIA!E$62</f>
        <v>7.7776896386688699E-4</v>
      </c>
      <c r="AB352" s="137">
        <f>Transportation_LCIA!F$61*($W352^Transportation_LCIA!F$60)+Transportation_LCIA!F$62</f>
        <v>0.18741210952832638</v>
      </c>
      <c r="AC352" s="137">
        <f>Transportation_LCIA!G$61*($W352^Transportation_LCIA!G$60)+Transportation_LCIA!G$62</f>
        <v>4.3740065560254671E-2</v>
      </c>
      <c r="AD352" s="137">
        <f>Transportation_LCIA!H$61*($W352^Transportation_LCIA!H$60)+Transportation_LCIA!H$62</f>
        <v>1.9671965094143705E-4</v>
      </c>
      <c r="AE352" s="137">
        <f>Transportation_LCIA!I$61*($W352^Transportation_LCIA!I$60)+Transportation_LCIA!I$62</f>
        <v>3.9252399959835717E-6</v>
      </c>
      <c r="AF352" s="137">
        <f>Transportation_LCIA!J$61*($W352^Transportation_LCIA!J$60)+Transportation_LCIA!J$62</f>
        <v>5.8113308310632269E-3</v>
      </c>
      <c r="AG352" s="137">
        <f>Transportation_LCIA!K$61*($W352^Transportation_LCIA!K$60)+Transportation_LCIA!K$62</f>
        <v>9.0524940156651544E-3</v>
      </c>
      <c r="AH352" s="137">
        <f>Transportation_LCIA!L$61*($W352^Transportation_LCIA!L$60)+Transportation_LCIA!L$62</f>
        <v>1.6648310975722405E-4</v>
      </c>
      <c r="AI352" s="137">
        <f>Transportation_LCIA!M$61*($W352^Transportation_LCIA!M$60)+Transportation_LCIA!M$62</f>
        <v>1.994302427678964E-4</v>
      </c>
      <c r="AJ352" s="137">
        <f>Transportation_LCIA!N$61*($W352^Transportation_LCIA!N$60)+Transportation_LCIA!N$62</f>
        <v>7.2039655470773395E-4</v>
      </c>
      <c r="AK352" s="137">
        <f>Transportation_LCIA!O$61*($W352^Transportation_LCIA!O$60)+Transportation_LCIA!O$62</f>
        <v>4.6147895482909169E-5</v>
      </c>
      <c r="AL352" s="137">
        <f>Transportation_LCIA!P$61*($W352^Transportation_LCIA!P$60)+Transportation_LCIA!P$62</f>
        <v>2.2350536135057485E-8</v>
      </c>
      <c r="AM352" s="137">
        <f>Transportation_LCIA!Q$61*($W352^Transportation_LCIA!Q$60)+Transportation_LCIA!Q$62</f>
        <v>6.6301692188873318E-5</v>
      </c>
      <c r="AN352" s="137">
        <f>Transportation_LCIA!R$61*($W352^Transportation_LCIA!R$60)+Transportation_LCIA!R$62</f>
        <v>1.8909414304345409E-4</v>
      </c>
      <c r="AO352" s="137">
        <f>Transportation_LCIA!S$61*($W352^Transportation_LCIA!S$60)+Transportation_LCIA!S$62</f>
        <v>2.9404571998212598E-6</v>
      </c>
      <c r="AP352" s="137">
        <f>Transportation_LCIA!T$61*($W352^Transportation_LCIA!T$60)+Transportation_LCIA!T$62</f>
        <v>2.9404571998212598E-6</v>
      </c>
      <c r="AQ352" s="137">
        <f>Transportation_LCIA!U$61*($W352^Transportation_LCIA!U$60)+Transportation_LCIA!U$62</f>
        <v>4.0179738274225436E-4</v>
      </c>
      <c r="AR352" s="137">
        <f>Transportation_LCIA!V$61*($W352^Transportation_LCIA!V$60)+Transportation_LCIA!V$62</f>
        <v>1.7255710874272521E-4</v>
      </c>
      <c r="AT352" s="137">
        <f>$W352*Y352+$L352*Summary_LCIA!H$32</f>
        <v>339.77256513078066</v>
      </c>
      <c r="AU352" s="137">
        <f>$W352*Z352+$L352*Summary_LCIA!Q$32</f>
        <v>3395.144342032987</v>
      </c>
      <c r="AV352" s="137">
        <f>$W352*AA352+$L352*Summary_LCIA!R$32</f>
        <v>1.4388101925517403</v>
      </c>
      <c r="AW352" s="137">
        <f>$W352*AB352+$L352*Summary_LCIA!S$32</f>
        <v>339.73961845078065</v>
      </c>
      <c r="AX352" s="137">
        <f>$W352*AC352+$L352*Summary_LCIA!T$32</f>
        <v>79.527483230106782</v>
      </c>
      <c r="AY352" s="137">
        <f>$W352*AD352+$L352*Summary_LCIA!U$32</f>
        <v>0.48751915577036936</v>
      </c>
      <c r="AZ352" s="137">
        <f>$W352*AE352+$L352*Summary_LCIA!V$32</f>
        <v>7.4193040348091172E-3</v>
      </c>
      <c r="BA352" s="137">
        <f>$W352*AF352+$L352*Summary_LCIA!W$32</f>
        <v>11.030971344693482</v>
      </c>
      <c r="BB352" s="137">
        <f>$W352*AG352+$L352*Summary_LCIA!X$32</f>
        <v>16.459359592788086</v>
      </c>
      <c r="BC352" s="137">
        <f>$W352*AH352+$L352*Summary_LCIA!Y$32</f>
        <v>0.41572712636169329</v>
      </c>
      <c r="BD352" s="137">
        <f>$W352*AI352+$L352*Summary_LCIA!Z$32</f>
        <v>0.35917146942654365</v>
      </c>
      <c r="BE352" s="137">
        <f>$W352*AJ352+$L352*Summary_LCIA!AA$32</f>
        <v>1.4704169538791567</v>
      </c>
      <c r="BF352" s="137">
        <f>$W352*AK352+$L352*Summary_LCIA!AB$32</f>
        <v>8.2878402074668303E-2</v>
      </c>
      <c r="BG352" s="137">
        <f>$W352*AL352+$L352*Summary_LCIA!AC$32</f>
        <v>4.0583169913999863E-5</v>
      </c>
      <c r="BH352" s="137">
        <f>$W352*AM352+$L352*Summary_LCIA!AD$32</f>
        <v>0.12237081725542624</v>
      </c>
      <c r="BI352" s="137">
        <f>$W352*AN352+$L352*Summary_LCIA!AE$32</f>
        <v>0.34687165291420274</v>
      </c>
      <c r="BJ352" s="137">
        <f>$W352*AO352+$L352*Summary_LCIA!AF$32</f>
        <v>1.1592981692670557E-2</v>
      </c>
      <c r="BK352" s="137">
        <f>$W352*AP352+$L352*Summary_LCIA!AG$32</f>
        <v>5.6726049226705566E-3</v>
      </c>
      <c r="BL352" s="137">
        <f>$W352*AQ352+$L352*Summary_LCIA!AH$32</f>
        <v>0.78789302604517775</v>
      </c>
      <c r="BM352" s="137">
        <f>$W352*AR352+$L352*Summary_LCIA!AI$32</f>
        <v>0.31745256115002185</v>
      </c>
    </row>
    <row r="353" spans="1:65" x14ac:dyDescent="0.25">
      <c r="A353" s="149">
        <v>93</v>
      </c>
      <c r="B353" s="149">
        <v>29</v>
      </c>
      <c r="C353" s="61">
        <v>33.452956999999998</v>
      </c>
      <c r="D353" s="61">
        <v>-112.07345100000001</v>
      </c>
      <c r="E353" s="61" t="s">
        <v>265</v>
      </c>
      <c r="F353" s="149">
        <v>44</v>
      </c>
      <c r="G353" s="61" t="s">
        <v>565</v>
      </c>
      <c r="H353" s="61" t="s">
        <v>668</v>
      </c>
      <c r="I353" s="61">
        <v>33.437269000000001</v>
      </c>
      <c r="J353" s="61">
        <v>-112.00778800000001</v>
      </c>
      <c r="K353" s="61">
        <v>8.2391779819999993</v>
      </c>
      <c r="L353" s="61">
        <v>9.9589999999999996</v>
      </c>
      <c r="M353" s="61" t="s">
        <v>617</v>
      </c>
      <c r="N353" s="149">
        <v>28</v>
      </c>
      <c r="O353" s="149">
        <v>29</v>
      </c>
      <c r="P353" s="61" t="s">
        <v>565</v>
      </c>
      <c r="Q353" s="61" t="s">
        <v>559</v>
      </c>
      <c r="R353" s="61">
        <v>47.450249900000003</v>
      </c>
      <c r="S353" s="61">
        <v>-122.30881650000001</v>
      </c>
      <c r="T353" s="61">
        <v>2284.4209999999998</v>
      </c>
      <c r="U353" s="61" t="s">
        <v>617</v>
      </c>
      <c r="V353" s="61" t="s">
        <v>569</v>
      </c>
      <c r="W353" s="61" cm="1">
        <f t="array" ref="W353">getDistance(I353,J353,R353,S353)*SA!$B$12</f>
        <v>1783.6730536767511</v>
      </c>
      <c r="Y353" s="137">
        <f>Transportation_LCIA!C$61*($W353^Transportation_LCIA!C$60)+Transportation_LCIA!C$62</f>
        <v>0.1879723325118885</v>
      </c>
      <c r="Z353" s="137">
        <f>Transportation_LCIA!D$61*($W353^Transportation_LCIA!D$60)+Transportation_LCIA!D$62</f>
        <v>1.872605730175245</v>
      </c>
      <c r="AA353" s="137">
        <f>Transportation_LCIA!E$61*($W353^Transportation_LCIA!E$60)+Transportation_LCIA!E$62</f>
        <v>7.8192928066591564E-4</v>
      </c>
      <c r="AB353" s="137">
        <f>Transportation_LCIA!F$61*($W353^Transportation_LCIA!F$60)+Transportation_LCIA!F$62</f>
        <v>0.1879723325118885</v>
      </c>
      <c r="AC353" s="137">
        <f>Transportation_LCIA!G$61*($W353^Transportation_LCIA!G$60)+Transportation_LCIA!G$62</f>
        <v>4.3887732565900325E-2</v>
      </c>
      <c r="AD353" s="137">
        <f>Transportation_LCIA!H$61*($W353^Transportation_LCIA!H$60)+Transportation_LCIA!H$62</f>
        <v>1.9762155419423763E-4</v>
      </c>
      <c r="AE353" s="137">
        <f>Transportation_LCIA!I$61*($W353^Transportation_LCIA!I$60)+Transportation_LCIA!I$62</f>
        <v>3.9474320185745191E-6</v>
      </c>
      <c r="AF353" s="137">
        <f>Transportation_LCIA!J$61*($W353^Transportation_LCIA!J$60)+Transportation_LCIA!J$62</f>
        <v>5.8438917146360243E-3</v>
      </c>
      <c r="AG353" s="137">
        <f>Transportation_LCIA!K$61*($W353^Transportation_LCIA!K$60)+Transportation_LCIA!K$62</f>
        <v>9.0865229873416768E-3</v>
      </c>
      <c r="AH353" s="137">
        <f>Transportation_LCIA!L$61*($W353^Transportation_LCIA!L$60)+Transportation_LCIA!L$62</f>
        <v>1.6730689472915853E-4</v>
      </c>
      <c r="AI353" s="137">
        <f>Transportation_LCIA!M$61*($W353^Transportation_LCIA!M$60)+Transportation_LCIA!M$62</f>
        <v>1.9992761108760405E-4</v>
      </c>
      <c r="AJ353" s="137">
        <f>Transportation_LCIA!N$61*($W353^Transportation_LCIA!N$60)+Transportation_LCIA!N$62</f>
        <v>7.2343440522825667E-4</v>
      </c>
      <c r="AK353" s="137">
        <f>Transportation_LCIA!O$61*($W353^Transportation_LCIA!O$60)+Transportation_LCIA!O$62</f>
        <v>4.630470071623825E-5</v>
      </c>
      <c r="AL353" s="137">
        <f>Transportation_LCIA!P$61*($W353^Transportation_LCIA!P$60)+Transportation_LCIA!P$62</f>
        <v>2.2426069594711117E-8</v>
      </c>
      <c r="AM353" s="137">
        <f>Transportation_LCIA!Q$61*($W353^Transportation_LCIA!Q$60)+Transportation_LCIA!Q$62</f>
        <v>6.6622668045729561E-5</v>
      </c>
      <c r="AN353" s="137">
        <f>Transportation_LCIA!R$61*($W353^Transportation_LCIA!R$60)+Transportation_LCIA!R$62</f>
        <v>1.9015772973181923E-4</v>
      </c>
      <c r="AO353" s="137">
        <f>Transportation_LCIA!S$61*($W353^Transportation_LCIA!S$60)+Transportation_LCIA!S$62</f>
        <v>2.9555671770179668E-6</v>
      </c>
      <c r="AP353" s="137">
        <f>Transportation_LCIA!T$61*($W353^Transportation_LCIA!T$60)+Transportation_LCIA!T$62</f>
        <v>2.9555671770179668E-6</v>
      </c>
      <c r="AQ353" s="137">
        <f>Transportation_LCIA!U$61*($W353^Transportation_LCIA!U$60)+Transportation_LCIA!U$62</f>
        <v>4.0411977547161583E-4</v>
      </c>
      <c r="AR353" s="137">
        <f>Transportation_LCIA!V$61*($W353^Transportation_LCIA!V$60)+Transportation_LCIA!V$62</f>
        <v>1.7338836559723756E-4</v>
      </c>
      <c r="AT353" s="137">
        <f>$W353*Y353+$L353*Summary_LCIA!H$32</f>
        <v>338.66525253822181</v>
      </c>
      <c r="AU353" s="137">
        <f>$W353*Z353+$L353*Summary_LCIA!Q$32</f>
        <v>3389.4736873365082</v>
      </c>
      <c r="AV353" s="137">
        <f>$W353*AA353+$L353*Summary_LCIA!R$32</f>
        <v>1.4471462982046392</v>
      </c>
      <c r="AW353" s="137">
        <f>$W353*AB353+$L353*Summary_LCIA!S$32</f>
        <v>338.62123375822182</v>
      </c>
      <c r="AX353" s="137">
        <f>$W353*AC353+$L353*Summary_LCIA!T$32</f>
        <v>79.375860064768034</v>
      </c>
      <c r="AY353" s="137">
        <f>$W353*AD353+$L353*Summary_LCIA!U$32</f>
        <v>0.53089776704198144</v>
      </c>
      <c r="AZ353" s="137">
        <f>$W353*AE353+$L353*Summary_LCIA!V$32</f>
        <v>7.5165799217521943E-3</v>
      </c>
      <c r="BA353" s="137">
        <f>$W353*AF353+$L353*Summary_LCIA!W$32</f>
        <v>11.190146369001104</v>
      </c>
      <c r="BB353" s="137">
        <f>$W353*AG353+$L353*Summary_LCIA!X$32</f>
        <v>16.434252224135722</v>
      </c>
      <c r="BC353" s="137">
        <f>$W353*AH353+$L353*Summary_LCIA!Y$32</f>
        <v>0.45360193782273295</v>
      </c>
      <c r="BD353" s="137">
        <f>$W353*AI353+$L353*Summary_LCIA!Z$32</f>
        <v>0.35701390121392462</v>
      </c>
      <c r="BE353" s="137">
        <f>$W353*AJ353+$L353*Summary_LCIA!AA$32</f>
        <v>1.5229728587083087</v>
      </c>
      <c r="BF353" s="137">
        <f>$W353*AK353+$L353*Summary_LCIA!AB$32</f>
        <v>8.2375111669120718E-2</v>
      </c>
      <c r="BG353" s="137">
        <f>$W353*AL353+$L353*Summary_LCIA!AC$32</f>
        <v>4.0487611791965714E-5</v>
      </c>
      <c r="BH353" s="137">
        <f>$W353*AM353+$L353*Summary_LCIA!AD$32</f>
        <v>0.12292660511721896</v>
      </c>
      <c r="BI353" s="137">
        <f>$W353*AN353+$L353*Summary_LCIA!AE$32</f>
        <v>0.34800418714099235</v>
      </c>
      <c r="BJ353" s="137">
        <f>$W353*AO353+$L353*Summary_LCIA!AF$32</f>
        <v>1.369130331197841E-2</v>
      </c>
      <c r="BK353" s="137">
        <f>$W353*AP353+$L353*Summary_LCIA!AG$32</f>
        <v>5.7813177669784116E-3</v>
      </c>
      <c r="BL353" s="137">
        <f>$W353*AQ353+$L353*Summary_LCIA!AH$32</f>
        <v>0.80749670636662008</v>
      </c>
      <c r="BM353" s="137">
        <f>$W353*AR353+$L353*Summary_LCIA!AI$32</f>
        <v>0.31854546198684569</v>
      </c>
    </row>
    <row r="354" spans="1:65" x14ac:dyDescent="0.25">
      <c r="A354" s="149">
        <v>94</v>
      </c>
      <c r="B354" s="149">
        <v>29</v>
      </c>
      <c r="C354" s="61">
        <v>33.452956999999998</v>
      </c>
      <c r="D354" s="61">
        <v>-112.07345100000001</v>
      </c>
      <c r="E354" s="61" t="s">
        <v>265</v>
      </c>
      <c r="F354" s="149">
        <v>44</v>
      </c>
      <c r="G354" s="61" t="s">
        <v>565</v>
      </c>
      <c r="H354" s="61" t="s">
        <v>668</v>
      </c>
      <c r="I354" s="61">
        <v>33.437269000000001</v>
      </c>
      <c r="J354" s="61">
        <v>-112.00778800000001</v>
      </c>
      <c r="K354" s="61">
        <v>8.2391779819999993</v>
      </c>
      <c r="L354" s="61">
        <v>9.9589999999999996</v>
      </c>
      <c r="M354" s="61" t="s">
        <v>617</v>
      </c>
      <c r="N354" s="149">
        <v>28</v>
      </c>
      <c r="O354" s="149">
        <v>29</v>
      </c>
      <c r="P354" s="61" t="s">
        <v>565</v>
      </c>
      <c r="Q354" s="61" t="s">
        <v>559</v>
      </c>
      <c r="R354" s="61">
        <v>47.450249900000003</v>
      </c>
      <c r="S354" s="61">
        <v>-122.30881650000001</v>
      </c>
      <c r="T354" s="61">
        <v>2284.4209999999998</v>
      </c>
      <c r="U354" s="61" t="s">
        <v>617</v>
      </c>
      <c r="V354" s="61" t="s">
        <v>569</v>
      </c>
      <c r="W354" s="61" cm="1">
        <f t="array" ref="W354">getDistance(I354,J354,R354,S354)*SA!$B$12</f>
        <v>1783.6730536767511</v>
      </c>
      <c r="Y354" s="137">
        <f>Transportation_LCIA!C$61*($W354^Transportation_LCIA!C$60)+Transportation_LCIA!C$62</f>
        <v>0.1879723325118885</v>
      </c>
      <c r="Z354" s="137">
        <f>Transportation_LCIA!D$61*($W354^Transportation_LCIA!D$60)+Transportation_LCIA!D$62</f>
        <v>1.872605730175245</v>
      </c>
      <c r="AA354" s="137">
        <f>Transportation_LCIA!E$61*($W354^Transportation_LCIA!E$60)+Transportation_LCIA!E$62</f>
        <v>7.8192928066591564E-4</v>
      </c>
      <c r="AB354" s="137">
        <f>Transportation_LCIA!F$61*($W354^Transportation_LCIA!F$60)+Transportation_LCIA!F$62</f>
        <v>0.1879723325118885</v>
      </c>
      <c r="AC354" s="137">
        <f>Transportation_LCIA!G$61*($W354^Transportation_LCIA!G$60)+Transportation_LCIA!G$62</f>
        <v>4.3887732565900325E-2</v>
      </c>
      <c r="AD354" s="137">
        <f>Transportation_LCIA!H$61*($W354^Transportation_LCIA!H$60)+Transportation_LCIA!H$62</f>
        <v>1.9762155419423763E-4</v>
      </c>
      <c r="AE354" s="137">
        <f>Transportation_LCIA!I$61*($W354^Transportation_LCIA!I$60)+Transportation_LCIA!I$62</f>
        <v>3.9474320185745191E-6</v>
      </c>
      <c r="AF354" s="137">
        <f>Transportation_LCIA!J$61*($W354^Transportation_LCIA!J$60)+Transportation_LCIA!J$62</f>
        <v>5.8438917146360243E-3</v>
      </c>
      <c r="AG354" s="137">
        <f>Transportation_LCIA!K$61*($W354^Transportation_LCIA!K$60)+Transportation_LCIA!K$62</f>
        <v>9.0865229873416768E-3</v>
      </c>
      <c r="AH354" s="137">
        <f>Transportation_LCIA!L$61*($W354^Transportation_LCIA!L$60)+Transportation_LCIA!L$62</f>
        <v>1.6730689472915853E-4</v>
      </c>
      <c r="AI354" s="137">
        <f>Transportation_LCIA!M$61*($W354^Transportation_LCIA!M$60)+Transportation_LCIA!M$62</f>
        <v>1.9992761108760405E-4</v>
      </c>
      <c r="AJ354" s="137">
        <f>Transportation_LCIA!N$61*($W354^Transportation_LCIA!N$60)+Transportation_LCIA!N$62</f>
        <v>7.2343440522825667E-4</v>
      </c>
      <c r="AK354" s="137">
        <f>Transportation_LCIA!O$61*($W354^Transportation_LCIA!O$60)+Transportation_LCIA!O$62</f>
        <v>4.630470071623825E-5</v>
      </c>
      <c r="AL354" s="137">
        <f>Transportation_LCIA!P$61*($W354^Transportation_LCIA!P$60)+Transportation_LCIA!P$62</f>
        <v>2.2426069594711117E-8</v>
      </c>
      <c r="AM354" s="137">
        <f>Transportation_LCIA!Q$61*($W354^Transportation_LCIA!Q$60)+Transportation_LCIA!Q$62</f>
        <v>6.6622668045729561E-5</v>
      </c>
      <c r="AN354" s="137">
        <f>Transportation_LCIA!R$61*($W354^Transportation_LCIA!R$60)+Transportation_LCIA!R$62</f>
        <v>1.9015772973181923E-4</v>
      </c>
      <c r="AO354" s="137">
        <f>Transportation_LCIA!S$61*($W354^Transportation_LCIA!S$60)+Transportation_LCIA!S$62</f>
        <v>2.9555671770179668E-6</v>
      </c>
      <c r="AP354" s="137">
        <f>Transportation_LCIA!T$61*($W354^Transportation_LCIA!T$60)+Transportation_LCIA!T$62</f>
        <v>2.9555671770179668E-6</v>
      </c>
      <c r="AQ354" s="137">
        <f>Transportation_LCIA!U$61*($W354^Transportation_LCIA!U$60)+Transportation_LCIA!U$62</f>
        <v>4.0411977547161583E-4</v>
      </c>
      <c r="AR354" s="137">
        <f>Transportation_LCIA!V$61*($W354^Transportation_LCIA!V$60)+Transportation_LCIA!V$62</f>
        <v>1.7338836559723756E-4</v>
      </c>
      <c r="AT354" s="137">
        <f>$W354*Y354+$L354*Summary_LCIA!H$32</f>
        <v>338.66525253822181</v>
      </c>
      <c r="AU354" s="137">
        <f>$W354*Z354+$L354*Summary_LCIA!Q$32</f>
        <v>3389.4736873365082</v>
      </c>
      <c r="AV354" s="137">
        <f>$W354*AA354+$L354*Summary_LCIA!R$32</f>
        <v>1.4471462982046392</v>
      </c>
      <c r="AW354" s="137">
        <f>$W354*AB354+$L354*Summary_LCIA!S$32</f>
        <v>338.62123375822182</v>
      </c>
      <c r="AX354" s="137">
        <f>$W354*AC354+$L354*Summary_LCIA!T$32</f>
        <v>79.375860064768034</v>
      </c>
      <c r="AY354" s="137">
        <f>$W354*AD354+$L354*Summary_LCIA!U$32</f>
        <v>0.53089776704198144</v>
      </c>
      <c r="AZ354" s="137">
        <f>$W354*AE354+$L354*Summary_LCIA!V$32</f>
        <v>7.5165799217521943E-3</v>
      </c>
      <c r="BA354" s="137">
        <f>$W354*AF354+$L354*Summary_LCIA!W$32</f>
        <v>11.190146369001104</v>
      </c>
      <c r="BB354" s="137">
        <f>$W354*AG354+$L354*Summary_LCIA!X$32</f>
        <v>16.434252224135722</v>
      </c>
      <c r="BC354" s="137">
        <f>$W354*AH354+$L354*Summary_LCIA!Y$32</f>
        <v>0.45360193782273295</v>
      </c>
      <c r="BD354" s="137">
        <f>$W354*AI354+$L354*Summary_LCIA!Z$32</f>
        <v>0.35701390121392462</v>
      </c>
      <c r="BE354" s="137">
        <f>$W354*AJ354+$L354*Summary_LCIA!AA$32</f>
        <v>1.5229728587083087</v>
      </c>
      <c r="BF354" s="137">
        <f>$W354*AK354+$L354*Summary_LCIA!AB$32</f>
        <v>8.2375111669120718E-2</v>
      </c>
      <c r="BG354" s="137">
        <f>$W354*AL354+$L354*Summary_LCIA!AC$32</f>
        <v>4.0487611791965714E-5</v>
      </c>
      <c r="BH354" s="137">
        <f>$W354*AM354+$L354*Summary_LCIA!AD$32</f>
        <v>0.12292660511721896</v>
      </c>
      <c r="BI354" s="137">
        <f>$W354*AN354+$L354*Summary_LCIA!AE$32</f>
        <v>0.34800418714099235</v>
      </c>
      <c r="BJ354" s="137">
        <f>$W354*AO354+$L354*Summary_LCIA!AF$32</f>
        <v>1.369130331197841E-2</v>
      </c>
      <c r="BK354" s="137">
        <f>$W354*AP354+$L354*Summary_LCIA!AG$32</f>
        <v>5.7813177669784116E-3</v>
      </c>
      <c r="BL354" s="137">
        <f>$W354*AQ354+$L354*Summary_LCIA!AH$32</f>
        <v>0.80749670636662008</v>
      </c>
      <c r="BM354" s="137">
        <f>$W354*AR354+$L354*Summary_LCIA!AI$32</f>
        <v>0.31854546198684569</v>
      </c>
    </row>
    <row r="355" spans="1:65" x14ac:dyDescent="0.25">
      <c r="A355" s="149">
        <v>357</v>
      </c>
      <c r="B355" s="149">
        <v>29</v>
      </c>
      <c r="C355" s="61">
        <v>33.436664999999998</v>
      </c>
      <c r="D355" s="61">
        <v>-111.940325</v>
      </c>
      <c r="E355" s="61" t="s">
        <v>265</v>
      </c>
      <c r="F355" s="149">
        <v>44</v>
      </c>
      <c r="G355" s="61" t="s">
        <v>565</v>
      </c>
      <c r="H355" s="61" t="s">
        <v>668</v>
      </c>
      <c r="I355" s="61">
        <v>33.437269000000001</v>
      </c>
      <c r="J355" s="61">
        <v>-112.00778800000001</v>
      </c>
      <c r="K355" s="61">
        <v>6.7490779520000004</v>
      </c>
      <c r="L355" s="61">
        <v>9.0399999999999991</v>
      </c>
      <c r="M355" s="61" t="s">
        <v>617</v>
      </c>
      <c r="N355" s="149">
        <v>28</v>
      </c>
      <c r="O355" s="149">
        <v>29</v>
      </c>
      <c r="P355" s="61" t="s">
        <v>565</v>
      </c>
      <c r="Q355" s="61" t="s">
        <v>559</v>
      </c>
      <c r="R355" s="61">
        <v>47.450249900000003</v>
      </c>
      <c r="S355" s="61">
        <v>-122.30881650000001</v>
      </c>
      <c r="T355" s="61">
        <v>2297.2220000000002</v>
      </c>
      <c r="U355" s="61" t="s">
        <v>617</v>
      </c>
      <c r="V355" s="61" t="s">
        <v>569</v>
      </c>
      <c r="W355" s="61" cm="1">
        <f t="array" ref="W355">getDistance(I355,J355,R355,S355)*SA!$B$12</f>
        <v>1783.6730536767511</v>
      </c>
      <c r="Y355" s="137">
        <f>Transportation_LCIA!C$61*($W355^Transportation_LCIA!C$60)+Transportation_LCIA!C$62</f>
        <v>0.1879723325118885</v>
      </c>
      <c r="Z355" s="137">
        <f>Transportation_LCIA!D$61*($W355^Transportation_LCIA!D$60)+Transportation_LCIA!D$62</f>
        <v>1.872605730175245</v>
      </c>
      <c r="AA355" s="137">
        <f>Transportation_LCIA!E$61*($W355^Transportation_LCIA!E$60)+Transportation_LCIA!E$62</f>
        <v>7.8192928066591564E-4</v>
      </c>
      <c r="AB355" s="137">
        <f>Transportation_LCIA!F$61*($W355^Transportation_LCIA!F$60)+Transportation_LCIA!F$62</f>
        <v>0.1879723325118885</v>
      </c>
      <c r="AC355" s="137">
        <f>Transportation_LCIA!G$61*($W355^Transportation_LCIA!G$60)+Transportation_LCIA!G$62</f>
        <v>4.3887732565900325E-2</v>
      </c>
      <c r="AD355" s="137">
        <f>Transportation_LCIA!H$61*($W355^Transportation_LCIA!H$60)+Transportation_LCIA!H$62</f>
        <v>1.9762155419423763E-4</v>
      </c>
      <c r="AE355" s="137">
        <f>Transportation_LCIA!I$61*($W355^Transportation_LCIA!I$60)+Transportation_LCIA!I$62</f>
        <v>3.9474320185745191E-6</v>
      </c>
      <c r="AF355" s="137">
        <f>Transportation_LCIA!J$61*($W355^Transportation_LCIA!J$60)+Transportation_LCIA!J$62</f>
        <v>5.8438917146360243E-3</v>
      </c>
      <c r="AG355" s="137">
        <f>Transportation_LCIA!K$61*($W355^Transportation_LCIA!K$60)+Transportation_LCIA!K$62</f>
        <v>9.0865229873416768E-3</v>
      </c>
      <c r="AH355" s="137">
        <f>Transportation_LCIA!L$61*($W355^Transportation_LCIA!L$60)+Transportation_LCIA!L$62</f>
        <v>1.6730689472915853E-4</v>
      </c>
      <c r="AI355" s="137">
        <f>Transportation_LCIA!M$61*($W355^Transportation_LCIA!M$60)+Transportation_LCIA!M$62</f>
        <v>1.9992761108760405E-4</v>
      </c>
      <c r="AJ355" s="137">
        <f>Transportation_LCIA!N$61*($W355^Transportation_LCIA!N$60)+Transportation_LCIA!N$62</f>
        <v>7.2343440522825667E-4</v>
      </c>
      <c r="AK355" s="137">
        <f>Transportation_LCIA!O$61*($W355^Transportation_LCIA!O$60)+Transportation_LCIA!O$62</f>
        <v>4.630470071623825E-5</v>
      </c>
      <c r="AL355" s="137">
        <f>Transportation_LCIA!P$61*($W355^Transportation_LCIA!P$60)+Transportation_LCIA!P$62</f>
        <v>2.2426069594711117E-8</v>
      </c>
      <c r="AM355" s="137">
        <f>Transportation_LCIA!Q$61*($W355^Transportation_LCIA!Q$60)+Transportation_LCIA!Q$62</f>
        <v>6.6622668045729561E-5</v>
      </c>
      <c r="AN355" s="137">
        <f>Transportation_LCIA!R$61*($W355^Transportation_LCIA!R$60)+Transportation_LCIA!R$62</f>
        <v>1.9015772973181923E-4</v>
      </c>
      <c r="AO355" s="137">
        <f>Transportation_LCIA!S$61*($W355^Transportation_LCIA!S$60)+Transportation_LCIA!S$62</f>
        <v>2.9555671770179668E-6</v>
      </c>
      <c r="AP355" s="137">
        <f>Transportation_LCIA!T$61*($W355^Transportation_LCIA!T$60)+Transportation_LCIA!T$62</f>
        <v>2.9555671770179668E-6</v>
      </c>
      <c r="AQ355" s="137">
        <f>Transportation_LCIA!U$61*($W355^Transportation_LCIA!U$60)+Transportation_LCIA!U$62</f>
        <v>4.0411977547161583E-4</v>
      </c>
      <c r="AR355" s="137">
        <f>Transportation_LCIA!V$61*($W355^Transportation_LCIA!V$60)+Transportation_LCIA!V$62</f>
        <v>1.7338836559723756E-4</v>
      </c>
      <c r="AT355" s="137">
        <f>$W355*Y355+$L355*Summary_LCIA!H$32</f>
        <v>338.35297633822182</v>
      </c>
      <c r="AU355" s="137">
        <f>$W355*Z355+$L355*Summary_LCIA!Q$32</f>
        <v>3384.9190769885813</v>
      </c>
      <c r="AV355" s="137">
        <f>$W355*AA355+$L355*Summary_LCIA!R$32</f>
        <v>1.4423072118046392</v>
      </c>
      <c r="AW355" s="137">
        <f>$W355*AB355+$L355*Summary_LCIA!S$32</f>
        <v>338.31301953822179</v>
      </c>
      <c r="AX355" s="137">
        <f>$W355*AC355+$L355*Summary_LCIA!T$32</f>
        <v>79.274861964768021</v>
      </c>
      <c r="AY355" s="137">
        <f>$W355*AD355+$L355*Summary_LCIA!U$32</f>
        <v>0.51443480104198136</v>
      </c>
      <c r="AZ355" s="137">
        <f>$W355*AE355+$L355*Summary_LCIA!V$32</f>
        <v>7.4726875627521942E-3</v>
      </c>
      <c r="BA355" s="137">
        <f>$W355*AF355+$L355*Summary_LCIA!W$32</f>
        <v>11.119410020001103</v>
      </c>
      <c r="BB355" s="137">
        <f>$W355*AG355+$L355*Summary_LCIA!X$32</f>
        <v>16.413317404135721</v>
      </c>
      <c r="BC355" s="137">
        <f>$W355*AH355+$L355*Summary_LCIA!Y$32</f>
        <v>0.43928207982273293</v>
      </c>
      <c r="BD355" s="137">
        <f>$W355*AI355+$L355*Summary_LCIA!Z$32</f>
        <v>0.35697621394292461</v>
      </c>
      <c r="BE355" s="137">
        <f>$W355*AJ355+$L355*Summary_LCIA!AA$32</f>
        <v>1.5015086947083087</v>
      </c>
      <c r="BF355" s="137">
        <f>$W355*AK355+$L355*Summary_LCIA!AB$32</f>
        <v>8.239516700612072E-2</v>
      </c>
      <c r="BG355" s="137">
        <f>$W355*AL355+$L355*Summary_LCIA!AC$32</f>
        <v>4.0442687395965713E-5</v>
      </c>
      <c r="BH355" s="137">
        <f>$W355*AM355+$L355*Summary_LCIA!AD$32</f>
        <v>0.12254885935721896</v>
      </c>
      <c r="BI355" s="137">
        <f>$W355*AN355+$L355*Summary_LCIA!AE$32</f>
        <v>0.34718983367099238</v>
      </c>
      <c r="BJ355" s="137">
        <f>$W355*AO355+$L355*Summary_LCIA!AF$32</f>
        <v>1.2914362331978412E-2</v>
      </c>
      <c r="BK355" s="137">
        <f>$W355*AP355+$L355*Summary_LCIA!AG$32</f>
        <v>5.734297131978411E-3</v>
      </c>
      <c r="BL355" s="137">
        <f>$W355*AQ355+$L355*Summary_LCIA!AH$32</f>
        <v>0.79949809796662008</v>
      </c>
      <c r="BM355" s="137">
        <f>$W355*AR355+$L355*Summary_LCIA!AI$32</f>
        <v>0.31768936753684568</v>
      </c>
    </row>
    <row r="356" spans="1:65" x14ac:dyDescent="0.25">
      <c r="A356" s="149">
        <v>364</v>
      </c>
      <c r="B356" s="149">
        <v>29</v>
      </c>
      <c r="C356" s="61">
        <v>32.233283999999998</v>
      </c>
      <c r="D356" s="61">
        <v>-110.948801</v>
      </c>
      <c r="E356" s="61" t="s">
        <v>265</v>
      </c>
      <c r="F356" s="149">
        <v>44</v>
      </c>
      <c r="G356" s="61" t="s">
        <v>565</v>
      </c>
      <c r="H356" s="61" t="s">
        <v>668</v>
      </c>
      <c r="I356" s="61">
        <v>33.437269000000001</v>
      </c>
      <c r="J356" s="61">
        <v>-112.00778800000001</v>
      </c>
      <c r="K356" s="61">
        <v>308.37148159999998</v>
      </c>
      <c r="L356" s="61">
        <v>180.36</v>
      </c>
      <c r="M356" s="61" t="s">
        <v>617</v>
      </c>
      <c r="N356" s="149">
        <v>28</v>
      </c>
      <c r="O356" s="149">
        <v>29</v>
      </c>
      <c r="P356" s="61" t="s">
        <v>565</v>
      </c>
      <c r="Q356" s="61" t="s">
        <v>559</v>
      </c>
      <c r="R356" s="61">
        <v>47.450249900000003</v>
      </c>
      <c r="S356" s="61">
        <v>-122.30881650000001</v>
      </c>
      <c r="T356" s="61">
        <v>2468.3829999999998</v>
      </c>
      <c r="U356" s="61" t="s">
        <v>617</v>
      </c>
      <c r="V356" s="61" t="s">
        <v>569</v>
      </c>
      <c r="W356" s="61" cm="1">
        <f t="array" ref="W356">getDistance(I356,J356,R356,S356)*SA!$B$12</f>
        <v>1783.6730536767511</v>
      </c>
      <c r="Y356" s="137">
        <f>Transportation_LCIA!C$61*($W356^Transportation_LCIA!C$60)+Transportation_LCIA!C$62</f>
        <v>0.1879723325118885</v>
      </c>
      <c r="Z356" s="137">
        <f>Transportation_LCIA!D$61*($W356^Transportation_LCIA!D$60)+Transportation_LCIA!D$62</f>
        <v>1.872605730175245</v>
      </c>
      <c r="AA356" s="137">
        <f>Transportation_LCIA!E$61*($W356^Transportation_LCIA!E$60)+Transportation_LCIA!E$62</f>
        <v>7.8192928066591564E-4</v>
      </c>
      <c r="AB356" s="137">
        <f>Transportation_LCIA!F$61*($W356^Transportation_LCIA!F$60)+Transportation_LCIA!F$62</f>
        <v>0.1879723325118885</v>
      </c>
      <c r="AC356" s="137">
        <f>Transportation_LCIA!G$61*($W356^Transportation_LCIA!G$60)+Transportation_LCIA!G$62</f>
        <v>4.3887732565900325E-2</v>
      </c>
      <c r="AD356" s="137">
        <f>Transportation_LCIA!H$61*($W356^Transportation_LCIA!H$60)+Transportation_LCIA!H$62</f>
        <v>1.9762155419423763E-4</v>
      </c>
      <c r="AE356" s="137">
        <f>Transportation_LCIA!I$61*($W356^Transportation_LCIA!I$60)+Transportation_LCIA!I$62</f>
        <v>3.9474320185745191E-6</v>
      </c>
      <c r="AF356" s="137">
        <f>Transportation_LCIA!J$61*($W356^Transportation_LCIA!J$60)+Transportation_LCIA!J$62</f>
        <v>5.8438917146360243E-3</v>
      </c>
      <c r="AG356" s="137">
        <f>Transportation_LCIA!K$61*($W356^Transportation_LCIA!K$60)+Transportation_LCIA!K$62</f>
        <v>9.0865229873416768E-3</v>
      </c>
      <c r="AH356" s="137">
        <f>Transportation_LCIA!L$61*($W356^Transportation_LCIA!L$60)+Transportation_LCIA!L$62</f>
        <v>1.6730689472915853E-4</v>
      </c>
      <c r="AI356" s="137">
        <f>Transportation_LCIA!M$61*($W356^Transportation_LCIA!M$60)+Transportation_LCIA!M$62</f>
        <v>1.9992761108760405E-4</v>
      </c>
      <c r="AJ356" s="137">
        <f>Transportation_LCIA!N$61*($W356^Transportation_LCIA!N$60)+Transportation_LCIA!N$62</f>
        <v>7.2343440522825667E-4</v>
      </c>
      <c r="AK356" s="137">
        <f>Transportation_LCIA!O$61*($W356^Transportation_LCIA!O$60)+Transportation_LCIA!O$62</f>
        <v>4.630470071623825E-5</v>
      </c>
      <c r="AL356" s="137">
        <f>Transportation_LCIA!P$61*($W356^Transportation_LCIA!P$60)+Transportation_LCIA!P$62</f>
        <v>2.2426069594711117E-8</v>
      </c>
      <c r="AM356" s="137">
        <f>Transportation_LCIA!Q$61*($W356^Transportation_LCIA!Q$60)+Transportation_LCIA!Q$62</f>
        <v>6.6622668045729561E-5</v>
      </c>
      <c r="AN356" s="137">
        <f>Transportation_LCIA!R$61*($W356^Transportation_LCIA!R$60)+Transportation_LCIA!R$62</f>
        <v>1.9015772973181923E-4</v>
      </c>
      <c r="AO356" s="137">
        <f>Transportation_LCIA!S$61*($W356^Transportation_LCIA!S$60)+Transportation_LCIA!S$62</f>
        <v>2.9555671770179668E-6</v>
      </c>
      <c r="AP356" s="137">
        <f>Transportation_LCIA!T$61*($W356^Transportation_LCIA!T$60)+Transportation_LCIA!T$62</f>
        <v>2.9555671770179668E-6</v>
      </c>
      <c r="AQ356" s="137">
        <f>Transportation_LCIA!U$61*($W356^Transportation_LCIA!U$60)+Transportation_LCIA!U$62</f>
        <v>4.0411977547161583E-4</v>
      </c>
      <c r="AR356" s="137">
        <f>Transportation_LCIA!V$61*($W356^Transportation_LCIA!V$60)+Transportation_LCIA!V$62</f>
        <v>1.7338836559723756E-4</v>
      </c>
      <c r="AT356" s="137">
        <f>$W356*Y356+$L356*Summary_LCIA!H$32</f>
        <v>396.56751233822183</v>
      </c>
      <c r="AU356" s="137">
        <f>$W356*Z356+$L356*Summary_LCIA!Q$32</f>
        <v>4233.9896371701416</v>
      </c>
      <c r="AV356" s="137">
        <f>$W356*AA356+$L356*Summary_LCIA!R$32</f>
        <v>2.344409803804639</v>
      </c>
      <c r="AW356" s="137">
        <f>$W356*AB356+$L356*Summary_LCIA!S$32</f>
        <v>395.77032113822179</v>
      </c>
      <c r="AX356" s="137">
        <f>$W356*AC356+$L356*Summary_LCIA!T$32</f>
        <v>98.102929964768038</v>
      </c>
      <c r="AY356" s="137">
        <f>$W356*AD356+$L356*Summary_LCIA!U$32</f>
        <v>3.5834612810419815</v>
      </c>
      <c r="AZ356" s="137">
        <f>$W356*AE356+$L356*Summary_LCIA!V$32</f>
        <v>1.5655102082752195E-2</v>
      </c>
      <c r="BA356" s="137">
        <f>$W356*AF356+$L356*Summary_LCIA!W$32</f>
        <v>24.306081740001105</v>
      </c>
      <c r="BB356" s="137">
        <f>$W356*AG356+$L356*Summary_LCIA!X$32</f>
        <v>20.315987004135724</v>
      </c>
      <c r="BC356" s="137">
        <f>$W356*AH356+$L356*Summary_LCIA!Y$32</f>
        <v>3.1087903198227331</v>
      </c>
      <c r="BD356" s="137">
        <f>$W356*AI356+$L356*Summary_LCIA!Z$32</f>
        <v>0.36400187582292465</v>
      </c>
      <c r="BE356" s="137">
        <f>$W356*AJ356+$L356*Summary_LCIA!AA$32</f>
        <v>5.5028586147083089</v>
      </c>
      <c r="BF356" s="137">
        <f>$W356*AK356+$L356*Summary_LCIA!AB$32</f>
        <v>7.8656450646120715E-2</v>
      </c>
      <c r="BG356" s="137">
        <f>$W356*AL356+$L356*Summary_LCIA!AC$32</f>
        <v>4.8817494275965714E-5</v>
      </c>
      <c r="BH356" s="137">
        <f>$W356*AM356+$L356*Summary_LCIA!AD$32</f>
        <v>0.19296823215721898</v>
      </c>
      <c r="BI356" s="137">
        <f>$W356*AN356+$L356*Summary_LCIA!AE$32</f>
        <v>0.49900162527099234</v>
      </c>
      <c r="BJ356" s="137">
        <f>$W356*AO356+$L356*Summary_LCIA!AF$32</f>
        <v>0.15775171673197844</v>
      </c>
      <c r="BK356" s="137">
        <f>$W356*AP356+$L356*Summary_LCIA!AG$32</f>
        <v>1.4499884931978412E-2</v>
      </c>
      <c r="BL356" s="137">
        <f>$W356*AQ356+$L356*Summary_LCIA!AH$32</f>
        <v>2.2905988499666203</v>
      </c>
      <c r="BM356" s="137">
        <f>$W356*AR356+$L356*Summary_LCIA!AI$32</f>
        <v>0.4772825135368457</v>
      </c>
    </row>
    <row r="357" spans="1:65" x14ac:dyDescent="0.25">
      <c r="A357" s="149">
        <v>217</v>
      </c>
      <c r="B357" s="149">
        <v>15</v>
      </c>
      <c r="C357" s="61">
        <v>35.791117999999997</v>
      </c>
      <c r="D357" s="61">
        <v>51.316220999999999</v>
      </c>
      <c r="E357" s="61" t="s">
        <v>278</v>
      </c>
      <c r="F357" s="149">
        <v>58</v>
      </c>
      <c r="G357" s="61" t="s">
        <v>279</v>
      </c>
      <c r="H357" s="61" t="s">
        <v>701</v>
      </c>
      <c r="I357" s="61">
        <v>35.743532000000002</v>
      </c>
      <c r="J357" s="61">
        <v>51.271971000000001</v>
      </c>
      <c r="K357" s="61">
        <v>1364.8377740000001</v>
      </c>
      <c r="L357" s="61">
        <v>16.777000000000001</v>
      </c>
      <c r="M357" s="61" t="s">
        <v>617</v>
      </c>
      <c r="N357" s="149">
        <v>14</v>
      </c>
      <c r="O357" s="149">
        <v>15</v>
      </c>
      <c r="P357" s="61" t="s">
        <v>567</v>
      </c>
      <c r="Q357" s="61" t="s">
        <v>566</v>
      </c>
      <c r="R357" s="61">
        <v>50.037932599999998</v>
      </c>
      <c r="S357" s="61">
        <v>8.5621518000000005</v>
      </c>
      <c r="T357" s="61">
        <v>4728.7700000000004</v>
      </c>
      <c r="U357" s="61" t="s">
        <v>617</v>
      </c>
      <c r="V357" s="61" t="s">
        <v>569</v>
      </c>
      <c r="W357" s="61" cm="1">
        <f t="array" ref="W357">getDistance(I357,J357,R357,S357)*SA!$B$12</f>
        <v>3769.587752024554</v>
      </c>
      <c r="Y357" s="137">
        <f>Transportation_LCIA!C$61*($W357^Transportation_LCIA!C$60)+Transportation_LCIA!C$62</f>
        <v>0.15249863555666499</v>
      </c>
      <c r="Z357" s="137">
        <f>Transportation_LCIA!D$61*($W357^Transportation_LCIA!D$60)+Transportation_LCIA!D$62</f>
        <v>1.4747921801268353</v>
      </c>
      <c r="AA357" s="137">
        <f>Transportation_LCIA!E$61*($W357^Transportation_LCIA!E$60)+Transportation_LCIA!E$62</f>
        <v>5.232800931325712E-4</v>
      </c>
      <c r="AB357" s="137">
        <f>Transportation_LCIA!F$61*($W357^Transportation_LCIA!F$60)+Transportation_LCIA!F$62</f>
        <v>0.15249863555666499</v>
      </c>
      <c r="AC357" s="137">
        <f>Transportation_LCIA!G$61*($W357^Transportation_LCIA!G$60)+Transportation_LCIA!G$62</f>
        <v>3.4662632720672305E-2</v>
      </c>
      <c r="AD357" s="137">
        <f>Transportation_LCIA!H$61*($W357^Transportation_LCIA!H$60)+Transportation_LCIA!H$62</f>
        <v>1.4199094931638254E-4</v>
      </c>
      <c r="AE357" s="137">
        <f>Transportation_LCIA!I$61*($W357^Transportation_LCIA!I$60)+Transportation_LCIA!I$62</f>
        <v>2.5958293277099199E-6</v>
      </c>
      <c r="AF357" s="137">
        <f>Transportation_LCIA!J$61*($W357^Transportation_LCIA!J$60)+Transportation_LCIA!J$62</f>
        <v>3.8770468522408815E-3</v>
      </c>
      <c r="AG357" s="137">
        <f>Transportation_LCIA!K$61*($W357^Transportation_LCIA!K$60)+Transportation_LCIA!K$62</f>
        <v>6.9759150433585052E-3</v>
      </c>
      <c r="AH357" s="137">
        <f>Transportation_LCIA!L$61*($W357^Transportation_LCIA!L$60)+Transportation_LCIA!L$62</f>
        <v>1.1667804990051856E-4</v>
      </c>
      <c r="AI357" s="137">
        <f>Transportation_LCIA!M$61*($W357^Transportation_LCIA!M$60)+Transportation_LCIA!M$62</f>
        <v>1.6926244124032327E-4</v>
      </c>
      <c r="AJ357" s="137">
        <f>Transportation_LCIA!N$61*($W357^Transportation_LCIA!N$60)+Transportation_LCIA!N$62</f>
        <v>5.3586641163412769E-4</v>
      </c>
      <c r="AK357" s="137">
        <f>Transportation_LCIA!O$61*($W357^Transportation_LCIA!O$60)+Transportation_LCIA!O$62</f>
        <v>3.6512558352428148E-5</v>
      </c>
      <c r="AL357" s="137">
        <f>Transportation_LCIA!P$61*($W357^Transportation_LCIA!P$60)+Transportation_LCIA!P$62</f>
        <v>1.7704157176186822E-8</v>
      </c>
      <c r="AM357" s="137">
        <f>Transportation_LCIA!Q$61*($W357^Transportation_LCIA!Q$60)+Transportation_LCIA!Q$62</f>
        <v>4.693418148344128E-5</v>
      </c>
      <c r="AN357" s="137">
        <f>Transportation_LCIA!R$61*($W357^Transportation_LCIA!R$60)+Transportation_LCIA!R$62</f>
        <v>1.2539987033783506E-4</v>
      </c>
      <c r="AO357" s="137">
        <f>Transportation_LCIA!S$61*($W357^Transportation_LCIA!S$60)+Transportation_LCIA!S$62</f>
        <v>2.0350560318419809E-6</v>
      </c>
      <c r="AP357" s="137">
        <f>Transportation_LCIA!T$61*($W357^Transportation_LCIA!T$60)+Transportation_LCIA!T$62</f>
        <v>2.0350560318419809E-6</v>
      </c>
      <c r="AQ357" s="137">
        <f>Transportation_LCIA!U$61*($W357^Transportation_LCIA!U$60)+Transportation_LCIA!U$62</f>
        <v>2.630560915151498E-4</v>
      </c>
      <c r="AR357" s="137">
        <f>Transportation_LCIA!V$61*($W357^Transportation_LCIA!V$60)+Transportation_LCIA!V$62</f>
        <v>1.2252707303670829E-4</v>
      </c>
      <c r="AT357" s="137">
        <f>$W357*Y357+$L357*Summary_LCIA!H$32</f>
        <v>580.55781339486055</v>
      </c>
      <c r="AU357" s="137">
        <f>$W357*Z357+$L357*Summary_LCIA!Q$32</f>
        <v>5642.5061971021487</v>
      </c>
      <c r="AV357" s="137">
        <f>$W357*AA357+$L357*Summary_LCIA!R$32</f>
        <v>2.0608912011508083</v>
      </c>
      <c r="AW357" s="137">
        <f>$W357*AB357+$L357*Summary_LCIA!S$32</f>
        <v>580.48365905486048</v>
      </c>
      <c r="AX357" s="137">
        <f>$W357*AC357+$L357*Summary_LCIA!T$32</f>
        <v>132.50762805677186</v>
      </c>
      <c r="AY357" s="137">
        <f>$W357*AD357+$L357*Summary_LCIA!U$32</f>
        <v>0.83579052144137478</v>
      </c>
      <c r="AZ357" s="137">
        <f>$W357*AE357+$L357*Summary_LCIA!V$32</f>
        <v>1.0586492737081446E-2</v>
      </c>
      <c r="BA357" s="137">
        <f>$W357*AF357+$L357*Summary_LCIA!W$32</f>
        <v>15.906210795232578</v>
      </c>
      <c r="BB357" s="137">
        <f>$W357*AG357+$L357*Summary_LCIA!X$32</f>
        <v>26.678503966608055</v>
      </c>
      <c r="BC357" s="137">
        <f>$W357*AH357+$L357*Summary_LCIA!Y$32</f>
        <v>0.7012473618351045</v>
      </c>
      <c r="BD357" s="137">
        <f>$W357*AI357+$L357*Summary_LCIA!Z$32</f>
        <v>0.63873763337029832</v>
      </c>
      <c r="BE357" s="137">
        <f>$W357*AJ357+$L357*Summary_LCIA!AA$32</f>
        <v>2.4118390740173559</v>
      </c>
      <c r="BF357" s="137">
        <f>$W357*AK357+$L357*Summary_LCIA!AB$32</f>
        <v>0.13727116828939495</v>
      </c>
      <c r="BG357" s="137">
        <f>$W357*AL357+$L357*Summary_LCIA!AC$32</f>
        <v>6.7557500919271452E-5</v>
      </c>
      <c r="BH357" s="137">
        <f>$W357*AM357+$L357*Summary_LCIA!AD$32</f>
        <v>0.18381853375127788</v>
      </c>
      <c r="BI357" s="137">
        <f>$W357*AN357+$L357*Summary_LCIA!AE$32</f>
        <v>0.48757241834097015</v>
      </c>
      <c r="BJ357" s="137">
        <f>$W357*AO357+$L357*Summary_LCIA!AF$32</f>
        <v>2.1854933632315221E-2</v>
      </c>
      <c r="BK357" s="137">
        <f>$W357*AP357+$L357*Summary_LCIA!AG$32</f>
        <v>8.5297174973152229E-3</v>
      </c>
      <c r="BL357" s="137">
        <f>$W357*AQ357+$L357*Summary_LCIA!AH$32</f>
        <v>1.137633317870959</v>
      </c>
      <c r="BM357" s="137">
        <f>$W357*AR357+$L357*Summary_LCIA!AI$32</f>
        <v>0.47750516816059357</v>
      </c>
    </row>
    <row r="358" spans="1:65" x14ac:dyDescent="0.25">
      <c r="A358" s="149">
        <v>181</v>
      </c>
      <c r="B358" s="149">
        <v>15</v>
      </c>
      <c r="C358" s="61">
        <v>30.022765</v>
      </c>
      <c r="D358" s="61">
        <v>31.207319999999999</v>
      </c>
      <c r="E358" s="61" t="s">
        <v>269</v>
      </c>
      <c r="F358" s="149">
        <v>60</v>
      </c>
      <c r="G358" s="61" t="s">
        <v>270</v>
      </c>
      <c r="H358" s="61" t="s">
        <v>690</v>
      </c>
      <c r="I358" s="61">
        <v>30.112831</v>
      </c>
      <c r="J358" s="61">
        <v>31.397601999999999</v>
      </c>
      <c r="K358" s="61">
        <v>1340.507924</v>
      </c>
      <c r="L358" s="61">
        <v>25.734999999999999</v>
      </c>
      <c r="M358" s="61" t="s">
        <v>617</v>
      </c>
      <c r="N358" s="149">
        <v>14</v>
      </c>
      <c r="O358" s="149">
        <v>15</v>
      </c>
      <c r="P358" s="61" t="s">
        <v>567</v>
      </c>
      <c r="Q358" s="61" t="s">
        <v>566</v>
      </c>
      <c r="R358" s="61">
        <v>50.037932599999998</v>
      </c>
      <c r="S358" s="61">
        <v>8.5621518000000005</v>
      </c>
      <c r="T358" s="61">
        <v>4860.4089999999997</v>
      </c>
      <c r="U358" s="61" t="s">
        <v>617</v>
      </c>
      <c r="V358" s="61" t="s">
        <v>569</v>
      </c>
      <c r="W358" s="61" cm="1">
        <f t="array" ref="W358">getDistance(I358,J358,R358,S358)*SA!$B$12</f>
        <v>2926.96660487086</v>
      </c>
      <c r="Y358" s="137">
        <f>Transportation_LCIA!C$61*($W358^Transportation_LCIA!C$60)+Transportation_LCIA!C$62</f>
        <v>0.16210255251242142</v>
      </c>
      <c r="Z358" s="137">
        <f>Transportation_LCIA!D$61*($W358^Transportation_LCIA!D$60)+Transportation_LCIA!D$62</f>
        <v>1.5811787373200161</v>
      </c>
      <c r="AA358" s="137">
        <f>Transportation_LCIA!E$61*($W358^Transportation_LCIA!E$60)+Transportation_LCIA!E$62</f>
        <v>5.9221086091727044E-4</v>
      </c>
      <c r="AB358" s="137">
        <f>Transportation_LCIA!F$61*($W358^Transportation_LCIA!F$60)+Transportation_LCIA!F$62</f>
        <v>0.16210255251242142</v>
      </c>
      <c r="AC358" s="137">
        <f>Transportation_LCIA!G$61*($W358^Transportation_LCIA!G$60)+Transportation_LCIA!G$62</f>
        <v>3.7131457648489574E-2</v>
      </c>
      <c r="AD358" s="137">
        <f>Transportation_LCIA!H$61*($W358^Transportation_LCIA!H$60)+Transportation_LCIA!H$62</f>
        <v>1.567152527858557E-4</v>
      </c>
      <c r="AE358" s="137">
        <f>Transportation_LCIA!I$61*($W358^Transportation_LCIA!I$60)+Transportation_LCIA!I$62</f>
        <v>2.9496208387207946E-6</v>
      </c>
      <c r="AF358" s="137">
        <f>Transportation_LCIA!J$61*($W358^Transportation_LCIA!J$60)+Transportation_LCIA!J$62</f>
        <v>4.3881441452681405E-3</v>
      </c>
      <c r="AG358" s="137">
        <f>Transportation_LCIA!K$61*($W358^Transportation_LCIA!K$60)+Transportation_LCIA!K$62</f>
        <v>7.5372476017549449E-3</v>
      </c>
      <c r="AH358" s="137">
        <f>Transportation_LCIA!L$61*($W358^Transportation_LCIA!L$60)+Transportation_LCIA!L$62</f>
        <v>1.300362640165528E-4</v>
      </c>
      <c r="AI358" s="137">
        <f>Transportation_LCIA!M$61*($W358^Transportation_LCIA!M$60)+Transportation_LCIA!M$62</f>
        <v>1.7737585573911126E-4</v>
      </c>
      <c r="AJ358" s="137">
        <f>Transportation_LCIA!N$61*($W358^Transportation_LCIA!N$60)+Transportation_LCIA!N$62</f>
        <v>5.8555559293073259E-4</v>
      </c>
      <c r="AK358" s="137">
        <f>Transportation_LCIA!O$61*($W358^Transportation_LCIA!O$60)+Transportation_LCIA!O$62</f>
        <v>3.913224851930483E-5</v>
      </c>
      <c r="AL358" s="137">
        <f>Transportation_LCIA!P$61*($W358^Transportation_LCIA!P$60)+Transportation_LCIA!P$62</f>
        <v>1.8968567329456026E-8</v>
      </c>
      <c r="AM358" s="137">
        <f>Transportation_LCIA!Q$61*($W358^Transportation_LCIA!Q$60)+Transportation_LCIA!Q$62</f>
        <v>5.2120077890892584E-5</v>
      </c>
      <c r="AN358" s="137">
        <f>Transportation_LCIA!R$61*($W358^Transportation_LCIA!R$60)+Transportation_LCIA!R$62</f>
        <v>1.4234613513850302E-4</v>
      </c>
      <c r="AO358" s="137">
        <f>Transportation_LCIA!S$61*($W358^Transportation_LCIA!S$60)+Transportation_LCIA!S$62</f>
        <v>2.2760615928862299E-6</v>
      </c>
      <c r="AP358" s="137">
        <f>Transportation_LCIA!T$61*($W358^Transportation_LCIA!T$60)+Transportation_LCIA!T$62</f>
        <v>2.2760615928862299E-6</v>
      </c>
      <c r="AQ358" s="137">
        <f>Transportation_LCIA!U$61*($W358^Transportation_LCIA!U$60)+Transportation_LCIA!U$62</f>
        <v>2.9989263792086528E-4</v>
      </c>
      <c r="AR358" s="137">
        <f>Transportation_LCIA!V$61*($W358^Transportation_LCIA!V$60)+Transportation_LCIA!V$62</f>
        <v>1.3589441208504177E-4</v>
      </c>
      <c r="AT358" s="137">
        <f>$W358*Y358+$L358*Summary_LCIA!H$32</f>
        <v>483.2135107681824</v>
      </c>
      <c r="AU358" s="137">
        <f>$W358*Z358+$L358*Summary_LCIA!Q$32</f>
        <v>4755.6013183608156</v>
      </c>
      <c r="AV358" s="137">
        <f>$W358*AA358+$L358*Summary_LCIA!R$32</f>
        <v>1.8688916289466722</v>
      </c>
      <c r="AW358" s="137">
        <f>$W358*AB358+$L358*Summary_LCIA!S$32</f>
        <v>483.09976206818237</v>
      </c>
      <c r="AX358" s="137">
        <f>$W358*AC358+$L358*Summary_LCIA!T$32</f>
        <v>111.51081302730566</v>
      </c>
      <c r="AY358" s="137">
        <f>$W358*AD358+$L358*Summary_LCIA!U$32</f>
        <v>0.91971710137809459</v>
      </c>
      <c r="AZ358" s="137">
        <f>$W358*AE358+$L358*Summary_LCIA!V$32</f>
        <v>9.8625710269669431E-3</v>
      </c>
      <c r="BA358" s="137">
        <f>$W358*AF358+$L358*Summary_LCIA!W$32</f>
        <v>14.824800055559431</v>
      </c>
      <c r="BB358" s="137">
        <f>$W358*AG358+$L358*Summary_LCIA!X$32</f>
        <v>22.647515322979704</v>
      </c>
      <c r="BC358" s="137">
        <f>$W358*AH358+$L358*Summary_LCIA!Y$32</f>
        <v>0.78161457219862029</v>
      </c>
      <c r="BD358" s="137">
        <f>$W358*AI358+$L358*Summary_LCIA!Z$32</f>
        <v>0.52022857287377</v>
      </c>
      <c r="BE358" s="137">
        <f>$W358*AJ358+$L358*Summary_LCIA!AA$32</f>
        <v>2.3149683258036098</v>
      </c>
      <c r="BF358" s="137">
        <f>$W358*AK358+$L358*Summary_LCIA!AB$32</f>
        <v>0.11397716968451241</v>
      </c>
      <c r="BG358" s="137">
        <f>$W358*AL358+$L358*Summary_LCIA!AC$32</f>
        <v>5.677839285556222E-5</v>
      </c>
      <c r="BH358" s="137">
        <f>$W358*AM358+$L358*Summary_LCIA!AD$32</f>
        <v>0.16313184182991064</v>
      </c>
      <c r="BI358" s="137">
        <f>$W358*AN358+$L358*Summary_LCIA!AE$32</f>
        <v>0.43944693943283281</v>
      </c>
      <c r="BJ358" s="137">
        <f>$W358*AO358+$L358*Summary_LCIA!AF$32</f>
        <v>2.8418839973007169E-2</v>
      </c>
      <c r="BK358" s="137">
        <f>$W358*AP358+$L358*Summary_LCIA!AG$32</f>
        <v>7.9786875480071691E-3</v>
      </c>
      <c r="BL358" s="137">
        <f>$W358*AQ358+$L358*Summary_LCIA!AH$32</f>
        <v>1.1017628822410011</v>
      </c>
      <c r="BM358" s="137">
        <f>$W358*AR358+$L358*Summary_LCIA!AI$32</f>
        <v>0.42173184521147628</v>
      </c>
    </row>
    <row r="359" spans="1:65" x14ac:dyDescent="0.25">
      <c r="A359" s="149">
        <v>235</v>
      </c>
      <c r="B359" s="149">
        <v>15</v>
      </c>
      <c r="C359" s="61">
        <v>29.351009000000001</v>
      </c>
      <c r="D359" s="61">
        <v>47.944330999999998</v>
      </c>
      <c r="E359" s="61" t="s">
        <v>282</v>
      </c>
      <c r="F359" s="149">
        <v>58</v>
      </c>
      <c r="G359" s="61" t="s">
        <v>283</v>
      </c>
      <c r="H359" s="61" t="s">
        <v>706</v>
      </c>
      <c r="I359" s="61">
        <v>29.240445999999999</v>
      </c>
      <c r="J359" s="61">
        <v>47.968857</v>
      </c>
      <c r="K359" s="61">
        <v>672.29659430000004</v>
      </c>
      <c r="L359" s="61">
        <v>18.744</v>
      </c>
      <c r="M359" s="61" t="s">
        <v>617</v>
      </c>
      <c r="N359" s="149">
        <v>14</v>
      </c>
      <c r="O359" s="149">
        <v>15</v>
      </c>
      <c r="P359" s="61" t="s">
        <v>567</v>
      </c>
      <c r="Q359" s="61" t="s">
        <v>566</v>
      </c>
      <c r="R359" s="61">
        <v>50.037932599999998</v>
      </c>
      <c r="S359" s="61">
        <v>8.5621518000000005</v>
      </c>
      <c r="T359" s="61">
        <v>5118.5919999999996</v>
      </c>
      <c r="U359" s="61" t="s">
        <v>617</v>
      </c>
      <c r="V359" s="61" t="s">
        <v>569</v>
      </c>
      <c r="W359" s="61" cm="1">
        <f t="array" ref="W359">getDistance(I359,J359,R359,S359)*SA!$B$12</f>
        <v>4027.6455522727247</v>
      </c>
      <c r="Y359" s="137">
        <f>Transportation_LCIA!C$61*($W359^Transportation_LCIA!C$60)+Transportation_LCIA!C$62</f>
        <v>0.15030384980311071</v>
      </c>
      <c r="Z359" s="137">
        <f>Transportation_LCIA!D$61*($W359^Transportation_LCIA!D$60)+Transportation_LCIA!D$62</f>
        <v>1.4506519972075935</v>
      </c>
      <c r="AA359" s="137">
        <f>Transportation_LCIA!E$61*($W359^Transportation_LCIA!E$60)+Transportation_LCIA!E$62</f>
        <v>5.0767027593173471E-4</v>
      </c>
      <c r="AB359" s="137">
        <f>Transportation_LCIA!F$61*($W359^Transportation_LCIA!F$60)+Transportation_LCIA!F$62</f>
        <v>0.15030384980311071</v>
      </c>
      <c r="AC359" s="137">
        <f>Transportation_LCIA!G$61*($W359^Transportation_LCIA!G$60)+Transportation_LCIA!G$62</f>
        <v>3.4102198798369163E-2</v>
      </c>
      <c r="AD359" s="137">
        <f>Transportation_LCIA!H$61*($W359^Transportation_LCIA!H$60)+Transportation_LCIA!H$62</f>
        <v>1.3866969839146159E-4</v>
      </c>
      <c r="AE359" s="137">
        <f>Transportation_LCIA!I$61*($W359^Transportation_LCIA!I$60)+Transportation_LCIA!I$62</f>
        <v>2.5165344668096448E-6</v>
      </c>
      <c r="AF359" s="137">
        <f>Transportation_LCIA!J$61*($W359^Transportation_LCIA!J$60)+Transportation_LCIA!J$62</f>
        <v>3.7629719135529221E-3</v>
      </c>
      <c r="AG359" s="137">
        <f>Transportation_LCIA!K$61*($W359^Transportation_LCIA!K$60)+Transportation_LCIA!K$62</f>
        <v>6.8489477137590208E-3</v>
      </c>
      <c r="AH359" s="137">
        <f>Transportation_LCIA!L$61*($W359^Transportation_LCIA!L$60)+Transportation_LCIA!L$62</f>
        <v>1.1367040138470175E-4</v>
      </c>
      <c r="AI359" s="137">
        <f>Transportation_LCIA!M$61*($W359^Transportation_LCIA!M$60)+Transportation_LCIA!M$62</f>
        <v>1.6743275350147188E-4</v>
      </c>
      <c r="AJ359" s="137">
        <f>Transportation_LCIA!N$61*($W359^Transportation_LCIA!N$60)+Transportation_LCIA!N$62</f>
        <v>5.2465271738618194E-4</v>
      </c>
      <c r="AK359" s="137">
        <f>Transportation_LCIA!O$61*($W359^Transportation_LCIA!O$60)+Transportation_LCIA!O$62</f>
        <v>3.5917993692540506E-5</v>
      </c>
      <c r="AL359" s="137">
        <f>Transportation_LCIA!P$61*($W359^Transportation_LCIA!P$60)+Transportation_LCIA!P$62</f>
        <v>1.741703477237647E-8</v>
      </c>
      <c r="AM359" s="137">
        <f>Transportation_LCIA!Q$61*($W359^Transportation_LCIA!Q$60)+Transportation_LCIA!Q$62</f>
        <v>4.576769964967199E-5</v>
      </c>
      <c r="AN359" s="137">
        <f>Transportation_LCIA!R$61*($W359^Transportation_LCIA!R$60)+Transportation_LCIA!R$62</f>
        <v>1.216023101469281E-4</v>
      </c>
      <c r="AO359" s="137">
        <f>Transportation_LCIA!S$61*($W359^Transportation_LCIA!S$60)+Transportation_LCIA!S$62</f>
        <v>1.9810326458284998E-6</v>
      </c>
      <c r="AP359" s="137">
        <f>Transportation_LCIA!T$61*($W359^Transportation_LCIA!T$60)+Transportation_LCIA!T$62</f>
        <v>1.9810326458284998E-6</v>
      </c>
      <c r="AQ359" s="137">
        <f>Transportation_LCIA!U$61*($W359^Transportation_LCIA!U$60)+Transportation_LCIA!U$62</f>
        <v>2.5481121914906741E-4</v>
      </c>
      <c r="AR359" s="137">
        <f>Transportation_LCIA!V$61*($W359^Transportation_LCIA!V$60)+Transportation_LCIA!V$62</f>
        <v>1.1952410011835198E-4</v>
      </c>
      <c r="AT359" s="137">
        <f>$W359*Y359+$L359*Summary_LCIA!H$32</f>
        <v>611.73984334896647</v>
      </c>
      <c r="AU359" s="137">
        <f>$W359*Z359+$L359*Summary_LCIA!Q$32</f>
        <v>5935.6082737648612</v>
      </c>
      <c r="AV359" s="137">
        <f>$W359*AA359+$L359*Summary_LCIA!R$32</f>
        <v>2.1434143352775181</v>
      </c>
      <c r="AW359" s="137">
        <f>$W359*AB359+$L359*Summary_LCIA!S$32</f>
        <v>611.65699486896654</v>
      </c>
      <c r="AX359" s="137">
        <f>$W359*AC359+$L359*Summary_LCIA!T$32</f>
        <v>139.4115349129718</v>
      </c>
      <c r="AY359" s="137">
        <f>$W359*AD359+$L359*Summary_LCIA!U$32</f>
        <v>0.89429240996137038</v>
      </c>
      <c r="AZ359" s="137">
        <f>$W359*AE359+$L359*Summary_LCIA!V$32</f>
        <v>1.1030941036386879E-2</v>
      </c>
      <c r="BA359" s="137">
        <f>$W359*AF359+$L359*Summary_LCIA!W$32</f>
        <v>16.59866151494861</v>
      </c>
      <c r="BB359" s="137">
        <f>$W359*AG359+$L359*Summary_LCIA!X$32</f>
        <v>28.012122117069968</v>
      </c>
      <c r="BC359" s="137">
        <f>$W359*AH359+$L359*Summary_LCIA!Y$32</f>
        <v>0.74989309456214936</v>
      </c>
      <c r="BD359" s="137">
        <f>$W359*AI359+$L359*Summary_LCIA!Z$32</f>
        <v>0.67512845764097862</v>
      </c>
      <c r="BE359" s="137">
        <f>$W359*AJ359+$L359*Summary_LCIA!AA$32</f>
        <v>2.5509000476682546</v>
      </c>
      <c r="BF359" s="137">
        <f>$W359*AK359+$L359*Summary_LCIA!AB$32</f>
        <v>0.14425589723032053</v>
      </c>
      <c r="BG359" s="137">
        <f>$W359*AL359+$L359*Summary_LCIA!AC$32</f>
        <v>7.1065924330741476E-5</v>
      </c>
      <c r="BH359" s="137">
        <f>$W359*AM359+$L359*Summary_LCIA!AD$32</f>
        <v>0.19204060569175532</v>
      </c>
      <c r="BI359" s="137">
        <f>$W359*AN359+$L359*Summary_LCIA!AE$32</f>
        <v>0.50638062432936337</v>
      </c>
      <c r="BJ359" s="137">
        <f>$W359*AO359+$L359*Summary_LCIA!AF$32</f>
        <v>2.3825449804878225E-2</v>
      </c>
      <c r="BK359" s="137">
        <f>$W359*AP359+$L359*Summary_LCIA!AG$32</f>
        <v>8.9379340848782258E-3</v>
      </c>
      <c r="BL359" s="137">
        <f>$W359*AQ359+$L359*Summary_LCIA!AH$32</f>
        <v>1.1894295518749318</v>
      </c>
      <c r="BM359" s="137">
        <f>$W359*AR359+$L359*Summary_LCIA!AI$32</f>
        <v>0.49886168343108023</v>
      </c>
    </row>
    <row r="360" spans="1:65" x14ac:dyDescent="0.25">
      <c r="A360" s="149">
        <v>182</v>
      </c>
      <c r="B360" s="149">
        <v>43</v>
      </c>
      <c r="C360" s="61">
        <v>9.8572469999999992</v>
      </c>
      <c r="D360" s="61">
        <v>-83.912312999999997</v>
      </c>
      <c r="E360" s="61" t="s">
        <v>467</v>
      </c>
      <c r="F360" s="149">
        <v>33</v>
      </c>
      <c r="G360" s="61" t="s">
        <v>691</v>
      </c>
      <c r="H360" s="61" t="s">
        <v>692</v>
      </c>
      <c r="I360" s="61">
        <v>9.7998569999999994</v>
      </c>
      <c r="J360" s="61">
        <v>-84.044955999999999</v>
      </c>
      <c r="K360" s="61">
        <v>2361.9992550000002</v>
      </c>
      <c r="L360" s="61">
        <v>21.867999999999999</v>
      </c>
      <c r="M360" s="61" t="s">
        <v>617</v>
      </c>
      <c r="N360" s="149">
        <v>42</v>
      </c>
      <c r="O360" s="149">
        <v>43</v>
      </c>
      <c r="P360" s="61" t="s">
        <v>565</v>
      </c>
      <c r="Q360" s="61" t="s">
        <v>555</v>
      </c>
      <c r="R360" s="61">
        <v>40.6895314</v>
      </c>
      <c r="S360" s="61">
        <v>-74.174462399999996</v>
      </c>
      <c r="T360" s="61">
        <v>6454.4520000000002</v>
      </c>
      <c r="U360" s="61" t="s">
        <v>617</v>
      </c>
      <c r="V360" s="61" t="s">
        <v>569</v>
      </c>
      <c r="W360" s="61" cm="1">
        <f t="array" ref="W360">getDistance(I360,J360,R360,S360)*SA!$B$12</f>
        <v>3567.0917650313249</v>
      </c>
      <c r="Y360" s="137">
        <f>Transportation_LCIA!C$61*($W360^Transportation_LCIA!C$60)+Transportation_LCIA!C$62</f>
        <v>0.15442432114358801</v>
      </c>
      <c r="Z360" s="137">
        <f>Transportation_LCIA!D$61*($W360^Transportation_LCIA!D$60)+Transportation_LCIA!D$62</f>
        <v>1.4960283790827931</v>
      </c>
      <c r="AA360" s="137">
        <f>Transportation_LCIA!E$61*($W360^Transportation_LCIA!E$60)+Transportation_LCIA!E$62</f>
        <v>5.3702226083132709E-4</v>
      </c>
      <c r="AB360" s="137">
        <f>Transportation_LCIA!F$61*($W360^Transportation_LCIA!F$60)+Transportation_LCIA!F$62</f>
        <v>0.15442432114358801</v>
      </c>
      <c r="AC360" s="137">
        <f>Transportation_LCIA!G$61*($W360^Transportation_LCIA!G$60)+Transportation_LCIA!G$62</f>
        <v>3.5155572636270727E-2</v>
      </c>
      <c r="AD360" s="137">
        <f>Transportation_LCIA!H$61*($W360^Transportation_LCIA!H$60)+Transportation_LCIA!H$62</f>
        <v>1.4491910114721243E-4</v>
      </c>
      <c r="AE360" s="137">
        <f>Transportation_LCIA!I$61*($W360^Transportation_LCIA!I$60)+Transportation_LCIA!I$62</f>
        <v>2.6659036301457858E-6</v>
      </c>
      <c r="AF360" s="137">
        <f>Transportation_LCIA!J$61*($W360^Transportation_LCIA!J$60)+Transportation_LCIA!J$62</f>
        <v>3.9780120098162298E-3</v>
      </c>
      <c r="AG360" s="137">
        <f>Transportation_LCIA!K$61*($W360^Transportation_LCIA!K$60)+Transportation_LCIA!K$62</f>
        <v>7.0877400484039513E-3</v>
      </c>
      <c r="AH360" s="137">
        <f>Transportation_LCIA!L$61*($W360^Transportation_LCIA!L$60)+Transportation_LCIA!L$62</f>
        <v>1.1933149415946899E-4</v>
      </c>
      <c r="AI360" s="137">
        <f>Transportation_LCIA!M$61*($W360^Transportation_LCIA!M$60)+Transportation_LCIA!M$62</f>
        <v>1.7087569781958011E-4</v>
      </c>
      <c r="AJ360" s="137">
        <f>Transportation_LCIA!N$61*($W360^Transportation_LCIA!N$60)+Transportation_LCIA!N$62</f>
        <v>5.4575101857002163E-4</v>
      </c>
      <c r="AK360" s="137">
        <f>Transportation_LCIA!O$61*($W360^Transportation_LCIA!O$60)+Transportation_LCIA!O$62</f>
        <v>3.7035556403289741E-5</v>
      </c>
      <c r="AL360" s="137">
        <f>Transportation_LCIA!P$61*($W360^Transportation_LCIA!P$60)+Transportation_LCIA!P$62</f>
        <v>1.7956669775971922E-8</v>
      </c>
      <c r="AM360" s="137">
        <f>Transportation_LCIA!Q$61*($W360^Transportation_LCIA!Q$60)+Transportation_LCIA!Q$62</f>
        <v>4.7963660605805032E-5</v>
      </c>
      <c r="AN360" s="137">
        <f>Transportation_LCIA!R$61*($W360^Transportation_LCIA!R$60)+Transportation_LCIA!R$62</f>
        <v>1.2875603374515646E-4</v>
      </c>
      <c r="AO360" s="137">
        <f>Transportation_LCIA!S$61*($W360^Transportation_LCIA!S$60)+Transportation_LCIA!S$62</f>
        <v>2.0827951601475392E-6</v>
      </c>
      <c r="AP360" s="137">
        <f>Transportation_LCIA!T$61*($W360^Transportation_LCIA!T$60)+Transportation_LCIA!T$62</f>
        <v>2.0827951601475392E-6</v>
      </c>
      <c r="AQ360" s="137">
        <f>Transportation_LCIA!U$61*($W360^Transportation_LCIA!U$60)+Transportation_LCIA!U$62</f>
        <v>2.7034590098467517E-4</v>
      </c>
      <c r="AR360" s="137">
        <f>Transportation_LCIA!V$61*($W360^Transportation_LCIA!V$60)+Transportation_LCIA!V$62</f>
        <v>1.2517858176928741E-4</v>
      </c>
      <c r="AT360" s="137">
        <f>$W360*Y360+$L360*Summary_LCIA!H$32</f>
        <v>558.27647067184546</v>
      </c>
      <c r="AU360" s="137">
        <f>$W360*Z360+$L360*Summary_LCIA!Q$32</f>
        <v>5444.849422148237</v>
      </c>
      <c r="AV360" s="137">
        <f>$W360*AA360+$L360*Summary_LCIA!R$32</f>
        <v>2.0307558250499311</v>
      </c>
      <c r="AW360" s="137">
        <f>$W360*AB360+$L360*Summary_LCIA!S$32</f>
        <v>558.17981411184553</v>
      </c>
      <c r="AX360" s="137">
        <f>$W360*AC360+$L360*Summary_LCIA!T$32</f>
        <v>127.80644684580189</v>
      </c>
      <c r="AY360" s="137">
        <f>$W360*AD360+$L360*Summary_LCIA!U$32</f>
        <v>0.90868308429796296</v>
      </c>
      <c r="AZ360" s="137">
        <f>$W360*AE360+$L360*Summary_LCIA!V$32</f>
        <v>1.0553960433460147E-2</v>
      </c>
      <c r="BA360" s="137">
        <f>$W360*AF360+$L360*Summary_LCIA!W$32</f>
        <v>15.873135709411184</v>
      </c>
      <c r="BB360" s="137">
        <f>$W360*AG360+$L360*Summary_LCIA!X$32</f>
        <v>25.780772199344458</v>
      </c>
      <c r="BC360" s="137">
        <f>$W360*AH360+$L360*Summary_LCIA!Y$32</f>
        <v>0.76641356612512546</v>
      </c>
      <c r="BD360" s="137">
        <f>$W360*AI360+$L360*Summary_LCIA!Z$32</f>
        <v>0.61042607934820525</v>
      </c>
      <c r="BE360" s="137">
        <f>$W360*AJ360+$L360*Summary_LCIA!AA$32</f>
        <v>2.4574929720985819</v>
      </c>
      <c r="BF360" s="137">
        <f>$W360*AK360+$L360*Summary_LCIA!AB$32</f>
        <v>0.13163200289552801</v>
      </c>
      <c r="BG360" s="137">
        <f>$W360*AL360+$L360*Summary_LCIA!AC$32</f>
        <v>6.5122084197256322E-5</v>
      </c>
      <c r="BH360" s="137">
        <f>$W360*AM360+$L360*Summary_LCIA!AD$32</f>
        <v>0.1800794014877245</v>
      </c>
      <c r="BI360" s="137">
        <f>$W360*AN360+$L360*Summary_LCIA!AE$32</f>
        <v>0.47866247851044302</v>
      </c>
      <c r="BJ360" s="137">
        <f>$W360*AO360+$L360*Summary_LCIA!AF$32</f>
        <v>2.5917166024009383E-2</v>
      </c>
      <c r="BK360" s="137">
        <f>$W360*AP360+$L360*Summary_LCIA!AG$32</f>
        <v>8.5483976840093866E-3</v>
      </c>
      <c r="BL360" s="137">
        <f>$W360*AQ360+$L360*Summary_LCIA!AH$32</f>
        <v>1.1546789619124089</v>
      </c>
      <c r="BM360" s="137">
        <f>$W360*AR360+$L360*Summary_LCIA!AI$32</f>
        <v>0.46689462358752548</v>
      </c>
    </row>
    <row r="361" spans="1:65" x14ac:dyDescent="0.25">
      <c r="A361" s="149">
        <v>3</v>
      </c>
      <c r="B361" s="149">
        <v>29</v>
      </c>
      <c r="C361" s="61">
        <v>35.597613000000003</v>
      </c>
      <c r="D361" s="61">
        <v>139.65054000000001</v>
      </c>
      <c r="E361" s="61" t="s">
        <v>272</v>
      </c>
      <c r="F361" s="149">
        <v>5</v>
      </c>
      <c r="G361" s="61" t="s">
        <v>620</v>
      </c>
      <c r="H361" s="61" t="s">
        <v>621</v>
      </c>
      <c r="I361" s="61">
        <v>35.549393000000002</v>
      </c>
      <c r="J361" s="61">
        <v>139.77983900000001</v>
      </c>
      <c r="K361" s="61">
        <v>14.24610406</v>
      </c>
      <c r="L361" s="61">
        <v>17.181999999999999</v>
      </c>
      <c r="M361" s="61" t="s">
        <v>617</v>
      </c>
      <c r="N361" s="149">
        <v>28</v>
      </c>
      <c r="O361" s="149">
        <v>29</v>
      </c>
      <c r="P361" s="61" t="s">
        <v>565</v>
      </c>
      <c r="Q361" s="61" t="s">
        <v>559</v>
      </c>
      <c r="R361" s="61">
        <v>47.450249900000003</v>
      </c>
      <c r="S361" s="61">
        <v>-122.30881650000001</v>
      </c>
      <c r="T361" s="61"/>
      <c r="U361" s="61" t="s">
        <v>622</v>
      </c>
      <c r="V361" s="61" t="s">
        <v>569</v>
      </c>
      <c r="W361" s="61" cm="1">
        <f t="array" ref="W361">getDistance(I361,J361,R361,S361)*SA!$B$12</f>
        <v>7732.9863561656575</v>
      </c>
      <c r="Y361" s="137">
        <f>Transportation_LCIA!C$61*($W361^Transportation_LCIA!C$60)+Transportation_LCIA!C$62</f>
        <v>0.13410983014831226</v>
      </c>
      <c r="Z361" s="137">
        <f>Transportation_LCIA!D$61*($W361^Transportation_LCIA!D$60)+Transportation_LCIA!D$62</f>
        <v>1.2750636922893839</v>
      </c>
      <c r="AA361" s="137">
        <f>Transportation_LCIA!E$61*($W361^Transportation_LCIA!E$60)+Transportation_LCIA!E$62</f>
        <v>3.945830816743962E-4</v>
      </c>
      <c r="AB361" s="137">
        <f>Transportation_LCIA!F$61*($W361^Transportation_LCIA!F$60)+Transportation_LCIA!F$62</f>
        <v>0.13410983014831226</v>
      </c>
      <c r="AC361" s="137">
        <f>Transportation_LCIA!G$61*($W361^Transportation_LCIA!G$60)+Transportation_LCIA!G$62</f>
        <v>3.0022381689887842E-2</v>
      </c>
      <c r="AD361" s="137">
        <f>Transportation_LCIA!H$61*($W361^Transportation_LCIA!H$60)+Transportation_LCIA!H$62</f>
        <v>1.1479775437180469E-4</v>
      </c>
      <c r="AE361" s="137">
        <f>Transportation_LCIA!I$61*($W361^Transportation_LCIA!I$60)+Transportation_LCIA!I$62</f>
        <v>1.9537711263723941E-6</v>
      </c>
      <c r="AF361" s="137">
        <f>Transportation_LCIA!J$61*($W361^Transportation_LCIA!J$60)+Transportation_LCIA!J$62</f>
        <v>2.960025709740249E-3</v>
      </c>
      <c r="AG361" s="137">
        <f>Transportation_LCIA!K$61*($W361^Transportation_LCIA!K$60)+Transportation_LCIA!K$62</f>
        <v>5.9312865998840157E-3</v>
      </c>
      <c r="AH361" s="137">
        <f>Transportation_LCIA!L$61*($W361^Transportation_LCIA!L$60)+Transportation_LCIA!L$62</f>
        <v>9.2130525424215489E-5</v>
      </c>
      <c r="AI361" s="137">
        <f>Transportation_LCIA!M$61*($W361^Transportation_LCIA!M$60)+Transportation_LCIA!M$62</f>
        <v>1.5428727202023863E-4</v>
      </c>
      <c r="AJ361" s="137">
        <f>Transportation_LCIA!N$61*($W361^Transportation_LCIA!N$60)+Transportation_LCIA!N$62</f>
        <v>4.4397134188153039E-4</v>
      </c>
      <c r="AK361" s="137">
        <f>Transportation_LCIA!O$61*($W361^Transportation_LCIA!O$60)+Transportation_LCIA!O$62</f>
        <v>3.159140959269419E-5</v>
      </c>
      <c r="AL361" s="137">
        <f>Transportation_LCIA!P$61*($W361^Transportation_LCIA!P$60)+Transportation_LCIA!P$62</f>
        <v>1.5325457493794949E-8</v>
      </c>
      <c r="AM361" s="137">
        <f>Transportation_LCIA!Q$61*($W361^Transportation_LCIA!Q$60)+Transportation_LCIA!Q$62</f>
        <v>3.7429937539717766E-5</v>
      </c>
      <c r="AN361" s="137">
        <f>Transportation_LCIA!R$61*($W361^Transportation_LCIA!R$60)+Transportation_LCIA!R$62</f>
        <v>9.4658893049615744E-5</v>
      </c>
      <c r="AO361" s="137">
        <f>Transportation_LCIA!S$61*($W361^Transportation_LCIA!S$60)+Transportation_LCIA!S$62</f>
        <v>1.5975234452295921E-6</v>
      </c>
      <c r="AP361" s="137">
        <f>Transportation_LCIA!T$61*($W361^Transportation_LCIA!T$60)+Transportation_LCIA!T$62</f>
        <v>1.5975234452295921E-6</v>
      </c>
      <c r="AQ361" s="137">
        <f>Transportation_LCIA!U$61*($W361^Transportation_LCIA!U$60)+Transportation_LCIA!U$62</f>
        <v>1.9645456769131977E-4</v>
      </c>
      <c r="AR361" s="137">
        <f>Transportation_LCIA!V$61*($W361^Transportation_LCIA!V$60)+Transportation_LCIA!V$62</f>
        <v>9.8113228741500703E-5</v>
      </c>
      <c r="AT361" s="137">
        <f>$W361*Y361+$L361*Summary_LCIA!H$32</f>
        <v>1042.9079303645924</v>
      </c>
      <c r="AU361" s="137">
        <f>$W361*Z361+$L361*Summary_LCIA!Q$32</f>
        <v>9945.2049942558187</v>
      </c>
      <c r="AV361" s="137">
        <f>$W361*AA361+$L361*Summary_LCIA!R$32</f>
        <v>3.141779126161905</v>
      </c>
      <c r="AW361" s="137">
        <f>$W361*AB361+$L361*Summary_LCIA!S$32</f>
        <v>1042.8319859245926</v>
      </c>
      <c r="AX361" s="137">
        <f>$W361*AC361+$L361*Summary_LCIA!T$32</f>
        <v>234.05096978750032</v>
      </c>
      <c r="AY361" s="137">
        <f>$W361*AD361+$L361*Summary_LCIA!U$32</f>
        <v>1.195527816275622</v>
      </c>
      <c r="AZ361" s="137">
        <f>$W361*AE361+$L361*Summary_LCIA!V$32</f>
        <v>1.5929114965308133E-2</v>
      </c>
      <c r="BA361" s="137">
        <f>$W361*AF361+$L361*Summary_LCIA!W$32</f>
        <v>24.212354149320912</v>
      </c>
      <c r="BB361" s="137">
        <f>$W361*AG361+$L361*Summary_LCIA!X$32</f>
        <v>46.257964311411286</v>
      </c>
      <c r="BC361" s="137">
        <f>$W361*AH361+$L361*Summary_LCIA!Y$32</f>
        <v>0.98017402009183163</v>
      </c>
      <c r="BD361" s="137">
        <f>$W361*AI361+$L361*Summary_LCIA!Z$32</f>
        <v>1.1938059861005248</v>
      </c>
      <c r="BE361" s="137">
        <f>$W361*AJ361+$L361*Summary_LCIA!AA$32</f>
        <v>3.8345271212984331</v>
      </c>
      <c r="BF361" s="137">
        <f>$W361*AK361+$L361*Summary_LCIA!AB$32</f>
        <v>0.24392097656634504</v>
      </c>
      <c r="BG361" s="137">
        <f>$W361*AL361+$L361*Summary_LCIA!AC$32</f>
        <v>1.1935147858951307E-4</v>
      </c>
      <c r="BH361" s="137">
        <f>$W361*AM361+$L361*Summary_LCIA!AD$32</f>
        <v>0.29650768558677021</v>
      </c>
      <c r="BI361" s="137">
        <f>$W361*AN361+$L361*Summary_LCIA!AE$32</f>
        <v>0.74722141410242282</v>
      </c>
      <c r="BJ361" s="137">
        <f>$W361*AO361+$L361*Summary_LCIA!AF$32</f>
        <v>2.6879633445615191E-2</v>
      </c>
      <c r="BK361" s="137">
        <f>$W361*AP361+$L361*Summary_LCIA!AG$32</f>
        <v>1.3232744035615191E-2</v>
      </c>
      <c r="BL361" s="137">
        <f>$W361*AQ361+$L361*Summary_LCIA!AH$32</f>
        <v>1.6687257467633985</v>
      </c>
      <c r="BM361" s="137">
        <f>$W361*AR361+$L361*Summary_LCIA!AI$32</f>
        <v>0.77471415131738519</v>
      </c>
    </row>
    <row r="362" spans="1:65" x14ac:dyDescent="0.25">
      <c r="A362" s="149">
        <v>13</v>
      </c>
      <c r="B362" s="149">
        <v>15</v>
      </c>
      <c r="C362" s="61">
        <v>51.378222999999998</v>
      </c>
      <c r="D362" s="61">
        <v>-2.3263989999999999</v>
      </c>
      <c r="E362" s="61" t="s">
        <v>463</v>
      </c>
      <c r="F362" s="149">
        <v>7</v>
      </c>
      <c r="G362" s="61" t="s">
        <v>628</v>
      </c>
      <c r="H362" s="61" t="s">
        <v>629</v>
      </c>
      <c r="I362" s="61">
        <v>51.470022</v>
      </c>
      <c r="J362" s="61">
        <v>-0.45429599999999998</v>
      </c>
      <c r="K362" s="61">
        <v>149.81618209999999</v>
      </c>
      <c r="L362" s="61">
        <v>198.58</v>
      </c>
      <c r="M362" s="61" t="s">
        <v>589</v>
      </c>
      <c r="N362" s="149">
        <v>14</v>
      </c>
      <c r="O362" s="149">
        <v>15</v>
      </c>
      <c r="P362" s="61" t="s">
        <v>567</v>
      </c>
      <c r="Q362" s="61" t="s">
        <v>566</v>
      </c>
      <c r="R362" s="61">
        <v>50.037932599999998</v>
      </c>
      <c r="S362" s="61">
        <v>8.5621518000000005</v>
      </c>
      <c r="T362" s="61"/>
      <c r="U362" s="61" t="s">
        <v>622</v>
      </c>
      <c r="V362" s="61" t="s">
        <v>569</v>
      </c>
      <c r="W362" s="61" cm="1">
        <f t="array" ref="W362">getDistance(I362,J362,R362,S362)*SA!$B$12</f>
        <v>655.49865109245718</v>
      </c>
      <c r="Y362" s="137">
        <f>Transportation_LCIA!C$61*($W362^Transportation_LCIA!C$60)+Transportation_LCIA!C$62</f>
        <v>0.28808630932385726</v>
      </c>
      <c r="Z362" s="137">
        <f>Transportation_LCIA!D$61*($W362^Transportation_LCIA!D$60)+Transportation_LCIA!D$62</f>
        <v>3.0403453180333315</v>
      </c>
      <c r="AA362" s="137">
        <f>Transportation_LCIA!E$61*($W362^Transportation_LCIA!E$60)+Transportation_LCIA!E$62</f>
        <v>1.5496127326841335E-3</v>
      </c>
      <c r="AB362" s="137">
        <f>Transportation_LCIA!F$61*($W362^Transportation_LCIA!F$60)+Transportation_LCIA!F$62</f>
        <v>0.28808630932385726</v>
      </c>
      <c r="AC362" s="137">
        <f>Transportation_LCIA!G$61*($W362^Transportation_LCIA!G$60)+Transportation_LCIA!G$62</f>
        <v>7.0904955875308692E-2</v>
      </c>
      <c r="AD362" s="137">
        <f>Transportation_LCIA!H$61*($W362^Transportation_LCIA!H$60)+Transportation_LCIA!H$62</f>
        <v>3.6638661442350167E-4</v>
      </c>
      <c r="AE362" s="137">
        <f>Transportation_LCIA!I$61*($W362^Transportation_LCIA!I$60)+Transportation_LCIA!I$62</f>
        <v>8.1949302872625628E-6</v>
      </c>
      <c r="AF362" s="137">
        <f>Transportation_LCIA!J$61*($W362^Transportation_LCIA!J$60)+Transportation_LCIA!J$62</f>
        <v>1.216906133974993E-2</v>
      </c>
      <c r="AG362" s="137">
        <f>Transportation_LCIA!K$61*($W362^Transportation_LCIA!K$60)+Transportation_LCIA!K$62</f>
        <v>1.5391950999787709E-2</v>
      </c>
      <c r="AH362" s="137">
        <f>Transportation_LCIA!L$61*($W362^Transportation_LCIA!L$60)+Transportation_LCIA!L$62</f>
        <v>3.224475626051792E-4</v>
      </c>
      <c r="AI362" s="137">
        <f>Transportation_LCIA!M$61*($W362^Transportation_LCIA!M$60)+Transportation_LCIA!M$62</f>
        <v>2.9306665716547056E-4</v>
      </c>
      <c r="AJ362" s="137">
        <f>Transportation_LCIA!N$61*($W362^Transportation_LCIA!N$60)+Transportation_LCIA!N$62</f>
        <v>1.2908631335785605E-3</v>
      </c>
      <c r="AK362" s="137">
        <f>Transportation_LCIA!O$61*($W362^Transportation_LCIA!O$60)+Transportation_LCIA!O$62</f>
        <v>7.5013630480399058E-5</v>
      </c>
      <c r="AL362" s="137">
        <f>Transportation_LCIA!P$61*($W362^Transportation_LCIA!P$60)+Transportation_LCIA!P$62</f>
        <v>3.622947059126279E-8</v>
      </c>
      <c r="AM362" s="137">
        <f>Transportation_LCIA!Q$61*($W362^Transportation_LCIA!Q$60)+Transportation_LCIA!Q$62</f>
        <v>1.2728062224719001E-4</v>
      </c>
      <c r="AN362" s="137">
        <f>Transportation_LCIA!R$61*($W362^Transportation_LCIA!R$60)+Transportation_LCIA!R$62</f>
        <v>3.9383707879712856E-4</v>
      </c>
      <c r="AO362" s="137">
        <f>Transportation_LCIA!S$61*($W362^Transportation_LCIA!S$60)+Transportation_LCIA!S$62</f>
        <v>5.8462294863061377E-6</v>
      </c>
      <c r="AP362" s="137">
        <f>Transportation_LCIA!T$61*($W362^Transportation_LCIA!T$60)+Transportation_LCIA!T$62</f>
        <v>5.8462294863061377E-6</v>
      </c>
      <c r="AQ362" s="137">
        <f>Transportation_LCIA!U$61*($W362^Transportation_LCIA!U$60)+Transportation_LCIA!U$62</f>
        <v>8.5078004970210494E-4</v>
      </c>
      <c r="AR362" s="137">
        <f>Transportation_LCIA!V$61*($W362^Transportation_LCIA!V$60)+Transportation_LCIA!V$62</f>
        <v>3.311828503124549E-4</v>
      </c>
      <c r="AT362" s="137">
        <f>$W362*Y362+$L362*Summary_LCIA!H$34</f>
        <v>203.62685111999281</v>
      </c>
      <c r="AU362" s="137">
        <f ca="1">$W362*Z362+$L362*Summary_LCIA!Q$34</f>
        <v>2238.2062741195168</v>
      </c>
      <c r="AV362" s="137">
        <f ca="1">$W362*AA362+$L362*Summary_LCIA!R$34</f>
        <v>1.5234586839901461</v>
      </c>
      <c r="AW362" s="137">
        <f ca="1">$W362*AB362+$L362*Summary_LCIA!S$34</f>
        <v>203.4235051999928</v>
      </c>
      <c r="AX362" s="137">
        <f ca="1">$W362*AC362+$L362*Summary_LCIA!T$34</f>
        <v>50.597247872035041</v>
      </c>
      <c r="AY362" s="137">
        <f ca="1">$W362*AD362+$L362*Summary_LCIA!U$34</f>
        <v>0.60547369953293761</v>
      </c>
      <c r="AZ362" s="137">
        <f ca="1">$W362*AE362+$L362*Summary_LCIA!V$34</f>
        <v>2.1475213689097335E-2</v>
      </c>
      <c r="BA362" s="137">
        <f ca="1">$W362*AF362+$L362*Summary_LCIA!W$34</f>
        <v>18.01482371326745</v>
      </c>
      <c r="BB362" s="137">
        <f ca="1">$W362*AG362+$L362*Summary_LCIA!X$34</f>
        <v>12.19911703804204</v>
      </c>
      <c r="BC362" s="137">
        <f ca="1">$W362*AH362+$L362*Summary_LCIA!Y$34</f>
        <v>0.55165063033574557</v>
      </c>
      <c r="BD362" s="137">
        <f ca="1">$W362*AI362+$L362*Summary_LCIA!Z$34</f>
        <v>0.19776532135214156</v>
      </c>
      <c r="BE362" s="137">
        <f ca="1">$W362*AJ362+$L362*Summary_LCIA!AA$34</f>
        <v>1.2557501508057287</v>
      </c>
      <c r="BF362" s="137">
        <f ca="1">$W362*AK362+$L362*Summary_LCIA!AB$34</f>
        <v>4.7793406831449614E-2</v>
      </c>
      <c r="BG362" s="137">
        <f ca="1">$W362*AL362+$L362*Summary_LCIA!AC$34</f>
        <v>2.4479560520366606E-5</v>
      </c>
      <c r="BH362" s="137">
        <f ca="1">$W362*AM362+$L362*Summary_LCIA!AD$34</f>
        <v>0.10551040059324165</v>
      </c>
      <c r="BI362" s="137">
        <f ca="1">$W362*AN362+$L362*Summary_LCIA!AE$34</f>
        <v>0.31772175910171152</v>
      </c>
      <c r="BJ362" s="137">
        <f ca="1">$W362*AO362+$L362*Summary_LCIA!AF$34</f>
        <v>5.1066434342250625E-2</v>
      </c>
      <c r="BK362" s="137">
        <f ca="1">$W362*AP362+$L362*Summary_LCIA!AG$34</f>
        <v>4.3759274402506224E-3</v>
      </c>
      <c r="BL362" s="137">
        <f ca="1">$W362*AQ362+$L362*Summary_LCIA!AH$34</f>
        <v>1.0101099889561036</v>
      </c>
      <c r="BM362" s="137">
        <f ca="1">$W362*AR362+$L362*Summary_LCIA!AI$34</f>
        <v>0.27284124664476933</v>
      </c>
    </row>
    <row r="363" spans="1:65" x14ac:dyDescent="0.25">
      <c r="A363" s="149">
        <v>143</v>
      </c>
      <c r="B363" s="149">
        <v>43</v>
      </c>
      <c r="C363" s="61">
        <v>-23.586715000000002</v>
      </c>
      <c r="D363" s="61">
        <v>-46.681919999999998</v>
      </c>
      <c r="E363" s="61" t="s">
        <v>465</v>
      </c>
      <c r="F363" s="149">
        <v>52</v>
      </c>
      <c r="G363" s="61" t="s">
        <v>682</v>
      </c>
      <c r="H363" s="61" t="s">
        <v>683</v>
      </c>
      <c r="I363" s="61">
        <v>-23.430572999999999</v>
      </c>
      <c r="J363" s="61">
        <v>-46.473042999999997</v>
      </c>
      <c r="K363" s="61">
        <v>27.890101319999999</v>
      </c>
      <c r="L363" s="61">
        <v>35.286999999999999</v>
      </c>
      <c r="M363" s="61" t="s">
        <v>617</v>
      </c>
      <c r="N363" s="149">
        <v>42</v>
      </c>
      <c r="O363" s="149">
        <v>43</v>
      </c>
      <c r="P363" s="61" t="s">
        <v>565</v>
      </c>
      <c r="Q363" s="61" t="s">
        <v>555</v>
      </c>
      <c r="R363" s="61">
        <v>40.6895314</v>
      </c>
      <c r="S363" s="61">
        <v>-74.174462399999996</v>
      </c>
      <c r="T363" s="61"/>
      <c r="U363" s="61" t="s">
        <v>622</v>
      </c>
      <c r="V363" s="61" t="s">
        <v>569</v>
      </c>
      <c r="W363" s="61" cm="1">
        <f t="array" ref="W363">getDistance(I363,J363,R363,S363)*SA!$B$12</f>
        <v>7675.4977192762117</v>
      </c>
      <c r="Y363" s="137">
        <f>Transportation_LCIA!C$61*($W363^Transportation_LCIA!C$60)+Transportation_LCIA!C$62</f>
        <v>0.13424943238738063</v>
      </c>
      <c r="Z363" s="137">
        <f>Transportation_LCIA!D$61*($W363^Transportation_LCIA!D$60)+Transportation_LCIA!D$62</f>
        <v>1.2765543631290379</v>
      </c>
      <c r="AA363" s="137">
        <f>Transportation_LCIA!E$61*($W363^Transportation_LCIA!E$60)+Transportation_LCIA!E$62</f>
        <v>3.9553900962361856E-4</v>
      </c>
      <c r="AB363" s="137">
        <f>Transportation_LCIA!F$61*($W363^Transportation_LCIA!F$60)+Transportation_LCIA!F$62</f>
        <v>0.13424943238738063</v>
      </c>
      <c r="AC363" s="137">
        <f>Transportation_LCIA!G$61*($W363^Transportation_LCIA!G$60)+Transportation_LCIA!G$62</f>
        <v>3.0057048635015446E-2</v>
      </c>
      <c r="AD363" s="137">
        <f>Transportation_LCIA!H$61*($W363^Transportation_LCIA!H$60)+Transportation_LCIA!H$62</f>
        <v>1.149978281190226E-4</v>
      </c>
      <c r="AE363" s="137">
        <f>Transportation_LCIA!I$61*($W363^Transportation_LCIA!I$60)+Transportation_LCIA!I$62</f>
        <v>1.9584230783402369E-6</v>
      </c>
      <c r="AF363" s="137">
        <f>Transportation_LCIA!J$61*($W363^Transportation_LCIA!J$60)+Transportation_LCIA!J$62</f>
        <v>2.9666033230189414E-3</v>
      </c>
      <c r="AG363" s="137">
        <f>Transportation_LCIA!K$61*($W363^Transportation_LCIA!K$60)+Transportation_LCIA!K$62</f>
        <v>5.939023856835134E-3</v>
      </c>
      <c r="AH363" s="137">
        <f>Transportation_LCIA!L$61*($W363^Transportation_LCIA!L$60)+Transportation_LCIA!L$62</f>
        <v>9.231034679941437E-5</v>
      </c>
      <c r="AI363" s="137">
        <f>Transportation_LCIA!M$61*($W363^Transportation_LCIA!M$60)+Transportation_LCIA!M$62</f>
        <v>1.5439739462800624E-4</v>
      </c>
      <c r="AJ363" s="137">
        <f>Transportation_LCIA!N$61*($W363^Transportation_LCIA!N$60)+Transportation_LCIA!N$62</f>
        <v>4.4464828300701579E-4</v>
      </c>
      <c r="AK363" s="137">
        <f>Transportation_LCIA!O$61*($W363^Transportation_LCIA!O$60)+Transportation_LCIA!O$62</f>
        <v>3.1628157862202805E-5</v>
      </c>
      <c r="AL363" s="137">
        <f>Transportation_LCIA!P$61*($W363^Transportation_LCIA!P$60)+Transportation_LCIA!P$62</f>
        <v>1.5343242797536933E-8</v>
      </c>
      <c r="AM363" s="137">
        <f>Transportation_LCIA!Q$61*($W363^Transportation_LCIA!Q$60)+Transportation_LCIA!Q$62</f>
        <v>3.7499396651848744E-5</v>
      </c>
      <c r="AN363" s="137">
        <f>Transportation_LCIA!R$61*($W363^Transportation_LCIA!R$60)+Transportation_LCIA!R$62</f>
        <v>9.4881540131120523E-5</v>
      </c>
      <c r="AO363" s="137">
        <f>Transportation_LCIA!S$61*($W363^Transportation_LCIA!S$60)+Transportation_LCIA!S$62</f>
        <v>1.6006945379788757E-6</v>
      </c>
      <c r="AP363" s="137">
        <f>Transportation_LCIA!T$61*($W363^Transportation_LCIA!T$60)+Transportation_LCIA!T$62</f>
        <v>1.6006945379788757E-6</v>
      </c>
      <c r="AQ363" s="137">
        <f>Transportation_LCIA!U$61*($W363^Transportation_LCIA!U$60)+Transportation_LCIA!U$62</f>
        <v>1.9693553473578207E-4</v>
      </c>
      <c r="AR363" s="137">
        <f>Transportation_LCIA!V$61*($W363^Transportation_LCIA!V$60)+Transportation_LCIA!V$62</f>
        <v>9.8291109398391277E-5</v>
      </c>
      <c r="AT363" s="137">
        <f>$W363*Y363+$L363*Summary_LCIA!H$32</f>
        <v>1042.421734703466</v>
      </c>
      <c r="AU363" s="137">
        <f>$W363*Z363+$L363*Summary_LCIA!Q$32</f>
        <v>9973.0742543582983</v>
      </c>
      <c r="AV363" s="137">
        <f>$W363*AA363+$L363*Summary_LCIA!R$32</f>
        <v>3.2217659934508553</v>
      </c>
      <c r="AW363" s="137">
        <f>$W363*AB363+$L363*Summary_LCIA!S$32</f>
        <v>1042.265766163466</v>
      </c>
      <c r="AX363" s="137">
        <f>$W363*AC363+$L363*Summary_LCIA!T$32</f>
        <v>234.58084954623524</v>
      </c>
      <c r="AY363" s="137">
        <f>$W363*AD363+$L363*Summary_LCIA!U$32</f>
        <v>1.5147968854492757</v>
      </c>
      <c r="AZ363" s="137">
        <f>$W363*AE363+$L363*Summary_LCIA!V$32</f>
        <v>1.6717214278178384E-2</v>
      </c>
      <c r="BA363" s="137">
        <f>$W363*AF363+$L363*Summary_LCIA!W$32</f>
        <v>25.486232716829115</v>
      </c>
      <c r="BB363" s="137">
        <f>$W363*AG363+$L363*Summary_LCIA!X$32</f>
        <v>46.388801927865082</v>
      </c>
      <c r="BC363" s="137">
        <f>$W363*AH363+$L363*Summary_LCIA!Y$32</f>
        <v>1.2583698903245011</v>
      </c>
      <c r="BD363" s="137">
        <f>$W363*AI363+$L363*Summary_LCIA!Z$32</f>
        <v>1.186523934912451</v>
      </c>
      <c r="BE363" s="137">
        <f>$W363*AJ363+$L363*Summary_LCIA!AA$32</f>
        <v>4.2370600541004331</v>
      </c>
      <c r="BF363" s="137">
        <f>$W363*AK363+$L363*Summary_LCIA!AB$32</f>
        <v>0.2419917853352456</v>
      </c>
      <c r="BG363" s="137">
        <f>$W363*AL363+$L363*Summary_LCIA!AC$32</f>
        <v>1.1949199480679588E-4</v>
      </c>
      <c r="BH363" s="137">
        <f>$W363*AM363+$L363*Summary_LCIA!AD$32</f>
        <v>0.302330901955499</v>
      </c>
      <c r="BI363" s="137">
        <f>$W363*AN363+$L363*Summary_LCIA!AE$32</f>
        <v>0.75953191418782984</v>
      </c>
      <c r="BJ363" s="137">
        <f>$W363*AO363+$L363*Summary_LCIA!AF$32</f>
        <v>4.2118462815514748E-2</v>
      </c>
      <c r="BK363" s="137">
        <f>$W363*AP363+$L363*Summary_LCIA!AG$32</f>
        <v>1.4091586630514749E-2</v>
      </c>
      <c r="BL363" s="137">
        <f>$W363*AQ363+$L363*Summary_LCIA!AH$32</f>
        <v>1.8187021809089365</v>
      </c>
      <c r="BM363" s="137">
        <f>$W363*AR363+$L363*Summary_LCIA!AI$32</f>
        <v>0.78730479086248084</v>
      </c>
    </row>
    <row r="364" spans="1:65" x14ac:dyDescent="0.25">
      <c r="A364" s="149">
        <v>152</v>
      </c>
      <c r="B364" s="149">
        <v>15</v>
      </c>
      <c r="C364" s="61">
        <v>41.385064</v>
      </c>
      <c r="D364" s="61">
        <v>2.1734040000000001</v>
      </c>
      <c r="E364" s="61" t="s">
        <v>466</v>
      </c>
      <c r="F364" s="149">
        <v>27</v>
      </c>
      <c r="G364" s="61" t="s">
        <v>686</v>
      </c>
      <c r="H364" s="61" t="s">
        <v>687</v>
      </c>
      <c r="I364" s="61">
        <v>41.297445000000003</v>
      </c>
      <c r="J364" s="61">
        <v>2.083294</v>
      </c>
      <c r="K364" s="61">
        <v>12.686920199999999</v>
      </c>
      <c r="L364" s="61">
        <v>16.001000000000001</v>
      </c>
      <c r="M364" s="61" t="s">
        <v>617</v>
      </c>
      <c r="N364" s="149">
        <v>14</v>
      </c>
      <c r="O364" s="149">
        <v>15</v>
      </c>
      <c r="P364" s="61" t="s">
        <v>567</v>
      </c>
      <c r="Q364" s="61" t="s">
        <v>566</v>
      </c>
      <c r="R364" s="61">
        <v>50.037932599999998</v>
      </c>
      <c r="S364" s="61">
        <v>8.5621518000000005</v>
      </c>
      <c r="T364" s="61"/>
      <c r="U364" s="61" t="s">
        <v>622</v>
      </c>
      <c r="V364" s="61" t="s">
        <v>569</v>
      </c>
      <c r="W364" s="61" cm="1">
        <f t="array" ref="W364">getDistance(I364,J364,R364,S364)*SA!$B$12</f>
        <v>1095.2369023856284</v>
      </c>
      <c r="Y364" s="137">
        <f>Transportation_LCIA!C$61*($W364^Transportation_LCIA!C$60)+Transportation_LCIA!C$62</f>
        <v>0.2264351866011447</v>
      </c>
      <c r="Z364" s="137">
        <f>Transportation_LCIA!D$61*($W364^Transportation_LCIA!D$60)+Transportation_LCIA!D$62</f>
        <v>2.3152304492897451</v>
      </c>
      <c r="AA364" s="137">
        <f>Transportation_LCIA!E$61*($W364^Transportation_LCIA!E$60)+Transportation_LCIA!E$62</f>
        <v>1.0718083398219423E-3</v>
      </c>
      <c r="AB364" s="137">
        <f>Transportation_LCIA!F$61*($W364^Transportation_LCIA!F$60)+Transportation_LCIA!F$62</f>
        <v>0.2264351866011447</v>
      </c>
      <c r="AC364" s="137">
        <f>Transportation_LCIA!G$61*($W364^Transportation_LCIA!G$60)+Transportation_LCIA!G$62</f>
        <v>5.4136539992836324E-2</v>
      </c>
      <c r="AD364" s="137">
        <f>Transportation_LCIA!H$61*($W364^Transportation_LCIA!H$60)+Transportation_LCIA!H$62</f>
        <v>2.608680383712866E-4</v>
      </c>
      <c r="AE364" s="137">
        <f>Transportation_LCIA!I$61*($W364^Transportation_LCIA!I$60)+Transportation_LCIA!I$62</f>
        <v>5.5198604378627698E-6</v>
      </c>
      <c r="AF364" s="137">
        <f>Transportation_LCIA!J$61*($W364^Transportation_LCIA!J$60)+Transportation_LCIA!J$62</f>
        <v>8.1667110368101141E-3</v>
      </c>
      <c r="AG364" s="137">
        <f>Transportation_LCIA!K$61*($W364^Transportation_LCIA!K$60)+Transportation_LCIA!K$62</f>
        <v>1.1462109730720352E-2</v>
      </c>
      <c r="AH364" s="137">
        <f>Transportation_LCIA!L$61*($W364^Transportation_LCIA!L$60)+Transportation_LCIA!L$62</f>
        <v>2.2524572299985693E-4</v>
      </c>
      <c r="AI364" s="137">
        <f>Transportation_LCIA!M$61*($W364^Transportation_LCIA!M$60)+Transportation_LCIA!M$62</f>
        <v>2.3481805286866631E-4</v>
      </c>
      <c r="AJ364" s="137">
        <f>Transportation_LCIA!N$61*($W364^Transportation_LCIA!N$60)+Transportation_LCIA!N$62</f>
        <v>9.3629043550798872E-4</v>
      </c>
      <c r="AK364" s="137">
        <f>Transportation_LCIA!O$61*($W364^Transportation_LCIA!O$60)+Transportation_LCIA!O$62</f>
        <v>5.7191195084553182E-5</v>
      </c>
      <c r="AL364" s="137">
        <f>Transportation_LCIA!P$61*($W364^Transportation_LCIA!P$60)+Transportation_LCIA!P$62</f>
        <v>2.7665624299729673E-8</v>
      </c>
      <c r="AM364" s="137">
        <f>Transportation_LCIA!Q$61*($W364^Transportation_LCIA!Q$60)+Transportation_LCIA!Q$62</f>
        <v>8.9233551687982669E-5</v>
      </c>
      <c r="AN364" s="137">
        <f>Transportation_LCIA!R$61*($W364^Transportation_LCIA!R$60)+Transportation_LCIA!R$62</f>
        <v>2.6553765925496408E-4</v>
      </c>
      <c r="AO364" s="137">
        <f>Transportation_LCIA!S$61*($W364^Transportation_LCIA!S$60)+Transportation_LCIA!S$62</f>
        <v>4.0259644405735335E-6</v>
      </c>
      <c r="AP364" s="137">
        <f>Transportation_LCIA!T$61*($W364^Transportation_LCIA!T$60)+Transportation_LCIA!T$62</f>
        <v>4.0259644405735335E-6</v>
      </c>
      <c r="AQ364" s="137">
        <f>Transportation_LCIA!U$61*($W364^Transportation_LCIA!U$60)+Transportation_LCIA!U$62</f>
        <v>5.6903968184353771E-4</v>
      </c>
      <c r="AR364" s="137">
        <f>Transportation_LCIA!V$61*($W364^Transportation_LCIA!V$60)+Transportation_LCIA!V$62</f>
        <v>2.320656434126541E-4</v>
      </c>
      <c r="AT364" s="137">
        <f>$W364*Y364+$L364*Summary_LCIA!H$32</f>
        <v>253.43731216414946</v>
      </c>
      <c r="AU364" s="137">
        <f>$W364*Z364+$L364*Summary_LCIA!Q$32</f>
        <v>2615.02758856742</v>
      </c>
      <c r="AV364" s="137">
        <f>$W364*AA364+$L364*Summary_LCIA!R$32</f>
        <v>1.2581389116576669</v>
      </c>
      <c r="AW364" s="137">
        <f>$W364*AB364+$L364*Summary_LCIA!S$32</f>
        <v>253.36658774414946</v>
      </c>
      <c r="AX364" s="137">
        <f>$W364*AC364+$L364*Summary_LCIA!T$32</f>
        <v>61.050846267629744</v>
      </c>
      <c r="AY364" s="137">
        <f>$W364*AD364+$L364*Summary_LCIA!U$32</f>
        <v>0.57235421627718319</v>
      </c>
      <c r="AZ364" s="137">
        <f>$W364*AE364+$L364*Summary_LCIA!V$32</f>
        <v>6.8097786085657974E-3</v>
      </c>
      <c r="BA364" s="137">
        <f>$W364*AF364+$L364*Summary_LCIA!W$32</f>
        <v>10.176096269634433</v>
      </c>
      <c r="BB364" s="137">
        <f>$W364*AG364+$L364*Summary_LCIA!X$32</f>
        <v>12.918228336278327</v>
      </c>
      <c r="BC364" s="137">
        <f>$W364*AH364+$L364*Summary_LCIA!Y$32</f>
        <v>0.49602500993397458</v>
      </c>
      <c r="BD364" s="137">
        <f>$W364*AI364+$L364*Summary_LCIA!Z$32</f>
        <v>0.25783758185710282</v>
      </c>
      <c r="BE364" s="137">
        <f>$W364*AJ364+$L364*Summary_LCIA!AA$32</f>
        <v>1.3991791923190606</v>
      </c>
      <c r="BF364" s="137">
        <f>$W364*AK364+$L364*Summary_LCIA!AB$32</f>
        <v>6.2288717525138204E-2</v>
      </c>
      <c r="BG364" s="137">
        <f>$W364*AL364+$L364*Summary_LCIA!AC$32</f>
        <v>3.1082605544600497E-5</v>
      </c>
      <c r="BH364" s="137">
        <f>$W364*AM364+$L364*Summary_LCIA!AD$32</f>
        <v>0.10430892977961401</v>
      </c>
      <c r="BI364" s="137">
        <f>$W364*AN364+$L364*Summary_LCIA!AE$32</f>
        <v>0.30500560951913736</v>
      </c>
      <c r="BJ364" s="137">
        <f>$W364*AO364+$L364*Summary_LCIA!AF$32</f>
        <v>1.7936950243008447E-2</v>
      </c>
      <c r="BK364" s="137">
        <f>$W364*AP364+$L364*Summary_LCIA!AG$32</f>
        <v>5.2280759880084463E-3</v>
      </c>
      <c r="BL364" s="137">
        <f>$W364*AQ364+$L364*Summary_LCIA!AH$32</f>
        <v>0.76249956207681979</v>
      </c>
      <c r="BM364" s="137">
        <f>$W364*AR364+$L364*Summary_LCIA!AI$32</f>
        <v>0.2690725879914031</v>
      </c>
    </row>
    <row r="365" spans="1:65" x14ac:dyDescent="0.25">
      <c r="A365" s="149">
        <v>180</v>
      </c>
      <c r="B365" s="149">
        <v>43</v>
      </c>
      <c r="C365" s="61">
        <v>-23.563486999999999</v>
      </c>
      <c r="D365" s="61">
        <v>-46.72101</v>
      </c>
      <c r="E365" s="61" t="s">
        <v>465</v>
      </c>
      <c r="F365" s="149">
        <v>52</v>
      </c>
      <c r="G365" s="61" t="s">
        <v>682</v>
      </c>
      <c r="H365" s="61" t="s">
        <v>683</v>
      </c>
      <c r="I365" s="61">
        <v>-23.430572999999999</v>
      </c>
      <c r="J365" s="61">
        <v>-46.473042999999997</v>
      </c>
      <c r="K365" s="61">
        <v>29.423486180000001</v>
      </c>
      <c r="L365" s="61">
        <v>47.289000000000001</v>
      </c>
      <c r="M365" s="61" t="s">
        <v>617</v>
      </c>
      <c r="N365" s="149">
        <v>42</v>
      </c>
      <c r="O365" s="149">
        <v>43</v>
      </c>
      <c r="P365" s="61" t="s">
        <v>565</v>
      </c>
      <c r="Q365" s="61" t="s">
        <v>555</v>
      </c>
      <c r="R365" s="61">
        <v>40.6895314</v>
      </c>
      <c r="S365" s="61">
        <v>-74.174462399999996</v>
      </c>
      <c r="T365" s="61"/>
      <c r="U365" s="61" t="s">
        <v>622</v>
      </c>
      <c r="V365" s="61" t="s">
        <v>569</v>
      </c>
      <c r="W365" s="61" cm="1">
        <f t="array" ref="W365">getDistance(I365,J365,R365,S365)*SA!$B$12</f>
        <v>7675.4977192762117</v>
      </c>
      <c r="Y365" s="137">
        <f>Transportation_LCIA!C$61*($W365^Transportation_LCIA!C$60)+Transportation_LCIA!C$62</f>
        <v>0.13424943238738063</v>
      </c>
      <c r="Z365" s="137">
        <f>Transportation_LCIA!D$61*($W365^Transportation_LCIA!D$60)+Transportation_LCIA!D$62</f>
        <v>1.2765543631290379</v>
      </c>
      <c r="AA365" s="137">
        <f>Transportation_LCIA!E$61*($W365^Transportation_LCIA!E$60)+Transportation_LCIA!E$62</f>
        <v>3.9553900962361856E-4</v>
      </c>
      <c r="AB365" s="137">
        <f>Transportation_LCIA!F$61*($W365^Transportation_LCIA!F$60)+Transportation_LCIA!F$62</f>
        <v>0.13424943238738063</v>
      </c>
      <c r="AC365" s="137">
        <f>Transportation_LCIA!G$61*($W365^Transportation_LCIA!G$60)+Transportation_LCIA!G$62</f>
        <v>3.0057048635015446E-2</v>
      </c>
      <c r="AD365" s="137">
        <f>Transportation_LCIA!H$61*($W365^Transportation_LCIA!H$60)+Transportation_LCIA!H$62</f>
        <v>1.149978281190226E-4</v>
      </c>
      <c r="AE365" s="137">
        <f>Transportation_LCIA!I$61*($W365^Transportation_LCIA!I$60)+Transportation_LCIA!I$62</f>
        <v>1.9584230783402369E-6</v>
      </c>
      <c r="AF365" s="137">
        <f>Transportation_LCIA!J$61*($W365^Transportation_LCIA!J$60)+Transportation_LCIA!J$62</f>
        <v>2.9666033230189414E-3</v>
      </c>
      <c r="AG365" s="137">
        <f>Transportation_LCIA!K$61*($W365^Transportation_LCIA!K$60)+Transportation_LCIA!K$62</f>
        <v>5.939023856835134E-3</v>
      </c>
      <c r="AH365" s="137">
        <f>Transportation_LCIA!L$61*($W365^Transportation_LCIA!L$60)+Transportation_LCIA!L$62</f>
        <v>9.231034679941437E-5</v>
      </c>
      <c r="AI365" s="137">
        <f>Transportation_LCIA!M$61*($W365^Transportation_LCIA!M$60)+Transportation_LCIA!M$62</f>
        <v>1.5439739462800624E-4</v>
      </c>
      <c r="AJ365" s="137">
        <f>Transportation_LCIA!N$61*($W365^Transportation_LCIA!N$60)+Transportation_LCIA!N$62</f>
        <v>4.4464828300701579E-4</v>
      </c>
      <c r="AK365" s="137">
        <f>Transportation_LCIA!O$61*($W365^Transportation_LCIA!O$60)+Transportation_LCIA!O$62</f>
        <v>3.1628157862202805E-5</v>
      </c>
      <c r="AL365" s="137">
        <f>Transportation_LCIA!P$61*($W365^Transportation_LCIA!P$60)+Transportation_LCIA!P$62</f>
        <v>1.5343242797536933E-8</v>
      </c>
      <c r="AM365" s="137">
        <f>Transportation_LCIA!Q$61*($W365^Transportation_LCIA!Q$60)+Transportation_LCIA!Q$62</f>
        <v>3.7499396651848744E-5</v>
      </c>
      <c r="AN365" s="137">
        <f>Transportation_LCIA!R$61*($W365^Transportation_LCIA!R$60)+Transportation_LCIA!R$62</f>
        <v>9.4881540131120523E-5</v>
      </c>
      <c r="AO365" s="137">
        <f>Transportation_LCIA!S$61*($W365^Transportation_LCIA!S$60)+Transportation_LCIA!S$62</f>
        <v>1.6006945379788757E-6</v>
      </c>
      <c r="AP365" s="137">
        <f>Transportation_LCIA!T$61*($W365^Transportation_LCIA!T$60)+Transportation_LCIA!T$62</f>
        <v>1.6006945379788757E-6</v>
      </c>
      <c r="AQ365" s="137">
        <f>Transportation_LCIA!U$61*($W365^Transportation_LCIA!U$60)+Transportation_LCIA!U$62</f>
        <v>1.9693553473578207E-4</v>
      </c>
      <c r="AR365" s="137">
        <f>Transportation_LCIA!V$61*($W365^Transportation_LCIA!V$60)+Transportation_LCIA!V$62</f>
        <v>9.8291109398391277E-5</v>
      </c>
      <c r="AT365" s="137">
        <f>$W365*Y365+$L365*Summary_LCIA!H$32</f>
        <v>1046.5000143034658</v>
      </c>
      <c r="AU365" s="137">
        <f>$W365*Z365+$L365*Summary_LCIA!Q$32</f>
        <v>10032.556771655165</v>
      </c>
      <c r="AV365" s="137">
        <f>$W365*AA365+$L365*Summary_LCIA!R$32</f>
        <v>3.2849637246508556</v>
      </c>
      <c r="AW365" s="137">
        <f>$W365*AB365+$L365*Summary_LCIA!S$32</f>
        <v>1046.2909969234659</v>
      </c>
      <c r="AX365" s="137">
        <f>$W365*AC365+$L365*Summary_LCIA!T$32</f>
        <v>235.89986934623525</v>
      </c>
      <c r="AY365" s="137">
        <f>$W365*AD365+$L365*Summary_LCIA!U$32</f>
        <v>1.7298007134492757</v>
      </c>
      <c r="AZ365" s="137">
        <f>$W365*AE365+$L365*Summary_LCIA!V$32</f>
        <v>1.7290441800178386E-2</v>
      </c>
      <c r="BA365" s="137">
        <f>$W365*AF365+$L365*Summary_LCIA!W$32</f>
        <v>26.410038658829116</v>
      </c>
      <c r="BB365" s="137">
        <f>$W365*AG365+$L365*Summary_LCIA!X$32</f>
        <v>46.662207487865082</v>
      </c>
      <c r="BC365" s="137">
        <f>$W365*AH365+$L365*Summary_LCIA!Y$32</f>
        <v>1.4453850543245013</v>
      </c>
      <c r="BD365" s="137">
        <f>$W365*AI365+$L365*Summary_LCIA!Z$32</f>
        <v>1.1870161249304512</v>
      </c>
      <c r="BE365" s="137">
        <f>$W365*AJ365+$L365*Summary_LCIA!AA$32</f>
        <v>4.5173787661004328</v>
      </c>
      <c r="BF365" s="137">
        <f>$W365*AK365+$L365*Summary_LCIA!AB$32</f>
        <v>0.24172986568924559</v>
      </c>
      <c r="BG365" s="137">
        <f>$W365*AL365+$L365*Summary_LCIA!AC$32</f>
        <v>1.2007870057479589E-4</v>
      </c>
      <c r="BH365" s="137">
        <f>$W365*AM365+$L365*Summary_LCIA!AD$32</f>
        <v>0.30726420403549903</v>
      </c>
      <c r="BI365" s="137">
        <f>$W365*AN365+$L365*Summary_LCIA!AE$32</f>
        <v>0.77016724644782986</v>
      </c>
      <c r="BJ365" s="137">
        <f>$W365*AO365+$L365*Summary_LCIA!AF$32</f>
        <v>5.2265193655514755E-2</v>
      </c>
      <c r="BK365" s="137">
        <f>$W365*AP365+$L365*Summary_LCIA!AG$32</f>
        <v>1.4705668960514749E-2</v>
      </c>
      <c r="BL365" s="137">
        <f>$W365*AQ365+$L365*Summary_LCIA!AH$32</f>
        <v>1.9231627881089366</v>
      </c>
      <c r="BM365" s="137">
        <f>$W365*AR365+$L365*Summary_LCIA!AI$32</f>
        <v>0.79848525396248093</v>
      </c>
    </row>
    <row r="366" spans="1:65" x14ac:dyDescent="0.25">
      <c r="A366" s="149">
        <v>184</v>
      </c>
      <c r="B366" s="149">
        <v>15</v>
      </c>
      <c r="C366" s="61">
        <v>41.598080000000003</v>
      </c>
      <c r="D366" s="61">
        <v>2.0106459999999999</v>
      </c>
      <c r="E366" s="61" t="s">
        <v>466</v>
      </c>
      <c r="F366" s="149">
        <v>27</v>
      </c>
      <c r="G366" s="61" t="s">
        <v>686</v>
      </c>
      <c r="H366" s="61" t="s">
        <v>687</v>
      </c>
      <c r="I366" s="61">
        <v>41.297445000000003</v>
      </c>
      <c r="J366" s="61">
        <v>2.083294</v>
      </c>
      <c r="K366" s="61">
        <v>34.112855140000001</v>
      </c>
      <c r="L366" s="61">
        <v>46.094000000000001</v>
      </c>
      <c r="M366" s="61" t="s">
        <v>617</v>
      </c>
      <c r="N366" s="149">
        <v>14</v>
      </c>
      <c r="O366" s="149">
        <v>15</v>
      </c>
      <c r="P366" s="61" t="s">
        <v>567</v>
      </c>
      <c r="Q366" s="61" t="s">
        <v>566</v>
      </c>
      <c r="R366" s="61">
        <v>50.037932599999998</v>
      </c>
      <c r="S366" s="61">
        <v>8.5621518000000005</v>
      </c>
      <c r="T366" s="61"/>
      <c r="U366" s="61" t="s">
        <v>622</v>
      </c>
      <c r="V366" s="61" t="s">
        <v>569</v>
      </c>
      <c r="W366" s="61" cm="1">
        <f t="array" ref="W366">getDistance(I366,J366,R366,S366)*SA!$B$12</f>
        <v>1095.2369023856284</v>
      </c>
      <c r="Y366" s="137">
        <f>Transportation_LCIA!C$61*($W366^Transportation_LCIA!C$60)+Transportation_LCIA!C$62</f>
        <v>0.2264351866011447</v>
      </c>
      <c r="Z366" s="137">
        <f>Transportation_LCIA!D$61*($W366^Transportation_LCIA!D$60)+Transportation_LCIA!D$62</f>
        <v>2.3152304492897451</v>
      </c>
      <c r="AA366" s="137">
        <f>Transportation_LCIA!E$61*($W366^Transportation_LCIA!E$60)+Transportation_LCIA!E$62</f>
        <v>1.0718083398219423E-3</v>
      </c>
      <c r="AB366" s="137">
        <f>Transportation_LCIA!F$61*($W366^Transportation_LCIA!F$60)+Transportation_LCIA!F$62</f>
        <v>0.2264351866011447</v>
      </c>
      <c r="AC366" s="137">
        <f>Transportation_LCIA!G$61*($W366^Transportation_LCIA!G$60)+Transportation_LCIA!G$62</f>
        <v>5.4136539992836324E-2</v>
      </c>
      <c r="AD366" s="137">
        <f>Transportation_LCIA!H$61*($W366^Transportation_LCIA!H$60)+Transportation_LCIA!H$62</f>
        <v>2.608680383712866E-4</v>
      </c>
      <c r="AE366" s="137">
        <f>Transportation_LCIA!I$61*($W366^Transportation_LCIA!I$60)+Transportation_LCIA!I$62</f>
        <v>5.5198604378627698E-6</v>
      </c>
      <c r="AF366" s="137">
        <f>Transportation_LCIA!J$61*($W366^Transportation_LCIA!J$60)+Transportation_LCIA!J$62</f>
        <v>8.1667110368101141E-3</v>
      </c>
      <c r="AG366" s="137">
        <f>Transportation_LCIA!K$61*($W366^Transportation_LCIA!K$60)+Transportation_LCIA!K$62</f>
        <v>1.1462109730720352E-2</v>
      </c>
      <c r="AH366" s="137">
        <f>Transportation_LCIA!L$61*($W366^Transportation_LCIA!L$60)+Transportation_LCIA!L$62</f>
        <v>2.2524572299985693E-4</v>
      </c>
      <c r="AI366" s="137">
        <f>Transportation_LCIA!M$61*($W366^Transportation_LCIA!M$60)+Transportation_LCIA!M$62</f>
        <v>2.3481805286866631E-4</v>
      </c>
      <c r="AJ366" s="137">
        <f>Transportation_LCIA!N$61*($W366^Transportation_LCIA!N$60)+Transportation_LCIA!N$62</f>
        <v>9.3629043550798872E-4</v>
      </c>
      <c r="AK366" s="137">
        <f>Transportation_LCIA!O$61*($W366^Transportation_LCIA!O$60)+Transportation_LCIA!O$62</f>
        <v>5.7191195084553182E-5</v>
      </c>
      <c r="AL366" s="137">
        <f>Transportation_LCIA!P$61*($W366^Transportation_LCIA!P$60)+Transportation_LCIA!P$62</f>
        <v>2.7665624299729673E-8</v>
      </c>
      <c r="AM366" s="137">
        <f>Transportation_LCIA!Q$61*($W366^Transportation_LCIA!Q$60)+Transportation_LCIA!Q$62</f>
        <v>8.9233551687982669E-5</v>
      </c>
      <c r="AN366" s="137">
        <f>Transportation_LCIA!R$61*($W366^Transportation_LCIA!R$60)+Transportation_LCIA!R$62</f>
        <v>2.6553765925496408E-4</v>
      </c>
      <c r="AO366" s="137">
        <f>Transportation_LCIA!S$61*($W366^Transportation_LCIA!S$60)+Transportation_LCIA!S$62</f>
        <v>4.0259644405735335E-6</v>
      </c>
      <c r="AP366" s="137">
        <f>Transportation_LCIA!T$61*($W366^Transportation_LCIA!T$60)+Transportation_LCIA!T$62</f>
        <v>4.0259644405735335E-6</v>
      </c>
      <c r="AQ366" s="137">
        <f>Transportation_LCIA!U$61*($W366^Transportation_LCIA!U$60)+Transportation_LCIA!U$62</f>
        <v>5.6903968184353771E-4</v>
      </c>
      <c r="AR366" s="137">
        <f>Transportation_LCIA!V$61*($W366^Transportation_LCIA!V$60)+Transportation_LCIA!V$62</f>
        <v>2.320656434126541E-4</v>
      </c>
      <c r="AT366" s="137">
        <f>$W366*Y366+$L366*Summary_LCIA!H$32</f>
        <v>263.66291356414945</v>
      </c>
      <c r="AU366" s="137">
        <f>$W366*Z366+$L366*Summary_LCIA!Q$32</f>
        <v>2764.1700142476889</v>
      </c>
      <c r="AV366" s="137">
        <f>$W366*AA366+$L366*Summary_LCIA!R$32</f>
        <v>1.416596612457667</v>
      </c>
      <c r="AW366" s="137">
        <f>$W366*AB366+$L366*Summary_LCIA!S$32</f>
        <v>263.45917808414947</v>
      </c>
      <c r="AX366" s="137">
        <f>$W366*AC366+$L366*Summary_LCIA!T$32</f>
        <v>64.358066967629739</v>
      </c>
      <c r="AY366" s="137">
        <f>$W366*AD366+$L366*Summary_LCIA!U$32</f>
        <v>1.1114402182771832</v>
      </c>
      <c r="AZ366" s="137">
        <f>$W366*AE366+$L366*Summary_LCIA!V$32</f>
        <v>8.2470503815657986E-3</v>
      </c>
      <c r="BA366" s="137">
        <f>$W366*AF366+$L366*Summary_LCIA!W$32</f>
        <v>12.492384572634432</v>
      </c>
      <c r="BB366" s="137">
        <f>$W366*AG366+$L366*Summary_LCIA!X$32</f>
        <v>13.603746876278327</v>
      </c>
      <c r="BC366" s="137">
        <f>$W366*AH366+$L366*Summary_LCIA!Y$32</f>
        <v>0.9649341359339747</v>
      </c>
      <c r="BD366" s="137">
        <f>$W366*AI366+$L366*Summary_LCIA!Z$32</f>
        <v>0.25907166569410284</v>
      </c>
      <c r="BE366" s="137">
        <f>$W366*AJ366+$L366*Summary_LCIA!AA$32</f>
        <v>2.1020313003190605</v>
      </c>
      <c r="BF366" s="137">
        <f>$W366*AK366+$L366*Summary_LCIA!AB$32</f>
        <v>6.1631997986138207E-2</v>
      </c>
      <c r="BG366" s="137">
        <f>$W366*AL366+$L366*Summary_LCIA!AC$32</f>
        <v>3.2553671756600498E-5</v>
      </c>
      <c r="BH366" s="137">
        <f>$W366*AM366+$L366*Summary_LCIA!AD$32</f>
        <v>0.116678356499614</v>
      </c>
      <c r="BI366" s="137">
        <f>$W366*AN366+$L366*Summary_LCIA!AE$32</f>
        <v>0.33167191960913733</v>
      </c>
      <c r="BJ366" s="137">
        <f>$W366*AO366+$L366*Summary_LCIA!AF$32</f>
        <v>4.337817430300845E-2</v>
      </c>
      <c r="BK366" s="137">
        <f>$W366*AP366+$L366*Summary_LCIA!AG$32</f>
        <v>6.7677843330084461E-3</v>
      </c>
      <c r="BL366" s="137">
        <f>$W366*AQ366+$L366*Summary_LCIA!AH$32</f>
        <v>1.0244169968768198</v>
      </c>
      <c r="BM366" s="137">
        <f>$W366*AR366+$L366*Summary_LCIA!AI$32</f>
        <v>0.29710572214140307</v>
      </c>
    </row>
    <row r="367" spans="1:65" x14ac:dyDescent="0.25">
      <c r="A367" s="149">
        <v>191</v>
      </c>
      <c r="B367" s="149">
        <v>15</v>
      </c>
      <c r="C367" s="61">
        <v>51.379922000000001</v>
      </c>
      <c r="D367" s="61">
        <v>-2.3322959999999999</v>
      </c>
      <c r="E367" s="61" t="s">
        <v>463</v>
      </c>
      <c r="F367" s="149">
        <v>7</v>
      </c>
      <c r="G367" s="61" t="s">
        <v>628</v>
      </c>
      <c r="H367" s="61" t="s">
        <v>629</v>
      </c>
      <c r="I367" s="61">
        <v>51.470022</v>
      </c>
      <c r="J367" s="61">
        <v>-0.45429599999999998</v>
      </c>
      <c r="K367" s="61">
        <v>150.26940870000001</v>
      </c>
      <c r="L367" s="61">
        <v>198.47900000000001</v>
      </c>
      <c r="M367" s="61" t="s">
        <v>589</v>
      </c>
      <c r="N367" s="149">
        <v>14</v>
      </c>
      <c r="O367" s="149">
        <v>15</v>
      </c>
      <c r="P367" s="61" t="s">
        <v>567</v>
      </c>
      <c r="Q367" s="61" t="s">
        <v>566</v>
      </c>
      <c r="R367" s="61">
        <v>50.037932599999998</v>
      </c>
      <c r="S367" s="61">
        <v>8.5621518000000005</v>
      </c>
      <c r="T367" s="61"/>
      <c r="U367" s="61" t="s">
        <v>622</v>
      </c>
      <c r="V367" s="61" t="s">
        <v>569</v>
      </c>
      <c r="W367" s="61" cm="1">
        <f t="array" ref="W367">getDistance(I367,J367,R367,S367)*SA!$B$12</f>
        <v>655.49865109245718</v>
      </c>
      <c r="Y367" s="137">
        <f>Transportation_LCIA!C$61*($W367^Transportation_LCIA!C$60)+Transportation_LCIA!C$62</f>
        <v>0.28808630932385726</v>
      </c>
      <c r="Z367" s="137">
        <f>Transportation_LCIA!D$61*($W367^Transportation_LCIA!D$60)+Transportation_LCIA!D$62</f>
        <v>3.0403453180333315</v>
      </c>
      <c r="AA367" s="137">
        <f>Transportation_LCIA!E$61*($W367^Transportation_LCIA!E$60)+Transportation_LCIA!E$62</f>
        <v>1.5496127326841335E-3</v>
      </c>
      <c r="AB367" s="137">
        <f>Transportation_LCIA!F$61*($W367^Transportation_LCIA!F$60)+Transportation_LCIA!F$62</f>
        <v>0.28808630932385726</v>
      </c>
      <c r="AC367" s="137">
        <f>Transportation_LCIA!G$61*($W367^Transportation_LCIA!G$60)+Transportation_LCIA!G$62</f>
        <v>7.0904955875308692E-2</v>
      </c>
      <c r="AD367" s="137">
        <f>Transportation_LCIA!H$61*($W367^Transportation_LCIA!H$60)+Transportation_LCIA!H$62</f>
        <v>3.6638661442350167E-4</v>
      </c>
      <c r="AE367" s="137">
        <f>Transportation_LCIA!I$61*($W367^Transportation_LCIA!I$60)+Transportation_LCIA!I$62</f>
        <v>8.1949302872625628E-6</v>
      </c>
      <c r="AF367" s="137">
        <f>Transportation_LCIA!J$61*($W367^Transportation_LCIA!J$60)+Transportation_LCIA!J$62</f>
        <v>1.216906133974993E-2</v>
      </c>
      <c r="AG367" s="137">
        <f>Transportation_LCIA!K$61*($W367^Transportation_LCIA!K$60)+Transportation_LCIA!K$62</f>
        <v>1.5391950999787709E-2</v>
      </c>
      <c r="AH367" s="137">
        <f>Transportation_LCIA!L$61*($W367^Transportation_LCIA!L$60)+Transportation_LCIA!L$62</f>
        <v>3.224475626051792E-4</v>
      </c>
      <c r="AI367" s="137">
        <f>Transportation_LCIA!M$61*($W367^Transportation_LCIA!M$60)+Transportation_LCIA!M$62</f>
        <v>2.9306665716547056E-4</v>
      </c>
      <c r="AJ367" s="137">
        <f>Transportation_LCIA!N$61*($W367^Transportation_LCIA!N$60)+Transportation_LCIA!N$62</f>
        <v>1.2908631335785605E-3</v>
      </c>
      <c r="AK367" s="137">
        <f>Transportation_LCIA!O$61*($W367^Transportation_LCIA!O$60)+Transportation_LCIA!O$62</f>
        <v>7.5013630480399058E-5</v>
      </c>
      <c r="AL367" s="137">
        <f>Transportation_LCIA!P$61*($W367^Transportation_LCIA!P$60)+Transportation_LCIA!P$62</f>
        <v>3.622947059126279E-8</v>
      </c>
      <c r="AM367" s="137">
        <f>Transportation_LCIA!Q$61*($W367^Transportation_LCIA!Q$60)+Transportation_LCIA!Q$62</f>
        <v>1.2728062224719001E-4</v>
      </c>
      <c r="AN367" s="137">
        <f>Transportation_LCIA!R$61*($W367^Transportation_LCIA!R$60)+Transportation_LCIA!R$62</f>
        <v>3.9383707879712856E-4</v>
      </c>
      <c r="AO367" s="137">
        <f>Transportation_LCIA!S$61*($W367^Transportation_LCIA!S$60)+Transportation_LCIA!S$62</f>
        <v>5.8462294863061377E-6</v>
      </c>
      <c r="AP367" s="137">
        <f>Transportation_LCIA!T$61*($W367^Transportation_LCIA!T$60)+Transportation_LCIA!T$62</f>
        <v>5.8462294863061377E-6</v>
      </c>
      <c r="AQ367" s="137">
        <f>Transportation_LCIA!U$61*($W367^Transportation_LCIA!U$60)+Transportation_LCIA!U$62</f>
        <v>8.5078004970210494E-4</v>
      </c>
      <c r="AR367" s="137">
        <f>Transportation_LCIA!V$61*($W367^Transportation_LCIA!V$60)+Transportation_LCIA!V$62</f>
        <v>3.311828503124549E-4</v>
      </c>
      <c r="AT367" s="137">
        <f>$W367*Y367+$L367*Summary_LCIA!H$34</f>
        <v>203.61933045799282</v>
      </c>
      <c r="AU367" s="137">
        <f ca="1">$W367*Z367+$L367*Summary_LCIA!Q$34</f>
        <v>2238.0815301072867</v>
      </c>
      <c r="AV367" s="137">
        <f ca="1">$W367*AA367+$L367*Summary_LCIA!R$34</f>
        <v>1.523200467390146</v>
      </c>
      <c r="AW367" s="137">
        <f ca="1">$W367*AB367+$L367*Summary_LCIA!S$34</f>
        <v>203.41608796199282</v>
      </c>
      <c r="AX367" s="137">
        <f ca="1">$W367*AC367+$L367*Summary_LCIA!T$34</f>
        <v>50.595152829035044</v>
      </c>
      <c r="AY367" s="137">
        <f ca="1">$W367*AD367+$L367*Summary_LCIA!U$34</f>
        <v>0.60528789993293763</v>
      </c>
      <c r="AZ367" s="137">
        <f ca="1">$W367*AE367+$L367*Summary_LCIA!V$34</f>
        <v>2.1467023296097336E-2</v>
      </c>
      <c r="BA367" s="137">
        <f ca="1">$W367*AF367+$L367*Summary_LCIA!W$34</f>
        <v>18.009718264267448</v>
      </c>
      <c r="BB367" s="137">
        <f ca="1">$W367*AG367+$L367*Summary_LCIA!X$34</f>
        <v>12.198044014042042</v>
      </c>
      <c r="BC367" s="137">
        <f ca="1">$W367*AH367+$L367*Summary_LCIA!Y$34</f>
        <v>0.55147755673574561</v>
      </c>
      <c r="BD367" s="137">
        <f ca="1">$W367*AI367+$L367*Summary_LCIA!Z$34</f>
        <v>0.19776244234714158</v>
      </c>
      <c r="BE367" s="137">
        <f ca="1">$W367*AJ367+$L367*Summary_LCIA!AA$34</f>
        <v>1.2555418282057287</v>
      </c>
      <c r="BF367" s="137">
        <f ca="1">$W367*AK367+$L367*Summary_LCIA!AB$34</f>
        <v>4.7794107660349611E-2</v>
      </c>
      <c r="BG367" s="137">
        <f ca="1">$W367*AL367+$L367*Summary_LCIA!AC$34</f>
        <v>2.4479188628266605E-5</v>
      </c>
      <c r="BH367" s="137">
        <f ca="1">$W367*AM367+$L367*Summary_LCIA!AD$34</f>
        <v>0.10549917141324164</v>
      </c>
      <c r="BI367" s="137">
        <f ca="1">$W367*AN367+$L367*Summary_LCIA!AE$34</f>
        <v>0.31769146516171154</v>
      </c>
      <c r="BJ367" s="137">
        <f ca="1">$W367*AO367+$L367*Summary_LCIA!AF$34</f>
        <v>5.1042410482250625E-2</v>
      </c>
      <c r="BK367" s="137">
        <f ca="1">$W367*AP367+$L367*Summary_LCIA!AG$34</f>
        <v>4.3756508921506225E-3</v>
      </c>
      <c r="BL367" s="137">
        <f ca="1">$W367*AQ367+$L367*Summary_LCIA!AH$34</f>
        <v>1.0098798806561036</v>
      </c>
      <c r="BM367" s="137">
        <f ca="1">$W367*AR367+$L367*Summary_LCIA!AI$34</f>
        <v>0.27281289089476934</v>
      </c>
    </row>
    <row r="368" spans="1:65" x14ac:dyDescent="0.25">
      <c r="A368" s="149">
        <v>192</v>
      </c>
      <c r="B368" s="149">
        <v>15</v>
      </c>
      <c r="C368" s="61">
        <v>51.379922000000001</v>
      </c>
      <c r="D368" s="61">
        <v>-2.3322959999999999</v>
      </c>
      <c r="E368" s="61" t="s">
        <v>463</v>
      </c>
      <c r="F368" s="149">
        <v>7</v>
      </c>
      <c r="G368" s="61" t="s">
        <v>628</v>
      </c>
      <c r="H368" s="61" t="s">
        <v>629</v>
      </c>
      <c r="I368" s="61">
        <v>51.470022</v>
      </c>
      <c r="J368" s="61">
        <v>-0.45429599999999998</v>
      </c>
      <c r="K368" s="61">
        <v>150.26940870000001</v>
      </c>
      <c r="L368" s="61">
        <v>198.47900000000001</v>
      </c>
      <c r="M368" s="61" t="s">
        <v>589</v>
      </c>
      <c r="N368" s="149">
        <v>14</v>
      </c>
      <c r="O368" s="149">
        <v>15</v>
      </c>
      <c r="P368" s="61" t="s">
        <v>567</v>
      </c>
      <c r="Q368" s="61" t="s">
        <v>566</v>
      </c>
      <c r="R368" s="61">
        <v>50.037932599999998</v>
      </c>
      <c r="S368" s="61">
        <v>8.5621518000000005</v>
      </c>
      <c r="T368" s="61"/>
      <c r="U368" s="61" t="s">
        <v>622</v>
      </c>
      <c r="V368" s="61" t="s">
        <v>569</v>
      </c>
      <c r="W368" s="61" cm="1">
        <f t="array" ref="W368">getDistance(I368,J368,R368,S368)*SA!$B$12</f>
        <v>655.49865109245718</v>
      </c>
      <c r="Y368" s="137">
        <f>Transportation_LCIA!C$61*($W368^Transportation_LCIA!C$60)+Transportation_LCIA!C$62</f>
        <v>0.28808630932385726</v>
      </c>
      <c r="Z368" s="137">
        <f>Transportation_LCIA!D$61*($W368^Transportation_LCIA!D$60)+Transportation_LCIA!D$62</f>
        <v>3.0403453180333315</v>
      </c>
      <c r="AA368" s="137">
        <f>Transportation_LCIA!E$61*($W368^Transportation_LCIA!E$60)+Transportation_LCIA!E$62</f>
        <v>1.5496127326841335E-3</v>
      </c>
      <c r="AB368" s="137">
        <f>Transportation_LCIA!F$61*($W368^Transportation_LCIA!F$60)+Transportation_LCIA!F$62</f>
        <v>0.28808630932385726</v>
      </c>
      <c r="AC368" s="137">
        <f>Transportation_LCIA!G$61*($W368^Transportation_LCIA!G$60)+Transportation_LCIA!G$62</f>
        <v>7.0904955875308692E-2</v>
      </c>
      <c r="AD368" s="137">
        <f>Transportation_LCIA!H$61*($W368^Transportation_LCIA!H$60)+Transportation_LCIA!H$62</f>
        <v>3.6638661442350167E-4</v>
      </c>
      <c r="AE368" s="137">
        <f>Transportation_LCIA!I$61*($W368^Transportation_LCIA!I$60)+Transportation_LCIA!I$62</f>
        <v>8.1949302872625628E-6</v>
      </c>
      <c r="AF368" s="137">
        <f>Transportation_LCIA!J$61*($W368^Transportation_LCIA!J$60)+Transportation_LCIA!J$62</f>
        <v>1.216906133974993E-2</v>
      </c>
      <c r="AG368" s="137">
        <f>Transportation_LCIA!K$61*($W368^Transportation_LCIA!K$60)+Transportation_LCIA!K$62</f>
        <v>1.5391950999787709E-2</v>
      </c>
      <c r="AH368" s="137">
        <f>Transportation_LCIA!L$61*($W368^Transportation_LCIA!L$60)+Transportation_LCIA!L$62</f>
        <v>3.224475626051792E-4</v>
      </c>
      <c r="AI368" s="137">
        <f>Transportation_LCIA!M$61*($W368^Transportation_LCIA!M$60)+Transportation_LCIA!M$62</f>
        <v>2.9306665716547056E-4</v>
      </c>
      <c r="AJ368" s="137">
        <f>Transportation_LCIA!N$61*($W368^Transportation_LCIA!N$60)+Transportation_LCIA!N$62</f>
        <v>1.2908631335785605E-3</v>
      </c>
      <c r="AK368" s="137">
        <f>Transportation_LCIA!O$61*($W368^Transportation_LCIA!O$60)+Transportation_LCIA!O$62</f>
        <v>7.5013630480399058E-5</v>
      </c>
      <c r="AL368" s="137">
        <f>Transportation_LCIA!P$61*($W368^Transportation_LCIA!P$60)+Transportation_LCIA!P$62</f>
        <v>3.622947059126279E-8</v>
      </c>
      <c r="AM368" s="137">
        <f>Transportation_LCIA!Q$61*($W368^Transportation_LCIA!Q$60)+Transportation_LCIA!Q$62</f>
        <v>1.2728062224719001E-4</v>
      </c>
      <c r="AN368" s="137">
        <f>Transportation_LCIA!R$61*($W368^Transportation_LCIA!R$60)+Transportation_LCIA!R$62</f>
        <v>3.9383707879712856E-4</v>
      </c>
      <c r="AO368" s="137">
        <f>Transportation_LCIA!S$61*($W368^Transportation_LCIA!S$60)+Transportation_LCIA!S$62</f>
        <v>5.8462294863061377E-6</v>
      </c>
      <c r="AP368" s="137">
        <f>Transportation_LCIA!T$61*($W368^Transportation_LCIA!T$60)+Transportation_LCIA!T$62</f>
        <v>5.8462294863061377E-6</v>
      </c>
      <c r="AQ368" s="137">
        <f>Transportation_LCIA!U$61*($W368^Transportation_LCIA!U$60)+Transportation_LCIA!U$62</f>
        <v>8.5078004970210494E-4</v>
      </c>
      <c r="AR368" s="137">
        <f>Transportation_LCIA!V$61*($W368^Transportation_LCIA!V$60)+Transportation_LCIA!V$62</f>
        <v>3.311828503124549E-4</v>
      </c>
      <c r="AT368" s="137">
        <f>$W368*Y368+$L368*Summary_LCIA!H$34</f>
        <v>203.61933045799282</v>
      </c>
      <c r="AU368" s="137">
        <f ca="1">$W368*Z368+$L368*Summary_LCIA!Q$34</f>
        <v>2238.0815301072867</v>
      </c>
      <c r="AV368" s="137">
        <f ca="1">$W368*AA368+$L368*Summary_LCIA!R$34</f>
        <v>1.523200467390146</v>
      </c>
      <c r="AW368" s="137">
        <f ca="1">$W368*AB368+$L368*Summary_LCIA!S$34</f>
        <v>203.41608796199282</v>
      </c>
      <c r="AX368" s="137">
        <f ca="1">$W368*AC368+$L368*Summary_LCIA!T$34</f>
        <v>50.595152829035044</v>
      </c>
      <c r="AY368" s="137">
        <f ca="1">$W368*AD368+$L368*Summary_LCIA!U$34</f>
        <v>0.60528789993293763</v>
      </c>
      <c r="AZ368" s="137">
        <f ca="1">$W368*AE368+$L368*Summary_LCIA!V$34</f>
        <v>2.1467023296097336E-2</v>
      </c>
      <c r="BA368" s="137">
        <f ca="1">$W368*AF368+$L368*Summary_LCIA!W$34</f>
        <v>18.009718264267448</v>
      </c>
      <c r="BB368" s="137">
        <f ca="1">$W368*AG368+$L368*Summary_LCIA!X$34</f>
        <v>12.198044014042042</v>
      </c>
      <c r="BC368" s="137">
        <f ca="1">$W368*AH368+$L368*Summary_LCIA!Y$34</f>
        <v>0.55147755673574561</v>
      </c>
      <c r="BD368" s="137">
        <f ca="1">$W368*AI368+$L368*Summary_LCIA!Z$34</f>
        <v>0.19776244234714158</v>
      </c>
      <c r="BE368" s="137">
        <f ca="1">$W368*AJ368+$L368*Summary_LCIA!AA$34</f>
        <v>1.2555418282057287</v>
      </c>
      <c r="BF368" s="137">
        <f ca="1">$W368*AK368+$L368*Summary_LCIA!AB$34</f>
        <v>4.7794107660349611E-2</v>
      </c>
      <c r="BG368" s="137">
        <f ca="1">$W368*AL368+$L368*Summary_LCIA!AC$34</f>
        <v>2.4479188628266605E-5</v>
      </c>
      <c r="BH368" s="137">
        <f ca="1">$W368*AM368+$L368*Summary_LCIA!AD$34</f>
        <v>0.10549917141324164</v>
      </c>
      <c r="BI368" s="137">
        <f ca="1">$W368*AN368+$L368*Summary_LCIA!AE$34</f>
        <v>0.31769146516171154</v>
      </c>
      <c r="BJ368" s="137">
        <f ca="1">$W368*AO368+$L368*Summary_LCIA!AF$34</f>
        <v>5.1042410482250625E-2</v>
      </c>
      <c r="BK368" s="137">
        <f ca="1">$W368*AP368+$L368*Summary_LCIA!AG$34</f>
        <v>4.3756508921506225E-3</v>
      </c>
      <c r="BL368" s="137">
        <f ca="1">$W368*AQ368+$L368*Summary_LCIA!AH$34</f>
        <v>1.0098798806561036</v>
      </c>
      <c r="BM368" s="137">
        <f ca="1">$W368*AR368+$L368*Summary_LCIA!AI$34</f>
        <v>0.27281289089476934</v>
      </c>
    </row>
    <row r="369" spans="1:65" x14ac:dyDescent="0.25">
      <c r="A369" s="149">
        <v>210</v>
      </c>
      <c r="B369" s="149">
        <v>15</v>
      </c>
      <c r="C369" s="61">
        <v>45.434493000000003</v>
      </c>
      <c r="D369" s="61">
        <v>12.326169</v>
      </c>
      <c r="E369" s="61" t="s">
        <v>421</v>
      </c>
      <c r="F369" s="149">
        <v>38</v>
      </c>
      <c r="G369" s="61" t="s">
        <v>698</v>
      </c>
      <c r="H369" s="61" t="s">
        <v>699</v>
      </c>
      <c r="I369" s="61">
        <v>45.434497</v>
      </c>
      <c r="J369" s="61">
        <v>12.323981</v>
      </c>
      <c r="K369" s="61">
        <v>334.31596839999997</v>
      </c>
      <c r="L369" s="61">
        <v>0.29699999999999999</v>
      </c>
      <c r="M369" s="61" t="s">
        <v>589</v>
      </c>
      <c r="N369" s="149">
        <v>14</v>
      </c>
      <c r="O369" s="149">
        <v>15</v>
      </c>
      <c r="P369" s="61" t="s">
        <v>567</v>
      </c>
      <c r="Q369" s="61" t="s">
        <v>566</v>
      </c>
      <c r="R369" s="61">
        <v>50.037932599999998</v>
      </c>
      <c r="S369" s="61">
        <v>8.5621518000000005</v>
      </c>
      <c r="T369" s="61"/>
      <c r="U369" s="61" t="s">
        <v>622</v>
      </c>
      <c r="V369" s="61" t="s">
        <v>569</v>
      </c>
      <c r="W369" s="61" cm="1">
        <f t="array" ref="W369">getDistance(I369,J369,R369,S369)*SA!$B$12</f>
        <v>584.95313949846002</v>
      </c>
      <c r="Y369" s="137">
        <f>Transportation_LCIA!C$61*($W369^Transportation_LCIA!C$60)+Transportation_LCIA!C$62</f>
        <v>0.30574623046614952</v>
      </c>
      <c r="Z369" s="137">
        <f>Transportation_LCIA!D$61*($W369^Transportation_LCIA!D$60)+Transportation_LCIA!D$62</f>
        <v>3.2507376071015406</v>
      </c>
      <c r="AA369" s="137">
        <f>Transportation_LCIA!E$61*($W369^Transportation_LCIA!E$60)+Transportation_LCIA!E$62</f>
        <v>1.6887479023184712E-3</v>
      </c>
      <c r="AB369" s="137">
        <f>Transportation_LCIA!F$61*($W369^Transportation_LCIA!F$60)+Transportation_LCIA!F$62</f>
        <v>0.30574623046614952</v>
      </c>
      <c r="AC369" s="137">
        <f>Transportation_LCIA!G$61*($W369^Transportation_LCIA!G$60)+Transportation_LCIA!G$62</f>
        <v>7.5766680505384543E-2</v>
      </c>
      <c r="AD369" s="137">
        <f>Transportation_LCIA!H$61*($W369^Transportation_LCIA!H$60)+Transportation_LCIA!H$62</f>
        <v>3.9733235517551955E-4</v>
      </c>
      <c r="AE369" s="137">
        <f>Transportation_LCIA!I$61*($W369^Transportation_LCIA!I$60)+Transportation_LCIA!I$62</f>
        <v>8.9884636137525969E-6</v>
      </c>
      <c r="AF369" s="137">
        <f>Transportation_LCIA!J$61*($W369^Transportation_LCIA!J$60)+Transportation_LCIA!J$62</f>
        <v>1.3365187640031041E-2</v>
      </c>
      <c r="AG369" s="137">
        <f>Transportation_LCIA!K$61*($W369^Transportation_LCIA!K$60)+Transportation_LCIA!K$62</f>
        <v>1.6538740865555596E-2</v>
      </c>
      <c r="AH369" s="137">
        <f>Transportation_LCIA!L$61*($W369^Transportation_LCIA!L$60)+Transportation_LCIA!L$62</f>
        <v>3.5104714365999959E-4</v>
      </c>
      <c r="AI369" s="137">
        <f>Transportation_LCIA!M$61*($W369^Transportation_LCIA!M$60)+Transportation_LCIA!M$62</f>
        <v>3.1015600170514814E-4</v>
      </c>
      <c r="AJ369" s="137">
        <f>Transportation_LCIA!N$61*($W369^Transportation_LCIA!N$60)+Transportation_LCIA!N$62</f>
        <v>1.3947552630796185E-3</v>
      </c>
      <c r="AK369" s="137">
        <f>Transportation_LCIA!O$61*($W369^Transportation_LCIA!O$60)+Transportation_LCIA!O$62</f>
        <v>8.0182771249620618E-5</v>
      </c>
      <c r="AL369" s="137">
        <f>Transportation_LCIA!P$61*($W369^Transportation_LCIA!P$60)+Transportation_LCIA!P$62</f>
        <v>3.8710923614024024E-8</v>
      </c>
      <c r="AM369" s="137">
        <f>Transportation_LCIA!Q$61*($W369^Transportation_LCIA!Q$60)+Transportation_LCIA!Q$62</f>
        <v>1.3849478631109845E-4</v>
      </c>
      <c r="AN369" s="137">
        <f>Transportation_LCIA!R$61*($W369^Transportation_LCIA!R$60)+Transportation_LCIA!R$62</f>
        <v>4.3190633337534618E-4</v>
      </c>
      <c r="AO369" s="137">
        <f>Transportation_LCIA!S$61*($W369^Transportation_LCIA!S$60)+Transportation_LCIA!S$62</f>
        <v>6.3860664665247732E-6</v>
      </c>
      <c r="AP369" s="137">
        <f>Transportation_LCIA!T$61*($W369^Transportation_LCIA!T$60)+Transportation_LCIA!T$62</f>
        <v>6.3860664665247732E-6</v>
      </c>
      <c r="AQ369" s="137">
        <f>Transportation_LCIA!U$61*($W369^Transportation_LCIA!U$60)+Transportation_LCIA!U$62</f>
        <v>9.3455951796051785E-4</v>
      </c>
      <c r="AR369" s="137">
        <f>Transportation_LCIA!V$61*($W369^Transportation_LCIA!V$60)+Transportation_LCIA!V$62</f>
        <v>3.6046312647041275E-4</v>
      </c>
      <c r="AT369" s="137">
        <f>$W369*Y369+$L369*Summary_LCIA!H$34</f>
        <v>178.86933261499385</v>
      </c>
      <c r="AU369" s="137">
        <f ca="1">$W369*Z369+$L369*Summary_LCIA!Q$34</f>
        <v>1901.8959904610674</v>
      </c>
      <c r="AV369" s="137">
        <f ca="1">$W369*AA369+$L369*Summary_LCIA!R$34</f>
        <v>0.98859769748262838</v>
      </c>
      <c r="AW369" s="137">
        <f ca="1">$W369*AB369+$L369*Summary_LCIA!S$34</f>
        <v>178.86902848699387</v>
      </c>
      <c r="AX369" s="137">
        <f ca="1">$W369*AC369+$L369*Summary_LCIA!T$34</f>
        <v>44.326118302001461</v>
      </c>
      <c r="AY369" s="137">
        <f ca="1">$W369*AD369+$L369*Summary_LCIA!U$34</f>
        <v>0.23296716978423737</v>
      </c>
      <c r="AZ369" s="137">
        <f ca="1">$W369*AE369+$L369*Summary_LCIA!V$34</f>
        <v>5.2819146311322554E-3</v>
      </c>
      <c r="BA369" s="137">
        <f ca="1">$W369*AF369+$L369*Summary_LCIA!W$34</f>
        <v>7.8330215230221709</v>
      </c>
      <c r="BB369" s="137">
        <f ca="1">$W369*AG369+$L369*Summary_LCIA!X$34</f>
        <v>9.6775437206582247</v>
      </c>
      <c r="BC369" s="137">
        <f ca="1">$W369*AH369+$L369*Summary_LCIA!Y$34</f>
        <v>0.20585506799588368</v>
      </c>
      <c r="BD369" s="137">
        <f ca="1">$W369*AI369+$L369*Summary_LCIA!Z$34</f>
        <v>0.18143519291671614</v>
      </c>
      <c r="BE369" s="137">
        <f ca="1">$W369*AJ369+$L369*Summary_LCIA!AA$34</f>
        <v>0.81647906217042343</v>
      </c>
      <c r="BF369" s="137">
        <f ca="1">$W369*AK369+$L369*Summary_LCIA!AB$34</f>
        <v>4.690110292285244E-2</v>
      </c>
      <c r="BG369" s="137">
        <f ca="1">$W369*AL369+$L369*Summary_LCIA!AC$34</f>
        <v>2.2645169884608423E-5</v>
      </c>
      <c r="BH369" s="137">
        <f ca="1">$W369*AM369+$L369*Summary_LCIA!AD$34</f>
        <v>8.104598051684539E-2</v>
      </c>
      <c r="BI369" s="137">
        <f ca="1">$W369*AN369+$L369*Summary_LCIA!AE$34</f>
        <v>0.25273404785717724</v>
      </c>
      <c r="BJ369" s="137">
        <f ca="1">$W369*AO369+$L369*Summary_LCIA!AF$34</f>
        <v>3.8061940486395032E-3</v>
      </c>
      <c r="BK369" s="137">
        <f ca="1">$W369*AP369+$L369*Summary_LCIA!AG$34</f>
        <v>3.7363628443395033E-3</v>
      </c>
      <c r="BL369" s="137">
        <f ca="1">$W369*AQ369+$L369*Summary_LCIA!AH$34</f>
        <v>0.54735017917917239</v>
      </c>
      <c r="BM369" s="137">
        <f ca="1">$W369*AR369+$L369*Summary_LCIA!AI$34</f>
        <v>0.21093742025229839</v>
      </c>
    </row>
    <row r="370" spans="1:65" x14ac:dyDescent="0.25">
      <c r="A370" s="149">
        <v>212</v>
      </c>
      <c r="B370" s="149">
        <v>15</v>
      </c>
      <c r="C370" s="61">
        <v>50.908388000000002</v>
      </c>
      <c r="D370" s="61">
        <v>-1.4015599999999999</v>
      </c>
      <c r="E370" s="61" t="s">
        <v>463</v>
      </c>
      <c r="F370" s="149">
        <v>7</v>
      </c>
      <c r="G370" s="61" t="s">
        <v>628</v>
      </c>
      <c r="H370" s="61" t="s">
        <v>629</v>
      </c>
      <c r="I370" s="61">
        <v>51.470022</v>
      </c>
      <c r="J370" s="61">
        <v>-0.45429599999999998</v>
      </c>
      <c r="K370" s="61">
        <v>98.568014770000005</v>
      </c>
      <c r="L370" s="61">
        <v>158.30799999999999</v>
      </c>
      <c r="M370" s="61" t="s">
        <v>589</v>
      </c>
      <c r="N370" s="149">
        <v>14</v>
      </c>
      <c r="O370" s="149">
        <v>15</v>
      </c>
      <c r="P370" s="61" t="s">
        <v>567</v>
      </c>
      <c r="Q370" s="61" t="s">
        <v>566</v>
      </c>
      <c r="R370" s="61">
        <v>50.037932599999998</v>
      </c>
      <c r="S370" s="61">
        <v>8.5621518000000005</v>
      </c>
      <c r="T370" s="61"/>
      <c r="U370" s="61" t="s">
        <v>622</v>
      </c>
      <c r="V370" s="61" t="s">
        <v>569</v>
      </c>
      <c r="W370" s="61" cm="1">
        <f t="array" ref="W370">getDistance(I370,J370,R370,S370)*SA!$B$12</f>
        <v>655.49865109245718</v>
      </c>
      <c r="Y370" s="137">
        <f>Transportation_LCIA!C$61*($W370^Transportation_LCIA!C$60)+Transportation_LCIA!C$62</f>
        <v>0.28808630932385726</v>
      </c>
      <c r="Z370" s="137">
        <f>Transportation_LCIA!D$61*($W370^Transportation_LCIA!D$60)+Transportation_LCIA!D$62</f>
        <v>3.0403453180333315</v>
      </c>
      <c r="AA370" s="137">
        <f>Transportation_LCIA!E$61*($W370^Transportation_LCIA!E$60)+Transportation_LCIA!E$62</f>
        <v>1.5496127326841335E-3</v>
      </c>
      <c r="AB370" s="137">
        <f>Transportation_LCIA!F$61*($W370^Transportation_LCIA!F$60)+Transportation_LCIA!F$62</f>
        <v>0.28808630932385726</v>
      </c>
      <c r="AC370" s="137">
        <f>Transportation_LCIA!G$61*($W370^Transportation_LCIA!G$60)+Transportation_LCIA!G$62</f>
        <v>7.0904955875308692E-2</v>
      </c>
      <c r="AD370" s="137">
        <f>Transportation_LCIA!H$61*($W370^Transportation_LCIA!H$60)+Transportation_LCIA!H$62</f>
        <v>3.6638661442350167E-4</v>
      </c>
      <c r="AE370" s="137">
        <f>Transportation_LCIA!I$61*($W370^Transportation_LCIA!I$60)+Transportation_LCIA!I$62</f>
        <v>8.1949302872625628E-6</v>
      </c>
      <c r="AF370" s="137">
        <f>Transportation_LCIA!J$61*($W370^Transportation_LCIA!J$60)+Transportation_LCIA!J$62</f>
        <v>1.216906133974993E-2</v>
      </c>
      <c r="AG370" s="137">
        <f>Transportation_LCIA!K$61*($W370^Transportation_LCIA!K$60)+Transportation_LCIA!K$62</f>
        <v>1.5391950999787709E-2</v>
      </c>
      <c r="AH370" s="137">
        <f>Transportation_LCIA!L$61*($W370^Transportation_LCIA!L$60)+Transportation_LCIA!L$62</f>
        <v>3.224475626051792E-4</v>
      </c>
      <c r="AI370" s="137">
        <f>Transportation_LCIA!M$61*($W370^Transportation_LCIA!M$60)+Transportation_LCIA!M$62</f>
        <v>2.9306665716547056E-4</v>
      </c>
      <c r="AJ370" s="137">
        <f>Transportation_LCIA!N$61*($W370^Transportation_LCIA!N$60)+Transportation_LCIA!N$62</f>
        <v>1.2908631335785605E-3</v>
      </c>
      <c r="AK370" s="137">
        <f>Transportation_LCIA!O$61*($W370^Transportation_LCIA!O$60)+Transportation_LCIA!O$62</f>
        <v>7.5013630480399058E-5</v>
      </c>
      <c r="AL370" s="137">
        <f>Transportation_LCIA!P$61*($W370^Transportation_LCIA!P$60)+Transportation_LCIA!P$62</f>
        <v>3.622947059126279E-8</v>
      </c>
      <c r="AM370" s="137">
        <f>Transportation_LCIA!Q$61*($W370^Transportation_LCIA!Q$60)+Transportation_LCIA!Q$62</f>
        <v>1.2728062224719001E-4</v>
      </c>
      <c r="AN370" s="137">
        <f>Transportation_LCIA!R$61*($W370^Transportation_LCIA!R$60)+Transportation_LCIA!R$62</f>
        <v>3.9383707879712856E-4</v>
      </c>
      <c r="AO370" s="137">
        <f>Transportation_LCIA!S$61*($W370^Transportation_LCIA!S$60)+Transportation_LCIA!S$62</f>
        <v>5.8462294863061377E-6</v>
      </c>
      <c r="AP370" s="137">
        <f>Transportation_LCIA!T$61*($W370^Transportation_LCIA!T$60)+Transportation_LCIA!T$62</f>
        <v>5.8462294863061377E-6</v>
      </c>
      <c r="AQ370" s="137">
        <f>Transportation_LCIA!U$61*($W370^Transportation_LCIA!U$60)+Transportation_LCIA!U$62</f>
        <v>8.5078004970210494E-4</v>
      </c>
      <c r="AR370" s="137">
        <f>Transportation_LCIA!V$61*($W370^Transportation_LCIA!V$60)+Transportation_LCIA!V$62</f>
        <v>3.311828503124549E-4</v>
      </c>
      <c r="AT370" s="137">
        <f>$W370*Y370+$L370*Summary_LCIA!H$34</f>
        <v>200.62811745599282</v>
      </c>
      <c r="AU370" s="137">
        <f ca="1">$W370*Z370+$L370*Summary_LCIA!Q$34</f>
        <v>2188.4667606489566</v>
      </c>
      <c r="AV370" s="137">
        <f ca="1">$W370*AA370+$L370*Summary_LCIA!R$34</f>
        <v>1.420499288790146</v>
      </c>
      <c r="AW370" s="137">
        <f ca="1">$W370*AB370+$L370*Summary_LCIA!S$34</f>
        <v>200.4660100639928</v>
      </c>
      <c r="AX370" s="137">
        <f ca="1">$W370*AC370+$L370*Summary_LCIA!T$34</f>
        <v>49.761885776035044</v>
      </c>
      <c r="AY370" s="137">
        <f ca="1">$W370*AD370+$L370*Summary_LCIA!U$34</f>
        <v>0.53138932833293751</v>
      </c>
      <c r="AZ370" s="137">
        <f ca="1">$W370*AE370+$L370*Summary_LCIA!V$34</f>
        <v>1.8209436393097331E-2</v>
      </c>
      <c r="BA370" s="137">
        <f ca="1">$W370*AF370+$L370*Summary_LCIA!W$34</f>
        <v>15.979114385267447</v>
      </c>
      <c r="BB370" s="137">
        <f ca="1">$W370*AG370+$L370*Summary_LCIA!X$34</f>
        <v>11.771267310042042</v>
      </c>
      <c r="BC370" s="137">
        <f ca="1">$W370*AH370+$L370*Summary_LCIA!Y$34</f>
        <v>0.48264053113574557</v>
      </c>
      <c r="BD370" s="137">
        <f ca="1">$W370*AI370+$L370*Summary_LCIA!Z$34</f>
        <v>0.19661736799214158</v>
      </c>
      <c r="BE370" s="137">
        <f ca="1">$W370*AJ370+$L370*Summary_LCIA!AA$34</f>
        <v>1.1726851236057287</v>
      </c>
      <c r="BF370" s="137">
        <f ca="1">$W370*AK370+$L370*Summary_LCIA!AB$34</f>
        <v>4.8072850212249614E-2</v>
      </c>
      <c r="BG370" s="137">
        <f ca="1">$W370*AL370+$L370*Summary_LCIA!AC$34</f>
        <v>2.4331274989166605E-5</v>
      </c>
      <c r="BH370" s="137">
        <f ca="1">$W370*AM370+$L370*Summary_LCIA!AD$34</f>
        <v>0.10103295963324165</v>
      </c>
      <c r="BI370" s="137">
        <f ca="1">$W370*AN370+$L370*Summary_LCIA!AE$34</f>
        <v>0.30564257542171153</v>
      </c>
      <c r="BJ370" s="137">
        <f ca="1">$W370*AO370+$L370*Summary_LCIA!AF$34</f>
        <v>4.1487336422250623E-2</v>
      </c>
      <c r="BK370" s="137">
        <f ca="1">$W370*AP370+$L370*Summary_LCIA!AG$34</f>
        <v>4.2656586770506225E-3</v>
      </c>
      <c r="BL370" s="137">
        <f ca="1">$W370*AQ370+$L370*Summary_LCIA!AH$34</f>
        <v>0.91835829135610347</v>
      </c>
      <c r="BM370" s="137">
        <f ca="1">$W370*AR370+$L370*Summary_LCIA!AI$34</f>
        <v>0.26153488264476932</v>
      </c>
    </row>
    <row r="371" spans="1:65" x14ac:dyDescent="0.25">
      <c r="A371" s="149">
        <v>213</v>
      </c>
      <c r="B371" s="149">
        <v>15</v>
      </c>
      <c r="C371" s="61">
        <v>50.908388000000002</v>
      </c>
      <c r="D371" s="61">
        <v>-1.4015599999999999</v>
      </c>
      <c r="E371" s="61" t="s">
        <v>463</v>
      </c>
      <c r="F371" s="149">
        <v>7</v>
      </c>
      <c r="G371" s="61" t="s">
        <v>628</v>
      </c>
      <c r="H371" s="61" t="s">
        <v>629</v>
      </c>
      <c r="I371" s="61">
        <v>51.470022</v>
      </c>
      <c r="J371" s="61">
        <v>-0.45429599999999998</v>
      </c>
      <c r="K371" s="61">
        <v>98.568014770000005</v>
      </c>
      <c r="L371" s="61">
        <v>158.30799999999999</v>
      </c>
      <c r="M371" s="61" t="s">
        <v>589</v>
      </c>
      <c r="N371" s="149">
        <v>14</v>
      </c>
      <c r="O371" s="149">
        <v>15</v>
      </c>
      <c r="P371" s="61" t="s">
        <v>567</v>
      </c>
      <c r="Q371" s="61" t="s">
        <v>566</v>
      </c>
      <c r="R371" s="61">
        <v>50.037932599999998</v>
      </c>
      <c r="S371" s="61">
        <v>8.5621518000000005</v>
      </c>
      <c r="T371" s="61"/>
      <c r="U371" s="61" t="s">
        <v>622</v>
      </c>
      <c r="V371" s="61" t="s">
        <v>569</v>
      </c>
      <c r="W371" s="61" cm="1">
        <f t="array" ref="W371">getDistance(I371,J371,R371,S371)*SA!$B$12</f>
        <v>655.49865109245718</v>
      </c>
      <c r="Y371" s="137">
        <f>Transportation_LCIA!C$61*($W371^Transportation_LCIA!C$60)+Transportation_LCIA!C$62</f>
        <v>0.28808630932385726</v>
      </c>
      <c r="Z371" s="137">
        <f>Transportation_LCIA!D$61*($W371^Transportation_LCIA!D$60)+Transportation_LCIA!D$62</f>
        <v>3.0403453180333315</v>
      </c>
      <c r="AA371" s="137">
        <f>Transportation_LCIA!E$61*($W371^Transportation_LCIA!E$60)+Transportation_LCIA!E$62</f>
        <v>1.5496127326841335E-3</v>
      </c>
      <c r="AB371" s="137">
        <f>Transportation_LCIA!F$61*($W371^Transportation_LCIA!F$60)+Transportation_LCIA!F$62</f>
        <v>0.28808630932385726</v>
      </c>
      <c r="AC371" s="137">
        <f>Transportation_LCIA!G$61*($W371^Transportation_LCIA!G$60)+Transportation_LCIA!G$62</f>
        <v>7.0904955875308692E-2</v>
      </c>
      <c r="AD371" s="137">
        <f>Transportation_LCIA!H$61*($W371^Transportation_LCIA!H$60)+Transportation_LCIA!H$62</f>
        <v>3.6638661442350167E-4</v>
      </c>
      <c r="AE371" s="137">
        <f>Transportation_LCIA!I$61*($W371^Transportation_LCIA!I$60)+Transportation_LCIA!I$62</f>
        <v>8.1949302872625628E-6</v>
      </c>
      <c r="AF371" s="137">
        <f>Transportation_LCIA!J$61*($W371^Transportation_LCIA!J$60)+Transportation_LCIA!J$62</f>
        <v>1.216906133974993E-2</v>
      </c>
      <c r="AG371" s="137">
        <f>Transportation_LCIA!K$61*($W371^Transportation_LCIA!K$60)+Transportation_LCIA!K$62</f>
        <v>1.5391950999787709E-2</v>
      </c>
      <c r="AH371" s="137">
        <f>Transportation_LCIA!L$61*($W371^Transportation_LCIA!L$60)+Transportation_LCIA!L$62</f>
        <v>3.224475626051792E-4</v>
      </c>
      <c r="AI371" s="137">
        <f>Transportation_LCIA!M$61*($W371^Transportation_LCIA!M$60)+Transportation_LCIA!M$62</f>
        <v>2.9306665716547056E-4</v>
      </c>
      <c r="AJ371" s="137">
        <f>Transportation_LCIA!N$61*($W371^Transportation_LCIA!N$60)+Transportation_LCIA!N$62</f>
        <v>1.2908631335785605E-3</v>
      </c>
      <c r="AK371" s="137">
        <f>Transportation_LCIA!O$61*($W371^Transportation_LCIA!O$60)+Transportation_LCIA!O$62</f>
        <v>7.5013630480399058E-5</v>
      </c>
      <c r="AL371" s="137">
        <f>Transportation_LCIA!P$61*($W371^Transportation_LCIA!P$60)+Transportation_LCIA!P$62</f>
        <v>3.622947059126279E-8</v>
      </c>
      <c r="AM371" s="137">
        <f>Transportation_LCIA!Q$61*($W371^Transportation_LCIA!Q$60)+Transportation_LCIA!Q$62</f>
        <v>1.2728062224719001E-4</v>
      </c>
      <c r="AN371" s="137">
        <f>Transportation_LCIA!R$61*($W371^Transportation_LCIA!R$60)+Transportation_LCIA!R$62</f>
        <v>3.9383707879712856E-4</v>
      </c>
      <c r="AO371" s="137">
        <f>Transportation_LCIA!S$61*($W371^Transportation_LCIA!S$60)+Transportation_LCIA!S$62</f>
        <v>5.8462294863061377E-6</v>
      </c>
      <c r="AP371" s="137">
        <f>Transportation_LCIA!T$61*($W371^Transportation_LCIA!T$60)+Transportation_LCIA!T$62</f>
        <v>5.8462294863061377E-6</v>
      </c>
      <c r="AQ371" s="137">
        <f>Transportation_LCIA!U$61*($W371^Transportation_LCIA!U$60)+Transportation_LCIA!U$62</f>
        <v>8.5078004970210494E-4</v>
      </c>
      <c r="AR371" s="137">
        <f>Transportation_LCIA!V$61*($W371^Transportation_LCIA!V$60)+Transportation_LCIA!V$62</f>
        <v>3.311828503124549E-4</v>
      </c>
      <c r="AT371" s="137">
        <f>$W371*Y371+$L371*Summary_LCIA!H$34</f>
        <v>200.62811745599282</v>
      </c>
      <c r="AU371" s="137">
        <f ca="1">$W371*Z371+$L371*Summary_LCIA!Q$34</f>
        <v>2188.4667606489566</v>
      </c>
      <c r="AV371" s="137">
        <f ca="1">$W371*AA371+$L371*Summary_LCIA!R$34</f>
        <v>1.420499288790146</v>
      </c>
      <c r="AW371" s="137">
        <f ca="1">$W371*AB371+$L371*Summary_LCIA!S$34</f>
        <v>200.4660100639928</v>
      </c>
      <c r="AX371" s="137">
        <f ca="1">$W371*AC371+$L371*Summary_LCIA!T$34</f>
        <v>49.761885776035044</v>
      </c>
      <c r="AY371" s="137">
        <f ca="1">$W371*AD371+$L371*Summary_LCIA!U$34</f>
        <v>0.53138932833293751</v>
      </c>
      <c r="AZ371" s="137">
        <f ca="1">$W371*AE371+$L371*Summary_LCIA!V$34</f>
        <v>1.8209436393097331E-2</v>
      </c>
      <c r="BA371" s="137">
        <f ca="1">$W371*AF371+$L371*Summary_LCIA!W$34</f>
        <v>15.979114385267447</v>
      </c>
      <c r="BB371" s="137">
        <f ca="1">$W371*AG371+$L371*Summary_LCIA!X$34</f>
        <v>11.771267310042042</v>
      </c>
      <c r="BC371" s="137">
        <f ca="1">$W371*AH371+$L371*Summary_LCIA!Y$34</f>
        <v>0.48264053113574557</v>
      </c>
      <c r="BD371" s="137">
        <f ca="1">$W371*AI371+$L371*Summary_LCIA!Z$34</f>
        <v>0.19661736799214158</v>
      </c>
      <c r="BE371" s="137">
        <f ca="1">$W371*AJ371+$L371*Summary_LCIA!AA$34</f>
        <v>1.1726851236057287</v>
      </c>
      <c r="BF371" s="137">
        <f ca="1">$W371*AK371+$L371*Summary_LCIA!AB$34</f>
        <v>4.8072850212249614E-2</v>
      </c>
      <c r="BG371" s="137">
        <f ca="1">$W371*AL371+$L371*Summary_LCIA!AC$34</f>
        <v>2.4331274989166605E-5</v>
      </c>
      <c r="BH371" s="137">
        <f ca="1">$W371*AM371+$L371*Summary_LCIA!AD$34</f>
        <v>0.10103295963324165</v>
      </c>
      <c r="BI371" s="137">
        <f ca="1">$W371*AN371+$L371*Summary_LCIA!AE$34</f>
        <v>0.30564257542171153</v>
      </c>
      <c r="BJ371" s="137">
        <f ca="1">$W371*AO371+$L371*Summary_LCIA!AF$34</f>
        <v>4.1487336422250623E-2</v>
      </c>
      <c r="BK371" s="137">
        <f ca="1">$W371*AP371+$L371*Summary_LCIA!AG$34</f>
        <v>4.2656586770506225E-3</v>
      </c>
      <c r="BL371" s="137">
        <f ca="1">$W371*AQ371+$L371*Summary_LCIA!AH$34</f>
        <v>0.91835829135610347</v>
      </c>
      <c r="BM371" s="137">
        <f ca="1">$W371*AR371+$L371*Summary_LCIA!AI$34</f>
        <v>0.26153488264476932</v>
      </c>
    </row>
    <row r="372" spans="1:65" x14ac:dyDescent="0.25">
      <c r="A372" s="149">
        <v>225</v>
      </c>
      <c r="B372" s="149">
        <v>15</v>
      </c>
      <c r="C372" s="61">
        <v>55.864237000000003</v>
      </c>
      <c r="D372" s="61">
        <v>-4.2518060000000002</v>
      </c>
      <c r="E372" s="61" t="s">
        <v>463</v>
      </c>
      <c r="F372" s="149">
        <v>7</v>
      </c>
      <c r="G372" s="61" t="s">
        <v>628</v>
      </c>
      <c r="H372" s="61" t="s">
        <v>702</v>
      </c>
      <c r="I372" s="61">
        <v>53.358806000000001</v>
      </c>
      <c r="J372" s="61">
        <v>-2.2749190000000001</v>
      </c>
      <c r="K372" s="61">
        <v>565.56637360000002</v>
      </c>
      <c r="L372" s="61">
        <v>391.911</v>
      </c>
      <c r="M372" s="61" t="s">
        <v>589</v>
      </c>
      <c r="N372" s="149">
        <v>14</v>
      </c>
      <c r="O372" s="149">
        <v>15</v>
      </c>
      <c r="P372" s="61" t="s">
        <v>567</v>
      </c>
      <c r="Q372" s="61" t="s">
        <v>566</v>
      </c>
      <c r="R372" s="61">
        <v>50.037932599999998</v>
      </c>
      <c r="S372" s="61">
        <v>8.5621518000000005</v>
      </c>
      <c r="T372" s="61"/>
      <c r="U372" s="61" t="s">
        <v>622</v>
      </c>
      <c r="V372" s="61" t="s">
        <v>569</v>
      </c>
      <c r="W372" s="61" cm="1">
        <f t="array" ref="W372">getDistance(I372,J372,R372,S372)*SA!$B$12</f>
        <v>834.45951356708247</v>
      </c>
      <c r="Y372" s="137">
        <f>Transportation_LCIA!C$61*($W372^Transportation_LCIA!C$60)+Transportation_LCIA!C$62</f>
        <v>0.25578761515395765</v>
      </c>
      <c r="Z372" s="137">
        <f>Transportation_LCIA!D$61*($W372^Transportation_LCIA!D$60)+Transportation_LCIA!D$62</f>
        <v>2.6584554831640039</v>
      </c>
      <c r="AA372" s="137">
        <f>Transportation_LCIA!E$61*($W372^Transportation_LCIA!E$60)+Transportation_LCIA!E$62</f>
        <v>1.2976004287997794E-3</v>
      </c>
      <c r="AB372" s="137">
        <f>Transportation_LCIA!F$61*($W372^Transportation_LCIA!F$60)+Transportation_LCIA!F$62</f>
        <v>0.25578761515395765</v>
      </c>
      <c r="AC372" s="137">
        <f>Transportation_LCIA!G$61*($W372^Transportation_LCIA!G$60)+Transportation_LCIA!G$62</f>
        <v>6.2076387065224892E-2</v>
      </c>
      <c r="AD372" s="137">
        <f>Transportation_LCIA!H$61*($W372^Transportation_LCIA!H$60)+Transportation_LCIA!H$62</f>
        <v>3.1057016417771567E-4</v>
      </c>
      <c r="AE372" s="137">
        <f>Transportation_LCIA!I$61*($W372^Transportation_LCIA!I$60)+Transportation_LCIA!I$62</f>
        <v>6.773283996403457E-6</v>
      </c>
      <c r="AF372" s="137">
        <f>Transportation_LCIA!J$61*($W372^Transportation_LCIA!J$60)+Transportation_LCIA!J$62</f>
        <v>1.0035587537395835E-2</v>
      </c>
      <c r="AG372" s="137">
        <f>Transportation_LCIA!K$61*($W372^Transportation_LCIA!K$60)+Transportation_LCIA!K$62</f>
        <v>1.3317400969705059E-2</v>
      </c>
      <c r="AH372" s="137">
        <f>Transportation_LCIA!L$61*($W372^Transportation_LCIA!L$60)+Transportation_LCIA!L$62</f>
        <v>2.7096205446478584E-4</v>
      </c>
      <c r="AI372" s="137">
        <f>Transportation_LCIA!M$61*($W372^Transportation_LCIA!M$60)+Transportation_LCIA!M$62</f>
        <v>2.622498652937841E-4</v>
      </c>
      <c r="AJ372" s="137">
        <f>Transportation_LCIA!N$61*($W372^Transportation_LCIA!N$60)+Transportation_LCIA!N$62</f>
        <v>1.1033734706359408E-3</v>
      </c>
      <c r="AK372" s="137">
        <f>Transportation_LCIA!O$61*($W372^Transportation_LCIA!O$60)+Transportation_LCIA!O$62</f>
        <v>6.5628766150605593E-5</v>
      </c>
      <c r="AL372" s="137">
        <f>Transportation_LCIA!P$61*($W372^Transportation_LCIA!P$60)+Transportation_LCIA!P$62</f>
        <v>3.1721717308493248E-8</v>
      </c>
      <c r="AM372" s="137">
        <f>Transportation_LCIA!Q$61*($W372^Transportation_LCIA!Q$60)+Transportation_LCIA!Q$62</f>
        <v>1.0711358134759958E-4</v>
      </c>
      <c r="AN372" s="137">
        <f>Transportation_LCIA!R$61*($W372^Transportation_LCIA!R$60)+Transportation_LCIA!R$62</f>
        <v>3.2564563735062877E-4</v>
      </c>
      <c r="AO372" s="137">
        <f>Transportation_LCIA!S$61*($W372^Transportation_LCIA!S$60)+Transportation_LCIA!S$62</f>
        <v>4.8789555695481221E-6</v>
      </c>
      <c r="AP372" s="137">
        <f>Transportation_LCIA!T$61*($W372^Transportation_LCIA!T$60)+Transportation_LCIA!T$62</f>
        <v>4.8789555695481221E-6</v>
      </c>
      <c r="AQ372" s="137">
        <f>Transportation_LCIA!U$61*($W372^Transportation_LCIA!U$60)+Transportation_LCIA!U$62</f>
        <v>7.0090245999337509E-4</v>
      </c>
      <c r="AR372" s="137">
        <f>Transportation_LCIA!V$61*($W372^Transportation_LCIA!V$60)+Transportation_LCIA!V$62</f>
        <v>2.7859686284207273E-4</v>
      </c>
      <c r="AT372" s="137">
        <f>$W372*Y372+$L372*Summary_LCIA!H$34</f>
        <v>242.62688579985559</v>
      </c>
      <c r="AU372" s="137">
        <f ca="1">$W372*Z372+$L372*Summary_LCIA!Q$34</f>
        <v>2702.4185245393082</v>
      </c>
      <c r="AV372" s="137">
        <f ca="1">$W372*AA372+$L372*Summary_LCIA!R$34</f>
        <v>2.0847546852207017</v>
      </c>
      <c r="AW372" s="137">
        <f ca="1">$W372*AB372+$L372*Summary_LCIA!S$34</f>
        <v>242.22556893585559</v>
      </c>
      <c r="AX372" s="137">
        <f ca="1">$W372*AC372+$L372*Summary_LCIA!T$34</f>
        <v>59.929641627449492</v>
      </c>
      <c r="AY372" s="137">
        <f ca="1">$W372*AD372+$L372*Summary_LCIA!U$34</f>
        <v>0.98011770372818563</v>
      </c>
      <c r="AZ372" s="137">
        <f ca="1">$W372*AE372+$L372*Summary_LCIA!V$34</f>
        <v>3.7433269991890533E-2</v>
      </c>
      <c r="BA372" s="137">
        <f ca="1">$W372*AF372+$L372*Summary_LCIA!W$34</f>
        <v>28.185000633815203</v>
      </c>
      <c r="BB372" s="137">
        <f ca="1">$W372*AG372+$L372*Summary_LCIA!X$34</f>
        <v>15.276494399157876</v>
      </c>
      <c r="BC372" s="137">
        <f ca="1">$W372*AH372+$L372*Summary_LCIA!Y$34</f>
        <v>0.89768555376382253</v>
      </c>
      <c r="BD372" s="137">
        <f ca="1">$W372*AI372+$L372*Summary_LCIA!Z$34</f>
        <v>0.23000831808108396</v>
      </c>
      <c r="BE372" s="137">
        <f ca="1">$W372*AJ372+$L372*Summary_LCIA!AA$34</f>
        <v>1.7290761181896905</v>
      </c>
      <c r="BF372" s="137">
        <f ca="1">$W372*AK372+$L372*Summary_LCIA!AB$34</f>
        <v>5.2045117040142148E-2</v>
      </c>
      <c r="BG372" s="137">
        <f ca="1">$W372*AL372+$L372*Summary_LCIA!AC$34</f>
        <v>2.7913544287857777E-5</v>
      </c>
      <c r="BH372" s="137">
        <f ca="1">$W372*AM372+$L372*Summary_LCIA!AD$34</f>
        <v>0.13295461196774608</v>
      </c>
      <c r="BI372" s="137">
        <f ca="1">$W372*AN372+$L372*Summary_LCIA!AE$34</f>
        <v>0.38928788547884824</v>
      </c>
      <c r="BJ372" s="137">
        <f ca="1">$W372*AO372+$L372*Summary_LCIA!AF$34</f>
        <v>9.7291241351280533E-2</v>
      </c>
      <c r="BK372" s="137">
        <f ca="1">$W372*AP372+$L372*Summary_LCIA!AG$34</f>
        <v>5.1443824003805337E-3</v>
      </c>
      <c r="BL372" s="137">
        <f ca="1">$W372*AQ372+$L372*Summary_LCIA!AH$34</f>
        <v>1.4777655571240431</v>
      </c>
      <c r="BM372" s="137">
        <f ca="1">$W372*AR372+$L372*Summary_LCIA!AI$34</f>
        <v>0.34250681589851117</v>
      </c>
    </row>
    <row r="373" spans="1:65" x14ac:dyDescent="0.25">
      <c r="A373" s="149">
        <v>233</v>
      </c>
      <c r="B373" s="149">
        <v>15</v>
      </c>
      <c r="C373" s="61">
        <v>20.593684</v>
      </c>
      <c r="D373" s="61">
        <v>78.962879999999998</v>
      </c>
      <c r="E373" s="61" t="s">
        <v>268</v>
      </c>
      <c r="F373" s="149">
        <v>41</v>
      </c>
      <c r="G373" s="61" t="s">
        <v>704</v>
      </c>
      <c r="H373" s="61" t="s">
        <v>705</v>
      </c>
      <c r="I373" s="61">
        <v>21.090667</v>
      </c>
      <c r="J373" s="61">
        <v>79.051494000000005</v>
      </c>
      <c r="K373" s="61">
        <v>668.6216369</v>
      </c>
      <c r="L373" s="61">
        <v>61.351999999999997</v>
      </c>
      <c r="M373" s="61" t="s">
        <v>617</v>
      </c>
      <c r="N373" s="149">
        <v>14</v>
      </c>
      <c r="O373" s="149">
        <v>15</v>
      </c>
      <c r="P373" s="61" t="s">
        <v>567</v>
      </c>
      <c r="Q373" s="61" t="s">
        <v>566</v>
      </c>
      <c r="R373" s="61">
        <v>50.037932599999998</v>
      </c>
      <c r="S373" s="61">
        <v>8.5621518000000005</v>
      </c>
      <c r="T373" s="61"/>
      <c r="U373" s="61" t="s">
        <v>622</v>
      </c>
      <c r="V373" s="61" t="s">
        <v>569</v>
      </c>
      <c r="W373" s="61" cm="1">
        <f t="array" ref="W373">getDistance(I373,J373,R373,S373)*SA!$B$12</f>
        <v>6860.0261895692247</v>
      </c>
      <c r="Y373" s="137">
        <f>Transportation_LCIA!C$61*($W373^Transportation_LCIA!C$60)+Transportation_LCIA!C$62</f>
        <v>0.13645988213436686</v>
      </c>
      <c r="Z373" s="137">
        <f>Transportation_LCIA!D$61*($W373^Transportation_LCIA!D$60)+Transportation_LCIA!D$62</f>
        <v>1.3002198941689636</v>
      </c>
      <c r="AA373" s="137">
        <f>Transportation_LCIA!E$61*($W373^Transportation_LCIA!E$60)+Transportation_LCIA!E$62</f>
        <v>4.1072635750497347E-4</v>
      </c>
      <c r="AB373" s="137">
        <f>Transportation_LCIA!F$61*($W373^Transportation_LCIA!F$60)+Transportation_LCIA!F$62</f>
        <v>0.13645988213436686</v>
      </c>
      <c r="AC373" s="137">
        <f>Transportation_LCIA!G$61*($W373^Transportation_LCIA!G$60)+Transportation_LCIA!G$62</f>
        <v>3.0607327963128941E-2</v>
      </c>
      <c r="AD373" s="137">
        <f>Transportation_LCIA!H$61*($W373^Transportation_LCIA!H$60)+Transportation_LCIA!H$62</f>
        <v>1.1818117326373138E-4</v>
      </c>
      <c r="AE373" s="137">
        <f>Transportation_LCIA!I$61*($W373^Transportation_LCIA!I$60)+Transportation_LCIA!I$62</f>
        <v>2.0326147408223427E-6</v>
      </c>
      <c r="AF373" s="137">
        <f>Transportation_LCIA!J$61*($W373^Transportation_LCIA!J$60)+Transportation_LCIA!J$62</f>
        <v>3.0716685628491593E-3</v>
      </c>
      <c r="AG373" s="137">
        <f>Transportation_LCIA!K$61*($W373^Transportation_LCIA!K$60)+Transportation_LCIA!K$62</f>
        <v>6.0620037158523338E-3</v>
      </c>
      <c r="AH373" s="137">
        <f>Transportation_LCIA!L$61*($W373^Transportation_LCIA!L$60)+Transportation_LCIA!L$62</f>
        <v>9.5173384730676345E-5</v>
      </c>
      <c r="AI373" s="137">
        <f>Transportation_LCIA!M$61*($W373^Transportation_LCIA!M$60)+Transportation_LCIA!M$62</f>
        <v>1.5614967989661672E-4</v>
      </c>
      <c r="AJ373" s="137">
        <f>Transportation_LCIA!N$61*($W373^Transportation_LCIA!N$60)+Transportation_LCIA!N$62</f>
        <v>4.554169759156334E-4</v>
      </c>
      <c r="AK373" s="137">
        <f>Transportation_LCIA!O$61*($W373^Transportation_LCIA!O$60)+Transportation_LCIA!O$62</f>
        <v>3.2211517028364594E-5</v>
      </c>
      <c r="AL373" s="137">
        <f>Transportation_LCIA!P$61*($W373^Transportation_LCIA!P$60)+Transportation_LCIA!P$62</f>
        <v>1.5625519568579795E-8</v>
      </c>
      <c r="AM373" s="137">
        <f>Transportation_LCIA!Q$61*($W373^Transportation_LCIA!Q$60)+Transportation_LCIA!Q$62</f>
        <v>3.8605695227967373E-5</v>
      </c>
      <c r="AN373" s="137">
        <f>Transportation_LCIA!R$61*($W373^Transportation_LCIA!R$60)+Transportation_LCIA!R$62</f>
        <v>9.8432630251078101E-5</v>
      </c>
      <c r="AO373" s="137">
        <f>Transportation_LCIA!S$61*($W373^Transportation_LCIA!S$60)+Transportation_LCIA!S$62</f>
        <v>1.651266251491079E-6</v>
      </c>
      <c r="AP373" s="137">
        <f>Transportation_LCIA!T$61*($W373^Transportation_LCIA!T$60)+Transportation_LCIA!T$62</f>
        <v>1.651266251491079E-6</v>
      </c>
      <c r="AQ373" s="137">
        <f>Transportation_LCIA!U$61*($W373^Transportation_LCIA!U$60)+Transportation_LCIA!U$62</f>
        <v>2.0461011695863471E-4</v>
      </c>
      <c r="AR373" s="137">
        <f>Transportation_LCIA!V$61*($W373^Transportation_LCIA!V$60)+Transportation_LCIA!V$62</f>
        <v>1.0112559863672152E-4</v>
      </c>
      <c r="AT373" s="137">
        <f>$W373*Y373+$L373*Summary_LCIA!H$32</f>
        <v>956.9657748672862</v>
      </c>
      <c r="AU373" s="137">
        <f>$W373*Z373+$L373*Summary_LCIA!Q$32</f>
        <v>9223.6061323634331</v>
      </c>
      <c r="AV373" s="137">
        <f>$W373*AA373+$L373*Summary_LCIA!R$32</f>
        <v>3.1406486604304904</v>
      </c>
      <c r="AW373" s="137">
        <f>$W373*AB373+$L373*Summary_LCIA!S$32</f>
        <v>956.69459902728624</v>
      </c>
      <c r="AX373" s="137">
        <f>$W373*AC373+$L373*Summary_LCIA!T$32</f>
        <v>216.709656219799</v>
      </c>
      <c r="AY373" s="137">
        <f>$W373*AD373+$L373*Summary_LCIA!U$32</f>
        <v>1.9097856717032153</v>
      </c>
      <c r="AZ373" s="137">
        <f>$W373*AE373+$L373*Summary_LCIA!V$32</f>
        <v>1.6874023227345734E-2</v>
      </c>
      <c r="BA373" s="137">
        <f>$W373*AF373+$L373*Summary_LCIA!W$32</f>
        <v>25.794051578821694</v>
      </c>
      <c r="BB373" s="137">
        <f>$W373*AG373+$L373*Summary_LCIA!X$32</f>
        <v>42.983102812012966</v>
      </c>
      <c r="BC373" s="137">
        <f>$W373*AH373+$L373*Summary_LCIA!Y$32</f>
        <v>1.6088787758023875</v>
      </c>
      <c r="BD373" s="137">
        <f>$W373*AI373+$L373*Summary_LCIA!Z$32</f>
        <v>1.0737068777516419</v>
      </c>
      <c r="BE373" s="137">
        <f>$W373*AJ373+$L373*Summary_LCIA!AA$32</f>
        <v>4.5571096939556615</v>
      </c>
      <c r="BF373" s="137">
        <f>$W373*AK373+$L373*Summary_LCIA!AB$32</f>
        <v>0.21963296572433616</v>
      </c>
      <c r="BG373" s="137">
        <f>$W373*AL373+$L373*Summary_LCIA!AC$32</f>
        <v>1.1019060463408381E-4</v>
      </c>
      <c r="BH373" s="137">
        <f>$W373*AM373+$L373*Summary_LCIA!AD$32</f>
        <v>0.29005420641038382</v>
      </c>
      <c r="BI373" s="137">
        <f>$W373*AN373+$L373*Summary_LCIA!AE$32</f>
        <v>0.72961626919057965</v>
      </c>
      <c r="BJ373" s="137">
        <f>$W373*AO373+$L373*Summary_LCIA!AF$32</f>
        <v>6.319593757118061E-2</v>
      </c>
      <c r="BK373" s="137">
        <f>$W373*AP373+$L373*Summary_LCIA!AG$32</f>
        <v>1.4466804811180603E-2</v>
      </c>
      <c r="BL373" s="137">
        <f>$W373*AQ373+$L373*Summary_LCIA!AH$32</f>
        <v>1.9376140281870562</v>
      </c>
      <c r="BM373" s="137">
        <f>$W373*AR373+$L373*Summary_LCIA!AI$32</f>
        <v>0.75087671068377559</v>
      </c>
    </row>
    <row r="374" spans="1:65" x14ac:dyDescent="0.25">
      <c r="A374" s="149">
        <v>251</v>
      </c>
      <c r="B374" s="149">
        <v>15</v>
      </c>
      <c r="C374" s="61">
        <v>51.507351</v>
      </c>
      <c r="D374" s="61">
        <v>-0.12775800000000001</v>
      </c>
      <c r="E374" s="61" t="s">
        <v>463</v>
      </c>
      <c r="F374" s="149">
        <v>7</v>
      </c>
      <c r="G374" s="61" t="s">
        <v>628</v>
      </c>
      <c r="H374" s="61" t="s">
        <v>629</v>
      </c>
      <c r="I374" s="61">
        <v>51.470022</v>
      </c>
      <c r="J374" s="61">
        <v>-0.45429599999999998</v>
      </c>
      <c r="K374" s="61">
        <v>26.365709819999999</v>
      </c>
      <c r="L374" s="61">
        <v>29.34</v>
      </c>
      <c r="M374" s="61" t="s">
        <v>589</v>
      </c>
      <c r="N374" s="149">
        <v>14</v>
      </c>
      <c r="O374" s="149">
        <v>15</v>
      </c>
      <c r="P374" s="61" t="s">
        <v>567</v>
      </c>
      <c r="Q374" s="61" t="s">
        <v>566</v>
      </c>
      <c r="R374" s="61">
        <v>50.037932599999998</v>
      </c>
      <c r="S374" s="61">
        <v>8.5621518000000005</v>
      </c>
      <c r="T374" s="61"/>
      <c r="U374" s="61" t="s">
        <v>622</v>
      </c>
      <c r="V374" s="61" t="s">
        <v>569</v>
      </c>
      <c r="W374" s="61" cm="1">
        <f t="array" ref="W374">getDistance(I374,J374,R374,S374)*SA!$B$12</f>
        <v>655.49865109245718</v>
      </c>
      <c r="Y374" s="137">
        <f>Transportation_LCIA!C$61*($W374^Transportation_LCIA!C$60)+Transportation_LCIA!C$62</f>
        <v>0.28808630932385726</v>
      </c>
      <c r="Z374" s="137">
        <f>Transportation_LCIA!D$61*($W374^Transportation_LCIA!D$60)+Transportation_LCIA!D$62</f>
        <v>3.0403453180333315</v>
      </c>
      <c r="AA374" s="137">
        <f>Transportation_LCIA!E$61*($W374^Transportation_LCIA!E$60)+Transportation_LCIA!E$62</f>
        <v>1.5496127326841335E-3</v>
      </c>
      <c r="AB374" s="137">
        <f>Transportation_LCIA!F$61*($W374^Transportation_LCIA!F$60)+Transportation_LCIA!F$62</f>
        <v>0.28808630932385726</v>
      </c>
      <c r="AC374" s="137">
        <f>Transportation_LCIA!G$61*($W374^Transportation_LCIA!G$60)+Transportation_LCIA!G$62</f>
        <v>7.0904955875308692E-2</v>
      </c>
      <c r="AD374" s="137">
        <f>Transportation_LCIA!H$61*($W374^Transportation_LCIA!H$60)+Transportation_LCIA!H$62</f>
        <v>3.6638661442350167E-4</v>
      </c>
      <c r="AE374" s="137">
        <f>Transportation_LCIA!I$61*($W374^Transportation_LCIA!I$60)+Transportation_LCIA!I$62</f>
        <v>8.1949302872625628E-6</v>
      </c>
      <c r="AF374" s="137">
        <f>Transportation_LCIA!J$61*($W374^Transportation_LCIA!J$60)+Transportation_LCIA!J$62</f>
        <v>1.216906133974993E-2</v>
      </c>
      <c r="AG374" s="137">
        <f>Transportation_LCIA!K$61*($W374^Transportation_LCIA!K$60)+Transportation_LCIA!K$62</f>
        <v>1.5391950999787709E-2</v>
      </c>
      <c r="AH374" s="137">
        <f>Transportation_LCIA!L$61*($W374^Transportation_LCIA!L$60)+Transportation_LCIA!L$62</f>
        <v>3.224475626051792E-4</v>
      </c>
      <c r="AI374" s="137">
        <f>Transportation_LCIA!M$61*($W374^Transportation_LCIA!M$60)+Transportation_LCIA!M$62</f>
        <v>2.9306665716547056E-4</v>
      </c>
      <c r="AJ374" s="137">
        <f>Transportation_LCIA!N$61*($W374^Transportation_LCIA!N$60)+Transportation_LCIA!N$62</f>
        <v>1.2908631335785605E-3</v>
      </c>
      <c r="AK374" s="137">
        <f>Transportation_LCIA!O$61*($W374^Transportation_LCIA!O$60)+Transportation_LCIA!O$62</f>
        <v>7.5013630480399058E-5</v>
      </c>
      <c r="AL374" s="137">
        <f>Transportation_LCIA!P$61*($W374^Transportation_LCIA!P$60)+Transportation_LCIA!P$62</f>
        <v>3.622947059126279E-8</v>
      </c>
      <c r="AM374" s="137">
        <f>Transportation_LCIA!Q$61*($W374^Transportation_LCIA!Q$60)+Transportation_LCIA!Q$62</f>
        <v>1.2728062224719001E-4</v>
      </c>
      <c r="AN374" s="137">
        <f>Transportation_LCIA!R$61*($W374^Transportation_LCIA!R$60)+Transportation_LCIA!R$62</f>
        <v>3.9383707879712856E-4</v>
      </c>
      <c r="AO374" s="137">
        <f>Transportation_LCIA!S$61*($W374^Transportation_LCIA!S$60)+Transportation_LCIA!S$62</f>
        <v>5.8462294863061377E-6</v>
      </c>
      <c r="AP374" s="137">
        <f>Transportation_LCIA!T$61*($W374^Transportation_LCIA!T$60)+Transportation_LCIA!T$62</f>
        <v>5.8462294863061377E-6</v>
      </c>
      <c r="AQ374" s="137">
        <f>Transportation_LCIA!U$61*($W374^Transportation_LCIA!U$60)+Transportation_LCIA!U$62</f>
        <v>8.5078004970210494E-4</v>
      </c>
      <c r="AR374" s="137">
        <f>Transportation_LCIA!V$61*($W374^Transportation_LCIA!V$60)+Transportation_LCIA!V$62</f>
        <v>3.311828503124549E-4</v>
      </c>
      <c r="AT374" s="137">
        <f>$W374*Y374+$L374*Summary_LCIA!H$34</f>
        <v>191.0249022399928</v>
      </c>
      <c r="AU374" s="137">
        <f ca="1">$W374*Z374+$L374*Summary_LCIA!Q$34</f>
        <v>2029.1797728343165</v>
      </c>
      <c r="AV374" s="137">
        <f ca="1">$W374*AA374+$L374*Summary_LCIA!R$34</f>
        <v>1.090779699990146</v>
      </c>
      <c r="AW374" s="137">
        <f ca="1">$W374*AB374+$L374*Summary_LCIA!S$34</f>
        <v>190.99485807999281</v>
      </c>
      <c r="AX374" s="137">
        <f ca="1">$W374*AC374+$L374*Summary_LCIA!T$34</f>
        <v>47.086702552035042</v>
      </c>
      <c r="AY374" s="137">
        <f ca="1">$W374*AD374+$L374*Summary_LCIA!U$34</f>
        <v>0.29413979553293756</v>
      </c>
      <c r="AZ374" s="137">
        <f ca="1">$W374*AE374+$L374*Summary_LCIA!V$34</f>
        <v>7.751034369097333E-3</v>
      </c>
      <c r="BA374" s="137">
        <f ca="1">$W374*AF374+$L374*Summary_LCIA!W$34</f>
        <v>9.4599109532674497</v>
      </c>
      <c r="BB374" s="137">
        <f ca="1">$W374*AG374+$L374*Summary_LCIA!X$34</f>
        <v>10.401111278042041</v>
      </c>
      <c r="BC374" s="137">
        <f ca="1">$W374*AH374+$L374*Summary_LCIA!Y$34</f>
        <v>0.26164096633574563</v>
      </c>
      <c r="BD374" s="137">
        <f ca="1">$W374*AI374+$L374*Summary_LCIA!Z$34</f>
        <v>0.19294113515214156</v>
      </c>
      <c r="BE374" s="137">
        <f ca="1">$W374*AJ374+$L374*Summary_LCIA!AA$34</f>
        <v>0.90667572680572872</v>
      </c>
      <c r="BF374" s="137">
        <f ca="1">$W374*AK374+$L374*Summary_LCIA!AB$34</f>
        <v>4.8967746267449611E-2</v>
      </c>
      <c r="BG374" s="137">
        <f ca="1">$W374*AL374+$L374*Summary_LCIA!AC$34</f>
        <v>2.3856401916366606E-5</v>
      </c>
      <c r="BH374" s="137">
        <f ca="1">$W374*AM374+$L374*Summary_LCIA!AD$34</f>
        <v>8.6694297393241651E-2</v>
      </c>
      <c r="BI374" s="137">
        <f ca="1">$W374*AN374+$L374*Summary_LCIA!AE$34</f>
        <v>0.2669599135017115</v>
      </c>
      <c r="BJ374" s="137">
        <f ca="1">$W374*AO374+$L374*Summary_LCIA!AF$34</f>
        <v>1.0811007942250622E-2</v>
      </c>
      <c r="BK374" s="137">
        <f ca="1">$W374*AP374+$L374*Summary_LCIA!AG$34</f>
        <v>3.9125313962506221E-3</v>
      </c>
      <c r="BL374" s="137">
        <f ca="1">$W374*AQ374+$L374*Summary_LCIA!AH$34</f>
        <v>0.62453049695610352</v>
      </c>
      <c r="BM374" s="137">
        <f ca="1">$W374*AR374+$L374*Summary_LCIA!AI$34</f>
        <v>0.22532711664476934</v>
      </c>
    </row>
    <row r="375" spans="1:65" x14ac:dyDescent="0.25">
      <c r="A375" s="149">
        <v>289</v>
      </c>
      <c r="B375" s="149">
        <v>15</v>
      </c>
      <c r="C375" s="61">
        <v>53.466729999999998</v>
      </c>
      <c r="D375" s="61">
        <v>-2.2341760000000002</v>
      </c>
      <c r="E375" s="61" t="s">
        <v>463</v>
      </c>
      <c r="F375" s="149">
        <v>7</v>
      </c>
      <c r="G375" s="61" t="s">
        <v>628</v>
      </c>
      <c r="H375" s="61" t="s">
        <v>629</v>
      </c>
      <c r="I375" s="61">
        <v>51.470022</v>
      </c>
      <c r="J375" s="61">
        <v>-0.45429599999999998</v>
      </c>
      <c r="K375" s="61">
        <v>261.38947339999999</v>
      </c>
      <c r="L375" s="61">
        <v>334.10500000000002</v>
      </c>
      <c r="M375" s="61" t="s">
        <v>589</v>
      </c>
      <c r="N375" s="149">
        <v>14</v>
      </c>
      <c r="O375" s="149">
        <v>15</v>
      </c>
      <c r="P375" s="61" t="s">
        <v>567</v>
      </c>
      <c r="Q375" s="61" t="s">
        <v>566</v>
      </c>
      <c r="R375" s="61">
        <v>50.037932599999998</v>
      </c>
      <c r="S375" s="61">
        <v>8.5621518000000005</v>
      </c>
      <c r="T375" s="61"/>
      <c r="U375" s="61" t="s">
        <v>622</v>
      </c>
      <c r="V375" s="61" t="s">
        <v>569</v>
      </c>
      <c r="W375" s="61" cm="1">
        <f t="array" ref="W375">getDistance(I375,J375,R375,S375)*SA!$B$12</f>
        <v>655.49865109245718</v>
      </c>
      <c r="Y375" s="137">
        <f>Transportation_LCIA!C$61*($W375^Transportation_LCIA!C$60)+Transportation_LCIA!C$62</f>
        <v>0.28808630932385726</v>
      </c>
      <c r="Z375" s="137">
        <f>Transportation_LCIA!D$61*($W375^Transportation_LCIA!D$60)+Transportation_LCIA!D$62</f>
        <v>3.0403453180333315</v>
      </c>
      <c r="AA375" s="137">
        <f>Transportation_LCIA!E$61*($W375^Transportation_LCIA!E$60)+Transportation_LCIA!E$62</f>
        <v>1.5496127326841335E-3</v>
      </c>
      <c r="AB375" s="137">
        <f>Transportation_LCIA!F$61*($W375^Transportation_LCIA!F$60)+Transportation_LCIA!F$62</f>
        <v>0.28808630932385726</v>
      </c>
      <c r="AC375" s="137">
        <f>Transportation_LCIA!G$61*($W375^Transportation_LCIA!G$60)+Transportation_LCIA!G$62</f>
        <v>7.0904955875308692E-2</v>
      </c>
      <c r="AD375" s="137">
        <f>Transportation_LCIA!H$61*($W375^Transportation_LCIA!H$60)+Transportation_LCIA!H$62</f>
        <v>3.6638661442350167E-4</v>
      </c>
      <c r="AE375" s="137">
        <f>Transportation_LCIA!I$61*($W375^Transportation_LCIA!I$60)+Transportation_LCIA!I$62</f>
        <v>8.1949302872625628E-6</v>
      </c>
      <c r="AF375" s="137">
        <f>Transportation_LCIA!J$61*($W375^Transportation_LCIA!J$60)+Transportation_LCIA!J$62</f>
        <v>1.216906133974993E-2</v>
      </c>
      <c r="AG375" s="137">
        <f>Transportation_LCIA!K$61*($W375^Transportation_LCIA!K$60)+Transportation_LCIA!K$62</f>
        <v>1.5391950999787709E-2</v>
      </c>
      <c r="AH375" s="137">
        <f>Transportation_LCIA!L$61*($W375^Transportation_LCIA!L$60)+Transportation_LCIA!L$62</f>
        <v>3.224475626051792E-4</v>
      </c>
      <c r="AI375" s="137">
        <f>Transportation_LCIA!M$61*($W375^Transportation_LCIA!M$60)+Transportation_LCIA!M$62</f>
        <v>2.9306665716547056E-4</v>
      </c>
      <c r="AJ375" s="137">
        <f>Transportation_LCIA!N$61*($W375^Transportation_LCIA!N$60)+Transportation_LCIA!N$62</f>
        <v>1.2908631335785605E-3</v>
      </c>
      <c r="AK375" s="137">
        <f>Transportation_LCIA!O$61*($W375^Transportation_LCIA!O$60)+Transportation_LCIA!O$62</f>
        <v>7.5013630480399058E-5</v>
      </c>
      <c r="AL375" s="137">
        <f>Transportation_LCIA!P$61*($W375^Transportation_LCIA!P$60)+Transportation_LCIA!P$62</f>
        <v>3.622947059126279E-8</v>
      </c>
      <c r="AM375" s="137">
        <f>Transportation_LCIA!Q$61*($W375^Transportation_LCIA!Q$60)+Transportation_LCIA!Q$62</f>
        <v>1.2728062224719001E-4</v>
      </c>
      <c r="AN375" s="137">
        <f>Transportation_LCIA!R$61*($W375^Transportation_LCIA!R$60)+Transportation_LCIA!R$62</f>
        <v>3.9383707879712856E-4</v>
      </c>
      <c r="AO375" s="137">
        <f>Transportation_LCIA!S$61*($W375^Transportation_LCIA!S$60)+Transportation_LCIA!S$62</f>
        <v>5.8462294863061377E-6</v>
      </c>
      <c r="AP375" s="137">
        <f>Transportation_LCIA!T$61*($W375^Transportation_LCIA!T$60)+Transportation_LCIA!T$62</f>
        <v>5.8462294863061377E-6</v>
      </c>
      <c r="AQ375" s="137">
        <f>Transportation_LCIA!U$61*($W375^Transportation_LCIA!U$60)+Transportation_LCIA!U$62</f>
        <v>8.5078004970210494E-4</v>
      </c>
      <c r="AR375" s="137">
        <f>Transportation_LCIA!V$61*($W375^Transportation_LCIA!V$60)+Transportation_LCIA!V$62</f>
        <v>3.311828503124549E-4</v>
      </c>
      <c r="AT375" s="137">
        <f>$W375*Y375+$L375*Summary_LCIA!H$34</f>
        <v>213.71831366999282</v>
      </c>
      <c r="AU375" s="137">
        <f ca="1">$W375*Z375+$L375*Summary_LCIA!Q$34</f>
        <v>2405.5917420152664</v>
      </c>
      <c r="AV375" s="137">
        <f ca="1">$W375*AA375+$L375*Summary_LCIA!R$34</f>
        <v>1.8699418989901462</v>
      </c>
      <c r="AW375" s="137">
        <f ca="1">$W375*AB375+$L375*Summary_LCIA!S$34</f>
        <v>213.37619014999282</v>
      </c>
      <c r="AX375" s="137">
        <f ca="1">$W375*AC375+$L375*Summary_LCIA!T$34</f>
        <v>53.408442947035041</v>
      </c>
      <c r="AY375" s="137">
        <f ca="1">$W375*AD375+$L375*Summary_LCIA!U$34</f>
        <v>0.85478548953293754</v>
      </c>
      <c r="AZ375" s="137">
        <f ca="1">$W375*AE375+$L375*Summary_LCIA!V$34</f>
        <v>3.2465342514097335E-2</v>
      </c>
      <c r="BA375" s="137">
        <f ca="1">$W375*AF375+$L375*Summary_LCIA!W$34</f>
        <v>24.865476938267449</v>
      </c>
      <c r="BB375" s="137">
        <f ca="1">$W375*AG375+$L375*Summary_LCIA!X$34</f>
        <v>13.638934638042041</v>
      </c>
      <c r="BC375" s="137">
        <f ca="1">$W375*AH375+$L375*Summary_LCIA!Y$34</f>
        <v>0.78388627033574565</v>
      </c>
      <c r="BD375" s="137">
        <f ca="1">$W375*AI375+$L375*Summary_LCIA!Z$34</f>
        <v>0.20162846147714156</v>
      </c>
      <c r="BE375" s="137">
        <f ca="1">$W375*AJ375+$L375*Summary_LCIA!AA$34</f>
        <v>1.5352840158057286</v>
      </c>
      <c r="BF375" s="137">
        <f ca="1">$W375*AK375+$L375*Summary_LCIA!AB$34</f>
        <v>4.6853012408949617E-2</v>
      </c>
      <c r="BG375" s="137">
        <f ca="1">$W375*AL375+$L375*Summary_LCIA!AC$34</f>
        <v>2.4978577122866603E-5</v>
      </c>
      <c r="BH375" s="137">
        <f ca="1">$W375*AM375+$L375*Summary_LCIA!AD$34</f>
        <v>0.12057807009324165</v>
      </c>
      <c r="BI375" s="137">
        <f ca="1">$W375*AN375+$L375*Summary_LCIA!AE$34</f>
        <v>0.35837112760171153</v>
      </c>
      <c r="BJ375" s="137">
        <f ca="1">$W375*AO375+$L375*Summary_LCIA!AF$34</f>
        <v>8.3302410842250624E-2</v>
      </c>
      <c r="BK375" s="137">
        <f ca="1">$W375*AP375+$L375*Summary_LCIA!AG$34</f>
        <v>4.7470084427506222E-3</v>
      </c>
      <c r="BL375" s="137">
        <f ca="1">$W375*AQ375+$L375*Summary_LCIA!AH$34</f>
        <v>1.3188765964561036</v>
      </c>
      <c r="BM375" s="137">
        <f ca="1">$W375*AR375+$L375*Summary_LCIA!AI$34</f>
        <v>0.31088989039476933</v>
      </c>
    </row>
    <row r="376" spans="1:65" x14ac:dyDescent="0.25">
      <c r="A376" s="149">
        <v>292</v>
      </c>
      <c r="B376" s="149">
        <v>15</v>
      </c>
      <c r="C376" s="61">
        <v>43.719819000000001</v>
      </c>
      <c r="D376" s="61">
        <v>10.402931000000001</v>
      </c>
      <c r="E376" s="61" t="s">
        <v>421</v>
      </c>
      <c r="F376" s="149">
        <v>51</v>
      </c>
      <c r="G376" s="61" t="s">
        <v>698</v>
      </c>
      <c r="H376" s="61" t="s">
        <v>716</v>
      </c>
      <c r="I376" s="61">
        <v>41.799886999999998</v>
      </c>
      <c r="J376" s="61">
        <v>12.246238</v>
      </c>
      <c r="K376" s="61">
        <v>278.4546272</v>
      </c>
      <c r="L376" s="61">
        <v>329.53500000000003</v>
      </c>
      <c r="M376" s="61" t="s">
        <v>617</v>
      </c>
      <c r="N376" s="149">
        <v>14</v>
      </c>
      <c r="O376" s="149">
        <v>15</v>
      </c>
      <c r="P376" s="61" t="s">
        <v>567</v>
      </c>
      <c r="Q376" s="61" t="s">
        <v>566</v>
      </c>
      <c r="R376" s="61">
        <v>50.037932599999998</v>
      </c>
      <c r="S376" s="61">
        <v>8.5621518000000005</v>
      </c>
      <c r="T376" s="61"/>
      <c r="U376" s="61" t="s">
        <v>622</v>
      </c>
      <c r="V376" s="61" t="s">
        <v>569</v>
      </c>
      <c r="W376" s="61" cm="1">
        <f t="array" ref="W376">getDistance(I376,J376,R376,S376)*SA!$B$12</f>
        <v>960.33096396061467</v>
      </c>
      <c r="Y376" s="137">
        <f>Transportation_LCIA!C$61*($W376^Transportation_LCIA!C$60)+Transportation_LCIA!C$62</f>
        <v>0.23978916330242275</v>
      </c>
      <c r="Z376" s="137">
        <f>Transportation_LCIA!D$61*($W376^Transportation_LCIA!D$60)+Transportation_LCIA!D$62</f>
        <v>2.4708787889542601</v>
      </c>
      <c r="AA376" s="137">
        <f>Transportation_LCIA!E$61*($W376^Transportation_LCIA!E$60)+Transportation_LCIA!E$62</f>
        <v>1.174109327635068E-3</v>
      </c>
      <c r="AB376" s="137">
        <f>Transportation_LCIA!F$61*($W376^Transportation_LCIA!F$60)+Transportation_LCIA!F$62</f>
        <v>0.23978916330242275</v>
      </c>
      <c r="AC376" s="137">
        <f>Transportation_LCIA!G$61*($W376^Transportation_LCIA!G$60)+Transportation_LCIA!G$62</f>
        <v>5.7737841551702487E-2</v>
      </c>
      <c r="AD376" s="137">
        <f>Transportation_LCIA!H$61*($W376^Transportation_LCIA!H$60)+Transportation_LCIA!H$62</f>
        <v>2.8334647040481186E-4</v>
      </c>
      <c r="AE376" s="137">
        <f>Transportation_LCIA!I$61*($W376^Transportation_LCIA!I$60)+Transportation_LCIA!I$62</f>
        <v>6.0850967306403664E-6</v>
      </c>
      <c r="AF376" s="137">
        <f>Transportation_LCIA!J$61*($W376^Transportation_LCIA!J$60)+Transportation_LCIA!J$62</f>
        <v>9.0078905630086234E-3</v>
      </c>
      <c r="AG376" s="137">
        <f>Transportation_LCIA!K$61*($W376^Transportation_LCIA!K$60)+Transportation_LCIA!K$62</f>
        <v>1.230224715256964E-2</v>
      </c>
      <c r="AH376" s="137">
        <f>Transportation_LCIA!L$61*($W376^Transportation_LCIA!L$60)+Transportation_LCIA!L$62</f>
        <v>2.4590448371425308E-4</v>
      </c>
      <c r="AI376" s="137">
        <f>Transportation_LCIA!M$61*($W376^Transportation_LCIA!M$60)+Transportation_LCIA!M$62</f>
        <v>2.4722323152264391E-4</v>
      </c>
      <c r="AJ376" s="137">
        <f>Transportation_LCIA!N$61*($W376^Transportation_LCIA!N$60)+Transportation_LCIA!N$62</f>
        <v>1.0118732947864647E-3</v>
      </c>
      <c r="AK376" s="137">
        <f>Transportation_LCIA!O$61*($W376^Transportation_LCIA!O$60)+Transportation_LCIA!O$62</f>
        <v>6.1017911221320582E-5</v>
      </c>
      <c r="AL376" s="137">
        <f>Transportation_LCIA!P$61*($W376^Transportation_LCIA!P$60)+Transportation_LCIA!P$62</f>
        <v>2.9505637910099093E-8</v>
      </c>
      <c r="AM376" s="137">
        <f>Transportation_LCIA!Q$61*($W376^Transportation_LCIA!Q$60)+Transportation_LCIA!Q$62</f>
        <v>9.7309772323205714E-5</v>
      </c>
      <c r="AN376" s="137">
        <f>Transportation_LCIA!R$61*($W376^Transportation_LCIA!R$60)+Transportation_LCIA!R$62</f>
        <v>2.926416879903948E-4</v>
      </c>
      <c r="AO376" s="137">
        <f>Transportation_LCIA!S$61*($W376^Transportation_LCIA!S$60)+Transportation_LCIA!S$62</f>
        <v>4.4106471577943657E-6</v>
      </c>
      <c r="AP376" s="137">
        <f>Transportation_LCIA!T$61*($W376^Transportation_LCIA!T$60)+Transportation_LCIA!T$62</f>
        <v>4.4106471577943657E-6</v>
      </c>
      <c r="AQ376" s="137">
        <f>Transportation_LCIA!U$61*($W376^Transportation_LCIA!U$60)+Transportation_LCIA!U$62</f>
        <v>6.284668197431289E-4</v>
      </c>
      <c r="AR376" s="137">
        <f>Transportation_LCIA!V$61*($W376^Transportation_LCIA!V$60)+Transportation_LCIA!V$62</f>
        <v>2.5307125805150313E-4</v>
      </c>
      <c r="AT376" s="137">
        <f>$W376*Y376+$L376*Summary_LCIA!H$32</f>
        <v>342.25295134152492</v>
      </c>
      <c r="AU376" s="137">
        <f>$W376*Z376+$L376*Summary_LCIA!Q$32</f>
        <v>4006.0534886649357</v>
      </c>
      <c r="AV376" s="137">
        <f>$W376*AA376+$L376*Summary_LCIA!R$32</f>
        <v>2.8627330384029337</v>
      </c>
      <c r="AW376" s="137">
        <f>$W376*AB376+$L376*Summary_LCIA!S$32</f>
        <v>340.79640664152492</v>
      </c>
      <c r="AX376" s="137">
        <f>$W376*AC376+$L376*Summary_LCIA!T$32</f>
        <v>91.663333534351679</v>
      </c>
      <c r="AY376" s="137">
        <f>$W376*AD376+$L376*Summary_LCIA!U$32</f>
        <v>6.1753963790586912</v>
      </c>
      <c r="AZ376" s="137">
        <f>$W376*AE376+$L376*Summary_LCIA!V$32</f>
        <v>2.1582627944129448E-2</v>
      </c>
      <c r="BA376" s="137">
        <f>$W376*AF376+$L376*Summary_LCIA!W$32</f>
        <v>34.015194712625799</v>
      </c>
      <c r="BB376" s="137">
        <f>$W376*AG376+$L376*Summary_LCIA!X$32</f>
        <v>19.321036166908929</v>
      </c>
      <c r="BC376" s="137">
        <f>$W376*AH376+$L376*Summary_LCIA!Y$32</f>
        <v>5.3709640598875463</v>
      </c>
      <c r="BD376" s="137">
        <f>$W376*AI376+$L376*Summary_LCIA!Z$32</f>
        <v>0.25093002505659884</v>
      </c>
      <c r="BE376" s="137">
        <f>$W376*AJ376+$L376*Summary_LCIA!AA$32</f>
        <v>8.6683527165882897</v>
      </c>
      <c r="BF376" s="137">
        <f>$W376*AK376+$L376*Summary_LCIA!AB$32</f>
        <v>5.1405947197034001E-2</v>
      </c>
      <c r="BG376" s="137">
        <f>$W376*AL376+$L376*Summary_LCIA!AC$32</f>
        <v>4.4444166636478321E-5</v>
      </c>
      <c r="BH376" s="137">
        <f>$W376*AM376+$L376*Summary_LCIA!AD$32</f>
        <v>0.2289016538579321</v>
      </c>
      <c r="BI376" s="137">
        <f>$W376*AN376+$L376*Summary_LCIA!AE$32</f>
        <v>0.57304372387287728</v>
      </c>
      <c r="BJ376" s="137">
        <f>$W376*AO376+$L376*Summary_LCIA!AF$32</f>
        <v>0.28283116073673487</v>
      </c>
      <c r="BK376" s="137">
        <f>$W376*AP376+$L376*Summary_LCIA!AG$32</f>
        <v>2.109633931173481E-2</v>
      </c>
      <c r="BL376" s="137">
        <f>$W376*AQ376+$L376*Summary_LCIA!AH$32</f>
        <v>3.4716769728211814</v>
      </c>
      <c r="BM376" s="137">
        <f>$W376*AR376+$L376*Summary_LCIA!AI$32</f>
        <v>0.55001049444532546</v>
      </c>
    </row>
    <row r="377" spans="1:65" x14ac:dyDescent="0.25">
      <c r="A377" s="149">
        <v>308</v>
      </c>
      <c r="B377" s="149">
        <v>15</v>
      </c>
      <c r="C377" s="61">
        <v>18.520430000000001</v>
      </c>
      <c r="D377" s="61">
        <v>73.856744000000006</v>
      </c>
      <c r="E377" s="61" t="s">
        <v>268</v>
      </c>
      <c r="F377" s="149">
        <v>41</v>
      </c>
      <c r="G377" s="61" t="s">
        <v>704</v>
      </c>
      <c r="H377" s="61" t="s">
        <v>717</v>
      </c>
      <c r="I377" s="61">
        <v>19.089559999999999</v>
      </c>
      <c r="J377" s="61">
        <v>72.865613999999994</v>
      </c>
      <c r="K377" s="61">
        <v>138.57053590000001</v>
      </c>
      <c r="L377" s="61">
        <v>150.84200000000001</v>
      </c>
      <c r="M377" s="61" t="s">
        <v>617</v>
      </c>
      <c r="N377" s="149">
        <v>14</v>
      </c>
      <c r="O377" s="149">
        <v>15</v>
      </c>
      <c r="P377" s="61" t="s">
        <v>567</v>
      </c>
      <c r="Q377" s="61" t="s">
        <v>566</v>
      </c>
      <c r="R377" s="61">
        <v>50.037932599999998</v>
      </c>
      <c r="S377" s="61">
        <v>8.5621518000000005</v>
      </c>
      <c r="T377" s="61"/>
      <c r="U377" s="61" t="s">
        <v>622</v>
      </c>
      <c r="V377" s="61" t="s">
        <v>569</v>
      </c>
      <c r="W377" s="61" cm="1">
        <f t="array" ref="W377">getDistance(I377,J377,R377,S377)*SA!$B$12</f>
        <v>6580.2744353943472</v>
      </c>
      <c r="Y377" s="137">
        <f>Transportation_LCIA!C$61*($W377^Transportation_LCIA!C$60)+Transportation_LCIA!C$62</f>
        <v>0.13733361124554672</v>
      </c>
      <c r="Z377" s="137">
        <f>Transportation_LCIA!D$61*($W377^Transportation_LCIA!D$60)+Transportation_LCIA!D$62</f>
        <v>1.3096052149503097</v>
      </c>
      <c r="AA377" s="137">
        <f>Transportation_LCIA!E$61*($W377^Transportation_LCIA!E$60)+Transportation_LCIA!E$62</f>
        <v>4.167549847883517E-4</v>
      </c>
      <c r="AB377" s="137">
        <f>Transportation_LCIA!F$61*($W377^Transportation_LCIA!F$60)+Transportation_LCIA!F$62</f>
        <v>0.13733361124554672</v>
      </c>
      <c r="AC377" s="137">
        <f>Transportation_LCIA!G$61*($W377^Transportation_LCIA!G$60)+Transportation_LCIA!G$62</f>
        <v>3.0825516683626344E-2</v>
      </c>
      <c r="AD377" s="137">
        <f>Transportation_LCIA!H$61*($W377^Transportation_LCIA!H$60)+Transportation_LCIA!H$62</f>
        <v>1.1944712567135815E-4</v>
      </c>
      <c r="AE377" s="137">
        <f>Transportation_LCIA!I$61*($W377^Transportation_LCIA!I$60)+Transportation_LCIA!I$62</f>
        <v>2.0622065954474047E-6</v>
      </c>
      <c r="AF377" s="137">
        <f>Transportation_LCIA!J$61*($W377^Transportation_LCIA!J$60)+Transportation_LCIA!J$62</f>
        <v>3.1136555102907462E-3</v>
      </c>
      <c r="AG377" s="137">
        <f>Transportation_LCIA!K$61*($W377^Transportation_LCIA!K$60)+Transportation_LCIA!K$62</f>
        <v>6.1108474220744136E-3</v>
      </c>
      <c r="AH377" s="137">
        <f>Transportation_LCIA!L$61*($W377^Transportation_LCIA!L$60)+Transportation_LCIA!L$62</f>
        <v>9.6312916085844412E-5</v>
      </c>
      <c r="AI377" s="137">
        <f>Transportation_LCIA!M$61*($W377^Transportation_LCIA!M$60)+Transportation_LCIA!M$62</f>
        <v>1.5684659821607017E-4</v>
      </c>
      <c r="AJ377" s="137">
        <f>Transportation_LCIA!N$61*($W377^Transportation_LCIA!N$60)+Transportation_LCIA!N$62</f>
        <v>4.5969846283624706E-4</v>
      </c>
      <c r="AK377" s="137">
        <f>Transportation_LCIA!O$61*($W377^Transportation_LCIA!O$60)+Transportation_LCIA!O$62</f>
        <v>3.2442843105639033E-5</v>
      </c>
      <c r="AL377" s="137">
        <f>Transportation_LCIA!P$61*($W377^Transportation_LCIA!P$60)+Transportation_LCIA!P$62</f>
        <v>1.5737426471474715E-8</v>
      </c>
      <c r="AM377" s="137">
        <f>Transportation_LCIA!Q$61*($W377^Transportation_LCIA!Q$60)+Transportation_LCIA!Q$62</f>
        <v>3.9046217964547763E-5</v>
      </c>
      <c r="AN377" s="137">
        <f>Transportation_LCIA!R$61*($W377^Transportation_LCIA!R$60)+Transportation_LCIA!R$62</f>
        <v>9.9849108078312195E-5</v>
      </c>
      <c r="AO377" s="137">
        <f>Transportation_LCIA!S$61*($W377^Transportation_LCIA!S$60)+Transportation_LCIA!S$62</f>
        <v>1.6714358989519649E-6</v>
      </c>
      <c r="AP377" s="137">
        <f>Transportation_LCIA!T$61*($W377^Transportation_LCIA!T$60)+Transportation_LCIA!T$62</f>
        <v>1.6714358989519649E-6</v>
      </c>
      <c r="AQ377" s="137">
        <f>Transportation_LCIA!U$61*($W377^Transportation_LCIA!U$60)+Transportation_LCIA!U$62</f>
        <v>2.0767311130637152E-4</v>
      </c>
      <c r="AR377" s="137">
        <f>Transportation_LCIA!V$61*($W377^Transportation_LCIA!V$60)+Transportation_LCIA!V$62</f>
        <v>1.0225493834790514E-4</v>
      </c>
      <c r="AT377" s="137">
        <f>$W377*Y377+$L377*Summary_LCIA!H$32</f>
        <v>954.94896279945669</v>
      </c>
      <c r="AU377" s="137">
        <f>$W377*Z377+$L377*Summary_LCIA!Q$32</f>
        <v>9365.1422758112276</v>
      </c>
      <c r="AV377" s="137">
        <f>$W377*AA377+$L377*Summary_LCIA!R$32</f>
        <v>3.536635807425951</v>
      </c>
      <c r="AW377" s="137">
        <f>$W377*AB377+$L377*Summary_LCIA!S$32</f>
        <v>954.28224115945659</v>
      </c>
      <c r="AX377" s="137">
        <f>$W377*AC377+$L377*Summary_LCIA!T$32</f>
        <v>219.41789519108835</v>
      </c>
      <c r="AY377" s="137">
        <f>$W377*AD377+$L377*Summary_LCIA!U$32</f>
        <v>3.4881784554365738</v>
      </c>
      <c r="AZ377" s="137">
        <f>$W377*AE377+$L377*Summary_LCIA!V$32</f>
        <v>2.0774250102524171E-2</v>
      </c>
      <c r="BA377" s="137">
        <f>$W377*AF377+$L377*Summary_LCIA!W$32</f>
        <v>32.099167336990938</v>
      </c>
      <c r="BB377" s="137">
        <f>$W377*AG377+$L377*Summary_LCIA!X$32</f>
        <v>43.647233830071713</v>
      </c>
      <c r="BC377" s="137">
        <f>$W377*AH377+$L377*Summary_LCIA!Y$32</f>
        <v>2.9841854635179632</v>
      </c>
      <c r="BD377" s="137">
        <f>$W377*AI377+$L377*Summary_LCIA!Z$32</f>
        <v>1.0382795400977753</v>
      </c>
      <c r="BE377" s="137">
        <f>$W377*AJ377+$L377*Summary_LCIA!AA$32</f>
        <v>6.5480077949914346</v>
      </c>
      <c r="BF377" s="137">
        <f>$W377*AK377+$L377*Summary_LCIA!AB$32</f>
        <v>0.21019098613354628</v>
      </c>
      <c r="BG377" s="137">
        <f>$W377*AL377+$L377*Summary_LCIA!AC$32</f>
        <v>1.1093034541714334E-4</v>
      </c>
      <c r="BH377" s="137">
        <f>$W377*AM377+$L377*Summary_LCIA!AD$32</f>
        <v>0.3189369255509491</v>
      </c>
      <c r="BI377" s="137">
        <f>$W377*AN377+$L377*Summary_LCIA!AE$32</f>
        <v>0.79070015474464483</v>
      </c>
      <c r="BJ377" s="137">
        <f>$W377*AO377+$L377*Summary_LCIA!AF$32</f>
        <v>0.13852335055627402</v>
      </c>
      <c r="BK377" s="137">
        <f>$W377*AP377+$L377*Summary_LCIA!AG$32</f>
        <v>1.8716337846273984E-2</v>
      </c>
      <c r="BL377" s="137">
        <f>$W377*AQ377+$L377*Summary_LCIA!AH$32</f>
        <v>2.6794144964481217</v>
      </c>
      <c r="BM377" s="137">
        <f>$W377*AR377+$L377*Summary_LCIA!AI$32</f>
        <v>0.81338242180354525</v>
      </c>
    </row>
    <row r="378" spans="1:65" x14ac:dyDescent="0.25">
      <c r="A378" s="149">
        <v>309</v>
      </c>
      <c r="B378" s="149">
        <v>43</v>
      </c>
      <c r="C378" s="61">
        <v>-22.912496000000001</v>
      </c>
      <c r="D378" s="61">
        <v>-43.224753999999997</v>
      </c>
      <c r="E378" s="61" t="s">
        <v>465</v>
      </c>
      <c r="F378" s="149">
        <v>52</v>
      </c>
      <c r="G378" s="61" t="s">
        <v>682</v>
      </c>
      <c r="H378" s="61" t="s">
        <v>683</v>
      </c>
      <c r="I378" s="61">
        <v>-23.430572999999999</v>
      </c>
      <c r="J378" s="61">
        <v>-46.473042999999997</v>
      </c>
      <c r="K378" s="61">
        <v>339.4912473</v>
      </c>
      <c r="L378" s="61">
        <v>415.65699999999998</v>
      </c>
      <c r="M378" s="61" t="s">
        <v>617</v>
      </c>
      <c r="N378" s="149">
        <v>42</v>
      </c>
      <c r="O378" s="149">
        <v>43</v>
      </c>
      <c r="P378" s="61" t="s">
        <v>565</v>
      </c>
      <c r="Q378" s="61" t="s">
        <v>555</v>
      </c>
      <c r="R378" s="61">
        <v>40.6895314</v>
      </c>
      <c r="S378" s="61">
        <v>-74.174462399999996</v>
      </c>
      <c r="T378" s="61"/>
      <c r="U378" s="61" t="s">
        <v>622</v>
      </c>
      <c r="V378" s="61" t="s">
        <v>569</v>
      </c>
      <c r="W378" s="61" cm="1">
        <f t="array" ref="W378">getDistance(I378,J378,R378,S378)*SA!$B$12</f>
        <v>7675.4977192762117</v>
      </c>
      <c r="Y378" s="137">
        <f>Transportation_LCIA!C$61*($W378^Transportation_LCIA!C$60)+Transportation_LCIA!C$62</f>
        <v>0.13424943238738063</v>
      </c>
      <c r="Z378" s="137">
        <f>Transportation_LCIA!D$61*($W378^Transportation_LCIA!D$60)+Transportation_LCIA!D$62</f>
        <v>1.2765543631290379</v>
      </c>
      <c r="AA378" s="137">
        <f>Transportation_LCIA!E$61*($W378^Transportation_LCIA!E$60)+Transportation_LCIA!E$62</f>
        <v>3.9553900962361856E-4</v>
      </c>
      <c r="AB378" s="137">
        <f>Transportation_LCIA!F$61*($W378^Transportation_LCIA!F$60)+Transportation_LCIA!F$62</f>
        <v>0.13424943238738063</v>
      </c>
      <c r="AC378" s="137">
        <f>Transportation_LCIA!G$61*($W378^Transportation_LCIA!G$60)+Transportation_LCIA!G$62</f>
        <v>3.0057048635015446E-2</v>
      </c>
      <c r="AD378" s="137">
        <f>Transportation_LCIA!H$61*($W378^Transportation_LCIA!H$60)+Transportation_LCIA!H$62</f>
        <v>1.149978281190226E-4</v>
      </c>
      <c r="AE378" s="137">
        <f>Transportation_LCIA!I$61*($W378^Transportation_LCIA!I$60)+Transportation_LCIA!I$62</f>
        <v>1.9584230783402369E-6</v>
      </c>
      <c r="AF378" s="137">
        <f>Transportation_LCIA!J$61*($W378^Transportation_LCIA!J$60)+Transportation_LCIA!J$62</f>
        <v>2.9666033230189414E-3</v>
      </c>
      <c r="AG378" s="137">
        <f>Transportation_LCIA!K$61*($W378^Transportation_LCIA!K$60)+Transportation_LCIA!K$62</f>
        <v>5.939023856835134E-3</v>
      </c>
      <c r="AH378" s="137">
        <f>Transportation_LCIA!L$61*($W378^Transportation_LCIA!L$60)+Transportation_LCIA!L$62</f>
        <v>9.231034679941437E-5</v>
      </c>
      <c r="AI378" s="137">
        <f>Transportation_LCIA!M$61*($W378^Transportation_LCIA!M$60)+Transportation_LCIA!M$62</f>
        <v>1.5439739462800624E-4</v>
      </c>
      <c r="AJ378" s="137">
        <f>Transportation_LCIA!N$61*($W378^Transportation_LCIA!N$60)+Transportation_LCIA!N$62</f>
        <v>4.4464828300701579E-4</v>
      </c>
      <c r="AK378" s="137">
        <f>Transportation_LCIA!O$61*($W378^Transportation_LCIA!O$60)+Transportation_LCIA!O$62</f>
        <v>3.1628157862202805E-5</v>
      </c>
      <c r="AL378" s="137">
        <f>Transportation_LCIA!P$61*($W378^Transportation_LCIA!P$60)+Transportation_LCIA!P$62</f>
        <v>1.5343242797536933E-8</v>
      </c>
      <c r="AM378" s="137">
        <f>Transportation_LCIA!Q$61*($W378^Transportation_LCIA!Q$60)+Transportation_LCIA!Q$62</f>
        <v>3.7499396651848744E-5</v>
      </c>
      <c r="AN378" s="137">
        <f>Transportation_LCIA!R$61*($W378^Transportation_LCIA!R$60)+Transportation_LCIA!R$62</f>
        <v>9.4881540131120523E-5</v>
      </c>
      <c r="AO378" s="137">
        <f>Transportation_LCIA!S$61*($W378^Transportation_LCIA!S$60)+Transportation_LCIA!S$62</f>
        <v>1.6006945379788757E-6</v>
      </c>
      <c r="AP378" s="137">
        <f>Transportation_LCIA!T$61*($W378^Transportation_LCIA!T$60)+Transportation_LCIA!T$62</f>
        <v>1.6006945379788757E-6</v>
      </c>
      <c r="AQ378" s="137">
        <f>Transportation_LCIA!U$61*($W378^Transportation_LCIA!U$60)+Transportation_LCIA!U$62</f>
        <v>1.9693553473578207E-4</v>
      </c>
      <c r="AR378" s="137">
        <f>Transportation_LCIA!V$61*($W378^Transportation_LCIA!V$60)+Transportation_LCIA!V$62</f>
        <v>9.8291109398391277E-5</v>
      </c>
      <c r="AT378" s="137">
        <f>$W378*Y378+$L378*Summary_LCIA!H$32</f>
        <v>1171.671460703466</v>
      </c>
      <c r="AU378" s="137">
        <f>$W378*Z378+$L378*Summary_LCIA!Q$32</f>
        <v>11858.207157558509</v>
      </c>
      <c r="AV378" s="137">
        <f>$W378*AA378+$L378*Summary_LCIA!R$32</f>
        <v>5.2246422654508553</v>
      </c>
      <c r="AW378" s="137">
        <f>$W378*AB378+$L378*Summary_LCIA!S$32</f>
        <v>1169.8342567634659</v>
      </c>
      <c r="AX378" s="137">
        <f>$W378*AC378+$L378*Summary_LCIA!T$32</f>
        <v>276.38351254623524</v>
      </c>
      <c r="AY378" s="137">
        <f>$W378*AD378+$L378*Summary_LCIA!U$32</f>
        <v>8.3287450654492758</v>
      </c>
      <c r="AZ378" s="137">
        <f>$W378*AE378+$L378*Summary_LCIA!V$32</f>
        <v>3.4884065848178381E-2</v>
      </c>
      <c r="BA378" s="137">
        <f>$W378*AF378+$L378*Summary_LCIA!W$32</f>
        <v>54.763691986829116</v>
      </c>
      <c r="BB378" s="137">
        <f>$W378*AG378+$L378*Summary_LCIA!X$32</f>
        <v>55.053630527865081</v>
      </c>
      <c r="BC378" s="137">
        <f>$W378*AH378+$L378*Summary_LCIA!Y$32</f>
        <v>7.1852952303245008</v>
      </c>
      <c r="BD378" s="137">
        <f>$W378*AI378+$L378*Summary_LCIA!Z$32</f>
        <v>1.202122528242451</v>
      </c>
      <c r="BE378" s="137">
        <f>$W378*AJ378+$L378*Summary_LCIA!AA$32</f>
        <v>13.120981774100432</v>
      </c>
      <c r="BF378" s="137">
        <f>$W378*AK378+$L378*Summary_LCIA!AB$32</f>
        <v>0.23369097082524559</v>
      </c>
      <c r="BG378" s="137">
        <f>$W378*AL378+$L378*Summary_LCIA!AC$32</f>
        <v>1.3808600188679589E-4</v>
      </c>
      <c r="BH378" s="137">
        <f>$W378*AM378+$L378*Summary_LCIA!AD$32</f>
        <v>0.45867818675549898</v>
      </c>
      <c r="BI378" s="137">
        <f>$W378*AN378+$L378*Summary_LCIA!AE$32</f>
        <v>1.09658918228783</v>
      </c>
      <c r="BJ378" s="137">
        <f>$W378*AO378+$L378*Summary_LCIA!AF$32</f>
        <v>0.36369086821551477</v>
      </c>
      <c r="BK378" s="137">
        <f>$W378*AP378+$L378*Summary_LCIA!AG$32</f>
        <v>3.3553217680514752E-2</v>
      </c>
      <c r="BL378" s="137">
        <f>$W378*AQ378+$L378*Summary_LCIA!AH$32</f>
        <v>5.1292905129089368</v>
      </c>
      <c r="BM378" s="137">
        <f>$W378*AR378+$L378*Summary_LCIA!AI$32</f>
        <v>1.1416384643624808</v>
      </c>
    </row>
    <row r="379" spans="1:65" x14ac:dyDescent="0.25">
      <c r="A379" s="149">
        <v>335</v>
      </c>
      <c r="B379" s="149">
        <v>43</v>
      </c>
      <c r="C379" s="61">
        <v>-23.550519999999999</v>
      </c>
      <c r="D379" s="61">
        <v>-46.633308999999997</v>
      </c>
      <c r="E379" s="61" t="s">
        <v>465</v>
      </c>
      <c r="F379" s="149">
        <v>52</v>
      </c>
      <c r="G379" s="61" t="s">
        <v>682</v>
      </c>
      <c r="H379" s="61" t="s">
        <v>683</v>
      </c>
      <c r="I379" s="61">
        <v>-23.430572999999999</v>
      </c>
      <c r="J379" s="61">
        <v>-46.473042999999997</v>
      </c>
      <c r="K379" s="61">
        <v>21.411766369999999</v>
      </c>
      <c r="L379" s="61">
        <v>29.187000000000001</v>
      </c>
      <c r="M379" s="61" t="s">
        <v>617</v>
      </c>
      <c r="N379" s="149">
        <v>42</v>
      </c>
      <c r="O379" s="149">
        <v>43</v>
      </c>
      <c r="P379" s="61" t="s">
        <v>565</v>
      </c>
      <c r="Q379" s="61" t="s">
        <v>555</v>
      </c>
      <c r="R379" s="61">
        <v>40.6895314</v>
      </c>
      <c r="S379" s="61">
        <v>-74.174462399999996</v>
      </c>
      <c r="T379" s="61"/>
      <c r="U379" s="61" t="s">
        <v>622</v>
      </c>
      <c r="V379" s="61" t="s">
        <v>569</v>
      </c>
      <c r="W379" s="61" cm="1">
        <f t="array" ref="W379">getDistance(I379,J379,R379,S379)*SA!$B$12</f>
        <v>7675.4977192762117</v>
      </c>
      <c r="Y379" s="137">
        <f>Transportation_LCIA!C$61*($W379^Transportation_LCIA!C$60)+Transportation_LCIA!C$62</f>
        <v>0.13424943238738063</v>
      </c>
      <c r="Z379" s="137">
        <f>Transportation_LCIA!D$61*($W379^Transportation_LCIA!D$60)+Transportation_LCIA!D$62</f>
        <v>1.2765543631290379</v>
      </c>
      <c r="AA379" s="137">
        <f>Transportation_LCIA!E$61*($W379^Transportation_LCIA!E$60)+Transportation_LCIA!E$62</f>
        <v>3.9553900962361856E-4</v>
      </c>
      <c r="AB379" s="137">
        <f>Transportation_LCIA!F$61*($W379^Transportation_LCIA!F$60)+Transportation_LCIA!F$62</f>
        <v>0.13424943238738063</v>
      </c>
      <c r="AC379" s="137">
        <f>Transportation_LCIA!G$61*($W379^Transportation_LCIA!G$60)+Transportation_LCIA!G$62</f>
        <v>3.0057048635015446E-2</v>
      </c>
      <c r="AD379" s="137">
        <f>Transportation_LCIA!H$61*($W379^Transportation_LCIA!H$60)+Transportation_LCIA!H$62</f>
        <v>1.149978281190226E-4</v>
      </c>
      <c r="AE379" s="137">
        <f>Transportation_LCIA!I$61*($W379^Transportation_LCIA!I$60)+Transportation_LCIA!I$62</f>
        <v>1.9584230783402369E-6</v>
      </c>
      <c r="AF379" s="137">
        <f>Transportation_LCIA!J$61*($W379^Transportation_LCIA!J$60)+Transportation_LCIA!J$62</f>
        <v>2.9666033230189414E-3</v>
      </c>
      <c r="AG379" s="137">
        <f>Transportation_LCIA!K$61*($W379^Transportation_LCIA!K$60)+Transportation_LCIA!K$62</f>
        <v>5.939023856835134E-3</v>
      </c>
      <c r="AH379" s="137">
        <f>Transportation_LCIA!L$61*($W379^Transportation_LCIA!L$60)+Transportation_LCIA!L$62</f>
        <v>9.231034679941437E-5</v>
      </c>
      <c r="AI379" s="137">
        <f>Transportation_LCIA!M$61*($W379^Transportation_LCIA!M$60)+Transportation_LCIA!M$62</f>
        <v>1.5439739462800624E-4</v>
      </c>
      <c r="AJ379" s="137">
        <f>Transportation_LCIA!N$61*($W379^Transportation_LCIA!N$60)+Transportation_LCIA!N$62</f>
        <v>4.4464828300701579E-4</v>
      </c>
      <c r="AK379" s="137">
        <f>Transportation_LCIA!O$61*($W379^Transportation_LCIA!O$60)+Transportation_LCIA!O$62</f>
        <v>3.1628157862202805E-5</v>
      </c>
      <c r="AL379" s="137">
        <f>Transportation_LCIA!P$61*($W379^Transportation_LCIA!P$60)+Transportation_LCIA!P$62</f>
        <v>1.5343242797536933E-8</v>
      </c>
      <c r="AM379" s="137">
        <f>Transportation_LCIA!Q$61*($W379^Transportation_LCIA!Q$60)+Transportation_LCIA!Q$62</f>
        <v>3.7499396651848744E-5</v>
      </c>
      <c r="AN379" s="137">
        <f>Transportation_LCIA!R$61*($W379^Transportation_LCIA!R$60)+Transportation_LCIA!R$62</f>
        <v>9.4881540131120523E-5</v>
      </c>
      <c r="AO379" s="137">
        <f>Transportation_LCIA!S$61*($W379^Transportation_LCIA!S$60)+Transportation_LCIA!S$62</f>
        <v>1.6006945379788757E-6</v>
      </c>
      <c r="AP379" s="137">
        <f>Transportation_LCIA!T$61*($W379^Transportation_LCIA!T$60)+Transportation_LCIA!T$62</f>
        <v>1.6006945379788757E-6</v>
      </c>
      <c r="AQ379" s="137">
        <f>Transportation_LCIA!U$61*($W379^Transportation_LCIA!U$60)+Transportation_LCIA!U$62</f>
        <v>1.9693553473578207E-4</v>
      </c>
      <c r="AR379" s="137">
        <f>Transportation_LCIA!V$61*($W379^Transportation_LCIA!V$60)+Transportation_LCIA!V$62</f>
        <v>9.8291109398391277E-5</v>
      </c>
      <c r="AT379" s="137">
        <f>$W379*Y379+$L379*Summary_LCIA!H$32</f>
        <v>1040.348954703466</v>
      </c>
      <c r="AU379" s="137">
        <f>$W379*Z379+$L379*Summary_LCIA!Q$32</f>
        <v>9942.8423467169996</v>
      </c>
      <c r="AV379" s="137">
        <f>$W379*AA379+$L379*Summary_LCIA!R$32</f>
        <v>3.1896458334508555</v>
      </c>
      <c r="AW379" s="137">
        <f>$W379*AB379+$L379*Summary_LCIA!S$32</f>
        <v>1040.2199481634659</v>
      </c>
      <c r="AX379" s="137">
        <f>$W379*AC379+$L379*Summary_LCIA!T$32</f>
        <v>233.91045954623524</v>
      </c>
      <c r="AY379" s="137">
        <f>$W379*AD379+$L379*Summary_LCIA!U$32</f>
        <v>1.4055214854492757</v>
      </c>
      <c r="AZ379" s="137">
        <f>$W379*AE379+$L379*Summary_LCIA!V$32</f>
        <v>1.6425872178178386E-2</v>
      </c>
      <c r="BA379" s="137">
        <f>$W379*AF379+$L379*Summary_LCIA!W$32</f>
        <v>25.016709616829115</v>
      </c>
      <c r="BB379" s="137">
        <f>$W379*AG379+$L379*Summary_LCIA!X$32</f>
        <v>46.249843927865079</v>
      </c>
      <c r="BC379" s="137">
        <f>$W379*AH379+$L379*Summary_LCIA!Y$32</f>
        <v>1.1633196903245011</v>
      </c>
      <c r="BD379" s="137">
        <f>$W379*AI379+$L379*Summary_LCIA!Z$32</f>
        <v>1.186273780012451</v>
      </c>
      <c r="BE379" s="137">
        <f>$W379*AJ379+$L379*Summary_LCIA!AA$32</f>
        <v>4.0945884541004327</v>
      </c>
      <c r="BF379" s="137">
        <f>$W379*AK379+$L379*Summary_LCIA!AB$32</f>
        <v>0.24212490563524561</v>
      </c>
      <c r="BG379" s="137">
        <f>$W379*AL379+$L379*Summary_LCIA!AC$32</f>
        <v>1.1919380240679588E-4</v>
      </c>
      <c r="BH379" s="137">
        <f>$W379*AM379+$L379*Summary_LCIA!AD$32</f>
        <v>0.29982355795549903</v>
      </c>
      <c r="BI379" s="137">
        <f>$W379*AN379+$L379*Summary_LCIA!AE$32</f>
        <v>0.75412652118782986</v>
      </c>
      <c r="BJ379" s="137">
        <f>$W379*AO379+$L379*Summary_LCIA!AF$32</f>
        <v>3.6961400815514751E-2</v>
      </c>
      <c r="BK379" s="137">
        <f>$W379*AP379+$L379*Summary_LCIA!AG$32</f>
        <v>1.3779480130514749E-2</v>
      </c>
      <c r="BL379" s="137">
        <f>$W379*AQ379+$L379*Summary_LCIA!AH$32</f>
        <v>1.7656102209089366</v>
      </c>
      <c r="BM379" s="137">
        <f>$W379*AR379+$L379*Summary_LCIA!AI$32</f>
        <v>0.78162233586248087</v>
      </c>
    </row>
    <row r="380" spans="1:65" x14ac:dyDescent="0.25">
      <c r="A380" s="149">
        <v>347</v>
      </c>
      <c r="B380" s="149">
        <v>15</v>
      </c>
      <c r="C380" s="61">
        <v>40.463667000000001</v>
      </c>
      <c r="D380" s="61">
        <v>-3.7492200000000002</v>
      </c>
      <c r="E380" s="61" t="s">
        <v>466</v>
      </c>
      <c r="F380" s="149">
        <v>22</v>
      </c>
      <c r="G380" s="61" t="s">
        <v>686</v>
      </c>
      <c r="H380" s="61" t="s">
        <v>725</v>
      </c>
      <c r="I380" s="61">
        <v>40.498331999999998</v>
      </c>
      <c r="J380" s="61">
        <v>-3.5675979999999998</v>
      </c>
      <c r="K380" s="61">
        <v>17.248889810000001</v>
      </c>
      <c r="L380" s="61">
        <v>33.814999999999998</v>
      </c>
      <c r="M380" s="61" t="s">
        <v>617</v>
      </c>
      <c r="N380" s="149">
        <v>14</v>
      </c>
      <c r="O380" s="149">
        <v>15</v>
      </c>
      <c r="P380" s="61" t="s">
        <v>567</v>
      </c>
      <c r="Q380" s="61" t="s">
        <v>566</v>
      </c>
      <c r="R380" s="61">
        <v>50.037932599999998</v>
      </c>
      <c r="S380" s="61">
        <v>8.5621518000000005</v>
      </c>
      <c r="T380" s="61"/>
      <c r="U380" s="61" t="s">
        <v>622</v>
      </c>
      <c r="V380" s="61" t="s">
        <v>569</v>
      </c>
      <c r="W380" s="61" cm="1">
        <f t="array" ref="W380">getDistance(I380,J380,R380,S380)*SA!$B$12</f>
        <v>1422.5775061630379</v>
      </c>
      <c r="Y380" s="137">
        <f>Transportation_LCIA!C$61*($W380^Transportation_LCIA!C$60)+Transportation_LCIA!C$62</f>
        <v>0.20387178795923749</v>
      </c>
      <c r="Z380" s="137">
        <f>Transportation_LCIA!D$61*($W380^Transportation_LCIA!D$60)+Transportation_LCIA!D$62</f>
        <v>2.0544332493991768</v>
      </c>
      <c r="AA380" s="137">
        <f>Transportation_LCIA!E$61*($W380^Transportation_LCIA!E$60)+Transportation_LCIA!E$62</f>
        <v>9.0080003519318777E-4</v>
      </c>
      <c r="AB380" s="137">
        <f>Transportation_LCIA!F$61*($W380^Transportation_LCIA!F$60)+Transportation_LCIA!F$62</f>
        <v>0.20387178795923749</v>
      </c>
      <c r="AC380" s="137">
        <f>Transportation_LCIA!G$61*($W380^Transportation_LCIA!G$60)+Transportation_LCIA!G$62</f>
        <v>4.8099419426073042E-2</v>
      </c>
      <c r="AD380" s="137">
        <f>Transportation_LCIA!H$61*($W380^Transportation_LCIA!H$60)+Transportation_LCIA!H$62</f>
        <v>2.2346669639805041E-4</v>
      </c>
      <c r="AE380" s="137">
        <f>Transportation_LCIA!I$61*($W380^Transportation_LCIA!I$60)+Transportation_LCIA!I$62</f>
        <v>4.5863780306586757E-6</v>
      </c>
      <c r="AF380" s="137">
        <f>Transportation_LCIA!J$61*($W380^Transportation_LCIA!J$60)+Transportation_LCIA!J$62</f>
        <v>6.7842712024970423E-3</v>
      </c>
      <c r="AG380" s="137">
        <f>Transportation_LCIA!K$61*($W380^Transportation_LCIA!K$60)+Transportation_LCIA!K$62</f>
        <v>1.0059666229699251E-2</v>
      </c>
      <c r="AH380" s="137">
        <f>Transportation_LCIA!L$61*($W380^Transportation_LCIA!L$60)+Transportation_LCIA!L$62</f>
        <v>1.9094517212979147E-4</v>
      </c>
      <c r="AI380" s="137">
        <f>Transportation_LCIA!M$61*($W380^Transportation_LCIA!M$60)+Transportation_LCIA!M$62</f>
        <v>2.1418258174178348E-4</v>
      </c>
      <c r="AJ380" s="137">
        <f>Transportation_LCIA!N$61*($W380^Transportation_LCIA!N$60)+Transportation_LCIA!N$62</f>
        <v>8.1045513292544438E-4</v>
      </c>
      <c r="AK380" s="137">
        <f>Transportation_LCIA!O$61*($W380^Transportation_LCIA!O$60)+Transportation_LCIA!O$62</f>
        <v>5.07776706689413E-5</v>
      </c>
      <c r="AL380" s="137">
        <f>Transportation_LCIA!P$61*($W380^Transportation_LCIA!P$60)+Transportation_LCIA!P$62</f>
        <v>2.4579866628356082E-8</v>
      </c>
      <c r="AM380" s="137">
        <f>Transportation_LCIA!Q$61*($W380^Transportation_LCIA!Q$60)+Transportation_LCIA!Q$62</f>
        <v>7.583964131960341E-5</v>
      </c>
      <c r="AN380" s="137">
        <f>Transportation_LCIA!R$61*($W380^Transportation_LCIA!R$60)+Transportation_LCIA!R$62</f>
        <v>2.2078368893547546E-4</v>
      </c>
      <c r="AO380" s="137">
        <f>Transportation_LCIA!S$61*($W380^Transportation_LCIA!S$60)+Transportation_LCIA!S$62</f>
        <v>3.390566765884979E-6</v>
      </c>
      <c r="AP380" s="137">
        <f>Transportation_LCIA!T$61*($W380^Transportation_LCIA!T$60)+Transportation_LCIA!T$62</f>
        <v>3.390566765884979E-6</v>
      </c>
      <c r="AQ380" s="137">
        <f>Transportation_LCIA!U$61*($W380^Transportation_LCIA!U$60)+Transportation_LCIA!U$62</f>
        <v>4.7105293233365268E-4</v>
      </c>
      <c r="AR380" s="137">
        <f>Transportation_LCIA!V$61*($W380^Transportation_LCIA!V$60)+Transportation_LCIA!V$62</f>
        <v>1.9728057443119194E-4</v>
      </c>
      <c r="AT380" s="137">
        <f>$W380*Y380+$L380*Summary_LCIA!H$32</f>
        <v>301.51375669205174</v>
      </c>
      <c r="AU380" s="137">
        <f>$W380*Z380+$L380*Summary_LCIA!Q$32</f>
        <v>3090.1793739006025</v>
      </c>
      <c r="AV380" s="137">
        <f>$W380*AA380+$L380*Summary_LCIA!R$32</f>
        <v>1.459514131616702</v>
      </c>
      <c r="AW380" s="137">
        <f>$W380*AB380+$L380*Summary_LCIA!S$32</f>
        <v>301.3642943920517</v>
      </c>
      <c r="AX380" s="137">
        <f>$W380*AC380+$L380*Summary_LCIA!T$32</f>
        <v>72.141420635032972</v>
      </c>
      <c r="AY380" s="137">
        <f>$W380*AD380+$L380*Summary_LCIA!U$32</f>
        <v>0.92366060567243125</v>
      </c>
      <c r="AZ380" s="137">
        <f>$W380*AE380+$L380*Summary_LCIA!V$32</f>
        <v>8.1395164361753643E-3</v>
      </c>
      <c r="BA380" s="137">
        <f>$W380*AF380+$L380*Summary_LCIA!W$32</f>
        <v>12.253925973381957</v>
      </c>
      <c r="BB380" s="137">
        <f>$W380*AG380+$L380*Summary_LCIA!X$32</f>
        <v>15.080960597878091</v>
      </c>
      <c r="BC380" s="137">
        <f>$W380*AH380+$L380*Summary_LCIA!Y$32</f>
        <v>0.79853963678227069</v>
      </c>
      <c r="BD380" s="137">
        <f>$W380*AI380+$L380*Summary_LCIA!Z$32</f>
        <v>0.30607804233278735</v>
      </c>
      <c r="BE380" s="137">
        <f>$W380*AJ380+$L380*Summary_LCIA!AA$32</f>
        <v>1.9427183818541121</v>
      </c>
      <c r="BF380" s="137">
        <f>$W380*AK380+$L380*Summary_LCIA!AB$32</f>
        <v>7.1497227363990556E-2</v>
      </c>
      <c r="BG380" s="137">
        <f>$W380*AL380+$L380*Summary_LCIA!AC$32</f>
        <v>3.6619777829986872E-5</v>
      </c>
      <c r="BH380" s="137">
        <f>$W380*AM380+$L380*Summary_LCIA!AD$32</f>
        <v>0.12178708541674071</v>
      </c>
      <c r="BI380" s="137">
        <f>$W380*AN380+$L380*Summary_LCIA!AE$32</f>
        <v>0.3440463955573046</v>
      </c>
      <c r="BJ380" s="137">
        <f>$W380*AO380+$L380*Summary_LCIA!AF$32</f>
        <v>3.3411221314291931E-2</v>
      </c>
      <c r="BK380" s="137">
        <f>$W380*AP380+$L380*Summary_LCIA!AG$32</f>
        <v>6.5534884892919296E-3</v>
      </c>
      <c r="BL380" s="137">
        <f>$W380*AQ380+$L380*Summary_LCIA!AH$32</f>
        <v>0.96442153974999378</v>
      </c>
      <c r="BM380" s="137">
        <f>$W380*AR380+$L380*Summary_LCIA!AI$32</f>
        <v>0.31214727083873661</v>
      </c>
    </row>
    <row r="381" spans="1:65" x14ac:dyDescent="0.25">
      <c r="A381" s="149">
        <v>350</v>
      </c>
      <c r="B381" s="149">
        <v>15</v>
      </c>
      <c r="C381" s="61">
        <v>53.750993000000001</v>
      </c>
      <c r="D381" s="61">
        <v>-2.367264</v>
      </c>
      <c r="E381" s="61" t="s">
        <v>463</v>
      </c>
      <c r="F381" s="149">
        <v>7</v>
      </c>
      <c r="G381" s="61" t="s">
        <v>628</v>
      </c>
      <c r="H381" s="61" t="s">
        <v>629</v>
      </c>
      <c r="I381" s="61">
        <v>51.470022</v>
      </c>
      <c r="J381" s="61">
        <v>-0.45429599999999998</v>
      </c>
      <c r="K381" s="61">
        <v>293.50665629999997</v>
      </c>
      <c r="L381" s="61">
        <v>394.161</v>
      </c>
      <c r="M381" s="61" t="s">
        <v>589</v>
      </c>
      <c r="N381" s="149">
        <v>14</v>
      </c>
      <c r="O381" s="149">
        <v>15</v>
      </c>
      <c r="P381" s="61" t="s">
        <v>567</v>
      </c>
      <c r="Q381" s="61" t="s">
        <v>566</v>
      </c>
      <c r="R381" s="61">
        <v>50.037932599999998</v>
      </c>
      <c r="S381" s="61">
        <v>8.5621518000000005</v>
      </c>
      <c r="T381" s="61"/>
      <c r="U381" s="61" t="s">
        <v>622</v>
      </c>
      <c r="V381" s="61" t="s">
        <v>569</v>
      </c>
      <c r="W381" s="61" cm="1">
        <f t="array" ref="W381">getDistance(I381,J381,R381,S381)*SA!$B$12</f>
        <v>655.49865109245718</v>
      </c>
      <c r="Y381" s="137">
        <f>Transportation_LCIA!C$61*($W381^Transportation_LCIA!C$60)+Transportation_LCIA!C$62</f>
        <v>0.28808630932385726</v>
      </c>
      <c r="Z381" s="137">
        <f>Transportation_LCIA!D$61*($W381^Transportation_LCIA!D$60)+Transportation_LCIA!D$62</f>
        <v>3.0403453180333315</v>
      </c>
      <c r="AA381" s="137">
        <f>Transportation_LCIA!E$61*($W381^Transportation_LCIA!E$60)+Transportation_LCIA!E$62</f>
        <v>1.5496127326841335E-3</v>
      </c>
      <c r="AB381" s="137">
        <f>Transportation_LCIA!F$61*($W381^Transportation_LCIA!F$60)+Transportation_LCIA!F$62</f>
        <v>0.28808630932385726</v>
      </c>
      <c r="AC381" s="137">
        <f>Transportation_LCIA!G$61*($W381^Transportation_LCIA!G$60)+Transportation_LCIA!G$62</f>
        <v>7.0904955875308692E-2</v>
      </c>
      <c r="AD381" s="137">
        <f>Transportation_LCIA!H$61*($W381^Transportation_LCIA!H$60)+Transportation_LCIA!H$62</f>
        <v>3.6638661442350167E-4</v>
      </c>
      <c r="AE381" s="137">
        <f>Transportation_LCIA!I$61*($W381^Transportation_LCIA!I$60)+Transportation_LCIA!I$62</f>
        <v>8.1949302872625628E-6</v>
      </c>
      <c r="AF381" s="137">
        <f>Transportation_LCIA!J$61*($W381^Transportation_LCIA!J$60)+Transportation_LCIA!J$62</f>
        <v>1.216906133974993E-2</v>
      </c>
      <c r="AG381" s="137">
        <f>Transportation_LCIA!K$61*($W381^Transportation_LCIA!K$60)+Transportation_LCIA!K$62</f>
        <v>1.5391950999787709E-2</v>
      </c>
      <c r="AH381" s="137">
        <f>Transportation_LCIA!L$61*($W381^Transportation_LCIA!L$60)+Transportation_LCIA!L$62</f>
        <v>3.224475626051792E-4</v>
      </c>
      <c r="AI381" s="137">
        <f>Transportation_LCIA!M$61*($W381^Transportation_LCIA!M$60)+Transportation_LCIA!M$62</f>
        <v>2.9306665716547056E-4</v>
      </c>
      <c r="AJ381" s="137">
        <f>Transportation_LCIA!N$61*($W381^Transportation_LCIA!N$60)+Transportation_LCIA!N$62</f>
        <v>1.2908631335785605E-3</v>
      </c>
      <c r="AK381" s="137">
        <f>Transportation_LCIA!O$61*($W381^Transportation_LCIA!O$60)+Transportation_LCIA!O$62</f>
        <v>7.5013630480399058E-5</v>
      </c>
      <c r="AL381" s="137">
        <f>Transportation_LCIA!P$61*($W381^Transportation_LCIA!P$60)+Transportation_LCIA!P$62</f>
        <v>3.622947059126279E-8</v>
      </c>
      <c r="AM381" s="137">
        <f>Transportation_LCIA!Q$61*($W381^Transportation_LCIA!Q$60)+Transportation_LCIA!Q$62</f>
        <v>1.2728062224719001E-4</v>
      </c>
      <c r="AN381" s="137">
        <f>Transportation_LCIA!R$61*($W381^Transportation_LCIA!R$60)+Transportation_LCIA!R$62</f>
        <v>3.9383707879712856E-4</v>
      </c>
      <c r="AO381" s="137">
        <f>Transportation_LCIA!S$61*($W381^Transportation_LCIA!S$60)+Transportation_LCIA!S$62</f>
        <v>5.8462294863061377E-6</v>
      </c>
      <c r="AP381" s="137">
        <f>Transportation_LCIA!T$61*($W381^Transportation_LCIA!T$60)+Transportation_LCIA!T$62</f>
        <v>5.8462294863061377E-6</v>
      </c>
      <c r="AQ381" s="137">
        <f>Transportation_LCIA!U$61*($W381^Transportation_LCIA!U$60)+Transportation_LCIA!U$62</f>
        <v>8.5078004970210494E-4</v>
      </c>
      <c r="AR381" s="137">
        <f>Transportation_LCIA!V$61*($W381^Transportation_LCIA!V$60)+Transportation_LCIA!V$62</f>
        <v>3.311828503124549E-4</v>
      </c>
      <c r="AT381" s="137">
        <f>$W381*Y381+$L381*Summary_LCIA!H$34</f>
        <v>218.19020354199282</v>
      </c>
      <c r="AU381" s="137">
        <f ca="1">$W381*Z381+$L381*Summary_LCIA!Q$34</f>
        <v>2479.7662608121468</v>
      </c>
      <c r="AV381" s="137">
        <f ca="1">$W381*AA381+$L381*Summary_LCIA!R$34</f>
        <v>2.0234810685901463</v>
      </c>
      <c r="AW381" s="137">
        <f ca="1">$W381*AB381+$L381*Summary_LCIA!S$34</f>
        <v>217.78658267799281</v>
      </c>
      <c r="AX381" s="137">
        <f ca="1">$W381*AC381+$L381*Summary_LCIA!T$34</f>
        <v>54.654184555035044</v>
      </c>
      <c r="AY381" s="137">
        <f ca="1">$W381*AD381+$L381*Summary_LCIA!U$34</f>
        <v>0.96526450713293754</v>
      </c>
      <c r="AZ381" s="137">
        <f ca="1">$W381*AE381+$L381*Summary_LCIA!V$34</f>
        <v>3.7335463722097333E-2</v>
      </c>
      <c r="BA381" s="137">
        <f ca="1">$W381*AF381+$L381*Summary_LCIA!W$34</f>
        <v>27.901247682267446</v>
      </c>
      <c r="BB381" s="137">
        <f ca="1">$W381*AG381+$L381*Summary_LCIA!X$34</f>
        <v>14.276969582042041</v>
      </c>
      <c r="BC381" s="137">
        <f ca="1">$W381*AH381+$L381*Summary_LCIA!Y$34</f>
        <v>0.88679823193574558</v>
      </c>
      <c r="BD381" s="137">
        <f ca="1">$W381*AI381+$L381*Summary_LCIA!Z$34</f>
        <v>0.20334035775714157</v>
      </c>
      <c r="BE381" s="137">
        <f ca="1">$W381*AJ381+$L381*Summary_LCIA!AA$34</f>
        <v>1.6591555214057288</v>
      </c>
      <c r="BF381" s="137">
        <f ca="1">$W381*AK381+$L381*Summary_LCIA!AB$34</f>
        <v>4.6436289830549614E-2</v>
      </c>
      <c r="BG381" s="137">
        <f ca="1">$W381*AL381+$L381*Summary_LCIA!AC$34</f>
        <v>2.5199709320466604E-5</v>
      </c>
      <c r="BH381" s="137">
        <f ca="1">$W381*AM381+$L381*Summary_LCIA!AD$34</f>
        <v>0.12725509617324166</v>
      </c>
      <c r="BI381" s="137">
        <f ca="1">$W381*AN381+$L381*Summary_LCIA!AE$34</f>
        <v>0.37638432424171153</v>
      </c>
      <c r="BJ381" s="137">
        <f ca="1">$W381*AO381+$L381*Summary_LCIA!AF$34</f>
        <v>9.7587331002250616E-2</v>
      </c>
      <c r="BK381" s="137">
        <f ca="1">$W381*AP381+$L381*Summary_LCIA!AG$34</f>
        <v>4.911447776350622E-3</v>
      </c>
      <c r="BL381" s="137">
        <f ca="1">$W381*AQ381+$L381*Summary_LCIA!AH$34</f>
        <v>1.4557021812561035</v>
      </c>
      <c r="BM381" s="137">
        <f ca="1">$W381*AR381+$L381*Summary_LCIA!AI$34</f>
        <v>0.32775061239476933</v>
      </c>
    </row>
    <row r="382" spans="1:65" x14ac:dyDescent="0.25">
      <c r="A382" s="149">
        <v>356</v>
      </c>
      <c r="B382" s="149">
        <v>15</v>
      </c>
      <c r="C382" s="61">
        <v>60.128160999999999</v>
      </c>
      <c r="D382" s="61">
        <v>18.643501000000001</v>
      </c>
      <c r="E382" s="61" t="s">
        <v>469</v>
      </c>
      <c r="F382" s="149">
        <v>12</v>
      </c>
      <c r="G382" s="61" t="s">
        <v>726</v>
      </c>
      <c r="H382" s="61" t="s">
        <v>727</v>
      </c>
      <c r="I382" s="61">
        <v>59.649765000000002</v>
      </c>
      <c r="J382" s="61">
        <v>17.921592</v>
      </c>
      <c r="K382" s="61">
        <v>1283.369737</v>
      </c>
      <c r="L382" s="61">
        <v>109.205</v>
      </c>
      <c r="M382" s="61" t="s">
        <v>589</v>
      </c>
      <c r="N382" s="149">
        <v>14</v>
      </c>
      <c r="O382" s="149">
        <v>15</v>
      </c>
      <c r="P382" s="61" t="s">
        <v>567</v>
      </c>
      <c r="Q382" s="61" t="s">
        <v>566</v>
      </c>
      <c r="R382" s="61">
        <v>50.037932599999998</v>
      </c>
      <c r="S382" s="61">
        <v>8.5621518000000005</v>
      </c>
      <c r="T382" s="61"/>
      <c r="U382" s="61" t="s">
        <v>622</v>
      </c>
      <c r="V382" s="61" t="s">
        <v>569</v>
      </c>
      <c r="W382" s="61" cm="1">
        <f t="array" ref="W382">getDistance(I382,J382,R382,S382)*SA!$B$12</f>
        <v>1225.7422833871608</v>
      </c>
      <c r="Y382" s="137">
        <f>Transportation_LCIA!C$61*($W382^Transportation_LCIA!C$60)+Transportation_LCIA!C$62</f>
        <v>0.21611243011549416</v>
      </c>
      <c r="Z382" s="137">
        <f>Transportation_LCIA!D$61*($W382^Transportation_LCIA!D$60)+Transportation_LCIA!D$62</f>
        <v>2.1955501094668679</v>
      </c>
      <c r="AA382" s="137">
        <f>Transportation_LCIA!E$61*($W382^Transportation_LCIA!E$60)+Transportation_LCIA!E$62</f>
        <v>9.9326491712689916E-4</v>
      </c>
      <c r="AB382" s="137">
        <f>Transportation_LCIA!F$61*($W382^Transportation_LCIA!F$60)+Transportation_LCIA!F$62</f>
        <v>0.21611243011549416</v>
      </c>
      <c r="AC382" s="137">
        <f>Transportation_LCIA!G$61*($W382^Transportation_LCIA!G$60)+Transportation_LCIA!G$62</f>
        <v>5.1366587309719325E-2</v>
      </c>
      <c r="AD382" s="137">
        <f>Transportation_LCIA!H$61*($W382^Transportation_LCIA!H$60)+Transportation_LCIA!H$62</f>
        <v>2.4366063950068589E-4</v>
      </c>
      <c r="AE382" s="137">
        <f>Transportation_LCIA!I$61*($W382^Transportation_LCIA!I$60)+Transportation_LCIA!I$62</f>
        <v>5.0892186192930228E-6</v>
      </c>
      <c r="AF382" s="137">
        <f>Transportation_LCIA!J$61*($W382^Transportation_LCIA!J$60)+Transportation_LCIA!J$62</f>
        <v>7.5278198462194945E-3</v>
      </c>
      <c r="AG382" s="137">
        <f>Transportation_LCIA!K$61*($W382^Transportation_LCIA!K$60)+Transportation_LCIA!K$62</f>
        <v>1.0817647041235409E-2</v>
      </c>
      <c r="AH382" s="137">
        <f>Transportation_LCIA!L$61*($W382^Transportation_LCIA!L$60)+Transportation_LCIA!L$62</f>
        <v>2.0945267214998465E-4</v>
      </c>
      <c r="AI382" s="137">
        <f>Transportation_LCIA!M$61*($W382^Transportation_LCIA!M$60)+Transportation_LCIA!M$62</f>
        <v>2.2532332636909986E-4</v>
      </c>
      <c r="AJ382" s="137">
        <f>Transportation_LCIA!N$61*($W382^Transportation_LCIA!N$60)+Transportation_LCIA!N$62</f>
        <v>8.7840937608092359E-4</v>
      </c>
      <c r="AK382" s="137">
        <f>Transportation_LCIA!O$61*($W382^Transportation_LCIA!O$60)+Transportation_LCIA!O$62</f>
        <v>5.424829363992001E-5</v>
      </c>
      <c r="AL382" s="137">
        <f>Transportation_LCIA!P$61*($W382^Transportation_LCIA!P$60)+Transportation_LCIA!P$62</f>
        <v>2.6250019323080147E-8</v>
      </c>
      <c r="AM382" s="137">
        <f>Transportation_LCIA!Q$61*($W382^Transportation_LCIA!Q$60)+Transportation_LCIA!Q$62</f>
        <v>8.3063999711193088E-5</v>
      </c>
      <c r="AN382" s="137">
        <f>Transportation_LCIA!R$61*($W382^Transportation_LCIA!R$60)+Transportation_LCIA!R$62</f>
        <v>2.4489003172983539E-4</v>
      </c>
      <c r="AO382" s="137">
        <f>Transportation_LCIA!S$61*($W382^Transportation_LCIA!S$60)+Transportation_LCIA!S$62</f>
        <v>3.7328539547090719E-6</v>
      </c>
      <c r="AP382" s="137">
        <f>Transportation_LCIA!T$61*($W382^Transportation_LCIA!T$60)+Transportation_LCIA!T$62</f>
        <v>3.7328539547090719E-6</v>
      </c>
      <c r="AQ382" s="137">
        <f>Transportation_LCIA!U$61*($W382^Transportation_LCIA!U$60)+Transportation_LCIA!U$62</f>
        <v>5.2380934900005875E-4</v>
      </c>
      <c r="AR382" s="137">
        <f>Transportation_LCIA!V$61*($W382^Transportation_LCIA!V$60)+Transportation_LCIA!V$62</f>
        <v>2.1603419184371147E-4</v>
      </c>
      <c r="AT382" s="137">
        <f>$W382*Y382+$L382*Summary_LCIA!H$34</f>
        <v>273.02976626811403</v>
      </c>
      <c r="AU382" s="137">
        <f ca="1">$W382*Z382+$L382*Summary_LCIA!Q$34</f>
        <v>2826.0565238309996</v>
      </c>
      <c r="AV382" s="137">
        <f ca="1">$W382*AA382+$L382*Summary_LCIA!R$34</f>
        <v>1.4966803105274846</v>
      </c>
      <c r="AW382" s="137">
        <f ca="1">$W382*AB382+$L382*Summary_LCIA!S$34</f>
        <v>272.91794034811403</v>
      </c>
      <c r="AX382" s="137">
        <f ca="1">$W382*AC382+$L382*Summary_LCIA!T$34</f>
        <v>65.227437333821328</v>
      </c>
      <c r="AY382" s="137">
        <f ca="1">$W382*AD382+$L382*Summary_LCIA!U$34</f>
        <v>0.49955866663314658</v>
      </c>
      <c r="AZ382" s="137">
        <f ca="1">$W382*AE382+$L382*Summary_LCIA!V$34</f>
        <v>1.5093831516068683E-2</v>
      </c>
      <c r="BA382" s="137">
        <f ca="1">$W382*AF382+$L382*Summary_LCIA!W$34</f>
        <v>14.747370632232268</v>
      </c>
      <c r="BB382" s="137">
        <f ca="1">$W382*AG382+$L382*Summary_LCIA!X$34</f>
        <v>14.419841305200253</v>
      </c>
      <c r="BC382" s="137">
        <f ca="1">$W382*AH382+$L382*Summary_LCIA!Y$34</f>
        <v>0.4438686846226646</v>
      </c>
      <c r="BD382" s="137">
        <f ca="1">$W382*AI382+$L382*Summary_LCIA!Z$34</f>
        <v>0.27930121708905092</v>
      </c>
      <c r="BE382" s="137">
        <f ca="1">$W382*AJ382+$L382*Summary_LCIA!AA$34</f>
        <v>1.3019497473861226</v>
      </c>
      <c r="BF382" s="137">
        <f ca="1">$W382*AK382+$L382*Summary_LCIA!AB$34</f>
        <v>6.573666474155275E-2</v>
      </c>
      <c r="BG382" s="137">
        <f ca="1">$W382*AL382+$L382*Summary_LCIA!AC$34</f>
        <v>3.2577862354529355E-5</v>
      </c>
      <c r="BH382" s="137">
        <f ca="1">$W382*AM382+$L382*Summary_LCIA!AD$34</f>
        <v>0.11395646857326827</v>
      </c>
      <c r="BI382" s="137">
        <f ca="1">$W382*AN382+$L382*Summary_LCIA!AE$34</f>
        <v>0.33292701437128269</v>
      </c>
      <c r="BJ382" s="137">
        <f ca="1">$W382*AO382+$L382*Summary_LCIA!AF$34</f>
        <v>3.055101822999589E-2</v>
      </c>
      <c r="BK382" s="137">
        <f ca="1">$W382*AP382+$L382*Summary_LCIA!AG$34</f>
        <v>4.8745311404958906E-3</v>
      </c>
      <c r="BL382" s="137">
        <f ca="1">$W382*AQ382+$L382*Summary_LCIA!AH$34</f>
        <v>0.89085701900287417</v>
      </c>
      <c r="BM382" s="137">
        <f ca="1">$W382*AR382+$L382*Summary_LCIA!AI$34</f>
        <v>0.29546154735021085</v>
      </c>
    </row>
    <row r="383" spans="1:65" x14ac:dyDescent="0.25">
      <c r="A383" s="149">
        <v>368</v>
      </c>
      <c r="B383" s="149">
        <v>43</v>
      </c>
      <c r="C383" s="61">
        <v>-2.1458900000000001</v>
      </c>
      <c r="D383" s="61">
        <v>-79.945836</v>
      </c>
      <c r="E383" s="61" t="s">
        <v>470</v>
      </c>
      <c r="F383" s="149">
        <v>108</v>
      </c>
      <c r="G383" s="61" t="s">
        <v>730</v>
      </c>
      <c r="H383" s="61" t="s">
        <v>731</v>
      </c>
      <c r="I383" s="61">
        <v>-2.1481880000000002</v>
      </c>
      <c r="J383" s="61">
        <v>-79.886499000000001</v>
      </c>
      <c r="K383" s="61">
        <v>3436.2375189999998</v>
      </c>
      <c r="L383" s="61">
        <v>12.827</v>
      </c>
      <c r="M383" s="61" t="s">
        <v>617</v>
      </c>
      <c r="N383" s="149">
        <v>42</v>
      </c>
      <c r="O383" s="149">
        <v>43</v>
      </c>
      <c r="P383" s="61" t="s">
        <v>565</v>
      </c>
      <c r="Q383" s="61" t="s">
        <v>555</v>
      </c>
      <c r="R383" s="61">
        <v>40.6895314</v>
      </c>
      <c r="S383" s="61">
        <v>-74.174462399999996</v>
      </c>
      <c r="T383" s="61"/>
      <c r="U383" s="61" t="s">
        <v>622</v>
      </c>
      <c r="V383" s="61" t="s">
        <v>569</v>
      </c>
      <c r="W383" s="61" cm="1">
        <f t="array" ref="W383">getDistance(I383,J383,R383,S383)*SA!$B$12</f>
        <v>4792.591674202512</v>
      </c>
      <c r="Y383" s="137">
        <f>Transportation_LCIA!C$61*($W383^Transportation_LCIA!C$60)+Transportation_LCIA!C$62</f>
        <v>0.14508836189798513</v>
      </c>
      <c r="Z383" s="137">
        <f>Transportation_LCIA!D$61*($W383^Transportation_LCIA!D$60)+Transportation_LCIA!D$62</f>
        <v>1.3935810969512219</v>
      </c>
      <c r="AA383" s="137">
        <f>Transportation_LCIA!E$61*($W383^Transportation_LCIA!E$60)+Transportation_LCIA!E$62</f>
        <v>4.7081955563388377E-4</v>
      </c>
      <c r="AB383" s="137">
        <f>Transportation_LCIA!F$61*($W383^Transportation_LCIA!F$60)+Transportation_LCIA!F$62</f>
        <v>0.14508836189798513</v>
      </c>
      <c r="AC383" s="137">
        <f>Transportation_LCIA!G$61*($W383^Transportation_LCIA!G$60)+Transportation_LCIA!G$62</f>
        <v>3.2776855124596715E-2</v>
      </c>
      <c r="AD383" s="137">
        <f>Transportation_LCIA!H$61*($W383^Transportation_LCIA!H$60)+Transportation_LCIA!H$62</f>
        <v>1.308513746893189E-4</v>
      </c>
      <c r="AE383" s="137">
        <f>Transportation_LCIA!I$61*($W383^Transportation_LCIA!I$60)+Transportation_LCIA!I$62</f>
        <v>2.3307253178466008E-6</v>
      </c>
      <c r="AF383" s="137">
        <f>Transportation_LCIA!J$61*($W383^Transportation_LCIA!J$60)+Transportation_LCIA!J$62</f>
        <v>3.4964622120735415E-3</v>
      </c>
      <c r="AG383" s="137">
        <f>Transportation_LCIA!K$61*($W383^Transportation_LCIA!K$60)+Transportation_LCIA!K$62</f>
        <v>6.5494656260663524E-3</v>
      </c>
      <c r="AH383" s="137">
        <f>Transportation_LCIA!L$61*($W383^Transportation_LCIA!L$60)+Transportation_LCIA!L$62</f>
        <v>1.0659954108632807E-4</v>
      </c>
      <c r="AI383" s="137">
        <f>Transportation_LCIA!M$61*($W383^Transportation_LCIA!M$60)+Transportation_LCIA!M$62</f>
        <v>1.6312628169736591E-4</v>
      </c>
      <c r="AJ383" s="137">
        <f>Transportation_LCIA!N$61*($W383^Transportation_LCIA!N$60)+Transportation_LCIA!N$62</f>
        <v>4.9824572922676797E-4</v>
      </c>
      <c r="AK383" s="137">
        <f>Transportation_LCIA!O$61*($W383^Transportation_LCIA!O$60)+Transportation_LCIA!O$62</f>
        <v>3.4512134037950434E-5</v>
      </c>
      <c r="AL383" s="137">
        <f>Transportation_LCIA!P$61*($W383^Transportation_LCIA!P$60)+Transportation_LCIA!P$62</f>
        <v>1.673786921011434E-8</v>
      </c>
      <c r="AM383" s="137">
        <f>Transportation_LCIA!Q$61*($W383^Transportation_LCIA!Q$60)+Transportation_LCIA!Q$62</f>
        <v>4.3027274033236932E-5</v>
      </c>
      <c r="AN383" s="137">
        <f>Transportation_LCIA!R$61*($W383^Transportation_LCIA!R$60)+Transportation_LCIA!R$62</f>
        <v>1.127045918223084E-4</v>
      </c>
      <c r="AO383" s="137">
        <f>Transportation_LCIA!S$61*($W383^Transportation_LCIA!S$60)+Transportation_LCIA!S$62</f>
        <v>1.8544293976625951E-6</v>
      </c>
      <c r="AP383" s="137">
        <f>Transportation_LCIA!T$61*($W383^Transportation_LCIA!T$60)+Transportation_LCIA!T$62</f>
        <v>1.8544293976625951E-6</v>
      </c>
      <c r="AQ383" s="137">
        <f>Transportation_LCIA!U$61*($W383^Transportation_LCIA!U$60)+Transportation_LCIA!U$62</f>
        <v>2.3551018169648932E-4</v>
      </c>
      <c r="AR383" s="137">
        <f>Transportation_LCIA!V$61*($W383^Transportation_LCIA!V$60)+Transportation_LCIA!V$62</f>
        <v>1.124755801754721E-4</v>
      </c>
      <c r="AT383" s="137">
        <f>$W383*Y383+$L383*Summary_LCIA!H$32</f>
        <v>699.70788985596448</v>
      </c>
      <c r="AU383" s="137">
        <f>$W383*Z383+$L383*Summary_LCIA!Q$32</f>
        <v>6742.436421478521</v>
      </c>
      <c r="AV383" s="137">
        <f>$W383*AA383+$L383*Summary_LCIA!R$32</f>
        <v>2.323987733582678</v>
      </c>
      <c r="AW383" s="137">
        <f>$W383*AB383+$L383*Summary_LCIA!S$32</f>
        <v>699.65119451596445</v>
      </c>
      <c r="AX383" s="137">
        <f>$W383*AC383+$L383*Summary_LCIA!T$32</f>
        <v>158.49577027668417</v>
      </c>
      <c r="AY383" s="137">
        <f>$W383*AD383+$L383*Summary_LCIA!U$32</f>
        <v>0.856900086893983</v>
      </c>
      <c r="AZ383" s="137">
        <f>$W383*AE383+$L383*Summary_LCIA!V$32</f>
        <v>1.1782845100164622E-2</v>
      </c>
      <c r="BA383" s="137">
        <f>$W383*AF383+$L383*Summary_LCIA!W$32</f>
        <v>17.74442270374735</v>
      </c>
      <c r="BB383" s="137">
        <f>$W383*AG383+$L383*Summary_LCIA!X$32</f>
        <v>31.681113489961145</v>
      </c>
      <c r="BC383" s="137">
        <f>$W383*AH383+$L383*Summary_LCIA!Y$32</f>
        <v>0.71075838708414452</v>
      </c>
      <c r="BD383" s="137">
        <f>$W383*AI383+$L383*Summary_LCIA!Z$32</f>
        <v>0.78232368194940949</v>
      </c>
      <c r="BE383" s="137">
        <f>$W383*AJ383+$L383*Summary_LCIA!AA$32</f>
        <v>2.6874757455991674</v>
      </c>
      <c r="BF383" s="137">
        <f>$W383*AK383+$L383*Summary_LCIA!AB$32</f>
        <v>0.16512264262824239</v>
      </c>
      <c r="BG383" s="137">
        <f>$W383*AL383+$L383*Summary_LCIA!AC$32</f>
        <v>8.0844807688284554E-5</v>
      </c>
      <c r="BH383" s="137">
        <f>$W383*AM383+$L383*Summary_LCIA!AD$32</f>
        <v>0.21148456537532126</v>
      </c>
      <c r="BI383" s="137">
        <f>$W383*AN383+$L383*Summary_LCIA!AE$32</f>
        <v>0.55151347792198779</v>
      </c>
      <c r="BJ383" s="137">
        <f>$W383*AO383+$L383*Summary_LCIA!AF$32</f>
        <v>1.9731725231634134E-2</v>
      </c>
      <c r="BK383" s="137">
        <f>$W383*AP383+$L383*Summary_LCIA!AG$32</f>
        <v>9.543816346634133E-3</v>
      </c>
      <c r="BL383" s="137">
        <f>$W383*AQ383+$L383*Summary_LCIA!AH$32</f>
        <v>1.2403452131885155</v>
      </c>
      <c r="BM383" s="137">
        <f>$W383*AR383+$L383*Summary_LCIA!AI$32</f>
        <v>0.55099852095006463</v>
      </c>
    </row>
    <row r="384" spans="1:65" x14ac:dyDescent="0.25">
      <c r="A384" s="149">
        <v>382</v>
      </c>
      <c r="B384" s="149">
        <v>29</v>
      </c>
      <c r="C384" s="61">
        <v>35.679470000000002</v>
      </c>
      <c r="D384" s="61">
        <v>139.77990500000001</v>
      </c>
      <c r="E384" s="61" t="s">
        <v>272</v>
      </c>
      <c r="F384" s="149">
        <v>5</v>
      </c>
      <c r="G384" s="61" t="s">
        <v>620</v>
      </c>
      <c r="H384" s="61" t="s">
        <v>621</v>
      </c>
      <c r="I384" s="61">
        <v>35.549393000000002</v>
      </c>
      <c r="J384" s="61">
        <v>139.77983900000001</v>
      </c>
      <c r="K384" s="61">
        <v>34.915987389999998</v>
      </c>
      <c r="L384" s="61">
        <v>20.963999999999999</v>
      </c>
      <c r="M384" s="61" t="s">
        <v>617</v>
      </c>
      <c r="N384" s="149">
        <v>28</v>
      </c>
      <c r="O384" s="149">
        <v>29</v>
      </c>
      <c r="P384" s="61" t="s">
        <v>565</v>
      </c>
      <c r="Q384" s="61" t="s">
        <v>559</v>
      </c>
      <c r="R384" s="61">
        <v>47.450249900000003</v>
      </c>
      <c r="S384" s="61">
        <v>-122.30881650000001</v>
      </c>
      <c r="T384" s="61"/>
      <c r="U384" s="61" t="s">
        <v>622</v>
      </c>
      <c r="V384" s="61" t="s">
        <v>569</v>
      </c>
      <c r="W384" s="61" cm="1">
        <f t="array" ref="W384">getDistance(I384,J384,R384,S384)*SA!$B$12</f>
        <v>7732.9863561656575</v>
      </c>
      <c r="Y384" s="137">
        <f>Transportation_LCIA!C$61*($W384^Transportation_LCIA!C$60)+Transportation_LCIA!C$62</f>
        <v>0.13410983014831226</v>
      </c>
      <c r="Z384" s="137">
        <f>Transportation_LCIA!D$61*($W384^Transportation_LCIA!D$60)+Transportation_LCIA!D$62</f>
        <v>1.2750636922893839</v>
      </c>
      <c r="AA384" s="137">
        <f>Transportation_LCIA!E$61*($W384^Transportation_LCIA!E$60)+Transportation_LCIA!E$62</f>
        <v>3.945830816743962E-4</v>
      </c>
      <c r="AB384" s="137">
        <f>Transportation_LCIA!F$61*($W384^Transportation_LCIA!F$60)+Transportation_LCIA!F$62</f>
        <v>0.13410983014831226</v>
      </c>
      <c r="AC384" s="137">
        <f>Transportation_LCIA!G$61*($W384^Transportation_LCIA!G$60)+Transportation_LCIA!G$62</f>
        <v>3.0022381689887842E-2</v>
      </c>
      <c r="AD384" s="137">
        <f>Transportation_LCIA!H$61*($W384^Transportation_LCIA!H$60)+Transportation_LCIA!H$62</f>
        <v>1.1479775437180469E-4</v>
      </c>
      <c r="AE384" s="137">
        <f>Transportation_LCIA!I$61*($W384^Transportation_LCIA!I$60)+Transportation_LCIA!I$62</f>
        <v>1.9537711263723941E-6</v>
      </c>
      <c r="AF384" s="137">
        <f>Transportation_LCIA!J$61*($W384^Transportation_LCIA!J$60)+Transportation_LCIA!J$62</f>
        <v>2.960025709740249E-3</v>
      </c>
      <c r="AG384" s="137">
        <f>Transportation_LCIA!K$61*($W384^Transportation_LCIA!K$60)+Transportation_LCIA!K$62</f>
        <v>5.9312865998840157E-3</v>
      </c>
      <c r="AH384" s="137">
        <f>Transportation_LCIA!L$61*($W384^Transportation_LCIA!L$60)+Transportation_LCIA!L$62</f>
        <v>9.2130525424215489E-5</v>
      </c>
      <c r="AI384" s="137">
        <f>Transportation_LCIA!M$61*($W384^Transportation_LCIA!M$60)+Transportation_LCIA!M$62</f>
        <v>1.5428727202023863E-4</v>
      </c>
      <c r="AJ384" s="137">
        <f>Transportation_LCIA!N$61*($W384^Transportation_LCIA!N$60)+Transportation_LCIA!N$62</f>
        <v>4.4397134188153039E-4</v>
      </c>
      <c r="AK384" s="137">
        <f>Transportation_LCIA!O$61*($W384^Transportation_LCIA!O$60)+Transportation_LCIA!O$62</f>
        <v>3.159140959269419E-5</v>
      </c>
      <c r="AL384" s="137">
        <f>Transportation_LCIA!P$61*($W384^Transportation_LCIA!P$60)+Transportation_LCIA!P$62</f>
        <v>1.5325457493794949E-8</v>
      </c>
      <c r="AM384" s="137">
        <f>Transportation_LCIA!Q$61*($W384^Transportation_LCIA!Q$60)+Transportation_LCIA!Q$62</f>
        <v>3.7429937539717766E-5</v>
      </c>
      <c r="AN384" s="137">
        <f>Transportation_LCIA!R$61*($W384^Transportation_LCIA!R$60)+Transportation_LCIA!R$62</f>
        <v>9.4658893049615744E-5</v>
      </c>
      <c r="AO384" s="137">
        <f>Transportation_LCIA!S$61*($W384^Transportation_LCIA!S$60)+Transportation_LCIA!S$62</f>
        <v>1.5975234452295921E-6</v>
      </c>
      <c r="AP384" s="137">
        <f>Transportation_LCIA!T$61*($W384^Transportation_LCIA!T$60)+Transportation_LCIA!T$62</f>
        <v>1.5975234452295921E-6</v>
      </c>
      <c r="AQ384" s="137">
        <f>Transportation_LCIA!U$61*($W384^Transportation_LCIA!U$60)+Transportation_LCIA!U$62</f>
        <v>1.9645456769131977E-4</v>
      </c>
      <c r="AR384" s="137">
        <f>Transportation_LCIA!V$61*($W384^Transportation_LCIA!V$60)+Transportation_LCIA!V$62</f>
        <v>9.8113228741500703E-5</v>
      </c>
      <c r="AT384" s="137">
        <f>$W384*Y384+$L384*Summary_LCIA!H$32</f>
        <v>1044.1930539645925</v>
      </c>
      <c r="AU384" s="137">
        <f>$W384*Z384+$L384*Summary_LCIA!Q$32</f>
        <v>9963.948776993424</v>
      </c>
      <c r="AV384" s="137">
        <f>$W384*AA384+$L384*Summary_LCIA!R$32</f>
        <v>3.161693625361905</v>
      </c>
      <c r="AW384" s="137">
        <f>$W384*AB384+$L384*Summary_LCIA!S$32</f>
        <v>1044.1003930845925</v>
      </c>
      <c r="AX384" s="137">
        <f>$W384*AC384+$L384*Summary_LCIA!T$32</f>
        <v>234.46661158750032</v>
      </c>
      <c r="AY384" s="137">
        <f>$W384*AD384+$L384*Summary_LCIA!U$32</f>
        <v>1.2632785642756221</v>
      </c>
      <c r="AZ384" s="137">
        <f>$W384*AE384+$L384*Summary_LCIA!V$32</f>
        <v>1.6109747067308132E-2</v>
      </c>
      <c r="BA384" s="137">
        <f>$W384*AF384+$L384*Summary_LCIA!W$32</f>
        <v>24.503458471320915</v>
      </c>
      <c r="BB384" s="137">
        <f>$W384*AG384+$L384*Summary_LCIA!X$32</f>
        <v>46.344118271411283</v>
      </c>
      <c r="BC384" s="137">
        <f>$W384*AH384+$L384*Summary_LCIA!Y$32</f>
        <v>1.0391051440918315</v>
      </c>
      <c r="BD384" s="137">
        <f>$W384*AI384+$L384*Summary_LCIA!Z$32</f>
        <v>1.1939610821385247</v>
      </c>
      <c r="BE384" s="137">
        <f>$W384*AJ384+$L384*Summary_LCIA!AA$32</f>
        <v>3.922859513298433</v>
      </c>
      <c r="BF384" s="137">
        <f>$W384*AK384+$L384*Summary_LCIA!AB$32</f>
        <v>0.24383844198034504</v>
      </c>
      <c r="BG384" s="137">
        <f>$W384*AL384+$L384*Summary_LCIA!AC$32</f>
        <v>1.1953635787751307E-4</v>
      </c>
      <c r="BH384" s="137">
        <f>$W384*AM384+$L384*Summary_LCIA!AD$32</f>
        <v>0.29806223886677025</v>
      </c>
      <c r="BI384" s="137">
        <f>$W384*AN384+$L384*Summary_LCIA!AE$32</f>
        <v>0.75057275776242283</v>
      </c>
      <c r="BJ384" s="137">
        <f>$W384*AO384+$L384*Summary_LCIA!AF$32</f>
        <v>3.007701188561519E-2</v>
      </c>
      <c r="BK384" s="137">
        <f>$W384*AP384+$L384*Summary_LCIA!AG$32</f>
        <v>1.3426250065615191E-2</v>
      </c>
      <c r="BL384" s="137">
        <f>$W384*AQ384+$L384*Summary_LCIA!AH$32</f>
        <v>1.7016427619633985</v>
      </c>
      <c r="BM384" s="137">
        <f>$W384*AR384+$L384*Summary_LCIA!AI$32</f>
        <v>0.77823727341738513</v>
      </c>
    </row>
    <row r="386" spans="22:65" x14ac:dyDescent="0.25">
      <c r="V386" s="76" t="str">
        <f>Q375</f>
        <v>Flughafen Frankfurt/Main</v>
      </c>
      <c r="W386" s="61">
        <f>COUNTIF(B2:B384,15)</f>
        <v>37</v>
      </c>
      <c r="AO386" s="76" t="s">
        <v>575</v>
      </c>
      <c r="AP386" s="137">
        <f>SUM(T2:T13,L225,L362,L367:L372,L374:L375,L381:L382)</f>
        <v>7885.3320000000003</v>
      </c>
      <c r="AQ386" s="76" t="s">
        <v>292</v>
      </c>
      <c r="AS386" s="76" t="s">
        <v>581</v>
      </c>
      <c r="AT386" s="137">
        <f>SUM(AT2:AT13)+SUM($L$362,$L$367:$L$372,$L$374:$L$375,$L$381:$L$382,$L$225)*Summary_LCIA!H$34</f>
        <v>587.15759138399994</v>
      </c>
      <c r="AU386" s="137">
        <f ca="1">SUM(AU2:AU13)+SUM($L$362,$L$367:$L$372,$L$374:$L$375,$L$381:$L$382,$L$225)*Summary_LCIA!Q$34</f>
        <v>9739.0886281743587</v>
      </c>
      <c r="AV386" s="137">
        <f ca="1">SUM(AV2:AV13)+SUM($L$362,$L$367:$L$372,$L$374:$L$375,$L$381:$L$382,$L$225)*Summary_LCIA!R$34</f>
        <v>20.159639791199996</v>
      </c>
      <c r="AW386" s="137">
        <f ca="1">SUM(AW2:AW13)+SUM($L$362,$L$367:$L$372,$L$374:$L$375,$L$381:$L$382,$L$225)*Summary_LCIA!S$34</f>
        <v>579.08301141599998</v>
      </c>
      <c r="AX386" s="137">
        <f ca="1">SUM(AX2:AX13)+SUM($L$362,$L$367:$L$372,$L$374:$L$375,$L$381:$L$382,$L$225)*Summary_LCIA!T$34</f>
        <v>163.56544167599998</v>
      </c>
      <c r="AY386" s="137">
        <f ca="1">SUM(AY2:AY13)+SUM($L$362,$L$367:$L$372,$L$374:$L$375,$L$381:$L$382,$L$225)*Summary_LCIA!U$34</f>
        <v>14.505856747199999</v>
      </c>
      <c r="AZ386" s="137">
        <f ca="1">SUM(AZ2:AZ13)+SUM($L$362,$L$367:$L$372,$L$374:$L$375,$L$381:$L$382,$L$225)*Summary_LCIA!V$34</f>
        <v>0.639445227876</v>
      </c>
      <c r="BA386" s="137">
        <f ca="1">SUM(BA2:BA13)+SUM($L$362,$L$367:$L$372,$L$374:$L$375,$L$381:$L$382,$L$225)*Summary_LCIA!W$34</f>
        <v>398.59564726799999</v>
      </c>
      <c r="BB386" s="137">
        <f ca="1">SUM(BB2:BB13)+SUM($L$362,$L$367:$L$372,$L$374:$L$375,$L$381:$L$382,$L$225)*Summary_LCIA!X$34</f>
        <v>83.773767167999992</v>
      </c>
      <c r="BC386" s="137">
        <f ca="1">SUM(BC2:BC13)+SUM($L$362,$L$367:$L$372,$L$374:$L$375,$L$381:$L$382,$L$225)*Summary_LCIA!Y$34</f>
        <v>13.512304915199998</v>
      </c>
      <c r="BD386" s="137">
        <f ca="1">SUM(BD2:BD13)+SUM($L$362,$L$367:$L$372,$L$374:$L$375,$L$381:$L$382,$L$225)*Summary_LCIA!Z$34</f>
        <v>0.22477138865999996</v>
      </c>
      <c r="BE386" s="137">
        <f ca="1">SUM(BE2:BE13)+SUM($L$362,$L$367:$L$372,$L$374:$L$375,$L$381:$L$382,$L$225)*Summary_LCIA!AA$34</f>
        <v>16.264285783200002</v>
      </c>
      <c r="BF386" s="137">
        <f ca="1">SUM(BF2:BF13)+SUM($L$362,$L$367:$L$372,$L$374:$L$375,$L$381:$L$382,$L$225)*Summary_LCIA!AB$34</f>
        <v>-5.4715530214800003E-2</v>
      </c>
      <c r="BG386" s="137">
        <f ca="1">SUM(BG2:BG13)+SUM($L$362,$L$367:$L$372,$L$374:$L$375,$L$381:$L$382,$L$225)*Summary_LCIA!AC$34</f>
        <v>2.9034580957199997E-5</v>
      </c>
      <c r="BH386" s="137">
        <f ca="1">SUM(BH2:BH13)+SUM($L$362,$L$367:$L$372,$L$374:$L$375,$L$381:$L$382,$L$225)*Summary_LCIA!AD$34</f>
        <v>0.87669121175999987</v>
      </c>
      <c r="BI386" s="137">
        <f ca="1">SUM(BI2:BI13)+SUM($L$362,$L$367:$L$372,$L$374:$L$375,$L$381:$L$382,$L$225)*Summary_LCIA!AE$34</f>
        <v>2.3651264800800003</v>
      </c>
      <c r="BJ386" s="137">
        <f ca="1">SUM(BJ2:BJ13)+SUM($L$362,$L$367:$L$372,$L$374:$L$375,$L$381:$L$382,$L$225)*Summary_LCIA!AF$34</f>
        <v>1.8756050695199997</v>
      </c>
      <c r="BK386" s="137">
        <f ca="1">SUM(BK2:BK13)+SUM($L$362,$L$367:$L$372,$L$374:$L$375,$L$381:$L$382,$L$225)*Summary_LCIA!AG$34</f>
        <v>2.1590827549199998E-2</v>
      </c>
      <c r="BL386" s="137">
        <f ca="1">SUM(BL2:BL13)+SUM($L$362,$L$367:$L$372,$L$374:$L$375,$L$381:$L$382,$L$225)*Summary_LCIA!AH$34</f>
        <v>17.965151895600002</v>
      </c>
      <c r="BM386" s="137">
        <f ca="1">SUM(BM2:BM13)+SUM($L$362,$L$367:$L$372,$L$374:$L$375,$L$381:$L$382,$L$225)*Summary_LCIA!AI$34</f>
        <v>2.2138069590000002</v>
      </c>
    </row>
    <row r="387" spans="22:65" x14ac:dyDescent="0.25">
      <c r="V387" s="76" t="str">
        <f>Q356</f>
        <v>Seattle-Tacoma International Airport</v>
      </c>
      <c r="W387" s="61">
        <f>COUNTIF(B2:B384,29)</f>
        <v>67</v>
      </c>
      <c r="AO387" s="76" t="s">
        <v>574</v>
      </c>
      <c r="AP387" s="137">
        <f>SUM(T14:T160,L161:L224,L226:L361,L363:L366,L373,L376:L380,L383:L384)</f>
        <v>55375.221999999972</v>
      </c>
      <c r="AQ387" s="76" t="s">
        <v>292</v>
      </c>
      <c r="AS387" s="76" t="s">
        <v>580</v>
      </c>
      <c r="AT387" s="137">
        <f>SUM(AT14:AT160)+SUM($L$161:$L$224,$L$226:$L$361,$L$363:$L$366,$L$373,$L$376:$L$380,$L$383:$L$384)*Summary_LCIA!H$32</f>
        <v>18816.500435599992</v>
      </c>
      <c r="AU387" s="137">
        <f>SUM(AU14:AU160)+SUM($L$161:$L$224,$L$226:$L$361,$L$363:$L$366,$L$373,$L$376:$L$380,$L$383:$L$384)*Summary_LCIA!Q$32</f>
        <v>274442.39297057112</v>
      </c>
      <c r="AV387" s="137">
        <f>SUM(AV14:AV160)+SUM($L$161:$L$224,$L$226:$L$361,$L$363:$L$366,$L$373,$L$376:$L$380,$L$383:$L$384)*Summary_LCIA!R$32</f>
        <v>291.58376896319999</v>
      </c>
      <c r="AW387" s="137">
        <f>SUM(AW14:AW160)+SUM($L$161:$L$224,$L$226:$L$361,$L$363:$L$366,$L$373,$L$376:$L$380,$L$383:$L$384)*Summary_LCIA!S$32</f>
        <v>18571.741954360004</v>
      </c>
      <c r="AX387" s="137">
        <f>SUM(AX14:AX160)+SUM($L$161:$L$224,$L$226:$L$361,$L$363:$L$366,$L$373,$L$376:$L$380,$L$383:$L$384)*Summary_LCIA!T$32</f>
        <v>6085.7368977999995</v>
      </c>
      <c r="AY387" s="137">
        <f>SUM(AY14:AY160)+SUM($L$161:$L$224,$L$226:$L$361,$L$363:$L$366,$L$373,$L$376:$L$380,$L$383:$L$384)*Summary_LCIA!U$32</f>
        <v>991.99172690799992</v>
      </c>
      <c r="AZ387" s="137">
        <f>SUM(AZ14:AZ160)+SUM($L$161:$L$224,$L$226:$L$361,$L$363:$L$366,$L$373,$L$376:$L$380,$L$383:$L$384)*Summary_LCIA!V$32</f>
        <v>2.6447759779420004</v>
      </c>
      <c r="BA387" s="137">
        <f>SUM(BA14:BA160)+SUM($L$161:$L$224,$L$226:$L$361,$L$363:$L$366,$L$373,$L$376:$L$380,$L$383:$L$384)*Summary_LCIA!W$32</f>
        <v>4262.2862125619986</v>
      </c>
      <c r="BB387" s="137">
        <f>SUM(BB14:BB160)+SUM($L$161:$L$224,$L$226:$L$361,$L$363:$L$366,$L$373,$L$376:$L$380,$L$383:$L$384)*Summary_LCIA!X$32</f>
        <v>1261.4475571599999</v>
      </c>
      <c r="BC387" s="137">
        <f>SUM(BC14:BC160)+SUM($L$161:$L$224,$L$226:$L$361,$L$363:$L$366,$L$373,$L$376:$L$380,$L$383:$L$384)*Summary_LCIA!Y$32</f>
        <v>862.85670920399991</v>
      </c>
      <c r="BD387" s="137">
        <f>SUM(BD14:BD160)+SUM($L$161:$L$224,$L$226:$L$361,$L$363:$L$366,$L$373,$L$376:$L$380,$L$383:$L$384)*Summary_LCIA!Z$32</f>
        <v>2.2708824789980007</v>
      </c>
      <c r="BE387" s="137">
        <f>SUM(BE14:BE160)+SUM($L$161:$L$224,$L$226:$L$361,$L$363:$L$366,$L$373,$L$376:$L$380,$L$383:$L$384)*Summary_LCIA!AA$32</f>
        <v>1293.3436850319995</v>
      </c>
      <c r="BF387" s="137">
        <f>SUM(BF14:BF160)+SUM($L$161:$L$224,$L$226:$L$361,$L$363:$L$366,$L$373,$L$376:$L$380,$L$383:$L$384)*Summary_LCIA!AB$32</f>
        <v>-1.2084534697059996</v>
      </c>
      <c r="BG387" s="137">
        <f>SUM(BG14:BG160)+SUM($L$161:$L$224,$L$226:$L$361,$L$363:$L$366,$L$373,$L$376:$L$380,$L$383:$L$384)*Summary_LCIA!AC$32</f>
        <v>2.7069623522479997E-3</v>
      </c>
      <c r="BH387" s="137">
        <f>SUM(BH14:BH160)+SUM($L$161:$L$224,$L$226:$L$361,$L$363:$L$366,$L$373,$L$376:$L$380,$L$383:$L$384)*Summary_LCIA!AD$32</f>
        <v>22.761431250879994</v>
      </c>
      <c r="BI387" s="137">
        <f>SUM(BI14:BI160)+SUM($L$161:$L$224,$L$226:$L$361,$L$363:$L$366,$L$373,$L$376:$L$380,$L$383:$L$384)*Summary_LCIA!AE$32</f>
        <v>49.069645470860003</v>
      </c>
      <c r="BJ387" s="137">
        <f>SUM(BJ14:BJ160)+SUM($L$161:$L$224,$L$226:$L$361,$L$363:$L$366,$L$373,$L$376:$L$380,$L$383:$L$384)*Summary_LCIA!AF$32</f>
        <v>46.815320183239983</v>
      </c>
      <c r="BK387" s="137">
        <f>SUM(BK14:BK160)+SUM($L$161:$L$224,$L$226:$L$361,$L$363:$L$366,$L$373,$L$376:$L$380,$L$383:$L$384)*Summary_LCIA!AG$32</f>
        <v>2.8332732336299982</v>
      </c>
      <c r="BL387" s="137">
        <f>SUM(BL14:BL160)+SUM($L$161:$L$224,$L$226:$L$361,$L$363:$L$366,$L$373,$L$376:$L$380,$L$383:$L$384)*Summary_LCIA!AH$32</f>
        <v>481.96378219920024</v>
      </c>
      <c r="BM387" s="137">
        <f>SUM(BM14:BM160)+SUM($L$161:$L$224,$L$226:$L$361,$L$363:$L$366,$L$373,$L$376:$L$380,$L$383:$L$384)*Summary_LCIA!AI$32</f>
        <v>51.584788054099988</v>
      </c>
    </row>
    <row r="388" spans="22:65" x14ac:dyDescent="0.25">
      <c r="V388" s="76" t="str">
        <f>Q383</f>
        <v>Newark Liberty International Airport</v>
      </c>
      <c r="W388" s="61">
        <f>COUNTIF(B2:B384,43)</f>
        <v>148</v>
      </c>
      <c r="AO388" s="76" t="s">
        <v>573</v>
      </c>
      <c r="AP388" s="137">
        <f>SUM(W161:W384)</f>
        <v>265770.65812839445</v>
      </c>
      <c r="AQ388" s="76" t="s">
        <v>292</v>
      </c>
      <c r="AS388" s="76" t="s">
        <v>582</v>
      </c>
      <c r="AT388" s="137">
        <f>SUM(AT161:AT384)-SUM($L$161:$L$224,$L$226:$L$361,$L$363:$L$366,$L$373,$L$376:$L$380,$L$383:$L$384)*Summary_LCIA!H$32-SUM($L$362,$L$367:$L$372,$L$374:$L$375,$L$381:$L$382,$L$225)*Summary_LCIA!H$34</f>
        <v>57132.098705678822</v>
      </c>
      <c r="AU388" s="137">
        <f ca="1">SUM(AU161:AU384)-SUM($L$161:$L$224,$L$226:$L$361,$L$363:$L$366,$L$373,$L$376:$L$380,$L$383:$L$384)*Summary_LCIA!Q$32-SUM($L$362,$L$367:$L$372,$L$374:$L$375,$L$381:$L$382,$L$225)*Summary_LCIA!Q$34</f>
        <v>583395.06275144196</v>
      </c>
      <c r="AV388" s="137">
        <f ca="1">SUM(AV161:AV384)-SUM($L$161:$L$224,$L$226:$L$361,$L$363:$L$366,$L$373,$L$376:$L$380,$L$383:$L$384)*Summary_LCIA!R$32-SUM($L$362,$L$367:$L$372,$L$374:$L$375,$L$381:$L$382,$L$225)*Summary_LCIA!R$34</f>
        <v>264.52475849230535</v>
      </c>
      <c r="AW388" s="137">
        <f ca="1">SUM(AW161:AW384)-SUM($L$161:$L$224,$L$226:$L$361,$L$363:$L$366,$L$373,$L$376:$L$380,$L$383:$L$384)*Summary_LCIA!S$32-SUM($L$362,$L$367:$L$372,$L$374:$L$375,$L$381:$L$382,$L$225)*Summary_LCIA!S$34</f>
        <v>57132.098705678851</v>
      </c>
      <c r="AX388" s="137">
        <f ca="1">SUM(AX161:AX384)-SUM($L$161:$L$224,$L$226:$L$361,$L$363:$L$366,$L$373,$L$376:$L$380,$L$383:$L$384)*Summary_LCIA!T$32-SUM($L$362,$L$367:$L$372,$L$374:$L$375,$L$381:$L$382,$L$225)*Summary_LCIA!T$34</f>
        <v>13644.445183691831</v>
      </c>
      <c r="AY388" s="137">
        <f ca="1">SUM(AY161:AY384)-SUM($L$161:$L$224,$L$226:$L$361,$L$363:$L$366,$L$373,$L$376:$L$380,$L$383:$L$384)*Summary_LCIA!U$32-SUM($L$362,$L$367:$L$372,$L$374:$L$375,$L$381:$L$382,$L$225)*Summary_LCIA!U$34</f>
        <v>65.143950276347041</v>
      </c>
      <c r="AZ388" s="137">
        <f ca="1">SUM(AZ161:AZ384)-SUM($L$161:$L$224,$L$226:$L$361,$L$363:$L$366,$L$373,$L$376:$L$380,$L$383:$L$384)*Summary_LCIA!V$32-SUM($L$362,$L$367:$L$372,$L$374:$L$375,$L$381:$L$382,$L$225)*Summary_LCIA!V$34</f>
        <v>1.372853250401145</v>
      </c>
      <c r="BA388" s="137">
        <f ca="1">SUM(BA161:BA384)-SUM($L$161:$L$224,$L$226:$L$361,$L$363:$L$366,$L$373,$L$376:$L$380,$L$383:$L$384)*Summary_LCIA!W$32-SUM($L$362,$L$367:$L$372,$L$374:$L$375,$L$381:$L$382,$L$225)*Summary_LCIA!W$34</f>
        <v>2040.9483881736555</v>
      </c>
      <c r="BB388" s="137">
        <f ca="1">SUM(BB161:BB384)-SUM($L$161:$L$224,$L$226:$L$361,$L$363:$L$366,$L$373,$L$376:$L$380,$L$383:$L$384)*Summary_LCIA!X$32-SUM($L$362,$L$367:$L$372,$L$374:$L$375,$L$381:$L$382,$L$225)*Summary_LCIA!X$34</f>
        <v>2882.4735651120841</v>
      </c>
      <c r="BC388" s="137">
        <f ca="1">SUM(BC161:BC384)-SUM($L$161:$L$224,$L$226:$L$361,$L$363:$L$366,$L$373,$L$376:$L$380,$L$383:$L$384)*Summary_LCIA!Y$32-SUM($L$362,$L$367:$L$372,$L$374:$L$375,$L$381:$L$382,$L$225)*Summary_LCIA!Y$34</f>
        <v>56.132299504476123</v>
      </c>
      <c r="BD388" s="137">
        <f ca="1">SUM(BD161:BD384)-SUM($L$161:$L$224,$L$226:$L$361,$L$363:$L$366,$L$373,$L$376:$L$380,$L$383:$L$384)*Summary_LCIA!Z$32-SUM($L$362,$L$367:$L$372,$L$374:$L$375,$L$381:$L$382,$L$225)*Summary_LCIA!Z$34</f>
        <v>60.105354399470841</v>
      </c>
      <c r="BE388" s="137">
        <f ca="1">SUM(BE161:BE384)-SUM($L$161:$L$224,$L$226:$L$361,$L$363:$L$366,$L$373,$L$376:$L$380,$L$383:$L$384)*Summary_LCIA!AA$32-SUM($L$362,$L$367:$L$372,$L$374:$L$375,$L$381:$L$382,$L$225)*Summary_LCIA!AA$34</f>
        <v>234.63975391928201</v>
      </c>
      <c r="BF388" s="137">
        <f ca="1">SUM(BF161:BF384)-SUM($L$161:$L$224,$L$226:$L$361,$L$363:$L$366,$L$373,$L$376:$L$380,$L$383:$L$384)*Summary_LCIA!AB$32-SUM($L$362,$L$367:$L$372,$L$374:$L$375,$L$381:$L$382,$L$225)*Summary_LCIA!AB$34</f>
        <v>14.412147352561075</v>
      </c>
      <c r="BG388" s="137">
        <f ca="1">SUM(BG161:BG384)-SUM($L$161:$L$224,$L$226:$L$361,$L$363:$L$366,$L$373,$L$376:$L$380,$L$383:$L$384)*Summary_LCIA!AC$32-SUM($L$362,$L$367:$L$372,$L$374:$L$375,$L$381:$L$382,$L$225)*Summary_LCIA!AC$34</f>
        <v>6.9708846831674949E-3</v>
      </c>
      <c r="BH388" s="137">
        <f ca="1">SUM(BH161:BH384)-SUM($L$161:$L$224,$L$226:$L$361,$L$363:$L$366,$L$373,$L$376:$L$380,$L$383:$L$384)*Summary_LCIA!AD$32-SUM($L$362,$L$367:$L$372,$L$374:$L$375,$L$381:$L$382,$L$225)*Summary_LCIA!AD$34</f>
        <v>22.281374979591728</v>
      </c>
      <c r="BI388" s="137">
        <f ca="1">SUM(BI161:BI384)-SUM($L$161:$L$224,$L$226:$L$361,$L$363:$L$366,$L$373,$L$376:$L$380,$L$383:$L$384)*Summary_LCIA!AE$32-SUM($L$362,$L$367:$L$372,$L$374:$L$375,$L$381:$L$382,$L$225)*Summary_LCIA!AE$34</f>
        <v>66.069546989291311</v>
      </c>
      <c r="BJ388" s="137">
        <f ca="1">SUM(BJ161:BJ384)-SUM($L$161:$L$224,$L$226:$L$361,$L$363:$L$366,$L$373,$L$376:$L$380,$L$383:$L$384)*Summary_LCIA!AF$32-SUM($L$362,$L$367:$L$372,$L$374:$L$375,$L$381:$L$382,$L$225)*Summary_LCIA!AF$34</f>
        <v>1.0057440199721057</v>
      </c>
      <c r="BK388" s="137">
        <f ca="1">SUM(BK161:BK384)-SUM($L$161:$L$224,$L$226:$L$361,$L$363:$L$366,$L$373,$L$376:$L$380,$L$383:$L$384)*Summary_LCIA!AG$32-SUM($L$362,$L$367:$L$372,$L$374:$L$375,$L$381:$L$382,$L$225)*Summary_LCIA!AG$34</f>
        <v>1.0057440199721208</v>
      </c>
      <c r="BL388" s="137">
        <f ca="1">SUM(BL161:BL384)-SUM($L$161:$L$224,$L$226:$L$361,$L$363:$L$366,$L$373,$L$376:$L$380,$L$383:$L$384)*Summary_LCIA!AH$32-SUM($L$362,$L$367:$L$372,$L$374:$L$375,$L$381:$L$382,$L$225)*Summary_LCIA!AH$34</f>
        <v>141.5805541883023</v>
      </c>
      <c r="BM388" s="137">
        <f ca="1">SUM(BM161:BM384)-SUM($L$161:$L$224,$L$226:$L$361,$L$363:$L$366,$L$373,$L$376:$L$380,$L$383:$L$384)*Summary_LCIA!AI$32-SUM($L$362,$L$367:$L$372,$L$374:$L$375,$L$381:$L$382,$L$225)*Summary_LCIA!AI$34</f>
        <v>58.027458886897001</v>
      </c>
    </row>
    <row r="389" spans="22:65" x14ac:dyDescent="0.25">
      <c r="V389" s="76" t="str">
        <f>Q329</f>
        <v>O'Hare International Airport</v>
      </c>
      <c r="W389" s="61">
        <f>COUNTIF(B2:B384,6)</f>
        <v>131</v>
      </c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37"/>
      <c r="BE389" s="137"/>
      <c r="BF389" s="137"/>
      <c r="BG389" s="137"/>
      <c r="BH389" s="137"/>
      <c r="BI389" s="137"/>
      <c r="BJ389" s="137"/>
      <c r="BK389" s="137"/>
      <c r="BL389" s="137"/>
      <c r="BM389" s="137"/>
    </row>
    <row r="390" spans="22:65" x14ac:dyDescent="0.25">
      <c r="AO390" s="76" t="str">
        <f>'ACLCA_raw data'!I2</f>
        <v>total number of participants (w. location &amp; w/o duplication)</v>
      </c>
      <c r="AP390" s="76">
        <f>'ACLCA_raw data'!J2</f>
        <v>383</v>
      </c>
      <c r="AQ390" s="76" t="s">
        <v>291</v>
      </c>
      <c r="AS390" s="76" t="s">
        <v>583</v>
      </c>
      <c r="AT390" s="137">
        <f>AT386/$AP$390</f>
        <v>1.5330485414725847</v>
      </c>
      <c r="AU390" s="137">
        <f ca="1">AU386/$AP$390</f>
        <v>25.428429838575351</v>
      </c>
      <c r="AV390" s="137">
        <f t="shared" ref="AU390:BM392" ca="1" si="22">AV386/$AP$390</f>
        <v>5.2636135225065266E-2</v>
      </c>
      <c r="AW390" s="137">
        <f t="shared" ca="1" si="22"/>
        <v>1.5119660872480418</v>
      </c>
      <c r="AX390" s="137">
        <f t="shared" ca="1" si="22"/>
        <v>0.42706381638642293</v>
      </c>
      <c r="AY390" s="137">
        <f t="shared" ca="1" si="22"/>
        <v>3.7874299601044388E-2</v>
      </c>
      <c r="AZ390" s="137">
        <f t="shared" ca="1" si="22"/>
        <v>1.6695697855770234E-3</v>
      </c>
      <c r="BA390" s="137">
        <f t="shared" ca="1" si="22"/>
        <v>1.0407197056605744</v>
      </c>
      <c r="BB390" s="137">
        <f t="shared" ca="1" si="22"/>
        <v>0.21873046257963444</v>
      </c>
      <c r="BC390" s="137">
        <f t="shared" ca="1" si="22"/>
        <v>3.5280169491383809E-2</v>
      </c>
      <c r="BD390" s="137">
        <f t="shared" ca="1" si="22"/>
        <v>5.8687046647519568E-4</v>
      </c>
      <c r="BE390" s="137">
        <f t="shared" ca="1" si="22"/>
        <v>4.2465498128459532E-2</v>
      </c>
      <c r="BF390" s="137">
        <f t="shared" ca="1" si="22"/>
        <v>-1.4286039220574414E-4</v>
      </c>
      <c r="BG390" s="137">
        <f t="shared" ca="1" si="22"/>
        <v>7.5808305371279364E-8</v>
      </c>
      <c r="BH390" s="137">
        <f t="shared" ca="1" si="22"/>
        <v>2.2890109967624015E-3</v>
      </c>
      <c r="BI390" s="137">
        <f t="shared" ca="1" si="22"/>
        <v>6.1752649610443871E-3</v>
      </c>
      <c r="BJ390" s="137">
        <f t="shared" ca="1" si="22"/>
        <v>4.8971411736814614E-3</v>
      </c>
      <c r="BK390" s="137">
        <f t="shared" ca="1" si="22"/>
        <v>5.6372917883028714E-5</v>
      </c>
      <c r="BL390" s="137">
        <f t="shared" ca="1" si="22"/>
        <v>4.6906401816187993E-2</v>
      </c>
      <c r="BM390" s="137">
        <f t="shared" ca="1" si="22"/>
        <v>5.7801748276762408E-3</v>
      </c>
    </row>
    <row r="391" spans="22:65" x14ac:dyDescent="0.25">
      <c r="AO391" s="76" t="str">
        <f>'ACLCA_raw data'!I3</f>
        <v>total number of participants (w/o duplication)</v>
      </c>
      <c r="AP391" s="76">
        <f>'ACLCA_raw data'!J3</f>
        <v>536</v>
      </c>
      <c r="AQ391" s="76" t="s">
        <v>291</v>
      </c>
      <c r="AS391" s="76" t="s">
        <v>584</v>
      </c>
      <c r="AT391" s="137">
        <f>AT387/$AP$390</f>
        <v>49.129243957180137</v>
      </c>
      <c r="AU391" s="137">
        <f t="shared" ref="AU391:BI391" si="23">AU387/$AP$390</f>
        <v>716.55977276911517</v>
      </c>
      <c r="AV391" s="137">
        <f t="shared" si="23"/>
        <v>0.76131532366370758</v>
      </c>
      <c r="AW391" s="137">
        <f t="shared" si="23"/>
        <v>48.490187870391658</v>
      </c>
      <c r="AX391" s="137">
        <f t="shared" si="23"/>
        <v>15.889652474673628</v>
      </c>
      <c r="AY391" s="137">
        <f t="shared" si="23"/>
        <v>2.590056728219321</v>
      </c>
      <c r="AZ391" s="137">
        <f t="shared" si="23"/>
        <v>6.9054203079425601E-3</v>
      </c>
      <c r="BA391" s="137">
        <f t="shared" si="23"/>
        <v>11.128684628099213</v>
      </c>
      <c r="BB391" s="137">
        <f t="shared" si="23"/>
        <v>3.2935967549869449</v>
      </c>
      <c r="BC391" s="137">
        <f t="shared" si="23"/>
        <v>2.2528895801671016</v>
      </c>
      <c r="BD391" s="137">
        <f t="shared" si="23"/>
        <v>5.929197073101829E-3</v>
      </c>
      <c r="BE391" s="137">
        <f t="shared" si="23"/>
        <v>3.3768764622245415</v>
      </c>
      <c r="BF391" s="137">
        <f t="shared" si="23"/>
        <v>-3.155230991399477E-3</v>
      </c>
      <c r="BG391" s="137">
        <f t="shared" si="23"/>
        <v>7.0677868204908611E-6</v>
      </c>
      <c r="BH391" s="137">
        <f t="shared" si="23"/>
        <v>5.9429324414830273E-2</v>
      </c>
      <c r="BI391" s="137">
        <f t="shared" si="23"/>
        <v>0.12811917877509138</v>
      </c>
      <c r="BJ391" s="137">
        <f t="shared" si="22"/>
        <v>0.12223321196668403</v>
      </c>
      <c r="BK391" s="137">
        <f t="shared" si="22"/>
        <v>7.397580244464747E-3</v>
      </c>
      <c r="BL391" s="137">
        <f t="shared" si="22"/>
        <v>1.2583910762381207</v>
      </c>
      <c r="BM391" s="137">
        <f t="shared" si="22"/>
        <v>0.13468613068955609</v>
      </c>
    </row>
    <row r="392" spans="22:65" x14ac:dyDescent="0.25">
      <c r="AO392" s="76" t="s">
        <v>578</v>
      </c>
      <c r="AP392" s="61">
        <f>AP386/$AP$390</f>
        <v>20.588334203655354</v>
      </c>
      <c r="AQ392" s="76" t="s">
        <v>292</v>
      </c>
      <c r="AS392" s="76" t="s">
        <v>585</v>
      </c>
      <c r="AT392" s="137">
        <f>AT388/$AP$390*IF(SA!$B$9="-", 1,0)+IF(SA!$B$9&lt;&gt;"-", $AP$388*SA!$B$9/$AP$390,0)</f>
        <v>149.16997051091076</v>
      </c>
      <c r="AU392" s="137">
        <f t="shared" ca="1" si="22"/>
        <v>1523.2247069228249</v>
      </c>
      <c r="AV392" s="137">
        <f t="shared" ca="1" si="22"/>
        <v>0.69066516577625414</v>
      </c>
      <c r="AW392" s="137">
        <f t="shared" ca="1" si="22"/>
        <v>149.16997051091084</v>
      </c>
      <c r="AX392" s="137">
        <f t="shared" ca="1" si="22"/>
        <v>35.625183247237153</v>
      </c>
      <c r="AY392" s="137">
        <f t="shared" ca="1" si="22"/>
        <v>0.17008864301918289</v>
      </c>
      <c r="AZ392" s="137">
        <f t="shared" ca="1" si="22"/>
        <v>3.5844732386452875E-3</v>
      </c>
      <c r="BA392" s="137">
        <f t="shared" ca="1" si="22"/>
        <v>5.3288469665108495</v>
      </c>
      <c r="BB392" s="137">
        <f t="shared" ca="1" si="22"/>
        <v>7.5260406399793318</v>
      </c>
      <c r="BC392" s="137">
        <f t="shared" ca="1" si="22"/>
        <v>0.14655952873231365</v>
      </c>
      <c r="BD392" s="137">
        <f t="shared" ca="1" si="22"/>
        <v>0.15693304020749566</v>
      </c>
      <c r="BE392" s="137">
        <f t="shared" ca="1" si="22"/>
        <v>0.61263643320961358</v>
      </c>
      <c r="BF392" s="137">
        <f t="shared" ca="1" si="22"/>
        <v>3.7629627552378787E-2</v>
      </c>
      <c r="BG392" s="137">
        <f t="shared" ca="1" si="22"/>
        <v>1.8200743298087453E-5</v>
      </c>
      <c r="BH392" s="137">
        <f t="shared" ca="1" si="22"/>
        <v>5.8175913784834797E-2</v>
      </c>
      <c r="BI392" s="137">
        <f t="shared" ca="1" si="22"/>
        <v>0.17250534461955955</v>
      </c>
      <c r="BJ392" s="137">
        <f t="shared" ca="1" si="22"/>
        <v>2.6259634986216859E-3</v>
      </c>
      <c r="BK392" s="137">
        <f t="shared" ca="1" si="22"/>
        <v>2.6259634986217253E-3</v>
      </c>
      <c r="BL392" s="137">
        <f t="shared" ca="1" si="22"/>
        <v>0.36966202137937937</v>
      </c>
      <c r="BM392" s="137">
        <f t="shared" ca="1" si="22"/>
        <v>0.15150772555325587</v>
      </c>
    </row>
    <row r="393" spans="22:65" x14ac:dyDescent="0.25">
      <c r="AO393" s="76" t="s">
        <v>577</v>
      </c>
      <c r="AP393" s="61">
        <f>AP387/$AP$390</f>
        <v>144.58282506527408</v>
      </c>
      <c r="AQ393" s="76" t="s">
        <v>292</v>
      </c>
      <c r="AT393" s="137"/>
      <c r="AU393" s="137"/>
      <c r="AV393" s="137"/>
      <c r="AW393" s="137"/>
      <c r="AX393" s="137"/>
      <c r="AY393" s="137"/>
      <c r="AZ393" s="137"/>
      <c r="BA393" s="137"/>
      <c r="BB393" s="137"/>
      <c r="BC393" s="137"/>
      <c r="BD393" s="137"/>
      <c r="BE393" s="137"/>
      <c r="BF393" s="137"/>
      <c r="BG393" s="137"/>
      <c r="BH393" s="137"/>
      <c r="BI393" s="137"/>
      <c r="BJ393" s="137"/>
      <c r="BK393" s="137"/>
      <c r="BL393" s="137"/>
      <c r="BM393" s="137"/>
    </row>
    <row r="394" spans="22:65" x14ac:dyDescent="0.25">
      <c r="AO394" s="76" t="s">
        <v>576</v>
      </c>
      <c r="AP394" s="61">
        <f>AP388/$AP$390</f>
        <v>693.91816743706124</v>
      </c>
      <c r="AQ394" s="76" t="s">
        <v>292</v>
      </c>
      <c r="AS394" s="76" t="s">
        <v>588</v>
      </c>
      <c r="AT394" s="137">
        <f>AT386/$AP$386</f>
        <v>7.4461999999999987E-2</v>
      </c>
      <c r="AU394" s="137">
        <f ca="1">AU386/$AP$386</f>
        <v>1.2350892299999998</v>
      </c>
      <c r="AV394" s="137">
        <f t="shared" ref="AV394:BM394" ca="1" si="24">AV386/$AP$386</f>
        <v>2.5565999999999996E-3</v>
      </c>
      <c r="AW394" s="137">
        <f t="shared" ca="1" si="24"/>
        <v>7.3437999999999989E-2</v>
      </c>
      <c r="AX394" s="137">
        <f t="shared" ca="1" si="24"/>
        <v>2.0742999999999998E-2</v>
      </c>
      <c r="AY394" s="137">
        <f t="shared" ca="1" si="24"/>
        <v>1.8395999999999998E-3</v>
      </c>
      <c r="AZ394" s="137">
        <f t="shared" ca="1" si="24"/>
        <v>8.1092999999999991E-5</v>
      </c>
      <c r="BA394" s="137">
        <f t="shared" ca="1" si="24"/>
        <v>5.0548999999999997E-2</v>
      </c>
      <c r="BB394" s="137">
        <f t="shared" ca="1" si="24"/>
        <v>1.0623999999999998E-2</v>
      </c>
      <c r="BC394" s="137">
        <f t="shared" ca="1" si="24"/>
        <v>1.7135999999999996E-3</v>
      </c>
      <c r="BD394" s="137">
        <f t="shared" ca="1" si="24"/>
        <v>2.8504999999999992E-5</v>
      </c>
      <c r="BE394" s="137">
        <f t="shared" ca="1" si="24"/>
        <v>2.0625999999999999E-3</v>
      </c>
      <c r="BF394" s="137">
        <f t="shared" ca="1" si="24"/>
        <v>-6.9388999999999998E-6</v>
      </c>
      <c r="BG394" s="137">
        <f t="shared" ca="1" si="24"/>
        <v>3.6820999999999995E-9</v>
      </c>
      <c r="BH394" s="137">
        <f t="shared" ca="1" si="24"/>
        <v>1.1117999999999998E-4</v>
      </c>
      <c r="BI394" s="137">
        <f t="shared" ca="1" si="24"/>
        <v>2.9994E-4</v>
      </c>
      <c r="BJ394" s="137">
        <f t="shared" ca="1" si="24"/>
        <v>2.3785999999999995E-4</v>
      </c>
      <c r="BK394" s="137">
        <f t="shared" ca="1" si="24"/>
        <v>2.7380999999999997E-6</v>
      </c>
      <c r="BL394" s="137">
        <f t="shared" ca="1" si="24"/>
        <v>2.2783E-3</v>
      </c>
      <c r="BM394" s="137">
        <f t="shared" ca="1" si="24"/>
        <v>2.8075000000000002E-4</v>
      </c>
    </row>
    <row r="395" spans="22:65" x14ac:dyDescent="0.25">
      <c r="AS395" s="76" t="s">
        <v>587</v>
      </c>
      <c r="AT395" s="137">
        <f>AT387/$AP$387</f>
        <v>0.33980000000000005</v>
      </c>
      <c r="AU395" s="137">
        <f t="shared" ref="AU395:BM395" si="25">AU387/$AP$387</f>
        <v>4.9560504330000024</v>
      </c>
      <c r="AV395" s="137">
        <f t="shared" si="25"/>
        <v>5.2656000000000022E-3</v>
      </c>
      <c r="AW395" s="137">
        <f t="shared" si="25"/>
        <v>0.33538000000000023</v>
      </c>
      <c r="AX395" s="137">
        <f t="shared" si="25"/>
        <v>0.10990000000000004</v>
      </c>
      <c r="AY395" s="137">
        <f t="shared" si="25"/>
        <v>1.7914000000000006E-2</v>
      </c>
      <c r="AZ395" s="137">
        <f t="shared" si="25"/>
        <v>4.7761000000000033E-5</v>
      </c>
      <c r="BA395" s="137">
        <f t="shared" si="25"/>
        <v>7.6971000000000012E-2</v>
      </c>
      <c r="BB395" s="137">
        <f t="shared" si="25"/>
        <v>2.2780000000000009E-2</v>
      </c>
      <c r="BC395" s="137">
        <f t="shared" si="25"/>
        <v>1.5582000000000006E-2</v>
      </c>
      <c r="BD395" s="137">
        <f t="shared" si="25"/>
        <v>4.1009000000000034E-5</v>
      </c>
      <c r="BE395" s="137">
        <f t="shared" si="25"/>
        <v>2.3356000000000002E-2</v>
      </c>
      <c r="BF395" s="137">
        <f t="shared" si="25"/>
        <v>-2.1823000000000004E-5</v>
      </c>
      <c r="BG395" s="137">
        <f t="shared" si="25"/>
        <v>4.8884000000000016E-8</v>
      </c>
      <c r="BH395" s="137">
        <f t="shared" si="25"/>
        <v>4.110400000000001E-4</v>
      </c>
      <c r="BI395" s="137">
        <f t="shared" si="25"/>
        <v>8.8613000000000049E-4</v>
      </c>
      <c r="BJ395" s="137">
        <f t="shared" si="25"/>
        <v>8.4542000000000016E-4</v>
      </c>
      <c r="BK395" s="137">
        <f t="shared" si="25"/>
        <v>5.1164999999999995E-5</v>
      </c>
      <c r="BL395" s="137">
        <f t="shared" si="25"/>
        <v>8.7036000000000092E-3</v>
      </c>
      <c r="BM395" s="137">
        <f t="shared" si="25"/>
        <v>9.3155000000000028E-4</v>
      </c>
    </row>
    <row r="396" spans="22:65" x14ac:dyDescent="0.25">
      <c r="AS396" s="76" t="s">
        <v>586</v>
      </c>
      <c r="AT396" s="137">
        <f>AT388/$AP$388</f>
        <v>0.21496766839504972</v>
      </c>
      <c r="AU396" s="137">
        <f t="shared" ref="AU396:BM396" ca="1" si="26">AU388/$AP$388</f>
        <v>2.1951071155101043</v>
      </c>
      <c r="AV396" s="137">
        <f t="shared" ca="1" si="26"/>
        <v>9.9531212495441394E-4</v>
      </c>
      <c r="AW396" s="137">
        <f t="shared" ca="1" si="26"/>
        <v>0.21496766839504983</v>
      </c>
      <c r="AX396" s="137">
        <f t="shared" ca="1" si="26"/>
        <v>5.1339170696187861E-2</v>
      </c>
      <c r="AY396" s="137">
        <f t="shared" ca="1" si="26"/>
        <v>2.4511340241658973E-4</v>
      </c>
      <c r="AZ396" s="137">
        <f t="shared" ca="1" si="26"/>
        <v>5.165556122970942E-6</v>
      </c>
      <c r="BA396" s="137">
        <f t="shared" ca="1" si="26"/>
        <v>7.6793593489453919E-3</v>
      </c>
      <c r="BB396" s="137">
        <f t="shared" ca="1" si="26"/>
        <v>1.084571782833737E-2</v>
      </c>
      <c r="BC396" s="137">
        <f t="shared" ca="1" si="26"/>
        <v>2.1120578132954946E-4</v>
      </c>
      <c r="BD396" s="137">
        <f t="shared" ca="1" si="26"/>
        <v>2.2615496692804138E-4</v>
      </c>
      <c r="BE396" s="137">
        <f t="shared" ca="1" si="26"/>
        <v>8.8286553365844842E-4</v>
      </c>
      <c r="BF396" s="137">
        <f t="shared" ca="1" si="26"/>
        <v>5.4227759580587448E-5</v>
      </c>
      <c r="BG396" s="137">
        <f t="shared" ca="1" si="26"/>
        <v>2.6228947665847461E-8</v>
      </c>
      <c r="BH396" s="137">
        <f t="shared" ca="1" si="26"/>
        <v>8.3836850676072527E-5</v>
      </c>
      <c r="BI396" s="137">
        <f t="shared" ca="1" si="26"/>
        <v>2.4859609203877186E-4</v>
      </c>
      <c r="BJ396" s="137">
        <f t="shared" ca="1" si="26"/>
        <v>3.7842552938489861E-6</v>
      </c>
      <c r="BK396" s="137">
        <f t="shared" ca="1" si="26"/>
        <v>3.7842552938490428E-6</v>
      </c>
      <c r="BL396" s="137">
        <f t="shared" ca="1" si="26"/>
        <v>5.3271702446514762E-4</v>
      </c>
      <c r="BM396" s="137">
        <f t="shared" ca="1" si="26"/>
        <v>2.1833658875489482E-4</v>
      </c>
    </row>
    <row r="397" spans="22:65" x14ac:dyDescent="0.25">
      <c r="AT397" s="137"/>
      <c r="AU397" s="137"/>
      <c r="AV397" s="137"/>
      <c r="AW397" s="137"/>
      <c r="AX397" s="137"/>
      <c r="AY397" s="137"/>
      <c r="AZ397" s="137"/>
      <c r="BA397" s="137"/>
      <c r="BB397" s="137"/>
      <c r="BC397" s="137"/>
      <c r="BD397" s="137"/>
      <c r="BE397" s="137"/>
      <c r="BF397" s="137"/>
      <c r="BG397" s="137"/>
      <c r="BH397" s="137"/>
      <c r="BI397" s="137"/>
      <c r="BJ397" s="137"/>
      <c r="BK397" s="137"/>
      <c r="BL397" s="137"/>
      <c r="BM397" s="137"/>
    </row>
    <row r="398" spans="22:65" x14ac:dyDescent="0.25">
      <c r="AT398" s="137"/>
      <c r="AU398" s="137"/>
      <c r="AV398" s="137"/>
      <c r="AW398" s="137"/>
      <c r="AX398" s="137"/>
      <c r="AY398" s="137"/>
      <c r="AZ398" s="137"/>
      <c r="BA398" s="137"/>
      <c r="BB398" s="137"/>
      <c r="BC398" s="137"/>
      <c r="BD398" s="137"/>
      <c r="BE398" s="137"/>
      <c r="BF398" s="137"/>
      <c r="BG398" s="137"/>
      <c r="BH398" s="137"/>
      <c r="BI398" s="137"/>
      <c r="BJ398" s="137"/>
      <c r="BK398" s="137"/>
      <c r="BL398" s="137"/>
      <c r="BM398" s="137"/>
    </row>
  </sheetData>
  <sortState xmlns:xlrd2="http://schemas.microsoft.com/office/spreadsheetml/2017/richdata2" ref="A2:W397">
    <sortCondition descending="1" ref="V1:V397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2D763-72E8-48A4-8C31-47ABD76F010E}">
  <sheetPr codeName="Sheet23"/>
  <dimension ref="A1:BM397"/>
  <sheetViews>
    <sheetView topLeftCell="L340" zoomScale="60" zoomScaleNormal="60" workbookViewId="0">
      <selection activeCell="AE413" sqref="AE413"/>
    </sheetView>
  </sheetViews>
  <sheetFormatPr defaultRowHeight="15" x14ac:dyDescent="0.25"/>
  <cols>
    <col min="1" max="2" width="9.28515625" style="149" bestFit="1" customWidth="1"/>
    <col min="3" max="4" width="9.28515625" style="76" bestFit="1" customWidth="1"/>
    <col min="5" max="5" width="9.140625" style="76"/>
    <col min="6" max="6" width="9.28515625" style="149" bestFit="1" customWidth="1"/>
    <col min="7" max="8" width="9.140625" style="76"/>
    <col min="9" max="12" width="9.28515625" style="76" bestFit="1" customWidth="1"/>
    <col min="13" max="13" width="9.140625" style="76"/>
    <col min="14" max="15" width="9.28515625" style="149" bestFit="1" customWidth="1"/>
    <col min="16" max="17" width="9.140625" style="76"/>
    <col min="18" max="20" width="9.28515625" style="76" bestFit="1" customWidth="1"/>
    <col min="21" max="22" width="9.140625" style="76"/>
    <col min="23" max="23" width="9.28515625" style="76" bestFit="1" customWidth="1"/>
    <col min="24" max="24" width="9.140625" style="76"/>
    <col min="25" max="44" width="10.7109375" style="76" customWidth="1"/>
    <col min="45" max="45" width="9.140625" style="76"/>
    <col min="46" max="65" width="10.7109375" style="76" customWidth="1"/>
    <col min="66" max="16384" width="9.140625" style="76"/>
  </cols>
  <sheetData>
    <row r="1" spans="1:65" x14ac:dyDescent="0.25">
      <c r="A1" s="149" t="s">
        <v>562</v>
      </c>
      <c r="B1" s="149" t="s">
        <v>601</v>
      </c>
      <c r="C1" s="61" t="s">
        <v>602</v>
      </c>
      <c r="D1" s="61" t="s">
        <v>603</v>
      </c>
      <c r="E1" s="61" t="s">
        <v>604</v>
      </c>
      <c r="F1" s="149" t="s">
        <v>605</v>
      </c>
      <c r="G1" s="61" t="s">
        <v>606</v>
      </c>
      <c r="H1" s="61" t="s">
        <v>607</v>
      </c>
      <c r="I1" s="61" t="s">
        <v>608</v>
      </c>
      <c r="J1" s="61" t="s">
        <v>609</v>
      </c>
      <c r="K1" s="61" t="s">
        <v>563</v>
      </c>
      <c r="L1" s="61" t="s">
        <v>610</v>
      </c>
      <c r="M1" s="61" t="s">
        <v>568</v>
      </c>
      <c r="N1" s="149" t="s">
        <v>611</v>
      </c>
      <c r="O1" s="149" t="s">
        <v>560</v>
      </c>
      <c r="P1" s="61" t="s">
        <v>612</v>
      </c>
      <c r="Q1" s="61" t="s">
        <v>317</v>
      </c>
      <c r="R1" s="61" t="s">
        <v>288</v>
      </c>
      <c r="S1" s="61" t="s">
        <v>289</v>
      </c>
      <c r="T1" s="61" t="s">
        <v>613</v>
      </c>
      <c r="U1" s="61" t="s">
        <v>614</v>
      </c>
      <c r="V1" s="61" t="s">
        <v>732</v>
      </c>
      <c r="W1" s="61" t="s">
        <v>733</v>
      </c>
      <c r="Y1" s="137" t="s">
        <v>0</v>
      </c>
      <c r="Z1" s="137" t="s">
        <v>156</v>
      </c>
      <c r="AA1" s="137" t="s">
        <v>164</v>
      </c>
      <c r="AB1" s="137" t="s">
        <v>165</v>
      </c>
      <c r="AC1" s="137" t="s">
        <v>166</v>
      </c>
      <c r="AD1" s="137" t="s">
        <v>167</v>
      </c>
      <c r="AE1" s="137" t="s">
        <v>168</v>
      </c>
      <c r="AF1" s="137" t="s">
        <v>169</v>
      </c>
      <c r="AG1" s="137" t="s">
        <v>170</v>
      </c>
      <c r="AH1" s="137" t="s">
        <v>171</v>
      </c>
      <c r="AI1" s="137" t="s">
        <v>172</v>
      </c>
      <c r="AJ1" s="137" t="s">
        <v>173</v>
      </c>
      <c r="AK1" s="137" t="s">
        <v>174</v>
      </c>
      <c r="AL1" s="137" t="s">
        <v>175</v>
      </c>
      <c r="AM1" s="137" t="s">
        <v>176</v>
      </c>
      <c r="AN1" s="137" t="s">
        <v>177</v>
      </c>
      <c r="AO1" s="137" t="s">
        <v>178</v>
      </c>
      <c r="AP1" s="137" t="s">
        <v>179</v>
      </c>
      <c r="AQ1" s="137" t="s">
        <v>180</v>
      </c>
      <c r="AR1" s="137" t="s">
        <v>181</v>
      </c>
      <c r="AT1" s="137" t="str">
        <f>Y1</f>
        <v>GWP</v>
      </c>
      <c r="AU1" s="137" t="str">
        <f t="shared" ref="AU1:BM1" si="0">Z1</f>
        <v>CED</v>
      </c>
      <c r="AV1" s="137" t="str">
        <f t="shared" si="0"/>
        <v>ALOP</v>
      </c>
      <c r="AW1" s="137" t="str">
        <f t="shared" si="0"/>
        <v>GWP100</v>
      </c>
      <c r="AX1" s="137" t="str">
        <f t="shared" si="0"/>
        <v>FDP</v>
      </c>
      <c r="AY1" s="137" t="str">
        <f t="shared" si="0"/>
        <v>FETPinf</v>
      </c>
      <c r="AZ1" s="137" t="str">
        <f t="shared" si="0"/>
        <v>FEP</v>
      </c>
      <c r="BA1" s="137" t="str">
        <f t="shared" si="0"/>
        <v>HTPinf</v>
      </c>
      <c r="BB1" s="137" t="str">
        <f t="shared" si="0"/>
        <v>IRP_HE</v>
      </c>
      <c r="BC1" s="137" t="str">
        <f t="shared" si="0"/>
        <v>METPinf</v>
      </c>
      <c r="BD1" s="137" t="str">
        <f t="shared" si="0"/>
        <v>MEP</v>
      </c>
      <c r="BE1" s="137" t="str">
        <f t="shared" si="0"/>
        <v>MDP</v>
      </c>
      <c r="BF1" s="137" t="str">
        <f t="shared" si="0"/>
        <v>NLTP</v>
      </c>
      <c r="BG1" s="137" t="str">
        <f t="shared" si="0"/>
        <v>ODPinf</v>
      </c>
      <c r="BH1" s="137" t="str">
        <f t="shared" si="0"/>
        <v>PMFP</v>
      </c>
      <c r="BI1" s="137" t="str">
        <f t="shared" si="0"/>
        <v>POFP</v>
      </c>
      <c r="BJ1" s="137" t="str">
        <f t="shared" si="0"/>
        <v>TAP100</v>
      </c>
      <c r="BK1" s="137" t="str">
        <f t="shared" si="0"/>
        <v>TETPinf</v>
      </c>
      <c r="BL1" s="137" t="str">
        <f t="shared" si="0"/>
        <v>ULOP</v>
      </c>
      <c r="BM1" s="137" t="str">
        <f t="shared" si="0"/>
        <v>WDP</v>
      </c>
    </row>
    <row r="2" spans="1:65" x14ac:dyDescent="0.25">
      <c r="A2" s="149">
        <v>381</v>
      </c>
      <c r="B2" s="149">
        <v>15</v>
      </c>
      <c r="C2" s="61">
        <v>47.376887000000004</v>
      </c>
      <c r="D2" s="61">
        <v>8.5416939999999997</v>
      </c>
      <c r="E2" s="61" t="s">
        <v>271</v>
      </c>
      <c r="F2" s="149">
        <v>38</v>
      </c>
      <c r="G2" s="61" t="s">
        <v>567</v>
      </c>
      <c r="H2" s="61" t="s">
        <v>678</v>
      </c>
      <c r="I2" s="61">
        <v>48.353696999999997</v>
      </c>
      <c r="J2" s="61">
        <v>11.775111000000001</v>
      </c>
      <c r="K2" s="61">
        <v>287.26130230000001</v>
      </c>
      <c r="L2" s="61">
        <v>387.93700000000001</v>
      </c>
      <c r="M2" s="61" t="s">
        <v>589</v>
      </c>
      <c r="N2" s="149">
        <v>14</v>
      </c>
      <c r="O2" s="149">
        <v>15</v>
      </c>
      <c r="P2" s="61" t="s">
        <v>567</v>
      </c>
      <c r="Q2" s="61" t="s">
        <v>566</v>
      </c>
      <c r="R2" s="61">
        <v>50.037932599999998</v>
      </c>
      <c r="S2" s="61">
        <v>8.5621518000000005</v>
      </c>
      <c r="T2" s="61">
        <f>Transport_2_Hubs!T2</f>
        <v>417.82600000000002</v>
      </c>
      <c r="U2" s="61" t="s">
        <v>589</v>
      </c>
      <c r="V2" s="61" t="s">
        <v>589</v>
      </c>
      <c r="W2" s="61"/>
      <c r="Y2" s="137">
        <f>Summary_LCIA!H$34</f>
        <v>7.4462E-2</v>
      </c>
      <c r="Z2" s="137">
        <f ca="1">Summary_LCIA!Q$34</f>
        <v>1.23508923</v>
      </c>
      <c r="AA2" s="137">
        <f ca="1">Summary_LCIA!R$34</f>
        <v>2.5566E-3</v>
      </c>
      <c r="AB2" s="137">
        <f ca="1">Summary_LCIA!S$34</f>
        <v>7.3438000000000003E-2</v>
      </c>
      <c r="AC2" s="137">
        <f ca="1">Summary_LCIA!T$34</f>
        <v>2.0743000000000001E-2</v>
      </c>
      <c r="AD2" s="137">
        <f ca="1">Summary_LCIA!U$34</f>
        <v>1.8396E-3</v>
      </c>
      <c r="AE2" s="137">
        <f ca="1">Summary_LCIA!V$34</f>
        <v>8.1093000000000004E-5</v>
      </c>
      <c r="AF2" s="137">
        <f ca="1">Summary_LCIA!W$34</f>
        <v>5.0548999999999997E-2</v>
      </c>
      <c r="AG2" s="137">
        <f ca="1">Summary_LCIA!X$34</f>
        <v>1.0624E-2</v>
      </c>
      <c r="AH2" s="137">
        <f ca="1">Summary_LCIA!Y$34</f>
        <v>1.7136E-3</v>
      </c>
      <c r="AI2" s="137">
        <f ca="1">Summary_LCIA!Z$34</f>
        <v>2.8504999999999999E-5</v>
      </c>
      <c r="AJ2" s="137">
        <f ca="1">Summary_LCIA!AA$34</f>
        <v>2.0625999999999999E-3</v>
      </c>
      <c r="AK2" s="137">
        <f ca="1">Summary_LCIA!AB$34</f>
        <v>-6.9388999999999998E-6</v>
      </c>
      <c r="AL2" s="137">
        <f ca="1">Summary_LCIA!AC$34</f>
        <v>3.6820999999999999E-9</v>
      </c>
      <c r="AM2" s="137">
        <f ca="1">Summary_LCIA!AD$34</f>
        <v>1.1118E-4</v>
      </c>
      <c r="AN2" s="137">
        <f ca="1">Summary_LCIA!AE$34</f>
        <v>2.9994E-4</v>
      </c>
      <c r="AO2" s="137">
        <f ca="1">Summary_LCIA!AF$34</f>
        <v>2.3786E-4</v>
      </c>
      <c r="AP2" s="137">
        <f ca="1">Summary_LCIA!AG$34</f>
        <v>2.7381000000000001E-6</v>
      </c>
      <c r="AQ2" s="137">
        <f ca="1">Summary_LCIA!AH$34</f>
        <v>2.2783E-3</v>
      </c>
      <c r="AR2" s="137">
        <f ca="1">Summary_LCIA!AI$34</f>
        <v>2.8075000000000002E-4</v>
      </c>
      <c r="AT2" s="137">
        <f>$T2*Y2</f>
        <v>31.112159612000003</v>
      </c>
      <c r="AU2" s="137">
        <f t="shared" ref="AU2:BM15" ca="1" si="1">$T2*Z2</f>
        <v>516.05239261398003</v>
      </c>
      <c r="AV2" s="137">
        <f t="shared" ca="1" si="1"/>
        <v>1.0682139516</v>
      </c>
      <c r="AW2" s="137">
        <f t="shared" ca="1" si="1"/>
        <v>30.684305788000003</v>
      </c>
      <c r="AX2" s="137">
        <f t="shared" ca="1" si="1"/>
        <v>8.6669647180000009</v>
      </c>
      <c r="AY2" s="137">
        <f t="shared" ca="1" si="1"/>
        <v>0.76863270960000007</v>
      </c>
      <c r="AZ2" s="137">
        <f t="shared" ca="1" si="1"/>
        <v>3.3882763818000004E-2</v>
      </c>
      <c r="BA2" s="137">
        <f t="shared" ca="1" si="1"/>
        <v>21.120686473999999</v>
      </c>
      <c r="BB2" s="137">
        <f t="shared" ca="1" si="1"/>
        <v>4.4389834239999999</v>
      </c>
      <c r="BC2" s="137">
        <f t="shared" ca="1" si="1"/>
        <v>0.71598663360000003</v>
      </c>
      <c r="BD2" s="137">
        <f t="shared" ca="1" si="1"/>
        <v>1.191013013E-2</v>
      </c>
      <c r="BE2" s="137">
        <f t="shared" ca="1" si="1"/>
        <v>0.86180790760000003</v>
      </c>
      <c r="BF2" s="137">
        <f t="shared" ca="1" si="1"/>
        <v>-2.8992528314000002E-3</v>
      </c>
      <c r="BG2" s="137">
        <f t="shared" ca="1" si="1"/>
        <v>1.5384771146E-6</v>
      </c>
      <c r="BH2" s="137">
        <f t="shared" ca="1" si="1"/>
        <v>4.6453894680000003E-2</v>
      </c>
      <c r="BI2" s="137">
        <f t="shared" ca="1" si="1"/>
        <v>0.12532273044</v>
      </c>
      <c r="BJ2" s="137">
        <f t="shared" ca="1" si="1"/>
        <v>9.9384092360000009E-2</v>
      </c>
      <c r="BK2" s="137">
        <f t="shared" ca="1" si="1"/>
        <v>1.1440493706000002E-3</v>
      </c>
      <c r="BL2" s="137">
        <f t="shared" ca="1" si="1"/>
        <v>0.95193297580000003</v>
      </c>
      <c r="BM2" s="137">
        <f t="shared" ca="1" si="1"/>
        <v>0.11730464950000001</v>
      </c>
    </row>
    <row r="3" spans="1:65" x14ac:dyDescent="0.25">
      <c r="A3" s="149">
        <v>153</v>
      </c>
      <c r="B3" s="149">
        <v>15</v>
      </c>
      <c r="C3" s="61">
        <v>48.790447</v>
      </c>
      <c r="D3" s="61">
        <v>11.497889000000001</v>
      </c>
      <c r="E3" s="61" t="s">
        <v>281</v>
      </c>
      <c r="F3" s="149">
        <v>38</v>
      </c>
      <c r="G3" s="61" t="s">
        <v>567</v>
      </c>
      <c r="H3" s="61" t="s">
        <v>678</v>
      </c>
      <c r="I3" s="61">
        <v>48.353696999999997</v>
      </c>
      <c r="J3" s="61">
        <v>11.775111000000001</v>
      </c>
      <c r="K3" s="61">
        <v>55.559302189999997</v>
      </c>
      <c r="L3" s="61">
        <v>128.94999999999999</v>
      </c>
      <c r="M3" s="61" t="s">
        <v>589</v>
      </c>
      <c r="N3" s="149">
        <v>14</v>
      </c>
      <c r="O3" s="149">
        <v>15</v>
      </c>
      <c r="P3" s="61" t="s">
        <v>567</v>
      </c>
      <c r="Q3" s="61" t="s">
        <v>566</v>
      </c>
      <c r="R3" s="61">
        <v>50.037932599999998</v>
      </c>
      <c r="S3" s="61">
        <v>8.5621518000000005</v>
      </c>
      <c r="T3" s="61">
        <f>Transport_2_Hubs!T3</f>
        <v>379.20299999999997</v>
      </c>
      <c r="U3" s="61" t="s">
        <v>589</v>
      </c>
      <c r="V3" s="61" t="s">
        <v>589</v>
      </c>
      <c r="W3" s="61"/>
      <c r="Y3" s="137">
        <f>Summary_LCIA!H$34</f>
        <v>7.4462E-2</v>
      </c>
      <c r="Z3" s="137">
        <f ca="1">Summary_LCIA!Q$34</f>
        <v>1.23508923</v>
      </c>
      <c r="AA3" s="137">
        <f ca="1">Summary_LCIA!R$34</f>
        <v>2.5566E-3</v>
      </c>
      <c r="AB3" s="137">
        <f ca="1">Summary_LCIA!S$34</f>
        <v>7.3438000000000003E-2</v>
      </c>
      <c r="AC3" s="137">
        <f ca="1">Summary_LCIA!T$34</f>
        <v>2.0743000000000001E-2</v>
      </c>
      <c r="AD3" s="137">
        <f ca="1">Summary_LCIA!U$34</f>
        <v>1.8396E-3</v>
      </c>
      <c r="AE3" s="137">
        <f ca="1">Summary_LCIA!V$34</f>
        <v>8.1093000000000004E-5</v>
      </c>
      <c r="AF3" s="137">
        <f ca="1">Summary_LCIA!W$34</f>
        <v>5.0548999999999997E-2</v>
      </c>
      <c r="AG3" s="137">
        <f ca="1">Summary_LCIA!X$34</f>
        <v>1.0624E-2</v>
      </c>
      <c r="AH3" s="137">
        <f ca="1">Summary_LCIA!Y$34</f>
        <v>1.7136E-3</v>
      </c>
      <c r="AI3" s="137">
        <f ca="1">Summary_LCIA!Z$34</f>
        <v>2.8504999999999999E-5</v>
      </c>
      <c r="AJ3" s="137">
        <f ca="1">Summary_LCIA!AA$34</f>
        <v>2.0625999999999999E-3</v>
      </c>
      <c r="AK3" s="137">
        <f ca="1">Summary_LCIA!AB$34</f>
        <v>-6.9388999999999998E-6</v>
      </c>
      <c r="AL3" s="137">
        <f ca="1">Summary_LCIA!AC$34</f>
        <v>3.6820999999999999E-9</v>
      </c>
      <c r="AM3" s="137">
        <f ca="1">Summary_LCIA!AD$34</f>
        <v>1.1118E-4</v>
      </c>
      <c r="AN3" s="137">
        <f ca="1">Summary_LCIA!AE$34</f>
        <v>2.9994E-4</v>
      </c>
      <c r="AO3" s="137">
        <f ca="1">Summary_LCIA!AF$34</f>
        <v>2.3786E-4</v>
      </c>
      <c r="AP3" s="137">
        <f ca="1">Summary_LCIA!AG$34</f>
        <v>2.7381000000000001E-6</v>
      </c>
      <c r="AQ3" s="137">
        <f ca="1">Summary_LCIA!AH$34</f>
        <v>2.2783E-3</v>
      </c>
      <c r="AR3" s="137">
        <f ca="1">Summary_LCIA!AI$34</f>
        <v>2.8075000000000002E-4</v>
      </c>
      <c r="AT3" s="137">
        <f t="shared" ref="AT3:AT66" si="2">$T3*Y3</f>
        <v>28.236213785999997</v>
      </c>
      <c r="AU3" s="137">
        <f t="shared" ca="1" si="1"/>
        <v>468.34954128368997</v>
      </c>
      <c r="AV3" s="137">
        <f t="shared" ca="1" si="1"/>
        <v>0.96947038979999989</v>
      </c>
      <c r="AW3" s="137">
        <f t="shared" ca="1" si="1"/>
        <v>27.847909913999999</v>
      </c>
      <c r="AX3" s="137">
        <f t="shared" ca="1" si="1"/>
        <v>7.8658078289999995</v>
      </c>
      <c r="AY3" s="137">
        <f t="shared" ca="1" si="1"/>
        <v>0.69758183880000002</v>
      </c>
      <c r="AZ3" s="137">
        <f t="shared" ca="1" si="1"/>
        <v>3.0750708878999999E-2</v>
      </c>
      <c r="BA3" s="137">
        <f t="shared" ca="1" si="1"/>
        <v>19.168332446999997</v>
      </c>
      <c r="BB3" s="137">
        <f t="shared" ca="1" si="1"/>
        <v>4.0286526719999998</v>
      </c>
      <c r="BC3" s="137">
        <f t="shared" ca="1" si="1"/>
        <v>0.64980226079999992</v>
      </c>
      <c r="BD3" s="137">
        <f t="shared" ca="1" si="1"/>
        <v>1.0809181514999999E-2</v>
      </c>
      <c r="BE3" s="137">
        <f t="shared" ca="1" si="1"/>
        <v>0.78214410779999988</v>
      </c>
      <c r="BF3" s="137">
        <f t="shared" ca="1" si="1"/>
        <v>-2.6312516966999996E-3</v>
      </c>
      <c r="BG3" s="137">
        <f t="shared" ca="1" si="1"/>
        <v>1.3962633663E-6</v>
      </c>
      <c r="BH3" s="137">
        <f t="shared" ca="1" si="1"/>
        <v>4.2159789539999999E-2</v>
      </c>
      <c r="BI3" s="137">
        <f t="shared" ca="1" si="1"/>
        <v>0.11373814782</v>
      </c>
      <c r="BJ3" s="137">
        <f t="shared" ca="1" si="1"/>
        <v>9.0197225579999998E-2</v>
      </c>
      <c r="BK3" s="137">
        <f t="shared" ca="1" si="1"/>
        <v>1.0382957343E-3</v>
      </c>
      <c r="BL3" s="137">
        <f t="shared" ca="1" si="1"/>
        <v>0.8639381948999999</v>
      </c>
      <c r="BM3" s="137">
        <f t="shared" ca="1" si="1"/>
        <v>0.10646124225</v>
      </c>
    </row>
    <row r="4" spans="1:65" x14ac:dyDescent="0.25">
      <c r="A4" s="149">
        <v>154</v>
      </c>
      <c r="B4" s="149">
        <v>15</v>
      </c>
      <c r="C4" s="61">
        <v>48.790447</v>
      </c>
      <c r="D4" s="61">
        <v>11.497889000000001</v>
      </c>
      <c r="E4" s="61" t="s">
        <v>281</v>
      </c>
      <c r="F4" s="149">
        <v>38</v>
      </c>
      <c r="G4" s="61" t="s">
        <v>567</v>
      </c>
      <c r="H4" s="61" t="s">
        <v>678</v>
      </c>
      <c r="I4" s="61">
        <v>48.353696999999997</v>
      </c>
      <c r="J4" s="61">
        <v>11.775111000000001</v>
      </c>
      <c r="K4" s="61">
        <v>55.559302189999997</v>
      </c>
      <c r="L4" s="61">
        <v>128.94999999999999</v>
      </c>
      <c r="M4" s="61" t="s">
        <v>589</v>
      </c>
      <c r="N4" s="149">
        <v>14</v>
      </c>
      <c r="O4" s="149">
        <v>15</v>
      </c>
      <c r="P4" s="61" t="s">
        <v>567</v>
      </c>
      <c r="Q4" s="61" t="s">
        <v>566</v>
      </c>
      <c r="R4" s="61">
        <v>50.037932599999998</v>
      </c>
      <c r="S4" s="61">
        <v>8.5621518000000005</v>
      </c>
      <c r="T4" s="61">
        <f>Transport_2_Hubs!T4</f>
        <v>379.20299999999997</v>
      </c>
      <c r="U4" s="61" t="s">
        <v>589</v>
      </c>
      <c r="V4" s="61" t="s">
        <v>589</v>
      </c>
      <c r="W4" s="61"/>
      <c r="Y4" s="137">
        <f>Summary_LCIA!H$34</f>
        <v>7.4462E-2</v>
      </c>
      <c r="Z4" s="137">
        <f ca="1">Summary_LCIA!Q$34</f>
        <v>1.23508923</v>
      </c>
      <c r="AA4" s="137">
        <f ca="1">Summary_LCIA!R$34</f>
        <v>2.5566E-3</v>
      </c>
      <c r="AB4" s="137">
        <f ca="1">Summary_LCIA!S$34</f>
        <v>7.3438000000000003E-2</v>
      </c>
      <c r="AC4" s="137">
        <f ca="1">Summary_LCIA!T$34</f>
        <v>2.0743000000000001E-2</v>
      </c>
      <c r="AD4" s="137">
        <f ca="1">Summary_LCIA!U$34</f>
        <v>1.8396E-3</v>
      </c>
      <c r="AE4" s="137">
        <f ca="1">Summary_LCIA!V$34</f>
        <v>8.1093000000000004E-5</v>
      </c>
      <c r="AF4" s="137">
        <f ca="1">Summary_LCIA!W$34</f>
        <v>5.0548999999999997E-2</v>
      </c>
      <c r="AG4" s="137">
        <f ca="1">Summary_LCIA!X$34</f>
        <v>1.0624E-2</v>
      </c>
      <c r="AH4" s="137">
        <f ca="1">Summary_LCIA!Y$34</f>
        <v>1.7136E-3</v>
      </c>
      <c r="AI4" s="137">
        <f ca="1">Summary_LCIA!Z$34</f>
        <v>2.8504999999999999E-5</v>
      </c>
      <c r="AJ4" s="137">
        <f ca="1">Summary_LCIA!AA$34</f>
        <v>2.0625999999999999E-3</v>
      </c>
      <c r="AK4" s="137">
        <f ca="1">Summary_LCIA!AB$34</f>
        <v>-6.9388999999999998E-6</v>
      </c>
      <c r="AL4" s="137">
        <f ca="1">Summary_LCIA!AC$34</f>
        <v>3.6820999999999999E-9</v>
      </c>
      <c r="AM4" s="137">
        <f ca="1">Summary_LCIA!AD$34</f>
        <v>1.1118E-4</v>
      </c>
      <c r="AN4" s="137">
        <f ca="1">Summary_LCIA!AE$34</f>
        <v>2.9994E-4</v>
      </c>
      <c r="AO4" s="137">
        <f ca="1">Summary_LCIA!AF$34</f>
        <v>2.3786E-4</v>
      </c>
      <c r="AP4" s="137">
        <f ca="1">Summary_LCIA!AG$34</f>
        <v>2.7381000000000001E-6</v>
      </c>
      <c r="AQ4" s="137">
        <f ca="1">Summary_LCIA!AH$34</f>
        <v>2.2783E-3</v>
      </c>
      <c r="AR4" s="137">
        <f ca="1">Summary_LCIA!AI$34</f>
        <v>2.8075000000000002E-4</v>
      </c>
      <c r="AT4" s="137">
        <f t="shared" si="2"/>
        <v>28.236213785999997</v>
      </c>
      <c r="AU4" s="137">
        <f t="shared" ca="1" si="1"/>
        <v>468.34954128368997</v>
      </c>
      <c r="AV4" s="137">
        <f t="shared" ca="1" si="1"/>
        <v>0.96947038979999989</v>
      </c>
      <c r="AW4" s="137">
        <f t="shared" ca="1" si="1"/>
        <v>27.847909913999999</v>
      </c>
      <c r="AX4" s="137">
        <f t="shared" ca="1" si="1"/>
        <v>7.8658078289999995</v>
      </c>
      <c r="AY4" s="137">
        <f t="shared" ca="1" si="1"/>
        <v>0.69758183880000002</v>
      </c>
      <c r="AZ4" s="137">
        <f t="shared" ca="1" si="1"/>
        <v>3.0750708878999999E-2</v>
      </c>
      <c r="BA4" s="137">
        <f t="shared" ca="1" si="1"/>
        <v>19.168332446999997</v>
      </c>
      <c r="BB4" s="137">
        <f t="shared" ca="1" si="1"/>
        <v>4.0286526719999998</v>
      </c>
      <c r="BC4" s="137">
        <f t="shared" ca="1" si="1"/>
        <v>0.64980226079999992</v>
      </c>
      <c r="BD4" s="137">
        <f t="shared" ca="1" si="1"/>
        <v>1.0809181514999999E-2</v>
      </c>
      <c r="BE4" s="137">
        <f t="shared" ca="1" si="1"/>
        <v>0.78214410779999988</v>
      </c>
      <c r="BF4" s="137">
        <f t="shared" ca="1" si="1"/>
        <v>-2.6312516966999996E-3</v>
      </c>
      <c r="BG4" s="137">
        <f t="shared" ca="1" si="1"/>
        <v>1.3962633663E-6</v>
      </c>
      <c r="BH4" s="137">
        <f t="shared" ca="1" si="1"/>
        <v>4.2159789539999999E-2</v>
      </c>
      <c r="BI4" s="137">
        <f t="shared" ca="1" si="1"/>
        <v>0.11373814782</v>
      </c>
      <c r="BJ4" s="137">
        <f t="shared" ca="1" si="1"/>
        <v>9.0197225579999998E-2</v>
      </c>
      <c r="BK4" s="137">
        <f t="shared" ca="1" si="1"/>
        <v>1.0382957343E-3</v>
      </c>
      <c r="BL4" s="137">
        <f t="shared" ca="1" si="1"/>
        <v>0.8639381948999999</v>
      </c>
      <c r="BM4" s="137">
        <f t="shared" ca="1" si="1"/>
        <v>0.10646124225</v>
      </c>
    </row>
    <row r="5" spans="1:65" x14ac:dyDescent="0.25">
      <c r="A5" s="149">
        <v>176</v>
      </c>
      <c r="B5" s="149">
        <v>15</v>
      </c>
      <c r="C5" s="61">
        <v>50.850346000000002</v>
      </c>
      <c r="D5" s="61">
        <v>4.3517210000000004</v>
      </c>
      <c r="E5" s="61" t="s">
        <v>464</v>
      </c>
      <c r="F5" s="149">
        <v>12</v>
      </c>
      <c r="G5" s="61" t="s">
        <v>679</v>
      </c>
      <c r="H5" s="61" t="s">
        <v>680</v>
      </c>
      <c r="I5" s="61">
        <v>52.310538999999999</v>
      </c>
      <c r="J5" s="61">
        <v>4.7682739999999999</v>
      </c>
      <c r="K5" s="61">
        <v>165.15017539999999</v>
      </c>
      <c r="L5" s="61">
        <v>197.702</v>
      </c>
      <c r="M5" s="61" t="s">
        <v>589</v>
      </c>
      <c r="N5" s="149">
        <v>14</v>
      </c>
      <c r="O5" s="149">
        <v>15</v>
      </c>
      <c r="P5" s="61" t="s">
        <v>567</v>
      </c>
      <c r="Q5" s="61" t="s">
        <v>566</v>
      </c>
      <c r="R5" s="61">
        <v>50.037932599999998</v>
      </c>
      <c r="S5" s="61">
        <v>8.5621518000000005</v>
      </c>
      <c r="T5" s="61">
        <f>Transport_2_Hubs!T5</f>
        <v>389.27199999999999</v>
      </c>
      <c r="U5" s="61" t="s">
        <v>589</v>
      </c>
      <c r="V5" s="61" t="s">
        <v>589</v>
      </c>
      <c r="W5" s="61"/>
      <c r="Y5" s="137">
        <f>Summary_LCIA!H$34</f>
        <v>7.4462E-2</v>
      </c>
      <c r="Z5" s="137">
        <f ca="1">Summary_LCIA!Q$34</f>
        <v>1.23508923</v>
      </c>
      <c r="AA5" s="137">
        <f ca="1">Summary_LCIA!R$34</f>
        <v>2.5566E-3</v>
      </c>
      <c r="AB5" s="137">
        <f ca="1">Summary_LCIA!S$34</f>
        <v>7.3438000000000003E-2</v>
      </c>
      <c r="AC5" s="137">
        <f ca="1">Summary_LCIA!T$34</f>
        <v>2.0743000000000001E-2</v>
      </c>
      <c r="AD5" s="137">
        <f ca="1">Summary_LCIA!U$34</f>
        <v>1.8396E-3</v>
      </c>
      <c r="AE5" s="137">
        <f ca="1">Summary_LCIA!V$34</f>
        <v>8.1093000000000004E-5</v>
      </c>
      <c r="AF5" s="137">
        <f ca="1">Summary_LCIA!W$34</f>
        <v>5.0548999999999997E-2</v>
      </c>
      <c r="AG5" s="137">
        <f ca="1">Summary_LCIA!X$34</f>
        <v>1.0624E-2</v>
      </c>
      <c r="AH5" s="137">
        <f ca="1">Summary_LCIA!Y$34</f>
        <v>1.7136E-3</v>
      </c>
      <c r="AI5" s="137">
        <f ca="1">Summary_LCIA!Z$34</f>
        <v>2.8504999999999999E-5</v>
      </c>
      <c r="AJ5" s="137">
        <f ca="1">Summary_LCIA!AA$34</f>
        <v>2.0625999999999999E-3</v>
      </c>
      <c r="AK5" s="137">
        <f ca="1">Summary_LCIA!AB$34</f>
        <v>-6.9388999999999998E-6</v>
      </c>
      <c r="AL5" s="137">
        <f ca="1">Summary_LCIA!AC$34</f>
        <v>3.6820999999999999E-9</v>
      </c>
      <c r="AM5" s="137">
        <f ca="1">Summary_LCIA!AD$34</f>
        <v>1.1118E-4</v>
      </c>
      <c r="AN5" s="137">
        <f ca="1">Summary_LCIA!AE$34</f>
        <v>2.9994E-4</v>
      </c>
      <c r="AO5" s="137">
        <f ca="1">Summary_LCIA!AF$34</f>
        <v>2.3786E-4</v>
      </c>
      <c r="AP5" s="137">
        <f ca="1">Summary_LCIA!AG$34</f>
        <v>2.7381000000000001E-6</v>
      </c>
      <c r="AQ5" s="137">
        <f ca="1">Summary_LCIA!AH$34</f>
        <v>2.2783E-3</v>
      </c>
      <c r="AR5" s="137">
        <f ca="1">Summary_LCIA!AI$34</f>
        <v>2.8075000000000002E-4</v>
      </c>
      <c r="AT5" s="137">
        <f t="shared" si="2"/>
        <v>28.985971664000001</v>
      </c>
      <c r="AU5" s="137">
        <f t="shared" ca="1" si="1"/>
        <v>480.78565474056001</v>
      </c>
      <c r="AV5" s="137">
        <f t="shared" ca="1" si="1"/>
        <v>0.99521279519999994</v>
      </c>
      <c r="AW5" s="137">
        <f t="shared" ca="1" si="1"/>
        <v>28.587357136000001</v>
      </c>
      <c r="AX5" s="137">
        <f t="shared" ca="1" si="1"/>
        <v>8.0746690960000009</v>
      </c>
      <c r="AY5" s="137">
        <f t="shared" ca="1" si="1"/>
        <v>0.71610477120000005</v>
      </c>
      <c r="AZ5" s="137">
        <f t="shared" ca="1" si="1"/>
        <v>3.1567234296000002E-2</v>
      </c>
      <c r="BA5" s="137">
        <f t="shared" ca="1" si="1"/>
        <v>19.677310327999997</v>
      </c>
      <c r="BB5" s="137">
        <f t="shared" ca="1" si="1"/>
        <v>4.1356257279999999</v>
      </c>
      <c r="BC5" s="137">
        <f t="shared" ca="1" si="1"/>
        <v>0.66705649919999999</v>
      </c>
      <c r="BD5" s="137">
        <f t="shared" ca="1" si="1"/>
        <v>1.109619836E-2</v>
      </c>
      <c r="BE5" s="137">
        <f t="shared" ca="1" si="1"/>
        <v>0.8029124272</v>
      </c>
      <c r="BF5" s="137">
        <f t="shared" ca="1" si="1"/>
        <v>-2.7011194807999997E-3</v>
      </c>
      <c r="BG5" s="137">
        <f t="shared" ca="1" si="1"/>
        <v>1.4333384312E-6</v>
      </c>
      <c r="BH5" s="137">
        <f t="shared" ca="1" si="1"/>
        <v>4.3279260960000003E-2</v>
      </c>
      <c r="BI5" s="137">
        <f t="shared" ca="1" si="1"/>
        <v>0.11675824368</v>
      </c>
      <c r="BJ5" s="137">
        <f t="shared" ca="1" si="1"/>
        <v>9.2592237920000001E-2</v>
      </c>
      <c r="BK5" s="137">
        <f t="shared" ca="1" si="1"/>
        <v>1.0658656632E-3</v>
      </c>
      <c r="BL5" s="137">
        <f t="shared" ca="1" si="1"/>
        <v>0.88687839759999998</v>
      </c>
      <c r="BM5" s="137">
        <f t="shared" ca="1" si="1"/>
        <v>0.10928811400000001</v>
      </c>
    </row>
    <row r="6" spans="1:65" x14ac:dyDescent="0.25">
      <c r="A6" s="149">
        <v>244</v>
      </c>
      <c r="B6" s="149">
        <v>15</v>
      </c>
      <c r="C6" s="61">
        <v>46.519652999999998</v>
      </c>
      <c r="D6" s="61">
        <v>6.6322729999999996</v>
      </c>
      <c r="E6" s="61" t="s">
        <v>271</v>
      </c>
      <c r="F6" s="149">
        <v>15</v>
      </c>
      <c r="G6" s="61" t="s">
        <v>567</v>
      </c>
      <c r="H6" s="61" t="s">
        <v>707</v>
      </c>
      <c r="I6" s="61">
        <v>50.037933000000002</v>
      </c>
      <c r="J6" s="61">
        <v>8.5621519999999993</v>
      </c>
      <c r="K6" s="61">
        <v>418.30834149999998</v>
      </c>
      <c r="L6" s="61">
        <v>541.53899999999999</v>
      </c>
      <c r="M6" s="61" t="s">
        <v>589</v>
      </c>
      <c r="N6" s="149">
        <v>14</v>
      </c>
      <c r="O6" s="149">
        <v>15</v>
      </c>
      <c r="P6" s="61" t="s">
        <v>567</v>
      </c>
      <c r="Q6" s="61" t="s">
        <v>566</v>
      </c>
      <c r="R6" s="61">
        <v>50.037932599999998</v>
      </c>
      <c r="S6" s="61">
        <v>8.5621518000000005</v>
      </c>
      <c r="T6" s="61">
        <f>Transport_2_Hubs!T6</f>
        <v>538.97799999999995</v>
      </c>
      <c r="U6" s="61" t="s">
        <v>589</v>
      </c>
      <c r="V6" s="61" t="s">
        <v>589</v>
      </c>
      <c r="W6" s="61"/>
      <c r="Y6" s="137">
        <f>Summary_LCIA!H$34</f>
        <v>7.4462E-2</v>
      </c>
      <c r="Z6" s="137">
        <f ca="1">Summary_LCIA!Q$34</f>
        <v>1.23508923</v>
      </c>
      <c r="AA6" s="137">
        <f ca="1">Summary_LCIA!R$34</f>
        <v>2.5566E-3</v>
      </c>
      <c r="AB6" s="137">
        <f ca="1">Summary_LCIA!S$34</f>
        <v>7.3438000000000003E-2</v>
      </c>
      <c r="AC6" s="137">
        <f ca="1">Summary_LCIA!T$34</f>
        <v>2.0743000000000001E-2</v>
      </c>
      <c r="AD6" s="137">
        <f ca="1">Summary_LCIA!U$34</f>
        <v>1.8396E-3</v>
      </c>
      <c r="AE6" s="137">
        <f ca="1">Summary_LCIA!V$34</f>
        <v>8.1093000000000004E-5</v>
      </c>
      <c r="AF6" s="137">
        <f ca="1">Summary_LCIA!W$34</f>
        <v>5.0548999999999997E-2</v>
      </c>
      <c r="AG6" s="137">
        <f ca="1">Summary_LCIA!X$34</f>
        <v>1.0624E-2</v>
      </c>
      <c r="AH6" s="137">
        <f ca="1">Summary_LCIA!Y$34</f>
        <v>1.7136E-3</v>
      </c>
      <c r="AI6" s="137">
        <f ca="1">Summary_LCIA!Z$34</f>
        <v>2.8504999999999999E-5</v>
      </c>
      <c r="AJ6" s="137">
        <f ca="1">Summary_LCIA!AA$34</f>
        <v>2.0625999999999999E-3</v>
      </c>
      <c r="AK6" s="137">
        <f ca="1">Summary_LCIA!AB$34</f>
        <v>-6.9388999999999998E-6</v>
      </c>
      <c r="AL6" s="137">
        <f ca="1">Summary_LCIA!AC$34</f>
        <v>3.6820999999999999E-9</v>
      </c>
      <c r="AM6" s="137">
        <f ca="1">Summary_LCIA!AD$34</f>
        <v>1.1118E-4</v>
      </c>
      <c r="AN6" s="137">
        <f ca="1">Summary_LCIA!AE$34</f>
        <v>2.9994E-4</v>
      </c>
      <c r="AO6" s="137">
        <f ca="1">Summary_LCIA!AF$34</f>
        <v>2.3786E-4</v>
      </c>
      <c r="AP6" s="137">
        <f ca="1">Summary_LCIA!AG$34</f>
        <v>2.7381000000000001E-6</v>
      </c>
      <c r="AQ6" s="137">
        <f ca="1">Summary_LCIA!AH$34</f>
        <v>2.2783E-3</v>
      </c>
      <c r="AR6" s="137">
        <f ca="1">Summary_LCIA!AI$34</f>
        <v>2.8075000000000002E-4</v>
      </c>
      <c r="AT6" s="137">
        <f t="shared" si="2"/>
        <v>40.133379835999996</v>
      </c>
      <c r="AU6" s="137">
        <f t="shared" ca="1" si="1"/>
        <v>665.68592300694002</v>
      </c>
      <c r="AV6" s="137">
        <f t="shared" ca="1" si="1"/>
        <v>1.3779511547999999</v>
      </c>
      <c r="AW6" s="137">
        <f t="shared" ca="1" si="1"/>
        <v>39.581466364000001</v>
      </c>
      <c r="AX6" s="137">
        <f t="shared" ca="1" si="1"/>
        <v>11.180020654</v>
      </c>
      <c r="AY6" s="137">
        <f t="shared" ca="1" si="1"/>
        <v>0.99150392879999993</v>
      </c>
      <c r="AZ6" s="137">
        <f t="shared" ca="1" si="1"/>
        <v>4.3707342954E-2</v>
      </c>
      <c r="BA6" s="137">
        <f t="shared" ca="1" si="1"/>
        <v>27.244798921999998</v>
      </c>
      <c r="BB6" s="137">
        <f t="shared" ca="1" si="1"/>
        <v>5.7261022719999994</v>
      </c>
      <c r="BC6" s="137">
        <f t="shared" ca="1" si="1"/>
        <v>0.92359270079999989</v>
      </c>
      <c r="BD6" s="137">
        <f t="shared" ca="1" si="1"/>
        <v>1.5363567889999999E-2</v>
      </c>
      <c r="BE6" s="137">
        <f t="shared" ca="1" si="1"/>
        <v>1.1116960227999999</v>
      </c>
      <c r="BF6" s="137">
        <f t="shared" ca="1" si="1"/>
        <v>-3.7399144441999997E-3</v>
      </c>
      <c r="BG6" s="137">
        <f t="shared" ca="1" si="1"/>
        <v>1.9845708938E-6</v>
      </c>
      <c r="BH6" s="137">
        <f t="shared" ca="1" si="1"/>
        <v>5.9923574039999997E-2</v>
      </c>
      <c r="BI6" s="137">
        <f t="shared" ca="1" si="1"/>
        <v>0.16166106131999999</v>
      </c>
      <c r="BJ6" s="137">
        <f t="shared" ca="1" si="1"/>
        <v>0.12820130707999999</v>
      </c>
      <c r="BK6" s="137">
        <f t="shared" ca="1" si="1"/>
        <v>1.4757756617999999E-3</v>
      </c>
      <c r="BL6" s="137">
        <f t="shared" ca="1" si="1"/>
        <v>1.2279535773999999</v>
      </c>
      <c r="BM6" s="137">
        <f t="shared" ca="1" si="1"/>
        <v>0.15131807350000001</v>
      </c>
    </row>
    <row r="7" spans="1:65" x14ac:dyDescent="0.25">
      <c r="A7" s="149">
        <v>245</v>
      </c>
      <c r="B7" s="149">
        <v>15</v>
      </c>
      <c r="C7" s="61">
        <v>46.519652999999998</v>
      </c>
      <c r="D7" s="61">
        <v>6.6322729999999996</v>
      </c>
      <c r="E7" s="61" t="s">
        <v>271</v>
      </c>
      <c r="F7" s="149">
        <v>15</v>
      </c>
      <c r="G7" s="61" t="s">
        <v>567</v>
      </c>
      <c r="H7" s="61" t="s">
        <v>707</v>
      </c>
      <c r="I7" s="61">
        <v>50.037933000000002</v>
      </c>
      <c r="J7" s="61">
        <v>8.5621519999999993</v>
      </c>
      <c r="K7" s="61">
        <v>418.30834149999998</v>
      </c>
      <c r="L7" s="61">
        <v>541.53899999999999</v>
      </c>
      <c r="M7" s="61" t="s">
        <v>589</v>
      </c>
      <c r="N7" s="149">
        <v>14</v>
      </c>
      <c r="O7" s="149">
        <v>15</v>
      </c>
      <c r="P7" s="61" t="s">
        <v>567</v>
      </c>
      <c r="Q7" s="61" t="s">
        <v>566</v>
      </c>
      <c r="R7" s="61">
        <v>50.037932599999998</v>
      </c>
      <c r="S7" s="61">
        <v>8.5621518000000005</v>
      </c>
      <c r="T7" s="61">
        <f>Transport_2_Hubs!T7</f>
        <v>538.97799999999995</v>
      </c>
      <c r="U7" s="61" t="s">
        <v>589</v>
      </c>
      <c r="V7" s="61" t="s">
        <v>589</v>
      </c>
      <c r="W7" s="61"/>
      <c r="Y7" s="137">
        <f>Summary_LCIA!H$34</f>
        <v>7.4462E-2</v>
      </c>
      <c r="Z7" s="137">
        <f ca="1">Summary_LCIA!Q$34</f>
        <v>1.23508923</v>
      </c>
      <c r="AA7" s="137">
        <f ca="1">Summary_LCIA!R$34</f>
        <v>2.5566E-3</v>
      </c>
      <c r="AB7" s="137">
        <f ca="1">Summary_LCIA!S$34</f>
        <v>7.3438000000000003E-2</v>
      </c>
      <c r="AC7" s="137">
        <f ca="1">Summary_LCIA!T$34</f>
        <v>2.0743000000000001E-2</v>
      </c>
      <c r="AD7" s="137">
        <f ca="1">Summary_LCIA!U$34</f>
        <v>1.8396E-3</v>
      </c>
      <c r="AE7" s="137">
        <f ca="1">Summary_LCIA!V$34</f>
        <v>8.1093000000000004E-5</v>
      </c>
      <c r="AF7" s="137">
        <f ca="1">Summary_LCIA!W$34</f>
        <v>5.0548999999999997E-2</v>
      </c>
      <c r="AG7" s="137">
        <f ca="1">Summary_LCIA!X$34</f>
        <v>1.0624E-2</v>
      </c>
      <c r="AH7" s="137">
        <f ca="1">Summary_LCIA!Y$34</f>
        <v>1.7136E-3</v>
      </c>
      <c r="AI7" s="137">
        <f ca="1">Summary_LCIA!Z$34</f>
        <v>2.8504999999999999E-5</v>
      </c>
      <c r="AJ7" s="137">
        <f ca="1">Summary_LCIA!AA$34</f>
        <v>2.0625999999999999E-3</v>
      </c>
      <c r="AK7" s="137">
        <f ca="1">Summary_LCIA!AB$34</f>
        <v>-6.9388999999999998E-6</v>
      </c>
      <c r="AL7" s="137">
        <f ca="1">Summary_LCIA!AC$34</f>
        <v>3.6820999999999999E-9</v>
      </c>
      <c r="AM7" s="137">
        <f ca="1">Summary_LCIA!AD$34</f>
        <v>1.1118E-4</v>
      </c>
      <c r="AN7" s="137">
        <f ca="1">Summary_LCIA!AE$34</f>
        <v>2.9994E-4</v>
      </c>
      <c r="AO7" s="137">
        <f ca="1">Summary_LCIA!AF$34</f>
        <v>2.3786E-4</v>
      </c>
      <c r="AP7" s="137">
        <f ca="1">Summary_LCIA!AG$34</f>
        <v>2.7381000000000001E-6</v>
      </c>
      <c r="AQ7" s="137">
        <f ca="1">Summary_LCIA!AH$34</f>
        <v>2.2783E-3</v>
      </c>
      <c r="AR7" s="137">
        <f ca="1">Summary_LCIA!AI$34</f>
        <v>2.8075000000000002E-4</v>
      </c>
      <c r="AT7" s="137">
        <f t="shared" si="2"/>
        <v>40.133379835999996</v>
      </c>
      <c r="AU7" s="137">
        <f t="shared" ca="1" si="1"/>
        <v>665.68592300694002</v>
      </c>
      <c r="AV7" s="137">
        <f t="shared" ca="1" si="1"/>
        <v>1.3779511547999999</v>
      </c>
      <c r="AW7" s="137">
        <f t="shared" ca="1" si="1"/>
        <v>39.581466364000001</v>
      </c>
      <c r="AX7" s="137">
        <f t="shared" ca="1" si="1"/>
        <v>11.180020654</v>
      </c>
      <c r="AY7" s="137">
        <f t="shared" ca="1" si="1"/>
        <v>0.99150392879999993</v>
      </c>
      <c r="AZ7" s="137">
        <f t="shared" ca="1" si="1"/>
        <v>4.3707342954E-2</v>
      </c>
      <c r="BA7" s="137">
        <f t="shared" ca="1" si="1"/>
        <v>27.244798921999998</v>
      </c>
      <c r="BB7" s="137">
        <f t="shared" ca="1" si="1"/>
        <v>5.7261022719999994</v>
      </c>
      <c r="BC7" s="137">
        <f t="shared" ca="1" si="1"/>
        <v>0.92359270079999989</v>
      </c>
      <c r="BD7" s="137">
        <f t="shared" ca="1" si="1"/>
        <v>1.5363567889999999E-2</v>
      </c>
      <c r="BE7" s="137">
        <f t="shared" ca="1" si="1"/>
        <v>1.1116960227999999</v>
      </c>
      <c r="BF7" s="137">
        <f t="shared" ca="1" si="1"/>
        <v>-3.7399144441999997E-3</v>
      </c>
      <c r="BG7" s="137">
        <f t="shared" ca="1" si="1"/>
        <v>1.9845708938E-6</v>
      </c>
      <c r="BH7" s="137">
        <f t="shared" ca="1" si="1"/>
        <v>5.9923574039999997E-2</v>
      </c>
      <c r="BI7" s="137">
        <f t="shared" ca="1" si="1"/>
        <v>0.16166106131999999</v>
      </c>
      <c r="BJ7" s="137">
        <f t="shared" ca="1" si="1"/>
        <v>0.12820130707999999</v>
      </c>
      <c r="BK7" s="137">
        <f t="shared" ca="1" si="1"/>
        <v>1.4757756617999999E-3</v>
      </c>
      <c r="BL7" s="137">
        <f t="shared" ca="1" si="1"/>
        <v>1.2279535773999999</v>
      </c>
      <c r="BM7" s="137">
        <f t="shared" ca="1" si="1"/>
        <v>0.15131807350000001</v>
      </c>
    </row>
    <row r="8" spans="1:65" x14ac:dyDescent="0.25">
      <c r="A8" s="149">
        <v>246</v>
      </c>
      <c r="B8" s="149">
        <v>15</v>
      </c>
      <c r="C8" s="61">
        <v>46.519652999999998</v>
      </c>
      <c r="D8" s="61">
        <v>6.6322729999999996</v>
      </c>
      <c r="E8" s="61" t="s">
        <v>271</v>
      </c>
      <c r="F8" s="149">
        <v>15</v>
      </c>
      <c r="G8" s="61" t="s">
        <v>567</v>
      </c>
      <c r="H8" s="61" t="s">
        <v>707</v>
      </c>
      <c r="I8" s="61">
        <v>50.037933000000002</v>
      </c>
      <c r="J8" s="61">
        <v>8.5621519999999993</v>
      </c>
      <c r="K8" s="61">
        <v>418.30834149999998</v>
      </c>
      <c r="L8" s="61">
        <v>541.53899999999999</v>
      </c>
      <c r="M8" s="61" t="s">
        <v>589</v>
      </c>
      <c r="N8" s="149">
        <v>14</v>
      </c>
      <c r="O8" s="149">
        <v>15</v>
      </c>
      <c r="P8" s="61" t="s">
        <v>567</v>
      </c>
      <c r="Q8" s="61" t="s">
        <v>566</v>
      </c>
      <c r="R8" s="61">
        <v>50.037932599999998</v>
      </c>
      <c r="S8" s="61">
        <v>8.5621518000000005</v>
      </c>
      <c r="T8" s="61">
        <f>Transport_2_Hubs!T8</f>
        <v>538.97799999999995</v>
      </c>
      <c r="U8" s="61" t="s">
        <v>589</v>
      </c>
      <c r="V8" s="61" t="s">
        <v>589</v>
      </c>
      <c r="W8" s="61"/>
      <c r="Y8" s="137">
        <f>Summary_LCIA!H$34</f>
        <v>7.4462E-2</v>
      </c>
      <c r="Z8" s="137">
        <f ca="1">Summary_LCIA!Q$34</f>
        <v>1.23508923</v>
      </c>
      <c r="AA8" s="137">
        <f ca="1">Summary_LCIA!R$34</f>
        <v>2.5566E-3</v>
      </c>
      <c r="AB8" s="137">
        <f ca="1">Summary_LCIA!S$34</f>
        <v>7.3438000000000003E-2</v>
      </c>
      <c r="AC8" s="137">
        <f ca="1">Summary_LCIA!T$34</f>
        <v>2.0743000000000001E-2</v>
      </c>
      <c r="AD8" s="137">
        <f ca="1">Summary_LCIA!U$34</f>
        <v>1.8396E-3</v>
      </c>
      <c r="AE8" s="137">
        <f ca="1">Summary_LCIA!V$34</f>
        <v>8.1093000000000004E-5</v>
      </c>
      <c r="AF8" s="137">
        <f ca="1">Summary_LCIA!W$34</f>
        <v>5.0548999999999997E-2</v>
      </c>
      <c r="AG8" s="137">
        <f ca="1">Summary_LCIA!X$34</f>
        <v>1.0624E-2</v>
      </c>
      <c r="AH8" s="137">
        <f ca="1">Summary_LCIA!Y$34</f>
        <v>1.7136E-3</v>
      </c>
      <c r="AI8" s="137">
        <f ca="1">Summary_LCIA!Z$34</f>
        <v>2.8504999999999999E-5</v>
      </c>
      <c r="AJ8" s="137">
        <f ca="1">Summary_LCIA!AA$34</f>
        <v>2.0625999999999999E-3</v>
      </c>
      <c r="AK8" s="137">
        <f ca="1">Summary_LCIA!AB$34</f>
        <v>-6.9388999999999998E-6</v>
      </c>
      <c r="AL8" s="137">
        <f ca="1">Summary_LCIA!AC$34</f>
        <v>3.6820999999999999E-9</v>
      </c>
      <c r="AM8" s="137">
        <f ca="1">Summary_LCIA!AD$34</f>
        <v>1.1118E-4</v>
      </c>
      <c r="AN8" s="137">
        <f ca="1">Summary_LCIA!AE$34</f>
        <v>2.9994E-4</v>
      </c>
      <c r="AO8" s="137">
        <f ca="1">Summary_LCIA!AF$34</f>
        <v>2.3786E-4</v>
      </c>
      <c r="AP8" s="137">
        <f ca="1">Summary_LCIA!AG$34</f>
        <v>2.7381000000000001E-6</v>
      </c>
      <c r="AQ8" s="137">
        <f ca="1">Summary_LCIA!AH$34</f>
        <v>2.2783E-3</v>
      </c>
      <c r="AR8" s="137">
        <f ca="1">Summary_LCIA!AI$34</f>
        <v>2.8075000000000002E-4</v>
      </c>
      <c r="AT8" s="137">
        <f t="shared" si="2"/>
        <v>40.133379835999996</v>
      </c>
      <c r="AU8" s="137">
        <f t="shared" ca="1" si="1"/>
        <v>665.68592300694002</v>
      </c>
      <c r="AV8" s="137">
        <f t="shared" ca="1" si="1"/>
        <v>1.3779511547999999</v>
      </c>
      <c r="AW8" s="137">
        <f t="shared" ca="1" si="1"/>
        <v>39.581466364000001</v>
      </c>
      <c r="AX8" s="137">
        <f t="shared" ca="1" si="1"/>
        <v>11.180020654</v>
      </c>
      <c r="AY8" s="137">
        <f t="shared" ca="1" si="1"/>
        <v>0.99150392879999993</v>
      </c>
      <c r="AZ8" s="137">
        <f t="shared" ca="1" si="1"/>
        <v>4.3707342954E-2</v>
      </c>
      <c r="BA8" s="137">
        <f t="shared" ca="1" si="1"/>
        <v>27.244798921999998</v>
      </c>
      <c r="BB8" s="137">
        <f t="shared" ca="1" si="1"/>
        <v>5.7261022719999994</v>
      </c>
      <c r="BC8" s="137">
        <f t="shared" ca="1" si="1"/>
        <v>0.92359270079999989</v>
      </c>
      <c r="BD8" s="137">
        <f t="shared" ca="1" si="1"/>
        <v>1.5363567889999999E-2</v>
      </c>
      <c r="BE8" s="137">
        <f t="shared" ca="1" si="1"/>
        <v>1.1116960227999999</v>
      </c>
      <c r="BF8" s="137">
        <f t="shared" ca="1" si="1"/>
        <v>-3.7399144441999997E-3</v>
      </c>
      <c r="BG8" s="137">
        <f t="shared" ca="1" si="1"/>
        <v>1.9845708938E-6</v>
      </c>
      <c r="BH8" s="137">
        <f t="shared" ca="1" si="1"/>
        <v>5.9923574039999997E-2</v>
      </c>
      <c r="BI8" s="137">
        <f t="shared" ca="1" si="1"/>
        <v>0.16166106131999999</v>
      </c>
      <c r="BJ8" s="137">
        <f t="shared" ca="1" si="1"/>
        <v>0.12820130707999999</v>
      </c>
      <c r="BK8" s="137">
        <f t="shared" ca="1" si="1"/>
        <v>1.4757756617999999E-3</v>
      </c>
      <c r="BL8" s="137">
        <f t="shared" ca="1" si="1"/>
        <v>1.2279535773999999</v>
      </c>
      <c r="BM8" s="137">
        <f t="shared" ca="1" si="1"/>
        <v>0.15131807350000001</v>
      </c>
    </row>
    <row r="9" spans="1:65" x14ac:dyDescent="0.25">
      <c r="A9" s="149">
        <v>133</v>
      </c>
      <c r="B9" s="149">
        <v>15</v>
      </c>
      <c r="C9" s="61">
        <v>51.219448</v>
      </c>
      <c r="D9" s="61">
        <v>4.4024640000000002</v>
      </c>
      <c r="E9" s="61" t="s">
        <v>464</v>
      </c>
      <c r="F9" s="149">
        <v>12</v>
      </c>
      <c r="G9" s="61" t="s">
        <v>679</v>
      </c>
      <c r="H9" s="61" t="s">
        <v>680</v>
      </c>
      <c r="I9" s="61">
        <v>52.310538999999999</v>
      </c>
      <c r="J9" s="61">
        <v>4.7682739999999999</v>
      </c>
      <c r="K9" s="61">
        <v>124.20814900000001</v>
      </c>
      <c r="L9" s="61">
        <v>149.38800000000001</v>
      </c>
      <c r="M9" s="61" t="s">
        <v>589</v>
      </c>
      <c r="N9" s="149">
        <v>14</v>
      </c>
      <c r="O9" s="149">
        <v>15</v>
      </c>
      <c r="P9" s="61" t="s">
        <v>567</v>
      </c>
      <c r="Q9" s="61" t="s">
        <v>566</v>
      </c>
      <c r="R9" s="61">
        <v>50.037932599999998</v>
      </c>
      <c r="S9" s="61">
        <v>8.5621518000000005</v>
      </c>
      <c r="T9" s="61">
        <f>Transport_2_Hubs!T9</f>
        <v>443.28300000000002</v>
      </c>
      <c r="U9" s="61" t="s">
        <v>589</v>
      </c>
      <c r="V9" s="61" t="s">
        <v>589</v>
      </c>
      <c r="W9" s="61"/>
      <c r="Y9" s="137">
        <f>Summary_LCIA!H$34</f>
        <v>7.4462E-2</v>
      </c>
      <c r="Z9" s="137">
        <f ca="1">Summary_LCIA!Q$34</f>
        <v>1.23508923</v>
      </c>
      <c r="AA9" s="137">
        <f ca="1">Summary_LCIA!R$34</f>
        <v>2.5566E-3</v>
      </c>
      <c r="AB9" s="137">
        <f ca="1">Summary_LCIA!S$34</f>
        <v>7.3438000000000003E-2</v>
      </c>
      <c r="AC9" s="137">
        <f ca="1">Summary_LCIA!T$34</f>
        <v>2.0743000000000001E-2</v>
      </c>
      <c r="AD9" s="137">
        <f ca="1">Summary_LCIA!U$34</f>
        <v>1.8396E-3</v>
      </c>
      <c r="AE9" s="137">
        <f ca="1">Summary_LCIA!V$34</f>
        <v>8.1093000000000004E-5</v>
      </c>
      <c r="AF9" s="137">
        <f ca="1">Summary_LCIA!W$34</f>
        <v>5.0548999999999997E-2</v>
      </c>
      <c r="AG9" s="137">
        <f ca="1">Summary_LCIA!X$34</f>
        <v>1.0624E-2</v>
      </c>
      <c r="AH9" s="137">
        <f ca="1">Summary_LCIA!Y$34</f>
        <v>1.7136E-3</v>
      </c>
      <c r="AI9" s="137">
        <f ca="1">Summary_LCIA!Z$34</f>
        <v>2.8504999999999999E-5</v>
      </c>
      <c r="AJ9" s="137">
        <f ca="1">Summary_LCIA!AA$34</f>
        <v>2.0625999999999999E-3</v>
      </c>
      <c r="AK9" s="137">
        <f ca="1">Summary_LCIA!AB$34</f>
        <v>-6.9388999999999998E-6</v>
      </c>
      <c r="AL9" s="137">
        <f ca="1">Summary_LCIA!AC$34</f>
        <v>3.6820999999999999E-9</v>
      </c>
      <c r="AM9" s="137">
        <f ca="1">Summary_LCIA!AD$34</f>
        <v>1.1118E-4</v>
      </c>
      <c r="AN9" s="137">
        <f ca="1">Summary_LCIA!AE$34</f>
        <v>2.9994E-4</v>
      </c>
      <c r="AO9" s="137">
        <f ca="1">Summary_LCIA!AF$34</f>
        <v>2.3786E-4</v>
      </c>
      <c r="AP9" s="137">
        <f ca="1">Summary_LCIA!AG$34</f>
        <v>2.7381000000000001E-6</v>
      </c>
      <c r="AQ9" s="137">
        <f ca="1">Summary_LCIA!AH$34</f>
        <v>2.2783E-3</v>
      </c>
      <c r="AR9" s="137">
        <f ca="1">Summary_LCIA!AI$34</f>
        <v>2.8075000000000002E-4</v>
      </c>
      <c r="AT9" s="137">
        <f t="shared" si="2"/>
        <v>33.007738746000001</v>
      </c>
      <c r="AU9" s="137">
        <f t="shared" ca="1" si="1"/>
        <v>547.49405914209001</v>
      </c>
      <c r="AV9" s="137">
        <f t="shared" ca="1" si="1"/>
        <v>1.1332973178000001</v>
      </c>
      <c r="AW9" s="137">
        <f t="shared" ca="1" si="1"/>
        <v>32.553816954000006</v>
      </c>
      <c r="AX9" s="137">
        <f t="shared" ca="1" si="1"/>
        <v>9.1950192690000012</v>
      </c>
      <c r="AY9" s="137">
        <f t="shared" ca="1" si="1"/>
        <v>0.81546340680000007</v>
      </c>
      <c r="AZ9" s="137">
        <f t="shared" ca="1" si="1"/>
        <v>3.5947148319000005E-2</v>
      </c>
      <c r="BA9" s="137">
        <f t="shared" ca="1" si="1"/>
        <v>22.407512366999999</v>
      </c>
      <c r="BB9" s="137">
        <f t="shared" ca="1" si="1"/>
        <v>4.7094385919999997</v>
      </c>
      <c r="BC9" s="137">
        <f t="shared" ca="1" si="1"/>
        <v>0.75960974879999998</v>
      </c>
      <c r="BD9" s="137">
        <f t="shared" ca="1" si="1"/>
        <v>1.2635781915E-2</v>
      </c>
      <c r="BE9" s="137">
        <f t="shared" ca="1" si="1"/>
        <v>0.91431551580000003</v>
      </c>
      <c r="BF9" s="137">
        <f t="shared" ca="1" si="1"/>
        <v>-3.0758964086999999E-3</v>
      </c>
      <c r="BG9" s="137">
        <f t="shared" ca="1" si="1"/>
        <v>1.6322123343000001E-6</v>
      </c>
      <c r="BH9" s="137">
        <f t="shared" ca="1" si="1"/>
        <v>4.928420394E-2</v>
      </c>
      <c r="BI9" s="137">
        <f t="shared" ca="1" si="1"/>
        <v>0.13295830302</v>
      </c>
      <c r="BJ9" s="137">
        <f t="shared" ca="1" si="1"/>
        <v>0.10543929438000001</v>
      </c>
      <c r="BK9" s="137">
        <f t="shared" ca="1" si="1"/>
        <v>1.2137531823000001E-3</v>
      </c>
      <c r="BL9" s="137">
        <f t="shared" ca="1" si="1"/>
        <v>1.0099316589</v>
      </c>
      <c r="BM9" s="137">
        <f t="shared" ca="1" si="1"/>
        <v>0.12445170225000002</v>
      </c>
    </row>
    <row r="10" spans="1:65" x14ac:dyDescent="0.25">
      <c r="A10" s="149">
        <v>365</v>
      </c>
      <c r="B10" s="149">
        <v>15</v>
      </c>
      <c r="C10" s="61">
        <v>52.090736999999997</v>
      </c>
      <c r="D10" s="61">
        <v>5.1214199999999996</v>
      </c>
      <c r="E10" s="61" t="s">
        <v>285</v>
      </c>
      <c r="F10" s="149">
        <v>12</v>
      </c>
      <c r="G10" s="61" t="s">
        <v>679</v>
      </c>
      <c r="H10" s="61" t="s">
        <v>680</v>
      </c>
      <c r="I10" s="61">
        <v>52.310538999999999</v>
      </c>
      <c r="J10" s="61">
        <v>4.7682739999999999</v>
      </c>
      <c r="K10" s="61">
        <v>37.628635809999999</v>
      </c>
      <c r="L10" s="61">
        <v>45.201000000000001</v>
      </c>
      <c r="M10" s="61" t="s">
        <v>589</v>
      </c>
      <c r="N10" s="149">
        <v>14</v>
      </c>
      <c r="O10" s="149">
        <v>15</v>
      </c>
      <c r="P10" s="61" t="s">
        <v>567</v>
      </c>
      <c r="Q10" s="61" t="s">
        <v>566</v>
      </c>
      <c r="R10" s="61">
        <v>50.037932599999998</v>
      </c>
      <c r="S10" s="61">
        <v>8.5621518000000005</v>
      </c>
      <c r="T10" s="61">
        <f>Transport_2_Hubs!T10</f>
        <v>388.09</v>
      </c>
      <c r="U10" s="61" t="s">
        <v>589</v>
      </c>
      <c r="V10" s="61" t="s">
        <v>589</v>
      </c>
      <c r="W10" s="61"/>
      <c r="Y10" s="137">
        <f>Summary_LCIA!H$34</f>
        <v>7.4462E-2</v>
      </c>
      <c r="Z10" s="137">
        <f ca="1">Summary_LCIA!Q$34</f>
        <v>1.23508923</v>
      </c>
      <c r="AA10" s="137">
        <f ca="1">Summary_LCIA!R$34</f>
        <v>2.5566E-3</v>
      </c>
      <c r="AB10" s="137">
        <f ca="1">Summary_LCIA!S$34</f>
        <v>7.3438000000000003E-2</v>
      </c>
      <c r="AC10" s="137">
        <f ca="1">Summary_LCIA!T$34</f>
        <v>2.0743000000000001E-2</v>
      </c>
      <c r="AD10" s="137">
        <f ca="1">Summary_LCIA!U$34</f>
        <v>1.8396E-3</v>
      </c>
      <c r="AE10" s="137">
        <f ca="1">Summary_LCIA!V$34</f>
        <v>8.1093000000000004E-5</v>
      </c>
      <c r="AF10" s="137">
        <f ca="1">Summary_LCIA!W$34</f>
        <v>5.0548999999999997E-2</v>
      </c>
      <c r="AG10" s="137">
        <f ca="1">Summary_LCIA!X$34</f>
        <v>1.0624E-2</v>
      </c>
      <c r="AH10" s="137">
        <f ca="1">Summary_LCIA!Y$34</f>
        <v>1.7136E-3</v>
      </c>
      <c r="AI10" s="137">
        <f ca="1">Summary_LCIA!Z$34</f>
        <v>2.8504999999999999E-5</v>
      </c>
      <c r="AJ10" s="137">
        <f ca="1">Summary_LCIA!AA$34</f>
        <v>2.0625999999999999E-3</v>
      </c>
      <c r="AK10" s="137">
        <f ca="1">Summary_LCIA!AB$34</f>
        <v>-6.9388999999999998E-6</v>
      </c>
      <c r="AL10" s="137">
        <f ca="1">Summary_LCIA!AC$34</f>
        <v>3.6820999999999999E-9</v>
      </c>
      <c r="AM10" s="137">
        <f ca="1">Summary_LCIA!AD$34</f>
        <v>1.1118E-4</v>
      </c>
      <c r="AN10" s="137">
        <f ca="1">Summary_LCIA!AE$34</f>
        <v>2.9994E-4</v>
      </c>
      <c r="AO10" s="137">
        <f ca="1">Summary_LCIA!AF$34</f>
        <v>2.3786E-4</v>
      </c>
      <c r="AP10" s="137">
        <f ca="1">Summary_LCIA!AG$34</f>
        <v>2.7381000000000001E-6</v>
      </c>
      <c r="AQ10" s="137">
        <f ca="1">Summary_LCIA!AH$34</f>
        <v>2.2783E-3</v>
      </c>
      <c r="AR10" s="137">
        <f ca="1">Summary_LCIA!AI$34</f>
        <v>2.8075000000000002E-4</v>
      </c>
      <c r="AT10" s="137">
        <f t="shared" si="2"/>
        <v>28.89795758</v>
      </c>
      <c r="AU10" s="137">
        <f t="shared" ca="1" si="1"/>
        <v>479.32577927069997</v>
      </c>
      <c r="AV10" s="137">
        <f t="shared" ca="1" si="1"/>
        <v>0.99219089399999993</v>
      </c>
      <c r="AW10" s="137">
        <f t="shared" ca="1" si="1"/>
        <v>28.500553419999999</v>
      </c>
      <c r="AX10" s="137">
        <f t="shared" ca="1" si="1"/>
        <v>8.0501508699999995</v>
      </c>
      <c r="AY10" s="137">
        <f t="shared" ca="1" si="1"/>
        <v>0.71393036399999998</v>
      </c>
      <c r="AZ10" s="137">
        <f t="shared" ca="1" si="1"/>
        <v>3.1471382370000002E-2</v>
      </c>
      <c r="BA10" s="137">
        <f t="shared" ca="1" si="1"/>
        <v>19.617561409999997</v>
      </c>
      <c r="BB10" s="137">
        <f t="shared" ca="1" si="1"/>
        <v>4.1230681599999999</v>
      </c>
      <c r="BC10" s="137">
        <f t="shared" ca="1" si="1"/>
        <v>0.66503102399999992</v>
      </c>
      <c r="BD10" s="137">
        <f t="shared" ca="1" si="1"/>
        <v>1.1062505449999999E-2</v>
      </c>
      <c r="BE10" s="137">
        <f t="shared" ca="1" si="1"/>
        <v>0.80047443399999996</v>
      </c>
      <c r="BF10" s="137">
        <f t="shared" ca="1" si="1"/>
        <v>-2.6929177009999998E-3</v>
      </c>
      <c r="BG10" s="137">
        <f t="shared" ca="1" si="1"/>
        <v>1.428986189E-6</v>
      </c>
      <c r="BH10" s="137">
        <f t="shared" ca="1" si="1"/>
        <v>4.3147846199999999E-2</v>
      </c>
      <c r="BI10" s="137">
        <f t="shared" ca="1" si="1"/>
        <v>0.1164037146</v>
      </c>
      <c r="BJ10" s="137">
        <f t="shared" ca="1" si="1"/>
        <v>9.2311087399999991E-2</v>
      </c>
      <c r="BK10" s="137">
        <f t="shared" ca="1" si="1"/>
        <v>1.062629229E-3</v>
      </c>
      <c r="BL10" s="137">
        <f t="shared" ca="1" si="1"/>
        <v>0.8841854469999999</v>
      </c>
      <c r="BM10" s="137">
        <f t="shared" ca="1" si="1"/>
        <v>0.1089562675</v>
      </c>
    </row>
    <row r="11" spans="1:65" x14ac:dyDescent="0.25">
      <c r="A11" s="149">
        <v>223</v>
      </c>
      <c r="B11" s="149">
        <v>15</v>
      </c>
      <c r="C11" s="61">
        <v>46.204391000000001</v>
      </c>
      <c r="D11" s="61">
        <v>6.1431579999999997</v>
      </c>
      <c r="E11" s="61" t="s">
        <v>271</v>
      </c>
      <c r="F11" s="149">
        <v>9</v>
      </c>
      <c r="G11" s="61" t="s">
        <v>567</v>
      </c>
      <c r="H11" s="61" t="s">
        <v>566</v>
      </c>
      <c r="I11" s="61">
        <v>50.037933000000002</v>
      </c>
      <c r="J11" s="61">
        <v>8.5621519999999993</v>
      </c>
      <c r="K11" s="61">
        <v>440.90853509999999</v>
      </c>
      <c r="L11" s="61">
        <v>589.53800000000001</v>
      </c>
      <c r="M11" s="61" t="s">
        <v>589</v>
      </c>
      <c r="N11" s="149">
        <v>14</v>
      </c>
      <c r="O11" s="149">
        <v>15</v>
      </c>
      <c r="P11" s="61" t="s">
        <v>567</v>
      </c>
      <c r="Q11" s="61" t="s">
        <v>566</v>
      </c>
      <c r="R11" s="61">
        <v>50.037932599999998</v>
      </c>
      <c r="S11" s="61">
        <v>8.5621518000000005</v>
      </c>
      <c r="T11" s="61">
        <f>Transport_2_Hubs!T11</f>
        <v>596.91700000000003</v>
      </c>
      <c r="U11" s="61" t="s">
        <v>589</v>
      </c>
      <c r="V11" s="61" t="s">
        <v>589</v>
      </c>
      <c r="W11" s="61"/>
      <c r="Y11" s="137">
        <f>Summary_LCIA!H$34</f>
        <v>7.4462E-2</v>
      </c>
      <c r="Z11" s="137">
        <f ca="1">Summary_LCIA!Q$34</f>
        <v>1.23508923</v>
      </c>
      <c r="AA11" s="137">
        <f ca="1">Summary_LCIA!R$34</f>
        <v>2.5566E-3</v>
      </c>
      <c r="AB11" s="137">
        <f ca="1">Summary_LCIA!S$34</f>
        <v>7.3438000000000003E-2</v>
      </c>
      <c r="AC11" s="137">
        <f ca="1">Summary_LCIA!T$34</f>
        <v>2.0743000000000001E-2</v>
      </c>
      <c r="AD11" s="137">
        <f ca="1">Summary_LCIA!U$34</f>
        <v>1.8396E-3</v>
      </c>
      <c r="AE11" s="137">
        <f ca="1">Summary_LCIA!V$34</f>
        <v>8.1093000000000004E-5</v>
      </c>
      <c r="AF11" s="137">
        <f ca="1">Summary_LCIA!W$34</f>
        <v>5.0548999999999997E-2</v>
      </c>
      <c r="AG11" s="137">
        <f ca="1">Summary_LCIA!X$34</f>
        <v>1.0624E-2</v>
      </c>
      <c r="AH11" s="137">
        <f ca="1">Summary_LCIA!Y$34</f>
        <v>1.7136E-3</v>
      </c>
      <c r="AI11" s="137">
        <f ca="1">Summary_LCIA!Z$34</f>
        <v>2.8504999999999999E-5</v>
      </c>
      <c r="AJ11" s="137">
        <f ca="1">Summary_LCIA!AA$34</f>
        <v>2.0625999999999999E-3</v>
      </c>
      <c r="AK11" s="137">
        <f ca="1">Summary_LCIA!AB$34</f>
        <v>-6.9388999999999998E-6</v>
      </c>
      <c r="AL11" s="137">
        <f ca="1">Summary_LCIA!AC$34</f>
        <v>3.6820999999999999E-9</v>
      </c>
      <c r="AM11" s="137">
        <f ca="1">Summary_LCIA!AD$34</f>
        <v>1.1118E-4</v>
      </c>
      <c r="AN11" s="137">
        <f ca="1">Summary_LCIA!AE$34</f>
        <v>2.9994E-4</v>
      </c>
      <c r="AO11" s="137">
        <f ca="1">Summary_LCIA!AF$34</f>
        <v>2.3786E-4</v>
      </c>
      <c r="AP11" s="137">
        <f ca="1">Summary_LCIA!AG$34</f>
        <v>2.7381000000000001E-6</v>
      </c>
      <c r="AQ11" s="137">
        <f ca="1">Summary_LCIA!AH$34</f>
        <v>2.2783E-3</v>
      </c>
      <c r="AR11" s="137">
        <f ca="1">Summary_LCIA!AI$34</f>
        <v>2.8075000000000002E-4</v>
      </c>
      <c r="AT11" s="137">
        <f t="shared" si="2"/>
        <v>44.447633654000001</v>
      </c>
      <c r="AU11" s="137">
        <f t="shared" ca="1" si="1"/>
        <v>737.24575790391009</v>
      </c>
      <c r="AV11" s="137">
        <f t="shared" ca="1" si="1"/>
        <v>1.5260780022</v>
      </c>
      <c r="AW11" s="137">
        <f t="shared" ca="1" si="1"/>
        <v>43.836390646000005</v>
      </c>
      <c r="AX11" s="137">
        <f t="shared" ca="1" si="1"/>
        <v>12.381849331000002</v>
      </c>
      <c r="AY11" s="137">
        <f t="shared" ca="1" si="1"/>
        <v>1.0980885132</v>
      </c>
      <c r="AZ11" s="137">
        <f t="shared" ca="1" si="1"/>
        <v>4.8405790281000005E-2</v>
      </c>
      <c r="BA11" s="137">
        <f t="shared" ca="1" si="1"/>
        <v>30.173557432999999</v>
      </c>
      <c r="BB11" s="137">
        <f t="shared" ca="1" si="1"/>
        <v>6.3416462080000002</v>
      </c>
      <c r="BC11" s="137">
        <f t="shared" ca="1" si="1"/>
        <v>1.0228769712000001</v>
      </c>
      <c r="BD11" s="137">
        <f t="shared" ca="1" si="1"/>
        <v>1.7015119084999999E-2</v>
      </c>
      <c r="BE11" s="137">
        <f t="shared" ca="1" si="1"/>
        <v>1.2312010042000001</v>
      </c>
      <c r="BF11" s="137">
        <f t="shared" ca="1" si="1"/>
        <v>-4.1419473713000003E-3</v>
      </c>
      <c r="BG11" s="137">
        <f t="shared" ca="1" si="1"/>
        <v>2.1979080857000001E-6</v>
      </c>
      <c r="BH11" s="137">
        <f t="shared" ca="1" si="1"/>
        <v>6.6365232060000001E-2</v>
      </c>
      <c r="BI11" s="137">
        <f t="shared" ca="1" si="1"/>
        <v>0.17903928498000002</v>
      </c>
      <c r="BJ11" s="137">
        <f t="shared" ca="1" si="1"/>
        <v>0.14198267762</v>
      </c>
      <c r="BK11" s="137">
        <f t="shared" ca="1" si="1"/>
        <v>1.6344184377000001E-3</v>
      </c>
      <c r="BL11" s="137">
        <f t="shared" ca="1" si="1"/>
        <v>1.3599560011</v>
      </c>
      <c r="BM11" s="137">
        <f t="shared" ca="1" si="1"/>
        <v>0.16758444775000003</v>
      </c>
    </row>
    <row r="12" spans="1:65" x14ac:dyDescent="0.25">
      <c r="A12" s="149">
        <v>376</v>
      </c>
      <c r="B12" s="149">
        <v>15</v>
      </c>
      <c r="C12" s="61">
        <v>52.541156000000001</v>
      </c>
      <c r="D12" s="61">
        <v>13.390912999999999</v>
      </c>
      <c r="E12" s="61" t="s">
        <v>281</v>
      </c>
      <c r="F12" s="149">
        <v>15</v>
      </c>
      <c r="G12" s="61" t="s">
        <v>567</v>
      </c>
      <c r="H12" s="61" t="s">
        <v>707</v>
      </c>
      <c r="I12" s="61">
        <v>50.037933000000002</v>
      </c>
      <c r="J12" s="61">
        <v>8.5621519999999993</v>
      </c>
      <c r="K12" s="61">
        <v>461.40119850000002</v>
      </c>
      <c r="L12" s="61">
        <v>636.84400000000005</v>
      </c>
      <c r="M12" s="61" t="s">
        <v>589</v>
      </c>
      <c r="N12" s="149">
        <v>14</v>
      </c>
      <c r="O12" s="149">
        <v>15</v>
      </c>
      <c r="P12" s="61" t="s">
        <v>567</v>
      </c>
      <c r="Q12" s="61" t="s">
        <v>566</v>
      </c>
      <c r="R12" s="61">
        <v>50.037932599999998</v>
      </c>
      <c r="S12" s="61">
        <v>8.5621518000000005</v>
      </c>
      <c r="T12" s="61">
        <f>Transport_2_Hubs!T12</f>
        <v>530.98199999999997</v>
      </c>
      <c r="U12" s="61" t="s">
        <v>589</v>
      </c>
      <c r="V12" s="61" t="s">
        <v>589</v>
      </c>
      <c r="W12" s="61"/>
      <c r="Y12" s="137">
        <f>Summary_LCIA!H$34</f>
        <v>7.4462E-2</v>
      </c>
      <c r="Z12" s="137">
        <f ca="1">Summary_LCIA!Q$34</f>
        <v>1.23508923</v>
      </c>
      <c r="AA12" s="137">
        <f ca="1">Summary_LCIA!R$34</f>
        <v>2.5566E-3</v>
      </c>
      <c r="AB12" s="137">
        <f ca="1">Summary_LCIA!S$34</f>
        <v>7.3438000000000003E-2</v>
      </c>
      <c r="AC12" s="137">
        <f ca="1">Summary_LCIA!T$34</f>
        <v>2.0743000000000001E-2</v>
      </c>
      <c r="AD12" s="137">
        <f ca="1">Summary_LCIA!U$34</f>
        <v>1.8396E-3</v>
      </c>
      <c r="AE12" s="137">
        <f ca="1">Summary_LCIA!V$34</f>
        <v>8.1093000000000004E-5</v>
      </c>
      <c r="AF12" s="137">
        <f ca="1">Summary_LCIA!W$34</f>
        <v>5.0548999999999997E-2</v>
      </c>
      <c r="AG12" s="137">
        <f ca="1">Summary_LCIA!X$34</f>
        <v>1.0624E-2</v>
      </c>
      <c r="AH12" s="137">
        <f ca="1">Summary_LCIA!Y$34</f>
        <v>1.7136E-3</v>
      </c>
      <c r="AI12" s="137">
        <f ca="1">Summary_LCIA!Z$34</f>
        <v>2.8504999999999999E-5</v>
      </c>
      <c r="AJ12" s="137">
        <f ca="1">Summary_LCIA!AA$34</f>
        <v>2.0625999999999999E-3</v>
      </c>
      <c r="AK12" s="137">
        <f ca="1">Summary_LCIA!AB$34</f>
        <v>-6.9388999999999998E-6</v>
      </c>
      <c r="AL12" s="137">
        <f ca="1">Summary_LCIA!AC$34</f>
        <v>3.6820999999999999E-9</v>
      </c>
      <c r="AM12" s="137">
        <f ca="1">Summary_LCIA!AD$34</f>
        <v>1.1118E-4</v>
      </c>
      <c r="AN12" s="137">
        <f ca="1">Summary_LCIA!AE$34</f>
        <v>2.9994E-4</v>
      </c>
      <c r="AO12" s="137">
        <f ca="1">Summary_LCIA!AF$34</f>
        <v>2.3786E-4</v>
      </c>
      <c r="AP12" s="137">
        <f ca="1">Summary_LCIA!AG$34</f>
        <v>2.7381000000000001E-6</v>
      </c>
      <c r="AQ12" s="137">
        <f ca="1">Summary_LCIA!AH$34</f>
        <v>2.2783E-3</v>
      </c>
      <c r="AR12" s="137">
        <f ca="1">Summary_LCIA!AI$34</f>
        <v>2.8075000000000002E-4</v>
      </c>
      <c r="AT12" s="137">
        <f t="shared" si="2"/>
        <v>39.537981683999995</v>
      </c>
      <c r="AU12" s="137">
        <f t="shared" ca="1" si="1"/>
        <v>655.81014952385999</v>
      </c>
      <c r="AV12" s="137">
        <f t="shared" ca="1" si="1"/>
        <v>1.3575085811999998</v>
      </c>
      <c r="AW12" s="137">
        <f t="shared" ca="1" si="1"/>
        <v>38.994256116000003</v>
      </c>
      <c r="AX12" s="137">
        <f t="shared" ca="1" si="1"/>
        <v>11.014159626</v>
      </c>
      <c r="AY12" s="137">
        <f t="shared" ca="1" si="1"/>
        <v>0.97679448719999995</v>
      </c>
      <c r="AZ12" s="137">
        <f t="shared" ca="1" si="1"/>
        <v>4.3058923325999997E-2</v>
      </c>
      <c r="BA12" s="137">
        <f t="shared" ca="1" si="1"/>
        <v>26.840609117999996</v>
      </c>
      <c r="BB12" s="137">
        <f t="shared" ca="1" si="1"/>
        <v>5.6411527679999995</v>
      </c>
      <c r="BC12" s="137">
        <f t="shared" ca="1" si="1"/>
        <v>0.90989075519999996</v>
      </c>
      <c r="BD12" s="137">
        <f t="shared" ca="1" si="1"/>
        <v>1.5135641909999999E-2</v>
      </c>
      <c r="BE12" s="137">
        <f t="shared" ca="1" si="1"/>
        <v>1.0952034732</v>
      </c>
      <c r="BF12" s="137">
        <f t="shared" ca="1" si="1"/>
        <v>-3.6844309997999996E-3</v>
      </c>
      <c r="BG12" s="137">
        <f t="shared" ca="1" si="1"/>
        <v>1.9551288222E-6</v>
      </c>
      <c r="BH12" s="137">
        <f t="shared" ca="1" si="1"/>
        <v>5.9034578759999998E-2</v>
      </c>
      <c r="BI12" s="137">
        <f t="shared" ca="1" si="1"/>
        <v>0.15926274107999999</v>
      </c>
      <c r="BJ12" s="137">
        <f t="shared" ca="1" si="1"/>
        <v>0.12629937852000001</v>
      </c>
      <c r="BK12" s="137">
        <f t="shared" ca="1" si="1"/>
        <v>1.4538818141999999E-3</v>
      </c>
      <c r="BL12" s="137">
        <f t="shared" ca="1" si="1"/>
        <v>1.2097362906</v>
      </c>
      <c r="BM12" s="137">
        <f t="shared" ca="1" si="1"/>
        <v>0.1490731965</v>
      </c>
    </row>
    <row r="13" spans="1:65" x14ac:dyDescent="0.25">
      <c r="A13" s="149">
        <v>377</v>
      </c>
      <c r="B13" s="149">
        <v>15</v>
      </c>
      <c r="C13" s="61">
        <v>52.541156000000001</v>
      </c>
      <c r="D13" s="61">
        <v>13.390912999999999</v>
      </c>
      <c r="E13" s="61" t="s">
        <v>281</v>
      </c>
      <c r="F13" s="149">
        <v>15</v>
      </c>
      <c r="G13" s="61" t="s">
        <v>567</v>
      </c>
      <c r="H13" s="61" t="s">
        <v>707</v>
      </c>
      <c r="I13" s="61">
        <v>50.037933000000002</v>
      </c>
      <c r="J13" s="61">
        <v>8.5621519999999993</v>
      </c>
      <c r="K13" s="61">
        <v>461.40119850000002</v>
      </c>
      <c r="L13" s="61">
        <v>636.84400000000005</v>
      </c>
      <c r="M13" s="61" t="s">
        <v>589</v>
      </c>
      <c r="N13" s="149">
        <v>14</v>
      </c>
      <c r="O13" s="149">
        <v>15</v>
      </c>
      <c r="P13" s="61" t="s">
        <v>567</v>
      </c>
      <c r="Q13" s="61" t="s">
        <v>566</v>
      </c>
      <c r="R13" s="61">
        <v>50.037932599999998</v>
      </c>
      <c r="S13" s="61">
        <v>8.5621518000000005</v>
      </c>
      <c r="T13" s="61">
        <f>Transport_2_Hubs!T13</f>
        <v>530.98199999999997</v>
      </c>
      <c r="U13" s="61" t="s">
        <v>589</v>
      </c>
      <c r="V13" s="61" t="s">
        <v>589</v>
      </c>
      <c r="W13" s="61"/>
      <c r="Y13" s="137">
        <f>Summary_LCIA!H$34</f>
        <v>7.4462E-2</v>
      </c>
      <c r="Z13" s="137">
        <f ca="1">Summary_LCIA!Q$34</f>
        <v>1.23508923</v>
      </c>
      <c r="AA13" s="137">
        <f ca="1">Summary_LCIA!R$34</f>
        <v>2.5566E-3</v>
      </c>
      <c r="AB13" s="137">
        <f ca="1">Summary_LCIA!S$34</f>
        <v>7.3438000000000003E-2</v>
      </c>
      <c r="AC13" s="137">
        <f ca="1">Summary_LCIA!T$34</f>
        <v>2.0743000000000001E-2</v>
      </c>
      <c r="AD13" s="137">
        <f ca="1">Summary_LCIA!U$34</f>
        <v>1.8396E-3</v>
      </c>
      <c r="AE13" s="137">
        <f ca="1">Summary_LCIA!V$34</f>
        <v>8.1093000000000004E-5</v>
      </c>
      <c r="AF13" s="137">
        <f ca="1">Summary_LCIA!W$34</f>
        <v>5.0548999999999997E-2</v>
      </c>
      <c r="AG13" s="137">
        <f ca="1">Summary_LCIA!X$34</f>
        <v>1.0624E-2</v>
      </c>
      <c r="AH13" s="137">
        <f ca="1">Summary_LCIA!Y$34</f>
        <v>1.7136E-3</v>
      </c>
      <c r="AI13" s="137">
        <f ca="1">Summary_LCIA!Z$34</f>
        <v>2.8504999999999999E-5</v>
      </c>
      <c r="AJ13" s="137">
        <f ca="1">Summary_LCIA!AA$34</f>
        <v>2.0625999999999999E-3</v>
      </c>
      <c r="AK13" s="137">
        <f ca="1">Summary_LCIA!AB$34</f>
        <v>-6.9388999999999998E-6</v>
      </c>
      <c r="AL13" s="137">
        <f ca="1">Summary_LCIA!AC$34</f>
        <v>3.6820999999999999E-9</v>
      </c>
      <c r="AM13" s="137">
        <f ca="1">Summary_LCIA!AD$34</f>
        <v>1.1118E-4</v>
      </c>
      <c r="AN13" s="137">
        <f ca="1">Summary_LCIA!AE$34</f>
        <v>2.9994E-4</v>
      </c>
      <c r="AO13" s="137">
        <f ca="1">Summary_LCIA!AF$34</f>
        <v>2.3786E-4</v>
      </c>
      <c r="AP13" s="137">
        <f ca="1">Summary_LCIA!AG$34</f>
        <v>2.7381000000000001E-6</v>
      </c>
      <c r="AQ13" s="137">
        <f ca="1">Summary_LCIA!AH$34</f>
        <v>2.2783E-3</v>
      </c>
      <c r="AR13" s="137">
        <f ca="1">Summary_LCIA!AI$34</f>
        <v>2.8075000000000002E-4</v>
      </c>
      <c r="AT13" s="137">
        <f t="shared" si="2"/>
        <v>39.537981683999995</v>
      </c>
      <c r="AU13" s="137">
        <f t="shared" ca="1" si="1"/>
        <v>655.81014952385999</v>
      </c>
      <c r="AV13" s="137">
        <f t="shared" ca="1" si="1"/>
        <v>1.3575085811999998</v>
      </c>
      <c r="AW13" s="137">
        <f t="shared" ca="1" si="1"/>
        <v>38.994256116000003</v>
      </c>
      <c r="AX13" s="137">
        <f t="shared" ca="1" si="1"/>
        <v>11.014159626</v>
      </c>
      <c r="AY13" s="137">
        <f t="shared" ca="1" si="1"/>
        <v>0.97679448719999995</v>
      </c>
      <c r="AZ13" s="137">
        <f t="shared" ca="1" si="1"/>
        <v>4.3058923325999997E-2</v>
      </c>
      <c r="BA13" s="137">
        <f t="shared" ca="1" si="1"/>
        <v>26.840609117999996</v>
      </c>
      <c r="BB13" s="137">
        <f t="shared" ca="1" si="1"/>
        <v>5.6411527679999995</v>
      </c>
      <c r="BC13" s="137">
        <f t="shared" ca="1" si="1"/>
        <v>0.90989075519999996</v>
      </c>
      <c r="BD13" s="137">
        <f t="shared" ca="1" si="1"/>
        <v>1.5135641909999999E-2</v>
      </c>
      <c r="BE13" s="137">
        <f t="shared" ca="1" si="1"/>
        <v>1.0952034732</v>
      </c>
      <c r="BF13" s="137">
        <f t="shared" ca="1" si="1"/>
        <v>-3.6844309997999996E-3</v>
      </c>
      <c r="BG13" s="137">
        <f t="shared" ca="1" si="1"/>
        <v>1.9551288222E-6</v>
      </c>
      <c r="BH13" s="137">
        <f t="shared" ca="1" si="1"/>
        <v>5.9034578759999998E-2</v>
      </c>
      <c r="BI13" s="137">
        <f t="shared" ca="1" si="1"/>
        <v>0.15926274107999999</v>
      </c>
      <c r="BJ13" s="137">
        <f t="shared" ca="1" si="1"/>
        <v>0.12629937852000001</v>
      </c>
      <c r="BK13" s="137">
        <f t="shared" ca="1" si="1"/>
        <v>1.4538818141999999E-3</v>
      </c>
      <c r="BL13" s="137">
        <f t="shared" ca="1" si="1"/>
        <v>1.2097362906</v>
      </c>
      <c r="BM13" s="137">
        <f t="shared" ca="1" si="1"/>
        <v>0.1490731965</v>
      </c>
    </row>
    <row r="14" spans="1:65" x14ac:dyDescent="0.25">
      <c r="A14" s="149">
        <v>15</v>
      </c>
      <c r="B14" s="149">
        <v>43</v>
      </c>
      <c r="C14" s="61">
        <v>40.676457999999997</v>
      </c>
      <c r="D14" s="61">
        <v>-74.228478999999993</v>
      </c>
      <c r="E14" s="61" t="s">
        <v>265</v>
      </c>
      <c r="F14" s="149">
        <v>43</v>
      </c>
      <c r="G14" s="61" t="s">
        <v>565</v>
      </c>
      <c r="H14" s="61" t="s">
        <v>632</v>
      </c>
      <c r="I14" s="61">
        <v>40.689531000000002</v>
      </c>
      <c r="J14" s="61">
        <v>-74.174462000000005</v>
      </c>
      <c r="K14" s="61">
        <v>5.2641184650000001</v>
      </c>
      <c r="L14" s="61">
        <v>7.0670000000000002</v>
      </c>
      <c r="M14" s="61" t="s">
        <v>617</v>
      </c>
      <c r="N14" s="149">
        <v>42</v>
      </c>
      <c r="O14" s="149">
        <v>43</v>
      </c>
      <c r="P14" s="61" t="s">
        <v>565</v>
      </c>
      <c r="Q14" s="61" t="s">
        <v>555</v>
      </c>
      <c r="R14" s="61">
        <v>40.6895314</v>
      </c>
      <c r="S14" s="61">
        <v>-74.174462399999996</v>
      </c>
      <c r="T14" s="61">
        <v>7.0670000000000002</v>
      </c>
      <c r="U14" s="61" t="s">
        <v>617</v>
      </c>
      <c r="V14" s="61" t="s">
        <v>617</v>
      </c>
      <c r="W14" s="61"/>
      <c r="Y14" s="137">
        <f>Summary_LCIA!H$32</f>
        <v>0.33979999999999999</v>
      </c>
      <c r="Z14" s="137">
        <f>Summary_LCIA!Q$32</f>
        <v>4.9560504329999997</v>
      </c>
      <c r="AA14" s="137">
        <f>Summary_LCIA!R$32</f>
        <v>5.2655999999999996E-3</v>
      </c>
      <c r="AB14" s="137">
        <f>Summary_LCIA!S$32</f>
        <v>0.33538000000000001</v>
      </c>
      <c r="AC14" s="137">
        <f>Summary_LCIA!T$32</f>
        <v>0.1099</v>
      </c>
      <c r="AD14" s="137">
        <f>Summary_LCIA!U$32</f>
        <v>1.7913999999999999E-2</v>
      </c>
      <c r="AE14" s="137">
        <f>Summary_LCIA!V$32</f>
        <v>4.7760999999999999E-5</v>
      </c>
      <c r="AF14" s="137">
        <f>Summary_LCIA!W$32</f>
        <v>7.6970999999999998E-2</v>
      </c>
      <c r="AG14" s="137">
        <f>Summary_LCIA!X$32</f>
        <v>2.2780000000000002E-2</v>
      </c>
      <c r="AH14" s="137">
        <f>Summary_LCIA!Y$32</f>
        <v>1.5582E-2</v>
      </c>
      <c r="AI14" s="137">
        <f>Summary_LCIA!Z$32</f>
        <v>4.1009E-5</v>
      </c>
      <c r="AJ14" s="137">
        <f>Summary_LCIA!AA$32</f>
        <v>2.3355999999999998E-2</v>
      </c>
      <c r="AK14" s="137">
        <f>Summary_LCIA!AB$32</f>
        <v>-2.1823000000000001E-5</v>
      </c>
      <c r="AL14" s="137">
        <f>Summary_LCIA!AC$32</f>
        <v>4.8884000000000003E-8</v>
      </c>
      <c r="AM14" s="137">
        <f>Summary_LCIA!AD$32</f>
        <v>4.1103999999999999E-4</v>
      </c>
      <c r="AN14" s="137">
        <f>Summary_LCIA!AE$32</f>
        <v>8.8612999999999995E-4</v>
      </c>
      <c r="AO14" s="137">
        <f>Summary_LCIA!AF$32</f>
        <v>8.4542000000000005E-4</v>
      </c>
      <c r="AP14" s="137">
        <f>Summary_LCIA!AG$32</f>
        <v>5.1165000000000002E-5</v>
      </c>
      <c r="AQ14" s="137">
        <f>Summary_LCIA!AH$32</f>
        <v>8.7036000000000006E-3</v>
      </c>
      <c r="AR14" s="137">
        <f>Summary_LCIA!AI$32</f>
        <v>9.3154999999999996E-4</v>
      </c>
      <c r="AT14" s="137">
        <f t="shared" si="2"/>
        <v>2.4013665999999998</v>
      </c>
      <c r="AU14" s="137">
        <f t="shared" si="1"/>
        <v>35.024408410010999</v>
      </c>
      <c r="AV14" s="137">
        <f t="shared" si="1"/>
        <v>3.72119952E-2</v>
      </c>
      <c r="AW14" s="137">
        <f t="shared" si="1"/>
        <v>2.3701304599999999</v>
      </c>
      <c r="AX14" s="137">
        <f t="shared" si="1"/>
        <v>0.77666330000000006</v>
      </c>
      <c r="AY14" s="137">
        <f t="shared" si="1"/>
        <v>0.126598238</v>
      </c>
      <c r="AZ14" s="137">
        <f t="shared" si="1"/>
        <v>3.3752698700000001E-4</v>
      </c>
      <c r="BA14" s="137">
        <f t="shared" si="1"/>
        <v>0.54395405699999999</v>
      </c>
      <c r="BB14" s="137">
        <f t="shared" si="1"/>
        <v>0.16098626000000002</v>
      </c>
      <c r="BC14" s="137">
        <f t="shared" si="1"/>
        <v>0.11011799400000001</v>
      </c>
      <c r="BD14" s="137">
        <f t="shared" si="1"/>
        <v>2.8981060300000002E-4</v>
      </c>
      <c r="BE14" s="137">
        <f t="shared" si="1"/>
        <v>0.165056852</v>
      </c>
      <c r="BF14" s="137">
        <f t="shared" si="1"/>
        <v>-1.5422314100000002E-4</v>
      </c>
      <c r="BG14" s="137">
        <f t="shared" si="1"/>
        <v>3.4546322800000003E-7</v>
      </c>
      <c r="BH14" s="137">
        <f t="shared" si="1"/>
        <v>2.9048196800000002E-3</v>
      </c>
      <c r="BI14" s="137">
        <f t="shared" si="1"/>
        <v>6.26228071E-3</v>
      </c>
      <c r="BJ14" s="137">
        <f t="shared" si="1"/>
        <v>5.9745831400000006E-3</v>
      </c>
      <c r="BK14" s="137">
        <f t="shared" si="1"/>
        <v>3.6158305500000001E-4</v>
      </c>
      <c r="BL14" s="137">
        <f t="shared" si="1"/>
        <v>6.1508341200000004E-2</v>
      </c>
      <c r="BM14" s="137">
        <f t="shared" si="1"/>
        <v>6.5832638499999999E-3</v>
      </c>
    </row>
    <row r="15" spans="1:65" x14ac:dyDescent="0.25">
      <c r="A15" s="149">
        <v>16</v>
      </c>
      <c r="B15" s="149">
        <v>43</v>
      </c>
      <c r="C15" s="61">
        <v>40.676457999999997</v>
      </c>
      <c r="D15" s="61">
        <v>-74.228478999999993</v>
      </c>
      <c r="E15" s="61" t="s">
        <v>265</v>
      </c>
      <c r="F15" s="149">
        <v>43</v>
      </c>
      <c r="G15" s="61" t="s">
        <v>565</v>
      </c>
      <c r="H15" s="61" t="s">
        <v>632</v>
      </c>
      <c r="I15" s="61">
        <v>40.689531000000002</v>
      </c>
      <c r="J15" s="61">
        <v>-74.174462000000005</v>
      </c>
      <c r="K15" s="61">
        <v>5.2641184650000001</v>
      </c>
      <c r="L15" s="61">
        <v>7.0670000000000002</v>
      </c>
      <c r="M15" s="61" t="s">
        <v>617</v>
      </c>
      <c r="N15" s="149">
        <v>42</v>
      </c>
      <c r="O15" s="149">
        <v>43</v>
      </c>
      <c r="P15" s="61" t="s">
        <v>565</v>
      </c>
      <c r="Q15" s="61" t="s">
        <v>555</v>
      </c>
      <c r="R15" s="61">
        <v>40.6895314</v>
      </c>
      <c r="S15" s="61">
        <v>-74.174462399999996</v>
      </c>
      <c r="T15" s="61">
        <v>7.0670000000000002</v>
      </c>
      <c r="U15" s="61" t="s">
        <v>617</v>
      </c>
      <c r="V15" s="61" t="s">
        <v>617</v>
      </c>
      <c r="W15" s="61"/>
      <c r="Y15" s="137">
        <f>Summary_LCIA!H$32</f>
        <v>0.33979999999999999</v>
      </c>
      <c r="Z15" s="137">
        <f>Summary_LCIA!Q$32</f>
        <v>4.9560504329999997</v>
      </c>
      <c r="AA15" s="137">
        <f>Summary_LCIA!R$32</f>
        <v>5.2655999999999996E-3</v>
      </c>
      <c r="AB15" s="137">
        <f>Summary_LCIA!S$32</f>
        <v>0.33538000000000001</v>
      </c>
      <c r="AC15" s="137">
        <f>Summary_LCIA!T$32</f>
        <v>0.1099</v>
      </c>
      <c r="AD15" s="137">
        <f>Summary_LCIA!U$32</f>
        <v>1.7913999999999999E-2</v>
      </c>
      <c r="AE15" s="137">
        <f>Summary_LCIA!V$32</f>
        <v>4.7760999999999999E-5</v>
      </c>
      <c r="AF15" s="137">
        <f>Summary_LCIA!W$32</f>
        <v>7.6970999999999998E-2</v>
      </c>
      <c r="AG15" s="137">
        <f>Summary_LCIA!X$32</f>
        <v>2.2780000000000002E-2</v>
      </c>
      <c r="AH15" s="137">
        <f>Summary_LCIA!Y$32</f>
        <v>1.5582E-2</v>
      </c>
      <c r="AI15" s="137">
        <f>Summary_LCIA!Z$32</f>
        <v>4.1009E-5</v>
      </c>
      <c r="AJ15" s="137">
        <f>Summary_LCIA!AA$32</f>
        <v>2.3355999999999998E-2</v>
      </c>
      <c r="AK15" s="137">
        <f>Summary_LCIA!AB$32</f>
        <v>-2.1823000000000001E-5</v>
      </c>
      <c r="AL15" s="137">
        <f>Summary_LCIA!AC$32</f>
        <v>4.8884000000000003E-8</v>
      </c>
      <c r="AM15" s="137">
        <f>Summary_LCIA!AD$32</f>
        <v>4.1103999999999999E-4</v>
      </c>
      <c r="AN15" s="137">
        <f>Summary_LCIA!AE$32</f>
        <v>8.8612999999999995E-4</v>
      </c>
      <c r="AO15" s="137">
        <f>Summary_LCIA!AF$32</f>
        <v>8.4542000000000005E-4</v>
      </c>
      <c r="AP15" s="137">
        <f>Summary_LCIA!AG$32</f>
        <v>5.1165000000000002E-5</v>
      </c>
      <c r="AQ15" s="137">
        <f>Summary_LCIA!AH$32</f>
        <v>8.7036000000000006E-3</v>
      </c>
      <c r="AR15" s="137">
        <f>Summary_LCIA!AI$32</f>
        <v>9.3154999999999996E-4</v>
      </c>
      <c r="AT15" s="137">
        <f t="shared" si="2"/>
        <v>2.4013665999999998</v>
      </c>
      <c r="AU15" s="137">
        <f t="shared" si="1"/>
        <v>35.024408410010999</v>
      </c>
      <c r="AV15" s="137">
        <f t="shared" si="1"/>
        <v>3.72119952E-2</v>
      </c>
      <c r="AW15" s="137">
        <f t="shared" si="1"/>
        <v>2.3701304599999999</v>
      </c>
      <c r="AX15" s="137">
        <f t="shared" si="1"/>
        <v>0.77666330000000006</v>
      </c>
      <c r="AY15" s="137">
        <f t="shared" si="1"/>
        <v>0.126598238</v>
      </c>
      <c r="AZ15" s="137">
        <f t="shared" si="1"/>
        <v>3.3752698700000001E-4</v>
      </c>
      <c r="BA15" s="137">
        <f t="shared" si="1"/>
        <v>0.54395405699999999</v>
      </c>
      <c r="BB15" s="137">
        <f t="shared" si="1"/>
        <v>0.16098626000000002</v>
      </c>
      <c r="BC15" s="137">
        <f t="shared" ref="BC15:BC78" si="3">$T15*AH15</f>
        <v>0.11011799400000001</v>
      </c>
      <c r="BD15" s="137">
        <f t="shared" ref="BD15:BD78" si="4">$T15*AI15</f>
        <v>2.8981060300000002E-4</v>
      </c>
      <c r="BE15" s="137">
        <f t="shared" ref="BE15:BE78" si="5">$T15*AJ15</f>
        <v>0.165056852</v>
      </c>
      <c r="BF15" s="137">
        <f t="shared" ref="BF15:BF78" si="6">$T15*AK15</f>
        <v>-1.5422314100000002E-4</v>
      </c>
      <c r="BG15" s="137">
        <f t="shared" ref="BG15:BG78" si="7">$T15*AL15</f>
        <v>3.4546322800000003E-7</v>
      </c>
      <c r="BH15" s="137">
        <f t="shared" ref="BH15:BH78" si="8">$T15*AM15</f>
        <v>2.9048196800000002E-3</v>
      </c>
      <c r="BI15" s="137">
        <f t="shared" ref="BI15:BI78" si="9">$T15*AN15</f>
        <v>6.26228071E-3</v>
      </c>
      <c r="BJ15" s="137">
        <f t="shared" ref="BJ15:BJ78" si="10">$T15*AO15</f>
        <v>5.9745831400000006E-3</v>
      </c>
      <c r="BK15" s="137">
        <f t="shared" ref="BK15:BK78" si="11">$T15*AP15</f>
        <v>3.6158305500000001E-4</v>
      </c>
      <c r="BL15" s="137">
        <f t="shared" ref="BL15:BL78" si="12">$T15*AQ15</f>
        <v>6.1508341200000004E-2</v>
      </c>
      <c r="BM15" s="137">
        <f t="shared" ref="BM15:BM78" si="13">$T15*AR15</f>
        <v>6.5832638499999999E-3</v>
      </c>
    </row>
    <row r="16" spans="1:65" x14ac:dyDescent="0.25">
      <c r="A16" s="149">
        <v>17</v>
      </c>
      <c r="B16" s="149">
        <v>43</v>
      </c>
      <c r="C16" s="61">
        <v>40.676457999999997</v>
      </c>
      <c r="D16" s="61">
        <v>-74.228478999999993</v>
      </c>
      <c r="E16" s="61" t="s">
        <v>265</v>
      </c>
      <c r="F16" s="149">
        <v>43</v>
      </c>
      <c r="G16" s="61" t="s">
        <v>565</v>
      </c>
      <c r="H16" s="61" t="s">
        <v>632</v>
      </c>
      <c r="I16" s="61">
        <v>40.689531000000002</v>
      </c>
      <c r="J16" s="61">
        <v>-74.174462000000005</v>
      </c>
      <c r="K16" s="61">
        <v>5.2641184650000001</v>
      </c>
      <c r="L16" s="61">
        <v>7.0670000000000002</v>
      </c>
      <c r="M16" s="61" t="s">
        <v>617</v>
      </c>
      <c r="N16" s="149">
        <v>42</v>
      </c>
      <c r="O16" s="149">
        <v>43</v>
      </c>
      <c r="P16" s="61" t="s">
        <v>565</v>
      </c>
      <c r="Q16" s="61" t="s">
        <v>555</v>
      </c>
      <c r="R16" s="61">
        <v>40.6895314</v>
      </c>
      <c r="S16" s="61">
        <v>-74.174462399999996</v>
      </c>
      <c r="T16" s="61">
        <v>7.0670000000000002</v>
      </c>
      <c r="U16" s="61" t="s">
        <v>617</v>
      </c>
      <c r="V16" s="61" t="s">
        <v>617</v>
      </c>
      <c r="W16" s="61"/>
      <c r="Y16" s="137">
        <f>Summary_LCIA!H$32</f>
        <v>0.33979999999999999</v>
      </c>
      <c r="Z16" s="137">
        <f>Summary_LCIA!Q$32</f>
        <v>4.9560504329999997</v>
      </c>
      <c r="AA16" s="137">
        <f>Summary_LCIA!R$32</f>
        <v>5.2655999999999996E-3</v>
      </c>
      <c r="AB16" s="137">
        <f>Summary_LCIA!S$32</f>
        <v>0.33538000000000001</v>
      </c>
      <c r="AC16" s="137">
        <f>Summary_LCIA!T$32</f>
        <v>0.1099</v>
      </c>
      <c r="AD16" s="137">
        <f>Summary_LCIA!U$32</f>
        <v>1.7913999999999999E-2</v>
      </c>
      <c r="AE16" s="137">
        <f>Summary_LCIA!V$32</f>
        <v>4.7760999999999999E-5</v>
      </c>
      <c r="AF16" s="137">
        <f>Summary_LCIA!W$32</f>
        <v>7.6970999999999998E-2</v>
      </c>
      <c r="AG16" s="137">
        <f>Summary_LCIA!X$32</f>
        <v>2.2780000000000002E-2</v>
      </c>
      <c r="AH16" s="137">
        <f>Summary_LCIA!Y$32</f>
        <v>1.5582E-2</v>
      </c>
      <c r="AI16" s="137">
        <f>Summary_LCIA!Z$32</f>
        <v>4.1009E-5</v>
      </c>
      <c r="AJ16" s="137">
        <f>Summary_LCIA!AA$32</f>
        <v>2.3355999999999998E-2</v>
      </c>
      <c r="AK16" s="137">
        <f>Summary_LCIA!AB$32</f>
        <v>-2.1823000000000001E-5</v>
      </c>
      <c r="AL16" s="137">
        <f>Summary_LCIA!AC$32</f>
        <v>4.8884000000000003E-8</v>
      </c>
      <c r="AM16" s="137">
        <f>Summary_LCIA!AD$32</f>
        <v>4.1103999999999999E-4</v>
      </c>
      <c r="AN16" s="137">
        <f>Summary_LCIA!AE$32</f>
        <v>8.8612999999999995E-4</v>
      </c>
      <c r="AO16" s="137">
        <f>Summary_LCIA!AF$32</f>
        <v>8.4542000000000005E-4</v>
      </c>
      <c r="AP16" s="137">
        <f>Summary_LCIA!AG$32</f>
        <v>5.1165000000000002E-5</v>
      </c>
      <c r="AQ16" s="137">
        <f>Summary_LCIA!AH$32</f>
        <v>8.7036000000000006E-3</v>
      </c>
      <c r="AR16" s="137">
        <f>Summary_LCIA!AI$32</f>
        <v>9.3154999999999996E-4</v>
      </c>
      <c r="AT16" s="137">
        <f t="shared" si="2"/>
        <v>2.4013665999999998</v>
      </c>
      <c r="AU16" s="137">
        <f t="shared" ref="AU16:AU79" si="14">$T16*Z16</f>
        <v>35.024408410010999</v>
      </c>
      <c r="AV16" s="137">
        <f t="shared" ref="AV16:AV79" si="15">$T16*AA16</f>
        <v>3.72119952E-2</v>
      </c>
      <c r="AW16" s="137">
        <f t="shared" ref="AW16:AW79" si="16">$T16*AB16</f>
        <v>2.3701304599999999</v>
      </c>
      <c r="AX16" s="137">
        <f t="shared" ref="AX16:AX79" si="17">$T16*AC16</f>
        <v>0.77666330000000006</v>
      </c>
      <c r="AY16" s="137">
        <f t="shared" ref="AY16:AY79" si="18">$T16*AD16</f>
        <v>0.126598238</v>
      </c>
      <c r="AZ16" s="137">
        <f t="shared" ref="AZ16:AZ79" si="19">$T16*AE16</f>
        <v>3.3752698700000001E-4</v>
      </c>
      <c r="BA16" s="137">
        <f t="shared" ref="BA16:BA79" si="20">$T16*AF16</f>
        <v>0.54395405699999999</v>
      </c>
      <c r="BB16" s="137">
        <f t="shared" ref="BB16:BB79" si="21">$T16*AG16</f>
        <v>0.16098626000000002</v>
      </c>
      <c r="BC16" s="137">
        <f t="shared" si="3"/>
        <v>0.11011799400000001</v>
      </c>
      <c r="BD16" s="137">
        <f t="shared" si="4"/>
        <v>2.8981060300000002E-4</v>
      </c>
      <c r="BE16" s="137">
        <f t="shared" si="5"/>
        <v>0.165056852</v>
      </c>
      <c r="BF16" s="137">
        <f t="shared" si="6"/>
        <v>-1.5422314100000002E-4</v>
      </c>
      <c r="BG16" s="137">
        <f t="shared" si="7"/>
        <v>3.4546322800000003E-7</v>
      </c>
      <c r="BH16" s="137">
        <f t="shared" si="8"/>
        <v>2.9048196800000002E-3</v>
      </c>
      <c r="BI16" s="137">
        <f t="shared" si="9"/>
        <v>6.26228071E-3</v>
      </c>
      <c r="BJ16" s="137">
        <f t="shared" si="10"/>
        <v>5.9745831400000006E-3</v>
      </c>
      <c r="BK16" s="137">
        <f t="shared" si="11"/>
        <v>3.6158305500000001E-4</v>
      </c>
      <c r="BL16" s="137">
        <f t="shared" si="12"/>
        <v>6.1508341200000004E-2</v>
      </c>
      <c r="BM16" s="137">
        <f t="shared" si="13"/>
        <v>6.5832638499999999E-3</v>
      </c>
    </row>
    <row r="17" spans="1:65" x14ac:dyDescent="0.25">
      <c r="A17" s="149">
        <v>378</v>
      </c>
      <c r="B17" s="149">
        <v>43</v>
      </c>
      <c r="C17" s="61">
        <v>40.741002000000002</v>
      </c>
      <c r="D17" s="61">
        <v>-74.177420999999995</v>
      </c>
      <c r="E17" s="61" t="s">
        <v>265</v>
      </c>
      <c r="F17" s="149">
        <v>43</v>
      </c>
      <c r="G17" s="61" t="s">
        <v>565</v>
      </c>
      <c r="H17" s="61" t="s">
        <v>632</v>
      </c>
      <c r="I17" s="61">
        <v>40.689531000000002</v>
      </c>
      <c r="J17" s="61">
        <v>-74.174462000000005</v>
      </c>
      <c r="K17" s="61">
        <v>7.8777833389999996</v>
      </c>
      <c r="L17" s="61">
        <v>7.5250000000000004</v>
      </c>
      <c r="M17" s="61" t="s">
        <v>617</v>
      </c>
      <c r="N17" s="149">
        <v>42</v>
      </c>
      <c r="O17" s="149">
        <v>43</v>
      </c>
      <c r="P17" s="61" t="s">
        <v>565</v>
      </c>
      <c r="Q17" s="61" t="s">
        <v>555</v>
      </c>
      <c r="R17" s="61">
        <v>40.6895314</v>
      </c>
      <c r="S17" s="61">
        <v>-74.174462399999996</v>
      </c>
      <c r="T17" s="61">
        <v>7.5250000000000004</v>
      </c>
      <c r="U17" s="61" t="s">
        <v>617</v>
      </c>
      <c r="V17" s="61" t="s">
        <v>617</v>
      </c>
      <c r="W17" s="61"/>
      <c r="Y17" s="137">
        <f>Summary_LCIA!H$32</f>
        <v>0.33979999999999999</v>
      </c>
      <c r="Z17" s="137">
        <f>Summary_LCIA!Q$32</f>
        <v>4.9560504329999997</v>
      </c>
      <c r="AA17" s="137">
        <f>Summary_LCIA!R$32</f>
        <v>5.2655999999999996E-3</v>
      </c>
      <c r="AB17" s="137">
        <f>Summary_LCIA!S$32</f>
        <v>0.33538000000000001</v>
      </c>
      <c r="AC17" s="137">
        <f>Summary_LCIA!T$32</f>
        <v>0.1099</v>
      </c>
      <c r="AD17" s="137">
        <f>Summary_LCIA!U$32</f>
        <v>1.7913999999999999E-2</v>
      </c>
      <c r="AE17" s="137">
        <f>Summary_LCIA!V$32</f>
        <v>4.7760999999999999E-5</v>
      </c>
      <c r="AF17" s="137">
        <f>Summary_LCIA!W$32</f>
        <v>7.6970999999999998E-2</v>
      </c>
      <c r="AG17" s="137">
        <f>Summary_LCIA!X$32</f>
        <v>2.2780000000000002E-2</v>
      </c>
      <c r="AH17" s="137">
        <f>Summary_LCIA!Y$32</f>
        <v>1.5582E-2</v>
      </c>
      <c r="AI17" s="137">
        <f>Summary_LCIA!Z$32</f>
        <v>4.1009E-5</v>
      </c>
      <c r="AJ17" s="137">
        <f>Summary_LCIA!AA$32</f>
        <v>2.3355999999999998E-2</v>
      </c>
      <c r="AK17" s="137">
        <f>Summary_LCIA!AB$32</f>
        <v>-2.1823000000000001E-5</v>
      </c>
      <c r="AL17" s="137">
        <f>Summary_LCIA!AC$32</f>
        <v>4.8884000000000003E-8</v>
      </c>
      <c r="AM17" s="137">
        <f>Summary_LCIA!AD$32</f>
        <v>4.1103999999999999E-4</v>
      </c>
      <c r="AN17" s="137">
        <f>Summary_LCIA!AE$32</f>
        <v>8.8612999999999995E-4</v>
      </c>
      <c r="AO17" s="137">
        <f>Summary_LCIA!AF$32</f>
        <v>8.4542000000000005E-4</v>
      </c>
      <c r="AP17" s="137">
        <f>Summary_LCIA!AG$32</f>
        <v>5.1165000000000002E-5</v>
      </c>
      <c r="AQ17" s="137">
        <f>Summary_LCIA!AH$32</f>
        <v>8.7036000000000006E-3</v>
      </c>
      <c r="AR17" s="137">
        <f>Summary_LCIA!AI$32</f>
        <v>9.3154999999999996E-4</v>
      </c>
      <c r="AT17" s="137">
        <f t="shared" si="2"/>
        <v>2.5569950000000001</v>
      </c>
      <c r="AU17" s="137">
        <f t="shared" si="14"/>
        <v>37.294279508324998</v>
      </c>
      <c r="AV17" s="137">
        <f t="shared" si="15"/>
        <v>3.9623640000000002E-2</v>
      </c>
      <c r="AW17" s="137">
        <f t="shared" si="16"/>
        <v>2.5237345000000002</v>
      </c>
      <c r="AX17" s="137">
        <f t="shared" si="17"/>
        <v>0.82699750000000005</v>
      </c>
      <c r="AY17" s="137">
        <f t="shared" si="18"/>
        <v>0.13480285</v>
      </c>
      <c r="AZ17" s="137">
        <f t="shared" si="19"/>
        <v>3.5940152499999999E-4</v>
      </c>
      <c r="BA17" s="137">
        <f t="shared" si="20"/>
        <v>0.57920677500000006</v>
      </c>
      <c r="BB17" s="137">
        <f t="shared" si="21"/>
        <v>0.17141950000000003</v>
      </c>
      <c r="BC17" s="137">
        <f t="shared" si="3"/>
        <v>0.11725455000000001</v>
      </c>
      <c r="BD17" s="137">
        <f t="shared" si="4"/>
        <v>3.0859272500000003E-4</v>
      </c>
      <c r="BE17" s="137">
        <f t="shared" si="5"/>
        <v>0.17575389999999999</v>
      </c>
      <c r="BF17" s="137">
        <f t="shared" si="6"/>
        <v>-1.6421807500000002E-4</v>
      </c>
      <c r="BG17" s="137">
        <f t="shared" si="7"/>
        <v>3.6785210000000005E-7</v>
      </c>
      <c r="BH17" s="137">
        <f t="shared" si="8"/>
        <v>3.0930760000000002E-3</v>
      </c>
      <c r="BI17" s="137">
        <f t="shared" si="9"/>
        <v>6.6681282499999996E-3</v>
      </c>
      <c r="BJ17" s="137">
        <f t="shared" si="10"/>
        <v>6.3617855000000006E-3</v>
      </c>
      <c r="BK17" s="137">
        <f t="shared" si="11"/>
        <v>3.8501662500000001E-4</v>
      </c>
      <c r="BL17" s="137">
        <f t="shared" si="12"/>
        <v>6.5494590000000005E-2</v>
      </c>
      <c r="BM17" s="137">
        <f t="shared" si="13"/>
        <v>7.00991375E-3</v>
      </c>
    </row>
    <row r="18" spans="1:65" x14ac:dyDescent="0.25">
      <c r="A18" s="149">
        <v>322</v>
      </c>
      <c r="B18" s="149">
        <v>29</v>
      </c>
      <c r="C18" s="61">
        <v>47.479692999999997</v>
      </c>
      <c r="D18" s="61">
        <v>-122.207922</v>
      </c>
      <c r="E18" s="61" t="s">
        <v>265</v>
      </c>
      <c r="F18" s="149">
        <v>29</v>
      </c>
      <c r="G18" s="61" t="s">
        <v>565</v>
      </c>
      <c r="H18" s="61" t="s">
        <v>719</v>
      </c>
      <c r="I18" s="61">
        <v>47.450249999999997</v>
      </c>
      <c r="J18" s="61">
        <v>-122.308817</v>
      </c>
      <c r="K18" s="61">
        <v>8.295129287</v>
      </c>
      <c r="L18" s="61">
        <v>11.608000000000001</v>
      </c>
      <c r="M18" s="61" t="s">
        <v>617</v>
      </c>
      <c r="N18" s="149">
        <v>28</v>
      </c>
      <c r="O18" s="149">
        <v>29</v>
      </c>
      <c r="P18" s="61" t="s">
        <v>565</v>
      </c>
      <c r="Q18" s="61" t="s">
        <v>559</v>
      </c>
      <c r="R18" s="61">
        <v>47.450249900000003</v>
      </c>
      <c r="S18" s="61">
        <v>-122.30881650000001</v>
      </c>
      <c r="T18" s="61">
        <v>11.608000000000001</v>
      </c>
      <c r="U18" s="61" t="s">
        <v>617</v>
      </c>
      <c r="V18" s="61" t="s">
        <v>617</v>
      </c>
      <c r="W18" s="61"/>
      <c r="Y18" s="137">
        <f>Summary_LCIA!H$32</f>
        <v>0.33979999999999999</v>
      </c>
      <c r="Z18" s="137">
        <f>Summary_LCIA!Q$32</f>
        <v>4.9560504329999997</v>
      </c>
      <c r="AA18" s="137">
        <f>Summary_LCIA!R$32</f>
        <v>5.2655999999999996E-3</v>
      </c>
      <c r="AB18" s="137">
        <f>Summary_LCIA!S$32</f>
        <v>0.33538000000000001</v>
      </c>
      <c r="AC18" s="137">
        <f>Summary_LCIA!T$32</f>
        <v>0.1099</v>
      </c>
      <c r="AD18" s="137">
        <f>Summary_LCIA!U$32</f>
        <v>1.7913999999999999E-2</v>
      </c>
      <c r="AE18" s="137">
        <f>Summary_LCIA!V$32</f>
        <v>4.7760999999999999E-5</v>
      </c>
      <c r="AF18" s="137">
        <f>Summary_LCIA!W$32</f>
        <v>7.6970999999999998E-2</v>
      </c>
      <c r="AG18" s="137">
        <f>Summary_LCIA!X$32</f>
        <v>2.2780000000000002E-2</v>
      </c>
      <c r="AH18" s="137">
        <f>Summary_LCIA!Y$32</f>
        <v>1.5582E-2</v>
      </c>
      <c r="AI18" s="137">
        <f>Summary_LCIA!Z$32</f>
        <v>4.1009E-5</v>
      </c>
      <c r="AJ18" s="137">
        <f>Summary_LCIA!AA$32</f>
        <v>2.3355999999999998E-2</v>
      </c>
      <c r="AK18" s="137">
        <f>Summary_LCIA!AB$32</f>
        <v>-2.1823000000000001E-5</v>
      </c>
      <c r="AL18" s="137">
        <f>Summary_LCIA!AC$32</f>
        <v>4.8884000000000003E-8</v>
      </c>
      <c r="AM18" s="137">
        <f>Summary_LCIA!AD$32</f>
        <v>4.1103999999999999E-4</v>
      </c>
      <c r="AN18" s="137">
        <f>Summary_LCIA!AE$32</f>
        <v>8.8612999999999995E-4</v>
      </c>
      <c r="AO18" s="137">
        <f>Summary_LCIA!AF$32</f>
        <v>8.4542000000000005E-4</v>
      </c>
      <c r="AP18" s="137">
        <f>Summary_LCIA!AG$32</f>
        <v>5.1165000000000002E-5</v>
      </c>
      <c r="AQ18" s="137">
        <f>Summary_LCIA!AH$32</f>
        <v>8.7036000000000006E-3</v>
      </c>
      <c r="AR18" s="137">
        <f>Summary_LCIA!AI$32</f>
        <v>9.3154999999999996E-4</v>
      </c>
      <c r="AT18" s="137">
        <f t="shared" si="2"/>
        <v>3.9443983999999999</v>
      </c>
      <c r="AU18" s="137">
        <f t="shared" si="14"/>
        <v>57.529833426263998</v>
      </c>
      <c r="AV18" s="137">
        <f t="shared" si="15"/>
        <v>6.1123084799999998E-2</v>
      </c>
      <c r="AW18" s="137">
        <f t="shared" si="16"/>
        <v>3.8930910400000003</v>
      </c>
      <c r="AX18" s="137">
        <f t="shared" si="17"/>
        <v>1.2757191999999999</v>
      </c>
      <c r="AY18" s="137">
        <f t="shared" si="18"/>
        <v>0.207945712</v>
      </c>
      <c r="AZ18" s="137">
        <f t="shared" si="19"/>
        <v>5.5440968800000003E-4</v>
      </c>
      <c r="BA18" s="137">
        <f t="shared" si="20"/>
        <v>0.89347936800000005</v>
      </c>
      <c r="BB18" s="137">
        <f t="shared" si="21"/>
        <v>0.26443024000000004</v>
      </c>
      <c r="BC18" s="137">
        <f t="shared" si="3"/>
        <v>0.180875856</v>
      </c>
      <c r="BD18" s="137">
        <f t="shared" si="4"/>
        <v>4.76032472E-4</v>
      </c>
      <c r="BE18" s="137">
        <f t="shared" si="5"/>
        <v>0.27111644800000001</v>
      </c>
      <c r="BF18" s="137">
        <f t="shared" si="6"/>
        <v>-2.5332138400000002E-4</v>
      </c>
      <c r="BG18" s="137">
        <f t="shared" si="7"/>
        <v>5.6744547200000005E-7</v>
      </c>
      <c r="BH18" s="137">
        <f t="shared" si="8"/>
        <v>4.77135232E-3</v>
      </c>
      <c r="BI18" s="137">
        <f t="shared" si="9"/>
        <v>1.028619704E-2</v>
      </c>
      <c r="BJ18" s="137">
        <f t="shared" si="10"/>
        <v>9.8136353600000014E-3</v>
      </c>
      <c r="BK18" s="137">
        <f t="shared" si="11"/>
        <v>5.9392332000000002E-4</v>
      </c>
      <c r="BL18" s="137">
        <f t="shared" si="12"/>
        <v>0.10103138880000001</v>
      </c>
      <c r="BM18" s="137">
        <f t="shared" si="13"/>
        <v>1.08134324E-2</v>
      </c>
    </row>
    <row r="19" spans="1:65" x14ac:dyDescent="0.25">
      <c r="A19" s="149">
        <v>283</v>
      </c>
      <c r="B19" s="149">
        <v>43</v>
      </c>
      <c r="C19" s="61">
        <v>40.712775999999998</v>
      </c>
      <c r="D19" s="61">
        <v>-74.005954000000003</v>
      </c>
      <c r="E19" s="61" t="s">
        <v>265</v>
      </c>
      <c r="F19" s="149">
        <v>43</v>
      </c>
      <c r="G19" s="61" t="s">
        <v>565</v>
      </c>
      <c r="H19" s="61" t="s">
        <v>632</v>
      </c>
      <c r="I19" s="61">
        <v>40.689531000000002</v>
      </c>
      <c r="J19" s="61">
        <v>-74.174462000000005</v>
      </c>
      <c r="K19" s="61">
        <v>15.29610297</v>
      </c>
      <c r="L19" s="61">
        <v>21.715</v>
      </c>
      <c r="M19" s="61" t="s">
        <v>617</v>
      </c>
      <c r="N19" s="149">
        <v>42</v>
      </c>
      <c r="O19" s="149">
        <v>43</v>
      </c>
      <c r="P19" s="61" t="s">
        <v>565</v>
      </c>
      <c r="Q19" s="61" t="s">
        <v>555</v>
      </c>
      <c r="R19" s="61">
        <v>40.6895314</v>
      </c>
      <c r="S19" s="61">
        <v>-74.174462399999996</v>
      </c>
      <c r="T19" s="61">
        <v>21.715</v>
      </c>
      <c r="U19" s="61" t="s">
        <v>617</v>
      </c>
      <c r="V19" s="61" t="s">
        <v>617</v>
      </c>
      <c r="W19" s="61"/>
      <c r="Y19" s="137">
        <f>Summary_LCIA!H$32</f>
        <v>0.33979999999999999</v>
      </c>
      <c r="Z19" s="137">
        <f>Summary_LCIA!Q$32</f>
        <v>4.9560504329999997</v>
      </c>
      <c r="AA19" s="137">
        <f>Summary_LCIA!R$32</f>
        <v>5.2655999999999996E-3</v>
      </c>
      <c r="AB19" s="137">
        <f>Summary_LCIA!S$32</f>
        <v>0.33538000000000001</v>
      </c>
      <c r="AC19" s="137">
        <f>Summary_LCIA!T$32</f>
        <v>0.1099</v>
      </c>
      <c r="AD19" s="137">
        <f>Summary_LCIA!U$32</f>
        <v>1.7913999999999999E-2</v>
      </c>
      <c r="AE19" s="137">
        <f>Summary_LCIA!V$32</f>
        <v>4.7760999999999999E-5</v>
      </c>
      <c r="AF19" s="137">
        <f>Summary_LCIA!W$32</f>
        <v>7.6970999999999998E-2</v>
      </c>
      <c r="AG19" s="137">
        <f>Summary_LCIA!X$32</f>
        <v>2.2780000000000002E-2</v>
      </c>
      <c r="AH19" s="137">
        <f>Summary_LCIA!Y$32</f>
        <v>1.5582E-2</v>
      </c>
      <c r="AI19" s="137">
        <f>Summary_LCIA!Z$32</f>
        <v>4.1009E-5</v>
      </c>
      <c r="AJ19" s="137">
        <f>Summary_LCIA!AA$32</f>
        <v>2.3355999999999998E-2</v>
      </c>
      <c r="AK19" s="137">
        <f>Summary_LCIA!AB$32</f>
        <v>-2.1823000000000001E-5</v>
      </c>
      <c r="AL19" s="137">
        <f>Summary_LCIA!AC$32</f>
        <v>4.8884000000000003E-8</v>
      </c>
      <c r="AM19" s="137">
        <f>Summary_LCIA!AD$32</f>
        <v>4.1103999999999999E-4</v>
      </c>
      <c r="AN19" s="137">
        <f>Summary_LCIA!AE$32</f>
        <v>8.8612999999999995E-4</v>
      </c>
      <c r="AO19" s="137">
        <f>Summary_LCIA!AF$32</f>
        <v>8.4542000000000005E-4</v>
      </c>
      <c r="AP19" s="137">
        <f>Summary_LCIA!AG$32</f>
        <v>5.1165000000000002E-5</v>
      </c>
      <c r="AQ19" s="137">
        <f>Summary_LCIA!AH$32</f>
        <v>8.7036000000000006E-3</v>
      </c>
      <c r="AR19" s="137">
        <f>Summary_LCIA!AI$32</f>
        <v>9.3154999999999996E-4</v>
      </c>
      <c r="AT19" s="137">
        <f t="shared" si="2"/>
        <v>7.3787569999999993</v>
      </c>
      <c r="AU19" s="137">
        <f t="shared" si="14"/>
        <v>107.620635152595</v>
      </c>
      <c r="AV19" s="137">
        <f t="shared" si="15"/>
        <v>0.114342504</v>
      </c>
      <c r="AW19" s="137">
        <f t="shared" si="16"/>
        <v>7.2827767000000003</v>
      </c>
      <c r="AX19" s="137">
        <f t="shared" si="17"/>
        <v>2.3864784999999999</v>
      </c>
      <c r="AY19" s="137">
        <f t="shared" si="18"/>
        <v>0.38900250999999997</v>
      </c>
      <c r="AZ19" s="137">
        <f t="shared" si="19"/>
        <v>1.037130115E-3</v>
      </c>
      <c r="BA19" s="137">
        <f t="shared" si="20"/>
        <v>1.6714252649999999</v>
      </c>
      <c r="BB19" s="137">
        <f t="shared" si="21"/>
        <v>0.49466770000000004</v>
      </c>
      <c r="BC19" s="137">
        <f t="shared" si="3"/>
        <v>0.33836313000000001</v>
      </c>
      <c r="BD19" s="137">
        <f t="shared" si="4"/>
        <v>8.9051043499999995E-4</v>
      </c>
      <c r="BE19" s="137">
        <f t="shared" si="5"/>
        <v>0.50717553999999998</v>
      </c>
      <c r="BF19" s="137">
        <f t="shared" si="6"/>
        <v>-4.7388644500000003E-4</v>
      </c>
      <c r="BG19" s="137">
        <f t="shared" si="7"/>
        <v>1.0615160600000002E-6</v>
      </c>
      <c r="BH19" s="137">
        <f t="shared" si="8"/>
        <v>8.9257335999999993E-3</v>
      </c>
      <c r="BI19" s="137">
        <f t="shared" si="9"/>
        <v>1.924231295E-2</v>
      </c>
      <c r="BJ19" s="137">
        <f t="shared" si="10"/>
        <v>1.8358295300000001E-2</v>
      </c>
      <c r="BK19" s="137">
        <f t="shared" si="11"/>
        <v>1.111047975E-3</v>
      </c>
      <c r="BL19" s="137">
        <f t="shared" si="12"/>
        <v>0.18899867400000001</v>
      </c>
      <c r="BM19" s="137">
        <f t="shared" si="13"/>
        <v>2.0228608249999998E-2</v>
      </c>
    </row>
    <row r="20" spans="1:65" x14ac:dyDescent="0.25">
      <c r="A20" s="149">
        <v>284</v>
      </c>
      <c r="B20" s="149">
        <v>43</v>
      </c>
      <c r="C20" s="61">
        <v>40.712775999999998</v>
      </c>
      <c r="D20" s="61">
        <v>-74.005954000000003</v>
      </c>
      <c r="E20" s="61" t="s">
        <v>265</v>
      </c>
      <c r="F20" s="149">
        <v>43</v>
      </c>
      <c r="G20" s="61" t="s">
        <v>565</v>
      </c>
      <c r="H20" s="61" t="s">
        <v>632</v>
      </c>
      <c r="I20" s="61">
        <v>40.689531000000002</v>
      </c>
      <c r="J20" s="61">
        <v>-74.174462000000005</v>
      </c>
      <c r="K20" s="61">
        <v>15.29610297</v>
      </c>
      <c r="L20" s="61">
        <v>21.715</v>
      </c>
      <c r="M20" s="61" t="s">
        <v>617</v>
      </c>
      <c r="N20" s="149">
        <v>42</v>
      </c>
      <c r="O20" s="149">
        <v>43</v>
      </c>
      <c r="P20" s="61" t="s">
        <v>565</v>
      </c>
      <c r="Q20" s="61" t="s">
        <v>555</v>
      </c>
      <c r="R20" s="61">
        <v>40.6895314</v>
      </c>
      <c r="S20" s="61">
        <v>-74.174462399999996</v>
      </c>
      <c r="T20" s="61">
        <v>21.715</v>
      </c>
      <c r="U20" s="61" t="s">
        <v>617</v>
      </c>
      <c r="V20" s="61" t="s">
        <v>617</v>
      </c>
      <c r="W20" s="61"/>
      <c r="Y20" s="137">
        <f>Summary_LCIA!H$32</f>
        <v>0.33979999999999999</v>
      </c>
      <c r="Z20" s="137">
        <f>Summary_LCIA!Q$32</f>
        <v>4.9560504329999997</v>
      </c>
      <c r="AA20" s="137">
        <f>Summary_LCIA!R$32</f>
        <v>5.2655999999999996E-3</v>
      </c>
      <c r="AB20" s="137">
        <f>Summary_LCIA!S$32</f>
        <v>0.33538000000000001</v>
      </c>
      <c r="AC20" s="137">
        <f>Summary_LCIA!T$32</f>
        <v>0.1099</v>
      </c>
      <c r="AD20" s="137">
        <f>Summary_LCIA!U$32</f>
        <v>1.7913999999999999E-2</v>
      </c>
      <c r="AE20" s="137">
        <f>Summary_LCIA!V$32</f>
        <v>4.7760999999999999E-5</v>
      </c>
      <c r="AF20" s="137">
        <f>Summary_LCIA!W$32</f>
        <v>7.6970999999999998E-2</v>
      </c>
      <c r="AG20" s="137">
        <f>Summary_LCIA!X$32</f>
        <v>2.2780000000000002E-2</v>
      </c>
      <c r="AH20" s="137">
        <f>Summary_LCIA!Y$32</f>
        <v>1.5582E-2</v>
      </c>
      <c r="AI20" s="137">
        <f>Summary_LCIA!Z$32</f>
        <v>4.1009E-5</v>
      </c>
      <c r="AJ20" s="137">
        <f>Summary_LCIA!AA$32</f>
        <v>2.3355999999999998E-2</v>
      </c>
      <c r="AK20" s="137">
        <f>Summary_LCIA!AB$32</f>
        <v>-2.1823000000000001E-5</v>
      </c>
      <c r="AL20" s="137">
        <f>Summary_LCIA!AC$32</f>
        <v>4.8884000000000003E-8</v>
      </c>
      <c r="AM20" s="137">
        <f>Summary_LCIA!AD$32</f>
        <v>4.1103999999999999E-4</v>
      </c>
      <c r="AN20" s="137">
        <f>Summary_LCIA!AE$32</f>
        <v>8.8612999999999995E-4</v>
      </c>
      <c r="AO20" s="137">
        <f>Summary_LCIA!AF$32</f>
        <v>8.4542000000000005E-4</v>
      </c>
      <c r="AP20" s="137">
        <f>Summary_LCIA!AG$32</f>
        <v>5.1165000000000002E-5</v>
      </c>
      <c r="AQ20" s="137">
        <f>Summary_LCIA!AH$32</f>
        <v>8.7036000000000006E-3</v>
      </c>
      <c r="AR20" s="137">
        <f>Summary_LCIA!AI$32</f>
        <v>9.3154999999999996E-4</v>
      </c>
      <c r="AT20" s="137">
        <f t="shared" si="2"/>
        <v>7.3787569999999993</v>
      </c>
      <c r="AU20" s="137">
        <f t="shared" si="14"/>
        <v>107.620635152595</v>
      </c>
      <c r="AV20" s="137">
        <f t="shared" si="15"/>
        <v>0.114342504</v>
      </c>
      <c r="AW20" s="137">
        <f t="shared" si="16"/>
        <v>7.2827767000000003</v>
      </c>
      <c r="AX20" s="137">
        <f t="shared" si="17"/>
        <v>2.3864784999999999</v>
      </c>
      <c r="AY20" s="137">
        <f t="shared" si="18"/>
        <v>0.38900250999999997</v>
      </c>
      <c r="AZ20" s="137">
        <f t="shared" si="19"/>
        <v>1.037130115E-3</v>
      </c>
      <c r="BA20" s="137">
        <f t="shared" si="20"/>
        <v>1.6714252649999999</v>
      </c>
      <c r="BB20" s="137">
        <f t="shared" si="21"/>
        <v>0.49466770000000004</v>
      </c>
      <c r="BC20" s="137">
        <f t="shared" si="3"/>
        <v>0.33836313000000001</v>
      </c>
      <c r="BD20" s="137">
        <f t="shared" si="4"/>
        <v>8.9051043499999995E-4</v>
      </c>
      <c r="BE20" s="137">
        <f t="shared" si="5"/>
        <v>0.50717553999999998</v>
      </c>
      <c r="BF20" s="137">
        <f t="shared" si="6"/>
        <v>-4.7388644500000003E-4</v>
      </c>
      <c r="BG20" s="137">
        <f t="shared" si="7"/>
        <v>1.0615160600000002E-6</v>
      </c>
      <c r="BH20" s="137">
        <f t="shared" si="8"/>
        <v>8.9257335999999993E-3</v>
      </c>
      <c r="BI20" s="137">
        <f t="shared" si="9"/>
        <v>1.924231295E-2</v>
      </c>
      <c r="BJ20" s="137">
        <f t="shared" si="10"/>
        <v>1.8358295300000001E-2</v>
      </c>
      <c r="BK20" s="137">
        <f t="shared" si="11"/>
        <v>1.111047975E-3</v>
      </c>
      <c r="BL20" s="137">
        <f t="shared" si="12"/>
        <v>0.18899867400000001</v>
      </c>
      <c r="BM20" s="137">
        <f t="shared" si="13"/>
        <v>2.0228608249999998E-2</v>
      </c>
    </row>
    <row r="21" spans="1:65" x14ac:dyDescent="0.25">
      <c r="A21" s="149">
        <v>285</v>
      </c>
      <c r="B21" s="149">
        <v>43</v>
      </c>
      <c r="C21" s="61">
        <v>40.712775000000001</v>
      </c>
      <c r="D21" s="61">
        <v>-74.005972999999997</v>
      </c>
      <c r="E21" s="61" t="s">
        <v>265</v>
      </c>
      <c r="F21" s="149">
        <v>43</v>
      </c>
      <c r="G21" s="61" t="s">
        <v>565</v>
      </c>
      <c r="H21" s="61" t="s">
        <v>632</v>
      </c>
      <c r="I21" s="61">
        <v>40.689531000000002</v>
      </c>
      <c r="J21" s="61">
        <v>-74.174462000000005</v>
      </c>
      <c r="K21" s="61">
        <v>15.294524689999999</v>
      </c>
      <c r="L21" s="61">
        <v>21.716000000000001</v>
      </c>
      <c r="M21" s="61" t="s">
        <v>617</v>
      </c>
      <c r="N21" s="149">
        <v>42</v>
      </c>
      <c r="O21" s="149">
        <v>43</v>
      </c>
      <c r="P21" s="61" t="s">
        <v>565</v>
      </c>
      <c r="Q21" s="61" t="s">
        <v>555</v>
      </c>
      <c r="R21" s="61">
        <v>40.6895314</v>
      </c>
      <c r="S21" s="61">
        <v>-74.174462399999996</v>
      </c>
      <c r="T21" s="61">
        <v>21.716999999999999</v>
      </c>
      <c r="U21" s="61" t="s">
        <v>617</v>
      </c>
      <c r="V21" s="61" t="s">
        <v>617</v>
      </c>
      <c r="W21" s="61"/>
      <c r="Y21" s="137">
        <f>Summary_LCIA!H$32</f>
        <v>0.33979999999999999</v>
      </c>
      <c r="Z21" s="137">
        <f>Summary_LCIA!Q$32</f>
        <v>4.9560504329999997</v>
      </c>
      <c r="AA21" s="137">
        <f>Summary_LCIA!R$32</f>
        <v>5.2655999999999996E-3</v>
      </c>
      <c r="AB21" s="137">
        <f>Summary_LCIA!S$32</f>
        <v>0.33538000000000001</v>
      </c>
      <c r="AC21" s="137">
        <f>Summary_LCIA!T$32</f>
        <v>0.1099</v>
      </c>
      <c r="AD21" s="137">
        <f>Summary_LCIA!U$32</f>
        <v>1.7913999999999999E-2</v>
      </c>
      <c r="AE21" s="137">
        <f>Summary_LCIA!V$32</f>
        <v>4.7760999999999999E-5</v>
      </c>
      <c r="AF21" s="137">
        <f>Summary_LCIA!W$32</f>
        <v>7.6970999999999998E-2</v>
      </c>
      <c r="AG21" s="137">
        <f>Summary_LCIA!X$32</f>
        <v>2.2780000000000002E-2</v>
      </c>
      <c r="AH21" s="137">
        <f>Summary_LCIA!Y$32</f>
        <v>1.5582E-2</v>
      </c>
      <c r="AI21" s="137">
        <f>Summary_LCIA!Z$32</f>
        <v>4.1009E-5</v>
      </c>
      <c r="AJ21" s="137">
        <f>Summary_LCIA!AA$32</f>
        <v>2.3355999999999998E-2</v>
      </c>
      <c r="AK21" s="137">
        <f>Summary_LCIA!AB$32</f>
        <v>-2.1823000000000001E-5</v>
      </c>
      <c r="AL21" s="137">
        <f>Summary_LCIA!AC$32</f>
        <v>4.8884000000000003E-8</v>
      </c>
      <c r="AM21" s="137">
        <f>Summary_LCIA!AD$32</f>
        <v>4.1103999999999999E-4</v>
      </c>
      <c r="AN21" s="137">
        <f>Summary_LCIA!AE$32</f>
        <v>8.8612999999999995E-4</v>
      </c>
      <c r="AO21" s="137">
        <f>Summary_LCIA!AF$32</f>
        <v>8.4542000000000005E-4</v>
      </c>
      <c r="AP21" s="137">
        <f>Summary_LCIA!AG$32</f>
        <v>5.1165000000000002E-5</v>
      </c>
      <c r="AQ21" s="137">
        <f>Summary_LCIA!AH$32</f>
        <v>8.7036000000000006E-3</v>
      </c>
      <c r="AR21" s="137">
        <f>Summary_LCIA!AI$32</f>
        <v>9.3154999999999996E-4</v>
      </c>
      <c r="AT21" s="137">
        <f t="shared" si="2"/>
        <v>7.3794365999999991</v>
      </c>
      <c r="AU21" s="137">
        <f t="shared" si="14"/>
        <v>107.63054725346099</v>
      </c>
      <c r="AV21" s="137">
        <f t="shared" si="15"/>
        <v>0.11435303519999998</v>
      </c>
      <c r="AW21" s="137">
        <f t="shared" si="16"/>
        <v>7.2834474599999997</v>
      </c>
      <c r="AX21" s="137">
        <f t="shared" si="17"/>
        <v>2.3866982999999999</v>
      </c>
      <c r="AY21" s="137">
        <f t="shared" si="18"/>
        <v>0.38903833799999998</v>
      </c>
      <c r="AZ21" s="137">
        <f t="shared" si="19"/>
        <v>1.037225637E-3</v>
      </c>
      <c r="BA21" s="137">
        <f t="shared" si="20"/>
        <v>1.671579207</v>
      </c>
      <c r="BB21" s="137">
        <f t="shared" si="21"/>
        <v>0.49471325999999999</v>
      </c>
      <c r="BC21" s="137">
        <f t="shared" si="3"/>
        <v>0.33839429399999998</v>
      </c>
      <c r="BD21" s="137">
        <f t="shared" si="4"/>
        <v>8.9059245299999998E-4</v>
      </c>
      <c r="BE21" s="137">
        <f t="shared" si="5"/>
        <v>0.50722225199999993</v>
      </c>
      <c r="BF21" s="137">
        <f t="shared" si="6"/>
        <v>-4.7393009099999997E-4</v>
      </c>
      <c r="BG21" s="137">
        <f t="shared" si="7"/>
        <v>1.0616138279999999E-6</v>
      </c>
      <c r="BH21" s="137">
        <f t="shared" si="8"/>
        <v>8.92655568E-3</v>
      </c>
      <c r="BI21" s="137">
        <f t="shared" si="9"/>
        <v>1.9244085209999998E-2</v>
      </c>
      <c r="BJ21" s="137">
        <f t="shared" si="10"/>
        <v>1.8359986139999999E-2</v>
      </c>
      <c r="BK21" s="137">
        <f t="shared" si="11"/>
        <v>1.1111503050000001E-3</v>
      </c>
      <c r="BL21" s="137">
        <f t="shared" si="12"/>
        <v>0.18901608119999999</v>
      </c>
      <c r="BM21" s="137">
        <f t="shared" si="13"/>
        <v>2.0230471349999998E-2</v>
      </c>
    </row>
    <row r="22" spans="1:65" x14ac:dyDescent="0.25">
      <c r="A22" s="149">
        <v>336</v>
      </c>
      <c r="B22" s="149">
        <v>29</v>
      </c>
      <c r="C22" s="61">
        <v>47.606209</v>
      </c>
      <c r="D22" s="61">
        <v>-122.332071</v>
      </c>
      <c r="E22" s="61" t="s">
        <v>265</v>
      </c>
      <c r="F22" s="149">
        <v>29</v>
      </c>
      <c r="G22" s="61" t="s">
        <v>565</v>
      </c>
      <c r="H22" s="61" t="s">
        <v>719</v>
      </c>
      <c r="I22" s="61">
        <v>47.450249999999997</v>
      </c>
      <c r="J22" s="61">
        <v>-122.308817</v>
      </c>
      <c r="K22" s="61">
        <v>34.697320689999998</v>
      </c>
      <c r="L22" s="61">
        <v>22.074999999999999</v>
      </c>
      <c r="M22" s="61" t="s">
        <v>617</v>
      </c>
      <c r="N22" s="149">
        <v>28</v>
      </c>
      <c r="O22" s="149">
        <v>29</v>
      </c>
      <c r="P22" s="61" t="s">
        <v>565</v>
      </c>
      <c r="Q22" s="61" t="s">
        <v>559</v>
      </c>
      <c r="R22" s="61">
        <v>47.450249900000003</v>
      </c>
      <c r="S22" s="61">
        <v>-122.30881650000001</v>
      </c>
      <c r="T22" s="61">
        <v>22.074999999999999</v>
      </c>
      <c r="U22" s="61" t="s">
        <v>617</v>
      </c>
      <c r="V22" s="61" t="s">
        <v>617</v>
      </c>
      <c r="W22" s="61"/>
      <c r="Y22" s="137">
        <f>Summary_LCIA!H$32</f>
        <v>0.33979999999999999</v>
      </c>
      <c r="Z22" s="137">
        <f>Summary_LCIA!Q$32</f>
        <v>4.9560504329999997</v>
      </c>
      <c r="AA22" s="137">
        <f>Summary_LCIA!R$32</f>
        <v>5.2655999999999996E-3</v>
      </c>
      <c r="AB22" s="137">
        <f>Summary_LCIA!S$32</f>
        <v>0.33538000000000001</v>
      </c>
      <c r="AC22" s="137">
        <f>Summary_LCIA!T$32</f>
        <v>0.1099</v>
      </c>
      <c r="AD22" s="137">
        <f>Summary_LCIA!U$32</f>
        <v>1.7913999999999999E-2</v>
      </c>
      <c r="AE22" s="137">
        <f>Summary_LCIA!V$32</f>
        <v>4.7760999999999999E-5</v>
      </c>
      <c r="AF22" s="137">
        <f>Summary_LCIA!W$32</f>
        <v>7.6970999999999998E-2</v>
      </c>
      <c r="AG22" s="137">
        <f>Summary_LCIA!X$32</f>
        <v>2.2780000000000002E-2</v>
      </c>
      <c r="AH22" s="137">
        <f>Summary_LCIA!Y$32</f>
        <v>1.5582E-2</v>
      </c>
      <c r="AI22" s="137">
        <f>Summary_LCIA!Z$32</f>
        <v>4.1009E-5</v>
      </c>
      <c r="AJ22" s="137">
        <f>Summary_LCIA!AA$32</f>
        <v>2.3355999999999998E-2</v>
      </c>
      <c r="AK22" s="137">
        <f>Summary_LCIA!AB$32</f>
        <v>-2.1823000000000001E-5</v>
      </c>
      <c r="AL22" s="137">
        <f>Summary_LCIA!AC$32</f>
        <v>4.8884000000000003E-8</v>
      </c>
      <c r="AM22" s="137">
        <f>Summary_LCIA!AD$32</f>
        <v>4.1103999999999999E-4</v>
      </c>
      <c r="AN22" s="137">
        <f>Summary_LCIA!AE$32</f>
        <v>8.8612999999999995E-4</v>
      </c>
      <c r="AO22" s="137">
        <f>Summary_LCIA!AF$32</f>
        <v>8.4542000000000005E-4</v>
      </c>
      <c r="AP22" s="137">
        <f>Summary_LCIA!AG$32</f>
        <v>5.1165000000000002E-5</v>
      </c>
      <c r="AQ22" s="137">
        <f>Summary_LCIA!AH$32</f>
        <v>8.7036000000000006E-3</v>
      </c>
      <c r="AR22" s="137">
        <f>Summary_LCIA!AI$32</f>
        <v>9.3154999999999996E-4</v>
      </c>
      <c r="AT22" s="137">
        <f t="shared" si="2"/>
        <v>7.5010849999999998</v>
      </c>
      <c r="AU22" s="137">
        <f t="shared" si="14"/>
        <v>109.40481330847498</v>
      </c>
      <c r="AV22" s="137">
        <f t="shared" si="15"/>
        <v>0.11623811999999999</v>
      </c>
      <c r="AW22" s="137">
        <f t="shared" si="16"/>
        <v>7.4035134999999999</v>
      </c>
      <c r="AX22" s="137">
        <f t="shared" si="17"/>
        <v>2.4260424999999999</v>
      </c>
      <c r="AY22" s="137">
        <f t="shared" si="18"/>
        <v>0.39545154999999999</v>
      </c>
      <c r="AZ22" s="137">
        <f t="shared" si="19"/>
        <v>1.0543240749999998E-3</v>
      </c>
      <c r="BA22" s="137">
        <f t="shared" si="20"/>
        <v>1.6991348249999998</v>
      </c>
      <c r="BB22" s="137">
        <f t="shared" si="21"/>
        <v>0.50286850000000005</v>
      </c>
      <c r="BC22" s="137">
        <f t="shared" si="3"/>
        <v>0.34397264999999999</v>
      </c>
      <c r="BD22" s="137">
        <f t="shared" si="4"/>
        <v>9.0527367499999996E-4</v>
      </c>
      <c r="BE22" s="137">
        <f t="shared" si="5"/>
        <v>0.51558369999999998</v>
      </c>
      <c r="BF22" s="137">
        <f t="shared" si="6"/>
        <v>-4.8174272499999999E-4</v>
      </c>
      <c r="BG22" s="137">
        <f t="shared" si="7"/>
        <v>1.0791143E-6</v>
      </c>
      <c r="BH22" s="137">
        <f t="shared" si="8"/>
        <v>9.0737079999999998E-3</v>
      </c>
      <c r="BI22" s="137">
        <f t="shared" si="9"/>
        <v>1.9561319749999997E-2</v>
      </c>
      <c r="BJ22" s="137">
        <f t="shared" si="10"/>
        <v>1.8662646500000001E-2</v>
      </c>
      <c r="BK22" s="137">
        <f t="shared" si="11"/>
        <v>1.1294673750000001E-3</v>
      </c>
      <c r="BL22" s="137">
        <f t="shared" si="12"/>
        <v>0.19213197000000001</v>
      </c>
      <c r="BM22" s="137">
        <f t="shared" si="13"/>
        <v>2.0563966249999999E-2</v>
      </c>
    </row>
    <row r="23" spans="1:65" x14ac:dyDescent="0.25">
      <c r="A23" s="149">
        <v>340</v>
      </c>
      <c r="B23" s="149">
        <v>29</v>
      </c>
      <c r="C23" s="61">
        <v>47.606209</v>
      </c>
      <c r="D23" s="61">
        <v>-122.332071</v>
      </c>
      <c r="E23" s="61" t="s">
        <v>265</v>
      </c>
      <c r="F23" s="149">
        <v>29</v>
      </c>
      <c r="G23" s="61" t="s">
        <v>565</v>
      </c>
      <c r="H23" s="61" t="s">
        <v>719</v>
      </c>
      <c r="I23" s="61">
        <v>47.450249999999997</v>
      </c>
      <c r="J23" s="61">
        <v>-122.308817</v>
      </c>
      <c r="K23" s="61">
        <v>34.697320689999998</v>
      </c>
      <c r="L23" s="61">
        <v>22.074999999999999</v>
      </c>
      <c r="M23" s="61" t="s">
        <v>617</v>
      </c>
      <c r="N23" s="149">
        <v>28</v>
      </c>
      <c r="O23" s="149">
        <v>29</v>
      </c>
      <c r="P23" s="61" t="s">
        <v>565</v>
      </c>
      <c r="Q23" s="61" t="s">
        <v>559</v>
      </c>
      <c r="R23" s="61">
        <v>47.450249900000003</v>
      </c>
      <c r="S23" s="61">
        <v>-122.30881650000001</v>
      </c>
      <c r="T23" s="61">
        <v>22.074999999999999</v>
      </c>
      <c r="U23" s="61" t="s">
        <v>617</v>
      </c>
      <c r="V23" s="61" t="s">
        <v>617</v>
      </c>
      <c r="W23" s="61"/>
      <c r="Y23" s="137">
        <f>Summary_LCIA!H$32</f>
        <v>0.33979999999999999</v>
      </c>
      <c r="Z23" s="137">
        <f>Summary_LCIA!Q$32</f>
        <v>4.9560504329999997</v>
      </c>
      <c r="AA23" s="137">
        <f>Summary_LCIA!R$32</f>
        <v>5.2655999999999996E-3</v>
      </c>
      <c r="AB23" s="137">
        <f>Summary_LCIA!S$32</f>
        <v>0.33538000000000001</v>
      </c>
      <c r="AC23" s="137">
        <f>Summary_LCIA!T$32</f>
        <v>0.1099</v>
      </c>
      <c r="AD23" s="137">
        <f>Summary_LCIA!U$32</f>
        <v>1.7913999999999999E-2</v>
      </c>
      <c r="AE23" s="137">
        <f>Summary_LCIA!V$32</f>
        <v>4.7760999999999999E-5</v>
      </c>
      <c r="AF23" s="137">
        <f>Summary_LCIA!W$32</f>
        <v>7.6970999999999998E-2</v>
      </c>
      <c r="AG23" s="137">
        <f>Summary_LCIA!X$32</f>
        <v>2.2780000000000002E-2</v>
      </c>
      <c r="AH23" s="137">
        <f>Summary_LCIA!Y$32</f>
        <v>1.5582E-2</v>
      </c>
      <c r="AI23" s="137">
        <f>Summary_LCIA!Z$32</f>
        <v>4.1009E-5</v>
      </c>
      <c r="AJ23" s="137">
        <f>Summary_LCIA!AA$32</f>
        <v>2.3355999999999998E-2</v>
      </c>
      <c r="AK23" s="137">
        <f>Summary_LCIA!AB$32</f>
        <v>-2.1823000000000001E-5</v>
      </c>
      <c r="AL23" s="137">
        <f>Summary_LCIA!AC$32</f>
        <v>4.8884000000000003E-8</v>
      </c>
      <c r="AM23" s="137">
        <f>Summary_LCIA!AD$32</f>
        <v>4.1103999999999999E-4</v>
      </c>
      <c r="AN23" s="137">
        <f>Summary_LCIA!AE$32</f>
        <v>8.8612999999999995E-4</v>
      </c>
      <c r="AO23" s="137">
        <f>Summary_LCIA!AF$32</f>
        <v>8.4542000000000005E-4</v>
      </c>
      <c r="AP23" s="137">
        <f>Summary_LCIA!AG$32</f>
        <v>5.1165000000000002E-5</v>
      </c>
      <c r="AQ23" s="137">
        <f>Summary_LCIA!AH$32</f>
        <v>8.7036000000000006E-3</v>
      </c>
      <c r="AR23" s="137">
        <f>Summary_LCIA!AI$32</f>
        <v>9.3154999999999996E-4</v>
      </c>
      <c r="AT23" s="137">
        <f t="shared" si="2"/>
        <v>7.5010849999999998</v>
      </c>
      <c r="AU23" s="137">
        <f t="shared" si="14"/>
        <v>109.40481330847498</v>
      </c>
      <c r="AV23" s="137">
        <f t="shared" si="15"/>
        <v>0.11623811999999999</v>
      </c>
      <c r="AW23" s="137">
        <f t="shared" si="16"/>
        <v>7.4035134999999999</v>
      </c>
      <c r="AX23" s="137">
        <f t="shared" si="17"/>
        <v>2.4260424999999999</v>
      </c>
      <c r="AY23" s="137">
        <f t="shared" si="18"/>
        <v>0.39545154999999999</v>
      </c>
      <c r="AZ23" s="137">
        <f t="shared" si="19"/>
        <v>1.0543240749999998E-3</v>
      </c>
      <c r="BA23" s="137">
        <f t="shared" si="20"/>
        <v>1.6991348249999998</v>
      </c>
      <c r="BB23" s="137">
        <f t="shared" si="21"/>
        <v>0.50286850000000005</v>
      </c>
      <c r="BC23" s="137">
        <f t="shared" si="3"/>
        <v>0.34397264999999999</v>
      </c>
      <c r="BD23" s="137">
        <f t="shared" si="4"/>
        <v>9.0527367499999996E-4</v>
      </c>
      <c r="BE23" s="137">
        <f t="shared" si="5"/>
        <v>0.51558369999999998</v>
      </c>
      <c r="BF23" s="137">
        <f t="shared" si="6"/>
        <v>-4.8174272499999999E-4</v>
      </c>
      <c r="BG23" s="137">
        <f t="shared" si="7"/>
        <v>1.0791143E-6</v>
      </c>
      <c r="BH23" s="137">
        <f t="shared" si="8"/>
        <v>9.0737079999999998E-3</v>
      </c>
      <c r="BI23" s="137">
        <f t="shared" si="9"/>
        <v>1.9561319749999997E-2</v>
      </c>
      <c r="BJ23" s="137">
        <f t="shared" si="10"/>
        <v>1.8662646500000001E-2</v>
      </c>
      <c r="BK23" s="137">
        <f t="shared" si="11"/>
        <v>1.1294673750000001E-3</v>
      </c>
      <c r="BL23" s="137">
        <f t="shared" si="12"/>
        <v>0.19213197000000001</v>
      </c>
      <c r="BM23" s="137">
        <f t="shared" si="13"/>
        <v>2.0563966249999999E-2</v>
      </c>
    </row>
    <row r="24" spans="1:65" x14ac:dyDescent="0.25">
      <c r="A24" s="149">
        <v>341</v>
      </c>
      <c r="B24" s="149">
        <v>29</v>
      </c>
      <c r="C24" s="61">
        <v>47.606209</v>
      </c>
      <c r="D24" s="61">
        <v>-122.332071</v>
      </c>
      <c r="E24" s="61" t="s">
        <v>265</v>
      </c>
      <c r="F24" s="149">
        <v>29</v>
      </c>
      <c r="G24" s="61" t="s">
        <v>565</v>
      </c>
      <c r="H24" s="61" t="s">
        <v>719</v>
      </c>
      <c r="I24" s="61">
        <v>47.450249999999997</v>
      </c>
      <c r="J24" s="61">
        <v>-122.308817</v>
      </c>
      <c r="K24" s="61">
        <v>34.697320689999998</v>
      </c>
      <c r="L24" s="61">
        <v>22.074999999999999</v>
      </c>
      <c r="M24" s="61" t="s">
        <v>617</v>
      </c>
      <c r="N24" s="149">
        <v>28</v>
      </c>
      <c r="O24" s="149">
        <v>29</v>
      </c>
      <c r="P24" s="61" t="s">
        <v>565</v>
      </c>
      <c r="Q24" s="61" t="s">
        <v>559</v>
      </c>
      <c r="R24" s="61">
        <v>47.450249900000003</v>
      </c>
      <c r="S24" s="61">
        <v>-122.30881650000001</v>
      </c>
      <c r="T24" s="61">
        <v>22.074999999999999</v>
      </c>
      <c r="U24" s="61" t="s">
        <v>617</v>
      </c>
      <c r="V24" s="61" t="s">
        <v>617</v>
      </c>
      <c r="W24" s="61"/>
      <c r="Y24" s="137">
        <f>Summary_LCIA!H$32</f>
        <v>0.33979999999999999</v>
      </c>
      <c r="Z24" s="137">
        <f>Summary_LCIA!Q$32</f>
        <v>4.9560504329999997</v>
      </c>
      <c r="AA24" s="137">
        <f>Summary_LCIA!R$32</f>
        <v>5.2655999999999996E-3</v>
      </c>
      <c r="AB24" s="137">
        <f>Summary_LCIA!S$32</f>
        <v>0.33538000000000001</v>
      </c>
      <c r="AC24" s="137">
        <f>Summary_LCIA!T$32</f>
        <v>0.1099</v>
      </c>
      <c r="AD24" s="137">
        <f>Summary_LCIA!U$32</f>
        <v>1.7913999999999999E-2</v>
      </c>
      <c r="AE24" s="137">
        <f>Summary_LCIA!V$32</f>
        <v>4.7760999999999999E-5</v>
      </c>
      <c r="AF24" s="137">
        <f>Summary_LCIA!W$32</f>
        <v>7.6970999999999998E-2</v>
      </c>
      <c r="AG24" s="137">
        <f>Summary_LCIA!X$32</f>
        <v>2.2780000000000002E-2</v>
      </c>
      <c r="AH24" s="137">
        <f>Summary_LCIA!Y$32</f>
        <v>1.5582E-2</v>
      </c>
      <c r="AI24" s="137">
        <f>Summary_LCIA!Z$32</f>
        <v>4.1009E-5</v>
      </c>
      <c r="AJ24" s="137">
        <f>Summary_LCIA!AA$32</f>
        <v>2.3355999999999998E-2</v>
      </c>
      <c r="AK24" s="137">
        <f>Summary_LCIA!AB$32</f>
        <v>-2.1823000000000001E-5</v>
      </c>
      <c r="AL24" s="137">
        <f>Summary_LCIA!AC$32</f>
        <v>4.8884000000000003E-8</v>
      </c>
      <c r="AM24" s="137">
        <f>Summary_LCIA!AD$32</f>
        <v>4.1103999999999999E-4</v>
      </c>
      <c r="AN24" s="137">
        <f>Summary_LCIA!AE$32</f>
        <v>8.8612999999999995E-4</v>
      </c>
      <c r="AO24" s="137">
        <f>Summary_LCIA!AF$32</f>
        <v>8.4542000000000005E-4</v>
      </c>
      <c r="AP24" s="137">
        <f>Summary_LCIA!AG$32</f>
        <v>5.1165000000000002E-5</v>
      </c>
      <c r="AQ24" s="137">
        <f>Summary_LCIA!AH$32</f>
        <v>8.7036000000000006E-3</v>
      </c>
      <c r="AR24" s="137">
        <f>Summary_LCIA!AI$32</f>
        <v>9.3154999999999996E-4</v>
      </c>
      <c r="AT24" s="137">
        <f t="shared" si="2"/>
        <v>7.5010849999999998</v>
      </c>
      <c r="AU24" s="137">
        <f t="shared" si="14"/>
        <v>109.40481330847498</v>
      </c>
      <c r="AV24" s="137">
        <f t="shared" si="15"/>
        <v>0.11623811999999999</v>
      </c>
      <c r="AW24" s="137">
        <f t="shared" si="16"/>
        <v>7.4035134999999999</v>
      </c>
      <c r="AX24" s="137">
        <f t="shared" si="17"/>
        <v>2.4260424999999999</v>
      </c>
      <c r="AY24" s="137">
        <f t="shared" si="18"/>
        <v>0.39545154999999999</v>
      </c>
      <c r="AZ24" s="137">
        <f t="shared" si="19"/>
        <v>1.0543240749999998E-3</v>
      </c>
      <c r="BA24" s="137">
        <f t="shared" si="20"/>
        <v>1.6991348249999998</v>
      </c>
      <c r="BB24" s="137">
        <f t="shared" si="21"/>
        <v>0.50286850000000005</v>
      </c>
      <c r="BC24" s="137">
        <f t="shared" si="3"/>
        <v>0.34397264999999999</v>
      </c>
      <c r="BD24" s="137">
        <f t="shared" si="4"/>
        <v>9.0527367499999996E-4</v>
      </c>
      <c r="BE24" s="137">
        <f t="shared" si="5"/>
        <v>0.51558369999999998</v>
      </c>
      <c r="BF24" s="137">
        <f t="shared" si="6"/>
        <v>-4.8174272499999999E-4</v>
      </c>
      <c r="BG24" s="137">
        <f t="shared" si="7"/>
        <v>1.0791143E-6</v>
      </c>
      <c r="BH24" s="137">
        <f t="shared" si="8"/>
        <v>9.0737079999999998E-3</v>
      </c>
      <c r="BI24" s="137">
        <f t="shared" si="9"/>
        <v>1.9561319749999997E-2</v>
      </c>
      <c r="BJ24" s="137">
        <f t="shared" si="10"/>
        <v>1.8662646500000001E-2</v>
      </c>
      <c r="BK24" s="137">
        <f t="shared" si="11"/>
        <v>1.1294673750000001E-3</v>
      </c>
      <c r="BL24" s="137">
        <f t="shared" si="12"/>
        <v>0.19213197000000001</v>
      </c>
      <c r="BM24" s="137">
        <f t="shared" si="13"/>
        <v>2.0563966249999999E-2</v>
      </c>
    </row>
    <row r="25" spans="1:65" x14ac:dyDescent="0.25">
      <c r="A25" s="149">
        <v>342</v>
      </c>
      <c r="B25" s="149">
        <v>29</v>
      </c>
      <c r="C25" s="61">
        <v>47.606209</v>
      </c>
      <c r="D25" s="61">
        <v>-122.332071</v>
      </c>
      <c r="E25" s="61" t="s">
        <v>265</v>
      </c>
      <c r="F25" s="149">
        <v>29</v>
      </c>
      <c r="G25" s="61" t="s">
        <v>565</v>
      </c>
      <c r="H25" s="61" t="s">
        <v>719</v>
      </c>
      <c r="I25" s="61">
        <v>47.450249999999997</v>
      </c>
      <c r="J25" s="61">
        <v>-122.308817</v>
      </c>
      <c r="K25" s="61">
        <v>34.697320689999998</v>
      </c>
      <c r="L25" s="61">
        <v>22.074999999999999</v>
      </c>
      <c r="M25" s="61" t="s">
        <v>617</v>
      </c>
      <c r="N25" s="149">
        <v>28</v>
      </c>
      <c r="O25" s="149">
        <v>29</v>
      </c>
      <c r="P25" s="61" t="s">
        <v>565</v>
      </c>
      <c r="Q25" s="61" t="s">
        <v>559</v>
      </c>
      <c r="R25" s="61">
        <v>47.450249900000003</v>
      </c>
      <c r="S25" s="61">
        <v>-122.30881650000001</v>
      </c>
      <c r="T25" s="61">
        <v>22.074999999999999</v>
      </c>
      <c r="U25" s="61" t="s">
        <v>617</v>
      </c>
      <c r="V25" s="61" t="s">
        <v>617</v>
      </c>
      <c r="W25" s="61"/>
      <c r="Y25" s="137">
        <f>Summary_LCIA!H$32</f>
        <v>0.33979999999999999</v>
      </c>
      <c r="Z25" s="137">
        <f>Summary_LCIA!Q$32</f>
        <v>4.9560504329999997</v>
      </c>
      <c r="AA25" s="137">
        <f>Summary_LCIA!R$32</f>
        <v>5.2655999999999996E-3</v>
      </c>
      <c r="AB25" s="137">
        <f>Summary_LCIA!S$32</f>
        <v>0.33538000000000001</v>
      </c>
      <c r="AC25" s="137">
        <f>Summary_LCIA!T$32</f>
        <v>0.1099</v>
      </c>
      <c r="AD25" s="137">
        <f>Summary_LCIA!U$32</f>
        <v>1.7913999999999999E-2</v>
      </c>
      <c r="AE25" s="137">
        <f>Summary_LCIA!V$32</f>
        <v>4.7760999999999999E-5</v>
      </c>
      <c r="AF25" s="137">
        <f>Summary_LCIA!W$32</f>
        <v>7.6970999999999998E-2</v>
      </c>
      <c r="AG25" s="137">
        <f>Summary_LCIA!X$32</f>
        <v>2.2780000000000002E-2</v>
      </c>
      <c r="AH25" s="137">
        <f>Summary_LCIA!Y$32</f>
        <v>1.5582E-2</v>
      </c>
      <c r="AI25" s="137">
        <f>Summary_LCIA!Z$32</f>
        <v>4.1009E-5</v>
      </c>
      <c r="AJ25" s="137">
        <f>Summary_LCIA!AA$32</f>
        <v>2.3355999999999998E-2</v>
      </c>
      <c r="AK25" s="137">
        <f>Summary_LCIA!AB$32</f>
        <v>-2.1823000000000001E-5</v>
      </c>
      <c r="AL25" s="137">
        <f>Summary_LCIA!AC$32</f>
        <v>4.8884000000000003E-8</v>
      </c>
      <c r="AM25" s="137">
        <f>Summary_LCIA!AD$32</f>
        <v>4.1103999999999999E-4</v>
      </c>
      <c r="AN25" s="137">
        <f>Summary_LCIA!AE$32</f>
        <v>8.8612999999999995E-4</v>
      </c>
      <c r="AO25" s="137">
        <f>Summary_LCIA!AF$32</f>
        <v>8.4542000000000005E-4</v>
      </c>
      <c r="AP25" s="137">
        <f>Summary_LCIA!AG$32</f>
        <v>5.1165000000000002E-5</v>
      </c>
      <c r="AQ25" s="137">
        <f>Summary_LCIA!AH$32</f>
        <v>8.7036000000000006E-3</v>
      </c>
      <c r="AR25" s="137">
        <f>Summary_LCIA!AI$32</f>
        <v>9.3154999999999996E-4</v>
      </c>
      <c r="AT25" s="137">
        <f t="shared" si="2"/>
        <v>7.5010849999999998</v>
      </c>
      <c r="AU25" s="137">
        <f t="shared" si="14"/>
        <v>109.40481330847498</v>
      </c>
      <c r="AV25" s="137">
        <f t="shared" si="15"/>
        <v>0.11623811999999999</v>
      </c>
      <c r="AW25" s="137">
        <f t="shared" si="16"/>
        <v>7.4035134999999999</v>
      </c>
      <c r="AX25" s="137">
        <f t="shared" si="17"/>
        <v>2.4260424999999999</v>
      </c>
      <c r="AY25" s="137">
        <f t="shared" si="18"/>
        <v>0.39545154999999999</v>
      </c>
      <c r="AZ25" s="137">
        <f t="shared" si="19"/>
        <v>1.0543240749999998E-3</v>
      </c>
      <c r="BA25" s="137">
        <f t="shared" si="20"/>
        <v>1.6991348249999998</v>
      </c>
      <c r="BB25" s="137">
        <f t="shared" si="21"/>
        <v>0.50286850000000005</v>
      </c>
      <c r="BC25" s="137">
        <f t="shared" si="3"/>
        <v>0.34397264999999999</v>
      </c>
      <c r="BD25" s="137">
        <f t="shared" si="4"/>
        <v>9.0527367499999996E-4</v>
      </c>
      <c r="BE25" s="137">
        <f t="shared" si="5"/>
        <v>0.51558369999999998</v>
      </c>
      <c r="BF25" s="137">
        <f t="shared" si="6"/>
        <v>-4.8174272499999999E-4</v>
      </c>
      <c r="BG25" s="137">
        <f t="shared" si="7"/>
        <v>1.0791143E-6</v>
      </c>
      <c r="BH25" s="137">
        <f t="shared" si="8"/>
        <v>9.0737079999999998E-3</v>
      </c>
      <c r="BI25" s="137">
        <f t="shared" si="9"/>
        <v>1.9561319749999997E-2</v>
      </c>
      <c r="BJ25" s="137">
        <f t="shared" si="10"/>
        <v>1.8662646500000001E-2</v>
      </c>
      <c r="BK25" s="137">
        <f t="shared" si="11"/>
        <v>1.1294673750000001E-3</v>
      </c>
      <c r="BL25" s="137">
        <f t="shared" si="12"/>
        <v>0.19213197000000001</v>
      </c>
      <c r="BM25" s="137">
        <f t="shared" si="13"/>
        <v>2.0563966249999999E-2</v>
      </c>
    </row>
    <row r="26" spans="1:65" x14ac:dyDescent="0.25">
      <c r="A26" s="149">
        <v>343</v>
      </c>
      <c r="B26" s="149">
        <v>29</v>
      </c>
      <c r="C26" s="61">
        <v>47.606209</v>
      </c>
      <c r="D26" s="61">
        <v>-122.332071</v>
      </c>
      <c r="E26" s="61" t="s">
        <v>265</v>
      </c>
      <c r="F26" s="149">
        <v>29</v>
      </c>
      <c r="G26" s="61" t="s">
        <v>565</v>
      </c>
      <c r="H26" s="61" t="s">
        <v>719</v>
      </c>
      <c r="I26" s="61">
        <v>47.450249999999997</v>
      </c>
      <c r="J26" s="61">
        <v>-122.308817</v>
      </c>
      <c r="K26" s="61">
        <v>34.697320689999998</v>
      </c>
      <c r="L26" s="61">
        <v>22.074999999999999</v>
      </c>
      <c r="M26" s="61" t="s">
        <v>617</v>
      </c>
      <c r="N26" s="149">
        <v>28</v>
      </c>
      <c r="O26" s="149">
        <v>29</v>
      </c>
      <c r="P26" s="61" t="s">
        <v>565</v>
      </c>
      <c r="Q26" s="61" t="s">
        <v>559</v>
      </c>
      <c r="R26" s="61">
        <v>47.450249900000003</v>
      </c>
      <c r="S26" s="61">
        <v>-122.30881650000001</v>
      </c>
      <c r="T26" s="61">
        <v>22.074999999999999</v>
      </c>
      <c r="U26" s="61" t="s">
        <v>617</v>
      </c>
      <c r="V26" s="61" t="s">
        <v>617</v>
      </c>
      <c r="W26" s="61"/>
      <c r="Y26" s="137">
        <f>Summary_LCIA!H$32</f>
        <v>0.33979999999999999</v>
      </c>
      <c r="Z26" s="137">
        <f>Summary_LCIA!Q$32</f>
        <v>4.9560504329999997</v>
      </c>
      <c r="AA26" s="137">
        <f>Summary_LCIA!R$32</f>
        <v>5.2655999999999996E-3</v>
      </c>
      <c r="AB26" s="137">
        <f>Summary_LCIA!S$32</f>
        <v>0.33538000000000001</v>
      </c>
      <c r="AC26" s="137">
        <f>Summary_LCIA!T$32</f>
        <v>0.1099</v>
      </c>
      <c r="AD26" s="137">
        <f>Summary_LCIA!U$32</f>
        <v>1.7913999999999999E-2</v>
      </c>
      <c r="AE26" s="137">
        <f>Summary_LCIA!V$32</f>
        <v>4.7760999999999999E-5</v>
      </c>
      <c r="AF26" s="137">
        <f>Summary_LCIA!W$32</f>
        <v>7.6970999999999998E-2</v>
      </c>
      <c r="AG26" s="137">
        <f>Summary_LCIA!X$32</f>
        <v>2.2780000000000002E-2</v>
      </c>
      <c r="AH26" s="137">
        <f>Summary_LCIA!Y$32</f>
        <v>1.5582E-2</v>
      </c>
      <c r="AI26" s="137">
        <f>Summary_LCIA!Z$32</f>
        <v>4.1009E-5</v>
      </c>
      <c r="AJ26" s="137">
        <f>Summary_LCIA!AA$32</f>
        <v>2.3355999999999998E-2</v>
      </c>
      <c r="AK26" s="137">
        <f>Summary_LCIA!AB$32</f>
        <v>-2.1823000000000001E-5</v>
      </c>
      <c r="AL26" s="137">
        <f>Summary_LCIA!AC$32</f>
        <v>4.8884000000000003E-8</v>
      </c>
      <c r="AM26" s="137">
        <f>Summary_LCIA!AD$32</f>
        <v>4.1103999999999999E-4</v>
      </c>
      <c r="AN26" s="137">
        <f>Summary_LCIA!AE$32</f>
        <v>8.8612999999999995E-4</v>
      </c>
      <c r="AO26" s="137">
        <f>Summary_LCIA!AF$32</f>
        <v>8.4542000000000005E-4</v>
      </c>
      <c r="AP26" s="137">
        <f>Summary_LCIA!AG$32</f>
        <v>5.1165000000000002E-5</v>
      </c>
      <c r="AQ26" s="137">
        <f>Summary_LCIA!AH$32</f>
        <v>8.7036000000000006E-3</v>
      </c>
      <c r="AR26" s="137">
        <f>Summary_LCIA!AI$32</f>
        <v>9.3154999999999996E-4</v>
      </c>
      <c r="AT26" s="137">
        <f t="shared" si="2"/>
        <v>7.5010849999999998</v>
      </c>
      <c r="AU26" s="137">
        <f t="shared" si="14"/>
        <v>109.40481330847498</v>
      </c>
      <c r="AV26" s="137">
        <f t="shared" si="15"/>
        <v>0.11623811999999999</v>
      </c>
      <c r="AW26" s="137">
        <f t="shared" si="16"/>
        <v>7.4035134999999999</v>
      </c>
      <c r="AX26" s="137">
        <f t="shared" si="17"/>
        <v>2.4260424999999999</v>
      </c>
      <c r="AY26" s="137">
        <f t="shared" si="18"/>
        <v>0.39545154999999999</v>
      </c>
      <c r="AZ26" s="137">
        <f t="shared" si="19"/>
        <v>1.0543240749999998E-3</v>
      </c>
      <c r="BA26" s="137">
        <f t="shared" si="20"/>
        <v>1.6991348249999998</v>
      </c>
      <c r="BB26" s="137">
        <f t="shared" si="21"/>
        <v>0.50286850000000005</v>
      </c>
      <c r="BC26" s="137">
        <f t="shared" si="3"/>
        <v>0.34397264999999999</v>
      </c>
      <c r="BD26" s="137">
        <f t="shared" si="4"/>
        <v>9.0527367499999996E-4</v>
      </c>
      <c r="BE26" s="137">
        <f t="shared" si="5"/>
        <v>0.51558369999999998</v>
      </c>
      <c r="BF26" s="137">
        <f t="shared" si="6"/>
        <v>-4.8174272499999999E-4</v>
      </c>
      <c r="BG26" s="137">
        <f t="shared" si="7"/>
        <v>1.0791143E-6</v>
      </c>
      <c r="BH26" s="137">
        <f t="shared" si="8"/>
        <v>9.0737079999999998E-3</v>
      </c>
      <c r="BI26" s="137">
        <f t="shared" si="9"/>
        <v>1.9561319749999997E-2</v>
      </c>
      <c r="BJ26" s="137">
        <f t="shared" si="10"/>
        <v>1.8662646500000001E-2</v>
      </c>
      <c r="BK26" s="137">
        <f t="shared" si="11"/>
        <v>1.1294673750000001E-3</v>
      </c>
      <c r="BL26" s="137">
        <f t="shared" si="12"/>
        <v>0.19213197000000001</v>
      </c>
      <c r="BM26" s="137">
        <f t="shared" si="13"/>
        <v>2.0563966249999999E-2</v>
      </c>
    </row>
    <row r="27" spans="1:65" x14ac:dyDescent="0.25">
      <c r="A27" s="149">
        <v>108</v>
      </c>
      <c r="B27" s="149">
        <v>6</v>
      </c>
      <c r="C27" s="61">
        <v>42.050626999999999</v>
      </c>
      <c r="D27" s="61">
        <v>-87.679727</v>
      </c>
      <c r="E27" s="61" t="s">
        <v>265</v>
      </c>
      <c r="F27" s="149">
        <v>6</v>
      </c>
      <c r="G27" s="61" t="s">
        <v>565</v>
      </c>
      <c r="H27" s="61" t="s">
        <v>673</v>
      </c>
      <c r="I27" s="61">
        <v>41.98028</v>
      </c>
      <c r="J27" s="61">
        <v>-87.908997999999997</v>
      </c>
      <c r="K27" s="61">
        <v>22.71590222</v>
      </c>
      <c r="L27" s="61">
        <v>27.763999999999999</v>
      </c>
      <c r="M27" s="61" t="s">
        <v>617</v>
      </c>
      <c r="N27" s="149">
        <v>5</v>
      </c>
      <c r="O27" s="149">
        <v>6</v>
      </c>
      <c r="P27" s="61" t="s">
        <v>565</v>
      </c>
      <c r="Q27" s="61" t="s">
        <v>564</v>
      </c>
      <c r="R27" s="61">
        <v>41.98028</v>
      </c>
      <c r="S27" s="61">
        <v>-87.908997900000003</v>
      </c>
      <c r="T27" s="61">
        <v>27.763999999999999</v>
      </c>
      <c r="U27" s="61" t="s">
        <v>617</v>
      </c>
      <c r="V27" s="61" t="s">
        <v>617</v>
      </c>
      <c r="W27" s="61"/>
      <c r="Y27" s="137">
        <f>Summary_LCIA!H$32</f>
        <v>0.33979999999999999</v>
      </c>
      <c r="Z27" s="137">
        <f>Summary_LCIA!Q$32</f>
        <v>4.9560504329999997</v>
      </c>
      <c r="AA27" s="137">
        <f>Summary_LCIA!R$32</f>
        <v>5.2655999999999996E-3</v>
      </c>
      <c r="AB27" s="137">
        <f>Summary_LCIA!S$32</f>
        <v>0.33538000000000001</v>
      </c>
      <c r="AC27" s="137">
        <f>Summary_LCIA!T$32</f>
        <v>0.1099</v>
      </c>
      <c r="AD27" s="137">
        <f>Summary_LCIA!U$32</f>
        <v>1.7913999999999999E-2</v>
      </c>
      <c r="AE27" s="137">
        <f>Summary_LCIA!V$32</f>
        <v>4.7760999999999999E-5</v>
      </c>
      <c r="AF27" s="137">
        <f>Summary_LCIA!W$32</f>
        <v>7.6970999999999998E-2</v>
      </c>
      <c r="AG27" s="137">
        <f>Summary_LCIA!X$32</f>
        <v>2.2780000000000002E-2</v>
      </c>
      <c r="AH27" s="137">
        <f>Summary_LCIA!Y$32</f>
        <v>1.5582E-2</v>
      </c>
      <c r="AI27" s="137">
        <f>Summary_LCIA!Z$32</f>
        <v>4.1009E-5</v>
      </c>
      <c r="AJ27" s="137">
        <f>Summary_LCIA!AA$32</f>
        <v>2.3355999999999998E-2</v>
      </c>
      <c r="AK27" s="137">
        <f>Summary_LCIA!AB$32</f>
        <v>-2.1823000000000001E-5</v>
      </c>
      <c r="AL27" s="137">
        <f>Summary_LCIA!AC$32</f>
        <v>4.8884000000000003E-8</v>
      </c>
      <c r="AM27" s="137">
        <f>Summary_LCIA!AD$32</f>
        <v>4.1103999999999999E-4</v>
      </c>
      <c r="AN27" s="137">
        <f>Summary_LCIA!AE$32</f>
        <v>8.8612999999999995E-4</v>
      </c>
      <c r="AO27" s="137">
        <f>Summary_LCIA!AF$32</f>
        <v>8.4542000000000005E-4</v>
      </c>
      <c r="AP27" s="137">
        <f>Summary_LCIA!AG$32</f>
        <v>5.1165000000000002E-5</v>
      </c>
      <c r="AQ27" s="137">
        <f>Summary_LCIA!AH$32</f>
        <v>8.7036000000000006E-3</v>
      </c>
      <c r="AR27" s="137">
        <f>Summary_LCIA!AI$32</f>
        <v>9.3154999999999996E-4</v>
      </c>
      <c r="AT27" s="137">
        <f t="shared" si="2"/>
        <v>9.4342071999999995</v>
      </c>
      <c r="AU27" s="137">
        <f t="shared" si="14"/>
        <v>137.599784221812</v>
      </c>
      <c r="AV27" s="137">
        <f t="shared" si="15"/>
        <v>0.14619411839999999</v>
      </c>
      <c r="AW27" s="137">
        <f t="shared" si="16"/>
        <v>9.3114903200000008</v>
      </c>
      <c r="AX27" s="137">
        <f t="shared" si="17"/>
        <v>3.0512636</v>
      </c>
      <c r="AY27" s="137">
        <f t="shared" si="18"/>
        <v>0.49736429599999998</v>
      </c>
      <c r="AZ27" s="137">
        <f t="shared" si="19"/>
        <v>1.326036404E-3</v>
      </c>
      <c r="BA27" s="137">
        <f t="shared" si="20"/>
        <v>2.1370228440000001</v>
      </c>
      <c r="BB27" s="137">
        <f t="shared" si="21"/>
        <v>0.63246392000000007</v>
      </c>
      <c r="BC27" s="137">
        <f t="shared" si="3"/>
        <v>0.43261864799999999</v>
      </c>
      <c r="BD27" s="137">
        <f t="shared" si="4"/>
        <v>1.1385738759999999E-3</v>
      </c>
      <c r="BE27" s="137">
        <f t="shared" si="5"/>
        <v>0.64845598399999993</v>
      </c>
      <c r="BF27" s="137">
        <f t="shared" si="6"/>
        <v>-6.0589377199999999E-4</v>
      </c>
      <c r="BG27" s="137">
        <f t="shared" si="7"/>
        <v>1.357215376E-6</v>
      </c>
      <c r="BH27" s="137">
        <f t="shared" si="8"/>
        <v>1.1412114559999999E-2</v>
      </c>
      <c r="BI27" s="137">
        <f t="shared" si="9"/>
        <v>2.4602513319999998E-2</v>
      </c>
      <c r="BJ27" s="137">
        <f t="shared" si="10"/>
        <v>2.3472240880000002E-2</v>
      </c>
      <c r="BK27" s="137">
        <f t="shared" si="11"/>
        <v>1.42054506E-3</v>
      </c>
      <c r="BL27" s="137">
        <f t="shared" si="12"/>
        <v>0.2416467504</v>
      </c>
      <c r="BM27" s="137">
        <f t="shared" si="13"/>
        <v>2.58635542E-2</v>
      </c>
    </row>
    <row r="28" spans="1:65" x14ac:dyDescent="0.25">
      <c r="A28" s="149">
        <v>109</v>
      </c>
      <c r="B28" s="149">
        <v>6</v>
      </c>
      <c r="C28" s="61">
        <v>42.050626999999999</v>
      </c>
      <c r="D28" s="61">
        <v>-87.679727</v>
      </c>
      <c r="E28" s="61" t="s">
        <v>265</v>
      </c>
      <c r="F28" s="149">
        <v>6</v>
      </c>
      <c r="G28" s="61" t="s">
        <v>565</v>
      </c>
      <c r="H28" s="61" t="s">
        <v>673</v>
      </c>
      <c r="I28" s="61">
        <v>41.98028</v>
      </c>
      <c r="J28" s="61">
        <v>-87.908997999999997</v>
      </c>
      <c r="K28" s="61">
        <v>22.71590222</v>
      </c>
      <c r="L28" s="61">
        <v>27.763999999999999</v>
      </c>
      <c r="M28" s="61" t="s">
        <v>617</v>
      </c>
      <c r="N28" s="149">
        <v>5</v>
      </c>
      <c r="O28" s="149">
        <v>6</v>
      </c>
      <c r="P28" s="61" t="s">
        <v>565</v>
      </c>
      <c r="Q28" s="61" t="s">
        <v>564</v>
      </c>
      <c r="R28" s="61">
        <v>41.98028</v>
      </c>
      <c r="S28" s="61">
        <v>-87.908997900000003</v>
      </c>
      <c r="T28" s="61">
        <v>27.763999999999999</v>
      </c>
      <c r="U28" s="61" t="s">
        <v>617</v>
      </c>
      <c r="V28" s="61" t="s">
        <v>617</v>
      </c>
      <c r="W28" s="61"/>
      <c r="Y28" s="137">
        <f>Summary_LCIA!H$32</f>
        <v>0.33979999999999999</v>
      </c>
      <c r="Z28" s="137">
        <f>Summary_LCIA!Q$32</f>
        <v>4.9560504329999997</v>
      </c>
      <c r="AA28" s="137">
        <f>Summary_LCIA!R$32</f>
        <v>5.2655999999999996E-3</v>
      </c>
      <c r="AB28" s="137">
        <f>Summary_LCIA!S$32</f>
        <v>0.33538000000000001</v>
      </c>
      <c r="AC28" s="137">
        <f>Summary_LCIA!T$32</f>
        <v>0.1099</v>
      </c>
      <c r="AD28" s="137">
        <f>Summary_LCIA!U$32</f>
        <v>1.7913999999999999E-2</v>
      </c>
      <c r="AE28" s="137">
        <f>Summary_LCIA!V$32</f>
        <v>4.7760999999999999E-5</v>
      </c>
      <c r="AF28" s="137">
        <f>Summary_LCIA!W$32</f>
        <v>7.6970999999999998E-2</v>
      </c>
      <c r="AG28" s="137">
        <f>Summary_LCIA!X$32</f>
        <v>2.2780000000000002E-2</v>
      </c>
      <c r="AH28" s="137">
        <f>Summary_LCIA!Y$32</f>
        <v>1.5582E-2</v>
      </c>
      <c r="AI28" s="137">
        <f>Summary_LCIA!Z$32</f>
        <v>4.1009E-5</v>
      </c>
      <c r="AJ28" s="137">
        <f>Summary_LCIA!AA$32</f>
        <v>2.3355999999999998E-2</v>
      </c>
      <c r="AK28" s="137">
        <f>Summary_LCIA!AB$32</f>
        <v>-2.1823000000000001E-5</v>
      </c>
      <c r="AL28" s="137">
        <f>Summary_LCIA!AC$32</f>
        <v>4.8884000000000003E-8</v>
      </c>
      <c r="AM28" s="137">
        <f>Summary_LCIA!AD$32</f>
        <v>4.1103999999999999E-4</v>
      </c>
      <c r="AN28" s="137">
        <f>Summary_LCIA!AE$32</f>
        <v>8.8612999999999995E-4</v>
      </c>
      <c r="AO28" s="137">
        <f>Summary_LCIA!AF$32</f>
        <v>8.4542000000000005E-4</v>
      </c>
      <c r="AP28" s="137">
        <f>Summary_LCIA!AG$32</f>
        <v>5.1165000000000002E-5</v>
      </c>
      <c r="AQ28" s="137">
        <f>Summary_LCIA!AH$32</f>
        <v>8.7036000000000006E-3</v>
      </c>
      <c r="AR28" s="137">
        <f>Summary_LCIA!AI$32</f>
        <v>9.3154999999999996E-4</v>
      </c>
      <c r="AT28" s="137">
        <f t="shared" si="2"/>
        <v>9.4342071999999995</v>
      </c>
      <c r="AU28" s="137">
        <f t="shared" si="14"/>
        <v>137.599784221812</v>
      </c>
      <c r="AV28" s="137">
        <f t="shared" si="15"/>
        <v>0.14619411839999999</v>
      </c>
      <c r="AW28" s="137">
        <f t="shared" si="16"/>
        <v>9.3114903200000008</v>
      </c>
      <c r="AX28" s="137">
        <f t="shared" si="17"/>
        <v>3.0512636</v>
      </c>
      <c r="AY28" s="137">
        <f t="shared" si="18"/>
        <v>0.49736429599999998</v>
      </c>
      <c r="AZ28" s="137">
        <f t="shared" si="19"/>
        <v>1.326036404E-3</v>
      </c>
      <c r="BA28" s="137">
        <f t="shared" si="20"/>
        <v>2.1370228440000001</v>
      </c>
      <c r="BB28" s="137">
        <f t="shared" si="21"/>
        <v>0.63246392000000007</v>
      </c>
      <c r="BC28" s="137">
        <f t="shared" si="3"/>
        <v>0.43261864799999999</v>
      </c>
      <c r="BD28" s="137">
        <f t="shared" si="4"/>
        <v>1.1385738759999999E-3</v>
      </c>
      <c r="BE28" s="137">
        <f t="shared" si="5"/>
        <v>0.64845598399999993</v>
      </c>
      <c r="BF28" s="137">
        <f t="shared" si="6"/>
        <v>-6.0589377199999999E-4</v>
      </c>
      <c r="BG28" s="137">
        <f t="shared" si="7"/>
        <v>1.357215376E-6</v>
      </c>
      <c r="BH28" s="137">
        <f t="shared" si="8"/>
        <v>1.1412114559999999E-2</v>
      </c>
      <c r="BI28" s="137">
        <f t="shared" si="9"/>
        <v>2.4602513319999998E-2</v>
      </c>
      <c r="BJ28" s="137">
        <f t="shared" si="10"/>
        <v>2.3472240880000002E-2</v>
      </c>
      <c r="BK28" s="137">
        <f t="shared" si="11"/>
        <v>1.42054506E-3</v>
      </c>
      <c r="BL28" s="137">
        <f t="shared" si="12"/>
        <v>0.2416467504</v>
      </c>
      <c r="BM28" s="137">
        <f t="shared" si="13"/>
        <v>2.58635542E-2</v>
      </c>
    </row>
    <row r="29" spans="1:65" x14ac:dyDescent="0.25">
      <c r="A29" s="149">
        <v>110</v>
      </c>
      <c r="B29" s="149">
        <v>6</v>
      </c>
      <c r="C29" s="61">
        <v>42.050626999999999</v>
      </c>
      <c r="D29" s="61">
        <v>-87.679727</v>
      </c>
      <c r="E29" s="61" t="s">
        <v>265</v>
      </c>
      <c r="F29" s="149">
        <v>6</v>
      </c>
      <c r="G29" s="61" t="s">
        <v>565</v>
      </c>
      <c r="H29" s="61" t="s">
        <v>673</v>
      </c>
      <c r="I29" s="61">
        <v>41.98028</v>
      </c>
      <c r="J29" s="61">
        <v>-87.908997999999997</v>
      </c>
      <c r="K29" s="61">
        <v>22.71590222</v>
      </c>
      <c r="L29" s="61">
        <v>27.763999999999999</v>
      </c>
      <c r="M29" s="61" t="s">
        <v>617</v>
      </c>
      <c r="N29" s="149">
        <v>5</v>
      </c>
      <c r="O29" s="149">
        <v>6</v>
      </c>
      <c r="P29" s="61" t="s">
        <v>565</v>
      </c>
      <c r="Q29" s="61" t="s">
        <v>564</v>
      </c>
      <c r="R29" s="61">
        <v>41.98028</v>
      </c>
      <c r="S29" s="61">
        <v>-87.908997900000003</v>
      </c>
      <c r="T29" s="61">
        <v>27.763999999999999</v>
      </c>
      <c r="U29" s="61" t="s">
        <v>617</v>
      </c>
      <c r="V29" s="61" t="s">
        <v>617</v>
      </c>
      <c r="W29" s="61"/>
      <c r="Y29" s="137">
        <f>Summary_LCIA!H$32</f>
        <v>0.33979999999999999</v>
      </c>
      <c r="Z29" s="137">
        <f>Summary_LCIA!Q$32</f>
        <v>4.9560504329999997</v>
      </c>
      <c r="AA29" s="137">
        <f>Summary_LCIA!R$32</f>
        <v>5.2655999999999996E-3</v>
      </c>
      <c r="AB29" s="137">
        <f>Summary_LCIA!S$32</f>
        <v>0.33538000000000001</v>
      </c>
      <c r="AC29" s="137">
        <f>Summary_LCIA!T$32</f>
        <v>0.1099</v>
      </c>
      <c r="AD29" s="137">
        <f>Summary_LCIA!U$32</f>
        <v>1.7913999999999999E-2</v>
      </c>
      <c r="AE29" s="137">
        <f>Summary_LCIA!V$32</f>
        <v>4.7760999999999999E-5</v>
      </c>
      <c r="AF29" s="137">
        <f>Summary_LCIA!W$32</f>
        <v>7.6970999999999998E-2</v>
      </c>
      <c r="AG29" s="137">
        <f>Summary_LCIA!X$32</f>
        <v>2.2780000000000002E-2</v>
      </c>
      <c r="AH29" s="137">
        <f>Summary_LCIA!Y$32</f>
        <v>1.5582E-2</v>
      </c>
      <c r="AI29" s="137">
        <f>Summary_LCIA!Z$32</f>
        <v>4.1009E-5</v>
      </c>
      <c r="AJ29" s="137">
        <f>Summary_LCIA!AA$32</f>
        <v>2.3355999999999998E-2</v>
      </c>
      <c r="AK29" s="137">
        <f>Summary_LCIA!AB$32</f>
        <v>-2.1823000000000001E-5</v>
      </c>
      <c r="AL29" s="137">
        <f>Summary_LCIA!AC$32</f>
        <v>4.8884000000000003E-8</v>
      </c>
      <c r="AM29" s="137">
        <f>Summary_LCIA!AD$32</f>
        <v>4.1103999999999999E-4</v>
      </c>
      <c r="AN29" s="137">
        <f>Summary_LCIA!AE$32</f>
        <v>8.8612999999999995E-4</v>
      </c>
      <c r="AO29" s="137">
        <f>Summary_LCIA!AF$32</f>
        <v>8.4542000000000005E-4</v>
      </c>
      <c r="AP29" s="137">
        <f>Summary_LCIA!AG$32</f>
        <v>5.1165000000000002E-5</v>
      </c>
      <c r="AQ29" s="137">
        <f>Summary_LCIA!AH$32</f>
        <v>8.7036000000000006E-3</v>
      </c>
      <c r="AR29" s="137">
        <f>Summary_LCIA!AI$32</f>
        <v>9.3154999999999996E-4</v>
      </c>
      <c r="AT29" s="137">
        <f t="shared" si="2"/>
        <v>9.4342071999999995</v>
      </c>
      <c r="AU29" s="137">
        <f t="shared" si="14"/>
        <v>137.599784221812</v>
      </c>
      <c r="AV29" s="137">
        <f t="shared" si="15"/>
        <v>0.14619411839999999</v>
      </c>
      <c r="AW29" s="137">
        <f t="shared" si="16"/>
        <v>9.3114903200000008</v>
      </c>
      <c r="AX29" s="137">
        <f t="shared" si="17"/>
        <v>3.0512636</v>
      </c>
      <c r="AY29" s="137">
        <f t="shared" si="18"/>
        <v>0.49736429599999998</v>
      </c>
      <c r="AZ29" s="137">
        <f t="shared" si="19"/>
        <v>1.326036404E-3</v>
      </c>
      <c r="BA29" s="137">
        <f t="shared" si="20"/>
        <v>2.1370228440000001</v>
      </c>
      <c r="BB29" s="137">
        <f t="shared" si="21"/>
        <v>0.63246392000000007</v>
      </c>
      <c r="BC29" s="137">
        <f t="shared" si="3"/>
        <v>0.43261864799999999</v>
      </c>
      <c r="BD29" s="137">
        <f t="shared" si="4"/>
        <v>1.1385738759999999E-3</v>
      </c>
      <c r="BE29" s="137">
        <f t="shared" si="5"/>
        <v>0.64845598399999993</v>
      </c>
      <c r="BF29" s="137">
        <f t="shared" si="6"/>
        <v>-6.0589377199999999E-4</v>
      </c>
      <c r="BG29" s="137">
        <f t="shared" si="7"/>
        <v>1.357215376E-6</v>
      </c>
      <c r="BH29" s="137">
        <f t="shared" si="8"/>
        <v>1.1412114559999999E-2</v>
      </c>
      <c r="BI29" s="137">
        <f t="shared" si="9"/>
        <v>2.4602513319999998E-2</v>
      </c>
      <c r="BJ29" s="137">
        <f t="shared" si="10"/>
        <v>2.3472240880000002E-2</v>
      </c>
      <c r="BK29" s="137">
        <f t="shared" si="11"/>
        <v>1.42054506E-3</v>
      </c>
      <c r="BL29" s="137">
        <f t="shared" si="12"/>
        <v>0.2416467504</v>
      </c>
      <c r="BM29" s="137">
        <f t="shared" si="13"/>
        <v>2.58635542E-2</v>
      </c>
    </row>
    <row r="30" spans="1:65" x14ac:dyDescent="0.25">
      <c r="A30" s="149">
        <v>337</v>
      </c>
      <c r="B30" s="149">
        <v>29</v>
      </c>
      <c r="C30" s="61">
        <v>47.650888000000002</v>
      </c>
      <c r="D30" s="61">
        <v>-122.308402</v>
      </c>
      <c r="E30" s="61" t="s">
        <v>265</v>
      </c>
      <c r="F30" s="149">
        <v>29</v>
      </c>
      <c r="G30" s="61" t="s">
        <v>565</v>
      </c>
      <c r="H30" s="61" t="s">
        <v>719</v>
      </c>
      <c r="I30" s="61">
        <v>47.450249999999997</v>
      </c>
      <c r="J30" s="61">
        <v>-122.308817</v>
      </c>
      <c r="K30" s="61">
        <v>43.043934999999998</v>
      </c>
      <c r="L30" s="61">
        <v>27.890999999999998</v>
      </c>
      <c r="M30" s="61" t="s">
        <v>617</v>
      </c>
      <c r="N30" s="149">
        <v>28</v>
      </c>
      <c r="O30" s="149">
        <v>29</v>
      </c>
      <c r="P30" s="61" t="s">
        <v>565</v>
      </c>
      <c r="Q30" s="61" t="s">
        <v>559</v>
      </c>
      <c r="R30" s="61">
        <v>47.450249900000003</v>
      </c>
      <c r="S30" s="61">
        <v>-122.30881650000001</v>
      </c>
      <c r="T30" s="61">
        <v>27.89</v>
      </c>
      <c r="U30" s="61" t="s">
        <v>617</v>
      </c>
      <c r="V30" s="61" t="s">
        <v>617</v>
      </c>
      <c r="W30" s="61"/>
      <c r="Y30" s="137">
        <f>Summary_LCIA!H$32</f>
        <v>0.33979999999999999</v>
      </c>
      <c r="Z30" s="137">
        <f>Summary_LCIA!Q$32</f>
        <v>4.9560504329999997</v>
      </c>
      <c r="AA30" s="137">
        <f>Summary_LCIA!R$32</f>
        <v>5.2655999999999996E-3</v>
      </c>
      <c r="AB30" s="137">
        <f>Summary_LCIA!S$32</f>
        <v>0.33538000000000001</v>
      </c>
      <c r="AC30" s="137">
        <f>Summary_LCIA!T$32</f>
        <v>0.1099</v>
      </c>
      <c r="AD30" s="137">
        <f>Summary_LCIA!U$32</f>
        <v>1.7913999999999999E-2</v>
      </c>
      <c r="AE30" s="137">
        <f>Summary_LCIA!V$32</f>
        <v>4.7760999999999999E-5</v>
      </c>
      <c r="AF30" s="137">
        <f>Summary_LCIA!W$32</f>
        <v>7.6970999999999998E-2</v>
      </c>
      <c r="AG30" s="137">
        <f>Summary_LCIA!X$32</f>
        <v>2.2780000000000002E-2</v>
      </c>
      <c r="AH30" s="137">
        <f>Summary_LCIA!Y$32</f>
        <v>1.5582E-2</v>
      </c>
      <c r="AI30" s="137">
        <f>Summary_LCIA!Z$32</f>
        <v>4.1009E-5</v>
      </c>
      <c r="AJ30" s="137">
        <f>Summary_LCIA!AA$32</f>
        <v>2.3355999999999998E-2</v>
      </c>
      <c r="AK30" s="137">
        <f>Summary_LCIA!AB$32</f>
        <v>-2.1823000000000001E-5</v>
      </c>
      <c r="AL30" s="137">
        <f>Summary_LCIA!AC$32</f>
        <v>4.8884000000000003E-8</v>
      </c>
      <c r="AM30" s="137">
        <f>Summary_LCIA!AD$32</f>
        <v>4.1103999999999999E-4</v>
      </c>
      <c r="AN30" s="137">
        <f>Summary_LCIA!AE$32</f>
        <v>8.8612999999999995E-4</v>
      </c>
      <c r="AO30" s="137">
        <f>Summary_LCIA!AF$32</f>
        <v>8.4542000000000005E-4</v>
      </c>
      <c r="AP30" s="137">
        <f>Summary_LCIA!AG$32</f>
        <v>5.1165000000000002E-5</v>
      </c>
      <c r="AQ30" s="137">
        <f>Summary_LCIA!AH$32</f>
        <v>8.7036000000000006E-3</v>
      </c>
      <c r="AR30" s="137">
        <f>Summary_LCIA!AI$32</f>
        <v>9.3154999999999996E-4</v>
      </c>
      <c r="AT30" s="137">
        <f t="shared" si="2"/>
        <v>9.4770219999999998</v>
      </c>
      <c r="AU30" s="137">
        <f t="shared" si="14"/>
        <v>138.22424657637001</v>
      </c>
      <c r="AV30" s="137">
        <f t="shared" si="15"/>
        <v>0.14685758399999999</v>
      </c>
      <c r="AW30" s="137">
        <f t="shared" si="16"/>
        <v>9.3537482000000001</v>
      </c>
      <c r="AX30" s="137">
        <f t="shared" si="17"/>
        <v>3.0651109999999999</v>
      </c>
      <c r="AY30" s="137">
        <f t="shared" si="18"/>
        <v>0.49962146000000002</v>
      </c>
      <c r="AZ30" s="137">
        <f t="shared" si="19"/>
        <v>1.33205429E-3</v>
      </c>
      <c r="BA30" s="137">
        <f t="shared" si="20"/>
        <v>2.1467211900000001</v>
      </c>
      <c r="BB30" s="137">
        <f t="shared" si="21"/>
        <v>0.63533420000000007</v>
      </c>
      <c r="BC30" s="137">
        <f t="shared" si="3"/>
        <v>0.43458198000000003</v>
      </c>
      <c r="BD30" s="137">
        <f t="shared" si="4"/>
        <v>1.1437410099999999E-3</v>
      </c>
      <c r="BE30" s="137">
        <f t="shared" si="5"/>
        <v>0.65139883999999992</v>
      </c>
      <c r="BF30" s="137">
        <f t="shared" si="6"/>
        <v>-6.0864347000000004E-4</v>
      </c>
      <c r="BG30" s="137">
        <f t="shared" si="7"/>
        <v>1.3633747600000001E-6</v>
      </c>
      <c r="BH30" s="137">
        <f t="shared" si="8"/>
        <v>1.1463905599999999E-2</v>
      </c>
      <c r="BI30" s="137">
        <f t="shared" si="9"/>
        <v>2.4714165699999999E-2</v>
      </c>
      <c r="BJ30" s="137">
        <f t="shared" si="10"/>
        <v>2.3578763800000003E-2</v>
      </c>
      <c r="BK30" s="137">
        <f t="shared" si="11"/>
        <v>1.4269918500000001E-3</v>
      </c>
      <c r="BL30" s="137">
        <f t="shared" si="12"/>
        <v>0.24274340400000002</v>
      </c>
      <c r="BM30" s="137">
        <f t="shared" si="13"/>
        <v>2.59809295E-2</v>
      </c>
    </row>
    <row r="31" spans="1:65" x14ac:dyDescent="0.25">
      <c r="A31" s="149">
        <v>338</v>
      </c>
      <c r="B31" s="149">
        <v>29</v>
      </c>
      <c r="C31" s="61">
        <v>47.650888000000002</v>
      </c>
      <c r="D31" s="61">
        <v>-122.308402</v>
      </c>
      <c r="E31" s="61" t="s">
        <v>265</v>
      </c>
      <c r="F31" s="149">
        <v>29</v>
      </c>
      <c r="G31" s="61" t="s">
        <v>565</v>
      </c>
      <c r="H31" s="61" t="s">
        <v>719</v>
      </c>
      <c r="I31" s="61">
        <v>47.450249999999997</v>
      </c>
      <c r="J31" s="61">
        <v>-122.308817</v>
      </c>
      <c r="K31" s="61">
        <v>43.043934999999998</v>
      </c>
      <c r="L31" s="61">
        <v>27.890999999999998</v>
      </c>
      <c r="M31" s="61" t="s">
        <v>617</v>
      </c>
      <c r="N31" s="149">
        <v>28</v>
      </c>
      <c r="O31" s="149">
        <v>29</v>
      </c>
      <c r="P31" s="61" t="s">
        <v>565</v>
      </c>
      <c r="Q31" s="61" t="s">
        <v>559</v>
      </c>
      <c r="R31" s="61">
        <v>47.450249900000003</v>
      </c>
      <c r="S31" s="61">
        <v>-122.30881650000001</v>
      </c>
      <c r="T31" s="61">
        <v>27.89</v>
      </c>
      <c r="U31" s="61" t="s">
        <v>617</v>
      </c>
      <c r="V31" s="61" t="s">
        <v>617</v>
      </c>
      <c r="W31" s="61"/>
      <c r="Y31" s="137">
        <f>Summary_LCIA!H$32</f>
        <v>0.33979999999999999</v>
      </c>
      <c r="Z31" s="137">
        <f>Summary_LCIA!Q$32</f>
        <v>4.9560504329999997</v>
      </c>
      <c r="AA31" s="137">
        <f>Summary_LCIA!R$32</f>
        <v>5.2655999999999996E-3</v>
      </c>
      <c r="AB31" s="137">
        <f>Summary_LCIA!S$32</f>
        <v>0.33538000000000001</v>
      </c>
      <c r="AC31" s="137">
        <f>Summary_LCIA!T$32</f>
        <v>0.1099</v>
      </c>
      <c r="AD31" s="137">
        <f>Summary_LCIA!U$32</f>
        <v>1.7913999999999999E-2</v>
      </c>
      <c r="AE31" s="137">
        <f>Summary_LCIA!V$32</f>
        <v>4.7760999999999999E-5</v>
      </c>
      <c r="AF31" s="137">
        <f>Summary_LCIA!W$32</f>
        <v>7.6970999999999998E-2</v>
      </c>
      <c r="AG31" s="137">
        <f>Summary_LCIA!X$32</f>
        <v>2.2780000000000002E-2</v>
      </c>
      <c r="AH31" s="137">
        <f>Summary_LCIA!Y$32</f>
        <v>1.5582E-2</v>
      </c>
      <c r="AI31" s="137">
        <f>Summary_LCIA!Z$32</f>
        <v>4.1009E-5</v>
      </c>
      <c r="AJ31" s="137">
        <f>Summary_LCIA!AA$32</f>
        <v>2.3355999999999998E-2</v>
      </c>
      <c r="AK31" s="137">
        <f>Summary_LCIA!AB$32</f>
        <v>-2.1823000000000001E-5</v>
      </c>
      <c r="AL31" s="137">
        <f>Summary_LCIA!AC$32</f>
        <v>4.8884000000000003E-8</v>
      </c>
      <c r="AM31" s="137">
        <f>Summary_LCIA!AD$32</f>
        <v>4.1103999999999999E-4</v>
      </c>
      <c r="AN31" s="137">
        <f>Summary_LCIA!AE$32</f>
        <v>8.8612999999999995E-4</v>
      </c>
      <c r="AO31" s="137">
        <f>Summary_LCIA!AF$32</f>
        <v>8.4542000000000005E-4</v>
      </c>
      <c r="AP31" s="137">
        <f>Summary_LCIA!AG$32</f>
        <v>5.1165000000000002E-5</v>
      </c>
      <c r="AQ31" s="137">
        <f>Summary_LCIA!AH$32</f>
        <v>8.7036000000000006E-3</v>
      </c>
      <c r="AR31" s="137">
        <f>Summary_LCIA!AI$32</f>
        <v>9.3154999999999996E-4</v>
      </c>
      <c r="AT31" s="137">
        <f t="shared" si="2"/>
        <v>9.4770219999999998</v>
      </c>
      <c r="AU31" s="137">
        <f t="shared" si="14"/>
        <v>138.22424657637001</v>
      </c>
      <c r="AV31" s="137">
        <f t="shared" si="15"/>
        <v>0.14685758399999999</v>
      </c>
      <c r="AW31" s="137">
        <f t="shared" si="16"/>
        <v>9.3537482000000001</v>
      </c>
      <c r="AX31" s="137">
        <f t="shared" si="17"/>
        <v>3.0651109999999999</v>
      </c>
      <c r="AY31" s="137">
        <f t="shared" si="18"/>
        <v>0.49962146000000002</v>
      </c>
      <c r="AZ31" s="137">
        <f t="shared" si="19"/>
        <v>1.33205429E-3</v>
      </c>
      <c r="BA31" s="137">
        <f t="shared" si="20"/>
        <v>2.1467211900000001</v>
      </c>
      <c r="BB31" s="137">
        <f t="shared" si="21"/>
        <v>0.63533420000000007</v>
      </c>
      <c r="BC31" s="137">
        <f t="shared" si="3"/>
        <v>0.43458198000000003</v>
      </c>
      <c r="BD31" s="137">
        <f t="shared" si="4"/>
        <v>1.1437410099999999E-3</v>
      </c>
      <c r="BE31" s="137">
        <f t="shared" si="5"/>
        <v>0.65139883999999992</v>
      </c>
      <c r="BF31" s="137">
        <f t="shared" si="6"/>
        <v>-6.0864347000000004E-4</v>
      </c>
      <c r="BG31" s="137">
        <f t="shared" si="7"/>
        <v>1.3633747600000001E-6</v>
      </c>
      <c r="BH31" s="137">
        <f t="shared" si="8"/>
        <v>1.1463905599999999E-2</v>
      </c>
      <c r="BI31" s="137">
        <f t="shared" si="9"/>
        <v>2.4714165699999999E-2</v>
      </c>
      <c r="BJ31" s="137">
        <f t="shared" si="10"/>
        <v>2.3578763800000003E-2</v>
      </c>
      <c r="BK31" s="137">
        <f t="shared" si="11"/>
        <v>1.4269918500000001E-3</v>
      </c>
      <c r="BL31" s="137">
        <f t="shared" si="12"/>
        <v>0.24274340400000002</v>
      </c>
      <c r="BM31" s="137">
        <f t="shared" si="13"/>
        <v>2.59809295E-2</v>
      </c>
    </row>
    <row r="32" spans="1:65" x14ac:dyDescent="0.25">
      <c r="A32" s="149">
        <v>339</v>
      </c>
      <c r="B32" s="149">
        <v>29</v>
      </c>
      <c r="C32" s="61">
        <v>47.650888000000002</v>
      </c>
      <c r="D32" s="61">
        <v>-122.308402</v>
      </c>
      <c r="E32" s="61" t="s">
        <v>265</v>
      </c>
      <c r="F32" s="149">
        <v>29</v>
      </c>
      <c r="G32" s="61" t="s">
        <v>565</v>
      </c>
      <c r="H32" s="61" t="s">
        <v>719</v>
      </c>
      <c r="I32" s="61">
        <v>47.450249999999997</v>
      </c>
      <c r="J32" s="61">
        <v>-122.308817</v>
      </c>
      <c r="K32" s="61">
        <v>43.043934999999998</v>
      </c>
      <c r="L32" s="61">
        <v>27.890999999999998</v>
      </c>
      <c r="M32" s="61" t="s">
        <v>617</v>
      </c>
      <c r="N32" s="149">
        <v>28</v>
      </c>
      <c r="O32" s="149">
        <v>29</v>
      </c>
      <c r="P32" s="61" t="s">
        <v>565</v>
      </c>
      <c r="Q32" s="61" t="s">
        <v>559</v>
      </c>
      <c r="R32" s="61">
        <v>47.450249900000003</v>
      </c>
      <c r="S32" s="61">
        <v>-122.30881650000001</v>
      </c>
      <c r="T32" s="61">
        <v>27.89</v>
      </c>
      <c r="U32" s="61" t="s">
        <v>617</v>
      </c>
      <c r="V32" s="61" t="s">
        <v>617</v>
      </c>
      <c r="W32" s="61"/>
      <c r="Y32" s="137">
        <f>Summary_LCIA!H$32</f>
        <v>0.33979999999999999</v>
      </c>
      <c r="Z32" s="137">
        <f>Summary_LCIA!Q$32</f>
        <v>4.9560504329999997</v>
      </c>
      <c r="AA32" s="137">
        <f>Summary_LCIA!R$32</f>
        <v>5.2655999999999996E-3</v>
      </c>
      <c r="AB32" s="137">
        <f>Summary_LCIA!S$32</f>
        <v>0.33538000000000001</v>
      </c>
      <c r="AC32" s="137">
        <f>Summary_LCIA!T$32</f>
        <v>0.1099</v>
      </c>
      <c r="AD32" s="137">
        <f>Summary_LCIA!U$32</f>
        <v>1.7913999999999999E-2</v>
      </c>
      <c r="AE32" s="137">
        <f>Summary_LCIA!V$32</f>
        <v>4.7760999999999999E-5</v>
      </c>
      <c r="AF32" s="137">
        <f>Summary_LCIA!W$32</f>
        <v>7.6970999999999998E-2</v>
      </c>
      <c r="AG32" s="137">
        <f>Summary_LCIA!X$32</f>
        <v>2.2780000000000002E-2</v>
      </c>
      <c r="AH32" s="137">
        <f>Summary_LCIA!Y$32</f>
        <v>1.5582E-2</v>
      </c>
      <c r="AI32" s="137">
        <f>Summary_LCIA!Z$32</f>
        <v>4.1009E-5</v>
      </c>
      <c r="AJ32" s="137">
        <f>Summary_LCIA!AA$32</f>
        <v>2.3355999999999998E-2</v>
      </c>
      <c r="AK32" s="137">
        <f>Summary_LCIA!AB$32</f>
        <v>-2.1823000000000001E-5</v>
      </c>
      <c r="AL32" s="137">
        <f>Summary_LCIA!AC$32</f>
        <v>4.8884000000000003E-8</v>
      </c>
      <c r="AM32" s="137">
        <f>Summary_LCIA!AD$32</f>
        <v>4.1103999999999999E-4</v>
      </c>
      <c r="AN32" s="137">
        <f>Summary_LCIA!AE$32</f>
        <v>8.8612999999999995E-4</v>
      </c>
      <c r="AO32" s="137">
        <f>Summary_LCIA!AF$32</f>
        <v>8.4542000000000005E-4</v>
      </c>
      <c r="AP32" s="137">
        <f>Summary_LCIA!AG$32</f>
        <v>5.1165000000000002E-5</v>
      </c>
      <c r="AQ32" s="137">
        <f>Summary_LCIA!AH$32</f>
        <v>8.7036000000000006E-3</v>
      </c>
      <c r="AR32" s="137">
        <f>Summary_LCIA!AI$32</f>
        <v>9.3154999999999996E-4</v>
      </c>
      <c r="AT32" s="137">
        <f t="shared" si="2"/>
        <v>9.4770219999999998</v>
      </c>
      <c r="AU32" s="137">
        <f t="shared" si="14"/>
        <v>138.22424657637001</v>
      </c>
      <c r="AV32" s="137">
        <f t="shared" si="15"/>
        <v>0.14685758399999999</v>
      </c>
      <c r="AW32" s="137">
        <f t="shared" si="16"/>
        <v>9.3537482000000001</v>
      </c>
      <c r="AX32" s="137">
        <f t="shared" si="17"/>
        <v>3.0651109999999999</v>
      </c>
      <c r="AY32" s="137">
        <f t="shared" si="18"/>
        <v>0.49962146000000002</v>
      </c>
      <c r="AZ32" s="137">
        <f t="shared" si="19"/>
        <v>1.33205429E-3</v>
      </c>
      <c r="BA32" s="137">
        <f t="shared" si="20"/>
        <v>2.1467211900000001</v>
      </c>
      <c r="BB32" s="137">
        <f t="shared" si="21"/>
        <v>0.63533420000000007</v>
      </c>
      <c r="BC32" s="137">
        <f t="shared" si="3"/>
        <v>0.43458198000000003</v>
      </c>
      <c r="BD32" s="137">
        <f t="shared" si="4"/>
        <v>1.1437410099999999E-3</v>
      </c>
      <c r="BE32" s="137">
        <f t="shared" si="5"/>
        <v>0.65139883999999992</v>
      </c>
      <c r="BF32" s="137">
        <f t="shared" si="6"/>
        <v>-6.0864347000000004E-4</v>
      </c>
      <c r="BG32" s="137">
        <f t="shared" si="7"/>
        <v>1.3633747600000001E-6</v>
      </c>
      <c r="BH32" s="137">
        <f t="shared" si="8"/>
        <v>1.1463905599999999E-2</v>
      </c>
      <c r="BI32" s="137">
        <f t="shared" si="9"/>
        <v>2.4714165699999999E-2</v>
      </c>
      <c r="BJ32" s="137">
        <f t="shared" si="10"/>
        <v>2.3578763800000003E-2</v>
      </c>
      <c r="BK32" s="137">
        <f t="shared" si="11"/>
        <v>1.4269918500000001E-3</v>
      </c>
      <c r="BL32" s="137">
        <f t="shared" si="12"/>
        <v>0.24274340400000002</v>
      </c>
      <c r="BM32" s="137">
        <f t="shared" si="13"/>
        <v>2.59809295E-2</v>
      </c>
    </row>
    <row r="33" spans="1:65" x14ac:dyDescent="0.25">
      <c r="A33" s="149">
        <v>175</v>
      </c>
      <c r="B33" s="149">
        <v>43</v>
      </c>
      <c r="C33" s="61">
        <v>40.678178000000003</v>
      </c>
      <c r="D33" s="61">
        <v>-73.944158000000002</v>
      </c>
      <c r="E33" s="61" t="s">
        <v>265</v>
      </c>
      <c r="F33" s="149">
        <v>20</v>
      </c>
      <c r="G33" s="61" t="s">
        <v>565</v>
      </c>
      <c r="H33" s="61" t="s">
        <v>689</v>
      </c>
      <c r="I33" s="61">
        <v>40.641311000000002</v>
      </c>
      <c r="J33" s="61">
        <v>-73.778138999999996</v>
      </c>
      <c r="K33" s="61">
        <v>14.69230808</v>
      </c>
      <c r="L33" s="61">
        <v>17.010000000000002</v>
      </c>
      <c r="M33" s="61" t="s">
        <v>617</v>
      </c>
      <c r="N33" s="149">
        <v>42</v>
      </c>
      <c r="O33" s="149">
        <v>43</v>
      </c>
      <c r="P33" s="61" t="s">
        <v>565</v>
      </c>
      <c r="Q33" s="61" t="s">
        <v>555</v>
      </c>
      <c r="R33" s="61">
        <v>40.6895314</v>
      </c>
      <c r="S33" s="61">
        <v>-74.174462399999996</v>
      </c>
      <c r="T33" s="61">
        <v>28.129000000000001</v>
      </c>
      <c r="U33" s="61" t="s">
        <v>617</v>
      </c>
      <c r="V33" s="61" t="s">
        <v>617</v>
      </c>
      <c r="W33" s="61"/>
      <c r="Y33" s="137">
        <f>Summary_LCIA!H$32</f>
        <v>0.33979999999999999</v>
      </c>
      <c r="Z33" s="137">
        <f>Summary_LCIA!Q$32</f>
        <v>4.9560504329999997</v>
      </c>
      <c r="AA33" s="137">
        <f>Summary_LCIA!R$32</f>
        <v>5.2655999999999996E-3</v>
      </c>
      <c r="AB33" s="137">
        <f>Summary_LCIA!S$32</f>
        <v>0.33538000000000001</v>
      </c>
      <c r="AC33" s="137">
        <f>Summary_LCIA!T$32</f>
        <v>0.1099</v>
      </c>
      <c r="AD33" s="137">
        <f>Summary_LCIA!U$32</f>
        <v>1.7913999999999999E-2</v>
      </c>
      <c r="AE33" s="137">
        <f>Summary_LCIA!V$32</f>
        <v>4.7760999999999999E-5</v>
      </c>
      <c r="AF33" s="137">
        <f>Summary_LCIA!W$32</f>
        <v>7.6970999999999998E-2</v>
      </c>
      <c r="AG33" s="137">
        <f>Summary_LCIA!X$32</f>
        <v>2.2780000000000002E-2</v>
      </c>
      <c r="AH33" s="137">
        <f>Summary_LCIA!Y$32</f>
        <v>1.5582E-2</v>
      </c>
      <c r="AI33" s="137">
        <f>Summary_LCIA!Z$32</f>
        <v>4.1009E-5</v>
      </c>
      <c r="AJ33" s="137">
        <f>Summary_LCIA!AA$32</f>
        <v>2.3355999999999998E-2</v>
      </c>
      <c r="AK33" s="137">
        <f>Summary_LCIA!AB$32</f>
        <v>-2.1823000000000001E-5</v>
      </c>
      <c r="AL33" s="137">
        <f>Summary_LCIA!AC$32</f>
        <v>4.8884000000000003E-8</v>
      </c>
      <c r="AM33" s="137">
        <f>Summary_LCIA!AD$32</f>
        <v>4.1103999999999999E-4</v>
      </c>
      <c r="AN33" s="137">
        <f>Summary_LCIA!AE$32</f>
        <v>8.8612999999999995E-4</v>
      </c>
      <c r="AO33" s="137">
        <f>Summary_LCIA!AF$32</f>
        <v>8.4542000000000005E-4</v>
      </c>
      <c r="AP33" s="137">
        <f>Summary_LCIA!AG$32</f>
        <v>5.1165000000000002E-5</v>
      </c>
      <c r="AQ33" s="137">
        <f>Summary_LCIA!AH$32</f>
        <v>8.7036000000000006E-3</v>
      </c>
      <c r="AR33" s="137">
        <f>Summary_LCIA!AI$32</f>
        <v>9.3154999999999996E-4</v>
      </c>
      <c r="AT33" s="137">
        <f t="shared" si="2"/>
        <v>9.5582341999999993</v>
      </c>
      <c r="AU33" s="137">
        <f t="shared" si="14"/>
        <v>139.40874262985699</v>
      </c>
      <c r="AV33" s="137">
        <f t="shared" si="15"/>
        <v>0.1481160624</v>
      </c>
      <c r="AW33" s="137">
        <f t="shared" si="16"/>
        <v>9.4339040199999999</v>
      </c>
      <c r="AX33" s="137">
        <f t="shared" si="17"/>
        <v>3.0913770999999999</v>
      </c>
      <c r="AY33" s="137">
        <f t="shared" si="18"/>
        <v>0.50390290599999998</v>
      </c>
      <c r="AZ33" s="137">
        <f t="shared" si="19"/>
        <v>1.3434691690000001E-3</v>
      </c>
      <c r="BA33" s="137">
        <f t="shared" si="20"/>
        <v>2.1651172590000001</v>
      </c>
      <c r="BB33" s="137">
        <f t="shared" si="21"/>
        <v>0.64077862000000008</v>
      </c>
      <c r="BC33" s="137">
        <f t="shared" si="3"/>
        <v>0.43830607800000004</v>
      </c>
      <c r="BD33" s="137">
        <f t="shared" si="4"/>
        <v>1.153542161E-3</v>
      </c>
      <c r="BE33" s="137">
        <f t="shared" si="5"/>
        <v>0.65698092399999997</v>
      </c>
      <c r="BF33" s="137">
        <f t="shared" si="6"/>
        <v>-6.13859167E-4</v>
      </c>
      <c r="BG33" s="137">
        <f t="shared" si="7"/>
        <v>1.3750580360000002E-6</v>
      </c>
      <c r="BH33" s="137">
        <f t="shared" si="8"/>
        <v>1.1562144160000001E-2</v>
      </c>
      <c r="BI33" s="137">
        <f t="shared" si="9"/>
        <v>2.492595077E-2</v>
      </c>
      <c r="BJ33" s="137">
        <f t="shared" si="10"/>
        <v>2.3780819180000003E-2</v>
      </c>
      <c r="BK33" s="137">
        <f t="shared" si="11"/>
        <v>1.4392202850000001E-3</v>
      </c>
      <c r="BL33" s="137">
        <f t="shared" si="12"/>
        <v>0.24482356440000003</v>
      </c>
      <c r="BM33" s="137">
        <f t="shared" si="13"/>
        <v>2.6203569949999998E-2</v>
      </c>
    </row>
    <row r="34" spans="1:65" x14ac:dyDescent="0.25">
      <c r="A34" s="149">
        <v>316</v>
      </c>
      <c r="B34" s="149">
        <v>29</v>
      </c>
      <c r="C34" s="61">
        <v>47.673988000000001</v>
      </c>
      <c r="D34" s="61">
        <v>-122.121512</v>
      </c>
      <c r="E34" s="61" t="s">
        <v>265</v>
      </c>
      <c r="F34" s="149">
        <v>29</v>
      </c>
      <c r="G34" s="61" t="s">
        <v>565</v>
      </c>
      <c r="H34" s="61" t="s">
        <v>719</v>
      </c>
      <c r="I34" s="61">
        <v>47.450249999999997</v>
      </c>
      <c r="J34" s="61">
        <v>-122.308817</v>
      </c>
      <c r="K34" s="61">
        <v>41.554973830000002</v>
      </c>
      <c r="L34" s="61">
        <v>37.302999999999997</v>
      </c>
      <c r="M34" s="61" t="s">
        <v>617</v>
      </c>
      <c r="N34" s="149">
        <v>28</v>
      </c>
      <c r="O34" s="149">
        <v>29</v>
      </c>
      <c r="P34" s="61" t="s">
        <v>565</v>
      </c>
      <c r="Q34" s="61" t="s">
        <v>559</v>
      </c>
      <c r="R34" s="61">
        <v>47.450249900000003</v>
      </c>
      <c r="S34" s="61">
        <v>-122.30881650000001</v>
      </c>
      <c r="T34" s="61">
        <v>37.301000000000002</v>
      </c>
      <c r="U34" s="61" t="s">
        <v>617</v>
      </c>
      <c r="V34" s="61" t="s">
        <v>617</v>
      </c>
      <c r="W34" s="61"/>
      <c r="Y34" s="137">
        <f>Summary_LCIA!H$32</f>
        <v>0.33979999999999999</v>
      </c>
      <c r="Z34" s="137">
        <f>Summary_LCIA!Q$32</f>
        <v>4.9560504329999997</v>
      </c>
      <c r="AA34" s="137">
        <f>Summary_LCIA!R$32</f>
        <v>5.2655999999999996E-3</v>
      </c>
      <c r="AB34" s="137">
        <f>Summary_LCIA!S$32</f>
        <v>0.33538000000000001</v>
      </c>
      <c r="AC34" s="137">
        <f>Summary_LCIA!T$32</f>
        <v>0.1099</v>
      </c>
      <c r="AD34" s="137">
        <f>Summary_LCIA!U$32</f>
        <v>1.7913999999999999E-2</v>
      </c>
      <c r="AE34" s="137">
        <f>Summary_LCIA!V$32</f>
        <v>4.7760999999999999E-5</v>
      </c>
      <c r="AF34" s="137">
        <f>Summary_LCIA!W$32</f>
        <v>7.6970999999999998E-2</v>
      </c>
      <c r="AG34" s="137">
        <f>Summary_LCIA!X$32</f>
        <v>2.2780000000000002E-2</v>
      </c>
      <c r="AH34" s="137">
        <f>Summary_LCIA!Y$32</f>
        <v>1.5582E-2</v>
      </c>
      <c r="AI34" s="137">
        <f>Summary_LCIA!Z$32</f>
        <v>4.1009E-5</v>
      </c>
      <c r="AJ34" s="137">
        <f>Summary_LCIA!AA$32</f>
        <v>2.3355999999999998E-2</v>
      </c>
      <c r="AK34" s="137">
        <f>Summary_LCIA!AB$32</f>
        <v>-2.1823000000000001E-5</v>
      </c>
      <c r="AL34" s="137">
        <f>Summary_LCIA!AC$32</f>
        <v>4.8884000000000003E-8</v>
      </c>
      <c r="AM34" s="137">
        <f>Summary_LCIA!AD$32</f>
        <v>4.1103999999999999E-4</v>
      </c>
      <c r="AN34" s="137">
        <f>Summary_LCIA!AE$32</f>
        <v>8.8612999999999995E-4</v>
      </c>
      <c r="AO34" s="137">
        <f>Summary_LCIA!AF$32</f>
        <v>8.4542000000000005E-4</v>
      </c>
      <c r="AP34" s="137">
        <f>Summary_LCIA!AG$32</f>
        <v>5.1165000000000002E-5</v>
      </c>
      <c r="AQ34" s="137">
        <f>Summary_LCIA!AH$32</f>
        <v>8.7036000000000006E-3</v>
      </c>
      <c r="AR34" s="137">
        <f>Summary_LCIA!AI$32</f>
        <v>9.3154999999999996E-4</v>
      </c>
      <c r="AT34" s="137">
        <f t="shared" si="2"/>
        <v>12.674879800000001</v>
      </c>
      <c r="AU34" s="137">
        <f t="shared" si="14"/>
        <v>184.86563720133299</v>
      </c>
      <c r="AV34" s="137">
        <f t="shared" si="15"/>
        <v>0.1964121456</v>
      </c>
      <c r="AW34" s="137">
        <f t="shared" si="16"/>
        <v>12.510009380000001</v>
      </c>
      <c r="AX34" s="137">
        <f t="shared" si="17"/>
        <v>4.0993798999999997</v>
      </c>
      <c r="AY34" s="137">
        <f t="shared" si="18"/>
        <v>0.66821011399999997</v>
      </c>
      <c r="AZ34" s="137">
        <f t="shared" si="19"/>
        <v>1.781533061E-3</v>
      </c>
      <c r="BA34" s="137">
        <f t="shared" si="20"/>
        <v>2.8710952710000002</v>
      </c>
      <c r="BB34" s="137">
        <f t="shared" si="21"/>
        <v>0.84971678000000006</v>
      </c>
      <c r="BC34" s="137">
        <f t="shared" si="3"/>
        <v>0.58122418200000003</v>
      </c>
      <c r="BD34" s="137">
        <f t="shared" si="4"/>
        <v>1.529676709E-3</v>
      </c>
      <c r="BE34" s="137">
        <f t="shared" si="5"/>
        <v>0.87120215599999995</v>
      </c>
      <c r="BF34" s="137">
        <f t="shared" si="6"/>
        <v>-8.1401972300000007E-4</v>
      </c>
      <c r="BG34" s="137">
        <f t="shared" si="7"/>
        <v>1.8234220840000003E-6</v>
      </c>
      <c r="BH34" s="137">
        <f t="shared" si="8"/>
        <v>1.5332203040000001E-2</v>
      </c>
      <c r="BI34" s="137">
        <f t="shared" si="9"/>
        <v>3.3053535129999999E-2</v>
      </c>
      <c r="BJ34" s="137">
        <f t="shared" si="10"/>
        <v>3.1535011420000002E-2</v>
      </c>
      <c r="BK34" s="137">
        <f t="shared" si="11"/>
        <v>1.9085056650000002E-3</v>
      </c>
      <c r="BL34" s="137">
        <f t="shared" si="12"/>
        <v>0.32465298360000006</v>
      </c>
      <c r="BM34" s="137">
        <f t="shared" si="13"/>
        <v>3.474774655E-2</v>
      </c>
    </row>
    <row r="35" spans="1:65" x14ac:dyDescent="0.25">
      <c r="A35" s="149">
        <v>317</v>
      </c>
      <c r="B35" s="149">
        <v>29</v>
      </c>
      <c r="C35" s="61">
        <v>47.673988000000001</v>
      </c>
      <c r="D35" s="61">
        <v>-122.121512</v>
      </c>
      <c r="E35" s="61" t="s">
        <v>265</v>
      </c>
      <c r="F35" s="149">
        <v>29</v>
      </c>
      <c r="G35" s="61" t="s">
        <v>565</v>
      </c>
      <c r="H35" s="61" t="s">
        <v>719</v>
      </c>
      <c r="I35" s="61">
        <v>47.450249999999997</v>
      </c>
      <c r="J35" s="61">
        <v>-122.308817</v>
      </c>
      <c r="K35" s="61">
        <v>41.554973830000002</v>
      </c>
      <c r="L35" s="61">
        <v>37.302999999999997</v>
      </c>
      <c r="M35" s="61" t="s">
        <v>617</v>
      </c>
      <c r="N35" s="149">
        <v>28</v>
      </c>
      <c r="O35" s="149">
        <v>29</v>
      </c>
      <c r="P35" s="61" t="s">
        <v>565</v>
      </c>
      <c r="Q35" s="61" t="s">
        <v>559</v>
      </c>
      <c r="R35" s="61">
        <v>47.450249900000003</v>
      </c>
      <c r="S35" s="61">
        <v>-122.30881650000001</v>
      </c>
      <c r="T35" s="61">
        <v>37.301000000000002</v>
      </c>
      <c r="U35" s="61" t="s">
        <v>617</v>
      </c>
      <c r="V35" s="61" t="s">
        <v>617</v>
      </c>
      <c r="W35" s="61"/>
      <c r="Y35" s="137">
        <f>Summary_LCIA!H$32</f>
        <v>0.33979999999999999</v>
      </c>
      <c r="Z35" s="137">
        <f>Summary_LCIA!Q$32</f>
        <v>4.9560504329999997</v>
      </c>
      <c r="AA35" s="137">
        <f>Summary_LCIA!R$32</f>
        <v>5.2655999999999996E-3</v>
      </c>
      <c r="AB35" s="137">
        <f>Summary_LCIA!S$32</f>
        <v>0.33538000000000001</v>
      </c>
      <c r="AC35" s="137">
        <f>Summary_LCIA!T$32</f>
        <v>0.1099</v>
      </c>
      <c r="AD35" s="137">
        <f>Summary_LCIA!U$32</f>
        <v>1.7913999999999999E-2</v>
      </c>
      <c r="AE35" s="137">
        <f>Summary_LCIA!V$32</f>
        <v>4.7760999999999999E-5</v>
      </c>
      <c r="AF35" s="137">
        <f>Summary_LCIA!W$32</f>
        <v>7.6970999999999998E-2</v>
      </c>
      <c r="AG35" s="137">
        <f>Summary_LCIA!X$32</f>
        <v>2.2780000000000002E-2</v>
      </c>
      <c r="AH35" s="137">
        <f>Summary_LCIA!Y$32</f>
        <v>1.5582E-2</v>
      </c>
      <c r="AI35" s="137">
        <f>Summary_LCIA!Z$32</f>
        <v>4.1009E-5</v>
      </c>
      <c r="AJ35" s="137">
        <f>Summary_LCIA!AA$32</f>
        <v>2.3355999999999998E-2</v>
      </c>
      <c r="AK35" s="137">
        <f>Summary_LCIA!AB$32</f>
        <v>-2.1823000000000001E-5</v>
      </c>
      <c r="AL35" s="137">
        <f>Summary_LCIA!AC$32</f>
        <v>4.8884000000000003E-8</v>
      </c>
      <c r="AM35" s="137">
        <f>Summary_LCIA!AD$32</f>
        <v>4.1103999999999999E-4</v>
      </c>
      <c r="AN35" s="137">
        <f>Summary_LCIA!AE$32</f>
        <v>8.8612999999999995E-4</v>
      </c>
      <c r="AO35" s="137">
        <f>Summary_LCIA!AF$32</f>
        <v>8.4542000000000005E-4</v>
      </c>
      <c r="AP35" s="137">
        <f>Summary_LCIA!AG$32</f>
        <v>5.1165000000000002E-5</v>
      </c>
      <c r="AQ35" s="137">
        <f>Summary_LCIA!AH$32</f>
        <v>8.7036000000000006E-3</v>
      </c>
      <c r="AR35" s="137">
        <f>Summary_LCIA!AI$32</f>
        <v>9.3154999999999996E-4</v>
      </c>
      <c r="AT35" s="137">
        <f t="shared" si="2"/>
        <v>12.674879800000001</v>
      </c>
      <c r="AU35" s="137">
        <f t="shared" si="14"/>
        <v>184.86563720133299</v>
      </c>
      <c r="AV35" s="137">
        <f t="shared" si="15"/>
        <v>0.1964121456</v>
      </c>
      <c r="AW35" s="137">
        <f t="shared" si="16"/>
        <v>12.510009380000001</v>
      </c>
      <c r="AX35" s="137">
        <f t="shared" si="17"/>
        <v>4.0993798999999997</v>
      </c>
      <c r="AY35" s="137">
        <f t="shared" si="18"/>
        <v>0.66821011399999997</v>
      </c>
      <c r="AZ35" s="137">
        <f t="shared" si="19"/>
        <v>1.781533061E-3</v>
      </c>
      <c r="BA35" s="137">
        <f t="shared" si="20"/>
        <v>2.8710952710000002</v>
      </c>
      <c r="BB35" s="137">
        <f t="shared" si="21"/>
        <v>0.84971678000000006</v>
      </c>
      <c r="BC35" s="137">
        <f t="shared" si="3"/>
        <v>0.58122418200000003</v>
      </c>
      <c r="BD35" s="137">
        <f t="shared" si="4"/>
        <v>1.529676709E-3</v>
      </c>
      <c r="BE35" s="137">
        <f t="shared" si="5"/>
        <v>0.87120215599999995</v>
      </c>
      <c r="BF35" s="137">
        <f t="shared" si="6"/>
        <v>-8.1401972300000007E-4</v>
      </c>
      <c r="BG35" s="137">
        <f t="shared" si="7"/>
        <v>1.8234220840000003E-6</v>
      </c>
      <c r="BH35" s="137">
        <f t="shared" si="8"/>
        <v>1.5332203040000001E-2</v>
      </c>
      <c r="BI35" s="137">
        <f t="shared" si="9"/>
        <v>3.3053535129999999E-2</v>
      </c>
      <c r="BJ35" s="137">
        <f t="shared" si="10"/>
        <v>3.1535011420000002E-2</v>
      </c>
      <c r="BK35" s="137">
        <f t="shared" si="11"/>
        <v>1.9085056650000002E-3</v>
      </c>
      <c r="BL35" s="137">
        <f t="shared" si="12"/>
        <v>0.32465298360000006</v>
      </c>
      <c r="BM35" s="137">
        <f t="shared" si="13"/>
        <v>3.474774655E-2</v>
      </c>
    </row>
    <row r="36" spans="1:65" x14ac:dyDescent="0.25">
      <c r="A36" s="149">
        <v>318</v>
      </c>
      <c r="B36" s="149">
        <v>29</v>
      </c>
      <c r="C36" s="61">
        <v>47.673988000000001</v>
      </c>
      <c r="D36" s="61">
        <v>-122.121512</v>
      </c>
      <c r="E36" s="61" t="s">
        <v>265</v>
      </c>
      <c r="F36" s="149">
        <v>29</v>
      </c>
      <c r="G36" s="61" t="s">
        <v>565</v>
      </c>
      <c r="H36" s="61" t="s">
        <v>719</v>
      </c>
      <c r="I36" s="61">
        <v>47.450249999999997</v>
      </c>
      <c r="J36" s="61">
        <v>-122.308817</v>
      </c>
      <c r="K36" s="61">
        <v>41.554973830000002</v>
      </c>
      <c r="L36" s="61">
        <v>37.302999999999997</v>
      </c>
      <c r="M36" s="61" t="s">
        <v>617</v>
      </c>
      <c r="N36" s="149">
        <v>28</v>
      </c>
      <c r="O36" s="149">
        <v>29</v>
      </c>
      <c r="P36" s="61" t="s">
        <v>565</v>
      </c>
      <c r="Q36" s="61" t="s">
        <v>559</v>
      </c>
      <c r="R36" s="61">
        <v>47.450249900000003</v>
      </c>
      <c r="S36" s="61">
        <v>-122.30881650000001</v>
      </c>
      <c r="T36" s="61">
        <v>37.301000000000002</v>
      </c>
      <c r="U36" s="61" t="s">
        <v>617</v>
      </c>
      <c r="V36" s="61" t="s">
        <v>617</v>
      </c>
      <c r="W36" s="61"/>
      <c r="Y36" s="137">
        <f>Summary_LCIA!H$32</f>
        <v>0.33979999999999999</v>
      </c>
      <c r="Z36" s="137">
        <f>Summary_LCIA!Q$32</f>
        <v>4.9560504329999997</v>
      </c>
      <c r="AA36" s="137">
        <f>Summary_LCIA!R$32</f>
        <v>5.2655999999999996E-3</v>
      </c>
      <c r="AB36" s="137">
        <f>Summary_LCIA!S$32</f>
        <v>0.33538000000000001</v>
      </c>
      <c r="AC36" s="137">
        <f>Summary_LCIA!T$32</f>
        <v>0.1099</v>
      </c>
      <c r="AD36" s="137">
        <f>Summary_LCIA!U$32</f>
        <v>1.7913999999999999E-2</v>
      </c>
      <c r="AE36" s="137">
        <f>Summary_LCIA!V$32</f>
        <v>4.7760999999999999E-5</v>
      </c>
      <c r="AF36" s="137">
        <f>Summary_LCIA!W$32</f>
        <v>7.6970999999999998E-2</v>
      </c>
      <c r="AG36" s="137">
        <f>Summary_LCIA!X$32</f>
        <v>2.2780000000000002E-2</v>
      </c>
      <c r="AH36" s="137">
        <f>Summary_LCIA!Y$32</f>
        <v>1.5582E-2</v>
      </c>
      <c r="AI36" s="137">
        <f>Summary_LCIA!Z$32</f>
        <v>4.1009E-5</v>
      </c>
      <c r="AJ36" s="137">
        <f>Summary_LCIA!AA$32</f>
        <v>2.3355999999999998E-2</v>
      </c>
      <c r="AK36" s="137">
        <f>Summary_LCIA!AB$32</f>
        <v>-2.1823000000000001E-5</v>
      </c>
      <c r="AL36" s="137">
        <f>Summary_LCIA!AC$32</f>
        <v>4.8884000000000003E-8</v>
      </c>
      <c r="AM36" s="137">
        <f>Summary_LCIA!AD$32</f>
        <v>4.1103999999999999E-4</v>
      </c>
      <c r="AN36" s="137">
        <f>Summary_LCIA!AE$32</f>
        <v>8.8612999999999995E-4</v>
      </c>
      <c r="AO36" s="137">
        <f>Summary_LCIA!AF$32</f>
        <v>8.4542000000000005E-4</v>
      </c>
      <c r="AP36" s="137">
        <f>Summary_LCIA!AG$32</f>
        <v>5.1165000000000002E-5</v>
      </c>
      <c r="AQ36" s="137">
        <f>Summary_LCIA!AH$32</f>
        <v>8.7036000000000006E-3</v>
      </c>
      <c r="AR36" s="137">
        <f>Summary_LCIA!AI$32</f>
        <v>9.3154999999999996E-4</v>
      </c>
      <c r="AT36" s="137">
        <f t="shared" si="2"/>
        <v>12.674879800000001</v>
      </c>
      <c r="AU36" s="137">
        <f t="shared" si="14"/>
        <v>184.86563720133299</v>
      </c>
      <c r="AV36" s="137">
        <f t="shared" si="15"/>
        <v>0.1964121456</v>
      </c>
      <c r="AW36" s="137">
        <f t="shared" si="16"/>
        <v>12.510009380000001</v>
      </c>
      <c r="AX36" s="137">
        <f t="shared" si="17"/>
        <v>4.0993798999999997</v>
      </c>
      <c r="AY36" s="137">
        <f t="shared" si="18"/>
        <v>0.66821011399999997</v>
      </c>
      <c r="AZ36" s="137">
        <f t="shared" si="19"/>
        <v>1.781533061E-3</v>
      </c>
      <c r="BA36" s="137">
        <f t="shared" si="20"/>
        <v>2.8710952710000002</v>
      </c>
      <c r="BB36" s="137">
        <f t="shared" si="21"/>
        <v>0.84971678000000006</v>
      </c>
      <c r="BC36" s="137">
        <f t="shared" si="3"/>
        <v>0.58122418200000003</v>
      </c>
      <c r="BD36" s="137">
        <f t="shared" si="4"/>
        <v>1.529676709E-3</v>
      </c>
      <c r="BE36" s="137">
        <f t="shared" si="5"/>
        <v>0.87120215599999995</v>
      </c>
      <c r="BF36" s="137">
        <f t="shared" si="6"/>
        <v>-8.1401972300000007E-4</v>
      </c>
      <c r="BG36" s="137">
        <f t="shared" si="7"/>
        <v>1.8234220840000003E-6</v>
      </c>
      <c r="BH36" s="137">
        <f t="shared" si="8"/>
        <v>1.5332203040000001E-2</v>
      </c>
      <c r="BI36" s="137">
        <f t="shared" si="9"/>
        <v>3.3053535129999999E-2</v>
      </c>
      <c r="BJ36" s="137">
        <f t="shared" si="10"/>
        <v>3.1535011420000002E-2</v>
      </c>
      <c r="BK36" s="137">
        <f t="shared" si="11"/>
        <v>1.9085056650000002E-3</v>
      </c>
      <c r="BL36" s="137">
        <f t="shared" si="12"/>
        <v>0.32465298360000006</v>
      </c>
      <c r="BM36" s="137">
        <f t="shared" si="13"/>
        <v>3.474774655E-2</v>
      </c>
    </row>
    <row r="37" spans="1:65" x14ac:dyDescent="0.25">
      <c r="A37" s="149">
        <v>249</v>
      </c>
      <c r="B37" s="149">
        <v>6</v>
      </c>
      <c r="C37" s="61">
        <v>42.283079000000001</v>
      </c>
      <c r="D37" s="61">
        <v>-87.953130000000002</v>
      </c>
      <c r="E37" s="61" t="s">
        <v>265</v>
      </c>
      <c r="F37" s="149">
        <v>6</v>
      </c>
      <c r="G37" s="61" t="s">
        <v>565</v>
      </c>
      <c r="H37" s="61" t="s">
        <v>673</v>
      </c>
      <c r="I37" s="61">
        <v>41.98028</v>
      </c>
      <c r="J37" s="61">
        <v>-87.908997999999997</v>
      </c>
      <c r="K37" s="61">
        <v>52.053779710000001</v>
      </c>
      <c r="L37" s="61">
        <v>42.158000000000001</v>
      </c>
      <c r="M37" s="61" t="s">
        <v>617</v>
      </c>
      <c r="N37" s="149">
        <v>5</v>
      </c>
      <c r="O37" s="149">
        <v>6</v>
      </c>
      <c r="P37" s="61" t="s">
        <v>565</v>
      </c>
      <c r="Q37" s="61" t="s">
        <v>564</v>
      </c>
      <c r="R37" s="61">
        <v>41.98028</v>
      </c>
      <c r="S37" s="61">
        <v>-87.908997900000003</v>
      </c>
      <c r="T37" s="61">
        <v>42.158000000000001</v>
      </c>
      <c r="U37" s="61" t="s">
        <v>617</v>
      </c>
      <c r="V37" s="61" t="s">
        <v>617</v>
      </c>
      <c r="W37" s="61"/>
      <c r="Y37" s="137">
        <f>Summary_LCIA!H$32</f>
        <v>0.33979999999999999</v>
      </c>
      <c r="Z37" s="137">
        <f>Summary_LCIA!Q$32</f>
        <v>4.9560504329999997</v>
      </c>
      <c r="AA37" s="137">
        <f>Summary_LCIA!R$32</f>
        <v>5.2655999999999996E-3</v>
      </c>
      <c r="AB37" s="137">
        <f>Summary_LCIA!S$32</f>
        <v>0.33538000000000001</v>
      </c>
      <c r="AC37" s="137">
        <f>Summary_LCIA!T$32</f>
        <v>0.1099</v>
      </c>
      <c r="AD37" s="137">
        <f>Summary_LCIA!U$32</f>
        <v>1.7913999999999999E-2</v>
      </c>
      <c r="AE37" s="137">
        <f>Summary_LCIA!V$32</f>
        <v>4.7760999999999999E-5</v>
      </c>
      <c r="AF37" s="137">
        <f>Summary_LCIA!W$32</f>
        <v>7.6970999999999998E-2</v>
      </c>
      <c r="AG37" s="137">
        <f>Summary_LCIA!X$32</f>
        <v>2.2780000000000002E-2</v>
      </c>
      <c r="AH37" s="137">
        <f>Summary_LCIA!Y$32</f>
        <v>1.5582E-2</v>
      </c>
      <c r="AI37" s="137">
        <f>Summary_LCIA!Z$32</f>
        <v>4.1009E-5</v>
      </c>
      <c r="AJ37" s="137">
        <f>Summary_LCIA!AA$32</f>
        <v>2.3355999999999998E-2</v>
      </c>
      <c r="AK37" s="137">
        <f>Summary_LCIA!AB$32</f>
        <v>-2.1823000000000001E-5</v>
      </c>
      <c r="AL37" s="137">
        <f>Summary_LCIA!AC$32</f>
        <v>4.8884000000000003E-8</v>
      </c>
      <c r="AM37" s="137">
        <f>Summary_LCIA!AD$32</f>
        <v>4.1103999999999999E-4</v>
      </c>
      <c r="AN37" s="137">
        <f>Summary_LCIA!AE$32</f>
        <v>8.8612999999999995E-4</v>
      </c>
      <c r="AO37" s="137">
        <f>Summary_LCIA!AF$32</f>
        <v>8.4542000000000005E-4</v>
      </c>
      <c r="AP37" s="137">
        <f>Summary_LCIA!AG$32</f>
        <v>5.1165000000000002E-5</v>
      </c>
      <c r="AQ37" s="137">
        <f>Summary_LCIA!AH$32</f>
        <v>8.7036000000000006E-3</v>
      </c>
      <c r="AR37" s="137">
        <f>Summary_LCIA!AI$32</f>
        <v>9.3154999999999996E-4</v>
      </c>
      <c r="AT37" s="137">
        <f t="shared" si="2"/>
        <v>14.3252884</v>
      </c>
      <c r="AU37" s="137">
        <f t="shared" si="14"/>
        <v>208.93717415441398</v>
      </c>
      <c r="AV37" s="137">
        <f t="shared" si="15"/>
        <v>0.2219871648</v>
      </c>
      <c r="AW37" s="137">
        <f t="shared" si="16"/>
        <v>14.138950040000001</v>
      </c>
      <c r="AX37" s="137">
        <f t="shared" si="17"/>
        <v>4.6331642000000004</v>
      </c>
      <c r="AY37" s="137">
        <f t="shared" si="18"/>
        <v>0.75521841199999995</v>
      </c>
      <c r="AZ37" s="137">
        <f t="shared" si="19"/>
        <v>2.0135082380000001E-3</v>
      </c>
      <c r="BA37" s="137">
        <f t="shared" si="20"/>
        <v>3.2449434180000001</v>
      </c>
      <c r="BB37" s="137">
        <f t="shared" si="21"/>
        <v>0.96035924000000006</v>
      </c>
      <c r="BC37" s="137">
        <f t="shared" si="3"/>
        <v>0.65690595600000001</v>
      </c>
      <c r="BD37" s="137">
        <f t="shared" si="4"/>
        <v>1.7288574220000001E-3</v>
      </c>
      <c r="BE37" s="137">
        <f t="shared" si="5"/>
        <v>0.984642248</v>
      </c>
      <c r="BF37" s="137">
        <f t="shared" si="6"/>
        <v>-9.2001403400000011E-4</v>
      </c>
      <c r="BG37" s="137">
        <f t="shared" si="7"/>
        <v>2.0608516720000001E-6</v>
      </c>
      <c r="BH37" s="137">
        <f t="shared" si="8"/>
        <v>1.732862432E-2</v>
      </c>
      <c r="BI37" s="137">
        <f t="shared" si="9"/>
        <v>3.7357468540000001E-2</v>
      </c>
      <c r="BJ37" s="137">
        <f t="shared" si="10"/>
        <v>3.5641216360000005E-2</v>
      </c>
      <c r="BK37" s="137">
        <f t="shared" si="11"/>
        <v>2.1570140700000002E-3</v>
      </c>
      <c r="BL37" s="137">
        <f t="shared" si="12"/>
        <v>0.36692636880000001</v>
      </c>
      <c r="BM37" s="137">
        <f t="shared" si="13"/>
        <v>3.9272284900000003E-2</v>
      </c>
    </row>
    <row r="38" spans="1:65" x14ac:dyDescent="0.25">
      <c r="A38" s="149">
        <v>121</v>
      </c>
      <c r="B38" s="149">
        <v>6</v>
      </c>
      <c r="C38" s="61">
        <v>41.712980000000002</v>
      </c>
      <c r="D38" s="61">
        <v>-87.960780999999997</v>
      </c>
      <c r="E38" s="61" t="s">
        <v>265</v>
      </c>
      <c r="F38" s="149">
        <v>88</v>
      </c>
      <c r="G38" s="61" t="s">
        <v>674</v>
      </c>
      <c r="H38" s="61" t="s">
        <v>675</v>
      </c>
      <c r="I38" s="61">
        <v>41.786776000000003</v>
      </c>
      <c r="J38" s="61">
        <v>-87.752188000000004</v>
      </c>
      <c r="K38" s="61">
        <v>21.68769485</v>
      </c>
      <c r="L38" s="61">
        <v>26.821000000000002</v>
      </c>
      <c r="M38" s="61" t="s">
        <v>617</v>
      </c>
      <c r="N38" s="149">
        <v>5</v>
      </c>
      <c r="O38" s="149">
        <v>6</v>
      </c>
      <c r="P38" s="61" t="s">
        <v>565</v>
      </c>
      <c r="Q38" s="61" t="s">
        <v>564</v>
      </c>
      <c r="R38" s="61">
        <v>41.98028</v>
      </c>
      <c r="S38" s="61">
        <v>-87.908997900000003</v>
      </c>
      <c r="T38" s="61">
        <v>42.777999999999999</v>
      </c>
      <c r="U38" s="61" t="s">
        <v>617</v>
      </c>
      <c r="V38" s="61" t="s">
        <v>617</v>
      </c>
      <c r="W38" s="61"/>
      <c r="Y38" s="137">
        <f>Summary_LCIA!H$32</f>
        <v>0.33979999999999999</v>
      </c>
      <c r="Z38" s="137">
        <f>Summary_LCIA!Q$32</f>
        <v>4.9560504329999997</v>
      </c>
      <c r="AA38" s="137">
        <f>Summary_LCIA!R$32</f>
        <v>5.2655999999999996E-3</v>
      </c>
      <c r="AB38" s="137">
        <f>Summary_LCIA!S$32</f>
        <v>0.33538000000000001</v>
      </c>
      <c r="AC38" s="137">
        <f>Summary_LCIA!T$32</f>
        <v>0.1099</v>
      </c>
      <c r="AD38" s="137">
        <f>Summary_LCIA!U$32</f>
        <v>1.7913999999999999E-2</v>
      </c>
      <c r="AE38" s="137">
        <f>Summary_LCIA!V$32</f>
        <v>4.7760999999999999E-5</v>
      </c>
      <c r="AF38" s="137">
        <f>Summary_LCIA!W$32</f>
        <v>7.6970999999999998E-2</v>
      </c>
      <c r="AG38" s="137">
        <f>Summary_LCIA!X$32</f>
        <v>2.2780000000000002E-2</v>
      </c>
      <c r="AH38" s="137">
        <f>Summary_LCIA!Y$32</f>
        <v>1.5582E-2</v>
      </c>
      <c r="AI38" s="137">
        <f>Summary_LCIA!Z$32</f>
        <v>4.1009E-5</v>
      </c>
      <c r="AJ38" s="137">
        <f>Summary_LCIA!AA$32</f>
        <v>2.3355999999999998E-2</v>
      </c>
      <c r="AK38" s="137">
        <f>Summary_LCIA!AB$32</f>
        <v>-2.1823000000000001E-5</v>
      </c>
      <c r="AL38" s="137">
        <f>Summary_LCIA!AC$32</f>
        <v>4.8884000000000003E-8</v>
      </c>
      <c r="AM38" s="137">
        <f>Summary_LCIA!AD$32</f>
        <v>4.1103999999999999E-4</v>
      </c>
      <c r="AN38" s="137">
        <f>Summary_LCIA!AE$32</f>
        <v>8.8612999999999995E-4</v>
      </c>
      <c r="AO38" s="137">
        <f>Summary_LCIA!AF$32</f>
        <v>8.4542000000000005E-4</v>
      </c>
      <c r="AP38" s="137">
        <f>Summary_LCIA!AG$32</f>
        <v>5.1165000000000002E-5</v>
      </c>
      <c r="AQ38" s="137">
        <f>Summary_LCIA!AH$32</f>
        <v>8.7036000000000006E-3</v>
      </c>
      <c r="AR38" s="137">
        <f>Summary_LCIA!AI$32</f>
        <v>9.3154999999999996E-4</v>
      </c>
      <c r="AT38" s="137">
        <f t="shared" si="2"/>
        <v>14.535964399999999</v>
      </c>
      <c r="AU38" s="137">
        <f t="shared" si="14"/>
        <v>212.00992542287398</v>
      </c>
      <c r="AV38" s="137">
        <f t="shared" si="15"/>
        <v>0.22525183679999997</v>
      </c>
      <c r="AW38" s="137">
        <f t="shared" si="16"/>
        <v>14.34688564</v>
      </c>
      <c r="AX38" s="137">
        <f t="shared" si="17"/>
        <v>4.7013021999999998</v>
      </c>
      <c r="AY38" s="137">
        <f t="shared" si="18"/>
        <v>0.76632509199999999</v>
      </c>
      <c r="AZ38" s="137">
        <f t="shared" si="19"/>
        <v>2.043120058E-3</v>
      </c>
      <c r="BA38" s="137">
        <f t="shared" si="20"/>
        <v>3.2926654379999998</v>
      </c>
      <c r="BB38" s="137">
        <f t="shared" si="21"/>
        <v>0.97448284000000007</v>
      </c>
      <c r="BC38" s="137">
        <f t="shared" si="3"/>
        <v>0.66656679600000002</v>
      </c>
      <c r="BD38" s="137">
        <f t="shared" si="4"/>
        <v>1.7542830019999999E-3</v>
      </c>
      <c r="BE38" s="137">
        <f t="shared" si="5"/>
        <v>0.99912296799999989</v>
      </c>
      <c r="BF38" s="137">
        <f t="shared" si="6"/>
        <v>-9.3354429400000004E-4</v>
      </c>
      <c r="BG38" s="137">
        <f t="shared" si="7"/>
        <v>2.0911597520000001E-6</v>
      </c>
      <c r="BH38" s="137">
        <f t="shared" si="8"/>
        <v>1.758346912E-2</v>
      </c>
      <c r="BI38" s="137">
        <f t="shared" si="9"/>
        <v>3.7906869139999994E-2</v>
      </c>
      <c r="BJ38" s="137">
        <f t="shared" si="10"/>
        <v>3.616537676E-2</v>
      </c>
      <c r="BK38" s="137">
        <f t="shared" si="11"/>
        <v>2.18873637E-3</v>
      </c>
      <c r="BL38" s="137">
        <f t="shared" si="12"/>
        <v>0.37232260080000001</v>
      </c>
      <c r="BM38" s="137">
        <f t="shared" si="13"/>
        <v>3.98498459E-2</v>
      </c>
    </row>
    <row r="39" spans="1:65" x14ac:dyDescent="0.25">
      <c r="A39" s="149">
        <v>122</v>
      </c>
      <c r="B39" s="149">
        <v>6</v>
      </c>
      <c r="C39" s="61">
        <v>41.712980000000002</v>
      </c>
      <c r="D39" s="61">
        <v>-87.960780999999997</v>
      </c>
      <c r="E39" s="61" t="s">
        <v>265</v>
      </c>
      <c r="F39" s="149">
        <v>88</v>
      </c>
      <c r="G39" s="61" t="s">
        <v>674</v>
      </c>
      <c r="H39" s="61" t="s">
        <v>675</v>
      </c>
      <c r="I39" s="61">
        <v>41.786776000000003</v>
      </c>
      <c r="J39" s="61">
        <v>-87.752188000000004</v>
      </c>
      <c r="K39" s="61">
        <v>21.68769485</v>
      </c>
      <c r="L39" s="61">
        <v>26.821000000000002</v>
      </c>
      <c r="M39" s="61" t="s">
        <v>617</v>
      </c>
      <c r="N39" s="149">
        <v>5</v>
      </c>
      <c r="O39" s="149">
        <v>6</v>
      </c>
      <c r="P39" s="61" t="s">
        <v>565</v>
      </c>
      <c r="Q39" s="61" t="s">
        <v>564</v>
      </c>
      <c r="R39" s="61">
        <v>41.98028</v>
      </c>
      <c r="S39" s="61">
        <v>-87.908997900000003</v>
      </c>
      <c r="T39" s="61">
        <v>42.777999999999999</v>
      </c>
      <c r="U39" s="61" t="s">
        <v>617</v>
      </c>
      <c r="V39" s="61" t="s">
        <v>617</v>
      </c>
      <c r="W39" s="61"/>
      <c r="Y39" s="137">
        <f>Summary_LCIA!H$32</f>
        <v>0.33979999999999999</v>
      </c>
      <c r="Z39" s="137">
        <f>Summary_LCIA!Q$32</f>
        <v>4.9560504329999997</v>
      </c>
      <c r="AA39" s="137">
        <f>Summary_LCIA!R$32</f>
        <v>5.2655999999999996E-3</v>
      </c>
      <c r="AB39" s="137">
        <f>Summary_LCIA!S$32</f>
        <v>0.33538000000000001</v>
      </c>
      <c r="AC39" s="137">
        <f>Summary_LCIA!T$32</f>
        <v>0.1099</v>
      </c>
      <c r="AD39" s="137">
        <f>Summary_LCIA!U$32</f>
        <v>1.7913999999999999E-2</v>
      </c>
      <c r="AE39" s="137">
        <f>Summary_LCIA!V$32</f>
        <v>4.7760999999999999E-5</v>
      </c>
      <c r="AF39" s="137">
        <f>Summary_LCIA!W$32</f>
        <v>7.6970999999999998E-2</v>
      </c>
      <c r="AG39" s="137">
        <f>Summary_LCIA!X$32</f>
        <v>2.2780000000000002E-2</v>
      </c>
      <c r="AH39" s="137">
        <f>Summary_LCIA!Y$32</f>
        <v>1.5582E-2</v>
      </c>
      <c r="AI39" s="137">
        <f>Summary_LCIA!Z$32</f>
        <v>4.1009E-5</v>
      </c>
      <c r="AJ39" s="137">
        <f>Summary_LCIA!AA$32</f>
        <v>2.3355999999999998E-2</v>
      </c>
      <c r="AK39" s="137">
        <f>Summary_LCIA!AB$32</f>
        <v>-2.1823000000000001E-5</v>
      </c>
      <c r="AL39" s="137">
        <f>Summary_LCIA!AC$32</f>
        <v>4.8884000000000003E-8</v>
      </c>
      <c r="AM39" s="137">
        <f>Summary_LCIA!AD$32</f>
        <v>4.1103999999999999E-4</v>
      </c>
      <c r="AN39" s="137">
        <f>Summary_LCIA!AE$32</f>
        <v>8.8612999999999995E-4</v>
      </c>
      <c r="AO39" s="137">
        <f>Summary_LCIA!AF$32</f>
        <v>8.4542000000000005E-4</v>
      </c>
      <c r="AP39" s="137">
        <f>Summary_LCIA!AG$32</f>
        <v>5.1165000000000002E-5</v>
      </c>
      <c r="AQ39" s="137">
        <f>Summary_LCIA!AH$32</f>
        <v>8.7036000000000006E-3</v>
      </c>
      <c r="AR39" s="137">
        <f>Summary_LCIA!AI$32</f>
        <v>9.3154999999999996E-4</v>
      </c>
      <c r="AT39" s="137">
        <f t="shared" si="2"/>
        <v>14.535964399999999</v>
      </c>
      <c r="AU39" s="137">
        <f t="shared" si="14"/>
        <v>212.00992542287398</v>
      </c>
      <c r="AV39" s="137">
        <f t="shared" si="15"/>
        <v>0.22525183679999997</v>
      </c>
      <c r="AW39" s="137">
        <f t="shared" si="16"/>
        <v>14.34688564</v>
      </c>
      <c r="AX39" s="137">
        <f t="shared" si="17"/>
        <v>4.7013021999999998</v>
      </c>
      <c r="AY39" s="137">
        <f t="shared" si="18"/>
        <v>0.76632509199999999</v>
      </c>
      <c r="AZ39" s="137">
        <f t="shared" si="19"/>
        <v>2.043120058E-3</v>
      </c>
      <c r="BA39" s="137">
        <f t="shared" si="20"/>
        <v>3.2926654379999998</v>
      </c>
      <c r="BB39" s="137">
        <f t="shared" si="21"/>
        <v>0.97448284000000007</v>
      </c>
      <c r="BC39" s="137">
        <f t="shared" si="3"/>
        <v>0.66656679600000002</v>
      </c>
      <c r="BD39" s="137">
        <f t="shared" si="4"/>
        <v>1.7542830019999999E-3</v>
      </c>
      <c r="BE39" s="137">
        <f t="shared" si="5"/>
        <v>0.99912296799999989</v>
      </c>
      <c r="BF39" s="137">
        <f t="shared" si="6"/>
        <v>-9.3354429400000004E-4</v>
      </c>
      <c r="BG39" s="137">
        <f t="shared" si="7"/>
        <v>2.0911597520000001E-6</v>
      </c>
      <c r="BH39" s="137">
        <f t="shared" si="8"/>
        <v>1.758346912E-2</v>
      </c>
      <c r="BI39" s="137">
        <f t="shared" si="9"/>
        <v>3.7906869139999994E-2</v>
      </c>
      <c r="BJ39" s="137">
        <f t="shared" si="10"/>
        <v>3.616537676E-2</v>
      </c>
      <c r="BK39" s="137">
        <f t="shared" si="11"/>
        <v>2.18873637E-3</v>
      </c>
      <c r="BL39" s="137">
        <f t="shared" si="12"/>
        <v>0.37232260080000001</v>
      </c>
      <c r="BM39" s="137">
        <f t="shared" si="13"/>
        <v>3.98498459E-2</v>
      </c>
    </row>
    <row r="40" spans="1:65" x14ac:dyDescent="0.25">
      <c r="A40" s="149">
        <v>123</v>
      </c>
      <c r="B40" s="149">
        <v>6</v>
      </c>
      <c r="C40" s="61">
        <v>41.712980000000002</v>
      </c>
      <c r="D40" s="61">
        <v>-87.960780999999997</v>
      </c>
      <c r="E40" s="61" t="s">
        <v>265</v>
      </c>
      <c r="F40" s="149">
        <v>88</v>
      </c>
      <c r="G40" s="61" t="s">
        <v>674</v>
      </c>
      <c r="H40" s="61" t="s">
        <v>675</v>
      </c>
      <c r="I40" s="61">
        <v>41.786776000000003</v>
      </c>
      <c r="J40" s="61">
        <v>-87.752188000000004</v>
      </c>
      <c r="K40" s="61">
        <v>21.68769485</v>
      </c>
      <c r="L40" s="61">
        <v>26.821000000000002</v>
      </c>
      <c r="M40" s="61" t="s">
        <v>617</v>
      </c>
      <c r="N40" s="149">
        <v>5</v>
      </c>
      <c r="O40" s="149">
        <v>6</v>
      </c>
      <c r="P40" s="61" t="s">
        <v>565</v>
      </c>
      <c r="Q40" s="61" t="s">
        <v>564</v>
      </c>
      <c r="R40" s="61">
        <v>41.98028</v>
      </c>
      <c r="S40" s="61">
        <v>-87.908997900000003</v>
      </c>
      <c r="T40" s="61">
        <v>42.777999999999999</v>
      </c>
      <c r="U40" s="61" t="s">
        <v>617</v>
      </c>
      <c r="V40" s="61" t="s">
        <v>617</v>
      </c>
      <c r="W40" s="61"/>
      <c r="Y40" s="137">
        <f>Summary_LCIA!H$32</f>
        <v>0.33979999999999999</v>
      </c>
      <c r="Z40" s="137">
        <f>Summary_LCIA!Q$32</f>
        <v>4.9560504329999997</v>
      </c>
      <c r="AA40" s="137">
        <f>Summary_LCIA!R$32</f>
        <v>5.2655999999999996E-3</v>
      </c>
      <c r="AB40" s="137">
        <f>Summary_LCIA!S$32</f>
        <v>0.33538000000000001</v>
      </c>
      <c r="AC40" s="137">
        <f>Summary_LCIA!T$32</f>
        <v>0.1099</v>
      </c>
      <c r="AD40" s="137">
        <f>Summary_LCIA!U$32</f>
        <v>1.7913999999999999E-2</v>
      </c>
      <c r="AE40" s="137">
        <f>Summary_LCIA!V$32</f>
        <v>4.7760999999999999E-5</v>
      </c>
      <c r="AF40" s="137">
        <f>Summary_LCIA!W$32</f>
        <v>7.6970999999999998E-2</v>
      </c>
      <c r="AG40" s="137">
        <f>Summary_LCIA!X$32</f>
        <v>2.2780000000000002E-2</v>
      </c>
      <c r="AH40" s="137">
        <f>Summary_LCIA!Y$32</f>
        <v>1.5582E-2</v>
      </c>
      <c r="AI40" s="137">
        <f>Summary_LCIA!Z$32</f>
        <v>4.1009E-5</v>
      </c>
      <c r="AJ40" s="137">
        <f>Summary_LCIA!AA$32</f>
        <v>2.3355999999999998E-2</v>
      </c>
      <c r="AK40" s="137">
        <f>Summary_LCIA!AB$32</f>
        <v>-2.1823000000000001E-5</v>
      </c>
      <c r="AL40" s="137">
        <f>Summary_LCIA!AC$32</f>
        <v>4.8884000000000003E-8</v>
      </c>
      <c r="AM40" s="137">
        <f>Summary_LCIA!AD$32</f>
        <v>4.1103999999999999E-4</v>
      </c>
      <c r="AN40" s="137">
        <f>Summary_LCIA!AE$32</f>
        <v>8.8612999999999995E-4</v>
      </c>
      <c r="AO40" s="137">
        <f>Summary_LCIA!AF$32</f>
        <v>8.4542000000000005E-4</v>
      </c>
      <c r="AP40" s="137">
        <f>Summary_LCIA!AG$32</f>
        <v>5.1165000000000002E-5</v>
      </c>
      <c r="AQ40" s="137">
        <f>Summary_LCIA!AH$32</f>
        <v>8.7036000000000006E-3</v>
      </c>
      <c r="AR40" s="137">
        <f>Summary_LCIA!AI$32</f>
        <v>9.3154999999999996E-4</v>
      </c>
      <c r="AT40" s="137">
        <f t="shared" si="2"/>
        <v>14.535964399999999</v>
      </c>
      <c r="AU40" s="137">
        <f t="shared" si="14"/>
        <v>212.00992542287398</v>
      </c>
      <c r="AV40" s="137">
        <f t="shared" si="15"/>
        <v>0.22525183679999997</v>
      </c>
      <c r="AW40" s="137">
        <f t="shared" si="16"/>
        <v>14.34688564</v>
      </c>
      <c r="AX40" s="137">
        <f t="shared" si="17"/>
        <v>4.7013021999999998</v>
      </c>
      <c r="AY40" s="137">
        <f t="shared" si="18"/>
        <v>0.76632509199999999</v>
      </c>
      <c r="AZ40" s="137">
        <f t="shared" si="19"/>
        <v>2.043120058E-3</v>
      </c>
      <c r="BA40" s="137">
        <f t="shared" si="20"/>
        <v>3.2926654379999998</v>
      </c>
      <c r="BB40" s="137">
        <f t="shared" si="21"/>
        <v>0.97448284000000007</v>
      </c>
      <c r="BC40" s="137">
        <f t="shared" si="3"/>
        <v>0.66656679600000002</v>
      </c>
      <c r="BD40" s="137">
        <f t="shared" si="4"/>
        <v>1.7542830019999999E-3</v>
      </c>
      <c r="BE40" s="137">
        <f t="shared" si="5"/>
        <v>0.99912296799999989</v>
      </c>
      <c r="BF40" s="137">
        <f t="shared" si="6"/>
        <v>-9.3354429400000004E-4</v>
      </c>
      <c r="BG40" s="137">
        <f t="shared" si="7"/>
        <v>2.0911597520000001E-6</v>
      </c>
      <c r="BH40" s="137">
        <f t="shared" si="8"/>
        <v>1.758346912E-2</v>
      </c>
      <c r="BI40" s="137">
        <f t="shared" si="9"/>
        <v>3.7906869139999994E-2</v>
      </c>
      <c r="BJ40" s="137">
        <f t="shared" si="10"/>
        <v>3.616537676E-2</v>
      </c>
      <c r="BK40" s="137">
        <f t="shared" si="11"/>
        <v>2.18873637E-3</v>
      </c>
      <c r="BL40" s="137">
        <f t="shared" si="12"/>
        <v>0.37232260080000001</v>
      </c>
      <c r="BM40" s="137">
        <f t="shared" si="13"/>
        <v>3.98498459E-2</v>
      </c>
    </row>
    <row r="41" spans="1:65" x14ac:dyDescent="0.25">
      <c r="A41" s="149">
        <v>124</v>
      </c>
      <c r="B41" s="149">
        <v>6</v>
      </c>
      <c r="C41" s="61">
        <v>41.712980000000002</v>
      </c>
      <c r="D41" s="61">
        <v>-87.960780999999997</v>
      </c>
      <c r="E41" s="61" t="s">
        <v>265</v>
      </c>
      <c r="F41" s="149">
        <v>88</v>
      </c>
      <c r="G41" s="61" t="s">
        <v>674</v>
      </c>
      <c r="H41" s="61" t="s">
        <v>675</v>
      </c>
      <c r="I41" s="61">
        <v>41.786776000000003</v>
      </c>
      <c r="J41" s="61">
        <v>-87.752188000000004</v>
      </c>
      <c r="K41" s="61">
        <v>21.68769485</v>
      </c>
      <c r="L41" s="61">
        <v>26.821000000000002</v>
      </c>
      <c r="M41" s="61" t="s">
        <v>617</v>
      </c>
      <c r="N41" s="149">
        <v>5</v>
      </c>
      <c r="O41" s="149">
        <v>6</v>
      </c>
      <c r="P41" s="61" t="s">
        <v>565</v>
      </c>
      <c r="Q41" s="61" t="s">
        <v>564</v>
      </c>
      <c r="R41" s="61">
        <v>41.98028</v>
      </c>
      <c r="S41" s="61">
        <v>-87.908997900000003</v>
      </c>
      <c r="T41" s="61">
        <v>42.777999999999999</v>
      </c>
      <c r="U41" s="61" t="s">
        <v>617</v>
      </c>
      <c r="V41" s="61" t="s">
        <v>617</v>
      </c>
      <c r="W41" s="61"/>
      <c r="Y41" s="137">
        <f>Summary_LCIA!H$32</f>
        <v>0.33979999999999999</v>
      </c>
      <c r="Z41" s="137">
        <f>Summary_LCIA!Q$32</f>
        <v>4.9560504329999997</v>
      </c>
      <c r="AA41" s="137">
        <f>Summary_LCIA!R$32</f>
        <v>5.2655999999999996E-3</v>
      </c>
      <c r="AB41" s="137">
        <f>Summary_LCIA!S$32</f>
        <v>0.33538000000000001</v>
      </c>
      <c r="AC41" s="137">
        <f>Summary_LCIA!T$32</f>
        <v>0.1099</v>
      </c>
      <c r="AD41" s="137">
        <f>Summary_LCIA!U$32</f>
        <v>1.7913999999999999E-2</v>
      </c>
      <c r="AE41" s="137">
        <f>Summary_LCIA!V$32</f>
        <v>4.7760999999999999E-5</v>
      </c>
      <c r="AF41" s="137">
        <f>Summary_LCIA!W$32</f>
        <v>7.6970999999999998E-2</v>
      </c>
      <c r="AG41" s="137">
        <f>Summary_LCIA!X$32</f>
        <v>2.2780000000000002E-2</v>
      </c>
      <c r="AH41" s="137">
        <f>Summary_LCIA!Y$32</f>
        <v>1.5582E-2</v>
      </c>
      <c r="AI41" s="137">
        <f>Summary_LCIA!Z$32</f>
        <v>4.1009E-5</v>
      </c>
      <c r="AJ41" s="137">
        <f>Summary_LCIA!AA$32</f>
        <v>2.3355999999999998E-2</v>
      </c>
      <c r="AK41" s="137">
        <f>Summary_LCIA!AB$32</f>
        <v>-2.1823000000000001E-5</v>
      </c>
      <c r="AL41" s="137">
        <f>Summary_LCIA!AC$32</f>
        <v>4.8884000000000003E-8</v>
      </c>
      <c r="AM41" s="137">
        <f>Summary_LCIA!AD$32</f>
        <v>4.1103999999999999E-4</v>
      </c>
      <c r="AN41" s="137">
        <f>Summary_LCIA!AE$32</f>
        <v>8.8612999999999995E-4</v>
      </c>
      <c r="AO41" s="137">
        <f>Summary_LCIA!AF$32</f>
        <v>8.4542000000000005E-4</v>
      </c>
      <c r="AP41" s="137">
        <f>Summary_LCIA!AG$32</f>
        <v>5.1165000000000002E-5</v>
      </c>
      <c r="AQ41" s="137">
        <f>Summary_LCIA!AH$32</f>
        <v>8.7036000000000006E-3</v>
      </c>
      <c r="AR41" s="137">
        <f>Summary_LCIA!AI$32</f>
        <v>9.3154999999999996E-4</v>
      </c>
      <c r="AT41" s="137">
        <f t="shared" si="2"/>
        <v>14.535964399999999</v>
      </c>
      <c r="AU41" s="137">
        <f t="shared" si="14"/>
        <v>212.00992542287398</v>
      </c>
      <c r="AV41" s="137">
        <f t="shared" si="15"/>
        <v>0.22525183679999997</v>
      </c>
      <c r="AW41" s="137">
        <f t="shared" si="16"/>
        <v>14.34688564</v>
      </c>
      <c r="AX41" s="137">
        <f t="shared" si="17"/>
        <v>4.7013021999999998</v>
      </c>
      <c r="AY41" s="137">
        <f t="shared" si="18"/>
        <v>0.76632509199999999</v>
      </c>
      <c r="AZ41" s="137">
        <f t="shared" si="19"/>
        <v>2.043120058E-3</v>
      </c>
      <c r="BA41" s="137">
        <f t="shared" si="20"/>
        <v>3.2926654379999998</v>
      </c>
      <c r="BB41" s="137">
        <f t="shared" si="21"/>
        <v>0.97448284000000007</v>
      </c>
      <c r="BC41" s="137">
        <f t="shared" si="3"/>
        <v>0.66656679600000002</v>
      </c>
      <c r="BD41" s="137">
        <f t="shared" si="4"/>
        <v>1.7542830019999999E-3</v>
      </c>
      <c r="BE41" s="137">
        <f t="shared" si="5"/>
        <v>0.99912296799999989</v>
      </c>
      <c r="BF41" s="137">
        <f t="shared" si="6"/>
        <v>-9.3354429400000004E-4</v>
      </c>
      <c r="BG41" s="137">
        <f t="shared" si="7"/>
        <v>2.0911597520000001E-6</v>
      </c>
      <c r="BH41" s="137">
        <f t="shared" si="8"/>
        <v>1.758346912E-2</v>
      </c>
      <c r="BI41" s="137">
        <f t="shared" si="9"/>
        <v>3.7906869139999994E-2</v>
      </c>
      <c r="BJ41" s="137">
        <f t="shared" si="10"/>
        <v>3.616537676E-2</v>
      </c>
      <c r="BK41" s="137">
        <f t="shared" si="11"/>
        <v>2.18873637E-3</v>
      </c>
      <c r="BL41" s="137">
        <f t="shared" si="12"/>
        <v>0.37232260080000001</v>
      </c>
      <c r="BM41" s="137">
        <f t="shared" si="13"/>
        <v>3.98498459E-2</v>
      </c>
    </row>
    <row r="42" spans="1:65" x14ac:dyDescent="0.25">
      <c r="A42" s="149">
        <v>125</v>
      </c>
      <c r="B42" s="149">
        <v>6</v>
      </c>
      <c r="C42" s="61">
        <v>41.712980000000002</v>
      </c>
      <c r="D42" s="61">
        <v>-87.960780999999997</v>
      </c>
      <c r="E42" s="61" t="s">
        <v>265</v>
      </c>
      <c r="F42" s="149">
        <v>88</v>
      </c>
      <c r="G42" s="61" t="s">
        <v>674</v>
      </c>
      <c r="H42" s="61" t="s">
        <v>675</v>
      </c>
      <c r="I42" s="61">
        <v>41.786776000000003</v>
      </c>
      <c r="J42" s="61">
        <v>-87.752188000000004</v>
      </c>
      <c r="K42" s="61">
        <v>21.68769485</v>
      </c>
      <c r="L42" s="61">
        <v>26.821000000000002</v>
      </c>
      <c r="M42" s="61" t="s">
        <v>617</v>
      </c>
      <c r="N42" s="149">
        <v>5</v>
      </c>
      <c r="O42" s="149">
        <v>6</v>
      </c>
      <c r="P42" s="61" t="s">
        <v>565</v>
      </c>
      <c r="Q42" s="61" t="s">
        <v>564</v>
      </c>
      <c r="R42" s="61">
        <v>41.98028</v>
      </c>
      <c r="S42" s="61">
        <v>-87.908997900000003</v>
      </c>
      <c r="T42" s="61">
        <v>42.777999999999999</v>
      </c>
      <c r="U42" s="61" t="s">
        <v>617</v>
      </c>
      <c r="V42" s="61" t="s">
        <v>617</v>
      </c>
      <c r="W42" s="61"/>
      <c r="Y42" s="137">
        <f>Summary_LCIA!H$32</f>
        <v>0.33979999999999999</v>
      </c>
      <c r="Z42" s="137">
        <f>Summary_LCIA!Q$32</f>
        <v>4.9560504329999997</v>
      </c>
      <c r="AA42" s="137">
        <f>Summary_LCIA!R$32</f>
        <v>5.2655999999999996E-3</v>
      </c>
      <c r="AB42" s="137">
        <f>Summary_LCIA!S$32</f>
        <v>0.33538000000000001</v>
      </c>
      <c r="AC42" s="137">
        <f>Summary_LCIA!T$32</f>
        <v>0.1099</v>
      </c>
      <c r="AD42" s="137">
        <f>Summary_LCIA!U$32</f>
        <v>1.7913999999999999E-2</v>
      </c>
      <c r="AE42" s="137">
        <f>Summary_LCIA!V$32</f>
        <v>4.7760999999999999E-5</v>
      </c>
      <c r="AF42" s="137">
        <f>Summary_LCIA!W$32</f>
        <v>7.6970999999999998E-2</v>
      </c>
      <c r="AG42" s="137">
        <f>Summary_LCIA!X$32</f>
        <v>2.2780000000000002E-2</v>
      </c>
      <c r="AH42" s="137">
        <f>Summary_LCIA!Y$32</f>
        <v>1.5582E-2</v>
      </c>
      <c r="AI42" s="137">
        <f>Summary_LCIA!Z$32</f>
        <v>4.1009E-5</v>
      </c>
      <c r="AJ42" s="137">
        <f>Summary_LCIA!AA$32</f>
        <v>2.3355999999999998E-2</v>
      </c>
      <c r="AK42" s="137">
        <f>Summary_LCIA!AB$32</f>
        <v>-2.1823000000000001E-5</v>
      </c>
      <c r="AL42" s="137">
        <f>Summary_LCIA!AC$32</f>
        <v>4.8884000000000003E-8</v>
      </c>
      <c r="AM42" s="137">
        <f>Summary_LCIA!AD$32</f>
        <v>4.1103999999999999E-4</v>
      </c>
      <c r="AN42" s="137">
        <f>Summary_LCIA!AE$32</f>
        <v>8.8612999999999995E-4</v>
      </c>
      <c r="AO42" s="137">
        <f>Summary_LCIA!AF$32</f>
        <v>8.4542000000000005E-4</v>
      </c>
      <c r="AP42" s="137">
        <f>Summary_LCIA!AG$32</f>
        <v>5.1165000000000002E-5</v>
      </c>
      <c r="AQ42" s="137">
        <f>Summary_LCIA!AH$32</f>
        <v>8.7036000000000006E-3</v>
      </c>
      <c r="AR42" s="137">
        <f>Summary_LCIA!AI$32</f>
        <v>9.3154999999999996E-4</v>
      </c>
      <c r="AT42" s="137">
        <f t="shared" si="2"/>
        <v>14.535964399999999</v>
      </c>
      <c r="AU42" s="137">
        <f t="shared" si="14"/>
        <v>212.00992542287398</v>
      </c>
      <c r="AV42" s="137">
        <f t="shared" si="15"/>
        <v>0.22525183679999997</v>
      </c>
      <c r="AW42" s="137">
        <f t="shared" si="16"/>
        <v>14.34688564</v>
      </c>
      <c r="AX42" s="137">
        <f t="shared" si="17"/>
        <v>4.7013021999999998</v>
      </c>
      <c r="AY42" s="137">
        <f t="shared" si="18"/>
        <v>0.76632509199999999</v>
      </c>
      <c r="AZ42" s="137">
        <f t="shared" si="19"/>
        <v>2.043120058E-3</v>
      </c>
      <c r="BA42" s="137">
        <f t="shared" si="20"/>
        <v>3.2926654379999998</v>
      </c>
      <c r="BB42" s="137">
        <f t="shared" si="21"/>
        <v>0.97448284000000007</v>
      </c>
      <c r="BC42" s="137">
        <f t="shared" si="3"/>
        <v>0.66656679600000002</v>
      </c>
      <c r="BD42" s="137">
        <f t="shared" si="4"/>
        <v>1.7542830019999999E-3</v>
      </c>
      <c r="BE42" s="137">
        <f t="shared" si="5"/>
        <v>0.99912296799999989</v>
      </c>
      <c r="BF42" s="137">
        <f t="shared" si="6"/>
        <v>-9.3354429400000004E-4</v>
      </c>
      <c r="BG42" s="137">
        <f t="shared" si="7"/>
        <v>2.0911597520000001E-6</v>
      </c>
      <c r="BH42" s="137">
        <f t="shared" si="8"/>
        <v>1.758346912E-2</v>
      </c>
      <c r="BI42" s="137">
        <f t="shared" si="9"/>
        <v>3.7906869139999994E-2</v>
      </c>
      <c r="BJ42" s="137">
        <f t="shared" si="10"/>
        <v>3.616537676E-2</v>
      </c>
      <c r="BK42" s="137">
        <f t="shared" si="11"/>
        <v>2.18873637E-3</v>
      </c>
      <c r="BL42" s="137">
        <f t="shared" si="12"/>
        <v>0.37232260080000001</v>
      </c>
      <c r="BM42" s="137">
        <f t="shared" si="13"/>
        <v>3.98498459E-2</v>
      </c>
    </row>
    <row r="43" spans="1:65" x14ac:dyDescent="0.25">
      <c r="A43" s="149">
        <v>126</v>
      </c>
      <c r="B43" s="149">
        <v>6</v>
      </c>
      <c r="C43" s="61">
        <v>41.712980000000002</v>
      </c>
      <c r="D43" s="61">
        <v>-87.960780999999997</v>
      </c>
      <c r="E43" s="61" t="s">
        <v>265</v>
      </c>
      <c r="F43" s="149">
        <v>88</v>
      </c>
      <c r="G43" s="61" t="s">
        <v>674</v>
      </c>
      <c r="H43" s="61" t="s">
        <v>675</v>
      </c>
      <c r="I43" s="61">
        <v>41.786776000000003</v>
      </c>
      <c r="J43" s="61">
        <v>-87.752188000000004</v>
      </c>
      <c r="K43" s="61">
        <v>21.68769485</v>
      </c>
      <c r="L43" s="61">
        <v>26.821000000000002</v>
      </c>
      <c r="M43" s="61" t="s">
        <v>617</v>
      </c>
      <c r="N43" s="149">
        <v>5</v>
      </c>
      <c r="O43" s="149">
        <v>6</v>
      </c>
      <c r="P43" s="61" t="s">
        <v>565</v>
      </c>
      <c r="Q43" s="61" t="s">
        <v>564</v>
      </c>
      <c r="R43" s="61">
        <v>41.98028</v>
      </c>
      <c r="S43" s="61">
        <v>-87.908997900000003</v>
      </c>
      <c r="T43" s="61">
        <v>42.777999999999999</v>
      </c>
      <c r="U43" s="61" t="s">
        <v>617</v>
      </c>
      <c r="V43" s="61" t="s">
        <v>617</v>
      </c>
      <c r="W43" s="61"/>
      <c r="Y43" s="137">
        <f>Summary_LCIA!H$32</f>
        <v>0.33979999999999999</v>
      </c>
      <c r="Z43" s="137">
        <f>Summary_LCIA!Q$32</f>
        <v>4.9560504329999997</v>
      </c>
      <c r="AA43" s="137">
        <f>Summary_LCIA!R$32</f>
        <v>5.2655999999999996E-3</v>
      </c>
      <c r="AB43" s="137">
        <f>Summary_LCIA!S$32</f>
        <v>0.33538000000000001</v>
      </c>
      <c r="AC43" s="137">
        <f>Summary_LCIA!T$32</f>
        <v>0.1099</v>
      </c>
      <c r="AD43" s="137">
        <f>Summary_LCIA!U$32</f>
        <v>1.7913999999999999E-2</v>
      </c>
      <c r="AE43" s="137">
        <f>Summary_LCIA!V$32</f>
        <v>4.7760999999999999E-5</v>
      </c>
      <c r="AF43" s="137">
        <f>Summary_LCIA!W$32</f>
        <v>7.6970999999999998E-2</v>
      </c>
      <c r="AG43" s="137">
        <f>Summary_LCIA!X$32</f>
        <v>2.2780000000000002E-2</v>
      </c>
      <c r="AH43" s="137">
        <f>Summary_LCIA!Y$32</f>
        <v>1.5582E-2</v>
      </c>
      <c r="AI43" s="137">
        <f>Summary_LCIA!Z$32</f>
        <v>4.1009E-5</v>
      </c>
      <c r="AJ43" s="137">
        <f>Summary_LCIA!AA$32</f>
        <v>2.3355999999999998E-2</v>
      </c>
      <c r="AK43" s="137">
        <f>Summary_LCIA!AB$32</f>
        <v>-2.1823000000000001E-5</v>
      </c>
      <c r="AL43" s="137">
        <f>Summary_LCIA!AC$32</f>
        <v>4.8884000000000003E-8</v>
      </c>
      <c r="AM43" s="137">
        <f>Summary_LCIA!AD$32</f>
        <v>4.1103999999999999E-4</v>
      </c>
      <c r="AN43" s="137">
        <f>Summary_LCIA!AE$32</f>
        <v>8.8612999999999995E-4</v>
      </c>
      <c r="AO43" s="137">
        <f>Summary_LCIA!AF$32</f>
        <v>8.4542000000000005E-4</v>
      </c>
      <c r="AP43" s="137">
        <f>Summary_LCIA!AG$32</f>
        <v>5.1165000000000002E-5</v>
      </c>
      <c r="AQ43" s="137">
        <f>Summary_LCIA!AH$32</f>
        <v>8.7036000000000006E-3</v>
      </c>
      <c r="AR43" s="137">
        <f>Summary_LCIA!AI$32</f>
        <v>9.3154999999999996E-4</v>
      </c>
      <c r="AT43" s="137">
        <f t="shared" si="2"/>
        <v>14.535964399999999</v>
      </c>
      <c r="AU43" s="137">
        <f t="shared" si="14"/>
        <v>212.00992542287398</v>
      </c>
      <c r="AV43" s="137">
        <f t="shared" si="15"/>
        <v>0.22525183679999997</v>
      </c>
      <c r="AW43" s="137">
        <f t="shared" si="16"/>
        <v>14.34688564</v>
      </c>
      <c r="AX43" s="137">
        <f t="shared" si="17"/>
        <v>4.7013021999999998</v>
      </c>
      <c r="AY43" s="137">
        <f t="shared" si="18"/>
        <v>0.76632509199999999</v>
      </c>
      <c r="AZ43" s="137">
        <f t="shared" si="19"/>
        <v>2.043120058E-3</v>
      </c>
      <c r="BA43" s="137">
        <f t="shared" si="20"/>
        <v>3.2926654379999998</v>
      </c>
      <c r="BB43" s="137">
        <f t="shared" si="21"/>
        <v>0.97448284000000007</v>
      </c>
      <c r="BC43" s="137">
        <f t="shared" si="3"/>
        <v>0.66656679600000002</v>
      </c>
      <c r="BD43" s="137">
        <f t="shared" si="4"/>
        <v>1.7542830019999999E-3</v>
      </c>
      <c r="BE43" s="137">
        <f t="shared" si="5"/>
        <v>0.99912296799999989</v>
      </c>
      <c r="BF43" s="137">
        <f t="shared" si="6"/>
        <v>-9.3354429400000004E-4</v>
      </c>
      <c r="BG43" s="137">
        <f t="shared" si="7"/>
        <v>2.0911597520000001E-6</v>
      </c>
      <c r="BH43" s="137">
        <f t="shared" si="8"/>
        <v>1.758346912E-2</v>
      </c>
      <c r="BI43" s="137">
        <f t="shared" si="9"/>
        <v>3.7906869139999994E-2</v>
      </c>
      <c r="BJ43" s="137">
        <f t="shared" si="10"/>
        <v>3.616537676E-2</v>
      </c>
      <c r="BK43" s="137">
        <f t="shared" si="11"/>
        <v>2.18873637E-3</v>
      </c>
      <c r="BL43" s="137">
        <f t="shared" si="12"/>
        <v>0.37232260080000001</v>
      </c>
      <c r="BM43" s="137">
        <f t="shared" si="13"/>
        <v>3.98498459E-2</v>
      </c>
    </row>
    <row r="44" spans="1:65" x14ac:dyDescent="0.25">
      <c r="A44" s="149">
        <v>207</v>
      </c>
      <c r="B44" s="149">
        <v>16</v>
      </c>
      <c r="C44" s="61">
        <v>39.739235999999998</v>
      </c>
      <c r="D44" s="61">
        <v>-104.990251</v>
      </c>
      <c r="E44" s="61" t="s">
        <v>265</v>
      </c>
      <c r="F44" s="149">
        <v>16</v>
      </c>
      <c r="G44" s="61" t="s">
        <v>565</v>
      </c>
      <c r="H44" s="61" t="s">
        <v>645</v>
      </c>
      <c r="I44" s="61">
        <v>39.856096000000001</v>
      </c>
      <c r="J44" s="61">
        <v>-104.673738</v>
      </c>
      <c r="K44" s="61">
        <v>32.480303239999998</v>
      </c>
      <c r="L44" s="61">
        <v>43.084000000000003</v>
      </c>
      <c r="M44" s="61" t="s">
        <v>617</v>
      </c>
      <c r="N44" s="149">
        <v>15</v>
      </c>
      <c r="O44" s="149">
        <v>16</v>
      </c>
      <c r="P44" s="61" t="s">
        <v>565</v>
      </c>
      <c r="Q44" s="61" t="s">
        <v>556</v>
      </c>
      <c r="R44" s="61">
        <v>39.856096299999997</v>
      </c>
      <c r="S44" s="61">
        <v>-104.6737376</v>
      </c>
      <c r="T44" s="61">
        <v>43.084000000000003</v>
      </c>
      <c r="U44" s="61" t="s">
        <v>617</v>
      </c>
      <c r="V44" s="61" t="s">
        <v>617</v>
      </c>
      <c r="W44" s="61"/>
      <c r="Y44" s="137">
        <f>Summary_LCIA!H$32</f>
        <v>0.33979999999999999</v>
      </c>
      <c r="Z44" s="137">
        <f>Summary_LCIA!Q$32</f>
        <v>4.9560504329999997</v>
      </c>
      <c r="AA44" s="137">
        <f>Summary_LCIA!R$32</f>
        <v>5.2655999999999996E-3</v>
      </c>
      <c r="AB44" s="137">
        <f>Summary_LCIA!S$32</f>
        <v>0.33538000000000001</v>
      </c>
      <c r="AC44" s="137">
        <f>Summary_LCIA!T$32</f>
        <v>0.1099</v>
      </c>
      <c r="AD44" s="137">
        <f>Summary_LCIA!U$32</f>
        <v>1.7913999999999999E-2</v>
      </c>
      <c r="AE44" s="137">
        <f>Summary_LCIA!V$32</f>
        <v>4.7760999999999999E-5</v>
      </c>
      <c r="AF44" s="137">
        <f>Summary_LCIA!W$32</f>
        <v>7.6970999999999998E-2</v>
      </c>
      <c r="AG44" s="137">
        <f>Summary_LCIA!X$32</f>
        <v>2.2780000000000002E-2</v>
      </c>
      <c r="AH44" s="137">
        <f>Summary_LCIA!Y$32</f>
        <v>1.5582E-2</v>
      </c>
      <c r="AI44" s="137">
        <f>Summary_LCIA!Z$32</f>
        <v>4.1009E-5</v>
      </c>
      <c r="AJ44" s="137">
        <f>Summary_LCIA!AA$32</f>
        <v>2.3355999999999998E-2</v>
      </c>
      <c r="AK44" s="137">
        <f>Summary_LCIA!AB$32</f>
        <v>-2.1823000000000001E-5</v>
      </c>
      <c r="AL44" s="137">
        <f>Summary_LCIA!AC$32</f>
        <v>4.8884000000000003E-8</v>
      </c>
      <c r="AM44" s="137">
        <f>Summary_LCIA!AD$32</f>
        <v>4.1103999999999999E-4</v>
      </c>
      <c r="AN44" s="137">
        <f>Summary_LCIA!AE$32</f>
        <v>8.8612999999999995E-4</v>
      </c>
      <c r="AO44" s="137">
        <f>Summary_LCIA!AF$32</f>
        <v>8.4542000000000005E-4</v>
      </c>
      <c r="AP44" s="137">
        <f>Summary_LCIA!AG$32</f>
        <v>5.1165000000000002E-5</v>
      </c>
      <c r="AQ44" s="137">
        <f>Summary_LCIA!AH$32</f>
        <v>8.7036000000000006E-3</v>
      </c>
      <c r="AR44" s="137">
        <f>Summary_LCIA!AI$32</f>
        <v>9.3154999999999996E-4</v>
      </c>
      <c r="AT44" s="137">
        <f t="shared" si="2"/>
        <v>14.639943200000001</v>
      </c>
      <c r="AU44" s="137">
        <f t="shared" si="14"/>
        <v>213.52647685537201</v>
      </c>
      <c r="AV44" s="137">
        <f t="shared" si="15"/>
        <v>0.22686311040000001</v>
      </c>
      <c r="AW44" s="137">
        <f t="shared" si="16"/>
        <v>14.449511920000001</v>
      </c>
      <c r="AX44" s="137">
        <f t="shared" si="17"/>
        <v>4.7349316000000004</v>
      </c>
      <c r="AY44" s="137">
        <f t="shared" si="18"/>
        <v>0.77180677600000003</v>
      </c>
      <c r="AZ44" s="137">
        <f t="shared" si="19"/>
        <v>2.0577349240000001E-3</v>
      </c>
      <c r="BA44" s="137">
        <f t="shared" si="20"/>
        <v>3.3162185640000001</v>
      </c>
      <c r="BB44" s="137">
        <f t="shared" si="21"/>
        <v>0.98145352000000019</v>
      </c>
      <c r="BC44" s="137">
        <f t="shared" si="3"/>
        <v>0.67133488800000007</v>
      </c>
      <c r="BD44" s="137">
        <f t="shared" si="4"/>
        <v>1.7668317560000002E-3</v>
      </c>
      <c r="BE44" s="137">
        <f t="shared" si="5"/>
        <v>1.006269904</v>
      </c>
      <c r="BF44" s="137">
        <f t="shared" si="6"/>
        <v>-9.4022213200000012E-4</v>
      </c>
      <c r="BG44" s="137">
        <f t="shared" si="7"/>
        <v>2.1061182560000002E-6</v>
      </c>
      <c r="BH44" s="137">
        <f t="shared" si="8"/>
        <v>1.7709247359999999E-2</v>
      </c>
      <c r="BI44" s="137">
        <f t="shared" si="9"/>
        <v>3.8178024919999998E-2</v>
      </c>
      <c r="BJ44" s="137">
        <f t="shared" si="10"/>
        <v>3.6424075280000003E-2</v>
      </c>
      <c r="BK44" s="137">
        <f t="shared" si="11"/>
        <v>2.2043928600000004E-3</v>
      </c>
      <c r="BL44" s="137">
        <f t="shared" si="12"/>
        <v>0.37498590240000007</v>
      </c>
      <c r="BM44" s="137">
        <f t="shared" si="13"/>
        <v>4.0134900200000004E-2</v>
      </c>
    </row>
    <row r="45" spans="1:65" x14ac:dyDescent="0.25">
      <c r="A45" s="149">
        <v>208</v>
      </c>
      <c r="B45" s="149">
        <v>16</v>
      </c>
      <c r="C45" s="61">
        <v>39.739235999999998</v>
      </c>
      <c r="D45" s="61">
        <v>-104.990251</v>
      </c>
      <c r="E45" s="61" t="s">
        <v>265</v>
      </c>
      <c r="F45" s="149">
        <v>16</v>
      </c>
      <c r="G45" s="61" t="s">
        <v>565</v>
      </c>
      <c r="H45" s="61" t="s">
        <v>645</v>
      </c>
      <c r="I45" s="61">
        <v>39.856096000000001</v>
      </c>
      <c r="J45" s="61">
        <v>-104.673738</v>
      </c>
      <c r="K45" s="61">
        <v>32.480303239999998</v>
      </c>
      <c r="L45" s="61">
        <v>43.084000000000003</v>
      </c>
      <c r="M45" s="61" t="s">
        <v>617</v>
      </c>
      <c r="N45" s="149">
        <v>15</v>
      </c>
      <c r="O45" s="149">
        <v>16</v>
      </c>
      <c r="P45" s="61" t="s">
        <v>565</v>
      </c>
      <c r="Q45" s="61" t="s">
        <v>556</v>
      </c>
      <c r="R45" s="61">
        <v>39.856096299999997</v>
      </c>
      <c r="S45" s="61">
        <v>-104.6737376</v>
      </c>
      <c r="T45" s="61">
        <v>43.084000000000003</v>
      </c>
      <c r="U45" s="61" t="s">
        <v>617</v>
      </c>
      <c r="V45" s="61" t="s">
        <v>617</v>
      </c>
      <c r="W45" s="61"/>
      <c r="Y45" s="137">
        <f>Summary_LCIA!H$32</f>
        <v>0.33979999999999999</v>
      </c>
      <c r="Z45" s="137">
        <f>Summary_LCIA!Q$32</f>
        <v>4.9560504329999997</v>
      </c>
      <c r="AA45" s="137">
        <f>Summary_LCIA!R$32</f>
        <v>5.2655999999999996E-3</v>
      </c>
      <c r="AB45" s="137">
        <f>Summary_LCIA!S$32</f>
        <v>0.33538000000000001</v>
      </c>
      <c r="AC45" s="137">
        <f>Summary_LCIA!T$32</f>
        <v>0.1099</v>
      </c>
      <c r="AD45" s="137">
        <f>Summary_LCIA!U$32</f>
        <v>1.7913999999999999E-2</v>
      </c>
      <c r="AE45" s="137">
        <f>Summary_LCIA!V$32</f>
        <v>4.7760999999999999E-5</v>
      </c>
      <c r="AF45" s="137">
        <f>Summary_LCIA!W$32</f>
        <v>7.6970999999999998E-2</v>
      </c>
      <c r="AG45" s="137">
        <f>Summary_LCIA!X$32</f>
        <v>2.2780000000000002E-2</v>
      </c>
      <c r="AH45" s="137">
        <f>Summary_LCIA!Y$32</f>
        <v>1.5582E-2</v>
      </c>
      <c r="AI45" s="137">
        <f>Summary_LCIA!Z$32</f>
        <v>4.1009E-5</v>
      </c>
      <c r="AJ45" s="137">
        <f>Summary_LCIA!AA$32</f>
        <v>2.3355999999999998E-2</v>
      </c>
      <c r="AK45" s="137">
        <f>Summary_LCIA!AB$32</f>
        <v>-2.1823000000000001E-5</v>
      </c>
      <c r="AL45" s="137">
        <f>Summary_LCIA!AC$32</f>
        <v>4.8884000000000003E-8</v>
      </c>
      <c r="AM45" s="137">
        <f>Summary_LCIA!AD$32</f>
        <v>4.1103999999999999E-4</v>
      </c>
      <c r="AN45" s="137">
        <f>Summary_LCIA!AE$32</f>
        <v>8.8612999999999995E-4</v>
      </c>
      <c r="AO45" s="137">
        <f>Summary_LCIA!AF$32</f>
        <v>8.4542000000000005E-4</v>
      </c>
      <c r="AP45" s="137">
        <f>Summary_LCIA!AG$32</f>
        <v>5.1165000000000002E-5</v>
      </c>
      <c r="AQ45" s="137">
        <f>Summary_LCIA!AH$32</f>
        <v>8.7036000000000006E-3</v>
      </c>
      <c r="AR45" s="137">
        <f>Summary_LCIA!AI$32</f>
        <v>9.3154999999999996E-4</v>
      </c>
      <c r="AT45" s="137">
        <f t="shared" si="2"/>
        <v>14.639943200000001</v>
      </c>
      <c r="AU45" s="137">
        <f t="shared" si="14"/>
        <v>213.52647685537201</v>
      </c>
      <c r="AV45" s="137">
        <f t="shared" si="15"/>
        <v>0.22686311040000001</v>
      </c>
      <c r="AW45" s="137">
        <f t="shared" si="16"/>
        <v>14.449511920000001</v>
      </c>
      <c r="AX45" s="137">
        <f t="shared" si="17"/>
        <v>4.7349316000000004</v>
      </c>
      <c r="AY45" s="137">
        <f t="shared" si="18"/>
        <v>0.77180677600000003</v>
      </c>
      <c r="AZ45" s="137">
        <f t="shared" si="19"/>
        <v>2.0577349240000001E-3</v>
      </c>
      <c r="BA45" s="137">
        <f t="shared" si="20"/>
        <v>3.3162185640000001</v>
      </c>
      <c r="BB45" s="137">
        <f t="shared" si="21"/>
        <v>0.98145352000000019</v>
      </c>
      <c r="BC45" s="137">
        <f t="shared" si="3"/>
        <v>0.67133488800000007</v>
      </c>
      <c r="BD45" s="137">
        <f t="shared" si="4"/>
        <v>1.7668317560000002E-3</v>
      </c>
      <c r="BE45" s="137">
        <f t="shared" si="5"/>
        <v>1.006269904</v>
      </c>
      <c r="BF45" s="137">
        <f t="shared" si="6"/>
        <v>-9.4022213200000012E-4</v>
      </c>
      <c r="BG45" s="137">
        <f t="shared" si="7"/>
        <v>2.1061182560000002E-6</v>
      </c>
      <c r="BH45" s="137">
        <f t="shared" si="8"/>
        <v>1.7709247359999999E-2</v>
      </c>
      <c r="BI45" s="137">
        <f t="shared" si="9"/>
        <v>3.8178024919999998E-2</v>
      </c>
      <c r="BJ45" s="137">
        <f t="shared" si="10"/>
        <v>3.6424075280000003E-2</v>
      </c>
      <c r="BK45" s="137">
        <f t="shared" si="11"/>
        <v>2.2043928600000004E-3</v>
      </c>
      <c r="BL45" s="137">
        <f t="shared" si="12"/>
        <v>0.37498590240000007</v>
      </c>
      <c r="BM45" s="137">
        <f t="shared" si="13"/>
        <v>4.0134900200000004E-2</v>
      </c>
    </row>
    <row r="46" spans="1:65" x14ac:dyDescent="0.25">
      <c r="A46" s="149">
        <v>228</v>
      </c>
      <c r="B46" s="149">
        <v>6</v>
      </c>
      <c r="C46" s="61">
        <v>41.743507000000001</v>
      </c>
      <c r="D46" s="61">
        <v>-88.011847000000003</v>
      </c>
      <c r="E46" s="61" t="s">
        <v>265</v>
      </c>
      <c r="F46" s="149">
        <v>88</v>
      </c>
      <c r="G46" s="61" t="s">
        <v>674</v>
      </c>
      <c r="H46" s="61" t="s">
        <v>675</v>
      </c>
      <c r="I46" s="61">
        <v>41.786776000000003</v>
      </c>
      <c r="J46" s="61">
        <v>-87.752188000000004</v>
      </c>
      <c r="K46" s="61">
        <v>22.97844104</v>
      </c>
      <c r="L46" s="61">
        <v>30.356000000000002</v>
      </c>
      <c r="M46" s="61" t="s">
        <v>617</v>
      </c>
      <c r="N46" s="149">
        <v>5</v>
      </c>
      <c r="O46" s="149">
        <v>6</v>
      </c>
      <c r="P46" s="61" t="s">
        <v>565</v>
      </c>
      <c r="Q46" s="61" t="s">
        <v>564</v>
      </c>
      <c r="R46" s="61">
        <v>41.98028</v>
      </c>
      <c r="S46" s="61">
        <v>-87.908997900000003</v>
      </c>
      <c r="T46" s="61">
        <v>44.277999999999999</v>
      </c>
      <c r="U46" s="61" t="s">
        <v>617</v>
      </c>
      <c r="V46" s="61" t="s">
        <v>617</v>
      </c>
      <c r="W46" s="61"/>
      <c r="Y46" s="137">
        <f>Summary_LCIA!H$32</f>
        <v>0.33979999999999999</v>
      </c>
      <c r="Z46" s="137">
        <f>Summary_LCIA!Q$32</f>
        <v>4.9560504329999997</v>
      </c>
      <c r="AA46" s="137">
        <f>Summary_LCIA!R$32</f>
        <v>5.2655999999999996E-3</v>
      </c>
      <c r="AB46" s="137">
        <f>Summary_LCIA!S$32</f>
        <v>0.33538000000000001</v>
      </c>
      <c r="AC46" s="137">
        <f>Summary_LCIA!T$32</f>
        <v>0.1099</v>
      </c>
      <c r="AD46" s="137">
        <f>Summary_LCIA!U$32</f>
        <v>1.7913999999999999E-2</v>
      </c>
      <c r="AE46" s="137">
        <f>Summary_LCIA!V$32</f>
        <v>4.7760999999999999E-5</v>
      </c>
      <c r="AF46" s="137">
        <f>Summary_LCIA!W$32</f>
        <v>7.6970999999999998E-2</v>
      </c>
      <c r="AG46" s="137">
        <f>Summary_LCIA!X$32</f>
        <v>2.2780000000000002E-2</v>
      </c>
      <c r="AH46" s="137">
        <f>Summary_LCIA!Y$32</f>
        <v>1.5582E-2</v>
      </c>
      <c r="AI46" s="137">
        <f>Summary_LCIA!Z$32</f>
        <v>4.1009E-5</v>
      </c>
      <c r="AJ46" s="137">
        <f>Summary_LCIA!AA$32</f>
        <v>2.3355999999999998E-2</v>
      </c>
      <c r="AK46" s="137">
        <f>Summary_LCIA!AB$32</f>
        <v>-2.1823000000000001E-5</v>
      </c>
      <c r="AL46" s="137">
        <f>Summary_LCIA!AC$32</f>
        <v>4.8884000000000003E-8</v>
      </c>
      <c r="AM46" s="137">
        <f>Summary_LCIA!AD$32</f>
        <v>4.1103999999999999E-4</v>
      </c>
      <c r="AN46" s="137">
        <f>Summary_LCIA!AE$32</f>
        <v>8.8612999999999995E-4</v>
      </c>
      <c r="AO46" s="137">
        <f>Summary_LCIA!AF$32</f>
        <v>8.4542000000000005E-4</v>
      </c>
      <c r="AP46" s="137">
        <f>Summary_LCIA!AG$32</f>
        <v>5.1165000000000002E-5</v>
      </c>
      <c r="AQ46" s="137">
        <f>Summary_LCIA!AH$32</f>
        <v>8.7036000000000006E-3</v>
      </c>
      <c r="AR46" s="137">
        <f>Summary_LCIA!AI$32</f>
        <v>9.3154999999999996E-4</v>
      </c>
      <c r="AT46" s="137">
        <f t="shared" si="2"/>
        <v>15.0456644</v>
      </c>
      <c r="AU46" s="137">
        <f t="shared" si="14"/>
        <v>219.44400107237399</v>
      </c>
      <c r="AV46" s="137">
        <f t="shared" si="15"/>
        <v>0.23315023679999997</v>
      </c>
      <c r="AW46" s="137">
        <f t="shared" si="16"/>
        <v>14.849955639999999</v>
      </c>
      <c r="AX46" s="137">
        <f t="shared" si="17"/>
        <v>4.8661522000000001</v>
      </c>
      <c r="AY46" s="137">
        <f t="shared" si="18"/>
        <v>0.79319609199999996</v>
      </c>
      <c r="AZ46" s="137">
        <f t="shared" si="19"/>
        <v>2.1147615580000001E-3</v>
      </c>
      <c r="BA46" s="137">
        <f t="shared" si="20"/>
        <v>3.4081219379999999</v>
      </c>
      <c r="BB46" s="137">
        <f t="shared" si="21"/>
        <v>1.0086528400000001</v>
      </c>
      <c r="BC46" s="137">
        <f t="shared" si="3"/>
        <v>0.68993979599999999</v>
      </c>
      <c r="BD46" s="137">
        <f t="shared" si="4"/>
        <v>1.8157965019999999E-3</v>
      </c>
      <c r="BE46" s="137">
        <f t="shared" si="5"/>
        <v>1.0341569679999998</v>
      </c>
      <c r="BF46" s="137">
        <f t="shared" si="6"/>
        <v>-9.6627879399999997E-4</v>
      </c>
      <c r="BG46" s="137">
        <f t="shared" si="7"/>
        <v>2.1644857520000002E-6</v>
      </c>
      <c r="BH46" s="137">
        <f t="shared" si="8"/>
        <v>1.8200029119999999E-2</v>
      </c>
      <c r="BI46" s="137">
        <f t="shared" si="9"/>
        <v>3.9236064139999999E-2</v>
      </c>
      <c r="BJ46" s="137">
        <f t="shared" si="10"/>
        <v>3.7433506759999999E-2</v>
      </c>
      <c r="BK46" s="137">
        <f t="shared" si="11"/>
        <v>2.26548387E-3</v>
      </c>
      <c r="BL46" s="137">
        <f t="shared" si="12"/>
        <v>0.38537800080000001</v>
      </c>
      <c r="BM46" s="137">
        <f t="shared" si="13"/>
        <v>4.1247170899999998E-2</v>
      </c>
    </row>
    <row r="47" spans="1:65" x14ac:dyDescent="0.25">
      <c r="A47" s="149">
        <v>229</v>
      </c>
      <c r="B47" s="149">
        <v>6</v>
      </c>
      <c r="C47" s="61">
        <v>41.743507000000001</v>
      </c>
      <c r="D47" s="61">
        <v>-88.011847000000003</v>
      </c>
      <c r="E47" s="61" t="s">
        <v>265</v>
      </c>
      <c r="F47" s="149">
        <v>88</v>
      </c>
      <c r="G47" s="61" t="s">
        <v>674</v>
      </c>
      <c r="H47" s="61" t="s">
        <v>675</v>
      </c>
      <c r="I47" s="61">
        <v>41.786776000000003</v>
      </c>
      <c r="J47" s="61">
        <v>-87.752188000000004</v>
      </c>
      <c r="K47" s="61">
        <v>22.97844104</v>
      </c>
      <c r="L47" s="61">
        <v>30.356000000000002</v>
      </c>
      <c r="M47" s="61" t="s">
        <v>617</v>
      </c>
      <c r="N47" s="149">
        <v>5</v>
      </c>
      <c r="O47" s="149">
        <v>6</v>
      </c>
      <c r="P47" s="61" t="s">
        <v>565</v>
      </c>
      <c r="Q47" s="61" t="s">
        <v>564</v>
      </c>
      <c r="R47" s="61">
        <v>41.98028</v>
      </c>
      <c r="S47" s="61">
        <v>-87.908997900000003</v>
      </c>
      <c r="T47" s="61">
        <v>44.277999999999999</v>
      </c>
      <c r="U47" s="61" t="s">
        <v>617</v>
      </c>
      <c r="V47" s="61" t="s">
        <v>617</v>
      </c>
      <c r="W47" s="61"/>
      <c r="Y47" s="137">
        <f>Summary_LCIA!H$32</f>
        <v>0.33979999999999999</v>
      </c>
      <c r="Z47" s="137">
        <f>Summary_LCIA!Q$32</f>
        <v>4.9560504329999997</v>
      </c>
      <c r="AA47" s="137">
        <f>Summary_LCIA!R$32</f>
        <v>5.2655999999999996E-3</v>
      </c>
      <c r="AB47" s="137">
        <f>Summary_LCIA!S$32</f>
        <v>0.33538000000000001</v>
      </c>
      <c r="AC47" s="137">
        <f>Summary_LCIA!T$32</f>
        <v>0.1099</v>
      </c>
      <c r="AD47" s="137">
        <f>Summary_LCIA!U$32</f>
        <v>1.7913999999999999E-2</v>
      </c>
      <c r="AE47" s="137">
        <f>Summary_LCIA!V$32</f>
        <v>4.7760999999999999E-5</v>
      </c>
      <c r="AF47" s="137">
        <f>Summary_LCIA!W$32</f>
        <v>7.6970999999999998E-2</v>
      </c>
      <c r="AG47" s="137">
        <f>Summary_LCIA!X$32</f>
        <v>2.2780000000000002E-2</v>
      </c>
      <c r="AH47" s="137">
        <f>Summary_LCIA!Y$32</f>
        <v>1.5582E-2</v>
      </c>
      <c r="AI47" s="137">
        <f>Summary_LCIA!Z$32</f>
        <v>4.1009E-5</v>
      </c>
      <c r="AJ47" s="137">
        <f>Summary_LCIA!AA$32</f>
        <v>2.3355999999999998E-2</v>
      </c>
      <c r="AK47" s="137">
        <f>Summary_LCIA!AB$32</f>
        <v>-2.1823000000000001E-5</v>
      </c>
      <c r="AL47" s="137">
        <f>Summary_LCIA!AC$32</f>
        <v>4.8884000000000003E-8</v>
      </c>
      <c r="AM47" s="137">
        <f>Summary_LCIA!AD$32</f>
        <v>4.1103999999999999E-4</v>
      </c>
      <c r="AN47" s="137">
        <f>Summary_LCIA!AE$32</f>
        <v>8.8612999999999995E-4</v>
      </c>
      <c r="AO47" s="137">
        <f>Summary_LCIA!AF$32</f>
        <v>8.4542000000000005E-4</v>
      </c>
      <c r="AP47" s="137">
        <f>Summary_LCIA!AG$32</f>
        <v>5.1165000000000002E-5</v>
      </c>
      <c r="AQ47" s="137">
        <f>Summary_LCIA!AH$32</f>
        <v>8.7036000000000006E-3</v>
      </c>
      <c r="AR47" s="137">
        <f>Summary_LCIA!AI$32</f>
        <v>9.3154999999999996E-4</v>
      </c>
      <c r="AT47" s="137">
        <f t="shared" si="2"/>
        <v>15.0456644</v>
      </c>
      <c r="AU47" s="137">
        <f t="shared" si="14"/>
        <v>219.44400107237399</v>
      </c>
      <c r="AV47" s="137">
        <f t="shared" si="15"/>
        <v>0.23315023679999997</v>
      </c>
      <c r="AW47" s="137">
        <f t="shared" si="16"/>
        <v>14.849955639999999</v>
      </c>
      <c r="AX47" s="137">
        <f t="shared" si="17"/>
        <v>4.8661522000000001</v>
      </c>
      <c r="AY47" s="137">
        <f t="shared" si="18"/>
        <v>0.79319609199999996</v>
      </c>
      <c r="AZ47" s="137">
        <f t="shared" si="19"/>
        <v>2.1147615580000001E-3</v>
      </c>
      <c r="BA47" s="137">
        <f t="shared" si="20"/>
        <v>3.4081219379999999</v>
      </c>
      <c r="BB47" s="137">
        <f t="shared" si="21"/>
        <v>1.0086528400000001</v>
      </c>
      <c r="BC47" s="137">
        <f t="shared" si="3"/>
        <v>0.68993979599999999</v>
      </c>
      <c r="BD47" s="137">
        <f t="shared" si="4"/>
        <v>1.8157965019999999E-3</v>
      </c>
      <c r="BE47" s="137">
        <f t="shared" si="5"/>
        <v>1.0341569679999998</v>
      </c>
      <c r="BF47" s="137">
        <f t="shared" si="6"/>
        <v>-9.6627879399999997E-4</v>
      </c>
      <c r="BG47" s="137">
        <f t="shared" si="7"/>
        <v>2.1644857520000002E-6</v>
      </c>
      <c r="BH47" s="137">
        <f t="shared" si="8"/>
        <v>1.8200029119999999E-2</v>
      </c>
      <c r="BI47" s="137">
        <f t="shared" si="9"/>
        <v>3.9236064139999999E-2</v>
      </c>
      <c r="BJ47" s="137">
        <f t="shared" si="10"/>
        <v>3.7433506759999999E-2</v>
      </c>
      <c r="BK47" s="137">
        <f t="shared" si="11"/>
        <v>2.26548387E-3</v>
      </c>
      <c r="BL47" s="137">
        <f t="shared" si="12"/>
        <v>0.38537800080000001</v>
      </c>
      <c r="BM47" s="137">
        <f t="shared" si="13"/>
        <v>4.1247170899999998E-2</v>
      </c>
    </row>
    <row r="48" spans="1:65" x14ac:dyDescent="0.25">
      <c r="A48" s="149">
        <v>206</v>
      </c>
      <c r="B48" s="149">
        <v>16</v>
      </c>
      <c r="C48" s="61">
        <v>39.514285000000001</v>
      </c>
      <c r="D48" s="61">
        <v>-104.845462</v>
      </c>
      <c r="E48" s="61" t="s">
        <v>265</v>
      </c>
      <c r="F48" s="149">
        <v>16</v>
      </c>
      <c r="G48" s="61" t="s">
        <v>565</v>
      </c>
      <c r="H48" s="61" t="s">
        <v>645</v>
      </c>
      <c r="I48" s="61">
        <v>39.856096000000001</v>
      </c>
      <c r="J48" s="61">
        <v>-104.673738</v>
      </c>
      <c r="K48" s="61">
        <v>66.458705199999997</v>
      </c>
      <c r="L48" s="61">
        <v>55.151000000000003</v>
      </c>
      <c r="M48" s="61" t="s">
        <v>617</v>
      </c>
      <c r="N48" s="149">
        <v>15</v>
      </c>
      <c r="O48" s="149">
        <v>16</v>
      </c>
      <c r="P48" s="61" t="s">
        <v>565</v>
      </c>
      <c r="Q48" s="61" t="s">
        <v>556</v>
      </c>
      <c r="R48" s="61">
        <v>39.856096299999997</v>
      </c>
      <c r="S48" s="61">
        <v>-104.6737376</v>
      </c>
      <c r="T48" s="61">
        <v>55.151000000000003</v>
      </c>
      <c r="U48" s="61" t="s">
        <v>617</v>
      </c>
      <c r="V48" s="61" t="s">
        <v>617</v>
      </c>
      <c r="W48" s="61"/>
      <c r="Y48" s="137">
        <f>Summary_LCIA!H$32</f>
        <v>0.33979999999999999</v>
      </c>
      <c r="Z48" s="137">
        <f>Summary_LCIA!Q$32</f>
        <v>4.9560504329999997</v>
      </c>
      <c r="AA48" s="137">
        <f>Summary_LCIA!R$32</f>
        <v>5.2655999999999996E-3</v>
      </c>
      <c r="AB48" s="137">
        <f>Summary_LCIA!S$32</f>
        <v>0.33538000000000001</v>
      </c>
      <c r="AC48" s="137">
        <f>Summary_LCIA!T$32</f>
        <v>0.1099</v>
      </c>
      <c r="AD48" s="137">
        <f>Summary_LCIA!U$32</f>
        <v>1.7913999999999999E-2</v>
      </c>
      <c r="AE48" s="137">
        <f>Summary_LCIA!V$32</f>
        <v>4.7760999999999999E-5</v>
      </c>
      <c r="AF48" s="137">
        <f>Summary_LCIA!W$32</f>
        <v>7.6970999999999998E-2</v>
      </c>
      <c r="AG48" s="137">
        <f>Summary_LCIA!X$32</f>
        <v>2.2780000000000002E-2</v>
      </c>
      <c r="AH48" s="137">
        <f>Summary_LCIA!Y$32</f>
        <v>1.5582E-2</v>
      </c>
      <c r="AI48" s="137">
        <f>Summary_LCIA!Z$32</f>
        <v>4.1009E-5</v>
      </c>
      <c r="AJ48" s="137">
        <f>Summary_LCIA!AA$32</f>
        <v>2.3355999999999998E-2</v>
      </c>
      <c r="AK48" s="137">
        <f>Summary_LCIA!AB$32</f>
        <v>-2.1823000000000001E-5</v>
      </c>
      <c r="AL48" s="137">
        <f>Summary_LCIA!AC$32</f>
        <v>4.8884000000000003E-8</v>
      </c>
      <c r="AM48" s="137">
        <f>Summary_LCIA!AD$32</f>
        <v>4.1103999999999999E-4</v>
      </c>
      <c r="AN48" s="137">
        <f>Summary_LCIA!AE$32</f>
        <v>8.8612999999999995E-4</v>
      </c>
      <c r="AO48" s="137">
        <f>Summary_LCIA!AF$32</f>
        <v>8.4542000000000005E-4</v>
      </c>
      <c r="AP48" s="137">
        <f>Summary_LCIA!AG$32</f>
        <v>5.1165000000000002E-5</v>
      </c>
      <c r="AQ48" s="137">
        <f>Summary_LCIA!AH$32</f>
        <v>8.7036000000000006E-3</v>
      </c>
      <c r="AR48" s="137">
        <f>Summary_LCIA!AI$32</f>
        <v>9.3154999999999996E-4</v>
      </c>
      <c r="AT48" s="137">
        <f t="shared" si="2"/>
        <v>18.740309800000002</v>
      </c>
      <c r="AU48" s="137">
        <f t="shared" si="14"/>
        <v>273.33113743038302</v>
      </c>
      <c r="AV48" s="137">
        <f t="shared" si="15"/>
        <v>0.29040310559999999</v>
      </c>
      <c r="AW48" s="137">
        <f t="shared" si="16"/>
        <v>18.496542380000001</v>
      </c>
      <c r="AX48" s="137">
        <f t="shared" si="17"/>
        <v>6.0610949000000005</v>
      </c>
      <c r="AY48" s="137">
        <f t="shared" si="18"/>
        <v>0.98797501399999998</v>
      </c>
      <c r="AZ48" s="137">
        <f t="shared" si="19"/>
        <v>2.6340669110000003E-3</v>
      </c>
      <c r="BA48" s="137">
        <f t="shared" si="20"/>
        <v>4.2450276210000002</v>
      </c>
      <c r="BB48" s="137">
        <f t="shared" si="21"/>
        <v>1.2563397800000002</v>
      </c>
      <c r="BC48" s="137">
        <f t="shared" si="3"/>
        <v>0.85936288200000011</v>
      </c>
      <c r="BD48" s="137">
        <f t="shared" si="4"/>
        <v>2.2616873589999999E-3</v>
      </c>
      <c r="BE48" s="137">
        <f t="shared" si="5"/>
        <v>1.2881067559999999</v>
      </c>
      <c r="BF48" s="137">
        <f t="shared" si="6"/>
        <v>-1.2035602730000002E-3</v>
      </c>
      <c r="BG48" s="137">
        <f t="shared" si="7"/>
        <v>2.6960014840000004E-6</v>
      </c>
      <c r="BH48" s="137">
        <f t="shared" si="8"/>
        <v>2.266926704E-2</v>
      </c>
      <c r="BI48" s="137">
        <f t="shared" si="9"/>
        <v>4.8870955629999997E-2</v>
      </c>
      <c r="BJ48" s="137">
        <f t="shared" si="10"/>
        <v>4.6625758420000003E-2</v>
      </c>
      <c r="BK48" s="137">
        <f t="shared" si="11"/>
        <v>2.8218009150000004E-3</v>
      </c>
      <c r="BL48" s="137">
        <f t="shared" si="12"/>
        <v>0.48001224360000005</v>
      </c>
      <c r="BM48" s="137">
        <f t="shared" si="13"/>
        <v>5.1375914049999999E-2</v>
      </c>
    </row>
    <row r="49" spans="1:65" x14ac:dyDescent="0.25">
      <c r="A49" s="149">
        <v>226</v>
      </c>
      <c r="B49" s="149">
        <v>16</v>
      </c>
      <c r="C49" s="61">
        <v>39.755543000000003</v>
      </c>
      <c r="D49" s="61">
        <v>-105.22110000000001</v>
      </c>
      <c r="E49" s="61" t="s">
        <v>265</v>
      </c>
      <c r="F49" s="149">
        <v>16</v>
      </c>
      <c r="G49" s="61" t="s">
        <v>565</v>
      </c>
      <c r="H49" s="61" t="s">
        <v>645</v>
      </c>
      <c r="I49" s="61">
        <v>39.856096000000001</v>
      </c>
      <c r="J49" s="61">
        <v>-104.673738</v>
      </c>
      <c r="K49" s="61">
        <v>48.393650190000002</v>
      </c>
      <c r="L49" s="61">
        <v>58.264000000000003</v>
      </c>
      <c r="M49" s="61" t="s">
        <v>617</v>
      </c>
      <c r="N49" s="149">
        <v>15</v>
      </c>
      <c r="O49" s="149">
        <v>16</v>
      </c>
      <c r="P49" s="61" t="s">
        <v>565</v>
      </c>
      <c r="Q49" s="61" t="s">
        <v>556</v>
      </c>
      <c r="R49" s="61">
        <v>39.856096299999997</v>
      </c>
      <c r="S49" s="61">
        <v>-104.6737376</v>
      </c>
      <c r="T49" s="61">
        <v>58.264000000000003</v>
      </c>
      <c r="U49" s="61" t="s">
        <v>617</v>
      </c>
      <c r="V49" s="61" t="s">
        <v>617</v>
      </c>
      <c r="W49" s="61"/>
      <c r="Y49" s="137">
        <f>Summary_LCIA!H$32</f>
        <v>0.33979999999999999</v>
      </c>
      <c r="Z49" s="137">
        <f>Summary_LCIA!Q$32</f>
        <v>4.9560504329999997</v>
      </c>
      <c r="AA49" s="137">
        <f>Summary_LCIA!R$32</f>
        <v>5.2655999999999996E-3</v>
      </c>
      <c r="AB49" s="137">
        <f>Summary_LCIA!S$32</f>
        <v>0.33538000000000001</v>
      </c>
      <c r="AC49" s="137">
        <f>Summary_LCIA!T$32</f>
        <v>0.1099</v>
      </c>
      <c r="AD49" s="137">
        <f>Summary_LCIA!U$32</f>
        <v>1.7913999999999999E-2</v>
      </c>
      <c r="AE49" s="137">
        <f>Summary_LCIA!V$32</f>
        <v>4.7760999999999999E-5</v>
      </c>
      <c r="AF49" s="137">
        <f>Summary_LCIA!W$32</f>
        <v>7.6970999999999998E-2</v>
      </c>
      <c r="AG49" s="137">
        <f>Summary_LCIA!X$32</f>
        <v>2.2780000000000002E-2</v>
      </c>
      <c r="AH49" s="137">
        <f>Summary_LCIA!Y$32</f>
        <v>1.5582E-2</v>
      </c>
      <c r="AI49" s="137">
        <f>Summary_LCIA!Z$32</f>
        <v>4.1009E-5</v>
      </c>
      <c r="AJ49" s="137">
        <f>Summary_LCIA!AA$32</f>
        <v>2.3355999999999998E-2</v>
      </c>
      <c r="AK49" s="137">
        <f>Summary_LCIA!AB$32</f>
        <v>-2.1823000000000001E-5</v>
      </c>
      <c r="AL49" s="137">
        <f>Summary_LCIA!AC$32</f>
        <v>4.8884000000000003E-8</v>
      </c>
      <c r="AM49" s="137">
        <f>Summary_LCIA!AD$32</f>
        <v>4.1103999999999999E-4</v>
      </c>
      <c r="AN49" s="137">
        <f>Summary_LCIA!AE$32</f>
        <v>8.8612999999999995E-4</v>
      </c>
      <c r="AO49" s="137">
        <f>Summary_LCIA!AF$32</f>
        <v>8.4542000000000005E-4</v>
      </c>
      <c r="AP49" s="137">
        <f>Summary_LCIA!AG$32</f>
        <v>5.1165000000000002E-5</v>
      </c>
      <c r="AQ49" s="137">
        <f>Summary_LCIA!AH$32</f>
        <v>8.7036000000000006E-3</v>
      </c>
      <c r="AR49" s="137">
        <f>Summary_LCIA!AI$32</f>
        <v>9.3154999999999996E-4</v>
      </c>
      <c r="AT49" s="137">
        <f t="shared" si="2"/>
        <v>19.7981072</v>
      </c>
      <c r="AU49" s="137">
        <f t="shared" si="14"/>
        <v>288.75932242831198</v>
      </c>
      <c r="AV49" s="137">
        <f t="shared" si="15"/>
        <v>0.30679491840000001</v>
      </c>
      <c r="AW49" s="137">
        <f t="shared" si="16"/>
        <v>19.54058032</v>
      </c>
      <c r="AX49" s="137">
        <f t="shared" si="17"/>
        <v>6.4032135999999999</v>
      </c>
      <c r="AY49" s="137">
        <f t="shared" si="18"/>
        <v>1.0437412960000001</v>
      </c>
      <c r="AZ49" s="137">
        <f t="shared" si="19"/>
        <v>2.7827469039999999E-3</v>
      </c>
      <c r="BA49" s="137">
        <f t="shared" si="20"/>
        <v>4.4846383440000004</v>
      </c>
      <c r="BB49" s="137">
        <f t="shared" si="21"/>
        <v>1.3272539200000002</v>
      </c>
      <c r="BC49" s="137">
        <f t="shared" si="3"/>
        <v>0.90786964800000003</v>
      </c>
      <c r="BD49" s="137">
        <f t="shared" si="4"/>
        <v>2.3893483760000001E-3</v>
      </c>
      <c r="BE49" s="137">
        <f t="shared" si="5"/>
        <v>1.360813984</v>
      </c>
      <c r="BF49" s="137">
        <f t="shared" si="6"/>
        <v>-1.2714952720000001E-3</v>
      </c>
      <c r="BG49" s="137">
        <f t="shared" si="7"/>
        <v>2.8481773760000002E-6</v>
      </c>
      <c r="BH49" s="137">
        <f t="shared" si="8"/>
        <v>2.394883456E-2</v>
      </c>
      <c r="BI49" s="137">
        <f t="shared" si="9"/>
        <v>5.1629478319999998E-2</v>
      </c>
      <c r="BJ49" s="137">
        <f t="shared" si="10"/>
        <v>4.9257550880000008E-2</v>
      </c>
      <c r="BK49" s="137">
        <f t="shared" si="11"/>
        <v>2.9810775600000003E-3</v>
      </c>
      <c r="BL49" s="137">
        <f t="shared" si="12"/>
        <v>0.50710655040000008</v>
      </c>
      <c r="BM49" s="137">
        <f t="shared" si="13"/>
        <v>5.42758292E-2</v>
      </c>
    </row>
    <row r="50" spans="1:65" x14ac:dyDescent="0.25">
      <c r="A50" s="149">
        <v>39</v>
      </c>
      <c r="B50" s="149">
        <v>16</v>
      </c>
      <c r="C50" s="61">
        <v>39.740726000000002</v>
      </c>
      <c r="D50" s="61">
        <v>-105.168615</v>
      </c>
      <c r="E50" s="61" t="s">
        <v>265</v>
      </c>
      <c r="F50" s="149">
        <v>16</v>
      </c>
      <c r="G50" s="61" t="s">
        <v>565</v>
      </c>
      <c r="H50" s="61" t="s">
        <v>645</v>
      </c>
      <c r="I50" s="61">
        <v>39.856096000000001</v>
      </c>
      <c r="J50" s="61">
        <v>-104.673738</v>
      </c>
      <c r="K50" s="61">
        <v>45.014100849999998</v>
      </c>
      <c r="L50" s="61">
        <v>58.618000000000002</v>
      </c>
      <c r="M50" s="61" t="s">
        <v>617</v>
      </c>
      <c r="N50" s="149">
        <v>15</v>
      </c>
      <c r="O50" s="149">
        <v>16</v>
      </c>
      <c r="P50" s="61" t="s">
        <v>565</v>
      </c>
      <c r="Q50" s="61" t="s">
        <v>556</v>
      </c>
      <c r="R50" s="61">
        <v>39.856096299999997</v>
      </c>
      <c r="S50" s="61">
        <v>-104.6737376</v>
      </c>
      <c r="T50" s="61">
        <v>58.618000000000002</v>
      </c>
      <c r="U50" s="61" t="s">
        <v>617</v>
      </c>
      <c r="V50" s="61" t="s">
        <v>617</v>
      </c>
      <c r="W50" s="61"/>
      <c r="Y50" s="137">
        <f>Summary_LCIA!H$32</f>
        <v>0.33979999999999999</v>
      </c>
      <c r="Z50" s="137">
        <f>Summary_LCIA!Q$32</f>
        <v>4.9560504329999997</v>
      </c>
      <c r="AA50" s="137">
        <f>Summary_LCIA!R$32</f>
        <v>5.2655999999999996E-3</v>
      </c>
      <c r="AB50" s="137">
        <f>Summary_LCIA!S$32</f>
        <v>0.33538000000000001</v>
      </c>
      <c r="AC50" s="137">
        <f>Summary_LCIA!T$32</f>
        <v>0.1099</v>
      </c>
      <c r="AD50" s="137">
        <f>Summary_LCIA!U$32</f>
        <v>1.7913999999999999E-2</v>
      </c>
      <c r="AE50" s="137">
        <f>Summary_LCIA!V$32</f>
        <v>4.7760999999999999E-5</v>
      </c>
      <c r="AF50" s="137">
        <f>Summary_LCIA!W$32</f>
        <v>7.6970999999999998E-2</v>
      </c>
      <c r="AG50" s="137">
        <f>Summary_LCIA!X$32</f>
        <v>2.2780000000000002E-2</v>
      </c>
      <c r="AH50" s="137">
        <f>Summary_LCIA!Y$32</f>
        <v>1.5582E-2</v>
      </c>
      <c r="AI50" s="137">
        <f>Summary_LCIA!Z$32</f>
        <v>4.1009E-5</v>
      </c>
      <c r="AJ50" s="137">
        <f>Summary_LCIA!AA$32</f>
        <v>2.3355999999999998E-2</v>
      </c>
      <c r="AK50" s="137">
        <f>Summary_LCIA!AB$32</f>
        <v>-2.1823000000000001E-5</v>
      </c>
      <c r="AL50" s="137">
        <f>Summary_LCIA!AC$32</f>
        <v>4.8884000000000003E-8</v>
      </c>
      <c r="AM50" s="137">
        <f>Summary_LCIA!AD$32</f>
        <v>4.1103999999999999E-4</v>
      </c>
      <c r="AN50" s="137">
        <f>Summary_LCIA!AE$32</f>
        <v>8.8612999999999995E-4</v>
      </c>
      <c r="AO50" s="137">
        <f>Summary_LCIA!AF$32</f>
        <v>8.4542000000000005E-4</v>
      </c>
      <c r="AP50" s="137">
        <f>Summary_LCIA!AG$32</f>
        <v>5.1165000000000002E-5</v>
      </c>
      <c r="AQ50" s="137">
        <f>Summary_LCIA!AH$32</f>
        <v>8.7036000000000006E-3</v>
      </c>
      <c r="AR50" s="137">
        <f>Summary_LCIA!AI$32</f>
        <v>9.3154999999999996E-4</v>
      </c>
      <c r="AT50" s="137">
        <f t="shared" si="2"/>
        <v>19.918396399999999</v>
      </c>
      <c r="AU50" s="137">
        <f t="shared" si="14"/>
        <v>290.51376428159398</v>
      </c>
      <c r="AV50" s="137">
        <f t="shared" si="15"/>
        <v>0.3086589408</v>
      </c>
      <c r="AW50" s="137">
        <f t="shared" si="16"/>
        <v>19.659304840000001</v>
      </c>
      <c r="AX50" s="137">
        <f t="shared" si="17"/>
        <v>6.4421182000000003</v>
      </c>
      <c r="AY50" s="137">
        <f t="shared" si="18"/>
        <v>1.0500828520000001</v>
      </c>
      <c r="AZ50" s="137">
        <f t="shared" si="19"/>
        <v>2.7996542980000001E-3</v>
      </c>
      <c r="BA50" s="137">
        <f t="shared" si="20"/>
        <v>4.5118860779999999</v>
      </c>
      <c r="BB50" s="137">
        <f t="shared" si="21"/>
        <v>1.3353180400000002</v>
      </c>
      <c r="BC50" s="137">
        <f t="shared" si="3"/>
        <v>0.91338567600000009</v>
      </c>
      <c r="BD50" s="137">
        <f t="shared" si="4"/>
        <v>2.4038655620000002E-3</v>
      </c>
      <c r="BE50" s="137">
        <f t="shared" si="5"/>
        <v>1.3690820079999999</v>
      </c>
      <c r="BF50" s="137">
        <f t="shared" si="6"/>
        <v>-1.2792206140000001E-3</v>
      </c>
      <c r="BG50" s="137">
        <f t="shared" si="7"/>
        <v>2.8654823120000001E-6</v>
      </c>
      <c r="BH50" s="137">
        <f t="shared" si="8"/>
        <v>2.4094342720000002E-2</v>
      </c>
      <c r="BI50" s="137">
        <f t="shared" si="9"/>
        <v>5.1943168339999998E-2</v>
      </c>
      <c r="BJ50" s="137">
        <f t="shared" si="10"/>
        <v>4.9556829560000001E-2</v>
      </c>
      <c r="BK50" s="137">
        <f t="shared" si="11"/>
        <v>2.9991899700000002E-3</v>
      </c>
      <c r="BL50" s="137">
        <f t="shared" si="12"/>
        <v>0.51018762480000002</v>
      </c>
      <c r="BM50" s="137">
        <f t="shared" si="13"/>
        <v>5.4605597899999997E-2</v>
      </c>
    </row>
    <row r="51" spans="1:65" x14ac:dyDescent="0.25">
      <c r="A51" s="149">
        <v>40</v>
      </c>
      <c r="B51" s="149">
        <v>16</v>
      </c>
      <c r="C51" s="61">
        <v>39.740726000000002</v>
      </c>
      <c r="D51" s="61">
        <v>-105.168615</v>
      </c>
      <c r="E51" s="61" t="s">
        <v>265</v>
      </c>
      <c r="F51" s="149">
        <v>16</v>
      </c>
      <c r="G51" s="61" t="s">
        <v>565</v>
      </c>
      <c r="H51" s="61" t="s">
        <v>645</v>
      </c>
      <c r="I51" s="61">
        <v>39.856096000000001</v>
      </c>
      <c r="J51" s="61">
        <v>-104.673738</v>
      </c>
      <c r="K51" s="61">
        <v>45.014100849999998</v>
      </c>
      <c r="L51" s="61">
        <v>58.618000000000002</v>
      </c>
      <c r="M51" s="61" t="s">
        <v>617</v>
      </c>
      <c r="N51" s="149">
        <v>15</v>
      </c>
      <c r="O51" s="149">
        <v>16</v>
      </c>
      <c r="P51" s="61" t="s">
        <v>565</v>
      </c>
      <c r="Q51" s="61" t="s">
        <v>556</v>
      </c>
      <c r="R51" s="61">
        <v>39.856096299999997</v>
      </c>
      <c r="S51" s="61">
        <v>-104.6737376</v>
      </c>
      <c r="T51" s="61">
        <v>58.618000000000002</v>
      </c>
      <c r="U51" s="61" t="s">
        <v>617</v>
      </c>
      <c r="V51" s="61" t="s">
        <v>617</v>
      </c>
      <c r="W51" s="61"/>
      <c r="Y51" s="137">
        <f>Summary_LCIA!H$32</f>
        <v>0.33979999999999999</v>
      </c>
      <c r="Z51" s="137">
        <f>Summary_LCIA!Q$32</f>
        <v>4.9560504329999997</v>
      </c>
      <c r="AA51" s="137">
        <f>Summary_LCIA!R$32</f>
        <v>5.2655999999999996E-3</v>
      </c>
      <c r="AB51" s="137">
        <f>Summary_LCIA!S$32</f>
        <v>0.33538000000000001</v>
      </c>
      <c r="AC51" s="137">
        <f>Summary_LCIA!T$32</f>
        <v>0.1099</v>
      </c>
      <c r="AD51" s="137">
        <f>Summary_LCIA!U$32</f>
        <v>1.7913999999999999E-2</v>
      </c>
      <c r="AE51" s="137">
        <f>Summary_LCIA!V$32</f>
        <v>4.7760999999999999E-5</v>
      </c>
      <c r="AF51" s="137">
        <f>Summary_LCIA!W$32</f>
        <v>7.6970999999999998E-2</v>
      </c>
      <c r="AG51" s="137">
        <f>Summary_LCIA!X$32</f>
        <v>2.2780000000000002E-2</v>
      </c>
      <c r="AH51" s="137">
        <f>Summary_LCIA!Y$32</f>
        <v>1.5582E-2</v>
      </c>
      <c r="AI51" s="137">
        <f>Summary_LCIA!Z$32</f>
        <v>4.1009E-5</v>
      </c>
      <c r="AJ51" s="137">
        <f>Summary_LCIA!AA$32</f>
        <v>2.3355999999999998E-2</v>
      </c>
      <c r="AK51" s="137">
        <f>Summary_LCIA!AB$32</f>
        <v>-2.1823000000000001E-5</v>
      </c>
      <c r="AL51" s="137">
        <f>Summary_LCIA!AC$32</f>
        <v>4.8884000000000003E-8</v>
      </c>
      <c r="AM51" s="137">
        <f>Summary_LCIA!AD$32</f>
        <v>4.1103999999999999E-4</v>
      </c>
      <c r="AN51" s="137">
        <f>Summary_LCIA!AE$32</f>
        <v>8.8612999999999995E-4</v>
      </c>
      <c r="AO51" s="137">
        <f>Summary_LCIA!AF$32</f>
        <v>8.4542000000000005E-4</v>
      </c>
      <c r="AP51" s="137">
        <f>Summary_LCIA!AG$32</f>
        <v>5.1165000000000002E-5</v>
      </c>
      <c r="AQ51" s="137">
        <f>Summary_LCIA!AH$32</f>
        <v>8.7036000000000006E-3</v>
      </c>
      <c r="AR51" s="137">
        <f>Summary_LCIA!AI$32</f>
        <v>9.3154999999999996E-4</v>
      </c>
      <c r="AT51" s="137">
        <f t="shared" si="2"/>
        <v>19.918396399999999</v>
      </c>
      <c r="AU51" s="137">
        <f t="shared" si="14"/>
        <v>290.51376428159398</v>
      </c>
      <c r="AV51" s="137">
        <f t="shared" si="15"/>
        <v>0.3086589408</v>
      </c>
      <c r="AW51" s="137">
        <f t="shared" si="16"/>
        <v>19.659304840000001</v>
      </c>
      <c r="AX51" s="137">
        <f t="shared" si="17"/>
        <v>6.4421182000000003</v>
      </c>
      <c r="AY51" s="137">
        <f t="shared" si="18"/>
        <v>1.0500828520000001</v>
      </c>
      <c r="AZ51" s="137">
        <f t="shared" si="19"/>
        <v>2.7996542980000001E-3</v>
      </c>
      <c r="BA51" s="137">
        <f t="shared" si="20"/>
        <v>4.5118860779999999</v>
      </c>
      <c r="BB51" s="137">
        <f t="shared" si="21"/>
        <v>1.3353180400000002</v>
      </c>
      <c r="BC51" s="137">
        <f t="shared" si="3"/>
        <v>0.91338567600000009</v>
      </c>
      <c r="BD51" s="137">
        <f t="shared" si="4"/>
        <v>2.4038655620000002E-3</v>
      </c>
      <c r="BE51" s="137">
        <f t="shared" si="5"/>
        <v>1.3690820079999999</v>
      </c>
      <c r="BF51" s="137">
        <f t="shared" si="6"/>
        <v>-1.2792206140000001E-3</v>
      </c>
      <c r="BG51" s="137">
        <f t="shared" si="7"/>
        <v>2.8654823120000001E-6</v>
      </c>
      <c r="BH51" s="137">
        <f t="shared" si="8"/>
        <v>2.4094342720000002E-2</v>
      </c>
      <c r="BI51" s="137">
        <f t="shared" si="9"/>
        <v>5.1943168339999998E-2</v>
      </c>
      <c r="BJ51" s="137">
        <f t="shared" si="10"/>
        <v>4.9556829560000001E-2</v>
      </c>
      <c r="BK51" s="137">
        <f t="shared" si="11"/>
        <v>2.9991899700000002E-3</v>
      </c>
      <c r="BL51" s="137">
        <f t="shared" si="12"/>
        <v>0.51018762480000002</v>
      </c>
      <c r="BM51" s="137">
        <f t="shared" si="13"/>
        <v>5.4605597899999997E-2</v>
      </c>
    </row>
    <row r="52" spans="1:65" x14ac:dyDescent="0.25">
      <c r="A52" s="149">
        <v>36</v>
      </c>
      <c r="B52" s="149">
        <v>16</v>
      </c>
      <c r="C52" s="61">
        <v>39.750858999999998</v>
      </c>
      <c r="D52" s="61">
        <v>-105.22386899999999</v>
      </c>
      <c r="E52" s="61" t="s">
        <v>265</v>
      </c>
      <c r="F52" s="149">
        <v>16</v>
      </c>
      <c r="G52" s="61" t="s">
        <v>565</v>
      </c>
      <c r="H52" s="61" t="s">
        <v>645</v>
      </c>
      <c r="I52" s="61">
        <v>39.856096000000001</v>
      </c>
      <c r="J52" s="61">
        <v>-104.673738</v>
      </c>
      <c r="K52" s="61">
        <v>48.817587850000002</v>
      </c>
      <c r="L52" s="61">
        <v>58.978000000000002</v>
      </c>
      <c r="M52" s="61" t="s">
        <v>617</v>
      </c>
      <c r="N52" s="149">
        <v>15</v>
      </c>
      <c r="O52" s="149">
        <v>16</v>
      </c>
      <c r="P52" s="61" t="s">
        <v>565</v>
      </c>
      <c r="Q52" s="61" t="s">
        <v>556</v>
      </c>
      <c r="R52" s="61">
        <v>39.856096299999997</v>
      </c>
      <c r="S52" s="61">
        <v>-104.6737376</v>
      </c>
      <c r="T52" s="61">
        <v>58.978000000000002</v>
      </c>
      <c r="U52" s="61" t="s">
        <v>617</v>
      </c>
      <c r="V52" s="61" t="s">
        <v>617</v>
      </c>
      <c r="W52" s="61"/>
      <c r="Y52" s="137">
        <f>Summary_LCIA!H$32</f>
        <v>0.33979999999999999</v>
      </c>
      <c r="Z52" s="137">
        <f>Summary_LCIA!Q$32</f>
        <v>4.9560504329999997</v>
      </c>
      <c r="AA52" s="137">
        <f>Summary_LCIA!R$32</f>
        <v>5.2655999999999996E-3</v>
      </c>
      <c r="AB52" s="137">
        <f>Summary_LCIA!S$32</f>
        <v>0.33538000000000001</v>
      </c>
      <c r="AC52" s="137">
        <f>Summary_LCIA!T$32</f>
        <v>0.1099</v>
      </c>
      <c r="AD52" s="137">
        <f>Summary_LCIA!U$32</f>
        <v>1.7913999999999999E-2</v>
      </c>
      <c r="AE52" s="137">
        <f>Summary_LCIA!V$32</f>
        <v>4.7760999999999999E-5</v>
      </c>
      <c r="AF52" s="137">
        <f>Summary_LCIA!W$32</f>
        <v>7.6970999999999998E-2</v>
      </c>
      <c r="AG52" s="137">
        <f>Summary_LCIA!X$32</f>
        <v>2.2780000000000002E-2</v>
      </c>
      <c r="AH52" s="137">
        <f>Summary_LCIA!Y$32</f>
        <v>1.5582E-2</v>
      </c>
      <c r="AI52" s="137">
        <f>Summary_LCIA!Z$32</f>
        <v>4.1009E-5</v>
      </c>
      <c r="AJ52" s="137">
        <f>Summary_LCIA!AA$32</f>
        <v>2.3355999999999998E-2</v>
      </c>
      <c r="AK52" s="137">
        <f>Summary_LCIA!AB$32</f>
        <v>-2.1823000000000001E-5</v>
      </c>
      <c r="AL52" s="137">
        <f>Summary_LCIA!AC$32</f>
        <v>4.8884000000000003E-8</v>
      </c>
      <c r="AM52" s="137">
        <f>Summary_LCIA!AD$32</f>
        <v>4.1103999999999999E-4</v>
      </c>
      <c r="AN52" s="137">
        <f>Summary_LCIA!AE$32</f>
        <v>8.8612999999999995E-4</v>
      </c>
      <c r="AO52" s="137">
        <f>Summary_LCIA!AF$32</f>
        <v>8.4542000000000005E-4</v>
      </c>
      <c r="AP52" s="137">
        <f>Summary_LCIA!AG$32</f>
        <v>5.1165000000000002E-5</v>
      </c>
      <c r="AQ52" s="137">
        <f>Summary_LCIA!AH$32</f>
        <v>8.7036000000000006E-3</v>
      </c>
      <c r="AR52" s="137">
        <f>Summary_LCIA!AI$32</f>
        <v>9.3154999999999996E-4</v>
      </c>
      <c r="AT52" s="137">
        <f t="shared" si="2"/>
        <v>20.040724399999998</v>
      </c>
      <c r="AU52" s="137">
        <f t="shared" si="14"/>
        <v>292.29794243747398</v>
      </c>
      <c r="AV52" s="137">
        <f t="shared" si="15"/>
        <v>0.31055455679999999</v>
      </c>
      <c r="AW52" s="137">
        <f t="shared" si="16"/>
        <v>19.78004164</v>
      </c>
      <c r="AX52" s="137">
        <f t="shared" si="17"/>
        <v>6.4816821999999998</v>
      </c>
      <c r="AY52" s="137">
        <f t="shared" si="18"/>
        <v>1.056531892</v>
      </c>
      <c r="AZ52" s="137">
        <f t="shared" si="19"/>
        <v>2.8168482580000001E-3</v>
      </c>
      <c r="BA52" s="137">
        <f t="shared" si="20"/>
        <v>4.5395956379999998</v>
      </c>
      <c r="BB52" s="137">
        <f t="shared" si="21"/>
        <v>1.3435188400000002</v>
      </c>
      <c r="BC52" s="137">
        <f t="shared" si="3"/>
        <v>0.91899519600000001</v>
      </c>
      <c r="BD52" s="137">
        <f t="shared" si="4"/>
        <v>2.4186288020000002E-3</v>
      </c>
      <c r="BE52" s="137">
        <f t="shared" si="5"/>
        <v>1.377490168</v>
      </c>
      <c r="BF52" s="137">
        <f t="shared" si="6"/>
        <v>-1.2870768940000002E-3</v>
      </c>
      <c r="BG52" s="137">
        <f t="shared" si="7"/>
        <v>2.8830805520000002E-6</v>
      </c>
      <c r="BH52" s="137">
        <f t="shared" si="8"/>
        <v>2.4242317119999999E-2</v>
      </c>
      <c r="BI52" s="137">
        <f t="shared" si="9"/>
        <v>5.2262175139999999E-2</v>
      </c>
      <c r="BJ52" s="137">
        <f t="shared" si="10"/>
        <v>4.9861180760000005E-2</v>
      </c>
      <c r="BK52" s="137">
        <f t="shared" si="11"/>
        <v>3.0176093700000003E-3</v>
      </c>
      <c r="BL52" s="137">
        <f t="shared" si="12"/>
        <v>0.51332092080000002</v>
      </c>
      <c r="BM52" s="137">
        <f t="shared" si="13"/>
        <v>5.4940955899999998E-2</v>
      </c>
    </row>
    <row r="53" spans="1:65" x14ac:dyDescent="0.25">
      <c r="A53" s="149">
        <v>37</v>
      </c>
      <c r="B53" s="149">
        <v>16</v>
      </c>
      <c r="C53" s="61">
        <v>39.750858999999998</v>
      </c>
      <c r="D53" s="61">
        <v>-105.22386899999999</v>
      </c>
      <c r="E53" s="61" t="s">
        <v>265</v>
      </c>
      <c r="F53" s="149">
        <v>16</v>
      </c>
      <c r="G53" s="61" t="s">
        <v>565</v>
      </c>
      <c r="H53" s="61" t="s">
        <v>645</v>
      </c>
      <c r="I53" s="61">
        <v>39.856096000000001</v>
      </c>
      <c r="J53" s="61">
        <v>-104.673738</v>
      </c>
      <c r="K53" s="61">
        <v>48.817587850000002</v>
      </c>
      <c r="L53" s="61">
        <v>58.978000000000002</v>
      </c>
      <c r="M53" s="61" t="s">
        <v>617</v>
      </c>
      <c r="N53" s="149">
        <v>15</v>
      </c>
      <c r="O53" s="149">
        <v>16</v>
      </c>
      <c r="P53" s="61" t="s">
        <v>565</v>
      </c>
      <c r="Q53" s="61" t="s">
        <v>556</v>
      </c>
      <c r="R53" s="61">
        <v>39.856096299999997</v>
      </c>
      <c r="S53" s="61">
        <v>-104.6737376</v>
      </c>
      <c r="T53" s="61">
        <v>58.978000000000002</v>
      </c>
      <c r="U53" s="61" t="s">
        <v>617</v>
      </c>
      <c r="V53" s="61" t="s">
        <v>617</v>
      </c>
      <c r="W53" s="61"/>
      <c r="Y53" s="137">
        <f>Summary_LCIA!H$32</f>
        <v>0.33979999999999999</v>
      </c>
      <c r="Z53" s="137">
        <f>Summary_LCIA!Q$32</f>
        <v>4.9560504329999997</v>
      </c>
      <c r="AA53" s="137">
        <f>Summary_LCIA!R$32</f>
        <v>5.2655999999999996E-3</v>
      </c>
      <c r="AB53" s="137">
        <f>Summary_LCIA!S$32</f>
        <v>0.33538000000000001</v>
      </c>
      <c r="AC53" s="137">
        <f>Summary_LCIA!T$32</f>
        <v>0.1099</v>
      </c>
      <c r="AD53" s="137">
        <f>Summary_LCIA!U$32</f>
        <v>1.7913999999999999E-2</v>
      </c>
      <c r="AE53" s="137">
        <f>Summary_LCIA!V$32</f>
        <v>4.7760999999999999E-5</v>
      </c>
      <c r="AF53" s="137">
        <f>Summary_LCIA!W$32</f>
        <v>7.6970999999999998E-2</v>
      </c>
      <c r="AG53" s="137">
        <f>Summary_LCIA!X$32</f>
        <v>2.2780000000000002E-2</v>
      </c>
      <c r="AH53" s="137">
        <f>Summary_LCIA!Y$32</f>
        <v>1.5582E-2</v>
      </c>
      <c r="AI53" s="137">
        <f>Summary_LCIA!Z$32</f>
        <v>4.1009E-5</v>
      </c>
      <c r="AJ53" s="137">
        <f>Summary_LCIA!AA$32</f>
        <v>2.3355999999999998E-2</v>
      </c>
      <c r="AK53" s="137">
        <f>Summary_LCIA!AB$32</f>
        <v>-2.1823000000000001E-5</v>
      </c>
      <c r="AL53" s="137">
        <f>Summary_LCIA!AC$32</f>
        <v>4.8884000000000003E-8</v>
      </c>
      <c r="AM53" s="137">
        <f>Summary_LCIA!AD$32</f>
        <v>4.1103999999999999E-4</v>
      </c>
      <c r="AN53" s="137">
        <f>Summary_LCIA!AE$32</f>
        <v>8.8612999999999995E-4</v>
      </c>
      <c r="AO53" s="137">
        <f>Summary_LCIA!AF$32</f>
        <v>8.4542000000000005E-4</v>
      </c>
      <c r="AP53" s="137">
        <f>Summary_LCIA!AG$32</f>
        <v>5.1165000000000002E-5</v>
      </c>
      <c r="AQ53" s="137">
        <f>Summary_LCIA!AH$32</f>
        <v>8.7036000000000006E-3</v>
      </c>
      <c r="AR53" s="137">
        <f>Summary_LCIA!AI$32</f>
        <v>9.3154999999999996E-4</v>
      </c>
      <c r="AT53" s="137">
        <f t="shared" si="2"/>
        <v>20.040724399999998</v>
      </c>
      <c r="AU53" s="137">
        <f t="shared" si="14"/>
        <v>292.29794243747398</v>
      </c>
      <c r="AV53" s="137">
        <f t="shared" si="15"/>
        <v>0.31055455679999999</v>
      </c>
      <c r="AW53" s="137">
        <f t="shared" si="16"/>
        <v>19.78004164</v>
      </c>
      <c r="AX53" s="137">
        <f t="shared" si="17"/>
        <v>6.4816821999999998</v>
      </c>
      <c r="AY53" s="137">
        <f t="shared" si="18"/>
        <v>1.056531892</v>
      </c>
      <c r="AZ53" s="137">
        <f t="shared" si="19"/>
        <v>2.8168482580000001E-3</v>
      </c>
      <c r="BA53" s="137">
        <f t="shared" si="20"/>
        <v>4.5395956379999998</v>
      </c>
      <c r="BB53" s="137">
        <f t="shared" si="21"/>
        <v>1.3435188400000002</v>
      </c>
      <c r="BC53" s="137">
        <f t="shared" si="3"/>
        <v>0.91899519600000001</v>
      </c>
      <c r="BD53" s="137">
        <f t="shared" si="4"/>
        <v>2.4186288020000002E-3</v>
      </c>
      <c r="BE53" s="137">
        <f t="shared" si="5"/>
        <v>1.377490168</v>
      </c>
      <c r="BF53" s="137">
        <f t="shared" si="6"/>
        <v>-1.2870768940000002E-3</v>
      </c>
      <c r="BG53" s="137">
        <f t="shared" si="7"/>
        <v>2.8830805520000002E-6</v>
      </c>
      <c r="BH53" s="137">
        <f t="shared" si="8"/>
        <v>2.4242317119999999E-2</v>
      </c>
      <c r="BI53" s="137">
        <f t="shared" si="9"/>
        <v>5.2262175139999999E-2</v>
      </c>
      <c r="BJ53" s="137">
        <f t="shared" si="10"/>
        <v>4.9861180760000005E-2</v>
      </c>
      <c r="BK53" s="137">
        <f t="shared" si="11"/>
        <v>3.0176093700000003E-3</v>
      </c>
      <c r="BL53" s="137">
        <f t="shared" si="12"/>
        <v>0.51332092080000002</v>
      </c>
      <c r="BM53" s="137">
        <f t="shared" si="13"/>
        <v>5.4940955899999998E-2</v>
      </c>
    </row>
    <row r="54" spans="1:65" x14ac:dyDescent="0.25">
      <c r="A54" s="149">
        <v>38</v>
      </c>
      <c r="B54" s="149">
        <v>16</v>
      </c>
      <c r="C54" s="61">
        <v>39.750858999999998</v>
      </c>
      <c r="D54" s="61">
        <v>-105.22386899999999</v>
      </c>
      <c r="E54" s="61" t="s">
        <v>265</v>
      </c>
      <c r="F54" s="149">
        <v>16</v>
      </c>
      <c r="G54" s="61" t="s">
        <v>565</v>
      </c>
      <c r="H54" s="61" t="s">
        <v>645</v>
      </c>
      <c r="I54" s="61">
        <v>39.856096000000001</v>
      </c>
      <c r="J54" s="61">
        <v>-104.673738</v>
      </c>
      <c r="K54" s="61">
        <v>48.817587850000002</v>
      </c>
      <c r="L54" s="61">
        <v>58.978000000000002</v>
      </c>
      <c r="M54" s="61" t="s">
        <v>617</v>
      </c>
      <c r="N54" s="149">
        <v>15</v>
      </c>
      <c r="O54" s="149">
        <v>16</v>
      </c>
      <c r="P54" s="61" t="s">
        <v>565</v>
      </c>
      <c r="Q54" s="61" t="s">
        <v>556</v>
      </c>
      <c r="R54" s="61">
        <v>39.856096299999997</v>
      </c>
      <c r="S54" s="61">
        <v>-104.6737376</v>
      </c>
      <c r="T54" s="61">
        <v>58.978000000000002</v>
      </c>
      <c r="U54" s="61" t="s">
        <v>617</v>
      </c>
      <c r="V54" s="61" t="s">
        <v>617</v>
      </c>
      <c r="W54" s="61"/>
      <c r="Y54" s="137">
        <f>Summary_LCIA!H$32</f>
        <v>0.33979999999999999</v>
      </c>
      <c r="Z54" s="137">
        <f>Summary_LCIA!Q$32</f>
        <v>4.9560504329999997</v>
      </c>
      <c r="AA54" s="137">
        <f>Summary_LCIA!R$32</f>
        <v>5.2655999999999996E-3</v>
      </c>
      <c r="AB54" s="137">
        <f>Summary_LCIA!S$32</f>
        <v>0.33538000000000001</v>
      </c>
      <c r="AC54" s="137">
        <f>Summary_LCIA!T$32</f>
        <v>0.1099</v>
      </c>
      <c r="AD54" s="137">
        <f>Summary_LCIA!U$32</f>
        <v>1.7913999999999999E-2</v>
      </c>
      <c r="AE54" s="137">
        <f>Summary_LCIA!V$32</f>
        <v>4.7760999999999999E-5</v>
      </c>
      <c r="AF54" s="137">
        <f>Summary_LCIA!W$32</f>
        <v>7.6970999999999998E-2</v>
      </c>
      <c r="AG54" s="137">
        <f>Summary_LCIA!X$32</f>
        <v>2.2780000000000002E-2</v>
      </c>
      <c r="AH54" s="137">
        <f>Summary_LCIA!Y$32</f>
        <v>1.5582E-2</v>
      </c>
      <c r="AI54" s="137">
        <f>Summary_LCIA!Z$32</f>
        <v>4.1009E-5</v>
      </c>
      <c r="AJ54" s="137">
        <f>Summary_LCIA!AA$32</f>
        <v>2.3355999999999998E-2</v>
      </c>
      <c r="AK54" s="137">
        <f>Summary_LCIA!AB$32</f>
        <v>-2.1823000000000001E-5</v>
      </c>
      <c r="AL54" s="137">
        <f>Summary_LCIA!AC$32</f>
        <v>4.8884000000000003E-8</v>
      </c>
      <c r="AM54" s="137">
        <f>Summary_LCIA!AD$32</f>
        <v>4.1103999999999999E-4</v>
      </c>
      <c r="AN54" s="137">
        <f>Summary_LCIA!AE$32</f>
        <v>8.8612999999999995E-4</v>
      </c>
      <c r="AO54" s="137">
        <f>Summary_LCIA!AF$32</f>
        <v>8.4542000000000005E-4</v>
      </c>
      <c r="AP54" s="137">
        <f>Summary_LCIA!AG$32</f>
        <v>5.1165000000000002E-5</v>
      </c>
      <c r="AQ54" s="137">
        <f>Summary_LCIA!AH$32</f>
        <v>8.7036000000000006E-3</v>
      </c>
      <c r="AR54" s="137">
        <f>Summary_LCIA!AI$32</f>
        <v>9.3154999999999996E-4</v>
      </c>
      <c r="AT54" s="137">
        <f t="shared" si="2"/>
        <v>20.040724399999998</v>
      </c>
      <c r="AU54" s="137">
        <f t="shared" si="14"/>
        <v>292.29794243747398</v>
      </c>
      <c r="AV54" s="137">
        <f t="shared" si="15"/>
        <v>0.31055455679999999</v>
      </c>
      <c r="AW54" s="137">
        <f t="shared" si="16"/>
        <v>19.78004164</v>
      </c>
      <c r="AX54" s="137">
        <f t="shared" si="17"/>
        <v>6.4816821999999998</v>
      </c>
      <c r="AY54" s="137">
        <f t="shared" si="18"/>
        <v>1.056531892</v>
      </c>
      <c r="AZ54" s="137">
        <f t="shared" si="19"/>
        <v>2.8168482580000001E-3</v>
      </c>
      <c r="BA54" s="137">
        <f t="shared" si="20"/>
        <v>4.5395956379999998</v>
      </c>
      <c r="BB54" s="137">
        <f t="shared" si="21"/>
        <v>1.3435188400000002</v>
      </c>
      <c r="BC54" s="137">
        <f t="shared" si="3"/>
        <v>0.91899519600000001</v>
      </c>
      <c r="BD54" s="137">
        <f t="shared" si="4"/>
        <v>2.4186288020000002E-3</v>
      </c>
      <c r="BE54" s="137">
        <f t="shared" si="5"/>
        <v>1.377490168</v>
      </c>
      <c r="BF54" s="137">
        <f t="shared" si="6"/>
        <v>-1.2870768940000002E-3</v>
      </c>
      <c r="BG54" s="137">
        <f t="shared" si="7"/>
        <v>2.8830805520000002E-6</v>
      </c>
      <c r="BH54" s="137">
        <f t="shared" si="8"/>
        <v>2.4242317119999999E-2</v>
      </c>
      <c r="BI54" s="137">
        <f t="shared" si="9"/>
        <v>5.2262175139999999E-2</v>
      </c>
      <c r="BJ54" s="137">
        <f t="shared" si="10"/>
        <v>4.9861180760000005E-2</v>
      </c>
      <c r="BK54" s="137">
        <f t="shared" si="11"/>
        <v>3.0176093700000003E-3</v>
      </c>
      <c r="BL54" s="137">
        <f t="shared" si="12"/>
        <v>0.51332092080000002</v>
      </c>
      <c r="BM54" s="137">
        <f t="shared" si="13"/>
        <v>5.4940955899999998E-2</v>
      </c>
    </row>
    <row r="55" spans="1:65" x14ac:dyDescent="0.25">
      <c r="A55" s="149">
        <v>247</v>
      </c>
      <c r="B55" s="149">
        <v>43</v>
      </c>
      <c r="C55" s="61">
        <v>40.883676999999999</v>
      </c>
      <c r="D55" s="61">
        <v>-74.657272000000006</v>
      </c>
      <c r="E55" s="61" t="s">
        <v>265</v>
      </c>
      <c r="F55" s="149">
        <v>43</v>
      </c>
      <c r="G55" s="61" t="s">
        <v>565</v>
      </c>
      <c r="H55" s="61" t="s">
        <v>632</v>
      </c>
      <c r="I55" s="61">
        <v>40.689531000000002</v>
      </c>
      <c r="J55" s="61">
        <v>-74.174462000000005</v>
      </c>
      <c r="K55" s="61">
        <v>48.085556680000003</v>
      </c>
      <c r="L55" s="61">
        <v>63.673000000000002</v>
      </c>
      <c r="M55" s="61" t="s">
        <v>617</v>
      </c>
      <c r="N55" s="149">
        <v>42</v>
      </c>
      <c r="O55" s="149">
        <v>43</v>
      </c>
      <c r="P55" s="61" t="s">
        <v>565</v>
      </c>
      <c r="Q55" s="61" t="s">
        <v>555</v>
      </c>
      <c r="R55" s="61">
        <v>40.6895314</v>
      </c>
      <c r="S55" s="61">
        <v>-74.174462399999996</v>
      </c>
      <c r="T55" s="61">
        <v>63.67</v>
      </c>
      <c r="U55" s="61" t="s">
        <v>617</v>
      </c>
      <c r="V55" s="61" t="s">
        <v>617</v>
      </c>
      <c r="W55" s="61"/>
      <c r="Y55" s="137">
        <f>Summary_LCIA!H$32</f>
        <v>0.33979999999999999</v>
      </c>
      <c r="Z55" s="137">
        <f>Summary_LCIA!Q$32</f>
        <v>4.9560504329999997</v>
      </c>
      <c r="AA55" s="137">
        <f>Summary_LCIA!R$32</f>
        <v>5.2655999999999996E-3</v>
      </c>
      <c r="AB55" s="137">
        <f>Summary_LCIA!S$32</f>
        <v>0.33538000000000001</v>
      </c>
      <c r="AC55" s="137">
        <f>Summary_LCIA!T$32</f>
        <v>0.1099</v>
      </c>
      <c r="AD55" s="137">
        <f>Summary_LCIA!U$32</f>
        <v>1.7913999999999999E-2</v>
      </c>
      <c r="AE55" s="137">
        <f>Summary_LCIA!V$32</f>
        <v>4.7760999999999999E-5</v>
      </c>
      <c r="AF55" s="137">
        <f>Summary_LCIA!W$32</f>
        <v>7.6970999999999998E-2</v>
      </c>
      <c r="AG55" s="137">
        <f>Summary_LCIA!X$32</f>
        <v>2.2780000000000002E-2</v>
      </c>
      <c r="AH55" s="137">
        <f>Summary_LCIA!Y$32</f>
        <v>1.5582E-2</v>
      </c>
      <c r="AI55" s="137">
        <f>Summary_LCIA!Z$32</f>
        <v>4.1009E-5</v>
      </c>
      <c r="AJ55" s="137">
        <f>Summary_LCIA!AA$32</f>
        <v>2.3355999999999998E-2</v>
      </c>
      <c r="AK55" s="137">
        <f>Summary_LCIA!AB$32</f>
        <v>-2.1823000000000001E-5</v>
      </c>
      <c r="AL55" s="137">
        <f>Summary_LCIA!AC$32</f>
        <v>4.8884000000000003E-8</v>
      </c>
      <c r="AM55" s="137">
        <f>Summary_LCIA!AD$32</f>
        <v>4.1103999999999999E-4</v>
      </c>
      <c r="AN55" s="137">
        <f>Summary_LCIA!AE$32</f>
        <v>8.8612999999999995E-4</v>
      </c>
      <c r="AO55" s="137">
        <f>Summary_LCIA!AF$32</f>
        <v>8.4542000000000005E-4</v>
      </c>
      <c r="AP55" s="137">
        <f>Summary_LCIA!AG$32</f>
        <v>5.1165000000000002E-5</v>
      </c>
      <c r="AQ55" s="137">
        <f>Summary_LCIA!AH$32</f>
        <v>8.7036000000000006E-3</v>
      </c>
      <c r="AR55" s="137">
        <f>Summary_LCIA!AI$32</f>
        <v>9.3154999999999996E-4</v>
      </c>
      <c r="AT55" s="137">
        <f t="shared" si="2"/>
        <v>21.635065999999998</v>
      </c>
      <c r="AU55" s="137">
        <f t="shared" si="14"/>
        <v>315.55173106910996</v>
      </c>
      <c r="AV55" s="137">
        <f t="shared" si="15"/>
        <v>0.335260752</v>
      </c>
      <c r="AW55" s="137">
        <f t="shared" si="16"/>
        <v>21.353644600000003</v>
      </c>
      <c r="AX55" s="137">
        <f t="shared" si="17"/>
        <v>6.9973330000000002</v>
      </c>
      <c r="AY55" s="137">
        <f t="shared" si="18"/>
        <v>1.14058438</v>
      </c>
      <c r="AZ55" s="137">
        <f t="shared" si="19"/>
        <v>3.04094287E-3</v>
      </c>
      <c r="BA55" s="137">
        <f t="shared" si="20"/>
        <v>4.9007435700000004</v>
      </c>
      <c r="BB55" s="137">
        <f t="shared" si="21"/>
        <v>1.4504026000000001</v>
      </c>
      <c r="BC55" s="137">
        <f t="shared" si="3"/>
        <v>0.99210594000000007</v>
      </c>
      <c r="BD55" s="137">
        <f t="shared" si="4"/>
        <v>2.6110430300000003E-3</v>
      </c>
      <c r="BE55" s="137">
        <f t="shared" si="5"/>
        <v>1.48707652</v>
      </c>
      <c r="BF55" s="137">
        <f t="shared" si="6"/>
        <v>-1.3894704100000002E-3</v>
      </c>
      <c r="BG55" s="137">
        <f t="shared" si="7"/>
        <v>3.1124442800000002E-6</v>
      </c>
      <c r="BH55" s="137">
        <f t="shared" si="8"/>
        <v>2.6170916799999999E-2</v>
      </c>
      <c r="BI55" s="137">
        <f t="shared" si="9"/>
        <v>5.6419897099999998E-2</v>
      </c>
      <c r="BJ55" s="137">
        <f t="shared" si="10"/>
        <v>5.3827891400000001E-2</v>
      </c>
      <c r="BK55" s="137">
        <f t="shared" si="11"/>
        <v>3.2576755500000002E-3</v>
      </c>
      <c r="BL55" s="137">
        <f t="shared" si="12"/>
        <v>0.55415821200000004</v>
      </c>
      <c r="BM55" s="137">
        <f t="shared" si="13"/>
        <v>5.9311788499999997E-2</v>
      </c>
    </row>
    <row r="56" spans="1:65" x14ac:dyDescent="0.25">
      <c r="A56" s="149">
        <v>132</v>
      </c>
      <c r="B56" s="149">
        <v>43</v>
      </c>
      <c r="C56" s="61">
        <v>40.640934999999999</v>
      </c>
      <c r="D56" s="61">
        <v>-74.881277999999995</v>
      </c>
      <c r="E56" s="61" t="s">
        <v>265</v>
      </c>
      <c r="F56" s="149">
        <v>43</v>
      </c>
      <c r="G56" s="61" t="s">
        <v>565</v>
      </c>
      <c r="H56" s="61" t="s">
        <v>632</v>
      </c>
      <c r="I56" s="61">
        <v>40.689531000000002</v>
      </c>
      <c r="J56" s="61">
        <v>-74.174462000000005</v>
      </c>
      <c r="K56" s="61">
        <v>61.95024781</v>
      </c>
      <c r="L56" s="61">
        <v>66.501000000000005</v>
      </c>
      <c r="M56" s="61" t="s">
        <v>617</v>
      </c>
      <c r="N56" s="149">
        <v>42</v>
      </c>
      <c r="O56" s="149">
        <v>43</v>
      </c>
      <c r="P56" s="61" t="s">
        <v>565</v>
      </c>
      <c r="Q56" s="61" t="s">
        <v>555</v>
      </c>
      <c r="R56" s="61">
        <v>40.6895314</v>
      </c>
      <c r="S56" s="61">
        <v>-74.174462399999996</v>
      </c>
      <c r="T56" s="61">
        <v>66.501000000000005</v>
      </c>
      <c r="U56" s="61" t="s">
        <v>617</v>
      </c>
      <c r="V56" s="61" t="s">
        <v>617</v>
      </c>
      <c r="W56" s="61"/>
      <c r="Y56" s="137">
        <f>Summary_LCIA!H$32</f>
        <v>0.33979999999999999</v>
      </c>
      <c r="Z56" s="137">
        <f>Summary_LCIA!Q$32</f>
        <v>4.9560504329999997</v>
      </c>
      <c r="AA56" s="137">
        <f>Summary_LCIA!R$32</f>
        <v>5.2655999999999996E-3</v>
      </c>
      <c r="AB56" s="137">
        <f>Summary_LCIA!S$32</f>
        <v>0.33538000000000001</v>
      </c>
      <c r="AC56" s="137">
        <f>Summary_LCIA!T$32</f>
        <v>0.1099</v>
      </c>
      <c r="AD56" s="137">
        <f>Summary_LCIA!U$32</f>
        <v>1.7913999999999999E-2</v>
      </c>
      <c r="AE56" s="137">
        <f>Summary_LCIA!V$32</f>
        <v>4.7760999999999999E-5</v>
      </c>
      <c r="AF56" s="137">
        <f>Summary_LCIA!W$32</f>
        <v>7.6970999999999998E-2</v>
      </c>
      <c r="AG56" s="137">
        <f>Summary_LCIA!X$32</f>
        <v>2.2780000000000002E-2</v>
      </c>
      <c r="AH56" s="137">
        <f>Summary_LCIA!Y$32</f>
        <v>1.5582E-2</v>
      </c>
      <c r="AI56" s="137">
        <f>Summary_LCIA!Z$32</f>
        <v>4.1009E-5</v>
      </c>
      <c r="AJ56" s="137">
        <f>Summary_LCIA!AA$32</f>
        <v>2.3355999999999998E-2</v>
      </c>
      <c r="AK56" s="137">
        <f>Summary_LCIA!AB$32</f>
        <v>-2.1823000000000001E-5</v>
      </c>
      <c r="AL56" s="137">
        <f>Summary_LCIA!AC$32</f>
        <v>4.8884000000000003E-8</v>
      </c>
      <c r="AM56" s="137">
        <f>Summary_LCIA!AD$32</f>
        <v>4.1103999999999999E-4</v>
      </c>
      <c r="AN56" s="137">
        <f>Summary_LCIA!AE$32</f>
        <v>8.8612999999999995E-4</v>
      </c>
      <c r="AO56" s="137">
        <f>Summary_LCIA!AF$32</f>
        <v>8.4542000000000005E-4</v>
      </c>
      <c r="AP56" s="137">
        <f>Summary_LCIA!AG$32</f>
        <v>5.1165000000000002E-5</v>
      </c>
      <c r="AQ56" s="137">
        <f>Summary_LCIA!AH$32</f>
        <v>8.7036000000000006E-3</v>
      </c>
      <c r="AR56" s="137">
        <f>Summary_LCIA!AI$32</f>
        <v>9.3154999999999996E-4</v>
      </c>
      <c r="AT56" s="137">
        <f t="shared" si="2"/>
        <v>22.597039800000001</v>
      </c>
      <c r="AU56" s="137">
        <f t="shared" si="14"/>
        <v>329.58230984493298</v>
      </c>
      <c r="AV56" s="137">
        <f t="shared" si="15"/>
        <v>0.35016766560000001</v>
      </c>
      <c r="AW56" s="137">
        <f t="shared" si="16"/>
        <v>22.303105380000002</v>
      </c>
      <c r="AX56" s="137">
        <f t="shared" si="17"/>
        <v>7.3084599000000008</v>
      </c>
      <c r="AY56" s="137">
        <f t="shared" si="18"/>
        <v>1.1912989140000001</v>
      </c>
      <c r="AZ56" s="137">
        <f t="shared" si="19"/>
        <v>3.1761542610000003E-3</v>
      </c>
      <c r="BA56" s="137">
        <f t="shared" si="20"/>
        <v>5.1186484710000002</v>
      </c>
      <c r="BB56" s="137">
        <f t="shared" si="21"/>
        <v>1.5148927800000003</v>
      </c>
      <c r="BC56" s="137">
        <f t="shared" si="3"/>
        <v>1.0362185820000001</v>
      </c>
      <c r="BD56" s="137">
        <f t="shared" si="4"/>
        <v>2.7271395090000001E-3</v>
      </c>
      <c r="BE56" s="137">
        <f t="shared" si="5"/>
        <v>1.5531973560000001</v>
      </c>
      <c r="BF56" s="137">
        <f t="shared" si="6"/>
        <v>-1.4512513230000002E-3</v>
      </c>
      <c r="BG56" s="137">
        <f t="shared" si="7"/>
        <v>3.2508348840000006E-6</v>
      </c>
      <c r="BH56" s="137">
        <f t="shared" si="8"/>
        <v>2.7334571040000002E-2</v>
      </c>
      <c r="BI56" s="137">
        <f t="shared" si="9"/>
        <v>5.8928531130000003E-2</v>
      </c>
      <c r="BJ56" s="137">
        <f t="shared" si="10"/>
        <v>5.6221275420000008E-2</v>
      </c>
      <c r="BK56" s="137">
        <f t="shared" si="11"/>
        <v>3.4025236650000006E-3</v>
      </c>
      <c r="BL56" s="137">
        <f t="shared" si="12"/>
        <v>0.57879810360000006</v>
      </c>
      <c r="BM56" s="137">
        <f t="shared" si="13"/>
        <v>6.1949006550000005E-2</v>
      </c>
    </row>
    <row r="57" spans="1:65" x14ac:dyDescent="0.25">
      <c r="A57" s="149">
        <v>166</v>
      </c>
      <c r="B57" s="149">
        <v>16</v>
      </c>
      <c r="C57" s="61">
        <v>40.014986</v>
      </c>
      <c r="D57" s="61">
        <v>-105.270546</v>
      </c>
      <c r="E57" s="61" t="s">
        <v>265</v>
      </c>
      <c r="F57" s="149">
        <v>16</v>
      </c>
      <c r="G57" s="61" t="s">
        <v>565</v>
      </c>
      <c r="H57" s="61" t="s">
        <v>645</v>
      </c>
      <c r="I57" s="61">
        <v>39.856096000000001</v>
      </c>
      <c r="J57" s="61">
        <v>-104.673738</v>
      </c>
      <c r="K57" s="61">
        <v>66.833860599999994</v>
      </c>
      <c r="L57" s="61">
        <v>70.700999999999993</v>
      </c>
      <c r="M57" s="61" t="s">
        <v>617</v>
      </c>
      <c r="N57" s="149">
        <v>15</v>
      </c>
      <c r="O57" s="149">
        <v>16</v>
      </c>
      <c r="P57" s="61" t="s">
        <v>565</v>
      </c>
      <c r="Q57" s="61" t="s">
        <v>556</v>
      </c>
      <c r="R57" s="61">
        <v>39.856096299999997</v>
      </c>
      <c r="S57" s="61">
        <v>-104.6737376</v>
      </c>
      <c r="T57" s="61">
        <v>70.700999999999993</v>
      </c>
      <c r="U57" s="61" t="s">
        <v>617</v>
      </c>
      <c r="V57" s="61" t="s">
        <v>617</v>
      </c>
      <c r="W57" s="61"/>
      <c r="Y57" s="137">
        <f>Summary_LCIA!H$32</f>
        <v>0.33979999999999999</v>
      </c>
      <c r="Z57" s="137">
        <f>Summary_LCIA!Q$32</f>
        <v>4.9560504329999997</v>
      </c>
      <c r="AA57" s="137">
        <f>Summary_LCIA!R$32</f>
        <v>5.2655999999999996E-3</v>
      </c>
      <c r="AB57" s="137">
        <f>Summary_LCIA!S$32</f>
        <v>0.33538000000000001</v>
      </c>
      <c r="AC57" s="137">
        <f>Summary_LCIA!T$32</f>
        <v>0.1099</v>
      </c>
      <c r="AD57" s="137">
        <f>Summary_LCIA!U$32</f>
        <v>1.7913999999999999E-2</v>
      </c>
      <c r="AE57" s="137">
        <f>Summary_LCIA!V$32</f>
        <v>4.7760999999999999E-5</v>
      </c>
      <c r="AF57" s="137">
        <f>Summary_LCIA!W$32</f>
        <v>7.6970999999999998E-2</v>
      </c>
      <c r="AG57" s="137">
        <f>Summary_LCIA!X$32</f>
        <v>2.2780000000000002E-2</v>
      </c>
      <c r="AH57" s="137">
        <f>Summary_LCIA!Y$32</f>
        <v>1.5582E-2</v>
      </c>
      <c r="AI57" s="137">
        <f>Summary_LCIA!Z$32</f>
        <v>4.1009E-5</v>
      </c>
      <c r="AJ57" s="137">
        <f>Summary_LCIA!AA$32</f>
        <v>2.3355999999999998E-2</v>
      </c>
      <c r="AK57" s="137">
        <f>Summary_LCIA!AB$32</f>
        <v>-2.1823000000000001E-5</v>
      </c>
      <c r="AL57" s="137">
        <f>Summary_LCIA!AC$32</f>
        <v>4.8884000000000003E-8</v>
      </c>
      <c r="AM57" s="137">
        <f>Summary_LCIA!AD$32</f>
        <v>4.1103999999999999E-4</v>
      </c>
      <c r="AN57" s="137">
        <f>Summary_LCIA!AE$32</f>
        <v>8.8612999999999995E-4</v>
      </c>
      <c r="AO57" s="137">
        <f>Summary_LCIA!AF$32</f>
        <v>8.4542000000000005E-4</v>
      </c>
      <c r="AP57" s="137">
        <f>Summary_LCIA!AG$32</f>
        <v>5.1165000000000002E-5</v>
      </c>
      <c r="AQ57" s="137">
        <f>Summary_LCIA!AH$32</f>
        <v>8.7036000000000006E-3</v>
      </c>
      <c r="AR57" s="137">
        <f>Summary_LCIA!AI$32</f>
        <v>9.3154999999999996E-4</v>
      </c>
      <c r="AT57" s="137">
        <f t="shared" si="2"/>
        <v>24.024199799999998</v>
      </c>
      <c r="AU57" s="137">
        <f t="shared" si="14"/>
        <v>350.39772166353293</v>
      </c>
      <c r="AV57" s="137">
        <f t="shared" si="15"/>
        <v>0.37228318559999996</v>
      </c>
      <c r="AW57" s="137">
        <f t="shared" si="16"/>
        <v>23.711701379999997</v>
      </c>
      <c r="AX57" s="137">
        <f t="shared" si="17"/>
        <v>7.7700398999999996</v>
      </c>
      <c r="AY57" s="137">
        <f t="shared" si="18"/>
        <v>1.2665377139999998</v>
      </c>
      <c r="AZ57" s="137">
        <f t="shared" si="19"/>
        <v>3.3767504609999994E-3</v>
      </c>
      <c r="BA57" s="137">
        <f t="shared" si="20"/>
        <v>5.4419266709999992</v>
      </c>
      <c r="BB57" s="137">
        <f t="shared" si="21"/>
        <v>1.6105687799999999</v>
      </c>
      <c r="BC57" s="137">
        <f t="shared" si="3"/>
        <v>1.1016629819999999</v>
      </c>
      <c r="BD57" s="137">
        <f t="shared" si="4"/>
        <v>2.8993773089999999E-3</v>
      </c>
      <c r="BE57" s="137">
        <f t="shared" si="5"/>
        <v>1.6512925559999998</v>
      </c>
      <c r="BF57" s="137">
        <f t="shared" si="6"/>
        <v>-1.5429079229999998E-3</v>
      </c>
      <c r="BG57" s="137">
        <f t="shared" si="7"/>
        <v>3.456147684E-6</v>
      </c>
      <c r="BH57" s="137">
        <f t="shared" si="8"/>
        <v>2.9060939039999997E-2</v>
      </c>
      <c r="BI57" s="137">
        <f t="shared" si="9"/>
        <v>6.2650277129999987E-2</v>
      </c>
      <c r="BJ57" s="137">
        <f t="shared" si="10"/>
        <v>5.9772039419999999E-2</v>
      </c>
      <c r="BK57" s="137">
        <f t="shared" si="11"/>
        <v>3.617416665E-3</v>
      </c>
      <c r="BL57" s="137">
        <f t="shared" si="12"/>
        <v>0.6153532236</v>
      </c>
      <c r="BM57" s="137">
        <f t="shared" si="13"/>
        <v>6.5861516549999985E-2</v>
      </c>
    </row>
    <row r="58" spans="1:65" x14ac:dyDescent="0.25">
      <c r="A58" s="149">
        <v>167</v>
      </c>
      <c r="B58" s="149">
        <v>16</v>
      </c>
      <c r="C58" s="61">
        <v>40.014986</v>
      </c>
      <c r="D58" s="61">
        <v>-105.270546</v>
      </c>
      <c r="E58" s="61" t="s">
        <v>265</v>
      </c>
      <c r="F58" s="149">
        <v>16</v>
      </c>
      <c r="G58" s="61" t="s">
        <v>565</v>
      </c>
      <c r="H58" s="61" t="s">
        <v>645</v>
      </c>
      <c r="I58" s="61">
        <v>39.856096000000001</v>
      </c>
      <c r="J58" s="61">
        <v>-104.673738</v>
      </c>
      <c r="K58" s="61">
        <v>66.833860599999994</v>
      </c>
      <c r="L58" s="61">
        <v>70.700999999999993</v>
      </c>
      <c r="M58" s="61" t="s">
        <v>617</v>
      </c>
      <c r="N58" s="149">
        <v>15</v>
      </c>
      <c r="O58" s="149">
        <v>16</v>
      </c>
      <c r="P58" s="61" t="s">
        <v>565</v>
      </c>
      <c r="Q58" s="61" t="s">
        <v>556</v>
      </c>
      <c r="R58" s="61">
        <v>39.856096299999997</v>
      </c>
      <c r="S58" s="61">
        <v>-104.6737376</v>
      </c>
      <c r="T58" s="61">
        <v>70.700999999999993</v>
      </c>
      <c r="U58" s="61" t="s">
        <v>617</v>
      </c>
      <c r="V58" s="61" t="s">
        <v>617</v>
      </c>
      <c r="W58" s="61"/>
      <c r="Y58" s="137">
        <f>Summary_LCIA!H$32</f>
        <v>0.33979999999999999</v>
      </c>
      <c r="Z58" s="137">
        <f>Summary_LCIA!Q$32</f>
        <v>4.9560504329999997</v>
      </c>
      <c r="AA58" s="137">
        <f>Summary_LCIA!R$32</f>
        <v>5.2655999999999996E-3</v>
      </c>
      <c r="AB58" s="137">
        <f>Summary_LCIA!S$32</f>
        <v>0.33538000000000001</v>
      </c>
      <c r="AC58" s="137">
        <f>Summary_LCIA!T$32</f>
        <v>0.1099</v>
      </c>
      <c r="AD58" s="137">
        <f>Summary_LCIA!U$32</f>
        <v>1.7913999999999999E-2</v>
      </c>
      <c r="AE58" s="137">
        <f>Summary_LCIA!V$32</f>
        <v>4.7760999999999999E-5</v>
      </c>
      <c r="AF58" s="137">
        <f>Summary_LCIA!W$32</f>
        <v>7.6970999999999998E-2</v>
      </c>
      <c r="AG58" s="137">
        <f>Summary_LCIA!X$32</f>
        <v>2.2780000000000002E-2</v>
      </c>
      <c r="AH58" s="137">
        <f>Summary_LCIA!Y$32</f>
        <v>1.5582E-2</v>
      </c>
      <c r="AI58" s="137">
        <f>Summary_LCIA!Z$32</f>
        <v>4.1009E-5</v>
      </c>
      <c r="AJ58" s="137">
        <f>Summary_LCIA!AA$32</f>
        <v>2.3355999999999998E-2</v>
      </c>
      <c r="AK58" s="137">
        <f>Summary_LCIA!AB$32</f>
        <v>-2.1823000000000001E-5</v>
      </c>
      <c r="AL58" s="137">
        <f>Summary_LCIA!AC$32</f>
        <v>4.8884000000000003E-8</v>
      </c>
      <c r="AM58" s="137">
        <f>Summary_LCIA!AD$32</f>
        <v>4.1103999999999999E-4</v>
      </c>
      <c r="AN58" s="137">
        <f>Summary_LCIA!AE$32</f>
        <v>8.8612999999999995E-4</v>
      </c>
      <c r="AO58" s="137">
        <f>Summary_LCIA!AF$32</f>
        <v>8.4542000000000005E-4</v>
      </c>
      <c r="AP58" s="137">
        <f>Summary_LCIA!AG$32</f>
        <v>5.1165000000000002E-5</v>
      </c>
      <c r="AQ58" s="137">
        <f>Summary_LCIA!AH$32</f>
        <v>8.7036000000000006E-3</v>
      </c>
      <c r="AR58" s="137">
        <f>Summary_LCIA!AI$32</f>
        <v>9.3154999999999996E-4</v>
      </c>
      <c r="AT58" s="137">
        <f t="shared" si="2"/>
        <v>24.024199799999998</v>
      </c>
      <c r="AU58" s="137">
        <f t="shared" si="14"/>
        <v>350.39772166353293</v>
      </c>
      <c r="AV58" s="137">
        <f t="shared" si="15"/>
        <v>0.37228318559999996</v>
      </c>
      <c r="AW58" s="137">
        <f t="shared" si="16"/>
        <v>23.711701379999997</v>
      </c>
      <c r="AX58" s="137">
        <f t="shared" si="17"/>
        <v>7.7700398999999996</v>
      </c>
      <c r="AY58" s="137">
        <f t="shared" si="18"/>
        <v>1.2665377139999998</v>
      </c>
      <c r="AZ58" s="137">
        <f t="shared" si="19"/>
        <v>3.3767504609999994E-3</v>
      </c>
      <c r="BA58" s="137">
        <f t="shared" si="20"/>
        <v>5.4419266709999992</v>
      </c>
      <c r="BB58" s="137">
        <f t="shared" si="21"/>
        <v>1.6105687799999999</v>
      </c>
      <c r="BC58" s="137">
        <f t="shared" si="3"/>
        <v>1.1016629819999999</v>
      </c>
      <c r="BD58" s="137">
        <f t="shared" si="4"/>
        <v>2.8993773089999999E-3</v>
      </c>
      <c r="BE58" s="137">
        <f t="shared" si="5"/>
        <v>1.6512925559999998</v>
      </c>
      <c r="BF58" s="137">
        <f t="shared" si="6"/>
        <v>-1.5429079229999998E-3</v>
      </c>
      <c r="BG58" s="137">
        <f t="shared" si="7"/>
        <v>3.456147684E-6</v>
      </c>
      <c r="BH58" s="137">
        <f t="shared" si="8"/>
        <v>2.9060939039999997E-2</v>
      </c>
      <c r="BI58" s="137">
        <f t="shared" si="9"/>
        <v>6.2650277129999987E-2</v>
      </c>
      <c r="BJ58" s="137">
        <f t="shared" si="10"/>
        <v>5.9772039419999999E-2</v>
      </c>
      <c r="BK58" s="137">
        <f t="shared" si="11"/>
        <v>3.617416665E-3</v>
      </c>
      <c r="BL58" s="137">
        <f t="shared" si="12"/>
        <v>0.6153532236</v>
      </c>
      <c r="BM58" s="137">
        <f t="shared" si="13"/>
        <v>6.5861516549999985E-2</v>
      </c>
    </row>
    <row r="59" spans="1:65" x14ac:dyDescent="0.25">
      <c r="A59" s="149">
        <v>168</v>
      </c>
      <c r="B59" s="149">
        <v>16</v>
      </c>
      <c r="C59" s="61">
        <v>40.014986</v>
      </c>
      <c r="D59" s="61">
        <v>-105.270546</v>
      </c>
      <c r="E59" s="61" t="s">
        <v>265</v>
      </c>
      <c r="F59" s="149">
        <v>16</v>
      </c>
      <c r="G59" s="61" t="s">
        <v>565</v>
      </c>
      <c r="H59" s="61" t="s">
        <v>645</v>
      </c>
      <c r="I59" s="61">
        <v>39.856096000000001</v>
      </c>
      <c r="J59" s="61">
        <v>-104.673738</v>
      </c>
      <c r="K59" s="61">
        <v>66.833860599999994</v>
      </c>
      <c r="L59" s="61">
        <v>70.700999999999993</v>
      </c>
      <c r="M59" s="61" t="s">
        <v>617</v>
      </c>
      <c r="N59" s="149">
        <v>15</v>
      </c>
      <c r="O59" s="149">
        <v>16</v>
      </c>
      <c r="P59" s="61" t="s">
        <v>565</v>
      </c>
      <c r="Q59" s="61" t="s">
        <v>556</v>
      </c>
      <c r="R59" s="61">
        <v>39.856096299999997</v>
      </c>
      <c r="S59" s="61">
        <v>-104.6737376</v>
      </c>
      <c r="T59" s="61">
        <v>70.700999999999993</v>
      </c>
      <c r="U59" s="61" t="s">
        <v>617</v>
      </c>
      <c r="V59" s="61" t="s">
        <v>617</v>
      </c>
      <c r="W59" s="61"/>
      <c r="Y59" s="137">
        <f>Summary_LCIA!H$32</f>
        <v>0.33979999999999999</v>
      </c>
      <c r="Z59" s="137">
        <f>Summary_LCIA!Q$32</f>
        <v>4.9560504329999997</v>
      </c>
      <c r="AA59" s="137">
        <f>Summary_LCIA!R$32</f>
        <v>5.2655999999999996E-3</v>
      </c>
      <c r="AB59" s="137">
        <f>Summary_LCIA!S$32</f>
        <v>0.33538000000000001</v>
      </c>
      <c r="AC59" s="137">
        <f>Summary_LCIA!T$32</f>
        <v>0.1099</v>
      </c>
      <c r="AD59" s="137">
        <f>Summary_LCIA!U$32</f>
        <v>1.7913999999999999E-2</v>
      </c>
      <c r="AE59" s="137">
        <f>Summary_LCIA!V$32</f>
        <v>4.7760999999999999E-5</v>
      </c>
      <c r="AF59" s="137">
        <f>Summary_LCIA!W$32</f>
        <v>7.6970999999999998E-2</v>
      </c>
      <c r="AG59" s="137">
        <f>Summary_LCIA!X$32</f>
        <v>2.2780000000000002E-2</v>
      </c>
      <c r="AH59" s="137">
        <f>Summary_LCIA!Y$32</f>
        <v>1.5582E-2</v>
      </c>
      <c r="AI59" s="137">
        <f>Summary_LCIA!Z$32</f>
        <v>4.1009E-5</v>
      </c>
      <c r="AJ59" s="137">
        <f>Summary_LCIA!AA$32</f>
        <v>2.3355999999999998E-2</v>
      </c>
      <c r="AK59" s="137">
        <f>Summary_LCIA!AB$32</f>
        <v>-2.1823000000000001E-5</v>
      </c>
      <c r="AL59" s="137">
        <f>Summary_LCIA!AC$32</f>
        <v>4.8884000000000003E-8</v>
      </c>
      <c r="AM59" s="137">
        <f>Summary_LCIA!AD$32</f>
        <v>4.1103999999999999E-4</v>
      </c>
      <c r="AN59" s="137">
        <f>Summary_LCIA!AE$32</f>
        <v>8.8612999999999995E-4</v>
      </c>
      <c r="AO59" s="137">
        <f>Summary_LCIA!AF$32</f>
        <v>8.4542000000000005E-4</v>
      </c>
      <c r="AP59" s="137">
        <f>Summary_LCIA!AG$32</f>
        <v>5.1165000000000002E-5</v>
      </c>
      <c r="AQ59" s="137">
        <f>Summary_LCIA!AH$32</f>
        <v>8.7036000000000006E-3</v>
      </c>
      <c r="AR59" s="137">
        <f>Summary_LCIA!AI$32</f>
        <v>9.3154999999999996E-4</v>
      </c>
      <c r="AT59" s="137">
        <f t="shared" si="2"/>
        <v>24.024199799999998</v>
      </c>
      <c r="AU59" s="137">
        <f t="shared" si="14"/>
        <v>350.39772166353293</v>
      </c>
      <c r="AV59" s="137">
        <f t="shared" si="15"/>
        <v>0.37228318559999996</v>
      </c>
      <c r="AW59" s="137">
        <f t="shared" si="16"/>
        <v>23.711701379999997</v>
      </c>
      <c r="AX59" s="137">
        <f t="shared" si="17"/>
        <v>7.7700398999999996</v>
      </c>
      <c r="AY59" s="137">
        <f t="shared" si="18"/>
        <v>1.2665377139999998</v>
      </c>
      <c r="AZ59" s="137">
        <f t="shared" si="19"/>
        <v>3.3767504609999994E-3</v>
      </c>
      <c r="BA59" s="137">
        <f t="shared" si="20"/>
        <v>5.4419266709999992</v>
      </c>
      <c r="BB59" s="137">
        <f t="shared" si="21"/>
        <v>1.6105687799999999</v>
      </c>
      <c r="BC59" s="137">
        <f t="shared" si="3"/>
        <v>1.1016629819999999</v>
      </c>
      <c r="BD59" s="137">
        <f t="shared" si="4"/>
        <v>2.8993773089999999E-3</v>
      </c>
      <c r="BE59" s="137">
        <f t="shared" si="5"/>
        <v>1.6512925559999998</v>
      </c>
      <c r="BF59" s="137">
        <f t="shared" si="6"/>
        <v>-1.5429079229999998E-3</v>
      </c>
      <c r="BG59" s="137">
        <f t="shared" si="7"/>
        <v>3.456147684E-6</v>
      </c>
      <c r="BH59" s="137">
        <f t="shared" si="8"/>
        <v>2.9060939039999997E-2</v>
      </c>
      <c r="BI59" s="137">
        <f t="shared" si="9"/>
        <v>6.2650277129999987E-2</v>
      </c>
      <c r="BJ59" s="137">
        <f t="shared" si="10"/>
        <v>5.9772039419999999E-2</v>
      </c>
      <c r="BK59" s="137">
        <f t="shared" si="11"/>
        <v>3.617416665E-3</v>
      </c>
      <c r="BL59" s="137">
        <f t="shared" si="12"/>
        <v>0.6153532236</v>
      </c>
      <c r="BM59" s="137">
        <f t="shared" si="13"/>
        <v>6.5861516549999985E-2</v>
      </c>
    </row>
    <row r="60" spans="1:65" x14ac:dyDescent="0.25">
      <c r="A60" s="149">
        <v>169</v>
      </c>
      <c r="B60" s="149">
        <v>16</v>
      </c>
      <c r="C60" s="61">
        <v>40.014986</v>
      </c>
      <c r="D60" s="61">
        <v>-105.270546</v>
      </c>
      <c r="E60" s="61" t="s">
        <v>265</v>
      </c>
      <c r="F60" s="149">
        <v>16</v>
      </c>
      <c r="G60" s="61" t="s">
        <v>565</v>
      </c>
      <c r="H60" s="61" t="s">
        <v>645</v>
      </c>
      <c r="I60" s="61">
        <v>39.856096000000001</v>
      </c>
      <c r="J60" s="61">
        <v>-104.673738</v>
      </c>
      <c r="K60" s="61">
        <v>66.833860599999994</v>
      </c>
      <c r="L60" s="61">
        <v>70.700999999999993</v>
      </c>
      <c r="M60" s="61" t="s">
        <v>617</v>
      </c>
      <c r="N60" s="149">
        <v>15</v>
      </c>
      <c r="O60" s="149">
        <v>16</v>
      </c>
      <c r="P60" s="61" t="s">
        <v>565</v>
      </c>
      <c r="Q60" s="61" t="s">
        <v>556</v>
      </c>
      <c r="R60" s="61">
        <v>39.856096299999997</v>
      </c>
      <c r="S60" s="61">
        <v>-104.6737376</v>
      </c>
      <c r="T60" s="61">
        <v>70.700999999999993</v>
      </c>
      <c r="U60" s="61" t="s">
        <v>617</v>
      </c>
      <c r="V60" s="61" t="s">
        <v>617</v>
      </c>
      <c r="W60" s="61"/>
      <c r="Y60" s="137">
        <f>Summary_LCIA!H$32</f>
        <v>0.33979999999999999</v>
      </c>
      <c r="Z60" s="137">
        <f>Summary_LCIA!Q$32</f>
        <v>4.9560504329999997</v>
      </c>
      <c r="AA60" s="137">
        <f>Summary_LCIA!R$32</f>
        <v>5.2655999999999996E-3</v>
      </c>
      <c r="AB60" s="137">
        <f>Summary_LCIA!S$32</f>
        <v>0.33538000000000001</v>
      </c>
      <c r="AC60" s="137">
        <f>Summary_LCIA!T$32</f>
        <v>0.1099</v>
      </c>
      <c r="AD60" s="137">
        <f>Summary_LCIA!U$32</f>
        <v>1.7913999999999999E-2</v>
      </c>
      <c r="AE60" s="137">
        <f>Summary_LCIA!V$32</f>
        <v>4.7760999999999999E-5</v>
      </c>
      <c r="AF60" s="137">
        <f>Summary_LCIA!W$32</f>
        <v>7.6970999999999998E-2</v>
      </c>
      <c r="AG60" s="137">
        <f>Summary_LCIA!X$32</f>
        <v>2.2780000000000002E-2</v>
      </c>
      <c r="AH60" s="137">
        <f>Summary_LCIA!Y$32</f>
        <v>1.5582E-2</v>
      </c>
      <c r="AI60" s="137">
        <f>Summary_LCIA!Z$32</f>
        <v>4.1009E-5</v>
      </c>
      <c r="AJ60" s="137">
        <f>Summary_LCIA!AA$32</f>
        <v>2.3355999999999998E-2</v>
      </c>
      <c r="AK60" s="137">
        <f>Summary_LCIA!AB$32</f>
        <v>-2.1823000000000001E-5</v>
      </c>
      <c r="AL60" s="137">
        <f>Summary_LCIA!AC$32</f>
        <v>4.8884000000000003E-8</v>
      </c>
      <c r="AM60" s="137">
        <f>Summary_LCIA!AD$32</f>
        <v>4.1103999999999999E-4</v>
      </c>
      <c r="AN60" s="137">
        <f>Summary_LCIA!AE$32</f>
        <v>8.8612999999999995E-4</v>
      </c>
      <c r="AO60" s="137">
        <f>Summary_LCIA!AF$32</f>
        <v>8.4542000000000005E-4</v>
      </c>
      <c r="AP60" s="137">
        <f>Summary_LCIA!AG$32</f>
        <v>5.1165000000000002E-5</v>
      </c>
      <c r="AQ60" s="137">
        <f>Summary_LCIA!AH$32</f>
        <v>8.7036000000000006E-3</v>
      </c>
      <c r="AR60" s="137">
        <f>Summary_LCIA!AI$32</f>
        <v>9.3154999999999996E-4</v>
      </c>
      <c r="AT60" s="137">
        <f t="shared" si="2"/>
        <v>24.024199799999998</v>
      </c>
      <c r="AU60" s="137">
        <f t="shared" si="14"/>
        <v>350.39772166353293</v>
      </c>
      <c r="AV60" s="137">
        <f t="shared" si="15"/>
        <v>0.37228318559999996</v>
      </c>
      <c r="AW60" s="137">
        <f t="shared" si="16"/>
        <v>23.711701379999997</v>
      </c>
      <c r="AX60" s="137">
        <f t="shared" si="17"/>
        <v>7.7700398999999996</v>
      </c>
      <c r="AY60" s="137">
        <f t="shared" si="18"/>
        <v>1.2665377139999998</v>
      </c>
      <c r="AZ60" s="137">
        <f t="shared" si="19"/>
        <v>3.3767504609999994E-3</v>
      </c>
      <c r="BA60" s="137">
        <f t="shared" si="20"/>
        <v>5.4419266709999992</v>
      </c>
      <c r="BB60" s="137">
        <f t="shared" si="21"/>
        <v>1.6105687799999999</v>
      </c>
      <c r="BC60" s="137">
        <f t="shared" si="3"/>
        <v>1.1016629819999999</v>
      </c>
      <c r="BD60" s="137">
        <f t="shared" si="4"/>
        <v>2.8993773089999999E-3</v>
      </c>
      <c r="BE60" s="137">
        <f t="shared" si="5"/>
        <v>1.6512925559999998</v>
      </c>
      <c r="BF60" s="137">
        <f t="shared" si="6"/>
        <v>-1.5429079229999998E-3</v>
      </c>
      <c r="BG60" s="137">
        <f t="shared" si="7"/>
        <v>3.456147684E-6</v>
      </c>
      <c r="BH60" s="137">
        <f t="shared" si="8"/>
        <v>2.9060939039999997E-2</v>
      </c>
      <c r="BI60" s="137">
        <f t="shared" si="9"/>
        <v>6.2650277129999987E-2</v>
      </c>
      <c r="BJ60" s="137">
        <f t="shared" si="10"/>
        <v>5.9772039419999999E-2</v>
      </c>
      <c r="BK60" s="137">
        <f t="shared" si="11"/>
        <v>3.617416665E-3</v>
      </c>
      <c r="BL60" s="137">
        <f t="shared" si="12"/>
        <v>0.6153532236</v>
      </c>
      <c r="BM60" s="137">
        <f t="shared" si="13"/>
        <v>6.5861516549999985E-2</v>
      </c>
    </row>
    <row r="61" spans="1:65" x14ac:dyDescent="0.25">
      <c r="A61" s="149">
        <v>170</v>
      </c>
      <c r="B61" s="149">
        <v>16</v>
      </c>
      <c r="C61" s="61">
        <v>40.014986</v>
      </c>
      <c r="D61" s="61">
        <v>-105.270546</v>
      </c>
      <c r="E61" s="61" t="s">
        <v>265</v>
      </c>
      <c r="F61" s="149">
        <v>16</v>
      </c>
      <c r="G61" s="61" t="s">
        <v>565</v>
      </c>
      <c r="H61" s="61" t="s">
        <v>645</v>
      </c>
      <c r="I61" s="61">
        <v>39.856096000000001</v>
      </c>
      <c r="J61" s="61">
        <v>-104.673738</v>
      </c>
      <c r="K61" s="61">
        <v>66.833860599999994</v>
      </c>
      <c r="L61" s="61">
        <v>70.700999999999993</v>
      </c>
      <c r="M61" s="61" t="s">
        <v>617</v>
      </c>
      <c r="N61" s="149">
        <v>15</v>
      </c>
      <c r="O61" s="149">
        <v>16</v>
      </c>
      <c r="P61" s="61" t="s">
        <v>565</v>
      </c>
      <c r="Q61" s="61" t="s">
        <v>556</v>
      </c>
      <c r="R61" s="61">
        <v>39.856096299999997</v>
      </c>
      <c r="S61" s="61">
        <v>-104.6737376</v>
      </c>
      <c r="T61" s="61">
        <v>70.700999999999993</v>
      </c>
      <c r="U61" s="61" t="s">
        <v>617</v>
      </c>
      <c r="V61" s="61" t="s">
        <v>617</v>
      </c>
      <c r="W61" s="61"/>
      <c r="Y61" s="137">
        <f>Summary_LCIA!H$32</f>
        <v>0.33979999999999999</v>
      </c>
      <c r="Z61" s="137">
        <f>Summary_LCIA!Q$32</f>
        <v>4.9560504329999997</v>
      </c>
      <c r="AA61" s="137">
        <f>Summary_LCIA!R$32</f>
        <v>5.2655999999999996E-3</v>
      </c>
      <c r="AB61" s="137">
        <f>Summary_LCIA!S$32</f>
        <v>0.33538000000000001</v>
      </c>
      <c r="AC61" s="137">
        <f>Summary_LCIA!T$32</f>
        <v>0.1099</v>
      </c>
      <c r="AD61" s="137">
        <f>Summary_LCIA!U$32</f>
        <v>1.7913999999999999E-2</v>
      </c>
      <c r="AE61" s="137">
        <f>Summary_LCIA!V$32</f>
        <v>4.7760999999999999E-5</v>
      </c>
      <c r="AF61" s="137">
        <f>Summary_LCIA!W$32</f>
        <v>7.6970999999999998E-2</v>
      </c>
      <c r="AG61" s="137">
        <f>Summary_LCIA!X$32</f>
        <v>2.2780000000000002E-2</v>
      </c>
      <c r="AH61" s="137">
        <f>Summary_LCIA!Y$32</f>
        <v>1.5582E-2</v>
      </c>
      <c r="AI61" s="137">
        <f>Summary_LCIA!Z$32</f>
        <v>4.1009E-5</v>
      </c>
      <c r="AJ61" s="137">
        <f>Summary_LCIA!AA$32</f>
        <v>2.3355999999999998E-2</v>
      </c>
      <c r="AK61" s="137">
        <f>Summary_LCIA!AB$32</f>
        <v>-2.1823000000000001E-5</v>
      </c>
      <c r="AL61" s="137">
        <f>Summary_LCIA!AC$32</f>
        <v>4.8884000000000003E-8</v>
      </c>
      <c r="AM61" s="137">
        <f>Summary_LCIA!AD$32</f>
        <v>4.1103999999999999E-4</v>
      </c>
      <c r="AN61" s="137">
        <f>Summary_LCIA!AE$32</f>
        <v>8.8612999999999995E-4</v>
      </c>
      <c r="AO61" s="137">
        <f>Summary_LCIA!AF$32</f>
        <v>8.4542000000000005E-4</v>
      </c>
      <c r="AP61" s="137">
        <f>Summary_LCIA!AG$32</f>
        <v>5.1165000000000002E-5</v>
      </c>
      <c r="AQ61" s="137">
        <f>Summary_LCIA!AH$32</f>
        <v>8.7036000000000006E-3</v>
      </c>
      <c r="AR61" s="137">
        <f>Summary_LCIA!AI$32</f>
        <v>9.3154999999999996E-4</v>
      </c>
      <c r="AT61" s="137">
        <f t="shared" si="2"/>
        <v>24.024199799999998</v>
      </c>
      <c r="AU61" s="137">
        <f t="shared" si="14"/>
        <v>350.39772166353293</v>
      </c>
      <c r="AV61" s="137">
        <f t="shared" si="15"/>
        <v>0.37228318559999996</v>
      </c>
      <c r="AW61" s="137">
        <f t="shared" si="16"/>
        <v>23.711701379999997</v>
      </c>
      <c r="AX61" s="137">
        <f t="shared" si="17"/>
        <v>7.7700398999999996</v>
      </c>
      <c r="AY61" s="137">
        <f t="shared" si="18"/>
        <v>1.2665377139999998</v>
      </c>
      <c r="AZ61" s="137">
        <f t="shared" si="19"/>
        <v>3.3767504609999994E-3</v>
      </c>
      <c r="BA61" s="137">
        <f t="shared" si="20"/>
        <v>5.4419266709999992</v>
      </c>
      <c r="BB61" s="137">
        <f t="shared" si="21"/>
        <v>1.6105687799999999</v>
      </c>
      <c r="BC61" s="137">
        <f t="shared" si="3"/>
        <v>1.1016629819999999</v>
      </c>
      <c r="BD61" s="137">
        <f t="shared" si="4"/>
        <v>2.8993773089999999E-3</v>
      </c>
      <c r="BE61" s="137">
        <f t="shared" si="5"/>
        <v>1.6512925559999998</v>
      </c>
      <c r="BF61" s="137">
        <f t="shared" si="6"/>
        <v>-1.5429079229999998E-3</v>
      </c>
      <c r="BG61" s="137">
        <f t="shared" si="7"/>
        <v>3.456147684E-6</v>
      </c>
      <c r="BH61" s="137">
        <f t="shared" si="8"/>
        <v>2.9060939039999997E-2</v>
      </c>
      <c r="BI61" s="137">
        <f t="shared" si="9"/>
        <v>6.2650277129999987E-2</v>
      </c>
      <c r="BJ61" s="137">
        <f t="shared" si="10"/>
        <v>5.9772039419999999E-2</v>
      </c>
      <c r="BK61" s="137">
        <f t="shared" si="11"/>
        <v>3.617416665E-3</v>
      </c>
      <c r="BL61" s="137">
        <f t="shared" si="12"/>
        <v>0.6153532236</v>
      </c>
      <c r="BM61" s="137">
        <f t="shared" si="13"/>
        <v>6.5861516549999985E-2</v>
      </c>
    </row>
    <row r="62" spans="1:65" x14ac:dyDescent="0.25">
      <c r="A62" s="149">
        <v>171</v>
      </c>
      <c r="B62" s="149">
        <v>16</v>
      </c>
      <c r="C62" s="61">
        <v>40.014986</v>
      </c>
      <c r="D62" s="61">
        <v>-105.270546</v>
      </c>
      <c r="E62" s="61" t="s">
        <v>265</v>
      </c>
      <c r="F62" s="149">
        <v>16</v>
      </c>
      <c r="G62" s="61" t="s">
        <v>565</v>
      </c>
      <c r="H62" s="61" t="s">
        <v>645</v>
      </c>
      <c r="I62" s="61">
        <v>39.856096000000001</v>
      </c>
      <c r="J62" s="61">
        <v>-104.673738</v>
      </c>
      <c r="K62" s="61">
        <v>66.833860599999994</v>
      </c>
      <c r="L62" s="61">
        <v>70.700999999999993</v>
      </c>
      <c r="M62" s="61" t="s">
        <v>617</v>
      </c>
      <c r="N62" s="149">
        <v>15</v>
      </c>
      <c r="O62" s="149">
        <v>16</v>
      </c>
      <c r="P62" s="61" t="s">
        <v>565</v>
      </c>
      <c r="Q62" s="61" t="s">
        <v>556</v>
      </c>
      <c r="R62" s="61">
        <v>39.856096299999997</v>
      </c>
      <c r="S62" s="61">
        <v>-104.6737376</v>
      </c>
      <c r="T62" s="61">
        <v>70.700999999999993</v>
      </c>
      <c r="U62" s="61" t="s">
        <v>617</v>
      </c>
      <c r="V62" s="61" t="s">
        <v>617</v>
      </c>
      <c r="W62" s="61"/>
      <c r="Y62" s="137">
        <f>Summary_LCIA!H$32</f>
        <v>0.33979999999999999</v>
      </c>
      <c r="Z62" s="137">
        <f>Summary_LCIA!Q$32</f>
        <v>4.9560504329999997</v>
      </c>
      <c r="AA62" s="137">
        <f>Summary_LCIA!R$32</f>
        <v>5.2655999999999996E-3</v>
      </c>
      <c r="AB62" s="137">
        <f>Summary_LCIA!S$32</f>
        <v>0.33538000000000001</v>
      </c>
      <c r="AC62" s="137">
        <f>Summary_LCIA!T$32</f>
        <v>0.1099</v>
      </c>
      <c r="AD62" s="137">
        <f>Summary_LCIA!U$32</f>
        <v>1.7913999999999999E-2</v>
      </c>
      <c r="AE62" s="137">
        <f>Summary_LCIA!V$32</f>
        <v>4.7760999999999999E-5</v>
      </c>
      <c r="AF62" s="137">
        <f>Summary_LCIA!W$32</f>
        <v>7.6970999999999998E-2</v>
      </c>
      <c r="AG62" s="137">
        <f>Summary_LCIA!X$32</f>
        <v>2.2780000000000002E-2</v>
      </c>
      <c r="AH62" s="137">
        <f>Summary_LCIA!Y$32</f>
        <v>1.5582E-2</v>
      </c>
      <c r="AI62" s="137">
        <f>Summary_LCIA!Z$32</f>
        <v>4.1009E-5</v>
      </c>
      <c r="AJ62" s="137">
        <f>Summary_LCIA!AA$32</f>
        <v>2.3355999999999998E-2</v>
      </c>
      <c r="AK62" s="137">
        <f>Summary_LCIA!AB$32</f>
        <v>-2.1823000000000001E-5</v>
      </c>
      <c r="AL62" s="137">
        <f>Summary_LCIA!AC$32</f>
        <v>4.8884000000000003E-8</v>
      </c>
      <c r="AM62" s="137">
        <f>Summary_LCIA!AD$32</f>
        <v>4.1103999999999999E-4</v>
      </c>
      <c r="AN62" s="137">
        <f>Summary_LCIA!AE$32</f>
        <v>8.8612999999999995E-4</v>
      </c>
      <c r="AO62" s="137">
        <f>Summary_LCIA!AF$32</f>
        <v>8.4542000000000005E-4</v>
      </c>
      <c r="AP62" s="137">
        <f>Summary_LCIA!AG$32</f>
        <v>5.1165000000000002E-5</v>
      </c>
      <c r="AQ62" s="137">
        <f>Summary_LCIA!AH$32</f>
        <v>8.7036000000000006E-3</v>
      </c>
      <c r="AR62" s="137">
        <f>Summary_LCIA!AI$32</f>
        <v>9.3154999999999996E-4</v>
      </c>
      <c r="AT62" s="137">
        <f t="shared" si="2"/>
        <v>24.024199799999998</v>
      </c>
      <c r="AU62" s="137">
        <f t="shared" si="14"/>
        <v>350.39772166353293</v>
      </c>
      <c r="AV62" s="137">
        <f t="shared" si="15"/>
        <v>0.37228318559999996</v>
      </c>
      <c r="AW62" s="137">
        <f t="shared" si="16"/>
        <v>23.711701379999997</v>
      </c>
      <c r="AX62" s="137">
        <f t="shared" si="17"/>
        <v>7.7700398999999996</v>
      </c>
      <c r="AY62" s="137">
        <f t="shared" si="18"/>
        <v>1.2665377139999998</v>
      </c>
      <c r="AZ62" s="137">
        <f t="shared" si="19"/>
        <v>3.3767504609999994E-3</v>
      </c>
      <c r="BA62" s="137">
        <f t="shared" si="20"/>
        <v>5.4419266709999992</v>
      </c>
      <c r="BB62" s="137">
        <f t="shared" si="21"/>
        <v>1.6105687799999999</v>
      </c>
      <c r="BC62" s="137">
        <f t="shared" si="3"/>
        <v>1.1016629819999999</v>
      </c>
      <c r="BD62" s="137">
        <f t="shared" si="4"/>
        <v>2.8993773089999999E-3</v>
      </c>
      <c r="BE62" s="137">
        <f t="shared" si="5"/>
        <v>1.6512925559999998</v>
      </c>
      <c r="BF62" s="137">
        <f t="shared" si="6"/>
        <v>-1.5429079229999998E-3</v>
      </c>
      <c r="BG62" s="137">
        <f t="shared" si="7"/>
        <v>3.456147684E-6</v>
      </c>
      <c r="BH62" s="137">
        <f t="shared" si="8"/>
        <v>2.9060939039999997E-2</v>
      </c>
      <c r="BI62" s="137">
        <f t="shared" si="9"/>
        <v>6.2650277129999987E-2</v>
      </c>
      <c r="BJ62" s="137">
        <f t="shared" si="10"/>
        <v>5.9772039419999999E-2</v>
      </c>
      <c r="BK62" s="137">
        <f t="shared" si="11"/>
        <v>3.617416665E-3</v>
      </c>
      <c r="BL62" s="137">
        <f t="shared" si="12"/>
        <v>0.6153532236</v>
      </c>
      <c r="BM62" s="137">
        <f t="shared" si="13"/>
        <v>6.5861516549999985E-2</v>
      </c>
    </row>
    <row r="63" spans="1:65" x14ac:dyDescent="0.25">
      <c r="A63" s="149">
        <v>172</v>
      </c>
      <c r="B63" s="149">
        <v>16</v>
      </c>
      <c r="C63" s="61">
        <v>40.014986</v>
      </c>
      <c r="D63" s="61">
        <v>-105.270546</v>
      </c>
      <c r="E63" s="61" t="s">
        <v>265</v>
      </c>
      <c r="F63" s="149">
        <v>16</v>
      </c>
      <c r="G63" s="61" t="s">
        <v>565</v>
      </c>
      <c r="H63" s="61" t="s">
        <v>645</v>
      </c>
      <c r="I63" s="61">
        <v>39.856096000000001</v>
      </c>
      <c r="J63" s="61">
        <v>-104.673738</v>
      </c>
      <c r="K63" s="61">
        <v>66.833860599999994</v>
      </c>
      <c r="L63" s="61">
        <v>70.700999999999993</v>
      </c>
      <c r="M63" s="61" t="s">
        <v>617</v>
      </c>
      <c r="N63" s="149">
        <v>15</v>
      </c>
      <c r="O63" s="149">
        <v>16</v>
      </c>
      <c r="P63" s="61" t="s">
        <v>565</v>
      </c>
      <c r="Q63" s="61" t="s">
        <v>556</v>
      </c>
      <c r="R63" s="61">
        <v>39.856096299999997</v>
      </c>
      <c r="S63" s="61">
        <v>-104.6737376</v>
      </c>
      <c r="T63" s="61">
        <v>70.700999999999993</v>
      </c>
      <c r="U63" s="61" t="s">
        <v>617</v>
      </c>
      <c r="V63" s="61" t="s">
        <v>617</v>
      </c>
      <c r="W63" s="61"/>
      <c r="Y63" s="137">
        <f>Summary_LCIA!H$32</f>
        <v>0.33979999999999999</v>
      </c>
      <c r="Z63" s="137">
        <f>Summary_LCIA!Q$32</f>
        <v>4.9560504329999997</v>
      </c>
      <c r="AA63" s="137">
        <f>Summary_LCIA!R$32</f>
        <v>5.2655999999999996E-3</v>
      </c>
      <c r="AB63" s="137">
        <f>Summary_LCIA!S$32</f>
        <v>0.33538000000000001</v>
      </c>
      <c r="AC63" s="137">
        <f>Summary_LCIA!T$32</f>
        <v>0.1099</v>
      </c>
      <c r="AD63" s="137">
        <f>Summary_LCIA!U$32</f>
        <v>1.7913999999999999E-2</v>
      </c>
      <c r="AE63" s="137">
        <f>Summary_LCIA!V$32</f>
        <v>4.7760999999999999E-5</v>
      </c>
      <c r="AF63" s="137">
        <f>Summary_LCIA!W$32</f>
        <v>7.6970999999999998E-2</v>
      </c>
      <c r="AG63" s="137">
        <f>Summary_LCIA!X$32</f>
        <v>2.2780000000000002E-2</v>
      </c>
      <c r="AH63" s="137">
        <f>Summary_LCIA!Y$32</f>
        <v>1.5582E-2</v>
      </c>
      <c r="AI63" s="137">
        <f>Summary_LCIA!Z$32</f>
        <v>4.1009E-5</v>
      </c>
      <c r="AJ63" s="137">
        <f>Summary_LCIA!AA$32</f>
        <v>2.3355999999999998E-2</v>
      </c>
      <c r="AK63" s="137">
        <f>Summary_LCIA!AB$32</f>
        <v>-2.1823000000000001E-5</v>
      </c>
      <c r="AL63" s="137">
        <f>Summary_LCIA!AC$32</f>
        <v>4.8884000000000003E-8</v>
      </c>
      <c r="AM63" s="137">
        <f>Summary_LCIA!AD$32</f>
        <v>4.1103999999999999E-4</v>
      </c>
      <c r="AN63" s="137">
        <f>Summary_LCIA!AE$32</f>
        <v>8.8612999999999995E-4</v>
      </c>
      <c r="AO63" s="137">
        <f>Summary_LCIA!AF$32</f>
        <v>8.4542000000000005E-4</v>
      </c>
      <c r="AP63" s="137">
        <f>Summary_LCIA!AG$32</f>
        <v>5.1165000000000002E-5</v>
      </c>
      <c r="AQ63" s="137">
        <f>Summary_LCIA!AH$32</f>
        <v>8.7036000000000006E-3</v>
      </c>
      <c r="AR63" s="137">
        <f>Summary_LCIA!AI$32</f>
        <v>9.3154999999999996E-4</v>
      </c>
      <c r="AT63" s="137">
        <f t="shared" si="2"/>
        <v>24.024199799999998</v>
      </c>
      <c r="AU63" s="137">
        <f t="shared" si="14"/>
        <v>350.39772166353293</v>
      </c>
      <c r="AV63" s="137">
        <f t="shared" si="15"/>
        <v>0.37228318559999996</v>
      </c>
      <c r="AW63" s="137">
        <f t="shared" si="16"/>
        <v>23.711701379999997</v>
      </c>
      <c r="AX63" s="137">
        <f t="shared" si="17"/>
        <v>7.7700398999999996</v>
      </c>
      <c r="AY63" s="137">
        <f t="shared" si="18"/>
        <v>1.2665377139999998</v>
      </c>
      <c r="AZ63" s="137">
        <f t="shared" si="19"/>
        <v>3.3767504609999994E-3</v>
      </c>
      <c r="BA63" s="137">
        <f t="shared" si="20"/>
        <v>5.4419266709999992</v>
      </c>
      <c r="BB63" s="137">
        <f t="shared" si="21"/>
        <v>1.6105687799999999</v>
      </c>
      <c r="BC63" s="137">
        <f t="shared" si="3"/>
        <v>1.1016629819999999</v>
      </c>
      <c r="BD63" s="137">
        <f t="shared" si="4"/>
        <v>2.8993773089999999E-3</v>
      </c>
      <c r="BE63" s="137">
        <f t="shared" si="5"/>
        <v>1.6512925559999998</v>
      </c>
      <c r="BF63" s="137">
        <f t="shared" si="6"/>
        <v>-1.5429079229999998E-3</v>
      </c>
      <c r="BG63" s="137">
        <f t="shared" si="7"/>
        <v>3.456147684E-6</v>
      </c>
      <c r="BH63" s="137">
        <f t="shared" si="8"/>
        <v>2.9060939039999997E-2</v>
      </c>
      <c r="BI63" s="137">
        <f t="shared" si="9"/>
        <v>6.2650277129999987E-2</v>
      </c>
      <c r="BJ63" s="137">
        <f t="shared" si="10"/>
        <v>5.9772039419999999E-2</v>
      </c>
      <c r="BK63" s="137">
        <f t="shared" si="11"/>
        <v>3.617416665E-3</v>
      </c>
      <c r="BL63" s="137">
        <f t="shared" si="12"/>
        <v>0.6153532236</v>
      </c>
      <c r="BM63" s="137">
        <f t="shared" si="13"/>
        <v>6.5861516549999985E-2</v>
      </c>
    </row>
    <row r="64" spans="1:65" x14ac:dyDescent="0.25">
      <c r="A64" s="149">
        <v>45</v>
      </c>
      <c r="B64" s="149">
        <v>43</v>
      </c>
      <c r="C64" s="61">
        <v>40.698720999999999</v>
      </c>
      <c r="D64" s="61">
        <v>-75.211763000000005</v>
      </c>
      <c r="E64" s="61" t="s">
        <v>265</v>
      </c>
      <c r="F64" s="149">
        <v>43</v>
      </c>
      <c r="G64" s="61" t="s">
        <v>565</v>
      </c>
      <c r="H64" s="61" t="s">
        <v>632</v>
      </c>
      <c r="I64" s="61">
        <v>40.689531000000002</v>
      </c>
      <c r="J64" s="61">
        <v>-74.174462000000005</v>
      </c>
      <c r="K64" s="61">
        <v>88.768893129999995</v>
      </c>
      <c r="L64" s="61">
        <v>99.001999999999995</v>
      </c>
      <c r="M64" s="61" t="s">
        <v>617</v>
      </c>
      <c r="N64" s="149">
        <v>42</v>
      </c>
      <c r="O64" s="149">
        <v>43</v>
      </c>
      <c r="P64" s="61" t="s">
        <v>565</v>
      </c>
      <c r="Q64" s="61" t="s">
        <v>555</v>
      </c>
      <c r="R64" s="61">
        <v>40.6895314</v>
      </c>
      <c r="S64" s="61">
        <v>-74.174462399999996</v>
      </c>
      <c r="T64" s="61">
        <v>99.001999999999995</v>
      </c>
      <c r="U64" s="61" t="s">
        <v>617</v>
      </c>
      <c r="V64" s="61" t="s">
        <v>617</v>
      </c>
      <c r="W64" s="61"/>
      <c r="Y64" s="137">
        <f>Summary_LCIA!H$32</f>
        <v>0.33979999999999999</v>
      </c>
      <c r="Z64" s="137">
        <f>Summary_LCIA!Q$32</f>
        <v>4.9560504329999997</v>
      </c>
      <c r="AA64" s="137">
        <f>Summary_LCIA!R$32</f>
        <v>5.2655999999999996E-3</v>
      </c>
      <c r="AB64" s="137">
        <f>Summary_LCIA!S$32</f>
        <v>0.33538000000000001</v>
      </c>
      <c r="AC64" s="137">
        <f>Summary_LCIA!T$32</f>
        <v>0.1099</v>
      </c>
      <c r="AD64" s="137">
        <f>Summary_LCIA!U$32</f>
        <v>1.7913999999999999E-2</v>
      </c>
      <c r="AE64" s="137">
        <f>Summary_LCIA!V$32</f>
        <v>4.7760999999999999E-5</v>
      </c>
      <c r="AF64" s="137">
        <f>Summary_LCIA!W$32</f>
        <v>7.6970999999999998E-2</v>
      </c>
      <c r="AG64" s="137">
        <f>Summary_LCIA!X$32</f>
        <v>2.2780000000000002E-2</v>
      </c>
      <c r="AH64" s="137">
        <f>Summary_LCIA!Y$32</f>
        <v>1.5582E-2</v>
      </c>
      <c r="AI64" s="137">
        <f>Summary_LCIA!Z$32</f>
        <v>4.1009E-5</v>
      </c>
      <c r="AJ64" s="137">
        <f>Summary_LCIA!AA$32</f>
        <v>2.3355999999999998E-2</v>
      </c>
      <c r="AK64" s="137">
        <f>Summary_LCIA!AB$32</f>
        <v>-2.1823000000000001E-5</v>
      </c>
      <c r="AL64" s="137">
        <f>Summary_LCIA!AC$32</f>
        <v>4.8884000000000003E-8</v>
      </c>
      <c r="AM64" s="137">
        <f>Summary_LCIA!AD$32</f>
        <v>4.1103999999999999E-4</v>
      </c>
      <c r="AN64" s="137">
        <f>Summary_LCIA!AE$32</f>
        <v>8.8612999999999995E-4</v>
      </c>
      <c r="AO64" s="137">
        <f>Summary_LCIA!AF$32</f>
        <v>8.4542000000000005E-4</v>
      </c>
      <c r="AP64" s="137">
        <f>Summary_LCIA!AG$32</f>
        <v>5.1165000000000002E-5</v>
      </c>
      <c r="AQ64" s="137">
        <f>Summary_LCIA!AH$32</f>
        <v>8.7036000000000006E-3</v>
      </c>
      <c r="AR64" s="137">
        <f>Summary_LCIA!AI$32</f>
        <v>9.3154999999999996E-4</v>
      </c>
      <c r="AT64" s="137">
        <f t="shared" si="2"/>
        <v>33.640879599999998</v>
      </c>
      <c r="AU64" s="137">
        <f t="shared" si="14"/>
        <v>490.65890496786596</v>
      </c>
      <c r="AV64" s="137">
        <f t="shared" si="15"/>
        <v>0.52130493119999999</v>
      </c>
      <c r="AW64" s="137">
        <f t="shared" si="16"/>
        <v>33.203290760000002</v>
      </c>
      <c r="AX64" s="137">
        <f t="shared" si="17"/>
        <v>10.880319799999999</v>
      </c>
      <c r="AY64" s="137">
        <f t="shared" si="18"/>
        <v>1.7735218279999998</v>
      </c>
      <c r="AZ64" s="137">
        <f t="shared" si="19"/>
        <v>4.7284345219999998E-3</v>
      </c>
      <c r="BA64" s="137">
        <f t="shared" si="20"/>
        <v>7.6202829419999993</v>
      </c>
      <c r="BB64" s="137">
        <f t="shared" si="21"/>
        <v>2.2552655600000002</v>
      </c>
      <c r="BC64" s="137">
        <f t="shared" si="3"/>
        <v>1.542649164</v>
      </c>
      <c r="BD64" s="137">
        <f t="shared" si="4"/>
        <v>4.0599730179999996E-3</v>
      </c>
      <c r="BE64" s="137">
        <f t="shared" si="5"/>
        <v>2.3122907119999998</v>
      </c>
      <c r="BF64" s="137">
        <f t="shared" si="6"/>
        <v>-2.160520646E-3</v>
      </c>
      <c r="BG64" s="137">
        <f t="shared" si="7"/>
        <v>4.8396137680000002E-6</v>
      </c>
      <c r="BH64" s="137">
        <f t="shared" si="8"/>
        <v>4.0693782079999997E-2</v>
      </c>
      <c r="BI64" s="137">
        <f t="shared" si="9"/>
        <v>8.7728642259999989E-2</v>
      </c>
      <c r="BJ64" s="137">
        <f t="shared" si="10"/>
        <v>8.3698270840000005E-2</v>
      </c>
      <c r="BK64" s="137">
        <f t="shared" si="11"/>
        <v>5.0654373300000003E-3</v>
      </c>
      <c r="BL64" s="137">
        <f t="shared" si="12"/>
        <v>0.86167380719999997</v>
      </c>
      <c r="BM64" s="137">
        <f t="shared" si="13"/>
        <v>9.2225313099999998E-2</v>
      </c>
    </row>
    <row r="65" spans="1:65" x14ac:dyDescent="0.25">
      <c r="A65" s="149">
        <v>219</v>
      </c>
      <c r="B65" s="149">
        <v>16</v>
      </c>
      <c r="C65" s="61">
        <v>40.570262999999997</v>
      </c>
      <c r="D65" s="61">
        <v>-105.090346</v>
      </c>
      <c r="E65" s="61" t="s">
        <v>265</v>
      </c>
      <c r="F65" s="149">
        <v>16</v>
      </c>
      <c r="G65" s="61" t="s">
        <v>565</v>
      </c>
      <c r="H65" s="61" t="s">
        <v>645</v>
      </c>
      <c r="I65" s="61">
        <v>39.856096000000001</v>
      </c>
      <c r="J65" s="61">
        <v>-104.673738</v>
      </c>
      <c r="K65" s="61">
        <v>153.5848848</v>
      </c>
      <c r="L65" s="61">
        <v>113.407</v>
      </c>
      <c r="M65" s="61" t="s">
        <v>617</v>
      </c>
      <c r="N65" s="149">
        <v>15</v>
      </c>
      <c r="O65" s="149">
        <v>16</v>
      </c>
      <c r="P65" s="61" t="s">
        <v>565</v>
      </c>
      <c r="Q65" s="61" t="s">
        <v>556</v>
      </c>
      <c r="R65" s="61">
        <v>39.856096299999997</v>
      </c>
      <c r="S65" s="61">
        <v>-104.6737376</v>
      </c>
      <c r="T65" s="61">
        <v>113.407</v>
      </c>
      <c r="U65" s="61" t="s">
        <v>617</v>
      </c>
      <c r="V65" s="61" t="s">
        <v>617</v>
      </c>
      <c r="W65" s="61"/>
      <c r="Y65" s="137">
        <f>Summary_LCIA!H$32</f>
        <v>0.33979999999999999</v>
      </c>
      <c r="Z65" s="137">
        <f>Summary_LCIA!Q$32</f>
        <v>4.9560504329999997</v>
      </c>
      <c r="AA65" s="137">
        <f>Summary_LCIA!R$32</f>
        <v>5.2655999999999996E-3</v>
      </c>
      <c r="AB65" s="137">
        <f>Summary_LCIA!S$32</f>
        <v>0.33538000000000001</v>
      </c>
      <c r="AC65" s="137">
        <f>Summary_LCIA!T$32</f>
        <v>0.1099</v>
      </c>
      <c r="AD65" s="137">
        <f>Summary_LCIA!U$32</f>
        <v>1.7913999999999999E-2</v>
      </c>
      <c r="AE65" s="137">
        <f>Summary_LCIA!V$32</f>
        <v>4.7760999999999999E-5</v>
      </c>
      <c r="AF65" s="137">
        <f>Summary_LCIA!W$32</f>
        <v>7.6970999999999998E-2</v>
      </c>
      <c r="AG65" s="137">
        <f>Summary_LCIA!X$32</f>
        <v>2.2780000000000002E-2</v>
      </c>
      <c r="AH65" s="137">
        <f>Summary_LCIA!Y$32</f>
        <v>1.5582E-2</v>
      </c>
      <c r="AI65" s="137">
        <f>Summary_LCIA!Z$32</f>
        <v>4.1009E-5</v>
      </c>
      <c r="AJ65" s="137">
        <f>Summary_LCIA!AA$32</f>
        <v>2.3355999999999998E-2</v>
      </c>
      <c r="AK65" s="137">
        <f>Summary_LCIA!AB$32</f>
        <v>-2.1823000000000001E-5</v>
      </c>
      <c r="AL65" s="137">
        <f>Summary_LCIA!AC$32</f>
        <v>4.8884000000000003E-8</v>
      </c>
      <c r="AM65" s="137">
        <f>Summary_LCIA!AD$32</f>
        <v>4.1103999999999999E-4</v>
      </c>
      <c r="AN65" s="137">
        <f>Summary_LCIA!AE$32</f>
        <v>8.8612999999999995E-4</v>
      </c>
      <c r="AO65" s="137">
        <f>Summary_LCIA!AF$32</f>
        <v>8.4542000000000005E-4</v>
      </c>
      <c r="AP65" s="137">
        <f>Summary_LCIA!AG$32</f>
        <v>5.1165000000000002E-5</v>
      </c>
      <c r="AQ65" s="137">
        <f>Summary_LCIA!AH$32</f>
        <v>8.7036000000000006E-3</v>
      </c>
      <c r="AR65" s="137">
        <f>Summary_LCIA!AI$32</f>
        <v>9.3154999999999996E-4</v>
      </c>
      <c r="AT65" s="137">
        <f t="shared" si="2"/>
        <v>38.535698599999996</v>
      </c>
      <c r="AU65" s="137">
        <f t="shared" si="14"/>
        <v>562.05081145523093</v>
      </c>
      <c r="AV65" s="137">
        <f t="shared" si="15"/>
        <v>0.5971558991999999</v>
      </c>
      <c r="AW65" s="137">
        <f t="shared" si="16"/>
        <v>38.034439659999997</v>
      </c>
      <c r="AX65" s="137">
        <f t="shared" si="17"/>
        <v>12.4634293</v>
      </c>
      <c r="AY65" s="137">
        <f t="shared" si="18"/>
        <v>2.0315729979999997</v>
      </c>
      <c r="AZ65" s="137">
        <f t="shared" si="19"/>
        <v>5.4164317269999995E-3</v>
      </c>
      <c r="BA65" s="137">
        <f t="shared" si="20"/>
        <v>8.7290501969999994</v>
      </c>
      <c r="BB65" s="137">
        <f t="shared" si="21"/>
        <v>2.5834114600000002</v>
      </c>
      <c r="BC65" s="137">
        <f t="shared" si="3"/>
        <v>1.7671078739999999</v>
      </c>
      <c r="BD65" s="137">
        <f t="shared" si="4"/>
        <v>4.650707663E-3</v>
      </c>
      <c r="BE65" s="137">
        <f t="shared" si="5"/>
        <v>2.6487338919999996</v>
      </c>
      <c r="BF65" s="137">
        <f t="shared" si="6"/>
        <v>-2.4748809610000001E-3</v>
      </c>
      <c r="BG65" s="137">
        <f t="shared" si="7"/>
        <v>5.5437877880000004E-6</v>
      </c>
      <c r="BH65" s="137">
        <f t="shared" si="8"/>
        <v>4.661481328E-2</v>
      </c>
      <c r="BI65" s="137">
        <f t="shared" si="9"/>
        <v>0.10049334490999999</v>
      </c>
      <c r="BJ65" s="137">
        <f t="shared" si="10"/>
        <v>9.5876545940000002E-2</v>
      </c>
      <c r="BK65" s="137">
        <f t="shared" si="11"/>
        <v>5.802469155E-3</v>
      </c>
      <c r="BL65" s="137">
        <f t="shared" si="12"/>
        <v>0.98704916520000008</v>
      </c>
      <c r="BM65" s="137">
        <f t="shared" si="13"/>
        <v>0.10564429084999999</v>
      </c>
    </row>
    <row r="66" spans="1:65" x14ac:dyDescent="0.25">
      <c r="A66" s="149">
        <v>220</v>
      </c>
      <c r="B66" s="149">
        <v>16</v>
      </c>
      <c r="C66" s="61">
        <v>40.570262999999997</v>
      </c>
      <c r="D66" s="61">
        <v>-105.090346</v>
      </c>
      <c r="E66" s="61" t="s">
        <v>265</v>
      </c>
      <c r="F66" s="149">
        <v>16</v>
      </c>
      <c r="G66" s="61" t="s">
        <v>565</v>
      </c>
      <c r="H66" s="61" t="s">
        <v>645</v>
      </c>
      <c r="I66" s="61">
        <v>39.856096000000001</v>
      </c>
      <c r="J66" s="61">
        <v>-104.673738</v>
      </c>
      <c r="K66" s="61">
        <v>153.5848848</v>
      </c>
      <c r="L66" s="61">
        <v>113.407</v>
      </c>
      <c r="M66" s="61" t="s">
        <v>617</v>
      </c>
      <c r="N66" s="149">
        <v>15</v>
      </c>
      <c r="O66" s="149">
        <v>16</v>
      </c>
      <c r="P66" s="61" t="s">
        <v>565</v>
      </c>
      <c r="Q66" s="61" t="s">
        <v>556</v>
      </c>
      <c r="R66" s="61">
        <v>39.856096299999997</v>
      </c>
      <c r="S66" s="61">
        <v>-104.6737376</v>
      </c>
      <c r="T66" s="61">
        <v>113.407</v>
      </c>
      <c r="U66" s="61" t="s">
        <v>617</v>
      </c>
      <c r="V66" s="61" t="s">
        <v>617</v>
      </c>
      <c r="W66" s="61"/>
      <c r="Y66" s="137">
        <f>Summary_LCIA!H$32</f>
        <v>0.33979999999999999</v>
      </c>
      <c r="Z66" s="137">
        <f>Summary_LCIA!Q$32</f>
        <v>4.9560504329999997</v>
      </c>
      <c r="AA66" s="137">
        <f>Summary_LCIA!R$32</f>
        <v>5.2655999999999996E-3</v>
      </c>
      <c r="AB66" s="137">
        <f>Summary_LCIA!S$32</f>
        <v>0.33538000000000001</v>
      </c>
      <c r="AC66" s="137">
        <f>Summary_LCIA!T$32</f>
        <v>0.1099</v>
      </c>
      <c r="AD66" s="137">
        <f>Summary_LCIA!U$32</f>
        <v>1.7913999999999999E-2</v>
      </c>
      <c r="AE66" s="137">
        <f>Summary_LCIA!V$32</f>
        <v>4.7760999999999999E-5</v>
      </c>
      <c r="AF66" s="137">
        <f>Summary_LCIA!W$32</f>
        <v>7.6970999999999998E-2</v>
      </c>
      <c r="AG66" s="137">
        <f>Summary_LCIA!X$32</f>
        <v>2.2780000000000002E-2</v>
      </c>
      <c r="AH66" s="137">
        <f>Summary_LCIA!Y$32</f>
        <v>1.5582E-2</v>
      </c>
      <c r="AI66" s="137">
        <f>Summary_LCIA!Z$32</f>
        <v>4.1009E-5</v>
      </c>
      <c r="AJ66" s="137">
        <f>Summary_LCIA!AA$32</f>
        <v>2.3355999999999998E-2</v>
      </c>
      <c r="AK66" s="137">
        <f>Summary_LCIA!AB$32</f>
        <v>-2.1823000000000001E-5</v>
      </c>
      <c r="AL66" s="137">
        <f>Summary_LCIA!AC$32</f>
        <v>4.8884000000000003E-8</v>
      </c>
      <c r="AM66" s="137">
        <f>Summary_LCIA!AD$32</f>
        <v>4.1103999999999999E-4</v>
      </c>
      <c r="AN66" s="137">
        <f>Summary_LCIA!AE$32</f>
        <v>8.8612999999999995E-4</v>
      </c>
      <c r="AO66" s="137">
        <f>Summary_LCIA!AF$32</f>
        <v>8.4542000000000005E-4</v>
      </c>
      <c r="AP66" s="137">
        <f>Summary_LCIA!AG$32</f>
        <v>5.1165000000000002E-5</v>
      </c>
      <c r="AQ66" s="137">
        <f>Summary_LCIA!AH$32</f>
        <v>8.7036000000000006E-3</v>
      </c>
      <c r="AR66" s="137">
        <f>Summary_LCIA!AI$32</f>
        <v>9.3154999999999996E-4</v>
      </c>
      <c r="AT66" s="137">
        <f t="shared" si="2"/>
        <v>38.535698599999996</v>
      </c>
      <c r="AU66" s="137">
        <f t="shared" si="14"/>
        <v>562.05081145523093</v>
      </c>
      <c r="AV66" s="137">
        <f t="shared" si="15"/>
        <v>0.5971558991999999</v>
      </c>
      <c r="AW66" s="137">
        <f t="shared" si="16"/>
        <v>38.034439659999997</v>
      </c>
      <c r="AX66" s="137">
        <f t="shared" si="17"/>
        <v>12.4634293</v>
      </c>
      <c r="AY66" s="137">
        <f t="shared" si="18"/>
        <v>2.0315729979999997</v>
      </c>
      <c r="AZ66" s="137">
        <f t="shared" si="19"/>
        <v>5.4164317269999995E-3</v>
      </c>
      <c r="BA66" s="137">
        <f t="shared" si="20"/>
        <v>8.7290501969999994</v>
      </c>
      <c r="BB66" s="137">
        <f t="shared" si="21"/>
        <v>2.5834114600000002</v>
      </c>
      <c r="BC66" s="137">
        <f t="shared" si="3"/>
        <v>1.7671078739999999</v>
      </c>
      <c r="BD66" s="137">
        <f t="shared" si="4"/>
        <v>4.650707663E-3</v>
      </c>
      <c r="BE66" s="137">
        <f t="shared" si="5"/>
        <v>2.6487338919999996</v>
      </c>
      <c r="BF66" s="137">
        <f t="shared" si="6"/>
        <v>-2.4748809610000001E-3</v>
      </c>
      <c r="BG66" s="137">
        <f t="shared" si="7"/>
        <v>5.5437877880000004E-6</v>
      </c>
      <c r="BH66" s="137">
        <f t="shared" si="8"/>
        <v>4.661481328E-2</v>
      </c>
      <c r="BI66" s="137">
        <f t="shared" si="9"/>
        <v>0.10049334490999999</v>
      </c>
      <c r="BJ66" s="137">
        <f t="shared" si="10"/>
        <v>9.5876545940000002E-2</v>
      </c>
      <c r="BK66" s="137">
        <f t="shared" si="11"/>
        <v>5.802469155E-3</v>
      </c>
      <c r="BL66" s="137">
        <f t="shared" si="12"/>
        <v>0.98704916520000008</v>
      </c>
      <c r="BM66" s="137">
        <f t="shared" si="13"/>
        <v>0.10564429084999999</v>
      </c>
    </row>
    <row r="67" spans="1:65" x14ac:dyDescent="0.25">
      <c r="A67" s="149">
        <v>221</v>
      </c>
      <c r="B67" s="149">
        <v>16</v>
      </c>
      <c r="C67" s="61">
        <v>40.570262999999997</v>
      </c>
      <c r="D67" s="61">
        <v>-105.090346</v>
      </c>
      <c r="E67" s="61" t="s">
        <v>265</v>
      </c>
      <c r="F67" s="149">
        <v>16</v>
      </c>
      <c r="G67" s="61" t="s">
        <v>565</v>
      </c>
      <c r="H67" s="61" t="s">
        <v>645</v>
      </c>
      <c r="I67" s="61">
        <v>39.856096000000001</v>
      </c>
      <c r="J67" s="61">
        <v>-104.673738</v>
      </c>
      <c r="K67" s="61">
        <v>153.5848848</v>
      </c>
      <c r="L67" s="61">
        <v>113.407</v>
      </c>
      <c r="M67" s="61" t="s">
        <v>617</v>
      </c>
      <c r="N67" s="149">
        <v>15</v>
      </c>
      <c r="O67" s="149">
        <v>16</v>
      </c>
      <c r="P67" s="61" t="s">
        <v>565</v>
      </c>
      <c r="Q67" s="61" t="s">
        <v>556</v>
      </c>
      <c r="R67" s="61">
        <v>39.856096299999997</v>
      </c>
      <c r="S67" s="61">
        <v>-104.6737376</v>
      </c>
      <c r="T67" s="61">
        <v>113.407</v>
      </c>
      <c r="U67" s="61" t="s">
        <v>617</v>
      </c>
      <c r="V67" s="61" t="s">
        <v>617</v>
      </c>
      <c r="W67" s="61"/>
      <c r="Y67" s="137">
        <f>Summary_LCIA!H$32</f>
        <v>0.33979999999999999</v>
      </c>
      <c r="Z67" s="137">
        <f>Summary_LCIA!Q$32</f>
        <v>4.9560504329999997</v>
      </c>
      <c r="AA67" s="137">
        <f>Summary_LCIA!R$32</f>
        <v>5.2655999999999996E-3</v>
      </c>
      <c r="AB67" s="137">
        <f>Summary_LCIA!S$32</f>
        <v>0.33538000000000001</v>
      </c>
      <c r="AC67" s="137">
        <f>Summary_LCIA!T$32</f>
        <v>0.1099</v>
      </c>
      <c r="AD67" s="137">
        <f>Summary_LCIA!U$32</f>
        <v>1.7913999999999999E-2</v>
      </c>
      <c r="AE67" s="137">
        <f>Summary_LCIA!V$32</f>
        <v>4.7760999999999999E-5</v>
      </c>
      <c r="AF67" s="137">
        <f>Summary_LCIA!W$32</f>
        <v>7.6970999999999998E-2</v>
      </c>
      <c r="AG67" s="137">
        <f>Summary_LCIA!X$32</f>
        <v>2.2780000000000002E-2</v>
      </c>
      <c r="AH67" s="137">
        <f>Summary_LCIA!Y$32</f>
        <v>1.5582E-2</v>
      </c>
      <c r="AI67" s="137">
        <f>Summary_LCIA!Z$32</f>
        <v>4.1009E-5</v>
      </c>
      <c r="AJ67" s="137">
        <f>Summary_LCIA!AA$32</f>
        <v>2.3355999999999998E-2</v>
      </c>
      <c r="AK67" s="137">
        <f>Summary_LCIA!AB$32</f>
        <v>-2.1823000000000001E-5</v>
      </c>
      <c r="AL67" s="137">
        <f>Summary_LCIA!AC$32</f>
        <v>4.8884000000000003E-8</v>
      </c>
      <c r="AM67" s="137">
        <f>Summary_LCIA!AD$32</f>
        <v>4.1103999999999999E-4</v>
      </c>
      <c r="AN67" s="137">
        <f>Summary_LCIA!AE$32</f>
        <v>8.8612999999999995E-4</v>
      </c>
      <c r="AO67" s="137">
        <f>Summary_LCIA!AF$32</f>
        <v>8.4542000000000005E-4</v>
      </c>
      <c r="AP67" s="137">
        <f>Summary_LCIA!AG$32</f>
        <v>5.1165000000000002E-5</v>
      </c>
      <c r="AQ67" s="137">
        <f>Summary_LCIA!AH$32</f>
        <v>8.7036000000000006E-3</v>
      </c>
      <c r="AR67" s="137">
        <f>Summary_LCIA!AI$32</f>
        <v>9.3154999999999996E-4</v>
      </c>
      <c r="AT67" s="137">
        <f t="shared" ref="AT67:AT130" si="22">$T67*Y67</f>
        <v>38.535698599999996</v>
      </c>
      <c r="AU67" s="137">
        <f t="shared" si="14"/>
        <v>562.05081145523093</v>
      </c>
      <c r="AV67" s="137">
        <f t="shared" si="15"/>
        <v>0.5971558991999999</v>
      </c>
      <c r="AW67" s="137">
        <f t="shared" si="16"/>
        <v>38.034439659999997</v>
      </c>
      <c r="AX67" s="137">
        <f t="shared" si="17"/>
        <v>12.4634293</v>
      </c>
      <c r="AY67" s="137">
        <f t="shared" si="18"/>
        <v>2.0315729979999997</v>
      </c>
      <c r="AZ67" s="137">
        <f t="shared" si="19"/>
        <v>5.4164317269999995E-3</v>
      </c>
      <c r="BA67" s="137">
        <f t="shared" si="20"/>
        <v>8.7290501969999994</v>
      </c>
      <c r="BB67" s="137">
        <f t="shared" si="21"/>
        <v>2.5834114600000002</v>
      </c>
      <c r="BC67" s="137">
        <f t="shared" si="3"/>
        <v>1.7671078739999999</v>
      </c>
      <c r="BD67" s="137">
        <f t="shared" si="4"/>
        <v>4.650707663E-3</v>
      </c>
      <c r="BE67" s="137">
        <f t="shared" si="5"/>
        <v>2.6487338919999996</v>
      </c>
      <c r="BF67" s="137">
        <f t="shared" si="6"/>
        <v>-2.4748809610000001E-3</v>
      </c>
      <c r="BG67" s="137">
        <f t="shared" si="7"/>
        <v>5.5437877880000004E-6</v>
      </c>
      <c r="BH67" s="137">
        <f t="shared" si="8"/>
        <v>4.661481328E-2</v>
      </c>
      <c r="BI67" s="137">
        <f t="shared" si="9"/>
        <v>0.10049334490999999</v>
      </c>
      <c r="BJ67" s="137">
        <f t="shared" si="10"/>
        <v>9.5876545940000002E-2</v>
      </c>
      <c r="BK67" s="137">
        <f t="shared" si="11"/>
        <v>5.802469155E-3</v>
      </c>
      <c r="BL67" s="137">
        <f t="shared" si="12"/>
        <v>0.98704916520000008</v>
      </c>
      <c r="BM67" s="137">
        <f t="shared" si="13"/>
        <v>0.10564429084999999</v>
      </c>
    </row>
    <row r="68" spans="1:65" x14ac:dyDescent="0.25">
      <c r="A68" s="149">
        <v>222</v>
      </c>
      <c r="B68" s="149">
        <v>16</v>
      </c>
      <c r="C68" s="61">
        <v>40.585259999999998</v>
      </c>
      <c r="D68" s="61">
        <v>-105.084423</v>
      </c>
      <c r="E68" s="61" t="s">
        <v>265</v>
      </c>
      <c r="F68" s="149">
        <v>16</v>
      </c>
      <c r="G68" s="61" t="s">
        <v>565</v>
      </c>
      <c r="H68" s="61" t="s">
        <v>645</v>
      </c>
      <c r="I68" s="61">
        <v>39.856096000000001</v>
      </c>
      <c r="J68" s="61">
        <v>-104.673738</v>
      </c>
      <c r="K68" s="61">
        <v>156.25087780000001</v>
      </c>
      <c r="L68" s="61">
        <v>114.667</v>
      </c>
      <c r="M68" s="61" t="s">
        <v>617</v>
      </c>
      <c r="N68" s="149">
        <v>15</v>
      </c>
      <c r="O68" s="149">
        <v>16</v>
      </c>
      <c r="P68" s="61" t="s">
        <v>565</v>
      </c>
      <c r="Q68" s="61" t="s">
        <v>556</v>
      </c>
      <c r="R68" s="61">
        <v>39.856096299999997</v>
      </c>
      <c r="S68" s="61">
        <v>-104.6737376</v>
      </c>
      <c r="T68" s="61">
        <v>114.667</v>
      </c>
      <c r="U68" s="61" t="s">
        <v>617</v>
      </c>
      <c r="V68" s="61" t="s">
        <v>617</v>
      </c>
      <c r="W68" s="61"/>
      <c r="Y68" s="137">
        <f>Summary_LCIA!H$32</f>
        <v>0.33979999999999999</v>
      </c>
      <c r="Z68" s="137">
        <f>Summary_LCIA!Q$32</f>
        <v>4.9560504329999997</v>
      </c>
      <c r="AA68" s="137">
        <f>Summary_LCIA!R$32</f>
        <v>5.2655999999999996E-3</v>
      </c>
      <c r="AB68" s="137">
        <f>Summary_LCIA!S$32</f>
        <v>0.33538000000000001</v>
      </c>
      <c r="AC68" s="137">
        <f>Summary_LCIA!T$32</f>
        <v>0.1099</v>
      </c>
      <c r="AD68" s="137">
        <f>Summary_LCIA!U$32</f>
        <v>1.7913999999999999E-2</v>
      </c>
      <c r="AE68" s="137">
        <f>Summary_LCIA!V$32</f>
        <v>4.7760999999999999E-5</v>
      </c>
      <c r="AF68" s="137">
        <f>Summary_LCIA!W$32</f>
        <v>7.6970999999999998E-2</v>
      </c>
      <c r="AG68" s="137">
        <f>Summary_LCIA!X$32</f>
        <v>2.2780000000000002E-2</v>
      </c>
      <c r="AH68" s="137">
        <f>Summary_LCIA!Y$32</f>
        <v>1.5582E-2</v>
      </c>
      <c r="AI68" s="137">
        <f>Summary_LCIA!Z$32</f>
        <v>4.1009E-5</v>
      </c>
      <c r="AJ68" s="137">
        <f>Summary_LCIA!AA$32</f>
        <v>2.3355999999999998E-2</v>
      </c>
      <c r="AK68" s="137">
        <f>Summary_LCIA!AB$32</f>
        <v>-2.1823000000000001E-5</v>
      </c>
      <c r="AL68" s="137">
        <f>Summary_LCIA!AC$32</f>
        <v>4.8884000000000003E-8</v>
      </c>
      <c r="AM68" s="137">
        <f>Summary_LCIA!AD$32</f>
        <v>4.1103999999999999E-4</v>
      </c>
      <c r="AN68" s="137">
        <f>Summary_LCIA!AE$32</f>
        <v>8.8612999999999995E-4</v>
      </c>
      <c r="AO68" s="137">
        <f>Summary_LCIA!AF$32</f>
        <v>8.4542000000000005E-4</v>
      </c>
      <c r="AP68" s="137">
        <f>Summary_LCIA!AG$32</f>
        <v>5.1165000000000002E-5</v>
      </c>
      <c r="AQ68" s="137">
        <f>Summary_LCIA!AH$32</f>
        <v>8.7036000000000006E-3</v>
      </c>
      <c r="AR68" s="137">
        <f>Summary_LCIA!AI$32</f>
        <v>9.3154999999999996E-4</v>
      </c>
      <c r="AT68" s="137">
        <f t="shared" si="22"/>
        <v>38.963846599999997</v>
      </c>
      <c r="AU68" s="137">
        <f t="shared" si="14"/>
        <v>568.29543500081093</v>
      </c>
      <c r="AV68" s="137">
        <f t="shared" si="15"/>
        <v>0.60379055519999991</v>
      </c>
      <c r="AW68" s="137">
        <f t="shared" si="16"/>
        <v>38.45701846</v>
      </c>
      <c r="AX68" s="137">
        <f t="shared" si="17"/>
        <v>12.6019033</v>
      </c>
      <c r="AY68" s="137">
        <f t="shared" si="18"/>
        <v>2.0541446379999999</v>
      </c>
      <c r="AZ68" s="137">
        <f t="shared" si="19"/>
        <v>5.4766105869999996E-3</v>
      </c>
      <c r="BA68" s="137">
        <f t="shared" si="20"/>
        <v>8.826033657</v>
      </c>
      <c r="BB68" s="137">
        <f t="shared" si="21"/>
        <v>2.6121142600000002</v>
      </c>
      <c r="BC68" s="137">
        <f t="shared" si="3"/>
        <v>1.786741194</v>
      </c>
      <c r="BD68" s="137">
        <f t="shared" si="4"/>
        <v>4.702379003E-3</v>
      </c>
      <c r="BE68" s="137">
        <f t="shared" si="5"/>
        <v>2.678162452</v>
      </c>
      <c r="BF68" s="137">
        <f t="shared" si="6"/>
        <v>-2.5023779410000002E-3</v>
      </c>
      <c r="BG68" s="137">
        <f t="shared" si="7"/>
        <v>5.6053816280000004E-6</v>
      </c>
      <c r="BH68" s="137">
        <f t="shared" si="8"/>
        <v>4.7132723680000002E-2</v>
      </c>
      <c r="BI68" s="137">
        <f t="shared" si="9"/>
        <v>0.10160986871</v>
      </c>
      <c r="BJ68" s="137">
        <f t="shared" si="10"/>
        <v>9.6941775140000006E-2</v>
      </c>
      <c r="BK68" s="137">
        <f t="shared" si="11"/>
        <v>5.8669370550000002E-3</v>
      </c>
      <c r="BL68" s="137">
        <f t="shared" si="12"/>
        <v>0.99801570120000005</v>
      </c>
      <c r="BM68" s="137">
        <f t="shared" si="13"/>
        <v>0.10681804385</v>
      </c>
    </row>
    <row r="69" spans="1:65" x14ac:dyDescent="0.25">
      <c r="A69" s="149">
        <v>76</v>
      </c>
      <c r="B69" s="149">
        <v>43</v>
      </c>
      <c r="C69" s="61">
        <v>40.606834999999997</v>
      </c>
      <c r="D69" s="61">
        <v>-75.380168999999995</v>
      </c>
      <c r="E69" s="61" t="s">
        <v>265</v>
      </c>
      <c r="F69" s="149">
        <v>43</v>
      </c>
      <c r="G69" s="61" t="s">
        <v>565</v>
      </c>
      <c r="H69" s="61" t="s">
        <v>632</v>
      </c>
      <c r="I69" s="61">
        <v>40.689531000000002</v>
      </c>
      <c r="J69" s="61">
        <v>-74.174462000000005</v>
      </c>
      <c r="K69" s="61">
        <v>105.6453843</v>
      </c>
      <c r="L69" s="61">
        <v>119.545</v>
      </c>
      <c r="M69" s="61" t="s">
        <v>617</v>
      </c>
      <c r="N69" s="149">
        <v>42</v>
      </c>
      <c r="O69" s="149">
        <v>43</v>
      </c>
      <c r="P69" s="61" t="s">
        <v>565</v>
      </c>
      <c r="Q69" s="61" t="s">
        <v>555</v>
      </c>
      <c r="R69" s="61">
        <v>40.6895314</v>
      </c>
      <c r="S69" s="61">
        <v>-74.174462399999996</v>
      </c>
      <c r="T69" s="61">
        <v>119.545</v>
      </c>
      <c r="U69" s="61" t="s">
        <v>617</v>
      </c>
      <c r="V69" s="61" t="s">
        <v>617</v>
      </c>
      <c r="W69" s="61"/>
      <c r="Y69" s="137">
        <f>Summary_LCIA!H$32</f>
        <v>0.33979999999999999</v>
      </c>
      <c r="Z69" s="137">
        <f>Summary_LCIA!Q$32</f>
        <v>4.9560504329999997</v>
      </c>
      <c r="AA69" s="137">
        <f>Summary_LCIA!R$32</f>
        <v>5.2655999999999996E-3</v>
      </c>
      <c r="AB69" s="137">
        <f>Summary_LCIA!S$32</f>
        <v>0.33538000000000001</v>
      </c>
      <c r="AC69" s="137">
        <f>Summary_LCIA!T$32</f>
        <v>0.1099</v>
      </c>
      <c r="AD69" s="137">
        <f>Summary_LCIA!U$32</f>
        <v>1.7913999999999999E-2</v>
      </c>
      <c r="AE69" s="137">
        <f>Summary_LCIA!V$32</f>
        <v>4.7760999999999999E-5</v>
      </c>
      <c r="AF69" s="137">
        <f>Summary_LCIA!W$32</f>
        <v>7.6970999999999998E-2</v>
      </c>
      <c r="AG69" s="137">
        <f>Summary_LCIA!X$32</f>
        <v>2.2780000000000002E-2</v>
      </c>
      <c r="AH69" s="137">
        <f>Summary_LCIA!Y$32</f>
        <v>1.5582E-2</v>
      </c>
      <c r="AI69" s="137">
        <f>Summary_LCIA!Z$32</f>
        <v>4.1009E-5</v>
      </c>
      <c r="AJ69" s="137">
        <f>Summary_LCIA!AA$32</f>
        <v>2.3355999999999998E-2</v>
      </c>
      <c r="AK69" s="137">
        <f>Summary_LCIA!AB$32</f>
        <v>-2.1823000000000001E-5</v>
      </c>
      <c r="AL69" s="137">
        <f>Summary_LCIA!AC$32</f>
        <v>4.8884000000000003E-8</v>
      </c>
      <c r="AM69" s="137">
        <f>Summary_LCIA!AD$32</f>
        <v>4.1103999999999999E-4</v>
      </c>
      <c r="AN69" s="137">
        <f>Summary_LCIA!AE$32</f>
        <v>8.8612999999999995E-4</v>
      </c>
      <c r="AO69" s="137">
        <f>Summary_LCIA!AF$32</f>
        <v>8.4542000000000005E-4</v>
      </c>
      <c r="AP69" s="137">
        <f>Summary_LCIA!AG$32</f>
        <v>5.1165000000000002E-5</v>
      </c>
      <c r="AQ69" s="137">
        <f>Summary_LCIA!AH$32</f>
        <v>8.7036000000000006E-3</v>
      </c>
      <c r="AR69" s="137">
        <f>Summary_LCIA!AI$32</f>
        <v>9.3154999999999996E-4</v>
      </c>
      <c r="AT69" s="137">
        <f t="shared" si="22"/>
        <v>40.621391000000003</v>
      </c>
      <c r="AU69" s="137">
        <f t="shared" si="14"/>
        <v>592.47104901298496</v>
      </c>
      <c r="AV69" s="137">
        <f t="shared" si="15"/>
        <v>0.62947615199999996</v>
      </c>
      <c r="AW69" s="137">
        <f t="shared" si="16"/>
        <v>40.0930021</v>
      </c>
      <c r="AX69" s="137">
        <f t="shared" si="17"/>
        <v>13.137995500000001</v>
      </c>
      <c r="AY69" s="137">
        <f t="shared" si="18"/>
        <v>2.1415291299999999</v>
      </c>
      <c r="AZ69" s="137">
        <f t="shared" si="19"/>
        <v>5.7095887449999999E-3</v>
      </c>
      <c r="BA69" s="137">
        <f t="shared" si="20"/>
        <v>9.2014981949999992</v>
      </c>
      <c r="BB69" s="137">
        <f t="shared" si="21"/>
        <v>2.7232351000000001</v>
      </c>
      <c r="BC69" s="137">
        <f t="shared" si="3"/>
        <v>1.8627501900000001</v>
      </c>
      <c r="BD69" s="137">
        <f t="shared" si="4"/>
        <v>4.9024209049999996E-3</v>
      </c>
      <c r="BE69" s="137">
        <f t="shared" si="5"/>
        <v>2.7920930199999998</v>
      </c>
      <c r="BF69" s="137">
        <f t="shared" si="6"/>
        <v>-2.6088305349999999E-3</v>
      </c>
      <c r="BG69" s="137">
        <f t="shared" si="7"/>
        <v>5.8438377800000001E-6</v>
      </c>
      <c r="BH69" s="137">
        <f t="shared" si="8"/>
        <v>4.9137776799999998E-2</v>
      </c>
      <c r="BI69" s="137">
        <f t="shared" si="9"/>
        <v>0.10593241084999999</v>
      </c>
      <c r="BJ69" s="137">
        <f t="shared" si="10"/>
        <v>0.10106573390000001</v>
      </c>
      <c r="BK69" s="137">
        <f t="shared" si="11"/>
        <v>6.1165199250000002E-3</v>
      </c>
      <c r="BL69" s="137">
        <f t="shared" si="12"/>
        <v>1.0404718620000002</v>
      </c>
      <c r="BM69" s="137">
        <f t="shared" si="13"/>
        <v>0.11136214475</v>
      </c>
    </row>
    <row r="70" spans="1:65" x14ac:dyDescent="0.25">
      <c r="A70" s="149">
        <v>282</v>
      </c>
      <c r="B70" s="149">
        <v>6</v>
      </c>
      <c r="C70" s="61">
        <v>42.905847999999999</v>
      </c>
      <c r="D70" s="61">
        <v>-88.138977999999994</v>
      </c>
      <c r="E70" s="61" t="s">
        <v>265</v>
      </c>
      <c r="F70" s="149">
        <v>114</v>
      </c>
      <c r="G70" s="61" t="s">
        <v>639</v>
      </c>
      <c r="H70" s="61" t="s">
        <v>640</v>
      </c>
      <c r="I70" s="61">
        <v>42.947552999999999</v>
      </c>
      <c r="J70" s="61">
        <v>-87.896646000000004</v>
      </c>
      <c r="K70" s="61">
        <v>21.17463892</v>
      </c>
      <c r="L70" s="61">
        <v>30.303000000000001</v>
      </c>
      <c r="M70" s="61" t="s">
        <v>617</v>
      </c>
      <c r="N70" s="149">
        <v>5</v>
      </c>
      <c r="O70" s="149">
        <v>6</v>
      </c>
      <c r="P70" s="61" t="s">
        <v>565</v>
      </c>
      <c r="Q70" s="61" t="s">
        <v>564</v>
      </c>
      <c r="R70" s="61">
        <v>41.98028</v>
      </c>
      <c r="S70" s="61">
        <v>-87.908997900000003</v>
      </c>
      <c r="T70" s="61">
        <v>125.387</v>
      </c>
      <c r="U70" s="61" t="s">
        <v>617</v>
      </c>
      <c r="V70" s="61" t="s">
        <v>617</v>
      </c>
      <c r="W70" s="61"/>
      <c r="Y70" s="137">
        <f>Summary_LCIA!H$32</f>
        <v>0.33979999999999999</v>
      </c>
      <c r="Z70" s="137">
        <f>Summary_LCIA!Q$32</f>
        <v>4.9560504329999997</v>
      </c>
      <c r="AA70" s="137">
        <f>Summary_LCIA!R$32</f>
        <v>5.2655999999999996E-3</v>
      </c>
      <c r="AB70" s="137">
        <f>Summary_LCIA!S$32</f>
        <v>0.33538000000000001</v>
      </c>
      <c r="AC70" s="137">
        <f>Summary_LCIA!T$32</f>
        <v>0.1099</v>
      </c>
      <c r="AD70" s="137">
        <f>Summary_LCIA!U$32</f>
        <v>1.7913999999999999E-2</v>
      </c>
      <c r="AE70" s="137">
        <f>Summary_LCIA!V$32</f>
        <v>4.7760999999999999E-5</v>
      </c>
      <c r="AF70" s="137">
        <f>Summary_LCIA!W$32</f>
        <v>7.6970999999999998E-2</v>
      </c>
      <c r="AG70" s="137">
        <f>Summary_LCIA!X$32</f>
        <v>2.2780000000000002E-2</v>
      </c>
      <c r="AH70" s="137">
        <f>Summary_LCIA!Y$32</f>
        <v>1.5582E-2</v>
      </c>
      <c r="AI70" s="137">
        <f>Summary_LCIA!Z$32</f>
        <v>4.1009E-5</v>
      </c>
      <c r="AJ70" s="137">
        <f>Summary_LCIA!AA$32</f>
        <v>2.3355999999999998E-2</v>
      </c>
      <c r="AK70" s="137">
        <f>Summary_LCIA!AB$32</f>
        <v>-2.1823000000000001E-5</v>
      </c>
      <c r="AL70" s="137">
        <f>Summary_LCIA!AC$32</f>
        <v>4.8884000000000003E-8</v>
      </c>
      <c r="AM70" s="137">
        <f>Summary_LCIA!AD$32</f>
        <v>4.1103999999999999E-4</v>
      </c>
      <c r="AN70" s="137">
        <f>Summary_LCIA!AE$32</f>
        <v>8.8612999999999995E-4</v>
      </c>
      <c r="AO70" s="137">
        <f>Summary_LCIA!AF$32</f>
        <v>8.4542000000000005E-4</v>
      </c>
      <c r="AP70" s="137">
        <f>Summary_LCIA!AG$32</f>
        <v>5.1165000000000002E-5</v>
      </c>
      <c r="AQ70" s="137">
        <f>Summary_LCIA!AH$32</f>
        <v>8.7036000000000006E-3</v>
      </c>
      <c r="AR70" s="137">
        <f>Summary_LCIA!AI$32</f>
        <v>9.3154999999999996E-4</v>
      </c>
      <c r="AT70" s="137">
        <f t="shared" si="22"/>
        <v>42.606502599999999</v>
      </c>
      <c r="AU70" s="137">
        <f t="shared" si="14"/>
        <v>621.424295642571</v>
      </c>
      <c r="AV70" s="137">
        <f t="shared" si="15"/>
        <v>0.66023778719999993</v>
      </c>
      <c r="AW70" s="137">
        <f t="shared" si="16"/>
        <v>42.052292059999999</v>
      </c>
      <c r="AX70" s="137">
        <f t="shared" si="17"/>
        <v>13.780031299999999</v>
      </c>
      <c r="AY70" s="137">
        <f t="shared" si="18"/>
        <v>2.246182718</v>
      </c>
      <c r="AZ70" s="137">
        <f t="shared" si="19"/>
        <v>5.9886085069999996E-3</v>
      </c>
      <c r="BA70" s="137">
        <f t="shared" si="20"/>
        <v>9.6511627769999997</v>
      </c>
      <c r="BB70" s="137">
        <f t="shared" si="21"/>
        <v>2.85631586</v>
      </c>
      <c r="BC70" s="137">
        <f t="shared" si="3"/>
        <v>1.9537802340000001</v>
      </c>
      <c r="BD70" s="137">
        <f t="shared" si="4"/>
        <v>5.1419954830000001E-3</v>
      </c>
      <c r="BE70" s="137">
        <f t="shared" si="5"/>
        <v>2.928538772</v>
      </c>
      <c r="BF70" s="137">
        <f t="shared" si="6"/>
        <v>-2.7363205010000002E-3</v>
      </c>
      <c r="BG70" s="137">
        <f t="shared" si="7"/>
        <v>6.1294181080000002E-6</v>
      </c>
      <c r="BH70" s="137">
        <f t="shared" si="8"/>
        <v>5.1539072479999996E-2</v>
      </c>
      <c r="BI70" s="137">
        <f t="shared" si="9"/>
        <v>0.11110918231</v>
      </c>
      <c r="BJ70" s="137">
        <f t="shared" si="10"/>
        <v>0.10600467754000001</v>
      </c>
      <c r="BK70" s="137">
        <f t="shared" si="11"/>
        <v>6.4154258550000003E-3</v>
      </c>
      <c r="BL70" s="137">
        <f t="shared" si="12"/>
        <v>1.0913182932000001</v>
      </c>
      <c r="BM70" s="137">
        <f t="shared" si="13"/>
        <v>0.11680425984999999</v>
      </c>
    </row>
    <row r="71" spans="1:65" x14ac:dyDescent="0.25">
      <c r="A71" s="149">
        <v>23</v>
      </c>
      <c r="B71" s="149">
        <v>6</v>
      </c>
      <c r="C71" s="61">
        <v>43.038966000000002</v>
      </c>
      <c r="D71" s="61">
        <v>-87.928042000000005</v>
      </c>
      <c r="E71" s="61" t="s">
        <v>265</v>
      </c>
      <c r="F71" s="149">
        <v>114</v>
      </c>
      <c r="G71" s="61" t="s">
        <v>639</v>
      </c>
      <c r="H71" s="61" t="s">
        <v>640</v>
      </c>
      <c r="I71" s="61">
        <v>42.947552999999999</v>
      </c>
      <c r="J71" s="61">
        <v>-87.896646000000004</v>
      </c>
      <c r="K71" s="61">
        <v>15.85670011</v>
      </c>
      <c r="L71" s="61">
        <v>12.099</v>
      </c>
      <c r="M71" s="61" t="s">
        <v>617</v>
      </c>
      <c r="N71" s="149">
        <v>5</v>
      </c>
      <c r="O71" s="149">
        <v>6</v>
      </c>
      <c r="P71" s="61" t="s">
        <v>565</v>
      </c>
      <c r="Q71" s="61" t="s">
        <v>564</v>
      </c>
      <c r="R71" s="61">
        <v>41.98028</v>
      </c>
      <c r="S71" s="61">
        <v>-87.908997900000003</v>
      </c>
      <c r="T71" s="61">
        <v>126.72499999999999</v>
      </c>
      <c r="U71" s="61" t="s">
        <v>617</v>
      </c>
      <c r="V71" s="61" t="s">
        <v>617</v>
      </c>
      <c r="W71" s="61"/>
      <c r="Y71" s="137">
        <f>Summary_LCIA!H$32</f>
        <v>0.33979999999999999</v>
      </c>
      <c r="Z71" s="137">
        <f>Summary_LCIA!Q$32</f>
        <v>4.9560504329999997</v>
      </c>
      <c r="AA71" s="137">
        <f>Summary_LCIA!R$32</f>
        <v>5.2655999999999996E-3</v>
      </c>
      <c r="AB71" s="137">
        <f>Summary_LCIA!S$32</f>
        <v>0.33538000000000001</v>
      </c>
      <c r="AC71" s="137">
        <f>Summary_LCIA!T$32</f>
        <v>0.1099</v>
      </c>
      <c r="AD71" s="137">
        <f>Summary_LCIA!U$32</f>
        <v>1.7913999999999999E-2</v>
      </c>
      <c r="AE71" s="137">
        <f>Summary_LCIA!V$32</f>
        <v>4.7760999999999999E-5</v>
      </c>
      <c r="AF71" s="137">
        <f>Summary_LCIA!W$32</f>
        <v>7.6970999999999998E-2</v>
      </c>
      <c r="AG71" s="137">
        <f>Summary_LCIA!X$32</f>
        <v>2.2780000000000002E-2</v>
      </c>
      <c r="AH71" s="137">
        <f>Summary_LCIA!Y$32</f>
        <v>1.5582E-2</v>
      </c>
      <c r="AI71" s="137">
        <f>Summary_LCIA!Z$32</f>
        <v>4.1009E-5</v>
      </c>
      <c r="AJ71" s="137">
        <f>Summary_LCIA!AA$32</f>
        <v>2.3355999999999998E-2</v>
      </c>
      <c r="AK71" s="137">
        <f>Summary_LCIA!AB$32</f>
        <v>-2.1823000000000001E-5</v>
      </c>
      <c r="AL71" s="137">
        <f>Summary_LCIA!AC$32</f>
        <v>4.8884000000000003E-8</v>
      </c>
      <c r="AM71" s="137">
        <f>Summary_LCIA!AD$32</f>
        <v>4.1103999999999999E-4</v>
      </c>
      <c r="AN71" s="137">
        <f>Summary_LCIA!AE$32</f>
        <v>8.8612999999999995E-4</v>
      </c>
      <c r="AO71" s="137">
        <f>Summary_LCIA!AF$32</f>
        <v>8.4542000000000005E-4</v>
      </c>
      <c r="AP71" s="137">
        <f>Summary_LCIA!AG$32</f>
        <v>5.1165000000000002E-5</v>
      </c>
      <c r="AQ71" s="137">
        <f>Summary_LCIA!AH$32</f>
        <v>8.7036000000000006E-3</v>
      </c>
      <c r="AR71" s="137">
        <f>Summary_LCIA!AI$32</f>
        <v>9.3154999999999996E-4</v>
      </c>
      <c r="AT71" s="137">
        <f t="shared" si="22"/>
        <v>43.061154999999999</v>
      </c>
      <c r="AU71" s="137">
        <f t="shared" si="14"/>
        <v>628.05549112192489</v>
      </c>
      <c r="AV71" s="137">
        <f t="shared" si="15"/>
        <v>0.66728315999999988</v>
      </c>
      <c r="AW71" s="137">
        <f t="shared" si="16"/>
        <v>42.501030499999999</v>
      </c>
      <c r="AX71" s="137">
        <f t="shared" si="17"/>
        <v>13.927077499999999</v>
      </c>
      <c r="AY71" s="137">
        <f t="shared" si="18"/>
        <v>2.2701516499999999</v>
      </c>
      <c r="AZ71" s="137">
        <f t="shared" si="19"/>
        <v>6.0525127249999996E-3</v>
      </c>
      <c r="BA71" s="137">
        <f t="shared" si="20"/>
        <v>9.7541499749999989</v>
      </c>
      <c r="BB71" s="137">
        <f t="shared" si="21"/>
        <v>2.8867955000000003</v>
      </c>
      <c r="BC71" s="137">
        <f t="shared" si="3"/>
        <v>1.97462895</v>
      </c>
      <c r="BD71" s="137">
        <f t="shared" si="4"/>
        <v>5.1968655249999994E-3</v>
      </c>
      <c r="BE71" s="137">
        <f t="shared" si="5"/>
        <v>2.9597890999999996</v>
      </c>
      <c r="BF71" s="137">
        <f t="shared" si="6"/>
        <v>-2.765519675E-3</v>
      </c>
      <c r="BG71" s="137">
        <f t="shared" si="7"/>
        <v>6.1948249000000005E-6</v>
      </c>
      <c r="BH71" s="137">
        <f t="shared" si="8"/>
        <v>5.2089043999999994E-2</v>
      </c>
      <c r="BI71" s="137">
        <f t="shared" si="9"/>
        <v>0.11229482424999999</v>
      </c>
      <c r="BJ71" s="137">
        <f t="shared" si="10"/>
        <v>0.1071358495</v>
      </c>
      <c r="BK71" s="137">
        <f t="shared" si="11"/>
        <v>6.4838846250000002E-3</v>
      </c>
      <c r="BL71" s="137">
        <f t="shared" si="12"/>
        <v>1.10296371</v>
      </c>
      <c r="BM71" s="137">
        <f t="shared" si="13"/>
        <v>0.11805067374999999</v>
      </c>
    </row>
    <row r="72" spans="1:65" x14ac:dyDescent="0.25">
      <c r="A72" s="149">
        <v>291</v>
      </c>
      <c r="B72" s="149">
        <v>43</v>
      </c>
      <c r="C72" s="61">
        <v>39.958359000000002</v>
      </c>
      <c r="D72" s="61">
        <v>-75.195392999999996</v>
      </c>
      <c r="E72" s="61" t="s">
        <v>265</v>
      </c>
      <c r="F72" s="149">
        <v>80</v>
      </c>
      <c r="G72" s="61" t="s">
        <v>284</v>
      </c>
      <c r="H72" s="61" t="s">
        <v>715</v>
      </c>
      <c r="I72" s="61">
        <v>39.872929999999997</v>
      </c>
      <c r="J72" s="61">
        <v>-75.243667000000002</v>
      </c>
      <c r="K72" s="61">
        <v>14.292168419999999</v>
      </c>
      <c r="L72" s="61">
        <v>15.794</v>
      </c>
      <c r="M72" s="61" t="s">
        <v>617</v>
      </c>
      <c r="N72" s="149">
        <v>42</v>
      </c>
      <c r="O72" s="149">
        <v>43</v>
      </c>
      <c r="P72" s="61" t="s">
        <v>565</v>
      </c>
      <c r="Q72" s="61" t="s">
        <v>555</v>
      </c>
      <c r="R72" s="61">
        <v>40.6895314</v>
      </c>
      <c r="S72" s="61">
        <v>-74.174462399999996</v>
      </c>
      <c r="T72" s="61">
        <v>136.09700000000001</v>
      </c>
      <c r="U72" s="61" t="s">
        <v>617</v>
      </c>
      <c r="V72" s="61" t="s">
        <v>617</v>
      </c>
      <c r="W72" s="61"/>
      <c r="Y72" s="137">
        <f>Summary_LCIA!H$32</f>
        <v>0.33979999999999999</v>
      </c>
      <c r="Z72" s="137">
        <f>Summary_LCIA!Q$32</f>
        <v>4.9560504329999997</v>
      </c>
      <c r="AA72" s="137">
        <f>Summary_LCIA!R$32</f>
        <v>5.2655999999999996E-3</v>
      </c>
      <c r="AB72" s="137">
        <f>Summary_LCIA!S$32</f>
        <v>0.33538000000000001</v>
      </c>
      <c r="AC72" s="137">
        <f>Summary_LCIA!T$32</f>
        <v>0.1099</v>
      </c>
      <c r="AD72" s="137">
        <f>Summary_LCIA!U$32</f>
        <v>1.7913999999999999E-2</v>
      </c>
      <c r="AE72" s="137">
        <f>Summary_LCIA!V$32</f>
        <v>4.7760999999999999E-5</v>
      </c>
      <c r="AF72" s="137">
        <f>Summary_LCIA!W$32</f>
        <v>7.6970999999999998E-2</v>
      </c>
      <c r="AG72" s="137">
        <f>Summary_LCIA!X$32</f>
        <v>2.2780000000000002E-2</v>
      </c>
      <c r="AH72" s="137">
        <f>Summary_LCIA!Y$32</f>
        <v>1.5582E-2</v>
      </c>
      <c r="AI72" s="137">
        <f>Summary_LCIA!Z$32</f>
        <v>4.1009E-5</v>
      </c>
      <c r="AJ72" s="137">
        <f>Summary_LCIA!AA$32</f>
        <v>2.3355999999999998E-2</v>
      </c>
      <c r="AK72" s="137">
        <f>Summary_LCIA!AB$32</f>
        <v>-2.1823000000000001E-5</v>
      </c>
      <c r="AL72" s="137">
        <f>Summary_LCIA!AC$32</f>
        <v>4.8884000000000003E-8</v>
      </c>
      <c r="AM72" s="137">
        <f>Summary_LCIA!AD$32</f>
        <v>4.1103999999999999E-4</v>
      </c>
      <c r="AN72" s="137">
        <f>Summary_LCIA!AE$32</f>
        <v>8.8612999999999995E-4</v>
      </c>
      <c r="AO72" s="137">
        <f>Summary_LCIA!AF$32</f>
        <v>8.4542000000000005E-4</v>
      </c>
      <c r="AP72" s="137">
        <f>Summary_LCIA!AG$32</f>
        <v>5.1165000000000002E-5</v>
      </c>
      <c r="AQ72" s="137">
        <f>Summary_LCIA!AH$32</f>
        <v>8.7036000000000006E-3</v>
      </c>
      <c r="AR72" s="137">
        <f>Summary_LCIA!AI$32</f>
        <v>9.3154999999999996E-4</v>
      </c>
      <c r="AT72" s="137">
        <f t="shared" si="22"/>
        <v>46.245760600000004</v>
      </c>
      <c r="AU72" s="137">
        <f t="shared" si="14"/>
        <v>674.50359578000098</v>
      </c>
      <c r="AV72" s="137">
        <f t="shared" si="15"/>
        <v>0.71663236320000001</v>
      </c>
      <c r="AW72" s="137">
        <f t="shared" si="16"/>
        <v>45.644211860000006</v>
      </c>
      <c r="AX72" s="137">
        <f t="shared" si="17"/>
        <v>14.9570603</v>
      </c>
      <c r="AY72" s="137">
        <f t="shared" si="18"/>
        <v>2.4380416579999999</v>
      </c>
      <c r="AZ72" s="137">
        <f t="shared" si="19"/>
        <v>6.5001288170000006E-3</v>
      </c>
      <c r="BA72" s="137">
        <f t="shared" si="20"/>
        <v>10.475522187000001</v>
      </c>
      <c r="BB72" s="137">
        <f t="shared" si="21"/>
        <v>3.1002896600000005</v>
      </c>
      <c r="BC72" s="137">
        <f t="shared" si="3"/>
        <v>2.1206634540000002</v>
      </c>
      <c r="BD72" s="137">
        <f t="shared" si="4"/>
        <v>5.5812018730000005E-3</v>
      </c>
      <c r="BE72" s="137">
        <f t="shared" si="5"/>
        <v>3.1786815320000001</v>
      </c>
      <c r="BF72" s="137">
        <f t="shared" si="6"/>
        <v>-2.9700448310000004E-3</v>
      </c>
      <c r="BG72" s="137">
        <f t="shared" si="7"/>
        <v>6.6529657480000012E-6</v>
      </c>
      <c r="BH72" s="137">
        <f t="shared" si="8"/>
        <v>5.5941310880000004E-2</v>
      </c>
      <c r="BI72" s="137">
        <f t="shared" si="9"/>
        <v>0.12059963461000001</v>
      </c>
      <c r="BJ72" s="137">
        <f t="shared" si="10"/>
        <v>0.11505912574000002</v>
      </c>
      <c r="BK72" s="137">
        <f t="shared" si="11"/>
        <v>6.9634030050000004E-3</v>
      </c>
      <c r="BL72" s="137">
        <f t="shared" si="12"/>
        <v>1.1845338492000002</v>
      </c>
      <c r="BM72" s="137">
        <f t="shared" si="13"/>
        <v>0.12678116035000001</v>
      </c>
    </row>
    <row r="73" spans="1:65" x14ac:dyDescent="0.25">
      <c r="A73" s="149">
        <v>173</v>
      </c>
      <c r="B73" s="149">
        <v>16</v>
      </c>
      <c r="C73" s="61">
        <v>39.481653999999999</v>
      </c>
      <c r="D73" s="61">
        <v>-106.038352</v>
      </c>
      <c r="E73" s="61" t="s">
        <v>265</v>
      </c>
      <c r="F73" s="149">
        <v>16</v>
      </c>
      <c r="G73" s="61" t="s">
        <v>565</v>
      </c>
      <c r="H73" s="61" t="s">
        <v>645</v>
      </c>
      <c r="I73" s="61">
        <v>39.856096000000001</v>
      </c>
      <c r="J73" s="61">
        <v>-104.673738</v>
      </c>
      <c r="K73" s="61">
        <v>128.04936520000001</v>
      </c>
      <c r="L73" s="61">
        <v>168.03800000000001</v>
      </c>
      <c r="M73" s="61" t="s">
        <v>617</v>
      </c>
      <c r="N73" s="149">
        <v>15</v>
      </c>
      <c r="O73" s="149">
        <v>16</v>
      </c>
      <c r="P73" s="61" t="s">
        <v>565</v>
      </c>
      <c r="Q73" s="61" t="s">
        <v>556</v>
      </c>
      <c r="R73" s="61">
        <v>39.856096299999997</v>
      </c>
      <c r="S73" s="61">
        <v>-104.6737376</v>
      </c>
      <c r="T73" s="61">
        <v>168.03800000000001</v>
      </c>
      <c r="U73" s="61" t="s">
        <v>617</v>
      </c>
      <c r="V73" s="61" t="s">
        <v>617</v>
      </c>
      <c r="W73" s="61"/>
      <c r="Y73" s="137">
        <f>Summary_LCIA!H$32</f>
        <v>0.33979999999999999</v>
      </c>
      <c r="Z73" s="137">
        <f>Summary_LCIA!Q$32</f>
        <v>4.9560504329999997</v>
      </c>
      <c r="AA73" s="137">
        <f>Summary_LCIA!R$32</f>
        <v>5.2655999999999996E-3</v>
      </c>
      <c r="AB73" s="137">
        <f>Summary_LCIA!S$32</f>
        <v>0.33538000000000001</v>
      </c>
      <c r="AC73" s="137">
        <f>Summary_LCIA!T$32</f>
        <v>0.1099</v>
      </c>
      <c r="AD73" s="137">
        <f>Summary_LCIA!U$32</f>
        <v>1.7913999999999999E-2</v>
      </c>
      <c r="AE73" s="137">
        <f>Summary_LCIA!V$32</f>
        <v>4.7760999999999999E-5</v>
      </c>
      <c r="AF73" s="137">
        <f>Summary_LCIA!W$32</f>
        <v>7.6970999999999998E-2</v>
      </c>
      <c r="AG73" s="137">
        <f>Summary_LCIA!X$32</f>
        <v>2.2780000000000002E-2</v>
      </c>
      <c r="AH73" s="137">
        <f>Summary_LCIA!Y$32</f>
        <v>1.5582E-2</v>
      </c>
      <c r="AI73" s="137">
        <f>Summary_LCIA!Z$32</f>
        <v>4.1009E-5</v>
      </c>
      <c r="AJ73" s="137">
        <f>Summary_LCIA!AA$32</f>
        <v>2.3355999999999998E-2</v>
      </c>
      <c r="AK73" s="137">
        <f>Summary_LCIA!AB$32</f>
        <v>-2.1823000000000001E-5</v>
      </c>
      <c r="AL73" s="137">
        <f>Summary_LCIA!AC$32</f>
        <v>4.8884000000000003E-8</v>
      </c>
      <c r="AM73" s="137">
        <f>Summary_LCIA!AD$32</f>
        <v>4.1103999999999999E-4</v>
      </c>
      <c r="AN73" s="137">
        <f>Summary_LCIA!AE$32</f>
        <v>8.8612999999999995E-4</v>
      </c>
      <c r="AO73" s="137">
        <f>Summary_LCIA!AF$32</f>
        <v>8.4542000000000005E-4</v>
      </c>
      <c r="AP73" s="137">
        <f>Summary_LCIA!AG$32</f>
        <v>5.1165000000000002E-5</v>
      </c>
      <c r="AQ73" s="137">
        <f>Summary_LCIA!AH$32</f>
        <v>8.7036000000000006E-3</v>
      </c>
      <c r="AR73" s="137">
        <f>Summary_LCIA!AI$32</f>
        <v>9.3154999999999996E-4</v>
      </c>
      <c r="AT73" s="137">
        <f t="shared" si="22"/>
        <v>57.099312400000002</v>
      </c>
      <c r="AU73" s="137">
        <f t="shared" si="14"/>
        <v>832.80480266045402</v>
      </c>
      <c r="AV73" s="137">
        <f t="shared" si="15"/>
        <v>0.88482089279999998</v>
      </c>
      <c r="AW73" s="137">
        <f t="shared" si="16"/>
        <v>56.356584440000006</v>
      </c>
      <c r="AX73" s="137">
        <f t="shared" si="17"/>
        <v>18.4673762</v>
      </c>
      <c r="AY73" s="137">
        <f t="shared" si="18"/>
        <v>3.010232732</v>
      </c>
      <c r="AZ73" s="137">
        <f t="shared" si="19"/>
        <v>8.025662918E-3</v>
      </c>
      <c r="BA73" s="137">
        <f t="shared" si="20"/>
        <v>12.934052898000001</v>
      </c>
      <c r="BB73" s="137">
        <f t="shared" si="21"/>
        <v>3.8279056400000004</v>
      </c>
      <c r="BC73" s="137">
        <f t="shared" si="3"/>
        <v>2.6183681160000001</v>
      </c>
      <c r="BD73" s="137">
        <f t="shared" si="4"/>
        <v>6.8910703420000004E-3</v>
      </c>
      <c r="BE73" s="137">
        <f t="shared" si="5"/>
        <v>3.924695528</v>
      </c>
      <c r="BF73" s="137">
        <f t="shared" si="6"/>
        <v>-3.6670932740000004E-3</v>
      </c>
      <c r="BG73" s="137">
        <f t="shared" si="7"/>
        <v>8.2143695920000012E-6</v>
      </c>
      <c r="BH73" s="137">
        <f t="shared" si="8"/>
        <v>6.907033952000001E-2</v>
      </c>
      <c r="BI73" s="137">
        <f t="shared" si="9"/>
        <v>0.14890351294000001</v>
      </c>
      <c r="BJ73" s="137">
        <f t="shared" si="10"/>
        <v>0.14206268596000002</v>
      </c>
      <c r="BK73" s="137">
        <f t="shared" si="11"/>
        <v>8.5976642700000012E-3</v>
      </c>
      <c r="BL73" s="137">
        <f t="shared" si="12"/>
        <v>1.4625355368000001</v>
      </c>
      <c r="BM73" s="137">
        <f t="shared" si="13"/>
        <v>0.15653579889999999</v>
      </c>
    </row>
    <row r="74" spans="1:65" x14ac:dyDescent="0.25">
      <c r="A74" s="149">
        <v>174</v>
      </c>
      <c r="B74" s="149">
        <v>16</v>
      </c>
      <c r="C74" s="61">
        <v>39.481653999999999</v>
      </c>
      <c r="D74" s="61">
        <v>-106.038352</v>
      </c>
      <c r="E74" s="61" t="s">
        <v>265</v>
      </c>
      <c r="F74" s="149">
        <v>16</v>
      </c>
      <c r="G74" s="61" t="s">
        <v>565</v>
      </c>
      <c r="H74" s="61" t="s">
        <v>645</v>
      </c>
      <c r="I74" s="61">
        <v>39.856096000000001</v>
      </c>
      <c r="J74" s="61">
        <v>-104.673738</v>
      </c>
      <c r="K74" s="61">
        <v>128.04936520000001</v>
      </c>
      <c r="L74" s="61">
        <v>168.03800000000001</v>
      </c>
      <c r="M74" s="61" t="s">
        <v>617</v>
      </c>
      <c r="N74" s="149">
        <v>15</v>
      </c>
      <c r="O74" s="149">
        <v>16</v>
      </c>
      <c r="P74" s="61" t="s">
        <v>565</v>
      </c>
      <c r="Q74" s="61" t="s">
        <v>556</v>
      </c>
      <c r="R74" s="61">
        <v>39.856096299999997</v>
      </c>
      <c r="S74" s="61">
        <v>-104.6737376</v>
      </c>
      <c r="T74" s="61">
        <v>168.03800000000001</v>
      </c>
      <c r="U74" s="61" t="s">
        <v>617</v>
      </c>
      <c r="V74" s="61" t="s">
        <v>617</v>
      </c>
      <c r="W74" s="61"/>
      <c r="Y74" s="137">
        <f>Summary_LCIA!H$32</f>
        <v>0.33979999999999999</v>
      </c>
      <c r="Z74" s="137">
        <f>Summary_LCIA!Q$32</f>
        <v>4.9560504329999997</v>
      </c>
      <c r="AA74" s="137">
        <f>Summary_LCIA!R$32</f>
        <v>5.2655999999999996E-3</v>
      </c>
      <c r="AB74" s="137">
        <f>Summary_LCIA!S$32</f>
        <v>0.33538000000000001</v>
      </c>
      <c r="AC74" s="137">
        <f>Summary_LCIA!T$32</f>
        <v>0.1099</v>
      </c>
      <c r="AD74" s="137">
        <f>Summary_LCIA!U$32</f>
        <v>1.7913999999999999E-2</v>
      </c>
      <c r="AE74" s="137">
        <f>Summary_LCIA!V$32</f>
        <v>4.7760999999999999E-5</v>
      </c>
      <c r="AF74" s="137">
        <f>Summary_LCIA!W$32</f>
        <v>7.6970999999999998E-2</v>
      </c>
      <c r="AG74" s="137">
        <f>Summary_LCIA!X$32</f>
        <v>2.2780000000000002E-2</v>
      </c>
      <c r="AH74" s="137">
        <f>Summary_LCIA!Y$32</f>
        <v>1.5582E-2</v>
      </c>
      <c r="AI74" s="137">
        <f>Summary_LCIA!Z$32</f>
        <v>4.1009E-5</v>
      </c>
      <c r="AJ74" s="137">
        <f>Summary_LCIA!AA$32</f>
        <v>2.3355999999999998E-2</v>
      </c>
      <c r="AK74" s="137">
        <f>Summary_LCIA!AB$32</f>
        <v>-2.1823000000000001E-5</v>
      </c>
      <c r="AL74" s="137">
        <f>Summary_LCIA!AC$32</f>
        <v>4.8884000000000003E-8</v>
      </c>
      <c r="AM74" s="137">
        <f>Summary_LCIA!AD$32</f>
        <v>4.1103999999999999E-4</v>
      </c>
      <c r="AN74" s="137">
        <f>Summary_LCIA!AE$32</f>
        <v>8.8612999999999995E-4</v>
      </c>
      <c r="AO74" s="137">
        <f>Summary_LCIA!AF$32</f>
        <v>8.4542000000000005E-4</v>
      </c>
      <c r="AP74" s="137">
        <f>Summary_LCIA!AG$32</f>
        <v>5.1165000000000002E-5</v>
      </c>
      <c r="AQ74" s="137">
        <f>Summary_LCIA!AH$32</f>
        <v>8.7036000000000006E-3</v>
      </c>
      <c r="AR74" s="137">
        <f>Summary_LCIA!AI$32</f>
        <v>9.3154999999999996E-4</v>
      </c>
      <c r="AT74" s="137">
        <f t="shared" si="22"/>
        <v>57.099312400000002</v>
      </c>
      <c r="AU74" s="137">
        <f t="shared" si="14"/>
        <v>832.80480266045402</v>
      </c>
      <c r="AV74" s="137">
        <f t="shared" si="15"/>
        <v>0.88482089279999998</v>
      </c>
      <c r="AW74" s="137">
        <f t="shared" si="16"/>
        <v>56.356584440000006</v>
      </c>
      <c r="AX74" s="137">
        <f t="shared" si="17"/>
        <v>18.4673762</v>
      </c>
      <c r="AY74" s="137">
        <f t="shared" si="18"/>
        <v>3.010232732</v>
      </c>
      <c r="AZ74" s="137">
        <f t="shared" si="19"/>
        <v>8.025662918E-3</v>
      </c>
      <c r="BA74" s="137">
        <f t="shared" si="20"/>
        <v>12.934052898000001</v>
      </c>
      <c r="BB74" s="137">
        <f t="shared" si="21"/>
        <v>3.8279056400000004</v>
      </c>
      <c r="BC74" s="137">
        <f t="shared" si="3"/>
        <v>2.6183681160000001</v>
      </c>
      <c r="BD74" s="137">
        <f t="shared" si="4"/>
        <v>6.8910703420000004E-3</v>
      </c>
      <c r="BE74" s="137">
        <f t="shared" si="5"/>
        <v>3.924695528</v>
      </c>
      <c r="BF74" s="137">
        <f t="shared" si="6"/>
        <v>-3.6670932740000004E-3</v>
      </c>
      <c r="BG74" s="137">
        <f t="shared" si="7"/>
        <v>8.2143695920000012E-6</v>
      </c>
      <c r="BH74" s="137">
        <f t="shared" si="8"/>
        <v>6.907033952000001E-2</v>
      </c>
      <c r="BI74" s="137">
        <f t="shared" si="9"/>
        <v>0.14890351294000001</v>
      </c>
      <c r="BJ74" s="137">
        <f t="shared" si="10"/>
        <v>0.14206268596000002</v>
      </c>
      <c r="BK74" s="137">
        <f t="shared" si="11"/>
        <v>8.5976642700000012E-3</v>
      </c>
      <c r="BL74" s="137">
        <f t="shared" si="12"/>
        <v>1.4625355368000001</v>
      </c>
      <c r="BM74" s="137">
        <f t="shared" si="13"/>
        <v>0.15653579889999999</v>
      </c>
    </row>
    <row r="75" spans="1:65" x14ac:dyDescent="0.25">
      <c r="A75" s="149">
        <v>379</v>
      </c>
      <c r="B75" s="149">
        <v>43</v>
      </c>
      <c r="C75" s="61">
        <v>39.744655000000002</v>
      </c>
      <c r="D75" s="61">
        <v>-75.548390999999995</v>
      </c>
      <c r="E75" s="61" t="s">
        <v>265</v>
      </c>
      <c r="F75" s="149">
        <v>80</v>
      </c>
      <c r="G75" s="61" t="s">
        <v>284</v>
      </c>
      <c r="H75" s="61" t="s">
        <v>715</v>
      </c>
      <c r="I75" s="61">
        <v>39.872929999999997</v>
      </c>
      <c r="J75" s="61">
        <v>-75.243667000000002</v>
      </c>
      <c r="K75" s="61">
        <v>34.755050079999997</v>
      </c>
      <c r="L75" s="61">
        <v>33.222000000000001</v>
      </c>
      <c r="M75" s="61" t="s">
        <v>617</v>
      </c>
      <c r="N75" s="149">
        <v>42</v>
      </c>
      <c r="O75" s="149">
        <v>43</v>
      </c>
      <c r="P75" s="61" t="s">
        <v>565</v>
      </c>
      <c r="Q75" s="61" t="s">
        <v>555</v>
      </c>
      <c r="R75" s="61">
        <v>40.6895314</v>
      </c>
      <c r="S75" s="61">
        <v>-74.174462399999996</v>
      </c>
      <c r="T75" s="61">
        <v>184.57</v>
      </c>
      <c r="U75" s="61" t="s">
        <v>617</v>
      </c>
      <c r="V75" s="61" t="s">
        <v>617</v>
      </c>
      <c r="W75" s="61"/>
      <c r="Y75" s="137">
        <f>Summary_LCIA!H$32</f>
        <v>0.33979999999999999</v>
      </c>
      <c r="Z75" s="137">
        <f>Summary_LCIA!Q$32</f>
        <v>4.9560504329999997</v>
      </c>
      <c r="AA75" s="137">
        <f>Summary_LCIA!R$32</f>
        <v>5.2655999999999996E-3</v>
      </c>
      <c r="AB75" s="137">
        <f>Summary_LCIA!S$32</f>
        <v>0.33538000000000001</v>
      </c>
      <c r="AC75" s="137">
        <f>Summary_LCIA!T$32</f>
        <v>0.1099</v>
      </c>
      <c r="AD75" s="137">
        <f>Summary_LCIA!U$32</f>
        <v>1.7913999999999999E-2</v>
      </c>
      <c r="AE75" s="137">
        <f>Summary_LCIA!V$32</f>
        <v>4.7760999999999999E-5</v>
      </c>
      <c r="AF75" s="137">
        <f>Summary_LCIA!W$32</f>
        <v>7.6970999999999998E-2</v>
      </c>
      <c r="AG75" s="137">
        <f>Summary_LCIA!X$32</f>
        <v>2.2780000000000002E-2</v>
      </c>
      <c r="AH75" s="137">
        <f>Summary_LCIA!Y$32</f>
        <v>1.5582E-2</v>
      </c>
      <c r="AI75" s="137">
        <f>Summary_LCIA!Z$32</f>
        <v>4.1009E-5</v>
      </c>
      <c r="AJ75" s="137">
        <f>Summary_LCIA!AA$32</f>
        <v>2.3355999999999998E-2</v>
      </c>
      <c r="AK75" s="137">
        <f>Summary_LCIA!AB$32</f>
        <v>-2.1823000000000001E-5</v>
      </c>
      <c r="AL75" s="137">
        <f>Summary_LCIA!AC$32</f>
        <v>4.8884000000000003E-8</v>
      </c>
      <c r="AM75" s="137">
        <f>Summary_LCIA!AD$32</f>
        <v>4.1103999999999999E-4</v>
      </c>
      <c r="AN75" s="137">
        <f>Summary_LCIA!AE$32</f>
        <v>8.8612999999999995E-4</v>
      </c>
      <c r="AO75" s="137">
        <f>Summary_LCIA!AF$32</f>
        <v>8.4542000000000005E-4</v>
      </c>
      <c r="AP75" s="137">
        <f>Summary_LCIA!AG$32</f>
        <v>5.1165000000000002E-5</v>
      </c>
      <c r="AQ75" s="137">
        <f>Summary_LCIA!AH$32</f>
        <v>8.7036000000000006E-3</v>
      </c>
      <c r="AR75" s="137">
        <f>Summary_LCIA!AI$32</f>
        <v>9.3154999999999996E-4</v>
      </c>
      <c r="AT75" s="137">
        <f t="shared" si="22"/>
        <v>62.716885999999995</v>
      </c>
      <c r="AU75" s="137">
        <f t="shared" si="14"/>
        <v>914.73822841880997</v>
      </c>
      <c r="AV75" s="137">
        <f t="shared" si="15"/>
        <v>0.97187179199999985</v>
      </c>
      <c r="AW75" s="137">
        <f t="shared" si="16"/>
        <v>61.901086599999999</v>
      </c>
      <c r="AX75" s="137">
        <f t="shared" si="17"/>
        <v>20.284243</v>
      </c>
      <c r="AY75" s="137">
        <f t="shared" si="18"/>
        <v>3.3063869799999996</v>
      </c>
      <c r="AZ75" s="137">
        <f t="shared" si="19"/>
        <v>8.8152477699999995E-3</v>
      </c>
      <c r="BA75" s="137">
        <f t="shared" si="20"/>
        <v>14.206537469999999</v>
      </c>
      <c r="BB75" s="137">
        <f t="shared" si="21"/>
        <v>4.2045045999999999</v>
      </c>
      <c r="BC75" s="137">
        <f t="shared" si="3"/>
        <v>2.8759697399999999</v>
      </c>
      <c r="BD75" s="137">
        <f t="shared" si="4"/>
        <v>7.5690311299999999E-3</v>
      </c>
      <c r="BE75" s="137">
        <f t="shared" si="5"/>
        <v>4.3108169199999997</v>
      </c>
      <c r="BF75" s="137">
        <f t="shared" si="6"/>
        <v>-4.0278711100000001E-3</v>
      </c>
      <c r="BG75" s="137">
        <f t="shared" si="7"/>
        <v>9.0225198800000006E-6</v>
      </c>
      <c r="BH75" s="137">
        <f t="shared" si="8"/>
        <v>7.5865652800000002E-2</v>
      </c>
      <c r="BI75" s="137">
        <f t="shared" si="9"/>
        <v>0.16355301409999998</v>
      </c>
      <c r="BJ75" s="137">
        <f t="shared" si="10"/>
        <v>0.15603916940000001</v>
      </c>
      <c r="BK75" s="137">
        <f t="shared" si="11"/>
        <v>9.4435240500000007E-3</v>
      </c>
      <c r="BL75" s="137">
        <f t="shared" si="12"/>
        <v>1.606423452</v>
      </c>
      <c r="BM75" s="137">
        <f t="shared" si="13"/>
        <v>0.17193618349999998</v>
      </c>
    </row>
    <row r="76" spans="1:65" x14ac:dyDescent="0.25">
      <c r="A76" s="149">
        <v>239</v>
      </c>
      <c r="B76" s="149">
        <v>6</v>
      </c>
      <c r="C76" s="61">
        <v>43.739162</v>
      </c>
      <c r="D76" s="61">
        <v>-87.781754000000006</v>
      </c>
      <c r="E76" s="61" t="s">
        <v>265</v>
      </c>
      <c r="F76" s="149">
        <v>114</v>
      </c>
      <c r="G76" s="61" t="s">
        <v>639</v>
      </c>
      <c r="H76" s="61" t="s">
        <v>640</v>
      </c>
      <c r="I76" s="61">
        <v>42.947552999999999</v>
      </c>
      <c r="J76" s="61">
        <v>-87.896646000000004</v>
      </c>
      <c r="K76" s="61">
        <v>136.40500399999999</v>
      </c>
      <c r="L76" s="61">
        <v>98.278000000000006</v>
      </c>
      <c r="M76" s="61" t="s">
        <v>617</v>
      </c>
      <c r="N76" s="149">
        <v>5</v>
      </c>
      <c r="O76" s="149">
        <v>6</v>
      </c>
      <c r="P76" s="61" t="s">
        <v>565</v>
      </c>
      <c r="Q76" s="61" t="s">
        <v>564</v>
      </c>
      <c r="R76" s="61">
        <v>41.98028</v>
      </c>
      <c r="S76" s="61">
        <v>-87.908997900000003</v>
      </c>
      <c r="T76" s="61">
        <v>212.905</v>
      </c>
      <c r="U76" s="61" t="s">
        <v>617</v>
      </c>
      <c r="V76" s="61" t="s">
        <v>617</v>
      </c>
      <c r="W76" s="61"/>
      <c r="Y76" s="137">
        <f>Summary_LCIA!H$32</f>
        <v>0.33979999999999999</v>
      </c>
      <c r="Z76" s="137">
        <f>Summary_LCIA!Q$32</f>
        <v>4.9560504329999997</v>
      </c>
      <c r="AA76" s="137">
        <f>Summary_LCIA!R$32</f>
        <v>5.2655999999999996E-3</v>
      </c>
      <c r="AB76" s="137">
        <f>Summary_LCIA!S$32</f>
        <v>0.33538000000000001</v>
      </c>
      <c r="AC76" s="137">
        <f>Summary_LCIA!T$32</f>
        <v>0.1099</v>
      </c>
      <c r="AD76" s="137">
        <f>Summary_LCIA!U$32</f>
        <v>1.7913999999999999E-2</v>
      </c>
      <c r="AE76" s="137">
        <f>Summary_LCIA!V$32</f>
        <v>4.7760999999999999E-5</v>
      </c>
      <c r="AF76" s="137">
        <f>Summary_LCIA!W$32</f>
        <v>7.6970999999999998E-2</v>
      </c>
      <c r="AG76" s="137">
        <f>Summary_LCIA!X$32</f>
        <v>2.2780000000000002E-2</v>
      </c>
      <c r="AH76" s="137">
        <f>Summary_LCIA!Y$32</f>
        <v>1.5582E-2</v>
      </c>
      <c r="AI76" s="137">
        <f>Summary_LCIA!Z$32</f>
        <v>4.1009E-5</v>
      </c>
      <c r="AJ76" s="137">
        <f>Summary_LCIA!AA$32</f>
        <v>2.3355999999999998E-2</v>
      </c>
      <c r="AK76" s="137">
        <f>Summary_LCIA!AB$32</f>
        <v>-2.1823000000000001E-5</v>
      </c>
      <c r="AL76" s="137">
        <f>Summary_LCIA!AC$32</f>
        <v>4.8884000000000003E-8</v>
      </c>
      <c r="AM76" s="137">
        <f>Summary_LCIA!AD$32</f>
        <v>4.1103999999999999E-4</v>
      </c>
      <c r="AN76" s="137">
        <f>Summary_LCIA!AE$32</f>
        <v>8.8612999999999995E-4</v>
      </c>
      <c r="AO76" s="137">
        <f>Summary_LCIA!AF$32</f>
        <v>8.4542000000000005E-4</v>
      </c>
      <c r="AP76" s="137">
        <f>Summary_LCIA!AG$32</f>
        <v>5.1165000000000002E-5</v>
      </c>
      <c r="AQ76" s="137">
        <f>Summary_LCIA!AH$32</f>
        <v>8.7036000000000006E-3</v>
      </c>
      <c r="AR76" s="137">
        <f>Summary_LCIA!AI$32</f>
        <v>9.3154999999999996E-4</v>
      </c>
      <c r="AT76" s="137">
        <f t="shared" si="22"/>
        <v>72.345118999999997</v>
      </c>
      <c r="AU76" s="137">
        <f t="shared" si="14"/>
        <v>1055.1679174378648</v>
      </c>
      <c r="AV76" s="137">
        <f t="shared" si="15"/>
        <v>1.121072568</v>
      </c>
      <c r="AW76" s="137">
        <f t="shared" si="16"/>
        <v>71.404078900000002</v>
      </c>
      <c r="AX76" s="137">
        <f t="shared" si="17"/>
        <v>23.398259499999998</v>
      </c>
      <c r="AY76" s="137">
        <f t="shared" si="18"/>
        <v>3.8139801699999998</v>
      </c>
      <c r="AZ76" s="137">
        <f t="shared" si="19"/>
        <v>1.0168555705E-2</v>
      </c>
      <c r="BA76" s="137">
        <f t="shared" si="20"/>
        <v>16.387510755000001</v>
      </c>
      <c r="BB76" s="137">
        <f t="shared" si="21"/>
        <v>4.8499759000000005</v>
      </c>
      <c r="BC76" s="137">
        <f t="shared" si="3"/>
        <v>3.3174857100000001</v>
      </c>
      <c r="BD76" s="137">
        <f t="shared" si="4"/>
        <v>8.7310211450000001E-3</v>
      </c>
      <c r="BE76" s="137">
        <f t="shared" si="5"/>
        <v>4.9726091800000001</v>
      </c>
      <c r="BF76" s="137">
        <f t="shared" si="6"/>
        <v>-4.6462258150000001E-3</v>
      </c>
      <c r="BG76" s="137">
        <f t="shared" si="7"/>
        <v>1.0407648020000001E-5</v>
      </c>
      <c r="BH76" s="137">
        <f t="shared" si="8"/>
        <v>8.7512471199999997E-2</v>
      </c>
      <c r="BI76" s="137">
        <f t="shared" si="9"/>
        <v>0.18866150764999998</v>
      </c>
      <c r="BJ76" s="137">
        <f t="shared" si="10"/>
        <v>0.1799941451</v>
      </c>
      <c r="BK76" s="137">
        <f t="shared" si="11"/>
        <v>1.0893284325E-2</v>
      </c>
      <c r="BL76" s="137">
        <f t="shared" si="12"/>
        <v>1.8530399580000001</v>
      </c>
      <c r="BM76" s="137">
        <f t="shared" si="13"/>
        <v>0.19833165275</v>
      </c>
    </row>
    <row r="77" spans="1:65" x14ac:dyDescent="0.25">
      <c r="A77" s="149">
        <v>240</v>
      </c>
      <c r="B77" s="149">
        <v>6</v>
      </c>
      <c r="C77" s="61">
        <v>43.739162</v>
      </c>
      <c r="D77" s="61">
        <v>-87.781754000000006</v>
      </c>
      <c r="E77" s="61" t="s">
        <v>265</v>
      </c>
      <c r="F77" s="149">
        <v>114</v>
      </c>
      <c r="G77" s="61" t="s">
        <v>639</v>
      </c>
      <c r="H77" s="61" t="s">
        <v>640</v>
      </c>
      <c r="I77" s="61">
        <v>42.947552999999999</v>
      </c>
      <c r="J77" s="61">
        <v>-87.896646000000004</v>
      </c>
      <c r="K77" s="61">
        <v>136.40500399999999</v>
      </c>
      <c r="L77" s="61">
        <v>98.278000000000006</v>
      </c>
      <c r="M77" s="61" t="s">
        <v>617</v>
      </c>
      <c r="N77" s="149">
        <v>5</v>
      </c>
      <c r="O77" s="149">
        <v>6</v>
      </c>
      <c r="P77" s="61" t="s">
        <v>565</v>
      </c>
      <c r="Q77" s="61" t="s">
        <v>564</v>
      </c>
      <c r="R77" s="61">
        <v>41.98028</v>
      </c>
      <c r="S77" s="61">
        <v>-87.908997900000003</v>
      </c>
      <c r="T77" s="61">
        <v>212.905</v>
      </c>
      <c r="U77" s="61" t="s">
        <v>617</v>
      </c>
      <c r="V77" s="61" t="s">
        <v>617</v>
      </c>
      <c r="W77" s="61"/>
      <c r="Y77" s="137">
        <f>Summary_LCIA!H$32</f>
        <v>0.33979999999999999</v>
      </c>
      <c r="Z77" s="137">
        <f>Summary_LCIA!Q$32</f>
        <v>4.9560504329999997</v>
      </c>
      <c r="AA77" s="137">
        <f>Summary_LCIA!R$32</f>
        <v>5.2655999999999996E-3</v>
      </c>
      <c r="AB77" s="137">
        <f>Summary_LCIA!S$32</f>
        <v>0.33538000000000001</v>
      </c>
      <c r="AC77" s="137">
        <f>Summary_LCIA!T$32</f>
        <v>0.1099</v>
      </c>
      <c r="AD77" s="137">
        <f>Summary_LCIA!U$32</f>
        <v>1.7913999999999999E-2</v>
      </c>
      <c r="AE77" s="137">
        <f>Summary_LCIA!V$32</f>
        <v>4.7760999999999999E-5</v>
      </c>
      <c r="AF77" s="137">
        <f>Summary_LCIA!W$32</f>
        <v>7.6970999999999998E-2</v>
      </c>
      <c r="AG77" s="137">
        <f>Summary_LCIA!X$32</f>
        <v>2.2780000000000002E-2</v>
      </c>
      <c r="AH77" s="137">
        <f>Summary_LCIA!Y$32</f>
        <v>1.5582E-2</v>
      </c>
      <c r="AI77" s="137">
        <f>Summary_LCIA!Z$32</f>
        <v>4.1009E-5</v>
      </c>
      <c r="AJ77" s="137">
        <f>Summary_LCIA!AA$32</f>
        <v>2.3355999999999998E-2</v>
      </c>
      <c r="AK77" s="137">
        <f>Summary_LCIA!AB$32</f>
        <v>-2.1823000000000001E-5</v>
      </c>
      <c r="AL77" s="137">
        <f>Summary_LCIA!AC$32</f>
        <v>4.8884000000000003E-8</v>
      </c>
      <c r="AM77" s="137">
        <f>Summary_LCIA!AD$32</f>
        <v>4.1103999999999999E-4</v>
      </c>
      <c r="AN77" s="137">
        <f>Summary_LCIA!AE$32</f>
        <v>8.8612999999999995E-4</v>
      </c>
      <c r="AO77" s="137">
        <f>Summary_LCIA!AF$32</f>
        <v>8.4542000000000005E-4</v>
      </c>
      <c r="AP77" s="137">
        <f>Summary_LCIA!AG$32</f>
        <v>5.1165000000000002E-5</v>
      </c>
      <c r="AQ77" s="137">
        <f>Summary_LCIA!AH$32</f>
        <v>8.7036000000000006E-3</v>
      </c>
      <c r="AR77" s="137">
        <f>Summary_LCIA!AI$32</f>
        <v>9.3154999999999996E-4</v>
      </c>
      <c r="AT77" s="137">
        <f t="shared" si="22"/>
        <v>72.345118999999997</v>
      </c>
      <c r="AU77" s="137">
        <f t="shared" si="14"/>
        <v>1055.1679174378648</v>
      </c>
      <c r="AV77" s="137">
        <f t="shared" si="15"/>
        <v>1.121072568</v>
      </c>
      <c r="AW77" s="137">
        <f t="shared" si="16"/>
        <v>71.404078900000002</v>
      </c>
      <c r="AX77" s="137">
        <f t="shared" si="17"/>
        <v>23.398259499999998</v>
      </c>
      <c r="AY77" s="137">
        <f t="shared" si="18"/>
        <v>3.8139801699999998</v>
      </c>
      <c r="AZ77" s="137">
        <f t="shared" si="19"/>
        <v>1.0168555705E-2</v>
      </c>
      <c r="BA77" s="137">
        <f t="shared" si="20"/>
        <v>16.387510755000001</v>
      </c>
      <c r="BB77" s="137">
        <f t="shared" si="21"/>
        <v>4.8499759000000005</v>
      </c>
      <c r="BC77" s="137">
        <f t="shared" si="3"/>
        <v>3.3174857100000001</v>
      </c>
      <c r="BD77" s="137">
        <f t="shared" si="4"/>
        <v>8.7310211450000001E-3</v>
      </c>
      <c r="BE77" s="137">
        <f t="shared" si="5"/>
        <v>4.9726091800000001</v>
      </c>
      <c r="BF77" s="137">
        <f t="shared" si="6"/>
        <v>-4.6462258150000001E-3</v>
      </c>
      <c r="BG77" s="137">
        <f t="shared" si="7"/>
        <v>1.0407648020000001E-5</v>
      </c>
      <c r="BH77" s="137">
        <f t="shared" si="8"/>
        <v>8.7512471199999997E-2</v>
      </c>
      <c r="BI77" s="137">
        <f t="shared" si="9"/>
        <v>0.18866150764999998</v>
      </c>
      <c r="BJ77" s="137">
        <f t="shared" si="10"/>
        <v>0.1799941451</v>
      </c>
      <c r="BK77" s="137">
        <f t="shared" si="11"/>
        <v>1.0893284325E-2</v>
      </c>
      <c r="BL77" s="137">
        <f t="shared" si="12"/>
        <v>1.8530399580000001</v>
      </c>
      <c r="BM77" s="137">
        <f t="shared" si="13"/>
        <v>0.19833165275</v>
      </c>
    </row>
    <row r="78" spans="1:65" x14ac:dyDescent="0.25">
      <c r="A78" s="149">
        <v>241</v>
      </c>
      <c r="B78" s="149">
        <v>6</v>
      </c>
      <c r="C78" s="61">
        <v>43.739162</v>
      </c>
      <c r="D78" s="61">
        <v>-87.781754000000006</v>
      </c>
      <c r="E78" s="61" t="s">
        <v>265</v>
      </c>
      <c r="F78" s="149">
        <v>114</v>
      </c>
      <c r="G78" s="61" t="s">
        <v>639</v>
      </c>
      <c r="H78" s="61" t="s">
        <v>640</v>
      </c>
      <c r="I78" s="61">
        <v>42.947552999999999</v>
      </c>
      <c r="J78" s="61">
        <v>-87.896646000000004</v>
      </c>
      <c r="K78" s="61">
        <v>136.40500399999999</v>
      </c>
      <c r="L78" s="61">
        <v>98.278000000000006</v>
      </c>
      <c r="M78" s="61" t="s">
        <v>617</v>
      </c>
      <c r="N78" s="149">
        <v>5</v>
      </c>
      <c r="O78" s="149">
        <v>6</v>
      </c>
      <c r="P78" s="61" t="s">
        <v>565</v>
      </c>
      <c r="Q78" s="61" t="s">
        <v>564</v>
      </c>
      <c r="R78" s="61">
        <v>41.98028</v>
      </c>
      <c r="S78" s="61">
        <v>-87.908997900000003</v>
      </c>
      <c r="T78" s="61">
        <v>212.905</v>
      </c>
      <c r="U78" s="61" t="s">
        <v>617</v>
      </c>
      <c r="V78" s="61" t="s">
        <v>617</v>
      </c>
      <c r="W78" s="61"/>
      <c r="Y78" s="137">
        <f>Summary_LCIA!H$32</f>
        <v>0.33979999999999999</v>
      </c>
      <c r="Z78" s="137">
        <f>Summary_LCIA!Q$32</f>
        <v>4.9560504329999997</v>
      </c>
      <c r="AA78" s="137">
        <f>Summary_LCIA!R$32</f>
        <v>5.2655999999999996E-3</v>
      </c>
      <c r="AB78" s="137">
        <f>Summary_LCIA!S$32</f>
        <v>0.33538000000000001</v>
      </c>
      <c r="AC78" s="137">
        <f>Summary_LCIA!T$32</f>
        <v>0.1099</v>
      </c>
      <c r="AD78" s="137">
        <f>Summary_LCIA!U$32</f>
        <v>1.7913999999999999E-2</v>
      </c>
      <c r="AE78" s="137">
        <f>Summary_LCIA!V$32</f>
        <v>4.7760999999999999E-5</v>
      </c>
      <c r="AF78" s="137">
        <f>Summary_LCIA!W$32</f>
        <v>7.6970999999999998E-2</v>
      </c>
      <c r="AG78" s="137">
        <f>Summary_LCIA!X$32</f>
        <v>2.2780000000000002E-2</v>
      </c>
      <c r="AH78" s="137">
        <f>Summary_LCIA!Y$32</f>
        <v>1.5582E-2</v>
      </c>
      <c r="AI78" s="137">
        <f>Summary_LCIA!Z$32</f>
        <v>4.1009E-5</v>
      </c>
      <c r="AJ78" s="137">
        <f>Summary_LCIA!AA$32</f>
        <v>2.3355999999999998E-2</v>
      </c>
      <c r="AK78" s="137">
        <f>Summary_LCIA!AB$32</f>
        <v>-2.1823000000000001E-5</v>
      </c>
      <c r="AL78" s="137">
        <f>Summary_LCIA!AC$32</f>
        <v>4.8884000000000003E-8</v>
      </c>
      <c r="AM78" s="137">
        <f>Summary_LCIA!AD$32</f>
        <v>4.1103999999999999E-4</v>
      </c>
      <c r="AN78" s="137">
        <f>Summary_LCIA!AE$32</f>
        <v>8.8612999999999995E-4</v>
      </c>
      <c r="AO78" s="137">
        <f>Summary_LCIA!AF$32</f>
        <v>8.4542000000000005E-4</v>
      </c>
      <c r="AP78" s="137">
        <f>Summary_LCIA!AG$32</f>
        <v>5.1165000000000002E-5</v>
      </c>
      <c r="AQ78" s="137">
        <f>Summary_LCIA!AH$32</f>
        <v>8.7036000000000006E-3</v>
      </c>
      <c r="AR78" s="137">
        <f>Summary_LCIA!AI$32</f>
        <v>9.3154999999999996E-4</v>
      </c>
      <c r="AT78" s="137">
        <f t="shared" si="22"/>
        <v>72.345118999999997</v>
      </c>
      <c r="AU78" s="137">
        <f t="shared" si="14"/>
        <v>1055.1679174378648</v>
      </c>
      <c r="AV78" s="137">
        <f t="shared" si="15"/>
        <v>1.121072568</v>
      </c>
      <c r="AW78" s="137">
        <f t="shared" si="16"/>
        <v>71.404078900000002</v>
      </c>
      <c r="AX78" s="137">
        <f t="shared" si="17"/>
        <v>23.398259499999998</v>
      </c>
      <c r="AY78" s="137">
        <f t="shared" si="18"/>
        <v>3.8139801699999998</v>
      </c>
      <c r="AZ78" s="137">
        <f t="shared" si="19"/>
        <v>1.0168555705E-2</v>
      </c>
      <c r="BA78" s="137">
        <f t="shared" si="20"/>
        <v>16.387510755000001</v>
      </c>
      <c r="BB78" s="137">
        <f t="shared" si="21"/>
        <v>4.8499759000000005</v>
      </c>
      <c r="BC78" s="137">
        <f t="shared" si="3"/>
        <v>3.3174857100000001</v>
      </c>
      <c r="BD78" s="137">
        <f t="shared" si="4"/>
        <v>8.7310211450000001E-3</v>
      </c>
      <c r="BE78" s="137">
        <f t="shared" si="5"/>
        <v>4.9726091800000001</v>
      </c>
      <c r="BF78" s="137">
        <f t="shared" si="6"/>
        <v>-4.6462258150000001E-3</v>
      </c>
      <c r="BG78" s="137">
        <f t="shared" si="7"/>
        <v>1.0407648020000001E-5</v>
      </c>
      <c r="BH78" s="137">
        <f t="shared" si="8"/>
        <v>8.7512471199999997E-2</v>
      </c>
      <c r="BI78" s="137">
        <f t="shared" si="9"/>
        <v>0.18866150764999998</v>
      </c>
      <c r="BJ78" s="137">
        <f t="shared" si="10"/>
        <v>0.1799941451</v>
      </c>
      <c r="BK78" s="137">
        <f t="shared" si="11"/>
        <v>1.0893284325E-2</v>
      </c>
      <c r="BL78" s="137">
        <f t="shared" si="12"/>
        <v>1.8530399580000001</v>
      </c>
      <c r="BM78" s="137">
        <f t="shared" si="13"/>
        <v>0.19833165275</v>
      </c>
    </row>
    <row r="79" spans="1:65" x14ac:dyDescent="0.25">
      <c r="A79" s="149">
        <v>242</v>
      </c>
      <c r="B79" s="149">
        <v>6</v>
      </c>
      <c r="C79" s="61">
        <v>43.739162</v>
      </c>
      <c r="D79" s="61">
        <v>-87.781754000000006</v>
      </c>
      <c r="E79" s="61" t="s">
        <v>265</v>
      </c>
      <c r="F79" s="149">
        <v>114</v>
      </c>
      <c r="G79" s="61" t="s">
        <v>639</v>
      </c>
      <c r="H79" s="61" t="s">
        <v>640</v>
      </c>
      <c r="I79" s="61">
        <v>42.947552999999999</v>
      </c>
      <c r="J79" s="61">
        <v>-87.896646000000004</v>
      </c>
      <c r="K79" s="61">
        <v>136.40500399999999</v>
      </c>
      <c r="L79" s="61">
        <v>98.278000000000006</v>
      </c>
      <c r="M79" s="61" t="s">
        <v>617</v>
      </c>
      <c r="N79" s="149">
        <v>5</v>
      </c>
      <c r="O79" s="149">
        <v>6</v>
      </c>
      <c r="P79" s="61" t="s">
        <v>565</v>
      </c>
      <c r="Q79" s="61" t="s">
        <v>564</v>
      </c>
      <c r="R79" s="61">
        <v>41.98028</v>
      </c>
      <c r="S79" s="61">
        <v>-87.908997900000003</v>
      </c>
      <c r="T79" s="61">
        <v>212.905</v>
      </c>
      <c r="U79" s="61" t="s">
        <v>617</v>
      </c>
      <c r="V79" s="61" t="s">
        <v>617</v>
      </c>
      <c r="W79" s="61"/>
      <c r="Y79" s="137">
        <f>Summary_LCIA!H$32</f>
        <v>0.33979999999999999</v>
      </c>
      <c r="Z79" s="137">
        <f>Summary_LCIA!Q$32</f>
        <v>4.9560504329999997</v>
      </c>
      <c r="AA79" s="137">
        <f>Summary_LCIA!R$32</f>
        <v>5.2655999999999996E-3</v>
      </c>
      <c r="AB79" s="137">
        <f>Summary_LCIA!S$32</f>
        <v>0.33538000000000001</v>
      </c>
      <c r="AC79" s="137">
        <f>Summary_LCIA!T$32</f>
        <v>0.1099</v>
      </c>
      <c r="AD79" s="137">
        <f>Summary_LCIA!U$32</f>
        <v>1.7913999999999999E-2</v>
      </c>
      <c r="AE79" s="137">
        <f>Summary_LCIA!V$32</f>
        <v>4.7760999999999999E-5</v>
      </c>
      <c r="AF79" s="137">
        <f>Summary_LCIA!W$32</f>
        <v>7.6970999999999998E-2</v>
      </c>
      <c r="AG79" s="137">
        <f>Summary_LCIA!X$32</f>
        <v>2.2780000000000002E-2</v>
      </c>
      <c r="AH79" s="137">
        <f>Summary_LCIA!Y$32</f>
        <v>1.5582E-2</v>
      </c>
      <c r="AI79" s="137">
        <f>Summary_LCIA!Z$32</f>
        <v>4.1009E-5</v>
      </c>
      <c r="AJ79" s="137">
        <f>Summary_LCIA!AA$32</f>
        <v>2.3355999999999998E-2</v>
      </c>
      <c r="AK79" s="137">
        <f>Summary_LCIA!AB$32</f>
        <v>-2.1823000000000001E-5</v>
      </c>
      <c r="AL79" s="137">
        <f>Summary_LCIA!AC$32</f>
        <v>4.8884000000000003E-8</v>
      </c>
      <c r="AM79" s="137">
        <f>Summary_LCIA!AD$32</f>
        <v>4.1103999999999999E-4</v>
      </c>
      <c r="AN79" s="137">
        <f>Summary_LCIA!AE$32</f>
        <v>8.8612999999999995E-4</v>
      </c>
      <c r="AO79" s="137">
        <f>Summary_LCIA!AF$32</f>
        <v>8.4542000000000005E-4</v>
      </c>
      <c r="AP79" s="137">
        <f>Summary_LCIA!AG$32</f>
        <v>5.1165000000000002E-5</v>
      </c>
      <c r="AQ79" s="137">
        <f>Summary_LCIA!AH$32</f>
        <v>8.7036000000000006E-3</v>
      </c>
      <c r="AR79" s="137">
        <f>Summary_LCIA!AI$32</f>
        <v>9.3154999999999996E-4</v>
      </c>
      <c r="AT79" s="137">
        <f t="shared" si="22"/>
        <v>72.345118999999997</v>
      </c>
      <c r="AU79" s="137">
        <f t="shared" si="14"/>
        <v>1055.1679174378648</v>
      </c>
      <c r="AV79" s="137">
        <f t="shared" si="15"/>
        <v>1.121072568</v>
      </c>
      <c r="AW79" s="137">
        <f t="shared" si="16"/>
        <v>71.404078900000002</v>
      </c>
      <c r="AX79" s="137">
        <f t="shared" si="17"/>
        <v>23.398259499999998</v>
      </c>
      <c r="AY79" s="137">
        <f t="shared" si="18"/>
        <v>3.8139801699999998</v>
      </c>
      <c r="AZ79" s="137">
        <f t="shared" si="19"/>
        <v>1.0168555705E-2</v>
      </c>
      <c r="BA79" s="137">
        <f t="shared" si="20"/>
        <v>16.387510755000001</v>
      </c>
      <c r="BB79" s="137">
        <f t="shared" si="21"/>
        <v>4.8499759000000005</v>
      </c>
      <c r="BC79" s="137">
        <f t="shared" ref="BC79:BC142" si="23">$T79*AH79</f>
        <v>3.3174857100000001</v>
      </c>
      <c r="BD79" s="137">
        <f t="shared" ref="BD79:BD142" si="24">$T79*AI79</f>
        <v>8.7310211450000001E-3</v>
      </c>
      <c r="BE79" s="137">
        <f t="shared" ref="BE79:BE142" si="25">$T79*AJ79</f>
        <v>4.9726091800000001</v>
      </c>
      <c r="BF79" s="137">
        <f t="shared" ref="BF79:BF142" si="26">$T79*AK79</f>
        <v>-4.6462258150000001E-3</v>
      </c>
      <c r="BG79" s="137">
        <f t="shared" ref="BG79:BG142" si="27">$T79*AL79</f>
        <v>1.0407648020000001E-5</v>
      </c>
      <c r="BH79" s="137">
        <f t="shared" ref="BH79:BH142" si="28">$T79*AM79</f>
        <v>8.7512471199999997E-2</v>
      </c>
      <c r="BI79" s="137">
        <f t="shared" ref="BI79:BI142" si="29">$T79*AN79</f>
        <v>0.18866150764999998</v>
      </c>
      <c r="BJ79" s="137">
        <f t="shared" ref="BJ79:BJ142" si="30">$T79*AO79</f>
        <v>0.1799941451</v>
      </c>
      <c r="BK79" s="137">
        <f t="shared" ref="BK79:BK142" si="31">$T79*AP79</f>
        <v>1.0893284325E-2</v>
      </c>
      <c r="BL79" s="137">
        <f t="shared" ref="BL79:BL142" si="32">$T79*AQ79</f>
        <v>1.8530399580000001</v>
      </c>
      <c r="BM79" s="137">
        <f t="shared" ref="BM79:BM142" si="33">$T79*AR79</f>
        <v>0.19833165275</v>
      </c>
    </row>
    <row r="80" spans="1:65" x14ac:dyDescent="0.25">
      <c r="A80" s="149">
        <v>243</v>
      </c>
      <c r="B80" s="149">
        <v>6</v>
      </c>
      <c r="C80" s="61">
        <v>43.739162</v>
      </c>
      <c r="D80" s="61">
        <v>-87.781754000000006</v>
      </c>
      <c r="E80" s="61" t="s">
        <v>265</v>
      </c>
      <c r="F80" s="149">
        <v>114</v>
      </c>
      <c r="G80" s="61" t="s">
        <v>639</v>
      </c>
      <c r="H80" s="61" t="s">
        <v>640</v>
      </c>
      <c r="I80" s="61">
        <v>42.947552999999999</v>
      </c>
      <c r="J80" s="61">
        <v>-87.896646000000004</v>
      </c>
      <c r="K80" s="61">
        <v>136.40500399999999</v>
      </c>
      <c r="L80" s="61">
        <v>98.278000000000006</v>
      </c>
      <c r="M80" s="61" t="s">
        <v>617</v>
      </c>
      <c r="N80" s="149">
        <v>5</v>
      </c>
      <c r="O80" s="149">
        <v>6</v>
      </c>
      <c r="P80" s="61" t="s">
        <v>565</v>
      </c>
      <c r="Q80" s="61" t="s">
        <v>564</v>
      </c>
      <c r="R80" s="61">
        <v>41.98028</v>
      </c>
      <c r="S80" s="61">
        <v>-87.908997900000003</v>
      </c>
      <c r="T80" s="61">
        <v>212.905</v>
      </c>
      <c r="U80" s="61" t="s">
        <v>617</v>
      </c>
      <c r="V80" s="61" t="s">
        <v>617</v>
      </c>
      <c r="W80" s="61"/>
      <c r="Y80" s="137">
        <f>Summary_LCIA!H$32</f>
        <v>0.33979999999999999</v>
      </c>
      <c r="Z80" s="137">
        <f>Summary_LCIA!Q$32</f>
        <v>4.9560504329999997</v>
      </c>
      <c r="AA80" s="137">
        <f>Summary_LCIA!R$32</f>
        <v>5.2655999999999996E-3</v>
      </c>
      <c r="AB80" s="137">
        <f>Summary_LCIA!S$32</f>
        <v>0.33538000000000001</v>
      </c>
      <c r="AC80" s="137">
        <f>Summary_LCIA!T$32</f>
        <v>0.1099</v>
      </c>
      <c r="AD80" s="137">
        <f>Summary_LCIA!U$32</f>
        <v>1.7913999999999999E-2</v>
      </c>
      <c r="AE80" s="137">
        <f>Summary_LCIA!V$32</f>
        <v>4.7760999999999999E-5</v>
      </c>
      <c r="AF80" s="137">
        <f>Summary_LCIA!W$32</f>
        <v>7.6970999999999998E-2</v>
      </c>
      <c r="AG80" s="137">
        <f>Summary_LCIA!X$32</f>
        <v>2.2780000000000002E-2</v>
      </c>
      <c r="AH80" s="137">
        <f>Summary_LCIA!Y$32</f>
        <v>1.5582E-2</v>
      </c>
      <c r="AI80" s="137">
        <f>Summary_LCIA!Z$32</f>
        <v>4.1009E-5</v>
      </c>
      <c r="AJ80" s="137">
        <f>Summary_LCIA!AA$32</f>
        <v>2.3355999999999998E-2</v>
      </c>
      <c r="AK80" s="137">
        <f>Summary_LCIA!AB$32</f>
        <v>-2.1823000000000001E-5</v>
      </c>
      <c r="AL80" s="137">
        <f>Summary_LCIA!AC$32</f>
        <v>4.8884000000000003E-8</v>
      </c>
      <c r="AM80" s="137">
        <f>Summary_LCIA!AD$32</f>
        <v>4.1103999999999999E-4</v>
      </c>
      <c r="AN80" s="137">
        <f>Summary_LCIA!AE$32</f>
        <v>8.8612999999999995E-4</v>
      </c>
      <c r="AO80" s="137">
        <f>Summary_LCIA!AF$32</f>
        <v>8.4542000000000005E-4</v>
      </c>
      <c r="AP80" s="137">
        <f>Summary_LCIA!AG$32</f>
        <v>5.1165000000000002E-5</v>
      </c>
      <c r="AQ80" s="137">
        <f>Summary_LCIA!AH$32</f>
        <v>8.7036000000000006E-3</v>
      </c>
      <c r="AR80" s="137">
        <f>Summary_LCIA!AI$32</f>
        <v>9.3154999999999996E-4</v>
      </c>
      <c r="AT80" s="137">
        <f t="shared" si="22"/>
        <v>72.345118999999997</v>
      </c>
      <c r="AU80" s="137">
        <f t="shared" ref="AU80:AU143" si="34">$T80*Z80</f>
        <v>1055.1679174378648</v>
      </c>
      <c r="AV80" s="137">
        <f t="shared" ref="AV80:AV143" si="35">$T80*AA80</f>
        <v>1.121072568</v>
      </c>
      <c r="AW80" s="137">
        <f t="shared" ref="AW80:AW143" si="36">$T80*AB80</f>
        <v>71.404078900000002</v>
      </c>
      <c r="AX80" s="137">
        <f t="shared" ref="AX80:AX143" si="37">$T80*AC80</f>
        <v>23.398259499999998</v>
      </c>
      <c r="AY80" s="137">
        <f t="shared" ref="AY80:AY143" si="38">$T80*AD80</f>
        <v>3.8139801699999998</v>
      </c>
      <c r="AZ80" s="137">
        <f t="shared" ref="AZ80:AZ143" si="39">$T80*AE80</f>
        <v>1.0168555705E-2</v>
      </c>
      <c r="BA80" s="137">
        <f t="shared" ref="BA80:BA143" si="40">$T80*AF80</f>
        <v>16.387510755000001</v>
      </c>
      <c r="BB80" s="137">
        <f t="shared" ref="BB80:BB143" si="41">$T80*AG80</f>
        <v>4.8499759000000005</v>
      </c>
      <c r="BC80" s="137">
        <f t="shared" si="23"/>
        <v>3.3174857100000001</v>
      </c>
      <c r="BD80" s="137">
        <f t="shared" si="24"/>
        <v>8.7310211450000001E-3</v>
      </c>
      <c r="BE80" s="137">
        <f t="shared" si="25"/>
        <v>4.9726091800000001</v>
      </c>
      <c r="BF80" s="137">
        <f t="shared" si="26"/>
        <v>-4.6462258150000001E-3</v>
      </c>
      <c r="BG80" s="137">
        <f t="shared" si="27"/>
        <v>1.0407648020000001E-5</v>
      </c>
      <c r="BH80" s="137">
        <f t="shared" si="28"/>
        <v>8.7512471199999997E-2</v>
      </c>
      <c r="BI80" s="137">
        <f t="shared" si="29"/>
        <v>0.18866150764999998</v>
      </c>
      <c r="BJ80" s="137">
        <f t="shared" si="30"/>
        <v>0.1799941451</v>
      </c>
      <c r="BK80" s="137">
        <f t="shared" si="31"/>
        <v>1.0893284325E-2</v>
      </c>
      <c r="BL80" s="137">
        <f t="shared" si="32"/>
        <v>1.8530399580000001</v>
      </c>
      <c r="BM80" s="137">
        <f t="shared" si="33"/>
        <v>0.19833165275</v>
      </c>
    </row>
    <row r="81" spans="1:65" x14ac:dyDescent="0.25">
      <c r="A81" s="149">
        <v>253</v>
      </c>
      <c r="B81" s="149">
        <v>6</v>
      </c>
      <c r="C81" s="61">
        <v>43.073051999999997</v>
      </c>
      <c r="D81" s="61">
        <v>-89.401229999999998</v>
      </c>
      <c r="E81" s="61" t="s">
        <v>265</v>
      </c>
      <c r="F81" s="149">
        <v>114</v>
      </c>
      <c r="G81" s="61" t="s">
        <v>639</v>
      </c>
      <c r="H81" s="61" t="s">
        <v>640</v>
      </c>
      <c r="I81" s="61">
        <v>42.947552999999999</v>
      </c>
      <c r="J81" s="61">
        <v>-87.896646000000004</v>
      </c>
      <c r="K81" s="61">
        <v>124.3178211</v>
      </c>
      <c r="L81" s="61">
        <v>138.58099999999999</v>
      </c>
      <c r="M81" s="61" t="s">
        <v>617</v>
      </c>
      <c r="N81" s="149">
        <v>5</v>
      </c>
      <c r="O81" s="149">
        <v>6</v>
      </c>
      <c r="P81" s="61" t="s">
        <v>565</v>
      </c>
      <c r="Q81" s="61" t="s">
        <v>564</v>
      </c>
      <c r="R81" s="61">
        <v>41.98028</v>
      </c>
      <c r="S81" s="61">
        <v>-87.908997900000003</v>
      </c>
      <c r="T81" s="61">
        <v>215.59800000000001</v>
      </c>
      <c r="U81" s="61" t="s">
        <v>617</v>
      </c>
      <c r="V81" s="61" t="s">
        <v>617</v>
      </c>
      <c r="W81" s="61"/>
      <c r="Y81" s="137">
        <f>Summary_LCIA!H$32</f>
        <v>0.33979999999999999</v>
      </c>
      <c r="Z81" s="137">
        <f>Summary_LCIA!Q$32</f>
        <v>4.9560504329999997</v>
      </c>
      <c r="AA81" s="137">
        <f>Summary_LCIA!R$32</f>
        <v>5.2655999999999996E-3</v>
      </c>
      <c r="AB81" s="137">
        <f>Summary_LCIA!S$32</f>
        <v>0.33538000000000001</v>
      </c>
      <c r="AC81" s="137">
        <f>Summary_LCIA!T$32</f>
        <v>0.1099</v>
      </c>
      <c r="AD81" s="137">
        <f>Summary_LCIA!U$32</f>
        <v>1.7913999999999999E-2</v>
      </c>
      <c r="AE81" s="137">
        <f>Summary_LCIA!V$32</f>
        <v>4.7760999999999999E-5</v>
      </c>
      <c r="AF81" s="137">
        <f>Summary_LCIA!W$32</f>
        <v>7.6970999999999998E-2</v>
      </c>
      <c r="AG81" s="137">
        <f>Summary_LCIA!X$32</f>
        <v>2.2780000000000002E-2</v>
      </c>
      <c r="AH81" s="137">
        <f>Summary_LCIA!Y$32</f>
        <v>1.5582E-2</v>
      </c>
      <c r="AI81" s="137">
        <f>Summary_LCIA!Z$32</f>
        <v>4.1009E-5</v>
      </c>
      <c r="AJ81" s="137">
        <f>Summary_LCIA!AA$32</f>
        <v>2.3355999999999998E-2</v>
      </c>
      <c r="AK81" s="137">
        <f>Summary_LCIA!AB$32</f>
        <v>-2.1823000000000001E-5</v>
      </c>
      <c r="AL81" s="137">
        <f>Summary_LCIA!AC$32</f>
        <v>4.8884000000000003E-8</v>
      </c>
      <c r="AM81" s="137">
        <f>Summary_LCIA!AD$32</f>
        <v>4.1103999999999999E-4</v>
      </c>
      <c r="AN81" s="137">
        <f>Summary_LCIA!AE$32</f>
        <v>8.8612999999999995E-4</v>
      </c>
      <c r="AO81" s="137">
        <f>Summary_LCIA!AF$32</f>
        <v>8.4542000000000005E-4</v>
      </c>
      <c r="AP81" s="137">
        <f>Summary_LCIA!AG$32</f>
        <v>5.1165000000000002E-5</v>
      </c>
      <c r="AQ81" s="137">
        <f>Summary_LCIA!AH$32</f>
        <v>8.7036000000000006E-3</v>
      </c>
      <c r="AR81" s="137">
        <f>Summary_LCIA!AI$32</f>
        <v>9.3154999999999996E-4</v>
      </c>
      <c r="AT81" s="137">
        <f t="shared" si="22"/>
        <v>73.260200400000002</v>
      </c>
      <c r="AU81" s="137">
        <f t="shared" si="34"/>
        <v>1068.5145612539341</v>
      </c>
      <c r="AV81" s="137">
        <f t="shared" si="35"/>
        <v>1.1352528287999999</v>
      </c>
      <c r="AW81" s="137">
        <f t="shared" si="36"/>
        <v>72.307257240000013</v>
      </c>
      <c r="AX81" s="137">
        <f t="shared" si="37"/>
        <v>23.6942202</v>
      </c>
      <c r="AY81" s="137">
        <f t="shared" si="38"/>
        <v>3.8622225720000003</v>
      </c>
      <c r="AZ81" s="137">
        <f t="shared" si="39"/>
        <v>1.0297176078E-2</v>
      </c>
      <c r="BA81" s="137">
        <f t="shared" si="40"/>
        <v>16.594793658</v>
      </c>
      <c r="BB81" s="137">
        <f t="shared" si="41"/>
        <v>4.9113224400000011</v>
      </c>
      <c r="BC81" s="137">
        <f t="shared" si="23"/>
        <v>3.3594480360000003</v>
      </c>
      <c r="BD81" s="137">
        <f t="shared" si="24"/>
        <v>8.841458382000001E-3</v>
      </c>
      <c r="BE81" s="137">
        <f t="shared" si="25"/>
        <v>5.0355068879999996</v>
      </c>
      <c r="BF81" s="137">
        <f t="shared" si="26"/>
        <v>-4.7049951540000003E-3</v>
      </c>
      <c r="BG81" s="137">
        <f t="shared" si="27"/>
        <v>1.0539292632E-5</v>
      </c>
      <c r="BH81" s="137">
        <f t="shared" si="28"/>
        <v>8.8619401920000007E-2</v>
      </c>
      <c r="BI81" s="137">
        <f t="shared" si="29"/>
        <v>0.19104785573999999</v>
      </c>
      <c r="BJ81" s="137">
        <f t="shared" si="30"/>
        <v>0.18227086116000002</v>
      </c>
      <c r="BK81" s="137">
        <f t="shared" si="31"/>
        <v>1.1031071670000002E-2</v>
      </c>
      <c r="BL81" s="137">
        <f t="shared" si="32"/>
        <v>1.8764787528000002</v>
      </c>
      <c r="BM81" s="137">
        <f t="shared" si="33"/>
        <v>0.20084031690000001</v>
      </c>
    </row>
    <row r="82" spans="1:65" x14ac:dyDescent="0.25">
      <c r="A82" s="149">
        <v>254</v>
      </c>
      <c r="B82" s="149">
        <v>6</v>
      </c>
      <c r="C82" s="61">
        <v>43.073051999999997</v>
      </c>
      <c r="D82" s="61">
        <v>-89.401229999999998</v>
      </c>
      <c r="E82" s="61" t="s">
        <v>265</v>
      </c>
      <c r="F82" s="149">
        <v>114</v>
      </c>
      <c r="G82" s="61" t="s">
        <v>639</v>
      </c>
      <c r="H82" s="61" t="s">
        <v>640</v>
      </c>
      <c r="I82" s="61">
        <v>42.947552999999999</v>
      </c>
      <c r="J82" s="61">
        <v>-87.896646000000004</v>
      </c>
      <c r="K82" s="61">
        <v>124.3178211</v>
      </c>
      <c r="L82" s="61">
        <v>138.58099999999999</v>
      </c>
      <c r="M82" s="61" t="s">
        <v>617</v>
      </c>
      <c r="N82" s="149">
        <v>5</v>
      </c>
      <c r="O82" s="149">
        <v>6</v>
      </c>
      <c r="P82" s="61" t="s">
        <v>565</v>
      </c>
      <c r="Q82" s="61" t="s">
        <v>564</v>
      </c>
      <c r="R82" s="61">
        <v>41.98028</v>
      </c>
      <c r="S82" s="61">
        <v>-87.908997900000003</v>
      </c>
      <c r="T82" s="61">
        <v>215.59800000000001</v>
      </c>
      <c r="U82" s="61" t="s">
        <v>617</v>
      </c>
      <c r="V82" s="61" t="s">
        <v>617</v>
      </c>
      <c r="W82" s="61"/>
      <c r="Y82" s="137">
        <f>Summary_LCIA!H$32</f>
        <v>0.33979999999999999</v>
      </c>
      <c r="Z82" s="137">
        <f>Summary_LCIA!Q$32</f>
        <v>4.9560504329999997</v>
      </c>
      <c r="AA82" s="137">
        <f>Summary_LCIA!R$32</f>
        <v>5.2655999999999996E-3</v>
      </c>
      <c r="AB82" s="137">
        <f>Summary_LCIA!S$32</f>
        <v>0.33538000000000001</v>
      </c>
      <c r="AC82" s="137">
        <f>Summary_LCIA!T$32</f>
        <v>0.1099</v>
      </c>
      <c r="AD82" s="137">
        <f>Summary_LCIA!U$32</f>
        <v>1.7913999999999999E-2</v>
      </c>
      <c r="AE82" s="137">
        <f>Summary_LCIA!V$32</f>
        <v>4.7760999999999999E-5</v>
      </c>
      <c r="AF82" s="137">
        <f>Summary_LCIA!W$32</f>
        <v>7.6970999999999998E-2</v>
      </c>
      <c r="AG82" s="137">
        <f>Summary_LCIA!X$32</f>
        <v>2.2780000000000002E-2</v>
      </c>
      <c r="AH82" s="137">
        <f>Summary_LCIA!Y$32</f>
        <v>1.5582E-2</v>
      </c>
      <c r="AI82" s="137">
        <f>Summary_LCIA!Z$32</f>
        <v>4.1009E-5</v>
      </c>
      <c r="AJ82" s="137">
        <f>Summary_LCIA!AA$32</f>
        <v>2.3355999999999998E-2</v>
      </c>
      <c r="AK82" s="137">
        <f>Summary_LCIA!AB$32</f>
        <v>-2.1823000000000001E-5</v>
      </c>
      <c r="AL82" s="137">
        <f>Summary_LCIA!AC$32</f>
        <v>4.8884000000000003E-8</v>
      </c>
      <c r="AM82" s="137">
        <f>Summary_LCIA!AD$32</f>
        <v>4.1103999999999999E-4</v>
      </c>
      <c r="AN82" s="137">
        <f>Summary_LCIA!AE$32</f>
        <v>8.8612999999999995E-4</v>
      </c>
      <c r="AO82" s="137">
        <f>Summary_LCIA!AF$32</f>
        <v>8.4542000000000005E-4</v>
      </c>
      <c r="AP82" s="137">
        <f>Summary_LCIA!AG$32</f>
        <v>5.1165000000000002E-5</v>
      </c>
      <c r="AQ82" s="137">
        <f>Summary_LCIA!AH$32</f>
        <v>8.7036000000000006E-3</v>
      </c>
      <c r="AR82" s="137">
        <f>Summary_LCIA!AI$32</f>
        <v>9.3154999999999996E-4</v>
      </c>
      <c r="AT82" s="137">
        <f t="shared" si="22"/>
        <v>73.260200400000002</v>
      </c>
      <c r="AU82" s="137">
        <f t="shared" si="34"/>
        <v>1068.5145612539341</v>
      </c>
      <c r="AV82" s="137">
        <f t="shared" si="35"/>
        <v>1.1352528287999999</v>
      </c>
      <c r="AW82" s="137">
        <f t="shared" si="36"/>
        <v>72.307257240000013</v>
      </c>
      <c r="AX82" s="137">
        <f t="shared" si="37"/>
        <v>23.6942202</v>
      </c>
      <c r="AY82" s="137">
        <f t="shared" si="38"/>
        <v>3.8622225720000003</v>
      </c>
      <c r="AZ82" s="137">
        <f t="shared" si="39"/>
        <v>1.0297176078E-2</v>
      </c>
      <c r="BA82" s="137">
        <f t="shared" si="40"/>
        <v>16.594793658</v>
      </c>
      <c r="BB82" s="137">
        <f t="shared" si="41"/>
        <v>4.9113224400000011</v>
      </c>
      <c r="BC82" s="137">
        <f t="shared" si="23"/>
        <v>3.3594480360000003</v>
      </c>
      <c r="BD82" s="137">
        <f t="shared" si="24"/>
        <v>8.841458382000001E-3</v>
      </c>
      <c r="BE82" s="137">
        <f t="shared" si="25"/>
        <v>5.0355068879999996</v>
      </c>
      <c r="BF82" s="137">
        <f t="shared" si="26"/>
        <v>-4.7049951540000003E-3</v>
      </c>
      <c r="BG82" s="137">
        <f t="shared" si="27"/>
        <v>1.0539292632E-5</v>
      </c>
      <c r="BH82" s="137">
        <f t="shared" si="28"/>
        <v>8.8619401920000007E-2</v>
      </c>
      <c r="BI82" s="137">
        <f t="shared" si="29"/>
        <v>0.19104785573999999</v>
      </c>
      <c r="BJ82" s="137">
        <f t="shared" si="30"/>
        <v>0.18227086116000002</v>
      </c>
      <c r="BK82" s="137">
        <f t="shared" si="31"/>
        <v>1.1031071670000002E-2</v>
      </c>
      <c r="BL82" s="137">
        <f t="shared" si="32"/>
        <v>1.8764787528000002</v>
      </c>
      <c r="BM82" s="137">
        <f t="shared" si="33"/>
        <v>0.20084031690000001</v>
      </c>
    </row>
    <row r="83" spans="1:65" x14ac:dyDescent="0.25">
      <c r="A83" s="149">
        <v>255</v>
      </c>
      <c r="B83" s="149">
        <v>6</v>
      </c>
      <c r="C83" s="61">
        <v>43.073051999999997</v>
      </c>
      <c r="D83" s="61">
        <v>-89.401229999999998</v>
      </c>
      <c r="E83" s="61" t="s">
        <v>265</v>
      </c>
      <c r="F83" s="149">
        <v>114</v>
      </c>
      <c r="G83" s="61" t="s">
        <v>639</v>
      </c>
      <c r="H83" s="61" t="s">
        <v>640</v>
      </c>
      <c r="I83" s="61">
        <v>42.947552999999999</v>
      </c>
      <c r="J83" s="61">
        <v>-87.896646000000004</v>
      </c>
      <c r="K83" s="61">
        <v>124.3178211</v>
      </c>
      <c r="L83" s="61">
        <v>138.58099999999999</v>
      </c>
      <c r="M83" s="61" t="s">
        <v>617</v>
      </c>
      <c r="N83" s="149">
        <v>5</v>
      </c>
      <c r="O83" s="149">
        <v>6</v>
      </c>
      <c r="P83" s="61" t="s">
        <v>565</v>
      </c>
      <c r="Q83" s="61" t="s">
        <v>564</v>
      </c>
      <c r="R83" s="61">
        <v>41.98028</v>
      </c>
      <c r="S83" s="61">
        <v>-87.908997900000003</v>
      </c>
      <c r="T83" s="61">
        <v>215.59800000000001</v>
      </c>
      <c r="U83" s="61" t="s">
        <v>617</v>
      </c>
      <c r="V83" s="61" t="s">
        <v>617</v>
      </c>
      <c r="W83" s="61"/>
      <c r="Y83" s="137">
        <f>Summary_LCIA!H$32</f>
        <v>0.33979999999999999</v>
      </c>
      <c r="Z83" s="137">
        <f>Summary_LCIA!Q$32</f>
        <v>4.9560504329999997</v>
      </c>
      <c r="AA83" s="137">
        <f>Summary_LCIA!R$32</f>
        <v>5.2655999999999996E-3</v>
      </c>
      <c r="AB83" s="137">
        <f>Summary_LCIA!S$32</f>
        <v>0.33538000000000001</v>
      </c>
      <c r="AC83" s="137">
        <f>Summary_LCIA!T$32</f>
        <v>0.1099</v>
      </c>
      <c r="AD83" s="137">
        <f>Summary_LCIA!U$32</f>
        <v>1.7913999999999999E-2</v>
      </c>
      <c r="AE83" s="137">
        <f>Summary_LCIA!V$32</f>
        <v>4.7760999999999999E-5</v>
      </c>
      <c r="AF83" s="137">
        <f>Summary_LCIA!W$32</f>
        <v>7.6970999999999998E-2</v>
      </c>
      <c r="AG83" s="137">
        <f>Summary_LCIA!X$32</f>
        <v>2.2780000000000002E-2</v>
      </c>
      <c r="AH83" s="137">
        <f>Summary_LCIA!Y$32</f>
        <v>1.5582E-2</v>
      </c>
      <c r="AI83" s="137">
        <f>Summary_LCIA!Z$32</f>
        <v>4.1009E-5</v>
      </c>
      <c r="AJ83" s="137">
        <f>Summary_LCIA!AA$32</f>
        <v>2.3355999999999998E-2</v>
      </c>
      <c r="AK83" s="137">
        <f>Summary_LCIA!AB$32</f>
        <v>-2.1823000000000001E-5</v>
      </c>
      <c r="AL83" s="137">
        <f>Summary_LCIA!AC$32</f>
        <v>4.8884000000000003E-8</v>
      </c>
      <c r="AM83" s="137">
        <f>Summary_LCIA!AD$32</f>
        <v>4.1103999999999999E-4</v>
      </c>
      <c r="AN83" s="137">
        <f>Summary_LCIA!AE$32</f>
        <v>8.8612999999999995E-4</v>
      </c>
      <c r="AO83" s="137">
        <f>Summary_LCIA!AF$32</f>
        <v>8.4542000000000005E-4</v>
      </c>
      <c r="AP83" s="137">
        <f>Summary_LCIA!AG$32</f>
        <v>5.1165000000000002E-5</v>
      </c>
      <c r="AQ83" s="137">
        <f>Summary_LCIA!AH$32</f>
        <v>8.7036000000000006E-3</v>
      </c>
      <c r="AR83" s="137">
        <f>Summary_LCIA!AI$32</f>
        <v>9.3154999999999996E-4</v>
      </c>
      <c r="AT83" s="137">
        <f t="shared" si="22"/>
        <v>73.260200400000002</v>
      </c>
      <c r="AU83" s="137">
        <f t="shared" si="34"/>
        <v>1068.5145612539341</v>
      </c>
      <c r="AV83" s="137">
        <f t="shared" si="35"/>
        <v>1.1352528287999999</v>
      </c>
      <c r="AW83" s="137">
        <f t="shared" si="36"/>
        <v>72.307257240000013</v>
      </c>
      <c r="AX83" s="137">
        <f t="shared" si="37"/>
        <v>23.6942202</v>
      </c>
      <c r="AY83" s="137">
        <f t="shared" si="38"/>
        <v>3.8622225720000003</v>
      </c>
      <c r="AZ83" s="137">
        <f t="shared" si="39"/>
        <v>1.0297176078E-2</v>
      </c>
      <c r="BA83" s="137">
        <f t="shared" si="40"/>
        <v>16.594793658</v>
      </c>
      <c r="BB83" s="137">
        <f t="shared" si="41"/>
        <v>4.9113224400000011</v>
      </c>
      <c r="BC83" s="137">
        <f t="shared" si="23"/>
        <v>3.3594480360000003</v>
      </c>
      <c r="BD83" s="137">
        <f t="shared" si="24"/>
        <v>8.841458382000001E-3</v>
      </c>
      <c r="BE83" s="137">
        <f t="shared" si="25"/>
        <v>5.0355068879999996</v>
      </c>
      <c r="BF83" s="137">
        <f t="shared" si="26"/>
        <v>-4.7049951540000003E-3</v>
      </c>
      <c r="BG83" s="137">
        <f t="shared" si="27"/>
        <v>1.0539292632E-5</v>
      </c>
      <c r="BH83" s="137">
        <f t="shared" si="28"/>
        <v>8.8619401920000007E-2</v>
      </c>
      <c r="BI83" s="137">
        <f t="shared" si="29"/>
        <v>0.19104785573999999</v>
      </c>
      <c r="BJ83" s="137">
        <f t="shared" si="30"/>
        <v>0.18227086116000002</v>
      </c>
      <c r="BK83" s="137">
        <f t="shared" si="31"/>
        <v>1.1031071670000002E-2</v>
      </c>
      <c r="BL83" s="137">
        <f t="shared" si="32"/>
        <v>1.8764787528000002</v>
      </c>
      <c r="BM83" s="137">
        <f t="shared" si="33"/>
        <v>0.20084031690000001</v>
      </c>
    </row>
    <row r="84" spans="1:65" x14ac:dyDescent="0.25">
      <c r="A84" s="149">
        <v>256</v>
      </c>
      <c r="B84" s="149">
        <v>6</v>
      </c>
      <c r="C84" s="61">
        <v>43.073051999999997</v>
      </c>
      <c r="D84" s="61">
        <v>-89.401229999999998</v>
      </c>
      <c r="E84" s="61" t="s">
        <v>265</v>
      </c>
      <c r="F84" s="149">
        <v>114</v>
      </c>
      <c r="G84" s="61" t="s">
        <v>639</v>
      </c>
      <c r="H84" s="61" t="s">
        <v>640</v>
      </c>
      <c r="I84" s="61">
        <v>42.947552999999999</v>
      </c>
      <c r="J84" s="61">
        <v>-87.896646000000004</v>
      </c>
      <c r="K84" s="61">
        <v>124.3178211</v>
      </c>
      <c r="L84" s="61">
        <v>138.58099999999999</v>
      </c>
      <c r="M84" s="61" t="s">
        <v>617</v>
      </c>
      <c r="N84" s="149">
        <v>5</v>
      </c>
      <c r="O84" s="149">
        <v>6</v>
      </c>
      <c r="P84" s="61" t="s">
        <v>565</v>
      </c>
      <c r="Q84" s="61" t="s">
        <v>564</v>
      </c>
      <c r="R84" s="61">
        <v>41.98028</v>
      </c>
      <c r="S84" s="61">
        <v>-87.908997900000003</v>
      </c>
      <c r="T84" s="61">
        <v>215.59800000000001</v>
      </c>
      <c r="U84" s="61" t="s">
        <v>617</v>
      </c>
      <c r="V84" s="61" t="s">
        <v>617</v>
      </c>
      <c r="W84" s="61"/>
      <c r="Y84" s="137">
        <f>Summary_LCIA!H$32</f>
        <v>0.33979999999999999</v>
      </c>
      <c r="Z84" s="137">
        <f>Summary_LCIA!Q$32</f>
        <v>4.9560504329999997</v>
      </c>
      <c r="AA84" s="137">
        <f>Summary_LCIA!R$32</f>
        <v>5.2655999999999996E-3</v>
      </c>
      <c r="AB84" s="137">
        <f>Summary_LCIA!S$32</f>
        <v>0.33538000000000001</v>
      </c>
      <c r="AC84" s="137">
        <f>Summary_LCIA!T$32</f>
        <v>0.1099</v>
      </c>
      <c r="AD84" s="137">
        <f>Summary_LCIA!U$32</f>
        <v>1.7913999999999999E-2</v>
      </c>
      <c r="AE84" s="137">
        <f>Summary_LCIA!V$32</f>
        <v>4.7760999999999999E-5</v>
      </c>
      <c r="AF84" s="137">
        <f>Summary_LCIA!W$32</f>
        <v>7.6970999999999998E-2</v>
      </c>
      <c r="AG84" s="137">
        <f>Summary_LCIA!X$32</f>
        <v>2.2780000000000002E-2</v>
      </c>
      <c r="AH84" s="137">
        <f>Summary_LCIA!Y$32</f>
        <v>1.5582E-2</v>
      </c>
      <c r="AI84" s="137">
        <f>Summary_LCIA!Z$32</f>
        <v>4.1009E-5</v>
      </c>
      <c r="AJ84" s="137">
        <f>Summary_LCIA!AA$32</f>
        <v>2.3355999999999998E-2</v>
      </c>
      <c r="AK84" s="137">
        <f>Summary_LCIA!AB$32</f>
        <v>-2.1823000000000001E-5</v>
      </c>
      <c r="AL84" s="137">
        <f>Summary_LCIA!AC$32</f>
        <v>4.8884000000000003E-8</v>
      </c>
      <c r="AM84" s="137">
        <f>Summary_LCIA!AD$32</f>
        <v>4.1103999999999999E-4</v>
      </c>
      <c r="AN84" s="137">
        <f>Summary_LCIA!AE$32</f>
        <v>8.8612999999999995E-4</v>
      </c>
      <c r="AO84" s="137">
        <f>Summary_LCIA!AF$32</f>
        <v>8.4542000000000005E-4</v>
      </c>
      <c r="AP84" s="137">
        <f>Summary_LCIA!AG$32</f>
        <v>5.1165000000000002E-5</v>
      </c>
      <c r="AQ84" s="137">
        <f>Summary_LCIA!AH$32</f>
        <v>8.7036000000000006E-3</v>
      </c>
      <c r="AR84" s="137">
        <f>Summary_LCIA!AI$32</f>
        <v>9.3154999999999996E-4</v>
      </c>
      <c r="AT84" s="137">
        <f t="shared" si="22"/>
        <v>73.260200400000002</v>
      </c>
      <c r="AU84" s="137">
        <f t="shared" si="34"/>
        <v>1068.5145612539341</v>
      </c>
      <c r="AV84" s="137">
        <f t="shared" si="35"/>
        <v>1.1352528287999999</v>
      </c>
      <c r="AW84" s="137">
        <f t="shared" si="36"/>
        <v>72.307257240000013</v>
      </c>
      <c r="AX84" s="137">
        <f t="shared" si="37"/>
        <v>23.6942202</v>
      </c>
      <c r="AY84" s="137">
        <f t="shared" si="38"/>
        <v>3.8622225720000003</v>
      </c>
      <c r="AZ84" s="137">
        <f t="shared" si="39"/>
        <v>1.0297176078E-2</v>
      </c>
      <c r="BA84" s="137">
        <f t="shared" si="40"/>
        <v>16.594793658</v>
      </c>
      <c r="BB84" s="137">
        <f t="shared" si="41"/>
        <v>4.9113224400000011</v>
      </c>
      <c r="BC84" s="137">
        <f t="shared" si="23"/>
        <v>3.3594480360000003</v>
      </c>
      <c r="BD84" s="137">
        <f t="shared" si="24"/>
        <v>8.841458382000001E-3</v>
      </c>
      <c r="BE84" s="137">
        <f t="shared" si="25"/>
        <v>5.0355068879999996</v>
      </c>
      <c r="BF84" s="137">
        <f t="shared" si="26"/>
        <v>-4.7049951540000003E-3</v>
      </c>
      <c r="BG84" s="137">
        <f t="shared" si="27"/>
        <v>1.0539292632E-5</v>
      </c>
      <c r="BH84" s="137">
        <f t="shared" si="28"/>
        <v>8.8619401920000007E-2</v>
      </c>
      <c r="BI84" s="137">
        <f t="shared" si="29"/>
        <v>0.19104785573999999</v>
      </c>
      <c r="BJ84" s="137">
        <f t="shared" si="30"/>
        <v>0.18227086116000002</v>
      </c>
      <c r="BK84" s="137">
        <f t="shared" si="31"/>
        <v>1.1031071670000002E-2</v>
      </c>
      <c r="BL84" s="137">
        <f t="shared" si="32"/>
        <v>1.8764787528000002</v>
      </c>
      <c r="BM84" s="137">
        <f t="shared" si="33"/>
        <v>0.20084031690000001</v>
      </c>
    </row>
    <row r="85" spans="1:65" x14ac:dyDescent="0.25">
      <c r="A85" s="149">
        <v>257</v>
      </c>
      <c r="B85" s="149">
        <v>6</v>
      </c>
      <c r="C85" s="61">
        <v>43.073051999999997</v>
      </c>
      <c r="D85" s="61">
        <v>-89.401229999999998</v>
      </c>
      <c r="E85" s="61" t="s">
        <v>265</v>
      </c>
      <c r="F85" s="149">
        <v>114</v>
      </c>
      <c r="G85" s="61" t="s">
        <v>639</v>
      </c>
      <c r="H85" s="61" t="s">
        <v>640</v>
      </c>
      <c r="I85" s="61">
        <v>42.947552999999999</v>
      </c>
      <c r="J85" s="61">
        <v>-87.896646000000004</v>
      </c>
      <c r="K85" s="61">
        <v>124.3178211</v>
      </c>
      <c r="L85" s="61">
        <v>138.58099999999999</v>
      </c>
      <c r="M85" s="61" t="s">
        <v>617</v>
      </c>
      <c r="N85" s="149">
        <v>5</v>
      </c>
      <c r="O85" s="149">
        <v>6</v>
      </c>
      <c r="P85" s="61" t="s">
        <v>565</v>
      </c>
      <c r="Q85" s="61" t="s">
        <v>564</v>
      </c>
      <c r="R85" s="61">
        <v>41.98028</v>
      </c>
      <c r="S85" s="61">
        <v>-87.908997900000003</v>
      </c>
      <c r="T85" s="61">
        <v>215.59800000000001</v>
      </c>
      <c r="U85" s="61" t="s">
        <v>617</v>
      </c>
      <c r="V85" s="61" t="s">
        <v>617</v>
      </c>
      <c r="W85" s="61"/>
      <c r="Y85" s="137">
        <f>Summary_LCIA!H$32</f>
        <v>0.33979999999999999</v>
      </c>
      <c r="Z85" s="137">
        <f>Summary_LCIA!Q$32</f>
        <v>4.9560504329999997</v>
      </c>
      <c r="AA85" s="137">
        <f>Summary_LCIA!R$32</f>
        <v>5.2655999999999996E-3</v>
      </c>
      <c r="AB85" s="137">
        <f>Summary_LCIA!S$32</f>
        <v>0.33538000000000001</v>
      </c>
      <c r="AC85" s="137">
        <f>Summary_LCIA!T$32</f>
        <v>0.1099</v>
      </c>
      <c r="AD85" s="137">
        <f>Summary_LCIA!U$32</f>
        <v>1.7913999999999999E-2</v>
      </c>
      <c r="AE85" s="137">
        <f>Summary_LCIA!V$32</f>
        <v>4.7760999999999999E-5</v>
      </c>
      <c r="AF85" s="137">
        <f>Summary_LCIA!W$32</f>
        <v>7.6970999999999998E-2</v>
      </c>
      <c r="AG85" s="137">
        <f>Summary_LCIA!X$32</f>
        <v>2.2780000000000002E-2</v>
      </c>
      <c r="AH85" s="137">
        <f>Summary_LCIA!Y$32</f>
        <v>1.5582E-2</v>
      </c>
      <c r="AI85" s="137">
        <f>Summary_LCIA!Z$32</f>
        <v>4.1009E-5</v>
      </c>
      <c r="AJ85" s="137">
        <f>Summary_LCIA!AA$32</f>
        <v>2.3355999999999998E-2</v>
      </c>
      <c r="AK85" s="137">
        <f>Summary_LCIA!AB$32</f>
        <v>-2.1823000000000001E-5</v>
      </c>
      <c r="AL85" s="137">
        <f>Summary_LCIA!AC$32</f>
        <v>4.8884000000000003E-8</v>
      </c>
      <c r="AM85" s="137">
        <f>Summary_LCIA!AD$32</f>
        <v>4.1103999999999999E-4</v>
      </c>
      <c r="AN85" s="137">
        <f>Summary_LCIA!AE$32</f>
        <v>8.8612999999999995E-4</v>
      </c>
      <c r="AO85" s="137">
        <f>Summary_LCIA!AF$32</f>
        <v>8.4542000000000005E-4</v>
      </c>
      <c r="AP85" s="137">
        <f>Summary_LCIA!AG$32</f>
        <v>5.1165000000000002E-5</v>
      </c>
      <c r="AQ85" s="137">
        <f>Summary_LCIA!AH$32</f>
        <v>8.7036000000000006E-3</v>
      </c>
      <c r="AR85" s="137">
        <f>Summary_LCIA!AI$32</f>
        <v>9.3154999999999996E-4</v>
      </c>
      <c r="AT85" s="137">
        <f t="shared" si="22"/>
        <v>73.260200400000002</v>
      </c>
      <c r="AU85" s="137">
        <f t="shared" si="34"/>
        <v>1068.5145612539341</v>
      </c>
      <c r="AV85" s="137">
        <f t="shared" si="35"/>
        <v>1.1352528287999999</v>
      </c>
      <c r="AW85" s="137">
        <f t="shared" si="36"/>
        <v>72.307257240000013</v>
      </c>
      <c r="AX85" s="137">
        <f t="shared" si="37"/>
        <v>23.6942202</v>
      </c>
      <c r="AY85" s="137">
        <f t="shared" si="38"/>
        <v>3.8622225720000003</v>
      </c>
      <c r="AZ85" s="137">
        <f t="shared" si="39"/>
        <v>1.0297176078E-2</v>
      </c>
      <c r="BA85" s="137">
        <f t="shared" si="40"/>
        <v>16.594793658</v>
      </c>
      <c r="BB85" s="137">
        <f t="shared" si="41"/>
        <v>4.9113224400000011</v>
      </c>
      <c r="BC85" s="137">
        <f t="shared" si="23"/>
        <v>3.3594480360000003</v>
      </c>
      <c r="BD85" s="137">
        <f t="shared" si="24"/>
        <v>8.841458382000001E-3</v>
      </c>
      <c r="BE85" s="137">
        <f t="shared" si="25"/>
        <v>5.0355068879999996</v>
      </c>
      <c r="BF85" s="137">
        <f t="shared" si="26"/>
        <v>-4.7049951540000003E-3</v>
      </c>
      <c r="BG85" s="137">
        <f t="shared" si="27"/>
        <v>1.0539292632E-5</v>
      </c>
      <c r="BH85" s="137">
        <f t="shared" si="28"/>
        <v>8.8619401920000007E-2</v>
      </c>
      <c r="BI85" s="137">
        <f t="shared" si="29"/>
        <v>0.19104785573999999</v>
      </c>
      <c r="BJ85" s="137">
        <f t="shared" si="30"/>
        <v>0.18227086116000002</v>
      </c>
      <c r="BK85" s="137">
        <f t="shared" si="31"/>
        <v>1.1031071670000002E-2</v>
      </c>
      <c r="BL85" s="137">
        <f t="shared" si="32"/>
        <v>1.8764787528000002</v>
      </c>
      <c r="BM85" s="137">
        <f t="shared" si="33"/>
        <v>0.20084031690000001</v>
      </c>
    </row>
    <row r="86" spans="1:65" x14ac:dyDescent="0.25">
      <c r="A86" s="149">
        <v>258</v>
      </c>
      <c r="B86" s="149">
        <v>6</v>
      </c>
      <c r="C86" s="61">
        <v>43.073051999999997</v>
      </c>
      <c r="D86" s="61">
        <v>-89.401229999999998</v>
      </c>
      <c r="E86" s="61" t="s">
        <v>265</v>
      </c>
      <c r="F86" s="149">
        <v>114</v>
      </c>
      <c r="G86" s="61" t="s">
        <v>639</v>
      </c>
      <c r="H86" s="61" t="s">
        <v>640</v>
      </c>
      <c r="I86" s="61">
        <v>42.947552999999999</v>
      </c>
      <c r="J86" s="61">
        <v>-87.896646000000004</v>
      </c>
      <c r="K86" s="61">
        <v>124.3178211</v>
      </c>
      <c r="L86" s="61">
        <v>138.58099999999999</v>
      </c>
      <c r="M86" s="61" t="s">
        <v>617</v>
      </c>
      <c r="N86" s="149">
        <v>5</v>
      </c>
      <c r="O86" s="149">
        <v>6</v>
      </c>
      <c r="P86" s="61" t="s">
        <v>565</v>
      </c>
      <c r="Q86" s="61" t="s">
        <v>564</v>
      </c>
      <c r="R86" s="61">
        <v>41.98028</v>
      </c>
      <c r="S86" s="61">
        <v>-87.908997900000003</v>
      </c>
      <c r="T86" s="61">
        <v>215.59800000000001</v>
      </c>
      <c r="U86" s="61" t="s">
        <v>617</v>
      </c>
      <c r="V86" s="61" t="s">
        <v>617</v>
      </c>
      <c r="W86" s="61"/>
      <c r="Y86" s="137">
        <f>Summary_LCIA!H$32</f>
        <v>0.33979999999999999</v>
      </c>
      <c r="Z86" s="137">
        <f>Summary_LCIA!Q$32</f>
        <v>4.9560504329999997</v>
      </c>
      <c r="AA86" s="137">
        <f>Summary_LCIA!R$32</f>
        <v>5.2655999999999996E-3</v>
      </c>
      <c r="AB86" s="137">
        <f>Summary_LCIA!S$32</f>
        <v>0.33538000000000001</v>
      </c>
      <c r="AC86" s="137">
        <f>Summary_LCIA!T$32</f>
        <v>0.1099</v>
      </c>
      <c r="AD86" s="137">
        <f>Summary_LCIA!U$32</f>
        <v>1.7913999999999999E-2</v>
      </c>
      <c r="AE86" s="137">
        <f>Summary_LCIA!V$32</f>
        <v>4.7760999999999999E-5</v>
      </c>
      <c r="AF86" s="137">
        <f>Summary_LCIA!W$32</f>
        <v>7.6970999999999998E-2</v>
      </c>
      <c r="AG86" s="137">
        <f>Summary_LCIA!X$32</f>
        <v>2.2780000000000002E-2</v>
      </c>
      <c r="AH86" s="137">
        <f>Summary_LCIA!Y$32</f>
        <v>1.5582E-2</v>
      </c>
      <c r="AI86" s="137">
        <f>Summary_LCIA!Z$32</f>
        <v>4.1009E-5</v>
      </c>
      <c r="AJ86" s="137">
        <f>Summary_LCIA!AA$32</f>
        <v>2.3355999999999998E-2</v>
      </c>
      <c r="AK86" s="137">
        <f>Summary_LCIA!AB$32</f>
        <v>-2.1823000000000001E-5</v>
      </c>
      <c r="AL86" s="137">
        <f>Summary_LCIA!AC$32</f>
        <v>4.8884000000000003E-8</v>
      </c>
      <c r="AM86" s="137">
        <f>Summary_LCIA!AD$32</f>
        <v>4.1103999999999999E-4</v>
      </c>
      <c r="AN86" s="137">
        <f>Summary_LCIA!AE$32</f>
        <v>8.8612999999999995E-4</v>
      </c>
      <c r="AO86" s="137">
        <f>Summary_LCIA!AF$32</f>
        <v>8.4542000000000005E-4</v>
      </c>
      <c r="AP86" s="137">
        <f>Summary_LCIA!AG$32</f>
        <v>5.1165000000000002E-5</v>
      </c>
      <c r="AQ86" s="137">
        <f>Summary_LCIA!AH$32</f>
        <v>8.7036000000000006E-3</v>
      </c>
      <c r="AR86" s="137">
        <f>Summary_LCIA!AI$32</f>
        <v>9.3154999999999996E-4</v>
      </c>
      <c r="AT86" s="137">
        <f t="shared" si="22"/>
        <v>73.260200400000002</v>
      </c>
      <c r="AU86" s="137">
        <f t="shared" si="34"/>
        <v>1068.5145612539341</v>
      </c>
      <c r="AV86" s="137">
        <f t="shared" si="35"/>
        <v>1.1352528287999999</v>
      </c>
      <c r="AW86" s="137">
        <f t="shared" si="36"/>
        <v>72.307257240000013</v>
      </c>
      <c r="AX86" s="137">
        <f t="shared" si="37"/>
        <v>23.6942202</v>
      </c>
      <c r="AY86" s="137">
        <f t="shared" si="38"/>
        <v>3.8622225720000003</v>
      </c>
      <c r="AZ86" s="137">
        <f t="shared" si="39"/>
        <v>1.0297176078E-2</v>
      </c>
      <c r="BA86" s="137">
        <f t="shared" si="40"/>
        <v>16.594793658</v>
      </c>
      <c r="BB86" s="137">
        <f t="shared" si="41"/>
        <v>4.9113224400000011</v>
      </c>
      <c r="BC86" s="137">
        <f t="shared" si="23"/>
        <v>3.3594480360000003</v>
      </c>
      <c r="BD86" s="137">
        <f t="shared" si="24"/>
        <v>8.841458382000001E-3</v>
      </c>
      <c r="BE86" s="137">
        <f t="shared" si="25"/>
        <v>5.0355068879999996</v>
      </c>
      <c r="BF86" s="137">
        <f t="shared" si="26"/>
        <v>-4.7049951540000003E-3</v>
      </c>
      <c r="BG86" s="137">
        <f t="shared" si="27"/>
        <v>1.0539292632E-5</v>
      </c>
      <c r="BH86" s="137">
        <f t="shared" si="28"/>
        <v>8.8619401920000007E-2</v>
      </c>
      <c r="BI86" s="137">
        <f t="shared" si="29"/>
        <v>0.19104785573999999</v>
      </c>
      <c r="BJ86" s="137">
        <f t="shared" si="30"/>
        <v>0.18227086116000002</v>
      </c>
      <c r="BK86" s="137">
        <f t="shared" si="31"/>
        <v>1.1031071670000002E-2</v>
      </c>
      <c r="BL86" s="137">
        <f t="shared" si="32"/>
        <v>1.8764787528000002</v>
      </c>
      <c r="BM86" s="137">
        <f t="shared" si="33"/>
        <v>0.20084031690000001</v>
      </c>
    </row>
    <row r="87" spans="1:65" x14ac:dyDescent="0.25">
      <c r="A87" s="149">
        <v>259</v>
      </c>
      <c r="B87" s="149">
        <v>6</v>
      </c>
      <c r="C87" s="61">
        <v>43.073051999999997</v>
      </c>
      <c r="D87" s="61">
        <v>-89.401229999999998</v>
      </c>
      <c r="E87" s="61" t="s">
        <v>265</v>
      </c>
      <c r="F87" s="149">
        <v>114</v>
      </c>
      <c r="G87" s="61" t="s">
        <v>639</v>
      </c>
      <c r="H87" s="61" t="s">
        <v>640</v>
      </c>
      <c r="I87" s="61">
        <v>42.947552999999999</v>
      </c>
      <c r="J87" s="61">
        <v>-87.896646000000004</v>
      </c>
      <c r="K87" s="61">
        <v>124.3178211</v>
      </c>
      <c r="L87" s="61">
        <v>138.58099999999999</v>
      </c>
      <c r="M87" s="61" t="s">
        <v>617</v>
      </c>
      <c r="N87" s="149">
        <v>5</v>
      </c>
      <c r="O87" s="149">
        <v>6</v>
      </c>
      <c r="P87" s="61" t="s">
        <v>565</v>
      </c>
      <c r="Q87" s="61" t="s">
        <v>564</v>
      </c>
      <c r="R87" s="61">
        <v>41.98028</v>
      </c>
      <c r="S87" s="61">
        <v>-87.908997900000003</v>
      </c>
      <c r="T87" s="61">
        <v>215.59800000000001</v>
      </c>
      <c r="U87" s="61" t="s">
        <v>617</v>
      </c>
      <c r="V87" s="61" t="s">
        <v>617</v>
      </c>
      <c r="W87" s="61"/>
      <c r="Y87" s="137">
        <f>Summary_LCIA!H$32</f>
        <v>0.33979999999999999</v>
      </c>
      <c r="Z87" s="137">
        <f>Summary_LCIA!Q$32</f>
        <v>4.9560504329999997</v>
      </c>
      <c r="AA87" s="137">
        <f>Summary_LCIA!R$32</f>
        <v>5.2655999999999996E-3</v>
      </c>
      <c r="AB87" s="137">
        <f>Summary_LCIA!S$32</f>
        <v>0.33538000000000001</v>
      </c>
      <c r="AC87" s="137">
        <f>Summary_LCIA!T$32</f>
        <v>0.1099</v>
      </c>
      <c r="AD87" s="137">
        <f>Summary_LCIA!U$32</f>
        <v>1.7913999999999999E-2</v>
      </c>
      <c r="AE87" s="137">
        <f>Summary_LCIA!V$32</f>
        <v>4.7760999999999999E-5</v>
      </c>
      <c r="AF87" s="137">
        <f>Summary_LCIA!W$32</f>
        <v>7.6970999999999998E-2</v>
      </c>
      <c r="AG87" s="137">
        <f>Summary_LCIA!X$32</f>
        <v>2.2780000000000002E-2</v>
      </c>
      <c r="AH87" s="137">
        <f>Summary_LCIA!Y$32</f>
        <v>1.5582E-2</v>
      </c>
      <c r="AI87" s="137">
        <f>Summary_LCIA!Z$32</f>
        <v>4.1009E-5</v>
      </c>
      <c r="AJ87" s="137">
        <f>Summary_LCIA!AA$32</f>
        <v>2.3355999999999998E-2</v>
      </c>
      <c r="AK87" s="137">
        <f>Summary_LCIA!AB$32</f>
        <v>-2.1823000000000001E-5</v>
      </c>
      <c r="AL87" s="137">
        <f>Summary_LCIA!AC$32</f>
        <v>4.8884000000000003E-8</v>
      </c>
      <c r="AM87" s="137">
        <f>Summary_LCIA!AD$32</f>
        <v>4.1103999999999999E-4</v>
      </c>
      <c r="AN87" s="137">
        <f>Summary_LCIA!AE$32</f>
        <v>8.8612999999999995E-4</v>
      </c>
      <c r="AO87" s="137">
        <f>Summary_LCIA!AF$32</f>
        <v>8.4542000000000005E-4</v>
      </c>
      <c r="AP87" s="137">
        <f>Summary_LCIA!AG$32</f>
        <v>5.1165000000000002E-5</v>
      </c>
      <c r="AQ87" s="137">
        <f>Summary_LCIA!AH$32</f>
        <v>8.7036000000000006E-3</v>
      </c>
      <c r="AR87" s="137">
        <f>Summary_LCIA!AI$32</f>
        <v>9.3154999999999996E-4</v>
      </c>
      <c r="AT87" s="137">
        <f t="shared" si="22"/>
        <v>73.260200400000002</v>
      </c>
      <c r="AU87" s="137">
        <f t="shared" si="34"/>
        <v>1068.5145612539341</v>
      </c>
      <c r="AV87" s="137">
        <f t="shared" si="35"/>
        <v>1.1352528287999999</v>
      </c>
      <c r="AW87" s="137">
        <f t="shared" si="36"/>
        <v>72.307257240000013</v>
      </c>
      <c r="AX87" s="137">
        <f t="shared" si="37"/>
        <v>23.6942202</v>
      </c>
      <c r="AY87" s="137">
        <f t="shared" si="38"/>
        <v>3.8622225720000003</v>
      </c>
      <c r="AZ87" s="137">
        <f t="shared" si="39"/>
        <v>1.0297176078E-2</v>
      </c>
      <c r="BA87" s="137">
        <f t="shared" si="40"/>
        <v>16.594793658</v>
      </c>
      <c r="BB87" s="137">
        <f t="shared" si="41"/>
        <v>4.9113224400000011</v>
      </c>
      <c r="BC87" s="137">
        <f t="shared" si="23"/>
        <v>3.3594480360000003</v>
      </c>
      <c r="BD87" s="137">
        <f t="shared" si="24"/>
        <v>8.841458382000001E-3</v>
      </c>
      <c r="BE87" s="137">
        <f t="shared" si="25"/>
        <v>5.0355068879999996</v>
      </c>
      <c r="BF87" s="137">
        <f t="shared" si="26"/>
        <v>-4.7049951540000003E-3</v>
      </c>
      <c r="BG87" s="137">
        <f t="shared" si="27"/>
        <v>1.0539292632E-5</v>
      </c>
      <c r="BH87" s="137">
        <f t="shared" si="28"/>
        <v>8.8619401920000007E-2</v>
      </c>
      <c r="BI87" s="137">
        <f t="shared" si="29"/>
        <v>0.19104785573999999</v>
      </c>
      <c r="BJ87" s="137">
        <f t="shared" si="30"/>
        <v>0.18227086116000002</v>
      </c>
      <c r="BK87" s="137">
        <f t="shared" si="31"/>
        <v>1.1031071670000002E-2</v>
      </c>
      <c r="BL87" s="137">
        <f t="shared" si="32"/>
        <v>1.8764787528000002</v>
      </c>
      <c r="BM87" s="137">
        <f t="shared" si="33"/>
        <v>0.20084031690000001</v>
      </c>
    </row>
    <row r="88" spans="1:65" x14ac:dyDescent="0.25">
      <c r="A88" s="149">
        <v>260</v>
      </c>
      <c r="B88" s="149">
        <v>6</v>
      </c>
      <c r="C88" s="61">
        <v>43.073051999999997</v>
      </c>
      <c r="D88" s="61">
        <v>-89.401229999999998</v>
      </c>
      <c r="E88" s="61" t="s">
        <v>265</v>
      </c>
      <c r="F88" s="149">
        <v>114</v>
      </c>
      <c r="G88" s="61" t="s">
        <v>639</v>
      </c>
      <c r="H88" s="61" t="s">
        <v>640</v>
      </c>
      <c r="I88" s="61">
        <v>42.947552999999999</v>
      </c>
      <c r="J88" s="61">
        <v>-87.896646000000004</v>
      </c>
      <c r="K88" s="61">
        <v>124.3178211</v>
      </c>
      <c r="L88" s="61">
        <v>138.58099999999999</v>
      </c>
      <c r="M88" s="61" t="s">
        <v>617</v>
      </c>
      <c r="N88" s="149">
        <v>5</v>
      </c>
      <c r="O88" s="149">
        <v>6</v>
      </c>
      <c r="P88" s="61" t="s">
        <v>565</v>
      </c>
      <c r="Q88" s="61" t="s">
        <v>564</v>
      </c>
      <c r="R88" s="61">
        <v>41.98028</v>
      </c>
      <c r="S88" s="61">
        <v>-87.908997900000003</v>
      </c>
      <c r="T88" s="61">
        <v>215.59800000000001</v>
      </c>
      <c r="U88" s="61" t="s">
        <v>617</v>
      </c>
      <c r="V88" s="61" t="s">
        <v>617</v>
      </c>
      <c r="W88" s="61"/>
      <c r="Y88" s="137">
        <f>Summary_LCIA!H$32</f>
        <v>0.33979999999999999</v>
      </c>
      <c r="Z88" s="137">
        <f>Summary_LCIA!Q$32</f>
        <v>4.9560504329999997</v>
      </c>
      <c r="AA88" s="137">
        <f>Summary_LCIA!R$32</f>
        <v>5.2655999999999996E-3</v>
      </c>
      <c r="AB88" s="137">
        <f>Summary_LCIA!S$32</f>
        <v>0.33538000000000001</v>
      </c>
      <c r="AC88" s="137">
        <f>Summary_LCIA!T$32</f>
        <v>0.1099</v>
      </c>
      <c r="AD88" s="137">
        <f>Summary_LCIA!U$32</f>
        <v>1.7913999999999999E-2</v>
      </c>
      <c r="AE88" s="137">
        <f>Summary_LCIA!V$32</f>
        <v>4.7760999999999999E-5</v>
      </c>
      <c r="AF88" s="137">
        <f>Summary_LCIA!W$32</f>
        <v>7.6970999999999998E-2</v>
      </c>
      <c r="AG88" s="137">
        <f>Summary_LCIA!X$32</f>
        <v>2.2780000000000002E-2</v>
      </c>
      <c r="AH88" s="137">
        <f>Summary_LCIA!Y$32</f>
        <v>1.5582E-2</v>
      </c>
      <c r="AI88" s="137">
        <f>Summary_LCIA!Z$32</f>
        <v>4.1009E-5</v>
      </c>
      <c r="AJ88" s="137">
        <f>Summary_LCIA!AA$32</f>
        <v>2.3355999999999998E-2</v>
      </c>
      <c r="AK88" s="137">
        <f>Summary_LCIA!AB$32</f>
        <v>-2.1823000000000001E-5</v>
      </c>
      <c r="AL88" s="137">
        <f>Summary_LCIA!AC$32</f>
        <v>4.8884000000000003E-8</v>
      </c>
      <c r="AM88" s="137">
        <f>Summary_LCIA!AD$32</f>
        <v>4.1103999999999999E-4</v>
      </c>
      <c r="AN88" s="137">
        <f>Summary_LCIA!AE$32</f>
        <v>8.8612999999999995E-4</v>
      </c>
      <c r="AO88" s="137">
        <f>Summary_LCIA!AF$32</f>
        <v>8.4542000000000005E-4</v>
      </c>
      <c r="AP88" s="137">
        <f>Summary_LCIA!AG$32</f>
        <v>5.1165000000000002E-5</v>
      </c>
      <c r="AQ88" s="137">
        <f>Summary_LCIA!AH$32</f>
        <v>8.7036000000000006E-3</v>
      </c>
      <c r="AR88" s="137">
        <f>Summary_LCIA!AI$32</f>
        <v>9.3154999999999996E-4</v>
      </c>
      <c r="AT88" s="137">
        <f t="shared" si="22"/>
        <v>73.260200400000002</v>
      </c>
      <c r="AU88" s="137">
        <f t="shared" si="34"/>
        <v>1068.5145612539341</v>
      </c>
      <c r="AV88" s="137">
        <f t="shared" si="35"/>
        <v>1.1352528287999999</v>
      </c>
      <c r="AW88" s="137">
        <f t="shared" si="36"/>
        <v>72.307257240000013</v>
      </c>
      <c r="AX88" s="137">
        <f t="shared" si="37"/>
        <v>23.6942202</v>
      </c>
      <c r="AY88" s="137">
        <f t="shared" si="38"/>
        <v>3.8622225720000003</v>
      </c>
      <c r="AZ88" s="137">
        <f t="shared" si="39"/>
        <v>1.0297176078E-2</v>
      </c>
      <c r="BA88" s="137">
        <f t="shared" si="40"/>
        <v>16.594793658</v>
      </c>
      <c r="BB88" s="137">
        <f t="shared" si="41"/>
        <v>4.9113224400000011</v>
      </c>
      <c r="BC88" s="137">
        <f t="shared" si="23"/>
        <v>3.3594480360000003</v>
      </c>
      <c r="BD88" s="137">
        <f t="shared" si="24"/>
        <v>8.841458382000001E-3</v>
      </c>
      <c r="BE88" s="137">
        <f t="shared" si="25"/>
        <v>5.0355068879999996</v>
      </c>
      <c r="BF88" s="137">
        <f t="shared" si="26"/>
        <v>-4.7049951540000003E-3</v>
      </c>
      <c r="BG88" s="137">
        <f t="shared" si="27"/>
        <v>1.0539292632E-5</v>
      </c>
      <c r="BH88" s="137">
        <f t="shared" si="28"/>
        <v>8.8619401920000007E-2</v>
      </c>
      <c r="BI88" s="137">
        <f t="shared" si="29"/>
        <v>0.19104785573999999</v>
      </c>
      <c r="BJ88" s="137">
        <f t="shared" si="30"/>
        <v>0.18227086116000002</v>
      </c>
      <c r="BK88" s="137">
        <f t="shared" si="31"/>
        <v>1.1031071670000002E-2</v>
      </c>
      <c r="BL88" s="137">
        <f t="shared" si="32"/>
        <v>1.8764787528000002</v>
      </c>
      <c r="BM88" s="137">
        <f t="shared" si="33"/>
        <v>0.20084031690000001</v>
      </c>
    </row>
    <row r="89" spans="1:65" x14ac:dyDescent="0.25">
      <c r="A89" s="149">
        <v>261</v>
      </c>
      <c r="B89" s="149">
        <v>6</v>
      </c>
      <c r="C89" s="61">
        <v>43.073051999999997</v>
      </c>
      <c r="D89" s="61">
        <v>-89.401229999999998</v>
      </c>
      <c r="E89" s="61" t="s">
        <v>265</v>
      </c>
      <c r="F89" s="149">
        <v>114</v>
      </c>
      <c r="G89" s="61" t="s">
        <v>639</v>
      </c>
      <c r="H89" s="61" t="s">
        <v>640</v>
      </c>
      <c r="I89" s="61">
        <v>42.947552999999999</v>
      </c>
      <c r="J89" s="61">
        <v>-87.896646000000004</v>
      </c>
      <c r="K89" s="61">
        <v>124.3178211</v>
      </c>
      <c r="L89" s="61">
        <v>138.58099999999999</v>
      </c>
      <c r="M89" s="61" t="s">
        <v>617</v>
      </c>
      <c r="N89" s="149">
        <v>5</v>
      </c>
      <c r="O89" s="149">
        <v>6</v>
      </c>
      <c r="P89" s="61" t="s">
        <v>565</v>
      </c>
      <c r="Q89" s="61" t="s">
        <v>564</v>
      </c>
      <c r="R89" s="61">
        <v>41.98028</v>
      </c>
      <c r="S89" s="61">
        <v>-87.908997900000003</v>
      </c>
      <c r="T89" s="61">
        <v>215.59800000000001</v>
      </c>
      <c r="U89" s="61" t="s">
        <v>617</v>
      </c>
      <c r="V89" s="61" t="s">
        <v>617</v>
      </c>
      <c r="W89" s="61"/>
      <c r="Y89" s="137">
        <f>Summary_LCIA!H$32</f>
        <v>0.33979999999999999</v>
      </c>
      <c r="Z89" s="137">
        <f>Summary_LCIA!Q$32</f>
        <v>4.9560504329999997</v>
      </c>
      <c r="AA89" s="137">
        <f>Summary_LCIA!R$32</f>
        <v>5.2655999999999996E-3</v>
      </c>
      <c r="AB89" s="137">
        <f>Summary_LCIA!S$32</f>
        <v>0.33538000000000001</v>
      </c>
      <c r="AC89" s="137">
        <f>Summary_LCIA!T$32</f>
        <v>0.1099</v>
      </c>
      <c r="AD89" s="137">
        <f>Summary_LCIA!U$32</f>
        <v>1.7913999999999999E-2</v>
      </c>
      <c r="AE89" s="137">
        <f>Summary_LCIA!V$32</f>
        <v>4.7760999999999999E-5</v>
      </c>
      <c r="AF89" s="137">
        <f>Summary_LCIA!W$32</f>
        <v>7.6970999999999998E-2</v>
      </c>
      <c r="AG89" s="137">
        <f>Summary_LCIA!X$32</f>
        <v>2.2780000000000002E-2</v>
      </c>
      <c r="AH89" s="137">
        <f>Summary_LCIA!Y$32</f>
        <v>1.5582E-2</v>
      </c>
      <c r="AI89" s="137">
        <f>Summary_LCIA!Z$32</f>
        <v>4.1009E-5</v>
      </c>
      <c r="AJ89" s="137">
        <f>Summary_LCIA!AA$32</f>
        <v>2.3355999999999998E-2</v>
      </c>
      <c r="AK89" s="137">
        <f>Summary_LCIA!AB$32</f>
        <v>-2.1823000000000001E-5</v>
      </c>
      <c r="AL89" s="137">
        <f>Summary_LCIA!AC$32</f>
        <v>4.8884000000000003E-8</v>
      </c>
      <c r="AM89" s="137">
        <f>Summary_LCIA!AD$32</f>
        <v>4.1103999999999999E-4</v>
      </c>
      <c r="AN89" s="137">
        <f>Summary_LCIA!AE$32</f>
        <v>8.8612999999999995E-4</v>
      </c>
      <c r="AO89" s="137">
        <f>Summary_LCIA!AF$32</f>
        <v>8.4542000000000005E-4</v>
      </c>
      <c r="AP89" s="137">
        <f>Summary_LCIA!AG$32</f>
        <v>5.1165000000000002E-5</v>
      </c>
      <c r="AQ89" s="137">
        <f>Summary_LCIA!AH$32</f>
        <v>8.7036000000000006E-3</v>
      </c>
      <c r="AR89" s="137">
        <f>Summary_LCIA!AI$32</f>
        <v>9.3154999999999996E-4</v>
      </c>
      <c r="AT89" s="137">
        <f t="shared" si="22"/>
        <v>73.260200400000002</v>
      </c>
      <c r="AU89" s="137">
        <f t="shared" si="34"/>
        <v>1068.5145612539341</v>
      </c>
      <c r="AV89" s="137">
        <f t="shared" si="35"/>
        <v>1.1352528287999999</v>
      </c>
      <c r="AW89" s="137">
        <f t="shared" si="36"/>
        <v>72.307257240000013</v>
      </c>
      <c r="AX89" s="137">
        <f t="shared" si="37"/>
        <v>23.6942202</v>
      </c>
      <c r="AY89" s="137">
        <f t="shared" si="38"/>
        <v>3.8622225720000003</v>
      </c>
      <c r="AZ89" s="137">
        <f t="shared" si="39"/>
        <v>1.0297176078E-2</v>
      </c>
      <c r="BA89" s="137">
        <f t="shared" si="40"/>
        <v>16.594793658</v>
      </c>
      <c r="BB89" s="137">
        <f t="shared" si="41"/>
        <v>4.9113224400000011</v>
      </c>
      <c r="BC89" s="137">
        <f t="shared" si="23"/>
        <v>3.3594480360000003</v>
      </c>
      <c r="BD89" s="137">
        <f t="shared" si="24"/>
        <v>8.841458382000001E-3</v>
      </c>
      <c r="BE89" s="137">
        <f t="shared" si="25"/>
        <v>5.0355068879999996</v>
      </c>
      <c r="BF89" s="137">
        <f t="shared" si="26"/>
        <v>-4.7049951540000003E-3</v>
      </c>
      <c r="BG89" s="137">
        <f t="shared" si="27"/>
        <v>1.0539292632E-5</v>
      </c>
      <c r="BH89" s="137">
        <f t="shared" si="28"/>
        <v>8.8619401920000007E-2</v>
      </c>
      <c r="BI89" s="137">
        <f t="shared" si="29"/>
        <v>0.19104785573999999</v>
      </c>
      <c r="BJ89" s="137">
        <f t="shared" si="30"/>
        <v>0.18227086116000002</v>
      </c>
      <c r="BK89" s="137">
        <f t="shared" si="31"/>
        <v>1.1031071670000002E-2</v>
      </c>
      <c r="BL89" s="137">
        <f t="shared" si="32"/>
        <v>1.8764787528000002</v>
      </c>
      <c r="BM89" s="137">
        <f t="shared" si="33"/>
        <v>0.20084031690000001</v>
      </c>
    </row>
    <row r="90" spans="1:65" x14ac:dyDescent="0.25">
      <c r="A90" s="149">
        <v>262</v>
      </c>
      <c r="B90" s="149">
        <v>6</v>
      </c>
      <c r="C90" s="61">
        <v>43.069034000000002</v>
      </c>
      <c r="D90" s="61">
        <v>-89.424563000000006</v>
      </c>
      <c r="E90" s="61" t="s">
        <v>265</v>
      </c>
      <c r="F90" s="149">
        <v>114</v>
      </c>
      <c r="G90" s="61" t="s">
        <v>639</v>
      </c>
      <c r="H90" s="61" t="s">
        <v>640</v>
      </c>
      <c r="I90" s="61">
        <v>42.947552999999999</v>
      </c>
      <c r="J90" s="61">
        <v>-87.896646000000004</v>
      </c>
      <c r="K90" s="61">
        <v>126.0890892</v>
      </c>
      <c r="L90" s="61">
        <v>140.03299999999999</v>
      </c>
      <c r="M90" s="61" t="s">
        <v>617</v>
      </c>
      <c r="N90" s="149">
        <v>5</v>
      </c>
      <c r="O90" s="149">
        <v>6</v>
      </c>
      <c r="P90" s="61" t="s">
        <v>565</v>
      </c>
      <c r="Q90" s="61" t="s">
        <v>564</v>
      </c>
      <c r="R90" s="61">
        <v>41.98028</v>
      </c>
      <c r="S90" s="61">
        <v>-87.908997900000003</v>
      </c>
      <c r="T90" s="61">
        <v>216.43100000000001</v>
      </c>
      <c r="U90" s="61" t="s">
        <v>617</v>
      </c>
      <c r="V90" s="61" t="s">
        <v>617</v>
      </c>
      <c r="W90" s="61"/>
      <c r="Y90" s="137">
        <f>Summary_LCIA!H$32</f>
        <v>0.33979999999999999</v>
      </c>
      <c r="Z90" s="137">
        <f>Summary_LCIA!Q$32</f>
        <v>4.9560504329999997</v>
      </c>
      <c r="AA90" s="137">
        <f>Summary_LCIA!R$32</f>
        <v>5.2655999999999996E-3</v>
      </c>
      <c r="AB90" s="137">
        <f>Summary_LCIA!S$32</f>
        <v>0.33538000000000001</v>
      </c>
      <c r="AC90" s="137">
        <f>Summary_LCIA!T$32</f>
        <v>0.1099</v>
      </c>
      <c r="AD90" s="137">
        <f>Summary_LCIA!U$32</f>
        <v>1.7913999999999999E-2</v>
      </c>
      <c r="AE90" s="137">
        <f>Summary_LCIA!V$32</f>
        <v>4.7760999999999999E-5</v>
      </c>
      <c r="AF90" s="137">
        <f>Summary_LCIA!W$32</f>
        <v>7.6970999999999998E-2</v>
      </c>
      <c r="AG90" s="137">
        <f>Summary_LCIA!X$32</f>
        <v>2.2780000000000002E-2</v>
      </c>
      <c r="AH90" s="137">
        <f>Summary_LCIA!Y$32</f>
        <v>1.5582E-2</v>
      </c>
      <c r="AI90" s="137">
        <f>Summary_LCIA!Z$32</f>
        <v>4.1009E-5</v>
      </c>
      <c r="AJ90" s="137">
        <f>Summary_LCIA!AA$32</f>
        <v>2.3355999999999998E-2</v>
      </c>
      <c r="AK90" s="137">
        <f>Summary_LCIA!AB$32</f>
        <v>-2.1823000000000001E-5</v>
      </c>
      <c r="AL90" s="137">
        <f>Summary_LCIA!AC$32</f>
        <v>4.8884000000000003E-8</v>
      </c>
      <c r="AM90" s="137">
        <f>Summary_LCIA!AD$32</f>
        <v>4.1103999999999999E-4</v>
      </c>
      <c r="AN90" s="137">
        <f>Summary_LCIA!AE$32</f>
        <v>8.8612999999999995E-4</v>
      </c>
      <c r="AO90" s="137">
        <f>Summary_LCIA!AF$32</f>
        <v>8.4542000000000005E-4</v>
      </c>
      <c r="AP90" s="137">
        <f>Summary_LCIA!AG$32</f>
        <v>5.1165000000000002E-5</v>
      </c>
      <c r="AQ90" s="137">
        <f>Summary_LCIA!AH$32</f>
        <v>8.7036000000000006E-3</v>
      </c>
      <c r="AR90" s="137">
        <f>Summary_LCIA!AI$32</f>
        <v>9.3154999999999996E-4</v>
      </c>
      <c r="AT90" s="137">
        <f t="shared" si="22"/>
        <v>73.543253800000002</v>
      </c>
      <c r="AU90" s="137">
        <f t="shared" si="34"/>
        <v>1072.642951264623</v>
      </c>
      <c r="AV90" s="137">
        <f t="shared" si="35"/>
        <v>1.1396390735999999</v>
      </c>
      <c r="AW90" s="137">
        <f t="shared" si="36"/>
        <v>72.586628780000012</v>
      </c>
      <c r="AX90" s="137">
        <f t="shared" si="37"/>
        <v>23.785766900000002</v>
      </c>
      <c r="AY90" s="137">
        <f t="shared" si="38"/>
        <v>3.8771449339999999</v>
      </c>
      <c r="AZ90" s="137">
        <f t="shared" si="39"/>
        <v>1.0336960991E-2</v>
      </c>
      <c r="BA90" s="137">
        <f t="shared" si="40"/>
        <v>16.658910501000001</v>
      </c>
      <c r="BB90" s="137">
        <f t="shared" si="41"/>
        <v>4.9302981800000003</v>
      </c>
      <c r="BC90" s="137">
        <f t="shared" si="23"/>
        <v>3.3724278420000005</v>
      </c>
      <c r="BD90" s="137">
        <f t="shared" si="24"/>
        <v>8.8756188790000013E-3</v>
      </c>
      <c r="BE90" s="137">
        <f t="shared" si="25"/>
        <v>5.0549624360000003</v>
      </c>
      <c r="BF90" s="137">
        <f t="shared" si="26"/>
        <v>-4.7231737130000008E-3</v>
      </c>
      <c r="BG90" s="137">
        <f t="shared" si="27"/>
        <v>1.0580013004000001E-5</v>
      </c>
      <c r="BH90" s="137">
        <f t="shared" si="28"/>
        <v>8.8961798240000001E-2</v>
      </c>
      <c r="BI90" s="137">
        <f t="shared" si="29"/>
        <v>0.19178600202999999</v>
      </c>
      <c r="BJ90" s="137">
        <f t="shared" si="30"/>
        <v>0.18297509602000003</v>
      </c>
      <c r="BK90" s="137">
        <f t="shared" si="31"/>
        <v>1.1073692115E-2</v>
      </c>
      <c r="BL90" s="137">
        <f t="shared" si="32"/>
        <v>1.8837288516000001</v>
      </c>
      <c r="BM90" s="137">
        <f t="shared" si="33"/>
        <v>0.20161629805</v>
      </c>
    </row>
    <row r="91" spans="1:65" x14ac:dyDescent="0.25">
      <c r="A91" s="149">
        <v>263</v>
      </c>
      <c r="B91" s="149">
        <v>6</v>
      </c>
      <c r="C91" s="61">
        <v>43.069034000000002</v>
      </c>
      <c r="D91" s="61">
        <v>-89.424563000000006</v>
      </c>
      <c r="E91" s="61" t="s">
        <v>265</v>
      </c>
      <c r="F91" s="149">
        <v>114</v>
      </c>
      <c r="G91" s="61" t="s">
        <v>639</v>
      </c>
      <c r="H91" s="61" t="s">
        <v>640</v>
      </c>
      <c r="I91" s="61">
        <v>42.947552999999999</v>
      </c>
      <c r="J91" s="61">
        <v>-87.896646000000004</v>
      </c>
      <c r="K91" s="61">
        <v>126.0890892</v>
      </c>
      <c r="L91" s="61">
        <v>140.03299999999999</v>
      </c>
      <c r="M91" s="61" t="s">
        <v>617</v>
      </c>
      <c r="N91" s="149">
        <v>5</v>
      </c>
      <c r="O91" s="149">
        <v>6</v>
      </c>
      <c r="P91" s="61" t="s">
        <v>565</v>
      </c>
      <c r="Q91" s="61" t="s">
        <v>564</v>
      </c>
      <c r="R91" s="61">
        <v>41.98028</v>
      </c>
      <c r="S91" s="61">
        <v>-87.908997900000003</v>
      </c>
      <c r="T91" s="61">
        <v>216.43100000000001</v>
      </c>
      <c r="U91" s="61" t="s">
        <v>617</v>
      </c>
      <c r="V91" s="61" t="s">
        <v>617</v>
      </c>
      <c r="W91" s="61"/>
      <c r="Y91" s="137">
        <f>Summary_LCIA!H$32</f>
        <v>0.33979999999999999</v>
      </c>
      <c r="Z91" s="137">
        <f>Summary_LCIA!Q$32</f>
        <v>4.9560504329999997</v>
      </c>
      <c r="AA91" s="137">
        <f>Summary_LCIA!R$32</f>
        <v>5.2655999999999996E-3</v>
      </c>
      <c r="AB91" s="137">
        <f>Summary_LCIA!S$32</f>
        <v>0.33538000000000001</v>
      </c>
      <c r="AC91" s="137">
        <f>Summary_LCIA!T$32</f>
        <v>0.1099</v>
      </c>
      <c r="AD91" s="137">
        <f>Summary_LCIA!U$32</f>
        <v>1.7913999999999999E-2</v>
      </c>
      <c r="AE91" s="137">
        <f>Summary_LCIA!V$32</f>
        <v>4.7760999999999999E-5</v>
      </c>
      <c r="AF91" s="137">
        <f>Summary_LCIA!W$32</f>
        <v>7.6970999999999998E-2</v>
      </c>
      <c r="AG91" s="137">
        <f>Summary_LCIA!X$32</f>
        <v>2.2780000000000002E-2</v>
      </c>
      <c r="AH91" s="137">
        <f>Summary_LCIA!Y$32</f>
        <v>1.5582E-2</v>
      </c>
      <c r="AI91" s="137">
        <f>Summary_LCIA!Z$32</f>
        <v>4.1009E-5</v>
      </c>
      <c r="AJ91" s="137">
        <f>Summary_LCIA!AA$32</f>
        <v>2.3355999999999998E-2</v>
      </c>
      <c r="AK91" s="137">
        <f>Summary_LCIA!AB$32</f>
        <v>-2.1823000000000001E-5</v>
      </c>
      <c r="AL91" s="137">
        <f>Summary_LCIA!AC$32</f>
        <v>4.8884000000000003E-8</v>
      </c>
      <c r="AM91" s="137">
        <f>Summary_LCIA!AD$32</f>
        <v>4.1103999999999999E-4</v>
      </c>
      <c r="AN91" s="137">
        <f>Summary_LCIA!AE$32</f>
        <v>8.8612999999999995E-4</v>
      </c>
      <c r="AO91" s="137">
        <f>Summary_LCIA!AF$32</f>
        <v>8.4542000000000005E-4</v>
      </c>
      <c r="AP91" s="137">
        <f>Summary_LCIA!AG$32</f>
        <v>5.1165000000000002E-5</v>
      </c>
      <c r="AQ91" s="137">
        <f>Summary_LCIA!AH$32</f>
        <v>8.7036000000000006E-3</v>
      </c>
      <c r="AR91" s="137">
        <f>Summary_LCIA!AI$32</f>
        <v>9.3154999999999996E-4</v>
      </c>
      <c r="AT91" s="137">
        <f t="shared" si="22"/>
        <v>73.543253800000002</v>
      </c>
      <c r="AU91" s="137">
        <f t="shared" si="34"/>
        <v>1072.642951264623</v>
      </c>
      <c r="AV91" s="137">
        <f t="shared" si="35"/>
        <v>1.1396390735999999</v>
      </c>
      <c r="AW91" s="137">
        <f t="shared" si="36"/>
        <v>72.586628780000012</v>
      </c>
      <c r="AX91" s="137">
        <f t="shared" si="37"/>
        <v>23.785766900000002</v>
      </c>
      <c r="AY91" s="137">
        <f t="shared" si="38"/>
        <v>3.8771449339999999</v>
      </c>
      <c r="AZ91" s="137">
        <f t="shared" si="39"/>
        <v>1.0336960991E-2</v>
      </c>
      <c r="BA91" s="137">
        <f t="shared" si="40"/>
        <v>16.658910501000001</v>
      </c>
      <c r="BB91" s="137">
        <f t="shared" si="41"/>
        <v>4.9302981800000003</v>
      </c>
      <c r="BC91" s="137">
        <f t="shared" si="23"/>
        <v>3.3724278420000005</v>
      </c>
      <c r="BD91" s="137">
        <f t="shared" si="24"/>
        <v>8.8756188790000013E-3</v>
      </c>
      <c r="BE91" s="137">
        <f t="shared" si="25"/>
        <v>5.0549624360000003</v>
      </c>
      <c r="BF91" s="137">
        <f t="shared" si="26"/>
        <v>-4.7231737130000008E-3</v>
      </c>
      <c r="BG91" s="137">
        <f t="shared" si="27"/>
        <v>1.0580013004000001E-5</v>
      </c>
      <c r="BH91" s="137">
        <f t="shared" si="28"/>
        <v>8.8961798240000001E-2</v>
      </c>
      <c r="BI91" s="137">
        <f t="shared" si="29"/>
        <v>0.19178600202999999</v>
      </c>
      <c r="BJ91" s="137">
        <f t="shared" si="30"/>
        <v>0.18297509602000003</v>
      </c>
      <c r="BK91" s="137">
        <f t="shared" si="31"/>
        <v>1.1073692115E-2</v>
      </c>
      <c r="BL91" s="137">
        <f t="shared" si="32"/>
        <v>1.8837288516000001</v>
      </c>
      <c r="BM91" s="137">
        <f t="shared" si="33"/>
        <v>0.20161629805</v>
      </c>
    </row>
    <row r="92" spans="1:65" x14ac:dyDescent="0.25">
      <c r="A92" s="149">
        <v>264</v>
      </c>
      <c r="B92" s="149">
        <v>6</v>
      </c>
      <c r="C92" s="61">
        <v>43.069034000000002</v>
      </c>
      <c r="D92" s="61">
        <v>-89.424563000000006</v>
      </c>
      <c r="E92" s="61" t="s">
        <v>265</v>
      </c>
      <c r="F92" s="149">
        <v>114</v>
      </c>
      <c r="G92" s="61" t="s">
        <v>639</v>
      </c>
      <c r="H92" s="61" t="s">
        <v>640</v>
      </c>
      <c r="I92" s="61">
        <v>42.947552999999999</v>
      </c>
      <c r="J92" s="61">
        <v>-87.896646000000004</v>
      </c>
      <c r="K92" s="61">
        <v>126.0890892</v>
      </c>
      <c r="L92" s="61">
        <v>140.03299999999999</v>
      </c>
      <c r="M92" s="61" t="s">
        <v>617</v>
      </c>
      <c r="N92" s="149">
        <v>5</v>
      </c>
      <c r="O92" s="149">
        <v>6</v>
      </c>
      <c r="P92" s="61" t="s">
        <v>565</v>
      </c>
      <c r="Q92" s="61" t="s">
        <v>564</v>
      </c>
      <c r="R92" s="61">
        <v>41.98028</v>
      </c>
      <c r="S92" s="61">
        <v>-87.908997900000003</v>
      </c>
      <c r="T92" s="61">
        <v>216.43100000000001</v>
      </c>
      <c r="U92" s="61" t="s">
        <v>617</v>
      </c>
      <c r="V92" s="61" t="s">
        <v>617</v>
      </c>
      <c r="W92" s="61"/>
      <c r="Y92" s="137">
        <f>Summary_LCIA!H$32</f>
        <v>0.33979999999999999</v>
      </c>
      <c r="Z92" s="137">
        <f>Summary_LCIA!Q$32</f>
        <v>4.9560504329999997</v>
      </c>
      <c r="AA92" s="137">
        <f>Summary_LCIA!R$32</f>
        <v>5.2655999999999996E-3</v>
      </c>
      <c r="AB92" s="137">
        <f>Summary_LCIA!S$32</f>
        <v>0.33538000000000001</v>
      </c>
      <c r="AC92" s="137">
        <f>Summary_LCIA!T$32</f>
        <v>0.1099</v>
      </c>
      <c r="AD92" s="137">
        <f>Summary_LCIA!U$32</f>
        <v>1.7913999999999999E-2</v>
      </c>
      <c r="AE92" s="137">
        <f>Summary_LCIA!V$32</f>
        <v>4.7760999999999999E-5</v>
      </c>
      <c r="AF92" s="137">
        <f>Summary_LCIA!W$32</f>
        <v>7.6970999999999998E-2</v>
      </c>
      <c r="AG92" s="137">
        <f>Summary_LCIA!X$32</f>
        <v>2.2780000000000002E-2</v>
      </c>
      <c r="AH92" s="137">
        <f>Summary_LCIA!Y$32</f>
        <v>1.5582E-2</v>
      </c>
      <c r="AI92" s="137">
        <f>Summary_LCIA!Z$32</f>
        <v>4.1009E-5</v>
      </c>
      <c r="AJ92" s="137">
        <f>Summary_LCIA!AA$32</f>
        <v>2.3355999999999998E-2</v>
      </c>
      <c r="AK92" s="137">
        <f>Summary_LCIA!AB$32</f>
        <v>-2.1823000000000001E-5</v>
      </c>
      <c r="AL92" s="137">
        <f>Summary_LCIA!AC$32</f>
        <v>4.8884000000000003E-8</v>
      </c>
      <c r="AM92" s="137">
        <f>Summary_LCIA!AD$32</f>
        <v>4.1103999999999999E-4</v>
      </c>
      <c r="AN92" s="137">
        <f>Summary_LCIA!AE$32</f>
        <v>8.8612999999999995E-4</v>
      </c>
      <c r="AO92" s="137">
        <f>Summary_LCIA!AF$32</f>
        <v>8.4542000000000005E-4</v>
      </c>
      <c r="AP92" s="137">
        <f>Summary_LCIA!AG$32</f>
        <v>5.1165000000000002E-5</v>
      </c>
      <c r="AQ92" s="137">
        <f>Summary_LCIA!AH$32</f>
        <v>8.7036000000000006E-3</v>
      </c>
      <c r="AR92" s="137">
        <f>Summary_LCIA!AI$32</f>
        <v>9.3154999999999996E-4</v>
      </c>
      <c r="AT92" s="137">
        <f t="shared" si="22"/>
        <v>73.543253800000002</v>
      </c>
      <c r="AU92" s="137">
        <f t="shared" si="34"/>
        <v>1072.642951264623</v>
      </c>
      <c r="AV92" s="137">
        <f t="shared" si="35"/>
        <v>1.1396390735999999</v>
      </c>
      <c r="AW92" s="137">
        <f t="shared" si="36"/>
        <v>72.586628780000012</v>
      </c>
      <c r="AX92" s="137">
        <f t="shared" si="37"/>
        <v>23.785766900000002</v>
      </c>
      <c r="AY92" s="137">
        <f t="shared" si="38"/>
        <v>3.8771449339999999</v>
      </c>
      <c r="AZ92" s="137">
        <f t="shared" si="39"/>
        <v>1.0336960991E-2</v>
      </c>
      <c r="BA92" s="137">
        <f t="shared" si="40"/>
        <v>16.658910501000001</v>
      </c>
      <c r="BB92" s="137">
        <f t="shared" si="41"/>
        <v>4.9302981800000003</v>
      </c>
      <c r="BC92" s="137">
        <f t="shared" si="23"/>
        <v>3.3724278420000005</v>
      </c>
      <c r="BD92" s="137">
        <f t="shared" si="24"/>
        <v>8.8756188790000013E-3</v>
      </c>
      <c r="BE92" s="137">
        <f t="shared" si="25"/>
        <v>5.0549624360000003</v>
      </c>
      <c r="BF92" s="137">
        <f t="shared" si="26"/>
        <v>-4.7231737130000008E-3</v>
      </c>
      <c r="BG92" s="137">
        <f t="shared" si="27"/>
        <v>1.0580013004000001E-5</v>
      </c>
      <c r="BH92" s="137">
        <f t="shared" si="28"/>
        <v>8.8961798240000001E-2</v>
      </c>
      <c r="BI92" s="137">
        <f t="shared" si="29"/>
        <v>0.19178600202999999</v>
      </c>
      <c r="BJ92" s="137">
        <f t="shared" si="30"/>
        <v>0.18297509602000003</v>
      </c>
      <c r="BK92" s="137">
        <f t="shared" si="31"/>
        <v>1.1073692115E-2</v>
      </c>
      <c r="BL92" s="137">
        <f t="shared" si="32"/>
        <v>1.8837288516000001</v>
      </c>
      <c r="BM92" s="137">
        <f t="shared" si="33"/>
        <v>0.20161629805</v>
      </c>
    </row>
    <row r="93" spans="1:65" x14ac:dyDescent="0.25">
      <c r="A93" s="149">
        <v>265</v>
      </c>
      <c r="B93" s="149">
        <v>6</v>
      </c>
      <c r="C93" s="61">
        <v>43.069034000000002</v>
      </c>
      <c r="D93" s="61">
        <v>-89.424563000000006</v>
      </c>
      <c r="E93" s="61" t="s">
        <v>265</v>
      </c>
      <c r="F93" s="149">
        <v>114</v>
      </c>
      <c r="G93" s="61" t="s">
        <v>639</v>
      </c>
      <c r="H93" s="61" t="s">
        <v>640</v>
      </c>
      <c r="I93" s="61">
        <v>42.947552999999999</v>
      </c>
      <c r="J93" s="61">
        <v>-87.896646000000004</v>
      </c>
      <c r="K93" s="61">
        <v>126.0890892</v>
      </c>
      <c r="L93" s="61">
        <v>140.03299999999999</v>
      </c>
      <c r="M93" s="61" t="s">
        <v>617</v>
      </c>
      <c r="N93" s="149">
        <v>5</v>
      </c>
      <c r="O93" s="149">
        <v>6</v>
      </c>
      <c r="P93" s="61" t="s">
        <v>565</v>
      </c>
      <c r="Q93" s="61" t="s">
        <v>564</v>
      </c>
      <c r="R93" s="61">
        <v>41.98028</v>
      </c>
      <c r="S93" s="61">
        <v>-87.908997900000003</v>
      </c>
      <c r="T93" s="61">
        <v>216.43100000000001</v>
      </c>
      <c r="U93" s="61" t="s">
        <v>617</v>
      </c>
      <c r="V93" s="61" t="s">
        <v>617</v>
      </c>
      <c r="W93" s="61"/>
      <c r="Y93" s="137">
        <f>Summary_LCIA!H$32</f>
        <v>0.33979999999999999</v>
      </c>
      <c r="Z93" s="137">
        <f>Summary_LCIA!Q$32</f>
        <v>4.9560504329999997</v>
      </c>
      <c r="AA93" s="137">
        <f>Summary_LCIA!R$32</f>
        <v>5.2655999999999996E-3</v>
      </c>
      <c r="AB93" s="137">
        <f>Summary_LCIA!S$32</f>
        <v>0.33538000000000001</v>
      </c>
      <c r="AC93" s="137">
        <f>Summary_LCIA!T$32</f>
        <v>0.1099</v>
      </c>
      <c r="AD93" s="137">
        <f>Summary_LCIA!U$32</f>
        <v>1.7913999999999999E-2</v>
      </c>
      <c r="AE93" s="137">
        <f>Summary_LCIA!V$32</f>
        <v>4.7760999999999999E-5</v>
      </c>
      <c r="AF93" s="137">
        <f>Summary_LCIA!W$32</f>
        <v>7.6970999999999998E-2</v>
      </c>
      <c r="AG93" s="137">
        <f>Summary_LCIA!X$32</f>
        <v>2.2780000000000002E-2</v>
      </c>
      <c r="AH93" s="137">
        <f>Summary_LCIA!Y$32</f>
        <v>1.5582E-2</v>
      </c>
      <c r="AI93" s="137">
        <f>Summary_LCIA!Z$32</f>
        <v>4.1009E-5</v>
      </c>
      <c r="AJ93" s="137">
        <f>Summary_LCIA!AA$32</f>
        <v>2.3355999999999998E-2</v>
      </c>
      <c r="AK93" s="137">
        <f>Summary_LCIA!AB$32</f>
        <v>-2.1823000000000001E-5</v>
      </c>
      <c r="AL93" s="137">
        <f>Summary_LCIA!AC$32</f>
        <v>4.8884000000000003E-8</v>
      </c>
      <c r="AM93" s="137">
        <f>Summary_LCIA!AD$32</f>
        <v>4.1103999999999999E-4</v>
      </c>
      <c r="AN93" s="137">
        <f>Summary_LCIA!AE$32</f>
        <v>8.8612999999999995E-4</v>
      </c>
      <c r="AO93" s="137">
        <f>Summary_LCIA!AF$32</f>
        <v>8.4542000000000005E-4</v>
      </c>
      <c r="AP93" s="137">
        <f>Summary_LCIA!AG$32</f>
        <v>5.1165000000000002E-5</v>
      </c>
      <c r="AQ93" s="137">
        <f>Summary_LCIA!AH$32</f>
        <v>8.7036000000000006E-3</v>
      </c>
      <c r="AR93" s="137">
        <f>Summary_LCIA!AI$32</f>
        <v>9.3154999999999996E-4</v>
      </c>
      <c r="AT93" s="137">
        <f t="shared" si="22"/>
        <v>73.543253800000002</v>
      </c>
      <c r="AU93" s="137">
        <f t="shared" si="34"/>
        <v>1072.642951264623</v>
      </c>
      <c r="AV93" s="137">
        <f t="shared" si="35"/>
        <v>1.1396390735999999</v>
      </c>
      <c r="AW93" s="137">
        <f t="shared" si="36"/>
        <v>72.586628780000012</v>
      </c>
      <c r="AX93" s="137">
        <f t="shared" si="37"/>
        <v>23.785766900000002</v>
      </c>
      <c r="AY93" s="137">
        <f t="shared" si="38"/>
        <v>3.8771449339999999</v>
      </c>
      <c r="AZ93" s="137">
        <f t="shared" si="39"/>
        <v>1.0336960991E-2</v>
      </c>
      <c r="BA93" s="137">
        <f t="shared" si="40"/>
        <v>16.658910501000001</v>
      </c>
      <c r="BB93" s="137">
        <f t="shared" si="41"/>
        <v>4.9302981800000003</v>
      </c>
      <c r="BC93" s="137">
        <f t="shared" si="23"/>
        <v>3.3724278420000005</v>
      </c>
      <c r="BD93" s="137">
        <f t="shared" si="24"/>
        <v>8.8756188790000013E-3</v>
      </c>
      <c r="BE93" s="137">
        <f t="shared" si="25"/>
        <v>5.0549624360000003</v>
      </c>
      <c r="BF93" s="137">
        <f t="shared" si="26"/>
        <v>-4.7231737130000008E-3</v>
      </c>
      <c r="BG93" s="137">
        <f t="shared" si="27"/>
        <v>1.0580013004000001E-5</v>
      </c>
      <c r="BH93" s="137">
        <f t="shared" si="28"/>
        <v>8.8961798240000001E-2</v>
      </c>
      <c r="BI93" s="137">
        <f t="shared" si="29"/>
        <v>0.19178600202999999</v>
      </c>
      <c r="BJ93" s="137">
        <f t="shared" si="30"/>
        <v>0.18297509602000003</v>
      </c>
      <c r="BK93" s="137">
        <f t="shared" si="31"/>
        <v>1.1073692115E-2</v>
      </c>
      <c r="BL93" s="137">
        <f t="shared" si="32"/>
        <v>1.8837288516000001</v>
      </c>
      <c r="BM93" s="137">
        <f t="shared" si="33"/>
        <v>0.20161629805</v>
      </c>
    </row>
    <row r="94" spans="1:65" x14ac:dyDescent="0.25">
      <c r="A94" s="149">
        <v>266</v>
      </c>
      <c r="B94" s="149">
        <v>6</v>
      </c>
      <c r="C94" s="61">
        <v>43.069034000000002</v>
      </c>
      <c r="D94" s="61">
        <v>-89.424563000000006</v>
      </c>
      <c r="E94" s="61" t="s">
        <v>265</v>
      </c>
      <c r="F94" s="149">
        <v>114</v>
      </c>
      <c r="G94" s="61" t="s">
        <v>639</v>
      </c>
      <c r="H94" s="61" t="s">
        <v>640</v>
      </c>
      <c r="I94" s="61">
        <v>42.947552999999999</v>
      </c>
      <c r="J94" s="61">
        <v>-87.896646000000004</v>
      </c>
      <c r="K94" s="61">
        <v>126.0890892</v>
      </c>
      <c r="L94" s="61">
        <v>140.03299999999999</v>
      </c>
      <c r="M94" s="61" t="s">
        <v>617</v>
      </c>
      <c r="N94" s="149">
        <v>5</v>
      </c>
      <c r="O94" s="149">
        <v>6</v>
      </c>
      <c r="P94" s="61" t="s">
        <v>565</v>
      </c>
      <c r="Q94" s="61" t="s">
        <v>564</v>
      </c>
      <c r="R94" s="61">
        <v>41.98028</v>
      </c>
      <c r="S94" s="61">
        <v>-87.908997900000003</v>
      </c>
      <c r="T94" s="61">
        <v>216.43100000000001</v>
      </c>
      <c r="U94" s="61" t="s">
        <v>617</v>
      </c>
      <c r="V94" s="61" t="s">
        <v>617</v>
      </c>
      <c r="W94" s="61"/>
      <c r="Y94" s="137">
        <f>Summary_LCIA!H$32</f>
        <v>0.33979999999999999</v>
      </c>
      <c r="Z94" s="137">
        <f>Summary_LCIA!Q$32</f>
        <v>4.9560504329999997</v>
      </c>
      <c r="AA94" s="137">
        <f>Summary_LCIA!R$32</f>
        <v>5.2655999999999996E-3</v>
      </c>
      <c r="AB94" s="137">
        <f>Summary_LCIA!S$32</f>
        <v>0.33538000000000001</v>
      </c>
      <c r="AC94" s="137">
        <f>Summary_LCIA!T$32</f>
        <v>0.1099</v>
      </c>
      <c r="AD94" s="137">
        <f>Summary_LCIA!U$32</f>
        <v>1.7913999999999999E-2</v>
      </c>
      <c r="AE94" s="137">
        <f>Summary_LCIA!V$32</f>
        <v>4.7760999999999999E-5</v>
      </c>
      <c r="AF94" s="137">
        <f>Summary_LCIA!W$32</f>
        <v>7.6970999999999998E-2</v>
      </c>
      <c r="AG94" s="137">
        <f>Summary_LCIA!X$32</f>
        <v>2.2780000000000002E-2</v>
      </c>
      <c r="AH94" s="137">
        <f>Summary_LCIA!Y$32</f>
        <v>1.5582E-2</v>
      </c>
      <c r="AI94" s="137">
        <f>Summary_LCIA!Z$32</f>
        <v>4.1009E-5</v>
      </c>
      <c r="AJ94" s="137">
        <f>Summary_LCIA!AA$32</f>
        <v>2.3355999999999998E-2</v>
      </c>
      <c r="AK94" s="137">
        <f>Summary_LCIA!AB$32</f>
        <v>-2.1823000000000001E-5</v>
      </c>
      <c r="AL94" s="137">
        <f>Summary_LCIA!AC$32</f>
        <v>4.8884000000000003E-8</v>
      </c>
      <c r="AM94" s="137">
        <f>Summary_LCIA!AD$32</f>
        <v>4.1103999999999999E-4</v>
      </c>
      <c r="AN94" s="137">
        <f>Summary_LCIA!AE$32</f>
        <v>8.8612999999999995E-4</v>
      </c>
      <c r="AO94" s="137">
        <f>Summary_LCIA!AF$32</f>
        <v>8.4542000000000005E-4</v>
      </c>
      <c r="AP94" s="137">
        <f>Summary_LCIA!AG$32</f>
        <v>5.1165000000000002E-5</v>
      </c>
      <c r="AQ94" s="137">
        <f>Summary_LCIA!AH$32</f>
        <v>8.7036000000000006E-3</v>
      </c>
      <c r="AR94" s="137">
        <f>Summary_LCIA!AI$32</f>
        <v>9.3154999999999996E-4</v>
      </c>
      <c r="AT94" s="137">
        <f t="shared" si="22"/>
        <v>73.543253800000002</v>
      </c>
      <c r="AU94" s="137">
        <f t="shared" si="34"/>
        <v>1072.642951264623</v>
      </c>
      <c r="AV94" s="137">
        <f t="shared" si="35"/>
        <v>1.1396390735999999</v>
      </c>
      <c r="AW94" s="137">
        <f t="shared" si="36"/>
        <v>72.586628780000012</v>
      </c>
      <c r="AX94" s="137">
        <f t="shared" si="37"/>
        <v>23.785766900000002</v>
      </c>
      <c r="AY94" s="137">
        <f t="shared" si="38"/>
        <v>3.8771449339999999</v>
      </c>
      <c r="AZ94" s="137">
        <f t="shared" si="39"/>
        <v>1.0336960991E-2</v>
      </c>
      <c r="BA94" s="137">
        <f t="shared" si="40"/>
        <v>16.658910501000001</v>
      </c>
      <c r="BB94" s="137">
        <f t="shared" si="41"/>
        <v>4.9302981800000003</v>
      </c>
      <c r="BC94" s="137">
        <f t="shared" si="23"/>
        <v>3.3724278420000005</v>
      </c>
      <c r="BD94" s="137">
        <f t="shared" si="24"/>
        <v>8.8756188790000013E-3</v>
      </c>
      <c r="BE94" s="137">
        <f t="shared" si="25"/>
        <v>5.0549624360000003</v>
      </c>
      <c r="BF94" s="137">
        <f t="shared" si="26"/>
        <v>-4.7231737130000008E-3</v>
      </c>
      <c r="BG94" s="137">
        <f t="shared" si="27"/>
        <v>1.0580013004000001E-5</v>
      </c>
      <c r="BH94" s="137">
        <f t="shared" si="28"/>
        <v>8.8961798240000001E-2</v>
      </c>
      <c r="BI94" s="137">
        <f t="shared" si="29"/>
        <v>0.19178600202999999</v>
      </c>
      <c r="BJ94" s="137">
        <f t="shared" si="30"/>
        <v>0.18297509602000003</v>
      </c>
      <c r="BK94" s="137">
        <f t="shared" si="31"/>
        <v>1.1073692115E-2</v>
      </c>
      <c r="BL94" s="137">
        <f t="shared" si="32"/>
        <v>1.8837288516000001</v>
      </c>
      <c r="BM94" s="137">
        <f t="shared" si="33"/>
        <v>0.20161629805</v>
      </c>
    </row>
    <row r="95" spans="1:65" x14ac:dyDescent="0.25">
      <c r="A95" s="149">
        <v>104</v>
      </c>
      <c r="B95" s="149">
        <v>6</v>
      </c>
      <c r="C95" s="61">
        <v>40.428246000000001</v>
      </c>
      <c r="D95" s="61">
        <v>-86.914390999999995</v>
      </c>
      <c r="E95" s="61" t="s">
        <v>265</v>
      </c>
      <c r="F95" s="149">
        <v>107</v>
      </c>
      <c r="G95" s="61" t="s">
        <v>671</v>
      </c>
      <c r="H95" s="61" t="s">
        <v>672</v>
      </c>
      <c r="I95" s="61">
        <v>39.716858999999999</v>
      </c>
      <c r="J95" s="61">
        <v>-86.295595000000006</v>
      </c>
      <c r="K95" s="61">
        <v>130.25631390000001</v>
      </c>
      <c r="L95" s="61">
        <v>113.89400000000001</v>
      </c>
      <c r="M95" s="61" t="s">
        <v>617</v>
      </c>
      <c r="N95" s="149">
        <v>5</v>
      </c>
      <c r="O95" s="149">
        <v>6</v>
      </c>
      <c r="P95" s="61" t="s">
        <v>565</v>
      </c>
      <c r="Q95" s="61" t="s">
        <v>564</v>
      </c>
      <c r="R95" s="61">
        <v>41.98028</v>
      </c>
      <c r="S95" s="61">
        <v>-87.908997900000003</v>
      </c>
      <c r="T95" s="61">
        <v>224.767</v>
      </c>
      <c r="U95" s="61" t="s">
        <v>617</v>
      </c>
      <c r="V95" s="61" t="s">
        <v>617</v>
      </c>
      <c r="W95" s="61"/>
      <c r="Y95" s="137">
        <f>Summary_LCIA!H$32</f>
        <v>0.33979999999999999</v>
      </c>
      <c r="Z95" s="137">
        <f>Summary_LCIA!Q$32</f>
        <v>4.9560504329999997</v>
      </c>
      <c r="AA95" s="137">
        <f>Summary_LCIA!R$32</f>
        <v>5.2655999999999996E-3</v>
      </c>
      <c r="AB95" s="137">
        <f>Summary_LCIA!S$32</f>
        <v>0.33538000000000001</v>
      </c>
      <c r="AC95" s="137">
        <f>Summary_LCIA!T$32</f>
        <v>0.1099</v>
      </c>
      <c r="AD95" s="137">
        <f>Summary_LCIA!U$32</f>
        <v>1.7913999999999999E-2</v>
      </c>
      <c r="AE95" s="137">
        <f>Summary_LCIA!V$32</f>
        <v>4.7760999999999999E-5</v>
      </c>
      <c r="AF95" s="137">
        <f>Summary_LCIA!W$32</f>
        <v>7.6970999999999998E-2</v>
      </c>
      <c r="AG95" s="137">
        <f>Summary_LCIA!X$32</f>
        <v>2.2780000000000002E-2</v>
      </c>
      <c r="AH95" s="137">
        <f>Summary_LCIA!Y$32</f>
        <v>1.5582E-2</v>
      </c>
      <c r="AI95" s="137">
        <f>Summary_LCIA!Z$32</f>
        <v>4.1009E-5</v>
      </c>
      <c r="AJ95" s="137">
        <f>Summary_LCIA!AA$32</f>
        <v>2.3355999999999998E-2</v>
      </c>
      <c r="AK95" s="137">
        <f>Summary_LCIA!AB$32</f>
        <v>-2.1823000000000001E-5</v>
      </c>
      <c r="AL95" s="137">
        <f>Summary_LCIA!AC$32</f>
        <v>4.8884000000000003E-8</v>
      </c>
      <c r="AM95" s="137">
        <f>Summary_LCIA!AD$32</f>
        <v>4.1103999999999999E-4</v>
      </c>
      <c r="AN95" s="137">
        <f>Summary_LCIA!AE$32</f>
        <v>8.8612999999999995E-4</v>
      </c>
      <c r="AO95" s="137">
        <f>Summary_LCIA!AF$32</f>
        <v>8.4542000000000005E-4</v>
      </c>
      <c r="AP95" s="137">
        <f>Summary_LCIA!AG$32</f>
        <v>5.1165000000000002E-5</v>
      </c>
      <c r="AQ95" s="137">
        <f>Summary_LCIA!AH$32</f>
        <v>8.7036000000000006E-3</v>
      </c>
      <c r="AR95" s="137">
        <f>Summary_LCIA!AI$32</f>
        <v>9.3154999999999996E-4</v>
      </c>
      <c r="AT95" s="137">
        <f t="shared" si="22"/>
        <v>76.375826599999996</v>
      </c>
      <c r="AU95" s="137">
        <f t="shared" si="34"/>
        <v>1113.956587674111</v>
      </c>
      <c r="AV95" s="137">
        <f t="shared" si="35"/>
        <v>1.1835331151999999</v>
      </c>
      <c r="AW95" s="137">
        <f t="shared" si="36"/>
        <v>75.382356459999997</v>
      </c>
      <c r="AX95" s="137">
        <f t="shared" si="37"/>
        <v>24.701893299999998</v>
      </c>
      <c r="AY95" s="137">
        <f t="shared" si="38"/>
        <v>4.0264760380000002</v>
      </c>
      <c r="AZ95" s="137">
        <f t="shared" si="39"/>
        <v>1.0735096687E-2</v>
      </c>
      <c r="BA95" s="137">
        <f t="shared" si="40"/>
        <v>17.300540757</v>
      </c>
      <c r="BB95" s="137">
        <f t="shared" si="41"/>
        <v>5.1201922600000005</v>
      </c>
      <c r="BC95" s="137">
        <f t="shared" si="23"/>
        <v>3.5023193940000001</v>
      </c>
      <c r="BD95" s="137">
        <f t="shared" si="24"/>
        <v>9.2174699030000001E-3</v>
      </c>
      <c r="BE95" s="137">
        <f t="shared" si="25"/>
        <v>5.2496580519999991</v>
      </c>
      <c r="BF95" s="137">
        <f t="shared" si="26"/>
        <v>-4.9050902410000003E-3</v>
      </c>
      <c r="BG95" s="137">
        <f t="shared" si="27"/>
        <v>1.0987510028000001E-5</v>
      </c>
      <c r="BH95" s="137">
        <f t="shared" si="28"/>
        <v>9.2388227680000004E-2</v>
      </c>
      <c r="BI95" s="137">
        <f t="shared" si="29"/>
        <v>0.19917278171</v>
      </c>
      <c r="BJ95" s="137">
        <f t="shared" si="30"/>
        <v>0.19002251714000001</v>
      </c>
      <c r="BK95" s="137">
        <f t="shared" si="31"/>
        <v>1.1500203555E-2</v>
      </c>
      <c r="BL95" s="137">
        <f t="shared" si="32"/>
        <v>1.9562820612</v>
      </c>
      <c r="BM95" s="137">
        <f t="shared" si="33"/>
        <v>0.20938169884999999</v>
      </c>
    </row>
    <row r="96" spans="1:65" x14ac:dyDescent="0.25">
      <c r="A96" s="149">
        <v>366</v>
      </c>
      <c r="B96" s="149">
        <v>29</v>
      </c>
      <c r="C96" s="61">
        <v>49.261045000000003</v>
      </c>
      <c r="D96" s="61">
        <v>-123.248794</v>
      </c>
      <c r="E96" s="61" t="s">
        <v>459</v>
      </c>
      <c r="F96" s="149">
        <v>123</v>
      </c>
      <c r="G96" s="61" t="s">
        <v>728</v>
      </c>
      <c r="H96" s="61" t="s">
        <v>729</v>
      </c>
      <c r="I96" s="61">
        <v>49.196691000000001</v>
      </c>
      <c r="J96" s="61">
        <v>-123.181512</v>
      </c>
      <c r="K96" s="61">
        <v>17.860732670000001</v>
      </c>
      <c r="L96" s="61">
        <v>15.871</v>
      </c>
      <c r="M96" s="61" t="s">
        <v>617</v>
      </c>
      <c r="N96" s="149">
        <v>28</v>
      </c>
      <c r="O96" s="149">
        <v>29</v>
      </c>
      <c r="P96" s="61" t="s">
        <v>565</v>
      </c>
      <c r="Q96" s="61" t="s">
        <v>559</v>
      </c>
      <c r="R96" s="61">
        <v>47.450249900000003</v>
      </c>
      <c r="S96" s="61">
        <v>-122.30881650000001</v>
      </c>
      <c r="T96" s="61">
        <v>253.08199999999999</v>
      </c>
      <c r="U96" s="61" t="s">
        <v>617</v>
      </c>
      <c r="V96" s="61" t="s">
        <v>617</v>
      </c>
      <c r="W96" s="61"/>
      <c r="Y96" s="137">
        <f>Summary_LCIA!H$32</f>
        <v>0.33979999999999999</v>
      </c>
      <c r="Z96" s="137">
        <f>Summary_LCIA!Q$32</f>
        <v>4.9560504329999997</v>
      </c>
      <c r="AA96" s="137">
        <f>Summary_LCIA!R$32</f>
        <v>5.2655999999999996E-3</v>
      </c>
      <c r="AB96" s="137">
        <f>Summary_LCIA!S$32</f>
        <v>0.33538000000000001</v>
      </c>
      <c r="AC96" s="137">
        <f>Summary_LCIA!T$32</f>
        <v>0.1099</v>
      </c>
      <c r="AD96" s="137">
        <f>Summary_LCIA!U$32</f>
        <v>1.7913999999999999E-2</v>
      </c>
      <c r="AE96" s="137">
        <f>Summary_LCIA!V$32</f>
        <v>4.7760999999999999E-5</v>
      </c>
      <c r="AF96" s="137">
        <f>Summary_LCIA!W$32</f>
        <v>7.6970999999999998E-2</v>
      </c>
      <c r="AG96" s="137">
        <f>Summary_LCIA!X$32</f>
        <v>2.2780000000000002E-2</v>
      </c>
      <c r="AH96" s="137">
        <f>Summary_LCIA!Y$32</f>
        <v>1.5582E-2</v>
      </c>
      <c r="AI96" s="137">
        <f>Summary_LCIA!Z$32</f>
        <v>4.1009E-5</v>
      </c>
      <c r="AJ96" s="137">
        <f>Summary_LCIA!AA$32</f>
        <v>2.3355999999999998E-2</v>
      </c>
      <c r="AK96" s="137">
        <f>Summary_LCIA!AB$32</f>
        <v>-2.1823000000000001E-5</v>
      </c>
      <c r="AL96" s="137">
        <f>Summary_LCIA!AC$32</f>
        <v>4.8884000000000003E-8</v>
      </c>
      <c r="AM96" s="137">
        <f>Summary_LCIA!AD$32</f>
        <v>4.1103999999999999E-4</v>
      </c>
      <c r="AN96" s="137">
        <f>Summary_LCIA!AE$32</f>
        <v>8.8612999999999995E-4</v>
      </c>
      <c r="AO96" s="137">
        <f>Summary_LCIA!AF$32</f>
        <v>8.4542000000000005E-4</v>
      </c>
      <c r="AP96" s="137">
        <f>Summary_LCIA!AG$32</f>
        <v>5.1165000000000002E-5</v>
      </c>
      <c r="AQ96" s="137">
        <f>Summary_LCIA!AH$32</f>
        <v>8.7036000000000006E-3</v>
      </c>
      <c r="AR96" s="137">
        <f>Summary_LCIA!AI$32</f>
        <v>9.3154999999999996E-4</v>
      </c>
      <c r="AT96" s="137">
        <f t="shared" si="22"/>
        <v>85.997263599999997</v>
      </c>
      <c r="AU96" s="137">
        <f t="shared" si="34"/>
        <v>1254.2871556845059</v>
      </c>
      <c r="AV96" s="137">
        <f t="shared" si="35"/>
        <v>1.3326285791999999</v>
      </c>
      <c r="AW96" s="137">
        <f t="shared" si="36"/>
        <v>84.878641160000001</v>
      </c>
      <c r="AX96" s="137">
        <f t="shared" si="37"/>
        <v>27.8137118</v>
      </c>
      <c r="AY96" s="137">
        <f t="shared" si="38"/>
        <v>4.5337109479999995</v>
      </c>
      <c r="AZ96" s="137">
        <f t="shared" si="39"/>
        <v>1.2087449401999999E-2</v>
      </c>
      <c r="BA96" s="137">
        <f t="shared" si="40"/>
        <v>19.479974622</v>
      </c>
      <c r="BB96" s="137">
        <f t="shared" si="41"/>
        <v>5.7652079600000006</v>
      </c>
      <c r="BC96" s="137">
        <f t="shared" si="23"/>
        <v>3.9435237239999998</v>
      </c>
      <c r="BD96" s="137">
        <f t="shared" si="24"/>
        <v>1.0378639738E-2</v>
      </c>
      <c r="BE96" s="137">
        <f t="shared" si="25"/>
        <v>5.9109831919999998</v>
      </c>
      <c r="BF96" s="137">
        <f t="shared" si="26"/>
        <v>-5.5230084860000001E-3</v>
      </c>
      <c r="BG96" s="137">
        <f t="shared" si="27"/>
        <v>1.2371660488E-5</v>
      </c>
      <c r="BH96" s="137">
        <f t="shared" si="28"/>
        <v>0.10402682528</v>
      </c>
      <c r="BI96" s="137">
        <f t="shared" si="29"/>
        <v>0.22426355265999998</v>
      </c>
      <c r="BJ96" s="137">
        <f t="shared" si="30"/>
        <v>0.21396058444000002</v>
      </c>
      <c r="BK96" s="137">
        <f t="shared" si="31"/>
        <v>1.294894053E-2</v>
      </c>
      <c r="BL96" s="137">
        <f t="shared" si="32"/>
        <v>2.2027244952</v>
      </c>
      <c r="BM96" s="137">
        <f t="shared" si="33"/>
        <v>0.23575853709999997</v>
      </c>
    </row>
    <row r="97" spans="1:65" x14ac:dyDescent="0.25">
      <c r="A97" s="149">
        <v>367</v>
      </c>
      <c r="B97" s="149">
        <v>29</v>
      </c>
      <c r="C97" s="61">
        <v>49.261045000000003</v>
      </c>
      <c r="D97" s="61">
        <v>-123.248794</v>
      </c>
      <c r="E97" s="61" t="s">
        <v>459</v>
      </c>
      <c r="F97" s="149">
        <v>123</v>
      </c>
      <c r="G97" s="61" t="s">
        <v>728</v>
      </c>
      <c r="H97" s="61" t="s">
        <v>729</v>
      </c>
      <c r="I97" s="61">
        <v>49.196691000000001</v>
      </c>
      <c r="J97" s="61">
        <v>-123.181512</v>
      </c>
      <c r="K97" s="61">
        <v>17.860732670000001</v>
      </c>
      <c r="L97" s="61">
        <v>15.871</v>
      </c>
      <c r="M97" s="61" t="s">
        <v>617</v>
      </c>
      <c r="N97" s="149">
        <v>28</v>
      </c>
      <c r="O97" s="149">
        <v>29</v>
      </c>
      <c r="P97" s="61" t="s">
        <v>565</v>
      </c>
      <c r="Q97" s="61" t="s">
        <v>559</v>
      </c>
      <c r="R97" s="61">
        <v>47.450249900000003</v>
      </c>
      <c r="S97" s="61">
        <v>-122.30881650000001</v>
      </c>
      <c r="T97" s="61">
        <v>253.08199999999999</v>
      </c>
      <c r="U97" s="61" t="s">
        <v>617</v>
      </c>
      <c r="V97" s="61" t="s">
        <v>617</v>
      </c>
      <c r="W97" s="61"/>
      <c r="Y97" s="137">
        <f>Summary_LCIA!H$32</f>
        <v>0.33979999999999999</v>
      </c>
      <c r="Z97" s="137">
        <f>Summary_LCIA!Q$32</f>
        <v>4.9560504329999997</v>
      </c>
      <c r="AA97" s="137">
        <f>Summary_LCIA!R$32</f>
        <v>5.2655999999999996E-3</v>
      </c>
      <c r="AB97" s="137">
        <f>Summary_LCIA!S$32</f>
        <v>0.33538000000000001</v>
      </c>
      <c r="AC97" s="137">
        <f>Summary_LCIA!T$32</f>
        <v>0.1099</v>
      </c>
      <c r="AD97" s="137">
        <f>Summary_LCIA!U$32</f>
        <v>1.7913999999999999E-2</v>
      </c>
      <c r="AE97" s="137">
        <f>Summary_LCIA!V$32</f>
        <v>4.7760999999999999E-5</v>
      </c>
      <c r="AF97" s="137">
        <f>Summary_LCIA!W$32</f>
        <v>7.6970999999999998E-2</v>
      </c>
      <c r="AG97" s="137">
        <f>Summary_LCIA!X$32</f>
        <v>2.2780000000000002E-2</v>
      </c>
      <c r="AH97" s="137">
        <f>Summary_LCIA!Y$32</f>
        <v>1.5582E-2</v>
      </c>
      <c r="AI97" s="137">
        <f>Summary_LCIA!Z$32</f>
        <v>4.1009E-5</v>
      </c>
      <c r="AJ97" s="137">
        <f>Summary_LCIA!AA$32</f>
        <v>2.3355999999999998E-2</v>
      </c>
      <c r="AK97" s="137">
        <f>Summary_LCIA!AB$32</f>
        <v>-2.1823000000000001E-5</v>
      </c>
      <c r="AL97" s="137">
        <f>Summary_LCIA!AC$32</f>
        <v>4.8884000000000003E-8</v>
      </c>
      <c r="AM97" s="137">
        <f>Summary_LCIA!AD$32</f>
        <v>4.1103999999999999E-4</v>
      </c>
      <c r="AN97" s="137">
        <f>Summary_LCIA!AE$32</f>
        <v>8.8612999999999995E-4</v>
      </c>
      <c r="AO97" s="137">
        <f>Summary_LCIA!AF$32</f>
        <v>8.4542000000000005E-4</v>
      </c>
      <c r="AP97" s="137">
        <f>Summary_LCIA!AG$32</f>
        <v>5.1165000000000002E-5</v>
      </c>
      <c r="AQ97" s="137">
        <f>Summary_LCIA!AH$32</f>
        <v>8.7036000000000006E-3</v>
      </c>
      <c r="AR97" s="137">
        <f>Summary_LCIA!AI$32</f>
        <v>9.3154999999999996E-4</v>
      </c>
      <c r="AT97" s="137">
        <f t="shared" si="22"/>
        <v>85.997263599999997</v>
      </c>
      <c r="AU97" s="137">
        <f t="shared" si="34"/>
        <v>1254.2871556845059</v>
      </c>
      <c r="AV97" s="137">
        <f t="shared" si="35"/>
        <v>1.3326285791999999</v>
      </c>
      <c r="AW97" s="137">
        <f t="shared" si="36"/>
        <v>84.878641160000001</v>
      </c>
      <c r="AX97" s="137">
        <f t="shared" si="37"/>
        <v>27.8137118</v>
      </c>
      <c r="AY97" s="137">
        <f t="shared" si="38"/>
        <v>4.5337109479999995</v>
      </c>
      <c r="AZ97" s="137">
        <f t="shared" si="39"/>
        <v>1.2087449401999999E-2</v>
      </c>
      <c r="BA97" s="137">
        <f t="shared" si="40"/>
        <v>19.479974622</v>
      </c>
      <c r="BB97" s="137">
        <f t="shared" si="41"/>
        <v>5.7652079600000006</v>
      </c>
      <c r="BC97" s="137">
        <f t="shared" si="23"/>
        <v>3.9435237239999998</v>
      </c>
      <c r="BD97" s="137">
        <f t="shared" si="24"/>
        <v>1.0378639738E-2</v>
      </c>
      <c r="BE97" s="137">
        <f t="shared" si="25"/>
        <v>5.9109831919999998</v>
      </c>
      <c r="BF97" s="137">
        <f t="shared" si="26"/>
        <v>-5.5230084860000001E-3</v>
      </c>
      <c r="BG97" s="137">
        <f t="shared" si="27"/>
        <v>1.2371660488E-5</v>
      </c>
      <c r="BH97" s="137">
        <f t="shared" si="28"/>
        <v>0.10402682528</v>
      </c>
      <c r="BI97" s="137">
        <f t="shared" si="29"/>
        <v>0.22426355265999998</v>
      </c>
      <c r="BJ97" s="137">
        <f t="shared" si="30"/>
        <v>0.21396058444000002</v>
      </c>
      <c r="BK97" s="137">
        <f t="shared" si="31"/>
        <v>1.294894053E-2</v>
      </c>
      <c r="BL97" s="137">
        <f t="shared" si="32"/>
        <v>2.2027244952</v>
      </c>
      <c r="BM97" s="137">
        <f t="shared" si="33"/>
        <v>0.23575853709999997</v>
      </c>
    </row>
    <row r="98" spans="1:65" x14ac:dyDescent="0.25">
      <c r="A98" s="149">
        <v>303</v>
      </c>
      <c r="B98" s="149">
        <v>29</v>
      </c>
      <c r="C98" s="61">
        <v>45.505105999999998</v>
      </c>
      <c r="D98" s="61">
        <v>-122.675026</v>
      </c>
      <c r="E98" s="61" t="s">
        <v>265</v>
      </c>
      <c r="F98" s="149">
        <v>90</v>
      </c>
      <c r="G98" s="61" t="s">
        <v>277</v>
      </c>
      <c r="H98" s="61" t="s">
        <v>697</v>
      </c>
      <c r="I98" s="61">
        <v>45.589768999999997</v>
      </c>
      <c r="J98" s="61">
        <v>-122.595094</v>
      </c>
      <c r="K98" s="61">
        <v>15.812124730000001</v>
      </c>
      <c r="L98" s="61">
        <v>25.564</v>
      </c>
      <c r="M98" s="61" t="s">
        <v>617</v>
      </c>
      <c r="N98" s="149">
        <v>28</v>
      </c>
      <c r="O98" s="149">
        <v>29</v>
      </c>
      <c r="P98" s="61" t="s">
        <v>565</v>
      </c>
      <c r="Q98" s="61" t="s">
        <v>559</v>
      </c>
      <c r="R98" s="61">
        <v>47.450249900000003</v>
      </c>
      <c r="S98" s="61">
        <v>-122.30881650000001</v>
      </c>
      <c r="T98" s="61">
        <v>266.59500000000003</v>
      </c>
      <c r="U98" s="61" t="s">
        <v>617</v>
      </c>
      <c r="V98" s="61" t="s">
        <v>617</v>
      </c>
      <c r="W98" s="61"/>
      <c r="Y98" s="137">
        <f>Summary_LCIA!H$32</f>
        <v>0.33979999999999999</v>
      </c>
      <c r="Z98" s="137">
        <f>Summary_LCIA!Q$32</f>
        <v>4.9560504329999997</v>
      </c>
      <c r="AA98" s="137">
        <f>Summary_LCIA!R$32</f>
        <v>5.2655999999999996E-3</v>
      </c>
      <c r="AB98" s="137">
        <f>Summary_LCIA!S$32</f>
        <v>0.33538000000000001</v>
      </c>
      <c r="AC98" s="137">
        <f>Summary_LCIA!T$32</f>
        <v>0.1099</v>
      </c>
      <c r="AD98" s="137">
        <f>Summary_LCIA!U$32</f>
        <v>1.7913999999999999E-2</v>
      </c>
      <c r="AE98" s="137">
        <f>Summary_LCIA!V$32</f>
        <v>4.7760999999999999E-5</v>
      </c>
      <c r="AF98" s="137">
        <f>Summary_LCIA!W$32</f>
        <v>7.6970999999999998E-2</v>
      </c>
      <c r="AG98" s="137">
        <f>Summary_LCIA!X$32</f>
        <v>2.2780000000000002E-2</v>
      </c>
      <c r="AH98" s="137">
        <f>Summary_LCIA!Y$32</f>
        <v>1.5582E-2</v>
      </c>
      <c r="AI98" s="137">
        <f>Summary_LCIA!Z$32</f>
        <v>4.1009E-5</v>
      </c>
      <c r="AJ98" s="137">
        <f>Summary_LCIA!AA$32</f>
        <v>2.3355999999999998E-2</v>
      </c>
      <c r="AK98" s="137">
        <f>Summary_LCIA!AB$32</f>
        <v>-2.1823000000000001E-5</v>
      </c>
      <c r="AL98" s="137">
        <f>Summary_LCIA!AC$32</f>
        <v>4.8884000000000003E-8</v>
      </c>
      <c r="AM98" s="137">
        <f>Summary_LCIA!AD$32</f>
        <v>4.1103999999999999E-4</v>
      </c>
      <c r="AN98" s="137">
        <f>Summary_LCIA!AE$32</f>
        <v>8.8612999999999995E-4</v>
      </c>
      <c r="AO98" s="137">
        <f>Summary_LCIA!AF$32</f>
        <v>8.4542000000000005E-4</v>
      </c>
      <c r="AP98" s="137">
        <f>Summary_LCIA!AG$32</f>
        <v>5.1165000000000002E-5</v>
      </c>
      <c r="AQ98" s="137">
        <f>Summary_LCIA!AH$32</f>
        <v>8.7036000000000006E-3</v>
      </c>
      <c r="AR98" s="137">
        <f>Summary_LCIA!AI$32</f>
        <v>9.3154999999999996E-4</v>
      </c>
      <c r="AT98" s="137">
        <f t="shared" si="22"/>
        <v>90.588981000000004</v>
      </c>
      <c r="AU98" s="137">
        <f t="shared" si="34"/>
        <v>1321.2582651856351</v>
      </c>
      <c r="AV98" s="137">
        <f t="shared" si="35"/>
        <v>1.403782632</v>
      </c>
      <c r="AW98" s="137">
        <f t="shared" si="36"/>
        <v>89.410631100000018</v>
      </c>
      <c r="AX98" s="137">
        <f t="shared" si="37"/>
        <v>29.298790500000003</v>
      </c>
      <c r="AY98" s="137">
        <f t="shared" si="38"/>
        <v>4.7757828300000007</v>
      </c>
      <c r="AZ98" s="137">
        <f t="shared" si="39"/>
        <v>1.2732843795E-2</v>
      </c>
      <c r="BA98" s="137">
        <f t="shared" si="40"/>
        <v>20.520083745000001</v>
      </c>
      <c r="BB98" s="137">
        <f t="shared" si="41"/>
        <v>6.073034100000001</v>
      </c>
      <c r="BC98" s="137">
        <f t="shared" si="23"/>
        <v>4.1540832900000009</v>
      </c>
      <c r="BD98" s="137">
        <f t="shared" si="24"/>
        <v>1.0932794355000001E-2</v>
      </c>
      <c r="BE98" s="137">
        <f t="shared" si="25"/>
        <v>6.2265928200000005</v>
      </c>
      <c r="BF98" s="137">
        <f t="shared" si="26"/>
        <v>-5.817902685000001E-3</v>
      </c>
      <c r="BG98" s="137">
        <f t="shared" si="27"/>
        <v>1.3032229980000003E-5</v>
      </c>
      <c r="BH98" s="137">
        <f t="shared" si="28"/>
        <v>0.10958120880000001</v>
      </c>
      <c r="BI98" s="137">
        <f t="shared" si="29"/>
        <v>0.23623782735000001</v>
      </c>
      <c r="BJ98" s="137">
        <f t="shared" si="30"/>
        <v>0.22538474490000004</v>
      </c>
      <c r="BK98" s="137">
        <f t="shared" si="31"/>
        <v>1.3640333175000002E-2</v>
      </c>
      <c r="BL98" s="137">
        <f t="shared" si="32"/>
        <v>2.3203362420000002</v>
      </c>
      <c r="BM98" s="137">
        <f t="shared" si="33"/>
        <v>0.24834657225000001</v>
      </c>
    </row>
    <row r="99" spans="1:65" x14ac:dyDescent="0.25">
      <c r="A99" s="149">
        <v>304</v>
      </c>
      <c r="B99" s="149">
        <v>29</v>
      </c>
      <c r="C99" s="61">
        <v>45.505105999999998</v>
      </c>
      <c r="D99" s="61">
        <v>-122.675026</v>
      </c>
      <c r="E99" s="61" t="s">
        <v>265</v>
      </c>
      <c r="F99" s="149">
        <v>90</v>
      </c>
      <c r="G99" s="61" t="s">
        <v>277</v>
      </c>
      <c r="H99" s="61" t="s">
        <v>697</v>
      </c>
      <c r="I99" s="61">
        <v>45.589768999999997</v>
      </c>
      <c r="J99" s="61">
        <v>-122.595094</v>
      </c>
      <c r="K99" s="61">
        <v>15.812124730000001</v>
      </c>
      <c r="L99" s="61">
        <v>25.564</v>
      </c>
      <c r="M99" s="61" t="s">
        <v>617</v>
      </c>
      <c r="N99" s="149">
        <v>28</v>
      </c>
      <c r="O99" s="149">
        <v>29</v>
      </c>
      <c r="P99" s="61" t="s">
        <v>565</v>
      </c>
      <c r="Q99" s="61" t="s">
        <v>559</v>
      </c>
      <c r="R99" s="61">
        <v>47.450249900000003</v>
      </c>
      <c r="S99" s="61">
        <v>-122.30881650000001</v>
      </c>
      <c r="T99" s="61">
        <v>266.59500000000003</v>
      </c>
      <c r="U99" s="61" t="s">
        <v>617</v>
      </c>
      <c r="V99" s="61" t="s">
        <v>617</v>
      </c>
      <c r="W99" s="61"/>
      <c r="Y99" s="137">
        <f>Summary_LCIA!H$32</f>
        <v>0.33979999999999999</v>
      </c>
      <c r="Z99" s="137">
        <f>Summary_LCIA!Q$32</f>
        <v>4.9560504329999997</v>
      </c>
      <c r="AA99" s="137">
        <f>Summary_LCIA!R$32</f>
        <v>5.2655999999999996E-3</v>
      </c>
      <c r="AB99" s="137">
        <f>Summary_LCIA!S$32</f>
        <v>0.33538000000000001</v>
      </c>
      <c r="AC99" s="137">
        <f>Summary_LCIA!T$32</f>
        <v>0.1099</v>
      </c>
      <c r="AD99" s="137">
        <f>Summary_LCIA!U$32</f>
        <v>1.7913999999999999E-2</v>
      </c>
      <c r="AE99" s="137">
        <f>Summary_LCIA!V$32</f>
        <v>4.7760999999999999E-5</v>
      </c>
      <c r="AF99" s="137">
        <f>Summary_LCIA!W$32</f>
        <v>7.6970999999999998E-2</v>
      </c>
      <c r="AG99" s="137">
        <f>Summary_LCIA!X$32</f>
        <v>2.2780000000000002E-2</v>
      </c>
      <c r="AH99" s="137">
        <f>Summary_LCIA!Y$32</f>
        <v>1.5582E-2</v>
      </c>
      <c r="AI99" s="137">
        <f>Summary_LCIA!Z$32</f>
        <v>4.1009E-5</v>
      </c>
      <c r="AJ99" s="137">
        <f>Summary_LCIA!AA$32</f>
        <v>2.3355999999999998E-2</v>
      </c>
      <c r="AK99" s="137">
        <f>Summary_LCIA!AB$32</f>
        <v>-2.1823000000000001E-5</v>
      </c>
      <c r="AL99" s="137">
        <f>Summary_LCIA!AC$32</f>
        <v>4.8884000000000003E-8</v>
      </c>
      <c r="AM99" s="137">
        <f>Summary_LCIA!AD$32</f>
        <v>4.1103999999999999E-4</v>
      </c>
      <c r="AN99" s="137">
        <f>Summary_LCIA!AE$32</f>
        <v>8.8612999999999995E-4</v>
      </c>
      <c r="AO99" s="137">
        <f>Summary_LCIA!AF$32</f>
        <v>8.4542000000000005E-4</v>
      </c>
      <c r="AP99" s="137">
        <f>Summary_LCIA!AG$32</f>
        <v>5.1165000000000002E-5</v>
      </c>
      <c r="AQ99" s="137">
        <f>Summary_LCIA!AH$32</f>
        <v>8.7036000000000006E-3</v>
      </c>
      <c r="AR99" s="137">
        <f>Summary_LCIA!AI$32</f>
        <v>9.3154999999999996E-4</v>
      </c>
      <c r="AT99" s="137">
        <f t="shared" si="22"/>
        <v>90.588981000000004</v>
      </c>
      <c r="AU99" s="137">
        <f t="shared" si="34"/>
        <v>1321.2582651856351</v>
      </c>
      <c r="AV99" s="137">
        <f t="shared" si="35"/>
        <v>1.403782632</v>
      </c>
      <c r="AW99" s="137">
        <f t="shared" si="36"/>
        <v>89.410631100000018</v>
      </c>
      <c r="AX99" s="137">
        <f t="shared" si="37"/>
        <v>29.298790500000003</v>
      </c>
      <c r="AY99" s="137">
        <f t="shared" si="38"/>
        <v>4.7757828300000007</v>
      </c>
      <c r="AZ99" s="137">
        <f t="shared" si="39"/>
        <v>1.2732843795E-2</v>
      </c>
      <c r="BA99" s="137">
        <f t="shared" si="40"/>
        <v>20.520083745000001</v>
      </c>
      <c r="BB99" s="137">
        <f t="shared" si="41"/>
        <v>6.073034100000001</v>
      </c>
      <c r="BC99" s="137">
        <f t="shared" si="23"/>
        <v>4.1540832900000009</v>
      </c>
      <c r="BD99" s="137">
        <f t="shared" si="24"/>
        <v>1.0932794355000001E-2</v>
      </c>
      <c r="BE99" s="137">
        <f t="shared" si="25"/>
        <v>6.2265928200000005</v>
      </c>
      <c r="BF99" s="137">
        <f t="shared" si="26"/>
        <v>-5.817902685000001E-3</v>
      </c>
      <c r="BG99" s="137">
        <f t="shared" si="27"/>
        <v>1.3032229980000003E-5</v>
      </c>
      <c r="BH99" s="137">
        <f t="shared" si="28"/>
        <v>0.10958120880000001</v>
      </c>
      <c r="BI99" s="137">
        <f t="shared" si="29"/>
        <v>0.23623782735000001</v>
      </c>
      <c r="BJ99" s="137">
        <f t="shared" si="30"/>
        <v>0.22538474490000004</v>
      </c>
      <c r="BK99" s="137">
        <f t="shared" si="31"/>
        <v>1.3640333175000002E-2</v>
      </c>
      <c r="BL99" s="137">
        <f t="shared" si="32"/>
        <v>2.3203362420000002</v>
      </c>
      <c r="BM99" s="137">
        <f t="shared" si="33"/>
        <v>0.24834657225000001</v>
      </c>
    </row>
    <row r="100" spans="1:65" x14ac:dyDescent="0.25">
      <c r="A100" s="149">
        <v>305</v>
      </c>
      <c r="B100" s="149">
        <v>29</v>
      </c>
      <c r="C100" s="61">
        <v>45.505105999999998</v>
      </c>
      <c r="D100" s="61">
        <v>-122.675026</v>
      </c>
      <c r="E100" s="61" t="s">
        <v>265</v>
      </c>
      <c r="F100" s="149">
        <v>90</v>
      </c>
      <c r="G100" s="61" t="s">
        <v>277</v>
      </c>
      <c r="H100" s="61" t="s">
        <v>697</v>
      </c>
      <c r="I100" s="61">
        <v>45.589768999999997</v>
      </c>
      <c r="J100" s="61">
        <v>-122.595094</v>
      </c>
      <c r="K100" s="61">
        <v>15.812124730000001</v>
      </c>
      <c r="L100" s="61">
        <v>25.564</v>
      </c>
      <c r="M100" s="61" t="s">
        <v>617</v>
      </c>
      <c r="N100" s="149">
        <v>28</v>
      </c>
      <c r="O100" s="149">
        <v>29</v>
      </c>
      <c r="P100" s="61" t="s">
        <v>565</v>
      </c>
      <c r="Q100" s="61" t="s">
        <v>559</v>
      </c>
      <c r="R100" s="61">
        <v>47.450249900000003</v>
      </c>
      <c r="S100" s="61">
        <v>-122.30881650000001</v>
      </c>
      <c r="T100" s="61">
        <v>266.59500000000003</v>
      </c>
      <c r="U100" s="61" t="s">
        <v>617</v>
      </c>
      <c r="V100" s="61" t="s">
        <v>617</v>
      </c>
      <c r="W100" s="61"/>
      <c r="Y100" s="137">
        <f>Summary_LCIA!H$32</f>
        <v>0.33979999999999999</v>
      </c>
      <c r="Z100" s="137">
        <f>Summary_LCIA!Q$32</f>
        <v>4.9560504329999997</v>
      </c>
      <c r="AA100" s="137">
        <f>Summary_LCIA!R$32</f>
        <v>5.2655999999999996E-3</v>
      </c>
      <c r="AB100" s="137">
        <f>Summary_LCIA!S$32</f>
        <v>0.33538000000000001</v>
      </c>
      <c r="AC100" s="137">
        <f>Summary_LCIA!T$32</f>
        <v>0.1099</v>
      </c>
      <c r="AD100" s="137">
        <f>Summary_LCIA!U$32</f>
        <v>1.7913999999999999E-2</v>
      </c>
      <c r="AE100" s="137">
        <f>Summary_LCIA!V$32</f>
        <v>4.7760999999999999E-5</v>
      </c>
      <c r="AF100" s="137">
        <f>Summary_LCIA!W$32</f>
        <v>7.6970999999999998E-2</v>
      </c>
      <c r="AG100" s="137">
        <f>Summary_LCIA!X$32</f>
        <v>2.2780000000000002E-2</v>
      </c>
      <c r="AH100" s="137">
        <f>Summary_LCIA!Y$32</f>
        <v>1.5582E-2</v>
      </c>
      <c r="AI100" s="137">
        <f>Summary_LCIA!Z$32</f>
        <v>4.1009E-5</v>
      </c>
      <c r="AJ100" s="137">
        <f>Summary_LCIA!AA$32</f>
        <v>2.3355999999999998E-2</v>
      </c>
      <c r="AK100" s="137">
        <f>Summary_LCIA!AB$32</f>
        <v>-2.1823000000000001E-5</v>
      </c>
      <c r="AL100" s="137">
        <f>Summary_LCIA!AC$32</f>
        <v>4.8884000000000003E-8</v>
      </c>
      <c r="AM100" s="137">
        <f>Summary_LCIA!AD$32</f>
        <v>4.1103999999999999E-4</v>
      </c>
      <c r="AN100" s="137">
        <f>Summary_LCIA!AE$32</f>
        <v>8.8612999999999995E-4</v>
      </c>
      <c r="AO100" s="137">
        <f>Summary_LCIA!AF$32</f>
        <v>8.4542000000000005E-4</v>
      </c>
      <c r="AP100" s="137">
        <f>Summary_LCIA!AG$32</f>
        <v>5.1165000000000002E-5</v>
      </c>
      <c r="AQ100" s="137">
        <f>Summary_LCIA!AH$32</f>
        <v>8.7036000000000006E-3</v>
      </c>
      <c r="AR100" s="137">
        <f>Summary_LCIA!AI$32</f>
        <v>9.3154999999999996E-4</v>
      </c>
      <c r="AT100" s="137">
        <f t="shared" si="22"/>
        <v>90.588981000000004</v>
      </c>
      <c r="AU100" s="137">
        <f t="shared" si="34"/>
        <v>1321.2582651856351</v>
      </c>
      <c r="AV100" s="137">
        <f t="shared" si="35"/>
        <v>1.403782632</v>
      </c>
      <c r="AW100" s="137">
        <f t="shared" si="36"/>
        <v>89.410631100000018</v>
      </c>
      <c r="AX100" s="137">
        <f t="shared" si="37"/>
        <v>29.298790500000003</v>
      </c>
      <c r="AY100" s="137">
        <f t="shared" si="38"/>
        <v>4.7757828300000007</v>
      </c>
      <c r="AZ100" s="137">
        <f t="shared" si="39"/>
        <v>1.2732843795E-2</v>
      </c>
      <c r="BA100" s="137">
        <f t="shared" si="40"/>
        <v>20.520083745000001</v>
      </c>
      <c r="BB100" s="137">
        <f t="shared" si="41"/>
        <v>6.073034100000001</v>
      </c>
      <c r="BC100" s="137">
        <f t="shared" si="23"/>
        <v>4.1540832900000009</v>
      </c>
      <c r="BD100" s="137">
        <f t="shared" si="24"/>
        <v>1.0932794355000001E-2</v>
      </c>
      <c r="BE100" s="137">
        <f t="shared" si="25"/>
        <v>6.2265928200000005</v>
      </c>
      <c r="BF100" s="137">
        <f t="shared" si="26"/>
        <v>-5.817902685000001E-3</v>
      </c>
      <c r="BG100" s="137">
        <f t="shared" si="27"/>
        <v>1.3032229980000003E-5</v>
      </c>
      <c r="BH100" s="137">
        <f t="shared" si="28"/>
        <v>0.10958120880000001</v>
      </c>
      <c r="BI100" s="137">
        <f t="shared" si="29"/>
        <v>0.23623782735000001</v>
      </c>
      <c r="BJ100" s="137">
        <f t="shared" si="30"/>
        <v>0.22538474490000004</v>
      </c>
      <c r="BK100" s="137">
        <f t="shared" si="31"/>
        <v>1.3640333175000002E-2</v>
      </c>
      <c r="BL100" s="137">
        <f t="shared" si="32"/>
        <v>2.3203362420000002</v>
      </c>
      <c r="BM100" s="137">
        <f t="shared" si="33"/>
        <v>0.24834657225000001</v>
      </c>
    </row>
    <row r="101" spans="1:65" x14ac:dyDescent="0.25">
      <c r="A101" s="149">
        <v>306</v>
      </c>
      <c r="B101" s="149">
        <v>29</v>
      </c>
      <c r="C101" s="61">
        <v>45.505105999999998</v>
      </c>
      <c r="D101" s="61">
        <v>-122.675026</v>
      </c>
      <c r="E101" s="61" t="s">
        <v>265</v>
      </c>
      <c r="F101" s="149">
        <v>90</v>
      </c>
      <c r="G101" s="61" t="s">
        <v>277</v>
      </c>
      <c r="H101" s="61" t="s">
        <v>697</v>
      </c>
      <c r="I101" s="61">
        <v>45.589768999999997</v>
      </c>
      <c r="J101" s="61">
        <v>-122.595094</v>
      </c>
      <c r="K101" s="61">
        <v>15.812124730000001</v>
      </c>
      <c r="L101" s="61">
        <v>25.564</v>
      </c>
      <c r="M101" s="61" t="s">
        <v>617</v>
      </c>
      <c r="N101" s="149">
        <v>28</v>
      </c>
      <c r="O101" s="149">
        <v>29</v>
      </c>
      <c r="P101" s="61" t="s">
        <v>565</v>
      </c>
      <c r="Q101" s="61" t="s">
        <v>559</v>
      </c>
      <c r="R101" s="61">
        <v>47.450249900000003</v>
      </c>
      <c r="S101" s="61">
        <v>-122.30881650000001</v>
      </c>
      <c r="T101" s="61">
        <v>266.59500000000003</v>
      </c>
      <c r="U101" s="61" t="s">
        <v>617</v>
      </c>
      <c r="V101" s="61" t="s">
        <v>617</v>
      </c>
      <c r="W101" s="61"/>
      <c r="Y101" s="137">
        <f>Summary_LCIA!H$32</f>
        <v>0.33979999999999999</v>
      </c>
      <c r="Z101" s="137">
        <f>Summary_LCIA!Q$32</f>
        <v>4.9560504329999997</v>
      </c>
      <c r="AA101" s="137">
        <f>Summary_LCIA!R$32</f>
        <v>5.2655999999999996E-3</v>
      </c>
      <c r="AB101" s="137">
        <f>Summary_LCIA!S$32</f>
        <v>0.33538000000000001</v>
      </c>
      <c r="AC101" s="137">
        <f>Summary_LCIA!T$32</f>
        <v>0.1099</v>
      </c>
      <c r="AD101" s="137">
        <f>Summary_LCIA!U$32</f>
        <v>1.7913999999999999E-2</v>
      </c>
      <c r="AE101" s="137">
        <f>Summary_LCIA!V$32</f>
        <v>4.7760999999999999E-5</v>
      </c>
      <c r="AF101" s="137">
        <f>Summary_LCIA!W$32</f>
        <v>7.6970999999999998E-2</v>
      </c>
      <c r="AG101" s="137">
        <f>Summary_LCIA!X$32</f>
        <v>2.2780000000000002E-2</v>
      </c>
      <c r="AH101" s="137">
        <f>Summary_LCIA!Y$32</f>
        <v>1.5582E-2</v>
      </c>
      <c r="AI101" s="137">
        <f>Summary_LCIA!Z$32</f>
        <v>4.1009E-5</v>
      </c>
      <c r="AJ101" s="137">
        <f>Summary_LCIA!AA$32</f>
        <v>2.3355999999999998E-2</v>
      </c>
      <c r="AK101" s="137">
        <f>Summary_LCIA!AB$32</f>
        <v>-2.1823000000000001E-5</v>
      </c>
      <c r="AL101" s="137">
        <f>Summary_LCIA!AC$32</f>
        <v>4.8884000000000003E-8</v>
      </c>
      <c r="AM101" s="137">
        <f>Summary_LCIA!AD$32</f>
        <v>4.1103999999999999E-4</v>
      </c>
      <c r="AN101" s="137">
        <f>Summary_LCIA!AE$32</f>
        <v>8.8612999999999995E-4</v>
      </c>
      <c r="AO101" s="137">
        <f>Summary_LCIA!AF$32</f>
        <v>8.4542000000000005E-4</v>
      </c>
      <c r="AP101" s="137">
        <f>Summary_LCIA!AG$32</f>
        <v>5.1165000000000002E-5</v>
      </c>
      <c r="AQ101" s="137">
        <f>Summary_LCIA!AH$32</f>
        <v>8.7036000000000006E-3</v>
      </c>
      <c r="AR101" s="137">
        <f>Summary_LCIA!AI$32</f>
        <v>9.3154999999999996E-4</v>
      </c>
      <c r="AT101" s="137">
        <f t="shared" si="22"/>
        <v>90.588981000000004</v>
      </c>
      <c r="AU101" s="137">
        <f t="shared" si="34"/>
        <v>1321.2582651856351</v>
      </c>
      <c r="AV101" s="137">
        <f t="shared" si="35"/>
        <v>1.403782632</v>
      </c>
      <c r="AW101" s="137">
        <f t="shared" si="36"/>
        <v>89.410631100000018</v>
      </c>
      <c r="AX101" s="137">
        <f t="shared" si="37"/>
        <v>29.298790500000003</v>
      </c>
      <c r="AY101" s="137">
        <f t="shared" si="38"/>
        <v>4.7757828300000007</v>
      </c>
      <c r="AZ101" s="137">
        <f t="shared" si="39"/>
        <v>1.2732843795E-2</v>
      </c>
      <c r="BA101" s="137">
        <f t="shared" si="40"/>
        <v>20.520083745000001</v>
      </c>
      <c r="BB101" s="137">
        <f t="shared" si="41"/>
        <v>6.073034100000001</v>
      </c>
      <c r="BC101" s="137">
        <f t="shared" si="23"/>
        <v>4.1540832900000009</v>
      </c>
      <c r="BD101" s="137">
        <f t="shared" si="24"/>
        <v>1.0932794355000001E-2</v>
      </c>
      <c r="BE101" s="137">
        <f t="shared" si="25"/>
        <v>6.2265928200000005</v>
      </c>
      <c r="BF101" s="137">
        <f t="shared" si="26"/>
        <v>-5.817902685000001E-3</v>
      </c>
      <c r="BG101" s="137">
        <f t="shared" si="27"/>
        <v>1.3032229980000003E-5</v>
      </c>
      <c r="BH101" s="137">
        <f t="shared" si="28"/>
        <v>0.10958120880000001</v>
      </c>
      <c r="BI101" s="137">
        <f t="shared" si="29"/>
        <v>0.23623782735000001</v>
      </c>
      <c r="BJ101" s="137">
        <f t="shared" si="30"/>
        <v>0.22538474490000004</v>
      </c>
      <c r="BK101" s="137">
        <f t="shared" si="31"/>
        <v>1.3640333175000002E-2</v>
      </c>
      <c r="BL101" s="137">
        <f t="shared" si="32"/>
        <v>2.3203362420000002</v>
      </c>
      <c r="BM101" s="137">
        <f t="shared" si="33"/>
        <v>0.24834657225000001</v>
      </c>
    </row>
    <row r="102" spans="1:65" x14ac:dyDescent="0.25">
      <c r="A102" s="149">
        <v>144</v>
      </c>
      <c r="B102" s="149">
        <v>43</v>
      </c>
      <c r="C102" s="61">
        <v>39.332213000000003</v>
      </c>
      <c r="D102" s="61">
        <v>-76.600832999999994</v>
      </c>
      <c r="E102" s="61" t="s">
        <v>265</v>
      </c>
      <c r="F102" s="149">
        <v>82</v>
      </c>
      <c r="G102" s="61" t="s">
        <v>684</v>
      </c>
      <c r="H102" s="61" t="s">
        <v>685</v>
      </c>
      <c r="I102" s="61">
        <v>39.177404000000003</v>
      </c>
      <c r="J102" s="61">
        <v>-76.668391999999997</v>
      </c>
      <c r="K102" s="61">
        <v>25.47228264</v>
      </c>
      <c r="L102" s="61">
        <v>22.373000000000001</v>
      </c>
      <c r="M102" s="61" t="s">
        <v>617</v>
      </c>
      <c r="N102" s="149">
        <v>42</v>
      </c>
      <c r="O102" s="149">
        <v>43</v>
      </c>
      <c r="P102" s="61" t="s">
        <v>565</v>
      </c>
      <c r="Q102" s="61" t="s">
        <v>555</v>
      </c>
      <c r="R102" s="61">
        <v>40.6895314</v>
      </c>
      <c r="S102" s="61">
        <v>-74.174462399999996</v>
      </c>
      <c r="T102" s="61">
        <v>285.99299999999999</v>
      </c>
      <c r="U102" s="61" t="s">
        <v>617</v>
      </c>
      <c r="V102" s="61" t="s">
        <v>617</v>
      </c>
      <c r="W102" s="61"/>
      <c r="Y102" s="137">
        <f>Summary_LCIA!H$32</f>
        <v>0.33979999999999999</v>
      </c>
      <c r="Z102" s="137">
        <f>Summary_LCIA!Q$32</f>
        <v>4.9560504329999997</v>
      </c>
      <c r="AA102" s="137">
        <f>Summary_LCIA!R$32</f>
        <v>5.2655999999999996E-3</v>
      </c>
      <c r="AB102" s="137">
        <f>Summary_LCIA!S$32</f>
        <v>0.33538000000000001</v>
      </c>
      <c r="AC102" s="137">
        <f>Summary_LCIA!T$32</f>
        <v>0.1099</v>
      </c>
      <c r="AD102" s="137">
        <f>Summary_LCIA!U$32</f>
        <v>1.7913999999999999E-2</v>
      </c>
      <c r="AE102" s="137">
        <f>Summary_LCIA!V$32</f>
        <v>4.7760999999999999E-5</v>
      </c>
      <c r="AF102" s="137">
        <f>Summary_LCIA!W$32</f>
        <v>7.6970999999999998E-2</v>
      </c>
      <c r="AG102" s="137">
        <f>Summary_LCIA!X$32</f>
        <v>2.2780000000000002E-2</v>
      </c>
      <c r="AH102" s="137">
        <f>Summary_LCIA!Y$32</f>
        <v>1.5582E-2</v>
      </c>
      <c r="AI102" s="137">
        <f>Summary_LCIA!Z$32</f>
        <v>4.1009E-5</v>
      </c>
      <c r="AJ102" s="137">
        <f>Summary_LCIA!AA$32</f>
        <v>2.3355999999999998E-2</v>
      </c>
      <c r="AK102" s="137">
        <f>Summary_LCIA!AB$32</f>
        <v>-2.1823000000000001E-5</v>
      </c>
      <c r="AL102" s="137">
        <f>Summary_LCIA!AC$32</f>
        <v>4.8884000000000003E-8</v>
      </c>
      <c r="AM102" s="137">
        <f>Summary_LCIA!AD$32</f>
        <v>4.1103999999999999E-4</v>
      </c>
      <c r="AN102" s="137">
        <f>Summary_LCIA!AE$32</f>
        <v>8.8612999999999995E-4</v>
      </c>
      <c r="AO102" s="137">
        <f>Summary_LCIA!AF$32</f>
        <v>8.4542000000000005E-4</v>
      </c>
      <c r="AP102" s="137">
        <f>Summary_LCIA!AG$32</f>
        <v>5.1165000000000002E-5</v>
      </c>
      <c r="AQ102" s="137">
        <f>Summary_LCIA!AH$32</f>
        <v>8.7036000000000006E-3</v>
      </c>
      <c r="AR102" s="137">
        <f>Summary_LCIA!AI$32</f>
        <v>9.3154999999999996E-4</v>
      </c>
      <c r="AT102" s="137">
        <f t="shared" si="22"/>
        <v>97.1804214</v>
      </c>
      <c r="AU102" s="137">
        <f t="shared" si="34"/>
        <v>1417.3957314849688</v>
      </c>
      <c r="AV102" s="137">
        <f t="shared" si="35"/>
        <v>1.5059247407999998</v>
      </c>
      <c r="AW102" s="137">
        <f t="shared" si="36"/>
        <v>95.916332339999997</v>
      </c>
      <c r="AX102" s="137">
        <f t="shared" si="37"/>
        <v>31.430630699999998</v>
      </c>
      <c r="AY102" s="137">
        <f t="shared" si="38"/>
        <v>5.1232786020000001</v>
      </c>
      <c r="AZ102" s="137">
        <f t="shared" si="39"/>
        <v>1.3659311673E-2</v>
      </c>
      <c r="BA102" s="137">
        <f t="shared" si="40"/>
        <v>22.013167202999998</v>
      </c>
      <c r="BB102" s="137">
        <f t="shared" si="41"/>
        <v>6.5149205400000003</v>
      </c>
      <c r="BC102" s="137">
        <f t="shared" si="23"/>
        <v>4.4563429259999996</v>
      </c>
      <c r="BD102" s="137">
        <f t="shared" si="24"/>
        <v>1.1728286936999999E-2</v>
      </c>
      <c r="BE102" s="137">
        <f t="shared" si="25"/>
        <v>6.6796525079999993</v>
      </c>
      <c r="BF102" s="137">
        <f t="shared" si="26"/>
        <v>-6.2412252389999999E-3</v>
      </c>
      <c r="BG102" s="137">
        <f t="shared" si="27"/>
        <v>1.3980481812000001E-5</v>
      </c>
      <c r="BH102" s="137">
        <f t="shared" si="28"/>
        <v>0.11755456271999999</v>
      </c>
      <c r="BI102" s="137">
        <f t="shared" si="29"/>
        <v>0.25342697709000001</v>
      </c>
      <c r="BJ102" s="137">
        <f t="shared" si="30"/>
        <v>0.24178420206000001</v>
      </c>
      <c r="BK102" s="137">
        <f t="shared" si="31"/>
        <v>1.4632831845000001E-2</v>
      </c>
      <c r="BL102" s="137">
        <f t="shared" si="32"/>
        <v>2.4891686748000001</v>
      </c>
      <c r="BM102" s="137">
        <f t="shared" si="33"/>
        <v>0.26641677915</v>
      </c>
    </row>
    <row r="103" spans="1:65" x14ac:dyDescent="0.25">
      <c r="A103" s="149">
        <v>145</v>
      </c>
      <c r="B103" s="149">
        <v>43</v>
      </c>
      <c r="C103" s="61">
        <v>39.332213000000003</v>
      </c>
      <c r="D103" s="61">
        <v>-76.600832999999994</v>
      </c>
      <c r="E103" s="61" t="s">
        <v>265</v>
      </c>
      <c r="F103" s="149">
        <v>82</v>
      </c>
      <c r="G103" s="61" t="s">
        <v>684</v>
      </c>
      <c r="H103" s="61" t="s">
        <v>685</v>
      </c>
      <c r="I103" s="61">
        <v>39.177404000000003</v>
      </c>
      <c r="J103" s="61">
        <v>-76.668391999999997</v>
      </c>
      <c r="K103" s="61">
        <v>25.47228264</v>
      </c>
      <c r="L103" s="61">
        <v>22.373000000000001</v>
      </c>
      <c r="M103" s="61" t="s">
        <v>617</v>
      </c>
      <c r="N103" s="149">
        <v>42</v>
      </c>
      <c r="O103" s="149">
        <v>43</v>
      </c>
      <c r="P103" s="61" t="s">
        <v>565</v>
      </c>
      <c r="Q103" s="61" t="s">
        <v>555</v>
      </c>
      <c r="R103" s="61">
        <v>40.6895314</v>
      </c>
      <c r="S103" s="61">
        <v>-74.174462399999996</v>
      </c>
      <c r="T103" s="61">
        <v>285.99299999999999</v>
      </c>
      <c r="U103" s="61" t="s">
        <v>617</v>
      </c>
      <c r="V103" s="61" t="s">
        <v>617</v>
      </c>
      <c r="W103" s="61"/>
      <c r="Y103" s="137">
        <f>Summary_LCIA!H$32</f>
        <v>0.33979999999999999</v>
      </c>
      <c r="Z103" s="137">
        <f>Summary_LCIA!Q$32</f>
        <v>4.9560504329999997</v>
      </c>
      <c r="AA103" s="137">
        <f>Summary_LCIA!R$32</f>
        <v>5.2655999999999996E-3</v>
      </c>
      <c r="AB103" s="137">
        <f>Summary_LCIA!S$32</f>
        <v>0.33538000000000001</v>
      </c>
      <c r="AC103" s="137">
        <f>Summary_LCIA!T$32</f>
        <v>0.1099</v>
      </c>
      <c r="AD103" s="137">
        <f>Summary_LCIA!U$32</f>
        <v>1.7913999999999999E-2</v>
      </c>
      <c r="AE103" s="137">
        <f>Summary_LCIA!V$32</f>
        <v>4.7760999999999999E-5</v>
      </c>
      <c r="AF103" s="137">
        <f>Summary_LCIA!W$32</f>
        <v>7.6970999999999998E-2</v>
      </c>
      <c r="AG103" s="137">
        <f>Summary_LCIA!X$32</f>
        <v>2.2780000000000002E-2</v>
      </c>
      <c r="AH103" s="137">
        <f>Summary_LCIA!Y$32</f>
        <v>1.5582E-2</v>
      </c>
      <c r="AI103" s="137">
        <f>Summary_LCIA!Z$32</f>
        <v>4.1009E-5</v>
      </c>
      <c r="AJ103" s="137">
        <f>Summary_LCIA!AA$32</f>
        <v>2.3355999999999998E-2</v>
      </c>
      <c r="AK103" s="137">
        <f>Summary_LCIA!AB$32</f>
        <v>-2.1823000000000001E-5</v>
      </c>
      <c r="AL103" s="137">
        <f>Summary_LCIA!AC$32</f>
        <v>4.8884000000000003E-8</v>
      </c>
      <c r="AM103" s="137">
        <f>Summary_LCIA!AD$32</f>
        <v>4.1103999999999999E-4</v>
      </c>
      <c r="AN103" s="137">
        <f>Summary_LCIA!AE$32</f>
        <v>8.8612999999999995E-4</v>
      </c>
      <c r="AO103" s="137">
        <f>Summary_LCIA!AF$32</f>
        <v>8.4542000000000005E-4</v>
      </c>
      <c r="AP103" s="137">
        <f>Summary_LCIA!AG$32</f>
        <v>5.1165000000000002E-5</v>
      </c>
      <c r="AQ103" s="137">
        <f>Summary_LCIA!AH$32</f>
        <v>8.7036000000000006E-3</v>
      </c>
      <c r="AR103" s="137">
        <f>Summary_LCIA!AI$32</f>
        <v>9.3154999999999996E-4</v>
      </c>
      <c r="AT103" s="137">
        <f t="shared" si="22"/>
        <v>97.1804214</v>
      </c>
      <c r="AU103" s="137">
        <f t="shared" si="34"/>
        <v>1417.3957314849688</v>
      </c>
      <c r="AV103" s="137">
        <f t="shared" si="35"/>
        <v>1.5059247407999998</v>
      </c>
      <c r="AW103" s="137">
        <f t="shared" si="36"/>
        <v>95.916332339999997</v>
      </c>
      <c r="AX103" s="137">
        <f t="shared" si="37"/>
        <v>31.430630699999998</v>
      </c>
      <c r="AY103" s="137">
        <f t="shared" si="38"/>
        <v>5.1232786020000001</v>
      </c>
      <c r="AZ103" s="137">
        <f t="shared" si="39"/>
        <v>1.3659311673E-2</v>
      </c>
      <c r="BA103" s="137">
        <f t="shared" si="40"/>
        <v>22.013167202999998</v>
      </c>
      <c r="BB103" s="137">
        <f t="shared" si="41"/>
        <v>6.5149205400000003</v>
      </c>
      <c r="BC103" s="137">
        <f t="shared" si="23"/>
        <v>4.4563429259999996</v>
      </c>
      <c r="BD103" s="137">
        <f t="shared" si="24"/>
        <v>1.1728286936999999E-2</v>
      </c>
      <c r="BE103" s="137">
        <f t="shared" si="25"/>
        <v>6.6796525079999993</v>
      </c>
      <c r="BF103" s="137">
        <f t="shared" si="26"/>
        <v>-6.2412252389999999E-3</v>
      </c>
      <c r="BG103" s="137">
        <f t="shared" si="27"/>
        <v>1.3980481812000001E-5</v>
      </c>
      <c r="BH103" s="137">
        <f t="shared" si="28"/>
        <v>0.11755456271999999</v>
      </c>
      <c r="BI103" s="137">
        <f t="shared" si="29"/>
        <v>0.25342697709000001</v>
      </c>
      <c r="BJ103" s="137">
        <f t="shared" si="30"/>
        <v>0.24178420206000001</v>
      </c>
      <c r="BK103" s="137">
        <f t="shared" si="31"/>
        <v>1.4632831845000001E-2</v>
      </c>
      <c r="BL103" s="137">
        <f t="shared" si="32"/>
        <v>2.4891686748000001</v>
      </c>
      <c r="BM103" s="137">
        <f t="shared" si="33"/>
        <v>0.26641677915</v>
      </c>
    </row>
    <row r="104" spans="1:65" x14ac:dyDescent="0.25">
      <c r="A104" s="149">
        <v>146</v>
      </c>
      <c r="B104" s="149">
        <v>43</v>
      </c>
      <c r="C104" s="61">
        <v>39.332213000000003</v>
      </c>
      <c r="D104" s="61">
        <v>-76.600832999999994</v>
      </c>
      <c r="E104" s="61" t="s">
        <v>265</v>
      </c>
      <c r="F104" s="149">
        <v>82</v>
      </c>
      <c r="G104" s="61" t="s">
        <v>684</v>
      </c>
      <c r="H104" s="61" t="s">
        <v>685</v>
      </c>
      <c r="I104" s="61">
        <v>39.177404000000003</v>
      </c>
      <c r="J104" s="61">
        <v>-76.668391999999997</v>
      </c>
      <c r="K104" s="61">
        <v>25.47228264</v>
      </c>
      <c r="L104" s="61">
        <v>22.373000000000001</v>
      </c>
      <c r="M104" s="61" t="s">
        <v>617</v>
      </c>
      <c r="N104" s="149">
        <v>42</v>
      </c>
      <c r="O104" s="149">
        <v>43</v>
      </c>
      <c r="P104" s="61" t="s">
        <v>565</v>
      </c>
      <c r="Q104" s="61" t="s">
        <v>555</v>
      </c>
      <c r="R104" s="61">
        <v>40.6895314</v>
      </c>
      <c r="S104" s="61">
        <v>-74.174462399999996</v>
      </c>
      <c r="T104" s="61">
        <v>285.99299999999999</v>
      </c>
      <c r="U104" s="61" t="s">
        <v>617</v>
      </c>
      <c r="V104" s="61" t="s">
        <v>617</v>
      </c>
      <c r="W104" s="61"/>
      <c r="Y104" s="137">
        <f>Summary_LCIA!H$32</f>
        <v>0.33979999999999999</v>
      </c>
      <c r="Z104" s="137">
        <f>Summary_LCIA!Q$32</f>
        <v>4.9560504329999997</v>
      </c>
      <c r="AA104" s="137">
        <f>Summary_LCIA!R$32</f>
        <v>5.2655999999999996E-3</v>
      </c>
      <c r="AB104" s="137">
        <f>Summary_LCIA!S$32</f>
        <v>0.33538000000000001</v>
      </c>
      <c r="AC104" s="137">
        <f>Summary_LCIA!T$32</f>
        <v>0.1099</v>
      </c>
      <c r="AD104" s="137">
        <f>Summary_LCIA!U$32</f>
        <v>1.7913999999999999E-2</v>
      </c>
      <c r="AE104" s="137">
        <f>Summary_LCIA!V$32</f>
        <v>4.7760999999999999E-5</v>
      </c>
      <c r="AF104" s="137">
        <f>Summary_LCIA!W$32</f>
        <v>7.6970999999999998E-2</v>
      </c>
      <c r="AG104" s="137">
        <f>Summary_LCIA!X$32</f>
        <v>2.2780000000000002E-2</v>
      </c>
      <c r="AH104" s="137">
        <f>Summary_LCIA!Y$32</f>
        <v>1.5582E-2</v>
      </c>
      <c r="AI104" s="137">
        <f>Summary_LCIA!Z$32</f>
        <v>4.1009E-5</v>
      </c>
      <c r="AJ104" s="137">
        <f>Summary_LCIA!AA$32</f>
        <v>2.3355999999999998E-2</v>
      </c>
      <c r="AK104" s="137">
        <f>Summary_LCIA!AB$32</f>
        <v>-2.1823000000000001E-5</v>
      </c>
      <c r="AL104" s="137">
        <f>Summary_LCIA!AC$32</f>
        <v>4.8884000000000003E-8</v>
      </c>
      <c r="AM104" s="137">
        <f>Summary_LCIA!AD$32</f>
        <v>4.1103999999999999E-4</v>
      </c>
      <c r="AN104" s="137">
        <f>Summary_LCIA!AE$32</f>
        <v>8.8612999999999995E-4</v>
      </c>
      <c r="AO104" s="137">
        <f>Summary_LCIA!AF$32</f>
        <v>8.4542000000000005E-4</v>
      </c>
      <c r="AP104" s="137">
        <f>Summary_LCIA!AG$32</f>
        <v>5.1165000000000002E-5</v>
      </c>
      <c r="AQ104" s="137">
        <f>Summary_LCIA!AH$32</f>
        <v>8.7036000000000006E-3</v>
      </c>
      <c r="AR104" s="137">
        <f>Summary_LCIA!AI$32</f>
        <v>9.3154999999999996E-4</v>
      </c>
      <c r="AT104" s="137">
        <f t="shared" si="22"/>
        <v>97.1804214</v>
      </c>
      <c r="AU104" s="137">
        <f t="shared" si="34"/>
        <v>1417.3957314849688</v>
      </c>
      <c r="AV104" s="137">
        <f t="shared" si="35"/>
        <v>1.5059247407999998</v>
      </c>
      <c r="AW104" s="137">
        <f t="shared" si="36"/>
        <v>95.916332339999997</v>
      </c>
      <c r="AX104" s="137">
        <f t="shared" si="37"/>
        <v>31.430630699999998</v>
      </c>
      <c r="AY104" s="137">
        <f t="shared" si="38"/>
        <v>5.1232786020000001</v>
      </c>
      <c r="AZ104" s="137">
        <f t="shared" si="39"/>
        <v>1.3659311673E-2</v>
      </c>
      <c r="BA104" s="137">
        <f t="shared" si="40"/>
        <v>22.013167202999998</v>
      </c>
      <c r="BB104" s="137">
        <f t="shared" si="41"/>
        <v>6.5149205400000003</v>
      </c>
      <c r="BC104" s="137">
        <f t="shared" si="23"/>
        <v>4.4563429259999996</v>
      </c>
      <c r="BD104" s="137">
        <f t="shared" si="24"/>
        <v>1.1728286936999999E-2</v>
      </c>
      <c r="BE104" s="137">
        <f t="shared" si="25"/>
        <v>6.6796525079999993</v>
      </c>
      <c r="BF104" s="137">
        <f t="shared" si="26"/>
        <v>-6.2412252389999999E-3</v>
      </c>
      <c r="BG104" s="137">
        <f t="shared" si="27"/>
        <v>1.3980481812000001E-5</v>
      </c>
      <c r="BH104" s="137">
        <f t="shared" si="28"/>
        <v>0.11755456271999999</v>
      </c>
      <c r="BI104" s="137">
        <f t="shared" si="29"/>
        <v>0.25342697709000001</v>
      </c>
      <c r="BJ104" s="137">
        <f t="shared" si="30"/>
        <v>0.24178420206000001</v>
      </c>
      <c r="BK104" s="137">
        <f t="shared" si="31"/>
        <v>1.4632831845000001E-2</v>
      </c>
      <c r="BL104" s="137">
        <f t="shared" si="32"/>
        <v>2.4891686748000001</v>
      </c>
      <c r="BM104" s="137">
        <f t="shared" si="33"/>
        <v>0.26641677915</v>
      </c>
    </row>
    <row r="105" spans="1:65" x14ac:dyDescent="0.25">
      <c r="A105" s="149">
        <v>147</v>
      </c>
      <c r="B105" s="149">
        <v>43</v>
      </c>
      <c r="C105" s="61">
        <v>39.332213000000003</v>
      </c>
      <c r="D105" s="61">
        <v>-76.600832999999994</v>
      </c>
      <c r="E105" s="61" t="s">
        <v>265</v>
      </c>
      <c r="F105" s="149">
        <v>82</v>
      </c>
      <c r="G105" s="61" t="s">
        <v>684</v>
      </c>
      <c r="H105" s="61" t="s">
        <v>685</v>
      </c>
      <c r="I105" s="61">
        <v>39.177404000000003</v>
      </c>
      <c r="J105" s="61">
        <v>-76.668391999999997</v>
      </c>
      <c r="K105" s="61">
        <v>25.47228264</v>
      </c>
      <c r="L105" s="61">
        <v>22.373000000000001</v>
      </c>
      <c r="M105" s="61" t="s">
        <v>617</v>
      </c>
      <c r="N105" s="149">
        <v>42</v>
      </c>
      <c r="O105" s="149">
        <v>43</v>
      </c>
      <c r="P105" s="61" t="s">
        <v>565</v>
      </c>
      <c r="Q105" s="61" t="s">
        <v>555</v>
      </c>
      <c r="R105" s="61">
        <v>40.6895314</v>
      </c>
      <c r="S105" s="61">
        <v>-74.174462399999996</v>
      </c>
      <c r="T105" s="61">
        <v>285.99299999999999</v>
      </c>
      <c r="U105" s="61" t="s">
        <v>617</v>
      </c>
      <c r="V105" s="61" t="s">
        <v>617</v>
      </c>
      <c r="W105" s="61"/>
      <c r="Y105" s="137">
        <f>Summary_LCIA!H$32</f>
        <v>0.33979999999999999</v>
      </c>
      <c r="Z105" s="137">
        <f>Summary_LCIA!Q$32</f>
        <v>4.9560504329999997</v>
      </c>
      <c r="AA105" s="137">
        <f>Summary_LCIA!R$32</f>
        <v>5.2655999999999996E-3</v>
      </c>
      <c r="AB105" s="137">
        <f>Summary_LCIA!S$32</f>
        <v>0.33538000000000001</v>
      </c>
      <c r="AC105" s="137">
        <f>Summary_LCIA!T$32</f>
        <v>0.1099</v>
      </c>
      <c r="AD105" s="137">
        <f>Summary_LCIA!U$32</f>
        <v>1.7913999999999999E-2</v>
      </c>
      <c r="AE105" s="137">
        <f>Summary_LCIA!V$32</f>
        <v>4.7760999999999999E-5</v>
      </c>
      <c r="AF105" s="137">
        <f>Summary_LCIA!W$32</f>
        <v>7.6970999999999998E-2</v>
      </c>
      <c r="AG105" s="137">
        <f>Summary_LCIA!X$32</f>
        <v>2.2780000000000002E-2</v>
      </c>
      <c r="AH105" s="137">
        <f>Summary_LCIA!Y$32</f>
        <v>1.5582E-2</v>
      </c>
      <c r="AI105" s="137">
        <f>Summary_LCIA!Z$32</f>
        <v>4.1009E-5</v>
      </c>
      <c r="AJ105" s="137">
        <f>Summary_LCIA!AA$32</f>
        <v>2.3355999999999998E-2</v>
      </c>
      <c r="AK105" s="137">
        <f>Summary_LCIA!AB$32</f>
        <v>-2.1823000000000001E-5</v>
      </c>
      <c r="AL105" s="137">
        <f>Summary_LCIA!AC$32</f>
        <v>4.8884000000000003E-8</v>
      </c>
      <c r="AM105" s="137">
        <f>Summary_LCIA!AD$32</f>
        <v>4.1103999999999999E-4</v>
      </c>
      <c r="AN105" s="137">
        <f>Summary_LCIA!AE$32</f>
        <v>8.8612999999999995E-4</v>
      </c>
      <c r="AO105" s="137">
        <f>Summary_LCIA!AF$32</f>
        <v>8.4542000000000005E-4</v>
      </c>
      <c r="AP105" s="137">
        <f>Summary_LCIA!AG$32</f>
        <v>5.1165000000000002E-5</v>
      </c>
      <c r="AQ105" s="137">
        <f>Summary_LCIA!AH$32</f>
        <v>8.7036000000000006E-3</v>
      </c>
      <c r="AR105" s="137">
        <f>Summary_LCIA!AI$32</f>
        <v>9.3154999999999996E-4</v>
      </c>
      <c r="AT105" s="137">
        <f t="shared" si="22"/>
        <v>97.1804214</v>
      </c>
      <c r="AU105" s="137">
        <f t="shared" si="34"/>
        <v>1417.3957314849688</v>
      </c>
      <c r="AV105" s="137">
        <f t="shared" si="35"/>
        <v>1.5059247407999998</v>
      </c>
      <c r="AW105" s="137">
        <f t="shared" si="36"/>
        <v>95.916332339999997</v>
      </c>
      <c r="AX105" s="137">
        <f t="shared" si="37"/>
        <v>31.430630699999998</v>
      </c>
      <c r="AY105" s="137">
        <f t="shared" si="38"/>
        <v>5.1232786020000001</v>
      </c>
      <c r="AZ105" s="137">
        <f t="shared" si="39"/>
        <v>1.3659311673E-2</v>
      </c>
      <c r="BA105" s="137">
        <f t="shared" si="40"/>
        <v>22.013167202999998</v>
      </c>
      <c r="BB105" s="137">
        <f t="shared" si="41"/>
        <v>6.5149205400000003</v>
      </c>
      <c r="BC105" s="137">
        <f t="shared" si="23"/>
        <v>4.4563429259999996</v>
      </c>
      <c r="BD105" s="137">
        <f t="shared" si="24"/>
        <v>1.1728286936999999E-2</v>
      </c>
      <c r="BE105" s="137">
        <f t="shared" si="25"/>
        <v>6.6796525079999993</v>
      </c>
      <c r="BF105" s="137">
        <f t="shared" si="26"/>
        <v>-6.2412252389999999E-3</v>
      </c>
      <c r="BG105" s="137">
        <f t="shared" si="27"/>
        <v>1.3980481812000001E-5</v>
      </c>
      <c r="BH105" s="137">
        <f t="shared" si="28"/>
        <v>0.11755456271999999</v>
      </c>
      <c r="BI105" s="137">
        <f t="shared" si="29"/>
        <v>0.25342697709000001</v>
      </c>
      <c r="BJ105" s="137">
        <f t="shared" si="30"/>
        <v>0.24178420206000001</v>
      </c>
      <c r="BK105" s="137">
        <f t="shared" si="31"/>
        <v>1.4632831845000001E-2</v>
      </c>
      <c r="BL105" s="137">
        <f t="shared" si="32"/>
        <v>2.4891686748000001</v>
      </c>
      <c r="BM105" s="137">
        <f t="shared" si="33"/>
        <v>0.26641677915</v>
      </c>
    </row>
    <row r="106" spans="1:65" x14ac:dyDescent="0.25">
      <c r="A106" s="149">
        <v>148</v>
      </c>
      <c r="B106" s="149">
        <v>43</v>
      </c>
      <c r="C106" s="61">
        <v>39.332213000000003</v>
      </c>
      <c r="D106" s="61">
        <v>-76.600832999999994</v>
      </c>
      <c r="E106" s="61" t="s">
        <v>265</v>
      </c>
      <c r="F106" s="149">
        <v>82</v>
      </c>
      <c r="G106" s="61" t="s">
        <v>684</v>
      </c>
      <c r="H106" s="61" t="s">
        <v>685</v>
      </c>
      <c r="I106" s="61">
        <v>39.177404000000003</v>
      </c>
      <c r="J106" s="61">
        <v>-76.668391999999997</v>
      </c>
      <c r="K106" s="61">
        <v>25.47228264</v>
      </c>
      <c r="L106" s="61">
        <v>22.373000000000001</v>
      </c>
      <c r="M106" s="61" t="s">
        <v>617</v>
      </c>
      <c r="N106" s="149">
        <v>42</v>
      </c>
      <c r="O106" s="149">
        <v>43</v>
      </c>
      <c r="P106" s="61" t="s">
        <v>565</v>
      </c>
      <c r="Q106" s="61" t="s">
        <v>555</v>
      </c>
      <c r="R106" s="61">
        <v>40.6895314</v>
      </c>
      <c r="S106" s="61">
        <v>-74.174462399999996</v>
      </c>
      <c r="T106" s="61">
        <v>285.99299999999999</v>
      </c>
      <c r="U106" s="61" t="s">
        <v>617</v>
      </c>
      <c r="V106" s="61" t="s">
        <v>617</v>
      </c>
      <c r="W106" s="61"/>
      <c r="Y106" s="137">
        <f>Summary_LCIA!H$32</f>
        <v>0.33979999999999999</v>
      </c>
      <c r="Z106" s="137">
        <f>Summary_LCIA!Q$32</f>
        <v>4.9560504329999997</v>
      </c>
      <c r="AA106" s="137">
        <f>Summary_LCIA!R$32</f>
        <v>5.2655999999999996E-3</v>
      </c>
      <c r="AB106" s="137">
        <f>Summary_LCIA!S$32</f>
        <v>0.33538000000000001</v>
      </c>
      <c r="AC106" s="137">
        <f>Summary_LCIA!T$32</f>
        <v>0.1099</v>
      </c>
      <c r="AD106" s="137">
        <f>Summary_LCIA!U$32</f>
        <v>1.7913999999999999E-2</v>
      </c>
      <c r="AE106" s="137">
        <f>Summary_LCIA!V$32</f>
        <v>4.7760999999999999E-5</v>
      </c>
      <c r="AF106" s="137">
        <f>Summary_LCIA!W$32</f>
        <v>7.6970999999999998E-2</v>
      </c>
      <c r="AG106" s="137">
        <f>Summary_LCIA!X$32</f>
        <v>2.2780000000000002E-2</v>
      </c>
      <c r="AH106" s="137">
        <f>Summary_LCIA!Y$32</f>
        <v>1.5582E-2</v>
      </c>
      <c r="AI106" s="137">
        <f>Summary_LCIA!Z$32</f>
        <v>4.1009E-5</v>
      </c>
      <c r="AJ106" s="137">
        <f>Summary_LCIA!AA$32</f>
        <v>2.3355999999999998E-2</v>
      </c>
      <c r="AK106" s="137">
        <f>Summary_LCIA!AB$32</f>
        <v>-2.1823000000000001E-5</v>
      </c>
      <c r="AL106" s="137">
        <f>Summary_LCIA!AC$32</f>
        <v>4.8884000000000003E-8</v>
      </c>
      <c r="AM106" s="137">
        <f>Summary_LCIA!AD$32</f>
        <v>4.1103999999999999E-4</v>
      </c>
      <c r="AN106" s="137">
        <f>Summary_LCIA!AE$32</f>
        <v>8.8612999999999995E-4</v>
      </c>
      <c r="AO106" s="137">
        <f>Summary_LCIA!AF$32</f>
        <v>8.4542000000000005E-4</v>
      </c>
      <c r="AP106" s="137">
        <f>Summary_LCIA!AG$32</f>
        <v>5.1165000000000002E-5</v>
      </c>
      <c r="AQ106" s="137">
        <f>Summary_LCIA!AH$32</f>
        <v>8.7036000000000006E-3</v>
      </c>
      <c r="AR106" s="137">
        <f>Summary_LCIA!AI$32</f>
        <v>9.3154999999999996E-4</v>
      </c>
      <c r="AT106" s="137">
        <f t="shared" si="22"/>
        <v>97.1804214</v>
      </c>
      <c r="AU106" s="137">
        <f t="shared" si="34"/>
        <v>1417.3957314849688</v>
      </c>
      <c r="AV106" s="137">
        <f t="shared" si="35"/>
        <v>1.5059247407999998</v>
      </c>
      <c r="AW106" s="137">
        <f t="shared" si="36"/>
        <v>95.916332339999997</v>
      </c>
      <c r="AX106" s="137">
        <f t="shared" si="37"/>
        <v>31.430630699999998</v>
      </c>
      <c r="AY106" s="137">
        <f t="shared" si="38"/>
        <v>5.1232786020000001</v>
      </c>
      <c r="AZ106" s="137">
        <f t="shared" si="39"/>
        <v>1.3659311673E-2</v>
      </c>
      <c r="BA106" s="137">
        <f t="shared" si="40"/>
        <v>22.013167202999998</v>
      </c>
      <c r="BB106" s="137">
        <f t="shared" si="41"/>
        <v>6.5149205400000003</v>
      </c>
      <c r="BC106" s="137">
        <f t="shared" si="23"/>
        <v>4.4563429259999996</v>
      </c>
      <c r="BD106" s="137">
        <f t="shared" si="24"/>
        <v>1.1728286936999999E-2</v>
      </c>
      <c r="BE106" s="137">
        <f t="shared" si="25"/>
        <v>6.6796525079999993</v>
      </c>
      <c r="BF106" s="137">
        <f t="shared" si="26"/>
        <v>-6.2412252389999999E-3</v>
      </c>
      <c r="BG106" s="137">
        <f t="shared" si="27"/>
        <v>1.3980481812000001E-5</v>
      </c>
      <c r="BH106" s="137">
        <f t="shared" si="28"/>
        <v>0.11755456271999999</v>
      </c>
      <c r="BI106" s="137">
        <f t="shared" si="29"/>
        <v>0.25342697709000001</v>
      </c>
      <c r="BJ106" s="137">
        <f t="shared" si="30"/>
        <v>0.24178420206000001</v>
      </c>
      <c r="BK106" s="137">
        <f t="shared" si="31"/>
        <v>1.4632831845000001E-2</v>
      </c>
      <c r="BL106" s="137">
        <f t="shared" si="32"/>
        <v>2.4891686748000001</v>
      </c>
      <c r="BM106" s="137">
        <f t="shared" si="33"/>
        <v>0.26641677915</v>
      </c>
    </row>
    <row r="107" spans="1:65" x14ac:dyDescent="0.25">
      <c r="A107" s="149">
        <v>149</v>
      </c>
      <c r="B107" s="149">
        <v>43</v>
      </c>
      <c r="C107" s="61">
        <v>39.332213000000003</v>
      </c>
      <c r="D107" s="61">
        <v>-76.600832999999994</v>
      </c>
      <c r="E107" s="61" t="s">
        <v>265</v>
      </c>
      <c r="F107" s="149">
        <v>82</v>
      </c>
      <c r="G107" s="61" t="s">
        <v>684</v>
      </c>
      <c r="H107" s="61" t="s">
        <v>685</v>
      </c>
      <c r="I107" s="61">
        <v>39.177404000000003</v>
      </c>
      <c r="J107" s="61">
        <v>-76.668391999999997</v>
      </c>
      <c r="K107" s="61">
        <v>25.47228264</v>
      </c>
      <c r="L107" s="61">
        <v>22.373000000000001</v>
      </c>
      <c r="M107" s="61" t="s">
        <v>617</v>
      </c>
      <c r="N107" s="149">
        <v>42</v>
      </c>
      <c r="O107" s="149">
        <v>43</v>
      </c>
      <c r="P107" s="61" t="s">
        <v>565</v>
      </c>
      <c r="Q107" s="61" t="s">
        <v>555</v>
      </c>
      <c r="R107" s="61">
        <v>40.6895314</v>
      </c>
      <c r="S107" s="61">
        <v>-74.174462399999996</v>
      </c>
      <c r="T107" s="61">
        <v>285.99299999999999</v>
      </c>
      <c r="U107" s="61" t="s">
        <v>617</v>
      </c>
      <c r="V107" s="61" t="s">
        <v>617</v>
      </c>
      <c r="W107" s="61"/>
      <c r="Y107" s="137">
        <f>Summary_LCIA!H$32</f>
        <v>0.33979999999999999</v>
      </c>
      <c r="Z107" s="137">
        <f>Summary_LCIA!Q$32</f>
        <v>4.9560504329999997</v>
      </c>
      <c r="AA107" s="137">
        <f>Summary_LCIA!R$32</f>
        <v>5.2655999999999996E-3</v>
      </c>
      <c r="AB107" s="137">
        <f>Summary_LCIA!S$32</f>
        <v>0.33538000000000001</v>
      </c>
      <c r="AC107" s="137">
        <f>Summary_LCIA!T$32</f>
        <v>0.1099</v>
      </c>
      <c r="AD107" s="137">
        <f>Summary_LCIA!U$32</f>
        <v>1.7913999999999999E-2</v>
      </c>
      <c r="AE107" s="137">
        <f>Summary_LCIA!V$32</f>
        <v>4.7760999999999999E-5</v>
      </c>
      <c r="AF107" s="137">
        <f>Summary_LCIA!W$32</f>
        <v>7.6970999999999998E-2</v>
      </c>
      <c r="AG107" s="137">
        <f>Summary_LCIA!X$32</f>
        <v>2.2780000000000002E-2</v>
      </c>
      <c r="AH107" s="137">
        <f>Summary_LCIA!Y$32</f>
        <v>1.5582E-2</v>
      </c>
      <c r="AI107" s="137">
        <f>Summary_LCIA!Z$32</f>
        <v>4.1009E-5</v>
      </c>
      <c r="AJ107" s="137">
        <f>Summary_LCIA!AA$32</f>
        <v>2.3355999999999998E-2</v>
      </c>
      <c r="AK107" s="137">
        <f>Summary_LCIA!AB$32</f>
        <v>-2.1823000000000001E-5</v>
      </c>
      <c r="AL107" s="137">
        <f>Summary_LCIA!AC$32</f>
        <v>4.8884000000000003E-8</v>
      </c>
      <c r="AM107" s="137">
        <f>Summary_LCIA!AD$32</f>
        <v>4.1103999999999999E-4</v>
      </c>
      <c r="AN107" s="137">
        <f>Summary_LCIA!AE$32</f>
        <v>8.8612999999999995E-4</v>
      </c>
      <c r="AO107" s="137">
        <f>Summary_LCIA!AF$32</f>
        <v>8.4542000000000005E-4</v>
      </c>
      <c r="AP107" s="137">
        <f>Summary_LCIA!AG$32</f>
        <v>5.1165000000000002E-5</v>
      </c>
      <c r="AQ107" s="137">
        <f>Summary_LCIA!AH$32</f>
        <v>8.7036000000000006E-3</v>
      </c>
      <c r="AR107" s="137">
        <f>Summary_LCIA!AI$32</f>
        <v>9.3154999999999996E-4</v>
      </c>
      <c r="AT107" s="137">
        <f t="shared" si="22"/>
        <v>97.1804214</v>
      </c>
      <c r="AU107" s="137">
        <f t="shared" si="34"/>
        <v>1417.3957314849688</v>
      </c>
      <c r="AV107" s="137">
        <f t="shared" si="35"/>
        <v>1.5059247407999998</v>
      </c>
      <c r="AW107" s="137">
        <f t="shared" si="36"/>
        <v>95.916332339999997</v>
      </c>
      <c r="AX107" s="137">
        <f t="shared" si="37"/>
        <v>31.430630699999998</v>
      </c>
      <c r="AY107" s="137">
        <f t="shared" si="38"/>
        <v>5.1232786020000001</v>
      </c>
      <c r="AZ107" s="137">
        <f t="shared" si="39"/>
        <v>1.3659311673E-2</v>
      </c>
      <c r="BA107" s="137">
        <f t="shared" si="40"/>
        <v>22.013167202999998</v>
      </c>
      <c r="BB107" s="137">
        <f t="shared" si="41"/>
        <v>6.5149205400000003</v>
      </c>
      <c r="BC107" s="137">
        <f t="shared" si="23"/>
        <v>4.4563429259999996</v>
      </c>
      <c r="BD107" s="137">
        <f t="shared" si="24"/>
        <v>1.1728286936999999E-2</v>
      </c>
      <c r="BE107" s="137">
        <f t="shared" si="25"/>
        <v>6.6796525079999993</v>
      </c>
      <c r="BF107" s="137">
        <f t="shared" si="26"/>
        <v>-6.2412252389999999E-3</v>
      </c>
      <c r="BG107" s="137">
        <f t="shared" si="27"/>
        <v>1.3980481812000001E-5</v>
      </c>
      <c r="BH107" s="137">
        <f t="shared" si="28"/>
        <v>0.11755456271999999</v>
      </c>
      <c r="BI107" s="137">
        <f t="shared" si="29"/>
        <v>0.25342697709000001</v>
      </c>
      <c r="BJ107" s="137">
        <f t="shared" si="30"/>
        <v>0.24178420206000001</v>
      </c>
      <c r="BK107" s="137">
        <f t="shared" si="31"/>
        <v>1.4632831845000001E-2</v>
      </c>
      <c r="BL107" s="137">
        <f t="shared" si="32"/>
        <v>2.4891686748000001</v>
      </c>
      <c r="BM107" s="137">
        <f t="shared" si="33"/>
        <v>0.26641677915</v>
      </c>
    </row>
    <row r="108" spans="1:65" x14ac:dyDescent="0.25">
      <c r="A108" s="149">
        <v>150</v>
      </c>
      <c r="B108" s="149">
        <v>43</v>
      </c>
      <c r="C108" s="61">
        <v>39.332213000000003</v>
      </c>
      <c r="D108" s="61">
        <v>-76.600832999999994</v>
      </c>
      <c r="E108" s="61" t="s">
        <v>265</v>
      </c>
      <c r="F108" s="149">
        <v>82</v>
      </c>
      <c r="G108" s="61" t="s">
        <v>684</v>
      </c>
      <c r="H108" s="61" t="s">
        <v>685</v>
      </c>
      <c r="I108" s="61">
        <v>39.177404000000003</v>
      </c>
      <c r="J108" s="61">
        <v>-76.668391999999997</v>
      </c>
      <c r="K108" s="61">
        <v>25.47228264</v>
      </c>
      <c r="L108" s="61">
        <v>22.373000000000001</v>
      </c>
      <c r="M108" s="61" t="s">
        <v>617</v>
      </c>
      <c r="N108" s="149">
        <v>42</v>
      </c>
      <c r="O108" s="149">
        <v>43</v>
      </c>
      <c r="P108" s="61" t="s">
        <v>565</v>
      </c>
      <c r="Q108" s="61" t="s">
        <v>555</v>
      </c>
      <c r="R108" s="61">
        <v>40.6895314</v>
      </c>
      <c r="S108" s="61">
        <v>-74.174462399999996</v>
      </c>
      <c r="T108" s="61">
        <v>285.99299999999999</v>
      </c>
      <c r="U108" s="61" t="s">
        <v>617</v>
      </c>
      <c r="V108" s="61" t="s">
        <v>617</v>
      </c>
      <c r="W108" s="61"/>
      <c r="Y108" s="137">
        <f>Summary_LCIA!H$32</f>
        <v>0.33979999999999999</v>
      </c>
      <c r="Z108" s="137">
        <f>Summary_LCIA!Q$32</f>
        <v>4.9560504329999997</v>
      </c>
      <c r="AA108" s="137">
        <f>Summary_LCIA!R$32</f>
        <v>5.2655999999999996E-3</v>
      </c>
      <c r="AB108" s="137">
        <f>Summary_LCIA!S$32</f>
        <v>0.33538000000000001</v>
      </c>
      <c r="AC108" s="137">
        <f>Summary_LCIA!T$32</f>
        <v>0.1099</v>
      </c>
      <c r="AD108" s="137">
        <f>Summary_LCIA!U$32</f>
        <v>1.7913999999999999E-2</v>
      </c>
      <c r="AE108" s="137">
        <f>Summary_LCIA!V$32</f>
        <v>4.7760999999999999E-5</v>
      </c>
      <c r="AF108" s="137">
        <f>Summary_LCIA!W$32</f>
        <v>7.6970999999999998E-2</v>
      </c>
      <c r="AG108" s="137">
        <f>Summary_LCIA!X$32</f>
        <v>2.2780000000000002E-2</v>
      </c>
      <c r="AH108" s="137">
        <f>Summary_LCIA!Y$32</f>
        <v>1.5582E-2</v>
      </c>
      <c r="AI108" s="137">
        <f>Summary_LCIA!Z$32</f>
        <v>4.1009E-5</v>
      </c>
      <c r="AJ108" s="137">
        <f>Summary_LCIA!AA$32</f>
        <v>2.3355999999999998E-2</v>
      </c>
      <c r="AK108" s="137">
        <f>Summary_LCIA!AB$32</f>
        <v>-2.1823000000000001E-5</v>
      </c>
      <c r="AL108" s="137">
        <f>Summary_LCIA!AC$32</f>
        <v>4.8884000000000003E-8</v>
      </c>
      <c r="AM108" s="137">
        <f>Summary_LCIA!AD$32</f>
        <v>4.1103999999999999E-4</v>
      </c>
      <c r="AN108" s="137">
        <f>Summary_LCIA!AE$32</f>
        <v>8.8612999999999995E-4</v>
      </c>
      <c r="AO108" s="137">
        <f>Summary_LCIA!AF$32</f>
        <v>8.4542000000000005E-4</v>
      </c>
      <c r="AP108" s="137">
        <f>Summary_LCIA!AG$32</f>
        <v>5.1165000000000002E-5</v>
      </c>
      <c r="AQ108" s="137">
        <f>Summary_LCIA!AH$32</f>
        <v>8.7036000000000006E-3</v>
      </c>
      <c r="AR108" s="137">
        <f>Summary_LCIA!AI$32</f>
        <v>9.3154999999999996E-4</v>
      </c>
      <c r="AT108" s="137">
        <f t="shared" si="22"/>
        <v>97.1804214</v>
      </c>
      <c r="AU108" s="137">
        <f t="shared" si="34"/>
        <v>1417.3957314849688</v>
      </c>
      <c r="AV108" s="137">
        <f t="shared" si="35"/>
        <v>1.5059247407999998</v>
      </c>
      <c r="AW108" s="137">
        <f t="shared" si="36"/>
        <v>95.916332339999997</v>
      </c>
      <c r="AX108" s="137">
        <f t="shared" si="37"/>
        <v>31.430630699999998</v>
      </c>
      <c r="AY108" s="137">
        <f t="shared" si="38"/>
        <v>5.1232786020000001</v>
      </c>
      <c r="AZ108" s="137">
        <f t="shared" si="39"/>
        <v>1.3659311673E-2</v>
      </c>
      <c r="BA108" s="137">
        <f t="shared" si="40"/>
        <v>22.013167202999998</v>
      </c>
      <c r="BB108" s="137">
        <f t="shared" si="41"/>
        <v>6.5149205400000003</v>
      </c>
      <c r="BC108" s="137">
        <f t="shared" si="23"/>
        <v>4.4563429259999996</v>
      </c>
      <c r="BD108" s="137">
        <f t="shared" si="24"/>
        <v>1.1728286936999999E-2</v>
      </c>
      <c r="BE108" s="137">
        <f t="shared" si="25"/>
        <v>6.6796525079999993</v>
      </c>
      <c r="BF108" s="137">
        <f t="shared" si="26"/>
        <v>-6.2412252389999999E-3</v>
      </c>
      <c r="BG108" s="137">
        <f t="shared" si="27"/>
        <v>1.3980481812000001E-5</v>
      </c>
      <c r="BH108" s="137">
        <f t="shared" si="28"/>
        <v>0.11755456271999999</v>
      </c>
      <c r="BI108" s="137">
        <f t="shared" si="29"/>
        <v>0.25342697709000001</v>
      </c>
      <c r="BJ108" s="137">
        <f t="shared" si="30"/>
        <v>0.24178420206000001</v>
      </c>
      <c r="BK108" s="137">
        <f t="shared" si="31"/>
        <v>1.4632831845000001E-2</v>
      </c>
      <c r="BL108" s="137">
        <f t="shared" si="32"/>
        <v>2.4891686748000001</v>
      </c>
      <c r="BM108" s="137">
        <f t="shared" si="33"/>
        <v>0.26641677915</v>
      </c>
    </row>
    <row r="109" spans="1:65" x14ac:dyDescent="0.25">
      <c r="A109" s="149">
        <v>151</v>
      </c>
      <c r="B109" s="149">
        <v>43</v>
      </c>
      <c r="C109" s="61">
        <v>39.332213000000003</v>
      </c>
      <c r="D109" s="61">
        <v>-76.600832999999994</v>
      </c>
      <c r="E109" s="61" t="s">
        <v>265</v>
      </c>
      <c r="F109" s="149">
        <v>82</v>
      </c>
      <c r="G109" s="61" t="s">
        <v>684</v>
      </c>
      <c r="H109" s="61" t="s">
        <v>685</v>
      </c>
      <c r="I109" s="61">
        <v>39.177404000000003</v>
      </c>
      <c r="J109" s="61">
        <v>-76.668391999999997</v>
      </c>
      <c r="K109" s="61">
        <v>25.47228264</v>
      </c>
      <c r="L109" s="61">
        <v>22.373000000000001</v>
      </c>
      <c r="M109" s="61" t="s">
        <v>617</v>
      </c>
      <c r="N109" s="149">
        <v>42</v>
      </c>
      <c r="O109" s="149">
        <v>43</v>
      </c>
      <c r="P109" s="61" t="s">
        <v>565</v>
      </c>
      <c r="Q109" s="61" t="s">
        <v>555</v>
      </c>
      <c r="R109" s="61">
        <v>40.6895314</v>
      </c>
      <c r="S109" s="61">
        <v>-74.174462399999996</v>
      </c>
      <c r="T109" s="61">
        <v>285.99299999999999</v>
      </c>
      <c r="U109" s="61" t="s">
        <v>617</v>
      </c>
      <c r="V109" s="61" t="s">
        <v>617</v>
      </c>
      <c r="W109" s="61"/>
      <c r="Y109" s="137">
        <f>Summary_LCIA!H$32</f>
        <v>0.33979999999999999</v>
      </c>
      <c r="Z109" s="137">
        <f>Summary_LCIA!Q$32</f>
        <v>4.9560504329999997</v>
      </c>
      <c r="AA109" s="137">
        <f>Summary_LCIA!R$32</f>
        <v>5.2655999999999996E-3</v>
      </c>
      <c r="AB109" s="137">
        <f>Summary_LCIA!S$32</f>
        <v>0.33538000000000001</v>
      </c>
      <c r="AC109" s="137">
        <f>Summary_LCIA!T$32</f>
        <v>0.1099</v>
      </c>
      <c r="AD109" s="137">
        <f>Summary_LCIA!U$32</f>
        <v>1.7913999999999999E-2</v>
      </c>
      <c r="AE109" s="137">
        <f>Summary_LCIA!V$32</f>
        <v>4.7760999999999999E-5</v>
      </c>
      <c r="AF109" s="137">
        <f>Summary_LCIA!W$32</f>
        <v>7.6970999999999998E-2</v>
      </c>
      <c r="AG109" s="137">
        <f>Summary_LCIA!X$32</f>
        <v>2.2780000000000002E-2</v>
      </c>
      <c r="AH109" s="137">
        <f>Summary_LCIA!Y$32</f>
        <v>1.5582E-2</v>
      </c>
      <c r="AI109" s="137">
        <f>Summary_LCIA!Z$32</f>
        <v>4.1009E-5</v>
      </c>
      <c r="AJ109" s="137">
        <f>Summary_LCIA!AA$32</f>
        <v>2.3355999999999998E-2</v>
      </c>
      <c r="AK109" s="137">
        <f>Summary_LCIA!AB$32</f>
        <v>-2.1823000000000001E-5</v>
      </c>
      <c r="AL109" s="137">
        <f>Summary_LCIA!AC$32</f>
        <v>4.8884000000000003E-8</v>
      </c>
      <c r="AM109" s="137">
        <f>Summary_LCIA!AD$32</f>
        <v>4.1103999999999999E-4</v>
      </c>
      <c r="AN109" s="137">
        <f>Summary_LCIA!AE$32</f>
        <v>8.8612999999999995E-4</v>
      </c>
      <c r="AO109" s="137">
        <f>Summary_LCIA!AF$32</f>
        <v>8.4542000000000005E-4</v>
      </c>
      <c r="AP109" s="137">
        <f>Summary_LCIA!AG$32</f>
        <v>5.1165000000000002E-5</v>
      </c>
      <c r="AQ109" s="137">
        <f>Summary_LCIA!AH$32</f>
        <v>8.7036000000000006E-3</v>
      </c>
      <c r="AR109" s="137">
        <f>Summary_LCIA!AI$32</f>
        <v>9.3154999999999996E-4</v>
      </c>
      <c r="AT109" s="137">
        <f t="shared" si="22"/>
        <v>97.1804214</v>
      </c>
      <c r="AU109" s="137">
        <f t="shared" si="34"/>
        <v>1417.3957314849688</v>
      </c>
      <c r="AV109" s="137">
        <f t="shared" si="35"/>
        <v>1.5059247407999998</v>
      </c>
      <c r="AW109" s="137">
        <f t="shared" si="36"/>
        <v>95.916332339999997</v>
      </c>
      <c r="AX109" s="137">
        <f t="shared" si="37"/>
        <v>31.430630699999998</v>
      </c>
      <c r="AY109" s="137">
        <f t="shared" si="38"/>
        <v>5.1232786020000001</v>
      </c>
      <c r="AZ109" s="137">
        <f t="shared" si="39"/>
        <v>1.3659311673E-2</v>
      </c>
      <c r="BA109" s="137">
        <f t="shared" si="40"/>
        <v>22.013167202999998</v>
      </c>
      <c r="BB109" s="137">
        <f t="shared" si="41"/>
        <v>6.5149205400000003</v>
      </c>
      <c r="BC109" s="137">
        <f t="shared" si="23"/>
        <v>4.4563429259999996</v>
      </c>
      <c r="BD109" s="137">
        <f t="shared" si="24"/>
        <v>1.1728286936999999E-2</v>
      </c>
      <c r="BE109" s="137">
        <f t="shared" si="25"/>
        <v>6.6796525079999993</v>
      </c>
      <c r="BF109" s="137">
        <f t="shared" si="26"/>
        <v>-6.2412252389999999E-3</v>
      </c>
      <c r="BG109" s="137">
        <f t="shared" si="27"/>
        <v>1.3980481812000001E-5</v>
      </c>
      <c r="BH109" s="137">
        <f t="shared" si="28"/>
        <v>0.11755456271999999</v>
      </c>
      <c r="BI109" s="137">
        <f t="shared" si="29"/>
        <v>0.25342697709000001</v>
      </c>
      <c r="BJ109" s="137">
        <f t="shared" si="30"/>
        <v>0.24178420206000001</v>
      </c>
      <c r="BK109" s="137">
        <f t="shared" si="31"/>
        <v>1.4632831845000001E-2</v>
      </c>
      <c r="BL109" s="137">
        <f t="shared" si="32"/>
        <v>2.4891686748000001</v>
      </c>
      <c r="BM109" s="137">
        <f t="shared" si="33"/>
        <v>0.26641677915</v>
      </c>
    </row>
    <row r="110" spans="1:65" x14ac:dyDescent="0.25">
      <c r="A110" s="149">
        <v>307</v>
      </c>
      <c r="B110" s="149">
        <v>43</v>
      </c>
      <c r="C110" s="61">
        <v>41.888157999999997</v>
      </c>
      <c r="D110" s="61">
        <v>-71.477429000000001</v>
      </c>
      <c r="E110" s="61" t="s">
        <v>265</v>
      </c>
      <c r="F110" s="149">
        <v>53</v>
      </c>
      <c r="G110" s="61" t="s">
        <v>565</v>
      </c>
      <c r="H110" s="61" t="s">
        <v>634</v>
      </c>
      <c r="I110" s="61">
        <v>42.365613000000003</v>
      </c>
      <c r="J110" s="61">
        <v>-71.009559999999993</v>
      </c>
      <c r="K110" s="61">
        <v>86.564645630000001</v>
      </c>
      <c r="L110" s="61">
        <v>88.81</v>
      </c>
      <c r="M110" s="61" t="s">
        <v>617</v>
      </c>
      <c r="N110" s="149">
        <v>42</v>
      </c>
      <c r="O110" s="149">
        <v>43</v>
      </c>
      <c r="P110" s="61" t="s">
        <v>565</v>
      </c>
      <c r="Q110" s="61" t="s">
        <v>555</v>
      </c>
      <c r="R110" s="61">
        <v>40.6895314</v>
      </c>
      <c r="S110" s="61">
        <v>-74.174462399999996</v>
      </c>
      <c r="T110" s="61">
        <v>325.79700000000003</v>
      </c>
      <c r="U110" s="61" t="s">
        <v>617</v>
      </c>
      <c r="V110" s="61" t="s">
        <v>617</v>
      </c>
      <c r="W110" s="61"/>
      <c r="Y110" s="137">
        <f>Summary_LCIA!H$32</f>
        <v>0.33979999999999999</v>
      </c>
      <c r="Z110" s="137">
        <f>Summary_LCIA!Q$32</f>
        <v>4.9560504329999997</v>
      </c>
      <c r="AA110" s="137">
        <f>Summary_LCIA!R$32</f>
        <v>5.2655999999999996E-3</v>
      </c>
      <c r="AB110" s="137">
        <f>Summary_LCIA!S$32</f>
        <v>0.33538000000000001</v>
      </c>
      <c r="AC110" s="137">
        <f>Summary_LCIA!T$32</f>
        <v>0.1099</v>
      </c>
      <c r="AD110" s="137">
        <f>Summary_LCIA!U$32</f>
        <v>1.7913999999999999E-2</v>
      </c>
      <c r="AE110" s="137">
        <f>Summary_LCIA!V$32</f>
        <v>4.7760999999999999E-5</v>
      </c>
      <c r="AF110" s="137">
        <f>Summary_LCIA!W$32</f>
        <v>7.6970999999999998E-2</v>
      </c>
      <c r="AG110" s="137">
        <f>Summary_LCIA!X$32</f>
        <v>2.2780000000000002E-2</v>
      </c>
      <c r="AH110" s="137">
        <f>Summary_LCIA!Y$32</f>
        <v>1.5582E-2</v>
      </c>
      <c r="AI110" s="137">
        <f>Summary_LCIA!Z$32</f>
        <v>4.1009E-5</v>
      </c>
      <c r="AJ110" s="137">
        <f>Summary_LCIA!AA$32</f>
        <v>2.3355999999999998E-2</v>
      </c>
      <c r="AK110" s="137">
        <f>Summary_LCIA!AB$32</f>
        <v>-2.1823000000000001E-5</v>
      </c>
      <c r="AL110" s="137">
        <f>Summary_LCIA!AC$32</f>
        <v>4.8884000000000003E-8</v>
      </c>
      <c r="AM110" s="137">
        <f>Summary_LCIA!AD$32</f>
        <v>4.1103999999999999E-4</v>
      </c>
      <c r="AN110" s="137">
        <f>Summary_LCIA!AE$32</f>
        <v>8.8612999999999995E-4</v>
      </c>
      <c r="AO110" s="137">
        <f>Summary_LCIA!AF$32</f>
        <v>8.4542000000000005E-4</v>
      </c>
      <c r="AP110" s="137">
        <f>Summary_LCIA!AG$32</f>
        <v>5.1165000000000002E-5</v>
      </c>
      <c r="AQ110" s="137">
        <f>Summary_LCIA!AH$32</f>
        <v>8.7036000000000006E-3</v>
      </c>
      <c r="AR110" s="137">
        <f>Summary_LCIA!AI$32</f>
        <v>9.3154999999999996E-4</v>
      </c>
      <c r="AT110" s="137">
        <f t="shared" si="22"/>
        <v>110.70582060000001</v>
      </c>
      <c r="AU110" s="137">
        <f t="shared" si="34"/>
        <v>1614.6663629201009</v>
      </c>
      <c r="AV110" s="137">
        <f t="shared" si="35"/>
        <v>1.7155166831999999</v>
      </c>
      <c r="AW110" s="137">
        <f t="shared" si="36"/>
        <v>109.26579786000001</v>
      </c>
      <c r="AX110" s="137">
        <f t="shared" si="37"/>
        <v>35.805090300000003</v>
      </c>
      <c r="AY110" s="137">
        <f t="shared" si="38"/>
        <v>5.8363274580000004</v>
      </c>
      <c r="AZ110" s="137">
        <f t="shared" si="39"/>
        <v>1.5560390517E-2</v>
      </c>
      <c r="BA110" s="137">
        <f t="shared" si="40"/>
        <v>25.076920887</v>
      </c>
      <c r="BB110" s="137">
        <f t="shared" si="41"/>
        <v>7.4216556600000008</v>
      </c>
      <c r="BC110" s="137">
        <f t="shared" si="23"/>
        <v>5.0765688540000005</v>
      </c>
      <c r="BD110" s="137">
        <f t="shared" si="24"/>
        <v>1.3360609173E-2</v>
      </c>
      <c r="BE110" s="137">
        <f t="shared" si="25"/>
        <v>7.6093147319999996</v>
      </c>
      <c r="BF110" s="137">
        <f t="shared" si="26"/>
        <v>-7.1098679310000008E-3</v>
      </c>
      <c r="BG110" s="137">
        <f t="shared" si="27"/>
        <v>1.5926260548000001E-5</v>
      </c>
      <c r="BH110" s="137">
        <f t="shared" si="28"/>
        <v>0.13391559888000001</v>
      </c>
      <c r="BI110" s="137">
        <f t="shared" si="29"/>
        <v>0.28869849560999999</v>
      </c>
      <c r="BJ110" s="137">
        <f t="shared" si="30"/>
        <v>0.27543529974000003</v>
      </c>
      <c r="BK110" s="137">
        <f t="shared" si="31"/>
        <v>1.6669403505000003E-2</v>
      </c>
      <c r="BL110" s="137">
        <f t="shared" si="32"/>
        <v>2.8356067692000004</v>
      </c>
      <c r="BM110" s="137">
        <f t="shared" si="33"/>
        <v>0.30349619535</v>
      </c>
    </row>
    <row r="111" spans="1:65" x14ac:dyDescent="0.25">
      <c r="A111" s="149">
        <v>157</v>
      </c>
      <c r="B111" s="149">
        <v>43</v>
      </c>
      <c r="C111" s="61">
        <v>39.034832000000002</v>
      </c>
      <c r="D111" s="61">
        <v>-76.907473999999993</v>
      </c>
      <c r="E111" s="61" t="s">
        <v>265</v>
      </c>
      <c r="F111" s="149">
        <v>82</v>
      </c>
      <c r="G111" s="61" t="s">
        <v>684</v>
      </c>
      <c r="H111" s="61" t="s">
        <v>685</v>
      </c>
      <c r="I111" s="61">
        <v>39.177404000000003</v>
      </c>
      <c r="J111" s="61">
        <v>-76.668391999999997</v>
      </c>
      <c r="K111" s="61">
        <v>32.055941840000003</v>
      </c>
      <c r="L111" s="61">
        <v>31.834</v>
      </c>
      <c r="M111" s="61" t="s">
        <v>617</v>
      </c>
      <c r="N111" s="149">
        <v>42</v>
      </c>
      <c r="O111" s="149">
        <v>43</v>
      </c>
      <c r="P111" s="61" t="s">
        <v>565</v>
      </c>
      <c r="Q111" s="61" t="s">
        <v>555</v>
      </c>
      <c r="R111" s="61">
        <v>40.6895314</v>
      </c>
      <c r="S111" s="61">
        <v>-74.174462399999996</v>
      </c>
      <c r="T111" s="61">
        <v>328.17399999999998</v>
      </c>
      <c r="U111" s="61" t="s">
        <v>617</v>
      </c>
      <c r="V111" s="61" t="s">
        <v>617</v>
      </c>
      <c r="W111" s="61"/>
      <c r="Y111" s="137">
        <f>Summary_LCIA!H$32</f>
        <v>0.33979999999999999</v>
      </c>
      <c r="Z111" s="137">
        <f>Summary_LCIA!Q$32</f>
        <v>4.9560504329999997</v>
      </c>
      <c r="AA111" s="137">
        <f>Summary_LCIA!R$32</f>
        <v>5.2655999999999996E-3</v>
      </c>
      <c r="AB111" s="137">
        <f>Summary_LCIA!S$32</f>
        <v>0.33538000000000001</v>
      </c>
      <c r="AC111" s="137">
        <f>Summary_LCIA!T$32</f>
        <v>0.1099</v>
      </c>
      <c r="AD111" s="137">
        <f>Summary_LCIA!U$32</f>
        <v>1.7913999999999999E-2</v>
      </c>
      <c r="AE111" s="137">
        <f>Summary_LCIA!V$32</f>
        <v>4.7760999999999999E-5</v>
      </c>
      <c r="AF111" s="137">
        <f>Summary_LCIA!W$32</f>
        <v>7.6970999999999998E-2</v>
      </c>
      <c r="AG111" s="137">
        <f>Summary_LCIA!X$32</f>
        <v>2.2780000000000002E-2</v>
      </c>
      <c r="AH111" s="137">
        <f>Summary_LCIA!Y$32</f>
        <v>1.5582E-2</v>
      </c>
      <c r="AI111" s="137">
        <f>Summary_LCIA!Z$32</f>
        <v>4.1009E-5</v>
      </c>
      <c r="AJ111" s="137">
        <f>Summary_LCIA!AA$32</f>
        <v>2.3355999999999998E-2</v>
      </c>
      <c r="AK111" s="137">
        <f>Summary_LCIA!AB$32</f>
        <v>-2.1823000000000001E-5</v>
      </c>
      <c r="AL111" s="137">
        <f>Summary_LCIA!AC$32</f>
        <v>4.8884000000000003E-8</v>
      </c>
      <c r="AM111" s="137">
        <f>Summary_LCIA!AD$32</f>
        <v>4.1103999999999999E-4</v>
      </c>
      <c r="AN111" s="137">
        <f>Summary_LCIA!AE$32</f>
        <v>8.8612999999999995E-4</v>
      </c>
      <c r="AO111" s="137">
        <f>Summary_LCIA!AF$32</f>
        <v>8.4542000000000005E-4</v>
      </c>
      <c r="AP111" s="137">
        <f>Summary_LCIA!AG$32</f>
        <v>5.1165000000000002E-5</v>
      </c>
      <c r="AQ111" s="137">
        <f>Summary_LCIA!AH$32</f>
        <v>8.7036000000000006E-3</v>
      </c>
      <c r="AR111" s="137">
        <f>Summary_LCIA!AI$32</f>
        <v>9.3154999999999996E-4</v>
      </c>
      <c r="AT111" s="137">
        <f t="shared" si="22"/>
        <v>111.51352519999999</v>
      </c>
      <c r="AU111" s="137">
        <f t="shared" si="34"/>
        <v>1626.4468947993419</v>
      </c>
      <c r="AV111" s="137">
        <f t="shared" si="35"/>
        <v>1.7280330143999998</v>
      </c>
      <c r="AW111" s="137">
        <f t="shared" si="36"/>
        <v>110.06299611999999</v>
      </c>
      <c r="AX111" s="137">
        <f t="shared" si="37"/>
        <v>36.066322599999999</v>
      </c>
      <c r="AY111" s="137">
        <f t="shared" si="38"/>
        <v>5.8789090359999996</v>
      </c>
      <c r="AZ111" s="137">
        <f t="shared" si="39"/>
        <v>1.5673918413999999E-2</v>
      </c>
      <c r="BA111" s="137">
        <f t="shared" si="40"/>
        <v>25.259880953999996</v>
      </c>
      <c r="BB111" s="137">
        <f t="shared" si="41"/>
        <v>7.47580372</v>
      </c>
      <c r="BC111" s="137">
        <f t="shared" si="23"/>
        <v>5.113607268</v>
      </c>
      <c r="BD111" s="137">
        <f t="shared" si="24"/>
        <v>1.3458087565999999E-2</v>
      </c>
      <c r="BE111" s="137">
        <f t="shared" si="25"/>
        <v>7.6648319439999986</v>
      </c>
      <c r="BF111" s="137">
        <f t="shared" si="26"/>
        <v>-7.1617412020000002E-3</v>
      </c>
      <c r="BG111" s="137">
        <f t="shared" si="27"/>
        <v>1.6042457816000001E-5</v>
      </c>
      <c r="BH111" s="137">
        <f t="shared" si="28"/>
        <v>0.13489264095999998</v>
      </c>
      <c r="BI111" s="137">
        <f t="shared" si="29"/>
        <v>0.29080482661999996</v>
      </c>
      <c r="BJ111" s="137">
        <f t="shared" si="30"/>
        <v>0.27744486307999999</v>
      </c>
      <c r="BK111" s="137">
        <f t="shared" si="31"/>
        <v>1.6791022709999999E-2</v>
      </c>
      <c r="BL111" s="137">
        <f t="shared" si="32"/>
        <v>2.8562952263999999</v>
      </c>
      <c r="BM111" s="137">
        <f t="shared" si="33"/>
        <v>0.30571048969999998</v>
      </c>
    </row>
    <row r="112" spans="1:65" x14ac:dyDescent="0.25">
      <c r="A112" s="149">
        <v>111</v>
      </c>
      <c r="B112" s="149">
        <v>43</v>
      </c>
      <c r="C112" s="61">
        <v>39.008927</v>
      </c>
      <c r="D112" s="61">
        <v>-76.895245000000003</v>
      </c>
      <c r="E112" s="61" t="s">
        <v>265</v>
      </c>
      <c r="F112" s="149">
        <v>86</v>
      </c>
      <c r="G112" s="61" t="s">
        <v>630</v>
      </c>
      <c r="H112" s="61" t="s">
        <v>644</v>
      </c>
      <c r="I112" s="61">
        <v>38.851241999999999</v>
      </c>
      <c r="J112" s="61">
        <v>-77.040232000000003</v>
      </c>
      <c r="K112" s="61">
        <v>28.86541089</v>
      </c>
      <c r="L112" s="61">
        <v>30.018999999999998</v>
      </c>
      <c r="M112" s="61" t="s">
        <v>617</v>
      </c>
      <c r="N112" s="149">
        <v>42</v>
      </c>
      <c r="O112" s="149">
        <v>43</v>
      </c>
      <c r="P112" s="61" t="s">
        <v>565</v>
      </c>
      <c r="Q112" s="61" t="s">
        <v>555</v>
      </c>
      <c r="R112" s="61">
        <v>40.6895314</v>
      </c>
      <c r="S112" s="61">
        <v>-74.174462399999996</v>
      </c>
      <c r="T112" s="61">
        <v>329.06599999999997</v>
      </c>
      <c r="U112" s="61" t="s">
        <v>617</v>
      </c>
      <c r="V112" s="61" t="s">
        <v>617</v>
      </c>
      <c r="W112" s="61"/>
      <c r="Y112" s="137">
        <f>Summary_LCIA!H$32</f>
        <v>0.33979999999999999</v>
      </c>
      <c r="Z112" s="137">
        <f>Summary_LCIA!Q$32</f>
        <v>4.9560504329999997</v>
      </c>
      <c r="AA112" s="137">
        <f>Summary_LCIA!R$32</f>
        <v>5.2655999999999996E-3</v>
      </c>
      <c r="AB112" s="137">
        <f>Summary_LCIA!S$32</f>
        <v>0.33538000000000001</v>
      </c>
      <c r="AC112" s="137">
        <f>Summary_LCIA!T$32</f>
        <v>0.1099</v>
      </c>
      <c r="AD112" s="137">
        <f>Summary_LCIA!U$32</f>
        <v>1.7913999999999999E-2</v>
      </c>
      <c r="AE112" s="137">
        <f>Summary_LCIA!V$32</f>
        <v>4.7760999999999999E-5</v>
      </c>
      <c r="AF112" s="137">
        <f>Summary_LCIA!W$32</f>
        <v>7.6970999999999998E-2</v>
      </c>
      <c r="AG112" s="137">
        <f>Summary_LCIA!X$32</f>
        <v>2.2780000000000002E-2</v>
      </c>
      <c r="AH112" s="137">
        <f>Summary_LCIA!Y$32</f>
        <v>1.5582E-2</v>
      </c>
      <c r="AI112" s="137">
        <f>Summary_LCIA!Z$32</f>
        <v>4.1009E-5</v>
      </c>
      <c r="AJ112" s="137">
        <f>Summary_LCIA!AA$32</f>
        <v>2.3355999999999998E-2</v>
      </c>
      <c r="AK112" s="137">
        <f>Summary_LCIA!AB$32</f>
        <v>-2.1823000000000001E-5</v>
      </c>
      <c r="AL112" s="137">
        <f>Summary_LCIA!AC$32</f>
        <v>4.8884000000000003E-8</v>
      </c>
      <c r="AM112" s="137">
        <f>Summary_LCIA!AD$32</f>
        <v>4.1103999999999999E-4</v>
      </c>
      <c r="AN112" s="137">
        <f>Summary_LCIA!AE$32</f>
        <v>8.8612999999999995E-4</v>
      </c>
      <c r="AO112" s="137">
        <f>Summary_LCIA!AF$32</f>
        <v>8.4542000000000005E-4</v>
      </c>
      <c r="AP112" s="137">
        <f>Summary_LCIA!AG$32</f>
        <v>5.1165000000000002E-5</v>
      </c>
      <c r="AQ112" s="137">
        <f>Summary_LCIA!AH$32</f>
        <v>8.7036000000000006E-3</v>
      </c>
      <c r="AR112" s="137">
        <f>Summary_LCIA!AI$32</f>
        <v>9.3154999999999996E-4</v>
      </c>
      <c r="AT112" s="137">
        <f t="shared" si="22"/>
        <v>111.81662679999999</v>
      </c>
      <c r="AU112" s="137">
        <f t="shared" si="34"/>
        <v>1630.8676917855778</v>
      </c>
      <c r="AV112" s="137">
        <f t="shared" si="35"/>
        <v>1.7327299295999998</v>
      </c>
      <c r="AW112" s="137">
        <f t="shared" si="36"/>
        <v>110.36215507999999</v>
      </c>
      <c r="AX112" s="137">
        <f t="shared" si="37"/>
        <v>36.164353399999996</v>
      </c>
      <c r="AY112" s="137">
        <f t="shared" si="38"/>
        <v>5.8948883239999992</v>
      </c>
      <c r="AZ112" s="137">
        <f t="shared" si="39"/>
        <v>1.5716521225999997E-2</v>
      </c>
      <c r="BA112" s="137">
        <f t="shared" si="40"/>
        <v>25.328539085999996</v>
      </c>
      <c r="BB112" s="137">
        <f t="shared" si="41"/>
        <v>7.4961234799999996</v>
      </c>
      <c r="BC112" s="137">
        <f t="shared" si="23"/>
        <v>5.1275064119999998</v>
      </c>
      <c r="BD112" s="137">
        <f t="shared" si="24"/>
        <v>1.3494667593999999E-2</v>
      </c>
      <c r="BE112" s="137">
        <f t="shared" si="25"/>
        <v>7.6856654959999986</v>
      </c>
      <c r="BF112" s="137">
        <f t="shared" si="26"/>
        <v>-7.1812073179999998E-3</v>
      </c>
      <c r="BG112" s="137">
        <f t="shared" si="27"/>
        <v>1.6086062344E-5</v>
      </c>
      <c r="BH112" s="137">
        <f t="shared" si="28"/>
        <v>0.13525928863999997</v>
      </c>
      <c r="BI112" s="137">
        <f t="shared" si="29"/>
        <v>0.29159525457999996</v>
      </c>
      <c r="BJ112" s="137">
        <f t="shared" si="30"/>
        <v>0.27819897772000002</v>
      </c>
      <c r="BK112" s="137">
        <f t="shared" si="31"/>
        <v>1.683666189E-2</v>
      </c>
      <c r="BL112" s="137">
        <f t="shared" si="32"/>
        <v>2.8640588376</v>
      </c>
      <c r="BM112" s="137">
        <f t="shared" si="33"/>
        <v>0.30654143229999997</v>
      </c>
    </row>
    <row r="113" spans="1:65" x14ac:dyDescent="0.25">
      <c r="A113" s="149">
        <v>323</v>
      </c>
      <c r="B113" s="149">
        <v>29</v>
      </c>
      <c r="C113" s="61">
        <v>46.280419999999999</v>
      </c>
      <c r="D113" s="61">
        <v>-119.2752</v>
      </c>
      <c r="E113" s="61" t="s">
        <v>265</v>
      </c>
      <c r="F113" s="149">
        <v>90</v>
      </c>
      <c r="G113" s="61" t="s">
        <v>277</v>
      </c>
      <c r="H113" s="61" t="s">
        <v>697</v>
      </c>
      <c r="I113" s="61">
        <v>45.589768999999997</v>
      </c>
      <c r="J113" s="61">
        <v>-122.595094</v>
      </c>
      <c r="K113" s="61">
        <v>274.9193128</v>
      </c>
      <c r="L113" s="61">
        <v>348.00400000000002</v>
      </c>
      <c r="M113" s="61" t="s">
        <v>617</v>
      </c>
      <c r="N113" s="149">
        <v>28</v>
      </c>
      <c r="O113" s="149">
        <v>29</v>
      </c>
      <c r="P113" s="61" t="s">
        <v>565</v>
      </c>
      <c r="Q113" s="61" t="s">
        <v>559</v>
      </c>
      <c r="R113" s="61">
        <v>47.450249900000003</v>
      </c>
      <c r="S113" s="61">
        <v>-122.30881650000001</v>
      </c>
      <c r="T113" s="61">
        <v>334.65499999999997</v>
      </c>
      <c r="U113" s="61" t="s">
        <v>617</v>
      </c>
      <c r="V113" s="61" t="s">
        <v>617</v>
      </c>
      <c r="W113" s="61"/>
      <c r="Y113" s="137">
        <f>Summary_LCIA!H$32</f>
        <v>0.33979999999999999</v>
      </c>
      <c r="Z113" s="137">
        <f>Summary_LCIA!Q$32</f>
        <v>4.9560504329999997</v>
      </c>
      <c r="AA113" s="137">
        <f>Summary_LCIA!R$32</f>
        <v>5.2655999999999996E-3</v>
      </c>
      <c r="AB113" s="137">
        <f>Summary_LCIA!S$32</f>
        <v>0.33538000000000001</v>
      </c>
      <c r="AC113" s="137">
        <f>Summary_LCIA!T$32</f>
        <v>0.1099</v>
      </c>
      <c r="AD113" s="137">
        <f>Summary_LCIA!U$32</f>
        <v>1.7913999999999999E-2</v>
      </c>
      <c r="AE113" s="137">
        <f>Summary_LCIA!V$32</f>
        <v>4.7760999999999999E-5</v>
      </c>
      <c r="AF113" s="137">
        <f>Summary_LCIA!W$32</f>
        <v>7.6970999999999998E-2</v>
      </c>
      <c r="AG113" s="137">
        <f>Summary_LCIA!X$32</f>
        <v>2.2780000000000002E-2</v>
      </c>
      <c r="AH113" s="137">
        <f>Summary_LCIA!Y$32</f>
        <v>1.5582E-2</v>
      </c>
      <c r="AI113" s="137">
        <f>Summary_LCIA!Z$32</f>
        <v>4.1009E-5</v>
      </c>
      <c r="AJ113" s="137">
        <f>Summary_LCIA!AA$32</f>
        <v>2.3355999999999998E-2</v>
      </c>
      <c r="AK113" s="137">
        <f>Summary_LCIA!AB$32</f>
        <v>-2.1823000000000001E-5</v>
      </c>
      <c r="AL113" s="137">
        <f>Summary_LCIA!AC$32</f>
        <v>4.8884000000000003E-8</v>
      </c>
      <c r="AM113" s="137">
        <f>Summary_LCIA!AD$32</f>
        <v>4.1103999999999999E-4</v>
      </c>
      <c r="AN113" s="137">
        <f>Summary_LCIA!AE$32</f>
        <v>8.8612999999999995E-4</v>
      </c>
      <c r="AO113" s="137">
        <f>Summary_LCIA!AF$32</f>
        <v>8.4542000000000005E-4</v>
      </c>
      <c r="AP113" s="137">
        <f>Summary_LCIA!AG$32</f>
        <v>5.1165000000000002E-5</v>
      </c>
      <c r="AQ113" s="137">
        <f>Summary_LCIA!AH$32</f>
        <v>8.7036000000000006E-3</v>
      </c>
      <c r="AR113" s="137">
        <f>Summary_LCIA!AI$32</f>
        <v>9.3154999999999996E-4</v>
      </c>
      <c r="AT113" s="137">
        <f t="shared" si="22"/>
        <v>113.71576899999999</v>
      </c>
      <c r="AU113" s="137">
        <f t="shared" si="34"/>
        <v>1658.5670576556147</v>
      </c>
      <c r="AV113" s="137">
        <f t="shared" si="35"/>
        <v>1.7621593679999998</v>
      </c>
      <c r="AW113" s="137">
        <f t="shared" si="36"/>
        <v>112.23659389999999</v>
      </c>
      <c r="AX113" s="137">
        <f t="shared" si="37"/>
        <v>36.778584499999994</v>
      </c>
      <c r="AY113" s="137">
        <f t="shared" si="38"/>
        <v>5.9950096699999991</v>
      </c>
      <c r="AZ113" s="137">
        <f t="shared" si="39"/>
        <v>1.5983457454999999E-2</v>
      </c>
      <c r="BA113" s="137">
        <f t="shared" si="40"/>
        <v>25.758730004999997</v>
      </c>
      <c r="BB113" s="137">
        <f t="shared" si="41"/>
        <v>7.6234409000000003</v>
      </c>
      <c r="BC113" s="137">
        <f t="shared" si="23"/>
        <v>5.2145942099999996</v>
      </c>
      <c r="BD113" s="137">
        <f t="shared" si="24"/>
        <v>1.3723866894999999E-2</v>
      </c>
      <c r="BE113" s="137">
        <f t="shared" si="25"/>
        <v>7.8162021799999986</v>
      </c>
      <c r="BF113" s="137">
        <f t="shared" si="26"/>
        <v>-7.3031760649999999E-3</v>
      </c>
      <c r="BG113" s="137">
        <f t="shared" si="27"/>
        <v>1.6359275019999999E-5</v>
      </c>
      <c r="BH113" s="137">
        <f t="shared" si="28"/>
        <v>0.13755659119999999</v>
      </c>
      <c r="BI113" s="137">
        <f t="shared" si="29"/>
        <v>0.29654783514999994</v>
      </c>
      <c r="BJ113" s="137">
        <f t="shared" si="30"/>
        <v>0.2829240301</v>
      </c>
      <c r="BK113" s="137">
        <f t="shared" si="31"/>
        <v>1.7122623074999999E-2</v>
      </c>
      <c r="BL113" s="137">
        <f t="shared" si="32"/>
        <v>2.9127032580000001</v>
      </c>
      <c r="BM113" s="137">
        <f t="shared" si="33"/>
        <v>0.31174786524999998</v>
      </c>
    </row>
    <row r="114" spans="1:65" x14ac:dyDescent="0.25">
      <c r="A114" s="149">
        <v>194</v>
      </c>
      <c r="B114" s="149">
        <v>43</v>
      </c>
      <c r="C114" s="61">
        <v>38.990848999999997</v>
      </c>
      <c r="D114" s="61">
        <v>-76.944141000000002</v>
      </c>
      <c r="E114" s="61" t="s">
        <v>265</v>
      </c>
      <c r="F114" s="149">
        <v>86</v>
      </c>
      <c r="G114" s="61" t="s">
        <v>630</v>
      </c>
      <c r="H114" s="61" t="s">
        <v>644</v>
      </c>
      <c r="I114" s="61">
        <v>38.851241999999999</v>
      </c>
      <c r="J114" s="61">
        <v>-77.040232000000003</v>
      </c>
      <c r="K114" s="61">
        <v>24.195713640000001</v>
      </c>
      <c r="L114" s="61">
        <v>33.975999999999999</v>
      </c>
      <c r="M114" s="61" t="s">
        <v>617</v>
      </c>
      <c r="N114" s="149">
        <v>42</v>
      </c>
      <c r="O114" s="149">
        <v>43</v>
      </c>
      <c r="P114" s="61" t="s">
        <v>565</v>
      </c>
      <c r="Q114" s="61" t="s">
        <v>555</v>
      </c>
      <c r="R114" s="61">
        <v>40.6895314</v>
      </c>
      <c r="S114" s="61">
        <v>-74.174462399999996</v>
      </c>
      <c r="T114" s="61">
        <v>336.69600000000003</v>
      </c>
      <c r="U114" s="61" t="s">
        <v>617</v>
      </c>
      <c r="V114" s="61" t="s">
        <v>617</v>
      </c>
      <c r="W114" s="61"/>
      <c r="Y114" s="137">
        <f>Summary_LCIA!H$32</f>
        <v>0.33979999999999999</v>
      </c>
      <c r="Z114" s="137">
        <f>Summary_LCIA!Q$32</f>
        <v>4.9560504329999997</v>
      </c>
      <c r="AA114" s="137">
        <f>Summary_LCIA!R$32</f>
        <v>5.2655999999999996E-3</v>
      </c>
      <c r="AB114" s="137">
        <f>Summary_LCIA!S$32</f>
        <v>0.33538000000000001</v>
      </c>
      <c r="AC114" s="137">
        <f>Summary_LCIA!T$32</f>
        <v>0.1099</v>
      </c>
      <c r="AD114" s="137">
        <f>Summary_LCIA!U$32</f>
        <v>1.7913999999999999E-2</v>
      </c>
      <c r="AE114" s="137">
        <f>Summary_LCIA!V$32</f>
        <v>4.7760999999999999E-5</v>
      </c>
      <c r="AF114" s="137">
        <f>Summary_LCIA!W$32</f>
        <v>7.6970999999999998E-2</v>
      </c>
      <c r="AG114" s="137">
        <f>Summary_LCIA!X$32</f>
        <v>2.2780000000000002E-2</v>
      </c>
      <c r="AH114" s="137">
        <f>Summary_LCIA!Y$32</f>
        <v>1.5582E-2</v>
      </c>
      <c r="AI114" s="137">
        <f>Summary_LCIA!Z$32</f>
        <v>4.1009E-5</v>
      </c>
      <c r="AJ114" s="137">
        <f>Summary_LCIA!AA$32</f>
        <v>2.3355999999999998E-2</v>
      </c>
      <c r="AK114" s="137">
        <f>Summary_LCIA!AB$32</f>
        <v>-2.1823000000000001E-5</v>
      </c>
      <c r="AL114" s="137">
        <f>Summary_LCIA!AC$32</f>
        <v>4.8884000000000003E-8</v>
      </c>
      <c r="AM114" s="137">
        <f>Summary_LCIA!AD$32</f>
        <v>4.1103999999999999E-4</v>
      </c>
      <c r="AN114" s="137">
        <f>Summary_LCIA!AE$32</f>
        <v>8.8612999999999995E-4</v>
      </c>
      <c r="AO114" s="137">
        <f>Summary_LCIA!AF$32</f>
        <v>8.4542000000000005E-4</v>
      </c>
      <c r="AP114" s="137">
        <f>Summary_LCIA!AG$32</f>
        <v>5.1165000000000002E-5</v>
      </c>
      <c r="AQ114" s="137">
        <f>Summary_LCIA!AH$32</f>
        <v>8.7036000000000006E-3</v>
      </c>
      <c r="AR114" s="137">
        <f>Summary_LCIA!AI$32</f>
        <v>9.3154999999999996E-4</v>
      </c>
      <c r="AT114" s="137">
        <f t="shared" si="22"/>
        <v>114.40930080000001</v>
      </c>
      <c r="AU114" s="137">
        <f t="shared" si="34"/>
        <v>1668.6823565893681</v>
      </c>
      <c r="AV114" s="137">
        <f t="shared" si="35"/>
        <v>1.7729064576</v>
      </c>
      <c r="AW114" s="137">
        <f t="shared" si="36"/>
        <v>112.92110448000001</v>
      </c>
      <c r="AX114" s="137">
        <f t="shared" si="37"/>
        <v>37.002890400000005</v>
      </c>
      <c r="AY114" s="137">
        <f t="shared" si="38"/>
        <v>6.0315721440000001</v>
      </c>
      <c r="AZ114" s="137">
        <f t="shared" si="39"/>
        <v>1.6080937656000001E-2</v>
      </c>
      <c r="BA114" s="137">
        <f t="shared" si="40"/>
        <v>25.915827816</v>
      </c>
      <c r="BB114" s="137">
        <f t="shared" si="41"/>
        <v>7.6699348800000013</v>
      </c>
      <c r="BC114" s="137">
        <f t="shared" si="23"/>
        <v>5.2463970720000006</v>
      </c>
      <c r="BD114" s="137">
        <f t="shared" si="24"/>
        <v>1.3807566264000001E-2</v>
      </c>
      <c r="BE114" s="137">
        <f t="shared" si="25"/>
        <v>7.8638717759999999</v>
      </c>
      <c r="BF114" s="137">
        <f t="shared" si="26"/>
        <v>-7.3477168080000009E-3</v>
      </c>
      <c r="BG114" s="137">
        <f t="shared" si="27"/>
        <v>1.6459047264000001E-5</v>
      </c>
      <c r="BH114" s="137">
        <f t="shared" si="28"/>
        <v>0.13839552384000001</v>
      </c>
      <c r="BI114" s="137">
        <f t="shared" si="29"/>
        <v>0.29835642647999999</v>
      </c>
      <c r="BJ114" s="137">
        <f t="shared" si="30"/>
        <v>0.28464953232000006</v>
      </c>
      <c r="BK114" s="137">
        <f t="shared" si="31"/>
        <v>1.7227050840000001E-2</v>
      </c>
      <c r="BL114" s="137">
        <f t="shared" si="32"/>
        <v>2.9304673056000006</v>
      </c>
      <c r="BM114" s="137">
        <f t="shared" si="33"/>
        <v>0.31364915879999999</v>
      </c>
    </row>
    <row r="115" spans="1:65" x14ac:dyDescent="0.25">
      <c r="A115" s="149">
        <v>195</v>
      </c>
      <c r="B115" s="149">
        <v>43</v>
      </c>
      <c r="C115" s="61">
        <v>38.990848999999997</v>
      </c>
      <c r="D115" s="61">
        <v>-76.944141000000002</v>
      </c>
      <c r="E115" s="61" t="s">
        <v>265</v>
      </c>
      <c r="F115" s="149">
        <v>86</v>
      </c>
      <c r="G115" s="61" t="s">
        <v>630</v>
      </c>
      <c r="H115" s="61" t="s">
        <v>644</v>
      </c>
      <c r="I115" s="61">
        <v>38.851241999999999</v>
      </c>
      <c r="J115" s="61">
        <v>-77.040232000000003</v>
      </c>
      <c r="K115" s="61">
        <v>24.195713640000001</v>
      </c>
      <c r="L115" s="61">
        <v>33.975999999999999</v>
      </c>
      <c r="M115" s="61" t="s">
        <v>617</v>
      </c>
      <c r="N115" s="149">
        <v>42</v>
      </c>
      <c r="O115" s="149">
        <v>43</v>
      </c>
      <c r="P115" s="61" t="s">
        <v>565</v>
      </c>
      <c r="Q115" s="61" t="s">
        <v>555</v>
      </c>
      <c r="R115" s="61">
        <v>40.6895314</v>
      </c>
      <c r="S115" s="61">
        <v>-74.174462399999996</v>
      </c>
      <c r="T115" s="61">
        <v>336.69600000000003</v>
      </c>
      <c r="U115" s="61" t="s">
        <v>617</v>
      </c>
      <c r="V115" s="61" t="s">
        <v>617</v>
      </c>
      <c r="W115" s="61"/>
      <c r="Y115" s="137">
        <f>Summary_LCIA!H$32</f>
        <v>0.33979999999999999</v>
      </c>
      <c r="Z115" s="137">
        <f>Summary_LCIA!Q$32</f>
        <v>4.9560504329999997</v>
      </c>
      <c r="AA115" s="137">
        <f>Summary_LCIA!R$32</f>
        <v>5.2655999999999996E-3</v>
      </c>
      <c r="AB115" s="137">
        <f>Summary_LCIA!S$32</f>
        <v>0.33538000000000001</v>
      </c>
      <c r="AC115" s="137">
        <f>Summary_LCIA!T$32</f>
        <v>0.1099</v>
      </c>
      <c r="AD115" s="137">
        <f>Summary_LCIA!U$32</f>
        <v>1.7913999999999999E-2</v>
      </c>
      <c r="AE115" s="137">
        <f>Summary_LCIA!V$32</f>
        <v>4.7760999999999999E-5</v>
      </c>
      <c r="AF115" s="137">
        <f>Summary_LCIA!W$32</f>
        <v>7.6970999999999998E-2</v>
      </c>
      <c r="AG115" s="137">
        <f>Summary_LCIA!X$32</f>
        <v>2.2780000000000002E-2</v>
      </c>
      <c r="AH115" s="137">
        <f>Summary_LCIA!Y$32</f>
        <v>1.5582E-2</v>
      </c>
      <c r="AI115" s="137">
        <f>Summary_LCIA!Z$32</f>
        <v>4.1009E-5</v>
      </c>
      <c r="AJ115" s="137">
        <f>Summary_LCIA!AA$32</f>
        <v>2.3355999999999998E-2</v>
      </c>
      <c r="AK115" s="137">
        <f>Summary_LCIA!AB$32</f>
        <v>-2.1823000000000001E-5</v>
      </c>
      <c r="AL115" s="137">
        <f>Summary_LCIA!AC$32</f>
        <v>4.8884000000000003E-8</v>
      </c>
      <c r="AM115" s="137">
        <f>Summary_LCIA!AD$32</f>
        <v>4.1103999999999999E-4</v>
      </c>
      <c r="AN115" s="137">
        <f>Summary_LCIA!AE$32</f>
        <v>8.8612999999999995E-4</v>
      </c>
      <c r="AO115" s="137">
        <f>Summary_LCIA!AF$32</f>
        <v>8.4542000000000005E-4</v>
      </c>
      <c r="AP115" s="137">
        <f>Summary_LCIA!AG$32</f>
        <v>5.1165000000000002E-5</v>
      </c>
      <c r="AQ115" s="137">
        <f>Summary_LCIA!AH$32</f>
        <v>8.7036000000000006E-3</v>
      </c>
      <c r="AR115" s="137">
        <f>Summary_LCIA!AI$32</f>
        <v>9.3154999999999996E-4</v>
      </c>
      <c r="AT115" s="137">
        <f t="shared" si="22"/>
        <v>114.40930080000001</v>
      </c>
      <c r="AU115" s="137">
        <f t="shared" si="34"/>
        <v>1668.6823565893681</v>
      </c>
      <c r="AV115" s="137">
        <f t="shared" si="35"/>
        <v>1.7729064576</v>
      </c>
      <c r="AW115" s="137">
        <f t="shared" si="36"/>
        <v>112.92110448000001</v>
      </c>
      <c r="AX115" s="137">
        <f t="shared" si="37"/>
        <v>37.002890400000005</v>
      </c>
      <c r="AY115" s="137">
        <f t="shared" si="38"/>
        <v>6.0315721440000001</v>
      </c>
      <c r="AZ115" s="137">
        <f t="shared" si="39"/>
        <v>1.6080937656000001E-2</v>
      </c>
      <c r="BA115" s="137">
        <f t="shared" si="40"/>
        <v>25.915827816</v>
      </c>
      <c r="BB115" s="137">
        <f t="shared" si="41"/>
        <v>7.6699348800000013</v>
      </c>
      <c r="BC115" s="137">
        <f t="shared" si="23"/>
        <v>5.2463970720000006</v>
      </c>
      <c r="BD115" s="137">
        <f t="shared" si="24"/>
        <v>1.3807566264000001E-2</v>
      </c>
      <c r="BE115" s="137">
        <f t="shared" si="25"/>
        <v>7.8638717759999999</v>
      </c>
      <c r="BF115" s="137">
        <f t="shared" si="26"/>
        <v>-7.3477168080000009E-3</v>
      </c>
      <c r="BG115" s="137">
        <f t="shared" si="27"/>
        <v>1.6459047264000001E-5</v>
      </c>
      <c r="BH115" s="137">
        <f t="shared" si="28"/>
        <v>0.13839552384000001</v>
      </c>
      <c r="BI115" s="137">
        <f t="shared" si="29"/>
        <v>0.29835642647999999</v>
      </c>
      <c r="BJ115" s="137">
        <f t="shared" si="30"/>
        <v>0.28464953232000006</v>
      </c>
      <c r="BK115" s="137">
        <f t="shared" si="31"/>
        <v>1.7227050840000001E-2</v>
      </c>
      <c r="BL115" s="137">
        <f t="shared" si="32"/>
        <v>2.9304673056000006</v>
      </c>
      <c r="BM115" s="137">
        <f t="shared" si="33"/>
        <v>0.31364915879999999</v>
      </c>
    </row>
    <row r="116" spans="1:65" x14ac:dyDescent="0.25">
      <c r="A116" s="149">
        <v>345</v>
      </c>
      <c r="B116" s="149">
        <v>43</v>
      </c>
      <c r="C116" s="61">
        <v>38.990665999999997</v>
      </c>
      <c r="D116" s="61">
        <v>-77.026088000000001</v>
      </c>
      <c r="E116" s="61" t="s">
        <v>265</v>
      </c>
      <c r="F116" s="149">
        <v>86</v>
      </c>
      <c r="G116" s="61" t="s">
        <v>630</v>
      </c>
      <c r="H116" s="61" t="s">
        <v>644</v>
      </c>
      <c r="I116" s="61">
        <v>38.851241999999999</v>
      </c>
      <c r="J116" s="61">
        <v>-77.040232000000003</v>
      </c>
      <c r="K116" s="61">
        <v>22.001929870000001</v>
      </c>
      <c r="L116" s="61">
        <v>20.452000000000002</v>
      </c>
      <c r="M116" s="61" t="s">
        <v>617</v>
      </c>
      <c r="N116" s="149">
        <v>42</v>
      </c>
      <c r="O116" s="149">
        <v>43</v>
      </c>
      <c r="P116" s="61" t="s">
        <v>565</v>
      </c>
      <c r="Q116" s="61" t="s">
        <v>555</v>
      </c>
      <c r="R116" s="61">
        <v>40.6895314</v>
      </c>
      <c r="S116" s="61">
        <v>-74.174462399999996</v>
      </c>
      <c r="T116" s="61">
        <v>338.21699999999998</v>
      </c>
      <c r="U116" s="61" t="s">
        <v>617</v>
      </c>
      <c r="V116" s="61" t="s">
        <v>617</v>
      </c>
      <c r="W116" s="61"/>
      <c r="Y116" s="137">
        <f>Summary_LCIA!H$32</f>
        <v>0.33979999999999999</v>
      </c>
      <c r="Z116" s="137">
        <f>Summary_LCIA!Q$32</f>
        <v>4.9560504329999997</v>
      </c>
      <c r="AA116" s="137">
        <f>Summary_LCIA!R$32</f>
        <v>5.2655999999999996E-3</v>
      </c>
      <c r="AB116" s="137">
        <f>Summary_LCIA!S$32</f>
        <v>0.33538000000000001</v>
      </c>
      <c r="AC116" s="137">
        <f>Summary_LCIA!T$32</f>
        <v>0.1099</v>
      </c>
      <c r="AD116" s="137">
        <f>Summary_LCIA!U$32</f>
        <v>1.7913999999999999E-2</v>
      </c>
      <c r="AE116" s="137">
        <f>Summary_LCIA!V$32</f>
        <v>4.7760999999999999E-5</v>
      </c>
      <c r="AF116" s="137">
        <f>Summary_LCIA!W$32</f>
        <v>7.6970999999999998E-2</v>
      </c>
      <c r="AG116" s="137">
        <f>Summary_LCIA!X$32</f>
        <v>2.2780000000000002E-2</v>
      </c>
      <c r="AH116" s="137">
        <f>Summary_LCIA!Y$32</f>
        <v>1.5582E-2</v>
      </c>
      <c r="AI116" s="137">
        <f>Summary_LCIA!Z$32</f>
        <v>4.1009E-5</v>
      </c>
      <c r="AJ116" s="137">
        <f>Summary_LCIA!AA$32</f>
        <v>2.3355999999999998E-2</v>
      </c>
      <c r="AK116" s="137">
        <f>Summary_LCIA!AB$32</f>
        <v>-2.1823000000000001E-5</v>
      </c>
      <c r="AL116" s="137">
        <f>Summary_LCIA!AC$32</f>
        <v>4.8884000000000003E-8</v>
      </c>
      <c r="AM116" s="137">
        <f>Summary_LCIA!AD$32</f>
        <v>4.1103999999999999E-4</v>
      </c>
      <c r="AN116" s="137">
        <f>Summary_LCIA!AE$32</f>
        <v>8.8612999999999995E-4</v>
      </c>
      <c r="AO116" s="137">
        <f>Summary_LCIA!AF$32</f>
        <v>8.4542000000000005E-4</v>
      </c>
      <c r="AP116" s="137">
        <f>Summary_LCIA!AG$32</f>
        <v>5.1165000000000002E-5</v>
      </c>
      <c r="AQ116" s="137">
        <f>Summary_LCIA!AH$32</f>
        <v>8.7036000000000006E-3</v>
      </c>
      <c r="AR116" s="137">
        <f>Summary_LCIA!AI$32</f>
        <v>9.3154999999999996E-4</v>
      </c>
      <c r="AT116" s="137">
        <f t="shared" si="22"/>
        <v>114.92613659999999</v>
      </c>
      <c r="AU116" s="137">
        <f t="shared" si="34"/>
        <v>1676.2205092979609</v>
      </c>
      <c r="AV116" s="137">
        <f t="shared" si="35"/>
        <v>1.7809154351999998</v>
      </c>
      <c r="AW116" s="137">
        <f t="shared" si="36"/>
        <v>113.43121746</v>
      </c>
      <c r="AX116" s="137">
        <f t="shared" si="37"/>
        <v>37.170048299999998</v>
      </c>
      <c r="AY116" s="137">
        <f t="shared" si="38"/>
        <v>6.0588193379999993</v>
      </c>
      <c r="AZ116" s="137">
        <f t="shared" si="39"/>
        <v>1.6153582136999998E-2</v>
      </c>
      <c r="BA116" s="137">
        <f t="shared" si="40"/>
        <v>26.032900707</v>
      </c>
      <c r="BB116" s="137">
        <f t="shared" si="41"/>
        <v>7.7045832600000006</v>
      </c>
      <c r="BC116" s="137">
        <f t="shared" si="23"/>
        <v>5.2700972940000002</v>
      </c>
      <c r="BD116" s="137">
        <f t="shared" si="24"/>
        <v>1.3869940952999999E-2</v>
      </c>
      <c r="BE116" s="137">
        <f t="shared" si="25"/>
        <v>7.899396251999999</v>
      </c>
      <c r="BF116" s="137">
        <f t="shared" si="26"/>
        <v>-7.3809095910000004E-3</v>
      </c>
      <c r="BG116" s="137">
        <f t="shared" si="27"/>
        <v>1.6533399827999999E-5</v>
      </c>
      <c r="BH116" s="137">
        <f t="shared" si="28"/>
        <v>0.13902071567999999</v>
      </c>
      <c r="BI116" s="137">
        <f t="shared" si="29"/>
        <v>0.29970423020999998</v>
      </c>
      <c r="BJ116" s="137">
        <f t="shared" si="30"/>
        <v>0.28593541614000001</v>
      </c>
      <c r="BK116" s="137">
        <f t="shared" si="31"/>
        <v>1.7304872805E-2</v>
      </c>
      <c r="BL116" s="137">
        <f t="shared" si="32"/>
        <v>2.9437054811999999</v>
      </c>
      <c r="BM116" s="137">
        <f t="shared" si="33"/>
        <v>0.31506604634999996</v>
      </c>
    </row>
    <row r="117" spans="1:65" x14ac:dyDescent="0.25">
      <c r="A117" s="149">
        <v>112</v>
      </c>
      <c r="B117" s="149">
        <v>43</v>
      </c>
      <c r="C117" s="61">
        <v>38.899540000000002</v>
      </c>
      <c r="D117" s="61">
        <v>-77.003996000000001</v>
      </c>
      <c r="E117" s="61" t="s">
        <v>265</v>
      </c>
      <c r="F117" s="149">
        <v>86</v>
      </c>
      <c r="G117" s="61" t="s">
        <v>630</v>
      </c>
      <c r="H117" s="61" t="s">
        <v>644</v>
      </c>
      <c r="I117" s="61">
        <v>38.851241999999999</v>
      </c>
      <c r="J117" s="61">
        <v>-77.040232000000003</v>
      </c>
      <c r="K117" s="61">
        <v>8.4899752769999992</v>
      </c>
      <c r="L117" s="61">
        <v>10.651</v>
      </c>
      <c r="M117" s="61" t="s">
        <v>617</v>
      </c>
      <c r="N117" s="149">
        <v>42</v>
      </c>
      <c r="O117" s="149">
        <v>43</v>
      </c>
      <c r="P117" s="61" t="s">
        <v>565</v>
      </c>
      <c r="Q117" s="61" t="s">
        <v>555</v>
      </c>
      <c r="R117" s="61">
        <v>40.6895314</v>
      </c>
      <c r="S117" s="61">
        <v>-74.174462399999996</v>
      </c>
      <c r="T117" s="61">
        <v>341.99299999999999</v>
      </c>
      <c r="U117" s="61" t="s">
        <v>617</v>
      </c>
      <c r="V117" s="61" t="s">
        <v>617</v>
      </c>
      <c r="W117" s="61"/>
      <c r="Y117" s="137">
        <f>Summary_LCIA!H$32</f>
        <v>0.33979999999999999</v>
      </c>
      <c r="Z117" s="137">
        <f>Summary_LCIA!Q$32</f>
        <v>4.9560504329999997</v>
      </c>
      <c r="AA117" s="137">
        <f>Summary_LCIA!R$32</f>
        <v>5.2655999999999996E-3</v>
      </c>
      <c r="AB117" s="137">
        <f>Summary_LCIA!S$32</f>
        <v>0.33538000000000001</v>
      </c>
      <c r="AC117" s="137">
        <f>Summary_LCIA!T$32</f>
        <v>0.1099</v>
      </c>
      <c r="AD117" s="137">
        <f>Summary_LCIA!U$32</f>
        <v>1.7913999999999999E-2</v>
      </c>
      <c r="AE117" s="137">
        <f>Summary_LCIA!V$32</f>
        <v>4.7760999999999999E-5</v>
      </c>
      <c r="AF117" s="137">
        <f>Summary_LCIA!W$32</f>
        <v>7.6970999999999998E-2</v>
      </c>
      <c r="AG117" s="137">
        <f>Summary_LCIA!X$32</f>
        <v>2.2780000000000002E-2</v>
      </c>
      <c r="AH117" s="137">
        <f>Summary_LCIA!Y$32</f>
        <v>1.5582E-2</v>
      </c>
      <c r="AI117" s="137">
        <f>Summary_LCIA!Z$32</f>
        <v>4.1009E-5</v>
      </c>
      <c r="AJ117" s="137">
        <f>Summary_LCIA!AA$32</f>
        <v>2.3355999999999998E-2</v>
      </c>
      <c r="AK117" s="137">
        <f>Summary_LCIA!AB$32</f>
        <v>-2.1823000000000001E-5</v>
      </c>
      <c r="AL117" s="137">
        <f>Summary_LCIA!AC$32</f>
        <v>4.8884000000000003E-8</v>
      </c>
      <c r="AM117" s="137">
        <f>Summary_LCIA!AD$32</f>
        <v>4.1103999999999999E-4</v>
      </c>
      <c r="AN117" s="137">
        <f>Summary_LCIA!AE$32</f>
        <v>8.8612999999999995E-4</v>
      </c>
      <c r="AO117" s="137">
        <f>Summary_LCIA!AF$32</f>
        <v>8.4542000000000005E-4</v>
      </c>
      <c r="AP117" s="137">
        <f>Summary_LCIA!AG$32</f>
        <v>5.1165000000000002E-5</v>
      </c>
      <c r="AQ117" s="137">
        <f>Summary_LCIA!AH$32</f>
        <v>8.7036000000000006E-3</v>
      </c>
      <c r="AR117" s="137">
        <f>Summary_LCIA!AI$32</f>
        <v>9.3154999999999996E-4</v>
      </c>
      <c r="AT117" s="137">
        <f t="shared" si="22"/>
        <v>116.20922139999999</v>
      </c>
      <c r="AU117" s="137">
        <f t="shared" si="34"/>
        <v>1694.9345557329689</v>
      </c>
      <c r="AV117" s="137">
        <f t="shared" si="35"/>
        <v>1.8007983407999999</v>
      </c>
      <c r="AW117" s="137">
        <f t="shared" si="36"/>
        <v>114.69761234000001</v>
      </c>
      <c r="AX117" s="137">
        <f t="shared" si="37"/>
        <v>37.585030699999997</v>
      </c>
      <c r="AY117" s="137">
        <f t="shared" si="38"/>
        <v>6.1264626019999993</v>
      </c>
      <c r="AZ117" s="137">
        <f t="shared" si="39"/>
        <v>1.6333927673000001E-2</v>
      </c>
      <c r="BA117" s="137">
        <f t="shared" si="40"/>
        <v>26.323543203</v>
      </c>
      <c r="BB117" s="137">
        <f t="shared" si="41"/>
        <v>7.7906005400000007</v>
      </c>
      <c r="BC117" s="137">
        <f t="shared" si="23"/>
        <v>5.3289349259999996</v>
      </c>
      <c r="BD117" s="137">
        <f t="shared" si="24"/>
        <v>1.4024790936999999E-2</v>
      </c>
      <c r="BE117" s="137">
        <f t="shared" si="25"/>
        <v>7.9875885079999991</v>
      </c>
      <c r="BF117" s="137">
        <f t="shared" si="26"/>
        <v>-7.4633132390000004E-3</v>
      </c>
      <c r="BG117" s="137">
        <f t="shared" si="27"/>
        <v>1.6717985812E-5</v>
      </c>
      <c r="BH117" s="137">
        <f t="shared" si="28"/>
        <v>0.14057280272</v>
      </c>
      <c r="BI117" s="137">
        <f t="shared" si="29"/>
        <v>0.30305025709</v>
      </c>
      <c r="BJ117" s="137">
        <f t="shared" si="30"/>
        <v>0.28912772206000004</v>
      </c>
      <c r="BK117" s="137">
        <f t="shared" si="31"/>
        <v>1.7498071845000001E-2</v>
      </c>
      <c r="BL117" s="137">
        <f t="shared" si="32"/>
        <v>2.9765702748000002</v>
      </c>
      <c r="BM117" s="137">
        <f t="shared" si="33"/>
        <v>0.31858357914999996</v>
      </c>
    </row>
    <row r="118" spans="1:65" x14ac:dyDescent="0.25">
      <c r="A118" s="149">
        <v>113</v>
      </c>
      <c r="B118" s="149">
        <v>43</v>
      </c>
      <c r="C118" s="61">
        <v>38.899540000000002</v>
      </c>
      <c r="D118" s="61">
        <v>-77.003996000000001</v>
      </c>
      <c r="E118" s="61" t="s">
        <v>265</v>
      </c>
      <c r="F118" s="149">
        <v>86</v>
      </c>
      <c r="G118" s="61" t="s">
        <v>630</v>
      </c>
      <c r="H118" s="61" t="s">
        <v>644</v>
      </c>
      <c r="I118" s="61">
        <v>38.851241999999999</v>
      </c>
      <c r="J118" s="61">
        <v>-77.040232000000003</v>
      </c>
      <c r="K118" s="61">
        <v>8.4899752769999992</v>
      </c>
      <c r="L118" s="61">
        <v>10.651</v>
      </c>
      <c r="M118" s="61" t="s">
        <v>617</v>
      </c>
      <c r="N118" s="149">
        <v>42</v>
      </c>
      <c r="O118" s="149">
        <v>43</v>
      </c>
      <c r="P118" s="61" t="s">
        <v>565</v>
      </c>
      <c r="Q118" s="61" t="s">
        <v>555</v>
      </c>
      <c r="R118" s="61">
        <v>40.6895314</v>
      </c>
      <c r="S118" s="61">
        <v>-74.174462399999996</v>
      </c>
      <c r="T118" s="61">
        <v>341.99299999999999</v>
      </c>
      <c r="U118" s="61" t="s">
        <v>617</v>
      </c>
      <c r="V118" s="61" t="s">
        <v>617</v>
      </c>
      <c r="W118" s="61"/>
      <c r="Y118" s="137">
        <f>Summary_LCIA!H$32</f>
        <v>0.33979999999999999</v>
      </c>
      <c r="Z118" s="137">
        <f>Summary_LCIA!Q$32</f>
        <v>4.9560504329999997</v>
      </c>
      <c r="AA118" s="137">
        <f>Summary_LCIA!R$32</f>
        <v>5.2655999999999996E-3</v>
      </c>
      <c r="AB118" s="137">
        <f>Summary_LCIA!S$32</f>
        <v>0.33538000000000001</v>
      </c>
      <c r="AC118" s="137">
        <f>Summary_LCIA!T$32</f>
        <v>0.1099</v>
      </c>
      <c r="AD118" s="137">
        <f>Summary_LCIA!U$32</f>
        <v>1.7913999999999999E-2</v>
      </c>
      <c r="AE118" s="137">
        <f>Summary_LCIA!V$32</f>
        <v>4.7760999999999999E-5</v>
      </c>
      <c r="AF118" s="137">
        <f>Summary_LCIA!W$32</f>
        <v>7.6970999999999998E-2</v>
      </c>
      <c r="AG118" s="137">
        <f>Summary_LCIA!X$32</f>
        <v>2.2780000000000002E-2</v>
      </c>
      <c r="AH118" s="137">
        <f>Summary_LCIA!Y$32</f>
        <v>1.5582E-2</v>
      </c>
      <c r="AI118" s="137">
        <f>Summary_LCIA!Z$32</f>
        <v>4.1009E-5</v>
      </c>
      <c r="AJ118" s="137">
        <f>Summary_LCIA!AA$32</f>
        <v>2.3355999999999998E-2</v>
      </c>
      <c r="AK118" s="137">
        <f>Summary_LCIA!AB$32</f>
        <v>-2.1823000000000001E-5</v>
      </c>
      <c r="AL118" s="137">
        <f>Summary_LCIA!AC$32</f>
        <v>4.8884000000000003E-8</v>
      </c>
      <c r="AM118" s="137">
        <f>Summary_LCIA!AD$32</f>
        <v>4.1103999999999999E-4</v>
      </c>
      <c r="AN118" s="137">
        <f>Summary_LCIA!AE$32</f>
        <v>8.8612999999999995E-4</v>
      </c>
      <c r="AO118" s="137">
        <f>Summary_LCIA!AF$32</f>
        <v>8.4542000000000005E-4</v>
      </c>
      <c r="AP118" s="137">
        <f>Summary_LCIA!AG$32</f>
        <v>5.1165000000000002E-5</v>
      </c>
      <c r="AQ118" s="137">
        <f>Summary_LCIA!AH$32</f>
        <v>8.7036000000000006E-3</v>
      </c>
      <c r="AR118" s="137">
        <f>Summary_LCIA!AI$32</f>
        <v>9.3154999999999996E-4</v>
      </c>
      <c r="AT118" s="137">
        <f t="shared" si="22"/>
        <v>116.20922139999999</v>
      </c>
      <c r="AU118" s="137">
        <f t="shared" si="34"/>
        <v>1694.9345557329689</v>
      </c>
      <c r="AV118" s="137">
        <f t="shared" si="35"/>
        <v>1.8007983407999999</v>
      </c>
      <c r="AW118" s="137">
        <f t="shared" si="36"/>
        <v>114.69761234000001</v>
      </c>
      <c r="AX118" s="137">
        <f t="shared" si="37"/>
        <v>37.585030699999997</v>
      </c>
      <c r="AY118" s="137">
        <f t="shared" si="38"/>
        <v>6.1264626019999993</v>
      </c>
      <c r="AZ118" s="137">
        <f t="shared" si="39"/>
        <v>1.6333927673000001E-2</v>
      </c>
      <c r="BA118" s="137">
        <f t="shared" si="40"/>
        <v>26.323543203</v>
      </c>
      <c r="BB118" s="137">
        <f t="shared" si="41"/>
        <v>7.7906005400000007</v>
      </c>
      <c r="BC118" s="137">
        <f t="shared" si="23"/>
        <v>5.3289349259999996</v>
      </c>
      <c r="BD118" s="137">
        <f t="shared" si="24"/>
        <v>1.4024790936999999E-2</v>
      </c>
      <c r="BE118" s="137">
        <f t="shared" si="25"/>
        <v>7.9875885079999991</v>
      </c>
      <c r="BF118" s="137">
        <f t="shared" si="26"/>
        <v>-7.4633132390000004E-3</v>
      </c>
      <c r="BG118" s="137">
        <f t="shared" si="27"/>
        <v>1.6717985812E-5</v>
      </c>
      <c r="BH118" s="137">
        <f t="shared" si="28"/>
        <v>0.14057280272</v>
      </c>
      <c r="BI118" s="137">
        <f t="shared" si="29"/>
        <v>0.30305025709</v>
      </c>
      <c r="BJ118" s="137">
        <f t="shared" si="30"/>
        <v>0.28912772206000004</v>
      </c>
      <c r="BK118" s="137">
        <f t="shared" si="31"/>
        <v>1.7498071845000001E-2</v>
      </c>
      <c r="BL118" s="137">
        <f t="shared" si="32"/>
        <v>2.9765702748000002</v>
      </c>
      <c r="BM118" s="137">
        <f t="shared" si="33"/>
        <v>0.31858357914999996</v>
      </c>
    </row>
    <row r="119" spans="1:65" x14ac:dyDescent="0.25">
      <c r="A119" s="149">
        <v>57</v>
      </c>
      <c r="B119" s="149">
        <v>43</v>
      </c>
      <c r="C119" s="61">
        <v>38.898505</v>
      </c>
      <c r="D119" s="61">
        <v>-77.010475</v>
      </c>
      <c r="E119" s="61" t="s">
        <v>265</v>
      </c>
      <c r="F119" s="149">
        <v>86</v>
      </c>
      <c r="G119" s="61" t="s">
        <v>630</v>
      </c>
      <c r="H119" s="61" t="s">
        <v>644</v>
      </c>
      <c r="I119" s="61">
        <v>38.851241999999999</v>
      </c>
      <c r="J119" s="61">
        <v>-77.040232000000003</v>
      </c>
      <c r="K119" s="61">
        <v>8.0893784039999996</v>
      </c>
      <c r="L119" s="61">
        <v>9.125</v>
      </c>
      <c r="M119" s="61" t="s">
        <v>617</v>
      </c>
      <c r="N119" s="149">
        <v>42</v>
      </c>
      <c r="O119" s="149">
        <v>43</v>
      </c>
      <c r="P119" s="61" t="s">
        <v>565</v>
      </c>
      <c r="Q119" s="61" t="s">
        <v>555</v>
      </c>
      <c r="R119" s="61">
        <v>40.6895314</v>
      </c>
      <c r="S119" s="61">
        <v>-74.174462399999996</v>
      </c>
      <c r="T119" s="61">
        <v>342.65800000000002</v>
      </c>
      <c r="U119" s="61" t="s">
        <v>617</v>
      </c>
      <c r="V119" s="61" t="s">
        <v>617</v>
      </c>
      <c r="W119" s="61"/>
      <c r="Y119" s="137">
        <f>Summary_LCIA!H$32</f>
        <v>0.33979999999999999</v>
      </c>
      <c r="Z119" s="137">
        <f>Summary_LCIA!Q$32</f>
        <v>4.9560504329999997</v>
      </c>
      <c r="AA119" s="137">
        <f>Summary_LCIA!R$32</f>
        <v>5.2655999999999996E-3</v>
      </c>
      <c r="AB119" s="137">
        <f>Summary_LCIA!S$32</f>
        <v>0.33538000000000001</v>
      </c>
      <c r="AC119" s="137">
        <f>Summary_LCIA!T$32</f>
        <v>0.1099</v>
      </c>
      <c r="AD119" s="137">
        <f>Summary_LCIA!U$32</f>
        <v>1.7913999999999999E-2</v>
      </c>
      <c r="AE119" s="137">
        <f>Summary_LCIA!V$32</f>
        <v>4.7760999999999999E-5</v>
      </c>
      <c r="AF119" s="137">
        <f>Summary_LCIA!W$32</f>
        <v>7.6970999999999998E-2</v>
      </c>
      <c r="AG119" s="137">
        <f>Summary_LCIA!X$32</f>
        <v>2.2780000000000002E-2</v>
      </c>
      <c r="AH119" s="137">
        <f>Summary_LCIA!Y$32</f>
        <v>1.5582E-2</v>
      </c>
      <c r="AI119" s="137">
        <f>Summary_LCIA!Z$32</f>
        <v>4.1009E-5</v>
      </c>
      <c r="AJ119" s="137">
        <f>Summary_LCIA!AA$32</f>
        <v>2.3355999999999998E-2</v>
      </c>
      <c r="AK119" s="137">
        <f>Summary_LCIA!AB$32</f>
        <v>-2.1823000000000001E-5</v>
      </c>
      <c r="AL119" s="137">
        <f>Summary_LCIA!AC$32</f>
        <v>4.8884000000000003E-8</v>
      </c>
      <c r="AM119" s="137">
        <f>Summary_LCIA!AD$32</f>
        <v>4.1103999999999999E-4</v>
      </c>
      <c r="AN119" s="137">
        <f>Summary_LCIA!AE$32</f>
        <v>8.8612999999999995E-4</v>
      </c>
      <c r="AO119" s="137">
        <f>Summary_LCIA!AF$32</f>
        <v>8.4542000000000005E-4</v>
      </c>
      <c r="AP119" s="137">
        <f>Summary_LCIA!AG$32</f>
        <v>5.1165000000000002E-5</v>
      </c>
      <c r="AQ119" s="137">
        <f>Summary_LCIA!AH$32</f>
        <v>8.7036000000000006E-3</v>
      </c>
      <c r="AR119" s="137">
        <f>Summary_LCIA!AI$32</f>
        <v>9.3154999999999996E-4</v>
      </c>
      <c r="AT119" s="137">
        <f t="shared" si="22"/>
        <v>116.4351884</v>
      </c>
      <c r="AU119" s="137">
        <f t="shared" si="34"/>
        <v>1698.2303292709139</v>
      </c>
      <c r="AV119" s="137">
        <f t="shared" si="35"/>
        <v>1.8042999648</v>
      </c>
      <c r="AW119" s="137">
        <f t="shared" si="36"/>
        <v>114.92064004000001</v>
      </c>
      <c r="AX119" s="137">
        <f t="shared" si="37"/>
        <v>37.6581142</v>
      </c>
      <c r="AY119" s="137">
        <f t="shared" si="38"/>
        <v>6.1383754120000003</v>
      </c>
      <c r="AZ119" s="137">
        <f t="shared" si="39"/>
        <v>1.6365688738000001E-2</v>
      </c>
      <c r="BA119" s="137">
        <f t="shared" si="40"/>
        <v>26.374728917999999</v>
      </c>
      <c r="BB119" s="137">
        <f t="shared" si="41"/>
        <v>7.8057492400000008</v>
      </c>
      <c r="BC119" s="137">
        <f t="shared" si="23"/>
        <v>5.3392969560000001</v>
      </c>
      <c r="BD119" s="137">
        <f t="shared" si="24"/>
        <v>1.4052061922E-2</v>
      </c>
      <c r="BE119" s="137">
        <f t="shared" si="25"/>
        <v>8.0031202480000001</v>
      </c>
      <c r="BF119" s="137">
        <f t="shared" si="26"/>
        <v>-7.4778255340000009E-3</v>
      </c>
      <c r="BG119" s="137">
        <f t="shared" si="27"/>
        <v>1.6750493672000002E-5</v>
      </c>
      <c r="BH119" s="137">
        <f t="shared" si="28"/>
        <v>0.14084614432000001</v>
      </c>
      <c r="BI119" s="137">
        <f t="shared" si="29"/>
        <v>0.30363953354000001</v>
      </c>
      <c r="BJ119" s="137">
        <f t="shared" si="30"/>
        <v>0.28968992636000002</v>
      </c>
      <c r="BK119" s="137">
        <f t="shared" si="31"/>
        <v>1.7532096570000003E-2</v>
      </c>
      <c r="BL119" s="137">
        <f t="shared" si="32"/>
        <v>2.9823581688000003</v>
      </c>
      <c r="BM119" s="137">
        <f t="shared" si="33"/>
        <v>0.31920305989999997</v>
      </c>
    </row>
    <row r="120" spans="1:65" x14ac:dyDescent="0.25">
      <c r="A120" s="149">
        <v>370</v>
      </c>
      <c r="B120" s="149">
        <v>43</v>
      </c>
      <c r="C120" s="61">
        <v>38.907192000000002</v>
      </c>
      <c r="D120" s="61">
        <v>-77.036871000000005</v>
      </c>
      <c r="E120" s="61" t="s">
        <v>265</v>
      </c>
      <c r="F120" s="149">
        <v>86</v>
      </c>
      <c r="G120" s="61" t="s">
        <v>630</v>
      </c>
      <c r="H120" s="61" t="s">
        <v>644</v>
      </c>
      <c r="I120" s="61">
        <v>38.851241999999999</v>
      </c>
      <c r="J120" s="61">
        <v>-77.040232000000003</v>
      </c>
      <c r="K120" s="61">
        <v>8.800194329</v>
      </c>
      <c r="L120" s="61">
        <v>8.4060000000000006</v>
      </c>
      <c r="M120" s="61" t="s">
        <v>617</v>
      </c>
      <c r="N120" s="149">
        <v>42</v>
      </c>
      <c r="O120" s="149">
        <v>43</v>
      </c>
      <c r="P120" s="61" t="s">
        <v>565</v>
      </c>
      <c r="Q120" s="61" t="s">
        <v>555</v>
      </c>
      <c r="R120" s="61">
        <v>40.6895314</v>
      </c>
      <c r="S120" s="61">
        <v>-74.174462399999996</v>
      </c>
      <c r="T120" s="61">
        <v>344.01499999999999</v>
      </c>
      <c r="U120" s="61" t="s">
        <v>617</v>
      </c>
      <c r="V120" s="61" t="s">
        <v>617</v>
      </c>
      <c r="W120" s="61"/>
      <c r="Y120" s="137">
        <f>Summary_LCIA!H$32</f>
        <v>0.33979999999999999</v>
      </c>
      <c r="Z120" s="137">
        <f>Summary_LCIA!Q$32</f>
        <v>4.9560504329999997</v>
      </c>
      <c r="AA120" s="137">
        <f>Summary_LCIA!R$32</f>
        <v>5.2655999999999996E-3</v>
      </c>
      <c r="AB120" s="137">
        <f>Summary_LCIA!S$32</f>
        <v>0.33538000000000001</v>
      </c>
      <c r="AC120" s="137">
        <f>Summary_LCIA!T$32</f>
        <v>0.1099</v>
      </c>
      <c r="AD120" s="137">
        <f>Summary_LCIA!U$32</f>
        <v>1.7913999999999999E-2</v>
      </c>
      <c r="AE120" s="137">
        <f>Summary_LCIA!V$32</f>
        <v>4.7760999999999999E-5</v>
      </c>
      <c r="AF120" s="137">
        <f>Summary_LCIA!W$32</f>
        <v>7.6970999999999998E-2</v>
      </c>
      <c r="AG120" s="137">
        <f>Summary_LCIA!X$32</f>
        <v>2.2780000000000002E-2</v>
      </c>
      <c r="AH120" s="137">
        <f>Summary_LCIA!Y$32</f>
        <v>1.5582E-2</v>
      </c>
      <c r="AI120" s="137">
        <f>Summary_LCIA!Z$32</f>
        <v>4.1009E-5</v>
      </c>
      <c r="AJ120" s="137">
        <f>Summary_LCIA!AA$32</f>
        <v>2.3355999999999998E-2</v>
      </c>
      <c r="AK120" s="137">
        <f>Summary_LCIA!AB$32</f>
        <v>-2.1823000000000001E-5</v>
      </c>
      <c r="AL120" s="137">
        <f>Summary_LCIA!AC$32</f>
        <v>4.8884000000000003E-8</v>
      </c>
      <c r="AM120" s="137">
        <f>Summary_LCIA!AD$32</f>
        <v>4.1103999999999999E-4</v>
      </c>
      <c r="AN120" s="137">
        <f>Summary_LCIA!AE$32</f>
        <v>8.8612999999999995E-4</v>
      </c>
      <c r="AO120" s="137">
        <f>Summary_LCIA!AF$32</f>
        <v>8.4542000000000005E-4</v>
      </c>
      <c r="AP120" s="137">
        <f>Summary_LCIA!AG$32</f>
        <v>5.1165000000000002E-5</v>
      </c>
      <c r="AQ120" s="137">
        <f>Summary_LCIA!AH$32</f>
        <v>8.7036000000000006E-3</v>
      </c>
      <c r="AR120" s="137">
        <f>Summary_LCIA!AI$32</f>
        <v>9.3154999999999996E-4</v>
      </c>
      <c r="AT120" s="137">
        <f t="shared" si="22"/>
        <v>116.89629699999999</v>
      </c>
      <c r="AU120" s="137">
        <f t="shared" si="34"/>
        <v>1704.9556897084949</v>
      </c>
      <c r="AV120" s="137">
        <f t="shared" si="35"/>
        <v>1.8114453839999998</v>
      </c>
      <c r="AW120" s="137">
        <f t="shared" si="36"/>
        <v>115.3757507</v>
      </c>
      <c r="AX120" s="137">
        <f t="shared" si="37"/>
        <v>37.8072485</v>
      </c>
      <c r="AY120" s="137">
        <f t="shared" si="38"/>
        <v>6.1626847099999997</v>
      </c>
      <c r="AZ120" s="137">
        <f t="shared" si="39"/>
        <v>1.6430500415E-2</v>
      </c>
      <c r="BA120" s="137">
        <f t="shared" si="40"/>
        <v>26.479178564999998</v>
      </c>
      <c r="BB120" s="137">
        <f t="shared" si="41"/>
        <v>7.8366617000000005</v>
      </c>
      <c r="BC120" s="137">
        <f t="shared" si="23"/>
        <v>5.3604417299999998</v>
      </c>
      <c r="BD120" s="137">
        <f t="shared" si="24"/>
        <v>1.4107711134999999E-2</v>
      </c>
      <c r="BE120" s="137">
        <f t="shared" si="25"/>
        <v>8.0348143399999987</v>
      </c>
      <c r="BF120" s="137">
        <f t="shared" si="26"/>
        <v>-7.5074393450000002E-3</v>
      </c>
      <c r="BG120" s="137">
        <f t="shared" si="27"/>
        <v>1.6816829259999999E-5</v>
      </c>
      <c r="BH120" s="137">
        <f t="shared" si="28"/>
        <v>0.14140392559999998</v>
      </c>
      <c r="BI120" s="137">
        <f t="shared" si="29"/>
        <v>0.30484201194999999</v>
      </c>
      <c r="BJ120" s="137">
        <f t="shared" si="30"/>
        <v>0.29083716129999998</v>
      </c>
      <c r="BK120" s="137">
        <f t="shared" si="31"/>
        <v>1.7601527475E-2</v>
      </c>
      <c r="BL120" s="137">
        <f t="shared" si="32"/>
        <v>2.994168954</v>
      </c>
      <c r="BM120" s="137">
        <f t="shared" si="33"/>
        <v>0.32046717324999996</v>
      </c>
    </row>
    <row r="121" spans="1:65" x14ac:dyDescent="0.25">
      <c r="A121" s="149">
        <v>371</v>
      </c>
      <c r="B121" s="149">
        <v>43</v>
      </c>
      <c r="C121" s="61">
        <v>38.907192000000002</v>
      </c>
      <c r="D121" s="61">
        <v>-77.036871000000005</v>
      </c>
      <c r="E121" s="61" t="s">
        <v>265</v>
      </c>
      <c r="F121" s="149">
        <v>86</v>
      </c>
      <c r="G121" s="61" t="s">
        <v>630</v>
      </c>
      <c r="H121" s="61" t="s">
        <v>644</v>
      </c>
      <c r="I121" s="61">
        <v>38.851241999999999</v>
      </c>
      <c r="J121" s="61">
        <v>-77.040232000000003</v>
      </c>
      <c r="K121" s="61">
        <v>8.800194329</v>
      </c>
      <c r="L121" s="61">
        <v>8.4060000000000006</v>
      </c>
      <c r="M121" s="61" t="s">
        <v>617</v>
      </c>
      <c r="N121" s="149">
        <v>42</v>
      </c>
      <c r="O121" s="149">
        <v>43</v>
      </c>
      <c r="P121" s="61" t="s">
        <v>565</v>
      </c>
      <c r="Q121" s="61" t="s">
        <v>555</v>
      </c>
      <c r="R121" s="61">
        <v>40.6895314</v>
      </c>
      <c r="S121" s="61">
        <v>-74.174462399999996</v>
      </c>
      <c r="T121" s="61">
        <v>344.01499999999999</v>
      </c>
      <c r="U121" s="61" t="s">
        <v>617</v>
      </c>
      <c r="V121" s="61" t="s">
        <v>617</v>
      </c>
      <c r="W121" s="61"/>
      <c r="Y121" s="137">
        <f>Summary_LCIA!H$32</f>
        <v>0.33979999999999999</v>
      </c>
      <c r="Z121" s="137">
        <f>Summary_LCIA!Q$32</f>
        <v>4.9560504329999997</v>
      </c>
      <c r="AA121" s="137">
        <f>Summary_LCIA!R$32</f>
        <v>5.2655999999999996E-3</v>
      </c>
      <c r="AB121" s="137">
        <f>Summary_LCIA!S$32</f>
        <v>0.33538000000000001</v>
      </c>
      <c r="AC121" s="137">
        <f>Summary_LCIA!T$32</f>
        <v>0.1099</v>
      </c>
      <c r="AD121" s="137">
        <f>Summary_LCIA!U$32</f>
        <v>1.7913999999999999E-2</v>
      </c>
      <c r="AE121" s="137">
        <f>Summary_LCIA!V$32</f>
        <v>4.7760999999999999E-5</v>
      </c>
      <c r="AF121" s="137">
        <f>Summary_LCIA!W$32</f>
        <v>7.6970999999999998E-2</v>
      </c>
      <c r="AG121" s="137">
        <f>Summary_LCIA!X$32</f>
        <v>2.2780000000000002E-2</v>
      </c>
      <c r="AH121" s="137">
        <f>Summary_LCIA!Y$32</f>
        <v>1.5582E-2</v>
      </c>
      <c r="AI121" s="137">
        <f>Summary_LCIA!Z$32</f>
        <v>4.1009E-5</v>
      </c>
      <c r="AJ121" s="137">
        <f>Summary_LCIA!AA$32</f>
        <v>2.3355999999999998E-2</v>
      </c>
      <c r="AK121" s="137">
        <f>Summary_LCIA!AB$32</f>
        <v>-2.1823000000000001E-5</v>
      </c>
      <c r="AL121" s="137">
        <f>Summary_LCIA!AC$32</f>
        <v>4.8884000000000003E-8</v>
      </c>
      <c r="AM121" s="137">
        <f>Summary_LCIA!AD$32</f>
        <v>4.1103999999999999E-4</v>
      </c>
      <c r="AN121" s="137">
        <f>Summary_LCIA!AE$32</f>
        <v>8.8612999999999995E-4</v>
      </c>
      <c r="AO121" s="137">
        <f>Summary_LCIA!AF$32</f>
        <v>8.4542000000000005E-4</v>
      </c>
      <c r="AP121" s="137">
        <f>Summary_LCIA!AG$32</f>
        <v>5.1165000000000002E-5</v>
      </c>
      <c r="AQ121" s="137">
        <f>Summary_LCIA!AH$32</f>
        <v>8.7036000000000006E-3</v>
      </c>
      <c r="AR121" s="137">
        <f>Summary_LCIA!AI$32</f>
        <v>9.3154999999999996E-4</v>
      </c>
      <c r="AT121" s="137">
        <f t="shared" si="22"/>
        <v>116.89629699999999</v>
      </c>
      <c r="AU121" s="137">
        <f t="shared" si="34"/>
        <v>1704.9556897084949</v>
      </c>
      <c r="AV121" s="137">
        <f t="shared" si="35"/>
        <v>1.8114453839999998</v>
      </c>
      <c r="AW121" s="137">
        <f t="shared" si="36"/>
        <v>115.3757507</v>
      </c>
      <c r="AX121" s="137">
        <f t="shared" si="37"/>
        <v>37.8072485</v>
      </c>
      <c r="AY121" s="137">
        <f t="shared" si="38"/>
        <v>6.1626847099999997</v>
      </c>
      <c r="AZ121" s="137">
        <f t="shared" si="39"/>
        <v>1.6430500415E-2</v>
      </c>
      <c r="BA121" s="137">
        <f t="shared" si="40"/>
        <v>26.479178564999998</v>
      </c>
      <c r="BB121" s="137">
        <f t="shared" si="41"/>
        <v>7.8366617000000005</v>
      </c>
      <c r="BC121" s="137">
        <f t="shared" si="23"/>
        <v>5.3604417299999998</v>
      </c>
      <c r="BD121" s="137">
        <f t="shared" si="24"/>
        <v>1.4107711134999999E-2</v>
      </c>
      <c r="BE121" s="137">
        <f t="shared" si="25"/>
        <v>8.0348143399999987</v>
      </c>
      <c r="BF121" s="137">
        <f t="shared" si="26"/>
        <v>-7.5074393450000002E-3</v>
      </c>
      <c r="BG121" s="137">
        <f t="shared" si="27"/>
        <v>1.6816829259999999E-5</v>
      </c>
      <c r="BH121" s="137">
        <f t="shared" si="28"/>
        <v>0.14140392559999998</v>
      </c>
      <c r="BI121" s="137">
        <f t="shared" si="29"/>
        <v>0.30484201194999999</v>
      </c>
      <c r="BJ121" s="137">
        <f t="shared" si="30"/>
        <v>0.29083716129999998</v>
      </c>
      <c r="BK121" s="137">
        <f t="shared" si="31"/>
        <v>1.7601527475E-2</v>
      </c>
      <c r="BL121" s="137">
        <f t="shared" si="32"/>
        <v>2.994168954</v>
      </c>
      <c r="BM121" s="137">
        <f t="shared" si="33"/>
        <v>0.32046717324999996</v>
      </c>
    </row>
    <row r="122" spans="1:65" x14ac:dyDescent="0.25">
      <c r="A122" s="149">
        <v>372</v>
      </c>
      <c r="B122" s="149">
        <v>43</v>
      </c>
      <c r="C122" s="61">
        <v>38.907192000000002</v>
      </c>
      <c r="D122" s="61">
        <v>-77.036871000000005</v>
      </c>
      <c r="E122" s="61" t="s">
        <v>265</v>
      </c>
      <c r="F122" s="149">
        <v>86</v>
      </c>
      <c r="G122" s="61" t="s">
        <v>630</v>
      </c>
      <c r="H122" s="61" t="s">
        <v>644</v>
      </c>
      <c r="I122" s="61">
        <v>38.851241999999999</v>
      </c>
      <c r="J122" s="61">
        <v>-77.040232000000003</v>
      </c>
      <c r="K122" s="61">
        <v>8.800194329</v>
      </c>
      <c r="L122" s="61">
        <v>8.4060000000000006</v>
      </c>
      <c r="M122" s="61" t="s">
        <v>617</v>
      </c>
      <c r="N122" s="149">
        <v>42</v>
      </c>
      <c r="O122" s="149">
        <v>43</v>
      </c>
      <c r="P122" s="61" t="s">
        <v>565</v>
      </c>
      <c r="Q122" s="61" t="s">
        <v>555</v>
      </c>
      <c r="R122" s="61">
        <v>40.6895314</v>
      </c>
      <c r="S122" s="61">
        <v>-74.174462399999996</v>
      </c>
      <c r="T122" s="61">
        <v>344.01499999999999</v>
      </c>
      <c r="U122" s="61" t="s">
        <v>617</v>
      </c>
      <c r="V122" s="61" t="s">
        <v>617</v>
      </c>
      <c r="W122" s="61"/>
      <c r="Y122" s="137">
        <f>Summary_LCIA!H$32</f>
        <v>0.33979999999999999</v>
      </c>
      <c r="Z122" s="137">
        <f>Summary_LCIA!Q$32</f>
        <v>4.9560504329999997</v>
      </c>
      <c r="AA122" s="137">
        <f>Summary_LCIA!R$32</f>
        <v>5.2655999999999996E-3</v>
      </c>
      <c r="AB122" s="137">
        <f>Summary_LCIA!S$32</f>
        <v>0.33538000000000001</v>
      </c>
      <c r="AC122" s="137">
        <f>Summary_LCIA!T$32</f>
        <v>0.1099</v>
      </c>
      <c r="AD122" s="137">
        <f>Summary_LCIA!U$32</f>
        <v>1.7913999999999999E-2</v>
      </c>
      <c r="AE122" s="137">
        <f>Summary_LCIA!V$32</f>
        <v>4.7760999999999999E-5</v>
      </c>
      <c r="AF122" s="137">
        <f>Summary_LCIA!W$32</f>
        <v>7.6970999999999998E-2</v>
      </c>
      <c r="AG122" s="137">
        <f>Summary_LCIA!X$32</f>
        <v>2.2780000000000002E-2</v>
      </c>
      <c r="AH122" s="137">
        <f>Summary_LCIA!Y$32</f>
        <v>1.5582E-2</v>
      </c>
      <c r="AI122" s="137">
        <f>Summary_LCIA!Z$32</f>
        <v>4.1009E-5</v>
      </c>
      <c r="AJ122" s="137">
        <f>Summary_LCIA!AA$32</f>
        <v>2.3355999999999998E-2</v>
      </c>
      <c r="AK122" s="137">
        <f>Summary_LCIA!AB$32</f>
        <v>-2.1823000000000001E-5</v>
      </c>
      <c r="AL122" s="137">
        <f>Summary_LCIA!AC$32</f>
        <v>4.8884000000000003E-8</v>
      </c>
      <c r="AM122" s="137">
        <f>Summary_LCIA!AD$32</f>
        <v>4.1103999999999999E-4</v>
      </c>
      <c r="AN122" s="137">
        <f>Summary_LCIA!AE$32</f>
        <v>8.8612999999999995E-4</v>
      </c>
      <c r="AO122" s="137">
        <f>Summary_LCIA!AF$32</f>
        <v>8.4542000000000005E-4</v>
      </c>
      <c r="AP122" s="137">
        <f>Summary_LCIA!AG$32</f>
        <v>5.1165000000000002E-5</v>
      </c>
      <c r="AQ122" s="137">
        <f>Summary_LCIA!AH$32</f>
        <v>8.7036000000000006E-3</v>
      </c>
      <c r="AR122" s="137">
        <f>Summary_LCIA!AI$32</f>
        <v>9.3154999999999996E-4</v>
      </c>
      <c r="AT122" s="137">
        <f t="shared" si="22"/>
        <v>116.89629699999999</v>
      </c>
      <c r="AU122" s="137">
        <f t="shared" si="34"/>
        <v>1704.9556897084949</v>
      </c>
      <c r="AV122" s="137">
        <f t="shared" si="35"/>
        <v>1.8114453839999998</v>
      </c>
      <c r="AW122" s="137">
        <f t="shared" si="36"/>
        <v>115.3757507</v>
      </c>
      <c r="AX122" s="137">
        <f t="shared" si="37"/>
        <v>37.8072485</v>
      </c>
      <c r="AY122" s="137">
        <f t="shared" si="38"/>
        <v>6.1626847099999997</v>
      </c>
      <c r="AZ122" s="137">
        <f t="shared" si="39"/>
        <v>1.6430500415E-2</v>
      </c>
      <c r="BA122" s="137">
        <f t="shared" si="40"/>
        <v>26.479178564999998</v>
      </c>
      <c r="BB122" s="137">
        <f t="shared" si="41"/>
        <v>7.8366617000000005</v>
      </c>
      <c r="BC122" s="137">
        <f t="shared" si="23"/>
        <v>5.3604417299999998</v>
      </c>
      <c r="BD122" s="137">
        <f t="shared" si="24"/>
        <v>1.4107711134999999E-2</v>
      </c>
      <c r="BE122" s="137">
        <f t="shared" si="25"/>
        <v>8.0348143399999987</v>
      </c>
      <c r="BF122" s="137">
        <f t="shared" si="26"/>
        <v>-7.5074393450000002E-3</v>
      </c>
      <c r="BG122" s="137">
        <f t="shared" si="27"/>
        <v>1.6816829259999999E-5</v>
      </c>
      <c r="BH122" s="137">
        <f t="shared" si="28"/>
        <v>0.14140392559999998</v>
      </c>
      <c r="BI122" s="137">
        <f t="shared" si="29"/>
        <v>0.30484201194999999</v>
      </c>
      <c r="BJ122" s="137">
        <f t="shared" si="30"/>
        <v>0.29083716129999998</v>
      </c>
      <c r="BK122" s="137">
        <f t="shared" si="31"/>
        <v>1.7601527475E-2</v>
      </c>
      <c r="BL122" s="137">
        <f t="shared" si="32"/>
        <v>2.994168954</v>
      </c>
      <c r="BM122" s="137">
        <f t="shared" si="33"/>
        <v>0.32046717324999996</v>
      </c>
    </row>
    <row r="123" spans="1:65" x14ac:dyDescent="0.25">
      <c r="A123" s="149">
        <v>373</v>
      </c>
      <c r="B123" s="149">
        <v>43</v>
      </c>
      <c r="C123" s="61">
        <v>38.907192000000002</v>
      </c>
      <c r="D123" s="61">
        <v>-77.036871000000005</v>
      </c>
      <c r="E123" s="61" t="s">
        <v>265</v>
      </c>
      <c r="F123" s="149">
        <v>86</v>
      </c>
      <c r="G123" s="61" t="s">
        <v>630</v>
      </c>
      <c r="H123" s="61" t="s">
        <v>644</v>
      </c>
      <c r="I123" s="61">
        <v>38.851241999999999</v>
      </c>
      <c r="J123" s="61">
        <v>-77.040232000000003</v>
      </c>
      <c r="K123" s="61">
        <v>8.800194329</v>
      </c>
      <c r="L123" s="61">
        <v>8.4060000000000006</v>
      </c>
      <c r="M123" s="61" t="s">
        <v>617</v>
      </c>
      <c r="N123" s="149">
        <v>42</v>
      </c>
      <c r="O123" s="149">
        <v>43</v>
      </c>
      <c r="P123" s="61" t="s">
        <v>565</v>
      </c>
      <c r="Q123" s="61" t="s">
        <v>555</v>
      </c>
      <c r="R123" s="61">
        <v>40.6895314</v>
      </c>
      <c r="S123" s="61">
        <v>-74.174462399999996</v>
      </c>
      <c r="T123" s="61">
        <v>344.01499999999999</v>
      </c>
      <c r="U123" s="61" t="s">
        <v>617</v>
      </c>
      <c r="V123" s="61" t="s">
        <v>617</v>
      </c>
      <c r="W123" s="61"/>
      <c r="Y123" s="137">
        <f>Summary_LCIA!H$32</f>
        <v>0.33979999999999999</v>
      </c>
      <c r="Z123" s="137">
        <f>Summary_LCIA!Q$32</f>
        <v>4.9560504329999997</v>
      </c>
      <c r="AA123" s="137">
        <f>Summary_LCIA!R$32</f>
        <v>5.2655999999999996E-3</v>
      </c>
      <c r="AB123" s="137">
        <f>Summary_LCIA!S$32</f>
        <v>0.33538000000000001</v>
      </c>
      <c r="AC123" s="137">
        <f>Summary_LCIA!T$32</f>
        <v>0.1099</v>
      </c>
      <c r="AD123" s="137">
        <f>Summary_LCIA!U$32</f>
        <v>1.7913999999999999E-2</v>
      </c>
      <c r="AE123" s="137">
        <f>Summary_LCIA!V$32</f>
        <v>4.7760999999999999E-5</v>
      </c>
      <c r="AF123" s="137">
        <f>Summary_LCIA!W$32</f>
        <v>7.6970999999999998E-2</v>
      </c>
      <c r="AG123" s="137">
        <f>Summary_LCIA!X$32</f>
        <v>2.2780000000000002E-2</v>
      </c>
      <c r="AH123" s="137">
        <f>Summary_LCIA!Y$32</f>
        <v>1.5582E-2</v>
      </c>
      <c r="AI123" s="137">
        <f>Summary_LCIA!Z$32</f>
        <v>4.1009E-5</v>
      </c>
      <c r="AJ123" s="137">
        <f>Summary_LCIA!AA$32</f>
        <v>2.3355999999999998E-2</v>
      </c>
      <c r="AK123" s="137">
        <f>Summary_LCIA!AB$32</f>
        <v>-2.1823000000000001E-5</v>
      </c>
      <c r="AL123" s="137">
        <f>Summary_LCIA!AC$32</f>
        <v>4.8884000000000003E-8</v>
      </c>
      <c r="AM123" s="137">
        <f>Summary_LCIA!AD$32</f>
        <v>4.1103999999999999E-4</v>
      </c>
      <c r="AN123" s="137">
        <f>Summary_LCIA!AE$32</f>
        <v>8.8612999999999995E-4</v>
      </c>
      <c r="AO123" s="137">
        <f>Summary_LCIA!AF$32</f>
        <v>8.4542000000000005E-4</v>
      </c>
      <c r="AP123" s="137">
        <f>Summary_LCIA!AG$32</f>
        <v>5.1165000000000002E-5</v>
      </c>
      <c r="AQ123" s="137">
        <f>Summary_LCIA!AH$32</f>
        <v>8.7036000000000006E-3</v>
      </c>
      <c r="AR123" s="137">
        <f>Summary_LCIA!AI$32</f>
        <v>9.3154999999999996E-4</v>
      </c>
      <c r="AT123" s="137">
        <f t="shared" si="22"/>
        <v>116.89629699999999</v>
      </c>
      <c r="AU123" s="137">
        <f t="shared" si="34"/>
        <v>1704.9556897084949</v>
      </c>
      <c r="AV123" s="137">
        <f t="shared" si="35"/>
        <v>1.8114453839999998</v>
      </c>
      <c r="AW123" s="137">
        <f t="shared" si="36"/>
        <v>115.3757507</v>
      </c>
      <c r="AX123" s="137">
        <f t="shared" si="37"/>
        <v>37.8072485</v>
      </c>
      <c r="AY123" s="137">
        <f t="shared" si="38"/>
        <v>6.1626847099999997</v>
      </c>
      <c r="AZ123" s="137">
        <f t="shared" si="39"/>
        <v>1.6430500415E-2</v>
      </c>
      <c r="BA123" s="137">
        <f t="shared" si="40"/>
        <v>26.479178564999998</v>
      </c>
      <c r="BB123" s="137">
        <f t="shared" si="41"/>
        <v>7.8366617000000005</v>
      </c>
      <c r="BC123" s="137">
        <f t="shared" si="23"/>
        <v>5.3604417299999998</v>
      </c>
      <c r="BD123" s="137">
        <f t="shared" si="24"/>
        <v>1.4107711134999999E-2</v>
      </c>
      <c r="BE123" s="137">
        <f t="shared" si="25"/>
        <v>8.0348143399999987</v>
      </c>
      <c r="BF123" s="137">
        <f t="shared" si="26"/>
        <v>-7.5074393450000002E-3</v>
      </c>
      <c r="BG123" s="137">
        <f t="shared" si="27"/>
        <v>1.6816829259999999E-5</v>
      </c>
      <c r="BH123" s="137">
        <f t="shared" si="28"/>
        <v>0.14140392559999998</v>
      </c>
      <c r="BI123" s="137">
        <f t="shared" si="29"/>
        <v>0.30484201194999999</v>
      </c>
      <c r="BJ123" s="137">
        <f t="shared" si="30"/>
        <v>0.29083716129999998</v>
      </c>
      <c r="BK123" s="137">
        <f t="shared" si="31"/>
        <v>1.7601527475E-2</v>
      </c>
      <c r="BL123" s="137">
        <f t="shared" si="32"/>
        <v>2.994168954</v>
      </c>
      <c r="BM123" s="137">
        <f t="shared" si="33"/>
        <v>0.32046717324999996</v>
      </c>
    </row>
    <row r="124" spans="1:65" x14ac:dyDescent="0.25">
      <c r="A124" s="149">
        <v>374</v>
      </c>
      <c r="B124" s="149">
        <v>43</v>
      </c>
      <c r="C124" s="61">
        <v>38.907192000000002</v>
      </c>
      <c r="D124" s="61">
        <v>-77.036871000000005</v>
      </c>
      <c r="E124" s="61" t="s">
        <v>265</v>
      </c>
      <c r="F124" s="149">
        <v>86</v>
      </c>
      <c r="G124" s="61" t="s">
        <v>630</v>
      </c>
      <c r="H124" s="61" t="s">
        <v>644</v>
      </c>
      <c r="I124" s="61">
        <v>38.851241999999999</v>
      </c>
      <c r="J124" s="61">
        <v>-77.040232000000003</v>
      </c>
      <c r="K124" s="61">
        <v>8.800194329</v>
      </c>
      <c r="L124" s="61">
        <v>8.4060000000000006</v>
      </c>
      <c r="M124" s="61" t="s">
        <v>617</v>
      </c>
      <c r="N124" s="149">
        <v>42</v>
      </c>
      <c r="O124" s="149">
        <v>43</v>
      </c>
      <c r="P124" s="61" t="s">
        <v>565</v>
      </c>
      <c r="Q124" s="61" t="s">
        <v>555</v>
      </c>
      <c r="R124" s="61">
        <v>40.6895314</v>
      </c>
      <c r="S124" s="61">
        <v>-74.174462399999996</v>
      </c>
      <c r="T124" s="61">
        <v>344.01499999999999</v>
      </c>
      <c r="U124" s="61" t="s">
        <v>617</v>
      </c>
      <c r="V124" s="61" t="s">
        <v>617</v>
      </c>
      <c r="W124" s="61"/>
      <c r="Y124" s="137">
        <f>Summary_LCIA!H$32</f>
        <v>0.33979999999999999</v>
      </c>
      <c r="Z124" s="137">
        <f>Summary_LCIA!Q$32</f>
        <v>4.9560504329999997</v>
      </c>
      <c r="AA124" s="137">
        <f>Summary_LCIA!R$32</f>
        <v>5.2655999999999996E-3</v>
      </c>
      <c r="AB124" s="137">
        <f>Summary_LCIA!S$32</f>
        <v>0.33538000000000001</v>
      </c>
      <c r="AC124" s="137">
        <f>Summary_LCIA!T$32</f>
        <v>0.1099</v>
      </c>
      <c r="AD124" s="137">
        <f>Summary_LCIA!U$32</f>
        <v>1.7913999999999999E-2</v>
      </c>
      <c r="AE124" s="137">
        <f>Summary_LCIA!V$32</f>
        <v>4.7760999999999999E-5</v>
      </c>
      <c r="AF124" s="137">
        <f>Summary_LCIA!W$32</f>
        <v>7.6970999999999998E-2</v>
      </c>
      <c r="AG124" s="137">
        <f>Summary_LCIA!X$32</f>
        <v>2.2780000000000002E-2</v>
      </c>
      <c r="AH124" s="137">
        <f>Summary_LCIA!Y$32</f>
        <v>1.5582E-2</v>
      </c>
      <c r="AI124" s="137">
        <f>Summary_LCIA!Z$32</f>
        <v>4.1009E-5</v>
      </c>
      <c r="AJ124" s="137">
        <f>Summary_LCIA!AA$32</f>
        <v>2.3355999999999998E-2</v>
      </c>
      <c r="AK124" s="137">
        <f>Summary_LCIA!AB$32</f>
        <v>-2.1823000000000001E-5</v>
      </c>
      <c r="AL124" s="137">
        <f>Summary_LCIA!AC$32</f>
        <v>4.8884000000000003E-8</v>
      </c>
      <c r="AM124" s="137">
        <f>Summary_LCIA!AD$32</f>
        <v>4.1103999999999999E-4</v>
      </c>
      <c r="AN124" s="137">
        <f>Summary_LCIA!AE$32</f>
        <v>8.8612999999999995E-4</v>
      </c>
      <c r="AO124" s="137">
        <f>Summary_LCIA!AF$32</f>
        <v>8.4542000000000005E-4</v>
      </c>
      <c r="AP124" s="137">
        <f>Summary_LCIA!AG$32</f>
        <v>5.1165000000000002E-5</v>
      </c>
      <c r="AQ124" s="137">
        <f>Summary_LCIA!AH$32</f>
        <v>8.7036000000000006E-3</v>
      </c>
      <c r="AR124" s="137">
        <f>Summary_LCIA!AI$32</f>
        <v>9.3154999999999996E-4</v>
      </c>
      <c r="AT124" s="137">
        <f t="shared" si="22"/>
        <v>116.89629699999999</v>
      </c>
      <c r="AU124" s="137">
        <f t="shared" si="34"/>
        <v>1704.9556897084949</v>
      </c>
      <c r="AV124" s="137">
        <f t="shared" si="35"/>
        <v>1.8114453839999998</v>
      </c>
      <c r="AW124" s="137">
        <f t="shared" si="36"/>
        <v>115.3757507</v>
      </c>
      <c r="AX124" s="137">
        <f t="shared" si="37"/>
        <v>37.8072485</v>
      </c>
      <c r="AY124" s="137">
        <f t="shared" si="38"/>
        <v>6.1626847099999997</v>
      </c>
      <c r="AZ124" s="137">
        <f t="shared" si="39"/>
        <v>1.6430500415E-2</v>
      </c>
      <c r="BA124" s="137">
        <f t="shared" si="40"/>
        <v>26.479178564999998</v>
      </c>
      <c r="BB124" s="137">
        <f t="shared" si="41"/>
        <v>7.8366617000000005</v>
      </c>
      <c r="BC124" s="137">
        <f t="shared" si="23"/>
        <v>5.3604417299999998</v>
      </c>
      <c r="BD124" s="137">
        <f t="shared" si="24"/>
        <v>1.4107711134999999E-2</v>
      </c>
      <c r="BE124" s="137">
        <f t="shared" si="25"/>
        <v>8.0348143399999987</v>
      </c>
      <c r="BF124" s="137">
        <f t="shared" si="26"/>
        <v>-7.5074393450000002E-3</v>
      </c>
      <c r="BG124" s="137">
        <f t="shared" si="27"/>
        <v>1.6816829259999999E-5</v>
      </c>
      <c r="BH124" s="137">
        <f t="shared" si="28"/>
        <v>0.14140392559999998</v>
      </c>
      <c r="BI124" s="137">
        <f t="shared" si="29"/>
        <v>0.30484201194999999</v>
      </c>
      <c r="BJ124" s="137">
        <f t="shared" si="30"/>
        <v>0.29083716129999998</v>
      </c>
      <c r="BK124" s="137">
        <f t="shared" si="31"/>
        <v>1.7601527475E-2</v>
      </c>
      <c r="BL124" s="137">
        <f t="shared" si="32"/>
        <v>2.994168954</v>
      </c>
      <c r="BM124" s="137">
        <f t="shared" si="33"/>
        <v>0.32046717324999996</v>
      </c>
    </row>
    <row r="125" spans="1:65" x14ac:dyDescent="0.25">
      <c r="A125" s="149">
        <v>375</v>
      </c>
      <c r="B125" s="149">
        <v>43</v>
      </c>
      <c r="C125" s="61">
        <v>38.907192000000002</v>
      </c>
      <c r="D125" s="61">
        <v>-77.036871000000005</v>
      </c>
      <c r="E125" s="61" t="s">
        <v>265</v>
      </c>
      <c r="F125" s="149">
        <v>86</v>
      </c>
      <c r="G125" s="61" t="s">
        <v>630</v>
      </c>
      <c r="H125" s="61" t="s">
        <v>644</v>
      </c>
      <c r="I125" s="61">
        <v>38.851241999999999</v>
      </c>
      <c r="J125" s="61">
        <v>-77.040232000000003</v>
      </c>
      <c r="K125" s="61">
        <v>8.800194329</v>
      </c>
      <c r="L125" s="61">
        <v>8.4060000000000006</v>
      </c>
      <c r="M125" s="61" t="s">
        <v>617</v>
      </c>
      <c r="N125" s="149">
        <v>42</v>
      </c>
      <c r="O125" s="149">
        <v>43</v>
      </c>
      <c r="P125" s="61" t="s">
        <v>565</v>
      </c>
      <c r="Q125" s="61" t="s">
        <v>555</v>
      </c>
      <c r="R125" s="61">
        <v>40.6895314</v>
      </c>
      <c r="S125" s="61">
        <v>-74.174462399999996</v>
      </c>
      <c r="T125" s="61">
        <v>344.01499999999999</v>
      </c>
      <c r="U125" s="61" t="s">
        <v>617</v>
      </c>
      <c r="V125" s="61" t="s">
        <v>617</v>
      </c>
      <c r="W125" s="61"/>
      <c r="Y125" s="137">
        <f>Summary_LCIA!H$32</f>
        <v>0.33979999999999999</v>
      </c>
      <c r="Z125" s="137">
        <f>Summary_LCIA!Q$32</f>
        <v>4.9560504329999997</v>
      </c>
      <c r="AA125" s="137">
        <f>Summary_LCIA!R$32</f>
        <v>5.2655999999999996E-3</v>
      </c>
      <c r="AB125" s="137">
        <f>Summary_LCIA!S$32</f>
        <v>0.33538000000000001</v>
      </c>
      <c r="AC125" s="137">
        <f>Summary_LCIA!T$32</f>
        <v>0.1099</v>
      </c>
      <c r="AD125" s="137">
        <f>Summary_LCIA!U$32</f>
        <v>1.7913999999999999E-2</v>
      </c>
      <c r="AE125" s="137">
        <f>Summary_LCIA!V$32</f>
        <v>4.7760999999999999E-5</v>
      </c>
      <c r="AF125" s="137">
        <f>Summary_LCIA!W$32</f>
        <v>7.6970999999999998E-2</v>
      </c>
      <c r="AG125" s="137">
        <f>Summary_LCIA!X$32</f>
        <v>2.2780000000000002E-2</v>
      </c>
      <c r="AH125" s="137">
        <f>Summary_LCIA!Y$32</f>
        <v>1.5582E-2</v>
      </c>
      <c r="AI125" s="137">
        <f>Summary_LCIA!Z$32</f>
        <v>4.1009E-5</v>
      </c>
      <c r="AJ125" s="137">
        <f>Summary_LCIA!AA$32</f>
        <v>2.3355999999999998E-2</v>
      </c>
      <c r="AK125" s="137">
        <f>Summary_LCIA!AB$32</f>
        <v>-2.1823000000000001E-5</v>
      </c>
      <c r="AL125" s="137">
        <f>Summary_LCIA!AC$32</f>
        <v>4.8884000000000003E-8</v>
      </c>
      <c r="AM125" s="137">
        <f>Summary_LCIA!AD$32</f>
        <v>4.1103999999999999E-4</v>
      </c>
      <c r="AN125" s="137">
        <f>Summary_LCIA!AE$32</f>
        <v>8.8612999999999995E-4</v>
      </c>
      <c r="AO125" s="137">
        <f>Summary_LCIA!AF$32</f>
        <v>8.4542000000000005E-4</v>
      </c>
      <c r="AP125" s="137">
        <f>Summary_LCIA!AG$32</f>
        <v>5.1165000000000002E-5</v>
      </c>
      <c r="AQ125" s="137">
        <f>Summary_LCIA!AH$32</f>
        <v>8.7036000000000006E-3</v>
      </c>
      <c r="AR125" s="137">
        <f>Summary_LCIA!AI$32</f>
        <v>9.3154999999999996E-4</v>
      </c>
      <c r="AT125" s="137">
        <f t="shared" si="22"/>
        <v>116.89629699999999</v>
      </c>
      <c r="AU125" s="137">
        <f t="shared" si="34"/>
        <v>1704.9556897084949</v>
      </c>
      <c r="AV125" s="137">
        <f t="shared" si="35"/>
        <v>1.8114453839999998</v>
      </c>
      <c r="AW125" s="137">
        <f t="shared" si="36"/>
        <v>115.3757507</v>
      </c>
      <c r="AX125" s="137">
        <f t="shared" si="37"/>
        <v>37.8072485</v>
      </c>
      <c r="AY125" s="137">
        <f t="shared" si="38"/>
        <v>6.1626847099999997</v>
      </c>
      <c r="AZ125" s="137">
        <f t="shared" si="39"/>
        <v>1.6430500415E-2</v>
      </c>
      <c r="BA125" s="137">
        <f t="shared" si="40"/>
        <v>26.479178564999998</v>
      </c>
      <c r="BB125" s="137">
        <f t="shared" si="41"/>
        <v>7.8366617000000005</v>
      </c>
      <c r="BC125" s="137">
        <f t="shared" si="23"/>
        <v>5.3604417299999998</v>
      </c>
      <c r="BD125" s="137">
        <f t="shared" si="24"/>
        <v>1.4107711134999999E-2</v>
      </c>
      <c r="BE125" s="137">
        <f t="shared" si="25"/>
        <v>8.0348143399999987</v>
      </c>
      <c r="BF125" s="137">
        <f t="shared" si="26"/>
        <v>-7.5074393450000002E-3</v>
      </c>
      <c r="BG125" s="137">
        <f t="shared" si="27"/>
        <v>1.6816829259999999E-5</v>
      </c>
      <c r="BH125" s="137">
        <f t="shared" si="28"/>
        <v>0.14140392559999998</v>
      </c>
      <c r="BI125" s="137">
        <f t="shared" si="29"/>
        <v>0.30484201194999999</v>
      </c>
      <c r="BJ125" s="137">
        <f t="shared" si="30"/>
        <v>0.29083716129999998</v>
      </c>
      <c r="BK125" s="137">
        <f t="shared" si="31"/>
        <v>1.7601527475E-2</v>
      </c>
      <c r="BL125" s="137">
        <f t="shared" si="32"/>
        <v>2.994168954</v>
      </c>
      <c r="BM125" s="137">
        <f t="shared" si="33"/>
        <v>0.32046717324999996</v>
      </c>
    </row>
    <row r="126" spans="1:65" x14ac:dyDescent="0.25">
      <c r="A126" s="149">
        <v>46</v>
      </c>
      <c r="B126" s="149">
        <v>43</v>
      </c>
      <c r="C126" s="61">
        <v>38.90813</v>
      </c>
      <c r="D126" s="61">
        <v>-77.040278999999998</v>
      </c>
      <c r="E126" s="61" t="s">
        <v>265</v>
      </c>
      <c r="F126" s="149">
        <v>86</v>
      </c>
      <c r="G126" s="61" t="s">
        <v>630</v>
      </c>
      <c r="H126" s="61" t="s">
        <v>644</v>
      </c>
      <c r="I126" s="61">
        <v>38.851241999999999</v>
      </c>
      <c r="J126" s="61">
        <v>-77.040232000000003</v>
      </c>
      <c r="K126" s="61">
        <v>8.9128861770000007</v>
      </c>
      <c r="L126" s="61">
        <v>8.7949999999999999</v>
      </c>
      <c r="M126" s="61" t="s">
        <v>617</v>
      </c>
      <c r="N126" s="149">
        <v>42</v>
      </c>
      <c r="O126" s="149">
        <v>43</v>
      </c>
      <c r="P126" s="61" t="s">
        <v>565</v>
      </c>
      <c r="Q126" s="61" t="s">
        <v>555</v>
      </c>
      <c r="R126" s="61">
        <v>40.6895314</v>
      </c>
      <c r="S126" s="61">
        <v>-74.174462399999996</v>
      </c>
      <c r="T126" s="61">
        <v>344.404</v>
      </c>
      <c r="U126" s="61" t="s">
        <v>617</v>
      </c>
      <c r="V126" s="61" t="s">
        <v>617</v>
      </c>
      <c r="W126" s="61"/>
      <c r="Y126" s="137">
        <f>Summary_LCIA!H$32</f>
        <v>0.33979999999999999</v>
      </c>
      <c r="Z126" s="137">
        <f>Summary_LCIA!Q$32</f>
        <v>4.9560504329999997</v>
      </c>
      <c r="AA126" s="137">
        <f>Summary_LCIA!R$32</f>
        <v>5.2655999999999996E-3</v>
      </c>
      <c r="AB126" s="137">
        <f>Summary_LCIA!S$32</f>
        <v>0.33538000000000001</v>
      </c>
      <c r="AC126" s="137">
        <f>Summary_LCIA!T$32</f>
        <v>0.1099</v>
      </c>
      <c r="AD126" s="137">
        <f>Summary_LCIA!U$32</f>
        <v>1.7913999999999999E-2</v>
      </c>
      <c r="AE126" s="137">
        <f>Summary_LCIA!V$32</f>
        <v>4.7760999999999999E-5</v>
      </c>
      <c r="AF126" s="137">
        <f>Summary_LCIA!W$32</f>
        <v>7.6970999999999998E-2</v>
      </c>
      <c r="AG126" s="137">
        <f>Summary_LCIA!X$32</f>
        <v>2.2780000000000002E-2</v>
      </c>
      <c r="AH126" s="137">
        <f>Summary_LCIA!Y$32</f>
        <v>1.5582E-2</v>
      </c>
      <c r="AI126" s="137">
        <f>Summary_LCIA!Z$32</f>
        <v>4.1009E-5</v>
      </c>
      <c r="AJ126" s="137">
        <f>Summary_LCIA!AA$32</f>
        <v>2.3355999999999998E-2</v>
      </c>
      <c r="AK126" s="137">
        <f>Summary_LCIA!AB$32</f>
        <v>-2.1823000000000001E-5</v>
      </c>
      <c r="AL126" s="137">
        <f>Summary_LCIA!AC$32</f>
        <v>4.8884000000000003E-8</v>
      </c>
      <c r="AM126" s="137">
        <f>Summary_LCIA!AD$32</f>
        <v>4.1103999999999999E-4</v>
      </c>
      <c r="AN126" s="137">
        <f>Summary_LCIA!AE$32</f>
        <v>8.8612999999999995E-4</v>
      </c>
      <c r="AO126" s="137">
        <f>Summary_LCIA!AF$32</f>
        <v>8.4542000000000005E-4</v>
      </c>
      <c r="AP126" s="137">
        <f>Summary_LCIA!AG$32</f>
        <v>5.1165000000000002E-5</v>
      </c>
      <c r="AQ126" s="137">
        <f>Summary_LCIA!AH$32</f>
        <v>8.7036000000000006E-3</v>
      </c>
      <c r="AR126" s="137">
        <f>Summary_LCIA!AI$32</f>
        <v>9.3154999999999996E-4</v>
      </c>
      <c r="AT126" s="137">
        <f t="shared" si="22"/>
        <v>117.02847919999999</v>
      </c>
      <c r="AU126" s="137">
        <f t="shared" si="34"/>
        <v>1706.883593326932</v>
      </c>
      <c r="AV126" s="137">
        <f t="shared" si="35"/>
        <v>1.8134937023999997</v>
      </c>
      <c r="AW126" s="137">
        <f t="shared" si="36"/>
        <v>115.50621352</v>
      </c>
      <c r="AX126" s="137">
        <f t="shared" si="37"/>
        <v>37.849999599999997</v>
      </c>
      <c r="AY126" s="137">
        <f t="shared" si="38"/>
        <v>6.1696532560000001</v>
      </c>
      <c r="AZ126" s="137">
        <f t="shared" si="39"/>
        <v>1.6449079443999998E-2</v>
      </c>
      <c r="BA126" s="137">
        <f t="shared" si="40"/>
        <v>26.509120283999998</v>
      </c>
      <c r="BB126" s="137">
        <f t="shared" si="41"/>
        <v>7.8455231200000002</v>
      </c>
      <c r="BC126" s="137">
        <f t="shared" si="23"/>
        <v>5.3665031279999997</v>
      </c>
      <c r="BD126" s="137">
        <f t="shared" si="24"/>
        <v>1.4123663635999999E-2</v>
      </c>
      <c r="BE126" s="137">
        <f t="shared" si="25"/>
        <v>8.0438998239999986</v>
      </c>
      <c r="BF126" s="137">
        <f t="shared" si="26"/>
        <v>-7.5159284920000005E-3</v>
      </c>
      <c r="BG126" s="137">
        <f t="shared" si="27"/>
        <v>1.6835845136000002E-5</v>
      </c>
      <c r="BH126" s="137">
        <f t="shared" si="28"/>
        <v>0.14156382015999999</v>
      </c>
      <c r="BI126" s="137">
        <f t="shared" si="29"/>
        <v>0.30518671651999996</v>
      </c>
      <c r="BJ126" s="137">
        <f t="shared" si="30"/>
        <v>0.29116602967999999</v>
      </c>
      <c r="BK126" s="137">
        <f t="shared" si="31"/>
        <v>1.762143066E-2</v>
      </c>
      <c r="BL126" s="137">
        <f t="shared" si="32"/>
        <v>2.9975546544</v>
      </c>
      <c r="BM126" s="137">
        <f t="shared" si="33"/>
        <v>0.32082954619999998</v>
      </c>
    </row>
    <row r="127" spans="1:65" x14ac:dyDescent="0.25">
      <c r="A127" s="149">
        <v>119</v>
      </c>
      <c r="B127" s="149">
        <v>43</v>
      </c>
      <c r="C127" s="61">
        <v>38.883254999999998</v>
      </c>
      <c r="D127" s="61">
        <v>-77.025096000000005</v>
      </c>
      <c r="E127" s="61" t="s">
        <v>265</v>
      </c>
      <c r="F127" s="149">
        <v>86</v>
      </c>
      <c r="G127" s="61" t="s">
        <v>630</v>
      </c>
      <c r="H127" s="61" t="s">
        <v>644</v>
      </c>
      <c r="I127" s="61">
        <v>38.851241999999999</v>
      </c>
      <c r="J127" s="61">
        <v>-77.040232000000003</v>
      </c>
      <c r="K127" s="61">
        <v>5.3130254810000004</v>
      </c>
      <c r="L127" s="61">
        <v>7.0659999999999998</v>
      </c>
      <c r="M127" s="61" t="s">
        <v>617</v>
      </c>
      <c r="N127" s="149">
        <v>42</v>
      </c>
      <c r="O127" s="149">
        <v>43</v>
      </c>
      <c r="P127" s="61" t="s">
        <v>565</v>
      </c>
      <c r="Q127" s="61" t="s">
        <v>555</v>
      </c>
      <c r="R127" s="61">
        <v>40.6895314</v>
      </c>
      <c r="S127" s="61">
        <v>-74.174462399999996</v>
      </c>
      <c r="T127" s="61">
        <v>347.41399999999999</v>
      </c>
      <c r="U127" s="61" t="s">
        <v>617</v>
      </c>
      <c r="V127" s="61" t="s">
        <v>617</v>
      </c>
      <c r="W127" s="61"/>
      <c r="Y127" s="137">
        <f>Summary_LCIA!H$32</f>
        <v>0.33979999999999999</v>
      </c>
      <c r="Z127" s="137">
        <f>Summary_LCIA!Q$32</f>
        <v>4.9560504329999997</v>
      </c>
      <c r="AA127" s="137">
        <f>Summary_LCIA!R$32</f>
        <v>5.2655999999999996E-3</v>
      </c>
      <c r="AB127" s="137">
        <f>Summary_LCIA!S$32</f>
        <v>0.33538000000000001</v>
      </c>
      <c r="AC127" s="137">
        <f>Summary_LCIA!T$32</f>
        <v>0.1099</v>
      </c>
      <c r="AD127" s="137">
        <f>Summary_LCIA!U$32</f>
        <v>1.7913999999999999E-2</v>
      </c>
      <c r="AE127" s="137">
        <f>Summary_LCIA!V$32</f>
        <v>4.7760999999999999E-5</v>
      </c>
      <c r="AF127" s="137">
        <f>Summary_LCIA!W$32</f>
        <v>7.6970999999999998E-2</v>
      </c>
      <c r="AG127" s="137">
        <f>Summary_LCIA!X$32</f>
        <v>2.2780000000000002E-2</v>
      </c>
      <c r="AH127" s="137">
        <f>Summary_LCIA!Y$32</f>
        <v>1.5582E-2</v>
      </c>
      <c r="AI127" s="137">
        <f>Summary_LCIA!Z$32</f>
        <v>4.1009E-5</v>
      </c>
      <c r="AJ127" s="137">
        <f>Summary_LCIA!AA$32</f>
        <v>2.3355999999999998E-2</v>
      </c>
      <c r="AK127" s="137">
        <f>Summary_LCIA!AB$32</f>
        <v>-2.1823000000000001E-5</v>
      </c>
      <c r="AL127" s="137">
        <f>Summary_LCIA!AC$32</f>
        <v>4.8884000000000003E-8</v>
      </c>
      <c r="AM127" s="137">
        <f>Summary_LCIA!AD$32</f>
        <v>4.1103999999999999E-4</v>
      </c>
      <c r="AN127" s="137">
        <f>Summary_LCIA!AE$32</f>
        <v>8.8612999999999995E-4</v>
      </c>
      <c r="AO127" s="137">
        <f>Summary_LCIA!AF$32</f>
        <v>8.4542000000000005E-4</v>
      </c>
      <c r="AP127" s="137">
        <f>Summary_LCIA!AG$32</f>
        <v>5.1165000000000002E-5</v>
      </c>
      <c r="AQ127" s="137">
        <f>Summary_LCIA!AH$32</f>
        <v>8.7036000000000006E-3</v>
      </c>
      <c r="AR127" s="137">
        <f>Summary_LCIA!AI$32</f>
        <v>9.3154999999999996E-4</v>
      </c>
      <c r="AT127" s="137">
        <f t="shared" si="22"/>
        <v>118.05127719999999</v>
      </c>
      <c r="AU127" s="137">
        <f t="shared" si="34"/>
        <v>1721.8013051302619</v>
      </c>
      <c r="AV127" s="137">
        <f t="shared" si="35"/>
        <v>1.8293431583999997</v>
      </c>
      <c r="AW127" s="137">
        <f t="shared" si="36"/>
        <v>116.51570732</v>
      </c>
      <c r="AX127" s="137">
        <f t="shared" si="37"/>
        <v>38.180798599999996</v>
      </c>
      <c r="AY127" s="137">
        <f t="shared" si="38"/>
        <v>6.2235743959999992</v>
      </c>
      <c r="AZ127" s="137">
        <f t="shared" si="39"/>
        <v>1.6592840054E-2</v>
      </c>
      <c r="BA127" s="137">
        <f t="shared" si="40"/>
        <v>26.740802993999999</v>
      </c>
      <c r="BB127" s="137">
        <f t="shared" si="41"/>
        <v>7.9140909200000005</v>
      </c>
      <c r="BC127" s="137">
        <f t="shared" si="23"/>
        <v>5.4134049480000002</v>
      </c>
      <c r="BD127" s="137">
        <f t="shared" si="24"/>
        <v>1.4247100726E-2</v>
      </c>
      <c r="BE127" s="137">
        <f t="shared" si="25"/>
        <v>8.1142013839999994</v>
      </c>
      <c r="BF127" s="137">
        <f t="shared" si="26"/>
        <v>-7.5816157220000005E-3</v>
      </c>
      <c r="BG127" s="137">
        <f t="shared" si="27"/>
        <v>1.6982985976000001E-5</v>
      </c>
      <c r="BH127" s="137">
        <f t="shared" si="28"/>
        <v>0.14280105056</v>
      </c>
      <c r="BI127" s="137">
        <f t="shared" si="29"/>
        <v>0.30785396781999996</v>
      </c>
      <c r="BJ127" s="137">
        <f t="shared" si="30"/>
        <v>0.29371074388000001</v>
      </c>
      <c r="BK127" s="137">
        <f t="shared" si="31"/>
        <v>1.7775437309999999E-2</v>
      </c>
      <c r="BL127" s="137">
        <f t="shared" si="32"/>
        <v>3.0237524904000002</v>
      </c>
      <c r="BM127" s="137">
        <f t="shared" si="33"/>
        <v>0.32363351169999999</v>
      </c>
    </row>
    <row r="128" spans="1:65" x14ac:dyDescent="0.25">
      <c r="A128" s="149">
        <v>120</v>
      </c>
      <c r="B128" s="149">
        <v>43</v>
      </c>
      <c r="C128" s="61">
        <v>38.883254999999998</v>
      </c>
      <c r="D128" s="61">
        <v>-77.025096000000005</v>
      </c>
      <c r="E128" s="61" t="s">
        <v>265</v>
      </c>
      <c r="F128" s="149">
        <v>86</v>
      </c>
      <c r="G128" s="61" t="s">
        <v>630</v>
      </c>
      <c r="H128" s="61" t="s">
        <v>644</v>
      </c>
      <c r="I128" s="61">
        <v>38.851241999999999</v>
      </c>
      <c r="J128" s="61">
        <v>-77.040232000000003</v>
      </c>
      <c r="K128" s="61">
        <v>5.3130254810000004</v>
      </c>
      <c r="L128" s="61">
        <v>7.0659999999999998</v>
      </c>
      <c r="M128" s="61" t="s">
        <v>617</v>
      </c>
      <c r="N128" s="149">
        <v>42</v>
      </c>
      <c r="O128" s="149">
        <v>43</v>
      </c>
      <c r="P128" s="61" t="s">
        <v>565</v>
      </c>
      <c r="Q128" s="61" t="s">
        <v>555</v>
      </c>
      <c r="R128" s="61">
        <v>40.6895314</v>
      </c>
      <c r="S128" s="61">
        <v>-74.174462399999996</v>
      </c>
      <c r="T128" s="61">
        <v>347.41399999999999</v>
      </c>
      <c r="U128" s="61" t="s">
        <v>617</v>
      </c>
      <c r="V128" s="61" t="s">
        <v>617</v>
      </c>
      <c r="W128" s="61"/>
      <c r="Y128" s="137">
        <f>Summary_LCIA!H$32</f>
        <v>0.33979999999999999</v>
      </c>
      <c r="Z128" s="137">
        <f>Summary_LCIA!Q$32</f>
        <v>4.9560504329999997</v>
      </c>
      <c r="AA128" s="137">
        <f>Summary_LCIA!R$32</f>
        <v>5.2655999999999996E-3</v>
      </c>
      <c r="AB128" s="137">
        <f>Summary_LCIA!S$32</f>
        <v>0.33538000000000001</v>
      </c>
      <c r="AC128" s="137">
        <f>Summary_LCIA!T$32</f>
        <v>0.1099</v>
      </c>
      <c r="AD128" s="137">
        <f>Summary_LCIA!U$32</f>
        <v>1.7913999999999999E-2</v>
      </c>
      <c r="AE128" s="137">
        <f>Summary_LCIA!V$32</f>
        <v>4.7760999999999999E-5</v>
      </c>
      <c r="AF128" s="137">
        <f>Summary_LCIA!W$32</f>
        <v>7.6970999999999998E-2</v>
      </c>
      <c r="AG128" s="137">
        <f>Summary_LCIA!X$32</f>
        <v>2.2780000000000002E-2</v>
      </c>
      <c r="AH128" s="137">
        <f>Summary_LCIA!Y$32</f>
        <v>1.5582E-2</v>
      </c>
      <c r="AI128" s="137">
        <f>Summary_LCIA!Z$32</f>
        <v>4.1009E-5</v>
      </c>
      <c r="AJ128" s="137">
        <f>Summary_LCIA!AA$32</f>
        <v>2.3355999999999998E-2</v>
      </c>
      <c r="AK128" s="137">
        <f>Summary_LCIA!AB$32</f>
        <v>-2.1823000000000001E-5</v>
      </c>
      <c r="AL128" s="137">
        <f>Summary_LCIA!AC$32</f>
        <v>4.8884000000000003E-8</v>
      </c>
      <c r="AM128" s="137">
        <f>Summary_LCIA!AD$32</f>
        <v>4.1103999999999999E-4</v>
      </c>
      <c r="AN128" s="137">
        <f>Summary_LCIA!AE$32</f>
        <v>8.8612999999999995E-4</v>
      </c>
      <c r="AO128" s="137">
        <f>Summary_LCIA!AF$32</f>
        <v>8.4542000000000005E-4</v>
      </c>
      <c r="AP128" s="137">
        <f>Summary_LCIA!AG$32</f>
        <v>5.1165000000000002E-5</v>
      </c>
      <c r="AQ128" s="137">
        <f>Summary_LCIA!AH$32</f>
        <v>8.7036000000000006E-3</v>
      </c>
      <c r="AR128" s="137">
        <f>Summary_LCIA!AI$32</f>
        <v>9.3154999999999996E-4</v>
      </c>
      <c r="AT128" s="137">
        <f t="shared" si="22"/>
        <v>118.05127719999999</v>
      </c>
      <c r="AU128" s="137">
        <f t="shared" si="34"/>
        <v>1721.8013051302619</v>
      </c>
      <c r="AV128" s="137">
        <f t="shared" si="35"/>
        <v>1.8293431583999997</v>
      </c>
      <c r="AW128" s="137">
        <f t="shared" si="36"/>
        <v>116.51570732</v>
      </c>
      <c r="AX128" s="137">
        <f t="shared" si="37"/>
        <v>38.180798599999996</v>
      </c>
      <c r="AY128" s="137">
        <f t="shared" si="38"/>
        <v>6.2235743959999992</v>
      </c>
      <c r="AZ128" s="137">
        <f t="shared" si="39"/>
        <v>1.6592840054E-2</v>
      </c>
      <c r="BA128" s="137">
        <f t="shared" si="40"/>
        <v>26.740802993999999</v>
      </c>
      <c r="BB128" s="137">
        <f t="shared" si="41"/>
        <v>7.9140909200000005</v>
      </c>
      <c r="BC128" s="137">
        <f t="shared" si="23"/>
        <v>5.4134049480000002</v>
      </c>
      <c r="BD128" s="137">
        <f t="shared" si="24"/>
        <v>1.4247100726E-2</v>
      </c>
      <c r="BE128" s="137">
        <f t="shared" si="25"/>
        <v>8.1142013839999994</v>
      </c>
      <c r="BF128" s="137">
        <f t="shared" si="26"/>
        <v>-7.5816157220000005E-3</v>
      </c>
      <c r="BG128" s="137">
        <f t="shared" si="27"/>
        <v>1.6982985976000001E-5</v>
      </c>
      <c r="BH128" s="137">
        <f t="shared" si="28"/>
        <v>0.14280105056</v>
      </c>
      <c r="BI128" s="137">
        <f t="shared" si="29"/>
        <v>0.30785396781999996</v>
      </c>
      <c r="BJ128" s="137">
        <f t="shared" si="30"/>
        <v>0.29371074388000001</v>
      </c>
      <c r="BK128" s="137">
        <f t="shared" si="31"/>
        <v>1.7775437309999999E-2</v>
      </c>
      <c r="BL128" s="137">
        <f t="shared" si="32"/>
        <v>3.0237524904000002</v>
      </c>
      <c r="BM128" s="137">
        <f t="shared" si="33"/>
        <v>0.32363351169999999</v>
      </c>
    </row>
    <row r="129" spans="1:65" x14ac:dyDescent="0.25">
      <c r="A129" s="149">
        <v>51</v>
      </c>
      <c r="B129" s="149">
        <v>43</v>
      </c>
      <c r="C129" s="61">
        <v>38.892378999999998</v>
      </c>
      <c r="D129" s="61">
        <v>-77.048395999999997</v>
      </c>
      <c r="E129" s="61" t="s">
        <v>265</v>
      </c>
      <c r="F129" s="149">
        <v>86</v>
      </c>
      <c r="G129" s="61" t="s">
        <v>630</v>
      </c>
      <c r="H129" s="61" t="s">
        <v>644</v>
      </c>
      <c r="I129" s="61">
        <v>38.851241999999999</v>
      </c>
      <c r="J129" s="61">
        <v>-77.040232000000003</v>
      </c>
      <c r="K129" s="61">
        <v>6.4145804120000003</v>
      </c>
      <c r="L129" s="61">
        <v>7.7</v>
      </c>
      <c r="M129" s="61" t="s">
        <v>617</v>
      </c>
      <c r="N129" s="149">
        <v>42</v>
      </c>
      <c r="O129" s="149">
        <v>43</v>
      </c>
      <c r="P129" s="61" t="s">
        <v>565</v>
      </c>
      <c r="Q129" s="61" t="s">
        <v>555</v>
      </c>
      <c r="R129" s="61">
        <v>40.6895314</v>
      </c>
      <c r="S129" s="61">
        <v>-74.174462399999996</v>
      </c>
      <c r="T129" s="61">
        <v>349.28899999999999</v>
      </c>
      <c r="U129" s="61" t="s">
        <v>617</v>
      </c>
      <c r="V129" s="61" t="s">
        <v>617</v>
      </c>
      <c r="W129" s="61"/>
      <c r="Y129" s="137">
        <f>Summary_LCIA!H$32</f>
        <v>0.33979999999999999</v>
      </c>
      <c r="Z129" s="137">
        <f>Summary_LCIA!Q$32</f>
        <v>4.9560504329999997</v>
      </c>
      <c r="AA129" s="137">
        <f>Summary_LCIA!R$32</f>
        <v>5.2655999999999996E-3</v>
      </c>
      <c r="AB129" s="137">
        <f>Summary_LCIA!S$32</f>
        <v>0.33538000000000001</v>
      </c>
      <c r="AC129" s="137">
        <f>Summary_LCIA!T$32</f>
        <v>0.1099</v>
      </c>
      <c r="AD129" s="137">
        <f>Summary_LCIA!U$32</f>
        <v>1.7913999999999999E-2</v>
      </c>
      <c r="AE129" s="137">
        <f>Summary_LCIA!V$32</f>
        <v>4.7760999999999999E-5</v>
      </c>
      <c r="AF129" s="137">
        <f>Summary_LCIA!W$32</f>
        <v>7.6970999999999998E-2</v>
      </c>
      <c r="AG129" s="137">
        <f>Summary_LCIA!X$32</f>
        <v>2.2780000000000002E-2</v>
      </c>
      <c r="AH129" s="137">
        <f>Summary_LCIA!Y$32</f>
        <v>1.5582E-2</v>
      </c>
      <c r="AI129" s="137">
        <f>Summary_LCIA!Z$32</f>
        <v>4.1009E-5</v>
      </c>
      <c r="AJ129" s="137">
        <f>Summary_LCIA!AA$32</f>
        <v>2.3355999999999998E-2</v>
      </c>
      <c r="AK129" s="137">
        <f>Summary_LCIA!AB$32</f>
        <v>-2.1823000000000001E-5</v>
      </c>
      <c r="AL129" s="137">
        <f>Summary_LCIA!AC$32</f>
        <v>4.8884000000000003E-8</v>
      </c>
      <c r="AM129" s="137">
        <f>Summary_LCIA!AD$32</f>
        <v>4.1103999999999999E-4</v>
      </c>
      <c r="AN129" s="137">
        <f>Summary_LCIA!AE$32</f>
        <v>8.8612999999999995E-4</v>
      </c>
      <c r="AO129" s="137">
        <f>Summary_LCIA!AF$32</f>
        <v>8.4542000000000005E-4</v>
      </c>
      <c r="AP129" s="137">
        <f>Summary_LCIA!AG$32</f>
        <v>5.1165000000000002E-5</v>
      </c>
      <c r="AQ129" s="137">
        <f>Summary_LCIA!AH$32</f>
        <v>8.7036000000000006E-3</v>
      </c>
      <c r="AR129" s="137">
        <f>Summary_LCIA!AI$32</f>
        <v>9.3154999999999996E-4</v>
      </c>
      <c r="AT129" s="137">
        <f t="shared" si="22"/>
        <v>118.6884022</v>
      </c>
      <c r="AU129" s="137">
        <f t="shared" si="34"/>
        <v>1731.0938996921368</v>
      </c>
      <c r="AV129" s="137">
        <f t="shared" si="35"/>
        <v>1.8392161583999997</v>
      </c>
      <c r="AW129" s="137">
        <f t="shared" si="36"/>
        <v>117.14454481999999</v>
      </c>
      <c r="AX129" s="137">
        <f t="shared" si="37"/>
        <v>38.386861099999997</v>
      </c>
      <c r="AY129" s="137">
        <f t="shared" si="38"/>
        <v>6.2571631459999999</v>
      </c>
      <c r="AZ129" s="137">
        <f t="shared" si="39"/>
        <v>1.6682391929E-2</v>
      </c>
      <c r="BA129" s="137">
        <f t="shared" si="40"/>
        <v>26.885123618999998</v>
      </c>
      <c r="BB129" s="137">
        <f t="shared" si="41"/>
        <v>7.95680342</v>
      </c>
      <c r="BC129" s="137">
        <f t="shared" si="23"/>
        <v>5.4426211980000003</v>
      </c>
      <c r="BD129" s="137">
        <f t="shared" si="24"/>
        <v>1.4323992600999999E-2</v>
      </c>
      <c r="BE129" s="137">
        <f t="shared" si="25"/>
        <v>8.1579938839999997</v>
      </c>
      <c r="BF129" s="137">
        <f t="shared" si="26"/>
        <v>-7.6225338470000004E-3</v>
      </c>
      <c r="BG129" s="137">
        <f t="shared" si="27"/>
        <v>1.7074643475999999E-5</v>
      </c>
      <c r="BH129" s="137">
        <f t="shared" si="28"/>
        <v>0.14357175055999999</v>
      </c>
      <c r="BI129" s="137">
        <f t="shared" si="29"/>
        <v>0.30951546156999998</v>
      </c>
      <c r="BJ129" s="137">
        <f t="shared" si="30"/>
        <v>0.29529590638000003</v>
      </c>
      <c r="BK129" s="137">
        <f t="shared" si="31"/>
        <v>1.7871371685000002E-2</v>
      </c>
      <c r="BL129" s="137">
        <f t="shared" si="32"/>
        <v>3.0400717404000002</v>
      </c>
      <c r="BM129" s="137">
        <f t="shared" si="33"/>
        <v>0.32538016794999997</v>
      </c>
    </row>
    <row r="130" spans="1:65" x14ac:dyDescent="0.25">
      <c r="A130" s="149">
        <v>55</v>
      </c>
      <c r="B130" s="149">
        <v>43</v>
      </c>
      <c r="C130" s="61">
        <v>38.892918999999999</v>
      </c>
      <c r="D130" s="61">
        <v>-77.050562999999997</v>
      </c>
      <c r="E130" s="61" t="s">
        <v>265</v>
      </c>
      <c r="F130" s="149">
        <v>86</v>
      </c>
      <c r="G130" s="61" t="s">
        <v>630</v>
      </c>
      <c r="H130" s="61" t="s">
        <v>644</v>
      </c>
      <c r="I130" s="61">
        <v>38.851241999999999</v>
      </c>
      <c r="J130" s="61">
        <v>-77.040232000000003</v>
      </c>
      <c r="K130" s="61">
        <v>6.5036477030000004</v>
      </c>
      <c r="L130" s="61">
        <v>7.6310000000000002</v>
      </c>
      <c r="M130" s="61" t="s">
        <v>617</v>
      </c>
      <c r="N130" s="149">
        <v>42</v>
      </c>
      <c r="O130" s="149">
        <v>43</v>
      </c>
      <c r="P130" s="61" t="s">
        <v>565</v>
      </c>
      <c r="Q130" s="61" t="s">
        <v>555</v>
      </c>
      <c r="R130" s="61">
        <v>40.6895314</v>
      </c>
      <c r="S130" s="61">
        <v>-74.174462399999996</v>
      </c>
      <c r="T130" s="61">
        <v>349.54</v>
      </c>
      <c r="U130" s="61" t="s">
        <v>617</v>
      </c>
      <c r="V130" s="61" t="s">
        <v>617</v>
      </c>
      <c r="W130" s="61"/>
      <c r="Y130" s="137">
        <f>Summary_LCIA!H$32</f>
        <v>0.33979999999999999</v>
      </c>
      <c r="Z130" s="137">
        <f>Summary_LCIA!Q$32</f>
        <v>4.9560504329999997</v>
      </c>
      <c r="AA130" s="137">
        <f>Summary_LCIA!R$32</f>
        <v>5.2655999999999996E-3</v>
      </c>
      <c r="AB130" s="137">
        <f>Summary_LCIA!S$32</f>
        <v>0.33538000000000001</v>
      </c>
      <c r="AC130" s="137">
        <f>Summary_LCIA!T$32</f>
        <v>0.1099</v>
      </c>
      <c r="AD130" s="137">
        <f>Summary_LCIA!U$32</f>
        <v>1.7913999999999999E-2</v>
      </c>
      <c r="AE130" s="137">
        <f>Summary_LCIA!V$32</f>
        <v>4.7760999999999999E-5</v>
      </c>
      <c r="AF130" s="137">
        <f>Summary_LCIA!W$32</f>
        <v>7.6970999999999998E-2</v>
      </c>
      <c r="AG130" s="137">
        <f>Summary_LCIA!X$32</f>
        <v>2.2780000000000002E-2</v>
      </c>
      <c r="AH130" s="137">
        <f>Summary_LCIA!Y$32</f>
        <v>1.5582E-2</v>
      </c>
      <c r="AI130" s="137">
        <f>Summary_LCIA!Z$32</f>
        <v>4.1009E-5</v>
      </c>
      <c r="AJ130" s="137">
        <f>Summary_LCIA!AA$32</f>
        <v>2.3355999999999998E-2</v>
      </c>
      <c r="AK130" s="137">
        <f>Summary_LCIA!AB$32</f>
        <v>-2.1823000000000001E-5</v>
      </c>
      <c r="AL130" s="137">
        <f>Summary_LCIA!AC$32</f>
        <v>4.8884000000000003E-8</v>
      </c>
      <c r="AM130" s="137">
        <f>Summary_LCIA!AD$32</f>
        <v>4.1103999999999999E-4</v>
      </c>
      <c r="AN130" s="137">
        <f>Summary_LCIA!AE$32</f>
        <v>8.8612999999999995E-4</v>
      </c>
      <c r="AO130" s="137">
        <f>Summary_LCIA!AF$32</f>
        <v>8.4542000000000005E-4</v>
      </c>
      <c r="AP130" s="137">
        <f>Summary_LCIA!AG$32</f>
        <v>5.1165000000000002E-5</v>
      </c>
      <c r="AQ130" s="137">
        <f>Summary_LCIA!AH$32</f>
        <v>8.7036000000000006E-3</v>
      </c>
      <c r="AR130" s="137">
        <f>Summary_LCIA!AI$32</f>
        <v>9.3154999999999996E-4</v>
      </c>
      <c r="AT130" s="137">
        <f t="shared" si="22"/>
        <v>118.773692</v>
      </c>
      <c r="AU130" s="137">
        <f t="shared" si="34"/>
        <v>1732.3378683508199</v>
      </c>
      <c r="AV130" s="137">
        <f t="shared" si="35"/>
        <v>1.8405378239999999</v>
      </c>
      <c r="AW130" s="137">
        <f t="shared" si="36"/>
        <v>117.22872520000001</v>
      </c>
      <c r="AX130" s="137">
        <f t="shared" si="37"/>
        <v>38.414445999999998</v>
      </c>
      <c r="AY130" s="137">
        <f t="shared" si="38"/>
        <v>6.26165956</v>
      </c>
      <c r="AZ130" s="137">
        <f t="shared" si="39"/>
        <v>1.669437994E-2</v>
      </c>
      <c r="BA130" s="137">
        <f t="shared" si="40"/>
        <v>26.90444334</v>
      </c>
      <c r="BB130" s="137">
        <f t="shared" si="41"/>
        <v>7.9625212000000012</v>
      </c>
      <c r="BC130" s="137">
        <f t="shared" si="23"/>
        <v>5.4465322800000004</v>
      </c>
      <c r="BD130" s="137">
        <f t="shared" si="24"/>
        <v>1.433428586E-2</v>
      </c>
      <c r="BE130" s="137">
        <f t="shared" si="25"/>
        <v>8.1638562399999994</v>
      </c>
      <c r="BF130" s="137">
        <f t="shared" si="26"/>
        <v>-7.6280114200000006E-3</v>
      </c>
      <c r="BG130" s="137">
        <f t="shared" si="27"/>
        <v>1.7086913360000003E-5</v>
      </c>
      <c r="BH130" s="137">
        <f t="shared" si="28"/>
        <v>0.14367492160000001</v>
      </c>
      <c r="BI130" s="137">
        <f t="shared" si="29"/>
        <v>0.30973788019999998</v>
      </c>
      <c r="BJ130" s="137">
        <f t="shared" si="30"/>
        <v>0.29550810680000006</v>
      </c>
      <c r="BK130" s="137">
        <f t="shared" si="31"/>
        <v>1.78842141E-2</v>
      </c>
      <c r="BL130" s="137">
        <f t="shared" si="32"/>
        <v>3.0422563440000006</v>
      </c>
      <c r="BM130" s="137">
        <f t="shared" si="33"/>
        <v>0.32561398699999999</v>
      </c>
    </row>
    <row r="131" spans="1:65" x14ac:dyDescent="0.25">
      <c r="A131" s="149">
        <v>56</v>
      </c>
      <c r="B131" s="149">
        <v>43</v>
      </c>
      <c r="C131" s="61">
        <v>38.892918999999999</v>
      </c>
      <c r="D131" s="61">
        <v>-77.050562999999997</v>
      </c>
      <c r="E131" s="61" t="s">
        <v>265</v>
      </c>
      <c r="F131" s="149">
        <v>86</v>
      </c>
      <c r="G131" s="61" t="s">
        <v>630</v>
      </c>
      <c r="H131" s="61" t="s">
        <v>644</v>
      </c>
      <c r="I131" s="61">
        <v>38.851241999999999</v>
      </c>
      <c r="J131" s="61">
        <v>-77.040232000000003</v>
      </c>
      <c r="K131" s="61">
        <v>6.5036477030000004</v>
      </c>
      <c r="L131" s="61">
        <v>7.6310000000000002</v>
      </c>
      <c r="M131" s="61" t="s">
        <v>617</v>
      </c>
      <c r="N131" s="149">
        <v>42</v>
      </c>
      <c r="O131" s="149">
        <v>43</v>
      </c>
      <c r="P131" s="61" t="s">
        <v>565</v>
      </c>
      <c r="Q131" s="61" t="s">
        <v>555</v>
      </c>
      <c r="R131" s="61">
        <v>40.6895314</v>
      </c>
      <c r="S131" s="61">
        <v>-74.174462399999996</v>
      </c>
      <c r="T131" s="61">
        <v>349.54</v>
      </c>
      <c r="U131" s="61" t="s">
        <v>617</v>
      </c>
      <c r="V131" s="61" t="s">
        <v>617</v>
      </c>
      <c r="W131" s="61"/>
      <c r="Y131" s="137">
        <f>Summary_LCIA!H$32</f>
        <v>0.33979999999999999</v>
      </c>
      <c r="Z131" s="137">
        <f>Summary_LCIA!Q$32</f>
        <v>4.9560504329999997</v>
      </c>
      <c r="AA131" s="137">
        <f>Summary_LCIA!R$32</f>
        <v>5.2655999999999996E-3</v>
      </c>
      <c r="AB131" s="137">
        <f>Summary_LCIA!S$32</f>
        <v>0.33538000000000001</v>
      </c>
      <c r="AC131" s="137">
        <f>Summary_LCIA!T$32</f>
        <v>0.1099</v>
      </c>
      <c r="AD131" s="137">
        <f>Summary_LCIA!U$32</f>
        <v>1.7913999999999999E-2</v>
      </c>
      <c r="AE131" s="137">
        <f>Summary_LCIA!V$32</f>
        <v>4.7760999999999999E-5</v>
      </c>
      <c r="AF131" s="137">
        <f>Summary_LCIA!W$32</f>
        <v>7.6970999999999998E-2</v>
      </c>
      <c r="AG131" s="137">
        <f>Summary_LCIA!X$32</f>
        <v>2.2780000000000002E-2</v>
      </c>
      <c r="AH131" s="137">
        <f>Summary_LCIA!Y$32</f>
        <v>1.5582E-2</v>
      </c>
      <c r="AI131" s="137">
        <f>Summary_LCIA!Z$32</f>
        <v>4.1009E-5</v>
      </c>
      <c r="AJ131" s="137">
        <f>Summary_LCIA!AA$32</f>
        <v>2.3355999999999998E-2</v>
      </c>
      <c r="AK131" s="137">
        <f>Summary_LCIA!AB$32</f>
        <v>-2.1823000000000001E-5</v>
      </c>
      <c r="AL131" s="137">
        <f>Summary_LCIA!AC$32</f>
        <v>4.8884000000000003E-8</v>
      </c>
      <c r="AM131" s="137">
        <f>Summary_LCIA!AD$32</f>
        <v>4.1103999999999999E-4</v>
      </c>
      <c r="AN131" s="137">
        <f>Summary_LCIA!AE$32</f>
        <v>8.8612999999999995E-4</v>
      </c>
      <c r="AO131" s="137">
        <f>Summary_LCIA!AF$32</f>
        <v>8.4542000000000005E-4</v>
      </c>
      <c r="AP131" s="137">
        <f>Summary_LCIA!AG$32</f>
        <v>5.1165000000000002E-5</v>
      </c>
      <c r="AQ131" s="137">
        <f>Summary_LCIA!AH$32</f>
        <v>8.7036000000000006E-3</v>
      </c>
      <c r="AR131" s="137">
        <f>Summary_LCIA!AI$32</f>
        <v>9.3154999999999996E-4</v>
      </c>
      <c r="AT131" s="137">
        <f t="shared" ref="AT131:AT182" si="42">$T131*Y131</f>
        <v>118.773692</v>
      </c>
      <c r="AU131" s="137">
        <f t="shared" si="34"/>
        <v>1732.3378683508199</v>
      </c>
      <c r="AV131" s="137">
        <f t="shared" si="35"/>
        <v>1.8405378239999999</v>
      </c>
      <c r="AW131" s="137">
        <f t="shared" si="36"/>
        <v>117.22872520000001</v>
      </c>
      <c r="AX131" s="137">
        <f t="shared" si="37"/>
        <v>38.414445999999998</v>
      </c>
      <c r="AY131" s="137">
        <f t="shared" si="38"/>
        <v>6.26165956</v>
      </c>
      <c r="AZ131" s="137">
        <f t="shared" si="39"/>
        <v>1.669437994E-2</v>
      </c>
      <c r="BA131" s="137">
        <f t="shared" si="40"/>
        <v>26.90444334</v>
      </c>
      <c r="BB131" s="137">
        <f t="shared" si="41"/>
        <v>7.9625212000000012</v>
      </c>
      <c r="BC131" s="137">
        <f t="shared" si="23"/>
        <v>5.4465322800000004</v>
      </c>
      <c r="BD131" s="137">
        <f t="shared" si="24"/>
        <v>1.433428586E-2</v>
      </c>
      <c r="BE131" s="137">
        <f t="shared" si="25"/>
        <v>8.1638562399999994</v>
      </c>
      <c r="BF131" s="137">
        <f t="shared" si="26"/>
        <v>-7.6280114200000006E-3</v>
      </c>
      <c r="BG131" s="137">
        <f t="shared" si="27"/>
        <v>1.7086913360000003E-5</v>
      </c>
      <c r="BH131" s="137">
        <f t="shared" si="28"/>
        <v>0.14367492160000001</v>
      </c>
      <c r="BI131" s="137">
        <f t="shared" si="29"/>
        <v>0.30973788019999998</v>
      </c>
      <c r="BJ131" s="137">
        <f t="shared" si="30"/>
        <v>0.29550810680000006</v>
      </c>
      <c r="BK131" s="137">
        <f t="shared" si="31"/>
        <v>1.78842141E-2</v>
      </c>
      <c r="BL131" s="137">
        <f t="shared" si="32"/>
        <v>3.0422563440000006</v>
      </c>
      <c r="BM131" s="137">
        <f t="shared" si="33"/>
        <v>0.32561398699999999</v>
      </c>
    </row>
    <row r="132" spans="1:65" x14ac:dyDescent="0.25">
      <c r="A132" s="149">
        <v>134</v>
      </c>
      <c r="B132" s="149">
        <v>43</v>
      </c>
      <c r="C132" s="61">
        <v>38.881621000000003</v>
      </c>
      <c r="D132" s="61">
        <v>-77.090980999999999</v>
      </c>
      <c r="E132" s="61" t="s">
        <v>265</v>
      </c>
      <c r="F132" s="149">
        <v>86</v>
      </c>
      <c r="G132" s="61" t="s">
        <v>630</v>
      </c>
      <c r="H132" s="61" t="s">
        <v>644</v>
      </c>
      <c r="I132" s="61">
        <v>38.851241999999999</v>
      </c>
      <c r="J132" s="61">
        <v>-77.040232000000003</v>
      </c>
      <c r="K132" s="61">
        <v>6.1868912390000004</v>
      </c>
      <c r="L132" s="61">
        <v>8.6340000000000003</v>
      </c>
      <c r="M132" s="61" t="s">
        <v>617</v>
      </c>
      <c r="N132" s="149">
        <v>42</v>
      </c>
      <c r="O132" s="149">
        <v>43</v>
      </c>
      <c r="P132" s="61" t="s">
        <v>565</v>
      </c>
      <c r="Q132" s="61" t="s">
        <v>555</v>
      </c>
      <c r="R132" s="61">
        <v>40.6895314</v>
      </c>
      <c r="S132" s="61">
        <v>-74.174462399999996</v>
      </c>
      <c r="T132" s="61">
        <v>353.63499999999999</v>
      </c>
      <c r="U132" s="61" t="s">
        <v>617</v>
      </c>
      <c r="V132" s="61" t="s">
        <v>617</v>
      </c>
      <c r="W132" s="61"/>
      <c r="Y132" s="137">
        <f>Summary_LCIA!H$32</f>
        <v>0.33979999999999999</v>
      </c>
      <c r="Z132" s="137">
        <f>Summary_LCIA!Q$32</f>
        <v>4.9560504329999997</v>
      </c>
      <c r="AA132" s="137">
        <f>Summary_LCIA!R$32</f>
        <v>5.2655999999999996E-3</v>
      </c>
      <c r="AB132" s="137">
        <f>Summary_LCIA!S$32</f>
        <v>0.33538000000000001</v>
      </c>
      <c r="AC132" s="137">
        <f>Summary_LCIA!T$32</f>
        <v>0.1099</v>
      </c>
      <c r="AD132" s="137">
        <f>Summary_LCIA!U$32</f>
        <v>1.7913999999999999E-2</v>
      </c>
      <c r="AE132" s="137">
        <f>Summary_LCIA!V$32</f>
        <v>4.7760999999999999E-5</v>
      </c>
      <c r="AF132" s="137">
        <f>Summary_LCIA!W$32</f>
        <v>7.6970999999999998E-2</v>
      </c>
      <c r="AG132" s="137">
        <f>Summary_LCIA!X$32</f>
        <v>2.2780000000000002E-2</v>
      </c>
      <c r="AH132" s="137">
        <f>Summary_LCIA!Y$32</f>
        <v>1.5582E-2</v>
      </c>
      <c r="AI132" s="137">
        <f>Summary_LCIA!Z$32</f>
        <v>4.1009E-5</v>
      </c>
      <c r="AJ132" s="137">
        <f>Summary_LCIA!AA$32</f>
        <v>2.3355999999999998E-2</v>
      </c>
      <c r="AK132" s="137">
        <f>Summary_LCIA!AB$32</f>
        <v>-2.1823000000000001E-5</v>
      </c>
      <c r="AL132" s="137">
        <f>Summary_LCIA!AC$32</f>
        <v>4.8884000000000003E-8</v>
      </c>
      <c r="AM132" s="137">
        <f>Summary_LCIA!AD$32</f>
        <v>4.1103999999999999E-4</v>
      </c>
      <c r="AN132" s="137">
        <f>Summary_LCIA!AE$32</f>
        <v>8.8612999999999995E-4</v>
      </c>
      <c r="AO132" s="137">
        <f>Summary_LCIA!AF$32</f>
        <v>8.4542000000000005E-4</v>
      </c>
      <c r="AP132" s="137">
        <f>Summary_LCIA!AG$32</f>
        <v>5.1165000000000002E-5</v>
      </c>
      <c r="AQ132" s="137">
        <f>Summary_LCIA!AH$32</f>
        <v>8.7036000000000006E-3</v>
      </c>
      <c r="AR132" s="137">
        <f>Summary_LCIA!AI$32</f>
        <v>9.3154999999999996E-4</v>
      </c>
      <c r="AT132" s="137">
        <f t="shared" si="42"/>
        <v>120.165173</v>
      </c>
      <c r="AU132" s="137">
        <f t="shared" si="34"/>
        <v>1752.6328948739549</v>
      </c>
      <c r="AV132" s="137">
        <f t="shared" si="35"/>
        <v>1.8621004559999998</v>
      </c>
      <c r="AW132" s="137">
        <f t="shared" si="36"/>
        <v>118.6021063</v>
      </c>
      <c r="AX132" s="137">
        <f t="shared" si="37"/>
        <v>38.864486499999998</v>
      </c>
      <c r="AY132" s="137">
        <f t="shared" si="38"/>
        <v>6.33501739</v>
      </c>
      <c r="AZ132" s="137">
        <f t="shared" si="39"/>
        <v>1.6889961235000001E-2</v>
      </c>
      <c r="BA132" s="137">
        <f t="shared" si="40"/>
        <v>27.219639584999999</v>
      </c>
      <c r="BB132" s="137">
        <f t="shared" si="41"/>
        <v>8.0558053000000012</v>
      </c>
      <c r="BC132" s="137">
        <f t="shared" si="23"/>
        <v>5.5103405700000003</v>
      </c>
      <c r="BD132" s="137">
        <f t="shared" si="24"/>
        <v>1.4502217715E-2</v>
      </c>
      <c r="BE132" s="137">
        <f t="shared" si="25"/>
        <v>8.2594990599999996</v>
      </c>
      <c r="BF132" s="137">
        <f t="shared" si="26"/>
        <v>-7.7173766050000004E-3</v>
      </c>
      <c r="BG132" s="137">
        <f t="shared" si="27"/>
        <v>1.7287093340000001E-5</v>
      </c>
      <c r="BH132" s="137">
        <f t="shared" si="28"/>
        <v>0.14535813040000001</v>
      </c>
      <c r="BI132" s="137">
        <f t="shared" si="29"/>
        <v>0.31336658254999999</v>
      </c>
      <c r="BJ132" s="137">
        <f t="shared" si="30"/>
        <v>0.29897010169999999</v>
      </c>
      <c r="BK132" s="137">
        <f t="shared" si="31"/>
        <v>1.8093734775000002E-2</v>
      </c>
      <c r="BL132" s="137">
        <f t="shared" si="32"/>
        <v>3.0778975860000002</v>
      </c>
      <c r="BM132" s="137">
        <f t="shared" si="33"/>
        <v>0.32942868424999999</v>
      </c>
    </row>
    <row r="133" spans="1:65" x14ac:dyDescent="0.25">
      <c r="A133" s="149">
        <v>14</v>
      </c>
      <c r="B133" s="149">
        <v>43</v>
      </c>
      <c r="C133" s="61">
        <v>39.144460000000002</v>
      </c>
      <c r="D133" s="61">
        <v>-77.216469000000004</v>
      </c>
      <c r="E133" s="61" t="s">
        <v>265</v>
      </c>
      <c r="F133" s="149">
        <v>85</v>
      </c>
      <c r="G133" s="61" t="s">
        <v>630</v>
      </c>
      <c r="H133" s="61" t="s">
        <v>631</v>
      </c>
      <c r="I133" s="61">
        <v>38.953116000000001</v>
      </c>
      <c r="J133" s="61">
        <v>-77.456539000000006</v>
      </c>
      <c r="K133" s="61">
        <v>38.295953089999998</v>
      </c>
      <c r="L133" s="61">
        <v>52.948</v>
      </c>
      <c r="M133" s="61" t="s">
        <v>617</v>
      </c>
      <c r="N133" s="149">
        <v>42</v>
      </c>
      <c r="O133" s="149">
        <v>43</v>
      </c>
      <c r="P133" s="61" t="s">
        <v>565</v>
      </c>
      <c r="Q133" s="61" t="s">
        <v>555</v>
      </c>
      <c r="R133" s="61">
        <v>40.6895314</v>
      </c>
      <c r="S133" s="61">
        <v>-74.174462399999996</v>
      </c>
      <c r="T133" s="61">
        <v>354.65100000000001</v>
      </c>
      <c r="U133" s="61" t="s">
        <v>617</v>
      </c>
      <c r="V133" s="61" t="s">
        <v>617</v>
      </c>
      <c r="W133" s="61"/>
      <c r="Y133" s="137">
        <f>Summary_LCIA!H$32</f>
        <v>0.33979999999999999</v>
      </c>
      <c r="Z133" s="137">
        <f>Summary_LCIA!Q$32</f>
        <v>4.9560504329999997</v>
      </c>
      <c r="AA133" s="137">
        <f>Summary_LCIA!R$32</f>
        <v>5.2655999999999996E-3</v>
      </c>
      <c r="AB133" s="137">
        <f>Summary_LCIA!S$32</f>
        <v>0.33538000000000001</v>
      </c>
      <c r="AC133" s="137">
        <f>Summary_LCIA!T$32</f>
        <v>0.1099</v>
      </c>
      <c r="AD133" s="137">
        <f>Summary_LCIA!U$32</f>
        <v>1.7913999999999999E-2</v>
      </c>
      <c r="AE133" s="137">
        <f>Summary_LCIA!V$32</f>
        <v>4.7760999999999999E-5</v>
      </c>
      <c r="AF133" s="137">
        <f>Summary_LCIA!W$32</f>
        <v>7.6970999999999998E-2</v>
      </c>
      <c r="AG133" s="137">
        <f>Summary_LCIA!X$32</f>
        <v>2.2780000000000002E-2</v>
      </c>
      <c r="AH133" s="137">
        <f>Summary_LCIA!Y$32</f>
        <v>1.5582E-2</v>
      </c>
      <c r="AI133" s="137">
        <f>Summary_LCIA!Z$32</f>
        <v>4.1009E-5</v>
      </c>
      <c r="AJ133" s="137">
        <f>Summary_LCIA!AA$32</f>
        <v>2.3355999999999998E-2</v>
      </c>
      <c r="AK133" s="137">
        <f>Summary_LCIA!AB$32</f>
        <v>-2.1823000000000001E-5</v>
      </c>
      <c r="AL133" s="137">
        <f>Summary_LCIA!AC$32</f>
        <v>4.8884000000000003E-8</v>
      </c>
      <c r="AM133" s="137">
        <f>Summary_LCIA!AD$32</f>
        <v>4.1103999999999999E-4</v>
      </c>
      <c r="AN133" s="137">
        <f>Summary_LCIA!AE$32</f>
        <v>8.8612999999999995E-4</v>
      </c>
      <c r="AO133" s="137">
        <f>Summary_LCIA!AF$32</f>
        <v>8.4542000000000005E-4</v>
      </c>
      <c r="AP133" s="137">
        <f>Summary_LCIA!AG$32</f>
        <v>5.1165000000000002E-5</v>
      </c>
      <c r="AQ133" s="137">
        <f>Summary_LCIA!AH$32</f>
        <v>8.7036000000000006E-3</v>
      </c>
      <c r="AR133" s="137">
        <f>Summary_LCIA!AI$32</f>
        <v>9.3154999999999996E-4</v>
      </c>
      <c r="AT133" s="137">
        <f t="shared" si="42"/>
        <v>120.51040980000001</v>
      </c>
      <c r="AU133" s="137">
        <f t="shared" si="34"/>
        <v>1757.668242113883</v>
      </c>
      <c r="AV133" s="137">
        <f t="shared" si="35"/>
        <v>1.8674503056</v>
      </c>
      <c r="AW133" s="137">
        <f t="shared" si="36"/>
        <v>118.94285238000001</v>
      </c>
      <c r="AX133" s="137">
        <f t="shared" si="37"/>
        <v>38.976144900000001</v>
      </c>
      <c r="AY133" s="137">
        <f t="shared" si="38"/>
        <v>6.3532180140000003</v>
      </c>
      <c r="AZ133" s="137">
        <f t="shared" si="39"/>
        <v>1.6938486411000001E-2</v>
      </c>
      <c r="BA133" s="137">
        <f t="shared" si="40"/>
        <v>27.297842120999999</v>
      </c>
      <c r="BB133" s="137">
        <f t="shared" si="41"/>
        <v>8.0789497800000003</v>
      </c>
      <c r="BC133" s="137">
        <f t="shared" si="23"/>
        <v>5.5261718819999999</v>
      </c>
      <c r="BD133" s="137">
        <f t="shared" si="24"/>
        <v>1.4543882859000001E-2</v>
      </c>
      <c r="BE133" s="137">
        <f t="shared" si="25"/>
        <v>8.2832287559999997</v>
      </c>
      <c r="BF133" s="137">
        <f t="shared" si="26"/>
        <v>-7.7395487730000006E-3</v>
      </c>
      <c r="BG133" s="137">
        <f t="shared" si="27"/>
        <v>1.7336759484000001E-5</v>
      </c>
      <c r="BH133" s="137">
        <f t="shared" si="28"/>
        <v>0.14577574704000001</v>
      </c>
      <c r="BI133" s="137">
        <f t="shared" si="29"/>
        <v>0.31426689063000002</v>
      </c>
      <c r="BJ133" s="137">
        <f t="shared" si="30"/>
        <v>0.29982904842000002</v>
      </c>
      <c r="BK133" s="137">
        <f t="shared" si="31"/>
        <v>1.8145718415000001E-2</v>
      </c>
      <c r="BL133" s="137">
        <f t="shared" si="32"/>
        <v>3.0867404436000001</v>
      </c>
      <c r="BM133" s="137">
        <f t="shared" si="33"/>
        <v>0.33037513904999999</v>
      </c>
    </row>
    <row r="134" spans="1:65" x14ac:dyDescent="0.25">
      <c r="A134" s="149">
        <v>35</v>
      </c>
      <c r="B134" s="149">
        <v>43</v>
      </c>
      <c r="C134" s="61">
        <v>38.805311000000003</v>
      </c>
      <c r="D134" s="61">
        <v>-77.055997000000005</v>
      </c>
      <c r="E134" s="61" t="s">
        <v>265</v>
      </c>
      <c r="F134" s="149">
        <v>86</v>
      </c>
      <c r="G134" s="61" t="s">
        <v>630</v>
      </c>
      <c r="H134" s="61" t="s">
        <v>644</v>
      </c>
      <c r="I134" s="61">
        <v>38.851241999999999</v>
      </c>
      <c r="J134" s="61">
        <v>-77.040232000000003</v>
      </c>
      <c r="K134" s="61">
        <v>7.4606559270000004</v>
      </c>
      <c r="L134" s="61">
        <v>8.0039999999999996</v>
      </c>
      <c r="M134" s="61" t="s">
        <v>617</v>
      </c>
      <c r="N134" s="149">
        <v>42</v>
      </c>
      <c r="O134" s="149">
        <v>43</v>
      </c>
      <c r="P134" s="61" t="s">
        <v>565</v>
      </c>
      <c r="Q134" s="61" t="s">
        <v>555</v>
      </c>
      <c r="R134" s="61">
        <v>40.6895314</v>
      </c>
      <c r="S134" s="61">
        <v>-74.174462399999996</v>
      </c>
      <c r="T134" s="61">
        <v>358.142</v>
      </c>
      <c r="U134" s="61" t="s">
        <v>617</v>
      </c>
      <c r="V134" s="61" t="s">
        <v>617</v>
      </c>
      <c r="W134" s="61"/>
      <c r="Y134" s="137">
        <f>Summary_LCIA!H$32</f>
        <v>0.33979999999999999</v>
      </c>
      <c r="Z134" s="137">
        <f>Summary_LCIA!Q$32</f>
        <v>4.9560504329999997</v>
      </c>
      <c r="AA134" s="137">
        <f>Summary_LCIA!R$32</f>
        <v>5.2655999999999996E-3</v>
      </c>
      <c r="AB134" s="137">
        <f>Summary_LCIA!S$32</f>
        <v>0.33538000000000001</v>
      </c>
      <c r="AC134" s="137">
        <f>Summary_LCIA!T$32</f>
        <v>0.1099</v>
      </c>
      <c r="AD134" s="137">
        <f>Summary_LCIA!U$32</f>
        <v>1.7913999999999999E-2</v>
      </c>
      <c r="AE134" s="137">
        <f>Summary_LCIA!V$32</f>
        <v>4.7760999999999999E-5</v>
      </c>
      <c r="AF134" s="137">
        <f>Summary_LCIA!W$32</f>
        <v>7.6970999999999998E-2</v>
      </c>
      <c r="AG134" s="137">
        <f>Summary_LCIA!X$32</f>
        <v>2.2780000000000002E-2</v>
      </c>
      <c r="AH134" s="137">
        <f>Summary_LCIA!Y$32</f>
        <v>1.5582E-2</v>
      </c>
      <c r="AI134" s="137">
        <f>Summary_LCIA!Z$32</f>
        <v>4.1009E-5</v>
      </c>
      <c r="AJ134" s="137">
        <f>Summary_LCIA!AA$32</f>
        <v>2.3355999999999998E-2</v>
      </c>
      <c r="AK134" s="137">
        <f>Summary_LCIA!AB$32</f>
        <v>-2.1823000000000001E-5</v>
      </c>
      <c r="AL134" s="137">
        <f>Summary_LCIA!AC$32</f>
        <v>4.8884000000000003E-8</v>
      </c>
      <c r="AM134" s="137">
        <f>Summary_LCIA!AD$32</f>
        <v>4.1103999999999999E-4</v>
      </c>
      <c r="AN134" s="137">
        <f>Summary_LCIA!AE$32</f>
        <v>8.8612999999999995E-4</v>
      </c>
      <c r="AO134" s="137">
        <f>Summary_LCIA!AF$32</f>
        <v>8.4542000000000005E-4</v>
      </c>
      <c r="AP134" s="137">
        <f>Summary_LCIA!AG$32</f>
        <v>5.1165000000000002E-5</v>
      </c>
      <c r="AQ134" s="137">
        <f>Summary_LCIA!AH$32</f>
        <v>8.7036000000000006E-3</v>
      </c>
      <c r="AR134" s="137">
        <f>Summary_LCIA!AI$32</f>
        <v>9.3154999999999996E-4</v>
      </c>
      <c r="AT134" s="137">
        <f t="shared" si="42"/>
        <v>121.6966516</v>
      </c>
      <c r="AU134" s="137">
        <f t="shared" si="34"/>
        <v>1774.9698141754859</v>
      </c>
      <c r="AV134" s="137">
        <f t="shared" si="35"/>
        <v>1.8858325151999999</v>
      </c>
      <c r="AW134" s="137">
        <f t="shared" si="36"/>
        <v>120.11366396</v>
      </c>
      <c r="AX134" s="137">
        <f t="shared" si="37"/>
        <v>39.359805799999997</v>
      </c>
      <c r="AY134" s="137">
        <f t="shared" si="38"/>
        <v>6.4157557879999993</v>
      </c>
      <c r="AZ134" s="137">
        <f t="shared" si="39"/>
        <v>1.7105220062E-2</v>
      </c>
      <c r="BA134" s="137">
        <f t="shared" si="40"/>
        <v>27.566547881999998</v>
      </c>
      <c r="BB134" s="137">
        <f t="shared" si="41"/>
        <v>8.1584747600000007</v>
      </c>
      <c r="BC134" s="137">
        <f t="shared" si="23"/>
        <v>5.5805686440000004</v>
      </c>
      <c r="BD134" s="137">
        <f t="shared" si="24"/>
        <v>1.4687045277999999E-2</v>
      </c>
      <c r="BE134" s="137">
        <f t="shared" si="25"/>
        <v>8.3647645519999987</v>
      </c>
      <c r="BF134" s="137">
        <f t="shared" si="26"/>
        <v>-7.8157328659999997E-3</v>
      </c>
      <c r="BG134" s="137">
        <f t="shared" si="27"/>
        <v>1.7507413528E-5</v>
      </c>
      <c r="BH134" s="137">
        <f t="shared" si="28"/>
        <v>0.14721068768000001</v>
      </c>
      <c r="BI134" s="137">
        <f t="shared" si="29"/>
        <v>0.31736037045999999</v>
      </c>
      <c r="BJ134" s="137">
        <f t="shared" si="30"/>
        <v>0.30278040964000003</v>
      </c>
      <c r="BK134" s="137">
        <f t="shared" si="31"/>
        <v>1.8324335430000002E-2</v>
      </c>
      <c r="BL134" s="137">
        <f t="shared" si="32"/>
        <v>3.1171247112000002</v>
      </c>
      <c r="BM134" s="137">
        <f t="shared" si="33"/>
        <v>0.33362718009999998</v>
      </c>
    </row>
    <row r="135" spans="1:65" x14ac:dyDescent="0.25">
      <c r="A135" s="149">
        <v>183</v>
      </c>
      <c r="B135" s="149">
        <v>43</v>
      </c>
      <c r="C135" s="61">
        <v>42.373615999999998</v>
      </c>
      <c r="D135" s="61">
        <v>-71.109734000000003</v>
      </c>
      <c r="E135" s="61" t="s">
        <v>265</v>
      </c>
      <c r="F135" s="149">
        <v>53</v>
      </c>
      <c r="G135" s="61" t="s">
        <v>565</v>
      </c>
      <c r="H135" s="61" t="s">
        <v>634</v>
      </c>
      <c r="I135" s="61">
        <v>42.365613000000003</v>
      </c>
      <c r="J135" s="61">
        <v>-71.009559999999993</v>
      </c>
      <c r="K135" s="61">
        <v>8.3485195930000007</v>
      </c>
      <c r="L135" s="61">
        <v>14.246</v>
      </c>
      <c r="M135" s="61" t="s">
        <v>617</v>
      </c>
      <c r="N135" s="149">
        <v>42</v>
      </c>
      <c r="O135" s="149">
        <v>43</v>
      </c>
      <c r="P135" s="61" t="s">
        <v>565</v>
      </c>
      <c r="Q135" s="61" t="s">
        <v>555</v>
      </c>
      <c r="R135" s="61">
        <v>40.6895314</v>
      </c>
      <c r="S135" s="61">
        <v>-74.174462399999996</v>
      </c>
      <c r="T135" s="61">
        <v>361.38499999999999</v>
      </c>
      <c r="U135" s="61" t="s">
        <v>617</v>
      </c>
      <c r="V135" s="61" t="s">
        <v>617</v>
      </c>
      <c r="W135" s="61"/>
      <c r="Y135" s="137">
        <f>Summary_LCIA!H$32</f>
        <v>0.33979999999999999</v>
      </c>
      <c r="Z135" s="137">
        <f>Summary_LCIA!Q$32</f>
        <v>4.9560504329999997</v>
      </c>
      <c r="AA135" s="137">
        <f>Summary_LCIA!R$32</f>
        <v>5.2655999999999996E-3</v>
      </c>
      <c r="AB135" s="137">
        <f>Summary_LCIA!S$32</f>
        <v>0.33538000000000001</v>
      </c>
      <c r="AC135" s="137">
        <f>Summary_LCIA!T$32</f>
        <v>0.1099</v>
      </c>
      <c r="AD135" s="137">
        <f>Summary_LCIA!U$32</f>
        <v>1.7913999999999999E-2</v>
      </c>
      <c r="AE135" s="137">
        <f>Summary_LCIA!V$32</f>
        <v>4.7760999999999999E-5</v>
      </c>
      <c r="AF135" s="137">
        <f>Summary_LCIA!W$32</f>
        <v>7.6970999999999998E-2</v>
      </c>
      <c r="AG135" s="137">
        <f>Summary_LCIA!X$32</f>
        <v>2.2780000000000002E-2</v>
      </c>
      <c r="AH135" s="137">
        <f>Summary_LCIA!Y$32</f>
        <v>1.5582E-2</v>
      </c>
      <c r="AI135" s="137">
        <f>Summary_LCIA!Z$32</f>
        <v>4.1009E-5</v>
      </c>
      <c r="AJ135" s="137">
        <f>Summary_LCIA!AA$32</f>
        <v>2.3355999999999998E-2</v>
      </c>
      <c r="AK135" s="137">
        <f>Summary_LCIA!AB$32</f>
        <v>-2.1823000000000001E-5</v>
      </c>
      <c r="AL135" s="137">
        <f>Summary_LCIA!AC$32</f>
        <v>4.8884000000000003E-8</v>
      </c>
      <c r="AM135" s="137">
        <f>Summary_LCIA!AD$32</f>
        <v>4.1103999999999999E-4</v>
      </c>
      <c r="AN135" s="137">
        <f>Summary_LCIA!AE$32</f>
        <v>8.8612999999999995E-4</v>
      </c>
      <c r="AO135" s="137">
        <f>Summary_LCIA!AF$32</f>
        <v>8.4542000000000005E-4</v>
      </c>
      <c r="AP135" s="137">
        <f>Summary_LCIA!AG$32</f>
        <v>5.1165000000000002E-5</v>
      </c>
      <c r="AQ135" s="137">
        <f>Summary_LCIA!AH$32</f>
        <v>8.7036000000000006E-3</v>
      </c>
      <c r="AR135" s="137">
        <f>Summary_LCIA!AI$32</f>
        <v>9.3154999999999996E-4</v>
      </c>
      <c r="AT135" s="137">
        <f t="shared" si="42"/>
        <v>122.79862299999999</v>
      </c>
      <c r="AU135" s="137">
        <f t="shared" si="34"/>
        <v>1791.0422857297049</v>
      </c>
      <c r="AV135" s="137">
        <f t="shared" si="35"/>
        <v>1.9029088559999998</v>
      </c>
      <c r="AW135" s="137">
        <f t="shared" si="36"/>
        <v>121.2013013</v>
      </c>
      <c r="AX135" s="137">
        <f t="shared" si="37"/>
        <v>39.7162115</v>
      </c>
      <c r="AY135" s="137">
        <f t="shared" si="38"/>
        <v>6.4738508899999996</v>
      </c>
      <c r="AZ135" s="137">
        <f t="shared" si="39"/>
        <v>1.7260108984999998E-2</v>
      </c>
      <c r="BA135" s="137">
        <f t="shared" si="40"/>
        <v>27.816164834999999</v>
      </c>
      <c r="BB135" s="137">
        <f t="shared" si="41"/>
        <v>8.2323503000000002</v>
      </c>
      <c r="BC135" s="137">
        <f t="shared" si="23"/>
        <v>5.6311010699999997</v>
      </c>
      <c r="BD135" s="137">
        <f t="shared" si="24"/>
        <v>1.4820037465E-2</v>
      </c>
      <c r="BE135" s="137">
        <f t="shared" si="25"/>
        <v>8.4405080599999991</v>
      </c>
      <c r="BF135" s="137">
        <f t="shared" si="26"/>
        <v>-7.8865048550000004E-3</v>
      </c>
      <c r="BG135" s="137">
        <f t="shared" si="27"/>
        <v>1.7665944340000001E-5</v>
      </c>
      <c r="BH135" s="137">
        <f t="shared" si="28"/>
        <v>0.14854369039999998</v>
      </c>
      <c r="BI135" s="137">
        <f t="shared" si="29"/>
        <v>0.32023409004999998</v>
      </c>
      <c r="BJ135" s="137">
        <f t="shared" si="30"/>
        <v>0.30552210670000002</v>
      </c>
      <c r="BK135" s="137">
        <f t="shared" si="31"/>
        <v>1.8490263525000002E-2</v>
      </c>
      <c r="BL135" s="137">
        <f t="shared" si="32"/>
        <v>3.1453504860000003</v>
      </c>
      <c r="BM135" s="137">
        <f t="shared" si="33"/>
        <v>0.33664819674999996</v>
      </c>
    </row>
    <row r="136" spans="1:65" x14ac:dyDescent="0.25">
      <c r="A136" s="149">
        <v>81</v>
      </c>
      <c r="B136" s="149">
        <v>43</v>
      </c>
      <c r="C136" s="61">
        <v>42.339463000000002</v>
      </c>
      <c r="D136" s="61">
        <v>-71.088528999999994</v>
      </c>
      <c r="E136" s="61" t="s">
        <v>265</v>
      </c>
      <c r="F136" s="149">
        <v>53</v>
      </c>
      <c r="G136" s="61" t="s">
        <v>565</v>
      </c>
      <c r="H136" s="61" t="s">
        <v>634</v>
      </c>
      <c r="I136" s="61">
        <v>42.365613000000003</v>
      </c>
      <c r="J136" s="61">
        <v>-71.009559999999993</v>
      </c>
      <c r="K136" s="61">
        <v>8.1732109099999999</v>
      </c>
      <c r="L136" s="61">
        <v>10.691000000000001</v>
      </c>
      <c r="M136" s="61" t="s">
        <v>617</v>
      </c>
      <c r="N136" s="149">
        <v>42</v>
      </c>
      <c r="O136" s="149">
        <v>43</v>
      </c>
      <c r="P136" s="61" t="s">
        <v>565</v>
      </c>
      <c r="Q136" s="61" t="s">
        <v>555</v>
      </c>
      <c r="R136" s="61">
        <v>40.6895314</v>
      </c>
      <c r="S136" s="61">
        <v>-74.174462399999996</v>
      </c>
      <c r="T136" s="61">
        <v>363.32900000000001</v>
      </c>
      <c r="U136" s="61" t="s">
        <v>617</v>
      </c>
      <c r="V136" s="61" t="s">
        <v>617</v>
      </c>
      <c r="W136" s="61"/>
      <c r="Y136" s="137">
        <f>Summary_LCIA!H$32</f>
        <v>0.33979999999999999</v>
      </c>
      <c r="Z136" s="137">
        <f>Summary_LCIA!Q$32</f>
        <v>4.9560504329999997</v>
      </c>
      <c r="AA136" s="137">
        <f>Summary_LCIA!R$32</f>
        <v>5.2655999999999996E-3</v>
      </c>
      <c r="AB136" s="137">
        <f>Summary_LCIA!S$32</f>
        <v>0.33538000000000001</v>
      </c>
      <c r="AC136" s="137">
        <f>Summary_LCIA!T$32</f>
        <v>0.1099</v>
      </c>
      <c r="AD136" s="137">
        <f>Summary_LCIA!U$32</f>
        <v>1.7913999999999999E-2</v>
      </c>
      <c r="AE136" s="137">
        <f>Summary_LCIA!V$32</f>
        <v>4.7760999999999999E-5</v>
      </c>
      <c r="AF136" s="137">
        <f>Summary_LCIA!W$32</f>
        <v>7.6970999999999998E-2</v>
      </c>
      <c r="AG136" s="137">
        <f>Summary_LCIA!X$32</f>
        <v>2.2780000000000002E-2</v>
      </c>
      <c r="AH136" s="137">
        <f>Summary_LCIA!Y$32</f>
        <v>1.5582E-2</v>
      </c>
      <c r="AI136" s="137">
        <f>Summary_LCIA!Z$32</f>
        <v>4.1009E-5</v>
      </c>
      <c r="AJ136" s="137">
        <f>Summary_LCIA!AA$32</f>
        <v>2.3355999999999998E-2</v>
      </c>
      <c r="AK136" s="137">
        <f>Summary_LCIA!AB$32</f>
        <v>-2.1823000000000001E-5</v>
      </c>
      <c r="AL136" s="137">
        <f>Summary_LCIA!AC$32</f>
        <v>4.8884000000000003E-8</v>
      </c>
      <c r="AM136" s="137">
        <f>Summary_LCIA!AD$32</f>
        <v>4.1103999999999999E-4</v>
      </c>
      <c r="AN136" s="137">
        <f>Summary_LCIA!AE$32</f>
        <v>8.8612999999999995E-4</v>
      </c>
      <c r="AO136" s="137">
        <f>Summary_LCIA!AF$32</f>
        <v>8.4542000000000005E-4</v>
      </c>
      <c r="AP136" s="137">
        <f>Summary_LCIA!AG$32</f>
        <v>5.1165000000000002E-5</v>
      </c>
      <c r="AQ136" s="137">
        <f>Summary_LCIA!AH$32</f>
        <v>8.7036000000000006E-3</v>
      </c>
      <c r="AR136" s="137">
        <f>Summary_LCIA!AI$32</f>
        <v>9.3154999999999996E-4</v>
      </c>
      <c r="AT136" s="137">
        <f t="shared" si="42"/>
        <v>123.4591942</v>
      </c>
      <c r="AU136" s="137">
        <f t="shared" si="34"/>
        <v>1800.676847771457</v>
      </c>
      <c r="AV136" s="137">
        <f t="shared" si="35"/>
        <v>1.9131451823999999</v>
      </c>
      <c r="AW136" s="137">
        <f t="shared" si="36"/>
        <v>121.85328002</v>
      </c>
      <c r="AX136" s="137">
        <f t="shared" si="37"/>
        <v>39.9298571</v>
      </c>
      <c r="AY136" s="137">
        <f t="shared" si="38"/>
        <v>6.508675706</v>
      </c>
      <c r="AZ136" s="137">
        <f t="shared" si="39"/>
        <v>1.7352956369E-2</v>
      </c>
      <c r="BA136" s="137">
        <f t="shared" si="40"/>
        <v>27.965796459</v>
      </c>
      <c r="BB136" s="137">
        <f t="shared" si="41"/>
        <v>8.2766346200000012</v>
      </c>
      <c r="BC136" s="137">
        <f t="shared" si="23"/>
        <v>5.6613924780000007</v>
      </c>
      <c r="BD136" s="137">
        <f t="shared" si="24"/>
        <v>1.4899758961000001E-2</v>
      </c>
      <c r="BE136" s="137">
        <f t="shared" si="25"/>
        <v>8.4859121240000004</v>
      </c>
      <c r="BF136" s="137">
        <f t="shared" si="26"/>
        <v>-7.928928767E-3</v>
      </c>
      <c r="BG136" s="137">
        <f t="shared" si="27"/>
        <v>1.7760974836000001E-5</v>
      </c>
      <c r="BH136" s="137">
        <f t="shared" si="28"/>
        <v>0.14934275216000001</v>
      </c>
      <c r="BI136" s="137">
        <f t="shared" si="29"/>
        <v>0.32195672676999998</v>
      </c>
      <c r="BJ136" s="137">
        <f t="shared" si="30"/>
        <v>0.30716560318000002</v>
      </c>
      <c r="BK136" s="137">
        <f t="shared" si="31"/>
        <v>1.8589728285000003E-2</v>
      </c>
      <c r="BL136" s="137">
        <f t="shared" si="32"/>
        <v>3.1622702844000004</v>
      </c>
      <c r="BM136" s="137">
        <f t="shared" si="33"/>
        <v>0.33845912994999999</v>
      </c>
    </row>
    <row r="137" spans="1:65" x14ac:dyDescent="0.25">
      <c r="A137" s="149">
        <v>82</v>
      </c>
      <c r="B137" s="149">
        <v>43</v>
      </c>
      <c r="C137" s="61">
        <v>42.339463000000002</v>
      </c>
      <c r="D137" s="61">
        <v>-71.088528999999994</v>
      </c>
      <c r="E137" s="61" t="s">
        <v>265</v>
      </c>
      <c r="F137" s="149">
        <v>53</v>
      </c>
      <c r="G137" s="61" t="s">
        <v>565</v>
      </c>
      <c r="H137" s="61" t="s">
        <v>634</v>
      </c>
      <c r="I137" s="61">
        <v>42.365613000000003</v>
      </c>
      <c r="J137" s="61">
        <v>-71.009559999999993</v>
      </c>
      <c r="K137" s="61">
        <v>8.1732109099999999</v>
      </c>
      <c r="L137" s="61">
        <v>10.691000000000001</v>
      </c>
      <c r="M137" s="61" t="s">
        <v>617</v>
      </c>
      <c r="N137" s="149">
        <v>42</v>
      </c>
      <c r="O137" s="149">
        <v>43</v>
      </c>
      <c r="P137" s="61" t="s">
        <v>565</v>
      </c>
      <c r="Q137" s="61" t="s">
        <v>555</v>
      </c>
      <c r="R137" s="61">
        <v>40.6895314</v>
      </c>
      <c r="S137" s="61">
        <v>-74.174462399999996</v>
      </c>
      <c r="T137" s="61">
        <v>363.32900000000001</v>
      </c>
      <c r="U137" s="61" t="s">
        <v>617</v>
      </c>
      <c r="V137" s="61" t="s">
        <v>617</v>
      </c>
      <c r="W137" s="61"/>
      <c r="Y137" s="137">
        <f>Summary_LCIA!H$32</f>
        <v>0.33979999999999999</v>
      </c>
      <c r="Z137" s="137">
        <f>Summary_LCIA!Q$32</f>
        <v>4.9560504329999997</v>
      </c>
      <c r="AA137" s="137">
        <f>Summary_LCIA!R$32</f>
        <v>5.2655999999999996E-3</v>
      </c>
      <c r="AB137" s="137">
        <f>Summary_LCIA!S$32</f>
        <v>0.33538000000000001</v>
      </c>
      <c r="AC137" s="137">
        <f>Summary_LCIA!T$32</f>
        <v>0.1099</v>
      </c>
      <c r="AD137" s="137">
        <f>Summary_LCIA!U$32</f>
        <v>1.7913999999999999E-2</v>
      </c>
      <c r="AE137" s="137">
        <f>Summary_LCIA!V$32</f>
        <v>4.7760999999999999E-5</v>
      </c>
      <c r="AF137" s="137">
        <f>Summary_LCIA!W$32</f>
        <v>7.6970999999999998E-2</v>
      </c>
      <c r="AG137" s="137">
        <f>Summary_LCIA!X$32</f>
        <v>2.2780000000000002E-2</v>
      </c>
      <c r="AH137" s="137">
        <f>Summary_LCIA!Y$32</f>
        <v>1.5582E-2</v>
      </c>
      <c r="AI137" s="137">
        <f>Summary_LCIA!Z$32</f>
        <v>4.1009E-5</v>
      </c>
      <c r="AJ137" s="137">
        <f>Summary_LCIA!AA$32</f>
        <v>2.3355999999999998E-2</v>
      </c>
      <c r="AK137" s="137">
        <f>Summary_LCIA!AB$32</f>
        <v>-2.1823000000000001E-5</v>
      </c>
      <c r="AL137" s="137">
        <f>Summary_LCIA!AC$32</f>
        <v>4.8884000000000003E-8</v>
      </c>
      <c r="AM137" s="137">
        <f>Summary_LCIA!AD$32</f>
        <v>4.1103999999999999E-4</v>
      </c>
      <c r="AN137" s="137">
        <f>Summary_LCIA!AE$32</f>
        <v>8.8612999999999995E-4</v>
      </c>
      <c r="AO137" s="137">
        <f>Summary_LCIA!AF$32</f>
        <v>8.4542000000000005E-4</v>
      </c>
      <c r="AP137" s="137">
        <f>Summary_LCIA!AG$32</f>
        <v>5.1165000000000002E-5</v>
      </c>
      <c r="AQ137" s="137">
        <f>Summary_LCIA!AH$32</f>
        <v>8.7036000000000006E-3</v>
      </c>
      <c r="AR137" s="137">
        <f>Summary_LCIA!AI$32</f>
        <v>9.3154999999999996E-4</v>
      </c>
      <c r="AT137" s="137">
        <f t="shared" si="42"/>
        <v>123.4591942</v>
      </c>
      <c r="AU137" s="137">
        <f t="shared" si="34"/>
        <v>1800.676847771457</v>
      </c>
      <c r="AV137" s="137">
        <f t="shared" si="35"/>
        <v>1.9131451823999999</v>
      </c>
      <c r="AW137" s="137">
        <f t="shared" si="36"/>
        <v>121.85328002</v>
      </c>
      <c r="AX137" s="137">
        <f t="shared" si="37"/>
        <v>39.9298571</v>
      </c>
      <c r="AY137" s="137">
        <f t="shared" si="38"/>
        <v>6.508675706</v>
      </c>
      <c r="AZ137" s="137">
        <f t="shared" si="39"/>
        <v>1.7352956369E-2</v>
      </c>
      <c r="BA137" s="137">
        <f t="shared" si="40"/>
        <v>27.965796459</v>
      </c>
      <c r="BB137" s="137">
        <f t="shared" si="41"/>
        <v>8.2766346200000012</v>
      </c>
      <c r="BC137" s="137">
        <f t="shared" si="23"/>
        <v>5.6613924780000007</v>
      </c>
      <c r="BD137" s="137">
        <f t="shared" si="24"/>
        <v>1.4899758961000001E-2</v>
      </c>
      <c r="BE137" s="137">
        <f t="shared" si="25"/>
        <v>8.4859121240000004</v>
      </c>
      <c r="BF137" s="137">
        <f t="shared" si="26"/>
        <v>-7.928928767E-3</v>
      </c>
      <c r="BG137" s="137">
        <f t="shared" si="27"/>
        <v>1.7760974836000001E-5</v>
      </c>
      <c r="BH137" s="137">
        <f t="shared" si="28"/>
        <v>0.14934275216000001</v>
      </c>
      <c r="BI137" s="137">
        <f t="shared" si="29"/>
        <v>0.32195672676999998</v>
      </c>
      <c r="BJ137" s="137">
        <f t="shared" si="30"/>
        <v>0.30716560318000002</v>
      </c>
      <c r="BK137" s="137">
        <f t="shared" si="31"/>
        <v>1.8589728285000003E-2</v>
      </c>
      <c r="BL137" s="137">
        <f t="shared" si="32"/>
        <v>3.1622702844000004</v>
      </c>
      <c r="BM137" s="137">
        <f t="shared" si="33"/>
        <v>0.33845912994999999</v>
      </c>
    </row>
    <row r="138" spans="1:65" x14ac:dyDescent="0.25">
      <c r="A138" s="149">
        <v>114</v>
      </c>
      <c r="B138" s="149">
        <v>43</v>
      </c>
      <c r="C138" s="61">
        <v>42.359243999999997</v>
      </c>
      <c r="D138" s="61">
        <v>-71.093138999999994</v>
      </c>
      <c r="E138" s="61" t="s">
        <v>265</v>
      </c>
      <c r="F138" s="149">
        <v>53</v>
      </c>
      <c r="G138" s="61" t="s">
        <v>565</v>
      </c>
      <c r="H138" s="61" t="s">
        <v>634</v>
      </c>
      <c r="I138" s="61">
        <v>42.365613000000003</v>
      </c>
      <c r="J138" s="61">
        <v>-71.009559999999993</v>
      </c>
      <c r="K138" s="61">
        <v>7.2270388560000001</v>
      </c>
      <c r="L138" s="61">
        <v>8.6859999999999999</v>
      </c>
      <c r="M138" s="61" t="s">
        <v>617</v>
      </c>
      <c r="N138" s="149">
        <v>42</v>
      </c>
      <c r="O138" s="149">
        <v>43</v>
      </c>
      <c r="P138" s="61" t="s">
        <v>565</v>
      </c>
      <c r="Q138" s="61" t="s">
        <v>555</v>
      </c>
      <c r="R138" s="61">
        <v>40.6895314</v>
      </c>
      <c r="S138" s="61">
        <v>-74.174462399999996</v>
      </c>
      <c r="T138" s="61">
        <v>363.59300000000002</v>
      </c>
      <c r="U138" s="61" t="s">
        <v>617</v>
      </c>
      <c r="V138" s="61" t="s">
        <v>617</v>
      </c>
      <c r="W138" s="61"/>
      <c r="Y138" s="137">
        <f>Summary_LCIA!H$32</f>
        <v>0.33979999999999999</v>
      </c>
      <c r="Z138" s="137">
        <f>Summary_LCIA!Q$32</f>
        <v>4.9560504329999997</v>
      </c>
      <c r="AA138" s="137">
        <f>Summary_LCIA!R$32</f>
        <v>5.2655999999999996E-3</v>
      </c>
      <c r="AB138" s="137">
        <f>Summary_LCIA!S$32</f>
        <v>0.33538000000000001</v>
      </c>
      <c r="AC138" s="137">
        <f>Summary_LCIA!T$32</f>
        <v>0.1099</v>
      </c>
      <c r="AD138" s="137">
        <f>Summary_LCIA!U$32</f>
        <v>1.7913999999999999E-2</v>
      </c>
      <c r="AE138" s="137">
        <f>Summary_LCIA!V$32</f>
        <v>4.7760999999999999E-5</v>
      </c>
      <c r="AF138" s="137">
        <f>Summary_LCIA!W$32</f>
        <v>7.6970999999999998E-2</v>
      </c>
      <c r="AG138" s="137">
        <f>Summary_LCIA!X$32</f>
        <v>2.2780000000000002E-2</v>
      </c>
      <c r="AH138" s="137">
        <f>Summary_LCIA!Y$32</f>
        <v>1.5582E-2</v>
      </c>
      <c r="AI138" s="137">
        <f>Summary_LCIA!Z$32</f>
        <v>4.1009E-5</v>
      </c>
      <c r="AJ138" s="137">
        <f>Summary_LCIA!AA$32</f>
        <v>2.3355999999999998E-2</v>
      </c>
      <c r="AK138" s="137">
        <f>Summary_LCIA!AB$32</f>
        <v>-2.1823000000000001E-5</v>
      </c>
      <c r="AL138" s="137">
        <f>Summary_LCIA!AC$32</f>
        <v>4.8884000000000003E-8</v>
      </c>
      <c r="AM138" s="137">
        <f>Summary_LCIA!AD$32</f>
        <v>4.1103999999999999E-4</v>
      </c>
      <c r="AN138" s="137">
        <f>Summary_LCIA!AE$32</f>
        <v>8.8612999999999995E-4</v>
      </c>
      <c r="AO138" s="137">
        <f>Summary_LCIA!AF$32</f>
        <v>8.4542000000000005E-4</v>
      </c>
      <c r="AP138" s="137">
        <f>Summary_LCIA!AG$32</f>
        <v>5.1165000000000002E-5</v>
      </c>
      <c r="AQ138" s="137">
        <f>Summary_LCIA!AH$32</f>
        <v>8.7036000000000006E-3</v>
      </c>
      <c r="AR138" s="137">
        <f>Summary_LCIA!AI$32</f>
        <v>9.3154999999999996E-4</v>
      </c>
      <c r="AT138" s="137">
        <f t="shared" si="42"/>
        <v>123.54890140000001</v>
      </c>
      <c r="AU138" s="137">
        <f t="shared" si="34"/>
        <v>1801.9852450857691</v>
      </c>
      <c r="AV138" s="137">
        <f t="shared" si="35"/>
        <v>1.9145353007999999</v>
      </c>
      <c r="AW138" s="137">
        <f t="shared" si="36"/>
        <v>121.94182034000001</v>
      </c>
      <c r="AX138" s="137">
        <f t="shared" si="37"/>
        <v>39.958870699999999</v>
      </c>
      <c r="AY138" s="137">
        <f t="shared" si="38"/>
        <v>6.5134050019999998</v>
      </c>
      <c r="AZ138" s="137">
        <f t="shared" si="39"/>
        <v>1.7365565273000001E-2</v>
      </c>
      <c r="BA138" s="137">
        <f t="shared" si="40"/>
        <v>27.986116803000002</v>
      </c>
      <c r="BB138" s="137">
        <f t="shared" si="41"/>
        <v>8.2826485400000003</v>
      </c>
      <c r="BC138" s="137">
        <f t="shared" si="23"/>
        <v>5.6655061260000004</v>
      </c>
      <c r="BD138" s="137">
        <f t="shared" si="24"/>
        <v>1.4910585337000001E-2</v>
      </c>
      <c r="BE138" s="137">
        <f t="shared" si="25"/>
        <v>8.4920781079999994</v>
      </c>
      <c r="BF138" s="137">
        <f t="shared" si="26"/>
        <v>-7.9346900390000006E-3</v>
      </c>
      <c r="BG138" s="137">
        <f t="shared" si="27"/>
        <v>1.7773880212000002E-5</v>
      </c>
      <c r="BH138" s="137">
        <f t="shared" si="28"/>
        <v>0.14945126672</v>
      </c>
      <c r="BI138" s="137">
        <f t="shared" si="29"/>
        <v>0.32219066508999999</v>
      </c>
      <c r="BJ138" s="137">
        <f t="shared" si="30"/>
        <v>0.30738879406000003</v>
      </c>
      <c r="BK138" s="137">
        <f t="shared" si="31"/>
        <v>1.8603235845000003E-2</v>
      </c>
      <c r="BL138" s="137">
        <f t="shared" si="32"/>
        <v>3.1645680348000003</v>
      </c>
      <c r="BM138" s="137">
        <f t="shared" si="33"/>
        <v>0.33870505914999999</v>
      </c>
    </row>
    <row r="139" spans="1:65" x14ac:dyDescent="0.25">
      <c r="A139" s="149">
        <v>115</v>
      </c>
      <c r="B139" s="149">
        <v>43</v>
      </c>
      <c r="C139" s="61">
        <v>42.359243999999997</v>
      </c>
      <c r="D139" s="61">
        <v>-71.093138999999994</v>
      </c>
      <c r="E139" s="61" t="s">
        <v>265</v>
      </c>
      <c r="F139" s="149">
        <v>53</v>
      </c>
      <c r="G139" s="61" t="s">
        <v>565</v>
      </c>
      <c r="H139" s="61" t="s">
        <v>634</v>
      </c>
      <c r="I139" s="61">
        <v>42.365613000000003</v>
      </c>
      <c r="J139" s="61">
        <v>-71.009559999999993</v>
      </c>
      <c r="K139" s="61">
        <v>7.2270388560000001</v>
      </c>
      <c r="L139" s="61">
        <v>8.6859999999999999</v>
      </c>
      <c r="M139" s="61" t="s">
        <v>617</v>
      </c>
      <c r="N139" s="149">
        <v>42</v>
      </c>
      <c r="O139" s="149">
        <v>43</v>
      </c>
      <c r="P139" s="61" t="s">
        <v>565</v>
      </c>
      <c r="Q139" s="61" t="s">
        <v>555</v>
      </c>
      <c r="R139" s="61">
        <v>40.6895314</v>
      </c>
      <c r="S139" s="61">
        <v>-74.174462399999996</v>
      </c>
      <c r="T139" s="61">
        <v>363.59300000000002</v>
      </c>
      <c r="U139" s="61" t="s">
        <v>617</v>
      </c>
      <c r="V139" s="61" t="s">
        <v>617</v>
      </c>
      <c r="W139" s="61"/>
      <c r="Y139" s="137">
        <f>Summary_LCIA!H$32</f>
        <v>0.33979999999999999</v>
      </c>
      <c r="Z139" s="137">
        <f>Summary_LCIA!Q$32</f>
        <v>4.9560504329999997</v>
      </c>
      <c r="AA139" s="137">
        <f>Summary_LCIA!R$32</f>
        <v>5.2655999999999996E-3</v>
      </c>
      <c r="AB139" s="137">
        <f>Summary_LCIA!S$32</f>
        <v>0.33538000000000001</v>
      </c>
      <c r="AC139" s="137">
        <f>Summary_LCIA!T$32</f>
        <v>0.1099</v>
      </c>
      <c r="AD139" s="137">
        <f>Summary_LCIA!U$32</f>
        <v>1.7913999999999999E-2</v>
      </c>
      <c r="AE139" s="137">
        <f>Summary_LCIA!V$32</f>
        <v>4.7760999999999999E-5</v>
      </c>
      <c r="AF139" s="137">
        <f>Summary_LCIA!W$32</f>
        <v>7.6970999999999998E-2</v>
      </c>
      <c r="AG139" s="137">
        <f>Summary_LCIA!X$32</f>
        <v>2.2780000000000002E-2</v>
      </c>
      <c r="AH139" s="137">
        <f>Summary_LCIA!Y$32</f>
        <v>1.5582E-2</v>
      </c>
      <c r="AI139" s="137">
        <f>Summary_LCIA!Z$32</f>
        <v>4.1009E-5</v>
      </c>
      <c r="AJ139" s="137">
        <f>Summary_LCIA!AA$32</f>
        <v>2.3355999999999998E-2</v>
      </c>
      <c r="AK139" s="137">
        <f>Summary_LCIA!AB$32</f>
        <v>-2.1823000000000001E-5</v>
      </c>
      <c r="AL139" s="137">
        <f>Summary_LCIA!AC$32</f>
        <v>4.8884000000000003E-8</v>
      </c>
      <c r="AM139" s="137">
        <f>Summary_LCIA!AD$32</f>
        <v>4.1103999999999999E-4</v>
      </c>
      <c r="AN139" s="137">
        <f>Summary_LCIA!AE$32</f>
        <v>8.8612999999999995E-4</v>
      </c>
      <c r="AO139" s="137">
        <f>Summary_LCIA!AF$32</f>
        <v>8.4542000000000005E-4</v>
      </c>
      <c r="AP139" s="137">
        <f>Summary_LCIA!AG$32</f>
        <v>5.1165000000000002E-5</v>
      </c>
      <c r="AQ139" s="137">
        <f>Summary_LCIA!AH$32</f>
        <v>8.7036000000000006E-3</v>
      </c>
      <c r="AR139" s="137">
        <f>Summary_LCIA!AI$32</f>
        <v>9.3154999999999996E-4</v>
      </c>
      <c r="AT139" s="137">
        <f t="shared" si="42"/>
        <v>123.54890140000001</v>
      </c>
      <c r="AU139" s="137">
        <f t="shared" si="34"/>
        <v>1801.9852450857691</v>
      </c>
      <c r="AV139" s="137">
        <f t="shared" si="35"/>
        <v>1.9145353007999999</v>
      </c>
      <c r="AW139" s="137">
        <f t="shared" si="36"/>
        <v>121.94182034000001</v>
      </c>
      <c r="AX139" s="137">
        <f t="shared" si="37"/>
        <v>39.958870699999999</v>
      </c>
      <c r="AY139" s="137">
        <f t="shared" si="38"/>
        <v>6.5134050019999998</v>
      </c>
      <c r="AZ139" s="137">
        <f t="shared" si="39"/>
        <v>1.7365565273000001E-2</v>
      </c>
      <c r="BA139" s="137">
        <f t="shared" si="40"/>
        <v>27.986116803000002</v>
      </c>
      <c r="BB139" s="137">
        <f t="shared" si="41"/>
        <v>8.2826485400000003</v>
      </c>
      <c r="BC139" s="137">
        <f t="shared" si="23"/>
        <v>5.6655061260000004</v>
      </c>
      <c r="BD139" s="137">
        <f t="shared" si="24"/>
        <v>1.4910585337000001E-2</v>
      </c>
      <c r="BE139" s="137">
        <f t="shared" si="25"/>
        <v>8.4920781079999994</v>
      </c>
      <c r="BF139" s="137">
        <f t="shared" si="26"/>
        <v>-7.9346900390000006E-3</v>
      </c>
      <c r="BG139" s="137">
        <f t="shared" si="27"/>
        <v>1.7773880212000002E-5</v>
      </c>
      <c r="BH139" s="137">
        <f t="shared" si="28"/>
        <v>0.14945126672</v>
      </c>
      <c r="BI139" s="137">
        <f t="shared" si="29"/>
        <v>0.32219066508999999</v>
      </c>
      <c r="BJ139" s="137">
        <f t="shared" si="30"/>
        <v>0.30738879406000003</v>
      </c>
      <c r="BK139" s="137">
        <f t="shared" si="31"/>
        <v>1.8603235845000003E-2</v>
      </c>
      <c r="BL139" s="137">
        <f t="shared" si="32"/>
        <v>3.1645680348000003</v>
      </c>
      <c r="BM139" s="137">
        <f t="shared" si="33"/>
        <v>0.33870505914999999</v>
      </c>
    </row>
    <row r="140" spans="1:65" x14ac:dyDescent="0.25">
      <c r="A140" s="149">
        <v>116</v>
      </c>
      <c r="B140" s="149">
        <v>43</v>
      </c>
      <c r="C140" s="61">
        <v>42.359243999999997</v>
      </c>
      <c r="D140" s="61">
        <v>-71.093138999999994</v>
      </c>
      <c r="E140" s="61" t="s">
        <v>265</v>
      </c>
      <c r="F140" s="149">
        <v>53</v>
      </c>
      <c r="G140" s="61" t="s">
        <v>565</v>
      </c>
      <c r="H140" s="61" t="s">
        <v>634</v>
      </c>
      <c r="I140" s="61">
        <v>42.365613000000003</v>
      </c>
      <c r="J140" s="61">
        <v>-71.009559999999993</v>
      </c>
      <c r="K140" s="61">
        <v>7.2270388560000001</v>
      </c>
      <c r="L140" s="61">
        <v>8.6859999999999999</v>
      </c>
      <c r="M140" s="61" t="s">
        <v>617</v>
      </c>
      <c r="N140" s="149">
        <v>42</v>
      </c>
      <c r="O140" s="149">
        <v>43</v>
      </c>
      <c r="P140" s="61" t="s">
        <v>565</v>
      </c>
      <c r="Q140" s="61" t="s">
        <v>555</v>
      </c>
      <c r="R140" s="61">
        <v>40.6895314</v>
      </c>
      <c r="S140" s="61">
        <v>-74.174462399999996</v>
      </c>
      <c r="T140" s="61">
        <v>363.59300000000002</v>
      </c>
      <c r="U140" s="61" t="s">
        <v>617</v>
      </c>
      <c r="V140" s="61" t="s">
        <v>617</v>
      </c>
      <c r="W140" s="61"/>
      <c r="Y140" s="137">
        <f>Summary_LCIA!H$32</f>
        <v>0.33979999999999999</v>
      </c>
      <c r="Z140" s="137">
        <f>Summary_LCIA!Q$32</f>
        <v>4.9560504329999997</v>
      </c>
      <c r="AA140" s="137">
        <f>Summary_LCIA!R$32</f>
        <v>5.2655999999999996E-3</v>
      </c>
      <c r="AB140" s="137">
        <f>Summary_LCIA!S$32</f>
        <v>0.33538000000000001</v>
      </c>
      <c r="AC140" s="137">
        <f>Summary_LCIA!T$32</f>
        <v>0.1099</v>
      </c>
      <c r="AD140" s="137">
        <f>Summary_LCIA!U$32</f>
        <v>1.7913999999999999E-2</v>
      </c>
      <c r="AE140" s="137">
        <f>Summary_LCIA!V$32</f>
        <v>4.7760999999999999E-5</v>
      </c>
      <c r="AF140" s="137">
        <f>Summary_LCIA!W$32</f>
        <v>7.6970999999999998E-2</v>
      </c>
      <c r="AG140" s="137">
        <f>Summary_LCIA!X$32</f>
        <v>2.2780000000000002E-2</v>
      </c>
      <c r="AH140" s="137">
        <f>Summary_LCIA!Y$32</f>
        <v>1.5582E-2</v>
      </c>
      <c r="AI140" s="137">
        <f>Summary_LCIA!Z$32</f>
        <v>4.1009E-5</v>
      </c>
      <c r="AJ140" s="137">
        <f>Summary_LCIA!AA$32</f>
        <v>2.3355999999999998E-2</v>
      </c>
      <c r="AK140" s="137">
        <f>Summary_LCIA!AB$32</f>
        <v>-2.1823000000000001E-5</v>
      </c>
      <c r="AL140" s="137">
        <f>Summary_LCIA!AC$32</f>
        <v>4.8884000000000003E-8</v>
      </c>
      <c r="AM140" s="137">
        <f>Summary_LCIA!AD$32</f>
        <v>4.1103999999999999E-4</v>
      </c>
      <c r="AN140" s="137">
        <f>Summary_LCIA!AE$32</f>
        <v>8.8612999999999995E-4</v>
      </c>
      <c r="AO140" s="137">
        <f>Summary_LCIA!AF$32</f>
        <v>8.4542000000000005E-4</v>
      </c>
      <c r="AP140" s="137">
        <f>Summary_LCIA!AG$32</f>
        <v>5.1165000000000002E-5</v>
      </c>
      <c r="AQ140" s="137">
        <f>Summary_LCIA!AH$32</f>
        <v>8.7036000000000006E-3</v>
      </c>
      <c r="AR140" s="137">
        <f>Summary_LCIA!AI$32</f>
        <v>9.3154999999999996E-4</v>
      </c>
      <c r="AT140" s="137">
        <f t="shared" si="42"/>
        <v>123.54890140000001</v>
      </c>
      <c r="AU140" s="137">
        <f t="shared" si="34"/>
        <v>1801.9852450857691</v>
      </c>
      <c r="AV140" s="137">
        <f t="shared" si="35"/>
        <v>1.9145353007999999</v>
      </c>
      <c r="AW140" s="137">
        <f t="shared" si="36"/>
        <v>121.94182034000001</v>
      </c>
      <c r="AX140" s="137">
        <f t="shared" si="37"/>
        <v>39.958870699999999</v>
      </c>
      <c r="AY140" s="137">
        <f t="shared" si="38"/>
        <v>6.5134050019999998</v>
      </c>
      <c r="AZ140" s="137">
        <f t="shared" si="39"/>
        <v>1.7365565273000001E-2</v>
      </c>
      <c r="BA140" s="137">
        <f t="shared" si="40"/>
        <v>27.986116803000002</v>
      </c>
      <c r="BB140" s="137">
        <f t="shared" si="41"/>
        <v>8.2826485400000003</v>
      </c>
      <c r="BC140" s="137">
        <f t="shared" si="23"/>
        <v>5.6655061260000004</v>
      </c>
      <c r="BD140" s="137">
        <f t="shared" si="24"/>
        <v>1.4910585337000001E-2</v>
      </c>
      <c r="BE140" s="137">
        <f t="shared" si="25"/>
        <v>8.4920781079999994</v>
      </c>
      <c r="BF140" s="137">
        <f t="shared" si="26"/>
        <v>-7.9346900390000006E-3</v>
      </c>
      <c r="BG140" s="137">
        <f t="shared" si="27"/>
        <v>1.7773880212000002E-5</v>
      </c>
      <c r="BH140" s="137">
        <f t="shared" si="28"/>
        <v>0.14945126672</v>
      </c>
      <c r="BI140" s="137">
        <f t="shared" si="29"/>
        <v>0.32219066508999999</v>
      </c>
      <c r="BJ140" s="137">
        <f t="shared" si="30"/>
        <v>0.30738879406000003</v>
      </c>
      <c r="BK140" s="137">
        <f t="shared" si="31"/>
        <v>1.8603235845000003E-2</v>
      </c>
      <c r="BL140" s="137">
        <f t="shared" si="32"/>
        <v>3.1645680348000003</v>
      </c>
      <c r="BM140" s="137">
        <f t="shared" si="33"/>
        <v>0.33870505914999999</v>
      </c>
    </row>
    <row r="141" spans="1:65" x14ac:dyDescent="0.25">
      <c r="A141" s="149">
        <v>346</v>
      </c>
      <c r="B141" s="149">
        <v>43</v>
      </c>
      <c r="C141" s="61">
        <v>42.387597</v>
      </c>
      <c r="D141" s="61">
        <v>-71.099497</v>
      </c>
      <c r="E141" s="61" t="s">
        <v>265</v>
      </c>
      <c r="F141" s="149">
        <v>53</v>
      </c>
      <c r="G141" s="61" t="s">
        <v>565</v>
      </c>
      <c r="H141" s="61" t="s">
        <v>634</v>
      </c>
      <c r="I141" s="61">
        <v>42.365613000000003</v>
      </c>
      <c r="J141" s="61">
        <v>-71.009559999999993</v>
      </c>
      <c r="K141" s="61">
        <v>7.8292299280000002</v>
      </c>
      <c r="L141" s="61">
        <v>10.66</v>
      </c>
      <c r="M141" s="61" t="s">
        <v>617</v>
      </c>
      <c r="N141" s="149">
        <v>42</v>
      </c>
      <c r="O141" s="149">
        <v>43</v>
      </c>
      <c r="P141" s="61" t="s">
        <v>565</v>
      </c>
      <c r="Q141" s="61" t="s">
        <v>555</v>
      </c>
      <c r="R141" s="61">
        <v>40.6895314</v>
      </c>
      <c r="S141" s="61">
        <v>-74.174462399999996</v>
      </c>
      <c r="T141" s="61">
        <v>363.73599999999999</v>
      </c>
      <c r="U141" s="61" t="s">
        <v>617</v>
      </c>
      <c r="V141" s="61" t="s">
        <v>617</v>
      </c>
      <c r="W141" s="61"/>
      <c r="Y141" s="137">
        <f>Summary_LCIA!H$32</f>
        <v>0.33979999999999999</v>
      </c>
      <c r="Z141" s="137">
        <f>Summary_LCIA!Q$32</f>
        <v>4.9560504329999997</v>
      </c>
      <c r="AA141" s="137">
        <f>Summary_LCIA!R$32</f>
        <v>5.2655999999999996E-3</v>
      </c>
      <c r="AB141" s="137">
        <f>Summary_LCIA!S$32</f>
        <v>0.33538000000000001</v>
      </c>
      <c r="AC141" s="137">
        <f>Summary_LCIA!T$32</f>
        <v>0.1099</v>
      </c>
      <c r="AD141" s="137">
        <f>Summary_LCIA!U$32</f>
        <v>1.7913999999999999E-2</v>
      </c>
      <c r="AE141" s="137">
        <f>Summary_LCIA!V$32</f>
        <v>4.7760999999999999E-5</v>
      </c>
      <c r="AF141" s="137">
        <f>Summary_LCIA!W$32</f>
        <v>7.6970999999999998E-2</v>
      </c>
      <c r="AG141" s="137">
        <f>Summary_LCIA!X$32</f>
        <v>2.2780000000000002E-2</v>
      </c>
      <c r="AH141" s="137">
        <f>Summary_LCIA!Y$32</f>
        <v>1.5582E-2</v>
      </c>
      <c r="AI141" s="137">
        <f>Summary_LCIA!Z$32</f>
        <v>4.1009E-5</v>
      </c>
      <c r="AJ141" s="137">
        <f>Summary_LCIA!AA$32</f>
        <v>2.3355999999999998E-2</v>
      </c>
      <c r="AK141" s="137">
        <f>Summary_LCIA!AB$32</f>
        <v>-2.1823000000000001E-5</v>
      </c>
      <c r="AL141" s="137">
        <f>Summary_LCIA!AC$32</f>
        <v>4.8884000000000003E-8</v>
      </c>
      <c r="AM141" s="137">
        <f>Summary_LCIA!AD$32</f>
        <v>4.1103999999999999E-4</v>
      </c>
      <c r="AN141" s="137">
        <f>Summary_LCIA!AE$32</f>
        <v>8.8612999999999995E-4</v>
      </c>
      <c r="AO141" s="137">
        <f>Summary_LCIA!AF$32</f>
        <v>8.4542000000000005E-4</v>
      </c>
      <c r="AP141" s="137">
        <f>Summary_LCIA!AG$32</f>
        <v>5.1165000000000002E-5</v>
      </c>
      <c r="AQ141" s="137">
        <f>Summary_LCIA!AH$32</f>
        <v>8.7036000000000006E-3</v>
      </c>
      <c r="AR141" s="137">
        <f>Summary_LCIA!AI$32</f>
        <v>9.3154999999999996E-4</v>
      </c>
      <c r="AT141" s="137">
        <f t="shared" si="42"/>
        <v>123.5974928</v>
      </c>
      <c r="AU141" s="137">
        <f t="shared" si="34"/>
        <v>1802.6939602976879</v>
      </c>
      <c r="AV141" s="137">
        <f t="shared" si="35"/>
        <v>1.9152882815999999</v>
      </c>
      <c r="AW141" s="137">
        <f t="shared" si="36"/>
        <v>121.98977968</v>
      </c>
      <c r="AX141" s="137">
        <f t="shared" si="37"/>
        <v>39.9745864</v>
      </c>
      <c r="AY141" s="137">
        <f t="shared" si="38"/>
        <v>6.5159667039999993</v>
      </c>
      <c r="AZ141" s="137">
        <f t="shared" si="39"/>
        <v>1.7372395095999998E-2</v>
      </c>
      <c r="BA141" s="137">
        <f t="shared" si="40"/>
        <v>27.997123655999999</v>
      </c>
      <c r="BB141" s="137">
        <f t="shared" si="41"/>
        <v>8.2859060800000002</v>
      </c>
      <c r="BC141" s="137">
        <f t="shared" si="23"/>
        <v>5.6677343520000001</v>
      </c>
      <c r="BD141" s="137">
        <f t="shared" si="24"/>
        <v>1.4916449623999999E-2</v>
      </c>
      <c r="BE141" s="137">
        <f t="shared" si="25"/>
        <v>8.4954180159999986</v>
      </c>
      <c r="BF141" s="137">
        <f t="shared" si="26"/>
        <v>-7.9378107280000006E-3</v>
      </c>
      <c r="BG141" s="137">
        <f t="shared" si="27"/>
        <v>1.7780870624E-5</v>
      </c>
      <c r="BH141" s="137">
        <f t="shared" si="28"/>
        <v>0.14951004543999999</v>
      </c>
      <c r="BI141" s="137">
        <f t="shared" si="29"/>
        <v>0.32231738167999996</v>
      </c>
      <c r="BJ141" s="137">
        <f t="shared" si="30"/>
        <v>0.30750968911999998</v>
      </c>
      <c r="BK141" s="137">
        <f t="shared" si="31"/>
        <v>1.8610552440000001E-2</v>
      </c>
      <c r="BL141" s="137">
        <f t="shared" si="32"/>
        <v>3.1658126496000003</v>
      </c>
      <c r="BM141" s="137">
        <f t="shared" si="33"/>
        <v>0.33883827079999995</v>
      </c>
    </row>
    <row r="142" spans="1:65" x14ac:dyDescent="0.25">
      <c r="A142" s="149">
        <v>160</v>
      </c>
      <c r="B142" s="149">
        <v>43</v>
      </c>
      <c r="C142" s="61">
        <v>42.360081999999998</v>
      </c>
      <c r="D142" s="61">
        <v>-71.058880000000002</v>
      </c>
      <c r="E142" s="61" t="s">
        <v>265</v>
      </c>
      <c r="F142" s="149">
        <v>53</v>
      </c>
      <c r="G142" s="61" t="s">
        <v>565</v>
      </c>
      <c r="H142" s="61" t="s">
        <v>634</v>
      </c>
      <c r="I142" s="61">
        <v>42.365613000000003</v>
      </c>
      <c r="J142" s="61">
        <v>-71.009559999999993</v>
      </c>
      <c r="K142" s="61">
        <v>4.3433329829999998</v>
      </c>
      <c r="L142" s="61">
        <v>5.3479999999999999</v>
      </c>
      <c r="M142" s="61" t="s">
        <v>617</v>
      </c>
      <c r="N142" s="149">
        <v>42</v>
      </c>
      <c r="O142" s="149">
        <v>43</v>
      </c>
      <c r="P142" s="61" t="s">
        <v>565</v>
      </c>
      <c r="Q142" s="61" t="s">
        <v>555</v>
      </c>
      <c r="R142" s="61">
        <v>40.6895314</v>
      </c>
      <c r="S142" s="61">
        <v>-74.174462399999996</v>
      </c>
      <c r="T142" s="61">
        <v>367.16399999999999</v>
      </c>
      <c r="U142" s="61" t="s">
        <v>617</v>
      </c>
      <c r="V142" s="61" t="s">
        <v>617</v>
      </c>
      <c r="W142" s="61"/>
      <c r="Y142" s="137">
        <f>Summary_LCIA!H$32</f>
        <v>0.33979999999999999</v>
      </c>
      <c r="Z142" s="137">
        <f>Summary_LCIA!Q$32</f>
        <v>4.9560504329999997</v>
      </c>
      <c r="AA142" s="137">
        <f>Summary_LCIA!R$32</f>
        <v>5.2655999999999996E-3</v>
      </c>
      <c r="AB142" s="137">
        <f>Summary_LCIA!S$32</f>
        <v>0.33538000000000001</v>
      </c>
      <c r="AC142" s="137">
        <f>Summary_LCIA!T$32</f>
        <v>0.1099</v>
      </c>
      <c r="AD142" s="137">
        <f>Summary_LCIA!U$32</f>
        <v>1.7913999999999999E-2</v>
      </c>
      <c r="AE142" s="137">
        <f>Summary_LCIA!V$32</f>
        <v>4.7760999999999999E-5</v>
      </c>
      <c r="AF142" s="137">
        <f>Summary_LCIA!W$32</f>
        <v>7.6970999999999998E-2</v>
      </c>
      <c r="AG142" s="137">
        <f>Summary_LCIA!X$32</f>
        <v>2.2780000000000002E-2</v>
      </c>
      <c r="AH142" s="137">
        <f>Summary_LCIA!Y$32</f>
        <v>1.5582E-2</v>
      </c>
      <c r="AI142" s="137">
        <f>Summary_LCIA!Z$32</f>
        <v>4.1009E-5</v>
      </c>
      <c r="AJ142" s="137">
        <f>Summary_LCIA!AA$32</f>
        <v>2.3355999999999998E-2</v>
      </c>
      <c r="AK142" s="137">
        <f>Summary_LCIA!AB$32</f>
        <v>-2.1823000000000001E-5</v>
      </c>
      <c r="AL142" s="137">
        <f>Summary_LCIA!AC$32</f>
        <v>4.8884000000000003E-8</v>
      </c>
      <c r="AM142" s="137">
        <f>Summary_LCIA!AD$32</f>
        <v>4.1103999999999999E-4</v>
      </c>
      <c r="AN142" s="137">
        <f>Summary_LCIA!AE$32</f>
        <v>8.8612999999999995E-4</v>
      </c>
      <c r="AO142" s="137">
        <f>Summary_LCIA!AF$32</f>
        <v>8.4542000000000005E-4</v>
      </c>
      <c r="AP142" s="137">
        <f>Summary_LCIA!AG$32</f>
        <v>5.1165000000000002E-5</v>
      </c>
      <c r="AQ142" s="137">
        <f>Summary_LCIA!AH$32</f>
        <v>8.7036000000000006E-3</v>
      </c>
      <c r="AR142" s="137">
        <f>Summary_LCIA!AI$32</f>
        <v>9.3154999999999996E-4</v>
      </c>
      <c r="AT142" s="137">
        <f t="shared" si="42"/>
        <v>124.76232719999999</v>
      </c>
      <c r="AU142" s="137">
        <f t="shared" si="34"/>
        <v>1819.6833011820117</v>
      </c>
      <c r="AV142" s="137">
        <f t="shared" si="35"/>
        <v>1.9333387583999997</v>
      </c>
      <c r="AW142" s="137">
        <f t="shared" si="36"/>
        <v>123.13946232000001</v>
      </c>
      <c r="AX142" s="137">
        <f t="shared" si="37"/>
        <v>40.351323600000001</v>
      </c>
      <c r="AY142" s="137">
        <f t="shared" si="38"/>
        <v>6.5773758959999995</v>
      </c>
      <c r="AZ142" s="137">
        <f t="shared" si="39"/>
        <v>1.7536119803999998E-2</v>
      </c>
      <c r="BA142" s="137">
        <f t="shared" si="40"/>
        <v>28.260980243999999</v>
      </c>
      <c r="BB142" s="137">
        <f t="shared" si="41"/>
        <v>8.3639959200000007</v>
      </c>
      <c r="BC142" s="137">
        <f t="shared" si="23"/>
        <v>5.7211494480000002</v>
      </c>
      <c r="BD142" s="137">
        <f t="shared" si="24"/>
        <v>1.5057028476E-2</v>
      </c>
      <c r="BE142" s="137">
        <f t="shared" si="25"/>
        <v>8.575482383999999</v>
      </c>
      <c r="BF142" s="137">
        <f t="shared" si="26"/>
        <v>-8.0126199719999999E-3</v>
      </c>
      <c r="BG142" s="137">
        <f t="shared" si="27"/>
        <v>1.7948444976000001E-5</v>
      </c>
      <c r="BH142" s="137">
        <f t="shared" si="28"/>
        <v>0.15091909056</v>
      </c>
      <c r="BI142" s="137">
        <f t="shared" si="29"/>
        <v>0.32535503531999999</v>
      </c>
      <c r="BJ142" s="137">
        <f t="shared" si="30"/>
        <v>0.31040778887999998</v>
      </c>
      <c r="BK142" s="137">
        <f t="shared" si="31"/>
        <v>1.8785946059999999E-2</v>
      </c>
      <c r="BL142" s="137">
        <f t="shared" si="32"/>
        <v>3.1956485904000003</v>
      </c>
      <c r="BM142" s="137">
        <f t="shared" si="33"/>
        <v>0.3420316242</v>
      </c>
    </row>
    <row r="143" spans="1:65" x14ac:dyDescent="0.25">
      <c r="A143" s="149">
        <v>161</v>
      </c>
      <c r="B143" s="149">
        <v>43</v>
      </c>
      <c r="C143" s="61">
        <v>42.360081999999998</v>
      </c>
      <c r="D143" s="61">
        <v>-71.058880000000002</v>
      </c>
      <c r="E143" s="61" t="s">
        <v>265</v>
      </c>
      <c r="F143" s="149">
        <v>53</v>
      </c>
      <c r="G143" s="61" t="s">
        <v>565</v>
      </c>
      <c r="H143" s="61" t="s">
        <v>634</v>
      </c>
      <c r="I143" s="61">
        <v>42.365613000000003</v>
      </c>
      <c r="J143" s="61">
        <v>-71.009559999999993</v>
      </c>
      <c r="K143" s="61">
        <v>4.3433329829999998</v>
      </c>
      <c r="L143" s="61">
        <v>5.3479999999999999</v>
      </c>
      <c r="M143" s="61" t="s">
        <v>617</v>
      </c>
      <c r="N143" s="149">
        <v>42</v>
      </c>
      <c r="O143" s="149">
        <v>43</v>
      </c>
      <c r="P143" s="61" t="s">
        <v>565</v>
      </c>
      <c r="Q143" s="61" t="s">
        <v>555</v>
      </c>
      <c r="R143" s="61">
        <v>40.6895314</v>
      </c>
      <c r="S143" s="61">
        <v>-74.174462399999996</v>
      </c>
      <c r="T143" s="61">
        <v>367.16399999999999</v>
      </c>
      <c r="U143" s="61" t="s">
        <v>617</v>
      </c>
      <c r="V143" s="61" t="s">
        <v>617</v>
      </c>
      <c r="W143" s="61"/>
      <c r="Y143" s="137">
        <f>Summary_LCIA!H$32</f>
        <v>0.33979999999999999</v>
      </c>
      <c r="Z143" s="137">
        <f>Summary_LCIA!Q$32</f>
        <v>4.9560504329999997</v>
      </c>
      <c r="AA143" s="137">
        <f>Summary_LCIA!R$32</f>
        <v>5.2655999999999996E-3</v>
      </c>
      <c r="AB143" s="137">
        <f>Summary_LCIA!S$32</f>
        <v>0.33538000000000001</v>
      </c>
      <c r="AC143" s="137">
        <f>Summary_LCIA!T$32</f>
        <v>0.1099</v>
      </c>
      <c r="AD143" s="137">
        <f>Summary_LCIA!U$32</f>
        <v>1.7913999999999999E-2</v>
      </c>
      <c r="AE143" s="137">
        <f>Summary_LCIA!V$32</f>
        <v>4.7760999999999999E-5</v>
      </c>
      <c r="AF143" s="137">
        <f>Summary_LCIA!W$32</f>
        <v>7.6970999999999998E-2</v>
      </c>
      <c r="AG143" s="137">
        <f>Summary_LCIA!X$32</f>
        <v>2.2780000000000002E-2</v>
      </c>
      <c r="AH143" s="137">
        <f>Summary_LCIA!Y$32</f>
        <v>1.5582E-2</v>
      </c>
      <c r="AI143" s="137">
        <f>Summary_LCIA!Z$32</f>
        <v>4.1009E-5</v>
      </c>
      <c r="AJ143" s="137">
        <f>Summary_LCIA!AA$32</f>
        <v>2.3355999999999998E-2</v>
      </c>
      <c r="AK143" s="137">
        <f>Summary_LCIA!AB$32</f>
        <v>-2.1823000000000001E-5</v>
      </c>
      <c r="AL143" s="137">
        <f>Summary_LCIA!AC$32</f>
        <v>4.8884000000000003E-8</v>
      </c>
      <c r="AM143" s="137">
        <f>Summary_LCIA!AD$32</f>
        <v>4.1103999999999999E-4</v>
      </c>
      <c r="AN143" s="137">
        <f>Summary_LCIA!AE$32</f>
        <v>8.8612999999999995E-4</v>
      </c>
      <c r="AO143" s="137">
        <f>Summary_LCIA!AF$32</f>
        <v>8.4542000000000005E-4</v>
      </c>
      <c r="AP143" s="137">
        <f>Summary_LCIA!AG$32</f>
        <v>5.1165000000000002E-5</v>
      </c>
      <c r="AQ143" s="137">
        <f>Summary_LCIA!AH$32</f>
        <v>8.7036000000000006E-3</v>
      </c>
      <c r="AR143" s="137">
        <f>Summary_LCIA!AI$32</f>
        <v>9.3154999999999996E-4</v>
      </c>
      <c r="AT143" s="137">
        <f t="shared" si="42"/>
        <v>124.76232719999999</v>
      </c>
      <c r="AU143" s="137">
        <f t="shared" si="34"/>
        <v>1819.6833011820117</v>
      </c>
      <c r="AV143" s="137">
        <f t="shared" si="35"/>
        <v>1.9333387583999997</v>
      </c>
      <c r="AW143" s="137">
        <f t="shared" si="36"/>
        <v>123.13946232000001</v>
      </c>
      <c r="AX143" s="137">
        <f t="shared" si="37"/>
        <v>40.351323600000001</v>
      </c>
      <c r="AY143" s="137">
        <f t="shared" si="38"/>
        <v>6.5773758959999995</v>
      </c>
      <c r="AZ143" s="137">
        <f t="shared" si="39"/>
        <v>1.7536119803999998E-2</v>
      </c>
      <c r="BA143" s="137">
        <f t="shared" si="40"/>
        <v>28.260980243999999</v>
      </c>
      <c r="BB143" s="137">
        <f t="shared" si="41"/>
        <v>8.3639959200000007</v>
      </c>
      <c r="BC143" s="137">
        <f t="shared" ref="BC143:BC182" si="43">$T143*AH143</f>
        <v>5.7211494480000002</v>
      </c>
      <c r="BD143" s="137">
        <f t="shared" ref="BD143:BD182" si="44">$T143*AI143</f>
        <v>1.5057028476E-2</v>
      </c>
      <c r="BE143" s="137">
        <f t="shared" ref="BE143:BE182" si="45">$T143*AJ143</f>
        <v>8.575482383999999</v>
      </c>
      <c r="BF143" s="137">
        <f t="shared" ref="BF143:BF182" si="46">$T143*AK143</f>
        <v>-8.0126199719999999E-3</v>
      </c>
      <c r="BG143" s="137">
        <f t="shared" ref="BG143:BG182" si="47">$T143*AL143</f>
        <v>1.7948444976000001E-5</v>
      </c>
      <c r="BH143" s="137">
        <f t="shared" ref="BH143:BH182" si="48">$T143*AM143</f>
        <v>0.15091909056</v>
      </c>
      <c r="BI143" s="137">
        <f t="shared" ref="BI143:BI182" si="49">$T143*AN143</f>
        <v>0.32535503531999999</v>
      </c>
      <c r="BJ143" s="137">
        <f t="shared" ref="BJ143:BJ182" si="50">$T143*AO143</f>
        <v>0.31040778887999998</v>
      </c>
      <c r="BK143" s="137">
        <f t="shared" ref="BK143:BK182" si="51">$T143*AP143</f>
        <v>1.8785946059999999E-2</v>
      </c>
      <c r="BL143" s="137">
        <f t="shared" ref="BL143:BL182" si="52">$T143*AQ143</f>
        <v>3.1956485904000003</v>
      </c>
      <c r="BM143" s="137">
        <f t="shared" ref="BM143:BM182" si="53">$T143*AR143</f>
        <v>0.3420316242</v>
      </c>
    </row>
    <row r="144" spans="1:65" x14ac:dyDescent="0.25">
      <c r="A144" s="149">
        <v>162</v>
      </c>
      <c r="B144" s="149">
        <v>43</v>
      </c>
      <c r="C144" s="61">
        <v>42.360081999999998</v>
      </c>
      <c r="D144" s="61">
        <v>-71.058880000000002</v>
      </c>
      <c r="E144" s="61" t="s">
        <v>265</v>
      </c>
      <c r="F144" s="149">
        <v>53</v>
      </c>
      <c r="G144" s="61" t="s">
        <v>565</v>
      </c>
      <c r="H144" s="61" t="s">
        <v>634</v>
      </c>
      <c r="I144" s="61">
        <v>42.365613000000003</v>
      </c>
      <c r="J144" s="61">
        <v>-71.009559999999993</v>
      </c>
      <c r="K144" s="61">
        <v>4.3433329829999998</v>
      </c>
      <c r="L144" s="61">
        <v>5.3479999999999999</v>
      </c>
      <c r="M144" s="61" t="s">
        <v>617</v>
      </c>
      <c r="N144" s="149">
        <v>42</v>
      </c>
      <c r="O144" s="149">
        <v>43</v>
      </c>
      <c r="P144" s="61" t="s">
        <v>565</v>
      </c>
      <c r="Q144" s="61" t="s">
        <v>555</v>
      </c>
      <c r="R144" s="61">
        <v>40.6895314</v>
      </c>
      <c r="S144" s="61">
        <v>-74.174462399999996</v>
      </c>
      <c r="T144" s="61">
        <v>367.16399999999999</v>
      </c>
      <c r="U144" s="61" t="s">
        <v>617</v>
      </c>
      <c r="V144" s="61" t="s">
        <v>617</v>
      </c>
      <c r="W144" s="61"/>
      <c r="Y144" s="137">
        <f>Summary_LCIA!H$32</f>
        <v>0.33979999999999999</v>
      </c>
      <c r="Z144" s="137">
        <f>Summary_LCIA!Q$32</f>
        <v>4.9560504329999997</v>
      </c>
      <c r="AA144" s="137">
        <f>Summary_LCIA!R$32</f>
        <v>5.2655999999999996E-3</v>
      </c>
      <c r="AB144" s="137">
        <f>Summary_LCIA!S$32</f>
        <v>0.33538000000000001</v>
      </c>
      <c r="AC144" s="137">
        <f>Summary_LCIA!T$32</f>
        <v>0.1099</v>
      </c>
      <c r="AD144" s="137">
        <f>Summary_LCIA!U$32</f>
        <v>1.7913999999999999E-2</v>
      </c>
      <c r="AE144" s="137">
        <f>Summary_LCIA!V$32</f>
        <v>4.7760999999999999E-5</v>
      </c>
      <c r="AF144" s="137">
        <f>Summary_LCIA!W$32</f>
        <v>7.6970999999999998E-2</v>
      </c>
      <c r="AG144" s="137">
        <f>Summary_LCIA!X$32</f>
        <v>2.2780000000000002E-2</v>
      </c>
      <c r="AH144" s="137">
        <f>Summary_LCIA!Y$32</f>
        <v>1.5582E-2</v>
      </c>
      <c r="AI144" s="137">
        <f>Summary_LCIA!Z$32</f>
        <v>4.1009E-5</v>
      </c>
      <c r="AJ144" s="137">
        <f>Summary_LCIA!AA$32</f>
        <v>2.3355999999999998E-2</v>
      </c>
      <c r="AK144" s="137">
        <f>Summary_LCIA!AB$32</f>
        <v>-2.1823000000000001E-5</v>
      </c>
      <c r="AL144" s="137">
        <f>Summary_LCIA!AC$32</f>
        <v>4.8884000000000003E-8</v>
      </c>
      <c r="AM144" s="137">
        <f>Summary_LCIA!AD$32</f>
        <v>4.1103999999999999E-4</v>
      </c>
      <c r="AN144" s="137">
        <f>Summary_LCIA!AE$32</f>
        <v>8.8612999999999995E-4</v>
      </c>
      <c r="AO144" s="137">
        <f>Summary_LCIA!AF$32</f>
        <v>8.4542000000000005E-4</v>
      </c>
      <c r="AP144" s="137">
        <f>Summary_LCIA!AG$32</f>
        <v>5.1165000000000002E-5</v>
      </c>
      <c r="AQ144" s="137">
        <f>Summary_LCIA!AH$32</f>
        <v>8.7036000000000006E-3</v>
      </c>
      <c r="AR144" s="137">
        <f>Summary_LCIA!AI$32</f>
        <v>9.3154999999999996E-4</v>
      </c>
      <c r="AT144" s="137">
        <f t="shared" si="42"/>
        <v>124.76232719999999</v>
      </c>
      <c r="AU144" s="137">
        <f t="shared" ref="AU144:AU182" si="54">$T144*Z144</f>
        <v>1819.6833011820117</v>
      </c>
      <c r="AV144" s="137">
        <f t="shared" ref="AV144:AV182" si="55">$T144*AA144</f>
        <v>1.9333387583999997</v>
      </c>
      <c r="AW144" s="137">
        <f t="shared" ref="AW144:AW182" si="56">$T144*AB144</f>
        <v>123.13946232000001</v>
      </c>
      <c r="AX144" s="137">
        <f t="shared" ref="AX144:AX182" si="57">$T144*AC144</f>
        <v>40.351323600000001</v>
      </c>
      <c r="AY144" s="137">
        <f t="shared" ref="AY144:AY182" si="58">$T144*AD144</f>
        <v>6.5773758959999995</v>
      </c>
      <c r="AZ144" s="137">
        <f t="shared" ref="AZ144:AZ182" si="59">$T144*AE144</f>
        <v>1.7536119803999998E-2</v>
      </c>
      <c r="BA144" s="137">
        <f t="shared" ref="BA144:BA182" si="60">$T144*AF144</f>
        <v>28.260980243999999</v>
      </c>
      <c r="BB144" s="137">
        <f t="shared" ref="BB144:BB182" si="61">$T144*AG144</f>
        <v>8.3639959200000007</v>
      </c>
      <c r="BC144" s="137">
        <f t="shared" si="43"/>
        <v>5.7211494480000002</v>
      </c>
      <c r="BD144" s="137">
        <f t="shared" si="44"/>
        <v>1.5057028476E-2</v>
      </c>
      <c r="BE144" s="137">
        <f t="shared" si="45"/>
        <v>8.575482383999999</v>
      </c>
      <c r="BF144" s="137">
        <f t="shared" si="46"/>
        <v>-8.0126199719999999E-3</v>
      </c>
      <c r="BG144" s="137">
        <f t="shared" si="47"/>
        <v>1.7948444976000001E-5</v>
      </c>
      <c r="BH144" s="137">
        <f t="shared" si="48"/>
        <v>0.15091909056</v>
      </c>
      <c r="BI144" s="137">
        <f t="shared" si="49"/>
        <v>0.32535503531999999</v>
      </c>
      <c r="BJ144" s="137">
        <f t="shared" si="50"/>
        <v>0.31040778887999998</v>
      </c>
      <c r="BK144" s="137">
        <f t="shared" si="51"/>
        <v>1.8785946059999999E-2</v>
      </c>
      <c r="BL144" s="137">
        <f t="shared" si="52"/>
        <v>3.1956485904000003</v>
      </c>
      <c r="BM144" s="137">
        <f t="shared" si="53"/>
        <v>0.3420316242</v>
      </c>
    </row>
    <row r="145" spans="1:65" x14ac:dyDescent="0.25">
      <c r="A145" s="149">
        <v>163</v>
      </c>
      <c r="B145" s="149">
        <v>43</v>
      </c>
      <c r="C145" s="61">
        <v>42.360081999999998</v>
      </c>
      <c r="D145" s="61">
        <v>-71.058880000000002</v>
      </c>
      <c r="E145" s="61" t="s">
        <v>265</v>
      </c>
      <c r="F145" s="149">
        <v>53</v>
      </c>
      <c r="G145" s="61" t="s">
        <v>565</v>
      </c>
      <c r="H145" s="61" t="s">
        <v>634</v>
      </c>
      <c r="I145" s="61">
        <v>42.365613000000003</v>
      </c>
      <c r="J145" s="61">
        <v>-71.009559999999993</v>
      </c>
      <c r="K145" s="61">
        <v>4.3433329829999998</v>
      </c>
      <c r="L145" s="61">
        <v>5.3479999999999999</v>
      </c>
      <c r="M145" s="61" t="s">
        <v>617</v>
      </c>
      <c r="N145" s="149">
        <v>42</v>
      </c>
      <c r="O145" s="149">
        <v>43</v>
      </c>
      <c r="P145" s="61" t="s">
        <v>565</v>
      </c>
      <c r="Q145" s="61" t="s">
        <v>555</v>
      </c>
      <c r="R145" s="61">
        <v>40.6895314</v>
      </c>
      <c r="S145" s="61">
        <v>-74.174462399999996</v>
      </c>
      <c r="T145" s="61">
        <v>367.16399999999999</v>
      </c>
      <c r="U145" s="61" t="s">
        <v>617</v>
      </c>
      <c r="V145" s="61" t="s">
        <v>617</v>
      </c>
      <c r="W145" s="61"/>
      <c r="Y145" s="137">
        <f>Summary_LCIA!H$32</f>
        <v>0.33979999999999999</v>
      </c>
      <c r="Z145" s="137">
        <f>Summary_LCIA!Q$32</f>
        <v>4.9560504329999997</v>
      </c>
      <c r="AA145" s="137">
        <f>Summary_LCIA!R$32</f>
        <v>5.2655999999999996E-3</v>
      </c>
      <c r="AB145" s="137">
        <f>Summary_LCIA!S$32</f>
        <v>0.33538000000000001</v>
      </c>
      <c r="AC145" s="137">
        <f>Summary_LCIA!T$32</f>
        <v>0.1099</v>
      </c>
      <c r="AD145" s="137">
        <f>Summary_LCIA!U$32</f>
        <v>1.7913999999999999E-2</v>
      </c>
      <c r="AE145" s="137">
        <f>Summary_LCIA!V$32</f>
        <v>4.7760999999999999E-5</v>
      </c>
      <c r="AF145" s="137">
        <f>Summary_LCIA!W$32</f>
        <v>7.6970999999999998E-2</v>
      </c>
      <c r="AG145" s="137">
        <f>Summary_LCIA!X$32</f>
        <v>2.2780000000000002E-2</v>
      </c>
      <c r="AH145" s="137">
        <f>Summary_LCIA!Y$32</f>
        <v>1.5582E-2</v>
      </c>
      <c r="AI145" s="137">
        <f>Summary_LCIA!Z$32</f>
        <v>4.1009E-5</v>
      </c>
      <c r="AJ145" s="137">
        <f>Summary_LCIA!AA$32</f>
        <v>2.3355999999999998E-2</v>
      </c>
      <c r="AK145" s="137">
        <f>Summary_LCIA!AB$32</f>
        <v>-2.1823000000000001E-5</v>
      </c>
      <c r="AL145" s="137">
        <f>Summary_LCIA!AC$32</f>
        <v>4.8884000000000003E-8</v>
      </c>
      <c r="AM145" s="137">
        <f>Summary_LCIA!AD$32</f>
        <v>4.1103999999999999E-4</v>
      </c>
      <c r="AN145" s="137">
        <f>Summary_LCIA!AE$32</f>
        <v>8.8612999999999995E-4</v>
      </c>
      <c r="AO145" s="137">
        <f>Summary_LCIA!AF$32</f>
        <v>8.4542000000000005E-4</v>
      </c>
      <c r="AP145" s="137">
        <f>Summary_LCIA!AG$32</f>
        <v>5.1165000000000002E-5</v>
      </c>
      <c r="AQ145" s="137">
        <f>Summary_LCIA!AH$32</f>
        <v>8.7036000000000006E-3</v>
      </c>
      <c r="AR145" s="137">
        <f>Summary_LCIA!AI$32</f>
        <v>9.3154999999999996E-4</v>
      </c>
      <c r="AT145" s="137">
        <f t="shared" si="42"/>
        <v>124.76232719999999</v>
      </c>
      <c r="AU145" s="137">
        <f t="shared" si="54"/>
        <v>1819.6833011820117</v>
      </c>
      <c r="AV145" s="137">
        <f t="shared" si="55"/>
        <v>1.9333387583999997</v>
      </c>
      <c r="AW145" s="137">
        <f t="shared" si="56"/>
        <v>123.13946232000001</v>
      </c>
      <c r="AX145" s="137">
        <f t="shared" si="57"/>
        <v>40.351323600000001</v>
      </c>
      <c r="AY145" s="137">
        <f t="shared" si="58"/>
        <v>6.5773758959999995</v>
      </c>
      <c r="AZ145" s="137">
        <f t="shared" si="59"/>
        <v>1.7536119803999998E-2</v>
      </c>
      <c r="BA145" s="137">
        <f t="shared" si="60"/>
        <v>28.260980243999999</v>
      </c>
      <c r="BB145" s="137">
        <f t="shared" si="61"/>
        <v>8.3639959200000007</v>
      </c>
      <c r="BC145" s="137">
        <f t="shared" si="43"/>
        <v>5.7211494480000002</v>
      </c>
      <c r="BD145" s="137">
        <f t="shared" si="44"/>
        <v>1.5057028476E-2</v>
      </c>
      <c r="BE145" s="137">
        <f t="shared" si="45"/>
        <v>8.575482383999999</v>
      </c>
      <c r="BF145" s="137">
        <f t="shared" si="46"/>
        <v>-8.0126199719999999E-3</v>
      </c>
      <c r="BG145" s="137">
        <f t="shared" si="47"/>
        <v>1.7948444976000001E-5</v>
      </c>
      <c r="BH145" s="137">
        <f t="shared" si="48"/>
        <v>0.15091909056</v>
      </c>
      <c r="BI145" s="137">
        <f t="shared" si="49"/>
        <v>0.32535503531999999</v>
      </c>
      <c r="BJ145" s="137">
        <f t="shared" si="50"/>
        <v>0.31040778887999998</v>
      </c>
      <c r="BK145" s="137">
        <f t="shared" si="51"/>
        <v>1.8785946059999999E-2</v>
      </c>
      <c r="BL145" s="137">
        <f t="shared" si="52"/>
        <v>3.1956485904000003</v>
      </c>
      <c r="BM145" s="137">
        <f t="shared" si="53"/>
        <v>0.3420316242</v>
      </c>
    </row>
    <row r="146" spans="1:65" x14ac:dyDescent="0.25">
      <c r="A146" s="149">
        <v>164</v>
      </c>
      <c r="B146" s="149">
        <v>43</v>
      </c>
      <c r="C146" s="61">
        <v>42.360081999999998</v>
      </c>
      <c r="D146" s="61">
        <v>-71.058880000000002</v>
      </c>
      <c r="E146" s="61" t="s">
        <v>265</v>
      </c>
      <c r="F146" s="149">
        <v>53</v>
      </c>
      <c r="G146" s="61" t="s">
        <v>565</v>
      </c>
      <c r="H146" s="61" t="s">
        <v>634</v>
      </c>
      <c r="I146" s="61">
        <v>42.365613000000003</v>
      </c>
      <c r="J146" s="61">
        <v>-71.009559999999993</v>
      </c>
      <c r="K146" s="61">
        <v>4.3433329829999998</v>
      </c>
      <c r="L146" s="61">
        <v>5.3479999999999999</v>
      </c>
      <c r="M146" s="61" t="s">
        <v>617</v>
      </c>
      <c r="N146" s="149">
        <v>42</v>
      </c>
      <c r="O146" s="149">
        <v>43</v>
      </c>
      <c r="P146" s="61" t="s">
        <v>565</v>
      </c>
      <c r="Q146" s="61" t="s">
        <v>555</v>
      </c>
      <c r="R146" s="61">
        <v>40.6895314</v>
      </c>
      <c r="S146" s="61">
        <v>-74.174462399999996</v>
      </c>
      <c r="T146" s="61">
        <v>367.16399999999999</v>
      </c>
      <c r="U146" s="61" t="s">
        <v>617</v>
      </c>
      <c r="V146" s="61" t="s">
        <v>617</v>
      </c>
      <c r="W146" s="61"/>
      <c r="Y146" s="137">
        <f>Summary_LCIA!H$32</f>
        <v>0.33979999999999999</v>
      </c>
      <c r="Z146" s="137">
        <f>Summary_LCIA!Q$32</f>
        <v>4.9560504329999997</v>
      </c>
      <c r="AA146" s="137">
        <f>Summary_LCIA!R$32</f>
        <v>5.2655999999999996E-3</v>
      </c>
      <c r="AB146" s="137">
        <f>Summary_LCIA!S$32</f>
        <v>0.33538000000000001</v>
      </c>
      <c r="AC146" s="137">
        <f>Summary_LCIA!T$32</f>
        <v>0.1099</v>
      </c>
      <c r="AD146" s="137">
        <f>Summary_LCIA!U$32</f>
        <v>1.7913999999999999E-2</v>
      </c>
      <c r="AE146" s="137">
        <f>Summary_LCIA!V$32</f>
        <v>4.7760999999999999E-5</v>
      </c>
      <c r="AF146" s="137">
        <f>Summary_LCIA!W$32</f>
        <v>7.6970999999999998E-2</v>
      </c>
      <c r="AG146" s="137">
        <f>Summary_LCIA!X$32</f>
        <v>2.2780000000000002E-2</v>
      </c>
      <c r="AH146" s="137">
        <f>Summary_LCIA!Y$32</f>
        <v>1.5582E-2</v>
      </c>
      <c r="AI146" s="137">
        <f>Summary_LCIA!Z$32</f>
        <v>4.1009E-5</v>
      </c>
      <c r="AJ146" s="137">
        <f>Summary_LCIA!AA$32</f>
        <v>2.3355999999999998E-2</v>
      </c>
      <c r="AK146" s="137">
        <f>Summary_LCIA!AB$32</f>
        <v>-2.1823000000000001E-5</v>
      </c>
      <c r="AL146" s="137">
        <f>Summary_LCIA!AC$32</f>
        <v>4.8884000000000003E-8</v>
      </c>
      <c r="AM146" s="137">
        <f>Summary_LCIA!AD$32</f>
        <v>4.1103999999999999E-4</v>
      </c>
      <c r="AN146" s="137">
        <f>Summary_LCIA!AE$32</f>
        <v>8.8612999999999995E-4</v>
      </c>
      <c r="AO146" s="137">
        <f>Summary_LCIA!AF$32</f>
        <v>8.4542000000000005E-4</v>
      </c>
      <c r="AP146" s="137">
        <f>Summary_LCIA!AG$32</f>
        <v>5.1165000000000002E-5</v>
      </c>
      <c r="AQ146" s="137">
        <f>Summary_LCIA!AH$32</f>
        <v>8.7036000000000006E-3</v>
      </c>
      <c r="AR146" s="137">
        <f>Summary_LCIA!AI$32</f>
        <v>9.3154999999999996E-4</v>
      </c>
      <c r="AT146" s="137">
        <f t="shared" si="42"/>
        <v>124.76232719999999</v>
      </c>
      <c r="AU146" s="137">
        <f t="shared" si="54"/>
        <v>1819.6833011820117</v>
      </c>
      <c r="AV146" s="137">
        <f t="shared" si="55"/>
        <v>1.9333387583999997</v>
      </c>
      <c r="AW146" s="137">
        <f t="shared" si="56"/>
        <v>123.13946232000001</v>
      </c>
      <c r="AX146" s="137">
        <f t="shared" si="57"/>
        <v>40.351323600000001</v>
      </c>
      <c r="AY146" s="137">
        <f t="shared" si="58"/>
        <v>6.5773758959999995</v>
      </c>
      <c r="AZ146" s="137">
        <f t="shared" si="59"/>
        <v>1.7536119803999998E-2</v>
      </c>
      <c r="BA146" s="137">
        <f t="shared" si="60"/>
        <v>28.260980243999999</v>
      </c>
      <c r="BB146" s="137">
        <f t="shared" si="61"/>
        <v>8.3639959200000007</v>
      </c>
      <c r="BC146" s="137">
        <f t="shared" si="43"/>
        <v>5.7211494480000002</v>
      </c>
      <c r="BD146" s="137">
        <f t="shared" si="44"/>
        <v>1.5057028476E-2</v>
      </c>
      <c r="BE146" s="137">
        <f t="shared" si="45"/>
        <v>8.575482383999999</v>
      </c>
      <c r="BF146" s="137">
        <f t="shared" si="46"/>
        <v>-8.0126199719999999E-3</v>
      </c>
      <c r="BG146" s="137">
        <f t="shared" si="47"/>
        <v>1.7948444976000001E-5</v>
      </c>
      <c r="BH146" s="137">
        <f t="shared" si="48"/>
        <v>0.15091909056</v>
      </c>
      <c r="BI146" s="137">
        <f t="shared" si="49"/>
        <v>0.32535503531999999</v>
      </c>
      <c r="BJ146" s="137">
        <f t="shared" si="50"/>
        <v>0.31040778887999998</v>
      </c>
      <c r="BK146" s="137">
        <f t="shared" si="51"/>
        <v>1.8785946059999999E-2</v>
      </c>
      <c r="BL146" s="137">
        <f t="shared" si="52"/>
        <v>3.1956485904000003</v>
      </c>
      <c r="BM146" s="137">
        <f t="shared" si="53"/>
        <v>0.3420316242</v>
      </c>
    </row>
    <row r="147" spans="1:65" x14ac:dyDescent="0.25">
      <c r="A147" s="149">
        <v>165</v>
      </c>
      <c r="B147" s="149">
        <v>43</v>
      </c>
      <c r="C147" s="61">
        <v>42.360081999999998</v>
      </c>
      <c r="D147" s="61">
        <v>-71.058880000000002</v>
      </c>
      <c r="E147" s="61" t="s">
        <v>265</v>
      </c>
      <c r="F147" s="149">
        <v>53</v>
      </c>
      <c r="G147" s="61" t="s">
        <v>565</v>
      </c>
      <c r="H147" s="61" t="s">
        <v>634</v>
      </c>
      <c r="I147" s="61">
        <v>42.365613000000003</v>
      </c>
      <c r="J147" s="61">
        <v>-71.009559999999993</v>
      </c>
      <c r="K147" s="61">
        <v>4.3433329829999998</v>
      </c>
      <c r="L147" s="61">
        <v>5.3479999999999999</v>
      </c>
      <c r="M147" s="61" t="s">
        <v>617</v>
      </c>
      <c r="N147" s="149">
        <v>42</v>
      </c>
      <c r="O147" s="149">
        <v>43</v>
      </c>
      <c r="P147" s="61" t="s">
        <v>565</v>
      </c>
      <c r="Q147" s="61" t="s">
        <v>555</v>
      </c>
      <c r="R147" s="61">
        <v>40.6895314</v>
      </c>
      <c r="S147" s="61">
        <v>-74.174462399999996</v>
      </c>
      <c r="T147" s="61">
        <v>367.16399999999999</v>
      </c>
      <c r="U147" s="61" t="s">
        <v>617</v>
      </c>
      <c r="V147" s="61" t="s">
        <v>617</v>
      </c>
      <c r="W147" s="61"/>
      <c r="Y147" s="137">
        <f>Summary_LCIA!H$32</f>
        <v>0.33979999999999999</v>
      </c>
      <c r="Z147" s="137">
        <f>Summary_LCIA!Q$32</f>
        <v>4.9560504329999997</v>
      </c>
      <c r="AA147" s="137">
        <f>Summary_LCIA!R$32</f>
        <v>5.2655999999999996E-3</v>
      </c>
      <c r="AB147" s="137">
        <f>Summary_LCIA!S$32</f>
        <v>0.33538000000000001</v>
      </c>
      <c r="AC147" s="137">
        <f>Summary_LCIA!T$32</f>
        <v>0.1099</v>
      </c>
      <c r="AD147" s="137">
        <f>Summary_LCIA!U$32</f>
        <v>1.7913999999999999E-2</v>
      </c>
      <c r="AE147" s="137">
        <f>Summary_LCIA!V$32</f>
        <v>4.7760999999999999E-5</v>
      </c>
      <c r="AF147" s="137">
        <f>Summary_LCIA!W$32</f>
        <v>7.6970999999999998E-2</v>
      </c>
      <c r="AG147" s="137">
        <f>Summary_LCIA!X$32</f>
        <v>2.2780000000000002E-2</v>
      </c>
      <c r="AH147" s="137">
        <f>Summary_LCIA!Y$32</f>
        <v>1.5582E-2</v>
      </c>
      <c r="AI147" s="137">
        <f>Summary_LCIA!Z$32</f>
        <v>4.1009E-5</v>
      </c>
      <c r="AJ147" s="137">
        <f>Summary_LCIA!AA$32</f>
        <v>2.3355999999999998E-2</v>
      </c>
      <c r="AK147" s="137">
        <f>Summary_LCIA!AB$32</f>
        <v>-2.1823000000000001E-5</v>
      </c>
      <c r="AL147" s="137">
        <f>Summary_LCIA!AC$32</f>
        <v>4.8884000000000003E-8</v>
      </c>
      <c r="AM147" s="137">
        <f>Summary_LCIA!AD$32</f>
        <v>4.1103999999999999E-4</v>
      </c>
      <c r="AN147" s="137">
        <f>Summary_LCIA!AE$32</f>
        <v>8.8612999999999995E-4</v>
      </c>
      <c r="AO147" s="137">
        <f>Summary_LCIA!AF$32</f>
        <v>8.4542000000000005E-4</v>
      </c>
      <c r="AP147" s="137">
        <f>Summary_LCIA!AG$32</f>
        <v>5.1165000000000002E-5</v>
      </c>
      <c r="AQ147" s="137">
        <f>Summary_LCIA!AH$32</f>
        <v>8.7036000000000006E-3</v>
      </c>
      <c r="AR147" s="137">
        <f>Summary_LCIA!AI$32</f>
        <v>9.3154999999999996E-4</v>
      </c>
      <c r="AT147" s="137">
        <f t="shared" si="42"/>
        <v>124.76232719999999</v>
      </c>
      <c r="AU147" s="137">
        <f t="shared" si="54"/>
        <v>1819.6833011820117</v>
      </c>
      <c r="AV147" s="137">
        <f t="shared" si="55"/>
        <v>1.9333387583999997</v>
      </c>
      <c r="AW147" s="137">
        <f t="shared" si="56"/>
        <v>123.13946232000001</v>
      </c>
      <c r="AX147" s="137">
        <f t="shared" si="57"/>
        <v>40.351323600000001</v>
      </c>
      <c r="AY147" s="137">
        <f t="shared" si="58"/>
        <v>6.5773758959999995</v>
      </c>
      <c r="AZ147" s="137">
        <f t="shared" si="59"/>
        <v>1.7536119803999998E-2</v>
      </c>
      <c r="BA147" s="137">
        <f t="shared" si="60"/>
        <v>28.260980243999999</v>
      </c>
      <c r="BB147" s="137">
        <f t="shared" si="61"/>
        <v>8.3639959200000007</v>
      </c>
      <c r="BC147" s="137">
        <f t="shared" si="43"/>
        <v>5.7211494480000002</v>
      </c>
      <c r="BD147" s="137">
        <f t="shared" si="44"/>
        <v>1.5057028476E-2</v>
      </c>
      <c r="BE147" s="137">
        <f t="shared" si="45"/>
        <v>8.575482383999999</v>
      </c>
      <c r="BF147" s="137">
        <f t="shared" si="46"/>
        <v>-8.0126199719999999E-3</v>
      </c>
      <c r="BG147" s="137">
        <f t="shared" si="47"/>
        <v>1.7948444976000001E-5</v>
      </c>
      <c r="BH147" s="137">
        <f t="shared" si="48"/>
        <v>0.15091909056</v>
      </c>
      <c r="BI147" s="137">
        <f t="shared" si="49"/>
        <v>0.32535503531999999</v>
      </c>
      <c r="BJ147" s="137">
        <f t="shared" si="50"/>
        <v>0.31040778887999998</v>
      </c>
      <c r="BK147" s="137">
        <f t="shared" si="51"/>
        <v>1.8785946059999999E-2</v>
      </c>
      <c r="BL147" s="137">
        <f t="shared" si="52"/>
        <v>3.1956485904000003</v>
      </c>
      <c r="BM147" s="137">
        <f t="shared" si="53"/>
        <v>0.3420316242</v>
      </c>
    </row>
    <row r="148" spans="1:65" x14ac:dyDescent="0.25">
      <c r="A148" s="149">
        <v>227</v>
      </c>
      <c r="B148" s="149">
        <v>43</v>
      </c>
      <c r="C148" s="61">
        <v>42.360070999999998</v>
      </c>
      <c r="D148" s="61">
        <v>-71.05883</v>
      </c>
      <c r="E148" s="61" t="s">
        <v>265</v>
      </c>
      <c r="F148" s="149">
        <v>53</v>
      </c>
      <c r="G148" s="61" t="s">
        <v>565</v>
      </c>
      <c r="H148" s="61" t="s">
        <v>634</v>
      </c>
      <c r="I148" s="61">
        <v>42.365613000000003</v>
      </c>
      <c r="J148" s="61">
        <v>-71.009559999999993</v>
      </c>
      <c r="K148" s="61">
        <v>4.3397988529999996</v>
      </c>
      <c r="L148" s="61">
        <v>5.351</v>
      </c>
      <c r="M148" s="61" t="s">
        <v>617</v>
      </c>
      <c r="N148" s="149">
        <v>42</v>
      </c>
      <c r="O148" s="149">
        <v>43</v>
      </c>
      <c r="P148" s="61" t="s">
        <v>565</v>
      </c>
      <c r="Q148" s="61" t="s">
        <v>555</v>
      </c>
      <c r="R148" s="61">
        <v>40.6895314</v>
      </c>
      <c r="S148" s="61">
        <v>-74.174462399999996</v>
      </c>
      <c r="T148" s="61">
        <v>367.16699999999997</v>
      </c>
      <c r="U148" s="61" t="s">
        <v>617</v>
      </c>
      <c r="V148" s="61" t="s">
        <v>617</v>
      </c>
      <c r="W148" s="61"/>
      <c r="Y148" s="137">
        <f>Summary_LCIA!H$32</f>
        <v>0.33979999999999999</v>
      </c>
      <c r="Z148" s="137">
        <f>Summary_LCIA!Q$32</f>
        <v>4.9560504329999997</v>
      </c>
      <c r="AA148" s="137">
        <f>Summary_LCIA!R$32</f>
        <v>5.2655999999999996E-3</v>
      </c>
      <c r="AB148" s="137">
        <f>Summary_LCIA!S$32</f>
        <v>0.33538000000000001</v>
      </c>
      <c r="AC148" s="137">
        <f>Summary_LCIA!T$32</f>
        <v>0.1099</v>
      </c>
      <c r="AD148" s="137">
        <f>Summary_LCIA!U$32</f>
        <v>1.7913999999999999E-2</v>
      </c>
      <c r="AE148" s="137">
        <f>Summary_LCIA!V$32</f>
        <v>4.7760999999999999E-5</v>
      </c>
      <c r="AF148" s="137">
        <f>Summary_LCIA!W$32</f>
        <v>7.6970999999999998E-2</v>
      </c>
      <c r="AG148" s="137">
        <f>Summary_LCIA!X$32</f>
        <v>2.2780000000000002E-2</v>
      </c>
      <c r="AH148" s="137">
        <f>Summary_LCIA!Y$32</f>
        <v>1.5582E-2</v>
      </c>
      <c r="AI148" s="137">
        <f>Summary_LCIA!Z$32</f>
        <v>4.1009E-5</v>
      </c>
      <c r="AJ148" s="137">
        <f>Summary_LCIA!AA$32</f>
        <v>2.3355999999999998E-2</v>
      </c>
      <c r="AK148" s="137">
        <f>Summary_LCIA!AB$32</f>
        <v>-2.1823000000000001E-5</v>
      </c>
      <c r="AL148" s="137">
        <f>Summary_LCIA!AC$32</f>
        <v>4.8884000000000003E-8</v>
      </c>
      <c r="AM148" s="137">
        <f>Summary_LCIA!AD$32</f>
        <v>4.1103999999999999E-4</v>
      </c>
      <c r="AN148" s="137">
        <f>Summary_LCIA!AE$32</f>
        <v>8.8612999999999995E-4</v>
      </c>
      <c r="AO148" s="137">
        <f>Summary_LCIA!AF$32</f>
        <v>8.4542000000000005E-4</v>
      </c>
      <c r="AP148" s="137">
        <f>Summary_LCIA!AG$32</f>
        <v>5.1165000000000002E-5</v>
      </c>
      <c r="AQ148" s="137">
        <f>Summary_LCIA!AH$32</f>
        <v>8.7036000000000006E-3</v>
      </c>
      <c r="AR148" s="137">
        <f>Summary_LCIA!AI$32</f>
        <v>9.3154999999999996E-4</v>
      </c>
      <c r="AT148" s="137">
        <f t="shared" si="42"/>
        <v>124.76334659999999</v>
      </c>
      <c r="AU148" s="137">
        <f t="shared" si="54"/>
        <v>1819.6981693333107</v>
      </c>
      <c r="AV148" s="137">
        <f t="shared" si="55"/>
        <v>1.9333545551999998</v>
      </c>
      <c r="AW148" s="137">
        <f t="shared" si="56"/>
        <v>123.14046845999999</v>
      </c>
      <c r="AX148" s="137">
        <f t="shared" si="57"/>
        <v>40.351653299999995</v>
      </c>
      <c r="AY148" s="137">
        <f t="shared" si="58"/>
        <v>6.577429637999999</v>
      </c>
      <c r="AZ148" s="137">
        <f t="shared" si="59"/>
        <v>1.7536263086999997E-2</v>
      </c>
      <c r="BA148" s="137">
        <f t="shared" si="60"/>
        <v>28.261211156999998</v>
      </c>
      <c r="BB148" s="137">
        <f t="shared" si="61"/>
        <v>8.3640642599999993</v>
      </c>
      <c r="BC148" s="137">
        <f t="shared" si="43"/>
        <v>5.721196194</v>
      </c>
      <c r="BD148" s="137">
        <f t="shared" si="44"/>
        <v>1.5057151502999999E-2</v>
      </c>
      <c r="BE148" s="137">
        <f t="shared" si="45"/>
        <v>8.5755524519999984</v>
      </c>
      <c r="BF148" s="137">
        <f t="shared" si="46"/>
        <v>-8.012685440999999E-3</v>
      </c>
      <c r="BG148" s="137">
        <f t="shared" si="47"/>
        <v>1.7948591628E-5</v>
      </c>
      <c r="BH148" s="137">
        <f t="shared" si="48"/>
        <v>0.15092032368</v>
      </c>
      <c r="BI148" s="137">
        <f t="shared" si="49"/>
        <v>0.32535769370999995</v>
      </c>
      <c r="BJ148" s="137">
        <f t="shared" si="50"/>
        <v>0.31041032514</v>
      </c>
      <c r="BK148" s="137">
        <f t="shared" si="51"/>
        <v>1.8786099554999998E-2</v>
      </c>
      <c r="BL148" s="137">
        <f t="shared" si="52"/>
        <v>3.1956747012000002</v>
      </c>
      <c r="BM148" s="137">
        <f t="shared" si="53"/>
        <v>0.34203441884999997</v>
      </c>
    </row>
    <row r="149" spans="1:65" x14ac:dyDescent="0.25">
      <c r="A149" s="149">
        <v>100</v>
      </c>
      <c r="B149" s="149">
        <v>43</v>
      </c>
      <c r="C149" s="61">
        <v>42.362706000000003</v>
      </c>
      <c r="D149" s="61">
        <v>-71.068657999999999</v>
      </c>
      <c r="E149" s="61" t="s">
        <v>265</v>
      </c>
      <c r="F149" s="149">
        <v>53</v>
      </c>
      <c r="G149" s="61" t="s">
        <v>565</v>
      </c>
      <c r="H149" s="61" t="s">
        <v>634</v>
      </c>
      <c r="I149" s="61">
        <v>42.365613000000003</v>
      </c>
      <c r="J149" s="61">
        <v>-71.009559999999993</v>
      </c>
      <c r="K149" s="61">
        <v>5.0515925839999998</v>
      </c>
      <c r="L149" s="61">
        <v>6.5289999999999999</v>
      </c>
      <c r="M149" s="61" t="s">
        <v>617</v>
      </c>
      <c r="N149" s="149">
        <v>42</v>
      </c>
      <c r="O149" s="149">
        <v>43</v>
      </c>
      <c r="P149" s="61" t="s">
        <v>565</v>
      </c>
      <c r="Q149" s="61" t="s">
        <v>555</v>
      </c>
      <c r="R149" s="61">
        <v>40.6895314</v>
      </c>
      <c r="S149" s="61">
        <v>-74.174462399999996</v>
      </c>
      <c r="T149" s="61">
        <v>368.303</v>
      </c>
      <c r="U149" s="61" t="s">
        <v>617</v>
      </c>
      <c r="V149" s="61" t="s">
        <v>617</v>
      </c>
      <c r="W149" s="61"/>
      <c r="Y149" s="137">
        <f>Summary_LCIA!H$32</f>
        <v>0.33979999999999999</v>
      </c>
      <c r="Z149" s="137">
        <f>Summary_LCIA!Q$32</f>
        <v>4.9560504329999997</v>
      </c>
      <c r="AA149" s="137">
        <f>Summary_LCIA!R$32</f>
        <v>5.2655999999999996E-3</v>
      </c>
      <c r="AB149" s="137">
        <f>Summary_LCIA!S$32</f>
        <v>0.33538000000000001</v>
      </c>
      <c r="AC149" s="137">
        <f>Summary_LCIA!T$32</f>
        <v>0.1099</v>
      </c>
      <c r="AD149" s="137">
        <f>Summary_LCIA!U$32</f>
        <v>1.7913999999999999E-2</v>
      </c>
      <c r="AE149" s="137">
        <f>Summary_LCIA!V$32</f>
        <v>4.7760999999999999E-5</v>
      </c>
      <c r="AF149" s="137">
        <f>Summary_LCIA!W$32</f>
        <v>7.6970999999999998E-2</v>
      </c>
      <c r="AG149" s="137">
        <f>Summary_LCIA!X$32</f>
        <v>2.2780000000000002E-2</v>
      </c>
      <c r="AH149" s="137">
        <f>Summary_LCIA!Y$32</f>
        <v>1.5582E-2</v>
      </c>
      <c r="AI149" s="137">
        <f>Summary_LCIA!Z$32</f>
        <v>4.1009E-5</v>
      </c>
      <c r="AJ149" s="137">
        <f>Summary_LCIA!AA$32</f>
        <v>2.3355999999999998E-2</v>
      </c>
      <c r="AK149" s="137">
        <f>Summary_LCIA!AB$32</f>
        <v>-2.1823000000000001E-5</v>
      </c>
      <c r="AL149" s="137">
        <f>Summary_LCIA!AC$32</f>
        <v>4.8884000000000003E-8</v>
      </c>
      <c r="AM149" s="137">
        <f>Summary_LCIA!AD$32</f>
        <v>4.1103999999999999E-4</v>
      </c>
      <c r="AN149" s="137">
        <f>Summary_LCIA!AE$32</f>
        <v>8.8612999999999995E-4</v>
      </c>
      <c r="AO149" s="137">
        <f>Summary_LCIA!AF$32</f>
        <v>8.4542000000000005E-4</v>
      </c>
      <c r="AP149" s="137">
        <f>Summary_LCIA!AG$32</f>
        <v>5.1165000000000002E-5</v>
      </c>
      <c r="AQ149" s="137">
        <f>Summary_LCIA!AH$32</f>
        <v>8.7036000000000006E-3</v>
      </c>
      <c r="AR149" s="137">
        <f>Summary_LCIA!AI$32</f>
        <v>9.3154999999999996E-4</v>
      </c>
      <c r="AT149" s="137">
        <f t="shared" si="42"/>
        <v>125.14935939999999</v>
      </c>
      <c r="AU149" s="137">
        <f t="shared" si="54"/>
        <v>1825.328242625199</v>
      </c>
      <c r="AV149" s="137">
        <f t="shared" si="55"/>
        <v>1.9393362767999998</v>
      </c>
      <c r="AW149" s="137">
        <f t="shared" si="56"/>
        <v>123.52146014</v>
      </c>
      <c r="AX149" s="137">
        <f t="shared" si="57"/>
        <v>40.476499699999998</v>
      </c>
      <c r="AY149" s="137">
        <f t="shared" si="58"/>
        <v>6.5977799419999998</v>
      </c>
      <c r="AZ149" s="137">
        <f t="shared" si="59"/>
        <v>1.7590519582999998E-2</v>
      </c>
      <c r="BA149" s="137">
        <f t="shared" si="60"/>
        <v>28.348650212999999</v>
      </c>
      <c r="BB149" s="137">
        <f t="shared" si="61"/>
        <v>8.3899423400000011</v>
      </c>
      <c r="BC149" s="137">
        <f t="shared" si="43"/>
        <v>5.7388973459999999</v>
      </c>
      <c r="BD149" s="137">
        <f t="shared" si="44"/>
        <v>1.5103737726999999E-2</v>
      </c>
      <c r="BE149" s="137">
        <f t="shared" si="45"/>
        <v>8.6020848679999986</v>
      </c>
      <c r="BF149" s="137">
        <f t="shared" si="46"/>
        <v>-8.0374763690000007E-3</v>
      </c>
      <c r="BG149" s="137">
        <f t="shared" si="47"/>
        <v>1.8004123852000002E-5</v>
      </c>
      <c r="BH149" s="137">
        <f t="shared" si="48"/>
        <v>0.15138726512</v>
      </c>
      <c r="BI149" s="137">
        <f t="shared" si="49"/>
        <v>0.32636433738999998</v>
      </c>
      <c r="BJ149" s="137">
        <f t="shared" si="50"/>
        <v>0.31137072226000001</v>
      </c>
      <c r="BK149" s="137">
        <f t="shared" si="51"/>
        <v>1.8844222995E-2</v>
      </c>
      <c r="BL149" s="137">
        <f t="shared" si="52"/>
        <v>3.2055619908000001</v>
      </c>
      <c r="BM149" s="137">
        <f t="shared" si="53"/>
        <v>0.34309265964999996</v>
      </c>
    </row>
    <row r="150" spans="1:65" x14ac:dyDescent="0.25">
      <c r="A150" s="149">
        <v>352</v>
      </c>
      <c r="B150" s="149">
        <v>43</v>
      </c>
      <c r="C150" s="61">
        <v>40.793394999999997</v>
      </c>
      <c r="D150" s="61">
        <v>-77.860000999999997</v>
      </c>
      <c r="E150" s="61" t="s">
        <v>265</v>
      </c>
      <c r="F150" s="149">
        <v>106</v>
      </c>
      <c r="G150" s="61" t="s">
        <v>266</v>
      </c>
      <c r="H150" s="61" t="s">
        <v>669</v>
      </c>
      <c r="I150" s="61">
        <v>40.491920999999998</v>
      </c>
      <c r="J150" s="61">
        <v>-80.235223000000005</v>
      </c>
      <c r="K150" s="61">
        <v>212.3657571</v>
      </c>
      <c r="L150" s="61">
        <v>245.108</v>
      </c>
      <c r="M150" s="61" t="s">
        <v>617</v>
      </c>
      <c r="N150" s="149">
        <v>42</v>
      </c>
      <c r="O150" s="149">
        <v>43</v>
      </c>
      <c r="P150" s="61" t="s">
        <v>565</v>
      </c>
      <c r="Q150" s="61" t="s">
        <v>555</v>
      </c>
      <c r="R150" s="61">
        <v>40.6895314</v>
      </c>
      <c r="S150" s="61">
        <v>-74.174462399999996</v>
      </c>
      <c r="T150" s="61">
        <v>375.66</v>
      </c>
      <c r="U150" s="61" t="s">
        <v>617</v>
      </c>
      <c r="V150" s="61" t="s">
        <v>617</v>
      </c>
      <c r="W150" s="61"/>
      <c r="Y150" s="137">
        <f>Summary_LCIA!H$32</f>
        <v>0.33979999999999999</v>
      </c>
      <c r="Z150" s="137">
        <f>Summary_LCIA!Q$32</f>
        <v>4.9560504329999997</v>
      </c>
      <c r="AA150" s="137">
        <f>Summary_LCIA!R$32</f>
        <v>5.2655999999999996E-3</v>
      </c>
      <c r="AB150" s="137">
        <f>Summary_LCIA!S$32</f>
        <v>0.33538000000000001</v>
      </c>
      <c r="AC150" s="137">
        <f>Summary_LCIA!T$32</f>
        <v>0.1099</v>
      </c>
      <c r="AD150" s="137">
        <f>Summary_LCIA!U$32</f>
        <v>1.7913999999999999E-2</v>
      </c>
      <c r="AE150" s="137">
        <f>Summary_LCIA!V$32</f>
        <v>4.7760999999999999E-5</v>
      </c>
      <c r="AF150" s="137">
        <f>Summary_LCIA!W$32</f>
        <v>7.6970999999999998E-2</v>
      </c>
      <c r="AG150" s="137">
        <f>Summary_LCIA!X$32</f>
        <v>2.2780000000000002E-2</v>
      </c>
      <c r="AH150" s="137">
        <f>Summary_LCIA!Y$32</f>
        <v>1.5582E-2</v>
      </c>
      <c r="AI150" s="137">
        <f>Summary_LCIA!Z$32</f>
        <v>4.1009E-5</v>
      </c>
      <c r="AJ150" s="137">
        <f>Summary_LCIA!AA$32</f>
        <v>2.3355999999999998E-2</v>
      </c>
      <c r="AK150" s="137">
        <f>Summary_LCIA!AB$32</f>
        <v>-2.1823000000000001E-5</v>
      </c>
      <c r="AL150" s="137">
        <f>Summary_LCIA!AC$32</f>
        <v>4.8884000000000003E-8</v>
      </c>
      <c r="AM150" s="137">
        <f>Summary_LCIA!AD$32</f>
        <v>4.1103999999999999E-4</v>
      </c>
      <c r="AN150" s="137">
        <f>Summary_LCIA!AE$32</f>
        <v>8.8612999999999995E-4</v>
      </c>
      <c r="AO150" s="137">
        <f>Summary_LCIA!AF$32</f>
        <v>8.4542000000000005E-4</v>
      </c>
      <c r="AP150" s="137">
        <f>Summary_LCIA!AG$32</f>
        <v>5.1165000000000002E-5</v>
      </c>
      <c r="AQ150" s="137">
        <f>Summary_LCIA!AH$32</f>
        <v>8.7036000000000006E-3</v>
      </c>
      <c r="AR150" s="137">
        <f>Summary_LCIA!AI$32</f>
        <v>9.3154999999999996E-4</v>
      </c>
      <c r="AT150" s="137">
        <f t="shared" si="42"/>
        <v>127.64926800000001</v>
      </c>
      <c r="AU150" s="137">
        <f t="shared" si="54"/>
        <v>1861.7899056607801</v>
      </c>
      <c r="AV150" s="137">
        <f t="shared" si="55"/>
        <v>1.9780752960000001</v>
      </c>
      <c r="AW150" s="137">
        <f t="shared" si="56"/>
        <v>125.98885080000001</v>
      </c>
      <c r="AX150" s="137">
        <f t="shared" si="57"/>
        <v>41.285034000000003</v>
      </c>
      <c r="AY150" s="137">
        <f t="shared" si="58"/>
        <v>6.7295732400000006</v>
      </c>
      <c r="AZ150" s="137">
        <f t="shared" si="59"/>
        <v>1.7941897260000002E-2</v>
      </c>
      <c r="BA150" s="137">
        <f t="shared" si="60"/>
        <v>28.91492586</v>
      </c>
      <c r="BB150" s="137">
        <f t="shared" si="61"/>
        <v>8.5575348000000009</v>
      </c>
      <c r="BC150" s="137">
        <f t="shared" si="43"/>
        <v>5.8535341200000008</v>
      </c>
      <c r="BD150" s="137">
        <f t="shared" si="44"/>
        <v>1.5405440940000001E-2</v>
      </c>
      <c r="BE150" s="137">
        <f t="shared" si="45"/>
        <v>8.7739149600000008</v>
      </c>
      <c r="BF150" s="137">
        <f t="shared" si="46"/>
        <v>-8.1980281800000006E-3</v>
      </c>
      <c r="BG150" s="137">
        <f t="shared" si="47"/>
        <v>1.8363763440000003E-5</v>
      </c>
      <c r="BH150" s="137">
        <f t="shared" si="48"/>
        <v>0.15441128640000001</v>
      </c>
      <c r="BI150" s="137">
        <f t="shared" si="49"/>
        <v>0.33288359579999999</v>
      </c>
      <c r="BJ150" s="137">
        <f t="shared" si="50"/>
        <v>0.31759047720000005</v>
      </c>
      <c r="BK150" s="137">
        <f t="shared" si="51"/>
        <v>1.9220643900000001E-2</v>
      </c>
      <c r="BL150" s="137">
        <f t="shared" si="52"/>
        <v>3.2695943760000006</v>
      </c>
      <c r="BM150" s="137">
        <f t="shared" si="53"/>
        <v>0.34994607300000002</v>
      </c>
    </row>
    <row r="151" spans="1:65" x14ac:dyDescent="0.25">
      <c r="A151" s="149">
        <v>353</v>
      </c>
      <c r="B151" s="149">
        <v>43</v>
      </c>
      <c r="C151" s="61">
        <v>40.793394999999997</v>
      </c>
      <c r="D151" s="61">
        <v>-77.860000999999997</v>
      </c>
      <c r="E151" s="61" t="s">
        <v>265</v>
      </c>
      <c r="F151" s="149">
        <v>106</v>
      </c>
      <c r="G151" s="61" t="s">
        <v>266</v>
      </c>
      <c r="H151" s="61" t="s">
        <v>669</v>
      </c>
      <c r="I151" s="61">
        <v>40.491920999999998</v>
      </c>
      <c r="J151" s="61">
        <v>-80.235223000000005</v>
      </c>
      <c r="K151" s="61">
        <v>212.3657571</v>
      </c>
      <c r="L151" s="61">
        <v>245.108</v>
      </c>
      <c r="M151" s="61" t="s">
        <v>617</v>
      </c>
      <c r="N151" s="149">
        <v>42</v>
      </c>
      <c r="O151" s="149">
        <v>43</v>
      </c>
      <c r="P151" s="61" t="s">
        <v>565</v>
      </c>
      <c r="Q151" s="61" t="s">
        <v>555</v>
      </c>
      <c r="R151" s="61">
        <v>40.6895314</v>
      </c>
      <c r="S151" s="61">
        <v>-74.174462399999996</v>
      </c>
      <c r="T151" s="61">
        <v>375.66</v>
      </c>
      <c r="U151" s="61" t="s">
        <v>617</v>
      </c>
      <c r="V151" s="61" t="s">
        <v>617</v>
      </c>
      <c r="W151" s="61"/>
      <c r="Y151" s="137">
        <f>Summary_LCIA!H$32</f>
        <v>0.33979999999999999</v>
      </c>
      <c r="Z151" s="137">
        <f>Summary_LCIA!Q$32</f>
        <v>4.9560504329999997</v>
      </c>
      <c r="AA151" s="137">
        <f>Summary_LCIA!R$32</f>
        <v>5.2655999999999996E-3</v>
      </c>
      <c r="AB151" s="137">
        <f>Summary_LCIA!S$32</f>
        <v>0.33538000000000001</v>
      </c>
      <c r="AC151" s="137">
        <f>Summary_LCIA!T$32</f>
        <v>0.1099</v>
      </c>
      <c r="AD151" s="137">
        <f>Summary_LCIA!U$32</f>
        <v>1.7913999999999999E-2</v>
      </c>
      <c r="AE151" s="137">
        <f>Summary_LCIA!V$32</f>
        <v>4.7760999999999999E-5</v>
      </c>
      <c r="AF151" s="137">
        <f>Summary_LCIA!W$32</f>
        <v>7.6970999999999998E-2</v>
      </c>
      <c r="AG151" s="137">
        <f>Summary_LCIA!X$32</f>
        <v>2.2780000000000002E-2</v>
      </c>
      <c r="AH151" s="137">
        <f>Summary_LCIA!Y$32</f>
        <v>1.5582E-2</v>
      </c>
      <c r="AI151" s="137">
        <f>Summary_LCIA!Z$32</f>
        <v>4.1009E-5</v>
      </c>
      <c r="AJ151" s="137">
        <f>Summary_LCIA!AA$32</f>
        <v>2.3355999999999998E-2</v>
      </c>
      <c r="AK151" s="137">
        <f>Summary_LCIA!AB$32</f>
        <v>-2.1823000000000001E-5</v>
      </c>
      <c r="AL151" s="137">
        <f>Summary_LCIA!AC$32</f>
        <v>4.8884000000000003E-8</v>
      </c>
      <c r="AM151" s="137">
        <f>Summary_LCIA!AD$32</f>
        <v>4.1103999999999999E-4</v>
      </c>
      <c r="AN151" s="137">
        <f>Summary_LCIA!AE$32</f>
        <v>8.8612999999999995E-4</v>
      </c>
      <c r="AO151" s="137">
        <f>Summary_LCIA!AF$32</f>
        <v>8.4542000000000005E-4</v>
      </c>
      <c r="AP151" s="137">
        <f>Summary_LCIA!AG$32</f>
        <v>5.1165000000000002E-5</v>
      </c>
      <c r="AQ151" s="137">
        <f>Summary_LCIA!AH$32</f>
        <v>8.7036000000000006E-3</v>
      </c>
      <c r="AR151" s="137">
        <f>Summary_LCIA!AI$32</f>
        <v>9.3154999999999996E-4</v>
      </c>
      <c r="AT151" s="137">
        <f t="shared" si="42"/>
        <v>127.64926800000001</v>
      </c>
      <c r="AU151" s="137">
        <f t="shared" si="54"/>
        <v>1861.7899056607801</v>
      </c>
      <c r="AV151" s="137">
        <f t="shared" si="55"/>
        <v>1.9780752960000001</v>
      </c>
      <c r="AW151" s="137">
        <f t="shared" si="56"/>
        <v>125.98885080000001</v>
      </c>
      <c r="AX151" s="137">
        <f t="shared" si="57"/>
        <v>41.285034000000003</v>
      </c>
      <c r="AY151" s="137">
        <f t="shared" si="58"/>
        <v>6.7295732400000006</v>
      </c>
      <c r="AZ151" s="137">
        <f t="shared" si="59"/>
        <v>1.7941897260000002E-2</v>
      </c>
      <c r="BA151" s="137">
        <f t="shared" si="60"/>
        <v>28.91492586</v>
      </c>
      <c r="BB151" s="137">
        <f t="shared" si="61"/>
        <v>8.5575348000000009</v>
      </c>
      <c r="BC151" s="137">
        <f t="shared" si="43"/>
        <v>5.8535341200000008</v>
      </c>
      <c r="BD151" s="137">
        <f t="shared" si="44"/>
        <v>1.5405440940000001E-2</v>
      </c>
      <c r="BE151" s="137">
        <f t="shared" si="45"/>
        <v>8.7739149600000008</v>
      </c>
      <c r="BF151" s="137">
        <f t="shared" si="46"/>
        <v>-8.1980281800000006E-3</v>
      </c>
      <c r="BG151" s="137">
        <f t="shared" si="47"/>
        <v>1.8363763440000003E-5</v>
      </c>
      <c r="BH151" s="137">
        <f t="shared" si="48"/>
        <v>0.15441128640000001</v>
      </c>
      <c r="BI151" s="137">
        <f t="shared" si="49"/>
        <v>0.33288359579999999</v>
      </c>
      <c r="BJ151" s="137">
        <f t="shared" si="50"/>
        <v>0.31759047720000005</v>
      </c>
      <c r="BK151" s="137">
        <f t="shared" si="51"/>
        <v>1.9220643900000001E-2</v>
      </c>
      <c r="BL151" s="137">
        <f t="shared" si="52"/>
        <v>3.2695943760000006</v>
      </c>
      <c r="BM151" s="137">
        <f t="shared" si="53"/>
        <v>0.34994607300000002</v>
      </c>
    </row>
    <row r="152" spans="1:65" x14ac:dyDescent="0.25">
      <c r="A152" s="149">
        <v>354</v>
      </c>
      <c r="B152" s="149">
        <v>43</v>
      </c>
      <c r="C152" s="61">
        <v>40.793394999999997</v>
      </c>
      <c r="D152" s="61">
        <v>-77.860000999999997</v>
      </c>
      <c r="E152" s="61" t="s">
        <v>265</v>
      </c>
      <c r="F152" s="149">
        <v>106</v>
      </c>
      <c r="G152" s="61" t="s">
        <v>266</v>
      </c>
      <c r="H152" s="61" t="s">
        <v>669</v>
      </c>
      <c r="I152" s="61">
        <v>40.491920999999998</v>
      </c>
      <c r="J152" s="61">
        <v>-80.235223000000005</v>
      </c>
      <c r="K152" s="61">
        <v>212.3657571</v>
      </c>
      <c r="L152" s="61">
        <v>245.108</v>
      </c>
      <c r="M152" s="61" t="s">
        <v>617</v>
      </c>
      <c r="N152" s="149">
        <v>42</v>
      </c>
      <c r="O152" s="149">
        <v>43</v>
      </c>
      <c r="P152" s="61" t="s">
        <v>565</v>
      </c>
      <c r="Q152" s="61" t="s">
        <v>555</v>
      </c>
      <c r="R152" s="61">
        <v>40.6895314</v>
      </c>
      <c r="S152" s="61">
        <v>-74.174462399999996</v>
      </c>
      <c r="T152" s="61">
        <v>375.66</v>
      </c>
      <c r="U152" s="61" t="s">
        <v>617</v>
      </c>
      <c r="V152" s="61" t="s">
        <v>617</v>
      </c>
      <c r="W152" s="61"/>
      <c r="Y152" s="137">
        <f>Summary_LCIA!H$32</f>
        <v>0.33979999999999999</v>
      </c>
      <c r="Z152" s="137">
        <f>Summary_LCIA!Q$32</f>
        <v>4.9560504329999997</v>
      </c>
      <c r="AA152" s="137">
        <f>Summary_LCIA!R$32</f>
        <v>5.2655999999999996E-3</v>
      </c>
      <c r="AB152" s="137">
        <f>Summary_LCIA!S$32</f>
        <v>0.33538000000000001</v>
      </c>
      <c r="AC152" s="137">
        <f>Summary_LCIA!T$32</f>
        <v>0.1099</v>
      </c>
      <c r="AD152" s="137">
        <f>Summary_LCIA!U$32</f>
        <v>1.7913999999999999E-2</v>
      </c>
      <c r="AE152" s="137">
        <f>Summary_LCIA!V$32</f>
        <v>4.7760999999999999E-5</v>
      </c>
      <c r="AF152" s="137">
        <f>Summary_LCIA!W$32</f>
        <v>7.6970999999999998E-2</v>
      </c>
      <c r="AG152" s="137">
        <f>Summary_LCIA!X$32</f>
        <v>2.2780000000000002E-2</v>
      </c>
      <c r="AH152" s="137">
        <f>Summary_LCIA!Y$32</f>
        <v>1.5582E-2</v>
      </c>
      <c r="AI152" s="137">
        <f>Summary_LCIA!Z$32</f>
        <v>4.1009E-5</v>
      </c>
      <c r="AJ152" s="137">
        <f>Summary_LCIA!AA$32</f>
        <v>2.3355999999999998E-2</v>
      </c>
      <c r="AK152" s="137">
        <f>Summary_LCIA!AB$32</f>
        <v>-2.1823000000000001E-5</v>
      </c>
      <c r="AL152" s="137">
        <f>Summary_LCIA!AC$32</f>
        <v>4.8884000000000003E-8</v>
      </c>
      <c r="AM152" s="137">
        <f>Summary_LCIA!AD$32</f>
        <v>4.1103999999999999E-4</v>
      </c>
      <c r="AN152" s="137">
        <f>Summary_LCIA!AE$32</f>
        <v>8.8612999999999995E-4</v>
      </c>
      <c r="AO152" s="137">
        <f>Summary_LCIA!AF$32</f>
        <v>8.4542000000000005E-4</v>
      </c>
      <c r="AP152" s="137">
        <f>Summary_LCIA!AG$32</f>
        <v>5.1165000000000002E-5</v>
      </c>
      <c r="AQ152" s="137">
        <f>Summary_LCIA!AH$32</f>
        <v>8.7036000000000006E-3</v>
      </c>
      <c r="AR152" s="137">
        <f>Summary_LCIA!AI$32</f>
        <v>9.3154999999999996E-4</v>
      </c>
      <c r="AT152" s="137">
        <f t="shared" si="42"/>
        <v>127.64926800000001</v>
      </c>
      <c r="AU152" s="137">
        <f t="shared" si="54"/>
        <v>1861.7899056607801</v>
      </c>
      <c r="AV152" s="137">
        <f t="shared" si="55"/>
        <v>1.9780752960000001</v>
      </c>
      <c r="AW152" s="137">
        <f t="shared" si="56"/>
        <v>125.98885080000001</v>
      </c>
      <c r="AX152" s="137">
        <f t="shared" si="57"/>
        <v>41.285034000000003</v>
      </c>
      <c r="AY152" s="137">
        <f t="shared" si="58"/>
        <v>6.7295732400000006</v>
      </c>
      <c r="AZ152" s="137">
        <f t="shared" si="59"/>
        <v>1.7941897260000002E-2</v>
      </c>
      <c r="BA152" s="137">
        <f t="shared" si="60"/>
        <v>28.91492586</v>
      </c>
      <c r="BB152" s="137">
        <f t="shared" si="61"/>
        <v>8.5575348000000009</v>
      </c>
      <c r="BC152" s="137">
        <f t="shared" si="43"/>
        <v>5.8535341200000008</v>
      </c>
      <c r="BD152" s="137">
        <f t="shared" si="44"/>
        <v>1.5405440940000001E-2</v>
      </c>
      <c r="BE152" s="137">
        <f t="shared" si="45"/>
        <v>8.7739149600000008</v>
      </c>
      <c r="BF152" s="137">
        <f t="shared" si="46"/>
        <v>-8.1980281800000006E-3</v>
      </c>
      <c r="BG152" s="137">
        <f t="shared" si="47"/>
        <v>1.8363763440000003E-5</v>
      </c>
      <c r="BH152" s="137">
        <f t="shared" si="48"/>
        <v>0.15441128640000001</v>
      </c>
      <c r="BI152" s="137">
        <f t="shared" si="49"/>
        <v>0.33288359579999999</v>
      </c>
      <c r="BJ152" s="137">
        <f t="shared" si="50"/>
        <v>0.31759047720000005</v>
      </c>
      <c r="BK152" s="137">
        <f t="shared" si="51"/>
        <v>1.9220643900000001E-2</v>
      </c>
      <c r="BL152" s="137">
        <f t="shared" si="52"/>
        <v>3.2695943760000006</v>
      </c>
      <c r="BM152" s="137">
        <f t="shared" si="53"/>
        <v>0.34994607300000002</v>
      </c>
    </row>
    <row r="153" spans="1:65" x14ac:dyDescent="0.25">
      <c r="A153" s="149">
        <v>0</v>
      </c>
      <c r="B153" s="149">
        <v>6</v>
      </c>
      <c r="C153" s="61">
        <v>42.724305000000001</v>
      </c>
      <c r="D153" s="61">
        <v>-84.479605000000006</v>
      </c>
      <c r="E153" s="61" t="s">
        <v>265</v>
      </c>
      <c r="F153" s="149">
        <v>78</v>
      </c>
      <c r="G153" s="61" t="s">
        <v>615</v>
      </c>
      <c r="H153" s="61" t="s">
        <v>616</v>
      </c>
      <c r="I153" s="61">
        <v>42.216248999999998</v>
      </c>
      <c r="J153" s="61">
        <v>-83.355363999999994</v>
      </c>
      <c r="K153" s="61">
        <v>121.7981765</v>
      </c>
      <c r="L153" s="61">
        <v>141.471</v>
      </c>
      <c r="M153" s="61" t="s">
        <v>617</v>
      </c>
      <c r="N153" s="149">
        <v>5</v>
      </c>
      <c r="O153" s="149">
        <v>6</v>
      </c>
      <c r="P153" s="61" t="s">
        <v>565</v>
      </c>
      <c r="Q153" s="61" t="s">
        <v>564</v>
      </c>
      <c r="R153" s="61">
        <v>41.98028</v>
      </c>
      <c r="S153" s="61">
        <v>-87.908997900000003</v>
      </c>
      <c r="T153" s="61">
        <v>383.76100000000002</v>
      </c>
      <c r="U153" s="61" t="s">
        <v>617</v>
      </c>
      <c r="V153" s="61" t="s">
        <v>617</v>
      </c>
      <c r="W153" s="61"/>
      <c r="Y153" s="137">
        <f>Summary_LCIA!H$32</f>
        <v>0.33979999999999999</v>
      </c>
      <c r="Z153" s="137">
        <f>Summary_LCIA!Q$32</f>
        <v>4.9560504329999997</v>
      </c>
      <c r="AA153" s="137">
        <f>Summary_LCIA!R$32</f>
        <v>5.2655999999999996E-3</v>
      </c>
      <c r="AB153" s="137">
        <f>Summary_LCIA!S$32</f>
        <v>0.33538000000000001</v>
      </c>
      <c r="AC153" s="137">
        <f>Summary_LCIA!T$32</f>
        <v>0.1099</v>
      </c>
      <c r="AD153" s="137">
        <f>Summary_LCIA!U$32</f>
        <v>1.7913999999999999E-2</v>
      </c>
      <c r="AE153" s="137">
        <f>Summary_LCIA!V$32</f>
        <v>4.7760999999999999E-5</v>
      </c>
      <c r="AF153" s="137">
        <f>Summary_LCIA!W$32</f>
        <v>7.6970999999999998E-2</v>
      </c>
      <c r="AG153" s="137">
        <f>Summary_LCIA!X$32</f>
        <v>2.2780000000000002E-2</v>
      </c>
      <c r="AH153" s="137">
        <f>Summary_LCIA!Y$32</f>
        <v>1.5582E-2</v>
      </c>
      <c r="AI153" s="137">
        <f>Summary_LCIA!Z$32</f>
        <v>4.1009E-5</v>
      </c>
      <c r="AJ153" s="137">
        <f>Summary_LCIA!AA$32</f>
        <v>2.3355999999999998E-2</v>
      </c>
      <c r="AK153" s="137">
        <f>Summary_LCIA!AB$32</f>
        <v>-2.1823000000000001E-5</v>
      </c>
      <c r="AL153" s="137">
        <f>Summary_LCIA!AC$32</f>
        <v>4.8884000000000003E-8</v>
      </c>
      <c r="AM153" s="137">
        <f>Summary_LCIA!AD$32</f>
        <v>4.1103999999999999E-4</v>
      </c>
      <c r="AN153" s="137">
        <f>Summary_LCIA!AE$32</f>
        <v>8.8612999999999995E-4</v>
      </c>
      <c r="AO153" s="137">
        <f>Summary_LCIA!AF$32</f>
        <v>8.4542000000000005E-4</v>
      </c>
      <c r="AP153" s="137">
        <f>Summary_LCIA!AG$32</f>
        <v>5.1165000000000002E-5</v>
      </c>
      <c r="AQ153" s="137">
        <f>Summary_LCIA!AH$32</f>
        <v>8.7036000000000006E-3</v>
      </c>
      <c r="AR153" s="137">
        <f>Summary_LCIA!AI$32</f>
        <v>9.3154999999999996E-4</v>
      </c>
      <c r="AT153" s="137">
        <f t="shared" si="42"/>
        <v>130.4019878</v>
      </c>
      <c r="AU153" s="137">
        <f t="shared" si="54"/>
        <v>1901.9388702185131</v>
      </c>
      <c r="AV153" s="137">
        <f t="shared" si="55"/>
        <v>2.0207319215999999</v>
      </c>
      <c r="AW153" s="137">
        <f t="shared" si="56"/>
        <v>128.70576418000002</v>
      </c>
      <c r="AX153" s="137">
        <f t="shared" si="57"/>
        <v>42.175333899999998</v>
      </c>
      <c r="AY153" s="137">
        <f t="shared" si="58"/>
        <v>6.8746945540000004</v>
      </c>
      <c r="AZ153" s="137">
        <f t="shared" si="59"/>
        <v>1.8328809121E-2</v>
      </c>
      <c r="BA153" s="137">
        <f t="shared" si="60"/>
        <v>29.538467931</v>
      </c>
      <c r="BB153" s="137">
        <f t="shared" si="61"/>
        <v>8.7420755800000016</v>
      </c>
      <c r="BC153" s="137">
        <f t="shared" si="43"/>
        <v>5.9797639020000002</v>
      </c>
      <c r="BD153" s="137">
        <f t="shared" si="44"/>
        <v>1.5737654849000002E-2</v>
      </c>
      <c r="BE153" s="137">
        <f t="shared" si="45"/>
        <v>8.9631219160000004</v>
      </c>
      <c r="BF153" s="137">
        <f t="shared" si="46"/>
        <v>-8.3748163030000003E-3</v>
      </c>
      <c r="BG153" s="137">
        <f t="shared" si="47"/>
        <v>1.8759772724000002E-5</v>
      </c>
      <c r="BH153" s="137">
        <f t="shared" si="48"/>
        <v>0.15774112144000002</v>
      </c>
      <c r="BI153" s="137">
        <f t="shared" si="49"/>
        <v>0.34006213492999998</v>
      </c>
      <c r="BJ153" s="137">
        <f t="shared" si="50"/>
        <v>0.32443922462000002</v>
      </c>
      <c r="BK153" s="137">
        <f t="shared" si="51"/>
        <v>1.9635131565000002E-2</v>
      </c>
      <c r="BL153" s="137">
        <f t="shared" si="52"/>
        <v>3.3401022396000006</v>
      </c>
      <c r="BM153" s="137">
        <f t="shared" si="53"/>
        <v>0.35749255955000003</v>
      </c>
    </row>
    <row r="154" spans="1:65" x14ac:dyDescent="0.25">
      <c r="A154" s="149">
        <v>355</v>
      </c>
      <c r="B154" s="149">
        <v>43</v>
      </c>
      <c r="C154" s="61">
        <v>42.470944000000003</v>
      </c>
      <c r="D154" s="61">
        <v>-70.917556000000005</v>
      </c>
      <c r="E154" s="61" t="s">
        <v>265</v>
      </c>
      <c r="F154" s="149">
        <v>53</v>
      </c>
      <c r="G154" s="61" t="s">
        <v>565</v>
      </c>
      <c r="H154" s="61" t="s">
        <v>634</v>
      </c>
      <c r="I154" s="61">
        <v>42.365613000000003</v>
      </c>
      <c r="J154" s="61">
        <v>-71.009559999999993</v>
      </c>
      <c r="K154" s="61">
        <v>18.548969249999999</v>
      </c>
      <c r="L154" s="61">
        <v>17.323</v>
      </c>
      <c r="M154" s="61" t="s">
        <v>617</v>
      </c>
      <c r="N154" s="149">
        <v>42</v>
      </c>
      <c r="O154" s="149">
        <v>43</v>
      </c>
      <c r="P154" s="61" t="s">
        <v>565</v>
      </c>
      <c r="Q154" s="61" t="s">
        <v>555</v>
      </c>
      <c r="R154" s="61">
        <v>40.6895314</v>
      </c>
      <c r="S154" s="61">
        <v>-74.174462399999996</v>
      </c>
      <c r="T154" s="61">
        <v>385.233</v>
      </c>
      <c r="U154" s="61" t="s">
        <v>617</v>
      </c>
      <c r="V154" s="61" t="s">
        <v>617</v>
      </c>
      <c r="W154" s="61"/>
      <c r="Y154" s="137">
        <f>Summary_LCIA!H$32</f>
        <v>0.33979999999999999</v>
      </c>
      <c r="Z154" s="137">
        <f>Summary_LCIA!Q$32</f>
        <v>4.9560504329999997</v>
      </c>
      <c r="AA154" s="137">
        <f>Summary_LCIA!R$32</f>
        <v>5.2655999999999996E-3</v>
      </c>
      <c r="AB154" s="137">
        <f>Summary_LCIA!S$32</f>
        <v>0.33538000000000001</v>
      </c>
      <c r="AC154" s="137">
        <f>Summary_LCIA!T$32</f>
        <v>0.1099</v>
      </c>
      <c r="AD154" s="137">
        <f>Summary_LCIA!U$32</f>
        <v>1.7913999999999999E-2</v>
      </c>
      <c r="AE154" s="137">
        <f>Summary_LCIA!V$32</f>
        <v>4.7760999999999999E-5</v>
      </c>
      <c r="AF154" s="137">
        <f>Summary_LCIA!W$32</f>
        <v>7.6970999999999998E-2</v>
      </c>
      <c r="AG154" s="137">
        <f>Summary_LCIA!X$32</f>
        <v>2.2780000000000002E-2</v>
      </c>
      <c r="AH154" s="137">
        <f>Summary_LCIA!Y$32</f>
        <v>1.5582E-2</v>
      </c>
      <c r="AI154" s="137">
        <f>Summary_LCIA!Z$32</f>
        <v>4.1009E-5</v>
      </c>
      <c r="AJ154" s="137">
        <f>Summary_LCIA!AA$32</f>
        <v>2.3355999999999998E-2</v>
      </c>
      <c r="AK154" s="137">
        <f>Summary_LCIA!AB$32</f>
        <v>-2.1823000000000001E-5</v>
      </c>
      <c r="AL154" s="137">
        <f>Summary_LCIA!AC$32</f>
        <v>4.8884000000000003E-8</v>
      </c>
      <c r="AM154" s="137">
        <f>Summary_LCIA!AD$32</f>
        <v>4.1103999999999999E-4</v>
      </c>
      <c r="AN154" s="137">
        <f>Summary_LCIA!AE$32</f>
        <v>8.8612999999999995E-4</v>
      </c>
      <c r="AO154" s="137">
        <f>Summary_LCIA!AF$32</f>
        <v>8.4542000000000005E-4</v>
      </c>
      <c r="AP154" s="137">
        <f>Summary_LCIA!AG$32</f>
        <v>5.1165000000000002E-5</v>
      </c>
      <c r="AQ154" s="137">
        <f>Summary_LCIA!AH$32</f>
        <v>8.7036000000000006E-3</v>
      </c>
      <c r="AR154" s="137">
        <f>Summary_LCIA!AI$32</f>
        <v>9.3154999999999996E-4</v>
      </c>
      <c r="AT154" s="137">
        <f t="shared" si="42"/>
        <v>130.90217340000001</v>
      </c>
      <c r="AU154" s="137">
        <f t="shared" si="54"/>
        <v>1909.2341764558889</v>
      </c>
      <c r="AV154" s="137">
        <f t="shared" si="55"/>
        <v>2.0284828847999998</v>
      </c>
      <c r="AW154" s="137">
        <f t="shared" si="56"/>
        <v>129.19944354</v>
      </c>
      <c r="AX154" s="137">
        <f t="shared" si="57"/>
        <v>42.3371067</v>
      </c>
      <c r="AY154" s="137">
        <f t="shared" si="58"/>
        <v>6.9010639620000003</v>
      </c>
      <c r="AZ154" s="137">
        <f t="shared" si="59"/>
        <v>1.8399113312999999E-2</v>
      </c>
      <c r="BA154" s="137">
        <f t="shared" si="60"/>
        <v>29.651769243</v>
      </c>
      <c r="BB154" s="137">
        <f t="shared" si="61"/>
        <v>8.7756077399999999</v>
      </c>
      <c r="BC154" s="137">
        <f t="shared" si="43"/>
        <v>6.0027006060000003</v>
      </c>
      <c r="BD154" s="137">
        <f t="shared" si="44"/>
        <v>1.5798020097000001E-2</v>
      </c>
      <c r="BE154" s="137">
        <f t="shared" si="45"/>
        <v>8.997501948</v>
      </c>
      <c r="BF154" s="137">
        <f t="shared" si="46"/>
        <v>-8.4069397590000004E-3</v>
      </c>
      <c r="BG154" s="137">
        <f t="shared" si="47"/>
        <v>1.8831729972000001E-5</v>
      </c>
      <c r="BH154" s="137">
        <f t="shared" si="48"/>
        <v>0.15834617232000001</v>
      </c>
      <c r="BI154" s="137">
        <f t="shared" si="49"/>
        <v>0.34136651828999998</v>
      </c>
      <c r="BJ154" s="137">
        <f t="shared" si="50"/>
        <v>0.32568368286000005</v>
      </c>
      <c r="BK154" s="137">
        <f t="shared" si="51"/>
        <v>1.9710446445000002E-2</v>
      </c>
      <c r="BL154" s="137">
        <f t="shared" si="52"/>
        <v>3.3529139388000004</v>
      </c>
      <c r="BM154" s="137">
        <f t="shared" si="53"/>
        <v>0.35886380114999999</v>
      </c>
    </row>
    <row r="155" spans="1:65" x14ac:dyDescent="0.25">
      <c r="A155" s="149">
        <v>186</v>
      </c>
      <c r="B155" s="149">
        <v>43</v>
      </c>
      <c r="C155" s="61">
        <v>38.894278999999997</v>
      </c>
      <c r="D155" s="61">
        <v>-77.431099000000003</v>
      </c>
      <c r="E155" s="61" t="s">
        <v>265</v>
      </c>
      <c r="F155" s="149">
        <v>85</v>
      </c>
      <c r="G155" s="61" t="s">
        <v>630</v>
      </c>
      <c r="H155" s="61" t="s">
        <v>631</v>
      </c>
      <c r="I155" s="61">
        <v>38.953116000000001</v>
      </c>
      <c r="J155" s="61">
        <v>-77.456539000000006</v>
      </c>
      <c r="K155" s="61">
        <v>9.3021399710000008</v>
      </c>
      <c r="L155" s="61">
        <v>12.042999999999999</v>
      </c>
      <c r="M155" s="61" t="s">
        <v>617</v>
      </c>
      <c r="N155" s="149">
        <v>42</v>
      </c>
      <c r="O155" s="149">
        <v>43</v>
      </c>
      <c r="P155" s="61" t="s">
        <v>565</v>
      </c>
      <c r="Q155" s="61" t="s">
        <v>555</v>
      </c>
      <c r="R155" s="61">
        <v>40.6895314</v>
      </c>
      <c r="S155" s="61">
        <v>-74.174462399999996</v>
      </c>
      <c r="T155" s="61">
        <v>387.10199999999998</v>
      </c>
      <c r="U155" s="61" t="s">
        <v>617</v>
      </c>
      <c r="V155" s="61" t="s">
        <v>617</v>
      </c>
      <c r="W155" s="61"/>
      <c r="Y155" s="137">
        <f>Summary_LCIA!H$32</f>
        <v>0.33979999999999999</v>
      </c>
      <c r="Z155" s="137">
        <f>Summary_LCIA!Q$32</f>
        <v>4.9560504329999997</v>
      </c>
      <c r="AA155" s="137">
        <f>Summary_LCIA!R$32</f>
        <v>5.2655999999999996E-3</v>
      </c>
      <c r="AB155" s="137">
        <f>Summary_LCIA!S$32</f>
        <v>0.33538000000000001</v>
      </c>
      <c r="AC155" s="137">
        <f>Summary_LCIA!T$32</f>
        <v>0.1099</v>
      </c>
      <c r="AD155" s="137">
        <f>Summary_LCIA!U$32</f>
        <v>1.7913999999999999E-2</v>
      </c>
      <c r="AE155" s="137">
        <f>Summary_LCIA!V$32</f>
        <v>4.7760999999999999E-5</v>
      </c>
      <c r="AF155" s="137">
        <f>Summary_LCIA!W$32</f>
        <v>7.6970999999999998E-2</v>
      </c>
      <c r="AG155" s="137">
        <f>Summary_LCIA!X$32</f>
        <v>2.2780000000000002E-2</v>
      </c>
      <c r="AH155" s="137">
        <f>Summary_LCIA!Y$32</f>
        <v>1.5582E-2</v>
      </c>
      <c r="AI155" s="137">
        <f>Summary_LCIA!Z$32</f>
        <v>4.1009E-5</v>
      </c>
      <c r="AJ155" s="137">
        <f>Summary_LCIA!AA$32</f>
        <v>2.3355999999999998E-2</v>
      </c>
      <c r="AK155" s="137">
        <f>Summary_LCIA!AB$32</f>
        <v>-2.1823000000000001E-5</v>
      </c>
      <c r="AL155" s="137">
        <f>Summary_LCIA!AC$32</f>
        <v>4.8884000000000003E-8</v>
      </c>
      <c r="AM155" s="137">
        <f>Summary_LCIA!AD$32</f>
        <v>4.1103999999999999E-4</v>
      </c>
      <c r="AN155" s="137">
        <f>Summary_LCIA!AE$32</f>
        <v>8.8612999999999995E-4</v>
      </c>
      <c r="AO155" s="137">
        <f>Summary_LCIA!AF$32</f>
        <v>8.4542000000000005E-4</v>
      </c>
      <c r="AP155" s="137">
        <f>Summary_LCIA!AG$32</f>
        <v>5.1165000000000002E-5</v>
      </c>
      <c r="AQ155" s="137">
        <f>Summary_LCIA!AH$32</f>
        <v>8.7036000000000006E-3</v>
      </c>
      <c r="AR155" s="137">
        <f>Summary_LCIA!AI$32</f>
        <v>9.3154999999999996E-4</v>
      </c>
      <c r="AT155" s="137">
        <f t="shared" si="42"/>
        <v>131.5372596</v>
      </c>
      <c r="AU155" s="137">
        <f t="shared" si="54"/>
        <v>1918.4970347151657</v>
      </c>
      <c r="AV155" s="137">
        <f t="shared" si="55"/>
        <v>2.0383242911999999</v>
      </c>
      <c r="AW155" s="137">
        <f t="shared" si="56"/>
        <v>129.82626876</v>
      </c>
      <c r="AX155" s="137">
        <f t="shared" si="57"/>
        <v>42.542509799999998</v>
      </c>
      <c r="AY155" s="137">
        <f t="shared" si="58"/>
        <v>6.9345452279999993</v>
      </c>
      <c r="AZ155" s="137">
        <f t="shared" si="59"/>
        <v>1.8488378622E-2</v>
      </c>
      <c r="BA155" s="137">
        <f t="shared" si="60"/>
        <v>29.795628041999997</v>
      </c>
      <c r="BB155" s="137">
        <f t="shared" si="61"/>
        <v>8.8181835599999996</v>
      </c>
      <c r="BC155" s="137">
        <f t="shared" si="43"/>
        <v>6.0318233640000001</v>
      </c>
      <c r="BD155" s="137">
        <f t="shared" si="44"/>
        <v>1.5874665917999999E-2</v>
      </c>
      <c r="BE155" s="137">
        <f t="shared" si="45"/>
        <v>9.041154311999998</v>
      </c>
      <c r="BF155" s="137">
        <f t="shared" si="46"/>
        <v>-8.4477269459999997E-3</v>
      </c>
      <c r="BG155" s="137">
        <f t="shared" si="47"/>
        <v>1.8923094167999998E-5</v>
      </c>
      <c r="BH155" s="137">
        <f t="shared" si="48"/>
        <v>0.15911440607999999</v>
      </c>
      <c r="BI155" s="137">
        <f t="shared" si="49"/>
        <v>0.34302269525999995</v>
      </c>
      <c r="BJ155" s="137">
        <f t="shared" si="50"/>
        <v>0.32726377284000002</v>
      </c>
      <c r="BK155" s="137">
        <f t="shared" si="51"/>
        <v>1.980607383E-2</v>
      </c>
      <c r="BL155" s="137">
        <f t="shared" si="52"/>
        <v>3.3691809672000002</v>
      </c>
      <c r="BM155" s="137">
        <f t="shared" si="53"/>
        <v>0.36060486809999998</v>
      </c>
    </row>
    <row r="156" spans="1:65" x14ac:dyDescent="0.25">
      <c r="A156" s="149">
        <v>201</v>
      </c>
      <c r="B156" s="149">
        <v>29</v>
      </c>
      <c r="C156" s="61">
        <v>44.564565999999999</v>
      </c>
      <c r="D156" s="61">
        <v>-123.262044</v>
      </c>
      <c r="E156" s="61" t="s">
        <v>265</v>
      </c>
      <c r="F156" s="149">
        <v>90</v>
      </c>
      <c r="G156" s="61" t="s">
        <v>277</v>
      </c>
      <c r="H156" s="61" t="s">
        <v>697</v>
      </c>
      <c r="I156" s="61">
        <v>45.589768999999997</v>
      </c>
      <c r="J156" s="61">
        <v>-122.595094</v>
      </c>
      <c r="K156" s="61">
        <v>197.87946479999999</v>
      </c>
      <c r="L156" s="61">
        <v>153.494</v>
      </c>
      <c r="M156" s="61" t="s">
        <v>617</v>
      </c>
      <c r="N156" s="149">
        <v>28</v>
      </c>
      <c r="O156" s="149">
        <v>29</v>
      </c>
      <c r="P156" s="61" t="s">
        <v>565</v>
      </c>
      <c r="Q156" s="61" t="s">
        <v>559</v>
      </c>
      <c r="R156" s="61">
        <v>47.450249900000003</v>
      </c>
      <c r="S156" s="61">
        <v>-122.30881650000001</v>
      </c>
      <c r="T156" s="61">
        <v>399.30799999999999</v>
      </c>
      <c r="U156" s="61" t="s">
        <v>617</v>
      </c>
      <c r="V156" s="61" t="s">
        <v>617</v>
      </c>
      <c r="W156" s="61"/>
      <c r="Y156" s="137">
        <f>Summary_LCIA!H$32</f>
        <v>0.33979999999999999</v>
      </c>
      <c r="Z156" s="137">
        <f>Summary_LCIA!Q$32</f>
        <v>4.9560504329999997</v>
      </c>
      <c r="AA156" s="137">
        <f>Summary_LCIA!R$32</f>
        <v>5.2655999999999996E-3</v>
      </c>
      <c r="AB156" s="137">
        <f>Summary_LCIA!S$32</f>
        <v>0.33538000000000001</v>
      </c>
      <c r="AC156" s="137">
        <f>Summary_LCIA!T$32</f>
        <v>0.1099</v>
      </c>
      <c r="AD156" s="137">
        <f>Summary_LCIA!U$32</f>
        <v>1.7913999999999999E-2</v>
      </c>
      <c r="AE156" s="137">
        <f>Summary_LCIA!V$32</f>
        <v>4.7760999999999999E-5</v>
      </c>
      <c r="AF156" s="137">
        <f>Summary_LCIA!W$32</f>
        <v>7.6970999999999998E-2</v>
      </c>
      <c r="AG156" s="137">
        <f>Summary_LCIA!X$32</f>
        <v>2.2780000000000002E-2</v>
      </c>
      <c r="AH156" s="137">
        <f>Summary_LCIA!Y$32</f>
        <v>1.5582E-2</v>
      </c>
      <c r="AI156" s="137">
        <f>Summary_LCIA!Z$32</f>
        <v>4.1009E-5</v>
      </c>
      <c r="AJ156" s="137">
        <f>Summary_LCIA!AA$32</f>
        <v>2.3355999999999998E-2</v>
      </c>
      <c r="AK156" s="137">
        <f>Summary_LCIA!AB$32</f>
        <v>-2.1823000000000001E-5</v>
      </c>
      <c r="AL156" s="137">
        <f>Summary_LCIA!AC$32</f>
        <v>4.8884000000000003E-8</v>
      </c>
      <c r="AM156" s="137">
        <f>Summary_LCIA!AD$32</f>
        <v>4.1103999999999999E-4</v>
      </c>
      <c r="AN156" s="137">
        <f>Summary_LCIA!AE$32</f>
        <v>8.8612999999999995E-4</v>
      </c>
      <c r="AO156" s="137">
        <f>Summary_LCIA!AF$32</f>
        <v>8.4542000000000005E-4</v>
      </c>
      <c r="AP156" s="137">
        <f>Summary_LCIA!AG$32</f>
        <v>5.1165000000000002E-5</v>
      </c>
      <c r="AQ156" s="137">
        <f>Summary_LCIA!AH$32</f>
        <v>8.7036000000000006E-3</v>
      </c>
      <c r="AR156" s="137">
        <f>Summary_LCIA!AI$32</f>
        <v>9.3154999999999996E-4</v>
      </c>
      <c r="AT156" s="137">
        <f t="shared" si="42"/>
        <v>135.6848584</v>
      </c>
      <c r="AU156" s="137">
        <f t="shared" si="54"/>
        <v>1978.9905863003639</v>
      </c>
      <c r="AV156" s="137">
        <f t="shared" si="55"/>
        <v>2.1025962047999998</v>
      </c>
      <c r="AW156" s="137">
        <f t="shared" si="56"/>
        <v>133.91991704</v>
      </c>
      <c r="AX156" s="137">
        <f t="shared" si="57"/>
        <v>43.883949199999996</v>
      </c>
      <c r="AY156" s="137">
        <f t="shared" si="58"/>
        <v>7.1532035119999993</v>
      </c>
      <c r="AZ156" s="137">
        <f t="shared" si="59"/>
        <v>1.9071349387999998E-2</v>
      </c>
      <c r="BA156" s="137">
        <f t="shared" si="60"/>
        <v>30.735136067999999</v>
      </c>
      <c r="BB156" s="137">
        <f t="shared" si="61"/>
        <v>9.0962362399999996</v>
      </c>
      <c r="BC156" s="137">
        <f t="shared" si="43"/>
        <v>6.222017256</v>
      </c>
      <c r="BD156" s="137">
        <f t="shared" si="44"/>
        <v>1.6375221772000001E-2</v>
      </c>
      <c r="BE156" s="137">
        <f t="shared" si="45"/>
        <v>9.3262376479999993</v>
      </c>
      <c r="BF156" s="137">
        <f t="shared" si="46"/>
        <v>-8.7140984839999998E-3</v>
      </c>
      <c r="BG156" s="137">
        <f t="shared" si="47"/>
        <v>1.9519772272000002E-5</v>
      </c>
      <c r="BH156" s="137">
        <f t="shared" si="48"/>
        <v>0.16413156032000001</v>
      </c>
      <c r="BI156" s="137">
        <f t="shared" si="49"/>
        <v>0.35383879803999996</v>
      </c>
      <c r="BJ156" s="137">
        <f t="shared" si="50"/>
        <v>0.33758296936000004</v>
      </c>
      <c r="BK156" s="137">
        <f t="shared" si="51"/>
        <v>2.0430593819999999E-2</v>
      </c>
      <c r="BL156" s="137">
        <f t="shared" si="52"/>
        <v>3.4754171088000003</v>
      </c>
      <c r="BM156" s="137">
        <f t="shared" si="53"/>
        <v>0.37197536739999998</v>
      </c>
    </row>
    <row r="157" spans="1:65" x14ac:dyDescent="0.25">
      <c r="A157" s="149">
        <v>202</v>
      </c>
      <c r="B157" s="149">
        <v>29</v>
      </c>
      <c r="C157" s="61">
        <v>44.564565999999999</v>
      </c>
      <c r="D157" s="61">
        <v>-123.262044</v>
      </c>
      <c r="E157" s="61" t="s">
        <v>265</v>
      </c>
      <c r="F157" s="149">
        <v>90</v>
      </c>
      <c r="G157" s="61" t="s">
        <v>277</v>
      </c>
      <c r="H157" s="61" t="s">
        <v>697</v>
      </c>
      <c r="I157" s="61">
        <v>45.589768999999997</v>
      </c>
      <c r="J157" s="61">
        <v>-122.595094</v>
      </c>
      <c r="K157" s="61">
        <v>197.87946479999999</v>
      </c>
      <c r="L157" s="61">
        <v>153.494</v>
      </c>
      <c r="M157" s="61" t="s">
        <v>617</v>
      </c>
      <c r="N157" s="149">
        <v>28</v>
      </c>
      <c r="O157" s="149">
        <v>29</v>
      </c>
      <c r="P157" s="61" t="s">
        <v>565</v>
      </c>
      <c r="Q157" s="61" t="s">
        <v>559</v>
      </c>
      <c r="R157" s="61">
        <v>47.450249900000003</v>
      </c>
      <c r="S157" s="61">
        <v>-122.30881650000001</v>
      </c>
      <c r="T157" s="61">
        <v>399.30799999999999</v>
      </c>
      <c r="U157" s="61" t="s">
        <v>617</v>
      </c>
      <c r="V157" s="61" t="s">
        <v>617</v>
      </c>
      <c r="W157" s="61"/>
      <c r="Y157" s="137">
        <f>Summary_LCIA!H$32</f>
        <v>0.33979999999999999</v>
      </c>
      <c r="Z157" s="137">
        <f>Summary_LCIA!Q$32</f>
        <v>4.9560504329999997</v>
      </c>
      <c r="AA157" s="137">
        <f>Summary_LCIA!R$32</f>
        <v>5.2655999999999996E-3</v>
      </c>
      <c r="AB157" s="137">
        <f>Summary_LCIA!S$32</f>
        <v>0.33538000000000001</v>
      </c>
      <c r="AC157" s="137">
        <f>Summary_LCIA!T$32</f>
        <v>0.1099</v>
      </c>
      <c r="AD157" s="137">
        <f>Summary_LCIA!U$32</f>
        <v>1.7913999999999999E-2</v>
      </c>
      <c r="AE157" s="137">
        <f>Summary_LCIA!V$32</f>
        <v>4.7760999999999999E-5</v>
      </c>
      <c r="AF157" s="137">
        <f>Summary_LCIA!W$32</f>
        <v>7.6970999999999998E-2</v>
      </c>
      <c r="AG157" s="137">
        <f>Summary_LCIA!X$32</f>
        <v>2.2780000000000002E-2</v>
      </c>
      <c r="AH157" s="137">
        <f>Summary_LCIA!Y$32</f>
        <v>1.5582E-2</v>
      </c>
      <c r="AI157" s="137">
        <f>Summary_LCIA!Z$32</f>
        <v>4.1009E-5</v>
      </c>
      <c r="AJ157" s="137">
        <f>Summary_LCIA!AA$32</f>
        <v>2.3355999999999998E-2</v>
      </c>
      <c r="AK157" s="137">
        <f>Summary_LCIA!AB$32</f>
        <v>-2.1823000000000001E-5</v>
      </c>
      <c r="AL157" s="137">
        <f>Summary_LCIA!AC$32</f>
        <v>4.8884000000000003E-8</v>
      </c>
      <c r="AM157" s="137">
        <f>Summary_LCIA!AD$32</f>
        <v>4.1103999999999999E-4</v>
      </c>
      <c r="AN157" s="137">
        <f>Summary_LCIA!AE$32</f>
        <v>8.8612999999999995E-4</v>
      </c>
      <c r="AO157" s="137">
        <f>Summary_LCIA!AF$32</f>
        <v>8.4542000000000005E-4</v>
      </c>
      <c r="AP157" s="137">
        <f>Summary_LCIA!AG$32</f>
        <v>5.1165000000000002E-5</v>
      </c>
      <c r="AQ157" s="137">
        <f>Summary_LCIA!AH$32</f>
        <v>8.7036000000000006E-3</v>
      </c>
      <c r="AR157" s="137">
        <f>Summary_LCIA!AI$32</f>
        <v>9.3154999999999996E-4</v>
      </c>
      <c r="AT157" s="137">
        <f t="shared" si="42"/>
        <v>135.6848584</v>
      </c>
      <c r="AU157" s="137">
        <f t="shared" si="54"/>
        <v>1978.9905863003639</v>
      </c>
      <c r="AV157" s="137">
        <f t="shared" si="55"/>
        <v>2.1025962047999998</v>
      </c>
      <c r="AW157" s="137">
        <f t="shared" si="56"/>
        <v>133.91991704</v>
      </c>
      <c r="AX157" s="137">
        <f t="shared" si="57"/>
        <v>43.883949199999996</v>
      </c>
      <c r="AY157" s="137">
        <f t="shared" si="58"/>
        <v>7.1532035119999993</v>
      </c>
      <c r="AZ157" s="137">
        <f t="shared" si="59"/>
        <v>1.9071349387999998E-2</v>
      </c>
      <c r="BA157" s="137">
        <f t="shared" si="60"/>
        <v>30.735136067999999</v>
      </c>
      <c r="BB157" s="137">
        <f t="shared" si="61"/>
        <v>9.0962362399999996</v>
      </c>
      <c r="BC157" s="137">
        <f t="shared" si="43"/>
        <v>6.222017256</v>
      </c>
      <c r="BD157" s="137">
        <f t="shared" si="44"/>
        <v>1.6375221772000001E-2</v>
      </c>
      <c r="BE157" s="137">
        <f t="shared" si="45"/>
        <v>9.3262376479999993</v>
      </c>
      <c r="BF157" s="137">
        <f t="shared" si="46"/>
        <v>-8.7140984839999998E-3</v>
      </c>
      <c r="BG157" s="137">
        <f t="shared" si="47"/>
        <v>1.9519772272000002E-5</v>
      </c>
      <c r="BH157" s="137">
        <f t="shared" si="48"/>
        <v>0.16413156032000001</v>
      </c>
      <c r="BI157" s="137">
        <f t="shared" si="49"/>
        <v>0.35383879803999996</v>
      </c>
      <c r="BJ157" s="137">
        <f t="shared" si="50"/>
        <v>0.33758296936000004</v>
      </c>
      <c r="BK157" s="137">
        <f t="shared" si="51"/>
        <v>2.0430593819999999E-2</v>
      </c>
      <c r="BL157" s="137">
        <f t="shared" si="52"/>
        <v>3.4754171088000003</v>
      </c>
      <c r="BM157" s="137">
        <f t="shared" si="53"/>
        <v>0.37197536739999998</v>
      </c>
    </row>
    <row r="158" spans="1:65" x14ac:dyDescent="0.25">
      <c r="A158" s="149">
        <v>199</v>
      </c>
      <c r="B158" s="149">
        <v>29</v>
      </c>
      <c r="C158" s="61">
        <v>44.564272000000003</v>
      </c>
      <c r="D158" s="61">
        <v>-123.278594</v>
      </c>
      <c r="E158" s="61" t="s">
        <v>265</v>
      </c>
      <c r="F158" s="149">
        <v>90</v>
      </c>
      <c r="G158" s="61" t="s">
        <v>277</v>
      </c>
      <c r="H158" s="61" t="s">
        <v>697</v>
      </c>
      <c r="I158" s="61">
        <v>45.589768999999997</v>
      </c>
      <c r="J158" s="61">
        <v>-122.595094</v>
      </c>
      <c r="K158" s="61">
        <v>197.4951184</v>
      </c>
      <c r="L158" s="61">
        <v>155.84200000000001</v>
      </c>
      <c r="M158" s="61" t="s">
        <v>617</v>
      </c>
      <c r="N158" s="149">
        <v>28</v>
      </c>
      <c r="O158" s="149">
        <v>29</v>
      </c>
      <c r="P158" s="61" t="s">
        <v>565</v>
      </c>
      <c r="Q158" s="61" t="s">
        <v>559</v>
      </c>
      <c r="R158" s="61">
        <v>47.450249900000003</v>
      </c>
      <c r="S158" s="61">
        <v>-122.30881650000001</v>
      </c>
      <c r="T158" s="61">
        <v>401.65699999999998</v>
      </c>
      <c r="U158" s="61" t="s">
        <v>617</v>
      </c>
      <c r="V158" s="61" t="s">
        <v>617</v>
      </c>
      <c r="W158" s="61"/>
      <c r="Y158" s="137">
        <f>Summary_LCIA!H$32</f>
        <v>0.33979999999999999</v>
      </c>
      <c r="Z158" s="137">
        <f>Summary_LCIA!Q$32</f>
        <v>4.9560504329999997</v>
      </c>
      <c r="AA158" s="137">
        <f>Summary_LCIA!R$32</f>
        <v>5.2655999999999996E-3</v>
      </c>
      <c r="AB158" s="137">
        <f>Summary_LCIA!S$32</f>
        <v>0.33538000000000001</v>
      </c>
      <c r="AC158" s="137">
        <f>Summary_LCIA!T$32</f>
        <v>0.1099</v>
      </c>
      <c r="AD158" s="137">
        <f>Summary_LCIA!U$32</f>
        <v>1.7913999999999999E-2</v>
      </c>
      <c r="AE158" s="137">
        <f>Summary_LCIA!V$32</f>
        <v>4.7760999999999999E-5</v>
      </c>
      <c r="AF158" s="137">
        <f>Summary_LCIA!W$32</f>
        <v>7.6970999999999998E-2</v>
      </c>
      <c r="AG158" s="137">
        <f>Summary_LCIA!X$32</f>
        <v>2.2780000000000002E-2</v>
      </c>
      <c r="AH158" s="137">
        <f>Summary_LCIA!Y$32</f>
        <v>1.5582E-2</v>
      </c>
      <c r="AI158" s="137">
        <f>Summary_LCIA!Z$32</f>
        <v>4.1009E-5</v>
      </c>
      <c r="AJ158" s="137">
        <f>Summary_LCIA!AA$32</f>
        <v>2.3355999999999998E-2</v>
      </c>
      <c r="AK158" s="137">
        <f>Summary_LCIA!AB$32</f>
        <v>-2.1823000000000001E-5</v>
      </c>
      <c r="AL158" s="137">
        <f>Summary_LCIA!AC$32</f>
        <v>4.8884000000000003E-8</v>
      </c>
      <c r="AM158" s="137">
        <f>Summary_LCIA!AD$32</f>
        <v>4.1103999999999999E-4</v>
      </c>
      <c r="AN158" s="137">
        <f>Summary_LCIA!AE$32</f>
        <v>8.8612999999999995E-4</v>
      </c>
      <c r="AO158" s="137">
        <f>Summary_LCIA!AF$32</f>
        <v>8.4542000000000005E-4</v>
      </c>
      <c r="AP158" s="137">
        <f>Summary_LCIA!AG$32</f>
        <v>5.1165000000000002E-5</v>
      </c>
      <c r="AQ158" s="137">
        <f>Summary_LCIA!AH$32</f>
        <v>8.7036000000000006E-3</v>
      </c>
      <c r="AR158" s="137">
        <f>Summary_LCIA!AI$32</f>
        <v>9.3154999999999996E-4</v>
      </c>
      <c r="AT158" s="137">
        <f t="shared" si="42"/>
        <v>136.48304859999999</v>
      </c>
      <c r="AU158" s="137">
        <f t="shared" si="54"/>
        <v>1990.6323487674808</v>
      </c>
      <c r="AV158" s="137">
        <f t="shared" si="55"/>
        <v>2.1149650992</v>
      </c>
      <c r="AW158" s="137">
        <f t="shared" si="56"/>
        <v>134.70772466</v>
      </c>
      <c r="AX158" s="137">
        <f t="shared" si="57"/>
        <v>44.1421043</v>
      </c>
      <c r="AY158" s="137">
        <f t="shared" si="58"/>
        <v>7.1952834979999993</v>
      </c>
      <c r="AZ158" s="137">
        <f t="shared" si="59"/>
        <v>1.9183539976999998E-2</v>
      </c>
      <c r="BA158" s="137">
        <f t="shared" si="60"/>
        <v>30.915940946999999</v>
      </c>
      <c r="BB158" s="137">
        <f t="shared" si="61"/>
        <v>9.1497464600000011</v>
      </c>
      <c r="BC158" s="137">
        <f t="shared" si="43"/>
        <v>6.2586193740000002</v>
      </c>
      <c r="BD158" s="137">
        <f t="shared" si="44"/>
        <v>1.6471551912999999E-2</v>
      </c>
      <c r="BE158" s="137">
        <f t="shared" si="45"/>
        <v>9.3811008919999992</v>
      </c>
      <c r="BF158" s="137">
        <f t="shared" si="46"/>
        <v>-8.765360711E-3</v>
      </c>
      <c r="BG158" s="137">
        <f t="shared" si="47"/>
        <v>1.9634600787999999E-5</v>
      </c>
      <c r="BH158" s="137">
        <f t="shared" si="48"/>
        <v>0.16509709328</v>
      </c>
      <c r="BI158" s="137">
        <f t="shared" si="49"/>
        <v>0.35592031740999996</v>
      </c>
      <c r="BJ158" s="137">
        <f t="shared" si="50"/>
        <v>0.33956886093999999</v>
      </c>
      <c r="BK158" s="137">
        <f t="shared" si="51"/>
        <v>2.0550780405E-2</v>
      </c>
      <c r="BL158" s="137">
        <f t="shared" si="52"/>
        <v>3.4958618652000002</v>
      </c>
      <c r="BM158" s="137">
        <f t="shared" si="53"/>
        <v>0.37416357834999997</v>
      </c>
    </row>
    <row r="159" spans="1:65" x14ac:dyDescent="0.25">
      <c r="A159" s="149">
        <v>200</v>
      </c>
      <c r="B159" s="149">
        <v>29</v>
      </c>
      <c r="C159" s="61">
        <v>44.564272000000003</v>
      </c>
      <c r="D159" s="61">
        <v>-123.278594</v>
      </c>
      <c r="E159" s="61" t="s">
        <v>265</v>
      </c>
      <c r="F159" s="149">
        <v>90</v>
      </c>
      <c r="G159" s="61" t="s">
        <v>277</v>
      </c>
      <c r="H159" s="61" t="s">
        <v>697</v>
      </c>
      <c r="I159" s="61">
        <v>45.589768999999997</v>
      </c>
      <c r="J159" s="61">
        <v>-122.595094</v>
      </c>
      <c r="K159" s="61">
        <v>197.4951184</v>
      </c>
      <c r="L159" s="61">
        <v>155.84200000000001</v>
      </c>
      <c r="M159" s="61" t="s">
        <v>617</v>
      </c>
      <c r="N159" s="149">
        <v>28</v>
      </c>
      <c r="O159" s="149">
        <v>29</v>
      </c>
      <c r="P159" s="61" t="s">
        <v>565</v>
      </c>
      <c r="Q159" s="61" t="s">
        <v>559</v>
      </c>
      <c r="R159" s="61">
        <v>47.450249900000003</v>
      </c>
      <c r="S159" s="61">
        <v>-122.30881650000001</v>
      </c>
      <c r="T159" s="61">
        <v>401.65699999999998</v>
      </c>
      <c r="U159" s="61" t="s">
        <v>617</v>
      </c>
      <c r="V159" s="61" t="s">
        <v>617</v>
      </c>
      <c r="W159" s="61"/>
      <c r="Y159" s="137">
        <f>Summary_LCIA!H$32</f>
        <v>0.33979999999999999</v>
      </c>
      <c r="Z159" s="137">
        <f>Summary_LCIA!Q$32</f>
        <v>4.9560504329999997</v>
      </c>
      <c r="AA159" s="137">
        <f>Summary_LCIA!R$32</f>
        <v>5.2655999999999996E-3</v>
      </c>
      <c r="AB159" s="137">
        <f>Summary_LCIA!S$32</f>
        <v>0.33538000000000001</v>
      </c>
      <c r="AC159" s="137">
        <f>Summary_LCIA!T$32</f>
        <v>0.1099</v>
      </c>
      <c r="AD159" s="137">
        <f>Summary_LCIA!U$32</f>
        <v>1.7913999999999999E-2</v>
      </c>
      <c r="AE159" s="137">
        <f>Summary_LCIA!V$32</f>
        <v>4.7760999999999999E-5</v>
      </c>
      <c r="AF159" s="137">
        <f>Summary_LCIA!W$32</f>
        <v>7.6970999999999998E-2</v>
      </c>
      <c r="AG159" s="137">
        <f>Summary_LCIA!X$32</f>
        <v>2.2780000000000002E-2</v>
      </c>
      <c r="AH159" s="137">
        <f>Summary_LCIA!Y$32</f>
        <v>1.5582E-2</v>
      </c>
      <c r="AI159" s="137">
        <f>Summary_LCIA!Z$32</f>
        <v>4.1009E-5</v>
      </c>
      <c r="AJ159" s="137">
        <f>Summary_LCIA!AA$32</f>
        <v>2.3355999999999998E-2</v>
      </c>
      <c r="AK159" s="137">
        <f>Summary_LCIA!AB$32</f>
        <v>-2.1823000000000001E-5</v>
      </c>
      <c r="AL159" s="137">
        <f>Summary_LCIA!AC$32</f>
        <v>4.8884000000000003E-8</v>
      </c>
      <c r="AM159" s="137">
        <f>Summary_LCIA!AD$32</f>
        <v>4.1103999999999999E-4</v>
      </c>
      <c r="AN159" s="137">
        <f>Summary_LCIA!AE$32</f>
        <v>8.8612999999999995E-4</v>
      </c>
      <c r="AO159" s="137">
        <f>Summary_LCIA!AF$32</f>
        <v>8.4542000000000005E-4</v>
      </c>
      <c r="AP159" s="137">
        <f>Summary_LCIA!AG$32</f>
        <v>5.1165000000000002E-5</v>
      </c>
      <c r="AQ159" s="137">
        <f>Summary_LCIA!AH$32</f>
        <v>8.7036000000000006E-3</v>
      </c>
      <c r="AR159" s="137">
        <f>Summary_LCIA!AI$32</f>
        <v>9.3154999999999996E-4</v>
      </c>
      <c r="AT159" s="137">
        <f t="shared" si="42"/>
        <v>136.48304859999999</v>
      </c>
      <c r="AU159" s="137">
        <f t="shared" si="54"/>
        <v>1990.6323487674808</v>
      </c>
      <c r="AV159" s="137">
        <f t="shared" si="55"/>
        <v>2.1149650992</v>
      </c>
      <c r="AW159" s="137">
        <f t="shared" si="56"/>
        <v>134.70772466</v>
      </c>
      <c r="AX159" s="137">
        <f t="shared" si="57"/>
        <v>44.1421043</v>
      </c>
      <c r="AY159" s="137">
        <f t="shared" si="58"/>
        <v>7.1952834979999993</v>
      </c>
      <c r="AZ159" s="137">
        <f t="shared" si="59"/>
        <v>1.9183539976999998E-2</v>
      </c>
      <c r="BA159" s="137">
        <f t="shared" si="60"/>
        <v>30.915940946999999</v>
      </c>
      <c r="BB159" s="137">
        <f t="shared" si="61"/>
        <v>9.1497464600000011</v>
      </c>
      <c r="BC159" s="137">
        <f t="shared" si="43"/>
        <v>6.2586193740000002</v>
      </c>
      <c r="BD159" s="137">
        <f t="shared" si="44"/>
        <v>1.6471551912999999E-2</v>
      </c>
      <c r="BE159" s="137">
        <f t="shared" si="45"/>
        <v>9.3811008919999992</v>
      </c>
      <c r="BF159" s="137">
        <f t="shared" si="46"/>
        <v>-8.765360711E-3</v>
      </c>
      <c r="BG159" s="137">
        <f t="shared" si="47"/>
        <v>1.9634600787999999E-5</v>
      </c>
      <c r="BH159" s="137">
        <f t="shared" si="48"/>
        <v>0.16509709328</v>
      </c>
      <c r="BI159" s="137">
        <f t="shared" si="49"/>
        <v>0.35592031740999996</v>
      </c>
      <c r="BJ159" s="137">
        <f t="shared" si="50"/>
        <v>0.33956886093999999</v>
      </c>
      <c r="BK159" s="137">
        <f t="shared" si="51"/>
        <v>2.0550780405E-2</v>
      </c>
      <c r="BL159" s="137">
        <f t="shared" si="52"/>
        <v>3.4958618652000002</v>
      </c>
      <c r="BM159" s="137">
        <f t="shared" si="53"/>
        <v>0.37416357834999997</v>
      </c>
    </row>
    <row r="160" spans="1:65" x14ac:dyDescent="0.25">
      <c r="A160" s="149">
        <v>52</v>
      </c>
      <c r="B160" s="149">
        <v>43</v>
      </c>
      <c r="C160" s="61">
        <v>39.109959000000003</v>
      </c>
      <c r="D160" s="61">
        <v>-77.556522999999999</v>
      </c>
      <c r="E160" s="61" t="s">
        <v>265</v>
      </c>
      <c r="F160" s="149">
        <v>85</v>
      </c>
      <c r="G160" s="61" t="s">
        <v>630</v>
      </c>
      <c r="H160" s="61" t="s">
        <v>631</v>
      </c>
      <c r="I160" s="61">
        <v>38.953116000000001</v>
      </c>
      <c r="J160" s="61">
        <v>-77.456539000000006</v>
      </c>
      <c r="K160" s="61">
        <v>25.36634257</v>
      </c>
      <c r="L160" s="61">
        <v>25.824000000000002</v>
      </c>
      <c r="M160" s="61" t="s">
        <v>617</v>
      </c>
      <c r="N160" s="149">
        <v>42</v>
      </c>
      <c r="O160" s="149">
        <v>43</v>
      </c>
      <c r="P160" s="61" t="s">
        <v>565</v>
      </c>
      <c r="Q160" s="61" t="s">
        <v>555</v>
      </c>
      <c r="R160" s="61">
        <v>40.6895314</v>
      </c>
      <c r="S160" s="61">
        <v>-74.174462399999996</v>
      </c>
      <c r="T160" s="61">
        <v>404.02199999999999</v>
      </c>
      <c r="U160" s="61" t="s">
        <v>617</v>
      </c>
      <c r="V160" s="61" t="s">
        <v>617</v>
      </c>
      <c r="W160" s="61"/>
      <c r="Y160" s="137">
        <f>Summary_LCIA!H$32</f>
        <v>0.33979999999999999</v>
      </c>
      <c r="Z160" s="137">
        <f>Summary_LCIA!Q$32</f>
        <v>4.9560504329999997</v>
      </c>
      <c r="AA160" s="137">
        <f>Summary_LCIA!R$32</f>
        <v>5.2655999999999996E-3</v>
      </c>
      <c r="AB160" s="137">
        <f>Summary_LCIA!S$32</f>
        <v>0.33538000000000001</v>
      </c>
      <c r="AC160" s="137">
        <f>Summary_LCIA!T$32</f>
        <v>0.1099</v>
      </c>
      <c r="AD160" s="137">
        <f>Summary_LCIA!U$32</f>
        <v>1.7913999999999999E-2</v>
      </c>
      <c r="AE160" s="137">
        <f>Summary_LCIA!V$32</f>
        <v>4.7760999999999999E-5</v>
      </c>
      <c r="AF160" s="137">
        <f>Summary_LCIA!W$32</f>
        <v>7.6970999999999998E-2</v>
      </c>
      <c r="AG160" s="137">
        <f>Summary_LCIA!X$32</f>
        <v>2.2780000000000002E-2</v>
      </c>
      <c r="AH160" s="137">
        <f>Summary_LCIA!Y$32</f>
        <v>1.5582E-2</v>
      </c>
      <c r="AI160" s="137">
        <f>Summary_LCIA!Z$32</f>
        <v>4.1009E-5</v>
      </c>
      <c r="AJ160" s="137">
        <f>Summary_LCIA!AA$32</f>
        <v>2.3355999999999998E-2</v>
      </c>
      <c r="AK160" s="137">
        <f>Summary_LCIA!AB$32</f>
        <v>-2.1823000000000001E-5</v>
      </c>
      <c r="AL160" s="137">
        <f>Summary_LCIA!AC$32</f>
        <v>4.8884000000000003E-8</v>
      </c>
      <c r="AM160" s="137">
        <f>Summary_LCIA!AD$32</f>
        <v>4.1103999999999999E-4</v>
      </c>
      <c r="AN160" s="137">
        <f>Summary_LCIA!AE$32</f>
        <v>8.8612999999999995E-4</v>
      </c>
      <c r="AO160" s="137">
        <f>Summary_LCIA!AF$32</f>
        <v>8.4542000000000005E-4</v>
      </c>
      <c r="AP160" s="137">
        <f>Summary_LCIA!AG$32</f>
        <v>5.1165000000000002E-5</v>
      </c>
      <c r="AQ160" s="137">
        <f>Summary_LCIA!AH$32</f>
        <v>8.7036000000000006E-3</v>
      </c>
      <c r="AR160" s="137">
        <f>Summary_LCIA!AI$32</f>
        <v>9.3154999999999996E-4</v>
      </c>
      <c r="AT160" s="137">
        <f t="shared" si="42"/>
        <v>137.2866756</v>
      </c>
      <c r="AU160" s="137">
        <f t="shared" si="54"/>
        <v>2002.3534080415259</v>
      </c>
      <c r="AV160" s="137">
        <f t="shared" si="55"/>
        <v>2.1274182431999997</v>
      </c>
      <c r="AW160" s="137">
        <f t="shared" si="56"/>
        <v>135.50089836000001</v>
      </c>
      <c r="AX160" s="137">
        <f t="shared" si="57"/>
        <v>44.402017799999996</v>
      </c>
      <c r="AY160" s="137">
        <f t="shared" si="58"/>
        <v>7.2376501079999995</v>
      </c>
      <c r="AZ160" s="137">
        <f t="shared" si="59"/>
        <v>1.9296494742E-2</v>
      </c>
      <c r="BA160" s="137">
        <f t="shared" si="60"/>
        <v>31.097977361999998</v>
      </c>
      <c r="BB160" s="137">
        <f t="shared" si="61"/>
        <v>9.2036211600000009</v>
      </c>
      <c r="BC160" s="137">
        <f t="shared" si="43"/>
        <v>6.2954708039999998</v>
      </c>
      <c r="BD160" s="137">
        <f t="shared" si="44"/>
        <v>1.6568538197999999E-2</v>
      </c>
      <c r="BE160" s="137">
        <f t="shared" si="45"/>
        <v>9.4363378319999995</v>
      </c>
      <c r="BF160" s="137">
        <f t="shared" si="46"/>
        <v>-8.8169721059999998E-3</v>
      </c>
      <c r="BG160" s="137">
        <f t="shared" si="47"/>
        <v>1.9750211448000001E-5</v>
      </c>
      <c r="BH160" s="137">
        <f t="shared" si="48"/>
        <v>0.16606920287999999</v>
      </c>
      <c r="BI160" s="137">
        <f t="shared" si="49"/>
        <v>0.35801601485999995</v>
      </c>
      <c r="BJ160" s="137">
        <f t="shared" si="50"/>
        <v>0.34156827923999999</v>
      </c>
      <c r="BK160" s="137">
        <f t="shared" si="51"/>
        <v>2.0671785630000002E-2</v>
      </c>
      <c r="BL160" s="137">
        <f t="shared" si="52"/>
        <v>3.5164458792</v>
      </c>
      <c r="BM160" s="137">
        <f t="shared" si="53"/>
        <v>0.37636669409999995</v>
      </c>
    </row>
    <row r="161" spans="1:65" x14ac:dyDescent="0.25">
      <c r="A161" s="149">
        <v>131</v>
      </c>
      <c r="B161" s="149">
        <v>6</v>
      </c>
      <c r="C161" s="61">
        <v>42.280825999999998</v>
      </c>
      <c r="D161" s="61">
        <v>-83.743037999999999</v>
      </c>
      <c r="E161" s="61" t="s">
        <v>265</v>
      </c>
      <c r="F161" s="149">
        <v>78</v>
      </c>
      <c r="G161" s="61" t="s">
        <v>615</v>
      </c>
      <c r="H161" s="61" t="s">
        <v>616</v>
      </c>
      <c r="I161" s="61">
        <v>42.216248999999998</v>
      </c>
      <c r="J161" s="61">
        <v>-83.355363999999994</v>
      </c>
      <c r="K161" s="61">
        <v>33.220362780000002</v>
      </c>
      <c r="L161" s="61">
        <v>42.878</v>
      </c>
      <c r="M161" s="61" t="s">
        <v>617</v>
      </c>
      <c r="N161" s="149">
        <v>5</v>
      </c>
      <c r="O161" s="149">
        <v>6</v>
      </c>
      <c r="P161" s="61" t="s">
        <v>565</v>
      </c>
      <c r="Q161" s="61" t="s">
        <v>564</v>
      </c>
      <c r="R161" s="61">
        <v>41.98028</v>
      </c>
      <c r="S161" s="61">
        <v>-87.908997900000003</v>
      </c>
      <c r="T161" s="61">
        <v>414.488</v>
      </c>
      <c r="U161" s="61" t="s">
        <v>617</v>
      </c>
      <c r="V161" s="61" t="s">
        <v>617</v>
      </c>
      <c r="W161" s="61"/>
      <c r="Y161" s="137">
        <f>Summary_LCIA!H$32</f>
        <v>0.33979999999999999</v>
      </c>
      <c r="Z161" s="137">
        <f>Summary_LCIA!Q$32</f>
        <v>4.9560504329999997</v>
      </c>
      <c r="AA161" s="137">
        <f>Summary_LCIA!R$32</f>
        <v>5.2655999999999996E-3</v>
      </c>
      <c r="AB161" s="137">
        <f>Summary_LCIA!S$32</f>
        <v>0.33538000000000001</v>
      </c>
      <c r="AC161" s="137">
        <f>Summary_LCIA!T$32</f>
        <v>0.1099</v>
      </c>
      <c r="AD161" s="137">
        <f>Summary_LCIA!U$32</f>
        <v>1.7913999999999999E-2</v>
      </c>
      <c r="AE161" s="137">
        <f>Summary_LCIA!V$32</f>
        <v>4.7760999999999999E-5</v>
      </c>
      <c r="AF161" s="137">
        <f>Summary_LCIA!W$32</f>
        <v>7.6970999999999998E-2</v>
      </c>
      <c r="AG161" s="137">
        <f>Summary_LCIA!X$32</f>
        <v>2.2780000000000002E-2</v>
      </c>
      <c r="AH161" s="137">
        <f>Summary_LCIA!Y$32</f>
        <v>1.5582E-2</v>
      </c>
      <c r="AI161" s="137">
        <f>Summary_LCIA!Z$32</f>
        <v>4.1009E-5</v>
      </c>
      <c r="AJ161" s="137">
        <f>Summary_LCIA!AA$32</f>
        <v>2.3355999999999998E-2</v>
      </c>
      <c r="AK161" s="137">
        <f>Summary_LCIA!AB$32</f>
        <v>-2.1823000000000001E-5</v>
      </c>
      <c r="AL161" s="137">
        <f>Summary_LCIA!AC$32</f>
        <v>4.8884000000000003E-8</v>
      </c>
      <c r="AM161" s="137">
        <f>Summary_LCIA!AD$32</f>
        <v>4.1103999999999999E-4</v>
      </c>
      <c r="AN161" s="137">
        <f>Summary_LCIA!AE$32</f>
        <v>8.8612999999999995E-4</v>
      </c>
      <c r="AO161" s="137">
        <f>Summary_LCIA!AF$32</f>
        <v>8.4542000000000005E-4</v>
      </c>
      <c r="AP161" s="137">
        <f>Summary_LCIA!AG$32</f>
        <v>5.1165000000000002E-5</v>
      </c>
      <c r="AQ161" s="137">
        <f>Summary_LCIA!AH$32</f>
        <v>8.7036000000000006E-3</v>
      </c>
      <c r="AR161" s="137">
        <f>Summary_LCIA!AI$32</f>
        <v>9.3154999999999996E-4</v>
      </c>
      <c r="AT161" s="137">
        <f t="shared" si="42"/>
        <v>140.8430224</v>
      </c>
      <c r="AU161" s="137">
        <f t="shared" si="54"/>
        <v>2054.223431873304</v>
      </c>
      <c r="AV161" s="137">
        <f t="shared" si="55"/>
        <v>2.1825280127999998</v>
      </c>
      <c r="AW161" s="137">
        <f t="shared" si="56"/>
        <v>139.01098544000001</v>
      </c>
      <c r="AX161" s="137">
        <f t="shared" si="57"/>
        <v>45.552231200000001</v>
      </c>
      <c r="AY161" s="137">
        <f t="shared" si="58"/>
        <v>7.4251380319999996</v>
      </c>
      <c r="AZ161" s="137">
        <f t="shared" si="59"/>
        <v>1.9796361368E-2</v>
      </c>
      <c r="BA161" s="137">
        <f t="shared" si="60"/>
        <v>31.903555848</v>
      </c>
      <c r="BB161" s="137">
        <f t="shared" si="61"/>
        <v>9.4420366400000013</v>
      </c>
      <c r="BC161" s="137">
        <f t="shared" si="43"/>
        <v>6.4585520160000005</v>
      </c>
      <c r="BD161" s="137">
        <f t="shared" si="44"/>
        <v>1.6997738392E-2</v>
      </c>
      <c r="BE161" s="137">
        <f t="shared" si="45"/>
        <v>9.6807817279999995</v>
      </c>
      <c r="BF161" s="137">
        <f t="shared" si="46"/>
        <v>-9.0453716240000009E-3</v>
      </c>
      <c r="BG161" s="137">
        <f t="shared" si="47"/>
        <v>2.0261831392000002E-5</v>
      </c>
      <c r="BH161" s="137">
        <f t="shared" si="48"/>
        <v>0.17037114751999999</v>
      </c>
      <c r="BI161" s="137">
        <f t="shared" si="49"/>
        <v>0.36729025143999999</v>
      </c>
      <c r="BJ161" s="137">
        <f t="shared" si="50"/>
        <v>0.35041644496000002</v>
      </c>
      <c r="BK161" s="137">
        <f t="shared" si="51"/>
        <v>2.1207278520000001E-2</v>
      </c>
      <c r="BL161" s="137">
        <f t="shared" si="52"/>
        <v>3.6075377568000002</v>
      </c>
      <c r="BM161" s="137">
        <f t="shared" si="53"/>
        <v>0.3861162964</v>
      </c>
    </row>
    <row r="162" spans="1:65" x14ac:dyDescent="0.25">
      <c r="A162" s="149">
        <v>98</v>
      </c>
      <c r="B162" s="149">
        <v>6</v>
      </c>
      <c r="C162" s="61">
        <v>42.276254000000002</v>
      </c>
      <c r="D162" s="61">
        <v>-83.741243999999995</v>
      </c>
      <c r="E162" s="61" t="s">
        <v>265</v>
      </c>
      <c r="F162" s="149">
        <v>78</v>
      </c>
      <c r="G162" s="61" t="s">
        <v>615</v>
      </c>
      <c r="H162" s="61" t="s">
        <v>616</v>
      </c>
      <c r="I162" s="61">
        <v>42.216248999999998</v>
      </c>
      <c r="J162" s="61">
        <v>-83.355363999999994</v>
      </c>
      <c r="K162" s="61">
        <v>32.887807850000002</v>
      </c>
      <c r="L162" s="61">
        <v>42.174999999999997</v>
      </c>
      <c r="M162" s="61" t="s">
        <v>617</v>
      </c>
      <c r="N162" s="149">
        <v>5</v>
      </c>
      <c r="O162" s="149">
        <v>6</v>
      </c>
      <c r="P162" s="61" t="s">
        <v>565</v>
      </c>
      <c r="Q162" s="61" t="s">
        <v>564</v>
      </c>
      <c r="R162" s="61">
        <v>41.98028</v>
      </c>
      <c r="S162" s="61">
        <v>-87.908997900000003</v>
      </c>
      <c r="T162" s="61">
        <v>415.20499999999998</v>
      </c>
      <c r="U162" s="61" t="s">
        <v>617</v>
      </c>
      <c r="V162" s="61" t="s">
        <v>617</v>
      </c>
      <c r="W162" s="61"/>
      <c r="Y162" s="137">
        <f>Summary_LCIA!H$32</f>
        <v>0.33979999999999999</v>
      </c>
      <c r="Z162" s="137">
        <f>Summary_LCIA!Q$32</f>
        <v>4.9560504329999997</v>
      </c>
      <c r="AA162" s="137">
        <f>Summary_LCIA!R$32</f>
        <v>5.2655999999999996E-3</v>
      </c>
      <c r="AB162" s="137">
        <f>Summary_LCIA!S$32</f>
        <v>0.33538000000000001</v>
      </c>
      <c r="AC162" s="137">
        <f>Summary_LCIA!T$32</f>
        <v>0.1099</v>
      </c>
      <c r="AD162" s="137">
        <f>Summary_LCIA!U$32</f>
        <v>1.7913999999999999E-2</v>
      </c>
      <c r="AE162" s="137">
        <f>Summary_LCIA!V$32</f>
        <v>4.7760999999999999E-5</v>
      </c>
      <c r="AF162" s="137">
        <f>Summary_LCIA!W$32</f>
        <v>7.6970999999999998E-2</v>
      </c>
      <c r="AG162" s="137">
        <f>Summary_LCIA!X$32</f>
        <v>2.2780000000000002E-2</v>
      </c>
      <c r="AH162" s="137">
        <f>Summary_LCIA!Y$32</f>
        <v>1.5582E-2</v>
      </c>
      <c r="AI162" s="137">
        <f>Summary_LCIA!Z$32</f>
        <v>4.1009E-5</v>
      </c>
      <c r="AJ162" s="137">
        <f>Summary_LCIA!AA$32</f>
        <v>2.3355999999999998E-2</v>
      </c>
      <c r="AK162" s="137">
        <f>Summary_LCIA!AB$32</f>
        <v>-2.1823000000000001E-5</v>
      </c>
      <c r="AL162" s="137">
        <f>Summary_LCIA!AC$32</f>
        <v>4.8884000000000003E-8</v>
      </c>
      <c r="AM162" s="137">
        <f>Summary_LCIA!AD$32</f>
        <v>4.1103999999999999E-4</v>
      </c>
      <c r="AN162" s="137">
        <f>Summary_LCIA!AE$32</f>
        <v>8.8612999999999995E-4</v>
      </c>
      <c r="AO162" s="137">
        <f>Summary_LCIA!AF$32</f>
        <v>8.4542000000000005E-4</v>
      </c>
      <c r="AP162" s="137">
        <f>Summary_LCIA!AG$32</f>
        <v>5.1165000000000002E-5</v>
      </c>
      <c r="AQ162" s="137">
        <f>Summary_LCIA!AH$32</f>
        <v>8.7036000000000006E-3</v>
      </c>
      <c r="AR162" s="137">
        <f>Summary_LCIA!AI$32</f>
        <v>9.3154999999999996E-4</v>
      </c>
      <c r="AT162" s="137">
        <f t="shared" si="42"/>
        <v>141.086659</v>
      </c>
      <c r="AU162" s="137">
        <f t="shared" si="54"/>
        <v>2057.7769200337648</v>
      </c>
      <c r="AV162" s="137">
        <f t="shared" si="55"/>
        <v>2.1863034479999999</v>
      </c>
      <c r="AW162" s="137">
        <f t="shared" si="56"/>
        <v>139.2514529</v>
      </c>
      <c r="AX162" s="137">
        <f t="shared" si="57"/>
        <v>45.631029499999997</v>
      </c>
      <c r="AY162" s="137">
        <f t="shared" si="58"/>
        <v>7.4379823699999994</v>
      </c>
      <c r="AZ162" s="137">
        <f t="shared" si="59"/>
        <v>1.9830606004999998E-2</v>
      </c>
      <c r="BA162" s="137">
        <f t="shared" si="60"/>
        <v>31.958744054999997</v>
      </c>
      <c r="BB162" s="137">
        <f t="shared" si="61"/>
        <v>9.458369900000001</v>
      </c>
      <c r="BC162" s="137">
        <f t="shared" si="43"/>
        <v>6.4697243100000001</v>
      </c>
      <c r="BD162" s="137">
        <f t="shared" si="44"/>
        <v>1.7027141845E-2</v>
      </c>
      <c r="BE162" s="137">
        <f t="shared" si="45"/>
        <v>9.6975279799999985</v>
      </c>
      <c r="BF162" s="137">
        <f t="shared" si="46"/>
        <v>-9.0610187150000007E-3</v>
      </c>
      <c r="BG162" s="137">
        <f t="shared" si="47"/>
        <v>2.029688122E-5</v>
      </c>
      <c r="BH162" s="137">
        <f t="shared" si="48"/>
        <v>0.17066586319999999</v>
      </c>
      <c r="BI162" s="137">
        <f t="shared" si="49"/>
        <v>0.36792560664999996</v>
      </c>
      <c r="BJ162" s="137">
        <f t="shared" si="50"/>
        <v>0.35102261109999999</v>
      </c>
      <c r="BK162" s="137">
        <f t="shared" si="51"/>
        <v>2.1243963825E-2</v>
      </c>
      <c r="BL162" s="137">
        <f t="shared" si="52"/>
        <v>3.6137782380000001</v>
      </c>
      <c r="BM162" s="137">
        <f t="shared" si="53"/>
        <v>0.38678421774999999</v>
      </c>
    </row>
    <row r="163" spans="1:65" x14ac:dyDescent="0.25">
      <c r="A163" s="149">
        <v>361</v>
      </c>
      <c r="B163" s="149">
        <v>6</v>
      </c>
      <c r="C163" s="61">
        <v>41.652805000000001</v>
      </c>
      <c r="D163" s="61">
        <v>-83.537867000000006</v>
      </c>
      <c r="E163" s="61" t="s">
        <v>265</v>
      </c>
      <c r="F163" s="149">
        <v>78</v>
      </c>
      <c r="G163" s="61" t="s">
        <v>615</v>
      </c>
      <c r="H163" s="61" t="s">
        <v>616</v>
      </c>
      <c r="I163" s="61">
        <v>42.216248999999998</v>
      </c>
      <c r="J163" s="61">
        <v>-83.355363999999994</v>
      </c>
      <c r="K163" s="61">
        <v>95.399904230000004</v>
      </c>
      <c r="L163" s="61">
        <v>80.596000000000004</v>
      </c>
      <c r="M163" s="61" t="s">
        <v>617</v>
      </c>
      <c r="N163" s="149">
        <v>5</v>
      </c>
      <c r="O163" s="149">
        <v>6</v>
      </c>
      <c r="P163" s="61" t="s">
        <v>565</v>
      </c>
      <c r="Q163" s="61" t="s">
        <v>564</v>
      </c>
      <c r="R163" s="61">
        <v>41.98028</v>
      </c>
      <c r="S163" s="61">
        <v>-87.908997900000003</v>
      </c>
      <c r="T163" s="61">
        <v>419.88900000000001</v>
      </c>
      <c r="U163" s="61" t="s">
        <v>617</v>
      </c>
      <c r="V163" s="61" t="s">
        <v>617</v>
      </c>
      <c r="W163" s="61"/>
      <c r="Y163" s="137">
        <f>Summary_LCIA!H$32</f>
        <v>0.33979999999999999</v>
      </c>
      <c r="Z163" s="137">
        <f>Summary_LCIA!Q$32</f>
        <v>4.9560504329999997</v>
      </c>
      <c r="AA163" s="137">
        <f>Summary_LCIA!R$32</f>
        <v>5.2655999999999996E-3</v>
      </c>
      <c r="AB163" s="137">
        <f>Summary_LCIA!S$32</f>
        <v>0.33538000000000001</v>
      </c>
      <c r="AC163" s="137">
        <f>Summary_LCIA!T$32</f>
        <v>0.1099</v>
      </c>
      <c r="AD163" s="137">
        <f>Summary_LCIA!U$32</f>
        <v>1.7913999999999999E-2</v>
      </c>
      <c r="AE163" s="137">
        <f>Summary_LCIA!V$32</f>
        <v>4.7760999999999999E-5</v>
      </c>
      <c r="AF163" s="137">
        <f>Summary_LCIA!W$32</f>
        <v>7.6970999999999998E-2</v>
      </c>
      <c r="AG163" s="137">
        <f>Summary_LCIA!X$32</f>
        <v>2.2780000000000002E-2</v>
      </c>
      <c r="AH163" s="137">
        <f>Summary_LCIA!Y$32</f>
        <v>1.5582E-2</v>
      </c>
      <c r="AI163" s="137">
        <f>Summary_LCIA!Z$32</f>
        <v>4.1009E-5</v>
      </c>
      <c r="AJ163" s="137">
        <f>Summary_LCIA!AA$32</f>
        <v>2.3355999999999998E-2</v>
      </c>
      <c r="AK163" s="137">
        <f>Summary_LCIA!AB$32</f>
        <v>-2.1823000000000001E-5</v>
      </c>
      <c r="AL163" s="137">
        <f>Summary_LCIA!AC$32</f>
        <v>4.8884000000000003E-8</v>
      </c>
      <c r="AM163" s="137">
        <f>Summary_LCIA!AD$32</f>
        <v>4.1103999999999999E-4</v>
      </c>
      <c r="AN163" s="137">
        <f>Summary_LCIA!AE$32</f>
        <v>8.8612999999999995E-4</v>
      </c>
      <c r="AO163" s="137">
        <f>Summary_LCIA!AF$32</f>
        <v>8.4542000000000005E-4</v>
      </c>
      <c r="AP163" s="137">
        <f>Summary_LCIA!AG$32</f>
        <v>5.1165000000000002E-5</v>
      </c>
      <c r="AQ163" s="137">
        <f>Summary_LCIA!AH$32</f>
        <v>8.7036000000000006E-3</v>
      </c>
      <c r="AR163" s="137">
        <f>Summary_LCIA!AI$32</f>
        <v>9.3154999999999996E-4</v>
      </c>
      <c r="AT163" s="137">
        <f t="shared" si="42"/>
        <v>142.67828220000001</v>
      </c>
      <c r="AU163" s="137">
        <f t="shared" si="54"/>
        <v>2080.991060261937</v>
      </c>
      <c r="AV163" s="137">
        <f t="shared" si="55"/>
        <v>2.2109675183999999</v>
      </c>
      <c r="AW163" s="137">
        <f t="shared" si="56"/>
        <v>140.82237282</v>
      </c>
      <c r="AX163" s="137">
        <f t="shared" si="57"/>
        <v>46.1458011</v>
      </c>
      <c r="AY163" s="137">
        <f t="shared" si="58"/>
        <v>7.521891546</v>
      </c>
      <c r="AZ163" s="137">
        <f t="shared" si="59"/>
        <v>2.0054318529000002E-2</v>
      </c>
      <c r="BA163" s="137">
        <f t="shared" si="60"/>
        <v>32.319276219000002</v>
      </c>
      <c r="BB163" s="137">
        <f t="shared" si="61"/>
        <v>9.5650714200000007</v>
      </c>
      <c r="BC163" s="137">
        <f t="shared" si="43"/>
        <v>6.5427103980000005</v>
      </c>
      <c r="BD163" s="137">
        <f t="shared" si="44"/>
        <v>1.7219228001000002E-2</v>
      </c>
      <c r="BE163" s="137">
        <f t="shared" si="45"/>
        <v>9.8069274839999991</v>
      </c>
      <c r="BF163" s="137">
        <f t="shared" si="46"/>
        <v>-9.1632376469999999E-3</v>
      </c>
      <c r="BG163" s="137">
        <f t="shared" si="47"/>
        <v>2.0525853876000001E-5</v>
      </c>
      <c r="BH163" s="137">
        <f t="shared" si="48"/>
        <v>0.17259117456</v>
      </c>
      <c r="BI163" s="137">
        <f t="shared" si="49"/>
        <v>0.37207623956999997</v>
      </c>
      <c r="BJ163" s="137">
        <f t="shared" si="50"/>
        <v>0.35498255838000004</v>
      </c>
      <c r="BK163" s="137">
        <f t="shared" si="51"/>
        <v>2.1483620685000003E-2</v>
      </c>
      <c r="BL163" s="137">
        <f t="shared" si="52"/>
        <v>3.6545459004000005</v>
      </c>
      <c r="BM163" s="137">
        <f t="shared" si="53"/>
        <v>0.39114759794999998</v>
      </c>
    </row>
    <row r="164" spans="1:65" x14ac:dyDescent="0.25">
      <c r="A164" s="149">
        <v>362</v>
      </c>
      <c r="B164" s="149">
        <v>6</v>
      </c>
      <c r="C164" s="61">
        <v>41.652805000000001</v>
      </c>
      <c r="D164" s="61">
        <v>-83.537867000000006</v>
      </c>
      <c r="E164" s="61" t="s">
        <v>265</v>
      </c>
      <c r="F164" s="149">
        <v>78</v>
      </c>
      <c r="G164" s="61" t="s">
        <v>615</v>
      </c>
      <c r="H164" s="61" t="s">
        <v>616</v>
      </c>
      <c r="I164" s="61">
        <v>42.216248999999998</v>
      </c>
      <c r="J164" s="61">
        <v>-83.355363999999994</v>
      </c>
      <c r="K164" s="61">
        <v>95.399904230000004</v>
      </c>
      <c r="L164" s="61">
        <v>80.596000000000004</v>
      </c>
      <c r="M164" s="61" t="s">
        <v>617</v>
      </c>
      <c r="N164" s="149">
        <v>5</v>
      </c>
      <c r="O164" s="149">
        <v>6</v>
      </c>
      <c r="P164" s="61" t="s">
        <v>565</v>
      </c>
      <c r="Q164" s="61" t="s">
        <v>564</v>
      </c>
      <c r="R164" s="61">
        <v>41.98028</v>
      </c>
      <c r="S164" s="61">
        <v>-87.908997900000003</v>
      </c>
      <c r="T164" s="61">
        <v>419.88900000000001</v>
      </c>
      <c r="U164" s="61" t="s">
        <v>617</v>
      </c>
      <c r="V164" s="61" t="s">
        <v>617</v>
      </c>
      <c r="W164" s="61"/>
      <c r="Y164" s="137">
        <f>Summary_LCIA!H$32</f>
        <v>0.33979999999999999</v>
      </c>
      <c r="Z164" s="137">
        <f>Summary_LCIA!Q$32</f>
        <v>4.9560504329999997</v>
      </c>
      <c r="AA164" s="137">
        <f>Summary_LCIA!R$32</f>
        <v>5.2655999999999996E-3</v>
      </c>
      <c r="AB164" s="137">
        <f>Summary_LCIA!S$32</f>
        <v>0.33538000000000001</v>
      </c>
      <c r="AC164" s="137">
        <f>Summary_LCIA!T$32</f>
        <v>0.1099</v>
      </c>
      <c r="AD164" s="137">
        <f>Summary_LCIA!U$32</f>
        <v>1.7913999999999999E-2</v>
      </c>
      <c r="AE164" s="137">
        <f>Summary_LCIA!V$32</f>
        <v>4.7760999999999999E-5</v>
      </c>
      <c r="AF164" s="137">
        <f>Summary_LCIA!W$32</f>
        <v>7.6970999999999998E-2</v>
      </c>
      <c r="AG164" s="137">
        <f>Summary_LCIA!X$32</f>
        <v>2.2780000000000002E-2</v>
      </c>
      <c r="AH164" s="137">
        <f>Summary_LCIA!Y$32</f>
        <v>1.5582E-2</v>
      </c>
      <c r="AI164" s="137">
        <f>Summary_LCIA!Z$32</f>
        <v>4.1009E-5</v>
      </c>
      <c r="AJ164" s="137">
        <f>Summary_LCIA!AA$32</f>
        <v>2.3355999999999998E-2</v>
      </c>
      <c r="AK164" s="137">
        <f>Summary_LCIA!AB$32</f>
        <v>-2.1823000000000001E-5</v>
      </c>
      <c r="AL164" s="137">
        <f>Summary_LCIA!AC$32</f>
        <v>4.8884000000000003E-8</v>
      </c>
      <c r="AM164" s="137">
        <f>Summary_LCIA!AD$32</f>
        <v>4.1103999999999999E-4</v>
      </c>
      <c r="AN164" s="137">
        <f>Summary_LCIA!AE$32</f>
        <v>8.8612999999999995E-4</v>
      </c>
      <c r="AO164" s="137">
        <f>Summary_LCIA!AF$32</f>
        <v>8.4542000000000005E-4</v>
      </c>
      <c r="AP164" s="137">
        <f>Summary_LCIA!AG$32</f>
        <v>5.1165000000000002E-5</v>
      </c>
      <c r="AQ164" s="137">
        <f>Summary_LCIA!AH$32</f>
        <v>8.7036000000000006E-3</v>
      </c>
      <c r="AR164" s="137">
        <f>Summary_LCIA!AI$32</f>
        <v>9.3154999999999996E-4</v>
      </c>
      <c r="AT164" s="137">
        <f t="shared" si="42"/>
        <v>142.67828220000001</v>
      </c>
      <c r="AU164" s="137">
        <f t="shared" si="54"/>
        <v>2080.991060261937</v>
      </c>
      <c r="AV164" s="137">
        <f t="shared" si="55"/>
        <v>2.2109675183999999</v>
      </c>
      <c r="AW164" s="137">
        <f t="shared" si="56"/>
        <v>140.82237282</v>
      </c>
      <c r="AX164" s="137">
        <f t="shared" si="57"/>
        <v>46.1458011</v>
      </c>
      <c r="AY164" s="137">
        <f t="shared" si="58"/>
        <v>7.521891546</v>
      </c>
      <c r="AZ164" s="137">
        <f t="shared" si="59"/>
        <v>2.0054318529000002E-2</v>
      </c>
      <c r="BA164" s="137">
        <f t="shared" si="60"/>
        <v>32.319276219000002</v>
      </c>
      <c r="BB164" s="137">
        <f t="shared" si="61"/>
        <v>9.5650714200000007</v>
      </c>
      <c r="BC164" s="137">
        <f t="shared" si="43"/>
        <v>6.5427103980000005</v>
      </c>
      <c r="BD164" s="137">
        <f t="shared" si="44"/>
        <v>1.7219228001000002E-2</v>
      </c>
      <c r="BE164" s="137">
        <f t="shared" si="45"/>
        <v>9.8069274839999991</v>
      </c>
      <c r="BF164" s="137">
        <f t="shared" si="46"/>
        <v>-9.1632376469999999E-3</v>
      </c>
      <c r="BG164" s="137">
        <f t="shared" si="47"/>
        <v>2.0525853876000001E-5</v>
      </c>
      <c r="BH164" s="137">
        <f t="shared" si="48"/>
        <v>0.17259117456</v>
      </c>
      <c r="BI164" s="137">
        <f t="shared" si="49"/>
        <v>0.37207623956999997</v>
      </c>
      <c r="BJ164" s="137">
        <f t="shared" si="50"/>
        <v>0.35498255838000004</v>
      </c>
      <c r="BK164" s="137">
        <f t="shared" si="51"/>
        <v>2.1483620685000003E-2</v>
      </c>
      <c r="BL164" s="137">
        <f t="shared" si="52"/>
        <v>3.6545459004000005</v>
      </c>
      <c r="BM164" s="137">
        <f t="shared" si="53"/>
        <v>0.39114759794999998</v>
      </c>
    </row>
    <row r="165" spans="1:65" x14ac:dyDescent="0.25">
      <c r="A165" s="149">
        <v>315</v>
      </c>
      <c r="B165" s="149">
        <v>15</v>
      </c>
      <c r="C165" s="61">
        <v>52.156661999999997</v>
      </c>
      <c r="D165" s="61">
        <v>4.4867590000000002</v>
      </c>
      <c r="E165" s="61" t="s">
        <v>285</v>
      </c>
      <c r="F165" s="149">
        <v>12</v>
      </c>
      <c r="G165" s="61" t="s">
        <v>679</v>
      </c>
      <c r="H165" s="61" t="s">
        <v>680</v>
      </c>
      <c r="I165" s="61">
        <v>52.310538999999999</v>
      </c>
      <c r="J165" s="61">
        <v>4.7682739999999999</v>
      </c>
      <c r="K165" s="61">
        <v>27.619618039999999</v>
      </c>
      <c r="L165" s="61">
        <v>28.559000000000001</v>
      </c>
      <c r="M165" s="61" t="s">
        <v>589</v>
      </c>
      <c r="N165" s="149">
        <v>14</v>
      </c>
      <c r="O165" s="149">
        <v>15</v>
      </c>
      <c r="P165" s="61" t="s">
        <v>567</v>
      </c>
      <c r="Q165" s="61" t="s">
        <v>566</v>
      </c>
      <c r="R165" s="61">
        <v>50.037932599999998</v>
      </c>
      <c r="S165" s="61">
        <v>8.5621518000000005</v>
      </c>
      <c r="T165" s="61">
        <v>439.27699999999999</v>
      </c>
      <c r="U165" s="61" t="s">
        <v>617</v>
      </c>
      <c r="V165" s="61" t="s">
        <v>617</v>
      </c>
      <c r="W165" s="61"/>
      <c r="Y165" s="137">
        <f>Summary_LCIA!H$32</f>
        <v>0.33979999999999999</v>
      </c>
      <c r="Z165" s="137">
        <f>Summary_LCIA!Q$32</f>
        <v>4.9560504329999997</v>
      </c>
      <c r="AA165" s="137">
        <f>Summary_LCIA!R$32</f>
        <v>5.2655999999999996E-3</v>
      </c>
      <c r="AB165" s="137">
        <f>Summary_LCIA!S$32</f>
        <v>0.33538000000000001</v>
      </c>
      <c r="AC165" s="137">
        <f>Summary_LCIA!T$32</f>
        <v>0.1099</v>
      </c>
      <c r="AD165" s="137">
        <f>Summary_LCIA!U$32</f>
        <v>1.7913999999999999E-2</v>
      </c>
      <c r="AE165" s="137">
        <f>Summary_LCIA!V$32</f>
        <v>4.7760999999999999E-5</v>
      </c>
      <c r="AF165" s="137">
        <f>Summary_LCIA!W$32</f>
        <v>7.6970999999999998E-2</v>
      </c>
      <c r="AG165" s="137">
        <f>Summary_LCIA!X$32</f>
        <v>2.2780000000000002E-2</v>
      </c>
      <c r="AH165" s="137">
        <f>Summary_LCIA!Y$32</f>
        <v>1.5582E-2</v>
      </c>
      <c r="AI165" s="137">
        <f>Summary_LCIA!Z$32</f>
        <v>4.1009E-5</v>
      </c>
      <c r="AJ165" s="137">
        <f>Summary_LCIA!AA$32</f>
        <v>2.3355999999999998E-2</v>
      </c>
      <c r="AK165" s="137">
        <f>Summary_LCIA!AB$32</f>
        <v>-2.1823000000000001E-5</v>
      </c>
      <c r="AL165" s="137">
        <f>Summary_LCIA!AC$32</f>
        <v>4.8884000000000003E-8</v>
      </c>
      <c r="AM165" s="137">
        <f>Summary_LCIA!AD$32</f>
        <v>4.1103999999999999E-4</v>
      </c>
      <c r="AN165" s="137">
        <f>Summary_LCIA!AE$32</f>
        <v>8.8612999999999995E-4</v>
      </c>
      <c r="AO165" s="137">
        <f>Summary_LCIA!AF$32</f>
        <v>8.4542000000000005E-4</v>
      </c>
      <c r="AP165" s="137">
        <f>Summary_LCIA!AG$32</f>
        <v>5.1165000000000002E-5</v>
      </c>
      <c r="AQ165" s="137">
        <f>Summary_LCIA!AH$32</f>
        <v>8.7036000000000006E-3</v>
      </c>
      <c r="AR165" s="137">
        <f>Summary_LCIA!AI$32</f>
        <v>9.3154999999999996E-4</v>
      </c>
      <c r="AT165" s="137">
        <f t="shared" si="42"/>
        <v>149.26632459999999</v>
      </c>
      <c r="AU165" s="137">
        <f t="shared" si="54"/>
        <v>2177.0789660569408</v>
      </c>
      <c r="AV165" s="137">
        <f t="shared" si="55"/>
        <v>2.3130569712</v>
      </c>
      <c r="AW165" s="137">
        <f t="shared" si="56"/>
        <v>147.32472025999999</v>
      </c>
      <c r="AX165" s="137">
        <f t="shared" si="57"/>
        <v>48.276542299999996</v>
      </c>
      <c r="AY165" s="137">
        <f t="shared" si="58"/>
        <v>7.8692081779999992</v>
      </c>
      <c r="AZ165" s="137">
        <f t="shared" si="59"/>
        <v>2.0980308797E-2</v>
      </c>
      <c r="BA165" s="137">
        <f t="shared" si="60"/>
        <v>33.811589966999996</v>
      </c>
      <c r="BB165" s="137">
        <f t="shared" si="61"/>
        <v>10.006730060000001</v>
      </c>
      <c r="BC165" s="137">
        <f t="shared" si="43"/>
        <v>6.8448142140000003</v>
      </c>
      <c r="BD165" s="137">
        <f t="shared" si="44"/>
        <v>1.8014310493000001E-2</v>
      </c>
      <c r="BE165" s="137">
        <f t="shared" si="45"/>
        <v>10.259753611999999</v>
      </c>
      <c r="BF165" s="137">
        <f t="shared" si="46"/>
        <v>-9.5863419710000009E-3</v>
      </c>
      <c r="BG165" s="137">
        <f t="shared" si="47"/>
        <v>2.1473616868000002E-5</v>
      </c>
      <c r="BH165" s="137">
        <f t="shared" si="48"/>
        <v>0.18056041807999998</v>
      </c>
      <c r="BI165" s="137">
        <f t="shared" si="49"/>
        <v>0.38925652800999999</v>
      </c>
      <c r="BJ165" s="137">
        <f t="shared" si="50"/>
        <v>0.37137356133999999</v>
      </c>
      <c r="BK165" s="137">
        <f t="shared" si="51"/>
        <v>2.2475607705000001E-2</v>
      </c>
      <c r="BL165" s="137">
        <f t="shared" si="52"/>
        <v>3.8232912971999999</v>
      </c>
      <c r="BM165" s="137">
        <f t="shared" si="53"/>
        <v>0.40920848934999998</v>
      </c>
    </row>
    <row r="166" spans="1:65" x14ac:dyDescent="0.25">
      <c r="A166" s="149">
        <v>83</v>
      </c>
      <c r="B166" s="149">
        <v>43</v>
      </c>
      <c r="C166" s="61">
        <v>43.110801000000002</v>
      </c>
      <c r="D166" s="61">
        <v>-70.750540000000001</v>
      </c>
      <c r="E166" s="61" t="s">
        <v>265</v>
      </c>
      <c r="F166" s="149">
        <v>53</v>
      </c>
      <c r="G166" s="61" t="s">
        <v>565</v>
      </c>
      <c r="H166" s="61" t="s">
        <v>634</v>
      </c>
      <c r="I166" s="61">
        <v>42.365613000000003</v>
      </c>
      <c r="J166" s="61">
        <v>-71.009559999999993</v>
      </c>
      <c r="K166" s="61">
        <v>116.9533083</v>
      </c>
      <c r="L166" s="61">
        <v>92.052999999999997</v>
      </c>
      <c r="M166" s="61" t="s">
        <v>617</v>
      </c>
      <c r="N166" s="149">
        <v>42</v>
      </c>
      <c r="O166" s="149">
        <v>43</v>
      </c>
      <c r="P166" s="61" t="s">
        <v>565</v>
      </c>
      <c r="Q166" s="61" t="s">
        <v>555</v>
      </c>
      <c r="R166" s="61">
        <v>40.6895314</v>
      </c>
      <c r="S166" s="61">
        <v>-74.174462399999996</v>
      </c>
      <c r="T166" s="61">
        <v>447.81700000000001</v>
      </c>
      <c r="U166" s="61" t="s">
        <v>617</v>
      </c>
      <c r="V166" s="61" t="s">
        <v>617</v>
      </c>
      <c r="W166" s="61"/>
      <c r="Y166" s="137">
        <f>Summary_LCIA!H$32</f>
        <v>0.33979999999999999</v>
      </c>
      <c r="Z166" s="137">
        <f>Summary_LCIA!Q$32</f>
        <v>4.9560504329999997</v>
      </c>
      <c r="AA166" s="137">
        <f>Summary_LCIA!R$32</f>
        <v>5.2655999999999996E-3</v>
      </c>
      <c r="AB166" s="137">
        <f>Summary_LCIA!S$32</f>
        <v>0.33538000000000001</v>
      </c>
      <c r="AC166" s="137">
        <f>Summary_LCIA!T$32</f>
        <v>0.1099</v>
      </c>
      <c r="AD166" s="137">
        <f>Summary_LCIA!U$32</f>
        <v>1.7913999999999999E-2</v>
      </c>
      <c r="AE166" s="137">
        <f>Summary_LCIA!V$32</f>
        <v>4.7760999999999999E-5</v>
      </c>
      <c r="AF166" s="137">
        <f>Summary_LCIA!W$32</f>
        <v>7.6970999999999998E-2</v>
      </c>
      <c r="AG166" s="137">
        <f>Summary_LCIA!X$32</f>
        <v>2.2780000000000002E-2</v>
      </c>
      <c r="AH166" s="137">
        <f>Summary_LCIA!Y$32</f>
        <v>1.5582E-2</v>
      </c>
      <c r="AI166" s="137">
        <f>Summary_LCIA!Z$32</f>
        <v>4.1009E-5</v>
      </c>
      <c r="AJ166" s="137">
        <f>Summary_LCIA!AA$32</f>
        <v>2.3355999999999998E-2</v>
      </c>
      <c r="AK166" s="137">
        <f>Summary_LCIA!AB$32</f>
        <v>-2.1823000000000001E-5</v>
      </c>
      <c r="AL166" s="137">
        <f>Summary_LCIA!AC$32</f>
        <v>4.8884000000000003E-8</v>
      </c>
      <c r="AM166" s="137">
        <f>Summary_LCIA!AD$32</f>
        <v>4.1103999999999999E-4</v>
      </c>
      <c r="AN166" s="137">
        <f>Summary_LCIA!AE$32</f>
        <v>8.8612999999999995E-4</v>
      </c>
      <c r="AO166" s="137">
        <f>Summary_LCIA!AF$32</f>
        <v>8.4542000000000005E-4</v>
      </c>
      <c r="AP166" s="137">
        <f>Summary_LCIA!AG$32</f>
        <v>5.1165000000000002E-5</v>
      </c>
      <c r="AQ166" s="137">
        <f>Summary_LCIA!AH$32</f>
        <v>8.7036000000000006E-3</v>
      </c>
      <c r="AR166" s="137">
        <f>Summary_LCIA!AI$32</f>
        <v>9.3154999999999996E-4</v>
      </c>
      <c r="AT166" s="137">
        <f t="shared" si="42"/>
        <v>152.16821659999999</v>
      </c>
      <c r="AU166" s="137">
        <f t="shared" si="54"/>
        <v>2219.403636754761</v>
      </c>
      <c r="AV166" s="137">
        <f t="shared" si="55"/>
        <v>2.3580251951999998</v>
      </c>
      <c r="AW166" s="137">
        <f t="shared" si="56"/>
        <v>150.18886546000002</v>
      </c>
      <c r="AX166" s="137">
        <f t="shared" si="57"/>
        <v>49.215088299999998</v>
      </c>
      <c r="AY166" s="137">
        <f t="shared" si="58"/>
        <v>8.0221937380000004</v>
      </c>
      <c r="AZ166" s="137">
        <f t="shared" si="59"/>
        <v>2.1388187736999999E-2</v>
      </c>
      <c r="BA166" s="137">
        <f t="shared" si="60"/>
        <v>34.468922307</v>
      </c>
      <c r="BB166" s="137">
        <f t="shared" si="61"/>
        <v>10.20127126</v>
      </c>
      <c r="BC166" s="137">
        <f t="shared" si="43"/>
        <v>6.9778844940000004</v>
      </c>
      <c r="BD166" s="137">
        <f t="shared" si="44"/>
        <v>1.8364527352999999E-2</v>
      </c>
      <c r="BE166" s="137">
        <f t="shared" si="45"/>
        <v>10.459213852</v>
      </c>
      <c r="BF166" s="137">
        <f t="shared" si="46"/>
        <v>-9.7727103910000002E-3</v>
      </c>
      <c r="BG166" s="137">
        <f t="shared" si="47"/>
        <v>2.1891086228000002E-5</v>
      </c>
      <c r="BH166" s="137">
        <f t="shared" si="48"/>
        <v>0.18407069968000001</v>
      </c>
      <c r="BI166" s="137">
        <f t="shared" si="49"/>
        <v>0.39682407820999999</v>
      </c>
      <c r="BJ166" s="137">
        <f t="shared" si="50"/>
        <v>0.37859344814000001</v>
      </c>
      <c r="BK166" s="137">
        <f t="shared" si="51"/>
        <v>2.2912556805000001E-2</v>
      </c>
      <c r="BL166" s="137">
        <f t="shared" si="52"/>
        <v>3.8976200412000002</v>
      </c>
      <c r="BM166" s="137">
        <f t="shared" si="53"/>
        <v>0.41716392634999999</v>
      </c>
    </row>
    <row r="167" spans="1:65" x14ac:dyDescent="0.25">
      <c r="A167" s="149">
        <v>84</v>
      </c>
      <c r="B167" s="149">
        <v>43</v>
      </c>
      <c r="C167" s="61">
        <v>43.110801000000002</v>
      </c>
      <c r="D167" s="61">
        <v>-70.750540000000001</v>
      </c>
      <c r="E167" s="61" t="s">
        <v>265</v>
      </c>
      <c r="F167" s="149">
        <v>53</v>
      </c>
      <c r="G167" s="61" t="s">
        <v>565</v>
      </c>
      <c r="H167" s="61" t="s">
        <v>634</v>
      </c>
      <c r="I167" s="61">
        <v>42.365613000000003</v>
      </c>
      <c r="J167" s="61">
        <v>-71.009559999999993</v>
      </c>
      <c r="K167" s="61">
        <v>116.9533083</v>
      </c>
      <c r="L167" s="61">
        <v>92.052999999999997</v>
      </c>
      <c r="M167" s="61" t="s">
        <v>617</v>
      </c>
      <c r="N167" s="149">
        <v>42</v>
      </c>
      <c r="O167" s="149">
        <v>43</v>
      </c>
      <c r="P167" s="61" t="s">
        <v>565</v>
      </c>
      <c r="Q167" s="61" t="s">
        <v>555</v>
      </c>
      <c r="R167" s="61">
        <v>40.6895314</v>
      </c>
      <c r="S167" s="61">
        <v>-74.174462399999996</v>
      </c>
      <c r="T167" s="61">
        <v>447.81700000000001</v>
      </c>
      <c r="U167" s="61" t="s">
        <v>617</v>
      </c>
      <c r="V167" s="61" t="s">
        <v>617</v>
      </c>
      <c r="W167" s="61"/>
      <c r="Y167" s="137">
        <f>Summary_LCIA!H$32</f>
        <v>0.33979999999999999</v>
      </c>
      <c r="Z167" s="137">
        <f>Summary_LCIA!Q$32</f>
        <v>4.9560504329999997</v>
      </c>
      <c r="AA167" s="137">
        <f>Summary_LCIA!R$32</f>
        <v>5.2655999999999996E-3</v>
      </c>
      <c r="AB167" s="137">
        <f>Summary_LCIA!S$32</f>
        <v>0.33538000000000001</v>
      </c>
      <c r="AC167" s="137">
        <f>Summary_LCIA!T$32</f>
        <v>0.1099</v>
      </c>
      <c r="AD167" s="137">
        <f>Summary_LCIA!U$32</f>
        <v>1.7913999999999999E-2</v>
      </c>
      <c r="AE167" s="137">
        <f>Summary_LCIA!V$32</f>
        <v>4.7760999999999999E-5</v>
      </c>
      <c r="AF167" s="137">
        <f>Summary_LCIA!W$32</f>
        <v>7.6970999999999998E-2</v>
      </c>
      <c r="AG167" s="137">
        <f>Summary_LCIA!X$32</f>
        <v>2.2780000000000002E-2</v>
      </c>
      <c r="AH167" s="137">
        <f>Summary_LCIA!Y$32</f>
        <v>1.5582E-2</v>
      </c>
      <c r="AI167" s="137">
        <f>Summary_LCIA!Z$32</f>
        <v>4.1009E-5</v>
      </c>
      <c r="AJ167" s="137">
        <f>Summary_LCIA!AA$32</f>
        <v>2.3355999999999998E-2</v>
      </c>
      <c r="AK167" s="137">
        <f>Summary_LCIA!AB$32</f>
        <v>-2.1823000000000001E-5</v>
      </c>
      <c r="AL167" s="137">
        <f>Summary_LCIA!AC$32</f>
        <v>4.8884000000000003E-8</v>
      </c>
      <c r="AM167" s="137">
        <f>Summary_LCIA!AD$32</f>
        <v>4.1103999999999999E-4</v>
      </c>
      <c r="AN167" s="137">
        <f>Summary_LCIA!AE$32</f>
        <v>8.8612999999999995E-4</v>
      </c>
      <c r="AO167" s="137">
        <f>Summary_LCIA!AF$32</f>
        <v>8.4542000000000005E-4</v>
      </c>
      <c r="AP167" s="137">
        <f>Summary_LCIA!AG$32</f>
        <v>5.1165000000000002E-5</v>
      </c>
      <c r="AQ167" s="137">
        <f>Summary_LCIA!AH$32</f>
        <v>8.7036000000000006E-3</v>
      </c>
      <c r="AR167" s="137">
        <f>Summary_LCIA!AI$32</f>
        <v>9.3154999999999996E-4</v>
      </c>
      <c r="AT167" s="137">
        <f t="shared" si="42"/>
        <v>152.16821659999999</v>
      </c>
      <c r="AU167" s="137">
        <f t="shared" si="54"/>
        <v>2219.403636754761</v>
      </c>
      <c r="AV167" s="137">
        <f t="shared" si="55"/>
        <v>2.3580251951999998</v>
      </c>
      <c r="AW167" s="137">
        <f t="shared" si="56"/>
        <v>150.18886546000002</v>
      </c>
      <c r="AX167" s="137">
        <f t="shared" si="57"/>
        <v>49.215088299999998</v>
      </c>
      <c r="AY167" s="137">
        <f t="shared" si="58"/>
        <v>8.0221937380000004</v>
      </c>
      <c r="AZ167" s="137">
        <f t="shared" si="59"/>
        <v>2.1388187736999999E-2</v>
      </c>
      <c r="BA167" s="137">
        <f t="shared" si="60"/>
        <v>34.468922307</v>
      </c>
      <c r="BB167" s="137">
        <f t="shared" si="61"/>
        <v>10.20127126</v>
      </c>
      <c r="BC167" s="137">
        <f t="shared" si="43"/>
        <v>6.9778844940000004</v>
      </c>
      <c r="BD167" s="137">
        <f t="shared" si="44"/>
        <v>1.8364527352999999E-2</v>
      </c>
      <c r="BE167" s="137">
        <f t="shared" si="45"/>
        <v>10.459213852</v>
      </c>
      <c r="BF167" s="137">
        <f t="shared" si="46"/>
        <v>-9.7727103910000002E-3</v>
      </c>
      <c r="BG167" s="137">
        <f t="shared" si="47"/>
        <v>2.1891086228000002E-5</v>
      </c>
      <c r="BH167" s="137">
        <f t="shared" si="48"/>
        <v>0.18407069968000001</v>
      </c>
      <c r="BI167" s="137">
        <f t="shared" si="49"/>
        <v>0.39682407820999999</v>
      </c>
      <c r="BJ167" s="137">
        <f t="shared" si="50"/>
        <v>0.37859344814000001</v>
      </c>
      <c r="BK167" s="137">
        <f t="shared" si="51"/>
        <v>2.2912556805000001E-2</v>
      </c>
      <c r="BL167" s="137">
        <f t="shared" si="52"/>
        <v>3.8976200412000002</v>
      </c>
      <c r="BM167" s="137">
        <f t="shared" si="53"/>
        <v>0.41716392634999999</v>
      </c>
    </row>
    <row r="168" spans="1:65" x14ac:dyDescent="0.25">
      <c r="A168" s="149">
        <v>85</v>
      </c>
      <c r="B168" s="149">
        <v>43</v>
      </c>
      <c r="C168" s="61">
        <v>43.110801000000002</v>
      </c>
      <c r="D168" s="61">
        <v>-70.750540000000001</v>
      </c>
      <c r="E168" s="61" t="s">
        <v>265</v>
      </c>
      <c r="F168" s="149">
        <v>53</v>
      </c>
      <c r="G168" s="61" t="s">
        <v>565</v>
      </c>
      <c r="H168" s="61" t="s">
        <v>634</v>
      </c>
      <c r="I168" s="61">
        <v>42.365613000000003</v>
      </c>
      <c r="J168" s="61">
        <v>-71.009559999999993</v>
      </c>
      <c r="K168" s="61">
        <v>116.9533083</v>
      </c>
      <c r="L168" s="61">
        <v>92.052999999999997</v>
      </c>
      <c r="M168" s="61" t="s">
        <v>617</v>
      </c>
      <c r="N168" s="149">
        <v>42</v>
      </c>
      <c r="O168" s="149">
        <v>43</v>
      </c>
      <c r="P168" s="61" t="s">
        <v>565</v>
      </c>
      <c r="Q168" s="61" t="s">
        <v>555</v>
      </c>
      <c r="R168" s="61">
        <v>40.6895314</v>
      </c>
      <c r="S168" s="61">
        <v>-74.174462399999996</v>
      </c>
      <c r="T168" s="61">
        <v>447.81700000000001</v>
      </c>
      <c r="U168" s="61" t="s">
        <v>617</v>
      </c>
      <c r="V168" s="61" t="s">
        <v>617</v>
      </c>
      <c r="W168" s="61"/>
      <c r="Y168" s="137">
        <f>Summary_LCIA!H$32</f>
        <v>0.33979999999999999</v>
      </c>
      <c r="Z168" s="137">
        <f>Summary_LCIA!Q$32</f>
        <v>4.9560504329999997</v>
      </c>
      <c r="AA168" s="137">
        <f>Summary_LCIA!R$32</f>
        <v>5.2655999999999996E-3</v>
      </c>
      <c r="AB168" s="137">
        <f>Summary_LCIA!S$32</f>
        <v>0.33538000000000001</v>
      </c>
      <c r="AC168" s="137">
        <f>Summary_LCIA!T$32</f>
        <v>0.1099</v>
      </c>
      <c r="AD168" s="137">
        <f>Summary_LCIA!U$32</f>
        <v>1.7913999999999999E-2</v>
      </c>
      <c r="AE168" s="137">
        <f>Summary_LCIA!V$32</f>
        <v>4.7760999999999999E-5</v>
      </c>
      <c r="AF168" s="137">
        <f>Summary_LCIA!W$32</f>
        <v>7.6970999999999998E-2</v>
      </c>
      <c r="AG168" s="137">
        <f>Summary_LCIA!X$32</f>
        <v>2.2780000000000002E-2</v>
      </c>
      <c r="AH168" s="137">
        <f>Summary_LCIA!Y$32</f>
        <v>1.5582E-2</v>
      </c>
      <c r="AI168" s="137">
        <f>Summary_LCIA!Z$32</f>
        <v>4.1009E-5</v>
      </c>
      <c r="AJ168" s="137">
        <f>Summary_LCIA!AA$32</f>
        <v>2.3355999999999998E-2</v>
      </c>
      <c r="AK168" s="137">
        <f>Summary_LCIA!AB$32</f>
        <v>-2.1823000000000001E-5</v>
      </c>
      <c r="AL168" s="137">
        <f>Summary_LCIA!AC$32</f>
        <v>4.8884000000000003E-8</v>
      </c>
      <c r="AM168" s="137">
        <f>Summary_LCIA!AD$32</f>
        <v>4.1103999999999999E-4</v>
      </c>
      <c r="AN168" s="137">
        <f>Summary_LCIA!AE$32</f>
        <v>8.8612999999999995E-4</v>
      </c>
      <c r="AO168" s="137">
        <f>Summary_LCIA!AF$32</f>
        <v>8.4542000000000005E-4</v>
      </c>
      <c r="AP168" s="137">
        <f>Summary_LCIA!AG$32</f>
        <v>5.1165000000000002E-5</v>
      </c>
      <c r="AQ168" s="137">
        <f>Summary_LCIA!AH$32</f>
        <v>8.7036000000000006E-3</v>
      </c>
      <c r="AR168" s="137">
        <f>Summary_LCIA!AI$32</f>
        <v>9.3154999999999996E-4</v>
      </c>
      <c r="AT168" s="137">
        <f t="shared" si="42"/>
        <v>152.16821659999999</v>
      </c>
      <c r="AU168" s="137">
        <f t="shared" si="54"/>
        <v>2219.403636754761</v>
      </c>
      <c r="AV168" s="137">
        <f t="shared" si="55"/>
        <v>2.3580251951999998</v>
      </c>
      <c r="AW168" s="137">
        <f t="shared" si="56"/>
        <v>150.18886546000002</v>
      </c>
      <c r="AX168" s="137">
        <f t="shared" si="57"/>
        <v>49.215088299999998</v>
      </c>
      <c r="AY168" s="137">
        <f t="shared" si="58"/>
        <v>8.0221937380000004</v>
      </c>
      <c r="AZ168" s="137">
        <f t="shared" si="59"/>
        <v>2.1388187736999999E-2</v>
      </c>
      <c r="BA168" s="137">
        <f t="shared" si="60"/>
        <v>34.468922307</v>
      </c>
      <c r="BB168" s="137">
        <f t="shared" si="61"/>
        <v>10.20127126</v>
      </c>
      <c r="BC168" s="137">
        <f t="shared" si="43"/>
        <v>6.9778844940000004</v>
      </c>
      <c r="BD168" s="137">
        <f t="shared" si="44"/>
        <v>1.8364527352999999E-2</v>
      </c>
      <c r="BE168" s="137">
        <f t="shared" si="45"/>
        <v>10.459213852</v>
      </c>
      <c r="BF168" s="137">
        <f t="shared" si="46"/>
        <v>-9.7727103910000002E-3</v>
      </c>
      <c r="BG168" s="137">
        <f t="shared" si="47"/>
        <v>2.1891086228000002E-5</v>
      </c>
      <c r="BH168" s="137">
        <f t="shared" si="48"/>
        <v>0.18407069968000001</v>
      </c>
      <c r="BI168" s="137">
        <f t="shared" si="49"/>
        <v>0.39682407820999999</v>
      </c>
      <c r="BJ168" s="137">
        <f t="shared" si="50"/>
        <v>0.37859344814000001</v>
      </c>
      <c r="BK168" s="137">
        <f t="shared" si="51"/>
        <v>2.2912556805000001E-2</v>
      </c>
      <c r="BL168" s="137">
        <f t="shared" si="52"/>
        <v>3.8976200412000002</v>
      </c>
      <c r="BM168" s="137">
        <f t="shared" si="53"/>
        <v>0.41716392634999999</v>
      </c>
    </row>
    <row r="169" spans="1:65" x14ac:dyDescent="0.25">
      <c r="A169" s="149">
        <v>86</v>
      </c>
      <c r="B169" s="149">
        <v>43</v>
      </c>
      <c r="C169" s="61">
        <v>43.110801000000002</v>
      </c>
      <c r="D169" s="61">
        <v>-70.750540000000001</v>
      </c>
      <c r="E169" s="61" t="s">
        <v>265</v>
      </c>
      <c r="F169" s="149">
        <v>53</v>
      </c>
      <c r="G169" s="61" t="s">
        <v>565</v>
      </c>
      <c r="H169" s="61" t="s">
        <v>634</v>
      </c>
      <c r="I169" s="61">
        <v>42.365613000000003</v>
      </c>
      <c r="J169" s="61">
        <v>-71.009559999999993</v>
      </c>
      <c r="K169" s="61">
        <v>116.9533083</v>
      </c>
      <c r="L169" s="61">
        <v>92.052999999999997</v>
      </c>
      <c r="M169" s="61" t="s">
        <v>617</v>
      </c>
      <c r="N169" s="149">
        <v>42</v>
      </c>
      <c r="O169" s="149">
        <v>43</v>
      </c>
      <c r="P169" s="61" t="s">
        <v>565</v>
      </c>
      <c r="Q169" s="61" t="s">
        <v>555</v>
      </c>
      <c r="R169" s="61">
        <v>40.6895314</v>
      </c>
      <c r="S169" s="61">
        <v>-74.174462399999996</v>
      </c>
      <c r="T169" s="61">
        <v>447.81700000000001</v>
      </c>
      <c r="U169" s="61" t="s">
        <v>617</v>
      </c>
      <c r="V169" s="61" t="s">
        <v>617</v>
      </c>
      <c r="W169" s="61"/>
      <c r="Y169" s="137">
        <f>Summary_LCIA!H$32</f>
        <v>0.33979999999999999</v>
      </c>
      <c r="Z169" s="137">
        <f>Summary_LCIA!Q$32</f>
        <v>4.9560504329999997</v>
      </c>
      <c r="AA169" s="137">
        <f>Summary_LCIA!R$32</f>
        <v>5.2655999999999996E-3</v>
      </c>
      <c r="AB169" s="137">
        <f>Summary_LCIA!S$32</f>
        <v>0.33538000000000001</v>
      </c>
      <c r="AC169" s="137">
        <f>Summary_LCIA!T$32</f>
        <v>0.1099</v>
      </c>
      <c r="AD169" s="137">
        <f>Summary_LCIA!U$32</f>
        <v>1.7913999999999999E-2</v>
      </c>
      <c r="AE169" s="137">
        <f>Summary_LCIA!V$32</f>
        <v>4.7760999999999999E-5</v>
      </c>
      <c r="AF169" s="137">
        <f>Summary_LCIA!W$32</f>
        <v>7.6970999999999998E-2</v>
      </c>
      <c r="AG169" s="137">
        <f>Summary_LCIA!X$32</f>
        <v>2.2780000000000002E-2</v>
      </c>
      <c r="AH169" s="137">
        <f>Summary_LCIA!Y$32</f>
        <v>1.5582E-2</v>
      </c>
      <c r="AI169" s="137">
        <f>Summary_LCIA!Z$32</f>
        <v>4.1009E-5</v>
      </c>
      <c r="AJ169" s="137">
        <f>Summary_LCIA!AA$32</f>
        <v>2.3355999999999998E-2</v>
      </c>
      <c r="AK169" s="137">
        <f>Summary_LCIA!AB$32</f>
        <v>-2.1823000000000001E-5</v>
      </c>
      <c r="AL169" s="137">
        <f>Summary_LCIA!AC$32</f>
        <v>4.8884000000000003E-8</v>
      </c>
      <c r="AM169" s="137">
        <f>Summary_LCIA!AD$32</f>
        <v>4.1103999999999999E-4</v>
      </c>
      <c r="AN169" s="137">
        <f>Summary_LCIA!AE$32</f>
        <v>8.8612999999999995E-4</v>
      </c>
      <c r="AO169" s="137">
        <f>Summary_LCIA!AF$32</f>
        <v>8.4542000000000005E-4</v>
      </c>
      <c r="AP169" s="137">
        <f>Summary_LCIA!AG$32</f>
        <v>5.1165000000000002E-5</v>
      </c>
      <c r="AQ169" s="137">
        <f>Summary_LCIA!AH$32</f>
        <v>8.7036000000000006E-3</v>
      </c>
      <c r="AR169" s="137">
        <f>Summary_LCIA!AI$32</f>
        <v>9.3154999999999996E-4</v>
      </c>
      <c r="AT169" s="137">
        <f t="shared" si="42"/>
        <v>152.16821659999999</v>
      </c>
      <c r="AU169" s="137">
        <f t="shared" si="54"/>
        <v>2219.403636754761</v>
      </c>
      <c r="AV169" s="137">
        <f t="shared" si="55"/>
        <v>2.3580251951999998</v>
      </c>
      <c r="AW169" s="137">
        <f t="shared" si="56"/>
        <v>150.18886546000002</v>
      </c>
      <c r="AX169" s="137">
        <f t="shared" si="57"/>
        <v>49.215088299999998</v>
      </c>
      <c r="AY169" s="137">
        <f t="shared" si="58"/>
        <v>8.0221937380000004</v>
      </c>
      <c r="AZ169" s="137">
        <f t="shared" si="59"/>
        <v>2.1388187736999999E-2</v>
      </c>
      <c r="BA169" s="137">
        <f t="shared" si="60"/>
        <v>34.468922307</v>
      </c>
      <c r="BB169" s="137">
        <f t="shared" si="61"/>
        <v>10.20127126</v>
      </c>
      <c r="BC169" s="137">
        <f t="shared" si="43"/>
        <v>6.9778844940000004</v>
      </c>
      <c r="BD169" s="137">
        <f t="shared" si="44"/>
        <v>1.8364527352999999E-2</v>
      </c>
      <c r="BE169" s="137">
        <f t="shared" si="45"/>
        <v>10.459213852</v>
      </c>
      <c r="BF169" s="137">
        <f t="shared" si="46"/>
        <v>-9.7727103910000002E-3</v>
      </c>
      <c r="BG169" s="137">
        <f t="shared" si="47"/>
        <v>2.1891086228000002E-5</v>
      </c>
      <c r="BH169" s="137">
        <f t="shared" si="48"/>
        <v>0.18407069968000001</v>
      </c>
      <c r="BI169" s="137">
        <f t="shared" si="49"/>
        <v>0.39682407820999999</v>
      </c>
      <c r="BJ169" s="137">
        <f t="shared" si="50"/>
        <v>0.37859344814000001</v>
      </c>
      <c r="BK169" s="137">
        <f t="shared" si="51"/>
        <v>2.2912556805000001E-2</v>
      </c>
      <c r="BL169" s="137">
        <f t="shared" si="52"/>
        <v>3.8976200412000002</v>
      </c>
      <c r="BM169" s="137">
        <f t="shared" si="53"/>
        <v>0.41716392634999999</v>
      </c>
    </row>
    <row r="170" spans="1:65" x14ac:dyDescent="0.25">
      <c r="A170" s="149">
        <v>87</v>
      </c>
      <c r="B170" s="149">
        <v>43</v>
      </c>
      <c r="C170" s="61">
        <v>43.110801000000002</v>
      </c>
      <c r="D170" s="61">
        <v>-70.750540000000001</v>
      </c>
      <c r="E170" s="61" t="s">
        <v>265</v>
      </c>
      <c r="F170" s="149">
        <v>53</v>
      </c>
      <c r="G170" s="61" t="s">
        <v>565</v>
      </c>
      <c r="H170" s="61" t="s">
        <v>634</v>
      </c>
      <c r="I170" s="61">
        <v>42.365613000000003</v>
      </c>
      <c r="J170" s="61">
        <v>-71.009559999999993</v>
      </c>
      <c r="K170" s="61">
        <v>116.9533083</v>
      </c>
      <c r="L170" s="61">
        <v>92.052999999999997</v>
      </c>
      <c r="M170" s="61" t="s">
        <v>617</v>
      </c>
      <c r="N170" s="149">
        <v>42</v>
      </c>
      <c r="O170" s="149">
        <v>43</v>
      </c>
      <c r="P170" s="61" t="s">
        <v>565</v>
      </c>
      <c r="Q170" s="61" t="s">
        <v>555</v>
      </c>
      <c r="R170" s="61">
        <v>40.6895314</v>
      </c>
      <c r="S170" s="61">
        <v>-74.174462399999996</v>
      </c>
      <c r="T170" s="61">
        <v>447.81700000000001</v>
      </c>
      <c r="U170" s="61" t="s">
        <v>617</v>
      </c>
      <c r="V170" s="61" t="s">
        <v>617</v>
      </c>
      <c r="W170" s="61"/>
      <c r="Y170" s="137">
        <f>Summary_LCIA!H$32</f>
        <v>0.33979999999999999</v>
      </c>
      <c r="Z170" s="137">
        <f>Summary_LCIA!Q$32</f>
        <v>4.9560504329999997</v>
      </c>
      <c r="AA170" s="137">
        <f>Summary_LCIA!R$32</f>
        <v>5.2655999999999996E-3</v>
      </c>
      <c r="AB170" s="137">
        <f>Summary_LCIA!S$32</f>
        <v>0.33538000000000001</v>
      </c>
      <c r="AC170" s="137">
        <f>Summary_LCIA!T$32</f>
        <v>0.1099</v>
      </c>
      <c r="AD170" s="137">
        <f>Summary_LCIA!U$32</f>
        <v>1.7913999999999999E-2</v>
      </c>
      <c r="AE170" s="137">
        <f>Summary_LCIA!V$32</f>
        <v>4.7760999999999999E-5</v>
      </c>
      <c r="AF170" s="137">
        <f>Summary_LCIA!W$32</f>
        <v>7.6970999999999998E-2</v>
      </c>
      <c r="AG170" s="137">
        <f>Summary_LCIA!X$32</f>
        <v>2.2780000000000002E-2</v>
      </c>
      <c r="AH170" s="137">
        <f>Summary_LCIA!Y$32</f>
        <v>1.5582E-2</v>
      </c>
      <c r="AI170" s="137">
        <f>Summary_LCIA!Z$32</f>
        <v>4.1009E-5</v>
      </c>
      <c r="AJ170" s="137">
        <f>Summary_LCIA!AA$32</f>
        <v>2.3355999999999998E-2</v>
      </c>
      <c r="AK170" s="137">
        <f>Summary_LCIA!AB$32</f>
        <v>-2.1823000000000001E-5</v>
      </c>
      <c r="AL170" s="137">
        <f>Summary_LCIA!AC$32</f>
        <v>4.8884000000000003E-8</v>
      </c>
      <c r="AM170" s="137">
        <f>Summary_LCIA!AD$32</f>
        <v>4.1103999999999999E-4</v>
      </c>
      <c r="AN170" s="137">
        <f>Summary_LCIA!AE$32</f>
        <v>8.8612999999999995E-4</v>
      </c>
      <c r="AO170" s="137">
        <f>Summary_LCIA!AF$32</f>
        <v>8.4542000000000005E-4</v>
      </c>
      <c r="AP170" s="137">
        <f>Summary_LCIA!AG$32</f>
        <v>5.1165000000000002E-5</v>
      </c>
      <c r="AQ170" s="137">
        <f>Summary_LCIA!AH$32</f>
        <v>8.7036000000000006E-3</v>
      </c>
      <c r="AR170" s="137">
        <f>Summary_LCIA!AI$32</f>
        <v>9.3154999999999996E-4</v>
      </c>
      <c r="AT170" s="137">
        <f t="shared" si="42"/>
        <v>152.16821659999999</v>
      </c>
      <c r="AU170" s="137">
        <f t="shared" si="54"/>
        <v>2219.403636754761</v>
      </c>
      <c r="AV170" s="137">
        <f t="shared" si="55"/>
        <v>2.3580251951999998</v>
      </c>
      <c r="AW170" s="137">
        <f t="shared" si="56"/>
        <v>150.18886546000002</v>
      </c>
      <c r="AX170" s="137">
        <f t="shared" si="57"/>
        <v>49.215088299999998</v>
      </c>
      <c r="AY170" s="137">
        <f t="shared" si="58"/>
        <v>8.0221937380000004</v>
      </c>
      <c r="AZ170" s="137">
        <f t="shared" si="59"/>
        <v>2.1388187736999999E-2</v>
      </c>
      <c r="BA170" s="137">
        <f t="shared" si="60"/>
        <v>34.468922307</v>
      </c>
      <c r="BB170" s="137">
        <f t="shared" si="61"/>
        <v>10.20127126</v>
      </c>
      <c r="BC170" s="137">
        <f t="shared" si="43"/>
        <v>6.9778844940000004</v>
      </c>
      <c r="BD170" s="137">
        <f t="shared" si="44"/>
        <v>1.8364527352999999E-2</v>
      </c>
      <c r="BE170" s="137">
        <f t="shared" si="45"/>
        <v>10.459213852</v>
      </c>
      <c r="BF170" s="137">
        <f t="shared" si="46"/>
        <v>-9.7727103910000002E-3</v>
      </c>
      <c r="BG170" s="137">
        <f t="shared" si="47"/>
        <v>2.1891086228000002E-5</v>
      </c>
      <c r="BH170" s="137">
        <f t="shared" si="48"/>
        <v>0.18407069968000001</v>
      </c>
      <c r="BI170" s="137">
        <f t="shared" si="49"/>
        <v>0.39682407820999999</v>
      </c>
      <c r="BJ170" s="137">
        <f t="shared" si="50"/>
        <v>0.37859344814000001</v>
      </c>
      <c r="BK170" s="137">
        <f t="shared" si="51"/>
        <v>2.2912556805000001E-2</v>
      </c>
      <c r="BL170" s="137">
        <f t="shared" si="52"/>
        <v>3.8976200412000002</v>
      </c>
      <c r="BM170" s="137">
        <f t="shared" si="53"/>
        <v>0.41716392634999999</v>
      </c>
    </row>
    <row r="171" spans="1:65" x14ac:dyDescent="0.25">
      <c r="A171" s="149">
        <v>88</v>
      </c>
      <c r="B171" s="149">
        <v>43</v>
      </c>
      <c r="C171" s="61">
        <v>43.110801000000002</v>
      </c>
      <c r="D171" s="61">
        <v>-70.750540000000001</v>
      </c>
      <c r="E171" s="61" t="s">
        <v>265</v>
      </c>
      <c r="F171" s="149">
        <v>53</v>
      </c>
      <c r="G171" s="61" t="s">
        <v>565</v>
      </c>
      <c r="H171" s="61" t="s">
        <v>634</v>
      </c>
      <c r="I171" s="61">
        <v>42.365613000000003</v>
      </c>
      <c r="J171" s="61">
        <v>-71.009559999999993</v>
      </c>
      <c r="K171" s="61">
        <v>116.9533083</v>
      </c>
      <c r="L171" s="61">
        <v>92.052999999999997</v>
      </c>
      <c r="M171" s="61" t="s">
        <v>617</v>
      </c>
      <c r="N171" s="149">
        <v>42</v>
      </c>
      <c r="O171" s="149">
        <v>43</v>
      </c>
      <c r="P171" s="61" t="s">
        <v>565</v>
      </c>
      <c r="Q171" s="61" t="s">
        <v>555</v>
      </c>
      <c r="R171" s="61">
        <v>40.6895314</v>
      </c>
      <c r="S171" s="61">
        <v>-74.174462399999996</v>
      </c>
      <c r="T171" s="61">
        <v>447.81700000000001</v>
      </c>
      <c r="U171" s="61" t="s">
        <v>617</v>
      </c>
      <c r="V171" s="61" t="s">
        <v>617</v>
      </c>
      <c r="W171" s="61"/>
      <c r="Y171" s="137">
        <f>Summary_LCIA!H$32</f>
        <v>0.33979999999999999</v>
      </c>
      <c r="Z171" s="137">
        <f>Summary_LCIA!Q$32</f>
        <v>4.9560504329999997</v>
      </c>
      <c r="AA171" s="137">
        <f>Summary_LCIA!R$32</f>
        <v>5.2655999999999996E-3</v>
      </c>
      <c r="AB171" s="137">
        <f>Summary_LCIA!S$32</f>
        <v>0.33538000000000001</v>
      </c>
      <c r="AC171" s="137">
        <f>Summary_LCIA!T$32</f>
        <v>0.1099</v>
      </c>
      <c r="AD171" s="137">
        <f>Summary_LCIA!U$32</f>
        <v>1.7913999999999999E-2</v>
      </c>
      <c r="AE171" s="137">
        <f>Summary_LCIA!V$32</f>
        <v>4.7760999999999999E-5</v>
      </c>
      <c r="AF171" s="137">
        <f>Summary_LCIA!W$32</f>
        <v>7.6970999999999998E-2</v>
      </c>
      <c r="AG171" s="137">
        <f>Summary_LCIA!X$32</f>
        <v>2.2780000000000002E-2</v>
      </c>
      <c r="AH171" s="137">
        <f>Summary_LCIA!Y$32</f>
        <v>1.5582E-2</v>
      </c>
      <c r="AI171" s="137">
        <f>Summary_LCIA!Z$32</f>
        <v>4.1009E-5</v>
      </c>
      <c r="AJ171" s="137">
        <f>Summary_LCIA!AA$32</f>
        <v>2.3355999999999998E-2</v>
      </c>
      <c r="AK171" s="137">
        <f>Summary_LCIA!AB$32</f>
        <v>-2.1823000000000001E-5</v>
      </c>
      <c r="AL171" s="137">
        <f>Summary_LCIA!AC$32</f>
        <v>4.8884000000000003E-8</v>
      </c>
      <c r="AM171" s="137">
        <f>Summary_LCIA!AD$32</f>
        <v>4.1103999999999999E-4</v>
      </c>
      <c r="AN171" s="137">
        <f>Summary_LCIA!AE$32</f>
        <v>8.8612999999999995E-4</v>
      </c>
      <c r="AO171" s="137">
        <f>Summary_LCIA!AF$32</f>
        <v>8.4542000000000005E-4</v>
      </c>
      <c r="AP171" s="137">
        <f>Summary_LCIA!AG$32</f>
        <v>5.1165000000000002E-5</v>
      </c>
      <c r="AQ171" s="137">
        <f>Summary_LCIA!AH$32</f>
        <v>8.7036000000000006E-3</v>
      </c>
      <c r="AR171" s="137">
        <f>Summary_LCIA!AI$32</f>
        <v>9.3154999999999996E-4</v>
      </c>
      <c r="AT171" s="137">
        <f t="shared" si="42"/>
        <v>152.16821659999999</v>
      </c>
      <c r="AU171" s="137">
        <f t="shared" si="54"/>
        <v>2219.403636754761</v>
      </c>
      <c r="AV171" s="137">
        <f t="shared" si="55"/>
        <v>2.3580251951999998</v>
      </c>
      <c r="AW171" s="137">
        <f t="shared" si="56"/>
        <v>150.18886546000002</v>
      </c>
      <c r="AX171" s="137">
        <f t="shared" si="57"/>
        <v>49.215088299999998</v>
      </c>
      <c r="AY171" s="137">
        <f t="shared" si="58"/>
        <v>8.0221937380000004</v>
      </c>
      <c r="AZ171" s="137">
        <f t="shared" si="59"/>
        <v>2.1388187736999999E-2</v>
      </c>
      <c r="BA171" s="137">
        <f t="shared" si="60"/>
        <v>34.468922307</v>
      </c>
      <c r="BB171" s="137">
        <f t="shared" si="61"/>
        <v>10.20127126</v>
      </c>
      <c r="BC171" s="137">
        <f t="shared" si="43"/>
        <v>6.9778844940000004</v>
      </c>
      <c r="BD171" s="137">
        <f t="shared" si="44"/>
        <v>1.8364527352999999E-2</v>
      </c>
      <c r="BE171" s="137">
        <f t="shared" si="45"/>
        <v>10.459213852</v>
      </c>
      <c r="BF171" s="137">
        <f t="shared" si="46"/>
        <v>-9.7727103910000002E-3</v>
      </c>
      <c r="BG171" s="137">
        <f t="shared" si="47"/>
        <v>2.1891086228000002E-5</v>
      </c>
      <c r="BH171" s="137">
        <f t="shared" si="48"/>
        <v>0.18407069968000001</v>
      </c>
      <c r="BI171" s="137">
        <f t="shared" si="49"/>
        <v>0.39682407820999999</v>
      </c>
      <c r="BJ171" s="137">
        <f t="shared" si="50"/>
        <v>0.37859344814000001</v>
      </c>
      <c r="BK171" s="137">
        <f t="shared" si="51"/>
        <v>2.2912556805000001E-2</v>
      </c>
      <c r="BL171" s="137">
        <f t="shared" si="52"/>
        <v>3.8976200412000002</v>
      </c>
      <c r="BM171" s="137">
        <f t="shared" si="53"/>
        <v>0.41716392634999999</v>
      </c>
    </row>
    <row r="172" spans="1:65" x14ac:dyDescent="0.25">
      <c r="A172" s="149">
        <v>211</v>
      </c>
      <c r="B172" s="149">
        <v>43</v>
      </c>
      <c r="C172" s="61">
        <v>43.197862000000001</v>
      </c>
      <c r="D172" s="61">
        <v>-70.873670000000004</v>
      </c>
      <c r="E172" s="61" t="s">
        <v>265</v>
      </c>
      <c r="F172" s="149">
        <v>53</v>
      </c>
      <c r="G172" s="61" t="s">
        <v>565</v>
      </c>
      <c r="H172" s="61" t="s">
        <v>634</v>
      </c>
      <c r="I172" s="61">
        <v>42.365613000000003</v>
      </c>
      <c r="J172" s="61">
        <v>-71.009559999999993</v>
      </c>
      <c r="K172" s="61">
        <v>127.17130450000001</v>
      </c>
      <c r="L172" s="61">
        <v>104.06699999999999</v>
      </c>
      <c r="M172" s="61" t="s">
        <v>617</v>
      </c>
      <c r="N172" s="149">
        <v>42</v>
      </c>
      <c r="O172" s="149">
        <v>43</v>
      </c>
      <c r="P172" s="61" t="s">
        <v>565</v>
      </c>
      <c r="Q172" s="61" t="s">
        <v>555</v>
      </c>
      <c r="R172" s="61">
        <v>40.6895314</v>
      </c>
      <c r="S172" s="61">
        <v>-74.174462399999996</v>
      </c>
      <c r="T172" s="61">
        <v>459.83100000000002</v>
      </c>
      <c r="U172" s="61" t="s">
        <v>617</v>
      </c>
      <c r="V172" s="61" t="s">
        <v>617</v>
      </c>
      <c r="W172" s="61"/>
      <c r="Y172" s="137">
        <f>Summary_LCIA!H$32</f>
        <v>0.33979999999999999</v>
      </c>
      <c r="Z172" s="137">
        <f>Summary_LCIA!Q$32</f>
        <v>4.9560504329999997</v>
      </c>
      <c r="AA172" s="137">
        <f>Summary_LCIA!R$32</f>
        <v>5.2655999999999996E-3</v>
      </c>
      <c r="AB172" s="137">
        <f>Summary_LCIA!S$32</f>
        <v>0.33538000000000001</v>
      </c>
      <c r="AC172" s="137">
        <f>Summary_LCIA!T$32</f>
        <v>0.1099</v>
      </c>
      <c r="AD172" s="137">
        <f>Summary_LCIA!U$32</f>
        <v>1.7913999999999999E-2</v>
      </c>
      <c r="AE172" s="137">
        <f>Summary_LCIA!V$32</f>
        <v>4.7760999999999999E-5</v>
      </c>
      <c r="AF172" s="137">
        <f>Summary_LCIA!W$32</f>
        <v>7.6970999999999998E-2</v>
      </c>
      <c r="AG172" s="137">
        <f>Summary_LCIA!X$32</f>
        <v>2.2780000000000002E-2</v>
      </c>
      <c r="AH172" s="137">
        <f>Summary_LCIA!Y$32</f>
        <v>1.5582E-2</v>
      </c>
      <c r="AI172" s="137">
        <f>Summary_LCIA!Z$32</f>
        <v>4.1009E-5</v>
      </c>
      <c r="AJ172" s="137">
        <f>Summary_LCIA!AA$32</f>
        <v>2.3355999999999998E-2</v>
      </c>
      <c r="AK172" s="137">
        <f>Summary_LCIA!AB$32</f>
        <v>-2.1823000000000001E-5</v>
      </c>
      <c r="AL172" s="137">
        <f>Summary_LCIA!AC$32</f>
        <v>4.8884000000000003E-8</v>
      </c>
      <c r="AM172" s="137">
        <f>Summary_LCIA!AD$32</f>
        <v>4.1103999999999999E-4</v>
      </c>
      <c r="AN172" s="137">
        <f>Summary_LCIA!AE$32</f>
        <v>8.8612999999999995E-4</v>
      </c>
      <c r="AO172" s="137">
        <f>Summary_LCIA!AF$32</f>
        <v>8.4542000000000005E-4</v>
      </c>
      <c r="AP172" s="137">
        <f>Summary_LCIA!AG$32</f>
        <v>5.1165000000000002E-5</v>
      </c>
      <c r="AQ172" s="137">
        <f>Summary_LCIA!AH$32</f>
        <v>8.7036000000000006E-3</v>
      </c>
      <c r="AR172" s="137">
        <f>Summary_LCIA!AI$32</f>
        <v>9.3154999999999996E-4</v>
      </c>
      <c r="AT172" s="137">
        <f t="shared" si="42"/>
        <v>156.25057380000001</v>
      </c>
      <c r="AU172" s="137">
        <f t="shared" si="54"/>
        <v>2278.9456266568232</v>
      </c>
      <c r="AV172" s="137">
        <f t="shared" si="55"/>
        <v>2.4212861135999999</v>
      </c>
      <c r="AW172" s="137">
        <f t="shared" si="56"/>
        <v>154.21812078000002</v>
      </c>
      <c r="AX172" s="137">
        <f t="shared" si="57"/>
        <v>50.535426899999997</v>
      </c>
      <c r="AY172" s="137">
        <f t="shared" si="58"/>
        <v>8.2374125340000006</v>
      </c>
      <c r="AZ172" s="137">
        <f t="shared" si="59"/>
        <v>2.1961988391000001E-2</v>
      </c>
      <c r="BA172" s="137">
        <f t="shared" si="60"/>
        <v>35.393651900999998</v>
      </c>
      <c r="BB172" s="137">
        <f t="shared" si="61"/>
        <v>10.47495018</v>
      </c>
      <c r="BC172" s="137">
        <f t="shared" si="43"/>
        <v>7.1650866420000003</v>
      </c>
      <c r="BD172" s="137">
        <f t="shared" si="44"/>
        <v>1.8857209478999999E-2</v>
      </c>
      <c r="BE172" s="137">
        <f t="shared" si="45"/>
        <v>10.739812836</v>
      </c>
      <c r="BF172" s="137">
        <f t="shared" si="46"/>
        <v>-1.0034891913000001E-2</v>
      </c>
      <c r="BG172" s="137">
        <f t="shared" si="47"/>
        <v>2.2478378604000002E-5</v>
      </c>
      <c r="BH172" s="137">
        <f t="shared" si="48"/>
        <v>0.18900893424000001</v>
      </c>
      <c r="BI172" s="137">
        <f t="shared" si="49"/>
        <v>0.40747004402999998</v>
      </c>
      <c r="BJ172" s="137">
        <f t="shared" si="50"/>
        <v>0.38875032402000004</v>
      </c>
      <c r="BK172" s="137">
        <f t="shared" si="51"/>
        <v>2.3527253115000001E-2</v>
      </c>
      <c r="BL172" s="137">
        <f t="shared" si="52"/>
        <v>4.0021850916000004</v>
      </c>
      <c r="BM172" s="137">
        <f t="shared" si="53"/>
        <v>0.42835556804999997</v>
      </c>
    </row>
    <row r="173" spans="1:65" x14ac:dyDescent="0.25">
      <c r="A173" s="149">
        <v>19</v>
      </c>
      <c r="B173" s="149">
        <v>43</v>
      </c>
      <c r="C173" s="61">
        <v>43.183446000000004</v>
      </c>
      <c r="D173" s="61">
        <v>-70.608591000000004</v>
      </c>
      <c r="E173" s="61" t="s">
        <v>265</v>
      </c>
      <c r="F173" s="149">
        <v>53</v>
      </c>
      <c r="G173" s="61" t="s">
        <v>565</v>
      </c>
      <c r="H173" s="61" t="s">
        <v>634</v>
      </c>
      <c r="I173" s="61">
        <v>42.365613000000003</v>
      </c>
      <c r="J173" s="61">
        <v>-71.009559999999993</v>
      </c>
      <c r="K173" s="61">
        <v>131.74496160000001</v>
      </c>
      <c r="L173" s="61">
        <v>107.55800000000001</v>
      </c>
      <c r="M173" s="61" t="s">
        <v>617</v>
      </c>
      <c r="N173" s="149">
        <v>42</v>
      </c>
      <c r="O173" s="149">
        <v>43</v>
      </c>
      <c r="P173" s="61" t="s">
        <v>565</v>
      </c>
      <c r="Q173" s="61" t="s">
        <v>555</v>
      </c>
      <c r="R173" s="61">
        <v>40.6895314</v>
      </c>
      <c r="S173" s="61">
        <v>-74.174462399999996</v>
      </c>
      <c r="T173" s="61">
        <v>463.322</v>
      </c>
      <c r="U173" s="61" t="s">
        <v>617</v>
      </c>
      <c r="V173" s="61" t="s">
        <v>617</v>
      </c>
      <c r="W173" s="61"/>
      <c r="Y173" s="137">
        <f>Summary_LCIA!H$32</f>
        <v>0.33979999999999999</v>
      </c>
      <c r="Z173" s="137">
        <f>Summary_LCIA!Q$32</f>
        <v>4.9560504329999997</v>
      </c>
      <c r="AA173" s="137">
        <f>Summary_LCIA!R$32</f>
        <v>5.2655999999999996E-3</v>
      </c>
      <c r="AB173" s="137">
        <f>Summary_LCIA!S$32</f>
        <v>0.33538000000000001</v>
      </c>
      <c r="AC173" s="137">
        <f>Summary_LCIA!T$32</f>
        <v>0.1099</v>
      </c>
      <c r="AD173" s="137">
        <f>Summary_LCIA!U$32</f>
        <v>1.7913999999999999E-2</v>
      </c>
      <c r="AE173" s="137">
        <f>Summary_LCIA!V$32</f>
        <v>4.7760999999999999E-5</v>
      </c>
      <c r="AF173" s="137">
        <f>Summary_LCIA!W$32</f>
        <v>7.6970999999999998E-2</v>
      </c>
      <c r="AG173" s="137">
        <f>Summary_LCIA!X$32</f>
        <v>2.2780000000000002E-2</v>
      </c>
      <c r="AH173" s="137">
        <f>Summary_LCIA!Y$32</f>
        <v>1.5582E-2</v>
      </c>
      <c r="AI173" s="137">
        <f>Summary_LCIA!Z$32</f>
        <v>4.1009E-5</v>
      </c>
      <c r="AJ173" s="137">
        <f>Summary_LCIA!AA$32</f>
        <v>2.3355999999999998E-2</v>
      </c>
      <c r="AK173" s="137">
        <f>Summary_LCIA!AB$32</f>
        <v>-2.1823000000000001E-5</v>
      </c>
      <c r="AL173" s="137">
        <f>Summary_LCIA!AC$32</f>
        <v>4.8884000000000003E-8</v>
      </c>
      <c r="AM173" s="137">
        <f>Summary_LCIA!AD$32</f>
        <v>4.1103999999999999E-4</v>
      </c>
      <c r="AN173" s="137">
        <f>Summary_LCIA!AE$32</f>
        <v>8.8612999999999995E-4</v>
      </c>
      <c r="AO173" s="137">
        <f>Summary_LCIA!AF$32</f>
        <v>8.4542000000000005E-4</v>
      </c>
      <c r="AP173" s="137">
        <f>Summary_LCIA!AG$32</f>
        <v>5.1165000000000002E-5</v>
      </c>
      <c r="AQ173" s="137">
        <f>Summary_LCIA!AH$32</f>
        <v>8.7036000000000006E-3</v>
      </c>
      <c r="AR173" s="137">
        <f>Summary_LCIA!AI$32</f>
        <v>9.3154999999999996E-4</v>
      </c>
      <c r="AT173" s="137">
        <f t="shared" si="42"/>
        <v>157.43681559999999</v>
      </c>
      <c r="AU173" s="137">
        <f t="shared" si="54"/>
        <v>2296.2471987184258</v>
      </c>
      <c r="AV173" s="137">
        <f t="shared" si="55"/>
        <v>2.4396683231999998</v>
      </c>
      <c r="AW173" s="137">
        <f t="shared" si="56"/>
        <v>155.38893236000001</v>
      </c>
      <c r="AX173" s="137">
        <f t="shared" si="57"/>
        <v>50.9190878</v>
      </c>
      <c r="AY173" s="137">
        <f t="shared" si="58"/>
        <v>8.2999503079999997</v>
      </c>
      <c r="AZ173" s="137">
        <f t="shared" si="59"/>
        <v>2.2128722042000001E-2</v>
      </c>
      <c r="BA173" s="137">
        <f t="shared" si="60"/>
        <v>35.662357661999998</v>
      </c>
      <c r="BB173" s="137">
        <f t="shared" si="61"/>
        <v>10.554475160000001</v>
      </c>
      <c r="BC173" s="137">
        <f t="shared" si="43"/>
        <v>7.219483404</v>
      </c>
      <c r="BD173" s="137">
        <f t="shared" si="44"/>
        <v>1.9000371897999999E-2</v>
      </c>
      <c r="BE173" s="137">
        <f t="shared" si="45"/>
        <v>10.821348631999999</v>
      </c>
      <c r="BF173" s="137">
        <f t="shared" si="46"/>
        <v>-1.0111076006000001E-2</v>
      </c>
      <c r="BG173" s="137">
        <f t="shared" si="47"/>
        <v>2.2649032648000002E-5</v>
      </c>
      <c r="BH173" s="137">
        <f t="shared" si="48"/>
        <v>0.19044387488</v>
      </c>
      <c r="BI173" s="137">
        <f t="shared" si="49"/>
        <v>0.41056352386</v>
      </c>
      <c r="BJ173" s="137">
        <f t="shared" si="50"/>
        <v>0.39170168524000004</v>
      </c>
      <c r="BK173" s="137">
        <f t="shared" si="51"/>
        <v>2.3705870130000001E-2</v>
      </c>
      <c r="BL173" s="137">
        <f t="shared" si="52"/>
        <v>4.0325693592</v>
      </c>
      <c r="BM173" s="137">
        <f t="shared" si="53"/>
        <v>0.43160760909999996</v>
      </c>
    </row>
    <row r="174" spans="1:65" x14ac:dyDescent="0.25">
      <c r="A174" s="149">
        <v>130</v>
      </c>
      <c r="B174" s="149">
        <v>15</v>
      </c>
      <c r="C174" s="61">
        <v>51.048797</v>
      </c>
      <c r="D174" s="61">
        <v>13.721128999999999</v>
      </c>
      <c r="E174" s="61" t="s">
        <v>281</v>
      </c>
      <c r="F174" s="149">
        <v>38</v>
      </c>
      <c r="G174" s="61" t="s">
        <v>567</v>
      </c>
      <c r="H174" s="61" t="s">
        <v>678</v>
      </c>
      <c r="I174" s="61">
        <v>48.353696999999997</v>
      </c>
      <c r="J174" s="61">
        <v>11.775111000000001</v>
      </c>
      <c r="K174" s="61">
        <v>332.0913797</v>
      </c>
      <c r="L174" s="61">
        <v>445.78</v>
      </c>
      <c r="M174" s="61" t="s">
        <v>617</v>
      </c>
      <c r="N174" s="149">
        <v>14</v>
      </c>
      <c r="O174" s="149">
        <v>15</v>
      </c>
      <c r="P174" s="61" t="s">
        <v>567</v>
      </c>
      <c r="Q174" s="61" t="s">
        <v>566</v>
      </c>
      <c r="R174" s="61">
        <v>50.037932599999998</v>
      </c>
      <c r="S174" s="61">
        <v>8.5621518000000005</v>
      </c>
      <c r="T174" s="61">
        <v>467.15100000000001</v>
      </c>
      <c r="U174" s="61" t="s">
        <v>617</v>
      </c>
      <c r="V174" s="61" t="s">
        <v>617</v>
      </c>
      <c r="W174" s="61"/>
      <c r="Y174" s="137">
        <f>Summary_LCIA!H$32</f>
        <v>0.33979999999999999</v>
      </c>
      <c r="Z174" s="137">
        <f>Summary_LCIA!Q$32</f>
        <v>4.9560504329999997</v>
      </c>
      <c r="AA174" s="137">
        <f>Summary_LCIA!R$32</f>
        <v>5.2655999999999996E-3</v>
      </c>
      <c r="AB174" s="137">
        <f>Summary_LCIA!S$32</f>
        <v>0.33538000000000001</v>
      </c>
      <c r="AC174" s="137">
        <f>Summary_LCIA!T$32</f>
        <v>0.1099</v>
      </c>
      <c r="AD174" s="137">
        <f>Summary_LCIA!U$32</f>
        <v>1.7913999999999999E-2</v>
      </c>
      <c r="AE174" s="137">
        <f>Summary_LCIA!V$32</f>
        <v>4.7760999999999999E-5</v>
      </c>
      <c r="AF174" s="137">
        <f>Summary_LCIA!W$32</f>
        <v>7.6970999999999998E-2</v>
      </c>
      <c r="AG174" s="137">
        <f>Summary_LCIA!X$32</f>
        <v>2.2780000000000002E-2</v>
      </c>
      <c r="AH174" s="137">
        <f>Summary_LCIA!Y$32</f>
        <v>1.5582E-2</v>
      </c>
      <c r="AI174" s="137">
        <f>Summary_LCIA!Z$32</f>
        <v>4.1009E-5</v>
      </c>
      <c r="AJ174" s="137">
        <f>Summary_LCIA!AA$32</f>
        <v>2.3355999999999998E-2</v>
      </c>
      <c r="AK174" s="137">
        <f>Summary_LCIA!AB$32</f>
        <v>-2.1823000000000001E-5</v>
      </c>
      <c r="AL174" s="137">
        <f>Summary_LCIA!AC$32</f>
        <v>4.8884000000000003E-8</v>
      </c>
      <c r="AM174" s="137">
        <f>Summary_LCIA!AD$32</f>
        <v>4.1103999999999999E-4</v>
      </c>
      <c r="AN174" s="137">
        <f>Summary_LCIA!AE$32</f>
        <v>8.8612999999999995E-4</v>
      </c>
      <c r="AO174" s="137">
        <f>Summary_LCIA!AF$32</f>
        <v>8.4542000000000005E-4</v>
      </c>
      <c r="AP174" s="137">
        <f>Summary_LCIA!AG$32</f>
        <v>5.1165000000000002E-5</v>
      </c>
      <c r="AQ174" s="137">
        <f>Summary_LCIA!AH$32</f>
        <v>8.7036000000000006E-3</v>
      </c>
      <c r="AR174" s="137">
        <f>Summary_LCIA!AI$32</f>
        <v>9.3154999999999996E-4</v>
      </c>
      <c r="AT174" s="137">
        <f t="shared" si="42"/>
        <v>158.73790980000001</v>
      </c>
      <c r="AU174" s="137">
        <f t="shared" si="54"/>
        <v>2315.2239158263828</v>
      </c>
      <c r="AV174" s="137">
        <f t="shared" si="55"/>
        <v>2.4598303055999997</v>
      </c>
      <c r="AW174" s="137">
        <f t="shared" si="56"/>
        <v>156.67310238000002</v>
      </c>
      <c r="AX174" s="137">
        <f t="shared" si="57"/>
        <v>51.339894899999997</v>
      </c>
      <c r="AY174" s="137">
        <f t="shared" si="58"/>
        <v>8.3685430140000001</v>
      </c>
      <c r="AZ174" s="137">
        <f t="shared" si="59"/>
        <v>2.2311598911E-2</v>
      </c>
      <c r="BA174" s="137">
        <f t="shared" si="60"/>
        <v>35.957079620999998</v>
      </c>
      <c r="BB174" s="137">
        <f t="shared" si="61"/>
        <v>10.641699780000001</v>
      </c>
      <c r="BC174" s="137">
        <f t="shared" si="43"/>
        <v>7.279146882</v>
      </c>
      <c r="BD174" s="137">
        <f t="shared" si="44"/>
        <v>1.9157395359000001E-2</v>
      </c>
      <c r="BE174" s="137">
        <f t="shared" si="45"/>
        <v>10.910778755999999</v>
      </c>
      <c r="BF174" s="137">
        <f t="shared" si="46"/>
        <v>-1.0194636273000001E-2</v>
      </c>
      <c r="BG174" s="137">
        <f t="shared" si="47"/>
        <v>2.2836209484000001E-5</v>
      </c>
      <c r="BH174" s="137">
        <f t="shared" si="48"/>
        <v>0.19201774703999999</v>
      </c>
      <c r="BI174" s="137">
        <f t="shared" si="49"/>
        <v>0.41395651562999997</v>
      </c>
      <c r="BJ174" s="137">
        <f t="shared" si="50"/>
        <v>0.39493879842000001</v>
      </c>
      <c r="BK174" s="137">
        <f t="shared" si="51"/>
        <v>2.3901780915E-2</v>
      </c>
      <c r="BL174" s="137">
        <f t="shared" si="52"/>
        <v>4.0658954436000005</v>
      </c>
      <c r="BM174" s="137">
        <f t="shared" si="53"/>
        <v>0.43517451405000002</v>
      </c>
    </row>
    <row r="175" spans="1:65" x14ac:dyDescent="0.25">
      <c r="A175" s="149">
        <v>204</v>
      </c>
      <c r="B175" s="149">
        <v>6</v>
      </c>
      <c r="C175" s="61">
        <v>42.32226</v>
      </c>
      <c r="D175" s="61">
        <v>-83.176315000000002</v>
      </c>
      <c r="E175" s="61" t="s">
        <v>265</v>
      </c>
      <c r="F175" s="149">
        <v>78</v>
      </c>
      <c r="G175" s="61" t="s">
        <v>615</v>
      </c>
      <c r="H175" s="61" t="s">
        <v>616</v>
      </c>
      <c r="I175" s="61">
        <v>42.216248999999998</v>
      </c>
      <c r="J175" s="61">
        <v>-83.355363999999994</v>
      </c>
      <c r="K175" s="61">
        <v>23.652639489999999</v>
      </c>
      <c r="L175" s="61">
        <v>22.933</v>
      </c>
      <c r="M175" s="61" t="s">
        <v>617</v>
      </c>
      <c r="N175" s="149">
        <v>5</v>
      </c>
      <c r="O175" s="149">
        <v>6</v>
      </c>
      <c r="P175" s="61" t="s">
        <v>565</v>
      </c>
      <c r="Q175" s="61" t="s">
        <v>564</v>
      </c>
      <c r="R175" s="61">
        <v>41.98028</v>
      </c>
      <c r="S175" s="61">
        <v>-87.908997900000003</v>
      </c>
      <c r="T175" s="61">
        <v>471.61900000000003</v>
      </c>
      <c r="U175" s="61" t="s">
        <v>617</v>
      </c>
      <c r="V175" s="61" t="s">
        <v>617</v>
      </c>
      <c r="W175" s="61"/>
      <c r="Y175" s="137">
        <f>Summary_LCIA!H$32</f>
        <v>0.33979999999999999</v>
      </c>
      <c r="Z175" s="137">
        <f>Summary_LCIA!Q$32</f>
        <v>4.9560504329999997</v>
      </c>
      <c r="AA175" s="137">
        <f>Summary_LCIA!R$32</f>
        <v>5.2655999999999996E-3</v>
      </c>
      <c r="AB175" s="137">
        <f>Summary_LCIA!S$32</f>
        <v>0.33538000000000001</v>
      </c>
      <c r="AC175" s="137">
        <f>Summary_LCIA!T$32</f>
        <v>0.1099</v>
      </c>
      <c r="AD175" s="137">
        <f>Summary_LCIA!U$32</f>
        <v>1.7913999999999999E-2</v>
      </c>
      <c r="AE175" s="137">
        <f>Summary_LCIA!V$32</f>
        <v>4.7760999999999999E-5</v>
      </c>
      <c r="AF175" s="137">
        <f>Summary_LCIA!W$32</f>
        <v>7.6970999999999998E-2</v>
      </c>
      <c r="AG175" s="137">
        <f>Summary_LCIA!X$32</f>
        <v>2.2780000000000002E-2</v>
      </c>
      <c r="AH175" s="137">
        <f>Summary_LCIA!Y$32</f>
        <v>1.5582E-2</v>
      </c>
      <c r="AI175" s="137">
        <f>Summary_LCIA!Z$32</f>
        <v>4.1009E-5</v>
      </c>
      <c r="AJ175" s="137">
        <f>Summary_LCIA!AA$32</f>
        <v>2.3355999999999998E-2</v>
      </c>
      <c r="AK175" s="137">
        <f>Summary_LCIA!AB$32</f>
        <v>-2.1823000000000001E-5</v>
      </c>
      <c r="AL175" s="137">
        <f>Summary_LCIA!AC$32</f>
        <v>4.8884000000000003E-8</v>
      </c>
      <c r="AM175" s="137">
        <f>Summary_LCIA!AD$32</f>
        <v>4.1103999999999999E-4</v>
      </c>
      <c r="AN175" s="137">
        <f>Summary_LCIA!AE$32</f>
        <v>8.8612999999999995E-4</v>
      </c>
      <c r="AO175" s="137">
        <f>Summary_LCIA!AF$32</f>
        <v>8.4542000000000005E-4</v>
      </c>
      <c r="AP175" s="137">
        <f>Summary_LCIA!AG$32</f>
        <v>5.1165000000000002E-5</v>
      </c>
      <c r="AQ175" s="137">
        <f>Summary_LCIA!AH$32</f>
        <v>8.7036000000000006E-3</v>
      </c>
      <c r="AR175" s="137">
        <f>Summary_LCIA!AI$32</f>
        <v>9.3154999999999996E-4</v>
      </c>
      <c r="AT175" s="137">
        <f t="shared" si="42"/>
        <v>160.25613620000001</v>
      </c>
      <c r="AU175" s="137">
        <f t="shared" si="54"/>
        <v>2337.367549161027</v>
      </c>
      <c r="AV175" s="137">
        <f t="shared" si="55"/>
        <v>2.4833570063999999</v>
      </c>
      <c r="AW175" s="137">
        <f t="shared" si="56"/>
        <v>158.17158022000001</v>
      </c>
      <c r="AX175" s="137">
        <f t="shared" si="57"/>
        <v>51.830928100000001</v>
      </c>
      <c r="AY175" s="137">
        <f t="shared" si="58"/>
        <v>8.4485827659999995</v>
      </c>
      <c r="AZ175" s="137">
        <f t="shared" si="59"/>
        <v>2.2524995059000002E-2</v>
      </c>
      <c r="BA175" s="137">
        <f t="shared" si="60"/>
        <v>36.300986049000002</v>
      </c>
      <c r="BB175" s="137">
        <f t="shared" si="61"/>
        <v>10.743480820000002</v>
      </c>
      <c r="BC175" s="137">
        <f t="shared" si="43"/>
        <v>7.3487672580000005</v>
      </c>
      <c r="BD175" s="137">
        <f t="shared" si="44"/>
        <v>1.9340623571000002E-2</v>
      </c>
      <c r="BE175" s="137">
        <f t="shared" si="45"/>
        <v>11.015133364</v>
      </c>
      <c r="BF175" s="137">
        <f t="shared" si="46"/>
        <v>-1.0292141437000002E-2</v>
      </c>
      <c r="BG175" s="137">
        <f t="shared" si="47"/>
        <v>2.3054623196000003E-5</v>
      </c>
      <c r="BH175" s="137">
        <f t="shared" si="48"/>
        <v>0.19385427376</v>
      </c>
      <c r="BI175" s="137">
        <f t="shared" si="49"/>
        <v>0.41791574447000002</v>
      </c>
      <c r="BJ175" s="137">
        <f t="shared" si="50"/>
        <v>0.39871613498000003</v>
      </c>
      <c r="BK175" s="137">
        <f t="shared" si="51"/>
        <v>2.4130386135000001E-2</v>
      </c>
      <c r="BL175" s="137">
        <f t="shared" si="52"/>
        <v>4.1047831284000003</v>
      </c>
      <c r="BM175" s="137">
        <f t="shared" si="53"/>
        <v>0.43933667944999999</v>
      </c>
    </row>
    <row r="176" spans="1:65" x14ac:dyDescent="0.25">
      <c r="A176" s="149">
        <v>380</v>
      </c>
      <c r="B176" s="149">
        <v>6</v>
      </c>
      <c r="C176" s="61">
        <v>42.214205999999997</v>
      </c>
      <c r="D176" s="61">
        <v>-83.149923999999999</v>
      </c>
      <c r="E176" s="61" t="s">
        <v>265</v>
      </c>
      <c r="F176" s="149">
        <v>78</v>
      </c>
      <c r="G176" s="61" t="s">
        <v>615</v>
      </c>
      <c r="H176" s="61" t="s">
        <v>616</v>
      </c>
      <c r="I176" s="61">
        <v>42.216248999999998</v>
      </c>
      <c r="J176" s="61">
        <v>-83.355363999999994</v>
      </c>
      <c r="K176" s="61">
        <v>17.006377449999999</v>
      </c>
      <c r="L176" s="61">
        <v>24.92</v>
      </c>
      <c r="M176" s="61" t="s">
        <v>617</v>
      </c>
      <c r="N176" s="149">
        <v>5</v>
      </c>
      <c r="O176" s="149">
        <v>6</v>
      </c>
      <c r="P176" s="61" t="s">
        <v>565</v>
      </c>
      <c r="Q176" s="61" t="s">
        <v>564</v>
      </c>
      <c r="R176" s="61">
        <v>41.98028</v>
      </c>
      <c r="S176" s="61">
        <v>-87.908997900000003</v>
      </c>
      <c r="T176" s="61">
        <v>473.60700000000003</v>
      </c>
      <c r="U176" s="61" t="s">
        <v>617</v>
      </c>
      <c r="V176" s="61" t="s">
        <v>617</v>
      </c>
      <c r="W176" s="61"/>
      <c r="Y176" s="137">
        <f>Summary_LCIA!H$32</f>
        <v>0.33979999999999999</v>
      </c>
      <c r="Z176" s="137">
        <f>Summary_LCIA!Q$32</f>
        <v>4.9560504329999997</v>
      </c>
      <c r="AA176" s="137">
        <f>Summary_LCIA!R$32</f>
        <v>5.2655999999999996E-3</v>
      </c>
      <c r="AB176" s="137">
        <f>Summary_LCIA!S$32</f>
        <v>0.33538000000000001</v>
      </c>
      <c r="AC176" s="137">
        <f>Summary_LCIA!T$32</f>
        <v>0.1099</v>
      </c>
      <c r="AD176" s="137">
        <f>Summary_LCIA!U$32</f>
        <v>1.7913999999999999E-2</v>
      </c>
      <c r="AE176" s="137">
        <f>Summary_LCIA!V$32</f>
        <v>4.7760999999999999E-5</v>
      </c>
      <c r="AF176" s="137">
        <f>Summary_LCIA!W$32</f>
        <v>7.6970999999999998E-2</v>
      </c>
      <c r="AG176" s="137">
        <f>Summary_LCIA!X$32</f>
        <v>2.2780000000000002E-2</v>
      </c>
      <c r="AH176" s="137">
        <f>Summary_LCIA!Y$32</f>
        <v>1.5582E-2</v>
      </c>
      <c r="AI176" s="137">
        <f>Summary_LCIA!Z$32</f>
        <v>4.1009E-5</v>
      </c>
      <c r="AJ176" s="137">
        <f>Summary_LCIA!AA$32</f>
        <v>2.3355999999999998E-2</v>
      </c>
      <c r="AK176" s="137">
        <f>Summary_LCIA!AB$32</f>
        <v>-2.1823000000000001E-5</v>
      </c>
      <c r="AL176" s="137">
        <f>Summary_LCIA!AC$32</f>
        <v>4.8884000000000003E-8</v>
      </c>
      <c r="AM176" s="137">
        <f>Summary_LCIA!AD$32</f>
        <v>4.1103999999999999E-4</v>
      </c>
      <c r="AN176" s="137">
        <f>Summary_LCIA!AE$32</f>
        <v>8.8612999999999995E-4</v>
      </c>
      <c r="AO176" s="137">
        <f>Summary_LCIA!AF$32</f>
        <v>8.4542000000000005E-4</v>
      </c>
      <c r="AP176" s="137">
        <f>Summary_LCIA!AG$32</f>
        <v>5.1165000000000002E-5</v>
      </c>
      <c r="AQ176" s="137">
        <f>Summary_LCIA!AH$32</f>
        <v>8.7036000000000006E-3</v>
      </c>
      <c r="AR176" s="137">
        <f>Summary_LCIA!AI$32</f>
        <v>9.3154999999999996E-4</v>
      </c>
      <c r="AT176" s="137">
        <f t="shared" si="42"/>
        <v>160.93165859999999</v>
      </c>
      <c r="AU176" s="137">
        <f t="shared" si="54"/>
        <v>2347.2201774218311</v>
      </c>
      <c r="AV176" s="137">
        <f t="shared" si="55"/>
        <v>2.4938250192</v>
      </c>
      <c r="AW176" s="137">
        <f t="shared" si="56"/>
        <v>158.83831566000001</v>
      </c>
      <c r="AX176" s="137">
        <f t="shared" si="57"/>
        <v>52.049409300000001</v>
      </c>
      <c r="AY176" s="137">
        <f t="shared" si="58"/>
        <v>8.484195798</v>
      </c>
      <c r="AZ176" s="137">
        <f t="shared" si="59"/>
        <v>2.2619943927000001E-2</v>
      </c>
      <c r="BA176" s="137">
        <f t="shared" si="60"/>
        <v>36.454004396999999</v>
      </c>
      <c r="BB176" s="137">
        <f t="shared" si="61"/>
        <v>10.788767460000001</v>
      </c>
      <c r="BC176" s="137">
        <f t="shared" si="43"/>
        <v>7.379744274000001</v>
      </c>
      <c r="BD176" s="137">
        <f t="shared" si="44"/>
        <v>1.9422149463000003E-2</v>
      </c>
      <c r="BE176" s="137">
        <f t="shared" si="45"/>
        <v>11.061565092</v>
      </c>
      <c r="BF176" s="137">
        <f t="shared" si="46"/>
        <v>-1.0335525561000002E-2</v>
      </c>
      <c r="BG176" s="137">
        <f t="shared" si="47"/>
        <v>2.3151804588000004E-5</v>
      </c>
      <c r="BH176" s="137">
        <f t="shared" si="48"/>
        <v>0.19467142128000001</v>
      </c>
      <c r="BI176" s="137">
        <f t="shared" si="49"/>
        <v>0.41967737091000001</v>
      </c>
      <c r="BJ176" s="137">
        <f t="shared" si="50"/>
        <v>0.40039682994000003</v>
      </c>
      <c r="BK176" s="137">
        <f t="shared" si="51"/>
        <v>2.4232102155000001E-2</v>
      </c>
      <c r="BL176" s="137">
        <f t="shared" si="52"/>
        <v>4.1220858852000006</v>
      </c>
      <c r="BM176" s="137">
        <f t="shared" si="53"/>
        <v>0.44118860085</v>
      </c>
    </row>
    <row r="177" spans="1:65" x14ac:dyDescent="0.25">
      <c r="A177" s="149">
        <v>218</v>
      </c>
      <c r="B177" s="149">
        <v>6</v>
      </c>
      <c r="C177" s="61">
        <v>42.460591999999998</v>
      </c>
      <c r="D177" s="61">
        <v>-83.134647999999999</v>
      </c>
      <c r="E177" s="61" t="s">
        <v>265</v>
      </c>
      <c r="F177" s="149">
        <v>78</v>
      </c>
      <c r="G177" s="61" t="s">
        <v>615</v>
      </c>
      <c r="H177" s="61" t="s">
        <v>616</v>
      </c>
      <c r="I177" s="61">
        <v>42.216248999999998</v>
      </c>
      <c r="J177" s="61">
        <v>-83.355363999999994</v>
      </c>
      <c r="K177" s="61">
        <v>45.359604679999997</v>
      </c>
      <c r="L177" s="61">
        <v>42.874000000000002</v>
      </c>
      <c r="M177" s="61" t="s">
        <v>617</v>
      </c>
      <c r="N177" s="149">
        <v>5</v>
      </c>
      <c r="O177" s="149">
        <v>6</v>
      </c>
      <c r="P177" s="61" t="s">
        <v>565</v>
      </c>
      <c r="Q177" s="61" t="s">
        <v>564</v>
      </c>
      <c r="R177" s="61">
        <v>41.98028</v>
      </c>
      <c r="S177" s="61">
        <v>-87.908997900000003</v>
      </c>
      <c r="T177" s="61">
        <v>482.85399999999998</v>
      </c>
      <c r="U177" s="61" t="s">
        <v>617</v>
      </c>
      <c r="V177" s="61" t="s">
        <v>617</v>
      </c>
      <c r="W177" s="61"/>
      <c r="Y177" s="137">
        <f>Summary_LCIA!H$32</f>
        <v>0.33979999999999999</v>
      </c>
      <c r="Z177" s="137">
        <f>Summary_LCIA!Q$32</f>
        <v>4.9560504329999997</v>
      </c>
      <c r="AA177" s="137">
        <f>Summary_LCIA!R$32</f>
        <v>5.2655999999999996E-3</v>
      </c>
      <c r="AB177" s="137">
        <f>Summary_LCIA!S$32</f>
        <v>0.33538000000000001</v>
      </c>
      <c r="AC177" s="137">
        <f>Summary_LCIA!T$32</f>
        <v>0.1099</v>
      </c>
      <c r="AD177" s="137">
        <f>Summary_LCIA!U$32</f>
        <v>1.7913999999999999E-2</v>
      </c>
      <c r="AE177" s="137">
        <f>Summary_LCIA!V$32</f>
        <v>4.7760999999999999E-5</v>
      </c>
      <c r="AF177" s="137">
        <f>Summary_LCIA!W$32</f>
        <v>7.6970999999999998E-2</v>
      </c>
      <c r="AG177" s="137">
        <f>Summary_LCIA!X$32</f>
        <v>2.2780000000000002E-2</v>
      </c>
      <c r="AH177" s="137">
        <f>Summary_LCIA!Y$32</f>
        <v>1.5582E-2</v>
      </c>
      <c r="AI177" s="137">
        <f>Summary_LCIA!Z$32</f>
        <v>4.1009E-5</v>
      </c>
      <c r="AJ177" s="137">
        <f>Summary_LCIA!AA$32</f>
        <v>2.3355999999999998E-2</v>
      </c>
      <c r="AK177" s="137">
        <f>Summary_LCIA!AB$32</f>
        <v>-2.1823000000000001E-5</v>
      </c>
      <c r="AL177" s="137">
        <f>Summary_LCIA!AC$32</f>
        <v>4.8884000000000003E-8</v>
      </c>
      <c r="AM177" s="137">
        <f>Summary_LCIA!AD$32</f>
        <v>4.1103999999999999E-4</v>
      </c>
      <c r="AN177" s="137">
        <f>Summary_LCIA!AE$32</f>
        <v>8.8612999999999995E-4</v>
      </c>
      <c r="AO177" s="137">
        <f>Summary_LCIA!AF$32</f>
        <v>8.4542000000000005E-4</v>
      </c>
      <c r="AP177" s="137">
        <f>Summary_LCIA!AG$32</f>
        <v>5.1165000000000002E-5</v>
      </c>
      <c r="AQ177" s="137">
        <f>Summary_LCIA!AH$32</f>
        <v>8.7036000000000006E-3</v>
      </c>
      <c r="AR177" s="137">
        <f>Summary_LCIA!AI$32</f>
        <v>9.3154999999999996E-4</v>
      </c>
      <c r="AT177" s="137">
        <f t="shared" si="42"/>
        <v>164.07378919999999</v>
      </c>
      <c r="AU177" s="137">
        <f t="shared" si="54"/>
        <v>2393.0487757757819</v>
      </c>
      <c r="AV177" s="137">
        <f t="shared" si="55"/>
        <v>2.5425160223999996</v>
      </c>
      <c r="AW177" s="137">
        <f t="shared" si="56"/>
        <v>161.93957452000001</v>
      </c>
      <c r="AX177" s="137">
        <f t="shared" si="57"/>
        <v>53.065654599999995</v>
      </c>
      <c r="AY177" s="137">
        <f t="shared" si="58"/>
        <v>8.649846556</v>
      </c>
      <c r="AZ177" s="137">
        <f t="shared" si="59"/>
        <v>2.3061589893999999E-2</v>
      </c>
      <c r="BA177" s="137">
        <f t="shared" si="60"/>
        <v>37.165755233999995</v>
      </c>
      <c r="BB177" s="137">
        <f t="shared" si="61"/>
        <v>10.999414120000001</v>
      </c>
      <c r="BC177" s="137">
        <f t="shared" si="43"/>
        <v>7.523831028</v>
      </c>
      <c r="BD177" s="137">
        <f t="shared" si="44"/>
        <v>1.9801359686000001E-2</v>
      </c>
      <c r="BE177" s="137">
        <f t="shared" si="45"/>
        <v>11.277538023999998</v>
      </c>
      <c r="BF177" s="137">
        <f t="shared" si="46"/>
        <v>-1.0537322842000001E-2</v>
      </c>
      <c r="BG177" s="137">
        <f t="shared" si="47"/>
        <v>2.3603834936000001E-5</v>
      </c>
      <c r="BH177" s="137">
        <f t="shared" si="48"/>
        <v>0.19847230816</v>
      </c>
      <c r="BI177" s="137">
        <f t="shared" si="49"/>
        <v>0.42787141501999998</v>
      </c>
      <c r="BJ177" s="137">
        <f t="shared" si="50"/>
        <v>0.40821442868000002</v>
      </c>
      <c r="BK177" s="137">
        <f t="shared" si="51"/>
        <v>2.470522491E-2</v>
      </c>
      <c r="BL177" s="137">
        <f t="shared" si="52"/>
        <v>4.2025680744000002</v>
      </c>
      <c r="BM177" s="137">
        <f t="shared" si="53"/>
        <v>0.44980264369999995</v>
      </c>
    </row>
    <row r="178" spans="1:65" x14ac:dyDescent="0.25">
      <c r="A178" s="149">
        <v>268</v>
      </c>
      <c r="B178" s="149">
        <v>6</v>
      </c>
      <c r="C178" s="61">
        <v>43.615583000000001</v>
      </c>
      <c r="D178" s="61">
        <v>-84.247212000000005</v>
      </c>
      <c r="E178" s="61" t="s">
        <v>265</v>
      </c>
      <c r="F178" s="149">
        <v>78</v>
      </c>
      <c r="G178" s="61" t="s">
        <v>615</v>
      </c>
      <c r="H178" s="61" t="s">
        <v>616</v>
      </c>
      <c r="I178" s="61">
        <v>42.216248999999998</v>
      </c>
      <c r="J178" s="61">
        <v>-83.355363999999994</v>
      </c>
      <c r="K178" s="61">
        <v>239.54536110000001</v>
      </c>
      <c r="L178" s="61">
        <v>218.8</v>
      </c>
      <c r="M178" s="61" t="s">
        <v>617</v>
      </c>
      <c r="N178" s="149">
        <v>5</v>
      </c>
      <c r="O178" s="149">
        <v>6</v>
      </c>
      <c r="P178" s="61" t="s">
        <v>565</v>
      </c>
      <c r="Q178" s="61" t="s">
        <v>564</v>
      </c>
      <c r="R178" s="61">
        <v>41.98028</v>
      </c>
      <c r="S178" s="61">
        <v>-87.908997900000003</v>
      </c>
      <c r="T178" s="61">
        <v>493.80099999999999</v>
      </c>
      <c r="U178" s="61" t="s">
        <v>617</v>
      </c>
      <c r="V178" s="61" t="s">
        <v>617</v>
      </c>
      <c r="W178" s="61"/>
      <c r="Y178" s="137">
        <f>Summary_LCIA!H$32</f>
        <v>0.33979999999999999</v>
      </c>
      <c r="Z178" s="137">
        <f>Summary_LCIA!Q$32</f>
        <v>4.9560504329999997</v>
      </c>
      <c r="AA178" s="137">
        <f>Summary_LCIA!R$32</f>
        <v>5.2655999999999996E-3</v>
      </c>
      <c r="AB178" s="137">
        <f>Summary_LCIA!S$32</f>
        <v>0.33538000000000001</v>
      </c>
      <c r="AC178" s="137">
        <f>Summary_LCIA!T$32</f>
        <v>0.1099</v>
      </c>
      <c r="AD178" s="137">
        <f>Summary_LCIA!U$32</f>
        <v>1.7913999999999999E-2</v>
      </c>
      <c r="AE178" s="137">
        <f>Summary_LCIA!V$32</f>
        <v>4.7760999999999999E-5</v>
      </c>
      <c r="AF178" s="137">
        <f>Summary_LCIA!W$32</f>
        <v>7.6970999999999998E-2</v>
      </c>
      <c r="AG178" s="137">
        <f>Summary_LCIA!X$32</f>
        <v>2.2780000000000002E-2</v>
      </c>
      <c r="AH178" s="137">
        <f>Summary_LCIA!Y$32</f>
        <v>1.5582E-2</v>
      </c>
      <c r="AI178" s="137">
        <f>Summary_LCIA!Z$32</f>
        <v>4.1009E-5</v>
      </c>
      <c r="AJ178" s="137">
        <f>Summary_LCIA!AA$32</f>
        <v>2.3355999999999998E-2</v>
      </c>
      <c r="AK178" s="137">
        <f>Summary_LCIA!AB$32</f>
        <v>-2.1823000000000001E-5</v>
      </c>
      <c r="AL178" s="137">
        <f>Summary_LCIA!AC$32</f>
        <v>4.8884000000000003E-8</v>
      </c>
      <c r="AM178" s="137">
        <f>Summary_LCIA!AD$32</f>
        <v>4.1103999999999999E-4</v>
      </c>
      <c r="AN178" s="137">
        <f>Summary_LCIA!AE$32</f>
        <v>8.8612999999999995E-4</v>
      </c>
      <c r="AO178" s="137">
        <f>Summary_LCIA!AF$32</f>
        <v>8.4542000000000005E-4</v>
      </c>
      <c r="AP178" s="137">
        <f>Summary_LCIA!AG$32</f>
        <v>5.1165000000000002E-5</v>
      </c>
      <c r="AQ178" s="137">
        <f>Summary_LCIA!AH$32</f>
        <v>8.7036000000000006E-3</v>
      </c>
      <c r="AR178" s="137">
        <f>Summary_LCIA!AI$32</f>
        <v>9.3154999999999996E-4</v>
      </c>
      <c r="AT178" s="137">
        <f t="shared" si="42"/>
        <v>167.7935798</v>
      </c>
      <c r="AU178" s="137">
        <f t="shared" si="54"/>
        <v>2447.302659865833</v>
      </c>
      <c r="AV178" s="137">
        <f t="shared" si="55"/>
        <v>2.6001585455999998</v>
      </c>
      <c r="AW178" s="137">
        <f t="shared" si="56"/>
        <v>165.61097938</v>
      </c>
      <c r="AX178" s="137">
        <f t="shared" si="57"/>
        <v>54.268729899999997</v>
      </c>
      <c r="AY178" s="137">
        <f t="shared" si="58"/>
        <v>8.845951114</v>
      </c>
      <c r="AZ178" s="137">
        <f t="shared" si="59"/>
        <v>2.3584429561E-2</v>
      </c>
      <c r="BA178" s="137">
        <f t="shared" si="60"/>
        <v>38.008356770999995</v>
      </c>
      <c r="BB178" s="137">
        <f t="shared" si="61"/>
        <v>11.24878678</v>
      </c>
      <c r="BC178" s="137">
        <f t="shared" si="43"/>
        <v>7.694407182</v>
      </c>
      <c r="BD178" s="137">
        <f t="shared" si="44"/>
        <v>2.0250285209000001E-2</v>
      </c>
      <c r="BE178" s="137">
        <f t="shared" si="45"/>
        <v>11.533216155999998</v>
      </c>
      <c r="BF178" s="137">
        <f t="shared" si="46"/>
        <v>-1.0776219223E-2</v>
      </c>
      <c r="BG178" s="137">
        <f t="shared" si="47"/>
        <v>2.4138968083999999E-5</v>
      </c>
      <c r="BH178" s="137">
        <f t="shared" si="48"/>
        <v>0.20297196303999998</v>
      </c>
      <c r="BI178" s="137">
        <f t="shared" si="49"/>
        <v>0.43757188012999998</v>
      </c>
      <c r="BJ178" s="137">
        <f t="shared" si="50"/>
        <v>0.41746924142000003</v>
      </c>
      <c r="BK178" s="137">
        <f t="shared" si="51"/>
        <v>2.5265328165E-2</v>
      </c>
      <c r="BL178" s="137">
        <f t="shared" si="52"/>
        <v>4.2978463836000005</v>
      </c>
      <c r="BM178" s="137">
        <f t="shared" si="53"/>
        <v>0.46000032154999998</v>
      </c>
    </row>
    <row r="179" spans="1:65" x14ac:dyDescent="0.25">
      <c r="A179" s="149">
        <v>269</v>
      </c>
      <c r="B179" s="149">
        <v>6</v>
      </c>
      <c r="C179" s="61">
        <v>43.615583000000001</v>
      </c>
      <c r="D179" s="61">
        <v>-84.247212000000005</v>
      </c>
      <c r="E179" s="61" t="s">
        <v>265</v>
      </c>
      <c r="F179" s="149">
        <v>78</v>
      </c>
      <c r="G179" s="61" t="s">
        <v>615</v>
      </c>
      <c r="H179" s="61" t="s">
        <v>616</v>
      </c>
      <c r="I179" s="61">
        <v>42.216248999999998</v>
      </c>
      <c r="J179" s="61">
        <v>-83.355363999999994</v>
      </c>
      <c r="K179" s="61">
        <v>239.54536110000001</v>
      </c>
      <c r="L179" s="61">
        <v>218.8</v>
      </c>
      <c r="M179" s="61" t="s">
        <v>617</v>
      </c>
      <c r="N179" s="149">
        <v>5</v>
      </c>
      <c r="O179" s="149">
        <v>6</v>
      </c>
      <c r="P179" s="61" t="s">
        <v>565</v>
      </c>
      <c r="Q179" s="61" t="s">
        <v>564</v>
      </c>
      <c r="R179" s="61">
        <v>41.98028</v>
      </c>
      <c r="S179" s="61">
        <v>-87.908997900000003</v>
      </c>
      <c r="T179" s="61">
        <v>493.80099999999999</v>
      </c>
      <c r="U179" s="61" t="s">
        <v>617</v>
      </c>
      <c r="V179" s="61" t="s">
        <v>617</v>
      </c>
      <c r="W179" s="61"/>
      <c r="Y179" s="137">
        <f>Summary_LCIA!H$32</f>
        <v>0.33979999999999999</v>
      </c>
      <c r="Z179" s="137">
        <f>Summary_LCIA!Q$32</f>
        <v>4.9560504329999997</v>
      </c>
      <c r="AA179" s="137">
        <f>Summary_LCIA!R$32</f>
        <v>5.2655999999999996E-3</v>
      </c>
      <c r="AB179" s="137">
        <f>Summary_LCIA!S$32</f>
        <v>0.33538000000000001</v>
      </c>
      <c r="AC179" s="137">
        <f>Summary_LCIA!T$32</f>
        <v>0.1099</v>
      </c>
      <c r="AD179" s="137">
        <f>Summary_LCIA!U$32</f>
        <v>1.7913999999999999E-2</v>
      </c>
      <c r="AE179" s="137">
        <f>Summary_LCIA!V$32</f>
        <v>4.7760999999999999E-5</v>
      </c>
      <c r="AF179" s="137">
        <f>Summary_LCIA!W$32</f>
        <v>7.6970999999999998E-2</v>
      </c>
      <c r="AG179" s="137">
        <f>Summary_LCIA!X$32</f>
        <v>2.2780000000000002E-2</v>
      </c>
      <c r="AH179" s="137">
        <f>Summary_LCIA!Y$32</f>
        <v>1.5582E-2</v>
      </c>
      <c r="AI179" s="137">
        <f>Summary_LCIA!Z$32</f>
        <v>4.1009E-5</v>
      </c>
      <c r="AJ179" s="137">
        <f>Summary_LCIA!AA$32</f>
        <v>2.3355999999999998E-2</v>
      </c>
      <c r="AK179" s="137">
        <f>Summary_LCIA!AB$32</f>
        <v>-2.1823000000000001E-5</v>
      </c>
      <c r="AL179" s="137">
        <f>Summary_LCIA!AC$32</f>
        <v>4.8884000000000003E-8</v>
      </c>
      <c r="AM179" s="137">
        <f>Summary_LCIA!AD$32</f>
        <v>4.1103999999999999E-4</v>
      </c>
      <c r="AN179" s="137">
        <f>Summary_LCIA!AE$32</f>
        <v>8.8612999999999995E-4</v>
      </c>
      <c r="AO179" s="137">
        <f>Summary_LCIA!AF$32</f>
        <v>8.4542000000000005E-4</v>
      </c>
      <c r="AP179" s="137">
        <f>Summary_LCIA!AG$32</f>
        <v>5.1165000000000002E-5</v>
      </c>
      <c r="AQ179" s="137">
        <f>Summary_LCIA!AH$32</f>
        <v>8.7036000000000006E-3</v>
      </c>
      <c r="AR179" s="137">
        <f>Summary_LCIA!AI$32</f>
        <v>9.3154999999999996E-4</v>
      </c>
      <c r="AT179" s="137">
        <f t="shared" si="42"/>
        <v>167.7935798</v>
      </c>
      <c r="AU179" s="137">
        <f t="shared" si="54"/>
        <v>2447.302659865833</v>
      </c>
      <c r="AV179" s="137">
        <f t="shared" si="55"/>
        <v>2.6001585455999998</v>
      </c>
      <c r="AW179" s="137">
        <f t="shared" si="56"/>
        <v>165.61097938</v>
      </c>
      <c r="AX179" s="137">
        <f t="shared" si="57"/>
        <v>54.268729899999997</v>
      </c>
      <c r="AY179" s="137">
        <f t="shared" si="58"/>
        <v>8.845951114</v>
      </c>
      <c r="AZ179" s="137">
        <f t="shared" si="59"/>
        <v>2.3584429561E-2</v>
      </c>
      <c r="BA179" s="137">
        <f t="shared" si="60"/>
        <v>38.008356770999995</v>
      </c>
      <c r="BB179" s="137">
        <f t="shared" si="61"/>
        <v>11.24878678</v>
      </c>
      <c r="BC179" s="137">
        <f t="shared" si="43"/>
        <v>7.694407182</v>
      </c>
      <c r="BD179" s="137">
        <f t="shared" si="44"/>
        <v>2.0250285209000001E-2</v>
      </c>
      <c r="BE179" s="137">
        <f t="shared" si="45"/>
        <v>11.533216155999998</v>
      </c>
      <c r="BF179" s="137">
        <f t="shared" si="46"/>
        <v>-1.0776219223E-2</v>
      </c>
      <c r="BG179" s="137">
        <f t="shared" si="47"/>
        <v>2.4138968083999999E-5</v>
      </c>
      <c r="BH179" s="137">
        <f t="shared" si="48"/>
        <v>0.20297196303999998</v>
      </c>
      <c r="BI179" s="137">
        <f t="shared" si="49"/>
        <v>0.43757188012999998</v>
      </c>
      <c r="BJ179" s="137">
        <f t="shared" si="50"/>
        <v>0.41746924142000003</v>
      </c>
      <c r="BK179" s="137">
        <f t="shared" si="51"/>
        <v>2.5265328165E-2</v>
      </c>
      <c r="BL179" s="137">
        <f t="shared" si="52"/>
        <v>4.2978463836000005</v>
      </c>
      <c r="BM179" s="137">
        <f t="shared" si="53"/>
        <v>0.46000032154999998</v>
      </c>
    </row>
    <row r="180" spans="1:65" x14ac:dyDescent="0.25">
      <c r="A180" s="149">
        <v>270</v>
      </c>
      <c r="B180" s="149">
        <v>6</v>
      </c>
      <c r="C180" s="61">
        <v>43.615583000000001</v>
      </c>
      <c r="D180" s="61">
        <v>-84.247212000000005</v>
      </c>
      <c r="E180" s="61" t="s">
        <v>265</v>
      </c>
      <c r="F180" s="149">
        <v>78</v>
      </c>
      <c r="G180" s="61" t="s">
        <v>615</v>
      </c>
      <c r="H180" s="61" t="s">
        <v>616</v>
      </c>
      <c r="I180" s="61">
        <v>42.216248999999998</v>
      </c>
      <c r="J180" s="61">
        <v>-83.355363999999994</v>
      </c>
      <c r="K180" s="61">
        <v>239.54536110000001</v>
      </c>
      <c r="L180" s="61">
        <v>218.8</v>
      </c>
      <c r="M180" s="61" t="s">
        <v>617</v>
      </c>
      <c r="N180" s="149">
        <v>5</v>
      </c>
      <c r="O180" s="149">
        <v>6</v>
      </c>
      <c r="P180" s="61" t="s">
        <v>565</v>
      </c>
      <c r="Q180" s="61" t="s">
        <v>564</v>
      </c>
      <c r="R180" s="61">
        <v>41.98028</v>
      </c>
      <c r="S180" s="61">
        <v>-87.908997900000003</v>
      </c>
      <c r="T180" s="61">
        <v>493.80099999999999</v>
      </c>
      <c r="U180" s="61" t="s">
        <v>617</v>
      </c>
      <c r="V180" s="61" t="s">
        <v>617</v>
      </c>
      <c r="W180" s="61"/>
      <c r="Y180" s="137">
        <f>Summary_LCIA!H$32</f>
        <v>0.33979999999999999</v>
      </c>
      <c r="Z180" s="137">
        <f>Summary_LCIA!Q$32</f>
        <v>4.9560504329999997</v>
      </c>
      <c r="AA180" s="137">
        <f>Summary_LCIA!R$32</f>
        <v>5.2655999999999996E-3</v>
      </c>
      <c r="AB180" s="137">
        <f>Summary_LCIA!S$32</f>
        <v>0.33538000000000001</v>
      </c>
      <c r="AC180" s="137">
        <f>Summary_LCIA!T$32</f>
        <v>0.1099</v>
      </c>
      <c r="AD180" s="137">
        <f>Summary_LCIA!U$32</f>
        <v>1.7913999999999999E-2</v>
      </c>
      <c r="AE180" s="137">
        <f>Summary_LCIA!V$32</f>
        <v>4.7760999999999999E-5</v>
      </c>
      <c r="AF180" s="137">
        <f>Summary_LCIA!W$32</f>
        <v>7.6970999999999998E-2</v>
      </c>
      <c r="AG180" s="137">
        <f>Summary_LCIA!X$32</f>
        <v>2.2780000000000002E-2</v>
      </c>
      <c r="AH180" s="137">
        <f>Summary_LCIA!Y$32</f>
        <v>1.5582E-2</v>
      </c>
      <c r="AI180" s="137">
        <f>Summary_LCIA!Z$32</f>
        <v>4.1009E-5</v>
      </c>
      <c r="AJ180" s="137">
        <f>Summary_LCIA!AA$32</f>
        <v>2.3355999999999998E-2</v>
      </c>
      <c r="AK180" s="137">
        <f>Summary_LCIA!AB$32</f>
        <v>-2.1823000000000001E-5</v>
      </c>
      <c r="AL180" s="137">
        <f>Summary_LCIA!AC$32</f>
        <v>4.8884000000000003E-8</v>
      </c>
      <c r="AM180" s="137">
        <f>Summary_LCIA!AD$32</f>
        <v>4.1103999999999999E-4</v>
      </c>
      <c r="AN180" s="137">
        <f>Summary_LCIA!AE$32</f>
        <v>8.8612999999999995E-4</v>
      </c>
      <c r="AO180" s="137">
        <f>Summary_LCIA!AF$32</f>
        <v>8.4542000000000005E-4</v>
      </c>
      <c r="AP180" s="137">
        <f>Summary_LCIA!AG$32</f>
        <v>5.1165000000000002E-5</v>
      </c>
      <c r="AQ180" s="137">
        <f>Summary_LCIA!AH$32</f>
        <v>8.7036000000000006E-3</v>
      </c>
      <c r="AR180" s="137">
        <f>Summary_LCIA!AI$32</f>
        <v>9.3154999999999996E-4</v>
      </c>
      <c r="AT180" s="137">
        <f t="shared" si="42"/>
        <v>167.7935798</v>
      </c>
      <c r="AU180" s="137">
        <f t="shared" si="54"/>
        <v>2447.302659865833</v>
      </c>
      <c r="AV180" s="137">
        <f t="shared" si="55"/>
        <v>2.6001585455999998</v>
      </c>
      <c r="AW180" s="137">
        <f t="shared" si="56"/>
        <v>165.61097938</v>
      </c>
      <c r="AX180" s="137">
        <f t="shared" si="57"/>
        <v>54.268729899999997</v>
      </c>
      <c r="AY180" s="137">
        <f t="shared" si="58"/>
        <v>8.845951114</v>
      </c>
      <c r="AZ180" s="137">
        <f t="shared" si="59"/>
        <v>2.3584429561E-2</v>
      </c>
      <c r="BA180" s="137">
        <f t="shared" si="60"/>
        <v>38.008356770999995</v>
      </c>
      <c r="BB180" s="137">
        <f t="shared" si="61"/>
        <v>11.24878678</v>
      </c>
      <c r="BC180" s="137">
        <f t="shared" si="43"/>
        <v>7.694407182</v>
      </c>
      <c r="BD180" s="137">
        <f t="shared" si="44"/>
        <v>2.0250285209000001E-2</v>
      </c>
      <c r="BE180" s="137">
        <f t="shared" si="45"/>
        <v>11.533216155999998</v>
      </c>
      <c r="BF180" s="137">
        <f t="shared" si="46"/>
        <v>-1.0776219223E-2</v>
      </c>
      <c r="BG180" s="137">
        <f t="shared" si="47"/>
        <v>2.4138968083999999E-5</v>
      </c>
      <c r="BH180" s="137">
        <f t="shared" si="48"/>
        <v>0.20297196303999998</v>
      </c>
      <c r="BI180" s="137">
        <f t="shared" si="49"/>
        <v>0.43757188012999998</v>
      </c>
      <c r="BJ180" s="137">
        <f t="shared" si="50"/>
        <v>0.41746924142000003</v>
      </c>
      <c r="BK180" s="137">
        <f t="shared" si="51"/>
        <v>2.5265328165E-2</v>
      </c>
      <c r="BL180" s="137">
        <f t="shared" si="52"/>
        <v>4.2978463836000005</v>
      </c>
      <c r="BM180" s="137">
        <f t="shared" si="53"/>
        <v>0.46000032154999998</v>
      </c>
    </row>
    <row r="181" spans="1:65" x14ac:dyDescent="0.25">
      <c r="A181" s="149">
        <v>271</v>
      </c>
      <c r="B181" s="149">
        <v>6</v>
      </c>
      <c r="C181" s="61">
        <v>43.615583000000001</v>
      </c>
      <c r="D181" s="61">
        <v>-84.247212000000005</v>
      </c>
      <c r="E181" s="61" t="s">
        <v>265</v>
      </c>
      <c r="F181" s="149">
        <v>78</v>
      </c>
      <c r="G181" s="61" t="s">
        <v>615</v>
      </c>
      <c r="H181" s="61" t="s">
        <v>616</v>
      </c>
      <c r="I181" s="61">
        <v>42.216248999999998</v>
      </c>
      <c r="J181" s="61">
        <v>-83.355363999999994</v>
      </c>
      <c r="K181" s="61">
        <v>239.54536110000001</v>
      </c>
      <c r="L181" s="61">
        <v>218.8</v>
      </c>
      <c r="M181" s="61" t="s">
        <v>617</v>
      </c>
      <c r="N181" s="149">
        <v>5</v>
      </c>
      <c r="O181" s="149">
        <v>6</v>
      </c>
      <c r="P181" s="61" t="s">
        <v>565</v>
      </c>
      <c r="Q181" s="61" t="s">
        <v>564</v>
      </c>
      <c r="R181" s="61">
        <v>41.98028</v>
      </c>
      <c r="S181" s="61">
        <v>-87.908997900000003</v>
      </c>
      <c r="T181" s="61">
        <v>493.80099999999999</v>
      </c>
      <c r="U181" s="61" t="s">
        <v>617</v>
      </c>
      <c r="V181" s="61" t="s">
        <v>617</v>
      </c>
      <c r="W181" s="61"/>
      <c r="Y181" s="137">
        <f>Summary_LCIA!H$32</f>
        <v>0.33979999999999999</v>
      </c>
      <c r="Z181" s="137">
        <f>Summary_LCIA!Q$32</f>
        <v>4.9560504329999997</v>
      </c>
      <c r="AA181" s="137">
        <f>Summary_LCIA!R$32</f>
        <v>5.2655999999999996E-3</v>
      </c>
      <c r="AB181" s="137">
        <f>Summary_LCIA!S$32</f>
        <v>0.33538000000000001</v>
      </c>
      <c r="AC181" s="137">
        <f>Summary_LCIA!T$32</f>
        <v>0.1099</v>
      </c>
      <c r="AD181" s="137">
        <f>Summary_LCIA!U$32</f>
        <v>1.7913999999999999E-2</v>
      </c>
      <c r="AE181" s="137">
        <f>Summary_LCIA!V$32</f>
        <v>4.7760999999999999E-5</v>
      </c>
      <c r="AF181" s="137">
        <f>Summary_LCIA!W$32</f>
        <v>7.6970999999999998E-2</v>
      </c>
      <c r="AG181" s="137">
        <f>Summary_LCIA!X$32</f>
        <v>2.2780000000000002E-2</v>
      </c>
      <c r="AH181" s="137">
        <f>Summary_LCIA!Y$32</f>
        <v>1.5582E-2</v>
      </c>
      <c r="AI181" s="137">
        <f>Summary_LCIA!Z$32</f>
        <v>4.1009E-5</v>
      </c>
      <c r="AJ181" s="137">
        <f>Summary_LCIA!AA$32</f>
        <v>2.3355999999999998E-2</v>
      </c>
      <c r="AK181" s="137">
        <f>Summary_LCIA!AB$32</f>
        <v>-2.1823000000000001E-5</v>
      </c>
      <c r="AL181" s="137">
        <f>Summary_LCIA!AC$32</f>
        <v>4.8884000000000003E-8</v>
      </c>
      <c r="AM181" s="137">
        <f>Summary_LCIA!AD$32</f>
        <v>4.1103999999999999E-4</v>
      </c>
      <c r="AN181" s="137">
        <f>Summary_LCIA!AE$32</f>
        <v>8.8612999999999995E-4</v>
      </c>
      <c r="AO181" s="137">
        <f>Summary_LCIA!AF$32</f>
        <v>8.4542000000000005E-4</v>
      </c>
      <c r="AP181" s="137">
        <f>Summary_LCIA!AG$32</f>
        <v>5.1165000000000002E-5</v>
      </c>
      <c r="AQ181" s="137">
        <f>Summary_LCIA!AH$32</f>
        <v>8.7036000000000006E-3</v>
      </c>
      <c r="AR181" s="137">
        <f>Summary_LCIA!AI$32</f>
        <v>9.3154999999999996E-4</v>
      </c>
      <c r="AT181" s="137">
        <f t="shared" si="42"/>
        <v>167.7935798</v>
      </c>
      <c r="AU181" s="137">
        <f t="shared" si="54"/>
        <v>2447.302659865833</v>
      </c>
      <c r="AV181" s="137">
        <f t="shared" si="55"/>
        <v>2.6001585455999998</v>
      </c>
      <c r="AW181" s="137">
        <f t="shared" si="56"/>
        <v>165.61097938</v>
      </c>
      <c r="AX181" s="137">
        <f t="shared" si="57"/>
        <v>54.268729899999997</v>
      </c>
      <c r="AY181" s="137">
        <f t="shared" si="58"/>
        <v>8.845951114</v>
      </c>
      <c r="AZ181" s="137">
        <f t="shared" si="59"/>
        <v>2.3584429561E-2</v>
      </c>
      <c r="BA181" s="137">
        <f t="shared" si="60"/>
        <v>38.008356770999995</v>
      </c>
      <c r="BB181" s="137">
        <f t="shared" si="61"/>
        <v>11.24878678</v>
      </c>
      <c r="BC181" s="137">
        <f t="shared" si="43"/>
        <v>7.694407182</v>
      </c>
      <c r="BD181" s="137">
        <f t="shared" si="44"/>
        <v>2.0250285209000001E-2</v>
      </c>
      <c r="BE181" s="137">
        <f t="shared" si="45"/>
        <v>11.533216155999998</v>
      </c>
      <c r="BF181" s="137">
        <f t="shared" si="46"/>
        <v>-1.0776219223E-2</v>
      </c>
      <c r="BG181" s="137">
        <f t="shared" si="47"/>
        <v>2.4138968083999999E-5</v>
      </c>
      <c r="BH181" s="137">
        <f t="shared" si="48"/>
        <v>0.20297196303999998</v>
      </c>
      <c r="BI181" s="137">
        <f t="shared" si="49"/>
        <v>0.43757188012999998</v>
      </c>
      <c r="BJ181" s="137">
        <f t="shared" si="50"/>
        <v>0.41746924142000003</v>
      </c>
      <c r="BK181" s="137">
        <f t="shared" si="51"/>
        <v>2.5265328165E-2</v>
      </c>
      <c r="BL181" s="137">
        <f t="shared" si="52"/>
        <v>4.2978463836000005</v>
      </c>
      <c r="BM181" s="137">
        <f t="shared" si="53"/>
        <v>0.46000032154999998</v>
      </c>
    </row>
    <row r="182" spans="1:65" x14ac:dyDescent="0.25">
      <c r="A182" s="149">
        <v>54</v>
      </c>
      <c r="B182" s="149">
        <v>6</v>
      </c>
      <c r="C182" s="61">
        <v>42.698954000000001</v>
      </c>
      <c r="D182" s="61">
        <v>-83.249512999999993</v>
      </c>
      <c r="E182" s="61" t="s">
        <v>265</v>
      </c>
      <c r="F182" s="149">
        <v>78</v>
      </c>
      <c r="G182" s="61" t="s">
        <v>615</v>
      </c>
      <c r="H182" s="61" t="s">
        <v>616</v>
      </c>
      <c r="I182" s="61">
        <v>42.216248999999998</v>
      </c>
      <c r="J182" s="61">
        <v>-83.355363999999994</v>
      </c>
      <c r="K182" s="61">
        <v>80.862537599999996</v>
      </c>
      <c r="L182" s="61">
        <v>80.61</v>
      </c>
      <c r="M182" s="61" t="s">
        <v>617</v>
      </c>
      <c r="N182" s="149">
        <v>5</v>
      </c>
      <c r="O182" s="149">
        <v>6</v>
      </c>
      <c r="P182" s="61" t="s">
        <v>565</v>
      </c>
      <c r="Q182" s="61" t="s">
        <v>564</v>
      </c>
      <c r="R182" s="61">
        <v>41.98028</v>
      </c>
      <c r="S182" s="61">
        <v>-87.908997900000003</v>
      </c>
      <c r="T182" s="61">
        <v>497.61799999999999</v>
      </c>
      <c r="U182" s="61" t="s">
        <v>617</v>
      </c>
      <c r="V182" s="61" t="s">
        <v>617</v>
      </c>
      <c r="W182" s="61"/>
      <c r="Y182" s="137">
        <f>Summary_LCIA!H$32</f>
        <v>0.33979999999999999</v>
      </c>
      <c r="Z182" s="137">
        <f>Summary_LCIA!Q$32</f>
        <v>4.9560504329999997</v>
      </c>
      <c r="AA182" s="137">
        <f>Summary_LCIA!R$32</f>
        <v>5.2655999999999996E-3</v>
      </c>
      <c r="AB182" s="137">
        <f>Summary_LCIA!S$32</f>
        <v>0.33538000000000001</v>
      </c>
      <c r="AC182" s="137">
        <f>Summary_LCIA!T$32</f>
        <v>0.1099</v>
      </c>
      <c r="AD182" s="137">
        <f>Summary_LCIA!U$32</f>
        <v>1.7913999999999999E-2</v>
      </c>
      <c r="AE182" s="137">
        <f>Summary_LCIA!V$32</f>
        <v>4.7760999999999999E-5</v>
      </c>
      <c r="AF182" s="137">
        <f>Summary_LCIA!W$32</f>
        <v>7.6970999999999998E-2</v>
      </c>
      <c r="AG182" s="137">
        <f>Summary_LCIA!X$32</f>
        <v>2.2780000000000002E-2</v>
      </c>
      <c r="AH182" s="137">
        <f>Summary_LCIA!Y$32</f>
        <v>1.5582E-2</v>
      </c>
      <c r="AI182" s="137">
        <f>Summary_LCIA!Z$32</f>
        <v>4.1009E-5</v>
      </c>
      <c r="AJ182" s="137">
        <f>Summary_LCIA!AA$32</f>
        <v>2.3355999999999998E-2</v>
      </c>
      <c r="AK182" s="137">
        <f>Summary_LCIA!AB$32</f>
        <v>-2.1823000000000001E-5</v>
      </c>
      <c r="AL182" s="137">
        <f>Summary_LCIA!AC$32</f>
        <v>4.8884000000000003E-8</v>
      </c>
      <c r="AM182" s="137">
        <f>Summary_LCIA!AD$32</f>
        <v>4.1103999999999999E-4</v>
      </c>
      <c r="AN182" s="137">
        <f>Summary_LCIA!AE$32</f>
        <v>8.8612999999999995E-4</v>
      </c>
      <c r="AO182" s="137">
        <f>Summary_LCIA!AF$32</f>
        <v>8.4542000000000005E-4</v>
      </c>
      <c r="AP182" s="137">
        <f>Summary_LCIA!AG$32</f>
        <v>5.1165000000000002E-5</v>
      </c>
      <c r="AQ182" s="137">
        <f>Summary_LCIA!AH$32</f>
        <v>8.7036000000000006E-3</v>
      </c>
      <c r="AR182" s="137">
        <f>Summary_LCIA!AI$32</f>
        <v>9.3154999999999996E-4</v>
      </c>
      <c r="AT182" s="137">
        <f t="shared" si="42"/>
        <v>169.09059639999998</v>
      </c>
      <c r="AU182" s="137">
        <f t="shared" si="54"/>
        <v>2466.2199043685937</v>
      </c>
      <c r="AV182" s="137">
        <f t="shared" si="55"/>
        <v>2.6202573407999998</v>
      </c>
      <c r="AW182" s="137">
        <f t="shared" si="56"/>
        <v>166.89112484</v>
      </c>
      <c r="AX182" s="137">
        <f t="shared" si="57"/>
        <v>54.688218200000001</v>
      </c>
      <c r="AY182" s="137">
        <f t="shared" si="58"/>
        <v>8.9143288519999988</v>
      </c>
      <c r="AZ182" s="137">
        <f t="shared" si="59"/>
        <v>2.3766733297999998E-2</v>
      </c>
      <c r="BA182" s="137">
        <f t="shared" si="60"/>
        <v>38.302155077999998</v>
      </c>
      <c r="BB182" s="137">
        <f t="shared" si="61"/>
        <v>11.335738040000001</v>
      </c>
      <c r="BC182" s="137">
        <f t="shared" si="43"/>
        <v>7.7538836760000001</v>
      </c>
      <c r="BD182" s="137">
        <f t="shared" si="44"/>
        <v>2.0406816562E-2</v>
      </c>
      <c r="BE182" s="137">
        <f t="shared" si="45"/>
        <v>11.622366007999998</v>
      </c>
      <c r="BF182" s="137">
        <f t="shared" si="46"/>
        <v>-1.0859517614000001E-2</v>
      </c>
      <c r="BG182" s="137">
        <f t="shared" si="47"/>
        <v>2.4325558312E-5</v>
      </c>
      <c r="BH182" s="137">
        <f t="shared" si="48"/>
        <v>0.20454090272</v>
      </c>
      <c r="BI182" s="137">
        <f t="shared" si="49"/>
        <v>0.44095423833999997</v>
      </c>
      <c r="BJ182" s="137">
        <f t="shared" si="50"/>
        <v>0.42069620956000003</v>
      </c>
      <c r="BK182" s="137">
        <f t="shared" si="51"/>
        <v>2.5460624970000002E-2</v>
      </c>
      <c r="BL182" s="137">
        <f t="shared" si="52"/>
        <v>4.3310680248000004</v>
      </c>
      <c r="BM182" s="137">
        <f t="shared" si="53"/>
        <v>0.46355604789999999</v>
      </c>
    </row>
    <row r="183" spans="1:65" x14ac:dyDescent="0.25">
      <c r="A183" s="149">
        <v>324</v>
      </c>
      <c r="B183" s="149">
        <v>43</v>
      </c>
      <c r="C183" s="61">
        <v>43.142994000000002</v>
      </c>
      <c r="D183" s="61">
        <v>-77.544745000000006</v>
      </c>
      <c r="E183" s="61" t="s">
        <v>265</v>
      </c>
      <c r="F183" s="149">
        <v>120</v>
      </c>
      <c r="G183" s="61" t="s">
        <v>625</v>
      </c>
      <c r="H183" s="61" t="s">
        <v>626</v>
      </c>
      <c r="I183" s="61">
        <v>42.939706000000001</v>
      </c>
      <c r="J183" s="61">
        <v>-78.729506999999998</v>
      </c>
      <c r="K183" s="61">
        <v>105.8161415</v>
      </c>
      <c r="L183" s="61">
        <v>109.876</v>
      </c>
      <c r="M183" s="61" t="s">
        <v>617</v>
      </c>
      <c r="N183" s="149">
        <v>42</v>
      </c>
      <c r="O183" s="149">
        <v>43</v>
      </c>
      <c r="P183" s="61" t="s">
        <v>565</v>
      </c>
      <c r="Q183" s="61" t="s">
        <v>555</v>
      </c>
      <c r="R183" s="61">
        <v>40.6895314</v>
      </c>
      <c r="S183" s="61">
        <v>-74.174462399999996</v>
      </c>
      <c r="T183" s="61">
        <v>527.03300000000002</v>
      </c>
      <c r="U183" s="61" t="s">
        <v>617</v>
      </c>
      <c r="V183" s="61" t="s">
        <v>569</v>
      </c>
      <c r="W183" s="61" cm="1">
        <f t="array" ref="W183">getDistance(I183,J183,R183,S183)*SA!$B$12</f>
        <v>453.70669460993366</v>
      </c>
      <c r="Y183" s="137">
        <f>Transportation_LCIA!C$61*($W183^Transportation_LCIA!C$60)+Transportation_LCIA!C$62</f>
        <v>0.35179822030380453</v>
      </c>
      <c r="Z183" s="137">
        <f>Transportation_LCIA!D$61*($W183^Transportation_LCIA!D$60)+Transportation_LCIA!D$62</f>
        <v>3.8038685240383758</v>
      </c>
      <c r="AA183" s="137">
        <f>Transportation_LCIA!E$61*($W183^Transportation_LCIA!E$60)+Transportation_LCIA!E$62</f>
        <v>2.0553796700765819E-3</v>
      </c>
      <c r="AB183" s="137">
        <f>Transportation_LCIA!F$61*($W183^Transportation_LCIA!F$60)+Transportation_LCIA!F$62</f>
        <v>0.35179822030380453</v>
      </c>
      <c r="AC183" s="137">
        <f>Transportation_LCIA!G$61*($W183^Transportation_LCIA!G$60)+Transportation_LCIA!G$62</f>
        <v>8.8542301175389054E-2</v>
      </c>
      <c r="AD183" s="137">
        <f>Transportation_LCIA!H$61*($W183^Transportation_LCIA!H$60)+Transportation_LCIA!H$62</f>
        <v>4.7924680402862424E-4</v>
      </c>
      <c r="AE183" s="137">
        <f>Transportation_LCIA!I$61*($W183^Transportation_LCIA!I$60)+Transportation_LCIA!I$62</f>
        <v>1.1104359431323201E-5</v>
      </c>
      <c r="AF183" s="137">
        <f>Transportation_LCIA!J$61*($W183^Transportation_LCIA!J$60)+Transportation_LCIA!J$62</f>
        <v>1.6569820845191208E-2</v>
      </c>
      <c r="AG183" s="137">
        <f>Transportation_LCIA!K$61*($W183^Transportation_LCIA!K$60)+Transportation_LCIA!K$62</f>
        <v>1.9564708397539259E-2</v>
      </c>
      <c r="AH183" s="137">
        <f>Transportation_LCIA!L$61*($W183^Transportation_LCIA!L$60)+Transportation_LCIA!L$62</f>
        <v>4.2690866521771174E-4</v>
      </c>
      <c r="AI183" s="137">
        <f>Transportation_LCIA!M$61*($W183^Transportation_LCIA!M$60)+Transportation_LCIA!M$62</f>
        <v>3.5540325219174092E-4</v>
      </c>
      <c r="AJ183" s="137">
        <f>Transportation_LCIA!N$61*($W183^Transportation_LCIA!N$60)+Transportation_LCIA!N$62</f>
        <v>1.6696019563166051E-3</v>
      </c>
      <c r="AK183" s="137">
        <f>Transportation_LCIA!O$61*($W183^Transportation_LCIA!O$60)+Transportation_LCIA!O$62</f>
        <v>9.376926172545552E-5</v>
      </c>
      <c r="AL183" s="137">
        <f>Transportation_LCIA!P$61*($W183^Transportation_LCIA!P$60)+Transportation_LCIA!P$62</f>
        <v>4.5229183914951175E-8</v>
      </c>
      <c r="AM183" s="137">
        <f>Transportation_LCIA!Q$61*($W183^Transportation_LCIA!Q$60)+Transportation_LCIA!Q$62</f>
        <v>1.6827410039877645E-4</v>
      </c>
      <c r="AN183" s="137">
        <f>Transportation_LCIA!R$61*($W183^Transportation_LCIA!R$60)+Transportation_LCIA!R$62</f>
        <v>5.3343299418952066E-4</v>
      </c>
      <c r="AO183" s="137">
        <f>Transportation_LCIA!S$61*($W183^Transportation_LCIA!S$60)+Transportation_LCIA!S$62</f>
        <v>7.8252838449889344E-6</v>
      </c>
      <c r="AP183" s="137">
        <f>Transportation_LCIA!T$61*($W183^Transportation_LCIA!T$60)+Transportation_LCIA!T$62</f>
        <v>7.8252838449889344E-6</v>
      </c>
      <c r="AQ183" s="137">
        <f>Transportation_LCIA!U$61*($W183^Transportation_LCIA!U$60)+Transportation_LCIA!U$62</f>
        <v>1.1583001340676898E-3</v>
      </c>
      <c r="AR183" s="137">
        <f>Transportation_LCIA!V$61*($W183^Transportation_LCIA!V$60)+Transportation_LCIA!V$62</f>
        <v>4.3832947018607746E-4</v>
      </c>
      <c r="AT183" s="137">
        <f>$W183*Y183+$L183*Summary_LCIA!H$32</f>
        <v>196.94907250369641</v>
      </c>
      <c r="AU183" s="137">
        <f>$W183*Z183+$L183*Summary_LCIA!Q$32</f>
        <v>2270.3916121485263</v>
      </c>
      <c r="AV183" s="137">
        <f>$W183*AA183+$L183*Summary_LCIA!R$32</f>
        <v>1.5111025818789021</v>
      </c>
      <c r="AW183" s="137">
        <f>$W183*AB183+$L183*Summary_LCIA!S$32</f>
        <v>196.4634205836964</v>
      </c>
      <c r="AX183" s="137">
        <f>$W183*AC183+$L183*Summary_LCIA!T$32</f>
        <v>52.24760719944301</v>
      </c>
      <c r="AY183" s="137">
        <f>$W183*AD183+$L183*Summary_LCIA!U$32</f>
        <v>2.1857561473582017</v>
      </c>
      <c r="AZ183" s="137">
        <f>$W183*AE183+$L183*Summary_LCIA!V$32</f>
        <v>1.0285909849346292E-2</v>
      </c>
      <c r="BA183" s="137">
        <f>$W183*AF183+$L183*Summary_LCIA!W$32</f>
        <v>15.975104241950481</v>
      </c>
      <c r="BB183" s="137">
        <f>$W183*AG183+$L183*Summary_LCIA!X$32</f>
        <v>11.37961445805475</v>
      </c>
      <c r="BC183" s="137">
        <f>$W183*AH183+$L183*Summary_LCIA!Y$32</f>
        <v>1.905779151396267</v>
      </c>
      <c r="BD183" s="137">
        <f>$W183*AI183+$L183*Summary_LCIA!Z$32</f>
        <v>0.16575473968953541</v>
      </c>
      <c r="BE183" s="137">
        <f>$W183*AJ183+$L183*Summary_LCIA!AA$32</f>
        <v>3.3237734409146857</v>
      </c>
      <c r="BF183" s="137">
        <f>$W183*AK183+$L183*Summary_LCIA!AB$32</f>
        <v>4.014591784547019E-2</v>
      </c>
      <c r="BG183" s="137">
        <f>$W183*AL183+$L183*Summary_LCIA!AC$32</f>
        <v>2.5891961917957278E-5</v>
      </c>
      <c r="BH183" s="137">
        <f>$W183*AM183+$L183*Summary_LCIA!AD$32</f>
        <v>0.12151051692038897</v>
      </c>
      <c r="BI183" s="137">
        <f>$W183*AN183+$L183*Summary_LCIA!AE$32</f>
        <v>0.33938654046960737</v>
      </c>
      <c r="BJ183" s="137">
        <f>$W183*AO183+$L183*Summary_LCIA!AF$32</f>
        <v>9.6441751587694455E-2</v>
      </c>
      <c r="BK183" s="137">
        <f>$W183*AP183+$L183*Summary_LCIA!AG$32</f>
        <v>9.1721892076944422E-3</v>
      </c>
      <c r="BL183" s="137">
        <f>$W183*AQ183+$L183*Summary_LCIA!AH$32</f>
        <v>1.4818452787940948</v>
      </c>
      <c r="BM183" s="137">
        <f>$W183*AR183+$L183*Summary_LCIA!AI$32</f>
        <v>0.30122800286824869</v>
      </c>
    </row>
    <row r="184" spans="1:65" x14ac:dyDescent="0.25">
      <c r="A184" s="149">
        <v>90</v>
      </c>
      <c r="B184" s="149">
        <v>6</v>
      </c>
      <c r="C184" s="61">
        <v>39.563648000000001</v>
      </c>
      <c r="D184" s="61">
        <v>-84.231724</v>
      </c>
      <c r="E184" s="61" t="s">
        <v>265</v>
      </c>
      <c r="F184" s="149">
        <v>109</v>
      </c>
      <c r="G184" s="61" t="s">
        <v>273</v>
      </c>
      <c r="H184" s="61" t="s">
        <v>665</v>
      </c>
      <c r="I184" s="61">
        <v>39.053274999999999</v>
      </c>
      <c r="J184" s="61">
        <v>-84.663016999999996</v>
      </c>
      <c r="K184" s="61">
        <v>94.489521969999998</v>
      </c>
      <c r="L184" s="61">
        <v>86.263999999999996</v>
      </c>
      <c r="M184" s="61" t="s">
        <v>617</v>
      </c>
      <c r="N184" s="149">
        <v>5</v>
      </c>
      <c r="O184" s="149">
        <v>6</v>
      </c>
      <c r="P184" s="61" t="s">
        <v>565</v>
      </c>
      <c r="Q184" s="61" t="s">
        <v>564</v>
      </c>
      <c r="R184" s="61">
        <v>41.98028</v>
      </c>
      <c r="S184" s="61">
        <v>-87.908997900000003</v>
      </c>
      <c r="T184" s="61">
        <v>528.36800000000005</v>
      </c>
      <c r="U184" s="61" t="s">
        <v>617</v>
      </c>
      <c r="V184" s="61" t="s">
        <v>569</v>
      </c>
      <c r="W184" s="61" cm="1">
        <f t="array" ref="W184">getDistance(I184,J184,R184,S184)*SA!$B$12</f>
        <v>426.22298474711437</v>
      </c>
      <c r="Y184" s="137">
        <f>Transportation_LCIA!C$61*($W184^Transportation_LCIA!C$60)+Transportation_LCIA!C$62</f>
        <v>0.36470937059724018</v>
      </c>
      <c r="Z184" s="137">
        <f>Transportation_LCIA!D$61*($W184^Transportation_LCIA!D$60)+Transportation_LCIA!D$62</f>
        <v>3.9599843643856643</v>
      </c>
      <c r="AA184" s="137">
        <f>Transportation_LCIA!E$61*($W184^Transportation_LCIA!E$60)+Transportation_LCIA!E$62</f>
        <v>2.1590522921276657E-3</v>
      </c>
      <c r="AB184" s="137">
        <f>Transportation_LCIA!F$61*($W184^Transportation_LCIA!F$60)+Transportation_LCIA!F$62</f>
        <v>0.36470937059724018</v>
      </c>
      <c r="AC184" s="137">
        <f>Transportation_LCIA!G$61*($W184^Transportation_LCIA!G$60)+Transportation_LCIA!G$62</f>
        <v>9.2146692060025251E-2</v>
      </c>
      <c r="AD184" s="137">
        <f>Transportation_LCIA!H$61*($W184^Transportation_LCIA!H$60)+Transportation_LCIA!H$62</f>
        <v>5.0249575772855042E-4</v>
      </c>
      <c r="AE184" s="137">
        <f>Transportation_LCIA!I$61*($W184^Transportation_LCIA!I$60)+Transportation_LCIA!I$62</f>
        <v>1.1708483079934808E-5</v>
      </c>
      <c r="AF184" s="137">
        <f>Transportation_LCIA!J$61*($W184^Transportation_LCIA!J$60)+Transportation_LCIA!J$62</f>
        <v>1.7488363461505577E-2</v>
      </c>
      <c r="AG184" s="137">
        <f>Transportation_LCIA!K$61*($W184^Transportation_LCIA!K$60)+Transportation_LCIA!K$62</f>
        <v>2.0421310133522361E-2</v>
      </c>
      <c r="AH184" s="137">
        <f>Transportation_LCIA!L$61*($W184^Transportation_LCIA!L$60)+Transportation_LCIA!L$62</f>
        <v>4.4847627034344826E-4</v>
      </c>
      <c r="AI184" s="137">
        <f>Transportation_LCIA!M$61*($W184^Transportation_LCIA!M$60)+Transportation_LCIA!M$62</f>
        <v>3.6824791490361742E-4</v>
      </c>
      <c r="AJ184" s="137">
        <f>Transportation_LCIA!N$61*($W184^Transportation_LCIA!N$60)+Transportation_LCIA!N$62</f>
        <v>1.7475719590774809E-3</v>
      </c>
      <c r="AK184" s="137">
        <f>Transportation_LCIA!O$61*($W184^Transportation_LCIA!O$60)+Transportation_LCIA!O$62</f>
        <v>9.7603127192632193E-5</v>
      </c>
      <c r="AL184" s="137">
        <f>Transportation_LCIA!P$61*($W184^Transportation_LCIA!P$60)+Transportation_LCIA!P$62</f>
        <v>4.7067607312152108E-8</v>
      </c>
      <c r="AM184" s="137">
        <f>Transportation_LCIA!Q$61*($W184^Transportation_LCIA!Q$60)+Transportation_LCIA!Q$62</f>
        <v>1.7674817037411348E-4</v>
      </c>
      <c r="AN184" s="137">
        <f>Transportation_LCIA!R$61*($W184^Transportation_LCIA!R$60)+Transportation_LCIA!R$62</f>
        <v>5.6242472670821938E-4</v>
      </c>
      <c r="AO184" s="137">
        <f>Transportation_LCIA!S$61*($W184^Transportation_LCIA!S$60)+Transportation_LCIA!S$62</f>
        <v>8.2361540379476893E-6</v>
      </c>
      <c r="AP184" s="137">
        <f>Transportation_LCIA!T$61*($W184^Transportation_LCIA!T$60)+Transportation_LCIA!T$62</f>
        <v>8.2361540379476893E-6</v>
      </c>
      <c r="AQ184" s="137">
        <f>Transportation_LCIA!U$61*($W184^Transportation_LCIA!U$60)+Transportation_LCIA!U$62</f>
        <v>1.2222632354241475E-3</v>
      </c>
      <c r="AR184" s="137">
        <f>Transportation_LCIA!V$61*($W184^Transportation_LCIA!V$60)+Transportation_LCIA!V$62</f>
        <v>4.6051342935052081E-4</v>
      </c>
      <c r="AT184" s="137">
        <f>$W184*Y184+$L184*Summary_LCIA!H$32</f>
        <v>184.76002370119718</v>
      </c>
      <c r="AU184" s="137">
        <f>$W184*Z184+$L184*Summary_LCIA!Q$32</f>
        <v>2115.3650898926744</v>
      </c>
      <c r="AV184" s="137">
        <f>$W184*AA184+$L184*Summary_LCIA!R$32</f>
        <v>1.3744694305757523</v>
      </c>
      <c r="AW184" s="137">
        <f>$W184*AB184+$L184*Summary_LCIA!S$32</f>
        <v>184.37873682119718</v>
      </c>
      <c r="AX184" s="137">
        <f>$W184*AC184+$L184*Summary_LCIA!T$32</f>
        <v>48.755451724397183</v>
      </c>
      <c r="AY184" s="137">
        <f>$W184*AD184+$L184*Summary_LCIA!U$32</f>
        <v>1.7595085376818256</v>
      </c>
      <c r="AZ184" s="137">
        <f>$W184*AE184+$L184*Summary_LCIA!V$32</f>
        <v>9.110479509190899E-3</v>
      </c>
      <c r="BA184" s="137">
        <f>$W184*AF184+$L184*Summary_LCIA!W$32</f>
        <v>14.093768816905282</v>
      </c>
      <c r="BB184" s="137">
        <f>$W184*AG184+$L184*Summary_LCIA!X$32</f>
        <v>10.669125677556393</v>
      </c>
      <c r="BC184" s="137">
        <f>$W184*AH184+$L184*Summary_LCIA!Y$32</f>
        <v>1.5353165425340383</v>
      </c>
      <c r="BD184" s="137">
        <f>$W184*AI184+$L184*Summary_LCIA!Z$32</f>
        <v>0.1604933257931212</v>
      </c>
      <c r="BE184" s="137">
        <f>$W184*AJ184+$L184*Summary_LCIA!AA$32</f>
        <v>2.7596373204583657</v>
      </c>
      <c r="BF184" s="137">
        <f>$W184*AK184+$L184*Summary_LCIA!AB$32</f>
        <v>3.9718156920695934E-2</v>
      </c>
      <c r="BG184" s="137">
        <f>$W184*AL184+$L184*Summary_LCIA!AC$32</f>
        <v>2.4278225449490579E-5</v>
      </c>
      <c r="BH184" s="137">
        <f>$W184*AM184+$L184*Summary_LCIA!AD$32</f>
        <v>0.11079208728544615</v>
      </c>
      <c r="BI184" s="137">
        <f>$W184*AN184+$L184*Summary_LCIA!AE$32</f>
        <v>0.31615946403315737</v>
      </c>
      <c r="BJ184" s="137">
        <f>$W184*AO184+$L184*Summary_LCIA!AF$32</f>
        <v>7.6439749036891061E-2</v>
      </c>
      <c r="BK184" s="137">
        <f>$W184*AP184+$L184*Summary_LCIA!AG$32</f>
        <v>7.9241357168910627E-3</v>
      </c>
      <c r="BL184" s="137">
        <f>$W184*AQ184+$L184*Summary_LCIA!AH$32</f>
        <v>1.271764034749145</v>
      </c>
      <c r="BM184" s="137">
        <f>$W184*AR184+$L184*Summary_LCIA!AI$32</f>
        <v>0.27664063757390833</v>
      </c>
    </row>
    <row r="185" spans="1:65" x14ac:dyDescent="0.25">
      <c r="A185" s="149">
        <v>349</v>
      </c>
      <c r="B185" s="149">
        <v>6</v>
      </c>
      <c r="C185" s="61">
        <v>39.552281000000001</v>
      </c>
      <c r="D185" s="61">
        <v>-84.233271999999999</v>
      </c>
      <c r="E185" s="61" t="s">
        <v>265</v>
      </c>
      <c r="F185" s="149">
        <v>109</v>
      </c>
      <c r="G185" s="61" t="s">
        <v>273</v>
      </c>
      <c r="H185" s="61" t="s">
        <v>665</v>
      </c>
      <c r="I185" s="61">
        <v>39.053274999999999</v>
      </c>
      <c r="J185" s="61">
        <v>-84.663016999999996</v>
      </c>
      <c r="K185" s="61">
        <v>92.693861600000005</v>
      </c>
      <c r="L185" s="61">
        <v>85.906000000000006</v>
      </c>
      <c r="M185" s="61" t="s">
        <v>617</v>
      </c>
      <c r="N185" s="149">
        <v>5</v>
      </c>
      <c r="O185" s="149">
        <v>6</v>
      </c>
      <c r="P185" s="61" t="s">
        <v>565</v>
      </c>
      <c r="Q185" s="61" t="s">
        <v>564</v>
      </c>
      <c r="R185" s="61">
        <v>41.98028</v>
      </c>
      <c r="S185" s="61">
        <v>-87.908997900000003</v>
      </c>
      <c r="T185" s="61">
        <v>529.49400000000003</v>
      </c>
      <c r="U185" s="61" t="s">
        <v>617</v>
      </c>
      <c r="V185" s="61" t="s">
        <v>569</v>
      </c>
      <c r="W185" s="61" cm="1">
        <f t="array" ref="W185">getDistance(I185,J185,R185,S185)*SA!$B$12</f>
        <v>426.22298474711437</v>
      </c>
      <c r="Y185" s="137">
        <f>Transportation_LCIA!C$61*($W185^Transportation_LCIA!C$60)+Transportation_LCIA!C$62</f>
        <v>0.36470937059724018</v>
      </c>
      <c r="Z185" s="137">
        <f>Transportation_LCIA!D$61*($W185^Transportation_LCIA!D$60)+Transportation_LCIA!D$62</f>
        <v>3.9599843643856643</v>
      </c>
      <c r="AA185" s="137">
        <f>Transportation_LCIA!E$61*($W185^Transportation_LCIA!E$60)+Transportation_LCIA!E$62</f>
        <v>2.1590522921276657E-3</v>
      </c>
      <c r="AB185" s="137">
        <f>Transportation_LCIA!F$61*($W185^Transportation_LCIA!F$60)+Transportation_LCIA!F$62</f>
        <v>0.36470937059724018</v>
      </c>
      <c r="AC185" s="137">
        <f>Transportation_LCIA!G$61*($W185^Transportation_LCIA!G$60)+Transportation_LCIA!G$62</f>
        <v>9.2146692060025251E-2</v>
      </c>
      <c r="AD185" s="137">
        <f>Transportation_LCIA!H$61*($W185^Transportation_LCIA!H$60)+Transportation_LCIA!H$62</f>
        <v>5.0249575772855042E-4</v>
      </c>
      <c r="AE185" s="137">
        <f>Transportation_LCIA!I$61*($W185^Transportation_LCIA!I$60)+Transportation_LCIA!I$62</f>
        <v>1.1708483079934808E-5</v>
      </c>
      <c r="AF185" s="137">
        <f>Transportation_LCIA!J$61*($W185^Transportation_LCIA!J$60)+Transportation_LCIA!J$62</f>
        <v>1.7488363461505577E-2</v>
      </c>
      <c r="AG185" s="137">
        <f>Transportation_LCIA!K$61*($W185^Transportation_LCIA!K$60)+Transportation_LCIA!K$62</f>
        <v>2.0421310133522361E-2</v>
      </c>
      <c r="AH185" s="137">
        <f>Transportation_LCIA!L$61*($W185^Transportation_LCIA!L$60)+Transportation_LCIA!L$62</f>
        <v>4.4847627034344826E-4</v>
      </c>
      <c r="AI185" s="137">
        <f>Transportation_LCIA!M$61*($W185^Transportation_LCIA!M$60)+Transportation_LCIA!M$62</f>
        <v>3.6824791490361742E-4</v>
      </c>
      <c r="AJ185" s="137">
        <f>Transportation_LCIA!N$61*($W185^Transportation_LCIA!N$60)+Transportation_LCIA!N$62</f>
        <v>1.7475719590774809E-3</v>
      </c>
      <c r="AK185" s="137">
        <f>Transportation_LCIA!O$61*($W185^Transportation_LCIA!O$60)+Transportation_LCIA!O$62</f>
        <v>9.7603127192632193E-5</v>
      </c>
      <c r="AL185" s="137">
        <f>Transportation_LCIA!P$61*($W185^Transportation_LCIA!P$60)+Transportation_LCIA!P$62</f>
        <v>4.7067607312152108E-8</v>
      </c>
      <c r="AM185" s="137">
        <f>Transportation_LCIA!Q$61*($W185^Transportation_LCIA!Q$60)+Transportation_LCIA!Q$62</f>
        <v>1.7674817037411348E-4</v>
      </c>
      <c r="AN185" s="137">
        <f>Transportation_LCIA!R$61*($W185^Transportation_LCIA!R$60)+Transportation_LCIA!R$62</f>
        <v>5.6242472670821938E-4</v>
      </c>
      <c r="AO185" s="137">
        <f>Transportation_LCIA!S$61*($W185^Transportation_LCIA!S$60)+Transportation_LCIA!S$62</f>
        <v>8.2361540379476893E-6</v>
      </c>
      <c r="AP185" s="137">
        <f>Transportation_LCIA!T$61*($W185^Transportation_LCIA!T$60)+Transportation_LCIA!T$62</f>
        <v>8.2361540379476893E-6</v>
      </c>
      <c r="AQ185" s="137">
        <f>Transportation_LCIA!U$61*($W185^Transportation_LCIA!U$60)+Transportation_LCIA!U$62</f>
        <v>1.2222632354241475E-3</v>
      </c>
      <c r="AR185" s="137">
        <f>Transportation_LCIA!V$61*($W185^Transportation_LCIA!V$60)+Transportation_LCIA!V$62</f>
        <v>4.6051342935052081E-4</v>
      </c>
      <c r="AT185" s="137">
        <f>$W185*Y185+$L185*Summary_LCIA!H$32</f>
        <v>184.63837530119719</v>
      </c>
      <c r="AU185" s="137">
        <f>$W185*Z185+$L185*Summary_LCIA!Q$32</f>
        <v>2113.5908238376605</v>
      </c>
      <c r="AV185" s="137">
        <f>$W185*AA185+$L185*Summary_LCIA!R$32</f>
        <v>1.3725843457757523</v>
      </c>
      <c r="AW185" s="137">
        <f>$W185*AB185+$L185*Summary_LCIA!S$32</f>
        <v>184.2586707811972</v>
      </c>
      <c r="AX185" s="137">
        <f>$W185*AC185+$L185*Summary_LCIA!T$32</f>
        <v>48.716107524397188</v>
      </c>
      <c r="AY185" s="137">
        <f>$W185*AD185+$L185*Summary_LCIA!U$32</f>
        <v>1.7530953256818258</v>
      </c>
      <c r="AZ185" s="137">
        <f>$W185*AE185+$L185*Summary_LCIA!V$32</f>
        <v>9.0933810711909015E-3</v>
      </c>
      <c r="BA185" s="137">
        <f>$W185*AF185+$L185*Summary_LCIA!W$32</f>
        <v>14.066213198905285</v>
      </c>
      <c r="BB185" s="137">
        <f>$W185*AG185+$L185*Summary_LCIA!X$32</f>
        <v>10.660970437556394</v>
      </c>
      <c r="BC185" s="137">
        <f>$W185*AH185+$L185*Summary_LCIA!Y$32</f>
        <v>1.5297381865340385</v>
      </c>
      <c r="BD185" s="137">
        <f>$W185*AI185+$L185*Summary_LCIA!Z$32</f>
        <v>0.16047864457112118</v>
      </c>
      <c r="BE185" s="137">
        <f>$W185*AJ185+$L185*Summary_LCIA!AA$32</f>
        <v>2.7512758724583657</v>
      </c>
      <c r="BF185" s="137">
        <f>$W185*AK185+$L185*Summary_LCIA!AB$32</f>
        <v>3.9725969554695935E-2</v>
      </c>
      <c r="BG185" s="137">
        <f>$W185*AL185+$L185*Summary_LCIA!AC$32</f>
        <v>2.4260724977490579E-5</v>
      </c>
      <c r="BH185" s="137">
        <f>$W185*AM185+$L185*Summary_LCIA!AD$32</f>
        <v>0.11064493496544614</v>
      </c>
      <c r="BI185" s="137">
        <f>$W185*AN185+$L185*Summary_LCIA!AE$32</f>
        <v>0.31584222949315738</v>
      </c>
      <c r="BJ185" s="137">
        <f>$W185*AO185+$L185*Summary_LCIA!AF$32</f>
        <v>7.6137088676891063E-2</v>
      </c>
      <c r="BK185" s="137">
        <f>$W185*AP185+$L185*Summary_LCIA!AG$32</f>
        <v>7.9058186468910635E-3</v>
      </c>
      <c r="BL185" s="137">
        <f>$W185*AQ185+$L185*Summary_LCIA!AH$32</f>
        <v>1.2686481459491452</v>
      </c>
      <c r="BM185" s="137">
        <f>$W185*AR185+$L185*Summary_LCIA!AI$32</f>
        <v>0.27630714267390838</v>
      </c>
    </row>
    <row r="186" spans="1:65" x14ac:dyDescent="0.25">
      <c r="A186" s="149">
        <v>209</v>
      </c>
      <c r="B186" s="149">
        <v>6</v>
      </c>
      <c r="C186" s="61">
        <v>42.810535999999999</v>
      </c>
      <c r="D186" s="61">
        <v>-83.079087000000001</v>
      </c>
      <c r="E186" s="61" t="s">
        <v>265</v>
      </c>
      <c r="F186" s="149">
        <v>78</v>
      </c>
      <c r="G186" s="61" t="s">
        <v>615</v>
      </c>
      <c r="H186" s="61" t="s">
        <v>616</v>
      </c>
      <c r="I186" s="61">
        <v>42.216248999999998</v>
      </c>
      <c r="J186" s="61">
        <v>-83.355363999999994</v>
      </c>
      <c r="K186" s="61">
        <v>102.2416606</v>
      </c>
      <c r="L186" s="61">
        <v>88.736999999999995</v>
      </c>
      <c r="M186" s="61" t="s">
        <v>617</v>
      </c>
      <c r="N186" s="149">
        <v>5</v>
      </c>
      <c r="O186" s="149">
        <v>6</v>
      </c>
      <c r="P186" s="61" t="s">
        <v>565</v>
      </c>
      <c r="Q186" s="61" t="s">
        <v>564</v>
      </c>
      <c r="R186" s="61">
        <v>41.98028</v>
      </c>
      <c r="S186" s="61">
        <v>-87.908997900000003</v>
      </c>
      <c r="T186" s="61">
        <v>532.41999999999996</v>
      </c>
      <c r="U186" s="61" t="s">
        <v>617</v>
      </c>
      <c r="V186" s="61" t="s">
        <v>569</v>
      </c>
      <c r="W186" s="61" cm="1">
        <f t="array" ref="W186">getDistance(I186,J186,R186,S186)*SA!$B$12</f>
        <v>377.55996592631055</v>
      </c>
      <c r="Y186" s="137">
        <f>Transportation_LCIA!C$61*($W186^Transportation_LCIA!C$60)+Transportation_LCIA!C$62</f>
        <v>0.39177321151276934</v>
      </c>
      <c r="Z186" s="137">
        <f>Transportation_LCIA!D$61*($W186^Transportation_LCIA!D$60)+Transportation_LCIA!D$62</f>
        <v>4.2885469298554302</v>
      </c>
      <c r="AA186" s="137">
        <f>Transportation_LCIA!E$61*($W186^Transportation_LCIA!E$60)+Transportation_LCIA!E$62</f>
        <v>2.3774892800205579E-3</v>
      </c>
      <c r="AB186" s="137">
        <f>Transportation_LCIA!F$61*($W186^Transportation_LCIA!F$60)+Transportation_LCIA!F$62</f>
        <v>0.39177321151276934</v>
      </c>
      <c r="AC186" s="137">
        <f>Transportation_LCIA!G$61*($W186^Transportation_LCIA!G$60)+Transportation_LCIA!G$62</f>
        <v>9.9730740674667376E-2</v>
      </c>
      <c r="AD186" s="137">
        <f>Transportation_LCIA!H$61*($W186^Transportation_LCIA!H$60)+Transportation_LCIA!H$62</f>
        <v>5.5159056743946447E-4</v>
      </c>
      <c r="AE186" s="137">
        <f>Transportation_LCIA!I$61*($W186^Transportation_LCIA!I$60)+Transportation_LCIA!I$62</f>
        <v>1.2988810045312625E-5</v>
      </c>
      <c r="AF186" s="137">
        <f>Transportation_LCIA!J$61*($W186^Transportation_LCIA!J$60)+Transportation_LCIA!J$62</f>
        <v>1.9439626149728245E-2</v>
      </c>
      <c r="AG186" s="137">
        <f>Transportation_LCIA!K$61*($W186^Transportation_LCIA!K$60)+Transportation_LCIA!K$62</f>
        <v>2.2227364305679936E-2</v>
      </c>
      <c r="AH186" s="137">
        <f>Transportation_LCIA!L$61*($W186^Transportation_LCIA!L$60)+Transportation_LCIA!L$62</f>
        <v>4.9406726591070139E-4</v>
      </c>
      <c r="AI186" s="137">
        <f>Transportation_LCIA!M$61*($W186^Transportation_LCIA!M$60)+Transportation_LCIA!M$62</f>
        <v>3.9537528709454031E-4</v>
      </c>
      <c r="AJ186" s="137">
        <f>Transportation_LCIA!N$61*($W186^Transportation_LCIA!N$60)+Transportation_LCIA!N$62</f>
        <v>1.9121741222974152E-3</v>
      </c>
      <c r="AK186" s="137">
        <f>Transportation_LCIA!O$61*($W186^Transportation_LCIA!O$60)+Transportation_LCIA!O$62</f>
        <v>1.0567090816044529E-4</v>
      </c>
      <c r="AL186" s="137">
        <f>Transportation_LCIA!P$61*($W186^Transportation_LCIA!P$60)+Transportation_LCIA!P$62</f>
        <v>5.0935129732250114E-8</v>
      </c>
      <c r="AM186" s="137">
        <f>Transportation_LCIA!Q$61*($W186^Transportation_LCIA!Q$60)+Transportation_LCIA!Q$62</f>
        <v>1.9467109253194182E-4</v>
      </c>
      <c r="AN186" s="137">
        <f>Transportation_LCIA!R$61*($W186^Transportation_LCIA!R$60)+Transportation_LCIA!R$62</f>
        <v>6.2387261985424414E-4</v>
      </c>
      <c r="AO186" s="137">
        <f>Transportation_LCIA!S$61*($W186^Transportation_LCIA!S$60)+Transportation_LCIA!S$62</f>
        <v>9.1068518980920511E-6</v>
      </c>
      <c r="AP186" s="137">
        <f>Transportation_LCIA!T$61*($W186^Transportation_LCIA!T$60)+Transportation_LCIA!T$62</f>
        <v>9.1068518980920511E-6</v>
      </c>
      <c r="AQ186" s="137">
        <f>Transportation_LCIA!U$61*($W186^Transportation_LCIA!U$60)+Transportation_LCIA!U$62</f>
        <v>1.3579254338977325E-3</v>
      </c>
      <c r="AR186" s="137">
        <f>Transportation_LCIA!V$61*($W186^Transportation_LCIA!V$60)+Transportation_LCIA!V$62</f>
        <v>5.0746659917131709E-4</v>
      </c>
      <c r="AT186" s="137">
        <f>$W186*Y186+$L186*Summary_LCIA!H$32</f>
        <v>178.07071298960244</v>
      </c>
      <c r="AU186" s="137">
        <f>$W186*Z186+$L186*Summary_LCIA!Q$32</f>
        <v>2058.9686799827209</v>
      </c>
      <c r="AV186" s="137">
        <f>$W186*AA186+$L186*Summary_LCIA!R$32</f>
        <v>1.3648983187547303</v>
      </c>
      <c r="AW186" s="137">
        <f>$W186*AB186+$L186*Summary_LCIA!S$32</f>
        <v>177.67849544960245</v>
      </c>
      <c r="AX186" s="137">
        <f>$W186*AC186+$L186*Summary_LCIA!T$32</f>
        <v>47.406531350933129</v>
      </c>
      <c r="AY186" s="137">
        <f>$W186*AD186+$L186*Summary_LCIA!U$32</f>
        <v>1.7978931338477184</v>
      </c>
      <c r="AZ186" s="137">
        <f>$W186*AE186+$L186*Summary_LCIA!V$32</f>
        <v>9.1422225351315556E-3</v>
      </c>
      <c r="BA186" s="137">
        <f>$W186*AF186+$L186*Summary_LCIA!W$32</f>
        <v>14.169800213711611</v>
      </c>
      <c r="BB186" s="137">
        <f>$W186*AG186+$L186*Summary_LCIA!X$32</f>
        <v>10.413591769884208</v>
      </c>
      <c r="BC186" s="137">
        <f>$W186*AH186+$L186*Summary_LCIA!Y$32</f>
        <v>1.5692399540825497</v>
      </c>
      <c r="BD186" s="137">
        <f>$W186*AI186+$L186*Summary_LCIA!Z$32</f>
        <v>0.15291689555651991</v>
      </c>
      <c r="BE186" s="137">
        <f>$W186*AJ186+$L186*Summary_LCIA!AA$32</f>
        <v>2.794501768459785</v>
      </c>
      <c r="BF186" s="137">
        <f>$W186*AK186+$L186*Summary_LCIA!AB$32</f>
        <v>3.7960596933460017E-2</v>
      </c>
      <c r="BG186" s="137">
        <f>$W186*AL186+$L186*Summary_LCIA!AC$32</f>
        <v>2.3568885354160562E-5</v>
      </c>
      <c r="BH186" s="137">
        <f>$W186*AM186+$L186*Summary_LCIA!AD$32</f>
        <v>0.1099744675431976</v>
      </c>
      <c r="BI186" s="137">
        <f>$W186*AN186+$L186*Summary_LCIA!AE$32</f>
        <v>0.3141818429045265</v>
      </c>
      <c r="BJ186" s="137">
        <f>$W186*AO186+$L186*Summary_LCIA!AF$32</f>
        <v>7.8458417232339595E-2</v>
      </c>
      <c r="BK186" s="137">
        <f>$W186*AP186+$L186*Summary_LCIA!AG$32</f>
        <v>7.9786112973395905E-3</v>
      </c>
      <c r="BL186" s="137">
        <f>$W186*AQ186+$L186*Summary_LCIA!AH$32</f>
        <v>1.2850296337528984</v>
      </c>
      <c r="BM186" s="137">
        <f>$W186*AR186+$L186*Summary_LCIA!AI$32</f>
        <v>0.27426202424186319</v>
      </c>
    </row>
    <row r="187" spans="1:65" x14ac:dyDescent="0.25">
      <c r="A187" s="149">
        <v>10</v>
      </c>
      <c r="B187" s="149">
        <v>43</v>
      </c>
      <c r="C187" s="61">
        <v>43.083925000000001</v>
      </c>
      <c r="D187" s="61">
        <v>-77.674614000000005</v>
      </c>
      <c r="E187" s="61" t="s">
        <v>265</v>
      </c>
      <c r="F187" s="149">
        <v>120</v>
      </c>
      <c r="G187" s="61" t="s">
        <v>625</v>
      </c>
      <c r="H187" s="61" t="s">
        <v>626</v>
      </c>
      <c r="I187" s="61">
        <v>42.939706000000001</v>
      </c>
      <c r="J187" s="61">
        <v>-78.729506999999998</v>
      </c>
      <c r="K187" s="61">
        <v>92.065719849999994</v>
      </c>
      <c r="L187" s="61">
        <v>101.642</v>
      </c>
      <c r="M187" s="61" t="s">
        <v>617</v>
      </c>
      <c r="N187" s="149">
        <v>42</v>
      </c>
      <c r="O187" s="149">
        <v>43</v>
      </c>
      <c r="P187" s="61" t="s">
        <v>565</v>
      </c>
      <c r="Q187" s="61" t="s">
        <v>555</v>
      </c>
      <c r="R187" s="61">
        <v>40.6895314</v>
      </c>
      <c r="S187" s="61">
        <v>-74.174462399999996</v>
      </c>
      <c r="T187" s="61">
        <v>534.476</v>
      </c>
      <c r="U187" s="61" t="s">
        <v>617</v>
      </c>
      <c r="V187" s="61" t="s">
        <v>569</v>
      </c>
      <c r="W187" s="61" cm="1">
        <f t="array" ref="W187">getDistance(I187,J187,R187,S187)*SA!$B$12</f>
        <v>453.70669460993366</v>
      </c>
      <c r="Y187" s="137">
        <f>Transportation_LCIA!C$61*($W187^Transportation_LCIA!C$60)+Transportation_LCIA!C$62</f>
        <v>0.35179822030380453</v>
      </c>
      <c r="Z187" s="137">
        <f>Transportation_LCIA!D$61*($W187^Transportation_LCIA!D$60)+Transportation_LCIA!D$62</f>
        <v>3.8038685240383758</v>
      </c>
      <c r="AA187" s="137">
        <f>Transportation_LCIA!E$61*($W187^Transportation_LCIA!E$60)+Transportation_LCIA!E$62</f>
        <v>2.0553796700765819E-3</v>
      </c>
      <c r="AB187" s="137">
        <f>Transportation_LCIA!F$61*($W187^Transportation_LCIA!F$60)+Transportation_LCIA!F$62</f>
        <v>0.35179822030380453</v>
      </c>
      <c r="AC187" s="137">
        <f>Transportation_LCIA!G$61*($W187^Transportation_LCIA!G$60)+Transportation_LCIA!G$62</f>
        <v>8.8542301175389054E-2</v>
      </c>
      <c r="AD187" s="137">
        <f>Transportation_LCIA!H$61*($W187^Transportation_LCIA!H$60)+Transportation_LCIA!H$62</f>
        <v>4.7924680402862424E-4</v>
      </c>
      <c r="AE187" s="137">
        <f>Transportation_LCIA!I$61*($W187^Transportation_LCIA!I$60)+Transportation_LCIA!I$62</f>
        <v>1.1104359431323201E-5</v>
      </c>
      <c r="AF187" s="137">
        <f>Transportation_LCIA!J$61*($W187^Transportation_LCIA!J$60)+Transportation_LCIA!J$62</f>
        <v>1.6569820845191208E-2</v>
      </c>
      <c r="AG187" s="137">
        <f>Transportation_LCIA!K$61*($W187^Transportation_LCIA!K$60)+Transportation_LCIA!K$62</f>
        <v>1.9564708397539259E-2</v>
      </c>
      <c r="AH187" s="137">
        <f>Transportation_LCIA!L$61*($W187^Transportation_LCIA!L$60)+Transportation_LCIA!L$62</f>
        <v>4.2690866521771174E-4</v>
      </c>
      <c r="AI187" s="137">
        <f>Transportation_LCIA!M$61*($W187^Transportation_LCIA!M$60)+Transportation_LCIA!M$62</f>
        <v>3.5540325219174092E-4</v>
      </c>
      <c r="AJ187" s="137">
        <f>Transportation_LCIA!N$61*($W187^Transportation_LCIA!N$60)+Transportation_LCIA!N$62</f>
        <v>1.6696019563166051E-3</v>
      </c>
      <c r="AK187" s="137">
        <f>Transportation_LCIA!O$61*($W187^Transportation_LCIA!O$60)+Transportation_LCIA!O$62</f>
        <v>9.376926172545552E-5</v>
      </c>
      <c r="AL187" s="137">
        <f>Transportation_LCIA!P$61*($W187^Transportation_LCIA!P$60)+Transportation_LCIA!P$62</f>
        <v>4.5229183914951175E-8</v>
      </c>
      <c r="AM187" s="137">
        <f>Transportation_LCIA!Q$61*($W187^Transportation_LCIA!Q$60)+Transportation_LCIA!Q$62</f>
        <v>1.6827410039877645E-4</v>
      </c>
      <c r="AN187" s="137">
        <f>Transportation_LCIA!R$61*($W187^Transportation_LCIA!R$60)+Transportation_LCIA!R$62</f>
        <v>5.3343299418952066E-4</v>
      </c>
      <c r="AO187" s="137">
        <f>Transportation_LCIA!S$61*($W187^Transportation_LCIA!S$60)+Transportation_LCIA!S$62</f>
        <v>7.8252838449889344E-6</v>
      </c>
      <c r="AP187" s="137">
        <f>Transportation_LCIA!T$61*($W187^Transportation_LCIA!T$60)+Transportation_LCIA!T$62</f>
        <v>7.8252838449889344E-6</v>
      </c>
      <c r="AQ187" s="137">
        <f>Transportation_LCIA!U$61*($W187^Transportation_LCIA!U$60)+Transportation_LCIA!U$62</f>
        <v>1.1583001340676898E-3</v>
      </c>
      <c r="AR187" s="137">
        <f>Transportation_LCIA!V$61*($W187^Transportation_LCIA!V$60)+Transportation_LCIA!V$62</f>
        <v>4.3832947018607746E-4</v>
      </c>
      <c r="AT187" s="137">
        <f>$W187*Y187+$L187*Summary_LCIA!H$32</f>
        <v>194.15115930369643</v>
      </c>
      <c r="AU187" s="137">
        <f>$W187*Z187+$L187*Summary_LCIA!Q$32</f>
        <v>2229.5834928832046</v>
      </c>
      <c r="AV187" s="137">
        <f>$W187*AA187+$L187*Summary_LCIA!R$32</f>
        <v>1.4677456314789019</v>
      </c>
      <c r="AW187" s="137">
        <f>$W187*AB187+$L187*Summary_LCIA!S$32</f>
        <v>193.70190166369642</v>
      </c>
      <c r="AX187" s="137">
        <f>$W187*AC187+$L187*Summary_LCIA!T$32</f>
        <v>51.34269059944301</v>
      </c>
      <c r="AY187" s="137">
        <f>$W187*AD187+$L187*Summary_LCIA!U$32</f>
        <v>2.0382522713582016</v>
      </c>
      <c r="AZ187" s="137">
        <f>$W187*AE187+$L187*Summary_LCIA!V$32</f>
        <v>9.8926457753462926E-3</v>
      </c>
      <c r="BA187" s="137">
        <f>$W187*AF187+$L187*Summary_LCIA!W$32</f>
        <v>15.341325027950479</v>
      </c>
      <c r="BB187" s="137">
        <f>$W187*AG187+$L187*Summary_LCIA!X$32</f>
        <v>11.192043938054749</v>
      </c>
      <c r="BC187" s="137">
        <f>$W187*AH187+$L187*Summary_LCIA!Y$32</f>
        <v>1.7774769633962668</v>
      </c>
      <c r="BD187" s="137">
        <f>$W187*AI187+$L187*Summary_LCIA!Z$32</f>
        <v>0.16541707158353541</v>
      </c>
      <c r="BE187" s="137">
        <f>$W187*AJ187+$L187*Summary_LCIA!AA$32</f>
        <v>3.1314601369146855</v>
      </c>
      <c r="BF187" s="137">
        <f>$W187*AK187+$L187*Summary_LCIA!AB$32</f>
        <v>4.032560842747019E-2</v>
      </c>
      <c r="BG187" s="137">
        <f>$W187*AL187+$L187*Summary_LCIA!AC$32</f>
        <v>2.5489451061957275E-5</v>
      </c>
      <c r="BH187" s="137">
        <f>$W187*AM187+$L187*Summary_LCIA!AD$32</f>
        <v>0.11812601356038899</v>
      </c>
      <c r="BI187" s="137">
        <f>$W187*AN187+$L187*Summary_LCIA!AE$32</f>
        <v>0.33209014604960735</v>
      </c>
      <c r="BJ187" s="137">
        <f>$W187*AO187+$L187*Summary_LCIA!AF$32</f>
        <v>8.9480563307694452E-2</v>
      </c>
      <c r="BK187" s="137">
        <f>$W187*AP187+$L187*Summary_LCIA!AG$32</f>
        <v>8.7508965976944419E-3</v>
      </c>
      <c r="BL187" s="137">
        <f>$W187*AQ187+$L187*Summary_LCIA!AH$32</f>
        <v>1.4101798363940947</v>
      </c>
      <c r="BM187" s="137">
        <f>$W187*AR187+$L187*Summary_LCIA!AI$32</f>
        <v>0.29355762016824866</v>
      </c>
    </row>
    <row r="188" spans="1:65" x14ac:dyDescent="0.25">
      <c r="A188" s="149">
        <v>11</v>
      </c>
      <c r="B188" s="149">
        <v>43</v>
      </c>
      <c r="C188" s="61">
        <v>43.083925000000001</v>
      </c>
      <c r="D188" s="61">
        <v>-77.674614000000005</v>
      </c>
      <c r="E188" s="61" t="s">
        <v>265</v>
      </c>
      <c r="F188" s="149">
        <v>120</v>
      </c>
      <c r="G188" s="61" t="s">
        <v>625</v>
      </c>
      <c r="H188" s="61" t="s">
        <v>626</v>
      </c>
      <c r="I188" s="61">
        <v>42.939706000000001</v>
      </c>
      <c r="J188" s="61">
        <v>-78.729506999999998</v>
      </c>
      <c r="K188" s="61">
        <v>92.065719849999994</v>
      </c>
      <c r="L188" s="61">
        <v>101.642</v>
      </c>
      <c r="M188" s="61" t="s">
        <v>617</v>
      </c>
      <c r="N188" s="149">
        <v>42</v>
      </c>
      <c r="O188" s="149">
        <v>43</v>
      </c>
      <c r="P188" s="61" t="s">
        <v>565</v>
      </c>
      <c r="Q188" s="61" t="s">
        <v>555</v>
      </c>
      <c r="R188" s="61">
        <v>40.6895314</v>
      </c>
      <c r="S188" s="61">
        <v>-74.174462399999996</v>
      </c>
      <c r="T188" s="61">
        <v>534.476</v>
      </c>
      <c r="U188" s="61" t="s">
        <v>617</v>
      </c>
      <c r="V188" s="61" t="s">
        <v>569</v>
      </c>
      <c r="W188" s="61" cm="1">
        <f t="array" ref="W188">getDistance(I188,J188,R188,S188)*SA!$B$12</f>
        <v>453.70669460993366</v>
      </c>
      <c r="Y188" s="137">
        <f>Transportation_LCIA!C$61*($W188^Transportation_LCIA!C$60)+Transportation_LCIA!C$62</f>
        <v>0.35179822030380453</v>
      </c>
      <c r="Z188" s="137">
        <f>Transportation_LCIA!D$61*($W188^Transportation_LCIA!D$60)+Transportation_LCIA!D$62</f>
        <v>3.8038685240383758</v>
      </c>
      <c r="AA188" s="137">
        <f>Transportation_LCIA!E$61*($W188^Transportation_LCIA!E$60)+Transportation_LCIA!E$62</f>
        <v>2.0553796700765819E-3</v>
      </c>
      <c r="AB188" s="137">
        <f>Transportation_LCIA!F$61*($W188^Transportation_LCIA!F$60)+Transportation_LCIA!F$62</f>
        <v>0.35179822030380453</v>
      </c>
      <c r="AC188" s="137">
        <f>Transportation_LCIA!G$61*($W188^Transportation_LCIA!G$60)+Transportation_LCIA!G$62</f>
        <v>8.8542301175389054E-2</v>
      </c>
      <c r="AD188" s="137">
        <f>Transportation_LCIA!H$61*($W188^Transportation_LCIA!H$60)+Transportation_LCIA!H$62</f>
        <v>4.7924680402862424E-4</v>
      </c>
      <c r="AE188" s="137">
        <f>Transportation_LCIA!I$61*($W188^Transportation_LCIA!I$60)+Transportation_LCIA!I$62</f>
        <v>1.1104359431323201E-5</v>
      </c>
      <c r="AF188" s="137">
        <f>Transportation_LCIA!J$61*($W188^Transportation_LCIA!J$60)+Transportation_LCIA!J$62</f>
        <v>1.6569820845191208E-2</v>
      </c>
      <c r="AG188" s="137">
        <f>Transportation_LCIA!K$61*($W188^Transportation_LCIA!K$60)+Transportation_LCIA!K$62</f>
        <v>1.9564708397539259E-2</v>
      </c>
      <c r="AH188" s="137">
        <f>Transportation_LCIA!L$61*($W188^Transportation_LCIA!L$60)+Transportation_LCIA!L$62</f>
        <v>4.2690866521771174E-4</v>
      </c>
      <c r="AI188" s="137">
        <f>Transportation_LCIA!M$61*($W188^Transportation_LCIA!M$60)+Transportation_LCIA!M$62</f>
        <v>3.5540325219174092E-4</v>
      </c>
      <c r="AJ188" s="137">
        <f>Transportation_LCIA!N$61*($W188^Transportation_LCIA!N$60)+Transportation_LCIA!N$62</f>
        <v>1.6696019563166051E-3</v>
      </c>
      <c r="AK188" s="137">
        <f>Transportation_LCIA!O$61*($W188^Transportation_LCIA!O$60)+Transportation_LCIA!O$62</f>
        <v>9.376926172545552E-5</v>
      </c>
      <c r="AL188" s="137">
        <f>Transportation_LCIA!P$61*($W188^Transportation_LCIA!P$60)+Transportation_LCIA!P$62</f>
        <v>4.5229183914951175E-8</v>
      </c>
      <c r="AM188" s="137">
        <f>Transportation_LCIA!Q$61*($W188^Transportation_LCIA!Q$60)+Transportation_LCIA!Q$62</f>
        <v>1.6827410039877645E-4</v>
      </c>
      <c r="AN188" s="137">
        <f>Transportation_LCIA!R$61*($W188^Transportation_LCIA!R$60)+Transportation_LCIA!R$62</f>
        <v>5.3343299418952066E-4</v>
      </c>
      <c r="AO188" s="137">
        <f>Transportation_LCIA!S$61*($W188^Transportation_LCIA!S$60)+Transportation_LCIA!S$62</f>
        <v>7.8252838449889344E-6</v>
      </c>
      <c r="AP188" s="137">
        <f>Transportation_LCIA!T$61*($W188^Transportation_LCIA!T$60)+Transportation_LCIA!T$62</f>
        <v>7.8252838449889344E-6</v>
      </c>
      <c r="AQ188" s="137">
        <f>Transportation_LCIA!U$61*($W188^Transportation_LCIA!U$60)+Transportation_LCIA!U$62</f>
        <v>1.1583001340676898E-3</v>
      </c>
      <c r="AR188" s="137">
        <f>Transportation_LCIA!V$61*($W188^Transportation_LCIA!V$60)+Transportation_LCIA!V$62</f>
        <v>4.3832947018607746E-4</v>
      </c>
      <c r="AT188" s="137">
        <f>$W188*Y188+$L188*Summary_LCIA!H$32</f>
        <v>194.15115930369643</v>
      </c>
      <c r="AU188" s="137">
        <f>$W188*Z188+$L188*Summary_LCIA!Q$32</f>
        <v>2229.5834928832046</v>
      </c>
      <c r="AV188" s="137">
        <f>$W188*AA188+$L188*Summary_LCIA!R$32</f>
        <v>1.4677456314789019</v>
      </c>
      <c r="AW188" s="137">
        <f>$W188*AB188+$L188*Summary_LCIA!S$32</f>
        <v>193.70190166369642</v>
      </c>
      <c r="AX188" s="137">
        <f>$W188*AC188+$L188*Summary_LCIA!T$32</f>
        <v>51.34269059944301</v>
      </c>
      <c r="AY188" s="137">
        <f>$W188*AD188+$L188*Summary_LCIA!U$32</f>
        <v>2.0382522713582016</v>
      </c>
      <c r="AZ188" s="137">
        <f>$W188*AE188+$L188*Summary_LCIA!V$32</f>
        <v>9.8926457753462926E-3</v>
      </c>
      <c r="BA188" s="137">
        <f>$W188*AF188+$L188*Summary_LCIA!W$32</f>
        <v>15.341325027950479</v>
      </c>
      <c r="BB188" s="137">
        <f>$W188*AG188+$L188*Summary_LCIA!X$32</f>
        <v>11.192043938054749</v>
      </c>
      <c r="BC188" s="137">
        <f>$W188*AH188+$L188*Summary_LCIA!Y$32</f>
        <v>1.7774769633962668</v>
      </c>
      <c r="BD188" s="137">
        <f>$W188*AI188+$L188*Summary_LCIA!Z$32</f>
        <v>0.16541707158353541</v>
      </c>
      <c r="BE188" s="137">
        <f>$W188*AJ188+$L188*Summary_LCIA!AA$32</f>
        <v>3.1314601369146855</v>
      </c>
      <c r="BF188" s="137">
        <f>$W188*AK188+$L188*Summary_LCIA!AB$32</f>
        <v>4.032560842747019E-2</v>
      </c>
      <c r="BG188" s="137">
        <f>$W188*AL188+$L188*Summary_LCIA!AC$32</f>
        <v>2.5489451061957275E-5</v>
      </c>
      <c r="BH188" s="137">
        <f>$W188*AM188+$L188*Summary_LCIA!AD$32</f>
        <v>0.11812601356038899</v>
      </c>
      <c r="BI188" s="137">
        <f>$W188*AN188+$L188*Summary_LCIA!AE$32</f>
        <v>0.33209014604960735</v>
      </c>
      <c r="BJ188" s="137">
        <f>$W188*AO188+$L188*Summary_LCIA!AF$32</f>
        <v>8.9480563307694452E-2</v>
      </c>
      <c r="BK188" s="137">
        <f>$W188*AP188+$L188*Summary_LCIA!AG$32</f>
        <v>8.7508965976944419E-3</v>
      </c>
      <c r="BL188" s="137">
        <f>$W188*AQ188+$L188*Summary_LCIA!AH$32</f>
        <v>1.4101798363940947</v>
      </c>
      <c r="BM188" s="137">
        <f>$W188*AR188+$L188*Summary_LCIA!AI$32</f>
        <v>0.29355762016824866</v>
      </c>
    </row>
    <row r="189" spans="1:65" x14ac:dyDescent="0.25">
      <c r="A189" s="149">
        <v>117</v>
      </c>
      <c r="B189" s="149">
        <v>6</v>
      </c>
      <c r="C189" s="61">
        <v>41.720916000000003</v>
      </c>
      <c r="D189" s="61">
        <v>-93.629379999999998</v>
      </c>
      <c r="E189" s="61" t="s">
        <v>265</v>
      </c>
      <c r="F189" s="149">
        <v>121</v>
      </c>
      <c r="G189" s="61" t="s">
        <v>287</v>
      </c>
      <c r="H189" s="61" t="s">
        <v>290</v>
      </c>
      <c r="I189" s="61">
        <v>41.301873000000001</v>
      </c>
      <c r="J189" s="61">
        <v>-95.893741000000006</v>
      </c>
      <c r="K189" s="61">
        <v>200.06094519999999</v>
      </c>
      <c r="L189" s="61">
        <v>235.221</v>
      </c>
      <c r="M189" s="61" t="s">
        <v>617</v>
      </c>
      <c r="N189" s="149">
        <v>5</v>
      </c>
      <c r="O189" s="149">
        <v>6</v>
      </c>
      <c r="P189" s="61" t="s">
        <v>565</v>
      </c>
      <c r="Q189" s="61" t="s">
        <v>564</v>
      </c>
      <c r="R189" s="61">
        <v>41.98028</v>
      </c>
      <c r="S189" s="61">
        <v>-87.908997900000003</v>
      </c>
      <c r="T189" s="61">
        <v>535.13599999999997</v>
      </c>
      <c r="U189" s="61" t="s">
        <v>617</v>
      </c>
      <c r="V189" s="61" t="s">
        <v>569</v>
      </c>
      <c r="W189" s="61" cm="1">
        <f t="array" ref="W189">getDistance(I189,J189,R189,S189)*SA!$B$12</f>
        <v>669.26749072627524</v>
      </c>
      <c r="Y189" s="137">
        <f>Transportation_LCIA!C$61*($W189^Transportation_LCIA!C$60)+Transportation_LCIA!C$62</f>
        <v>0.28504039049137575</v>
      </c>
      <c r="Z189" s="137">
        <f>Transportation_LCIA!D$61*($W189^Transportation_LCIA!D$60)+Transportation_LCIA!D$62</f>
        <v>3.0041649469674656</v>
      </c>
      <c r="AA189" s="137">
        <f>Transportation_LCIA!E$61*($W189^Transportation_LCIA!E$60)+Transportation_LCIA!E$62</f>
        <v>1.525706097435096E-3</v>
      </c>
      <c r="AB189" s="137">
        <f>Transportation_LCIA!F$61*($W189^Transportation_LCIA!F$60)+Transportation_LCIA!F$62</f>
        <v>0.28504039049137575</v>
      </c>
      <c r="AC189" s="137">
        <f>Transportation_LCIA!G$61*($W189^Transportation_LCIA!G$60)+Transportation_LCIA!G$62</f>
        <v>7.0068758885027033E-2</v>
      </c>
      <c r="AD189" s="137">
        <f>Transportation_LCIA!H$61*($W189^Transportation_LCIA!H$60)+Transportation_LCIA!H$62</f>
        <v>3.6107816379944279E-4</v>
      </c>
      <c r="AE189" s="137">
        <f>Transportation_LCIA!I$61*($W189^Transportation_LCIA!I$60)+Transportation_LCIA!I$62</f>
        <v>8.0591675714929097E-6</v>
      </c>
      <c r="AF189" s="137">
        <f>Transportation_LCIA!J$61*($W189^Transportation_LCIA!J$60)+Transportation_LCIA!J$62</f>
        <v>1.1964774828826928E-2</v>
      </c>
      <c r="AG189" s="137">
        <f>Transportation_LCIA!K$61*($W189^Transportation_LCIA!K$60)+Transportation_LCIA!K$62</f>
        <v>1.5195002827775642E-2</v>
      </c>
      <c r="AH189" s="137">
        <f>Transportation_LCIA!L$61*($W189^Transportation_LCIA!L$60)+Transportation_LCIA!L$62</f>
        <v>3.1754527567534542E-4</v>
      </c>
      <c r="AI189" s="137">
        <f>Transportation_LCIA!M$61*($W189^Transportation_LCIA!M$60)+Transportation_LCIA!M$62</f>
        <v>2.9013540374786794E-4</v>
      </c>
      <c r="AJ189" s="137">
        <f>Transportation_LCIA!N$61*($W189^Transportation_LCIA!N$60)+Transportation_LCIA!N$62</f>
        <v>1.2730376617698762E-3</v>
      </c>
      <c r="AK189" s="137">
        <f>Transportation_LCIA!O$61*($W189^Transportation_LCIA!O$60)+Transportation_LCIA!O$62</f>
        <v>7.4124631538667591E-5</v>
      </c>
      <c r="AL189" s="137">
        <f>Transportation_LCIA!P$61*($W189^Transportation_LCIA!P$60)+Transportation_LCIA!P$62</f>
        <v>3.5802611393451831E-8</v>
      </c>
      <c r="AM189" s="137">
        <f>Transportation_LCIA!Q$61*($W189^Transportation_LCIA!Q$60)+Transportation_LCIA!Q$62</f>
        <v>1.2535917081520263E-4</v>
      </c>
      <c r="AN189" s="137">
        <f>Transportation_LCIA!R$61*($W189^Transportation_LCIA!R$60)+Transportation_LCIA!R$62</f>
        <v>3.8732436662072014E-4</v>
      </c>
      <c r="AO189" s="137">
        <f>Transportation_LCIA!S$61*($W189^Transportation_LCIA!S$60)+Transportation_LCIA!S$62</f>
        <v>5.7538657024500324E-6</v>
      </c>
      <c r="AP189" s="137">
        <f>Transportation_LCIA!T$61*($W189^Transportation_LCIA!T$60)+Transportation_LCIA!T$62</f>
        <v>5.7538657024500324E-6</v>
      </c>
      <c r="AQ189" s="137">
        <f>Transportation_LCIA!U$61*($W189^Transportation_LCIA!U$60)+Transportation_LCIA!U$62</f>
        <v>8.3645465454341723E-4</v>
      </c>
      <c r="AR189" s="137">
        <f>Transportation_LCIA!V$61*($W189^Transportation_LCIA!V$60)+Transportation_LCIA!V$62</f>
        <v>3.2616855470196486E-4</v>
      </c>
      <c r="AT189" s="137">
        <f>$W189*Y189+$L189*Summary_LCIA!H$32</f>
        <v>270.69636269980072</v>
      </c>
      <c r="AU189" s="137">
        <f>$W189*Z189+$L189*Summary_LCIA!Q$32</f>
        <v>3176.3570746854425</v>
      </c>
      <c r="AV189" s="137">
        <f>$W189*AA189+$L189*Summary_LCIA!R$32</f>
        <v>2.2596851890161647</v>
      </c>
      <c r="AW189" s="137">
        <f>$W189*AB189+$L189*Summary_LCIA!S$32</f>
        <v>269.6566858798007</v>
      </c>
      <c r="AX189" s="137">
        <f>$W189*AC189+$L189*Summary_LCIA!T$32</f>
        <v>72.745530337286453</v>
      </c>
      <c r="AY189" s="137">
        <f>$W189*AD189+$L189*Summary_LCIA!U$32</f>
        <v>4.4554068706421042</v>
      </c>
      <c r="AZ189" s="137">
        <f>$W189*AE189+$L189*Summary_LCIA!V$32</f>
        <v>1.662812903891563E-2</v>
      </c>
      <c r="BA189" s="137">
        <f>$W189*AF189+$L189*Summary_LCIA!W$32</f>
        <v>26.112830417793898</v>
      </c>
      <c r="BB189" s="137">
        <f>$W189*AG189+$L189*Summary_LCIA!X$32</f>
        <v>15.527855794124061</v>
      </c>
      <c r="BC189" s="137">
        <f>$W189*AH189+$L189*Summary_LCIA!Y$32</f>
        <v>3.8777363518432217</v>
      </c>
      <c r="BD189" s="137">
        <f>$W189*AI189+$L189*Summary_LCIA!Z$32</f>
        <v>0.20382437162619033</v>
      </c>
      <c r="BE189" s="137">
        <f>$W189*AJ189+$L189*Summary_LCIA!AA$32</f>
        <v>6.3458243974927697</v>
      </c>
      <c r="BF189" s="137">
        <f>$W189*AK189+$L189*Summary_LCIA!AB$32</f>
        <v>4.4475978267893776E-2</v>
      </c>
      <c r="BG189" s="137">
        <f>$W189*AL189+$L189*Summary_LCIA!AC$32</f>
        <v>3.5460067252743457E-5</v>
      </c>
      <c r="BH189" s="137">
        <f>$W189*AM189+$L189*Summary_LCIA!AD$32</f>
        <v>0.18058405753101719</v>
      </c>
      <c r="BI189" s="137">
        <f>$W189*AN189+$L189*Summary_LCIA!AE$32</f>
        <v>0.46765999167539324</v>
      </c>
      <c r="BJ189" s="137">
        <f>$W189*AO189+$L189*Summary_LCIA!AF$32</f>
        <v>0.20271141308065474</v>
      </c>
      <c r="BK189" s="137">
        <f>$W189*AP189+$L189*Summary_LCIA!AG$32</f>
        <v>1.5885957725654713E-2</v>
      </c>
      <c r="BL189" s="137">
        <f>$W189*AQ189+$L189*Summary_LCIA!AH$32</f>
        <v>2.6070814033525864</v>
      </c>
      <c r="BM189" s="137">
        <f>$W189*AR189+$L189*Summary_LCIA!AI$32</f>
        <v>0.43741413270919982</v>
      </c>
    </row>
    <row r="190" spans="1:65" x14ac:dyDescent="0.25">
      <c r="A190" s="149">
        <v>118</v>
      </c>
      <c r="B190" s="149">
        <v>6</v>
      </c>
      <c r="C190" s="61">
        <v>41.720916000000003</v>
      </c>
      <c r="D190" s="61">
        <v>-93.629379999999998</v>
      </c>
      <c r="E190" s="61" t="s">
        <v>265</v>
      </c>
      <c r="F190" s="149">
        <v>121</v>
      </c>
      <c r="G190" s="61" t="s">
        <v>287</v>
      </c>
      <c r="H190" s="61" t="s">
        <v>290</v>
      </c>
      <c r="I190" s="61">
        <v>41.301873000000001</v>
      </c>
      <c r="J190" s="61">
        <v>-95.893741000000006</v>
      </c>
      <c r="K190" s="61">
        <v>200.06094519999999</v>
      </c>
      <c r="L190" s="61">
        <v>235.221</v>
      </c>
      <c r="M190" s="61" t="s">
        <v>617</v>
      </c>
      <c r="N190" s="149">
        <v>5</v>
      </c>
      <c r="O190" s="149">
        <v>6</v>
      </c>
      <c r="P190" s="61" t="s">
        <v>565</v>
      </c>
      <c r="Q190" s="61" t="s">
        <v>564</v>
      </c>
      <c r="R190" s="61">
        <v>41.98028</v>
      </c>
      <c r="S190" s="61">
        <v>-87.908997900000003</v>
      </c>
      <c r="T190" s="61">
        <v>535.13599999999997</v>
      </c>
      <c r="U190" s="61" t="s">
        <v>617</v>
      </c>
      <c r="V190" s="61" t="s">
        <v>569</v>
      </c>
      <c r="W190" s="61" cm="1">
        <f t="array" ref="W190">getDistance(I190,J190,R190,S190)*SA!$B$12</f>
        <v>669.26749072627524</v>
      </c>
      <c r="Y190" s="137">
        <f>Transportation_LCIA!C$61*($W190^Transportation_LCIA!C$60)+Transportation_LCIA!C$62</f>
        <v>0.28504039049137575</v>
      </c>
      <c r="Z190" s="137">
        <f>Transportation_LCIA!D$61*($W190^Transportation_LCIA!D$60)+Transportation_LCIA!D$62</f>
        <v>3.0041649469674656</v>
      </c>
      <c r="AA190" s="137">
        <f>Transportation_LCIA!E$61*($W190^Transportation_LCIA!E$60)+Transportation_LCIA!E$62</f>
        <v>1.525706097435096E-3</v>
      </c>
      <c r="AB190" s="137">
        <f>Transportation_LCIA!F$61*($W190^Transportation_LCIA!F$60)+Transportation_LCIA!F$62</f>
        <v>0.28504039049137575</v>
      </c>
      <c r="AC190" s="137">
        <f>Transportation_LCIA!G$61*($W190^Transportation_LCIA!G$60)+Transportation_LCIA!G$62</f>
        <v>7.0068758885027033E-2</v>
      </c>
      <c r="AD190" s="137">
        <f>Transportation_LCIA!H$61*($W190^Transportation_LCIA!H$60)+Transportation_LCIA!H$62</f>
        <v>3.6107816379944279E-4</v>
      </c>
      <c r="AE190" s="137">
        <f>Transportation_LCIA!I$61*($W190^Transportation_LCIA!I$60)+Transportation_LCIA!I$62</f>
        <v>8.0591675714929097E-6</v>
      </c>
      <c r="AF190" s="137">
        <f>Transportation_LCIA!J$61*($W190^Transportation_LCIA!J$60)+Transportation_LCIA!J$62</f>
        <v>1.1964774828826928E-2</v>
      </c>
      <c r="AG190" s="137">
        <f>Transportation_LCIA!K$61*($W190^Transportation_LCIA!K$60)+Transportation_LCIA!K$62</f>
        <v>1.5195002827775642E-2</v>
      </c>
      <c r="AH190" s="137">
        <f>Transportation_LCIA!L$61*($W190^Transportation_LCIA!L$60)+Transportation_LCIA!L$62</f>
        <v>3.1754527567534542E-4</v>
      </c>
      <c r="AI190" s="137">
        <f>Transportation_LCIA!M$61*($W190^Transportation_LCIA!M$60)+Transportation_LCIA!M$62</f>
        <v>2.9013540374786794E-4</v>
      </c>
      <c r="AJ190" s="137">
        <f>Transportation_LCIA!N$61*($W190^Transportation_LCIA!N$60)+Transportation_LCIA!N$62</f>
        <v>1.2730376617698762E-3</v>
      </c>
      <c r="AK190" s="137">
        <f>Transportation_LCIA!O$61*($W190^Transportation_LCIA!O$60)+Transportation_LCIA!O$62</f>
        <v>7.4124631538667591E-5</v>
      </c>
      <c r="AL190" s="137">
        <f>Transportation_LCIA!P$61*($W190^Transportation_LCIA!P$60)+Transportation_LCIA!P$62</f>
        <v>3.5802611393451831E-8</v>
      </c>
      <c r="AM190" s="137">
        <f>Transportation_LCIA!Q$61*($W190^Transportation_LCIA!Q$60)+Transportation_LCIA!Q$62</f>
        <v>1.2535917081520263E-4</v>
      </c>
      <c r="AN190" s="137">
        <f>Transportation_LCIA!R$61*($W190^Transportation_LCIA!R$60)+Transportation_LCIA!R$62</f>
        <v>3.8732436662072014E-4</v>
      </c>
      <c r="AO190" s="137">
        <f>Transportation_LCIA!S$61*($W190^Transportation_LCIA!S$60)+Transportation_LCIA!S$62</f>
        <v>5.7538657024500324E-6</v>
      </c>
      <c r="AP190" s="137">
        <f>Transportation_LCIA!T$61*($W190^Transportation_LCIA!T$60)+Transportation_LCIA!T$62</f>
        <v>5.7538657024500324E-6</v>
      </c>
      <c r="AQ190" s="137">
        <f>Transportation_LCIA!U$61*($W190^Transportation_LCIA!U$60)+Transportation_LCIA!U$62</f>
        <v>8.3645465454341723E-4</v>
      </c>
      <c r="AR190" s="137">
        <f>Transportation_LCIA!V$61*($W190^Transportation_LCIA!V$60)+Transportation_LCIA!V$62</f>
        <v>3.2616855470196486E-4</v>
      </c>
      <c r="AT190" s="137">
        <f>$W190*Y190+$L190*Summary_LCIA!H$32</f>
        <v>270.69636269980072</v>
      </c>
      <c r="AU190" s="137">
        <f>$W190*Z190+$L190*Summary_LCIA!Q$32</f>
        <v>3176.3570746854425</v>
      </c>
      <c r="AV190" s="137">
        <f>$W190*AA190+$L190*Summary_LCIA!R$32</f>
        <v>2.2596851890161647</v>
      </c>
      <c r="AW190" s="137">
        <f>$W190*AB190+$L190*Summary_LCIA!S$32</f>
        <v>269.6566858798007</v>
      </c>
      <c r="AX190" s="137">
        <f>$W190*AC190+$L190*Summary_LCIA!T$32</f>
        <v>72.745530337286453</v>
      </c>
      <c r="AY190" s="137">
        <f>$W190*AD190+$L190*Summary_LCIA!U$32</f>
        <v>4.4554068706421042</v>
      </c>
      <c r="AZ190" s="137">
        <f>$W190*AE190+$L190*Summary_LCIA!V$32</f>
        <v>1.662812903891563E-2</v>
      </c>
      <c r="BA190" s="137">
        <f>$W190*AF190+$L190*Summary_LCIA!W$32</f>
        <v>26.112830417793898</v>
      </c>
      <c r="BB190" s="137">
        <f>$W190*AG190+$L190*Summary_LCIA!X$32</f>
        <v>15.527855794124061</v>
      </c>
      <c r="BC190" s="137">
        <f>$W190*AH190+$L190*Summary_LCIA!Y$32</f>
        <v>3.8777363518432217</v>
      </c>
      <c r="BD190" s="137">
        <f>$W190*AI190+$L190*Summary_LCIA!Z$32</f>
        <v>0.20382437162619033</v>
      </c>
      <c r="BE190" s="137">
        <f>$W190*AJ190+$L190*Summary_LCIA!AA$32</f>
        <v>6.3458243974927697</v>
      </c>
      <c r="BF190" s="137">
        <f>$W190*AK190+$L190*Summary_LCIA!AB$32</f>
        <v>4.4475978267893776E-2</v>
      </c>
      <c r="BG190" s="137">
        <f>$W190*AL190+$L190*Summary_LCIA!AC$32</f>
        <v>3.5460067252743457E-5</v>
      </c>
      <c r="BH190" s="137">
        <f>$W190*AM190+$L190*Summary_LCIA!AD$32</f>
        <v>0.18058405753101719</v>
      </c>
      <c r="BI190" s="137">
        <f>$W190*AN190+$L190*Summary_LCIA!AE$32</f>
        <v>0.46765999167539324</v>
      </c>
      <c r="BJ190" s="137">
        <f>$W190*AO190+$L190*Summary_LCIA!AF$32</f>
        <v>0.20271141308065474</v>
      </c>
      <c r="BK190" s="137">
        <f>$W190*AP190+$L190*Summary_LCIA!AG$32</f>
        <v>1.5885957725654713E-2</v>
      </c>
      <c r="BL190" s="137">
        <f>$W190*AQ190+$L190*Summary_LCIA!AH$32</f>
        <v>2.6070814033525864</v>
      </c>
      <c r="BM190" s="137">
        <f>$W190*AR190+$L190*Summary_LCIA!AI$32</f>
        <v>0.43741413270919982</v>
      </c>
    </row>
    <row r="191" spans="1:65" x14ac:dyDescent="0.25">
      <c r="A191" s="149">
        <v>234</v>
      </c>
      <c r="B191" s="149">
        <v>43</v>
      </c>
      <c r="C191" s="61">
        <v>40.324514000000001</v>
      </c>
      <c r="D191" s="61">
        <v>-79.701155</v>
      </c>
      <c r="E191" s="61" t="s">
        <v>265</v>
      </c>
      <c r="F191" s="149">
        <v>106</v>
      </c>
      <c r="G191" s="61" t="s">
        <v>266</v>
      </c>
      <c r="H191" s="61" t="s">
        <v>669</v>
      </c>
      <c r="I191" s="61">
        <v>40.491920999999998</v>
      </c>
      <c r="J191" s="61">
        <v>-80.235223000000005</v>
      </c>
      <c r="K191" s="61">
        <v>50.994779719999997</v>
      </c>
      <c r="L191" s="61">
        <v>71.013000000000005</v>
      </c>
      <c r="M191" s="61" t="s">
        <v>617</v>
      </c>
      <c r="N191" s="149">
        <v>42</v>
      </c>
      <c r="O191" s="149">
        <v>43</v>
      </c>
      <c r="P191" s="61" t="s">
        <v>565</v>
      </c>
      <c r="Q191" s="61" t="s">
        <v>555</v>
      </c>
      <c r="R191" s="61">
        <v>40.6895314</v>
      </c>
      <c r="S191" s="61">
        <v>-74.174462399999996</v>
      </c>
      <c r="T191" s="61">
        <v>542.74</v>
      </c>
      <c r="U191" s="61" t="s">
        <v>617</v>
      </c>
      <c r="V191" s="61" t="s">
        <v>569</v>
      </c>
      <c r="W191" s="61" cm="1">
        <f t="array" ref="W191">getDistance(I191,J191,R191,S191)*SA!$B$12</f>
        <v>513.433583839015</v>
      </c>
      <c r="Y191" s="137">
        <f>Transportation_LCIA!C$61*($W191^Transportation_LCIA!C$60)+Transportation_LCIA!C$62</f>
        <v>0.32815716511039528</v>
      </c>
      <c r="Z191" s="137">
        <f>Transportation_LCIA!D$61*($W191^Transportation_LCIA!D$60)+Transportation_LCIA!D$62</f>
        <v>3.5191542163843881</v>
      </c>
      <c r="AA191" s="137">
        <f>Transportation_LCIA!E$61*($W191^Transportation_LCIA!E$60)+Transportation_LCIA!E$62</f>
        <v>1.8665206810453132E-3</v>
      </c>
      <c r="AB191" s="137">
        <f>Transportation_LCIA!F$61*($W191^Transportation_LCIA!F$60)+Transportation_LCIA!F$62</f>
        <v>0.32815716511039528</v>
      </c>
      <c r="AC191" s="137">
        <f>Transportation_LCIA!G$61*($W191^Transportation_LCIA!G$60)+Transportation_LCIA!G$62</f>
        <v>8.1967302989677859E-2</v>
      </c>
      <c r="AD191" s="137">
        <f>Transportation_LCIA!H$61*($W191^Transportation_LCIA!H$60)+Transportation_LCIA!H$62</f>
        <v>4.3698853519291556E-4</v>
      </c>
      <c r="AE191" s="137">
        <f>Transportation_LCIA!I$61*($W191^Transportation_LCIA!I$60)+Transportation_LCIA!I$62</f>
        <v>1.0010201729396875E-5</v>
      </c>
      <c r="AF191" s="137">
        <f>Transportation_LCIA!J$61*($W191^Transportation_LCIA!J$60)+Transportation_LCIA!J$62</f>
        <v>1.4910087392935532E-2</v>
      </c>
      <c r="AG191" s="137">
        <f>Transportation_LCIA!K$61*($W191^Transportation_LCIA!K$60)+Transportation_LCIA!K$62</f>
        <v>1.8005284512120634E-2</v>
      </c>
      <c r="AH191" s="137">
        <f>Transportation_LCIA!L$61*($W191^Transportation_LCIA!L$60)+Transportation_LCIA!L$62</f>
        <v>3.8774642038002372E-4</v>
      </c>
      <c r="AI191" s="137">
        <f>Transportation_LCIA!M$61*($W191^Transportation_LCIA!M$60)+Transportation_LCIA!M$62</f>
        <v>3.3205908340433346E-4</v>
      </c>
      <c r="AJ191" s="137">
        <f>Transportation_LCIA!N$61*($W191^Transportation_LCIA!N$60)+Transportation_LCIA!N$62</f>
        <v>1.5278401037459809E-3</v>
      </c>
      <c r="AK191" s="137">
        <f>Transportation_LCIA!O$61*($W191^Transportation_LCIA!O$60)+Transportation_LCIA!O$62</f>
        <v>8.6776433969231709E-5</v>
      </c>
      <c r="AL191" s="137">
        <f>Transportation_LCIA!P$61*($W191^Transportation_LCIA!P$60)+Transportation_LCIA!P$62</f>
        <v>4.187496920977748E-8</v>
      </c>
      <c r="AM191" s="137">
        <f>Transportation_LCIA!Q$61*($W191^Transportation_LCIA!Q$60)+Transportation_LCIA!Q$62</f>
        <v>1.5289540886279419E-4</v>
      </c>
      <c r="AN191" s="137">
        <f>Transportation_LCIA!R$61*($W191^Transportation_LCIA!R$60)+Transportation_LCIA!R$62</f>
        <v>4.8092919779996581E-4</v>
      </c>
      <c r="AO191" s="137">
        <f>Transportation_LCIA!S$61*($W191^Transportation_LCIA!S$60)+Transportation_LCIA!S$62</f>
        <v>7.081081996143308E-6</v>
      </c>
      <c r="AP191" s="137">
        <f>Transportation_LCIA!T$61*($W191^Transportation_LCIA!T$60)+Transportation_LCIA!T$62</f>
        <v>7.081081996143308E-6</v>
      </c>
      <c r="AQ191" s="137">
        <f>Transportation_LCIA!U$61*($W191^Transportation_LCIA!U$60)+Transportation_LCIA!U$62</f>
        <v>1.0425420500377758E-3</v>
      </c>
      <c r="AR191" s="137">
        <f>Transportation_LCIA!V$61*($W191^Transportation_LCIA!V$60)+Transportation_LCIA!V$62</f>
        <v>3.9809863614409633E-4</v>
      </c>
      <c r="AT191" s="137">
        <f>$W191*Y191+$L191*Summary_LCIA!H$32</f>
        <v>192.61712674508161</v>
      </c>
      <c r="AU191" s="137">
        <f>$W191*Z191+$L191*Summary_LCIA!Q$32</f>
        <v>2158.7959707990458</v>
      </c>
      <c r="AV191" s="137">
        <f>$W191*AA191+$L191*Summary_LCIA!R$32</f>
        <v>1.3322604553787343</v>
      </c>
      <c r="AW191" s="137">
        <f>$W191*AB191+$L191*Summary_LCIA!S$32</f>
        <v>192.30324928508162</v>
      </c>
      <c r="AX191" s="137">
        <f>$W191*AC191+$L191*Summary_LCIA!T$32</f>
        <v>49.889094831608709</v>
      </c>
      <c r="AY191" s="137">
        <f>$W191*AD191+$L191*Summary_LCIA!U$32</f>
        <v>1.4964914717206601</v>
      </c>
      <c r="AZ191" s="137">
        <f>$W191*AE191+$L191*Summary_LCIA!V$32</f>
        <v>8.5312256418757434E-3</v>
      </c>
      <c r="BA191" s="137">
        <f>$W191*AF191+$L191*Summary_LCIA!W$32</f>
        <v>13.121281228507806</v>
      </c>
      <c r="BB191" s="137">
        <f>$W191*AG191+$L191*Summary_LCIA!X$32</f>
        <v>10.862193895099209</v>
      </c>
      <c r="BC191" s="137">
        <f>$W191*AH191+$L191*Summary_LCIA!Y$32</f>
        <v>1.305606600236465</v>
      </c>
      <c r="BD191" s="137">
        <f>$W191*AI191+$L191*Summary_LCIA!Z$32</f>
        <v>0.17340245735558532</v>
      </c>
      <c r="BE191" s="137">
        <f>$W191*AJ191+$L191*Summary_LCIA!AA$32</f>
        <v>2.4430240479992715</v>
      </c>
      <c r="BF191" s="137">
        <f>$W191*AK191+$L191*Summary_LCIA!AB$32</f>
        <v>4.3004218786592274E-2</v>
      </c>
      <c r="BG191" s="137">
        <f>$W191*AL191+$L191*Summary_LCIA!AC$32</f>
        <v>2.4971415006524458E-5</v>
      </c>
      <c r="BH191" s="137">
        <f>$W191*AM191+$L191*Summary_LCIA!AD$32</f>
        <v>0.10769082124495591</v>
      </c>
      <c r="BI191" s="137">
        <f>$W191*AN191+$L191*Summary_LCIA!AE$32</f>
        <v>0.30985195128925902</v>
      </c>
      <c r="BJ191" s="137">
        <f>$W191*AO191+$L191*Summary_LCIA!AF$32</f>
        <v>6.367147576673779E-2</v>
      </c>
      <c r="BK191" s="137">
        <f>$W191*AP191+$L191*Summary_LCIA!AG$32</f>
        <v>7.2690454517377852E-3</v>
      </c>
      <c r="BL191" s="137">
        <f>$W191*AQ191+$L191*Summary_LCIA!AH$32</f>
        <v>1.1533448478537691</v>
      </c>
      <c r="BM191" s="137">
        <f>$W191*AR191+$L191*Summary_LCIA!AI$32</f>
        <v>0.27054936962688741</v>
      </c>
    </row>
    <row r="192" spans="1:65" x14ac:dyDescent="0.25">
      <c r="A192" s="149">
        <v>129</v>
      </c>
      <c r="B192" s="149">
        <v>6</v>
      </c>
      <c r="C192" s="61">
        <v>42.028866000000001</v>
      </c>
      <c r="D192" s="61">
        <v>-93.648031000000003</v>
      </c>
      <c r="E192" s="61" t="s">
        <v>265</v>
      </c>
      <c r="F192" s="149">
        <v>121</v>
      </c>
      <c r="G192" s="61" t="s">
        <v>287</v>
      </c>
      <c r="H192" s="61" t="s">
        <v>290</v>
      </c>
      <c r="I192" s="61">
        <v>41.301873000000001</v>
      </c>
      <c r="J192" s="61">
        <v>-95.893741000000006</v>
      </c>
      <c r="K192" s="61">
        <v>222.912556</v>
      </c>
      <c r="L192" s="61">
        <v>279.464</v>
      </c>
      <c r="M192" s="61" t="s">
        <v>617</v>
      </c>
      <c r="N192" s="149">
        <v>5</v>
      </c>
      <c r="O192" s="149">
        <v>6</v>
      </c>
      <c r="P192" s="61" t="s">
        <v>565</v>
      </c>
      <c r="Q192" s="61" t="s">
        <v>564</v>
      </c>
      <c r="R192" s="61">
        <v>41.98028</v>
      </c>
      <c r="S192" s="61">
        <v>-87.908997900000003</v>
      </c>
      <c r="T192" s="61">
        <v>556.37900000000002</v>
      </c>
      <c r="U192" s="61" t="s">
        <v>617</v>
      </c>
      <c r="V192" s="61" t="s">
        <v>569</v>
      </c>
      <c r="W192" s="61" cm="1">
        <f t="array" ref="W192">getDistance(I192,J192,R192,S192)*SA!$B$12</f>
        <v>669.26749072627524</v>
      </c>
      <c r="Y192" s="137">
        <f>Transportation_LCIA!C$61*($W192^Transportation_LCIA!C$60)+Transportation_LCIA!C$62</f>
        <v>0.28504039049137575</v>
      </c>
      <c r="Z192" s="137">
        <f>Transportation_LCIA!D$61*($W192^Transportation_LCIA!D$60)+Transportation_LCIA!D$62</f>
        <v>3.0041649469674656</v>
      </c>
      <c r="AA192" s="137">
        <f>Transportation_LCIA!E$61*($W192^Transportation_LCIA!E$60)+Transportation_LCIA!E$62</f>
        <v>1.525706097435096E-3</v>
      </c>
      <c r="AB192" s="137">
        <f>Transportation_LCIA!F$61*($W192^Transportation_LCIA!F$60)+Transportation_LCIA!F$62</f>
        <v>0.28504039049137575</v>
      </c>
      <c r="AC192" s="137">
        <f>Transportation_LCIA!G$61*($W192^Transportation_LCIA!G$60)+Transportation_LCIA!G$62</f>
        <v>7.0068758885027033E-2</v>
      </c>
      <c r="AD192" s="137">
        <f>Transportation_LCIA!H$61*($W192^Transportation_LCIA!H$60)+Transportation_LCIA!H$62</f>
        <v>3.6107816379944279E-4</v>
      </c>
      <c r="AE192" s="137">
        <f>Transportation_LCIA!I$61*($W192^Transportation_LCIA!I$60)+Transportation_LCIA!I$62</f>
        <v>8.0591675714929097E-6</v>
      </c>
      <c r="AF192" s="137">
        <f>Transportation_LCIA!J$61*($W192^Transportation_LCIA!J$60)+Transportation_LCIA!J$62</f>
        <v>1.1964774828826928E-2</v>
      </c>
      <c r="AG192" s="137">
        <f>Transportation_LCIA!K$61*($W192^Transportation_LCIA!K$60)+Transportation_LCIA!K$62</f>
        <v>1.5195002827775642E-2</v>
      </c>
      <c r="AH192" s="137">
        <f>Transportation_LCIA!L$61*($W192^Transportation_LCIA!L$60)+Transportation_LCIA!L$62</f>
        <v>3.1754527567534542E-4</v>
      </c>
      <c r="AI192" s="137">
        <f>Transportation_LCIA!M$61*($W192^Transportation_LCIA!M$60)+Transportation_LCIA!M$62</f>
        <v>2.9013540374786794E-4</v>
      </c>
      <c r="AJ192" s="137">
        <f>Transportation_LCIA!N$61*($W192^Transportation_LCIA!N$60)+Transportation_LCIA!N$62</f>
        <v>1.2730376617698762E-3</v>
      </c>
      <c r="AK192" s="137">
        <f>Transportation_LCIA!O$61*($W192^Transportation_LCIA!O$60)+Transportation_LCIA!O$62</f>
        <v>7.4124631538667591E-5</v>
      </c>
      <c r="AL192" s="137">
        <f>Transportation_LCIA!P$61*($W192^Transportation_LCIA!P$60)+Transportation_LCIA!P$62</f>
        <v>3.5802611393451831E-8</v>
      </c>
      <c r="AM192" s="137">
        <f>Transportation_LCIA!Q$61*($W192^Transportation_LCIA!Q$60)+Transportation_LCIA!Q$62</f>
        <v>1.2535917081520263E-4</v>
      </c>
      <c r="AN192" s="137">
        <f>Transportation_LCIA!R$61*($W192^Transportation_LCIA!R$60)+Transportation_LCIA!R$62</f>
        <v>3.8732436662072014E-4</v>
      </c>
      <c r="AO192" s="137">
        <f>Transportation_LCIA!S$61*($W192^Transportation_LCIA!S$60)+Transportation_LCIA!S$62</f>
        <v>5.7538657024500324E-6</v>
      </c>
      <c r="AP192" s="137">
        <f>Transportation_LCIA!T$61*($W192^Transportation_LCIA!T$60)+Transportation_LCIA!T$62</f>
        <v>5.7538657024500324E-6</v>
      </c>
      <c r="AQ192" s="137">
        <f>Transportation_LCIA!U$61*($W192^Transportation_LCIA!U$60)+Transportation_LCIA!U$62</f>
        <v>8.3645465454341723E-4</v>
      </c>
      <c r="AR192" s="137">
        <f>Transportation_LCIA!V$61*($W192^Transportation_LCIA!V$60)+Transportation_LCIA!V$62</f>
        <v>3.2616855470196486E-4</v>
      </c>
      <c r="AT192" s="137">
        <f>$W192*Y192+$L192*Summary_LCIA!H$32</f>
        <v>285.73013409980069</v>
      </c>
      <c r="AU192" s="137">
        <f>$W192*Z192+$L192*Summary_LCIA!Q$32</f>
        <v>3395.6276139926613</v>
      </c>
      <c r="AV192" s="137">
        <f>$W192*AA192+$L192*Summary_LCIA!R$32</f>
        <v>2.4926511298161644</v>
      </c>
      <c r="AW192" s="137">
        <f>$W192*AB192+$L192*Summary_LCIA!S$32</f>
        <v>284.49490321980068</v>
      </c>
      <c r="AX192" s="137">
        <f>$W192*AC192+$L192*Summary_LCIA!T$32</f>
        <v>77.607836037286447</v>
      </c>
      <c r="AY192" s="137">
        <f>$W192*AD192+$L192*Summary_LCIA!U$32</f>
        <v>5.247975972642104</v>
      </c>
      <c r="AZ192" s="137">
        <f>$W192*AE192+$L192*Summary_LCIA!V$32</f>
        <v>1.8741218961915627E-2</v>
      </c>
      <c r="BA192" s="137">
        <f>$W192*AF192+$L192*Summary_LCIA!W$32</f>
        <v>29.518258370793895</v>
      </c>
      <c r="BB192" s="137">
        <f>$W192*AG192+$L192*Summary_LCIA!X$32</f>
        <v>16.535711334124059</v>
      </c>
      <c r="BC192" s="137">
        <f>$W192*AH192+$L192*Summary_LCIA!Y$32</f>
        <v>4.5671307778432224</v>
      </c>
      <c r="BD192" s="137">
        <f>$W192*AI192+$L192*Summary_LCIA!Z$32</f>
        <v>0.20563873281319034</v>
      </c>
      <c r="BE192" s="137">
        <f>$W192*AJ192+$L192*Summary_LCIA!AA$32</f>
        <v>7.3791639054927689</v>
      </c>
      <c r="BF192" s="137">
        <f>$W192*AK192+$L192*Summary_LCIA!AB$32</f>
        <v>4.3510463278893782E-2</v>
      </c>
      <c r="BG192" s="137">
        <f>$W192*AL192+$L192*Summary_LCIA!AC$32</f>
        <v>3.7622842064743461E-5</v>
      </c>
      <c r="BH192" s="137">
        <f>$W192*AM192+$L192*Summary_LCIA!AD$32</f>
        <v>0.19876970025101717</v>
      </c>
      <c r="BI192" s="137">
        <f>$W192*AN192+$L192*Summary_LCIA!AE$32</f>
        <v>0.50686504126539322</v>
      </c>
      <c r="BJ192" s="137">
        <f>$W192*AO192+$L192*Summary_LCIA!AF$32</f>
        <v>0.24011533014065473</v>
      </c>
      <c r="BK192" s="137">
        <f>$W192*AP192+$L192*Summary_LCIA!AG$32</f>
        <v>1.8149650820654711E-2</v>
      </c>
      <c r="BL192" s="137">
        <f>$W192*AQ192+$L192*Summary_LCIA!AH$32</f>
        <v>2.9921547781525866</v>
      </c>
      <c r="BM192" s="137">
        <f>$W192*AR192+$L192*Summary_LCIA!AI$32</f>
        <v>0.47862869935919983</v>
      </c>
    </row>
    <row r="193" spans="1:65" x14ac:dyDescent="0.25">
      <c r="A193" s="149">
        <v>188</v>
      </c>
      <c r="B193" s="149">
        <v>6</v>
      </c>
      <c r="C193" s="61">
        <v>42.404803000000001</v>
      </c>
      <c r="D193" s="61">
        <v>-82.191038000000006</v>
      </c>
      <c r="E193" s="61" t="s">
        <v>456</v>
      </c>
      <c r="F193" s="149">
        <v>78</v>
      </c>
      <c r="G193" s="61" t="s">
        <v>615</v>
      </c>
      <c r="H193" s="61" t="s">
        <v>616</v>
      </c>
      <c r="I193" s="61">
        <v>42.216248999999998</v>
      </c>
      <c r="J193" s="61">
        <v>-83.355363999999994</v>
      </c>
      <c r="K193" s="61">
        <v>103.2140149</v>
      </c>
      <c r="L193" s="61">
        <v>119.09</v>
      </c>
      <c r="M193" s="61" t="s">
        <v>617</v>
      </c>
      <c r="N193" s="149">
        <v>5</v>
      </c>
      <c r="O193" s="149">
        <v>6</v>
      </c>
      <c r="P193" s="61" t="s">
        <v>565</v>
      </c>
      <c r="Q193" s="61" t="s">
        <v>564</v>
      </c>
      <c r="R193" s="61">
        <v>41.98028</v>
      </c>
      <c r="S193" s="61">
        <v>-87.908997900000003</v>
      </c>
      <c r="T193" s="61">
        <v>565.01400000000001</v>
      </c>
      <c r="U193" s="61" t="s">
        <v>617</v>
      </c>
      <c r="V193" s="61" t="s">
        <v>569</v>
      </c>
      <c r="W193" s="61" cm="1">
        <f t="array" ref="W193">getDistance(I193,J193,R193,S193)*SA!$B$12</f>
        <v>377.55996592631055</v>
      </c>
      <c r="Y193" s="137">
        <f>Transportation_LCIA!C$61*($W193^Transportation_LCIA!C$60)+Transportation_LCIA!C$62</f>
        <v>0.39177321151276934</v>
      </c>
      <c r="Z193" s="137">
        <f>Transportation_LCIA!D$61*($W193^Transportation_LCIA!D$60)+Transportation_LCIA!D$62</f>
        <v>4.2885469298554302</v>
      </c>
      <c r="AA193" s="137">
        <f>Transportation_LCIA!E$61*($W193^Transportation_LCIA!E$60)+Transportation_LCIA!E$62</f>
        <v>2.3774892800205579E-3</v>
      </c>
      <c r="AB193" s="137">
        <f>Transportation_LCIA!F$61*($W193^Transportation_LCIA!F$60)+Transportation_LCIA!F$62</f>
        <v>0.39177321151276934</v>
      </c>
      <c r="AC193" s="137">
        <f>Transportation_LCIA!G$61*($W193^Transportation_LCIA!G$60)+Transportation_LCIA!G$62</f>
        <v>9.9730740674667376E-2</v>
      </c>
      <c r="AD193" s="137">
        <f>Transportation_LCIA!H$61*($W193^Transportation_LCIA!H$60)+Transportation_LCIA!H$62</f>
        <v>5.5159056743946447E-4</v>
      </c>
      <c r="AE193" s="137">
        <f>Transportation_LCIA!I$61*($W193^Transportation_LCIA!I$60)+Transportation_LCIA!I$62</f>
        <v>1.2988810045312625E-5</v>
      </c>
      <c r="AF193" s="137">
        <f>Transportation_LCIA!J$61*($W193^Transportation_LCIA!J$60)+Transportation_LCIA!J$62</f>
        <v>1.9439626149728245E-2</v>
      </c>
      <c r="AG193" s="137">
        <f>Transportation_LCIA!K$61*($W193^Transportation_LCIA!K$60)+Transportation_LCIA!K$62</f>
        <v>2.2227364305679936E-2</v>
      </c>
      <c r="AH193" s="137">
        <f>Transportation_LCIA!L$61*($W193^Transportation_LCIA!L$60)+Transportation_LCIA!L$62</f>
        <v>4.9406726591070139E-4</v>
      </c>
      <c r="AI193" s="137">
        <f>Transportation_LCIA!M$61*($W193^Transportation_LCIA!M$60)+Transportation_LCIA!M$62</f>
        <v>3.9537528709454031E-4</v>
      </c>
      <c r="AJ193" s="137">
        <f>Transportation_LCIA!N$61*($W193^Transportation_LCIA!N$60)+Transportation_LCIA!N$62</f>
        <v>1.9121741222974152E-3</v>
      </c>
      <c r="AK193" s="137">
        <f>Transportation_LCIA!O$61*($W193^Transportation_LCIA!O$60)+Transportation_LCIA!O$62</f>
        <v>1.0567090816044529E-4</v>
      </c>
      <c r="AL193" s="137">
        <f>Transportation_LCIA!P$61*($W193^Transportation_LCIA!P$60)+Transportation_LCIA!P$62</f>
        <v>5.0935129732250114E-8</v>
      </c>
      <c r="AM193" s="137">
        <f>Transportation_LCIA!Q$61*($W193^Transportation_LCIA!Q$60)+Transportation_LCIA!Q$62</f>
        <v>1.9467109253194182E-4</v>
      </c>
      <c r="AN193" s="137">
        <f>Transportation_LCIA!R$61*($W193^Transportation_LCIA!R$60)+Transportation_LCIA!R$62</f>
        <v>6.2387261985424414E-4</v>
      </c>
      <c r="AO193" s="137">
        <f>Transportation_LCIA!S$61*($W193^Transportation_LCIA!S$60)+Transportation_LCIA!S$62</f>
        <v>9.1068518980920511E-6</v>
      </c>
      <c r="AP193" s="137">
        <f>Transportation_LCIA!T$61*($W193^Transportation_LCIA!T$60)+Transportation_LCIA!T$62</f>
        <v>9.1068518980920511E-6</v>
      </c>
      <c r="AQ193" s="137">
        <f>Transportation_LCIA!U$61*($W193^Transportation_LCIA!U$60)+Transportation_LCIA!U$62</f>
        <v>1.3579254338977325E-3</v>
      </c>
      <c r="AR193" s="137">
        <f>Transportation_LCIA!V$61*($W193^Transportation_LCIA!V$60)+Transportation_LCIA!V$62</f>
        <v>5.0746659917131709E-4</v>
      </c>
      <c r="AT193" s="137">
        <f>$W193*Y193+$L193*Summary_LCIA!H$32</f>
        <v>188.38466238960245</v>
      </c>
      <c r="AU193" s="137">
        <f>$W193*Z193+$L193*Summary_LCIA!Q$32</f>
        <v>2209.39967877557</v>
      </c>
      <c r="AV193" s="137">
        <f>$W193*AA193+$L193*Summary_LCIA!R$32</f>
        <v>1.5247250755547304</v>
      </c>
      <c r="AW193" s="137">
        <f>$W193*AB193+$L193*Summary_LCIA!S$32</f>
        <v>187.85828458960248</v>
      </c>
      <c r="AX193" s="137">
        <f>$W193*AC193+$L193*Summary_LCIA!T$32</f>
        <v>50.74232605093313</v>
      </c>
      <c r="AY193" s="137">
        <f>$W193*AD193+$L193*Summary_LCIA!U$32</f>
        <v>2.3416367758477188</v>
      </c>
      <c r="AZ193" s="137">
        <f>$W193*AE193+$L193*Summary_LCIA!V$32</f>
        <v>1.0591912168131556E-2</v>
      </c>
      <c r="BA193" s="137">
        <f>$W193*AF193+$L193*Summary_LCIA!W$32</f>
        <v>16.506100976711611</v>
      </c>
      <c r="BB193" s="137">
        <f>$W193*AG193+$L193*Summary_LCIA!X$32</f>
        <v>11.105033109884207</v>
      </c>
      <c r="BC193" s="137">
        <f>$W193*AH193+$L193*Summary_LCIA!Y$32</f>
        <v>2.04220040008255</v>
      </c>
      <c r="BD193" s="137">
        <f>$W193*AI193+$L193*Summary_LCIA!Z$32</f>
        <v>0.1541616417335199</v>
      </c>
      <c r="BE193" s="137">
        <f>$W193*AJ193+$L193*Summary_LCIA!AA$32</f>
        <v>3.5034264364597849</v>
      </c>
      <c r="BF193" s="137">
        <f>$W193*AK193+$L193*Summary_LCIA!AB$32</f>
        <v>3.7298203414460017E-2</v>
      </c>
      <c r="BG193" s="137">
        <f>$W193*AL193+$L193*Summary_LCIA!AC$32</f>
        <v>2.5052661406160563E-5</v>
      </c>
      <c r="BH193" s="137">
        <f>$W193*AM193+$L193*Summary_LCIA!AD$32</f>
        <v>0.1224507646631976</v>
      </c>
      <c r="BI193" s="137">
        <f>$W193*AN193+$L193*Summary_LCIA!AE$32</f>
        <v>0.34107854679452648</v>
      </c>
      <c r="BJ193" s="137">
        <f>$W193*AO193+$L193*Summary_LCIA!AF$32</f>
        <v>0.1041194504923396</v>
      </c>
      <c r="BK193" s="137">
        <f>$W193*AP193+$L193*Summary_LCIA!AG$32</f>
        <v>9.5316225423395916E-3</v>
      </c>
      <c r="BL193" s="137">
        <f>$W193*AQ193+$L193*Summary_LCIA!AH$32</f>
        <v>1.5492100045528985</v>
      </c>
      <c r="BM193" s="137">
        <f>$W193*AR193+$L193*Summary_LCIA!AI$32</f>
        <v>0.30253736139186316</v>
      </c>
    </row>
    <row r="194" spans="1:65" x14ac:dyDescent="0.25">
      <c r="A194" s="149">
        <v>231</v>
      </c>
      <c r="B194" s="149">
        <v>43</v>
      </c>
      <c r="C194" s="61">
        <v>40.356509000000003</v>
      </c>
      <c r="D194" s="61">
        <v>-79.919269999999997</v>
      </c>
      <c r="E194" s="61" t="s">
        <v>265</v>
      </c>
      <c r="F194" s="149">
        <v>106</v>
      </c>
      <c r="G194" s="61" t="s">
        <v>266</v>
      </c>
      <c r="H194" s="61" t="s">
        <v>669</v>
      </c>
      <c r="I194" s="61">
        <v>40.491920999999998</v>
      </c>
      <c r="J194" s="61">
        <v>-80.235223000000005</v>
      </c>
      <c r="K194" s="61">
        <v>33.240134609999998</v>
      </c>
      <c r="L194" s="61">
        <v>45.319000000000003</v>
      </c>
      <c r="M194" s="61" t="s">
        <v>617</v>
      </c>
      <c r="N194" s="149">
        <v>42</v>
      </c>
      <c r="O194" s="149">
        <v>43</v>
      </c>
      <c r="P194" s="61" t="s">
        <v>565</v>
      </c>
      <c r="Q194" s="61" t="s">
        <v>555</v>
      </c>
      <c r="R194" s="61">
        <v>40.6895314</v>
      </c>
      <c r="S194" s="61">
        <v>-74.174462399999996</v>
      </c>
      <c r="T194" s="61">
        <v>565.14300000000003</v>
      </c>
      <c r="U194" s="61" t="s">
        <v>617</v>
      </c>
      <c r="V194" s="61" t="s">
        <v>569</v>
      </c>
      <c r="W194" s="61" cm="1">
        <f t="array" ref="W194">getDistance(I194,J194,R194,S194)*SA!$B$12</f>
        <v>513.433583839015</v>
      </c>
      <c r="Y194" s="137">
        <f>Transportation_LCIA!C$61*($W194^Transportation_LCIA!C$60)+Transportation_LCIA!C$62</f>
        <v>0.32815716511039528</v>
      </c>
      <c r="Z194" s="137">
        <f>Transportation_LCIA!D$61*($W194^Transportation_LCIA!D$60)+Transportation_LCIA!D$62</f>
        <v>3.5191542163843881</v>
      </c>
      <c r="AA194" s="137">
        <f>Transportation_LCIA!E$61*($W194^Transportation_LCIA!E$60)+Transportation_LCIA!E$62</f>
        <v>1.8665206810453132E-3</v>
      </c>
      <c r="AB194" s="137">
        <f>Transportation_LCIA!F$61*($W194^Transportation_LCIA!F$60)+Transportation_LCIA!F$62</f>
        <v>0.32815716511039528</v>
      </c>
      <c r="AC194" s="137">
        <f>Transportation_LCIA!G$61*($W194^Transportation_LCIA!G$60)+Transportation_LCIA!G$62</f>
        <v>8.1967302989677859E-2</v>
      </c>
      <c r="AD194" s="137">
        <f>Transportation_LCIA!H$61*($W194^Transportation_LCIA!H$60)+Transportation_LCIA!H$62</f>
        <v>4.3698853519291556E-4</v>
      </c>
      <c r="AE194" s="137">
        <f>Transportation_LCIA!I$61*($W194^Transportation_LCIA!I$60)+Transportation_LCIA!I$62</f>
        <v>1.0010201729396875E-5</v>
      </c>
      <c r="AF194" s="137">
        <f>Transportation_LCIA!J$61*($W194^Transportation_LCIA!J$60)+Transportation_LCIA!J$62</f>
        <v>1.4910087392935532E-2</v>
      </c>
      <c r="AG194" s="137">
        <f>Transportation_LCIA!K$61*($W194^Transportation_LCIA!K$60)+Transportation_LCIA!K$62</f>
        <v>1.8005284512120634E-2</v>
      </c>
      <c r="AH194" s="137">
        <f>Transportation_LCIA!L$61*($W194^Transportation_LCIA!L$60)+Transportation_LCIA!L$62</f>
        <v>3.8774642038002372E-4</v>
      </c>
      <c r="AI194" s="137">
        <f>Transportation_LCIA!M$61*($W194^Transportation_LCIA!M$60)+Transportation_LCIA!M$62</f>
        <v>3.3205908340433346E-4</v>
      </c>
      <c r="AJ194" s="137">
        <f>Transportation_LCIA!N$61*($W194^Transportation_LCIA!N$60)+Transportation_LCIA!N$62</f>
        <v>1.5278401037459809E-3</v>
      </c>
      <c r="AK194" s="137">
        <f>Transportation_LCIA!O$61*($W194^Transportation_LCIA!O$60)+Transportation_LCIA!O$62</f>
        <v>8.6776433969231709E-5</v>
      </c>
      <c r="AL194" s="137">
        <f>Transportation_LCIA!P$61*($W194^Transportation_LCIA!P$60)+Transportation_LCIA!P$62</f>
        <v>4.187496920977748E-8</v>
      </c>
      <c r="AM194" s="137">
        <f>Transportation_LCIA!Q$61*($W194^Transportation_LCIA!Q$60)+Transportation_LCIA!Q$62</f>
        <v>1.5289540886279419E-4</v>
      </c>
      <c r="AN194" s="137">
        <f>Transportation_LCIA!R$61*($W194^Transportation_LCIA!R$60)+Transportation_LCIA!R$62</f>
        <v>4.8092919779996581E-4</v>
      </c>
      <c r="AO194" s="137">
        <f>Transportation_LCIA!S$61*($W194^Transportation_LCIA!S$60)+Transportation_LCIA!S$62</f>
        <v>7.081081996143308E-6</v>
      </c>
      <c r="AP194" s="137">
        <f>Transportation_LCIA!T$61*($W194^Transportation_LCIA!T$60)+Transportation_LCIA!T$62</f>
        <v>7.081081996143308E-6</v>
      </c>
      <c r="AQ194" s="137">
        <f>Transportation_LCIA!U$61*($W194^Transportation_LCIA!U$60)+Transportation_LCIA!U$62</f>
        <v>1.0425420500377758E-3</v>
      </c>
      <c r="AR194" s="137">
        <f>Transportation_LCIA!V$61*($W194^Transportation_LCIA!V$60)+Transportation_LCIA!V$62</f>
        <v>3.9809863614409633E-4</v>
      </c>
      <c r="AT194" s="137">
        <f>$W194*Y194+$L194*Summary_LCIA!H$32</f>
        <v>183.88630554508163</v>
      </c>
      <c r="AU194" s="137">
        <f>$W194*Z194+$L194*Summary_LCIA!Q$32</f>
        <v>2031.4552109735439</v>
      </c>
      <c r="AV194" s="137">
        <f>$W194*AA194+$L194*Summary_LCIA!R$32</f>
        <v>1.1969661289787343</v>
      </c>
      <c r="AW194" s="137">
        <f>$W194*AB194+$L194*Summary_LCIA!S$32</f>
        <v>183.68599556508161</v>
      </c>
      <c r="AX194" s="137">
        <f>$W194*AC194+$L194*Summary_LCIA!T$32</f>
        <v>47.065324231608713</v>
      </c>
      <c r="AY194" s="137">
        <f>$W194*AD194+$L194*Summary_LCIA!U$32</f>
        <v>1.0362091557206601</v>
      </c>
      <c r="AZ194" s="137">
        <f>$W194*AE194+$L194*Summary_LCIA!V$32</f>
        <v>7.3040545078757431E-3</v>
      </c>
      <c r="BA194" s="137">
        <f>$W194*AF194+$L194*Summary_LCIA!W$32</f>
        <v>11.143588354507806</v>
      </c>
      <c r="BB194" s="137">
        <f>$W194*AG194+$L194*Summary_LCIA!X$32</f>
        <v>10.276884575099208</v>
      </c>
      <c r="BC194" s="137">
        <f>$W194*AH194+$L194*Summary_LCIA!Y$32</f>
        <v>0.90524269223646492</v>
      </c>
      <c r="BD194" s="137">
        <f>$W194*AI194+$L194*Summary_LCIA!Z$32</f>
        <v>0.1723487721095853</v>
      </c>
      <c r="BE194" s="137">
        <f>$W194*AJ194+$L194*Summary_LCIA!AA$32</f>
        <v>1.8429149839992716</v>
      </c>
      <c r="BF194" s="137">
        <f>$W194*AK194+$L194*Summary_LCIA!AB$32</f>
        <v>4.3564938948592279E-2</v>
      </c>
      <c r="BG194" s="137">
        <f>$W194*AL194+$L194*Summary_LCIA!AC$32</f>
        <v>2.3715389510524457E-5</v>
      </c>
      <c r="BH194" s="137">
        <f>$W194*AM194+$L194*Summary_LCIA!AD$32</f>
        <v>9.7129559484955913E-2</v>
      </c>
      <c r="BI194" s="137">
        <f>$W194*AN194+$L194*Summary_LCIA!AE$32</f>
        <v>0.287083727069259</v>
      </c>
      <c r="BJ194" s="137">
        <f>$W194*AO194+$L194*Summary_LCIA!AF$32</f>
        <v>4.1949254286737792E-2</v>
      </c>
      <c r="BK194" s="137">
        <f>$W194*AP194+$L194*Summary_LCIA!AG$32</f>
        <v>5.9544119417377847E-3</v>
      </c>
      <c r="BL194" s="137">
        <f>$W194*AQ194+$L194*Summary_LCIA!AH$32</f>
        <v>0.92971454945376908</v>
      </c>
      <c r="BM194" s="137">
        <f>$W194*AR194+$L194*Summary_LCIA!AI$32</f>
        <v>0.24661412392688742</v>
      </c>
    </row>
    <row r="195" spans="1:65" x14ac:dyDescent="0.25">
      <c r="A195" s="149">
        <v>105</v>
      </c>
      <c r="B195" s="149">
        <v>43</v>
      </c>
      <c r="C195" s="61">
        <v>40.299481</v>
      </c>
      <c r="D195" s="61">
        <v>-79.976793999999998</v>
      </c>
      <c r="E195" s="61" t="s">
        <v>265</v>
      </c>
      <c r="F195" s="149">
        <v>106</v>
      </c>
      <c r="G195" s="61" t="s">
        <v>266</v>
      </c>
      <c r="H195" s="61" t="s">
        <v>669</v>
      </c>
      <c r="I195" s="61">
        <v>40.491920999999998</v>
      </c>
      <c r="J195" s="61">
        <v>-80.235223000000005</v>
      </c>
      <c r="K195" s="61">
        <v>36.504344930000002</v>
      </c>
      <c r="L195" s="61">
        <v>41.466000000000001</v>
      </c>
      <c r="M195" s="61" t="s">
        <v>617</v>
      </c>
      <c r="N195" s="149">
        <v>42</v>
      </c>
      <c r="O195" s="149">
        <v>43</v>
      </c>
      <c r="P195" s="61" t="s">
        <v>565</v>
      </c>
      <c r="Q195" s="61" t="s">
        <v>555</v>
      </c>
      <c r="R195" s="61">
        <v>40.6895314</v>
      </c>
      <c r="S195" s="61">
        <v>-74.174462399999996</v>
      </c>
      <c r="T195" s="61">
        <v>576.21100000000001</v>
      </c>
      <c r="U195" s="61" t="s">
        <v>617</v>
      </c>
      <c r="V195" s="61" t="s">
        <v>569</v>
      </c>
      <c r="W195" s="61" cm="1">
        <f t="array" ref="W195">getDistance(I195,J195,R195,S195)*SA!$B$12</f>
        <v>513.433583839015</v>
      </c>
      <c r="Y195" s="137">
        <f>Transportation_LCIA!C$61*($W195^Transportation_LCIA!C$60)+Transportation_LCIA!C$62</f>
        <v>0.32815716511039528</v>
      </c>
      <c r="Z195" s="137">
        <f>Transportation_LCIA!D$61*($W195^Transportation_LCIA!D$60)+Transportation_LCIA!D$62</f>
        <v>3.5191542163843881</v>
      </c>
      <c r="AA195" s="137">
        <f>Transportation_LCIA!E$61*($W195^Transportation_LCIA!E$60)+Transportation_LCIA!E$62</f>
        <v>1.8665206810453132E-3</v>
      </c>
      <c r="AB195" s="137">
        <f>Transportation_LCIA!F$61*($W195^Transportation_LCIA!F$60)+Transportation_LCIA!F$62</f>
        <v>0.32815716511039528</v>
      </c>
      <c r="AC195" s="137">
        <f>Transportation_LCIA!G$61*($W195^Transportation_LCIA!G$60)+Transportation_LCIA!G$62</f>
        <v>8.1967302989677859E-2</v>
      </c>
      <c r="AD195" s="137">
        <f>Transportation_LCIA!H$61*($W195^Transportation_LCIA!H$60)+Transportation_LCIA!H$62</f>
        <v>4.3698853519291556E-4</v>
      </c>
      <c r="AE195" s="137">
        <f>Transportation_LCIA!I$61*($W195^Transportation_LCIA!I$60)+Transportation_LCIA!I$62</f>
        <v>1.0010201729396875E-5</v>
      </c>
      <c r="AF195" s="137">
        <f>Transportation_LCIA!J$61*($W195^Transportation_LCIA!J$60)+Transportation_LCIA!J$62</f>
        <v>1.4910087392935532E-2</v>
      </c>
      <c r="AG195" s="137">
        <f>Transportation_LCIA!K$61*($W195^Transportation_LCIA!K$60)+Transportation_LCIA!K$62</f>
        <v>1.8005284512120634E-2</v>
      </c>
      <c r="AH195" s="137">
        <f>Transportation_LCIA!L$61*($W195^Transportation_LCIA!L$60)+Transportation_LCIA!L$62</f>
        <v>3.8774642038002372E-4</v>
      </c>
      <c r="AI195" s="137">
        <f>Transportation_LCIA!M$61*($W195^Transportation_LCIA!M$60)+Transportation_LCIA!M$62</f>
        <v>3.3205908340433346E-4</v>
      </c>
      <c r="AJ195" s="137">
        <f>Transportation_LCIA!N$61*($W195^Transportation_LCIA!N$60)+Transportation_LCIA!N$62</f>
        <v>1.5278401037459809E-3</v>
      </c>
      <c r="AK195" s="137">
        <f>Transportation_LCIA!O$61*($W195^Transportation_LCIA!O$60)+Transportation_LCIA!O$62</f>
        <v>8.6776433969231709E-5</v>
      </c>
      <c r="AL195" s="137">
        <f>Transportation_LCIA!P$61*($W195^Transportation_LCIA!P$60)+Transportation_LCIA!P$62</f>
        <v>4.187496920977748E-8</v>
      </c>
      <c r="AM195" s="137">
        <f>Transportation_LCIA!Q$61*($W195^Transportation_LCIA!Q$60)+Transportation_LCIA!Q$62</f>
        <v>1.5289540886279419E-4</v>
      </c>
      <c r="AN195" s="137">
        <f>Transportation_LCIA!R$61*($W195^Transportation_LCIA!R$60)+Transportation_LCIA!R$62</f>
        <v>4.8092919779996581E-4</v>
      </c>
      <c r="AO195" s="137">
        <f>Transportation_LCIA!S$61*($W195^Transportation_LCIA!S$60)+Transportation_LCIA!S$62</f>
        <v>7.081081996143308E-6</v>
      </c>
      <c r="AP195" s="137">
        <f>Transportation_LCIA!T$61*($W195^Transportation_LCIA!T$60)+Transportation_LCIA!T$62</f>
        <v>7.081081996143308E-6</v>
      </c>
      <c r="AQ195" s="137">
        <f>Transportation_LCIA!U$61*($W195^Transportation_LCIA!U$60)+Transportation_LCIA!U$62</f>
        <v>1.0425420500377758E-3</v>
      </c>
      <c r="AR195" s="137">
        <f>Transportation_LCIA!V$61*($W195^Transportation_LCIA!V$60)+Transportation_LCIA!V$62</f>
        <v>3.9809863614409633E-4</v>
      </c>
      <c r="AT195" s="137">
        <f>$W195*Y195+$L195*Summary_LCIA!H$32</f>
        <v>182.5770561450816</v>
      </c>
      <c r="AU195" s="137">
        <f>$W195*Z195+$L195*Summary_LCIA!Q$32</f>
        <v>2012.3595486551949</v>
      </c>
      <c r="AV195" s="137">
        <f>$W195*AA195+$L195*Summary_LCIA!R$32</f>
        <v>1.1766777721787343</v>
      </c>
      <c r="AW195" s="137">
        <f>$W195*AB195+$L195*Summary_LCIA!S$32</f>
        <v>182.39377642508163</v>
      </c>
      <c r="AX195" s="137">
        <f>$W195*AC195+$L195*Summary_LCIA!T$32</f>
        <v>46.641879531608708</v>
      </c>
      <c r="AY195" s="137">
        <f>$W195*AD195+$L195*Summary_LCIA!U$32</f>
        <v>0.96718651372066022</v>
      </c>
      <c r="AZ195" s="137">
        <f>$W195*AE195+$L195*Summary_LCIA!V$32</f>
        <v>7.1200313748757431E-3</v>
      </c>
      <c r="BA195" s="137">
        <f>$W195*AF195+$L195*Summary_LCIA!W$32</f>
        <v>10.847019091507807</v>
      </c>
      <c r="BB195" s="137">
        <f>$W195*AG195+$L195*Summary_LCIA!X$32</f>
        <v>10.189113235099208</v>
      </c>
      <c r="BC195" s="137">
        <f>$W195*AH195+$L195*Summary_LCIA!Y$32</f>
        <v>0.84520524623646487</v>
      </c>
      <c r="BD195" s="137">
        <f>$W195*AI195+$L195*Summary_LCIA!Z$32</f>
        <v>0.1721907644325853</v>
      </c>
      <c r="BE195" s="137">
        <f>$W195*AJ195+$L195*Summary_LCIA!AA$32</f>
        <v>1.7529243159992713</v>
      </c>
      <c r="BF195" s="137">
        <f>$W195*AK195+$L195*Summary_LCIA!AB$32</f>
        <v>4.364902296759228E-2</v>
      </c>
      <c r="BG195" s="137">
        <f>$W195*AL195+$L195*Summary_LCIA!AC$32</f>
        <v>2.3527039458524457E-5</v>
      </c>
      <c r="BH195" s="137">
        <f>$W195*AM195+$L195*Summary_LCIA!AD$32</f>
        <v>9.5545822364955915E-2</v>
      </c>
      <c r="BI195" s="137">
        <f>$W195*AN195+$L195*Summary_LCIA!AE$32</f>
        <v>0.28366946817925898</v>
      </c>
      <c r="BJ195" s="137">
        <f>$W195*AO195+$L195*Summary_LCIA!AF$32</f>
        <v>3.8691851026737785E-2</v>
      </c>
      <c r="BK195" s="137">
        <f>$W195*AP195+$L195*Summary_LCIA!AG$32</f>
        <v>5.7572731967377843E-3</v>
      </c>
      <c r="BL195" s="137">
        <f>$W195*AQ195+$L195*Summary_LCIA!AH$32</f>
        <v>0.89617957865376896</v>
      </c>
      <c r="BM195" s="137">
        <f>$W195*AR195+$L195*Summary_LCIA!AI$32</f>
        <v>0.24302486177688742</v>
      </c>
    </row>
    <row r="196" spans="1:65" x14ac:dyDescent="0.25">
      <c r="A196" s="149">
        <v>106</v>
      </c>
      <c r="B196" s="149">
        <v>43</v>
      </c>
      <c r="C196" s="61">
        <v>40.299481</v>
      </c>
      <c r="D196" s="61">
        <v>-79.976793999999998</v>
      </c>
      <c r="E196" s="61" t="s">
        <v>265</v>
      </c>
      <c r="F196" s="149">
        <v>106</v>
      </c>
      <c r="G196" s="61" t="s">
        <v>266</v>
      </c>
      <c r="H196" s="61" t="s">
        <v>669</v>
      </c>
      <c r="I196" s="61">
        <v>40.491920999999998</v>
      </c>
      <c r="J196" s="61">
        <v>-80.235223000000005</v>
      </c>
      <c r="K196" s="61">
        <v>36.504344930000002</v>
      </c>
      <c r="L196" s="61">
        <v>41.466000000000001</v>
      </c>
      <c r="M196" s="61" t="s">
        <v>617</v>
      </c>
      <c r="N196" s="149">
        <v>42</v>
      </c>
      <c r="O196" s="149">
        <v>43</v>
      </c>
      <c r="P196" s="61" t="s">
        <v>565</v>
      </c>
      <c r="Q196" s="61" t="s">
        <v>555</v>
      </c>
      <c r="R196" s="61">
        <v>40.6895314</v>
      </c>
      <c r="S196" s="61">
        <v>-74.174462399999996</v>
      </c>
      <c r="T196" s="61">
        <v>576.21100000000001</v>
      </c>
      <c r="U196" s="61" t="s">
        <v>617</v>
      </c>
      <c r="V196" s="61" t="s">
        <v>569</v>
      </c>
      <c r="W196" s="61" cm="1">
        <f t="array" ref="W196">getDistance(I196,J196,R196,S196)*SA!$B$12</f>
        <v>513.433583839015</v>
      </c>
      <c r="Y196" s="137">
        <f>Transportation_LCIA!C$61*($W196^Transportation_LCIA!C$60)+Transportation_LCIA!C$62</f>
        <v>0.32815716511039528</v>
      </c>
      <c r="Z196" s="137">
        <f>Transportation_LCIA!D$61*($W196^Transportation_LCIA!D$60)+Transportation_LCIA!D$62</f>
        <v>3.5191542163843881</v>
      </c>
      <c r="AA196" s="137">
        <f>Transportation_LCIA!E$61*($W196^Transportation_LCIA!E$60)+Transportation_LCIA!E$62</f>
        <v>1.8665206810453132E-3</v>
      </c>
      <c r="AB196" s="137">
        <f>Transportation_LCIA!F$61*($W196^Transportation_LCIA!F$60)+Transportation_LCIA!F$62</f>
        <v>0.32815716511039528</v>
      </c>
      <c r="AC196" s="137">
        <f>Transportation_LCIA!G$61*($W196^Transportation_LCIA!G$60)+Transportation_LCIA!G$62</f>
        <v>8.1967302989677859E-2</v>
      </c>
      <c r="AD196" s="137">
        <f>Transportation_LCIA!H$61*($W196^Transportation_LCIA!H$60)+Transportation_LCIA!H$62</f>
        <v>4.3698853519291556E-4</v>
      </c>
      <c r="AE196" s="137">
        <f>Transportation_LCIA!I$61*($W196^Transportation_LCIA!I$60)+Transportation_LCIA!I$62</f>
        <v>1.0010201729396875E-5</v>
      </c>
      <c r="AF196" s="137">
        <f>Transportation_LCIA!J$61*($W196^Transportation_LCIA!J$60)+Transportation_LCIA!J$62</f>
        <v>1.4910087392935532E-2</v>
      </c>
      <c r="AG196" s="137">
        <f>Transportation_LCIA!K$61*($W196^Transportation_LCIA!K$60)+Transportation_LCIA!K$62</f>
        <v>1.8005284512120634E-2</v>
      </c>
      <c r="AH196" s="137">
        <f>Transportation_LCIA!L$61*($W196^Transportation_LCIA!L$60)+Transportation_LCIA!L$62</f>
        <v>3.8774642038002372E-4</v>
      </c>
      <c r="AI196" s="137">
        <f>Transportation_LCIA!M$61*($W196^Transportation_LCIA!M$60)+Transportation_LCIA!M$62</f>
        <v>3.3205908340433346E-4</v>
      </c>
      <c r="AJ196" s="137">
        <f>Transportation_LCIA!N$61*($W196^Transportation_LCIA!N$60)+Transportation_LCIA!N$62</f>
        <v>1.5278401037459809E-3</v>
      </c>
      <c r="AK196" s="137">
        <f>Transportation_LCIA!O$61*($W196^Transportation_LCIA!O$60)+Transportation_LCIA!O$62</f>
        <v>8.6776433969231709E-5</v>
      </c>
      <c r="AL196" s="137">
        <f>Transportation_LCIA!P$61*($W196^Transportation_LCIA!P$60)+Transportation_LCIA!P$62</f>
        <v>4.187496920977748E-8</v>
      </c>
      <c r="AM196" s="137">
        <f>Transportation_LCIA!Q$61*($W196^Transportation_LCIA!Q$60)+Transportation_LCIA!Q$62</f>
        <v>1.5289540886279419E-4</v>
      </c>
      <c r="AN196" s="137">
        <f>Transportation_LCIA!R$61*($W196^Transportation_LCIA!R$60)+Transportation_LCIA!R$62</f>
        <v>4.8092919779996581E-4</v>
      </c>
      <c r="AO196" s="137">
        <f>Transportation_LCIA!S$61*($W196^Transportation_LCIA!S$60)+Transportation_LCIA!S$62</f>
        <v>7.081081996143308E-6</v>
      </c>
      <c r="AP196" s="137">
        <f>Transportation_LCIA!T$61*($W196^Transportation_LCIA!T$60)+Transportation_LCIA!T$62</f>
        <v>7.081081996143308E-6</v>
      </c>
      <c r="AQ196" s="137">
        <f>Transportation_LCIA!U$61*($W196^Transportation_LCIA!U$60)+Transportation_LCIA!U$62</f>
        <v>1.0425420500377758E-3</v>
      </c>
      <c r="AR196" s="137">
        <f>Transportation_LCIA!V$61*($W196^Transportation_LCIA!V$60)+Transportation_LCIA!V$62</f>
        <v>3.9809863614409633E-4</v>
      </c>
      <c r="AT196" s="137">
        <f>$W196*Y196+$L196*Summary_LCIA!H$32</f>
        <v>182.5770561450816</v>
      </c>
      <c r="AU196" s="137">
        <f>$W196*Z196+$L196*Summary_LCIA!Q$32</f>
        <v>2012.3595486551949</v>
      </c>
      <c r="AV196" s="137">
        <f>$W196*AA196+$L196*Summary_LCIA!R$32</f>
        <v>1.1766777721787343</v>
      </c>
      <c r="AW196" s="137">
        <f>$W196*AB196+$L196*Summary_LCIA!S$32</f>
        <v>182.39377642508163</v>
      </c>
      <c r="AX196" s="137">
        <f>$W196*AC196+$L196*Summary_LCIA!T$32</f>
        <v>46.641879531608708</v>
      </c>
      <c r="AY196" s="137">
        <f>$W196*AD196+$L196*Summary_LCIA!U$32</f>
        <v>0.96718651372066022</v>
      </c>
      <c r="AZ196" s="137">
        <f>$W196*AE196+$L196*Summary_LCIA!V$32</f>
        <v>7.1200313748757431E-3</v>
      </c>
      <c r="BA196" s="137">
        <f>$W196*AF196+$L196*Summary_LCIA!W$32</f>
        <v>10.847019091507807</v>
      </c>
      <c r="BB196" s="137">
        <f>$W196*AG196+$L196*Summary_LCIA!X$32</f>
        <v>10.189113235099208</v>
      </c>
      <c r="BC196" s="137">
        <f>$W196*AH196+$L196*Summary_LCIA!Y$32</f>
        <v>0.84520524623646487</v>
      </c>
      <c r="BD196" s="137">
        <f>$W196*AI196+$L196*Summary_LCIA!Z$32</f>
        <v>0.1721907644325853</v>
      </c>
      <c r="BE196" s="137">
        <f>$W196*AJ196+$L196*Summary_LCIA!AA$32</f>
        <v>1.7529243159992713</v>
      </c>
      <c r="BF196" s="137">
        <f>$W196*AK196+$L196*Summary_LCIA!AB$32</f>
        <v>4.364902296759228E-2</v>
      </c>
      <c r="BG196" s="137">
        <f>$W196*AL196+$L196*Summary_LCIA!AC$32</f>
        <v>2.3527039458524457E-5</v>
      </c>
      <c r="BH196" s="137">
        <f>$W196*AM196+$L196*Summary_LCIA!AD$32</f>
        <v>9.5545822364955915E-2</v>
      </c>
      <c r="BI196" s="137">
        <f>$W196*AN196+$L196*Summary_LCIA!AE$32</f>
        <v>0.28366946817925898</v>
      </c>
      <c r="BJ196" s="137">
        <f>$W196*AO196+$L196*Summary_LCIA!AF$32</f>
        <v>3.8691851026737785E-2</v>
      </c>
      <c r="BK196" s="137">
        <f>$W196*AP196+$L196*Summary_LCIA!AG$32</f>
        <v>5.7572731967377843E-3</v>
      </c>
      <c r="BL196" s="137">
        <f>$W196*AQ196+$L196*Summary_LCIA!AH$32</f>
        <v>0.89617957865376896</v>
      </c>
      <c r="BM196" s="137">
        <f>$W196*AR196+$L196*Summary_LCIA!AI$32</f>
        <v>0.24302486177688742</v>
      </c>
    </row>
    <row r="197" spans="1:65" x14ac:dyDescent="0.25">
      <c r="A197" s="149">
        <v>107</v>
      </c>
      <c r="B197" s="149">
        <v>43</v>
      </c>
      <c r="C197" s="61">
        <v>40.299481</v>
      </c>
      <c r="D197" s="61">
        <v>-79.976793999999998</v>
      </c>
      <c r="E197" s="61" t="s">
        <v>265</v>
      </c>
      <c r="F197" s="149">
        <v>106</v>
      </c>
      <c r="G197" s="61" t="s">
        <v>266</v>
      </c>
      <c r="H197" s="61" t="s">
        <v>669</v>
      </c>
      <c r="I197" s="61">
        <v>40.491920999999998</v>
      </c>
      <c r="J197" s="61">
        <v>-80.235223000000005</v>
      </c>
      <c r="K197" s="61">
        <v>36.504344930000002</v>
      </c>
      <c r="L197" s="61">
        <v>41.466000000000001</v>
      </c>
      <c r="M197" s="61" t="s">
        <v>617</v>
      </c>
      <c r="N197" s="149">
        <v>42</v>
      </c>
      <c r="O197" s="149">
        <v>43</v>
      </c>
      <c r="P197" s="61" t="s">
        <v>565</v>
      </c>
      <c r="Q197" s="61" t="s">
        <v>555</v>
      </c>
      <c r="R197" s="61">
        <v>40.6895314</v>
      </c>
      <c r="S197" s="61">
        <v>-74.174462399999996</v>
      </c>
      <c r="T197" s="61">
        <v>576.21100000000001</v>
      </c>
      <c r="U197" s="61" t="s">
        <v>617</v>
      </c>
      <c r="V197" s="61" t="s">
        <v>569</v>
      </c>
      <c r="W197" s="61" cm="1">
        <f t="array" ref="W197">getDistance(I197,J197,R197,S197)*SA!$B$12</f>
        <v>513.433583839015</v>
      </c>
      <c r="Y197" s="137">
        <f>Transportation_LCIA!C$61*($W197^Transportation_LCIA!C$60)+Transportation_LCIA!C$62</f>
        <v>0.32815716511039528</v>
      </c>
      <c r="Z197" s="137">
        <f>Transportation_LCIA!D$61*($W197^Transportation_LCIA!D$60)+Transportation_LCIA!D$62</f>
        <v>3.5191542163843881</v>
      </c>
      <c r="AA197" s="137">
        <f>Transportation_LCIA!E$61*($W197^Transportation_LCIA!E$60)+Transportation_LCIA!E$62</f>
        <v>1.8665206810453132E-3</v>
      </c>
      <c r="AB197" s="137">
        <f>Transportation_LCIA!F$61*($W197^Transportation_LCIA!F$60)+Transportation_LCIA!F$62</f>
        <v>0.32815716511039528</v>
      </c>
      <c r="AC197" s="137">
        <f>Transportation_LCIA!G$61*($W197^Transportation_LCIA!G$60)+Transportation_LCIA!G$62</f>
        <v>8.1967302989677859E-2</v>
      </c>
      <c r="AD197" s="137">
        <f>Transportation_LCIA!H$61*($W197^Transportation_LCIA!H$60)+Transportation_LCIA!H$62</f>
        <v>4.3698853519291556E-4</v>
      </c>
      <c r="AE197" s="137">
        <f>Transportation_LCIA!I$61*($W197^Transportation_LCIA!I$60)+Transportation_LCIA!I$62</f>
        <v>1.0010201729396875E-5</v>
      </c>
      <c r="AF197" s="137">
        <f>Transportation_LCIA!J$61*($W197^Transportation_LCIA!J$60)+Transportation_LCIA!J$62</f>
        <v>1.4910087392935532E-2</v>
      </c>
      <c r="AG197" s="137">
        <f>Transportation_LCIA!K$61*($W197^Transportation_LCIA!K$60)+Transportation_LCIA!K$62</f>
        <v>1.8005284512120634E-2</v>
      </c>
      <c r="AH197" s="137">
        <f>Transportation_LCIA!L$61*($W197^Transportation_LCIA!L$60)+Transportation_LCIA!L$62</f>
        <v>3.8774642038002372E-4</v>
      </c>
      <c r="AI197" s="137">
        <f>Transportation_LCIA!M$61*($W197^Transportation_LCIA!M$60)+Transportation_LCIA!M$62</f>
        <v>3.3205908340433346E-4</v>
      </c>
      <c r="AJ197" s="137">
        <f>Transportation_LCIA!N$61*($W197^Transportation_LCIA!N$60)+Transportation_LCIA!N$62</f>
        <v>1.5278401037459809E-3</v>
      </c>
      <c r="AK197" s="137">
        <f>Transportation_LCIA!O$61*($W197^Transportation_LCIA!O$60)+Transportation_LCIA!O$62</f>
        <v>8.6776433969231709E-5</v>
      </c>
      <c r="AL197" s="137">
        <f>Transportation_LCIA!P$61*($W197^Transportation_LCIA!P$60)+Transportation_LCIA!P$62</f>
        <v>4.187496920977748E-8</v>
      </c>
      <c r="AM197" s="137">
        <f>Transportation_LCIA!Q$61*($W197^Transportation_LCIA!Q$60)+Transportation_LCIA!Q$62</f>
        <v>1.5289540886279419E-4</v>
      </c>
      <c r="AN197" s="137">
        <f>Transportation_LCIA!R$61*($W197^Transportation_LCIA!R$60)+Transportation_LCIA!R$62</f>
        <v>4.8092919779996581E-4</v>
      </c>
      <c r="AO197" s="137">
        <f>Transportation_LCIA!S$61*($W197^Transportation_LCIA!S$60)+Transportation_LCIA!S$62</f>
        <v>7.081081996143308E-6</v>
      </c>
      <c r="AP197" s="137">
        <f>Transportation_LCIA!T$61*($W197^Transportation_LCIA!T$60)+Transportation_LCIA!T$62</f>
        <v>7.081081996143308E-6</v>
      </c>
      <c r="AQ197" s="137">
        <f>Transportation_LCIA!U$61*($W197^Transportation_LCIA!U$60)+Transportation_LCIA!U$62</f>
        <v>1.0425420500377758E-3</v>
      </c>
      <c r="AR197" s="137">
        <f>Transportation_LCIA!V$61*($W197^Transportation_LCIA!V$60)+Transportation_LCIA!V$62</f>
        <v>3.9809863614409633E-4</v>
      </c>
      <c r="AT197" s="137">
        <f>$W197*Y197+$L197*Summary_LCIA!H$32</f>
        <v>182.5770561450816</v>
      </c>
      <c r="AU197" s="137">
        <f>$W197*Z197+$L197*Summary_LCIA!Q$32</f>
        <v>2012.3595486551949</v>
      </c>
      <c r="AV197" s="137">
        <f>$W197*AA197+$L197*Summary_LCIA!R$32</f>
        <v>1.1766777721787343</v>
      </c>
      <c r="AW197" s="137">
        <f>$W197*AB197+$L197*Summary_LCIA!S$32</f>
        <v>182.39377642508163</v>
      </c>
      <c r="AX197" s="137">
        <f>$W197*AC197+$L197*Summary_LCIA!T$32</f>
        <v>46.641879531608708</v>
      </c>
      <c r="AY197" s="137">
        <f>$W197*AD197+$L197*Summary_LCIA!U$32</f>
        <v>0.96718651372066022</v>
      </c>
      <c r="AZ197" s="137">
        <f>$W197*AE197+$L197*Summary_LCIA!V$32</f>
        <v>7.1200313748757431E-3</v>
      </c>
      <c r="BA197" s="137">
        <f>$W197*AF197+$L197*Summary_LCIA!W$32</f>
        <v>10.847019091507807</v>
      </c>
      <c r="BB197" s="137">
        <f>$W197*AG197+$L197*Summary_LCIA!X$32</f>
        <v>10.189113235099208</v>
      </c>
      <c r="BC197" s="137">
        <f>$W197*AH197+$L197*Summary_LCIA!Y$32</f>
        <v>0.84520524623646487</v>
      </c>
      <c r="BD197" s="137">
        <f>$W197*AI197+$L197*Summary_LCIA!Z$32</f>
        <v>0.1721907644325853</v>
      </c>
      <c r="BE197" s="137">
        <f>$W197*AJ197+$L197*Summary_LCIA!AA$32</f>
        <v>1.7529243159992713</v>
      </c>
      <c r="BF197" s="137">
        <f>$W197*AK197+$L197*Summary_LCIA!AB$32</f>
        <v>4.364902296759228E-2</v>
      </c>
      <c r="BG197" s="137">
        <f>$W197*AL197+$L197*Summary_LCIA!AC$32</f>
        <v>2.3527039458524457E-5</v>
      </c>
      <c r="BH197" s="137">
        <f>$W197*AM197+$L197*Summary_LCIA!AD$32</f>
        <v>9.5545822364955915E-2</v>
      </c>
      <c r="BI197" s="137">
        <f>$W197*AN197+$L197*Summary_LCIA!AE$32</f>
        <v>0.28366946817925898</v>
      </c>
      <c r="BJ197" s="137">
        <f>$W197*AO197+$L197*Summary_LCIA!AF$32</f>
        <v>3.8691851026737785E-2</v>
      </c>
      <c r="BK197" s="137">
        <f>$W197*AP197+$L197*Summary_LCIA!AG$32</f>
        <v>5.7572731967377843E-3</v>
      </c>
      <c r="BL197" s="137">
        <f>$W197*AQ197+$L197*Summary_LCIA!AH$32</f>
        <v>0.89617957865376896</v>
      </c>
      <c r="BM197" s="137">
        <f>$W197*AR197+$L197*Summary_LCIA!AI$32</f>
        <v>0.24302486177688742</v>
      </c>
    </row>
    <row r="198" spans="1:65" x14ac:dyDescent="0.25">
      <c r="A198" s="149">
        <v>99</v>
      </c>
      <c r="B198" s="149">
        <v>43</v>
      </c>
      <c r="C198" s="61">
        <v>40.444164999999998</v>
      </c>
      <c r="D198" s="61">
        <v>-79.943371999999997</v>
      </c>
      <c r="E198" s="61" t="s">
        <v>265</v>
      </c>
      <c r="F198" s="149">
        <v>106</v>
      </c>
      <c r="G198" s="61" t="s">
        <v>266</v>
      </c>
      <c r="H198" s="61" t="s">
        <v>669</v>
      </c>
      <c r="I198" s="61">
        <v>40.491920999999998</v>
      </c>
      <c r="J198" s="61">
        <v>-80.235223000000005</v>
      </c>
      <c r="K198" s="61">
        <v>25.455054860000001</v>
      </c>
      <c r="L198" s="61">
        <v>32.761000000000003</v>
      </c>
      <c r="M198" s="61" t="s">
        <v>617</v>
      </c>
      <c r="N198" s="149">
        <v>42</v>
      </c>
      <c r="O198" s="149">
        <v>43</v>
      </c>
      <c r="P198" s="61" t="s">
        <v>565</v>
      </c>
      <c r="Q198" s="61" t="s">
        <v>555</v>
      </c>
      <c r="R198" s="61">
        <v>40.6895314</v>
      </c>
      <c r="S198" s="61">
        <v>-74.174462399999996</v>
      </c>
      <c r="T198" s="61">
        <v>578.36400000000003</v>
      </c>
      <c r="U198" s="61" t="s">
        <v>617</v>
      </c>
      <c r="V198" s="61" t="s">
        <v>569</v>
      </c>
      <c r="W198" s="61" cm="1">
        <f t="array" ref="W198">getDistance(I198,J198,R198,S198)*SA!$B$12</f>
        <v>513.433583839015</v>
      </c>
      <c r="Y198" s="137">
        <f>Transportation_LCIA!C$61*($W198^Transportation_LCIA!C$60)+Transportation_LCIA!C$62</f>
        <v>0.32815716511039528</v>
      </c>
      <c r="Z198" s="137">
        <f>Transportation_LCIA!D$61*($W198^Transportation_LCIA!D$60)+Transportation_LCIA!D$62</f>
        <v>3.5191542163843881</v>
      </c>
      <c r="AA198" s="137">
        <f>Transportation_LCIA!E$61*($W198^Transportation_LCIA!E$60)+Transportation_LCIA!E$62</f>
        <v>1.8665206810453132E-3</v>
      </c>
      <c r="AB198" s="137">
        <f>Transportation_LCIA!F$61*($W198^Transportation_LCIA!F$60)+Transportation_LCIA!F$62</f>
        <v>0.32815716511039528</v>
      </c>
      <c r="AC198" s="137">
        <f>Transportation_LCIA!G$61*($W198^Transportation_LCIA!G$60)+Transportation_LCIA!G$62</f>
        <v>8.1967302989677859E-2</v>
      </c>
      <c r="AD198" s="137">
        <f>Transportation_LCIA!H$61*($W198^Transportation_LCIA!H$60)+Transportation_LCIA!H$62</f>
        <v>4.3698853519291556E-4</v>
      </c>
      <c r="AE198" s="137">
        <f>Transportation_LCIA!I$61*($W198^Transportation_LCIA!I$60)+Transportation_LCIA!I$62</f>
        <v>1.0010201729396875E-5</v>
      </c>
      <c r="AF198" s="137">
        <f>Transportation_LCIA!J$61*($W198^Transportation_LCIA!J$60)+Transportation_LCIA!J$62</f>
        <v>1.4910087392935532E-2</v>
      </c>
      <c r="AG198" s="137">
        <f>Transportation_LCIA!K$61*($W198^Transportation_LCIA!K$60)+Transportation_LCIA!K$62</f>
        <v>1.8005284512120634E-2</v>
      </c>
      <c r="AH198" s="137">
        <f>Transportation_LCIA!L$61*($W198^Transportation_LCIA!L$60)+Transportation_LCIA!L$62</f>
        <v>3.8774642038002372E-4</v>
      </c>
      <c r="AI198" s="137">
        <f>Transportation_LCIA!M$61*($W198^Transportation_LCIA!M$60)+Transportation_LCIA!M$62</f>
        <v>3.3205908340433346E-4</v>
      </c>
      <c r="AJ198" s="137">
        <f>Transportation_LCIA!N$61*($W198^Transportation_LCIA!N$60)+Transportation_LCIA!N$62</f>
        <v>1.5278401037459809E-3</v>
      </c>
      <c r="AK198" s="137">
        <f>Transportation_LCIA!O$61*($W198^Transportation_LCIA!O$60)+Transportation_LCIA!O$62</f>
        <v>8.6776433969231709E-5</v>
      </c>
      <c r="AL198" s="137">
        <f>Transportation_LCIA!P$61*($W198^Transportation_LCIA!P$60)+Transportation_LCIA!P$62</f>
        <v>4.187496920977748E-8</v>
      </c>
      <c r="AM198" s="137">
        <f>Transportation_LCIA!Q$61*($W198^Transportation_LCIA!Q$60)+Transportation_LCIA!Q$62</f>
        <v>1.5289540886279419E-4</v>
      </c>
      <c r="AN198" s="137">
        <f>Transportation_LCIA!R$61*($W198^Transportation_LCIA!R$60)+Transportation_LCIA!R$62</f>
        <v>4.8092919779996581E-4</v>
      </c>
      <c r="AO198" s="137">
        <f>Transportation_LCIA!S$61*($W198^Transportation_LCIA!S$60)+Transportation_LCIA!S$62</f>
        <v>7.081081996143308E-6</v>
      </c>
      <c r="AP198" s="137">
        <f>Transportation_LCIA!T$61*($W198^Transportation_LCIA!T$60)+Transportation_LCIA!T$62</f>
        <v>7.081081996143308E-6</v>
      </c>
      <c r="AQ198" s="137">
        <f>Transportation_LCIA!U$61*($W198^Transportation_LCIA!U$60)+Transportation_LCIA!U$62</f>
        <v>1.0425420500377758E-3</v>
      </c>
      <c r="AR198" s="137">
        <f>Transportation_LCIA!V$61*($W198^Transportation_LCIA!V$60)+Transportation_LCIA!V$62</f>
        <v>3.9809863614409633E-4</v>
      </c>
      <c r="AT198" s="137">
        <f>$W198*Y198+$L198*Summary_LCIA!H$32</f>
        <v>179.61909714508161</v>
      </c>
      <c r="AU198" s="137">
        <f>$W198*Z198+$L198*Summary_LCIA!Q$32</f>
        <v>1969.21712963593</v>
      </c>
      <c r="AV198" s="137">
        <f>$W198*AA198+$L198*Summary_LCIA!R$32</f>
        <v>1.1308407241787344</v>
      </c>
      <c r="AW198" s="137">
        <f>$W198*AB198+$L198*Summary_LCIA!S$32</f>
        <v>179.47429352508161</v>
      </c>
      <c r="AX198" s="137">
        <f>$W198*AC198+$L198*Summary_LCIA!T$32</f>
        <v>45.685200031608709</v>
      </c>
      <c r="AY198" s="137">
        <f>$W198*AD198+$L198*Summary_LCIA!U$32</f>
        <v>0.81124514372066026</v>
      </c>
      <c r="AZ198" s="137">
        <f>$W198*AE198+$L198*Summary_LCIA!V$32</f>
        <v>6.7042718698757438E-3</v>
      </c>
      <c r="BA198" s="137">
        <f>$W198*AF198+$L198*Summary_LCIA!W$32</f>
        <v>10.176986536507806</v>
      </c>
      <c r="BB198" s="137">
        <f>$W198*AG198+$L198*Summary_LCIA!X$32</f>
        <v>9.9908133350992081</v>
      </c>
      <c r="BC198" s="137">
        <f>$W198*AH198+$L198*Summary_LCIA!Y$32</f>
        <v>0.70956393623646496</v>
      </c>
      <c r="BD198" s="137">
        <f>$W198*AI198+$L198*Summary_LCIA!Z$32</f>
        <v>0.17183378108758532</v>
      </c>
      <c r="BE198" s="137">
        <f>$W198*AJ198+$L198*Summary_LCIA!AA$32</f>
        <v>1.5496103359992714</v>
      </c>
      <c r="BF198" s="137">
        <f>$W198*AK198+$L198*Summary_LCIA!AB$32</f>
        <v>4.3838992182592275E-2</v>
      </c>
      <c r="BG198" s="137">
        <f>$W198*AL198+$L198*Summary_LCIA!AC$32</f>
        <v>2.3101504238524458E-5</v>
      </c>
      <c r="BH198" s="137">
        <f>$W198*AM198+$L198*Summary_LCIA!AD$32</f>
        <v>9.1967719164955913E-2</v>
      </c>
      <c r="BI198" s="137">
        <f>$W198*AN198+$L198*Summary_LCIA!AE$32</f>
        <v>0.27595570652925899</v>
      </c>
      <c r="BJ198" s="137">
        <f>$W198*AO198+$L198*Summary_LCIA!AF$32</f>
        <v>3.1332469926737792E-2</v>
      </c>
      <c r="BK198" s="137">
        <f>$W198*AP198+$L198*Summary_LCIA!AG$32</f>
        <v>5.3118818717377853E-3</v>
      </c>
      <c r="BL198" s="137">
        <f>$W198*AQ198+$L198*Summary_LCIA!AH$32</f>
        <v>0.82041474065376896</v>
      </c>
      <c r="BM198" s="137">
        <f>$W198*AR198+$L198*Summary_LCIA!AI$32</f>
        <v>0.2349157190268874</v>
      </c>
    </row>
    <row r="199" spans="1:65" x14ac:dyDescent="0.25">
      <c r="A199" s="149">
        <v>95</v>
      </c>
      <c r="B199" s="149">
        <v>43</v>
      </c>
      <c r="C199" s="61">
        <v>40.444389999999999</v>
      </c>
      <c r="D199" s="61">
        <v>-79.953412999999998</v>
      </c>
      <c r="E199" s="61" t="s">
        <v>265</v>
      </c>
      <c r="F199" s="149">
        <v>106</v>
      </c>
      <c r="G199" s="61" t="s">
        <v>266</v>
      </c>
      <c r="H199" s="61" t="s">
        <v>669</v>
      </c>
      <c r="I199" s="61">
        <v>40.491920999999998</v>
      </c>
      <c r="J199" s="61">
        <v>-80.235223000000005</v>
      </c>
      <c r="K199" s="61">
        <v>24.630663819999999</v>
      </c>
      <c r="L199" s="61">
        <v>31.443999999999999</v>
      </c>
      <c r="M199" s="61" t="s">
        <v>617</v>
      </c>
      <c r="N199" s="149">
        <v>42</v>
      </c>
      <c r="O199" s="149">
        <v>43</v>
      </c>
      <c r="P199" s="61" t="s">
        <v>565</v>
      </c>
      <c r="Q199" s="61" t="s">
        <v>555</v>
      </c>
      <c r="R199" s="61">
        <v>40.6895314</v>
      </c>
      <c r="S199" s="61">
        <v>-74.174462399999996</v>
      </c>
      <c r="T199" s="61">
        <v>578.75699999999995</v>
      </c>
      <c r="U199" s="61" t="s">
        <v>617</v>
      </c>
      <c r="V199" s="61" t="s">
        <v>569</v>
      </c>
      <c r="W199" s="61" cm="1">
        <f t="array" ref="W199">getDistance(I199,J199,R199,S199)*SA!$B$12</f>
        <v>513.433583839015</v>
      </c>
      <c r="Y199" s="137">
        <f>Transportation_LCIA!C$61*($W199^Transportation_LCIA!C$60)+Transportation_LCIA!C$62</f>
        <v>0.32815716511039528</v>
      </c>
      <c r="Z199" s="137">
        <f>Transportation_LCIA!D$61*($W199^Transportation_LCIA!D$60)+Transportation_LCIA!D$62</f>
        <v>3.5191542163843881</v>
      </c>
      <c r="AA199" s="137">
        <f>Transportation_LCIA!E$61*($W199^Transportation_LCIA!E$60)+Transportation_LCIA!E$62</f>
        <v>1.8665206810453132E-3</v>
      </c>
      <c r="AB199" s="137">
        <f>Transportation_LCIA!F$61*($W199^Transportation_LCIA!F$60)+Transportation_LCIA!F$62</f>
        <v>0.32815716511039528</v>
      </c>
      <c r="AC199" s="137">
        <f>Transportation_LCIA!G$61*($W199^Transportation_LCIA!G$60)+Transportation_LCIA!G$62</f>
        <v>8.1967302989677859E-2</v>
      </c>
      <c r="AD199" s="137">
        <f>Transportation_LCIA!H$61*($W199^Transportation_LCIA!H$60)+Transportation_LCIA!H$62</f>
        <v>4.3698853519291556E-4</v>
      </c>
      <c r="AE199" s="137">
        <f>Transportation_LCIA!I$61*($W199^Transportation_LCIA!I$60)+Transportation_LCIA!I$62</f>
        <v>1.0010201729396875E-5</v>
      </c>
      <c r="AF199" s="137">
        <f>Transportation_LCIA!J$61*($W199^Transportation_LCIA!J$60)+Transportation_LCIA!J$62</f>
        <v>1.4910087392935532E-2</v>
      </c>
      <c r="AG199" s="137">
        <f>Transportation_LCIA!K$61*($W199^Transportation_LCIA!K$60)+Transportation_LCIA!K$62</f>
        <v>1.8005284512120634E-2</v>
      </c>
      <c r="AH199" s="137">
        <f>Transportation_LCIA!L$61*($W199^Transportation_LCIA!L$60)+Transportation_LCIA!L$62</f>
        <v>3.8774642038002372E-4</v>
      </c>
      <c r="AI199" s="137">
        <f>Transportation_LCIA!M$61*($W199^Transportation_LCIA!M$60)+Transportation_LCIA!M$62</f>
        <v>3.3205908340433346E-4</v>
      </c>
      <c r="AJ199" s="137">
        <f>Transportation_LCIA!N$61*($W199^Transportation_LCIA!N$60)+Transportation_LCIA!N$62</f>
        <v>1.5278401037459809E-3</v>
      </c>
      <c r="AK199" s="137">
        <f>Transportation_LCIA!O$61*($W199^Transportation_LCIA!O$60)+Transportation_LCIA!O$62</f>
        <v>8.6776433969231709E-5</v>
      </c>
      <c r="AL199" s="137">
        <f>Transportation_LCIA!P$61*($W199^Transportation_LCIA!P$60)+Transportation_LCIA!P$62</f>
        <v>4.187496920977748E-8</v>
      </c>
      <c r="AM199" s="137">
        <f>Transportation_LCIA!Q$61*($W199^Transportation_LCIA!Q$60)+Transportation_LCIA!Q$62</f>
        <v>1.5289540886279419E-4</v>
      </c>
      <c r="AN199" s="137">
        <f>Transportation_LCIA!R$61*($W199^Transportation_LCIA!R$60)+Transportation_LCIA!R$62</f>
        <v>4.8092919779996581E-4</v>
      </c>
      <c r="AO199" s="137">
        <f>Transportation_LCIA!S$61*($W199^Transportation_LCIA!S$60)+Transportation_LCIA!S$62</f>
        <v>7.081081996143308E-6</v>
      </c>
      <c r="AP199" s="137">
        <f>Transportation_LCIA!T$61*($W199^Transportation_LCIA!T$60)+Transportation_LCIA!T$62</f>
        <v>7.081081996143308E-6</v>
      </c>
      <c r="AQ199" s="137">
        <f>Transportation_LCIA!U$61*($W199^Transportation_LCIA!U$60)+Transportation_LCIA!U$62</f>
        <v>1.0425420500377758E-3</v>
      </c>
      <c r="AR199" s="137">
        <f>Transportation_LCIA!V$61*($W199^Transportation_LCIA!V$60)+Transportation_LCIA!V$62</f>
        <v>3.9809863614409633E-4</v>
      </c>
      <c r="AT199" s="137">
        <f>$W199*Y199+$L199*Summary_LCIA!H$32</f>
        <v>179.17158054508161</v>
      </c>
      <c r="AU199" s="137">
        <f>$W199*Z199+$L199*Summary_LCIA!Q$32</f>
        <v>1962.6900112156688</v>
      </c>
      <c r="AV199" s="137">
        <f>$W199*AA199+$L199*Summary_LCIA!R$32</f>
        <v>1.1239059289787343</v>
      </c>
      <c r="AW199" s="137">
        <f>$W199*AB199+$L199*Summary_LCIA!S$32</f>
        <v>179.0325980650816</v>
      </c>
      <c r="AX199" s="137">
        <f>$W199*AC199+$L199*Summary_LCIA!T$32</f>
        <v>45.540461731608708</v>
      </c>
      <c r="AY199" s="137">
        <f>$W199*AD199+$L199*Summary_LCIA!U$32</f>
        <v>0.7876524057206602</v>
      </c>
      <c r="AZ199" s="137">
        <f>$W199*AE199+$L199*Summary_LCIA!V$32</f>
        <v>6.6413706328757429E-3</v>
      </c>
      <c r="BA199" s="137">
        <f>$W199*AF199+$L199*Summary_LCIA!W$32</f>
        <v>10.075615729507806</v>
      </c>
      <c r="BB199" s="137">
        <f>$W199*AG199+$L199*Summary_LCIA!X$32</f>
        <v>9.9608120750992075</v>
      </c>
      <c r="BC199" s="137">
        <f>$W199*AH199+$L199*Summary_LCIA!Y$32</f>
        <v>0.68904244223646494</v>
      </c>
      <c r="BD199" s="137">
        <f>$W199*AI199+$L199*Summary_LCIA!Z$32</f>
        <v>0.17177977223458532</v>
      </c>
      <c r="BE199" s="137">
        <f>$W199*AJ199+$L199*Summary_LCIA!AA$32</f>
        <v>1.5188504839992714</v>
      </c>
      <c r="BF199" s="137">
        <f>$W199*AK199+$L199*Summary_LCIA!AB$32</f>
        <v>4.3867733073592277E-2</v>
      </c>
      <c r="BG199" s="137">
        <f>$W199*AL199+$L199*Summary_LCIA!AC$32</f>
        <v>2.3037124010524458E-5</v>
      </c>
      <c r="BH199" s="137">
        <f>$W199*AM199+$L199*Summary_LCIA!AD$32</f>
        <v>9.1426379484955911E-2</v>
      </c>
      <c r="BI199" s="137">
        <f>$W199*AN199+$L199*Summary_LCIA!AE$32</f>
        <v>0.27478867331925899</v>
      </c>
      <c r="BJ199" s="137">
        <f>$W199*AO199+$L199*Summary_LCIA!AF$32</f>
        <v>3.0219051786737786E-2</v>
      </c>
      <c r="BK199" s="137">
        <f>$W199*AP199+$L199*Summary_LCIA!AG$32</f>
        <v>5.2444975667377842E-3</v>
      </c>
      <c r="BL199" s="137">
        <f>$W199*AQ199+$L199*Summary_LCIA!AH$32</f>
        <v>0.808952099453769</v>
      </c>
      <c r="BM199" s="137">
        <f>$W199*AR199+$L199*Summary_LCIA!AI$32</f>
        <v>0.2336888676768874</v>
      </c>
    </row>
    <row r="200" spans="1:65" x14ac:dyDescent="0.25">
      <c r="A200" s="149">
        <v>96</v>
      </c>
      <c r="B200" s="149">
        <v>43</v>
      </c>
      <c r="C200" s="61">
        <v>40.444389999999999</v>
      </c>
      <c r="D200" s="61">
        <v>-79.953412999999998</v>
      </c>
      <c r="E200" s="61" t="s">
        <v>265</v>
      </c>
      <c r="F200" s="149">
        <v>106</v>
      </c>
      <c r="G200" s="61" t="s">
        <v>266</v>
      </c>
      <c r="H200" s="61" t="s">
        <v>669</v>
      </c>
      <c r="I200" s="61">
        <v>40.491920999999998</v>
      </c>
      <c r="J200" s="61">
        <v>-80.235223000000005</v>
      </c>
      <c r="K200" s="61">
        <v>24.630663819999999</v>
      </c>
      <c r="L200" s="61">
        <v>31.443999999999999</v>
      </c>
      <c r="M200" s="61" t="s">
        <v>617</v>
      </c>
      <c r="N200" s="149">
        <v>42</v>
      </c>
      <c r="O200" s="149">
        <v>43</v>
      </c>
      <c r="P200" s="61" t="s">
        <v>565</v>
      </c>
      <c r="Q200" s="61" t="s">
        <v>555</v>
      </c>
      <c r="R200" s="61">
        <v>40.6895314</v>
      </c>
      <c r="S200" s="61">
        <v>-74.174462399999996</v>
      </c>
      <c r="T200" s="61">
        <v>578.75699999999995</v>
      </c>
      <c r="U200" s="61" t="s">
        <v>617</v>
      </c>
      <c r="V200" s="61" t="s">
        <v>569</v>
      </c>
      <c r="W200" s="61" cm="1">
        <f t="array" ref="W200">getDistance(I200,J200,R200,S200)*SA!$B$12</f>
        <v>513.433583839015</v>
      </c>
      <c r="Y200" s="137">
        <f>Transportation_LCIA!C$61*($W200^Transportation_LCIA!C$60)+Transportation_LCIA!C$62</f>
        <v>0.32815716511039528</v>
      </c>
      <c r="Z200" s="137">
        <f>Transportation_LCIA!D$61*($W200^Transportation_LCIA!D$60)+Transportation_LCIA!D$62</f>
        <v>3.5191542163843881</v>
      </c>
      <c r="AA200" s="137">
        <f>Transportation_LCIA!E$61*($W200^Transportation_LCIA!E$60)+Transportation_LCIA!E$62</f>
        <v>1.8665206810453132E-3</v>
      </c>
      <c r="AB200" s="137">
        <f>Transportation_LCIA!F$61*($W200^Transportation_LCIA!F$60)+Transportation_LCIA!F$62</f>
        <v>0.32815716511039528</v>
      </c>
      <c r="AC200" s="137">
        <f>Transportation_LCIA!G$61*($W200^Transportation_LCIA!G$60)+Transportation_LCIA!G$62</f>
        <v>8.1967302989677859E-2</v>
      </c>
      <c r="AD200" s="137">
        <f>Transportation_LCIA!H$61*($W200^Transportation_LCIA!H$60)+Transportation_LCIA!H$62</f>
        <v>4.3698853519291556E-4</v>
      </c>
      <c r="AE200" s="137">
        <f>Transportation_LCIA!I$61*($W200^Transportation_LCIA!I$60)+Transportation_LCIA!I$62</f>
        <v>1.0010201729396875E-5</v>
      </c>
      <c r="AF200" s="137">
        <f>Transportation_LCIA!J$61*($W200^Transportation_LCIA!J$60)+Transportation_LCIA!J$62</f>
        <v>1.4910087392935532E-2</v>
      </c>
      <c r="AG200" s="137">
        <f>Transportation_LCIA!K$61*($W200^Transportation_LCIA!K$60)+Transportation_LCIA!K$62</f>
        <v>1.8005284512120634E-2</v>
      </c>
      <c r="AH200" s="137">
        <f>Transportation_LCIA!L$61*($W200^Transportation_LCIA!L$60)+Transportation_LCIA!L$62</f>
        <v>3.8774642038002372E-4</v>
      </c>
      <c r="AI200" s="137">
        <f>Transportation_LCIA!M$61*($W200^Transportation_LCIA!M$60)+Transportation_LCIA!M$62</f>
        <v>3.3205908340433346E-4</v>
      </c>
      <c r="AJ200" s="137">
        <f>Transportation_LCIA!N$61*($W200^Transportation_LCIA!N$60)+Transportation_LCIA!N$62</f>
        <v>1.5278401037459809E-3</v>
      </c>
      <c r="AK200" s="137">
        <f>Transportation_LCIA!O$61*($W200^Transportation_LCIA!O$60)+Transportation_LCIA!O$62</f>
        <v>8.6776433969231709E-5</v>
      </c>
      <c r="AL200" s="137">
        <f>Transportation_LCIA!P$61*($W200^Transportation_LCIA!P$60)+Transportation_LCIA!P$62</f>
        <v>4.187496920977748E-8</v>
      </c>
      <c r="AM200" s="137">
        <f>Transportation_LCIA!Q$61*($W200^Transportation_LCIA!Q$60)+Transportation_LCIA!Q$62</f>
        <v>1.5289540886279419E-4</v>
      </c>
      <c r="AN200" s="137">
        <f>Transportation_LCIA!R$61*($W200^Transportation_LCIA!R$60)+Transportation_LCIA!R$62</f>
        <v>4.8092919779996581E-4</v>
      </c>
      <c r="AO200" s="137">
        <f>Transportation_LCIA!S$61*($W200^Transportation_LCIA!S$60)+Transportation_LCIA!S$62</f>
        <v>7.081081996143308E-6</v>
      </c>
      <c r="AP200" s="137">
        <f>Transportation_LCIA!T$61*($W200^Transportation_LCIA!T$60)+Transportation_LCIA!T$62</f>
        <v>7.081081996143308E-6</v>
      </c>
      <c r="AQ200" s="137">
        <f>Transportation_LCIA!U$61*($W200^Transportation_LCIA!U$60)+Transportation_LCIA!U$62</f>
        <v>1.0425420500377758E-3</v>
      </c>
      <c r="AR200" s="137">
        <f>Transportation_LCIA!V$61*($W200^Transportation_LCIA!V$60)+Transportation_LCIA!V$62</f>
        <v>3.9809863614409633E-4</v>
      </c>
      <c r="AT200" s="137">
        <f>$W200*Y200+$L200*Summary_LCIA!H$32</f>
        <v>179.17158054508161</v>
      </c>
      <c r="AU200" s="137">
        <f>$W200*Z200+$L200*Summary_LCIA!Q$32</f>
        <v>1962.6900112156688</v>
      </c>
      <c r="AV200" s="137">
        <f>$W200*AA200+$L200*Summary_LCIA!R$32</f>
        <v>1.1239059289787343</v>
      </c>
      <c r="AW200" s="137">
        <f>$W200*AB200+$L200*Summary_LCIA!S$32</f>
        <v>179.0325980650816</v>
      </c>
      <c r="AX200" s="137">
        <f>$W200*AC200+$L200*Summary_LCIA!T$32</f>
        <v>45.540461731608708</v>
      </c>
      <c r="AY200" s="137">
        <f>$W200*AD200+$L200*Summary_LCIA!U$32</f>
        <v>0.7876524057206602</v>
      </c>
      <c r="AZ200" s="137">
        <f>$W200*AE200+$L200*Summary_LCIA!V$32</f>
        <v>6.6413706328757429E-3</v>
      </c>
      <c r="BA200" s="137">
        <f>$W200*AF200+$L200*Summary_LCIA!W$32</f>
        <v>10.075615729507806</v>
      </c>
      <c r="BB200" s="137">
        <f>$W200*AG200+$L200*Summary_LCIA!X$32</f>
        <v>9.9608120750992075</v>
      </c>
      <c r="BC200" s="137">
        <f>$W200*AH200+$L200*Summary_LCIA!Y$32</f>
        <v>0.68904244223646494</v>
      </c>
      <c r="BD200" s="137">
        <f>$W200*AI200+$L200*Summary_LCIA!Z$32</f>
        <v>0.17177977223458532</v>
      </c>
      <c r="BE200" s="137">
        <f>$W200*AJ200+$L200*Summary_LCIA!AA$32</f>
        <v>1.5188504839992714</v>
      </c>
      <c r="BF200" s="137">
        <f>$W200*AK200+$L200*Summary_LCIA!AB$32</f>
        <v>4.3867733073592277E-2</v>
      </c>
      <c r="BG200" s="137">
        <f>$W200*AL200+$L200*Summary_LCIA!AC$32</f>
        <v>2.3037124010524458E-5</v>
      </c>
      <c r="BH200" s="137">
        <f>$W200*AM200+$L200*Summary_LCIA!AD$32</f>
        <v>9.1426379484955911E-2</v>
      </c>
      <c r="BI200" s="137">
        <f>$W200*AN200+$L200*Summary_LCIA!AE$32</f>
        <v>0.27478867331925899</v>
      </c>
      <c r="BJ200" s="137">
        <f>$W200*AO200+$L200*Summary_LCIA!AF$32</f>
        <v>3.0219051786737786E-2</v>
      </c>
      <c r="BK200" s="137">
        <f>$W200*AP200+$L200*Summary_LCIA!AG$32</f>
        <v>5.2444975667377842E-3</v>
      </c>
      <c r="BL200" s="137">
        <f>$W200*AQ200+$L200*Summary_LCIA!AH$32</f>
        <v>0.808952099453769</v>
      </c>
      <c r="BM200" s="137">
        <f>$W200*AR200+$L200*Summary_LCIA!AI$32</f>
        <v>0.2336888676768874</v>
      </c>
    </row>
    <row r="201" spans="1:65" x14ac:dyDescent="0.25">
      <c r="A201" s="149">
        <v>293</v>
      </c>
      <c r="B201" s="149">
        <v>43</v>
      </c>
      <c r="C201" s="61">
        <v>40.440624999999997</v>
      </c>
      <c r="D201" s="61">
        <v>-79.995885999999999</v>
      </c>
      <c r="E201" s="61" t="s">
        <v>265</v>
      </c>
      <c r="F201" s="149">
        <v>106</v>
      </c>
      <c r="G201" s="61" t="s">
        <v>266</v>
      </c>
      <c r="H201" s="61" t="s">
        <v>669</v>
      </c>
      <c r="I201" s="61">
        <v>40.491920999999998</v>
      </c>
      <c r="J201" s="61">
        <v>-80.235223000000005</v>
      </c>
      <c r="K201" s="61">
        <v>21.391265860000001</v>
      </c>
      <c r="L201" s="61">
        <v>27.920999999999999</v>
      </c>
      <c r="M201" s="61" t="s">
        <v>617</v>
      </c>
      <c r="N201" s="149">
        <v>42</v>
      </c>
      <c r="O201" s="149">
        <v>43</v>
      </c>
      <c r="P201" s="61" t="s">
        <v>565</v>
      </c>
      <c r="Q201" s="61" t="s">
        <v>555</v>
      </c>
      <c r="R201" s="61">
        <v>40.6895314</v>
      </c>
      <c r="S201" s="61">
        <v>-74.174462399999996</v>
      </c>
      <c r="T201" s="61">
        <v>581.04700000000003</v>
      </c>
      <c r="U201" s="61" t="s">
        <v>617</v>
      </c>
      <c r="V201" s="61" t="s">
        <v>569</v>
      </c>
      <c r="W201" s="61" cm="1">
        <f t="array" ref="W201">getDistance(I201,J201,R201,S201)*SA!$B$12</f>
        <v>513.433583839015</v>
      </c>
      <c r="Y201" s="137">
        <f>Transportation_LCIA!C$61*($W201^Transportation_LCIA!C$60)+Transportation_LCIA!C$62</f>
        <v>0.32815716511039528</v>
      </c>
      <c r="Z201" s="137">
        <f>Transportation_LCIA!D$61*($W201^Transportation_LCIA!D$60)+Transportation_LCIA!D$62</f>
        <v>3.5191542163843881</v>
      </c>
      <c r="AA201" s="137">
        <f>Transportation_LCIA!E$61*($W201^Transportation_LCIA!E$60)+Transportation_LCIA!E$62</f>
        <v>1.8665206810453132E-3</v>
      </c>
      <c r="AB201" s="137">
        <f>Transportation_LCIA!F$61*($W201^Transportation_LCIA!F$60)+Transportation_LCIA!F$62</f>
        <v>0.32815716511039528</v>
      </c>
      <c r="AC201" s="137">
        <f>Transportation_LCIA!G$61*($W201^Transportation_LCIA!G$60)+Transportation_LCIA!G$62</f>
        <v>8.1967302989677859E-2</v>
      </c>
      <c r="AD201" s="137">
        <f>Transportation_LCIA!H$61*($W201^Transportation_LCIA!H$60)+Transportation_LCIA!H$62</f>
        <v>4.3698853519291556E-4</v>
      </c>
      <c r="AE201" s="137">
        <f>Transportation_LCIA!I$61*($W201^Transportation_LCIA!I$60)+Transportation_LCIA!I$62</f>
        <v>1.0010201729396875E-5</v>
      </c>
      <c r="AF201" s="137">
        <f>Transportation_LCIA!J$61*($W201^Transportation_LCIA!J$60)+Transportation_LCIA!J$62</f>
        <v>1.4910087392935532E-2</v>
      </c>
      <c r="AG201" s="137">
        <f>Transportation_LCIA!K$61*($W201^Transportation_LCIA!K$60)+Transportation_LCIA!K$62</f>
        <v>1.8005284512120634E-2</v>
      </c>
      <c r="AH201" s="137">
        <f>Transportation_LCIA!L$61*($W201^Transportation_LCIA!L$60)+Transportation_LCIA!L$62</f>
        <v>3.8774642038002372E-4</v>
      </c>
      <c r="AI201" s="137">
        <f>Transportation_LCIA!M$61*($W201^Transportation_LCIA!M$60)+Transportation_LCIA!M$62</f>
        <v>3.3205908340433346E-4</v>
      </c>
      <c r="AJ201" s="137">
        <f>Transportation_LCIA!N$61*($W201^Transportation_LCIA!N$60)+Transportation_LCIA!N$62</f>
        <v>1.5278401037459809E-3</v>
      </c>
      <c r="AK201" s="137">
        <f>Transportation_LCIA!O$61*($W201^Transportation_LCIA!O$60)+Transportation_LCIA!O$62</f>
        <v>8.6776433969231709E-5</v>
      </c>
      <c r="AL201" s="137">
        <f>Transportation_LCIA!P$61*($W201^Transportation_LCIA!P$60)+Transportation_LCIA!P$62</f>
        <v>4.187496920977748E-8</v>
      </c>
      <c r="AM201" s="137">
        <f>Transportation_LCIA!Q$61*($W201^Transportation_LCIA!Q$60)+Transportation_LCIA!Q$62</f>
        <v>1.5289540886279419E-4</v>
      </c>
      <c r="AN201" s="137">
        <f>Transportation_LCIA!R$61*($W201^Transportation_LCIA!R$60)+Transportation_LCIA!R$62</f>
        <v>4.8092919779996581E-4</v>
      </c>
      <c r="AO201" s="137">
        <f>Transportation_LCIA!S$61*($W201^Transportation_LCIA!S$60)+Transportation_LCIA!S$62</f>
        <v>7.081081996143308E-6</v>
      </c>
      <c r="AP201" s="137">
        <f>Transportation_LCIA!T$61*($W201^Transportation_LCIA!T$60)+Transportation_LCIA!T$62</f>
        <v>7.081081996143308E-6</v>
      </c>
      <c r="AQ201" s="137">
        <f>Transportation_LCIA!U$61*($W201^Transportation_LCIA!U$60)+Transportation_LCIA!U$62</f>
        <v>1.0425420500377758E-3</v>
      </c>
      <c r="AR201" s="137">
        <f>Transportation_LCIA!V$61*($W201^Transportation_LCIA!V$60)+Transportation_LCIA!V$62</f>
        <v>3.9809863614409633E-4</v>
      </c>
      <c r="AT201" s="137">
        <f>$W201*Y201+$L201*Summary_LCIA!H$32</f>
        <v>177.97446514508161</v>
      </c>
      <c r="AU201" s="137">
        <f>$W201*Z201+$L201*Summary_LCIA!Q$32</f>
        <v>1945.2298455402099</v>
      </c>
      <c r="AV201" s="137">
        <f>$W201*AA201+$L201*Summary_LCIA!R$32</f>
        <v>1.1053552201787342</v>
      </c>
      <c r="AW201" s="137">
        <f>$W201*AB201+$L201*Summary_LCIA!S$32</f>
        <v>177.85105432508161</v>
      </c>
      <c r="AX201" s="137">
        <f>$W201*AC201+$L201*Summary_LCIA!T$32</f>
        <v>45.153284031608706</v>
      </c>
      <c r="AY201" s="137">
        <f>$W201*AD201+$L201*Summary_LCIA!U$32</f>
        <v>0.72454138372066013</v>
      </c>
      <c r="AZ201" s="137">
        <f>$W201*AE201+$L201*Summary_LCIA!V$32</f>
        <v>6.4731086298757436E-3</v>
      </c>
      <c r="BA201" s="137">
        <f>$W201*AF201+$L201*Summary_LCIA!W$32</f>
        <v>9.8044468965078053</v>
      </c>
      <c r="BB201" s="137">
        <f>$W201*AG201+$L201*Summary_LCIA!X$32</f>
        <v>9.8805581350992089</v>
      </c>
      <c r="BC201" s="137">
        <f>$W201*AH201+$L201*Summary_LCIA!Y$32</f>
        <v>0.63414705623646483</v>
      </c>
      <c r="BD201" s="137">
        <f>$W201*AI201+$L201*Summary_LCIA!Z$32</f>
        <v>0.1716352975275853</v>
      </c>
      <c r="BE201" s="137">
        <f>$W201*AJ201+$L201*Summary_LCIA!AA$32</f>
        <v>1.4365672959992715</v>
      </c>
      <c r="BF201" s="137">
        <f>$W201*AK201+$L201*Summary_LCIA!AB$32</f>
        <v>4.394461550259228E-2</v>
      </c>
      <c r="BG201" s="137">
        <f>$W201*AL201+$L201*Summary_LCIA!AC$32</f>
        <v>2.2864905678524456E-5</v>
      </c>
      <c r="BH201" s="137">
        <f>$W201*AM201+$L201*Summary_LCIA!AD$32</f>
        <v>8.9978285564955907E-2</v>
      </c>
      <c r="BI201" s="137">
        <f>$W201*AN201+$L201*Summary_LCIA!AE$32</f>
        <v>0.271666837329259</v>
      </c>
      <c r="BJ201" s="137">
        <f>$W201*AO201+$L201*Summary_LCIA!AF$32</f>
        <v>2.7240637126737785E-2</v>
      </c>
      <c r="BK201" s="137">
        <f>$W201*AP201+$L201*Summary_LCIA!AG$32</f>
        <v>5.0642432717377846E-3</v>
      </c>
      <c r="BL201" s="137">
        <f>$W201*AQ201+$L201*Summary_LCIA!AH$32</f>
        <v>0.77828931665376899</v>
      </c>
      <c r="BM201" s="137">
        <f>$W201*AR201+$L201*Summary_LCIA!AI$32</f>
        <v>0.23040701702688743</v>
      </c>
    </row>
    <row r="202" spans="1:65" x14ac:dyDescent="0.25">
      <c r="A202" s="149">
        <v>294</v>
      </c>
      <c r="B202" s="149">
        <v>43</v>
      </c>
      <c r="C202" s="61">
        <v>40.440624999999997</v>
      </c>
      <c r="D202" s="61">
        <v>-79.995885999999999</v>
      </c>
      <c r="E202" s="61" t="s">
        <v>265</v>
      </c>
      <c r="F202" s="149">
        <v>106</v>
      </c>
      <c r="G202" s="61" t="s">
        <v>266</v>
      </c>
      <c r="H202" s="61" t="s">
        <v>669</v>
      </c>
      <c r="I202" s="61">
        <v>40.491920999999998</v>
      </c>
      <c r="J202" s="61">
        <v>-80.235223000000005</v>
      </c>
      <c r="K202" s="61">
        <v>21.391265860000001</v>
      </c>
      <c r="L202" s="61">
        <v>27.920999999999999</v>
      </c>
      <c r="M202" s="61" t="s">
        <v>617</v>
      </c>
      <c r="N202" s="149">
        <v>42</v>
      </c>
      <c r="O202" s="149">
        <v>43</v>
      </c>
      <c r="P202" s="61" t="s">
        <v>565</v>
      </c>
      <c r="Q202" s="61" t="s">
        <v>555</v>
      </c>
      <c r="R202" s="61">
        <v>40.6895314</v>
      </c>
      <c r="S202" s="61">
        <v>-74.174462399999996</v>
      </c>
      <c r="T202" s="61">
        <v>581.04700000000003</v>
      </c>
      <c r="U202" s="61" t="s">
        <v>617</v>
      </c>
      <c r="V202" s="61" t="s">
        <v>569</v>
      </c>
      <c r="W202" s="61" cm="1">
        <f t="array" ref="W202">getDistance(I202,J202,R202,S202)*SA!$B$12</f>
        <v>513.433583839015</v>
      </c>
      <c r="Y202" s="137">
        <f>Transportation_LCIA!C$61*($W202^Transportation_LCIA!C$60)+Transportation_LCIA!C$62</f>
        <v>0.32815716511039528</v>
      </c>
      <c r="Z202" s="137">
        <f>Transportation_LCIA!D$61*($W202^Transportation_LCIA!D$60)+Transportation_LCIA!D$62</f>
        <v>3.5191542163843881</v>
      </c>
      <c r="AA202" s="137">
        <f>Transportation_LCIA!E$61*($W202^Transportation_LCIA!E$60)+Transportation_LCIA!E$62</f>
        <v>1.8665206810453132E-3</v>
      </c>
      <c r="AB202" s="137">
        <f>Transportation_LCIA!F$61*($W202^Transportation_LCIA!F$60)+Transportation_LCIA!F$62</f>
        <v>0.32815716511039528</v>
      </c>
      <c r="AC202" s="137">
        <f>Transportation_LCIA!G$61*($W202^Transportation_LCIA!G$60)+Transportation_LCIA!G$62</f>
        <v>8.1967302989677859E-2</v>
      </c>
      <c r="AD202" s="137">
        <f>Transportation_LCIA!H$61*($W202^Transportation_LCIA!H$60)+Transportation_LCIA!H$62</f>
        <v>4.3698853519291556E-4</v>
      </c>
      <c r="AE202" s="137">
        <f>Transportation_LCIA!I$61*($W202^Transportation_LCIA!I$60)+Transportation_LCIA!I$62</f>
        <v>1.0010201729396875E-5</v>
      </c>
      <c r="AF202" s="137">
        <f>Transportation_LCIA!J$61*($W202^Transportation_LCIA!J$60)+Transportation_LCIA!J$62</f>
        <v>1.4910087392935532E-2</v>
      </c>
      <c r="AG202" s="137">
        <f>Transportation_LCIA!K$61*($W202^Transportation_LCIA!K$60)+Transportation_LCIA!K$62</f>
        <v>1.8005284512120634E-2</v>
      </c>
      <c r="AH202" s="137">
        <f>Transportation_LCIA!L$61*($W202^Transportation_LCIA!L$60)+Transportation_LCIA!L$62</f>
        <v>3.8774642038002372E-4</v>
      </c>
      <c r="AI202" s="137">
        <f>Transportation_LCIA!M$61*($W202^Transportation_LCIA!M$60)+Transportation_LCIA!M$62</f>
        <v>3.3205908340433346E-4</v>
      </c>
      <c r="AJ202" s="137">
        <f>Transportation_LCIA!N$61*($W202^Transportation_LCIA!N$60)+Transportation_LCIA!N$62</f>
        <v>1.5278401037459809E-3</v>
      </c>
      <c r="AK202" s="137">
        <f>Transportation_LCIA!O$61*($W202^Transportation_LCIA!O$60)+Transportation_LCIA!O$62</f>
        <v>8.6776433969231709E-5</v>
      </c>
      <c r="AL202" s="137">
        <f>Transportation_LCIA!P$61*($W202^Transportation_LCIA!P$60)+Transportation_LCIA!P$62</f>
        <v>4.187496920977748E-8</v>
      </c>
      <c r="AM202" s="137">
        <f>Transportation_LCIA!Q$61*($W202^Transportation_LCIA!Q$60)+Transportation_LCIA!Q$62</f>
        <v>1.5289540886279419E-4</v>
      </c>
      <c r="AN202" s="137">
        <f>Transportation_LCIA!R$61*($W202^Transportation_LCIA!R$60)+Transportation_LCIA!R$62</f>
        <v>4.8092919779996581E-4</v>
      </c>
      <c r="AO202" s="137">
        <f>Transportation_LCIA!S$61*($W202^Transportation_LCIA!S$60)+Transportation_LCIA!S$62</f>
        <v>7.081081996143308E-6</v>
      </c>
      <c r="AP202" s="137">
        <f>Transportation_LCIA!T$61*($W202^Transportation_LCIA!T$60)+Transportation_LCIA!T$62</f>
        <v>7.081081996143308E-6</v>
      </c>
      <c r="AQ202" s="137">
        <f>Transportation_LCIA!U$61*($W202^Transportation_LCIA!U$60)+Transportation_LCIA!U$62</f>
        <v>1.0425420500377758E-3</v>
      </c>
      <c r="AR202" s="137">
        <f>Transportation_LCIA!V$61*($W202^Transportation_LCIA!V$60)+Transportation_LCIA!V$62</f>
        <v>3.9809863614409633E-4</v>
      </c>
      <c r="AT202" s="137">
        <f>$W202*Y202+$L202*Summary_LCIA!H$32</f>
        <v>177.97446514508161</v>
      </c>
      <c r="AU202" s="137">
        <f>$W202*Z202+$L202*Summary_LCIA!Q$32</f>
        <v>1945.2298455402099</v>
      </c>
      <c r="AV202" s="137">
        <f>$W202*AA202+$L202*Summary_LCIA!R$32</f>
        <v>1.1053552201787342</v>
      </c>
      <c r="AW202" s="137">
        <f>$W202*AB202+$L202*Summary_LCIA!S$32</f>
        <v>177.85105432508161</v>
      </c>
      <c r="AX202" s="137">
        <f>$W202*AC202+$L202*Summary_LCIA!T$32</f>
        <v>45.153284031608706</v>
      </c>
      <c r="AY202" s="137">
        <f>$W202*AD202+$L202*Summary_LCIA!U$32</f>
        <v>0.72454138372066013</v>
      </c>
      <c r="AZ202" s="137">
        <f>$W202*AE202+$L202*Summary_LCIA!V$32</f>
        <v>6.4731086298757436E-3</v>
      </c>
      <c r="BA202" s="137">
        <f>$W202*AF202+$L202*Summary_LCIA!W$32</f>
        <v>9.8044468965078053</v>
      </c>
      <c r="BB202" s="137">
        <f>$W202*AG202+$L202*Summary_LCIA!X$32</f>
        <v>9.8805581350992089</v>
      </c>
      <c r="BC202" s="137">
        <f>$W202*AH202+$L202*Summary_LCIA!Y$32</f>
        <v>0.63414705623646483</v>
      </c>
      <c r="BD202" s="137">
        <f>$W202*AI202+$L202*Summary_LCIA!Z$32</f>
        <v>0.1716352975275853</v>
      </c>
      <c r="BE202" s="137">
        <f>$W202*AJ202+$L202*Summary_LCIA!AA$32</f>
        <v>1.4365672959992715</v>
      </c>
      <c r="BF202" s="137">
        <f>$W202*AK202+$L202*Summary_LCIA!AB$32</f>
        <v>4.394461550259228E-2</v>
      </c>
      <c r="BG202" s="137">
        <f>$W202*AL202+$L202*Summary_LCIA!AC$32</f>
        <v>2.2864905678524456E-5</v>
      </c>
      <c r="BH202" s="137">
        <f>$W202*AM202+$L202*Summary_LCIA!AD$32</f>
        <v>8.9978285564955907E-2</v>
      </c>
      <c r="BI202" s="137">
        <f>$W202*AN202+$L202*Summary_LCIA!AE$32</f>
        <v>0.271666837329259</v>
      </c>
      <c r="BJ202" s="137">
        <f>$W202*AO202+$L202*Summary_LCIA!AF$32</f>
        <v>2.7240637126737785E-2</v>
      </c>
      <c r="BK202" s="137">
        <f>$W202*AP202+$L202*Summary_LCIA!AG$32</f>
        <v>5.0642432717377846E-3</v>
      </c>
      <c r="BL202" s="137">
        <f>$W202*AQ202+$L202*Summary_LCIA!AH$32</f>
        <v>0.77828931665376899</v>
      </c>
      <c r="BM202" s="137">
        <f>$W202*AR202+$L202*Summary_LCIA!AI$32</f>
        <v>0.23040701702688743</v>
      </c>
    </row>
    <row r="203" spans="1:65" x14ac:dyDescent="0.25">
      <c r="A203" s="149">
        <v>295</v>
      </c>
      <c r="B203" s="149">
        <v>43</v>
      </c>
      <c r="C203" s="61">
        <v>40.440624999999997</v>
      </c>
      <c r="D203" s="61">
        <v>-79.995885999999999</v>
      </c>
      <c r="E203" s="61" t="s">
        <v>265</v>
      </c>
      <c r="F203" s="149">
        <v>106</v>
      </c>
      <c r="G203" s="61" t="s">
        <v>266</v>
      </c>
      <c r="H203" s="61" t="s">
        <v>669</v>
      </c>
      <c r="I203" s="61">
        <v>40.491920999999998</v>
      </c>
      <c r="J203" s="61">
        <v>-80.235223000000005</v>
      </c>
      <c r="K203" s="61">
        <v>21.391265860000001</v>
      </c>
      <c r="L203" s="61">
        <v>27.920999999999999</v>
      </c>
      <c r="M203" s="61" t="s">
        <v>617</v>
      </c>
      <c r="N203" s="149">
        <v>42</v>
      </c>
      <c r="O203" s="149">
        <v>43</v>
      </c>
      <c r="P203" s="61" t="s">
        <v>565</v>
      </c>
      <c r="Q203" s="61" t="s">
        <v>555</v>
      </c>
      <c r="R203" s="61">
        <v>40.6895314</v>
      </c>
      <c r="S203" s="61">
        <v>-74.174462399999996</v>
      </c>
      <c r="T203" s="61">
        <v>581.04700000000003</v>
      </c>
      <c r="U203" s="61" t="s">
        <v>617</v>
      </c>
      <c r="V203" s="61" t="s">
        <v>569</v>
      </c>
      <c r="W203" s="61" cm="1">
        <f t="array" ref="W203">getDistance(I203,J203,R203,S203)*SA!$B$12</f>
        <v>513.433583839015</v>
      </c>
      <c r="Y203" s="137">
        <f>Transportation_LCIA!C$61*($W203^Transportation_LCIA!C$60)+Transportation_LCIA!C$62</f>
        <v>0.32815716511039528</v>
      </c>
      <c r="Z203" s="137">
        <f>Transportation_LCIA!D$61*($W203^Transportation_LCIA!D$60)+Transportation_LCIA!D$62</f>
        <v>3.5191542163843881</v>
      </c>
      <c r="AA203" s="137">
        <f>Transportation_LCIA!E$61*($W203^Transportation_LCIA!E$60)+Transportation_LCIA!E$62</f>
        <v>1.8665206810453132E-3</v>
      </c>
      <c r="AB203" s="137">
        <f>Transportation_LCIA!F$61*($W203^Transportation_LCIA!F$60)+Transportation_LCIA!F$62</f>
        <v>0.32815716511039528</v>
      </c>
      <c r="AC203" s="137">
        <f>Transportation_LCIA!G$61*($W203^Transportation_LCIA!G$60)+Transportation_LCIA!G$62</f>
        <v>8.1967302989677859E-2</v>
      </c>
      <c r="AD203" s="137">
        <f>Transportation_LCIA!H$61*($W203^Transportation_LCIA!H$60)+Transportation_LCIA!H$62</f>
        <v>4.3698853519291556E-4</v>
      </c>
      <c r="AE203" s="137">
        <f>Transportation_LCIA!I$61*($W203^Transportation_LCIA!I$60)+Transportation_LCIA!I$62</f>
        <v>1.0010201729396875E-5</v>
      </c>
      <c r="AF203" s="137">
        <f>Transportation_LCIA!J$61*($W203^Transportation_LCIA!J$60)+Transportation_LCIA!J$62</f>
        <v>1.4910087392935532E-2</v>
      </c>
      <c r="AG203" s="137">
        <f>Transportation_LCIA!K$61*($W203^Transportation_LCIA!K$60)+Transportation_LCIA!K$62</f>
        <v>1.8005284512120634E-2</v>
      </c>
      <c r="AH203" s="137">
        <f>Transportation_LCIA!L$61*($W203^Transportation_LCIA!L$60)+Transportation_LCIA!L$62</f>
        <v>3.8774642038002372E-4</v>
      </c>
      <c r="AI203" s="137">
        <f>Transportation_LCIA!M$61*($W203^Transportation_LCIA!M$60)+Transportation_LCIA!M$62</f>
        <v>3.3205908340433346E-4</v>
      </c>
      <c r="AJ203" s="137">
        <f>Transportation_LCIA!N$61*($W203^Transportation_LCIA!N$60)+Transportation_LCIA!N$62</f>
        <v>1.5278401037459809E-3</v>
      </c>
      <c r="AK203" s="137">
        <f>Transportation_LCIA!O$61*($W203^Transportation_LCIA!O$60)+Transportation_LCIA!O$62</f>
        <v>8.6776433969231709E-5</v>
      </c>
      <c r="AL203" s="137">
        <f>Transportation_LCIA!P$61*($W203^Transportation_LCIA!P$60)+Transportation_LCIA!P$62</f>
        <v>4.187496920977748E-8</v>
      </c>
      <c r="AM203" s="137">
        <f>Transportation_LCIA!Q$61*($W203^Transportation_LCIA!Q$60)+Transportation_LCIA!Q$62</f>
        <v>1.5289540886279419E-4</v>
      </c>
      <c r="AN203" s="137">
        <f>Transportation_LCIA!R$61*($W203^Transportation_LCIA!R$60)+Transportation_LCIA!R$62</f>
        <v>4.8092919779996581E-4</v>
      </c>
      <c r="AO203" s="137">
        <f>Transportation_LCIA!S$61*($W203^Transportation_LCIA!S$60)+Transportation_LCIA!S$62</f>
        <v>7.081081996143308E-6</v>
      </c>
      <c r="AP203" s="137">
        <f>Transportation_LCIA!T$61*($W203^Transportation_LCIA!T$60)+Transportation_LCIA!T$62</f>
        <v>7.081081996143308E-6</v>
      </c>
      <c r="AQ203" s="137">
        <f>Transportation_LCIA!U$61*($W203^Transportation_LCIA!U$60)+Transportation_LCIA!U$62</f>
        <v>1.0425420500377758E-3</v>
      </c>
      <c r="AR203" s="137">
        <f>Transportation_LCIA!V$61*($W203^Transportation_LCIA!V$60)+Transportation_LCIA!V$62</f>
        <v>3.9809863614409633E-4</v>
      </c>
      <c r="AT203" s="137">
        <f>$W203*Y203+$L203*Summary_LCIA!H$32</f>
        <v>177.97446514508161</v>
      </c>
      <c r="AU203" s="137">
        <f>$W203*Z203+$L203*Summary_LCIA!Q$32</f>
        <v>1945.2298455402099</v>
      </c>
      <c r="AV203" s="137">
        <f>$W203*AA203+$L203*Summary_LCIA!R$32</f>
        <v>1.1053552201787342</v>
      </c>
      <c r="AW203" s="137">
        <f>$W203*AB203+$L203*Summary_LCIA!S$32</f>
        <v>177.85105432508161</v>
      </c>
      <c r="AX203" s="137">
        <f>$W203*AC203+$L203*Summary_LCIA!T$32</f>
        <v>45.153284031608706</v>
      </c>
      <c r="AY203" s="137">
        <f>$W203*AD203+$L203*Summary_LCIA!U$32</f>
        <v>0.72454138372066013</v>
      </c>
      <c r="AZ203" s="137">
        <f>$W203*AE203+$L203*Summary_LCIA!V$32</f>
        <v>6.4731086298757436E-3</v>
      </c>
      <c r="BA203" s="137">
        <f>$W203*AF203+$L203*Summary_LCIA!W$32</f>
        <v>9.8044468965078053</v>
      </c>
      <c r="BB203" s="137">
        <f>$W203*AG203+$L203*Summary_LCIA!X$32</f>
        <v>9.8805581350992089</v>
      </c>
      <c r="BC203" s="137">
        <f>$W203*AH203+$L203*Summary_LCIA!Y$32</f>
        <v>0.63414705623646483</v>
      </c>
      <c r="BD203" s="137">
        <f>$W203*AI203+$L203*Summary_LCIA!Z$32</f>
        <v>0.1716352975275853</v>
      </c>
      <c r="BE203" s="137">
        <f>$W203*AJ203+$L203*Summary_LCIA!AA$32</f>
        <v>1.4365672959992715</v>
      </c>
      <c r="BF203" s="137">
        <f>$W203*AK203+$L203*Summary_LCIA!AB$32</f>
        <v>4.394461550259228E-2</v>
      </c>
      <c r="BG203" s="137">
        <f>$W203*AL203+$L203*Summary_LCIA!AC$32</f>
        <v>2.2864905678524456E-5</v>
      </c>
      <c r="BH203" s="137">
        <f>$W203*AM203+$L203*Summary_LCIA!AD$32</f>
        <v>8.9978285564955907E-2</v>
      </c>
      <c r="BI203" s="137">
        <f>$W203*AN203+$L203*Summary_LCIA!AE$32</f>
        <v>0.271666837329259</v>
      </c>
      <c r="BJ203" s="137">
        <f>$W203*AO203+$L203*Summary_LCIA!AF$32</f>
        <v>2.7240637126737785E-2</v>
      </c>
      <c r="BK203" s="137">
        <f>$W203*AP203+$L203*Summary_LCIA!AG$32</f>
        <v>5.0642432717377846E-3</v>
      </c>
      <c r="BL203" s="137">
        <f>$W203*AQ203+$L203*Summary_LCIA!AH$32</f>
        <v>0.77828931665376899</v>
      </c>
      <c r="BM203" s="137">
        <f>$W203*AR203+$L203*Summary_LCIA!AI$32</f>
        <v>0.23040701702688743</v>
      </c>
    </row>
    <row r="204" spans="1:65" x14ac:dyDescent="0.25">
      <c r="A204" s="149">
        <v>296</v>
      </c>
      <c r="B204" s="149">
        <v>43</v>
      </c>
      <c r="C204" s="61">
        <v>40.440624999999997</v>
      </c>
      <c r="D204" s="61">
        <v>-79.995885999999999</v>
      </c>
      <c r="E204" s="61" t="s">
        <v>265</v>
      </c>
      <c r="F204" s="149">
        <v>106</v>
      </c>
      <c r="G204" s="61" t="s">
        <v>266</v>
      </c>
      <c r="H204" s="61" t="s">
        <v>669</v>
      </c>
      <c r="I204" s="61">
        <v>40.491920999999998</v>
      </c>
      <c r="J204" s="61">
        <v>-80.235223000000005</v>
      </c>
      <c r="K204" s="61">
        <v>21.391265860000001</v>
      </c>
      <c r="L204" s="61">
        <v>27.920999999999999</v>
      </c>
      <c r="M204" s="61" t="s">
        <v>617</v>
      </c>
      <c r="N204" s="149">
        <v>42</v>
      </c>
      <c r="O204" s="149">
        <v>43</v>
      </c>
      <c r="P204" s="61" t="s">
        <v>565</v>
      </c>
      <c r="Q204" s="61" t="s">
        <v>555</v>
      </c>
      <c r="R204" s="61">
        <v>40.6895314</v>
      </c>
      <c r="S204" s="61">
        <v>-74.174462399999996</v>
      </c>
      <c r="T204" s="61">
        <v>581.04700000000003</v>
      </c>
      <c r="U204" s="61" t="s">
        <v>617</v>
      </c>
      <c r="V204" s="61" t="s">
        <v>569</v>
      </c>
      <c r="W204" s="61" cm="1">
        <f t="array" ref="W204">getDistance(I204,J204,R204,S204)*SA!$B$12</f>
        <v>513.433583839015</v>
      </c>
      <c r="Y204" s="137">
        <f>Transportation_LCIA!C$61*($W204^Transportation_LCIA!C$60)+Transportation_LCIA!C$62</f>
        <v>0.32815716511039528</v>
      </c>
      <c r="Z204" s="137">
        <f>Transportation_LCIA!D$61*($W204^Transportation_LCIA!D$60)+Transportation_LCIA!D$62</f>
        <v>3.5191542163843881</v>
      </c>
      <c r="AA204" s="137">
        <f>Transportation_LCIA!E$61*($W204^Transportation_LCIA!E$60)+Transportation_LCIA!E$62</f>
        <v>1.8665206810453132E-3</v>
      </c>
      <c r="AB204" s="137">
        <f>Transportation_LCIA!F$61*($W204^Transportation_LCIA!F$60)+Transportation_LCIA!F$62</f>
        <v>0.32815716511039528</v>
      </c>
      <c r="AC204" s="137">
        <f>Transportation_LCIA!G$61*($W204^Transportation_LCIA!G$60)+Transportation_LCIA!G$62</f>
        <v>8.1967302989677859E-2</v>
      </c>
      <c r="AD204" s="137">
        <f>Transportation_LCIA!H$61*($W204^Transportation_LCIA!H$60)+Transportation_LCIA!H$62</f>
        <v>4.3698853519291556E-4</v>
      </c>
      <c r="AE204" s="137">
        <f>Transportation_LCIA!I$61*($W204^Transportation_LCIA!I$60)+Transportation_LCIA!I$62</f>
        <v>1.0010201729396875E-5</v>
      </c>
      <c r="AF204" s="137">
        <f>Transportation_LCIA!J$61*($W204^Transportation_LCIA!J$60)+Transportation_LCIA!J$62</f>
        <v>1.4910087392935532E-2</v>
      </c>
      <c r="AG204" s="137">
        <f>Transportation_LCIA!K$61*($W204^Transportation_LCIA!K$60)+Transportation_LCIA!K$62</f>
        <v>1.8005284512120634E-2</v>
      </c>
      <c r="AH204" s="137">
        <f>Transportation_LCIA!L$61*($W204^Transportation_LCIA!L$60)+Transportation_LCIA!L$62</f>
        <v>3.8774642038002372E-4</v>
      </c>
      <c r="AI204" s="137">
        <f>Transportation_LCIA!M$61*($W204^Transportation_LCIA!M$60)+Transportation_LCIA!M$62</f>
        <v>3.3205908340433346E-4</v>
      </c>
      <c r="AJ204" s="137">
        <f>Transportation_LCIA!N$61*($W204^Transportation_LCIA!N$60)+Transportation_LCIA!N$62</f>
        <v>1.5278401037459809E-3</v>
      </c>
      <c r="AK204" s="137">
        <f>Transportation_LCIA!O$61*($W204^Transportation_LCIA!O$60)+Transportation_LCIA!O$62</f>
        <v>8.6776433969231709E-5</v>
      </c>
      <c r="AL204" s="137">
        <f>Transportation_LCIA!P$61*($W204^Transportation_LCIA!P$60)+Transportation_LCIA!P$62</f>
        <v>4.187496920977748E-8</v>
      </c>
      <c r="AM204" s="137">
        <f>Transportation_LCIA!Q$61*($W204^Transportation_LCIA!Q$60)+Transportation_LCIA!Q$62</f>
        <v>1.5289540886279419E-4</v>
      </c>
      <c r="AN204" s="137">
        <f>Transportation_LCIA!R$61*($W204^Transportation_LCIA!R$60)+Transportation_LCIA!R$62</f>
        <v>4.8092919779996581E-4</v>
      </c>
      <c r="AO204" s="137">
        <f>Transportation_LCIA!S$61*($W204^Transportation_LCIA!S$60)+Transportation_LCIA!S$62</f>
        <v>7.081081996143308E-6</v>
      </c>
      <c r="AP204" s="137">
        <f>Transportation_LCIA!T$61*($W204^Transportation_LCIA!T$60)+Transportation_LCIA!T$62</f>
        <v>7.081081996143308E-6</v>
      </c>
      <c r="AQ204" s="137">
        <f>Transportation_LCIA!U$61*($W204^Transportation_LCIA!U$60)+Transportation_LCIA!U$62</f>
        <v>1.0425420500377758E-3</v>
      </c>
      <c r="AR204" s="137">
        <f>Transportation_LCIA!V$61*($W204^Transportation_LCIA!V$60)+Transportation_LCIA!V$62</f>
        <v>3.9809863614409633E-4</v>
      </c>
      <c r="AT204" s="137">
        <f>$W204*Y204+$L204*Summary_LCIA!H$32</f>
        <v>177.97446514508161</v>
      </c>
      <c r="AU204" s="137">
        <f>$W204*Z204+$L204*Summary_LCIA!Q$32</f>
        <v>1945.2298455402099</v>
      </c>
      <c r="AV204" s="137">
        <f>$W204*AA204+$L204*Summary_LCIA!R$32</f>
        <v>1.1053552201787342</v>
      </c>
      <c r="AW204" s="137">
        <f>$W204*AB204+$L204*Summary_LCIA!S$32</f>
        <v>177.85105432508161</v>
      </c>
      <c r="AX204" s="137">
        <f>$W204*AC204+$L204*Summary_LCIA!T$32</f>
        <v>45.153284031608706</v>
      </c>
      <c r="AY204" s="137">
        <f>$W204*AD204+$L204*Summary_LCIA!U$32</f>
        <v>0.72454138372066013</v>
      </c>
      <c r="AZ204" s="137">
        <f>$W204*AE204+$L204*Summary_LCIA!V$32</f>
        <v>6.4731086298757436E-3</v>
      </c>
      <c r="BA204" s="137">
        <f>$W204*AF204+$L204*Summary_LCIA!W$32</f>
        <v>9.8044468965078053</v>
      </c>
      <c r="BB204" s="137">
        <f>$W204*AG204+$L204*Summary_LCIA!X$32</f>
        <v>9.8805581350992089</v>
      </c>
      <c r="BC204" s="137">
        <f>$W204*AH204+$L204*Summary_LCIA!Y$32</f>
        <v>0.63414705623646483</v>
      </c>
      <c r="BD204" s="137">
        <f>$W204*AI204+$L204*Summary_LCIA!Z$32</f>
        <v>0.1716352975275853</v>
      </c>
      <c r="BE204" s="137">
        <f>$W204*AJ204+$L204*Summary_LCIA!AA$32</f>
        <v>1.4365672959992715</v>
      </c>
      <c r="BF204" s="137">
        <f>$W204*AK204+$L204*Summary_LCIA!AB$32</f>
        <v>4.394461550259228E-2</v>
      </c>
      <c r="BG204" s="137">
        <f>$W204*AL204+$L204*Summary_LCIA!AC$32</f>
        <v>2.2864905678524456E-5</v>
      </c>
      <c r="BH204" s="137">
        <f>$W204*AM204+$L204*Summary_LCIA!AD$32</f>
        <v>8.9978285564955907E-2</v>
      </c>
      <c r="BI204" s="137">
        <f>$W204*AN204+$L204*Summary_LCIA!AE$32</f>
        <v>0.271666837329259</v>
      </c>
      <c r="BJ204" s="137">
        <f>$W204*AO204+$L204*Summary_LCIA!AF$32</f>
        <v>2.7240637126737785E-2</v>
      </c>
      <c r="BK204" s="137">
        <f>$W204*AP204+$L204*Summary_LCIA!AG$32</f>
        <v>5.0642432717377846E-3</v>
      </c>
      <c r="BL204" s="137">
        <f>$W204*AQ204+$L204*Summary_LCIA!AH$32</f>
        <v>0.77828931665376899</v>
      </c>
      <c r="BM204" s="137">
        <f>$W204*AR204+$L204*Summary_LCIA!AI$32</f>
        <v>0.23040701702688743</v>
      </c>
    </row>
    <row r="205" spans="1:65" x14ac:dyDescent="0.25">
      <c r="A205" s="149">
        <v>297</v>
      </c>
      <c r="B205" s="149">
        <v>43</v>
      </c>
      <c r="C205" s="61">
        <v>40.440624999999997</v>
      </c>
      <c r="D205" s="61">
        <v>-79.995885999999999</v>
      </c>
      <c r="E205" s="61" t="s">
        <v>265</v>
      </c>
      <c r="F205" s="149">
        <v>106</v>
      </c>
      <c r="G205" s="61" t="s">
        <v>266</v>
      </c>
      <c r="H205" s="61" t="s">
        <v>669</v>
      </c>
      <c r="I205" s="61">
        <v>40.491920999999998</v>
      </c>
      <c r="J205" s="61">
        <v>-80.235223000000005</v>
      </c>
      <c r="K205" s="61">
        <v>21.391265860000001</v>
      </c>
      <c r="L205" s="61">
        <v>27.920999999999999</v>
      </c>
      <c r="M205" s="61" t="s">
        <v>617</v>
      </c>
      <c r="N205" s="149">
        <v>42</v>
      </c>
      <c r="O205" s="149">
        <v>43</v>
      </c>
      <c r="P205" s="61" t="s">
        <v>565</v>
      </c>
      <c r="Q205" s="61" t="s">
        <v>555</v>
      </c>
      <c r="R205" s="61">
        <v>40.6895314</v>
      </c>
      <c r="S205" s="61">
        <v>-74.174462399999996</v>
      </c>
      <c r="T205" s="61">
        <v>581.04700000000003</v>
      </c>
      <c r="U205" s="61" t="s">
        <v>617</v>
      </c>
      <c r="V205" s="61" t="s">
        <v>569</v>
      </c>
      <c r="W205" s="61" cm="1">
        <f t="array" ref="W205">getDistance(I205,J205,R205,S205)*SA!$B$12</f>
        <v>513.433583839015</v>
      </c>
      <c r="Y205" s="137">
        <f>Transportation_LCIA!C$61*($W205^Transportation_LCIA!C$60)+Transportation_LCIA!C$62</f>
        <v>0.32815716511039528</v>
      </c>
      <c r="Z205" s="137">
        <f>Transportation_LCIA!D$61*($W205^Transportation_LCIA!D$60)+Transportation_LCIA!D$62</f>
        <v>3.5191542163843881</v>
      </c>
      <c r="AA205" s="137">
        <f>Transportation_LCIA!E$61*($W205^Transportation_LCIA!E$60)+Transportation_LCIA!E$62</f>
        <v>1.8665206810453132E-3</v>
      </c>
      <c r="AB205" s="137">
        <f>Transportation_LCIA!F$61*($W205^Transportation_LCIA!F$60)+Transportation_LCIA!F$62</f>
        <v>0.32815716511039528</v>
      </c>
      <c r="AC205" s="137">
        <f>Transportation_LCIA!G$61*($W205^Transportation_LCIA!G$60)+Transportation_LCIA!G$62</f>
        <v>8.1967302989677859E-2</v>
      </c>
      <c r="AD205" s="137">
        <f>Transportation_LCIA!H$61*($W205^Transportation_LCIA!H$60)+Transportation_LCIA!H$62</f>
        <v>4.3698853519291556E-4</v>
      </c>
      <c r="AE205" s="137">
        <f>Transportation_LCIA!I$61*($W205^Transportation_LCIA!I$60)+Transportation_LCIA!I$62</f>
        <v>1.0010201729396875E-5</v>
      </c>
      <c r="AF205" s="137">
        <f>Transportation_LCIA!J$61*($W205^Transportation_LCIA!J$60)+Transportation_LCIA!J$62</f>
        <v>1.4910087392935532E-2</v>
      </c>
      <c r="AG205" s="137">
        <f>Transportation_LCIA!K$61*($W205^Transportation_LCIA!K$60)+Transportation_LCIA!K$62</f>
        <v>1.8005284512120634E-2</v>
      </c>
      <c r="AH205" s="137">
        <f>Transportation_LCIA!L$61*($W205^Transportation_LCIA!L$60)+Transportation_LCIA!L$62</f>
        <v>3.8774642038002372E-4</v>
      </c>
      <c r="AI205" s="137">
        <f>Transportation_LCIA!M$61*($W205^Transportation_LCIA!M$60)+Transportation_LCIA!M$62</f>
        <v>3.3205908340433346E-4</v>
      </c>
      <c r="AJ205" s="137">
        <f>Transportation_LCIA!N$61*($W205^Transportation_LCIA!N$60)+Transportation_LCIA!N$62</f>
        <v>1.5278401037459809E-3</v>
      </c>
      <c r="AK205" s="137">
        <f>Transportation_LCIA!O$61*($W205^Transportation_LCIA!O$60)+Transportation_LCIA!O$62</f>
        <v>8.6776433969231709E-5</v>
      </c>
      <c r="AL205" s="137">
        <f>Transportation_LCIA!P$61*($W205^Transportation_LCIA!P$60)+Transportation_LCIA!P$62</f>
        <v>4.187496920977748E-8</v>
      </c>
      <c r="AM205" s="137">
        <f>Transportation_LCIA!Q$61*($W205^Transportation_LCIA!Q$60)+Transportation_LCIA!Q$62</f>
        <v>1.5289540886279419E-4</v>
      </c>
      <c r="AN205" s="137">
        <f>Transportation_LCIA!R$61*($W205^Transportation_LCIA!R$60)+Transportation_LCIA!R$62</f>
        <v>4.8092919779996581E-4</v>
      </c>
      <c r="AO205" s="137">
        <f>Transportation_LCIA!S$61*($W205^Transportation_LCIA!S$60)+Transportation_LCIA!S$62</f>
        <v>7.081081996143308E-6</v>
      </c>
      <c r="AP205" s="137">
        <f>Transportation_LCIA!T$61*($W205^Transportation_LCIA!T$60)+Transportation_LCIA!T$62</f>
        <v>7.081081996143308E-6</v>
      </c>
      <c r="AQ205" s="137">
        <f>Transportation_LCIA!U$61*($W205^Transportation_LCIA!U$60)+Transportation_LCIA!U$62</f>
        <v>1.0425420500377758E-3</v>
      </c>
      <c r="AR205" s="137">
        <f>Transportation_LCIA!V$61*($W205^Transportation_LCIA!V$60)+Transportation_LCIA!V$62</f>
        <v>3.9809863614409633E-4</v>
      </c>
      <c r="AT205" s="137">
        <f>$W205*Y205+$L205*Summary_LCIA!H$32</f>
        <v>177.97446514508161</v>
      </c>
      <c r="AU205" s="137">
        <f>$W205*Z205+$L205*Summary_LCIA!Q$32</f>
        <v>1945.2298455402099</v>
      </c>
      <c r="AV205" s="137">
        <f>$W205*AA205+$L205*Summary_LCIA!R$32</f>
        <v>1.1053552201787342</v>
      </c>
      <c r="AW205" s="137">
        <f>$W205*AB205+$L205*Summary_LCIA!S$32</f>
        <v>177.85105432508161</v>
      </c>
      <c r="AX205" s="137">
        <f>$W205*AC205+$L205*Summary_LCIA!T$32</f>
        <v>45.153284031608706</v>
      </c>
      <c r="AY205" s="137">
        <f>$W205*AD205+$L205*Summary_LCIA!U$32</f>
        <v>0.72454138372066013</v>
      </c>
      <c r="AZ205" s="137">
        <f>$W205*AE205+$L205*Summary_LCIA!V$32</f>
        <v>6.4731086298757436E-3</v>
      </c>
      <c r="BA205" s="137">
        <f>$W205*AF205+$L205*Summary_LCIA!W$32</f>
        <v>9.8044468965078053</v>
      </c>
      <c r="BB205" s="137">
        <f>$W205*AG205+$L205*Summary_LCIA!X$32</f>
        <v>9.8805581350992089</v>
      </c>
      <c r="BC205" s="137">
        <f>$W205*AH205+$L205*Summary_LCIA!Y$32</f>
        <v>0.63414705623646483</v>
      </c>
      <c r="BD205" s="137">
        <f>$W205*AI205+$L205*Summary_LCIA!Z$32</f>
        <v>0.1716352975275853</v>
      </c>
      <c r="BE205" s="137">
        <f>$W205*AJ205+$L205*Summary_LCIA!AA$32</f>
        <v>1.4365672959992715</v>
      </c>
      <c r="BF205" s="137">
        <f>$W205*AK205+$L205*Summary_LCIA!AB$32</f>
        <v>4.394461550259228E-2</v>
      </c>
      <c r="BG205" s="137">
        <f>$W205*AL205+$L205*Summary_LCIA!AC$32</f>
        <v>2.2864905678524456E-5</v>
      </c>
      <c r="BH205" s="137">
        <f>$W205*AM205+$L205*Summary_LCIA!AD$32</f>
        <v>8.9978285564955907E-2</v>
      </c>
      <c r="BI205" s="137">
        <f>$W205*AN205+$L205*Summary_LCIA!AE$32</f>
        <v>0.271666837329259</v>
      </c>
      <c r="BJ205" s="137">
        <f>$W205*AO205+$L205*Summary_LCIA!AF$32</f>
        <v>2.7240637126737785E-2</v>
      </c>
      <c r="BK205" s="137">
        <f>$W205*AP205+$L205*Summary_LCIA!AG$32</f>
        <v>5.0642432717377846E-3</v>
      </c>
      <c r="BL205" s="137">
        <f>$W205*AQ205+$L205*Summary_LCIA!AH$32</f>
        <v>0.77828931665376899</v>
      </c>
      <c r="BM205" s="137">
        <f>$W205*AR205+$L205*Summary_LCIA!AI$32</f>
        <v>0.23040701702688743</v>
      </c>
    </row>
    <row r="206" spans="1:65" x14ac:dyDescent="0.25">
      <c r="A206" s="149">
        <v>298</v>
      </c>
      <c r="B206" s="149">
        <v>43</v>
      </c>
      <c r="C206" s="61">
        <v>40.440624999999997</v>
      </c>
      <c r="D206" s="61">
        <v>-79.995885999999999</v>
      </c>
      <c r="E206" s="61" t="s">
        <v>265</v>
      </c>
      <c r="F206" s="149">
        <v>106</v>
      </c>
      <c r="G206" s="61" t="s">
        <v>266</v>
      </c>
      <c r="H206" s="61" t="s">
        <v>669</v>
      </c>
      <c r="I206" s="61">
        <v>40.491920999999998</v>
      </c>
      <c r="J206" s="61">
        <v>-80.235223000000005</v>
      </c>
      <c r="K206" s="61">
        <v>21.391265860000001</v>
      </c>
      <c r="L206" s="61">
        <v>27.920999999999999</v>
      </c>
      <c r="M206" s="61" t="s">
        <v>617</v>
      </c>
      <c r="N206" s="149">
        <v>42</v>
      </c>
      <c r="O206" s="149">
        <v>43</v>
      </c>
      <c r="P206" s="61" t="s">
        <v>565</v>
      </c>
      <c r="Q206" s="61" t="s">
        <v>555</v>
      </c>
      <c r="R206" s="61">
        <v>40.6895314</v>
      </c>
      <c r="S206" s="61">
        <v>-74.174462399999996</v>
      </c>
      <c r="T206" s="61">
        <v>581.04700000000003</v>
      </c>
      <c r="U206" s="61" t="s">
        <v>617</v>
      </c>
      <c r="V206" s="61" t="s">
        <v>569</v>
      </c>
      <c r="W206" s="61" cm="1">
        <f t="array" ref="W206">getDistance(I206,J206,R206,S206)*SA!$B$12</f>
        <v>513.433583839015</v>
      </c>
      <c r="Y206" s="137">
        <f>Transportation_LCIA!C$61*($W206^Transportation_LCIA!C$60)+Transportation_LCIA!C$62</f>
        <v>0.32815716511039528</v>
      </c>
      <c r="Z206" s="137">
        <f>Transportation_LCIA!D$61*($W206^Transportation_LCIA!D$60)+Transportation_LCIA!D$62</f>
        <v>3.5191542163843881</v>
      </c>
      <c r="AA206" s="137">
        <f>Transportation_LCIA!E$61*($W206^Transportation_LCIA!E$60)+Transportation_LCIA!E$62</f>
        <v>1.8665206810453132E-3</v>
      </c>
      <c r="AB206" s="137">
        <f>Transportation_LCIA!F$61*($W206^Transportation_LCIA!F$60)+Transportation_LCIA!F$62</f>
        <v>0.32815716511039528</v>
      </c>
      <c r="AC206" s="137">
        <f>Transportation_LCIA!G$61*($W206^Transportation_LCIA!G$60)+Transportation_LCIA!G$62</f>
        <v>8.1967302989677859E-2</v>
      </c>
      <c r="AD206" s="137">
        <f>Transportation_LCIA!H$61*($W206^Transportation_LCIA!H$60)+Transportation_LCIA!H$62</f>
        <v>4.3698853519291556E-4</v>
      </c>
      <c r="AE206" s="137">
        <f>Transportation_LCIA!I$61*($W206^Transportation_LCIA!I$60)+Transportation_LCIA!I$62</f>
        <v>1.0010201729396875E-5</v>
      </c>
      <c r="AF206" s="137">
        <f>Transportation_LCIA!J$61*($W206^Transportation_LCIA!J$60)+Transportation_LCIA!J$62</f>
        <v>1.4910087392935532E-2</v>
      </c>
      <c r="AG206" s="137">
        <f>Transportation_LCIA!K$61*($W206^Transportation_LCIA!K$60)+Transportation_LCIA!K$62</f>
        <v>1.8005284512120634E-2</v>
      </c>
      <c r="AH206" s="137">
        <f>Transportation_LCIA!L$61*($W206^Transportation_LCIA!L$60)+Transportation_LCIA!L$62</f>
        <v>3.8774642038002372E-4</v>
      </c>
      <c r="AI206" s="137">
        <f>Transportation_LCIA!M$61*($W206^Transportation_LCIA!M$60)+Transportation_LCIA!M$62</f>
        <v>3.3205908340433346E-4</v>
      </c>
      <c r="AJ206" s="137">
        <f>Transportation_LCIA!N$61*($W206^Transportation_LCIA!N$60)+Transportation_LCIA!N$62</f>
        <v>1.5278401037459809E-3</v>
      </c>
      <c r="AK206" s="137">
        <f>Transportation_LCIA!O$61*($W206^Transportation_LCIA!O$60)+Transportation_LCIA!O$62</f>
        <v>8.6776433969231709E-5</v>
      </c>
      <c r="AL206" s="137">
        <f>Transportation_LCIA!P$61*($W206^Transportation_LCIA!P$60)+Transportation_LCIA!P$62</f>
        <v>4.187496920977748E-8</v>
      </c>
      <c r="AM206" s="137">
        <f>Transportation_LCIA!Q$61*($W206^Transportation_LCIA!Q$60)+Transportation_LCIA!Q$62</f>
        <v>1.5289540886279419E-4</v>
      </c>
      <c r="AN206" s="137">
        <f>Transportation_LCIA!R$61*($W206^Transportation_LCIA!R$60)+Transportation_LCIA!R$62</f>
        <v>4.8092919779996581E-4</v>
      </c>
      <c r="AO206" s="137">
        <f>Transportation_LCIA!S$61*($W206^Transportation_LCIA!S$60)+Transportation_LCIA!S$62</f>
        <v>7.081081996143308E-6</v>
      </c>
      <c r="AP206" s="137">
        <f>Transportation_LCIA!T$61*($W206^Transportation_LCIA!T$60)+Transportation_LCIA!T$62</f>
        <v>7.081081996143308E-6</v>
      </c>
      <c r="AQ206" s="137">
        <f>Transportation_LCIA!U$61*($W206^Transportation_LCIA!U$60)+Transportation_LCIA!U$62</f>
        <v>1.0425420500377758E-3</v>
      </c>
      <c r="AR206" s="137">
        <f>Transportation_LCIA!V$61*($W206^Transportation_LCIA!V$60)+Transportation_LCIA!V$62</f>
        <v>3.9809863614409633E-4</v>
      </c>
      <c r="AT206" s="137">
        <f>$W206*Y206+$L206*Summary_LCIA!H$32</f>
        <v>177.97446514508161</v>
      </c>
      <c r="AU206" s="137">
        <f>$W206*Z206+$L206*Summary_LCIA!Q$32</f>
        <v>1945.2298455402099</v>
      </c>
      <c r="AV206" s="137">
        <f>$W206*AA206+$L206*Summary_LCIA!R$32</f>
        <v>1.1053552201787342</v>
      </c>
      <c r="AW206" s="137">
        <f>$W206*AB206+$L206*Summary_LCIA!S$32</f>
        <v>177.85105432508161</v>
      </c>
      <c r="AX206" s="137">
        <f>$W206*AC206+$L206*Summary_LCIA!T$32</f>
        <v>45.153284031608706</v>
      </c>
      <c r="AY206" s="137">
        <f>$W206*AD206+$L206*Summary_LCIA!U$32</f>
        <v>0.72454138372066013</v>
      </c>
      <c r="AZ206" s="137">
        <f>$W206*AE206+$L206*Summary_LCIA!V$32</f>
        <v>6.4731086298757436E-3</v>
      </c>
      <c r="BA206" s="137">
        <f>$W206*AF206+$L206*Summary_LCIA!W$32</f>
        <v>9.8044468965078053</v>
      </c>
      <c r="BB206" s="137">
        <f>$W206*AG206+$L206*Summary_LCIA!X$32</f>
        <v>9.8805581350992089</v>
      </c>
      <c r="BC206" s="137">
        <f>$W206*AH206+$L206*Summary_LCIA!Y$32</f>
        <v>0.63414705623646483</v>
      </c>
      <c r="BD206" s="137">
        <f>$W206*AI206+$L206*Summary_LCIA!Z$32</f>
        <v>0.1716352975275853</v>
      </c>
      <c r="BE206" s="137">
        <f>$W206*AJ206+$L206*Summary_LCIA!AA$32</f>
        <v>1.4365672959992715</v>
      </c>
      <c r="BF206" s="137">
        <f>$W206*AK206+$L206*Summary_LCIA!AB$32</f>
        <v>4.394461550259228E-2</v>
      </c>
      <c r="BG206" s="137">
        <f>$W206*AL206+$L206*Summary_LCIA!AC$32</f>
        <v>2.2864905678524456E-5</v>
      </c>
      <c r="BH206" s="137">
        <f>$W206*AM206+$L206*Summary_LCIA!AD$32</f>
        <v>8.9978285564955907E-2</v>
      </c>
      <c r="BI206" s="137">
        <f>$W206*AN206+$L206*Summary_LCIA!AE$32</f>
        <v>0.271666837329259</v>
      </c>
      <c r="BJ206" s="137">
        <f>$W206*AO206+$L206*Summary_LCIA!AF$32</f>
        <v>2.7240637126737785E-2</v>
      </c>
      <c r="BK206" s="137">
        <f>$W206*AP206+$L206*Summary_LCIA!AG$32</f>
        <v>5.0642432717377846E-3</v>
      </c>
      <c r="BL206" s="137">
        <f>$W206*AQ206+$L206*Summary_LCIA!AH$32</f>
        <v>0.77828931665376899</v>
      </c>
      <c r="BM206" s="137">
        <f>$W206*AR206+$L206*Summary_LCIA!AI$32</f>
        <v>0.23040701702688743</v>
      </c>
    </row>
    <row r="207" spans="1:65" x14ac:dyDescent="0.25">
      <c r="A207" s="149">
        <v>299</v>
      </c>
      <c r="B207" s="149">
        <v>43</v>
      </c>
      <c r="C207" s="61">
        <v>40.440624999999997</v>
      </c>
      <c r="D207" s="61">
        <v>-79.995885999999999</v>
      </c>
      <c r="E207" s="61" t="s">
        <v>265</v>
      </c>
      <c r="F207" s="149">
        <v>106</v>
      </c>
      <c r="G207" s="61" t="s">
        <v>266</v>
      </c>
      <c r="H207" s="61" t="s">
        <v>669</v>
      </c>
      <c r="I207" s="61">
        <v>40.491920999999998</v>
      </c>
      <c r="J207" s="61">
        <v>-80.235223000000005</v>
      </c>
      <c r="K207" s="61">
        <v>21.391265860000001</v>
      </c>
      <c r="L207" s="61">
        <v>27.920999999999999</v>
      </c>
      <c r="M207" s="61" t="s">
        <v>617</v>
      </c>
      <c r="N207" s="149">
        <v>42</v>
      </c>
      <c r="O207" s="149">
        <v>43</v>
      </c>
      <c r="P207" s="61" t="s">
        <v>565</v>
      </c>
      <c r="Q207" s="61" t="s">
        <v>555</v>
      </c>
      <c r="R207" s="61">
        <v>40.6895314</v>
      </c>
      <c r="S207" s="61">
        <v>-74.174462399999996</v>
      </c>
      <c r="T207" s="61">
        <v>581.04700000000003</v>
      </c>
      <c r="U207" s="61" t="s">
        <v>617</v>
      </c>
      <c r="V207" s="61" t="s">
        <v>569</v>
      </c>
      <c r="W207" s="61" cm="1">
        <f t="array" ref="W207">getDistance(I207,J207,R207,S207)*SA!$B$12</f>
        <v>513.433583839015</v>
      </c>
      <c r="Y207" s="137">
        <f>Transportation_LCIA!C$61*($W207^Transportation_LCIA!C$60)+Transportation_LCIA!C$62</f>
        <v>0.32815716511039528</v>
      </c>
      <c r="Z207" s="137">
        <f>Transportation_LCIA!D$61*($W207^Transportation_LCIA!D$60)+Transportation_LCIA!D$62</f>
        <v>3.5191542163843881</v>
      </c>
      <c r="AA207" s="137">
        <f>Transportation_LCIA!E$61*($W207^Transportation_LCIA!E$60)+Transportation_LCIA!E$62</f>
        <v>1.8665206810453132E-3</v>
      </c>
      <c r="AB207" s="137">
        <f>Transportation_LCIA!F$61*($W207^Transportation_LCIA!F$60)+Transportation_LCIA!F$62</f>
        <v>0.32815716511039528</v>
      </c>
      <c r="AC207" s="137">
        <f>Transportation_LCIA!G$61*($W207^Transportation_LCIA!G$60)+Transportation_LCIA!G$62</f>
        <v>8.1967302989677859E-2</v>
      </c>
      <c r="AD207" s="137">
        <f>Transportation_LCIA!H$61*($W207^Transportation_LCIA!H$60)+Transportation_LCIA!H$62</f>
        <v>4.3698853519291556E-4</v>
      </c>
      <c r="AE207" s="137">
        <f>Transportation_LCIA!I$61*($W207^Transportation_LCIA!I$60)+Transportation_LCIA!I$62</f>
        <v>1.0010201729396875E-5</v>
      </c>
      <c r="AF207" s="137">
        <f>Transportation_LCIA!J$61*($W207^Transportation_LCIA!J$60)+Transportation_LCIA!J$62</f>
        <v>1.4910087392935532E-2</v>
      </c>
      <c r="AG207" s="137">
        <f>Transportation_LCIA!K$61*($W207^Transportation_LCIA!K$60)+Transportation_LCIA!K$62</f>
        <v>1.8005284512120634E-2</v>
      </c>
      <c r="AH207" s="137">
        <f>Transportation_LCIA!L$61*($W207^Transportation_LCIA!L$60)+Transportation_LCIA!L$62</f>
        <v>3.8774642038002372E-4</v>
      </c>
      <c r="AI207" s="137">
        <f>Transportation_LCIA!M$61*($W207^Transportation_LCIA!M$60)+Transportation_LCIA!M$62</f>
        <v>3.3205908340433346E-4</v>
      </c>
      <c r="AJ207" s="137">
        <f>Transportation_LCIA!N$61*($W207^Transportation_LCIA!N$60)+Transportation_LCIA!N$62</f>
        <v>1.5278401037459809E-3</v>
      </c>
      <c r="AK207" s="137">
        <f>Transportation_LCIA!O$61*($W207^Transportation_LCIA!O$60)+Transportation_LCIA!O$62</f>
        <v>8.6776433969231709E-5</v>
      </c>
      <c r="AL207" s="137">
        <f>Transportation_LCIA!P$61*($W207^Transportation_LCIA!P$60)+Transportation_LCIA!P$62</f>
        <v>4.187496920977748E-8</v>
      </c>
      <c r="AM207" s="137">
        <f>Transportation_LCIA!Q$61*($W207^Transportation_LCIA!Q$60)+Transportation_LCIA!Q$62</f>
        <v>1.5289540886279419E-4</v>
      </c>
      <c r="AN207" s="137">
        <f>Transportation_LCIA!R$61*($W207^Transportation_LCIA!R$60)+Transportation_LCIA!R$62</f>
        <v>4.8092919779996581E-4</v>
      </c>
      <c r="AO207" s="137">
        <f>Transportation_LCIA!S$61*($W207^Transportation_LCIA!S$60)+Transportation_LCIA!S$62</f>
        <v>7.081081996143308E-6</v>
      </c>
      <c r="AP207" s="137">
        <f>Transportation_LCIA!T$61*($W207^Transportation_LCIA!T$60)+Transportation_LCIA!T$62</f>
        <v>7.081081996143308E-6</v>
      </c>
      <c r="AQ207" s="137">
        <f>Transportation_LCIA!U$61*($W207^Transportation_LCIA!U$60)+Transportation_LCIA!U$62</f>
        <v>1.0425420500377758E-3</v>
      </c>
      <c r="AR207" s="137">
        <f>Transportation_LCIA!V$61*($W207^Transportation_LCIA!V$60)+Transportation_LCIA!V$62</f>
        <v>3.9809863614409633E-4</v>
      </c>
      <c r="AT207" s="137">
        <f>$W207*Y207+$L207*Summary_LCIA!H$32</f>
        <v>177.97446514508161</v>
      </c>
      <c r="AU207" s="137">
        <f>$W207*Z207+$L207*Summary_LCIA!Q$32</f>
        <v>1945.2298455402099</v>
      </c>
      <c r="AV207" s="137">
        <f>$W207*AA207+$L207*Summary_LCIA!R$32</f>
        <v>1.1053552201787342</v>
      </c>
      <c r="AW207" s="137">
        <f>$W207*AB207+$L207*Summary_LCIA!S$32</f>
        <v>177.85105432508161</v>
      </c>
      <c r="AX207" s="137">
        <f>$W207*AC207+$L207*Summary_LCIA!T$32</f>
        <v>45.153284031608706</v>
      </c>
      <c r="AY207" s="137">
        <f>$W207*AD207+$L207*Summary_LCIA!U$32</f>
        <v>0.72454138372066013</v>
      </c>
      <c r="AZ207" s="137">
        <f>$W207*AE207+$L207*Summary_LCIA!V$32</f>
        <v>6.4731086298757436E-3</v>
      </c>
      <c r="BA207" s="137">
        <f>$W207*AF207+$L207*Summary_LCIA!W$32</f>
        <v>9.8044468965078053</v>
      </c>
      <c r="BB207" s="137">
        <f>$W207*AG207+$L207*Summary_LCIA!X$32</f>
        <v>9.8805581350992089</v>
      </c>
      <c r="BC207" s="137">
        <f>$W207*AH207+$L207*Summary_LCIA!Y$32</f>
        <v>0.63414705623646483</v>
      </c>
      <c r="BD207" s="137">
        <f>$W207*AI207+$L207*Summary_LCIA!Z$32</f>
        <v>0.1716352975275853</v>
      </c>
      <c r="BE207" s="137">
        <f>$W207*AJ207+$L207*Summary_LCIA!AA$32</f>
        <v>1.4365672959992715</v>
      </c>
      <c r="BF207" s="137">
        <f>$W207*AK207+$L207*Summary_LCIA!AB$32</f>
        <v>4.394461550259228E-2</v>
      </c>
      <c r="BG207" s="137">
        <f>$W207*AL207+$L207*Summary_LCIA!AC$32</f>
        <v>2.2864905678524456E-5</v>
      </c>
      <c r="BH207" s="137">
        <f>$W207*AM207+$L207*Summary_LCIA!AD$32</f>
        <v>8.9978285564955907E-2</v>
      </c>
      <c r="BI207" s="137">
        <f>$W207*AN207+$L207*Summary_LCIA!AE$32</f>
        <v>0.271666837329259</v>
      </c>
      <c r="BJ207" s="137">
        <f>$W207*AO207+$L207*Summary_LCIA!AF$32</f>
        <v>2.7240637126737785E-2</v>
      </c>
      <c r="BK207" s="137">
        <f>$W207*AP207+$L207*Summary_LCIA!AG$32</f>
        <v>5.0642432717377846E-3</v>
      </c>
      <c r="BL207" s="137">
        <f>$W207*AQ207+$L207*Summary_LCIA!AH$32</f>
        <v>0.77828931665376899</v>
      </c>
      <c r="BM207" s="137">
        <f>$W207*AR207+$L207*Summary_LCIA!AI$32</f>
        <v>0.23040701702688743</v>
      </c>
    </row>
    <row r="208" spans="1:65" x14ac:dyDescent="0.25">
      <c r="A208" s="149">
        <v>300</v>
      </c>
      <c r="B208" s="149">
        <v>43</v>
      </c>
      <c r="C208" s="61">
        <v>40.440624999999997</v>
      </c>
      <c r="D208" s="61">
        <v>-79.995885999999999</v>
      </c>
      <c r="E208" s="61" t="s">
        <v>265</v>
      </c>
      <c r="F208" s="149">
        <v>106</v>
      </c>
      <c r="G208" s="61" t="s">
        <v>266</v>
      </c>
      <c r="H208" s="61" t="s">
        <v>669</v>
      </c>
      <c r="I208" s="61">
        <v>40.491920999999998</v>
      </c>
      <c r="J208" s="61">
        <v>-80.235223000000005</v>
      </c>
      <c r="K208" s="61">
        <v>21.391265860000001</v>
      </c>
      <c r="L208" s="61">
        <v>27.920999999999999</v>
      </c>
      <c r="M208" s="61" t="s">
        <v>617</v>
      </c>
      <c r="N208" s="149">
        <v>42</v>
      </c>
      <c r="O208" s="149">
        <v>43</v>
      </c>
      <c r="P208" s="61" t="s">
        <v>565</v>
      </c>
      <c r="Q208" s="61" t="s">
        <v>555</v>
      </c>
      <c r="R208" s="61">
        <v>40.6895314</v>
      </c>
      <c r="S208" s="61">
        <v>-74.174462399999996</v>
      </c>
      <c r="T208" s="61">
        <v>581.04700000000003</v>
      </c>
      <c r="U208" s="61" t="s">
        <v>617</v>
      </c>
      <c r="V208" s="61" t="s">
        <v>569</v>
      </c>
      <c r="W208" s="61" cm="1">
        <f t="array" ref="W208">getDistance(I208,J208,R208,S208)*SA!$B$12</f>
        <v>513.433583839015</v>
      </c>
      <c r="Y208" s="137">
        <f>Transportation_LCIA!C$61*($W208^Transportation_LCIA!C$60)+Transportation_LCIA!C$62</f>
        <v>0.32815716511039528</v>
      </c>
      <c r="Z208" s="137">
        <f>Transportation_LCIA!D$61*($W208^Transportation_LCIA!D$60)+Transportation_LCIA!D$62</f>
        <v>3.5191542163843881</v>
      </c>
      <c r="AA208" s="137">
        <f>Transportation_LCIA!E$61*($W208^Transportation_LCIA!E$60)+Transportation_LCIA!E$62</f>
        <v>1.8665206810453132E-3</v>
      </c>
      <c r="AB208" s="137">
        <f>Transportation_LCIA!F$61*($W208^Transportation_LCIA!F$60)+Transportation_LCIA!F$62</f>
        <v>0.32815716511039528</v>
      </c>
      <c r="AC208" s="137">
        <f>Transportation_LCIA!G$61*($W208^Transportation_LCIA!G$60)+Transportation_LCIA!G$62</f>
        <v>8.1967302989677859E-2</v>
      </c>
      <c r="AD208" s="137">
        <f>Transportation_LCIA!H$61*($W208^Transportation_LCIA!H$60)+Transportation_LCIA!H$62</f>
        <v>4.3698853519291556E-4</v>
      </c>
      <c r="AE208" s="137">
        <f>Transportation_LCIA!I$61*($W208^Transportation_LCIA!I$60)+Transportation_LCIA!I$62</f>
        <v>1.0010201729396875E-5</v>
      </c>
      <c r="AF208" s="137">
        <f>Transportation_LCIA!J$61*($W208^Transportation_LCIA!J$60)+Transportation_LCIA!J$62</f>
        <v>1.4910087392935532E-2</v>
      </c>
      <c r="AG208" s="137">
        <f>Transportation_LCIA!K$61*($W208^Transportation_LCIA!K$60)+Transportation_LCIA!K$62</f>
        <v>1.8005284512120634E-2</v>
      </c>
      <c r="AH208" s="137">
        <f>Transportation_LCIA!L$61*($W208^Transportation_LCIA!L$60)+Transportation_LCIA!L$62</f>
        <v>3.8774642038002372E-4</v>
      </c>
      <c r="AI208" s="137">
        <f>Transportation_LCIA!M$61*($W208^Transportation_LCIA!M$60)+Transportation_LCIA!M$62</f>
        <v>3.3205908340433346E-4</v>
      </c>
      <c r="AJ208" s="137">
        <f>Transportation_LCIA!N$61*($W208^Transportation_LCIA!N$60)+Transportation_LCIA!N$62</f>
        <v>1.5278401037459809E-3</v>
      </c>
      <c r="AK208" s="137">
        <f>Transportation_LCIA!O$61*($W208^Transportation_LCIA!O$60)+Transportation_LCIA!O$62</f>
        <v>8.6776433969231709E-5</v>
      </c>
      <c r="AL208" s="137">
        <f>Transportation_LCIA!P$61*($W208^Transportation_LCIA!P$60)+Transportation_LCIA!P$62</f>
        <v>4.187496920977748E-8</v>
      </c>
      <c r="AM208" s="137">
        <f>Transportation_LCIA!Q$61*($W208^Transportation_LCIA!Q$60)+Transportation_LCIA!Q$62</f>
        <v>1.5289540886279419E-4</v>
      </c>
      <c r="AN208" s="137">
        <f>Transportation_LCIA!R$61*($W208^Transportation_LCIA!R$60)+Transportation_LCIA!R$62</f>
        <v>4.8092919779996581E-4</v>
      </c>
      <c r="AO208" s="137">
        <f>Transportation_LCIA!S$61*($W208^Transportation_LCIA!S$60)+Transportation_LCIA!S$62</f>
        <v>7.081081996143308E-6</v>
      </c>
      <c r="AP208" s="137">
        <f>Transportation_LCIA!T$61*($W208^Transportation_LCIA!T$60)+Transportation_LCIA!T$62</f>
        <v>7.081081996143308E-6</v>
      </c>
      <c r="AQ208" s="137">
        <f>Transportation_LCIA!U$61*($W208^Transportation_LCIA!U$60)+Transportation_LCIA!U$62</f>
        <v>1.0425420500377758E-3</v>
      </c>
      <c r="AR208" s="137">
        <f>Transportation_LCIA!V$61*($W208^Transportation_LCIA!V$60)+Transportation_LCIA!V$62</f>
        <v>3.9809863614409633E-4</v>
      </c>
      <c r="AT208" s="137">
        <f>$W208*Y208+$L208*Summary_LCIA!H$32</f>
        <v>177.97446514508161</v>
      </c>
      <c r="AU208" s="137">
        <f>$W208*Z208+$L208*Summary_LCIA!Q$32</f>
        <v>1945.2298455402099</v>
      </c>
      <c r="AV208" s="137">
        <f>$W208*AA208+$L208*Summary_LCIA!R$32</f>
        <v>1.1053552201787342</v>
      </c>
      <c r="AW208" s="137">
        <f>$W208*AB208+$L208*Summary_LCIA!S$32</f>
        <v>177.85105432508161</v>
      </c>
      <c r="AX208" s="137">
        <f>$W208*AC208+$L208*Summary_LCIA!T$32</f>
        <v>45.153284031608706</v>
      </c>
      <c r="AY208" s="137">
        <f>$W208*AD208+$L208*Summary_LCIA!U$32</f>
        <v>0.72454138372066013</v>
      </c>
      <c r="AZ208" s="137">
        <f>$W208*AE208+$L208*Summary_LCIA!V$32</f>
        <v>6.4731086298757436E-3</v>
      </c>
      <c r="BA208" s="137">
        <f>$W208*AF208+$L208*Summary_LCIA!W$32</f>
        <v>9.8044468965078053</v>
      </c>
      <c r="BB208" s="137">
        <f>$W208*AG208+$L208*Summary_LCIA!X$32</f>
        <v>9.8805581350992089</v>
      </c>
      <c r="BC208" s="137">
        <f>$W208*AH208+$L208*Summary_LCIA!Y$32</f>
        <v>0.63414705623646483</v>
      </c>
      <c r="BD208" s="137">
        <f>$W208*AI208+$L208*Summary_LCIA!Z$32</f>
        <v>0.1716352975275853</v>
      </c>
      <c r="BE208" s="137">
        <f>$W208*AJ208+$L208*Summary_LCIA!AA$32</f>
        <v>1.4365672959992715</v>
      </c>
      <c r="BF208" s="137">
        <f>$W208*AK208+$L208*Summary_LCIA!AB$32</f>
        <v>4.394461550259228E-2</v>
      </c>
      <c r="BG208" s="137">
        <f>$W208*AL208+$L208*Summary_LCIA!AC$32</f>
        <v>2.2864905678524456E-5</v>
      </c>
      <c r="BH208" s="137">
        <f>$W208*AM208+$L208*Summary_LCIA!AD$32</f>
        <v>8.9978285564955907E-2</v>
      </c>
      <c r="BI208" s="137">
        <f>$W208*AN208+$L208*Summary_LCIA!AE$32</f>
        <v>0.271666837329259</v>
      </c>
      <c r="BJ208" s="137">
        <f>$W208*AO208+$L208*Summary_LCIA!AF$32</f>
        <v>2.7240637126737785E-2</v>
      </c>
      <c r="BK208" s="137">
        <f>$W208*AP208+$L208*Summary_LCIA!AG$32</f>
        <v>5.0642432717377846E-3</v>
      </c>
      <c r="BL208" s="137">
        <f>$W208*AQ208+$L208*Summary_LCIA!AH$32</f>
        <v>0.77828931665376899</v>
      </c>
      <c r="BM208" s="137">
        <f>$W208*AR208+$L208*Summary_LCIA!AI$32</f>
        <v>0.23040701702688743</v>
      </c>
    </row>
    <row r="209" spans="1:65" x14ac:dyDescent="0.25">
      <c r="A209" s="149">
        <v>301</v>
      </c>
      <c r="B209" s="149">
        <v>43</v>
      </c>
      <c r="C209" s="61">
        <v>40.440624999999997</v>
      </c>
      <c r="D209" s="61">
        <v>-79.995885999999999</v>
      </c>
      <c r="E209" s="61" t="s">
        <v>265</v>
      </c>
      <c r="F209" s="149">
        <v>106</v>
      </c>
      <c r="G209" s="61" t="s">
        <v>266</v>
      </c>
      <c r="H209" s="61" t="s">
        <v>669</v>
      </c>
      <c r="I209" s="61">
        <v>40.491920999999998</v>
      </c>
      <c r="J209" s="61">
        <v>-80.235223000000005</v>
      </c>
      <c r="K209" s="61">
        <v>21.391265860000001</v>
      </c>
      <c r="L209" s="61">
        <v>27.920999999999999</v>
      </c>
      <c r="M209" s="61" t="s">
        <v>617</v>
      </c>
      <c r="N209" s="149">
        <v>42</v>
      </c>
      <c r="O209" s="149">
        <v>43</v>
      </c>
      <c r="P209" s="61" t="s">
        <v>565</v>
      </c>
      <c r="Q209" s="61" t="s">
        <v>555</v>
      </c>
      <c r="R209" s="61">
        <v>40.6895314</v>
      </c>
      <c r="S209" s="61">
        <v>-74.174462399999996</v>
      </c>
      <c r="T209" s="61">
        <v>581.04700000000003</v>
      </c>
      <c r="U209" s="61" t="s">
        <v>617</v>
      </c>
      <c r="V209" s="61" t="s">
        <v>569</v>
      </c>
      <c r="W209" s="61" cm="1">
        <f t="array" ref="W209">getDistance(I209,J209,R209,S209)*SA!$B$12</f>
        <v>513.433583839015</v>
      </c>
      <c r="Y209" s="137">
        <f>Transportation_LCIA!C$61*($W209^Transportation_LCIA!C$60)+Transportation_LCIA!C$62</f>
        <v>0.32815716511039528</v>
      </c>
      <c r="Z209" s="137">
        <f>Transportation_LCIA!D$61*($W209^Transportation_LCIA!D$60)+Transportation_LCIA!D$62</f>
        <v>3.5191542163843881</v>
      </c>
      <c r="AA209" s="137">
        <f>Transportation_LCIA!E$61*($W209^Transportation_LCIA!E$60)+Transportation_LCIA!E$62</f>
        <v>1.8665206810453132E-3</v>
      </c>
      <c r="AB209" s="137">
        <f>Transportation_LCIA!F$61*($W209^Transportation_LCIA!F$60)+Transportation_LCIA!F$62</f>
        <v>0.32815716511039528</v>
      </c>
      <c r="AC209" s="137">
        <f>Transportation_LCIA!G$61*($W209^Transportation_LCIA!G$60)+Transportation_LCIA!G$62</f>
        <v>8.1967302989677859E-2</v>
      </c>
      <c r="AD209" s="137">
        <f>Transportation_LCIA!H$61*($W209^Transportation_LCIA!H$60)+Transportation_LCIA!H$62</f>
        <v>4.3698853519291556E-4</v>
      </c>
      <c r="AE209" s="137">
        <f>Transportation_LCIA!I$61*($W209^Transportation_LCIA!I$60)+Transportation_LCIA!I$62</f>
        <v>1.0010201729396875E-5</v>
      </c>
      <c r="AF209" s="137">
        <f>Transportation_LCIA!J$61*($W209^Transportation_LCIA!J$60)+Transportation_LCIA!J$62</f>
        <v>1.4910087392935532E-2</v>
      </c>
      <c r="AG209" s="137">
        <f>Transportation_LCIA!K$61*($W209^Transportation_LCIA!K$60)+Transportation_LCIA!K$62</f>
        <v>1.8005284512120634E-2</v>
      </c>
      <c r="AH209" s="137">
        <f>Transportation_LCIA!L$61*($W209^Transportation_LCIA!L$60)+Transportation_LCIA!L$62</f>
        <v>3.8774642038002372E-4</v>
      </c>
      <c r="AI209" s="137">
        <f>Transportation_LCIA!M$61*($W209^Transportation_LCIA!M$60)+Transportation_LCIA!M$62</f>
        <v>3.3205908340433346E-4</v>
      </c>
      <c r="AJ209" s="137">
        <f>Transportation_LCIA!N$61*($W209^Transportation_LCIA!N$60)+Transportation_LCIA!N$62</f>
        <v>1.5278401037459809E-3</v>
      </c>
      <c r="AK209" s="137">
        <f>Transportation_LCIA!O$61*($W209^Transportation_LCIA!O$60)+Transportation_LCIA!O$62</f>
        <v>8.6776433969231709E-5</v>
      </c>
      <c r="AL209" s="137">
        <f>Transportation_LCIA!P$61*($W209^Transportation_LCIA!P$60)+Transportation_LCIA!P$62</f>
        <v>4.187496920977748E-8</v>
      </c>
      <c r="AM209" s="137">
        <f>Transportation_LCIA!Q$61*($W209^Transportation_LCIA!Q$60)+Transportation_LCIA!Q$62</f>
        <v>1.5289540886279419E-4</v>
      </c>
      <c r="AN209" s="137">
        <f>Transportation_LCIA!R$61*($W209^Transportation_LCIA!R$60)+Transportation_LCIA!R$62</f>
        <v>4.8092919779996581E-4</v>
      </c>
      <c r="AO209" s="137">
        <f>Transportation_LCIA!S$61*($W209^Transportation_LCIA!S$60)+Transportation_LCIA!S$62</f>
        <v>7.081081996143308E-6</v>
      </c>
      <c r="AP209" s="137">
        <f>Transportation_LCIA!T$61*($W209^Transportation_LCIA!T$60)+Transportation_LCIA!T$62</f>
        <v>7.081081996143308E-6</v>
      </c>
      <c r="AQ209" s="137">
        <f>Transportation_LCIA!U$61*($W209^Transportation_LCIA!U$60)+Transportation_LCIA!U$62</f>
        <v>1.0425420500377758E-3</v>
      </c>
      <c r="AR209" s="137">
        <f>Transportation_LCIA!V$61*($W209^Transportation_LCIA!V$60)+Transportation_LCIA!V$62</f>
        <v>3.9809863614409633E-4</v>
      </c>
      <c r="AT209" s="137">
        <f>$W209*Y209+$L209*Summary_LCIA!H$32</f>
        <v>177.97446514508161</v>
      </c>
      <c r="AU209" s="137">
        <f>$W209*Z209+$L209*Summary_LCIA!Q$32</f>
        <v>1945.2298455402099</v>
      </c>
      <c r="AV209" s="137">
        <f>$W209*AA209+$L209*Summary_LCIA!R$32</f>
        <v>1.1053552201787342</v>
      </c>
      <c r="AW209" s="137">
        <f>$W209*AB209+$L209*Summary_LCIA!S$32</f>
        <v>177.85105432508161</v>
      </c>
      <c r="AX209" s="137">
        <f>$W209*AC209+$L209*Summary_LCIA!T$32</f>
        <v>45.153284031608706</v>
      </c>
      <c r="AY209" s="137">
        <f>$W209*AD209+$L209*Summary_LCIA!U$32</f>
        <v>0.72454138372066013</v>
      </c>
      <c r="AZ209" s="137">
        <f>$W209*AE209+$L209*Summary_LCIA!V$32</f>
        <v>6.4731086298757436E-3</v>
      </c>
      <c r="BA209" s="137">
        <f>$W209*AF209+$L209*Summary_LCIA!W$32</f>
        <v>9.8044468965078053</v>
      </c>
      <c r="BB209" s="137">
        <f>$W209*AG209+$L209*Summary_LCIA!X$32</f>
        <v>9.8805581350992089</v>
      </c>
      <c r="BC209" s="137">
        <f>$W209*AH209+$L209*Summary_LCIA!Y$32</f>
        <v>0.63414705623646483</v>
      </c>
      <c r="BD209" s="137">
        <f>$W209*AI209+$L209*Summary_LCIA!Z$32</f>
        <v>0.1716352975275853</v>
      </c>
      <c r="BE209" s="137">
        <f>$W209*AJ209+$L209*Summary_LCIA!AA$32</f>
        <v>1.4365672959992715</v>
      </c>
      <c r="BF209" s="137">
        <f>$W209*AK209+$L209*Summary_LCIA!AB$32</f>
        <v>4.394461550259228E-2</v>
      </c>
      <c r="BG209" s="137">
        <f>$W209*AL209+$L209*Summary_LCIA!AC$32</f>
        <v>2.2864905678524456E-5</v>
      </c>
      <c r="BH209" s="137">
        <f>$W209*AM209+$L209*Summary_LCIA!AD$32</f>
        <v>8.9978285564955907E-2</v>
      </c>
      <c r="BI209" s="137">
        <f>$W209*AN209+$L209*Summary_LCIA!AE$32</f>
        <v>0.271666837329259</v>
      </c>
      <c r="BJ209" s="137">
        <f>$W209*AO209+$L209*Summary_LCIA!AF$32</f>
        <v>2.7240637126737785E-2</v>
      </c>
      <c r="BK209" s="137">
        <f>$W209*AP209+$L209*Summary_LCIA!AG$32</f>
        <v>5.0642432717377846E-3</v>
      </c>
      <c r="BL209" s="137">
        <f>$W209*AQ209+$L209*Summary_LCIA!AH$32</f>
        <v>0.77828931665376899</v>
      </c>
      <c r="BM209" s="137">
        <f>$W209*AR209+$L209*Summary_LCIA!AI$32</f>
        <v>0.23040701702688743</v>
      </c>
    </row>
    <row r="210" spans="1:65" x14ac:dyDescent="0.25">
      <c r="A210" s="149">
        <v>302</v>
      </c>
      <c r="B210" s="149">
        <v>43</v>
      </c>
      <c r="C210" s="61">
        <v>40.440624999999997</v>
      </c>
      <c r="D210" s="61">
        <v>-79.995885999999999</v>
      </c>
      <c r="E210" s="61" t="s">
        <v>265</v>
      </c>
      <c r="F210" s="149">
        <v>106</v>
      </c>
      <c r="G210" s="61" t="s">
        <v>266</v>
      </c>
      <c r="H210" s="61" t="s">
        <v>669</v>
      </c>
      <c r="I210" s="61">
        <v>40.491920999999998</v>
      </c>
      <c r="J210" s="61">
        <v>-80.235223000000005</v>
      </c>
      <c r="K210" s="61">
        <v>21.391265860000001</v>
      </c>
      <c r="L210" s="61">
        <v>27.920999999999999</v>
      </c>
      <c r="M210" s="61" t="s">
        <v>617</v>
      </c>
      <c r="N210" s="149">
        <v>42</v>
      </c>
      <c r="O210" s="149">
        <v>43</v>
      </c>
      <c r="P210" s="61" t="s">
        <v>565</v>
      </c>
      <c r="Q210" s="61" t="s">
        <v>555</v>
      </c>
      <c r="R210" s="61">
        <v>40.6895314</v>
      </c>
      <c r="S210" s="61">
        <v>-74.174462399999996</v>
      </c>
      <c r="T210" s="61">
        <v>581.04700000000003</v>
      </c>
      <c r="U210" s="61" t="s">
        <v>617</v>
      </c>
      <c r="V210" s="61" t="s">
        <v>569</v>
      </c>
      <c r="W210" s="61" cm="1">
        <f t="array" ref="W210">getDistance(I210,J210,R210,S210)*SA!$B$12</f>
        <v>513.433583839015</v>
      </c>
      <c r="Y210" s="137">
        <f>Transportation_LCIA!C$61*($W210^Transportation_LCIA!C$60)+Transportation_LCIA!C$62</f>
        <v>0.32815716511039528</v>
      </c>
      <c r="Z210" s="137">
        <f>Transportation_LCIA!D$61*($W210^Transportation_LCIA!D$60)+Transportation_LCIA!D$62</f>
        <v>3.5191542163843881</v>
      </c>
      <c r="AA210" s="137">
        <f>Transportation_LCIA!E$61*($W210^Transportation_LCIA!E$60)+Transportation_LCIA!E$62</f>
        <v>1.8665206810453132E-3</v>
      </c>
      <c r="AB210" s="137">
        <f>Transportation_LCIA!F$61*($W210^Transportation_LCIA!F$60)+Transportation_LCIA!F$62</f>
        <v>0.32815716511039528</v>
      </c>
      <c r="AC210" s="137">
        <f>Transportation_LCIA!G$61*($W210^Transportation_LCIA!G$60)+Transportation_LCIA!G$62</f>
        <v>8.1967302989677859E-2</v>
      </c>
      <c r="AD210" s="137">
        <f>Transportation_LCIA!H$61*($W210^Transportation_LCIA!H$60)+Transportation_LCIA!H$62</f>
        <v>4.3698853519291556E-4</v>
      </c>
      <c r="AE210" s="137">
        <f>Transportation_LCIA!I$61*($W210^Transportation_LCIA!I$60)+Transportation_LCIA!I$62</f>
        <v>1.0010201729396875E-5</v>
      </c>
      <c r="AF210" s="137">
        <f>Transportation_LCIA!J$61*($W210^Transportation_LCIA!J$60)+Transportation_LCIA!J$62</f>
        <v>1.4910087392935532E-2</v>
      </c>
      <c r="AG210" s="137">
        <f>Transportation_LCIA!K$61*($W210^Transportation_LCIA!K$60)+Transportation_LCIA!K$62</f>
        <v>1.8005284512120634E-2</v>
      </c>
      <c r="AH210" s="137">
        <f>Transportation_LCIA!L$61*($W210^Transportation_LCIA!L$60)+Transportation_LCIA!L$62</f>
        <v>3.8774642038002372E-4</v>
      </c>
      <c r="AI210" s="137">
        <f>Transportation_LCIA!M$61*($W210^Transportation_LCIA!M$60)+Transportation_LCIA!M$62</f>
        <v>3.3205908340433346E-4</v>
      </c>
      <c r="AJ210" s="137">
        <f>Transportation_LCIA!N$61*($W210^Transportation_LCIA!N$60)+Transportation_LCIA!N$62</f>
        <v>1.5278401037459809E-3</v>
      </c>
      <c r="AK210" s="137">
        <f>Transportation_LCIA!O$61*($W210^Transportation_LCIA!O$60)+Transportation_LCIA!O$62</f>
        <v>8.6776433969231709E-5</v>
      </c>
      <c r="AL210" s="137">
        <f>Transportation_LCIA!P$61*($W210^Transportation_LCIA!P$60)+Transportation_LCIA!P$62</f>
        <v>4.187496920977748E-8</v>
      </c>
      <c r="AM210" s="137">
        <f>Transportation_LCIA!Q$61*($W210^Transportation_LCIA!Q$60)+Transportation_LCIA!Q$62</f>
        <v>1.5289540886279419E-4</v>
      </c>
      <c r="AN210" s="137">
        <f>Transportation_LCIA!R$61*($W210^Transportation_LCIA!R$60)+Transportation_LCIA!R$62</f>
        <v>4.8092919779996581E-4</v>
      </c>
      <c r="AO210" s="137">
        <f>Transportation_LCIA!S$61*($W210^Transportation_LCIA!S$60)+Transportation_LCIA!S$62</f>
        <v>7.081081996143308E-6</v>
      </c>
      <c r="AP210" s="137">
        <f>Transportation_LCIA!T$61*($W210^Transportation_LCIA!T$60)+Transportation_LCIA!T$62</f>
        <v>7.081081996143308E-6</v>
      </c>
      <c r="AQ210" s="137">
        <f>Transportation_LCIA!U$61*($W210^Transportation_LCIA!U$60)+Transportation_LCIA!U$62</f>
        <v>1.0425420500377758E-3</v>
      </c>
      <c r="AR210" s="137">
        <f>Transportation_LCIA!V$61*($W210^Transportation_LCIA!V$60)+Transportation_LCIA!V$62</f>
        <v>3.9809863614409633E-4</v>
      </c>
      <c r="AT210" s="137">
        <f>$W210*Y210+$L210*Summary_LCIA!H$32</f>
        <v>177.97446514508161</v>
      </c>
      <c r="AU210" s="137">
        <f>$W210*Z210+$L210*Summary_LCIA!Q$32</f>
        <v>1945.2298455402099</v>
      </c>
      <c r="AV210" s="137">
        <f>$W210*AA210+$L210*Summary_LCIA!R$32</f>
        <v>1.1053552201787342</v>
      </c>
      <c r="AW210" s="137">
        <f>$W210*AB210+$L210*Summary_LCIA!S$32</f>
        <v>177.85105432508161</v>
      </c>
      <c r="AX210" s="137">
        <f>$W210*AC210+$L210*Summary_LCIA!T$32</f>
        <v>45.153284031608706</v>
      </c>
      <c r="AY210" s="137">
        <f>$W210*AD210+$L210*Summary_LCIA!U$32</f>
        <v>0.72454138372066013</v>
      </c>
      <c r="AZ210" s="137">
        <f>$W210*AE210+$L210*Summary_LCIA!V$32</f>
        <v>6.4731086298757436E-3</v>
      </c>
      <c r="BA210" s="137">
        <f>$W210*AF210+$L210*Summary_LCIA!W$32</f>
        <v>9.8044468965078053</v>
      </c>
      <c r="BB210" s="137">
        <f>$W210*AG210+$L210*Summary_LCIA!X$32</f>
        <v>9.8805581350992089</v>
      </c>
      <c r="BC210" s="137">
        <f>$W210*AH210+$L210*Summary_LCIA!Y$32</f>
        <v>0.63414705623646483</v>
      </c>
      <c r="BD210" s="137">
        <f>$W210*AI210+$L210*Summary_LCIA!Z$32</f>
        <v>0.1716352975275853</v>
      </c>
      <c r="BE210" s="137">
        <f>$W210*AJ210+$L210*Summary_LCIA!AA$32</f>
        <v>1.4365672959992715</v>
      </c>
      <c r="BF210" s="137">
        <f>$W210*AK210+$L210*Summary_LCIA!AB$32</f>
        <v>4.394461550259228E-2</v>
      </c>
      <c r="BG210" s="137">
        <f>$W210*AL210+$L210*Summary_LCIA!AC$32</f>
        <v>2.2864905678524456E-5</v>
      </c>
      <c r="BH210" s="137">
        <f>$W210*AM210+$L210*Summary_LCIA!AD$32</f>
        <v>8.9978285564955907E-2</v>
      </c>
      <c r="BI210" s="137">
        <f>$W210*AN210+$L210*Summary_LCIA!AE$32</f>
        <v>0.271666837329259</v>
      </c>
      <c r="BJ210" s="137">
        <f>$W210*AO210+$L210*Summary_LCIA!AF$32</f>
        <v>2.7240637126737785E-2</v>
      </c>
      <c r="BK210" s="137">
        <f>$W210*AP210+$L210*Summary_LCIA!AG$32</f>
        <v>5.0642432717377846E-3</v>
      </c>
      <c r="BL210" s="137">
        <f>$W210*AQ210+$L210*Summary_LCIA!AH$32</f>
        <v>0.77828931665376899</v>
      </c>
      <c r="BM210" s="137">
        <f>$W210*AR210+$L210*Summary_LCIA!AI$32</f>
        <v>0.23040701702688743</v>
      </c>
    </row>
    <row r="211" spans="1:65" x14ac:dyDescent="0.25">
      <c r="A211" s="149">
        <v>177</v>
      </c>
      <c r="B211" s="149">
        <v>43</v>
      </c>
      <c r="C211" s="61">
        <v>42.871099999999998</v>
      </c>
      <c r="D211" s="61">
        <v>-78.859319999999997</v>
      </c>
      <c r="E211" s="61" t="s">
        <v>265</v>
      </c>
      <c r="F211" s="149">
        <v>120</v>
      </c>
      <c r="G211" s="61" t="s">
        <v>625</v>
      </c>
      <c r="H211" s="61" t="s">
        <v>626</v>
      </c>
      <c r="I211" s="61">
        <v>42.939706000000001</v>
      </c>
      <c r="J211" s="61">
        <v>-78.729506999999998</v>
      </c>
      <c r="K211" s="61">
        <v>16.03849787</v>
      </c>
      <c r="L211" s="61">
        <v>20.835000000000001</v>
      </c>
      <c r="M211" s="61" t="s">
        <v>617</v>
      </c>
      <c r="N211" s="149">
        <v>42</v>
      </c>
      <c r="O211" s="149">
        <v>43</v>
      </c>
      <c r="P211" s="61" t="s">
        <v>565</v>
      </c>
      <c r="Q211" s="61" t="s">
        <v>555</v>
      </c>
      <c r="R211" s="61">
        <v>40.6895314</v>
      </c>
      <c r="S211" s="61">
        <v>-74.174462399999996</v>
      </c>
      <c r="T211" s="61">
        <v>593.16399999999999</v>
      </c>
      <c r="U211" s="61" t="s">
        <v>617</v>
      </c>
      <c r="V211" s="61" t="s">
        <v>569</v>
      </c>
      <c r="W211" s="61" cm="1">
        <f t="array" ref="W211">getDistance(I211,J211,R211,S211)*SA!$B$12</f>
        <v>453.70669460993366</v>
      </c>
      <c r="Y211" s="137">
        <f>Transportation_LCIA!C$61*($W211^Transportation_LCIA!C$60)+Transportation_LCIA!C$62</f>
        <v>0.35179822030380453</v>
      </c>
      <c r="Z211" s="137">
        <f>Transportation_LCIA!D$61*($W211^Transportation_LCIA!D$60)+Transportation_LCIA!D$62</f>
        <v>3.8038685240383758</v>
      </c>
      <c r="AA211" s="137">
        <f>Transportation_LCIA!E$61*($W211^Transportation_LCIA!E$60)+Transportation_LCIA!E$62</f>
        <v>2.0553796700765819E-3</v>
      </c>
      <c r="AB211" s="137">
        <f>Transportation_LCIA!F$61*($W211^Transportation_LCIA!F$60)+Transportation_LCIA!F$62</f>
        <v>0.35179822030380453</v>
      </c>
      <c r="AC211" s="137">
        <f>Transportation_LCIA!G$61*($W211^Transportation_LCIA!G$60)+Transportation_LCIA!G$62</f>
        <v>8.8542301175389054E-2</v>
      </c>
      <c r="AD211" s="137">
        <f>Transportation_LCIA!H$61*($W211^Transportation_LCIA!H$60)+Transportation_LCIA!H$62</f>
        <v>4.7924680402862424E-4</v>
      </c>
      <c r="AE211" s="137">
        <f>Transportation_LCIA!I$61*($W211^Transportation_LCIA!I$60)+Transportation_LCIA!I$62</f>
        <v>1.1104359431323201E-5</v>
      </c>
      <c r="AF211" s="137">
        <f>Transportation_LCIA!J$61*($W211^Transportation_LCIA!J$60)+Transportation_LCIA!J$62</f>
        <v>1.6569820845191208E-2</v>
      </c>
      <c r="AG211" s="137">
        <f>Transportation_LCIA!K$61*($W211^Transportation_LCIA!K$60)+Transportation_LCIA!K$62</f>
        <v>1.9564708397539259E-2</v>
      </c>
      <c r="AH211" s="137">
        <f>Transportation_LCIA!L$61*($W211^Transportation_LCIA!L$60)+Transportation_LCIA!L$62</f>
        <v>4.2690866521771174E-4</v>
      </c>
      <c r="AI211" s="137">
        <f>Transportation_LCIA!M$61*($W211^Transportation_LCIA!M$60)+Transportation_LCIA!M$62</f>
        <v>3.5540325219174092E-4</v>
      </c>
      <c r="AJ211" s="137">
        <f>Transportation_LCIA!N$61*($W211^Transportation_LCIA!N$60)+Transportation_LCIA!N$62</f>
        <v>1.6696019563166051E-3</v>
      </c>
      <c r="AK211" s="137">
        <f>Transportation_LCIA!O$61*($W211^Transportation_LCIA!O$60)+Transportation_LCIA!O$62</f>
        <v>9.376926172545552E-5</v>
      </c>
      <c r="AL211" s="137">
        <f>Transportation_LCIA!P$61*($W211^Transportation_LCIA!P$60)+Transportation_LCIA!P$62</f>
        <v>4.5229183914951175E-8</v>
      </c>
      <c r="AM211" s="137">
        <f>Transportation_LCIA!Q$61*($W211^Transportation_LCIA!Q$60)+Transportation_LCIA!Q$62</f>
        <v>1.6827410039877645E-4</v>
      </c>
      <c r="AN211" s="137">
        <f>Transportation_LCIA!R$61*($W211^Transportation_LCIA!R$60)+Transportation_LCIA!R$62</f>
        <v>5.3343299418952066E-4</v>
      </c>
      <c r="AO211" s="137">
        <f>Transportation_LCIA!S$61*($W211^Transportation_LCIA!S$60)+Transportation_LCIA!S$62</f>
        <v>7.8252838449889344E-6</v>
      </c>
      <c r="AP211" s="137">
        <f>Transportation_LCIA!T$61*($W211^Transportation_LCIA!T$60)+Transportation_LCIA!T$62</f>
        <v>7.8252838449889344E-6</v>
      </c>
      <c r="AQ211" s="137">
        <f>Transportation_LCIA!U$61*($W211^Transportation_LCIA!U$60)+Transportation_LCIA!U$62</f>
        <v>1.1583001340676898E-3</v>
      </c>
      <c r="AR211" s="137">
        <f>Transportation_LCIA!V$61*($W211^Transportation_LCIA!V$60)+Transportation_LCIA!V$62</f>
        <v>4.3832947018607746E-4</v>
      </c>
      <c r="AT211" s="137">
        <f>$W211*Y211+$L211*Summary_LCIA!H$32</f>
        <v>166.69294070369642</v>
      </c>
      <c r="AU211" s="137">
        <f>$W211*Z211+$L211*Summary_LCIA!Q$32</f>
        <v>1829.0999255437735</v>
      </c>
      <c r="AV211" s="137">
        <f>$W211*AA211+$L211*Summary_LCIA!R$32</f>
        <v>1.042248292278902</v>
      </c>
      <c r="AW211" s="137">
        <f>$W211*AB211+$L211*Summary_LCIA!S$32</f>
        <v>166.60085000369642</v>
      </c>
      <c r="AX211" s="137">
        <f>$W211*AC211+$L211*Summary_LCIA!T$32</f>
        <v>42.46200129944301</v>
      </c>
      <c r="AY211" s="137">
        <f>$W211*AD211+$L211*Summary_LCIA!U$32</f>
        <v>0.5906756733582017</v>
      </c>
      <c r="AZ211" s="137">
        <f>$W211*AE211+$L211*Summary_LCIA!V$32</f>
        <v>6.033222648346292E-3</v>
      </c>
      <c r="BA211" s="137">
        <f>$W211*AF211+$L211*Summary_LCIA!W$32</f>
        <v>9.1215294309504795</v>
      </c>
      <c r="BB211" s="137">
        <f>$W211*AG211+$L211*Summary_LCIA!X$32</f>
        <v>9.3512604780547495</v>
      </c>
      <c r="BC211" s="137">
        <f>$W211*AH211+$L211*Summary_LCIA!Y$32</f>
        <v>0.51834228939626681</v>
      </c>
      <c r="BD211" s="137">
        <f>$W211*AI211+$L211*Summary_LCIA!Z$32</f>
        <v>0.16210325732053543</v>
      </c>
      <c r="BE211" s="137">
        <f>$W211*AJ211+$L211*Summary_LCIA!AA$32</f>
        <v>1.2441318449146856</v>
      </c>
      <c r="BF211" s="137">
        <f>$W211*AK211+$L211*Summary_LCIA!AB$32</f>
        <v>4.2089059588470187E-2</v>
      </c>
      <c r="BG211" s="137">
        <f>$W211*AL211+$L211*Summary_LCIA!AC$32</f>
        <v>2.1539281673957276E-5</v>
      </c>
      <c r="BH211" s="137">
        <f>$W211*AM211+$L211*Summary_LCIA!AD$32</f>
        <v>8.4911104280388977E-2</v>
      </c>
      <c r="BI211" s="137">
        <f>$W211*AN211+$L211*Summary_LCIA!AE$32</f>
        <v>0.2604846391396074</v>
      </c>
      <c r="BJ211" s="137">
        <f>$W211*AO211+$L211*Summary_LCIA!AF$32</f>
        <v>2.1164709367694445E-2</v>
      </c>
      <c r="BK211" s="137">
        <f>$W211*AP211+$L211*Summary_LCIA!AG$32</f>
        <v>4.6164064426944419E-3</v>
      </c>
      <c r="BL211" s="137">
        <f>$W211*AQ211+$L211*Summary_LCIA!AH$32</f>
        <v>0.70686803119409458</v>
      </c>
      <c r="BM211" s="137">
        <f>$W211*AR211+$L211*Summary_LCIA!AI$32</f>
        <v>0.21828185931824867</v>
      </c>
    </row>
    <row r="212" spans="1:65" x14ac:dyDescent="0.25">
      <c r="A212" s="149">
        <v>178</v>
      </c>
      <c r="B212" s="149">
        <v>43</v>
      </c>
      <c r="C212" s="61">
        <v>42.871099999999998</v>
      </c>
      <c r="D212" s="61">
        <v>-78.859319999999997</v>
      </c>
      <c r="E212" s="61" t="s">
        <v>265</v>
      </c>
      <c r="F212" s="149">
        <v>120</v>
      </c>
      <c r="G212" s="61" t="s">
        <v>625</v>
      </c>
      <c r="H212" s="61" t="s">
        <v>626</v>
      </c>
      <c r="I212" s="61">
        <v>42.939706000000001</v>
      </c>
      <c r="J212" s="61">
        <v>-78.729506999999998</v>
      </c>
      <c r="K212" s="61">
        <v>16.03849787</v>
      </c>
      <c r="L212" s="61">
        <v>20.835000000000001</v>
      </c>
      <c r="M212" s="61" t="s">
        <v>617</v>
      </c>
      <c r="N212" s="149">
        <v>42</v>
      </c>
      <c r="O212" s="149">
        <v>43</v>
      </c>
      <c r="P212" s="61" t="s">
        <v>565</v>
      </c>
      <c r="Q212" s="61" t="s">
        <v>555</v>
      </c>
      <c r="R212" s="61">
        <v>40.6895314</v>
      </c>
      <c r="S212" s="61">
        <v>-74.174462399999996</v>
      </c>
      <c r="T212" s="61">
        <v>593.16399999999999</v>
      </c>
      <c r="U212" s="61" t="s">
        <v>617</v>
      </c>
      <c r="V212" s="61" t="s">
        <v>569</v>
      </c>
      <c r="W212" s="61" cm="1">
        <f t="array" ref="W212">getDistance(I212,J212,R212,S212)*SA!$B$12</f>
        <v>453.70669460993366</v>
      </c>
      <c r="Y212" s="137">
        <f>Transportation_LCIA!C$61*($W212^Transportation_LCIA!C$60)+Transportation_LCIA!C$62</f>
        <v>0.35179822030380453</v>
      </c>
      <c r="Z212" s="137">
        <f>Transportation_LCIA!D$61*($W212^Transportation_LCIA!D$60)+Transportation_LCIA!D$62</f>
        <v>3.8038685240383758</v>
      </c>
      <c r="AA212" s="137">
        <f>Transportation_LCIA!E$61*($W212^Transportation_LCIA!E$60)+Transportation_LCIA!E$62</f>
        <v>2.0553796700765819E-3</v>
      </c>
      <c r="AB212" s="137">
        <f>Transportation_LCIA!F$61*($W212^Transportation_LCIA!F$60)+Transportation_LCIA!F$62</f>
        <v>0.35179822030380453</v>
      </c>
      <c r="AC212" s="137">
        <f>Transportation_LCIA!G$61*($W212^Transportation_LCIA!G$60)+Transportation_LCIA!G$62</f>
        <v>8.8542301175389054E-2</v>
      </c>
      <c r="AD212" s="137">
        <f>Transportation_LCIA!H$61*($W212^Transportation_LCIA!H$60)+Transportation_LCIA!H$62</f>
        <v>4.7924680402862424E-4</v>
      </c>
      <c r="AE212" s="137">
        <f>Transportation_LCIA!I$61*($W212^Transportation_LCIA!I$60)+Transportation_LCIA!I$62</f>
        <v>1.1104359431323201E-5</v>
      </c>
      <c r="AF212" s="137">
        <f>Transportation_LCIA!J$61*($W212^Transportation_LCIA!J$60)+Transportation_LCIA!J$62</f>
        <v>1.6569820845191208E-2</v>
      </c>
      <c r="AG212" s="137">
        <f>Transportation_LCIA!K$61*($W212^Transportation_LCIA!K$60)+Transportation_LCIA!K$62</f>
        <v>1.9564708397539259E-2</v>
      </c>
      <c r="AH212" s="137">
        <f>Transportation_LCIA!L$61*($W212^Transportation_LCIA!L$60)+Transportation_LCIA!L$62</f>
        <v>4.2690866521771174E-4</v>
      </c>
      <c r="AI212" s="137">
        <f>Transportation_LCIA!M$61*($W212^Transportation_LCIA!M$60)+Transportation_LCIA!M$62</f>
        <v>3.5540325219174092E-4</v>
      </c>
      <c r="AJ212" s="137">
        <f>Transportation_LCIA!N$61*($W212^Transportation_LCIA!N$60)+Transportation_LCIA!N$62</f>
        <v>1.6696019563166051E-3</v>
      </c>
      <c r="AK212" s="137">
        <f>Transportation_LCIA!O$61*($W212^Transportation_LCIA!O$60)+Transportation_LCIA!O$62</f>
        <v>9.376926172545552E-5</v>
      </c>
      <c r="AL212" s="137">
        <f>Transportation_LCIA!P$61*($W212^Transportation_LCIA!P$60)+Transportation_LCIA!P$62</f>
        <v>4.5229183914951175E-8</v>
      </c>
      <c r="AM212" s="137">
        <f>Transportation_LCIA!Q$61*($W212^Transportation_LCIA!Q$60)+Transportation_LCIA!Q$62</f>
        <v>1.6827410039877645E-4</v>
      </c>
      <c r="AN212" s="137">
        <f>Transportation_LCIA!R$61*($W212^Transportation_LCIA!R$60)+Transportation_LCIA!R$62</f>
        <v>5.3343299418952066E-4</v>
      </c>
      <c r="AO212" s="137">
        <f>Transportation_LCIA!S$61*($W212^Transportation_LCIA!S$60)+Transportation_LCIA!S$62</f>
        <v>7.8252838449889344E-6</v>
      </c>
      <c r="AP212" s="137">
        <f>Transportation_LCIA!T$61*($W212^Transportation_LCIA!T$60)+Transportation_LCIA!T$62</f>
        <v>7.8252838449889344E-6</v>
      </c>
      <c r="AQ212" s="137">
        <f>Transportation_LCIA!U$61*($W212^Transportation_LCIA!U$60)+Transportation_LCIA!U$62</f>
        <v>1.1583001340676898E-3</v>
      </c>
      <c r="AR212" s="137">
        <f>Transportation_LCIA!V$61*($W212^Transportation_LCIA!V$60)+Transportation_LCIA!V$62</f>
        <v>4.3832947018607746E-4</v>
      </c>
      <c r="AT212" s="137">
        <f>$W212*Y212+$L212*Summary_LCIA!H$32</f>
        <v>166.69294070369642</v>
      </c>
      <c r="AU212" s="137">
        <f>$W212*Z212+$L212*Summary_LCIA!Q$32</f>
        <v>1829.0999255437735</v>
      </c>
      <c r="AV212" s="137">
        <f>$W212*AA212+$L212*Summary_LCIA!R$32</f>
        <v>1.042248292278902</v>
      </c>
      <c r="AW212" s="137">
        <f>$W212*AB212+$L212*Summary_LCIA!S$32</f>
        <v>166.60085000369642</v>
      </c>
      <c r="AX212" s="137">
        <f>$W212*AC212+$L212*Summary_LCIA!T$32</f>
        <v>42.46200129944301</v>
      </c>
      <c r="AY212" s="137">
        <f>$W212*AD212+$L212*Summary_LCIA!U$32</f>
        <v>0.5906756733582017</v>
      </c>
      <c r="AZ212" s="137">
        <f>$W212*AE212+$L212*Summary_LCIA!V$32</f>
        <v>6.033222648346292E-3</v>
      </c>
      <c r="BA212" s="137">
        <f>$W212*AF212+$L212*Summary_LCIA!W$32</f>
        <v>9.1215294309504795</v>
      </c>
      <c r="BB212" s="137">
        <f>$W212*AG212+$L212*Summary_LCIA!X$32</f>
        <v>9.3512604780547495</v>
      </c>
      <c r="BC212" s="137">
        <f>$W212*AH212+$L212*Summary_LCIA!Y$32</f>
        <v>0.51834228939626681</v>
      </c>
      <c r="BD212" s="137">
        <f>$W212*AI212+$L212*Summary_LCIA!Z$32</f>
        <v>0.16210325732053543</v>
      </c>
      <c r="BE212" s="137">
        <f>$W212*AJ212+$L212*Summary_LCIA!AA$32</f>
        <v>1.2441318449146856</v>
      </c>
      <c r="BF212" s="137">
        <f>$W212*AK212+$L212*Summary_LCIA!AB$32</f>
        <v>4.2089059588470187E-2</v>
      </c>
      <c r="BG212" s="137">
        <f>$W212*AL212+$L212*Summary_LCIA!AC$32</f>
        <v>2.1539281673957276E-5</v>
      </c>
      <c r="BH212" s="137">
        <f>$W212*AM212+$L212*Summary_LCIA!AD$32</f>
        <v>8.4911104280388977E-2</v>
      </c>
      <c r="BI212" s="137">
        <f>$W212*AN212+$L212*Summary_LCIA!AE$32</f>
        <v>0.2604846391396074</v>
      </c>
      <c r="BJ212" s="137">
        <f>$W212*AO212+$L212*Summary_LCIA!AF$32</f>
        <v>2.1164709367694445E-2</v>
      </c>
      <c r="BK212" s="137">
        <f>$W212*AP212+$L212*Summary_LCIA!AG$32</f>
        <v>4.6164064426944419E-3</v>
      </c>
      <c r="BL212" s="137">
        <f>$W212*AQ212+$L212*Summary_LCIA!AH$32</f>
        <v>0.70686803119409458</v>
      </c>
      <c r="BM212" s="137">
        <f>$W212*AR212+$L212*Summary_LCIA!AI$32</f>
        <v>0.21828185931824867</v>
      </c>
    </row>
    <row r="213" spans="1:65" x14ac:dyDescent="0.25">
      <c r="A213" s="149">
        <v>179</v>
      </c>
      <c r="B213" s="149">
        <v>43</v>
      </c>
      <c r="C213" s="61">
        <v>42.871099999999998</v>
      </c>
      <c r="D213" s="61">
        <v>-78.859319999999997</v>
      </c>
      <c r="E213" s="61" t="s">
        <v>265</v>
      </c>
      <c r="F213" s="149">
        <v>120</v>
      </c>
      <c r="G213" s="61" t="s">
        <v>625</v>
      </c>
      <c r="H213" s="61" t="s">
        <v>626</v>
      </c>
      <c r="I213" s="61">
        <v>42.939706000000001</v>
      </c>
      <c r="J213" s="61">
        <v>-78.729506999999998</v>
      </c>
      <c r="K213" s="61">
        <v>16.03849787</v>
      </c>
      <c r="L213" s="61">
        <v>20.835000000000001</v>
      </c>
      <c r="M213" s="61" t="s">
        <v>617</v>
      </c>
      <c r="N213" s="149">
        <v>42</v>
      </c>
      <c r="O213" s="149">
        <v>43</v>
      </c>
      <c r="P213" s="61" t="s">
        <v>565</v>
      </c>
      <c r="Q213" s="61" t="s">
        <v>555</v>
      </c>
      <c r="R213" s="61">
        <v>40.6895314</v>
      </c>
      <c r="S213" s="61">
        <v>-74.174462399999996</v>
      </c>
      <c r="T213" s="61">
        <v>593.16399999999999</v>
      </c>
      <c r="U213" s="61" t="s">
        <v>617</v>
      </c>
      <c r="V213" s="61" t="s">
        <v>569</v>
      </c>
      <c r="W213" s="61" cm="1">
        <f t="array" ref="W213">getDistance(I213,J213,R213,S213)*SA!$B$12</f>
        <v>453.70669460993366</v>
      </c>
      <c r="Y213" s="137">
        <f>Transportation_LCIA!C$61*($W213^Transportation_LCIA!C$60)+Transportation_LCIA!C$62</f>
        <v>0.35179822030380453</v>
      </c>
      <c r="Z213" s="137">
        <f>Transportation_LCIA!D$61*($W213^Transportation_LCIA!D$60)+Transportation_LCIA!D$62</f>
        <v>3.8038685240383758</v>
      </c>
      <c r="AA213" s="137">
        <f>Transportation_LCIA!E$61*($W213^Transportation_LCIA!E$60)+Transportation_LCIA!E$62</f>
        <v>2.0553796700765819E-3</v>
      </c>
      <c r="AB213" s="137">
        <f>Transportation_LCIA!F$61*($W213^Transportation_LCIA!F$60)+Transportation_LCIA!F$62</f>
        <v>0.35179822030380453</v>
      </c>
      <c r="AC213" s="137">
        <f>Transportation_LCIA!G$61*($W213^Transportation_LCIA!G$60)+Transportation_LCIA!G$62</f>
        <v>8.8542301175389054E-2</v>
      </c>
      <c r="AD213" s="137">
        <f>Transportation_LCIA!H$61*($W213^Transportation_LCIA!H$60)+Transportation_LCIA!H$62</f>
        <v>4.7924680402862424E-4</v>
      </c>
      <c r="AE213" s="137">
        <f>Transportation_LCIA!I$61*($W213^Transportation_LCIA!I$60)+Transportation_LCIA!I$62</f>
        <v>1.1104359431323201E-5</v>
      </c>
      <c r="AF213" s="137">
        <f>Transportation_LCIA!J$61*($W213^Transportation_LCIA!J$60)+Transportation_LCIA!J$62</f>
        <v>1.6569820845191208E-2</v>
      </c>
      <c r="AG213" s="137">
        <f>Transportation_LCIA!K$61*($W213^Transportation_LCIA!K$60)+Transportation_LCIA!K$62</f>
        <v>1.9564708397539259E-2</v>
      </c>
      <c r="AH213" s="137">
        <f>Transportation_LCIA!L$61*($W213^Transportation_LCIA!L$60)+Transportation_LCIA!L$62</f>
        <v>4.2690866521771174E-4</v>
      </c>
      <c r="AI213" s="137">
        <f>Transportation_LCIA!M$61*($W213^Transportation_LCIA!M$60)+Transportation_LCIA!M$62</f>
        <v>3.5540325219174092E-4</v>
      </c>
      <c r="AJ213" s="137">
        <f>Transportation_LCIA!N$61*($W213^Transportation_LCIA!N$60)+Transportation_LCIA!N$62</f>
        <v>1.6696019563166051E-3</v>
      </c>
      <c r="AK213" s="137">
        <f>Transportation_LCIA!O$61*($W213^Transportation_LCIA!O$60)+Transportation_LCIA!O$62</f>
        <v>9.376926172545552E-5</v>
      </c>
      <c r="AL213" s="137">
        <f>Transportation_LCIA!P$61*($W213^Transportation_LCIA!P$60)+Transportation_LCIA!P$62</f>
        <v>4.5229183914951175E-8</v>
      </c>
      <c r="AM213" s="137">
        <f>Transportation_LCIA!Q$61*($W213^Transportation_LCIA!Q$60)+Transportation_LCIA!Q$62</f>
        <v>1.6827410039877645E-4</v>
      </c>
      <c r="AN213" s="137">
        <f>Transportation_LCIA!R$61*($W213^Transportation_LCIA!R$60)+Transportation_LCIA!R$62</f>
        <v>5.3343299418952066E-4</v>
      </c>
      <c r="AO213" s="137">
        <f>Transportation_LCIA!S$61*($W213^Transportation_LCIA!S$60)+Transportation_LCIA!S$62</f>
        <v>7.8252838449889344E-6</v>
      </c>
      <c r="AP213" s="137">
        <f>Transportation_LCIA!T$61*($W213^Transportation_LCIA!T$60)+Transportation_LCIA!T$62</f>
        <v>7.8252838449889344E-6</v>
      </c>
      <c r="AQ213" s="137">
        <f>Transportation_LCIA!U$61*($W213^Transportation_LCIA!U$60)+Transportation_LCIA!U$62</f>
        <v>1.1583001340676898E-3</v>
      </c>
      <c r="AR213" s="137">
        <f>Transportation_LCIA!V$61*($W213^Transportation_LCIA!V$60)+Transportation_LCIA!V$62</f>
        <v>4.3832947018607746E-4</v>
      </c>
      <c r="AT213" s="137">
        <f>$W213*Y213+$L213*Summary_LCIA!H$32</f>
        <v>166.69294070369642</v>
      </c>
      <c r="AU213" s="137">
        <f>$W213*Z213+$L213*Summary_LCIA!Q$32</f>
        <v>1829.0999255437735</v>
      </c>
      <c r="AV213" s="137">
        <f>$W213*AA213+$L213*Summary_LCIA!R$32</f>
        <v>1.042248292278902</v>
      </c>
      <c r="AW213" s="137">
        <f>$W213*AB213+$L213*Summary_LCIA!S$32</f>
        <v>166.60085000369642</v>
      </c>
      <c r="AX213" s="137">
        <f>$W213*AC213+$L213*Summary_LCIA!T$32</f>
        <v>42.46200129944301</v>
      </c>
      <c r="AY213" s="137">
        <f>$W213*AD213+$L213*Summary_LCIA!U$32</f>
        <v>0.5906756733582017</v>
      </c>
      <c r="AZ213" s="137">
        <f>$W213*AE213+$L213*Summary_LCIA!V$32</f>
        <v>6.033222648346292E-3</v>
      </c>
      <c r="BA213" s="137">
        <f>$W213*AF213+$L213*Summary_LCIA!W$32</f>
        <v>9.1215294309504795</v>
      </c>
      <c r="BB213" s="137">
        <f>$W213*AG213+$L213*Summary_LCIA!X$32</f>
        <v>9.3512604780547495</v>
      </c>
      <c r="BC213" s="137">
        <f>$W213*AH213+$L213*Summary_LCIA!Y$32</f>
        <v>0.51834228939626681</v>
      </c>
      <c r="BD213" s="137">
        <f>$W213*AI213+$L213*Summary_LCIA!Z$32</f>
        <v>0.16210325732053543</v>
      </c>
      <c r="BE213" s="137">
        <f>$W213*AJ213+$L213*Summary_LCIA!AA$32</f>
        <v>1.2441318449146856</v>
      </c>
      <c r="BF213" s="137">
        <f>$W213*AK213+$L213*Summary_LCIA!AB$32</f>
        <v>4.2089059588470187E-2</v>
      </c>
      <c r="BG213" s="137">
        <f>$W213*AL213+$L213*Summary_LCIA!AC$32</f>
        <v>2.1539281673957276E-5</v>
      </c>
      <c r="BH213" s="137">
        <f>$W213*AM213+$L213*Summary_LCIA!AD$32</f>
        <v>8.4911104280388977E-2</v>
      </c>
      <c r="BI213" s="137">
        <f>$W213*AN213+$L213*Summary_LCIA!AE$32</f>
        <v>0.2604846391396074</v>
      </c>
      <c r="BJ213" s="137">
        <f>$W213*AO213+$L213*Summary_LCIA!AF$32</f>
        <v>2.1164709367694445E-2</v>
      </c>
      <c r="BK213" s="137">
        <f>$W213*AP213+$L213*Summary_LCIA!AG$32</f>
        <v>4.6164064426944419E-3</v>
      </c>
      <c r="BL213" s="137">
        <f>$W213*AQ213+$L213*Summary_LCIA!AH$32</f>
        <v>0.70686803119409458</v>
      </c>
      <c r="BM213" s="137">
        <f>$W213*AR213+$L213*Summary_LCIA!AI$32</f>
        <v>0.21828185931824867</v>
      </c>
    </row>
    <row r="214" spans="1:65" x14ac:dyDescent="0.25">
      <c r="A214" s="149">
        <v>281</v>
      </c>
      <c r="B214" s="149">
        <v>43</v>
      </c>
      <c r="C214" s="61">
        <v>39.654181000000001</v>
      </c>
      <c r="D214" s="61">
        <v>-79.959489000000005</v>
      </c>
      <c r="E214" s="61" t="s">
        <v>265</v>
      </c>
      <c r="F214" s="149">
        <v>106</v>
      </c>
      <c r="G214" s="61" t="s">
        <v>266</v>
      </c>
      <c r="H214" s="61" t="s">
        <v>669</v>
      </c>
      <c r="I214" s="61">
        <v>40.491920999999998</v>
      </c>
      <c r="J214" s="61">
        <v>-80.235223000000005</v>
      </c>
      <c r="K214" s="61">
        <v>134.8417848</v>
      </c>
      <c r="L214" s="61">
        <v>124.12</v>
      </c>
      <c r="M214" s="61" t="s">
        <v>617</v>
      </c>
      <c r="N214" s="149">
        <v>42</v>
      </c>
      <c r="O214" s="149">
        <v>43</v>
      </c>
      <c r="P214" s="61" t="s">
        <v>565</v>
      </c>
      <c r="Q214" s="61" t="s">
        <v>555</v>
      </c>
      <c r="R214" s="61">
        <v>40.6895314</v>
      </c>
      <c r="S214" s="61">
        <v>-74.174462399999996</v>
      </c>
      <c r="T214" s="61">
        <v>593.59199999999998</v>
      </c>
      <c r="U214" s="61" t="s">
        <v>617</v>
      </c>
      <c r="V214" s="61" t="s">
        <v>569</v>
      </c>
      <c r="W214" s="61" cm="1">
        <f t="array" ref="W214">getDistance(I214,J214,R214,S214)*SA!$B$12</f>
        <v>513.433583839015</v>
      </c>
      <c r="Y214" s="137">
        <f>Transportation_LCIA!C$61*($W214^Transportation_LCIA!C$60)+Transportation_LCIA!C$62</f>
        <v>0.32815716511039528</v>
      </c>
      <c r="Z214" s="137">
        <f>Transportation_LCIA!D$61*($W214^Transportation_LCIA!D$60)+Transportation_LCIA!D$62</f>
        <v>3.5191542163843881</v>
      </c>
      <c r="AA214" s="137">
        <f>Transportation_LCIA!E$61*($W214^Transportation_LCIA!E$60)+Transportation_LCIA!E$62</f>
        <v>1.8665206810453132E-3</v>
      </c>
      <c r="AB214" s="137">
        <f>Transportation_LCIA!F$61*($W214^Transportation_LCIA!F$60)+Transportation_LCIA!F$62</f>
        <v>0.32815716511039528</v>
      </c>
      <c r="AC214" s="137">
        <f>Transportation_LCIA!G$61*($W214^Transportation_LCIA!G$60)+Transportation_LCIA!G$62</f>
        <v>8.1967302989677859E-2</v>
      </c>
      <c r="AD214" s="137">
        <f>Transportation_LCIA!H$61*($W214^Transportation_LCIA!H$60)+Transportation_LCIA!H$62</f>
        <v>4.3698853519291556E-4</v>
      </c>
      <c r="AE214" s="137">
        <f>Transportation_LCIA!I$61*($W214^Transportation_LCIA!I$60)+Transportation_LCIA!I$62</f>
        <v>1.0010201729396875E-5</v>
      </c>
      <c r="AF214" s="137">
        <f>Transportation_LCIA!J$61*($W214^Transportation_LCIA!J$60)+Transportation_LCIA!J$62</f>
        <v>1.4910087392935532E-2</v>
      </c>
      <c r="AG214" s="137">
        <f>Transportation_LCIA!K$61*($W214^Transportation_LCIA!K$60)+Transportation_LCIA!K$62</f>
        <v>1.8005284512120634E-2</v>
      </c>
      <c r="AH214" s="137">
        <f>Transportation_LCIA!L$61*($W214^Transportation_LCIA!L$60)+Transportation_LCIA!L$62</f>
        <v>3.8774642038002372E-4</v>
      </c>
      <c r="AI214" s="137">
        <f>Transportation_LCIA!M$61*($W214^Transportation_LCIA!M$60)+Transportation_LCIA!M$62</f>
        <v>3.3205908340433346E-4</v>
      </c>
      <c r="AJ214" s="137">
        <f>Transportation_LCIA!N$61*($W214^Transportation_LCIA!N$60)+Transportation_LCIA!N$62</f>
        <v>1.5278401037459809E-3</v>
      </c>
      <c r="AK214" s="137">
        <f>Transportation_LCIA!O$61*($W214^Transportation_LCIA!O$60)+Transportation_LCIA!O$62</f>
        <v>8.6776433969231709E-5</v>
      </c>
      <c r="AL214" s="137">
        <f>Transportation_LCIA!P$61*($W214^Transportation_LCIA!P$60)+Transportation_LCIA!P$62</f>
        <v>4.187496920977748E-8</v>
      </c>
      <c r="AM214" s="137">
        <f>Transportation_LCIA!Q$61*($W214^Transportation_LCIA!Q$60)+Transportation_LCIA!Q$62</f>
        <v>1.5289540886279419E-4</v>
      </c>
      <c r="AN214" s="137">
        <f>Transportation_LCIA!R$61*($W214^Transportation_LCIA!R$60)+Transportation_LCIA!R$62</f>
        <v>4.8092919779996581E-4</v>
      </c>
      <c r="AO214" s="137">
        <f>Transportation_LCIA!S$61*($W214^Transportation_LCIA!S$60)+Transportation_LCIA!S$62</f>
        <v>7.081081996143308E-6</v>
      </c>
      <c r="AP214" s="137">
        <f>Transportation_LCIA!T$61*($W214^Transportation_LCIA!T$60)+Transportation_LCIA!T$62</f>
        <v>7.081081996143308E-6</v>
      </c>
      <c r="AQ214" s="137">
        <f>Transportation_LCIA!U$61*($W214^Transportation_LCIA!U$60)+Transportation_LCIA!U$62</f>
        <v>1.0425420500377758E-3</v>
      </c>
      <c r="AR214" s="137">
        <f>Transportation_LCIA!V$61*($W214^Transportation_LCIA!V$60)+Transportation_LCIA!V$62</f>
        <v>3.9809863614409633E-4</v>
      </c>
      <c r="AT214" s="137">
        <f>$W214*Y214+$L214*Summary_LCIA!H$32</f>
        <v>210.66288534508161</v>
      </c>
      <c r="AU214" s="137">
        <f>$W214*Z214+$L214*Summary_LCIA!Q$32</f>
        <v>2421.9969411443772</v>
      </c>
      <c r="AV214" s="137">
        <f>$W214*AA214+$L214*Summary_LCIA!R$32</f>
        <v>1.6119006745787341</v>
      </c>
      <c r="AW214" s="137">
        <f>$W214*AB214+$L214*Summary_LCIA!S$32</f>
        <v>210.1142749450816</v>
      </c>
      <c r="AX214" s="137">
        <f>$W214*AC214+$L214*Summary_LCIA!T$32</f>
        <v>55.72555413160871</v>
      </c>
      <c r="AY214" s="137">
        <f>$W214*AD214+$L214*Summary_LCIA!U$32</f>
        <v>2.4478502697206603</v>
      </c>
      <c r="AZ214" s="137">
        <f>$W214*AE214+$L214*Summary_LCIA!V$32</f>
        <v>1.1067669068875744E-2</v>
      </c>
      <c r="BA214" s="137">
        <f>$W214*AF214+$L214*Summary_LCIA!W$32</f>
        <v>17.208980125507807</v>
      </c>
      <c r="BB214" s="137">
        <f>$W214*AG214+$L214*Summary_LCIA!X$32</f>
        <v>12.071971355099208</v>
      </c>
      <c r="BC214" s="137">
        <f>$W214*AH214+$L214*Summary_LCIA!Y$32</f>
        <v>2.1331198742364648</v>
      </c>
      <c r="BD214" s="137">
        <f>$W214*AI214+$L214*Summary_LCIA!Z$32</f>
        <v>0.17558032231858531</v>
      </c>
      <c r="BE214" s="137">
        <f>$W214*AJ214+$L214*Summary_LCIA!AA$32</f>
        <v>3.6833911399992716</v>
      </c>
      <c r="BF214" s="137">
        <f>$W214*AK214+$L214*Summary_LCIA!AB$32</f>
        <v>4.1845264725592274E-2</v>
      </c>
      <c r="BG214" s="137">
        <f>$W214*AL214+$L214*Summary_LCIA!AC$32</f>
        <v>2.7567497594524459E-5</v>
      </c>
      <c r="BH214" s="137">
        <f>$W214*AM214+$L214*Summary_LCIA!AD$32</f>
        <v>0.12951992252495592</v>
      </c>
      <c r="BI214" s="137">
        <f>$W214*AN214+$L214*Summary_LCIA!AE$32</f>
        <v>0.35691165719925899</v>
      </c>
      <c r="BJ214" s="137">
        <f>$W214*AO214+$L214*Summary_LCIA!AF$32</f>
        <v>0.1085691957067378</v>
      </c>
      <c r="BK214" s="137">
        <f>$W214*AP214+$L214*Summary_LCIA!AG$32</f>
        <v>9.9862651067377847E-3</v>
      </c>
      <c r="BL214" s="137">
        <f>$W214*AQ214+$L214*Summary_LCIA!AH$32</f>
        <v>1.6155669330537692</v>
      </c>
      <c r="BM214" s="137">
        <f>$W214*AR214+$L214*Summary_LCIA!AI$32</f>
        <v>0.3200211954768874</v>
      </c>
    </row>
    <row r="215" spans="1:65" x14ac:dyDescent="0.25">
      <c r="A215" s="149">
        <v>77</v>
      </c>
      <c r="B215" s="149">
        <v>6</v>
      </c>
      <c r="C215" s="61">
        <v>40.006103000000003</v>
      </c>
      <c r="D215" s="61">
        <v>-83.016536000000002</v>
      </c>
      <c r="E215" s="61" t="s">
        <v>265</v>
      </c>
      <c r="F215" s="149">
        <v>110</v>
      </c>
      <c r="G215" s="61" t="s">
        <v>658</v>
      </c>
      <c r="H215" s="61" t="s">
        <v>659</v>
      </c>
      <c r="I215" s="61">
        <v>39.999940000000002</v>
      </c>
      <c r="J215" s="61">
        <v>-82.887176999999994</v>
      </c>
      <c r="K215" s="61">
        <v>11.068644279999999</v>
      </c>
      <c r="L215" s="61">
        <v>18.408000000000001</v>
      </c>
      <c r="M215" s="61" t="s">
        <v>617</v>
      </c>
      <c r="N215" s="149">
        <v>5</v>
      </c>
      <c r="O215" s="149">
        <v>6</v>
      </c>
      <c r="P215" s="61" t="s">
        <v>565</v>
      </c>
      <c r="Q215" s="61" t="s">
        <v>564</v>
      </c>
      <c r="R215" s="61">
        <v>41.98028</v>
      </c>
      <c r="S215" s="61">
        <v>-87.908997900000003</v>
      </c>
      <c r="T215" s="61">
        <v>601.20799999999997</v>
      </c>
      <c r="U215" s="61" t="s">
        <v>617</v>
      </c>
      <c r="V215" s="61" t="s">
        <v>569</v>
      </c>
      <c r="W215" s="61" cm="1">
        <f t="array" ref="W215">getDistance(I215,J215,R215,S215)*SA!$B$12</f>
        <v>476.46082211216719</v>
      </c>
      <c r="Y215" s="137">
        <f>Transportation_LCIA!C$61*($W215^Transportation_LCIA!C$60)+Transportation_LCIA!C$62</f>
        <v>0.3421495485374596</v>
      </c>
      <c r="Z215" s="137">
        <f>Transportation_LCIA!D$61*($W215^Transportation_LCIA!D$60)+Transportation_LCIA!D$62</f>
        <v>3.6874835022314647</v>
      </c>
      <c r="AA215" s="137">
        <f>Transportation_LCIA!E$61*($W215^Transportation_LCIA!E$60)+Transportation_LCIA!E$62</f>
        <v>1.9781439132864741E-3</v>
      </c>
      <c r="AB215" s="137">
        <f>Transportation_LCIA!F$61*($W215^Transportation_LCIA!F$60)+Transportation_LCIA!F$62</f>
        <v>0.3421495485374596</v>
      </c>
      <c r="AC215" s="137">
        <f>Transportation_LCIA!G$61*($W215^Transportation_LCIA!G$60)+Transportation_LCIA!G$62</f>
        <v>8.585483264216312E-2</v>
      </c>
      <c r="AD215" s="137">
        <f>Transportation_LCIA!H$61*($W215^Transportation_LCIA!H$60)+Transportation_LCIA!H$62</f>
        <v>4.6194970027992912E-4</v>
      </c>
      <c r="AE215" s="137">
        <f>Transportation_LCIA!I$61*($W215^Transportation_LCIA!I$60)+Transportation_LCIA!I$62</f>
        <v>1.0655867543092664E-5</v>
      </c>
      <c r="AF215" s="137">
        <f>Transportation_LCIA!J$61*($W215^Transportation_LCIA!J$60)+Transportation_LCIA!J$62</f>
        <v>1.5888874162923741E-2</v>
      </c>
      <c r="AG215" s="137">
        <f>Transportation_LCIA!K$61*($W215^Transportation_LCIA!K$60)+Transportation_LCIA!K$62</f>
        <v>1.8926799382803748E-2</v>
      </c>
      <c r="AH215" s="137">
        <f>Transportation_LCIA!L$61*($W215^Transportation_LCIA!L$60)+Transportation_LCIA!L$62</f>
        <v>4.1087237564962301E-4</v>
      </c>
      <c r="AI215" s="137">
        <f>Transportation_LCIA!M$61*($W215^Transportation_LCIA!M$60)+Transportation_LCIA!M$62</f>
        <v>3.4584758868402539E-4</v>
      </c>
      <c r="AJ215" s="137">
        <f>Transportation_LCIA!N$61*($W215^Transportation_LCIA!N$60)+Transportation_LCIA!N$62</f>
        <v>1.6115826777894741E-3</v>
      </c>
      <c r="AK215" s="137">
        <f>Transportation_LCIA!O$61*($W215^Transportation_LCIA!O$60)+Transportation_LCIA!O$62</f>
        <v>9.0910885097424208E-5</v>
      </c>
      <c r="AL215" s="137">
        <f>Transportation_LCIA!P$61*($W215^Transportation_LCIA!P$60)+Transportation_LCIA!P$62</f>
        <v>4.3858281937434929E-8</v>
      </c>
      <c r="AM215" s="137">
        <f>Transportation_LCIA!Q$61*($W215^Transportation_LCIA!Q$60)+Transportation_LCIA!Q$62</f>
        <v>1.6197541816227853E-4</v>
      </c>
      <c r="AN215" s="137">
        <f>Transportation_LCIA!R$61*($W215^Transportation_LCIA!R$60)+Transportation_LCIA!R$62</f>
        <v>5.1191111541630801E-4</v>
      </c>
      <c r="AO215" s="137">
        <f>Transportation_LCIA!S$61*($W215^Transportation_LCIA!S$60)+Transportation_LCIA!S$62</f>
        <v>7.5202466562288372E-6</v>
      </c>
      <c r="AP215" s="137">
        <f>Transportation_LCIA!T$61*($W215^Transportation_LCIA!T$60)+Transportation_LCIA!T$62</f>
        <v>7.5202466562288372E-6</v>
      </c>
      <c r="AQ215" s="137">
        <f>Transportation_LCIA!U$61*($W215^Transportation_LCIA!U$60)+Transportation_LCIA!U$62</f>
        <v>1.1108369369812168E-3</v>
      </c>
      <c r="AR215" s="137">
        <f>Transportation_LCIA!V$61*($W215^Transportation_LCIA!V$60)+Transportation_LCIA!V$62</f>
        <v>4.2184744513366603E-4</v>
      </c>
      <c r="AT215" s="137">
        <f>$W215*Y215+$L215*Summary_LCIA!H$32</f>
        <v>169.27589358146486</v>
      </c>
      <c r="AU215" s="137">
        <f>$W215*Z215+$L215*Summary_LCIA!Q$32</f>
        <v>1848.1723973689211</v>
      </c>
      <c r="AV215" s="137">
        <f>$W215*AA215+$L215*Summary_LCIA!R$32</f>
        <v>1.0394372399806531</v>
      </c>
      <c r="AW215" s="137">
        <f>$W215*AB215+$L215*Summary_LCIA!S$32</f>
        <v>169.19453022146487</v>
      </c>
      <c r="AX215" s="137">
        <f>$W215*AC215+$L215*Summary_LCIA!T$32</f>
        <v>42.929503342987566</v>
      </c>
      <c r="AY215" s="137">
        <f>$W215*AD215+$L215*Summary_LCIA!U$32</f>
        <v>0.54986184596984433</v>
      </c>
      <c r="AZ215" s="137">
        <f>$W215*AE215+$L215*Summary_LCIA!V$32</f>
        <v>5.9562878979002899E-3</v>
      </c>
      <c r="BA215" s="137">
        <f>$W215*AF215+$L215*Summary_LCIA!W$32</f>
        <v>8.9873082141034182</v>
      </c>
      <c r="BB215" s="137">
        <f>$W215*AG215+$L215*Summary_LCIA!X$32</f>
        <v>9.4372126338827318</v>
      </c>
      <c r="BC215" s="137">
        <f>$W215*AH215+$L215*Summary_LCIA!Y$32</f>
        <v>0.48259804588519861</v>
      </c>
      <c r="BD215" s="137">
        <f>$W215*AI215+$L215*Summary_LCIA!Z$32</f>
        <v>0.16553772010190138</v>
      </c>
      <c r="BE215" s="137">
        <f>$W215*AJ215+$L215*Summary_LCIA!AA$32</f>
        <v>1.1977932555613007</v>
      </c>
      <c r="BF215" s="137">
        <f>$W215*AK215+$L215*Summary_LCIA!AB$32</f>
        <v>4.2913757268463505E-2</v>
      </c>
      <c r="BG215" s="137">
        <f>$W215*AL215+$L215*Summary_LCIA!AC$32</f>
        <v>2.179660974033746E-5</v>
      </c>
      <c r="BH215" s="137">
        <f>$W215*AM215+$L215*Summary_LCIA!AD$32</f>
        <v>8.4741365219561285E-2</v>
      </c>
      <c r="BI215" s="137">
        <f>$W215*AN215+$L215*Summary_LCIA!AE$32</f>
        <v>0.26021747193961059</v>
      </c>
      <c r="BJ215" s="137">
        <f>$W215*AO215+$L215*Summary_LCIA!AF$32</f>
        <v>1.914559426431307E-2</v>
      </c>
      <c r="BK215" s="137">
        <f>$W215*AP215+$L215*Summary_LCIA!AG$32</f>
        <v>4.5249482243130681E-3</v>
      </c>
      <c r="BL215" s="137">
        <f>$W215*AQ215+$L215*Summary_LCIA!AH$32</f>
        <v>0.6894861490266323</v>
      </c>
      <c r="BM215" s="137">
        <f>$W215*AR215+$L215*Summary_LCIA!AI$32</f>
        <v>0.21814175291430385</v>
      </c>
    </row>
    <row r="216" spans="1:65" x14ac:dyDescent="0.25">
      <c r="A216" s="149">
        <v>78</v>
      </c>
      <c r="B216" s="149">
        <v>6</v>
      </c>
      <c r="C216" s="61">
        <v>40.006103000000003</v>
      </c>
      <c r="D216" s="61">
        <v>-83.016536000000002</v>
      </c>
      <c r="E216" s="61" t="s">
        <v>265</v>
      </c>
      <c r="F216" s="149">
        <v>110</v>
      </c>
      <c r="G216" s="61" t="s">
        <v>658</v>
      </c>
      <c r="H216" s="61" t="s">
        <v>659</v>
      </c>
      <c r="I216" s="61">
        <v>39.999940000000002</v>
      </c>
      <c r="J216" s="61">
        <v>-82.887176999999994</v>
      </c>
      <c r="K216" s="61">
        <v>11.068644279999999</v>
      </c>
      <c r="L216" s="61">
        <v>18.408000000000001</v>
      </c>
      <c r="M216" s="61" t="s">
        <v>617</v>
      </c>
      <c r="N216" s="149">
        <v>5</v>
      </c>
      <c r="O216" s="149">
        <v>6</v>
      </c>
      <c r="P216" s="61" t="s">
        <v>565</v>
      </c>
      <c r="Q216" s="61" t="s">
        <v>564</v>
      </c>
      <c r="R216" s="61">
        <v>41.98028</v>
      </c>
      <c r="S216" s="61">
        <v>-87.908997900000003</v>
      </c>
      <c r="T216" s="61">
        <v>601.20799999999997</v>
      </c>
      <c r="U216" s="61" t="s">
        <v>617</v>
      </c>
      <c r="V216" s="61" t="s">
        <v>569</v>
      </c>
      <c r="W216" s="61" cm="1">
        <f t="array" ref="W216">getDistance(I216,J216,R216,S216)*SA!$B$12</f>
        <v>476.46082211216719</v>
      </c>
      <c r="Y216" s="137">
        <f>Transportation_LCIA!C$61*($W216^Transportation_LCIA!C$60)+Transportation_LCIA!C$62</f>
        <v>0.3421495485374596</v>
      </c>
      <c r="Z216" s="137">
        <f>Transportation_LCIA!D$61*($W216^Transportation_LCIA!D$60)+Transportation_LCIA!D$62</f>
        <v>3.6874835022314647</v>
      </c>
      <c r="AA216" s="137">
        <f>Transportation_LCIA!E$61*($W216^Transportation_LCIA!E$60)+Transportation_LCIA!E$62</f>
        <v>1.9781439132864741E-3</v>
      </c>
      <c r="AB216" s="137">
        <f>Transportation_LCIA!F$61*($W216^Transportation_LCIA!F$60)+Transportation_LCIA!F$62</f>
        <v>0.3421495485374596</v>
      </c>
      <c r="AC216" s="137">
        <f>Transportation_LCIA!G$61*($W216^Transportation_LCIA!G$60)+Transportation_LCIA!G$62</f>
        <v>8.585483264216312E-2</v>
      </c>
      <c r="AD216" s="137">
        <f>Transportation_LCIA!H$61*($W216^Transportation_LCIA!H$60)+Transportation_LCIA!H$62</f>
        <v>4.6194970027992912E-4</v>
      </c>
      <c r="AE216" s="137">
        <f>Transportation_LCIA!I$61*($W216^Transportation_LCIA!I$60)+Transportation_LCIA!I$62</f>
        <v>1.0655867543092664E-5</v>
      </c>
      <c r="AF216" s="137">
        <f>Transportation_LCIA!J$61*($W216^Transportation_LCIA!J$60)+Transportation_LCIA!J$62</f>
        <v>1.5888874162923741E-2</v>
      </c>
      <c r="AG216" s="137">
        <f>Transportation_LCIA!K$61*($W216^Transportation_LCIA!K$60)+Transportation_LCIA!K$62</f>
        <v>1.8926799382803748E-2</v>
      </c>
      <c r="AH216" s="137">
        <f>Transportation_LCIA!L$61*($W216^Transportation_LCIA!L$60)+Transportation_LCIA!L$62</f>
        <v>4.1087237564962301E-4</v>
      </c>
      <c r="AI216" s="137">
        <f>Transportation_LCIA!M$61*($W216^Transportation_LCIA!M$60)+Transportation_LCIA!M$62</f>
        <v>3.4584758868402539E-4</v>
      </c>
      <c r="AJ216" s="137">
        <f>Transportation_LCIA!N$61*($W216^Transportation_LCIA!N$60)+Transportation_LCIA!N$62</f>
        <v>1.6115826777894741E-3</v>
      </c>
      <c r="AK216" s="137">
        <f>Transportation_LCIA!O$61*($W216^Transportation_LCIA!O$60)+Transportation_LCIA!O$62</f>
        <v>9.0910885097424208E-5</v>
      </c>
      <c r="AL216" s="137">
        <f>Transportation_LCIA!P$61*($W216^Transportation_LCIA!P$60)+Transportation_LCIA!P$62</f>
        <v>4.3858281937434929E-8</v>
      </c>
      <c r="AM216" s="137">
        <f>Transportation_LCIA!Q$61*($W216^Transportation_LCIA!Q$60)+Transportation_LCIA!Q$62</f>
        <v>1.6197541816227853E-4</v>
      </c>
      <c r="AN216" s="137">
        <f>Transportation_LCIA!R$61*($W216^Transportation_LCIA!R$60)+Transportation_LCIA!R$62</f>
        <v>5.1191111541630801E-4</v>
      </c>
      <c r="AO216" s="137">
        <f>Transportation_LCIA!S$61*($W216^Transportation_LCIA!S$60)+Transportation_LCIA!S$62</f>
        <v>7.5202466562288372E-6</v>
      </c>
      <c r="AP216" s="137">
        <f>Transportation_LCIA!T$61*($W216^Transportation_LCIA!T$60)+Transportation_LCIA!T$62</f>
        <v>7.5202466562288372E-6</v>
      </c>
      <c r="AQ216" s="137">
        <f>Transportation_LCIA!U$61*($W216^Transportation_LCIA!U$60)+Transportation_LCIA!U$62</f>
        <v>1.1108369369812168E-3</v>
      </c>
      <c r="AR216" s="137">
        <f>Transportation_LCIA!V$61*($W216^Transportation_LCIA!V$60)+Transportation_LCIA!V$62</f>
        <v>4.2184744513366603E-4</v>
      </c>
      <c r="AT216" s="137">
        <f>$W216*Y216+$L216*Summary_LCIA!H$32</f>
        <v>169.27589358146486</v>
      </c>
      <c r="AU216" s="137">
        <f>$W216*Z216+$L216*Summary_LCIA!Q$32</f>
        <v>1848.1723973689211</v>
      </c>
      <c r="AV216" s="137">
        <f>$W216*AA216+$L216*Summary_LCIA!R$32</f>
        <v>1.0394372399806531</v>
      </c>
      <c r="AW216" s="137">
        <f>$W216*AB216+$L216*Summary_LCIA!S$32</f>
        <v>169.19453022146487</v>
      </c>
      <c r="AX216" s="137">
        <f>$W216*AC216+$L216*Summary_LCIA!T$32</f>
        <v>42.929503342987566</v>
      </c>
      <c r="AY216" s="137">
        <f>$W216*AD216+$L216*Summary_LCIA!U$32</f>
        <v>0.54986184596984433</v>
      </c>
      <c r="AZ216" s="137">
        <f>$W216*AE216+$L216*Summary_LCIA!V$32</f>
        <v>5.9562878979002899E-3</v>
      </c>
      <c r="BA216" s="137">
        <f>$W216*AF216+$L216*Summary_LCIA!W$32</f>
        <v>8.9873082141034182</v>
      </c>
      <c r="BB216" s="137">
        <f>$W216*AG216+$L216*Summary_LCIA!X$32</f>
        <v>9.4372126338827318</v>
      </c>
      <c r="BC216" s="137">
        <f>$W216*AH216+$L216*Summary_LCIA!Y$32</f>
        <v>0.48259804588519861</v>
      </c>
      <c r="BD216" s="137">
        <f>$W216*AI216+$L216*Summary_LCIA!Z$32</f>
        <v>0.16553772010190138</v>
      </c>
      <c r="BE216" s="137">
        <f>$W216*AJ216+$L216*Summary_LCIA!AA$32</f>
        <v>1.1977932555613007</v>
      </c>
      <c r="BF216" s="137">
        <f>$W216*AK216+$L216*Summary_LCIA!AB$32</f>
        <v>4.2913757268463505E-2</v>
      </c>
      <c r="BG216" s="137">
        <f>$W216*AL216+$L216*Summary_LCIA!AC$32</f>
        <v>2.179660974033746E-5</v>
      </c>
      <c r="BH216" s="137">
        <f>$W216*AM216+$L216*Summary_LCIA!AD$32</f>
        <v>8.4741365219561285E-2</v>
      </c>
      <c r="BI216" s="137">
        <f>$W216*AN216+$L216*Summary_LCIA!AE$32</f>
        <v>0.26021747193961059</v>
      </c>
      <c r="BJ216" s="137">
        <f>$W216*AO216+$L216*Summary_LCIA!AF$32</f>
        <v>1.914559426431307E-2</v>
      </c>
      <c r="BK216" s="137">
        <f>$W216*AP216+$L216*Summary_LCIA!AG$32</f>
        <v>4.5249482243130681E-3</v>
      </c>
      <c r="BL216" s="137">
        <f>$W216*AQ216+$L216*Summary_LCIA!AH$32</f>
        <v>0.6894861490266323</v>
      </c>
      <c r="BM216" s="137">
        <f>$W216*AR216+$L216*Summary_LCIA!AI$32</f>
        <v>0.21814175291430385</v>
      </c>
    </row>
    <row r="217" spans="1:65" x14ac:dyDescent="0.25">
      <c r="A217" s="149">
        <v>79</v>
      </c>
      <c r="B217" s="149">
        <v>6</v>
      </c>
      <c r="C217" s="61">
        <v>41.615028000000002</v>
      </c>
      <c r="D217" s="61">
        <v>-81.473634000000004</v>
      </c>
      <c r="E217" s="61" t="s">
        <v>265</v>
      </c>
      <c r="F217" s="149">
        <v>105</v>
      </c>
      <c r="G217" s="61" t="s">
        <v>276</v>
      </c>
      <c r="H217" s="61" t="s">
        <v>660</v>
      </c>
      <c r="I217" s="61">
        <v>41.405799000000002</v>
      </c>
      <c r="J217" s="61">
        <v>-81.853866999999994</v>
      </c>
      <c r="K217" s="61">
        <v>48.412403679999997</v>
      </c>
      <c r="L217" s="61">
        <v>45.866999999999997</v>
      </c>
      <c r="M217" s="61" t="s">
        <v>617</v>
      </c>
      <c r="N217" s="149">
        <v>5</v>
      </c>
      <c r="O217" s="149">
        <v>6</v>
      </c>
      <c r="P217" s="61" t="s">
        <v>565</v>
      </c>
      <c r="Q217" s="61" t="s">
        <v>564</v>
      </c>
      <c r="R217" s="61">
        <v>41.98028</v>
      </c>
      <c r="S217" s="61">
        <v>-87.908997900000003</v>
      </c>
      <c r="T217" s="61">
        <v>603.75900000000001</v>
      </c>
      <c r="U217" s="61" t="s">
        <v>617</v>
      </c>
      <c r="V217" s="61" t="s">
        <v>569</v>
      </c>
      <c r="W217" s="61" cm="1">
        <f t="array" ref="W217">getDistance(I217,J217,R217,S217)*SA!$B$12</f>
        <v>508.0035886560301</v>
      </c>
      <c r="Y217" s="137">
        <f>Transportation_LCIA!C$61*($W217^Transportation_LCIA!C$60)+Transportation_LCIA!C$62</f>
        <v>0.33009466965930534</v>
      </c>
      <c r="Z217" s="137">
        <f>Transportation_LCIA!D$61*($W217^Transportation_LCIA!D$60)+Transportation_LCIA!D$62</f>
        <v>3.5424297147150119</v>
      </c>
      <c r="AA217" s="137">
        <f>Transportation_LCIA!E$61*($W217^Transportation_LCIA!E$60)+Transportation_LCIA!E$62</f>
        <v>1.881949117619271E-3</v>
      </c>
      <c r="AB217" s="137">
        <f>Transportation_LCIA!F$61*($W217^Transportation_LCIA!F$60)+Transportation_LCIA!F$62</f>
        <v>0.33009466965930534</v>
      </c>
      <c r="AC217" s="137">
        <f>Transportation_LCIA!G$61*($W217^Transportation_LCIA!G$60)+Transportation_LCIA!G$62</f>
        <v>8.2504889928352365E-2</v>
      </c>
      <c r="AD217" s="137">
        <f>Transportation_LCIA!H$61*($W217^Transportation_LCIA!H$60)+Transportation_LCIA!H$62</f>
        <v>4.4043594058456003E-4</v>
      </c>
      <c r="AE217" s="137">
        <f>Transportation_LCIA!I$61*($W217^Transportation_LCIA!I$60)+Transportation_LCIA!I$62</f>
        <v>1.0099262763484922E-5</v>
      </c>
      <c r="AF217" s="137">
        <f>Transportation_LCIA!J$61*($W217^Transportation_LCIA!J$60)+Transportation_LCIA!J$62</f>
        <v>1.5044986830824957E-2</v>
      </c>
      <c r="AG217" s="137">
        <f>Transportation_LCIA!K$61*($W217^Transportation_LCIA!K$60)+Transportation_LCIA!K$62</f>
        <v>1.8132625491128557E-2</v>
      </c>
      <c r="AH217" s="137">
        <f>Transportation_LCIA!L$61*($W217^Transportation_LCIA!L$60)+Transportation_LCIA!L$62</f>
        <v>3.9093921727928455E-4</v>
      </c>
      <c r="AI217" s="137">
        <f>Transportation_LCIA!M$61*($W217^Transportation_LCIA!M$60)+Transportation_LCIA!M$62</f>
        <v>3.3396334311075232E-4</v>
      </c>
      <c r="AJ217" s="137">
        <f>Transportation_LCIA!N$61*($W217^Transportation_LCIA!N$60)+Transportation_LCIA!N$62</f>
        <v>1.5394070125787397E-3</v>
      </c>
      <c r="AK217" s="137">
        <f>Transportation_LCIA!O$61*($W217^Transportation_LCIA!O$60)+Transportation_LCIA!O$62</f>
        <v>8.7348144302915392E-5</v>
      </c>
      <c r="AL217" s="137">
        <f>Transportation_LCIA!P$61*($W217^Transportation_LCIA!P$60)+Transportation_LCIA!P$62</f>
        <v>4.2149249681484652E-8</v>
      </c>
      <c r="AM217" s="137">
        <f>Transportation_LCIA!Q$61*($W217^Transportation_LCIA!Q$60)+Transportation_LCIA!Q$62</f>
        <v>1.5414876345104929E-4</v>
      </c>
      <c r="AN217" s="137">
        <f>Transportation_LCIA!R$61*($W217^Transportation_LCIA!R$60)+Transportation_LCIA!R$62</f>
        <v>4.8520261212265276E-4</v>
      </c>
      <c r="AO217" s="137">
        <f>Transportation_LCIA!S$61*($W217^Transportation_LCIA!S$60)+Transportation_LCIA!S$62</f>
        <v>7.1416605098105525E-6</v>
      </c>
      <c r="AP217" s="137">
        <f>Transportation_LCIA!T$61*($W217^Transportation_LCIA!T$60)+Transportation_LCIA!T$62</f>
        <v>7.1416605098105525E-6</v>
      </c>
      <c r="AQ217" s="137">
        <f>Transportation_LCIA!U$61*($W217^Transportation_LCIA!U$60)+Transportation_LCIA!U$62</f>
        <v>1.0519598834212809E-3</v>
      </c>
      <c r="AR217" s="137">
        <f>Transportation_LCIA!V$61*($W217^Transportation_LCIA!V$60)+Transportation_LCIA!V$62</f>
        <v>4.0137597393638617E-4</v>
      </c>
      <c r="AT217" s="137">
        <f>$W217*Y217+$L217*Summary_LCIA!H$32</f>
        <v>183.27488338315391</v>
      </c>
      <c r="AU217" s="137">
        <f>$W217*Z217+$L217*Summary_LCIA!Q$32</f>
        <v>2026.8861728473939</v>
      </c>
      <c r="AV217" s="137">
        <f>$W217*AA217+$L217*Summary_LCIA!R$32</f>
        <v>1.1975541806186389</v>
      </c>
      <c r="AW217" s="137">
        <f>$W217*AB217+$L217*Summary_LCIA!S$32</f>
        <v>183.07215124315391</v>
      </c>
      <c r="AX217" s="137">
        <f>$W217*AC217+$L217*Summary_LCIA!T$32</f>
        <v>46.95356346527376</v>
      </c>
      <c r="AY217" s="137">
        <f>$W217*AD217+$L217*Summary_LCIA!U$32</f>
        <v>1.0454044763900505</v>
      </c>
      <c r="AZ217" s="137">
        <f>$W217*AE217+$L217*Summary_LCIA!V$32</f>
        <v>7.3211155136305561E-3</v>
      </c>
      <c r="BA217" s="137">
        <f>$W217*AF217+$L217*Summary_LCIA!W$32</f>
        <v>11.17333615834179</v>
      </c>
      <c r="BB217" s="137">
        <f>$W217*AG217+$L217*Summary_LCIA!X$32</f>
        <v>10.256289081249118</v>
      </c>
      <c r="BC217" s="137">
        <f>$W217*AH217+$L217*Summary_LCIA!Y$32</f>
        <v>0.91329811932425597</v>
      </c>
      <c r="BD217" s="137">
        <f>$W217*AI217+$L217*Summary_LCIA!Z$32</f>
        <v>0.17153553658282725</v>
      </c>
      <c r="BE217" s="137">
        <f>$W217*AJ217+$L217*Summary_LCIA!AA$32</f>
        <v>1.853293938792258</v>
      </c>
      <c r="BF217" s="137">
        <f>$W217*AK217+$L217*Summary_LCIA!AB$32</f>
        <v>4.3372215227325789E-2</v>
      </c>
      <c r="BG217" s="137">
        <f>$W217*AL217+$L217*Summary_LCIA!AC$32</f>
        <v>2.3654132525353234E-5</v>
      </c>
      <c r="BH217" s="137">
        <f>$W217*AM217+$L217*Summary_LCIA!AD$32</f>
        <v>9.7161296700022534E-2</v>
      </c>
      <c r="BI217" s="137">
        <f>$W217*AN217+$L217*Summary_LCIA!AE$32</f>
        <v>0.28712879289358739</v>
      </c>
      <c r="BJ217" s="137">
        <f>$W217*AO217+$L217*Summary_LCIA!AF$32</f>
        <v>4.2404868307946812E-2</v>
      </c>
      <c r="BK217" s="137">
        <f>$W217*AP217+$L217*Summary_LCIA!AG$32</f>
        <v>5.9747742229468142E-3</v>
      </c>
      <c r="BL217" s="137">
        <f>$W217*AQ217+$L217*Summary_LCIA!AH$32</f>
        <v>0.9336074171001898</v>
      </c>
      <c r="BM217" s="137">
        <f>$W217*AR217+$L217*Summary_LCIA!AI$32</f>
        <v>0.24662783900999335</v>
      </c>
    </row>
    <row r="218" spans="1:65" x14ac:dyDescent="0.25">
      <c r="A218" s="149">
        <v>273</v>
      </c>
      <c r="B218" s="149">
        <v>43</v>
      </c>
      <c r="C218" s="61">
        <v>45.501688999999999</v>
      </c>
      <c r="D218" s="61">
        <v>-73.567256</v>
      </c>
      <c r="E218" s="61" t="s">
        <v>458</v>
      </c>
      <c r="F218" s="149">
        <v>124</v>
      </c>
      <c r="G218" s="61" t="s">
        <v>654</v>
      </c>
      <c r="H218" s="61" t="s">
        <v>655</v>
      </c>
      <c r="I218" s="61">
        <v>45.465685000000001</v>
      </c>
      <c r="J218" s="61">
        <v>-73.745480999999998</v>
      </c>
      <c r="K218" s="61">
        <v>15.92927869</v>
      </c>
      <c r="L218" s="61">
        <v>19.553999999999998</v>
      </c>
      <c r="M218" s="61" t="s">
        <v>617</v>
      </c>
      <c r="N218" s="149">
        <v>42</v>
      </c>
      <c r="O218" s="149">
        <v>43</v>
      </c>
      <c r="P218" s="61" t="s">
        <v>565</v>
      </c>
      <c r="Q218" s="61" t="s">
        <v>555</v>
      </c>
      <c r="R218" s="61">
        <v>40.6895314</v>
      </c>
      <c r="S218" s="61">
        <v>-74.174462399999996</v>
      </c>
      <c r="T218" s="61">
        <v>604.83699999999999</v>
      </c>
      <c r="U218" s="61" t="s">
        <v>617</v>
      </c>
      <c r="V218" s="61" t="s">
        <v>569</v>
      </c>
      <c r="W218" s="61" cm="1">
        <f t="array" ref="W218">getDistance(I218,J218,R218,S218)*SA!$B$12</f>
        <v>532.70082587978914</v>
      </c>
      <c r="Y218" s="137">
        <f>Transportation_LCIA!C$61*($W218^Transportation_LCIA!C$60)+Transportation_LCIA!C$62</f>
        <v>0.32157602463370416</v>
      </c>
      <c r="Z218" s="137">
        <f>Transportation_LCIA!D$61*($W218^Transportation_LCIA!D$60)+Transportation_LCIA!D$62</f>
        <v>3.4401752281760434</v>
      </c>
      <c r="AA218" s="137">
        <f>Transportation_LCIA!E$61*($W218^Transportation_LCIA!E$60)+Transportation_LCIA!E$62</f>
        <v>1.8141836341962153E-3</v>
      </c>
      <c r="AB218" s="137">
        <f>Transportation_LCIA!F$61*($W218^Transportation_LCIA!F$60)+Transportation_LCIA!F$62</f>
        <v>0.32157602463370416</v>
      </c>
      <c r="AC218" s="137">
        <f>Transportation_LCIA!G$61*($W218^Transportation_LCIA!G$60)+Transportation_LCIA!G$62</f>
        <v>8.0143040676289495E-2</v>
      </c>
      <c r="AD218" s="137">
        <f>Transportation_LCIA!H$61*($W218^Transportation_LCIA!H$60)+Transportation_LCIA!H$62</f>
        <v>4.2530075100495493E-4</v>
      </c>
      <c r="AE218" s="137">
        <f>Transportation_LCIA!I$61*($W218^Transportation_LCIA!I$60)+Transportation_LCIA!I$62</f>
        <v>9.7085338694522006E-6</v>
      </c>
      <c r="AF218" s="137">
        <f>Transportation_LCIA!J$61*($W218^Transportation_LCIA!J$60)+Transportation_LCIA!J$62</f>
        <v>1.4453429332288598E-2</v>
      </c>
      <c r="AG218" s="137">
        <f>Transportation_LCIA!K$61*($W218^Transportation_LCIA!K$60)+Transportation_LCIA!K$62</f>
        <v>1.7573386146825021E-2</v>
      </c>
      <c r="AH218" s="137">
        <f>Transportation_LCIA!L$61*($W218^Transportation_LCIA!L$60)+Transportation_LCIA!L$62</f>
        <v>3.7692466700234696E-4</v>
      </c>
      <c r="AI218" s="137">
        <f>Transportation_LCIA!M$61*($W218^Transportation_LCIA!M$60)+Transportation_LCIA!M$62</f>
        <v>3.2560324687594627E-4</v>
      </c>
      <c r="AJ218" s="137">
        <f>Transportation_LCIA!N$61*($W218^Transportation_LCIA!N$60)+Transportation_LCIA!N$62</f>
        <v>1.4886217992903391E-3</v>
      </c>
      <c r="AK218" s="137">
        <f>Transportation_LCIA!O$61*($W218^Transportation_LCIA!O$60)+Transportation_LCIA!O$62</f>
        <v>8.4836431112135085E-5</v>
      </c>
      <c r="AL218" s="137">
        <f>Transportation_LCIA!P$61*($W218^Transportation_LCIA!P$60)+Transportation_LCIA!P$62</f>
        <v>4.094417350036071E-8</v>
      </c>
      <c r="AM218" s="137">
        <f>Transportation_LCIA!Q$61*($W218^Transportation_LCIA!Q$60)+Transportation_LCIA!Q$62</f>
        <v>1.4864785211779024E-4</v>
      </c>
      <c r="AN218" s="137">
        <f>Transportation_LCIA!R$61*($W218^Transportation_LCIA!R$60)+Transportation_LCIA!R$62</f>
        <v>4.664545941177262E-4</v>
      </c>
      <c r="AO218" s="137">
        <f>Transportation_LCIA!S$61*($W218^Transportation_LCIA!S$60)+Transportation_LCIA!S$62</f>
        <v>6.8758863533443067E-6</v>
      </c>
      <c r="AP218" s="137">
        <f>Transportation_LCIA!T$61*($W218^Transportation_LCIA!T$60)+Transportation_LCIA!T$62</f>
        <v>6.8758863533443067E-6</v>
      </c>
      <c r="AQ218" s="137">
        <f>Transportation_LCIA!U$61*($W218^Transportation_LCIA!U$60)+Transportation_LCIA!U$62</f>
        <v>1.0106481886833722E-3</v>
      </c>
      <c r="AR218" s="137">
        <f>Transportation_LCIA!V$61*($W218^Transportation_LCIA!V$60)+Transportation_LCIA!V$62</f>
        <v>3.8699391574166265E-4</v>
      </c>
      <c r="AT218" s="137">
        <f>$W218*Y218+$L218*Summary_LCIA!H$32</f>
        <v>177.94826310551363</v>
      </c>
      <c r="AU218" s="137">
        <f>$W218*Z218+$L218*Summary_LCIA!Q$32</f>
        <v>1929.4947953874523</v>
      </c>
      <c r="AV218" s="137">
        <f>$W218*AA218+$L218*Summary_LCIA!R$32</f>
        <v>1.0693806626339211</v>
      </c>
      <c r="AW218" s="137">
        <f>$W218*AB218+$L218*Summary_LCIA!S$32</f>
        <v>177.86183442551362</v>
      </c>
      <c r="AX218" s="137">
        <f>$W218*AC218+$L218*Summary_LCIA!T$32</f>
        <v>44.841248556776947</v>
      </c>
      <c r="AY218" s="137">
        <f>$W218*AD218+$L218*Summary_LCIA!U$32</f>
        <v>0.57684841730763403</v>
      </c>
      <c r="AZ218" s="137">
        <f>$W218*AE218+$L218*Summary_LCIA!V$32</f>
        <v>6.1056626043390922E-3</v>
      </c>
      <c r="BA218" s="137">
        <f>$W218*AF218+$L218*Summary_LCIA!W$32</f>
        <v>9.2044446761053056</v>
      </c>
      <c r="BB218" s="137">
        <f>$W218*AG218+$L218*Summary_LCIA!X$32</f>
        <v>9.8067974339181347</v>
      </c>
      <c r="BC218" s="137">
        <f>$W218*AH218+$L218*Summary_LCIA!Y$32</f>
        <v>0.50547850940661465</v>
      </c>
      <c r="BD218" s="137">
        <f>$W218*AI218+$L218*Summary_LCIA!Z$32</f>
        <v>0.17425100850595746</v>
      </c>
      <c r="BE218" s="137">
        <f>$W218*AJ218+$L218*Summary_LCIA!AA$32</f>
        <v>1.2496932859046213</v>
      </c>
      <c r="BF218" s="137">
        <f>$W218*AK218+$L218*Summary_LCIA!AB$32</f>
        <v>4.47657099761282E-2</v>
      </c>
      <c r="BG218" s="137">
        <f>$W218*AL218+$L218*Summary_LCIA!AC$32</f>
        <v>2.2766872774607524E-5</v>
      </c>
      <c r="BH218" s="137">
        <f>$W218*AM218+$L218*Summary_LCIA!AD$32</f>
        <v>8.7222309748403629E-2</v>
      </c>
      <c r="BI218" s="137">
        <f>$W218*AN218+$L218*Summary_LCIA!AE$32</f>
        <v>0.26580813354193455</v>
      </c>
      <c r="BJ218" s="137">
        <f>$W218*AO218+$L218*Summary_LCIA!AF$32</f>
        <v>2.0194133019082083E-2</v>
      </c>
      <c r="BK218" s="137">
        <f>$W218*AP218+$L218*Summary_LCIA!AG$32</f>
        <v>4.6632707490820834E-3</v>
      </c>
      <c r="BL218" s="137">
        <f>$W218*AQ218+$L218*Summary_LCIA!AH$32</f>
        <v>0.70856331918554538</v>
      </c>
      <c r="BM218" s="137">
        <f>$W218*AR218+$L218*Summary_LCIA!AI$32</f>
        <v>0.22436750722603721</v>
      </c>
    </row>
    <row r="219" spans="1:65" x14ac:dyDescent="0.25">
      <c r="A219" s="149">
        <v>274</v>
      </c>
      <c r="B219" s="149">
        <v>43</v>
      </c>
      <c r="C219" s="61">
        <v>45.501688999999999</v>
      </c>
      <c r="D219" s="61">
        <v>-73.567256</v>
      </c>
      <c r="E219" s="61" t="s">
        <v>458</v>
      </c>
      <c r="F219" s="149">
        <v>124</v>
      </c>
      <c r="G219" s="61" t="s">
        <v>654</v>
      </c>
      <c r="H219" s="61" t="s">
        <v>655</v>
      </c>
      <c r="I219" s="61">
        <v>45.465685000000001</v>
      </c>
      <c r="J219" s="61">
        <v>-73.745480999999998</v>
      </c>
      <c r="K219" s="61">
        <v>15.92927869</v>
      </c>
      <c r="L219" s="61">
        <v>19.553999999999998</v>
      </c>
      <c r="M219" s="61" t="s">
        <v>617</v>
      </c>
      <c r="N219" s="149">
        <v>42</v>
      </c>
      <c r="O219" s="149">
        <v>43</v>
      </c>
      <c r="P219" s="61" t="s">
        <v>565</v>
      </c>
      <c r="Q219" s="61" t="s">
        <v>555</v>
      </c>
      <c r="R219" s="61">
        <v>40.6895314</v>
      </c>
      <c r="S219" s="61">
        <v>-74.174462399999996</v>
      </c>
      <c r="T219" s="61">
        <v>604.83699999999999</v>
      </c>
      <c r="U219" s="61" t="s">
        <v>617</v>
      </c>
      <c r="V219" s="61" t="s">
        <v>569</v>
      </c>
      <c r="W219" s="61" cm="1">
        <f t="array" ref="W219">getDistance(I219,J219,R219,S219)*SA!$B$12</f>
        <v>532.70082587978914</v>
      </c>
      <c r="Y219" s="137">
        <f>Transportation_LCIA!C$61*($W219^Transportation_LCIA!C$60)+Transportation_LCIA!C$62</f>
        <v>0.32157602463370416</v>
      </c>
      <c r="Z219" s="137">
        <f>Transportation_LCIA!D$61*($W219^Transportation_LCIA!D$60)+Transportation_LCIA!D$62</f>
        <v>3.4401752281760434</v>
      </c>
      <c r="AA219" s="137">
        <f>Transportation_LCIA!E$61*($W219^Transportation_LCIA!E$60)+Transportation_LCIA!E$62</f>
        <v>1.8141836341962153E-3</v>
      </c>
      <c r="AB219" s="137">
        <f>Transportation_LCIA!F$61*($W219^Transportation_LCIA!F$60)+Transportation_LCIA!F$62</f>
        <v>0.32157602463370416</v>
      </c>
      <c r="AC219" s="137">
        <f>Transportation_LCIA!G$61*($W219^Transportation_LCIA!G$60)+Transportation_LCIA!G$62</f>
        <v>8.0143040676289495E-2</v>
      </c>
      <c r="AD219" s="137">
        <f>Transportation_LCIA!H$61*($W219^Transportation_LCIA!H$60)+Transportation_LCIA!H$62</f>
        <v>4.2530075100495493E-4</v>
      </c>
      <c r="AE219" s="137">
        <f>Transportation_LCIA!I$61*($W219^Transportation_LCIA!I$60)+Transportation_LCIA!I$62</f>
        <v>9.7085338694522006E-6</v>
      </c>
      <c r="AF219" s="137">
        <f>Transportation_LCIA!J$61*($W219^Transportation_LCIA!J$60)+Transportation_LCIA!J$62</f>
        <v>1.4453429332288598E-2</v>
      </c>
      <c r="AG219" s="137">
        <f>Transportation_LCIA!K$61*($W219^Transportation_LCIA!K$60)+Transportation_LCIA!K$62</f>
        <v>1.7573386146825021E-2</v>
      </c>
      <c r="AH219" s="137">
        <f>Transportation_LCIA!L$61*($W219^Transportation_LCIA!L$60)+Transportation_LCIA!L$62</f>
        <v>3.7692466700234696E-4</v>
      </c>
      <c r="AI219" s="137">
        <f>Transportation_LCIA!M$61*($W219^Transportation_LCIA!M$60)+Transportation_LCIA!M$62</f>
        <v>3.2560324687594627E-4</v>
      </c>
      <c r="AJ219" s="137">
        <f>Transportation_LCIA!N$61*($W219^Transportation_LCIA!N$60)+Transportation_LCIA!N$62</f>
        <v>1.4886217992903391E-3</v>
      </c>
      <c r="AK219" s="137">
        <f>Transportation_LCIA!O$61*($W219^Transportation_LCIA!O$60)+Transportation_LCIA!O$62</f>
        <v>8.4836431112135085E-5</v>
      </c>
      <c r="AL219" s="137">
        <f>Transportation_LCIA!P$61*($W219^Transportation_LCIA!P$60)+Transportation_LCIA!P$62</f>
        <v>4.094417350036071E-8</v>
      </c>
      <c r="AM219" s="137">
        <f>Transportation_LCIA!Q$61*($W219^Transportation_LCIA!Q$60)+Transportation_LCIA!Q$62</f>
        <v>1.4864785211779024E-4</v>
      </c>
      <c r="AN219" s="137">
        <f>Transportation_LCIA!R$61*($W219^Transportation_LCIA!R$60)+Transportation_LCIA!R$62</f>
        <v>4.664545941177262E-4</v>
      </c>
      <c r="AO219" s="137">
        <f>Transportation_LCIA!S$61*($W219^Transportation_LCIA!S$60)+Transportation_LCIA!S$62</f>
        <v>6.8758863533443067E-6</v>
      </c>
      <c r="AP219" s="137">
        <f>Transportation_LCIA!T$61*($W219^Transportation_LCIA!T$60)+Transportation_LCIA!T$62</f>
        <v>6.8758863533443067E-6</v>
      </c>
      <c r="AQ219" s="137">
        <f>Transportation_LCIA!U$61*($W219^Transportation_LCIA!U$60)+Transportation_LCIA!U$62</f>
        <v>1.0106481886833722E-3</v>
      </c>
      <c r="AR219" s="137">
        <f>Transportation_LCIA!V$61*($W219^Transportation_LCIA!V$60)+Transportation_LCIA!V$62</f>
        <v>3.8699391574166265E-4</v>
      </c>
      <c r="AT219" s="137">
        <f>$W219*Y219+$L219*Summary_LCIA!H$32</f>
        <v>177.94826310551363</v>
      </c>
      <c r="AU219" s="137">
        <f>$W219*Z219+$L219*Summary_LCIA!Q$32</f>
        <v>1929.4947953874523</v>
      </c>
      <c r="AV219" s="137">
        <f>$W219*AA219+$L219*Summary_LCIA!R$32</f>
        <v>1.0693806626339211</v>
      </c>
      <c r="AW219" s="137">
        <f>$W219*AB219+$L219*Summary_LCIA!S$32</f>
        <v>177.86183442551362</v>
      </c>
      <c r="AX219" s="137">
        <f>$W219*AC219+$L219*Summary_LCIA!T$32</f>
        <v>44.841248556776947</v>
      </c>
      <c r="AY219" s="137">
        <f>$W219*AD219+$L219*Summary_LCIA!U$32</f>
        <v>0.57684841730763403</v>
      </c>
      <c r="AZ219" s="137">
        <f>$W219*AE219+$L219*Summary_LCIA!V$32</f>
        <v>6.1056626043390922E-3</v>
      </c>
      <c r="BA219" s="137">
        <f>$W219*AF219+$L219*Summary_LCIA!W$32</f>
        <v>9.2044446761053056</v>
      </c>
      <c r="BB219" s="137">
        <f>$W219*AG219+$L219*Summary_LCIA!X$32</f>
        <v>9.8067974339181347</v>
      </c>
      <c r="BC219" s="137">
        <f>$W219*AH219+$L219*Summary_LCIA!Y$32</f>
        <v>0.50547850940661465</v>
      </c>
      <c r="BD219" s="137">
        <f>$W219*AI219+$L219*Summary_LCIA!Z$32</f>
        <v>0.17425100850595746</v>
      </c>
      <c r="BE219" s="137">
        <f>$W219*AJ219+$L219*Summary_LCIA!AA$32</f>
        <v>1.2496932859046213</v>
      </c>
      <c r="BF219" s="137">
        <f>$W219*AK219+$L219*Summary_LCIA!AB$32</f>
        <v>4.47657099761282E-2</v>
      </c>
      <c r="BG219" s="137">
        <f>$W219*AL219+$L219*Summary_LCIA!AC$32</f>
        <v>2.2766872774607524E-5</v>
      </c>
      <c r="BH219" s="137">
        <f>$W219*AM219+$L219*Summary_LCIA!AD$32</f>
        <v>8.7222309748403629E-2</v>
      </c>
      <c r="BI219" s="137">
        <f>$W219*AN219+$L219*Summary_LCIA!AE$32</f>
        <v>0.26580813354193455</v>
      </c>
      <c r="BJ219" s="137">
        <f>$W219*AO219+$L219*Summary_LCIA!AF$32</f>
        <v>2.0194133019082083E-2</v>
      </c>
      <c r="BK219" s="137">
        <f>$W219*AP219+$L219*Summary_LCIA!AG$32</f>
        <v>4.6632707490820834E-3</v>
      </c>
      <c r="BL219" s="137">
        <f>$W219*AQ219+$L219*Summary_LCIA!AH$32</f>
        <v>0.70856331918554538</v>
      </c>
      <c r="BM219" s="137">
        <f>$W219*AR219+$L219*Summary_LCIA!AI$32</f>
        <v>0.22436750722603721</v>
      </c>
    </row>
    <row r="220" spans="1:65" x14ac:dyDescent="0.25">
      <c r="A220" s="149">
        <v>275</v>
      </c>
      <c r="B220" s="149">
        <v>43</v>
      </c>
      <c r="C220" s="61">
        <v>45.501688999999999</v>
      </c>
      <c r="D220" s="61">
        <v>-73.567256</v>
      </c>
      <c r="E220" s="61" t="s">
        <v>458</v>
      </c>
      <c r="F220" s="149">
        <v>124</v>
      </c>
      <c r="G220" s="61" t="s">
        <v>654</v>
      </c>
      <c r="H220" s="61" t="s">
        <v>655</v>
      </c>
      <c r="I220" s="61">
        <v>45.465685000000001</v>
      </c>
      <c r="J220" s="61">
        <v>-73.745480999999998</v>
      </c>
      <c r="K220" s="61">
        <v>15.92927869</v>
      </c>
      <c r="L220" s="61">
        <v>19.553999999999998</v>
      </c>
      <c r="M220" s="61" t="s">
        <v>617</v>
      </c>
      <c r="N220" s="149">
        <v>42</v>
      </c>
      <c r="O220" s="149">
        <v>43</v>
      </c>
      <c r="P220" s="61" t="s">
        <v>565</v>
      </c>
      <c r="Q220" s="61" t="s">
        <v>555</v>
      </c>
      <c r="R220" s="61">
        <v>40.6895314</v>
      </c>
      <c r="S220" s="61">
        <v>-74.174462399999996</v>
      </c>
      <c r="T220" s="61">
        <v>604.83699999999999</v>
      </c>
      <c r="U220" s="61" t="s">
        <v>617</v>
      </c>
      <c r="V220" s="61" t="s">
        <v>569</v>
      </c>
      <c r="W220" s="61" cm="1">
        <f t="array" ref="W220">getDistance(I220,J220,R220,S220)*SA!$B$12</f>
        <v>532.70082587978914</v>
      </c>
      <c r="Y220" s="137">
        <f>Transportation_LCIA!C$61*($W220^Transportation_LCIA!C$60)+Transportation_LCIA!C$62</f>
        <v>0.32157602463370416</v>
      </c>
      <c r="Z220" s="137">
        <f>Transportation_LCIA!D$61*($W220^Transportation_LCIA!D$60)+Transportation_LCIA!D$62</f>
        <v>3.4401752281760434</v>
      </c>
      <c r="AA220" s="137">
        <f>Transportation_LCIA!E$61*($W220^Transportation_LCIA!E$60)+Transportation_LCIA!E$62</f>
        <v>1.8141836341962153E-3</v>
      </c>
      <c r="AB220" s="137">
        <f>Transportation_LCIA!F$61*($W220^Transportation_LCIA!F$60)+Transportation_LCIA!F$62</f>
        <v>0.32157602463370416</v>
      </c>
      <c r="AC220" s="137">
        <f>Transportation_LCIA!G$61*($W220^Transportation_LCIA!G$60)+Transportation_LCIA!G$62</f>
        <v>8.0143040676289495E-2</v>
      </c>
      <c r="AD220" s="137">
        <f>Transportation_LCIA!H$61*($W220^Transportation_LCIA!H$60)+Transportation_LCIA!H$62</f>
        <v>4.2530075100495493E-4</v>
      </c>
      <c r="AE220" s="137">
        <f>Transportation_LCIA!I$61*($W220^Transportation_LCIA!I$60)+Transportation_LCIA!I$62</f>
        <v>9.7085338694522006E-6</v>
      </c>
      <c r="AF220" s="137">
        <f>Transportation_LCIA!J$61*($W220^Transportation_LCIA!J$60)+Transportation_LCIA!J$62</f>
        <v>1.4453429332288598E-2</v>
      </c>
      <c r="AG220" s="137">
        <f>Transportation_LCIA!K$61*($W220^Transportation_LCIA!K$60)+Transportation_LCIA!K$62</f>
        <v>1.7573386146825021E-2</v>
      </c>
      <c r="AH220" s="137">
        <f>Transportation_LCIA!L$61*($W220^Transportation_LCIA!L$60)+Transportation_LCIA!L$62</f>
        <v>3.7692466700234696E-4</v>
      </c>
      <c r="AI220" s="137">
        <f>Transportation_LCIA!M$61*($W220^Transportation_LCIA!M$60)+Transportation_LCIA!M$62</f>
        <v>3.2560324687594627E-4</v>
      </c>
      <c r="AJ220" s="137">
        <f>Transportation_LCIA!N$61*($W220^Transportation_LCIA!N$60)+Transportation_LCIA!N$62</f>
        <v>1.4886217992903391E-3</v>
      </c>
      <c r="AK220" s="137">
        <f>Transportation_LCIA!O$61*($W220^Transportation_LCIA!O$60)+Transportation_LCIA!O$62</f>
        <v>8.4836431112135085E-5</v>
      </c>
      <c r="AL220" s="137">
        <f>Transportation_LCIA!P$61*($W220^Transportation_LCIA!P$60)+Transportation_LCIA!P$62</f>
        <v>4.094417350036071E-8</v>
      </c>
      <c r="AM220" s="137">
        <f>Transportation_LCIA!Q$61*($W220^Transportation_LCIA!Q$60)+Transportation_LCIA!Q$62</f>
        <v>1.4864785211779024E-4</v>
      </c>
      <c r="AN220" s="137">
        <f>Transportation_LCIA!R$61*($W220^Transportation_LCIA!R$60)+Transportation_LCIA!R$62</f>
        <v>4.664545941177262E-4</v>
      </c>
      <c r="AO220" s="137">
        <f>Transportation_LCIA!S$61*($W220^Transportation_LCIA!S$60)+Transportation_LCIA!S$62</f>
        <v>6.8758863533443067E-6</v>
      </c>
      <c r="AP220" s="137">
        <f>Transportation_LCIA!T$61*($W220^Transportation_LCIA!T$60)+Transportation_LCIA!T$62</f>
        <v>6.8758863533443067E-6</v>
      </c>
      <c r="AQ220" s="137">
        <f>Transportation_LCIA!U$61*($W220^Transportation_LCIA!U$60)+Transportation_LCIA!U$62</f>
        <v>1.0106481886833722E-3</v>
      </c>
      <c r="AR220" s="137">
        <f>Transportation_LCIA!V$61*($W220^Transportation_LCIA!V$60)+Transportation_LCIA!V$62</f>
        <v>3.8699391574166265E-4</v>
      </c>
      <c r="AT220" s="137">
        <f>$W220*Y220+$L220*Summary_LCIA!H$32</f>
        <v>177.94826310551363</v>
      </c>
      <c r="AU220" s="137">
        <f>$W220*Z220+$L220*Summary_LCIA!Q$32</f>
        <v>1929.4947953874523</v>
      </c>
      <c r="AV220" s="137">
        <f>$W220*AA220+$L220*Summary_LCIA!R$32</f>
        <v>1.0693806626339211</v>
      </c>
      <c r="AW220" s="137">
        <f>$W220*AB220+$L220*Summary_LCIA!S$32</f>
        <v>177.86183442551362</v>
      </c>
      <c r="AX220" s="137">
        <f>$W220*AC220+$L220*Summary_LCIA!T$32</f>
        <v>44.841248556776947</v>
      </c>
      <c r="AY220" s="137">
        <f>$W220*AD220+$L220*Summary_LCIA!U$32</f>
        <v>0.57684841730763403</v>
      </c>
      <c r="AZ220" s="137">
        <f>$W220*AE220+$L220*Summary_LCIA!V$32</f>
        <v>6.1056626043390922E-3</v>
      </c>
      <c r="BA220" s="137">
        <f>$W220*AF220+$L220*Summary_LCIA!W$32</f>
        <v>9.2044446761053056</v>
      </c>
      <c r="BB220" s="137">
        <f>$W220*AG220+$L220*Summary_LCIA!X$32</f>
        <v>9.8067974339181347</v>
      </c>
      <c r="BC220" s="137">
        <f>$W220*AH220+$L220*Summary_LCIA!Y$32</f>
        <v>0.50547850940661465</v>
      </c>
      <c r="BD220" s="137">
        <f>$W220*AI220+$L220*Summary_LCIA!Z$32</f>
        <v>0.17425100850595746</v>
      </c>
      <c r="BE220" s="137">
        <f>$W220*AJ220+$L220*Summary_LCIA!AA$32</f>
        <v>1.2496932859046213</v>
      </c>
      <c r="BF220" s="137">
        <f>$W220*AK220+$L220*Summary_LCIA!AB$32</f>
        <v>4.47657099761282E-2</v>
      </c>
      <c r="BG220" s="137">
        <f>$W220*AL220+$L220*Summary_LCIA!AC$32</f>
        <v>2.2766872774607524E-5</v>
      </c>
      <c r="BH220" s="137">
        <f>$W220*AM220+$L220*Summary_LCIA!AD$32</f>
        <v>8.7222309748403629E-2</v>
      </c>
      <c r="BI220" s="137">
        <f>$W220*AN220+$L220*Summary_LCIA!AE$32</f>
        <v>0.26580813354193455</v>
      </c>
      <c r="BJ220" s="137">
        <f>$W220*AO220+$L220*Summary_LCIA!AF$32</f>
        <v>2.0194133019082083E-2</v>
      </c>
      <c r="BK220" s="137">
        <f>$W220*AP220+$L220*Summary_LCIA!AG$32</f>
        <v>4.6632707490820834E-3</v>
      </c>
      <c r="BL220" s="137">
        <f>$W220*AQ220+$L220*Summary_LCIA!AH$32</f>
        <v>0.70856331918554538</v>
      </c>
      <c r="BM220" s="137">
        <f>$W220*AR220+$L220*Summary_LCIA!AI$32</f>
        <v>0.22436750722603721</v>
      </c>
    </row>
    <row r="221" spans="1:65" x14ac:dyDescent="0.25">
      <c r="A221" s="149">
        <v>276</v>
      </c>
      <c r="B221" s="149">
        <v>43</v>
      </c>
      <c r="C221" s="61">
        <v>45.501688999999999</v>
      </c>
      <c r="D221" s="61">
        <v>-73.567256</v>
      </c>
      <c r="E221" s="61" t="s">
        <v>458</v>
      </c>
      <c r="F221" s="149">
        <v>124</v>
      </c>
      <c r="G221" s="61" t="s">
        <v>654</v>
      </c>
      <c r="H221" s="61" t="s">
        <v>655</v>
      </c>
      <c r="I221" s="61">
        <v>45.465685000000001</v>
      </c>
      <c r="J221" s="61">
        <v>-73.745480999999998</v>
      </c>
      <c r="K221" s="61">
        <v>15.92927869</v>
      </c>
      <c r="L221" s="61">
        <v>19.553999999999998</v>
      </c>
      <c r="M221" s="61" t="s">
        <v>617</v>
      </c>
      <c r="N221" s="149">
        <v>42</v>
      </c>
      <c r="O221" s="149">
        <v>43</v>
      </c>
      <c r="P221" s="61" t="s">
        <v>565</v>
      </c>
      <c r="Q221" s="61" t="s">
        <v>555</v>
      </c>
      <c r="R221" s="61">
        <v>40.6895314</v>
      </c>
      <c r="S221" s="61">
        <v>-74.174462399999996</v>
      </c>
      <c r="T221" s="61">
        <v>604.83699999999999</v>
      </c>
      <c r="U221" s="61" t="s">
        <v>617</v>
      </c>
      <c r="V221" s="61" t="s">
        <v>569</v>
      </c>
      <c r="W221" s="61" cm="1">
        <f t="array" ref="W221">getDistance(I221,J221,R221,S221)*SA!$B$12</f>
        <v>532.70082587978914</v>
      </c>
      <c r="Y221" s="137">
        <f>Transportation_LCIA!C$61*($W221^Transportation_LCIA!C$60)+Transportation_LCIA!C$62</f>
        <v>0.32157602463370416</v>
      </c>
      <c r="Z221" s="137">
        <f>Transportation_LCIA!D$61*($W221^Transportation_LCIA!D$60)+Transportation_LCIA!D$62</f>
        <v>3.4401752281760434</v>
      </c>
      <c r="AA221" s="137">
        <f>Transportation_LCIA!E$61*($W221^Transportation_LCIA!E$60)+Transportation_LCIA!E$62</f>
        <v>1.8141836341962153E-3</v>
      </c>
      <c r="AB221" s="137">
        <f>Transportation_LCIA!F$61*($W221^Transportation_LCIA!F$60)+Transportation_LCIA!F$62</f>
        <v>0.32157602463370416</v>
      </c>
      <c r="AC221" s="137">
        <f>Transportation_LCIA!G$61*($W221^Transportation_LCIA!G$60)+Transportation_LCIA!G$62</f>
        <v>8.0143040676289495E-2</v>
      </c>
      <c r="AD221" s="137">
        <f>Transportation_LCIA!H$61*($W221^Transportation_LCIA!H$60)+Transportation_LCIA!H$62</f>
        <v>4.2530075100495493E-4</v>
      </c>
      <c r="AE221" s="137">
        <f>Transportation_LCIA!I$61*($W221^Transportation_LCIA!I$60)+Transportation_LCIA!I$62</f>
        <v>9.7085338694522006E-6</v>
      </c>
      <c r="AF221" s="137">
        <f>Transportation_LCIA!J$61*($W221^Transportation_LCIA!J$60)+Transportation_LCIA!J$62</f>
        <v>1.4453429332288598E-2</v>
      </c>
      <c r="AG221" s="137">
        <f>Transportation_LCIA!K$61*($W221^Transportation_LCIA!K$60)+Transportation_LCIA!K$62</f>
        <v>1.7573386146825021E-2</v>
      </c>
      <c r="AH221" s="137">
        <f>Transportation_LCIA!L$61*($W221^Transportation_LCIA!L$60)+Transportation_LCIA!L$62</f>
        <v>3.7692466700234696E-4</v>
      </c>
      <c r="AI221" s="137">
        <f>Transportation_LCIA!M$61*($W221^Transportation_LCIA!M$60)+Transportation_LCIA!M$62</f>
        <v>3.2560324687594627E-4</v>
      </c>
      <c r="AJ221" s="137">
        <f>Transportation_LCIA!N$61*($W221^Transportation_LCIA!N$60)+Transportation_LCIA!N$62</f>
        <v>1.4886217992903391E-3</v>
      </c>
      <c r="AK221" s="137">
        <f>Transportation_LCIA!O$61*($W221^Transportation_LCIA!O$60)+Transportation_LCIA!O$62</f>
        <v>8.4836431112135085E-5</v>
      </c>
      <c r="AL221" s="137">
        <f>Transportation_LCIA!P$61*($W221^Transportation_LCIA!P$60)+Transportation_LCIA!P$62</f>
        <v>4.094417350036071E-8</v>
      </c>
      <c r="AM221" s="137">
        <f>Transportation_LCIA!Q$61*($W221^Transportation_LCIA!Q$60)+Transportation_LCIA!Q$62</f>
        <v>1.4864785211779024E-4</v>
      </c>
      <c r="AN221" s="137">
        <f>Transportation_LCIA!R$61*($W221^Transportation_LCIA!R$60)+Transportation_LCIA!R$62</f>
        <v>4.664545941177262E-4</v>
      </c>
      <c r="AO221" s="137">
        <f>Transportation_LCIA!S$61*($W221^Transportation_LCIA!S$60)+Transportation_LCIA!S$62</f>
        <v>6.8758863533443067E-6</v>
      </c>
      <c r="AP221" s="137">
        <f>Transportation_LCIA!T$61*($W221^Transportation_LCIA!T$60)+Transportation_LCIA!T$62</f>
        <v>6.8758863533443067E-6</v>
      </c>
      <c r="AQ221" s="137">
        <f>Transportation_LCIA!U$61*($W221^Transportation_LCIA!U$60)+Transportation_LCIA!U$62</f>
        <v>1.0106481886833722E-3</v>
      </c>
      <c r="AR221" s="137">
        <f>Transportation_LCIA!V$61*($W221^Transportation_LCIA!V$60)+Transportation_LCIA!V$62</f>
        <v>3.8699391574166265E-4</v>
      </c>
      <c r="AT221" s="137">
        <f>$W221*Y221+$L221*Summary_LCIA!H$32</f>
        <v>177.94826310551363</v>
      </c>
      <c r="AU221" s="137">
        <f>$W221*Z221+$L221*Summary_LCIA!Q$32</f>
        <v>1929.4947953874523</v>
      </c>
      <c r="AV221" s="137">
        <f>$W221*AA221+$L221*Summary_LCIA!R$32</f>
        <v>1.0693806626339211</v>
      </c>
      <c r="AW221" s="137">
        <f>$W221*AB221+$L221*Summary_LCIA!S$32</f>
        <v>177.86183442551362</v>
      </c>
      <c r="AX221" s="137">
        <f>$W221*AC221+$L221*Summary_LCIA!T$32</f>
        <v>44.841248556776947</v>
      </c>
      <c r="AY221" s="137">
        <f>$W221*AD221+$L221*Summary_LCIA!U$32</f>
        <v>0.57684841730763403</v>
      </c>
      <c r="AZ221" s="137">
        <f>$W221*AE221+$L221*Summary_LCIA!V$32</f>
        <v>6.1056626043390922E-3</v>
      </c>
      <c r="BA221" s="137">
        <f>$W221*AF221+$L221*Summary_LCIA!W$32</f>
        <v>9.2044446761053056</v>
      </c>
      <c r="BB221" s="137">
        <f>$W221*AG221+$L221*Summary_LCIA!X$32</f>
        <v>9.8067974339181347</v>
      </c>
      <c r="BC221" s="137">
        <f>$W221*AH221+$L221*Summary_LCIA!Y$32</f>
        <v>0.50547850940661465</v>
      </c>
      <c r="BD221" s="137">
        <f>$W221*AI221+$L221*Summary_LCIA!Z$32</f>
        <v>0.17425100850595746</v>
      </c>
      <c r="BE221" s="137">
        <f>$W221*AJ221+$L221*Summary_LCIA!AA$32</f>
        <v>1.2496932859046213</v>
      </c>
      <c r="BF221" s="137">
        <f>$W221*AK221+$L221*Summary_LCIA!AB$32</f>
        <v>4.47657099761282E-2</v>
      </c>
      <c r="BG221" s="137">
        <f>$W221*AL221+$L221*Summary_LCIA!AC$32</f>
        <v>2.2766872774607524E-5</v>
      </c>
      <c r="BH221" s="137">
        <f>$W221*AM221+$L221*Summary_LCIA!AD$32</f>
        <v>8.7222309748403629E-2</v>
      </c>
      <c r="BI221" s="137">
        <f>$W221*AN221+$L221*Summary_LCIA!AE$32</f>
        <v>0.26580813354193455</v>
      </c>
      <c r="BJ221" s="137">
        <f>$W221*AO221+$L221*Summary_LCIA!AF$32</f>
        <v>2.0194133019082083E-2</v>
      </c>
      <c r="BK221" s="137">
        <f>$W221*AP221+$L221*Summary_LCIA!AG$32</f>
        <v>4.6632707490820834E-3</v>
      </c>
      <c r="BL221" s="137">
        <f>$W221*AQ221+$L221*Summary_LCIA!AH$32</f>
        <v>0.70856331918554538</v>
      </c>
      <c r="BM221" s="137">
        <f>$W221*AR221+$L221*Summary_LCIA!AI$32</f>
        <v>0.22436750722603721</v>
      </c>
    </row>
    <row r="222" spans="1:65" x14ac:dyDescent="0.25">
      <c r="A222" s="149">
        <v>277</v>
      </c>
      <c r="B222" s="149">
        <v>43</v>
      </c>
      <c r="C222" s="61">
        <v>45.501688999999999</v>
      </c>
      <c r="D222" s="61">
        <v>-73.567256</v>
      </c>
      <c r="E222" s="61" t="s">
        <v>458</v>
      </c>
      <c r="F222" s="149">
        <v>124</v>
      </c>
      <c r="G222" s="61" t="s">
        <v>654</v>
      </c>
      <c r="H222" s="61" t="s">
        <v>655</v>
      </c>
      <c r="I222" s="61">
        <v>45.465685000000001</v>
      </c>
      <c r="J222" s="61">
        <v>-73.745480999999998</v>
      </c>
      <c r="K222" s="61">
        <v>15.92927869</v>
      </c>
      <c r="L222" s="61">
        <v>19.553999999999998</v>
      </c>
      <c r="M222" s="61" t="s">
        <v>617</v>
      </c>
      <c r="N222" s="149">
        <v>42</v>
      </c>
      <c r="O222" s="149">
        <v>43</v>
      </c>
      <c r="P222" s="61" t="s">
        <v>565</v>
      </c>
      <c r="Q222" s="61" t="s">
        <v>555</v>
      </c>
      <c r="R222" s="61">
        <v>40.6895314</v>
      </c>
      <c r="S222" s="61">
        <v>-74.174462399999996</v>
      </c>
      <c r="T222" s="61">
        <v>604.83699999999999</v>
      </c>
      <c r="U222" s="61" t="s">
        <v>617</v>
      </c>
      <c r="V222" s="61" t="s">
        <v>569</v>
      </c>
      <c r="W222" s="61" cm="1">
        <f t="array" ref="W222">getDistance(I222,J222,R222,S222)*SA!$B$12</f>
        <v>532.70082587978914</v>
      </c>
      <c r="Y222" s="137">
        <f>Transportation_LCIA!C$61*($W222^Transportation_LCIA!C$60)+Transportation_LCIA!C$62</f>
        <v>0.32157602463370416</v>
      </c>
      <c r="Z222" s="137">
        <f>Transportation_LCIA!D$61*($W222^Transportation_LCIA!D$60)+Transportation_LCIA!D$62</f>
        <v>3.4401752281760434</v>
      </c>
      <c r="AA222" s="137">
        <f>Transportation_LCIA!E$61*($W222^Transportation_LCIA!E$60)+Transportation_LCIA!E$62</f>
        <v>1.8141836341962153E-3</v>
      </c>
      <c r="AB222" s="137">
        <f>Transportation_LCIA!F$61*($W222^Transportation_LCIA!F$60)+Transportation_LCIA!F$62</f>
        <v>0.32157602463370416</v>
      </c>
      <c r="AC222" s="137">
        <f>Transportation_LCIA!G$61*($W222^Transportation_LCIA!G$60)+Transportation_LCIA!G$62</f>
        <v>8.0143040676289495E-2</v>
      </c>
      <c r="AD222" s="137">
        <f>Transportation_LCIA!H$61*($W222^Transportation_LCIA!H$60)+Transportation_LCIA!H$62</f>
        <v>4.2530075100495493E-4</v>
      </c>
      <c r="AE222" s="137">
        <f>Transportation_LCIA!I$61*($W222^Transportation_LCIA!I$60)+Transportation_LCIA!I$62</f>
        <v>9.7085338694522006E-6</v>
      </c>
      <c r="AF222" s="137">
        <f>Transportation_LCIA!J$61*($W222^Transportation_LCIA!J$60)+Transportation_LCIA!J$62</f>
        <v>1.4453429332288598E-2</v>
      </c>
      <c r="AG222" s="137">
        <f>Transportation_LCIA!K$61*($W222^Transportation_LCIA!K$60)+Transportation_LCIA!K$62</f>
        <v>1.7573386146825021E-2</v>
      </c>
      <c r="AH222" s="137">
        <f>Transportation_LCIA!L$61*($W222^Transportation_LCIA!L$60)+Transportation_LCIA!L$62</f>
        <v>3.7692466700234696E-4</v>
      </c>
      <c r="AI222" s="137">
        <f>Transportation_LCIA!M$61*($W222^Transportation_LCIA!M$60)+Transportation_LCIA!M$62</f>
        <v>3.2560324687594627E-4</v>
      </c>
      <c r="AJ222" s="137">
        <f>Transportation_LCIA!N$61*($W222^Transportation_LCIA!N$60)+Transportation_LCIA!N$62</f>
        <v>1.4886217992903391E-3</v>
      </c>
      <c r="AK222" s="137">
        <f>Transportation_LCIA!O$61*($W222^Transportation_LCIA!O$60)+Transportation_LCIA!O$62</f>
        <v>8.4836431112135085E-5</v>
      </c>
      <c r="AL222" s="137">
        <f>Transportation_LCIA!P$61*($W222^Transportation_LCIA!P$60)+Transportation_LCIA!P$62</f>
        <v>4.094417350036071E-8</v>
      </c>
      <c r="AM222" s="137">
        <f>Transportation_LCIA!Q$61*($W222^Transportation_LCIA!Q$60)+Transportation_LCIA!Q$62</f>
        <v>1.4864785211779024E-4</v>
      </c>
      <c r="AN222" s="137">
        <f>Transportation_LCIA!R$61*($W222^Transportation_LCIA!R$60)+Transportation_LCIA!R$62</f>
        <v>4.664545941177262E-4</v>
      </c>
      <c r="AO222" s="137">
        <f>Transportation_LCIA!S$61*($W222^Transportation_LCIA!S$60)+Transportation_LCIA!S$62</f>
        <v>6.8758863533443067E-6</v>
      </c>
      <c r="AP222" s="137">
        <f>Transportation_LCIA!T$61*($W222^Transportation_LCIA!T$60)+Transportation_LCIA!T$62</f>
        <v>6.8758863533443067E-6</v>
      </c>
      <c r="AQ222" s="137">
        <f>Transportation_LCIA!U$61*($W222^Transportation_LCIA!U$60)+Transportation_LCIA!U$62</f>
        <v>1.0106481886833722E-3</v>
      </c>
      <c r="AR222" s="137">
        <f>Transportation_LCIA!V$61*($W222^Transportation_LCIA!V$60)+Transportation_LCIA!V$62</f>
        <v>3.8699391574166265E-4</v>
      </c>
      <c r="AT222" s="137">
        <f>$W222*Y222+$L222*Summary_LCIA!H$32</f>
        <v>177.94826310551363</v>
      </c>
      <c r="AU222" s="137">
        <f>$W222*Z222+$L222*Summary_LCIA!Q$32</f>
        <v>1929.4947953874523</v>
      </c>
      <c r="AV222" s="137">
        <f>$W222*AA222+$L222*Summary_LCIA!R$32</f>
        <v>1.0693806626339211</v>
      </c>
      <c r="AW222" s="137">
        <f>$W222*AB222+$L222*Summary_LCIA!S$32</f>
        <v>177.86183442551362</v>
      </c>
      <c r="AX222" s="137">
        <f>$W222*AC222+$L222*Summary_LCIA!T$32</f>
        <v>44.841248556776947</v>
      </c>
      <c r="AY222" s="137">
        <f>$W222*AD222+$L222*Summary_LCIA!U$32</f>
        <v>0.57684841730763403</v>
      </c>
      <c r="AZ222" s="137">
        <f>$W222*AE222+$L222*Summary_LCIA!V$32</f>
        <v>6.1056626043390922E-3</v>
      </c>
      <c r="BA222" s="137">
        <f>$W222*AF222+$L222*Summary_LCIA!W$32</f>
        <v>9.2044446761053056</v>
      </c>
      <c r="BB222" s="137">
        <f>$W222*AG222+$L222*Summary_LCIA!X$32</f>
        <v>9.8067974339181347</v>
      </c>
      <c r="BC222" s="137">
        <f>$W222*AH222+$L222*Summary_LCIA!Y$32</f>
        <v>0.50547850940661465</v>
      </c>
      <c r="BD222" s="137">
        <f>$W222*AI222+$L222*Summary_LCIA!Z$32</f>
        <v>0.17425100850595746</v>
      </c>
      <c r="BE222" s="137">
        <f>$W222*AJ222+$L222*Summary_LCIA!AA$32</f>
        <v>1.2496932859046213</v>
      </c>
      <c r="BF222" s="137">
        <f>$W222*AK222+$L222*Summary_LCIA!AB$32</f>
        <v>4.47657099761282E-2</v>
      </c>
      <c r="BG222" s="137">
        <f>$W222*AL222+$L222*Summary_LCIA!AC$32</f>
        <v>2.2766872774607524E-5</v>
      </c>
      <c r="BH222" s="137">
        <f>$W222*AM222+$L222*Summary_LCIA!AD$32</f>
        <v>8.7222309748403629E-2</v>
      </c>
      <c r="BI222" s="137">
        <f>$W222*AN222+$L222*Summary_LCIA!AE$32</f>
        <v>0.26580813354193455</v>
      </c>
      <c r="BJ222" s="137">
        <f>$W222*AO222+$L222*Summary_LCIA!AF$32</f>
        <v>2.0194133019082083E-2</v>
      </c>
      <c r="BK222" s="137">
        <f>$W222*AP222+$L222*Summary_LCIA!AG$32</f>
        <v>4.6632707490820834E-3</v>
      </c>
      <c r="BL222" s="137">
        <f>$W222*AQ222+$L222*Summary_LCIA!AH$32</f>
        <v>0.70856331918554538</v>
      </c>
      <c r="BM222" s="137">
        <f>$W222*AR222+$L222*Summary_LCIA!AI$32</f>
        <v>0.22436750722603721</v>
      </c>
    </row>
    <row r="223" spans="1:65" x14ac:dyDescent="0.25">
      <c r="A223" s="149">
        <v>278</v>
      </c>
      <c r="B223" s="149">
        <v>43</v>
      </c>
      <c r="C223" s="61">
        <v>45.501688999999999</v>
      </c>
      <c r="D223" s="61">
        <v>-73.567256</v>
      </c>
      <c r="E223" s="61" t="s">
        <v>458</v>
      </c>
      <c r="F223" s="149">
        <v>124</v>
      </c>
      <c r="G223" s="61" t="s">
        <v>654</v>
      </c>
      <c r="H223" s="61" t="s">
        <v>655</v>
      </c>
      <c r="I223" s="61">
        <v>45.465685000000001</v>
      </c>
      <c r="J223" s="61">
        <v>-73.745480999999998</v>
      </c>
      <c r="K223" s="61">
        <v>15.92927869</v>
      </c>
      <c r="L223" s="61">
        <v>19.553999999999998</v>
      </c>
      <c r="M223" s="61" t="s">
        <v>617</v>
      </c>
      <c r="N223" s="149">
        <v>42</v>
      </c>
      <c r="O223" s="149">
        <v>43</v>
      </c>
      <c r="P223" s="61" t="s">
        <v>565</v>
      </c>
      <c r="Q223" s="61" t="s">
        <v>555</v>
      </c>
      <c r="R223" s="61">
        <v>40.6895314</v>
      </c>
      <c r="S223" s="61">
        <v>-74.174462399999996</v>
      </c>
      <c r="T223" s="61">
        <v>604.83699999999999</v>
      </c>
      <c r="U223" s="61" t="s">
        <v>617</v>
      </c>
      <c r="V223" s="61" t="s">
        <v>569</v>
      </c>
      <c r="W223" s="61" cm="1">
        <f t="array" ref="W223">getDistance(I223,J223,R223,S223)*SA!$B$12</f>
        <v>532.70082587978914</v>
      </c>
      <c r="Y223" s="137">
        <f>Transportation_LCIA!C$61*($W223^Transportation_LCIA!C$60)+Transportation_LCIA!C$62</f>
        <v>0.32157602463370416</v>
      </c>
      <c r="Z223" s="137">
        <f>Transportation_LCIA!D$61*($W223^Transportation_LCIA!D$60)+Transportation_LCIA!D$62</f>
        <v>3.4401752281760434</v>
      </c>
      <c r="AA223" s="137">
        <f>Transportation_LCIA!E$61*($W223^Transportation_LCIA!E$60)+Transportation_LCIA!E$62</f>
        <v>1.8141836341962153E-3</v>
      </c>
      <c r="AB223" s="137">
        <f>Transportation_LCIA!F$61*($W223^Transportation_LCIA!F$60)+Transportation_LCIA!F$62</f>
        <v>0.32157602463370416</v>
      </c>
      <c r="AC223" s="137">
        <f>Transportation_LCIA!G$61*($W223^Transportation_LCIA!G$60)+Transportation_LCIA!G$62</f>
        <v>8.0143040676289495E-2</v>
      </c>
      <c r="AD223" s="137">
        <f>Transportation_LCIA!H$61*($W223^Transportation_LCIA!H$60)+Transportation_LCIA!H$62</f>
        <v>4.2530075100495493E-4</v>
      </c>
      <c r="AE223" s="137">
        <f>Transportation_LCIA!I$61*($W223^Transportation_LCIA!I$60)+Transportation_LCIA!I$62</f>
        <v>9.7085338694522006E-6</v>
      </c>
      <c r="AF223" s="137">
        <f>Transportation_LCIA!J$61*($W223^Transportation_LCIA!J$60)+Transportation_LCIA!J$62</f>
        <v>1.4453429332288598E-2</v>
      </c>
      <c r="AG223" s="137">
        <f>Transportation_LCIA!K$61*($W223^Transportation_LCIA!K$60)+Transportation_LCIA!K$62</f>
        <v>1.7573386146825021E-2</v>
      </c>
      <c r="AH223" s="137">
        <f>Transportation_LCIA!L$61*($W223^Transportation_LCIA!L$60)+Transportation_LCIA!L$62</f>
        <v>3.7692466700234696E-4</v>
      </c>
      <c r="AI223" s="137">
        <f>Transportation_LCIA!M$61*($W223^Transportation_LCIA!M$60)+Transportation_LCIA!M$62</f>
        <v>3.2560324687594627E-4</v>
      </c>
      <c r="AJ223" s="137">
        <f>Transportation_LCIA!N$61*($W223^Transportation_LCIA!N$60)+Transportation_LCIA!N$62</f>
        <v>1.4886217992903391E-3</v>
      </c>
      <c r="AK223" s="137">
        <f>Transportation_LCIA!O$61*($W223^Transportation_LCIA!O$60)+Transportation_LCIA!O$62</f>
        <v>8.4836431112135085E-5</v>
      </c>
      <c r="AL223" s="137">
        <f>Transportation_LCIA!P$61*($W223^Transportation_LCIA!P$60)+Transportation_LCIA!P$62</f>
        <v>4.094417350036071E-8</v>
      </c>
      <c r="AM223" s="137">
        <f>Transportation_LCIA!Q$61*($W223^Transportation_LCIA!Q$60)+Transportation_LCIA!Q$62</f>
        <v>1.4864785211779024E-4</v>
      </c>
      <c r="AN223" s="137">
        <f>Transportation_LCIA!R$61*($W223^Transportation_LCIA!R$60)+Transportation_LCIA!R$62</f>
        <v>4.664545941177262E-4</v>
      </c>
      <c r="AO223" s="137">
        <f>Transportation_LCIA!S$61*($W223^Transportation_LCIA!S$60)+Transportation_LCIA!S$62</f>
        <v>6.8758863533443067E-6</v>
      </c>
      <c r="AP223" s="137">
        <f>Transportation_LCIA!T$61*($W223^Transportation_LCIA!T$60)+Transportation_LCIA!T$62</f>
        <v>6.8758863533443067E-6</v>
      </c>
      <c r="AQ223" s="137">
        <f>Transportation_LCIA!U$61*($W223^Transportation_LCIA!U$60)+Transportation_LCIA!U$62</f>
        <v>1.0106481886833722E-3</v>
      </c>
      <c r="AR223" s="137">
        <f>Transportation_LCIA!V$61*($W223^Transportation_LCIA!V$60)+Transportation_LCIA!V$62</f>
        <v>3.8699391574166265E-4</v>
      </c>
      <c r="AT223" s="137">
        <f>$W223*Y223+$L223*Summary_LCIA!H$32</f>
        <v>177.94826310551363</v>
      </c>
      <c r="AU223" s="137">
        <f>$W223*Z223+$L223*Summary_LCIA!Q$32</f>
        <v>1929.4947953874523</v>
      </c>
      <c r="AV223" s="137">
        <f>$W223*AA223+$L223*Summary_LCIA!R$32</f>
        <v>1.0693806626339211</v>
      </c>
      <c r="AW223" s="137">
        <f>$W223*AB223+$L223*Summary_LCIA!S$32</f>
        <v>177.86183442551362</v>
      </c>
      <c r="AX223" s="137">
        <f>$W223*AC223+$L223*Summary_LCIA!T$32</f>
        <v>44.841248556776947</v>
      </c>
      <c r="AY223" s="137">
        <f>$W223*AD223+$L223*Summary_LCIA!U$32</f>
        <v>0.57684841730763403</v>
      </c>
      <c r="AZ223" s="137">
        <f>$W223*AE223+$L223*Summary_LCIA!V$32</f>
        <v>6.1056626043390922E-3</v>
      </c>
      <c r="BA223" s="137">
        <f>$W223*AF223+$L223*Summary_LCIA!W$32</f>
        <v>9.2044446761053056</v>
      </c>
      <c r="BB223" s="137">
        <f>$W223*AG223+$L223*Summary_LCIA!X$32</f>
        <v>9.8067974339181347</v>
      </c>
      <c r="BC223" s="137">
        <f>$W223*AH223+$L223*Summary_LCIA!Y$32</f>
        <v>0.50547850940661465</v>
      </c>
      <c r="BD223" s="137">
        <f>$W223*AI223+$L223*Summary_LCIA!Z$32</f>
        <v>0.17425100850595746</v>
      </c>
      <c r="BE223" s="137">
        <f>$W223*AJ223+$L223*Summary_LCIA!AA$32</f>
        <v>1.2496932859046213</v>
      </c>
      <c r="BF223" s="137">
        <f>$W223*AK223+$L223*Summary_LCIA!AB$32</f>
        <v>4.47657099761282E-2</v>
      </c>
      <c r="BG223" s="137">
        <f>$W223*AL223+$L223*Summary_LCIA!AC$32</f>
        <v>2.2766872774607524E-5</v>
      </c>
      <c r="BH223" s="137">
        <f>$W223*AM223+$L223*Summary_LCIA!AD$32</f>
        <v>8.7222309748403629E-2</v>
      </c>
      <c r="BI223" s="137">
        <f>$W223*AN223+$L223*Summary_LCIA!AE$32</f>
        <v>0.26580813354193455</v>
      </c>
      <c r="BJ223" s="137">
        <f>$W223*AO223+$L223*Summary_LCIA!AF$32</f>
        <v>2.0194133019082083E-2</v>
      </c>
      <c r="BK223" s="137">
        <f>$W223*AP223+$L223*Summary_LCIA!AG$32</f>
        <v>4.6632707490820834E-3</v>
      </c>
      <c r="BL223" s="137">
        <f>$W223*AQ223+$L223*Summary_LCIA!AH$32</f>
        <v>0.70856331918554538</v>
      </c>
      <c r="BM223" s="137">
        <f>$W223*AR223+$L223*Summary_LCIA!AI$32</f>
        <v>0.22436750722603721</v>
      </c>
    </row>
    <row r="224" spans="1:65" x14ac:dyDescent="0.25">
      <c r="A224" s="149">
        <v>279</v>
      </c>
      <c r="B224" s="149">
        <v>43</v>
      </c>
      <c r="C224" s="61">
        <v>45.501688999999999</v>
      </c>
      <c r="D224" s="61">
        <v>-73.567256</v>
      </c>
      <c r="E224" s="61" t="s">
        <v>458</v>
      </c>
      <c r="F224" s="149">
        <v>124</v>
      </c>
      <c r="G224" s="61" t="s">
        <v>654</v>
      </c>
      <c r="H224" s="61" t="s">
        <v>655</v>
      </c>
      <c r="I224" s="61">
        <v>45.465685000000001</v>
      </c>
      <c r="J224" s="61">
        <v>-73.745480999999998</v>
      </c>
      <c r="K224" s="61">
        <v>15.92927869</v>
      </c>
      <c r="L224" s="61">
        <v>19.553999999999998</v>
      </c>
      <c r="M224" s="61" t="s">
        <v>617</v>
      </c>
      <c r="N224" s="149">
        <v>42</v>
      </c>
      <c r="O224" s="149">
        <v>43</v>
      </c>
      <c r="P224" s="61" t="s">
        <v>565</v>
      </c>
      <c r="Q224" s="61" t="s">
        <v>555</v>
      </c>
      <c r="R224" s="61">
        <v>40.6895314</v>
      </c>
      <c r="S224" s="61">
        <v>-74.174462399999996</v>
      </c>
      <c r="T224" s="61">
        <v>604.83699999999999</v>
      </c>
      <c r="U224" s="61" t="s">
        <v>617</v>
      </c>
      <c r="V224" s="61" t="s">
        <v>569</v>
      </c>
      <c r="W224" s="61" cm="1">
        <f t="array" ref="W224">getDistance(I224,J224,R224,S224)*SA!$B$12</f>
        <v>532.70082587978914</v>
      </c>
      <c r="Y224" s="137">
        <f>Transportation_LCIA!C$61*($W224^Transportation_LCIA!C$60)+Transportation_LCIA!C$62</f>
        <v>0.32157602463370416</v>
      </c>
      <c r="Z224" s="137">
        <f>Transportation_LCIA!D$61*($W224^Transportation_LCIA!D$60)+Transportation_LCIA!D$62</f>
        <v>3.4401752281760434</v>
      </c>
      <c r="AA224" s="137">
        <f>Transportation_LCIA!E$61*($W224^Transportation_LCIA!E$60)+Transportation_LCIA!E$62</f>
        <v>1.8141836341962153E-3</v>
      </c>
      <c r="AB224" s="137">
        <f>Transportation_LCIA!F$61*($W224^Transportation_LCIA!F$60)+Transportation_LCIA!F$62</f>
        <v>0.32157602463370416</v>
      </c>
      <c r="AC224" s="137">
        <f>Transportation_LCIA!G$61*($W224^Transportation_LCIA!G$60)+Transportation_LCIA!G$62</f>
        <v>8.0143040676289495E-2</v>
      </c>
      <c r="AD224" s="137">
        <f>Transportation_LCIA!H$61*($W224^Transportation_LCIA!H$60)+Transportation_LCIA!H$62</f>
        <v>4.2530075100495493E-4</v>
      </c>
      <c r="AE224" s="137">
        <f>Transportation_LCIA!I$61*($W224^Transportation_LCIA!I$60)+Transportation_LCIA!I$62</f>
        <v>9.7085338694522006E-6</v>
      </c>
      <c r="AF224" s="137">
        <f>Transportation_LCIA!J$61*($W224^Transportation_LCIA!J$60)+Transportation_LCIA!J$62</f>
        <v>1.4453429332288598E-2</v>
      </c>
      <c r="AG224" s="137">
        <f>Transportation_LCIA!K$61*($W224^Transportation_LCIA!K$60)+Transportation_LCIA!K$62</f>
        <v>1.7573386146825021E-2</v>
      </c>
      <c r="AH224" s="137">
        <f>Transportation_LCIA!L$61*($W224^Transportation_LCIA!L$60)+Transportation_LCIA!L$62</f>
        <v>3.7692466700234696E-4</v>
      </c>
      <c r="AI224" s="137">
        <f>Transportation_LCIA!M$61*($W224^Transportation_LCIA!M$60)+Transportation_LCIA!M$62</f>
        <v>3.2560324687594627E-4</v>
      </c>
      <c r="AJ224" s="137">
        <f>Transportation_LCIA!N$61*($W224^Transportation_LCIA!N$60)+Transportation_LCIA!N$62</f>
        <v>1.4886217992903391E-3</v>
      </c>
      <c r="AK224" s="137">
        <f>Transportation_LCIA!O$61*($W224^Transportation_LCIA!O$60)+Transportation_LCIA!O$62</f>
        <v>8.4836431112135085E-5</v>
      </c>
      <c r="AL224" s="137">
        <f>Transportation_LCIA!P$61*($W224^Transportation_LCIA!P$60)+Transportation_LCIA!P$62</f>
        <v>4.094417350036071E-8</v>
      </c>
      <c r="AM224" s="137">
        <f>Transportation_LCIA!Q$61*($W224^Transportation_LCIA!Q$60)+Transportation_LCIA!Q$62</f>
        <v>1.4864785211779024E-4</v>
      </c>
      <c r="AN224" s="137">
        <f>Transportation_LCIA!R$61*($W224^Transportation_LCIA!R$60)+Transportation_LCIA!R$62</f>
        <v>4.664545941177262E-4</v>
      </c>
      <c r="AO224" s="137">
        <f>Transportation_LCIA!S$61*($W224^Transportation_LCIA!S$60)+Transportation_LCIA!S$62</f>
        <v>6.8758863533443067E-6</v>
      </c>
      <c r="AP224" s="137">
        <f>Transportation_LCIA!T$61*($W224^Transportation_LCIA!T$60)+Transportation_LCIA!T$62</f>
        <v>6.8758863533443067E-6</v>
      </c>
      <c r="AQ224" s="137">
        <f>Transportation_LCIA!U$61*($W224^Transportation_LCIA!U$60)+Transportation_LCIA!U$62</f>
        <v>1.0106481886833722E-3</v>
      </c>
      <c r="AR224" s="137">
        <f>Transportation_LCIA!V$61*($W224^Transportation_LCIA!V$60)+Transportation_LCIA!V$62</f>
        <v>3.8699391574166265E-4</v>
      </c>
      <c r="AT224" s="137">
        <f>$W224*Y224+$L224*Summary_LCIA!H$32</f>
        <v>177.94826310551363</v>
      </c>
      <c r="AU224" s="137">
        <f>$W224*Z224+$L224*Summary_LCIA!Q$32</f>
        <v>1929.4947953874523</v>
      </c>
      <c r="AV224" s="137">
        <f>$W224*AA224+$L224*Summary_LCIA!R$32</f>
        <v>1.0693806626339211</v>
      </c>
      <c r="AW224" s="137">
        <f>$W224*AB224+$L224*Summary_LCIA!S$32</f>
        <v>177.86183442551362</v>
      </c>
      <c r="AX224" s="137">
        <f>$W224*AC224+$L224*Summary_LCIA!T$32</f>
        <v>44.841248556776947</v>
      </c>
      <c r="AY224" s="137">
        <f>$W224*AD224+$L224*Summary_LCIA!U$32</f>
        <v>0.57684841730763403</v>
      </c>
      <c r="AZ224" s="137">
        <f>$W224*AE224+$L224*Summary_LCIA!V$32</f>
        <v>6.1056626043390922E-3</v>
      </c>
      <c r="BA224" s="137">
        <f>$W224*AF224+$L224*Summary_LCIA!W$32</f>
        <v>9.2044446761053056</v>
      </c>
      <c r="BB224" s="137">
        <f>$W224*AG224+$L224*Summary_LCIA!X$32</f>
        <v>9.8067974339181347</v>
      </c>
      <c r="BC224" s="137">
        <f>$W224*AH224+$L224*Summary_LCIA!Y$32</f>
        <v>0.50547850940661465</v>
      </c>
      <c r="BD224" s="137">
        <f>$W224*AI224+$L224*Summary_LCIA!Z$32</f>
        <v>0.17425100850595746</v>
      </c>
      <c r="BE224" s="137">
        <f>$W224*AJ224+$L224*Summary_LCIA!AA$32</f>
        <v>1.2496932859046213</v>
      </c>
      <c r="BF224" s="137">
        <f>$W224*AK224+$L224*Summary_LCIA!AB$32</f>
        <v>4.47657099761282E-2</v>
      </c>
      <c r="BG224" s="137">
        <f>$W224*AL224+$L224*Summary_LCIA!AC$32</f>
        <v>2.2766872774607524E-5</v>
      </c>
      <c r="BH224" s="137">
        <f>$W224*AM224+$L224*Summary_LCIA!AD$32</f>
        <v>8.7222309748403629E-2</v>
      </c>
      <c r="BI224" s="137">
        <f>$W224*AN224+$L224*Summary_LCIA!AE$32</f>
        <v>0.26580813354193455</v>
      </c>
      <c r="BJ224" s="137">
        <f>$W224*AO224+$L224*Summary_LCIA!AF$32</f>
        <v>2.0194133019082083E-2</v>
      </c>
      <c r="BK224" s="137">
        <f>$W224*AP224+$L224*Summary_LCIA!AG$32</f>
        <v>4.6632707490820834E-3</v>
      </c>
      <c r="BL224" s="137">
        <f>$W224*AQ224+$L224*Summary_LCIA!AH$32</f>
        <v>0.70856331918554538</v>
      </c>
      <c r="BM224" s="137">
        <f>$W224*AR224+$L224*Summary_LCIA!AI$32</f>
        <v>0.22436750722603721</v>
      </c>
    </row>
    <row r="225" spans="1:65" x14ac:dyDescent="0.25">
      <c r="A225" s="149">
        <v>280</v>
      </c>
      <c r="B225" s="149">
        <v>43</v>
      </c>
      <c r="C225" s="61">
        <v>45.501688999999999</v>
      </c>
      <c r="D225" s="61">
        <v>-73.567256</v>
      </c>
      <c r="E225" s="61" t="s">
        <v>458</v>
      </c>
      <c r="F225" s="149">
        <v>124</v>
      </c>
      <c r="G225" s="61" t="s">
        <v>654</v>
      </c>
      <c r="H225" s="61" t="s">
        <v>655</v>
      </c>
      <c r="I225" s="61">
        <v>45.465685000000001</v>
      </c>
      <c r="J225" s="61">
        <v>-73.745480999999998</v>
      </c>
      <c r="K225" s="61">
        <v>15.92927869</v>
      </c>
      <c r="L225" s="61">
        <v>19.553999999999998</v>
      </c>
      <c r="M225" s="61" t="s">
        <v>617</v>
      </c>
      <c r="N225" s="149">
        <v>42</v>
      </c>
      <c r="O225" s="149">
        <v>43</v>
      </c>
      <c r="P225" s="61" t="s">
        <v>565</v>
      </c>
      <c r="Q225" s="61" t="s">
        <v>555</v>
      </c>
      <c r="R225" s="61">
        <v>40.6895314</v>
      </c>
      <c r="S225" s="61">
        <v>-74.174462399999996</v>
      </c>
      <c r="T225" s="61">
        <v>604.83699999999999</v>
      </c>
      <c r="U225" s="61" t="s">
        <v>617</v>
      </c>
      <c r="V225" s="61" t="s">
        <v>569</v>
      </c>
      <c r="W225" s="61" cm="1">
        <f t="array" ref="W225">getDistance(I225,J225,R225,S225)*SA!$B$12</f>
        <v>532.70082587978914</v>
      </c>
      <c r="Y225" s="137">
        <f>Transportation_LCIA!C$61*($W225^Transportation_LCIA!C$60)+Transportation_LCIA!C$62</f>
        <v>0.32157602463370416</v>
      </c>
      <c r="Z225" s="137">
        <f>Transportation_LCIA!D$61*($W225^Transportation_LCIA!D$60)+Transportation_LCIA!D$62</f>
        <v>3.4401752281760434</v>
      </c>
      <c r="AA225" s="137">
        <f>Transportation_LCIA!E$61*($W225^Transportation_LCIA!E$60)+Transportation_LCIA!E$62</f>
        <v>1.8141836341962153E-3</v>
      </c>
      <c r="AB225" s="137">
        <f>Transportation_LCIA!F$61*($W225^Transportation_LCIA!F$60)+Transportation_LCIA!F$62</f>
        <v>0.32157602463370416</v>
      </c>
      <c r="AC225" s="137">
        <f>Transportation_LCIA!G$61*($W225^Transportation_LCIA!G$60)+Transportation_LCIA!G$62</f>
        <v>8.0143040676289495E-2</v>
      </c>
      <c r="AD225" s="137">
        <f>Transportation_LCIA!H$61*($W225^Transportation_LCIA!H$60)+Transportation_LCIA!H$62</f>
        <v>4.2530075100495493E-4</v>
      </c>
      <c r="AE225" s="137">
        <f>Transportation_LCIA!I$61*($W225^Transportation_LCIA!I$60)+Transportation_LCIA!I$62</f>
        <v>9.7085338694522006E-6</v>
      </c>
      <c r="AF225" s="137">
        <f>Transportation_LCIA!J$61*($W225^Transportation_LCIA!J$60)+Transportation_LCIA!J$62</f>
        <v>1.4453429332288598E-2</v>
      </c>
      <c r="AG225" s="137">
        <f>Transportation_LCIA!K$61*($W225^Transportation_LCIA!K$60)+Transportation_LCIA!K$62</f>
        <v>1.7573386146825021E-2</v>
      </c>
      <c r="AH225" s="137">
        <f>Transportation_LCIA!L$61*($W225^Transportation_LCIA!L$60)+Transportation_LCIA!L$62</f>
        <v>3.7692466700234696E-4</v>
      </c>
      <c r="AI225" s="137">
        <f>Transportation_LCIA!M$61*($W225^Transportation_LCIA!M$60)+Transportation_LCIA!M$62</f>
        <v>3.2560324687594627E-4</v>
      </c>
      <c r="AJ225" s="137">
        <f>Transportation_LCIA!N$61*($W225^Transportation_LCIA!N$60)+Transportation_LCIA!N$62</f>
        <v>1.4886217992903391E-3</v>
      </c>
      <c r="AK225" s="137">
        <f>Transportation_LCIA!O$61*($W225^Transportation_LCIA!O$60)+Transportation_LCIA!O$62</f>
        <v>8.4836431112135085E-5</v>
      </c>
      <c r="AL225" s="137">
        <f>Transportation_LCIA!P$61*($W225^Transportation_LCIA!P$60)+Transportation_LCIA!P$62</f>
        <v>4.094417350036071E-8</v>
      </c>
      <c r="AM225" s="137">
        <f>Transportation_LCIA!Q$61*($W225^Transportation_LCIA!Q$60)+Transportation_LCIA!Q$62</f>
        <v>1.4864785211779024E-4</v>
      </c>
      <c r="AN225" s="137">
        <f>Transportation_LCIA!R$61*($W225^Transportation_LCIA!R$60)+Transportation_LCIA!R$62</f>
        <v>4.664545941177262E-4</v>
      </c>
      <c r="AO225" s="137">
        <f>Transportation_LCIA!S$61*($W225^Transportation_LCIA!S$60)+Transportation_LCIA!S$62</f>
        <v>6.8758863533443067E-6</v>
      </c>
      <c r="AP225" s="137">
        <f>Transportation_LCIA!T$61*($W225^Transportation_LCIA!T$60)+Transportation_LCIA!T$62</f>
        <v>6.8758863533443067E-6</v>
      </c>
      <c r="AQ225" s="137">
        <f>Transportation_LCIA!U$61*($W225^Transportation_LCIA!U$60)+Transportation_LCIA!U$62</f>
        <v>1.0106481886833722E-3</v>
      </c>
      <c r="AR225" s="137">
        <f>Transportation_LCIA!V$61*($W225^Transportation_LCIA!V$60)+Transportation_LCIA!V$62</f>
        <v>3.8699391574166265E-4</v>
      </c>
      <c r="AT225" s="137">
        <f>$W225*Y225+$L225*Summary_LCIA!H$32</f>
        <v>177.94826310551363</v>
      </c>
      <c r="AU225" s="137">
        <f>$W225*Z225+$L225*Summary_LCIA!Q$32</f>
        <v>1929.4947953874523</v>
      </c>
      <c r="AV225" s="137">
        <f>$W225*AA225+$L225*Summary_LCIA!R$32</f>
        <v>1.0693806626339211</v>
      </c>
      <c r="AW225" s="137">
        <f>$W225*AB225+$L225*Summary_LCIA!S$32</f>
        <v>177.86183442551362</v>
      </c>
      <c r="AX225" s="137">
        <f>$W225*AC225+$L225*Summary_LCIA!T$32</f>
        <v>44.841248556776947</v>
      </c>
      <c r="AY225" s="137">
        <f>$W225*AD225+$L225*Summary_LCIA!U$32</f>
        <v>0.57684841730763403</v>
      </c>
      <c r="AZ225" s="137">
        <f>$W225*AE225+$L225*Summary_LCIA!V$32</f>
        <v>6.1056626043390922E-3</v>
      </c>
      <c r="BA225" s="137">
        <f>$W225*AF225+$L225*Summary_LCIA!W$32</f>
        <v>9.2044446761053056</v>
      </c>
      <c r="BB225" s="137">
        <f>$W225*AG225+$L225*Summary_LCIA!X$32</f>
        <v>9.8067974339181347</v>
      </c>
      <c r="BC225" s="137">
        <f>$W225*AH225+$L225*Summary_LCIA!Y$32</f>
        <v>0.50547850940661465</v>
      </c>
      <c r="BD225" s="137">
        <f>$W225*AI225+$L225*Summary_LCIA!Z$32</f>
        <v>0.17425100850595746</v>
      </c>
      <c r="BE225" s="137">
        <f>$W225*AJ225+$L225*Summary_LCIA!AA$32</f>
        <v>1.2496932859046213</v>
      </c>
      <c r="BF225" s="137">
        <f>$W225*AK225+$L225*Summary_LCIA!AB$32</f>
        <v>4.47657099761282E-2</v>
      </c>
      <c r="BG225" s="137">
        <f>$W225*AL225+$L225*Summary_LCIA!AC$32</f>
        <v>2.2766872774607524E-5</v>
      </c>
      <c r="BH225" s="137">
        <f>$W225*AM225+$L225*Summary_LCIA!AD$32</f>
        <v>8.7222309748403629E-2</v>
      </c>
      <c r="BI225" s="137">
        <f>$W225*AN225+$L225*Summary_LCIA!AE$32</f>
        <v>0.26580813354193455</v>
      </c>
      <c r="BJ225" s="137">
        <f>$W225*AO225+$L225*Summary_LCIA!AF$32</f>
        <v>2.0194133019082083E-2</v>
      </c>
      <c r="BK225" s="137">
        <f>$W225*AP225+$L225*Summary_LCIA!AG$32</f>
        <v>4.6632707490820834E-3</v>
      </c>
      <c r="BL225" s="137">
        <f>$W225*AQ225+$L225*Summary_LCIA!AH$32</f>
        <v>0.70856331918554538</v>
      </c>
      <c r="BM225" s="137">
        <f>$W225*AR225+$L225*Summary_LCIA!AI$32</f>
        <v>0.22436750722603721</v>
      </c>
    </row>
    <row r="226" spans="1:65" x14ac:dyDescent="0.25">
      <c r="A226" s="149">
        <v>351</v>
      </c>
      <c r="B226" s="149">
        <v>6</v>
      </c>
      <c r="C226" s="61">
        <v>45.176614999999998</v>
      </c>
      <c r="D226" s="61">
        <v>-92.577832999999998</v>
      </c>
      <c r="E226" s="61" t="s">
        <v>265</v>
      </c>
      <c r="F226" s="149">
        <v>57</v>
      </c>
      <c r="G226" s="61" t="s">
        <v>565</v>
      </c>
      <c r="H226" s="61" t="s">
        <v>641</v>
      </c>
      <c r="I226" s="61">
        <v>44.884754999999998</v>
      </c>
      <c r="J226" s="61">
        <v>-93.222284999999999</v>
      </c>
      <c r="K226" s="61">
        <v>71.451382140000007</v>
      </c>
      <c r="L226" s="61">
        <v>80.105999999999995</v>
      </c>
      <c r="M226" s="61" t="s">
        <v>617</v>
      </c>
      <c r="N226" s="149">
        <v>5</v>
      </c>
      <c r="O226" s="149">
        <v>6</v>
      </c>
      <c r="P226" s="61" t="s">
        <v>565</v>
      </c>
      <c r="Q226" s="61" t="s">
        <v>564</v>
      </c>
      <c r="R226" s="61">
        <v>41.98028</v>
      </c>
      <c r="S226" s="61">
        <v>-87.908997900000003</v>
      </c>
      <c r="T226" s="61">
        <v>607.62</v>
      </c>
      <c r="U226" s="61" t="s">
        <v>617</v>
      </c>
      <c r="V226" s="61" t="s">
        <v>569</v>
      </c>
      <c r="W226" s="61" cm="1">
        <f t="array" ref="W226">getDistance(I226,J226,R226,S226)*SA!$B$12</f>
        <v>537.9238360294454</v>
      </c>
      <c r="Y226" s="137">
        <f>Transportation_LCIA!C$61*($W226^Transportation_LCIA!C$60)+Transportation_LCIA!C$62</f>
        <v>0.31986678213898079</v>
      </c>
      <c r="Z226" s="137">
        <f>Transportation_LCIA!D$61*($W226^Transportation_LCIA!D$60)+Transportation_LCIA!D$62</f>
        <v>3.4196837590581142</v>
      </c>
      <c r="AA226" s="137">
        <f>Transportation_LCIA!E$61*($W226^Transportation_LCIA!E$60)+Transportation_LCIA!E$62</f>
        <v>1.8006084167141755E-3</v>
      </c>
      <c r="AB226" s="137">
        <f>Transportation_LCIA!F$61*($W226^Transportation_LCIA!F$60)+Transportation_LCIA!F$62</f>
        <v>0.31986678213898079</v>
      </c>
      <c r="AC226" s="137">
        <f>Transportation_LCIA!G$61*($W226^Transportation_LCIA!G$60)+Transportation_LCIA!G$62</f>
        <v>7.9669699225259488E-2</v>
      </c>
      <c r="AD226" s="137">
        <f>Transportation_LCIA!H$61*($W226^Transportation_LCIA!H$60)+Transportation_LCIA!H$62</f>
        <v>4.2227087470452683E-4</v>
      </c>
      <c r="AE226" s="137">
        <f>Transportation_LCIA!I$61*($W226^Transportation_LCIA!I$60)+Transportation_LCIA!I$62</f>
        <v>9.6304021623867961E-6</v>
      </c>
      <c r="AF226" s="137">
        <f>Transportation_LCIA!J$61*($W226^Transportation_LCIA!J$60)+Transportation_LCIA!J$62</f>
        <v>1.4335225470337743E-2</v>
      </c>
      <c r="AG226" s="137">
        <f>Transportation_LCIA!K$61*($W226^Transportation_LCIA!K$60)+Transportation_LCIA!K$62</f>
        <v>1.7461378929992367E-2</v>
      </c>
      <c r="AH226" s="137">
        <f>Transportation_LCIA!L$61*($W226^Transportation_LCIA!L$60)+Transportation_LCIA!L$62</f>
        <v>3.741200211309115E-4</v>
      </c>
      <c r="AI226" s="137">
        <f>Transportation_LCIA!M$61*($W226^Transportation_LCIA!M$60)+Transportation_LCIA!M$62</f>
        <v>3.2392972305419126E-4</v>
      </c>
      <c r="AJ226" s="137">
        <f>Transportation_LCIA!N$61*($W226^Transportation_LCIA!N$60)+Transportation_LCIA!N$62</f>
        <v>1.4784543299395398E-3</v>
      </c>
      <c r="AK226" s="137">
        <f>Transportation_LCIA!O$61*($W226^Transportation_LCIA!O$60)+Transportation_LCIA!O$62</f>
        <v>8.4333072501823996E-5</v>
      </c>
      <c r="AL226" s="137">
        <f>Transportation_LCIA!P$61*($W226^Transportation_LCIA!P$60)+Transportation_LCIA!P$62</f>
        <v>4.0702648380323872E-8</v>
      </c>
      <c r="AM226" s="137">
        <f>Transportation_LCIA!Q$61*($W226^Transportation_LCIA!Q$60)+Transportation_LCIA!Q$62</f>
        <v>1.4754717709156823E-4</v>
      </c>
      <c r="AN226" s="137">
        <f>Transportation_LCIA!R$61*($W226^Transportation_LCIA!R$60)+Transportation_LCIA!R$62</f>
        <v>4.6270576693556009E-4</v>
      </c>
      <c r="AO226" s="137">
        <f>Transportation_LCIA!S$61*($W226^Transportation_LCIA!S$60)+Transportation_LCIA!S$62</f>
        <v>6.8227398697620497E-6</v>
      </c>
      <c r="AP226" s="137">
        <f>Transportation_LCIA!T$61*($W226^Transportation_LCIA!T$60)+Transportation_LCIA!T$62</f>
        <v>6.8227398697620497E-6</v>
      </c>
      <c r="AQ226" s="137">
        <f>Transportation_LCIA!U$61*($W226^Transportation_LCIA!U$60)+Transportation_LCIA!U$62</f>
        <v>1.002389311334221E-3</v>
      </c>
      <c r="AR226" s="137">
        <f>Transportation_LCIA!V$61*($W226^Transportation_LCIA!V$60)+Transportation_LCIA!V$62</f>
        <v>3.8411685160034487E-4</v>
      </c>
      <c r="AT226" s="137">
        <f>$W226*Y226+$L226*Summary_LCIA!H$32</f>
        <v>199.28398526659544</v>
      </c>
      <c r="AU226" s="137">
        <f>$W226*Z226+$L226*Summary_LCIA!Q$32</f>
        <v>2236.5387816660323</v>
      </c>
      <c r="AV226" s="137">
        <f>$W226*AA226+$L226*Summary_LCIA!R$32</f>
        <v>1.3903963403057955</v>
      </c>
      <c r="AW226" s="137">
        <f>$W226*AB226+$L226*Summary_LCIA!S$32</f>
        <v>198.92991674659544</v>
      </c>
      <c r="AX226" s="137">
        <f>$W226*AC226+$L226*Summary_LCIA!T$32</f>
        <v>51.659879622563714</v>
      </c>
      <c r="AY226" s="137">
        <f>$W226*AD226+$L226*Summary_LCIA!U$32</f>
        <v>1.6621684527645681</v>
      </c>
      <c r="AZ226" s="137">
        <f>$W226*AE226+$L226*Summary_LCIA!V$32</f>
        <v>9.0063655396973707E-3</v>
      </c>
      <c r="BA226" s="137">
        <f>$W226*AF226+$L226*Summary_LCIA!W$32</f>
        <v>13.877098401351088</v>
      </c>
      <c r="BB226" s="137">
        <f>$W226*AG226+$L226*Summary_LCIA!X$32</f>
        <v>11.217706616385227</v>
      </c>
      <c r="BC226" s="137">
        <f>$W226*AH226+$L226*Summary_LCIA!Y$32</f>
        <v>1.4494597689021571</v>
      </c>
      <c r="BD226" s="137">
        <f>$W226*AI226+$L226*Summary_LCIA!Z$32</f>
        <v>0.17753458618326642</v>
      </c>
      <c r="BE226" s="137">
        <f>$W226*AJ226+$L226*Summary_LCIA!AA$32</f>
        <v>2.6662515605554202</v>
      </c>
      <c r="BF226" s="137">
        <f>$W226*AK226+$L226*Summary_LCIA!AB$32</f>
        <v>4.3616616626330505E-2</v>
      </c>
      <c r="BG226" s="137">
        <f>$W226*AL226+$L226*Summary_LCIA!AC$32</f>
        <v>2.5810826457301509E-5</v>
      </c>
      <c r="BH226" s="137">
        <f>$W226*AM226+$L226*Summary_LCIA!AD$32</f>
        <v>0.11229591373641229</v>
      </c>
      <c r="BI226" s="137">
        <f>$W226*AN226+$L226*Summary_LCIA!AE$32</f>
        <v>0.31988479088292299</v>
      </c>
      <c r="BJ226" s="137">
        <f>$W226*AO226+$L226*Summary_LCIA!AF$32</f>
        <v>7.139332892297344E-2</v>
      </c>
      <c r="BK226" s="137">
        <f>$W226*AP226+$L226*Summary_LCIA!AG$32</f>
        <v>7.7687378929734404E-3</v>
      </c>
      <c r="BL226" s="137">
        <f>$W226*AQ226+$L226*Summary_LCIA!AH$32</f>
        <v>1.2364196851478182</v>
      </c>
      <c r="BM226" s="137">
        <f>$W226*AR226+$L226*Summary_LCIA!AI$32</f>
        <v>0.28124835459641073</v>
      </c>
    </row>
    <row r="227" spans="1:65" x14ac:dyDescent="0.25">
      <c r="A227" s="149">
        <v>193</v>
      </c>
      <c r="B227" s="149">
        <v>6</v>
      </c>
      <c r="C227" s="61">
        <v>41.09545</v>
      </c>
      <c r="D227" s="61">
        <v>-81.588757999999999</v>
      </c>
      <c r="E227" s="61" t="s">
        <v>265</v>
      </c>
      <c r="F227" s="149">
        <v>105</v>
      </c>
      <c r="G227" s="61" t="s">
        <v>276</v>
      </c>
      <c r="H227" s="61" t="s">
        <v>660</v>
      </c>
      <c r="I227" s="61">
        <v>41.405799000000002</v>
      </c>
      <c r="J227" s="61">
        <v>-81.853866999999994</v>
      </c>
      <c r="K227" s="61">
        <v>53.820187070000003</v>
      </c>
      <c r="L227" s="61">
        <v>60.753</v>
      </c>
      <c r="M227" s="61" t="s">
        <v>617</v>
      </c>
      <c r="N227" s="149">
        <v>5</v>
      </c>
      <c r="O227" s="149">
        <v>6</v>
      </c>
      <c r="P227" s="61" t="s">
        <v>565</v>
      </c>
      <c r="Q227" s="61" t="s">
        <v>564</v>
      </c>
      <c r="R227" s="61">
        <v>41.98028</v>
      </c>
      <c r="S227" s="61">
        <v>-87.908997900000003</v>
      </c>
      <c r="T227" s="61">
        <v>608.34900000000005</v>
      </c>
      <c r="U227" s="61" t="s">
        <v>617</v>
      </c>
      <c r="V227" s="61" t="s">
        <v>569</v>
      </c>
      <c r="W227" s="61" cm="1">
        <f t="array" ref="W227">getDistance(I227,J227,R227,S227)*SA!$B$12</f>
        <v>508.0035886560301</v>
      </c>
      <c r="Y227" s="137">
        <f>Transportation_LCIA!C$61*($W227^Transportation_LCIA!C$60)+Transportation_LCIA!C$62</f>
        <v>0.33009466965930534</v>
      </c>
      <c r="Z227" s="137">
        <f>Transportation_LCIA!D$61*($W227^Transportation_LCIA!D$60)+Transportation_LCIA!D$62</f>
        <v>3.5424297147150119</v>
      </c>
      <c r="AA227" s="137">
        <f>Transportation_LCIA!E$61*($W227^Transportation_LCIA!E$60)+Transportation_LCIA!E$62</f>
        <v>1.881949117619271E-3</v>
      </c>
      <c r="AB227" s="137">
        <f>Transportation_LCIA!F$61*($W227^Transportation_LCIA!F$60)+Transportation_LCIA!F$62</f>
        <v>0.33009466965930534</v>
      </c>
      <c r="AC227" s="137">
        <f>Transportation_LCIA!G$61*($W227^Transportation_LCIA!G$60)+Transportation_LCIA!G$62</f>
        <v>8.2504889928352365E-2</v>
      </c>
      <c r="AD227" s="137">
        <f>Transportation_LCIA!H$61*($W227^Transportation_LCIA!H$60)+Transportation_LCIA!H$62</f>
        <v>4.4043594058456003E-4</v>
      </c>
      <c r="AE227" s="137">
        <f>Transportation_LCIA!I$61*($W227^Transportation_LCIA!I$60)+Transportation_LCIA!I$62</f>
        <v>1.0099262763484922E-5</v>
      </c>
      <c r="AF227" s="137">
        <f>Transportation_LCIA!J$61*($W227^Transportation_LCIA!J$60)+Transportation_LCIA!J$62</f>
        <v>1.5044986830824957E-2</v>
      </c>
      <c r="AG227" s="137">
        <f>Transportation_LCIA!K$61*($W227^Transportation_LCIA!K$60)+Transportation_LCIA!K$62</f>
        <v>1.8132625491128557E-2</v>
      </c>
      <c r="AH227" s="137">
        <f>Transportation_LCIA!L$61*($W227^Transportation_LCIA!L$60)+Transportation_LCIA!L$62</f>
        <v>3.9093921727928455E-4</v>
      </c>
      <c r="AI227" s="137">
        <f>Transportation_LCIA!M$61*($W227^Transportation_LCIA!M$60)+Transportation_LCIA!M$62</f>
        <v>3.3396334311075232E-4</v>
      </c>
      <c r="AJ227" s="137">
        <f>Transportation_LCIA!N$61*($W227^Transportation_LCIA!N$60)+Transportation_LCIA!N$62</f>
        <v>1.5394070125787397E-3</v>
      </c>
      <c r="AK227" s="137">
        <f>Transportation_LCIA!O$61*($W227^Transportation_LCIA!O$60)+Transportation_LCIA!O$62</f>
        <v>8.7348144302915392E-5</v>
      </c>
      <c r="AL227" s="137">
        <f>Transportation_LCIA!P$61*($W227^Transportation_LCIA!P$60)+Transportation_LCIA!P$62</f>
        <v>4.2149249681484652E-8</v>
      </c>
      <c r="AM227" s="137">
        <f>Transportation_LCIA!Q$61*($W227^Transportation_LCIA!Q$60)+Transportation_LCIA!Q$62</f>
        <v>1.5414876345104929E-4</v>
      </c>
      <c r="AN227" s="137">
        <f>Transportation_LCIA!R$61*($W227^Transportation_LCIA!R$60)+Transportation_LCIA!R$62</f>
        <v>4.8520261212265276E-4</v>
      </c>
      <c r="AO227" s="137">
        <f>Transportation_LCIA!S$61*($W227^Transportation_LCIA!S$60)+Transportation_LCIA!S$62</f>
        <v>7.1416605098105525E-6</v>
      </c>
      <c r="AP227" s="137">
        <f>Transportation_LCIA!T$61*($W227^Transportation_LCIA!T$60)+Transportation_LCIA!T$62</f>
        <v>7.1416605098105525E-6</v>
      </c>
      <c r="AQ227" s="137">
        <f>Transportation_LCIA!U$61*($W227^Transportation_LCIA!U$60)+Transportation_LCIA!U$62</f>
        <v>1.0519598834212809E-3</v>
      </c>
      <c r="AR227" s="137">
        <f>Transportation_LCIA!V$61*($W227^Transportation_LCIA!V$60)+Transportation_LCIA!V$62</f>
        <v>4.0137597393638617E-4</v>
      </c>
      <c r="AT227" s="137">
        <f>$W227*Y227+$L227*Summary_LCIA!H$32</f>
        <v>188.3331461831539</v>
      </c>
      <c r="AU227" s="137">
        <f>$W227*Z227+$L227*Summary_LCIA!Q$32</f>
        <v>2100.661939593032</v>
      </c>
      <c r="AV227" s="137">
        <f>$W227*AA227+$L227*Summary_LCIA!R$32</f>
        <v>1.275937902218639</v>
      </c>
      <c r="AW227" s="137">
        <f>$W227*AB227+$L227*Summary_LCIA!S$32</f>
        <v>188.06461792315389</v>
      </c>
      <c r="AX227" s="137">
        <f>$W227*AC227+$L227*Summary_LCIA!T$32</f>
        <v>48.589534865273762</v>
      </c>
      <c r="AY227" s="137">
        <f>$W227*AD227+$L227*Summary_LCIA!U$32</f>
        <v>1.3120722803900504</v>
      </c>
      <c r="AZ227" s="137">
        <f>$W227*AE227+$L227*Summary_LCIA!V$32</f>
        <v>8.0320857596305559E-3</v>
      </c>
      <c r="BA227" s="137">
        <f>$W227*AF227+$L227*Summary_LCIA!W$32</f>
        <v>12.319126464341792</v>
      </c>
      <c r="BB227" s="137">
        <f>$W227*AG227+$L227*Summary_LCIA!X$32</f>
        <v>10.595392161249118</v>
      </c>
      <c r="BC227" s="137">
        <f>$W227*AH227+$L227*Summary_LCIA!Y$32</f>
        <v>1.145251771324256</v>
      </c>
      <c r="BD227" s="137">
        <f>$W227*AI227+$L227*Summary_LCIA!Z$32</f>
        <v>0.17214599655682725</v>
      </c>
      <c r="BE227" s="137">
        <f>$W227*AJ227+$L227*Summary_LCIA!AA$32</f>
        <v>2.2009713547922578</v>
      </c>
      <c r="BF227" s="137">
        <f>$W227*AK227+$L227*Summary_LCIA!AB$32</f>
        <v>4.3047358049325787E-2</v>
      </c>
      <c r="BG227" s="137">
        <f>$W227*AL227+$L227*Summary_LCIA!AC$32</f>
        <v>2.4381819749353236E-5</v>
      </c>
      <c r="BH227" s="137">
        <f>$W227*AM227+$L227*Summary_LCIA!AD$32</f>
        <v>0.10328003814002254</v>
      </c>
      <c r="BI227" s="137">
        <f>$W227*AN227+$L227*Summary_LCIA!AE$32</f>
        <v>0.30031972407358742</v>
      </c>
      <c r="BJ227" s="137">
        <f>$W227*AO227+$L227*Summary_LCIA!AF$32</f>
        <v>5.4989790427946821E-2</v>
      </c>
      <c r="BK227" s="137">
        <f>$W227*AP227+$L227*Summary_LCIA!AG$32</f>
        <v>6.7364164129468142E-3</v>
      </c>
      <c r="BL227" s="137">
        <f>$W227*AQ227+$L227*Summary_LCIA!AH$32</f>
        <v>1.0631692067001899</v>
      </c>
      <c r="BM227" s="137">
        <f>$W227*AR227+$L227*Summary_LCIA!AI$32</f>
        <v>0.26049489230999334</v>
      </c>
    </row>
    <row r="228" spans="1:65" x14ac:dyDescent="0.25">
      <c r="A228" s="149">
        <v>92</v>
      </c>
      <c r="B228" s="149">
        <v>43</v>
      </c>
      <c r="C228" s="61">
        <v>45.514125999999997</v>
      </c>
      <c r="D228" s="61">
        <v>-73.560551000000004</v>
      </c>
      <c r="E228" s="61" t="s">
        <v>458</v>
      </c>
      <c r="F228" s="149">
        <v>124</v>
      </c>
      <c r="G228" s="61" t="s">
        <v>654</v>
      </c>
      <c r="H228" s="61" t="s">
        <v>655</v>
      </c>
      <c r="I228" s="61">
        <v>45.465685000000001</v>
      </c>
      <c r="J228" s="61">
        <v>-73.745480999999998</v>
      </c>
      <c r="K228" s="61">
        <v>17.39246069</v>
      </c>
      <c r="L228" s="61">
        <v>21.344000000000001</v>
      </c>
      <c r="M228" s="61" t="s">
        <v>617</v>
      </c>
      <c r="N228" s="149">
        <v>42</v>
      </c>
      <c r="O228" s="149">
        <v>43</v>
      </c>
      <c r="P228" s="61" t="s">
        <v>565</v>
      </c>
      <c r="Q228" s="61" t="s">
        <v>555</v>
      </c>
      <c r="R228" s="61">
        <v>40.6895314</v>
      </c>
      <c r="S228" s="61">
        <v>-74.174462399999996</v>
      </c>
      <c r="T228" s="61">
        <v>609.423</v>
      </c>
      <c r="U228" s="61" t="s">
        <v>617</v>
      </c>
      <c r="V228" s="61" t="s">
        <v>569</v>
      </c>
      <c r="W228" s="61" cm="1">
        <f t="array" ref="W228">getDistance(I228,J228,R228,S228)*SA!$B$12</f>
        <v>532.70082587978914</v>
      </c>
      <c r="Y228" s="137">
        <f>Transportation_LCIA!C$61*($W228^Transportation_LCIA!C$60)+Transportation_LCIA!C$62</f>
        <v>0.32157602463370416</v>
      </c>
      <c r="Z228" s="137">
        <f>Transportation_LCIA!D$61*($W228^Transportation_LCIA!D$60)+Transportation_LCIA!D$62</f>
        <v>3.4401752281760434</v>
      </c>
      <c r="AA228" s="137">
        <f>Transportation_LCIA!E$61*($W228^Transportation_LCIA!E$60)+Transportation_LCIA!E$62</f>
        <v>1.8141836341962153E-3</v>
      </c>
      <c r="AB228" s="137">
        <f>Transportation_LCIA!F$61*($W228^Transportation_LCIA!F$60)+Transportation_LCIA!F$62</f>
        <v>0.32157602463370416</v>
      </c>
      <c r="AC228" s="137">
        <f>Transportation_LCIA!G$61*($W228^Transportation_LCIA!G$60)+Transportation_LCIA!G$62</f>
        <v>8.0143040676289495E-2</v>
      </c>
      <c r="AD228" s="137">
        <f>Transportation_LCIA!H$61*($W228^Transportation_LCIA!H$60)+Transportation_LCIA!H$62</f>
        <v>4.2530075100495493E-4</v>
      </c>
      <c r="AE228" s="137">
        <f>Transportation_LCIA!I$61*($W228^Transportation_LCIA!I$60)+Transportation_LCIA!I$62</f>
        <v>9.7085338694522006E-6</v>
      </c>
      <c r="AF228" s="137">
        <f>Transportation_LCIA!J$61*($W228^Transportation_LCIA!J$60)+Transportation_LCIA!J$62</f>
        <v>1.4453429332288598E-2</v>
      </c>
      <c r="AG228" s="137">
        <f>Transportation_LCIA!K$61*($W228^Transportation_LCIA!K$60)+Transportation_LCIA!K$62</f>
        <v>1.7573386146825021E-2</v>
      </c>
      <c r="AH228" s="137">
        <f>Transportation_LCIA!L$61*($W228^Transportation_LCIA!L$60)+Transportation_LCIA!L$62</f>
        <v>3.7692466700234696E-4</v>
      </c>
      <c r="AI228" s="137">
        <f>Transportation_LCIA!M$61*($W228^Transportation_LCIA!M$60)+Transportation_LCIA!M$62</f>
        <v>3.2560324687594627E-4</v>
      </c>
      <c r="AJ228" s="137">
        <f>Transportation_LCIA!N$61*($W228^Transportation_LCIA!N$60)+Transportation_LCIA!N$62</f>
        <v>1.4886217992903391E-3</v>
      </c>
      <c r="AK228" s="137">
        <f>Transportation_LCIA!O$61*($W228^Transportation_LCIA!O$60)+Transportation_LCIA!O$62</f>
        <v>8.4836431112135085E-5</v>
      </c>
      <c r="AL228" s="137">
        <f>Transportation_LCIA!P$61*($W228^Transportation_LCIA!P$60)+Transportation_LCIA!P$62</f>
        <v>4.094417350036071E-8</v>
      </c>
      <c r="AM228" s="137">
        <f>Transportation_LCIA!Q$61*($W228^Transportation_LCIA!Q$60)+Transportation_LCIA!Q$62</f>
        <v>1.4864785211779024E-4</v>
      </c>
      <c r="AN228" s="137">
        <f>Transportation_LCIA!R$61*($W228^Transportation_LCIA!R$60)+Transportation_LCIA!R$62</f>
        <v>4.664545941177262E-4</v>
      </c>
      <c r="AO228" s="137">
        <f>Transportation_LCIA!S$61*($W228^Transportation_LCIA!S$60)+Transportation_LCIA!S$62</f>
        <v>6.8758863533443067E-6</v>
      </c>
      <c r="AP228" s="137">
        <f>Transportation_LCIA!T$61*($W228^Transportation_LCIA!T$60)+Transportation_LCIA!T$62</f>
        <v>6.8758863533443067E-6</v>
      </c>
      <c r="AQ228" s="137">
        <f>Transportation_LCIA!U$61*($W228^Transportation_LCIA!U$60)+Transportation_LCIA!U$62</f>
        <v>1.0106481886833722E-3</v>
      </c>
      <c r="AR228" s="137">
        <f>Transportation_LCIA!V$61*($W228^Transportation_LCIA!V$60)+Transportation_LCIA!V$62</f>
        <v>3.8699391574166265E-4</v>
      </c>
      <c r="AT228" s="137">
        <f>$W228*Y228+$L228*Summary_LCIA!H$32</f>
        <v>178.55650510551362</v>
      </c>
      <c r="AU228" s="137">
        <f>$W228*Z228+$L228*Summary_LCIA!Q$32</f>
        <v>1938.3661256625223</v>
      </c>
      <c r="AV228" s="137">
        <f>$W228*AA228+$L228*Summary_LCIA!R$32</f>
        <v>1.0788060866339211</v>
      </c>
      <c r="AW228" s="137">
        <f>$W228*AB228+$L228*Summary_LCIA!S$32</f>
        <v>178.46216462551362</v>
      </c>
      <c r="AX228" s="137">
        <f>$W228*AC228+$L228*Summary_LCIA!T$32</f>
        <v>45.03796955677695</v>
      </c>
      <c r="AY228" s="137">
        <f>$W228*AD228+$L228*Summary_LCIA!U$32</f>
        <v>0.60891447730763404</v>
      </c>
      <c r="AZ228" s="137">
        <f>$W228*AE228+$L228*Summary_LCIA!V$32</f>
        <v>6.1911547943390918E-3</v>
      </c>
      <c r="BA228" s="137">
        <f>$W228*AF228+$L228*Summary_LCIA!W$32</f>
        <v>9.342222766105305</v>
      </c>
      <c r="BB228" s="137">
        <f>$W228*AG228+$L228*Summary_LCIA!X$32</f>
        <v>9.8475736339181346</v>
      </c>
      <c r="BC228" s="137">
        <f>$W228*AH228+$L228*Summary_LCIA!Y$32</f>
        <v>0.53337028940661479</v>
      </c>
      <c r="BD228" s="137">
        <f>$W228*AI228+$L228*Summary_LCIA!Z$32</f>
        <v>0.17432441461595746</v>
      </c>
      <c r="BE228" s="137">
        <f>$W228*AJ228+$L228*Summary_LCIA!AA$32</f>
        <v>1.2915005259046213</v>
      </c>
      <c r="BF228" s="137">
        <f>$W228*AK228+$L228*Summary_LCIA!AB$32</f>
        <v>4.4726646806128201E-2</v>
      </c>
      <c r="BG228" s="137">
        <f>$W228*AL228+$L228*Summary_LCIA!AC$32</f>
        <v>2.2854375134607526E-5</v>
      </c>
      <c r="BH228" s="137">
        <f>$W228*AM228+$L228*Summary_LCIA!AD$32</f>
        <v>8.7958071348403624E-2</v>
      </c>
      <c r="BI228" s="137">
        <f>$W228*AN228+$L228*Summary_LCIA!AE$32</f>
        <v>0.26739430624193461</v>
      </c>
      <c r="BJ228" s="137">
        <f>$W228*AO228+$L228*Summary_LCIA!AF$32</f>
        <v>2.1707434819082088E-2</v>
      </c>
      <c r="BK228" s="137">
        <f>$W228*AP228+$L228*Summary_LCIA!AG$32</f>
        <v>4.7548560990820837E-3</v>
      </c>
      <c r="BL228" s="137">
        <f>$W228*AQ228+$L228*Summary_LCIA!AH$32</f>
        <v>0.72414276318554538</v>
      </c>
      <c r="BM228" s="137">
        <f>$W228*AR228+$L228*Summary_LCIA!AI$32</f>
        <v>0.22603498172603723</v>
      </c>
    </row>
    <row r="229" spans="1:65" x14ac:dyDescent="0.25">
      <c r="A229" s="149">
        <v>58</v>
      </c>
      <c r="B229" s="149">
        <v>43</v>
      </c>
      <c r="C229" s="61">
        <v>45.504741000000003</v>
      </c>
      <c r="D229" s="61">
        <v>-73.614750999999998</v>
      </c>
      <c r="E229" s="61" t="s">
        <v>458</v>
      </c>
      <c r="F229" s="149">
        <v>124</v>
      </c>
      <c r="G229" s="61" t="s">
        <v>654</v>
      </c>
      <c r="H229" s="61" t="s">
        <v>655</v>
      </c>
      <c r="I229" s="61">
        <v>45.465685000000001</v>
      </c>
      <c r="J229" s="61">
        <v>-73.745480999999998</v>
      </c>
      <c r="K229" s="61">
        <v>12.713174800000001</v>
      </c>
      <c r="L229" s="61">
        <v>14.117000000000001</v>
      </c>
      <c r="M229" s="61" t="s">
        <v>617</v>
      </c>
      <c r="N229" s="149">
        <v>42</v>
      </c>
      <c r="O229" s="149">
        <v>43</v>
      </c>
      <c r="P229" s="61" t="s">
        <v>565</v>
      </c>
      <c r="Q229" s="61" t="s">
        <v>555</v>
      </c>
      <c r="R229" s="61">
        <v>40.6895314</v>
      </c>
      <c r="S229" s="61">
        <v>-74.174462399999996</v>
      </c>
      <c r="T229" s="61">
        <v>610.48800000000006</v>
      </c>
      <c r="U229" s="61" t="s">
        <v>617</v>
      </c>
      <c r="V229" s="61" t="s">
        <v>569</v>
      </c>
      <c r="W229" s="61" cm="1">
        <f t="array" ref="W229">getDistance(I229,J229,R229,S229)*SA!$B$12</f>
        <v>532.70082587978914</v>
      </c>
      <c r="Y229" s="137">
        <f>Transportation_LCIA!C$61*($W229^Transportation_LCIA!C$60)+Transportation_LCIA!C$62</f>
        <v>0.32157602463370416</v>
      </c>
      <c r="Z229" s="137">
        <f>Transportation_LCIA!D$61*($W229^Transportation_LCIA!D$60)+Transportation_LCIA!D$62</f>
        <v>3.4401752281760434</v>
      </c>
      <c r="AA229" s="137">
        <f>Transportation_LCIA!E$61*($W229^Transportation_LCIA!E$60)+Transportation_LCIA!E$62</f>
        <v>1.8141836341962153E-3</v>
      </c>
      <c r="AB229" s="137">
        <f>Transportation_LCIA!F$61*($W229^Transportation_LCIA!F$60)+Transportation_LCIA!F$62</f>
        <v>0.32157602463370416</v>
      </c>
      <c r="AC229" s="137">
        <f>Transportation_LCIA!G$61*($W229^Transportation_LCIA!G$60)+Transportation_LCIA!G$62</f>
        <v>8.0143040676289495E-2</v>
      </c>
      <c r="AD229" s="137">
        <f>Transportation_LCIA!H$61*($W229^Transportation_LCIA!H$60)+Transportation_LCIA!H$62</f>
        <v>4.2530075100495493E-4</v>
      </c>
      <c r="AE229" s="137">
        <f>Transportation_LCIA!I$61*($W229^Transportation_LCIA!I$60)+Transportation_LCIA!I$62</f>
        <v>9.7085338694522006E-6</v>
      </c>
      <c r="AF229" s="137">
        <f>Transportation_LCIA!J$61*($W229^Transportation_LCIA!J$60)+Transportation_LCIA!J$62</f>
        <v>1.4453429332288598E-2</v>
      </c>
      <c r="AG229" s="137">
        <f>Transportation_LCIA!K$61*($W229^Transportation_LCIA!K$60)+Transportation_LCIA!K$62</f>
        <v>1.7573386146825021E-2</v>
      </c>
      <c r="AH229" s="137">
        <f>Transportation_LCIA!L$61*($W229^Transportation_LCIA!L$60)+Transportation_LCIA!L$62</f>
        <v>3.7692466700234696E-4</v>
      </c>
      <c r="AI229" s="137">
        <f>Transportation_LCIA!M$61*($W229^Transportation_LCIA!M$60)+Transportation_LCIA!M$62</f>
        <v>3.2560324687594627E-4</v>
      </c>
      <c r="AJ229" s="137">
        <f>Transportation_LCIA!N$61*($W229^Transportation_LCIA!N$60)+Transportation_LCIA!N$62</f>
        <v>1.4886217992903391E-3</v>
      </c>
      <c r="AK229" s="137">
        <f>Transportation_LCIA!O$61*($W229^Transportation_LCIA!O$60)+Transportation_LCIA!O$62</f>
        <v>8.4836431112135085E-5</v>
      </c>
      <c r="AL229" s="137">
        <f>Transportation_LCIA!P$61*($W229^Transportation_LCIA!P$60)+Transportation_LCIA!P$62</f>
        <v>4.094417350036071E-8</v>
      </c>
      <c r="AM229" s="137">
        <f>Transportation_LCIA!Q$61*($W229^Transportation_LCIA!Q$60)+Transportation_LCIA!Q$62</f>
        <v>1.4864785211779024E-4</v>
      </c>
      <c r="AN229" s="137">
        <f>Transportation_LCIA!R$61*($W229^Transportation_LCIA!R$60)+Transportation_LCIA!R$62</f>
        <v>4.664545941177262E-4</v>
      </c>
      <c r="AO229" s="137">
        <f>Transportation_LCIA!S$61*($W229^Transportation_LCIA!S$60)+Transportation_LCIA!S$62</f>
        <v>6.8758863533443067E-6</v>
      </c>
      <c r="AP229" s="137">
        <f>Transportation_LCIA!T$61*($W229^Transportation_LCIA!T$60)+Transportation_LCIA!T$62</f>
        <v>6.8758863533443067E-6</v>
      </c>
      <c r="AQ229" s="137">
        <f>Transportation_LCIA!U$61*($W229^Transportation_LCIA!U$60)+Transportation_LCIA!U$62</f>
        <v>1.0106481886833722E-3</v>
      </c>
      <c r="AR229" s="137">
        <f>Transportation_LCIA!V$61*($W229^Transportation_LCIA!V$60)+Transportation_LCIA!V$62</f>
        <v>3.8699391574166265E-4</v>
      </c>
      <c r="AT229" s="137">
        <f>$W229*Y229+$L229*Summary_LCIA!H$32</f>
        <v>176.10077050551362</v>
      </c>
      <c r="AU229" s="137">
        <f>$W229*Z229+$L229*Summary_LCIA!Q$32</f>
        <v>1902.5487491832314</v>
      </c>
      <c r="AV229" s="137">
        <f>$W229*AA229+$L229*Summary_LCIA!R$32</f>
        <v>1.040751595433921</v>
      </c>
      <c r="AW229" s="137">
        <f>$W229*AB229+$L229*Summary_LCIA!S$32</f>
        <v>176.03837336551365</v>
      </c>
      <c r="AX229" s="137">
        <f>$W229*AC229+$L229*Summary_LCIA!T$32</f>
        <v>44.243722256776948</v>
      </c>
      <c r="AY229" s="137">
        <f>$W229*AD229+$L229*Summary_LCIA!U$32</f>
        <v>0.47944999930763404</v>
      </c>
      <c r="AZ229" s="137">
        <f>$W229*AE229+$L229*Summary_LCIA!V$32</f>
        <v>5.8459860473390919E-3</v>
      </c>
      <c r="BA229" s="137">
        <f>$W229*AF229+$L229*Summary_LCIA!W$32</f>
        <v>8.7859533491053057</v>
      </c>
      <c r="BB229" s="137">
        <f>$W229*AG229+$L229*Summary_LCIA!X$32</f>
        <v>9.682942573918135</v>
      </c>
      <c r="BC229" s="137">
        <f>$W229*AH229+$L229*Summary_LCIA!Y$32</f>
        <v>0.42075917540661473</v>
      </c>
      <c r="BD229" s="137">
        <f>$W229*AI229+$L229*Summary_LCIA!Z$32</f>
        <v>0.17402804257295745</v>
      </c>
      <c r="BE229" s="137">
        <f>$W229*AJ229+$L229*Summary_LCIA!AA$32</f>
        <v>1.1227067139046212</v>
      </c>
      <c r="BF229" s="137">
        <f>$W229*AK229+$L229*Summary_LCIA!AB$32</f>
        <v>4.4884361627128201E-2</v>
      </c>
      <c r="BG229" s="137">
        <f>$W229*AL229+$L229*Summary_LCIA!AC$32</f>
        <v>2.2501090466607526E-5</v>
      </c>
      <c r="BH229" s="137">
        <f>$W229*AM229+$L229*Summary_LCIA!AD$32</f>
        <v>8.4987485268403634E-2</v>
      </c>
      <c r="BI229" s="137">
        <f>$W229*AN229+$L229*Summary_LCIA!AE$32</f>
        <v>0.26099024473193461</v>
      </c>
      <c r="BJ229" s="137">
        <f>$W229*AO229+$L229*Summary_LCIA!AF$32</f>
        <v>1.5597584479082084E-2</v>
      </c>
      <c r="BK229" s="137">
        <f>$W229*AP229+$L229*Summary_LCIA!AG$32</f>
        <v>4.3850866440820835E-3</v>
      </c>
      <c r="BL229" s="137">
        <f>$W229*AQ229+$L229*Summary_LCIA!AH$32</f>
        <v>0.66124184598554536</v>
      </c>
      <c r="BM229" s="137">
        <f>$W229*AR229+$L229*Summary_LCIA!AI$32</f>
        <v>0.21930266987603722</v>
      </c>
    </row>
    <row r="230" spans="1:65" x14ac:dyDescent="0.25">
      <c r="A230" s="149">
        <v>59</v>
      </c>
      <c r="B230" s="149">
        <v>43</v>
      </c>
      <c r="C230" s="61">
        <v>45.504741000000003</v>
      </c>
      <c r="D230" s="61">
        <v>-73.614750999999998</v>
      </c>
      <c r="E230" s="61" t="s">
        <v>458</v>
      </c>
      <c r="F230" s="149">
        <v>124</v>
      </c>
      <c r="G230" s="61" t="s">
        <v>654</v>
      </c>
      <c r="H230" s="61" t="s">
        <v>655</v>
      </c>
      <c r="I230" s="61">
        <v>45.465685000000001</v>
      </c>
      <c r="J230" s="61">
        <v>-73.745480999999998</v>
      </c>
      <c r="K230" s="61">
        <v>12.713174800000001</v>
      </c>
      <c r="L230" s="61">
        <v>14.117000000000001</v>
      </c>
      <c r="M230" s="61" t="s">
        <v>617</v>
      </c>
      <c r="N230" s="149">
        <v>42</v>
      </c>
      <c r="O230" s="149">
        <v>43</v>
      </c>
      <c r="P230" s="61" t="s">
        <v>565</v>
      </c>
      <c r="Q230" s="61" t="s">
        <v>555</v>
      </c>
      <c r="R230" s="61">
        <v>40.6895314</v>
      </c>
      <c r="S230" s="61">
        <v>-74.174462399999996</v>
      </c>
      <c r="T230" s="61">
        <v>610.48800000000006</v>
      </c>
      <c r="U230" s="61" t="s">
        <v>617</v>
      </c>
      <c r="V230" s="61" t="s">
        <v>569</v>
      </c>
      <c r="W230" s="61" cm="1">
        <f t="array" ref="W230">getDistance(I230,J230,R230,S230)*SA!$B$12</f>
        <v>532.70082587978914</v>
      </c>
      <c r="Y230" s="137">
        <f>Transportation_LCIA!C$61*($W230^Transportation_LCIA!C$60)+Transportation_LCIA!C$62</f>
        <v>0.32157602463370416</v>
      </c>
      <c r="Z230" s="137">
        <f>Transportation_LCIA!D$61*($W230^Transportation_LCIA!D$60)+Transportation_LCIA!D$62</f>
        <v>3.4401752281760434</v>
      </c>
      <c r="AA230" s="137">
        <f>Transportation_LCIA!E$61*($W230^Transportation_LCIA!E$60)+Transportation_LCIA!E$62</f>
        <v>1.8141836341962153E-3</v>
      </c>
      <c r="AB230" s="137">
        <f>Transportation_LCIA!F$61*($W230^Transportation_LCIA!F$60)+Transportation_LCIA!F$62</f>
        <v>0.32157602463370416</v>
      </c>
      <c r="AC230" s="137">
        <f>Transportation_LCIA!G$61*($W230^Transportation_LCIA!G$60)+Transportation_LCIA!G$62</f>
        <v>8.0143040676289495E-2</v>
      </c>
      <c r="AD230" s="137">
        <f>Transportation_LCIA!H$61*($W230^Transportation_LCIA!H$60)+Transportation_LCIA!H$62</f>
        <v>4.2530075100495493E-4</v>
      </c>
      <c r="AE230" s="137">
        <f>Transportation_LCIA!I$61*($W230^Transportation_LCIA!I$60)+Transportation_LCIA!I$62</f>
        <v>9.7085338694522006E-6</v>
      </c>
      <c r="AF230" s="137">
        <f>Transportation_LCIA!J$61*($W230^Transportation_LCIA!J$60)+Transportation_LCIA!J$62</f>
        <v>1.4453429332288598E-2</v>
      </c>
      <c r="AG230" s="137">
        <f>Transportation_LCIA!K$61*($W230^Transportation_LCIA!K$60)+Transportation_LCIA!K$62</f>
        <v>1.7573386146825021E-2</v>
      </c>
      <c r="AH230" s="137">
        <f>Transportation_LCIA!L$61*($W230^Transportation_LCIA!L$60)+Transportation_LCIA!L$62</f>
        <v>3.7692466700234696E-4</v>
      </c>
      <c r="AI230" s="137">
        <f>Transportation_LCIA!M$61*($W230^Transportation_LCIA!M$60)+Transportation_LCIA!M$62</f>
        <v>3.2560324687594627E-4</v>
      </c>
      <c r="AJ230" s="137">
        <f>Transportation_LCIA!N$61*($W230^Transportation_LCIA!N$60)+Transportation_LCIA!N$62</f>
        <v>1.4886217992903391E-3</v>
      </c>
      <c r="AK230" s="137">
        <f>Transportation_LCIA!O$61*($W230^Transportation_LCIA!O$60)+Transportation_LCIA!O$62</f>
        <v>8.4836431112135085E-5</v>
      </c>
      <c r="AL230" s="137">
        <f>Transportation_LCIA!P$61*($W230^Transportation_LCIA!P$60)+Transportation_LCIA!P$62</f>
        <v>4.094417350036071E-8</v>
      </c>
      <c r="AM230" s="137">
        <f>Transportation_LCIA!Q$61*($W230^Transportation_LCIA!Q$60)+Transportation_LCIA!Q$62</f>
        <v>1.4864785211779024E-4</v>
      </c>
      <c r="AN230" s="137">
        <f>Transportation_LCIA!R$61*($W230^Transportation_LCIA!R$60)+Transportation_LCIA!R$62</f>
        <v>4.664545941177262E-4</v>
      </c>
      <c r="AO230" s="137">
        <f>Transportation_LCIA!S$61*($W230^Transportation_LCIA!S$60)+Transportation_LCIA!S$62</f>
        <v>6.8758863533443067E-6</v>
      </c>
      <c r="AP230" s="137">
        <f>Transportation_LCIA!T$61*($W230^Transportation_LCIA!T$60)+Transportation_LCIA!T$62</f>
        <v>6.8758863533443067E-6</v>
      </c>
      <c r="AQ230" s="137">
        <f>Transportation_LCIA!U$61*($W230^Transportation_LCIA!U$60)+Transportation_LCIA!U$62</f>
        <v>1.0106481886833722E-3</v>
      </c>
      <c r="AR230" s="137">
        <f>Transportation_LCIA!V$61*($W230^Transportation_LCIA!V$60)+Transportation_LCIA!V$62</f>
        <v>3.8699391574166265E-4</v>
      </c>
      <c r="AT230" s="137">
        <f>$W230*Y230+$L230*Summary_LCIA!H$32</f>
        <v>176.10077050551362</v>
      </c>
      <c r="AU230" s="137">
        <f>$W230*Z230+$L230*Summary_LCIA!Q$32</f>
        <v>1902.5487491832314</v>
      </c>
      <c r="AV230" s="137">
        <f>$W230*AA230+$L230*Summary_LCIA!R$32</f>
        <v>1.040751595433921</v>
      </c>
      <c r="AW230" s="137">
        <f>$W230*AB230+$L230*Summary_LCIA!S$32</f>
        <v>176.03837336551365</v>
      </c>
      <c r="AX230" s="137">
        <f>$W230*AC230+$L230*Summary_LCIA!T$32</f>
        <v>44.243722256776948</v>
      </c>
      <c r="AY230" s="137">
        <f>$W230*AD230+$L230*Summary_LCIA!U$32</f>
        <v>0.47944999930763404</v>
      </c>
      <c r="AZ230" s="137">
        <f>$W230*AE230+$L230*Summary_LCIA!V$32</f>
        <v>5.8459860473390919E-3</v>
      </c>
      <c r="BA230" s="137">
        <f>$W230*AF230+$L230*Summary_LCIA!W$32</f>
        <v>8.7859533491053057</v>
      </c>
      <c r="BB230" s="137">
        <f>$W230*AG230+$L230*Summary_LCIA!X$32</f>
        <v>9.682942573918135</v>
      </c>
      <c r="BC230" s="137">
        <f>$W230*AH230+$L230*Summary_LCIA!Y$32</f>
        <v>0.42075917540661473</v>
      </c>
      <c r="BD230" s="137">
        <f>$W230*AI230+$L230*Summary_LCIA!Z$32</f>
        <v>0.17402804257295745</v>
      </c>
      <c r="BE230" s="137">
        <f>$W230*AJ230+$L230*Summary_LCIA!AA$32</f>
        <v>1.1227067139046212</v>
      </c>
      <c r="BF230" s="137">
        <f>$W230*AK230+$L230*Summary_LCIA!AB$32</f>
        <v>4.4884361627128201E-2</v>
      </c>
      <c r="BG230" s="137">
        <f>$W230*AL230+$L230*Summary_LCIA!AC$32</f>
        <v>2.2501090466607526E-5</v>
      </c>
      <c r="BH230" s="137">
        <f>$W230*AM230+$L230*Summary_LCIA!AD$32</f>
        <v>8.4987485268403634E-2</v>
      </c>
      <c r="BI230" s="137">
        <f>$W230*AN230+$L230*Summary_LCIA!AE$32</f>
        <v>0.26099024473193461</v>
      </c>
      <c r="BJ230" s="137">
        <f>$W230*AO230+$L230*Summary_LCIA!AF$32</f>
        <v>1.5597584479082084E-2</v>
      </c>
      <c r="BK230" s="137">
        <f>$W230*AP230+$L230*Summary_LCIA!AG$32</f>
        <v>4.3850866440820835E-3</v>
      </c>
      <c r="BL230" s="137">
        <f>$W230*AQ230+$L230*Summary_LCIA!AH$32</f>
        <v>0.66124184598554536</v>
      </c>
      <c r="BM230" s="137">
        <f>$W230*AR230+$L230*Summary_LCIA!AI$32</f>
        <v>0.21930266987603722</v>
      </c>
    </row>
    <row r="231" spans="1:65" x14ac:dyDescent="0.25">
      <c r="A231" s="149">
        <v>60</v>
      </c>
      <c r="B231" s="149">
        <v>43</v>
      </c>
      <c r="C231" s="61">
        <v>45.504741000000003</v>
      </c>
      <c r="D231" s="61">
        <v>-73.614750999999998</v>
      </c>
      <c r="E231" s="61" t="s">
        <v>458</v>
      </c>
      <c r="F231" s="149">
        <v>124</v>
      </c>
      <c r="G231" s="61" t="s">
        <v>654</v>
      </c>
      <c r="H231" s="61" t="s">
        <v>655</v>
      </c>
      <c r="I231" s="61">
        <v>45.465685000000001</v>
      </c>
      <c r="J231" s="61">
        <v>-73.745480999999998</v>
      </c>
      <c r="K231" s="61">
        <v>12.713174800000001</v>
      </c>
      <c r="L231" s="61">
        <v>14.117000000000001</v>
      </c>
      <c r="M231" s="61" t="s">
        <v>617</v>
      </c>
      <c r="N231" s="149">
        <v>42</v>
      </c>
      <c r="O231" s="149">
        <v>43</v>
      </c>
      <c r="P231" s="61" t="s">
        <v>565</v>
      </c>
      <c r="Q231" s="61" t="s">
        <v>555</v>
      </c>
      <c r="R231" s="61">
        <v>40.6895314</v>
      </c>
      <c r="S231" s="61">
        <v>-74.174462399999996</v>
      </c>
      <c r="T231" s="61">
        <v>610.48800000000006</v>
      </c>
      <c r="U231" s="61" t="s">
        <v>617</v>
      </c>
      <c r="V231" s="61" t="s">
        <v>569</v>
      </c>
      <c r="W231" s="61" cm="1">
        <f t="array" ref="W231">getDistance(I231,J231,R231,S231)*SA!$B$12</f>
        <v>532.70082587978914</v>
      </c>
      <c r="Y231" s="137">
        <f>Transportation_LCIA!C$61*($W231^Transportation_LCIA!C$60)+Transportation_LCIA!C$62</f>
        <v>0.32157602463370416</v>
      </c>
      <c r="Z231" s="137">
        <f>Transportation_LCIA!D$61*($W231^Transportation_LCIA!D$60)+Transportation_LCIA!D$62</f>
        <v>3.4401752281760434</v>
      </c>
      <c r="AA231" s="137">
        <f>Transportation_LCIA!E$61*($W231^Transportation_LCIA!E$60)+Transportation_LCIA!E$62</f>
        <v>1.8141836341962153E-3</v>
      </c>
      <c r="AB231" s="137">
        <f>Transportation_LCIA!F$61*($W231^Transportation_LCIA!F$60)+Transportation_LCIA!F$62</f>
        <v>0.32157602463370416</v>
      </c>
      <c r="AC231" s="137">
        <f>Transportation_LCIA!G$61*($W231^Transportation_LCIA!G$60)+Transportation_LCIA!G$62</f>
        <v>8.0143040676289495E-2</v>
      </c>
      <c r="AD231" s="137">
        <f>Transportation_LCIA!H$61*($W231^Transportation_LCIA!H$60)+Transportation_LCIA!H$62</f>
        <v>4.2530075100495493E-4</v>
      </c>
      <c r="AE231" s="137">
        <f>Transportation_LCIA!I$61*($W231^Transportation_LCIA!I$60)+Transportation_LCIA!I$62</f>
        <v>9.7085338694522006E-6</v>
      </c>
      <c r="AF231" s="137">
        <f>Transportation_LCIA!J$61*($W231^Transportation_LCIA!J$60)+Transportation_LCIA!J$62</f>
        <v>1.4453429332288598E-2</v>
      </c>
      <c r="AG231" s="137">
        <f>Transportation_LCIA!K$61*($W231^Transportation_LCIA!K$60)+Transportation_LCIA!K$62</f>
        <v>1.7573386146825021E-2</v>
      </c>
      <c r="AH231" s="137">
        <f>Transportation_LCIA!L$61*($W231^Transportation_LCIA!L$60)+Transportation_LCIA!L$62</f>
        <v>3.7692466700234696E-4</v>
      </c>
      <c r="AI231" s="137">
        <f>Transportation_LCIA!M$61*($W231^Transportation_LCIA!M$60)+Transportation_LCIA!M$62</f>
        <v>3.2560324687594627E-4</v>
      </c>
      <c r="AJ231" s="137">
        <f>Transportation_LCIA!N$61*($W231^Transportation_LCIA!N$60)+Transportation_LCIA!N$62</f>
        <v>1.4886217992903391E-3</v>
      </c>
      <c r="AK231" s="137">
        <f>Transportation_LCIA!O$61*($W231^Transportation_LCIA!O$60)+Transportation_LCIA!O$62</f>
        <v>8.4836431112135085E-5</v>
      </c>
      <c r="AL231" s="137">
        <f>Transportation_LCIA!P$61*($W231^Transportation_LCIA!P$60)+Transportation_LCIA!P$62</f>
        <v>4.094417350036071E-8</v>
      </c>
      <c r="AM231" s="137">
        <f>Transportation_LCIA!Q$61*($W231^Transportation_LCIA!Q$60)+Transportation_LCIA!Q$62</f>
        <v>1.4864785211779024E-4</v>
      </c>
      <c r="AN231" s="137">
        <f>Transportation_LCIA!R$61*($W231^Transportation_LCIA!R$60)+Transportation_LCIA!R$62</f>
        <v>4.664545941177262E-4</v>
      </c>
      <c r="AO231" s="137">
        <f>Transportation_LCIA!S$61*($W231^Transportation_LCIA!S$60)+Transportation_LCIA!S$62</f>
        <v>6.8758863533443067E-6</v>
      </c>
      <c r="AP231" s="137">
        <f>Transportation_LCIA!T$61*($W231^Transportation_LCIA!T$60)+Transportation_LCIA!T$62</f>
        <v>6.8758863533443067E-6</v>
      </c>
      <c r="AQ231" s="137">
        <f>Transportation_LCIA!U$61*($W231^Transportation_LCIA!U$60)+Transportation_LCIA!U$62</f>
        <v>1.0106481886833722E-3</v>
      </c>
      <c r="AR231" s="137">
        <f>Transportation_LCIA!V$61*($W231^Transportation_LCIA!V$60)+Transportation_LCIA!V$62</f>
        <v>3.8699391574166265E-4</v>
      </c>
      <c r="AT231" s="137">
        <f>$W231*Y231+$L231*Summary_LCIA!H$32</f>
        <v>176.10077050551362</v>
      </c>
      <c r="AU231" s="137">
        <f>$W231*Z231+$L231*Summary_LCIA!Q$32</f>
        <v>1902.5487491832314</v>
      </c>
      <c r="AV231" s="137">
        <f>$W231*AA231+$L231*Summary_LCIA!R$32</f>
        <v>1.040751595433921</v>
      </c>
      <c r="AW231" s="137">
        <f>$W231*AB231+$L231*Summary_LCIA!S$32</f>
        <v>176.03837336551365</v>
      </c>
      <c r="AX231" s="137">
        <f>$W231*AC231+$L231*Summary_LCIA!T$32</f>
        <v>44.243722256776948</v>
      </c>
      <c r="AY231" s="137">
        <f>$W231*AD231+$L231*Summary_LCIA!U$32</f>
        <v>0.47944999930763404</v>
      </c>
      <c r="AZ231" s="137">
        <f>$W231*AE231+$L231*Summary_LCIA!V$32</f>
        <v>5.8459860473390919E-3</v>
      </c>
      <c r="BA231" s="137">
        <f>$W231*AF231+$L231*Summary_LCIA!W$32</f>
        <v>8.7859533491053057</v>
      </c>
      <c r="BB231" s="137">
        <f>$W231*AG231+$L231*Summary_LCIA!X$32</f>
        <v>9.682942573918135</v>
      </c>
      <c r="BC231" s="137">
        <f>$W231*AH231+$L231*Summary_LCIA!Y$32</f>
        <v>0.42075917540661473</v>
      </c>
      <c r="BD231" s="137">
        <f>$W231*AI231+$L231*Summary_LCIA!Z$32</f>
        <v>0.17402804257295745</v>
      </c>
      <c r="BE231" s="137">
        <f>$W231*AJ231+$L231*Summary_LCIA!AA$32</f>
        <v>1.1227067139046212</v>
      </c>
      <c r="BF231" s="137">
        <f>$W231*AK231+$L231*Summary_LCIA!AB$32</f>
        <v>4.4884361627128201E-2</v>
      </c>
      <c r="BG231" s="137">
        <f>$W231*AL231+$L231*Summary_LCIA!AC$32</f>
        <v>2.2501090466607526E-5</v>
      </c>
      <c r="BH231" s="137">
        <f>$W231*AM231+$L231*Summary_LCIA!AD$32</f>
        <v>8.4987485268403634E-2</v>
      </c>
      <c r="BI231" s="137">
        <f>$W231*AN231+$L231*Summary_LCIA!AE$32</f>
        <v>0.26099024473193461</v>
      </c>
      <c r="BJ231" s="137">
        <f>$W231*AO231+$L231*Summary_LCIA!AF$32</f>
        <v>1.5597584479082084E-2</v>
      </c>
      <c r="BK231" s="137">
        <f>$W231*AP231+$L231*Summary_LCIA!AG$32</f>
        <v>4.3850866440820835E-3</v>
      </c>
      <c r="BL231" s="137">
        <f>$W231*AQ231+$L231*Summary_LCIA!AH$32</f>
        <v>0.66124184598554536</v>
      </c>
      <c r="BM231" s="137">
        <f>$W231*AR231+$L231*Summary_LCIA!AI$32</f>
        <v>0.21930266987603722</v>
      </c>
    </row>
    <row r="232" spans="1:65" x14ac:dyDescent="0.25">
      <c r="A232" s="149">
        <v>61</v>
      </c>
      <c r="B232" s="149">
        <v>43</v>
      </c>
      <c r="C232" s="61">
        <v>45.504741000000003</v>
      </c>
      <c r="D232" s="61">
        <v>-73.614750999999998</v>
      </c>
      <c r="E232" s="61" t="s">
        <v>458</v>
      </c>
      <c r="F232" s="149">
        <v>124</v>
      </c>
      <c r="G232" s="61" t="s">
        <v>654</v>
      </c>
      <c r="H232" s="61" t="s">
        <v>655</v>
      </c>
      <c r="I232" s="61">
        <v>45.465685000000001</v>
      </c>
      <c r="J232" s="61">
        <v>-73.745480999999998</v>
      </c>
      <c r="K232" s="61">
        <v>12.713174800000001</v>
      </c>
      <c r="L232" s="61">
        <v>14.117000000000001</v>
      </c>
      <c r="M232" s="61" t="s">
        <v>617</v>
      </c>
      <c r="N232" s="149">
        <v>42</v>
      </c>
      <c r="O232" s="149">
        <v>43</v>
      </c>
      <c r="P232" s="61" t="s">
        <v>565</v>
      </c>
      <c r="Q232" s="61" t="s">
        <v>555</v>
      </c>
      <c r="R232" s="61">
        <v>40.6895314</v>
      </c>
      <c r="S232" s="61">
        <v>-74.174462399999996</v>
      </c>
      <c r="T232" s="61">
        <v>610.48800000000006</v>
      </c>
      <c r="U232" s="61" t="s">
        <v>617</v>
      </c>
      <c r="V232" s="61" t="s">
        <v>569</v>
      </c>
      <c r="W232" s="61" cm="1">
        <f t="array" ref="W232">getDistance(I232,J232,R232,S232)*SA!$B$12</f>
        <v>532.70082587978914</v>
      </c>
      <c r="Y232" s="137">
        <f>Transportation_LCIA!C$61*($W232^Transportation_LCIA!C$60)+Transportation_LCIA!C$62</f>
        <v>0.32157602463370416</v>
      </c>
      <c r="Z232" s="137">
        <f>Transportation_LCIA!D$61*($W232^Transportation_LCIA!D$60)+Transportation_LCIA!D$62</f>
        <v>3.4401752281760434</v>
      </c>
      <c r="AA232" s="137">
        <f>Transportation_LCIA!E$61*($W232^Transportation_LCIA!E$60)+Transportation_LCIA!E$62</f>
        <v>1.8141836341962153E-3</v>
      </c>
      <c r="AB232" s="137">
        <f>Transportation_LCIA!F$61*($W232^Transportation_LCIA!F$60)+Transportation_LCIA!F$62</f>
        <v>0.32157602463370416</v>
      </c>
      <c r="AC232" s="137">
        <f>Transportation_LCIA!G$61*($W232^Transportation_LCIA!G$60)+Transportation_LCIA!G$62</f>
        <v>8.0143040676289495E-2</v>
      </c>
      <c r="AD232" s="137">
        <f>Transportation_LCIA!H$61*($W232^Transportation_LCIA!H$60)+Transportation_LCIA!H$62</f>
        <v>4.2530075100495493E-4</v>
      </c>
      <c r="AE232" s="137">
        <f>Transportation_LCIA!I$61*($W232^Transportation_LCIA!I$60)+Transportation_LCIA!I$62</f>
        <v>9.7085338694522006E-6</v>
      </c>
      <c r="AF232" s="137">
        <f>Transportation_LCIA!J$61*($W232^Transportation_LCIA!J$60)+Transportation_LCIA!J$62</f>
        <v>1.4453429332288598E-2</v>
      </c>
      <c r="AG232" s="137">
        <f>Transportation_LCIA!K$61*($W232^Transportation_LCIA!K$60)+Transportation_LCIA!K$62</f>
        <v>1.7573386146825021E-2</v>
      </c>
      <c r="AH232" s="137">
        <f>Transportation_LCIA!L$61*($W232^Transportation_LCIA!L$60)+Transportation_LCIA!L$62</f>
        <v>3.7692466700234696E-4</v>
      </c>
      <c r="AI232" s="137">
        <f>Transportation_LCIA!M$61*($W232^Transportation_LCIA!M$60)+Transportation_LCIA!M$62</f>
        <v>3.2560324687594627E-4</v>
      </c>
      <c r="AJ232" s="137">
        <f>Transportation_LCIA!N$61*($W232^Transportation_LCIA!N$60)+Transportation_LCIA!N$62</f>
        <v>1.4886217992903391E-3</v>
      </c>
      <c r="AK232" s="137">
        <f>Transportation_LCIA!O$61*($W232^Transportation_LCIA!O$60)+Transportation_LCIA!O$62</f>
        <v>8.4836431112135085E-5</v>
      </c>
      <c r="AL232" s="137">
        <f>Transportation_LCIA!P$61*($W232^Transportation_LCIA!P$60)+Transportation_LCIA!P$62</f>
        <v>4.094417350036071E-8</v>
      </c>
      <c r="AM232" s="137">
        <f>Transportation_LCIA!Q$61*($W232^Transportation_LCIA!Q$60)+Transportation_LCIA!Q$62</f>
        <v>1.4864785211779024E-4</v>
      </c>
      <c r="AN232" s="137">
        <f>Transportation_LCIA!R$61*($W232^Transportation_LCIA!R$60)+Transportation_LCIA!R$62</f>
        <v>4.664545941177262E-4</v>
      </c>
      <c r="AO232" s="137">
        <f>Transportation_LCIA!S$61*($W232^Transportation_LCIA!S$60)+Transportation_LCIA!S$62</f>
        <v>6.8758863533443067E-6</v>
      </c>
      <c r="AP232" s="137">
        <f>Transportation_LCIA!T$61*($W232^Transportation_LCIA!T$60)+Transportation_LCIA!T$62</f>
        <v>6.8758863533443067E-6</v>
      </c>
      <c r="AQ232" s="137">
        <f>Transportation_LCIA!U$61*($W232^Transportation_LCIA!U$60)+Transportation_LCIA!U$62</f>
        <v>1.0106481886833722E-3</v>
      </c>
      <c r="AR232" s="137">
        <f>Transportation_LCIA!V$61*($W232^Transportation_LCIA!V$60)+Transportation_LCIA!V$62</f>
        <v>3.8699391574166265E-4</v>
      </c>
      <c r="AT232" s="137">
        <f>$W232*Y232+$L232*Summary_LCIA!H$32</f>
        <v>176.10077050551362</v>
      </c>
      <c r="AU232" s="137">
        <f>$W232*Z232+$L232*Summary_LCIA!Q$32</f>
        <v>1902.5487491832314</v>
      </c>
      <c r="AV232" s="137">
        <f>$W232*AA232+$L232*Summary_LCIA!R$32</f>
        <v>1.040751595433921</v>
      </c>
      <c r="AW232" s="137">
        <f>$W232*AB232+$L232*Summary_LCIA!S$32</f>
        <v>176.03837336551365</v>
      </c>
      <c r="AX232" s="137">
        <f>$W232*AC232+$L232*Summary_LCIA!T$32</f>
        <v>44.243722256776948</v>
      </c>
      <c r="AY232" s="137">
        <f>$W232*AD232+$L232*Summary_LCIA!U$32</f>
        <v>0.47944999930763404</v>
      </c>
      <c r="AZ232" s="137">
        <f>$W232*AE232+$L232*Summary_LCIA!V$32</f>
        <v>5.8459860473390919E-3</v>
      </c>
      <c r="BA232" s="137">
        <f>$W232*AF232+$L232*Summary_LCIA!W$32</f>
        <v>8.7859533491053057</v>
      </c>
      <c r="BB232" s="137">
        <f>$W232*AG232+$L232*Summary_LCIA!X$32</f>
        <v>9.682942573918135</v>
      </c>
      <c r="BC232" s="137">
        <f>$W232*AH232+$L232*Summary_LCIA!Y$32</f>
        <v>0.42075917540661473</v>
      </c>
      <c r="BD232" s="137">
        <f>$W232*AI232+$L232*Summary_LCIA!Z$32</f>
        <v>0.17402804257295745</v>
      </c>
      <c r="BE232" s="137">
        <f>$W232*AJ232+$L232*Summary_LCIA!AA$32</f>
        <v>1.1227067139046212</v>
      </c>
      <c r="BF232" s="137">
        <f>$W232*AK232+$L232*Summary_LCIA!AB$32</f>
        <v>4.4884361627128201E-2</v>
      </c>
      <c r="BG232" s="137">
        <f>$W232*AL232+$L232*Summary_LCIA!AC$32</f>
        <v>2.2501090466607526E-5</v>
      </c>
      <c r="BH232" s="137">
        <f>$W232*AM232+$L232*Summary_LCIA!AD$32</f>
        <v>8.4987485268403634E-2</v>
      </c>
      <c r="BI232" s="137">
        <f>$W232*AN232+$L232*Summary_LCIA!AE$32</f>
        <v>0.26099024473193461</v>
      </c>
      <c r="BJ232" s="137">
        <f>$W232*AO232+$L232*Summary_LCIA!AF$32</f>
        <v>1.5597584479082084E-2</v>
      </c>
      <c r="BK232" s="137">
        <f>$W232*AP232+$L232*Summary_LCIA!AG$32</f>
        <v>4.3850866440820835E-3</v>
      </c>
      <c r="BL232" s="137">
        <f>$W232*AQ232+$L232*Summary_LCIA!AH$32</f>
        <v>0.66124184598554536</v>
      </c>
      <c r="BM232" s="137">
        <f>$W232*AR232+$L232*Summary_LCIA!AI$32</f>
        <v>0.21930266987603722</v>
      </c>
    </row>
    <row r="233" spans="1:65" x14ac:dyDescent="0.25">
      <c r="A233" s="149">
        <v>62</v>
      </c>
      <c r="B233" s="149">
        <v>43</v>
      </c>
      <c r="C233" s="61">
        <v>45.504741000000003</v>
      </c>
      <c r="D233" s="61">
        <v>-73.614750999999998</v>
      </c>
      <c r="E233" s="61" t="s">
        <v>458</v>
      </c>
      <c r="F233" s="149">
        <v>124</v>
      </c>
      <c r="G233" s="61" t="s">
        <v>654</v>
      </c>
      <c r="H233" s="61" t="s">
        <v>655</v>
      </c>
      <c r="I233" s="61">
        <v>45.465685000000001</v>
      </c>
      <c r="J233" s="61">
        <v>-73.745480999999998</v>
      </c>
      <c r="K233" s="61">
        <v>12.713174800000001</v>
      </c>
      <c r="L233" s="61">
        <v>14.117000000000001</v>
      </c>
      <c r="M233" s="61" t="s">
        <v>617</v>
      </c>
      <c r="N233" s="149">
        <v>42</v>
      </c>
      <c r="O233" s="149">
        <v>43</v>
      </c>
      <c r="P233" s="61" t="s">
        <v>565</v>
      </c>
      <c r="Q233" s="61" t="s">
        <v>555</v>
      </c>
      <c r="R233" s="61">
        <v>40.6895314</v>
      </c>
      <c r="S233" s="61">
        <v>-74.174462399999996</v>
      </c>
      <c r="T233" s="61">
        <v>610.48800000000006</v>
      </c>
      <c r="U233" s="61" t="s">
        <v>617</v>
      </c>
      <c r="V233" s="61" t="s">
        <v>569</v>
      </c>
      <c r="W233" s="61" cm="1">
        <f t="array" ref="W233">getDistance(I233,J233,R233,S233)*SA!$B$12</f>
        <v>532.70082587978914</v>
      </c>
      <c r="Y233" s="137">
        <f>Transportation_LCIA!C$61*($W233^Transportation_LCIA!C$60)+Transportation_LCIA!C$62</f>
        <v>0.32157602463370416</v>
      </c>
      <c r="Z233" s="137">
        <f>Transportation_LCIA!D$61*($W233^Transportation_LCIA!D$60)+Transportation_LCIA!D$62</f>
        <v>3.4401752281760434</v>
      </c>
      <c r="AA233" s="137">
        <f>Transportation_LCIA!E$61*($W233^Transportation_LCIA!E$60)+Transportation_LCIA!E$62</f>
        <v>1.8141836341962153E-3</v>
      </c>
      <c r="AB233" s="137">
        <f>Transportation_LCIA!F$61*($W233^Transportation_LCIA!F$60)+Transportation_LCIA!F$62</f>
        <v>0.32157602463370416</v>
      </c>
      <c r="AC233" s="137">
        <f>Transportation_LCIA!G$61*($W233^Transportation_LCIA!G$60)+Transportation_LCIA!G$62</f>
        <v>8.0143040676289495E-2</v>
      </c>
      <c r="AD233" s="137">
        <f>Transportation_LCIA!H$61*($W233^Transportation_LCIA!H$60)+Transportation_LCIA!H$62</f>
        <v>4.2530075100495493E-4</v>
      </c>
      <c r="AE233" s="137">
        <f>Transportation_LCIA!I$61*($W233^Transportation_LCIA!I$60)+Transportation_LCIA!I$62</f>
        <v>9.7085338694522006E-6</v>
      </c>
      <c r="AF233" s="137">
        <f>Transportation_LCIA!J$61*($W233^Transportation_LCIA!J$60)+Transportation_LCIA!J$62</f>
        <v>1.4453429332288598E-2</v>
      </c>
      <c r="AG233" s="137">
        <f>Transportation_LCIA!K$61*($W233^Transportation_LCIA!K$60)+Transportation_LCIA!K$62</f>
        <v>1.7573386146825021E-2</v>
      </c>
      <c r="AH233" s="137">
        <f>Transportation_LCIA!L$61*($W233^Transportation_LCIA!L$60)+Transportation_LCIA!L$62</f>
        <v>3.7692466700234696E-4</v>
      </c>
      <c r="AI233" s="137">
        <f>Transportation_LCIA!M$61*($W233^Transportation_LCIA!M$60)+Transportation_LCIA!M$62</f>
        <v>3.2560324687594627E-4</v>
      </c>
      <c r="AJ233" s="137">
        <f>Transportation_LCIA!N$61*($W233^Transportation_LCIA!N$60)+Transportation_LCIA!N$62</f>
        <v>1.4886217992903391E-3</v>
      </c>
      <c r="AK233" s="137">
        <f>Transportation_LCIA!O$61*($W233^Transportation_LCIA!O$60)+Transportation_LCIA!O$62</f>
        <v>8.4836431112135085E-5</v>
      </c>
      <c r="AL233" s="137">
        <f>Transportation_LCIA!P$61*($W233^Transportation_LCIA!P$60)+Transportation_LCIA!P$62</f>
        <v>4.094417350036071E-8</v>
      </c>
      <c r="AM233" s="137">
        <f>Transportation_LCIA!Q$61*($W233^Transportation_LCIA!Q$60)+Transportation_LCIA!Q$62</f>
        <v>1.4864785211779024E-4</v>
      </c>
      <c r="AN233" s="137">
        <f>Transportation_LCIA!R$61*($W233^Transportation_LCIA!R$60)+Transportation_LCIA!R$62</f>
        <v>4.664545941177262E-4</v>
      </c>
      <c r="AO233" s="137">
        <f>Transportation_LCIA!S$61*($W233^Transportation_LCIA!S$60)+Transportation_LCIA!S$62</f>
        <v>6.8758863533443067E-6</v>
      </c>
      <c r="AP233" s="137">
        <f>Transportation_LCIA!T$61*($W233^Transportation_LCIA!T$60)+Transportation_LCIA!T$62</f>
        <v>6.8758863533443067E-6</v>
      </c>
      <c r="AQ233" s="137">
        <f>Transportation_LCIA!U$61*($W233^Transportation_LCIA!U$60)+Transportation_LCIA!U$62</f>
        <v>1.0106481886833722E-3</v>
      </c>
      <c r="AR233" s="137">
        <f>Transportation_LCIA!V$61*($W233^Transportation_LCIA!V$60)+Transportation_LCIA!V$62</f>
        <v>3.8699391574166265E-4</v>
      </c>
      <c r="AT233" s="137">
        <f>$W233*Y233+$L233*Summary_LCIA!H$32</f>
        <v>176.10077050551362</v>
      </c>
      <c r="AU233" s="137">
        <f>$W233*Z233+$L233*Summary_LCIA!Q$32</f>
        <v>1902.5487491832314</v>
      </c>
      <c r="AV233" s="137">
        <f>$W233*AA233+$L233*Summary_LCIA!R$32</f>
        <v>1.040751595433921</v>
      </c>
      <c r="AW233" s="137">
        <f>$W233*AB233+$L233*Summary_LCIA!S$32</f>
        <v>176.03837336551365</v>
      </c>
      <c r="AX233" s="137">
        <f>$W233*AC233+$L233*Summary_LCIA!T$32</f>
        <v>44.243722256776948</v>
      </c>
      <c r="AY233" s="137">
        <f>$W233*AD233+$L233*Summary_LCIA!U$32</f>
        <v>0.47944999930763404</v>
      </c>
      <c r="AZ233" s="137">
        <f>$W233*AE233+$L233*Summary_LCIA!V$32</f>
        <v>5.8459860473390919E-3</v>
      </c>
      <c r="BA233" s="137">
        <f>$W233*AF233+$L233*Summary_LCIA!W$32</f>
        <v>8.7859533491053057</v>
      </c>
      <c r="BB233" s="137">
        <f>$W233*AG233+$L233*Summary_LCIA!X$32</f>
        <v>9.682942573918135</v>
      </c>
      <c r="BC233" s="137">
        <f>$W233*AH233+$L233*Summary_LCIA!Y$32</f>
        <v>0.42075917540661473</v>
      </c>
      <c r="BD233" s="137">
        <f>$W233*AI233+$L233*Summary_LCIA!Z$32</f>
        <v>0.17402804257295745</v>
      </c>
      <c r="BE233" s="137">
        <f>$W233*AJ233+$L233*Summary_LCIA!AA$32</f>
        <v>1.1227067139046212</v>
      </c>
      <c r="BF233" s="137">
        <f>$W233*AK233+$L233*Summary_LCIA!AB$32</f>
        <v>4.4884361627128201E-2</v>
      </c>
      <c r="BG233" s="137">
        <f>$W233*AL233+$L233*Summary_LCIA!AC$32</f>
        <v>2.2501090466607526E-5</v>
      </c>
      <c r="BH233" s="137">
        <f>$W233*AM233+$L233*Summary_LCIA!AD$32</f>
        <v>8.4987485268403634E-2</v>
      </c>
      <c r="BI233" s="137">
        <f>$W233*AN233+$L233*Summary_LCIA!AE$32</f>
        <v>0.26099024473193461</v>
      </c>
      <c r="BJ233" s="137">
        <f>$W233*AO233+$L233*Summary_LCIA!AF$32</f>
        <v>1.5597584479082084E-2</v>
      </c>
      <c r="BK233" s="137">
        <f>$W233*AP233+$L233*Summary_LCIA!AG$32</f>
        <v>4.3850866440820835E-3</v>
      </c>
      <c r="BL233" s="137">
        <f>$W233*AQ233+$L233*Summary_LCIA!AH$32</f>
        <v>0.66124184598554536</v>
      </c>
      <c r="BM233" s="137">
        <f>$W233*AR233+$L233*Summary_LCIA!AI$32</f>
        <v>0.21930266987603722</v>
      </c>
    </row>
    <row r="234" spans="1:65" x14ac:dyDescent="0.25">
      <c r="A234" s="149">
        <v>230</v>
      </c>
      <c r="B234" s="149">
        <v>6</v>
      </c>
      <c r="C234" s="61">
        <v>44.974069999999998</v>
      </c>
      <c r="D234" s="61">
        <v>-93.024049000000005</v>
      </c>
      <c r="E234" s="61" t="s">
        <v>265</v>
      </c>
      <c r="F234" s="149">
        <v>57</v>
      </c>
      <c r="G234" s="61" t="s">
        <v>565</v>
      </c>
      <c r="H234" s="61" t="s">
        <v>641</v>
      </c>
      <c r="I234" s="61">
        <v>44.884754999999998</v>
      </c>
      <c r="J234" s="61">
        <v>-93.222284999999999</v>
      </c>
      <c r="K234" s="61">
        <v>21.929348569999998</v>
      </c>
      <c r="L234" s="61">
        <v>28.896000000000001</v>
      </c>
      <c r="M234" s="61" t="s">
        <v>617</v>
      </c>
      <c r="N234" s="149">
        <v>5</v>
      </c>
      <c r="O234" s="149">
        <v>6</v>
      </c>
      <c r="P234" s="61" t="s">
        <v>565</v>
      </c>
      <c r="Q234" s="61" t="s">
        <v>564</v>
      </c>
      <c r="R234" s="61">
        <v>41.98028</v>
      </c>
      <c r="S234" s="61">
        <v>-87.908997900000003</v>
      </c>
      <c r="T234" s="61">
        <v>617.125</v>
      </c>
      <c r="U234" s="61" t="s">
        <v>617</v>
      </c>
      <c r="V234" s="61" t="s">
        <v>569</v>
      </c>
      <c r="W234" s="61" cm="1">
        <f t="array" ref="W234">getDistance(I234,J234,R234,S234)*SA!$B$12</f>
        <v>537.9238360294454</v>
      </c>
      <c r="Y234" s="137">
        <f>Transportation_LCIA!C$61*($W234^Transportation_LCIA!C$60)+Transportation_LCIA!C$62</f>
        <v>0.31986678213898079</v>
      </c>
      <c r="Z234" s="137">
        <f>Transportation_LCIA!D$61*($W234^Transportation_LCIA!D$60)+Transportation_LCIA!D$62</f>
        <v>3.4196837590581142</v>
      </c>
      <c r="AA234" s="137">
        <f>Transportation_LCIA!E$61*($W234^Transportation_LCIA!E$60)+Transportation_LCIA!E$62</f>
        <v>1.8006084167141755E-3</v>
      </c>
      <c r="AB234" s="137">
        <f>Transportation_LCIA!F$61*($W234^Transportation_LCIA!F$60)+Transportation_LCIA!F$62</f>
        <v>0.31986678213898079</v>
      </c>
      <c r="AC234" s="137">
        <f>Transportation_LCIA!G$61*($W234^Transportation_LCIA!G$60)+Transportation_LCIA!G$62</f>
        <v>7.9669699225259488E-2</v>
      </c>
      <c r="AD234" s="137">
        <f>Transportation_LCIA!H$61*($W234^Transportation_LCIA!H$60)+Transportation_LCIA!H$62</f>
        <v>4.2227087470452683E-4</v>
      </c>
      <c r="AE234" s="137">
        <f>Transportation_LCIA!I$61*($W234^Transportation_LCIA!I$60)+Transportation_LCIA!I$62</f>
        <v>9.6304021623867961E-6</v>
      </c>
      <c r="AF234" s="137">
        <f>Transportation_LCIA!J$61*($W234^Transportation_LCIA!J$60)+Transportation_LCIA!J$62</f>
        <v>1.4335225470337743E-2</v>
      </c>
      <c r="AG234" s="137">
        <f>Transportation_LCIA!K$61*($W234^Transportation_LCIA!K$60)+Transportation_LCIA!K$62</f>
        <v>1.7461378929992367E-2</v>
      </c>
      <c r="AH234" s="137">
        <f>Transportation_LCIA!L$61*($W234^Transportation_LCIA!L$60)+Transportation_LCIA!L$62</f>
        <v>3.741200211309115E-4</v>
      </c>
      <c r="AI234" s="137">
        <f>Transportation_LCIA!M$61*($W234^Transportation_LCIA!M$60)+Transportation_LCIA!M$62</f>
        <v>3.2392972305419126E-4</v>
      </c>
      <c r="AJ234" s="137">
        <f>Transportation_LCIA!N$61*($W234^Transportation_LCIA!N$60)+Transportation_LCIA!N$62</f>
        <v>1.4784543299395398E-3</v>
      </c>
      <c r="AK234" s="137">
        <f>Transportation_LCIA!O$61*($W234^Transportation_LCIA!O$60)+Transportation_LCIA!O$62</f>
        <v>8.4333072501823996E-5</v>
      </c>
      <c r="AL234" s="137">
        <f>Transportation_LCIA!P$61*($W234^Transportation_LCIA!P$60)+Transportation_LCIA!P$62</f>
        <v>4.0702648380323872E-8</v>
      </c>
      <c r="AM234" s="137">
        <f>Transportation_LCIA!Q$61*($W234^Transportation_LCIA!Q$60)+Transportation_LCIA!Q$62</f>
        <v>1.4754717709156823E-4</v>
      </c>
      <c r="AN234" s="137">
        <f>Transportation_LCIA!R$61*($W234^Transportation_LCIA!R$60)+Transportation_LCIA!R$62</f>
        <v>4.6270576693556009E-4</v>
      </c>
      <c r="AO234" s="137">
        <f>Transportation_LCIA!S$61*($W234^Transportation_LCIA!S$60)+Transportation_LCIA!S$62</f>
        <v>6.8227398697620497E-6</v>
      </c>
      <c r="AP234" s="137">
        <f>Transportation_LCIA!T$61*($W234^Transportation_LCIA!T$60)+Transportation_LCIA!T$62</f>
        <v>6.8227398697620497E-6</v>
      </c>
      <c r="AQ234" s="137">
        <f>Transportation_LCIA!U$61*($W234^Transportation_LCIA!U$60)+Transportation_LCIA!U$62</f>
        <v>1.002389311334221E-3</v>
      </c>
      <c r="AR234" s="137">
        <f>Transportation_LCIA!V$61*($W234^Transportation_LCIA!V$60)+Transportation_LCIA!V$62</f>
        <v>3.8411685160034487E-4</v>
      </c>
      <c r="AT234" s="137">
        <f>$W234*Y234+$L234*Summary_LCIA!H$32</f>
        <v>181.88282726659546</v>
      </c>
      <c r="AU234" s="137">
        <f>$W234*Z234+$L234*Summary_LCIA!Q$32</f>
        <v>1982.7394389921024</v>
      </c>
      <c r="AV234" s="137">
        <f>$W234*AA234+$L234*Summary_LCIA!R$32</f>
        <v>1.1207449643057954</v>
      </c>
      <c r="AW234" s="137">
        <f>$W234*AB234+$L234*Summary_LCIA!S$32</f>
        <v>181.75510694659545</v>
      </c>
      <c r="AX234" s="137">
        <f>$W234*AC234+$L234*Summary_LCIA!T$32</f>
        <v>46.031900622563718</v>
      </c>
      <c r="AY234" s="137">
        <f>$W234*AD234+$L234*Summary_LCIA!U$32</f>
        <v>0.74479251276456837</v>
      </c>
      <c r="AZ234" s="137">
        <f>$W234*AE234+$L234*Summary_LCIA!V$32</f>
        <v>6.560524729697371E-3</v>
      </c>
      <c r="BA234" s="137">
        <f>$W234*AF234+$L234*Summary_LCIA!W$32</f>
        <v>9.9354134913510883</v>
      </c>
      <c r="BB234" s="137">
        <f>$W234*AG234+$L234*Summary_LCIA!X$32</f>
        <v>10.051142816385228</v>
      </c>
      <c r="BC234" s="137">
        <f>$W234*AH234+$L234*Summary_LCIA!Y$32</f>
        <v>0.65150554890215717</v>
      </c>
      <c r="BD234" s="137">
        <f>$W234*AI234+$L234*Summary_LCIA!Z$32</f>
        <v>0.17543451529326642</v>
      </c>
      <c r="BE234" s="137">
        <f>$W234*AJ234+$L234*Summary_LCIA!AA$32</f>
        <v>1.4701908005554205</v>
      </c>
      <c r="BF234" s="137">
        <f>$W234*AK234+$L234*Summary_LCIA!AB$32</f>
        <v>4.4734172456330504E-2</v>
      </c>
      <c r="BG234" s="137">
        <f>$W234*AL234+$L234*Summary_LCIA!AC$32</f>
        <v>2.3307476817301509E-5</v>
      </c>
      <c r="BH234" s="137">
        <f>$W234*AM234+$L234*Summary_LCIA!AD$32</f>
        <v>9.1246555336412294E-2</v>
      </c>
      <c r="BI234" s="137">
        <f>$W234*AN234+$L234*Summary_LCIA!AE$32</f>
        <v>0.274506073582923</v>
      </c>
      <c r="BJ234" s="137">
        <f>$W234*AO234+$L234*Summary_LCIA!AF$32</f>
        <v>2.8099370722973444E-2</v>
      </c>
      <c r="BK234" s="137">
        <f>$W234*AP234+$L234*Summary_LCIA!AG$32</f>
        <v>5.1485782429734409E-3</v>
      </c>
      <c r="BL234" s="137">
        <f>$W234*AQ234+$L234*Summary_LCIA!AH$32</f>
        <v>0.79070832914781819</v>
      </c>
      <c r="BM234" s="137">
        <f>$W234*AR234+$L234*Summary_LCIA!AI$32</f>
        <v>0.23354367909641072</v>
      </c>
    </row>
    <row r="235" spans="1:65" x14ac:dyDescent="0.25">
      <c r="A235" s="149">
        <v>248</v>
      </c>
      <c r="B235" s="149">
        <v>6</v>
      </c>
      <c r="C235" s="61">
        <v>38.019613999999997</v>
      </c>
      <c r="D235" s="61">
        <v>-84.499448999999998</v>
      </c>
      <c r="E235" s="61" t="s">
        <v>265</v>
      </c>
      <c r="F235" s="149">
        <v>109</v>
      </c>
      <c r="G235" s="61" t="s">
        <v>273</v>
      </c>
      <c r="H235" s="61" t="s">
        <v>665</v>
      </c>
      <c r="I235" s="61">
        <v>39.053274999999999</v>
      </c>
      <c r="J235" s="61">
        <v>-84.663016999999996</v>
      </c>
      <c r="K235" s="61">
        <v>172.19998559999999</v>
      </c>
      <c r="L235" s="61">
        <v>132.86199999999999</v>
      </c>
      <c r="M235" s="61" t="s">
        <v>617</v>
      </c>
      <c r="N235" s="149">
        <v>5</v>
      </c>
      <c r="O235" s="149">
        <v>6</v>
      </c>
      <c r="P235" s="61" t="s">
        <v>565</v>
      </c>
      <c r="Q235" s="61" t="s">
        <v>564</v>
      </c>
      <c r="R235" s="61">
        <v>41.98028</v>
      </c>
      <c r="S235" s="61">
        <v>-87.908997900000003</v>
      </c>
      <c r="T235" s="61">
        <v>628.44299999999998</v>
      </c>
      <c r="U235" s="61" t="s">
        <v>617</v>
      </c>
      <c r="V235" s="61" t="s">
        <v>569</v>
      </c>
      <c r="W235" s="61" cm="1">
        <f t="array" ref="W235">getDistance(I235,J235,R235,S235)*SA!$B$12</f>
        <v>426.22298474711437</v>
      </c>
      <c r="Y235" s="137">
        <f>Transportation_LCIA!C$61*($W235^Transportation_LCIA!C$60)+Transportation_LCIA!C$62</f>
        <v>0.36470937059724018</v>
      </c>
      <c r="Z235" s="137">
        <f>Transportation_LCIA!D$61*($W235^Transportation_LCIA!D$60)+Transportation_LCIA!D$62</f>
        <v>3.9599843643856643</v>
      </c>
      <c r="AA235" s="137">
        <f>Transportation_LCIA!E$61*($W235^Transportation_LCIA!E$60)+Transportation_LCIA!E$62</f>
        <v>2.1590522921276657E-3</v>
      </c>
      <c r="AB235" s="137">
        <f>Transportation_LCIA!F$61*($W235^Transportation_LCIA!F$60)+Transportation_LCIA!F$62</f>
        <v>0.36470937059724018</v>
      </c>
      <c r="AC235" s="137">
        <f>Transportation_LCIA!G$61*($W235^Transportation_LCIA!G$60)+Transportation_LCIA!G$62</f>
        <v>9.2146692060025251E-2</v>
      </c>
      <c r="AD235" s="137">
        <f>Transportation_LCIA!H$61*($W235^Transportation_LCIA!H$60)+Transportation_LCIA!H$62</f>
        <v>5.0249575772855042E-4</v>
      </c>
      <c r="AE235" s="137">
        <f>Transportation_LCIA!I$61*($W235^Transportation_LCIA!I$60)+Transportation_LCIA!I$62</f>
        <v>1.1708483079934808E-5</v>
      </c>
      <c r="AF235" s="137">
        <f>Transportation_LCIA!J$61*($W235^Transportation_LCIA!J$60)+Transportation_LCIA!J$62</f>
        <v>1.7488363461505577E-2</v>
      </c>
      <c r="AG235" s="137">
        <f>Transportation_LCIA!K$61*($W235^Transportation_LCIA!K$60)+Transportation_LCIA!K$62</f>
        <v>2.0421310133522361E-2</v>
      </c>
      <c r="AH235" s="137">
        <f>Transportation_LCIA!L$61*($W235^Transportation_LCIA!L$60)+Transportation_LCIA!L$62</f>
        <v>4.4847627034344826E-4</v>
      </c>
      <c r="AI235" s="137">
        <f>Transportation_LCIA!M$61*($W235^Transportation_LCIA!M$60)+Transportation_LCIA!M$62</f>
        <v>3.6824791490361742E-4</v>
      </c>
      <c r="AJ235" s="137">
        <f>Transportation_LCIA!N$61*($W235^Transportation_LCIA!N$60)+Transportation_LCIA!N$62</f>
        <v>1.7475719590774809E-3</v>
      </c>
      <c r="AK235" s="137">
        <f>Transportation_LCIA!O$61*($W235^Transportation_LCIA!O$60)+Transportation_LCIA!O$62</f>
        <v>9.7603127192632193E-5</v>
      </c>
      <c r="AL235" s="137">
        <f>Transportation_LCIA!P$61*($W235^Transportation_LCIA!P$60)+Transportation_LCIA!P$62</f>
        <v>4.7067607312152108E-8</v>
      </c>
      <c r="AM235" s="137">
        <f>Transportation_LCIA!Q$61*($W235^Transportation_LCIA!Q$60)+Transportation_LCIA!Q$62</f>
        <v>1.7674817037411348E-4</v>
      </c>
      <c r="AN235" s="137">
        <f>Transportation_LCIA!R$61*($W235^Transportation_LCIA!R$60)+Transportation_LCIA!R$62</f>
        <v>5.6242472670821938E-4</v>
      </c>
      <c r="AO235" s="137">
        <f>Transportation_LCIA!S$61*($W235^Transportation_LCIA!S$60)+Transportation_LCIA!S$62</f>
        <v>8.2361540379476893E-6</v>
      </c>
      <c r="AP235" s="137">
        <f>Transportation_LCIA!T$61*($W235^Transportation_LCIA!T$60)+Transportation_LCIA!T$62</f>
        <v>8.2361540379476893E-6</v>
      </c>
      <c r="AQ235" s="137">
        <f>Transportation_LCIA!U$61*($W235^Transportation_LCIA!U$60)+Transportation_LCIA!U$62</f>
        <v>1.2222632354241475E-3</v>
      </c>
      <c r="AR235" s="137">
        <f>Transportation_LCIA!V$61*($W235^Transportation_LCIA!V$60)+Transportation_LCIA!V$62</f>
        <v>4.6051342935052081E-4</v>
      </c>
      <c r="AT235" s="137">
        <f>$W235*Y235+$L235*Summary_LCIA!H$32</f>
        <v>200.59402410119719</v>
      </c>
      <c r="AU235" s="137">
        <f>$W235*Z235+$L235*Summary_LCIA!Q$32</f>
        <v>2346.3071279696082</v>
      </c>
      <c r="AV235" s="137">
        <f>$W235*AA235+$L235*Summary_LCIA!R$32</f>
        <v>1.6198358593757523</v>
      </c>
      <c r="AW235" s="137">
        <f>$W235*AB235+$L235*Summary_LCIA!S$32</f>
        <v>200.00677406119718</v>
      </c>
      <c r="AX235" s="137">
        <f>$W235*AC235+$L235*Summary_LCIA!T$32</f>
        <v>53.876571924397183</v>
      </c>
      <c r="AY235" s="137">
        <f>$W235*AD235+$L235*Summary_LCIA!U$32</f>
        <v>2.5942651096818254</v>
      </c>
      <c r="AZ235" s="137">
        <f>$W235*AE235+$L235*Summary_LCIA!V$32</f>
        <v>1.1336046587190899E-2</v>
      </c>
      <c r="BA235" s="137">
        <f>$W235*AF235+$L235*Summary_LCIA!W$32</f>
        <v>17.680463474905284</v>
      </c>
      <c r="BB235" s="137">
        <f>$W235*AG235+$L235*Summary_LCIA!X$32</f>
        <v>11.730628117556392</v>
      </c>
      <c r="BC235" s="137">
        <f>$W235*AH235+$L235*Summary_LCIA!Y$32</f>
        <v>2.2614065785340385</v>
      </c>
      <c r="BD235" s="137">
        <f>$W235*AI235+$L235*Summary_LCIA!Z$32</f>
        <v>0.16240426317512119</v>
      </c>
      <c r="BE235" s="137">
        <f>$W235*AJ235+$L235*Summary_LCIA!AA$32</f>
        <v>3.8479802084583654</v>
      </c>
      <c r="BF235" s="137">
        <f>$W235*AK235+$L235*Summary_LCIA!AB$32</f>
        <v>3.8701248766695936E-2</v>
      </c>
      <c r="BG235" s="137">
        <f>$W235*AL235+$L235*Summary_LCIA!AC$32</f>
        <v>2.6556122081490578E-5</v>
      </c>
      <c r="BH235" s="137">
        <f>$W235*AM235+$L235*Summary_LCIA!AD$32</f>
        <v>0.12994572920544614</v>
      </c>
      <c r="BI235" s="137">
        <f>$W235*AN235+$L235*Summary_LCIA!AE$32</f>
        <v>0.35745134977315735</v>
      </c>
      <c r="BJ235" s="137">
        <f>$W235*AO235+$L235*Summary_LCIA!AF$32</f>
        <v>0.11583463019689107</v>
      </c>
      <c r="BK235" s="137">
        <f>$W235*AP235+$L235*Summary_LCIA!AG$32</f>
        <v>1.0308322386891063E-2</v>
      </c>
      <c r="BL235" s="137">
        <f>$W235*AQ235+$L235*Summary_LCIA!AH$32</f>
        <v>1.6773343875491451</v>
      </c>
      <c r="BM235" s="137">
        <f>$W235*AR235+$L235*Summary_LCIA!AI$32</f>
        <v>0.32004900447390838</v>
      </c>
    </row>
    <row r="236" spans="1:65" x14ac:dyDescent="0.25">
      <c r="A236" s="149">
        <v>196</v>
      </c>
      <c r="B236" s="149">
        <v>6</v>
      </c>
      <c r="C236" s="61">
        <v>38.933138999999997</v>
      </c>
      <c r="D236" s="61">
        <v>-92.373804000000007</v>
      </c>
      <c r="E236" s="61" t="s">
        <v>265</v>
      </c>
      <c r="F236" s="149">
        <v>94</v>
      </c>
      <c r="G236" s="61" t="s">
        <v>693</v>
      </c>
      <c r="H236" s="61" t="s">
        <v>694</v>
      </c>
      <c r="I236" s="61">
        <v>38.749940000000002</v>
      </c>
      <c r="J236" s="61">
        <v>-90.374819000000002</v>
      </c>
      <c r="K236" s="61">
        <v>177.120712</v>
      </c>
      <c r="L236" s="61">
        <v>188.05</v>
      </c>
      <c r="M236" s="61" t="s">
        <v>617</v>
      </c>
      <c r="N236" s="149">
        <v>5</v>
      </c>
      <c r="O236" s="149">
        <v>6</v>
      </c>
      <c r="P236" s="61" t="s">
        <v>565</v>
      </c>
      <c r="Q236" s="61" t="s">
        <v>564</v>
      </c>
      <c r="R236" s="61">
        <v>41.98028</v>
      </c>
      <c r="S236" s="61">
        <v>-87.908997900000003</v>
      </c>
      <c r="T236" s="61">
        <v>628.77</v>
      </c>
      <c r="U236" s="61" t="s">
        <v>617</v>
      </c>
      <c r="V236" s="61" t="s">
        <v>569</v>
      </c>
      <c r="W236" s="61" cm="1">
        <f t="array" ref="W236">getDistance(I236,J236,R236,S236)*SA!$B$12</f>
        <v>415.92837633975137</v>
      </c>
      <c r="Y236" s="137">
        <f>Transportation_LCIA!C$61*($W236^Transportation_LCIA!C$60)+Transportation_LCIA!C$62</f>
        <v>0.36994815840498518</v>
      </c>
      <c r="Z236" s="137">
        <f>Transportation_LCIA!D$61*($W236^Transportation_LCIA!D$60)+Transportation_LCIA!D$62</f>
        <v>4.0234484421955647</v>
      </c>
      <c r="AA236" s="137">
        <f>Transportation_LCIA!E$61*($W236^Transportation_LCIA!E$60)+Transportation_LCIA!E$62</f>
        <v>2.2012194298649938E-3</v>
      </c>
      <c r="AB236" s="137">
        <f>Transportation_LCIA!F$61*($W236^Transportation_LCIA!F$60)+Transportation_LCIA!F$62</f>
        <v>0.36994815840498518</v>
      </c>
      <c r="AC236" s="137">
        <f>Transportation_LCIA!G$61*($W236^Transportation_LCIA!G$60)+Transportation_LCIA!G$62</f>
        <v>9.3611785596409508E-2</v>
      </c>
      <c r="AD236" s="137">
        <f>Transportation_LCIA!H$61*($W236^Transportation_LCIA!H$60)+Transportation_LCIA!H$62</f>
        <v>5.1196174340509932E-4</v>
      </c>
      <c r="AE236" s="137">
        <f>Transportation_LCIA!I$61*($W236^Transportation_LCIA!I$60)+Transportation_LCIA!I$62</f>
        <v>1.1954869488468754E-5</v>
      </c>
      <c r="AF236" s="137">
        <f>Transportation_LCIA!J$61*($W236^Transportation_LCIA!J$60)+Transportation_LCIA!J$62</f>
        <v>1.7863393495932058E-2</v>
      </c>
      <c r="AG236" s="137">
        <f>Transportation_LCIA!K$61*($W236^Transportation_LCIA!K$60)+Transportation_LCIA!K$62</f>
        <v>2.0769827257385139E-2</v>
      </c>
      <c r="AH236" s="137">
        <f>Transportation_LCIA!L$61*($W236^Transportation_LCIA!L$60)+Transportation_LCIA!L$62</f>
        <v>4.5726187815364603E-4</v>
      </c>
      <c r="AI236" s="137">
        <f>Transportation_LCIA!M$61*($W236^Transportation_LCIA!M$60)+Transportation_LCIA!M$62</f>
        <v>3.7347801231547796E-4</v>
      </c>
      <c r="AJ236" s="137">
        <f>Transportation_LCIA!N$61*($W236^Transportation_LCIA!N$60)+Transportation_LCIA!N$62</f>
        <v>1.7793137976698883E-3</v>
      </c>
      <c r="AK236" s="137">
        <f>Transportation_LCIA!O$61*($W236^Transportation_LCIA!O$60)+Transportation_LCIA!O$62</f>
        <v>9.9161576696146439E-5</v>
      </c>
      <c r="AL236" s="137">
        <f>Transportation_LCIA!P$61*($W236^Transportation_LCIA!P$60)+Transportation_LCIA!P$62</f>
        <v>4.7814814061373349E-8</v>
      </c>
      <c r="AM236" s="137">
        <f>Transportation_LCIA!Q$61*($W236^Transportation_LCIA!Q$60)+Transportation_LCIA!Q$62</f>
        <v>1.8020098795436986E-4</v>
      </c>
      <c r="AN236" s="137">
        <f>Transportation_LCIA!R$61*($W236^Transportation_LCIA!R$60)+Transportation_LCIA!R$62</f>
        <v>5.7424922383034498E-4</v>
      </c>
      <c r="AO236" s="137">
        <f>Transportation_LCIA!S$61*($W236^Transportation_LCIA!S$60)+Transportation_LCIA!S$62</f>
        <v>8.4037179670860392E-6</v>
      </c>
      <c r="AP236" s="137">
        <f>Transportation_LCIA!T$61*($W236^Transportation_LCIA!T$60)+Transportation_LCIA!T$62</f>
        <v>8.4037179670860392E-6</v>
      </c>
      <c r="AQ236" s="137">
        <f>Transportation_LCIA!U$61*($W236^Transportation_LCIA!U$60)+Transportation_LCIA!U$62</f>
        <v>1.2483593696332224E-3</v>
      </c>
      <c r="AR236" s="137">
        <f>Transportation_LCIA!V$61*($W236^Transportation_LCIA!V$60)+Transportation_LCIA!V$62</f>
        <v>4.6955543369307253E-4</v>
      </c>
      <c r="AT236" s="137">
        <f>$W236*Y236+$L236*Summary_LCIA!H$32</f>
        <v>217.77132685526664</v>
      </c>
      <c r="AU236" s="137">
        <f>$W236*Z236+$L236*Summary_LCIA!Q$32</f>
        <v>2605.4516617747531</v>
      </c>
      <c r="AV236" s="137">
        <f>$W236*AA236+$L236*Summary_LCIA!R$32</f>
        <v>1.9057457034312602</v>
      </c>
      <c r="AW236" s="137">
        <f>$W236*AB236+$L236*Summary_LCIA!S$32</f>
        <v>216.94014585526662</v>
      </c>
      <c r="AX236" s="137">
        <f>$W236*AC236+$L236*Summary_LCIA!T$32</f>
        <v>59.602492989379527</v>
      </c>
      <c r="AY236" s="137">
        <f>$W236*AD236+$L236*Summary_LCIA!U$32</f>
        <v>3.5816671166825516</v>
      </c>
      <c r="AZ236" s="137">
        <f>$W236*AE236+$L236*Summary_LCIA!V$32</f>
        <v>1.3953825505692444E-2</v>
      </c>
      <c r="BA236" s="137">
        <f>$W236*AF236+$L236*Summary_LCIA!W$32</f>
        <v>21.904288802681094</v>
      </c>
      <c r="BB236" s="137">
        <f>$W236*AG236+$L236*Summary_LCIA!X$32</f>
        <v>12.922539528021312</v>
      </c>
      <c r="BC236" s="137">
        <f>$W236*AH236+$L236*Summary_LCIA!Y$32</f>
        <v>3.1203832905425113</v>
      </c>
      <c r="BD236" s="137">
        <f>$W236*AI236+$L236*Summary_LCIA!Z$32</f>
        <v>0.16305184571097442</v>
      </c>
      <c r="BE236" s="137">
        <f>$W236*AJ236+$L236*Summary_LCIA!AA$32</f>
        <v>5.1321628988637533</v>
      </c>
      <c r="BF236" s="137">
        <f>$W236*AK236+$L236*Summary_LCIA!AB$32</f>
        <v>3.7140298440517916E-2</v>
      </c>
      <c r="BG236" s="137">
        <f>$W236*AL236+$L236*Summary_LCIA!AC$32</f>
        <v>2.908017417753413E-5</v>
      </c>
      <c r="BH236" s="137">
        <f>$W236*AM236+$L236*Summary_LCIA!AD$32</f>
        <v>0.15224677633468015</v>
      </c>
      <c r="BI236" s="137">
        <f>$W236*AN236+$L236*Summary_LCIA!AE$32</f>
        <v>0.40548329378211784</v>
      </c>
      <c r="BJ236" s="137">
        <f>$W236*AO236+$L236*Summary_LCIA!AF$32</f>
        <v>0.16247657576926733</v>
      </c>
      <c r="BK236" s="137">
        <f>$W236*AP236+$L236*Summary_LCIA!AG$32</f>
        <v>1.3116923019267292E-2</v>
      </c>
      <c r="BL236" s="137">
        <f>$W236*AQ236+$L236*Summary_LCIA!AH$32</f>
        <v>2.155940065700062</v>
      </c>
      <c r="BM236" s="137">
        <f>$W236*AR236+$L236*Summary_LCIA!AI$32</f>
        <v>0.37047940663746748</v>
      </c>
    </row>
    <row r="237" spans="1:65" x14ac:dyDescent="0.25">
      <c r="A237" s="149">
        <v>197</v>
      </c>
      <c r="B237" s="149">
        <v>6</v>
      </c>
      <c r="C237" s="61">
        <v>38.933138999999997</v>
      </c>
      <c r="D237" s="61">
        <v>-92.373804000000007</v>
      </c>
      <c r="E237" s="61" t="s">
        <v>265</v>
      </c>
      <c r="F237" s="149">
        <v>94</v>
      </c>
      <c r="G237" s="61" t="s">
        <v>693</v>
      </c>
      <c r="H237" s="61" t="s">
        <v>694</v>
      </c>
      <c r="I237" s="61">
        <v>38.749940000000002</v>
      </c>
      <c r="J237" s="61">
        <v>-90.374819000000002</v>
      </c>
      <c r="K237" s="61">
        <v>177.120712</v>
      </c>
      <c r="L237" s="61">
        <v>188.05</v>
      </c>
      <c r="M237" s="61" t="s">
        <v>617</v>
      </c>
      <c r="N237" s="149">
        <v>5</v>
      </c>
      <c r="O237" s="149">
        <v>6</v>
      </c>
      <c r="P237" s="61" t="s">
        <v>565</v>
      </c>
      <c r="Q237" s="61" t="s">
        <v>564</v>
      </c>
      <c r="R237" s="61">
        <v>41.98028</v>
      </c>
      <c r="S237" s="61">
        <v>-87.908997900000003</v>
      </c>
      <c r="T237" s="61">
        <v>628.77</v>
      </c>
      <c r="U237" s="61" t="s">
        <v>617</v>
      </c>
      <c r="V237" s="61" t="s">
        <v>569</v>
      </c>
      <c r="W237" s="61" cm="1">
        <f t="array" ref="W237">getDistance(I237,J237,R237,S237)*SA!$B$12</f>
        <v>415.92837633975137</v>
      </c>
      <c r="Y237" s="137">
        <f>Transportation_LCIA!C$61*($W237^Transportation_LCIA!C$60)+Transportation_LCIA!C$62</f>
        <v>0.36994815840498518</v>
      </c>
      <c r="Z237" s="137">
        <f>Transportation_LCIA!D$61*($W237^Transportation_LCIA!D$60)+Transportation_LCIA!D$62</f>
        <v>4.0234484421955647</v>
      </c>
      <c r="AA237" s="137">
        <f>Transportation_LCIA!E$61*($W237^Transportation_LCIA!E$60)+Transportation_LCIA!E$62</f>
        <v>2.2012194298649938E-3</v>
      </c>
      <c r="AB237" s="137">
        <f>Transportation_LCIA!F$61*($W237^Transportation_LCIA!F$60)+Transportation_LCIA!F$62</f>
        <v>0.36994815840498518</v>
      </c>
      <c r="AC237" s="137">
        <f>Transportation_LCIA!G$61*($W237^Transportation_LCIA!G$60)+Transportation_LCIA!G$62</f>
        <v>9.3611785596409508E-2</v>
      </c>
      <c r="AD237" s="137">
        <f>Transportation_LCIA!H$61*($W237^Transportation_LCIA!H$60)+Transportation_LCIA!H$62</f>
        <v>5.1196174340509932E-4</v>
      </c>
      <c r="AE237" s="137">
        <f>Transportation_LCIA!I$61*($W237^Transportation_LCIA!I$60)+Transportation_LCIA!I$62</f>
        <v>1.1954869488468754E-5</v>
      </c>
      <c r="AF237" s="137">
        <f>Transportation_LCIA!J$61*($W237^Transportation_LCIA!J$60)+Transportation_LCIA!J$62</f>
        <v>1.7863393495932058E-2</v>
      </c>
      <c r="AG237" s="137">
        <f>Transportation_LCIA!K$61*($W237^Transportation_LCIA!K$60)+Transportation_LCIA!K$62</f>
        <v>2.0769827257385139E-2</v>
      </c>
      <c r="AH237" s="137">
        <f>Transportation_LCIA!L$61*($W237^Transportation_LCIA!L$60)+Transportation_LCIA!L$62</f>
        <v>4.5726187815364603E-4</v>
      </c>
      <c r="AI237" s="137">
        <f>Transportation_LCIA!M$61*($W237^Transportation_LCIA!M$60)+Transportation_LCIA!M$62</f>
        <v>3.7347801231547796E-4</v>
      </c>
      <c r="AJ237" s="137">
        <f>Transportation_LCIA!N$61*($W237^Transportation_LCIA!N$60)+Transportation_LCIA!N$62</f>
        <v>1.7793137976698883E-3</v>
      </c>
      <c r="AK237" s="137">
        <f>Transportation_LCIA!O$61*($W237^Transportation_LCIA!O$60)+Transportation_LCIA!O$62</f>
        <v>9.9161576696146439E-5</v>
      </c>
      <c r="AL237" s="137">
        <f>Transportation_LCIA!P$61*($W237^Transportation_LCIA!P$60)+Transportation_LCIA!P$62</f>
        <v>4.7814814061373349E-8</v>
      </c>
      <c r="AM237" s="137">
        <f>Transportation_LCIA!Q$61*($W237^Transportation_LCIA!Q$60)+Transportation_LCIA!Q$62</f>
        <v>1.8020098795436986E-4</v>
      </c>
      <c r="AN237" s="137">
        <f>Transportation_LCIA!R$61*($W237^Transportation_LCIA!R$60)+Transportation_LCIA!R$62</f>
        <v>5.7424922383034498E-4</v>
      </c>
      <c r="AO237" s="137">
        <f>Transportation_LCIA!S$61*($W237^Transportation_LCIA!S$60)+Transportation_LCIA!S$62</f>
        <v>8.4037179670860392E-6</v>
      </c>
      <c r="AP237" s="137">
        <f>Transportation_LCIA!T$61*($W237^Transportation_LCIA!T$60)+Transportation_LCIA!T$62</f>
        <v>8.4037179670860392E-6</v>
      </c>
      <c r="AQ237" s="137">
        <f>Transportation_LCIA!U$61*($W237^Transportation_LCIA!U$60)+Transportation_LCIA!U$62</f>
        <v>1.2483593696332224E-3</v>
      </c>
      <c r="AR237" s="137">
        <f>Transportation_LCIA!V$61*($W237^Transportation_LCIA!V$60)+Transportation_LCIA!V$62</f>
        <v>4.6955543369307253E-4</v>
      </c>
      <c r="AT237" s="137">
        <f>$W237*Y237+$L237*Summary_LCIA!H$32</f>
        <v>217.77132685526664</v>
      </c>
      <c r="AU237" s="137">
        <f>$W237*Z237+$L237*Summary_LCIA!Q$32</f>
        <v>2605.4516617747531</v>
      </c>
      <c r="AV237" s="137">
        <f>$W237*AA237+$L237*Summary_LCIA!R$32</f>
        <v>1.9057457034312602</v>
      </c>
      <c r="AW237" s="137">
        <f>$W237*AB237+$L237*Summary_LCIA!S$32</f>
        <v>216.94014585526662</v>
      </c>
      <c r="AX237" s="137">
        <f>$W237*AC237+$L237*Summary_LCIA!T$32</f>
        <v>59.602492989379527</v>
      </c>
      <c r="AY237" s="137">
        <f>$W237*AD237+$L237*Summary_LCIA!U$32</f>
        <v>3.5816671166825516</v>
      </c>
      <c r="AZ237" s="137">
        <f>$W237*AE237+$L237*Summary_LCIA!V$32</f>
        <v>1.3953825505692444E-2</v>
      </c>
      <c r="BA237" s="137">
        <f>$W237*AF237+$L237*Summary_LCIA!W$32</f>
        <v>21.904288802681094</v>
      </c>
      <c r="BB237" s="137">
        <f>$W237*AG237+$L237*Summary_LCIA!X$32</f>
        <v>12.922539528021312</v>
      </c>
      <c r="BC237" s="137">
        <f>$W237*AH237+$L237*Summary_LCIA!Y$32</f>
        <v>3.1203832905425113</v>
      </c>
      <c r="BD237" s="137">
        <f>$W237*AI237+$L237*Summary_LCIA!Z$32</f>
        <v>0.16305184571097442</v>
      </c>
      <c r="BE237" s="137">
        <f>$W237*AJ237+$L237*Summary_LCIA!AA$32</f>
        <v>5.1321628988637533</v>
      </c>
      <c r="BF237" s="137">
        <f>$W237*AK237+$L237*Summary_LCIA!AB$32</f>
        <v>3.7140298440517916E-2</v>
      </c>
      <c r="BG237" s="137">
        <f>$W237*AL237+$L237*Summary_LCIA!AC$32</f>
        <v>2.908017417753413E-5</v>
      </c>
      <c r="BH237" s="137">
        <f>$W237*AM237+$L237*Summary_LCIA!AD$32</f>
        <v>0.15224677633468015</v>
      </c>
      <c r="BI237" s="137">
        <f>$W237*AN237+$L237*Summary_LCIA!AE$32</f>
        <v>0.40548329378211784</v>
      </c>
      <c r="BJ237" s="137">
        <f>$W237*AO237+$L237*Summary_LCIA!AF$32</f>
        <v>0.16247657576926733</v>
      </c>
      <c r="BK237" s="137">
        <f>$W237*AP237+$L237*Summary_LCIA!AG$32</f>
        <v>1.3116923019267292E-2</v>
      </c>
      <c r="BL237" s="137">
        <f>$W237*AQ237+$L237*Summary_LCIA!AH$32</f>
        <v>2.155940065700062</v>
      </c>
      <c r="BM237" s="137">
        <f>$W237*AR237+$L237*Summary_LCIA!AI$32</f>
        <v>0.37047940663746748</v>
      </c>
    </row>
    <row r="238" spans="1:65" x14ac:dyDescent="0.25">
      <c r="A238" s="149">
        <v>272</v>
      </c>
      <c r="B238" s="149">
        <v>6</v>
      </c>
      <c r="C238" s="61">
        <v>44.974156000000001</v>
      </c>
      <c r="D238" s="61">
        <v>-93.234200000000001</v>
      </c>
      <c r="E238" s="61" t="s">
        <v>265</v>
      </c>
      <c r="F238" s="149">
        <v>57</v>
      </c>
      <c r="G238" s="61" t="s">
        <v>565</v>
      </c>
      <c r="H238" s="61" t="s">
        <v>641</v>
      </c>
      <c r="I238" s="61">
        <v>44.884754999999998</v>
      </c>
      <c r="J238" s="61">
        <v>-93.222284999999999</v>
      </c>
      <c r="K238" s="61">
        <v>16.087904340000001</v>
      </c>
      <c r="L238" s="61">
        <v>18.332000000000001</v>
      </c>
      <c r="M238" s="61" t="s">
        <v>617</v>
      </c>
      <c r="N238" s="149">
        <v>5</v>
      </c>
      <c r="O238" s="149">
        <v>6</v>
      </c>
      <c r="P238" s="61" t="s">
        <v>565</v>
      </c>
      <c r="Q238" s="61" t="s">
        <v>564</v>
      </c>
      <c r="R238" s="61">
        <v>41.98028</v>
      </c>
      <c r="S238" s="61">
        <v>-87.908997900000003</v>
      </c>
      <c r="T238" s="61">
        <v>632.90800000000002</v>
      </c>
      <c r="U238" s="61" t="s">
        <v>617</v>
      </c>
      <c r="V238" s="61" t="s">
        <v>569</v>
      </c>
      <c r="W238" s="61" cm="1">
        <f t="array" ref="W238">getDistance(I238,J238,R238,S238)*SA!$B$12</f>
        <v>537.9238360294454</v>
      </c>
      <c r="Y238" s="137">
        <f>Transportation_LCIA!C$61*($W238^Transportation_LCIA!C$60)+Transportation_LCIA!C$62</f>
        <v>0.31986678213898079</v>
      </c>
      <c r="Z238" s="137">
        <f>Transportation_LCIA!D$61*($W238^Transportation_LCIA!D$60)+Transportation_LCIA!D$62</f>
        <v>3.4196837590581142</v>
      </c>
      <c r="AA238" s="137">
        <f>Transportation_LCIA!E$61*($W238^Transportation_LCIA!E$60)+Transportation_LCIA!E$62</f>
        <v>1.8006084167141755E-3</v>
      </c>
      <c r="AB238" s="137">
        <f>Transportation_LCIA!F$61*($W238^Transportation_LCIA!F$60)+Transportation_LCIA!F$62</f>
        <v>0.31986678213898079</v>
      </c>
      <c r="AC238" s="137">
        <f>Transportation_LCIA!G$61*($W238^Transportation_LCIA!G$60)+Transportation_LCIA!G$62</f>
        <v>7.9669699225259488E-2</v>
      </c>
      <c r="AD238" s="137">
        <f>Transportation_LCIA!H$61*($W238^Transportation_LCIA!H$60)+Transportation_LCIA!H$62</f>
        <v>4.2227087470452683E-4</v>
      </c>
      <c r="AE238" s="137">
        <f>Transportation_LCIA!I$61*($W238^Transportation_LCIA!I$60)+Transportation_LCIA!I$62</f>
        <v>9.6304021623867961E-6</v>
      </c>
      <c r="AF238" s="137">
        <f>Transportation_LCIA!J$61*($W238^Transportation_LCIA!J$60)+Transportation_LCIA!J$62</f>
        <v>1.4335225470337743E-2</v>
      </c>
      <c r="AG238" s="137">
        <f>Transportation_LCIA!K$61*($W238^Transportation_LCIA!K$60)+Transportation_LCIA!K$62</f>
        <v>1.7461378929992367E-2</v>
      </c>
      <c r="AH238" s="137">
        <f>Transportation_LCIA!L$61*($W238^Transportation_LCIA!L$60)+Transportation_LCIA!L$62</f>
        <v>3.741200211309115E-4</v>
      </c>
      <c r="AI238" s="137">
        <f>Transportation_LCIA!M$61*($W238^Transportation_LCIA!M$60)+Transportation_LCIA!M$62</f>
        <v>3.2392972305419126E-4</v>
      </c>
      <c r="AJ238" s="137">
        <f>Transportation_LCIA!N$61*($W238^Transportation_LCIA!N$60)+Transportation_LCIA!N$62</f>
        <v>1.4784543299395398E-3</v>
      </c>
      <c r="AK238" s="137">
        <f>Transportation_LCIA!O$61*($W238^Transportation_LCIA!O$60)+Transportation_LCIA!O$62</f>
        <v>8.4333072501823996E-5</v>
      </c>
      <c r="AL238" s="137">
        <f>Transportation_LCIA!P$61*($W238^Transportation_LCIA!P$60)+Transportation_LCIA!P$62</f>
        <v>4.0702648380323872E-8</v>
      </c>
      <c r="AM238" s="137">
        <f>Transportation_LCIA!Q$61*($W238^Transportation_LCIA!Q$60)+Transportation_LCIA!Q$62</f>
        <v>1.4754717709156823E-4</v>
      </c>
      <c r="AN238" s="137">
        <f>Transportation_LCIA!R$61*($W238^Transportation_LCIA!R$60)+Transportation_LCIA!R$62</f>
        <v>4.6270576693556009E-4</v>
      </c>
      <c r="AO238" s="137">
        <f>Transportation_LCIA!S$61*($W238^Transportation_LCIA!S$60)+Transportation_LCIA!S$62</f>
        <v>6.8227398697620497E-6</v>
      </c>
      <c r="AP238" s="137">
        <f>Transportation_LCIA!T$61*($W238^Transportation_LCIA!T$60)+Transportation_LCIA!T$62</f>
        <v>6.8227398697620497E-6</v>
      </c>
      <c r="AQ238" s="137">
        <f>Transportation_LCIA!U$61*($W238^Transportation_LCIA!U$60)+Transportation_LCIA!U$62</f>
        <v>1.002389311334221E-3</v>
      </c>
      <c r="AR238" s="137">
        <f>Transportation_LCIA!V$61*($W238^Transportation_LCIA!V$60)+Transportation_LCIA!V$62</f>
        <v>3.8411685160034487E-4</v>
      </c>
      <c r="AT238" s="137">
        <f>$W238*Y238+$L238*Summary_LCIA!H$32</f>
        <v>178.29318006659545</v>
      </c>
      <c r="AU238" s="137">
        <f>$W238*Z238+$L238*Summary_LCIA!Q$32</f>
        <v>1930.3837222178904</v>
      </c>
      <c r="AV238" s="137">
        <f>$W238*AA238+$L238*Summary_LCIA!R$32</f>
        <v>1.0651191659057955</v>
      </c>
      <c r="AW238" s="137">
        <f>$W238*AB238+$L238*Summary_LCIA!S$32</f>
        <v>178.21215262659544</v>
      </c>
      <c r="AX238" s="137">
        <f>$W238*AC238+$L238*Summary_LCIA!T$32</f>
        <v>44.870917022563717</v>
      </c>
      <c r="AY238" s="137">
        <f>$W238*AD238+$L238*Summary_LCIA!U$32</f>
        <v>0.55554901676456836</v>
      </c>
      <c r="AZ238" s="137">
        <f>$W238*AE238+$L238*Summary_LCIA!V$32</f>
        <v>6.0559775256973708E-3</v>
      </c>
      <c r="BA238" s="137">
        <f>$W238*AF238+$L238*Summary_LCIA!W$32</f>
        <v>9.1222918473510894</v>
      </c>
      <c r="BB238" s="137">
        <f>$W238*AG238+$L238*Summary_LCIA!X$32</f>
        <v>9.8104948963852276</v>
      </c>
      <c r="BC238" s="137">
        <f>$W238*AH238+$L238*Summary_LCIA!Y$32</f>
        <v>0.4868973009021571</v>
      </c>
      <c r="BD238" s="137">
        <f>$W238*AI238+$L238*Summary_LCIA!Z$32</f>
        <v>0.17500129621726643</v>
      </c>
      <c r="BE238" s="137">
        <f>$W238*AJ238+$L238*Summary_LCIA!AA$32</f>
        <v>1.2234580165554205</v>
      </c>
      <c r="BF238" s="137">
        <f>$W238*AK238+$L238*Summary_LCIA!AB$32</f>
        <v>4.4964710628330504E-2</v>
      </c>
      <c r="BG238" s="137">
        <f>$W238*AL238+$L238*Summary_LCIA!AC$32</f>
        <v>2.2791066241301509E-5</v>
      </c>
      <c r="BH238" s="137">
        <f>$W238*AM238+$L238*Summary_LCIA!AD$32</f>
        <v>8.6904328776412285E-2</v>
      </c>
      <c r="BI238" s="137">
        <f>$W238*AN238+$L238*Summary_LCIA!AE$32</f>
        <v>0.26514499626292298</v>
      </c>
      <c r="BJ238" s="137">
        <f>$W238*AO238+$L238*Summary_LCIA!AF$32</f>
        <v>1.9168353842973444E-2</v>
      </c>
      <c r="BK238" s="137">
        <f>$W238*AP238+$L238*Summary_LCIA!AG$32</f>
        <v>4.6080711829734403E-3</v>
      </c>
      <c r="BL238" s="137">
        <f>$W238*AQ238+$L238*Summary_LCIA!AH$32</f>
        <v>0.69876349874781818</v>
      </c>
      <c r="BM238" s="137">
        <f>$W238*AR238+$L238*Summary_LCIA!AI$32</f>
        <v>0.22370278489641071</v>
      </c>
    </row>
    <row r="239" spans="1:65" x14ac:dyDescent="0.25">
      <c r="A239" s="149">
        <v>47</v>
      </c>
      <c r="B239" s="149">
        <v>6</v>
      </c>
      <c r="C239" s="61">
        <v>44.983167000000002</v>
      </c>
      <c r="D239" s="61">
        <v>-93.225847999999999</v>
      </c>
      <c r="E239" s="61" t="s">
        <v>265</v>
      </c>
      <c r="F239" s="149">
        <v>57</v>
      </c>
      <c r="G239" s="61" t="s">
        <v>565</v>
      </c>
      <c r="H239" s="61" t="s">
        <v>641</v>
      </c>
      <c r="I239" s="61">
        <v>44.884754999999998</v>
      </c>
      <c r="J239" s="61">
        <v>-93.222284999999999</v>
      </c>
      <c r="K239" s="61">
        <v>17.648848319999999</v>
      </c>
      <c r="L239" s="61">
        <v>19.448</v>
      </c>
      <c r="M239" s="61" t="s">
        <v>617</v>
      </c>
      <c r="N239" s="149">
        <v>5</v>
      </c>
      <c r="O239" s="149">
        <v>6</v>
      </c>
      <c r="P239" s="61" t="s">
        <v>565</v>
      </c>
      <c r="Q239" s="61" t="s">
        <v>564</v>
      </c>
      <c r="R239" s="61">
        <v>41.98028</v>
      </c>
      <c r="S239" s="61">
        <v>-87.908997900000003</v>
      </c>
      <c r="T239" s="61">
        <v>632.95899999999995</v>
      </c>
      <c r="U239" s="61" t="s">
        <v>617</v>
      </c>
      <c r="V239" s="61" t="s">
        <v>569</v>
      </c>
      <c r="W239" s="61" cm="1">
        <f t="array" ref="W239">getDistance(I239,J239,R239,S239)*SA!$B$12</f>
        <v>537.9238360294454</v>
      </c>
      <c r="Y239" s="137">
        <f>Transportation_LCIA!C$61*($W239^Transportation_LCIA!C$60)+Transportation_LCIA!C$62</f>
        <v>0.31986678213898079</v>
      </c>
      <c r="Z239" s="137">
        <f>Transportation_LCIA!D$61*($W239^Transportation_LCIA!D$60)+Transportation_LCIA!D$62</f>
        <v>3.4196837590581142</v>
      </c>
      <c r="AA239" s="137">
        <f>Transportation_LCIA!E$61*($W239^Transportation_LCIA!E$60)+Transportation_LCIA!E$62</f>
        <v>1.8006084167141755E-3</v>
      </c>
      <c r="AB239" s="137">
        <f>Transportation_LCIA!F$61*($W239^Transportation_LCIA!F$60)+Transportation_LCIA!F$62</f>
        <v>0.31986678213898079</v>
      </c>
      <c r="AC239" s="137">
        <f>Transportation_LCIA!G$61*($W239^Transportation_LCIA!G$60)+Transportation_LCIA!G$62</f>
        <v>7.9669699225259488E-2</v>
      </c>
      <c r="AD239" s="137">
        <f>Transportation_LCIA!H$61*($W239^Transportation_LCIA!H$60)+Transportation_LCIA!H$62</f>
        <v>4.2227087470452683E-4</v>
      </c>
      <c r="AE239" s="137">
        <f>Transportation_LCIA!I$61*($W239^Transportation_LCIA!I$60)+Transportation_LCIA!I$62</f>
        <v>9.6304021623867961E-6</v>
      </c>
      <c r="AF239" s="137">
        <f>Transportation_LCIA!J$61*($W239^Transportation_LCIA!J$60)+Transportation_LCIA!J$62</f>
        <v>1.4335225470337743E-2</v>
      </c>
      <c r="AG239" s="137">
        <f>Transportation_LCIA!K$61*($W239^Transportation_LCIA!K$60)+Transportation_LCIA!K$62</f>
        <v>1.7461378929992367E-2</v>
      </c>
      <c r="AH239" s="137">
        <f>Transportation_LCIA!L$61*($W239^Transportation_LCIA!L$60)+Transportation_LCIA!L$62</f>
        <v>3.741200211309115E-4</v>
      </c>
      <c r="AI239" s="137">
        <f>Transportation_LCIA!M$61*($W239^Transportation_LCIA!M$60)+Transportation_LCIA!M$62</f>
        <v>3.2392972305419126E-4</v>
      </c>
      <c r="AJ239" s="137">
        <f>Transportation_LCIA!N$61*($W239^Transportation_LCIA!N$60)+Transportation_LCIA!N$62</f>
        <v>1.4784543299395398E-3</v>
      </c>
      <c r="AK239" s="137">
        <f>Transportation_LCIA!O$61*($W239^Transportation_LCIA!O$60)+Transportation_LCIA!O$62</f>
        <v>8.4333072501823996E-5</v>
      </c>
      <c r="AL239" s="137">
        <f>Transportation_LCIA!P$61*($W239^Transportation_LCIA!P$60)+Transportation_LCIA!P$62</f>
        <v>4.0702648380323872E-8</v>
      </c>
      <c r="AM239" s="137">
        <f>Transportation_LCIA!Q$61*($W239^Transportation_LCIA!Q$60)+Transportation_LCIA!Q$62</f>
        <v>1.4754717709156823E-4</v>
      </c>
      <c r="AN239" s="137">
        <f>Transportation_LCIA!R$61*($W239^Transportation_LCIA!R$60)+Transportation_LCIA!R$62</f>
        <v>4.6270576693556009E-4</v>
      </c>
      <c r="AO239" s="137">
        <f>Transportation_LCIA!S$61*($W239^Transportation_LCIA!S$60)+Transportation_LCIA!S$62</f>
        <v>6.8227398697620497E-6</v>
      </c>
      <c r="AP239" s="137">
        <f>Transportation_LCIA!T$61*($W239^Transportation_LCIA!T$60)+Transportation_LCIA!T$62</f>
        <v>6.8227398697620497E-6</v>
      </c>
      <c r="AQ239" s="137">
        <f>Transportation_LCIA!U$61*($W239^Transportation_LCIA!U$60)+Transportation_LCIA!U$62</f>
        <v>1.002389311334221E-3</v>
      </c>
      <c r="AR239" s="137">
        <f>Transportation_LCIA!V$61*($W239^Transportation_LCIA!V$60)+Transportation_LCIA!V$62</f>
        <v>3.8411685160034487E-4</v>
      </c>
      <c r="AT239" s="137">
        <f>$W239*Y239+$L239*Summary_LCIA!H$32</f>
        <v>178.67239686659545</v>
      </c>
      <c r="AU239" s="137">
        <f>$W239*Z239+$L239*Summary_LCIA!Q$32</f>
        <v>1935.9146745011185</v>
      </c>
      <c r="AV239" s="137">
        <f>$W239*AA239+$L239*Summary_LCIA!R$32</f>
        <v>1.0709955755057954</v>
      </c>
      <c r="AW239" s="137">
        <f>$W239*AB239+$L239*Summary_LCIA!S$32</f>
        <v>178.58643670659544</v>
      </c>
      <c r="AX239" s="137">
        <f>$W239*AC239+$L239*Summary_LCIA!T$32</f>
        <v>44.993565422563719</v>
      </c>
      <c r="AY239" s="137">
        <f>$W239*AD239+$L239*Summary_LCIA!U$32</f>
        <v>0.57554104076456836</v>
      </c>
      <c r="AZ239" s="137">
        <f>$W239*AE239+$L239*Summary_LCIA!V$32</f>
        <v>6.1092788016973709E-3</v>
      </c>
      <c r="BA239" s="137">
        <f>$W239*AF239+$L239*Summary_LCIA!W$32</f>
        <v>9.2081914833510901</v>
      </c>
      <c r="BB239" s="137">
        <f>$W239*AG239+$L239*Summary_LCIA!X$32</f>
        <v>9.8359173763852272</v>
      </c>
      <c r="BC239" s="137">
        <f>$W239*AH239+$L239*Summary_LCIA!Y$32</f>
        <v>0.50428681290215716</v>
      </c>
      <c r="BD239" s="137">
        <f>$W239*AI239+$L239*Summary_LCIA!Z$32</f>
        <v>0.17504706226126643</v>
      </c>
      <c r="BE239" s="137">
        <f>$W239*AJ239+$L239*Summary_LCIA!AA$32</f>
        <v>1.2495233125554206</v>
      </c>
      <c r="BF239" s="137">
        <f>$W239*AK239+$L239*Summary_LCIA!AB$32</f>
        <v>4.49403561603305E-2</v>
      </c>
      <c r="BG239" s="137">
        <f>$W239*AL239+$L239*Summary_LCIA!AC$32</f>
        <v>2.284562078530151E-5</v>
      </c>
      <c r="BH239" s="137">
        <f>$W239*AM239+$L239*Summary_LCIA!AD$32</f>
        <v>8.7363049416412292E-2</v>
      </c>
      <c r="BI239" s="137">
        <f>$W239*AN239+$L239*Summary_LCIA!AE$32</f>
        <v>0.26613391734292302</v>
      </c>
      <c r="BJ239" s="137">
        <f>$W239*AO239+$L239*Summary_LCIA!AF$32</f>
        <v>2.0111842562973443E-2</v>
      </c>
      <c r="BK239" s="137">
        <f>$W239*AP239+$L239*Summary_LCIA!AG$32</f>
        <v>4.6651713229734406E-3</v>
      </c>
      <c r="BL239" s="137">
        <f>$W239*AQ239+$L239*Summary_LCIA!AH$32</f>
        <v>0.70847671634781817</v>
      </c>
      <c r="BM239" s="137">
        <f>$W239*AR239+$L239*Summary_LCIA!AI$32</f>
        <v>0.22474239469641072</v>
      </c>
    </row>
    <row r="240" spans="1:65" x14ac:dyDescent="0.25">
      <c r="A240" s="149">
        <v>33</v>
      </c>
      <c r="B240" s="149">
        <v>6</v>
      </c>
      <c r="C240" s="61">
        <v>47.115026</v>
      </c>
      <c r="D240" s="61">
        <v>-88.545199999999994</v>
      </c>
      <c r="E240" s="61" t="s">
        <v>265</v>
      </c>
      <c r="F240" s="149">
        <v>137</v>
      </c>
      <c r="G240" s="61" t="s">
        <v>642</v>
      </c>
      <c r="H240" s="61" t="s">
        <v>643</v>
      </c>
      <c r="I240" s="61">
        <v>47.168708000000002</v>
      </c>
      <c r="J240" s="61">
        <v>-88.496306000000004</v>
      </c>
      <c r="K240" s="61">
        <v>225.30955169999999</v>
      </c>
      <c r="L240" s="61">
        <v>13.54</v>
      </c>
      <c r="M240" s="61" t="s">
        <v>617</v>
      </c>
      <c r="N240" s="149">
        <v>5</v>
      </c>
      <c r="O240" s="149">
        <v>6</v>
      </c>
      <c r="P240" s="61" t="s">
        <v>565</v>
      </c>
      <c r="Q240" s="61" t="s">
        <v>564</v>
      </c>
      <c r="R240" s="61">
        <v>41.98028</v>
      </c>
      <c r="S240" s="61">
        <v>-87.908997900000003</v>
      </c>
      <c r="T240" s="61">
        <v>646.82100000000003</v>
      </c>
      <c r="U240" s="61" t="s">
        <v>617</v>
      </c>
      <c r="V240" s="61" t="s">
        <v>569</v>
      </c>
      <c r="W240" s="61" cm="1">
        <f t="array" ref="W240">getDistance(I240,J240,R240,S240)*SA!$B$12</f>
        <v>579.41700792204915</v>
      </c>
      <c r="Y240" s="137">
        <f>Transportation_LCIA!C$61*($W240^Transportation_LCIA!C$60)+Transportation_LCIA!C$62</f>
        <v>0.30729882152489507</v>
      </c>
      <c r="Z240" s="137">
        <f>Transportation_LCIA!D$61*($W240^Transportation_LCIA!D$60)+Transportation_LCIA!D$62</f>
        <v>3.2692833329177207</v>
      </c>
      <c r="AA240" s="137">
        <f>Transportation_LCIA!E$61*($W240^Transportation_LCIA!E$60)+Transportation_LCIA!E$62</f>
        <v>1.7010215246835009E-3</v>
      </c>
      <c r="AB240" s="137">
        <f>Transportation_LCIA!F$61*($W240^Transportation_LCIA!F$60)+Transportation_LCIA!F$62</f>
        <v>0.30729882152489507</v>
      </c>
      <c r="AC240" s="137">
        <f>Transportation_LCIA!G$61*($W240^Transportation_LCIA!G$60)+Transportation_LCIA!G$62</f>
        <v>7.6195167434880529E-2</v>
      </c>
      <c r="AD240" s="137">
        <f>Transportation_LCIA!H$61*($W240^Transportation_LCIA!H$60)+Transportation_LCIA!H$62</f>
        <v>4.0006618979584763E-4</v>
      </c>
      <c r="AE240" s="137">
        <f>Transportation_LCIA!I$61*($W240^Transportation_LCIA!I$60)+Transportation_LCIA!I$62</f>
        <v>9.0587319283235716E-6</v>
      </c>
      <c r="AF240" s="137">
        <f>Transportation_LCIA!J$61*($W240^Transportation_LCIA!J$60)+Transportation_LCIA!J$62</f>
        <v>1.3471269072017985E-2</v>
      </c>
      <c r="AG240" s="137">
        <f>Transportation_LCIA!K$61*($W240^Transportation_LCIA!K$60)+Transportation_LCIA!K$62</f>
        <v>1.6639947628133055E-2</v>
      </c>
      <c r="AH240" s="137">
        <f>Transportation_LCIA!L$61*($W240^Transportation_LCIA!L$60)+Transportation_LCIA!L$62</f>
        <v>3.5357540758904505E-4</v>
      </c>
      <c r="AI240" s="137">
        <f>Transportation_LCIA!M$61*($W240^Transportation_LCIA!M$60)+Transportation_LCIA!M$62</f>
        <v>3.1166584326352707E-4</v>
      </c>
      <c r="AJ240" s="137">
        <f>Transportation_LCIA!N$61*($W240^Transportation_LCIA!N$60)+Transportation_LCIA!N$62</f>
        <v>1.4039316702187713E-3</v>
      </c>
      <c r="AK240" s="137">
        <f>Transportation_LCIA!O$61*($W240^Transportation_LCIA!O$60)+Transportation_LCIA!O$62</f>
        <v>8.0638385241804721E-5</v>
      </c>
      <c r="AL240" s="137">
        <f>Transportation_LCIA!P$61*($W240^Transportation_LCIA!P$60)+Transportation_LCIA!P$62</f>
        <v>3.8929598832181193E-8</v>
      </c>
      <c r="AM240" s="137">
        <f>Transportation_LCIA!Q$61*($W240^Transportation_LCIA!Q$60)+Transportation_LCIA!Q$62</f>
        <v>1.394865004676305E-4</v>
      </c>
      <c r="AN240" s="137">
        <f>Transportation_LCIA!R$61*($W240^Transportation_LCIA!R$60)+Transportation_LCIA!R$62</f>
        <v>4.3527760270768294E-4</v>
      </c>
      <c r="AO240" s="137">
        <f>Transportation_LCIA!S$61*($W240^Transportation_LCIA!S$60)+Transportation_LCIA!S$62</f>
        <v>6.4338673498341644E-6</v>
      </c>
      <c r="AP240" s="137">
        <f>Transportation_LCIA!T$61*($W240^Transportation_LCIA!T$60)+Transportation_LCIA!T$62</f>
        <v>6.4338673498341644E-6</v>
      </c>
      <c r="AQ240" s="137">
        <f>Transportation_LCIA!U$61*($W240^Transportation_LCIA!U$60)+Transportation_LCIA!U$62</f>
        <v>9.4198202526368834E-4</v>
      </c>
      <c r="AR240" s="137">
        <f>Transportation_LCIA!V$61*($W240^Transportation_LCIA!V$60)+Transportation_LCIA!V$62</f>
        <v>3.6305370692808487E-4</v>
      </c>
      <c r="AT240" s="137">
        <f>$W240*Y240+$L240*Summary_LCIA!H$32</f>
        <v>182.65505570592649</v>
      </c>
      <c r="AU240" s="137">
        <f>$W240*Z240+$L240*Summary_LCIA!Q$32</f>
        <v>1961.3832896714302</v>
      </c>
      <c r="AV240" s="137">
        <f>$W240*AA240+$L240*Summary_LCIA!R$32</f>
        <v>1.0568970262431161</v>
      </c>
      <c r="AW240" s="137">
        <f>$W240*AB240+$L240*Summary_LCIA!S$32</f>
        <v>182.59520890592651</v>
      </c>
      <c r="AX240" s="137">
        <f>$W240*AC240+$L240*Summary_LCIA!T$32</f>
        <v>45.636821933238032</v>
      </c>
      <c r="AY240" s="137">
        <f>$W240*AD240+$L240*Summary_LCIA!U$32</f>
        <v>0.47436071466228463</v>
      </c>
      <c r="AZ240" s="137">
        <f>$W240*AE240+$L240*Summary_LCIA!V$32</f>
        <v>5.8954672894771789E-3</v>
      </c>
      <c r="BA240" s="137">
        <f>$W240*AF240+$L240*Summary_LCIA!W$32</f>
        <v>8.8476697586214996</v>
      </c>
      <c r="BB240" s="137">
        <f>$W240*AG240+$L240*Summary_LCIA!X$32</f>
        <v>9.9499098666724546</v>
      </c>
      <c r="BC240" s="137">
        <f>$W240*AH240+$L240*Summary_LCIA!Y$32</f>
        <v>0.41584788474006346</v>
      </c>
      <c r="BD240" s="137">
        <f>$W240*AI240+$L240*Summary_LCIA!Z$32</f>
        <v>0.18113975223525519</v>
      </c>
      <c r="BE240" s="137">
        <f>$W240*AJ240+$L240*Summary_LCIA!AA$32</f>
        <v>1.1297021276851655</v>
      </c>
      <c r="BF240" s="137">
        <f>$W240*AK240+$L240*Summary_LCIA!AB$32</f>
        <v>4.6427768480472018E-2</v>
      </c>
      <c r="BG240" s="137">
        <f>$W240*AL240+$L240*Summary_LCIA!AC$32</f>
        <v>2.3218361034948127E-5</v>
      </c>
      <c r="BH240" s="137">
        <f>$W240*AM240+$L240*Summary_LCIA!AD$32</f>
        <v>8.6386332346471972E-2</v>
      </c>
      <c r="BI240" s="137">
        <f>$W240*AN240+$L240*Summary_LCIA!AE$32</f>
        <v>0.26420544637636806</v>
      </c>
      <c r="BJ240" s="137">
        <f>$W240*AO240+$L240*Summary_LCIA!AF$32</f>
        <v>1.5174878969208275E-2</v>
      </c>
      <c r="BK240" s="137">
        <f>$W240*AP240+$L240*Summary_LCIA!AG$32</f>
        <v>4.4206662692082756E-3</v>
      </c>
      <c r="BL240" s="137">
        <f>$W240*AQ240+$L240*Summary_LCIA!AH$32</f>
        <v>0.66364715059463841</v>
      </c>
      <c r="BM240" s="137">
        <f>$W240*AR240+$L240*Summary_LCIA!AI$32</f>
        <v>0.22297267958327946</v>
      </c>
    </row>
    <row r="241" spans="1:65" x14ac:dyDescent="0.25">
      <c r="A241" s="149">
        <v>34</v>
      </c>
      <c r="B241" s="149">
        <v>6</v>
      </c>
      <c r="C241" s="61">
        <v>47.115026</v>
      </c>
      <c r="D241" s="61">
        <v>-88.545199999999994</v>
      </c>
      <c r="E241" s="61" t="s">
        <v>265</v>
      </c>
      <c r="F241" s="149">
        <v>137</v>
      </c>
      <c r="G241" s="61" t="s">
        <v>642</v>
      </c>
      <c r="H241" s="61" t="s">
        <v>643</v>
      </c>
      <c r="I241" s="61">
        <v>47.168708000000002</v>
      </c>
      <c r="J241" s="61">
        <v>-88.496306000000004</v>
      </c>
      <c r="K241" s="61">
        <v>225.30955169999999</v>
      </c>
      <c r="L241" s="61">
        <v>13.54</v>
      </c>
      <c r="M241" s="61" t="s">
        <v>617</v>
      </c>
      <c r="N241" s="149">
        <v>5</v>
      </c>
      <c r="O241" s="149">
        <v>6</v>
      </c>
      <c r="P241" s="61" t="s">
        <v>565</v>
      </c>
      <c r="Q241" s="61" t="s">
        <v>564</v>
      </c>
      <c r="R241" s="61">
        <v>41.98028</v>
      </c>
      <c r="S241" s="61">
        <v>-87.908997900000003</v>
      </c>
      <c r="T241" s="61">
        <v>646.82100000000003</v>
      </c>
      <c r="U241" s="61" t="s">
        <v>617</v>
      </c>
      <c r="V241" s="61" t="s">
        <v>569</v>
      </c>
      <c r="W241" s="61" cm="1">
        <f t="array" ref="W241">getDistance(I241,J241,R241,S241)*SA!$B$12</f>
        <v>579.41700792204915</v>
      </c>
      <c r="Y241" s="137">
        <f>Transportation_LCIA!C$61*($W241^Transportation_LCIA!C$60)+Transportation_LCIA!C$62</f>
        <v>0.30729882152489507</v>
      </c>
      <c r="Z241" s="137">
        <f>Transportation_LCIA!D$61*($W241^Transportation_LCIA!D$60)+Transportation_LCIA!D$62</f>
        <v>3.2692833329177207</v>
      </c>
      <c r="AA241" s="137">
        <f>Transportation_LCIA!E$61*($W241^Transportation_LCIA!E$60)+Transportation_LCIA!E$62</f>
        <v>1.7010215246835009E-3</v>
      </c>
      <c r="AB241" s="137">
        <f>Transportation_LCIA!F$61*($W241^Transportation_LCIA!F$60)+Transportation_LCIA!F$62</f>
        <v>0.30729882152489507</v>
      </c>
      <c r="AC241" s="137">
        <f>Transportation_LCIA!G$61*($W241^Transportation_LCIA!G$60)+Transportation_LCIA!G$62</f>
        <v>7.6195167434880529E-2</v>
      </c>
      <c r="AD241" s="137">
        <f>Transportation_LCIA!H$61*($W241^Transportation_LCIA!H$60)+Transportation_LCIA!H$62</f>
        <v>4.0006618979584763E-4</v>
      </c>
      <c r="AE241" s="137">
        <f>Transportation_LCIA!I$61*($W241^Transportation_LCIA!I$60)+Transportation_LCIA!I$62</f>
        <v>9.0587319283235716E-6</v>
      </c>
      <c r="AF241" s="137">
        <f>Transportation_LCIA!J$61*($W241^Transportation_LCIA!J$60)+Transportation_LCIA!J$62</f>
        <v>1.3471269072017985E-2</v>
      </c>
      <c r="AG241" s="137">
        <f>Transportation_LCIA!K$61*($W241^Transportation_LCIA!K$60)+Transportation_LCIA!K$62</f>
        <v>1.6639947628133055E-2</v>
      </c>
      <c r="AH241" s="137">
        <f>Transportation_LCIA!L$61*($W241^Transportation_LCIA!L$60)+Transportation_LCIA!L$62</f>
        <v>3.5357540758904505E-4</v>
      </c>
      <c r="AI241" s="137">
        <f>Transportation_LCIA!M$61*($W241^Transportation_LCIA!M$60)+Transportation_LCIA!M$62</f>
        <v>3.1166584326352707E-4</v>
      </c>
      <c r="AJ241" s="137">
        <f>Transportation_LCIA!N$61*($W241^Transportation_LCIA!N$60)+Transportation_LCIA!N$62</f>
        <v>1.4039316702187713E-3</v>
      </c>
      <c r="AK241" s="137">
        <f>Transportation_LCIA!O$61*($W241^Transportation_LCIA!O$60)+Transportation_LCIA!O$62</f>
        <v>8.0638385241804721E-5</v>
      </c>
      <c r="AL241" s="137">
        <f>Transportation_LCIA!P$61*($W241^Transportation_LCIA!P$60)+Transportation_LCIA!P$62</f>
        <v>3.8929598832181193E-8</v>
      </c>
      <c r="AM241" s="137">
        <f>Transportation_LCIA!Q$61*($W241^Transportation_LCIA!Q$60)+Transportation_LCIA!Q$62</f>
        <v>1.394865004676305E-4</v>
      </c>
      <c r="AN241" s="137">
        <f>Transportation_LCIA!R$61*($W241^Transportation_LCIA!R$60)+Transportation_LCIA!R$62</f>
        <v>4.3527760270768294E-4</v>
      </c>
      <c r="AO241" s="137">
        <f>Transportation_LCIA!S$61*($W241^Transportation_LCIA!S$60)+Transportation_LCIA!S$62</f>
        <v>6.4338673498341644E-6</v>
      </c>
      <c r="AP241" s="137">
        <f>Transportation_LCIA!T$61*($W241^Transportation_LCIA!T$60)+Transportation_LCIA!T$62</f>
        <v>6.4338673498341644E-6</v>
      </c>
      <c r="AQ241" s="137">
        <f>Transportation_LCIA!U$61*($W241^Transportation_LCIA!U$60)+Transportation_LCIA!U$62</f>
        <v>9.4198202526368834E-4</v>
      </c>
      <c r="AR241" s="137">
        <f>Transportation_LCIA!V$61*($W241^Transportation_LCIA!V$60)+Transportation_LCIA!V$62</f>
        <v>3.6305370692808487E-4</v>
      </c>
      <c r="AT241" s="137">
        <f>$W241*Y241+$L241*Summary_LCIA!H$32</f>
        <v>182.65505570592649</v>
      </c>
      <c r="AU241" s="137">
        <f>$W241*Z241+$L241*Summary_LCIA!Q$32</f>
        <v>1961.3832896714302</v>
      </c>
      <c r="AV241" s="137">
        <f>$W241*AA241+$L241*Summary_LCIA!R$32</f>
        <v>1.0568970262431161</v>
      </c>
      <c r="AW241" s="137">
        <f>$W241*AB241+$L241*Summary_LCIA!S$32</f>
        <v>182.59520890592651</v>
      </c>
      <c r="AX241" s="137">
        <f>$W241*AC241+$L241*Summary_LCIA!T$32</f>
        <v>45.636821933238032</v>
      </c>
      <c r="AY241" s="137">
        <f>$W241*AD241+$L241*Summary_LCIA!U$32</f>
        <v>0.47436071466228463</v>
      </c>
      <c r="AZ241" s="137">
        <f>$W241*AE241+$L241*Summary_LCIA!V$32</f>
        <v>5.8954672894771789E-3</v>
      </c>
      <c r="BA241" s="137">
        <f>$W241*AF241+$L241*Summary_LCIA!W$32</f>
        <v>8.8476697586214996</v>
      </c>
      <c r="BB241" s="137">
        <f>$W241*AG241+$L241*Summary_LCIA!X$32</f>
        <v>9.9499098666724546</v>
      </c>
      <c r="BC241" s="137">
        <f>$W241*AH241+$L241*Summary_LCIA!Y$32</f>
        <v>0.41584788474006346</v>
      </c>
      <c r="BD241" s="137">
        <f>$W241*AI241+$L241*Summary_LCIA!Z$32</f>
        <v>0.18113975223525519</v>
      </c>
      <c r="BE241" s="137">
        <f>$W241*AJ241+$L241*Summary_LCIA!AA$32</f>
        <v>1.1297021276851655</v>
      </c>
      <c r="BF241" s="137">
        <f>$W241*AK241+$L241*Summary_LCIA!AB$32</f>
        <v>4.6427768480472018E-2</v>
      </c>
      <c r="BG241" s="137">
        <f>$W241*AL241+$L241*Summary_LCIA!AC$32</f>
        <v>2.3218361034948127E-5</v>
      </c>
      <c r="BH241" s="137">
        <f>$W241*AM241+$L241*Summary_LCIA!AD$32</f>
        <v>8.6386332346471972E-2</v>
      </c>
      <c r="BI241" s="137">
        <f>$W241*AN241+$L241*Summary_LCIA!AE$32</f>
        <v>0.26420544637636806</v>
      </c>
      <c r="BJ241" s="137">
        <f>$W241*AO241+$L241*Summary_LCIA!AF$32</f>
        <v>1.5174878969208275E-2</v>
      </c>
      <c r="BK241" s="137">
        <f>$W241*AP241+$L241*Summary_LCIA!AG$32</f>
        <v>4.4206662692082756E-3</v>
      </c>
      <c r="BL241" s="137">
        <f>$W241*AQ241+$L241*Summary_LCIA!AH$32</f>
        <v>0.66364715059463841</v>
      </c>
      <c r="BM241" s="137">
        <f>$W241*AR241+$L241*Summary_LCIA!AI$32</f>
        <v>0.22297267958327946</v>
      </c>
    </row>
    <row r="242" spans="1:65" x14ac:dyDescent="0.25">
      <c r="A242" s="149">
        <v>128</v>
      </c>
      <c r="B242" s="149">
        <v>16</v>
      </c>
      <c r="C242" s="61">
        <v>35.686974999999997</v>
      </c>
      <c r="D242" s="61">
        <v>-105.937799</v>
      </c>
      <c r="E242" s="61" t="s">
        <v>265</v>
      </c>
      <c r="F242" s="149">
        <v>119</v>
      </c>
      <c r="G242" s="61" t="s">
        <v>676</v>
      </c>
      <c r="H242" s="61" t="s">
        <v>677</v>
      </c>
      <c r="I242" s="61">
        <v>35.043332999999997</v>
      </c>
      <c r="J242" s="61">
        <v>-106.612909</v>
      </c>
      <c r="K242" s="61">
        <v>132.83882500000001</v>
      </c>
      <c r="L242" s="61">
        <v>108.321</v>
      </c>
      <c r="M242" s="61" t="s">
        <v>617</v>
      </c>
      <c r="N242" s="149">
        <v>15</v>
      </c>
      <c r="O242" s="149">
        <v>16</v>
      </c>
      <c r="P242" s="61" t="s">
        <v>565</v>
      </c>
      <c r="Q242" s="61" t="s">
        <v>556</v>
      </c>
      <c r="R242" s="61">
        <v>39.856096299999997</v>
      </c>
      <c r="S242" s="61">
        <v>-104.6737376</v>
      </c>
      <c r="T242" s="61">
        <v>658.04899999999998</v>
      </c>
      <c r="U242" s="61" t="s">
        <v>617</v>
      </c>
      <c r="V242" s="61" t="s">
        <v>569</v>
      </c>
      <c r="W242" s="61" cm="1">
        <f t="array" ref="W242">getDistance(I242,J242,R242,S242)*SA!$B$12</f>
        <v>562.0692154742253</v>
      </c>
      <c r="Y242" s="137">
        <f>Transportation_LCIA!C$61*($W242^Transportation_LCIA!C$60)+Transportation_LCIA!C$62</f>
        <v>0.31234572379644221</v>
      </c>
      <c r="Z242" s="137">
        <f>Transportation_LCIA!D$61*($W242^Transportation_LCIA!D$60)+Transportation_LCIA!D$62</f>
        <v>3.3296210667490271</v>
      </c>
      <c r="AA242" s="137">
        <f>Transportation_LCIA!E$61*($W242^Transportation_LCIA!E$60)+Transportation_LCIA!E$62</f>
        <v>1.7409629881306933E-3</v>
      </c>
      <c r="AB242" s="137">
        <f>Transportation_LCIA!F$61*($W242^Transportation_LCIA!F$60)+Transportation_LCIA!F$62</f>
        <v>0.31234572379644221</v>
      </c>
      <c r="AC242" s="137">
        <f>Transportation_LCIA!G$61*($W242^Transportation_LCIA!G$60)+Transportation_LCIA!G$62</f>
        <v>7.7589160875477806E-2</v>
      </c>
      <c r="AD242" s="137">
        <f>Transportation_LCIA!H$61*($W242^Transportation_LCIA!H$60)+Transportation_LCIA!H$62</f>
        <v>4.0896707036547922E-4</v>
      </c>
      <c r="AE242" s="137">
        <f>Transportation_LCIA!I$61*($W242^Transportation_LCIA!I$60)+Transportation_LCIA!I$62</f>
        <v>9.287690950406478E-6</v>
      </c>
      <c r="AF242" s="137">
        <f>Transportation_LCIA!J$61*($W242^Transportation_LCIA!J$60)+Transportation_LCIA!J$62</f>
        <v>1.381709544487048E-2</v>
      </c>
      <c r="AG242" s="137">
        <f>Transportation_LCIA!K$61*($W242^Transportation_LCIA!K$60)+Transportation_LCIA!K$62</f>
        <v>1.6969347425940542E-2</v>
      </c>
      <c r="AH242" s="137">
        <f>Transportation_LCIA!L$61*($W242^Transportation_LCIA!L$60)+Transportation_LCIA!L$62</f>
        <v>3.6180880809060781E-4</v>
      </c>
      <c r="AI242" s="137">
        <f>Transportation_LCIA!M$61*($W242^Transportation_LCIA!M$60)+Transportation_LCIA!M$62</f>
        <v>3.1658174874836395E-4</v>
      </c>
      <c r="AJ242" s="137">
        <f>Transportation_LCIA!N$61*($W242^Transportation_LCIA!N$60)+Transportation_LCIA!N$62</f>
        <v>1.4338065791517597E-3</v>
      </c>
      <c r="AK242" s="137">
        <f>Transportation_LCIA!O$61*($W242^Transportation_LCIA!O$60)+Transportation_LCIA!O$62</f>
        <v>8.2120666352479983E-5</v>
      </c>
      <c r="AL242" s="137">
        <f>Transportation_LCIA!P$61*($W242^Transportation_LCIA!P$60)+Transportation_LCIA!P$62</f>
        <v>3.9640984354842165E-8</v>
      </c>
      <c r="AM242" s="137">
        <f>Transportation_LCIA!Q$61*($W242^Transportation_LCIA!Q$60)+Transportation_LCIA!Q$62</f>
        <v>1.427164451988576E-4</v>
      </c>
      <c r="AN242" s="137">
        <f>Transportation_LCIA!R$61*($W242^Transportation_LCIA!R$60)+Transportation_LCIA!R$62</f>
        <v>4.4626259685882214E-4</v>
      </c>
      <c r="AO242" s="137">
        <f>Transportation_LCIA!S$61*($W242^Transportation_LCIA!S$60)+Transportation_LCIA!S$62</f>
        <v>6.5896170398703171E-6</v>
      </c>
      <c r="AP242" s="137">
        <f>Transportation_LCIA!T$61*($W242^Transportation_LCIA!T$60)+Transportation_LCIA!T$62</f>
        <v>6.5896170398703171E-6</v>
      </c>
      <c r="AQ242" s="137">
        <f>Transportation_LCIA!U$61*($W242^Transportation_LCIA!U$60)+Transportation_LCIA!U$62</f>
        <v>9.6617119892550003E-4</v>
      </c>
      <c r="AR242" s="137">
        <f>Transportation_LCIA!V$61*($W242^Transportation_LCIA!V$60)+Transportation_LCIA!V$62</f>
        <v>3.7149234590026369E-4</v>
      </c>
      <c r="AT242" s="137">
        <f>$W242*Y242+$L242*Summary_LCIA!H$32</f>
        <v>212.36739173099534</v>
      </c>
      <c r="AU242" s="137">
        <f>$W242*Z242+$L242*Summary_LCIA!Q$32</f>
        <v>2408.3218397670717</v>
      </c>
      <c r="AV242" s="137">
        <f>$W242*AA242+$L242*Summary_LCIA!R$32</f>
        <v>1.5489167585082817</v>
      </c>
      <c r="AW242" s="137">
        <f>$W242*AB242+$L242*Summary_LCIA!S$32</f>
        <v>211.88861291099533</v>
      </c>
      <c r="AX242" s="137">
        <f>$W242*AC242+$L242*Summary_LCIA!T$32</f>
        <v>55.514956682583261</v>
      </c>
      <c r="AY242" s="137">
        <f>$W242*AD242+$L242*Summary_LCIA!U$32</f>
        <v>2.1703301943951172</v>
      </c>
      <c r="AZ242" s="137">
        <f>$W242*AE242+$L242*Summary_LCIA!V$32</f>
        <v>1.0393844447062031E-2</v>
      </c>
      <c r="BA242" s="137">
        <f>$W242*AF242+$L242*Summary_LCIA!W$32</f>
        <v>16.103739687830842</v>
      </c>
      <c r="BB242" s="137">
        <f>$W242*AG242+$L242*Summary_LCIA!X$32</f>
        <v>12.005500174807967</v>
      </c>
      <c r="BC242" s="137">
        <f>$W242*AH242+$L242*Summary_LCIA!Y$32</f>
        <v>1.8912194149151524</v>
      </c>
      <c r="BD242" s="137">
        <f>$W242*AI242+$L242*Summary_LCIA!Z$32</f>
        <v>0.18238299104145123</v>
      </c>
      <c r="BE242" s="137">
        <f>$W242*AJ242+$L242*Summary_LCIA!AA$32</f>
        <v>3.335843815085612</v>
      </c>
      <c r="BF242" s="137">
        <f>$W242*AK242+$L242*Summary_LCIA!AB$32</f>
        <v>4.3793609327959039E-2</v>
      </c>
      <c r="BG242" s="137">
        <f>$W242*AL242+$L242*Summary_LCIA!AC$32</f>
        <v>2.7576140740952175E-5</v>
      </c>
      <c r="BH242" s="137">
        <f>$W242*AM242+$L242*Summary_LCIA!AD$32</f>
        <v>0.12474078422819215</v>
      </c>
      <c r="BI242" s="137">
        <f>$W242*AN242+$L242*Summary_LCIA!AE$32</f>
        <v>0.34681695544192859</v>
      </c>
      <c r="BJ242" s="137">
        <f>$W242*AO242+$L242*Summary_LCIA!AF$32</f>
        <v>9.5280560699875505E-2</v>
      </c>
      <c r="BK242" s="137">
        <f>$W242*AP242+$L242*Summary_LCIA!AG$32</f>
        <v>9.246064844875496E-3</v>
      </c>
      <c r="BL242" s="137">
        <f>$W242*AQ242+$L242*Summary_LCIA!AH$32</f>
        <v>1.4858377433938474</v>
      </c>
      <c r="BM242" s="137">
        <f>$W242*AR242+$L242*Summary_LCIA!AI$32</f>
        <v>0.30971083896484075</v>
      </c>
    </row>
    <row r="243" spans="1:65" x14ac:dyDescent="0.25">
      <c r="A243" s="149">
        <v>185</v>
      </c>
      <c r="B243" s="149">
        <v>43</v>
      </c>
      <c r="C243" s="61">
        <v>45.376868000000002</v>
      </c>
      <c r="D243" s="61">
        <v>-71.930583999999996</v>
      </c>
      <c r="E243" s="61" t="s">
        <v>458</v>
      </c>
      <c r="F243" s="149">
        <v>124</v>
      </c>
      <c r="G243" s="61" t="s">
        <v>654</v>
      </c>
      <c r="H243" s="61" t="s">
        <v>655</v>
      </c>
      <c r="I243" s="61">
        <v>45.465685000000001</v>
      </c>
      <c r="J243" s="61">
        <v>-73.745480999999998</v>
      </c>
      <c r="K243" s="61">
        <v>143.76694309999999</v>
      </c>
      <c r="L243" s="61">
        <v>167.62799999999999</v>
      </c>
      <c r="M243" s="61" t="s">
        <v>617</v>
      </c>
      <c r="N243" s="149">
        <v>42</v>
      </c>
      <c r="O243" s="149">
        <v>43</v>
      </c>
      <c r="P243" s="61" t="s">
        <v>565</v>
      </c>
      <c r="Q243" s="61" t="s">
        <v>555</v>
      </c>
      <c r="R243" s="61">
        <v>40.6895314</v>
      </c>
      <c r="S243" s="61">
        <v>-74.174462399999996</v>
      </c>
      <c r="T243" s="61">
        <v>665.03599999999994</v>
      </c>
      <c r="U243" s="61" t="s">
        <v>617</v>
      </c>
      <c r="V243" s="61" t="s">
        <v>569</v>
      </c>
      <c r="W243" s="61" cm="1">
        <f t="array" ref="W243">getDistance(I243,J243,R243,S243)*SA!$B$12</f>
        <v>532.70082587978914</v>
      </c>
      <c r="Y243" s="137">
        <f>Transportation_LCIA!C$61*($W243^Transportation_LCIA!C$60)+Transportation_LCIA!C$62</f>
        <v>0.32157602463370416</v>
      </c>
      <c r="Z243" s="137">
        <f>Transportation_LCIA!D$61*($W243^Transportation_LCIA!D$60)+Transportation_LCIA!D$62</f>
        <v>3.4401752281760434</v>
      </c>
      <c r="AA243" s="137">
        <f>Transportation_LCIA!E$61*($W243^Transportation_LCIA!E$60)+Transportation_LCIA!E$62</f>
        <v>1.8141836341962153E-3</v>
      </c>
      <c r="AB243" s="137">
        <f>Transportation_LCIA!F$61*($W243^Transportation_LCIA!F$60)+Transportation_LCIA!F$62</f>
        <v>0.32157602463370416</v>
      </c>
      <c r="AC243" s="137">
        <f>Transportation_LCIA!G$61*($W243^Transportation_LCIA!G$60)+Transportation_LCIA!G$62</f>
        <v>8.0143040676289495E-2</v>
      </c>
      <c r="AD243" s="137">
        <f>Transportation_LCIA!H$61*($W243^Transportation_LCIA!H$60)+Transportation_LCIA!H$62</f>
        <v>4.2530075100495493E-4</v>
      </c>
      <c r="AE243" s="137">
        <f>Transportation_LCIA!I$61*($W243^Transportation_LCIA!I$60)+Transportation_LCIA!I$62</f>
        <v>9.7085338694522006E-6</v>
      </c>
      <c r="AF243" s="137">
        <f>Transportation_LCIA!J$61*($W243^Transportation_LCIA!J$60)+Transportation_LCIA!J$62</f>
        <v>1.4453429332288598E-2</v>
      </c>
      <c r="AG243" s="137">
        <f>Transportation_LCIA!K$61*($W243^Transportation_LCIA!K$60)+Transportation_LCIA!K$62</f>
        <v>1.7573386146825021E-2</v>
      </c>
      <c r="AH243" s="137">
        <f>Transportation_LCIA!L$61*($W243^Transportation_LCIA!L$60)+Transportation_LCIA!L$62</f>
        <v>3.7692466700234696E-4</v>
      </c>
      <c r="AI243" s="137">
        <f>Transportation_LCIA!M$61*($W243^Transportation_LCIA!M$60)+Transportation_LCIA!M$62</f>
        <v>3.2560324687594627E-4</v>
      </c>
      <c r="AJ243" s="137">
        <f>Transportation_LCIA!N$61*($W243^Transportation_LCIA!N$60)+Transportation_LCIA!N$62</f>
        <v>1.4886217992903391E-3</v>
      </c>
      <c r="AK243" s="137">
        <f>Transportation_LCIA!O$61*($W243^Transportation_LCIA!O$60)+Transportation_LCIA!O$62</f>
        <v>8.4836431112135085E-5</v>
      </c>
      <c r="AL243" s="137">
        <f>Transportation_LCIA!P$61*($W243^Transportation_LCIA!P$60)+Transportation_LCIA!P$62</f>
        <v>4.094417350036071E-8</v>
      </c>
      <c r="AM243" s="137">
        <f>Transportation_LCIA!Q$61*($W243^Transportation_LCIA!Q$60)+Transportation_LCIA!Q$62</f>
        <v>1.4864785211779024E-4</v>
      </c>
      <c r="AN243" s="137">
        <f>Transportation_LCIA!R$61*($W243^Transportation_LCIA!R$60)+Transportation_LCIA!R$62</f>
        <v>4.664545941177262E-4</v>
      </c>
      <c r="AO243" s="137">
        <f>Transportation_LCIA!S$61*($W243^Transportation_LCIA!S$60)+Transportation_LCIA!S$62</f>
        <v>6.8758863533443067E-6</v>
      </c>
      <c r="AP243" s="137">
        <f>Transportation_LCIA!T$61*($W243^Transportation_LCIA!T$60)+Transportation_LCIA!T$62</f>
        <v>6.8758863533443067E-6</v>
      </c>
      <c r="AQ243" s="137">
        <f>Transportation_LCIA!U$61*($W243^Transportation_LCIA!U$60)+Transportation_LCIA!U$62</f>
        <v>1.0106481886833722E-3</v>
      </c>
      <c r="AR243" s="137">
        <f>Transportation_LCIA!V$61*($W243^Transportation_LCIA!V$60)+Transportation_LCIA!V$62</f>
        <v>3.8699391574166265E-4</v>
      </c>
      <c r="AT243" s="137">
        <f>$W243*Y243+$L243*Summary_LCIA!H$32</f>
        <v>228.26380830551363</v>
      </c>
      <c r="AU243" s="137">
        <f>$W243*Z243+$L243*Summary_LCIA!Q$32</f>
        <v>2663.3570072034945</v>
      </c>
      <c r="AV243" s="137">
        <f>$W243*AA243+$L243*Summary_LCIA!R$32</f>
        <v>1.8490791170339209</v>
      </c>
      <c r="AW243" s="137">
        <f>$W243*AB243+$L243*Summary_LCIA!S$32</f>
        <v>227.52289254551363</v>
      </c>
      <c r="AX243" s="137">
        <f>$W243*AC243+$L243*Summary_LCIA!T$32</f>
        <v>61.11458115677695</v>
      </c>
      <c r="AY243" s="137">
        <f>$W243*AD243+$L243*Summary_LCIA!U$32</f>
        <v>3.2294460533076337</v>
      </c>
      <c r="AZ243" s="137">
        <f>$W243*AE243+$L243*Summary_LCIA!V$32</f>
        <v>1.317782491833909E-2</v>
      </c>
      <c r="BA243" s="137">
        <f>$W243*AF243+$L243*Summary_LCIA!W$32</f>
        <v>20.601848530105304</v>
      </c>
      <c r="BB243" s="137">
        <f>$W243*AG243+$L243*Summary_LCIA!X$32</f>
        <v>13.179923153918134</v>
      </c>
      <c r="BC243" s="137">
        <f>$W243*AH243+$L243*Summary_LCIA!Y$32</f>
        <v>2.8127675774066145</v>
      </c>
      <c r="BD243" s="137">
        <f>$W243*AI243+$L243*Summary_LCIA!Z$32</f>
        <v>0.18032337517195746</v>
      </c>
      <c r="BE243" s="137">
        <f>$W243*AJ243+$L243*Summary_LCIA!AA$32</f>
        <v>4.7081096299046203</v>
      </c>
      <c r="BF243" s="137">
        <f>$W243*AK243+$L243*Summary_LCIA!AB$32</f>
        <v>4.1534291074128205E-2</v>
      </c>
      <c r="BG243" s="137">
        <f>$W243*AL243+$L243*Summary_LCIA!AC$32</f>
        <v>3.0005322190607525E-5</v>
      </c>
      <c r="BH243" s="137">
        <f>$W243*AM243+$L243*Summary_LCIA!AD$32</f>
        <v>0.1480866467084036</v>
      </c>
      <c r="BI243" s="137">
        <f>$W243*AN243+$L243*Summary_LCIA!AE$32</f>
        <v>0.39702094716193459</v>
      </c>
      <c r="BJ243" s="137">
        <f>$W243*AO243+$L243*Summary_LCIA!AF$32</f>
        <v>0.14537885409908208</v>
      </c>
      <c r="BK243" s="137">
        <f>$W243*AP243+$L243*Summary_LCIA!AG$32</f>
        <v>1.2239476959082084E-2</v>
      </c>
      <c r="BL243" s="137">
        <f>$W243*AQ243+$L243*Summary_LCIA!AH$32</f>
        <v>1.9973401855855455</v>
      </c>
      <c r="BM243" s="137">
        <f>$W243*AR243+$L243*Summary_LCIA!AI$32</f>
        <v>0.36230584192603721</v>
      </c>
    </row>
    <row r="244" spans="1:65" x14ac:dyDescent="0.25">
      <c r="A244" s="149">
        <v>344</v>
      </c>
      <c r="B244" s="149">
        <v>43</v>
      </c>
      <c r="C244" s="61">
        <v>45.404172000000003</v>
      </c>
      <c r="D244" s="61">
        <v>-71.892910999999998</v>
      </c>
      <c r="E244" s="61" t="s">
        <v>458</v>
      </c>
      <c r="F244" s="149">
        <v>124</v>
      </c>
      <c r="G244" s="61" t="s">
        <v>654</v>
      </c>
      <c r="H244" s="61" t="s">
        <v>655</v>
      </c>
      <c r="I244" s="61">
        <v>45.465685000000001</v>
      </c>
      <c r="J244" s="61">
        <v>-73.745480999999998</v>
      </c>
      <c r="K244" s="61">
        <v>146.99097639999999</v>
      </c>
      <c r="L244" s="61">
        <v>171.571</v>
      </c>
      <c r="M244" s="61" t="s">
        <v>617</v>
      </c>
      <c r="N244" s="149">
        <v>42</v>
      </c>
      <c r="O244" s="149">
        <v>43</v>
      </c>
      <c r="P244" s="61" t="s">
        <v>565</v>
      </c>
      <c r="Q244" s="61" t="s">
        <v>555</v>
      </c>
      <c r="R244" s="61">
        <v>40.6895314</v>
      </c>
      <c r="S244" s="61">
        <v>-74.174462399999996</v>
      </c>
      <c r="T244" s="61">
        <v>665.50599999999997</v>
      </c>
      <c r="U244" s="61" t="s">
        <v>617</v>
      </c>
      <c r="V244" s="61" t="s">
        <v>569</v>
      </c>
      <c r="W244" s="61" cm="1">
        <f t="array" ref="W244">getDistance(I244,J244,R244,S244)*SA!$B$12</f>
        <v>532.70082587978914</v>
      </c>
      <c r="Y244" s="137">
        <f>Transportation_LCIA!C$61*($W244^Transportation_LCIA!C$60)+Transportation_LCIA!C$62</f>
        <v>0.32157602463370416</v>
      </c>
      <c r="Z244" s="137">
        <f>Transportation_LCIA!D$61*($W244^Transportation_LCIA!D$60)+Transportation_LCIA!D$62</f>
        <v>3.4401752281760434</v>
      </c>
      <c r="AA244" s="137">
        <f>Transportation_LCIA!E$61*($W244^Transportation_LCIA!E$60)+Transportation_LCIA!E$62</f>
        <v>1.8141836341962153E-3</v>
      </c>
      <c r="AB244" s="137">
        <f>Transportation_LCIA!F$61*($W244^Transportation_LCIA!F$60)+Transportation_LCIA!F$62</f>
        <v>0.32157602463370416</v>
      </c>
      <c r="AC244" s="137">
        <f>Transportation_LCIA!G$61*($W244^Transportation_LCIA!G$60)+Transportation_LCIA!G$62</f>
        <v>8.0143040676289495E-2</v>
      </c>
      <c r="AD244" s="137">
        <f>Transportation_LCIA!H$61*($W244^Transportation_LCIA!H$60)+Transportation_LCIA!H$62</f>
        <v>4.2530075100495493E-4</v>
      </c>
      <c r="AE244" s="137">
        <f>Transportation_LCIA!I$61*($W244^Transportation_LCIA!I$60)+Transportation_LCIA!I$62</f>
        <v>9.7085338694522006E-6</v>
      </c>
      <c r="AF244" s="137">
        <f>Transportation_LCIA!J$61*($W244^Transportation_LCIA!J$60)+Transportation_LCIA!J$62</f>
        <v>1.4453429332288598E-2</v>
      </c>
      <c r="AG244" s="137">
        <f>Transportation_LCIA!K$61*($W244^Transportation_LCIA!K$60)+Transportation_LCIA!K$62</f>
        <v>1.7573386146825021E-2</v>
      </c>
      <c r="AH244" s="137">
        <f>Transportation_LCIA!L$61*($W244^Transportation_LCIA!L$60)+Transportation_LCIA!L$62</f>
        <v>3.7692466700234696E-4</v>
      </c>
      <c r="AI244" s="137">
        <f>Transportation_LCIA!M$61*($W244^Transportation_LCIA!M$60)+Transportation_LCIA!M$62</f>
        <v>3.2560324687594627E-4</v>
      </c>
      <c r="AJ244" s="137">
        <f>Transportation_LCIA!N$61*($W244^Transportation_LCIA!N$60)+Transportation_LCIA!N$62</f>
        <v>1.4886217992903391E-3</v>
      </c>
      <c r="AK244" s="137">
        <f>Transportation_LCIA!O$61*($W244^Transportation_LCIA!O$60)+Transportation_LCIA!O$62</f>
        <v>8.4836431112135085E-5</v>
      </c>
      <c r="AL244" s="137">
        <f>Transportation_LCIA!P$61*($W244^Transportation_LCIA!P$60)+Transportation_LCIA!P$62</f>
        <v>4.094417350036071E-8</v>
      </c>
      <c r="AM244" s="137">
        <f>Transportation_LCIA!Q$61*($W244^Transportation_LCIA!Q$60)+Transportation_LCIA!Q$62</f>
        <v>1.4864785211779024E-4</v>
      </c>
      <c r="AN244" s="137">
        <f>Transportation_LCIA!R$61*($W244^Transportation_LCIA!R$60)+Transportation_LCIA!R$62</f>
        <v>4.664545941177262E-4</v>
      </c>
      <c r="AO244" s="137">
        <f>Transportation_LCIA!S$61*($W244^Transportation_LCIA!S$60)+Transportation_LCIA!S$62</f>
        <v>6.8758863533443067E-6</v>
      </c>
      <c r="AP244" s="137">
        <f>Transportation_LCIA!T$61*($W244^Transportation_LCIA!T$60)+Transportation_LCIA!T$62</f>
        <v>6.8758863533443067E-6</v>
      </c>
      <c r="AQ244" s="137">
        <f>Transportation_LCIA!U$61*($W244^Transportation_LCIA!U$60)+Transportation_LCIA!U$62</f>
        <v>1.0106481886833722E-3</v>
      </c>
      <c r="AR244" s="137">
        <f>Transportation_LCIA!V$61*($W244^Transportation_LCIA!V$60)+Transportation_LCIA!V$62</f>
        <v>3.8699391574166265E-4</v>
      </c>
      <c r="AT244" s="137">
        <f>$W244*Y244+$L244*Summary_LCIA!H$32</f>
        <v>229.60363970551364</v>
      </c>
      <c r="AU244" s="137">
        <f>$W244*Z244+$L244*Summary_LCIA!Q$32</f>
        <v>2682.8987140608133</v>
      </c>
      <c r="AV244" s="137">
        <f>$W244*AA244+$L244*Summary_LCIA!R$32</f>
        <v>1.8698413778339211</v>
      </c>
      <c r="AW244" s="137">
        <f>$W244*AB244+$L244*Summary_LCIA!S$32</f>
        <v>228.84529588551362</v>
      </c>
      <c r="AX244" s="137">
        <f>$W244*AC244+$L244*Summary_LCIA!T$32</f>
        <v>61.547916856776951</v>
      </c>
      <c r="AY244" s="137">
        <f>$W244*AD244+$L244*Summary_LCIA!U$32</f>
        <v>3.3000809553076338</v>
      </c>
      <c r="AZ244" s="137">
        <f>$W244*AE244+$L244*Summary_LCIA!V$32</f>
        <v>1.336614654133909E-2</v>
      </c>
      <c r="BA244" s="137">
        <f>$W244*AF244+$L244*Summary_LCIA!W$32</f>
        <v>20.905345183105304</v>
      </c>
      <c r="BB244" s="137">
        <f>$W244*AG244+$L244*Summary_LCIA!X$32</f>
        <v>13.269744693918135</v>
      </c>
      <c r="BC244" s="137">
        <f>$W244*AH244+$L244*Summary_LCIA!Y$32</f>
        <v>2.8742074034066145</v>
      </c>
      <c r="BD244" s="137">
        <f>$W244*AI244+$L244*Summary_LCIA!Z$32</f>
        <v>0.18048507365895744</v>
      </c>
      <c r="BE244" s="137">
        <f>$W244*AJ244+$L244*Summary_LCIA!AA$32</f>
        <v>4.8002023379046213</v>
      </c>
      <c r="BF244" s="137">
        <f>$W244*AK244+$L244*Summary_LCIA!AB$32</f>
        <v>4.1448242985128197E-2</v>
      </c>
      <c r="BG244" s="137">
        <f>$W244*AL244+$L244*Summary_LCIA!AC$32</f>
        <v>3.0198071802607525E-5</v>
      </c>
      <c r="BH244" s="137">
        <f>$W244*AM244+$L244*Summary_LCIA!AD$32</f>
        <v>0.14970737742840362</v>
      </c>
      <c r="BI244" s="137">
        <f>$W244*AN244+$L244*Summary_LCIA!AE$32</f>
        <v>0.40051495775193457</v>
      </c>
      <c r="BJ244" s="137">
        <f>$W244*AO244+$L244*Summary_LCIA!AF$32</f>
        <v>0.1487123451590821</v>
      </c>
      <c r="BK244" s="137">
        <f>$W244*AP244+$L244*Summary_LCIA!AG$32</f>
        <v>1.2441220554082085E-2</v>
      </c>
      <c r="BL244" s="137">
        <f>$W244*AQ244+$L244*Summary_LCIA!AH$32</f>
        <v>2.0316584803855453</v>
      </c>
      <c r="BM244" s="137">
        <f>$W244*AR244+$L244*Summary_LCIA!AI$32</f>
        <v>0.36597894357603722</v>
      </c>
    </row>
    <row r="245" spans="1:65" x14ac:dyDescent="0.25">
      <c r="A245" s="149">
        <v>287</v>
      </c>
      <c r="B245" s="149">
        <v>43</v>
      </c>
      <c r="C245" s="61">
        <v>45.421529999999997</v>
      </c>
      <c r="D245" s="61">
        <v>-75.697192999999999</v>
      </c>
      <c r="E245" s="61" t="s">
        <v>456</v>
      </c>
      <c r="F245" s="149">
        <v>127</v>
      </c>
      <c r="G245" s="61" t="s">
        <v>635</v>
      </c>
      <c r="H245" s="61" t="s">
        <v>636</v>
      </c>
      <c r="I245" s="61">
        <v>45.319212</v>
      </c>
      <c r="J245" s="61">
        <v>-75.669165000000007</v>
      </c>
      <c r="K245" s="61">
        <v>15.884900010000001</v>
      </c>
      <c r="L245" s="61">
        <v>14.090999999999999</v>
      </c>
      <c r="M245" s="61" t="s">
        <v>617</v>
      </c>
      <c r="N245" s="149">
        <v>42</v>
      </c>
      <c r="O245" s="149">
        <v>43</v>
      </c>
      <c r="P245" s="61" t="s">
        <v>565</v>
      </c>
      <c r="Q245" s="61" t="s">
        <v>555</v>
      </c>
      <c r="R245" s="61">
        <v>40.6895314</v>
      </c>
      <c r="S245" s="61">
        <v>-74.174462399999996</v>
      </c>
      <c r="T245" s="61">
        <v>704.39099999999996</v>
      </c>
      <c r="U245" s="61" t="s">
        <v>617</v>
      </c>
      <c r="V245" s="61" t="s">
        <v>569</v>
      </c>
      <c r="W245" s="61" cm="1">
        <f t="array" ref="W245">getDistance(I245,J245,R245,S245)*SA!$B$12</f>
        <v>529.43931884690528</v>
      </c>
      <c r="Y245" s="137">
        <f>Transportation_LCIA!C$61*($W245^Transportation_LCIA!C$60)+Transportation_LCIA!C$62</f>
        <v>0.32265907727188337</v>
      </c>
      <c r="Z245" s="137">
        <f>Transportation_LCIA!D$61*($W245^Transportation_LCIA!D$60)+Transportation_LCIA!D$62</f>
        <v>3.4531640207907941</v>
      </c>
      <c r="AA245" s="137">
        <f>Transportation_LCIA!E$61*($W245^Transportation_LCIA!E$60)+Transportation_LCIA!E$62</f>
        <v>1.8227893020850289E-3</v>
      </c>
      <c r="AB245" s="137">
        <f>Transportation_LCIA!F$61*($W245^Transportation_LCIA!F$60)+Transportation_LCIA!F$62</f>
        <v>0.32265907727188337</v>
      </c>
      <c r="AC245" s="137">
        <f>Transportation_LCIA!G$61*($W245^Transportation_LCIA!G$60)+Transportation_LCIA!G$62</f>
        <v>8.0443068469756601E-2</v>
      </c>
      <c r="AD245" s="137">
        <f>Transportation_LCIA!H$61*($W245^Transportation_LCIA!H$60)+Transportation_LCIA!H$62</f>
        <v>4.2722183275246164E-4</v>
      </c>
      <c r="AE245" s="137">
        <f>Transportation_LCIA!I$61*($W245^Transportation_LCIA!I$60)+Transportation_LCIA!I$62</f>
        <v>9.7580882669063746E-6</v>
      </c>
      <c r="AF245" s="137">
        <f>Transportation_LCIA!J$61*($W245^Transportation_LCIA!J$60)+Transportation_LCIA!J$62</f>
        <v>1.452841427349187E-2</v>
      </c>
      <c r="AG245" s="137">
        <f>Transportation_LCIA!K$61*($W245^Transportation_LCIA!K$60)+Transportation_LCIA!K$62</f>
        <v>1.7644394367690802E-2</v>
      </c>
      <c r="AH245" s="137">
        <f>Transportation_LCIA!L$61*($W245^Transportation_LCIA!L$60)+Transportation_LCIA!L$62</f>
        <v>3.7870309841583639E-4</v>
      </c>
      <c r="AI245" s="137">
        <f>Transportation_LCIA!M$61*($W245^Transportation_LCIA!M$60)+Transportation_LCIA!M$62</f>
        <v>3.2666434947107312E-4</v>
      </c>
      <c r="AJ245" s="137">
        <f>Transportation_LCIA!N$61*($W245^Transportation_LCIA!N$60)+Transportation_LCIA!N$62</f>
        <v>1.4950682872387905E-3</v>
      </c>
      <c r="AK245" s="137">
        <f>Transportation_LCIA!O$61*($W245^Transportation_LCIA!O$60)+Transportation_LCIA!O$62</f>
        <v>8.5155488326102327E-5</v>
      </c>
      <c r="AL245" s="137">
        <f>Transportation_LCIA!P$61*($W245^Transportation_LCIA!P$60)+Transportation_LCIA!P$62</f>
        <v>4.1097261881908054E-8</v>
      </c>
      <c r="AM245" s="137">
        <f>Transportation_LCIA!Q$61*($W245^Transportation_LCIA!Q$60)+Transportation_LCIA!Q$62</f>
        <v>1.4934582530155702E-4</v>
      </c>
      <c r="AN245" s="137">
        <f>Transportation_LCIA!R$61*($W245^Transportation_LCIA!R$60)+Transportation_LCIA!R$62</f>
        <v>4.6883227487666394E-4</v>
      </c>
      <c r="AO245" s="137">
        <f>Transportation_LCIA!S$61*($W245^Transportation_LCIA!S$60)+Transportation_LCIA!S$62</f>
        <v>6.909593862511241E-6</v>
      </c>
      <c r="AP245" s="137">
        <f>Transportation_LCIA!T$61*($W245^Transportation_LCIA!T$60)+Transportation_LCIA!T$62</f>
        <v>6.909593862511241E-6</v>
      </c>
      <c r="AQ245" s="137">
        <f>Transportation_LCIA!U$61*($W245^Transportation_LCIA!U$60)+Transportation_LCIA!U$62</f>
        <v>1.0158866596849867E-3</v>
      </c>
      <c r="AR245" s="137">
        <f>Transportation_LCIA!V$61*($W245^Transportation_LCIA!V$60)+Transportation_LCIA!V$62</f>
        <v>3.8881846527034328E-4</v>
      </c>
      <c r="AT245" s="137">
        <f>$W245*Y245+$L245*Summary_LCIA!H$32</f>
        <v>175.61652389059691</v>
      </c>
      <c r="AU245" s="137">
        <f>$W245*Z245+$L245*Summary_LCIA!Q$32</f>
        <v>1898.0765136855216</v>
      </c>
      <c r="AV245" s="137">
        <f>$W245*AA245+$L245*Summary_LCIA!R$32</f>
        <v>1.0392538960973234</v>
      </c>
      <c r="AW245" s="137">
        <f>$W245*AB245+$L245*Summary_LCIA!S$32</f>
        <v>175.55424167059692</v>
      </c>
      <c r="AX245" s="137">
        <f>$W245*AC245+$L245*Summary_LCIA!T$32</f>
        <v>44.138324276582892</v>
      </c>
      <c r="AY245" s="137">
        <f>$W245*AD245+$L245*Summary_LCIA!U$32</f>
        <v>0.47861421012898975</v>
      </c>
      <c r="AZ245" s="137">
        <f>$W245*AE245+$L245*Summary_LCIA!V$32</f>
        <v>5.8393158562788901E-3</v>
      </c>
      <c r="BA245" s="137">
        <f>$W245*AF245+$L245*Summary_LCIA!W$32</f>
        <v>8.7765121178831915</v>
      </c>
      <c r="BB245" s="137">
        <f>$W245*AG245+$L245*Summary_LCIA!X$32</f>
        <v>9.6626291154963901</v>
      </c>
      <c r="BC245" s="137">
        <f>$W245*AH245+$L245*Summary_LCIA!Y$32</f>
        <v>0.420066272470493</v>
      </c>
      <c r="BD245" s="137">
        <f>$W245*AI245+$L245*Summary_LCIA!Z$32</f>
        <v>0.17352680849453236</v>
      </c>
      <c r="BE245" s="137">
        <f>$W245*AJ245+$L245*Summary_LCIA!AA$32</f>
        <v>1.1206573316253146</v>
      </c>
      <c r="BF245" s="137">
        <f>$W245*AK245+$L245*Summary_LCIA!AB$32</f>
        <v>4.4777155842447208E-2</v>
      </c>
      <c r="BG245" s="137">
        <f>$W245*AL245+$L245*Summary_LCIA!AC$32</f>
        <v>2.2447330781230284E-5</v>
      </c>
      <c r="BH245" s="137">
        <f>$W245*AM245+$L245*Summary_LCIA!AD$32</f>
        <v>8.4861516660285255E-2</v>
      </c>
      <c r="BI245" s="137">
        <f>$W245*AN245+$L245*Summary_LCIA!AE$32</f>
        <v>0.26070469809414604</v>
      </c>
      <c r="BJ245" s="137">
        <f>$W245*AO245+$L245*Summary_LCIA!AF$32</f>
        <v>1.5571023888076709E-2</v>
      </c>
      <c r="BK245" s="137">
        <f>$W245*AP245+$L245*Summary_LCIA!AG$32</f>
        <v>4.3791766830767092E-3</v>
      </c>
      <c r="BL245" s="137">
        <f>$W245*AQ245+$L245*Summary_LCIA!AH$32</f>
        <v>0.6604927687292772</v>
      </c>
      <c r="BM245" s="137">
        <f>$W245*AR245+$L245*Summary_LCIA!AI$32</f>
        <v>0.21898225445782965</v>
      </c>
    </row>
    <row r="246" spans="1:65" x14ac:dyDescent="0.25">
      <c r="A246" s="149">
        <v>288</v>
      </c>
      <c r="B246" s="149">
        <v>43</v>
      </c>
      <c r="C246" s="61">
        <v>45.421529999999997</v>
      </c>
      <c r="D246" s="61">
        <v>-75.697192999999999</v>
      </c>
      <c r="E246" s="61" t="s">
        <v>456</v>
      </c>
      <c r="F246" s="149">
        <v>127</v>
      </c>
      <c r="G246" s="61" t="s">
        <v>635</v>
      </c>
      <c r="H246" s="61" t="s">
        <v>636</v>
      </c>
      <c r="I246" s="61">
        <v>45.319212</v>
      </c>
      <c r="J246" s="61">
        <v>-75.669165000000007</v>
      </c>
      <c r="K246" s="61">
        <v>15.884900010000001</v>
      </c>
      <c r="L246" s="61">
        <v>14.090999999999999</v>
      </c>
      <c r="M246" s="61" t="s">
        <v>617</v>
      </c>
      <c r="N246" s="149">
        <v>42</v>
      </c>
      <c r="O246" s="149">
        <v>43</v>
      </c>
      <c r="P246" s="61" t="s">
        <v>565</v>
      </c>
      <c r="Q246" s="61" t="s">
        <v>555</v>
      </c>
      <c r="R246" s="61">
        <v>40.6895314</v>
      </c>
      <c r="S246" s="61">
        <v>-74.174462399999996</v>
      </c>
      <c r="T246" s="61">
        <v>704.39099999999996</v>
      </c>
      <c r="U246" s="61" t="s">
        <v>617</v>
      </c>
      <c r="V246" s="61" t="s">
        <v>569</v>
      </c>
      <c r="W246" s="61" cm="1">
        <f t="array" ref="W246">getDistance(I246,J246,R246,S246)*SA!$B$12</f>
        <v>529.43931884690528</v>
      </c>
      <c r="Y246" s="137">
        <f>Transportation_LCIA!C$61*($W246^Transportation_LCIA!C$60)+Transportation_LCIA!C$62</f>
        <v>0.32265907727188337</v>
      </c>
      <c r="Z246" s="137">
        <f>Transportation_LCIA!D$61*($W246^Transportation_LCIA!D$60)+Transportation_LCIA!D$62</f>
        <v>3.4531640207907941</v>
      </c>
      <c r="AA246" s="137">
        <f>Transportation_LCIA!E$61*($W246^Transportation_LCIA!E$60)+Transportation_LCIA!E$62</f>
        <v>1.8227893020850289E-3</v>
      </c>
      <c r="AB246" s="137">
        <f>Transportation_LCIA!F$61*($W246^Transportation_LCIA!F$60)+Transportation_LCIA!F$62</f>
        <v>0.32265907727188337</v>
      </c>
      <c r="AC246" s="137">
        <f>Transportation_LCIA!G$61*($W246^Transportation_LCIA!G$60)+Transportation_LCIA!G$62</f>
        <v>8.0443068469756601E-2</v>
      </c>
      <c r="AD246" s="137">
        <f>Transportation_LCIA!H$61*($W246^Transportation_LCIA!H$60)+Transportation_LCIA!H$62</f>
        <v>4.2722183275246164E-4</v>
      </c>
      <c r="AE246" s="137">
        <f>Transportation_LCIA!I$61*($W246^Transportation_LCIA!I$60)+Transportation_LCIA!I$62</f>
        <v>9.7580882669063746E-6</v>
      </c>
      <c r="AF246" s="137">
        <f>Transportation_LCIA!J$61*($W246^Transportation_LCIA!J$60)+Transportation_LCIA!J$62</f>
        <v>1.452841427349187E-2</v>
      </c>
      <c r="AG246" s="137">
        <f>Transportation_LCIA!K$61*($W246^Transportation_LCIA!K$60)+Transportation_LCIA!K$62</f>
        <v>1.7644394367690802E-2</v>
      </c>
      <c r="AH246" s="137">
        <f>Transportation_LCIA!L$61*($W246^Transportation_LCIA!L$60)+Transportation_LCIA!L$62</f>
        <v>3.7870309841583639E-4</v>
      </c>
      <c r="AI246" s="137">
        <f>Transportation_LCIA!M$61*($W246^Transportation_LCIA!M$60)+Transportation_LCIA!M$62</f>
        <v>3.2666434947107312E-4</v>
      </c>
      <c r="AJ246" s="137">
        <f>Transportation_LCIA!N$61*($W246^Transportation_LCIA!N$60)+Transportation_LCIA!N$62</f>
        <v>1.4950682872387905E-3</v>
      </c>
      <c r="AK246" s="137">
        <f>Transportation_LCIA!O$61*($W246^Transportation_LCIA!O$60)+Transportation_LCIA!O$62</f>
        <v>8.5155488326102327E-5</v>
      </c>
      <c r="AL246" s="137">
        <f>Transportation_LCIA!P$61*($W246^Transportation_LCIA!P$60)+Transportation_LCIA!P$62</f>
        <v>4.1097261881908054E-8</v>
      </c>
      <c r="AM246" s="137">
        <f>Transportation_LCIA!Q$61*($W246^Transportation_LCIA!Q$60)+Transportation_LCIA!Q$62</f>
        <v>1.4934582530155702E-4</v>
      </c>
      <c r="AN246" s="137">
        <f>Transportation_LCIA!R$61*($W246^Transportation_LCIA!R$60)+Transportation_LCIA!R$62</f>
        <v>4.6883227487666394E-4</v>
      </c>
      <c r="AO246" s="137">
        <f>Transportation_LCIA!S$61*($W246^Transportation_LCIA!S$60)+Transportation_LCIA!S$62</f>
        <v>6.909593862511241E-6</v>
      </c>
      <c r="AP246" s="137">
        <f>Transportation_LCIA!T$61*($W246^Transportation_LCIA!T$60)+Transportation_LCIA!T$62</f>
        <v>6.909593862511241E-6</v>
      </c>
      <c r="AQ246" s="137">
        <f>Transportation_LCIA!U$61*($W246^Transportation_LCIA!U$60)+Transportation_LCIA!U$62</f>
        <v>1.0158866596849867E-3</v>
      </c>
      <c r="AR246" s="137">
        <f>Transportation_LCIA!V$61*($W246^Transportation_LCIA!V$60)+Transportation_LCIA!V$62</f>
        <v>3.8881846527034328E-4</v>
      </c>
      <c r="AT246" s="137">
        <f>$W246*Y246+$L246*Summary_LCIA!H$32</f>
        <v>175.61652389059691</v>
      </c>
      <c r="AU246" s="137">
        <f>$W246*Z246+$L246*Summary_LCIA!Q$32</f>
        <v>1898.0765136855216</v>
      </c>
      <c r="AV246" s="137">
        <f>$W246*AA246+$L246*Summary_LCIA!R$32</f>
        <v>1.0392538960973234</v>
      </c>
      <c r="AW246" s="137">
        <f>$W246*AB246+$L246*Summary_LCIA!S$32</f>
        <v>175.55424167059692</v>
      </c>
      <c r="AX246" s="137">
        <f>$W246*AC246+$L246*Summary_LCIA!T$32</f>
        <v>44.138324276582892</v>
      </c>
      <c r="AY246" s="137">
        <f>$W246*AD246+$L246*Summary_LCIA!U$32</f>
        <v>0.47861421012898975</v>
      </c>
      <c r="AZ246" s="137">
        <f>$W246*AE246+$L246*Summary_LCIA!V$32</f>
        <v>5.8393158562788901E-3</v>
      </c>
      <c r="BA246" s="137">
        <f>$W246*AF246+$L246*Summary_LCIA!W$32</f>
        <v>8.7765121178831915</v>
      </c>
      <c r="BB246" s="137">
        <f>$W246*AG246+$L246*Summary_LCIA!X$32</f>
        <v>9.6626291154963901</v>
      </c>
      <c r="BC246" s="137">
        <f>$W246*AH246+$L246*Summary_LCIA!Y$32</f>
        <v>0.420066272470493</v>
      </c>
      <c r="BD246" s="137">
        <f>$W246*AI246+$L246*Summary_LCIA!Z$32</f>
        <v>0.17352680849453236</v>
      </c>
      <c r="BE246" s="137">
        <f>$W246*AJ246+$L246*Summary_LCIA!AA$32</f>
        <v>1.1206573316253146</v>
      </c>
      <c r="BF246" s="137">
        <f>$W246*AK246+$L246*Summary_LCIA!AB$32</f>
        <v>4.4777155842447208E-2</v>
      </c>
      <c r="BG246" s="137">
        <f>$W246*AL246+$L246*Summary_LCIA!AC$32</f>
        <v>2.2447330781230284E-5</v>
      </c>
      <c r="BH246" s="137">
        <f>$W246*AM246+$L246*Summary_LCIA!AD$32</f>
        <v>8.4861516660285255E-2</v>
      </c>
      <c r="BI246" s="137">
        <f>$W246*AN246+$L246*Summary_LCIA!AE$32</f>
        <v>0.26070469809414604</v>
      </c>
      <c r="BJ246" s="137">
        <f>$W246*AO246+$L246*Summary_LCIA!AF$32</f>
        <v>1.5571023888076709E-2</v>
      </c>
      <c r="BK246" s="137">
        <f>$W246*AP246+$L246*Summary_LCIA!AG$32</f>
        <v>4.3791766830767092E-3</v>
      </c>
      <c r="BL246" s="137">
        <f>$W246*AQ246+$L246*Summary_LCIA!AH$32</f>
        <v>0.6604927687292772</v>
      </c>
      <c r="BM246" s="137">
        <f>$W246*AR246+$L246*Summary_LCIA!AI$32</f>
        <v>0.21898225445782965</v>
      </c>
    </row>
    <row r="247" spans="1:65" x14ac:dyDescent="0.25">
      <c r="A247" s="149">
        <v>20</v>
      </c>
      <c r="B247" s="149">
        <v>43</v>
      </c>
      <c r="C247" s="61">
        <v>45.421379000000002</v>
      </c>
      <c r="D247" s="61">
        <v>-75.696757000000005</v>
      </c>
      <c r="E247" s="61" t="s">
        <v>456</v>
      </c>
      <c r="F247" s="149">
        <v>127</v>
      </c>
      <c r="G247" s="61" t="s">
        <v>635</v>
      </c>
      <c r="H247" s="61" t="s">
        <v>636</v>
      </c>
      <c r="I247" s="61">
        <v>45.319212</v>
      </c>
      <c r="J247" s="61">
        <v>-75.669165000000007</v>
      </c>
      <c r="K247" s="61">
        <v>15.86100968</v>
      </c>
      <c r="L247" s="61">
        <v>14.111000000000001</v>
      </c>
      <c r="M247" s="61" t="s">
        <v>617</v>
      </c>
      <c r="N247" s="149">
        <v>42</v>
      </c>
      <c r="O247" s="149">
        <v>43</v>
      </c>
      <c r="P247" s="61" t="s">
        <v>565</v>
      </c>
      <c r="Q247" s="61" t="s">
        <v>555</v>
      </c>
      <c r="R247" s="61">
        <v>40.6895314</v>
      </c>
      <c r="S247" s="61">
        <v>-74.174462399999996</v>
      </c>
      <c r="T247" s="61">
        <v>704.41099999999994</v>
      </c>
      <c r="U247" s="61" t="s">
        <v>617</v>
      </c>
      <c r="V247" s="61" t="s">
        <v>569</v>
      </c>
      <c r="W247" s="61" cm="1">
        <f t="array" ref="W247">getDistance(I247,J247,R247,S247)*SA!$B$12</f>
        <v>529.43931884690528</v>
      </c>
      <c r="Y247" s="137">
        <f>Transportation_LCIA!C$61*($W247^Transportation_LCIA!C$60)+Transportation_LCIA!C$62</f>
        <v>0.32265907727188337</v>
      </c>
      <c r="Z247" s="137">
        <f>Transportation_LCIA!D$61*($W247^Transportation_LCIA!D$60)+Transportation_LCIA!D$62</f>
        <v>3.4531640207907941</v>
      </c>
      <c r="AA247" s="137">
        <f>Transportation_LCIA!E$61*($W247^Transportation_LCIA!E$60)+Transportation_LCIA!E$62</f>
        <v>1.8227893020850289E-3</v>
      </c>
      <c r="AB247" s="137">
        <f>Transportation_LCIA!F$61*($W247^Transportation_LCIA!F$60)+Transportation_LCIA!F$62</f>
        <v>0.32265907727188337</v>
      </c>
      <c r="AC247" s="137">
        <f>Transportation_LCIA!G$61*($W247^Transportation_LCIA!G$60)+Transportation_LCIA!G$62</f>
        <v>8.0443068469756601E-2</v>
      </c>
      <c r="AD247" s="137">
        <f>Transportation_LCIA!H$61*($W247^Transportation_LCIA!H$60)+Transportation_LCIA!H$62</f>
        <v>4.2722183275246164E-4</v>
      </c>
      <c r="AE247" s="137">
        <f>Transportation_LCIA!I$61*($W247^Transportation_LCIA!I$60)+Transportation_LCIA!I$62</f>
        <v>9.7580882669063746E-6</v>
      </c>
      <c r="AF247" s="137">
        <f>Transportation_LCIA!J$61*($W247^Transportation_LCIA!J$60)+Transportation_LCIA!J$62</f>
        <v>1.452841427349187E-2</v>
      </c>
      <c r="AG247" s="137">
        <f>Transportation_LCIA!K$61*($W247^Transportation_LCIA!K$60)+Transportation_LCIA!K$62</f>
        <v>1.7644394367690802E-2</v>
      </c>
      <c r="AH247" s="137">
        <f>Transportation_LCIA!L$61*($W247^Transportation_LCIA!L$60)+Transportation_LCIA!L$62</f>
        <v>3.7870309841583639E-4</v>
      </c>
      <c r="AI247" s="137">
        <f>Transportation_LCIA!M$61*($W247^Transportation_LCIA!M$60)+Transportation_LCIA!M$62</f>
        <v>3.2666434947107312E-4</v>
      </c>
      <c r="AJ247" s="137">
        <f>Transportation_LCIA!N$61*($W247^Transportation_LCIA!N$60)+Transportation_LCIA!N$62</f>
        <v>1.4950682872387905E-3</v>
      </c>
      <c r="AK247" s="137">
        <f>Transportation_LCIA!O$61*($W247^Transportation_LCIA!O$60)+Transportation_LCIA!O$62</f>
        <v>8.5155488326102327E-5</v>
      </c>
      <c r="AL247" s="137">
        <f>Transportation_LCIA!P$61*($W247^Transportation_LCIA!P$60)+Transportation_LCIA!P$62</f>
        <v>4.1097261881908054E-8</v>
      </c>
      <c r="AM247" s="137">
        <f>Transportation_LCIA!Q$61*($W247^Transportation_LCIA!Q$60)+Transportation_LCIA!Q$62</f>
        <v>1.4934582530155702E-4</v>
      </c>
      <c r="AN247" s="137">
        <f>Transportation_LCIA!R$61*($W247^Transportation_LCIA!R$60)+Transportation_LCIA!R$62</f>
        <v>4.6883227487666394E-4</v>
      </c>
      <c r="AO247" s="137">
        <f>Transportation_LCIA!S$61*($W247^Transportation_LCIA!S$60)+Transportation_LCIA!S$62</f>
        <v>6.909593862511241E-6</v>
      </c>
      <c r="AP247" s="137">
        <f>Transportation_LCIA!T$61*($W247^Transportation_LCIA!T$60)+Transportation_LCIA!T$62</f>
        <v>6.909593862511241E-6</v>
      </c>
      <c r="AQ247" s="137">
        <f>Transportation_LCIA!U$61*($W247^Transportation_LCIA!U$60)+Transportation_LCIA!U$62</f>
        <v>1.0158866596849867E-3</v>
      </c>
      <c r="AR247" s="137">
        <f>Transportation_LCIA!V$61*($W247^Transportation_LCIA!V$60)+Transportation_LCIA!V$62</f>
        <v>3.8881846527034328E-4</v>
      </c>
      <c r="AT247" s="137">
        <f>$W247*Y247+$L247*Summary_LCIA!H$32</f>
        <v>175.62331989059692</v>
      </c>
      <c r="AU247" s="137">
        <f>$W247*Z247+$L247*Summary_LCIA!Q$32</f>
        <v>1898.1756346941818</v>
      </c>
      <c r="AV247" s="137">
        <f>$W247*AA247+$L247*Summary_LCIA!R$32</f>
        <v>1.0393592080973235</v>
      </c>
      <c r="AW247" s="137">
        <f>$W247*AB247+$L247*Summary_LCIA!S$32</f>
        <v>175.56094927059692</v>
      </c>
      <c r="AX247" s="137">
        <f>$W247*AC247+$L247*Summary_LCIA!T$32</f>
        <v>44.140522276582892</v>
      </c>
      <c r="AY247" s="137">
        <f>$W247*AD247+$L247*Summary_LCIA!U$32</f>
        <v>0.47897249012898979</v>
      </c>
      <c r="AZ247" s="137">
        <f>$W247*AE247+$L247*Summary_LCIA!V$32</f>
        <v>5.8402710762788896E-3</v>
      </c>
      <c r="BA247" s="137">
        <f>$W247*AF247+$L247*Summary_LCIA!W$32</f>
        <v>8.7780515378831918</v>
      </c>
      <c r="BB247" s="137">
        <f>$W247*AG247+$L247*Summary_LCIA!X$32</f>
        <v>9.6630847154963906</v>
      </c>
      <c r="BC247" s="137">
        <f>$W247*AH247+$L247*Summary_LCIA!Y$32</f>
        <v>0.42037791247049294</v>
      </c>
      <c r="BD247" s="137">
        <f>$W247*AI247+$L247*Summary_LCIA!Z$32</f>
        <v>0.17352762867453236</v>
      </c>
      <c r="BE247" s="137">
        <f>$W247*AJ247+$L247*Summary_LCIA!AA$32</f>
        <v>1.1211244516253145</v>
      </c>
      <c r="BF247" s="137">
        <f>$W247*AK247+$L247*Summary_LCIA!AB$32</f>
        <v>4.4776719382447205E-2</v>
      </c>
      <c r="BG247" s="137">
        <f>$W247*AL247+$L247*Summary_LCIA!AC$32</f>
        <v>2.2448308461230285E-5</v>
      </c>
      <c r="BH247" s="137">
        <f>$W247*AM247+$L247*Summary_LCIA!AD$32</f>
        <v>8.4869737460285255E-2</v>
      </c>
      <c r="BI247" s="137">
        <f>$W247*AN247+$L247*Summary_LCIA!AE$32</f>
        <v>0.26072242069414603</v>
      </c>
      <c r="BJ247" s="137">
        <f>$W247*AO247+$L247*Summary_LCIA!AF$32</f>
        <v>1.5587932288076711E-2</v>
      </c>
      <c r="BK247" s="137">
        <f>$W247*AP247+$L247*Summary_LCIA!AG$32</f>
        <v>4.380199983076709E-3</v>
      </c>
      <c r="BL247" s="137">
        <f>$W247*AQ247+$L247*Summary_LCIA!AH$32</f>
        <v>0.66066684072927728</v>
      </c>
      <c r="BM247" s="137">
        <f>$W247*AR247+$L247*Summary_LCIA!AI$32</f>
        <v>0.21900088545782964</v>
      </c>
    </row>
    <row r="248" spans="1:65" x14ac:dyDescent="0.25">
      <c r="A248" s="149">
        <v>321</v>
      </c>
      <c r="B248" s="149">
        <v>15</v>
      </c>
      <c r="C248" s="61">
        <v>48.849919999999997</v>
      </c>
      <c r="D248" s="61">
        <v>2.637041</v>
      </c>
      <c r="E248" s="61" t="s">
        <v>468</v>
      </c>
      <c r="F248" s="149">
        <v>9</v>
      </c>
      <c r="G248" s="61" t="s">
        <v>570</v>
      </c>
      <c r="H248" s="61" t="s">
        <v>722</v>
      </c>
      <c r="I248" s="61">
        <v>49.009673999999997</v>
      </c>
      <c r="J248" s="61">
        <v>2.5479660000000002</v>
      </c>
      <c r="K248" s="61">
        <v>19.350996810000002</v>
      </c>
      <c r="L248" s="61">
        <v>41.466999999999999</v>
      </c>
      <c r="M248" s="61" t="s">
        <v>589</v>
      </c>
      <c r="N248" s="149">
        <v>14</v>
      </c>
      <c r="O248" s="149">
        <v>15</v>
      </c>
      <c r="P248" s="61" t="s">
        <v>567</v>
      </c>
      <c r="Q248" s="61" t="s">
        <v>566</v>
      </c>
      <c r="R248" s="61">
        <v>50.037932599999998</v>
      </c>
      <c r="S248" s="61">
        <v>8.5621518000000005</v>
      </c>
      <c r="T248" s="61">
        <v>708.65599999999995</v>
      </c>
      <c r="U248" s="61" t="s">
        <v>589</v>
      </c>
      <c r="V248" s="61" t="s">
        <v>569</v>
      </c>
      <c r="W248" s="61" cm="1">
        <f t="array" ref="W248">getDistance(I248,J248,R248,S248)*SA!$B$12</f>
        <v>450.10397451184883</v>
      </c>
      <c r="Y248" s="137">
        <f>Transportation_LCIA!C$61*($W248^Transportation_LCIA!C$60)+Transportation_LCIA!C$62</f>
        <v>0.35340802383957459</v>
      </c>
      <c r="Z248" s="137">
        <f>Transportation_LCIA!D$61*($W248^Transportation_LCIA!D$60)+Transportation_LCIA!D$62</f>
        <v>3.8233102927251448</v>
      </c>
      <c r="AA248" s="137">
        <f>Transportation_LCIA!E$61*($W248^Transportation_LCIA!E$60)+Transportation_LCIA!E$62</f>
        <v>2.0682861241773458E-3</v>
      </c>
      <c r="AB248" s="137">
        <f>Transportation_LCIA!F$61*($W248^Transportation_LCIA!F$60)+Transportation_LCIA!F$62</f>
        <v>0.35340802383957459</v>
      </c>
      <c r="AC248" s="137">
        <f>Transportation_LCIA!G$61*($W248^Transportation_LCIA!G$60)+Transportation_LCIA!G$62</f>
        <v>8.8991202582924381E-2</v>
      </c>
      <c r="AD248" s="137">
        <f>Transportation_LCIA!H$61*($W248^Transportation_LCIA!H$60)+Transportation_LCIA!H$62</f>
        <v>4.8213920111113174E-4</v>
      </c>
      <c r="AE248" s="137">
        <f>Transportation_LCIA!I$61*($W248^Transportation_LCIA!I$60)+Transportation_LCIA!I$62</f>
        <v>1.1179437957480255E-5</v>
      </c>
      <c r="AF248" s="137">
        <f>Transportation_LCIA!J$61*($W248^Transportation_LCIA!J$60)+Transportation_LCIA!J$62</f>
        <v>1.6683894555981089E-2</v>
      </c>
      <c r="AG248" s="137">
        <f>Transportation_LCIA!K$61*($W248^Transportation_LCIA!K$60)+Transportation_LCIA!K$62</f>
        <v>1.9671327663537286E-2</v>
      </c>
      <c r="AH248" s="137">
        <f>Transportation_LCIA!L$61*($W248^Transportation_LCIA!L$60)+Transportation_LCIA!L$62</f>
        <v>4.2959106897467309E-4</v>
      </c>
      <c r="AI248" s="137">
        <f>Transportation_LCIA!M$61*($W248^Transportation_LCIA!M$60)+Transportation_LCIA!M$62</f>
        <v>3.5700119597236054E-4</v>
      </c>
      <c r="AJ248" s="137">
        <f>Transportation_LCIA!N$61*($W248^Transportation_LCIA!N$60)+Transportation_LCIA!N$62</f>
        <v>1.6793030112815474E-3</v>
      </c>
      <c r="AK248" s="137">
        <f>Transportation_LCIA!O$61*($W248^Transportation_LCIA!O$60)+Transportation_LCIA!O$62</f>
        <v>9.424672688289836E-5</v>
      </c>
      <c r="AL248" s="137">
        <f>Transportation_LCIA!P$61*($W248^Transportation_LCIA!P$60)+Transportation_LCIA!P$62</f>
        <v>4.5458159392694596E-8</v>
      </c>
      <c r="AM248" s="137">
        <f>Transportation_LCIA!Q$61*($W248^Transportation_LCIA!Q$60)+Transportation_LCIA!Q$62</f>
        <v>1.693278636274998E-4</v>
      </c>
      <c r="AN248" s="137">
        <f>Transportation_LCIA!R$61*($W248^Transportation_LCIA!R$60)+Transportation_LCIA!R$62</f>
        <v>5.3703589944790683E-4</v>
      </c>
      <c r="AO248" s="137">
        <f>Transportation_LCIA!S$61*($W248^Transportation_LCIA!S$60)+Transportation_LCIA!S$62</f>
        <v>7.8763465849423122E-6</v>
      </c>
      <c r="AP248" s="137">
        <f>Transportation_LCIA!T$61*($W248^Transportation_LCIA!T$60)+Transportation_LCIA!T$62</f>
        <v>7.8763465849423122E-6</v>
      </c>
      <c r="AQ248" s="137">
        <f>Transportation_LCIA!U$61*($W248^Transportation_LCIA!U$60)+Transportation_LCIA!U$62</f>
        <v>1.1662474419532874E-3</v>
      </c>
      <c r="AR248" s="137">
        <f>Transportation_LCIA!V$61*($W248^Transportation_LCIA!V$60)+Transportation_LCIA!V$62</f>
        <v>4.4108749499364595E-4</v>
      </c>
      <c r="AT248" s="137">
        <f>$W248*Y248+$L248*Summary_LCIA!H$34</f>
        <v>162.15807190857075</v>
      </c>
      <c r="AU248" s="137">
        <f ca="1">$W248*Z248+$L248*Summary_LCIA!Q$34</f>
        <v>1772.102603648058</v>
      </c>
      <c r="AV248" s="137">
        <f ca="1">$W248*AA248+$L248*Summary_LCIA!R$34</f>
        <v>1.0369583371199307</v>
      </c>
      <c r="AW248" s="137">
        <f ca="1">$W248*AB248+$L248*Summary_LCIA!S$34</f>
        <v>162.11560970057076</v>
      </c>
      <c r="AX248" s="137">
        <f ca="1">$W248*AC248+$L248*Summary_LCIA!T$34</f>
        <v>40.915443960163373</v>
      </c>
      <c r="AY248" s="137">
        <f ca="1">$W248*AD248+$L248*Summary_LCIA!U$34</f>
        <v>0.29329546388808803</v>
      </c>
      <c r="AZ248" s="137">
        <f ca="1">$W248*AE248+$L248*Summary_LCIA!V$34</f>
        <v>8.3945928884704875E-3</v>
      </c>
      <c r="BA248" s="137">
        <f ca="1">$W248*AF248+$L248*Summary_LCIA!W$34</f>
        <v>9.6056026329836861</v>
      </c>
      <c r="BB248" s="137">
        <f ca="1">$W248*AG248+$L248*Summary_LCIA!X$34</f>
        <v>9.2946881732830136</v>
      </c>
      <c r="BC248" s="137">
        <f ca="1">$W248*AH248+$L248*Summary_LCIA!Y$34</f>
        <v>0.26441849876029411</v>
      </c>
      <c r="BD248" s="137">
        <f ca="1">$W248*AI248+$L248*Summary_LCIA!Z$34</f>
        <v>0.16186967404764291</v>
      </c>
      <c r="BE248" s="137">
        <f ca="1">$W248*AJ248+$L248*Summary_LCIA!AA$34</f>
        <v>0.84139079398754058</v>
      </c>
      <c r="BF248" s="137">
        <f ca="1">$W248*AK248+$L248*Summary_LCIA!AB$34</f>
        <v>4.2133090988425263E-2</v>
      </c>
      <c r="BG248" s="137">
        <f ca="1">$W248*AL248+$L248*Summary_LCIA!AC$34</f>
        <v>2.0613583857344969E-5</v>
      </c>
      <c r="BH248" s="137">
        <f ca="1">$W248*AM248+$L248*Summary_LCIA!AD$34</f>
        <v>8.0825445474337981E-2</v>
      </c>
      <c r="BI248" s="137">
        <f ca="1">$W248*AN248+$L248*Summary_LCIA!AE$34</f>
        <v>0.25415960477704846</v>
      </c>
      <c r="BJ248" s="137">
        <f ca="1">$W248*AO248+$L248*Summary_LCIA!AF$34</f>
        <v>1.3408515522515362E-2</v>
      </c>
      <c r="BK248" s="137">
        <f ca="1">$W248*AP248+$L248*Summary_LCIA!AG$34</f>
        <v>3.6587156952153622E-3</v>
      </c>
      <c r="BL248" s="137">
        <f ca="1">$W248*AQ248+$L248*Summary_LCIA!AH$34</f>
        <v>0.61940687498745128</v>
      </c>
      <c r="BM248" s="137">
        <f ca="1">$W248*AR248+$L248*Summary_LCIA!AI$34</f>
        <v>0.21017709485411526</v>
      </c>
    </row>
    <row r="249" spans="1:65" x14ac:dyDescent="0.25">
      <c r="A249" s="149">
        <v>44</v>
      </c>
      <c r="B249" s="149">
        <v>43</v>
      </c>
      <c r="C249" s="61">
        <v>44.895567</v>
      </c>
      <c r="D249" s="61">
        <v>-68.673552999999998</v>
      </c>
      <c r="E249" s="61" t="s">
        <v>265</v>
      </c>
      <c r="F249" s="149">
        <v>133</v>
      </c>
      <c r="G249" s="61" t="s">
        <v>649</v>
      </c>
      <c r="H249" s="61" t="s">
        <v>650</v>
      </c>
      <c r="I249" s="61">
        <v>46.790733000000003</v>
      </c>
      <c r="J249" s="61">
        <v>-71.388600999999994</v>
      </c>
      <c r="K249" s="61">
        <v>330.02700069999997</v>
      </c>
      <c r="L249" s="61">
        <v>380.17899999999997</v>
      </c>
      <c r="M249" s="61" t="s">
        <v>617</v>
      </c>
      <c r="N249" s="149">
        <v>42</v>
      </c>
      <c r="O249" s="149">
        <v>43</v>
      </c>
      <c r="P249" s="61" t="s">
        <v>565</v>
      </c>
      <c r="Q249" s="61" t="s">
        <v>555</v>
      </c>
      <c r="R249" s="61">
        <v>40.6895314</v>
      </c>
      <c r="S249" s="61">
        <v>-74.174462399999996</v>
      </c>
      <c r="T249" s="61">
        <v>745.89700000000005</v>
      </c>
      <c r="U249" s="61" t="s">
        <v>617</v>
      </c>
      <c r="V249" s="61" t="s">
        <v>569</v>
      </c>
      <c r="W249" s="61" cm="1">
        <f t="array" ref="W249">getDistance(I249,J249,R249,S249)*SA!$B$12</f>
        <v>715.07166113775827</v>
      </c>
      <c r="Y249" s="137">
        <f>Transportation_LCIA!C$61*($W249^Transportation_LCIA!C$60)+Transportation_LCIA!C$62</f>
        <v>0.27568694248660131</v>
      </c>
      <c r="Z249" s="137">
        <f>Transportation_LCIA!D$61*($W249^Transportation_LCIA!D$60)+Transportation_LCIA!D$62</f>
        <v>2.8932700129699978</v>
      </c>
      <c r="AA249" s="137">
        <f>Transportation_LCIA!E$61*($W249^Transportation_LCIA!E$60)+Transportation_LCIA!E$62</f>
        <v>1.4524694877162572E-3</v>
      </c>
      <c r="AB249" s="137">
        <f>Transportation_LCIA!F$61*($W249^Transportation_LCIA!F$60)+Transportation_LCIA!F$62</f>
        <v>0.27568694248660131</v>
      </c>
      <c r="AC249" s="137">
        <f>Transportation_LCIA!G$61*($W249^Transportation_LCIA!G$60)+Transportation_LCIA!G$62</f>
        <v>6.7505486268678722E-2</v>
      </c>
      <c r="AD249" s="137">
        <f>Transportation_LCIA!H$61*($W249^Transportation_LCIA!H$60)+Transportation_LCIA!H$62</f>
        <v>3.4483295035874406E-4</v>
      </c>
      <c r="AE249" s="137">
        <f>Transportation_LCIA!I$61*($W249^Transportation_LCIA!I$60)+Transportation_LCIA!I$62</f>
        <v>7.644394919140504E-6</v>
      </c>
      <c r="AF249" s="137">
        <f>Transportation_LCIA!J$61*($W249^Transportation_LCIA!J$60)+Transportation_LCIA!J$62</f>
        <v>1.134133612007697E-2</v>
      </c>
      <c r="AG249" s="137">
        <f>Transportation_LCIA!K$61*($W249^Transportation_LCIA!K$60)+Transportation_LCIA!K$62</f>
        <v>1.4591850964811854E-2</v>
      </c>
      <c r="AH249" s="137">
        <f>Transportation_LCIA!L$61*($W249^Transportation_LCIA!L$60)+Transportation_LCIA!L$62</f>
        <v>3.0255018732627456E-4</v>
      </c>
      <c r="AI249" s="137">
        <f>Transportation_LCIA!M$61*($W249^Transportation_LCIA!M$60)+Transportation_LCIA!M$62</f>
        <v>2.8116552902711909E-4</v>
      </c>
      <c r="AJ249" s="137">
        <f>Transportation_LCIA!N$61*($W249^Transportation_LCIA!N$60)+Transportation_LCIA!N$62</f>
        <v>1.2184799005035894E-3</v>
      </c>
      <c r="AK249" s="137">
        <f>Transportation_LCIA!O$61*($W249^Transportation_LCIA!O$60)+Transportation_LCIA!O$62</f>
        <v>7.1399640630831436E-5</v>
      </c>
      <c r="AL249" s="137">
        <f>Transportation_LCIA!P$61*($W249^Transportation_LCIA!P$60)+Transportation_LCIA!P$62</f>
        <v>3.4494004981956467E-8</v>
      </c>
      <c r="AM249" s="137">
        <f>Transportation_LCIA!Q$61*($W249^Transportation_LCIA!Q$60)+Transportation_LCIA!Q$62</f>
        <v>1.1948335626517517E-4</v>
      </c>
      <c r="AN249" s="137">
        <f>Transportation_LCIA!R$61*($W249^Transportation_LCIA!R$60)+Transportation_LCIA!R$62</f>
        <v>3.6742799459173149E-4</v>
      </c>
      <c r="AO249" s="137">
        <f>Transportation_LCIA!S$61*($W249^Transportation_LCIA!S$60)+Transportation_LCIA!S$62</f>
        <v>5.4716726515547334E-6</v>
      </c>
      <c r="AP249" s="137">
        <f>Transportation_LCIA!T$61*($W249^Transportation_LCIA!T$60)+Transportation_LCIA!T$62</f>
        <v>5.4716726515547334E-6</v>
      </c>
      <c r="AQ249" s="137">
        <f>Transportation_LCIA!U$61*($W249^Transportation_LCIA!U$60)+Transportation_LCIA!U$62</f>
        <v>7.927044032515311E-4</v>
      </c>
      <c r="AR249" s="137">
        <f>Transportation_LCIA!V$61*($W249^Transportation_LCIA!V$60)+Transportation_LCIA!V$62</f>
        <v>3.1083987945175798E-4</v>
      </c>
      <c r="AT249" s="137">
        <f>$W249*Y249+$L249*Summary_LCIA!H$32</f>
        <v>326.32074411788358</v>
      </c>
      <c r="AU249" s="137">
        <f>$W249*Z249+$L249*Summary_LCIA!Q$32</f>
        <v>3953.0816918620262</v>
      </c>
      <c r="AV249" s="137">
        <f>$W249*AA249+$L249*Summary_LCIA!R$32</f>
        <v>3.0404903117331727</v>
      </c>
      <c r="AW249" s="137">
        <f>$W249*AB249+$L249*Summary_LCIA!S$32</f>
        <v>324.64035293788362</v>
      </c>
      <c r="AX249" s="137">
        <f>$W249*AC249+$L249*Summary_LCIA!T$32</f>
        <v>90.05293230205622</v>
      </c>
      <c r="AY249" s="137">
        <f>$W249*AD249+$L249*Summary_LCIA!U$32</f>
        <v>7.05710687662806</v>
      </c>
      <c r="AZ249" s="137">
        <f>$W249*AE249+$L249*Summary_LCIA!V$32</f>
        <v>2.3624019392222841E-2</v>
      </c>
      <c r="BA249" s="137">
        <f>$W249*AF249+$L249*Summary_LCIA!W$32</f>
        <v>37.372625867905093</v>
      </c>
      <c r="BB249" s="137">
        <f>$W249*AG249+$L249*Summary_LCIA!X$32</f>
        <v>19.094696728482614</v>
      </c>
      <c r="BC249" s="137">
        <f>$W249*AH249+$L249*Summary_LCIA!Y$32</f>
        <v>6.1402942430289391</v>
      </c>
      <c r="BD249" s="137">
        <f>$W249*AI249+$L249*Summary_LCIA!Z$32</f>
        <v>0.21664426250709864</v>
      </c>
      <c r="BE249" s="137">
        <f>$W249*AJ249+$L249*Summary_LCIA!AA$32</f>
        <v>9.7507611705160713</v>
      </c>
      <c r="BF249" s="137">
        <f>$W249*AK249+$L249*Summary_LCIA!AB$32</f>
        <v>4.2759213313527611E-2</v>
      </c>
      <c r="BG249" s="137">
        <f>$W249*AL249+$L249*Summary_LCIA!AC$32</f>
        <v>4.3250355677741722E-5</v>
      </c>
      <c r="BH249" s="137">
        <f>$W249*AM249+$L249*Summary_LCIA!AD$32</f>
        <v>0.24170793820285336</v>
      </c>
      <c r="BI249" s="137">
        <f>$W249*AN249+$L249*Summary_LCIA!AE$32</f>
        <v>0.59962536371122466</v>
      </c>
      <c r="BJ249" s="137">
        <f>$W249*AO249+$L249*Summary_LCIA!AF$32</f>
        <v>0.32532356823214931</v>
      </c>
      <c r="BK249" s="137">
        <f>$W249*AP249+$L249*Summary_LCIA!AG$32</f>
        <v>2.3364496587149283E-2</v>
      </c>
      <c r="BL249" s="137">
        <f>$W249*AQ249+$L249*Summary_LCIA!AH$32</f>
        <v>3.8757663988242879</v>
      </c>
      <c r="BM249" s="137">
        <f>$W249*AR249+$L249*Summary_LCIA!AI$32</f>
        <v>0.57642853639742908</v>
      </c>
    </row>
    <row r="250" spans="1:65" x14ac:dyDescent="0.25">
      <c r="A250" s="149">
        <v>127</v>
      </c>
      <c r="B250" s="149">
        <v>16</v>
      </c>
      <c r="C250" s="61">
        <v>35.084386000000002</v>
      </c>
      <c r="D250" s="61">
        <v>-106.65042200000001</v>
      </c>
      <c r="E250" s="61" t="s">
        <v>265</v>
      </c>
      <c r="F250" s="149">
        <v>119</v>
      </c>
      <c r="G250" s="61" t="s">
        <v>676</v>
      </c>
      <c r="H250" s="61" t="s">
        <v>677</v>
      </c>
      <c r="I250" s="61">
        <v>35.043332999999997</v>
      </c>
      <c r="J250" s="61">
        <v>-106.612909</v>
      </c>
      <c r="K250" s="61">
        <v>9.8032842630000001</v>
      </c>
      <c r="L250" s="61">
        <v>7.4539999999999997</v>
      </c>
      <c r="M250" s="61" t="s">
        <v>617</v>
      </c>
      <c r="N250" s="149">
        <v>15</v>
      </c>
      <c r="O250" s="149">
        <v>16</v>
      </c>
      <c r="P250" s="61" t="s">
        <v>565</v>
      </c>
      <c r="Q250" s="61" t="s">
        <v>556</v>
      </c>
      <c r="R250" s="61">
        <v>39.856096299999997</v>
      </c>
      <c r="S250" s="61">
        <v>-104.6737376</v>
      </c>
      <c r="T250" s="61">
        <v>747.803</v>
      </c>
      <c r="U250" s="61" t="s">
        <v>617</v>
      </c>
      <c r="V250" s="61" t="s">
        <v>569</v>
      </c>
      <c r="W250" s="61" cm="1">
        <f t="array" ref="W250">getDistance(I250,J250,R250,S250)*SA!$B$12</f>
        <v>562.0692154742253</v>
      </c>
      <c r="Y250" s="137">
        <f>Transportation_LCIA!C$61*($W250^Transportation_LCIA!C$60)+Transportation_LCIA!C$62</f>
        <v>0.31234572379644221</v>
      </c>
      <c r="Z250" s="137">
        <f>Transportation_LCIA!D$61*($W250^Transportation_LCIA!D$60)+Transportation_LCIA!D$62</f>
        <v>3.3296210667490271</v>
      </c>
      <c r="AA250" s="137">
        <f>Transportation_LCIA!E$61*($W250^Transportation_LCIA!E$60)+Transportation_LCIA!E$62</f>
        <v>1.7409629881306933E-3</v>
      </c>
      <c r="AB250" s="137">
        <f>Transportation_LCIA!F$61*($W250^Transportation_LCIA!F$60)+Transportation_LCIA!F$62</f>
        <v>0.31234572379644221</v>
      </c>
      <c r="AC250" s="137">
        <f>Transportation_LCIA!G$61*($W250^Transportation_LCIA!G$60)+Transportation_LCIA!G$62</f>
        <v>7.7589160875477806E-2</v>
      </c>
      <c r="AD250" s="137">
        <f>Transportation_LCIA!H$61*($W250^Transportation_LCIA!H$60)+Transportation_LCIA!H$62</f>
        <v>4.0896707036547922E-4</v>
      </c>
      <c r="AE250" s="137">
        <f>Transportation_LCIA!I$61*($W250^Transportation_LCIA!I$60)+Transportation_LCIA!I$62</f>
        <v>9.287690950406478E-6</v>
      </c>
      <c r="AF250" s="137">
        <f>Transportation_LCIA!J$61*($W250^Transportation_LCIA!J$60)+Transportation_LCIA!J$62</f>
        <v>1.381709544487048E-2</v>
      </c>
      <c r="AG250" s="137">
        <f>Transportation_LCIA!K$61*($W250^Transportation_LCIA!K$60)+Transportation_LCIA!K$62</f>
        <v>1.6969347425940542E-2</v>
      </c>
      <c r="AH250" s="137">
        <f>Transportation_LCIA!L$61*($W250^Transportation_LCIA!L$60)+Transportation_LCIA!L$62</f>
        <v>3.6180880809060781E-4</v>
      </c>
      <c r="AI250" s="137">
        <f>Transportation_LCIA!M$61*($W250^Transportation_LCIA!M$60)+Transportation_LCIA!M$62</f>
        <v>3.1658174874836395E-4</v>
      </c>
      <c r="AJ250" s="137">
        <f>Transportation_LCIA!N$61*($W250^Transportation_LCIA!N$60)+Transportation_LCIA!N$62</f>
        <v>1.4338065791517597E-3</v>
      </c>
      <c r="AK250" s="137">
        <f>Transportation_LCIA!O$61*($W250^Transportation_LCIA!O$60)+Transportation_LCIA!O$62</f>
        <v>8.2120666352479983E-5</v>
      </c>
      <c r="AL250" s="137">
        <f>Transportation_LCIA!P$61*($W250^Transportation_LCIA!P$60)+Transportation_LCIA!P$62</f>
        <v>3.9640984354842165E-8</v>
      </c>
      <c r="AM250" s="137">
        <f>Transportation_LCIA!Q$61*($W250^Transportation_LCIA!Q$60)+Transportation_LCIA!Q$62</f>
        <v>1.427164451988576E-4</v>
      </c>
      <c r="AN250" s="137">
        <f>Transportation_LCIA!R$61*($W250^Transportation_LCIA!R$60)+Transportation_LCIA!R$62</f>
        <v>4.4626259685882214E-4</v>
      </c>
      <c r="AO250" s="137">
        <f>Transportation_LCIA!S$61*($W250^Transportation_LCIA!S$60)+Transportation_LCIA!S$62</f>
        <v>6.5896170398703171E-6</v>
      </c>
      <c r="AP250" s="137">
        <f>Transportation_LCIA!T$61*($W250^Transportation_LCIA!T$60)+Transportation_LCIA!T$62</f>
        <v>6.5896170398703171E-6</v>
      </c>
      <c r="AQ250" s="137">
        <f>Transportation_LCIA!U$61*($W250^Transportation_LCIA!U$60)+Transportation_LCIA!U$62</f>
        <v>9.6617119892550003E-4</v>
      </c>
      <c r="AR250" s="137">
        <f>Transportation_LCIA!V$61*($W250^Transportation_LCIA!V$60)+Transportation_LCIA!V$62</f>
        <v>3.7149234590026369E-4</v>
      </c>
      <c r="AT250" s="137">
        <f>$W250*Y250+$L250*Summary_LCIA!H$32</f>
        <v>178.09278513099534</v>
      </c>
      <c r="AU250" s="137">
        <f>$W250*Z250+$L250*Summary_LCIA!Q$32</f>
        <v>1908.419900741661</v>
      </c>
      <c r="AV250" s="137">
        <f>$W250*AA250+$L250*Summary_LCIA!R$32</f>
        <v>1.017791483308282</v>
      </c>
      <c r="AW250" s="137">
        <f>$W250*AB250+$L250*Summary_LCIA!S$32</f>
        <v>178.05983845099536</v>
      </c>
      <c r="AX250" s="137">
        <f>$W250*AC250+$L250*Summary_LCIA!T$32</f>
        <v>44.429673382583267</v>
      </c>
      <c r="AY250" s="137">
        <f>$W250*AD250+$L250*Summary_LCIA!U$32</f>
        <v>0.36339875639511721</v>
      </c>
      <c r="AZ250" s="137">
        <f>$W250*AE250+$L250*Summary_LCIA!V$32</f>
        <v>5.576335660062031E-3</v>
      </c>
      <c r="BA250" s="137">
        <f>$W250*AF250+$L250*Summary_LCIA!W$32</f>
        <v>8.339905830830844</v>
      </c>
      <c r="BB250" s="137">
        <f>$W250*AG250+$L250*Summary_LCIA!X$32</f>
        <v>9.707749914807966</v>
      </c>
      <c r="BC250" s="137">
        <f>$W250*AH250+$L250*Summary_LCIA!Y$32</f>
        <v>0.31950982091515245</v>
      </c>
      <c r="BD250" s="137">
        <f>$W250*AI250+$L250*Summary_LCIA!Z$32</f>
        <v>0.17824653623845121</v>
      </c>
      <c r="BE250" s="137">
        <f>$W250*AJ250+$L250*Summary_LCIA!AA$32</f>
        <v>0.97999416308561227</v>
      </c>
      <c r="BF250" s="137">
        <f>$W250*AK250+$L250*Summary_LCIA!AB$32</f>
        <v>4.5994829868959038E-2</v>
      </c>
      <c r="BG250" s="137">
        <f>$W250*AL250+$L250*Summary_LCIA!AC$32</f>
        <v>2.2645358312952176E-5</v>
      </c>
      <c r="BH250" s="137">
        <f>$W250*AM250+$L250*Summary_LCIA!AD$32</f>
        <v>8.3280412548192156E-2</v>
      </c>
      <c r="BI250" s="137">
        <f>$W250*AN250+$L250*Summary_LCIA!AE$32</f>
        <v>0.25743568073192863</v>
      </c>
      <c r="BJ250" s="137">
        <f>$W250*AO250+$L250*Summary_LCIA!AF$32</f>
        <v>1.0005581559875496E-2</v>
      </c>
      <c r="BK250" s="137">
        <f>$W250*AP250+$L250*Summary_LCIA!AG$32</f>
        <v>4.085204789875496E-3</v>
      </c>
      <c r="BL250" s="137">
        <f>$W250*AQ250+$L250*Summary_LCIA!AH$32</f>
        <v>0.6079317221938475</v>
      </c>
      <c r="BM250" s="137">
        <f>$W250*AR250+$L250*Summary_LCIA!AI$32</f>
        <v>0.21574818511484073</v>
      </c>
    </row>
    <row r="251" spans="1:65" x14ac:dyDescent="0.25">
      <c r="A251" s="149">
        <v>50</v>
      </c>
      <c r="B251" s="149">
        <v>43</v>
      </c>
      <c r="C251" s="61">
        <v>43.638885999999999</v>
      </c>
      <c r="D251" s="61">
        <v>-79.380352000000002</v>
      </c>
      <c r="E251" s="61" t="s">
        <v>456</v>
      </c>
      <c r="F251" s="149">
        <v>130</v>
      </c>
      <c r="G251" s="61" t="s">
        <v>275</v>
      </c>
      <c r="H251" s="61" t="s">
        <v>653</v>
      </c>
      <c r="I251" s="61">
        <v>43.628481999999998</v>
      </c>
      <c r="J251" s="61">
        <v>-79.395957999999993</v>
      </c>
      <c r="K251" s="61">
        <v>2.1920799710000001</v>
      </c>
      <c r="L251" s="61">
        <v>2.4620000000000002</v>
      </c>
      <c r="M251" s="61" t="s">
        <v>617</v>
      </c>
      <c r="N251" s="149">
        <v>42</v>
      </c>
      <c r="O251" s="149">
        <v>43</v>
      </c>
      <c r="P251" s="61" t="s">
        <v>565</v>
      </c>
      <c r="Q251" s="61" t="s">
        <v>555</v>
      </c>
      <c r="R251" s="61">
        <v>40.6895314</v>
      </c>
      <c r="S251" s="61">
        <v>-74.174462399999996</v>
      </c>
      <c r="T251" s="61">
        <v>784.93200000000002</v>
      </c>
      <c r="U251" s="61" t="s">
        <v>617</v>
      </c>
      <c r="V251" s="61" t="s">
        <v>569</v>
      </c>
      <c r="W251" s="61" cm="1">
        <f t="array" ref="W251">getDistance(I251,J251,R251,S251)*SA!$B$12</f>
        <v>541.27512186027764</v>
      </c>
      <c r="Y251" s="137">
        <f>Transportation_LCIA!C$61*($W251^Transportation_LCIA!C$60)+Transportation_LCIA!C$62</f>
        <v>0.31878604820552614</v>
      </c>
      <c r="Z251" s="137">
        <f>Transportation_LCIA!D$61*($W251^Transportation_LCIA!D$60)+Transportation_LCIA!D$62</f>
        <v>3.4067317365432173</v>
      </c>
      <c r="AA251" s="137">
        <f>Transportation_LCIA!E$61*($W251^Transportation_LCIA!E$60)+Transportation_LCIA!E$62</f>
        <v>1.7920287787271288E-3</v>
      </c>
      <c r="AB251" s="137">
        <f>Transportation_LCIA!F$61*($W251^Transportation_LCIA!F$60)+Transportation_LCIA!F$62</f>
        <v>0.31878604820552614</v>
      </c>
      <c r="AC251" s="137">
        <f>Transportation_LCIA!G$61*($W251^Transportation_LCIA!G$60)+Transportation_LCIA!G$62</f>
        <v>7.9370508713586002E-2</v>
      </c>
      <c r="AD251" s="137">
        <f>Transportation_LCIA!H$61*($W251^Transportation_LCIA!H$60)+Transportation_LCIA!H$62</f>
        <v>4.2035633908471618E-4</v>
      </c>
      <c r="AE251" s="137">
        <f>Transportation_LCIA!I$61*($W251^Transportation_LCIA!I$60)+Transportation_LCIA!I$62</f>
        <v>9.5810471583003702E-6</v>
      </c>
      <c r="AF251" s="137">
        <f>Transportation_LCIA!J$61*($W251^Transportation_LCIA!J$60)+Transportation_LCIA!J$62</f>
        <v>1.426057241974343E-2</v>
      </c>
      <c r="AG251" s="137">
        <f>Transportation_LCIA!K$61*($W251^Transportation_LCIA!K$60)+Transportation_LCIA!K$62</f>
        <v>1.7390593610148022E-2</v>
      </c>
      <c r="AH251" s="137">
        <f>Transportation_LCIA!L$61*($W251^Transportation_LCIA!L$60)+Transportation_LCIA!L$62</f>
        <v>3.723479618897653E-4</v>
      </c>
      <c r="AI251" s="137">
        <f>Transportation_LCIA!M$61*($W251^Transportation_LCIA!M$60)+Transportation_LCIA!M$62</f>
        <v>3.228722583115967E-4</v>
      </c>
      <c r="AJ251" s="137">
        <f>Transportation_LCIA!N$61*($W251^Transportation_LCIA!N$60)+Transportation_LCIA!N$62</f>
        <v>1.4720294927440731E-3</v>
      </c>
      <c r="AK251" s="137">
        <f>Transportation_LCIA!O$61*($W251^Transportation_LCIA!O$60)+Transportation_LCIA!O$62</f>
        <v>8.4014911722372877E-5</v>
      </c>
      <c r="AL251" s="137">
        <f>Transportation_LCIA!P$61*($W251^Transportation_LCIA!P$60)+Transportation_LCIA!P$62</f>
        <v>4.0549982267229356E-8</v>
      </c>
      <c r="AM251" s="137">
        <f>Transportation_LCIA!Q$61*($W251^Transportation_LCIA!Q$60)+Transportation_LCIA!Q$62</f>
        <v>1.4685177071714801E-4</v>
      </c>
      <c r="AN251" s="137">
        <f>Transportation_LCIA!R$61*($W251^Transportation_LCIA!R$60)+Transportation_LCIA!R$62</f>
        <v>4.6033768870650074E-4</v>
      </c>
      <c r="AO251" s="137">
        <f>Transportation_LCIA!S$61*($W251^Transportation_LCIA!S$60)+Transportation_LCIA!S$62</f>
        <v>6.7891675624868085E-6</v>
      </c>
      <c r="AP251" s="137">
        <f>Transportation_LCIA!T$61*($W251^Transportation_LCIA!T$60)+Transportation_LCIA!T$62</f>
        <v>6.7891675624868085E-6</v>
      </c>
      <c r="AQ251" s="137">
        <f>Transportation_LCIA!U$61*($W251^Transportation_LCIA!U$60)+Transportation_LCIA!U$62</f>
        <v>9.9717260851609206E-4</v>
      </c>
      <c r="AR251" s="137">
        <f>Transportation_LCIA!V$61*($W251^Transportation_LCIA!V$60)+Transportation_LCIA!V$62</f>
        <v>3.8229923422683721E-4</v>
      </c>
      <c r="AT251" s="137">
        <f>$W251*Y251+$L251*Summary_LCIA!H$32</f>
        <v>173.3875446898025</v>
      </c>
      <c r="AU251" s="137">
        <f>$W251*Z251+$L251*Summary_LCIA!Q$32</f>
        <v>1856.1809320087511</v>
      </c>
      <c r="AV251" s="137">
        <f>$W251*AA251+$L251*Summary_LCIA!R$32</f>
        <v>0.98294450278265111</v>
      </c>
      <c r="AW251" s="137">
        <f>$W251*AB251+$L251*Summary_LCIA!S$32</f>
        <v>173.37666264980248</v>
      </c>
      <c r="AX251" s="137">
        <f>$W251*AC251+$L251*Summary_LCIA!T$32</f>
        <v>43.231855576058493</v>
      </c>
      <c r="AY251" s="137">
        <f>$W251*AD251+$L251*Summary_LCIA!U$32</f>
        <v>0.27163269666281997</v>
      </c>
      <c r="AZ251" s="137">
        <f>$W251*AE251+$L251*Summary_LCIA!V$32</f>
        <v>5.3035700501580995E-3</v>
      </c>
      <c r="BA251" s="137">
        <f>$W251*AF251+$L251*Summary_LCIA!W$32</f>
        <v>7.9083956762939396</v>
      </c>
      <c r="BB251" s="137">
        <f>$W251*AG251+$L251*Summary_LCIA!X$32</f>
        <v>9.4691800355554356</v>
      </c>
      <c r="BC251" s="137">
        <f>$W251*AH251+$L251*Summary_LCIA!Y$32</f>
        <v>0.23990557244630875</v>
      </c>
      <c r="BD251" s="137">
        <f>$W251*AI251+$L251*Summary_LCIA!Z$32</f>
        <v>0.17486368512091255</v>
      </c>
      <c r="BE251" s="137">
        <f>$W251*AJ251+$L251*Summary_LCIA!AA$32</f>
        <v>0.85427541506697091</v>
      </c>
      <c r="BF251" s="137">
        <f>$W251*AK251+$L251*Summary_LCIA!AB$32</f>
        <v>4.5421453354607851E-2</v>
      </c>
      <c r="BG251" s="137">
        <f>$W251*AL251+$L251*Summary_LCIA!AC$32</f>
        <v>2.2069049001126668E-5</v>
      </c>
      <c r="BH251" s="137">
        <f>$W251*AM251+$L251*Summary_LCIA!AD$32</f>
        <v>8.049919057032183E-2</v>
      </c>
      <c r="BI251" s="137">
        <f>$W251*AN251+$L251*Summary_LCIA!AE$32</f>
        <v>0.25135099061148974</v>
      </c>
      <c r="BJ251" s="137">
        <f>$W251*AO251+$L251*Summary_LCIA!AF$32</f>
        <v>5.7562315397148914E-3</v>
      </c>
      <c r="BK251" s="137">
        <f>$W251*AP251+$L251*Summary_LCIA!AG$32</f>
        <v>3.8007757297148915E-3</v>
      </c>
      <c r="BL251" s="137">
        <f>$W251*AQ251+$L251*Summary_LCIA!AH$32</f>
        <v>0.56117298839027863</v>
      </c>
      <c r="BM251" s="137">
        <f>$W251*AR251+$L251*Summary_LCIA!AI$32</f>
        <v>0.20922254069322213</v>
      </c>
    </row>
    <row r="252" spans="1:65" x14ac:dyDescent="0.25">
      <c r="A252" s="149">
        <v>363</v>
      </c>
      <c r="B252" s="149">
        <v>43</v>
      </c>
      <c r="C252" s="61">
        <v>43.653225999999997</v>
      </c>
      <c r="D252" s="61">
        <v>-79.383184</v>
      </c>
      <c r="E252" s="61" t="s">
        <v>456</v>
      </c>
      <c r="F252" s="149">
        <v>130</v>
      </c>
      <c r="G252" s="61" t="s">
        <v>275</v>
      </c>
      <c r="H252" s="61" t="s">
        <v>653</v>
      </c>
      <c r="I252" s="61">
        <v>43.628481999999998</v>
      </c>
      <c r="J252" s="61">
        <v>-79.395957999999993</v>
      </c>
      <c r="K252" s="61">
        <v>4.2005598900000001</v>
      </c>
      <c r="L252" s="61">
        <v>4.1710000000000003</v>
      </c>
      <c r="M252" s="61" t="s">
        <v>617</v>
      </c>
      <c r="N252" s="149">
        <v>42</v>
      </c>
      <c r="O252" s="149">
        <v>43</v>
      </c>
      <c r="P252" s="61" t="s">
        <v>565</v>
      </c>
      <c r="Q252" s="61" t="s">
        <v>555</v>
      </c>
      <c r="R252" s="61">
        <v>40.6895314</v>
      </c>
      <c r="S252" s="61">
        <v>-74.174462399999996</v>
      </c>
      <c r="T252" s="61">
        <v>785.35199999999998</v>
      </c>
      <c r="U252" s="61" t="s">
        <v>617</v>
      </c>
      <c r="V252" s="61" t="s">
        <v>569</v>
      </c>
      <c r="W252" s="61" cm="1">
        <f t="array" ref="W252">getDistance(I252,J252,R252,S252)*SA!$B$12</f>
        <v>541.27512186027764</v>
      </c>
      <c r="Y252" s="137">
        <f>Transportation_LCIA!C$61*($W252^Transportation_LCIA!C$60)+Transportation_LCIA!C$62</f>
        <v>0.31878604820552614</v>
      </c>
      <c r="Z252" s="137">
        <f>Transportation_LCIA!D$61*($W252^Transportation_LCIA!D$60)+Transportation_LCIA!D$62</f>
        <v>3.4067317365432173</v>
      </c>
      <c r="AA252" s="137">
        <f>Transportation_LCIA!E$61*($W252^Transportation_LCIA!E$60)+Transportation_LCIA!E$62</f>
        <v>1.7920287787271288E-3</v>
      </c>
      <c r="AB252" s="137">
        <f>Transportation_LCIA!F$61*($W252^Transportation_LCIA!F$60)+Transportation_LCIA!F$62</f>
        <v>0.31878604820552614</v>
      </c>
      <c r="AC252" s="137">
        <f>Transportation_LCIA!G$61*($W252^Transportation_LCIA!G$60)+Transportation_LCIA!G$62</f>
        <v>7.9370508713586002E-2</v>
      </c>
      <c r="AD252" s="137">
        <f>Transportation_LCIA!H$61*($W252^Transportation_LCIA!H$60)+Transportation_LCIA!H$62</f>
        <v>4.2035633908471618E-4</v>
      </c>
      <c r="AE252" s="137">
        <f>Transportation_LCIA!I$61*($W252^Transportation_LCIA!I$60)+Transportation_LCIA!I$62</f>
        <v>9.5810471583003702E-6</v>
      </c>
      <c r="AF252" s="137">
        <f>Transportation_LCIA!J$61*($W252^Transportation_LCIA!J$60)+Transportation_LCIA!J$62</f>
        <v>1.426057241974343E-2</v>
      </c>
      <c r="AG252" s="137">
        <f>Transportation_LCIA!K$61*($W252^Transportation_LCIA!K$60)+Transportation_LCIA!K$62</f>
        <v>1.7390593610148022E-2</v>
      </c>
      <c r="AH252" s="137">
        <f>Transportation_LCIA!L$61*($W252^Transportation_LCIA!L$60)+Transportation_LCIA!L$62</f>
        <v>3.723479618897653E-4</v>
      </c>
      <c r="AI252" s="137">
        <f>Transportation_LCIA!M$61*($W252^Transportation_LCIA!M$60)+Transportation_LCIA!M$62</f>
        <v>3.228722583115967E-4</v>
      </c>
      <c r="AJ252" s="137">
        <f>Transportation_LCIA!N$61*($W252^Transportation_LCIA!N$60)+Transportation_LCIA!N$62</f>
        <v>1.4720294927440731E-3</v>
      </c>
      <c r="AK252" s="137">
        <f>Transportation_LCIA!O$61*($W252^Transportation_LCIA!O$60)+Transportation_LCIA!O$62</f>
        <v>8.4014911722372877E-5</v>
      </c>
      <c r="AL252" s="137">
        <f>Transportation_LCIA!P$61*($W252^Transportation_LCIA!P$60)+Transportation_LCIA!P$62</f>
        <v>4.0549982267229356E-8</v>
      </c>
      <c r="AM252" s="137">
        <f>Transportation_LCIA!Q$61*($W252^Transportation_LCIA!Q$60)+Transportation_LCIA!Q$62</f>
        <v>1.4685177071714801E-4</v>
      </c>
      <c r="AN252" s="137">
        <f>Transportation_LCIA!R$61*($W252^Transportation_LCIA!R$60)+Transportation_LCIA!R$62</f>
        <v>4.6033768870650074E-4</v>
      </c>
      <c r="AO252" s="137">
        <f>Transportation_LCIA!S$61*($W252^Transportation_LCIA!S$60)+Transportation_LCIA!S$62</f>
        <v>6.7891675624868085E-6</v>
      </c>
      <c r="AP252" s="137">
        <f>Transportation_LCIA!T$61*($W252^Transportation_LCIA!T$60)+Transportation_LCIA!T$62</f>
        <v>6.7891675624868085E-6</v>
      </c>
      <c r="AQ252" s="137">
        <f>Transportation_LCIA!U$61*($W252^Transportation_LCIA!U$60)+Transportation_LCIA!U$62</f>
        <v>9.9717260851609206E-4</v>
      </c>
      <c r="AR252" s="137">
        <f>Transportation_LCIA!V$61*($W252^Transportation_LCIA!V$60)+Transportation_LCIA!V$62</f>
        <v>3.8229923422683721E-4</v>
      </c>
      <c r="AT252" s="137">
        <f>$W252*Y252+$L252*Summary_LCIA!H$32</f>
        <v>173.9682628898025</v>
      </c>
      <c r="AU252" s="137">
        <f>$W252*Z252+$L252*Summary_LCIA!Q$32</f>
        <v>1864.6508221987481</v>
      </c>
      <c r="AV252" s="137">
        <f>$W252*AA252+$L252*Summary_LCIA!R$32</f>
        <v>0.99194341318265111</v>
      </c>
      <c r="AW252" s="137">
        <f>$W252*AB252+$L252*Summary_LCIA!S$32</f>
        <v>173.9498270698025</v>
      </c>
      <c r="AX252" s="137">
        <f>$W252*AC252+$L252*Summary_LCIA!T$32</f>
        <v>43.419674676058492</v>
      </c>
      <c r="AY252" s="137">
        <f>$W252*AD252+$L252*Summary_LCIA!U$32</f>
        <v>0.30224772266281996</v>
      </c>
      <c r="AZ252" s="137">
        <f>$W252*AE252+$L252*Summary_LCIA!V$32</f>
        <v>5.3851935991580998E-3</v>
      </c>
      <c r="BA252" s="137">
        <f>$W252*AF252+$L252*Summary_LCIA!W$32</f>
        <v>8.0399391152939401</v>
      </c>
      <c r="BB252" s="137">
        <f>$W252*AG252+$L252*Summary_LCIA!X$32</f>
        <v>9.5081110555554353</v>
      </c>
      <c r="BC252" s="137">
        <f>$W252*AH252+$L252*Summary_LCIA!Y$32</f>
        <v>0.26653521044630873</v>
      </c>
      <c r="BD252" s="137">
        <f>$W252*AI252+$L252*Summary_LCIA!Z$32</f>
        <v>0.17493376950191253</v>
      </c>
      <c r="BE252" s="137">
        <f>$W252*AJ252+$L252*Summary_LCIA!AA$32</f>
        <v>0.89419081906697084</v>
      </c>
      <c r="BF252" s="137">
        <f>$W252*AK252+$L252*Summary_LCIA!AB$32</f>
        <v>4.5384157847607853E-2</v>
      </c>
      <c r="BG252" s="137">
        <f>$W252*AL252+$L252*Summary_LCIA!AC$32</f>
        <v>2.2152591757126669E-5</v>
      </c>
      <c r="BH252" s="137">
        <f>$W252*AM252+$L252*Summary_LCIA!AD$32</f>
        <v>8.120165793032183E-2</v>
      </c>
      <c r="BI252" s="137">
        <f>$W252*AN252+$L252*Summary_LCIA!AE$32</f>
        <v>0.25286538678148973</v>
      </c>
      <c r="BJ252" s="137">
        <f>$W252*AO252+$L252*Summary_LCIA!AF$32</f>
        <v>7.2010543197148918E-3</v>
      </c>
      <c r="BK252" s="137">
        <f>$W252*AP252+$L252*Summary_LCIA!AG$32</f>
        <v>3.8882167147148913E-3</v>
      </c>
      <c r="BL252" s="137">
        <f>$W252*AQ252+$L252*Summary_LCIA!AH$32</f>
        <v>0.57604744079027859</v>
      </c>
      <c r="BM252" s="137">
        <f>$W252*AR252+$L252*Summary_LCIA!AI$32</f>
        <v>0.21081455964322213</v>
      </c>
    </row>
    <row r="253" spans="1:65" x14ac:dyDescent="0.25">
      <c r="A253" s="149">
        <v>73</v>
      </c>
      <c r="B253" s="149">
        <v>43</v>
      </c>
      <c r="C253" s="61">
        <v>43.660848999999999</v>
      </c>
      <c r="D253" s="61">
        <v>-79.395493999999999</v>
      </c>
      <c r="E253" s="61" t="s">
        <v>456</v>
      </c>
      <c r="F253" s="149">
        <v>130</v>
      </c>
      <c r="G253" s="61" t="s">
        <v>275</v>
      </c>
      <c r="H253" s="61" t="s">
        <v>653</v>
      </c>
      <c r="I253" s="61">
        <v>43.628481999999998</v>
      </c>
      <c r="J253" s="61">
        <v>-79.395957999999993</v>
      </c>
      <c r="K253" s="61">
        <v>5.2007018199999999</v>
      </c>
      <c r="L253" s="61">
        <v>5.4240000000000004</v>
      </c>
      <c r="M253" s="61" t="s">
        <v>617</v>
      </c>
      <c r="N253" s="149">
        <v>42</v>
      </c>
      <c r="O253" s="149">
        <v>43</v>
      </c>
      <c r="P253" s="61" t="s">
        <v>565</v>
      </c>
      <c r="Q253" s="61" t="s">
        <v>555</v>
      </c>
      <c r="R253" s="61">
        <v>40.6895314</v>
      </c>
      <c r="S253" s="61">
        <v>-74.174462399999996</v>
      </c>
      <c r="T253" s="61">
        <v>786.899</v>
      </c>
      <c r="U253" s="61" t="s">
        <v>617</v>
      </c>
      <c r="V253" s="61" t="s">
        <v>569</v>
      </c>
      <c r="W253" s="61" cm="1">
        <f t="array" ref="W253">getDistance(I253,J253,R253,S253)*SA!$B$12</f>
        <v>541.27512186027764</v>
      </c>
      <c r="Y253" s="137">
        <f>Transportation_LCIA!C$61*($W253^Transportation_LCIA!C$60)+Transportation_LCIA!C$62</f>
        <v>0.31878604820552614</v>
      </c>
      <c r="Z253" s="137">
        <f>Transportation_LCIA!D$61*($W253^Transportation_LCIA!D$60)+Transportation_LCIA!D$62</f>
        <v>3.4067317365432173</v>
      </c>
      <c r="AA253" s="137">
        <f>Transportation_LCIA!E$61*($W253^Transportation_LCIA!E$60)+Transportation_LCIA!E$62</f>
        <v>1.7920287787271288E-3</v>
      </c>
      <c r="AB253" s="137">
        <f>Transportation_LCIA!F$61*($W253^Transportation_LCIA!F$60)+Transportation_LCIA!F$62</f>
        <v>0.31878604820552614</v>
      </c>
      <c r="AC253" s="137">
        <f>Transportation_LCIA!G$61*($W253^Transportation_LCIA!G$60)+Transportation_LCIA!G$62</f>
        <v>7.9370508713586002E-2</v>
      </c>
      <c r="AD253" s="137">
        <f>Transportation_LCIA!H$61*($W253^Transportation_LCIA!H$60)+Transportation_LCIA!H$62</f>
        <v>4.2035633908471618E-4</v>
      </c>
      <c r="AE253" s="137">
        <f>Transportation_LCIA!I$61*($W253^Transportation_LCIA!I$60)+Transportation_LCIA!I$62</f>
        <v>9.5810471583003702E-6</v>
      </c>
      <c r="AF253" s="137">
        <f>Transportation_LCIA!J$61*($W253^Transportation_LCIA!J$60)+Transportation_LCIA!J$62</f>
        <v>1.426057241974343E-2</v>
      </c>
      <c r="AG253" s="137">
        <f>Transportation_LCIA!K$61*($W253^Transportation_LCIA!K$60)+Transportation_LCIA!K$62</f>
        <v>1.7390593610148022E-2</v>
      </c>
      <c r="AH253" s="137">
        <f>Transportation_LCIA!L$61*($W253^Transportation_LCIA!L$60)+Transportation_LCIA!L$62</f>
        <v>3.723479618897653E-4</v>
      </c>
      <c r="AI253" s="137">
        <f>Transportation_LCIA!M$61*($W253^Transportation_LCIA!M$60)+Transportation_LCIA!M$62</f>
        <v>3.228722583115967E-4</v>
      </c>
      <c r="AJ253" s="137">
        <f>Transportation_LCIA!N$61*($W253^Transportation_LCIA!N$60)+Transportation_LCIA!N$62</f>
        <v>1.4720294927440731E-3</v>
      </c>
      <c r="AK253" s="137">
        <f>Transportation_LCIA!O$61*($W253^Transportation_LCIA!O$60)+Transportation_LCIA!O$62</f>
        <v>8.4014911722372877E-5</v>
      </c>
      <c r="AL253" s="137">
        <f>Transportation_LCIA!P$61*($W253^Transportation_LCIA!P$60)+Transportation_LCIA!P$62</f>
        <v>4.0549982267229356E-8</v>
      </c>
      <c r="AM253" s="137">
        <f>Transportation_LCIA!Q$61*($W253^Transportation_LCIA!Q$60)+Transportation_LCIA!Q$62</f>
        <v>1.4685177071714801E-4</v>
      </c>
      <c r="AN253" s="137">
        <f>Transportation_LCIA!R$61*($W253^Transportation_LCIA!R$60)+Transportation_LCIA!R$62</f>
        <v>4.6033768870650074E-4</v>
      </c>
      <c r="AO253" s="137">
        <f>Transportation_LCIA!S$61*($W253^Transportation_LCIA!S$60)+Transportation_LCIA!S$62</f>
        <v>6.7891675624868085E-6</v>
      </c>
      <c r="AP253" s="137">
        <f>Transportation_LCIA!T$61*($W253^Transportation_LCIA!T$60)+Transportation_LCIA!T$62</f>
        <v>6.7891675624868085E-6</v>
      </c>
      <c r="AQ253" s="137">
        <f>Transportation_LCIA!U$61*($W253^Transportation_LCIA!U$60)+Transportation_LCIA!U$62</f>
        <v>9.9717260851609206E-4</v>
      </c>
      <c r="AR253" s="137">
        <f>Transportation_LCIA!V$61*($W253^Transportation_LCIA!V$60)+Transportation_LCIA!V$62</f>
        <v>3.8229923422683721E-4</v>
      </c>
      <c r="AT253" s="137">
        <f>$W253*Y253+$L253*Summary_LCIA!H$32</f>
        <v>174.39403228980248</v>
      </c>
      <c r="AU253" s="137">
        <f>$W253*Z253+$L253*Summary_LCIA!Q$32</f>
        <v>1870.8607533912971</v>
      </c>
      <c r="AV253" s="137">
        <f>$W253*AA253+$L253*Summary_LCIA!R$32</f>
        <v>0.99854120998265117</v>
      </c>
      <c r="AW253" s="137">
        <f>$W253*AB253+$L253*Summary_LCIA!S$32</f>
        <v>174.37005820980249</v>
      </c>
      <c r="AX253" s="137">
        <f>$W253*AC253+$L253*Summary_LCIA!T$32</f>
        <v>43.557379376058492</v>
      </c>
      <c r="AY253" s="137">
        <f>$W253*AD253+$L253*Summary_LCIA!U$32</f>
        <v>0.32469396466281997</v>
      </c>
      <c r="AZ253" s="137">
        <f>$W253*AE253+$L253*Summary_LCIA!V$32</f>
        <v>5.4450381321580997E-3</v>
      </c>
      <c r="BA253" s="137">
        <f>$W253*AF253+$L253*Summary_LCIA!W$32</f>
        <v>8.1363837782939399</v>
      </c>
      <c r="BB253" s="137">
        <f>$W253*AG253+$L253*Summary_LCIA!X$32</f>
        <v>9.5366543955554359</v>
      </c>
      <c r="BC253" s="137">
        <f>$W253*AH253+$L253*Summary_LCIA!Y$32</f>
        <v>0.28605945644630876</v>
      </c>
      <c r="BD253" s="137">
        <f>$W253*AI253+$L253*Summary_LCIA!Z$32</f>
        <v>0.17498515377891255</v>
      </c>
      <c r="BE253" s="137">
        <f>$W253*AJ253+$L253*Summary_LCIA!AA$32</f>
        <v>0.9234558870669709</v>
      </c>
      <c r="BF253" s="137">
        <f>$W253*AK253+$L253*Summary_LCIA!AB$32</f>
        <v>4.5356813628607849E-2</v>
      </c>
      <c r="BG253" s="137">
        <f>$W253*AL253+$L253*Summary_LCIA!AC$32</f>
        <v>2.2213843409126666E-5</v>
      </c>
      <c r="BH253" s="137">
        <f>$W253*AM253+$L253*Summary_LCIA!AD$32</f>
        <v>8.1716691050321838E-2</v>
      </c>
      <c r="BI253" s="137">
        <f>$W253*AN253+$L253*Summary_LCIA!AE$32</f>
        <v>0.25397570767148975</v>
      </c>
      <c r="BJ253" s="137">
        <f>$W253*AO253+$L253*Summary_LCIA!AF$32</f>
        <v>8.2603655797148928E-3</v>
      </c>
      <c r="BK253" s="137">
        <f>$W253*AP253+$L253*Summary_LCIA!AG$32</f>
        <v>3.9523264597148911E-3</v>
      </c>
      <c r="BL253" s="137">
        <f>$W253*AQ253+$L253*Summary_LCIA!AH$32</f>
        <v>0.58695305159027866</v>
      </c>
      <c r="BM253" s="137">
        <f>$W253*AR253+$L253*Summary_LCIA!AI$32</f>
        <v>0.21198179179322213</v>
      </c>
    </row>
    <row r="254" spans="1:65" x14ac:dyDescent="0.25">
      <c r="A254" s="149">
        <v>74</v>
      </c>
      <c r="B254" s="149">
        <v>43</v>
      </c>
      <c r="C254" s="61">
        <v>43.660848999999999</v>
      </c>
      <c r="D254" s="61">
        <v>-79.395493999999999</v>
      </c>
      <c r="E254" s="61" t="s">
        <v>456</v>
      </c>
      <c r="F254" s="149">
        <v>130</v>
      </c>
      <c r="G254" s="61" t="s">
        <v>275</v>
      </c>
      <c r="H254" s="61" t="s">
        <v>653</v>
      </c>
      <c r="I254" s="61">
        <v>43.628481999999998</v>
      </c>
      <c r="J254" s="61">
        <v>-79.395957999999993</v>
      </c>
      <c r="K254" s="61">
        <v>5.2007018199999999</v>
      </c>
      <c r="L254" s="61">
        <v>5.4240000000000004</v>
      </c>
      <c r="M254" s="61" t="s">
        <v>617</v>
      </c>
      <c r="N254" s="149">
        <v>42</v>
      </c>
      <c r="O254" s="149">
        <v>43</v>
      </c>
      <c r="P254" s="61" t="s">
        <v>565</v>
      </c>
      <c r="Q254" s="61" t="s">
        <v>555</v>
      </c>
      <c r="R254" s="61">
        <v>40.6895314</v>
      </c>
      <c r="S254" s="61">
        <v>-74.174462399999996</v>
      </c>
      <c r="T254" s="61">
        <v>786.899</v>
      </c>
      <c r="U254" s="61" t="s">
        <v>617</v>
      </c>
      <c r="V254" s="61" t="s">
        <v>569</v>
      </c>
      <c r="W254" s="61" cm="1">
        <f t="array" ref="W254">getDistance(I254,J254,R254,S254)*SA!$B$12</f>
        <v>541.27512186027764</v>
      </c>
      <c r="Y254" s="137">
        <f>Transportation_LCIA!C$61*($W254^Transportation_LCIA!C$60)+Transportation_LCIA!C$62</f>
        <v>0.31878604820552614</v>
      </c>
      <c r="Z254" s="137">
        <f>Transportation_LCIA!D$61*($W254^Transportation_LCIA!D$60)+Transportation_LCIA!D$62</f>
        <v>3.4067317365432173</v>
      </c>
      <c r="AA254" s="137">
        <f>Transportation_LCIA!E$61*($W254^Transportation_LCIA!E$60)+Transportation_LCIA!E$62</f>
        <v>1.7920287787271288E-3</v>
      </c>
      <c r="AB254" s="137">
        <f>Transportation_LCIA!F$61*($W254^Transportation_LCIA!F$60)+Transportation_LCIA!F$62</f>
        <v>0.31878604820552614</v>
      </c>
      <c r="AC254" s="137">
        <f>Transportation_LCIA!G$61*($W254^Transportation_LCIA!G$60)+Transportation_LCIA!G$62</f>
        <v>7.9370508713586002E-2</v>
      </c>
      <c r="AD254" s="137">
        <f>Transportation_LCIA!H$61*($W254^Transportation_LCIA!H$60)+Transportation_LCIA!H$62</f>
        <v>4.2035633908471618E-4</v>
      </c>
      <c r="AE254" s="137">
        <f>Transportation_LCIA!I$61*($W254^Transportation_LCIA!I$60)+Transportation_LCIA!I$62</f>
        <v>9.5810471583003702E-6</v>
      </c>
      <c r="AF254" s="137">
        <f>Transportation_LCIA!J$61*($W254^Transportation_LCIA!J$60)+Transportation_LCIA!J$62</f>
        <v>1.426057241974343E-2</v>
      </c>
      <c r="AG254" s="137">
        <f>Transportation_LCIA!K$61*($W254^Transportation_LCIA!K$60)+Transportation_LCIA!K$62</f>
        <v>1.7390593610148022E-2</v>
      </c>
      <c r="AH254" s="137">
        <f>Transportation_LCIA!L$61*($W254^Transportation_LCIA!L$60)+Transportation_LCIA!L$62</f>
        <v>3.723479618897653E-4</v>
      </c>
      <c r="AI254" s="137">
        <f>Transportation_LCIA!M$61*($W254^Transportation_LCIA!M$60)+Transportation_LCIA!M$62</f>
        <v>3.228722583115967E-4</v>
      </c>
      <c r="AJ254" s="137">
        <f>Transportation_LCIA!N$61*($W254^Transportation_LCIA!N$60)+Transportation_LCIA!N$62</f>
        <v>1.4720294927440731E-3</v>
      </c>
      <c r="AK254" s="137">
        <f>Transportation_LCIA!O$61*($W254^Transportation_LCIA!O$60)+Transportation_LCIA!O$62</f>
        <v>8.4014911722372877E-5</v>
      </c>
      <c r="AL254" s="137">
        <f>Transportation_LCIA!P$61*($W254^Transportation_LCIA!P$60)+Transportation_LCIA!P$62</f>
        <v>4.0549982267229356E-8</v>
      </c>
      <c r="AM254" s="137">
        <f>Transportation_LCIA!Q$61*($W254^Transportation_LCIA!Q$60)+Transportation_LCIA!Q$62</f>
        <v>1.4685177071714801E-4</v>
      </c>
      <c r="AN254" s="137">
        <f>Transportation_LCIA!R$61*($W254^Transportation_LCIA!R$60)+Transportation_LCIA!R$62</f>
        <v>4.6033768870650074E-4</v>
      </c>
      <c r="AO254" s="137">
        <f>Transportation_LCIA!S$61*($W254^Transportation_LCIA!S$60)+Transportation_LCIA!S$62</f>
        <v>6.7891675624868085E-6</v>
      </c>
      <c r="AP254" s="137">
        <f>Transportation_LCIA!T$61*($W254^Transportation_LCIA!T$60)+Transportation_LCIA!T$62</f>
        <v>6.7891675624868085E-6</v>
      </c>
      <c r="AQ254" s="137">
        <f>Transportation_LCIA!U$61*($W254^Transportation_LCIA!U$60)+Transportation_LCIA!U$62</f>
        <v>9.9717260851609206E-4</v>
      </c>
      <c r="AR254" s="137">
        <f>Transportation_LCIA!V$61*($W254^Transportation_LCIA!V$60)+Transportation_LCIA!V$62</f>
        <v>3.8229923422683721E-4</v>
      </c>
      <c r="AT254" s="137">
        <f>$W254*Y254+$L254*Summary_LCIA!H$32</f>
        <v>174.39403228980248</v>
      </c>
      <c r="AU254" s="137">
        <f>$W254*Z254+$L254*Summary_LCIA!Q$32</f>
        <v>1870.8607533912971</v>
      </c>
      <c r="AV254" s="137">
        <f>$W254*AA254+$L254*Summary_LCIA!R$32</f>
        <v>0.99854120998265117</v>
      </c>
      <c r="AW254" s="137">
        <f>$W254*AB254+$L254*Summary_LCIA!S$32</f>
        <v>174.37005820980249</v>
      </c>
      <c r="AX254" s="137">
        <f>$W254*AC254+$L254*Summary_LCIA!T$32</f>
        <v>43.557379376058492</v>
      </c>
      <c r="AY254" s="137">
        <f>$W254*AD254+$L254*Summary_LCIA!U$32</f>
        <v>0.32469396466281997</v>
      </c>
      <c r="AZ254" s="137">
        <f>$W254*AE254+$L254*Summary_LCIA!V$32</f>
        <v>5.4450381321580997E-3</v>
      </c>
      <c r="BA254" s="137">
        <f>$W254*AF254+$L254*Summary_LCIA!W$32</f>
        <v>8.1363837782939399</v>
      </c>
      <c r="BB254" s="137">
        <f>$W254*AG254+$L254*Summary_LCIA!X$32</f>
        <v>9.5366543955554359</v>
      </c>
      <c r="BC254" s="137">
        <f>$W254*AH254+$L254*Summary_LCIA!Y$32</f>
        <v>0.28605945644630876</v>
      </c>
      <c r="BD254" s="137">
        <f>$W254*AI254+$L254*Summary_LCIA!Z$32</f>
        <v>0.17498515377891255</v>
      </c>
      <c r="BE254" s="137">
        <f>$W254*AJ254+$L254*Summary_LCIA!AA$32</f>
        <v>0.9234558870669709</v>
      </c>
      <c r="BF254" s="137">
        <f>$W254*AK254+$L254*Summary_LCIA!AB$32</f>
        <v>4.5356813628607849E-2</v>
      </c>
      <c r="BG254" s="137">
        <f>$W254*AL254+$L254*Summary_LCIA!AC$32</f>
        <v>2.2213843409126666E-5</v>
      </c>
      <c r="BH254" s="137">
        <f>$W254*AM254+$L254*Summary_LCIA!AD$32</f>
        <v>8.1716691050321838E-2</v>
      </c>
      <c r="BI254" s="137">
        <f>$W254*AN254+$L254*Summary_LCIA!AE$32</f>
        <v>0.25397570767148975</v>
      </c>
      <c r="BJ254" s="137">
        <f>$W254*AO254+$L254*Summary_LCIA!AF$32</f>
        <v>8.2603655797148928E-3</v>
      </c>
      <c r="BK254" s="137">
        <f>$W254*AP254+$L254*Summary_LCIA!AG$32</f>
        <v>3.9523264597148911E-3</v>
      </c>
      <c r="BL254" s="137">
        <f>$W254*AQ254+$L254*Summary_LCIA!AH$32</f>
        <v>0.58695305159027866</v>
      </c>
      <c r="BM254" s="137">
        <f>$W254*AR254+$L254*Summary_LCIA!AI$32</f>
        <v>0.21198179179322213</v>
      </c>
    </row>
    <row r="255" spans="1:65" x14ac:dyDescent="0.25">
      <c r="A255" s="149">
        <v>75</v>
      </c>
      <c r="B255" s="149">
        <v>43</v>
      </c>
      <c r="C255" s="61">
        <v>43.660848999999999</v>
      </c>
      <c r="D255" s="61">
        <v>-79.395493999999999</v>
      </c>
      <c r="E255" s="61" t="s">
        <v>456</v>
      </c>
      <c r="F255" s="149">
        <v>130</v>
      </c>
      <c r="G255" s="61" t="s">
        <v>275</v>
      </c>
      <c r="H255" s="61" t="s">
        <v>653</v>
      </c>
      <c r="I255" s="61">
        <v>43.628481999999998</v>
      </c>
      <c r="J255" s="61">
        <v>-79.395957999999993</v>
      </c>
      <c r="K255" s="61">
        <v>5.2007018199999999</v>
      </c>
      <c r="L255" s="61">
        <v>5.4240000000000004</v>
      </c>
      <c r="M255" s="61" t="s">
        <v>617</v>
      </c>
      <c r="N255" s="149">
        <v>42</v>
      </c>
      <c r="O255" s="149">
        <v>43</v>
      </c>
      <c r="P255" s="61" t="s">
        <v>565</v>
      </c>
      <c r="Q255" s="61" t="s">
        <v>555</v>
      </c>
      <c r="R255" s="61">
        <v>40.6895314</v>
      </c>
      <c r="S255" s="61">
        <v>-74.174462399999996</v>
      </c>
      <c r="T255" s="61">
        <v>786.899</v>
      </c>
      <c r="U255" s="61" t="s">
        <v>617</v>
      </c>
      <c r="V255" s="61" t="s">
        <v>569</v>
      </c>
      <c r="W255" s="61" cm="1">
        <f t="array" ref="W255">getDistance(I255,J255,R255,S255)*SA!$B$12</f>
        <v>541.27512186027764</v>
      </c>
      <c r="Y255" s="137">
        <f>Transportation_LCIA!C$61*($W255^Transportation_LCIA!C$60)+Transportation_LCIA!C$62</f>
        <v>0.31878604820552614</v>
      </c>
      <c r="Z255" s="137">
        <f>Transportation_LCIA!D$61*($W255^Transportation_LCIA!D$60)+Transportation_LCIA!D$62</f>
        <v>3.4067317365432173</v>
      </c>
      <c r="AA255" s="137">
        <f>Transportation_LCIA!E$61*($W255^Transportation_LCIA!E$60)+Transportation_LCIA!E$62</f>
        <v>1.7920287787271288E-3</v>
      </c>
      <c r="AB255" s="137">
        <f>Transportation_LCIA!F$61*($W255^Transportation_LCIA!F$60)+Transportation_LCIA!F$62</f>
        <v>0.31878604820552614</v>
      </c>
      <c r="AC255" s="137">
        <f>Transportation_LCIA!G$61*($W255^Transportation_LCIA!G$60)+Transportation_LCIA!G$62</f>
        <v>7.9370508713586002E-2</v>
      </c>
      <c r="AD255" s="137">
        <f>Transportation_LCIA!H$61*($W255^Transportation_LCIA!H$60)+Transportation_LCIA!H$62</f>
        <v>4.2035633908471618E-4</v>
      </c>
      <c r="AE255" s="137">
        <f>Transportation_LCIA!I$61*($W255^Transportation_LCIA!I$60)+Transportation_LCIA!I$62</f>
        <v>9.5810471583003702E-6</v>
      </c>
      <c r="AF255" s="137">
        <f>Transportation_LCIA!J$61*($W255^Transportation_LCIA!J$60)+Transportation_LCIA!J$62</f>
        <v>1.426057241974343E-2</v>
      </c>
      <c r="AG255" s="137">
        <f>Transportation_LCIA!K$61*($W255^Transportation_LCIA!K$60)+Transportation_LCIA!K$62</f>
        <v>1.7390593610148022E-2</v>
      </c>
      <c r="AH255" s="137">
        <f>Transportation_LCIA!L$61*($W255^Transportation_LCIA!L$60)+Transportation_LCIA!L$62</f>
        <v>3.723479618897653E-4</v>
      </c>
      <c r="AI255" s="137">
        <f>Transportation_LCIA!M$61*($W255^Transportation_LCIA!M$60)+Transportation_LCIA!M$62</f>
        <v>3.228722583115967E-4</v>
      </c>
      <c r="AJ255" s="137">
        <f>Transportation_LCIA!N$61*($W255^Transportation_LCIA!N$60)+Transportation_LCIA!N$62</f>
        <v>1.4720294927440731E-3</v>
      </c>
      <c r="AK255" s="137">
        <f>Transportation_LCIA!O$61*($W255^Transportation_LCIA!O$60)+Transportation_LCIA!O$62</f>
        <v>8.4014911722372877E-5</v>
      </c>
      <c r="AL255" s="137">
        <f>Transportation_LCIA!P$61*($W255^Transportation_LCIA!P$60)+Transportation_LCIA!P$62</f>
        <v>4.0549982267229356E-8</v>
      </c>
      <c r="AM255" s="137">
        <f>Transportation_LCIA!Q$61*($W255^Transportation_LCIA!Q$60)+Transportation_LCIA!Q$62</f>
        <v>1.4685177071714801E-4</v>
      </c>
      <c r="AN255" s="137">
        <f>Transportation_LCIA!R$61*($W255^Transportation_LCIA!R$60)+Transportation_LCIA!R$62</f>
        <v>4.6033768870650074E-4</v>
      </c>
      <c r="AO255" s="137">
        <f>Transportation_LCIA!S$61*($W255^Transportation_LCIA!S$60)+Transportation_LCIA!S$62</f>
        <v>6.7891675624868085E-6</v>
      </c>
      <c r="AP255" s="137">
        <f>Transportation_LCIA!T$61*($W255^Transportation_LCIA!T$60)+Transportation_LCIA!T$62</f>
        <v>6.7891675624868085E-6</v>
      </c>
      <c r="AQ255" s="137">
        <f>Transportation_LCIA!U$61*($W255^Transportation_LCIA!U$60)+Transportation_LCIA!U$62</f>
        <v>9.9717260851609206E-4</v>
      </c>
      <c r="AR255" s="137">
        <f>Transportation_LCIA!V$61*($W255^Transportation_LCIA!V$60)+Transportation_LCIA!V$62</f>
        <v>3.8229923422683721E-4</v>
      </c>
      <c r="AT255" s="137">
        <f>$W255*Y255+$L255*Summary_LCIA!H$32</f>
        <v>174.39403228980248</v>
      </c>
      <c r="AU255" s="137">
        <f>$W255*Z255+$L255*Summary_LCIA!Q$32</f>
        <v>1870.8607533912971</v>
      </c>
      <c r="AV255" s="137">
        <f>$W255*AA255+$L255*Summary_LCIA!R$32</f>
        <v>0.99854120998265117</v>
      </c>
      <c r="AW255" s="137">
        <f>$W255*AB255+$L255*Summary_LCIA!S$32</f>
        <v>174.37005820980249</v>
      </c>
      <c r="AX255" s="137">
        <f>$W255*AC255+$L255*Summary_LCIA!T$32</f>
        <v>43.557379376058492</v>
      </c>
      <c r="AY255" s="137">
        <f>$W255*AD255+$L255*Summary_LCIA!U$32</f>
        <v>0.32469396466281997</v>
      </c>
      <c r="AZ255" s="137">
        <f>$W255*AE255+$L255*Summary_LCIA!V$32</f>
        <v>5.4450381321580997E-3</v>
      </c>
      <c r="BA255" s="137">
        <f>$W255*AF255+$L255*Summary_LCIA!W$32</f>
        <v>8.1363837782939399</v>
      </c>
      <c r="BB255" s="137">
        <f>$W255*AG255+$L255*Summary_LCIA!X$32</f>
        <v>9.5366543955554359</v>
      </c>
      <c r="BC255" s="137">
        <f>$W255*AH255+$L255*Summary_LCIA!Y$32</f>
        <v>0.28605945644630876</v>
      </c>
      <c r="BD255" s="137">
        <f>$W255*AI255+$L255*Summary_LCIA!Z$32</f>
        <v>0.17498515377891255</v>
      </c>
      <c r="BE255" s="137">
        <f>$W255*AJ255+$L255*Summary_LCIA!AA$32</f>
        <v>0.9234558870669709</v>
      </c>
      <c r="BF255" s="137">
        <f>$W255*AK255+$L255*Summary_LCIA!AB$32</f>
        <v>4.5356813628607849E-2</v>
      </c>
      <c r="BG255" s="137">
        <f>$W255*AL255+$L255*Summary_LCIA!AC$32</f>
        <v>2.2213843409126666E-5</v>
      </c>
      <c r="BH255" s="137">
        <f>$W255*AM255+$L255*Summary_LCIA!AD$32</f>
        <v>8.1716691050321838E-2</v>
      </c>
      <c r="BI255" s="137">
        <f>$W255*AN255+$L255*Summary_LCIA!AE$32</f>
        <v>0.25397570767148975</v>
      </c>
      <c r="BJ255" s="137">
        <f>$W255*AO255+$L255*Summary_LCIA!AF$32</f>
        <v>8.2603655797148928E-3</v>
      </c>
      <c r="BK255" s="137">
        <f>$W255*AP255+$L255*Summary_LCIA!AG$32</f>
        <v>3.9523264597148911E-3</v>
      </c>
      <c r="BL255" s="137">
        <f>$W255*AQ255+$L255*Summary_LCIA!AH$32</f>
        <v>0.58695305159027866</v>
      </c>
      <c r="BM255" s="137">
        <f>$W255*AR255+$L255*Summary_LCIA!AI$32</f>
        <v>0.21198179179322213</v>
      </c>
    </row>
    <row r="256" spans="1:65" x14ac:dyDescent="0.25">
      <c r="A256" s="149">
        <v>312</v>
      </c>
      <c r="B256" s="149">
        <v>43</v>
      </c>
      <c r="C256" s="61">
        <v>35.779589999999999</v>
      </c>
      <c r="D256" s="61">
        <v>-78.638178999999994</v>
      </c>
      <c r="E256" s="61" t="s">
        <v>265</v>
      </c>
      <c r="F256" s="149">
        <v>97</v>
      </c>
      <c r="G256" s="61" t="s">
        <v>286</v>
      </c>
      <c r="H256" s="61" t="s">
        <v>718</v>
      </c>
      <c r="I256" s="61">
        <v>35.880079000000002</v>
      </c>
      <c r="J256" s="61">
        <v>-78.787996000000007</v>
      </c>
      <c r="K256" s="61">
        <v>20.075432370000001</v>
      </c>
      <c r="L256" s="61">
        <v>23.661999999999999</v>
      </c>
      <c r="M256" s="61" t="s">
        <v>617</v>
      </c>
      <c r="N256" s="149">
        <v>42</v>
      </c>
      <c r="O256" s="149">
        <v>43</v>
      </c>
      <c r="P256" s="61" t="s">
        <v>565</v>
      </c>
      <c r="Q256" s="61" t="s">
        <v>555</v>
      </c>
      <c r="R256" s="61">
        <v>40.6895314</v>
      </c>
      <c r="S256" s="61">
        <v>-74.174462399999996</v>
      </c>
      <c r="T256" s="61">
        <v>791.2</v>
      </c>
      <c r="U256" s="61" t="s">
        <v>617</v>
      </c>
      <c r="V256" s="61" t="s">
        <v>569</v>
      </c>
      <c r="W256" s="61" cm="1">
        <f t="array" ref="W256">getDistance(I256,J256,R256,S256)*SA!$B$12</f>
        <v>669.93316919902929</v>
      </c>
      <c r="Y256" s="137">
        <f>Transportation_LCIA!C$61*($W256^Transportation_LCIA!C$60)+Transportation_LCIA!C$62</f>
        <v>0.28489604921911549</v>
      </c>
      <c r="Z256" s="137">
        <f>Transportation_LCIA!D$61*($W256^Transportation_LCIA!D$60)+Transportation_LCIA!D$62</f>
        <v>3.0024512292346759</v>
      </c>
      <c r="AA256" s="137">
        <f>Transportation_LCIA!E$61*($W256^Transportation_LCIA!E$60)+Transportation_LCIA!E$62</f>
        <v>1.5245738877866799E-3</v>
      </c>
      <c r="AB256" s="137">
        <f>Transportation_LCIA!F$61*($W256^Transportation_LCIA!F$60)+Transportation_LCIA!F$62</f>
        <v>0.28489604921911549</v>
      </c>
      <c r="AC256" s="137">
        <f>Transportation_LCIA!G$61*($W256^Transportation_LCIA!G$60)+Transportation_LCIA!G$62</f>
        <v>7.0029150522824407E-2</v>
      </c>
      <c r="AD256" s="137">
        <f>Transportation_LCIA!H$61*($W256^Transportation_LCIA!H$60)+Transportation_LCIA!H$62</f>
        <v>3.6082682366747387E-4</v>
      </c>
      <c r="AE256" s="137">
        <f>Transportation_LCIA!I$61*($W256^Transportation_LCIA!I$60)+Transportation_LCIA!I$62</f>
        <v>8.0527423160557447E-6</v>
      </c>
      <c r="AF256" s="137">
        <f>Transportation_LCIA!J$61*($W256^Transportation_LCIA!J$60)+Transportation_LCIA!J$62</f>
        <v>1.1955109219563853E-2</v>
      </c>
      <c r="AG256" s="137">
        <f>Transportation_LCIA!K$61*($W256^Transportation_LCIA!K$60)+Transportation_LCIA!K$62</f>
        <v>1.5185676166608942E-2</v>
      </c>
      <c r="AH256" s="137">
        <f>Transportation_LCIA!L$61*($W256^Transportation_LCIA!L$60)+Transportation_LCIA!L$62</f>
        <v>3.1731319427279008E-4</v>
      </c>
      <c r="AI256" s="137">
        <f>Transportation_LCIA!M$61*($W256^Transportation_LCIA!M$60)+Transportation_LCIA!M$62</f>
        <v>2.899966191747527E-4</v>
      </c>
      <c r="AJ256" s="137">
        <f>Transportation_LCIA!N$61*($W256^Transportation_LCIA!N$60)+Transportation_LCIA!N$62</f>
        <v>1.2721936476231921E-3</v>
      </c>
      <c r="AK256" s="137">
        <f>Transportation_LCIA!O$61*($W256^Transportation_LCIA!O$60)+Transportation_LCIA!O$62</f>
        <v>7.4082522641283401E-5</v>
      </c>
      <c r="AL256" s="137">
        <f>Transportation_LCIA!P$61*($W256^Transportation_LCIA!P$60)+Transportation_LCIA!P$62</f>
        <v>3.5782391792209214E-8</v>
      </c>
      <c r="AM256" s="137">
        <f>Transportation_LCIA!Q$61*($W256^Transportation_LCIA!Q$60)+Transportation_LCIA!Q$62</f>
        <v>1.2526821242063582E-4</v>
      </c>
      <c r="AN256" s="137">
        <f>Transportation_LCIA!R$61*($W256^Transportation_LCIA!R$60)+Transportation_LCIA!R$62</f>
        <v>3.8701614200798296E-4</v>
      </c>
      <c r="AO256" s="137">
        <f>Transportation_LCIA!S$61*($W256^Transportation_LCIA!S$60)+Transportation_LCIA!S$62</f>
        <v>5.7494943543369821E-6</v>
      </c>
      <c r="AP256" s="137">
        <f>Transportation_LCIA!T$61*($W256^Transportation_LCIA!T$60)+Transportation_LCIA!T$62</f>
        <v>5.7494943543369821E-6</v>
      </c>
      <c r="AQ256" s="137">
        <f>Transportation_LCIA!U$61*($W256^Transportation_LCIA!U$60)+Transportation_LCIA!U$62</f>
        <v>8.3577673663843112E-4</v>
      </c>
      <c r="AR256" s="137">
        <f>Transportation_LCIA!V$61*($W256^Transportation_LCIA!V$60)+Transportation_LCIA!V$62</f>
        <v>3.2593120598682981E-4</v>
      </c>
      <c r="AT256" s="137">
        <f>$W256*Y256+$L256*Summary_LCIA!H$32</f>
        <v>198.90166074564468</v>
      </c>
      <c r="AU256" s="137">
        <f>$W256*Z256+$L256*Summary_LCIA!Q$32</f>
        <v>2128.7117327123538</v>
      </c>
      <c r="AV256" s="137">
        <f>$W256*AA256+$L256*Summary_LCIA!R$32</f>
        <v>1.1459572435230156</v>
      </c>
      <c r="AW256" s="137">
        <f>$W256*AB256+$L256*Summary_LCIA!S$32</f>
        <v>198.79707470564469</v>
      </c>
      <c r="AX256" s="137">
        <f>$W256*AC256+$L256*Summary_LCIA!T$32</f>
        <v>49.515304546071611</v>
      </c>
      <c r="AY256" s="137">
        <f>$W256*AD256+$L256*Summary_LCIA!U$32</f>
        <v>0.66561092551157008</v>
      </c>
      <c r="AZ256" s="137">
        <f>$W256*AE256+$L256*Summary_LCIA!V$32</f>
        <v>6.5249199625383569E-3</v>
      </c>
      <c r="BA256" s="137">
        <f>$W256*AF256+$L256*Summary_LCIA!W$32</f>
        <v>9.8304120095829468</v>
      </c>
      <c r="BB256" s="137">
        <f>$W256*AG256+$L256*Summary_LCIA!X$32</f>
        <v>10.712408520726495</v>
      </c>
      <c r="BC256" s="137">
        <f>$W256*AH256+$L256*Summary_LCIA!Y$32</f>
        <v>0.58127991786783761</v>
      </c>
      <c r="BD256" s="137">
        <f>$W256*AI256+$L256*Summary_LCIA!Z$32</f>
        <v>0.19524870909874606</v>
      </c>
      <c r="BE256" s="137">
        <f>$W256*AJ256+$L256*Summary_LCIA!AA$32</f>
        <v>1.404934394187078</v>
      </c>
      <c r="BF256" s="137">
        <f>$W256*AK256+$L256*Summary_LCIA!AB$32</f>
        <v>4.9113963349333836E-2</v>
      </c>
      <c r="BG256" s="137">
        <f>$W256*AL256+$L256*Summary_LCIA!AC$32</f>
        <v>2.512850434287605E-5</v>
      </c>
      <c r="BH256" s="137">
        <f>$W256*AM256+$L256*Summary_LCIA!AD$32</f>
        <v>9.3647359026853755E-2</v>
      </c>
      <c r="BI256" s="137">
        <f>$W256*AN256+$L256*Summary_LCIA!AE$32</f>
        <v>0.28024255860658959</v>
      </c>
      <c r="BJ256" s="137">
        <f>$W256*AO256+$L256*Summary_LCIA!AF$32</f>
        <v>2.3856105014092903E-2</v>
      </c>
      <c r="BK256" s="137">
        <f>$W256*AP256+$L256*Summary_LCIA!AG$32</f>
        <v>5.0624432040929012E-3</v>
      </c>
      <c r="BL256" s="137">
        <f>$W256*AQ256+$L256*Summary_LCIA!AH$32</f>
        <v>0.76585914111900655</v>
      </c>
      <c r="BM256" s="137">
        <f>$W256*AR256+$L256*Summary_LCIA!AI$32</f>
        <v>0.24039446186761854</v>
      </c>
    </row>
    <row r="257" spans="1:65" x14ac:dyDescent="0.25">
      <c r="A257" s="149">
        <v>313</v>
      </c>
      <c r="B257" s="149">
        <v>43</v>
      </c>
      <c r="C257" s="61">
        <v>35.779589999999999</v>
      </c>
      <c r="D257" s="61">
        <v>-78.638178999999994</v>
      </c>
      <c r="E257" s="61" t="s">
        <v>265</v>
      </c>
      <c r="F257" s="149">
        <v>97</v>
      </c>
      <c r="G257" s="61" t="s">
        <v>286</v>
      </c>
      <c r="H257" s="61" t="s">
        <v>718</v>
      </c>
      <c r="I257" s="61">
        <v>35.880079000000002</v>
      </c>
      <c r="J257" s="61">
        <v>-78.787996000000007</v>
      </c>
      <c r="K257" s="61">
        <v>20.075432370000001</v>
      </c>
      <c r="L257" s="61">
        <v>23.661999999999999</v>
      </c>
      <c r="M257" s="61" t="s">
        <v>617</v>
      </c>
      <c r="N257" s="149">
        <v>42</v>
      </c>
      <c r="O257" s="149">
        <v>43</v>
      </c>
      <c r="P257" s="61" t="s">
        <v>565</v>
      </c>
      <c r="Q257" s="61" t="s">
        <v>555</v>
      </c>
      <c r="R257" s="61">
        <v>40.6895314</v>
      </c>
      <c r="S257" s="61">
        <v>-74.174462399999996</v>
      </c>
      <c r="T257" s="61">
        <v>791.2</v>
      </c>
      <c r="U257" s="61" t="s">
        <v>617</v>
      </c>
      <c r="V257" s="61" t="s">
        <v>569</v>
      </c>
      <c r="W257" s="61" cm="1">
        <f t="array" ref="W257">getDistance(I257,J257,R257,S257)*SA!$B$12</f>
        <v>669.93316919902929</v>
      </c>
      <c r="Y257" s="137">
        <f>Transportation_LCIA!C$61*($W257^Transportation_LCIA!C$60)+Transportation_LCIA!C$62</f>
        <v>0.28489604921911549</v>
      </c>
      <c r="Z257" s="137">
        <f>Transportation_LCIA!D$61*($W257^Transportation_LCIA!D$60)+Transportation_LCIA!D$62</f>
        <v>3.0024512292346759</v>
      </c>
      <c r="AA257" s="137">
        <f>Transportation_LCIA!E$61*($W257^Transportation_LCIA!E$60)+Transportation_LCIA!E$62</f>
        <v>1.5245738877866799E-3</v>
      </c>
      <c r="AB257" s="137">
        <f>Transportation_LCIA!F$61*($W257^Transportation_LCIA!F$60)+Transportation_LCIA!F$62</f>
        <v>0.28489604921911549</v>
      </c>
      <c r="AC257" s="137">
        <f>Transportation_LCIA!G$61*($W257^Transportation_LCIA!G$60)+Transportation_LCIA!G$62</f>
        <v>7.0029150522824407E-2</v>
      </c>
      <c r="AD257" s="137">
        <f>Transportation_LCIA!H$61*($W257^Transportation_LCIA!H$60)+Transportation_LCIA!H$62</f>
        <v>3.6082682366747387E-4</v>
      </c>
      <c r="AE257" s="137">
        <f>Transportation_LCIA!I$61*($W257^Transportation_LCIA!I$60)+Transportation_LCIA!I$62</f>
        <v>8.0527423160557447E-6</v>
      </c>
      <c r="AF257" s="137">
        <f>Transportation_LCIA!J$61*($W257^Transportation_LCIA!J$60)+Transportation_LCIA!J$62</f>
        <v>1.1955109219563853E-2</v>
      </c>
      <c r="AG257" s="137">
        <f>Transportation_LCIA!K$61*($W257^Transportation_LCIA!K$60)+Transportation_LCIA!K$62</f>
        <v>1.5185676166608942E-2</v>
      </c>
      <c r="AH257" s="137">
        <f>Transportation_LCIA!L$61*($W257^Transportation_LCIA!L$60)+Transportation_LCIA!L$62</f>
        <v>3.1731319427279008E-4</v>
      </c>
      <c r="AI257" s="137">
        <f>Transportation_LCIA!M$61*($W257^Transportation_LCIA!M$60)+Transportation_LCIA!M$62</f>
        <v>2.899966191747527E-4</v>
      </c>
      <c r="AJ257" s="137">
        <f>Transportation_LCIA!N$61*($W257^Transportation_LCIA!N$60)+Transportation_LCIA!N$62</f>
        <v>1.2721936476231921E-3</v>
      </c>
      <c r="AK257" s="137">
        <f>Transportation_LCIA!O$61*($W257^Transportation_LCIA!O$60)+Transportation_LCIA!O$62</f>
        <v>7.4082522641283401E-5</v>
      </c>
      <c r="AL257" s="137">
        <f>Transportation_LCIA!P$61*($W257^Transportation_LCIA!P$60)+Transportation_LCIA!P$62</f>
        <v>3.5782391792209214E-8</v>
      </c>
      <c r="AM257" s="137">
        <f>Transportation_LCIA!Q$61*($W257^Transportation_LCIA!Q$60)+Transportation_LCIA!Q$62</f>
        <v>1.2526821242063582E-4</v>
      </c>
      <c r="AN257" s="137">
        <f>Transportation_LCIA!R$61*($W257^Transportation_LCIA!R$60)+Transportation_LCIA!R$62</f>
        <v>3.8701614200798296E-4</v>
      </c>
      <c r="AO257" s="137">
        <f>Transportation_LCIA!S$61*($W257^Transportation_LCIA!S$60)+Transportation_LCIA!S$62</f>
        <v>5.7494943543369821E-6</v>
      </c>
      <c r="AP257" s="137">
        <f>Transportation_LCIA!T$61*($W257^Transportation_LCIA!T$60)+Transportation_LCIA!T$62</f>
        <v>5.7494943543369821E-6</v>
      </c>
      <c r="AQ257" s="137">
        <f>Transportation_LCIA!U$61*($W257^Transportation_LCIA!U$60)+Transportation_LCIA!U$62</f>
        <v>8.3577673663843112E-4</v>
      </c>
      <c r="AR257" s="137">
        <f>Transportation_LCIA!V$61*($W257^Transportation_LCIA!V$60)+Transportation_LCIA!V$62</f>
        <v>3.2593120598682981E-4</v>
      </c>
      <c r="AT257" s="137">
        <f>$W257*Y257+$L257*Summary_LCIA!H$32</f>
        <v>198.90166074564468</v>
      </c>
      <c r="AU257" s="137">
        <f>$W257*Z257+$L257*Summary_LCIA!Q$32</f>
        <v>2128.7117327123538</v>
      </c>
      <c r="AV257" s="137">
        <f>$W257*AA257+$L257*Summary_LCIA!R$32</f>
        <v>1.1459572435230156</v>
      </c>
      <c r="AW257" s="137">
        <f>$W257*AB257+$L257*Summary_LCIA!S$32</f>
        <v>198.79707470564469</v>
      </c>
      <c r="AX257" s="137">
        <f>$W257*AC257+$L257*Summary_LCIA!T$32</f>
        <v>49.515304546071611</v>
      </c>
      <c r="AY257" s="137">
        <f>$W257*AD257+$L257*Summary_LCIA!U$32</f>
        <v>0.66561092551157008</v>
      </c>
      <c r="AZ257" s="137">
        <f>$W257*AE257+$L257*Summary_LCIA!V$32</f>
        <v>6.5249199625383569E-3</v>
      </c>
      <c r="BA257" s="137">
        <f>$W257*AF257+$L257*Summary_LCIA!W$32</f>
        <v>9.8304120095829468</v>
      </c>
      <c r="BB257" s="137">
        <f>$W257*AG257+$L257*Summary_LCIA!X$32</f>
        <v>10.712408520726495</v>
      </c>
      <c r="BC257" s="137">
        <f>$W257*AH257+$L257*Summary_LCIA!Y$32</f>
        <v>0.58127991786783761</v>
      </c>
      <c r="BD257" s="137">
        <f>$W257*AI257+$L257*Summary_LCIA!Z$32</f>
        <v>0.19524870909874606</v>
      </c>
      <c r="BE257" s="137">
        <f>$W257*AJ257+$L257*Summary_LCIA!AA$32</f>
        <v>1.404934394187078</v>
      </c>
      <c r="BF257" s="137">
        <f>$W257*AK257+$L257*Summary_LCIA!AB$32</f>
        <v>4.9113963349333836E-2</v>
      </c>
      <c r="BG257" s="137">
        <f>$W257*AL257+$L257*Summary_LCIA!AC$32</f>
        <v>2.512850434287605E-5</v>
      </c>
      <c r="BH257" s="137">
        <f>$W257*AM257+$L257*Summary_LCIA!AD$32</f>
        <v>9.3647359026853755E-2</v>
      </c>
      <c r="BI257" s="137">
        <f>$W257*AN257+$L257*Summary_LCIA!AE$32</f>
        <v>0.28024255860658959</v>
      </c>
      <c r="BJ257" s="137">
        <f>$W257*AO257+$L257*Summary_LCIA!AF$32</f>
        <v>2.3856105014092903E-2</v>
      </c>
      <c r="BK257" s="137">
        <f>$W257*AP257+$L257*Summary_LCIA!AG$32</f>
        <v>5.0624432040929012E-3</v>
      </c>
      <c r="BL257" s="137">
        <f>$W257*AQ257+$L257*Summary_LCIA!AH$32</f>
        <v>0.76585914111900655</v>
      </c>
      <c r="BM257" s="137">
        <f>$W257*AR257+$L257*Summary_LCIA!AI$32</f>
        <v>0.24039446186761854</v>
      </c>
    </row>
    <row r="258" spans="1:65" x14ac:dyDescent="0.25">
      <c r="A258" s="149">
        <v>314</v>
      </c>
      <c r="B258" s="149">
        <v>43</v>
      </c>
      <c r="C258" s="61">
        <v>35.779589999999999</v>
      </c>
      <c r="D258" s="61">
        <v>-78.638178999999994</v>
      </c>
      <c r="E258" s="61" t="s">
        <v>265</v>
      </c>
      <c r="F258" s="149">
        <v>97</v>
      </c>
      <c r="G258" s="61" t="s">
        <v>286</v>
      </c>
      <c r="H258" s="61" t="s">
        <v>718</v>
      </c>
      <c r="I258" s="61">
        <v>35.880079000000002</v>
      </c>
      <c r="J258" s="61">
        <v>-78.787996000000007</v>
      </c>
      <c r="K258" s="61">
        <v>20.075432370000001</v>
      </c>
      <c r="L258" s="61">
        <v>23.661999999999999</v>
      </c>
      <c r="M258" s="61" t="s">
        <v>617</v>
      </c>
      <c r="N258" s="149">
        <v>42</v>
      </c>
      <c r="O258" s="149">
        <v>43</v>
      </c>
      <c r="P258" s="61" t="s">
        <v>565</v>
      </c>
      <c r="Q258" s="61" t="s">
        <v>555</v>
      </c>
      <c r="R258" s="61">
        <v>40.6895314</v>
      </c>
      <c r="S258" s="61">
        <v>-74.174462399999996</v>
      </c>
      <c r="T258" s="61">
        <v>791.2</v>
      </c>
      <c r="U258" s="61" t="s">
        <v>617</v>
      </c>
      <c r="V258" s="61" t="s">
        <v>569</v>
      </c>
      <c r="W258" s="61" cm="1">
        <f t="array" ref="W258">getDistance(I258,J258,R258,S258)*SA!$B$12</f>
        <v>669.93316919902929</v>
      </c>
      <c r="Y258" s="137">
        <f>Transportation_LCIA!C$61*($W258^Transportation_LCIA!C$60)+Transportation_LCIA!C$62</f>
        <v>0.28489604921911549</v>
      </c>
      <c r="Z258" s="137">
        <f>Transportation_LCIA!D$61*($W258^Transportation_LCIA!D$60)+Transportation_LCIA!D$62</f>
        <v>3.0024512292346759</v>
      </c>
      <c r="AA258" s="137">
        <f>Transportation_LCIA!E$61*($W258^Transportation_LCIA!E$60)+Transportation_LCIA!E$62</f>
        <v>1.5245738877866799E-3</v>
      </c>
      <c r="AB258" s="137">
        <f>Transportation_LCIA!F$61*($W258^Transportation_LCIA!F$60)+Transportation_LCIA!F$62</f>
        <v>0.28489604921911549</v>
      </c>
      <c r="AC258" s="137">
        <f>Transportation_LCIA!G$61*($W258^Transportation_LCIA!G$60)+Transportation_LCIA!G$62</f>
        <v>7.0029150522824407E-2</v>
      </c>
      <c r="AD258" s="137">
        <f>Transportation_LCIA!H$61*($W258^Transportation_LCIA!H$60)+Transportation_LCIA!H$62</f>
        <v>3.6082682366747387E-4</v>
      </c>
      <c r="AE258" s="137">
        <f>Transportation_LCIA!I$61*($W258^Transportation_LCIA!I$60)+Transportation_LCIA!I$62</f>
        <v>8.0527423160557447E-6</v>
      </c>
      <c r="AF258" s="137">
        <f>Transportation_LCIA!J$61*($W258^Transportation_LCIA!J$60)+Transportation_LCIA!J$62</f>
        <v>1.1955109219563853E-2</v>
      </c>
      <c r="AG258" s="137">
        <f>Transportation_LCIA!K$61*($W258^Transportation_LCIA!K$60)+Transportation_LCIA!K$62</f>
        <v>1.5185676166608942E-2</v>
      </c>
      <c r="AH258" s="137">
        <f>Transportation_LCIA!L$61*($W258^Transportation_LCIA!L$60)+Transportation_LCIA!L$62</f>
        <v>3.1731319427279008E-4</v>
      </c>
      <c r="AI258" s="137">
        <f>Transportation_LCIA!M$61*($W258^Transportation_LCIA!M$60)+Transportation_LCIA!M$62</f>
        <v>2.899966191747527E-4</v>
      </c>
      <c r="AJ258" s="137">
        <f>Transportation_LCIA!N$61*($W258^Transportation_LCIA!N$60)+Transportation_LCIA!N$62</f>
        <v>1.2721936476231921E-3</v>
      </c>
      <c r="AK258" s="137">
        <f>Transportation_LCIA!O$61*($W258^Transportation_LCIA!O$60)+Transportation_LCIA!O$62</f>
        <v>7.4082522641283401E-5</v>
      </c>
      <c r="AL258" s="137">
        <f>Transportation_LCIA!P$61*($W258^Transportation_LCIA!P$60)+Transportation_LCIA!P$62</f>
        <v>3.5782391792209214E-8</v>
      </c>
      <c r="AM258" s="137">
        <f>Transportation_LCIA!Q$61*($W258^Transportation_LCIA!Q$60)+Transportation_LCIA!Q$62</f>
        <v>1.2526821242063582E-4</v>
      </c>
      <c r="AN258" s="137">
        <f>Transportation_LCIA!R$61*($W258^Transportation_LCIA!R$60)+Transportation_LCIA!R$62</f>
        <v>3.8701614200798296E-4</v>
      </c>
      <c r="AO258" s="137">
        <f>Transportation_LCIA!S$61*($W258^Transportation_LCIA!S$60)+Transportation_LCIA!S$62</f>
        <v>5.7494943543369821E-6</v>
      </c>
      <c r="AP258" s="137">
        <f>Transportation_LCIA!T$61*($W258^Transportation_LCIA!T$60)+Transportation_LCIA!T$62</f>
        <v>5.7494943543369821E-6</v>
      </c>
      <c r="AQ258" s="137">
        <f>Transportation_LCIA!U$61*($W258^Transportation_LCIA!U$60)+Transportation_LCIA!U$62</f>
        <v>8.3577673663843112E-4</v>
      </c>
      <c r="AR258" s="137">
        <f>Transportation_LCIA!V$61*($W258^Transportation_LCIA!V$60)+Transportation_LCIA!V$62</f>
        <v>3.2593120598682981E-4</v>
      </c>
      <c r="AT258" s="137">
        <f>$W258*Y258+$L258*Summary_LCIA!H$32</f>
        <v>198.90166074564468</v>
      </c>
      <c r="AU258" s="137">
        <f>$W258*Z258+$L258*Summary_LCIA!Q$32</f>
        <v>2128.7117327123538</v>
      </c>
      <c r="AV258" s="137">
        <f>$W258*AA258+$L258*Summary_LCIA!R$32</f>
        <v>1.1459572435230156</v>
      </c>
      <c r="AW258" s="137">
        <f>$W258*AB258+$L258*Summary_LCIA!S$32</f>
        <v>198.79707470564469</v>
      </c>
      <c r="AX258" s="137">
        <f>$W258*AC258+$L258*Summary_LCIA!T$32</f>
        <v>49.515304546071611</v>
      </c>
      <c r="AY258" s="137">
        <f>$W258*AD258+$L258*Summary_LCIA!U$32</f>
        <v>0.66561092551157008</v>
      </c>
      <c r="AZ258" s="137">
        <f>$W258*AE258+$L258*Summary_LCIA!V$32</f>
        <v>6.5249199625383569E-3</v>
      </c>
      <c r="BA258" s="137">
        <f>$W258*AF258+$L258*Summary_LCIA!W$32</f>
        <v>9.8304120095829468</v>
      </c>
      <c r="BB258" s="137">
        <f>$W258*AG258+$L258*Summary_LCIA!X$32</f>
        <v>10.712408520726495</v>
      </c>
      <c r="BC258" s="137">
        <f>$W258*AH258+$L258*Summary_LCIA!Y$32</f>
        <v>0.58127991786783761</v>
      </c>
      <c r="BD258" s="137">
        <f>$W258*AI258+$L258*Summary_LCIA!Z$32</f>
        <v>0.19524870909874606</v>
      </c>
      <c r="BE258" s="137">
        <f>$W258*AJ258+$L258*Summary_LCIA!AA$32</f>
        <v>1.404934394187078</v>
      </c>
      <c r="BF258" s="137">
        <f>$W258*AK258+$L258*Summary_LCIA!AB$32</f>
        <v>4.9113963349333836E-2</v>
      </c>
      <c r="BG258" s="137">
        <f>$W258*AL258+$L258*Summary_LCIA!AC$32</f>
        <v>2.512850434287605E-5</v>
      </c>
      <c r="BH258" s="137">
        <f>$W258*AM258+$L258*Summary_LCIA!AD$32</f>
        <v>9.3647359026853755E-2</v>
      </c>
      <c r="BI258" s="137">
        <f>$W258*AN258+$L258*Summary_LCIA!AE$32</f>
        <v>0.28024255860658959</v>
      </c>
      <c r="BJ258" s="137">
        <f>$W258*AO258+$L258*Summary_LCIA!AF$32</f>
        <v>2.3856105014092903E-2</v>
      </c>
      <c r="BK258" s="137">
        <f>$W258*AP258+$L258*Summary_LCIA!AG$32</f>
        <v>5.0624432040929012E-3</v>
      </c>
      <c r="BL258" s="137">
        <f>$W258*AQ258+$L258*Summary_LCIA!AH$32</f>
        <v>0.76585914111900655</v>
      </c>
      <c r="BM258" s="137">
        <f>$W258*AR258+$L258*Summary_LCIA!AI$32</f>
        <v>0.24039446186761854</v>
      </c>
    </row>
    <row r="259" spans="1:65" x14ac:dyDescent="0.25">
      <c r="A259" s="149">
        <v>310</v>
      </c>
      <c r="B259" s="149">
        <v>43</v>
      </c>
      <c r="C259" s="61">
        <v>35.785055</v>
      </c>
      <c r="D259" s="61">
        <v>-78.681944999999999</v>
      </c>
      <c r="E259" s="61" t="s">
        <v>265</v>
      </c>
      <c r="F259" s="149">
        <v>97</v>
      </c>
      <c r="G259" s="61" t="s">
        <v>286</v>
      </c>
      <c r="H259" s="61" t="s">
        <v>718</v>
      </c>
      <c r="I259" s="61">
        <v>35.880079000000002</v>
      </c>
      <c r="J259" s="61">
        <v>-78.787996000000007</v>
      </c>
      <c r="K259" s="61">
        <v>17.190043989999999</v>
      </c>
      <c r="L259" s="61">
        <v>19.38</v>
      </c>
      <c r="M259" s="61" t="s">
        <v>617</v>
      </c>
      <c r="N259" s="149">
        <v>42</v>
      </c>
      <c r="O259" s="149">
        <v>43</v>
      </c>
      <c r="P259" s="61" t="s">
        <v>565</v>
      </c>
      <c r="Q259" s="61" t="s">
        <v>555</v>
      </c>
      <c r="R259" s="61">
        <v>40.6895314</v>
      </c>
      <c r="S259" s="61">
        <v>-74.174462399999996</v>
      </c>
      <c r="T259" s="61">
        <v>795.82799999999997</v>
      </c>
      <c r="U259" s="61" t="s">
        <v>617</v>
      </c>
      <c r="V259" s="61" t="s">
        <v>569</v>
      </c>
      <c r="W259" s="61" cm="1">
        <f t="array" ref="W259">getDistance(I259,J259,R259,S259)*SA!$B$12</f>
        <v>669.93316919902929</v>
      </c>
      <c r="Y259" s="137">
        <f>Transportation_LCIA!C$61*($W259^Transportation_LCIA!C$60)+Transportation_LCIA!C$62</f>
        <v>0.28489604921911549</v>
      </c>
      <c r="Z259" s="137">
        <f>Transportation_LCIA!D$61*($W259^Transportation_LCIA!D$60)+Transportation_LCIA!D$62</f>
        <v>3.0024512292346759</v>
      </c>
      <c r="AA259" s="137">
        <f>Transportation_LCIA!E$61*($W259^Transportation_LCIA!E$60)+Transportation_LCIA!E$62</f>
        <v>1.5245738877866799E-3</v>
      </c>
      <c r="AB259" s="137">
        <f>Transportation_LCIA!F$61*($W259^Transportation_LCIA!F$60)+Transportation_LCIA!F$62</f>
        <v>0.28489604921911549</v>
      </c>
      <c r="AC259" s="137">
        <f>Transportation_LCIA!G$61*($W259^Transportation_LCIA!G$60)+Transportation_LCIA!G$62</f>
        <v>7.0029150522824407E-2</v>
      </c>
      <c r="AD259" s="137">
        <f>Transportation_LCIA!H$61*($W259^Transportation_LCIA!H$60)+Transportation_LCIA!H$62</f>
        <v>3.6082682366747387E-4</v>
      </c>
      <c r="AE259" s="137">
        <f>Transportation_LCIA!I$61*($W259^Transportation_LCIA!I$60)+Transportation_LCIA!I$62</f>
        <v>8.0527423160557447E-6</v>
      </c>
      <c r="AF259" s="137">
        <f>Transportation_LCIA!J$61*($W259^Transportation_LCIA!J$60)+Transportation_LCIA!J$62</f>
        <v>1.1955109219563853E-2</v>
      </c>
      <c r="AG259" s="137">
        <f>Transportation_LCIA!K$61*($W259^Transportation_LCIA!K$60)+Transportation_LCIA!K$62</f>
        <v>1.5185676166608942E-2</v>
      </c>
      <c r="AH259" s="137">
        <f>Transportation_LCIA!L$61*($W259^Transportation_LCIA!L$60)+Transportation_LCIA!L$62</f>
        <v>3.1731319427279008E-4</v>
      </c>
      <c r="AI259" s="137">
        <f>Transportation_LCIA!M$61*($W259^Transportation_LCIA!M$60)+Transportation_LCIA!M$62</f>
        <v>2.899966191747527E-4</v>
      </c>
      <c r="AJ259" s="137">
        <f>Transportation_LCIA!N$61*($W259^Transportation_LCIA!N$60)+Transportation_LCIA!N$62</f>
        <v>1.2721936476231921E-3</v>
      </c>
      <c r="AK259" s="137">
        <f>Transportation_LCIA!O$61*($W259^Transportation_LCIA!O$60)+Transportation_LCIA!O$62</f>
        <v>7.4082522641283401E-5</v>
      </c>
      <c r="AL259" s="137">
        <f>Transportation_LCIA!P$61*($W259^Transportation_LCIA!P$60)+Transportation_LCIA!P$62</f>
        <v>3.5782391792209214E-8</v>
      </c>
      <c r="AM259" s="137">
        <f>Transportation_LCIA!Q$61*($W259^Transportation_LCIA!Q$60)+Transportation_LCIA!Q$62</f>
        <v>1.2526821242063582E-4</v>
      </c>
      <c r="AN259" s="137">
        <f>Transportation_LCIA!R$61*($W259^Transportation_LCIA!R$60)+Transportation_LCIA!R$62</f>
        <v>3.8701614200798296E-4</v>
      </c>
      <c r="AO259" s="137">
        <f>Transportation_LCIA!S$61*($W259^Transportation_LCIA!S$60)+Transportation_LCIA!S$62</f>
        <v>5.7494943543369821E-6</v>
      </c>
      <c r="AP259" s="137">
        <f>Transportation_LCIA!T$61*($W259^Transportation_LCIA!T$60)+Transportation_LCIA!T$62</f>
        <v>5.7494943543369821E-6</v>
      </c>
      <c r="AQ259" s="137">
        <f>Transportation_LCIA!U$61*($W259^Transportation_LCIA!U$60)+Transportation_LCIA!U$62</f>
        <v>8.3577673663843112E-4</v>
      </c>
      <c r="AR259" s="137">
        <f>Transportation_LCIA!V$61*($W259^Transportation_LCIA!V$60)+Transportation_LCIA!V$62</f>
        <v>3.2593120598682981E-4</v>
      </c>
      <c r="AT259" s="137">
        <f>$W259*Y259+$L259*Summary_LCIA!H$32</f>
        <v>197.44663714564467</v>
      </c>
      <c r="AU259" s="137">
        <f>$W259*Z259+$L259*Summary_LCIA!Q$32</f>
        <v>2107.4899247582475</v>
      </c>
      <c r="AV259" s="137">
        <f>$W259*AA259+$L259*Summary_LCIA!R$32</f>
        <v>1.1234099443230157</v>
      </c>
      <c r="AW259" s="137">
        <f>$W259*AB259+$L259*Summary_LCIA!S$32</f>
        <v>197.36097754564469</v>
      </c>
      <c r="AX259" s="137">
        <f>$W259*AC259+$L259*Summary_LCIA!T$32</f>
        <v>49.044712746071617</v>
      </c>
      <c r="AY259" s="137">
        <f>$W259*AD259+$L259*Summary_LCIA!U$32</f>
        <v>0.58890317751157006</v>
      </c>
      <c r="AZ259" s="137">
        <f>$W259*AE259+$L259*Summary_LCIA!V$32</f>
        <v>6.3204073605383562E-3</v>
      </c>
      <c r="BA259" s="137">
        <f>$W259*AF259+$L259*Summary_LCIA!W$32</f>
        <v>9.5008221875829459</v>
      </c>
      <c r="BB259" s="137">
        <f>$W259*AG259+$L259*Summary_LCIA!X$32</f>
        <v>10.614864560726495</v>
      </c>
      <c r="BC259" s="137">
        <f>$W259*AH259+$L259*Summary_LCIA!Y$32</f>
        <v>0.51455779386783751</v>
      </c>
      <c r="BD259" s="137">
        <f>$W259*AI259+$L259*Summary_LCIA!Z$32</f>
        <v>0.19507310856074606</v>
      </c>
      <c r="BE259" s="137">
        <f>$W259*AJ259+$L259*Summary_LCIA!AA$32</f>
        <v>1.304924002187078</v>
      </c>
      <c r="BF259" s="137">
        <f>$W259*AK259+$L259*Summary_LCIA!AB$32</f>
        <v>4.9207409435333832E-2</v>
      </c>
      <c r="BG259" s="137">
        <f>$W259*AL259+$L259*Summary_LCIA!AC$32</f>
        <v>2.491918305487605E-5</v>
      </c>
      <c r="BH259" s="137">
        <f>$W259*AM259+$L259*Summary_LCIA!AD$32</f>
        <v>9.1887285746853758E-2</v>
      </c>
      <c r="BI259" s="137">
        <f>$W259*AN259+$L259*Summary_LCIA!AE$32</f>
        <v>0.27644814994658962</v>
      </c>
      <c r="BJ259" s="137">
        <f>$W259*AO259+$L259*Summary_LCIA!AF$32</f>
        <v>2.0236016574092901E-2</v>
      </c>
      <c r="BK259" s="137">
        <f>$W259*AP259+$L259*Summary_LCIA!AG$32</f>
        <v>4.8433546740929015E-3</v>
      </c>
      <c r="BL259" s="137">
        <f>$W259*AQ259+$L259*Summary_LCIA!AH$32</f>
        <v>0.72859032591900652</v>
      </c>
      <c r="BM259" s="137">
        <f>$W259*AR259+$L259*Summary_LCIA!AI$32</f>
        <v>0.23640556476761854</v>
      </c>
    </row>
    <row r="260" spans="1:65" x14ac:dyDescent="0.25">
      <c r="A260" s="149">
        <v>311</v>
      </c>
      <c r="B260" s="149">
        <v>43</v>
      </c>
      <c r="C260" s="61">
        <v>35.785055</v>
      </c>
      <c r="D260" s="61">
        <v>-78.681944999999999</v>
      </c>
      <c r="E260" s="61" t="s">
        <v>265</v>
      </c>
      <c r="F260" s="149">
        <v>97</v>
      </c>
      <c r="G260" s="61" t="s">
        <v>286</v>
      </c>
      <c r="H260" s="61" t="s">
        <v>718</v>
      </c>
      <c r="I260" s="61">
        <v>35.880079000000002</v>
      </c>
      <c r="J260" s="61">
        <v>-78.787996000000007</v>
      </c>
      <c r="K260" s="61">
        <v>17.190043989999999</v>
      </c>
      <c r="L260" s="61">
        <v>19.38</v>
      </c>
      <c r="M260" s="61" t="s">
        <v>617</v>
      </c>
      <c r="N260" s="149">
        <v>42</v>
      </c>
      <c r="O260" s="149">
        <v>43</v>
      </c>
      <c r="P260" s="61" t="s">
        <v>565</v>
      </c>
      <c r="Q260" s="61" t="s">
        <v>555</v>
      </c>
      <c r="R260" s="61">
        <v>40.6895314</v>
      </c>
      <c r="S260" s="61">
        <v>-74.174462399999996</v>
      </c>
      <c r="T260" s="61">
        <v>795.82799999999997</v>
      </c>
      <c r="U260" s="61" t="s">
        <v>617</v>
      </c>
      <c r="V260" s="61" t="s">
        <v>569</v>
      </c>
      <c r="W260" s="61" cm="1">
        <f t="array" ref="W260">getDistance(I260,J260,R260,S260)*SA!$B$12</f>
        <v>669.93316919902929</v>
      </c>
      <c r="Y260" s="137">
        <f>Transportation_LCIA!C$61*($W260^Transportation_LCIA!C$60)+Transportation_LCIA!C$62</f>
        <v>0.28489604921911549</v>
      </c>
      <c r="Z260" s="137">
        <f>Transportation_LCIA!D$61*($W260^Transportation_LCIA!D$60)+Transportation_LCIA!D$62</f>
        <v>3.0024512292346759</v>
      </c>
      <c r="AA260" s="137">
        <f>Transportation_LCIA!E$61*($W260^Transportation_LCIA!E$60)+Transportation_LCIA!E$62</f>
        <v>1.5245738877866799E-3</v>
      </c>
      <c r="AB260" s="137">
        <f>Transportation_LCIA!F$61*($W260^Transportation_LCIA!F$60)+Transportation_LCIA!F$62</f>
        <v>0.28489604921911549</v>
      </c>
      <c r="AC260" s="137">
        <f>Transportation_LCIA!G$61*($W260^Transportation_LCIA!G$60)+Transportation_LCIA!G$62</f>
        <v>7.0029150522824407E-2</v>
      </c>
      <c r="AD260" s="137">
        <f>Transportation_LCIA!H$61*($W260^Transportation_LCIA!H$60)+Transportation_LCIA!H$62</f>
        <v>3.6082682366747387E-4</v>
      </c>
      <c r="AE260" s="137">
        <f>Transportation_LCIA!I$61*($W260^Transportation_LCIA!I$60)+Transportation_LCIA!I$62</f>
        <v>8.0527423160557447E-6</v>
      </c>
      <c r="AF260" s="137">
        <f>Transportation_LCIA!J$61*($W260^Transportation_LCIA!J$60)+Transportation_LCIA!J$62</f>
        <v>1.1955109219563853E-2</v>
      </c>
      <c r="AG260" s="137">
        <f>Transportation_LCIA!K$61*($W260^Transportation_LCIA!K$60)+Transportation_LCIA!K$62</f>
        <v>1.5185676166608942E-2</v>
      </c>
      <c r="AH260" s="137">
        <f>Transportation_LCIA!L$61*($W260^Transportation_LCIA!L$60)+Transportation_LCIA!L$62</f>
        <v>3.1731319427279008E-4</v>
      </c>
      <c r="AI260" s="137">
        <f>Transportation_LCIA!M$61*($W260^Transportation_LCIA!M$60)+Transportation_LCIA!M$62</f>
        <v>2.899966191747527E-4</v>
      </c>
      <c r="AJ260" s="137">
        <f>Transportation_LCIA!N$61*($W260^Transportation_LCIA!N$60)+Transportation_LCIA!N$62</f>
        <v>1.2721936476231921E-3</v>
      </c>
      <c r="AK260" s="137">
        <f>Transportation_LCIA!O$61*($W260^Transportation_LCIA!O$60)+Transportation_LCIA!O$62</f>
        <v>7.4082522641283401E-5</v>
      </c>
      <c r="AL260" s="137">
        <f>Transportation_LCIA!P$61*($W260^Transportation_LCIA!P$60)+Transportation_LCIA!P$62</f>
        <v>3.5782391792209214E-8</v>
      </c>
      <c r="AM260" s="137">
        <f>Transportation_LCIA!Q$61*($W260^Transportation_LCIA!Q$60)+Transportation_LCIA!Q$62</f>
        <v>1.2526821242063582E-4</v>
      </c>
      <c r="AN260" s="137">
        <f>Transportation_LCIA!R$61*($W260^Transportation_LCIA!R$60)+Transportation_LCIA!R$62</f>
        <v>3.8701614200798296E-4</v>
      </c>
      <c r="AO260" s="137">
        <f>Transportation_LCIA!S$61*($W260^Transportation_LCIA!S$60)+Transportation_LCIA!S$62</f>
        <v>5.7494943543369821E-6</v>
      </c>
      <c r="AP260" s="137">
        <f>Transportation_LCIA!T$61*($W260^Transportation_LCIA!T$60)+Transportation_LCIA!T$62</f>
        <v>5.7494943543369821E-6</v>
      </c>
      <c r="AQ260" s="137">
        <f>Transportation_LCIA!U$61*($W260^Transportation_LCIA!U$60)+Transportation_LCIA!U$62</f>
        <v>8.3577673663843112E-4</v>
      </c>
      <c r="AR260" s="137">
        <f>Transportation_LCIA!V$61*($W260^Transportation_LCIA!V$60)+Transportation_LCIA!V$62</f>
        <v>3.2593120598682981E-4</v>
      </c>
      <c r="AT260" s="137">
        <f>$W260*Y260+$L260*Summary_LCIA!H$32</f>
        <v>197.44663714564467</v>
      </c>
      <c r="AU260" s="137">
        <f>$W260*Z260+$L260*Summary_LCIA!Q$32</f>
        <v>2107.4899247582475</v>
      </c>
      <c r="AV260" s="137">
        <f>$W260*AA260+$L260*Summary_LCIA!R$32</f>
        <v>1.1234099443230157</v>
      </c>
      <c r="AW260" s="137">
        <f>$W260*AB260+$L260*Summary_LCIA!S$32</f>
        <v>197.36097754564469</v>
      </c>
      <c r="AX260" s="137">
        <f>$W260*AC260+$L260*Summary_LCIA!T$32</f>
        <v>49.044712746071617</v>
      </c>
      <c r="AY260" s="137">
        <f>$W260*AD260+$L260*Summary_LCIA!U$32</f>
        <v>0.58890317751157006</v>
      </c>
      <c r="AZ260" s="137">
        <f>$W260*AE260+$L260*Summary_LCIA!V$32</f>
        <v>6.3204073605383562E-3</v>
      </c>
      <c r="BA260" s="137">
        <f>$W260*AF260+$L260*Summary_LCIA!W$32</f>
        <v>9.5008221875829459</v>
      </c>
      <c r="BB260" s="137">
        <f>$W260*AG260+$L260*Summary_LCIA!X$32</f>
        <v>10.614864560726495</v>
      </c>
      <c r="BC260" s="137">
        <f>$W260*AH260+$L260*Summary_LCIA!Y$32</f>
        <v>0.51455779386783751</v>
      </c>
      <c r="BD260" s="137">
        <f>$W260*AI260+$L260*Summary_LCIA!Z$32</f>
        <v>0.19507310856074606</v>
      </c>
      <c r="BE260" s="137">
        <f>$W260*AJ260+$L260*Summary_LCIA!AA$32</f>
        <v>1.304924002187078</v>
      </c>
      <c r="BF260" s="137">
        <f>$W260*AK260+$L260*Summary_LCIA!AB$32</f>
        <v>4.9207409435333832E-2</v>
      </c>
      <c r="BG260" s="137">
        <f>$W260*AL260+$L260*Summary_LCIA!AC$32</f>
        <v>2.491918305487605E-5</v>
      </c>
      <c r="BH260" s="137">
        <f>$W260*AM260+$L260*Summary_LCIA!AD$32</f>
        <v>9.1887285746853758E-2</v>
      </c>
      <c r="BI260" s="137">
        <f>$W260*AN260+$L260*Summary_LCIA!AE$32</f>
        <v>0.27644814994658962</v>
      </c>
      <c r="BJ260" s="137">
        <f>$W260*AO260+$L260*Summary_LCIA!AF$32</f>
        <v>2.0236016574092901E-2</v>
      </c>
      <c r="BK260" s="137">
        <f>$W260*AP260+$L260*Summary_LCIA!AG$32</f>
        <v>4.8433546740929015E-3</v>
      </c>
      <c r="BL260" s="137">
        <f>$W260*AQ260+$L260*Summary_LCIA!AH$32</f>
        <v>0.72859032591900652</v>
      </c>
      <c r="BM260" s="137">
        <f>$W260*AR260+$L260*Summary_LCIA!AI$32</f>
        <v>0.23640556476761854</v>
      </c>
    </row>
    <row r="261" spans="1:65" x14ac:dyDescent="0.25">
      <c r="A261" s="149">
        <v>48</v>
      </c>
      <c r="B261" s="149">
        <v>43</v>
      </c>
      <c r="C261" s="61">
        <v>43.472979000000002</v>
      </c>
      <c r="D261" s="61">
        <v>-80.540103000000002</v>
      </c>
      <c r="E261" s="61" t="s">
        <v>456</v>
      </c>
      <c r="F261" s="149">
        <v>139</v>
      </c>
      <c r="G261" s="61" t="s">
        <v>651</v>
      </c>
      <c r="H261" s="61" t="s">
        <v>652</v>
      </c>
      <c r="I261" s="61">
        <v>43.163226000000002</v>
      </c>
      <c r="J261" s="61">
        <v>-79.926573000000005</v>
      </c>
      <c r="K261" s="61">
        <v>67.656494089999995</v>
      </c>
      <c r="L261" s="61">
        <v>75.798000000000002</v>
      </c>
      <c r="M261" s="61" t="s">
        <v>617</v>
      </c>
      <c r="N261" s="149">
        <v>42</v>
      </c>
      <c r="O261" s="149">
        <v>43</v>
      </c>
      <c r="P261" s="61" t="s">
        <v>565</v>
      </c>
      <c r="Q261" s="61" t="s">
        <v>555</v>
      </c>
      <c r="R261" s="61">
        <v>40.6895314</v>
      </c>
      <c r="S261" s="61">
        <v>-74.174462399999996</v>
      </c>
      <c r="T261" s="61">
        <v>803.12199999999996</v>
      </c>
      <c r="U261" s="61" t="s">
        <v>617</v>
      </c>
      <c r="V261" s="61" t="s">
        <v>569</v>
      </c>
      <c r="W261" s="61" cm="1">
        <f t="array" ref="W261">getDistance(I261,J261,R261,S261)*SA!$B$12</f>
        <v>550.64226474870293</v>
      </c>
      <c r="Y261" s="137">
        <f>Transportation_LCIA!C$61*($W261^Transportation_LCIA!C$60)+Transportation_LCIA!C$62</f>
        <v>0.31582951834006651</v>
      </c>
      <c r="Z261" s="137">
        <f>Transportation_LCIA!D$61*($W261^Transportation_LCIA!D$60)+Transportation_LCIA!D$62</f>
        <v>3.3713172365095883</v>
      </c>
      <c r="AA261" s="137">
        <f>Transportation_LCIA!E$61*($W261^Transportation_LCIA!E$60)+Transportation_LCIA!E$62</f>
        <v>1.7685729557347799E-3</v>
      </c>
      <c r="AB261" s="137">
        <f>Transportation_LCIA!F$61*($W261^Transportation_LCIA!F$60)+Transportation_LCIA!F$62</f>
        <v>0.31582951834006651</v>
      </c>
      <c r="AC261" s="137">
        <f>Transportation_LCIA!G$61*($W261^Transportation_LCIA!G$60)+Transportation_LCIA!G$62</f>
        <v>7.8552412903394125E-2</v>
      </c>
      <c r="AD261" s="137">
        <f>Transportation_LCIA!H$61*($W261^Transportation_LCIA!H$60)+Transportation_LCIA!H$62</f>
        <v>4.1512367250764272E-4</v>
      </c>
      <c r="AE261" s="137">
        <f>Transportation_LCIA!I$61*($W261^Transportation_LCIA!I$60)+Transportation_LCIA!I$62</f>
        <v>9.4462147912456424E-6</v>
      </c>
      <c r="AF261" s="137">
        <f>Transportation_LCIA!J$61*($W261^Transportation_LCIA!J$60)+Transportation_LCIA!J$62</f>
        <v>1.4056688928173458E-2</v>
      </c>
      <c r="AG261" s="137">
        <f>Transportation_LCIA!K$61*($W261^Transportation_LCIA!K$60)+Transportation_LCIA!K$62</f>
        <v>1.7197090281413016E-2</v>
      </c>
      <c r="AH261" s="137">
        <f>Transportation_LCIA!L$61*($W261^Transportation_LCIA!L$60)+Transportation_LCIA!L$62</f>
        <v>3.6750532561619483E-4</v>
      </c>
      <c r="AI261" s="137">
        <f>Transportation_LCIA!M$61*($W261^Transportation_LCIA!M$60)+Transportation_LCIA!M$62</f>
        <v>3.1998211847213403E-4</v>
      </c>
      <c r="AJ261" s="137">
        <f>Transportation_LCIA!N$61*($W261^Transportation_LCIA!N$60)+Transportation_LCIA!N$62</f>
        <v>1.4544689729375109E-3</v>
      </c>
      <c r="AK261" s="137">
        <f>Transportation_LCIA!O$61*($W261^Transportation_LCIA!O$60)+Transportation_LCIA!O$62</f>
        <v>8.3144956399104825E-5</v>
      </c>
      <c r="AL261" s="137">
        <f>Transportation_LCIA!P$61*($W261^Transportation_LCIA!P$60)+Transportation_LCIA!P$62</f>
        <v>4.0132527605336209E-8</v>
      </c>
      <c r="AM261" s="137">
        <f>Transportation_LCIA!Q$61*($W261^Transportation_LCIA!Q$60)+Transportation_LCIA!Q$62</f>
        <v>1.4495151463949962E-4</v>
      </c>
      <c r="AN261" s="137">
        <f>Transportation_LCIA!R$61*($W261^Transportation_LCIA!R$60)+Transportation_LCIA!R$62</f>
        <v>4.5386843385268231E-4</v>
      </c>
      <c r="AO261" s="137">
        <f>Transportation_LCIA!S$61*($W261^Transportation_LCIA!S$60)+Transportation_LCIA!S$62</f>
        <v>6.6974509072146396E-6</v>
      </c>
      <c r="AP261" s="137">
        <f>Transportation_LCIA!T$61*($W261^Transportation_LCIA!T$60)+Transportation_LCIA!T$62</f>
        <v>6.6974509072146396E-6</v>
      </c>
      <c r="AQ261" s="137">
        <f>Transportation_LCIA!U$61*($W261^Transportation_LCIA!U$60)+Transportation_LCIA!U$62</f>
        <v>9.829225379503466E-4</v>
      </c>
      <c r="AR261" s="137">
        <f>Transportation_LCIA!V$61*($W261^Transportation_LCIA!V$60)+Transportation_LCIA!V$62</f>
        <v>3.7733288747447675E-4</v>
      </c>
      <c r="AT261" s="137">
        <f>$W261*Y261+$L261*Summary_LCIA!H$32</f>
        <v>199.66524165326624</v>
      </c>
      <c r="AU261" s="137">
        <f>$W261*Z261+$L261*Summary_LCIA!Q$32</f>
        <v>2232.0484690185122</v>
      </c>
      <c r="AV261" s="137">
        <f>$W261*AA261+$L261*Summary_LCIA!R$32</f>
        <v>1.3729729665191068</v>
      </c>
      <c r="AW261" s="137">
        <f>$W261*AB261+$L261*Summary_LCIA!S$32</f>
        <v>199.33021449326623</v>
      </c>
      <c r="AX261" s="137">
        <f>$W261*AC261+$L261*Summary_LCIA!T$32</f>
        <v>51.584478742600176</v>
      </c>
      <c r="AY261" s="137">
        <f>$W261*AD261+$L261*Summary_LCIA!U$32</f>
        <v>1.5864300111804071</v>
      </c>
      <c r="AZ261" s="137">
        <f>$W261*AE261+$L261*Summary_LCIA!V$32</f>
        <v>8.8216733839541969E-3</v>
      </c>
      <c r="BA261" s="137">
        <f>$W261*AF261+$L261*Summary_LCIA!W$32</f>
        <v>13.574454884277451</v>
      </c>
      <c r="BB261" s="137">
        <f>$W261*AG261+$L261*Summary_LCIA!X$32</f>
        <v>11.196123179645173</v>
      </c>
      <c r="BC261" s="137">
        <f>$W261*AH261+$L261*Summary_LCIA!Y$32</f>
        <v>1.3834484008045111</v>
      </c>
      <c r="BD261" s="137">
        <f>$W261*AI261+$L261*Summary_LCIA!Z$32</f>
        <v>0.17930407857658365</v>
      </c>
      <c r="BE261" s="137">
        <f>$W261*AJ261+$L261*Summary_LCIA!AA$32</f>
        <v>2.571230177265031</v>
      </c>
      <c r="BF261" s="137">
        <f>$W261*AK261+$L261*Summary_LCIA!AB$32</f>
        <v>4.4128987340035238E-2</v>
      </c>
      <c r="BG261" s="137">
        <f>$W261*AL261+$L261*Summary_LCIA!AC$32</f>
        <v>2.5803975322692171E-5</v>
      </c>
      <c r="BH261" s="137">
        <f>$W261*AM261+$L261*Summary_LCIA!AD$32</f>
        <v>0.11097244021984884</v>
      </c>
      <c r="BI261" s="137">
        <f>$W261*AN261+$L261*Summary_LCIA!AE$32</f>
        <v>0.31708602405458786</v>
      </c>
      <c r="BJ261" s="137">
        <f>$W261*AO261+$L261*Summary_LCIA!AF$32</f>
        <v>6.7769044695591932E-2</v>
      </c>
      <c r="BK261" s="137">
        <f>$W261*AP261+$L261*Summary_LCIA!AG$32</f>
        <v>7.5661042055919243E-3</v>
      </c>
      <c r="BL261" s="137">
        <f>$W261*AQ261+$L261*Summary_LCIA!AH$32</f>
        <v>1.2009541651695219</v>
      </c>
      <c r="BM261" s="137">
        <f>$W261*AR261+$L261*Summary_LCIA!AI$32</f>
        <v>0.27838506262311336</v>
      </c>
    </row>
    <row r="262" spans="1:65" x14ac:dyDescent="0.25">
      <c r="A262" s="149">
        <v>27</v>
      </c>
      <c r="B262" s="149">
        <v>6</v>
      </c>
      <c r="C262" s="61">
        <v>40.817663000000003</v>
      </c>
      <c r="D262" s="61">
        <v>-96.700036999999995</v>
      </c>
      <c r="E262" s="61" t="s">
        <v>265</v>
      </c>
      <c r="F262" s="149">
        <v>121</v>
      </c>
      <c r="G262" s="61" t="s">
        <v>287</v>
      </c>
      <c r="H262" s="61" t="s">
        <v>290</v>
      </c>
      <c r="I262" s="61">
        <v>41.301873000000001</v>
      </c>
      <c r="J262" s="61">
        <v>-95.893741000000006</v>
      </c>
      <c r="K262" s="61">
        <v>107.8641052</v>
      </c>
      <c r="L262" s="61">
        <v>100.626</v>
      </c>
      <c r="M262" s="61" t="s">
        <v>617</v>
      </c>
      <c r="N262" s="149">
        <v>5</v>
      </c>
      <c r="O262" s="149">
        <v>6</v>
      </c>
      <c r="P262" s="61" t="s">
        <v>565</v>
      </c>
      <c r="Q262" s="61" t="s">
        <v>564</v>
      </c>
      <c r="R262" s="61">
        <v>41.98028</v>
      </c>
      <c r="S262" s="61">
        <v>-87.908997900000003</v>
      </c>
      <c r="T262" s="61">
        <v>836.69100000000003</v>
      </c>
      <c r="U262" s="61" t="s">
        <v>617</v>
      </c>
      <c r="V262" s="61" t="s">
        <v>569</v>
      </c>
      <c r="W262" s="61" cm="1">
        <f t="array" ref="W262">getDistance(I262,J262,R262,S262)*SA!$B$12</f>
        <v>669.26749072627524</v>
      </c>
      <c r="Y262" s="137">
        <f>Transportation_LCIA!C$61*($W262^Transportation_LCIA!C$60)+Transportation_LCIA!C$62</f>
        <v>0.28504039049137575</v>
      </c>
      <c r="Z262" s="137">
        <f>Transportation_LCIA!D$61*($W262^Transportation_LCIA!D$60)+Transportation_LCIA!D$62</f>
        <v>3.0041649469674656</v>
      </c>
      <c r="AA262" s="137">
        <f>Transportation_LCIA!E$61*($W262^Transportation_LCIA!E$60)+Transportation_LCIA!E$62</f>
        <v>1.525706097435096E-3</v>
      </c>
      <c r="AB262" s="137">
        <f>Transportation_LCIA!F$61*($W262^Transportation_LCIA!F$60)+Transportation_LCIA!F$62</f>
        <v>0.28504039049137575</v>
      </c>
      <c r="AC262" s="137">
        <f>Transportation_LCIA!G$61*($W262^Transportation_LCIA!G$60)+Transportation_LCIA!G$62</f>
        <v>7.0068758885027033E-2</v>
      </c>
      <c r="AD262" s="137">
        <f>Transportation_LCIA!H$61*($W262^Transportation_LCIA!H$60)+Transportation_LCIA!H$62</f>
        <v>3.6107816379944279E-4</v>
      </c>
      <c r="AE262" s="137">
        <f>Transportation_LCIA!I$61*($W262^Transportation_LCIA!I$60)+Transportation_LCIA!I$62</f>
        <v>8.0591675714929097E-6</v>
      </c>
      <c r="AF262" s="137">
        <f>Transportation_LCIA!J$61*($W262^Transportation_LCIA!J$60)+Transportation_LCIA!J$62</f>
        <v>1.1964774828826928E-2</v>
      </c>
      <c r="AG262" s="137">
        <f>Transportation_LCIA!K$61*($W262^Transportation_LCIA!K$60)+Transportation_LCIA!K$62</f>
        <v>1.5195002827775642E-2</v>
      </c>
      <c r="AH262" s="137">
        <f>Transportation_LCIA!L$61*($W262^Transportation_LCIA!L$60)+Transportation_LCIA!L$62</f>
        <v>3.1754527567534542E-4</v>
      </c>
      <c r="AI262" s="137">
        <f>Transportation_LCIA!M$61*($W262^Transportation_LCIA!M$60)+Transportation_LCIA!M$62</f>
        <v>2.9013540374786794E-4</v>
      </c>
      <c r="AJ262" s="137">
        <f>Transportation_LCIA!N$61*($W262^Transportation_LCIA!N$60)+Transportation_LCIA!N$62</f>
        <v>1.2730376617698762E-3</v>
      </c>
      <c r="AK262" s="137">
        <f>Transportation_LCIA!O$61*($W262^Transportation_LCIA!O$60)+Transportation_LCIA!O$62</f>
        <v>7.4124631538667591E-5</v>
      </c>
      <c r="AL262" s="137">
        <f>Transportation_LCIA!P$61*($W262^Transportation_LCIA!P$60)+Transportation_LCIA!P$62</f>
        <v>3.5802611393451831E-8</v>
      </c>
      <c r="AM262" s="137">
        <f>Transportation_LCIA!Q$61*($W262^Transportation_LCIA!Q$60)+Transportation_LCIA!Q$62</f>
        <v>1.2535917081520263E-4</v>
      </c>
      <c r="AN262" s="137">
        <f>Transportation_LCIA!R$61*($W262^Transportation_LCIA!R$60)+Transportation_LCIA!R$62</f>
        <v>3.8732436662072014E-4</v>
      </c>
      <c r="AO262" s="137">
        <f>Transportation_LCIA!S$61*($W262^Transportation_LCIA!S$60)+Transportation_LCIA!S$62</f>
        <v>5.7538657024500324E-6</v>
      </c>
      <c r="AP262" s="137">
        <f>Transportation_LCIA!T$61*($W262^Transportation_LCIA!T$60)+Transportation_LCIA!T$62</f>
        <v>5.7538657024500324E-6</v>
      </c>
      <c r="AQ262" s="137">
        <f>Transportation_LCIA!U$61*($W262^Transportation_LCIA!U$60)+Transportation_LCIA!U$62</f>
        <v>8.3645465454341723E-4</v>
      </c>
      <c r="AR262" s="137">
        <f>Transportation_LCIA!V$61*($W262^Transportation_LCIA!V$60)+Transportation_LCIA!V$62</f>
        <v>3.2616855470196486E-4</v>
      </c>
      <c r="AT262" s="137">
        <f>$W262*Y262+$L262*Summary_LCIA!H$32</f>
        <v>224.9609816998007</v>
      </c>
      <c r="AU262" s="137">
        <f>$W262*Z262+$L262*Summary_LCIA!Q$32</f>
        <v>2509.2974666558075</v>
      </c>
      <c r="AV262" s="137">
        <f>$W262*AA262+$L262*Summary_LCIA!R$32</f>
        <v>1.5509617570161645</v>
      </c>
      <c r="AW262" s="137">
        <f>$W262*AB262+$L262*Summary_LCIA!S$32</f>
        <v>224.51621477980069</v>
      </c>
      <c r="AX262" s="137">
        <f>$W262*AC262+$L262*Summary_LCIA!T$32</f>
        <v>57.953539837286442</v>
      </c>
      <c r="AY262" s="137">
        <f>$W262*AD262+$L262*Summary_LCIA!U$32</f>
        <v>2.0442720406421042</v>
      </c>
      <c r="AZ262" s="137">
        <f>$W262*AE262+$L262*Summary_LCIA!V$32</f>
        <v>1.0199737243915629E-2</v>
      </c>
      <c r="BA262" s="137">
        <f>$W262*AF262+$L262*Summary_LCIA!W$32</f>
        <v>15.752918672793896</v>
      </c>
      <c r="BB262" s="137">
        <f>$W262*AG262+$L262*Summary_LCIA!X$32</f>
        <v>12.461781694124062</v>
      </c>
      <c r="BC262" s="137">
        <f>$W262*AH262+$L262*Summary_LCIA!Y$32</f>
        <v>1.7804770618432217</v>
      </c>
      <c r="BD262" s="137">
        <f>$W262*AI262+$L262*Summary_LCIA!Z$32</f>
        <v>0.19830476527119031</v>
      </c>
      <c r="BE262" s="137">
        <f>$W262*AJ262+$L262*Summary_LCIA!AA$32</f>
        <v>3.2022235774927696</v>
      </c>
      <c r="BF262" s="137">
        <f>$W262*AK262+$L262*Summary_LCIA!AB$32</f>
        <v>4.7413244952893778E-2</v>
      </c>
      <c r="BG262" s="137">
        <f>$W262*AL262+$L262*Summary_LCIA!AC$32</f>
        <v>2.8880525272743461E-5</v>
      </c>
      <c r="BH262" s="137">
        <f>$W262*AM262+$L262*Summary_LCIA!AD$32</f>
        <v>0.12526012873101716</v>
      </c>
      <c r="BI262" s="137">
        <f>$W262*AN262+$L262*Summary_LCIA!AE$32</f>
        <v>0.34839132432539327</v>
      </c>
      <c r="BJ262" s="137">
        <f>$W262*AO262+$L262*Summary_LCIA!AF$32</f>
        <v>8.8922108180654713E-2</v>
      </c>
      <c r="BK262" s="137">
        <f>$W262*AP262+$L262*Summary_LCIA!AG$32</f>
        <v>8.9994045506547101E-3</v>
      </c>
      <c r="BL262" s="137">
        <f>$W262*AQ262+$L262*Summary_LCIA!AH$32</f>
        <v>1.4356203613525864</v>
      </c>
      <c r="BM262" s="137">
        <f>$W262*AR262+$L262*Summary_LCIA!AI$32</f>
        <v>0.31203216045919985</v>
      </c>
    </row>
    <row r="263" spans="1:65" x14ac:dyDescent="0.25">
      <c r="A263" s="149">
        <v>28</v>
      </c>
      <c r="B263" s="149">
        <v>6</v>
      </c>
      <c r="C263" s="61">
        <v>40.817663000000003</v>
      </c>
      <c r="D263" s="61">
        <v>-96.700036999999995</v>
      </c>
      <c r="E263" s="61" t="s">
        <v>265</v>
      </c>
      <c r="F263" s="149">
        <v>121</v>
      </c>
      <c r="G263" s="61" t="s">
        <v>287</v>
      </c>
      <c r="H263" s="61" t="s">
        <v>290</v>
      </c>
      <c r="I263" s="61">
        <v>41.301873000000001</v>
      </c>
      <c r="J263" s="61">
        <v>-95.893741000000006</v>
      </c>
      <c r="K263" s="61">
        <v>107.8641052</v>
      </c>
      <c r="L263" s="61">
        <v>100.626</v>
      </c>
      <c r="M263" s="61" t="s">
        <v>617</v>
      </c>
      <c r="N263" s="149">
        <v>5</v>
      </c>
      <c r="O263" s="149">
        <v>6</v>
      </c>
      <c r="P263" s="61" t="s">
        <v>565</v>
      </c>
      <c r="Q263" s="61" t="s">
        <v>564</v>
      </c>
      <c r="R263" s="61">
        <v>41.98028</v>
      </c>
      <c r="S263" s="61">
        <v>-87.908997900000003</v>
      </c>
      <c r="T263" s="61">
        <v>836.69100000000003</v>
      </c>
      <c r="U263" s="61" t="s">
        <v>617</v>
      </c>
      <c r="V263" s="61" t="s">
        <v>569</v>
      </c>
      <c r="W263" s="61" cm="1">
        <f t="array" ref="W263">getDistance(I263,J263,R263,S263)*SA!$B$12</f>
        <v>669.26749072627524</v>
      </c>
      <c r="Y263" s="137">
        <f>Transportation_LCIA!C$61*($W263^Transportation_LCIA!C$60)+Transportation_LCIA!C$62</f>
        <v>0.28504039049137575</v>
      </c>
      <c r="Z263" s="137">
        <f>Transportation_LCIA!D$61*($W263^Transportation_LCIA!D$60)+Transportation_LCIA!D$62</f>
        <v>3.0041649469674656</v>
      </c>
      <c r="AA263" s="137">
        <f>Transportation_LCIA!E$61*($W263^Transportation_LCIA!E$60)+Transportation_LCIA!E$62</f>
        <v>1.525706097435096E-3</v>
      </c>
      <c r="AB263" s="137">
        <f>Transportation_LCIA!F$61*($W263^Transportation_LCIA!F$60)+Transportation_LCIA!F$62</f>
        <v>0.28504039049137575</v>
      </c>
      <c r="AC263" s="137">
        <f>Transportation_LCIA!G$61*($W263^Transportation_LCIA!G$60)+Transportation_LCIA!G$62</f>
        <v>7.0068758885027033E-2</v>
      </c>
      <c r="AD263" s="137">
        <f>Transportation_LCIA!H$61*($W263^Transportation_LCIA!H$60)+Transportation_LCIA!H$62</f>
        <v>3.6107816379944279E-4</v>
      </c>
      <c r="AE263" s="137">
        <f>Transportation_LCIA!I$61*($W263^Transportation_LCIA!I$60)+Transportation_LCIA!I$62</f>
        <v>8.0591675714929097E-6</v>
      </c>
      <c r="AF263" s="137">
        <f>Transportation_LCIA!J$61*($W263^Transportation_LCIA!J$60)+Transportation_LCIA!J$62</f>
        <v>1.1964774828826928E-2</v>
      </c>
      <c r="AG263" s="137">
        <f>Transportation_LCIA!K$61*($W263^Transportation_LCIA!K$60)+Transportation_LCIA!K$62</f>
        <v>1.5195002827775642E-2</v>
      </c>
      <c r="AH263" s="137">
        <f>Transportation_LCIA!L$61*($W263^Transportation_LCIA!L$60)+Transportation_LCIA!L$62</f>
        <v>3.1754527567534542E-4</v>
      </c>
      <c r="AI263" s="137">
        <f>Transportation_LCIA!M$61*($W263^Transportation_LCIA!M$60)+Transportation_LCIA!M$62</f>
        <v>2.9013540374786794E-4</v>
      </c>
      <c r="AJ263" s="137">
        <f>Transportation_LCIA!N$61*($W263^Transportation_LCIA!N$60)+Transportation_LCIA!N$62</f>
        <v>1.2730376617698762E-3</v>
      </c>
      <c r="AK263" s="137">
        <f>Transportation_LCIA!O$61*($W263^Transportation_LCIA!O$60)+Transportation_LCIA!O$62</f>
        <v>7.4124631538667591E-5</v>
      </c>
      <c r="AL263" s="137">
        <f>Transportation_LCIA!P$61*($W263^Transportation_LCIA!P$60)+Transportation_LCIA!P$62</f>
        <v>3.5802611393451831E-8</v>
      </c>
      <c r="AM263" s="137">
        <f>Transportation_LCIA!Q$61*($W263^Transportation_LCIA!Q$60)+Transportation_LCIA!Q$62</f>
        <v>1.2535917081520263E-4</v>
      </c>
      <c r="AN263" s="137">
        <f>Transportation_LCIA!R$61*($W263^Transportation_LCIA!R$60)+Transportation_LCIA!R$62</f>
        <v>3.8732436662072014E-4</v>
      </c>
      <c r="AO263" s="137">
        <f>Transportation_LCIA!S$61*($W263^Transportation_LCIA!S$60)+Transportation_LCIA!S$62</f>
        <v>5.7538657024500324E-6</v>
      </c>
      <c r="AP263" s="137">
        <f>Transportation_LCIA!T$61*($W263^Transportation_LCIA!T$60)+Transportation_LCIA!T$62</f>
        <v>5.7538657024500324E-6</v>
      </c>
      <c r="AQ263" s="137">
        <f>Transportation_LCIA!U$61*($W263^Transportation_LCIA!U$60)+Transportation_LCIA!U$62</f>
        <v>8.3645465454341723E-4</v>
      </c>
      <c r="AR263" s="137">
        <f>Transportation_LCIA!V$61*($W263^Transportation_LCIA!V$60)+Transportation_LCIA!V$62</f>
        <v>3.2616855470196486E-4</v>
      </c>
      <c r="AT263" s="137">
        <f>$W263*Y263+$L263*Summary_LCIA!H$32</f>
        <v>224.9609816998007</v>
      </c>
      <c r="AU263" s="137">
        <f>$W263*Z263+$L263*Summary_LCIA!Q$32</f>
        <v>2509.2974666558075</v>
      </c>
      <c r="AV263" s="137">
        <f>$W263*AA263+$L263*Summary_LCIA!R$32</f>
        <v>1.5509617570161645</v>
      </c>
      <c r="AW263" s="137">
        <f>$W263*AB263+$L263*Summary_LCIA!S$32</f>
        <v>224.51621477980069</v>
      </c>
      <c r="AX263" s="137">
        <f>$W263*AC263+$L263*Summary_LCIA!T$32</f>
        <v>57.953539837286442</v>
      </c>
      <c r="AY263" s="137">
        <f>$W263*AD263+$L263*Summary_LCIA!U$32</f>
        <v>2.0442720406421042</v>
      </c>
      <c r="AZ263" s="137">
        <f>$W263*AE263+$L263*Summary_LCIA!V$32</f>
        <v>1.0199737243915629E-2</v>
      </c>
      <c r="BA263" s="137">
        <f>$W263*AF263+$L263*Summary_LCIA!W$32</f>
        <v>15.752918672793896</v>
      </c>
      <c r="BB263" s="137">
        <f>$W263*AG263+$L263*Summary_LCIA!X$32</f>
        <v>12.461781694124062</v>
      </c>
      <c r="BC263" s="137">
        <f>$W263*AH263+$L263*Summary_LCIA!Y$32</f>
        <v>1.7804770618432217</v>
      </c>
      <c r="BD263" s="137">
        <f>$W263*AI263+$L263*Summary_LCIA!Z$32</f>
        <v>0.19830476527119031</v>
      </c>
      <c r="BE263" s="137">
        <f>$W263*AJ263+$L263*Summary_LCIA!AA$32</f>
        <v>3.2022235774927696</v>
      </c>
      <c r="BF263" s="137">
        <f>$W263*AK263+$L263*Summary_LCIA!AB$32</f>
        <v>4.7413244952893778E-2</v>
      </c>
      <c r="BG263" s="137">
        <f>$W263*AL263+$L263*Summary_LCIA!AC$32</f>
        <v>2.8880525272743461E-5</v>
      </c>
      <c r="BH263" s="137">
        <f>$W263*AM263+$L263*Summary_LCIA!AD$32</f>
        <v>0.12526012873101716</v>
      </c>
      <c r="BI263" s="137">
        <f>$W263*AN263+$L263*Summary_LCIA!AE$32</f>
        <v>0.34839132432539327</v>
      </c>
      <c r="BJ263" s="137">
        <f>$W263*AO263+$L263*Summary_LCIA!AF$32</f>
        <v>8.8922108180654713E-2</v>
      </c>
      <c r="BK263" s="137">
        <f>$W263*AP263+$L263*Summary_LCIA!AG$32</f>
        <v>8.9994045506547101E-3</v>
      </c>
      <c r="BL263" s="137">
        <f>$W263*AQ263+$L263*Summary_LCIA!AH$32</f>
        <v>1.4356203613525864</v>
      </c>
      <c r="BM263" s="137">
        <f>$W263*AR263+$L263*Summary_LCIA!AI$32</f>
        <v>0.31203216045919985</v>
      </c>
    </row>
    <row r="264" spans="1:65" x14ac:dyDescent="0.25">
      <c r="A264" s="149">
        <v>29</v>
      </c>
      <c r="B264" s="149">
        <v>6</v>
      </c>
      <c r="C264" s="61">
        <v>40.817663000000003</v>
      </c>
      <c r="D264" s="61">
        <v>-96.700036999999995</v>
      </c>
      <c r="E264" s="61" t="s">
        <v>265</v>
      </c>
      <c r="F264" s="149">
        <v>121</v>
      </c>
      <c r="G264" s="61" t="s">
        <v>287</v>
      </c>
      <c r="H264" s="61" t="s">
        <v>290</v>
      </c>
      <c r="I264" s="61">
        <v>41.301873000000001</v>
      </c>
      <c r="J264" s="61">
        <v>-95.893741000000006</v>
      </c>
      <c r="K264" s="61">
        <v>107.8641052</v>
      </c>
      <c r="L264" s="61">
        <v>100.626</v>
      </c>
      <c r="M264" s="61" t="s">
        <v>617</v>
      </c>
      <c r="N264" s="149">
        <v>5</v>
      </c>
      <c r="O264" s="149">
        <v>6</v>
      </c>
      <c r="P264" s="61" t="s">
        <v>565</v>
      </c>
      <c r="Q264" s="61" t="s">
        <v>564</v>
      </c>
      <c r="R264" s="61">
        <v>41.98028</v>
      </c>
      <c r="S264" s="61">
        <v>-87.908997900000003</v>
      </c>
      <c r="T264" s="61">
        <v>836.69100000000003</v>
      </c>
      <c r="U264" s="61" t="s">
        <v>617</v>
      </c>
      <c r="V264" s="61" t="s">
        <v>569</v>
      </c>
      <c r="W264" s="61" cm="1">
        <f t="array" ref="W264">getDistance(I264,J264,R264,S264)*SA!$B$12</f>
        <v>669.26749072627524</v>
      </c>
      <c r="Y264" s="137">
        <f>Transportation_LCIA!C$61*($W264^Transportation_LCIA!C$60)+Transportation_LCIA!C$62</f>
        <v>0.28504039049137575</v>
      </c>
      <c r="Z264" s="137">
        <f>Transportation_LCIA!D$61*($W264^Transportation_LCIA!D$60)+Transportation_LCIA!D$62</f>
        <v>3.0041649469674656</v>
      </c>
      <c r="AA264" s="137">
        <f>Transportation_LCIA!E$61*($W264^Transportation_LCIA!E$60)+Transportation_LCIA!E$62</f>
        <v>1.525706097435096E-3</v>
      </c>
      <c r="AB264" s="137">
        <f>Transportation_LCIA!F$61*($W264^Transportation_LCIA!F$60)+Transportation_LCIA!F$62</f>
        <v>0.28504039049137575</v>
      </c>
      <c r="AC264" s="137">
        <f>Transportation_LCIA!G$61*($W264^Transportation_LCIA!G$60)+Transportation_LCIA!G$62</f>
        <v>7.0068758885027033E-2</v>
      </c>
      <c r="AD264" s="137">
        <f>Transportation_LCIA!H$61*($W264^Transportation_LCIA!H$60)+Transportation_LCIA!H$62</f>
        <v>3.6107816379944279E-4</v>
      </c>
      <c r="AE264" s="137">
        <f>Transportation_LCIA!I$61*($W264^Transportation_LCIA!I$60)+Transportation_LCIA!I$62</f>
        <v>8.0591675714929097E-6</v>
      </c>
      <c r="AF264" s="137">
        <f>Transportation_LCIA!J$61*($W264^Transportation_LCIA!J$60)+Transportation_LCIA!J$62</f>
        <v>1.1964774828826928E-2</v>
      </c>
      <c r="AG264" s="137">
        <f>Transportation_LCIA!K$61*($W264^Transportation_LCIA!K$60)+Transportation_LCIA!K$62</f>
        <v>1.5195002827775642E-2</v>
      </c>
      <c r="AH264" s="137">
        <f>Transportation_LCIA!L$61*($W264^Transportation_LCIA!L$60)+Transportation_LCIA!L$62</f>
        <v>3.1754527567534542E-4</v>
      </c>
      <c r="AI264" s="137">
        <f>Transportation_LCIA!M$61*($W264^Transportation_LCIA!M$60)+Transportation_LCIA!M$62</f>
        <v>2.9013540374786794E-4</v>
      </c>
      <c r="AJ264" s="137">
        <f>Transportation_LCIA!N$61*($W264^Transportation_LCIA!N$60)+Transportation_LCIA!N$62</f>
        <v>1.2730376617698762E-3</v>
      </c>
      <c r="AK264" s="137">
        <f>Transportation_LCIA!O$61*($W264^Transportation_LCIA!O$60)+Transportation_LCIA!O$62</f>
        <v>7.4124631538667591E-5</v>
      </c>
      <c r="AL264" s="137">
        <f>Transportation_LCIA!P$61*($W264^Transportation_LCIA!P$60)+Transportation_LCIA!P$62</f>
        <v>3.5802611393451831E-8</v>
      </c>
      <c r="AM264" s="137">
        <f>Transportation_LCIA!Q$61*($W264^Transportation_LCIA!Q$60)+Transportation_LCIA!Q$62</f>
        <v>1.2535917081520263E-4</v>
      </c>
      <c r="AN264" s="137">
        <f>Transportation_LCIA!R$61*($W264^Transportation_LCIA!R$60)+Transportation_LCIA!R$62</f>
        <v>3.8732436662072014E-4</v>
      </c>
      <c r="AO264" s="137">
        <f>Transportation_LCIA!S$61*($W264^Transportation_LCIA!S$60)+Transportation_LCIA!S$62</f>
        <v>5.7538657024500324E-6</v>
      </c>
      <c r="AP264" s="137">
        <f>Transportation_LCIA!T$61*($W264^Transportation_LCIA!T$60)+Transportation_LCIA!T$62</f>
        <v>5.7538657024500324E-6</v>
      </c>
      <c r="AQ264" s="137">
        <f>Transportation_LCIA!U$61*($W264^Transportation_LCIA!U$60)+Transportation_LCIA!U$62</f>
        <v>8.3645465454341723E-4</v>
      </c>
      <c r="AR264" s="137">
        <f>Transportation_LCIA!V$61*($W264^Transportation_LCIA!V$60)+Transportation_LCIA!V$62</f>
        <v>3.2616855470196486E-4</v>
      </c>
      <c r="AT264" s="137">
        <f>$W264*Y264+$L264*Summary_LCIA!H$32</f>
        <v>224.9609816998007</v>
      </c>
      <c r="AU264" s="137">
        <f>$W264*Z264+$L264*Summary_LCIA!Q$32</f>
        <v>2509.2974666558075</v>
      </c>
      <c r="AV264" s="137">
        <f>$W264*AA264+$L264*Summary_LCIA!R$32</f>
        <v>1.5509617570161645</v>
      </c>
      <c r="AW264" s="137">
        <f>$W264*AB264+$L264*Summary_LCIA!S$32</f>
        <v>224.51621477980069</v>
      </c>
      <c r="AX264" s="137">
        <f>$W264*AC264+$L264*Summary_LCIA!T$32</f>
        <v>57.953539837286442</v>
      </c>
      <c r="AY264" s="137">
        <f>$W264*AD264+$L264*Summary_LCIA!U$32</f>
        <v>2.0442720406421042</v>
      </c>
      <c r="AZ264" s="137">
        <f>$W264*AE264+$L264*Summary_LCIA!V$32</f>
        <v>1.0199737243915629E-2</v>
      </c>
      <c r="BA264" s="137">
        <f>$W264*AF264+$L264*Summary_LCIA!W$32</f>
        <v>15.752918672793896</v>
      </c>
      <c r="BB264" s="137">
        <f>$W264*AG264+$L264*Summary_LCIA!X$32</f>
        <v>12.461781694124062</v>
      </c>
      <c r="BC264" s="137">
        <f>$W264*AH264+$L264*Summary_LCIA!Y$32</f>
        <v>1.7804770618432217</v>
      </c>
      <c r="BD264" s="137">
        <f>$W264*AI264+$L264*Summary_LCIA!Z$32</f>
        <v>0.19830476527119031</v>
      </c>
      <c r="BE264" s="137">
        <f>$W264*AJ264+$L264*Summary_LCIA!AA$32</f>
        <v>3.2022235774927696</v>
      </c>
      <c r="BF264" s="137">
        <f>$W264*AK264+$L264*Summary_LCIA!AB$32</f>
        <v>4.7413244952893778E-2</v>
      </c>
      <c r="BG264" s="137">
        <f>$W264*AL264+$L264*Summary_LCIA!AC$32</f>
        <v>2.8880525272743461E-5</v>
      </c>
      <c r="BH264" s="137">
        <f>$W264*AM264+$L264*Summary_LCIA!AD$32</f>
        <v>0.12526012873101716</v>
      </c>
      <c r="BI264" s="137">
        <f>$W264*AN264+$L264*Summary_LCIA!AE$32</f>
        <v>0.34839132432539327</v>
      </c>
      <c r="BJ264" s="137">
        <f>$W264*AO264+$L264*Summary_LCIA!AF$32</f>
        <v>8.8922108180654713E-2</v>
      </c>
      <c r="BK264" s="137">
        <f>$W264*AP264+$L264*Summary_LCIA!AG$32</f>
        <v>8.9994045506547101E-3</v>
      </c>
      <c r="BL264" s="137">
        <f>$W264*AQ264+$L264*Summary_LCIA!AH$32</f>
        <v>1.4356203613525864</v>
      </c>
      <c r="BM264" s="137">
        <f>$W264*AR264+$L264*Summary_LCIA!AI$32</f>
        <v>0.31203216045919985</v>
      </c>
    </row>
    <row r="265" spans="1:65" x14ac:dyDescent="0.25">
      <c r="A265" s="149">
        <v>30</v>
      </c>
      <c r="B265" s="149">
        <v>6</v>
      </c>
      <c r="C265" s="61">
        <v>40.817663000000003</v>
      </c>
      <c r="D265" s="61">
        <v>-96.700036999999995</v>
      </c>
      <c r="E265" s="61" t="s">
        <v>265</v>
      </c>
      <c r="F265" s="149">
        <v>121</v>
      </c>
      <c r="G265" s="61" t="s">
        <v>287</v>
      </c>
      <c r="H265" s="61" t="s">
        <v>290</v>
      </c>
      <c r="I265" s="61">
        <v>41.301873000000001</v>
      </c>
      <c r="J265" s="61">
        <v>-95.893741000000006</v>
      </c>
      <c r="K265" s="61">
        <v>107.8641052</v>
      </c>
      <c r="L265" s="61">
        <v>100.626</v>
      </c>
      <c r="M265" s="61" t="s">
        <v>617</v>
      </c>
      <c r="N265" s="149">
        <v>5</v>
      </c>
      <c r="O265" s="149">
        <v>6</v>
      </c>
      <c r="P265" s="61" t="s">
        <v>565</v>
      </c>
      <c r="Q265" s="61" t="s">
        <v>564</v>
      </c>
      <c r="R265" s="61">
        <v>41.98028</v>
      </c>
      <c r="S265" s="61">
        <v>-87.908997900000003</v>
      </c>
      <c r="T265" s="61">
        <v>836.69100000000003</v>
      </c>
      <c r="U265" s="61" t="s">
        <v>617</v>
      </c>
      <c r="V265" s="61" t="s">
        <v>569</v>
      </c>
      <c r="W265" s="61" cm="1">
        <f t="array" ref="W265">getDistance(I265,J265,R265,S265)*SA!$B$12</f>
        <v>669.26749072627524</v>
      </c>
      <c r="Y265" s="137">
        <f>Transportation_LCIA!C$61*($W265^Transportation_LCIA!C$60)+Transportation_LCIA!C$62</f>
        <v>0.28504039049137575</v>
      </c>
      <c r="Z265" s="137">
        <f>Transportation_LCIA!D$61*($W265^Transportation_LCIA!D$60)+Transportation_LCIA!D$62</f>
        <v>3.0041649469674656</v>
      </c>
      <c r="AA265" s="137">
        <f>Transportation_LCIA!E$61*($W265^Transportation_LCIA!E$60)+Transportation_LCIA!E$62</f>
        <v>1.525706097435096E-3</v>
      </c>
      <c r="AB265" s="137">
        <f>Transportation_LCIA!F$61*($W265^Transportation_LCIA!F$60)+Transportation_LCIA!F$62</f>
        <v>0.28504039049137575</v>
      </c>
      <c r="AC265" s="137">
        <f>Transportation_LCIA!G$61*($W265^Transportation_LCIA!G$60)+Transportation_LCIA!G$62</f>
        <v>7.0068758885027033E-2</v>
      </c>
      <c r="AD265" s="137">
        <f>Transportation_LCIA!H$61*($W265^Transportation_LCIA!H$60)+Transportation_LCIA!H$62</f>
        <v>3.6107816379944279E-4</v>
      </c>
      <c r="AE265" s="137">
        <f>Transportation_LCIA!I$61*($W265^Transportation_LCIA!I$60)+Transportation_LCIA!I$62</f>
        <v>8.0591675714929097E-6</v>
      </c>
      <c r="AF265" s="137">
        <f>Transportation_LCIA!J$61*($W265^Transportation_LCIA!J$60)+Transportation_LCIA!J$62</f>
        <v>1.1964774828826928E-2</v>
      </c>
      <c r="AG265" s="137">
        <f>Transportation_LCIA!K$61*($W265^Transportation_LCIA!K$60)+Transportation_LCIA!K$62</f>
        <v>1.5195002827775642E-2</v>
      </c>
      <c r="AH265" s="137">
        <f>Transportation_LCIA!L$61*($W265^Transportation_LCIA!L$60)+Transportation_LCIA!L$62</f>
        <v>3.1754527567534542E-4</v>
      </c>
      <c r="AI265" s="137">
        <f>Transportation_LCIA!M$61*($W265^Transportation_LCIA!M$60)+Transportation_LCIA!M$62</f>
        <v>2.9013540374786794E-4</v>
      </c>
      <c r="AJ265" s="137">
        <f>Transportation_LCIA!N$61*($W265^Transportation_LCIA!N$60)+Transportation_LCIA!N$62</f>
        <v>1.2730376617698762E-3</v>
      </c>
      <c r="AK265" s="137">
        <f>Transportation_LCIA!O$61*($W265^Transportation_LCIA!O$60)+Transportation_LCIA!O$62</f>
        <v>7.4124631538667591E-5</v>
      </c>
      <c r="AL265" s="137">
        <f>Transportation_LCIA!P$61*($W265^Transportation_LCIA!P$60)+Transportation_LCIA!P$62</f>
        <v>3.5802611393451831E-8</v>
      </c>
      <c r="AM265" s="137">
        <f>Transportation_LCIA!Q$61*($W265^Transportation_LCIA!Q$60)+Transportation_LCIA!Q$62</f>
        <v>1.2535917081520263E-4</v>
      </c>
      <c r="AN265" s="137">
        <f>Transportation_LCIA!R$61*($W265^Transportation_LCIA!R$60)+Transportation_LCIA!R$62</f>
        <v>3.8732436662072014E-4</v>
      </c>
      <c r="AO265" s="137">
        <f>Transportation_LCIA!S$61*($W265^Transportation_LCIA!S$60)+Transportation_LCIA!S$62</f>
        <v>5.7538657024500324E-6</v>
      </c>
      <c r="AP265" s="137">
        <f>Transportation_LCIA!T$61*($W265^Transportation_LCIA!T$60)+Transportation_LCIA!T$62</f>
        <v>5.7538657024500324E-6</v>
      </c>
      <c r="AQ265" s="137">
        <f>Transportation_LCIA!U$61*($W265^Transportation_LCIA!U$60)+Transportation_LCIA!U$62</f>
        <v>8.3645465454341723E-4</v>
      </c>
      <c r="AR265" s="137">
        <f>Transportation_LCIA!V$61*($W265^Transportation_LCIA!V$60)+Transportation_LCIA!V$62</f>
        <v>3.2616855470196486E-4</v>
      </c>
      <c r="AT265" s="137">
        <f>$W265*Y265+$L265*Summary_LCIA!H$32</f>
        <v>224.9609816998007</v>
      </c>
      <c r="AU265" s="137">
        <f>$W265*Z265+$L265*Summary_LCIA!Q$32</f>
        <v>2509.2974666558075</v>
      </c>
      <c r="AV265" s="137">
        <f>$W265*AA265+$L265*Summary_LCIA!R$32</f>
        <v>1.5509617570161645</v>
      </c>
      <c r="AW265" s="137">
        <f>$W265*AB265+$L265*Summary_LCIA!S$32</f>
        <v>224.51621477980069</v>
      </c>
      <c r="AX265" s="137">
        <f>$W265*AC265+$L265*Summary_LCIA!T$32</f>
        <v>57.953539837286442</v>
      </c>
      <c r="AY265" s="137">
        <f>$W265*AD265+$L265*Summary_LCIA!U$32</f>
        <v>2.0442720406421042</v>
      </c>
      <c r="AZ265" s="137">
        <f>$W265*AE265+$L265*Summary_LCIA!V$32</f>
        <v>1.0199737243915629E-2</v>
      </c>
      <c r="BA265" s="137">
        <f>$W265*AF265+$L265*Summary_LCIA!W$32</f>
        <v>15.752918672793896</v>
      </c>
      <c r="BB265" s="137">
        <f>$W265*AG265+$L265*Summary_LCIA!X$32</f>
        <v>12.461781694124062</v>
      </c>
      <c r="BC265" s="137">
        <f>$W265*AH265+$L265*Summary_LCIA!Y$32</f>
        <v>1.7804770618432217</v>
      </c>
      <c r="BD265" s="137">
        <f>$W265*AI265+$L265*Summary_LCIA!Z$32</f>
        <v>0.19830476527119031</v>
      </c>
      <c r="BE265" s="137">
        <f>$W265*AJ265+$L265*Summary_LCIA!AA$32</f>
        <v>3.2022235774927696</v>
      </c>
      <c r="BF265" s="137">
        <f>$W265*AK265+$L265*Summary_LCIA!AB$32</f>
        <v>4.7413244952893778E-2</v>
      </c>
      <c r="BG265" s="137">
        <f>$W265*AL265+$L265*Summary_LCIA!AC$32</f>
        <v>2.8880525272743461E-5</v>
      </c>
      <c r="BH265" s="137">
        <f>$W265*AM265+$L265*Summary_LCIA!AD$32</f>
        <v>0.12526012873101716</v>
      </c>
      <c r="BI265" s="137">
        <f>$W265*AN265+$L265*Summary_LCIA!AE$32</f>
        <v>0.34839132432539327</v>
      </c>
      <c r="BJ265" s="137">
        <f>$W265*AO265+$L265*Summary_LCIA!AF$32</f>
        <v>8.8922108180654713E-2</v>
      </c>
      <c r="BK265" s="137">
        <f>$W265*AP265+$L265*Summary_LCIA!AG$32</f>
        <v>8.9994045506547101E-3</v>
      </c>
      <c r="BL265" s="137">
        <f>$W265*AQ265+$L265*Summary_LCIA!AH$32</f>
        <v>1.4356203613525864</v>
      </c>
      <c r="BM265" s="137">
        <f>$W265*AR265+$L265*Summary_LCIA!AI$32</f>
        <v>0.31203216045919985</v>
      </c>
    </row>
    <row r="266" spans="1:65" x14ac:dyDescent="0.25">
      <c r="A266" s="149">
        <v>31</v>
      </c>
      <c r="B266" s="149">
        <v>6</v>
      </c>
      <c r="C266" s="61">
        <v>40.817663000000003</v>
      </c>
      <c r="D266" s="61">
        <v>-96.700036999999995</v>
      </c>
      <c r="E266" s="61" t="s">
        <v>265</v>
      </c>
      <c r="F266" s="149">
        <v>121</v>
      </c>
      <c r="G266" s="61" t="s">
        <v>287</v>
      </c>
      <c r="H266" s="61" t="s">
        <v>290</v>
      </c>
      <c r="I266" s="61">
        <v>41.301873000000001</v>
      </c>
      <c r="J266" s="61">
        <v>-95.893741000000006</v>
      </c>
      <c r="K266" s="61">
        <v>107.8641052</v>
      </c>
      <c r="L266" s="61">
        <v>100.626</v>
      </c>
      <c r="M266" s="61" t="s">
        <v>617</v>
      </c>
      <c r="N266" s="149">
        <v>5</v>
      </c>
      <c r="O266" s="149">
        <v>6</v>
      </c>
      <c r="P266" s="61" t="s">
        <v>565</v>
      </c>
      <c r="Q266" s="61" t="s">
        <v>564</v>
      </c>
      <c r="R266" s="61">
        <v>41.98028</v>
      </c>
      <c r="S266" s="61">
        <v>-87.908997900000003</v>
      </c>
      <c r="T266" s="61">
        <v>836.69100000000003</v>
      </c>
      <c r="U266" s="61" t="s">
        <v>617</v>
      </c>
      <c r="V266" s="61" t="s">
        <v>569</v>
      </c>
      <c r="W266" s="61" cm="1">
        <f t="array" ref="W266">getDistance(I266,J266,R266,S266)*SA!$B$12</f>
        <v>669.26749072627524</v>
      </c>
      <c r="Y266" s="137">
        <f>Transportation_LCIA!C$61*($W266^Transportation_LCIA!C$60)+Transportation_LCIA!C$62</f>
        <v>0.28504039049137575</v>
      </c>
      <c r="Z266" s="137">
        <f>Transportation_LCIA!D$61*($W266^Transportation_LCIA!D$60)+Transportation_LCIA!D$62</f>
        <v>3.0041649469674656</v>
      </c>
      <c r="AA266" s="137">
        <f>Transportation_LCIA!E$61*($W266^Transportation_LCIA!E$60)+Transportation_LCIA!E$62</f>
        <v>1.525706097435096E-3</v>
      </c>
      <c r="AB266" s="137">
        <f>Transportation_LCIA!F$61*($W266^Transportation_LCIA!F$60)+Transportation_LCIA!F$62</f>
        <v>0.28504039049137575</v>
      </c>
      <c r="AC266" s="137">
        <f>Transportation_LCIA!G$61*($W266^Transportation_LCIA!G$60)+Transportation_LCIA!G$62</f>
        <v>7.0068758885027033E-2</v>
      </c>
      <c r="AD266" s="137">
        <f>Transportation_LCIA!H$61*($W266^Transportation_LCIA!H$60)+Transportation_LCIA!H$62</f>
        <v>3.6107816379944279E-4</v>
      </c>
      <c r="AE266" s="137">
        <f>Transportation_LCIA!I$61*($W266^Transportation_LCIA!I$60)+Transportation_LCIA!I$62</f>
        <v>8.0591675714929097E-6</v>
      </c>
      <c r="AF266" s="137">
        <f>Transportation_LCIA!J$61*($W266^Transportation_LCIA!J$60)+Transportation_LCIA!J$62</f>
        <v>1.1964774828826928E-2</v>
      </c>
      <c r="AG266" s="137">
        <f>Transportation_LCIA!K$61*($W266^Transportation_LCIA!K$60)+Transportation_LCIA!K$62</f>
        <v>1.5195002827775642E-2</v>
      </c>
      <c r="AH266" s="137">
        <f>Transportation_LCIA!L$61*($W266^Transportation_LCIA!L$60)+Transportation_LCIA!L$62</f>
        <v>3.1754527567534542E-4</v>
      </c>
      <c r="AI266" s="137">
        <f>Transportation_LCIA!M$61*($W266^Transportation_LCIA!M$60)+Transportation_LCIA!M$62</f>
        <v>2.9013540374786794E-4</v>
      </c>
      <c r="AJ266" s="137">
        <f>Transportation_LCIA!N$61*($W266^Transportation_LCIA!N$60)+Transportation_LCIA!N$62</f>
        <v>1.2730376617698762E-3</v>
      </c>
      <c r="AK266" s="137">
        <f>Transportation_LCIA!O$61*($W266^Transportation_LCIA!O$60)+Transportation_LCIA!O$62</f>
        <v>7.4124631538667591E-5</v>
      </c>
      <c r="AL266" s="137">
        <f>Transportation_LCIA!P$61*($W266^Transportation_LCIA!P$60)+Transportation_LCIA!P$62</f>
        <v>3.5802611393451831E-8</v>
      </c>
      <c r="AM266" s="137">
        <f>Transportation_LCIA!Q$61*($W266^Transportation_LCIA!Q$60)+Transportation_LCIA!Q$62</f>
        <v>1.2535917081520263E-4</v>
      </c>
      <c r="AN266" s="137">
        <f>Transportation_LCIA!R$61*($W266^Transportation_LCIA!R$60)+Transportation_LCIA!R$62</f>
        <v>3.8732436662072014E-4</v>
      </c>
      <c r="AO266" s="137">
        <f>Transportation_LCIA!S$61*($W266^Transportation_LCIA!S$60)+Transportation_LCIA!S$62</f>
        <v>5.7538657024500324E-6</v>
      </c>
      <c r="AP266" s="137">
        <f>Transportation_LCIA!T$61*($W266^Transportation_LCIA!T$60)+Transportation_LCIA!T$62</f>
        <v>5.7538657024500324E-6</v>
      </c>
      <c r="AQ266" s="137">
        <f>Transportation_LCIA!U$61*($W266^Transportation_LCIA!U$60)+Transportation_LCIA!U$62</f>
        <v>8.3645465454341723E-4</v>
      </c>
      <c r="AR266" s="137">
        <f>Transportation_LCIA!V$61*($W266^Transportation_LCIA!V$60)+Transportation_LCIA!V$62</f>
        <v>3.2616855470196486E-4</v>
      </c>
      <c r="AT266" s="137">
        <f>$W266*Y266+$L266*Summary_LCIA!H$32</f>
        <v>224.9609816998007</v>
      </c>
      <c r="AU266" s="137">
        <f>$W266*Z266+$L266*Summary_LCIA!Q$32</f>
        <v>2509.2974666558075</v>
      </c>
      <c r="AV266" s="137">
        <f>$W266*AA266+$L266*Summary_LCIA!R$32</f>
        <v>1.5509617570161645</v>
      </c>
      <c r="AW266" s="137">
        <f>$W266*AB266+$L266*Summary_LCIA!S$32</f>
        <v>224.51621477980069</v>
      </c>
      <c r="AX266" s="137">
        <f>$W266*AC266+$L266*Summary_LCIA!T$32</f>
        <v>57.953539837286442</v>
      </c>
      <c r="AY266" s="137">
        <f>$W266*AD266+$L266*Summary_LCIA!U$32</f>
        <v>2.0442720406421042</v>
      </c>
      <c r="AZ266" s="137">
        <f>$W266*AE266+$L266*Summary_LCIA!V$32</f>
        <v>1.0199737243915629E-2</v>
      </c>
      <c r="BA266" s="137">
        <f>$W266*AF266+$L266*Summary_LCIA!W$32</f>
        <v>15.752918672793896</v>
      </c>
      <c r="BB266" s="137">
        <f>$W266*AG266+$L266*Summary_LCIA!X$32</f>
        <v>12.461781694124062</v>
      </c>
      <c r="BC266" s="137">
        <f>$W266*AH266+$L266*Summary_LCIA!Y$32</f>
        <v>1.7804770618432217</v>
      </c>
      <c r="BD266" s="137">
        <f>$W266*AI266+$L266*Summary_LCIA!Z$32</f>
        <v>0.19830476527119031</v>
      </c>
      <c r="BE266" s="137">
        <f>$W266*AJ266+$L266*Summary_LCIA!AA$32</f>
        <v>3.2022235774927696</v>
      </c>
      <c r="BF266" s="137">
        <f>$W266*AK266+$L266*Summary_LCIA!AB$32</f>
        <v>4.7413244952893778E-2</v>
      </c>
      <c r="BG266" s="137">
        <f>$W266*AL266+$L266*Summary_LCIA!AC$32</f>
        <v>2.8880525272743461E-5</v>
      </c>
      <c r="BH266" s="137">
        <f>$W266*AM266+$L266*Summary_LCIA!AD$32</f>
        <v>0.12526012873101716</v>
      </c>
      <c r="BI266" s="137">
        <f>$W266*AN266+$L266*Summary_LCIA!AE$32</f>
        <v>0.34839132432539327</v>
      </c>
      <c r="BJ266" s="137">
        <f>$W266*AO266+$L266*Summary_LCIA!AF$32</f>
        <v>8.8922108180654713E-2</v>
      </c>
      <c r="BK266" s="137">
        <f>$W266*AP266+$L266*Summary_LCIA!AG$32</f>
        <v>8.9994045506547101E-3</v>
      </c>
      <c r="BL266" s="137">
        <f>$W266*AQ266+$L266*Summary_LCIA!AH$32</f>
        <v>1.4356203613525864</v>
      </c>
      <c r="BM266" s="137">
        <f>$W266*AR266+$L266*Summary_LCIA!AI$32</f>
        <v>0.31203216045919985</v>
      </c>
    </row>
    <row r="267" spans="1:65" x14ac:dyDescent="0.25">
      <c r="A267" s="149">
        <v>32</v>
      </c>
      <c r="B267" s="149">
        <v>6</v>
      </c>
      <c r="C267" s="61">
        <v>40.817663000000003</v>
      </c>
      <c r="D267" s="61">
        <v>-96.700036999999995</v>
      </c>
      <c r="E267" s="61" t="s">
        <v>265</v>
      </c>
      <c r="F267" s="149">
        <v>121</v>
      </c>
      <c r="G267" s="61" t="s">
        <v>287</v>
      </c>
      <c r="H267" s="61" t="s">
        <v>290</v>
      </c>
      <c r="I267" s="61">
        <v>41.301873000000001</v>
      </c>
      <c r="J267" s="61">
        <v>-95.893741000000006</v>
      </c>
      <c r="K267" s="61">
        <v>107.8641052</v>
      </c>
      <c r="L267" s="61">
        <v>100.626</v>
      </c>
      <c r="M267" s="61" t="s">
        <v>617</v>
      </c>
      <c r="N267" s="149">
        <v>5</v>
      </c>
      <c r="O267" s="149">
        <v>6</v>
      </c>
      <c r="P267" s="61" t="s">
        <v>565</v>
      </c>
      <c r="Q267" s="61" t="s">
        <v>564</v>
      </c>
      <c r="R267" s="61">
        <v>41.98028</v>
      </c>
      <c r="S267" s="61">
        <v>-87.908997900000003</v>
      </c>
      <c r="T267" s="61">
        <v>836.69100000000003</v>
      </c>
      <c r="U267" s="61" t="s">
        <v>617</v>
      </c>
      <c r="V267" s="61" t="s">
        <v>569</v>
      </c>
      <c r="W267" s="61" cm="1">
        <f t="array" ref="W267">getDistance(I267,J267,R267,S267)*SA!$B$12</f>
        <v>669.26749072627524</v>
      </c>
      <c r="Y267" s="137">
        <f>Transportation_LCIA!C$61*($W267^Transportation_LCIA!C$60)+Transportation_LCIA!C$62</f>
        <v>0.28504039049137575</v>
      </c>
      <c r="Z267" s="137">
        <f>Transportation_LCIA!D$61*($W267^Transportation_LCIA!D$60)+Transportation_LCIA!D$62</f>
        <v>3.0041649469674656</v>
      </c>
      <c r="AA267" s="137">
        <f>Transportation_LCIA!E$61*($W267^Transportation_LCIA!E$60)+Transportation_LCIA!E$62</f>
        <v>1.525706097435096E-3</v>
      </c>
      <c r="AB267" s="137">
        <f>Transportation_LCIA!F$61*($W267^Transportation_LCIA!F$60)+Transportation_LCIA!F$62</f>
        <v>0.28504039049137575</v>
      </c>
      <c r="AC267" s="137">
        <f>Transportation_LCIA!G$61*($W267^Transportation_LCIA!G$60)+Transportation_LCIA!G$62</f>
        <v>7.0068758885027033E-2</v>
      </c>
      <c r="AD267" s="137">
        <f>Transportation_LCIA!H$61*($W267^Transportation_LCIA!H$60)+Transportation_LCIA!H$62</f>
        <v>3.6107816379944279E-4</v>
      </c>
      <c r="AE267" s="137">
        <f>Transportation_LCIA!I$61*($W267^Transportation_LCIA!I$60)+Transportation_LCIA!I$62</f>
        <v>8.0591675714929097E-6</v>
      </c>
      <c r="AF267" s="137">
        <f>Transportation_LCIA!J$61*($W267^Transportation_LCIA!J$60)+Transportation_LCIA!J$62</f>
        <v>1.1964774828826928E-2</v>
      </c>
      <c r="AG267" s="137">
        <f>Transportation_LCIA!K$61*($W267^Transportation_LCIA!K$60)+Transportation_LCIA!K$62</f>
        <v>1.5195002827775642E-2</v>
      </c>
      <c r="AH267" s="137">
        <f>Transportation_LCIA!L$61*($W267^Transportation_LCIA!L$60)+Transportation_LCIA!L$62</f>
        <v>3.1754527567534542E-4</v>
      </c>
      <c r="AI267" s="137">
        <f>Transportation_LCIA!M$61*($W267^Transportation_LCIA!M$60)+Transportation_LCIA!M$62</f>
        <v>2.9013540374786794E-4</v>
      </c>
      <c r="AJ267" s="137">
        <f>Transportation_LCIA!N$61*($W267^Transportation_LCIA!N$60)+Transportation_LCIA!N$62</f>
        <v>1.2730376617698762E-3</v>
      </c>
      <c r="AK267" s="137">
        <f>Transportation_LCIA!O$61*($W267^Transportation_LCIA!O$60)+Transportation_LCIA!O$62</f>
        <v>7.4124631538667591E-5</v>
      </c>
      <c r="AL267" s="137">
        <f>Transportation_LCIA!P$61*($W267^Transportation_LCIA!P$60)+Transportation_LCIA!P$62</f>
        <v>3.5802611393451831E-8</v>
      </c>
      <c r="AM267" s="137">
        <f>Transportation_LCIA!Q$61*($W267^Transportation_LCIA!Q$60)+Transportation_LCIA!Q$62</f>
        <v>1.2535917081520263E-4</v>
      </c>
      <c r="AN267" s="137">
        <f>Transportation_LCIA!R$61*($W267^Transportation_LCIA!R$60)+Transportation_LCIA!R$62</f>
        <v>3.8732436662072014E-4</v>
      </c>
      <c r="AO267" s="137">
        <f>Transportation_LCIA!S$61*($W267^Transportation_LCIA!S$60)+Transportation_LCIA!S$62</f>
        <v>5.7538657024500324E-6</v>
      </c>
      <c r="AP267" s="137">
        <f>Transportation_LCIA!T$61*($W267^Transportation_LCIA!T$60)+Transportation_LCIA!T$62</f>
        <v>5.7538657024500324E-6</v>
      </c>
      <c r="AQ267" s="137">
        <f>Transportation_LCIA!U$61*($W267^Transportation_LCIA!U$60)+Transportation_LCIA!U$62</f>
        <v>8.3645465454341723E-4</v>
      </c>
      <c r="AR267" s="137">
        <f>Transportation_LCIA!V$61*($W267^Transportation_LCIA!V$60)+Transportation_LCIA!V$62</f>
        <v>3.2616855470196486E-4</v>
      </c>
      <c r="AT267" s="137">
        <f>$W267*Y267+$L267*Summary_LCIA!H$32</f>
        <v>224.9609816998007</v>
      </c>
      <c r="AU267" s="137">
        <f>$W267*Z267+$L267*Summary_LCIA!Q$32</f>
        <v>2509.2974666558075</v>
      </c>
      <c r="AV267" s="137">
        <f>$W267*AA267+$L267*Summary_LCIA!R$32</f>
        <v>1.5509617570161645</v>
      </c>
      <c r="AW267" s="137">
        <f>$W267*AB267+$L267*Summary_LCIA!S$32</f>
        <v>224.51621477980069</v>
      </c>
      <c r="AX267" s="137">
        <f>$W267*AC267+$L267*Summary_LCIA!T$32</f>
        <v>57.953539837286442</v>
      </c>
      <c r="AY267" s="137">
        <f>$W267*AD267+$L267*Summary_LCIA!U$32</f>
        <v>2.0442720406421042</v>
      </c>
      <c r="AZ267" s="137">
        <f>$W267*AE267+$L267*Summary_LCIA!V$32</f>
        <v>1.0199737243915629E-2</v>
      </c>
      <c r="BA267" s="137">
        <f>$W267*AF267+$L267*Summary_LCIA!W$32</f>
        <v>15.752918672793896</v>
      </c>
      <c r="BB267" s="137">
        <f>$W267*AG267+$L267*Summary_LCIA!X$32</f>
        <v>12.461781694124062</v>
      </c>
      <c r="BC267" s="137">
        <f>$W267*AH267+$L267*Summary_LCIA!Y$32</f>
        <v>1.7804770618432217</v>
      </c>
      <c r="BD267" s="137">
        <f>$W267*AI267+$L267*Summary_LCIA!Z$32</f>
        <v>0.19830476527119031</v>
      </c>
      <c r="BE267" s="137">
        <f>$W267*AJ267+$L267*Summary_LCIA!AA$32</f>
        <v>3.2022235774927696</v>
      </c>
      <c r="BF267" s="137">
        <f>$W267*AK267+$L267*Summary_LCIA!AB$32</f>
        <v>4.7413244952893778E-2</v>
      </c>
      <c r="BG267" s="137">
        <f>$W267*AL267+$L267*Summary_LCIA!AC$32</f>
        <v>2.8880525272743461E-5</v>
      </c>
      <c r="BH267" s="137">
        <f>$W267*AM267+$L267*Summary_LCIA!AD$32</f>
        <v>0.12526012873101716</v>
      </c>
      <c r="BI267" s="137">
        <f>$W267*AN267+$L267*Summary_LCIA!AE$32</f>
        <v>0.34839132432539327</v>
      </c>
      <c r="BJ267" s="137">
        <f>$W267*AO267+$L267*Summary_LCIA!AF$32</f>
        <v>8.8922108180654713E-2</v>
      </c>
      <c r="BK267" s="137">
        <f>$W267*AP267+$L267*Summary_LCIA!AG$32</f>
        <v>8.9994045506547101E-3</v>
      </c>
      <c r="BL267" s="137">
        <f>$W267*AQ267+$L267*Summary_LCIA!AH$32</f>
        <v>1.4356203613525864</v>
      </c>
      <c r="BM267" s="137">
        <f>$W267*AR267+$L267*Summary_LCIA!AI$32</f>
        <v>0.31203216045919985</v>
      </c>
    </row>
    <row r="268" spans="1:65" x14ac:dyDescent="0.25">
      <c r="A268" s="149">
        <v>319</v>
      </c>
      <c r="B268" s="149">
        <v>15</v>
      </c>
      <c r="C268" s="61">
        <v>44.698993000000002</v>
      </c>
      <c r="D268" s="61">
        <v>10.629686</v>
      </c>
      <c r="E268" s="61" t="s">
        <v>421</v>
      </c>
      <c r="F268" s="149">
        <v>51</v>
      </c>
      <c r="G268" s="61" t="s">
        <v>698</v>
      </c>
      <c r="H268" s="61" t="s">
        <v>716</v>
      </c>
      <c r="I268" s="61">
        <v>41.799886999999998</v>
      </c>
      <c r="J268" s="61">
        <v>12.246238</v>
      </c>
      <c r="K268" s="61">
        <v>362.83693729999999</v>
      </c>
      <c r="L268" s="61">
        <v>459.46699999999998</v>
      </c>
      <c r="M268" s="61" t="s">
        <v>617</v>
      </c>
      <c r="N268" s="149">
        <v>14</v>
      </c>
      <c r="O268" s="149">
        <v>15</v>
      </c>
      <c r="P268" s="61" t="s">
        <v>567</v>
      </c>
      <c r="Q268" s="61" t="s">
        <v>566</v>
      </c>
      <c r="R268" s="61">
        <v>50.037932599999998</v>
      </c>
      <c r="S268" s="61">
        <v>8.5621518000000005</v>
      </c>
      <c r="T268" s="61">
        <v>841.529</v>
      </c>
      <c r="U268" s="61" t="s">
        <v>589</v>
      </c>
      <c r="V268" s="61" t="s">
        <v>569</v>
      </c>
      <c r="W268" s="61" cm="1">
        <f t="array" ref="W268">getDistance(I268,J268,R268,S268)*SA!$B$12</f>
        <v>960.33096396061467</v>
      </c>
      <c r="Y268" s="137">
        <f>Transportation_LCIA!C$61*($W268^Transportation_LCIA!C$60)+Transportation_LCIA!C$62</f>
        <v>0.23978916330242275</v>
      </c>
      <c r="Z268" s="137">
        <f>Transportation_LCIA!D$61*($W268^Transportation_LCIA!D$60)+Transportation_LCIA!D$62</f>
        <v>2.4708787889542601</v>
      </c>
      <c r="AA268" s="137">
        <f>Transportation_LCIA!E$61*($W268^Transportation_LCIA!E$60)+Transportation_LCIA!E$62</f>
        <v>1.174109327635068E-3</v>
      </c>
      <c r="AB268" s="137">
        <f>Transportation_LCIA!F$61*($W268^Transportation_LCIA!F$60)+Transportation_LCIA!F$62</f>
        <v>0.23978916330242275</v>
      </c>
      <c r="AC268" s="137">
        <f>Transportation_LCIA!G$61*($W268^Transportation_LCIA!G$60)+Transportation_LCIA!G$62</f>
        <v>5.7737841551702487E-2</v>
      </c>
      <c r="AD268" s="137">
        <f>Transportation_LCIA!H$61*($W268^Transportation_LCIA!H$60)+Transportation_LCIA!H$62</f>
        <v>2.8334647040481186E-4</v>
      </c>
      <c r="AE268" s="137">
        <f>Transportation_LCIA!I$61*($W268^Transportation_LCIA!I$60)+Transportation_LCIA!I$62</f>
        <v>6.0850967306403664E-6</v>
      </c>
      <c r="AF268" s="137">
        <f>Transportation_LCIA!J$61*($W268^Transportation_LCIA!J$60)+Transportation_LCIA!J$62</f>
        <v>9.0078905630086234E-3</v>
      </c>
      <c r="AG268" s="137">
        <f>Transportation_LCIA!K$61*($W268^Transportation_LCIA!K$60)+Transportation_LCIA!K$62</f>
        <v>1.230224715256964E-2</v>
      </c>
      <c r="AH268" s="137">
        <f>Transportation_LCIA!L$61*($W268^Transportation_LCIA!L$60)+Transportation_LCIA!L$62</f>
        <v>2.4590448371425308E-4</v>
      </c>
      <c r="AI268" s="137">
        <f>Transportation_LCIA!M$61*($W268^Transportation_LCIA!M$60)+Transportation_LCIA!M$62</f>
        <v>2.4722323152264391E-4</v>
      </c>
      <c r="AJ268" s="137">
        <f>Transportation_LCIA!N$61*($W268^Transportation_LCIA!N$60)+Transportation_LCIA!N$62</f>
        <v>1.0118732947864647E-3</v>
      </c>
      <c r="AK268" s="137">
        <f>Transportation_LCIA!O$61*($W268^Transportation_LCIA!O$60)+Transportation_LCIA!O$62</f>
        <v>6.1017911221320582E-5</v>
      </c>
      <c r="AL268" s="137">
        <f>Transportation_LCIA!P$61*($W268^Transportation_LCIA!P$60)+Transportation_LCIA!P$62</f>
        <v>2.9505637910099093E-8</v>
      </c>
      <c r="AM268" s="137">
        <f>Transportation_LCIA!Q$61*($W268^Transportation_LCIA!Q$60)+Transportation_LCIA!Q$62</f>
        <v>9.7309772323205714E-5</v>
      </c>
      <c r="AN268" s="137">
        <f>Transportation_LCIA!R$61*($W268^Transportation_LCIA!R$60)+Transportation_LCIA!R$62</f>
        <v>2.926416879903948E-4</v>
      </c>
      <c r="AO268" s="137">
        <f>Transportation_LCIA!S$61*($W268^Transportation_LCIA!S$60)+Transportation_LCIA!S$62</f>
        <v>4.4106471577943657E-6</v>
      </c>
      <c r="AP268" s="137">
        <f>Transportation_LCIA!T$61*($W268^Transportation_LCIA!T$60)+Transportation_LCIA!T$62</f>
        <v>4.4106471577943657E-6</v>
      </c>
      <c r="AQ268" s="137">
        <f>Transportation_LCIA!U$61*($W268^Transportation_LCIA!U$60)+Transportation_LCIA!U$62</f>
        <v>6.284668197431289E-4</v>
      </c>
      <c r="AR268" s="137">
        <f>Transportation_LCIA!V$61*($W268^Transportation_LCIA!V$60)+Transportation_LCIA!V$62</f>
        <v>2.5307125805150313E-4</v>
      </c>
      <c r="AT268" s="137">
        <f>$W268*Y268+$L268*Summary_LCIA!H$32</f>
        <v>386.40384494152488</v>
      </c>
      <c r="AU268" s="137">
        <f>$W268*Z268+$L268*Summary_LCIA!Q$32</f>
        <v>4650.0030335254914</v>
      </c>
      <c r="AV268" s="137">
        <f>$W268*AA268+$L268*Summary_LCIA!R$32</f>
        <v>3.5469029776029339</v>
      </c>
      <c r="AW268" s="137">
        <f>$W268*AB268+$L268*Summary_LCIA!S$32</f>
        <v>384.37300080152488</v>
      </c>
      <c r="AX268" s="137">
        <f>$W268*AC268+$L268*Summary_LCIA!T$32</f>
        <v>105.94286033435168</v>
      </c>
      <c r="AY268" s="137">
        <f>$W268*AD268+$L268*Summary_LCIA!U$32</f>
        <v>8.5029982270586899</v>
      </c>
      <c r="AZ268" s="137">
        <f>$W268*AE268+$L268*Summary_LCIA!V$32</f>
        <v>2.7788310196129446E-2</v>
      </c>
      <c r="BA268" s="137">
        <f>$W268*AF268+$L268*Summary_LCIA!W$32</f>
        <v>44.016190684625798</v>
      </c>
      <c r="BB268" s="137">
        <f>$W268*AG268+$L268*Summary_LCIA!X$32</f>
        <v>22.280887126908929</v>
      </c>
      <c r="BC268" s="137">
        <f>$W268*AH268+$L268*Summary_LCIA!Y$32</f>
        <v>7.3955644838875454</v>
      </c>
      <c r="BD268" s="137">
        <f>$W268*AI268+$L268*Summary_LCIA!Z$32</f>
        <v>0.25625840644459885</v>
      </c>
      <c r="BE268" s="137">
        <f>$W268*AJ268+$L268*Summary_LCIA!AA$32</f>
        <v>11.703044508588288</v>
      </c>
      <c r="BF268" s="137">
        <f>$W268*AK268+$L268*Summary_LCIA!AB$32</f>
        <v>4.8570441161034004E-2</v>
      </c>
      <c r="BG268" s="137">
        <f>$W268*AL268+$L268*Summary_LCIA!AC$32</f>
        <v>5.0795762524478324E-5</v>
      </c>
      <c r="BH268" s="137">
        <f>$W268*AM268+$L268*Summary_LCIA!AD$32</f>
        <v>0.28230890313793211</v>
      </c>
      <c r="BI268" s="137">
        <f>$W268*AN268+$L268*Summary_LCIA!AE$32</f>
        <v>0.68818036703287722</v>
      </c>
      <c r="BJ268" s="137">
        <f>$W268*AO268+$L268*Summary_LCIA!AF$32</f>
        <v>0.39267827217673484</v>
      </c>
      <c r="BK268" s="137">
        <f>$W268*AP268+$L268*Summary_LCIA!AG$32</f>
        <v>2.7744310091734808E-2</v>
      </c>
      <c r="BL268" s="137">
        <f>$W268*AQ268+$L268*Summary_LCIA!AH$32</f>
        <v>4.6025531280211807</v>
      </c>
      <c r="BM268" s="137">
        <f>$W268*AR268+$L268*Summary_LCIA!AI$32</f>
        <v>0.67104864904532546</v>
      </c>
    </row>
    <row r="269" spans="1:65" x14ac:dyDescent="0.25">
      <c r="A269" s="149">
        <v>43</v>
      </c>
      <c r="B269" s="149">
        <v>6</v>
      </c>
      <c r="C269" s="61">
        <v>38.877713999999997</v>
      </c>
      <c r="D269" s="61">
        <v>-94.774396999999993</v>
      </c>
      <c r="E269" s="61" t="s">
        <v>265</v>
      </c>
      <c r="F269" s="149">
        <v>101</v>
      </c>
      <c r="G269" s="61" t="s">
        <v>647</v>
      </c>
      <c r="H269" s="61" t="s">
        <v>648</v>
      </c>
      <c r="I269" s="61">
        <v>39.303586000000003</v>
      </c>
      <c r="J269" s="61">
        <v>-94.70926</v>
      </c>
      <c r="K269" s="61">
        <v>77.391958450000004</v>
      </c>
      <c r="L269" s="61">
        <v>62.118000000000002</v>
      </c>
      <c r="M269" s="61" t="s">
        <v>617</v>
      </c>
      <c r="N269" s="149">
        <v>5</v>
      </c>
      <c r="O269" s="149">
        <v>6</v>
      </c>
      <c r="P269" s="61" t="s">
        <v>565</v>
      </c>
      <c r="Q269" s="61" t="s">
        <v>564</v>
      </c>
      <c r="R269" s="61">
        <v>41.98028</v>
      </c>
      <c r="S269" s="61">
        <v>-87.908997900000003</v>
      </c>
      <c r="T269" s="61">
        <v>858.19299999999998</v>
      </c>
      <c r="U269" s="61" t="s">
        <v>617</v>
      </c>
      <c r="V269" s="61" t="s">
        <v>569</v>
      </c>
      <c r="W269" s="61" cm="1">
        <f t="array" ref="W269">getDistance(I269,J269,R269,S269)*SA!$B$12</f>
        <v>647.4733630144575</v>
      </c>
      <c r="Y269" s="137">
        <f>Transportation_LCIA!C$61*($W269^Transportation_LCIA!C$60)+Transportation_LCIA!C$62</f>
        <v>0.28991652457155515</v>
      </c>
      <c r="Z269" s="137">
        <f>Transportation_LCIA!D$61*($W269^Transportation_LCIA!D$60)+Transportation_LCIA!D$62</f>
        <v>3.0621007939018225</v>
      </c>
      <c r="AA269" s="137">
        <f>Transportation_LCIA!E$61*($W269^Transportation_LCIA!E$60)+Transportation_LCIA!E$62</f>
        <v>1.5639908369269233E-3</v>
      </c>
      <c r="AB269" s="137">
        <f>Transportation_LCIA!F$61*($W269^Transportation_LCIA!F$60)+Transportation_LCIA!F$62</f>
        <v>0.28991652457155515</v>
      </c>
      <c r="AC269" s="137">
        <f>Transportation_LCIA!G$61*($W269^Transportation_LCIA!G$60)+Transportation_LCIA!G$62</f>
        <v>7.1407745133871256E-2</v>
      </c>
      <c r="AD269" s="137">
        <f>Transportation_LCIA!H$61*($W269^Transportation_LCIA!H$60)+Transportation_LCIA!H$62</f>
        <v>3.6958053417538898E-4</v>
      </c>
      <c r="AE269" s="137">
        <f>Transportation_LCIA!I$61*($W269^Transportation_LCIA!I$60)+Transportation_LCIA!I$62</f>
        <v>8.2766666733597734E-6</v>
      </c>
      <c r="AF269" s="137">
        <f>Transportation_LCIA!J$61*($W269^Transportation_LCIA!J$60)+Transportation_LCIA!J$62</f>
        <v>1.2292104272569999E-2</v>
      </c>
      <c r="AG269" s="137">
        <f>Transportation_LCIA!K$61*($W269^Transportation_LCIA!K$60)+Transportation_LCIA!K$62</f>
        <v>1.5510415114736775E-2</v>
      </c>
      <c r="AH269" s="137">
        <f>Transportation_LCIA!L$61*($W269^Transportation_LCIA!L$60)+Transportation_LCIA!L$62</f>
        <v>3.2539764609745288E-4</v>
      </c>
      <c r="AI269" s="137">
        <f>Transportation_LCIA!M$61*($W269^Transportation_LCIA!M$60)+Transportation_LCIA!M$62</f>
        <v>2.9483033400248848E-4</v>
      </c>
      <c r="AJ269" s="137">
        <f>Transportation_LCIA!N$61*($W269^Transportation_LCIA!N$60)+Transportation_LCIA!N$62</f>
        <v>1.3015875854014613E-3</v>
      </c>
      <c r="AK269" s="137">
        <f>Transportation_LCIA!O$61*($W269^Transportation_LCIA!O$60)+Transportation_LCIA!O$62</f>
        <v>7.5548179085519799E-5</v>
      </c>
      <c r="AL269" s="137">
        <f>Transportation_LCIA!P$61*($W269^Transportation_LCIA!P$60)+Transportation_LCIA!P$62</f>
        <v>3.6486124224340038E-8</v>
      </c>
      <c r="AM269" s="137">
        <f>Transportation_LCIA!Q$61*($W269^Transportation_LCIA!Q$60)+Transportation_LCIA!Q$62</f>
        <v>1.2843702129143657E-4</v>
      </c>
      <c r="AN269" s="137">
        <f>Transportation_LCIA!R$61*($W269^Transportation_LCIA!R$60)+Transportation_LCIA!R$62</f>
        <v>3.977581392161846E-4</v>
      </c>
      <c r="AO269" s="137">
        <f>Transportation_LCIA!S$61*($W269^Transportation_LCIA!S$60)+Transportation_LCIA!S$62</f>
        <v>5.9018366684239294E-6</v>
      </c>
      <c r="AP269" s="137">
        <f>Transportation_LCIA!T$61*($W269^Transportation_LCIA!T$60)+Transportation_LCIA!T$62</f>
        <v>5.9018366684239294E-6</v>
      </c>
      <c r="AQ269" s="137">
        <f>Transportation_LCIA!U$61*($W269^Transportation_LCIA!U$60)+Transportation_LCIA!U$62</f>
        <v>8.594058841703753E-4</v>
      </c>
      <c r="AR269" s="137">
        <f>Transportation_LCIA!V$61*($W269^Transportation_LCIA!V$60)+Transportation_LCIA!V$62</f>
        <v>3.3420101797980824E-4</v>
      </c>
      <c r="AT269" s="137">
        <f>$W269*Y269+$L269*Summary_LCIA!H$32</f>
        <v>208.82092355780841</v>
      </c>
      <c r="AU269" s="137">
        <f>$W269*Z269+$L269*Summary_LCIA!Q$32</f>
        <v>2290.4886397139471</v>
      </c>
      <c r="AV269" s="137">
        <f>$W269*AA269+$L269*Summary_LCIA!R$32</f>
        <v>1.339730947708871</v>
      </c>
      <c r="AW269" s="137">
        <f>$W269*AB269+$L269*Summary_LCIA!S$32</f>
        <v>208.54636199780842</v>
      </c>
      <c r="AX269" s="137">
        <f>$W269*AC269+$L269*Summary_LCIA!T$32</f>
        <v>53.061381087106881</v>
      </c>
      <c r="AY269" s="137">
        <f>$W269*AD269+$L269*Summary_LCIA!U$32</f>
        <v>1.3520754033672187</v>
      </c>
      <c r="AZ269" s="137">
        <f>$W269*AE269+$L269*Summary_LCIA!V$32</f>
        <v>8.3257390035499351E-3</v>
      </c>
      <c r="BA269" s="137">
        <f>$W269*AF269+$L269*Summary_LCIA!W$32</f>
        <v>12.740094669885281</v>
      </c>
      <c r="BB269" s="137">
        <f>$W269*AG269+$L269*Summary_LCIA!X$32</f>
        <v>11.457628676088893</v>
      </c>
      <c r="BC269" s="137">
        <f>$W269*AH269+$L269*Summary_LCIA!Y$32</f>
        <v>1.1786089842357061</v>
      </c>
      <c r="BD269" s="137">
        <f>$W269*AI269+$L269*Summary_LCIA!Z$32</f>
        <v>0.19344218493726698</v>
      </c>
      <c r="BE269" s="137">
        <f>$W269*AJ269+$L269*Summary_LCIA!AA$32</f>
        <v>2.2935712991777515</v>
      </c>
      <c r="BF269" s="137">
        <f>$W269*AK269+$L269*Summary_LCIA!AB$32</f>
        <v>4.7559832468120004E-2</v>
      </c>
      <c r="BG269" s="137">
        <f>$W269*AL269+$L269*Summary_LCIA!AC$32</f>
        <v>2.6660369866896708E-5</v>
      </c>
      <c r="BH269" s="137">
        <f>$W269*AM269+$L269*Summary_LCIA!AD$32</f>
        <v>0.10869253283112591</v>
      </c>
      <c r="BI269" s="137">
        <f>$W269*AN269+$L269*Summary_LCIA!AE$32</f>
        <v>0.31258242340467579</v>
      </c>
      <c r="BJ269" s="137">
        <f>$W269*AO269+$L269*Summary_LCIA!AF$32</f>
        <v>5.6337081595666492E-2</v>
      </c>
      <c r="BK269" s="137">
        <f>$W269*AP269+$L269*Summary_LCIA!AG$32</f>
        <v>6.9995495056664834E-3</v>
      </c>
      <c r="BL269" s="137">
        <f>$W269*AQ269+$L269*Summary_LCIA!AH$32</f>
        <v>1.0970926428182062</v>
      </c>
      <c r="BM269" s="137">
        <f>$W269*AR269+$L269*Summary_LCIA!AI$32</f>
        <v>0.27425227993424162</v>
      </c>
    </row>
    <row r="270" spans="1:65" x14ac:dyDescent="0.25">
      <c r="A270" s="149">
        <v>369</v>
      </c>
      <c r="B270" s="149">
        <v>15</v>
      </c>
      <c r="C270" s="61">
        <v>44.496878000000002</v>
      </c>
      <c r="D270" s="61">
        <v>11.352409</v>
      </c>
      <c r="E270" s="61" t="s">
        <v>421</v>
      </c>
      <c r="F270" s="149">
        <v>51</v>
      </c>
      <c r="G270" s="61" t="s">
        <v>698</v>
      </c>
      <c r="H270" s="61" t="s">
        <v>716</v>
      </c>
      <c r="I270" s="61">
        <v>41.799886999999998</v>
      </c>
      <c r="J270" s="61">
        <v>12.246238</v>
      </c>
      <c r="K270" s="61">
        <v>317.25793929999998</v>
      </c>
      <c r="L270" s="61">
        <v>414.30399999999997</v>
      </c>
      <c r="M270" s="61" t="s">
        <v>617</v>
      </c>
      <c r="N270" s="149">
        <v>14</v>
      </c>
      <c r="O270" s="149">
        <v>15</v>
      </c>
      <c r="P270" s="61" t="s">
        <v>567</v>
      </c>
      <c r="Q270" s="61" t="s">
        <v>566</v>
      </c>
      <c r="R270" s="61">
        <v>50.037932599999998</v>
      </c>
      <c r="S270" s="61">
        <v>8.5621518000000005</v>
      </c>
      <c r="T270" s="61">
        <v>898.07799999999997</v>
      </c>
      <c r="U270" s="61" t="s">
        <v>589</v>
      </c>
      <c r="V270" s="61" t="s">
        <v>569</v>
      </c>
      <c r="W270" s="61" cm="1">
        <f t="array" ref="W270">getDistance(I270,J270,R270,S270)*SA!$B$12</f>
        <v>960.33096396061467</v>
      </c>
      <c r="Y270" s="137">
        <f>Transportation_LCIA!C$61*($W270^Transportation_LCIA!C$60)+Transportation_LCIA!C$62</f>
        <v>0.23978916330242275</v>
      </c>
      <c r="Z270" s="137">
        <f>Transportation_LCIA!D$61*($W270^Transportation_LCIA!D$60)+Transportation_LCIA!D$62</f>
        <v>2.4708787889542601</v>
      </c>
      <c r="AA270" s="137">
        <f>Transportation_LCIA!E$61*($W270^Transportation_LCIA!E$60)+Transportation_LCIA!E$62</f>
        <v>1.174109327635068E-3</v>
      </c>
      <c r="AB270" s="137">
        <f>Transportation_LCIA!F$61*($W270^Transportation_LCIA!F$60)+Transportation_LCIA!F$62</f>
        <v>0.23978916330242275</v>
      </c>
      <c r="AC270" s="137">
        <f>Transportation_LCIA!G$61*($W270^Transportation_LCIA!G$60)+Transportation_LCIA!G$62</f>
        <v>5.7737841551702487E-2</v>
      </c>
      <c r="AD270" s="137">
        <f>Transportation_LCIA!H$61*($W270^Transportation_LCIA!H$60)+Transportation_LCIA!H$62</f>
        <v>2.8334647040481186E-4</v>
      </c>
      <c r="AE270" s="137">
        <f>Transportation_LCIA!I$61*($W270^Transportation_LCIA!I$60)+Transportation_LCIA!I$62</f>
        <v>6.0850967306403664E-6</v>
      </c>
      <c r="AF270" s="137">
        <f>Transportation_LCIA!J$61*($W270^Transportation_LCIA!J$60)+Transportation_LCIA!J$62</f>
        <v>9.0078905630086234E-3</v>
      </c>
      <c r="AG270" s="137">
        <f>Transportation_LCIA!K$61*($W270^Transportation_LCIA!K$60)+Transportation_LCIA!K$62</f>
        <v>1.230224715256964E-2</v>
      </c>
      <c r="AH270" s="137">
        <f>Transportation_LCIA!L$61*($W270^Transportation_LCIA!L$60)+Transportation_LCIA!L$62</f>
        <v>2.4590448371425308E-4</v>
      </c>
      <c r="AI270" s="137">
        <f>Transportation_LCIA!M$61*($W270^Transportation_LCIA!M$60)+Transportation_LCIA!M$62</f>
        <v>2.4722323152264391E-4</v>
      </c>
      <c r="AJ270" s="137">
        <f>Transportation_LCIA!N$61*($W270^Transportation_LCIA!N$60)+Transportation_LCIA!N$62</f>
        <v>1.0118732947864647E-3</v>
      </c>
      <c r="AK270" s="137">
        <f>Transportation_LCIA!O$61*($W270^Transportation_LCIA!O$60)+Transportation_LCIA!O$62</f>
        <v>6.1017911221320582E-5</v>
      </c>
      <c r="AL270" s="137">
        <f>Transportation_LCIA!P$61*($W270^Transportation_LCIA!P$60)+Transportation_LCIA!P$62</f>
        <v>2.9505637910099093E-8</v>
      </c>
      <c r="AM270" s="137">
        <f>Transportation_LCIA!Q$61*($W270^Transportation_LCIA!Q$60)+Transportation_LCIA!Q$62</f>
        <v>9.7309772323205714E-5</v>
      </c>
      <c r="AN270" s="137">
        <f>Transportation_LCIA!R$61*($W270^Transportation_LCIA!R$60)+Transportation_LCIA!R$62</f>
        <v>2.926416879903948E-4</v>
      </c>
      <c r="AO270" s="137">
        <f>Transportation_LCIA!S$61*($W270^Transportation_LCIA!S$60)+Transportation_LCIA!S$62</f>
        <v>4.4106471577943657E-6</v>
      </c>
      <c r="AP270" s="137">
        <f>Transportation_LCIA!T$61*($W270^Transportation_LCIA!T$60)+Transportation_LCIA!T$62</f>
        <v>4.4106471577943657E-6</v>
      </c>
      <c r="AQ270" s="137">
        <f>Transportation_LCIA!U$61*($W270^Transportation_LCIA!U$60)+Transportation_LCIA!U$62</f>
        <v>6.284668197431289E-4</v>
      </c>
      <c r="AR270" s="137">
        <f>Transportation_LCIA!V$61*($W270^Transportation_LCIA!V$60)+Transportation_LCIA!V$62</f>
        <v>2.5307125805150313E-4</v>
      </c>
      <c r="AT270" s="137">
        <f>$W270*Y270+$L270*Summary_LCIA!H$32</f>
        <v>371.05745754152485</v>
      </c>
      <c r="AU270" s="137">
        <f>$W270*Z270+$L270*Summary_LCIA!Q$32</f>
        <v>4426.1729278199127</v>
      </c>
      <c r="AV270" s="137">
        <f>$W270*AA270+$L270*Summary_LCIA!R$32</f>
        <v>3.3090926848029341</v>
      </c>
      <c r="AW270" s="137">
        <f>$W270*AB270+$L270*Summary_LCIA!S$32</f>
        <v>369.22623386152486</v>
      </c>
      <c r="AX270" s="137">
        <f>$W270*AC270+$L270*Summary_LCIA!T$32</f>
        <v>100.97944663435167</v>
      </c>
      <c r="AY270" s="137">
        <f>$W270*AD270+$L270*Summary_LCIA!U$32</f>
        <v>7.6939482450586905</v>
      </c>
      <c r="AZ270" s="137">
        <f>$W270*AE270+$L270*Summary_LCIA!V$32</f>
        <v>2.5631280153129446E-2</v>
      </c>
      <c r="BA270" s="137">
        <f>$W270*AF270+$L270*Summary_LCIA!W$32</f>
        <v>40.539949411625791</v>
      </c>
      <c r="BB270" s="137">
        <f>$W270*AG270+$L270*Summary_LCIA!X$32</f>
        <v>21.252073986908929</v>
      </c>
      <c r="BC270" s="137">
        <f>$W270*AH270+$L270*Summary_LCIA!Y$32</f>
        <v>6.6918346178875456</v>
      </c>
      <c r="BD270" s="137">
        <f>$W270*AI270+$L270*Summary_LCIA!Z$32</f>
        <v>0.25440631697759886</v>
      </c>
      <c r="BE270" s="137">
        <f>$W270*AJ270+$L270*Summary_LCIA!AA$32</f>
        <v>10.648217480588288</v>
      </c>
      <c r="BF270" s="137">
        <f>$W270*AK270+$L270*Summary_LCIA!AB$32</f>
        <v>4.9556033310034005E-2</v>
      </c>
      <c r="BG270" s="137">
        <f>$W270*AL270+$L270*Summary_LCIA!AC$32</f>
        <v>4.8588014432478321E-5</v>
      </c>
      <c r="BH270" s="137">
        <f>$W270*AM270+$L270*Summary_LCIA!AD$32</f>
        <v>0.26374510361793208</v>
      </c>
      <c r="BI270" s="137">
        <f>$W270*AN270+$L270*Summary_LCIA!AE$32</f>
        <v>0.64816007784287721</v>
      </c>
      <c r="BJ270" s="137">
        <f>$W270*AO270+$L270*Summary_LCIA!AF$32</f>
        <v>0.35449656871673485</v>
      </c>
      <c r="BK270" s="137">
        <f>$W270*AP270+$L270*Summary_LCIA!AG$32</f>
        <v>2.5433545196734807E-2</v>
      </c>
      <c r="BL270" s="137">
        <f>$W270*AQ270+$L270*Summary_LCIA!AH$32</f>
        <v>4.2094724412211812</v>
      </c>
      <c r="BM270" s="137">
        <f>$W270*AR270+$L270*Summary_LCIA!AI$32</f>
        <v>0.62897705639532542</v>
      </c>
    </row>
    <row r="271" spans="1:65" x14ac:dyDescent="0.25">
      <c r="A271" s="149">
        <v>1</v>
      </c>
      <c r="B271" s="149">
        <v>6</v>
      </c>
      <c r="C271" s="61">
        <v>35.966994</v>
      </c>
      <c r="D271" s="61">
        <v>-84.250535999999997</v>
      </c>
      <c r="E271" s="61" t="s">
        <v>265</v>
      </c>
      <c r="F271" s="149">
        <v>91</v>
      </c>
      <c r="G271" s="61" t="s">
        <v>618</v>
      </c>
      <c r="H271" s="61" t="s">
        <v>619</v>
      </c>
      <c r="I271" s="61">
        <v>36.126317</v>
      </c>
      <c r="J271" s="61">
        <v>-86.677370999999994</v>
      </c>
      <c r="K271" s="61">
        <v>219.57908760000001</v>
      </c>
      <c r="L271" s="61">
        <v>260.76</v>
      </c>
      <c r="M271" s="61" t="s">
        <v>617</v>
      </c>
      <c r="N271" s="149">
        <v>5</v>
      </c>
      <c r="O271" s="149">
        <v>6</v>
      </c>
      <c r="P271" s="61" t="s">
        <v>565</v>
      </c>
      <c r="Q271" s="61" t="s">
        <v>564</v>
      </c>
      <c r="R271" s="61">
        <v>41.98028</v>
      </c>
      <c r="S271" s="61">
        <v>-87.908997900000003</v>
      </c>
      <c r="T271" s="61">
        <v>900.75</v>
      </c>
      <c r="U271" s="61" t="s">
        <v>617</v>
      </c>
      <c r="V271" s="61" t="s">
        <v>569</v>
      </c>
      <c r="W271" s="61" cm="1">
        <f t="array" ref="W271">getDistance(I271,J271,R271,S271)*SA!$B$12</f>
        <v>659.85331554628851</v>
      </c>
      <c r="Y271" s="137">
        <f>Transportation_LCIA!C$61*($W271^Transportation_LCIA!C$60)+Transportation_LCIA!C$62</f>
        <v>0.28711034431731675</v>
      </c>
      <c r="Z271" s="137">
        <f>Transportation_LCIA!D$61*($W271^Transportation_LCIA!D$60)+Transportation_LCIA!D$62</f>
        <v>3.0287489507114906</v>
      </c>
      <c r="AA271" s="137">
        <f>Transportation_LCIA!E$61*($W271^Transportation_LCIA!E$60)+Transportation_LCIA!E$62</f>
        <v>1.541949627580878E-3</v>
      </c>
      <c r="AB271" s="137">
        <f>Transportation_LCIA!F$61*($W271^Transportation_LCIA!F$60)+Transportation_LCIA!F$62</f>
        <v>0.28711034431731675</v>
      </c>
      <c r="AC271" s="137">
        <f>Transportation_LCIA!G$61*($W271^Transportation_LCIA!G$60)+Transportation_LCIA!G$62</f>
        <v>7.0636946621656566E-2</v>
      </c>
      <c r="AD271" s="137">
        <f>Transportation_LCIA!H$61*($W271^Transportation_LCIA!H$60)+Transportation_LCIA!H$62</f>
        <v>3.6468473830708392E-4</v>
      </c>
      <c r="AE271" s="137">
        <f>Transportation_LCIA!I$61*($W271^Transportation_LCIA!I$60)+Transportation_LCIA!I$62</f>
        <v>8.1513931789510452E-6</v>
      </c>
      <c r="AF271" s="137">
        <f>Transportation_LCIA!J$61*($W271^Transportation_LCIA!J$60)+Transportation_LCIA!J$62</f>
        <v>1.2103537939984348E-2</v>
      </c>
      <c r="AG271" s="137">
        <f>Transportation_LCIA!K$61*($W271^Transportation_LCIA!K$60)+Transportation_LCIA!K$62</f>
        <v>1.5328817431613843E-2</v>
      </c>
      <c r="AH271" s="137">
        <f>Transportation_LCIA!L$61*($W271^Transportation_LCIA!L$60)+Transportation_LCIA!L$62</f>
        <v>3.2087577902119551E-4</v>
      </c>
      <c r="AI271" s="137">
        <f>Transportation_LCIA!M$61*($W271^Transportation_LCIA!M$60)+Transportation_LCIA!M$62</f>
        <v>2.9212689587987547E-4</v>
      </c>
      <c r="AJ271" s="137">
        <f>Transportation_LCIA!N$61*($W271^Transportation_LCIA!N$60)+Transportation_LCIA!N$62</f>
        <v>1.2851484558381739E-3</v>
      </c>
      <c r="AK271" s="137">
        <f>Transportation_LCIA!O$61*($W271^Transportation_LCIA!O$60)+Transportation_LCIA!O$62</f>
        <v>7.4728695290617527E-5</v>
      </c>
      <c r="AL271" s="137">
        <f>Transportation_LCIA!P$61*($W271^Transportation_LCIA!P$60)+Transportation_LCIA!P$62</f>
        <v>3.6092660039250887E-8</v>
      </c>
      <c r="AM271" s="137">
        <f>Transportation_LCIA!Q$61*($W271^Transportation_LCIA!Q$60)+Transportation_LCIA!Q$62</f>
        <v>1.266645357867947E-4</v>
      </c>
      <c r="AN271" s="137">
        <f>Transportation_LCIA!R$61*($W271^Transportation_LCIA!R$60)+Transportation_LCIA!R$62</f>
        <v>3.9174853387192332E-4</v>
      </c>
      <c r="AO271" s="137">
        <f>Transportation_LCIA!S$61*($W271^Transportation_LCIA!S$60)+Transportation_LCIA!S$62</f>
        <v>5.816609944944966E-6</v>
      </c>
      <c r="AP271" s="137">
        <f>Transportation_LCIA!T$61*($W271^Transportation_LCIA!T$60)+Transportation_LCIA!T$62</f>
        <v>5.816609944944966E-6</v>
      </c>
      <c r="AQ271" s="137">
        <f>Transportation_LCIA!U$61*($W271^Transportation_LCIA!U$60)+Transportation_LCIA!U$62</f>
        <v>8.4618583701267559E-4</v>
      </c>
      <c r="AR271" s="137">
        <f>Transportation_LCIA!V$61*($W271^Transportation_LCIA!V$60)+Transportation_LCIA!V$62</f>
        <v>3.2957499967912188E-4</v>
      </c>
      <c r="AT271" s="137">
        <f>$W271*Y271+$L271*Summary_LCIA!H$32</f>
        <v>278.05696062541796</v>
      </c>
      <c r="AU271" s="137">
        <f>$W271*Z271+$L271*Summary_LCIA!Q$32</f>
        <v>3290.8697479933994</v>
      </c>
      <c r="AV271" s="137">
        <f>$W271*AA271+$L271*Summary_LCIA!R$32</f>
        <v>2.3905184301646072</v>
      </c>
      <c r="AW271" s="137">
        <f>$W271*AB271+$L271*Summary_LCIA!S$32</f>
        <v>276.90440142541797</v>
      </c>
      <c r="AX271" s="137">
        <f>$W271*AC271+$L271*Summary_LCIA!T$32</f>
        <v>75.267547428366285</v>
      </c>
      <c r="AY271" s="137">
        <f>$W271*AD271+$L271*Summary_LCIA!U$32</f>
        <v>4.9118930737010595</v>
      </c>
      <c r="AZ271" s="137">
        <f>$W271*AE271+$L271*Summary_LCIA!V$32</f>
        <v>1.7832882175452244E-2</v>
      </c>
      <c r="BA271" s="137">
        <f>$W271*AF271+$L271*Summary_LCIA!W$32</f>
        <v>28.057517599538965</v>
      </c>
      <c r="BB271" s="137">
        <f>$W271*AG271+$L271*Summary_LCIA!X$32</f>
        <v>16.054883805654139</v>
      </c>
      <c r="BC271" s="137">
        <f>$W271*AH271+$L271*Summary_LCIA!Y$32</f>
        <v>4.2748932666656341</v>
      </c>
      <c r="BD271" s="137">
        <f>$W271*AI271+$L271*Summary_LCIA!Z$32</f>
        <v>0.20345440764658124</v>
      </c>
      <c r="BE271" s="137">
        <f>$W271*AJ271+$L271*Summary_LCIA!AA$32</f>
        <v>6.9383200295540108</v>
      </c>
      <c r="BF271" s="137">
        <f>$W271*AK271+$L271*Summary_LCIA!AB$32</f>
        <v>4.3619411873962295E-2</v>
      </c>
      <c r="BG271" s="137">
        <f>$W271*AL271+$L271*Summary_LCIA!AC$32</f>
        <v>3.6562853233784732E-5</v>
      </c>
      <c r="BH271" s="137">
        <f>$W271*AM271+$L271*Summary_LCIA!AD$32</f>
        <v>0.19076280430104797</v>
      </c>
      <c r="BI271" s="137">
        <f>$W271*AN271+$L271*Summary_LCIA!AE$32</f>
        <v>0.48956382773578611</v>
      </c>
      <c r="BJ271" s="137">
        <f>$W271*AO271+$L271*Summary_LCIA!AF$32</f>
        <v>0.22428982855741145</v>
      </c>
      <c r="BK271" s="137">
        <f>$W271*AP271+$L271*Summary_LCIA!AG$32</f>
        <v>1.7179894757411451E-2</v>
      </c>
      <c r="BL271" s="137">
        <f>$W271*AQ271+$L271*Summary_LCIA!AH$32</f>
        <v>2.8279092661211256</v>
      </c>
      <c r="BM271" s="137">
        <f>$W271*AR271+$L271*Summary_LCIA!AI$32</f>
        <v>0.46038213425943553</v>
      </c>
    </row>
    <row r="272" spans="1:65" x14ac:dyDescent="0.25">
      <c r="A272" s="149">
        <v>2</v>
      </c>
      <c r="B272" s="149">
        <v>6</v>
      </c>
      <c r="C272" s="61">
        <v>35.966994</v>
      </c>
      <c r="D272" s="61">
        <v>-84.250535999999997</v>
      </c>
      <c r="E272" s="61" t="s">
        <v>265</v>
      </c>
      <c r="F272" s="149">
        <v>91</v>
      </c>
      <c r="G272" s="61" t="s">
        <v>618</v>
      </c>
      <c r="H272" s="61" t="s">
        <v>619</v>
      </c>
      <c r="I272" s="61">
        <v>36.126317</v>
      </c>
      <c r="J272" s="61">
        <v>-86.677370999999994</v>
      </c>
      <c r="K272" s="61">
        <v>219.57908760000001</v>
      </c>
      <c r="L272" s="61">
        <v>260.76</v>
      </c>
      <c r="M272" s="61" t="s">
        <v>617</v>
      </c>
      <c r="N272" s="149">
        <v>5</v>
      </c>
      <c r="O272" s="149">
        <v>6</v>
      </c>
      <c r="P272" s="61" t="s">
        <v>565</v>
      </c>
      <c r="Q272" s="61" t="s">
        <v>564</v>
      </c>
      <c r="R272" s="61">
        <v>41.98028</v>
      </c>
      <c r="S272" s="61">
        <v>-87.908997900000003</v>
      </c>
      <c r="T272" s="61">
        <v>900.75</v>
      </c>
      <c r="U272" s="61" t="s">
        <v>617</v>
      </c>
      <c r="V272" s="61" t="s">
        <v>569</v>
      </c>
      <c r="W272" s="61" cm="1">
        <f t="array" ref="W272">getDistance(I272,J272,R272,S272)*SA!$B$12</f>
        <v>659.85331554628851</v>
      </c>
      <c r="Y272" s="137">
        <f>Transportation_LCIA!C$61*($W272^Transportation_LCIA!C$60)+Transportation_LCIA!C$62</f>
        <v>0.28711034431731675</v>
      </c>
      <c r="Z272" s="137">
        <f>Transportation_LCIA!D$61*($W272^Transportation_LCIA!D$60)+Transportation_LCIA!D$62</f>
        <v>3.0287489507114906</v>
      </c>
      <c r="AA272" s="137">
        <f>Transportation_LCIA!E$61*($W272^Transportation_LCIA!E$60)+Transportation_LCIA!E$62</f>
        <v>1.541949627580878E-3</v>
      </c>
      <c r="AB272" s="137">
        <f>Transportation_LCIA!F$61*($W272^Transportation_LCIA!F$60)+Transportation_LCIA!F$62</f>
        <v>0.28711034431731675</v>
      </c>
      <c r="AC272" s="137">
        <f>Transportation_LCIA!G$61*($W272^Transportation_LCIA!G$60)+Transportation_LCIA!G$62</f>
        <v>7.0636946621656566E-2</v>
      </c>
      <c r="AD272" s="137">
        <f>Transportation_LCIA!H$61*($W272^Transportation_LCIA!H$60)+Transportation_LCIA!H$62</f>
        <v>3.6468473830708392E-4</v>
      </c>
      <c r="AE272" s="137">
        <f>Transportation_LCIA!I$61*($W272^Transportation_LCIA!I$60)+Transportation_LCIA!I$62</f>
        <v>8.1513931789510452E-6</v>
      </c>
      <c r="AF272" s="137">
        <f>Transportation_LCIA!J$61*($W272^Transportation_LCIA!J$60)+Transportation_LCIA!J$62</f>
        <v>1.2103537939984348E-2</v>
      </c>
      <c r="AG272" s="137">
        <f>Transportation_LCIA!K$61*($W272^Transportation_LCIA!K$60)+Transportation_LCIA!K$62</f>
        <v>1.5328817431613843E-2</v>
      </c>
      <c r="AH272" s="137">
        <f>Transportation_LCIA!L$61*($W272^Transportation_LCIA!L$60)+Transportation_LCIA!L$62</f>
        <v>3.2087577902119551E-4</v>
      </c>
      <c r="AI272" s="137">
        <f>Transportation_LCIA!M$61*($W272^Transportation_LCIA!M$60)+Transportation_LCIA!M$62</f>
        <v>2.9212689587987547E-4</v>
      </c>
      <c r="AJ272" s="137">
        <f>Transportation_LCIA!N$61*($W272^Transportation_LCIA!N$60)+Transportation_LCIA!N$62</f>
        <v>1.2851484558381739E-3</v>
      </c>
      <c r="AK272" s="137">
        <f>Transportation_LCIA!O$61*($W272^Transportation_LCIA!O$60)+Transportation_LCIA!O$62</f>
        <v>7.4728695290617527E-5</v>
      </c>
      <c r="AL272" s="137">
        <f>Transportation_LCIA!P$61*($W272^Transportation_LCIA!P$60)+Transportation_LCIA!P$62</f>
        <v>3.6092660039250887E-8</v>
      </c>
      <c r="AM272" s="137">
        <f>Transportation_LCIA!Q$61*($W272^Transportation_LCIA!Q$60)+Transportation_LCIA!Q$62</f>
        <v>1.266645357867947E-4</v>
      </c>
      <c r="AN272" s="137">
        <f>Transportation_LCIA!R$61*($W272^Transportation_LCIA!R$60)+Transportation_LCIA!R$62</f>
        <v>3.9174853387192332E-4</v>
      </c>
      <c r="AO272" s="137">
        <f>Transportation_LCIA!S$61*($W272^Transportation_LCIA!S$60)+Transportation_LCIA!S$62</f>
        <v>5.816609944944966E-6</v>
      </c>
      <c r="AP272" s="137">
        <f>Transportation_LCIA!T$61*($W272^Transportation_LCIA!T$60)+Transportation_LCIA!T$62</f>
        <v>5.816609944944966E-6</v>
      </c>
      <c r="AQ272" s="137">
        <f>Transportation_LCIA!U$61*($W272^Transportation_LCIA!U$60)+Transportation_LCIA!U$62</f>
        <v>8.4618583701267559E-4</v>
      </c>
      <c r="AR272" s="137">
        <f>Transportation_LCIA!V$61*($W272^Transportation_LCIA!V$60)+Transportation_LCIA!V$62</f>
        <v>3.2957499967912188E-4</v>
      </c>
      <c r="AT272" s="137">
        <f>$W272*Y272+$L272*Summary_LCIA!H$32</f>
        <v>278.05696062541796</v>
      </c>
      <c r="AU272" s="137">
        <f>$W272*Z272+$L272*Summary_LCIA!Q$32</f>
        <v>3290.8697479933994</v>
      </c>
      <c r="AV272" s="137">
        <f>$W272*AA272+$L272*Summary_LCIA!R$32</f>
        <v>2.3905184301646072</v>
      </c>
      <c r="AW272" s="137">
        <f>$W272*AB272+$L272*Summary_LCIA!S$32</f>
        <v>276.90440142541797</v>
      </c>
      <c r="AX272" s="137">
        <f>$W272*AC272+$L272*Summary_LCIA!T$32</f>
        <v>75.267547428366285</v>
      </c>
      <c r="AY272" s="137">
        <f>$W272*AD272+$L272*Summary_LCIA!U$32</f>
        <v>4.9118930737010595</v>
      </c>
      <c r="AZ272" s="137">
        <f>$W272*AE272+$L272*Summary_LCIA!V$32</f>
        <v>1.7832882175452244E-2</v>
      </c>
      <c r="BA272" s="137">
        <f>$W272*AF272+$L272*Summary_LCIA!W$32</f>
        <v>28.057517599538965</v>
      </c>
      <c r="BB272" s="137">
        <f>$W272*AG272+$L272*Summary_LCIA!X$32</f>
        <v>16.054883805654139</v>
      </c>
      <c r="BC272" s="137">
        <f>$W272*AH272+$L272*Summary_LCIA!Y$32</f>
        <v>4.2748932666656341</v>
      </c>
      <c r="BD272" s="137">
        <f>$W272*AI272+$L272*Summary_LCIA!Z$32</f>
        <v>0.20345440764658124</v>
      </c>
      <c r="BE272" s="137">
        <f>$W272*AJ272+$L272*Summary_LCIA!AA$32</f>
        <v>6.9383200295540108</v>
      </c>
      <c r="BF272" s="137">
        <f>$W272*AK272+$L272*Summary_LCIA!AB$32</f>
        <v>4.3619411873962295E-2</v>
      </c>
      <c r="BG272" s="137">
        <f>$W272*AL272+$L272*Summary_LCIA!AC$32</f>
        <v>3.6562853233784732E-5</v>
      </c>
      <c r="BH272" s="137">
        <f>$W272*AM272+$L272*Summary_LCIA!AD$32</f>
        <v>0.19076280430104797</v>
      </c>
      <c r="BI272" s="137">
        <f>$W272*AN272+$L272*Summary_LCIA!AE$32</f>
        <v>0.48956382773578611</v>
      </c>
      <c r="BJ272" s="137">
        <f>$W272*AO272+$L272*Summary_LCIA!AF$32</f>
        <v>0.22428982855741145</v>
      </c>
      <c r="BK272" s="137">
        <f>$W272*AP272+$L272*Summary_LCIA!AG$32</f>
        <v>1.7179894757411451E-2</v>
      </c>
      <c r="BL272" s="137">
        <f>$W272*AQ272+$L272*Summary_LCIA!AH$32</f>
        <v>2.8279092661211256</v>
      </c>
      <c r="BM272" s="137">
        <f>$W272*AR272+$L272*Summary_LCIA!AI$32</f>
        <v>0.46038213425943553</v>
      </c>
    </row>
    <row r="273" spans="1:65" x14ac:dyDescent="0.25">
      <c r="A273" s="149">
        <v>187</v>
      </c>
      <c r="B273" s="149">
        <v>43</v>
      </c>
      <c r="C273" s="61">
        <v>35.227086999999997</v>
      </c>
      <c r="D273" s="61">
        <v>-80.843126999999996</v>
      </c>
      <c r="E273" s="61" t="s">
        <v>265</v>
      </c>
      <c r="F273" s="149">
        <v>34</v>
      </c>
      <c r="G273" s="61" t="s">
        <v>565</v>
      </c>
      <c r="H273" s="61" t="s">
        <v>633</v>
      </c>
      <c r="I273" s="61">
        <v>35.214402999999997</v>
      </c>
      <c r="J273" s="61">
        <v>-80.947315000000003</v>
      </c>
      <c r="K273" s="61">
        <v>9.8802151649999992</v>
      </c>
      <c r="L273" s="61">
        <v>12.212999999999999</v>
      </c>
      <c r="M273" s="61" t="s">
        <v>617</v>
      </c>
      <c r="N273" s="149">
        <v>42</v>
      </c>
      <c r="O273" s="149">
        <v>43</v>
      </c>
      <c r="P273" s="61" t="s">
        <v>565</v>
      </c>
      <c r="Q273" s="61" t="s">
        <v>555</v>
      </c>
      <c r="R273" s="61">
        <v>40.6895314</v>
      </c>
      <c r="S273" s="61">
        <v>-74.174462399999996</v>
      </c>
      <c r="T273" s="61">
        <v>985.30100000000004</v>
      </c>
      <c r="U273" s="61" t="s">
        <v>617</v>
      </c>
      <c r="V273" s="61" t="s">
        <v>569</v>
      </c>
      <c r="W273" s="61" cm="1">
        <f t="array" ref="W273">getDistance(I273,J273,R273,S273)*SA!$B$12</f>
        <v>851.05121377634293</v>
      </c>
      <c r="Y273" s="137">
        <f>Transportation_LCIA!C$61*($W273^Transportation_LCIA!C$60)+Transportation_LCIA!C$62</f>
        <v>0.25343049240533111</v>
      </c>
      <c r="Z273" s="137">
        <f>Transportation_LCIA!D$61*($W273^Transportation_LCIA!D$60)+Transportation_LCIA!D$62</f>
        <v>2.6307480783429384</v>
      </c>
      <c r="AA273" s="137">
        <f>Transportation_LCIA!E$61*($W273^Transportation_LCIA!E$60)+Transportation_LCIA!E$62</f>
        <v>1.2793461318450019E-3</v>
      </c>
      <c r="AB273" s="137">
        <f>Transportation_LCIA!F$61*($W273^Transportation_LCIA!F$60)+Transportation_LCIA!F$62</f>
        <v>0.25343049240533111</v>
      </c>
      <c r="AC273" s="137">
        <f>Transportation_LCIA!G$61*($W273^Transportation_LCIA!G$60)+Transportation_LCIA!G$62</f>
        <v>6.1435625769608669E-2</v>
      </c>
      <c r="AD273" s="137">
        <f>Transportation_LCIA!H$61*($W273^Transportation_LCIA!H$60)+Transportation_LCIA!H$62</f>
        <v>3.065402716805851E-4</v>
      </c>
      <c r="AE273" s="137">
        <f>Transportation_LCIA!I$61*($W273^Transportation_LCIA!I$60)+Transportation_LCIA!I$62</f>
        <v>6.6711792632361422E-6</v>
      </c>
      <c r="AF273" s="137">
        <f>Transportation_LCIA!J$61*($W273^Transportation_LCIA!J$60)+Transportation_LCIA!J$62</f>
        <v>9.8828828449766624E-3</v>
      </c>
      <c r="AG273" s="137">
        <f>Transportation_LCIA!K$61*($W273^Transportation_LCIA!K$60)+Transportation_LCIA!K$62</f>
        <v>1.3167278527053671E-2</v>
      </c>
      <c r="AH273" s="137">
        <f>Transportation_LCIA!L$61*($W273^Transportation_LCIA!L$60)+Transportation_LCIA!L$62</f>
        <v>2.6725039435791071E-4</v>
      </c>
      <c r="AI273" s="137">
        <f>Transportation_LCIA!M$61*($W273^Transportation_LCIA!M$60)+Transportation_LCIA!M$62</f>
        <v>2.6002531765647143E-4</v>
      </c>
      <c r="AJ273" s="137">
        <f>Transportation_LCIA!N$61*($W273^Transportation_LCIA!N$60)+Transportation_LCIA!N$62</f>
        <v>1.0898312653906447E-3</v>
      </c>
      <c r="AK273" s="137">
        <f>Transportation_LCIA!O$61*($W273^Transportation_LCIA!O$60)+Transportation_LCIA!O$62</f>
        <v>6.4947739462206474E-5</v>
      </c>
      <c r="AL273" s="137">
        <f>Transportation_LCIA!P$61*($W273^Transportation_LCIA!P$60)+Transportation_LCIA!P$62</f>
        <v>3.139446307580722E-8</v>
      </c>
      <c r="AM273" s="137">
        <f>Transportation_LCIA!Q$61*($W273^Transportation_LCIA!Q$60)+Transportation_LCIA!Q$62</f>
        <v>1.0566088004157003E-4</v>
      </c>
      <c r="AN273" s="137">
        <f>Transportation_LCIA!R$61*($W273^Transportation_LCIA!R$60)+Transportation_LCIA!R$62</f>
        <v>3.2074864831290064E-4</v>
      </c>
      <c r="AO273" s="137">
        <f>Transportation_LCIA!S$61*($W273^Transportation_LCIA!S$60)+Transportation_LCIA!S$62</f>
        <v>4.8094770187755473E-6</v>
      </c>
      <c r="AP273" s="137">
        <f>Transportation_LCIA!T$61*($W273^Transportation_LCIA!T$60)+Transportation_LCIA!T$62</f>
        <v>4.8094770187755473E-6</v>
      </c>
      <c r="AQ273" s="137">
        <f>Transportation_LCIA!U$61*($W273^Transportation_LCIA!U$60)+Transportation_LCIA!U$62</f>
        <v>6.9015010201870343E-4</v>
      </c>
      <c r="AR273" s="137">
        <f>Transportation_LCIA!V$61*($W273^Transportation_LCIA!V$60)+Transportation_LCIA!V$62</f>
        <v>2.7481283900177808E-4</v>
      </c>
      <c r="AT273" s="137">
        <f>$W273*Y273+$L273*Summary_LCIA!H$32</f>
        <v>219.83230556949331</v>
      </c>
      <c r="AU273" s="137">
        <f>$W273*Z273+$L273*Summary_LCIA!Q$32</f>
        <v>2299.4295891517686</v>
      </c>
      <c r="AV273" s="137">
        <f>$W273*AA273+$L273*Summary_LCIA!R$32</f>
        <v>1.1530978511467582</v>
      </c>
      <c r="AW273" s="137">
        <f>$W273*AB273+$L273*Summary_LCIA!S$32</f>
        <v>219.7783241094933</v>
      </c>
      <c r="AX273" s="137">
        <f>$W273*AC273+$L273*Summary_LCIA!T$32</f>
        <v>53.627072580334634</v>
      </c>
      <c r="AY273" s="137">
        <f>$W273*AD273+$L273*Summary_LCIA!U$32</f>
        <v>0.47966515228509182</v>
      </c>
      <c r="AZ273" s="137">
        <f>$W273*AE273+$L273*Summary_LCIA!V$32</f>
        <v>6.260820302296688E-3</v>
      </c>
      <c r="BA273" s="137">
        <f>$W273*AF273+$L273*Summary_LCIA!W$32</f>
        <v>9.3508862638267853</v>
      </c>
      <c r="BB273" s="137">
        <f>$W273*AG273+$L273*Summary_LCIA!X$32</f>
        <v>11.484240512580204</v>
      </c>
      <c r="BC273" s="137">
        <f>$W273*AH273+$L273*Summary_LCIA!Y$32</f>
        <v>0.4177467385005062</v>
      </c>
      <c r="BD273" s="137">
        <f>$W273*AI273+$L273*Summary_LCIA!Z$32</f>
        <v>0.22179570512111915</v>
      </c>
      <c r="BE273" s="137">
        <f>$W273*AJ273+$L273*Summary_LCIA!AA$32</f>
        <v>1.2127490492221158</v>
      </c>
      <c r="BF273" s="137">
        <f>$W273*AK273+$L273*Summary_LCIA!AB$32</f>
        <v>5.5007328202340507E-2</v>
      </c>
      <c r="BG273" s="137">
        <f>$W273*AL273+$L273*Summary_LCIA!AC$32</f>
        <v>2.7315316198522317E-5</v>
      </c>
      <c r="BH273" s="137">
        <f>$W273*AM273+$L273*Summary_LCIA!AD$32</f>
        <v>9.4942851728054736E-2</v>
      </c>
      <c r="BI273" s="137">
        <f>$W273*AN273+$L273*Summary_LCIA!AE$32</f>
        <v>0.28379583215381543</v>
      </c>
      <c r="BJ273" s="137">
        <f>$W273*AO273+$L273*Summary_LCIA!AF$32</f>
        <v>1.4418225714458357E-2</v>
      </c>
      <c r="BK273" s="137">
        <f>$W273*AP273+$L273*Summary_LCIA!AG$32</f>
        <v>4.7179893994583576E-3</v>
      </c>
      <c r="BL273" s="137">
        <f>$W273*AQ273+$L273*Summary_LCIA!AH$32</f>
        <v>0.69365014881088438</v>
      </c>
      <c r="BM273" s="137">
        <f>$W273*AR273+$L273*Summary_LCIA!AI$32</f>
        <v>0.24525682034378596</v>
      </c>
    </row>
    <row r="274" spans="1:65" x14ac:dyDescent="0.25">
      <c r="A274" s="149">
        <v>53</v>
      </c>
      <c r="B274" s="149">
        <v>43</v>
      </c>
      <c r="C274" s="61">
        <v>35.227164999999999</v>
      </c>
      <c r="D274" s="61">
        <v>-80.846342000000007</v>
      </c>
      <c r="E274" s="61" t="s">
        <v>265</v>
      </c>
      <c r="F274" s="149">
        <v>34</v>
      </c>
      <c r="G274" s="61" t="s">
        <v>565</v>
      </c>
      <c r="H274" s="61" t="s">
        <v>633</v>
      </c>
      <c r="I274" s="61">
        <v>35.214402999999997</v>
      </c>
      <c r="J274" s="61">
        <v>-80.947315000000003</v>
      </c>
      <c r="K274" s="61">
        <v>9.5962039079999997</v>
      </c>
      <c r="L274" s="61">
        <v>11.887</v>
      </c>
      <c r="M274" s="61" t="s">
        <v>617</v>
      </c>
      <c r="N274" s="149">
        <v>42</v>
      </c>
      <c r="O274" s="149">
        <v>43</v>
      </c>
      <c r="P274" s="61" t="s">
        <v>565</v>
      </c>
      <c r="Q274" s="61" t="s">
        <v>555</v>
      </c>
      <c r="R274" s="61">
        <v>40.6895314</v>
      </c>
      <c r="S274" s="61">
        <v>-74.174462399999996</v>
      </c>
      <c r="T274" s="61">
        <v>986.80700000000002</v>
      </c>
      <c r="U274" s="61" t="s">
        <v>617</v>
      </c>
      <c r="V274" s="61" t="s">
        <v>569</v>
      </c>
      <c r="W274" s="61" cm="1">
        <f t="array" ref="W274">getDistance(I274,J274,R274,S274)*SA!$B$12</f>
        <v>851.05121377634293</v>
      </c>
      <c r="Y274" s="137">
        <f>Transportation_LCIA!C$61*($W274^Transportation_LCIA!C$60)+Transportation_LCIA!C$62</f>
        <v>0.25343049240533111</v>
      </c>
      <c r="Z274" s="137">
        <f>Transportation_LCIA!D$61*($W274^Transportation_LCIA!D$60)+Transportation_LCIA!D$62</f>
        <v>2.6307480783429384</v>
      </c>
      <c r="AA274" s="137">
        <f>Transportation_LCIA!E$61*($W274^Transportation_LCIA!E$60)+Transportation_LCIA!E$62</f>
        <v>1.2793461318450019E-3</v>
      </c>
      <c r="AB274" s="137">
        <f>Transportation_LCIA!F$61*($W274^Transportation_LCIA!F$60)+Transportation_LCIA!F$62</f>
        <v>0.25343049240533111</v>
      </c>
      <c r="AC274" s="137">
        <f>Transportation_LCIA!G$61*($W274^Transportation_LCIA!G$60)+Transportation_LCIA!G$62</f>
        <v>6.1435625769608669E-2</v>
      </c>
      <c r="AD274" s="137">
        <f>Transportation_LCIA!H$61*($W274^Transportation_LCIA!H$60)+Transportation_LCIA!H$62</f>
        <v>3.065402716805851E-4</v>
      </c>
      <c r="AE274" s="137">
        <f>Transportation_LCIA!I$61*($W274^Transportation_LCIA!I$60)+Transportation_LCIA!I$62</f>
        <v>6.6711792632361422E-6</v>
      </c>
      <c r="AF274" s="137">
        <f>Transportation_LCIA!J$61*($W274^Transportation_LCIA!J$60)+Transportation_LCIA!J$62</f>
        <v>9.8828828449766624E-3</v>
      </c>
      <c r="AG274" s="137">
        <f>Transportation_LCIA!K$61*($W274^Transportation_LCIA!K$60)+Transportation_LCIA!K$62</f>
        <v>1.3167278527053671E-2</v>
      </c>
      <c r="AH274" s="137">
        <f>Transportation_LCIA!L$61*($W274^Transportation_LCIA!L$60)+Transportation_LCIA!L$62</f>
        <v>2.6725039435791071E-4</v>
      </c>
      <c r="AI274" s="137">
        <f>Transportation_LCIA!M$61*($W274^Transportation_LCIA!M$60)+Transportation_LCIA!M$62</f>
        <v>2.6002531765647143E-4</v>
      </c>
      <c r="AJ274" s="137">
        <f>Transportation_LCIA!N$61*($W274^Transportation_LCIA!N$60)+Transportation_LCIA!N$62</f>
        <v>1.0898312653906447E-3</v>
      </c>
      <c r="AK274" s="137">
        <f>Transportation_LCIA!O$61*($W274^Transportation_LCIA!O$60)+Transportation_LCIA!O$62</f>
        <v>6.4947739462206474E-5</v>
      </c>
      <c r="AL274" s="137">
        <f>Transportation_LCIA!P$61*($W274^Transportation_LCIA!P$60)+Transportation_LCIA!P$62</f>
        <v>3.139446307580722E-8</v>
      </c>
      <c r="AM274" s="137">
        <f>Transportation_LCIA!Q$61*($W274^Transportation_LCIA!Q$60)+Transportation_LCIA!Q$62</f>
        <v>1.0566088004157003E-4</v>
      </c>
      <c r="AN274" s="137">
        <f>Transportation_LCIA!R$61*($W274^Transportation_LCIA!R$60)+Transportation_LCIA!R$62</f>
        <v>3.2074864831290064E-4</v>
      </c>
      <c r="AO274" s="137">
        <f>Transportation_LCIA!S$61*($W274^Transportation_LCIA!S$60)+Transportation_LCIA!S$62</f>
        <v>4.8094770187755473E-6</v>
      </c>
      <c r="AP274" s="137">
        <f>Transportation_LCIA!T$61*($W274^Transportation_LCIA!T$60)+Transportation_LCIA!T$62</f>
        <v>4.8094770187755473E-6</v>
      </c>
      <c r="AQ274" s="137">
        <f>Transportation_LCIA!U$61*($W274^Transportation_LCIA!U$60)+Transportation_LCIA!U$62</f>
        <v>6.9015010201870343E-4</v>
      </c>
      <c r="AR274" s="137">
        <f>Transportation_LCIA!V$61*($W274^Transportation_LCIA!V$60)+Transportation_LCIA!V$62</f>
        <v>2.7481283900177808E-4</v>
      </c>
      <c r="AT274" s="137">
        <f>$W274*Y274+$L274*Summary_LCIA!H$32</f>
        <v>219.72153076949331</v>
      </c>
      <c r="AU274" s="137">
        <f>$W274*Z274+$L274*Summary_LCIA!Q$32</f>
        <v>2297.8139167106106</v>
      </c>
      <c r="AV274" s="137">
        <f>$W274*AA274+$L274*Summary_LCIA!R$32</f>
        <v>1.1513812655467581</v>
      </c>
      <c r="AW274" s="137">
        <f>$W274*AB274+$L274*Summary_LCIA!S$32</f>
        <v>219.66899022949332</v>
      </c>
      <c r="AX274" s="137">
        <f>$W274*AC274+$L274*Summary_LCIA!T$32</f>
        <v>53.591245180334631</v>
      </c>
      <c r="AY274" s="137">
        <f>$W274*AD274+$L274*Summary_LCIA!U$32</f>
        <v>0.47382518828509185</v>
      </c>
      <c r="AZ274" s="137">
        <f>$W274*AE274+$L274*Summary_LCIA!V$32</f>
        <v>6.245250216296688E-3</v>
      </c>
      <c r="BA274" s="137">
        <f>$W274*AF274+$L274*Summary_LCIA!W$32</f>
        <v>9.3257937178267856</v>
      </c>
      <c r="BB274" s="137">
        <f>$W274*AG274+$L274*Summary_LCIA!X$32</f>
        <v>11.476814232580203</v>
      </c>
      <c r="BC274" s="137">
        <f>$W274*AH274+$L274*Summary_LCIA!Y$32</f>
        <v>0.41266700650050625</v>
      </c>
      <c r="BD274" s="137">
        <f>$W274*AI274+$L274*Summary_LCIA!Z$32</f>
        <v>0.22178233618711915</v>
      </c>
      <c r="BE274" s="137">
        <f>$W274*AJ274+$L274*Summary_LCIA!AA$32</f>
        <v>1.2051349932221158</v>
      </c>
      <c r="BF274" s="137">
        <f>$W274*AK274+$L274*Summary_LCIA!AB$32</f>
        <v>5.5014442500340509E-2</v>
      </c>
      <c r="BG274" s="137">
        <f>$W274*AL274+$L274*Summary_LCIA!AC$32</f>
        <v>2.7299380014522316E-5</v>
      </c>
      <c r="BH274" s="137">
        <f>$W274*AM274+$L274*Summary_LCIA!AD$32</f>
        <v>9.4808852688054737E-2</v>
      </c>
      <c r="BI274" s="137">
        <f>$W274*AN274+$L274*Summary_LCIA!AE$32</f>
        <v>0.28350695377381546</v>
      </c>
      <c r="BJ274" s="137">
        <f>$W274*AO274+$L274*Summary_LCIA!AF$32</f>
        <v>1.4142618794458358E-2</v>
      </c>
      <c r="BK274" s="137">
        <f>$W274*AP274+$L274*Summary_LCIA!AG$32</f>
        <v>4.7013096094583569E-3</v>
      </c>
      <c r="BL274" s="137">
        <f>$W274*AQ274+$L274*Summary_LCIA!AH$32</f>
        <v>0.69081277521088447</v>
      </c>
      <c r="BM274" s="137">
        <f>$W274*AR274+$L274*Summary_LCIA!AI$32</f>
        <v>0.24495313504378596</v>
      </c>
    </row>
    <row r="275" spans="1:65" x14ac:dyDescent="0.25">
      <c r="A275" s="149">
        <v>189</v>
      </c>
      <c r="B275" s="149">
        <v>6</v>
      </c>
      <c r="C275" s="61">
        <v>35.045630000000003</v>
      </c>
      <c r="D275" s="61">
        <v>-85.30968</v>
      </c>
      <c r="E275" s="61" t="s">
        <v>265</v>
      </c>
      <c r="F275" s="149">
        <v>91</v>
      </c>
      <c r="G275" s="61" t="s">
        <v>618</v>
      </c>
      <c r="H275" s="61" t="s">
        <v>619</v>
      </c>
      <c r="I275" s="61">
        <v>36.126317</v>
      </c>
      <c r="J275" s="61">
        <v>-86.677370999999994</v>
      </c>
      <c r="K275" s="61">
        <v>216.8818096</v>
      </c>
      <c r="L275" s="61">
        <v>207.744</v>
      </c>
      <c r="M275" s="61" t="s">
        <v>617</v>
      </c>
      <c r="N275" s="149">
        <v>5</v>
      </c>
      <c r="O275" s="149">
        <v>6</v>
      </c>
      <c r="P275" s="61" t="s">
        <v>565</v>
      </c>
      <c r="Q275" s="61" t="s">
        <v>564</v>
      </c>
      <c r="R275" s="61">
        <v>41.98028</v>
      </c>
      <c r="S275" s="61">
        <v>-87.908997900000003</v>
      </c>
      <c r="T275" s="61">
        <v>994.86800000000005</v>
      </c>
      <c r="U275" s="61" t="s">
        <v>617</v>
      </c>
      <c r="V275" s="61" t="s">
        <v>569</v>
      </c>
      <c r="W275" s="61" cm="1">
        <f t="array" ref="W275">getDistance(I275,J275,R275,S275)*SA!$B$12</f>
        <v>659.85331554628851</v>
      </c>
      <c r="Y275" s="137">
        <f>Transportation_LCIA!C$61*($W275^Transportation_LCIA!C$60)+Transportation_LCIA!C$62</f>
        <v>0.28711034431731675</v>
      </c>
      <c r="Z275" s="137">
        <f>Transportation_LCIA!D$61*($W275^Transportation_LCIA!D$60)+Transportation_LCIA!D$62</f>
        <v>3.0287489507114906</v>
      </c>
      <c r="AA275" s="137">
        <f>Transportation_LCIA!E$61*($W275^Transportation_LCIA!E$60)+Transportation_LCIA!E$62</f>
        <v>1.541949627580878E-3</v>
      </c>
      <c r="AB275" s="137">
        <f>Transportation_LCIA!F$61*($W275^Transportation_LCIA!F$60)+Transportation_LCIA!F$62</f>
        <v>0.28711034431731675</v>
      </c>
      <c r="AC275" s="137">
        <f>Transportation_LCIA!G$61*($W275^Transportation_LCIA!G$60)+Transportation_LCIA!G$62</f>
        <v>7.0636946621656566E-2</v>
      </c>
      <c r="AD275" s="137">
        <f>Transportation_LCIA!H$61*($W275^Transportation_LCIA!H$60)+Transportation_LCIA!H$62</f>
        <v>3.6468473830708392E-4</v>
      </c>
      <c r="AE275" s="137">
        <f>Transportation_LCIA!I$61*($W275^Transportation_LCIA!I$60)+Transportation_LCIA!I$62</f>
        <v>8.1513931789510452E-6</v>
      </c>
      <c r="AF275" s="137">
        <f>Transportation_LCIA!J$61*($W275^Transportation_LCIA!J$60)+Transportation_LCIA!J$62</f>
        <v>1.2103537939984348E-2</v>
      </c>
      <c r="AG275" s="137">
        <f>Transportation_LCIA!K$61*($W275^Transportation_LCIA!K$60)+Transportation_LCIA!K$62</f>
        <v>1.5328817431613843E-2</v>
      </c>
      <c r="AH275" s="137">
        <f>Transportation_LCIA!L$61*($W275^Transportation_LCIA!L$60)+Transportation_LCIA!L$62</f>
        <v>3.2087577902119551E-4</v>
      </c>
      <c r="AI275" s="137">
        <f>Transportation_LCIA!M$61*($W275^Transportation_LCIA!M$60)+Transportation_LCIA!M$62</f>
        <v>2.9212689587987547E-4</v>
      </c>
      <c r="AJ275" s="137">
        <f>Transportation_LCIA!N$61*($W275^Transportation_LCIA!N$60)+Transportation_LCIA!N$62</f>
        <v>1.2851484558381739E-3</v>
      </c>
      <c r="AK275" s="137">
        <f>Transportation_LCIA!O$61*($W275^Transportation_LCIA!O$60)+Transportation_LCIA!O$62</f>
        <v>7.4728695290617527E-5</v>
      </c>
      <c r="AL275" s="137">
        <f>Transportation_LCIA!P$61*($W275^Transportation_LCIA!P$60)+Transportation_LCIA!P$62</f>
        <v>3.6092660039250887E-8</v>
      </c>
      <c r="AM275" s="137">
        <f>Transportation_LCIA!Q$61*($W275^Transportation_LCIA!Q$60)+Transportation_LCIA!Q$62</f>
        <v>1.266645357867947E-4</v>
      </c>
      <c r="AN275" s="137">
        <f>Transportation_LCIA!R$61*($W275^Transportation_LCIA!R$60)+Transportation_LCIA!R$62</f>
        <v>3.9174853387192332E-4</v>
      </c>
      <c r="AO275" s="137">
        <f>Transportation_LCIA!S$61*($W275^Transportation_LCIA!S$60)+Transportation_LCIA!S$62</f>
        <v>5.816609944944966E-6</v>
      </c>
      <c r="AP275" s="137">
        <f>Transportation_LCIA!T$61*($W275^Transportation_LCIA!T$60)+Transportation_LCIA!T$62</f>
        <v>5.816609944944966E-6</v>
      </c>
      <c r="AQ275" s="137">
        <f>Transportation_LCIA!U$61*($W275^Transportation_LCIA!U$60)+Transportation_LCIA!U$62</f>
        <v>8.4618583701267559E-4</v>
      </c>
      <c r="AR275" s="137">
        <f>Transportation_LCIA!V$61*($W275^Transportation_LCIA!V$60)+Transportation_LCIA!V$62</f>
        <v>3.2957499967912188E-4</v>
      </c>
      <c r="AT275" s="137">
        <f>$W275*Y275+$L275*Summary_LCIA!H$32</f>
        <v>260.04212382541795</v>
      </c>
      <c r="AU275" s="137">
        <f>$W275*Z275+$L275*Summary_LCIA!Q$32</f>
        <v>3028.1197782374711</v>
      </c>
      <c r="AV275" s="137">
        <f>$W275*AA275+$L275*Summary_LCIA!R$32</f>
        <v>2.1113573805646073</v>
      </c>
      <c r="AW275" s="137">
        <f>$W275*AB275+$L275*Summary_LCIA!S$32</f>
        <v>259.12389534541796</v>
      </c>
      <c r="AX275" s="137">
        <f>$W275*AC275+$L275*Summary_LCIA!T$32</f>
        <v>69.441089028366292</v>
      </c>
      <c r="AY275" s="137">
        <f>$W275*AD275+$L275*Summary_LCIA!U$32</f>
        <v>3.96216444970106</v>
      </c>
      <c r="AZ275" s="137">
        <f>$W275*AE275+$L275*Summary_LCIA!V$32</f>
        <v>1.5300784999452248E-2</v>
      </c>
      <c r="BA275" s="137">
        <f>$W275*AF275+$L275*Summary_LCIA!W$32</f>
        <v>23.976823063538966</v>
      </c>
      <c r="BB275" s="137">
        <f>$W275*AG275+$L275*Summary_LCIA!X$32</f>
        <v>14.847179325654139</v>
      </c>
      <c r="BC275" s="137">
        <f>$W275*AH275+$L275*Summary_LCIA!Y$32</f>
        <v>3.448797954665634</v>
      </c>
      <c r="BD275" s="137">
        <f>$W275*AI275+$L275*Summary_LCIA!Z$32</f>
        <v>0.20128027450258124</v>
      </c>
      <c r="BE275" s="137">
        <f>$W275*AJ275+$L275*Summary_LCIA!AA$32</f>
        <v>5.7000783335540115</v>
      </c>
      <c r="BF275" s="137">
        <f>$W275*AK275+$L275*Summary_LCIA!AB$32</f>
        <v>4.4776380041962292E-2</v>
      </c>
      <c r="BG275" s="137">
        <f>$W275*AL275+$L275*Summary_LCIA!AC$32</f>
        <v>3.397121908978473E-5</v>
      </c>
      <c r="BH275" s="137">
        <f>$W275*AM275+$L275*Summary_LCIA!AD$32</f>
        <v>0.168971107661048</v>
      </c>
      <c r="BI275" s="137">
        <f>$W275*AN275+$L275*Summary_LCIA!AE$32</f>
        <v>0.44258475965578609</v>
      </c>
      <c r="BJ275" s="137">
        <f>$W275*AO275+$L275*Summary_LCIA!AF$32</f>
        <v>0.17946904183741144</v>
      </c>
      <c r="BK275" s="137">
        <f>$W275*AP275+$L275*Summary_LCIA!AG$32</f>
        <v>1.446733111741145E-2</v>
      </c>
      <c r="BL275" s="137">
        <f>$W275*AQ275+$L275*Summary_LCIA!AH$32</f>
        <v>2.3664792085211253</v>
      </c>
      <c r="BM275" s="137">
        <f>$W275*AR275+$L275*Summary_LCIA!AI$32</f>
        <v>0.41099507945943559</v>
      </c>
    </row>
    <row r="276" spans="1:65" x14ac:dyDescent="0.25">
      <c r="A276" s="149">
        <v>190</v>
      </c>
      <c r="B276" s="149">
        <v>6</v>
      </c>
      <c r="C276" s="61">
        <v>35.045630000000003</v>
      </c>
      <c r="D276" s="61">
        <v>-85.30968</v>
      </c>
      <c r="E276" s="61" t="s">
        <v>265</v>
      </c>
      <c r="F276" s="149">
        <v>91</v>
      </c>
      <c r="G276" s="61" t="s">
        <v>618</v>
      </c>
      <c r="H276" s="61" t="s">
        <v>619</v>
      </c>
      <c r="I276" s="61">
        <v>36.126317</v>
      </c>
      <c r="J276" s="61">
        <v>-86.677370999999994</v>
      </c>
      <c r="K276" s="61">
        <v>216.8818096</v>
      </c>
      <c r="L276" s="61">
        <v>207.744</v>
      </c>
      <c r="M276" s="61" t="s">
        <v>617</v>
      </c>
      <c r="N276" s="149">
        <v>5</v>
      </c>
      <c r="O276" s="149">
        <v>6</v>
      </c>
      <c r="P276" s="61" t="s">
        <v>565</v>
      </c>
      <c r="Q276" s="61" t="s">
        <v>564</v>
      </c>
      <c r="R276" s="61">
        <v>41.98028</v>
      </c>
      <c r="S276" s="61">
        <v>-87.908997900000003</v>
      </c>
      <c r="T276" s="61">
        <v>994.86800000000005</v>
      </c>
      <c r="U276" s="61" t="s">
        <v>617</v>
      </c>
      <c r="V276" s="61" t="s">
        <v>569</v>
      </c>
      <c r="W276" s="61" cm="1">
        <f t="array" ref="W276">getDistance(I276,J276,R276,S276)*SA!$B$12</f>
        <v>659.85331554628851</v>
      </c>
      <c r="Y276" s="137">
        <f>Transportation_LCIA!C$61*($W276^Transportation_LCIA!C$60)+Transportation_LCIA!C$62</f>
        <v>0.28711034431731675</v>
      </c>
      <c r="Z276" s="137">
        <f>Transportation_LCIA!D$61*($W276^Transportation_LCIA!D$60)+Transportation_LCIA!D$62</f>
        <v>3.0287489507114906</v>
      </c>
      <c r="AA276" s="137">
        <f>Transportation_LCIA!E$61*($W276^Transportation_LCIA!E$60)+Transportation_LCIA!E$62</f>
        <v>1.541949627580878E-3</v>
      </c>
      <c r="AB276" s="137">
        <f>Transportation_LCIA!F$61*($W276^Transportation_LCIA!F$60)+Transportation_LCIA!F$62</f>
        <v>0.28711034431731675</v>
      </c>
      <c r="AC276" s="137">
        <f>Transportation_LCIA!G$61*($W276^Transportation_LCIA!G$60)+Transportation_LCIA!G$62</f>
        <v>7.0636946621656566E-2</v>
      </c>
      <c r="AD276" s="137">
        <f>Transportation_LCIA!H$61*($W276^Transportation_LCIA!H$60)+Transportation_LCIA!H$62</f>
        <v>3.6468473830708392E-4</v>
      </c>
      <c r="AE276" s="137">
        <f>Transportation_LCIA!I$61*($W276^Transportation_LCIA!I$60)+Transportation_LCIA!I$62</f>
        <v>8.1513931789510452E-6</v>
      </c>
      <c r="AF276" s="137">
        <f>Transportation_LCIA!J$61*($W276^Transportation_LCIA!J$60)+Transportation_LCIA!J$62</f>
        <v>1.2103537939984348E-2</v>
      </c>
      <c r="AG276" s="137">
        <f>Transportation_LCIA!K$61*($W276^Transportation_LCIA!K$60)+Transportation_LCIA!K$62</f>
        <v>1.5328817431613843E-2</v>
      </c>
      <c r="AH276" s="137">
        <f>Transportation_LCIA!L$61*($W276^Transportation_LCIA!L$60)+Transportation_LCIA!L$62</f>
        <v>3.2087577902119551E-4</v>
      </c>
      <c r="AI276" s="137">
        <f>Transportation_LCIA!M$61*($W276^Transportation_LCIA!M$60)+Transportation_LCIA!M$62</f>
        <v>2.9212689587987547E-4</v>
      </c>
      <c r="AJ276" s="137">
        <f>Transportation_LCIA!N$61*($W276^Transportation_LCIA!N$60)+Transportation_LCIA!N$62</f>
        <v>1.2851484558381739E-3</v>
      </c>
      <c r="AK276" s="137">
        <f>Transportation_LCIA!O$61*($W276^Transportation_LCIA!O$60)+Transportation_LCIA!O$62</f>
        <v>7.4728695290617527E-5</v>
      </c>
      <c r="AL276" s="137">
        <f>Transportation_LCIA!P$61*($W276^Transportation_LCIA!P$60)+Transportation_LCIA!P$62</f>
        <v>3.6092660039250887E-8</v>
      </c>
      <c r="AM276" s="137">
        <f>Transportation_LCIA!Q$61*($W276^Transportation_LCIA!Q$60)+Transportation_LCIA!Q$62</f>
        <v>1.266645357867947E-4</v>
      </c>
      <c r="AN276" s="137">
        <f>Transportation_LCIA!R$61*($W276^Transportation_LCIA!R$60)+Transportation_LCIA!R$62</f>
        <v>3.9174853387192332E-4</v>
      </c>
      <c r="AO276" s="137">
        <f>Transportation_LCIA!S$61*($W276^Transportation_LCIA!S$60)+Transportation_LCIA!S$62</f>
        <v>5.816609944944966E-6</v>
      </c>
      <c r="AP276" s="137">
        <f>Transportation_LCIA!T$61*($W276^Transportation_LCIA!T$60)+Transportation_LCIA!T$62</f>
        <v>5.816609944944966E-6</v>
      </c>
      <c r="AQ276" s="137">
        <f>Transportation_LCIA!U$61*($W276^Transportation_LCIA!U$60)+Transportation_LCIA!U$62</f>
        <v>8.4618583701267559E-4</v>
      </c>
      <c r="AR276" s="137">
        <f>Transportation_LCIA!V$61*($W276^Transportation_LCIA!V$60)+Transportation_LCIA!V$62</f>
        <v>3.2957499967912188E-4</v>
      </c>
      <c r="AT276" s="137">
        <f>$W276*Y276+$L276*Summary_LCIA!H$32</f>
        <v>260.04212382541795</v>
      </c>
      <c r="AU276" s="137">
        <f>$W276*Z276+$L276*Summary_LCIA!Q$32</f>
        <v>3028.1197782374711</v>
      </c>
      <c r="AV276" s="137">
        <f>$W276*AA276+$L276*Summary_LCIA!R$32</f>
        <v>2.1113573805646073</v>
      </c>
      <c r="AW276" s="137">
        <f>$W276*AB276+$L276*Summary_LCIA!S$32</f>
        <v>259.12389534541796</v>
      </c>
      <c r="AX276" s="137">
        <f>$W276*AC276+$L276*Summary_LCIA!T$32</f>
        <v>69.441089028366292</v>
      </c>
      <c r="AY276" s="137">
        <f>$W276*AD276+$L276*Summary_LCIA!U$32</f>
        <v>3.96216444970106</v>
      </c>
      <c r="AZ276" s="137">
        <f>$W276*AE276+$L276*Summary_LCIA!V$32</f>
        <v>1.5300784999452248E-2</v>
      </c>
      <c r="BA276" s="137">
        <f>$W276*AF276+$L276*Summary_LCIA!W$32</f>
        <v>23.976823063538966</v>
      </c>
      <c r="BB276" s="137">
        <f>$W276*AG276+$L276*Summary_LCIA!X$32</f>
        <v>14.847179325654139</v>
      </c>
      <c r="BC276" s="137">
        <f>$W276*AH276+$L276*Summary_LCIA!Y$32</f>
        <v>3.448797954665634</v>
      </c>
      <c r="BD276" s="137">
        <f>$W276*AI276+$L276*Summary_LCIA!Z$32</f>
        <v>0.20128027450258124</v>
      </c>
      <c r="BE276" s="137">
        <f>$W276*AJ276+$L276*Summary_LCIA!AA$32</f>
        <v>5.7000783335540115</v>
      </c>
      <c r="BF276" s="137">
        <f>$W276*AK276+$L276*Summary_LCIA!AB$32</f>
        <v>4.4776380041962292E-2</v>
      </c>
      <c r="BG276" s="137">
        <f>$W276*AL276+$L276*Summary_LCIA!AC$32</f>
        <v>3.397121908978473E-5</v>
      </c>
      <c r="BH276" s="137">
        <f>$W276*AM276+$L276*Summary_LCIA!AD$32</f>
        <v>0.168971107661048</v>
      </c>
      <c r="BI276" s="137">
        <f>$W276*AN276+$L276*Summary_LCIA!AE$32</f>
        <v>0.44258475965578609</v>
      </c>
      <c r="BJ276" s="137">
        <f>$W276*AO276+$L276*Summary_LCIA!AF$32</f>
        <v>0.17946904183741144</v>
      </c>
      <c r="BK276" s="137">
        <f>$W276*AP276+$L276*Summary_LCIA!AG$32</f>
        <v>1.446733111741145E-2</v>
      </c>
      <c r="BL276" s="137">
        <f>$W276*AQ276+$L276*Summary_LCIA!AH$32</f>
        <v>2.3664792085211253</v>
      </c>
      <c r="BM276" s="137">
        <f>$W276*AR276+$L276*Summary_LCIA!AI$32</f>
        <v>0.41099507945943559</v>
      </c>
    </row>
    <row r="277" spans="1:65" x14ac:dyDescent="0.25">
      <c r="A277" s="149">
        <v>236</v>
      </c>
      <c r="B277" s="149">
        <v>43</v>
      </c>
      <c r="C277" s="61">
        <v>36.31344</v>
      </c>
      <c r="D277" s="61">
        <v>-82.353472999999994</v>
      </c>
      <c r="E277" s="61" t="s">
        <v>265</v>
      </c>
      <c r="F277" s="149">
        <v>34</v>
      </c>
      <c r="G277" s="61" t="s">
        <v>565</v>
      </c>
      <c r="H277" s="61" t="s">
        <v>633</v>
      </c>
      <c r="I277" s="61">
        <v>35.214402999999997</v>
      </c>
      <c r="J277" s="61">
        <v>-80.947315000000003</v>
      </c>
      <c r="K277" s="61">
        <v>212.4742573</v>
      </c>
      <c r="L277" s="61">
        <v>236.197</v>
      </c>
      <c r="M277" s="61" t="s">
        <v>617</v>
      </c>
      <c r="N277" s="149">
        <v>42</v>
      </c>
      <c r="O277" s="149">
        <v>43</v>
      </c>
      <c r="P277" s="61" t="s">
        <v>565</v>
      </c>
      <c r="Q277" s="61" t="s">
        <v>555</v>
      </c>
      <c r="R277" s="61">
        <v>40.6895314</v>
      </c>
      <c r="S277" s="61">
        <v>-74.174462399999996</v>
      </c>
      <c r="T277" s="61">
        <v>999.64099999999996</v>
      </c>
      <c r="U277" s="61" t="s">
        <v>617</v>
      </c>
      <c r="V277" s="61" t="s">
        <v>569</v>
      </c>
      <c r="W277" s="61" cm="1">
        <f t="array" ref="W277">getDistance(I277,J277,R277,S277)*SA!$B$12</f>
        <v>851.05121377634293</v>
      </c>
      <c r="Y277" s="137">
        <f>Transportation_LCIA!C$61*($W277^Transportation_LCIA!C$60)+Transportation_LCIA!C$62</f>
        <v>0.25343049240533111</v>
      </c>
      <c r="Z277" s="137">
        <f>Transportation_LCIA!D$61*($W277^Transportation_LCIA!D$60)+Transportation_LCIA!D$62</f>
        <v>2.6307480783429384</v>
      </c>
      <c r="AA277" s="137">
        <f>Transportation_LCIA!E$61*($W277^Transportation_LCIA!E$60)+Transportation_LCIA!E$62</f>
        <v>1.2793461318450019E-3</v>
      </c>
      <c r="AB277" s="137">
        <f>Transportation_LCIA!F$61*($W277^Transportation_LCIA!F$60)+Transportation_LCIA!F$62</f>
        <v>0.25343049240533111</v>
      </c>
      <c r="AC277" s="137">
        <f>Transportation_LCIA!G$61*($W277^Transportation_LCIA!G$60)+Transportation_LCIA!G$62</f>
        <v>6.1435625769608669E-2</v>
      </c>
      <c r="AD277" s="137">
        <f>Transportation_LCIA!H$61*($W277^Transportation_LCIA!H$60)+Transportation_LCIA!H$62</f>
        <v>3.065402716805851E-4</v>
      </c>
      <c r="AE277" s="137">
        <f>Transportation_LCIA!I$61*($W277^Transportation_LCIA!I$60)+Transportation_LCIA!I$62</f>
        <v>6.6711792632361422E-6</v>
      </c>
      <c r="AF277" s="137">
        <f>Transportation_LCIA!J$61*($W277^Transportation_LCIA!J$60)+Transportation_LCIA!J$62</f>
        <v>9.8828828449766624E-3</v>
      </c>
      <c r="AG277" s="137">
        <f>Transportation_LCIA!K$61*($W277^Transportation_LCIA!K$60)+Transportation_LCIA!K$62</f>
        <v>1.3167278527053671E-2</v>
      </c>
      <c r="AH277" s="137">
        <f>Transportation_LCIA!L$61*($W277^Transportation_LCIA!L$60)+Transportation_LCIA!L$62</f>
        <v>2.6725039435791071E-4</v>
      </c>
      <c r="AI277" s="137">
        <f>Transportation_LCIA!M$61*($W277^Transportation_LCIA!M$60)+Transportation_LCIA!M$62</f>
        <v>2.6002531765647143E-4</v>
      </c>
      <c r="AJ277" s="137">
        <f>Transportation_LCIA!N$61*($W277^Transportation_LCIA!N$60)+Transportation_LCIA!N$62</f>
        <v>1.0898312653906447E-3</v>
      </c>
      <c r="AK277" s="137">
        <f>Transportation_LCIA!O$61*($W277^Transportation_LCIA!O$60)+Transportation_LCIA!O$62</f>
        <v>6.4947739462206474E-5</v>
      </c>
      <c r="AL277" s="137">
        <f>Transportation_LCIA!P$61*($W277^Transportation_LCIA!P$60)+Transportation_LCIA!P$62</f>
        <v>3.139446307580722E-8</v>
      </c>
      <c r="AM277" s="137">
        <f>Transportation_LCIA!Q$61*($W277^Transportation_LCIA!Q$60)+Transportation_LCIA!Q$62</f>
        <v>1.0566088004157003E-4</v>
      </c>
      <c r="AN277" s="137">
        <f>Transportation_LCIA!R$61*($W277^Transportation_LCIA!R$60)+Transportation_LCIA!R$62</f>
        <v>3.2074864831290064E-4</v>
      </c>
      <c r="AO277" s="137">
        <f>Transportation_LCIA!S$61*($W277^Transportation_LCIA!S$60)+Transportation_LCIA!S$62</f>
        <v>4.8094770187755473E-6</v>
      </c>
      <c r="AP277" s="137">
        <f>Transportation_LCIA!T$61*($W277^Transportation_LCIA!T$60)+Transportation_LCIA!T$62</f>
        <v>4.8094770187755473E-6</v>
      </c>
      <c r="AQ277" s="137">
        <f>Transportation_LCIA!U$61*($W277^Transportation_LCIA!U$60)+Transportation_LCIA!U$62</f>
        <v>6.9015010201870343E-4</v>
      </c>
      <c r="AR277" s="137">
        <f>Transportation_LCIA!V$61*($W277^Transportation_LCIA!V$60)+Transportation_LCIA!V$62</f>
        <v>2.7481283900177808E-4</v>
      </c>
      <c r="AT277" s="137">
        <f>$W277*Y277+$L277*Summary_LCIA!H$32</f>
        <v>295.94206876949329</v>
      </c>
      <c r="AU277" s="137">
        <f>$W277*Z277+$L277*Summary_LCIA!Q$32</f>
        <v>3409.5055893368408</v>
      </c>
      <c r="AV277" s="137">
        <f>$W277*AA277+$L277*Summary_LCIA!R$32</f>
        <v>2.3325080015467581</v>
      </c>
      <c r="AW277" s="137">
        <f>$W277*AB277+$L277*Summary_LCIA!S$32</f>
        <v>294.89807802949332</v>
      </c>
      <c r="AX277" s="137">
        <f>$W277*AC277+$L277*Summary_LCIA!T$32</f>
        <v>78.242914180334637</v>
      </c>
      <c r="AY277" s="137">
        <f>$W277*AD277+$L277*Summary_LCIA!U$32</f>
        <v>4.4921145282850921</v>
      </c>
      <c r="AZ277" s="137">
        <f>$W277*AE277+$L277*Summary_LCIA!V$32</f>
        <v>1.6958520126296686E-2</v>
      </c>
      <c r="BA277" s="137">
        <f>$W277*AF277+$L277*Summary_LCIA!W$32</f>
        <v>26.591158727826787</v>
      </c>
      <c r="BB277" s="137">
        <f>$W277*AG277+$L277*Summary_LCIA!X$32</f>
        <v>16.586596032580204</v>
      </c>
      <c r="BC277" s="137">
        <f>$W277*AH277+$L277*Summary_LCIA!Y$32</f>
        <v>3.9078654265005066</v>
      </c>
      <c r="BD277" s="137">
        <f>$W277*AI277+$L277*Summary_LCIA!Z$32</f>
        <v>0.23098106497711915</v>
      </c>
      <c r="BE277" s="137">
        <f>$W277*AJ277+$L277*Summary_LCIA!AA$32</f>
        <v>6.4441193532221153</v>
      </c>
      <c r="BF277" s="137">
        <f>$W277*AK277+$L277*Summary_LCIA!AB$32</f>
        <v>5.0119325370340508E-2</v>
      </c>
      <c r="BG277" s="137">
        <f>$W277*AL277+$L277*Summary_LCIA!AC$32</f>
        <v>3.8264550054522314E-5</v>
      </c>
      <c r="BH277" s="137">
        <f>$W277*AM277+$L277*Summary_LCIA!AD$32</f>
        <v>0.18700923508805473</v>
      </c>
      <c r="BI277" s="137">
        <f>$W277*AN277+$L277*Summary_LCIA!AE$32</f>
        <v>0.48227477407381547</v>
      </c>
      <c r="BJ277" s="137">
        <f>$W277*AO277+$L277*Summary_LCIA!AF$32</f>
        <v>0.20377877899445837</v>
      </c>
      <c r="BK277" s="137">
        <f>$W277*AP277+$L277*Summary_LCIA!AG$32</f>
        <v>1.6178130759458356E-2</v>
      </c>
      <c r="BL277" s="137">
        <f>$W277*AQ277+$L277*Summary_LCIA!AH$32</f>
        <v>2.6431172912108849</v>
      </c>
      <c r="BM277" s="137">
        <f>$W277*AR277+$L277*Summary_LCIA!AI$32</f>
        <v>0.45390911554378599</v>
      </c>
    </row>
    <row r="278" spans="1:65" x14ac:dyDescent="0.25">
      <c r="A278" s="149">
        <v>237</v>
      </c>
      <c r="B278" s="149">
        <v>43</v>
      </c>
      <c r="C278" s="61">
        <v>36.31344</v>
      </c>
      <c r="D278" s="61">
        <v>-82.353472999999994</v>
      </c>
      <c r="E278" s="61" t="s">
        <v>265</v>
      </c>
      <c r="F278" s="149">
        <v>34</v>
      </c>
      <c r="G278" s="61" t="s">
        <v>565</v>
      </c>
      <c r="H278" s="61" t="s">
        <v>633</v>
      </c>
      <c r="I278" s="61">
        <v>35.214402999999997</v>
      </c>
      <c r="J278" s="61">
        <v>-80.947315000000003</v>
      </c>
      <c r="K278" s="61">
        <v>212.4742573</v>
      </c>
      <c r="L278" s="61">
        <v>236.197</v>
      </c>
      <c r="M278" s="61" t="s">
        <v>617</v>
      </c>
      <c r="N278" s="149">
        <v>42</v>
      </c>
      <c r="O278" s="149">
        <v>43</v>
      </c>
      <c r="P278" s="61" t="s">
        <v>565</v>
      </c>
      <c r="Q278" s="61" t="s">
        <v>555</v>
      </c>
      <c r="R278" s="61">
        <v>40.6895314</v>
      </c>
      <c r="S278" s="61">
        <v>-74.174462399999996</v>
      </c>
      <c r="T278" s="61">
        <v>999.64099999999996</v>
      </c>
      <c r="U278" s="61" t="s">
        <v>617</v>
      </c>
      <c r="V278" s="61" t="s">
        <v>569</v>
      </c>
      <c r="W278" s="61" cm="1">
        <f t="array" ref="W278">getDistance(I278,J278,R278,S278)*SA!$B$12</f>
        <v>851.05121377634293</v>
      </c>
      <c r="Y278" s="137">
        <f>Transportation_LCIA!C$61*($W278^Transportation_LCIA!C$60)+Transportation_LCIA!C$62</f>
        <v>0.25343049240533111</v>
      </c>
      <c r="Z278" s="137">
        <f>Transportation_LCIA!D$61*($W278^Transportation_LCIA!D$60)+Transportation_LCIA!D$62</f>
        <v>2.6307480783429384</v>
      </c>
      <c r="AA278" s="137">
        <f>Transportation_LCIA!E$61*($W278^Transportation_LCIA!E$60)+Transportation_LCIA!E$62</f>
        <v>1.2793461318450019E-3</v>
      </c>
      <c r="AB278" s="137">
        <f>Transportation_LCIA!F$61*($W278^Transportation_LCIA!F$60)+Transportation_LCIA!F$62</f>
        <v>0.25343049240533111</v>
      </c>
      <c r="AC278" s="137">
        <f>Transportation_LCIA!G$61*($W278^Transportation_LCIA!G$60)+Transportation_LCIA!G$62</f>
        <v>6.1435625769608669E-2</v>
      </c>
      <c r="AD278" s="137">
        <f>Transportation_LCIA!H$61*($W278^Transportation_LCIA!H$60)+Transportation_LCIA!H$62</f>
        <v>3.065402716805851E-4</v>
      </c>
      <c r="AE278" s="137">
        <f>Transportation_LCIA!I$61*($W278^Transportation_LCIA!I$60)+Transportation_LCIA!I$62</f>
        <v>6.6711792632361422E-6</v>
      </c>
      <c r="AF278" s="137">
        <f>Transportation_LCIA!J$61*($W278^Transportation_LCIA!J$60)+Transportation_LCIA!J$62</f>
        <v>9.8828828449766624E-3</v>
      </c>
      <c r="AG278" s="137">
        <f>Transportation_LCIA!K$61*($W278^Transportation_LCIA!K$60)+Transportation_LCIA!K$62</f>
        <v>1.3167278527053671E-2</v>
      </c>
      <c r="AH278" s="137">
        <f>Transportation_LCIA!L$61*($W278^Transportation_LCIA!L$60)+Transportation_LCIA!L$62</f>
        <v>2.6725039435791071E-4</v>
      </c>
      <c r="AI278" s="137">
        <f>Transportation_LCIA!M$61*($W278^Transportation_LCIA!M$60)+Transportation_LCIA!M$62</f>
        <v>2.6002531765647143E-4</v>
      </c>
      <c r="AJ278" s="137">
        <f>Transportation_LCIA!N$61*($W278^Transportation_LCIA!N$60)+Transportation_LCIA!N$62</f>
        <v>1.0898312653906447E-3</v>
      </c>
      <c r="AK278" s="137">
        <f>Transportation_LCIA!O$61*($W278^Transportation_LCIA!O$60)+Transportation_LCIA!O$62</f>
        <v>6.4947739462206474E-5</v>
      </c>
      <c r="AL278" s="137">
        <f>Transportation_LCIA!P$61*($W278^Transportation_LCIA!P$60)+Transportation_LCIA!P$62</f>
        <v>3.139446307580722E-8</v>
      </c>
      <c r="AM278" s="137">
        <f>Transportation_LCIA!Q$61*($W278^Transportation_LCIA!Q$60)+Transportation_LCIA!Q$62</f>
        <v>1.0566088004157003E-4</v>
      </c>
      <c r="AN278" s="137">
        <f>Transportation_LCIA!R$61*($W278^Transportation_LCIA!R$60)+Transportation_LCIA!R$62</f>
        <v>3.2074864831290064E-4</v>
      </c>
      <c r="AO278" s="137">
        <f>Transportation_LCIA!S$61*($W278^Transportation_LCIA!S$60)+Transportation_LCIA!S$62</f>
        <v>4.8094770187755473E-6</v>
      </c>
      <c r="AP278" s="137">
        <f>Transportation_LCIA!T$61*($W278^Transportation_LCIA!T$60)+Transportation_LCIA!T$62</f>
        <v>4.8094770187755473E-6</v>
      </c>
      <c r="AQ278" s="137">
        <f>Transportation_LCIA!U$61*($W278^Transportation_LCIA!U$60)+Transportation_LCIA!U$62</f>
        <v>6.9015010201870343E-4</v>
      </c>
      <c r="AR278" s="137">
        <f>Transportation_LCIA!V$61*($W278^Transportation_LCIA!V$60)+Transportation_LCIA!V$62</f>
        <v>2.7481283900177808E-4</v>
      </c>
      <c r="AT278" s="137">
        <f>$W278*Y278+$L278*Summary_LCIA!H$32</f>
        <v>295.94206876949329</v>
      </c>
      <c r="AU278" s="137">
        <f>$W278*Z278+$L278*Summary_LCIA!Q$32</f>
        <v>3409.5055893368408</v>
      </c>
      <c r="AV278" s="137">
        <f>$W278*AA278+$L278*Summary_LCIA!R$32</f>
        <v>2.3325080015467581</v>
      </c>
      <c r="AW278" s="137">
        <f>$W278*AB278+$L278*Summary_LCIA!S$32</f>
        <v>294.89807802949332</v>
      </c>
      <c r="AX278" s="137">
        <f>$W278*AC278+$L278*Summary_LCIA!T$32</f>
        <v>78.242914180334637</v>
      </c>
      <c r="AY278" s="137">
        <f>$W278*AD278+$L278*Summary_LCIA!U$32</f>
        <v>4.4921145282850921</v>
      </c>
      <c r="AZ278" s="137">
        <f>$W278*AE278+$L278*Summary_LCIA!V$32</f>
        <v>1.6958520126296686E-2</v>
      </c>
      <c r="BA278" s="137">
        <f>$W278*AF278+$L278*Summary_LCIA!W$32</f>
        <v>26.591158727826787</v>
      </c>
      <c r="BB278" s="137">
        <f>$W278*AG278+$L278*Summary_LCIA!X$32</f>
        <v>16.586596032580204</v>
      </c>
      <c r="BC278" s="137">
        <f>$W278*AH278+$L278*Summary_LCIA!Y$32</f>
        <v>3.9078654265005066</v>
      </c>
      <c r="BD278" s="137">
        <f>$W278*AI278+$L278*Summary_LCIA!Z$32</f>
        <v>0.23098106497711915</v>
      </c>
      <c r="BE278" s="137">
        <f>$W278*AJ278+$L278*Summary_LCIA!AA$32</f>
        <v>6.4441193532221153</v>
      </c>
      <c r="BF278" s="137">
        <f>$W278*AK278+$L278*Summary_LCIA!AB$32</f>
        <v>5.0119325370340508E-2</v>
      </c>
      <c r="BG278" s="137">
        <f>$W278*AL278+$L278*Summary_LCIA!AC$32</f>
        <v>3.8264550054522314E-5</v>
      </c>
      <c r="BH278" s="137">
        <f>$W278*AM278+$L278*Summary_LCIA!AD$32</f>
        <v>0.18700923508805473</v>
      </c>
      <c r="BI278" s="137">
        <f>$W278*AN278+$L278*Summary_LCIA!AE$32</f>
        <v>0.48227477407381547</v>
      </c>
      <c r="BJ278" s="137">
        <f>$W278*AO278+$L278*Summary_LCIA!AF$32</f>
        <v>0.20377877899445837</v>
      </c>
      <c r="BK278" s="137">
        <f>$W278*AP278+$L278*Summary_LCIA!AG$32</f>
        <v>1.6178130759458356E-2</v>
      </c>
      <c r="BL278" s="137">
        <f>$W278*AQ278+$L278*Summary_LCIA!AH$32</f>
        <v>2.6431172912108849</v>
      </c>
      <c r="BM278" s="137">
        <f>$W278*AR278+$L278*Summary_LCIA!AI$32</f>
        <v>0.45390911554378599</v>
      </c>
    </row>
    <row r="279" spans="1:65" x14ac:dyDescent="0.25">
      <c r="A279" s="149">
        <v>24</v>
      </c>
      <c r="B279" s="149">
        <v>6</v>
      </c>
      <c r="C279" s="61">
        <v>46.891579</v>
      </c>
      <c r="D279" s="61">
        <v>-96.800127000000003</v>
      </c>
      <c r="E279" s="61" t="s">
        <v>265</v>
      </c>
      <c r="F279" s="149">
        <v>57</v>
      </c>
      <c r="G279" s="61" t="s">
        <v>565</v>
      </c>
      <c r="H279" s="61" t="s">
        <v>641</v>
      </c>
      <c r="I279" s="61">
        <v>44.884754999999998</v>
      </c>
      <c r="J279" s="61">
        <v>-93.222284999999999</v>
      </c>
      <c r="K279" s="61">
        <v>473.17089249999998</v>
      </c>
      <c r="L279" s="61">
        <v>397.00400000000002</v>
      </c>
      <c r="M279" s="61" t="s">
        <v>617</v>
      </c>
      <c r="N279" s="149">
        <v>5</v>
      </c>
      <c r="O279" s="149">
        <v>6</v>
      </c>
      <c r="P279" s="61" t="s">
        <v>565</v>
      </c>
      <c r="Q279" s="61" t="s">
        <v>564</v>
      </c>
      <c r="R279" s="61">
        <v>41.98028</v>
      </c>
      <c r="S279" s="61">
        <v>-87.908997900000003</v>
      </c>
      <c r="T279" s="61">
        <v>1014.241</v>
      </c>
      <c r="U279" s="61" t="s">
        <v>617</v>
      </c>
      <c r="V279" s="61" t="s">
        <v>569</v>
      </c>
      <c r="W279" s="61" cm="1">
        <f t="array" ref="W279">getDistance(I279,J279,R279,S279)*SA!$B$12</f>
        <v>537.9238360294454</v>
      </c>
      <c r="Y279" s="137">
        <f>Transportation_LCIA!C$61*($W279^Transportation_LCIA!C$60)+Transportation_LCIA!C$62</f>
        <v>0.31986678213898079</v>
      </c>
      <c r="Z279" s="137">
        <f>Transportation_LCIA!D$61*($W279^Transportation_LCIA!D$60)+Transportation_LCIA!D$62</f>
        <v>3.4196837590581142</v>
      </c>
      <c r="AA279" s="137">
        <f>Transportation_LCIA!E$61*($W279^Transportation_LCIA!E$60)+Transportation_LCIA!E$62</f>
        <v>1.8006084167141755E-3</v>
      </c>
      <c r="AB279" s="137">
        <f>Transportation_LCIA!F$61*($W279^Transportation_LCIA!F$60)+Transportation_LCIA!F$62</f>
        <v>0.31986678213898079</v>
      </c>
      <c r="AC279" s="137">
        <f>Transportation_LCIA!G$61*($W279^Transportation_LCIA!G$60)+Transportation_LCIA!G$62</f>
        <v>7.9669699225259488E-2</v>
      </c>
      <c r="AD279" s="137">
        <f>Transportation_LCIA!H$61*($W279^Transportation_LCIA!H$60)+Transportation_LCIA!H$62</f>
        <v>4.2227087470452683E-4</v>
      </c>
      <c r="AE279" s="137">
        <f>Transportation_LCIA!I$61*($W279^Transportation_LCIA!I$60)+Transportation_LCIA!I$62</f>
        <v>9.6304021623867961E-6</v>
      </c>
      <c r="AF279" s="137">
        <f>Transportation_LCIA!J$61*($W279^Transportation_LCIA!J$60)+Transportation_LCIA!J$62</f>
        <v>1.4335225470337743E-2</v>
      </c>
      <c r="AG279" s="137">
        <f>Transportation_LCIA!K$61*($W279^Transportation_LCIA!K$60)+Transportation_LCIA!K$62</f>
        <v>1.7461378929992367E-2</v>
      </c>
      <c r="AH279" s="137">
        <f>Transportation_LCIA!L$61*($W279^Transportation_LCIA!L$60)+Transportation_LCIA!L$62</f>
        <v>3.741200211309115E-4</v>
      </c>
      <c r="AI279" s="137">
        <f>Transportation_LCIA!M$61*($W279^Transportation_LCIA!M$60)+Transportation_LCIA!M$62</f>
        <v>3.2392972305419126E-4</v>
      </c>
      <c r="AJ279" s="137">
        <f>Transportation_LCIA!N$61*($W279^Transportation_LCIA!N$60)+Transportation_LCIA!N$62</f>
        <v>1.4784543299395398E-3</v>
      </c>
      <c r="AK279" s="137">
        <f>Transportation_LCIA!O$61*($W279^Transportation_LCIA!O$60)+Transportation_LCIA!O$62</f>
        <v>8.4333072501823996E-5</v>
      </c>
      <c r="AL279" s="137">
        <f>Transportation_LCIA!P$61*($W279^Transportation_LCIA!P$60)+Transportation_LCIA!P$62</f>
        <v>4.0702648380323872E-8</v>
      </c>
      <c r="AM279" s="137">
        <f>Transportation_LCIA!Q$61*($W279^Transportation_LCIA!Q$60)+Transportation_LCIA!Q$62</f>
        <v>1.4754717709156823E-4</v>
      </c>
      <c r="AN279" s="137">
        <f>Transportation_LCIA!R$61*($W279^Transportation_LCIA!R$60)+Transportation_LCIA!R$62</f>
        <v>4.6270576693556009E-4</v>
      </c>
      <c r="AO279" s="137">
        <f>Transportation_LCIA!S$61*($W279^Transportation_LCIA!S$60)+Transportation_LCIA!S$62</f>
        <v>6.8227398697620497E-6</v>
      </c>
      <c r="AP279" s="137">
        <f>Transportation_LCIA!T$61*($W279^Transportation_LCIA!T$60)+Transportation_LCIA!T$62</f>
        <v>6.8227398697620497E-6</v>
      </c>
      <c r="AQ279" s="137">
        <f>Transportation_LCIA!U$61*($W279^Transportation_LCIA!U$60)+Transportation_LCIA!U$62</f>
        <v>1.002389311334221E-3</v>
      </c>
      <c r="AR279" s="137">
        <f>Transportation_LCIA!V$61*($W279^Transportation_LCIA!V$60)+Transportation_LCIA!V$62</f>
        <v>3.8411685160034487E-4</v>
      </c>
      <c r="AT279" s="137">
        <f>$W279*Y279+$L279*Summary_LCIA!H$32</f>
        <v>306.96592566659547</v>
      </c>
      <c r="AU279" s="137">
        <f>$W279*Z279+$L279*Summary_LCIA!Q$32</f>
        <v>3807.1012517828667</v>
      </c>
      <c r="AV279" s="137">
        <f>$W279*AA279+$L279*Summary_LCIA!R$32</f>
        <v>3.0590544491057954</v>
      </c>
      <c r="AW279" s="137">
        <f>$W279*AB279+$L279*Summary_LCIA!S$32</f>
        <v>305.21116798659546</v>
      </c>
      <c r="AX279" s="137">
        <f>$W279*AC279+$L279*Summary_LCIA!T$32</f>
        <v>86.486969822563708</v>
      </c>
      <c r="AY279" s="137">
        <f>$W279*AD279+$L279*Summary_LCIA!U$32</f>
        <v>7.3390792247645686</v>
      </c>
      <c r="AZ279" s="137">
        <f>$W279*AE279+$L279*Summary_LCIA!V$32</f>
        <v>2.4141730917697373E-2</v>
      </c>
      <c r="BA279" s="137">
        <f>$W279*AF279+$L279*Summary_LCIA!W$32</f>
        <v>38.269054359351088</v>
      </c>
      <c r="BB279" s="137">
        <f>$W279*AG279+$L279*Summary_LCIA!X$32</f>
        <v>18.436643056385229</v>
      </c>
      <c r="BC279" s="137">
        <f>$W279*AH279+$L279*Summary_LCIA!Y$32</f>
        <v>6.3873644049021578</v>
      </c>
      <c r="BD279" s="137">
        <f>$W279*AI279+$L279*Summary_LCIA!Z$32</f>
        <v>0.19053025626526643</v>
      </c>
      <c r="BE279" s="137">
        <f>$W279*AJ279+$L279*Summary_LCIA!AA$32</f>
        <v>10.06772124855542</v>
      </c>
      <c r="BF279" s="137">
        <f>$W279*AK279+$L279*Summary_LCIA!AB$32</f>
        <v>3.6700951572330498E-2</v>
      </c>
      <c r="BG279" s="137">
        <f>$W279*AL279+$L279*Summary_LCIA!AC$32</f>
        <v>4.1302068289301513E-5</v>
      </c>
      <c r="BH279" s="137">
        <f>$W279*AM279+$L279*Summary_LCIA!AD$32</f>
        <v>0.24255366765641229</v>
      </c>
      <c r="BI279" s="137">
        <f>$W279*AN279+$L279*Summary_LCIA!AE$32</f>
        <v>0.60069761562292301</v>
      </c>
      <c r="BJ279" s="137">
        <f>$W279*AO279+$L279*Summary_LCIA!AF$32</f>
        <v>0.33930523608297347</v>
      </c>
      <c r="BK279" s="137">
        <f>$W279*AP279+$L279*Summary_LCIA!AG$32</f>
        <v>2.3982824062973442E-2</v>
      </c>
      <c r="BL279" s="137">
        <f>$W279*AQ279+$L279*Summary_LCIA!AH$32</f>
        <v>3.9945731179478186</v>
      </c>
      <c r="BM279" s="137">
        <f>$W279*AR279+$L279*Summary_LCIA!AI$32</f>
        <v>0.57645468649641074</v>
      </c>
    </row>
    <row r="280" spans="1:65" x14ac:dyDescent="0.25">
      <c r="A280" s="149">
        <v>25</v>
      </c>
      <c r="B280" s="149">
        <v>6</v>
      </c>
      <c r="C280" s="61">
        <v>46.891579</v>
      </c>
      <c r="D280" s="61">
        <v>-96.800127000000003</v>
      </c>
      <c r="E280" s="61" t="s">
        <v>265</v>
      </c>
      <c r="F280" s="149">
        <v>57</v>
      </c>
      <c r="G280" s="61" t="s">
        <v>565</v>
      </c>
      <c r="H280" s="61" t="s">
        <v>641</v>
      </c>
      <c r="I280" s="61">
        <v>44.884754999999998</v>
      </c>
      <c r="J280" s="61">
        <v>-93.222284999999999</v>
      </c>
      <c r="K280" s="61">
        <v>473.17089249999998</v>
      </c>
      <c r="L280" s="61">
        <v>397.00400000000002</v>
      </c>
      <c r="M280" s="61" t="s">
        <v>617</v>
      </c>
      <c r="N280" s="149">
        <v>5</v>
      </c>
      <c r="O280" s="149">
        <v>6</v>
      </c>
      <c r="P280" s="61" t="s">
        <v>565</v>
      </c>
      <c r="Q280" s="61" t="s">
        <v>564</v>
      </c>
      <c r="R280" s="61">
        <v>41.98028</v>
      </c>
      <c r="S280" s="61">
        <v>-87.908997900000003</v>
      </c>
      <c r="T280" s="61">
        <v>1014.241</v>
      </c>
      <c r="U280" s="61" t="s">
        <v>617</v>
      </c>
      <c r="V280" s="61" t="s">
        <v>569</v>
      </c>
      <c r="W280" s="61" cm="1">
        <f t="array" ref="W280">getDistance(I280,J280,R280,S280)*SA!$B$12</f>
        <v>537.9238360294454</v>
      </c>
      <c r="Y280" s="137">
        <f>Transportation_LCIA!C$61*($W280^Transportation_LCIA!C$60)+Transportation_LCIA!C$62</f>
        <v>0.31986678213898079</v>
      </c>
      <c r="Z280" s="137">
        <f>Transportation_LCIA!D$61*($W280^Transportation_LCIA!D$60)+Transportation_LCIA!D$62</f>
        <v>3.4196837590581142</v>
      </c>
      <c r="AA280" s="137">
        <f>Transportation_LCIA!E$61*($W280^Transportation_LCIA!E$60)+Transportation_LCIA!E$62</f>
        <v>1.8006084167141755E-3</v>
      </c>
      <c r="AB280" s="137">
        <f>Transportation_LCIA!F$61*($W280^Transportation_LCIA!F$60)+Transportation_LCIA!F$62</f>
        <v>0.31986678213898079</v>
      </c>
      <c r="AC280" s="137">
        <f>Transportation_LCIA!G$61*($W280^Transportation_LCIA!G$60)+Transportation_LCIA!G$62</f>
        <v>7.9669699225259488E-2</v>
      </c>
      <c r="AD280" s="137">
        <f>Transportation_LCIA!H$61*($W280^Transportation_LCIA!H$60)+Transportation_LCIA!H$62</f>
        <v>4.2227087470452683E-4</v>
      </c>
      <c r="AE280" s="137">
        <f>Transportation_LCIA!I$61*($W280^Transportation_LCIA!I$60)+Transportation_LCIA!I$62</f>
        <v>9.6304021623867961E-6</v>
      </c>
      <c r="AF280" s="137">
        <f>Transportation_LCIA!J$61*($W280^Transportation_LCIA!J$60)+Transportation_LCIA!J$62</f>
        <v>1.4335225470337743E-2</v>
      </c>
      <c r="AG280" s="137">
        <f>Transportation_LCIA!K$61*($W280^Transportation_LCIA!K$60)+Transportation_LCIA!K$62</f>
        <v>1.7461378929992367E-2</v>
      </c>
      <c r="AH280" s="137">
        <f>Transportation_LCIA!L$61*($W280^Transportation_LCIA!L$60)+Transportation_LCIA!L$62</f>
        <v>3.741200211309115E-4</v>
      </c>
      <c r="AI280" s="137">
        <f>Transportation_LCIA!M$61*($W280^Transportation_LCIA!M$60)+Transportation_LCIA!M$62</f>
        <v>3.2392972305419126E-4</v>
      </c>
      <c r="AJ280" s="137">
        <f>Transportation_LCIA!N$61*($W280^Transportation_LCIA!N$60)+Transportation_LCIA!N$62</f>
        <v>1.4784543299395398E-3</v>
      </c>
      <c r="AK280" s="137">
        <f>Transportation_LCIA!O$61*($W280^Transportation_LCIA!O$60)+Transportation_LCIA!O$62</f>
        <v>8.4333072501823996E-5</v>
      </c>
      <c r="AL280" s="137">
        <f>Transportation_LCIA!P$61*($W280^Transportation_LCIA!P$60)+Transportation_LCIA!P$62</f>
        <v>4.0702648380323872E-8</v>
      </c>
      <c r="AM280" s="137">
        <f>Transportation_LCIA!Q$61*($W280^Transportation_LCIA!Q$60)+Transportation_LCIA!Q$62</f>
        <v>1.4754717709156823E-4</v>
      </c>
      <c r="AN280" s="137">
        <f>Transportation_LCIA!R$61*($W280^Transportation_LCIA!R$60)+Transportation_LCIA!R$62</f>
        <v>4.6270576693556009E-4</v>
      </c>
      <c r="AO280" s="137">
        <f>Transportation_LCIA!S$61*($W280^Transportation_LCIA!S$60)+Transportation_LCIA!S$62</f>
        <v>6.8227398697620497E-6</v>
      </c>
      <c r="AP280" s="137">
        <f>Transportation_LCIA!T$61*($W280^Transportation_LCIA!T$60)+Transportation_LCIA!T$62</f>
        <v>6.8227398697620497E-6</v>
      </c>
      <c r="AQ280" s="137">
        <f>Transportation_LCIA!U$61*($W280^Transportation_LCIA!U$60)+Transportation_LCIA!U$62</f>
        <v>1.002389311334221E-3</v>
      </c>
      <c r="AR280" s="137">
        <f>Transportation_LCIA!V$61*($W280^Transportation_LCIA!V$60)+Transportation_LCIA!V$62</f>
        <v>3.8411685160034487E-4</v>
      </c>
      <c r="AT280" s="137">
        <f>$W280*Y280+$L280*Summary_LCIA!H$32</f>
        <v>306.96592566659547</v>
      </c>
      <c r="AU280" s="137">
        <f>$W280*Z280+$L280*Summary_LCIA!Q$32</f>
        <v>3807.1012517828667</v>
      </c>
      <c r="AV280" s="137">
        <f>$W280*AA280+$L280*Summary_LCIA!R$32</f>
        <v>3.0590544491057954</v>
      </c>
      <c r="AW280" s="137">
        <f>$W280*AB280+$L280*Summary_LCIA!S$32</f>
        <v>305.21116798659546</v>
      </c>
      <c r="AX280" s="137">
        <f>$W280*AC280+$L280*Summary_LCIA!T$32</f>
        <v>86.486969822563708</v>
      </c>
      <c r="AY280" s="137">
        <f>$W280*AD280+$L280*Summary_LCIA!U$32</f>
        <v>7.3390792247645686</v>
      </c>
      <c r="AZ280" s="137">
        <f>$W280*AE280+$L280*Summary_LCIA!V$32</f>
        <v>2.4141730917697373E-2</v>
      </c>
      <c r="BA280" s="137">
        <f>$W280*AF280+$L280*Summary_LCIA!W$32</f>
        <v>38.269054359351088</v>
      </c>
      <c r="BB280" s="137">
        <f>$W280*AG280+$L280*Summary_LCIA!X$32</f>
        <v>18.436643056385229</v>
      </c>
      <c r="BC280" s="137">
        <f>$W280*AH280+$L280*Summary_LCIA!Y$32</f>
        <v>6.3873644049021578</v>
      </c>
      <c r="BD280" s="137">
        <f>$W280*AI280+$L280*Summary_LCIA!Z$32</f>
        <v>0.19053025626526643</v>
      </c>
      <c r="BE280" s="137">
        <f>$W280*AJ280+$L280*Summary_LCIA!AA$32</f>
        <v>10.06772124855542</v>
      </c>
      <c r="BF280" s="137">
        <f>$W280*AK280+$L280*Summary_LCIA!AB$32</f>
        <v>3.6700951572330498E-2</v>
      </c>
      <c r="BG280" s="137">
        <f>$W280*AL280+$L280*Summary_LCIA!AC$32</f>
        <v>4.1302068289301513E-5</v>
      </c>
      <c r="BH280" s="137">
        <f>$W280*AM280+$L280*Summary_LCIA!AD$32</f>
        <v>0.24255366765641229</v>
      </c>
      <c r="BI280" s="137">
        <f>$W280*AN280+$L280*Summary_LCIA!AE$32</f>
        <v>0.60069761562292301</v>
      </c>
      <c r="BJ280" s="137">
        <f>$W280*AO280+$L280*Summary_LCIA!AF$32</f>
        <v>0.33930523608297347</v>
      </c>
      <c r="BK280" s="137">
        <f>$W280*AP280+$L280*Summary_LCIA!AG$32</f>
        <v>2.3982824062973442E-2</v>
      </c>
      <c r="BL280" s="137">
        <f>$W280*AQ280+$L280*Summary_LCIA!AH$32</f>
        <v>3.9945731179478186</v>
      </c>
      <c r="BM280" s="137">
        <f>$W280*AR280+$L280*Summary_LCIA!AI$32</f>
        <v>0.57645468649641074</v>
      </c>
    </row>
    <row r="281" spans="1:65" x14ac:dyDescent="0.25">
      <c r="A281" s="149">
        <v>26</v>
      </c>
      <c r="B281" s="149">
        <v>6</v>
      </c>
      <c r="C281" s="61">
        <v>46.891579</v>
      </c>
      <c r="D281" s="61">
        <v>-96.800127000000003</v>
      </c>
      <c r="E281" s="61" t="s">
        <v>265</v>
      </c>
      <c r="F281" s="149">
        <v>57</v>
      </c>
      <c r="G281" s="61" t="s">
        <v>565</v>
      </c>
      <c r="H281" s="61" t="s">
        <v>641</v>
      </c>
      <c r="I281" s="61">
        <v>44.884754999999998</v>
      </c>
      <c r="J281" s="61">
        <v>-93.222284999999999</v>
      </c>
      <c r="K281" s="61">
        <v>473.17089249999998</v>
      </c>
      <c r="L281" s="61">
        <v>397.00400000000002</v>
      </c>
      <c r="M281" s="61" t="s">
        <v>617</v>
      </c>
      <c r="N281" s="149">
        <v>5</v>
      </c>
      <c r="O281" s="149">
        <v>6</v>
      </c>
      <c r="P281" s="61" t="s">
        <v>565</v>
      </c>
      <c r="Q281" s="61" t="s">
        <v>564</v>
      </c>
      <c r="R281" s="61">
        <v>41.98028</v>
      </c>
      <c r="S281" s="61">
        <v>-87.908997900000003</v>
      </c>
      <c r="T281" s="61">
        <v>1014.241</v>
      </c>
      <c r="U281" s="61" t="s">
        <v>617</v>
      </c>
      <c r="V281" s="61" t="s">
        <v>569</v>
      </c>
      <c r="W281" s="61" cm="1">
        <f t="array" ref="W281">getDistance(I281,J281,R281,S281)*SA!$B$12</f>
        <v>537.9238360294454</v>
      </c>
      <c r="Y281" s="137">
        <f>Transportation_LCIA!C$61*($W281^Transportation_LCIA!C$60)+Transportation_LCIA!C$62</f>
        <v>0.31986678213898079</v>
      </c>
      <c r="Z281" s="137">
        <f>Transportation_LCIA!D$61*($W281^Transportation_LCIA!D$60)+Transportation_LCIA!D$62</f>
        <v>3.4196837590581142</v>
      </c>
      <c r="AA281" s="137">
        <f>Transportation_LCIA!E$61*($W281^Transportation_LCIA!E$60)+Transportation_LCIA!E$62</f>
        <v>1.8006084167141755E-3</v>
      </c>
      <c r="AB281" s="137">
        <f>Transportation_LCIA!F$61*($W281^Transportation_LCIA!F$60)+Transportation_LCIA!F$62</f>
        <v>0.31986678213898079</v>
      </c>
      <c r="AC281" s="137">
        <f>Transportation_LCIA!G$61*($W281^Transportation_LCIA!G$60)+Transportation_LCIA!G$62</f>
        <v>7.9669699225259488E-2</v>
      </c>
      <c r="AD281" s="137">
        <f>Transportation_LCIA!H$61*($W281^Transportation_LCIA!H$60)+Transportation_LCIA!H$62</f>
        <v>4.2227087470452683E-4</v>
      </c>
      <c r="AE281" s="137">
        <f>Transportation_LCIA!I$61*($W281^Transportation_LCIA!I$60)+Transportation_LCIA!I$62</f>
        <v>9.6304021623867961E-6</v>
      </c>
      <c r="AF281" s="137">
        <f>Transportation_LCIA!J$61*($W281^Transportation_LCIA!J$60)+Transportation_LCIA!J$62</f>
        <v>1.4335225470337743E-2</v>
      </c>
      <c r="AG281" s="137">
        <f>Transportation_LCIA!K$61*($W281^Transportation_LCIA!K$60)+Transportation_LCIA!K$62</f>
        <v>1.7461378929992367E-2</v>
      </c>
      <c r="AH281" s="137">
        <f>Transportation_LCIA!L$61*($W281^Transportation_LCIA!L$60)+Transportation_LCIA!L$62</f>
        <v>3.741200211309115E-4</v>
      </c>
      <c r="AI281" s="137">
        <f>Transportation_LCIA!M$61*($W281^Transportation_LCIA!M$60)+Transportation_LCIA!M$62</f>
        <v>3.2392972305419126E-4</v>
      </c>
      <c r="AJ281" s="137">
        <f>Transportation_LCIA!N$61*($W281^Transportation_LCIA!N$60)+Transportation_LCIA!N$62</f>
        <v>1.4784543299395398E-3</v>
      </c>
      <c r="AK281" s="137">
        <f>Transportation_LCIA!O$61*($W281^Transportation_LCIA!O$60)+Transportation_LCIA!O$62</f>
        <v>8.4333072501823996E-5</v>
      </c>
      <c r="AL281" s="137">
        <f>Transportation_LCIA!P$61*($W281^Transportation_LCIA!P$60)+Transportation_LCIA!P$62</f>
        <v>4.0702648380323872E-8</v>
      </c>
      <c r="AM281" s="137">
        <f>Transportation_LCIA!Q$61*($W281^Transportation_LCIA!Q$60)+Transportation_LCIA!Q$62</f>
        <v>1.4754717709156823E-4</v>
      </c>
      <c r="AN281" s="137">
        <f>Transportation_LCIA!R$61*($W281^Transportation_LCIA!R$60)+Transportation_LCIA!R$62</f>
        <v>4.6270576693556009E-4</v>
      </c>
      <c r="AO281" s="137">
        <f>Transportation_LCIA!S$61*($W281^Transportation_LCIA!S$60)+Transportation_LCIA!S$62</f>
        <v>6.8227398697620497E-6</v>
      </c>
      <c r="AP281" s="137">
        <f>Transportation_LCIA!T$61*($W281^Transportation_LCIA!T$60)+Transportation_LCIA!T$62</f>
        <v>6.8227398697620497E-6</v>
      </c>
      <c r="AQ281" s="137">
        <f>Transportation_LCIA!U$61*($W281^Transportation_LCIA!U$60)+Transportation_LCIA!U$62</f>
        <v>1.002389311334221E-3</v>
      </c>
      <c r="AR281" s="137">
        <f>Transportation_LCIA!V$61*($W281^Transportation_LCIA!V$60)+Transportation_LCIA!V$62</f>
        <v>3.8411685160034487E-4</v>
      </c>
      <c r="AT281" s="137">
        <f>$W281*Y281+$L281*Summary_LCIA!H$32</f>
        <v>306.96592566659547</v>
      </c>
      <c r="AU281" s="137">
        <f>$W281*Z281+$L281*Summary_LCIA!Q$32</f>
        <v>3807.1012517828667</v>
      </c>
      <c r="AV281" s="137">
        <f>$W281*AA281+$L281*Summary_LCIA!R$32</f>
        <v>3.0590544491057954</v>
      </c>
      <c r="AW281" s="137">
        <f>$W281*AB281+$L281*Summary_LCIA!S$32</f>
        <v>305.21116798659546</v>
      </c>
      <c r="AX281" s="137">
        <f>$W281*AC281+$L281*Summary_LCIA!T$32</f>
        <v>86.486969822563708</v>
      </c>
      <c r="AY281" s="137">
        <f>$W281*AD281+$L281*Summary_LCIA!U$32</f>
        <v>7.3390792247645686</v>
      </c>
      <c r="AZ281" s="137">
        <f>$W281*AE281+$L281*Summary_LCIA!V$32</f>
        <v>2.4141730917697373E-2</v>
      </c>
      <c r="BA281" s="137">
        <f>$W281*AF281+$L281*Summary_LCIA!W$32</f>
        <v>38.269054359351088</v>
      </c>
      <c r="BB281" s="137">
        <f>$W281*AG281+$L281*Summary_LCIA!X$32</f>
        <v>18.436643056385229</v>
      </c>
      <c r="BC281" s="137">
        <f>$W281*AH281+$L281*Summary_LCIA!Y$32</f>
        <v>6.3873644049021578</v>
      </c>
      <c r="BD281" s="137">
        <f>$W281*AI281+$L281*Summary_LCIA!Z$32</f>
        <v>0.19053025626526643</v>
      </c>
      <c r="BE281" s="137">
        <f>$W281*AJ281+$L281*Summary_LCIA!AA$32</f>
        <v>10.06772124855542</v>
      </c>
      <c r="BF281" s="137">
        <f>$W281*AK281+$L281*Summary_LCIA!AB$32</f>
        <v>3.6700951572330498E-2</v>
      </c>
      <c r="BG281" s="137">
        <f>$W281*AL281+$L281*Summary_LCIA!AC$32</f>
        <v>4.1302068289301513E-5</v>
      </c>
      <c r="BH281" s="137">
        <f>$W281*AM281+$L281*Summary_LCIA!AD$32</f>
        <v>0.24255366765641229</v>
      </c>
      <c r="BI281" s="137">
        <f>$W281*AN281+$L281*Summary_LCIA!AE$32</f>
        <v>0.60069761562292301</v>
      </c>
      <c r="BJ281" s="137">
        <f>$W281*AO281+$L281*Summary_LCIA!AF$32</f>
        <v>0.33930523608297347</v>
      </c>
      <c r="BK281" s="137">
        <f>$W281*AP281+$L281*Summary_LCIA!AG$32</f>
        <v>2.3982824062973442E-2</v>
      </c>
      <c r="BL281" s="137">
        <f>$W281*AQ281+$L281*Summary_LCIA!AH$32</f>
        <v>3.9945731179478186</v>
      </c>
      <c r="BM281" s="137">
        <f>$W281*AR281+$L281*Summary_LCIA!AI$32</f>
        <v>0.57645468649641074</v>
      </c>
    </row>
    <row r="282" spans="1:65" x14ac:dyDescent="0.25">
      <c r="A282" s="149">
        <v>214</v>
      </c>
      <c r="B282" s="149">
        <v>6</v>
      </c>
      <c r="C282" s="61">
        <v>35.998092999999997</v>
      </c>
      <c r="D282" s="61">
        <v>-94.089990999999998</v>
      </c>
      <c r="E282" s="61" t="s">
        <v>265</v>
      </c>
      <c r="F282" s="149">
        <v>94</v>
      </c>
      <c r="G282" s="61" t="s">
        <v>565</v>
      </c>
      <c r="H282" s="61" t="s">
        <v>700</v>
      </c>
      <c r="I282" s="61">
        <v>36.278663000000002</v>
      </c>
      <c r="J282" s="61">
        <v>-94.306483</v>
      </c>
      <c r="K282" s="61">
        <v>583.37919480000005</v>
      </c>
      <c r="L282" s="61">
        <v>58.906999999999996</v>
      </c>
      <c r="M282" s="61" t="s">
        <v>617</v>
      </c>
      <c r="N282" s="149">
        <v>5</v>
      </c>
      <c r="O282" s="149">
        <v>6</v>
      </c>
      <c r="P282" s="61" t="s">
        <v>565</v>
      </c>
      <c r="Q282" s="61" t="s">
        <v>564</v>
      </c>
      <c r="R282" s="61">
        <v>41.98028</v>
      </c>
      <c r="S282" s="61">
        <v>-87.908997900000003</v>
      </c>
      <c r="T282" s="61">
        <v>1033.424</v>
      </c>
      <c r="U282" s="61" t="s">
        <v>617</v>
      </c>
      <c r="V282" s="61" t="s">
        <v>569</v>
      </c>
      <c r="W282" s="61" cm="1">
        <f t="array" ref="W282">getDistance(I282,J282,R282,S282)*SA!$B$12</f>
        <v>841.08228791697036</v>
      </c>
      <c r="Y282" s="137">
        <f>Transportation_LCIA!C$61*($W282^Transportation_LCIA!C$60)+Transportation_LCIA!C$62</f>
        <v>0.25483648971312539</v>
      </c>
      <c r="Z282" s="137">
        <f>Transportation_LCIA!D$61*($W282^Transportation_LCIA!D$60)+Transportation_LCIA!D$62</f>
        <v>2.6472723861775869</v>
      </c>
      <c r="AA282" s="137">
        <f>Transportation_LCIA!E$61*($W282^Transportation_LCIA!E$60)+Transportation_LCIA!E$62</f>
        <v>1.2902322112089038E-3</v>
      </c>
      <c r="AB282" s="137">
        <f>Transportation_LCIA!F$61*($W282^Transportation_LCIA!F$60)+Transportation_LCIA!F$62</f>
        <v>0.25483648971312539</v>
      </c>
      <c r="AC282" s="137">
        <f>Transportation_LCIA!G$61*($W282^Transportation_LCIA!G$60)+Transportation_LCIA!G$62</f>
        <v>6.1817770666351725E-2</v>
      </c>
      <c r="AD282" s="137">
        <f>Transportation_LCIA!H$61*($W282^Transportation_LCIA!H$60)+Transportation_LCIA!H$62</f>
        <v>3.0894329660543525E-4</v>
      </c>
      <c r="AE282" s="137">
        <f>Transportation_LCIA!I$61*($W282^Transportation_LCIA!I$60)+Transportation_LCIA!I$62</f>
        <v>6.7320549290728598E-6</v>
      </c>
      <c r="AF282" s="137">
        <f>Transportation_LCIA!J$61*($W282^Transportation_LCIA!J$60)+Transportation_LCIA!J$62</f>
        <v>9.973917442371992E-3</v>
      </c>
      <c r="AG282" s="137">
        <f>Transportation_LCIA!K$61*($W282^Transportation_LCIA!K$60)+Transportation_LCIA!K$62</f>
        <v>1.3256802550257076E-2</v>
      </c>
      <c r="AH282" s="137">
        <f>Transportation_LCIA!L$61*($W282^Transportation_LCIA!L$60)+Transportation_LCIA!L$62</f>
        <v>2.6946356013672829E-4</v>
      </c>
      <c r="AI282" s="137">
        <f>Transportation_LCIA!M$61*($W282^Transportation_LCIA!M$60)+Transportation_LCIA!M$62</f>
        <v>2.6135180851105747E-4</v>
      </c>
      <c r="AJ282" s="137">
        <f>Transportation_LCIA!N$61*($W282^Transportation_LCIA!N$60)+Transportation_LCIA!N$62</f>
        <v>1.0979065814177152E-3</v>
      </c>
      <c r="AK282" s="137">
        <f>Transportation_LCIA!O$61*($W282^Transportation_LCIA!O$60)+Transportation_LCIA!O$62</f>
        <v>6.5353896392131321E-5</v>
      </c>
      <c r="AL282" s="137">
        <f>Transportation_LCIA!P$61*($W282^Transportation_LCIA!P$60)+Transportation_LCIA!P$62</f>
        <v>3.1589636452966191E-8</v>
      </c>
      <c r="AM282" s="137">
        <f>Transportation_LCIA!Q$61*($W282^Transportation_LCIA!Q$60)+Transportation_LCIA!Q$62</f>
        <v>1.0652706733180661E-4</v>
      </c>
      <c r="AN282" s="137">
        <f>Transportation_LCIA!R$61*($W282^Transportation_LCIA!R$60)+Transportation_LCIA!R$62</f>
        <v>3.2366826181379828E-4</v>
      </c>
      <c r="AO282" s="137">
        <f>Transportation_LCIA!S$61*($W282^Transportation_LCIA!S$60)+Transportation_LCIA!S$62</f>
        <v>4.850900823039175E-6</v>
      </c>
      <c r="AP282" s="137">
        <f>Transportation_LCIA!T$61*($W282^Transportation_LCIA!T$60)+Transportation_LCIA!T$62</f>
        <v>4.850900823039175E-6</v>
      </c>
      <c r="AQ282" s="137">
        <f>Transportation_LCIA!U$61*($W282^Transportation_LCIA!U$60)+Transportation_LCIA!U$62</f>
        <v>6.965605332122526E-4</v>
      </c>
      <c r="AR282" s="137">
        <f>Transportation_LCIA!V$61*($W282^Transportation_LCIA!V$60)+Transportation_LCIA!V$62</f>
        <v>2.7706903123845639E-4</v>
      </c>
      <c r="AT282" s="137">
        <f>$W282*Y282+$L282*Summary_LCIA!H$32</f>
        <v>234.35505641264498</v>
      </c>
      <c r="AU282" s="137">
        <f>$W282*Z282+$L282*Summary_LCIA!Q$32</f>
        <v>2518.5199781623933</v>
      </c>
      <c r="AV282" s="137">
        <f>$W282*AA282+$L282*Summary_LCIA!R$32</f>
        <v>1.3953721593477566</v>
      </c>
      <c r="AW282" s="137">
        <f>$W282*AB282+$L282*Summary_LCIA!S$32</f>
        <v>234.09468747264498</v>
      </c>
      <c r="AX282" s="137">
        <f>$W282*AC282+$L282*Summary_LCIA!T$32</f>
        <v>58.467711285981686</v>
      </c>
      <c r="AY282" s="137">
        <f>$W282*AD282+$L282*Summary_LCIA!U$32</f>
        <v>1.3151067327455106</v>
      </c>
      <c r="AZ282" s="137">
        <f>$W282*AE282+$L282*Summary_LCIA!V$32</f>
        <v>8.4756693891273188E-3</v>
      </c>
      <c r="BA282" s="137">
        <f>$W282*AF282+$L282*Summary_LCIA!W$32</f>
        <v>12.923015998925212</v>
      </c>
      <c r="BB282" s="137">
        <f>$W282*AG282+$L282*Summary_LCIA!X$32</f>
        <v>12.491963279433749</v>
      </c>
      <c r="BC282" s="137">
        <f>$W282*AH282+$L282*Summary_LCIA!Y$32</f>
        <v>1.1445299016700514</v>
      </c>
      <c r="BD282" s="137">
        <f>$W282*AI282+$L282*Summary_LCIA!Z$32</f>
        <v>0.22223409421671814</v>
      </c>
      <c r="BE282" s="137">
        <f>$W282*AJ282+$L282*Summary_LCIA!AA$32</f>
        <v>2.299261671417911</v>
      </c>
      <c r="BF282" s="137">
        <f>$W282*AK282+$L282*Summary_LCIA!AB$32</f>
        <v>5.3682477240782449E-2</v>
      </c>
      <c r="BG282" s="137">
        <f>$W282*AL282+$L282*Summary_LCIA!AC$32</f>
        <v>2.9449093490326133E-5</v>
      </c>
      <c r="BH282" s="137">
        <f>$W282*AM282+$L282*Summary_LCIA!AD$32</f>
        <v>0.11381116279652105</v>
      </c>
      <c r="BI282" s="137">
        <f>$W282*AN282+$L282*Summary_LCIA!AE$32</f>
        <v>0.32443090208245845</v>
      </c>
      <c r="BJ282" s="137">
        <f>$W282*AO282+$L282*Summary_LCIA!AF$32</f>
        <v>5.3881162702700103E-2</v>
      </c>
      <c r="BK282" s="137">
        <f>$W282*AP282+$L282*Summary_LCIA!AG$32</f>
        <v>7.0939834177001036E-3</v>
      </c>
      <c r="BL282" s="137">
        <f>$W282*AQ282+$L282*Summary_LCIA!AH$32</f>
        <v>1.0985676921468261</v>
      </c>
      <c r="BM282" s="137">
        <f>$W282*AR282+$L282*Summary_LCIA!AI$32</f>
        <v>0.28791267055497943</v>
      </c>
    </row>
    <row r="283" spans="1:65" x14ac:dyDescent="0.25">
      <c r="A283" s="149">
        <v>215</v>
      </c>
      <c r="B283" s="149">
        <v>6</v>
      </c>
      <c r="C283" s="61">
        <v>35.998092999999997</v>
      </c>
      <c r="D283" s="61">
        <v>-94.089990999999998</v>
      </c>
      <c r="E283" s="61" t="s">
        <v>265</v>
      </c>
      <c r="F283" s="149">
        <v>94</v>
      </c>
      <c r="G283" s="61" t="s">
        <v>565</v>
      </c>
      <c r="H283" s="61" t="s">
        <v>700</v>
      </c>
      <c r="I283" s="61">
        <v>36.278663000000002</v>
      </c>
      <c r="J283" s="61">
        <v>-94.306483</v>
      </c>
      <c r="K283" s="61">
        <v>583.37919480000005</v>
      </c>
      <c r="L283" s="61">
        <v>58.906999999999996</v>
      </c>
      <c r="M283" s="61" t="s">
        <v>617</v>
      </c>
      <c r="N283" s="149">
        <v>5</v>
      </c>
      <c r="O283" s="149">
        <v>6</v>
      </c>
      <c r="P283" s="61" t="s">
        <v>565</v>
      </c>
      <c r="Q283" s="61" t="s">
        <v>564</v>
      </c>
      <c r="R283" s="61">
        <v>41.98028</v>
      </c>
      <c r="S283" s="61">
        <v>-87.908997900000003</v>
      </c>
      <c r="T283" s="61">
        <v>1033.424</v>
      </c>
      <c r="U283" s="61" t="s">
        <v>617</v>
      </c>
      <c r="V283" s="61" t="s">
        <v>569</v>
      </c>
      <c r="W283" s="61" cm="1">
        <f t="array" ref="W283">getDistance(I283,J283,R283,S283)*SA!$B$12</f>
        <v>841.08228791697036</v>
      </c>
      <c r="Y283" s="137">
        <f>Transportation_LCIA!C$61*($W283^Transportation_LCIA!C$60)+Transportation_LCIA!C$62</f>
        <v>0.25483648971312539</v>
      </c>
      <c r="Z283" s="137">
        <f>Transportation_LCIA!D$61*($W283^Transportation_LCIA!D$60)+Transportation_LCIA!D$62</f>
        <v>2.6472723861775869</v>
      </c>
      <c r="AA283" s="137">
        <f>Transportation_LCIA!E$61*($W283^Transportation_LCIA!E$60)+Transportation_LCIA!E$62</f>
        <v>1.2902322112089038E-3</v>
      </c>
      <c r="AB283" s="137">
        <f>Transportation_LCIA!F$61*($W283^Transportation_LCIA!F$60)+Transportation_LCIA!F$62</f>
        <v>0.25483648971312539</v>
      </c>
      <c r="AC283" s="137">
        <f>Transportation_LCIA!G$61*($W283^Transportation_LCIA!G$60)+Transportation_LCIA!G$62</f>
        <v>6.1817770666351725E-2</v>
      </c>
      <c r="AD283" s="137">
        <f>Transportation_LCIA!H$61*($W283^Transportation_LCIA!H$60)+Transportation_LCIA!H$62</f>
        <v>3.0894329660543525E-4</v>
      </c>
      <c r="AE283" s="137">
        <f>Transportation_LCIA!I$61*($W283^Transportation_LCIA!I$60)+Transportation_LCIA!I$62</f>
        <v>6.7320549290728598E-6</v>
      </c>
      <c r="AF283" s="137">
        <f>Transportation_LCIA!J$61*($W283^Transportation_LCIA!J$60)+Transportation_LCIA!J$62</f>
        <v>9.973917442371992E-3</v>
      </c>
      <c r="AG283" s="137">
        <f>Transportation_LCIA!K$61*($W283^Transportation_LCIA!K$60)+Transportation_LCIA!K$62</f>
        <v>1.3256802550257076E-2</v>
      </c>
      <c r="AH283" s="137">
        <f>Transportation_LCIA!L$61*($W283^Transportation_LCIA!L$60)+Transportation_LCIA!L$62</f>
        <v>2.6946356013672829E-4</v>
      </c>
      <c r="AI283" s="137">
        <f>Transportation_LCIA!M$61*($W283^Transportation_LCIA!M$60)+Transportation_LCIA!M$62</f>
        <v>2.6135180851105747E-4</v>
      </c>
      <c r="AJ283" s="137">
        <f>Transportation_LCIA!N$61*($W283^Transportation_LCIA!N$60)+Transportation_LCIA!N$62</f>
        <v>1.0979065814177152E-3</v>
      </c>
      <c r="AK283" s="137">
        <f>Transportation_LCIA!O$61*($W283^Transportation_LCIA!O$60)+Transportation_LCIA!O$62</f>
        <v>6.5353896392131321E-5</v>
      </c>
      <c r="AL283" s="137">
        <f>Transportation_LCIA!P$61*($W283^Transportation_LCIA!P$60)+Transportation_LCIA!P$62</f>
        <v>3.1589636452966191E-8</v>
      </c>
      <c r="AM283" s="137">
        <f>Transportation_LCIA!Q$61*($W283^Transportation_LCIA!Q$60)+Transportation_LCIA!Q$62</f>
        <v>1.0652706733180661E-4</v>
      </c>
      <c r="AN283" s="137">
        <f>Transportation_LCIA!R$61*($W283^Transportation_LCIA!R$60)+Transportation_LCIA!R$62</f>
        <v>3.2366826181379828E-4</v>
      </c>
      <c r="AO283" s="137">
        <f>Transportation_LCIA!S$61*($W283^Transportation_LCIA!S$60)+Transportation_LCIA!S$62</f>
        <v>4.850900823039175E-6</v>
      </c>
      <c r="AP283" s="137">
        <f>Transportation_LCIA!T$61*($W283^Transportation_LCIA!T$60)+Transportation_LCIA!T$62</f>
        <v>4.850900823039175E-6</v>
      </c>
      <c r="AQ283" s="137">
        <f>Transportation_LCIA!U$61*($W283^Transportation_LCIA!U$60)+Transportation_LCIA!U$62</f>
        <v>6.965605332122526E-4</v>
      </c>
      <c r="AR283" s="137">
        <f>Transportation_LCIA!V$61*($W283^Transportation_LCIA!V$60)+Transportation_LCIA!V$62</f>
        <v>2.7706903123845639E-4</v>
      </c>
      <c r="AT283" s="137">
        <f>$W283*Y283+$L283*Summary_LCIA!H$32</f>
        <v>234.35505641264498</v>
      </c>
      <c r="AU283" s="137">
        <f>$W283*Z283+$L283*Summary_LCIA!Q$32</f>
        <v>2518.5199781623933</v>
      </c>
      <c r="AV283" s="137">
        <f>$W283*AA283+$L283*Summary_LCIA!R$32</f>
        <v>1.3953721593477566</v>
      </c>
      <c r="AW283" s="137">
        <f>$W283*AB283+$L283*Summary_LCIA!S$32</f>
        <v>234.09468747264498</v>
      </c>
      <c r="AX283" s="137">
        <f>$W283*AC283+$L283*Summary_LCIA!T$32</f>
        <v>58.467711285981686</v>
      </c>
      <c r="AY283" s="137">
        <f>$W283*AD283+$L283*Summary_LCIA!U$32</f>
        <v>1.3151067327455106</v>
      </c>
      <c r="AZ283" s="137">
        <f>$W283*AE283+$L283*Summary_LCIA!V$32</f>
        <v>8.4756693891273188E-3</v>
      </c>
      <c r="BA283" s="137">
        <f>$W283*AF283+$L283*Summary_LCIA!W$32</f>
        <v>12.923015998925212</v>
      </c>
      <c r="BB283" s="137">
        <f>$W283*AG283+$L283*Summary_LCIA!X$32</f>
        <v>12.491963279433749</v>
      </c>
      <c r="BC283" s="137">
        <f>$W283*AH283+$L283*Summary_LCIA!Y$32</f>
        <v>1.1445299016700514</v>
      </c>
      <c r="BD283" s="137">
        <f>$W283*AI283+$L283*Summary_LCIA!Z$32</f>
        <v>0.22223409421671814</v>
      </c>
      <c r="BE283" s="137">
        <f>$W283*AJ283+$L283*Summary_LCIA!AA$32</f>
        <v>2.299261671417911</v>
      </c>
      <c r="BF283" s="137">
        <f>$W283*AK283+$L283*Summary_LCIA!AB$32</f>
        <v>5.3682477240782449E-2</v>
      </c>
      <c r="BG283" s="137">
        <f>$W283*AL283+$L283*Summary_LCIA!AC$32</f>
        <v>2.9449093490326133E-5</v>
      </c>
      <c r="BH283" s="137">
        <f>$W283*AM283+$L283*Summary_LCIA!AD$32</f>
        <v>0.11381116279652105</v>
      </c>
      <c r="BI283" s="137">
        <f>$W283*AN283+$L283*Summary_LCIA!AE$32</f>
        <v>0.32443090208245845</v>
      </c>
      <c r="BJ283" s="137">
        <f>$W283*AO283+$L283*Summary_LCIA!AF$32</f>
        <v>5.3881162702700103E-2</v>
      </c>
      <c r="BK283" s="137">
        <f>$W283*AP283+$L283*Summary_LCIA!AG$32</f>
        <v>7.0939834177001036E-3</v>
      </c>
      <c r="BL283" s="137">
        <f>$W283*AQ283+$L283*Summary_LCIA!AH$32</f>
        <v>1.0985676921468261</v>
      </c>
      <c r="BM283" s="137">
        <f>$W283*AR283+$L283*Summary_LCIA!AI$32</f>
        <v>0.28791267055497943</v>
      </c>
    </row>
    <row r="284" spans="1:65" x14ac:dyDescent="0.25">
      <c r="A284" s="149">
        <v>216</v>
      </c>
      <c r="B284" s="149">
        <v>6</v>
      </c>
      <c r="C284" s="61">
        <v>35.998092999999997</v>
      </c>
      <c r="D284" s="61">
        <v>-94.089990999999998</v>
      </c>
      <c r="E284" s="61" t="s">
        <v>265</v>
      </c>
      <c r="F284" s="149">
        <v>94</v>
      </c>
      <c r="G284" s="61" t="s">
        <v>565</v>
      </c>
      <c r="H284" s="61" t="s">
        <v>700</v>
      </c>
      <c r="I284" s="61">
        <v>36.278663000000002</v>
      </c>
      <c r="J284" s="61">
        <v>-94.306483</v>
      </c>
      <c r="K284" s="61">
        <v>583.37919480000005</v>
      </c>
      <c r="L284" s="61">
        <v>58.906999999999996</v>
      </c>
      <c r="M284" s="61" t="s">
        <v>617</v>
      </c>
      <c r="N284" s="149">
        <v>5</v>
      </c>
      <c r="O284" s="149">
        <v>6</v>
      </c>
      <c r="P284" s="61" t="s">
        <v>565</v>
      </c>
      <c r="Q284" s="61" t="s">
        <v>564</v>
      </c>
      <c r="R284" s="61">
        <v>41.98028</v>
      </c>
      <c r="S284" s="61">
        <v>-87.908997900000003</v>
      </c>
      <c r="T284" s="61">
        <v>1033.424</v>
      </c>
      <c r="U284" s="61" t="s">
        <v>617</v>
      </c>
      <c r="V284" s="61" t="s">
        <v>569</v>
      </c>
      <c r="W284" s="61" cm="1">
        <f t="array" ref="W284">getDistance(I284,J284,R284,S284)*SA!$B$12</f>
        <v>841.08228791697036</v>
      </c>
      <c r="Y284" s="137">
        <f>Transportation_LCIA!C$61*($W284^Transportation_LCIA!C$60)+Transportation_LCIA!C$62</f>
        <v>0.25483648971312539</v>
      </c>
      <c r="Z284" s="137">
        <f>Transportation_LCIA!D$61*($W284^Transportation_LCIA!D$60)+Transportation_LCIA!D$62</f>
        <v>2.6472723861775869</v>
      </c>
      <c r="AA284" s="137">
        <f>Transportation_LCIA!E$61*($W284^Transportation_LCIA!E$60)+Transportation_LCIA!E$62</f>
        <v>1.2902322112089038E-3</v>
      </c>
      <c r="AB284" s="137">
        <f>Transportation_LCIA!F$61*($W284^Transportation_LCIA!F$60)+Transportation_LCIA!F$62</f>
        <v>0.25483648971312539</v>
      </c>
      <c r="AC284" s="137">
        <f>Transportation_LCIA!G$61*($W284^Transportation_LCIA!G$60)+Transportation_LCIA!G$62</f>
        <v>6.1817770666351725E-2</v>
      </c>
      <c r="AD284" s="137">
        <f>Transportation_LCIA!H$61*($W284^Transportation_LCIA!H$60)+Transportation_LCIA!H$62</f>
        <v>3.0894329660543525E-4</v>
      </c>
      <c r="AE284" s="137">
        <f>Transportation_LCIA!I$61*($W284^Transportation_LCIA!I$60)+Transportation_LCIA!I$62</f>
        <v>6.7320549290728598E-6</v>
      </c>
      <c r="AF284" s="137">
        <f>Transportation_LCIA!J$61*($W284^Transportation_LCIA!J$60)+Transportation_LCIA!J$62</f>
        <v>9.973917442371992E-3</v>
      </c>
      <c r="AG284" s="137">
        <f>Transportation_LCIA!K$61*($W284^Transportation_LCIA!K$60)+Transportation_LCIA!K$62</f>
        <v>1.3256802550257076E-2</v>
      </c>
      <c r="AH284" s="137">
        <f>Transportation_LCIA!L$61*($W284^Transportation_LCIA!L$60)+Transportation_LCIA!L$62</f>
        <v>2.6946356013672829E-4</v>
      </c>
      <c r="AI284" s="137">
        <f>Transportation_LCIA!M$61*($W284^Transportation_LCIA!M$60)+Transportation_LCIA!M$62</f>
        <v>2.6135180851105747E-4</v>
      </c>
      <c r="AJ284" s="137">
        <f>Transportation_LCIA!N$61*($W284^Transportation_LCIA!N$60)+Transportation_LCIA!N$62</f>
        <v>1.0979065814177152E-3</v>
      </c>
      <c r="AK284" s="137">
        <f>Transportation_LCIA!O$61*($W284^Transportation_LCIA!O$60)+Transportation_LCIA!O$62</f>
        <v>6.5353896392131321E-5</v>
      </c>
      <c r="AL284" s="137">
        <f>Transportation_LCIA!P$61*($W284^Transportation_LCIA!P$60)+Transportation_LCIA!P$62</f>
        <v>3.1589636452966191E-8</v>
      </c>
      <c r="AM284" s="137">
        <f>Transportation_LCIA!Q$61*($W284^Transportation_LCIA!Q$60)+Transportation_LCIA!Q$62</f>
        <v>1.0652706733180661E-4</v>
      </c>
      <c r="AN284" s="137">
        <f>Transportation_LCIA!R$61*($W284^Transportation_LCIA!R$60)+Transportation_LCIA!R$62</f>
        <v>3.2366826181379828E-4</v>
      </c>
      <c r="AO284" s="137">
        <f>Transportation_LCIA!S$61*($W284^Transportation_LCIA!S$60)+Transportation_LCIA!S$62</f>
        <v>4.850900823039175E-6</v>
      </c>
      <c r="AP284" s="137">
        <f>Transportation_LCIA!T$61*($W284^Transportation_LCIA!T$60)+Transportation_LCIA!T$62</f>
        <v>4.850900823039175E-6</v>
      </c>
      <c r="AQ284" s="137">
        <f>Transportation_LCIA!U$61*($W284^Transportation_LCIA!U$60)+Transportation_LCIA!U$62</f>
        <v>6.965605332122526E-4</v>
      </c>
      <c r="AR284" s="137">
        <f>Transportation_LCIA!V$61*($W284^Transportation_LCIA!V$60)+Transportation_LCIA!V$62</f>
        <v>2.7706903123845639E-4</v>
      </c>
      <c r="AT284" s="137">
        <f>$W284*Y284+$L284*Summary_LCIA!H$32</f>
        <v>234.35505641264498</v>
      </c>
      <c r="AU284" s="137">
        <f>$W284*Z284+$L284*Summary_LCIA!Q$32</f>
        <v>2518.5199781623933</v>
      </c>
      <c r="AV284" s="137">
        <f>$W284*AA284+$L284*Summary_LCIA!R$32</f>
        <v>1.3953721593477566</v>
      </c>
      <c r="AW284" s="137">
        <f>$W284*AB284+$L284*Summary_LCIA!S$32</f>
        <v>234.09468747264498</v>
      </c>
      <c r="AX284" s="137">
        <f>$W284*AC284+$L284*Summary_LCIA!T$32</f>
        <v>58.467711285981686</v>
      </c>
      <c r="AY284" s="137">
        <f>$W284*AD284+$L284*Summary_LCIA!U$32</f>
        <v>1.3151067327455106</v>
      </c>
      <c r="AZ284" s="137">
        <f>$W284*AE284+$L284*Summary_LCIA!V$32</f>
        <v>8.4756693891273188E-3</v>
      </c>
      <c r="BA284" s="137">
        <f>$W284*AF284+$L284*Summary_LCIA!W$32</f>
        <v>12.923015998925212</v>
      </c>
      <c r="BB284" s="137">
        <f>$W284*AG284+$L284*Summary_LCIA!X$32</f>
        <v>12.491963279433749</v>
      </c>
      <c r="BC284" s="137">
        <f>$W284*AH284+$L284*Summary_LCIA!Y$32</f>
        <v>1.1445299016700514</v>
      </c>
      <c r="BD284" s="137">
        <f>$W284*AI284+$L284*Summary_LCIA!Z$32</f>
        <v>0.22223409421671814</v>
      </c>
      <c r="BE284" s="137">
        <f>$W284*AJ284+$L284*Summary_LCIA!AA$32</f>
        <v>2.299261671417911</v>
      </c>
      <c r="BF284" s="137">
        <f>$W284*AK284+$L284*Summary_LCIA!AB$32</f>
        <v>5.3682477240782449E-2</v>
      </c>
      <c r="BG284" s="137">
        <f>$W284*AL284+$L284*Summary_LCIA!AC$32</f>
        <v>2.9449093490326133E-5</v>
      </c>
      <c r="BH284" s="137">
        <f>$W284*AM284+$L284*Summary_LCIA!AD$32</f>
        <v>0.11381116279652105</v>
      </c>
      <c r="BI284" s="137">
        <f>$W284*AN284+$L284*Summary_LCIA!AE$32</f>
        <v>0.32443090208245845</v>
      </c>
      <c r="BJ284" s="137">
        <f>$W284*AO284+$L284*Summary_LCIA!AF$32</f>
        <v>5.3881162702700103E-2</v>
      </c>
      <c r="BK284" s="137">
        <f>$W284*AP284+$L284*Summary_LCIA!AG$32</f>
        <v>7.0939834177001036E-3</v>
      </c>
      <c r="BL284" s="137">
        <f>$W284*AQ284+$L284*Summary_LCIA!AH$32</f>
        <v>1.0985676921468261</v>
      </c>
      <c r="BM284" s="137">
        <f>$W284*AR284+$L284*Summary_LCIA!AI$32</f>
        <v>0.28791267055497943</v>
      </c>
    </row>
    <row r="285" spans="1:65" x14ac:dyDescent="0.25">
      <c r="A285" s="149">
        <v>41</v>
      </c>
      <c r="B285" s="149">
        <v>6</v>
      </c>
      <c r="C285" s="61">
        <v>35.099532000000004</v>
      </c>
      <c r="D285" s="61">
        <v>-92.440676999999994</v>
      </c>
      <c r="E285" s="61" t="s">
        <v>265</v>
      </c>
      <c r="F285" s="149">
        <v>91</v>
      </c>
      <c r="G285" s="61" t="s">
        <v>565</v>
      </c>
      <c r="H285" s="61" t="s">
        <v>646</v>
      </c>
      <c r="I285" s="61">
        <v>34.904254999999999</v>
      </c>
      <c r="J285" s="61">
        <v>-92.470821999999998</v>
      </c>
      <c r="K285" s="61">
        <v>552.08197859999996</v>
      </c>
      <c r="L285" s="61">
        <v>69.558000000000007</v>
      </c>
      <c r="M285" s="61" t="s">
        <v>617</v>
      </c>
      <c r="N285" s="149">
        <v>5</v>
      </c>
      <c r="O285" s="149">
        <v>6</v>
      </c>
      <c r="P285" s="61" t="s">
        <v>565</v>
      </c>
      <c r="Q285" s="61" t="s">
        <v>564</v>
      </c>
      <c r="R285" s="61">
        <v>41.98028</v>
      </c>
      <c r="S285" s="61">
        <v>-87.908997900000003</v>
      </c>
      <c r="T285" s="61">
        <v>1039.808</v>
      </c>
      <c r="U285" s="61" t="s">
        <v>617</v>
      </c>
      <c r="V285" s="61" t="s">
        <v>569</v>
      </c>
      <c r="W285" s="61" cm="1">
        <f t="array" ref="W285">getDistance(I285,J285,R285,S285)*SA!$B$12</f>
        <v>881.76844828334811</v>
      </c>
      <c r="Y285" s="137">
        <f>Transportation_LCIA!C$61*($W285^Transportation_LCIA!C$60)+Transportation_LCIA!C$62</f>
        <v>0.24928238824697607</v>
      </c>
      <c r="Z285" s="137">
        <f>Transportation_LCIA!D$61*($W285^Transportation_LCIA!D$60)+Transportation_LCIA!D$62</f>
        <v>2.5820463246023846</v>
      </c>
      <c r="AA285" s="137">
        <f>Transportation_LCIA!E$61*($W285^Transportation_LCIA!E$60)+Transportation_LCIA!E$62</f>
        <v>1.2472710258653861E-3</v>
      </c>
      <c r="AB285" s="137">
        <f>Transportation_LCIA!F$61*($W285^Transportation_LCIA!F$60)+Transportation_LCIA!F$62</f>
        <v>0.24928238824697607</v>
      </c>
      <c r="AC285" s="137">
        <f>Transportation_LCIA!G$61*($W285^Transportation_LCIA!G$60)+Transportation_LCIA!G$62</f>
        <v>6.0309270822787774E-2</v>
      </c>
      <c r="AD285" s="137">
        <f>Transportation_LCIA!H$61*($W285^Transportation_LCIA!H$60)+Transportation_LCIA!H$62</f>
        <v>2.9946393440219324E-4</v>
      </c>
      <c r="AE285" s="137">
        <f>Transportation_LCIA!I$61*($W285^Transportation_LCIA!I$60)+Transportation_LCIA!I$62</f>
        <v>6.4920785808823515E-6</v>
      </c>
      <c r="AF285" s="137">
        <f>Transportation_LCIA!J$61*($W285^Transportation_LCIA!J$60)+Transportation_LCIA!J$62</f>
        <v>9.6152121456146433E-3</v>
      </c>
      <c r="AG285" s="137">
        <f>Transportation_LCIA!K$61*($W285^Transportation_LCIA!K$60)+Transportation_LCIA!K$62</f>
        <v>1.2903546660169671E-2</v>
      </c>
      <c r="AH285" s="137">
        <f>Transportation_LCIA!L$61*($W285^Transportation_LCIA!L$60)+Transportation_LCIA!L$62</f>
        <v>2.6073484233971722E-4</v>
      </c>
      <c r="AI285" s="137">
        <f>Transportation_LCIA!M$61*($W285^Transportation_LCIA!M$60)+Transportation_LCIA!M$62</f>
        <v>2.5611923805786527E-4</v>
      </c>
      <c r="AJ285" s="137">
        <f>Transportation_LCIA!N$61*($W285^Transportation_LCIA!N$60)+Transportation_LCIA!N$62</f>
        <v>1.0660496523671992E-3</v>
      </c>
      <c r="AK285" s="137">
        <f>Transportation_LCIA!O$61*($W285^Transportation_LCIA!O$60)+Transportation_LCIA!O$62</f>
        <v>6.3750643740196109E-5</v>
      </c>
      <c r="AL285" s="137">
        <f>Transportation_LCIA!P$61*($W285^Transportation_LCIA!P$60)+Transportation_LCIA!P$62</f>
        <v>3.0819170729281392E-8</v>
      </c>
      <c r="AM285" s="137">
        <f>Transportation_LCIA!Q$61*($W285^Transportation_LCIA!Q$60)+Transportation_LCIA!Q$62</f>
        <v>1.0311118496175203E-4</v>
      </c>
      <c r="AN285" s="137">
        <f>Transportation_LCIA!R$61*($W285^Transportation_LCIA!R$60)+Transportation_LCIA!R$62</f>
        <v>3.1215912043344745E-4</v>
      </c>
      <c r="AO285" s="137">
        <f>Transportation_LCIA!S$61*($W285^Transportation_LCIA!S$60)+Transportation_LCIA!S$62</f>
        <v>4.6876028483773633E-6</v>
      </c>
      <c r="AP285" s="137">
        <f>Transportation_LCIA!T$61*($W285^Transportation_LCIA!T$60)+Transportation_LCIA!T$62</f>
        <v>4.6876028483773633E-6</v>
      </c>
      <c r="AQ285" s="137">
        <f>Transportation_LCIA!U$61*($W285^Transportation_LCIA!U$60)+Transportation_LCIA!U$62</f>
        <v>6.7129382585122725E-4</v>
      </c>
      <c r="AR285" s="137">
        <f>Transportation_LCIA!V$61*($W285^Transportation_LCIA!V$60)+Transportation_LCIA!V$62</f>
        <v>2.6817274724964102E-4</v>
      </c>
      <c r="AT285" s="137">
        <f>$W285*Y285+$L285*Summary_LCIA!H$32</f>
        <v>243.44515306890324</v>
      </c>
      <c r="AU285" s="137">
        <f>$W285*Z285+$L285*Summary_LCIA!Q$32</f>
        <v>2621.4999370589808</v>
      </c>
      <c r="AV285" s="137">
        <f>$W285*AA285+$L285*Summary_LCIA!R$32</f>
        <v>1.4660688418661012</v>
      </c>
      <c r="AW285" s="137">
        <f>$W285*AB285+$L285*Summary_LCIA!S$32</f>
        <v>243.13770670890324</v>
      </c>
      <c r="AX285" s="137">
        <f>$W285*AC285+$L285*Summary_LCIA!T$32</f>
        <v>60.823236350509781</v>
      </c>
      <c r="AY285" s="137">
        <f>$W285*AD285+$L285*Summary_LCIA!U$32</f>
        <v>1.5101198607546484</v>
      </c>
      <c r="AZ285" s="137">
        <f>$W285*AE285+$L285*Summary_LCIA!V$32</f>
        <v>9.046669694398192E-3</v>
      </c>
      <c r="BA285" s="137">
        <f>$W285*AF285+$L285*Summary_LCIA!W$32</f>
        <v>13.832339511553826</v>
      </c>
      <c r="BB285" s="137">
        <f>$W285*AG285+$L285*Summary_LCIA!X$32</f>
        <v>12.962471555889589</v>
      </c>
      <c r="BC285" s="137">
        <f>$W285*AH285+$L285*Summary_LCIA!Y$32</f>
        <v>1.3137605133432961</v>
      </c>
      <c r="BD285" s="137">
        <f>$W285*AI285+$L285*Summary_LCIA!Z$32</f>
        <v>0.22869036713979729</v>
      </c>
      <c r="BE285" s="137">
        <f>$W285*AJ285+$L285*Summary_LCIA!AA$32</f>
        <v>2.564605595760828</v>
      </c>
      <c r="BF285" s="137">
        <f>$W285*AK285+$L285*Summary_LCIA!AB$32</f>
        <v>5.469534197385726E-2</v>
      </c>
      <c r="BG285" s="137">
        <f>$W285*AL285+$L285*Summary_LCIA!AC$32</f>
        <v>3.0575645623338033E-5</v>
      </c>
      <c r="BH285" s="137">
        <f>$W285*AM285+$L285*Summary_LCIA!AD$32</f>
        <v>0.11951130988438138</v>
      </c>
      <c r="BI285" s="137">
        <f>$W285*AN285+$L285*Summary_LCIA!AE$32</f>
        <v>0.33688949378209571</v>
      </c>
      <c r="BJ285" s="137">
        <f>$W285*AO285+$L285*Summary_LCIA!AF$32</f>
        <v>6.2939104649782321E-2</v>
      </c>
      <c r="BK285" s="137">
        <f>$W285*AP285+$L285*Summary_LCIA!AG$32</f>
        <v>7.6923153597823106E-3</v>
      </c>
      <c r="BL285" s="137">
        <f>$W285*AQ285+$L285*Summary_LCIA!AH$32</f>
        <v>1.1973307239630289</v>
      </c>
      <c r="BM285" s="137">
        <f>$W285*AR285+$L285*Summary_LCIA!AI$32</f>
        <v>0.30126302211419848</v>
      </c>
    </row>
    <row r="286" spans="1:65" x14ac:dyDescent="0.25">
      <c r="A286" s="149">
        <v>42</v>
      </c>
      <c r="B286" s="149">
        <v>6</v>
      </c>
      <c r="C286" s="61">
        <v>35.099532000000004</v>
      </c>
      <c r="D286" s="61">
        <v>-92.440676999999994</v>
      </c>
      <c r="E286" s="61" t="s">
        <v>265</v>
      </c>
      <c r="F286" s="149">
        <v>91</v>
      </c>
      <c r="G286" s="61" t="s">
        <v>565</v>
      </c>
      <c r="H286" s="61" t="s">
        <v>646</v>
      </c>
      <c r="I286" s="61">
        <v>34.904254999999999</v>
      </c>
      <c r="J286" s="61">
        <v>-92.470821999999998</v>
      </c>
      <c r="K286" s="61">
        <v>552.08197859999996</v>
      </c>
      <c r="L286" s="61">
        <v>69.558000000000007</v>
      </c>
      <c r="M286" s="61" t="s">
        <v>617</v>
      </c>
      <c r="N286" s="149">
        <v>5</v>
      </c>
      <c r="O286" s="149">
        <v>6</v>
      </c>
      <c r="P286" s="61" t="s">
        <v>565</v>
      </c>
      <c r="Q286" s="61" t="s">
        <v>564</v>
      </c>
      <c r="R286" s="61">
        <v>41.98028</v>
      </c>
      <c r="S286" s="61">
        <v>-87.908997900000003</v>
      </c>
      <c r="T286" s="61">
        <v>1039.808</v>
      </c>
      <c r="U286" s="61" t="s">
        <v>617</v>
      </c>
      <c r="V286" s="61" t="s">
        <v>569</v>
      </c>
      <c r="W286" s="61" cm="1">
        <f t="array" ref="W286">getDistance(I286,J286,R286,S286)*SA!$B$12</f>
        <v>881.76844828334811</v>
      </c>
      <c r="Y286" s="137">
        <f>Transportation_LCIA!C$61*($W286^Transportation_LCIA!C$60)+Transportation_LCIA!C$62</f>
        <v>0.24928238824697607</v>
      </c>
      <c r="Z286" s="137">
        <f>Transportation_LCIA!D$61*($W286^Transportation_LCIA!D$60)+Transportation_LCIA!D$62</f>
        <v>2.5820463246023846</v>
      </c>
      <c r="AA286" s="137">
        <f>Transportation_LCIA!E$61*($W286^Transportation_LCIA!E$60)+Transportation_LCIA!E$62</f>
        <v>1.2472710258653861E-3</v>
      </c>
      <c r="AB286" s="137">
        <f>Transportation_LCIA!F$61*($W286^Transportation_LCIA!F$60)+Transportation_LCIA!F$62</f>
        <v>0.24928238824697607</v>
      </c>
      <c r="AC286" s="137">
        <f>Transportation_LCIA!G$61*($W286^Transportation_LCIA!G$60)+Transportation_LCIA!G$62</f>
        <v>6.0309270822787774E-2</v>
      </c>
      <c r="AD286" s="137">
        <f>Transportation_LCIA!H$61*($W286^Transportation_LCIA!H$60)+Transportation_LCIA!H$62</f>
        <v>2.9946393440219324E-4</v>
      </c>
      <c r="AE286" s="137">
        <f>Transportation_LCIA!I$61*($W286^Transportation_LCIA!I$60)+Transportation_LCIA!I$62</f>
        <v>6.4920785808823515E-6</v>
      </c>
      <c r="AF286" s="137">
        <f>Transportation_LCIA!J$61*($W286^Transportation_LCIA!J$60)+Transportation_LCIA!J$62</f>
        <v>9.6152121456146433E-3</v>
      </c>
      <c r="AG286" s="137">
        <f>Transportation_LCIA!K$61*($W286^Transportation_LCIA!K$60)+Transportation_LCIA!K$62</f>
        <v>1.2903546660169671E-2</v>
      </c>
      <c r="AH286" s="137">
        <f>Transportation_LCIA!L$61*($W286^Transportation_LCIA!L$60)+Transportation_LCIA!L$62</f>
        <v>2.6073484233971722E-4</v>
      </c>
      <c r="AI286" s="137">
        <f>Transportation_LCIA!M$61*($W286^Transportation_LCIA!M$60)+Transportation_LCIA!M$62</f>
        <v>2.5611923805786527E-4</v>
      </c>
      <c r="AJ286" s="137">
        <f>Transportation_LCIA!N$61*($W286^Transportation_LCIA!N$60)+Transportation_LCIA!N$62</f>
        <v>1.0660496523671992E-3</v>
      </c>
      <c r="AK286" s="137">
        <f>Transportation_LCIA!O$61*($W286^Transportation_LCIA!O$60)+Transportation_LCIA!O$62</f>
        <v>6.3750643740196109E-5</v>
      </c>
      <c r="AL286" s="137">
        <f>Transportation_LCIA!P$61*($W286^Transportation_LCIA!P$60)+Transportation_LCIA!P$62</f>
        <v>3.0819170729281392E-8</v>
      </c>
      <c r="AM286" s="137">
        <f>Transportation_LCIA!Q$61*($W286^Transportation_LCIA!Q$60)+Transportation_LCIA!Q$62</f>
        <v>1.0311118496175203E-4</v>
      </c>
      <c r="AN286" s="137">
        <f>Transportation_LCIA!R$61*($W286^Transportation_LCIA!R$60)+Transportation_LCIA!R$62</f>
        <v>3.1215912043344745E-4</v>
      </c>
      <c r="AO286" s="137">
        <f>Transportation_LCIA!S$61*($W286^Transportation_LCIA!S$60)+Transportation_LCIA!S$62</f>
        <v>4.6876028483773633E-6</v>
      </c>
      <c r="AP286" s="137">
        <f>Transportation_LCIA!T$61*($W286^Transportation_LCIA!T$60)+Transportation_LCIA!T$62</f>
        <v>4.6876028483773633E-6</v>
      </c>
      <c r="AQ286" s="137">
        <f>Transportation_LCIA!U$61*($W286^Transportation_LCIA!U$60)+Transportation_LCIA!U$62</f>
        <v>6.7129382585122725E-4</v>
      </c>
      <c r="AR286" s="137">
        <f>Transportation_LCIA!V$61*($W286^Transportation_LCIA!V$60)+Transportation_LCIA!V$62</f>
        <v>2.6817274724964102E-4</v>
      </c>
      <c r="AT286" s="137">
        <f>$W286*Y286+$L286*Summary_LCIA!H$32</f>
        <v>243.44515306890324</v>
      </c>
      <c r="AU286" s="137">
        <f>$W286*Z286+$L286*Summary_LCIA!Q$32</f>
        <v>2621.4999370589808</v>
      </c>
      <c r="AV286" s="137">
        <f>$W286*AA286+$L286*Summary_LCIA!R$32</f>
        <v>1.4660688418661012</v>
      </c>
      <c r="AW286" s="137">
        <f>$W286*AB286+$L286*Summary_LCIA!S$32</f>
        <v>243.13770670890324</v>
      </c>
      <c r="AX286" s="137">
        <f>$W286*AC286+$L286*Summary_LCIA!T$32</f>
        <v>60.823236350509781</v>
      </c>
      <c r="AY286" s="137">
        <f>$W286*AD286+$L286*Summary_LCIA!U$32</f>
        <v>1.5101198607546484</v>
      </c>
      <c r="AZ286" s="137">
        <f>$W286*AE286+$L286*Summary_LCIA!V$32</f>
        <v>9.046669694398192E-3</v>
      </c>
      <c r="BA286" s="137">
        <f>$W286*AF286+$L286*Summary_LCIA!W$32</f>
        <v>13.832339511553826</v>
      </c>
      <c r="BB286" s="137">
        <f>$W286*AG286+$L286*Summary_LCIA!X$32</f>
        <v>12.962471555889589</v>
      </c>
      <c r="BC286" s="137">
        <f>$W286*AH286+$L286*Summary_LCIA!Y$32</f>
        <v>1.3137605133432961</v>
      </c>
      <c r="BD286" s="137">
        <f>$W286*AI286+$L286*Summary_LCIA!Z$32</f>
        <v>0.22869036713979729</v>
      </c>
      <c r="BE286" s="137">
        <f>$W286*AJ286+$L286*Summary_LCIA!AA$32</f>
        <v>2.564605595760828</v>
      </c>
      <c r="BF286" s="137">
        <f>$W286*AK286+$L286*Summary_LCIA!AB$32</f>
        <v>5.469534197385726E-2</v>
      </c>
      <c r="BG286" s="137">
        <f>$W286*AL286+$L286*Summary_LCIA!AC$32</f>
        <v>3.0575645623338033E-5</v>
      </c>
      <c r="BH286" s="137">
        <f>$W286*AM286+$L286*Summary_LCIA!AD$32</f>
        <v>0.11951130988438138</v>
      </c>
      <c r="BI286" s="137">
        <f>$W286*AN286+$L286*Summary_LCIA!AE$32</f>
        <v>0.33688949378209571</v>
      </c>
      <c r="BJ286" s="137">
        <f>$W286*AO286+$L286*Summary_LCIA!AF$32</f>
        <v>6.2939104649782321E-2</v>
      </c>
      <c r="BK286" s="137">
        <f>$W286*AP286+$L286*Summary_LCIA!AG$32</f>
        <v>7.6923153597823106E-3</v>
      </c>
      <c r="BL286" s="137">
        <f>$W286*AQ286+$L286*Summary_LCIA!AH$32</f>
        <v>1.1973307239630289</v>
      </c>
      <c r="BM286" s="137">
        <f>$W286*AR286+$L286*Summary_LCIA!AI$32</f>
        <v>0.30126302211419848</v>
      </c>
    </row>
    <row r="287" spans="1:65" x14ac:dyDescent="0.25">
      <c r="A287" s="149">
        <v>80</v>
      </c>
      <c r="B287" s="149">
        <v>43</v>
      </c>
      <c r="C287" s="61">
        <v>45.948258000000003</v>
      </c>
      <c r="D287" s="61">
        <v>-66.641317999999998</v>
      </c>
      <c r="E287" s="61" t="s">
        <v>460</v>
      </c>
      <c r="F287" s="149">
        <v>141</v>
      </c>
      <c r="G287" s="61" t="s">
        <v>661</v>
      </c>
      <c r="H287" s="61" t="s">
        <v>662</v>
      </c>
      <c r="I287" s="61">
        <v>46.116180999999997</v>
      </c>
      <c r="J287" s="61">
        <v>-64.688446999999996</v>
      </c>
      <c r="K287" s="61">
        <v>162.62382070000001</v>
      </c>
      <c r="L287" s="61">
        <v>184.447</v>
      </c>
      <c r="M287" s="61" t="s">
        <v>617</v>
      </c>
      <c r="N287" s="149">
        <v>42</v>
      </c>
      <c r="O287" s="149">
        <v>43</v>
      </c>
      <c r="P287" s="61" t="s">
        <v>565</v>
      </c>
      <c r="Q287" s="61" t="s">
        <v>555</v>
      </c>
      <c r="R287" s="61">
        <v>40.6895314</v>
      </c>
      <c r="S287" s="61">
        <v>-74.174462399999996</v>
      </c>
      <c r="T287" s="61">
        <v>1042.354</v>
      </c>
      <c r="U287" s="61" t="s">
        <v>617</v>
      </c>
      <c r="V287" s="61" t="s">
        <v>569</v>
      </c>
      <c r="W287" s="61" cm="1">
        <f t="array" ref="W287">getDistance(I287,J287,R287,S287)*SA!$B$12</f>
        <v>976.21921839853326</v>
      </c>
      <c r="Y287" s="137">
        <f>Transportation_LCIA!C$61*($W287^Transportation_LCIA!C$60)+Transportation_LCIA!C$62</f>
        <v>0.23804060106334077</v>
      </c>
      <c r="Z287" s="137">
        <f>Transportation_LCIA!D$61*($W287^Transportation_LCIA!D$60)+Transportation_LCIA!D$62</f>
        <v>2.4504484062130265</v>
      </c>
      <c r="AA287" s="137">
        <f>Transportation_LCIA!E$61*($W287^Transportation_LCIA!E$60)+Transportation_LCIA!E$62</f>
        <v>1.1606720913959455E-3</v>
      </c>
      <c r="AB287" s="137">
        <f>Transportation_LCIA!F$61*($W287^Transportation_LCIA!F$60)+Transportation_LCIA!F$62</f>
        <v>0.23804060106334077</v>
      </c>
      <c r="AC287" s="137">
        <f>Transportation_LCIA!G$61*($W287^Transportation_LCIA!G$60)+Transportation_LCIA!G$62</f>
        <v>5.726520247855086E-2</v>
      </c>
      <c r="AD287" s="137">
        <f>Transportation_LCIA!H$61*($W287^Transportation_LCIA!H$60)+Transportation_LCIA!H$62</f>
        <v>2.8038992352398014E-4</v>
      </c>
      <c r="AE287" s="137">
        <f>Transportation_LCIA!I$61*($W287^Transportation_LCIA!I$60)+Transportation_LCIA!I$62</f>
        <v>6.0105898982720086E-6</v>
      </c>
      <c r="AF287" s="137">
        <f>Transportation_LCIA!J$61*($W287^Transportation_LCIA!J$60)+Transportation_LCIA!J$62</f>
        <v>8.896852176798465E-3</v>
      </c>
      <c r="AG287" s="137">
        <f>Transportation_LCIA!K$61*($W287^Transportation_LCIA!K$60)+Transportation_LCIA!K$62</f>
        <v>1.2191850397092132E-2</v>
      </c>
      <c r="AH287" s="137">
        <f>Transportation_LCIA!L$61*($W287^Transportation_LCIA!L$60)+Transportation_LCIA!L$62</f>
        <v>2.431855860123998E-4</v>
      </c>
      <c r="AI287" s="137">
        <f>Transportation_LCIA!M$61*($W287^Transportation_LCIA!M$60)+Transportation_LCIA!M$62</f>
        <v>2.4559148071851629E-4</v>
      </c>
      <c r="AJ287" s="137">
        <f>Transportation_LCIA!N$61*($W287^Transportation_LCIA!N$60)+Transportation_LCIA!N$62</f>
        <v>1.0019337441737129E-3</v>
      </c>
      <c r="AK287" s="137">
        <f>Transportation_LCIA!O$61*($W287^Transportation_LCIA!O$60)+Transportation_LCIA!O$62</f>
        <v>6.0515654755985323E-5</v>
      </c>
      <c r="AL287" s="137">
        <f>Transportation_LCIA!P$61*($W287^Transportation_LCIA!P$60)+Transportation_LCIA!P$62</f>
        <v>2.9264180015516956E-8</v>
      </c>
      <c r="AM287" s="137">
        <f>Transportation_LCIA!Q$61*($W287^Transportation_LCIA!Q$60)+Transportation_LCIA!Q$62</f>
        <v>9.6246506035158898E-5</v>
      </c>
      <c r="AN287" s="137">
        <f>Transportation_LCIA!R$61*($W287^Transportation_LCIA!R$60)+Transportation_LCIA!R$62</f>
        <v>2.8906877213541162E-4</v>
      </c>
      <c r="AO287" s="137">
        <f>Transportation_LCIA!S$61*($W287^Transportation_LCIA!S$60)+Transportation_LCIA!S$62</f>
        <v>4.3599423404604346E-6</v>
      </c>
      <c r="AP287" s="137">
        <f>Transportation_LCIA!T$61*($W287^Transportation_LCIA!T$60)+Transportation_LCIA!T$62</f>
        <v>4.3599423404604346E-6</v>
      </c>
      <c r="AQ287" s="137">
        <f>Transportation_LCIA!U$61*($W287^Transportation_LCIA!U$60)+Transportation_LCIA!U$62</f>
        <v>6.2062975697497851E-4</v>
      </c>
      <c r="AR287" s="137">
        <f>Transportation_LCIA!V$61*($W287^Transportation_LCIA!V$60)+Transportation_LCIA!V$62</f>
        <v>2.503045929040431E-4</v>
      </c>
      <c r="AT287" s="137">
        <f>$W287*Y287+$L287*Summary_LCIA!H$32</f>
        <v>295.0549001171716</v>
      </c>
      <c r="AU287" s="137">
        <f>$W287*Z287+$L287*Summary_LCIA!Q$32</f>
        <v>3306.3034620547633</v>
      </c>
      <c r="AV287" s="137">
        <f>$W287*AA287+$L287*Summary_LCIA!R$32</f>
        <v>2.1042945250795406</v>
      </c>
      <c r="AW287" s="137">
        <f>$W287*AB287+$L287*Summary_LCIA!S$32</f>
        <v>294.2396443771716</v>
      </c>
      <c r="AX287" s="137">
        <f>$W287*AC287+$L287*Summary_LCIA!T$32</f>
        <v>76.174116505044665</v>
      </c>
      <c r="AY287" s="137">
        <f>$W287*AD287+$L287*Summary_LCIA!U$32</f>
        <v>3.5779055899894043</v>
      </c>
      <c r="AZ287" s="137">
        <f>$W287*AE287+$L287*Summary_LCIA!V$32</f>
        <v>1.4677026539605219E-2</v>
      </c>
      <c r="BA287" s="137">
        <f>$W287*AF287+$L287*Summary_LCIA!W$32</f>
        <v>22.882348115241484</v>
      </c>
      <c r="BB287" s="137">
        <f>$W287*AG287+$L287*Summary_LCIA!X$32</f>
        <v>16.103621325481129</v>
      </c>
      <c r="BC287" s="137">
        <f>$W287*AH287+$L287*Summary_LCIA!Y$32</f>
        <v>3.1114555967028146</v>
      </c>
      <c r="BD287" s="137">
        <f>$W287*AI287+$L287*Summary_LCIA!Z$32</f>
        <v>0.24731511037536844</v>
      </c>
      <c r="BE287" s="137">
        <f>$W287*AJ287+$L287*Summary_LCIA!AA$32</f>
        <v>5.2860511086243775</v>
      </c>
      <c r="BF287" s="137">
        <f>$W287*AK287+$L287*Summary_LCIA!AB$32</f>
        <v>5.5051358305763472E-2</v>
      </c>
      <c r="BG287" s="137">
        <f>$W287*AL287+$L287*Summary_LCIA!AC$32</f>
        <v>3.7584762089821938E-5</v>
      </c>
      <c r="BH287" s="137">
        <f>$W287*AM287+$L287*Summary_LCIA!AD$32</f>
        <v>0.16977278377523253</v>
      </c>
      <c r="BI287" s="137">
        <f>$W287*AN287+$L287*Summary_LCIA!AE$32</f>
        <v>0.44563851090745521</v>
      </c>
      <c r="BJ287" s="137">
        <f>$W287*AO287+$L287*Summary_LCIA!AF$32</f>
        <v>0.16019144224386697</v>
      </c>
      <c r="BK287" s="137">
        <f>$W287*AP287+$L287*Summary_LCIA!AG$32</f>
        <v>1.3693490258866958E-2</v>
      </c>
      <c r="BL287" s="137">
        <f>$W287*AQ287+$L287*Summary_LCIA!AH$32</f>
        <v>2.2112236054689851</v>
      </c>
      <c r="BM287" s="137">
        <f>$W287*AR287+$L287*Summary_LCIA!AI$32</f>
        <v>0.41617375689634806</v>
      </c>
    </row>
    <row r="288" spans="1:65" x14ac:dyDescent="0.25">
      <c r="A288" s="149">
        <v>49</v>
      </c>
      <c r="B288" s="149">
        <v>43</v>
      </c>
      <c r="C288" s="61">
        <v>35.612105</v>
      </c>
      <c r="D288" s="61">
        <v>-82.563284999999993</v>
      </c>
      <c r="E288" s="61" t="s">
        <v>265</v>
      </c>
      <c r="F288" s="149">
        <v>34</v>
      </c>
      <c r="G288" s="61" t="s">
        <v>565</v>
      </c>
      <c r="H288" s="61" t="s">
        <v>633</v>
      </c>
      <c r="I288" s="61">
        <v>35.214402999999997</v>
      </c>
      <c r="J288" s="61">
        <v>-80.947315000000003</v>
      </c>
      <c r="K288" s="61">
        <v>157.0640918</v>
      </c>
      <c r="L288" s="61">
        <v>199.89699999999999</v>
      </c>
      <c r="M288" s="61" t="s">
        <v>617</v>
      </c>
      <c r="N288" s="149">
        <v>42</v>
      </c>
      <c r="O288" s="149">
        <v>43</v>
      </c>
      <c r="P288" s="61" t="s">
        <v>565</v>
      </c>
      <c r="Q288" s="61" t="s">
        <v>555</v>
      </c>
      <c r="R288" s="61">
        <v>40.6895314</v>
      </c>
      <c r="S288" s="61">
        <v>-74.174462399999996</v>
      </c>
      <c r="T288" s="61">
        <v>1091.4839999999999</v>
      </c>
      <c r="U288" s="61" t="s">
        <v>617</v>
      </c>
      <c r="V288" s="61" t="s">
        <v>569</v>
      </c>
      <c r="W288" s="61" cm="1">
        <f t="array" ref="W288">getDistance(I288,J288,R288,S288)*SA!$B$12</f>
        <v>851.05121377634293</v>
      </c>
      <c r="Y288" s="137">
        <f>Transportation_LCIA!C$61*($W288^Transportation_LCIA!C$60)+Transportation_LCIA!C$62</f>
        <v>0.25343049240533111</v>
      </c>
      <c r="Z288" s="137">
        <f>Transportation_LCIA!D$61*($W288^Transportation_LCIA!D$60)+Transportation_LCIA!D$62</f>
        <v>2.6307480783429384</v>
      </c>
      <c r="AA288" s="137">
        <f>Transportation_LCIA!E$61*($W288^Transportation_LCIA!E$60)+Transportation_LCIA!E$62</f>
        <v>1.2793461318450019E-3</v>
      </c>
      <c r="AB288" s="137">
        <f>Transportation_LCIA!F$61*($W288^Transportation_LCIA!F$60)+Transportation_LCIA!F$62</f>
        <v>0.25343049240533111</v>
      </c>
      <c r="AC288" s="137">
        <f>Transportation_LCIA!G$61*($W288^Transportation_LCIA!G$60)+Transportation_LCIA!G$62</f>
        <v>6.1435625769608669E-2</v>
      </c>
      <c r="AD288" s="137">
        <f>Transportation_LCIA!H$61*($W288^Transportation_LCIA!H$60)+Transportation_LCIA!H$62</f>
        <v>3.065402716805851E-4</v>
      </c>
      <c r="AE288" s="137">
        <f>Transportation_LCIA!I$61*($W288^Transportation_LCIA!I$60)+Transportation_LCIA!I$62</f>
        <v>6.6711792632361422E-6</v>
      </c>
      <c r="AF288" s="137">
        <f>Transportation_LCIA!J$61*($W288^Transportation_LCIA!J$60)+Transportation_LCIA!J$62</f>
        <v>9.8828828449766624E-3</v>
      </c>
      <c r="AG288" s="137">
        <f>Transportation_LCIA!K$61*($W288^Transportation_LCIA!K$60)+Transportation_LCIA!K$62</f>
        <v>1.3167278527053671E-2</v>
      </c>
      <c r="AH288" s="137">
        <f>Transportation_LCIA!L$61*($W288^Transportation_LCIA!L$60)+Transportation_LCIA!L$62</f>
        <v>2.6725039435791071E-4</v>
      </c>
      <c r="AI288" s="137">
        <f>Transportation_LCIA!M$61*($W288^Transportation_LCIA!M$60)+Transportation_LCIA!M$62</f>
        <v>2.6002531765647143E-4</v>
      </c>
      <c r="AJ288" s="137">
        <f>Transportation_LCIA!N$61*($W288^Transportation_LCIA!N$60)+Transportation_LCIA!N$62</f>
        <v>1.0898312653906447E-3</v>
      </c>
      <c r="AK288" s="137">
        <f>Transportation_LCIA!O$61*($W288^Transportation_LCIA!O$60)+Transportation_LCIA!O$62</f>
        <v>6.4947739462206474E-5</v>
      </c>
      <c r="AL288" s="137">
        <f>Transportation_LCIA!P$61*($W288^Transportation_LCIA!P$60)+Transportation_LCIA!P$62</f>
        <v>3.139446307580722E-8</v>
      </c>
      <c r="AM288" s="137">
        <f>Transportation_LCIA!Q$61*($W288^Transportation_LCIA!Q$60)+Transportation_LCIA!Q$62</f>
        <v>1.0566088004157003E-4</v>
      </c>
      <c r="AN288" s="137">
        <f>Transportation_LCIA!R$61*($W288^Transportation_LCIA!R$60)+Transportation_LCIA!R$62</f>
        <v>3.2074864831290064E-4</v>
      </c>
      <c r="AO288" s="137">
        <f>Transportation_LCIA!S$61*($W288^Transportation_LCIA!S$60)+Transportation_LCIA!S$62</f>
        <v>4.8094770187755473E-6</v>
      </c>
      <c r="AP288" s="137">
        <f>Transportation_LCIA!T$61*($W288^Transportation_LCIA!T$60)+Transportation_LCIA!T$62</f>
        <v>4.8094770187755473E-6</v>
      </c>
      <c r="AQ288" s="137">
        <f>Transportation_LCIA!U$61*($W288^Transportation_LCIA!U$60)+Transportation_LCIA!U$62</f>
        <v>6.9015010201870343E-4</v>
      </c>
      <c r="AR288" s="137">
        <f>Transportation_LCIA!V$61*($W288^Transportation_LCIA!V$60)+Transportation_LCIA!V$62</f>
        <v>2.7481283900177808E-4</v>
      </c>
      <c r="AT288" s="137">
        <f>$W288*Y288+$L288*Summary_LCIA!H$32</f>
        <v>283.60732876949328</v>
      </c>
      <c r="AU288" s="137">
        <f>$W288*Z288+$L288*Summary_LCIA!Q$32</f>
        <v>3229.6009586189402</v>
      </c>
      <c r="AV288" s="137">
        <f>$W288*AA288+$L288*Summary_LCIA!R$32</f>
        <v>2.141366721546758</v>
      </c>
      <c r="AW288" s="137">
        <f>$W288*AB288+$L288*Summary_LCIA!S$32</f>
        <v>282.72378402949329</v>
      </c>
      <c r="AX288" s="137">
        <f>$W288*AC288+$L288*Summary_LCIA!T$32</f>
        <v>74.253544180334629</v>
      </c>
      <c r="AY288" s="137">
        <f>$W288*AD288+$L288*Summary_LCIA!U$32</f>
        <v>3.8418363282850914</v>
      </c>
      <c r="AZ288" s="137">
        <f>$W288*AE288+$L288*Summary_LCIA!V$32</f>
        <v>1.5224795826296687E-2</v>
      </c>
      <c r="BA288" s="137">
        <f>$W288*AF288+$L288*Summary_LCIA!W$32</f>
        <v>23.797111427826785</v>
      </c>
      <c r="BB288" s="137">
        <f>$W288*AG288+$L288*Summary_LCIA!X$32</f>
        <v>15.759682032580203</v>
      </c>
      <c r="BC288" s="137">
        <f>$W288*AH288+$L288*Summary_LCIA!Y$32</f>
        <v>3.3422388265005063</v>
      </c>
      <c r="BD288" s="137">
        <f>$W288*AI288+$L288*Summary_LCIA!Z$32</f>
        <v>0.22949243827711915</v>
      </c>
      <c r="BE288" s="137">
        <f>$W288*AJ288+$L288*Summary_LCIA!AA$32</f>
        <v>5.5962965532221149</v>
      </c>
      <c r="BF288" s="137">
        <f>$W288*AK288+$L288*Summary_LCIA!AB$32</f>
        <v>5.0911500270340512E-2</v>
      </c>
      <c r="BG288" s="137">
        <f>$W288*AL288+$L288*Summary_LCIA!AC$32</f>
        <v>3.6490060854522313E-5</v>
      </c>
      <c r="BH288" s="137">
        <f>$W288*AM288+$L288*Summary_LCIA!AD$32</f>
        <v>0.17208848308805474</v>
      </c>
      <c r="BI288" s="137">
        <f>$W288*AN288+$L288*Summary_LCIA!AE$32</f>
        <v>0.45010825507381547</v>
      </c>
      <c r="BJ288" s="137">
        <f>$W288*AO288+$L288*Summary_LCIA!AF$32</f>
        <v>0.17309003299445835</v>
      </c>
      <c r="BK288" s="137">
        <f>$W288*AP288+$L288*Summary_LCIA!AG$32</f>
        <v>1.4320841259458357E-2</v>
      </c>
      <c r="BL288" s="137">
        <f>$W288*AQ288+$L288*Summary_LCIA!AH$32</f>
        <v>2.3271766112108843</v>
      </c>
      <c r="BM288" s="137">
        <f>$W288*AR288+$L288*Summary_LCIA!AI$32</f>
        <v>0.42009385054378595</v>
      </c>
    </row>
    <row r="289" spans="1:65" x14ac:dyDescent="0.25">
      <c r="A289" s="149">
        <v>97</v>
      </c>
      <c r="B289" s="149">
        <v>43</v>
      </c>
      <c r="C289" s="61">
        <v>34.814366999999997</v>
      </c>
      <c r="D289" s="61">
        <v>-82.327129999999997</v>
      </c>
      <c r="E289" s="61" t="s">
        <v>265</v>
      </c>
      <c r="F289" s="149">
        <v>34</v>
      </c>
      <c r="G289" s="61" t="s">
        <v>565</v>
      </c>
      <c r="H289" s="61" t="s">
        <v>633</v>
      </c>
      <c r="I289" s="61">
        <v>35.214402999999997</v>
      </c>
      <c r="J289" s="61">
        <v>-80.947315000000003</v>
      </c>
      <c r="K289" s="61">
        <v>145.6865875</v>
      </c>
      <c r="L289" s="61">
        <v>156.35</v>
      </c>
      <c r="M289" s="61" t="s">
        <v>617</v>
      </c>
      <c r="N289" s="149">
        <v>42</v>
      </c>
      <c r="O289" s="149">
        <v>43</v>
      </c>
      <c r="P289" s="61" t="s">
        <v>565</v>
      </c>
      <c r="Q289" s="61" t="s">
        <v>555</v>
      </c>
      <c r="R289" s="61">
        <v>40.6895314</v>
      </c>
      <c r="S289" s="61">
        <v>-74.174462399999996</v>
      </c>
      <c r="T289" s="61">
        <v>1136.614</v>
      </c>
      <c r="U289" s="61" t="s">
        <v>617</v>
      </c>
      <c r="V289" s="61" t="s">
        <v>569</v>
      </c>
      <c r="W289" s="61" cm="1">
        <f t="array" ref="W289">getDistance(I289,J289,R289,S289)*SA!$B$12</f>
        <v>851.05121377634293</v>
      </c>
      <c r="Y289" s="137">
        <f>Transportation_LCIA!C$61*($W289^Transportation_LCIA!C$60)+Transportation_LCIA!C$62</f>
        <v>0.25343049240533111</v>
      </c>
      <c r="Z289" s="137">
        <f>Transportation_LCIA!D$61*($W289^Transportation_LCIA!D$60)+Transportation_LCIA!D$62</f>
        <v>2.6307480783429384</v>
      </c>
      <c r="AA289" s="137">
        <f>Transportation_LCIA!E$61*($W289^Transportation_LCIA!E$60)+Transportation_LCIA!E$62</f>
        <v>1.2793461318450019E-3</v>
      </c>
      <c r="AB289" s="137">
        <f>Transportation_LCIA!F$61*($W289^Transportation_LCIA!F$60)+Transportation_LCIA!F$62</f>
        <v>0.25343049240533111</v>
      </c>
      <c r="AC289" s="137">
        <f>Transportation_LCIA!G$61*($W289^Transportation_LCIA!G$60)+Transportation_LCIA!G$62</f>
        <v>6.1435625769608669E-2</v>
      </c>
      <c r="AD289" s="137">
        <f>Transportation_LCIA!H$61*($W289^Transportation_LCIA!H$60)+Transportation_LCIA!H$62</f>
        <v>3.065402716805851E-4</v>
      </c>
      <c r="AE289" s="137">
        <f>Transportation_LCIA!I$61*($W289^Transportation_LCIA!I$60)+Transportation_LCIA!I$62</f>
        <v>6.6711792632361422E-6</v>
      </c>
      <c r="AF289" s="137">
        <f>Transportation_LCIA!J$61*($W289^Transportation_LCIA!J$60)+Transportation_LCIA!J$62</f>
        <v>9.8828828449766624E-3</v>
      </c>
      <c r="AG289" s="137">
        <f>Transportation_LCIA!K$61*($W289^Transportation_LCIA!K$60)+Transportation_LCIA!K$62</f>
        <v>1.3167278527053671E-2</v>
      </c>
      <c r="AH289" s="137">
        <f>Transportation_LCIA!L$61*($W289^Transportation_LCIA!L$60)+Transportation_LCIA!L$62</f>
        <v>2.6725039435791071E-4</v>
      </c>
      <c r="AI289" s="137">
        <f>Transportation_LCIA!M$61*($W289^Transportation_LCIA!M$60)+Transportation_LCIA!M$62</f>
        <v>2.6002531765647143E-4</v>
      </c>
      <c r="AJ289" s="137">
        <f>Transportation_LCIA!N$61*($W289^Transportation_LCIA!N$60)+Transportation_LCIA!N$62</f>
        <v>1.0898312653906447E-3</v>
      </c>
      <c r="AK289" s="137">
        <f>Transportation_LCIA!O$61*($W289^Transportation_LCIA!O$60)+Transportation_LCIA!O$62</f>
        <v>6.4947739462206474E-5</v>
      </c>
      <c r="AL289" s="137">
        <f>Transportation_LCIA!P$61*($W289^Transportation_LCIA!P$60)+Transportation_LCIA!P$62</f>
        <v>3.139446307580722E-8</v>
      </c>
      <c r="AM289" s="137">
        <f>Transportation_LCIA!Q$61*($W289^Transportation_LCIA!Q$60)+Transportation_LCIA!Q$62</f>
        <v>1.0566088004157003E-4</v>
      </c>
      <c r="AN289" s="137">
        <f>Transportation_LCIA!R$61*($W289^Transportation_LCIA!R$60)+Transportation_LCIA!R$62</f>
        <v>3.2074864831290064E-4</v>
      </c>
      <c r="AO289" s="137">
        <f>Transportation_LCIA!S$61*($W289^Transportation_LCIA!S$60)+Transportation_LCIA!S$62</f>
        <v>4.8094770187755473E-6</v>
      </c>
      <c r="AP289" s="137">
        <f>Transportation_LCIA!T$61*($W289^Transportation_LCIA!T$60)+Transportation_LCIA!T$62</f>
        <v>4.8094770187755473E-6</v>
      </c>
      <c r="AQ289" s="137">
        <f>Transportation_LCIA!U$61*($W289^Transportation_LCIA!U$60)+Transportation_LCIA!U$62</f>
        <v>6.9015010201870343E-4</v>
      </c>
      <c r="AR289" s="137">
        <f>Transportation_LCIA!V$61*($W289^Transportation_LCIA!V$60)+Transportation_LCIA!V$62</f>
        <v>2.7481283900177808E-4</v>
      </c>
      <c r="AT289" s="137">
        <f>$W289*Y289+$L289*Summary_LCIA!H$32</f>
        <v>268.81005816949329</v>
      </c>
      <c r="AU289" s="137">
        <f>$W289*Z289+$L289*Summary_LCIA!Q$32</f>
        <v>3013.7798304130893</v>
      </c>
      <c r="AV289" s="137">
        <f>$W289*AA289+$L289*Summary_LCIA!R$32</f>
        <v>1.9120656383467582</v>
      </c>
      <c r="AW289" s="137">
        <f>$W289*AB289+$L289*Summary_LCIA!S$32</f>
        <v>268.11899116949331</v>
      </c>
      <c r="AX289" s="137">
        <f>$W289*AC289+$L289*Summary_LCIA!T$32</f>
        <v>69.467728880334633</v>
      </c>
      <c r="AY289" s="137">
        <f>$W289*AD289+$L289*Summary_LCIA!U$32</f>
        <v>3.0617353702850916</v>
      </c>
      <c r="AZ289" s="137">
        <f>$W289*AE289+$L289*Summary_LCIA!V$32</f>
        <v>1.3144947559296688E-2</v>
      </c>
      <c r="BA289" s="137">
        <f>$W289*AF289+$L289*Summary_LCIA!W$32</f>
        <v>20.445255290826786</v>
      </c>
      <c r="BB289" s="137">
        <f>$W289*AG289+$L289*Summary_LCIA!X$32</f>
        <v>14.767681372580203</v>
      </c>
      <c r="BC289" s="137">
        <f>$W289*AH289+$L289*Summary_LCIA!Y$32</f>
        <v>2.6636894725005065</v>
      </c>
      <c r="BD289" s="137">
        <f>$W289*AI289+$L289*Summary_LCIA!Z$32</f>
        <v>0.22770661935411915</v>
      </c>
      <c r="BE289" s="137">
        <f>$W289*AJ289+$L289*Summary_LCIA!AA$32</f>
        <v>4.5792128212221153</v>
      </c>
      <c r="BF289" s="137">
        <f>$W289*AK289+$L289*Summary_LCIA!AB$32</f>
        <v>5.1861826451340506E-2</v>
      </c>
      <c r="BG289" s="137">
        <f>$W289*AL289+$L289*Summary_LCIA!AC$32</f>
        <v>3.4361309306522315E-5</v>
      </c>
      <c r="BH289" s="137">
        <f>$W289*AM289+$L289*Summary_LCIA!AD$32</f>
        <v>0.15418892420805475</v>
      </c>
      <c r="BI289" s="137">
        <f>$W289*AN289+$L289*Summary_LCIA!AE$32</f>
        <v>0.41151995196381541</v>
      </c>
      <c r="BJ289" s="137">
        <f>$W289*AO289+$L289*Summary_LCIA!AF$32</f>
        <v>0.13627452825445835</v>
      </c>
      <c r="BK289" s="137">
        <f>$W289*AP289+$L289*Summary_LCIA!AG$32</f>
        <v>1.2092759004458357E-2</v>
      </c>
      <c r="BL289" s="137">
        <f>$W289*AQ289+$L289*Summary_LCIA!AH$32</f>
        <v>1.9481609420108845</v>
      </c>
      <c r="BM289" s="137">
        <f>$W289*AR289+$L289*Summary_LCIA!AI$32</f>
        <v>0.37952764269378592</v>
      </c>
    </row>
    <row r="290" spans="1:65" x14ac:dyDescent="0.25">
      <c r="A290" s="149">
        <v>63</v>
      </c>
      <c r="B290" s="149">
        <v>29</v>
      </c>
      <c r="C290" s="61">
        <v>51.075544999999998</v>
      </c>
      <c r="D290" s="61">
        <v>-114.12975400000001</v>
      </c>
      <c r="E290" s="61" t="s">
        <v>462</v>
      </c>
      <c r="F290" s="149">
        <v>125</v>
      </c>
      <c r="G290" s="61" t="s">
        <v>656</v>
      </c>
      <c r="H290" s="61" t="s">
        <v>657</v>
      </c>
      <c r="I290" s="61">
        <v>51.121502999999997</v>
      </c>
      <c r="J290" s="61">
        <v>-114.007616</v>
      </c>
      <c r="K290" s="61">
        <v>10.47008467</v>
      </c>
      <c r="L290" s="61">
        <v>15.291</v>
      </c>
      <c r="M290" s="61" t="s">
        <v>617</v>
      </c>
      <c r="N290" s="149">
        <v>28</v>
      </c>
      <c r="O290" s="149">
        <v>29</v>
      </c>
      <c r="P290" s="61" t="s">
        <v>565</v>
      </c>
      <c r="Q290" s="61" t="s">
        <v>559</v>
      </c>
      <c r="R290" s="61">
        <v>47.450249900000003</v>
      </c>
      <c r="S290" s="61">
        <v>-122.30881650000001</v>
      </c>
      <c r="T290" s="61">
        <v>1138.5450000000001</v>
      </c>
      <c r="U290" s="61" t="s">
        <v>617</v>
      </c>
      <c r="V290" s="61" t="s">
        <v>569</v>
      </c>
      <c r="W290" s="61" cm="1">
        <f t="array" ref="W290">getDistance(I290,J290,R290,S290)*SA!$B$12</f>
        <v>728.64359849106268</v>
      </c>
      <c r="Y290" s="137">
        <f>Transportation_LCIA!C$61*($W290^Transportation_LCIA!C$60)+Transportation_LCIA!C$62</f>
        <v>0.2731236986367126</v>
      </c>
      <c r="Z290" s="137">
        <f>Transportation_LCIA!D$61*($W290^Transportation_LCIA!D$60)+Transportation_LCIA!D$62</f>
        <v>2.8629364723129571</v>
      </c>
      <c r="AA290" s="137">
        <f>Transportation_LCIA!E$61*($W290^Transportation_LCIA!E$60)+Transportation_LCIA!E$62</f>
        <v>1.4324472391760977E-3</v>
      </c>
      <c r="AB290" s="137">
        <f>Transportation_LCIA!F$61*($W290^Transportation_LCIA!F$60)+Transportation_LCIA!F$62</f>
        <v>0.2731236986367126</v>
      </c>
      <c r="AC290" s="137">
        <f>Transportation_LCIA!G$61*($W290^Transportation_LCIA!G$60)+Transportation_LCIA!G$62</f>
        <v>6.6804267943327042E-2</v>
      </c>
      <c r="AD290" s="137">
        <f>Transportation_LCIA!H$61*($W290^Transportation_LCIA!H$60)+Transportation_LCIA!H$62</f>
        <v>3.4039623073025302E-4</v>
      </c>
      <c r="AE290" s="137">
        <f>Transportation_LCIA!I$61*($W290^Transportation_LCIA!I$60)+Transportation_LCIA!I$62</f>
        <v>7.5313047486579253E-6</v>
      </c>
      <c r="AF290" s="137">
        <f>Transportation_LCIA!J$61*($W290^Transportation_LCIA!J$60)+Transportation_LCIA!J$62</f>
        <v>1.1171536460231862E-2</v>
      </c>
      <c r="AG290" s="137">
        <f>Transportation_LCIA!K$61*($W290^Transportation_LCIA!K$60)+Transportation_LCIA!K$62</f>
        <v>1.4427005322781314E-2</v>
      </c>
      <c r="AH290" s="137">
        <f>Transportation_LCIA!L$61*($W290^Transportation_LCIA!L$60)+Transportation_LCIA!L$62</f>
        <v>2.9845682610086144E-4</v>
      </c>
      <c r="AI290" s="137">
        <f>Transportation_LCIA!M$61*($W290^Transportation_LCIA!M$60)+Transportation_LCIA!M$62</f>
        <v>2.7871591009555731E-4</v>
      </c>
      <c r="AJ290" s="137">
        <f>Transportation_LCIA!N$61*($W290^Transportation_LCIA!N$60)+Transportation_LCIA!N$62</f>
        <v>1.2035776980627529E-3</v>
      </c>
      <c r="AK290" s="137">
        <f>Transportation_LCIA!O$61*($W290^Transportation_LCIA!O$60)+Transportation_LCIA!O$62</f>
        <v>7.0654220111155368E-5</v>
      </c>
      <c r="AL290" s="137">
        <f>Transportation_LCIA!P$61*($W290^Transportation_LCIA!P$60)+Transportation_LCIA!P$62</f>
        <v>3.4135986584869326E-8</v>
      </c>
      <c r="AM290" s="137">
        <f>Transportation_LCIA!Q$61*($W290^Transportation_LCIA!Q$60)+Transportation_LCIA!Q$62</f>
        <v>1.1787978430654126E-4</v>
      </c>
      <c r="AN290" s="137">
        <f>Transportation_LCIA!R$61*($W290^Transportation_LCIA!R$60)+Transportation_LCIA!R$62</f>
        <v>3.620033512007317E-4</v>
      </c>
      <c r="AO290" s="137">
        <f>Transportation_LCIA!S$61*($W290^Transportation_LCIA!S$60)+Transportation_LCIA!S$62</f>
        <v>5.3947284428738964E-6</v>
      </c>
      <c r="AP290" s="137">
        <f>Transportation_LCIA!T$61*($W290^Transportation_LCIA!T$60)+Transportation_LCIA!T$62</f>
        <v>5.3947284428738964E-6</v>
      </c>
      <c r="AQ290" s="137">
        <f>Transportation_LCIA!U$61*($W290^Transportation_LCIA!U$60)+Transportation_LCIA!U$62</f>
        <v>7.807798829957284E-4</v>
      </c>
      <c r="AR290" s="137">
        <f>Transportation_LCIA!V$61*($W290^Transportation_LCIA!V$60)+Transportation_LCIA!V$62</f>
        <v>3.0665789662484431E-4</v>
      </c>
      <c r="AT290" s="137">
        <f>$W290*Y290+$L290*Summary_LCIA!H$32</f>
        <v>204.2057164078428</v>
      </c>
      <c r="AU290" s="137">
        <f>$W290*Z290+$L290*Summary_LCIA!Q$32</f>
        <v>2161.8433006084247</v>
      </c>
      <c r="AV290" s="137">
        <f>$W290*AA290+$L290*Summary_LCIA!R$32</f>
        <v>1.1242598006018598</v>
      </c>
      <c r="AW290" s="137">
        <f>$W290*AB290+$L290*Summary_LCIA!S$32</f>
        <v>204.13813018784282</v>
      </c>
      <c r="AX290" s="137">
        <f>$W290*AC290+$L290*Summary_LCIA!T$32</f>
        <v>50.356983088786954</v>
      </c>
      <c r="AY290" s="137">
        <f>$W290*AD290+$L290*Summary_LCIA!U$32</f>
        <v>0.52195050847208557</v>
      </c>
      <c r="AZ290" s="137">
        <f>$W290*AE290+$L290*Summary_LCIA!V$32</f>
        <v>6.2179504443949391E-3</v>
      </c>
      <c r="BA290" s="137">
        <f>$W290*AF290+$L290*Summary_LCIA!W$32</f>
        <v>9.3170320880574522</v>
      </c>
      <c r="BB290" s="137">
        <f>$W290*AG290+$L290*Summary_LCIA!X$32</f>
        <v>10.860474053841092</v>
      </c>
      <c r="BC290" s="137">
        <f>$W290*AH290+$L290*Summary_LCIA!Y$32</f>
        <v>0.45573301776435304</v>
      </c>
      <c r="BD290" s="137">
        <f>$W290*AI290+$L290*Summary_LCIA!Z$32</f>
        <v>0.20371163230773839</v>
      </c>
      <c r="BE290" s="137">
        <f>$W290*AJ290+$L290*Summary_LCIA!AA$32</f>
        <v>1.234115780980034</v>
      </c>
      <c r="BF290" s="137">
        <f>$W290*AK290+$L290*Summary_LCIA!AB$32</f>
        <v>5.1148049697371863E-2</v>
      </c>
      <c r="BG290" s="137">
        <f>$W290*AL290+$L290*Summary_LCIA!AC$32</f>
        <v>2.5620453347241825E-5</v>
      </c>
      <c r="BH290" s="137">
        <f>$W290*AM290+$L290*Summary_LCIA!AD$32</f>
        <v>9.2177562866468513E-2</v>
      </c>
      <c r="BI290" s="137">
        <f>$W290*AN290+$L290*Summary_LCIA!AE$32</f>
        <v>0.2773212383147251</v>
      </c>
      <c r="BJ290" s="137">
        <f>$W290*AO290+$L290*Summary_LCIA!AF$32</f>
        <v>1.6858151565497727E-2</v>
      </c>
      <c r="BK290" s="137">
        <f>$W290*AP290+$L290*Summary_LCIA!AG$32</f>
        <v>4.7131983604977237E-3</v>
      </c>
      <c r="BL290" s="137">
        <f>$W290*AQ290+$L290*Summary_LCIA!AH$32</f>
        <v>0.70199701117543833</v>
      </c>
      <c r="BM290" s="137">
        <f>$W290*AR290+$L290*Summary_LCIA!AI$32</f>
        <v>0.23768864435242687</v>
      </c>
    </row>
    <row r="291" spans="1:65" x14ac:dyDescent="0.25">
      <c r="A291" s="149">
        <v>64</v>
      </c>
      <c r="B291" s="149">
        <v>29</v>
      </c>
      <c r="C291" s="61">
        <v>51.075544999999998</v>
      </c>
      <c r="D291" s="61">
        <v>-114.12975400000001</v>
      </c>
      <c r="E291" s="61" t="s">
        <v>462</v>
      </c>
      <c r="F291" s="149">
        <v>125</v>
      </c>
      <c r="G291" s="61" t="s">
        <v>656</v>
      </c>
      <c r="H291" s="61" t="s">
        <v>657</v>
      </c>
      <c r="I291" s="61">
        <v>51.121502999999997</v>
      </c>
      <c r="J291" s="61">
        <v>-114.007616</v>
      </c>
      <c r="K291" s="61">
        <v>10.47008467</v>
      </c>
      <c r="L291" s="61">
        <v>15.291</v>
      </c>
      <c r="M291" s="61" t="s">
        <v>617</v>
      </c>
      <c r="N291" s="149">
        <v>28</v>
      </c>
      <c r="O291" s="149">
        <v>29</v>
      </c>
      <c r="P291" s="61" t="s">
        <v>565</v>
      </c>
      <c r="Q291" s="61" t="s">
        <v>559</v>
      </c>
      <c r="R291" s="61">
        <v>47.450249900000003</v>
      </c>
      <c r="S291" s="61">
        <v>-122.30881650000001</v>
      </c>
      <c r="T291" s="61">
        <v>1138.5450000000001</v>
      </c>
      <c r="U291" s="61" t="s">
        <v>617</v>
      </c>
      <c r="V291" s="61" t="s">
        <v>569</v>
      </c>
      <c r="W291" s="61" cm="1">
        <f t="array" ref="W291">getDistance(I291,J291,R291,S291)*SA!$B$12</f>
        <v>728.64359849106268</v>
      </c>
      <c r="Y291" s="137">
        <f>Transportation_LCIA!C$61*($W291^Transportation_LCIA!C$60)+Transportation_LCIA!C$62</f>
        <v>0.2731236986367126</v>
      </c>
      <c r="Z291" s="137">
        <f>Transportation_LCIA!D$61*($W291^Transportation_LCIA!D$60)+Transportation_LCIA!D$62</f>
        <v>2.8629364723129571</v>
      </c>
      <c r="AA291" s="137">
        <f>Transportation_LCIA!E$61*($W291^Transportation_LCIA!E$60)+Transportation_LCIA!E$62</f>
        <v>1.4324472391760977E-3</v>
      </c>
      <c r="AB291" s="137">
        <f>Transportation_LCIA!F$61*($W291^Transportation_LCIA!F$60)+Transportation_LCIA!F$62</f>
        <v>0.2731236986367126</v>
      </c>
      <c r="AC291" s="137">
        <f>Transportation_LCIA!G$61*($W291^Transportation_LCIA!G$60)+Transportation_LCIA!G$62</f>
        <v>6.6804267943327042E-2</v>
      </c>
      <c r="AD291" s="137">
        <f>Transportation_LCIA!H$61*($W291^Transportation_LCIA!H$60)+Transportation_LCIA!H$62</f>
        <v>3.4039623073025302E-4</v>
      </c>
      <c r="AE291" s="137">
        <f>Transportation_LCIA!I$61*($W291^Transportation_LCIA!I$60)+Transportation_LCIA!I$62</f>
        <v>7.5313047486579253E-6</v>
      </c>
      <c r="AF291" s="137">
        <f>Transportation_LCIA!J$61*($W291^Transportation_LCIA!J$60)+Transportation_LCIA!J$62</f>
        <v>1.1171536460231862E-2</v>
      </c>
      <c r="AG291" s="137">
        <f>Transportation_LCIA!K$61*($W291^Transportation_LCIA!K$60)+Transportation_LCIA!K$62</f>
        <v>1.4427005322781314E-2</v>
      </c>
      <c r="AH291" s="137">
        <f>Transportation_LCIA!L$61*($W291^Transportation_LCIA!L$60)+Transportation_LCIA!L$62</f>
        <v>2.9845682610086144E-4</v>
      </c>
      <c r="AI291" s="137">
        <f>Transportation_LCIA!M$61*($W291^Transportation_LCIA!M$60)+Transportation_LCIA!M$62</f>
        <v>2.7871591009555731E-4</v>
      </c>
      <c r="AJ291" s="137">
        <f>Transportation_LCIA!N$61*($W291^Transportation_LCIA!N$60)+Transportation_LCIA!N$62</f>
        <v>1.2035776980627529E-3</v>
      </c>
      <c r="AK291" s="137">
        <f>Transportation_LCIA!O$61*($W291^Transportation_LCIA!O$60)+Transportation_LCIA!O$62</f>
        <v>7.0654220111155368E-5</v>
      </c>
      <c r="AL291" s="137">
        <f>Transportation_LCIA!P$61*($W291^Transportation_LCIA!P$60)+Transportation_LCIA!P$62</f>
        <v>3.4135986584869326E-8</v>
      </c>
      <c r="AM291" s="137">
        <f>Transportation_LCIA!Q$61*($W291^Transportation_LCIA!Q$60)+Transportation_LCIA!Q$62</f>
        <v>1.1787978430654126E-4</v>
      </c>
      <c r="AN291" s="137">
        <f>Transportation_LCIA!R$61*($W291^Transportation_LCIA!R$60)+Transportation_LCIA!R$62</f>
        <v>3.620033512007317E-4</v>
      </c>
      <c r="AO291" s="137">
        <f>Transportation_LCIA!S$61*($W291^Transportation_LCIA!S$60)+Transportation_LCIA!S$62</f>
        <v>5.3947284428738964E-6</v>
      </c>
      <c r="AP291" s="137">
        <f>Transportation_LCIA!T$61*($W291^Transportation_LCIA!T$60)+Transportation_LCIA!T$62</f>
        <v>5.3947284428738964E-6</v>
      </c>
      <c r="AQ291" s="137">
        <f>Transportation_LCIA!U$61*($W291^Transportation_LCIA!U$60)+Transportation_LCIA!U$62</f>
        <v>7.807798829957284E-4</v>
      </c>
      <c r="AR291" s="137">
        <f>Transportation_LCIA!V$61*($W291^Transportation_LCIA!V$60)+Transportation_LCIA!V$62</f>
        <v>3.0665789662484431E-4</v>
      </c>
      <c r="AT291" s="137">
        <f>$W291*Y291+$L291*Summary_LCIA!H$32</f>
        <v>204.2057164078428</v>
      </c>
      <c r="AU291" s="137">
        <f>$W291*Z291+$L291*Summary_LCIA!Q$32</f>
        <v>2161.8433006084247</v>
      </c>
      <c r="AV291" s="137">
        <f>$W291*AA291+$L291*Summary_LCIA!R$32</f>
        <v>1.1242598006018598</v>
      </c>
      <c r="AW291" s="137">
        <f>$W291*AB291+$L291*Summary_LCIA!S$32</f>
        <v>204.13813018784282</v>
      </c>
      <c r="AX291" s="137">
        <f>$W291*AC291+$L291*Summary_LCIA!T$32</f>
        <v>50.356983088786954</v>
      </c>
      <c r="AY291" s="137">
        <f>$W291*AD291+$L291*Summary_LCIA!U$32</f>
        <v>0.52195050847208557</v>
      </c>
      <c r="AZ291" s="137">
        <f>$W291*AE291+$L291*Summary_LCIA!V$32</f>
        <v>6.2179504443949391E-3</v>
      </c>
      <c r="BA291" s="137">
        <f>$W291*AF291+$L291*Summary_LCIA!W$32</f>
        <v>9.3170320880574522</v>
      </c>
      <c r="BB291" s="137">
        <f>$W291*AG291+$L291*Summary_LCIA!X$32</f>
        <v>10.860474053841092</v>
      </c>
      <c r="BC291" s="137">
        <f>$W291*AH291+$L291*Summary_LCIA!Y$32</f>
        <v>0.45573301776435304</v>
      </c>
      <c r="BD291" s="137">
        <f>$W291*AI291+$L291*Summary_LCIA!Z$32</f>
        <v>0.20371163230773839</v>
      </c>
      <c r="BE291" s="137">
        <f>$W291*AJ291+$L291*Summary_LCIA!AA$32</f>
        <v>1.234115780980034</v>
      </c>
      <c r="BF291" s="137">
        <f>$W291*AK291+$L291*Summary_LCIA!AB$32</f>
        <v>5.1148049697371863E-2</v>
      </c>
      <c r="BG291" s="137">
        <f>$W291*AL291+$L291*Summary_LCIA!AC$32</f>
        <v>2.5620453347241825E-5</v>
      </c>
      <c r="BH291" s="137">
        <f>$W291*AM291+$L291*Summary_LCIA!AD$32</f>
        <v>9.2177562866468513E-2</v>
      </c>
      <c r="BI291" s="137">
        <f>$W291*AN291+$L291*Summary_LCIA!AE$32</f>
        <v>0.2773212383147251</v>
      </c>
      <c r="BJ291" s="137">
        <f>$W291*AO291+$L291*Summary_LCIA!AF$32</f>
        <v>1.6858151565497727E-2</v>
      </c>
      <c r="BK291" s="137">
        <f>$W291*AP291+$L291*Summary_LCIA!AG$32</f>
        <v>4.7131983604977237E-3</v>
      </c>
      <c r="BL291" s="137">
        <f>$W291*AQ291+$L291*Summary_LCIA!AH$32</f>
        <v>0.70199701117543833</v>
      </c>
      <c r="BM291" s="137">
        <f>$W291*AR291+$L291*Summary_LCIA!AI$32</f>
        <v>0.23768864435242687</v>
      </c>
    </row>
    <row r="292" spans="1:65" x14ac:dyDescent="0.25">
      <c r="A292" s="149">
        <v>65</v>
      </c>
      <c r="B292" s="149">
        <v>29</v>
      </c>
      <c r="C292" s="61">
        <v>51.075544999999998</v>
      </c>
      <c r="D292" s="61">
        <v>-114.12975400000001</v>
      </c>
      <c r="E292" s="61" t="s">
        <v>462</v>
      </c>
      <c r="F292" s="149">
        <v>125</v>
      </c>
      <c r="G292" s="61" t="s">
        <v>656</v>
      </c>
      <c r="H292" s="61" t="s">
        <v>657</v>
      </c>
      <c r="I292" s="61">
        <v>51.121502999999997</v>
      </c>
      <c r="J292" s="61">
        <v>-114.007616</v>
      </c>
      <c r="K292" s="61">
        <v>10.47008467</v>
      </c>
      <c r="L292" s="61">
        <v>15.291</v>
      </c>
      <c r="M292" s="61" t="s">
        <v>617</v>
      </c>
      <c r="N292" s="149">
        <v>28</v>
      </c>
      <c r="O292" s="149">
        <v>29</v>
      </c>
      <c r="P292" s="61" t="s">
        <v>565</v>
      </c>
      <c r="Q292" s="61" t="s">
        <v>559</v>
      </c>
      <c r="R292" s="61">
        <v>47.450249900000003</v>
      </c>
      <c r="S292" s="61">
        <v>-122.30881650000001</v>
      </c>
      <c r="T292" s="61">
        <v>1138.5450000000001</v>
      </c>
      <c r="U292" s="61" t="s">
        <v>617</v>
      </c>
      <c r="V292" s="61" t="s">
        <v>569</v>
      </c>
      <c r="W292" s="61" cm="1">
        <f t="array" ref="W292">getDistance(I292,J292,R292,S292)*SA!$B$12</f>
        <v>728.64359849106268</v>
      </c>
      <c r="Y292" s="137">
        <f>Transportation_LCIA!C$61*($W292^Transportation_LCIA!C$60)+Transportation_LCIA!C$62</f>
        <v>0.2731236986367126</v>
      </c>
      <c r="Z292" s="137">
        <f>Transportation_LCIA!D$61*($W292^Transportation_LCIA!D$60)+Transportation_LCIA!D$62</f>
        <v>2.8629364723129571</v>
      </c>
      <c r="AA292" s="137">
        <f>Transportation_LCIA!E$61*($W292^Transportation_LCIA!E$60)+Transportation_LCIA!E$62</f>
        <v>1.4324472391760977E-3</v>
      </c>
      <c r="AB292" s="137">
        <f>Transportation_LCIA!F$61*($W292^Transportation_LCIA!F$60)+Transportation_LCIA!F$62</f>
        <v>0.2731236986367126</v>
      </c>
      <c r="AC292" s="137">
        <f>Transportation_LCIA!G$61*($W292^Transportation_LCIA!G$60)+Transportation_LCIA!G$62</f>
        <v>6.6804267943327042E-2</v>
      </c>
      <c r="AD292" s="137">
        <f>Transportation_LCIA!H$61*($W292^Transportation_LCIA!H$60)+Transportation_LCIA!H$62</f>
        <v>3.4039623073025302E-4</v>
      </c>
      <c r="AE292" s="137">
        <f>Transportation_LCIA!I$61*($W292^Transportation_LCIA!I$60)+Transportation_LCIA!I$62</f>
        <v>7.5313047486579253E-6</v>
      </c>
      <c r="AF292" s="137">
        <f>Transportation_LCIA!J$61*($W292^Transportation_LCIA!J$60)+Transportation_LCIA!J$62</f>
        <v>1.1171536460231862E-2</v>
      </c>
      <c r="AG292" s="137">
        <f>Transportation_LCIA!K$61*($W292^Transportation_LCIA!K$60)+Transportation_LCIA!K$62</f>
        <v>1.4427005322781314E-2</v>
      </c>
      <c r="AH292" s="137">
        <f>Transportation_LCIA!L$61*($W292^Transportation_LCIA!L$60)+Transportation_LCIA!L$62</f>
        <v>2.9845682610086144E-4</v>
      </c>
      <c r="AI292" s="137">
        <f>Transportation_LCIA!M$61*($W292^Transportation_LCIA!M$60)+Transportation_LCIA!M$62</f>
        <v>2.7871591009555731E-4</v>
      </c>
      <c r="AJ292" s="137">
        <f>Transportation_LCIA!N$61*($W292^Transportation_LCIA!N$60)+Transportation_LCIA!N$62</f>
        <v>1.2035776980627529E-3</v>
      </c>
      <c r="AK292" s="137">
        <f>Transportation_LCIA!O$61*($W292^Transportation_LCIA!O$60)+Transportation_LCIA!O$62</f>
        <v>7.0654220111155368E-5</v>
      </c>
      <c r="AL292" s="137">
        <f>Transportation_LCIA!P$61*($W292^Transportation_LCIA!P$60)+Transportation_LCIA!P$62</f>
        <v>3.4135986584869326E-8</v>
      </c>
      <c r="AM292" s="137">
        <f>Transportation_LCIA!Q$61*($W292^Transportation_LCIA!Q$60)+Transportation_LCIA!Q$62</f>
        <v>1.1787978430654126E-4</v>
      </c>
      <c r="AN292" s="137">
        <f>Transportation_LCIA!R$61*($W292^Transportation_LCIA!R$60)+Transportation_LCIA!R$62</f>
        <v>3.620033512007317E-4</v>
      </c>
      <c r="AO292" s="137">
        <f>Transportation_LCIA!S$61*($W292^Transportation_LCIA!S$60)+Transportation_LCIA!S$62</f>
        <v>5.3947284428738964E-6</v>
      </c>
      <c r="AP292" s="137">
        <f>Transportation_LCIA!T$61*($W292^Transportation_LCIA!T$60)+Transportation_LCIA!T$62</f>
        <v>5.3947284428738964E-6</v>
      </c>
      <c r="AQ292" s="137">
        <f>Transportation_LCIA!U$61*($W292^Transportation_LCIA!U$60)+Transportation_LCIA!U$62</f>
        <v>7.807798829957284E-4</v>
      </c>
      <c r="AR292" s="137">
        <f>Transportation_LCIA!V$61*($W292^Transportation_LCIA!V$60)+Transportation_LCIA!V$62</f>
        <v>3.0665789662484431E-4</v>
      </c>
      <c r="AT292" s="137">
        <f>$W292*Y292+$L292*Summary_LCIA!H$32</f>
        <v>204.2057164078428</v>
      </c>
      <c r="AU292" s="137">
        <f>$W292*Z292+$L292*Summary_LCIA!Q$32</f>
        <v>2161.8433006084247</v>
      </c>
      <c r="AV292" s="137">
        <f>$W292*AA292+$L292*Summary_LCIA!R$32</f>
        <v>1.1242598006018598</v>
      </c>
      <c r="AW292" s="137">
        <f>$W292*AB292+$L292*Summary_LCIA!S$32</f>
        <v>204.13813018784282</v>
      </c>
      <c r="AX292" s="137">
        <f>$W292*AC292+$L292*Summary_LCIA!T$32</f>
        <v>50.356983088786954</v>
      </c>
      <c r="AY292" s="137">
        <f>$W292*AD292+$L292*Summary_LCIA!U$32</f>
        <v>0.52195050847208557</v>
      </c>
      <c r="AZ292" s="137">
        <f>$W292*AE292+$L292*Summary_LCIA!V$32</f>
        <v>6.2179504443949391E-3</v>
      </c>
      <c r="BA292" s="137">
        <f>$W292*AF292+$L292*Summary_LCIA!W$32</f>
        <v>9.3170320880574522</v>
      </c>
      <c r="BB292" s="137">
        <f>$W292*AG292+$L292*Summary_LCIA!X$32</f>
        <v>10.860474053841092</v>
      </c>
      <c r="BC292" s="137">
        <f>$W292*AH292+$L292*Summary_LCIA!Y$32</f>
        <v>0.45573301776435304</v>
      </c>
      <c r="BD292" s="137">
        <f>$W292*AI292+$L292*Summary_LCIA!Z$32</f>
        <v>0.20371163230773839</v>
      </c>
      <c r="BE292" s="137">
        <f>$W292*AJ292+$L292*Summary_LCIA!AA$32</f>
        <v>1.234115780980034</v>
      </c>
      <c r="BF292" s="137">
        <f>$W292*AK292+$L292*Summary_LCIA!AB$32</f>
        <v>5.1148049697371863E-2</v>
      </c>
      <c r="BG292" s="137">
        <f>$W292*AL292+$L292*Summary_LCIA!AC$32</f>
        <v>2.5620453347241825E-5</v>
      </c>
      <c r="BH292" s="137">
        <f>$W292*AM292+$L292*Summary_LCIA!AD$32</f>
        <v>9.2177562866468513E-2</v>
      </c>
      <c r="BI292" s="137">
        <f>$W292*AN292+$L292*Summary_LCIA!AE$32</f>
        <v>0.2773212383147251</v>
      </c>
      <c r="BJ292" s="137">
        <f>$W292*AO292+$L292*Summary_LCIA!AF$32</f>
        <v>1.6858151565497727E-2</v>
      </c>
      <c r="BK292" s="137">
        <f>$W292*AP292+$L292*Summary_LCIA!AG$32</f>
        <v>4.7131983604977237E-3</v>
      </c>
      <c r="BL292" s="137">
        <f>$W292*AQ292+$L292*Summary_LCIA!AH$32</f>
        <v>0.70199701117543833</v>
      </c>
      <c r="BM292" s="137">
        <f>$W292*AR292+$L292*Summary_LCIA!AI$32</f>
        <v>0.23768864435242687</v>
      </c>
    </row>
    <row r="293" spans="1:65" x14ac:dyDescent="0.25">
      <c r="A293" s="149">
        <v>66</v>
      </c>
      <c r="B293" s="149">
        <v>29</v>
      </c>
      <c r="C293" s="61">
        <v>51.075544999999998</v>
      </c>
      <c r="D293" s="61">
        <v>-114.12975400000001</v>
      </c>
      <c r="E293" s="61" t="s">
        <v>462</v>
      </c>
      <c r="F293" s="149">
        <v>125</v>
      </c>
      <c r="G293" s="61" t="s">
        <v>656</v>
      </c>
      <c r="H293" s="61" t="s">
        <v>657</v>
      </c>
      <c r="I293" s="61">
        <v>51.121502999999997</v>
      </c>
      <c r="J293" s="61">
        <v>-114.007616</v>
      </c>
      <c r="K293" s="61">
        <v>10.47008467</v>
      </c>
      <c r="L293" s="61">
        <v>15.291</v>
      </c>
      <c r="M293" s="61" t="s">
        <v>617</v>
      </c>
      <c r="N293" s="149">
        <v>28</v>
      </c>
      <c r="O293" s="149">
        <v>29</v>
      </c>
      <c r="P293" s="61" t="s">
        <v>565</v>
      </c>
      <c r="Q293" s="61" t="s">
        <v>559</v>
      </c>
      <c r="R293" s="61">
        <v>47.450249900000003</v>
      </c>
      <c r="S293" s="61">
        <v>-122.30881650000001</v>
      </c>
      <c r="T293" s="61">
        <v>1138.5450000000001</v>
      </c>
      <c r="U293" s="61" t="s">
        <v>617</v>
      </c>
      <c r="V293" s="61" t="s">
        <v>569</v>
      </c>
      <c r="W293" s="61" cm="1">
        <f t="array" ref="W293">getDistance(I293,J293,R293,S293)*SA!$B$12</f>
        <v>728.64359849106268</v>
      </c>
      <c r="Y293" s="137">
        <f>Transportation_LCIA!C$61*($W293^Transportation_LCIA!C$60)+Transportation_LCIA!C$62</f>
        <v>0.2731236986367126</v>
      </c>
      <c r="Z293" s="137">
        <f>Transportation_LCIA!D$61*($W293^Transportation_LCIA!D$60)+Transportation_LCIA!D$62</f>
        <v>2.8629364723129571</v>
      </c>
      <c r="AA293" s="137">
        <f>Transportation_LCIA!E$61*($W293^Transportation_LCIA!E$60)+Transportation_LCIA!E$62</f>
        <v>1.4324472391760977E-3</v>
      </c>
      <c r="AB293" s="137">
        <f>Transportation_LCIA!F$61*($W293^Transportation_LCIA!F$60)+Transportation_LCIA!F$62</f>
        <v>0.2731236986367126</v>
      </c>
      <c r="AC293" s="137">
        <f>Transportation_LCIA!G$61*($W293^Transportation_LCIA!G$60)+Transportation_LCIA!G$62</f>
        <v>6.6804267943327042E-2</v>
      </c>
      <c r="AD293" s="137">
        <f>Transportation_LCIA!H$61*($W293^Transportation_LCIA!H$60)+Transportation_LCIA!H$62</f>
        <v>3.4039623073025302E-4</v>
      </c>
      <c r="AE293" s="137">
        <f>Transportation_LCIA!I$61*($W293^Transportation_LCIA!I$60)+Transportation_LCIA!I$62</f>
        <v>7.5313047486579253E-6</v>
      </c>
      <c r="AF293" s="137">
        <f>Transportation_LCIA!J$61*($W293^Transportation_LCIA!J$60)+Transportation_LCIA!J$62</f>
        <v>1.1171536460231862E-2</v>
      </c>
      <c r="AG293" s="137">
        <f>Transportation_LCIA!K$61*($W293^Transportation_LCIA!K$60)+Transportation_LCIA!K$62</f>
        <v>1.4427005322781314E-2</v>
      </c>
      <c r="AH293" s="137">
        <f>Transportation_LCIA!L$61*($W293^Transportation_LCIA!L$60)+Transportation_LCIA!L$62</f>
        <v>2.9845682610086144E-4</v>
      </c>
      <c r="AI293" s="137">
        <f>Transportation_LCIA!M$61*($W293^Transportation_LCIA!M$60)+Transportation_LCIA!M$62</f>
        <v>2.7871591009555731E-4</v>
      </c>
      <c r="AJ293" s="137">
        <f>Transportation_LCIA!N$61*($W293^Transportation_LCIA!N$60)+Transportation_LCIA!N$62</f>
        <v>1.2035776980627529E-3</v>
      </c>
      <c r="AK293" s="137">
        <f>Transportation_LCIA!O$61*($W293^Transportation_LCIA!O$60)+Transportation_LCIA!O$62</f>
        <v>7.0654220111155368E-5</v>
      </c>
      <c r="AL293" s="137">
        <f>Transportation_LCIA!P$61*($W293^Transportation_LCIA!P$60)+Transportation_LCIA!P$62</f>
        <v>3.4135986584869326E-8</v>
      </c>
      <c r="AM293" s="137">
        <f>Transportation_LCIA!Q$61*($W293^Transportation_LCIA!Q$60)+Transportation_LCIA!Q$62</f>
        <v>1.1787978430654126E-4</v>
      </c>
      <c r="AN293" s="137">
        <f>Transportation_LCIA!R$61*($W293^Transportation_LCIA!R$60)+Transportation_LCIA!R$62</f>
        <v>3.620033512007317E-4</v>
      </c>
      <c r="AO293" s="137">
        <f>Transportation_LCIA!S$61*($W293^Transportation_LCIA!S$60)+Transportation_LCIA!S$62</f>
        <v>5.3947284428738964E-6</v>
      </c>
      <c r="AP293" s="137">
        <f>Transportation_LCIA!T$61*($W293^Transportation_LCIA!T$60)+Transportation_LCIA!T$62</f>
        <v>5.3947284428738964E-6</v>
      </c>
      <c r="AQ293" s="137">
        <f>Transportation_LCIA!U$61*($W293^Transportation_LCIA!U$60)+Transportation_LCIA!U$62</f>
        <v>7.807798829957284E-4</v>
      </c>
      <c r="AR293" s="137">
        <f>Transportation_LCIA!V$61*($W293^Transportation_LCIA!V$60)+Transportation_LCIA!V$62</f>
        <v>3.0665789662484431E-4</v>
      </c>
      <c r="AT293" s="137">
        <f>$W293*Y293+$L293*Summary_LCIA!H$32</f>
        <v>204.2057164078428</v>
      </c>
      <c r="AU293" s="137">
        <f>$W293*Z293+$L293*Summary_LCIA!Q$32</f>
        <v>2161.8433006084247</v>
      </c>
      <c r="AV293" s="137">
        <f>$W293*AA293+$L293*Summary_LCIA!R$32</f>
        <v>1.1242598006018598</v>
      </c>
      <c r="AW293" s="137">
        <f>$W293*AB293+$L293*Summary_LCIA!S$32</f>
        <v>204.13813018784282</v>
      </c>
      <c r="AX293" s="137">
        <f>$W293*AC293+$L293*Summary_LCIA!T$32</f>
        <v>50.356983088786954</v>
      </c>
      <c r="AY293" s="137">
        <f>$W293*AD293+$L293*Summary_LCIA!U$32</f>
        <v>0.52195050847208557</v>
      </c>
      <c r="AZ293" s="137">
        <f>$W293*AE293+$L293*Summary_LCIA!V$32</f>
        <v>6.2179504443949391E-3</v>
      </c>
      <c r="BA293" s="137">
        <f>$W293*AF293+$L293*Summary_LCIA!W$32</f>
        <v>9.3170320880574522</v>
      </c>
      <c r="BB293" s="137">
        <f>$W293*AG293+$L293*Summary_LCIA!X$32</f>
        <v>10.860474053841092</v>
      </c>
      <c r="BC293" s="137">
        <f>$W293*AH293+$L293*Summary_LCIA!Y$32</f>
        <v>0.45573301776435304</v>
      </c>
      <c r="BD293" s="137">
        <f>$W293*AI293+$L293*Summary_LCIA!Z$32</f>
        <v>0.20371163230773839</v>
      </c>
      <c r="BE293" s="137">
        <f>$W293*AJ293+$L293*Summary_LCIA!AA$32</f>
        <v>1.234115780980034</v>
      </c>
      <c r="BF293" s="137">
        <f>$W293*AK293+$L293*Summary_LCIA!AB$32</f>
        <v>5.1148049697371863E-2</v>
      </c>
      <c r="BG293" s="137">
        <f>$W293*AL293+$L293*Summary_LCIA!AC$32</f>
        <v>2.5620453347241825E-5</v>
      </c>
      <c r="BH293" s="137">
        <f>$W293*AM293+$L293*Summary_LCIA!AD$32</f>
        <v>9.2177562866468513E-2</v>
      </c>
      <c r="BI293" s="137">
        <f>$W293*AN293+$L293*Summary_LCIA!AE$32</f>
        <v>0.2773212383147251</v>
      </c>
      <c r="BJ293" s="137">
        <f>$W293*AO293+$L293*Summary_LCIA!AF$32</f>
        <v>1.6858151565497727E-2</v>
      </c>
      <c r="BK293" s="137">
        <f>$W293*AP293+$L293*Summary_LCIA!AG$32</f>
        <v>4.7131983604977237E-3</v>
      </c>
      <c r="BL293" s="137">
        <f>$W293*AQ293+$L293*Summary_LCIA!AH$32</f>
        <v>0.70199701117543833</v>
      </c>
      <c r="BM293" s="137">
        <f>$W293*AR293+$L293*Summary_LCIA!AI$32</f>
        <v>0.23768864435242687</v>
      </c>
    </row>
    <row r="294" spans="1:65" x14ac:dyDescent="0.25">
      <c r="A294" s="149">
        <v>67</v>
      </c>
      <c r="B294" s="149">
        <v>29</v>
      </c>
      <c r="C294" s="61">
        <v>51.075544999999998</v>
      </c>
      <c r="D294" s="61">
        <v>-114.12975400000001</v>
      </c>
      <c r="E294" s="61" t="s">
        <v>462</v>
      </c>
      <c r="F294" s="149">
        <v>125</v>
      </c>
      <c r="G294" s="61" t="s">
        <v>656</v>
      </c>
      <c r="H294" s="61" t="s">
        <v>657</v>
      </c>
      <c r="I294" s="61">
        <v>51.121502999999997</v>
      </c>
      <c r="J294" s="61">
        <v>-114.007616</v>
      </c>
      <c r="K294" s="61">
        <v>10.47008467</v>
      </c>
      <c r="L294" s="61">
        <v>15.291</v>
      </c>
      <c r="M294" s="61" t="s">
        <v>617</v>
      </c>
      <c r="N294" s="149">
        <v>28</v>
      </c>
      <c r="O294" s="149">
        <v>29</v>
      </c>
      <c r="P294" s="61" t="s">
        <v>565</v>
      </c>
      <c r="Q294" s="61" t="s">
        <v>559</v>
      </c>
      <c r="R294" s="61">
        <v>47.450249900000003</v>
      </c>
      <c r="S294" s="61">
        <v>-122.30881650000001</v>
      </c>
      <c r="T294" s="61">
        <v>1138.5450000000001</v>
      </c>
      <c r="U294" s="61" t="s">
        <v>617</v>
      </c>
      <c r="V294" s="61" t="s">
        <v>569</v>
      </c>
      <c r="W294" s="61" cm="1">
        <f t="array" ref="W294">getDistance(I294,J294,R294,S294)*SA!$B$12</f>
        <v>728.64359849106268</v>
      </c>
      <c r="Y294" s="137">
        <f>Transportation_LCIA!C$61*($W294^Transportation_LCIA!C$60)+Transportation_LCIA!C$62</f>
        <v>0.2731236986367126</v>
      </c>
      <c r="Z294" s="137">
        <f>Transportation_LCIA!D$61*($W294^Transportation_LCIA!D$60)+Transportation_LCIA!D$62</f>
        <v>2.8629364723129571</v>
      </c>
      <c r="AA294" s="137">
        <f>Transportation_LCIA!E$61*($W294^Transportation_LCIA!E$60)+Transportation_LCIA!E$62</f>
        <v>1.4324472391760977E-3</v>
      </c>
      <c r="AB294" s="137">
        <f>Transportation_LCIA!F$61*($W294^Transportation_LCIA!F$60)+Transportation_LCIA!F$62</f>
        <v>0.2731236986367126</v>
      </c>
      <c r="AC294" s="137">
        <f>Transportation_LCIA!G$61*($W294^Transportation_LCIA!G$60)+Transportation_LCIA!G$62</f>
        <v>6.6804267943327042E-2</v>
      </c>
      <c r="AD294" s="137">
        <f>Transportation_LCIA!H$61*($W294^Transportation_LCIA!H$60)+Transportation_LCIA!H$62</f>
        <v>3.4039623073025302E-4</v>
      </c>
      <c r="AE294" s="137">
        <f>Transportation_LCIA!I$61*($W294^Transportation_LCIA!I$60)+Transportation_LCIA!I$62</f>
        <v>7.5313047486579253E-6</v>
      </c>
      <c r="AF294" s="137">
        <f>Transportation_LCIA!J$61*($W294^Transportation_LCIA!J$60)+Transportation_LCIA!J$62</f>
        <v>1.1171536460231862E-2</v>
      </c>
      <c r="AG294" s="137">
        <f>Transportation_LCIA!K$61*($W294^Transportation_LCIA!K$60)+Transportation_LCIA!K$62</f>
        <v>1.4427005322781314E-2</v>
      </c>
      <c r="AH294" s="137">
        <f>Transportation_LCIA!L$61*($W294^Transportation_LCIA!L$60)+Transportation_LCIA!L$62</f>
        <v>2.9845682610086144E-4</v>
      </c>
      <c r="AI294" s="137">
        <f>Transportation_LCIA!M$61*($W294^Transportation_LCIA!M$60)+Transportation_LCIA!M$62</f>
        <v>2.7871591009555731E-4</v>
      </c>
      <c r="AJ294" s="137">
        <f>Transportation_LCIA!N$61*($W294^Transportation_LCIA!N$60)+Transportation_LCIA!N$62</f>
        <v>1.2035776980627529E-3</v>
      </c>
      <c r="AK294" s="137">
        <f>Transportation_LCIA!O$61*($W294^Transportation_LCIA!O$60)+Transportation_LCIA!O$62</f>
        <v>7.0654220111155368E-5</v>
      </c>
      <c r="AL294" s="137">
        <f>Transportation_LCIA!P$61*($W294^Transportation_LCIA!P$60)+Transportation_LCIA!P$62</f>
        <v>3.4135986584869326E-8</v>
      </c>
      <c r="AM294" s="137">
        <f>Transportation_LCIA!Q$61*($W294^Transportation_LCIA!Q$60)+Transportation_LCIA!Q$62</f>
        <v>1.1787978430654126E-4</v>
      </c>
      <c r="AN294" s="137">
        <f>Transportation_LCIA!R$61*($W294^Transportation_LCIA!R$60)+Transportation_LCIA!R$62</f>
        <v>3.620033512007317E-4</v>
      </c>
      <c r="AO294" s="137">
        <f>Transportation_LCIA!S$61*($W294^Transportation_LCIA!S$60)+Transportation_LCIA!S$62</f>
        <v>5.3947284428738964E-6</v>
      </c>
      <c r="AP294" s="137">
        <f>Transportation_LCIA!T$61*($W294^Transportation_LCIA!T$60)+Transportation_LCIA!T$62</f>
        <v>5.3947284428738964E-6</v>
      </c>
      <c r="AQ294" s="137">
        <f>Transportation_LCIA!U$61*($W294^Transportation_LCIA!U$60)+Transportation_LCIA!U$62</f>
        <v>7.807798829957284E-4</v>
      </c>
      <c r="AR294" s="137">
        <f>Transportation_LCIA!V$61*($W294^Transportation_LCIA!V$60)+Transportation_LCIA!V$62</f>
        <v>3.0665789662484431E-4</v>
      </c>
      <c r="AT294" s="137">
        <f>$W294*Y294+$L294*Summary_LCIA!H$32</f>
        <v>204.2057164078428</v>
      </c>
      <c r="AU294" s="137">
        <f>$W294*Z294+$L294*Summary_LCIA!Q$32</f>
        <v>2161.8433006084247</v>
      </c>
      <c r="AV294" s="137">
        <f>$W294*AA294+$L294*Summary_LCIA!R$32</f>
        <v>1.1242598006018598</v>
      </c>
      <c r="AW294" s="137">
        <f>$W294*AB294+$L294*Summary_LCIA!S$32</f>
        <v>204.13813018784282</v>
      </c>
      <c r="AX294" s="137">
        <f>$W294*AC294+$L294*Summary_LCIA!T$32</f>
        <v>50.356983088786954</v>
      </c>
      <c r="AY294" s="137">
        <f>$W294*AD294+$L294*Summary_LCIA!U$32</f>
        <v>0.52195050847208557</v>
      </c>
      <c r="AZ294" s="137">
        <f>$W294*AE294+$L294*Summary_LCIA!V$32</f>
        <v>6.2179504443949391E-3</v>
      </c>
      <c r="BA294" s="137">
        <f>$W294*AF294+$L294*Summary_LCIA!W$32</f>
        <v>9.3170320880574522</v>
      </c>
      <c r="BB294" s="137">
        <f>$W294*AG294+$L294*Summary_LCIA!X$32</f>
        <v>10.860474053841092</v>
      </c>
      <c r="BC294" s="137">
        <f>$W294*AH294+$L294*Summary_LCIA!Y$32</f>
        <v>0.45573301776435304</v>
      </c>
      <c r="BD294" s="137">
        <f>$W294*AI294+$L294*Summary_LCIA!Z$32</f>
        <v>0.20371163230773839</v>
      </c>
      <c r="BE294" s="137">
        <f>$W294*AJ294+$L294*Summary_LCIA!AA$32</f>
        <v>1.234115780980034</v>
      </c>
      <c r="BF294" s="137">
        <f>$W294*AK294+$L294*Summary_LCIA!AB$32</f>
        <v>5.1148049697371863E-2</v>
      </c>
      <c r="BG294" s="137">
        <f>$W294*AL294+$L294*Summary_LCIA!AC$32</f>
        <v>2.5620453347241825E-5</v>
      </c>
      <c r="BH294" s="137">
        <f>$W294*AM294+$L294*Summary_LCIA!AD$32</f>
        <v>9.2177562866468513E-2</v>
      </c>
      <c r="BI294" s="137">
        <f>$W294*AN294+$L294*Summary_LCIA!AE$32</f>
        <v>0.2773212383147251</v>
      </c>
      <c r="BJ294" s="137">
        <f>$W294*AO294+$L294*Summary_LCIA!AF$32</f>
        <v>1.6858151565497727E-2</v>
      </c>
      <c r="BK294" s="137">
        <f>$W294*AP294+$L294*Summary_LCIA!AG$32</f>
        <v>4.7131983604977237E-3</v>
      </c>
      <c r="BL294" s="137">
        <f>$W294*AQ294+$L294*Summary_LCIA!AH$32</f>
        <v>0.70199701117543833</v>
      </c>
      <c r="BM294" s="137">
        <f>$W294*AR294+$L294*Summary_LCIA!AI$32</f>
        <v>0.23768864435242687</v>
      </c>
    </row>
    <row r="295" spans="1:65" x14ac:dyDescent="0.25">
      <c r="A295" s="149">
        <v>68</v>
      </c>
      <c r="B295" s="149">
        <v>29</v>
      </c>
      <c r="C295" s="61">
        <v>51.075544999999998</v>
      </c>
      <c r="D295" s="61">
        <v>-114.12975400000001</v>
      </c>
      <c r="E295" s="61" t="s">
        <v>462</v>
      </c>
      <c r="F295" s="149">
        <v>125</v>
      </c>
      <c r="G295" s="61" t="s">
        <v>656</v>
      </c>
      <c r="H295" s="61" t="s">
        <v>657</v>
      </c>
      <c r="I295" s="61">
        <v>51.121502999999997</v>
      </c>
      <c r="J295" s="61">
        <v>-114.007616</v>
      </c>
      <c r="K295" s="61">
        <v>10.47008467</v>
      </c>
      <c r="L295" s="61">
        <v>15.291</v>
      </c>
      <c r="M295" s="61" t="s">
        <v>617</v>
      </c>
      <c r="N295" s="149">
        <v>28</v>
      </c>
      <c r="O295" s="149">
        <v>29</v>
      </c>
      <c r="P295" s="61" t="s">
        <v>565</v>
      </c>
      <c r="Q295" s="61" t="s">
        <v>559</v>
      </c>
      <c r="R295" s="61">
        <v>47.450249900000003</v>
      </c>
      <c r="S295" s="61">
        <v>-122.30881650000001</v>
      </c>
      <c r="T295" s="61">
        <v>1138.5450000000001</v>
      </c>
      <c r="U295" s="61" t="s">
        <v>617</v>
      </c>
      <c r="V295" s="61" t="s">
        <v>569</v>
      </c>
      <c r="W295" s="61" cm="1">
        <f t="array" ref="W295">getDistance(I295,J295,R295,S295)*SA!$B$12</f>
        <v>728.64359849106268</v>
      </c>
      <c r="Y295" s="137">
        <f>Transportation_LCIA!C$61*($W295^Transportation_LCIA!C$60)+Transportation_LCIA!C$62</f>
        <v>0.2731236986367126</v>
      </c>
      <c r="Z295" s="137">
        <f>Transportation_LCIA!D$61*($W295^Transportation_LCIA!D$60)+Transportation_LCIA!D$62</f>
        <v>2.8629364723129571</v>
      </c>
      <c r="AA295" s="137">
        <f>Transportation_LCIA!E$61*($W295^Transportation_LCIA!E$60)+Transportation_LCIA!E$62</f>
        <v>1.4324472391760977E-3</v>
      </c>
      <c r="AB295" s="137">
        <f>Transportation_LCIA!F$61*($W295^Transportation_LCIA!F$60)+Transportation_LCIA!F$62</f>
        <v>0.2731236986367126</v>
      </c>
      <c r="AC295" s="137">
        <f>Transportation_LCIA!G$61*($W295^Transportation_LCIA!G$60)+Transportation_LCIA!G$62</f>
        <v>6.6804267943327042E-2</v>
      </c>
      <c r="AD295" s="137">
        <f>Transportation_LCIA!H$61*($W295^Transportation_LCIA!H$60)+Transportation_LCIA!H$62</f>
        <v>3.4039623073025302E-4</v>
      </c>
      <c r="AE295" s="137">
        <f>Transportation_LCIA!I$61*($W295^Transportation_LCIA!I$60)+Transportation_LCIA!I$62</f>
        <v>7.5313047486579253E-6</v>
      </c>
      <c r="AF295" s="137">
        <f>Transportation_LCIA!J$61*($W295^Transportation_LCIA!J$60)+Transportation_LCIA!J$62</f>
        <v>1.1171536460231862E-2</v>
      </c>
      <c r="AG295" s="137">
        <f>Transportation_LCIA!K$61*($W295^Transportation_LCIA!K$60)+Transportation_LCIA!K$62</f>
        <v>1.4427005322781314E-2</v>
      </c>
      <c r="AH295" s="137">
        <f>Transportation_LCIA!L$61*($W295^Transportation_LCIA!L$60)+Transportation_LCIA!L$62</f>
        <v>2.9845682610086144E-4</v>
      </c>
      <c r="AI295" s="137">
        <f>Transportation_LCIA!M$61*($W295^Transportation_LCIA!M$60)+Transportation_LCIA!M$62</f>
        <v>2.7871591009555731E-4</v>
      </c>
      <c r="AJ295" s="137">
        <f>Transportation_LCIA!N$61*($W295^Transportation_LCIA!N$60)+Transportation_LCIA!N$62</f>
        <v>1.2035776980627529E-3</v>
      </c>
      <c r="AK295" s="137">
        <f>Transportation_LCIA!O$61*($W295^Transportation_LCIA!O$60)+Transportation_LCIA!O$62</f>
        <v>7.0654220111155368E-5</v>
      </c>
      <c r="AL295" s="137">
        <f>Transportation_LCIA!P$61*($W295^Transportation_LCIA!P$60)+Transportation_LCIA!P$62</f>
        <v>3.4135986584869326E-8</v>
      </c>
      <c r="AM295" s="137">
        <f>Transportation_LCIA!Q$61*($W295^Transportation_LCIA!Q$60)+Transportation_LCIA!Q$62</f>
        <v>1.1787978430654126E-4</v>
      </c>
      <c r="AN295" s="137">
        <f>Transportation_LCIA!R$61*($W295^Transportation_LCIA!R$60)+Transportation_LCIA!R$62</f>
        <v>3.620033512007317E-4</v>
      </c>
      <c r="AO295" s="137">
        <f>Transportation_LCIA!S$61*($W295^Transportation_LCIA!S$60)+Transportation_LCIA!S$62</f>
        <v>5.3947284428738964E-6</v>
      </c>
      <c r="AP295" s="137">
        <f>Transportation_LCIA!T$61*($W295^Transportation_LCIA!T$60)+Transportation_LCIA!T$62</f>
        <v>5.3947284428738964E-6</v>
      </c>
      <c r="AQ295" s="137">
        <f>Transportation_LCIA!U$61*($W295^Transportation_LCIA!U$60)+Transportation_LCIA!U$62</f>
        <v>7.807798829957284E-4</v>
      </c>
      <c r="AR295" s="137">
        <f>Transportation_LCIA!V$61*($W295^Transportation_LCIA!V$60)+Transportation_LCIA!V$62</f>
        <v>3.0665789662484431E-4</v>
      </c>
      <c r="AT295" s="137">
        <f>$W295*Y295+$L295*Summary_LCIA!H$32</f>
        <v>204.2057164078428</v>
      </c>
      <c r="AU295" s="137">
        <f>$W295*Z295+$L295*Summary_LCIA!Q$32</f>
        <v>2161.8433006084247</v>
      </c>
      <c r="AV295" s="137">
        <f>$W295*AA295+$L295*Summary_LCIA!R$32</f>
        <v>1.1242598006018598</v>
      </c>
      <c r="AW295" s="137">
        <f>$W295*AB295+$L295*Summary_LCIA!S$32</f>
        <v>204.13813018784282</v>
      </c>
      <c r="AX295" s="137">
        <f>$W295*AC295+$L295*Summary_LCIA!T$32</f>
        <v>50.356983088786954</v>
      </c>
      <c r="AY295" s="137">
        <f>$W295*AD295+$L295*Summary_LCIA!U$32</f>
        <v>0.52195050847208557</v>
      </c>
      <c r="AZ295" s="137">
        <f>$W295*AE295+$L295*Summary_LCIA!V$32</f>
        <v>6.2179504443949391E-3</v>
      </c>
      <c r="BA295" s="137">
        <f>$W295*AF295+$L295*Summary_LCIA!W$32</f>
        <v>9.3170320880574522</v>
      </c>
      <c r="BB295" s="137">
        <f>$W295*AG295+$L295*Summary_LCIA!X$32</f>
        <v>10.860474053841092</v>
      </c>
      <c r="BC295" s="137">
        <f>$W295*AH295+$L295*Summary_LCIA!Y$32</f>
        <v>0.45573301776435304</v>
      </c>
      <c r="BD295" s="137">
        <f>$W295*AI295+$L295*Summary_LCIA!Z$32</f>
        <v>0.20371163230773839</v>
      </c>
      <c r="BE295" s="137">
        <f>$W295*AJ295+$L295*Summary_LCIA!AA$32</f>
        <v>1.234115780980034</v>
      </c>
      <c r="BF295" s="137">
        <f>$W295*AK295+$L295*Summary_LCIA!AB$32</f>
        <v>5.1148049697371863E-2</v>
      </c>
      <c r="BG295" s="137">
        <f>$W295*AL295+$L295*Summary_LCIA!AC$32</f>
        <v>2.5620453347241825E-5</v>
      </c>
      <c r="BH295" s="137">
        <f>$W295*AM295+$L295*Summary_LCIA!AD$32</f>
        <v>9.2177562866468513E-2</v>
      </c>
      <c r="BI295" s="137">
        <f>$W295*AN295+$L295*Summary_LCIA!AE$32</f>
        <v>0.2773212383147251</v>
      </c>
      <c r="BJ295" s="137">
        <f>$W295*AO295+$L295*Summary_LCIA!AF$32</f>
        <v>1.6858151565497727E-2</v>
      </c>
      <c r="BK295" s="137">
        <f>$W295*AP295+$L295*Summary_LCIA!AG$32</f>
        <v>4.7131983604977237E-3</v>
      </c>
      <c r="BL295" s="137">
        <f>$W295*AQ295+$L295*Summary_LCIA!AH$32</f>
        <v>0.70199701117543833</v>
      </c>
      <c r="BM295" s="137">
        <f>$W295*AR295+$L295*Summary_LCIA!AI$32</f>
        <v>0.23768864435242687</v>
      </c>
    </row>
    <row r="296" spans="1:65" x14ac:dyDescent="0.25">
      <c r="A296" s="149">
        <v>69</v>
      </c>
      <c r="B296" s="149">
        <v>29</v>
      </c>
      <c r="C296" s="61">
        <v>51.075544999999998</v>
      </c>
      <c r="D296" s="61">
        <v>-114.12975400000001</v>
      </c>
      <c r="E296" s="61" t="s">
        <v>462</v>
      </c>
      <c r="F296" s="149">
        <v>125</v>
      </c>
      <c r="G296" s="61" t="s">
        <v>656</v>
      </c>
      <c r="H296" s="61" t="s">
        <v>657</v>
      </c>
      <c r="I296" s="61">
        <v>51.121502999999997</v>
      </c>
      <c r="J296" s="61">
        <v>-114.007616</v>
      </c>
      <c r="K296" s="61">
        <v>10.47008467</v>
      </c>
      <c r="L296" s="61">
        <v>15.291</v>
      </c>
      <c r="M296" s="61" t="s">
        <v>617</v>
      </c>
      <c r="N296" s="149">
        <v>28</v>
      </c>
      <c r="O296" s="149">
        <v>29</v>
      </c>
      <c r="P296" s="61" t="s">
        <v>565</v>
      </c>
      <c r="Q296" s="61" t="s">
        <v>559</v>
      </c>
      <c r="R296" s="61">
        <v>47.450249900000003</v>
      </c>
      <c r="S296" s="61">
        <v>-122.30881650000001</v>
      </c>
      <c r="T296" s="61">
        <v>1138.5450000000001</v>
      </c>
      <c r="U296" s="61" t="s">
        <v>617</v>
      </c>
      <c r="V296" s="61" t="s">
        <v>569</v>
      </c>
      <c r="W296" s="61" cm="1">
        <f t="array" ref="W296">getDistance(I296,J296,R296,S296)*SA!$B$12</f>
        <v>728.64359849106268</v>
      </c>
      <c r="Y296" s="137">
        <f>Transportation_LCIA!C$61*($W296^Transportation_LCIA!C$60)+Transportation_LCIA!C$62</f>
        <v>0.2731236986367126</v>
      </c>
      <c r="Z296" s="137">
        <f>Transportation_LCIA!D$61*($W296^Transportation_LCIA!D$60)+Transportation_LCIA!D$62</f>
        <v>2.8629364723129571</v>
      </c>
      <c r="AA296" s="137">
        <f>Transportation_LCIA!E$61*($W296^Transportation_LCIA!E$60)+Transportation_LCIA!E$62</f>
        <v>1.4324472391760977E-3</v>
      </c>
      <c r="AB296" s="137">
        <f>Transportation_LCIA!F$61*($W296^Transportation_LCIA!F$60)+Transportation_LCIA!F$62</f>
        <v>0.2731236986367126</v>
      </c>
      <c r="AC296" s="137">
        <f>Transportation_LCIA!G$61*($W296^Transportation_LCIA!G$60)+Transportation_LCIA!G$62</f>
        <v>6.6804267943327042E-2</v>
      </c>
      <c r="AD296" s="137">
        <f>Transportation_LCIA!H$61*($W296^Transportation_LCIA!H$60)+Transportation_LCIA!H$62</f>
        <v>3.4039623073025302E-4</v>
      </c>
      <c r="AE296" s="137">
        <f>Transportation_LCIA!I$61*($W296^Transportation_LCIA!I$60)+Transportation_LCIA!I$62</f>
        <v>7.5313047486579253E-6</v>
      </c>
      <c r="AF296" s="137">
        <f>Transportation_LCIA!J$61*($W296^Transportation_LCIA!J$60)+Transportation_LCIA!J$62</f>
        <v>1.1171536460231862E-2</v>
      </c>
      <c r="AG296" s="137">
        <f>Transportation_LCIA!K$61*($W296^Transportation_LCIA!K$60)+Transportation_LCIA!K$62</f>
        <v>1.4427005322781314E-2</v>
      </c>
      <c r="AH296" s="137">
        <f>Transportation_LCIA!L$61*($W296^Transportation_LCIA!L$60)+Transportation_LCIA!L$62</f>
        <v>2.9845682610086144E-4</v>
      </c>
      <c r="AI296" s="137">
        <f>Transportation_LCIA!M$61*($W296^Transportation_LCIA!M$60)+Transportation_LCIA!M$62</f>
        <v>2.7871591009555731E-4</v>
      </c>
      <c r="AJ296" s="137">
        <f>Transportation_LCIA!N$61*($W296^Transportation_LCIA!N$60)+Transportation_LCIA!N$62</f>
        <v>1.2035776980627529E-3</v>
      </c>
      <c r="AK296" s="137">
        <f>Transportation_LCIA!O$61*($W296^Transportation_LCIA!O$60)+Transportation_LCIA!O$62</f>
        <v>7.0654220111155368E-5</v>
      </c>
      <c r="AL296" s="137">
        <f>Transportation_LCIA!P$61*($W296^Transportation_LCIA!P$60)+Transportation_LCIA!P$62</f>
        <v>3.4135986584869326E-8</v>
      </c>
      <c r="AM296" s="137">
        <f>Transportation_LCIA!Q$61*($W296^Transportation_LCIA!Q$60)+Transportation_LCIA!Q$62</f>
        <v>1.1787978430654126E-4</v>
      </c>
      <c r="AN296" s="137">
        <f>Transportation_LCIA!R$61*($W296^Transportation_LCIA!R$60)+Transportation_LCIA!R$62</f>
        <v>3.620033512007317E-4</v>
      </c>
      <c r="AO296" s="137">
        <f>Transportation_LCIA!S$61*($W296^Transportation_LCIA!S$60)+Transportation_LCIA!S$62</f>
        <v>5.3947284428738964E-6</v>
      </c>
      <c r="AP296" s="137">
        <f>Transportation_LCIA!T$61*($W296^Transportation_LCIA!T$60)+Transportation_LCIA!T$62</f>
        <v>5.3947284428738964E-6</v>
      </c>
      <c r="AQ296" s="137">
        <f>Transportation_LCIA!U$61*($W296^Transportation_LCIA!U$60)+Transportation_LCIA!U$62</f>
        <v>7.807798829957284E-4</v>
      </c>
      <c r="AR296" s="137">
        <f>Transportation_LCIA!V$61*($W296^Transportation_LCIA!V$60)+Transportation_LCIA!V$62</f>
        <v>3.0665789662484431E-4</v>
      </c>
      <c r="AT296" s="137">
        <f>$W296*Y296+$L296*Summary_LCIA!H$32</f>
        <v>204.2057164078428</v>
      </c>
      <c r="AU296" s="137">
        <f>$W296*Z296+$L296*Summary_LCIA!Q$32</f>
        <v>2161.8433006084247</v>
      </c>
      <c r="AV296" s="137">
        <f>$W296*AA296+$L296*Summary_LCIA!R$32</f>
        <v>1.1242598006018598</v>
      </c>
      <c r="AW296" s="137">
        <f>$W296*AB296+$L296*Summary_LCIA!S$32</f>
        <v>204.13813018784282</v>
      </c>
      <c r="AX296" s="137">
        <f>$W296*AC296+$L296*Summary_LCIA!T$32</f>
        <v>50.356983088786954</v>
      </c>
      <c r="AY296" s="137">
        <f>$W296*AD296+$L296*Summary_LCIA!U$32</f>
        <v>0.52195050847208557</v>
      </c>
      <c r="AZ296" s="137">
        <f>$W296*AE296+$L296*Summary_LCIA!V$32</f>
        <v>6.2179504443949391E-3</v>
      </c>
      <c r="BA296" s="137">
        <f>$W296*AF296+$L296*Summary_LCIA!W$32</f>
        <v>9.3170320880574522</v>
      </c>
      <c r="BB296" s="137">
        <f>$W296*AG296+$L296*Summary_LCIA!X$32</f>
        <v>10.860474053841092</v>
      </c>
      <c r="BC296" s="137">
        <f>$W296*AH296+$L296*Summary_LCIA!Y$32</f>
        <v>0.45573301776435304</v>
      </c>
      <c r="BD296" s="137">
        <f>$W296*AI296+$L296*Summary_LCIA!Z$32</f>
        <v>0.20371163230773839</v>
      </c>
      <c r="BE296" s="137">
        <f>$W296*AJ296+$L296*Summary_LCIA!AA$32</f>
        <v>1.234115780980034</v>
      </c>
      <c r="BF296" s="137">
        <f>$W296*AK296+$L296*Summary_LCIA!AB$32</f>
        <v>5.1148049697371863E-2</v>
      </c>
      <c r="BG296" s="137">
        <f>$W296*AL296+$L296*Summary_LCIA!AC$32</f>
        <v>2.5620453347241825E-5</v>
      </c>
      <c r="BH296" s="137">
        <f>$W296*AM296+$L296*Summary_LCIA!AD$32</f>
        <v>9.2177562866468513E-2</v>
      </c>
      <c r="BI296" s="137">
        <f>$W296*AN296+$L296*Summary_LCIA!AE$32</f>
        <v>0.2773212383147251</v>
      </c>
      <c r="BJ296" s="137">
        <f>$W296*AO296+$L296*Summary_LCIA!AF$32</f>
        <v>1.6858151565497727E-2</v>
      </c>
      <c r="BK296" s="137">
        <f>$W296*AP296+$L296*Summary_LCIA!AG$32</f>
        <v>4.7131983604977237E-3</v>
      </c>
      <c r="BL296" s="137">
        <f>$W296*AQ296+$L296*Summary_LCIA!AH$32</f>
        <v>0.70199701117543833</v>
      </c>
      <c r="BM296" s="137">
        <f>$W296*AR296+$L296*Summary_LCIA!AI$32</f>
        <v>0.23768864435242687</v>
      </c>
    </row>
    <row r="297" spans="1:65" x14ac:dyDescent="0.25">
      <c r="A297" s="149">
        <v>70</v>
      </c>
      <c r="B297" s="149">
        <v>29</v>
      </c>
      <c r="C297" s="61">
        <v>51.075544999999998</v>
      </c>
      <c r="D297" s="61">
        <v>-114.12975400000001</v>
      </c>
      <c r="E297" s="61" t="s">
        <v>462</v>
      </c>
      <c r="F297" s="149">
        <v>125</v>
      </c>
      <c r="G297" s="61" t="s">
        <v>656</v>
      </c>
      <c r="H297" s="61" t="s">
        <v>657</v>
      </c>
      <c r="I297" s="61">
        <v>51.121502999999997</v>
      </c>
      <c r="J297" s="61">
        <v>-114.007616</v>
      </c>
      <c r="K297" s="61">
        <v>10.47008467</v>
      </c>
      <c r="L297" s="61">
        <v>15.291</v>
      </c>
      <c r="M297" s="61" t="s">
        <v>617</v>
      </c>
      <c r="N297" s="149">
        <v>28</v>
      </c>
      <c r="O297" s="149">
        <v>29</v>
      </c>
      <c r="P297" s="61" t="s">
        <v>565</v>
      </c>
      <c r="Q297" s="61" t="s">
        <v>559</v>
      </c>
      <c r="R297" s="61">
        <v>47.450249900000003</v>
      </c>
      <c r="S297" s="61">
        <v>-122.30881650000001</v>
      </c>
      <c r="T297" s="61">
        <v>1138.5450000000001</v>
      </c>
      <c r="U297" s="61" t="s">
        <v>617</v>
      </c>
      <c r="V297" s="61" t="s">
        <v>569</v>
      </c>
      <c r="W297" s="61" cm="1">
        <f t="array" ref="W297">getDistance(I297,J297,R297,S297)*SA!$B$12</f>
        <v>728.64359849106268</v>
      </c>
      <c r="Y297" s="137">
        <f>Transportation_LCIA!C$61*($W297^Transportation_LCIA!C$60)+Transportation_LCIA!C$62</f>
        <v>0.2731236986367126</v>
      </c>
      <c r="Z297" s="137">
        <f>Transportation_LCIA!D$61*($W297^Transportation_LCIA!D$60)+Transportation_LCIA!D$62</f>
        <v>2.8629364723129571</v>
      </c>
      <c r="AA297" s="137">
        <f>Transportation_LCIA!E$61*($W297^Transportation_LCIA!E$60)+Transportation_LCIA!E$62</f>
        <v>1.4324472391760977E-3</v>
      </c>
      <c r="AB297" s="137">
        <f>Transportation_LCIA!F$61*($W297^Transportation_LCIA!F$60)+Transportation_LCIA!F$62</f>
        <v>0.2731236986367126</v>
      </c>
      <c r="AC297" s="137">
        <f>Transportation_LCIA!G$61*($W297^Transportation_LCIA!G$60)+Transportation_LCIA!G$62</f>
        <v>6.6804267943327042E-2</v>
      </c>
      <c r="AD297" s="137">
        <f>Transportation_LCIA!H$61*($W297^Transportation_LCIA!H$60)+Transportation_LCIA!H$62</f>
        <v>3.4039623073025302E-4</v>
      </c>
      <c r="AE297" s="137">
        <f>Transportation_LCIA!I$61*($W297^Transportation_LCIA!I$60)+Transportation_LCIA!I$62</f>
        <v>7.5313047486579253E-6</v>
      </c>
      <c r="AF297" s="137">
        <f>Transportation_LCIA!J$61*($W297^Transportation_LCIA!J$60)+Transportation_LCIA!J$62</f>
        <v>1.1171536460231862E-2</v>
      </c>
      <c r="AG297" s="137">
        <f>Transportation_LCIA!K$61*($W297^Transportation_LCIA!K$60)+Transportation_LCIA!K$62</f>
        <v>1.4427005322781314E-2</v>
      </c>
      <c r="AH297" s="137">
        <f>Transportation_LCIA!L$61*($W297^Transportation_LCIA!L$60)+Transportation_LCIA!L$62</f>
        <v>2.9845682610086144E-4</v>
      </c>
      <c r="AI297" s="137">
        <f>Transportation_LCIA!M$61*($W297^Transportation_LCIA!M$60)+Transportation_LCIA!M$62</f>
        <v>2.7871591009555731E-4</v>
      </c>
      <c r="AJ297" s="137">
        <f>Transportation_LCIA!N$61*($W297^Transportation_LCIA!N$60)+Transportation_LCIA!N$62</f>
        <v>1.2035776980627529E-3</v>
      </c>
      <c r="AK297" s="137">
        <f>Transportation_LCIA!O$61*($W297^Transportation_LCIA!O$60)+Transportation_LCIA!O$62</f>
        <v>7.0654220111155368E-5</v>
      </c>
      <c r="AL297" s="137">
        <f>Transportation_LCIA!P$61*($W297^Transportation_LCIA!P$60)+Transportation_LCIA!P$62</f>
        <v>3.4135986584869326E-8</v>
      </c>
      <c r="AM297" s="137">
        <f>Transportation_LCIA!Q$61*($W297^Transportation_LCIA!Q$60)+Transportation_LCIA!Q$62</f>
        <v>1.1787978430654126E-4</v>
      </c>
      <c r="AN297" s="137">
        <f>Transportation_LCIA!R$61*($W297^Transportation_LCIA!R$60)+Transportation_LCIA!R$62</f>
        <v>3.620033512007317E-4</v>
      </c>
      <c r="AO297" s="137">
        <f>Transportation_LCIA!S$61*($W297^Transportation_LCIA!S$60)+Transportation_LCIA!S$62</f>
        <v>5.3947284428738964E-6</v>
      </c>
      <c r="AP297" s="137">
        <f>Transportation_LCIA!T$61*($W297^Transportation_LCIA!T$60)+Transportation_LCIA!T$62</f>
        <v>5.3947284428738964E-6</v>
      </c>
      <c r="AQ297" s="137">
        <f>Transportation_LCIA!U$61*($W297^Transportation_LCIA!U$60)+Transportation_LCIA!U$62</f>
        <v>7.807798829957284E-4</v>
      </c>
      <c r="AR297" s="137">
        <f>Transportation_LCIA!V$61*($W297^Transportation_LCIA!V$60)+Transportation_LCIA!V$62</f>
        <v>3.0665789662484431E-4</v>
      </c>
      <c r="AT297" s="137">
        <f>$W297*Y297+$L297*Summary_LCIA!H$32</f>
        <v>204.2057164078428</v>
      </c>
      <c r="AU297" s="137">
        <f>$W297*Z297+$L297*Summary_LCIA!Q$32</f>
        <v>2161.8433006084247</v>
      </c>
      <c r="AV297" s="137">
        <f>$W297*AA297+$L297*Summary_LCIA!R$32</f>
        <v>1.1242598006018598</v>
      </c>
      <c r="AW297" s="137">
        <f>$W297*AB297+$L297*Summary_LCIA!S$32</f>
        <v>204.13813018784282</v>
      </c>
      <c r="AX297" s="137">
        <f>$W297*AC297+$L297*Summary_LCIA!T$32</f>
        <v>50.356983088786954</v>
      </c>
      <c r="AY297" s="137">
        <f>$W297*AD297+$L297*Summary_LCIA!U$32</f>
        <v>0.52195050847208557</v>
      </c>
      <c r="AZ297" s="137">
        <f>$W297*AE297+$L297*Summary_LCIA!V$32</f>
        <v>6.2179504443949391E-3</v>
      </c>
      <c r="BA297" s="137">
        <f>$W297*AF297+$L297*Summary_LCIA!W$32</f>
        <v>9.3170320880574522</v>
      </c>
      <c r="BB297" s="137">
        <f>$W297*AG297+$L297*Summary_LCIA!X$32</f>
        <v>10.860474053841092</v>
      </c>
      <c r="BC297" s="137">
        <f>$W297*AH297+$L297*Summary_LCIA!Y$32</f>
        <v>0.45573301776435304</v>
      </c>
      <c r="BD297" s="137">
        <f>$W297*AI297+$L297*Summary_LCIA!Z$32</f>
        <v>0.20371163230773839</v>
      </c>
      <c r="BE297" s="137">
        <f>$W297*AJ297+$L297*Summary_LCIA!AA$32</f>
        <v>1.234115780980034</v>
      </c>
      <c r="BF297" s="137">
        <f>$W297*AK297+$L297*Summary_LCIA!AB$32</f>
        <v>5.1148049697371863E-2</v>
      </c>
      <c r="BG297" s="137">
        <f>$W297*AL297+$L297*Summary_LCIA!AC$32</f>
        <v>2.5620453347241825E-5</v>
      </c>
      <c r="BH297" s="137">
        <f>$W297*AM297+$L297*Summary_LCIA!AD$32</f>
        <v>9.2177562866468513E-2</v>
      </c>
      <c r="BI297" s="137">
        <f>$W297*AN297+$L297*Summary_LCIA!AE$32</f>
        <v>0.2773212383147251</v>
      </c>
      <c r="BJ297" s="137">
        <f>$W297*AO297+$L297*Summary_LCIA!AF$32</f>
        <v>1.6858151565497727E-2</v>
      </c>
      <c r="BK297" s="137">
        <f>$W297*AP297+$L297*Summary_LCIA!AG$32</f>
        <v>4.7131983604977237E-3</v>
      </c>
      <c r="BL297" s="137">
        <f>$W297*AQ297+$L297*Summary_LCIA!AH$32</f>
        <v>0.70199701117543833</v>
      </c>
      <c r="BM297" s="137">
        <f>$W297*AR297+$L297*Summary_LCIA!AI$32</f>
        <v>0.23768864435242687</v>
      </c>
    </row>
    <row r="298" spans="1:65" x14ac:dyDescent="0.25">
      <c r="A298" s="149">
        <v>71</v>
      </c>
      <c r="B298" s="149">
        <v>29</v>
      </c>
      <c r="C298" s="61">
        <v>51.075544999999998</v>
      </c>
      <c r="D298" s="61">
        <v>-114.12975400000001</v>
      </c>
      <c r="E298" s="61" t="s">
        <v>462</v>
      </c>
      <c r="F298" s="149">
        <v>125</v>
      </c>
      <c r="G298" s="61" t="s">
        <v>656</v>
      </c>
      <c r="H298" s="61" t="s">
        <v>657</v>
      </c>
      <c r="I298" s="61">
        <v>51.121502999999997</v>
      </c>
      <c r="J298" s="61">
        <v>-114.007616</v>
      </c>
      <c r="K298" s="61">
        <v>10.47008467</v>
      </c>
      <c r="L298" s="61">
        <v>15.291</v>
      </c>
      <c r="M298" s="61" t="s">
        <v>617</v>
      </c>
      <c r="N298" s="149">
        <v>28</v>
      </c>
      <c r="O298" s="149">
        <v>29</v>
      </c>
      <c r="P298" s="61" t="s">
        <v>565</v>
      </c>
      <c r="Q298" s="61" t="s">
        <v>559</v>
      </c>
      <c r="R298" s="61">
        <v>47.450249900000003</v>
      </c>
      <c r="S298" s="61">
        <v>-122.30881650000001</v>
      </c>
      <c r="T298" s="61">
        <v>1138.5450000000001</v>
      </c>
      <c r="U298" s="61" t="s">
        <v>617</v>
      </c>
      <c r="V298" s="61" t="s">
        <v>569</v>
      </c>
      <c r="W298" s="61" cm="1">
        <f t="array" ref="W298">getDistance(I298,J298,R298,S298)*SA!$B$12</f>
        <v>728.64359849106268</v>
      </c>
      <c r="Y298" s="137">
        <f>Transportation_LCIA!C$61*($W298^Transportation_LCIA!C$60)+Transportation_LCIA!C$62</f>
        <v>0.2731236986367126</v>
      </c>
      <c r="Z298" s="137">
        <f>Transportation_LCIA!D$61*($W298^Transportation_LCIA!D$60)+Transportation_LCIA!D$62</f>
        <v>2.8629364723129571</v>
      </c>
      <c r="AA298" s="137">
        <f>Transportation_LCIA!E$61*($W298^Transportation_LCIA!E$60)+Transportation_LCIA!E$62</f>
        <v>1.4324472391760977E-3</v>
      </c>
      <c r="AB298" s="137">
        <f>Transportation_LCIA!F$61*($W298^Transportation_LCIA!F$60)+Transportation_LCIA!F$62</f>
        <v>0.2731236986367126</v>
      </c>
      <c r="AC298" s="137">
        <f>Transportation_LCIA!G$61*($W298^Transportation_LCIA!G$60)+Transportation_LCIA!G$62</f>
        <v>6.6804267943327042E-2</v>
      </c>
      <c r="AD298" s="137">
        <f>Transportation_LCIA!H$61*($W298^Transportation_LCIA!H$60)+Transportation_LCIA!H$62</f>
        <v>3.4039623073025302E-4</v>
      </c>
      <c r="AE298" s="137">
        <f>Transportation_LCIA!I$61*($W298^Transportation_LCIA!I$60)+Transportation_LCIA!I$62</f>
        <v>7.5313047486579253E-6</v>
      </c>
      <c r="AF298" s="137">
        <f>Transportation_LCIA!J$61*($W298^Transportation_LCIA!J$60)+Transportation_LCIA!J$62</f>
        <v>1.1171536460231862E-2</v>
      </c>
      <c r="AG298" s="137">
        <f>Transportation_LCIA!K$61*($W298^Transportation_LCIA!K$60)+Transportation_LCIA!K$62</f>
        <v>1.4427005322781314E-2</v>
      </c>
      <c r="AH298" s="137">
        <f>Transportation_LCIA!L$61*($W298^Transportation_LCIA!L$60)+Transportation_LCIA!L$62</f>
        <v>2.9845682610086144E-4</v>
      </c>
      <c r="AI298" s="137">
        <f>Transportation_LCIA!M$61*($W298^Transportation_LCIA!M$60)+Transportation_LCIA!M$62</f>
        <v>2.7871591009555731E-4</v>
      </c>
      <c r="AJ298" s="137">
        <f>Transportation_LCIA!N$61*($W298^Transportation_LCIA!N$60)+Transportation_LCIA!N$62</f>
        <v>1.2035776980627529E-3</v>
      </c>
      <c r="AK298" s="137">
        <f>Transportation_LCIA!O$61*($W298^Transportation_LCIA!O$60)+Transportation_LCIA!O$62</f>
        <v>7.0654220111155368E-5</v>
      </c>
      <c r="AL298" s="137">
        <f>Transportation_LCIA!P$61*($W298^Transportation_LCIA!P$60)+Transportation_LCIA!P$62</f>
        <v>3.4135986584869326E-8</v>
      </c>
      <c r="AM298" s="137">
        <f>Transportation_LCIA!Q$61*($W298^Transportation_LCIA!Q$60)+Transportation_LCIA!Q$62</f>
        <v>1.1787978430654126E-4</v>
      </c>
      <c r="AN298" s="137">
        <f>Transportation_LCIA!R$61*($W298^Transportation_LCIA!R$60)+Transportation_LCIA!R$62</f>
        <v>3.620033512007317E-4</v>
      </c>
      <c r="AO298" s="137">
        <f>Transportation_LCIA!S$61*($W298^Transportation_LCIA!S$60)+Transportation_LCIA!S$62</f>
        <v>5.3947284428738964E-6</v>
      </c>
      <c r="AP298" s="137">
        <f>Transportation_LCIA!T$61*($W298^Transportation_LCIA!T$60)+Transportation_LCIA!T$62</f>
        <v>5.3947284428738964E-6</v>
      </c>
      <c r="AQ298" s="137">
        <f>Transportation_LCIA!U$61*($W298^Transportation_LCIA!U$60)+Transportation_LCIA!U$62</f>
        <v>7.807798829957284E-4</v>
      </c>
      <c r="AR298" s="137">
        <f>Transportation_LCIA!V$61*($W298^Transportation_LCIA!V$60)+Transportation_LCIA!V$62</f>
        <v>3.0665789662484431E-4</v>
      </c>
      <c r="AT298" s="137">
        <f>$W298*Y298+$L298*Summary_LCIA!H$32</f>
        <v>204.2057164078428</v>
      </c>
      <c r="AU298" s="137">
        <f>$W298*Z298+$L298*Summary_LCIA!Q$32</f>
        <v>2161.8433006084247</v>
      </c>
      <c r="AV298" s="137">
        <f>$W298*AA298+$L298*Summary_LCIA!R$32</f>
        <v>1.1242598006018598</v>
      </c>
      <c r="AW298" s="137">
        <f>$W298*AB298+$L298*Summary_LCIA!S$32</f>
        <v>204.13813018784282</v>
      </c>
      <c r="AX298" s="137">
        <f>$W298*AC298+$L298*Summary_LCIA!T$32</f>
        <v>50.356983088786954</v>
      </c>
      <c r="AY298" s="137">
        <f>$W298*AD298+$L298*Summary_LCIA!U$32</f>
        <v>0.52195050847208557</v>
      </c>
      <c r="AZ298" s="137">
        <f>$W298*AE298+$L298*Summary_LCIA!V$32</f>
        <v>6.2179504443949391E-3</v>
      </c>
      <c r="BA298" s="137">
        <f>$W298*AF298+$L298*Summary_LCIA!W$32</f>
        <v>9.3170320880574522</v>
      </c>
      <c r="BB298" s="137">
        <f>$W298*AG298+$L298*Summary_LCIA!X$32</f>
        <v>10.860474053841092</v>
      </c>
      <c r="BC298" s="137">
        <f>$W298*AH298+$L298*Summary_LCIA!Y$32</f>
        <v>0.45573301776435304</v>
      </c>
      <c r="BD298" s="137">
        <f>$W298*AI298+$L298*Summary_LCIA!Z$32</f>
        <v>0.20371163230773839</v>
      </c>
      <c r="BE298" s="137">
        <f>$W298*AJ298+$L298*Summary_LCIA!AA$32</f>
        <v>1.234115780980034</v>
      </c>
      <c r="BF298" s="137">
        <f>$W298*AK298+$L298*Summary_LCIA!AB$32</f>
        <v>5.1148049697371863E-2</v>
      </c>
      <c r="BG298" s="137">
        <f>$W298*AL298+$L298*Summary_LCIA!AC$32</f>
        <v>2.5620453347241825E-5</v>
      </c>
      <c r="BH298" s="137">
        <f>$W298*AM298+$L298*Summary_LCIA!AD$32</f>
        <v>9.2177562866468513E-2</v>
      </c>
      <c r="BI298" s="137">
        <f>$W298*AN298+$L298*Summary_LCIA!AE$32</f>
        <v>0.2773212383147251</v>
      </c>
      <c r="BJ298" s="137">
        <f>$W298*AO298+$L298*Summary_LCIA!AF$32</f>
        <v>1.6858151565497727E-2</v>
      </c>
      <c r="BK298" s="137">
        <f>$W298*AP298+$L298*Summary_LCIA!AG$32</f>
        <v>4.7131983604977237E-3</v>
      </c>
      <c r="BL298" s="137">
        <f>$W298*AQ298+$L298*Summary_LCIA!AH$32</f>
        <v>0.70199701117543833</v>
      </c>
      <c r="BM298" s="137">
        <f>$W298*AR298+$L298*Summary_LCIA!AI$32</f>
        <v>0.23768864435242687</v>
      </c>
    </row>
    <row r="299" spans="1:65" x14ac:dyDescent="0.25">
      <c r="A299" s="149">
        <v>72</v>
      </c>
      <c r="B299" s="149">
        <v>29</v>
      </c>
      <c r="C299" s="61">
        <v>51.075544999999998</v>
      </c>
      <c r="D299" s="61">
        <v>-114.12975400000001</v>
      </c>
      <c r="E299" s="61" t="s">
        <v>462</v>
      </c>
      <c r="F299" s="149">
        <v>125</v>
      </c>
      <c r="G299" s="61" t="s">
        <v>656</v>
      </c>
      <c r="H299" s="61" t="s">
        <v>657</v>
      </c>
      <c r="I299" s="61">
        <v>51.121502999999997</v>
      </c>
      <c r="J299" s="61">
        <v>-114.007616</v>
      </c>
      <c r="K299" s="61">
        <v>10.47008467</v>
      </c>
      <c r="L299" s="61">
        <v>15.291</v>
      </c>
      <c r="M299" s="61" t="s">
        <v>617</v>
      </c>
      <c r="N299" s="149">
        <v>28</v>
      </c>
      <c r="O299" s="149">
        <v>29</v>
      </c>
      <c r="P299" s="61" t="s">
        <v>565</v>
      </c>
      <c r="Q299" s="61" t="s">
        <v>559</v>
      </c>
      <c r="R299" s="61">
        <v>47.450249900000003</v>
      </c>
      <c r="S299" s="61">
        <v>-122.30881650000001</v>
      </c>
      <c r="T299" s="61">
        <v>1138.5450000000001</v>
      </c>
      <c r="U299" s="61" t="s">
        <v>617</v>
      </c>
      <c r="V299" s="61" t="s">
        <v>569</v>
      </c>
      <c r="W299" s="61" cm="1">
        <f t="array" ref="W299">getDistance(I299,J299,R299,S299)*SA!$B$12</f>
        <v>728.64359849106268</v>
      </c>
      <c r="Y299" s="137">
        <f>Transportation_LCIA!C$61*($W299^Transportation_LCIA!C$60)+Transportation_LCIA!C$62</f>
        <v>0.2731236986367126</v>
      </c>
      <c r="Z299" s="137">
        <f>Transportation_LCIA!D$61*($W299^Transportation_LCIA!D$60)+Transportation_LCIA!D$62</f>
        <v>2.8629364723129571</v>
      </c>
      <c r="AA299" s="137">
        <f>Transportation_LCIA!E$61*($W299^Transportation_LCIA!E$60)+Transportation_LCIA!E$62</f>
        <v>1.4324472391760977E-3</v>
      </c>
      <c r="AB299" s="137">
        <f>Transportation_LCIA!F$61*($W299^Transportation_LCIA!F$60)+Transportation_LCIA!F$62</f>
        <v>0.2731236986367126</v>
      </c>
      <c r="AC299" s="137">
        <f>Transportation_LCIA!G$61*($W299^Transportation_LCIA!G$60)+Transportation_LCIA!G$62</f>
        <v>6.6804267943327042E-2</v>
      </c>
      <c r="AD299" s="137">
        <f>Transportation_LCIA!H$61*($W299^Transportation_LCIA!H$60)+Transportation_LCIA!H$62</f>
        <v>3.4039623073025302E-4</v>
      </c>
      <c r="AE299" s="137">
        <f>Transportation_LCIA!I$61*($W299^Transportation_LCIA!I$60)+Transportation_LCIA!I$62</f>
        <v>7.5313047486579253E-6</v>
      </c>
      <c r="AF299" s="137">
        <f>Transportation_LCIA!J$61*($W299^Transportation_LCIA!J$60)+Transportation_LCIA!J$62</f>
        <v>1.1171536460231862E-2</v>
      </c>
      <c r="AG299" s="137">
        <f>Transportation_LCIA!K$61*($W299^Transportation_LCIA!K$60)+Transportation_LCIA!K$62</f>
        <v>1.4427005322781314E-2</v>
      </c>
      <c r="AH299" s="137">
        <f>Transportation_LCIA!L$61*($W299^Transportation_LCIA!L$60)+Transportation_LCIA!L$62</f>
        <v>2.9845682610086144E-4</v>
      </c>
      <c r="AI299" s="137">
        <f>Transportation_LCIA!M$61*($W299^Transportation_LCIA!M$60)+Transportation_LCIA!M$62</f>
        <v>2.7871591009555731E-4</v>
      </c>
      <c r="AJ299" s="137">
        <f>Transportation_LCIA!N$61*($W299^Transportation_LCIA!N$60)+Transportation_LCIA!N$62</f>
        <v>1.2035776980627529E-3</v>
      </c>
      <c r="AK299" s="137">
        <f>Transportation_LCIA!O$61*($W299^Transportation_LCIA!O$60)+Transportation_LCIA!O$62</f>
        <v>7.0654220111155368E-5</v>
      </c>
      <c r="AL299" s="137">
        <f>Transportation_LCIA!P$61*($W299^Transportation_LCIA!P$60)+Transportation_LCIA!P$62</f>
        <v>3.4135986584869326E-8</v>
      </c>
      <c r="AM299" s="137">
        <f>Transportation_LCIA!Q$61*($W299^Transportation_LCIA!Q$60)+Transportation_LCIA!Q$62</f>
        <v>1.1787978430654126E-4</v>
      </c>
      <c r="AN299" s="137">
        <f>Transportation_LCIA!R$61*($W299^Transportation_LCIA!R$60)+Transportation_LCIA!R$62</f>
        <v>3.620033512007317E-4</v>
      </c>
      <c r="AO299" s="137">
        <f>Transportation_LCIA!S$61*($W299^Transportation_LCIA!S$60)+Transportation_LCIA!S$62</f>
        <v>5.3947284428738964E-6</v>
      </c>
      <c r="AP299" s="137">
        <f>Transportation_LCIA!T$61*($W299^Transportation_LCIA!T$60)+Transportation_LCIA!T$62</f>
        <v>5.3947284428738964E-6</v>
      </c>
      <c r="AQ299" s="137">
        <f>Transportation_LCIA!U$61*($W299^Transportation_LCIA!U$60)+Transportation_LCIA!U$62</f>
        <v>7.807798829957284E-4</v>
      </c>
      <c r="AR299" s="137">
        <f>Transportation_LCIA!V$61*($W299^Transportation_LCIA!V$60)+Transportation_LCIA!V$62</f>
        <v>3.0665789662484431E-4</v>
      </c>
      <c r="AT299" s="137">
        <f>$W299*Y299+$L299*Summary_LCIA!H$32</f>
        <v>204.2057164078428</v>
      </c>
      <c r="AU299" s="137">
        <f>$W299*Z299+$L299*Summary_LCIA!Q$32</f>
        <v>2161.8433006084247</v>
      </c>
      <c r="AV299" s="137">
        <f>$W299*AA299+$L299*Summary_LCIA!R$32</f>
        <v>1.1242598006018598</v>
      </c>
      <c r="AW299" s="137">
        <f>$W299*AB299+$L299*Summary_LCIA!S$32</f>
        <v>204.13813018784282</v>
      </c>
      <c r="AX299" s="137">
        <f>$W299*AC299+$L299*Summary_LCIA!T$32</f>
        <v>50.356983088786954</v>
      </c>
      <c r="AY299" s="137">
        <f>$W299*AD299+$L299*Summary_LCIA!U$32</f>
        <v>0.52195050847208557</v>
      </c>
      <c r="AZ299" s="137">
        <f>$W299*AE299+$L299*Summary_LCIA!V$32</f>
        <v>6.2179504443949391E-3</v>
      </c>
      <c r="BA299" s="137">
        <f>$W299*AF299+$L299*Summary_LCIA!W$32</f>
        <v>9.3170320880574522</v>
      </c>
      <c r="BB299" s="137">
        <f>$W299*AG299+$L299*Summary_LCIA!X$32</f>
        <v>10.860474053841092</v>
      </c>
      <c r="BC299" s="137">
        <f>$W299*AH299+$L299*Summary_LCIA!Y$32</f>
        <v>0.45573301776435304</v>
      </c>
      <c r="BD299" s="137">
        <f>$W299*AI299+$L299*Summary_LCIA!Z$32</f>
        <v>0.20371163230773839</v>
      </c>
      <c r="BE299" s="137">
        <f>$W299*AJ299+$L299*Summary_LCIA!AA$32</f>
        <v>1.234115780980034</v>
      </c>
      <c r="BF299" s="137">
        <f>$W299*AK299+$L299*Summary_LCIA!AB$32</f>
        <v>5.1148049697371863E-2</v>
      </c>
      <c r="BG299" s="137">
        <f>$W299*AL299+$L299*Summary_LCIA!AC$32</f>
        <v>2.5620453347241825E-5</v>
      </c>
      <c r="BH299" s="137">
        <f>$W299*AM299+$L299*Summary_LCIA!AD$32</f>
        <v>9.2177562866468513E-2</v>
      </c>
      <c r="BI299" s="137">
        <f>$W299*AN299+$L299*Summary_LCIA!AE$32</f>
        <v>0.2773212383147251</v>
      </c>
      <c r="BJ299" s="137">
        <f>$W299*AO299+$L299*Summary_LCIA!AF$32</f>
        <v>1.6858151565497727E-2</v>
      </c>
      <c r="BK299" s="137">
        <f>$W299*AP299+$L299*Summary_LCIA!AG$32</f>
        <v>4.7131983604977237E-3</v>
      </c>
      <c r="BL299" s="137">
        <f>$W299*AQ299+$L299*Summary_LCIA!AH$32</f>
        <v>0.70199701117543833</v>
      </c>
      <c r="BM299" s="137">
        <f>$W299*AR299+$L299*Summary_LCIA!AI$32</f>
        <v>0.23768864435242687</v>
      </c>
    </row>
    <row r="300" spans="1:65" x14ac:dyDescent="0.25">
      <c r="A300" s="149">
        <v>224</v>
      </c>
      <c r="B300" s="149">
        <v>6</v>
      </c>
      <c r="C300" s="61">
        <v>34.023434000000002</v>
      </c>
      <c r="D300" s="61">
        <v>-84.615489999999994</v>
      </c>
      <c r="E300" s="61" t="s">
        <v>265</v>
      </c>
      <c r="F300" s="149">
        <v>1</v>
      </c>
      <c r="G300" s="61" t="s">
        <v>565</v>
      </c>
      <c r="H300" s="61" t="s">
        <v>681</v>
      </c>
      <c r="I300" s="61">
        <v>33.640728000000003</v>
      </c>
      <c r="J300" s="61">
        <v>-84.427700000000002</v>
      </c>
      <c r="K300" s="61">
        <v>65.192234650000003</v>
      </c>
      <c r="L300" s="61">
        <v>57.293999999999997</v>
      </c>
      <c r="M300" s="61" t="s">
        <v>617</v>
      </c>
      <c r="N300" s="149">
        <v>5</v>
      </c>
      <c r="O300" s="149">
        <v>6</v>
      </c>
      <c r="P300" s="61" t="s">
        <v>565</v>
      </c>
      <c r="Q300" s="61" t="s">
        <v>564</v>
      </c>
      <c r="R300" s="61">
        <v>41.98028</v>
      </c>
      <c r="S300" s="61">
        <v>-87.908997900000003</v>
      </c>
      <c r="T300" s="61">
        <v>1142.6559999999999</v>
      </c>
      <c r="U300" s="61" t="s">
        <v>617</v>
      </c>
      <c r="V300" s="61" t="s">
        <v>569</v>
      </c>
      <c r="W300" s="61" cm="1">
        <f t="array" ref="W300">getDistance(I300,J300,R300,S300)*SA!$B$12</f>
        <v>976.67906347990493</v>
      </c>
      <c r="Y300" s="137">
        <f>Transportation_LCIA!C$61*($W300^Transportation_LCIA!C$60)+Transportation_LCIA!C$62</f>
        <v>0.23799077256655485</v>
      </c>
      <c r="Z300" s="137">
        <f>Transportation_LCIA!D$61*($W300^Transportation_LCIA!D$60)+Transportation_LCIA!D$62</f>
        <v>2.4498664186649894</v>
      </c>
      <c r="AA300" s="137">
        <f>Transportation_LCIA!E$61*($W300^Transportation_LCIA!E$60)+Transportation_LCIA!E$62</f>
        <v>1.1602893527513285E-3</v>
      </c>
      <c r="AB300" s="137">
        <f>Transportation_LCIA!F$61*($W300^Transportation_LCIA!F$60)+Transportation_LCIA!F$62</f>
        <v>0.23799077256655485</v>
      </c>
      <c r="AC300" s="137">
        <f>Transportation_LCIA!G$61*($W300^Transportation_LCIA!G$60)+Transportation_LCIA!G$62</f>
        <v>5.7251738416183251E-2</v>
      </c>
      <c r="AD300" s="137">
        <f>Transportation_LCIA!H$61*($W300^Transportation_LCIA!H$60)+Transportation_LCIA!H$62</f>
        <v>2.8030572808339046E-4</v>
      </c>
      <c r="AE300" s="137">
        <f>Transportation_LCIA!I$61*($W300^Transportation_LCIA!I$60)+Transportation_LCIA!I$62</f>
        <v>6.0084688172437592E-6</v>
      </c>
      <c r="AF300" s="137">
        <f>Transportation_LCIA!J$61*($W300^Transportation_LCIA!J$60)+Transportation_LCIA!J$62</f>
        <v>8.8936917837252362E-3</v>
      </c>
      <c r="AG300" s="137">
        <f>Transportation_LCIA!K$61*($W300^Transportation_LCIA!K$60)+Transportation_LCIA!K$62</f>
        <v>1.2188706109794917E-2</v>
      </c>
      <c r="AH300" s="137">
        <f>Transportation_LCIA!L$61*($W300^Transportation_LCIA!L$60)+Transportation_LCIA!L$62</f>
        <v>2.4310816549771977E-4</v>
      </c>
      <c r="AI300" s="137">
        <f>Transportation_LCIA!M$61*($W300^Transportation_LCIA!M$60)+Transportation_LCIA!M$62</f>
        <v>2.455450128432447E-4</v>
      </c>
      <c r="AJ300" s="137">
        <f>Transportation_LCIA!N$61*($W300^Transportation_LCIA!N$60)+Transportation_LCIA!N$62</f>
        <v>1.0016506819662974E-3</v>
      </c>
      <c r="AK300" s="137">
        <f>Transportation_LCIA!O$61*($W300^Transportation_LCIA!O$60)+Transportation_LCIA!O$62</f>
        <v>6.050134712780058E-5</v>
      </c>
      <c r="AL300" s="137">
        <f>Transportation_LCIA!P$61*($W300^Transportation_LCIA!P$60)+Transportation_LCIA!P$62</f>
        <v>2.9257301489528483E-8</v>
      </c>
      <c r="AM300" s="137">
        <f>Transportation_LCIA!Q$61*($W300^Transportation_LCIA!Q$60)+Transportation_LCIA!Q$62</f>
        <v>9.6216231090364335E-5</v>
      </c>
      <c r="AN300" s="137">
        <f>Transportation_LCIA!R$61*($W300^Transportation_LCIA!R$60)+Transportation_LCIA!R$62</f>
        <v>2.8896705818992006E-4</v>
      </c>
      <c r="AO300" s="137">
        <f>Transportation_LCIA!S$61*($W300^Transportation_LCIA!S$60)+Transportation_LCIA!S$62</f>
        <v>4.3584988519816731E-6</v>
      </c>
      <c r="AP300" s="137">
        <f>Transportation_LCIA!T$61*($W300^Transportation_LCIA!T$60)+Transportation_LCIA!T$62</f>
        <v>4.3584988519816731E-6</v>
      </c>
      <c r="AQ300" s="137">
        <f>Transportation_LCIA!U$61*($W300^Transportation_LCIA!U$60)+Transportation_LCIA!U$62</f>
        <v>6.204066649837317E-4</v>
      </c>
      <c r="AR300" s="137">
        <f>Transportation_LCIA!V$61*($W300^Transportation_LCIA!V$60)+Transportation_LCIA!V$62</f>
        <v>2.502258212971912E-4</v>
      </c>
      <c r="AT300" s="137">
        <f>$W300*Y300+$L300*Summary_LCIA!H$32</f>
        <v>251.90910606716184</v>
      </c>
      <c r="AU300" s="137">
        <f>$W300*Z300+$L300*Summary_LCIA!Q$32</f>
        <v>2676.6851929408922</v>
      </c>
      <c r="AV300" s="137">
        <f>$W300*AA300+$L300*Summary_LCIA!R$32</f>
        <v>1.4349176048108725</v>
      </c>
      <c r="AW300" s="137">
        <f>$W300*AB300+$L300*Summary_LCIA!S$32</f>
        <v>251.65586658716185</v>
      </c>
      <c r="AX300" s="137">
        <f>$W300*AC300+$L300*Summary_LCIA!T$32</f>
        <v>62.213184858914353</v>
      </c>
      <c r="AY300" s="137">
        <f>$W300*AD300+$L300*Summary_LCIA!U$32</f>
        <v>1.3001334519925387</v>
      </c>
      <c r="AZ300" s="137">
        <f>$W300*AE300+$L300*Summary_LCIA!V$32</f>
        <v>8.6047644313738472E-3</v>
      </c>
      <c r="BA300" s="137">
        <f>$W300*AF300+$L300*Summary_LCIA!W$32</f>
        <v>13.096259036207687</v>
      </c>
      <c r="BB300" s="137">
        <f>$W300*AG300+$L300*Summary_LCIA!X$32</f>
        <v>13.209611388346294</v>
      </c>
      <c r="BC300" s="137">
        <f>$W300*AH300+$L300*Summary_LCIA!Y$32</f>
        <v>1.1301937634026307</v>
      </c>
      <c r="BD300" s="137">
        <f>$W300*AI300+$L300*Summary_LCIA!Z$32</f>
        <v>0.24216824283190147</v>
      </c>
      <c r="BE300" s="137">
        <f>$W300*AJ300+$L300*Summary_LCIA!AA$32</f>
        <v>2.3164499139968511</v>
      </c>
      <c r="BF300" s="137">
        <f>$W300*AK300+$L300*Summary_LCIA!AB$32</f>
        <v>5.7840072090052902E-2</v>
      </c>
      <c r="BG300" s="137">
        <f>$W300*AL300+$L300*Summary_LCIA!AC$32</f>
        <v>3.1375753714741908E-5</v>
      </c>
      <c r="BH300" s="137">
        <f>$W300*AM300+$L300*Summary_LCIA!AD$32</f>
        <v>0.11752250423290315</v>
      </c>
      <c r="BI300" s="137">
        <f>$W300*AN300+$L300*Summary_LCIA!AE$32</f>
        <v>0.33299800798947432</v>
      </c>
      <c r="BJ300" s="137">
        <f>$W300*AO300+$L300*Summary_LCIA!AF$32</f>
        <v>5.2694348056931704E-2</v>
      </c>
      <c r="BK300" s="137">
        <f>$W300*AP300+$L300*Summary_LCIA!AG$32</f>
        <v>7.1883020869317011E-3</v>
      </c>
      <c r="BL300" s="137">
        <f>$W300*AQ300+$L300*Summary_LCIA!AH$32</f>
        <v>1.1046022589330022</v>
      </c>
      <c r="BM300" s="137">
        <f>$W300*AR300+$L300*Summary_LCIA!AI$32</f>
        <v>0.29776254650303075</v>
      </c>
    </row>
    <row r="301" spans="1:65" x14ac:dyDescent="0.25">
      <c r="A301" s="149">
        <v>358</v>
      </c>
      <c r="B301" s="149">
        <v>6</v>
      </c>
      <c r="C301" s="61">
        <v>33.812429000000002</v>
      </c>
      <c r="D301" s="61">
        <v>-84.420958999999996</v>
      </c>
      <c r="E301" s="61" t="s">
        <v>265</v>
      </c>
      <c r="F301" s="149">
        <v>1</v>
      </c>
      <c r="G301" s="61" t="s">
        <v>565</v>
      </c>
      <c r="H301" s="61" t="s">
        <v>681</v>
      </c>
      <c r="I301" s="61">
        <v>33.640728000000003</v>
      </c>
      <c r="J301" s="61">
        <v>-84.427700000000002</v>
      </c>
      <c r="K301" s="61">
        <v>28.524966559999999</v>
      </c>
      <c r="L301" s="61">
        <v>24.202000000000002</v>
      </c>
      <c r="M301" s="61" t="s">
        <v>617</v>
      </c>
      <c r="N301" s="149">
        <v>5</v>
      </c>
      <c r="O301" s="149">
        <v>6</v>
      </c>
      <c r="P301" s="61" t="s">
        <v>565</v>
      </c>
      <c r="Q301" s="61" t="s">
        <v>564</v>
      </c>
      <c r="R301" s="61">
        <v>41.98028</v>
      </c>
      <c r="S301" s="61">
        <v>-87.908997900000003</v>
      </c>
      <c r="T301" s="61">
        <v>1173.1790000000001</v>
      </c>
      <c r="U301" s="61" t="s">
        <v>617</v>
      </c>
      <c r="V301" s="61" t="s">
        <v>569</v>
      </c>
      <c r="W301" s="61" cm="1">
        <f t="array" ref="W301">getDistance(I301,J301,R301,S301)*SA!$B$12</f>
        <v>976.67906347990493</v>
      </c>
      <c r="Y301" s="137">
        <f>Transportation_LCIA!C$61*($W301^Transportation_LCIA!C$60)+Transportation_LCIA!C$62</f>
        <v>0.23799077256655485</v>
      </c>
      <c r="Z301" s="137">
        <f>Transportation_LCIA!D$61*($W301^Transportation_LCIA!D$60)+Transportation_LCIA!D$62</f>
        <v>2.4498664186649894</v>
      </c>
      <c r="AA301" s="137">
        <f>Transportation_LCIA!E$61*($W301^Transportation_LCIA!E$60)+Transportation_LCIA!E$62</f>
        <v>1.1602893527513285E-3</v>
      </c>
      <c r="AB301" s="137">
        <f>Transportation_LCIA!F$61*($W301^Transportation_LCIA!F$60)+Transportation_LCIA!F$62</f>
        <v>0.23799077256655485</v>
      </c>
      <c r="AC301" s="137">
        <f>Transportation_LCIA!G$61*($W301^Transportation_LCIA!G$60)+Transportation_LCIA!G$62</f>
        <v>5.7251738416183251E-2</v>
      </c>
      <c r="AD301" s="137">
        <f>Transportation_LCIA!H$61*($W301^Transportation_LCIA!H$60)+Transportation_LCIA!H$62</f>
        <v>2.8030572808339046E-4</v>
      </c>
      <c r="AE301" s="137">
        <f>Transportation_LCIA!I$61*($W301^Transportation_LCIA!I$60)+Transportation_LCIA!I$62</f>
        <v>6.0084688172437592E-6</v>
      </c>
      <c r="AF301" s="137">
        <f>Transportation_LCIA!J$61*($W301^Transportation_LCIA!J$60)+Transportation_LCIA!J$62</f>
        <v>8.8936917837252362E-3</v>
      </c>
      <c r="AG301" s="137">
        <f>Transportation_LCIA!K$61*($W301^Transportation_LCIA!K$60)+Transportation_LCIA!K$62</f>
        <v>1.2188706109794917E-2</v>
      </c>
      <c r="AH301" s="137">
        <f>Transportation_LCIA!L$61*($W301^Transportation_LCIA!L$60)+Transportation_LCIA!L$62</f>
        <v>2.4310816549771977E-4</v>
      </c>
      <c r="AI301" s="137">
        <f>Transportation_LCIA!M$61*($W301^Transportation_LCIA!M$60)+Transportation_LCIA!M$62</f>
        <v>2.455450128432447E-4</v>
      </c>
      <c r="AJ301" s="137">
        <f>Transportation_LCIA!N$61*($W301^Transportation_LCIA!N$60)+Transportation_LCIA!N$62</f>
        <v>1.0016506819662974E-3</v>
      </c>
      <c r="AK301" s="137">
        <f>Transportation_LCIA!O$61*($W301^Transportation_LCIA!O$60)+Transportation_LCIA!O$62</f>
        <v>6.050134712780058E-5</v>
      </c>
      <c r="AL301" s="137">
        <f>Transportation_LCIA!P$61*($W301^Transportation_LCIA!P$60)+Transportation_LCIA!P$62</f>
        <v>2.9257301489528483E-8</v>
      </c>
      <c r="AM301" s="137">
        <f>Transportation_LCIA!Q$61*($W301^Transportation_LCIA!Q$60)+Transportation_LCIA!Q$62</f>
        <v>9.6216231090364335E-5</v>
      </c>
      <c r="AN301" s="137">
        <f>Transportation_LCIA!R$61*($W301^Transportation_LCIA!R$60)+Transportation_LCIA!R$62</f>
        <v>2.8896705818992006E-4</v>
      </c>
      <c r="AO301" s="137">
        <f>Transportation_LCIA!S$61*($W301^Transportation_LCIA!S$60)+Transportation_LCIA!S$62</f>
        <v>4.3584988519816731E-6</v>
      </c>
      <c r="AP301" s="137">
        <f>Transportation_LCIA!T$61*($W301^Transportation_LCIA!T$60)+Transportation_LCIA!T$62</f>
        <v>4.3584988519816731E-6</v>
      </c>
      <c r="AQ301" s="137">
        <f>Transportation_LCIA!U$61*($W301^Transportation_LCIA!U$60)+Transportation_LCIA!U$62</f>
        <v>6.204066649837317E-4</v>
      </c>
      <c r="AR301" s="137">
        <f>Transportation_LCIA!V$61*($W301^Transportation_LCIA!V$60)+Transportation_LCIA!V$62</f>
        <v>2.502258212971912E-4</v>
      </c>
      <c r="AT301" s="137">
        <f>$W301*Y301+$L301*Summary_LCIA!H$32</f>
        <v>240.66444446716184</v>
      </c>
      <c r="AU301" s="137">
        <f>$W301*Z301+$L301*Summary_LCIA!Q$32</f>
        <v>2512.6795720120563</v>
      </c>
      <c r="AV301" s="137">
        <f>$W301*AA301+$L301*Summary_LCIA!R$32</f>
        <v>1.2606683696108725</v>
      </c>
      <c r="AW301" s="137">
        <f>$W301*AB301+$L301*Summary_LCIA!S$32</f>
        <v>240.55747162716185</v>
      </c>
      <c r="AX301" s="137">
        <f>$W301*AC301+$L301*Summary_LCIA!T$32</f>
        <v>58.576374058914354</v>
      </c>
      <c r="AY301" s="137">
        <f>$W301*AD301+$L301*Summary_LCIA!U$32</f>
        <v>0.7073233639925387</v>
      </c>
      <c r="AZ301" s="137">
        <f>$W301*AE301+$L301*Summary_LCIA!V$32</f>
        <v>7.0242574193738472E-3</v>
      </c>
      <c r="BA301" s="137">
        <f>$W301*AF301+$L301*Summary_LCIA!W$32</f>
        <v>10.549134704207688</v>
      </c>
      <c r="BB301" s="137">
        <f>$W301*AG301+$L301*Summary_LCIA!X$32</f>
        <v>12.455775628346295</v>
      </c>
      <c r="BC301" s="137">
        <f>$W301*AH301+$L301*Summary_LCIA!Y$32</f>
        <v>0.61455421940263066</v>
      </c>
      <c r="BD301" s="137">
        <f>$W301*AI301+$L301*Summary_LCIA!Z$32</f>
        <v>0.24081117300390148</v>
      </c>
      <c r="BE301" s="137">
        <f>$W301*AJ301+$L301*Summary_LCIA!AA$32</f>
        <v>1.5435531619968514</v>
      </c>
      <c r="BF301" s="137">
        <f>$W301*AK301+$L301*Summary_LCIA!AB$32</f>
        <v>5.8562238806052908E-2</v>
      </c>
      <c r="BG301" s="137">
        <f>$W301*AL301+$L301*Summary_LCIA!AC$32</f>
        <v>2.9758084386741906E-5</v>
      </c>
      <c r="BH301" s="137">
        <f>$W301*AM301+$L301*Summary_LCIA!AD$32</f>
        <v>0.10392036855290315</v>
      </c>
      <c r="BI301" s="137">
        <f>$W301*AN301+$L301*Summary_LCIA!AE$32</f>
        <v>0.30367419402947432</v>
      </c>
      <c r="BJ301" s="137">
        <f>$W301*AO301+$L301*Summary_LCIA!AF$32</f>
        <v>2.4717709416931705E-2</v>
      </c>
      <c r="BK301" s="137">
        <f>$W301*AP301+$L301*Summary_LCIA!AG$32</f>
        <v>5.4951499069317011E-3</v>
      </c>
      <c r="BL301" s="137">
        <f>$W301*AQ301+$L301*Summary_LCIA!AH$32</f>
        <v>0.81658272773300222</v>
      </c>
      <c r="BM301" s="137">
        <f>$W301*AR301+$L301*Summary_LCIA!AI$32</f>
        <v>0.26693569390303074</v>
      </c>
    </row>
    <row r="302" spans="1:65" x14ac:dyDescent="0.25">
      <c r="A302" s="149">
        <v>359</v>
      </c>
      <c r="B302" s="149">
        <v>6</v>
      </c>
      <c r="C302" s="61">
        <v>33.812429000000002</v>
      </c>
      <c r="D302" s="61">
        <v>-84.420958999999996</v>
      </c>
      <c r="E302" s="61" t="s">
        <v>265</v>
      </c>
      <c r="F302" s="149">
        <v>1</v>
      </c>
      <c r="G302" s="61" t="s">
        <v>565</v>
      </c>
      <c r="H302" s="61" t="s">
        <v>681</v>
      </c>
      <c r="I302" s="61">
        <v>33.640728000000003</v>
      </c>
      <c r="J302" s="61">
        <v>-84.427700000000002</v>
      </c>
      <c r="K302" s="61">
        <v>28.524966559999999</v>
      </c>
      <c r="L302" s="61">
        <v>24.202000000000002</v>
      </c>
      <c r="M302" s="61" t="s">
        <v>617</v>
      </c>
      <c r="N302" s="149">
        <v>5</v>
      </c>
      <c r="O302" s="149">
        <v>6</v>
      </c>
      <c r="P302" s="61" t="s">
        <v>565</v>
      </c>
      <c r="Q302" s="61" t="s">
        <v>564</v>
      </c>
      <c r="R302" s="61">
        <v>41.98028</v>
      </c>
      <c r="S302" s="61">
        <v>-87.908997900000003</v>
      </c>
      <c r="T302" s="61">
        <v>1173.1790000000001</v>
      </c>
      <c r="U302" s="61" t="s">
        <v>617</v>
      </c>
      <c r="V302" s="61" t="s">
        <v>569</v>
      </c>
      <c r="W302" s="61" cm="1">
        <f t="array" ref="W302">getDistance(I302,J302,R302,S302)*SA!$B$12</f>
        <v>976.67906347990493</v>
      </c>
      <c r="Y302" s="137">
        <f>Transportation_LCIA!C$61*($W302^Transportation_LCIA!C$60)+Transportation_LCIA!C$62</f>
        <v>0.23799077256655485</v>
      </c>
      <c r="Z302" s="137">
        <f>Transportation_LCIA!D$61*($W302^Transportation_LCIA!D$60)+Transportation_LCIA!D$62</f>
        <v>2.4498664186649894</v>
      </c>
      <c r="AA302" s="137">
        <f>Transportation_LCIA!E$61*($W302^Transportation_LCIA!E$60)+Transportation_LCIA!E$62</f>
        <v>1.1602893527513285E-3</v>
      </c>
      <c r="AB302" s="137">
        <f>Transportation_LCIA!F$61*($W302^Transportation_LCIA!F$60)+Transportation_LCIA!F$62</f>
        <v>0.23799077256655485</v>
      </c>
      <c r="AC302" s="137">
        <f>Transportation_LCIA!G$61*($W302^Transportation_LCIA!G$60)+Transportation_LCIA!G$62</f>
        <v>5.7251738416183251E-2</v>
      </c>
      <c r="AD302" s="137">
        <f>Transportation_LCIA!H$61*($W302^Transportation_LCIA!H$60)+Transportation_LCIA!H$62</f>
        <v>2.8030572808339046E-4</v>
      </c>
      <c r="AE302" s="137">
        <f>Transportation_LCIA!I$61*($W302^Transportation_LCIA!I$60)+Transportation_LCIA!I$62</f>
        <v>6.0084688172437592E-6</v>
      </c>
      <c r="AF302" s="137">
        <f>Transportation_LCIA!J$61*($W302^Transportation_LCIA!J$60)+Transportation_LCIA!J$62</f>
        <v>8.8936917837252362E-3</v>
      </c>
      <c r="AG302" s="137">
        <f>Transportation_LCIA!K$61*($W302^Transportation_LCIA!K$60)+Transportation_LCIA!K$62</f>
        <v>1.2188706109794917E-2</v>
      </c>
      <c r="AH302" s="137">
        <f>Transportation_LCIA!L$61*($W302^Transportation_LCIA!L$60)+Transportation_LCIA!L$62</f>
        <v>2.4310816549771977E-4</v>
      </c>
      <c r="AI302" s="137">
        <f>Transportation_LCIA!M$61*($W302^Transportation_LCIA!M$60)+Transportation_LCIA!M$62</f>
        <v>2.455450128432447E-4</v>
      </c>
      <c r="AJ302" s="137">
        <f>Transportation_LCIA!N$61*($W302^Transportation_LCIA!N$60)+Transportation_LCIA!N$62</f>
        <v>1.0016506819662974E-3</v>
      </c>
      <c r="AK302" s="137">
        <f>Transportation_LCIA!O$61*($W302^Transportation_LCIA!O$60)+Transportation_LCIA!O$62</f>
        <v>6.050134712780058E-5</v>
      </c>
      <c r="AL302" s="137">
        <f>Transportation_LCIA!P$61*($W302^Transportation_LCIA!P$60)+Transportation_LCIA!P$62</f>
        <v>2.9257301489528483E-8</v>
      </c>
      <c r="AM302" s="137">
        <f>Transportation_LCIA!Q$61*($W302^Transportation_LCIA!Q$60)+Transportation_LCIA!Q$62</f>
        <v>9.6216231090364335E-5</v>
      </c>
      <c r="AN302" s="137">
        <f>Transportation_LCIA!R$61*($W302^Transportation_LCIA!R$60)+Transportation_LCIA!R$62</f>
        <v>2.8896705818992006E-4</v>
      </c>
      <c r="AO302" s="137">
        <f>Transportation_LCIA!S$61*($W302^Transportation_LCIA!S$60)+Transportation_LCIA!S$62</f>
        <v>4.3584988519816731E-6</v>
      </c>
      <c r="AP302" s="137">
        <f>Transportation_LCIA!T$61*($W302^Transportation_LCIA!T$60)+Transportation_LCIA!T$62</f>
        <v>4.3584988519816731E-6</v>
      </c>
      <c r="AQ302" s="137">
        <f>Transportation_LCIA!U$61*($W302^Transportation_LCIA!U$60)+Transportation_LCIA!U$62</f>
        <v>6.204066649837317E-4</v>
      </c>
      <c r="AR302" s="137">
        <f>Transportation_LCIA!V$61*($W302^Transportation_LCIA!V$60)+Transportation_LCIA!V$62</f>
        <v>2.502258212971912E-4</v>
      </c>
      <c r="AT302" s="137">
        <f>$W302*Y302+$L302*Summary_LCIA!H$32</f>
        <v>240.66444446716184</v>
      </c>
      <c r="AU302" s="137">
        <f>$W302*Z302+$L302*Summary_LCIA!Q$32</f>
        <v>2512.6795720120563</v>
      </c>
      <c r="AV302" s="137">
        <f>$W302*AA302+$L302*Summary_LCIA!R$32</f>
        <v>1.2606683696108725</v>
      </c>
      <c r="AW302" s="137">
        <f>$W302*AB302+$L302*Summary_LCIA!S$32</f>
        <v>240.55747162716185</v>
      </c>
      <c r="AX302" s="137">
        <f>$W302*AC302+$L302*Summary_LCIA!T$32</f>
        <v>58.576374058914354</v>
      </c>
      <c r="AY302" s="137">
        <f>$W302*AD302+$L302*Summary_LCIA!U$32</f>
        <v>0.7073233639925387</v>
      </c>
      <c r="AZ302" s="137">
        <f>$W302*AE302+$L302*Summary_LCIA!V$32</f>
        <v>7.0242574193738472E-3</v>
      </c>
      <c r="BA302" s="137">
        <f>$W302*AF302+$L302*Summary_LCIA!W$32</f>
        <v>10.549134704207688</v>
      </c>
      <c r="BB302" s="137">
        <f>$W302*AG302+$L302*Summary_LCIA!X$32</f>
        <v>12.455775628346295</v>
      </c>
      <c r="BC302" s="137">
        <f>$W302*AH302+$L302*Summary_LCIA!Y$32</f>
        <v>0.61455421940263066</v>
      </c>
      <c r="BD302" s="137">
        <f>$W302*AI302+$L302*Summary_LCIA!Z$32</f>
        <v>0.24081117300390148</v>
      </c>
      <c r="BE302" s="137">
        <f>$W302*AJ302+$L302*Summary_LCIA!AA$32</f>
        <v>1.5435531619968514</v>
      </c>
      <c r="BF302" s="137">
        <f>$W302*AK302+$L302*Summary_LCIA!AB$32</f>
        <v>5.8562238806052908E-2</v>
      </c>
      <c r="BG302" s="137">
        <f>$W302*AL302+$L302*Summary_LCIA!AC$32</f>
        <v>2.9758084386741906E-5</v>
      </c>
      <c r="BH302" s="137">
        <f>$W302*AM302+$L302*Summary_LCIA!AD$32</f>
        <v>0.10392036855290315</v>
      </c>
      <c r="BI302" s="137">
        <f>$W302*AN302+$L302*Summary_LCIA!AE$32</f>
        <v>0.30367419402947432</v>
      </c>
      <c r="BJ302" s="137">
        <f>$W302*AO302+$L302*Summary_LCIA!AF$32</f>
        <v>2.4717709416931705E-2</v>
      </c>
      <c r="BK302" s="137">
        <f>$W302*AP302+$L302*Summary_LCIA!AG$32</f>
        <v>5.4951499069317011E-3</v>
      </c>
      <c r="BL302" s="137">
        <f>$W302*AQ302+$L302*Summary_LCIA!AH$32</f>
        <v>0.81658272773300222</v>
      </c>
      <c r="BM302" s="137">
        <f>$W302*AR302+$L302*Summary_LCIA!AI$32</f>
        <v>0.26693569390303074</v>
      </c>
    </row>
    <row r="303" spans="1:65" x14ac:dyDescent="0.25">
      <c r="A303" s="149">
        <v>286</v>
      </c>
      <c r="B303" s="149">
        <v>6</v>
      </c>
      <c r="C303" s="61">
        <v>33.771270999999999</v>
      </c>
      <c r="D303" s="61">
        <v>-84.389756000000006</v>
      </c>
      <c r="E303" s="61" t="s">
        <v>265</v>
      </c>
      <c r="F303" s="149">
        <v>1</v>
      </c>
      <c r="G303" s="61" t="s">
        <v>565</v>
      </c>
      <c r="H303" s="61" t="s">
        <v>681</v>
      </c>
      <c r="I303" s="61">
        <v>33.640728000000003</v>
      </c>
      <c r="J303" s="61">
        <v>-84.427700000000002</v>
      </c>
      <c r="K303" s="61">
        <v>22.091562750000001</v>
      </c>
      <c r="L303" s="61">
        <v>18.202999999999999</v>
      </c>
      <c r="M303" s="61" t="s">
        <v>617</v>
      </c>
      <c r="N303" s="149">
        <v>5</v>
      </c>
      <c r="O303" s="149">
        <v>6</v>
      </c>
      <c r="P303" s="61" t="s">
        <v>565</v>
      </c>
      <c r="Q303" s="61" t="s">
        <v>564</v>
      </c>
      <c r="R303" s="61">
        <v>41.98028</v>
      </c>
      <c r="S303" s="61">
        <v>-87.908997900000003</v>
      </c>
      <c r="T303" s="61">
        <v>1177.3019999999999</v>
      </c>
      <c r="U303" s="61" t="s">
        <v>617</v>
      </c>
      <c r="V303" s="61" t="s">
        <v>569</v>
      </c>
      <c r="W303" s="61" cm="1">
        <f t="array" ref="W303">getDistance(I303,J303,R303,S303)*SA!$B$12</f>
        <v>976.67906347990493</v>
      </c>
      <c r="Y303" s="137">
        <f>Transportation_LCIA!C$61*($W303^Transportation_LCIA!C$60)+Transportation_LCIA!C$62</f>
        <v>0.23799077256655485</v>
      </c>
      <c r="Z303" s="137">
        <f>Transportation_LCIA!D$61*($W303^Transportation_LCIA!D$60)+Transportation_LCIA!D$62</f>
        <v>2.4498664186649894</v>
      </c>
      <c r="AA303" s="137">
        <f>Transportation_LCIA!E$61*($W303^Transportation_LCIA!E$60)+Transportation_LCIA!E$62</f>
        <v>1.1602893527513285E-3</v>
      </c>
      <c r="AB303" s="137">
        <f>Transportation_LCIA!F$61*($W303^Transportation_LCIA!F$60)+Transportation_LCIA!F$62</f>
        <v>0.23799077256655485</v>
      </c>
      <c r="AC303" s="137">
        <f>Transportation_LCIA!G$61*($W303^Transportation_LCIA!G$60)+Transportation_LCIA!G$62</f>
        <v>5.7251738416183251E-2</v>
      </c>
      <c r="AD303" s="137">
        <f>Transportation_LCIA!H$61*($W303^Transportation_LCIA!H$60)+Transportation_LCIA!H$62</f>
        <v>2.8030572808339046E-4</v>
      </c>
      <c r="AE303" s="137">
        <f>Transportation_LCIA!I$61*($W303^Transportation_LCIA!I$60)+Transportation_LCIA!I$62</f>
        <v>6.0084688172437592E-6</v>
      </c>
      <c r="AF303" s="137">
        <f>Transportation_LCIA!J$61*($W303^Transportation_LCIA!J$60)+Transportation_LCIA!J$62</f>
        <v>8.8936917837252362E-3</v>
      </c>
      <c r="AG303" s="137">
        <f>Transportation_LCIA!K$61*($W303^Transportation_LCIA!K$60)+Transportation_LCIA!K$62</f>
        <v>1.2188706109794917E-2</v>
      </c>
      <c r="AH303" s="137">
        <f>Transportation_LCIA!L$61*($W303^Transportation_LCIA!L$60)+Transportation_LCIA!L$62</f>
        <v>2.4310816549771977E-4</v>
      </c>
      <c r="AI303" s="137">
        <f>Transportation_LCIA!M$61*($W303^Transportation_LCIA!M$60)+Transportation_LCIA!M$62</f>
        <v>2.455450128432447E-4</v>
      </c>
      <c r="AJ303" s="137">
        <f>Transportation_LCIA!N$61*($W303^Transportation_LCIA!N$60)+Transportation_LCIA!N$62</f>
        <v>1.0016506819662974E-3</v>
      </c>
      <c r="AK303" s="137">
        <f>Transportation_LCIA!O$61*($W303^Transportation_LCIA!O$60)+Transportation_LCIA!O$62</f>
        <v>6.050134712780058E-5</v>
      </c>
      <c r="AL303" s="137">
        <f>Transportation_LCIA!P$61*($W303^Transportation_LCIA!P$60)+Transportation_LCIA!P$62</f>
        <v>2.9257301489528483E-8</v>
      </c>
      <c r="AM303" s="137">
        <f>Transportation_LCIA!Q$61*($W303^Transportation_LCIA!Q$60)+Transportation_LCIA!Q$62</f>
        <v>9.6216231090364335E-5</v>
      </c>
      <c r="AN303" s="137">
        <f>Transportation_LCIA!R$61*($W303^Transportation_LCIA!R$60)+Transportation_LCIA!R$62</f>
        <v>2.8896705818992006E-4</v>
      </c>
      <c r="AO303" s="137">
        <f>Transportation_LCIA!S$61*($W303^Transportation_LCIA!S$60)+Transportation_LCIA!S$62</f>
        <v>4.3584988519816731E-6</v>
      </c>
      <c r="AP303" s="137">
        <f>Transportation_LCIA!T$61*($W303^Transportation_LCIA!T$60)+Transportation_LCIA!T$62</f>
        <v>4.3584988519816731E-6</v>
      </c>
      <c r="AQ303" s="137">
        <f>Transportation_LCIA!U$61*($W303^Transportation_LCIA!U$60)+Transportation_LCIA!U$62</f>
        <v>6.204066649837317E-4</v>
      </c>
      <c r="AR303" s="137">
        <f>Transportation_LCIA!V$61*($W303^Transportation_LCIA!V$60)+Transportation_LCIA!V$62</f>
        <v>2.502258212971912E-4</v>
      </c>
      <c r="AT303" s="137">
        <f>$W303*Y303+$L303*Summary_LCIA!H$32</f>
        <v>238.62598426716184</v>
      </c>
      <c r="AU303" s="137">
        <f>$W303*Z303+$L303*Summary_LCIA!Q$32</f>
        <v>2482.9482254644895</v>
      </c>
      <c r="AV303" s="137">
        <f>$W303*AA303+$L303*Summary_LCIA!R$32</f>
        <v>1.2290800352108726</v>
      </c>
      <c r="AW303" s="137">
        <f>$W303*AB303+$L303*Summary_LCIA!S$32</f>
        <v>238.54552700716187</v>
      </c>
      <c r="AX303" s="137">
        <f>$W303*AC303+$L303*Summary_LCIA!T$32</f>
        <v>57.917083958914354</v>
      </c>
      <c r="AY303" s="137">
        <f>$W303*AD303+$L303*Summary_LCIA!U$32</f>
        <v>0.59985727799253863</v>
      </c>
      <c r="AZ303" s="137">
        <f>$W303*AE303+$L303*Summary_LCIA!V$32</f>
        <v>6.7377391803738465E-3</v>
      </c>
      <c r="BA303" s="137">
        <f>$W303*AF303+$L303*Summary_LCIA!W$32</f>
        <v>10.087385675207688</v>
      </c>
      <c r="BB303" s="137">
        <f>$W303*AG303+$L303*Summary_LCIA!X$32</f>
        <v>12.319118408346295</v>
      </c>
      <c r="BC303" s="137">
        <f>$W303*AH303+$L303*Summary_LCIA!Y$32</f>
        <v>0.52107780140263071</v>
      </c>
      <c r="BD303" s="137">
        <f>$W303*AI303+$L303*Summary_LCIA!Z$32</f>
        <v>0.24056516001290146</v>
      </c>
      <c r="BE303" s="137">
        <f>$W303*AJ303+$L303*Summary_LCIA!AA$32</f>
        <v>1.4034405179968514</v>
      </c>
      <c r="BF303" s="137">
        <f>$W303*AK303+$L303*Summary_LCIA!AB$32</f>
        <v>5.8693154983052907E-2</v>
      </c>
      <c r="BG303" s="137">
        <f>$W303*AL303+$L303*Summary_LCIA!AC$32</f>
        <v>2.9464829270741907E-5</v>
      </c>
      <c r="BH303" s="137">
        <f>$W303*AM303+$L303*Summary_LCIA!AD$32</f>
        <v>0.10145453959290315</v>
      </c>
      <c r="BI303" s="137">
        <f>$W303*AN303+$L303*Summary_LCIA!AE$32</f>
        <v>0.29835830015947434</v>
      </c>
      <c r="BJ303" s="137">
        <f>$W303*AO303+$L303*Summary_LCIA!AF$32</f>
        <v>1.9646034836931701E-2</v>
      </c>
      <c r="BK303" s="137">
        <f>$W303*AP303+$L303*Summary_LCIA!AG$32</f>
        <v>5.1882110719317009E-3</v>
      </c>
      <c r="BL303" s="137">
        <f>$W303*AQ303+$L303*Summary_LCIA!AH$32</f>
        <v>0.76436983133300218</v>
      </c>
      <c r="BM303" s="137">
        <f>$W303*AR303+$L303*Summary_LCIA!AI$32</f>
        <v>0.26134732545303074</v>
      </c>
    </row>
    <row r="304" spans="1:65" x14ac:dyDescent="0.25">
      <c r="A304" s="149">
        <v>137</v>
      </c>
      <c r="B304" s="149">
        <v>6</v>
      </c>
      <c r="C304" s="61">
        <v>33.748995000000001</v>
      </c>
      <c r="D304" s="61">
        <v>-84.387981999999994</v>
      </c>
      <c r="E304" s="61" t="s">
        <v>265</v>
      </c>
      <c r="F304" s="149">
        <v>1</v>
      </c>
      <c r="G304" s="61" t="s">
        <v>565</v>
      </c>
      <c r="H304" s="61" t="s">
        <v>681</v>
      </c>
      <c r="I304" s="61">
        <v>33.640728000000003</v>
      </c>
      <c r="J304" s="61">
        <v>-84.427700000000002</v>
      </c>
      <c r="K304" s="61">
        <v>18.49134737</v>
      </c>
      <c r="L304" s="61">
        <v>14.686999999999999</v>
      </c>
      <c r="M304" s="61" t="s">
        <v>617</v>
      </c>
      <c r="N304" s="149">
        <v>5</v>
      </c>
      <c r="O304" s="149">
        <v>6</v>
      </c>
      <c r="P304" s="61" t="s">
        <v>565</v>
      </c>
      <c r="Q304" s="61" t="s">
        <v>564</v>
      </c>
      <c r="R304" s="61">
        <v>41.98028</v>
      </c>
      <c r="S304" s="61">
        <v>-87.908997900000003</v>
      </c>
      <c r="T304" s="61">
        <v>1180.386</v>
      </c>
      <c r="U304" s="61" t="s">
        <v>617</v>
      </c>
      <c r="V304" s="61" t="s">
        <v>569</v>
      </c>
      <c r="W304" s="61" cm="1">
        <f t="array" ref="W304">getDistance(I304,J304,R304,S304)*SA!$B$12</f>
        <v>976.67906347990493</v>
      </c>
      <c r="Y304" s="137">
        <f>Transportation_LCIA!C$61*($W304^Transportation_LCIA!C$60)+Transportation_LCIA!C$62</f>
        <v>0.23799077256655485</v>
      </c>
      <c r="Z304" s="137">
        <f>Transportation_LCIA!D$61*($W304^Transportation_LCIA!D$60)+Transportation_LCIA!D$62</f>
        <v>2.4498664186649894</v>
      </c>
      <c r="AA304" s="137">
        <f>Transportation_LCIA!E$61*($W304^Transportation_LCIA!E$60)+Transportation_LCIA!E$62</f>
        <v>1.1602893527513285E-3</v>
      </c>
      <c r="AB304" s="137">
        <f>Transportation_LCIA!F$61*($W304^Transportation_LCIA!F$60)+Transportation_LCIA!F$62</f>
        <v>0.23799077256655485</v>
      </c>
      <c r="AC304" s="137">
        <f>Transportation_LCIA!G$61*($W304^Transportation_LCIA!G$60)+Transportation_LCIA!G$62</f>
        <v>5.7251738416183251E-2</v>
      </c>
      <c r="AD304" s="137">
        <f>Transportation_LCIA!H$61*($W304^Transportation_LCIA!H$60)+Transportation_LCIA!H$62</f>
        <v>2.8030572808339046E-4</v>
      </c>
      <c r="AE304" s="137">
        <f>Transportation_LCIA!I$61*($W304^Transportation_LCIA!I$60)+Transportation_LCIA!I$62</f>
        <v>6.0084688172437592E-6</v>
      </c>
      <c r="AF304" s="137">
        <f>Transportation_LCIA!J$61*($W304^Transportation_LCIA!J$60)+Transportation_LCIA!J$62</f>
        <v>8.8936917837252362E-3</v>
      </c>
      <c r="AG304" s="137">
        <f>Transportation_LCIA!K$61*($W304^Transportation_LCIA!K$60)+Transportation_LCIA!K$62</f>
        <v>1.2188706109794917E-2</v>
      </c>
      <c r="AH304" s="137">
        <f>Transportation_LCIA!L$61*($W304^Transportation_LCIA!L$60)+Transportation_LCIA!L$62</f>
        <v>2.4310816549771977E-4</v>
      </c>
      <c r="AI304" s="137">
        <f>Transportation_LCIA!M$61*($W304^Transportation_LCIA!M$60)+Transportation_LCIA!M$62</f>
        <v>2.455450128432447E-4</v>
      </c>
      <c r="AJ304" s="137">
        <f>Transportation_LCIA!N$61*($W304^Transportation_LCIA!N$60)+Transportation_LCIA!N$62</f>
        <v>1.0016506819662974E-3</v>
      </c>
      <c r="AK304" s="137">
        <f>Transportation_LCIA!O$61*($W304^Transportation_LCIA!O$60)+Transportation_LCIA!O$62</f>
        <v>6.050134712780058E-5</v>
      </c>
      <c r="AL304" s="137">
        <f>Transportation_LCIA!P$61*($W304^Transportation_LCIA!P$60)+Transportation_LCIA!P$62</f>
        <v>2.9257301489528483E-8</v>
      </c>
      <c r="AM304" s="137">
        <f>Transportation_LCIA!Q$61*($W304^Transportation_LCIA!Q$60)+Transportation_LCIA!Q$62</f>
        <v>9.6216231090364335E-5</v>
      </c>
      <c r="AN304" s="137">
        <f>Transportation_LCIA!R$61*($W304^Transportation_LCIA!R$60)+Transportation_LCIA!R$62</f>
        <v>2.8896705818992006E-4</v>
      </c>
      <c r="AO304" s="137">
        <f>Transportation_LCIA!S$61*($W304^Transportation_LCIA!S$60)+Transportation_LCIA!S$62</f>
        <v>4.3584988519816731E-6</v>
      </c>
      <c r="AP304" s="137">
        <f>Transportation_LCIA!T$61*($W304^Transportation_LCIA!T$60)+Transportation_LCIA!T$62</f>
        <v>4.3584988519816731E-6</v>
      </c>
      <c r="AQ304" s="137">
        <f>Transportation_LCIA!U$61*($W304^Transportation_LCIA!U$60)+Transportation_LCIA!U$62</f>
        <v>6.204066649837317E-4</v>
      </c>
      <c r="AR304" s="137">
        <f>Transportation_LCIA!V$61*($W304^Transportation_LCIA!V$60)+Transportation_LCIA!V$62</f>
        <v>2.502258212971912E-4</v>
      </c>
      <c r="AT304" s="137">
        <f>$W304*Y304+$L304*Summary_LCIA!H$32</f>
        <v>237.43124746716185</v>
      </c>
      <c r="AU304" s="137">
        <f>$W304*Z304+$L304*Summary_LCIA!Q$32</f>
        <v>2465.5227521420616</v>
      </c>
      <c r="AV304" s="137">
        <f>$W304*AA304+$L304*Summary_LCIA!R$32</f>
        <v>1.2105661856108725</v>
      </c>
      <c r="AW304" s="137">
        <f>$W304*AB304+$L304*Summary_LCIA!S$32</f>
        <v>237.36633092716184</v>
      </c>
      <c r="AX304" s="137">
        <f>$W304*AC304+$L304*Summary_LCIA!T$32</f>
        <v>57.530675558914353</v>
      </c>
      <c r="AY304" s="137">
        <f>$W304*AD304+$L304*Summary_LCIA!U$32</f>
        <v>0.53687165399253867</v>
      </c>
      <c r="AZ304" s="137">
        <f>$W304*AE304+$L304*Summary_LCIA!V$32</f>
        <v>6.5698115043738466E-3</v>
      </c>
      <c r="BA304" s="137">
        <f>$W304*AF304+$L304*Summary_LCIA!W$32</f>
        <v>9.8167556392076882</v>
      </c>
      <c r="BB304" s="137">
        <f>$W304*AG304+$L304*Summary_LCIA!X$32</f>
        <v>12.239023928346295</v>
      </c>
      <c r="BC304" s="137">
        <f>$W304*AH304+$L304*Summary_LCIA!Y$32</f>
        <v>0.46629148940263065</v>
      </c>
      <c r="BD304" s="137">
        <f>$W304*AI304+$L304*Summary_LCIA!Z$32</f>
        <v>0.24042097236890148</v>
      </c>
      <c r="BE304" s="137">
        <f>$W304*AJ304+$L304*Summary_LCIA!AA$32</f>
        <v>1.3213208219968515</v>
      </c>
      <c r="BF304" s="137">
        <f>$W304*AK304+$L304*Summary_LCIA!AB$32</f>
        <v>5.8769884651052907E-2</v>
      </c>
      <c r="BG304" s="137">
        <f>$W304*AL304+$L304*Summary_LCIA!AC$32</f>
        <v>2.9292953126741906E-5</v>
      </c>
      <c r="BH304" s="137">
        <f>$W304*AM304+$L304*Summary_LCIA!AD$32</f>
        <v>0.10000932295290316</v>
      </c>
      <c r="BI304" s="137">
        <f>$W304*AN304+$L304*Summary_LCIA!AE$32</f>
        <v>0.29524266707947433</v>
      </c>
      <c r="BJ304" s="137">
        <f>$W304*AO304+$L304*Summary_LCIA!AF$32</f>
        <v>1.6673538116931702E-2</v>
      </c>
      <c r="BK304" s="137">
        <f>$W304*AP304+$L304*Summary_LCIA!AG$32</f>
        <v>5.0083149319317009E-3</v>
      </c>
      <c r="BL304" s="137">
        <f>$W304*AQ304+$L304*Summary_LCIA!AH$32</f>
        <v>0.73376797373300218</v>
      </c>
      <c r="BM304" s="137">
        <f>$W304*AR304+$L304*Summary_LCIA!AI$32</f>
        <v>0.25807199565303074</v>
      </c>
    </row>
    <row r="305" spans="1:65" x14ac:dyDescent="0.25">
      <c r="A305" s="149">
        <v>138</v>
      </c>
      <c r="B305" s="149">
        <v>6</v>
      </c>
      <c r="C305" s="61">
        <v>33.748995000000001</v>
      </c>
      <c r="D305" s="61">
        <v>-84.387981999999994</v>
      </c>
      <c r="E305" s="61" t="s">
        <v>265</v>
      </c>
      <c r="F305" s="149">
        <v>1</v>
      </c>
      <c r="G305" s="61" t="s">
        <v>565</v>
      </c>
      <c r="H305" s="61" t="s">
        <v>681</v>
      </c>
      <c r="I305" s="61">
        <v>33.640728000000003</v>
      </c>
      <c r="J305" s="61">
        <v>-84.427700000000002</v>
      </c>
      <c r="K305" s="61">
        <v>18.49134737</v>
      </c>
      <c r="L305" s="61">
        <v>14.686999999999999</v>
      </c>
      <c r="M305" s="61" t="s">
        <v>617</v>
      </c>
      <c r="N305" s="149">
        <v>5</v>
      </c>
      <c r="O305" s="149">
        <v>6</v>
      </c>
      <c r="P305" s="61" t="s">
        <v>565</v>
      </c>
      <c r="Q305" s="61" t="s">
        <v>564</v>
      </c>
      <c r="R305" s="61">
        <v>41.98028</v>
      </c>
      <c r="S305" s="61">
        <v>-87.908997900000003</v>
      </c>
      <c r="T305" s="61">
        <v>1180.386</v>
      </c>
      <c r="U305" s="61" t="s">
        <v>617</v>
      </c>
      <c r="V305" s="61" t="s">
        <v>569</v>
      </c>
      <c r="W305" s="61" cm="1">
        <f t="array" ref="W305">getDistance(I305,J305,R305,S305)*SA!$B$12</f>
        <v>976.67906347990493</v>
      </c>
      <c r="Y305" s="137">
        <f>Transportation_LCIA!C$61*($W305^Transportation_LCIA!C$60)+Transportation_LCIA!C$62</f>
        <v>0.23799077256655485</v>
      </c>
      <c r="Z305" s="137">
        <f>Transportation_LCIA!D$61*($W305^Transportation_LCIA!D$60)+Transportation_LCIA!D$62</f>
        <v>2.4498664186649894</v>
      </c>
      <c r="AA305" s="137">
        <f>Transportation_LCIA!E$61*($W305^Transportation_LCIA!E$60)+Transportation_LCIA!E$62</f>
        <v>1.1602893527513285E-3</v>
      </c>
      <c r="AB305" s="137">
        <f>Transportation_LCIA!F$61*($W305^Transportation_LCIA!F$60)+Transportation_LCIA!F$62</f>
        <v>0.23799077256655485</v>
      </c>
      <c r="AC305" s="137">
        <f>Transportation_LCIA!G$61*($W305^Transportation_LCIA!G$60)+Transportation_LCIA!G$62</f>
        <v>5.7251738416183251E-2</v>
      </c>
      <c r="AD305" s="137">
        <f>Transportation_LCIA!H$61*($W305^Transportation_LCIA!H$60)+Transportation_LCIA!H$62</f>
        <v>2.8030572808339046E-4</v>
      </c>
      <c r="AE305" s="137">
        <f>Transportation_LCIA!I$61*($W305^Transportation_LCIA!I$60)+Transportation_LCIA!I$62</f>
        <v>6.0084688172437592E-6</v>
      </c>
      <c r="AF305" s="137">
        <f>Transportation_LCIA!J$61*($W305^Transportation_LCIA!J$60)+Transportation_LCIA!J$62</f>
        <v>8.8936917837252362E-3</v>
      </c>
      <c r="AG305" s="137">
        <f>Transportation_LCIA!K$61*($W305^Transportation_LCIA!K$60)+Transportation_LCIA!K$62</f>
        <v>1.2188706109794917E-2</v>
      </c>
      <c r="AH305" s="137">
        <f>Transportation_LCIA!L$61*($W305^Transportation_LCIA!L$60)+Transportation_LCIA!L$62</f>
        <v>2.4310816549771977E-4</v>
      </c>
      <c r="AI305" s="137">
        <f>Transportation_LCIA!M$61*($W305^Transportation_LCIA!M$60)+Transportation_LCIA!M$62</f>
        <v>2.455450128432447E-4</v>
      </c>
      <c r="AJ305" s="137">
        <f>Transportation_LCIA!N$61*($W305^Transportation_LCIA!N$60)+Transportation_LCIA!N$62</f>
        <v>1.0016506819662974E-3</v>
      </c>
      <c r="AK305" s="137">
        <f>Transportation_LCIA!O$61*($W305^Transportation_LCIA!O$60)+Transportation_LCIA!O$62</f>
        <v>6.050134712780058E-5</v>
      </c>
      <c r="AL305" s="137">
        <f>Transportation_LCIA!P$61*($W305^Transportation_LCIA!P$60)+Transportation_LCIA!P$62</f>
        <v>2.9257301489528483E-8</v>
      </c>
      <c r="AM305" s="137">
        <f>Transportation_LCIA!Q$61*($W305^Transportation_LCIA!Q$60)+Transportation_LCIA!Q$62</f>
        <v>9.6216231090364335E-5</v>
      </c>
      <c r="AN305" s="137">
        <f>Transportation_LCIA!R$61*($W305^Transportation_LCIA!R$60)+Transportation_LCIA!R$62</f>
        <v>2.8896705818992006E-4</v>
      </c>
      <c r="AO305" s="137">
        <f>Transportation_LCIA!S$61*($W305^Transportation_LCIA!S$60)+Transportation_LCIA!S$62</f>
        <v>4.3584988519816731E-6</v>
      </c>
      <c r="AP305" s="137">
        <f>Transportation_LCIA!T$61*($W305^Transportation_LCIA!T$60)+Transportation_LCIA!T$62</f>
        <v>4.3584988519816731E-6</v>
      </c>
      <c r="AQ305" s="137">
        <f>Transportation_LCIA!U$61*($W305^Transportation_LCIA!U$60)+Transportation_LCIA!U$62</f>
        <v>6.204066649837317E-4</v>
      </c>
      <c r="AR305" s="137">
        <f>Transportation_LCIA!V$61*($W305^Transportation_LCIA!V$60)+Transportation_LCIA!V$62</f>
        <v>2.502258212971912E-4</v>
      </c>
      <c r="AT305" s="137">
        <f>$W305*Y305+$L305*Summary_LCIA!H$32</f>
        <v>237.43124746716185</v>
      </c>
      <c r="AU305" s="137">
        <f>$W305*Z305+$L305*Summary_LCIA!Q$32</f>
        <v>2465.5227521420616</v>
      </c>
      <c r="AV305" s="137">
        <f>$W305*AA305+$L305*Summary_LCIA!R$32</f>
        <v>1.2105661856108725</v>
      </c>
      <c r="AW305" s="137">
        <f>$W305*AB305+$L305*Summary_LCIA!S$32</f>
        <v>237.36633092716184</v>
      </c>
      <c r="AX305" s="137">
        <f>$W305*AC305+$L305*Summary_LCIA!T$32</f>
        <v>57.530675558914353</v>
      </c>
      <c r="AY305" s="137">
        <f>$W305*AD305+$L305*Summary_LCIA!U$32</f>
        <v>0.53687165399253867</v>
      </c>
      <c r="AZ305" s="137">
        <f>$W305*AE305+$L305*Summary_LCIA!V$32</f>
        <v>6.5698115043738466E-3</v>
      </c>
      <c r="BA305" s="137">
        <f>$W305*AF305+$L305*Summary_LCIA!W$32</f>
        <v>9.8167556392076882</v>
      </c>
      <c r="BB305" s="137">
        <f>$W305*AG305+$L305*Summary_LCIA!X$32</f>
        <v>12.239023928346295</v>
      </c>
      <c r="BC305" s="137">
        <f>$W305*AH305+$L305*Summary_LCIA!Y$32</f>
        <v>0.46629148940263065</v>
      </c>
      <c r="BD305" s="137">
        <f>$W305*AI305+$L305*Summary_LCIA!Z$32</f>
        <v>0.24042097236890148</v>
      </c>
      <c r="BE305" s="137">
        <f>$W305*AJ305+$L305*Summary_LCIA!AA$32</f>
        <v>1.3213208219968515</v>
      </c>
      <c r="BF305" s="137">
        <f>$W305*AK305+$L305*Summary_LCIA!AB$32</f>
        <v>5.8769884651052907E-2</v>
      </c>
      <c r="BG305" s="137">
        <f>$W305*AL305+$L305*Summary_LCIA!AC$32</f>
        <v>2.9292953126741906E-5</v>
      </c>
      <c r="BH305" s="137">
        <f>$W305*AM305+$L305*Summary_LCIA!AD$32</f>
        <v>0.10000932295290316</v>
      </c>
      <c r="BI305" s="137">
        <f>$W305*AN305+$L305*Summary_LCIA!AE$32</f>
        <v>0.29524266707947433</v>
      </c>
      <c r="BJ305" s="137">
        <f>$W305*AO305+$L305*Summary_LCIA!AF$32</f>
        <v>1.6673538116931702E-2</v>
      </c>
      <c r="BK305" s="137">
        <f>$W305*AP305+$L305*Summary_LCIA!AG$32</f>
        <v>5.0083149319317009E-3</v>
      </c>
      <c r="BL305" s="137">
        <f>$W305*AQ305+$L305*Summary_LCIA!AH$32</f>
        <v>0.73376797373300218</v>
      </c>
      <c r="BM305" s="137">
        <f>$W305*AR305+$L305*Summary_LCIA!AI$32</f>
        <v>0.25807199565303074</v>
      </c>
    </row>
    <row r="306" spans="1:65" x14ac:dyDescent="0.25">
      <c r="A306" s="149">
        <v>139</v>
      </c>
      <c r="B306" s="149">
        <v>6</v>
      </c>
      <c r="C306" s="61">
        <v>33.748995000000001</v>
      </c>
      <c r="D306" s="61">
        <v>-84.387981999999994</v>
      </c>
      <c r="E306" s="61" t="s">
        <v>265</v>
      </c>
      <c r="F306" s="149">
        <v>1</v>
      </c>
      <c r="G306" s="61" t="s">
        <v>565</v>
      </c>
      <c r="H306" s="61" t="s">
        <v>681</v>
      </c>
      <c r="I306" s="61">
        <v>33.640728000000003</v>
      </c>
      <c r="J306" s="61">
        <v>-84.427700000000002</v>
      </c>
      <c r="K306" s="61">
        <v>18.49134737</v>
      </c>
      <c r="L306" s="61">
        <v>14.686999999999999</v>
      </c>
      <c r="M306" s="61" t="s">
        <v>617</v>
      </c>
      <c r="N306" s="149">
        <v>5</v>
      </c>
      <c r="O306" s="149">
        <v>6</v>
      </c>
      <c r="P306" s="61" t="s">
        <v>565</v>
      </c>
      <c r="Q306" s="61" t="s">
        <v>564</v>
      </c>
      <c r="R306" s="61">
        <v>41.98028</v>
      </c>
      <c r="S306" s="61">
        <v>-87.908997900000003</v>
      </c>
      <c r="T306" s="61">
        <v>1180.386</v>
      </c>
      <c r="U306" s="61" t="s">
        <v>617</v>
      </c>
      <c r="V306" s="61" t="s">
        <v>569</v>
      </c>
      <c r="W306" s="61" cm="1">
        <f t="array" ref="W306">getDistance(I306,J306,R306,S306)*SA!$B$12</f>
        <v>976.67906347990493</v>
      </c>
      <c r="Y306" s="137">
        <f>Transportation_LCIA!C$61*($W306^Transportation_LCIA!C$60)+Transportation_LCIA!C$62</f>
        <v>0.23799077256655485</v>
      </c>
      <c r="Z306" s="137">
        <f>Transportation_LCIA!D$61*($W306^Transportation_LCIA!D$60)+Transportation_LCIA!D$62</f>
        <v>2.4498664186649894</v>
      </c>
      <c r="AA306" s="137">
        <f>Transportation_LCIA!E$61*($W306^Transportation_LCIA!E$60)+Transportation_LCIA!E$62</f>
        <v>1.1602893527513285E-3</v>
      </c>
      <c r="AB306" s="137">
        <f>Transportation_LCIA!F$61*($W306^Transportation_LCIA!F$60)+Transportation_LCIA!F$62</f>
        <v>0.23799077256655485</v>
      </c>
      <c r="AC306" s="137">
        <f>Transportation_LCIA!G$61*($W306^Transportation_LCIA!G$60)+Transportation_LCIA!G$62</f>
        <v>5.7251738416183251E-2</v>
      </c>
      <c r="AD306" s="137">
        <f>Transportation_LCIA!H$61*($W306^Transportation_LCIA!H$60)+Transportation_LCIA!H$62</f>
        <v>2.8030572808339046E-4</v>
      </c>
      <c r="AE306" s="137">
        <f>Transportation_LCIA!I$61*($W306^Transportation_LCIA!I$60)+Transportation_LCIA!I$62</f>
        <v>6.0084688172437592E-6</v>
      </c>
      <c r="AF306" s="137">
        <f>Transportation_LCIA!J$61*($W306^Transportation_LCIA!J$60)+Transportation_LCIA!J$62</f>
        <v>8.8936917837252362E-3</v>
      </c>
      <c r="AG306" s="137">
        <f>Transportation_LCIA!K$61*($W306^Transportation_LCIA!K$60)+Transportation_LCIA!K$62</f>
        <v>1.2188706109794917E-2</v>
      </c>
      <c r="AH306" s="137">
        <f>Transportation_LCIA!L$61*($W306^Transportation_LCIA!L$60)+Transportation_LCIA!L$62</f>
        <v>2.4310816549771977E-4</v>
      </c>
      <c r="AI306" s="137">
        <f>Transportation_LCIA!M$61*($W306^Transportation_LCIA!M$60)+Transportation_LCIA!M$62</f>
        <v>2.455450128432447E-4</v>
      </c>
      <c r="AJ306" s="137">
        <f>Transportation_LCIA!N$61*($W306^Transportation_LCIA!N$60)+Transportation_LCIA!N$62</f>
        <v>1.0016506819662974E-3</v>
      </c>
      <c r="AK306" s="137">
        <f>Transportation_LCIA!O$61*($W306^Transportation_LCIA!O$60)+Transportation_LCIA!O$62</f>
        <v>6.050134712780058E-5</v>
      </c>
      <c r="AL306" s="137">
        <f>Transportation_LCIA!P$61*($W306^Transportation_LCIA!P$60)+Transportation_LCIA!P$62</f>
        <v>2.9257301489528483E-8</v>
      </c>
      <c r="AM306" s="137">
        <f>Transportation_LCIA!Q$61*($W306^Transportation_LCIA!Q$60)+Transportation_LCIA!Q$62</f>
        <v>9.6216231090364335E-5</v>
      </c>
      <c r="AN306" s="137">
        <f>Transportation_LCIA!R$61*($W306^Transportation_LCIA!R$60)+Transportation_LCIA!R$62</f>
        <v>2.8896705818992006E-4</v>
      </c>
      <c r="AO306" s="137">
        <f>Transportation_LCIA!S$61*($W306^Transportation_LCIA!S$60)+Transportation_LCIA!S$62</f>
        <v>4.3584988519816731E-6</v>
      </c>
      <c r="AP306" s="137">
        <f>Transportation_LCIA!T$61*($W306^Transportation_LCIA!T$60)+Transportation_LCIA!T$62</f>
        <v>4.3584988519816731E-6</v>
      </c>
      <c r="AQ306" s="137">
        <f>Transportation_LCIA!U$61*($W306^Transportation_LCIA!U$60)+Transportation_LCIA!U$62</f>
        <v>6.204066649837317E-4</v>
      </c>
      <c r="AR306" s="137">
        <f>Transportation_LCIA!V$61*($W306^Transportation_LCIA!V$60)+Transportation_LCIA!V$62</f>
        <v>2.502258212971912E-4</v>
      </c>
      <c r="AT306" s="137">
        <f>$W306*Y306+$L306*Summary_LCIA!H$32</f>
        <v>237.43124746716185</v>
      </c>
      <c r="AU306" s="137">
        <f>$W306*Z306+$L306*Summary_LCIA!Q$32</f>
        <v>2465.5227521420616</v>
      </c>
      <c r="AV306" s="137">
        <f>$W306*AA306+$L306*Summary_LCIA!R$32</f>
        <v>1.2105661856108725</v>
      </c>
      <c r="AW306" s="137">
        <f>$W306*AB306+$L306*Summary_LCIA!S$32</f>
        <v>237.36633092716184</v>
      </c>
      <c r="AX306" s="137">
        <f>$W306*AC306+$L306*Summary_LCIA!T$32</f>
        <v>57.530675558914353</v>
      </c>
      <c r="AY306" s="137">
        <f>$W306*AD306+$L306*Summary_LCIA!U$32</f>
        <v>0.53687165399253867</v>
      </c>
      <c r="AZ306" s="137">
        <f>$W306*AE306+$L306*Summary_LCIA!V$32</f>
        <v>6.5698115043738466E-3</v>
      </c>
      <c r="BA306" s="137">
        <f>$W306*AF306+$L306*Summary_LCIA!W$32</f>
        <v>9.8167556392076882</v>
      </c>
      <c r="BB306" s="137">
        <f>$W306*AG306+$L306*Summary_LCIA!X$32</f>
        <v>12.239023928346295</v>
      </c>
      <c r="BC306" s="137">
        <f>$W306*AH306+$L306*Summary_LCIA!Y$32</f>
        <v>0.46629148940263065</v>
      </c>
      <c r="BD306" s="137">
        <f>$W306*AI306+$L306*Summary_LCIA!Z$32</f>
        <v>0.24042097236890148</v>
      </c>
      <c r="BE306" s="137">
        <f>$W306*AJ306+$L306*Summary_LCIA!AA$32</f>
        <v>1.3213208219968515</v>
      </c>
      <c r="BF306" s="137">
        <f>$W306*AK306+$L306*Summary_LCIA!AB$32</f>
        <v>5.8769884651052907E-2</v>
      </c>
      <c r="BG306" s="137">
        <f>$W306*AL306+$L306*Summary_LCIA!AC$32</f>
        <v>2.9292953126741906E-5</v>
      </c>
      <c r="BH306" s="137">
        <f>$W306*AM306+$L306*Summary_LCIA!AD$32</f>
        <v>0.10000932295290316</v>
      </c>
      <c r="BI306" s="137">
        <f>$W306*AN306+$L306*Summary_LCIA!AE$32</f>
        <v>0.29524266707947433</v>
      </c>
      <c r="BJ306" s="137">
        <f>$W306*AO306+$L306*Summary_LCIA!AF$32</f>
        <v>1.6673538116931702E-2</v>
      </c>
      <c r="BK306" s="137">
        <f>$W306*AP306+$L306*Summary_LCIA!AG$32</f>
        <v>5.0083149319317009E-3</v>
      </c>
      <c r="BL306" s="137">
        <f>$W306*AQ306+$L306*Summary_LCIA!AH$32</f>
        <v>0.73376797373300218</v>
      </c>
      <c r="BM306" s="137">
        <f>$W306*AR306+$L306*Summary_LCIA!AI$32</f>
        <v>0.25807199565303074</v>
      </c>
    </row>
    <row r="307" spans="1:65" x14ac:dyDescent="0.25">
      <c r="A307" s="149">
        <v>203</v>
      </c>
      <c r="B307" s="149">
        <v>29</v>
      </c>
      <c r="C307" s="61">
        <v>38.544907000000002</v>
      </c>
      <c r="D307" s="61">
        <v>-121.740517</v>
      </c>
      <c r="E307" s="61" t="s">
        <v>265</v>
      </c>
      <c r="F307" s="149">
        <v>100</v>
      </c>
      <c r="G307" s="61" t="s">
        <v>280</v>
      </c>
      <c r="H307" s="61" t="s">
        <v>627</v>
      </c>
      <c r="I307" s="61">
        <v>38.695084999999999</v>
      </c>
      <c r="J307" s="61">
        <v>-121.590065</v>
      </c>
      <c r="K307" s="61">
        <v>29.866794039999998</v>
      </c>
      <c r="L307" s="61">
        <v>36.277000000000001</v>
      </c>
      <c r="M307" s="61" t="s">
        <v>617</v>
      </c>
      <c r="N307" s="149">
        <v>28</v>
      </c>
      <c r="O307" s="149">
        <v>29</v>
      </c>
      <c r="P307" s="61" t="s">
        <v>565</v>
      </c>
      <c r="Q307" s="61" t="s">
        <v>559</v>
      </c>
      <c r="R307" s="61">
        <v>47.450249900000003</v>
      </c>
      <c r="S307" s="61">
        <v>-122.30881650000001</v>
      </c>
      <c r="T307" s="61">
        <v>1183.703</v>
      </c>
      <c r="U307" s="61" t="s">
        <v>617</v>
      </c>
      <c r="V307" s="61" t="s">
        <v>569</v>
      </c>
      <c r="W307" s="61" cm="1">
        <f t="array" ref="W307">getDistance(I307,J307,R307,S307)*SA!$B$12</f>
        <v>976.14037070709026</v>
      </c>
      <c r="Y307" s="137">
        <f>Transportation_LCIA!C$61*($W307^Transportation_LCIA!C$60)+Transportation_LCIA!C$62</f>
        <v>0.23804914927990986</v>
      </c>
      <c r="Z307" s="137">
        <f>Transportation_LCIA!D$61*($W307^Transportation_LCIA!D$60)+Transportation_LCIA!D$62</f>
        <v>2.4505482489837318</v>
      </c>
      <c r="AA307" s="137">
        <f>Transportation_LCIA!E$61*($W307^Transportation_LCIA!E$60)+Transportation_LCIA!E$62</f>
        <v>1.160737752277303E-3</v>
      </c>
      <c r="AB307" s="137">
        <f>Transportation_LCIA!F$61*($W307^Transportation_LCIA!F$60)+Transportation_LCIA!F$62</f>
        <v>0.23804914927990986</v>
      </c>
      <c r="AC307" s="137">
        <f>Transportation_LCIA!G$61*($W307^Transportation_LCIA!G$60)+Transportation_LCIA!G$62</f>
        <v>5.7267512301772003E-2</v>
      </c>
      <c r="AD307" s="137">
        <f>Transportation_LCIA!H$61*($W307^Transportation_LCIA!H$60)+Transportation_LCIA!H$62</f>
        <v>2.8040436780251598E-4</v>
      </c>
      <c r="AE307" s="137">
        <f>Transportation_LCIA!I$61*($W307^Transportation_LCIA!I$60)+Transportation_LCIA!I$62</f>
        <v>6.0109537874923005E-6</v>
      </c>
      <c r="AF307" s="137">
        <f>Transportation_LCIA!J$61*($W307^Transportation_LCIA!J$60)+Transportation_LCIA!J$62</f>
        <v>8.8973943725000858E-3</v>
      </c>
      <c r="AG307" s="137">
        <f>Transportation_LCIA!K$61*($W307^Transportation_LCIA!K$60)+Transportation_LCIA!K$62</f>
        <v>1.2192389817628976E-2</v>
      </c>
      <c r="AH307" s="137">
        <f>Transportation_LCIA!L$61*($W307^Transportation_LCIA!L$60)+Transportation_LCIA!L$62</f>
        <v>2.4319886804858096E-4</v>
      </c>
      <c r="AI307" s="137">
        <f>Transportation_LCIA!M$61*($W307^Transportation_LCIA!M$60)+Transportation_LCIA!M$62</f>
        <v>2.4559945258934175E-4</v>
      </c>
      <c r="AJ307" s="137">
        <f>Transportation_LCIA!N$61*($W307^Transportation_LCIA!N$60)+Transportation_LCIA!N$62</f>
        <v>1.001982305305515E-3</v>
      </c>
      <c r="AK307" s="137">
        <f>Transportation_LCIA!O$61*($W307^Transportation_LCIA!O$60)+Transportation_LCIA!O$62</f>
        <v>6.0518109297697417E-5</v>
      </c>
      <c r="AL307" s="137">
        <f>Transportation_LCIA!P$61*($W307^Transportation_LCIA!P$60)+Transportation_LCIA!P$62</f>
        <v>2.9265360058337515E-8</v>
      </c>
      <c r="AM307" s="137">
        <f>Transportation_LCIA!Q$61*($W307^Transportation_LCIA!Q$60)+Transportation_LCIA!Q$62</f>
        <v>9.6251699924323629E-5</v>
      </c>
      <c r="AN307" s="137">
        <f>Transportation_LCIA!R$61*($W307^Transportation_LCIA!R$60)+Transportation_LCIA!R$62</f>
        <v>2.8908622201941005E-4</v>
      </c>
      <c r="AO307" s="137">
        <f>Transportation_LCIA!S$61*($W307^Transportation_LCIA!S$60)+Transportation_LCIA!S$62</f>
        <v>4.3601899829475127E-6</v>
      </c>
      <c r="AP307" s="137">
        <f>Transportation_LCIA!T$61*($W307^Transportation_LCIA!T$60)+Transportation_LCIA!T$62</f>
        <v>4.3601899829475127E-6</v>
      </c>
      <c r="AQ307" s="137">
        <f>Transportation_LCIA!U$61*($W307^Transportation_LCIA!U$60)+Transportation_LCIA!U$62</f>
        <v>6.206680303627221E-4</v>
      </c>
      <c r="AR307" s="137">
        <f>Transportation_LCIA!V$61*($W307^Transportation_LCIA!V$60)+Transportation_LCIA!V$62</f>
        <v>2.5031810678043397E-4</v>
      </c>
      <c r="AT307" s="137">
        <f>$W307*Y307+$L307*Summary_LCIA!H$32</f>
        <v>244.6963094245987</v>
      </c>
      <c r="AU307" s="137">
        <f>$W307*Z307+$L307*Summary_LCIA!Q$32</f>
        <v>2571.8697177565318</v>
      </c>
      <c r="AV307" s="137">
        <f>$W307*AA307+$L307*Summary_LCIA!R$32</f>
        <v>1.3240631510016811</v>
      </c>
      <c r="AW307" s="137">
        <f>$W307*AB307+$L307*Summary_LCIA!S$32</f>
        <v>244.53596508459867</v>
      </c>
      <c r="AX307" s="137">
        <f>$W307*AC307+$L307*Summary_LCIA!T$32</f>
        <v>59.887972987724574</v>
      </c>
      <c r="AY307" s="137">
        <f>$W307*AD307+$L307*Summary_LCIA!U$32</f>
        <v>0.92358020153463527</v>
      </c>
      <c r="AZ307" s="137">
        <f>$W307*AE307+$L307*Summary_LCIA!V$32</f>
        <v>7.6001604554259226E-3</v>
      </c>
      <c r="BA307" s="137">
        <f>$W307*AF307+$L307*Summary_LCIA!W$32</f>
        <v>11.477382808099412</v>
      </c>
      <c r="BB307" s="137">
        <f>$W307*AG307+$L307*Summary_LCIA!X$32</f>
        <v>12.727873976385702</v>
      </c>
      <c r="BC307" s="137">
        <f>$W307*AH307+$L307*Summary_LCIA!Y$32</f>
        <v>0.80266444721248664</v>
      </c>
      <c r="BD307" s="137">
        <f>$W307*AI307+$L307*Summary_LCIA!Z$32</f>
        <v>0.24122722418901849</v>
      </c>
      <c r="BE307" s="137">
        <f>$W307*AJ307+$L307*Summary_LCIA!AA$32</f>
        <v>1.8253609909428703</v>
      </c>
      <c r="BF307" s="137">
        <f>$W307*AK307+$L307*Summary_LCIA!AB$32</f>
        <v>5.8282496673346562E-2</v>
      </c>
      <c r="BG307" s="137">
        <f>$W307*AL307+$L307*Summary_LCIA!AC$32</f>
        <v>3.0340464284222055E-5</v>
      </c>
      <c r="BH307" s="137">
        <f>$W307*AM307+$L307*Summary_LCIA!AD$32</f>
        <v>0.10886646812531688</v>
      </c>
      <c r="BI307" s="137">
        <f>$W307*AN307+$L307*Summary_LCIA!AE$32</f>
        <v>0.31433486993833909</v>
      </c>
      <c r="BJ307" s="137">
        <f>$W307*AO307+$L307*Summary_LCIA!AF$32</f>
        <v>3.4925458806307728E-2</v>
      </c>
      <c r="BK307" s="137">
        <f>$W307*AP307+$L307*Summary_LCIA!AG$32</f>
        <v>6.1122701713077271E-3</v>
      </c>
      <c r="BL307" s="137">
        <f>$W307*AQ307+$L307*Summary_LCIA!AH$32</f>
        <v>0.92159961844430716</v>
      </c>
      <c r="BM307" s="137">
        <f>$W307*AR307+$L307*Summary_LCIA!AI$32</f>
        <v>0.27813944889734982</v>
      </c>
    </row>
    <row r="308" spans="1:65" x14ac:dyDescent="0.25">
      <c r="A308" s="149">
        <v>12</v>
      </c>
      <c r="B308" s="149">
        <v>29</v>
      </c>
      <c r="C308" s="61">
        <v>38.538727999999999</v>
      </c>
      <c r="D308" s="61">
        <v>-121.75308200000001</v>
      </c>
      <c r="E308" s="61" t="s">
        <v>265</v>
      </c>
      <c r="F308" s="149">
        <v>100</v>
      </c>
      <c r="G308" s="61" t="s">
        <v>280</v>
      </c>
      <c r="H308" s="61" t="s">
        <v>627</v>
      </c>
      <c r="I308" s="61">
        <v>38.695084999999999</v>
      </c>
      <c r="J308" s="61">
        <v>-121.590065</v>
      </c>
      <c r="K308" s="61">
        <v>31.070852179999999</v>
      </c>
      <c r="L308" s="61">
        <v>34.07</v>
      </c>
      <c r="M308" s="61" t="s">
        <v>617</v>
      </c>
      <c r="N308" s="149">
        <v>28</v>
      </c>
      <c r="O308" s="149">
        <v>29</v>
      </c>
      <c r="P308" s="61" t="s">
        <v>565</v>
      </c>
      <c r="Q308" s="61" t="s">
        <v>559</v>
      </c>
      <c r="R308" s="61">
        <v>47.450249900000003</v>
      </c>
      <c r="S308" s="61">
        <v>-122.30881650000001</v>
      </c>
      <c r="T308" s="61">
        <v>1184.68</v>
      </c>
      <c r="U308" s="61" t="s">
        <v>617</v>
      </c>
      <c r="V308" s="61" t="s">
        <v>569</v>
      </c>
      <c r="W308" s="61" cm="1">
        <f t="array" ref="W308">getDistance(I308,J308,R308,S308)*SA!$B$12</f>
        <v>976.14037070709026</v>
      </c>
      <c r="Y308" s="137">
        <f>Transportation_LCIA!C$61*($W308^Transportation_LCIA!C$60)+Transportation_LCIA!C$62</f>
        <v>0.23804914927990986</v>
      </c>
      <c r="Z308" s="137">
        <f>Transportation_LCIA!D$61*($W308^Transportation_LCIA!D$60)+Transportation_LCIA!D$62</f>
        <v>2.4505482489837318</v>
      </c>
      <c r="AA308" s="137">
        <f>Transportation_LCIA!E$61*($W308^Transportation_LCIA!E$60)+Transportation_LCIA!E$62</f>
        <v>1.160737752277303E-3</v>
      </c>
      <c r="AB308" s="137">
        <f>Transportation_LCIA!F$61*($W308^Transportation_LCIA!F$60)+Transportation_LCIA!F$62</f>
        <v>0.23804914927990986</v>
      </c>
      <c r="AC308" s="137">
        <f>Transportation_LCIA!G$61*($W308^Transportation_LCIA!G$60)+Transportation_LCIA!G$62</f>
        <v>5.7267512301772003E-2</v>
      </c>
      <c r="AD308" s="137">
        <f>Transportation_LCIA!H$61*($W308^Transportation_LCIA!H$60)+Transportation_LCIA!H$62</f>
        <v>2.8040436780251598E-4</v>
      </c>
      <c r="AE308" s="137">
        <f>Transportation_LCIA!I$61*($W308^Transportation_LCIA!I$60)+Transportation_LCIA!I$62</f>
        <v>6.0109537874923005E-6</v>
      </c>
      <c r="AF308" s="137">
        <f>Transportation_LCIA!J$61*($W308^Transportation_LCIA!J$60)+Transportation_LCIA!J$62</f>
        <v>8.8973943725000858E-3</v>
      </c>
      <c r="AG308" s="137">
        <f>Transportation_LCIA!K$61*($W308^Transportation_LCIA!K$60)+Transportation_LCIA!K$62</f>
        <v>1.2192389817628976E-2</v>
      </c>
      <c r="AH308" s="137">
        <f>Transportation_LCIA!L$61*($W308^Transportation_LCIA!L$60)+Transportation_LCIA!L$62</f>
        <v>2.4319886804858096E-4</v>
      </c>
      <c r="AI308" s="137">
        <f>Transportation_LCIA!M$61*($W308^Transportation_LCIA!M$60)+Transportation_LCIA!M$62</f>
        <v>2.4559945258934175E-4</v>
      </c>
      <c r="AJ308" s="137">
        <f>Transportation_LCIA!N$61*($W308^Transportation_LCIA!N$60)+Transportation_LCIA!N$62</f>
        <v>1.001982305305515E-3</v>
      </c>
      <c r="AK308" s="137">
        <f>Transportation_LCIA!O$61*($W308^Transportation_LCIA!O$60)+Transportation_LCIA!O$62</f>
        <v>6.0518109297697417E-5</v>
      </c>
      <c r="AL308" s="137">
        <f>Transportation_LCIA!P$61*($W308^Transportation_LCIA!P$60)+Transportation_LCIA!P$62</f>
        <v>2.9265360058337515E-8</v>
      </c>
      <c r="AM308" s="137">
        <f>Transportation_LCIA!Q$61*($W308^Transportation_LCIA!Q$60)+Transportation_LCIA!Q$62</f>
        <v>9.6251699924323629E-5</v>
      </c>
      <c r="AN308" s="137">
        <f>Transportation_LCIA!R$61*($W308^Transportation_LCIA!R$60)+Transportation_LCIA!R$62</f>
        <v>2.8908622201941005E-4</v>
      </c>
      <c r="AO308" s="137">
        <f>Transportation_LCIA!S$61*($W308^Transportation_LCIA!S$60)+Transportation_LCIA!S$62</f>
        <v>4.3601899829475127E-6</v>
      </c>
      <c r="AP308" s="137">
        <f>Transportation_LCIA!T$61*($W308^Transportation_LCIA!T$60)+Transportation_LCIA!T$62</f>
        <v>4.3601899829475127E-6</v>
      </c>
      <c r="AQ308" s="137">
        <f>Transportation_LCIA!U$61*($W308^Transportation_LCIA!U$60)+Transportation_LCIA!U$62</f>
        <v>6.206680303627221E-4</v>
      </c>
      <c r="AR308" s="137">
        <f>Transportation_LCIA!V$61*($W308^Transportation_LCIA!V$60)+Transportation_LCIA!V$62</f>
        <v>2.5031810678043397E-4</v>
      </c>
      <c r="AT308" s="137">
        <f>$W308*Y308+$L308*Summary_LCIA!H$32</f>
        <v>243.94637082459869</v>
      </c>
      <c r="AU308" s="137">
        <f>$W308*Z308+$L308*Summary_LCIA!Q$32</f>
        <v>2560.9317144509009</v>
      </c>
      <c r="AV308" s="137">
        <f>$W308*AA308+$L308*Summary_LCIA!R$32</f>
        <v>1.3124419718016811</v>
      </c>
      <c r="AW308" s="137">
        <f>$W308*AB308+$L308*Summary_LCIA!S$32</f>
        <v>243.79578142459869</v>
      </c>
      <c r="AX308" s="137">
        <f>$W308*AC308+$L308*Summary_LCIA!T$32</f>
        <v>59.645423687724573</v>
      </c>
      <c r="AY308" s="137">
        <f>$W308*AD308+$L308*Summary_LCIA!U$32</f>
        <v>0.88404400353463519</v>
      </c>
      <c r="AZ308" s="137">
        <f>$W308*AE308+$L308*Summary_LCIA!V$32</f>
        <v>7.4947519284259221E-3</v>
      </c>
      <c r="BA308" s="137">
        <f>$W308*AF308+$L308*Summary_LCIA!W$32</f>
        <v>11.307507811099413</v>
      </c>
      <c r="BB308" s="137">
        <f>$W308*AG308+$L308*Summary_LCIA!X$32</f>
        <v>12.677598516385702</v>
      </c>
      <c r="BC308" s="137">
        <f>$W308*AH308+$L308*Summary_LCIA!Y$32</f>
        <v>0.7682749732124865</v>
      </c>
      <c r="BD308" s="137">
        <f>$W308*AI308+$L308*Summary_LCIA!Z$32</f>
        <v>0.24113671732601849</v>
      </c>
      <c r="BE308" s="137">
        <f>$W308*AJ308+$L308*Summary_LCIA!AA$32</f>
        <v>1.7738142989428702</v>
      </c>
      <c r="BF308" s="137">
        <f>$W308*AK308+$L308*Summary_LCIA!AB$32</f>
        <v>5.8330660034346567E-2</v>
      </c>
      <c r="BG308" s="137">
        <f>$W308*AL308+$L308*Summary_LCIA!AC$32</f>
        <v>3.0232577296222055E-5</v>
      </c>
      <c r="BH308" s="137">
        <f>$W308*AM308+$L308*Summary_LCIA!AD$32</f>
        <v>0.10795930284531688</v>
      </c>
      <c r="BI308" s="137">
        <f>$W308*AN308+$L308*Summary_LCIA!AE$32</f>
        <v>0.31237918102833911</v>
      </c>
      <c r="BJ308" s="137">
        <f>$W308*AO308+$L308*Summary_LCIA!AF$32</f>
        <v>3.3059616866307727E-2</v>
      </c>
      <c r="BK308" s="137">
        <f>$W308*AP308+$L308*Summary_LCIA!AG$32</f>
        <v>5.999349016307727E-3</v>
      </c>
      <c r="BL308" s="137">
        <f>$W308*AQ308+$L308*Summary_LCIA!AH$32</f>
        <v>0.90239077324430705</v>
      </c>
      <c r="BM308" s="137">
        <f>$W308*AR308+$L308*Summary_LCIA!AI$32</f>
        <v>0.27608351804734982</v>
      </c>
    </row>
    <row r="309" spans="1:65" x14ac:dyDescent="0.25">
      <c r="A309" s="149">
        <v>205</v>
      </c>
      <c r="B309" s="149">
        <v>6</v>
      </c>
      <c r="C309" s="61">
        <v>33.774827999999999</v>
      </c>
      <c r="D309" s="61">
        <v>-84.296312</v>
      </c>
      <c r="E309" s="61" t="s">
        <v>265</v>
      </c>
      <c r="F309" s="149">
        <v>1</v>
      </c>
      <c r="G309" s="61" t="s">
        <v>565</v>
      </c>
      <c r="H309" s="61" t="s">
        <v>681</v>
      </c>
      <c r="I309" s="61">
        <v>33.640728000000003</v>
      </c>
      <c r="J309" s="61">
        <v>-84.427700000000002</v>
      </c>
      <c r="K309" s="61">
        <v>25.823667189999998</v>
      </c>
      <c r="L309" s="61">
        <v>26.882999999999999</v>
      </c>
      <c r="M309" s="61" t="s">
        <v>617</v>
      </c>
      <c r="N309" s="149">
        <v>5</v>
      </c>
      <c r="O309" s="149">
        <v>6</v>
      </c>
      <c r="P309" s="61" t="s">
        <v>565</v>
      </c>
      <c r="Q309" s="61" t="s">
        <v>564</v>
      </c>
      <c r="R309" s="61">
        <v>41.98028</v>
      </c>
      <c r="S309" s="61">
        <v>-87.908997900000003</v>
      </c>
      <c r="T309" s="61">
        <v>1188.9960000000001</v>
      </c>
      <c r="U309" s="61" t="s">
        <v>617</v>
      </c>
      <c r="V309" s="61" t="s">
        <v>569</v>
      </c>
      <c r="W309" s="61" cm="1">
        <f t="array" ref="W309">getDistance(I309,J309,R309,S309)*SA!$B$12</f>
        <v>976.67906347990493</v>
      </c>
      <c r="Y309" s="137">
        <f>Transportation_LCIA!C$61*($W309^Transportation_LCIA!C$60)+Transportation_LCIA!C$62</f>
        <v>0.23799077256655485</v>
      </c>
      <c r="Z309" s="137">
        <f>Transportation_LCIA!D$61*($W309^Transportation_LCIA!D$60)+Transportation_LCIA!D$62</f>
        <v>2.4498664186649894</v>
      </c>
      <c r="AA309" s="137">
        <f>Transportation_LCIA!E$61*($W309^Transportation_LCIA!E$60)+Transportation_LCIA!E$62</f>
        <v>1.1602893527513285E-3</v>
      </c>
      <c r="AB309" s="137">
        <f>Transportation_LCIA!F$61*($W309^Transportation_LCIA!F$60)+Transportation_LCIA!F$62</f>
        <v>0.23799077256655485</v>
      </c>
      <c r="AC309" s="137">
        <f>Transportation_LCIA!G$61*($W309^Transportation_LCIA!G$60)+Transportation_LCIA!G$62</f>
        <v>5.7251738416183251E-2</v>
      </c>
      <c r="AD309" s="137">
        <f>Transportation_LCIA!H$61*($W309^Transportation_LCIA!H$60)+Transportation_LCIA!H$62</f>
        <v>2.8030572808339046E-4</v>
      </c>
      <c r="AE309" s="137">
        <f>Transportation_LCIA!I$61*($W309^Transportation_LCIA!I$60)+Transportation_LCIA!I$62</f>
        <v>6.0084688172437592E-6</v>
      </c>
      <c r="AF309" s="137">
        <f>Transportation_LCIA!J$61*($W309^Transportation_LCIA!J$60)+Transportation_LCIA!J$62</f>
        <v>8.8936917837252362E-3</v>
      </c>
      <c r="AG309" s="137">
        <f>Transportation_LCIA!K$61*($W309^Transportation_LCIA!K$60)+Transportation_LCIA!K$62</f>
        <v>1.2188706109794917E-2</v>
      </c>
      <c r="AH309" s="137">
        <f>Transportation_LCIA!L$61*($W309^Transportation_LCIA!L$60)+Transportation_LCIA!L$62</f>
        <v>2.4310816549771977E-4</v>
      </c>
      <c r="AI309" s="137">
        <f>Transportation_LCIA!M$61*($W309^Transportation_LCIA!M$60)+Transportation_LCIA!M$62</f>
        <v>2.455450128432447E-4</v>
      </c>
      <c r="AJ309" s="137">
        <f>Transportation_LCIA!N$61*($W309^Transportation_LCIA!N$60)+Transportation_LCIA!N$62</f>
        <v>1.0016506819662974E-3</v>
      </c>
      <c r="AK309" s="137">
        <f>Transportation_LCIA!O$61*($W309^Transportation_LCIA!O$60)+Transportation_LCIA!O$62</f>
        <v>6.050134712780058E-5</v>
      </c>
      <c r="AL309" s="137">
        <f>Transportation_LCIA!P$61*($W309^Transportation_LCIA!P$60)+Transportation_LCIA!P$62</f>
        <v>2.9257301489528483E-8</v>
      </c>
      <c r="AM309" s="137">
        <f>Transportation_LCIA!Q$61*($W309^Transportation_LCIA!Q$60)+Transportation_LCIA!Q$62</f>
        <v>9.6216231090364335E-5</v>
      </c>
      <c r="AN309" s="137">
        <f>Transportation_LCIA!R$61*($W309^Transportation_LCIA!R$60)+Transportation_LCIA!R$62</f>
        <v>2.8896705818992006E-4</v>
      </c>
      <c r="AO309" s="137">
        <f>Transportation_LCIA!S$61*($W309^Transportation_LCIA!S$60)+Transportation_LCIA!S$62</f>
        <v>4.3584988519816731E-6</v>
      </c>
      <c r="AP309" s="137">
        <f>Transportation_LCIA!T$61*($W309^Transportation_LCIA!T$60)+Transportation_LCIA!T$62</f>
        <v>4.3584988519816731E-6</v>
      </c>
      <c r="AQ309" s="137">
        <f>Transportation_LCIA!U$61*($W309^Transportation_LCIA!U$60)+Transportation_LCIA!U$62</f>
        <v>6.204066649837317E-4</v>
      </c>
      <c r="AR309" s="137">
        <f>Transportation_LCIA!V$61*($W309^Transportation_LCIA!V$60)+Transportation_LCIA!V$62</f>
        <v>2.502258212971912E-4</v>
      </c>
      <c r="AT309" s="137">
        <f>$W309*Y309+$L309*Summary_LCIA!H$32</f>
        <v>241.57544826716185</v>
      </c>
      <c r="AU309" s="137">
        <f>$W309*Z309+$L309*Summary_LCIA!Q$32</f>
        <v>2525.9667432229294</v>
      </c>
      <c r="AV309" s="137">
        <f>$W309*AA309+$L309*Summary_LCIA!R$32</f>
        <v>1.2747854432108725</v>
      </c>
      <c r="AW309" s="137">
        <f>$W309*AB309+$L309*Summary_LCIA!S$32</f>
        <v>241.45662540716185</v>
      </c>
      <c r="AX309" s="137">
        <f>$W309*AC309+$L309*Summary_LCIA!T$32</f>
        <v>58.871015958914349</v>
      </c>
      <c r="AY309" s="137">
        <f>$W309*AD309+$L309*Summary_LCIA!U$32</f>
        <v>0.75535079799253868</v>
      </c>
      <c r="AZ309" s="137">
        <f>$W309*AE309+$L309*Summary_LCIA!V$32</f>
        <v>7.1523046603738467E-3</v>
      </c>
      <c r="BA309" s="137">
        <f>$W309*AF309+$L309*Summary_LCIA!W$32</f>
        <v>10.755493955207688</v>
      </c>
      <c r="BB309" s="137">
        <f>$W309*AG309+$L309*Summary_LCIA!X$32</f>
        <v>12.516848808346296</v>
      </c>
      <c r="BC309" s="137">
        <f>$W309*AH309+$L309*Summary_LCIA!Y$32</f>
        <v>0.65632956140263066</v>
      </c>
      <c r="BD309" s="137">
        <f>$W309*AI309+$L309*Summary_LCIA!Z$32</f>
        <v>0.24092111813290146</v>
      </c>
      <c r="BE309" s="137">
        <f>$W309*AJ309+$L309*Summary_LCIA!AA$32</f>
        <v>1.6061705979968512</v>
      </c>
      <c r="BF309" s="137">
        <f>$W309*AK309+$L309*Summary_LCIA!AB$32</f>
        <v>5.8503731343052909E-2</v>
      </c>
      <c r="BG309" s="137">
        <f>$W309*AL309+$L309*Summary_LCIA!AC$32</f>
        <v>2.9889142390741906E-5</v>
      </c>
      <c r="BH309" s="137">
        <f>$W309*AM309+$L309*Summary_LCIA!AD$32</f>
        <v>0.10502236679290315</v>
      </c>
      <c r="BI309" s="137">
        <f>$W309*AN309+$L309*Summary_LCIA!AE$32</f>
        <v>0.30604990855947434</v>
      </c>
      <c r="BJ309" s="137">
        <f>$W309*AO309+$L309*Summary_LCIA!AF$32</f>
        <v>2.6984280436931702E-2</v>
      </c>
      <c r="BK309" s="137">
        <f>$W309*AP309+$L309*Summary_LCIA!AG$32</f>
        <v>5.632323271931701E-3</v>
      </c>
      <c r="BL309" s="137">
        <f>$W309*AQ309+$L309*Summary_LCIA!AH$32</f>
        <v>0.83991707933300219</v>
      </c>
      <c r="BM309" s="137">
        <f>$W309*AR309+$L309*Summary_LCIA!AI$32</f>
        <v>0.26943317945303075</v>
      </c>
    </row>
    <row r="310" spans="1:65" x14ac:dyDescent="0.25">
      <c r="A310" s="149">
        <v>18</v>
      </c>
      <c r="B310" s="149">
        <v>43</v>
      </c>
      <c r="C310" s="61">
        <v>34.679338999999999</v>
      </c>
      <c r="D310" s="61">
        <v>-82.835136000000006</v>
      </c>
      <c r="E310" s="61" t="s">
        <v>265</v>
      </c>
      <c r="F310" s="149">
        <v>34</v>
      </c>
      <c r="G310" s="61" t="s">
        <v>565</v>
      </c>
      <c r="H310" s="61" t="s">
        <v>633</v>
      </c>
      <c r="I310" s="61">
        <v>35.214402999999997</v>
      </c>
      <c r="J310" s="61">
        <v>-80.947315000000003</v>
      </c>
      <c r="K310" s="61">
        <v>198.3898093</v>
      </c>
      <c r="L310" s="61">
        <v>211.65</v>
      </c>
      <c r="M310" s="61" t="s">
        <v>617</v>
      </c>
      <c r="N310" s="149">
        <v>42</v>
      </c>
      <c r="O310" s="149">
        <v>43</v>
      </c>
      <c r="P310" s="61" t="s">
        <v>565</v>
      </c>
      <c r="Q310" s="61" t="s">
        <v>555</v>
      </c>
      <c r="R310" s="61">
        <v>40.6895314</v>
      </c>
      <c r="S310" s="61">
        <v>-74.174462399999996</v>
      </c>
      <c r="T310" s="61">
        <v>1191.914</v>
      </c>
      <c r="U310" s="61" t="s">
        <v>617</v>
      </c>
      <c r="V310" s="61" t="s">
        <v>569</v>
      </c>
      <c r="W310" s="61" cm="1">
        <f t="array" ref="W310">getDistance(I310,J310,R310,S310)*SA!$B$12</f>
        <v>851.05121377634293</v>
      </c>
      <c r="Y310" s="137">
        <f>Transportation_LCIA!C$61*($W310^Transportation_LCIA!C$60)+Transportation_LCIA!C$62</f>
        <v>0.25343049240533111</v>
      </c>
      <c r="Z310" s="137">
        <f>Transportation_LCIA!D$61*($W310^Transportation_LCIA!D$60)+Transportation_LCIA!D$62</f>
        <v>2.6307480783429384</v>
      </c>
      <c r="AA310" s="137">
        <f>Transportation_LCIA!E$61*($W310^Transportation_LCIA!E$60)+Transportation_LCIA!E$62</f>
        <v>1.2793461318450019E-3</v>
      </c>
      <c r="AB310" s="137">
        <f>Transportation_LCIA!F$61*($W310^Transportation_LCIA!F$60)+Transportation_LCIA!F$62</f>
        <v>0.25343049240533111</v>
      </c>
      <c r="AC310" s="137">
        <f>Transportation_LCIA!G$61*($W310^Transportation_LCIA!G$60)+Transportation_LCIA!G$62</f>
        <v>6.1435625769608669E-2</v>
      </c>
      <c r="AD310" s="137">
        <f>Transportation_LCIA!H$61*($W310^Transportation_LCIA!H$60)+Transportation_LCIA!H$62</f>
        <v>3.065402716805851E-4</v>
      </c>
      <c r="AE310" s="137">
        <f>Transportation_LCIA!I$61*($W310^Transportation_LCIA!I$60)+Transportation_LCIA!I$62</f>
        <v>6.6711792632361422E-6</v>
      </c>
      <c r="AF310" s="137">
        <f>Transportation_LCIA!J$61*($W310^Transportation_LCIA!J$60)+Transportation_LCIA!J$62</f>
        <v>9.8828828449766624E-3</v>
      </c>
      <c r="AG310" s="137">
        <f>Transportation_LCIA!K$61*($W310^Transportation_LCIA!K$60)+Transportation_LCIA!K$62</f>
        <v>1.3167278527053671E-2</v>
      </c>
      <c r="AH310" s="137">
        <f>Transportation_LCIA!L$61*($W310^Transportation_LCIA!L$60)+Transportation_LCIA!L$62</f>
        <v>2.6725039435791071E-4</v>
      </c>
      <c r="AI310" s="137">
        <f>Transportation_LCIA!M$61*($W310^Transportation_LCIA!M$60)+Transportation_LCIA!M$62</f>
        <v>2.6002531765647143E-4</v>
      </c>
      <c r="AJ310" s="137">
        <f>Transportation_LCIA!N$61*($W310^Transportation_LCIA!N$60)+Transportation_LCIA!N$62</f>
        <v>1.0898312653906447E-3</v>
      </c>
      <c r="AK310" s="137">
        <f>Transportation_LCIA!O$61*($W310^Transportation_LCIA!O$60)+Transportation_LCIA!O$62</f>
        <v>6.4947739462206474E-5</v>
      </c>
      <c r="AL310" s="137">
        <f>Transportation_LCIA!P$61*($W310^Transportation_LCIA!P$60)+Transportation_LCIA!P$62</f>
        <v>3.139446307580722E-8</v>
      </c>
      <c r="AM310" s="137">
        <f>Transportation_LCIA!Q$61*($W310^Transportation_LCIA!Q$60)+Transportation_LCIA!Q$62</f>
        <v>1.0566088004157003E-4</v>
      </c>
      <c r="AN310" s="137">
        <f>Transportation_LCIA!R$61*($W310^Transportation_LCIA!R$60)+Transportation_LCIA!R$62</f>
        <v>3.2074864831290064E-4</v>
      </c>
      <c r="AO310" s="137">
        <f>Transportation_LCIA!S$61*($W310^Transportation_LCIA!S$60)+Transportation_LCIA!S$62</f>
        <v>4.8094770187755473E-6</v>
      </c>
      <c r="AP310" s="137">
        <f>Transportation_LCIA!T$61*($W310^Transportation_LCIA!T$60)+Transportation_LCIA!T$62</f>
        <v>4.8094770187755473E-6</v>
      </c>
      <c r="AQ310" s="137">
        <f>Transportation_LCIA!U$61*($W310^Transportation_LCIA!U$60)+Transportation_LCIA!U$62</f>
        <v>6.9015010201870343E-4</v>
      </c>
      <c r="AR310" s="137">
        <f>Transportation_LCIA!V$61*($W310^Transportation_LCIA!V$60)+Transportation_LCIA!V$62</f>
        <v>2.7481283900177808E-4</v>
      </c>
      <c r="AT310" s="137">
        <f>$W310*Y310+$L310*Summary_LCIA!H$32</f>
        <v>287.60099816949332</v>
      </c>
      <c r="AU310" s="137">
        <f>$W310*Z310+$L310*Summary_LCIA!Q$32</f>
        <v>3287.8494193579895</v>
      </c>
      <c r="AV310" s="137">
        <f>$W310*AA310+$L310*Summary_LCIA!R$32</f>
        <v>2.203253318346758</v>
      </c>
      <c r="AW310" s="137">
        <f>$W310*AB310+$L310*Summary_LCIA!S$32</f>
        <v>286.66550516949331</v>
      </c>
      <c r="AX310" s="137">
        <f>$W310*AC310+$L310*Summary_LCIA!T$32</f>
        <v>75.545198880334638</v>
      </c>
      <c r="AY310" s="137">
        <f>$W310*AD310+$L310*Summary_LCIA!U$32</f>
        <v>4.0523795702850922</v>
      </c>
      <c r="AZ310" s="137">
        <f>$W310*AE310+$L310*Summary_LCIA!V$32</f>
        <v>1.5786130859296688E-2</v>
      </c>
      <c r="BA310" s="137">
        <f>$W310*AF310+$L310*Summary_LCIA!W$32</f>
        <v>24.701751590826788</v>
      </c>
      <c r="BB310" s="137">
        <f>$W310*AG310+$L310*Summary_LCIA!X$32</f>
        <v>16.027415372580204</v>
      </c>
      <c r="BC310" s="137">
        <f>$W310*AH310+$L310*Summary_LCIA!Y$32</f>
        <v>3.5253740725005063</v>
      </c>
      <c r="BD310" s="137">
        <f>$W310*AI310+$L310*Summary_LCIA!Z$32</f>
        <v>0.22997441705411914</v>
      </c>
      <c r="BE310" s="137">
        <f>$W310*AJ310+$L310*Summary_LCIA!AA$32</f>
        <v>5.8707996212221154</v>
      </c>
      <c r="BF310" s="137">
        <f>$W310*AK310+$L310*Summary_LCIA!AB$32</f>
        <v>5.0655014551340506E-2</v>
      </c>
      <c r="BG310" s="137">
        <f>$W310*AL310+$L310*Summary_LCIA!AC$32</f>
        <v>3.7064594506522315E-5</v>
      </c>
      <c r="BH310" s="137">
        <f>$W310*AM310+$L310*Summary_LCIA!AD$32</f>
        <v>0.17691943620805473</v>
      </c>
      <c r="BI310" s="137">
        <f>$W310*AN310+$L310*Summary_LCIA!AE$32</f>
        <v>0.46052294096381541</v>
      </c>
      <c r="BJ310" s="137">
        <f>$W310*AO310+$L310*Summary_LCIA!AF$32</f>
        <v>0.18302625425445837</v>
      </c>
      <c r="BK310" s="137">
        <f>$W310*AP310+$L310*Summary_LCIA!AG$32</f>
        <v>1.4922183504458357E-2</v>
      </c>
      <c r="BL310" s="137">
        <f>$W310*AQ310+$L310*Summary_LCIA!AH$32</f>
        <v>2.4294700220108845</v>
      </c>
      <c r="BM310" s="137">
        <f>$W310*AR310+$L310*Summary_LCIA!AI$32</f>
        <v>0.43104235769378596</v>
      </c>
    </row>
    <row r="311" spans="1:65" x14ac:dyDescent="0.25">
      <c r="A311" s="149">
        <v>325</v>
      </c>
      <c r="B311" s="149">
        <v>29</v>
      </c>
      <c r="C311" s="61">
        <v>38.581572000000001</v>
      </c>
      <c r="D311" s="61">
        <v>-121.4944</v>
      </c>
      <c r="E311" s="61" t="s">
        <v>265</v>
      </c>
      <c r="F311" s="149">
        <v>100</v>
      </c>
      <c r="G311" s="61" t="s">
        <v>280</v>
      </c>
      <c r="H311" s="61" t="s">
        <v>627</v>
      </c>
      <c r="I311" s="61">
        <v>38.695084999999999</v>
      </c>
      <c r="J311" s="61">
        <v>-121.590065</v>
      </c>
      <c r="K311" s="61">
        <v>32.424409709999999</v>
      </c>
      <c r="L311" s="61">
        <v>18.324999999999999</v>
      </c>
      <c r="M311" s="61" t="s">
        <v>617</v>
      </c>
      <c r="N311" s="149">
        <v>28</v>
      </c>
      <c r="O311" s="149">
        <v>29</v>
      </c>
      <c r="P311" s="61" t="s">
        <v>565</v>
      </c>
      <c r="Q311" s="61" t="s">
        <v>559</v>
      </c>
      <c r="R311" s="61">
        <v>47.450249900000003</v>
      </c>
      <c r="S311" s="61">
        <v>-122.30881650000001</v>
      </c>
      <c r="T311" s="61">
        <v>1196.8589999999999</v>
      </c>
      <c r="U311" s="61" t="s">
        <v>617</v>
      </c>
      <c r="V311" s="61" t="s">
        <v>569</v>
      </c>
      <c r="W311" s="61" cm="1">
        <f t="array" ref="W311">getDistance(I311,J311,R311,S311)*SA!$B$12</f>
        <v>976.14037070709026</v>
      </c>
      <c r="Y311" s="137">
        <f>Transportation_LCIA!C$61*($W311^Transportation_LCIA!C$60)+Transportation_LCIA!C$62</f>
        <v>0.23804914927990986</v>
      </c>
      <c r="Z311" s="137">
        <f>Transportation_LCIA!D$61*($W311^Transportation_LCIA!D$60)+Transportation_LCIA!D$62</f>
        <v>2.4505482489837318</v>
      </c>
      <c r="AA311" s="137">
        <f>Transportation_LCIA!E$61*($W311^Transportation_LCIA!E$60)+Transportation_LCIA!E$62</f>
        <v>1.160737752277303E-3</v>
      </c>
      <c r="AB311" s="137">
        <f>Transportation_LCIA!F$61*($W311^Transportation_LCIA!F$60)+Transportation_LCIA!F$62</f>
        <v>0.23804914927990986</v>
      </c>
      <c r="AC311" s="137">
        <f>Transportation_LCIA!G$61*($W311^Transportation_LCIA!G$60)+Transportation_LCIA!G$62</f>
        <v>5.7267512301772003E-2</v>
      </c>
      <c r="AD311" s="137">
        <f>Transportation_LCIA!H$61*($W311^Transportation_LCIA!H$60)+Transportation_LCIA!H$62</f>
        <v>2.8040436780251598E-4</v>
      </c>
      <c r="AE311" s="137">
        <f>Transportation_LCIA!I$61*($W311^Transportation_LCIA!I$60)+Transportation_LCIA!I$62</f>
        <v>6.0109537874923005E-6</v>
      </c>
      <c r="AF311" s="137">
        <f>Transportation_LCIA!J$61*($W311^Transportation_LCIA!J$60)+Transportation_LCIA!J$62</f>
        <v>8.8973943725000858E-3</v>
      </c>
      <c r="AG311" s="137">
        <f>Transportation_LCIA!K$61*($W311^Transportation_LCIA!K$60)+Transportation_LCIA!K$62</f>
        <v>1.2192389817628976E-2</v>
      </c>
      <c r="AH311" s="137">
        <f>Transportation_LCIA!L$61*($W311^Transportation_LCIA!L$60)+Transportation_LCIA!L$62</f>
        <v>2.4319886804858096E-4</v>
      </c>
      <c r="AI311" s="137">
        <f>Transportation_LCIA!M$61*($W311^Transportation_LCIA!M$60)+Transportation_LCIA!M$62</f>
        <v>2.4559945258934175E-4</v>
      </c>
      <c r="AJ311" s="137">
        <f>Transportation_LCIA!N$61*($W311^Transportation_LCIA!N$60)+Transportation_LCIA!N$62</f>
        <v>1.001982305305515E-3</v>
      </c>
      <c r="AK311" s="137">
        <f>Transportation_LCIA!O$61*($W311^Transportation_LCIA!O$60)+Transportation_LCIA!O$62</f>
        <v>6.0518109297697417E-5</v>
      </c>
      <c r="AL311" s="137">
        <f>Transportation_LCIA!P$61*($W311^Transportation_LCIA!P$60)+Transportation_LCIA!P$62</f>
        <v>2.9265360058337515E-8</v>
      </c>
      <c r="AM311" s="137">
        <f>Transportation_LCIA!Q$61*($W311^Transportation_LCIA!Q$60)+Transportation_LCIA!Q$62</f>
        <v>9.6251699924323629E-5</v>
      </c>
      <c r="AN311" s="137">
        <f>Transportation_LCIA!R$61*($W311^Transportation_LCIA!R$60)+Transportation_LCIA!R$62</f>
        <v>2.8908622201941005E-4</v>
      </c>
      <c r="AO311" s="137">
        <f>Transportation_LCIA!S$61*($W311^Transportation_LCIA!S$60)+Transportation_LCIA!S$62</f>
        <v>4.3601899829475127E-6</v>
      </c>
      <c r="AP311" s="137">
        <f>Transportation_LCIA!T$61*($W311^Transportation_LCIA!T$60)+Transportation_LCIA!T$62</f>
        <v>4.3601899829475127E-6</v>
      </c>
      <c r="AQ311" s="137">
        <f>Transportation_LCIA!U$61*($W311^Transportation_LCIA!U$60)+Transportation_LCIA!U$62</f>
        <v>6.206680303627221E-4</v>
      </c>
      <c r="AR311" s="137">
        <f>Transportation_LCIA!V$61*($W311^Transportation_LCIA!V$60)+Transportation_LCIA!V$62</f>
        <v>2.5031810678043397E-4</v>
      </c>
      <c r="AT311" s="137">
        <f>$W311*Y311+$L311*Summary_LCIA!H$32</f>
        <v>238.59621982459868</v>
      </c>
      <c r="AU311" s="137">
        <f>$W311*Z311+$L311*Summary_LCIA!Q$32</f>
        <v>2482.8987003833158</v>
      </c>
      <c r="AV311" s="137">
        <f>$W311*AA311+$L311*Summary_LCIA!R$32</f>
        <v>1.2295350998016812</v>
      </c>
      <c r="AW311" s="137">
        <f>$W311*AB311+$L311*Summary_LCIA!S$32</f>
        <v>238.51522332459868</v>
      </c>
      <c r="AX311" s="137">
        <f>$W311*AC311+$L311*Summary_LCIA!T$32</f>
        <v>57.915048187724572</v>
      </c>
      <c r="AY311" s="137">
        <f>$W311*AD311+$L311*Summary_LCIA!U$32</f>
        <v>0.60198807353463524</v>
      </c>
      <c r="AZ311" s="137">
        <f>$W311*AE311+$L311*Summary_LCIA!V$32</f>
        <v>6.7427549834259224E-3</v>
      </c>
      <c r="BA311" s="137">
        <f>$W311*AF311+$L311*Summary_LCIA!W$32</f>
        <v>10.095599416099413</v>
      </c>
      <c r="BB311" s="137">
        <f>$W311*AG311+$L311*Summary_LCIA!X$32</f>
        <v>12.318927416385701</v>
      </c>
      <c r="BC311" s="137">
        <f>$W311*AH311+$L311*Summary_LCIA!Y$32</f>
        <v>0.52293638321248648</v>
      </c>
      <c r="BD311" s="137">
        <f>$W311*AI311+$L311*Summary_LCIA!Z$32</f>
        <v>0.24049103062101848</v>
      </c>
      <c r="BE311" s="137">
        <f>$W311*AJ311+$L311*Summary_LCIA!AA$32</f>
        <v>1.4060740789428703</v>
      </c>
      <c r="BF311" s="137">
        <f>$W311*AK311+$L311*Summary_LCIA!AB$32</f>
        <v>5.8674263169346562E-2</v>
      </c>
      <c r="BG311" s="137">
        <f>$W311*AL311+$L311*Summary_LCIA!AC$32</f>
        <v>2.9462898716222054E-5</v>
      </c>
      <c r="BH311" s="137">
        <f>$W311*AM311+$L311*Summary_LCIA!AD$32</f>
        <v>0.10148747804531688</v>
      </c>
      <c r="BI311" s="137">
        <f>$W311*AN311+$L311*Summary_LCIA!AE$32</f>
        <v>0.29842706417833909</v>
      </c>
      <c r="BJ311" s="137">
        <f>$W311*AO311+$L311*Summary_LCIA!AF$32</f>
        <v>1.9748478966307728E-2</v>
      </c>
      <c r="BK311" s="137">
        <f>$W311*AP311+$L311*Summary_LCIA!AG$32</f>
        <v>5.1937560913077269E-3</v>
      </c>
      <c r="BL311" s="137">
        <f>$W311*AQ311+$L311*Summary_LCIA!AH$32</f>
        <v>0.7653525912443071</v>
      </c>
      <c r="BM311" s="137">
        <f>$W311*AR311+$L311*Summary_LCIA!AI$32</f>
        <v>0.26141626329734979</v>
      </c>
    </row>
    <row r="312" spans="1:65" x14ac:dyDescent="0.25">
      <c r="A312" s="149">
        <v>103</v>
      </c>
      <c r="B312" s="149">
        <v>16</v>
      </c>
      <c r="C312" s="61">
        <v>32.890006</v>
      </c>
      <c r="D312" s="61">
        <v>-96.949909000000005</v>
      </c>
      <c r="E312" s="61" t="s">
        <v>265</v>
      </c>
      <c r="F312" s="149">
        <v>10</v>
      </c>
      <c r="G312" s="61" t="s">
        <v>565</v>
      </c>
      <c r="H312" s="61" t="s">
        <v>670</v>
      </c>
      <c r="I312" s="61">
        <v>32.899808999999998</v>
      </c>
      <c r="J312" s="61">
        <v>-97.040334999999999</v>
      </c>
      <c r="K312" s="61">
        <v>8.8253574990000008</v>
      </c>
      <c r="L312" s="61">
        <v>16.529</v>
      </c>
      <c r="M312" s="61" t="s">
        <v>617</v>
      </c>
      <c r="N312" s="149">
        <v>15</v>
      </c>
      <c r="O312" s="149">
        <v>16</v>
      </c>
      <c r="P312" s="61" t="s">
        <v>565</v>
      </c>
      <c r="Q312" s="61" t="s">
        <v>556</v>
      </c>
      <c r="R312" s="61">
        <v>39.856096299999997</v>
      </c>
      <c r="S312" s="61">
        <v>-104.6737376</v>
      </c>
      <c r="T312" s="61">
        <v>1231.6610000000001</v>
      </c>
      <c r="U312" s="61" t="s">
        <v>617</v>
      </c>
      <c r="V312" s="61" t="s">
        <v>569</v>
      </c>
      <c r="W312" s="61" cm="1">
        <f t="array" ref="W312">getDistance(I312,J312,R312,S312)*SA!$B$12</f>
        <v>1032.405382823028</v>
      </c>
      <c r="Y312" s="137">
        <f>Transportation_LCIA!C$61*($W312^Transportation_LCIA!C$60)+Transportation_LCIA!C$62</f>
        <v>0.23225534418598123</v>
      </c>
      <c r="Z312" s="137">
        <f>Transportation_LCIA!D$61*($W312^Transportation_LCIA!D$60)+Transportation_LCIA!D$62</f>
        <v>2.3829583682730289</v>
      </c>
      <c r="AA312" s="137">
        <f>Transportation_LCIA!E$61*($W312^Transportation_LCIA!E$60)+Transportation_LCIA!E$62</f>
        <v>1.1163027982333872E-3</v>
      </c>
      <c r="AB312" s="137">
        <f>Transportation_LCIA!F$61*($W312^Transportation_LCIA!F$60)+Transportation_LCIA!F$62</f>
        <v>0.23225534418598123</v>
      </c>
      <c r="AC312" s="137">
        <f>Transportation_LCIA!G$61*($W312^Transportation_LCIA!G$60)+Transportation_LCIA!G$62</f>
        <v>5.5703737133526478E-2</v>
      </c>
      <c r="AD312" s="137">
        <f>Transportation_LCIA!H$61*($W312^Transportation_LCIA!H$60)+Transportation_LCIA!H$62</f>
        <v>2.7063596654759427E-4</v>
      </c>
      <c r="AE312" s="137">
        <f>Transportation_LCIA!I$61*($W312^Transportation_LCIA!I$60)+Transportation_LCIA!I$62</f>
        <v>5.7651269707403461E-6</v>
      </c>
      <c r="AF312" s="137">
        <f>Transportation_LCIA!J$61*($W312^Transportation_LCIA!J$60)+Transportation_LCIA!J$62</f>
        <v>8.5313693632523887E-3</v>
      </c>
      <c r="AG312" s="137">
        <f>Transportation_LCIA!K$61*($W312^Transportation_LCIA!K$60)+Transportation_LCIA!K$62</f>
        <v>1.1827418478712399E-2</v>
      </c>
      <c r="AH312" s="137">
        <f>Transportation_LCIA!L$61*($W312^Transportation_LCIA!L$60)+Transportation_LCIA!L$62</f>
        <v>2.3421922374683465E-4</v>
      </c>
      <c r="AI312" s="137">
        <f>Transportation_LCIA!M$61*($W312^Transportation_LCIA!M$60)+Transportation_LCIA!M$62</f>
        <v>2.4020841858251191E-4</v>
      </c>
      <c r="AJ312" s="137">
        <f>Transportation_LCIA!N$61*($W312^Transportation_LCIA!N$60)+Transportation_LCIA!N$62</f>
        <v>9.6913848993546322E-4</v>
      </c>
      <c r="AK312" s="137">
        <f>Transportation_LCIA!O$61*($W312^Transportation_LCIA!O$60)+Transportation_LCIA!O$62</f>
        <v>5.8856413165664977E-5</v>
      </c>
      <c r="AL312" s="137">
        <f>Transportation_LCIA!P$61*($W312^Transportation_LCIA!P$60)+Transportation_LCIA!P$62</f>
        <v>2.8466413236598074E-8</v>
      </c>
      <c r="AM312" s="137">
        <f>Transportation_LCIA!Q$61*($W312^Transportation_LCIA!Q$60)+Transportation_LCIA!Q$62</f>
        <v>9.2740824190142807E-5</v>
      </c>
      <c r="AN312" s="137">
        <f>Transportation_LCIA!R$61*($W312^Transportation_LCIA!R$60)+Transportation_LCIA!R$62</f>
        <v>2.7729818976966129E-4</v>
      </c>
      <c r="AO312" s="137">
        <f>Transportation_LCIA!S$61*($W312^Transportation_LCIA!S$60)+Transportation_LCIA!S$62</f>
        <v>4.1928904000612024E-6</v>
      </c>
      <c r="AP312" s="137">
        <f>Transportation_LCIA!T$61*($W312^Transportation_LCIA!T$60)+Transportation_LCIA!T$62</f>
        <v>4.1928904000612024E-6</v>
      </c>
      <c r="AQ312" s="137">
        <f>Transportation_LCIA!U$61*($W312^Transportation_LCIA!U$60)+Transportation_LCIA!U$62</f>
        <v>5.9481824090767315E-4</v>
      </c>
      <c r="AR312" s="137">
        <f>Transportation_LCIA!V$61*($W312^Transportation_LCIA!V$60)+Transportation_LCIA!V$62</f>
        <v>2.4118517412096064E-4</v>
      </c>
      <c r="AT312" s="137">
        <f>$W312*Y312+$L312*Summary_LCIA!H$32</f>
        <v>245.3982217270221</v>
      </c>
      <c r="AU312" s="137">
        <f>$W312*Z312+$L312*Summary_LCIA!Q$32</f>
        <v>2542.0976040553119</v>
      </c>
      <c r="AV312" s="137">
        <f>$W312*AA312+$L312*Summary_LCIA!R$32</f>
        <v>1.2395121201565575</v>
      </c>
      <c r="AW312" s="137">
        <f>$W312*AB312+$L312*Summary_LCIA!S$32</f>
        <v>245.3251635470221</v>
      </c>
      <c r="AX312" s="137">
        <f>$W312*AC312+$L312*Summary_LCIA!T$32</f>
        <v>59.325375160011724</v>
      </c>
      <c r="AY312" s="137">
        <f>$W312*AD312+$L312*Summary_LCIA!U$32</f>
        <v>0.57550653464924928</v>
      </c>
      <c r="AZ312" s="137">
        <f>$W312*AE312+$L312*Summary_LCIA!V$32</f>
        <v>6.7413896862505507E-3</v>
      </c>
      <c r="BA312" s="137">
        <f>$W312*AF312+$L312*Summary_LCIA!W$32</f>
        <v>10.080085312473235</v>
      </c>
      <c r="BB312" s="137">
        <f>$W312*AG312+$L312*Summary_LCIA!X$32</f>
        <v>12.58722112232323</v>
      </c>
      <c r="BC312" s="137">
        <f>$W312*AH312+$L312*Summary_LCIA!Y$32</f>
        <v>0.49936406535686328</v>
      </c>
      <c r="BD312" s="137">
        <f>$W312*AI312+$L312*Summary_LCIA!Z$32</f>
        <v>0.24867030210499239</v>
      </c>
      <c r="BE312" s="137">
        <f>$W312*AJ312+$L312*Summary_LCIA!AA$32</f>
        <v>1.3865951177103533</v>
      </c>
      <c r="BF312" s="137">
        <f>$W312*AK312+$L312*Summary_LCIA!AB$32</f>
        <v>6.0402965398888661E-2</v>
      </c>
      <c r="BG312" s="137">
        <f>$W312*AL312+$L312*Summary_LCIA!AC$32</f>
        <v>3.0196881891128548E-5</v>
      </c>
      <c r="BH312" s="137">
        <f>$W312*AM312+$L312*Summary_LCIA!AD$32</f>
        <v>0.10254020626134752</v>
      </c>
      <c r="BI312" s="137">
        <f>$W312*AN312+$L312*Summary_LCIA!AE$32</f>
        <v>0.30093098653527983</v>
      </c>
      <c r="BJ312" s="137">
        <f>$W312*AO312+$L312*Summary_LCIA!AF$32</f>
        <v>1.8302709798610185E-2</v>
      </c>
      <c r="BK312" s="137">
        <f>$W312*AP312+$L312*Summary_LCIA!AG$32</f>
        <v>5.1744689036101847E-3</v>
      </c>
      <c r="BL312" s="137">
        <f>$W312*AQ312+$L312*Summary_LCIA!AH$32</f>
        <v>0.75795535811440651</v>
      </c>
      <c r="BM312" s="137">
        <f>$W312*AR312+$L312*Summary_LCIA!AI$32</f>
        <v>0.26439846196958905</v>
      </c>
    </row>
    <row r="313" spans="1:65" x14ac:dyDescent="0.25">
      <c r="A313" s="149">
        <v>158</v>
      </c>
      <c r="B313" s="149">
        <v>29</v>
      </c>
      <c r="C313" s="61">
        <v>37.871523000000003</v>
      </c>
      <c r="D313" s="61">
        <v>-122.273042</v>
      </c>
      <c r="E313" s="61" t="s">
        <v>265</v>
      </c>
      <c r="F313" s="149">
        <v>99</v>
      </c>
      <c r="G313" s="61" t="s">
        <v>623</v>
      </c>
      <c r="H313" s="61" t="s">
        <v>624</v>
      </c>
      <c r="I313" s="61">
        <v>37.712569000000002</v>
      </c>
      <c r="J313" s="61">
        <v>-122.21974299999999</v>
      </c>
      <c r="K313" s="61">
        <v>40.270393179999999</v>
      </c>
      <c r="L313" s="61">
        <v>24.324000000000002</v>
      </c>
      <c r="M313" s="61" t="s">
        <v>617</v>
      </c>
      <c r="N313" s="149">
        <v>28</v>
      </c>
      <c r="O313" s="149">
        <v>29</v>
      </c>
      <c r="P313" s="61" t="s">
        <v>565</v>
      </c>
      <c r="Q313" s="61" t="s">
        <v>559</v>
      </c>
      <c r="R313" s="61">
        <v>47.450249900000003</v>
      </c>
      <c r="S313" s="61">
        <v>-122.30881650000001</v>
      </c>
      <c r="T313" s="61">
        <v>1269.6880000000001</v>
      </c>
      <c r="U313" s="61" t="s">
        <v>617</v>
      </c>
      <c r="V313" s="61" t="s">
        <v>569</v>
      </c>
      <c r="W313" s="61" cm="1">
        <f t="array" ref="W313">getDistance(I313,J313,R313,S313)*SA!$B$12</f>
        <v>1083.7067192187251</v>
      </c>
      <c r="Y313" s="137">
        <f>Transportation_LCIA!C$61*($W313^Transportation_LCIA!C$60)+Transportation_LCIA!C$62</f>
        <v>0.22745670793590661</v>
      </c>
      <c r="Z313" s="137">
        <f>Transportation_LCIA!D$61*($W313^Transportation_LCIA!D$60)+Transportation_LCIA!D$62</f>
        <v>2.3271050405397338</v>
      </c>
      <c r="AA313" s="137">
        <f>Transportation_LCIA!E$61*($W313^Transportation_LCIA!E$60)+Transportation_LCIA!E$62</f>
        <v>1.0796071266874865E-3</v>
      </c>
      <c r="AB313" s="137">
        <f>Transportation_LCIA!F$61*($W313^Transportation_LCIA!F$60)+Transportation_LCIA!F$62</f>
        <v>0.22745670793590661</v>
      </c>
      <c r="AC313" s="137">
        <f>Transportation_LCIA!G$61*($W313^Transportation_LCIA!G$60)+Transportation_LCIA!G$62</f>
        <v>5.4411330360243829E-2</v>
      </c>
      <c r="AD313" s="137">
        <f>Transportation_LCIA!H$61*($W313^Transportation_LCIA!H$60)+Transportation_LCIA!H$62</f>
        <v>2.6257910570795154E-4</v>
      </c>
      <c r="AE313" s="137">
        <f>Transportation_LCIA!I$61*($W313^Transportation_LCIA!I$60)+Transportation_LCIA!I$62</f>
        <v>5.5627834005164701E-6</v>
      </c>
      <c r="AF313" s="137">
        <f>Transportation_LCIA!J$61*($W313^Transportation_LCIA!J$60)+Transportation_LCIA!J$62</f>
        <v>8.2304885314531239E-3</v>
      </c>
      <c r="AG313" s="137">
        <f>Transportation_LCIA!K$61*($W313^Transportation_LCIA!K$60)+Transportation_LCIA!K$62</f>
        <v>1.1526128098589581E-2</v>
      </c>
      <c r="AH313" s="137">
        <f>Transportation_LCIA!L$61*($W313^Transportation_LCIA!L$60)+Transportation_LCIA!L$62</f>
        <v>2.2681720311816129E-4</v>
      </c>
      <c r="AI313" s="137">
        <f>Transportation_LCIA!M$61*($W313^Transportation_LCIA!M$60)+Transportation_LCIA!M$62</f>
        <v>2.3576226353069502E-4</v>
      </c>
      <c r="AJ313" s="137">
        <f>Transportation_LCIA!N$61*($W313^Transportation_LCIA!N$60)+Transportation_LCIA!N$62</f>
        <v>9.4204492933100935E-4</v>
      </c>
      <c r="AK313" s="137">
        <f>Transportation_LCIA!O$61*($W313^Transportation_LCIA!O$60)+Transportation_LCIA!O$62</f>
        <v>5.7483163787402971E-5</v>
      </c>
      <c r="AL313" s="137">
        <f>Transportation_LCIA!P$61*($W313^Transportation_LCIA!P$60)+Transportation_LCIA!P$62</f>
        <v>2.7806040623323073E-8</v>
      </c>
      <c r="AM313" s="137">
        <f>Transportation_LCIA!Q$61*($W313^Transportation_LCIA!Q$60)+Transportation_LCIA!Q$62</f>
        <v>8.9847671545088305E-5</v>
      </c>
      <c r="AN313" s="137">
        <f>Transportation_LCIA!R$61*($W313^Transportation_LCIA!R$60)+Transportation_LCIA!R$62</f>
        <v>2.6759576802836684E-4</v>
      </c>
      <c r="AO313" s="137">
        <f>Transportation_LCIA!S$61*($W313^Transportation_LCIA!S$60)+Transportation_LCIA!S$62</f>
        <v>4.0551779544391714E-6</v>
      </c>
      <c r="AP313" s="137">
        <f>Transportation_LCIA!T$61*($W313^Transportation_LCIA!T$60)+Transportation_LCIA!T$62</f>
        <v>4.0551779544391714E-6</v>
      </c>
      <c r="AQ313" s="137">
        <f>Transportation_LCIA!U$61*($W313^Transportation_LCIA!U$60)+Transportation_LCIA!U$62</f>
        <v>5.7355015024913001E-4</v>
      </c>
      <c r="AR313" s="137">
        <f>Transportation_LCIA!V$61*($W313^Transportation_LCIA!V$60)+Transportation_LCIA!V$62</f>
        <v>2.3366216352403273E-4</v>
      </c>
      <c r="AT313" s="137">
        <f>$W313*Y313+$L313*Summary_LCIA!H$32</f>
        <v>254.76165792151309</v>
      </c>
      <c r="AU313" s="137">
        <f>$W313*Z313+$L313*Summary_LCIA!Q$32</f>
        <v>2642.4503394929652</v>
      </c>
      <c r="AV313" s="137">
        <f>$W313*AA313+$L313*Summary_LCIA!R$32</f>
        <v>1.2980579517076505</v>
      </c>
      <c r="AW313" s="137">
        <f>$W313*AB313+$L313*Summary_LCIA!S$32</f>
        <v>254.6541458415131</v>
      </c>
      <c r="AX313" s="137">
        <f>$W313*AC313+$L313*Summary_LCIA!T$32</f>
        <v>61.639131913026048</v>
      </c>
      <c r="AY313" s="137">
        <f>$W313*AD313+$L313*Summary_LCIA!U$32</f>
        <v>0.72029887718215102</v>
      </c>
      <c r="AZ313" s="137">
        <f>$W313*AE313+$L313*Summary_LCIA!V$32</f>
        <v>7.1901643126980868E-3</v>
      </c>
      <c r="BA313" s="137">
        <f>$W313*AF313+$L313*Summary_LCIA!W$32</f>
        <v>10.791678327988407</v>
      </c>
      <c r="BB313" s="137">
        <f>$W313*AG313+$L313*Summary_LCIA!X$32</f>
        <v>13.045043187017278</v>
      </c>
      <c r="BC313" s="137">
        <f>$W313*AH313+$L313*Summary_LCIA!Y$32</f>
        <v>0.62481989505354985</v>
      </c>
      <c r="BD313" s="137">
        <f>$W313*AI313+$L313*Summary_LCIA!Z$32</f>
        <v>0.25649465204242994</v>
      </c>
      <c r="BE313" s="137">
        <f>$W313*AJ313+$L313*Summary_LCIA!AA$32</f>
        <v>1.5890117637219436</v>
      </c>
      <c r="BF313" s="137">
        <f>$W313*AK313+$L313*Summary_LCIA!AB$32</f>
        <v>6.1764068186359093E-2</v>
      </c>
      <c r="BG313" s="137">
        <f>$W313*AL313+$L313*Summary_LCIA!AC$32</f>
        <v>3.1322647474364037E-5</v>
      </c>
      <c r="BH313" s="137">
        <f>$W313*AM313+$L313*Summary_LCIA!AD$32</f>
        <v>0.10736666231956925</v>
      </c>
      <c r="BI313" s="137">
        <f>$W313*AN313+$L313*Summary_LCIA!AE$32</f>
        <v>0.31154955796683648</v>
      </c>
      <c r="BJ313" s="137">
        <f>$W313*AO313+$L313*Summary_LCIA!AF$32</f>
        <v>2.495861967685338E-2</v>
      </c>
      <c r="BK313" s="137">
        <f>$W313*AP313+$L313*Summary_LCIA!AG$32</f>
        <v>5.6391610568533755E-3</v>
      </c>
      <c r="BL313" s="137">
        <f>$W313*AQ313+$L313*Summary_LCIA!AH$32</f>
        <v>0.83326651803389162</v>
      </c>
      <c r="BM313" s="137">
        <f>$W313*AR313+$L313*Summary_LCIA!AI$32</f>
        <v>0.27588027883817878</v>
      </c>
    </row>
    <row r="314" spans="1:65" x14ac:dyDescent="0.25">
      <c r="A314" s="149">
        <v>159</v>
      </c>
      <c r="B314" s="149">
        <v>29</v>
      </c>
      <c r="C314" s="61">
        <v>37.871523000000003</v>
      </c>
      <c r="D314" s="61">
        <v>-122.273042</v>
      </c>
      <c r="E314" s="61" t="s">
        <v>265</v>
      </c>
      <c r="F314" s="149">
        <v>99</v>
      </c>
      <c r="G314" s="61" t="s">
        <v>623</v>
      </c>
      <c r="H314" s="61" t="s">
        <v>624</v>
      </c>
      <c r="I314" s="61">
        <v>37.712569000000002</v>
      </c>
      <c r="J314" s="61">
        <v>-122.21974299999999</v>
      </c>
      <c r="K314" s="61">
        <v>40.270393179999999</v>
      </c>
      <c r="L314" s="61">
        <v>24.324000000000002</v>
      </c>
      <c r="M314" s="61" t="s">
        <v>617</v>
      </c>
      <c r="N314" s="149">
        <v>28</v>
      </c>
      <c r="O314" s="149">
        <v>29</v>
      </c>
      <c r="P314" s="61" t="s">
        <v>565</v>
      </c>
      <c r="Q314" s="61" t="s">
        <v>559</v>
      </c>
      <c r="R314" s="61">
        <v>47.450249900000003</v>
      </c>
      <c r="S314" s="61">
        <v>-122.30881650000001</v>
      </c>
      <c r="T314" s="61">
        <v>1269.6880000000001</v>
      </c>
      <c r="U314" s="61" t="s">
        <v>617</v>
      </c>
      <c r="V314" s="61" t="s">
        <v>569</v>
      </c>
      <c r="W314" s="61" cm="1">
        <f t="array" ref="W314">getDistance(I314,J314,R314,S314)*SA!$B$12</f>
        <v>1083.7067192187251</v>
      </c>
      <c r="Y314" s="137">
        <f>Transportation_LCIA!C$61*($W314^Transportation_LCIA!C$60)+Transportation_LCIA!C$62</f>
        <v>0.22745670793590661</v>
      </c>
      <c r="Z314" s="137">
        <f>Transportation_LCIA!D$61*($W314^Transportation_LCIA!D$60)+Transportation_LCIA!D$62</f>
        <v>2.3271050405397338</v>
      </c>
      <c r="AA314" s="137">
        <f>Transportation_LCIA!E$61*($W314^Transportation_LCIA!E$60)+Transportation_LCIA!E$62</f>
        <v>1.0796071266874865E-3</v>
      </c>
      <c r="AB314" s="137">
        <f>Transportation_LCIA!F$61*($W314^Transportation_LCIA!F$60)+Transportation_LCIA!F$62</f>
        <v>0.22745670793590661</v>
      </c>
      <c r="AC314" s="137">
        <f>Transportation_LCIA!G$61*($W314^Transportation_LCIA!G$60)+Transportation_LCIA!G$62</f>
        <v>5.4411330360243829E-2</v>
      </c>
      <c r="AD314" s="137">
        <f>Transportation_LCIA!H$61*($W314^Transportation_LCIA!H$60)+Transportation_LCIA!H$62</f>
        <v>2.6257910570795154E-4</v>
      </c>
      <c r="AE314" s="137">
        <f>Transportation_LCIA!I$61*($W314^Transportation_LCIA!I$60)+Transportation_LCIA!I$62</f>
        <v>5.5627834005164701E-6</v>
      </c>
      <c r="AF314" s="137">
        <f>Transportation_LCIA!J$61*($W314^Transportation_LCIA!J$60)+Transportation_LCIA!J$62</f>
        <v>8.2304885314531239E-3</v>
      </c>
      <c r="AG314" s="137">
        <f>Transportation_LCIA!K$61*($W314^Transportation_LCIA!K$60)+Transportation_LCIA!K$62</f>
        <v>1.1526128098589581E-2</v>
      </c>
      <c r="AH314" s="137">
        <f>Transportation_LCIA!L$61*($W314^Transportation_LCIA!L$60)+Transportation_LCIA!L$62</f>
        <v>2.2681720311816129E-4</v>
      </c>
      <c r="AI314" s="137">
        <f>Transportation_LCIA!M$61*($W314^Transportation_LCIA!M$60)+Transportation_LCIA!M$62</f>
        <v>2.3576226353069502E-4</v>
      </c>
      <c r="AJ314" s="137">
        <f>Transportation_LCIA!N$61*($W314^Transportation_LCIA!N$60)+Transportation_LCIA!N$62</f>
        <v>9.4204492933100935E-4</v>
      </c>
      <c r="AK314" s="137">
        <f>Transportation_LCIA!O$61*($W314^Transportation_LCIA!O$60)+Transportation_LCIA!O$62</f>
        <v>5.7483163787402971E-5</v>
      </c>
      <c r="AL314" s="137">
        <f>Transportation_LCIA!P$61*($W314^Transportation_LCIA!P$60)+Transportation_LCIA!P$62</f>
        <v>2.7806040623323073E-8</v>
      </c>
      <c r="AM314" s="137">
        <f>Transportation_LCIA!Q$61*($W314^Transportation_LCIA!Q$60)+Transportation_LCIA!Q$62</f>
        <v>8.9847671545088305E-5</v>
      </c>
      <c r="AN314" s="137">
        <f>Transportation_LCIA!R$61*($W314^Transportation_LCIA!R$60)+Transportation_LCIA!R$62</f>
        <v>2.6759576802836684E-4</v>
      </c>
      <c r="AO314" s="137">
        <f>Transportation_LCIA!S$61*($W314^Transportation_LCIA!S$60)+Transportation_LCIA!S$62</f>
        <v>4.0551779544391714E-6</v>
      </c>
      <c r="AP314" s="137">
        <f>Transportation_LCIA!T$61*($W314^Transportation_LCIA!T$60)+Transportation_LCIA!T$62</f>
        <v>4.0551779544391714E-6</v>
      </c>
      <c r="AQ314" s="137">
        <f>Transportation_LCIA!U$61*($W314^Transportation_LCIA!U$60)+Transportation_LCIA!U$62</f>
        <v>5.7355015024913001E-4</v>
      </c>
      <c r="AR314" s="137">
        <f>Transportation_LCIA!V$61*($W314^Transportation_LCIA!V$60)+Transportation_LCIA!V$62</f>
        <v>2.3366216352403273E-4</v>
      </c>
      <c r="AT314" s="137">
        <f>$W314*Y314+$L314*Summary_LCIA!H$32</f>
        <v>254.76165792151309</v>
      </c>
      <c r="AU314" s="137">
        <f>$W314*Z314+$L314*Summary_LCIA!Q$32</f>
        <v>2642.4503394929652</v>
      </c>
      <c r="AV314" s="137">
        <f>$W314*AA314+$L314*Summary_LCIA!R$32</f>
        <v>1.2980579517076505</v>
      </c>
      <c r="AW314" s="137">
        <f>$W314*AB314+$L314*Summary_LCIA!S$32</f>
        <v>254.6541458415131</v>
      </c>
      <c r="AX314" s="137">
        <f>$W314*AC314+$L314*Summary_LCIA!T$32</f>
        <v>61.639131913026048</v>
      </c>
      <c r="AY314" s="137">
        <f>$W314*AD314+$L314*Summary_LCIA!U$32</f>
        <v>0.72029887718215102</v>
      </c>
      <c r="AZ314" s="137">
        <f>$W314*AE314+$L314*Summary_LCIA!V$32</f>
        <v>7.1901643126980868E-3</v>
      </c>
      <c r="BA314" s="137">
        <f>$W314*AF314+$L314*Summary_LCIA!W$32</f>
        <v>10.791678327988407</v>
      </c>
      <c r="BB314" s="137">
        <f>$W314*AG314+$L314*Summary_LCIA!X$32</f>
        <v>13.045043187017278</v>
      </c>
      <c r="BC314" s="137">
        <f>$W314*AH314+$L314*Summary_LCIA!Y$32</f>
        <v>0.62481989505354985</v>
      </c>
      <c r="BD314" s="137">
        <f>$W314*AI314+$L314*Summary_LCIA!Z$32</f>
        <v>0.25649465204242994</v>
      </c>
      <c r="BE314" s="137">
        <f>$W314*AJ314+$L314*Summary_LCIA!AA$32</f>
        <v>1.5890117637219436</v>
      </c>
      <c r="BF314" s="137">
        <f>$W314*AK314+$L314*Summary_LCIA!AB$32</f>
        <v>6.1764068186359093E-2</v>
      </c>
      <c r="BG314" s="137">
        <f>$W314*AL314+$L314*Summary_LCIA!AC$32</f>
        <v>3.1322647474364037E-5</v>
      </c>
      <c r="BH314" s="137">
        <f>$W314*AM314+$L314*Summary_LCIA!AD$32</f>
        <v>0.10736666231956925</v>
      </c>
      <c r="BI314" s="137">
        <f>$W314*AN314+$L314*Summary_LCIA!AE$32</f>
        <v>0.31154955796683648</v>
      </c>
      <c r="BJ314" s="137">
        <f>$W314*AO314+$L314*Summary_LCIA!AF$32</f>
        <v>2.495861967685338E-2</v>
      </c>
      <c r="BK314" s="137">
        <f>$W314*AP314+$L314*Summary_LCIA!AG$32</f>
        <v>5.6391610568533755E-3</v>
      </c>
      <c r="BL314" s="137">
        <f>$W314*AQ314+$L314*Summary_LCIA!AH$32</f>
        <v>0.83326651803389162</v>
      </c>
      <c r="BM314" s="137">
        <f>$W314*AR314+$L314*Summary_LCIA!AI$32</f>
        <v>0.27588027883817878</v>
      </c>
    </row>
    <row r="315" spans="1:65" x14ac:dyDescent="0.25">
      <c r="A315" s="149">
        <v>360</v>
      </c>
      <c r="B315" s="149">
        <v>29</v>
      </c>
      <c r="C315" s="61">
        <v>37.92633</v>
      </c>
      <c r="D315" s="61">
        <v>-122.38489</v>
      </c>
      <c r="E315" s="61" t="s">
        <v>265</v>
      </c>
      <c r="F315" s="149">
        <v>99</v>
      </c>
      <c r="G315" s="61" t="s">
        <v>623</v>
      </c>
      <c r="H315" s="61" t="s">
        <v>624</v>
      </c>
      <c r="I315" s="61">
        <v>37.712569000000002</v>
      </c>
      <c r="J315" s="61">
        <v>-122.21974299999999</v>
      </c>
      <c r="K315" s="61">
        <v>60.952904539999999</v>
      </c>
      <c r="L315" s="61">
        <v>37.832000000000001</v>
      </c>
      <c r="M315" s="61" t="s">
        <v>617</v>
      </c>
      <c r="N315" s="149">
        <v>28</v>
      </c>
      <c r="O315" s="149">
        <v>29</v>
      </c>
      <c r="P315" s="61" t="s">
        <v>565</v>
      </c>
      <c r="Q315" s="61" t="s">
        <v>559</v>
      </c>
      <c r="R315" s="61">
        <v>47.450249900000003</v>
      </c>
      <c r="S315" s="61">
        <v>-122.30881650000001</v>
      </c>
      <c r="T315" s="61">
        <v>1269.7449999999999</v>
      </c>
      <c r="U315" s="61" t="s">
        <v>617</v>
      </c>
      <c r="V315" s="61" t="s">
        <v>569</v>
      </c>
      <c r="W315" s="61" cm="1">
        <f t="array" ref="W315">getDistance(I315,J315,R315,S315)*SA!$B$12</f>
        <v>1083.7067192187251</v>
      </c>
      <c r="Y315" s="137">
        <f>Transportation_LCIA!C$61*($W315^Transportation_LCIA!C$60)+Transportation_LCIA!C$62</f>
        <v>0.22745670793590661</v>
      </c>
      <c r="Z315" s="137">
        <f>Transportation_LCIA!D$61*($W315^Transportation_LCIA!D$60)+Transportation_LCIA!D$62</f>
        <v>2.3271050405397338</v>
      </c>
      <c r="AA315" s="137">
        <f>Transportation_LCIA!E$61*($W315^Transportation_LCIA!E$60)+Transportation_LCIA!E$62</f>
        <v>1.0796071266874865E-3</v>
      </c>
      <c r="AB315" s="137">
        <f>Transportation_LCIA!F$61*($W315^Transportation_LCIA!F$60)+Transportation_LCIA!F$62</f>
        <v>0.22745670793590661</v>
      </c>
      <c r="AC315" s="137">
        <f>Transportation_LCIA!G$61*($W315^Transportation_LCIA!G$60)+Transportation_LCIA!G$62</f>
        <v>5.4411330360243829E-2</v>
      </c>
      <c r="AD315" s="137">
        <f>Transportation_LCIA!H$61*($W315^Transportation_LCIA!H$60)+Transportation_LCIA!H$62</f>
        <v>2.6257910570795154E-4</v>
      </c>
      <c r="AE315" s="137">
        <f>Transportation_LCIA!I$61*($W315^Transportation_LCIA!I$60)+Transportation_LCIA!I$62</f>
        <v>5.5627834005164701E-6</v>
      </c>
      <c r="AF315" s="137">
        <f>Transportation_LCIA!J$61*($W315^Transportation_LCIA!J$60)+Transportation_LCIA!J$62</f>
        <v>8.2304885314531239E-3</v>
      </c>
      <c r="AG315" s="137">
        <f>Transportation_LCIA!K$61*($W315^Transportation_LCIA!K$60)+Transportation_LCIA!K$62</f>
        <v>1.1526128098589581E-2</v>
      </c>
      <c r="AH315" s="137">
        <f>Transportation_LCIA!L$61*($W315^Transportation_LCIA!L$60)+Transportation_LCIA!L$62</f>
        <v>2.2681720311816129E-4</v>
      </c>
      <c r="AI315" s="137">
        <f>Transportation_LCIA!M$61*($W315^Transportation_LCIA!M$60)+Transportation_LCIA!M$62</f>
        <v>2.3576226353069502E-4</v>
      </c>
      <c r="AJ315" s="137">
        <f>Transportation_LCIA!N$61*($W315^Transportation_LCIA!N$60)+Transportation_LCIA!N$62</f>
        <v>9.4204492933100935E-4</v>
      </c>
      <c r="AK315" s="137">
        <f>Transportation_LCIA!O$61*($W315^Transportation_LCIA!O$60)+Transportation_LCIA!O$62</f>
        <v>5.7483163787402971E-5</v>
      </c>
      <c r="AL315" s="137">
        <f>Transportation_LCIA!P$61*($W315^Transportation_LCIA!P$60)+Transportation_LCIA!P$62</f>
        <v>2.7806040623323073E-8</v>
      </c>
      <c r="AM315" s="137">
        <f>Transportation_LCIA!Q$61*($W315^Transportation_LCIA!Q$60)+Transportation_LCIA!Q$62</f>
        <v>8.9847671545088305E-5</v>
      </c>
      <c r="AN315" s="137">
        <f>Transportation_LCIA!R$61*($W315^Transportation_LCIA!R$60)+Transportation_LCIA!R$62</f>
        <v>2.6759576802836684E-4</v>
      </c>
      <c r="AO315" s="137">
        <f>Transportation_LCIA!S$61*($W315^Transportation_LCIA!S$60)+Transportation_LCIA!S$62</f>
        <v>4.0551779544391714E-6</v>
      </c>
      <c r="AP315" s="137">
        <f>Transportation_LCIA!T$61*($W315^Transportation_LCIA!T$60)+Transportation_LCIA!T$62</f>
        <v>4.0551779544391714E-6</v>
      </c>
      <c r="AQ315" s="137">
        <f>Transportation_LCIA!U$61*($W315^Transportation_LCIA!U$60)+Transportation_LCIA!U$62</f>
        <v>5.7355015024913001E-4</v>
      </c>
      <c r="AR315" s="137">
        <f>Transportation_LCIA!V$61*($W315^Transportation_LCIA!V$60)+Transportation_LCIA!V$62</f>
        <v>2.3366216352403273E-4</v>
      </c>
      <c r="AT315" s="137">
        <f>$W315*Y315+$L315*Summary_LCIA!H$32</f>
        <v>259.35167632151308</v>
      </c>
      <c r="AU315" s="137">
        <f>$W315*Z315+$L315*Summary_LCIA!Q$32</f>
        <v>2709.3966687419288</v>
      </c>
      <c r="AV315" s="137">
        <f>$W315*AA315+$L315*Summary_LCIA!R$32</f>
        <v>1.3691856765076504</v>
      </c>
      <c r="AW315" s="137">
        <f>$W315*AB315+$L315*Summary_LCIA!S$32</f>
        <v>259.18445888151308</v>
      </c>
      <c r="AX315" s="137">
        <f>$W315*AC315+$L315*Summary_LCIA!T$32</f>
        <v>63.123661113026053</v>
      </c>
      <c r="AY315" s="137">
        <f>$W315*AD315+$L315*Summary_LCIA!U$32</f>
        <v>0.962281189182151</v>
      </c>
      <c r="AZ315" s="137">
        <f>$W315*AE315+$L315*Summary_LCIA!V$32</f>
        <v>7.8353199006980859E-3</v>
      </c>
      <c r="BA315" s="137">
        <f>$W315*AF315+$L315*Summary_LCIA!W$32</f>
        <v>11.831402595988408</v>
      </c>
      <c r="BB315" s="137">
        <f>$W315*AG315+$L315*Summary_LCIA!X$32</f>
        <v>13.352755427017277</v>
      </c>
      <c r="BC315" s="137">
        <f>$W315*AH315+$L315*Summary_LCIA!Y$32</f>
        <v>0.83530155105354986</v>
      </c>
      <c r="BD315" s="137">
        <f>$W315*AI315+$L315*Summary_LCIA!Z$32</f>
        <v>0.25704860161442994</v>
      </c>
      <c r="BE315" s="137">
        <f>$W315*AJ315+$L315*Summary_LCIA!AA$32</f>
        <v>1.9045046117219437</v>
      </c>
      <c r="BF315" s="137">
        <f>$W315*AK315+$L315*Summary_LCIA!AB$32</f>
        <v>6.1469283102359093E-2</v>
      </c>
      <c r="BG315" s="137">
        <f>$W315*AL315+$L315*Summary_LCIA!AC$32</f>
        <v>3.1982972546364039E-5</v>
      </c>
      <c r="BH315" s="137">
        <f>$W315*AM315+$L315*Summary_LCIA!AD$32</f>
        <v>0.11291899063956924</v>
      </c>
      <c r="BI315" s="137">
        <f>$W315*AN315+$L315*Summary_LCIA!AE$32</f>
        <v>0.32351940200683643</v>
      </c>
      <c r="BJ315" s="137">
        <f>$W315*AO315+$L315*Summary_LCIA!AF$32</f>
        <v>3.6378553036853375E-2</v>
      </c>
      <c r="BK315" s="137">
        <f>$W315*AP315+$L315*Summary_LCIA!AG$32</f>
        <v>6.330297876853375E-3</v>
      </c>
      <c r="BL315" s="137">
        <f>$W315*AQ315+$L315*Summary_LCIA!AH$32</f>
        <v>0.95083474683389158</v>
      </c>
      <c r="BM315" s="137">
        <f>$W315*AR315+$L315*Summary_LCIA!AI$32</f>
        <v>0.28846365623817882</v>
      </c>
    </row>
    <row r="316" spans="1:65" x14ac:dyDescent="0.25">
      <c r="A316" s="149">
        <v>326</v>
      </c>
      <c r="B316" s="149">
        <v>29</v>
      </c>
      <c r="C316" s="61">
        <v>37.827178000000004</v>
      </c>
      <c r="D316" s="61">
        <v>-122.291308</v>
      </c>
      <c r="E316" s="61" t="s">
        <v>265</v>
      </c>
      <c r="F316" s="149">
        <v>99</v>
      </c>
      <c r="G316" s="61" t="s">
        <v>623</v>
      </c>
      <c r="H316" s="61" t="s">
        <v>624</v>
      </c>
      <c r="I316" s="61">
        <v>37.712569000000002</v>
      </c>
      <c r="J316" s="61">
        <v>-122.21974299999999</v>
      </c>
      <c r="K316" s="61">
        <v>31.383945929999999</v>
      </c>
      <c r="L316" s="61">
        <v>20.917000000000002</v>
      </c>
      <c r="M316" s="61" t="s">
        <v>617</v>
      </c>
      <c r="N316" s="149">
        <v>28</v>
      </c>
      <c r="O316" s="149">
        <v>29</v>
      </c>
      <c r="P316" s="61" t="s">
        <v>565</v>
      </c>
      <c r="Q316" s="61" t="s">
        <v>559</v>
      </c>
      <c r="R316" s="61">
        <v>47.450249900000003</v>
      </c>
      <c r="S316" s="61">
        <v>-122.30881650000001</v>
      </c>
      <c r="T316" s="61">
        <v>1271.547</v>
      </c>
      <c r="U316" s="61" t="s">
        <v>617</v>
      </c>
      <c r="V316" s="61" t="s">
        <v>569</v>
      </c>
      <c r="W316" s="61" cm="1">
        <f t="array" ref="W316">getDistance(I316,J316,R316,S316)*SA!$B$12</f>
        <v>1083.7067192187251</v>
      </c>
      <c r="Y316" s="137">
        <f>Transportation_LCIA!C$61*($W316^Transportation_LCIA!C$60)+Transportation_LCIA!C$62</f>
        <v>0.22745670793590661</v>
      </c>
      <c r="Z316" s="137">
        <f>Transportation_LCIA!D$61*($W316^Transportation_LCIA!D$60)+Transportation_LCIA!D$62</f>
        <v>2.3271050405397338</v>
      </c>
      <c r="AA316" s="137">
        <f>Transportation_LCIA!E$61*($W316^Transportation_LCIA!E$60)+Transportation_LCIA!E$62</f>
        <v>1.0796071266874865E-3</v>
      </c>
      <c r="AB316" s="137">
        <f>Transportation_LCIA!F$61*($W316^Transportation_LCIA!F$60)+Transportation_LCIA!F$62</f>
        <v>0.22745670793590661</v>
      </c>
      <c r="AC316" s="137">
        <f>Transportation_LCIA!G$61*($W316^Transportation_LCIA!G$60)+Transportation_LCIA!G$62</f>
        <v>5.4411330360243829E-2</v>
      </c>
      <c r="AD316" s="137">
        <f>Transportation_LCIA!H$61*($W316^Transportation_LCIA!H$60)+Transportation_LCIA!H$62</f>
        <v>2.6257910570795154E-4</v>
      </c>
      <c r="AE316" s="137">
        <f>Transportation_LCIA!I$61*($W316^Transportation_LCIA!I$60)+Transportation_LCIA!I$62</f>
        <v>5.5627834005164701E-6</v>
      </c>
      <c r="AF316" s="137">
        <f>Transportation_LCIA!J$61*($W316^Transportation_LCIA!J$60)+Transportation_LCIA!J$62</f>
        <v>8.2304885314531239E-3</v>
      </c>
      <c r="AG316" s="137">
        <f>Transportation_LCIA!K$61*($W316^Transportation_LCIA!K$60)+Transportation_LCIA!K$62</f>
        <v>1.1526128098589581E-2</v>
      </c>
      <c r="AH316" s="137">
        <f>Transportation_LCIA!L$61*($W316^Transportation_LCIA!L$60)+Transportation_LCIA!L$62</f>
        <v>2.2681720311816129E-4</v>
      </c>
      <c r="AI316" s="137">
        <f>Transportation_LCIA!M$61*($W316^Transportation_LCIA!M$60)+Transportation_LCIA!M$62</f>
        <v>2.3576226353069502E-4</v>
      </c>
      <c r="AJ316" s="137">
        <f>Transportation_LCIA!N$61*($W316^Transportation_LCIA!N$60)+Transportation_LCIA!N$62</f>
        <v>9.4204492933100935E-4</v>
      </c>
      <c r="AK316" s="137">
        <f>Transportation_LCIA!O$61*($W316^Transportation_LCIA!O$60)+Transportation_LCIA!O$62</f>
        <v>5.7483163787402971E-5</v>
      </c>
      <c r="AL316" s="137">
        <f>Transportation_LCIA!P$61*($W316^Transportation_LCIA!P$60)+Transportation_LCIA!P$62</f>
        <v>2.7806040623323073E-8</v>
      </c>
      <c r="AM316" s="137">
        <f>Transportation_LCIA!Q$61*($W316^Transportation_LCIA!Q$60)+Transportation_LCIA!Q$62</f>
        <v>8.9847671545088305E-5</v>
      </c>
      <c r="AN316" s="137">
        <f>Transportation_LCIA!R$61*($W316^Transportation_LCIA!R$60)+Transportation_LCIA!R$62</f>
        <v>2.6759576802836684E-4</v>
      </c>
      <c r="AO316" s="137">
        <f>Transportation_LCIA!S$61*($W316^Transportation_LCIA!S$60)+Transportation_LCIA!S$62</f>
        <v>4.0551779544391714E-6</v>
      </c>
      <c r="AP316" s="137">
        <f>Transportation_LCIA!T$61*($W316^Transportation_LCIA!T$60)+Transportation_LCIA!T$62</f>
        <v>4.0551779544391714E-6</v>
      </c>
      <c r="AQ316" s="137">
        <f>Transportation_LCIA!U$61*($W316^Transportation_LCIA!U$60)+Transportation_LCIA!U$62</f>
        <v>5.7355015024913001E-4</v>
      </c>
      <c r="AR316" s="137">
        <f>Transportation_LCIA!V$61*($W316^Transportation_LCIA!V$60)+Transportation_LCIA!V$62</f>
        <v>2.3366216352403273E-4</v>
      </c>
      <c r="AT316" s="137">
        <f>$W316*Y316+$L316*Summary_LCIA!H$32</f>
        <v>253.60395932151309</v>
      </c>
      <c r="AU316" s="137">
        <f>$W316*Z316+$L316*Summary_LCIA!Q$32</f>
        <v>2625.5650756677342</v>
      </c>
      <c r="AV316" s="137">
        <f>$W316*AA316+$L316*Summary_LCIA!R$32</f>
        <v>1.2801180525076505</v>
      </c>
      <c r="AW316" s="137">
        <f>$W316*AB316+$L316*Summary_LCIA!S$32</f>
        <v>253.51150618151308</v>
      </c>
      <c r="AX316" s="137">
        <f>$W316*AC316+$L316*Summary_LCIA!T$32</f>
        <v>61.264702613026053</v>
      </c>
      <c r="AY316" s="137">
        <f>$W316*AD316+$L316*Summary_LCIA!U$32</f>
        <v>0.65926587918215096</v>
      </c>
      <c r="AZ316" s="137">
        <f>$W316*AE316+$L316*Summary_LCIA!V$32</f>
        <v>7.0274425856980864E-3</v>
      </c>
      <c r="BA316" s="137">
        <f>$W316*AF316+$L316*Summary_LCIA!W$32</f>
        <v>10.529438130988407</v>
      </c>
      <c r="BB316" s="137">
        <f>$W316*AG316+$L316*Summary_LCIA!X$32</f>
        <v>12.967431727017276</v>
      </c>
      <c r="BC316" s="137">
        <f>$W316*AH316+$L316*Summary_LCIA!Y$32</f>
        <v>0.57173202105354981</v>
      </c>
      <c r="BD316" s="137">
        <f>$W316*AI316+$L316*Summary_LCIA!Z$32</f>
        <v>0.25635493437942997</v>
      </c>
      <c r="BE316" s="137">
        <f>$W316*AJ316+$L316*Summary_LCIA!AA$32</f>
        <v>1.5094378717219437</v>
      </c>
      <c r="BF316" s="137">
        <f>$W316*AK316+$L316*Summary_LCIA!AB$32</f>
        <v>6.1838419147359096E-2</v>
      </c>
      <c r="BG316" s="137">
        <f>$W316*AL316+$L316*Summary_LCIA!AC$32</f>
        <v>3.115609968636404E-5</v>
      </c>
      <c r="BH316" s="137">
        <f>$W316*AM316+$L316*Summary_LCIA!AD$32</f>
        <v>0.10596624903956925</v>
      </c>
      <c r="BI316" s="137">
        <f>$W316*AN316+$L316*Summary_LCIA!AE$32</f>
        <v>0.30853051305683643</v>
      </c>
      <c r="BJ316" s="137">
        <f>$W316*AO316+$L316*Summary_LCIA!AF$32</f>
        <v>2.2078273736853379E-2</v>
      </c>
      <c r="BK316" s="137">
        <f>$W316*AP316+$L316*Summary_LCIA!AG$32</f>
        <v>5.4648419018533748E-3</v>
      </c>
      <c r="BL316" s="137">
        <f>$W316*AQ316+$L316*Summary_LCIA!AH$32</f>
        <v>0.80361335283389157</v>
      </c>
      <c r="BM316" s="137">
        <f>$W316*AR316+$L316*Summary_LCIA!AI$32</f>
        <v>0.27270648798817881</v>
      </c>
    </row>
    <row r="317" spans="1:65" x14ac:dyDescent="0.25">
      <c r="A317" s="149">
        <v>327</v>
      </c>
      <c r="B317" s="149">
        <v>29</v>
      </c>
      <c r="C317" s="61">
        <v>37.827178000000004</v>
      </c>
      <c r="D317" s="61">
        <v>-122.291308</v>
      </c>
      <c r="E317" s="61" t="s">
        <v>265</v>
      </c>
      <c r="F317" s="149">
        <v>99</v>
      </c>
      <c r="G317" s="61" t="s">
        <v>623</v>
      </c>
      <c r="H317" s="61" t="s">
        <v>624</v>
      </c>
      <c r="I317" s="61">
        <v>37.712569000000002</v>
      </c>
      <c r="J317" s="61">
        <v>-122.21974299999999</v>
      </c>
      <c r="K317" s="61">
        <v>31.383945929999999</v>
      </c>
      <c r="L317" s="61">
        <v>20.917000000000002</v>
      </c>
      <c r="M317" s="61" t="s">
        <v>617</v>
      </c>
      <c r="N317" s="149">
        <v>28</v>
      </c>
      <c r="O317" s="149">
        <v>29</v>
      </c>
      <c r="P317" s="61" t="s">
        <v>565</v>
      </c>
      <c r="Q317" s="61" t="s">
        <v>559</v>
      </c>
      <c r="R317" s="61">
        <v>47.450249900000003</v>
      </c>
      <c r="S317" s="61">
        <v>-122.30881650000001</v>
      </c>
      <c r="T317" s="61">
        <v>1271.547</v>
      </c>
      <c r="U317" s="61" t="s">
        <v>617</v>
      </c>
      <c r="V317" s="61" t="s">
        <v>569</v>
      </c>
      <c r="W317" s="61" cm="1">
        <f t="array" ref="W317">getDistance(I317,J317,R317,S317)*SA!$B$12</f>
        <v>1083.7067192187251</v>
      </c>
      <c r="Y317" s="137">
        <f>Transportation_LCIA!C$61*($W317^Transportation_LCIA!C$60)+Transportation_LCIA!C$62</f>
        <v>0.22745670793590661</v>
      </c>
      <c r="Z317" s="137">
        <f>Transportation_LCIA!D$61*($W317^Transportation_LCIA!D$60)+Transportation_LCIA!D$62</f>
        <v>2.3271050405397338</v>
      </c>
      <c r="AA317" s="137">
        <f>Transportation_LCIA!E$61*($W317^Transportation_LCIA!E$60)+Transportation_LCIA!E$62</f>
        <v>1.0796071266874865E-3</v>
      </c>
      <c r="AB317" s="137">
        <f>Transportation_LCIA!F$61*($W317^Transportation_LCIA!F$60)+Transportation_LCIA!F$62</f>
        <v>0.22745670793590661</v>
      </c>
      <c r="AC317" s="137">
        <f>Transportation_LCIA!G$61*($W317^Transportation_LCIA!G$60)+Transportation_LCIA!G$62</f>
        <v>5.4411330360243829E-2</v>
      </c>
      <c r="AD317" s="137">
        <f>Transportation_LCIA!H$61*($W317^Transportation_LCIA!H$60)+Transportation_LCIA!H$62</f>
        <v>2.6257910570795154E-4</v>
      </c>
      <c r="AE317" s="137">
        <f>Transportation_LCIA!I$61*($W317^Transportation_LCIA!I$60)+Transportation_LCIA!I$62</f>
        <v>5.5627834005164701E-6</v>
      </c>
      <c r="AF317" s="137">
        <f>Transportation_LCIA!J$61*($W317^Transportation_LCIA!J$60)+Transportation_LCIA!J$62</f>
        <v>8.2304885314531239E-3</v>
      </c>
      <c r="AG317" s="137">
        <f>Transportation_LCIA!K$61*($W317^Transportation_LCIA!K$60)+Transportation_LCIA!K$62</f>
        <v>1.1526128098589581E-2</v>
      </c>
      <c r="AH317" s="137">
        <f>Transportation_LCIA!L$61*($W317^Transportation_LCIA!L$60)+Transportation_LCIA!L$62</f>
        <v>2.2681720311816129E-4</v>
      </c>
      <c r="AI317" s="137">
        <f>Transportation_LCIA!M$61*($W317^Transportation_LCIA!M$60)+Transportation_LCIA!M$62</f>
        <v>2.3576226353069502E-4</v>
      </c>
      <c r="AJ317" s="137">
        <f>Transportation_LCIA!N$61*($W317^Transportation_LCIA!N$60)+Transportation_LCIA!N$62</f>
        <v>9.4204492933100935E-4</v>
      </c>
      <c r="AK317" s="137">
        <f>Transportation_LCIA!O$61*($W317^Transportation_LCIA!O$60)+Transportation_LCIA!O$62</f>
        <v>5.7483163787402971E-5</v>
      </c>
      <c r="AL317" s="137">
        <f>Transportation_LCIA!P$61*($W317^Transportation_LCIA!P$60)+Transportation_LCIA!P$62</f>
        <v>2.7806040623323073E-8</v>
      </c>
      <c r="AM317" s="137">
        <f>Transportation_LCIA!Q$61*($W317^Transportation_LCIA!Q$60)+Transportation_LCIA!Q$62</f>
        <v>8.9847671545088305E-5</v>
      </c>
      <c r="AN317" s="137">
        <f>Transportation_LCIA!R$61*($W317^Transportation_LCIA!R$60)+Transportation_LCIA!R$62</f>
        <v>2.6759576802836684E-4</v>
      </c>
      <c r="AO317" s="137">
        <f>Transportation_LCIA!S$61*($W317^Transportation_LCIA!S$60)+Transportation_LCIA!S$62</f>
        <v>4.0551779544391714E-6</v>
      </c>
      <c r="AP317" s="137">
        <f>Transportation_LCIA!T$61*($W317^Transportation_LCIA!T$60)+Transportation_LCIA!T$62</f>
        <v>4.0551779544391714E-6</v>
      </c>
      <c r="AQ317" s="137">
        <f>Transportation_LCIA!U$61*($W317^Transportation_LCIA!U$60)+Transportation_LCIA!U$62</f>
        <v>5.7355015024913001E-4</v>
      </c>
      <c r="AR317" s="137">
        <f>Transportation_LCIA!V$61*($W317^Transportation_LCIA!V$60)+Transportation_LCIA!V$62</f>
        <v>2.3366216352403273E-4</v>
      </c>
      <c r="AT317" s="137">
        <f>$W317*Y317+$L317*Summary_LCIA!H$32</f>
        <v>253.60395932151309</v>
      </c>
      <c r="AU317" s="137">
        <f>$W317*Z317+$L317*Summary_LCIA!Q$32</f>
        <v>2625.5650756677342</v>
      </c>
      <c r="AV317" s="137">
        <f>$W317*AA317+$L317*Summary_LCIA!R$32</f>
        <v>1.2801180525076505</v>
      </c>
      <c r="AW317" s="137">
        <f>$W317*AB317+$L317*Summary_LCIA!S$32</f>
        <v>253.51150618151308</v>
      </c>
      <c r="AX317" s="137">
        <f>$W317*AC317+$L317*Summary_LCIA!T$32</f>
        <v>61.264702613026053</v>
      </c>
      <c r="AY317" s="137">
        <f>$W317*AD317+$L317*Summary_LCIA!U$32</f>
        <v>0.65926587918215096</v>
      </c>
      <c r="AZ317" s="137">
        <f>$W317*AE317+$L317*Summary_LCIA!V$32</f>
        <v>7.0274425856980864E-3</v>
      </c>
      <c r="BA317" s="137">
        <f>$W317*AF317+$L317*Summary_LCIA!W$32</f>
        <v>10.529438130988407</v>
      </c>
      <c r="BB317" s="137">
        <f>$W317*AG317+$L317*Summary_LCIA!X$32</f>
        <v>12.967431727017276</v>
      </c>
      <c r="BC317" s="137">
        <f>$W317*AH317+$L317*Summary_LCIA!Y$32</f>
        <v>0.57173202105354981</v>
      </c>
      <c r="BD317" s="137">
        <f>$W317*AI317+$L317*Summary_LCIA!Z$32</f>
        <v>0.25635493437942997</v>
      </c>
      <c r="BE317" s="137">
        <f>$W317*AJ317+$L317*Summary_LCIA!AA$32</f>
        <v>1.5094378717219437</v>
      </c>
      <c r="BF317" s="137">
        <f>$W317*AK317+$L317*Summary_LCIA!AB$32</f>
        <v>6.1838419147359096E-2</v>
      </c>
      <c r="BG317" s="137">
        <f>$W317*AL317+$L317*Summary_LCIA!AC$32</f>
        <v>3.115609968636404E-5</v>
      </c>
      <c r="BH317" s="137">
        <f>$W317*AM317+$L317*Summary_LCIA!AD$32</f>
        <v>0.10596624903956925</v>
      </c>
      <c r="BI317" s="137">
        <f>$W317*AN317+$L317*Summary_LCIA!AE$32</f>
        <v>0.30853051305683643</v>
      </c>
      <c r="BJ317" s="137">
        <f>$W317*AO317+$L317*Summary_LCIA!AF$32</f>
        <v>2.2078273736853379E-2</v>
      </c>
      <c r="BK317" s="137">
        <f>$W317*AP317+$L317*Summary_LCIA!AG$32</f>
        <v>5.4648419018533748E-3</v>
      </c>
      <c r="BL317" s="137">
        <f>$W317*AQ317+$L317*Summary_LCIA!AH$32</f>
        <v>0.80361335283389157</v>
      </c>
      <c r="BM317" s="137">
        <f>$W317*AR317+$L317*Summary_LCIA!AI$32</f>
        <v>0.27270648798817881</v>
      </c>
    </row>
    <row r="318" spans="1:65" x14ac:dyDescent="0.25">
      <c r="A318" s="149">
        <v>4</v>
      </c>
      <c r="B318" s="149">
        <v>29</v>
      </c>
      <c r="C318" s="61">
        <v>37.875985</v>
      </c>
      <c r="D318" s="61">
        <v>-122.25001399999999</v>
      </c>
      <c r="E318" s="61" t="s">
        <v>265</v>
      </c>
      <c r="F318" s="149">
        <v>99</v>
      </c>
      <c r="G318" s="61" t="s">
        <v>623</v>
      </c>
      <c r="H318" s="61" t="s">
        <v>624</v>
      </c>
      <c r="I318" s="61">
        <v>37.712569000000002</v>
      </c>
      <c r="J318" s="61">
        <v>-122.21974299999999</v>
      </c>
      <c r="K318" s="61">
        <v>39.814875569999998</v>
      </c>
      <c r="L318" s="61">
        <v>26.879000000000001</v>
      </c>
      <c r="M318" s="61" t="s">
        <v>617</v>
      </c>
      <c r="N318" s="149">
        <v>28</v>
      </c>
      <c r="O318" s="149">
        <v>29</v>
      </c>
      <c r="P318" s="61" t="s">
        <v>565</v>
      </c>
      <c r="Q318" s="61" t="s">
        <v>559</v>
      </c>
      <c r="R318" s="61">
        <v>47.450249900000003</v>
      </c>
      <c r="S318" s="61">
        <v>-122.30881650000001</v>
      </c>
      <c r="T318" s="61">
        <v>1272.7180000000001</v>
      </c>
      <c r="U318" s="61" t="s">
        <v>617</v>
      </c>
      <c r="V318" s="61" t="s">
        <v>569</v>
      </c>
      <c r="W318" s="61" cm="1">
        <f t="array" ref="W318">getDistance(I318,J318,R318,S318)*SA!$B$12</f>
        <v>1083.7067192187251</v>
      </c>
      <c r="Y318" s="137">
        <f>Transportation_LCIA!C$61*($W318^Transportation_LCIA!C$60)+Transportation_LCIA!C$62</f>
        <v>0.22745670793590661</v>
      </c>
      <c r="Z318" s="137">
        <f>Transportation_LCIA!D$61*($W318^Transportation_LCIA!D$60)+Transportation_LCIA!D$62</f>
        <v>2.3271050405397338</v>
      </c>
      <c r="AA318" s="137">
        <f>Transportation_LCIA!E$61*($W318^Transportation_LCIA!E$60)+Transportation_LCIA!E$62</f>
        <v>1.0796071266874865E-3</v>
      </c>
      <c r="AB318" s="137">
        <f>Transportation_LCIA!F$61*($W318^Transportation_LCIA!F$60)+Transportation_LCIA!F$62</f>
        <v>0.22745670793590661</v>
      </c>
      <c r="AC318" s="137">
        <f>Transportation_LCIA!G$61*($W318^Transportation_LCIA!G$60)+Transportation_LCIA!G$62</f>
        <v>5.4411330360243829E-2</v>
      </c>
      <c r="AD318" s="137">
        <f>Transportation_LCIA!H$61*($W318^Transportation_LCIA!H$60)+Transportation_LCIA!H$62</f>
        <v>2.6257910570795154E-4</v>
      </c>
      <c r="AE318" s="137">
        <f>Transportation_LCIA!I$61*($W318^Transportation_LCIA!I$60)+Transportation_LCIA!I$62</f>
        <v>5.5627834005164701E-6</v>
      </c>
      <c r="AF318" s="137">
        <f>Transportation_LCIA!J$61*($W318^Transportation_LCIA!J$60)+Transportation_LCIA!J$62</f>
        <v>8.2304885314531239E-3</v>
      </c>
      <c r="AG318" s="137">
        <f>Transportation_LCIA!K$61*($W318^Transportation_LCIA!K$60)+Transportation_LCIA!K$62</f>
        <v>1.1526128098589581E-2</v>
      </c>
      <c r="AH318" s="137">
        <f>Transportation_LCIA!L$61*($W318^Transportation_LCIA!L$60)+Transportation_LCIA!L$62</f>
        <v>2.2681720311816129E-4</v>
      </c>
      <c r="AI318" s="137">
        <f>Transportation_LCIA!M$61*($W318^Transportation_LCIA!M$60)+Transportation_LCIA!M$62</f>
        <v>2.3576226353069502E-4</v>
      </c>
      <c r="AJ318" s="137">
        <f>Transportation_LCIA!N$61*($W318^Transportation_LCIA!N$60)+Transportation_LCIA!N$62</f>
        <v>9.4204492933100935E-4</v>
      </c>
      <c r="AK318" s="137">
        <f>Transportation_LCIA!O$61*($W318^Transportation_LCIA!O$60)+Transportation_LCIA!O$62</f>
        <v>5.7483163787402971E-5</v>
      </c>
      <c r="AL318" s="137">
        <f>Transportation_LCIA!P$61*($W318^Transportation_LCIA!P$60)+Transportation_LCIA!P$62</f>
        <v>2.7806040623323073E-8</v>
      </c>
      <c r="AM318" s="137">
        <f>Transportation_LCIA!Q$61*($W318^Transportation_LCIA!Q$60)+Transportation_LCIA!Q$62</f>
        <v>8.9847671545088305E-5</v>
      </c>
      <c r="AN318" s="137">
        <f>Transportation_LCIA!R$61*($W318^Transportation_LCIA!R$60)+Transportation_LCIA!R$62</f>
        <v>2.6759576802836684E-4</v>
      </c>
      <c r="AO318" s="137">
        <f>Transportation_LCIA!S$61*($W318^Transportation_LCIA!S$60)+Transportation_LCIA!S$62</f>
        <v>4.0551779544391714E-6</v>
      </c>
      <c r="AP318" s="137">
        <f>Transportation_LCIA!T$61*($W318^Transportation_LCIA!T$60)+Transportation_LCIA!T$62</f>
        <v>4.0551779544391714E-6</v>
      </c>
      <c r="AQ318" s="137">
        <f>Transportation_LCIA!U$61*($W318^Transportation_LCIA!U$60)+Transportation_LCIA!U$62</f>
        <v>5.7355015024913001E-4</v>
      </c>
      <c r="AR318" s="137">
        <f>Transportation_LCIA!V$61*($W318^Transportation_LCIA!V$60)+Transportation_LCIA!V$62</f>
        <v>2.3366216352403273E-4</v>
      </c>
      <c r="AT318" s="137">
        <f>$W318*Y318+$L318*Summary_LCIA!H$32</f>
        <v>255.62984692151309</v>
      </c>
      <c r="AU318" s="137">
        <f>$W318*Z318+$L318*Summary_LCIA!Q$32</f>
        <v>2655.1130483492802</v>
      </c>
      <c r="AV318" s="137">
        <f>$W318*AA318+$L318*Summary_LCIA!R$32</f>
        <v>1.3115115597076503</v>
      </c>
      <c r="AW318" s="137">
        <f>$W318*AB318+$L318*Summary_LCIA!S$32</f>
        <v>255.51104174151308</v>
      </c>
      <c r="AX318" s="137">
        <f>$W318*AC318+$L318*Summary_LCIA!T$32</f>
        <v>61.919926413026047</v>
      </c>
      <c r="AY318" s="137">
        <f>$W318*AD318+$L318*Summary_LCIA!U$32</f>
        <v>0.76606914718215102</v>
      </c>
      <c r="AZ318" s="137">
        <f>$W318*AE318+$L318*Summary_LCIA!V$32</f>
        <v>7.3121936676980867E-3</v>
      </c>
      <c r="BA318" s="137">
        <f>$W318*AF318+$L318*Summary_LCIA!W$32</f>
        <v>10.988339232988407</v>
      </c>
      <c r="BB318" s="137">
        <f>$W318*AG318+$L318*Summary_LCIA!X$32</f>
        <v>13.103246087017277</v>
      </c>
      <c r="BC318" s="137">
        <f>$W318*AH318+$L318*Summary_LCIA!Y$32</f>
        <v>0.66463190505354974</v>
      </c>
      <c r="BD318" s="137">
        <f>$W318*AI318+$L318*Summary_LCIA!Z$32</f>
        <v>0.25659943003742997</v>
      </c>
      <c r="BE318" s="137">
        <f>$W318*AJ318+$L318*Summary_LCIA!AA$32</f>
        <v>1.6486863437219439</v>
      </c>
      <c r="BF318" s="137">
        <f>$W318*AK318+$L318*Summary_LCIA!AB$32</f>
        <v>6.1708310421359096E-2</v>
      </c>
      <c r="BG318" s="137">
        <f>$W318*AL318+$L318*Summary_LCIA!AC$32</f>
        <v>3.1447546094364037E-5</v>
      </c>
      <c r="BH318" s="137">
        <f>$W318*AM318+$L318*Summary_LCIA!AD$32</f>
        <v>0.10841686951956925</v>
      </c>
      <c r="BI318" s="137">
        <f>$W318*AN318+$L318*Summary_LCIA!AE$32</f>
        <v>0.31381362011683644</v>
      </c>
      <c r="BJ318" s="137">
        <f>$W318*AO318+$L318*Summary_LCIA!AF$32</f>
        <v>2.7118667776853379E-2</v>
      </c>
      <c r="BK318" s="137">
        <f>$W318*AP318+$L318*Summary_LCIA!AG$32</f>
        <v>5.7698876318533748E-3</v>
      </c>
      <c r="BL318" s="137">
        <f>$W318*AQ318+$L318*Summary_LCIA!AH$32</f>
        <v>0.8555042160338916</v>
      </c>
      <c r="BM318" s="137">
        <f>$W318*AR318+$L318*Summary_LCIA!AI$32</f>
        <v>0.27826038908817879</v>
      </c>
    </row>
    <row r="319" spans="1:65" x14ac:dyDescent="0.25">
      <c r="A319" s="149">
        <v>5</v>
      </c>
      <c r="B319" s="149">
        <v>29</v>
      </c>
      <c r="C319" s="61">
        <v>37.875985</v>
      </c>
      <c r="D319" s="61">
        <v>-122.25001399999999</v>
      </c>
      <c r="E319" s="61" t="s">
        <v>265</v>
      </c>
      <c r="F319" s="149">
        <v>99</v>
      </c>
      <c r="G319" s="61" t="s">
        <v>623</v>
      </c>
      <c r="H319" s="61" t="s">
        <v>624</v>
      </c>
      <c r="I319" s="61">
        <v>37.712569000000002</v>
      </c>
      <c r="J319" s="61">
        <v>-122.21974299999999</v>
      </c>
      <c r="K319" s="61">
        <v>39.814875569999998</v>
      </c>
      <c r="L319" s="61">
        <v>26.879000000000001</v>
      </c>
      <c r="M319" s="61" t="s">
        <v>617</v>
      </c>
      <c r="N319" s="149">
        <v>28</v>
      </c>
      <c r="O319" s="149">
        <v>29</v>
      </c>
      <c r="P319" s="61" t="s">
        <v>565</v>
      </c>
      <c r="Q319" s="61" t="s">
        <v>559</v>
      </c>
      <c r="R319" s="61">
        <v>47.450249900000003</v>
      </c>
      <c r="S319" s="61">
        <v>-122.30881650000001</v>
      </c>
      <c r="T319" s="61">
        <v>1272.7180000000001</v>
      </c>
      <c r="U319" s="61" t="s">
        <v>617</v>
      </c>
      <c r="V319" s="61" t="s">
        <v>569</v>
      </c>
      <c r="W319" s="61" cm="1">
        <f t="array" ref="W319">getDistance(I319,J319,R319,S319)*SA!$B$12</f>
        <v>1083.7067192187251</v>
      </c>
      <c r="Y319" s="137">
        <f>Transportation_LCIA!C$61*($W319^Transportation_LCIA!C$60)+Transportation_LCIA!C$62</f>
        <v>0.22745670793590661</v>
      </c>
      <c r="Z319" s="137">
        <f>Transportation_LCIA!D$61*($W319^Transportation_LCIA!D$60)+Transportation_LCIA!D$62</f>
        <v>2.3271050405397338</v>
      </c>
      <c r="AA319" s="137">
        <f>Transportation_LCIA!E$61*($W319^Transportation_LCIA!E$60)+Transportation_LCIA!E$62</f>
        <v>1.0796071266874865E-3</v>
      </c>
      <c r="AB319" s="137">
        <f>Transportation_LCIA!F$61*($W319^Transportation_LCIA!F$60)+Transportation_LCIA!F$62</f>
        <v>0.22745670793590661</v>
      </c>
      <c r="AC319" s="137">
        <f>Transportation_LCIA!G$61*($W319^Transportation_LCIA!G$60)+Transportation_LCIA!G$62</f>
        <v>5.4411330360243829E-2</v>
      </c>
      <c r="AD319" s="137">
        <f>Transportation_LCIA!H$61*($W319^Transportation_LCIA!H$60)+Transportation_LCIA!H$62</f>
        <v>2.6257910570795154E-4</v>
      </c>
      <c r="AE319" s="137">
        <f>Transportation_LCIA!I$61*($W319^Transportation_LCIA!I$60)+Transportation_LCIA!I$62</f>
        <v>5.5627834005164701E-6</v>
      </c>
      <c r="AF319" s="137">
        <f>Transportation_LCIA!J$61*($W319^Transportation_LCIA!J$60)+Transportation_LCIA!J$62</f>
        <v>8.2304885314531239E-3</v>
      </c>
      <c r="AG319" s="137">
        <f>Transportation_LCIA!K$61*($W319^Transportation_LCIA!K$60)+Transportation_LCIA!K$62</f>
        <v>1.1526128098589581E-2</v>
      </c>
      <c r="AH319" s="137">
        <f>Transportation_LCIA!L$61*($W319^Transportation_LCIA!L$60)+Transportation_LCIA!L$62</f>
        <v>2.2681720311816129E-4</v>
      </c>
      <c r="AI319" s="137">
        <f>Transportation_LCIA!M$61*($W319^Transportation_LCIA!M$60)+Transportation_LCIA!M$62</f>
        <v>2.3576226353069502E-4</v>
      </c>
      <c r="AJ319" s="137">
        <f>Transportation_LCIA!N$61*($W319^Transportation_LCIA!N$60)+Transportation_LCIA!N$62</f>
        <v>9.4204492933100935E-4</v>
      </c>
      <c r="AK319" s="137">
        <f>Transportation_LCIA!O$61*($W319^Transportation_LCIA!O$60)+Transportation_LCIA!O$62</f>
        <v>5.7483163787402971E-5</v>
      </c>
      <c r="AL319" s="137">
        <f>Transportation_LCIA!P$61*($W319^Transportation_LCIA!P$60)+Transportation_LCIA!P$62</f>
        <v>2.7806040623323073E-8</v>
      </c>
      <c r="AM319" s="137">
        <f>Transportation_LCIA!Q$61*($W319^Transportation_LCIA!Q$60)+Transportation_LCIA!Q$62</f>
        <v>8.9847671545088305E-5</v>
      </c>
      <c r="AN319" s="137">
        <f>Transportation_LCIA!R$61*($W319^Transportation_LCIA!R$60)+Transportation_LCIA!R$62</f>
        <v>2.6759576802836684E-4</v>
      </c>
      <c r="AO319" s="137">
        <f>Transportation_LCIA!S$61*($W319^Transportation_LCIA!S$60)+Transportation_LCIA!S$62</f>
        <v>4.0551779544391714E-6</v>
      </c>
      <c r="AP319" s="137">
        <f>Transportation_LCIA!T$61*($W319^Transportation_LCIA!T$60)+Transportation_LCIA!T$62</f>
        <v>4.0551779544391714E-6</v>
      </c>
      <c r="AQ319" s="137">
        <f>Transportation_LCIA!U$61*($W319^Transportation_LCIA!U$60)+Transportation_LCIA!U$62</f>
        <v>5.7355015024913001E-4</v>
      </c>
      <c r="AR319" s="137">
        <f>Transportation_LCIA!V$61*($W319^Transportation_LCIA!V$60)+Transportation_LCIA!V$62</f>
        <v>2.3366216352403273E-4</v>
      </c>
      <c r="AT319" s="137">
        <f>$W319*Y319+$L319*Summary_LCIA!H$32</f>
        <v>255.62984692151309</v>
      </c>
      <c r="AU319" s="137">
        <f>$W319*Z319+$L319*Summary_LCIA!Q$32</f>
        <v>2655.1130483492802</v>
      </c>
      <c r="AV319" s="137">
        <f>$W319*AA319+$L319*Summary_LCIA!R$32</f>
        <v>1.3115115597076503</v>
      </c>
      <c r="AW319" s="137">
        <f>$W319*AB319+$L319*Summary_LCIA!S$32</f>
        <v>255.51104174151308</v>
      </c>
      <c r="AX319" s="137">
        <f>$W319*AC319+$L319*Summary_LCIA!T$32</f>
        <v>61.919926413026047</v>
      </c>
      <c r="AY319" s="137">
        <f>$W319*AD319+$L319*Summary_LCIA!U$32</f>
        <v>0.76606914718215102</v>
      </c>
      <c r="AZ319" s="137">
        <f>$W319*AE319+$L319*Summary_LCIA!V$32</f>
        <v>7.3121936676980867E-3</v>
      </c>
      <c r="BA319" s="137">
        <f>$W319*AF319+$L319*Summary_LCIA!W$32</f>
        <v>10.988339232988407</v>
      </c>
      <c r="BB319" s="137">
        <f>$W319*AG319+$L319*Summary_LCIA!X$32</f>
        <v>13.103246087017277</v>
      </c>
      <c r="BC319" s="137">
        <f>$W319*AH319+$L319*Summary_LCIA!Y$32</f>
        <v>0.66463190505354974</v>
      </c>
      <c r="BD319" s="137">
        <f>$W319*AI319+$L319*Summary_LCIA!Z$32</f>
        <v>0.25659943003742997</v>
      </c>
      <c r="BE319" s="137">
        <f>$W319*AJ319+$L319*Summary_LCIA!AA$32</f>
        <v>1.6486863437219439</v>
      </c>
      <c r="BF319" s="137">
        <f>$W319*AK319+$L319*Summary_LCIA!AB$32</f>
        <v>6.1708310421359096E-2</v>
      </c>
      <c r="BG319" s="137">
        <f>$W319*AL319+$L319*Summary_LCIA!AC$32</f>
        <v>3.1447546094364037E-5</v>
      </c>
      <c r="BH319" s="137">
        <f>$W319*AM319+$L319*Summary_LCIA!AD$32</f>
        <v>0.10841686951956925</v>
      </c>
      <c r="BI319" s="137">
        <f>$W319*AN319+$L319*Summary_LCIA!AE$32</f>
        <v>0.31381362011683644</v>
      </c>
      <c r="BJ319" s="137">
        <f>$W319*AO319+$L319*Summary_LCIA!AF$32</f>
        <v>2.7118667776853379E-2</v>
      </c>
      <c r="BK319" s="137">
        <f>$W319*AP319+$L319*Summary_LCIA!AG$32</f>
        <v>5.7698876318533748E-3</v>
      </c>
      <c r="BL319" s="137">
        <f>$W319*AQ319+$L319*Summary_LCIA!AH$32</f>
        <v>0.8555042160338916</v>
      </c>
      <c r="BM319" s="137">
        <f>$W319*AR319+$L319*Summary_LCIA!AI$32</f>
        <v>0.27826038908817879</v>
      </c>
    </row>
    <row r="320" spans="1:65" x14ac:dyDescent="0.25">
      <c r="A320" s="149">
        <v>6</v>
      </c>
      <c r="B320" s="149">
        <v>29</v>
      </c>
      <c r="C320" s="61">
        <v>37.875985</v>
      </c>
      <c r="D320" s="61">
        <v>-122.25001399999999</v>
      </c>
      <c r="E320" s="61" t="s">
        <v>265</v>
      </c>
      <c r="F320" s="149">
        <v>99</v>
      </c>
      <c r="G320" s="61" t="s">
        <v>623</v>
      </c>
      <c r="H320" s="61" t="s">
        <v>624</v>
      </c>
      <c r="I320" s="61">
        <v>37.712569000000002</v>
      </c>
      <c r="J320" s="61">
        <v>-122.21974299999999</v>
      </c>
      <c r="K320" s="61">
        <v>39.814875569999998</v>
      </c>
      <c r="L320" s="61">
        <v>26.879000000000001</v>
      </c>
      <c r="M320" s="61" t="s">
        <v>617</v>
      </c>
      <c r="N320" s="149">
        <v>28</v>
      </c>
      <c r="O320" s="149">
        <v>29</v>
      </c>
      <c r="P320" s="61" t="s">
        <v>565</v>
      </c>
      <c r="Q320" s="61" t="s">
        <v>559</v>
      </c>
      <c r="R320" s="61">
        <v>47.450249900000003</v>
      </c>
      <c r="S320" s="61">
        <v>-122.30881650000001</v>
      </c>
      <c r="T320" s="61">
        <v>1272.7180000000001</v>
      </c>
      <c r="U320" s="61" t="s">
        <v>617</v>
      </c>
      <c r="V320" s="61" t="s">
        <v>569</v>
      </c>
      <c r="W320" s="61" cm="1">
        <f t="array" ref="W320">getDistance(I320,J320,R320,S320)*SA!$B$12</f>
        <v>1083.7067192187251</v>
      </c>
      <c r="Y320" s="137">
        <f>Transportation_LCIA!C$61*($W320^Transportation_LCIA!C$60)+Transportation_LCIA!C$62</f>
        <v>0.22745670793590661</v>
      </c>
      <c r="Z320" s="137">
        <f>Transportation_LCIA!D$61*($W320^Transportation_LCIA!D$60)+Transportation_LCIA!D$62</f>
        <v>2.3271050405397338</v>
      </c>
      <c r="AA320" s="137">
        <f>Transportation_LCIA!E$61*($W320^Transportation_LCIA!E$60)+Transportation_LCIA!E$62</f>
        <v>1.0796071266874865E-3</v>
      </c>
      <c r="AB320" s="137">
        <f>Transportation_LCIA!F$61*($W320^Transportation_LCIA!F$60)+Transportation_LCIA!F$62</f>
        <v>0.22745670793590661</v>
      </c>
      <c r="AC320" s="137">
        <f>Transportation_LCIA!G$61*($W320^Transportation_LCIA!G$60)+Transportation_LCIA!G$62</f>
        <v>5.4411330360243829E-2</v>
      </c>
      <c r="AD320" s="137">
        <f>Transportation_LCIA!H$61*($W320^Transportation_LCIA!H$60)+Transportation_LCIA!H$62</f>
        <v>2.6257910570795154E-4</v>
      </c>
      <c r="AE320" s="137">
        <f>Transportation_LCIA!I$61*($W320^Transportation_LCIA!I$60)+Transportation_LCIA!I$62</f>
        <v>5.5627834005164701E-6</v>
      </c>
      <c r="AF320" s="137">
        <f>Transportation_LCIA!J$61*($W320^Transportation_LCIA!J$60)+Transportation_LCIA!J$62</f>
        <v>8.2304885314531239E-3</v>
      </c>
      <c r="AG320" s="137">
        <f>Transportation_LCIA!K$61*($W320^Transportation_LCIA!K$60)+Transportation_LCIA!K$62</f>
        <v>1.1526128098589581E-2</v>
      </c>
      <c r="AH320" s="137">
        <f>Transportation_LCIA!L$61*($W320^Transportation_LCIA!L$60)+Transportation_LCIA!L$62</f>
        <v>2.2681720311816129E-4</v>
      </c>
      <c r="AI320" s="137">
        <f>Transportation_LCIA!M$61*($W320^Transportation_LCIA!M$60)+Transportation_LCIA!M$62</f>
        <v>2.3576226353069502E-4</v>
      </c>
      <c r="AJ320" s="137">
        <f>Transportation_LCIA!N$61*($W320^Transportation_LCIA!N$60)+Transportation_LCIA!N$62</f>
        <v>9.4204492933100935E-4</v>
      </c>
      <c r="AK320" s="137">
        <f>Transportation_LCIA!O$61*($W320^Transportation_LCIA!O$60)+Transportation_LCIA!O$62</f>
        <v>5.7483163787402971E-5</v>
      </c>
      <c r="AL320" s="137">
        <f>Transportation_LCIA!P$61*($W320^Transportation_LCIA!P$60)+Transportation_LCIA!P$62</f>
        <v>2.7806040623323073E-8</v>
      </c>
      <c r="AM320" s="137">
        <f>Transportation_LCIA!Q$61*($W320^Transportation_LCIA!Q$60)+Transportation_LCIA!Q$62</f>
        <v>8.9847671545088305E-5</v>
      </c>
      <c r="AN320" s="137">
        <f>Transportation_LCIA!R$61*($W320^Transportation_LCIA!R$60)+Transportation_LCIA!R$62</f>
        <v>2.6759576802836684E-4</v>
      </c>
      <c r="AO320" s="137">
        <f>Transportation_LCIA!S$61*($W320^Transportation_LCIA!S$60)+Transportation_LCIA!S$62</f>
        <v>4.0551779544391714E-6</v>
      </c>
      <c r="AP320" s="137">
        <f>Transportation_LCIA!T$61*($W320^Transportation_LCIA!T$60)+Transportation_LCIA!T$62</f>
        <v>4.0551779544391714E-6</v>
      </c>
      <c r="AQ320" s="137">
        <f>Transportation_LCIA!U$61*($W320^Transportation_LCIA!U$60)+Transportation_LCIA!U$62</f>
        <v>5.7355015024913001E-4</v>
      </c>
      <c r="AR320" s="137">
        <f>Transportation_LCIA!V$61*($W320^Transportation_LCIA!V$60)+Transportation_LCIA!V$62</f>
        <v>2.3366216352403273E-4</v>
      </c>
      <c r="AT320" s="137">
        <f>$W320*Y320+$L320*Summary_LCIA!H$32</f>
        <v>255.62984692151309</v>
      </c>
      <c r="AU320" s="137">
        <f>$W320*Z320+$L320*Summary_LCIA!Q$32</f>
        <v>2655.1130483492802</v>
      </c>
      <c r="AV320" s="137">
        <f>$W320*AA320+$L320*Summary_LCIA!R$32</f>
        <v>1.3115115597076503</v>
      </c>
      <c r="AW320" s="137">
        <f>$W320*AB320+$L320*Summary_LCIA!S$32</f>
        <v>255.51104174151308</v>
      </c>
      <c r="AX320" s="137">
        <f>$W320*AC320+$L320*Summary_LCIA!T$32</f>
        <v>61.919926413026047</v>
      </c>
      <c r="AY320" s="137">
        <f>$W320*AD320+$L320*Summary_LCIA!U$32</f>
        <v>0.76606914718215102</v>
      </c>
      <c r="AZ320" s="137">
        <f>$W320*AE320+$L320*Summary_LCIA!V$32</f>
        <v>7.3121936676980867E-3</v>
      </c>
      <c r="BA320" s="137">
        <f>$W320*AF320+$L320*Summary_LCIA!W$32</f>
        <v>10.988339232988407</v>
      </c>
      <c r="BB320" s="137">
        <f>$W320*AG320+$L320*Summary_LCIA!X$32</f>
        <v>13.103246087017277</v>
      </c>
      <c r="BC320" s="137">
        <f>$W320*AH320+$L320*Summary_LCIA!Y$32</f>
        <v>0.66463190505354974</v>
      </c>
      <c r="BD320" s="137">
        <f>$W320*AI320+$L320*Summary_LCIA!Z$32</f>
        <v>0.25659943003742997</v>
      </c>
      <c r="BE320" s="137">
        <f>$W320*AJ320+$L320*Summary_LCIA!AA$32</f>
        <v>1.6486863437219439</v>
      </c>
      <c r="BF320" s="137">
        <f>$W320*AK320+$L320*Summary_LCIA!AB$32</f>
        <v>6.1708310421359096E-2</v>
      </c>
      <c r="BG320" s="137">
        <f>$W320*AL320+$L320*Summary_LCIA!AC$32</f>
        <v>3.1447546094364037E-5</v>
      </c>
      <c r="BH320" s="137">
        <f>$W320*AM320+$L320*Summary_LCIA!AD$32</f>
        <v>0.10841686951956925</v>
      </c>
      <c r="BI320" s="137">
        <f>$W320*AN320+$L320*Summary_LCIA!AE$32</f>
        <v>0.31381362011683644</v>
      </c>
      <c r="BJ320" s="137">
        <f>$W320*AO320+$L320*Summary_LCIA!AF$32</f>
        <v>2.7118667776853379E-2</v>
      </c>
      <c r="BK320" s="137">
        <f>$W320*AP320+$L320*Summary_LCIA!AG$32</f>
        <v>5.7698876318533748E-3</v>
      </c>
      <c r="BL320" s="137">
        <f>$W320*AQ320+$L320*Summary_LCIA!AH$32</f>
        <v>0.8555042160338916</v>
      </c>
      <c r="BM320" s="137">
        <f>$W320*AR320+$L320*Summary_LCIA!AI$32</f>
        <v>0.27826038908817879</v>
      </c>
    </row>
    <row r="321" spans="1:65" x14ac:dyDescent="0.25">
      <c r="A321" s="149">
        <v>7</v>
      </c>
      <c r="B321" s="149">
        <v>29</v>
      </c>
      <c r="C321" s="61">
        <v>37.875985</v>
      </c>
      <c r="D321" s="61">
        <v>-122.25001399999999</v>
      </c>
      <c r="E321" s="61" t="s">
        <v>265</v>
      </c>
      <c r="F321" s="149">
        <v>99</v>
      </c>
      <c r="G321" s="61" t="s">
        <v>623</v>
      </c>
      <c r="H321" s="61" t="s">
        <v>624</v>
      </c>
      <c r="I321" s="61">
        <v>37.712569000000002</v>
      </c>
      <c r="J321" s="61">
        <v>-122.21974299999999</v>
      </c>
      <c r="K321" s="61">
        <v>39.814875569999998</v>
      </c>
      <c r="L321" s="61">
        <v>26.879000000000001</v>
      </c>
      <c r="M321" s="61" t="s">
        <v>617</v>
      </c>
      <c r="N321" s="149">
        <v>28</v>
      </c>
      <c r="O321" s="149">
        <v>29</v>
      </c>
      <c r="P321" s="61" t="s">
        <v>565</v>
      </c>
      <c r="Q321" s="61" t="s">
        <v>559</v>
      </c>
      <c r="R321" s="61">
        <v>47.450249900000003</v>
      </c>
      <c r="S321" s="61">
        <v>-122.30881650000001</v>
      </c>
      <c r="T321" s="61">
        <v>1272.7180000000001</v>
      </c>
      <c r="U321" s="61" t="s">
        <v>617</v>
      </c>
      <c r="V321" s="61" t="s">
        <v>569</v>
      </c>
      <c r="W321" s="61" cm="1">
        <f t="array" ref="W321">getDistance(I321,J321,R321,S321)*SA!$B$12</f>
        <v>1083.7067192187251</v>
      </c>
      <c r="Y321" s="137">
        <f>Transportation_LCIA!C$61*($W321^Transportation_LCIA!C$60)+Transportation_LCIA!C$62</f>
        <v>0.22745670793590661</v>
      </c>
      <c r="Z321" s="137">
        <f>Transportation_LCIA!D$61*($W321^Transportation_LCIA!D$60)+Transportation_LCIA!D$62</f>
        <v>2.3271050405397338</v>
      </c>
      <c r="AA321" s="137">
        <f>Transportation_LCIA!E$61*($W321^Transportation_LCIA!E$60)+Transportation_LCIA!E$62</f>
        <v>1.0796071266874865E-3</v>
      </c>
      <c r="AB321" s="137">
        <f>Transportation_LCIA!F$61*($W321^Transportation_LCIA!F$60)+Transportation_LCIA!F$62</f>
        <v>0.22745670793590661</v>
      </c>
      <c r="AC321" s="137">
        <f>Transportation_LCIA!G$61*($W321^Transportation_LCIA!G$60)+Transportation_LCIA!G$62</f>
        <v>5.4411330360243829E-2</v>
      </c>
      <c r="AD321" s="137">
        <f>Transportation_LCIA!H$61*($W321^Transportation_LCIA!H$60)+Transportation_LCIA!H$62</f>
        <v>2.6257910570795154E-4</v>
      </c>
      <c r="AE321" s="137">
        <f>Transportation_LCIA!I$61*($W321^Transportation_LCIA!I$60)+Transportation_LCIA!I$62</f>
        <v>5.5627834005164701E-6</v>
      </c>
      <c r="AF321" s="137">
        <f>Transportation_LCIA!J$61*($W321^Transportation_LCIA!J$60)+Transportation_LCIA!J$62</f>
        <v>8.2304885314531239E-3</v>
      </c>
      <c r="AG321" s="137">
        <f>Transportation_LCIA!K$61*($W321^Transportation_LCIA!K$60)+Transportation_LCIA!K$62</f>
        <v>1.1526128098589581E-2</v>
      </c>
      <c r="AH321" s="137">
        <f>Transportation_LCIA!L$61*($W321^Transportation_LCIA!L$60)+Transportation_LCIA!L$62</f>
        <v>2.2681720311816129E-4</v>
      </c>
      <c r="AI321" s="137">
        <f>Transportation_LCIA!M$61*($W321^Transportation_LCIA!M$60)+Transportation_LCIA!M$62</f>
        <v>2.3576226353069502E-4</v>
      </c>
      <c r="AJ321" s="137">
        <f>Transportation_LCIA!N$61*($W321^Transportation_LCIA!N$60)+Transportation_LCIA!N$62</f>
        <v>9.4204492933100935E-4</v>
      </c>
      <c r="AK321" s="137">
        <f>Transportation_LCIA!O$61*($W321^Transportation_LCIA!O$60)+Transportation_LCIA!O$62</f>
        <v>5.7483163787402971E-5</v>
      </c>
      <c r="AL321" s="137">
        <f>Transportation_LCIA!P$61*($W321^Transportation_LCIA!P$60)+Transportation_LCIA!P$62</f>
        <v>2.7806040623323073E-8</v>
      </c>
      <c r="AM321" s="137">
        <f>Transportation_LCIA!Q$61*($W321^Transportation_LCIA!Q$60)+Transportation_LCIA!Q$62</f>
        <v>8.9847671545088305E-5</v>
      </c>
      <c r="AN321" s="137">
        <f>Transportation_LCIA!R$61*($W321^Transportation_LCIA!R$60)+Transportation_LCIA!R$62</f>
        <v>2.6759576802836684E-4</v>
      </c>
      <c r="AO321" s="137">
        <f>Transportation_LCIA!S$61*($W321^Transportation_LCIA!S$60)+Transportation_LCIA!S$62</f>
        <v>4.0551779544391714E-6</v>
      </c>
      <c r="AP321" s="137">
        <f>Transportation_LCIA!T$61*($W321^Transportation_LCIA!T$60)+Transportation_LCIA!T$62</f>
        <v>4.0551779544391714E-6</v>
      </c>
      <c r="AQ321" s="137">
        <f>Transportation_LCIA!U$61*($W321^Transportation_LCIA!U$60)+Transportation_LCIA!U$62</f>
        <v>5.7355015024913001E-4</v>
      </c>
      <c r="AR321" s="137">
        <f>Transportation_LCIA!V$61*($W321^Transportation_LCIA!V$60)+Transportation_LCIA!V$62</f>
        <v>2.3366216352403273E-4</v>
      </c>
      <c r="AT321" s="137">
        <f>$W321*Y321+$L321*Summary_LCIA!H$32</f>
        <v>255.62984692151309</v>
      </c>
      <c r="AU321" s="137">
        <f>$W321*Z321+$L321*Summary_LCIA!Q$32</f>
        <v>2655.1130483492802</v>
      </c>
      <c r="AV321" s="137">
        <f>$W321*AA321+$L321*Summary_LCIA!R$32</f>
        <v>1.3115115597076503</v>
      </c>
      <c r="AW321" s="137">
        <f>$W321*AB321+$L321*Summary_LCIA!S$32</f>
        <v>255.51104174151308</v>
      </c>
      <c r="AX321" s="137">
        <f>$W321*AC321+$L321*Summary_LCIA!T$32</f>
        <v>61.919926413026047</v>
      </c>
      <c r="AY321" s="137">
        <f>$W321*AD321+$L321*Summary_LCIA!U$32</f>
        <v>0.76606914718215102</v>
      </c>
      <c r="AZ321" s="137">
        <f>$W321*AE321+$L321*Summary_LCIA!V$32</f>
        <v>7.3121936676980867E-3</v>
      </c>
      <c r="BA321" s="137">
        <f>$W321*AF321+$L321*Summary_LCIA!W$32</f>
        <v>10.988339232988407</v>
      </c>
      <c r="BB321" s="137">
        <f>$W321*AG321+$L321*Summary_LCIA!X$32</f>
        <v>13.103246087017277</v>
      </c>
      <c r="BC321" s="137">
        <f>$W321*AH321+$L321*Summary_LCIA!Y$32</f>
        <v>0.66463190505354974</v>
      </c>
      <c r="BD321" s="137">
        <f>$W321*AI321+$L321*Summary_LCIA!Z$32</f>
        <v>0.25659943003742997</v>
      </c>
      <c r="BE321" s="137">
        <f>$W321*AJ321+$L321*Summary_LCIA!AA$32</f>
        <v>1.6486863437219439</v>
      </c>
      <c r="BF321" s="137">
        <f>$W321*AK321+$L321*Summary_LCIA!AB$32</f>
        <v>6.1708310421359096E-2</v>
      </c>
      <c r="BG321" s="137">
        <f>$W321*AL321+$L321*Summary_LCIA!AC$32</f>
        <v>3.1447546094364037E-5</v>
      </c>
      <c r="BH321" s="137">
        <f>$W321*AM321+$L321*Summary_LCIA!AD$32</f>
        <v>0.10841686951956925</v>
      </c>
      <c r="BI321" s="137">
        <f>$W321*AN321+$L321*Summary_LCIA!AE$32</f>
        <v>0.31381362011683644</v>
      </c>
      <c r="BJ321" s="137">
        <f>$W321*AO321+$L321*Summary_LCIA!AF$32</f>
        <v>2.7118667776853379E-2</v>
      </c>
      <c r="BK321" s="137">
        <f>$W321*AP321+$L321*Summary_LCIA!AG$32</f>
        <v>5.7698876318533748E-3</v>
      </c>
      <c r="BL321" s="137">
        <f>$W321*AQ321+$L321*Summary_LCIA!AH$32</f>
        <v>0.8555042160338916</v>
      </c>
      <c r="BM321" s="137">
        <f>$W321*AR321+$L321*Summary_LCIA!AI$32</f>
        <v>0.27826038908817879</v>
      </c>
    </row>
    <row r="322" spans="1:65" x14ac:dyDescent="0.25">
      <c r="A322" s="149">
        <v>8</v>
      </c>
      <c r="B322" s="149">
        <v>29</v>
      </c>
      <c r="C322" s="61">
        <v>37.875985</v>
      </c>
      <c r="D322" s="61">
        <v>-122.25001399999999</v>
      </c>
      <c r="E322" s="61" t="s">
        <v>265</v>
      </c>
      <c r="F322" s="149">
        <v>99</v>
      </c>
      <c r="G322" s="61" t="s">
        <v>623</v>
      </c>
      <c r="H322" s="61" t="s">
        <v>624</v>
      </c>
      <c r="I322" s="61">
        <v>37.712569000000002</v>
      </c>
      <c r="J322" s="61">
        <v>-122.21974299999999</v>
      </c>
      <c r="K322" s="61">
        <v>39.814875569999998</v>
      </c>
      <c r="L322" s="61">
        <v>26.879000000000001</v>
      </c>
      <c r="M322" s="61" t="s">
        <v>617</v>
      </c>
      <c r="N322" s="149">
        <v>28</v>
      </c>
      <c r="O322" s="149">
        <v>29</v>
      </c>
      <c r="P322" s="61" t="s">
        <v>565</v>
      </c>
      <c r="Q322" s="61" t="s">
        <v>559</v>
      </c>
      <c r="R322" s="61">
        <v>47.450249900000003</v>
      </c>
      <c r="S322" s="61">
        <v>-122.30881650000001</v>
      </c>
      <c r="T322" s="61">
        <v>1272.7180000000001</v>
      </c>
      <c r="U322" s="61" t="s">
        <v>617</v>
      </c>
      <c r="V322" s="61" t="s">
        <v>569</v>
      </c>
      <c r="W322" s="61" cm="1">
        <f t="array" ref="W322">getDistance(I322,J322,R322,S322)*SA!$B$12</f>
        <v>1083.7067192187251</v>
      </c>
      <c r="Y322" s="137">
        <f>Transportation_LCIA!C$61*($W322^Transportation_LCIA!C$60)+Transportation_LCIA!C$62</f>
        <v>0.22745670793590661</v>
      </c>
      <c r="Z322" s="137">
        <f>Transportation_LCIA!D$61*($W322^Transportation_LCIA!D$60)+Transportation_LCIA!D$62</f>
        <v>2.3271050405397338</v>
      </c>
      <c r="AA322" s="137">
        <f>Transportation_LCIA!E$61*($W322^Transportation_LCIA!E$60)+Transportation_LCIA!E$62</f>
        <v>1.0796071266874865E-3</v>
      </c>
      <c r="AB322" s="137">
        <f>Transportation_LCIA!F$61*($W322^Transportation_LCIA!F$60)+Transportation_LCIA!F$62</f>
        <v>0.22745670793590661</v>
      </c>
      <c r="AC322" s="137">
        <f>Transportation_LCIA!G$61*($W322^Transportation_LCIA!G$60)+Transportation_LCIA!G$62</f>
        <v>5.4411330360243829E-2</v>
      </c>
      <c r="AD322" s="137">
        <f>Transportation_LCIA!H$61*($W322^Transportation_LCIA!H$60)+Transportation_LCIA!H$62</f>
        <v>2.6257910570795154E-4</v>
      </c>
      <c r="AE322" s="137">
        <f>Transportation_LCIA!I$61*($W322^Transportation_LCIA!I$60)+Transportation_LCIA!I$62</f>
        <v>5.5627834005164701E-6</v>
      </c>
      <c r="AF322" s="137">
        <f>Transportation_LCIA!J$61*($W322^Transportation_LCIA!J$60)+Transportation_LCIA!J$62</f>
        <v>8.2304885314531239E-3</v>
      </c>
      <c r="AG322" s="137">
        <f>Transportation_LCIA!K$61*($W322^Transportation_LCIA!K$60)+Transportation_LCIA!K$62</f>
        <v>1.1526128098589581E-2</v>
      </c>
      <c r="AH322" s="137">
        <f>Transportation_LCIA!L$61*($W322^Transportation_LCIA!L$60)+Transportation_LCIA!L$62</f>
        <v>2.2681720311816129E-4</v>
      </c>
      <c r="AI322" s="137">
        <f>Transportation_LCIA!M$61*($W322^Transportation_LCIA!M$60)+Transportation_LCIA!M$62</f>
        <v>2.3576226353069502E-4</v>
      </c>
      <c r="AJ322" s="137">
        <f>Transportation_LCIA!N$61*($W322^Transportation_LCIA!N$60)+Transportation_LCIA!N$62</f>
        <v>9.4204492933100935E-4</v>
      </c>
      <c r="AK322" s="137">
        <f>Transportation_LCIA!O$61*($W322^Transportation_LCIA!O$60)+Transportation_LCIA!O$62</f>
        <v>5.7483163787402971E-5</v>
      </c>
      <c r="AL322" s="137">
        <f>Transportation_LCIA!P$61*($W322^Transportation_LCIA!P$60)+Transportation_LCIA!P$62</f>
        <v>2.7806040623323073E-8</v>
      </c>
      <c r="AM322" s="137">
        <f>Transportation_LCIA!Q$61*($W322^Transportation_LCIA!Q$60)+Transportation_LCIA!Q$62</f>
        <v>8.9847671545088305E-5</v>
      </c>
      <c r="AN322" s="137">
        <f>Transportation_LCIA!R$61*($W322^Transportation_LCIA!R$60)+Transportation_LCIA!R$62</f>
        <v>2.6759576802836684E-4</v>
      </c>
      <c r="AO322" s="137">
        <f>Transportation_LCIA!S$61*($W322^Transportation_LCIA!S$60)+Transportation_LCIA!S$62</f>
        <v>4.0551779544391714E-6</v>
      </c>
      <c r="AP322" s="137">
        <f>Transportation_LCIA!T$61*($W322^Transportation_LCIA!T$60)+Transportation_LCIA!T$62</f>
        <v>4.0551779544391714E-6</v>
      </c>
      <c r="AQ322" s="137">
        <f>Transportation_LCIA!U$61*($W322^Transportation_LCIA!U$60)+Transportation_LCIA!U$62</f>
        <v>5.7355015024913001E-4</v>
      </c>
      <c r="AR322" s="137">
        <f>Transportation_LCIA!V$61*($W322^Transportation_LCIA!V$60)+Transportation_LCIA!V$62</f>
        <v>2.3366216352403273E-4</v>
      </c>
      <c r="AT322" s="137">
        <f>$W322*Y322+$L322*Summary_LCIA!H$32</f>
        <v>255.62984692151309</v>
      </c>
      <c r="AU322" s="137">
        <f>$W322*Z322+$L322*Summary_LCIA!Q$32</f>
        <v>2655.1130483492802</v>
      </c>
      <c r="AV322" s="137">
        <f>$W322*AA322+$L322*Summary_LCIA!R$32</f>
        <v>1.3115115597076503</v>
      </c>
      <c r="AW322" s="137">
        <f>$W322*AB322+$L322*Summary_LCIA!S$32</f>
        <v>255.51104174151308</v>
      </c>
      <c r="AX322" s="137">
        <f>$W322*AC322+$L322*Summary_LCIA!T$32</f>
        <v>61.919926413026047</v>
      </c>
      <c r="AY322" s="137">
        <f>$W322*AD322+$L322*Summary_LCIA!U$32</f>
        <v>0.76606914718215102</v>
      </c>
      <c r="AZ322" s="137">
        <f>$W322*AE322+$L322*Summary_LCIA!V$32</f>
        <v>7.3121936676980867E-3</v>
      </c>
      <c r="BA322" s="137">
        <f>$W322*AF322+$L322*Summary_LCIA!W$32</f>
        <v>10.988339232988407</v>
      </c>
      <c r="BB322" s="137">
        <f>$W322*AG322+$L322*Summary_LCIA!X$32</f>
        <v>13.103246087017277</v>
      </c>
      <c r="BC322" s="137">
        <f>$W322*AH322+$L322*Summary_LCIA!Y$32</f>
        <v>0.66463190505354974</v>
      </c>
      <c r="BD322" s="137">
        <f>$W322*AI322+$L322*Summary_LCIA!Z$32</f>
        <v>0.25659943003742997</v>
      </c>
      <c r="BE322" s="137">
        <f>$W322*AJ322+$L322*Summary_LCIA!AA$32</f>
        <v>1.6486863437219439</v>
      </c>
      <c r="BF322" s="137">
        <f>$W322*AK322+$L322*Summary_LCIA!AB$32</f>
        <v>6.1708310421359096E-2</v>
      </c>
      <c r="BG322" s="137">
        <f>$W322*AL322+$L322*Summary_LCIA!AC$32</f>
        <v>3.1447546094364037E-5</v>
      </c>
      <c r="BH322" s="137">
        <f>$W322*AM322+$L322*Summary_LCIA!AD$32</f>
        <v>0.10841686951956925</v>
      </c>
      <c r="BI322" s="137">
        <f>$W322*AN322+$L322*Summary_LCIA!AE$32</f>
        <v>0.31381362011683644</v>
      </c>
      <c r="BJ322" s="137">
        <f>$W322*AO322+$L322*Summary_LCIA!AF$32</f>
        <v>2.7118667776853379E-2</v>
      </c>
      <c r="BK322" s="137">
        <f>$W322*AP322+$L322*Summary_LCIA!AG$32</f>
        <v>5.7698876318533748E-3</v>
      </c>
      <c r="BL322" s="137">
        <f>$W322*AQ322+$L322*Summary_LCIA!AH$32</f>
        <v>0.8555042160338916</v>
      </c>
      <c r="BM322" s="137">
        <f>$W322*AR322+$L322*Summary_LCIA!AI$32</f>
        <v>0.27826038908817879</v>
      </c>
    </row>
    <row r="323" spans="1:65" x14ac:dyDescent="0.25">
      <c r="A323" s="149">
        <v>9</v>
      </c>
      <c r="B323" s="149">
        <v>29</v>
      </c>
      <c r="C323" s="61">
        <v>37.875985</v>
      </c>
      <c r="D323" s="61">
        <v>-122.25001399999999</v>
      </c>
      <c r="E323" s="61" t="s">
        <v>265</v>
      </c>
      <c r="F323" s="149">
        <v>99</v>
      </c>
      <c r="G323" s="61" t="s">
        <v>623</v>
      </c>
      <c r="H323" s="61" t="s">
        <v>624</v>
      </c>
      <c r="I323" s="61">
        <v>37.712569000000002</v>
      </c>
      <c r="J323" s="61">
        <v>-122.21974299999999</v>
      </c>
      <c r="K323" s="61">
        <v>39.814875569999998</v>
      </c>
      <c r="L323" s="61">
        <v>26.879000000000001</v>
      </c>
      <c r="M323" s="61" t="s">
        <v>617</v>
      </c>
      <c r="N323" s="149">
        <v>28</v>
      </c>
      <c r="O323" s="149">
        <v>29</v>
      </c>
      <c r="P323" s="61" t="s">
        <v>565</v>
      </c>
      <c r="Q323" s="61" t="s">
        <v>559</v>
      </c>
      <c r="R323" s="61">
        <v>47.450249900000003</v>
      </c>
      <c r="S323" s="61">
        <v>-122.30881650000001</v>
      </c>
      <c r="T323" s="61">
        <v>1272.7180000000001</v>
      </c>
      <c r="U323" s="61" t="s">
        <v>617</v>
      </c>
      <c r="V323" s="61" t="s">
        <v>569</v>
      </c>
      <c r="W323" s="61" cm="1">
        <f t="array" ref="W323">getDistance(I323,J323,R323,S323)*SA!$B$12</f>
        <v>1083.7067192187251</v>
      </c>
      <c r="Y323" s="137">
        <f>Transportation_LCIA!C$61*($W323^Transportation_LCIA!C$60)+Transportation_LCIA!C$62</f>
        <v>0.22745670793590661</v>
      </c>
      <c r="Z323" s="137">
        <f>Transportation_LCIA!D$61*($W323^Transportation_LCIA!D$60)+Transportation_LCIA!D$62</f>
        <v>2.3271050405397338</v>
      </c>
      <c r="AA323" s="137">
        <f>Transportation_LCIA!E$61*($W323^Transportation_LCIA!E$60)+Transportation_LCIA!E$62</f>
        <v>1.0796071266874865E-3</v>
      </c>
      <c r="AB323" s="137">
        <f>Transportation_LCIA!F$61*($W323^Transportation_LCIA!F$60)+Transportation_LCIA!F$62</f>
        <v>0.22745670793590661</v>
      </c>
      <c r="AC323" s="137">
        <f>Transportation_LCIA!G$61*($W323^Transportation_LCIA!G$60)+Transportation_LCIA!G$62</f>
        <v>5.4411330360243829E-2</v>
      </c>
      <c r="AD323" s="137">
        <f>Transportation_LCIA!H$61*($W323^Transportation_LCIA!H$60)+Transportation_LCIA!H$62</f>
        <v>2.6257910570795154E-4</v>
      </c>
      <c r="AE323" s="137">
        <f>Transportation_LCIA!I$61*($W323^Transportation_LCIA!I$60)+Transportation_LCIA!I$62</f>
        <v>5.5627834005164701E-6</v>
      </c>
      <c r="AF323" s="137">
        <f>Transportation_LCIA!J$61*($W323^Transportation_LCIA!J$60)+Transportation_LCIA!J$62</f>
        <v>8.2304885314531239E-3</v>
      </c>
      <c r="AG323" s="137">
        <f>Transportation_LCIA!K$61*($W323^Transportation_LCIA!K$60)+Transportation_LCIA!K$62</f>
        <v>1.1526128098589581E-2</v>
      </c>
      <c r="AH323" s="137">
        <f>Transportation_LCIA!L$61*($W323^Transportation_LCIA!L$60)+Transportation_LCIA!L$62</f>
        <v>2.2681720311816129E-4</v>
      </c>
      <c r="AI323" s="137">
        <f>Transportation_LCIA!M$61*($W323^Transportation_LCIA!M$60)+Transportation_LCIA!M$62</f>
        <v>2.3576226353069502E-4</v>
      </c>
      <c r="AJ323" s="137">
        <f>Transportation_LCIA!N$61*($W323^Transportation_LCIA!N$60)+Transportation_LCIA!N$62</f>
        <v>9.4204492933100935E-4</v>
      </c>
      <c r="AK323" s="137">
        <f>Transportation_LCIA!O$61*($W323^Transportation_LCIA!O$60)+Transportation_LCIA!O$62</f>
        <v>5.7483163787402971E-5</v>
      </c>
      <c r="AL323" s="137">
        <f>Transportation_LCIA!P$61*($W323^Transportation_LCIA!P$60)+Transportation_LCIA!P$62</f>
        <v>2.7806040623323073E-8</v>
      </c>
      <c r="AM323" s="137">
        <f>Transportation_LCIA!Q$61*($W323^Transportation_LCIA!Q$60)+Transportation_LCIA!Q$62</f>
        <v>8.9847671545088305E-5</v>
      </c>
      <c r="AN323" s="137">
        <f>Transportation_LCIA!R$61*($W323^Transportation_LCIA!R$60)+Transportation_LCIA!R$62</f>
        <v>2.6759576802836684E-4</v>
      </c>
      <c r="AO323" s="137">
        <f>Transportation_LCIA!S$61*($W323^Transportation_LCIA!S$60)+Transportation_LCIA!S$62</f>
        <v>4.0551779544391714E-6</v>
      </c>
      <c r="AP323" s="137">
        <f>Transportation_LCIA!T$61*($W323^Transportation_LCIA!T$60)+Transportation_LCIA!T$62</f>
        <v>4.0551779544391714E-6</v>
      </c>
      <c r="AQ323" s="137">
        <f>Transportation_LCIA!U$61*($W323^Transportation_LCIA!U$60)+Transportation_LCIA!U$62</f>
        <v>5.7355015024913001E-4</v>
      </c>
      <c r="AR323" s="137">
        <f>Transportation_LCIA!V$61*($W323^Transportation_LCIA!V$60)+Transportation_LCIA!V$62</f>
        <v>2.3366216352403273E-4</v>
      </c>
      <c r="AT323" s="137">
        <f>$W323*Y323+$L323*Summary_LCIA!H$32</f>
        <v>255.62984692151309</v>
      </c>
      <c r="AU323" s="137">
        <f>$W323*Z323+$L323*Summary_LCIA!Q$32</f>
        <v>2655.1130483492802</v>
      </c>
      <c r="AV323" s="137">
        <f>$W323*AA323+$L323*Summary_LCIA!R$32</f>
        <v>1.3115115597076503</v>
      </c>
      <c r="AW323" s="137">
        <f>$W323*AB323+$L323*Summary_LCIA!S$32</f>
        <v>255.51104174151308</v>
      </c>
      <c r="AX323" s="137">
        <f>$W323*AC323+$L323*Summary_LCIA!T$32</f>
        <v>61.919926413026047</v>
      </c>
      <c r="AY323" s="137">
        <f>$W323*AD323+$L323*Summary_LCIA!U$32</f>
        <v>0.76606914718215102</v>
      </c>
      <c r="AZ323" s="137">
        <f>$W323*AE323+$L323*Summary_LCIA!V$32</f>
        <v>7.3121936676980867E-3</v>
      </c>
      <c r="BA323" s="137">
        <f>$W323*AF323+$L323*Summary_LCIA!W$32</f>
        <v>10.988339232988407</v>
      </c>
      <c r="BB323" s="137">
        <f>$W323*AG323+$L323*Summary_LCIA!X$32</f>
        <v>13.103246087017277</v>
      </c>
      <c r="BC323" s="137">
        <f>$W323*AH323+$L323*Summary_LCIA!Y$32</f>
        <v>0.66463190505354974</v>
      </c>
      <c r="BD323" s="137">
        <f>$W323*AI323+$L323*Summary_LCIA!Z$32</f>
        <v>0.25659943003742997</v>
      </c>
      <c r="BE323" s="137">
        <f>$W323*AJ323+$L323*Summary_LCIA!AA$32</f>
        <v>1.6486863437219439</v>
      </c>
      <c r="BF323" s="137">
        <f>$W323*AK323+$L323*Summary_LCIA!AB$32</f>
        <v>6.1708310421359096E-2</v>
      </c>
      <c r="BG323" s="137">
        <f>$W323*AL323+$L323*Summary_LCIA!AC$32</f>
        <v>3.1447546094364037E-5</v>
      </c>
      <c r="BH323" s="137">
        <f>$W323*AM323+$L323*Summary_LCIA!AD$32</f>
        <v>0.10841686951956925</v>
      </c>
      <c r="BI323" s="137">
        <f>$W323*AN323+$L323*Summary_LCIA!AE$32</f>
        <v>0.31381362011683644</v>
      </c>
      <c r="BJ323" s="137">
        <f>$W323*AO323+$L323*Summary_LCIA!AF$32</f>
        <v>2.7118667776853379E-2</v>
      </c>
      <c r="BK323" s="137">
        <f>$W323*AP323+$L323*Summary_LCIA!AG$32</f>
        <v>5.7698876318533748E-3</v>
      </c>
      <c r="BL323" s="137">
        <f>$W323*AQ323+$L323*Summary_LCIA!AH$32</f>
        <v>0.8555042160338916</v>
      </c>
      <c r="BM323" s="137">
        <f>$W323*AR323+$L323*Summary_LCIA!AI$32</f>
        <v>0.27826038908817879</v>
      </c>
    </row>
    <row r="324" spans="1:65" x14ac:dyDescent="0.25">
      <c r="A324" s="149">
        <v>135</v>
      </c>
      <c r="B324" s="149">
        <v>6</v>
      </c>
      <c r="C324" s="61">
        <v>33.954258000000003</v>
      </c>
      <c r="D324" s="61">
        <v>-83.374932000000001</v>
      </c>
      <c r="E324" s="61" t="s">
        <v>265</v>
      </c>
      <c r="F324" s="149">
        <v>1</v>
      </c>
      <c r="G324" s="61" t="s">
        <v>565</v>
      </c>
      <c r="H324" s="61" t="s">
        <v>681</v>
      </c>
      <c r="I324" s="61">
        <v>33.640728000000003</v>
      </c>
      <c r="J324" s="61">
        <v>-84.427700000000002</v>
      </c>
      <c r="K324" s="61">
        <v>112.66856199999999</v>
      </c>
      <c r="L324" s="61">
        <v>131.636</v>
      </c>
      <c r="M324" s="61" t="s">
        <v>617</v>
      </c>
      <c r="N324" s="149">
        <v>5</v>
      </c>
      <c r="O324" s="149">
        <v>6</v>
      </c>
      <c r="P324" s="61" t="s">
        <v>565</v>
      </c>
      <c r="Q324" s="61" t="s">
        <v>564</v>
      </c>
      <c r="R324" s="61">
        <v>41.98028</v>
      </c>
      <c r="S324" s="61">
        <v>-87.908997900000003</v>
      </c>
      <c r="T324" s="61">
        <v>1275.8620000000001</v>
      </c>
      <c r="U324" s="61" t="s">
        <v>617</v>
      </c>
      <c r="V324" s="61" t="s">
        <v>569</v>
      </c>
      <c r="W324" s="61" cm="1">
        <f t="array" ref="W324">getDistance(I324,J324,R324,S324)*SA!$B$12</f>
        <v>976.67906347990493</v>
      </c>
      <c r="Y324" s="137">
        <f>Transportation_LCIA!C$61*($W324^Transportation_LCIA!C$60)+Transportation_LCIA!C$62</f>
        <v>0.23799077256655485</v>
      </c>
      <c r="Z324" s="137">
        <f>Transportation_LCIA!D$61*($W324^Transportation_LCIA!D$60)+Transportation_LCIA!D$62</f>
        <v>2.4498664186649894</v>
      </c>
      <c r="AA324" s="137">
        <f>Transportation_LCIA!E$61*($W324^Transportation_LCIA!E$60)+Transportation_LCIA!E$62</f>
        <v>1.1602893527513285E-3</v>
      </c>
      <c r="AB324" s="137">
        <f>Transportation_LCIA!F$61*($W324^Transportation_LCIA!F$60)+Transportation_LCIA!F$62</f>
        <v>0.23799077256655485</v>
      </c>
      <c r="AC324" s="137">
        <f>Transportation_LCIA!G$61*($W324^Transportation_LCIA!G$60)+Transportation_LCIA!G$62</f>
        <v>5.7251738416183251E-2</v>
      </c>
      <c r="AD324" s="137">
        <f>Transportation_LCIA!H$61*($W324^Transportation_LCIA!H$60)+Transportation_LCIA!H$62</f>
        <v>2.8030572808339046E-4</v>
      </c>
      <c r="AE324" s="137">
        <f>Transportation_LCIA!I$61*($W324^Transportation_LCIA!I$60)+Transportation_LCIA!I$62</f>
        <v>6.0084688172437592E-6</v>
      </c>
      <c r="AF324" s="137">
        <f>Transportation_LCIA!J$61*($W324^Transportation_LCIA!J$60)+Transportation_LCIA!J$62</f>
        <v>8.8936917837252362E-3</v>
      </c>
      <c r="AG324" s="137">
        <f>Transportation_LCIA!K$61*($W324^Transportation_LCIA!K$60)+Transportation_LCIA!K$62</f>
        <v>1.2188706109794917E-2</v>
      </c>
      <c r="AH324" s="137">
        <f>Transportation_LCIA!L$61*($W324^Transportation_LCIA!L$60)+Transportation_LCIA!L$62</f>
        <v>2.4310816549771977E-4</v>
      </c>
      <c r="AI324" s="137">
        <f>Transportation_LCIA!M$61*($W324^Transportation_LCIA!M$60)+Transportation_LCIA!M$62</f>
        <v>2.455450128432447E-4</v>
      </c>
      <c r="AJ324" s="137">
        <f>Transportation_LCIA!N$61*($W324^Transportation_LCIA!N$60)+Transportation_LCIA!N$62</f>
        <v>1.0016506819662974E-3</v>
      </c>
      <c r="AK324" s="137">
        <f>Transportation_LCIA!O$61*($W324^Transportation_LCIA!O$60)+Transportation_LCIA!O$62</f>
        <v>6.050134712780058E-5</v>
      </c>
      <c r="AL324" s="137">
        <f>Transportation_LCIA!P$61*($W324^Transportation_LCIA!P$60)+Transportation_LCIA!P$62</f>
        <v>2.9257301489528483E-8</v>
      </c>
      <c r="AM324" s="137">
        <f>Transportation_LCIA!Q$61*($W324^Transportation_LCIA!Q$60)+Transportation_LCIA!Q$62</f>
        <v>9.6216231090364335E-5</v>
      </c>
      <c r="AN324" s="137">
        <f>Transportation_LCIA!R$61*($W324^Transportation_LCIA!R$60)+Transportation_LCIA!R$62</f>
        <v>2.8896705818992006E-4</v>
      </c>
      <c r="AO324" s="137">
        <f>Transportation_LCIA!S$61*($W324^Transportation_LCIA!S$60)+Transportation_LCIA!S$62</f>
        <v>4.3584988519816731E-6</v>
      </c>
      <c r="AP324" s="137">
        <f>Transportation_LCIA!T$61*($W324^Transportation_LCIA!T$60)+Transportation_LCIA!T$62</f>
        <v>4.3584988519816731E-6</v>
      </c>
      <c r="AQ324" s="137">
        <f>Transportation_LCIA!U$61*($W324^Transportation_LCIA!U$60)+Transportation_LCIA!U$62</f>
        <v>6.204066649837317E-4</v>
      </c>
      <c r="AR324" s="137">
        <f>Transportation_LCIA!V$61*($W324^Transportation_LCIA!V$60)+Transportation_LCIA!V$62</f>
        <v>2.502258212971912E-4</v>
      </c>
      <c r="AT324" s="137">
        <f>$W324*Y324+$L324*Summary_LCIA!H$32</f>
        <v>277.17051766716185</v>
      </c>
      <c r="AU324" s="137">
        <f>$W324*Z324+$L324*Summary_LCIA!Q$32</f>
        <v>3045.1278942309782</v>
      </c>
      <c r="AV324" s="137">
        <f>$W324*AA324+$L324*Summary_LCIA!R$32</f>
        <v>1.8263728400108725</v>
      </c>
      <c r="AW324" s="137">
        <f>$W324*AB324+$L324*Summary_LCIA!S$32</f>
        <v>276.58868654716184</v>
      </c>
      <c r="AX324" s="137">
        <f>$W324*AC324+$L324*Summary_LCIA!T$32</f>
        <v>70.383370658914345</v>
      </c>
      <c r="AY324" s="137">
        <f>$W324*AD324+$L324*Summary_LCIA!U$32</f>
        <v>2.6318960399925384</v>
      </c>
      <c r="AZ324" s="137">
        <f>$W324*AE324+$L324*Summary_LCIA!V$32</f>
        <v>1.2155412693373845E-2</v>
      </c>
      <c r="BA324" s="137">
        <f>$W324*AF324+$L324*Summary_LCIA!W$32</f>
        <v>18.81843711820769</v>
      </c>
      <c r="BB324" s="137">
        <f>$W324*AG324+$L324*Summary_LCIA!X$32</f>
        <v>14.903122148346295</v>
      </c>
      <c r="BC324" s="137">
        <f>$W324*AH324+$L324*Summary_LCIA!Y$32</f>
        <v>2.2885908074026307</v>
      </c>
      <c r="BD324" s="137">
        <f>$W324*AI324+$L324*Summary_LCIA!Z$32</f>
        <v>0.24521693390990146</v>
      </c>
      <c r="BE324" s="137">
        <f>$W324*AJ324+$L324*Summary_LCIA!AA$32</f>
        <v>4.052781665996851</v>
      </c>
      <c r="BF324" s="137">
        <f>$W324*AK324+$L324*Summary_LCIA!AB$32</f>
        <v>5.6217706624052906E-2</v>
      </c>
      <c r="BG324" s="137">
        <f>$W324*AL324+$L324*Summary_LCIA!AC$32</f>
        <v>3.5009888042741905E-5</v>
      </c>
      <c r="BH324" s="137">
        <f>$W324*AM324+$L324*Summary_LCIA!AD$32</f>
        <v>0.14808003991290314</v>
      </c>
      <c r="BI324" s="137">
        <f>$W324*AN324+$L324*Summary_LCIA!AE$32</f>
        <v>0.39887468444947433</v>
      </c>
      <c r="BJ324" s="137">
        <f>$W324*AO324+$L324*Summary_LCIA!AF$32</f>
        <v>0.1155445616969317</v>
      </c>
      <c r="BK324" s="137">
        <f>$W324*AP324+$L324*Summary_LCIA!AG$32</f>
        <v>1.0992010516931702E-2</v>
      </c>
      <c r="BL324" s="137">
        <f>$W324*AQ324+$L324*Summary_LCIA!AH$32</f>
        <v>1.7516452901330024</v>
      </c>
      <c r="BM324" s="137">
        <f>$W324*AR324+$L324*Summary_LCIA!AI$32</f>
        <v>0.36701583660303072</v>
      </c>
    </row>
    <row r="325" spans="1:65" x14ac:dyDescent="0.25">
      <c r="A325" s="149">
        <v>136</v>
      </c>
      <c r="B325" s="149">
        <v>6</v>
      </c>
      <c r="C325" s="61">
        <v>33.954258000000003</v>
      </c>
      <c r="D325" s="61">
        <v>-83.374932000000001</v>
      </c>
      <c r="E325" s="61" t="s">
        <v>265</v>
      </c>
      <c r="F325" s="149">
        <v>1</v>
      </c>
      <c r="G325" s="61" t="s">
        <v>565</v>
      </c>
      <c r="H325" s="61" t="s">
        <v>681</v>
      </c>
      <c r="I325" s="61">
        <v>33.640728000000003</v>
      </c>
      <c r="J325" s="61">
        <v>-84.427700000000002</v>
      </c>
      <c r="K325" s="61">
        <v>112.66856199999999</v>
      </c>
      <c r="L325" s="61">
        <v>131.636</v>
      </c>
      <c r="M325" s="61" t="s">
        <v>617</v>
      </c>
      <c r="N325" s="149">
        <v>5</v>
      </c>
      <c r="O325" s="149">
        <v>6</v>
      </c>
      <c r="P325" s="61" t="s">
        <v>565</v>
      </c>
      <c r="Q325" s="61" t="s">
        <v>564</v>
      </c>
      <c r="R325" s="61">
        <v>41.98028</v>
      </c>
      <c r="S325" s="61">
        <v>-87.908997900000003</v>
      </c>
      <c r="T325" s="61">
        <v>1275.8620000000001</v>
      </c>
      <c r="U325" s="61" t="s">
        <v>617</v>
      </c>
      <c r="V325" s="61" t="s">
        <v>569</v>
      </c>
      <c r="W325" s="61" cm="1">
        <f t="array" ref="W325">getDistance(I325,J325,R325,S325)*SA!$B$12</f>
        <v>976.67906347990493</v>
      </c>
      <c r="Y325" s="137">
        <f>Transportation_LCIA!C$61*($W325^Transportation_LCIA!C$60)+Transportation_LCIA!C$62</f>
        <v>0.23799077256655485</v>
      </c>
      <c r="Z325" s="137">
        <f>Transportation_LCIA!D$61*($W325^Transportation_LCIA!D$60)+Transportation_LCIA!D$62</f>
        <v>2.4498664186649894</v>
      </c>
      <c r="AA325" s="137">
        <f>Transportation_LCIA!E$61*($W325^Transportation_LCIA!E$60)+Transportation_LCIA!E$62</f>
        <v>1.1602893527513285E-3</v>
      </c>
      <c r="AB325" s="137">
        <f>Transportation_LCIA!F$61*($W325^Transportation_LCIA!F$60)+Transportation_LCIA!F$62</f>
        <v>0.23799077256655485</v>
      </c>
      <c r="AC325" s="137">
        <f>Transportation_LCIA!G$61*($W325^Transportation_LCIA!G$60)+Transportation_LCIA!G$62</f>
        <v>5.7251738416183251E-2</v>
      </c>
      <c r="AD325" s="137">
        <f>Transportation_LCIA!H$61*($W325^Transportation_LCIA!H$60)+Transportation_LCIA!H$62</f>
        <v>2.8030572808339046E-4</v>
      </c>
      <c r="AE325" s="137">
        <f>Transportation_LCIA!I$61*($W325^Transportation_LCIA!I$60)+Transportation_LCIA!I$62</f>
        <v>6.0084688172437592E-6</v>
      </c>
      <c r="AF325" s="137">
        <f>Transportation_LCIA!J$61*($W325^Transportation_LCIA!J$60)+Transportation_LCIA!J$62</f>
        <v>8.8936917837252362E-3</v>
      </c>
      <c r="AG325" s="137">
        <f>Transportation_LCIA!K$61*($W325^Transportation_LCIA!K$60)+Transportation_LCIA!K$62</f>
        <v>1.2188706109794917E-2</v>
      </c>
      <c r="AH325" s="137">
        <f>Transportation_LCIA!L$61*($W325^Transportation_LCIA!L$60)+Transportation_LCIA!L$62</f>
        <v>2.4310816549771977E-4</v>
      </c>
      <c r="AI325" s="137">
        <f>Transportation_LCIA!M$61*($W325^Transportation_LCIA!M$60)+Transportation_LCIA!M$62</f>
        <v>2.455450128432447E-4</v>
      </c>
      <c r="AJ325" s="137">
        <f>Transportation_LCIA!N$61*($W325^Transportation_LCIA!N$60)+Transportation_LCIA!N$62</f>
        <v>1.0016506819662974E-3</v>
      </c>
      <c r="AK325" s="137">
        <f>Transportation_LCIA!O$61*($W325^Transportation_LCIA!O$60)+Transportation_LCIA!O$62</f>
        <v>6.050134712780058E-5</v>
      </c>
      <c r="AL325" s="137">
        <f>Transportation_LCIA!P$61*($W325^Transportation_LCIA!P$60)+Transportation_LCIA!P$62</f>
        <v>2.9257301489528483E-8</v>
      </c>
      <c r="AM325" s="137">
        <f>Transportation_LCIA!Q$61*($W325^Transportation_LCIA!Q$60)+Transportation_LCIA!Q$62</f>
        <v>9.6216231090364335E-5</v>
      </c>
      <c r="AN325" s="137">
        <f>Transportation_LCIA!R$61*($W325^Transportation_LCIA!R$60)+Transportation_LCIA!R$62</f>
        <v>2.8896705818992006E-4</v>
      </c>
      <c r="AO325" s="137">
        <f>Transportation_LCIA!S$61*($W325^Transportation_LCIA!S$60)+Transportation_LCIA!S$62</f>
        <v>4.3584988519816731E-6</v>
      </c>
      <c r="AP325" s="137">
        <f>Transportation_LCIA!T$61*($W325^Transportation_LCIA!T$60)+Transportation_LCIA!T$62</f>
        <v>4.3584988519816731E-6</v>
      </c>
      <c r="AQ325" s="137">
        <f>Transportation_LCIA!U$61*($W325^Transportation_LCIA!U$60)+Transportation_LCIA!U$62</f>
        <v>6.204066649837317E-4</v>
      </c>
      <c r="AR325" s="137">
        <f>Transportation_LCIA!V$61*($W325^Transportation_LCIA!V$60)+Transportation_LCIA!V$62</f>
        <v>2.502258212971912E-4</v>
      </c>
      <c r="AT325" s="137">
        <f>$W325*Y325+$L325*Summary_LCIA!H$32</f>
        <v>277.17051766716185</v>
      </c>
      <c r="AU325" s="137">
        <f>$W325*Z325+$L325*Summary_LCIA!Q$32</f>
        <v>3045.1278942309782</v>
      </c>
      <c r="AV325" s="137">
        <f>$W325*AA325+$L325*Summary_LCIA!R$32</f>
        <v>1.8263728400108725</v>
      </c>
      <c r="AW325" s="137">
        <f>$W325*AB325+$L325*Summary_LCIA!S$32</f>
        <v>276.58868654716184</v>
      </c>
      <c r="AX325" s="137">
        <f>$W325*AC325+$L325*Summary_LCIA!T$32</f>
        <v>70.383370658914345</v>
      </c>
      <c r="AY325" s="137">
        <f>$W325*AD325+$L325*Summary_LCIA!U$32</f>
        <v>2.6318960399925384</v>
      </c>
      <c r="AZ325" s="137">
        <f>$W325*AE325+$L325*Summary_LCIA!V$32</f>
        <v>1.2155412693373845E-2</v>
      </c>
      <c r="BA325" s="137">
        <f>$W325*AF325+$L325*Summary_LCIA!W$32</f>
        <v>18.81843711820769</v>
      </c>
      <c r="BB325" s="137">
        <f>$W325*AG325+$L325*Summary_LCIA!X$32</f>
        <v>14.903122148346295</v>
      </c>
      <c r="BC325" s="137">
        <f>$W325*AH325+$L325*Summary_LCIA!Y$32</f>
        <v>2.2885908074026307</v>
      </c>
      <c r="BD325" s="137">
        <f>$W325*AI325+$L325*Summary_LCIA!Z$32</f>
        <v>0.24521693390990146</v>
      </c>
      <c r="BE325" s="137">
        <f>$W325*AJ325+$L325*Summary_LCIA!AA$32</f>
        <v>4.052781665996851</v>
      </c>
      <c r="BF325" s="137">
        <f>$W325*AK325+$L325*Summary_LCIA!AB$32</f>
        <v>5.6217706624052906E-2</v>
      </c>
      <c r="BG325" s="137">
        <f>$W325*AL325+$L325*Summary_LCIA!AC$32</f>
        <v>3.5009888042741905E-5</v>
      </c>
      <c r="BH325" s="137">
        <f>$W325*AM325+$L325*Summary_LCIA!AD$32</f>
        <v>0.14808003991290314</v>
      </c>
      <c r="BI325" s="137">
        <f>$W325*AN325+$L325*Summary_LCIA!AE$32</f>
        <v>0.39887468444947433</v>
      </c>
      <c r="BJ325" s="137">
        <f>$W325*AO325+$L325*Summary_LCIA!AF$32</f>
        <v>0.1155445616969317</v>
      </c>
      <c r="BK325" s="137">
        <f>$W325*AP325+$L325*Summary_LCIA!AG$32</f>
        <v>1.0992010516931702E-2</v>
      </c>
      <c r="BL325" s="137">
        <f>$W325*AQ325+$L325*Summary_LCIA!AH$32</f>
        <v>1.7516452901330024</v>
      </c>
      <c r="BM325" s="137">
        <f>$W325*AR325+$L325*Summary_LCIA!AI$32</f>
        <v>0.36701583660303072</v>
      </c>
    </row>
    <row r="326" spans="1:65" x14ac:dyDescent="0.25">
      <c r="A326" s="149">
        <v>328</v>
      </c>
      <c r="B326" s="149">
        <v>29</v>
      </c>
      <c r="C326" s="61">
        <v>37.774929</v>
      </c>
      <c r="D326" s="61">
        <v>-122.419415</v>
      </c>
      <c r="E326" s="61" t="s">
        <v>265</v>
      </c>
      <c r="F326" s="149">
        <v>99</v>
      </c>
      <c r="G326" s="61" t="s">
        <v>623</v>
      </c>
      <c r="H326" s="61" t="s">
        <v>624</v>
      </c>
      <c r="I326" s="61">
        <v>37.712569000000002</v>
      </c>
      <c r="J326" s="61">
        <v>-122.21974299999999</v>
      </c>
      <c r="K326" s="61">
        <v>31.718590620000001</v>
      </c>
      <c r="L326" s="61">
        <v>34.848999999999997</v>
      </c>
      <c r="M326" s="61" t="s">
        <v>617</v>
      </c>
      <c r="N326" s="149">
        <v>28</v>
      </c>
      <c r="O326" s="149">
        <v>29</v>
      </c>
      <c r="P326" s="61" t="s">
        <v>565</v>
      </c>
      <c r="Q326" s="61" t="s">
        <v>559</v>
      </c>
      <c r="R326" s="61">
        <v>47.450249900000003</v>
      </c>
      <c r="S326" s="61">
        <v>-122.30881650000001</v>
      </c>
      <c r="T326" s="61">
        <v>1286.1210000000001</v>
      </c>
      <c r="U326" s="61" t="s">
        <v>617</v>
      </c>
      <c r="V326" s="61" t="s">
        <v>569</v>
      </c>
      <c r="W326" s="61" cm="1">
        <f t="array" ref="W326">getDistance(I326,J326,R326,S326)*SA!$B$12</f>
        <v>1083.7067192187251</v>
      </c>
      <c r="Y326" s="137">
        <f>Transportation_LCIA!C$61*($W326^Transportation_LCIA!C$60)+Transportation_LCIA!C$62</f>
        <v>0.22745670793590661</v>
      </c>
      <c r="Z326" s="137">
        <f>Transportation_LCIA!D$61*($W326^Transportation_LCIA!D$60)+Transportation_LCIA!D$62</f>
        <v>2.3271050405397338</v>
      </c>
      <c r="AA326" s="137">
        <f>Transportation_LCIA!E$61*($W326^Transportation_LCIA!E$60)+Transportation_LCIA!E$62</f>
        <v>1.0796071266874865E-3</v>
      </c>
      <c r="AB326" s="137">
        <f>Transportation_LCIA!F$61*($W326^Transportation_LCIA!F$60)+Transportation_LCIA!F$62</f>
        <v>0.22745670793590661</v>
      </c>
      <c r="AC326" s="137">
        <f>Transportation_LCIA!G$61*($W326^Transportation_LCIA!G$60)+Transportation_LCIA!G$62</f>
        <v>5.4411330360243829E-2</v>
      </c>
      <c r="AD326" s="137">
        <f>Transportation_LCIA!H$61*($W326^Transportation_LCIA!H$60)+Transportation_LCIA!H$62</f>
        <v>2.6257910570795154E-4</v>
      </c>
      <c r="AE326" s="137">
        <f>Transportation_LCIA!I$61*($W326^Transportation_LCIA!I$60)+Transportation_LCIA!I$62</f>
        <v>5.5627834005164701E-6</v>
      </c>
      <c r="AF326" s="137">
        <f>Transportation_LCIA!J$61*($W326^Transportation_LCIA!J$60)+Transportation_LCIA!J$62</f>
        <v>8.2304885314531239E-3</v>
      </c>
      <c r="AG326" s="137">
        <f>Transportation_LCIA!K$61*($W326^Transportation_LCIA!K$60)+Transportation_LCIA!K$62</f>
        <v>1.1526128098589581E-2</v>
      </c>
      <c r="AH326" s="137">
        <f>Transportation_LCIA!L$61*($W326^Transportation_LCIA!L$60)+Transportation_LCIA!L$62</f>
        <v>2.2681720311816129E-4</v>
      </c>
      <c r="AI326" s="137">
        <f>Transportation_LCIA!M$61*($W326^Transportation_LCIA!M$60)+Transportation_LCIA!M$62</f>
        <v>2.3576226353069502E-4</v>
      </c>
      <c r="AJ326" s="137">
        <f>Transportation_LCIA!N$61*($W326^Transportation_LCIA!N$60)+Transportation_LCIA!N$62</f>
        <v>9.4204492933100935E-4</v>
      </c>
      <c r="AK326" s="137">
        <f>Transportation_LCIA!O$61*($W326^Transportation_LCIA!O$60)+Transportation_LCIA!O$62</f>
        <v>5.7483163787402971E-5</v>
      </c>
      <c r="AL326" s="137">
        <f>Transportation_LCIA!P$61*($W326^Transportation_LCIA!P$60)+Transportation_LCIA!P$62</f>
        <v>2.7806040623323073E-8</v>
      </c>
      <c r="AM326" s="137">
        <f>Transportation_LCIA!Q$61*($W326^Transportation_LCIA!Q$60)+Transportation_LCIA!Q$62</f>
        <v>8.9847671545088305E-5</v>
      </c>
      <c r="AN326" s="137">
        <f>Transportation_LCIA!R$61*($W326^Transportation_LCIA!R$60)+Transportation_LCIA!R$62</f>
        <v>2.6759576802836684E-4</v>
      </c>
      <c r="AO326" s="137">
        <f>Transportation_LCIA!S$61*($W326^Transportation_LCIA!S$60)+Transportation_LCIA!S$62</f>
        <v>4.0551779544391714E-6</v>
      </c>
      <c r="AP326" s="137">
        <f>Transportation_LCIA!T$61*($W326^Transportation_LCIA!T$60)+Transportation_LCIA!T$62</f>
        <v>4.0551779544391714E-6</v>
      </c>
      <c r="AQ326" s="137">
        <f>Transportation_LCIA!U$61*($W326^Transportation_LCIA!U$60)+Transportation_LCIA!U$62</f>
        <v>5.7355015024913001E-4</v>
      </c>
      <c r="AR326" s="137">
        <f>Transportation_LCIA!V$61*($W326^Transportation_LCIA!V$60)+Transportation_LCIA!V$62</f>
        <v>2.3366216352403273E-4</v>
      </c>
      <c r="AT326" s="137">
        <f>$W326*Y326+$L326*Summary_LCIA!H$32</f>
        <v>258.33805292151311</v>
      </c>
      <c r="AU326" s="137">
        <f>$W326*Z326+$L326*Summary_LCIA!Q$32</f>
        <v>2694.6127703002899</v>
      </c>
      <c r="AV326" s="137">
        <f>$W326*AA326+$L326*Summary_LCIA!R$32</f>
        <v>1.3534783917076505</v>
      </c>
      <c r="AW326" s="137">
        <f>$W326*AB326+$L326*Summary_LCIA!S$32</f>
        <v>258.18402034151308</v>
      </c>
      <c r="AX326" s="137">
        <f>$W326*AC326+$L326*Summary_LCIA!T$32</f>
        <v>62.795829413026048</v>
      </c>
      <c r="AY326" s="137">
        <f>$W326*AD326+$L326*Summary_LCIA!U$32</f>
        <v>0.9088437271821509</v>
      </c>
      <c r="AZ326" s="137">
        <f>$W326*AE326+$L326*Summary_LCIA!V$32</f>
        <v>7.6928488376980866E-3</v>
      </c>
      <c r="BA326" s="137">
        <f>$W326*AF326+$L326*Summary_LCIA!W$32</f>
        <v>11.601798102988408</v>
      </c>
      <c r="BB326" s="137">
        <f>$W326*AG326+$L326*Summary_LCIA!X$32</f>
        <v>13.284802687017276</v>
      </c>
      <c r="BC326" s="137">
        <f>$W326*AH326+$L326*Summary_LCIA!Y$32</f>
        <v>0.78882044505354976</v>
      </c>
      <c r="BD326" s="137">
        <f>$W326*AI326+$L326*Summary_LCIA!Z$32</f>
        <v>0.25692627176742994</v>
      </c>
      <c r="BE326" s="137">
        <f>$W326*AJ326+$L326*Summary_LCIA!AA$32</f>
        <v>1.8348336637219438</v>
      </c>
      <c r="BF326" s="137">
        <f>$W326*AK326+$L326*Summary_LCIA!AB$32</f>
        <v>6.1534381111359095E-2</v>
      </c>
      <c r="BG326" s="137">
        <f>$W326*AL326+$L326*Summary_LCIA!AC$32</f>
        <v>3.1837151574364036E-5</v>
      </c>
      <c r="BH326" s="137">
        <f>$W326*AM326+$L326*Summary_LCIA!AD$32</f>
        <v>0.11169285831956924</v>
      </c>
      <c r="BI326" s="137">
        <f>$W326*AN326+$L326*Summary_LCIA!AE$32</f>
        <v>0.32087607621683645</v>
      </c>
      <c r="BJ326" s="137">
        <f>$W326*AO326+$L326*Summary_LCIA!AF$32</f>
        <v>3.3856665176853373E-2</v>
      </c>
      <c r="BK326" s="137">
        <f>$W326*AP326+$L326*Summary_LCIA!AG$32</f>
        <v>6.1776726818533753E-3</v>
      </c>
      <c r="BL326" s="137">
        <f>$W326*AQ326+$L326*Summary_LCIA!AH$32</f>
        <v>0.92487190803389152</v>
      </c>
      <c r="BM326" s="137">
        <f>$W326*AR326+$L326*Summary_LCIA!AI$32</f>
        <v>0.28568484258817878</v>
      </c>
    </row>
    <row r="327" spans="1:65" x14ac:dyDescent="0.25">
      <c r="A327" s="149">
        <v>21</v>
      </c>
      <c r="B327" s="149">
        <v>29</v>
      </c>
      <c r="C327" s="61">
        <v>53.523218999999997</v>
      </c>
      <c r="D327" s="61">
        <v>-113.526319</v>
      </c>
      <c r="E327" s="61" t="s">
        <v>462</v>
      </c>
      <c r="F327" s="149">
        <v>126</v>
      </c>
      <c r="G327" s="61" t="s">
        <v>637</v>
      </c>
      <c r="H327" s="61" t="s">
        <v>638</v>
      </c>
      <c r="I327" s="61">
        <v>53.305436999999998</v>
      </c>
      <c r="J327" s="61">
        <v>-113.577381</v>
      </c>
      <c r="K327" s="61">
        <v>42.053707780000003</v>
      </c>
      <c r="L327" s="61">
        <v>28.959</v>
      </c>
      <c r="M327" s="61" t="s">
        <v>617</v>
      </c>
      <c r="N327" s="149">
        <v>28</v>
      </c>
      <c r="O327" s="149">
        <v>29</v>
      </c>
      <c r="P327" s="61" t="s">
        <v>565</v>
      </c>
      <c r="Q327" s="61" t="s">
        <v>559</v>
      </c>
      <c r="R327" s="61">
        <v>47.450249900000003</v>
      </c>
      <c r="S327" s="61">
        <v>-122.30881650000001</v>
      </c>
      <c r="T327" s="61">
        <v>1292.5229999999999</v>
      </c>
      <c r="U327" s="61" t="s">
        <v>617</v>
      </c>
      <c r="V327" s="61" t="s">
        <v>569</v>
      </c>
      <c r="W327" s="61" cm="1">
        <f t="array" ref="W327">getDistance(I327,J327,R327,S327)*SA!$B$12</f>
        <v>899.37041179037806</v>
      </c>
      <c r="Y327" s="137">
        <f>Transportation_LCIA!C$61*($W327^Transportation_LCIA!C$60)+Transportation_LCIA!C$62</f>
        <v>0.2470230393938033</v>
      </c>
      <c r="Z327" s="137">
        <f>Transportation_LCIA!D$61*($W327^Transportation_LCIA!D$60)+Transportation_LCIA!D$62</f>
        <v>2.555551779942963</v>
      </c>
      <c r="AA327" s="137">
        <f>Transportation_LCIA!E$61*($W327^Transportation_LCIA!E$60)+Transportation_LCIA!E$62</f>
        <v>1.2298275386163583E-3</v>
      </c>
      <c r="AB327" s="137">
        <f>Transportation_LCIA!F$61*($W327^Transportation_LCIA!F$60)+Transportation_LCIA!F$62</f>
        <v>0.2470230393938033</v>
      </c>
      <c r="AC327" s="137">
        <f>Transportation_LCIA!G$61*($W327^Transportation_LCIA!G$60)+Transportation_LCIA!G$62</f>
        <v>5.9696472507371229E-2</v>
      </c>
      <c r="AD327" s="137">
        <f>Transportation_LCIA!H$61*($W327^Transportation_LCIA!H$60)+Transportation_LCIA!H$62</f>
        <v>2.956181579716859E-4</v>
      </c>
      <c r="AE327" s="137">
        <f>Transportation_LCIA!I$61*($W327^Transportation_LCIA!I$60)+Transportation_LCIA!I$62</f>
        <v>6.3948472765901966E-6</v>
      </c>
      <c r="AF327" s="137">
        <f>Transportation_LCIA!J$61*($W327^Transportation_LCIA!J$60)+Transportation_LCIA!J$62</f>
        <v>9.4699993728709006E-3</v>
      </c>
      <c r="AG327" s="137">
        <f>Transportation_LCIA!K$61*($W327^Transportation_LCIA!K$60)+Transportation_LCIA!K$62</f>
        <v>1.2760149255241295E-2</v>
      </c>
      <c r="AH327" s="137">
        <f>Transportation_LCIA!L$61*($W327^Transportation_LCIA!L$60)+Transportation_LCIA!L$62</f>
        <v>2.5719491904463085E-4</v>
      </c>
      <c r="AI327" s="137">
        <f>Transportation_LCIA!M$61*($W327^Transportation_LCIA!M$60)+Transportation_LCIA!M$62</f>
        <v>2.5399647844843597E-4</v>
      </c>
      <c r="AJ327" s="137">
        <f>Transportation_LCIA!N$61*($W327^Transportation_LCIA!N$60)+Transportation_LCIA!N$62</f>
        <v>1.0531239575043284E-3</v>
      </c>
      <c r="AK327" s="137">
        <f>Transportation_LCIA!O$61*($W327^Transportation_LCIA!O$60)+Transportation_LCIA!O$62</f>
        <v>6.3099380100455315E-5</v>
      </c>
      <c r="AL327" s="137">
        <f>Transportation_LCIA!P$61*($W327^Transportation_LCIA!P$60)+Transportation_LCIA!P$62</f>
        <v>3.0506162785875581E-8</v>
      </c>
      <c r="AM327" s="137">
        <f>Transportation_LCIA!Q$61*($W327^Transportation_LCIA!Q$60)+Transportation_LCIA!Q$62</f>
        <v>1.0172615447217155E-4</v>
      </c>
      <c r="AN327" s="137">
        <f>Transportation_LCIA!R$61*($W327^Transportation_LCIA!R$60)+Transportation_LCIA!R$62</f>
        <v>3.0749610461663126E-4</v>
      </c>
      <c r="AO327" s="137">
        <f>Transportation_LCIA!S$61*($W327^Transportation_LCIA!S$60)+Transportation_LCIA!S$62</f>
        <v>4.6214375674600108E-6</v>
      </c>
      <c r="AP327" s="137">
        <f>Transportation_LCIA!T$61*($W327^Transportation_LCIA!T$60)+Transportation_LCIA!T$62</f>
        <v>4.6214375674600108E-6</v>
      </c>
      <c r="AQ327" s="137">
        <f>Transportation_LCIA!U$61*($W327^Transportation_LCIA!U$60)+Transportation_LCIA!U$62</f>
        <v>6.6105936403638922E-4</v>
      </c>
      <c r="AR327" s="137">
        <f>Transportation_LCIA!V$61*($W327^Transportation_LCIA!V$60)+Transportation_LCIA!V$62</f>
        <v>2.6456652171685113E-4</v>
      </c>
      <c r="AT327" s="137">
        <f>$W327*Y327+$L327*Summary_LCIA!H$32</f>
        <v>232.00548086131565</v>
      </c>
      <c r="AU327" s="137">
        <f>$W327*Z327+$L327*Summary_LCIA!Q$32</f>
        <v>2441.9099211681832</v>
      </c>
      <c r="AV327" s="137">
        <f>$W327*AA327+$L327*Summary_LCIA!R$32</f>
        <v>1.2585570102365411</v>
      </c>
      <c r="AW327" s="137">
        <f>$W327*AB327+$L327*Summary_LCIA!S$32</f>
        <v>231.87748208131566</v>
      </c>
      <c r="AX327" s="137">
        <f>$W327*AC327+$L327*Summary_LCIA!T$32</f>
        <v>56.871835161387445</v>
      </c>
      <c r="AY327" s="137">
        <f>$W327*AD327+$L327*Summary_LCIA!U$32</f>
        <v>0.78464175046770812</v>
      </c>
      <c r="AZ327" s="137">
        <f>$W327*AE327+$L327*Summary_LCIA!V$32</f>
        <v>7.1344472274835029E-3</v>
      </c>
      <c r="BA327" s="137">
        <f>$W327*AF327+$L327*Summary_LCIA!W$32</f>
        <v>10.746040424633524</v>
      </c>
      <c r="BB327" s="137">
        <f>$W327*AG327+$L327*Summary_LCIA!X$32</f>
        <v>12.135786710193051</v>
      </c>
      <c r="BC327" s="137">
        <f>$W327*AH327+$L327*Summary_LCIA!Y$32</f>
        <v>0.68255263825156254</v>
      </c>
      <c r="BD327" s="137">
        <f>$W327*AI327+$L327*Summary_LCIA!Z$32</f>
        <v>0.22962449704647572</v>
      </c>
      <c r="BE327" s="137">
        <f>$W327*AJ327+$L327*Summary_LCIA!AA$32</f>
        <v>1.6235149313269803</v>
      </c>
      <c r="BF327" s="137">
        <f>$W327*AK327+$L327*Summary_LCIA!AB$32</f>
        <v>5.6117743207664085E-2</v>
      </c>
      <c r="BG327" s="137">
        <f>$W327*AL327+$L327*Summary_LCIA!AC$32</f>
        <v>2.8851971942877227E-5</v>
      </c>
      <c r="BH327" s="137">
        <f>$W327*AM327+$L327*Summary_LCIA!AD$32</f>
        <v>0.10339280079748854</v>
      </c>
      <c r="BI327" s="137">
        <f>$W327*AN327+$L327*Summary_LCIA!AE$32</f>
        <v>0.30221433690299682</v>
      </c>
      <c r="BJ327" s="137">
        <f>$W327*AO327+$L327*Summary_LCIA!AF$32</f>
        <v>2.8638901988110033E-2</v>
      </c>
      <c r="BK327" s="137">
        <f>$W327*AP327+$L327*Summary_LCIA!AG$32</f>
        <v>5.6380714431100327E-3</v>
      </c>
      <c r="BL327" s="137">
        <f>$W327*AQ327+$L327*Summary_LCIA!AH$32</f>
        <v>0.84658478485129285</v>
      </c>
      <c r="BM327" s="137">
        <f>$W327*AR327+$L327*Summary_LCIA!AI$32</f>
        <v>0.2649200580324324</v>
      </c>
    </row>
    <row r="328" spans="1:65" x14ac:dyDescent="0.25">
      <c r="A328" s="149">
        <v>22</v>
      </c>
      <c r="B328" s="149">
        <v>29</v>
      </c>
      <c r="C328" s="61">
        <v>53.523218999999997</v>
      </c>
      <c r="D328" s="61">
        <v>-113.526319</v>
      </c>
      <c r="E328" s="61" t="s">
        <v>462</v>
      </c>
      <c r="F328" s="149">
        <v>126</v>
      </c>
      <c r="G328" s="61" t="s">
        <v>637</v>
      </c>
      <c r="H328" s="61" t="s">
        <v>638</v>
      </c>
      <c r="I328" s="61">
        <v>53.305436999999998</v>
      </c>
      <c r="J328" s="61">
        <v>-113.577381</v>
      </c>
      <c r="K328" s="61">
        <v>42.053707780000003</v>
      </c>
      <c r="L328" s="61">
        <v>28.959</v>
      </c>
      <c r="M328" s="61" t="s">
        <v>617</v>
      </c>
      <c r="N328" s="149">
        <v>28</v>
      </c>
      <c r="O328" s="149">
        <v>29</v>
      </c>
      <c r="P328" s="61" t="s">
        <v>565</v>
      </c>
      <c r="Q328" s="61" t="s">
        <v>559</v>
      </c>
      <c r="R328" s="61">
        <v>47.450249900000003</v>
      </c>
      <c r="S328" s="61">
        <v>-122.30881650000001</v>
      </c>
      <c r="T328" s="61">
        <v>1292.5229999999999</v>
      </c>
      <c r="U328" s="61" t="s">
        <v>617</v>
      </c>
      <c r="V328" s="61" t="s">
        <v>569</v>
      </c>
      <c r="W328" s="61" cm="1">
        <f t="array" ref="W328">getDistance(I328,J328,R328,S328)*SA!$B$12</f>
        <v>899.37041179037806</v>
      </c>
      <c r="Y328" s="137">
        <f>Transportation_LCIA!C$61*($W328^Transportation_LCIA!C$60)+Transportation_LCIA!C$62</f>
        <v>0.2470230393938033</v>
      </c>
      <c r="Z328" s="137">
        <f>Transportation_LCIA!D$61*($W328^Transportation_LCIA!D$60)+Transportation_LCIA!D$62</f>
        <v>2.555551779942963</v>
      </c>
      <c r="AA328" s="137">
        <f>Transportation_LCIA!E$61*($W328^Transportation_LCIA!E$60)+Transportation_LCIA!E$62</f>
        <v>1.2298275386163583E-3</v>
      </c>
      <c r="AB328" s="137">
        <f>Transportation_LCIA!F$61*($W328^Transportation_LCIA!F$60)+Transportation_LCIA!F$62</f>
        <v>0.2470230393938033</v>
      </c>
      <c r="AC328" s="137">
        <f>Transportation_LCIA!G$61*($W328^Transportation_LCIA!G$60)+Transportation_LCIA!G$62</f>
        <v>5.9696472507371229E-2</v>
      </c>
      <c r="AD328" s="137">
        <f>Transportation_LCIA!H$61*($W328^Transportation_LCIA!H$60)+Transportation_LCIA!H$62</f>
        <v>2.956181579716859E-4</v>
      </c>
      <c r="AE328" s="137">
        <f>Transportation_LCIA!I$61*($W328^Transportation_LCIA!I$60)+Transportation_LCIA!I$62</f>
        <v>6.3948472765901966E-6</v>
      </c>
      <c r="AF328" s="137">
        <f>Transportation_LCIA!J$61*($W328^Transportation_LCIA!J$60)+Transportation_LCIA!J$62</f>
        <v>9.4699993728709006E-3</v>
      </c>
      <c r="AG328" s="137">
        <f>Transportation_LCIA!K$61*($W328^Transportation_LCIA!K$60)+Transportation_LCIA!K$62</f>
        <v>1.2760149255241295E-2</v>
      </c>
      <c r="AH328" s="137">
        <f>Transportation_LCIA!L$61*($W328^Transportation_LCIA!L$60)+Transportation_LCIA!L$62</f>
        <v>2.5719491904463085E-4</v>
      </c>
      <c r="AI328" s="137">
        <f>Transportation_LCIA!M$61*($W328^Transportation_LCIA!M$60)+Transportation_LCIA!M$62</f>
        <v>2.5399647844843597E-4</v>
      </c>
      <c r="AJ328" s="137">
        <f>Transportation_LCIA!N$61*($W328^Transportation_LCIA!N$60)+Transportation_LCIA!N$62</f>
        <v>1.0531239575043284E-3</v>
      </c>
      <c r="AK328" s="137">
        <f>Transportation_LCIA!O$61*($W328^Transportation_LCIA!O$60)+Transportation_LCIA!O$62</f>
        <v>6.3099380100455315E-5</v>
      </c>
      <c r="AL328" s="137">
        <f>Transportation_LCIA!P$61*($W328^Transportation_LCIA!P$60)+Transportation_LCIA!P$62</f>
        <v>3.0506162785875581E-8</v>
      </c>
      <c r="AM328" s="137">
        <f>Transportation_LCIA!Q$61*($W328^Transportation_LCIA!Q$60)+Transportation_LCIA!Q$62</f>
        <v>1.0172615447217155E-4</v>
      </c>
      <c r="AN328" s="137">
        <f>Transportation_LCIA!R$61*($W328^Transportation_LCIA!R$60)+Transportation_LCIA!R$62</f>
        <v>3.0749610461663126E-4</v>
      </c>
      <c r="AO328" s="137">
        <f>Transportation_LCIA!S$61*($W328^Transportation_LCIA!S$60)+Transportation_LCIA!S$62</f>
        <v>4.6214375674600108E-6</v>
      </c>
      <c r="AP328" s="137">
        <f>Transportation_LCIA!T$61*($W328^Transportation_LCIA!T$60)+Transportation_LCIA!T$62</f>
        <v>4.6214375674600108E-6</v>
      </c>
      <c r="AQ328" s="137">
        <f>Transportation_LCIA!U$61*($W328^Transportation_LCIA!U$60)+Transportation_LCIA!U$62</f>
        <v>6.6105936403638922E-4</v>
      </c>
      <c r="AR328" s="137">
        <f>Transportation_LCIA!V$61*($W328^Transportation_LCIA!V$60)+Transportation_LCIA!V$62</f>
        <v>2.6456652171685113E-4</v>
      </c>
      <c r="AT328" s="137">
        <f>$W328*Y328+$L328*Summary_LCIA!H$32</f>
        <v>232.00548086131565</v>
      </c>
      <c r="AU328" s="137">
        <f>$W328*Z328+$L328*Summary_LCIA!Q$32</f>
        <v>2441.9099211681832</v>
      </c>
      <c r="AV328" s="137">
        <f>$W328*AA328+$L328*Summary_LCIA!R$32</f>
        <v>1.2585570102365411</v>
      </c>
      <c r="AW328" s="137">
        <f>$W328*AB328+$L328*Summary_LCIA!S$32</f>
        <v>231.87748208131566</v>
      </c>
      <c r="AX328" s="137">
        <f>$W328*AC328+$L328*Summary_LCIA!T$32</f>
        <v>56.871835161387445</v>
      </c>
      <c r="AY328" s="137">
        <f>$W328*AD328+$L328*Summary_LCIA!U$32</f>
        <v>0.78464175046770812</v>
      </c>
      <c r="AZ328" s="137">
        <f>$W328*AE328+$L328*Summary_LCIA!V$32</f>
        <v>7.1344472274835029E-3</v>
      </c>
      <c r="BA328" s="137">
        <f>$W328*AF328+$L328*Summary_LCIA!W$32</f>
        <v>10.746040424633524</v>
      </c>
      <c r="BB328" s="137">
        <f>$W328*AG328+$L328*Summary_LCIA!X$32</f>
        <v>12.135786710193051</v>
      </c>
      <c r="BC328" s="137">
        <f>$W328*AH328+$L328*Summary_LCIA!Y$32</f>
        <v>0.68255263825156254</v>
      </c>
      <c r="BD328" s="137">
        <f>$W328*AI328+$L328*Summary_LCIA!Z$32</f>
        <v>0.22962449704647572</v>
      </c>
      <c r="BE328" s="137">
        <f>$W328*AJ328+$L328*Summary_LCIA!AA$32</f>
        <v>1.6235149313269803</v>
      </c>
      <c r="BF328" s="137">
        <f>$W328*AK328+$L328*Summary_LCIA!AB$32</f>
        <v>5.6117743207664085E-2</v>
      </c>
      <c r="BG328" s="137">
        <f>$W328*AL328+$L328*Summary_LCIA!AC$32</f>
        <v>2.8851971942877227E-5</v>
      </c>
      <c r="BH328" s="137">
        <f>$W328*AM328+$L328*Summary_LCIA!AD$32</f>
        <v>0.10339280079748854</v>
      </c>
      <c r="BI328" s="137">
        <f>$W328*AN328+$L328*Summary_LCIA!AE$32</f>
        <v>0.30221433690299682</v>
      </c>
      <c r="BJ328" s="137">
        <f>$W328*AO328+$L328*Summary_LCIA!AF$32</f>
        <v>2.8638901988110033E-2</v>
      </c>
      <c r="BK328" s="137">
        <f>$W328*AP328+$L328*Summary_LCIA!AG$32</f>
        <v>5.6380714431100327E-3</v>
      </c>
      <c r="BL328" s="137">
        <f>$W328*AQ328+$L328*Summary_LCIA!AH$32</f>
        <v>0.84658478485129285</v>
      </c>
      <c r="BM328" s="137">
        <f>$W328*AR328+$L328*Summary_LCIA!AI$32</f>
        <v>0.2649200580324324</v>
      </c>
    </row>
    <row r="329" spans="1:65" x14ac:dyDescent="0.25">
      <c r="A329" s="149">
        <v>101</v>
      </c>
      <c r="B329" s="149">
        <v>43</v>
      </c>
      <c r="C329" s="61">
        <v>46.256036000000002</v>
      </c>
      <c r="D329" s="61">
        <v>-63.137495000000001</v>
      </c>
      <c r="E329" s="61" t="s">
        <v>461</v>
      </c>
      <c r="F329" s="149">
        <v>141</v>
      </c>
      <c r="G329" s="61" t="s">
        <v>661</v>
      </c>
      <c r="H329" s="61" t="s">
        <v>662</v>
      </c>
      <c r="I329" s="61">
        <v>46.116180999999997</v>
      </c>
      <c r="J329" s="61">
        <v>-64.688446999999996</v>
      </c>
      <c r="K329" s="61">
        <v>129.61196319999999</v>
      </c>
      <c r="L329" s="61">
        <v>158.78800000000001</v>
      </c>
      <c r="M329" s="61" t="s">
        <v>617</v>
      </c>
      <c r="N329" s="149">
        <v>42</v>
      </c>
      <c r="O329" s="149">
        <v>43</v>
      </c>
      <c r="P329" s="61" t="s">
        <v>565</v>
      </c>
      <c r="Q329" s="61" t="s">
        <v>555</v>
      </c>
      <c r="R329" s="61">
        <v>40.6895314</v>
      </c>
      <c r="S329" s="61">
        <v>-74.174462399999996</v>
      </c>
      <c r="T329" s="61">
        <v>1316.777</v>
      </c>
      <c r="U329" s="61" t="s">
        <v>617</v>
      </c>
      <c r="V329" s="61" t="s">
        <v>569</v>
      </c>
      <c r="W329" s="61" cm="1">
        <f t="array" ref="W329">getDistance(I329,J329,R329,S329)*SA!$B$12</f>
        <v>976.21921839853326</v>
      </c>
      <c r="Y329" s="137">
        <f>Transportation_LCIA!C$61*($W329^Transportation_LCIA!C$60)+Transportation_LCIA!C$62</f>
        <v>0.23804060106334077</v>
      </c>
      <c r="Z329" s="137">
        <f>Transportation_LCIA!D$61*($W329^Transportation_LCIA!D$60)+Transportation_LCIA!D$62</f>
        <v>2.4504484062130265</v>
      </c>
      <c r="AA329" s="137">
        <f>Transportation_LCIA!E$61*($W329^Transportation_LCIA!E$60)+Transportation_LCIA!E$62</f>
        <v>1.1606720913959455E-3</v>
      </c>
      <c r="AB329" s="137">
        <f>Transportation_LCIA!F$61*($W329^Transportation_LCIA!F$60)+Transportation_LCIA!F$62</f>
        <v>0.23804060106334077</v>
      </c>
      <c r="AC329" s="137">
        <f>Transportation_LCIA!G$61*($W329^Transportation_LCIA!G$60)+Transportation_LCIA!G$62</f>
        <v>5.726520247855086E-2</v>
      </c>
      <c r="AD329" s="137">
        <f>Transportation_LCIA!H$61*($W329^Transportation_LCIA!H$60)+Transportation_LCIA!H$62</f>
        <v>2.8038992352398014E-4</v>
      </c>
      <c r="AE329" s="137">
        <f>Transportation_LCIA!I$61*($W329^Transportation_LCIA!I$60)+Transportation_LCIA!I$62</f>
        <v>6.0105898982720086E-6</v>
      </c>
      <c r="AF329" s="137">
        <f>Transportation_LCIA!J$61*($W329^Transportation_LCIA!J$60)+Transportation_LCIA!J$62</f>
        <v>8.896852176798465E-3</v>
      </c>
      <c r="AG329" s="137">
        <f>Transportation_LCIA!K$61*($W329^Transportation_LCIA!K$60)+Transportation_LCIA!K$62</f>
        <v>1.2191850397092132E-2</v>
      </c>
      <c r="AH329" s="137">
        <f>Transportation_LCIA!L$61*($W329^Transportation_LCIA!L$60)+Transportation_LCIA!L$62</f>
        <v>2.431855860123998E-4</v>
      </c>
      <c r="AI329" s="137">
        <f>Transportation_LCIA!M$61*($W329^Transportation_LCIA!M$60)+Transportation_LCIA!M$62</f>
        <v>2.4559148071851629E-4</v>
      </c>
      <c r="AJ329" s="137">
        <f>Transportation_LCIA!N$61*($W329^Transportation_LCIA!N$60)+Transportation_LCIA!N$62</f>
        <v>1.0019337441737129E-3</v>
      </c>
      <c r="AK329" s="137">
        <f>Transportation_LCIA!O$61*($W329^Transportation_LCIA!O$60)+Transportation_LCIA!O$62</f>
        <v>6.0515654755985323E-5</v>
      </c>
      <c r="AL329" s="137">
        <f>Transportation_LCIA!P$61*($W329^Transportation_LCIA!P$60)+Transportation_LCIA!P$62</f>
        <v>2.9264180015516956E-8</v>
      </c>
      <c r="AM329" s="137">
        <f>Transportation_LCIA!Q$61*($W329^Transportation_LCIA!Q$60)+Transportation_LCIA!Q$62</f>
        <v>9.6246506035158898E-5</v>
      </c>
      <c r="AN329" s="137">
        <f>Transportation_LCIA!R$61*($W329^Transportation_LCIA!R$60)+Transportation_LCIA!R$62</f>
        <v>2.8906877213541162E-4</v>
      </c>
      <c r="AO329" s="137">
        <f>Transportation_LCIA!S$61*($W329^Transportation_LCIA!S$60)+Transportation_LCIA!S$62</f>
        <v>4.3599423404604346E-6</v>
      </c>
      <c r="AP329" s="137">
        <f>Transportation_LCIA!T$61*($W329^Transportation_LCIA!T$60)+Transportation_LCIA!T$62</f>
        <v>4.3599423404604346E-6</v>
      </c>
      <c r="AQ329" s="137">
        <f>Transportation_LCIA!U$61*($W329^Transportation_LCIA!U$60)+Transportation_LCIA!U$62</f>
        <v>6.2062975697497851E-4</v>
      </c>
      <c r="AR329" s="137">
        <f>Transportation_LCIA!V$61*($W329^Transportation_LCIA!V$60)+Transportation_LCIA!V$62</f>
        <v>2.503045929040431E-4</v>
      </c>
      <c r="AT329" s="137">
        <f>$W329*Y329+$L329*Summary_LCIA!H$32</f>
        <v>286.33597191717161</v>
      </c>
      <c r="AU329" s="137">
        <f>$W329*Z329+$L329*Summary_LCIA!Q$32</f>
        <v>3179.1361639944162</v>
      </c>
      <c r="AV329" s="137">
        <f>$W329*AA329+$L329*Summary_LCIA!R$32</f>
        <v>1.9691844946795407</v>
      </c>
      <c r="AW329" s="137">
        <f>$W329*AB329+$L329*Summary_LCIA!S$32</f>
        <v>285.63412895717158</v>
      </c>
      <c r="AX329" s="137">
        <f>$W329*AC329+$L329*Summary_LCIA!T$32</f>
        <v>73.354192405044671</v>
      </c>
      <c r="AY329" s="137">
        <f>$W329*AD329+$L329*Summary_LCIA!U$32</f>
        <v>3.1182502639894043</v>
      </c>
      <c r="AZ329" s="137">
        <f>$W329*AE329+$L329*Summary_LCIA!V$32</f>
        <v>1.345152704060522E-2</v>
      </c>
      <c r="BA329" s="137">
        <f>$W329*AF329+$L329*Summary_LCIA!W$32</f>
        <v>20.907349226241486</v>
      </c>
      <c r="BB329" s="137">
        <f>$W329*AG329+$L329*Summary_LCIA!X$32</f>
        <v>15.519109305481129</v>
      </c>
      <c r="BC329" s="137">
        <f>$W329*AH329+$L329*Summary_LCIA!Y$32</f>
        <v>2.7116370587028147</v>
      </c>
      <c r="BD329" s="137">
        <f>$W329*AI329+$L329*Summary_LCIA!Z$32</f>
        <v>0.24626286044436843</v>
      </c>
      <c r="BE329" s="137">
        <f>$W329*AJ329+$L329*Summary_LCIA!AA$32</f>
        <v>4.6867595046243782</v>
      </c>
      <c r="BF329" s="137">
        <f>$W329*AK329+$L329*Summary_LCIA!AB$32</f>
        <v>5.5611314662763471E-2</v>
      </c>
      <c r="BG329" s="137">
        <f>$W329*AL329+$L329*Summary_LCIA!AC$32</f>
        <v>3.6330447533821945E-5</v>
      </c>
      <c r="BH329" s="137">
        <f>$W329*AM329+$L329*Summary_LCIA!AD$32</f>
        <v>0.15922590841523254</v>
      </c>
      <c r="BI329" s="137">
        <f>$W329*AN329+$L329*Summary_LCIA!AE$32</f>
        <v>0.42290130123745523</v>
      </c>
      <c r="BJ329" s="137">
        <f>$W329*AO329+$L329*Summary_LCIA!AF$32</f>
        <v>0.13849881046386697</v>
      </c>
      <c r="BK329" s="137">
        <f>$W329*AP329+$L329*Summary_LCIA!AG$32</f>
        <v>1.2380647523866958E-2</v>
      </c>
      <c r="BL329" s="137">
        <f>$W329*AQ329+$L329*Summary_LCIA!AH$32</f>
        <v>1.9878979330689854</v>
      </c>
      <c r="BM329" s="137">
        <f>$W329*AR329+$L329*Summary_LCIA!AI$32</f>
        <v>0.39227111544634802</v>
      </c>
    </row>
    <row r="330" spans="1:65" x14ac:dyDescent="0.25">
      <c r="A330" s="149">
        <v>102</v>
      </c>
      <c r="B330" s="149">
        <v>43</v>
      </c>
      <c r="C330" s="61">
        <v>46.256036000000002</v>
      </c>
      <c r="D330" s="61">
        <v>-63.137495000000001</v>
      </c>
      <c r="E330" s="61" t="s">
        <v>461</v>
      </c>
      <c r="F330" s="149">
        <v>141</v>
      </c>
      <c r="G330" s="61" t="s">
        <v>661</v>
      </c>
      <c r="H330" s="61" t="s">
        <v>662</v>
      </c>
      <c r="I330" s="61">
        <v>46.116180999999997</v>
      </c>
      <c r="J330" s="61">
        <v>-64.688446999999996</v>
      </c>
      <c r="K330" s="61">
        <v>129.61196319999999</v>
      </c>
      <c r="L330" s="61">
        <v>158.78800000000001</v>
      </c>
      <c r="M330" s="61" t="s">
        <v>617</v>
      </c>
      <c r="N330" s="149">
        <v>42</v>
      </c>
      <c r="O330" s="149">
        <v>43</v>
      </c>
      <c r="P330" s="61" t="s">
        <v>565</v>
      </c>
      <c r="Q330" s="61" t="s">
        <v>555</v>
      </c>
      <c r="R330" s="61">
        <v>40.6895314</v>
      </c>
      <c r="S330" s="61">
        <v>-74.174462399999996</v>
      </c>
      <c r="T330" s="61">
        <v>1316.777</v>
      </c>
      <c r="U330" s="61" t="s">
        <v>617</v>
      </c>
      <c r="V330" s="61" t="s">
        <v>569</v>
      </c>
      <c r="W330" s="61" cm="1">
        <f t="array" ref="W330">getDistance(I330,J330,R330,S330)*SA!$B$12</f>
        <v>976.21921839853326</v>
      </c>
      <c r="Y330" s="137">
        <f>Transportation_LCIA!C$61*($W330^Transportation_LCIA!C$60)+Transportation_LCIA!C$62</f>
        <v>0.23804060106334077</v>
      </c>
      <c r="Z330" s="137">
        <f>Transportation_LCIA!D$61*($W330^Transportation_LCIA!D$60)+Transportation_LCIA!D$62</f>
        <v>2.4504484062130265</v>
      </c>
      <c r="AA330" s="137">
        <f>Transportation_LCIA!E$61*($W330^Transportation_LCIA!E$60)+Transportation_LCIA!E$62</f>
        <v>1.1606720913959455E-3</v>
      </c>
      <c r="AB330" s="137">
        <f>Transportation_LCIA!F$61*($W330^Transportation_LCIA!F$60)+Transportation_LCIA!F$62</f>
        <v>0.23804060106334077</v>
      </c>
      <c r="AC330" s="137">
        <f>Transportation_LCIA!G$61*($W330^Transportation_LCIA!G$60)+Transportation_LCIA!G$62</f>
        <v>5.726520247855086E-2</v>
      </c>
      <c r="AD330" s="137">
        <f>Transportation_LCIA!H$61*($W330^Transportation_LCIA!H$60)+Transportation_LCIA!H$62</f>
        <v>2.8038992352398014E-4</v>
      </c>
      <c r="AE330" s="137">
        <f>Transportation_LCIA!I$61*($W330^Transportation_LCIA!I$60)+Transportation_LCIA!I$62</f>
        <v>6.0105898982720086E-6</v>
      </c>
      <c r="AF330" s="137">
        <f>Transportation_LCIA!J$61*($W330^Transportation_LCIA!J$60)+Transportation_LCIA!J$62</f>
        <v>8.896852176798465E-3</v>
      </c>
      <c r="AG330" s="137">
        <f>Transportation_LCIA!K$61*($W330^Transportation_LCIA!K$60)+Transportation_LCIA!K$62</f>
        <v>1.2191850397092132E-2</v>
      </c>
      <c r="AH330" s="137">
        <f>Transportation_LCIA!L$61*($W330^Transportation_LCIA!L$60)+Transportation_LCIA!L$62</f>
        <v>2.431855860123998E-4</v>
      </c>
      <c r="AI330" s="137">
        <f>Transportation_LCIA!M$61*($W330^Transportation_LCIA!M$60)+Transportation_LCIA!M$62</f>
        <v>2.4559148071851629E-4</v>
      </c>
      <c r="AJ330" s="137">
        <f>Transportation_LCIA!N$61*($W330^Transportation_LCIA!N$60)+Transportation_LCIA!N$62</f>
        <v>1.0019337441737129E-3</v>
      </c>
      <c r="AK330" s="137">
        <f>Transportation_LCIA!O$61*($W330^Transportation_LCIA!O$60)+Transportation_LCIA!O$62</f>
        <v>6.0515654755985323E-5</v>
      </c>
      <c r="AL330" s="137">
        <f>Transportation_LCIA!P$61*($W330^Transportation_LCIA!P$60)+Transportation_LCIA!P$62</f>
        <v>2.9264180015516956E-8</v>
      </c>
      <c r="AM330" s="137">
        <f>Transportation_LCIA!Q$61*($W330^Transportation_LCIA!Q$60)+Transportation_LCIA!Q$62</f>
        <v>9.6246506035158898E-5</v>
      </c>
      <c r="AN330" s="137">
        <f>Transportation_LCIA!R$61*($W330^Transportation_LCIA!R$60)+Transportation_LCIA!R$62</f>
        <v>2.8906877213541162E-4</v>
      </c>
      <c r="AO330" s="137">
        <f>Transportation_LCIA!S$61*($W330^Transportation_LCIA!S$60)+Transportation_LCIA!S$62</f>
        <v>4.3599423404604346E-6</v>
      </c>
      <c r="AP330" s="137">
        <f>Transportation_LCIA!T$61*($W330^Transportation_LCIA!T$60)+Transportation_LCIA!T$62</f>
        <v>4.3599423404604346E-6</v>
      </c>
      <c r="AQ330" s="137">
        <f>Transportation_LCIA!U$61*($W330^Transportation_LCIA!U$60)+Transportation_LCIA!U$62</f>
        <v>6.2062975697497851E-4</v>
      </c>
      <c r="AR330" s="137">
        <f>Transportation_LCIA!V$61*($W330^Transportation_LCIA!V$60)+Transportation_LCIA!V$62</f>
        <v>2.503045929040431E-4</v>
      </c>
      <c r="AT330" s="137">
        <f>$W330*Y330+$L330*Summary_LCIA!H$32</f>
        <v>286.33597191717161</v>
      </c>
      <c r="AU330" s="137">
        <f>$W330*Z330+$L330*Summary_LCIA!Q$32</f>
        <v>3179.1361639944162</v>
      </c>
      <c r="AV330" s="137">
        <f>$W330*AA330+$L330*Summary_LCIA!R$32</f>
        <v>1.9691844946795407</v>
      </c>
      <c r="AW330" s="137">
        <f>$W330*AB330+$L330*Summary_LCIA!S$32</f>
        <v>285.63412895717158</v>
      </c>
      <c r="AX330" s="137">
        <f>$W330*AC330+$L330*Summary_LCIA!T$32</f>
        <v>73.354192405044671</v>
      </c>
      <c r="AY330" s="137">
        <f>$W330*AD330+$L330*Summary_LCIA!U$32</f>
        <v>3.1182502639894043</v>
      </c>
      <c r="AZ330" s="137">
        <f>$W330*AE330+$L330*Summary_LCIA!V$32</f>
        <v>1.345152704060522E-2</v>
      </c>
      <c r="BA330" s="137">
        <f>$W330*AF330+$L330*Summary_LCIA!W$32</f>
        <v>20.907349226241486</v>
      </c>
      <c r="BB330" s="137">
        <f>$W330*AG330+$L330*Summary_LCIA!X$32</f>
        <v>15.519109305481129</v>
      </c>
      <c r="BC330" s="137">
        <f>$W330*AH330+$L330*Summary_LCIA!Y$32</f>
        <v>2.7116370587028147</v>
      </c>
      <c r="BD330" s="137">
        <f>$W330*AI330+$L330*Summary_LCIA!Z$32</f>
        <v>0.24626286044436843</v>
      </c>
      <c r="BE330" s="137">
        <f>$W330*AJ330+$L330*Summary_LCIA!AA$32</f>
        <v>4.6867595046243782</v>
      </c>
      <c r="BF330" s="137">
        <f>$W330*AK330+$L330*Summary_LCIA!AB$32</f>
        <v>5.5611314662763471E-2</v>
      </c>
      <c r="BG330" s="137">
        <f>$W330*AL330+$L330*Summary_LCIA!AC$32</f>
        <v>3.6330447533821945E-5</v>
      </c>
      <c r="BH330" s="137">
        <f>$W330*AM330+$L330*Summary_LCIA!AD$32</f>
        <v>0.15922590841523254</v>
      </c>
      <c r="BI330" s="137">
        <f>$W330*AN330+$L330*Summary_LCIA!AE$32</f>
        <v>0.42290130123745523</v>
      </c>
      <c r="BJ330" s="137">
        <f>$W330*AO330+$L330*Summary_LCIA!AF$32</f>
        <v>0.13849881046386697</v>
      </c>
      <c r="BK330" s="137">
        <f>$W330*AP330+$L330*Summary_LCIA!AG$32</f>
        <v>1.2380647523866958E-2</v>
      </c>
      <c r="BL330" s="137">
        <f>$W330*AQ330+$L330*Summary_LCIA!AH$32</f>
        <v>1.9878979330689854</v>
      </c>
      <c r="BM330" s="137">
        <f>$W330*AR330+$L330*Summary_LCIA!AI$32</f>
        <v>0.39227111544634802</v>
      </c>
    </row>
    <row r="331" spans="1:65" x14ac:dyDescent="0.25">
      <c r="A331" s="149">
        <v>140</v>
      </c>
      <c r="B331" s="149">
        <v>6</v>
      </c>
      <c r="C331" s="61">
        <v>32.590955999999998</v>
      </c>
      <c r="D331" s="61">
        <v>-85.492979000000005</v>
      </c>
      <c r="E331" s="61" t="s">
        <v>265</v>
      </c>
      <c r="F331" s="149">
        <v>1</v>
      </c>
      <c r="G331" s="61" t="s">
        <v>565</v>
      </c>
      <c r="H331" s="61" t="s">
        <v>681</v>
      </c>
      <c r="I331" s="61">
        <v>33.640728000000003</v>
      </c>
      <c r="J331" s="61">
        <v>-84.427700000000002</v>
      </c>
      <c r="K331" s="61">
        <v>204.5911443</v>
      </c>
      <c r="L331" s="61">
        <v>172.04300000000001</v>
      </c>
      <c r="M331" s="61" t="s">
        <v>617</v>
      </c>
      <c r="N331" s="149">
        <v>5</v>
      </c>
      <c r="O331" s="149">
        <v>6</v>
      </c>
      <c r="P331" s="61" t="s">
        <v>565</v>
      </c>
      <c r="Q331" s="61" t="s">
        <v>564</v>
      </c>
      <c r="R331" s="61">
        <v>41.98028</v>
      </c>
      <c r="S331" s="61">
        <v>-87.908997900000003</v>
      </c>
      <c r="T331" s="61">
        <v>1320.182</v>
      </c>
      <c r="U331" s="61" t="s">
        <v>617</v>
      </c>
      <c r="V331" s="61" t="s">
        <v>569</v>
      </c>
      <c r="W331" s="61" cm="1">
        <f t="array" ref="W331">getDistance(I331,J331,R331,S331)*SA!$B$12</f>
        <v>976.67906347990493</v>
      </c>
      <c r="Y331" s="137">
        <f>Transportation_LCIA!C$61*($W331^Transportation_LCIA!C$60)+Transportation_LCIA!C$62</f>
        <v>0.23799077256655485</v>
      </c>
      <c r="Z331" s="137">
        <f>Transportation_LCIA!D$61*($W331^Transportation_LCIA!D$60)+Transportation_LCIA!D$62</f>
        <v>2.4498664186649894</v>
      </c>
      <c r="AA331" s="137">
        <f>Transportation_LCIA!E$61*($W331^Transportation_LCIA!E$60)+Transportation_LCIA!E$62</f>
        <v>1.1602893527513285E-3</v>
      </c>
      <c r="AB331" s="137">
        <f>Transportation_LCIA!F$61*($W331^Transportation_LCIA!F$60)+Transportation_LCIA!F$62</f>
        <v>0.23799077256655485</v>
      </c>
      <c r="AC331" s="137">
        <f>Transportation_LCIA!G$61*($W331^Transportation_LCIA!G$60)+Transportation_LCIA!G$62</f>
        <v>5.7251738416183251E-2</v>
      </c>
      <c r="AD331" s="137">
        <f>Transportation_LCIA!H$61*($W331^Transportation_LCIA!H$60)+Transportation_LCIA!H$62</f>
        <v>2.8030572808339046E-4</v>
      </c>
      <c r="AE331" s="137">
        <f>Transportation_LCIA!I$61*($W331^Transportation_LCIA!I$60)+Transportation_LCIA!I$62</f>
        <v>6.0084688172437592E-6</v>
      </c>
      <c r="AF331" s="137">
        <f>Transportation_LCIA!J$61*($W331^Transportation_LCIA!J$60)+Transportation_LCIA!J$62</f>
        <v>8.8936917837252362E-3</v>
      </c>
      <c r="AG331" s="137">
        <f>Transportation_LCIA!K$61*($W331^Transportation_LCIA!K$60)+Transportation_LCIA!K$62</f>
        <v>1.2188706109794917E-2</v>
      </c>
      <c r="AH331" s="137">
        <f>Transportation_LCIA!L$61*($W331^Transportation_LCIA!L$60)+Transportation_LCIA!L$62</f>
        <v>2.4310816549771977E-4</v>
      </c>
      <c r="AI331" s="137">
        <f>Transportation_LCIA!M$61*($W331^Transportation_LCIA!M$60)+Transportation_LCIA!M$62</f>
        <v>2.455450128432447E-4</v>
      </c>
      <c r="AJ331" s="137">
        <f>Transportation_LCIA!N$61*($W331^Transportation_LCIA!N$60)+Transportation_LCIA!N$62</f>
        <v>1.0016506819662974E-3</v>
      </c>
      <c r="AK331" s="137">
        <f>Transportation_LCIA!O$61*($W331^Transportation_LCIA!O$60)+Transportation_LCIA!O$62</f>
        <v>6.050134712780058E-5</v>
      </c>
      <c r="AL331" s="137">
        <f>Transportation_LCIA!P$61*($W331^Transportation_LCIA!P$60)+Transportation_LCIA!P$62</f>
        <v>2.9257301489528483E-8</v>
      </c>
      <c r="AM331" s="137">
        <f>Transportation_LCIA!Q$61*($W331^Transportation_LCIA!Q$60)+Transportation_LCIA!Q$62</f>
        <v>9.6216231090364335E-5</v>
      </c>
      <c r="AN331" s="137">
        <f>Transportation_LCIA!R$61*($W331^Transportation_LCIA!R$60)+Transportation_LCIA!R$62</f>
        <v>2.8896705818992006E-4</v>
      </c>
      <c r="AO331" s="137">
        <f>Transportation_LCIA!S$61*($W331^Transportation_LCIA!S$60)+Transportation_LCIA!S$62</f>
        <v>4.3584988519816731E-6</v>
      </c>
      <c r="AP331" s="137">
        <f>Transportation_LCIA!T$61*($W331^Transportation_LCIA!T$60)+Transportation_LCIA!T$62</f>
        <v>4.3584988519816731E-6</v>
      </c>
      <c r="AQ331" s="137">
        <f>Transportation_LCIA!U$61*($W331^Transportation_LCIA!U$60)+Transportation_LCIA!U$62</f>
        <v>6.204066649837317E-4</v>
      </c>
      <c r="AR331" s="137">
        <f>Transportation_LCIA!V$61*($W331^Transportation_LCIA!V$60)+Transportation_LCIA!V$62</f>
        <v>2.502258212971912E-4</v>
      </c>
      <c r="AT331" s="137">
        <f>$W331*Y331+$L331*Summary_LCIA!H$32</f>
        <v>290.90081626716187</v>
      </c>
      <c r="AU331" s="137">
        <f>$W331*Z331+$L331*Summary_LCIA!Q$32</f>
        <v>3245.3870240772094</v>
      </c>
      <c r="AV331" s="137">
        <f>$W331*AA331+$L331*Summary_LCIA!R$32</f>
        <v>2.0391399392108722</v>
      </c>
      <c r="AW331" s="137">
        <f>$W331*AB331+$L331*Summary_LCIA!S$32</f>
        <v>290.14038620716184</v>
      </c>
      <c r="AX331" s="137">
        <f>$W331*AC331+$L331*Summary_LCIA!T$32</f>
        <v>74.82409995891436</v>
      </c>
      <c r="AY331" s="137">
        <f>$W331*AD331+$L331*Summary_LCIA!U$32</f>
        <v>3.3557470379925389</v>
      </c>
      <c r="AZ331" s="137">
        <f>$W331*AE331+$L331*Summary_LCIA!V$32</f>
        <v>1.4085291420373847E-2</v>
      </c>
      <c r="BA331" s="137">
        <f>$W331*AF331+$L331*Summary_LCIA!W$32</f>
        <v>21.928604315207689</v>
      </c>
      <c r="BB331" s="137">
        <f>$W331*AG331+$L331*Summary_LCIA!X$32</f>
        <v>15.823593608346297</v>
      </c>
      <c r="BC331" s="137">
        <f>$W331*AH331+$L331*Summary_LCIA!Y$32</f>
        <v>2.9182126814026312</v>
      </c>
      <c r="BD331" s="137">
        <f>$W331*AI331+$L331*Summary_LCIA!Z$32</f>
        <v>0.24687398457290147</v>
      </c>
      <c r="BE331" s="137">
        <f>$W331*AJ331+$L331*Summary_LCIA!AA$32</f>
        <v>4.9965275579968509</v>
      </c>
      <c r="BF331" s="137">
        <f>$W331*AK331+$L331*Summary_LCIA!AB$32</f>
        <v>5.5335904663052903E-2</v>
      </c>
      <c r="BG331" s="137">
        <f>$W331*AL331+$L331*Summary_LCIA!AC$32</f>
        <v>3.6985143830741905E-5</v>
      </c>
      <c r="BH331" s="137">
        <f>$W331*AM331+$L331*Summary_LCIA!AD$32</f>
        <v>0.16468893319290318</v>
      </c>
      <c r="BI331" s="137">
        <f>$W331*AN331+$L331*Summary_LCIA!AE$32</f>
        <v>0.43468053935947437</v>
      </c>
      <c r="BJ331" s="137">
        <f>$W331*AO331+$L331*Summary_LCIA!AF$32</f>
        <v>0.14970544763693172</v>
      </c>
      <c r="BK331" s="137">
        <f>$W331*AP331+$L331*Summary_LCIA!AG$32</f>
        <v>1.3059434671931701E-2</v>
      </c>
      <c r="BL331" s="137">
        <f>$W331*AQ331+$L331*Summary_LCIA!AH$32</f>
        <v>2.1033316553330024</v>
      </c>
      <c r="BM331" s="137">
        <f>$W331*AR331+$L331*Summary_LCIA!AI$32</f>
        <v>0.40465697745303075</v>
      </c>
    </row>
    <row r="332" spans="1:65" x14ac:dyDescent="0.25">
      <c r="A332" s="149">
        <v>141</v>
      </c>
      <c r="B332" s="149">
        <v>6</v>
      </c>
      <c r="C332" s="61">
        <v>32.590955999999998</v>
      </c>
      <c r="D332" s="61">
        <v>-85.492979000000005</v>
      </c>
      <c r="E332" s="61" t="s">
        <v>265</v>
      </c>
      <c r="F332" s="149">
        <v>1</v>
      </c>
      <c r="G332" s="61" t="s">
        <v>565</v>
      </c>
      <c r="H332" s="61" t="s">
        <v>681</v>
      </c>
      <c r="I332" s="61">
        <v>33.640728000000003</v>
      </c>
      <c r="J332" s="61">
        <v>-84.427700000000002</v>
      </c>
      <c r="K332" s="61">
        <v>204.5911443</v>
      </c>
      <c r="L332" s="61">
        <v>172.04300000000001</v>
      </c>
      <c r="M332" s="61" t="s">
        <v>617</v>
      </c>
      <c r="N332" s="149">
        <v>5</v>
      </c>
      <c r="O332" s="149">
        <v>6</v>
      </c>
      <c r="P332" s="61" t="s">
        <v>565</v>
      </c>
      <c r="Q332" s="61" t="s">
        <v>564</v>
      </c>
      <c r="R332" s="61">
        <v>41.98028</v>
      </c>
      <c r="S332" s="61">
        <v>-87.908997900000003</v>
      </c>
      <c r="T332" s="61">
        <v>1320.182</v>
      </c>
      <c r="U332" s="61" t="s">
        <v>617</v>
      </c>
      <c r="V332" s="61" t="s">
        <v>569</v>
      </c>
      <c r="W332" s="61" cm="1">
        <f t="array" ref="W332">getDistance(I332,J332,R332,S332)*SA!$B$12</f>
        <v>976.67906347990493</v>
      </c>
      <c r="Y332" s="137">
        <f>Transportation_LCIA!C$61*($W332^Transportation_LCIA!C$60)+Transportation_LCIA!C$62</f>
        <v>0.23799077256655485</v>
      </c>
      <c r="Z332" s="137">
        <f>Transportation_LCIA!D$61*($W332^Transportation_LCIA!D$60)+Transportation_LCIA!D$62</f>
        <v>2.4498664186649894</v>
      </c>
      <c r="AA332" s="137">
        <f>Transportation_LCIA!E$61*($W332^Transportation_LCIA!E$60)+Transportation_LCIA!E$62</f>
        <v>1.1602893527513285E-3</v>
      </c>
      <c r="AB332" s="137">
        <f>Transportation_LCIA!F$61*($W332^Transportation_LCIA!F$60)+Transportation_LCIA!F$62</f>
        <v>0.23799077256655485</v>
      </c>
      <c r="AC332" s="137">
        <f>Transportation_LCIA!G$61*($W332^Transportation_LCIA!G$60)+Transportation_LCIA!G$62</f>
        <v>5.7251738416183251E-2</v>
      </c>
      <c r="AD332" s="137">
        <f>Transportation_LCIA!H$61*($W332^Transportation_LCIA!H$60)+Transportation_LCIA!H$62</f>
        <v>2.8030572808339046E-4</v>
      </c>
      <c r="AE332" s="137">
        <f>Transportation_LCIA!I$61*($W332^Transportation_LCIA!I$60)+Transportation_LCIA!I$62</f>
        <v>6.0084688172437592E-6</v>
      </c>
      <c r="AF332" s="137">
        <f>Transportation_LCIA!J$61*($W332^Transportation_LCIA!J$60)+Transportation_LCIA!J$62</f>
        <v>8.8936917837252362E-3</v>
      </c>
      <c r="AG332" s="137">
        <f>Transportation_LCIA!K$61*($W332^Transportation_LCIA!K$60)+Transportation_LCIA!K$62</f>
        <v>1.2188706109794917E-2</v>
      </c>
      <c r="AH332" s="137">
        <f>Transportation_LCIA!L$61*($W332^Transportation_LCIA!L$60)+Transportation_LCIA!L$62</f>
        <v>2.4310816549771977E-4</v>
      </c>
      <c r="AI332" s="137">
        <f>Transportation_LCIA!M$61*($W332^Transportation_LCIA!M$60)+Transportation_LCIA!M$62</f>
        <v>2.455450128432447E-4</v>
      </c>
      <c r="AJ332" s="137">
        <f>Transportation_LCIA!N$61*($W332^Transportation_LCIA!N$60)+Transportation_LCIA!N$62</f>
        <v>1.0016506819662974E-3</v>
      </c>
      <c r="AK332" s="137">
        <f>Transportation_LCIA!O$61*($W332^Transportation_LCIA!O$60)+Transportation_LCIA!O$62</f>
        <v>6.050134712780058E-5</v>
      </c>
      <c r="AL332" s="137">
        <f>Transportation_LCIA!P$61*($W332^Transportation_LCIA!P$60)+Transportation_LCIA!P$62</f>
        <v>2.9257301489528483E-8</v>
      </c>
      <c r="AM332" s="137">
        <f>Transportation_LCIA!Q$61*($W332^Transportation_LCIA!Q$60)+Transportation_LCIA!Q$62</f>
        <v>9.6216231090364335E-5</v>
      </c>
      <c r="AN332" s="137">
        <f>Transportation_LCIA!R$61*($W332^Transportation_LCIA!R$60)+Transportation_LCIA!R$62</f>
        <v>2.8896705818992006E-4</v>
      </c>
      <c r="AO332" s="137">
        <f>Transportation_LCIA!S$61*($W332^Transportation_LCIA!S$60)+Transportation_LCIA!S$62</f>
        <v>4.3584988519816731E-6</v>
      </c>
      <c r="AP332" s="137">
        <f>Transportation_LCIA!T$61*($W332^Transportation_LCIA!T$60)+Transportation_LCIA!T$62</f>
        <v>4.3584988519816731E-6</v>
      </c>
      <c r="AQ332" s="137">
        <f>Transportation_LCIA!U$61*($W332^Transportation_LCIA!U$60)+Transportation_LCIA!U$62</f>
        <v>6.204066649837317E-4</v>
      </c>
      <c r="AR332" s="137">
        <f>Transportation_LCIA!V$61*($W332^Transportation_LCIA!V$60)+Transportation_LCIA!V$62</f>
        <v>2.502258212971912E-4</v>
      </c>
      <c r="AT332" s="137">
        <f>$W332*Y332+$L332*Summary_LCIA!H$32</f>
        <v>290.90081626716187</v>
      </c>
      <c r="AU332" s="137">
        <f>$W332*Z332+$L332*Summary_LCIA!Q$32</f>
        <v>3245.3870240772094</v>
      </c>
      <c r="AV332" s="137">
        <f>$W332*AA332+$L332*Summary_LCIA!R$32</f>
        <v>2.0391399392108722</v>
      </c>
      <c r="AW332" s="137">
        <f>$W332*AB332+$L332*Summary_LCIA!S$32</f>
        <v>290.14038620716184</v>
      </c>
      <c r="AX332" s="137">
        <f>$W332*AC332+$L332*Summary_LCIA!T$32</f>
        <v>74.82409995891436</v>
      </c>
      <c r="AY332" s="137">
        <f>$W332*AD332+$L332*Summary_LCIA!U$32</f>
        <v>3.3557470379925389</v>
      </c>
      <c r="AZ332" s="137">
        <f>$W332*AE332+$L332*Summary_LCIA!V$32</f>
        <v>1.4085291420373847E-2</v>
      </c>
      <c r="BA332" s="137">
        <f>$W332*AF332+$L332*Summary_LCIA!W$32</f>
        <v>21.928604315207689</v>
      </c>
      <c r="BB332" s="137">
        <f>$W332*AG332+$L332*Summary_LCIA!X$32</f>
        <v>15.823593608346297</v>
      </c>
      <c r="BC332" s="137">
        <f>$W332*AH332+$L332*Summary_LCIA!Y$32</f>
        <v>2.9182126814026312</v>
      </c>
      <c r="BD332" s="137">
        <f>$W332*AI332+$L332*Summary_LCIA!Z$32</f>
        <v>0.24687398457290147</v>
      </c>
      <c r="BE332" s="137">
        <f>$W332*AJ332+$L332*Summary_LCIA!AA$32</f>
        <v>4.9965275579968509</v>
      </c>
      <c r="BF332" s="137">
        <f>$W332*AK332+$L332*Summary_LCIA!AB$32</f>
        <v>5.5335904663052903E-2</v>
      </c>
      <c r="BG332" s="137">
        <f>$W332*AL332+$L332*Summary_LCIA!AC$32</f>
        <v>3.6985143830741905E-5</v>
      </c>
      <c r="BH332" s="137">
        <f>$W332*AM332+$L332*Summary_LCIA!AD$32</f>
        <v>0.16468893319290318</v>
      </c>
      <c r="BI332" s="137">
        <f>$W332*AN332+$L332*Summary_LCIA!AE$32</f>
        <v>0.43468053935947437</v>
      </c>
      <c r="BJ332" s="137">
        <f>$W332*AO332+$L332*Summary_LCIA!AF$32</f>
        <v>0.14970544763693172</v>
      </c>
      <c r="BK332" s="137">
        <f>$W332*AP332+$L332*Summary_LCIA!AG$32</f>
        <v>1.3059434671931701E-2</v>
      </c>
      <c r="BL332" s="137">
        <f>$W332*AQ332+$L332*Summary_LCIA!AH$32</f>
        <v>2.1033316553330024</v>
      </c>
      <c r="BM332" s="137">
        <f>$W332*AR332+$L332*Summary_LCIA!AI$32</f>
        <v>0.40465697745303075</v>
      </c>
    </row>
    <row r="333" spans="1:65" x14ac:dyDescent="0.25">
      <c r="A333" s="149">
        <v>320</v>
      </c>
      <c r="B333" s="149">
        <v>16</v>
      </c>
      <c r="C333" s="61">
        <v>50.445211</v>
      </c>
      <c r="D333" s="61">
        <v>-104.618894</v>
      </c>
      <c r="E333" s="61" t="s">
        <v>457</v>
      </c>
      <c r="F333" s="149">
        <v>136</v>
      </c>
      <c r="G333" s="61" t="s">
        <v>720</v>
      </c>
      <c r="H333" s="61" t="s">
        <v>721</v>
      </c>
      <c r="I333" s="61">
        <v>50.432102999999998</v>
      </c>
      <c r="J333" s="61">
        <v>-104.66394099999999</v>
      </c>
      <c r="K333" s="61">
        <v>3.6963417160000001</v>
      </c>
      <c r="L333" s="61">
        <v>4.2089999999999996</v>
      </c>
      <c r="M333" s="61" t="s">
        <v>617</v>
      </c>
      <c r="N333" s="149">
        <v>15</v>
      </c>
      <c r="O333" s="149">
        <v>16</v>
      </c>
      <c r="P333" s="61" t="s">
        <v>565</v>
      </c>
      <c r="Q333" s="61" t="s">
        <v>556</v>
      </c>
      <c r="R333" s="61">
        <v>39.856096299999997</v>
      </c>
      <c r="S333" s="61">
        <v>-104.6737376</v>
      </c>
      <c r="T333" s="61">
        <v>1358.01</v>
      </c>
      <c r="U333" s="61" t="s">
        <v>617</v>
      </c>
      <c r="V333" s="61" t="s">
        <v>569</v>
      </c>
      <c r="W333" s="61" cm="1">
        <f t="array" ref="W333">getDistance(I333,J333,R333,S333)*SA!$B$12</f>
        <v>1177.3292143961403</v>
      </c>
      <c r="Y333" s="137">
        <f>Transportation_LCIA!C$61*($W333^Transportation_LCIA!C$60)+Transportation_LCIA!C$62</f>
        <v>0.2196961093135443</v>
      </c>
      <c r="Z333" s="137">
        <f>Transportation_LCIA!D$61*($W333^Transportation_LCIA!D$60)+Transportation_LCIA!D$62</f>
        <v>2.2370321321589968</v>
      </c>
      <c r="AA333" s="137">
        <f>Transportation_LCIA!E$61*($W333^Transportation_LCIA!E$60)+Transportation_LCIA!E$62</f>
        <v>1.0204763309200012E-3</v>
      </c>
      <c r="AB333" s="137">
        <f>Transportation_LCIA!F$61*($W333^Transportation_LCIA!F$60)+Transportation_LCIA!F$62</f>
        <v>0.2196961093135443</v>
      </c>
      <c r="AC333" s="137">
        <f>Transportation_LCIA!G$61*($W333^Transportation_LCIA!G$60)+Transportation_LCIA!G$62</f>
        <v>5.2326761643759011E-2</v>
      </c>
      <c r="AD333" s="137">
        <f>Transportation_LCIA!H$61*($W333^Transportation_LCIA!H$60)+Transportation_LCIA!H$62</f>
        <v>2.4961684256268035E-4</v>
      </c>
      <c r="AE333" s="137">
        <f>Transportation_LCIA!I$61*($W333^Transportation_LCIA!I$60)+Transportation_LCIA!I$62</f>
        <v>5.2380678698073826E-6</v>
      </c>
      <c r="AF333" s="137">
        <f>Transportation_LCIA!J$61*($W333^Transportation_LCIA!J$60)+Transportation_LCIA!J$62</f>
        <v>7.7484421812559733E-3</v>
      </c>
      <c r="AG333" s="137">
        <f>Transportation_LCIA!K$61*($W333^Transportation_LCIA!K$60)+Transportation_LCIA!K$62</f>
        <v>1.104086210033306E-2</v>
      </c>
      <c r="AH333" s="137">
        <f>Transportation_LCIA!L$61*($W333^Transportation_LCIA!L$60)+Transportation_LCIA!L$62</f>
        <v>2.149170752343871E-4</v>
      </c>
      <c r="AI333" s="137">
        <f>Transportation_LCIA!M$61*($W333^Transportation_LCIA!M$60)+Transportation_LCIA!M$62</f>
        <v>2.2860969017513696E-4</v>
      </c>
      <c r="AJ333" s="137">
        <f>Transportation_LCIA!N$61*($W333^Transportation_LCIA!N$60)+Transportation_LCIA!N$62</f>
        <v>8.984467264018136E-4</v>
      </c>
      <c r="AK333" s="137">
        <f>Transportation_LCIA!O$61*($W333^Transportation_LCIA!O$60)+Transportation_LCIA!O$62</f>
        <v>5.526837383711451E-5</v>
      </c>
      <c r="AL333" s="137">
        <f>Transportation_LCIA!P$61*($W333^Transportation_LCIA!P$60)+Transportation_LCIA!P$62</f>
        <v>2.6740760492339211E-8</v>
      </c>
      <c r="AM333" s="137">
        <f>Transportation_LCIA!Q$61*($W333^Transportation_LCIA!Q$60)+Transportation_LCIA!Q$62</f>
        <v>8.5198197600818486E-5</v>
      </c>
      <c r="AN333" s="137">
        <f>Transportation_LCIA!R$61*($W333^Transportation_LCIA!R$60)+Transportation_LCIA!R$62</f>
        <v>2.5202653595898057E-4</v>
      </c>
      <c r="AO333" s="137">
        <f>Transportation_LCIA!S$61*($W333^Transportation_LCIA!S$60)+Transportation_LCIA!S$62</f>
        <v>3.8341691693400328E-6</v>
      </c>
      <c r="AP333" s="137">
        <f>Transportation_LCIA!T$61*($W333^Transportation_LCIA!T$60)+Transportation_LCIA!T$62</f>
        <v>3.8341691693400328E-6</v>
      </c>
      <c r="AQ333" s="137">
        <f>Transportation_LCIA!U$61*($W333^Transportation_LCIA!U$60)+Transportation_LCIA!U$62</f>
        <v>5.3943818955445389E-4</v>
      </c>
      <c r="AR333" s="137">
        <f>Transportation_LCIA!V$61*($W333^Transportation_LCIA!V$60)+Transportation_LCIA!V$62</f>
        <v>2.2157828517714307E-4</v>
      </c>
      <c r="AT333" s="137">
        <f>$W333*Y333+$L333*Summary_LCIA!H$32</f>
        <v>260.08486598400367</v>
      </c>
      <c r="AU333" s="137">
        <f>$W333*Z333+$L333*Summary_LCIA!Q$32</f>
        <v>2654.5832990061713</v>
      </c>
      <c r="AV333" s="137">
        <f>$W333*AA333+$L333*Summary_LCIA!R$32</f>
        <v>1.2235995073919008</v>
      </c>
      <c r="AW333" s="137">
        <f>$W333*AB333+$L333*Summary_LCIA!S$32</f>
        <v>260.06626220400364</v>
      </c>
      <c r="AX333" s="137">
        <f>$W333*AC333+$L333*Summary_LCIA!T$32</f>
        <v>62.068394277940882</v>
      </c>
      <c r="AY333" s="137">
        <f>$W333*AD333+$L333*Summary_LCIA!U$32</f>
        <v>0.36928122715436551</v>
      </c>
      <c r="AZ333" s="137">
        <f>$W333*AE333+$L333*Summary_LCIA!V$32</f>
        <v>6.3679563791139903E-3</v>
      </c>
      <c r="BA333" s="137">
        <f>$W333*AF333+$L333*Summary_LCIA!W$32</f>
        <v>9.446438285052011</v>
      </c>
      <c r="BB333" s="137">
        <f>$W333*AG333+$L333*Summary_LCIA!X$32</f>
        <v>13.094610522841242</v>
      </c>
      <c r="BC333" s="137">
        <f>$W333*AH333+$L333*Summary_LCIA!Y$32</f>
        <v>0.31861278934601711</v>
      </c>
      <c r="BD333" s="137">
        <f>$W333*AI333+$L333*Summary_LCIA!Z$32</f>
        <v>0.26932147381823907</v>
      </c>
      <c r="BE333" s="137">
        <f>$W333*AJ333+$L333*Summary_LCIA!AA$32</f>
        <v>1.1560729825714311</v>
      </c>
      <c r="BF333" s="137">
        <f>$W333*AK333+$L333*Summary_LCIA!AB$32</f>
        <v>6.4977218143602217E-2</v>
      </c>
      <c r="BG333" s="137">
        <f>$W333*AL333+$L333*Summary_LCIA!AC$32</f>
        <v>3.1688431298801068E-5</v>
      </c>
      <c r="BH333" s="137">
        <f>$W333*AM333+$L333*Summary_LCIA!AD$32</f>
        <v>0.10203639440933876</v>
      </c>
      <c r="BI333" s="137">
        <f>$W333*AN333+$L333*Summary_LCIA!AE$32</f>
        <v>0.30044792475756715</v>
      </c>
      <c r="BJ333" s="137">
        <f>$W333*AO333+$L333*Summary_LCIA!AF$32</f>
        <v>8.0724521560010028E-3</v>
      </c>
      <c r="BK333" s="137">
        <f>$W333*AP333+$L333*Summary_LCIA!AG$32</f>
        <v>4.7294328610010027E-3</v>
      </c>
      <c r="BL333" s="137">
        <f>$W333*AQ333+$L333*Summary_LCIA!AH$32</f>
        <v>0.67172979232342145</v>
      </c>
      <c r="BM333" s="137">
        <f>$W333*AR333+$L333*Summary_LCIA!AI$32</f>
        <v>0.26479148236484978</v>
      </c>
    </row>
    <row r="334" spans="1:65" x14ac:dyDescent="0.25">
      <c r="A334" s="149">
        <v>334</v>
      </c>
      <c r="B334" s="149">
        <v>29</v>
      </c>
      <c r="C334" s="61">
        <v>36.974117</v>
      </c>
      <c r="D334" s="61">
        <v>-122.030796</v>
      </c>
      <c r="E334" s="61" t="s">
        <v>265</v>
      </c>
      <c r="F334" s="149">
        <v>95</v>
      </c>
      <c r="G334" s="61" t="s">
        <v>723</v>
      </c>
      <c r="H334" s="61" t="s">
        <v>724</v>
      </c>
      <c r="I334" s="61">
        <v>37.363947000000003</v>
      </c>
      <c r="J334" s="61">
        <v>-121.928938</v>
      </c>
      <c r="K334" s="61">
        <v>85.919231850000003</v>
      </c>
      <c r="L334" s="61">
        <v>54.384999999999998</v>
      </c>
      <c r="M334" s="61" t="s">
        <v>617</v>
      </c>
      <c r="N334" s="149">
        <v>28</v>
      </c>
      <c r="O334" s="149">
        <v>29</v>
      </c>
      <c r="P334" s="61" t="s">
        <v>565</v>
      </c>
      <c r="Q334" s="61" t="s">
        <v>559</v>
      </c>
      <c r="R334" s="61">
        <v>47.450249900000003</v>
      </c>
      <c r="S334" s="61">
        <v>-122.30881650000001</v>
      </c>
      <c r="T334" s="61">
        <v>1380.702</v>
      </c>
      <c r="U334" s="61" t="s">
        <v>617</v>
      </c>
      <c r="V334" s="61" t="s">
        <v>569</v>
      </c>
      <c r="W334" s="61" cm="1">
        <f t="array" ref="W334">getDistance(I334,J334,R334,S334)*SA!$B$12</f>
        <v>1122.8885161222759</v>
      </c>
      <c r="Y334" s="137">
        <f>Transportation_LCIA!C$61*($W334^Transportation_LCIA!C$60)+Transportation_LCIA!C$62</f>
        <v>0.22406410080587294</v>
      </c>
      <c r="Z334" s="137">
        <f>Transportation_LCIA!D$61*($W334^Transportation_LCIA!D$60)+Transportation_LCIA!D$62</f>
        <v>2.2876891547268983</v>
      </c>
      <c r="AA334" s="137">
        <f>Transportation_LCIA!E$61*($W334^Transportation_LCIA!E$60)+Transportation_LCIA!E$62</f>
        <v>1.053724159324039E-3</v>
      </c>
      <c r="AB334" s="137">
        <f>Transportation_LCIA!F$61*($W334^Transportation_LCIA!F$60)+Transportation_LCIA!F$62</f>
        <v>0.22406410080587294</v>
      </c>
      <c r="AC334" s="137">
        <f>Transportation_LCIA!G$61*($W334^Transportation_LCIA!G$60)+Transportation_LCIA!G$62</f>
        <v>5.3499177250901447E-2</v>
      </c>
      <c r="AD334" s="137">
        <f>Transportation_LCIA!H$61*($W334^Transportation_LCIA!H$60)+Transportation_LCIA!H$62</f>
        <v>2.5690203206666127E-4</v>
      </c>
      <c r="AE334" s="137">
        <f>Transportation_LCIA!I$61*($W334^Transportation_LCIA!I$60)+Transportation_LCIA!I$62</f>
        <v>5.4204396335412955E-6</v>
      </c>
      <c r="AF334" s="137">
        <f>Transportation_LCIA!J$61*($W334^Transportation_LCIA!J$60)+Transportation_LCIA!J$62</f>
        <v>8.0190520461417836E-3</v>
      </c>
      <c r="AG334" s="137">
        <f>Transportation_LCIA!K$61*($W334^Transportation_LCIA!K$60)+Transportation_LCIA!K$62</f>
        <v>1.1313679973660994E-2</v>
      </c>
      <c r="AH334" s="137">
        <f>Transportation_LCIA!L$61*($W334^Transportation_LCIA!L$60)+Transportation_LCIA!L$62</f>
        <v>2.2160397302970679E-4</v>
      </c>
      <c r="AI334" s="137">
        <f>Transportation_LCIA!M$61*($W334^Transportation_LCIA!M$60)+Transportation_LCIA!M$62</f>
        <v>2.3262956020381003E-4</v>
      </c>
      <c r="AJ334" s="137">
        <f>Transportation_LCIA!N$61*($W334^Transportation_LCIA!N$60)+Transportation_LCIA!N$62</f>
        <v>9.2295162299593379E-4</v>
      </c>
      <c r="AK334" s="137">
        <f>Transportation_LCIA!O$61*($W334^Transportation_LCIA!O$60)+Transportation_LCIA!O$62</f>
        <v>5.6514002355368607E-5</v>
      </c>
      <c r="AL334" s="137">
        <f>Transportation_LCIA!P$61*($W334^Transportation_LCIA!P$60)+Transportation_LCIA!P$62</f>
        <v>2.7339923792184087E-8</v>
      </c>
      <c r="AM334" s="137">
        <f>Transportation_LCIA!Q$61*($W334^Transportation_LCIA!Q$60)+Transportation_LCIA!Q$62</f>
        <v>8.7810539654600102E-5</v>
      </c>
      <c r="AN334" s="137">
        <f>Transportation_LCIA!R$61*($W334^Transportation_LCIA!R$60)+Transportation_LCIA!R$62</f>
        <v>2.607706204398866E-4</v>
      </c>
      <c r="AO334" s="137">
        <f>Transportation_LCIA!S$61*($W334^Transportation_LCIA!S$60)+Transportation_LCIA!S$62</f>
        <v>3.9582973450462707E-6</v>
      </c>
      <c r="AP334" s="137">
        <f>Transportation_LCIA!T$61*($W334^Transportation_LCIA!T$60)+Transportation_LCIA!T$62</f>
        <v>3.9582973450462707E-6</v>
      </c>
      <c r="AQ334" s="137">
        <f>Transportation_LCIA!U$61*($W334^Transportation_LCIA!U$60)+Transportation_LCIA!U$62</f>
        <v>5.5859379412890307E-4</v>
      </c>
      <c r="AR334" s="137">
        <f>Transportation_LCIA!V$61*($W334^Transportation_LCIA!V$60)+Transportation_LCIA!V$62</f>
        <v>2.2836675907980154E-4</v>
      </c>
      <c r="AT334" s="137">
        <f>$W334*Y334+$L334*Summary_LCIA!H$32</f>
        <v>270.07902867017873</v>
      </c>
      <c r="AU334" s="137">
        <f>$W334*Z334+$L334*Summary_LCIA!Q$32</f>
        <v>2838.3546830990153</v>
      </c>
      <c r="AV334" s="137">
        <f>$W334*AA334+$L334*Summary_LCIA!R$32</f>
        <v>1.4695844136655627</v>
      </c>
      <c r="AW334" s="137">
        <f>$W334*AB334+$L334*Summary_LCIA!S$32</f>
        <v>269.83864697017873</v>
      </c>
      <c r="AX334" s="137">
        <f>$W334*AC334+$L334*Summary_LCIA!T$32</f>
        <v>66.050523257027351</v>
      </c>
      <c r="AY334" s="137">
        <f>$W334*AD334+$L334*Summary_LCIA!U$32</f>
        <v>1.2627252315761306</v>
      </c>
      <c r="AZ334" s="137">
        <f>$W334*AE334+$L334*Summary_LCIA!V$32</f>
        <v>8.6840314018375581E-3</v>
      </c>
      <c r="BA334" s="137">
        <f>$W334*AF334+$L334*Summary_LCIA!W$32</f>
        <v>13.190569287799446</v>
      </c>
      <c r="BB334" s="137">
        <f>$W334*AG334+$L334*Summary_LCIA!X$32</f>
        <v>13.942891617506502</v>
      </c>
      <c r="BC334" s="137">
        <f>$W334*AH334+$L334*Summary_LCIA!Y$32</f>
        <v>1.0962636264421282</v>
      </c>
      <c r="BD334" s="137">
        <f>$W334*AI334+$L334*Summary_LCIA!Z$32</f>
        <v>0.26344733612843391</v>
      </c>
      <c r="BE334" s="137">
        <f>$W334*AJ334+$L334*Summary_LCIA!AA$32</f>
        <v>2.3065878383985501</v>
      </c>
      <c r="BF334" s="137">
        <f>$W334*AK334+$L334*Summary_LCIA!AB$32</f>
        <v>6.2272080389950656E-2</v>
      </c>
      <c r="BG334" s="137">
        <f>$W334*AL334+$L334*Summary_LCIA!AC$32</f>
        <v>3.3358242797901699E-5</v>
      </c>
      <c r="BH334" s="137">
        <f>$W334*AM334+$L334*Summary_LCIA!AD$32</f>
        <v>0.12095585697265017</v>
      </c>
      <c r="BI334" s="137">
        <f>$W334*AN334+$L334*Summary_LCIA!AE$32</f>
        <v>0.34100851508402946</v>
      </c>
      <c r="BJ334" s="137">
        <f>$W334*AO334+$L334*Summary_LCIA!AF$32</f>
        <v>5.0422893332149755E-2</v>
      </c>
      <c r="BK334" s="137">
        <f>$W334*AP334+$L334*Summary_LCIA!AG$32</f>
        <v>7.2273351571497512E-3</v>
      </c>
      <c r="BL334" s="137">
        <f>$W334*AQ334+$L334*Summary_LCIA!AH$32</f>
        <v>1.100583842604516</v>
      </c>
      <c r="BM334" s="137">
        <f>$W334*AR334+$L334*Summary_LCIA!AI$32</f>
        <v>0.30709275798477159</v>
      </c>
    </row>
    <row r="335" spans="1:65" x14ac:dyDescent="0.25">
      <c r="A335" s="149">
        <v>357</v>
      </c>
      <c r="B335" s="149">
        <v>16</v>
      </c>
      <c r="C335" s="61">
        <v>33.436664999999998</v>
      </c>
      <c r="D335" s="61">
        <v>-111.940325</v>
      </c>
      <c r="E335" s="61" t="s">
        <v>265</v>
      </c>
      <c r="F335" s="149">
        <v>44</v>
      </c>
      <c r="G335" s="61" t="s">
        <v>565</v>
      </c>
      <c r="H335" s="61" t="s">
        <v>668</v>
      </c>
      <c r="I335" s="61">
        <v>33.437269000000001</v>
      </c>
      <c r="J335" s="61">
        <v>-112.00778800000001</v>
      </c>
      <c r="K335" s="61">
        <v>6.7490779520000004</v>
      </c>
      <c r="L335" s="61">
        <v>9.0399999999999991</v>
      </c>
      <c r="M335" s="61" t="s">
        <v>617</v>
      </c>
      <c r="N335" s="149">
        <v>15</v>
      </c>
      <c r="O335" s="149">
        <v>16</v>
      </c>
      <c r="P335" s="61" t="s">
        <v>565</v>
      </c>
      <c r="Q335" s="61" t="s">
        <v>556</v>
      </c>
      <c r="R335" s="61">
        <v>39.856096299999997</v>
      </c>
      <c r="S335" s="61">
        <v>-104.6737376</v>
      </c>
      <c r="T335" s="61">
        <v>1401.8340000000001</v>
      </c>
      <c r="U335" s="61" t="s">
        <v>617</v>
      </c>
      <c r="V335" s="61" t="s">
        <v>569</v>
      </c>
      <c r="W335" s="61" cm="1">
        <f t="array" ref="W335">getDistance(I335,J335,R335,S335)*SA!$B$12</f>
        <v>968.6486123202867</v>
      </c>
      <c r="Y335" s="137">
        <f>Transportation_LCIA!C$61*($W335^Transportation_LCIA!C$60)+Transportation_LCIA!C$62</f>
        <v>0.23886719687765717</v>
      </c>
      <c r="Z335" s="137">
        <f>Transportation_LCIA!D$61*($W335^Transportation_LCIA!D$60)+Transportation_LCIA!D$62</f>
        <v>2.4601046233999142</v>
      </c>
      <c r="AA335" s="137">
        <f>Transportation_LCIA!E$61*($W335^Transportation_LCIA!E$60)+Transportation_LCIA!E$62</f>
        <v>1.1670227321326603E-3</v>
      </c>
      <c r="AB335" s="137">
        <f>Transportation_LCIA!F$61*($W335^Transportation_LCIA!F$60)+Transportation_LCIA!F$62</f>
        <v>0.23886719687765717</v>
      </c>
      <c r="AC335" s="137">
        <f>Transportation_LCIA!G$61*($W335^Transportation_LCIA!G$60)+Transportation_LCIA!G$62</f>
        <v>5.7488593082864949E-2</v>
      </c>
      <c r="AD335" s="137">
        <f>Transportation_LCIA!H$61*($W335^Transportation_LCIA!H$60)+Transportation_LCIA!H$62</f>
        <v>2.8178708647962791E-4</v>
      </c>
      <c r="AE335" s="137">
        <f>Transportation_LCIA!I$61*($W335^Transportation_LCIA!I$60)+Transportation_LCIA!I$62</f>
        <v>6.0457933640980744E-6</v>
      </c>
      <c r="AF335" s="137">
        <f>Transportation_LCIA!J$61*($W335^Transportation_LCIA!J$60)+Transportation_LCIA!J$62</f>
        <v>8.9493105460058155E-3</v>
      </c>
      <c r="AG335" s="137">
        <f>Transportation_LCIA!K$61*($W335^Transportation_LCIA!K$60)+Transportation_LCIA!K$62</f>
        <v>1.2244023945167637E-2</v>
      </c>
      <c r="AH335" s="137">
        <f>Transportation_LCIA!L$61*($W335^Transportation_LCIA!L$60)+Transportation_LCIA!L$62</f>
        <v>2.4447038262371504E-4</v>
      </c>
      <c r="AI335" s="137">
        <f>Transportation_LCIA!M$61*($W335^Transportation_LCIA!M$60)+Transportation_LCIA!M$62</f>
        <v>2.4636258596831892E-4</v>
      </c>
      <c r="AJ335" s="137">
        <f>Transportation_LCIA!N$61*($W335^Transportation_LCIA!N$60)+Transportation_LCIA!N$62</f>
        <v>1.0066308986207888E-3</v>
      </c>
      <c r="AK335" s="137">
        <f>Transportation_LCIA!O$61*($W335^Transportation_LCIA!O$60)+Transportation_LCIA!O$62</f>
        <v>6.0753042653991307E-5</v>
      </c>
      <c r="AL335" s="137">
        <f>Transportation_LCIA!P$61*($W335^Transportation_LCIA!P$60)+Transportation_LCIA!P$62</f>
        <v>2.9378304943552793E-8</v>
      </c>
      <c r="AM335" s="137">
        <f>Transportation_LCIA!Q$61*($W335^Transportation_LCIA!Q$60)+Transportation_LCIA!Q$62</f>
        <v>9.67489323424237E-5</v>
      </c>
      <c r="AN335" s="137">
        <f>Transportation_LCIA!R$61*($W335^Transportation_LCIA!R$60)+Transportation_LCIA!R$62</f>
        <v>2.9075691947048329E-4</v>
      </c>
      <c r="AO335" s="137">
        <f>Transportation_LCIA!S$61*($W335^Transportation_LCIA!S$60)+Transportation_LCIA!S$62</f>
        <v>4.3838997605882826E-6</v>
      </c>
      <c r="AP335" s="137">
        <f>Transportation_LCIA!T$61*($W335^Transportation_LCIA!T$60)+Transportation_LCIA!T$62</f>
        <v>4.3838997605882826E-6</v>
      </c>
      <c r="AQ335" s="137">
        <f>Transportation_LCIA!U$61*($W335^Transportation_LCIA!U$60)+Transportation_LCIA!U$62</f>
        <v>6.2433252958363791E-4</v>
      </c>
      <c r="AR335" s="137">
        <f>Transportation_LCIA!V$61*($W335^Transportation_LCIA!V$60)+Transportation_LCIA!V$62</f>
        <v>2.5161188457774699E-4</v>
      </c>
      <c r="AT335" s="137">
        <f>$W335*Y335+$L335*Summary_LCIA!H$32</f>
        <v>234.45017078437934</v>
      </c>
      <c r="AU335" s="137">
        <f>$W335*Z335+$L335*Summary_LCIA!Q$32</f>
        <v>2427.7796255333683</v>
      </c>
      <c r="AV335" s="137">
        <f>$W335*AA335+$L335*Summary_LCIA!R$32</f>
        <v>1.1780359740265309</v>
      </c>
      <c r="AW335" s="137">
        <f>$W335*AB335+$L335*Summary_LCIA!S$32</f>
        <v>234.41021398437934</v>
      </c>
      <c r="AX335" s="137">
        <f>$W335*AC335+$L335*Summary_LCIA!T$32</f>
        <v>56.679741913962765</v>
      </c>
      <c r="AY335" s="137">
        <f>$W335*AD335+$L335*Summary_LCIA!U$32</f>
        <v>0.43489523028826815</v>
      </c>
      <c r="AZ335" s="137">
        <f>$W335*AE335+$L335*Summary_LCIA!V$32</f>
        <v>6.2880087925087976E-3</v>
      </c>
      <c r="BA335" s="137">
        <f>$W335*AF335+$L335*Summary_LCIA!W$32</f>
        <v>9.3645550816118401</v>
      </c>
      <c r="BB335" s="137">
        <f>$W335*AG335+$L335*Summary_LCIA!X$32</f>
        <v>12.066088003702994</v>
      </c>
      <c r="BC335" s="137">
        <f>$W335*AH335+$L335*Summary_LCIA!Y$32</f>
        <v>0.37766717688187113</v>
      </c>
      <c r="BD335" s="137">
        <f>$W335*AI335+$L335*Summary_LCIA!Z$32</f>
        <v>0.23900949838584945</v>
      </c>
      <c r="BE335" s="137">
        <f>$W335*AJ335+$L335*Summary_LCIA!AA$32</f>
        <v>1.1862098630677502</v>
      </c>
      <c r="BF335" s="137">
        <f>$W335*AK335+$L335*Summary_LCIA!AB$32</f>
        <v>5.8651070541023864E-2</v>
      </c>
      <c r="BG335" s="137">
        <f>$W335*AL335+$L335*Summary_LCIA!AC$32</f>
        <v>2.8899165675894633E-5</v>
      </c>
      <c r="BH335" s="137">
        <f>$W335*AM335+$L335*Summary_LCIA!AD$32</f>
        <v>9.7431520656958023E-2</v>
      </c>
      <c r="BI335" s="137">
        <f>$W335*AN335+$L335*Summary_LCIA!AE$32</f>
        <v>0.28965190176760502</v>
      </c>
      <c r="BJ335" s="137">
        <f>$W335*AO335+$L335*Summary_LCIA!AF$32</f>
        <v>1.1889055219645077E-2</v>
      </c>
      <c r="BK335" s="137">
        <f>$W335*AP335+$L335*Summary_LCIA!AG$32</f>
        <v>4.7089900196450769E-3</v>
      </c>
      <c r="BL335" s="137">
        <f>$W335*AQ335+$L335*Summary_LCIA!AH$32</f>
        <v>0.68343938240760527</v>
      </c>
      <c r="BM335" s="137">
        <f>$W335*AR335+$L335*Summary_LCIA!AI$32</f>
        <v>0.25214471483952677</v>
      </c>
    </row>
    <row r="336" spans="1:65" x14ac:dyDescent="0.25">
      <c r="A336" s="149">
        <v>93</v>
      </c>
      <c r="B336" s="149">
        <v>16</v>
      </c>
      <c r="C336" s="61">
        <v>33.452956999999998</v>
      </c>
      <c r="D336" s="61">
        <v>-112.07345100000001</v>
      </c>
      <c r="E336" s="61" t="s">
        <v>265</v>
      </c>
      <c r="F336" s="149">
        <v>44</v>
      </c>
      <c r="G336" s="61" t="s">
        <v>565</v>
      </c>
      <c r="H336" s="61" t="s">
        <v>668</v>
      </c>
      <c r="I336" s="61">
        <v>33.437269000000001</v>
      </c>
      <c r="J336" s="61">
        <v>-112.00778800000001</v>
      </c>
      <c r="K336" s="61">
        <v>8.2391779819999993</v>
      </c>
      <c r="L336" s="61">
        <v>9.9589999999999996</v>
      </c>
      <c r="M336" s="61" t="s">
        <v>617</v>
      </c>
      <c r="N336" s="149">
        <v>15</v>
      </c>
      <c r="O336" s="149">
        <v>16</v>
      </c>
      <c r="P336" s="61" t="s">
        <v>565</v>
      </c>
      <c r="Q336" s="61" t="s">
        <v>556</v>
      </c>
      <c r="R336" s="61">
        <v>39.856096299999997</v>
      </c>
      <c r="S336" s="61">
        <v>-104.6737376</v>
      </c>
      <c r="T336" s="61">
        <v>1415.8969999999999</v>
      </c>
      <c r="U336" s="61" t="s">
        <v>617</v>
      </c>
      <c r="V336" s="61" t="s">
        <v>569</v>
      </c>
      <c r="W336" s="61" cm="1">
        <f t="array" ref="W336">getDistance(I336,J336,R336,S336)*SA!$B$12</f>
        <v>968.6486123202867</v>
      </c>
      <c r="Y336" s="137">
        <f>Transportation_LCIA!C$61*($W336^Transportation_LCIA!C$60)+Transportation_LCIA!C$62</f>
        <v>0.23886719687765717</v>
      </c>
      <c r="Z336" s="137">
        <f>Transportation_LCIA!D$61*($W336^Transportation_LCIA!D$60)+Transportation_LCIA!D$62</f>
        <v>2.4601046233999142</v>
      </c>
      <c r="AA336" s="137">
        <f>Transportation_LCIA!E$61*($W336^Transportation_LCIA!E$60)+Transportation_LCIA!E$62</f>
        <v>1.1670227321326603E-3</v>
      </c>
      <c r="AB336" s="137">
        <f>Transportation_LCIA!F$61*($W336^Transportation_LCIA!F$60)+Transportation_LCIA!F$62</f>
        <v>0.23886719687765717</v>
      </c>
      <c r="AC336" s="137">
        <f>Transportation_LCIA!G$61*($W336^Transportation_LCIA!G$60)+Transportation_LCIA!G$62</f>
        <v>5.7488593082864949E-2</v>
      </c>
      <c r="AD336" s="137">
        <f>Transportation_LCIA!H$61*($W336^Transportation_LCIA!H$60)+Transportation_LCIA!H$62</f>
        <v>2.8178708647962791E-4</v>
      </c>
      <c r="AE336" s="137">
        <f>Transportation_LCIA!I$61*($W336^Transportation_LCIA!I$60)+Transportation_LCIA!I$62</f>
        <v>6.0457933640980744E-6</v>
      </c>
      <c r="AF336" s="137">
        <f>Transportation_LCIA!J$61*($W336^Transportation_LCIA!J$60)+Transportation_LCIA!J$62</f>
        <v>8.9493105460058155E-3</v>
      </c>
      <c r="AG336" s="137">
        <f>Transportation_LCIA!K$61*($W336^Transportation_LCIA!K$60)+Transportation_LCIA!K$62</f>
        <v>1.2244023945167637E-2</v>
      </c>
      <c r="AH336" s="137">
        <f>Transportation_LCIA!L$61*($W336^Transportation_LCIA!L$60)+Transportation_LCIA!L$62</f>
        <v>2.4447038262371504E-4</v>
      </c>
      <c r="AI336" s="137">
        <f>Transportation_LCIA!M$61*($W336^Transportation_LCIA!M$60)+Transportation_LCIA!M$62</f>
        <v>2.4636258596831892E-4</v>
      </c>
      <c r="AJ336" s="137">
        <f>Transportation_LCIA!N$61*($W336^Transportation_LCIA!N$60)+Transportation_LCIA!N$62</f>
        <v>1.0066308986207888E-3</v>
      </c>
      <c r="AK336" s="137">
        <f>Transportation_LCIA!O$61*($W336^Transportation_LCIA!O$60)+Transportation_LCIA!O$62</f>
        <v>6.0753042653991307E-5</v>
      </c>
      <c r="AL336" s="137">
        <f>Transportation_LCIA!P$61*($W336^Transportation_LCIA!P$60)+Transportation_LCIA!P$62</f>
        <v>2.9378304943552793E-8</v>
      </c>
      <c r="AM336" s="137">
        <f>Transportation_LCIA!Q$61*($W336^Transportation_LCIA!Q$60)+Transportation_LCIA!Q$62</f>
        <v>9.67489323424237E-5</v>
      </c>
      <c r="AN336" s="137">
        <f>Transportation_LCIA!R$61*($W336^Transportation_LCIA!R$60)+Transportation_LCIA!R$62</f>
        <v>2.9075691947048329E-4</v>
      </c>
      <c r="AO336" s="137">
        <f>Transportation_LCIA!S$61*($W336^Transportation_LCIA!S$60)+Transportation_LCIA!S$62</f>
        <v>4.3838997605882826E-6</v>
      </c>
      <c r="AP336" s="137">
        <f>Transportation_LCIA!T$61*($W336^Transportation_LCIA!T$60)+Transportation_LCIA!T$62</f>
        <v>4.3838997605882826E-6</v>
      </c>
      <c r="AQ336" s="137">
        <f>Transportation_LCIA!U$61*($W336^Transportation_LCIA!U$60)+Transportation_LCIA!U$62</f>
        <v>6.2433252958363791E-4</v>
      </c>
      <c r="AR336" s="137">
        <f>Transportation_LCIA!V$61*($W336^Transportation_LCIA!V$60)+Transportation_LCIA!V$62</f>
        <v>2.5161188457774699E-4</v>
      </c>
      <c r="AT336" s="137">
        <f>$W336*Y336+$L336*Summary_LCIA!H$32</f>
        <v>234.76244698437935</v>
      </c>
      <c r="AU336" s="137">
        <f>$W336*Z336+$L336*Summary_LCIA!Q$32</f>
        <v>2432.3342358812952</v>
      </c>
      <c r="AV336" s="137">
        <f>$W336*AA336+$L336*Summary_LCIA!R$32</f>
        <v>1.182875060426531</v>
      </c>
      <c r="AW336" s="137">
        <f>$W336*AB336+$L336*Summary_LCIA!S$32</f>
        <v>234.71842820437936</v>
      </c>
      <c r="AX336" s="137">
        <f>$W336*AC336+$L336*Summary_LCIA!T$32</f>
        <v>56.780740013962763</v>
      </c>
      <c r="AY336" s="137">
        <f>$W336*AD336+$L336*Summary_LCIA!U$32</f>
        <v>0.45135819628826818</v>
      </c>
      <c r="AZ336" s="137">
        <f>$W336*AE336+$L336*Summary_LCIA!V$32</f>
        <v>6.3319011515087977E-3</v>
      </c>
      <c r="BA336" s="137">
        <f>$W336*AF336+$L336*Summary_LCIA!W$32</f>
        <v>9.4352914306118407</v>
      </c>
      <c r="BB336" s="137">
        <f>$W336*AG336+$L336*Summary_LCIA!X$32</f>
        <v>12.087022823702993</v>
      </c>
      <c r="BC336" s="137">
        <f>$W336*AH336+$L336*Summary_LCIA!Y$32</f>
        <v>0.39198703488187114</v>
      </c>
      <c r="BD336" s="137">
        <f>$W336*AI336+$L336*Summary_LCIA!Z$32</f>
        <v>0.23904718565684946</v>
      </c>
      <c r="BE336" s="137">
        <f>$W336*AJ336+$L336*Summary_LCIA!AA$32</f>
        <v>1.2076740270677502</v>
      </c>
      <c r="BF336" s="137">
        <f>$W336*AK336+$L336*Summary_LCIA!AB$32</f>
        <v>5.8631015204023869E-2</v>
      </c>
      <c r="BG336" s="137">
        <f>$W336*AL336+$L336*Summary_LCIA!AC$32</f>
        <v>2.8944090071894634E-5</v>
      </c>
      <c r="BH336" s="137">
        <f>$W336*AM336+$L336*Summary_LCIA!AD$32</f>
        <v>9.7809266416958029E-2</v>
      </c>
      <c r="BI336" s="137">
        <f>$W336*AN336+$L336*Summary_LCIA!AE$32</f>
        <v>0.290466255237605</v>
      </c>
      <c r="BJ336" s="137">
        <f>$W336*AO336+$L336*Summary_LCIA!AF$32</f>
        <v>1.2665996199645077E-2</v>
      </c>
      <c r="BK336" s="137">
        <f>$W336*AP336+$L336*Summary_LCIA!AG$32</f>
        <v>4.7560106546450775E-3</v>
      </c>
      <c r="BL336" s="137">
        <f>$W336*AQ336+$L336*Summary_LCIA!AH$32</f>
        <v>0.69143799080760526</v>
      </c>
      <c r="BM336" s="137">
        <f>$W336*AR336+$L336*Summary_LCIA!AI$32</f>
        <v>0.25300080928952678</v>
      </c>
    </row>
    <row r="337" spans="1:65" x14ac:dyDescent="0.25">
      <c r="A337" s="149">
        <v>94</v>
      </c>
      <c r="B337" s="149">
        <v>16</v>
      </c>
      <c r="C337" s="61">
        <v>33.452956999999998</v>
      </c>
      <c r="D337" s="61">
        <v>-112.07345100000001</v>
      </c>
      <c r="E337" s="61" t="s">
        <v>265</v>
      </c>
      <c r="F337" s="149">
        <v>44</v>
      </c>
      <c r="G337" s="61" t="s">
        <v>565</v>
      </c>
      <c r="H337" s="61" t="s">
        <v>668</v>
      </c>
      <c r="I337" s="61">
        <v>33.437269000000001</v>
      </c>
      <c r="J337" s="61">
        <v>-112.00778800000001</v>
      </c>
      <c r="K337" s="61">
        <v>8.2391779819999993</v>
      </c>
      <c r="L337" s="61">
        <v>9.9589999999999996</v>
      </c>
      <c r="M337" s="61" t="s">
        <v>617</v>
      </c>
      <c r="N337" s="149">
        <v>15</v>
      </c>
      <c r="O337" s="149">
        <v>16</v>
      </c>
      <c r="P337" s="61" t="s">
        <v>565</v>
      </c>
      <c r="Q337" s="61" t="s">
        <v>556</v>
      </c>
      <c r="R337" s="61">
        <v>39.856096299999997</v>
      </c>
      <c r="S337" s="61">
        <v>-104.6737376</v>
      </c>
      <c r="T337" s="61">
        <v>1415.8969999999999</v>
      </c>
      <c r="U337" s="61" t="s">
        <v>617</v>
      </c>
      <c r="V337" s="61" t="s">
        <v>569</v>
      </c>
      <c r="W337" s="61" cm="1">
        <f t="array" ref="W337">getDistance(I337,J337,R337,S337)*SA!$B$12</f>
        <v>968.6486123202867</v>
      </c>
      <c r="Y337" s="137">
        <f>Transportation_LCIA!C$61*($W337^Transportation_LCIA!C$60)+Transportation_LCIA!C$62</f>
        <v>0.23886719687765717</v>
      </c>
      <c r="Z337" s="137">
        <f>Transportation_LCIA!D$61*($W337^Transportation_LCIA!D$60)+Transportation_LCIA!D$62</f>
        <v>2.4601046233999142</v>
      </c>
      <c r="AA337" s="137">
        <f>Transportation_LCIA!E$61*($W337^Transportation_LCIA!E$60)+Transportation_LCIA!E$62</f>
        <v>1.1670227321326603E-3</v>
      </c>
      <c r="AB337" s="137">
        <f>Transportation_LCIA!F$61*($W337^Transportation_LCIA!F$60)+Transportation_LCIA!F$62</f>
        <v>0.23886719687765717</v>
      </c>
      <c r="AC337" s="137">
        <f>Transportation_LCIA!G$61*($W337^Transportation_LCIA!G$60)+Transportation_LCIA!G$62</f>
        <v>5.7488593082864949E-2</v>
      </c>
      <c r="AD337" s="137">
        <f>Transportation_LCIA!H$61*($W337^Transportation_LCIA!H$60)+Transportation_LCIA!H$62</f>
        <v>2.8178708647962791E-4</v>
      </c>
      <c r="AE337" s="137">
        <f>Transportation_LCIA!I$61*($W337^Transportation_LCIA!I$60)+Transportation_LCIA!I$62</f>
        <v>6.0457933640980744E-6</v>
      </c>
      <c r="AF337" s="137">
        <f>Transportation_LCIA!J$61*($W337^Transportation_LCIA!J$60)+Transportation_LCIA!J$62</f>
        <v>8.9493105460058155E-3</v>
      </c>
      <c r="AG337" s="137">
        <f>Transportation_LCIA!K$61*($W337^Transportation_LCIA!K$60)+Transportation_LCIA!K$62</f>
        <v>1.2244023945167637E-2</v>
      </c>
      <c r="AH337" s="137">
        <f>Transportation_LCIA!L$61*($W337^Transportation_LCIA!L$60)+Transportation_LCIA!L$62</f>
        <v>2.4447038262371504E-4</v>
      </c>
      <c r="AI337" s="137">
        <f>Transportation_LCIA!M$61*($W337^Transportation_LCIA!M$60)+Transportation_LCIA!M$62</f>
        <v>2.4636258596831892E-4</v>
      </c>
      <c r="AJ337" s="137">
        <f>Transportation_LCIA!N$61*($W337^Transportation_LCIA!N$60)+Transportation_LCIA!N$62</f>
        <v>1.0066308986207888E-3</v>
      </c>
      <c r="AK337" s="137">
        <f>Transportation_LCIA!O$61*($W337^Transportation_LCIA!O$60)+Transportation_LCIA!O$62</f>
        <v>6.0753042653991307E-5</v>
      </c>
      <c r="AL337" s="137">
        <f>Transportation_LCIA!P$61*($W337^Transportation_LCIA!P$60)+Transportation_LCIA!P$62</f>
        <v>2.9378304943552793E-8</v>
      </c>
      <c r="AM337" s="137">
        <f>Transportation_LCIA!Q$61*($W337^Transportation_LCIA!Q$60)+Transportation_LCIA!Q$62</f>
        <v>9.67489323424237E-5</v>
      </c>
      <c r="AN337" s="137">
        <f>Transportation_LCIA!R$61*($W337^Transportation_LCIA!R$60)+Transportation_LCIA!R$62</f>
        <v>2.9075691947048329E-4</v>
      </c>
      <c r="AO337" s="137">
        <f>Transportation_LCIA!S$61*($W337^Transportation_LCIA!S$60)+Transportation_LCIA!S$62</f>
        <v>4.3838997605882826E-6</v>
      </c>
      <c r="AP337" s="137">
        <f>Transportation_LCIA!T$61*($W337^Transportation_LCIA!T$60)+Transportation_LCIA!T$62</f>
        <v>4.3838997605882826E-6</v>
      </c>
      <c r="AQ337" s="137">
        <f>Transportation_LCIA!U$61*($W337^Transportation_LCIA!U$60)+Transportation_LCIA!U$62</f>
        <v>6.2433252958363791E-4</v>
      </c>
      <c r="AR337" s="137">
        <f>Transportation_LCIA!V$61*($W337^Transportation_LCIA!V$60)+Transportation_LCIA!V$62</f>
        <v>2.5161188457774699E-4</v>
      </c>
      <c r="AT337" s="137">
        <f>$W337*Y337+$L337*Summary_LCIA!H$32</f>
        <v>234.76244698437935</v>
      </c>
      <c r="AU337" s="137">
        <f>$W337*Z337+$L337*Summary_LCIA!Q$32</f>
        <v>2432.3342358812952</v>
      </c>
      <c r="AV337" s="137">
        <f>$W337*AA337+$L337*Summary_LCIA!R$32</f>
        <v>1.182875060426531</v>
      </c>
      <c r="AW337" s="137">
        <f>$W337*AB337+$L337*Summary_LCIA!S$32</f>
        <v>234.71842820437936</v>
      </c>
      <c r="AX337" s="137">
        <f>$W337*AC337+$L337*Summary_LCIA!T$32</f>
        <v>56.780740013962763</v>
      </c>
      <c r="AY337" s="137">
        <f>$W337*AD337+$L337*Summary_LCIA!U$32</f>
        <v>0.45135819628826818</v>
      </c>
      <c r="AZ337" s="137">
        <f>$W337*AE337+$L337*Summary_LCIA!V$32</f>
        <v>6.3319011515087977E-3</v>
      </c>
      <c r="BA337" s="137">
        <f>$W337*AF337+$L337*Summary_LCIA!W$32</f>
        <v>9.4352914306118407</v>
      </c>
      <c r="BB337" s="137">
        <f>$W337*AG337+$L337*Summary_LCIA!X$32</f>
        <v>12.087022823702993</v>
      </c>
      <c r="BC337" s="137">
        <f>$W337*AH337+$L337*Summary_LCIA!Y$32</f>
        <v>0.39198703488187114</v>
      </c>
      <c r="BD337" s="137">
        <f>$W337*AI337+$L337*Summary_LCIA!Z$32</f>
        <v>0.23904718565684946</v>
      </c>
      <c r="BE337" s="137">
        <f>$W337*AJ337+$L337*Summary_LCIA!AA$32</f>
        <v>1.2076740270677502</v>
      </c>
      <c r="BF337" s="137">
        <f>$W337*AK337+$L337*Summary_LCIA!AB$32</f>
        <v>5.8631015204023869E-2</v>
      </c>
      <c r="BG337" s="137">
        <f>$W337*AL337+$L337*Summary_LCIA!AC$32</f>
        <v>2.8944090071894634E-5</v>
      </c>
      <c r="BH337" s="137">
        <f>$W337*AM337+$L337*Summary_LCIA!AD$32</f>
        <v>9.7809266416958029E-2</v>
      </c>
      <c r="BI337" s="137">
        <f>$W337*AN337+$L337*Summary_LCIA!AE$32</f>
        <v>0.290466255237605</v>
      </c>
      <c r="BJ337" s="137">
        <f>$W337*AO337+$L337*Summary_LCIA!AF$32</f>
        <v>1.2665996199645077E-2</v>
      </c>
      <c r="BK337" s="137">
        <f>$W337*AP337+$L337*Summary_LCIA!AG$32</f>
        <v>4.7560106546450775E-3</v>
      </c>
      <c r="BL337" s="137">
        <f>$W337*AQ337+$L337*Summary_LCIA!AH$32</f>
        <v>0.69143799080760526</v>
      </c>
      <c r="BM337" s="137">
        <f>$W337*AR337+$L337*Summary_LCIA!AI$32</f>
        <v>0.25300080928952678</v>
      </c>
    </row>
    <row r="338" spans="1:65" x14ac:dyDescent="0.25">
      <c r="A338" s="149">
        <v>364</v>
      </c>
      <c r="B338" s="149">
        <v>16</v>
      </c>
      <c r="C338" s="61">
        <v>32.233283999999998</v>
      </c>
      <c r="D338" s="61">
        <v>-110.948801</v>
      </c>
      <c r="E338" s="61" t="s">
        <v>265</v>
      </c>
      <c r="F338" s="149">
        <v>44</v>
      </c>
      <c r="G338" s="61" t="s">
        <v>565</v>
      </c>
      <c r="H338" s="61" t="s">
        <v>668</v>
      </c>
      <c r="I338" s="61">
        <v>33.437269000000001</v>
      </c>
      <c r="J338" s="61">
        <v>-112.00778800000001</v>
      </c>
      <c r="K338" s="61">
        <v>308.37148159999998</v>
      </c>
      <c r="L338" s="61">
        <v>180.36</v>
      </c>
      <c r="M338" s="61" t="s">
        <v>617</v>
      </c>
      <c r="N338" s="149">
        <v>15</v>
      </c>
      <c r="O338" s="149">
        <v>16</v>
      </c>
      <c r="P338" s="61" t="s">
        <v>565</v>
      </c>
      <c r="Q338" s="61" t="s">
        <v>556</v>
      </c>
      <c r="R338" s="61">
        <v>39.856096299999997</v>
      </c>
      <c r="S338" s="61">
        <v>-104.6737376</v>
      </c>
      <c r="T338" s="61">
        <v>1468.3810000000001</v>
      </c>
      <c r="U338" s="61" t="s">
        <v>617</v>
      </c>
      <c r="V338" s="61" t="s">
        <v>569</v>
      </c>
      <c r="W338" s="61" cm="1">
        <f t="array" ref="W338">getDistance(I338,J338,R338,S338)*SA!$B$12</f>
        <v>968.6486123202867</v>
      </c>
      <c r="Y338" s="137">
        <f>Transportation_LCIA!C$61*($W338^Transportation_LCIA!C$60)+Transportation_LCIA!C$62</f>
        <v>0.23886719687765717</v>
      </c>
      <c r="Z338" s="137">
        <f>Transportation_LCIA!D$61*($W338^Transportation_LCIA!D$60)+Transportation_LCIA!D$62</f>
        <v>2.4601046233999142</v>
      </c>
      <c r="AA338" s="137">
        <f>Transportation_LCIA!E$61*($W338^Transportation_LCIA!E$60)+Transportation_LCIA!E$62</f>
        <v>1.1670227321326603E-3</v>
      </c>
      <c r="AB338" s="137">
        <f>Transportation_LCIA!F$61*($W338^Transportation_LCIA!F$60)+Transportation_LCIA!F$62</f>
        <v>0.23886719687765717</v>
      </c>
      <c r="AC338" s="137">
        <f>Transportation_LCIA!G$61*($W338^Transportation_LCIA!G$60)+Transportation_LCIA!G$62</f>
        <v>5.7488593082864949E-2</v>
      </c>
      <c r="AD338" s="137">
        <f>Transportation_LCIA!H$61*($W338^Transportation_LCIA!H$60)+Transportation_LCIA!H$62</f>
        <v>2.8178708647962791E-4</v>
      </c>
      <c r="AE338" s="137">
        <f>Transportation_LCIA!I$61*($W338^Transportation_LCIA!I$60)+Transportation_LCIA!I$62</f>
        <v>6.0457933640980744E-6</v>
      </c>
      <c r="AF338" s="137">
        <f>Transportation_LCIA!J$61*($W338^Transportation_LCIA!J$60)+Transportation_LCIA!J$62</f>
        <v>8.9493105460058155E-3</v>
      </c>
      <c r="AG338" s="137">
        <f>Transportation_LCIA!K$61*($W338^Transportation_LCIA!K$60)+Transportation_LCIA!K$62</f>
        <v>1.2244023945167637E-2</v>
      </c>
      <c r="AH338" s="137">
        <f>Transportation_LCIA!L$61*($W338^Transportation_LCIA!L$60)+Transportation_LCIA!L$62</f>
        <v>2.4447038262371504E-4</v>
      </c>
      <c r="AI338" s="137">
        <f>Transportation_LCIA!M$61*($W338^Transportation_LCIA!M$60)+Transportation_LCIA!M$62</f>
        <v>2.4636258596831892E-4</v>
      </c>
      <c r="AJ338" s="137">
        <f>Transportation_LCIA!N$61*($W338^Transportation_LCIA!N$60)+Transportation_LCIA!N$62</f>
        <v>1.0066308986207888E-3</v>
      </c>
      <c r="AK338" s="137">
        <f>Transportation_LCIA!O$61*($W338^Transportation_LCIA!O$60)+Transportation_LCIA!O$62</f>
        <v>6.0753042653991307E-5</v>
      </c>
      <c r="AL338" s="137">
        <f>Transportation_LCIA!P$61*($W338^Transportation_LCIA!P$60)+Transportation_LCIA!P$62</f>
        <v>2.9378304943552793E-8</v>
      </c>
      <c r="AM338" s="137">
        <f>Transportation_LCIA!Q$61*($W338^Transportation_LCIA!Q$60)+Transportation_LCIA!Q$62</f>
        <v>9.67489323424237E-5</v>
      </c>
      <c r="AN338" s="137">
        <f>Transportation_LCIA!R$61*($W338^Transportation_LCIA!R$60)+Transportation_LCIA!R$62</f>
        <v>2.9075691947048329E-4</v>
      </c>
      <c r="AO338" s="137">
        <f>Transportation_LCIA!S$61*($W338^Transportation_LCIA!S$60)+Transportation_LCIA!S$62</f>
        <v>4.3838997605882826E-6</v>
      </c>
      <c r="AP338" s="137">
        <f>Transportation_LCIA!T$61*($W338^Transportation_LCIA!T$60)+Transportation_LCIA!T$62</f>
        <v>4.3838997605882826E-6</v>
      </c>
      <c r="AQ338" s="137">
        <f>Transportation_LCIA!U$61*($W338^Transportation_LCIA!U$60)+Transportation_LCIA!U$62</f>
        <v>6.2433252958363791E-4</v>
      </c>
      <c r="AR338" s="137">
        <f>Transportation_LCIA!V$61*($W338^Transportation_LCIA!V$60)+Transportation_LCIA!V$62</f>
        <v>2.5161188457774699E-4</v>
      </c>
      <c r="AT338" s="137">
        <f>$W338*Y338+$L338*Summary_LCIA!H$32</f>
        <v>292.66470678437935</v>
      </c>
      <c r="AU338" s="137">
        <f>$W338*Z338+$L338*Summary_LCIA!Q$32</f>
        <v>3276.8501857149286</v>
      </c>
      <c r="AV338" s="137">
        <f>$W338*AA338+$L338*Summary_LCIA!R$32</f>
        <v>2.0801385660265308</v>
      </c>
      <c r="AW338" s="137">
        <f>$W338*AB338+$L338*Summary_LCIA!S$32</f>
        <v>291.86751558437936</v>
      </c>
      <c r="AX338" s="137">
        <f>$W338*AC338+$L338*Summary_LCIA!T$32</f>
        <v>75.507809913962774</v>
      </c>
      <c r="AY338" s="137">
        <f>$W338*AD338+$L338*Summary_LCIA!U$32</f>
        <v>3.5039217102882683</v>
      </c>
      <c r="AZ338" s="137">
        <f>$W338*AE338+$L338*Summary_LCIA!V$32</f>
        <v>1.4470423312508798E-2</v>
      </c>
      <c r="BA338" s="137">
        <f>$W338*AF338+$L338*Summary_LCIA!W$32</f>
        <v>22.55122680161184</v>
      </c>
      <c r="BB338" s="137">
        <f>$W338*AG338+$L338*Summary_LCIA!X$32</f>
        <v>15.968757603702993</v>
      </c>
      <c r="BC338" s="137">
        <f>$W338*AH338+$L338*Summary_LCIA!Y$32</f>
        <v>3.047175416881871</v>
      </c>
      <c r="BD338" s="137">
        <f>$W338*AI338+$L338*Summary_LCIA!Z$32</f>
        <v>0.24603516026584946</v>
      </c>
      <c r="BE338" s="137">
        <f>$W338*AJ338+$L338*Summary_LCIA!AA$32</f>
        <v>5.1875597830677505</v>
      </c>
      <c r="BF338" s="137">
        <f>$W338*AK338+$L338*Summary_LCIA!AB$32</f>
        <v>5.4912354181023866E-2</v>
      </c>
      <c r="BG338" s="137">
        <f>$W338*AL338+$L338*Summary_LCIA!AC$32</f>
        <v>3.7273972555894631E-5</v>
      </c>
      <c r="BH338" s="137">
        <f>$W338*AM338+$L338*Summary_LCIA!AD$32</f>
        <v>0.16785089345695803</v>
      </c>
      <c r="BI338" s="137">
        <f>$W338*AN338+$L338*Summary_LCIA!AE$32</f>
        <v>0.44146369336760505</v>
      </c>
      <c r="BJ338" s="137">
        <f>$W338*AO338+$L338*Summary_LCIA!AF$32</f>
        <v>0.1567264096196451</v>
      </c>
      <c r="BK338" s="137">
        <f>$W338*AP338+$L338*Summary_LCIA!AG$32</f>
        <v>1.3474577819645079E-2</v>
      </c>
      <c r="BL338" s="137">
        <f>$W338*AQ338+$L338*Summary_LCIA!AH$32</f>
        <v>2.1745401344076054</v>
      </c>
      <c r="BM338" s="137">
        <f>$W338*AR338+$L338*Summary_LCIA!AI$32</f>
        <v>0.41173786083952679</v>
      </c>
    </row>
    <row r="339" spans="1:65" x14ac:dyDescent="0.25">
      <c r="A339" s="149">
        <v>142</v>
      </c>
      <c r="B339" s="149">
        <v>16</v>
      </c>
      <c r="C339" s="61">
        <v>30.122962999999999</v>
      </c>
      <c r="D339" s="61">
        <v>-97.611422000000005</v>
      </c>
      <c r="E339" s="61" t="s">
        <v>265</v>
      </c>
      <c r="F339" s="149">
        <v>92</v>
      </c>
      <c r="G339" s="61" t="s">
        <v>666</v>
      </c>
      <c r="H339" s="61" t="s">
        <v>667</v>
      </c>
      <c r="I339" s="61">
        <v>30.197471</v>
      </c>
      <c r="J339" s="61">
        <v>-97.666353000000001</v>
      </c>
      <c r="K339" s="61">
        <v>15.382665169999999</v>
      </c>
      <c r="L339" s="61">
        <v>15.595000000000001</v>
      </c>
      <c r="M339" s="61" t="s">
        <v>617</v>
      </c>
      <c r="N339" s="149">
        <v>15</v>
      </c>
      <c r="O339" s="149">
        <v>16</v>
      </c>
      <c r="P339" s="61" t="s">
        <v>565</v>
      </c>
      <c r="Q339" s="61" t="s">
        <v>556</v>
      </c>
      <c r="R339" s="61">
        <v>39.856096299999997</v>
      </c>
      <c r="S339" s="61">
        <v>-104.6737376</v>
      </c>
      <c r="T339" s="61">
        <v>1491.0440000000001</v>
      </c>
      <c r="U339" s="61" t="s">
        <v>617</v>
      </c>
      <c r="V339" s="61" t="s">
        <v>569</v>
      </c>
      <c r="W339" s="61" cm="1">
        <f t="array" ref="W339">getDistance(I339,J339,R339,S339)*SA!$B$12</f>
        <v>1248.9071638415444</v>
      </c>
      <c r="Y339" s="137">
        <f>Transportation_LCIA!C$61*($W339^Transportation_LCIA!C$60)+Transportation_LCIA!C$62</f>
        <v>0.21448823954102383</v>
      </c>
      <c r="Z339" s="137">
        <f>Transportation_LCIA!D$61*($W339^Transportation_LCIA!D$60)+Transportation_LCIA!D$62</f>
        <v>2.1767738252168236</v>
      </c>
      <c r="AA339" s="137">
        <f>Transportation_LCIA!E$61*($W339^Transportation_LCIA!E$60)+Transportation_LCIA!E$62</f>
        <v>9.8095248174726295E-4</v>
      </c>
      <c r="AB339" s="137">
        <f>Transportation_LCIA!F$61*($W339^Transportation_LCIA!F$60)+Transportation_LCIA!F$62</f>
        <v>0.21448823954102383</v>
      </c>
      <c r="AC339" s="137">
        <f>Transportation_LCIA!G$61*($W339^Transportation_LCIA!G$60)+Transportation_LCIA!G$62</f>
        <v>5.0931944626929238E-2</v>
      </c>
      <c r="AD339" s="137">
        <f>Transportation_LCIA!H$61*($W339^Transportation_LCIA!H$60)+Transportation_LCIA!H$62</f>
        <v>2.4096753967225786E-4</v>
      </c>
      <c r="AE339" s="137">
        <f>Transportation_LCIA!I$61*($W339^Transportation_LCIA!I$60)+Transportation_LCIA!I$62</f>
        <v>5.0219936794745138E-6</v>
      </c>
      <c r="AF339" s="137">
        <f>Transportation_LCIA!J$61*($W339^Transportation_LCIA!J$60)+Transportation_LCIA!J$62</f>
        <v>7.4282547578900064E-3</v>
      </c>
      <c r="AG339" s="137">
        <f>Transportation_LCIA!K$61*($W339^Transportation_LCIA!K$60)+Transportation_LCIA!K$62</f>
        <v>1.0716669733527501E-2</v>
      </c>
      <c r="AH339" s="137">
        <f>Transportation_LCIA!L$61*($W339^Transportation_LCIA!L$60)+Transportation_LCIA!L$62</f>
        <v>2.0698274841012563E-4</v>
      </c>
      <c r="AI339" s="137">
        <f>Transportation_LCIA!M$61*($W339^Transportation_LCIA!M$60)+Transportation_LCIA!M$62</f>
        <v>2.23837453296328E-4</v>
      </c>
      <c r="AJ339" s="137">
        <f>Transportation_LCIA!N$61*($W339^Transportation_LCIA!N$60)+Transportation_LCIA!N$62</f>
        <v>8.6934865177854014E-4</v>
      </c>
      <c r="AK339" s="137">
        <f>Transportation_LCIA!O$61*($W339^Transportation_LCIA!O$60)+Transportation_LCIA!O$62</f>
        <v>5.3786549642432523E-5</v>
      </c>
      <c r="AL339" s="137">
        <f>Transportation_LCIA!P$61*($W339^Transportation_LCIA!P$60)+Transportation_LCIA!P$62</f>
        <v>2.602786183859221E-8</v>
      </c>
      <c r="AM339" s="137">
        <f>Transportation_LCIA!Q$61*($W339^Transportation_LCIA!Q$60)+Transportation_LCIA!Q$62</f>
        <v>8.2099506965745372E-5</v>
      </c>
      <c r="AN339" s="137">
        <f>Transportation_LCIA!R$61*($W339^Transportation_LCIA!R$60)+Transportation_LCIA!R$62</f>
        <v>2.4166705452084486E-4</v>
      </c>
      <c r="AO339" s="137">
        <f>Transportation_LCIA!S$61*($W339^Transportation_LCIA!S$60)+Transportation_LCIA!S$62</f>
        <v>3.687095776344153E-6</v>
      </c>
      <c r="AP339" s="137">
        <f>Transportation_LCIA!T$61*($W339^Transportation_LCIA!T$60)+Transportation_LCIA!T$62</f>
        <v>3.687095776344153E-6</v>
      </c>
      <c r="AQ339" s="137">
        <f>Transportation_LCIA!U$61*($W339^Transportation_LCIA!U$60)+Transportation_LCIA!U$62</f>
        <v>5.1675261453299794E-4</v>
      </c>
      <c r="AR339" s="137">
        <f>Transportation_LCIA!V$61*($W339^Transportation_LCIA!V$60)+Transportation_LCIA!V$62</f>
        <v>2.1352925898039042E-4</v>
      </c>
      <c r="AT339" s="137">
        <f>$W339*Y339+$L339*Summary_LCIA!H$32</f>
        <v>273.17507992254588</v>
      </c>
      <c r="AU339" s="137">
        <f>$W339*Z339+$L339*Summary_LCIA!Q$32</f>
        <v>2795.8780308786877</v>
      </c>
      <c r="AV339" s="137">
        <f>$W339*AA339+$L339*Summary_LCIA!R$32</f>
        <v>1.3072356138422985</v>
      </c>
      <c r="AW339" s="137">
        <f>$W339*AB339+$L339*Summary_LCIA!S$32</f>
        <v>273.10615002254588</v>
      </c>
      <c r="AX339" s="137">
        <f>$W339*AC339+$L339*Summary_LCIA!T$32</f>
        <v>65.323161012952781</v>
      </c>
      <c r="AY339" s="137">
        <f>$W339*AD339+$L339*Summary_LCIA!U$32</f>
        <v>0.58031491654995437</v>
      </c>
      <c r="AZ339" s="137">
        <f>$W339*AE339+$L339*Summary_LCIA!V$32</f>
        <v>7.0168366780626766E-3</v>
      </c>
      <c r="BA339" s="137">
        <f>$W339*AF339+$L339*Summary_LCIA!W$32</f>
        <v>10.477563326968866</v>
      </c>
      <c r="BB339" s="137">
        <f>$W339*AG339+$L339*Summary_LCIA!X$32</f>
        <v>13.73937970272635</v>
      </c>
      <c r="BC339" s="137">
        <f>$W339*AH339+$L339*Summary_LCIA!Y$32</f>
        <v>0.50150352728101788</v>
      </c>
      <c r="BD339" s="137">
        <f>$W339*AI339+$L339*Summary_LCIA!Z$32</f>
        <v>0.28019173431283112</v>
      </c>
      <c r="BE339" s="137">
        <f>$W339*AJ339+$L339*Summary_LCIA!AA$32</f>
        <v>1.4499725790822069</v>
      </c>
      <c r="BF339" s="137">
        <f>$W339*AK339+$L339*Summary_LCIA!AB$32</f>
        <v>6.6834077481752838E-2</v>
      </c>
      <c r="BG339" s="137">
        <f>$W339*AL339+$L339*Summary_LCIA!AC$32</f>
        <v>3.3268729089695756E-5</v>
      </c>
      <c r="BH339" s="137">
        <f>$W339*AM339+$L339*Summary_LCIA!AD$32</f>
        <v>0.10894483119737818</v>
      </c>
      <c r="BI339" s="137">
        <f>$W339*AN339+$L339*Summary_LCIA!AE$32</f>
        <v>0.31563891300556823</v>
      </c>
      <c r="BJ339" s="137">
        <f>$W339*AO339+$L339*Summary_LCIA!AF$32</f>
        <v>1.7789165228846115E-2</v>
      </c>
      <c r="BK339" s="137">
        <f>$W339*AP339+$L339*Summary_LCIA!AG$32</f>
        <v>5.402758503846113E-3</v>
      </c>
      <c r="BL339" s="137">
        <f>$W339*AQ339+$L339*Summary_LCIA!AH$32</f>
        <v>0.78110868422410928</v>
      </c>
      <c r="BM339" s="137">
        <f>$W339*AR339+$L339*Summary_LCIA!AI$32</f>
        <v>0.28120574348038602</v>
      </c>
    </row>
    <row r="340" spans="1:65" x14ac:dyDescent="0.25">
      <c r="A340" s="149">
        <v>91</v>
      </c>
      <c r="B340" s="149">
        <v>16</v>
      </c>
      <c r="C340" s="61">
        <v>30.618675</v>
      </c>
      <c r="D340" s="61">
        <v>-96.336455000000001</v>
      </c>
      <c r="E340" s="61" t="s">
        <v>265</v>
      </c>
      <c r="F340" s="149">
        <v>92</v>
      </c>
      <c r="G340" s="61" t="s">
        <v>666</v>
      </c>
      <c r="H340" s="61" t="s">
        <v>667</v>
      </c>
      <c r="I340" s="61">
        <v>30.197471</v>
      </c>
      <c r="J340" s="61">
        <v>-97.666353000000001</v>
      </c>
      <c r="K340" s="61">
        <v>145.74323620000001</v>
      </c>
      <c r="L340" s="61">
        <v>167.483</v>
      </c>
      <c r="M340" s="61" t="s">
        <v>617</v>
      </c>
      <c r="N340" s="149">
        <v>15</v>
      </c>
      <c r="O340" s="149">
        <v>16</v>
      </c>
      <c r="P340" s="61" t="s">
        <v>565</v>
      </c>
      <c r="Q340" s="61" t="s">
        <v>556</v>
      </c>
      <c r="R340" s="61">
        <v>39.856096299999997</v>
      </c>
      <c r="S340" s="61">
        <v>-104.6737376</v>
      </c>
      <c r="T340" s="61">
        <v>1492.3</v>
      </c>
      <c r="U340" s="61" t="s">
        <v>617</v>
      </c>
      <c r="V340" s="61" t="s">
        <v>569</v>
      </c>
      <c r="W340" s="61" cm="1">
        <f t="array" ref="W340">getDistance(I340,J340,R340,S340)*SA!$B$12</f>
        <v>1248.9071638415444</v>
      </c>
      <c r="Y340" s="137">
        <f>Transportation_LCIA!C$61*($W340^Transportation_LCIA!C$60)+Transportation_LCIA!C$62</f>
        <v>0.21448823954102383</v>
      </c>
      <c r="Z340" s="137">
        <f>Transportation_LCIA!D$61*($W340^Transportation_LCIA!D$60)+Transportation_LCIA!D$62</f>
        <v>2.1767738252168236</v>
      </c>
      <c r="AA340" s="137">
        <f>Transportation_LCIA!E$61*($W340^Transportation_LCIA!E$60)+Transportation_LCIA!E$62</f>
        <v>9.8095248174726295E-4</v>
      </c>
      <c r="AB340" s="137">
        <f>Transportation_LCIA!F$61*($W340^Transportation_LCIA!F$60)+Transportation_LCIA!F$62</f>
        <v>0.21448823954102383</v>
      </c>
      <c r="AC340" s="137">
        <f>Transportation_LCIA!G$61*($W340^Transportation_LCIA!G$60)+Transportation_LCIA!G$62</f>
        <v>5.0931944626929238E-2</v>
      </c>
      <c r="AD340" s="137">
        <f>Transportation_LCIA!H$61*($W340^Transportation_LCIA!H$60)+Transportation_LCIA!H$62</f>
        <v>2.4096753967225786E-4</v>
      </c>
      <c r="AE340" s="137">
        <f>Transportation_LCIA!I$61*($W340^Transportation_LCIA!I$60)+Transportation_LCIA!I$62</f>
        <v>5.0219936794745138E-6</v>
      </c>
      <c r="AF340" s="137">
        <f>Transportation_LCIA!J$61*($W340^Transportation_LCIA!J$60)+Transportation_LCIA!J$62</f>
        <v>7.4282547578900064E-3</v>
      </c>
      <c r="AG340" s="137">
        <f>Transportation_LCIA!K$61*($W340^Transportation_LCIA!K$60)+Transportation_LCIA!K$62</f>
        <v>1.0716669733527501E-2</v>
      </c>
      <c r="AH340" s="137">
        <f>Transportation_LCIA!L$61*($W340^Transportation_LCIA!L$60)+Transportation_LCIA!L$62</f>
        <v>2.0698274841012563E-4</v>
      </c>
      <c r="AI340" s="137">
        <f>Transportation_LCIA!M$61*($W340^Transportation_LCIA!M$60)+Transportation_LCIA!M$62</f>
        <v>2.23837453296328E-4</v>
      </c>
      <c r="AJ340" s="137">
        <f>Transportation_LCIA!N$61*($W340^Transportation_LCIA!N$60)+Transportation_LCIA!N$62</f>
        <v>8.6934865177854014E-4</v>
      </c>
      <c r="AK340" s="137">
        <f>Transportation_LCIA!O$61*($W340^Transportation_LCIA!O$60)+Transportation_LCIA!O$62</f>
        <v>5.3786549642432523E-5</v>
      </c>
      <c r="AL340" s="137">
        <f>Transportation_LCIA!P$61*($W340^Transportation_LCIA!P$60)+Transportation_LCIA!P$62</f>
        <v>2.602786183859221E-8</v>
      </c>
      <c r="AM340" s="137">
        <f>Transportation_LCIA!Q$61*($W340^Transportation_LCIA!Q$60)+Transportation_LCIA!Q$62</f>
        <v>8.2099506965745372E-5</v>
      </c>
      <c r="AN340" s="137">
        <f>Transportation_LCIA!R$61*($W340^Transportation_LCIA!R$60)+Transportation_LCIA!R$62</f>
        <v>2.4166705452084486E-4</v>
      </c>
      <c r="AO340" s="137">
        <f>Transportation_LCIA!S$61*($W340^Transportation_LCIA!S$60)+Transportation_LCIA!S$62</f>
        <v>3.687095776344153E-6</v>
      </c>
      <c r="AP340" s="137">
        <f>Transportation_LCIA!T$61*($W340^Transportation_LCIA!T$60)+Transportation_LCIA!T$62</f>
        <v>3.687095776344153E-6</v>
      </c>
      <c r="AQ340" s="137">
        <f>Transportation_LCIA!U$61*($W340^Transportation_LCIA!U$60)+Transportation_LCIA!U$62</f>
        <v>5.1675261453299794E-4</v>
      </c>
      <c r="AR340" s="137">
        <f>Transportation_LCIA!V$61*($W340^Transportation_LCIA!V$60)+Transportation_LCIA!V$62</f>
        <v>2.1352925898039042E-4</v>
      </c>
      <c r="AT340" s="137">
        <f>$W340*Y340+$L340*Summary_LCIA!H$32</f>
        <v>324.7866223225459</v>
      </c>
      <c r="AU340" s="137">
        <f>$W340*Z340+$L340*Summary_LCIA!Q$32</f>
        <v>3548.6426190461916</v>
      </c>
      <c r="AV340" s="137">
        <f>$W340*AA340+$L340*Summary_LCIA!R$32</f>
        <v>2.1070170666422987</v>
      </c>
      <c r="AW340" s="137">
        <f>$W340*AB340+$L340*Summary_LCIA!S$32</f>
        <v>324.0463474625459</v>
      </c>
      <c r="AX340" s="137">
        <f>$W340*AC340+$L340*Summary_LCIA!T$32</f>
        <v>82.015652212952787</v>
      </c>
      <c r="AY340" s="137">
        <f>$W340*AD340+$L340*Summary_LCIA!U$32</f>
        <v>3.3012365485499546</v>
      </c>
      <c r="AZ340" s="137">
        <f>$W340*AE340+$L340*Summary_LCIA!V$32</f>
        <v>1.4271159446062677E-2</v>
      </c>
      <c r="BA340" s="137">
        <f>$W340*AF340+$L340*Summary_LCIA!W$32</f>
        <v>22.168534574968866</v>
      </c>
      <c r="BB340" s="137">
        <f>$W340*AG340+$L340*Summary_LCIA!X$32</f>
        <v>17.199388342726351</v>
      </c>
      <c r="BC340" s="137">
        <f>$W340*AH340+$L340*Summary_LCIA!Y$32</f>
        <v>2.8682223432810181</v>
      </c>
      <c r="BD340" s="137">
        <f>$W340*AI340+$L340*Summary_LCIA!Z$32</f>
        <v>0.28642050930483109</v>
      </c>
      <c r="BE340" s="137">
        <f>$W340*AJ340+$L340*Summary_LCIA!AA$32</f>
        <v>4.9974687070822066</v>
      </c>
      <c r="BF340" s="137">
        <f>$W340*AK340+$L340*Summary_LCIA!AB$32</f>
        <v>6.3519425657752843E-2</v>
      </c>
      <c r="BG340" s="137">
        <f>$W340*AL340+$L340*Summary_LCIA!AC$32</f>
        <v>4.0693622081695758E-5</v>
      </c>
      <c r="BH340" s="137">
        <f>$W340*AM340+$L340*Summary_LCIA!AD$32</f>
        <v>0.17137687471737817</v>
      </c>
      <c r="BI340" s="137">
        <f>$W340*AN340+$L340*Summary_LCIA!AE$32</f>
        <v>0.45023142644556824</v>
      </c>
      <c r="BJ340" s="137">
        <f>$W340*AO340+$L340*Summary_LCIA!AF$32</f>
        <v>0.14619831818884613</v>
      </c>
      <c r="BK340" s="137">
        <f>$W340*AP340+$L340*Summary_LCIA!AG$32</f>
        <v>1.3174108023846113E-2</v>
      </c>
      <c r="BL340" s="137">
        <f>$W340*AQ340+$L340*Summary_LCIA!AH$32</f>
        <v>2.1030810810241096</v>
      </c>
      <c r="BM340" s="137">
        <f>$W340*AR340+$L340*Summary_LCIA!AI$32</f>
        <v>0.42269700988038605</v>
      </c>
    </row>
    <row r="341" spans="1:65" x14ac:dyDescent="0.25">
      <c r="A341" s="149">
        <v>290</v>
      </c>
      <c r="B341" s="149">
        <v>6</v>
      </c>
      <c r="C341" s="61">
        <v>30.421309000000001</v>
      </c>
      <c r="D341" s="61">
        <v>-87.216915</v>
      </c>
      <c r="E341" s="61" t="s">
        <v>265</v>
      </c>
      <c r="F341" s="149">
        <v>98</v>
      </c>
      <c r="G341" s="61" t="s">
        <v>713</v>
      </c>
      <c r="H341" s="61" t="s">
        <v>714</v>
      </c>
      <c r="I341" s="61">
        <v>29.991091000000001</v>
      </c>
      <c r="J341" s="61">
        <v>-90.259230000000002</v>
      </c>
      <c r="K341" s="61">
        <v>302.75969529999998</v>
      </c>
      <c r="L341" s="61">
        <v>342.399</v>
      </c>
      <c r="M341" s="61" t="s">
        <v>617</v>
      </c>
      <c r="N341" s="149">
        <v>5</v>
      </c>
      <c r="O341" s="149">
        <v>6</v>
      </c>
      <c r="P341" s="61" t="s">
        <v>565</v>
      </c>
      <c r="Q341" s="61" t="s">
        <v>564</v>
      </c>
      <c r="R341" s="61">
        <v>41.98028</v>
      </c>
      <c r="S341" s="61">
        <v>-87.908997900000003</v>
      </c>
      <c r="T341" s="61">
        <v>1495.1489999999999</v>
      </c>
      <c r="U341" s="61" t="s">
        <v>617</v>
      </c>
      <c r="V341" s="61" t="s">
        <v>569</v>
      </c>
      <c r="W341" s="61" cm="1">
        <f t="array" ref="W341">getDistance(I341,J341,R341,S341)*SA!$B$12</f>
        <v>1349.8306218678963</v>
      </c>
      <c r="Y341" s="137">
        <f>Transportation_LCIA!C$61*($W341^Transportation_LCIA!C$60)+Transportation_LCIA!C$62</f>
        <v>0.20801288224603856</v>
      </c>
      <c r="Z341" s="137">
        <f>Transportation_LCIA!D$61*($W341^Transportation_LCIA!D$60)+Transportation_LCIA!D$62</f>
        <v>2.1020713520322163</v>
      </c>
      <c r="AA341" s="137">
        <f>Transportation_LCIA!E$61*($W341^Transportation_LCIA!E$60)+Transportation_LCIA!E$62</f>
        <v>9.3199534224582881E-4</v>
      </c>
      <c r="AB341" s="137">
        <f>Transportation_LCIA!F$61*($W341^Transportation_LCIA!F$60)+Transportation_LCIA!F$62</f>
        <v>0.20801288224603856</v>
      </c>
      <c r="AC341" s="137">
        <f>Transportation_LCIA!G$61*($W341^Transportation_LCIA!G$60)+Transportation_LCIA!G$62</f>
        <v>4.9202485658922233E-2</v>
      </c>
      <c r="AD341" s="137">
        <f>Transportation_LCIA!H$61*($W341^Transportation_LCIA!H$60)+Transportation_LCIA!H$62</f>
        <v>2.3027146754317382E-4</v>
      </c>
      <c r="AE341" s="137">
        <f>Transportation_LCIA!I$61*($W341^Transportation_LCIA!I$60)+Transportation_LCIA!I$62</f>
        <v>4.7554938620881842E-6</v>
      </c>
      <c r="AF341" s="137">
        <f>Transportation_LCIA!J$61*($W341^Transportation_LCIA!J$60)+Transportation_LCIA!J$62</f>
        <v>7.0340266547689436E-3</v>
      </c>
      <c r="AG341" s="137">
        <f>Transportation_LCIA!K$61*($W341^Transportation_LCIA!K$60)+Transportation_LCIA!K$62</f>
        <v>1.0315298317133719E-2</v>
      </c>
      <c r="AH341" s="137">
        <f>Transportation_LCIA!L$61*($W341^Transportation_LCIA!L$60)+Transportation_LCIA!L$62</f>
        <v>1.9717823496531628E-4</v>
      </c>
      <c r="AI341" s="137">
        <f>Transportation_LCIA!M$61*($W341^Transportation_LCIA!M$60)+Transportation_LCIA!M$62</f>
        <v>2.1793644347759404E-4</v>
      </c>
      <c r="AJ341" s="137">
        <f>Transportation_LCIA!N$61*($W341^Transportation_LCIA!N$60)+Transportation_LCIA!N$62</f>
        <v>8.3335724645946727E-4</v>
      </c>
      <c r="AK341" s="137">
        <f>Transportation_LCIA!O$61*($W341^Transportation_LCIA!O$60)+Transportation_LCIA!O$62</f>
        <v>5.1949358329612822E-5</v>
      </c>
      <c r="AL341" s="137">
        <f>Transportation_LCIA!P$61*($W341^Transportation_LCIA!P$60)+Transportation_LCIA!P$62</f>
        <v>2.5143803133458951E-8</v>
      </c>
      <c r="AM341" s="137">
        <f>Transportation_LCIA!Q$61*($W341^Transportation_LCIA!Q$60)+Transportation_LCIA!Q$62</f>
        <v>7.8271982505673888E-5</v>
      </c>
      <c r="AN341" s="137">
        <f>Transportation_LCIA!R$61*($W341^Transportation_LCIA!R$60)+Transportation_LCIA!R$62</f>
        <v>2.2889077892715784E-4</v>
      </c>
      <c r="AO341" s="137">
        <f>Transportation_LCIA!S$61*($W341^Transportation_LCIA!S$60)+Transportation_LCIA!S$62</f>
        <v>3.5056897062849549E-6</v>
      </c>
      <c r="AP341" s="137">
        <f>Transportation_LCIA!T$61*($W341^Transportation_LCIA!T$60)+Transportation_LCIA!T$62</f>
        <v>3.5056897062849549E-6</v>
      </c>
      <c r="AQ341" s="137">
        <f>Transportation_LCIA!U$61*($W341^Transportation_LCIA!U$60)+Transportation_LCIA!U$62</f>
        <v>4.8878869207367895E-4</v>
      </c>
      <c r="AR341" s="137">
        <f>Transportation_LCIA!V$61*($W341^Transportation_LCIA!V$60)+Transportation_LCIA!V$62</f>
        <v>2.0359224667631099E-4</v>
      </c>
      <c r="AT341" s="137">
        <f>$W341*Y341+$L341*Summary_LCIA!H$32</f>
        <v>397.12933839870368</v>
      </c>
      <c r="AU341" s="137">
        <f>$W341*Z341+$L341*Summary_LCIA!Q$32</f>
        <v>4534.3869925331028</v>
      </c>
      <c r="AV341" s="137">
        <f>$W341*AA341+$L341*Summary_LCIA!R$32</f>
        <v>3.0609720268016698</v>
      </c>
      <c r="AW341" s="137">
        <f>$W341*AB341+$L341*Summary_LCIA!S$32</f>
        <v>395.61593481870375</v>
      </c>
      <c r="AX341" s="137">
        <f>$W341*AC341+$L341*Summary_LCIA!T$32</f>
        <v>104.04467191442924</v>
      </c>
      <c r="AY341" s="137">
        <f>$W341*AD341+$L341*Summary_LCIA!U$32</f>
        <v>6.4445631642322354</v>
      </c>
      <c r="AZ341" s="137">
        <f>$W341*AE341+$L341*Summary_LCIA!V$32</f>
        <v>2.2772429876151457E-2</v>
      </c>
      <c r="BA341" s="137">
        <f>$W341*AF341+$L341*Summary_LCIA!W$32</f>
        <v>35.84953800264212</v>
      </c>
      <c r="BB341" s="137">
        <f>$W341*AG341+$L341*Summary_LCIA!X$32</f>
        <v>21.72375476216947</v>
      </c>
      <c r="BC341" s="137">
        <f>$W341*AH341+$L341*Summary_LCIA!Y$32</f>
        <v>5.6014184375220477</v>
      </c>
      <c r="BD341" s="137">
        <f>$W341*AI341+$L341*Summary_LCIA!Z$32</f>
        <v>0.30821872561803837</v>
      </c>
      <c r="BE341" s="137">
        <f>$W341*AJ341+$L341*Summary_LCIA!AA$32</f>
        <v>9.1219621742264998</v>
      </c>
      <c r="BF341" s="137">
        <f>$W341*AK341+$L341*Summary_LCIA!AB$32</f>
        <v>6.2650661282699457E-2</v>
      </c>
      <c r="BG341" s="137">
        <f>$W341*AL341+$L341*Summary_LCIA!AC$32</f>
        <v>5.0677708135760855E-5</v>
      </c>
      <c r="BH341" s="137">
        <f>$W341*AM341+$L341*Summary_LCIA!AD$32</f>
        <v>0.24639360378046687</v>
      </c>
      <c r="BI341" s="137">
        <f>$W341*AN341+$L341*Summary_LCIA!AE$32</f>
        <v>0.61237380832907262</v>
      </c>
      <c r="BJ341" s="137">
        <f>$W341*AO341+$L341*Summary_LCIA!AF$32</f>
        <v>0.29420304989631052</v>
      </c>
      <c r="BK341" s="137">
        <f>$W341*AP341+$L341*Summary_LCIA!AG$32</f>
        <v>2.2250932151310507E-2</v>
      </c>
      <c r="BL341" s="137">
        <f>$W341*AQ341+$L341*Summary_LCIA!AH$32</f>
        <v>3.6398858805838099</v>
      </c>
      <c r="BM341" s="137">
        <f>$W341*AR341+$L341*Summary_LCIA!AI$32</f>
        <v>0.59377683738856701</v>
      </c>
    </row>
    <row r="342" spans="1:65" x14ac:dyDescent="0.25">
      <c r="A342" s="149">
        <v>348</v>
      </c>
      <c r="B342" s="149">
        <v>16</v>
      </c>
      <c r="C342" s="61">
        <v>30.079940000000001</v>
      </c>
      <c r="D342" s="61">
        <v>-95.417159999999996</v>
      </c>
      <c r="E342" s="61" t="s">
        <v>265</v>
      </c>
      <c r="F342" s="149">
        <v>47</v>
      </c>
      <c r="G342" s="61" t="s">
        <v>565</v>
      </c>
      <c r="H342" s="61" t="s">
        <v>688</v>
      </c>
      <c r="I342" s="61">
        <v>29.990220000000001</v>
      </c>
      <c r="J342" s="61">
        <v>-95.336782999999997</v>
      </c>
      <c r="K342" s="61">
        <v>18.611022930000001</v>
      </c>
      <c r="L342" s="61">
        <v>20.567</v>
      </c>
      <c r="M342" s="61" t="s">
        <v>617</v>
      </c>
      <c r="N342" s="149">
        <v>15</v>
      </c>
      <c r="O342" s="149">
        <v>16</v>
      </c>
      <c r="P342" s="61" t="s">
        <v>565</v>
      </c>
      <c r="Q342" s="61" t="s">
        <v>556</v>
      </c>
      <c r="R342" s="61">
        <v>39.856096299999997</v>
      </c>
      <c r="S342" s="61">
        <v>-104.6737376</v>
      </c>
      <c r="T342" s="61">
        <v>1597.2139999999999</v>
      </c>
      <c r="U342" s="61" t="s">
        <v>617</v>
      </c>
      <c r="V342" s="61" t="s">
        <v>569</v>
      </c>
      <c r="W342" s="61" cm="1">
        <f t="array" ref="W342">getDistance(I342,J342,R342,S342)*SA!$B$12</f>
        <v>1387.9132257585461</v>
      </c>
      <c r="Y342" s="137">
        <f>Transportation_LCIA!C$61*($W342^Transportation_LCIA!C$60)+Transportation_LCIA!C$62</f>
        <v>0.20579525705276458</v>
      </c>
      <c r="Z342" s="137">
        <f>Transportation_LCIA!D$61*($W342^Transportation_LCIA!D$60)+Transportation_LCIA!D$62</f>
        <v>2.0765468445420829</v>
      </c>
      <c r="AA342" s="137">
        <f>Transportation_LCIA!E$61*($W342^Transportation_LCIA!E$60)+Transportation_LCIA!E$62</f>
        <v>9.1527840311280795E-4</v>
      </c>
      <c r="AB342" s="137">
        <f>Transportation_LCIA!F$61*($W342^Transportation_LCIA!F$60)+Transportation_LCIA!F$62</f>
        <v>0.20579525705276458</v>
      </c>
      <c r="AC342" s="137">
        <f>Transportation_LCIA!G$61*($W342^Transportation_LCIA!G$60)+Transportation_LCIA!G$62</f>
        <v>4.8611480731504453E-2</v>
      </c>
      <c r="AD342" s="137">
        <f>Transportation_LCIA!H$61*($W342^Transportation_LCIA!H$60)+Transportation_LCIA!H$62</f>
        <v>2.2662385614924451E-4</v>
      </c>
      <c r="AE342" s="137">
        <f>Transportation_LCIA!I$61*($W342^Transportation_LCIA!I$60)+Transportation_LCIA!I$62</f>
        <v>4.664798591597283E-6</v>
      </c>
      <c r="AF342" s="137">
        <f>Transportation_LCIA!J$61*($W342^Transportation_LCIA!J$60)+Transportation_LCIA!J$62</f>
        <v>6.9000437332686158E-3</v>
      </c>
      <c r="AG342" s="137">
        <f>Transportation_LCIA!K$61*($W342^Transportation_LCIA!K$60)+Transportation_LCIA!K$62</f>
        <v>1.0178298192258982E-2</v>
      </c>
      <c r="AH342" s="137">
        <f>Transportation_LCIA!L$61*($W342^Transportation_LCIA!L$60)+Transportation_LCIA!L$62</f>
        <v>1.9383663062244881E-4</v>
      </c>
      <c r="AI342" s="137">
        <f>Transportation_LCIA!M$61*($W342^Transportation_LCIA!M$60)+Transportation_LCIA!M$62</f>
        <v>2.159242012470611E-4</v>
      </c>
      <c r="AJ342" s="137">
        <f>Transportation_LCIA!N$61*($W342^Transportation_LCIA!N$60)+Transportation_LCIA!N$62</f>
        <v>8.2108131993988739E-4</v>
      </c>
      <c r="AK342" s="137">
        <f>Transportation_LCIA!O$61*($W342^Transportation_LCIA!O$60)+Transportation_LCIA!O$62</f>
        <v>5.1321578029541128E-5</v>
      </c>
      <c r="AL342" s="137">
        <f>Transportation_LCIA!P$61*($W342^Transportation_LCIA!P$60)+Transportation_LCIA!P$62</f>
        <v>2.4841662634578297E-8</v>
      </c>
      <c r="AM342" s="137">
        <f>Transportation_LCIA!Q$61*($W342^Transportation_LCIA!Q$60)+Transportation_LCIA!Q$62</f>
        <v>7.6967886691158753E-5</v>
      </c>
      <c r="AN342" s="137">
        <f>Transportation_LCIA!R$61*($W342^Transportation_LCIA!R$60)+Transportation_LCIA!R$62</f>
        <v>2.2454297120611953E-4</v>
      </c>
      <c r="AO342" s="137">
        <f>Transportation_LCIA!S$61*($W342^Transportation_LCIA!S$60)+Transportation_LCIA!S$62</f>
        <v>3.4439509298357079E-6</v>
      </c>
      <c r="AP342" s="137">
        <f>Transportation_LCIA!T$61*($W342^Transportation_LCIA!T$60)+Transportation_LCIA!T$62</f>
        <v>3.4439509298357079E-6</v>
      </c>
      <c r="AQ342" s="137">
        <f>Transportation_LCIA!U$61*($W342^Transportation_LCIA!U$60)+Transportation_LCIA!U$62</f>
        <v>4.792762052799418E-4</v>
      </c>
      <c r="AR342" s="137">
        <f>Transportation_LCIA!V$61*($W342^Transportation_LCIA!V$60)+Transportation_LCIA!V$62</f>
        <v>2.0020793733126354E-4</v>
      </c>
      <c r="AT342" s="137">
        <f>$W342*Y342+$L342*Summary_LCIA!H$32</f>
        <v>292.61462566191165</v>
      </c>
      <c r="AU342" s="137">
        <f>$W342*Z342+$L342*Summary_LCIA!Q$32</f>
        <v>2983.9979187026433</v>
      </c>
      <c r="AV342" s="137">
        <f>$W342*AA342+$L342*Summary_LCIA!R$32</f>
        <v>1.3786245961314283</v>
      </c>
      <c r="AW342" s="137">
        <f>$W342*AB342+$L342*Summary_LCIA!S$32</f>
        <v>292.52371952191163</v>
      </c>
      <c r="AX342" s="137">
        <f>$W342*AC342+$L342*Summary_LCIA!T$32</f>
        <v>69.728830330961756</v>
      </c>
      <c r="AY342" s="137">
        <f>$W342*AD342+$L342*Summary_LCIA!U$32</f>
        <v>0.68297148522193862</v>
      </c>
      <c r="AZ342" s="137">
        <f>$W342*AE342+$L342*Summary_LCIA!V$32</f>
        <v>7.4566361477777076E-3</v>
      </c>
      <c r="BA342" s="137">
        <f>$W342*AF342+$L342*Summary_LCIA!W$32</f>
        <v>11.159724512715885</v>
      </c>
      <c r="BB342" s="137">
        <f>$W342*AG342+$L342*Summary_LCIA!X$32</f>
        <v>14.595110936750542</v>
      </c>
      <c r="BC342" s="137">
        <f>$W342*AH342+$L342*Summary_LCIA!Y$32</f>
        <v>0.58950341727737077</v>
      </c>
      <c r="BD342" s="137">
        <f>$W342*AI342+$L342*Summary_LCIA!Z$32</f>
        <v>0.30052748677514601</v>
      </c>
      <c r="BE342" s="137">
        <f>$W342*AJ342+$L342*Summary_LCIA!AA$32</f>
        <v>1.619952475367854</v>
      </c>
      <c r="BF342" s="137">
        <f>$W342*AK342+$L342*Summary_LCIA!AB$32</f>
        <v>7.0781063272999351E-2</v>
      </c>
      <c r="BG342" s="137">
        <f>$W342*AL342+$L342*Summary_LCIA!AC$32</f>
        <v>3.5483469348363105E-5</v>
      </c>
      <c r="BH342" s="137">
        <f>$W342*AM342+$L342*Summary_LCIA!AD$32</f>
        <v>0.11527860757734441</v>
      </c>
      <c r="BI342" s="137">
        <f>$W342*AN342+$L342*Summary_LCIA!AE$32</f>
        <v>0.32987119519809371</v>
      </c>
      <c r="BJ342" s="137">
        <f>$W342*AO342+$L342*Summary_LCIA!AF$32</f>
        <v>2.2167658184382422E-2</v>
      </c>
      <c r="BK342" s="137">
        <f>$W342*AP342+$L342*Summary_LCIA!AG$32</f>
        <v>5.8322155993824213E-3</v>
      </c>
      <c r="BL342" s="137">
        <f>$W342*AQ342+$L342*Summary_LCIA!AH$32</f>
        <v>0.84420072529939916</v>
      </c>
      <c r="BM342" s="137">
        <f>$W342*AR342+$L342*Summary_LCIA!AI$32</f>
        <v>0.29703043297389881</v>
      </c>
    </row>
    <row r="343" spans="1:65" x14ac:dyDescent="0.25">
      <c r="A343" s="149">
        <v>250</v>
      </c>
      <c r="B343" s="149">
        <v>16</v>
      </c>
      <c r="C343" s="61">
        <v>34.048347</v>
      </c>
      <c r="D343" s="61">
        <v>-117.26115299999999</v>
      </c>
      <c r="E343" s="61" t="s">
        <v>265</v>
      </c>
      <c r="F343" s="149">
        <v>117</v>
      </c>
      <c r="G343" s="61" t="s">
        <v>708</v>
      </c>
      <c r="H343" s="61" t="s">
        <v>709</v>
      </c>
      <c r="I343" s="61">
        <v>34.060307000000002</v>
      </c>
      <c r="J343" s="61">
        <v>-117.597893</v>
      </c>
      <c r="K343" s="61">
        <v>36.386226209999997</v>
      </c>
      <c r="L343" s="61">
        <v>34.886000000000003</v>
      </c>
      <c r="M343" s="61" t="s">
        <v>617</v>
      </c>
      <c r="N343" s="149">
        <v>15</v>
      </c>
      <c r="O343" s="149">
        <v>16</v>
      </c>
      <c r="P343" s="61" t="s">
        <v>565</v>
      </c>
      <c r="Q343" s="61" t="s">
        <v>556</v>
      </c>
      <c r="R343" s="61">
        <v>39.856096299999997</v>
      </c>
      <c r="S343" s="61">
        <v>-104.6737376</v>
      </c>
      <c r="T343" s="61">
        <v>1611.2059999999999</v>
      </c>
      <c r="U343" s="61" t="s">
        <v>617</v>
      </c>
      <c r="V343" s="61" t="s">
        <v>569</v>
      </c>
      <c r="W343" s="61" cm="1">
        <f t="array" ref="W343">getDistance(I343,J343,R343,S343)*SA!$B$12</f>
        <v>1317.3001238573743</v>
      </c>
      <c r="Y343" s="137">
        <f>Transportation_LCIA!C$61*($W343^Transportation_LCIA!C$60)+Transportation_LCIA!C$62</f>
        <v>0.21000036366139632</v>
      </c>
      <c r="Z343" s="137">
        <f>Transportation_LCIA!D$61*($W343^Transportation_LCIA!D$60)+Transportation_LCIA!D$62</f>
        <v>2.1249728733065503</v>
      </c>
      <c r="AA343" s="137">
        <f>Transportation_LCIA!E$61*($W343^Transportation_LCIA!E$60)+Transportation_LCIA!E$62</f>
        <v>9.4699916747861259E-4</v>
      </c>
      <c r="AB343" s="137">
        <f>Transportation_LCIA!F$61*($W343^Transportation_LCIA!F$60)+Transportation_LCIA!F$62</f>
        <v>0.21000036366139632</v>
      </c>
      <c r="AC343" s="137">
        <f>Transportation_LCIA!G$61*($W343^Transportation_LCIA!G$60)+Transportation_LCIA!G$62</f>
        <v>4.9732721850700504E-2</v>
      </c>
      <c r="AD343" s="137">
        <f>Transportation_LCIA!H$61*($W343^Transportation_LCIA!H$60)+Transportation_LCIA!H$62</f>
        <v>2.3354733970354277E-4</v>
      </c>
      <c r="AE343" s="137">
        <f>Transportation_LCIA!I$61*($W343^Transportation_LCIA!I$60)+Transportation_LCIA!I$62</f>
        <v>4.8370286501590584E-6</v>
      </c>
      <c r="AF343" s="137">
        <f>Transportation_LCIA!J$61*($W343^Transportation_LCIA!J$60)+Transportation_LCIA!J$62</f>
        <v>7.1545566538932627E-3</v>
      </c>
      <c r="AG343" s="137">
        <f>Transportation_LCIA!K$61*($W343^Transportation_LCIA!K$60)+Transportation_LCIA!K$62</f>
        <v>1.0438282082237939E-2</v>
      </c>
      <c r="AH343" s="137">
        <f>Transportation_LCIA!L$61*($W343^Transportation_LCIA!L$60)+Transportation_LCIA!L$62</f>
        <v>2.0018015197131005E-4</v>
      </c>
      <c r="AI343" s="137">
        <f>Transportation_LCIA!M$61*($W343^Transportation_LCIA!M$60)+Transportation_LCIA!M$62</f>
        <v>2.1974367386704132E-4</v>
      </c>
      <c r="AJ343" s="137">
        <f>Transportation_LCIA!N$61*($W343^Transportation_LCIA!N$60)+Transportation_LCIA!N$62</f>
        <v>8.4438120826727404E-4</v>
      </c>
      <c r="AK343" s="137">
        <f>Transportation_LCIA!O$61*($W343^Transportation_LCIA!O$60)+Transportation_LCIA!O$62</f>
        <v>5.2512606084760235E-5</v>
      </c>
      <c r="AL343" s="137">
        <f>Transportation_LCIA!P$61*($W343^Transportation_LCIA!P$60)+Transportation_LCIA!P$62</f>
        <v>2.5414862321836186E-8</v>
      </c>
      <c r="AM343" s="137">
        <f>Transportation_LCIA!Q$61*($W343^Transportation_LCIA!Q$60)+Transportation_LCIA!Q$62</f>
        <v>7.9443693778010496E-5</v>
      </c>
      <c r="AN343" s="137">
        <f>Transportation_LCIA!R$61*($W343^Transportation_LCIA!R$60)+Transportation_LCIA!R$62</f>
        <v>2.3279954127078097E-4</v>
      </c>
      <c r="AO343" s="137">
        <f>Transportation_LCIA!S$61*($W343^Transportation_LCIA!S$60)+Transportation_LCIA!S$62</f>
        <v>3.5611915306199878E-6</v>
      </c>
      <c r="AP343" s="137">
        <f>Transportation_LCIA!T$61*($W343^Transportation_LCIA!T$60)+Transportation_LCIA!T$62</f>
        <v>3.5611915306199878E-6</v>
      </c>
      <c r="AQ343" s="137">
        <f>Transportation_LCIA!U$61*($W343^Transportation_LCIA!U$60)+Transportation_LCIA!U$62</f>
        <v>4.9734224298675508E-4</v>
      </c>
      <c r="AR343" s="137">
        <f>Transportation_LCIA!V$61*($W343^Transportation_LCIA!V$60)+Transportation_LCIA!V$62</f>
        <v>2.066336089980104E-4</v>
      </c>
      <c r="AT343" s="137">
        <f>$W343*Y343+$L343*Summary_LCIA!H$32</f>
        <v>288.48776786125103</v>
      </c>
      <c r="AU343" s="137">
        <f>$W343*Z343+$L343*Summary_LCIA!Q$32</f>
        <v>2972.123804605917</v>
      </c>
      <c r="AV343" s="137">
        <f>$W343*AA343+$L343*Summary_LCIA!R$32</f>
        <v>1.4311778422124066</v>
      </c>
      <c r="AW343" s="137">
        <f>$W343*AB343+$L343*Summary_LCIA!S$32</f>
        <v>288.33357174125103</v>
      </c>
      <c r="AX343" s="137">
        <f>$W343*AC343+$L343*Summary_LCIA!T$32</f>
        <v>69.346892053692116</v>
      </c>
      <c r="AY343" s="137">
        <f>$W343*AD343+$L343*Summary_LCIA!U$32</f>
        <v>0.93259974351803721</v>
      </c>
      <c r="AZ343" s="137">
        <f>$W343*AE343+$L343*Summary_LCIA!V$32</f>
        <v>8.0380086859561956E-3</v>
      </c>
      <c r="BA343" s="137">
        <f>$W343*AF343+$L343*Summary_LCIA!W$32</f>
        <v>12.109908672318197</v>
      </c>
      <c r="BB343" s="137">
        <f>$W343*AG343+$L343*Summary_LCIA!X$32</f>
        <v>14.545053359790247</v>
      </c>
      <c r="BC343" s="137">
        <f>$W343*AH343+$L343*Summary_LCIA!Y$32</f>
        <v>0.80729099098559476</v>
      </c>
      <c r="BD343" s="137">
        <f>$W343*AI343+$L343*Summary_LCIA!Z$32</f>
        <v>0.290899008775928</v>
      </c>
      <c r="BE343" s="137">
        <f>$W343*AJ343+$L343*Summary_LCIA!AA$32</f>
        <v>1.9271008862333194</v>
      </c>
      <c r="BF343" s="137">
        <f>$W343*AK343+$L343*Summary_LCIA!AB$32</f>
        <v>6.8413545321528157E-2</v>
      </c>
      <c r="BG343" s="137">
        <f>$W343*AL343+$L343*Summary_LCIA!AC$32</f>
        <v>3.5184368508372919E-5</v>
      </c>
      <c r="BH343" s="137">
        <f>$W343*AM343+$L343*Summary_LCIA!AD$32</f>
        <v>0.11899072909346055</v>
      </c>
      <c r="BI343" s="137">
        <f>$W343*AN343+$L343*Summary_LCIA!AE$32</f>
        <v>0.3375803957299397</v>
      </c>
      <c r="BJ343" s="137">
        <f>$W343*AO343+$L343*Summary_LCIA!AF$32</f>
        <v>3.4184480164365545E-2</v>
      </c>
      <c r="BK343" s="137">
        <f>$W343*AP343+$L343*Summary_LCIA!AG$32</f>
        <v>6.4761002343655429E-3</v>
      </c>
      <c r="BL343" s="137">
        <f>$W343*AQ343+$L343*Summary_LCIA!AH$32</f>
        <v>0.95878278788595672</v>
      </c>
      <c r="BM343" s="137">
        <f>$W343*AR343+$L343*Summary_LCIA!AI$32</f>
        <v>0.30469653202617536</v>
      </c>
    </row>
    <row r="344" spans="1:65" x14ac:dyDescent="0.25">
      <c r="A344" s="149">
        <v>238</v>
      </c>
      <c r="B344" s="149">
        <v>16</v>
      </c>
      <c r="C344" s="61">
        <v>29.785777</v>
      </c>
      <c r="D344" s="61">
        <v>-95.824509000000006</v>
      </c>
      <c r="E344" s="61" t="s">
        <v>265</v>
      </c>
      <c r="F344" s="149">
        <v>47</v>
      </c>
      <c r="G344" s="61" t="s">
        <v>565</v>
      </c>
      <c r="H344" s="61" t="s">
        <v>688</v>
      </c>
      <c r="I344" s="61">
        <v>29.990220000000001</v>
      </c>
      <c r="J344" s="61">
        <v>-95.336782999999997</v>
      </c>
      <c r="K344" s="61">
        <v>58.812302199999998</v>
      </c>
      <c r="L344" s="61">
        <v>71.41</v>
      </c>
      <c r="M344" s="61" t="s">
        <v>617</v>
      </c>
      <c r="N344" s="149">
        <v>15</v>
      </c>
      <c r="O344" s="149">
        <v>16</v>
      </c>
      <c r="P344" s="61" t="s">
        <v>565</v>
      </c>
      <c r="Q344" s="61" t="s">
        <v>556</v>
      </c>
      <c r="R344" s="61">
        <v>39.856096299999997</v>
      </c>
      <c r="S344" s="61">
        <v>-104.6737376</v>
      </c>
      <c r="T344" s="61">
        <v>1618.7370000000001</v>
      </c>
      <c r="U344" s="61" t="s">
        <v>617</v>
      </c>
      <c r="V344" s="61" t="s">
        <v>569</v>
      </c>
      <c r="W344" s="61" cm="1">
        <f t="array" ref="W344">getDistance(I344,J344,R344,S344)*SA!$B$12</f>
        <v>1387.9132257585461</v>
      </c>
      <c r="Y344" s="137">
        <f>Transportation_LCIA!C$61*($W344^Transportation_LCIA!C$60)+Transportation_LCIA!C$62</f>
        <v>0.20579525705276458</v>
      </c>
      <c r="Z344" s="137">
        <f>Transportation_LCIA!D$61*($W344^Transportation_LCIA!D$60)+Transportation_LCIA!D$62</f>
        <v>2.0765468445420829</v>
      </c>
      <c r="AA344" s="137">
        <f>Transportation_LCIA!E$61*($W344^Transportation_LCIA!E$60)+Transportation_LCIA!E$62</f>
        <v>9.1527840311280795E-4</v>
      </c>
      <c r="AB344" s="137">
        <f>Transportation_LCIA!F$61*($W344^Transportation_LCIA!F$60)+Transportation_LCIA!F$62</f>
        <v>0.20579525705276458</v>
      </c>
      <c r="AC344" s="137">
        <f>Transportation_LCIA!G$61*($W344^Transportation_LCIA!G$60)+Transportation_LCIA!G$62</f>
        <v>4.8611480731504453E-2</v>
      </c>
      <c r="AD344" s="137">
        <f>Transportation_LCIA!H$61*($W344^Transportation_LCIA!H$60)+Transportation_LCIA!H$62</f>
        <v>2.2662385614924451E-4</v>
      </c>
      <c r="AE344" s="137">
        <f>Transportation_LCIA!I$61*($W344^Transportation_LCIA!I$60)+Transportation_LCIA!I$62</f>
        <v>4.664798591597283E-6</v>
      </c>
      <c r="AF344" s="137">
        <f>Transportation_LCIA!J$61*($W344^Transportation_LCIA!J$60)+Transportation_LCIA!J$62</f>
        <v>6.9000437332686158E-3</v>
      </c>
      <c r="AG344" s="137">
        <f>Transportation_LCIA!K$61*($W344^Transportation_LCIA!K$60)+Transportation_LCIA!K$62</f>
        <v>1.0178298192258982E-2</v>
      </c>
      <c r="AH344" s="137">
        <f>Transportation_LCIA!L$61*($W344^Transportation_LCIA!L$60)+Transportation_LCIA!L$62</f>
        <v>1.9383663062244881E-4</v>
      </c>
      <c r="AI344" s="137">
        <f>Transportation_LCIA!M$61*($W344^Transportation_LCIA!M$60)+Transportation_LCIA!M$62</f>
        <v>2.159242012470611E-4</v>
      </c>
      <c r="AJ344" s="137">
        <f>Transportation_LCIA!N$61*($W344^Transportation_LCIA!N$60)+Transportation_LCIA!N$62</f>
        <v>8.2108131993988739E-4</v>
      </c>
      <c r="AK344" s="137">
        <f>Transportation_LCIA!O$61*($W344^Transportation_LCIA!O$60)+Transportation_LCIA!O$62</f>
        <v>5.1321578029541128E-5</v>
      </c>
      <c r="AL344" s="137">
        <f>Transportation_LCIA!P$61*($W344^Transportation_LCIA!P$60)+Transportation_LCIA!P$62</f>
        <v>2.4841662634578297E-8</v>
      </c>
      <c r="AM344" s="137">
        <f>Transportation_LCIA!Q$61*($W344^Transportation_LCIA!Q$60)+Transportation_LCIA!Q$62</f>
        <v>7.6967886691158753E-5</v>
      </c>
      <c r="AN344" s="137">
        <f>Transportation_LCIA!R$61*($W344^Transportation_LCIA!R$60)+Transportation_LCIA!R$62</f>
        <v>2.2454297120611953E-4</v>
      </c>
      <c r="AO344" s="137">
        <f>Transportation_LCIA!S$61*($W344^Transportation_LCIA!S$60)+Transportation_LCIA!S$62</f>
        <v>3.4439509298357079E-6</v>
      </c>
      <c r="AP344" s="137">
        <f>Transportation_LCIA!T$61*($W344^Transportation_LCIA!T$60)+Transportation_LCIA!T$62</f>
        <v>3.4439509298357079E-6</v>
      </c>
      <c r="AQ344" s="137">
        <f>Transportation_LCIA!U$61*($W344^Transportation_LCIA!U$60)+Transportation_LCIA!U$62</f>
        <v>4.792762052799418E-4</v>
      </c>
      <c r="AR344" s="137">
        <f>Transportation_LCIA!V$61*($W344^Transportation_LCIA!V$60)+Transportation_LCIA!V$62</f>
        <v>2.0020793733126354E-4</v>
      </c>
      <c r="AT344" s="137">
        <f>$W344*Y344+$L344*Summary_LCIA!H$32</f>
        <v>309.89107706191163</v>
      </c>
      <c r="AU344" s="137">
        <f>$W344*Z344+$L344*Summary_LCIA!Q$32</f>
        <v>3235.9783908676623</v>
      </c>
      <c r="AV344" s="137">
        <f>$W344*AA344+$L344*Summary_LCIA!R$32</f>
        <v>1.6463434969314283</v>
      </c>
      <c r="AW344" s="137">
        <f>$W344*AB344+$L344*Summary_LCIA!S$32</f>
        <v>309.57544486191165</v>
      </c>
      <c r="AX344" s="137">
        <f>$W344*AC344+$L344*Summary_LCIA!T$32</f>
        <v>75.316476030961752</v>
      </c>
      <c r="AY344" s="137">
        <f>$W344*AD344+$L344*Summary_LCIA!U$32</f>
        <v>1.5937729872219384</v>
      </c>
      <c r="AZ344" s="137">
        <f>$W344*AE344+$L344*Summary_LCIA!V$32</f>
        <v>9.8849486707777087E-3</v>
      </c>
      <c r="BA344" s="137">
        <f>$W344*AF344+$L344*Summary_LCIA!W$32</f>
        <v>15.073161065715883</v>
      </c>
      <c r="BB344" s="137">
        <f>$W344*AG344+$L344*Summary_LCIA!X$32</f>
        <v>15.753314476750543</v>
      </c>
      <c r="BC344" s="137">
        <f>$W344*AH344+$L344*Summary_LCIA!Y$32</f>
        <v>1.3817390432773706</v>
      </c>
      <c r="BD344" s="137">
        <f>$W344*AI344+$L344*Summary_LCIA!Z$32</f>
        <v>0.30261250736214607</v>
      </c>
      <c r="BE344" s="137">
        <f>$W344*AJ344+$L344*Summary_LCIA!AA$32</f>
        <v>2.8074415833678534</v>
      </c>
      <c r="BF344" s="137">
        <f>$W344*AK344+$L344*Summary_LCIA!AB$32</f>
        <v>6.9671516483999343E-2</v>
      </c>
      <c r="BG344" s="137">
        <f>$W344*AL344+$L344*Summary_LCIA!AC$32</f>
        <v>3.7968878560363105E-5</v>
      </c>
      <c r="BH344" s="137">
        <f>$W344*AM344+$L344*Summary_LCIA!AD$32</f>
        <v>0.13617711429734441</v>
      </c>
      <c r="BI344" s="137">
        <f>$W344*AN344+$L344*Summary_LCIA!AE$32</f>
        <v>0.3749247027880937</v>
      </c>
      <c r="BJ344" s="137">
        <f>$W344*AO344+$L344*Summary_LCIA!AF$32</f>
        <v>6.5151347244382415E-2</v>
      </c>
      <c r="BK344" s="137">
        <f>$W344*AP344+$L344*Summary_LCIA!AG$32</f>
        <v>8.4335976943824206E-3</v>
      </c>
      <c r="BL344" s="137">
        <f>$W344*AQ344+$L344*Summary_LCIA!AH$32</f>
        <v>1.2867178600993991</v>
      </c>
      <c r="BM344" s="137">
        <f>$W344*AR344+$L344*Summary_LCIA!AI$32</f>
        <v>0.34439322962389879</v>
      </c>
    </row>
    <row r="345" spans="1:65" x14ac:dyDescent="0.25">
      <c r="A345" s="149">
        <v>198</v>
      </c>
      <c r="B345" s="149">
        <v>16</v>
      </c>
      <c r="C345" s="61">
        <v>33.875292999999999</v>
      </c>
      <c r="D345" s="61">
        <v>-117.56643800000001</v>
      </c>
      <c r="E345" s="61" t="s">
        <v>265</v>
      </c>
      <c r="F345" s="149">
        <v>102</v>
      </c>
      <c r="G345" s="61" t="s">
        <v>695</v>
      </c>
      <c r="H345" s="61" t="s">
        <v>696</v>
      </c>
      <c r="I345" s="61">
        <v>33.676189999999998</v>
      </c>
      <c r="J345" s="61">
        <v>-117.867476</v>
      </c>
      <c r="K345" s="61">
        <v>43.554003680000001</v>
      </c>
      <c r="L345" s="61">
        <v>47.546999999999997</v>
      </c>
      <c r="M345" s="61" t="s">
        <v>617</v>
      </c>
      <c r="N345" s="149">
        <v>15</v>
      </c>
      <c r="O345" s="149">
        <v>16</v>
      </c>
      <c r="P345" s="61" t="s">
        <v>565</v>
      </c>
      <c r="Q345" s="61" t="s">
        <v>556</v>
      </c>
      <c r="R345" s="61">
        <v>39.856096299999997</v>
      </c>
      <c r="S345" s="61">
        <v>-104.6737376</v>
      </c>
      <c r="T345" s="61">
        <v>1630.646</v>
      </c>
      <c r="U345" s="61" t="s">
        <v>617</v>
      </c>
      <c r="V345" s="61" t="s">
        <v>569</v>
      </c>
      <c r="W345" s="61" cm="1">
        <f t="array" ref="W345">getDistance(I345,J345,R345,S345)*SA!$B$12</f>
        <v>1361.6958499190428</v>
      </c>
      <c r="Y345" s="137">
        <f>Transportation_LCIA!C$61*($W345^Transportation_LCIA!C$60)+Transportation_LCIA!C$62</f>
        <v>0.2073097191939122</v>
      </c>
      <c r="Z345" s="137">
        <f>Transportation_LCIA!D$61*($W345^Transportation_LCIA!D$60)+Transportation_LCIA!D$62</f>
        <v>2.0939747254592413</v>
      </c>
      <c r="AA345" s="137">
        <f>Transportation_LCIA!E$61*($W345^Transportation_LCIA!E$60)+Transportation_LCIA!E$62</f>
        <v>9.2669194996962802E-4</v>
      </c>
      <c r="AB345" s="137">
        <f>Transportation_LCIA!F$61*($W345^Transportation_LCIA!F$60)+Transportation_LCIA!F$62</f>
        <v>0.2073097191939122</v>
      </c>
      <c r="AC345" s="137">
        <f>Transportation_LCIA!G$61*($W345^Transportation_LCIA!G$60)+Transportation_LCIA!G$62</f>
        <v>4.9015017544409754E-2</v>
      </c>
      <c r="AD345" s="137">
        <f>Transportation_LCIA!H$61*($W345^Transportation_LCIA!H$60)+Transportation_LCIA!H$62</f>
        <v>2.2911401068772993E-4</v>
      </c>
      <c r="AE345" s="137">
        <f>Transportation_LCIA!I$61*($W345^Transportation_LCIA!I$60)+Transportation_LCIA!I$62</f>
        <v>4.7267039245540335E-6</v>
      </c>
      <c r="AF345" s="137">
        <f>Transportation_LCIA!J$61*($W345^Transportation_LCIA!J$60)+Transportation_LCIA!J$62</f>
        <v>6.991485436087257E-3</v>
      </c>
      <c r="AG345" s="137">
        <f>Transportation_LCIA!K$61*($W345^Transportation_LCIA!K$60)+Transportation_LCIA!K$62</f>
        <v>1.0271832524653994E-2</v>
      </c>
      <c r="AH345" s="137">
        <f>Transportation_LCIA!L$61*($W345^Transportation_LCIA!L$60)+Transportation_LCIA!L$62</f>
        <v>1.9611776885917096E-4</v>
      </c>
      <c r="AI345" s="137">
        <f>Transportation_LCIA!M$61*($W345^Transportation_LCIA!M$60)+Transportation_LCIA!M$62</f>
        <v>2.1729791258452854E-4</v>
      </c>
      <c r="AJ345" s="137">
        <f>Transportation_LCIA!N$61*($W345^Transportation_LCIA!N$60)+Transportation_LCIA!N$62</f>
        <v>8.2946197414442288E-4</v>
      </c>
      <c r="AK345" s="137">
        <f>Transportation_LCIA!O$61*($W345^Transportation_LCIA!O$60)+Transportation_LCIA!O$62</f>
        <v>5.1750222729688768E-5</v>
      </c>
      <c r="AL345" s="137">
        <f>Transportation_LCIA!P$61*($W345^Transportation_LCIA!P$60)+Transportation_LCIA!P$62</f>
        <v>2.504796532688886E-8</v>
      </c>
      <c r="AM345" s="137">
        <f>Transportation_LCIA!Q$61*($W345^Transportation_LCIA!Q$60)+Transportation_LCIA!Q$62</f>
        <v>7.785810123424859E-5</v>
      </c>
      <c r="AN345" s="137">
        <f>Transportation_LCIA!R$61*($W345^Transportation_LCIA!R$60)+Transportation_LCIA!R$62</f>
        <v>2.275106162676845E-4</v>
      </c>
      <c r="AO345" s="137">
        <f>Transportation_LCIA!S$61*($W345^Transportation_LCIA!S$60)+Transportation_LCIA!S$62</f>
        <v>3.4860917489916618E-6</v>
      </c>
      <c r="AP345" s="137">
        <f>Transportation_LCIA!T$61*($W345^Transportation_LCIA!T$60)+Transportation_LCIA!T$62</f>
        <v>3.4860917489916618E-6</v>
      </c>
      <c r="AQ345" s="137">
        <f>Transportation_LCIA!U$61*($W345^Transportation_LCIA!U$60)+Transportation_LCIA!U$62</f>
        <v>4.8576884936546861E-4</v>
      </c>
      <c r="AR345" s="137">
        <f>Transportation_LCIA!V$61*($W345^Transportation_LCIA!V$60)+Transportation_LCIA!V$62</f>
        <v>2.0251808924873476E-4</v>
      </c>
      <c r="AT345" s="137">
        <f>$W345*Y345+$L345*Summary_LCIA!H$32</f>
        <v>298.44925487423234</v>
      </c>
      <c r="AU345" s="137">
        <f>$W345*Z345+$L345*Summary_LCIA!Q$32</f>
        <v>3087.0020234310668</v>
      </c>
      <c r="AV345" s="137">
        <f>$W345*AA345+$L345*Summary_LCIA!R$32</f>
        <v>1.5122360656270275</v>
      </c>
      <c r="AW345" s="137">
        <f>$W345*AB345+$L345*Summary_LCIA!S$32</f>
        <v>298.23909713423234</v>
      </c>
      <c r="AX345" s="137">
        <f>$W345*AC345+$L345*Summary_LCIA!T$32</f>
        <v>71.968961273931825</v>
      </c>
      <c r="AY345" s="137">
        <f>$W345*AD345+$L345*Summary_LCIA!U$32</f>
        <v>1.163740555511789</v>
      </c>
      <c r="AZ345" s="137">
        <f>$W345*AE345+$L345*Summary_LCIA!V$32</f>
        <v>8.707225384861279E-3</v>
      </c>
      <c r="BA345" s="137">
        <f>$W345*AF345+$L345*Summary_LCIA!W$32</f>
        <v>13.180016840089447</v>
      </c>
      <c r="BB345" s="137">
        <f>$W345*AG345+$L345*Summary_LCIA!X$32</f>
        <v>15.070232379884787</v>
      </c>
      <c r="BC345" s="137">
        <f>$W345*AH345+$L345*Summary_LCIA!Y$32</f>
        <v>1.0079301059509151</v>
      </c>
      <c r="BD345" s="137">
        <f>$W345*AI345+$L345*Summary_LCIA!Z$32</f>
        <v>0.29784352068542341</v>
      </c>
      <c r="BE345" s="137">
        <f>$W345*AJ345+$L345*Summary_LCIA!AA$32</f>
        <v>2.239982659858117</v>
      </c>
      <c r="BF345" s="137">
        <f>$W345*AK345+$L345*Summary_LCIA!AB$32</f>
        <v>6.9430445342403321E-2</v>
      </c>
      <c r="BG345" s="137">
        <f>$W345*AL345+$L345*Summary_LCIA!AC$32</f>
        <v>3.6431997982540639E-5</v>
      </c>
      <c r="BH345" s="137">
        <f>$W345*AM345+$L345*Summary_LCIA!AD$32</f>
        <v>0.12556277221325302</v>
      </c>
      <c r="BI345" s="137">
        <f>$W345*AN345+$L345*Summary_LCIA!AE$32</f>
        <v>0.35193308509422982</v>
      </c>
      <c r="BJ345" s="137">
        <f>$W345*AO345+$L345*Summary_LCIA!AF$32</f>
        <v>4.4944181407038965E-2</v>
      </c>
      <c r="BK345" s="137">
        <f>$W345*AP345+$L345*Summary_LCIA!AG$32</f>
        <v>7.1797389220389632E-3</v>
      </c>
      <c r="BL345" s="137">
        <f>$W345*AQ345+$L345*Summary_LCIA!AH$32</f>
        <v>1.0752994954009072</v>
      </c>
      <c r="BM345" s="137">
        <f>$W345*AR345+$L345*Summary_LCIA!AI$32</f>
        <v>0.3200604495135364</v>
      </c>
    </row>
    <row r="346" spans="1:65" x14ac:dyDescent="0.25">
      <c r="A346" s="149">
        <v>232</v>
      </c>
      <c r="B346" s="149">
        <v>16</v>
      </c>
      <c r="C346" s="61">
        <v>29.760427</v>
      </c>
      <c r="D346" s="61">
        <v>-95.369803000000005</v>
      </c>
      <c r="E346" s="61" t="s">
        <v>265</v>
      </c>
      <c r="F346" s="149">
        <v>96</v>
      </c>
      <c r="G346" s="61" t="s">
        <v>267</v>
      </c>
      <c r="H346" s="61" t="s">
        <v>703</v>
      </c>
      <c r="I346" s="61">
        <v>29.645907999999999</v>
      </c>
      <c r="J346" s="61">
        <v>-95.276904999999999</v>
      </c>
      <c r="K346" s="61">
        <v>23.33220326</v>
      </c>
      <c r="L346" s="61">
        <v>20.425999999999998</v>
      </c>
      <c r="M346" s="61" t="s">
        <v>617</v>
      </c>
      <c r="N346" s="149">
        <v>15</v>
      </c>
      <c r="O346" s="149">
        <v>16</v>
      </c>
      <c r="P346" s="61" t="s">
        <v>565</v>
      </c>
      <c r="Q346" s="61" t="s">
        <v>556</v>
      </c>
      <c r="R346" s="61">
        <v>39.856096299999997</v>
      </c>
      <c r="S346" s="61">
        <v>-104.6737376</v>
      </c>
      <c r="T346" s="61">
        <v>1631.874</v>
      </c>
      <c r="U346" s="61" t="s">
        <v>617</v>
      </c>
      <c r="V346" s="61" t="s">
        <v>569</v>
      </c>
      <c r="W346" s="61" cm="1">
        <f t="array" ref="W346">getDistance(I346,J346,R346,S346)*SA!$B$12</f>
        <v>1422.59871577852</v>
      </c>
      <c r="Y346" s="137">
        <f>Transportation_LCIA!C$61*($W346^Transportation_LCIA!C$60)+Transportation_LCIA!C$62</f>
        <v>0.20387063746892725</v>
      </c>
      <c r="Z346" s="137">
        <f>Transportation_LCIA!D$61*($W346^Transportation_LCIA!D$60)+Transportation_LCIA!D$62</f>
        <v>2.0544200296389645</v>
      </c>
      <c r="AA346" s="137">
        <f>Transportation_LCIA!E$61*($W346^Transportation_LCIA!E$60)+Transportation_LCIA!E$62</f>
        <v>9.0079138116719239E-4</v>
      </c>
      <c r="AB346" s="137">
        <f>Transportation_LCIA!F$61*($W346^Transportation_LCIA!F$60)+Transportation_LCIA!F$62</f>
        <v>0.20387063746892725</v>
      </c>
      <c r="AC346" s="137">
        <f>Transportation_LCIA!G$61*($W346^Transportation_LCIA!G$60)+Transportation_LCIA!G$62</f>
        <v>4.8099113300364496E-2</v>
      </c>
      <c r="AD346" s="137">
        <f>Transportation_LCIA!H$61*($W346^Transportation_LCIA!H$60)+Transportation_LCIA!H$62</f>
        <v>2.2346480986040735E-4</v>
      </c>
      <c r="AE346" s="137">
        <f>Transportation_LCIA!I$61*($W346^Transportation_LCIA!I$60)+Transportation_LCIA!I$62</f>
        <v>4.5863311935595978E-6</v>
      </c>
      <c r="AF346" s="137">
        <f>Transportation_LCIA!J$61*($W346^Transportation_LCIA!J$60)+Transportation_LCIA!J$62</f>
        <v>6.7842020784601833E-3</v>
      </c>
      <c r="AG346" s="137">
        <f>Transportation_LCIA!K$61*($W346^Transportation_LCIA!K$60)+Transportation_LCIA!K$62</f>
        <v>1.0059595327195327E-2</v>
      </c>
      <c r="AH346" s="137">
        <f>Transportation_LCIA!L$61*($W346^Transportation_LCIA!L$60)+Transportation_LCIA!L$62</f>
        <v>1.9094344459658094E-4</v>
      </c>
      <c r="AI346" s="137">
        <f>Transportation_LCIA!M$61*($W346^Transportation_LCIA!M$60)+Transportation_LCIA!M$62</f>
        <v>2.141815410667555E-4</v>
      </c>
      <c r="AJ346" s="137">
        <f>Transportation_LCIA!N$61*($W346^Transportation_LCIA!N$60)+Transportation_LCIA!N$62</f>
        <v>8.1044878308268883E-4</v>
      </c>
      <c r="AK346" s="137">
        <f>Transportation_LCIA!O$61*($W346^Transportation_LCIA!O$60)+Transportation_LCIA!O$62</f>
        <v>5.0777345509504489E-5</v>
      </c>
      <c r="AL346" s="137">
        <f>Transportation_LCIA!P$61*($W346^Transportation_LCIA!P$60)+Transportation_LCIA!P$62</f>
        <v>2.4579710114852363E-8</v>
      </c>
      <c r="AM346" s="137">
        <f>Transportation_LCIA!Q$61*($W346^Transportation_LCIA!Q$60)+Transportation_LCIA!Q$62</f>
        <v>7.5838967286885207E-5</v>
      </c>
      <c r="AN346" s="137">
        <f>Transportation_LCIA!R$61*($W346^Transportation_LCIA!R$60)+Transportation_LCIA!R$62</f>
        <v>2.207814437101458E-4</v>
      </c>
      <c r="AO346" s="137">
        <f>Transportation_LCIA!S$61*($W346^Transportation_LCIA!S$60)+Transportation_LCIA!S$62</f>
        <v>3.3905348815917429E-6</v>
      </c>
      <c r="AP346" s="137">
        <f>Transportation_LCIA!T$61*($W346^Transportation_LCIA!T$60)+Transportation_LCIA!T$62</f>
        <v>3.3905348815917429E-6</v>
      </c>
      <c r="AQ346" s="137">
        <f>Transportation_LCIA!U$61*($W346^Transportation_LCIA!U$60)+Transportation_LCIA!U$62</f>
        <v>4.7104802144508069E-4</v>
      </c>
      <c r="AR346" s="137">
        <f>Transportation_LCIA!V$61*($W346^Transportation_LCIA!V$60)+Transportation_LCIA!V$62</f>
        <v>1.9727882574180556E-4</v>
      </c>
      <c r="AT346" s="137">
        <f>$W346*Y346+$L346*Summary_LCIA!H$32</f>
        <v>296.96686184824409</v>
      </c>
      <c r="AU346" s="137">
        <f>$W346*Z346+$L346*Summary_LCIA!Q$32</f>
        <v>3023.8475819785181</v>
      </c>
      <c r="AV346" s="137">
        <f>$W346*AA346+$L346*Summary_LCIA!R$32</f>
        <v>1.3890198076328071</v>
      </c>
      <c r="AW346" s="137">
        <f>$W346*AB346+$L346*Summary_LCIA!S$32</f>
        <v>296.8765789282441</v>
      </c>
      <c r="AX346" s="137">
        <f>$W346*AC346+$L346*Summary_LCIA!T$32</f>
        <v>70.670554211184069</v>
      </c>
      <c r="AY346" s="137">
        <f>$W346*AD346+$L346*Summary_LCIA!U$32</f>
        <v>0.68381211552910659</v>
      </c>
      <c r="AZ346" s="137">
        <f>$W346*AE346+$L346*Summary_LCIA!V$32</f>
        <v>7.500075052092851E-3</v>
      </c>
      <c r="BA346" s="137">
        <f>$W346*AF346+$L346*Summary_LCIA!W$32</f>
        <v>11.223406810399423</v>
      </c>
      <c r="BB346" s="137">
        <f>$W346*AG346+$L346*Summary_LCIA!X$32</f>
        <v>14.776071673719674</v>
      </c>
      <c r="BC346" s="137">
        <f>$W346*AH346+$L346*Summary_LCIA!Y$32</f>
        <v>0.58991383106942297</v>
      </c>
      <c r="BD346" s="137">
        <f>$W346*AI346+$L346*Summary_LCIA!Z$32</f>
        <v>0.30553203509903071</v>
      </c>
      <c r="BE346" s="137">
        <f>$W346*AJ346+$L346*Summary_LCIA!AA$32</f>
        <v>1.6300130540176974</v>
      </c>
      <c r="BF346" s="137">
        <f>$W346*AK346+$L346*Summary_LCIA!AB$32</f>
        <v>7.1790029914463288E-2</v>
      </c>
      <c r="BG346" s="137">
        <f>$W346*AL346+$L346*Summary_LCIA!AC$32</f>
        <v>3.5965568627597271E-5</v>
      </c>
      <c r="BH346" s="137">
        <f>$W346*AM346+$L346*Summary_LCIA!AD$32</f>
        <v>0.11628432050829209</v>
      </c>
      <c r="BI346" s="137">
        <f>$W346*AN346+$L346*Summary_LCIA!AE$32</f>
        <v>0.33218348966978106</v>
      </c>
      <c r="BJ346" s="137">
        <f>$W346*AO346+$L346*Summary_LCIA!AF$32</f>
        <v>2.2091919488354688E-2</v>
      </c>
      <c r="BK346" s="137">
        <f>$W346*AP346+$L346*Summary_LCIA!AG$32</f>
        <v>5.8684668583546904E-3</v>
      </c>
      <c r="BL346" s="137">
        <f>$W346*AQ346+$L346*Summary_LCIA!AH$32</f>
        <v>0.8478920439777845</v>
      </c>
      <c r="BM346" s="137">
        <f>$W346*AR346+$L346*Summary_LCIA!AI$32</f>
        <v>0.299676444450587</v>
      </c>
    </row>
    <row r="347" spans="1:65" x14ac:dyDescent="0.25">
      <c r="A347" s="149">
        <v>252</v>
      </c>
      <c r="B347" s="149">
        <v>16</v>
      </c>
      <c r="C347" s="61">
        <v>34.029510999999999</v>
      </c>
      <c r="D347" s="61">
        <v>-118.28482</v>
      </c>
      <c r="E347" s="61" t="s">
        <v>265</v>
      </c>
      <c r="F347" s="149">
        <v>3</v>
      </c>
      <c r="G347" s="61" t="s">
        <v>565</v>
      </c>
      <c r="H347" s="61" t="s">
        <v>710</v>
      </c>
      <c r="I347" s="61">
        <v>33.941589</v>
      </c>
      <c r="J347" s="61">
        <v>-118.40853</v>
      </c>
      <c r="K347" s="61">
        <v>18.890506299999998</v>
      </c>
      <c r="L347" s="61">
        <v>28.658000000000001</v>
      </c>
      <c r="M347" s="61" t="s">
        <v>617</v>
      </c>
      <c r="N347" s="149">
        <v>15</v>
      </c>
      <c r="O347" s="149">
        <v>16</v>
      </c>
      <c r="P347" s="61" t="s">
        <v>565</v>
      </c>
      <c r="Q347" s="61" t="s">
        <v>556</v>
      </c>
      <c r="R347" s="61">
        <v>39.856096299999997</v>
      </c>
      <c r="S347" s="61">
        <v>-104.6737376</v>
      </c>
      <c r="T347" s="61">
        <v>1680.5740000000001</v>
      </c>
      <c r="U347" s="61" t="s">
        <v>617</v>
      </c>
      <c r="V347" s="61" t="s">
        <v>569</v>
      </c>
      <c r="W347" s="61" cm="1">
        <f t="array" ref="W347">getDistance(I347,J347,R347,S347)*SA!$B$12</f>
        <v>1387.4843900842295</v>
      </c>
      <c r="Y347" s="137">
        <f>Transportation_LCIA!C$61*($W347^Transportation_LCIA!C$60)+Transportation_LCIA!C$62</f>
        <v>0.20581960547079264</v>
      </c>
      <c r="Z347" s="137">
        <f>Transportation_LCIA!D$61*($W347^Transportation_LCIA!D$60)+Transportation_LCIA!D$62</f>
        <v>2.0768269228976033</v>
      </c>
      <c r="AA347" s="137">
        <f>Transportation_LCIA!E$61*($W347^Transportation_LCIA!E$60)+Transportation_LCIA!E$62</f>
        <v>9.1546180581945479E-4</v>
      </c>
      <c r="AB347" s="137">
        <f>Transportation_LCIA!F$61*($W347^Transportation_LCIA!F$60)+Transportation_LCIA!F$62</f>
        <v>0.20581960547079264</v>
      </c>
      <c r="AC347" s="137">
        <f>Transportation_LCIA!G$61*($W347^Transportation_LCIA!G$60)+Transportation_LCIA!G$62</f>
        <v>4.8617966007577562E-2</v>
      </c>
      <c r="AD347" s="137">
        <f>Transportation_LCIA!H$61*($W347^Transportation_LCIA!H$60)+Transportation_LCIA!H$62</f>
        <v>2.2666386102590741E-4</v>
      </c>
      <c r="AE347" s="137">
        <f>Transportation_LCIA!I$61*($W347^Transportation_LCIA!I$60)+Transportation_LCIA!I$62</f>
        <v>4.6657927511086472E-6</v>
      </c>
      <c r="AF347" s="137">
        <f>Transportation_LCIA!J$61*($W347^Transportation_LCIA!J$60)+Transportation_LCIA!J$62</f>
        <v>6.9015118773160409E-3</v>
      </c>
      <c r="AG347" s="137">
        <f>Transportation_LCIA!K$61*($W347^Transportation_LCIA!K$60)+Transportation_LCIA!K$62</f>
        <v>1.0179801080725534E-2</v>
      </c>
      <c r="AH347" s="137">
        <f>Transportation_LCIA!L$61*($W347^Transportation_LCIA!L$60)+Transportation_LCIA!L$62</f>
        <v>1.9387327379532753E-4</v>
      </c>
      <c r="AI347" s="137">
        <f>Transportation_LCIA!M$61*($W347^Transportation_LCIA!M$60)+Transportation_LCIA!M$62</f>
        <v>2.1594626994717386E-4</v>
      </c>
      <c r="AJ347" s="137">
        <f>Transportation_LCIA!N$61*($W347^Transportation_LCIA!N$60)+Transportation_LCIA!N$62</f>
        <v>8.2121596088846074E-4</v>
      </c>
      <c r="AK347" s="137">
        <f>Transportation_LCIA!O$61*($W347^Transportation_LCIA!O$60)+Transportation_LCIA!O$62</f>
        <v>5.1328466739394509E-5</v>
      </c>
      <c r="AL347" s="137">
        <f>Transportation_LCIA!P$61*($W347^Transportation_LCIA!P$60)+Transportation_LCIA!P$62</f>
        <v>2.4844978207030577E-8</v>
      </c>
      <c r="AM347" s="137">
        <f>Transportation_LCIA!Q$61*($W347^Transportation_LCIA!Q$60)+Transportation_LCIA!Q$62</f>
        <v>7.6982185894126267E-5</v>
      </c>
      <c r="AN347" s="137">
        <f>Transportation_LCIA!R$61*($W347^Transportation_LCIA!R$60)+Transportation_LCIA!R$62</f>
        <v>2.2459062924110718E-4</v>
      </c>
      <c r="AO347" s="137">
        <f>Transportation_LCIA!S$61*($W347^Transportation_LCIA!S$60)+Transportation_LCIA!S$62</f>
        <v>3.4446276891640986E-6</v>
      </c>
      <c r="AP347" s="137">
        <f>Transportation_LCIA!T$61*($W347^Transportation_LCIA!T$60)+Transportation_LCIA!T$62</f>
        <v>3.4446276891640986E-6</v>
      </c>
      <c r="AQ347" s="137">
        <f>Transportation_LCIA!U$61*($W347^Transportation_LCIA!U$60)+Transportation_LCIA!U$62</f>
        <v>4.7938046479033795E-4</v>
      </c>
      <c r="AR347" s="137">
        <f>Transportation_LCIA!V$61*($W347^Transportation_LCIA!V$60)+Transportation_LCIA!V$62</f>
        <v>2.0024504180833207E-4</v>
      </c>
      <c r="AT347" s="137">
        <f>$W347*Y347+$L347*Summary_LCIA!H$32</f>
        <v>295.30947816401948</v>
      </c>
      <c r="AU347" s="137">
        <f>$W347*Z347+$L347*Summary_LCIA!Q$32</f>
        <v>3023.5954297360026</v>
      </c>
      <c r="AV347" s="137">
        <f>$W347*AA347+$L347*Summary_LCIA!R$32</f>
        <v>1.4210905300928136</v>
      </c>
      <c r="AW347" s="137">
        <f>$W347*AB347+$L347*Summary_LCIA!S$32</f>
        <v>295.18280980401948</v>
      </c>
      <c r="AX347" s="137">
        <f>$W347*AC347+$L347*Summary_LCIA!T$32</f>
        <v>70.60618311315956</v>
      </c>
      <c r="AY347" s="137">
        <f>$W347*AD347+$L347*Summary_LCIA!U$32</f>
        <v>0.82787198096966774</v>
      </c>
      <c r="AZ347" s="137">
        <f>$W347*AE347+$L347*Summary_LCIA!V$32</f>
        <v>7.8424493475314008E-3</v>
      </c>
      <c r="BA347" s="137">
        <f>$W347*AF347+$L347*Summary_LCIA!W$32</f>
        <v>11.781574915756913</v>
      </c>
      <c r="BB347" s="137">
        <f>$W347*AG347+$L347*Summary_LCIA!X$32</f>
        <v>14.77714433366925</v>
      </c>
      <c r="BC347" s="137">
        <f>$W347*AH347+$L347*Summary_LCIA!Y$32</f>
        <v>0.71554509704554292</v>
      </c>
      <c r="BD347" s="137">
        <f>$W347*AI347+$L347*Summary_LCIA!Z$32</f>
        <v>0.30079731457061887</v>
      </c>
      <c r="BE347" s="137">
        <f>$W347*AJ347+$L347*Summary_LCIA!AA$32</f>
        <v>1.8087605746207605</v>
      </c>
      <c r="BF347" s="137">
        <f>$W347*AK347+$L347*Summary_LCIA!AB$32</f>
        <v>7.0592042833867455E-2</v>
      </c>
      <c r="BG347" s="137">
        <f>$W347*AL347+$L347*Summary_LCIA!AC$32</f>
        <v>3.5872937106237794E-5</v>
      </c>
      <c r="BH347" s="137">
        <f>$W347*AM347+$L347*Summary_LCIA!AD$32</f>
        <v>0.11859116556266255</v>
      </c>
      <c r="BI347" s="137">
        <f>$W347*AN347+$L347*Summary_LCIA!AE$32</f>
        <v>0.33701070577123093</v>
      </c>
      <c r="BJ347" s="137">
        <f>$W347*AO347+$L347*Summary_LCIA!AF$32</f>
        <v>2.9007413508367101E-2</v>
      </c>
      <c r="BK347" s="137">
        <f>$W347*AP347+$L347*Summary_LCIA!AG$32</f>
        <v>6.2456537183670988E-3</v>
      </c>
      <c r="BL347" s="137">
        <f>$W347*AQ347+$L347*Summary_LCIA!AH$32</f>
        <v>0.91456068060791662</v>
      </c>
      <c r="BM347" s="137">
        <f>$W347*AR347+$L347*Summary_LCIA!AI$32</f>
        <v>0.30453322960082468</v>
      </c>
    </row>
    <row r="348" spans="1:65" x14ac:dyDescent="0.25">
      <c r="A348" s="149">
        <v>155</v>
      </c>
      <c r="B348" s="149">
        <v>16</v>
      </c>
      <c r="C348" s="61">
        <v>30.080174</v>
      </c>
      <c r="D348" s="61">
        <v>-94.126555999999994</v>
      </c>
      <c r="E348" s="61" t="s">
        <v>265</v>
      </c>
      <c r="F348" s="149">
        <v>47</v>
      </c>
      <c r="G348" s="61" t="s">
        <v>565</v>
      </c>
      <c r="H348" s="61" t="s">
        <v>688</v>
      </c>
      <c r="I348" s="61">
        <v>29.990220000000001</v>
      </c>
      <c r="J348" s="61">
        <v>-95.336782999999997</v>
      </c>
      <c r="K348" s="61">
        <v>117.32741729999999</v>
      </c>
      <c r="L348" s="61">
        <v>153.17099999999999</v>
      </c>
      <c r="M348" s="61" t="s">
        <v>617</v>
      </c>
      <c r="N348" s="149">
        <v>15</v>
      </c>
      <c r="O348" s="149">
        <v>16</v>
      </c>
      <c r="P348" s="61" t="s">
        <v>565</v>
      </c>
      <c r="Q348" s="61" t="s">
        <v>556</v>
      </c>
      <c r="R348" s="61">
        <v>39.856096299999997</v>
      </c>
      <c r="S348" s="61">
        <v>-104.6737376</v>
      </c>
      <c r="T348" s="61">
        <v>1706.627</v>
      </c>
      <c r="U348" s="61" t="s">
        <v>617</v>
      </c>
      <c r="V348" s="61" t="s">
        <v>569</v>
      </c>
      <c r="W348" s="61" cm="1">
        <f t="array" ref="W348">getDistance(I348,J348,R348,S348)*SA!$B$12</f>
        <v>1387.9132257585461</v>
      </c>
      <c r="Y348" s="137">
        <f>Transportation_LCIA!C$61*($W348^Transportation_LCIA!C$60)+Transportation_LCIA!C$62</f>
        <v>0.20579525705276458</v>
      </c>
      <c r="Z348" s="137">
        <f>Transportation_LCIA!D$61*($W348^Transportation_LCIA!D$60)+Transportation_LCIA!D$62</f>
        <v>2.0765468445420829</v>
      </c>
      <c r="AA348" s="137">
        <f>Transportation_LCIA!E$61*($W348^Transportation_LCIA!E$60)+Transportation_LCIA!E$62</f>
        <v>9.1527840311280795E-4</v>
      </c>
      <c r="AB348" s="137">
        <f>Transportation_LCIA!F$61*($W348^Transportation_LCIA!F$60)+Transportation_LCIA!F$62</f>
        <v>0.20579525705276458</v>
      </c>
      <c r="AC348" s="137">
        <f>Transportation_LCIA!G$61*($W348^Transportation_LCIA!G$60)+Transportation_LCIA!G$62</f>
        <v>4.8611480731504453E-2</v>
      </c>
      <c r="AD348" s="137">
        <f>Transportation_LCIA!H$61*($W348^Transportation_LCIA!H$60)+Transportation_LCIA!H$62</f>
        <v>2.2662385614924451E-4</v>
      </c>
      <c r="AE348" s="137">
        <f>Transportation_LCIA!I$61*($W348^Transportation_LCIA!I$60)+Transportation_LCIA!I$62</f>
        <v>4.664798591597283E-6</v>
      </c>
      <c r="AF348" s="137">
        <f>Transportation_LCIA!J$61*($W348^Transportation_LCIA!J$60)+Transportation_LCIA!J$62</f>
        <v>6.9000437332686158E-3</v>
      </c>
      <c r="AG348" s="137">
        <f>Transportation_LCIA!K$61*($W348^Transportation_LCIA!K$60)+Transportation_LCIA!K$62</f>
        <v>1.0178298192258982E-2</v>
      </c>
      <c r="AH348" s="137">
        <f>Transportation_LCIA!L$61*($W348^Transportation_LCIA!L$60)+Transportation_LCIA!L$62</f>
        <v>1.9383663062244881E-4</v>
      </c>
      <c r="AI348" s="137">
        <f>Transportation_LCIA!M$61*($W348^Transportation_LCIA!M$60)+Transportation_LCIA!M$62</f>
        <v>2.159242012470611E-4</v>
      </c>
      <c r="AJ348" s="137">
        <f>Transportation_LCIA!N$61*($W348^Transportation_LCIA!N$60)+Transportation_LCIA!N$62</f>
        <v>8.2108131993988739E-4</v>
      </c>
      <c r="AK348" s="137">
        <f>Transportation_LCIA!O$61*($W348^Transportation_LCIA!O$60)+Transportation_LCIA!O$62</f>
        <v>5.1321578029541128E-5</v>
      </c>
      <c r="AL348" s="137">
        <f>Transportation_LCIA!P$61*($W348^Transportation_LCIA!P$60)+Transportation_LCIA!P$62</f>
        <v>2.4841662634578297E-8</v>
      </c>
      <c r="AM348" s="137">
        <f>Transportation_LCIA!Q$61*($W348^Transportation_LCIA!Q$60)+Transportation_LCIA!Q$62</f>
        <v>7.6967886691158753E-5</v>
      </c>
      <c r="AN348" s="137">
        <f>Transportation_LCIA!R$61*($W348^Transportation_LCIA!R$60)+Transportation_LCIA!R$62</f>
        <v>2.2454297120611953E-4</v>
      </c>
      <c r="AO348" s="137">
        <f>Transportation_LCIA!S$61*($W348^Transportation_LCIA!S$60)+Transportation_LCIA!S$62</f>
        <v>3.4439509298357079E-6</v>
      </c>
      <c r="AP348" s="137">
        <f>Transportation_LCIA!T$61*($W348^Transportation_LCIA!T$60)+Transportation_LCIA!T$62</f>
        <v>3.4439509298357079E-6</v>
      </c>
      <c r="AQ348" s="137">
        <f>Transportation_LCIA!U$61*($W348^Transportation_LCIA!U$60)+Transportation_LCIA!U$62</f>
        <v>4.792762052799418E-4</v>
      </c>
      <c r="AR348" s="137">
        <f>Transportation_LCIA!V$61*($W348^Transportation_LCIA!V$60)+Transportation_LCIA!V$62</f>
        <v>2.0020793733126354E-4</v>
      </c>
      <c r="AT348" s="137">
        <f>$W348*Y348+$L348*Summary_LCIA!H$32</f>
        <v>337.67346486191167</v>
      </c>
      <c r="AU348" s="137">
        <f>$W348*Z348+$L348*Summary_LCIA!Q$32</f>
        <v>3641.1900303201755</v>
      </c>
      <c r="AV348" s="137">
        <f>$W348*AA348+$L348*Summary_LCIA!R$32</f>
        <v>2.0768642185314281</v>
      </c>
      <c r="AW348" s="137">
        <f>$W348*AB348+$L348*Summary_LCIA!S$32</f>
        <v>336.99644904191166</v>
      </c>
      <c r="AX348" s="137">
        <f>$W348*AC348+$L348*Summary_LCIA!T$32</f>
        <v>84.302009930961745</v>
      </c>
      <c r="AY348" s="137">
        <f>$W348*AD348+$L348*Summary_LCIA!U$32</f>
        <v>3.0584395412219383</v>
      </c>
      <c r="AZ348" s="137">
        <f>$W348*AE348+$L348*Summary_LCIA!V$32</f>
        <v>1.3789935791777707E-2</v>
      </c>
      <c r="BA348" s="137">
        <f>$W348*AF348+$L348*Summary_LCIA!W$32</f>
        <v>21.366386996715882</v>
      </c>
      <c r="BB348" s="137">
        <f>$W348*AG348+$L348*Summary_LCIA!X$32</f>
        <v>17.615830056750543</v>
      </c>
      <c r="BC348" s="137">
        <f>$W348*AH348+$L348*Summary_LCIA!Y$32</f>
        <v>2.6557389452773705</v>
      </c>
      <c r="BD348" s="137">
        <f>$W348*AI348+$L348*Summary_LCIA!Z$32</f>
        <v>0.30596544421114602</v>
      </c>
      <c r="BE348" s="137">
        <f>$W348*AJ348+$L348*Summary_LCIA!AA$32</f>
        <v>4.7170514993678534</v>
      </c>
      <c r="BF348" s="137">
        <f>$W348*AK348+$L348*Summary_LCIA!AB$32</f>
        <v>6.7887246180999353E-2</v>
      </c>
      <c r="BG348" s="137">
        <f>$W348*AL348+$L348*Summary_LCIA!AC$32</f>
        <v>4.1965683284363106E-5</v>
      </c>
      <c r="BH348" s="137">
        <f>$W348*AM348+$L348*Summary_LCIA!AD$32</f>
        <v>0.1697841557373444</v>
      </c>
      <c r="BI348" s="137">
        <f>$W348*AN348+$L348*Summary_LCIA!AE$32</f>
        <v>0.44737557771809366</v>
      </c>
      <c r="BJ348" s="137">
        <f>$W348*AO348+$L348*Summary_LCIA!AF$32</f>
        <v>0.13427373186438241</v>
      </c>
      <c r="BK348" s="137">
        <f>$W348*AP348+$L348*Summary_LCIA!AG$32</f>
        <v>1.2616899259382423E-2</v>
      </c>
      <c r="BL348" s="137">
        <f>$W348*AQ348+$L348*Summary_LCIA!AH$32</f>
        <v>1.9983328996993992</v>
      </c>
      <c r="BM348" s="137">
        <f>$W348*AR348+$L348*Summary_LCIA!AI$32</f>
        <v>0.4205576891738988</v>
      </c>
    </row>
    <row r="349" spans="1:65" x14ac:dyDescent="0.25">
      <c r="A349" s="149">
        <v>156</v>
      </c>
      <c r="B349" s="149">
        <v>16</v>
      </c>
      <c r="C349" s="61">
        <v>30.080174</v>
      </c>
      <c r="D349" s="61">
        <v>-94.126555999999994</v>
      </c>
      <c r="E349" s="61" t="s">
        <v>265</v>
      </c>
      <c r="F349" s="149">
        <v>47</v>
      </c>
      <c r="G349" s="61" t="s">
        <v>565</v>
      </c>
      <c r="H349" s="61" t="s">
        <v>688</v>
      </c>
      <c r="I349" s="61">
        <v>29.990220000000001</v>
      </c>
      <c r="J349" s="61">
        <v>-95.336782999999997</v>
      </c>
      <c r="K349" s="61">
        <v>117.32741729999999</v>
      </c>
      <c r="L349" s="61">
        <v>153.17099999999999</v>
      </c>
      <c r="M349" s="61" t="s">
        <v>617</v>
      </c>
      <c r="N349" s="149">
        <v>15</v>
      </c>
      <c r="O349" s="149">
        <v>16</v>
      </c>
      <c r="P349" s="61" t="s">
        <v>565</v>
      </c>
      <c r="Q349" s="61" t="s">
        <v>556</v>
      </c>
      <c r="R349" s="61">
        <v>39.856096299999997</v>
      </c>
      <c r="S349" s="61">
        <v>-104.6737376</v>
      </c>
      <c r="T349" s="61">
        <v>1706.627</v>
      </c>
      <c r="U349" s="61" t="s">
        <v>617</v>
      </c>
      <c r="V349" s="61" t="s">
        <v>569</v>
      </c>
      <c r="W349" s="61" cm="1">
        <f t="array" ref="W349">getDistance(I349,J349,R349,S349)*SA!$B$12</f>
        <v>1387.9132257585461</v>
      </c>
      <c r="Y349" s="137">
        <f>Transportation_LCIA!C$61*($W349^Transportation_LCIA!C$60)+Transportation_LCIA!C$62</f>
        <v>0.20579525705276458</v>
      </c>
      <c r="Z349" s="137">
        <f>Transportation_LCIA!D$61*($W349^Transportation_LCIA!D$60)+Transportation_LCIA!D$62</f>
        <v>2.0765468445420829</v>
      </c>
      <c r="AA349" s="137">
        <f>Transportation_LCIA!E$61*($W349^Transportation_LCIA!E$60)+Transportation_LCIA!E$62</f>
        <v>9.1527840311280795E-4</v>
      </c>
      <c r="AB349" s="137">
        <f>Transportation_LCIA!F$61*($W349^Transportation_LCIA!F$60)+Transportation_LCIA!F$62</f>
        <v>0.20579525705276458</v>
      </c>
      <c r="AC349" s="137">
        <f>Transportation_LCIA!G$61*($W349^Transportation_LCIA!G$60)+Transportation_LCIA!G$62</f>
        <v>4.8611480731504453E-2</v>
      </c>
      <c r="AD349" s="137">
        <f>Transportation_LCIA!H$61*($W349^Transportation_LCIA!H$60)+Transportation_LCIA!H$62</f>
        <v>2.2662385614924451E-4</v>
      </c>
      <c r="AE349" s="137">
        <f>Transportation_LCIA!I$61*($W349^Transportation_LCIA!I$60)+Transportation_LCIA!I$62</f>
        <v>4.664798591597283E-6</v>
      </c>
      <c r="AF349" s="137">
        <f>Transportation_LCIA!J$61*($W349^Transportation_LCIA!J$60)+Transportation_LCIA!J$62</f>
        <v>6.9000437332686158E-3</v>
      </c>
      <c r="AG349" s="137">
        <f>Transportation_LCIA!K$61*($W349^Transportation_LCIA!K$60)+Transportation_LCIA!K$62</f>
        <v>1.0178298192258982E-2</v>
      </c>
      <c r="AH349" s="137">
        <f>Transportation_LCIA!L$61*($W349^Transportation_LCIA!L$60)+Transportation_LCIA!L$62</f>
        <v>1.9383663062244881E-4</v>
      </c>
      <c r="AI349" s="137">
        <f>Transportation_LCIA!M$61*($W349^Transportation_LCIA!M$60)+Transportation_LCIA!M$62</f>
        <v>2.159242012470611E-4</v>
      </c>
      <c r="AJ349" s="137">
        <f>Transportation_LCIA!N$61*($W349^Transportation_LCIA!N$60)+Transportation_LCIA!N$62</f>
        <v>8.2108131993988739E-4</v>
      </c>
      <c r="AK349" s="137">
        <f>Transportation_LCIA!O$61*($W349^Transportation_LCIA!O$60)+Transportation_LCIA!O$62</f>
        <v>5.1321578029541128E-5</v>
      </c>
      <c r="AL349" s="137">
        <f>Transportation_LCIA!P$61*($W349^Transportation_LCIA!P$60)+Transportation_LCIA!P$62</f>
        <v>2.4841662634578297E-8</v>
      </c>
      <c r="AM349" s="137">
        <f>Transportation_LCIA!Q$61*($W349^Transportation_LCIA!Q$60)+Transportation_LCIA!Q$62</f>
        <v>7.6967886691158753E-5</v>
      </c>
      <c r="AN349" s="137">
        <f>Transportation_LCIA!R$61*($W349^Transportation_LCIA!R$60)+Transportation_LCIA!R$62</f>
        <v>2.2454297120611953E-4</v>
      </c>
      <c r="AO349" s="137">
        <f>Transportation_LCIA!S$61*($W349^Transportation_LCIA!S$60)+Transportation_LCIA!S$62</f>
        <v>3.4439509298357079E-6</v>
      </c>
      <c r="AP349" s="137">
        <f>Transportation_LCIA!T$61*($W349^Transportation_LCIA!T$60)+Transportation_LCIA!T$62</f>
        <v>3.4439509298357079E-6</v>
      </c>
      <c r="AQ349" s="137">
        <f>Transportation_LCIA!U$61*($W349^Transportation_LCIA!U$60)+Transportation_LCIA!U$62</f>
        <v>4.792762052799418E-4</v>
      </c>
      <c r="AR349" s="137">
        <f>Transportation_LCIA!V$61*($W349^Transportation_LCIA!V$60)+Transportation_LCIA!V$62</f>
        <v>2.0020793733126354E-4</v>
      </c>
      <c r="AT349" s="137">
        <f>$W349*Y349+$L349*Summary_LCIA!H$32</f>
        <v>337.67346486191167</v>
      </c>
      <c r="AU349" s="137">
        <f>$W349*Z349+$L349*Summary_LCIA!Q$32</f>
        <v>3641.1900303201755</v>
      </c>
      <c r="AV349" s="137">
        <f>$W349*AA349+$L349*Summary_LCIA!R$32</f>
        <v>2.0768642185314281</v>
      </c>
      <c r="AW349" s="137">
        <f>$W349*AB349+$L349*Summary_LCIA!S$32</f>
        <v>336.99644904191166</v>
      </c>
      <c r="AX349" s="137">
        <f>$W349*AC349+$L349*Summary_LCIA!T$32</f>
        <v>84.302009930961745</v>
      </c>
      <c r="AY349" s="137">
        <f>$W349*AD349+$L349*Summary_LCIA!U$32</f>
        <v>3.0584395412219383</v>
      </c>
      <c r="AZ349" s="137">
        <f>$W349*AE349+$L349*Summary_LCIA!V$32</f>
        <v>1.3789935791777707E-2</v>
      </c>
      <c r="BA349" s="137">
        <f>$W349*AF349+$L349*Summary_LCIA!W$32</f>
        <v>21.366386996715882</v>
      </c>
      <c r="BB349" s="137">
        <f>$W349*AG349+$L349*Summary_LCIA!X$32</f>
        <v>17.615830056750543</v>
      </c>
      <c r="BC349" s="137">
        <f>$W349*AH349+$L349*Summary_LCIA!Y$32</f>
        <v>2.6557389452773705</v>
      </c>
      <c r="BD349" s="137">
        <f>$W349*AI349+$L349*Summary_LCIA!Z$32</f>
        <v>0.30596544421114602</v>
      </c>
      <c r="BE349" s="137">
        <f>$W349*AJ349+$L349*Summary_LCIA!AA$32</f>
        <v>4.7170514993678534</v>
      </c>
      <c r="BF349" s="137">
        <f>$W349*AK349+$L349*Summary_LCIA!AB$32</f>
        <v>6.7887246180999353E-2</v>
      </c>
      <c r="BG349" s="137">
        <f>$W349*AL349+$L349*Summary_LCIA!AC$32</f>
        <v>4.1965683284363106E-5</v>
      </c>
      <c r="BH349" s="137">
        <f>$W349*AM349+$L349*Summary_LCIA!AD$32</f>
        <v>0.1697841557373444</v>
      </c>
      <c r="BI349" s="137">
        <f>$W349*AN349+$L349*Summary_LCIA!AE$32</f>
        <v>0.44737557771809366</v>
      </c>
      <c r="BJ349" s="137">
        <f>$W349*AO349+$L349*Summary_LCIA!AF$32</f>
        <v>0.13427373186438241</v>
      </c>
      <c r="BK349" s="137">
        <f>$W349*AP349+$L349*Summary_LCIA!AG$32</f>
        <v>1.2616899259382423E-2</v>
      </c>
      <c r="BL349" s="137">
        <f>$W349*AQ349+$L349*Summary_LCIA!AH$32</f>
        <v>1.9983328996993992</v>
      </c>
      <c r="BM349" s="137">
        <f>$W349*AR349+$L349*Summary_LCIA!AI$32</f>
        <v>0.4205576891738988</v>
      </c>
    </row>
    <row r="350" spans="1:65" x14ac:dyDescent="0.25">
      <c r="A350" s="149">
        <v>333</v>
      </c>
      <c r="B350" s="149">
        <v>16</v>
      </c>
      <c r="C350" s="61">
        <v>34.420831</v>
      </c>
      <c r="D350" s="61">
        <v>-119.69819</v>
      </c>
      <c r="E350" s="61" t="s">
        <v>265</v>
      </c>
      <c r="F350" s="149">
        <v>116</v>
      </c>
      <c r="G350" s="61" t="s">
        <v>663</v>
      </c>
      <c r="H350" s="61" t="s">
        <v>664</v>
      </c>
      <c r="I350" s="61">
        <v>34.198312000000001</v>
      </c>
      <c r="J350" s="61">
        <v>-118.357404</v>
      </c>
      <c r="K350" s="61">
        <v>171.82591690000001</v>
      </c>
      <c r="L350" s="61">
        <v>142.99199999999999</v>
      </c>
      <c r="M350" s="61" t="s">
        <v>617</v>
      </c>
      <c r="N350" s="149">
        <v>15</v>
      </c>
      <c r="O350" s="149">
        <v>16</v>
      </c>
      <c r="P350" s="61" t="s">
        <v>565</v>
      </c>
      <c r="Q350" s="61" t="s">
        <v>556</v>
      </c>
      <c r="R350" s="61">
        <v>39.856096299999997</v>
      </c>
      <c r="S350" s="61">
        <v>-104.6737376</v>
      </c>
      <c r="T350" s="61">
        <v>1816.76</v>
      </c>
      <c r="U350" s="61" t="s">
        <v>617</v>
      </c>
      <c r="V350" s="61" t="s">
        <v>569</v>
      </c>
      <c r="W350" s="61" cm="1">
        <f t="array" ref="W350">getDistance(I350,J350,R350,S350)*SA!$B$12</f>
        <v>1368.4330080174188</v>
      </c>
      <c r="Y350" s="137">
        <f>Transportation_LCIA!C$61*($W350^Transportation_LCIA!C$60)+Transportation_LCIA!C$62</f>
        <v>0.20691545096518085</v>
      </c>
      <c r="Z350" s="137">
        <f>Transportation_LCIA!D$61*($W350^Transportation_LCIA!D$60)+Transportation_LCIA!D$62</f>
        <v>2.0894362421462809</v>
      </c>
      <c r="AA350" s="137">
        <f>Transportation_LCIA!E$61*($W350^Transportation_LCIA!E$60)+Transportation_LCIA!E$62</f>
        <v>9.2371943464845518E-4</v>
      </c>
      <c r="AB350" s="137">
        <f>Transportation_LCIA!F$61*($W350^Transportation_LCIA!F$60)+Transportation_LCIA!F$62</f>
        <v>0.20691545096518085</v>
      </c>
      <c r="AC350" s="137">
        <f>Transportation_LCIA!G$61*($W350^Transportation_LCIA!G$60)+Transportation_LCIA!G$62</f>
        <v>4.8909932339708459E-2</v>
      </c>
      <c r="AD350" s="137">
        <f>Transportation_LCIA!H$61*($W350^Transportation_LCIA!H$60)+Transportation_LCIA!H$62</f>
        <v>2.2846537104787056E-4</v>
      </c>
      <c r="AE350" s="137">
        <f>Transportation_LCIA!I$61*($W350^Transportation_LCIA!I$60)+Transportation_LCIA!I$62</f>
        <v>4.7105743113511086E-6</v>
      </c>
      <c r="AF350" s="137">
        <f>Transportation_LCIA!J$61*($W350^Transportation_LCIA!J$60)+Transportation_LCIA!J$62</f>
        <v>6.9676557821968139E-3</v>
      </c>
      <c r="AG350" s="137">
        <f>Transportation_LCIA!K$61*($W350^Transportation_LCIA!K$60)+Transportation_LCIA!K$62</f>
        <v>1.0247471444338688E-2</v>
      </c>
      <c r="AH350" s="137">
        <f>Transportation_LCIA!L$61*($W350^Transportation_LCIA!L$60)+Transportation_LCIA!L$62</f>
        <v>1.9552352788564252E-4</v>
      </c>
      <c r="AI350" s="137">
        <f>Transportation_LCIA!M$61*($W350^Transportation_LCIA!M$60)+Transportation_LCIA!M$62</f>
        <v>2.1694008263797531E-4</v>
      </c>
      <c r="AJ350" s="137">
        <f>Transportation_LCIA!N$61*($W350^Transportation_LCIA!N$60)+Transportation_LCIA!N$62</f>
        <v>8.2727901467190875E-4</v>
      </c>
      <c r="AK350" s="137">
        <f>Transportation_LCIA!O$61*($W350^Transportation_LCIA!O$60)+Transportation_LCIA!O$62</f>
        <v>5.1638598230819343E-5</v>
      </c>
      <c r="AL350" s="137">
        <f>Transportation_LCIA!P$61*($W350^Transportation_LCIA!P$60)+Transportation_LCIA!P$62</f>
        <v>2.4994242719427007E-8</v>
      </c>
      <c r="AM350" s="137">
        <f>Transportation_LCIA!Q$61*($W350^Transportation_LCIA!Q$60)+Transportation_LCIA!Q$62</f>
        <v>7.7626188885142287E-5</v>
      </c>
      <c r="AN350" s="137">
        <f>Transportation_LCIA!R$61*($W350^Transportation_LCIA!R$60)+Transportation_LCIA!R$62</f>
        <v>2.267373826738791E-4</v>
      </c>
      <c r="AO350" s="137">
        <f>Transportation_LCIA!S$61*($W350^Transportation_LCIA!S$60)+Transportation_LCIA!S$62</f>
        <v>3.475111898756177E-6</v>
      </c>
      <c r="AP350" s="137">
        <f>Transportation_LCIA!T$61*($W350^Transportation_LCIA!T$60)+Transportation_LCIA!T$62</f>
        <v>3.475111898756177E-6</v>
      </c>
      <c r="AQ350" s="137">
        <f>Transportation_LCIA!U$61*($W350^Transportation_LCIA!U$60)+Transportation_LCIA!U$62</f>
        <v>4.8407707333919363E-4</v>
      </c>
      <c r="AR350" s="137">
        <f>Transportation_LCIA!V$61*($W350^Transportation_LCIA!V$60)+Transportation_LCIA!V$62</f>
        <v>2.0191623240174868E-4</v>
      </c>
      <c r="AT350" s="137">
        <f>$W350*Y350+$L350*Summary_LCIA!H$32</f>
        <v>331.73861456956314</v>
      </c>
      <c r="AU350" s="137">
        <f>$W350*Z350+$L350*Summary_LCIA!Q$32</f>
        <v>3567.9290854163828</v>
      </c>
      <c r="AV350" s="137">
        <f>$W350*AA350+$L350*Summary_LCIA!R$32</f>
        <v>2.0169868397201349</v>
      </c>
      <c r="AW350" s="137">
        <f>$W350*AB350+$L350*Summary_LCIA!S$32</f>
        <v>331.10658992956314</v>
      </c>
      <c r="AX350" s="137">
        <f>$W350*AC350+$L350*Summary_LCIA!T$32</f>
        <v>82.644786633555682</v>
      </c>
      <c r="AY350" s="137">
        <f>$W350*AD350+$L350*Summary_LCIA!U$32</f>
        <v>2.874198242930853</v>
      </c>
      <c r="AZ350" s="137">
        <f>$W350*AE350+$L350*Summary_LCIA!V$32</f>
        <v>1.3275546286371778E-2</v>
      </c>
      <c r="BA350" s="137">
        <f>$W350*AF350+$L350*Summary_LCIA!W$32</f>
        <v>20.541007392861545</v>
      </c>
      <c r="BB350" s="137">
        <f>$W350*AG350+$L350*Summary_LCIA!X$32</f>
        <v>17.280335933148997</v>
      </c>
      <c r="BC350" s="137">
        <f>$W350*AH350+$L350*Summary_LCIA!Y$32</f>
        <v>2.495662193402727</v>
      </c>
      <c r="BD350" s="137">
        <f>$W350*AI350+$L350*Summary_LCIA!Z$32</f>
        <v>0.30273192877183197</v>
      </c>
      <c r="BE350" s="137">
        <f>$W350*AJ350+$L350*Summary_LCIA!AA$32</f>
        <v>4.4717970625171661</v>
      </c>
      <c r="BF350" s="137">
        <f>$W350*AK350+$L350*Summary_LCIA!AB$32</f>
        <v>6.7543447890803077E-2</v>
      </c>
      <c r="BG350" s="137">
        <f>$W350*AL350+$L350*Summary_LCIA!AC$32</f>
        <v>4.1192967675662969E-5</v>
      </c>
      <c r="BH350" s="137">
        <f>$W350*AM350+$L350*Summary_LCIA!AD$32</f>
        <v>0.16500167083702358</v>
      </c>
      <c r="BI350" s="137">
        <f>$W350*AN350+$L350*Summary_LCIA!AE$32</f>
        <v>0.43698441956241296</v>
      </c>
      <c r="BJ350" s="137">
        <f>$W350*AO350+$L350*Summary_LCIA!AF$32</f>
        <v>0.12564375446881204</v>
      </c>
      <c r="BK350" s="137">
        <f>$W350*AP350+$L350*Summary_LCIA!AG$32</f>
        <v>1.2071643508812039E-2</v>
      </c>
      <c r="BL350" s="137">
        <f>$W350*AQ350+$L350*Summary_LCIA!AH$32</f>
        <v>1.9069722167818215</v>
      </c>
      <c r="BM350" s="137">
        <f>$W350*AR350+$L350*Summary_LCIA!AI$32</f>
        <v>0.40951303487306911</v>
      </c>
    </row>
    <row r="351" spans="1:65" x14ac:dyDescent="0.25">
      <c r="A351" s="149">
        <v>329</v>
      </c>
      <c r="B351" s="149">
        <v>16</v>
      </c>
      <c r="C351" s="61">
        <v>34.413587</v>
      </c>
      <c r="D351" s="61">
        <v>-119.849698</v>
      </c>
      <c r="E351" s="61" t="s">
        <v>265</v>
      </c>
      <c r="F351" s="149">
        <v>116</v>
      </c>
      <c r="G351" s="61" t="s">
        <v>663</v>
      </c>
      <c r="H351" s="61" t="s">
        <v>664</v>
      </c>
      <c r="I351" s="61">
        <v>34.198312000000001</v>
      </c>
      <c r="J351" s="61">
        <v>-118.357404</v>
      </c>
      <c r="K351" s="61">
        <v>186.5655932</v>
      </c>
      <c r="L351" s="61">
        <v>160.434</v>
      </c>
      <c r="M351" s="61" t="s">
        <v>617</v>
      </c>
      <c r="N351" s="149">
        <v>15</v>
      </c>
      <c r="O351" s="149">
        <v>16</v>
      </c>
      <c r="P351" s="61" t="s">
        <v>565</v>
      </c>
      <c r="Q351" s="61" t="s">
        <v>556</v>
      </c>
      <c r="R351" s="61">
        <v>39.856096299999997</v>
      </c>
      <c r="S351" s="61">
        <v>-104.6737376</v>
      </c>
      <c r="T351" s="61">
        <v>1834.201</v>
      </c>
      <c r="U351" s="61" t="s">
        <v>617</v>
      </c>
      <c r="V351" s="61" t="s">
        <v>569</v>
      </c>
      <c r="W351" s="61" cm="1">
        <f t="array" ref="W351">getDistance(I351,J351,R351,S351)*SA!$B$12</f>
        <v>1368.4330080174188</v>
      </c>
      <c r="Y351" s="137">
        <f>Transportation_LCIA!C$61*($W351^Transportation_LCIA!C$60)+Transportation_LCIA!C$62</f>
        <v>0.20691545096518085</v>
      </c>
      <c r="Z351" s="137">
        <f>Transportation_LCIA!D$61*($W351^Transportation_LCIA!D$60)+Transportation_LCIA!D$62</f>
        <v>2.0894362421462809</v>
      </c>
      <c r="AA351" s="137">
        <f>Transportation_LCIA!E$61*($W351^Transportation_LCIA!E$60)+Transportation_LCIA!E$62</f>
        <v>9.2371943464845518E-4</v>
      </c>
      <c r="AB351" s="137">
        <f>Transportation_LCIA!F$61*($W351^Transportation_LCIA!F$60)+Transportation_LCIA!F$62</f>
        <v>0.20691545096518085</v>
      </c>
      <c r="AC351" s="137">
        <f>Transportation_LCIA!G$61*($W351^Transportation_LCIA!G$60)+Transportation_LCIA!G$62</f>
        <v>4.8909932339708459E-2</v>
      </c>
      <c r="AD351" s="137">
        <f>Transportation_LCIA!H$61*($W351^Transportation_LCIA!H$60)+Transportation_LCIA!H$62</f>
        <v>2.2846537104787056E-4</v>
      </c>
      <c r="AE351" s="137">
        <f>Transportation_LCIA!I$61*($W351^Transportation_LCIA!I$60)+Transportation_LCIA!I$62</f>
        <v>4.7105743113511086E-6</v>
      </c>
      <c r="AF351" s="137">
        <f>Transportation_LCIA!J$61*($W351^Transportation_LCIA!J$60)+Transportation_LCIA!J$62</f>
        <v>6.9676557821968139E-3</v>
      </c>
      <c r="AG351" s="137">
        <f>Transportation_LCIA!K$61*($W351^Transportation_LCIA!K$60)+Transportation_LCIA!K$62</f>
        <v>1.0247471444338688E-2</v>
      </c>
      <c r="AH351" s="137">
        <f>Transportation_LCIA!L$61*($W351^Transportation_LCIA!L$60)+Transportation_LCIA!L$62</f>
        <v>1.9552352788564252E-4</v>
      </c>
      <c r="AI351" s="137">
        <f>Transportation_LCIA!M$61*($W351^Transportation_LCIA!M$60)+Transportation_LCIA!M$62</f>
        <v>2.1694008263797531E-4</v>
      </c>
      <c r="AJ351" s="137">
        <f>Transportation_LCIA!N$61*($W351^Transportation_LCIA!N$60)+Transportation_LCIA!N$62</f>
        <v>8.2727901467190875E-4</v>
      </c>
      <c r="AK351" s="137">
        <f>Transportation_LCIA!O$61*($W351^Transportation_LCIA!O$60)+Transportation_LCIA!O$62</f>
        <v>5.1638598230819343E-5</v>
      </c>
      <c r="AL351" s="137">
        <f>Transportation_LCIA!P$61*($W351^Transportation_LCIA!P$60)+Transportation_LCIA!P$62</f>
        <v>2.4994242719427007E-8</v>
      </c>
      <c r="AM351" s="137">
        <f>Transportation_LCIA!Q$61*($W351^Transportation_LCIA!Q$60)+Transportation_LCIA!Q$62</f>
        <v>7.7626188885142287E-5</v>
      </c>
      <c r="AN351" s="137">
        <f>Transportation_LCIA!R$61*($W351^Transportation_LCIA!R$60)+Transportation_LCIA!R$62</f>
        <v>2.267373826738791E-4</v>
      </c>
      <c r="AO351" s="137">
        <f>Transportation_LCIA!S$61*($W351^Transportation_LCIA!S$60)+Transportation_LCIA!S$62</f>
        <v>3.475111898756177E-6</v>
      </c>
      <c r="AP351" s="137">
        <f>Transportation_LCIA!T$61*($W351^Transportation_LCIA!T$60)+Transportation_LCIA!T$62</f>
        <v>3.475111898756177E-6</v>
      </c>
      <c r="AQ351" s="137">
        <f>Transportation_LCIA!U$61*($W351^Transportation_LCIA!U$60)+Transportation_LCIA!U$62</f>
        <v>4.8407707333919363E-4</v>
      </c>
      <c r="AR351" s="137">
        <f>Transportation_LCIA!V$61*($W351^Transportation_LCIA!V$60)+Transportation_LCIA!V$62</f>
        <v>2.0191623240174868E-4</v>
      </c>
      <c r="AT351" s="137">
        <f>$W351*Y351+$L351*Summary_LCIA!H$32</f>
        <v>337.66540616956314</v>
      </c>
      <c r="AU351" s="137">
        <f>$W351*Z351+$L351*Summary_LCIA!Q$32</f>
        <v>3654.372517068769</v>
      </c>
      <c r="AV351" s="137">
        <f>$W351*AA351+$L351*Summary_LCIA!R$32</f>
        <v>2.1088294349201351</v>
      </c>
      <c r="AW351" s="137">
        <f>$W351*AB351+$L351*Summary_LCIA!S$32</f>
        <v>336.95628788956316</v>
      </c>
      <c r="AX351" s="137">
        <f>$W351*AC351+$L351*Summary_LCIA!T$32</f>
        <v>84.561662433555682</v>
      </c>
      <c r="AY351" s="137">
        <f>$W351*AD351+$L351*Summary_LCIA!U$32</f>
        <v>3.186654230930853</v>
      </c>
      <c r="AZ351" s="137">
        <f>$W351*AE351+$L351*Summary_LCIA!V$32</f>
        <v>1.4108593648371779E-2</v>
      </c>
      <c r="BA351" s="137">
        <f>$W351*AF351+$L351*Summary_LCIA!W$32</f>
        <v>21.883535574861547</v>
      </c>
      <c r="BB351" s="137">
        <f>$W351*AG351+$L351*Summary_LCIA!X$32</f>
        <v>17.677664693148998</v>
      </c>
      <c r="BC351" s="137">
        <f>$W351*AH351+$L351*Summary_LCIA!Y$32</f>
        <v>2.7674434374027275</v>
      </c>
      <c r="BD351" s="137">
        <f>$W351*AI351+$L351*Summary_LCIA!Z$32</f>
        <v>0.30344720774983197</v>
      </c>
      <c r="BE351" s="137">
        <f>$W351*AJ351+$L351*Summary_LCIA!AA$32</f>
        <v>4.879172414517166</v>
      </c>
      <c r="BF351" s="137">
        <f>$W351*AK351+$L351*Summary_LCIA!AB$32</f>
        <v>6.7162811124803073E-2</v>
      </c>
      <c r="BG351" s="137">
        <f>$W351*AL351+$L351*Summary_LCIA!AC$32</f>
        <v>4.2045602403662972E-5</v>
      </c>
      <c r="BH351" s="137">
        <f>$W351*AM351+$L351*Summary_LCIA!AD$32</f>
        <v>0.17217103051702359</v>
      </c>
      <c r="BI351" s="137">
        <f>$W351*AN351+$L351*Summary_LCIA!AE$32</f>
        <v>0.45244029902241295</v>
      </c>
      <c r="BJ351" s="137">
        <f>$W351*AO351+$L351*Summary_LCIA!AF$32</f>
        <v>0.14038957010881203</v>
      </c>
      <c r="BK351" s="137">
        <f>$W351*AP351+$L351*Summary_LCIA!AG$32</f>
        <v>1.296406343881204E-2</v>
      </c>
      <c r="BL351" s="137">
        <f>$W351*AQ351+$L351*Summary_LCIA!AH$32</f>
        <v>2.0587804079818213</v>
      </c>
      <c r="BM351" s="137">
        <f>$W351*AR351+$L351*Summary_LCIA!AI$32</f>
        <v>0.42576112997306914</v>
      </c>
    </row>
    <row r="352" spans="1:65" x14ac:dyDescent="0.25">
      <c r="A352" s="149">
        <v>330</v>
      </c>
      <c r="B352" s="149">
        <v>16</v>
      </c>
      <c r="C352" s="61">
        <v>34.413587</v>
      </c>
      <c r="D352" s="61">
        <v>-119.849698</v>
      </c>
      <c r="E352" s="61" t="s">
        <v>265</v>
      </c>
      <c r="F352" s="149">
        <v>116</v>
      </c>
      <c r="G352" s="61" t="s">
        <v>663</v>
      </c>
      <c r="H352" s="61" t="s">
        <v>664</v>
      </c>
      <c r="I352" s="61">
        <v>34.198312000000001</v>
      </c>
      <c r="J352" s="61">
        <v>-118.357404</v>
      </c>
      <c r="K352" s="61">
        <v>186.5655932</v>
      </c>
      <c r="L352" s="61">
        <v>160.434</v>
      </c>
      <c r="M352" s="61" t="s">
        <v>617</v>
      </c>
      <c r="N352" s="149">
        <v>15</v>
      </c>
      <c r="O352" s="149">
        <v>16</v>
      </c>
      <c r="P352" s="61" t="s">
        <v>565</v>
      </c>
      <c r="Q352" s="61" t="s">
        <v>556</v>
      </c>
      <c r="R352" s="61">
        <v>39.856096299999997</v>
      </c>
      <c r="S352" s="61">
        <v>-104.6737376</v>
      </c>
      <c r="T352" s="61">
        <v>1834.201</v>
      </c>
      <c r="U352" s="61" t="s">
        <v>617</v>
      </c>
      <c r="V352" s="61" t="s">
        <v>569</v>
      </c>
      <c r="W352" s="61" cm="1">
        <f t="array" ref="W352">getDistance(I352,J352,R352,S352)*SA!$B$12</f>
        <v>1368.4330080174188</v>
      </c>
      <c r="Y352" s="137">
        <f>Transportation_LCIA!C$61*($W352^Transportation_LCIA!C$60)+Transportation_LCIA!C$62</f>
        <v>0.20691545096518085</v>
      </c>
      <c r="Z352" s="137">
        <f>Transportation_LCIA!D$61*($W352^Transportation_LCIA!D$60)+Transportation_LCIA!D$62</f>
        <v>2.0894362421462809</v>
      </c>
      <c r="AA352" s="137">
        <f>Transportation_LCIA!E$61*($W352^Transportation_LCIA!E$60)+Transportation_LCIA!E$62</f>
        <v>9.2371943464845518E-4</v>
      </c>
      <c r="AB352" s="137">
        <f>Transportation_LCIA!F$61*($W352^Transportation_LCIA!F$60)+Transportation_LCIA!F$62</f>
        <v>0.20691545096518085</v>
      </c>
      <c r="AC352" s="137">
        <f>Transportation_LCIA!G$61*($W352^Transportation_LCIA!G$60)+Transportation_LCIA!G$62</f>
        <v>4.8909932339708459E-2</v>
      </c>
      <c r="AD352" s="137">
        <f>Transportation_LCIA!H$61*($W352^Transportation_LCIA!H$60)+Transportation_LCIA!H$62</f>
        <v>2.2846537104787056E-4</v>
      </c>
      <c r="AE352" s="137">
        <f>Transportation_LCIA!I$61*($W352^Transportation_LCIA!I$60)+Transportation_LCIA!I$62</f>
        <v>4.7105743113511086E-6</v>
      </c>
      <c r="AF352" s="137">
        <f>Transportation_LCIA!J$61*($W352^Transportation_LCIA!J$60)+Transportation_LCIA!J$62</f>
        <v>6.9676557821968139E-3</v>
      </c>
      <c r="AG352" s="137">
        <f>Transportation_LCIA!K$61*($W352^Transportation_LCIA!K$60)+Transportation_LCIA!K$62</f>
        <v>1.0247471444338688E-2</v>
      </c>
      <c r="AH352" s="137">
        <f>Transportation_LCIA!L$61*($W352^Transportation_LCIA!L$60)+Transportation_LCIA!L$62</f>
        <v>1.9552352788564252E-4</v>
      </c>
      <c r="AI352" s="137">
        <f>Transportation_LCIA!M$61*($W352^Transportation_LCIA!M$60)+Transportation_LCIA!M$62</f>
        <v>2.1694008263797531E-4</v>
      </c>
      <c r="AJ352" s="137">
        <f>Transportation_LCIA!N$61*($W352^Transportation_LCIA!N$60)+Transportation_LCIA!N$62</f>
        <v>8.2727901467190875E-4</v>
      </c>
      <c r="AK352" s="137">
        <f>Transportation_LCIA!O$61*($W352^Transportation_LCIA!O$60)+Transportation_LCIA!O$62</f>
        <v>5.1638598230819343E-5</v>
      </c>
      <c r="AL352" s="137">
        <f>Transportation_LCIA!P$61*($W352^Transportation_LCIA!P$60)+Transportation_LCIA!P$62</f>
        <v>2.4994242719427007E-8</v>
      </c>
      <c r="AM352" s="137">
        <f>Transportation_LCIA!Q$61*($W352^Transportation_LCIA!Q$60)+Transportation_LCIA!Q$62</f>
        <v>7.7626188885142287E-5</v>
      </c>
      <c r="AN352" s="137">
        <f>Transportation_LCIA!R$61*($W352^Transportation_LCIA!R$60)+Transportation_LCIA!R$62</f>
        <v>2.267373826738791E-4</v>
      </c>
      <c r="AO352" s="137">
        <f>Transportation_LCIA!S$61*($W352^Transportation_LCIA!S$60)+Transportation_LCIA!S$62</f>
        <v>3.475111898756177E-6</v>
      </c>
      <c r="AP352" s="137">
        <f>Transportation_LCIA!T$61*($W352^Transportation_LCIA!T$60)+Transportation_LCIA!T$62</f>
        <v>3.475111898756177E-6</v>
      </c>
      <c r="AQ352" s="137">
        <f>Transportation_LCIA!U$61*($W352^Transportation_LCIA!U$60)+Transportation_LCIA!U$62</f>
        <v>4.8407707333919363E-4</v>
      </c>
      <c r="AR352" s="137">
        <f>Transportation_LCIA!V$61*($W352^Transportation_LCIA!V$60)+Transportation_LCIA!V$62</f>
        <v>2.0191623240174868E-4</v>
      </c>
      <c r="AT352" s="137">
        <f>$W352*Y352+$L352*Summary_LCIA!H$32</f>
        <v>337.66540616956314</v>
      </c>
      <c r="AU352" s="137">
        <f>$W352*Z352+$L352*Summary_LCIA!Q$32</f>
        <v>3654.372517068769</v>
      </c>
      <c r="AV352" s="137">
        <f>$W352*AA352+$L352*Summary_LCIA!R$32</f>
        <v>2.1088294349201351</v>
      </c>
      <c r="AW352" s="137">
        <f>$W352*AB352+$L352*Summary_LCIA!S$32</f>
        <v>336.95628788956316</v>
      </c>
      <c r="AX352" s="137">
        <f>$W352*AC352+$L352*Summary_LCIA!T$32</f>
        <v>84.561662433555682</v>
      </c>
      <c r="AY352" s="137">
        <f>$W352*AD352+$L352*Summary_LCIA!U$32</f>
        <v>3.186654230930853</v>
      </c>
      <c r="AZ352" s="137">
        <f>$W352*AE352+$L352*Summary_LCIA!V$32</f>
        <v>1.4108593648371779E-2</v>
      </c>
      <c r="BA352" s="137">
        <f>$W352*AF352+$L352*Summary_LCIA!W$32</f>
        <v>21.883535574861547</v>
      </c>
      <c r="BB352" s="137">
        <f>$W352*AG352+$L352*Summary_LCIA!X$32</f>
        <v>17.677664693148998</v>
      </c>
      <c r="BC352" s="137">
        <f>$W352*AH352+$L352*Summary_LCIA!Y$32</f>
        <v>2.7674434374027275</v>
      </c>
      <c r="BD352" s="137">
        <f>$W352*AI352+$L352*Summary_LCIA!Z$32</f>
        <v>0.30344720774983197</v>
      </c>
      <c r="BE352" s="137">
        <f>$W352*AJ352+$L352*Summary_LCIA!AA$32</f>
        <v>4.879172414517166</v>
      </c>
      <c r="BF352" s="137">
        <f>$W352*AK352+$L352*Summary_LCIA!AB$32</f>
        <v>6.7162811124803073E-2</v>
      </c>
      <c r="BG352" s="137">
        <f>$W352*AL352+$L352*Summary_LCIA!AC$32</f>
        <v>4.2045602403662972E-5</v>
      </c>
      <c r="BH352" s="137">
        <f>$W352*AM352+$L352*Summary_LCIA!AD$32</f>
        <v>0.17217103051702359</v>
      </c>
      <c r="BI352" s="137">
        <f>$W352*AN352+$L352*Summary_LCIA!AE$32</f>
        <v>0.45244029902241295</v>
      </c>
      <c r="BJ352" s="137">
        <f>$W352*AO352+$L352*Summary_LCIA!AF$32</f>
        <v>0.14038957010881203</v>
      </c>
      <c r="BK352" s="137">
        <f>$W352*AP352+$L352*Summary_LCIA!AG$32</f>
        <v>1.296406343881204E-2</v>
      </c>
      <c r="BL352" s="137">
        <f>$W352*AQ352+$L352*Summary_LCIA!AH$32</f>
        <v>2.0587804079818213</v>
      </c>
      <c r="BM352" s="137">
        <f>$W352*AR352+$L352*Summary_LCIA!AI$32</f>
        <v>0.42576112997306914</v>
      </c>
    </row>
    <row r="353" spans="1:65" x14ac:dyDescent="0.25">
      <c r="A353" s="149">
        <v>331</v>
      </c>
      <c r="B353" s="149">
        <v>16</v>
      </c>
      <c r="C353" s="61">
        <v>34.413587</v>
      </c>
      <c r="D353" s="61">
        <v>-119.849698</v>
      </c>
      <c r="E353" s="61" t="s">
        <v>265</v>
      </c>
      <c r="F353" s="149">
        <v>116</v>
      </c>
      <c r="G353" s="61" t="s">
        <v>663</v>
      </c>
      <c r="H353" s="61" t="s">
        <v>664</v>
      </c>
      <c r="I353" s="61">
        <v>34.198312000000001</v>
      </c>
      <c r="J353" s="61">
        <v>-118.357404</v>
      </c>
      <c r="K353" s="61">
        <v>186.5655932</v>
      </c>
      <c r="L353" s="61">
        <v>160.434</v>
      </c>
      <c r="M353" s="61" t="s">
        <v>617</v>
      </c>
      <c r="N353" s="149">
        <v>15</v>
      </c>
      <c r="O353" s="149">
        <v>16</v>
      </c>
      <c r="P353" s="61" t="s">
        <v>565</v>
      </c>
      <c r="Q353" s="61" t="s">
        <v>556</v>
      </c>
      <c r="R353" s="61">
        <v>39.856096299999997</v>
      </c>
      <c r="S353" s="61">
        <v>-104.6737376</v>
      </c>
      <c r="T353" s="61">
        <v>1834.201</v>
      </c>
      <c r="U353" s="61" t="s">
        <v>617</v>
      </c>
      <c r="V353" s="61" t="s">
        <v>569</v>
      </c>
      <c r="W353" s="61" cm="1">
        <f t="array" ref="W353">getDistance(I353,J353,R353,S353)*SA!$B$12</f>
        <v>1368.4330080174188</v>
      </c>
      <c r="Y353" s="137">
        <f>Transportation_LCIA!C$61*($W353^Transportation_LCIA!C$60)+Transportation_LCIA!C$62</f>
        <v>0.20691545096518085</v>
      </c>
      <c r="Z353" s="137">
        <f>Transportation_LCIA!D$61*($W353^Transportation_LCIA!D$60)+Transportation_LCIA!D$62</f>
        <v>2.0894362421462809</v>
      </c>
      <c r="AA353" s="137">
        <f>Transportation_LCIA!E$61*($W353^Transportation_LCIA!E$60)+Transportation_LCIA!E$62</f>
        <v>9.2371943464845518E-4</v>
      </c>
      <c r="AB353" s="137">
        <f>Transportation_LCIA!F$61*($W353^Transportation_LCIA!F$60)+Transportation_LCIA!F$62</f>
        <v>0.20691545096518085</v>
      </c>
      <c r="AC353" s="137">
        <f>Transportation_LCIA!G$61*($W353^Transportation_LCIA!G$60)+Transportation_LCIA!G$62</f>
        <v>4.8909932339708459E-2</v>
      </c>
      <c r="AD353" s="137">
        <f>Transportation_LCIA!H$61*($W353^Transportation_LCIA!H$60)+Transportation_LCIA!H$62</f>
        <v>2.2846537104787056E-4</v>
      </c>
      <c r="AE353" s="137">
        <f>Transportation_LCIA!I$61*($W353^Transportation_LCIA!I$60)+Transportation_LCIA!I$62</f>
        <v>4.7105743113511086E-6</v>
      </c>
      <c r="AF353" s="137">
        <f>Transportation_LCIA!J$61*($W353^Transportation_LCIA!J$60)+Transportation_LCIA!J$62</f>
        <v>6.9676557821968139E-3</v>
      </c>
      <c r="AG353" s="137">
        <f>Transportation_LCIA!K$61*($W353^Transportation_LCIA!K$60)+Transportation_LCIA!K$62</f>
        <v>1.0247471444338688E-2</v>
      </c>
      <c r="AH353" s="137">
        <f>Transportation_LCIA!L$61*($W353^Transportation_LCIA!L$60)+Transportation_LCIA!L$62</f>
        <v>1.9552352788564252E-4</v>
      </c>
      <c r="AI353" s="137">
        <f>Transportation_LCIA!M$61*($W353^Transportation_LCIA!M$60)+Transportation_LCIA!M$62</f>
        <v>2.1694008263797531E-4</v>
      </c>
      <c r="AJ353" s="137">
        <f>Transportation_LCIA!N$61*($W353^Transportation_LCIA!N$60)+Transportation_LCIA!N$62</f>
        <v>8.2727901467190875E-4</v>
      </c>
      <c r="AK353" s="137">
        <f>Transportation_LCIA!O$61*($W353^Transportation_LCIA!O$60)+Transportation_LCIA!O$62</f>
        <v>5.1638598230819343E-5</v>
      </c>
      <c r="AL353" s="137">
        <f>Transportation_LCIA!P$61*($W353^Transportation_LCIA!P$60)+Transportation_LCIA!P$62</f>
        <v>2.4994242719427007E-8</v>
      </c>
      <c r="AM353" s="137">
        <f>Transportation_LCIA!Q$61*($W353^Transportation_LCIA!Q$60)+Transportation_LCIA!Q$62</f>
        <v>7.7626188885142287E-5</v>
      </c>
      <c r="AN353" s="137">
        <f>Transportation_LCIA!R$61*($W353^Transportation_LCIA!R$60)+Transportation_LCIA!R$62</f>
        <v>2.267373826738791E-4</v>
      </c>
      <c r="AO353" s="137">
        <f>Transportation_LCIA!S$61*($W353^Transportation_LCIA!S$60)+Transportation_LCIA!S$62</f>
        <v>3.475111898756177E-6</v>
      </c>
      <c r="AP353" s="137">
        <f>Transportation_LCIA!T$61*($W353^Transportation_LCIA!T$60)+Transportation_LCIA!T$62</f>
        <v>3.475111898756177E-6</v>
      </c>
      <c r="AQ353" s="137">
        <f>Transportation_LCIA!U$61*($W353^Transportation_LCIA!U$60)+Transportation_LCIA!U$62</f>
        <v>4.8407707333919363E-4</v>
      </c>
      <c r="AR353" s="137">
        <f>Transportation_LCIA!V$61*($W353^Transportation_LCIA!V$60)+Transportation_LCIA!V$62</f>
        <v>2.0191623240174868E-4</v>
      </c>
      <c r="AT353" s="137">
        <f>$W353*Y353+$L353*Summary_LCIA!H$32</f>
        <v>337.66540616956314</v>
      </c>
      <c r="AU353" s="137">
        <f>$W353*Z353+$L353*Summary_LCIA!Q$32</f>
        <v>3654.372517068769</v>
      </c>
      <c r="AV353" s="137">
        <f>$W353*AA353+$L353*Summary_LCIA!R$32</f>
        <v>2.1088294349201351</v>
      </c>
      <c r="AW353" s="137">
        <f>$W353*AB353+$L353*Summary_LCIA!S$32</f>
        <v>336.95628788956316</v>
      </c>
      <c r="AX353" s="137">
        <f>$W353*AC353+$L353*Summary_LCIA!T$32</f>
        <v>84.561662433555682</v>
      </c>
      <c r="AY353" s="137">
        <f>$W353*AD353+$L353*Summary_LCIA!U$32</f>
        <v>3.186654230930853</v>
      </c>
      <c r="AZ353" s="137">
        <f>$W353*AE353+$L353*Summary_LCIA!V$32</f>
        <v>1.4108593648371779E-2</v>
      </c>
      <c r="BA353" s="137">
        <f>$W353*AF353+$L353*Summary_LCIA!W$32</f>
        <v>21.883535574861547</v>
      </c>
      <c r="BB353" s="137">
        <f>$W353*AG353+$L353*Summary_LCIA!X$32</f>
        <v>17.677664693148998</v>
      </c>
      <c r="BC353" s="137">
        <f>$W353*AH353+$L353*Summary_LCIA!Y$32</f>
        <v>2.7674434374027275</v>
      </c>
      <c r="BD353" s="137">
        <f>$W353*AI353+$L353*Summary_LCIA!Z$32</f>
        <v>0.30344720774983197</v>
      </c>
      <c r="BE353" s="137">
        <f>$W353*AJ353+$L353*Summary_LCIA!AA$32</f>
        <v>4.879172414517166</v>
      </c>
      <c r="BF353" s="137">
        <f>$W353*AK353+$L353*Summary_LCIA!AB$32</f>
        <v>6.7162811124803073E-2</v>
      </c>
      <c r="BG353" s="137">
        <f>$W353*AL353+$L353*Summary_LCIA!AC$32</f>
        <v>4.2045602403662972E-5</v>
      </c>
      <c r="BH353" s="137">
        <f>$W353*AM353+$L353*Summary_LCIA!AD$32</f>
        <v>0.17217103051702359</v>
      </c>
      <c r="BI353" s="137">
        <f>$W353*AN353+$L353*Summary_LCIA!AE$32</f>
        <v>0.45244029902241295</v>
      </c>
      <c r="BJ353" s="137">
        <f>$W353*AO353+$L353*Summary_LCIA!AF$32</f>
        <v>0.14038957010881203</v>
      </c>
      <c r="BK353" s="137">
        <f>$W353*AP353+$L353*Summary_LCIA!AG$32</f>
        <v>1.296406343881204E-2</v>
      </c>
      <c r="BL353" s="137">
        <f>$W353*AQ353+$L353*Summary_LCIA!AH$32</f>
        <v>2.0587804079818213</v>
      </c>
      <c r="BM353" s="137">
        <f>$W353*AR353+$L353*Summary_LCIA!AI$32</f>
        <v>0.42576112997306914</v>
      </c>
    </row>
    <row r="354" spans="1:65" x14ac:dyDescent="0.25">
      <c r="A354" s="149">
        <v>332</v>
      </c>
      <c r="B354" s="149">
        <v>16</v>
      </c>
      <c r="C354" s="61">
        <v>34.413587</v>
      </c>
      <c r="D354" s="61">
        <v>-119.849698</v>
      </c>
      <c r="E354" s="61" t="s">
        <v>265</v>
      </c>
      <c r="F354" s="149">
        <v>116</v>
      </c>
      <c r="G354" s="61" t="s">
        <v>663</v>
      </c>
      <c r="H354" s="61" t="s">
        <v>664</v>
      </c>
      <c r="I354" s="61">
        <v>34.198312000000001</v>
      </c>
      <c r="J354" s="61">
        <v>-118.357404</v>
      </c>
      <c r="K354" s="61">
        <v>186.5655932</v>
      </c>
      <c r="L354" s="61">
        <v>160.434</v>
      </c>
      <c r="M354" s="61" t="s">
        <v>617</v>
      </c>
      <c r="N354" s="149">
        <v>15</v>
      </c>
      <c r="O354" s="149">
        <v>16</v>
      </c>
      <c r="P354" s="61" t="s">
        <v>565</v>
      </c>
      <c r="Q354" s="61" t="s">
        <v>556</v>
      </c>
      <c r="R354" s="61">
        <v>39.856096299999997</v>
      </c>
      <c r="S354" s="61">
        <v>-104.6737376</v>
      </c>
      <c r="T354" s="61">
        <v>1834.201</v>
      </c>
      <c r="U354" s="61" t="s">
        <v>617</v>
      </c>
      <c r="V354" s="61" t="s">
        <v>569</v>
      </c>
      <c r="W354" s="61" cm="1">
        <f t="array" ref="W354">getDistance(I354,J354,R354,S354)*SA!$B$12</f>
        <v>1368.4330080174188</v>
      </c>
      <c r="Y354" s="137">
        <f>Transportation_LCIA!C$61*($W354^Transportation_LCIA!C$60)+Transportation_LCIA!C$62</f>
        <v>0.20691545096518085</v>
      </c>
      <c r="Z354" s="137">
        <f>Transportation_LCIA!D$61*($W354^Transportation_LCIA!D$60)+Transportation_LCIA!D$62</f>
        <v>2.0894362421462809</v>
      </c>
      <c r="AA354" s="137">
        <f>Transportation_LCIA!E$61*($W354^Transportation_LCIA!E$60)+Transportation_LCIA!E$62</f>
        <v>9.2371943464845518E-4</v>
      </c>
      <c r="AB354" s="137">
        <f>Transportation_LCIA!F$61*($W354^Transportation_LCIA!F$60)+Transportation_LCIA!F$62</f>
        <v>0.20691545096518085</v>
      </c>
      <c r="AC354" s="137">
        <f>Transportation_LCIA!G$61*($W354^Transportation_LCIA!G$60)+Transportation_LCIA!G$62</f>
        <v>4.8909932339708459E-2</v>
      </c>
      <c r="AD354" s="137">
        <f>Transportation_LCIA!H$61*($W354^Transportation_LCIA!H$60)+Transportation_LCIA!H$62</f>
        <v>2.2846537104787056E-4</v>
      </c>
      <c r="AE354" s="137">
        <f>Transportation_LCIA!I$61*($W354^Transportation_LCIA!I$60)+Transportation_LCIA!I$62</f>
        <v>4.7105743113511086E-6</v>
      </c>
      <c r="AF354" s="137">
        <f>Transportation_LCIA!J$61*($W354^Transportation_LCIA!J$60)+Transportation_LCIA!J$62</f>
        <v>6.9676557821968139E-3</v>
      </c>
      <c r="AG354" s="137">
        <f>Transportation_LCIA!K$61*($W354^Transportation_LCIA!K$60)+Transportation_LCIA!K$62</f>
        <v>1.0247471444338688E-2</v>
      </c>
      <c r="AH354" s="137">
        <f>Transportation_LCIA!L$61*($W354^Transportation_LCIA!L$60)+Transportation_LCIA!L$62</f>
        <v>1.9552352788564252E-4</v>
      </c>
      <c r="AI354" s="137">
        <f>Transportation_LCIA!M$61*($W354^Transportation_LCIA!M$60)+Transportation_LCIA!M$62</f>
        <v>2.1694008263797531E-4</v>
      </c>
      <c r="AJ354" s="137">
        <f>Transportation_LCIA!N$61*($W354^Transportation_LCIA!N$60)+Transportation_LCIA!N$62</f>
        <v>8.2727901467190875E-4</v>
      </c>
      <c r="AK354" s="137">
        <f>Transportation_LCIA!O$61*($W354^Transportation_LCIA!O$60)+Transportation_LCIA!O$62</f>
        <v>5.1638598230819343E-5</v>
      </c>
      <c r="AL354" s="137">
        <f>Transportation_LCIA!P$61*($W354^Transportation_LCIA!P$60)+Transportation_LCIA!P$62</f>
        <v>2.4994242719427007E-8</v>
      </c>
      <c r="AM354" s="137">
        <f>Transportation_LCIA!Q$61*($W354^Transportation_LCIA!Q$60)+Transportation_LCIA!Q$62</f>
        <v>7.7626188885142287E-5</v>
      </c>
      <c r="AN354" s="137">
        <f>Transportation_LCIA!R$61*($W354^Transportation_LCIA!R$60)+Transportation_LCIA!R$62</f>
        <v>2.267373826738791E-4</v>
      </c>
      <c r="AO354" s="137">
        <f>Transportation_LCIA!S$61*($W354^Transportation_LCIA!S$60)+Transportation_LCIA!S$62</f>
        <v>3.475111898756177E-6</v>
      </c>
      <c r="AP354" s="137">
        <f>Transportation_LCIA!T$61*($W354^Transportation_LCIA!T$60)+Transportation_LCIA!T$62</f>
        <v>3.475111898756177E-6</v>
      </c>
      <c r="AQ354" s="137">
        <f>Transportation_LCIA!U$61*($W354^Transportation_LCIA!U$60)+Transportation_LCIA!U$62</f>
        <v>4.8407707333919363E-4</v>
      </c>
      <c r="AR354" s="137">
        <f>Transportation_LCIA!V$61*($W354^Transportation_LCIA!V$60)+Transportation_LCIA!V$62</f>
        <v>2.0191623240174868E-4</v>
      </c>
      <c r="AT354" s="137">
        <f>$W354*Y354+$L354*Summary_LCIA!H$32</f>
        <v>337.66540616956314</v>
      </c>
      <c r="AU354" s="137">
        <f>$W354*Z354+$L354*Summary_LCIA!Q$32</f>
        <v>3654.372517068769</v>
      </c>
      <c r="AV354" s="137">
        <f>$W354*AA354+$L354*Summary_LCIA!R$32</f>
        <v>2.1088294349201351</v>
      </c>
      <c r="AW354" s="137">
        <f>$W354*AB354+$L354*Summary_LCIA!S$32</f>
        <v>336.95628788956316</v>
      </c>
      <c r="AX354" s="137">
        <f>$W354*AC354+$L354*Summary_LCIA!T$32</f>
        <v>84.561662433555682</v>
      </c>
      <c r="AY354" s="137">
        <f>$W354*AD354+$L354*Summary_LCIA!U$32</f>
        <v>3.186654230930853</v>
      </c>
      <c r="AZ354" s="137">
        <f>$W354*AE354+$L354*Summary_LCIA!V$32</f>
        <v>1.4108593648371779E-2</v>
      </c>
      <c r="BA354" s="137">
        <f>$W354*AF354+$L354*Summary_LCIA!W$32</f>
        <v>21.883535574861547</v>
      </c>
      <c r="BB354" s="137">
        <f>$W354*AG354+$L354*Summary_LCIA!X$32</f>
        <v>17.677664693148998</v>
      </c>
      <c r="BC354" s="137">
        <f>$W354*AH354+$L354*Summary_LCIA!Y$32</f>
        <v>2.7674434374027275</v>
      </c>
      <c r="BD354" s="137">
        <f>$W354*AI354+$L354*Summary_LCIA!Z$32</f>
        <v>0.30344720774983197</v>
      </c>
      <c r="BE354" s="137">
        <f>$W354*AJ354+$L354*Summary_LCIA!AA$32</f>
        <v>4.879172414517166</v>
      </c>
      <c r="BF354" s="137">
        <f>$W354*AK354+$L354*Summary_LCIA!AB$32</f>
        <v>6.7162811124803073E-2</v>
      </c>
      <c r="BG354" s="137">
        <f>$W354*AL354+$L354*Summary_LCIA!AC$32</f>
        <v>4.2045602403662972E-5</v>
      </c>
      <c r="BH354" s="137">
        <f>$W354*AM354+$L354*Summary_LCIA!AD$32</f>
        <v>0.17217103051702359</v>
      </c>
      <c r="BI354" s="137">
        <f>$W354*AN354+$L354*Summary_LCIA!AE$32</f>
        <v>0.45244029902241295</v>
      </c>
      <c r="BJ354" s="137">
        <f>$W354*AO354+$L354*Summary_LCIA!AF$32</f>
        <v>0.14038957010881203</v>
      </c>
      <c r="BK354" s="137">
        <f>$W354*AP354+$L354*Summary_LCIA!AG$32</f>
        <v>1.296406343881204E-2</v>
      </c>
      <c r="BL354" s="137">
        <f>$W354*AQ354+$L354*Summary_LCIA!AH$32</f>
        <v>2.0587804079818213</v>
      </c>
      <c r="BM354" s="137">
        <f>$W354*AR354+$L354*Summary_LCIA!AI$32</f>
        <v>0.42576112997306914</v>
      </c>
    </row>
    <row r="355" spans="1:65" x14ac:dyDescent="0.25">
      <c r="A355" s="149">
        <v>89</v>
      </c>
      <c r="B355" s="149">
        <v>16</v>
      </c>
      <c r="C355" s="61">
        <v>35.244402000000001</v>
      </c>
      <c r="D355" s="61">
        <v>-120.672275</v>
      </c>
      <c r="E355" s="61" t="s">
        <v>265</v>
      </c>
      <c r="F355" s="149">
        <v>116</v>
      </c>
      <c r="G355" s="61" t="s">
        <v>663</v>
      </c>
      <c r="H355" s="61" t="s">
        <v>664</v>
      </c>
      <c r="I355" s="61">
        <v>34.198312000000001</v>
      </c>
      <c r="J355" s="61">
        <v>-118.357404</v>
      </c>
      <c r="K355" s="61">
        <v>417.80808230000002</v>
      </c>
      <c r="L355" s="61">
        <v>289.17599999999999</v>
      </c>
      <c r="M355" s="61" t="s">
        <v>617</v>
      </c>
      <c r="N355" s="149">
        <v>15</v>
      </c>
      <c r="O355" s="149">
        <v>16</v>
      </c>
      <c r="P355" s="61" t="s">
        <v>565</v>
      </c>
      <c r="Q355" s="61" t="s">
        <v>556</v>
      </c>
      <c r="R355" s="61">
        <v>39.856096299999997</v>
      </c>
      <c r="S355" s="61">
        <v>-104.6737376</v>
      </c>
      <c r="T355" s="61">
        <v>1909.635</v>
      </c>
      <c r="U355" s="61" t="s">
        <v>617</v>
      </c>
      <c r="V355" s="61" t="s">
        <v>569</v>
      </c>
      <c r="W355" s="61" cm="1">
        <f t="array" ref="W355">getDistance(I355,J355,R355,S355)*SA!$B$12</f>
        <v>1368.4330080174188</v>
      </c>
      <c r="Y355" s="137">
        <f>Transportation_LCIA!C$61*($W355^Transportation_LCIA!C$60)+Transportation_LCIA!C$62</f>
        <v>0.20691545096518085</v>
      </c>
      <c r="Z355" s="137">
        <f>Transportation_LCIA!D$61*($W355^Transportation_LCIA!D$60)+Transportation_LCIA!D$62</f>
        <v>2.0894362421462809</v>
      </c>
      <c r="AA355" s="137">
        <f>Transportation_LCIA!E$61*($W355^Transportation_LCIA!E$60)+Transportation_LCIA!E$62</f>
        <v>9.2371943464845518E-4</v>
      </c>
      <c r="AB355" s="137">
        <f>Transportation_LCIA!F$61*($W355^Transportation_LCIA!F$60)+Transportation_LCIA!F$62</f>
        <v>0.20691545096518085</v>
      </c>
      <c r="AC355" s="137">
        <f>Transportation_LCIA!G$61*($W355^Transportation_LCIA!G$60)+Transportation_LCIA!G$62</f>
        <v>4.8909932339708459E-2</v>
      </c>
      <c r="AD355" s="137">
        <f>Transportation_LCIA!H$61*($W355^Transportation_LCIA!H$60)+Transportation_LCIA!H$62</f>
        <v>2.2846537104787056E-4</v>
      </c>
      <c r="AE355" s="137">
        <f>Transportation_LCIA!I$61*($W355^Transportation_LCIA!I$60)+Transportation_LCIA!I$62</f>
        <v>4.7105743113511086E-6</v>
      </c>
      <c r="AF355" s="137">
        <f>Transportation_LCIA!J$61*($W355^Transportation_LCIA!J$60)+Transportation_LCIA!J$62</f>
        <v>6.9676557821968139E-3</v>
      </c>
      <c r="AG355" s="137">
        <f>Transportation_LCIA!K$61*($W355^Transportation_LCIA!K$60)+Transportation_LCIA!K$62</f>
        <v>1.0247471444338688E-2</v>
      </c>
      <c r="AH355" s="137">
        <f>Transportation_LCIA!L$61*($W355^Transportation_LCIA!L$60)+Transportation_LCIA!L$62</f>
        <v>1.9552352788564252E-4</v>
      </c>
      <c r="AI355" s="137">
        <f>Transportation_LCIA!M$61*($W355^Transportation_LCIA!M$60)+Transportation_LCIA!M$62</f>
        <v>2.1694008263797531E-4</v>
      </c>
      <c r="AJ355" s="137">
        <f>Transportation_LCIA!N$61*($W355^Transportation_LCIA!N$60)+Transportation_LCIA!N$62</f>
        <v>8.2727901467190875E-4</v>
      </c>
      <c r="AK355" s="137">
        <f>Transportation_LCIA!O$61*($W355^Transportation_LCIA!O$60)+Transportation_LCIA!O$62</f>
        <v>5.1638598230819343E-5</v>
      </c>
      <c r="AL355" s="137">
        <f>Transportation_LCIA!P$61*($W355^Transportation_LCIA!P$60)+Transportation_LCIA!P$62</f>
        <v>2.4994242719427007E-8</v>
      </c>
      <c r="AM355" s="137">
        <f>Transportation_LCIA!Q$61*($W355^Transportation_LCIA!Q$60)+Transportation_LCIA!Q$62</f>
        <v>7.7626188885142287E-5</v>
      </c>
      <c r="AN355" s="137">
        <f>Transportation_LCIA!R$61*($W355^Transportation_LCIA!R$60)+Transportation_LCIA!R$62</f>
        <v>2.267373826738791E-4</v>
      </c>
      <c r="AO355" s="137">
        <f>Transportation_LCIA!S$61*($W355^Transportation_LCIA!S$60)+Transportation_LCIA!S$62</f>
        <v>3.475111898756177E-6</v>
      </c>
      <c r="AP355" s="137">
        <f>Transportation_LCIA!T$61*($W355^Transportation_LCIA!T$60)+Transportation_LCIA!T$62</f>
        <v>3.475111898756177E-6</v>
      </c>
      <c r="AQ355" s="137">
        <f>Transportation_LCIA!U$61*($W355^Transportation_LCIA!U$60)+Transportation_LCIA!U$62</f>
        <v>4.8407707333919363E-4</v>
      </c>
      <c r="AR355" s="137">
        <f>Transportation_LCIA!V$61*($W355^Transportation_LCIA!V$60)+Transportation_LCIA!V$62</f>
        <v>2.0191623240174868E-4</v>
      </c>
      <c r="AT355" s="137">
        <f>$W355*Y355+$L355*Summary_LCIA!H$32</f>
        <v>381.41193776956317</v>
      </c>
      <c r="AU355" s="137">
        <f>$W355*Z355+$L355*Summary_LCIA!Q$32</f>
        <v>4292.4243619140543</v>
      </c>
      <c r="AV355" s="137">
        <f>$W355*AA355+$L355*Summary_LCIA!R$32</f>
        <v>2.7867333101201348</v>
      </c>
      <c r="AW355" s="137">
        <f>$W355*AB355+$L355*Summary_LCIA!S$32</f>
        <v>380.13377984956315</v>
      </c>
      <c r="AX355" s="137">
        <f>$W355*AC355+$L355*Summary_LCIA!T$32</f>
        <v>98.710408233555683</v>
      </c>
      <c r="AY355" s="137">
        <f>$W355*AD355+$L355*Summary_LCIA!U$32</f>
        <v>5.4929384189308523</v>
      </c>
      <c r="AZ355" s="137">
        <f>$W355*AE355+$L355*Summary_LCIA!V$32</f>
        <v>2.0257440310371778E-2</v>
      </c>
      <c r="BA355" s="137">
        <f>$W355*AF355+$L355*Summary_LCIA!W$32</f>
        <v>31.792936056861546</v>
      </c>
      <c r="BB355" s="137">
        <f>$W355*AG355+$L355*Summary_LCIA!X$32</f>
        <v>20.610407453148994</v>
      </c>
      <c r="BC355" s="137">
        <f>$W355*AH355+$L355*Summary_LCIA!Y$32</f>
        <v>4.7735012814027273</v>
      </c>
      <c r="BD355" s="137">
        <f>$W355*AI355+$L355*Summary_LCIA!Z$32</f>
        <v>0.30872678842783197</v>
      </c>
      <c r="BE355" s="137">
        <f>$W355*AJ355+$L355*Summary_LCIA!AA$32</f>
        <v>7.8860705665171658</v>
      </c>
      <c r="BF355" s="137">
        <f>$W355*AK355+$L355*Summary_LCIA!AB$32</f>
        <v>6.4353274458803081E-2</v>
      </c>
      <c r="BG355" s="137">
        <f>$W355*AL355+$L355*Summary_LCIA!AC$32</f>
        <v>4.8339026331662971E-5</v>
      </c>
      <c r="BH355" s="137">
        <f>$W355*AM355+$L355*Summary_LCIA!AD$32</f>
        <v>0.22508914219702358</v>
      </c>
      <c r="BI355" s="137">
        <f>$W355*AN355+$L355*Summary_LCIA!AE$32</f>
        <v>0.56652244748241287</v>
      </c>
      <c r="BJ355" s="137">
        <f>$W355*AO355+$L355*Summary_LCIA!AF$32</f>
        <v>0.24923063174881205</v>
      </c>
      <c r="BK355" s="137">
        <f>$W355*AP355+$L355*Summary_LCIA!AG$32</f>
        <v>1.9551147868812041E-2</v>
      </c>
      <c r="BL355" s="137">
        <f>$W355*AQ355+$L355*Summary_LCIA!AH$32</f>
        <v>3.1792992791818215</v>
      </c>
      <c r="BM355" s="137">
        <f>$W355*AR355+$L355*Summary_LCIA!AI$32</f>
        <v>0.54569074007306906</v>
      </c>
    </row>
    <row r="356" spans="1:65" x14ac:dyDescent="0.25">
      <c r="A356" s="149">
        <v>267</v>
      </c>
      <c r="B356" s="149">
        <v>43</v>
      </c>
      <c r="C356" s="61">
        <v>26.301392</v>
      </c>
      <c r="D356" s="61">
        <v>-80.632692000000006</v>
      </c>
      <c r="E356" s="61" t="s">
        <v>265</v>
      </c>
      <c r="F356" s="149">
        <v>79</v>
      </c>
      <c r="G356" s="61" t="s">
        <v>711</v>
      </c>
      <c r="H356" s="61" t="s">
        <v>712</v>
      </c>
      <c r="I356" s="61">
        <v>26.074234000000001</v>
      </c>
      <c r="J356" s="61">
        <v>-80.150602000000006</v>
      </c>
      <c r="K356" s="61">
        <v>58.788354300000002</v>
      </c>
      <c r="L356" s="61">
        <v>65.929000000000002</v>
      </c>
      <c r="M356" s="61" t="s">
        <v>617</v>
      </c>
      <c r="N356" s="149">
        <v>42</v>
      </c>
      <c r="O356" s="149">
        <v>43</v>
      </c>
      <c r="P356" s="61" t="s">
        <v>565</v>
      </c>
      <c r="Q356" s="61" t="s">
        <v>555</v>
      </c>
      <c r="R356" s="61">
        <v>40.6895314</v>
      </c>
      <c r="S356" s="61">
        <v>-74.174462399999996</v>
      </c>
      <c r="T356" s="61">
        <v>2006.537</v>
      </c>
      <c r="U356" s="61" t="s">
        <v>617</v>
      </c>
      <c r="V356" s="61" t="s">
        <v>569</v>
      </c>
      <c r="W356" s="61" cm="1">
        <f t="array" ref="W356">getDistance(I356,J356,R356,S356)*SA!$B$12</f>
        <v>1716.1962139614216</v>
      </c>
      <c r="Y356" s="137">
        <f>Transportation_LCIA!C$61*($W356^Transportation_LCIA!C$60)+Transportation_LCIA!C$62</f>
        <v>0.19047416276416362</v>
      </c>
      <c r="Z356" s="137">
        <f>Transportation_LCIA!D$61*($W356^Transportation_LCIA!D$60)+Transportation_LCIA!D$62</f>
        <v>1.9010961669791748</v>
      </c>
      <c r="AA356" s="137">
        <f>Transportation_LCIA!E$61*($W356^Transportation_LCIA!E$60)+Transportation_LCIA!E$62</f>
        <v>8.0053291966334836E-4</v>
      </c>
      <c r="AB356" s="137">
        <f>Transportation_LCIA!F$61*($W356^Transportation_LCIA!F$60)+Transportation_LCIA!F$62</f>
        <v>0.19047416276416362</v>
      </c>
      <c r="AC356" s="137">
        <f>Transportation_LCIA!G$61*($W356^Transportation_LCIA!G$60)+Transportation_LCIA!G$62</f>
        <v>4.4547821942970287E-2</v>
      </c>
      <c r="AD356" s="137">
        <f>Transportation_LCIA!H$61*($W356^Transportation_LCIA!H$60)+Transportation_LCIA!H$62</f>
        <v>2.016568976782098E-4</v>
      </c>
      <c r="AE356" s="137">
        <f>Transportation_LCIA!I$61*($W356^Transportation_LCIA!I$60)+Transportation_LCIA!I$62</f>
        <v>4.0468165124325371E-6</v>
      </c>
      <c r="AF356" s="137">
        <f>Transportation_LCIA!J$61*($W356^Transportation_LCIA!J$60)+Transportation_LCIA!J$62</f>
        <v>5.9898000392593085E-3</v>
      </c>
      <c r="AG356" s="137">
        <f>Transportation_LCIA!K$61*($W356^Transportation_LCIA!K$60)+Transportation_LCIA!K$62</f>
        <v>9.2387159995186881E-3</v>
      </c>
      <c r="AH356" s="137">
        <f>Transportation_LCIA!L$61*($W356^Transportation_LCIA!L$60)+Transportation_LCIA!L$62</f>
        <v>1.7099368687119185E-4</v>
      </c>
      <c r="AI356" s="137">
        <f>Transportation_LCIA!M$61*($W356^Transportation_LCIA!M$60)+Transportation_LCIA!M$62</f>
        <v>2.0215303239330391E-4</v>
      </c>
      <c r="AJ356" s="137">
        <f>Transportation_LCIA!N$61*($W356^Transportation_LCIA!N$60)+Transportation_LCIA!N$62</f>
        <v>7.3702551982918782E-4</v>
      </c>
      <c r="AK356" s="137">
        <f>Transportation_LCIA!O$61*($W356^Transportation_LCIA!O$60)+Transportation_LCIA!O$62</f>
        <v>4.7005658970535678E-5</v>
      </c>
      <c r="AL356" s="137">
        <f>Transportation_LCIA!P$61*($W356^Transportation_LCIA!P$60)+Transportation_LCIA!P$62</f>
        <v>2.2763696942028804E-8</v>
      </c>
      <c r="AM356" s="137">
        <f>Transportation_LCIA!Q$61*($W356^Transportation_LCIA!Q$60)+Transportation_LCIA!Q$62</f>
        <v>6.8059376564174625E-5</v>
      </c>
      <c r="AN356" s="137">
        <f>Transportation_LCIA!R$61*($W356^Transportation_LCIA!R$60)+Transportation_LCIA!R$62</f>
        <v>1.9492099022336534E-4</v>
      </c>
      <c r="AO356" s="137">
        <f>Transportation_LCIA!S$61*($W356^Transportation_LCIA!S$60)+Transportation_LCIA!S$62</f>
        <v>3.0232342334406749E-6</v>
      </c>
      <c r="AP356" s="137">
        <f>Transportation_LCIA!T$61*($W356^Transportation_LCIA!T$60)+Transportation_LCIA!T$62</f>
        <v>3.0232342334406749E-6</v>
      </c>
      <c r="AQ356" s="137">
        <f>Transportation_LCIA!U$61*($W356^Transportation_LCIA!U$60)+Transportation_LCIA!U$62</f>
        <v>4.1452240680880801E-4</v>
      </c>
      <c r="AR356" s="137">
        <f>Transportation_LCIA!V$61*($W356^Transportation_LCIA!V$60)+Transportation_LCIA!V$62</f>
        <v>1.7710980439417036E-4</v>
      </c>
      <c r="AT356" s="137">
        <f>$W356*Y356+$L356*Summary_LCIA!H$32</f>
        <v>349.29371119332916</v>
      </c>
      <c r="AU356" s="137">
        <f>$W356*Z356+$L356*Summary_LCIA!Q$32</f>
        <v>3589.4014931434872</v>
      </c>
      <c r="AV356" s="137">
        <f>$W356*AA356+$L356*Summary_LCIA!R$32</f>
        <v>1.7210273082777214</v>
      </c>
      <c r="AW356" s="137">
        <f>$W356*AB356+$L356*Summary_LCIA!S$32</f>
        <v>349.00230501332919</v>
      </c>
      <c r="AX356" s="137">
        <f>$W356*AC356+$L356*Summary_LCIA!T$32</f>
        <v>83.698400458753142</v>
      </c>
      <c r="AY356" s="137">
        <f>$W356*AD356+$L356*Summary_LCIA!U$32</f>
        <v>1.5271349103145495</v>
      </c>
      <c r="AZ356" s="137">
        <f>$W356*AE356+$L356*Summary_LCIA!V$32</f>
        <v>1.0093966146233284E-2</v>
      </c>
      <c r="BA356" s="137">
        <f>$W356*AF356+$L356*Summary_LCIA!W$32</f>
        <v>15.354293208762799</v>
      </c>
      <c r="BB356" s="137">
        <f>$W356*AG356+$L356*Summary_LCIA!X$32</f>
        <v>17.357312040238781</v>
      </c>
      <c r="BC356" s="137">
        <f>$W356*AH356+$L356*Summary_LCIA!Y$32</f>
        <v>1.3207643960196442</v>
      </c>
      <c r="BD356" s="137">
        <f>$W356*AI356+$L356*Summary_LCIA!Z$32</f>
        <v>0.3496379511952088</v>
      </c>
      <c r="BE356" s="137">
        <f>$W356*AJ356+$L356*Summary_LCIA!AA$32</f>
        <v>2.8047181307238009</v>
      </c>
      <c r="BF356" s="137">
        <f>$W356*AK356+$L356*Summary_LCIA!AB$32</f>
        <v>7.9232165392995074E-2</v>
      </c>
      <c r="BG356" s="137">
        <f>$W356*AL356+$L356*Summary_LCIA!AC$32</f>
        <v>4.2289843743675026E-5</v>
      </c>
      <c r="BH356" s="137">
        <f>$W356*AM356+$L356*Summary_LCIA!AD$32</f>
        <v>0.14390270054401119</v>
      </c>
      <c r="BI356" s="137">
        <f>$W356*AN356+$L356*Summary_LCIA!AE$32</f>
        <v>0.39294433021295083</v>
      </c>
      <c r="BJ356" s="137">
        <f>$W356*AO356+$L356*Summary_LCIA!AF$32</f>
        <v>6.092615832534945E-2</v>
      </c>
      <c r="BK356" s="137">
        <f>$W356*AP356+$L356*Summary_LCIA!AG$32</f>
        <v>8.5617204303494471E-3</v>
      </c>
      <c r="BL356" s="137">
        <f>$W356*AQ356+$L356*Summary_LCIA!AH$32</f>
        <v>1.2852214295674527</v>
      </c>
      <c r="BM356" s="137">
        <f>$W356*AR356+$L356*Summary_LCIA!AI$32</f>
        <v>0.36537133570672309</v>
      </c>
    </row>
    <row r="357" spans="1:65" x14ac:dyDescent="0.25">
      <c r="A357" s="149">
        <v>217</v>
      </c>
      <c r="B357" s="149">
        <v>15</v>
      </c>
      <c r="C357" s="61">
        <v>35.791117999999997</v>
      </c>
      <c r="D357" s="61">
        <v>51.316220999999999</v>
      </c>
      <c r="E357" s="61" t="s">
        <v>278</v>
      </c>
      <c r="F357" s="149">
        <v>58</v>
      </c>
      <c r="G357" s="61" t="s">
        <v>279</v>
      </c>
      <c r="H357" s="61" t="s">
        <v>701</v>
      </c>
      <c r="I357" s="61">
        <v>35.743532000000002</v>
      </c>
      <c r="J357" s="61">
        <v>51.271971000000001</v>
      </c>
      <c r="K357" s="61">
        <v>1364.8377740000001</v>
      </c>
      <c r="L357" s="61">
        <v>16.777000000000001</v>
      </c>
      <c r="M357" s="61" t="s">
        <v>617</v>
      </c>
      <c r="N357" s="149">
        <v>14</v>
      </c>
      <c r="O357" s="149">
        <v>15</v>
      </c>
      <c r="P357" s="61" t="s">
        <v>567</v>
      </c>
      <c r="Q357" s="61" t="s">
        <v>566</v>
      </c>
      <c r="R357" s="61">
        <v>50.037932599999998</v>
      </c>
      <c r="S357" s="61">
        <v>8.5621518000000005</v>
      </c>
      <c r="T357" s="61">
        <v>4728.7700000000004</v>
      </c>
      <c r="U357" s="61" t="s">
        <v>617</v>
      </c>
      <c r="V357" s="61" t="s">
        <v>569</v>
      </c>
      <c r="W357" s="61" cm="1">
        <f t="array" ref="W357">getDistance(I357,J357,R357,S357)*SA!$B$12</f>
        <v>3769.587752024554</v>
      </c>
      <c r="Y357" s="137">
        <f>Transportation_LCIA!C$61*($W357^Transportation_LCIA!C$60)+Transportation_LCIA!C$62</f>
        <v>0.15249863555666499</v>
      </c>
      <c r="Z357" s="137">
        <f>Transportation_LCIA!D$61*($W357^Transportation_LCIA!D$60)+Transportation_LCIA!D$62</f>
        <v>1.4747921801268353</v>
      </c>
      <c r="AA357" s="137">
        <f>Transportation_LCIA!E$61*($W357^Transportation_LCIA!E$60)+Transportation_LCIA!E$62</f>
        <v>5.232800931325712E-4</v>
      </c>
      <c r="AB357" s="137">
        <f>Transportation_LCIA!F$61*($W357^Transportation_LCIA!F$60)+Transportation_LCIA!F$62</f>
        <v>0.15249863555666499</v>
      </c>
      <c r="AC357" s="137">
        <f>Transportation_LCIA!G$61*($W357^Transportation_LCIA!G$60)+Transportation_LCIA!G$62</f>
        <v>3.4662632720672305E-2</v>
      </c>
      <c r="AD357" s="137">
        <f>Transportation_LCIA!H$61*($W357^Transportation_LCIA!H$60)+Transportation_LCIA!H$62</f>
        <v>1.4199094931638254E-4</v>
      </c>
      <c r="AE357" s="137">
        <f>Transportation_LCIA!I$61*($W357^Transportation_LCIA!I$60)+Transportation_LCIA!I$62</f>
        <v>2.5958293277099199E-6</v>
      </c>
      <c r="AF357" s="137">
        <f>Transportation_LCIA!J$61*($W357^Transportation_LCIA!J$60)+Transportation_LCIA!J$62</f>
        <v>3.8770468522408815E-3</v>
      </c>
      <c r="AG357" s="137">
        <f>Transportation_LCIA!K$61*($W357^Transportation_LCIA!K$60)+Transportation_LCIA!K$62</f>
        <v>6.9759150433585052E-3</v>
      </c>
      <c r="AH357" s="137">
        <f>Transportation_LCIA!L$61*($W357^Transportation_LCIA!L$60)+Transportation_LCIA!L$62</f>
        <v>1.1667804990051856E-4</v>
      </c>
      <c r="AI357" s="137">
        <f>Transportation_LCIA!M$61*($W357^Transportation_LCIA!M$60)+Transportation_LCIA!M$62</f>
        <v>1.6926244124032327E-4</v>
      </c>
      <c r="AJ357" s="137">
        <f>Transportation_LCIA!N$61*($W357^Transportation_LCIA!N$60)+Transportation_LCIA!N$62</f>
        <v>5.3586641163412769E-4</v>
      </c>
      <c r="AK357" s="137">
        <f>Transportation_LCIA!O$61*($W357^Transportation_LCIA!O$60)+Transportation_LCIA!O$62</f>
        <v>3.6512558352428148E-5</v>
      </c>
      <c r="AL357" s="137">
        <f>Transportation_LCIA!P$61*($W357^Transportation_LCIA!P$60)+Transportation_LCIA!P$62</f>
        <v>1.7704157176186822E-8</v>
      </c>
      <c r="AM357" s="137">
        <f>Transportation_LCIA!Q$61*($W357^Transportation_LCIA!Q$60)+Transportation_LCIA!Q$62</f>
        <v>4.693418148344128E-5</v>
      </c>
      <c r="AN357" s="137">
        <f>Transportation_LCIA!R$61*($W357^Transportation_LCIA!R$60)+Transportation_LCIA!R$62</f>
        <v>1.2539987033783506E-4</v>
      </c>
      <c r="AO357" s="137">
        <f>Transportation_LCIA!S$61*($W357^Transportation_LCIA!S$60)+Transportation_LCIA!S$62</f>
        <v>2.0350560318419809E-6</v>
      </c>
      <c r="AP357" s="137">
        <f>Transportation_LCIA!T$61*($W357^Transportation_LCIA!T$60)+Transportation_LCIA!T$62</f>
        <v>2.0350560318419809E-6</v>
      </c>
      <c r="AQ357" s="137">
        <f>Transportation_LCIA!U$61*($W357^Transportation_LCIA!U$60)+Transportation_LCIA!U$62</f>
        <v>2.630560915151498E-4</v>
      </c>
      <c r="AR357" s="137">
        <f>Transportation_LCIA!V$61*($W357^Transportation_LCIA!V$60)+Transportation_LCIA!V$62</f>
        <v>1.2252707303670829E-4</v>
      </c>
      <c r="AT357" s="137">
        <f>$W357*Y357+$L357*Summary_LCIA!H$32</f>
        <v>580.55781339486055</v>
      </c>
      <c r="AU357" s="137">
        <f>$W357*Z357+$L357*Summary_LCIA!Q$32</f>
        <v>5642.5061971021487</v>
      </c>
      <c r="AV357" s="137">
        <f>$W357*AA357+$L357*Summary_LCIA!R$32</f>
        <v>2.0608912011508083</v>
      </c>
      <c r="AW357" s="137">
        <f>$W357*AB357+$L357*Summary_LCIA!S$32</f>
        <v>580.48365905486048</v>
      </c>
      <c r="AX357" s="137">
        <f>$W357*AC357+$L357*Summary_LCIA!T$32</f>
        <v>132.50762805677186</v>
      </c>
      <c r="AY357" s="137">
        <f>$W357*AD357+$L357*Summary_LCIA!U$32</f>
        <v>0.83579052144137478</v>
      </c>
      <c r="AZ357" s="137">
        <f>$W357*AE357+$L357*Summary_LCIA!V$32</f>
        <v>1.0586492737081446E-2</v>
      </c>
      <c r="BA357" s="137">
        <f>$W357*AF357+$L357*Summary_LCIA!W$32</f>
        <v>15.906210795232578</v>
      </c>
      <c r="BB357" s="137">
        <f>$W357*AG357+$L357*Summary_LCIA!X$32</f>
        <v>26.678503966608055</v>
      </c>
      <c r="BC357" s="137">
        <f>$W357*AH357+$L357*Summary_LCIA!Y$32</f>
        <v>0.7012473618351045</v>
      </c>
      <c r="BD357" s="137">
        <f>$W357*AI357+$L357*Summary_LCIA!Z$32</f>
        <v>0.63873763337029832</v>
      </c>
      <c r="BE357" s="137">
        <f>$W357*AJ357+$L357*Summary_LCIA!AA$32</f>
        <v>2.4118390740173559</v>
      </c>
      <c r="BF357" s="137">
        <f>$W357*AK357+$L357*Summary_LCIA!AB$32</f>
        <v>0.13727116828939495</v>
      </c>
      <c r="BG357" s="137">
        <f>$W357*AL357+$L357*Summary_LCIA!AC$32</f>
        <v>6.7557500919271452E-5</v>
      </c>
      <c r="BH357" s="137">
        <f>$W357*AM357+$L357*Summary_LCIA!AD$32</f>
        <v>0.18381853375127788</v>
      </c>
      <c r="BI357" s="137">
        <f>$W357*AN357+$L357*Summary_LCIA!AE$32</f>
        <v>0.48757241834097015</v>
      </c>
      <c r="BJ357" s="137">
        <f>$W357*AO357+$L357*Summary_LCIA!AF$32</f>
        <v>2.1854933632315221E-2</v>
      </c>
      <c r="BK357" s="137">
        <f>$W357*AP357+$L357*Summary_LCIA!AG$32</f>
        <v>8.5297174973152229E-3</v>
      </c>
      <c r="BL357" s="137">
        <f>$W357*AQ357+$L357*Summary_LCIA!AH$32</f>
        <v>1.137633317870959</v>
      </c>
      <c r="BM357" s="137">
        <f>$W357*AR357+$L357*Summary_LCIA!AI$32</f>
        <v>0.47750516816059357</v>
      </c>
    </row>
    <row r="358" spans="1:65" x14ac:dyDescent="0.25">
      <c r="A358" s="149">
        <v>181</v>
      </c>
      <c r="B358" s="149">
        <v>15</v>
      </c>
      <c r="C358" s="61">
        <v>30.022765</v>
      </c>
      <c r="D358" s="61">
        <v>31.207319999999999</v>
      </c>
      <c r="E358" s="61" t="s">
        <v>269</v>
      </c>
      <c r="F358" s="149">
        <v>60</v>
      </c>
      <c r="G358" s="61" t="s">
        <v>270</v>
      </c>
      <c r="H358" s="61" t="s">
        <v>690</v>
      </c>
      <c r="I358" s="61">
        <v>30.112831</v>
      </c>
      <c r="J358" s="61">
        <v>31.397601999999999</v>
      </c>
      <c r="K358" s="61">
        <v>1340.507924</v>
      </c>
      <c r="L358" s="61">
        <v>25.734999999999999</v>
      </c>
      <c r="M358" s="61" t="s">
        <v>617</v>
      </c>
      <c r="N358" s="149">
        <v>14</v>
      </c>
      <c r="O358" s="149">
        <v>15</v>
      </c>
      <c r="P358" s="61" t="s">
        <v>567</v>
      </c>
      <c r="Q358" s="61" t="s">
        <v>566</v>
      </c>
      <c r="R358" s="61">
        <v>50.037932599999998</v>
      </c>
      <c r="S358" s="61">
        <v>8.5621518000000005</v>
      </c>
      <c r="T358" s="61">
        <v>4860.4089999999997</v>
      </c>
      <c r="U358" s="61" t="s">
        <v>617</v>
      </c>
      <c r="V358" s="61" t="s">
        <v>569</v>
      </c>
      <c r="W358" s="61" cm="1">
        <f t="array" ref="W358">getDistance(I358,J358,R358,S358)*SA!$B$12</f>
        <v>2926.96660487086</v>
      </c>
      <c r="Y358" s="137">
        <f>Transportation_LCIA!C$61*($W358^Transportation_LCIA!C$60)+Transportation_LCIA!C$62</f>
        <v>0.16210255251242142</v>
      </c>
      <c r="Z358" s="137">
        <f>Transportation_LCIA!D$61*($W358^Transportation_LCIA!D$60)+Transportation_LCIA!D$62</f>
        <v>1.5811787373200161</v>
      </c>
      <c r="AA358" s="137">
        <f>Transportation_LCIA!E$61*($W358^Transportation_LCIA!E$60)+Transportation_LCIA!E$62</f>
        <v>5.9221086091727044E-4</v>
      </c>
      <c r="AB358" s="137">
        <f>Transportation_LCIA!F$61*($W358^Transportation_LCIA!F$60)+Transportation_LCIA!F$62</f>
        <v>0.16210255251242142</v>
      </c>
      <c r="AC358" s="137">
        <f>Transportation_LCIA!G$61*($W358^Transportation_LCIA!G$60)+Transportation_LCIA!G$62</f>
        <v>3.7131457648489574E-2</v>
      </c>
      <c r="AD358" s="137">
        <f>Transportation_LCIA!H$61*($W358^Transportation_LCIA!H$60)+Transportation_LCIA!H$62</f>
        <v>1.567152527858557E-4</v>
      </c>
      <c r="AE358" s="137">
        <f>Transportation_LCIA!I$61*($W358^Transportation_LCIA!I$60)+Transportation_LCIA!I$62</f>
        <v>2.9496208387207946E-6</v>
      </c>
      <c r="AF358" s="137">
        <f>Transportation_LCIA!J$61*($W358^Transportation_LCIA!J$60)+Transportation_LCIA!J$62</f>
        <v>4.3881441452681405E-3</v>
      </c>
      <c r="AG358" s="137">
        <f>Transportation_LCIA!K$61*($W358^Transportation_LCIA!K$60)+Transportation_LCIA!K$62</f>
        <v>7.5372476017549449E-3</v>
      </c>
      <c r="AH358" s="137">
        <f>Transportation_LCIA!L$61*($W358^Transportation_LCIA!L$60)+Transportation_LCIA!L$62</f>
        <v>1.300362640165528E-4</v>
      </c>
      <c r="AI358" s="137">
        <f>Transportation_LCIA!M$61*($W358^Transportation_LCIA!M$60)+Transportation_LCIA!M$62</f>
        <v>1.7737585573911126E-4</v>
      </c>
      <c r="AJ358" s="137">
        <f>Transportation_LCIA!N$61*($W358^Transportation_LCIA!N$60)+Transportation_LCIA!N$62</f>
        <v>5.8555559293073259E-4</v>
      </c>
      <c r="AK358" s="137">
        <f>Transportation_LCIA!O$61*($W358^Transportation_LCIA!O$60)+Transportation_LCIA!O$62</f>
        <v>3.913224851930483E-5</v>
      </c>
      <c r="AL358" s="137">
        <f>Transportation_LCIA!P$61*($W358^Transportation_LCIA!P$60)+Transportation_LCIA!P$62</f>
        <v>1.8968567329456026E-8</v>
      </c>
      <c r="AM358" s="137">
        <f>Transportation_LCIA!Q$61*($W358^Transportation_LCIA!Q$60)+Transportation_LCIA!Q$62</f>
        <v>5.2120077890892584E-5</v>
      </c>
      <c r="AN358" s="137">
        <f>Transportation_LCIA!R$61*($W358^Transportation_LCIA!R$60)+Transportation_LCIA!R$62</f>
        <v>1.4234613513850302E-4</v>
      </c>
      <c r="AO358" s="137">
        <f>Transportation_LCIA!S$61*($W358^Transportation_LCIA!S$60)+Transportation_LCIA!S$62</f>
        <v>2.2760615928862299E-6</v>
      </c>
      <c r="AP358" s="137">
        <f>Transportation_LCIA!T$61*($W358^Transportation_LCIA!T$60)+Transportation_LCIA!T$62</f>
        <v>2.2760615928862299E-6</v>
      </c>
      <c r="AQ358" s="137">
        <f>Transportation_LCIA!U$61*($W358^Transportation_LCIA!U$60)+Transportation_LCIA!U$62</f>
        <v>2.9989263792086528E-4</v>
      </c>
      <c r="AR358" s="137">
        <f>Transportation_LCIA!V$61*($W358^Transportation_LCIA!V$60)+Transportation_LCIA!V$62</f>
        <v>1.3589441208504177E-4</v>
      </c>
      <c r="AT358" s="137">
        <f>$W358*Y358+$L358*Summary_LCIA!H$32</f>
        <v>483.2135107681824</v>
      </c>
      <c r="AU358" s="137">
        <f>$W358*Z358+$L358*Summary_LCIA!Q$32</f>
        <v>4755.6013183608156</v>
      </c>
      <c r="AV358" s="137">
        <f>$W358*AA358+$L358*Summary_LCIA!R$32</f>
        <v>1.8688916289466722</v>
      </c>
      <c r="AW358" s="137">
        <f>$W358*AB358+$L358*Summary_LCIA!S$32</f>
        <v>483.09976206818237</v>
      </c>
      <c r="AX358" s="137">
        <f>$W358*AC358+$L358*Summary_LCIA!T$32</f>
        <v>111.51081302730566</v>
      </c>
      <c r="AY358" s="137">
        <f>$W358*AD358+$L358*Summary_LCIA!U$32</f>
        <v>0.91971710137809459</v>
      </c>
      <c r="AZ358" s="137">
        <f>$W358*AE358+$L358*Summary_LCIA!V$32</f>
        <v>9.8625710269669431E-3</v>
      </c>
      <c r="BA358" s="137">
        <f>$W358*AF358+$L358*Summary_LCIA!W$32</f>
        <v>14.824800055559431</v>
      </c>
      <c r="BB358" s="137">
        <f>$W358*AG358+$L358*Summary_LCIA!X$32</f>
        <v>22.647515322979704</v>
      </c>
      <c r="BC358" s="137">
        <f>$W358*AH358+$L358*Summary_LCIA!Y$32</f>
        <v>0.78161457219862029</v>
      </c>
      <c r="BD358" s="137">
        <f>$W358*AI358+$L358*Summary_LCIA!Z$32</f>
        <v>0.52022857287377</v>
      </c>
      <c r="BE358" s="137">
        <f>$W358*AJ358+$L358*Summary_LCIA!AA$32</f>
        <v>2.3149683258036098</v>
      </c>
      <c r="BF358" s="137">
        <f>$W358*AK358+$L358*Summary_LCIA!AB$32</f>
        <v>0.11397716968451241</v>
      </c>
      <c r="BG358" s="137">
        <f>$W358*AL358+$L358*Summary_LCIA!AC$32</f>
        <v>5.677839285556222E-5</v>
      </c>
      <c r="BH358" s="137">
        <f>$W358*AM358+$L358*Summary_LCIA!AD$32</f>
        <v>0.16313184182991064</v>
      </c>
      <c r="BI358" s="137">
        <f>$W358*AN358+$L358*Summary_LCIA!AE$32</f>
        <v>0.43944693943283281</v>
      </c>
      <c r="BJ358" s="137">
        <f>$W358*AO358+$L358*Summary_LCIA!AF$32</f>
        <v>2.8418839973007169E-2</v>
      </c>
      <c r="BK358" s="137">
        <f>$W358*AP358+$L358*Summary_LCIA!AG$32</f>
        <v>7.9786875480071691E-3</v>
      </c>
      <c r="BL358" s="137">
        <f>$W358*AQ358+$L358*Summary_LCIA!AH$32</f>
        <v>1.1017628822410011</v>
      </c>
      <c r="BM358" s="137">
        <f>$W358*AR358+$L358*Summary_LCIA!AI$32</f>
        <v>0.42173184521147628</v>
      </c>
    </row>
    <row r="359" spans="1:65" x14ac:dyDescent="0.25">
      <c r="A359" s="149">
        <v>235</v>
      </c>
      <c r="B359" s="149">
        <v>15</v>
      </c>
      <c r="C359" s="61">
        <v>29.351009000000001</v>
      </c>
      <c r="D359" s="61">
        <v>47.944330999999998</v>
      </c>
      <c r="E359" s="61" t="s">
        <v>282</v>
      </c>
      <c r="F359" s="149">
        <v>58</v>
      </c>
      <c r="G359" s="61" t="s">
        <v>283</v>
      </c>
      <c r="H359" s="61" t="s">
        <v>706</v>
      </c>
      <c r="I359" s="61">
        <v>29.240445999999999</v>
      </c>
      <c r="J359" s="61">
        <v>47.968857</v>
      </c>
      <c r="K359" s="61">
        <v>672.29659430000004</v>
      </c>
      <c r="L359" s="61">
        <v>18.744</v>
      </c>
      <c r="M359" s="61" t="s">
        <v>617</v>
      </c>
      <c r="N359" s="149">
        <v>14</v>
      </c>
      <c r="O359" s="149">
        <v>15</v>
      </c>
      <c r="P359" s="61" t="s">
        <v>567</v>
      </c>
      <c r="Q359" s="61" t="s">
        <v>566</v>
      </c>
      <c r="R359" s="61">
        <v>50.037932599999998</v>
      </c>
      <c r="S359" s="61">
        <v>8.5621518000000005</v>
      </c>
      <c r="T359" s="61">
        <v>5118.5919999999996</v>
      </c>
      <c r="U359" s="61" t="s">
        <v>617</v>
      </c>
      <c r="V359" s="61" t="s">
        <v>569</v>
      </c>
      <c r="W359" s="61" cm="1">
        <f t="array" ref="W359">getDistance(I359,J359,R359,S359)*SA!$B$12</f>
        <v>4027.6455522727247</v>
      </c>
      <c r="Y359" s="137">
        <f>Transportation_LCIA!C$61*($W359^Transportation_LCIA!C$60)+Transportation_LCIA!C$62</f>
        <v>0.15030384980311071</v>
      </c>
      <c r="Z359" s="137">
        <f>Transportation_LCIA!D$61*($W359^Transportation_LCIA!D$60)+Transportation_LCIA!D$62</f>
        <v>1.4506519972075935</v>
      </c>
      <c r="AA359" s="137">
        <f>Transportation_LCIA!E$61*($W359^Transportation_LCIA!E$60)+Transportation_LCIA!E$62</f>
        <v>5.0767027593173471E-4</v>
      </c>
      <c r="AB359" s="137">
        <f>Transportation_LCIA!F$61*($W359^Transportation_LCIA!F$60)+Transportation_LCIA!F$62</f>
        <v>0.15030384980311071</v>
      </c>
      <c r="AC359" s="137">
        <f>Transportation_LCIA!G$61*($W359^Transportation_LCIA!G$60)+Transportation_LCIA!G$62</f>
        <v>3.4102198798369163E-2</v>
      </c>
      <c r="AD359" s="137">
        <f>Transportation_LCIA!H$61*($W359^Transportation_LCIA!H$60)+Transportation_LCIA!H$62</f>
        <v>1.3866969839146159E-4</v>
      </c>
      <c r="AE359" s="137">
        <f>Transportation_LCIA!I$61*($W359^Transportation_LCIA!I$60)+Transportation_LCIA!I$62</f>
        <v>2.5165344668096448E-6</v>
      </c>
      <c r="AF359" s="137">
        <f>Transportation_LCIA!J$61*($W359^Transportation_LCIA!J$60)+Transportation_LCIA!J$62</f>
        <v>3.7629719135529221E-3</v>
      </c>
      <c r="AG359" s="137">
        <f>Transportation_LCIA!K$61*($W359^Transportation_LCIA!K$60)+Transportation_LCIA!K$62</f>
        <v>6.8489477137590208E-3</v>
      </c>
      <c r="AH359" s="137">
        <f>Transportation_LCIA!L$61*($W359^Transportation_LCIA!L$60)+Transportation_LCIA!L$62</f>
        <v>1.1367040138470175E-4</v>
      </c>
      <c r="AI359" s="137">
        <f>Transportation_LCIA!M$61*($W359^Transportation_LCIA!M$60)+Transportation_LCIA!M$62</f>
        <v>1.6743275350147188E-4</v>
      </c>
      <c r="AJ359" s="137">
        <f>Transportation_LCIA!N$61*($W359^Transportation_LCIA!N$60)+Transportation_LCIA!N$62</f>
        <v>5.2465271738618194E-4</v>
      </c>
      <c r="AK359" s="137">
        <f>Transportation_LCIA!O$61*($W359^Transportation_LCIA!O$60)+Transportation_LCIA!O$62</f>
        <v>3.5917993692540506E-5</v>
      </c>
      <c r="AL359" s="137">
        <f>Transportation_LCIA!P$61*($W359^Transportation_LCIA!P$60)+Transportation_LCIA!P$62</f>
        <v>1.741703477237647E-8</v>
      </c>
      <c r="AM359" s="137">
        <f>Transportation_LCIA!Q$61*($W359^Transportation_LCIA!Q$60)+Transportation_LCIA!Q$62</f>
        <v>4.576769964967199E-5</v>
      </c>
      <c r="AN359" s="137">
        <f>Transportation_LCIA!R$61*($W359^Transportation_LCIA!R$60)+Transportation_LCIA!R$62</f>
        <v>1.216023101469281E-4</v>
      </c>
      <c r="AO359" s="137">
        <f>Transportation_LCIA!S$61*($W359^Transportation_LCIA!S$60)+Transportation_LCIA!S$62</f>
        <v>1.9810326458284998E-6</v>
      </c>
      <c r="AP359" s="137">
        <f>Transportation_LCIA!T$61*($W359^Transportation_LCIA!T$60)+Transportation_LCIA!T$62</f>
        <v>1.9810326458284998E-6</v>
      </c>
      <c r="AQ359" s="137">
        <f>Transportation_LCIA!U$61*($W359^Transportation_LCIA!U$60)+Transportation_LCIA!U$62</f>
        <v>2.5481121914906741E-4</v>
      </c>
      <c r="AR359" s="137">
        <f>Transportation_LCIA!V$61*($W359^Transportation_LCIA!V$60)+Transportation_LCIA!V$62</f>
        <v>1.1952410011835198E-4</v>
      </c>
      <c r="AT359" s="137">
        <f>$W359*Y359+$L359*Summary_LCIA!H$32</f>
        <v>611.73984334896647</v>
      </c>
      <c r="AU359" s="137">
        <f>$W359*Z359+$L359*Summary_LCIA!Q$32</f>
        <v>5935.6082737648612</v>
      </c>
      <c r="AV359" s="137">
        <f>$W359*AA359+$L359*Summary_LCIA!R$32</f>
        <v>2.1434143352775181</v>
      </c>
      <c r="AW359" s="137">
        <f>$W359*AB359+$L359*Summary_LCIA!S$32</f>
        <v>611.65699486896654</v>
      </c>
      <c r="AX359" s="137">
        <f>$W359*AC359+$L359*Summary_LCIA!T$32</f>
        <v>139.4115349129718</v>
      </c>
      <c r="AY359" s="137">
        <f>$W359*AD359+$L359*Summary_LCIA!U$32</f>
        <v>0.89429240996137038</v>
      </c>
      <c r="AZ359" s="137">
        <f>$W359*AE359+$L359*Summary_LCIA!V$32</f>
        <v>1.1030941036386879E-2</v>
      </c>
      <c r="BA359" s="137">
        <f>$W359*AF359+$L359*Summary_LCIA!W$32</f>
        <v>16.59866151494861</v>
      </c>
      <c r="BB359" s="137">
        <f>$W359*AG359+$L359*Summary_LCIA!X$32</f>
        <v>28.012122117069968</v>
      </c>
      <c r="BC359" s="137">
        <f>$W359*AH359+$L359*Summary_LCIA!Y$32</f>
        <v>0.74989309456214936</v>
      </c>
      <c r="BD359" s="137">
        <f>$W359*AI359+$L359*Summary_LCIA!Z$32</f>
        <v>0.67512845764097862</v>
      </c>
      <c r="BE359" s="137">
        <f>$W359*AJ359+$L359*Summary_LCIA!AA$32</f>
        <v>2.5509000476682546</v>
      </c>
      <c r="BF359" s="137">
        <f>$W359*AK359+$L359*Summary_LCIA!AB$32</f>
        <v>0.14425589723032053</v>
      </c>
      <c r="BG359" s="137">
        <f>$W359*AL359+$L359*Summary_LCIA!AC$32</f>
        <v>7.1065924330741476E-5</v>
      </c>
      <c r="BH359" s="137">
        <f>$W359*AM359+$L359*Summary_LCIA!AD$32</f>
        <v>0.19204060569175532</v>
      </c>
      <c r="BI359" s="137">
        <f>$W359*AN359+$L359*Summary_LCIA!AE$32</f>
        <v>0.50638062432936337</v>
      </c>
      <c r="BJ359" s="137">
        <f>$W359*AO359+$L359*Summary_LCIA!AF$32</f>
        <v>2.3825449804878225E-2</v>
      </c>
      <c r="BK359" s="137">
        <f>$W359*AP359+$L359*Summary_LCIA!AG$32</f>
        <v>8.9379340848782258E-3</v>
      </c>
      <c r="BL359" s="137">
        <f>$W359*AQ359+$L359*Summary_LCIA!AH$32</f>
        <v>1.1894295518749318</v>
      </c>
      <c r="BM359" s="137">
        <f>$W359*AR359+$L359*Summary_LCIA!AI$32</f>
        <v>0.49886168343108023</v>
      </c>
    </row>
    <row r="360" spans="1:65" x14ac:dyDescent="0.25">
      <c r="A360" s="149">
        <v>182</v>
      </c>
      <c r="B360" s="149">
        <v>43</v>
      </c>
      <c r="C360" s="61">
        <v>9.8572469999999992</v>
      </c>
      <c r="D360" s="61">
        <v>-83.912312999999997</v>
      </c>
      <c r="E360" s="61" t="s">
        <v>467</v>
      </c>
      <c r="F360" s="149">
        <v>33</v>
      </c>
      <c r="G360" s="61" t="s">
        <v>691</v>
      </c>
      <c r="H360" s="61" t="s">
        <v>692</v>
      </c>
      <c r="I360" s="61">
        <v>9.7998569999999994</v>
      </c>
      <c r="J360" s="61">
        <v>-84.044955999999999</v>
      </c>
      <c r="K360" s="61">
        <v>2361.9992550000002</v>
      </c>
      <c r="L360" s="61">
        <v>21.867999999999999</v>
      </c>
      <c r="M360" s="61" t="s">
        <v>617</v>
      </c>
      <c r="N360" s="149">
        <v>42</v>
      </c>
      <c r="O360" s="149">
        <v>43</v>
      </c>
      <c r="P360" s="61" t="s">
        <v>565</v>
      </c>
      <c r="Q360" s="61" t="s">
        <v>555</v>
      </c>
      <c r="R360" s="61">
        <v>40.6895314</v>
      </c>
      <c r="S360" s="61">
        <v>-74.174462399999996</v>
      </c>
      <c r="T360" s="61">
        <v>6454.4520000000002</v>
      </c>
      <c r="U360" s="61" t="s">
        <v>617</v>
      </c>
      <c r="V360" s="61" t="s">
        <v>569</v>
      </c>
      <c r="W360" s="61" cm="1">
        <f t="array" ref="W360">getDistance(I360,J360,R360,S360)*SA!$B$12</f>
        <v>3567.0917650313249</v>
      </c>
      <c r="Y360" s="137">
        <f>Transportation_LCIA!C$61*($W360^Transportation_LCIA!C$60)+Transportation_LCIA!C$62</f>
        <v>0.15442432114358801</v>
      </c>
      <c r="Z360" s="137">
        <f>Transportation_LCIA!D$61*($W360^Transportation_LCIA!D$60)+Transportation_LCIA!D$62</f>
        <v>1.4960283790827931</v>
      </c>
      <c r="AA360" s="137">
        <f>Transportation_LCIA!E$61*($W360^Transportation_LCIA!E$60)+Transportation_LCIA!E$62</f>
        <v>5.3702226083132709E-4</v>
      </c>
      <c r="AB360" s="137">
        <f>Transportation_LCIA!F$61*($W360^Transportation_LCIA!F$60)+Transportation_LCIA!F$62</f>
        <v>0.15442432114358801</v>
      </c>
      <c r="AC360" s="137">
        <f>Transportation_LCIA!G$61*($W360^Transportation_LCIA!G$60)+Transportation_LCIA!G$62</f>
        <v>3.5155572636270727E-2</v>
      </c>
      <c r="AD360" s="137">
        <f>Transportation_LCIA!H$61*($W360^Transportation_LCIA!H$60)+Transportation_LCIA!H$62</f>
        <v>1.4491910114721243E-4</v>
      </c>
      <c r="AE360" s="137">
        <f>Transportation_LCIA!I$61*($W360^Transportation_LCIA!I$60)+Transportation_LCIA!I$62</f>
        <v>2.6659036301457858E-6</v>
      </c>
      <c r="AF360" s="137">
        <f>Transportation_LCIA!J$61*($W360^Transportation_LCIA!J$60)+Transportation_LCIA!J$62</f>
        <v>3.9780120098162298E-3</v>
      </c>
      <c r="AG360" s="137">
        <f>Transportation_LCIA!K$61*($W360^Transportation_LCIA!K$60)+Transportation_LCIA!K$62</f>
        <v>7.0877400484039513E-3</v>
      </c>
      <c r="AH360" s="137">
        <f>Transportation_LCIA!L$61*($W360^Transportation_LCIA!L$60)+Transportation_LCIA!L$62</f>
        <v>1.1933149415946899E-4</v>
      </c>
      <c r="AI360" s="137">
        <f>Transportation_LCIA!M$61*($W360^Transportation_LCIA!M$60)+Transportation_LCIA!M$62</f>
        <v>1.7087569781958011E-4</v>
      </c>
      <c r="AJ360" s="137">
        <f>Transportation_LCIA!N$61*($W360^Transportation_LCIA!N$60)+Transportation_LCIA!N$62</f>
        <v>5.4575101857002163E-4</v>
      </c>
      <c r="AK360" s="137">
        <f>Transportation_LCIA!O$61*($W360^Transportation_LCIA!O$60)+Transportation_LCIA!O$62</f>
        <v>3.7035556403289741E-5</v>
      </c>
      <c r="AL360" s="137">
        <f>Transportation_LCIA!P$61*($W360^Transportation_LCIA!P$60)+Transportation_LCIA!P$62</f>
        <v>1.7956669775971922E-8</v>
      </c>
      <c r="AM360" s="137">
        <f>Transportation_LCIA!Q$61*($W360^Transportation_LCIA!Q$60)+Transportation_LCIA!Q$62</f>
        <v>4.7963660605805032E-5</v>
      </c>
      <c r="AN360" s="137">
        <f>Transportation_LCIA!R$61*($W360^Transportation_LCIA!R$60)+Transportation_LCIA!R$62</f>
        <v>1.2875603374515646E-4</v>
      </c>
      <c r="AO360" s="137">
        <f>Transportation_LCIA!S$61*($W360^Transportation_LCIA!S$60)+Transportation_LCIA!S$62</f>
        <v>2.0827951601475392E-6</v>
      </c>
      <c r="AP360" s="137">
        <f>Transportation_LCIA!T$61*($W360^Transportation_LCIA!T$60)+Transportation_LCIA!T$62</f>
        <v>2.0827951601475392E-6</v>
      </c>
      <c r="AQ360" s="137">
        <f>Transportation_LCIA!U$61*($W360^Transportation_LCIA!U$60)+Transportation_LCIA!U$62</f>
        <v>2.7034590098467517E-4</v>
      </c>
      <c r="AR360" s="137">
        <f>Transportation_LCIA!V$61*($W360^Transportation_LCIA!V$60)+Transportation_LCIA!V$62</f>
        <v>1.2517858176928741E-4</v>
      </c>
      <c r="AT360" s="137">
        <f>$W360*Y360+$L360*Summary_LCIA!H$32</f>
        <v>558.27647067184546</v>
      </c>
      <c r="AU360" s="137">
        <f>$W360*Z360+$L360*Summary_LCIA!Q$32</f>
        <v>5444.849422148237</v>
      </c>
      <c r="AV360" s="137">
        <f>$W360*AA360+$L360*Summary_LCIA!R$32</f>
        <v>2.0307558250499311</v>
      </c>
      <c r="AW360" s="137">
        <f>$W360*AB360+$L360*Summary_LCIA!S$32</f>
        <v>558.17981411184553</v>
      </c>
      <c r="AX360" s="137">
        <f>$W360*AC360+$L360*Summary_LCIA!T$32</f>
        <v>127.80644684580189</v>
      </c>
      <c r="AY360" s="137">
        <f>$W360*AD360+$L360*Summary_LCIA!U$32</f>
        <v>0.90868308429796296</v>
      </c>
      <c r="AZ360" s="137">
        <f>$W360*AE360+$L360*Summary_LCIA!V$32</f>
        <v>1.0553960433460147E-2</v>
      </c>
      <c r="BA360" s="137">
        <f>$W360*AF360+$L360*Summary_LCIA!W$32</f>
        <v>15.873135709411184</v>
      </c>
      <c r="BB360" s="137">
        <f>$W360*AG360+$L360*Summary_LCIA!X$32</f>
        <v>25.780772199344458</v>
      </c>
      <c r="BC360" s="137">
        <f>$W360*AH360+$L360*Summary_LCIA!Y$32</f>
        <v>0.76641356612512546</v>
      </c>
      <c r="BD360" s="137">
        <f>$W360*AI360+$L360*Summary_LCIA!Z$32</f>
        <v>0.61042607934820525</v>
      </c>
      <c r="BE360" s="137">
        <f>$W360*AJ360+$L360*Summary_LCIA!AA$32</f>
        <v>2.4574929720985819</v>
      </c>
      <c r="BF360" s="137">
        <f>$W360*AK360+$L360*Summary_LCIA!AB$32</f>
        <v>0.13163200289552801</v>
      </c>
      <c r="BG360" s="137">
        <f>$W360*AL360+$L360*Summary_LCIA!AC$32</f>
        <v>6.5122084197256322E-5</v>
      </c>
      <c r="BH360" s="137">
        <f>$W360*AM360+$L360*Summary_LCIA!AD$32</f>
        <v>0.1800794014877245</v>
      </c>
      <c r="BI360" s="137">
        <f>$W360*AN360+$L360*Summary_LCIA!AE$32</f>
        <v>0.47866247851044302</v>
      </c>
      <c r="BJ360" s="137">
        <f>$W360*AO360+$L360*Summary_LCIA!AF$32</f>
        <v>2.5917166024009383E-2</v>
      </c>
      <c r="BK360" s="137">
        <f>$W360*AP360+$L360*Summary_LCIA!AG$32</f>
        <v>8.5483976840093866E-3</v>
      </c>
      <c r="BL360" s="137">
        <f>$W360*AQ360+$L360*Summary_LCIA!AH$32</f>
        <v>1.1546789619124089</v>
      </c>
      <c r="BM360" s="137">
        <f>$W360*AR360+$L360*Summary_LCIA!AI$32</f>
        <v>0.46689462358752548</v>
      </c>
    </row>
    <row r="361" spans="1:65" x14ac:dyDescent="0.25">
      <c r="A361" s="149">
        <v>3</v>
      </c>
      <c r="B361" s="149">
        <v>29</v>
      </c>
      <c r="C361" s="61">
        <v>35.597613000000003</v>
      </c>
      <c r="D361" s="61">
        <v>139.65054000000001</v>
      </c>
      <c r="E361" s="61" t="s">
        <v>272</v>
      </c>
      <c r="F361" s="149">
        <v>5</v>
      </c>
      <c r="G361" s="61" t="s">
        <v>620</v>
      </c>
      <c r="H361" s="61" t="s">
        <v>621</v>
      </c>
      <c r="I361" s="61">
        <v>35.549393000000002</v>
      </c>
      <c r="J361" s="61">
        <v>139.77983900000001</v>
      </c>
      <c r="K361" s="61">
        <v>14.24610406</v>
      </c>
      <c r="L361" s="61">
        <v>17.181999999999999</v>
      </c>
      <c r="M361" s="61" t="s">
        <v>617</v>
      </c>
      <c r="N361" s="149">
        <v>28</v>
      </c>
      <c r="O361" s="149">
        <v>29</v>
      </c>
      <c r="P361" s="61" t="s">
        <v>565</v>
      </c>
      <c r="Q361" s="61" t="s">
        <v>559</v>
      </c>
      <c r="R361" s="61">
        <v>47.450249900000003</v>
      </c>
      <c r="S361" s="61">
        <v>-122.30881650000001</v>
      </c>
      <c r="T361" s="61"/>
      <c r="U361" s="61" t="s">
        <v>622</v>
      </c>
      <c r="V361" s="61" t="s">
        <v>569</v>
      </c>
      <c r="W361" s="61" cm="1">
        <f t="array" ref="W361">getDistance(I361,J361,R361,S361)*SA!$B$12</f>
        <v>7732.9863561656575</v>
      </c>
      <c r="Y361" s="137">
        <f>Transportation_LCIA!C$61*($W361^Transportation_LCIA!C$60)+Transportation_LCIA!C$62</f>
        <v>0.13410983014831226</v>
      </c>
      <c r="Z361" s="137">
        <f>Transportation_LCIA!D$61*($W361^Transportation_LCIA!D$60)+Transportation_LCIA!D$62</f>
        <v>1.2750636922893839</v>
      </c>
      <c r="AA361" s="137">
        <f>Transportation_LCIA!E$61*($W361^Transportation_LCIA!E$60)+Transportation_LCIA!E$62</f>
        <v>3.945830816743962E-4</v>
      </c>
      <c r="AB361" s="137">
        <f>Transportation_LCIA!F$61*($W361^Transportation_LCIA!F$60)+Transportation_LCIA!F$62</f>
        <v>0.13410983014831226</v>
      </c>
      <c r="AC361" s="137">
        <f>Transportation_LCIA!G$61*($W361^Transportation_LCIA!G$60)+Transportation_LCIA!G$62</f>
        <v>3.0022381689887842E-2</v>
      </c>
      <c r="AD361" s="137">
        <f>Transportation_LCIA!H$61*($W361^Transportation_LCIA!H$60)+Transportation_LCIA!H$62</f>
        <v>1.1479775437180469E-4</v>
      </c>
      <c r="AE361" s="137">
        <f>Transportation_LCIA!I$61*($W361^Transportation_LCIA!I$60)+Transportation_LCIA!I$62</f>
        <v>1.9537711263723941E-6</v>
      </c>
      <c r="AF361" s="137">
        <f>Transportation_LCIA!J$61*($W361^Transportation_LCIA!J$60)+Transportation_LCIA!J$62</f>
        <v>2.960025709740249E-3</v>
      </c>
      <c r="AG361" s="137">
        <f>Transportation_LCIA!K$61*($W361^Transportation_LCIA!K$60)+Transportation_LCIA!K$62</f>
        <v>5.9312865998840157E-3</v>
      </c>
      <c r="AH361" s="137">
        <f>Transportation_LCIA!L$61*($W361^Transportation_LCIA!L$60)+Transportation_LCIA!L$62</f>
        <v>9.2130525424215489E-5</v>
      </c>
      <c r="AI361" s="137">
        <f>Transportation_LCIA!M$61*($W361^Transportation_LCIA!M$60)+Transportation_LCIA!M$62</f>
        <v>1.5428727202023863E-4</v>
      </c>
      <c r="AJ361" s="137">
        <f>Transportation_LCIA!N$61*($W361^Transportation_LCIA!N$60)+Transportation_LCIA!N$62</f>
        <v>4.4397134188153039E-4</v>
      </c>
      <c r="AK361" s="137">
        <f>Transportation_LCIA!O$61*($W361^Transportation_LCIA!O$60)+Transportation_LCIA!O$62</f>
        <v>3.159140959269419E-5</v>
      </c>
      <c r="AL361" s="137">
        <f>Transportation_LCIA!P$61*($W361^Transportation_LCIA!P$60)+Transportation_LCIA!P$62</f>
        <v>1.5325457493794949E-8</v>
      </c>
      <c r="AM361" s="137">
        <f>Transportation_LCIA!Q$61*($W361^Transportation_LCIA!Q$60)+Transportation_LCIA!Q$62</f>
        <v>3.7429937539717766E-5</v>
      </c>
      <c r="AN361" s="137">
        <f>Transportation_LCIA!R$61*($W361^Transportation_LCIA!R$60)+Transportation_LCIA!R$62</f>
        <v>9.4658893049615744E-5</v>
      </c>
      <c r="AO361" s="137">
        <f>Transportation_LCIA!S$61*($W361^Transportation_LCIA!S$60)+Transportation_LCIA!S$62</f>
        <v>1.5975234452295921E-6</v>
      </c>
      <c r="AP361" s="137">
        <f>Transportation_LCIA!T$61*($W361^Transportation_LCIA!T$60)+Transportation_LCIA!T$62</f>
        <v>1.5975234452295921E-6</v>
      </c>
      <c r="AQ361" s="137">
        <f>Transportation_LCIA!U$61*($W361^Transportation_LCIA!U$60)+Transportation_LCIA!U$62</f>
        <v>1.9645456769131977E-4</v>
      </c>
      <c r="AR361" s="137">
        <f>Transportation_LCIA!V$61*($W361^Transportation_LCIA!V$60)+Transportation_LCIA!V$62</f>
        <v>9.8113228741500703E-5</v>
      </c>
      <c r="AT361" s="137">
        <f>$W361*Y361+$L361*Summary_LCIA!H$32</f>
        <v>1042.9079303645924</v>
      </c>
      <c r="AU361" s="137">
        <f>$W361*Z361+$L361*Summary_LCIA!Q$32</f>
        <v>9945.2049942558187</v>
      </c>
      <c r="AV361" s="137">
        <f>$W361*AA361+$L361*Summary_LCIA!R$32</f>
        <v>3.141779126161905</v>
      </c>
      <c r="AW361" s="137">
        <f>$W361*AB361+$L361*Summary_LCIA!S$32</f>
        <v>1042.8319859245926</v>
      </c>
      <c r="AX361" s="137">
        <f>$W361*AC361+$L361*Summary_LCIA!T$32</f>
        <v>234.05096978750032</v>
      </c>
      <c r="AY361" s="137">
        <f>$W361*AD361+$L361*Summary_LCIA!U$32</f>
        <v>1.195527816275622</v>
      </c>
      <c r="AZ361" s="137">
        <f>$W361*AE361+$L361*Summary_LCIA!V$32</f>
        <v>1.5929114965308133E-2</v>
      </c>
      <c r="BA361" s="137">
        <f>$W361*AF361+$L361*Summary_LCIA!W$32</f>
        <v>24.212354149320912</v>
      </c>
      <c r="BB361" s="137">
        <f>$W361*AG361+$L361*Summary_LCIA!X$32</f>
        <v>46.257964311411286</v>
      </c>
      <c r="BC361" s="137">
        <f>$W361*AH361+$L361*Summary_LCIA!Y$32</f>
        <v>0.98017402009183163</v>
      </c>
      <c r="BD361" s="137">
        <f>$W361*AI361+$L361*Summary_LCIA!Z$32</f>
        <v>1.1938059861005248</v>
      </c>
      <c r="BE361" s="137">
        <f>$W361*AJ361+$L361*Summary_LCIA!AA$32</f>
        <v>3.8345271212984331</v>
      </c>
      <c r="BF361" s="137">
        <f>$W361*AK361+$L361*Summary_LCIA!AB$32</f>
        <v>0.24392097656634504</v>
      </c>
      <c r="BG361" s="137">
        <f>$W361*AL361+$L361*Summary_LCIA!AC$32</f>
        <v>1.1935147858951307E-4</v>
      </c>
      <c r="BH361" s="137">
        <f>$W361*AM361+$L361*Summary_LCIA!AD$32</f>
        <v>0.29650768558677021</v>
      </c>
      <c r="BI361" s="137">
        <f>$W361*AN361+$L361*Summary_LCIA!AE$32</f>
        <v>0.74722141410242282</v>
      </c>
      <c r="BJ361" s="137">
        <f>$W361*AO361+$L361*Summary_LCIA!AF$32</f>
        <v>2.6879633445615191E-2</v>
      </c>
      <c r="BK361" s="137">
        <f>$W361*AP361+$L361*Summary_LCIA!AG$32</f>
        <v>1.3232744035615191E-2</v>
      </c>
      <c r="BL361" s="137">
        <f>$W361*AQ361+$L361*Summary_LCIA!AH$32</f>
        <v>1.6687257467633985</v>
      </c>
      <c r="BM361" s="137">
        <f>$W361*AR361+$L361*Summary_LCIA!AI$32</f>
        <v>0.77471415131738519</v>
      </c>
    </row>
    <row r="362" spans="1:65" x14ac:dyDescent="0.25">
      <c r="A362" s="149">
        <v>13</v>
      </c>
      <c r="B362" s="149">
        <v>15</v>
      </c>
      <c r="C362" s="61">
        <v>51.378222999999998</v>
      </c>
      <c r="D362" s="61">
        <v>-2.3263989999999999</v>
      </c>
      <c r="E362" s="61" t="s">
        <v>463</v>
      </c>
      <c r="F362" s="149">
        <v>7</v>
      </c>
      <c r="G362" s="61" t="s">
        <v>628</v>
      </c>
      <c r="H362" s="61" t="s">
        <v>629</v>
      </c>
      <c r="I362" s="61">
        <v>51.470022</v>
      </c>
      <c r="J362" s="61">
        <v>-0.45429599999999998</v>
      </c>
      <c r="K362" s="61">
        <v>149.81618209999999</v>
      </c>
      <c r="L362" s="61">
        <v>198.58</v>
      </c>
      <c r="M362" s="61" t="s">
        <v>589</v>
      </c>
      <c r="N362" s="149">
        <v>14</v>
      </c>
      <c r="O362" s="149">
        <v>15</v>
      </c>
      <c r="P362" s="61" t="s">
        <v>567</v>
      </c>
      <c r="Q362" s="61" t="s">
        <v>566</v>
      </c>
      <c r="R362" s="61">
        <v>50.037932599999998</v>
      </c>
      <c r="S362" s="61">
        <v>8.5621518000000005</v>
      </c>
      <c r="T362" s="61"/>
      <c r="U362" s="61" t="s">
        <v>622</v>
      </c>
      <c r="V362" s="61" t="s">
        <v>569</v>
      </c>
      <c r="W362" s="61" cm="1">
        <f t="array" ref="W362">getDistance(I362,J362,R362,S362)*SA!$B$12</f>
        <v>655.49865109245718</v>
      </c>
      <c r="Y362" s="137">
        <f>Transportation_LCIA!C$61*($W362^Transportation_LCIA!C$60)+Transportation_LCIA!C$62</f>
        <v>0.28808630932385726</v>
      </c>
      <c r="Z362" s="137">
        <f>Transportation_LCIA!D$61*($W362^Transportation_LCIA!D$60)+Transportation_LCIA!D$62</f>
        <v>3.0403453180333315</v>
      </c>
      <c r="AA362" s="137">
        <f>Transportation_LCIA!E$61*($W362^Transportation_LCIA!E$60)+Transportation_LCIA!E$62</f>
        <v>1.5496127326841335E-3</v>
      </c>
      <c r="AB362" s="137">
        <f>Transportation_LCIA!F$61*($W362^Transportation_LCIA!F$60)+Transportation_LCIA!F$62</f>
        <v>0.28808630932385726</v>
      </c>
      <c r="AC362" s="137">
        <f>Transportation_LCIA!G$61*($W362^Transportation_LCIA!G$60)+Transportation_LCIA!G$62</f>
        <v>7.0904955875308692E-2</v>
      </c>
      <c r="AD362" s="137">
        <f>Transportation_LCIA!H$61*($W362^Transportation_LCIA!H$60)+Transportation_LCIA!H$62</f>
        <v>3.6638661442350167E-4</v>
      </c>
      <c r="AE362" s="137">
        <f>Transportation_LCIA!I$61*($W362^Transportation_LCIA!I$60)+Transportation_LCIA!I$62</f>
        <v>8.1949302872625628E-6</v>
      </c>
      <c r="AF362" s="137">
        <f>Transportation_LCIA!J$61*($W362^Transportation_LCIA!J$60)+Transportation_LCIA!J$62</f>
        <v>1.216906133974993E-2</v>
      </c>
      <c r="AG362" s="137">
        <f>Transportation_LCIA!K$61*($W362^Transportation_LCIA!K$60)+Transportation_LCIA!K$62</f>
        <v>1.5391950999787709E-2</v>
      </c>
      <c r="AH362" s="137">
        <f>Transportation_LCIA!L$61*($W362^Transportation_LCIA!L$60)+Transportation_LCIA!L$62</f>
        <v>3.224475626051792E-4</v>
      </c>
      <c r="AI362" s="137">
        <f>Transportation_LCIA!M$61*($W362^Transportation_LCIA!M$60)+Transportation_LCIA!M$62</f>
        <v>2.9306665716547056E-4</v>
      </c>
      <c r="AJ362" s="137">
        <f>Transportation_LCIA!N$61*($W362^Transportation_LCIA!N$60)+Transportation_LCIA!N$62</f>
        <v>1.2908631335785605E-3</v>
      </c>
      <c r="AK362" s="137">
        <f>Transportation_LCIA!O$61*($W362^Transportation_LCIA!O$60)+Transportation_LCIA!O$62</f>
        <v>7.5013630480399058E-5</v>
      </c>
      <c r="AL362" s="137">
        <f>Transportation_LCIA!P$61*($W362^Transportation_LCIA!P$60)+Transportation_LCIA!P$62</f>
        <v>3.622947059126279E-8</v>
      </c>
      <c r="AM362" s="137">
        <f>Transportation_LCIA!Q$61*($W362^Transportation_LCIA!Q$60)+Transportation_LCIA!Q$62</f>
        <v>1.2728062224719001E-4</v>
      </c>
      <c r="AN362" s="137">
        <f>Transportation_LCIA!R$61*($W362^Transportation_LCIA!R$60)+Transportation_LCIA!R$62</f>
        <v>3.9383707879712856E-4</v>
      </c>
      <c r="AO362" s="137">
        <f>Transportation_LCIA!S$61*($W362^Transportation_LCIA!S$60)+Transportation_LCIA!S$62</f>
        <v>5.8462294863061377E-6</v>
      </c>
      <c r="AP362" s="137">
        <f>Transportation_LCIA!T$61*($W362^Transportation_LCIA!T$60)+Transportation_LCIA!T$62</f>
        <v>5.8462294863061377E-6</v>
      </c>
      <c r="AQ362" s="137">
        <f>Transportation_LCIA!U$61*($W362^Transportation_LCIA!U$60)+Transportation_LCIA!U$62</f>
        <v>8.5078004970210494E-4</v>
      </c>
      <c r="AR362" s="137">
        <f>Transportation_LCIA!V$61*($W362^Transportation_LCIA!V$60)+Transportation_LCIA!V$62</f>
        <v>3.311828503124549E-4</v>
      </c>
      <c r="AT362" s="137">
        <f>$W362*Y362+$L362*Summary_LCIA!H$34</f>
        <v>203.62685111999281</v>
      </c>
      <c r="AU362" s="137">
        <f ca="1">$W362*Z362+$L362*Summary_LCIA!Q$34</f>
        <v>2238.2062741195168</v>
      </c>
      <c r="AV362" s="137">
        <f ca="1">$W362*AA362+$L362*Summary_LCIA!R$34</f>
        <v>1.5234586839901461</v>
      </c>
      <c r="AW362" s="137">
        <f ca="1">$W362*AB362+$L362*Summary_LCIA!S$34</f>
        <v>203.4235051999928</v>
      </c>
      <c r="AX362" s="137">
        <f ca="1">$W362*AC362+$L362*Summary_LCIA!T$34</f>
        <v>50.597247872035041</v>
      </c>
      <c r="AY362" s="137">
        <f ca="1">$W362*AD362+$L362*Summary_LCIA!U$34</f>
        <v>0.60547369953293761</v>
      </c>
      <c r="AZ362" s="137">
        <f ca="1">$W362*AE362+$L362*Summary_LCIA!V$34</f>
        <v>2.1475213689097335E-2</v>
      </c>
      <c r="BA362" s="137">
        <f ca="1">$W362*AF362+$L362*Summary_LCIA!W$34</f>
        <v>18.01482371326745</v>
      </c>
      <c r="BB362" s="137">
        <f ca="1">$W362*AG362+$L362*Summary_LCIA!X$34</f>
        <v>12.19911703804204</v>
      </c>
      <c r="BC362" s="137">
        <f ca="1">$W362*AH362+$L362*Summary_LCIA!Y$34</f>
        <v>0.55165063033574557</v>
      </c>
      <c r="BD362" s="137">
        <f ca="1">$W362*AI362+$L362*Summary_LCIA!Z$34</f>
        <v>0.19776532135214156</v>
      </c>
      <c r="BE362" s="137">
        <f ca="1">$W362*AJ362+$L362*Summary_LCIA!AA$34</f>
        <v>1.2557501508057287</v>
      </c>
      <c r="BF362" s="137">
        <f ca="1">$W362*AK362+$L362*Summary_LCIA!AB$34</f>
        <v>4.7793406831449614E-2</v>
      </c>
      <c r="BG362" s="137">
        <f ca="1">$W362*AL362+$L362*Summary_LCIA!AC$34</f>
        <v>2.4479560520366606E-5</v>
      </c>
      <c r="BH362" s="137">
        <f ca="1">$W362*AM362+$L362*Summary_LCIA!AD$34</f>
        <v>0.10551040059324165</v>
      </c>
      <c r="BI362" s="137">
        <f ca="1">$W362*AN362+$L362*Summary_LCIA!AE$34</f>
        <v>0.31772175910171152</v>
      </c>
      <c r="BJ362" s="137">
        <f ca="1">$W362*AO362+$L362*Summary_LCIA!AF$34</f>
        <v>5.1066434342250625E-2</v>
      </c>
      <c r="BK362" s="137">
        <f ca="1">$W362*AP362+$L362*Summary_LCIA!AG$34</f>
        <v>4.3759274402506224E-3</v>
      </c>
      <c r="BL362" s="137">
        <f ca="1">$W362*AQ362+$L362*Summary_LCIA!AH$34</f>
        <v>1.0101099889561036</v>
      </c>
      <c r="BM362" s="137">
        <f ca="1">$W362*AR362+$L362*Summary_LCIA!AI$34</f>
        <v>0.27284124664476933</v>
      </c>
    </row>
    <row r="363" spans="1:65" x14ac:dyDescent="0.25">
      <c r="A363" s="149">
        <v>143</v>
      </c>
      <c r="B363" s="149">
        <v>43</v>
      </c>
      <c r="C363" s="61">
        <v>-23.586715000000002</v>
      </c>
      <c r="D363" s="61">
        <v>-46.681919999999998</v>
      </c>
      <c r="E363" s="61" t="s">
        <v>465</v>
      </c>
      <c r="F363" s="149">
        <v>52</v>
      </c>
      <c r="G363" s="61" t="s">
        <v>682</v>
      </c>
      <c r="H363" s="61" t="s">
        <v>683</v>
      </c>
      <c r="I363" s="61">
        <v>-23.430572999999999</v>
      </c>
      <c r="J363" s="61">
        <v>-46.473042999999997</v>
      </c>
      <c r="K363" s="61">
        <v>27.890101319999999</v>
      </c>
      <c r="L363" s="61">
        <v>35.286999999999999</v>
      </c>
      <c r="M363" s="61" t="s">
        <v>617</v>
      </c>
      <c r="N363" s="149">
        <v>42</v>
      </c>
      <c r="O363" s="149">
        <v>43</v>
      </c>
      <c r="P363" s="61" t="s">
        <v>565</v>
      </c>
      <c r="Q363" s="61" t="s">
        <v>555</v>
      </c>
      <c r="R363" s="61">
        <v>40.6895314</v>
      </c>
      <c r="S363" s="61">
        <v>-74.174462399999996</v>
      </c>
      <c r="T363" s="61"/>
      <c r="U363" s="61" t="s">
        <v>622</v>
      </c>
      <c r="V363" s="61" t="s">
        <v>569</v>
      </c>
      <c r="W363" s="61" cm="1">
        <f t="array" ref="W363">getDistance(I363,J363,R363,S363)*SA!$B$12</f>
        <v>7675.4977192762117</v>
      </c>
      <c r="Y363" s="137">
        <f>Transportation_LCIA!C$61*($W363^Transportation_LCIA!C$60)+Transportation_LCIA!C$62</f>
        <v>0.13424943238738063</v>
      </c>
      <c r="Z363" s="137">
        <f>Transportation_LCIA!D$61*($W363^Transportation_LCIA!D$60)+Transportation_LCIA!D$62</f>
        <v>1.2765543631290379</v>
      </c>
      <c r="AA363" s="137">
        <f>Transportation_LCIA!E$61*($W363^Transportation_LCIA!E$60)+Transportation_LCIA!E$62</f>
        <v>3.9553900962361856E-4</v>
      </c>
      <c r="AB363" s="137">
        <f>Transportation_LCIA!F$61*($W363^Transportation_LCIA!F$60)+Transportation_LCIA!F$62</f>
        <v>0.13424943238738063</v>
      </c>
      <c r="AC363" s="137">
        <f>Transportation_LCIA!G$61*($W363^Transportation_LCIA!G$60)+Transportation_LCIA!G$62</f>
        <v>3.0057048635015446E-2</v>
      </c>
      <c r="AD363" s="137">
        <f>Transportation_LCIA!H$61*($W363^Transportation_LCIA!H$60)+Transportation_LCIA!H$62</f>
        <v>1.149978281190226E-4</v>
      </c>
      <c r="AE363" s="137">
        <f>Transportation_LCIA!I$61*($W363^Transportation_LCIA!I$60)+Transportation_LCIA!I$62</f>
        <v>1.9584230783402369E-6</v>
      </c>
      <c r="AF363" s="137">
        <f>Transportation_LCIA!J$61*($W363^Transportation_LCIA!J$60)+Transportation_LCIA!J$62</f>
        <v>2.9666033230189414E-3</v>
      </c>
      <c r="AG363" s="137">
        <f>Transportation_LCIA!K$61*($W363^Transportation_LCIA!K$60)+Transportation_LCIA!K$62</f>
        <v>5.939023856835134E-3</v>
      </c>
      <c r="AH363" s="137">
        <f>Transportation_LCIA!L$61*($W363^Transportation_LCIA!L$60)+Transportation_LCIA!L$62</f>
        <v>9.231034679941437E-5</v>
      </c>
      <c r="AI363" s="137">
        <f>Transportation_LCIA!M$61*($W363^Transportation_LCIA!M$60)+Transportation_LCIA!M$62</f>
        <v>1.5439739462800624E-4</v>
      </c>
      <c r="AJ363" s="137">
        <f>Transportation_LCIA!N$61*($W363^Transportation_LCIA!N$60)+Transportation_LCIA!N$62</f>
        <v>4.4464828300701579E-4</v>
      </c>
      <c r="AK363" s="137">
        <f>Transportation_LCIA!O$61*($W363^Transportation_LCIA!O$60)+Transportation_LCIA!O$62</f>
        <v>3.1628157862202805E-5</v>
      </c>
      <c r="AL363" s="137">
        <f>Transportation_LCIA!P$61*($W363^Transportation_LCIA!P$60)+Transportation_LCIA!P$62</f>
        <v>1.5343242797536933E-8</v>
      </c>
      <c r="AM363" s="137">
        <f>Transportation_LCIA!Q$61*($W363^Transportation_LCIA!Q$60)+Transportation_LCIA!Q$62</f>
        <v>3.7499396651848744E-5</v>
      </c>
      <c r="AN363" s="137">
        <f>Transportation_LCIA!R$61*($W363^Transportation_LCIA!R$60)+Transportation_LCIA!R$62</f>
        <v>9.4881540131120523E-5</v>
      </c>
      <c r="AO363" s="137">
        <f>Transportation_LCIA!S$61*($W363^Transportation_LCIA!S$60)+Transportation_LCIA!S$62</f>
        <v>1.6006945379788757E-6</v>
      </c>
      <c r="AP363" s="137">
        <f>Transportation_LCIA!T$61*($W363^Transportation_LCIA!T$60)+Transportation_LCIA!T$62</f>
        <v>1.6006945379788757E-6</v>
      </c>
      <c r="AQ363" s="137">
        <f>Transportation_LCIA!U$61*($W363^Transportation_LCIA!U$60)+Transportation_LCIA!U$62</f>
        <v>1.9693553473578207E-4</v>
      </c>
      <c r="AR363" s="137">
        <f>Transportation_LCIA!V$61*($W363^Transportation_LCIA!V$60)+Transportation_LCIA!V$62</f>
        <v>9.8291109398391277E-5</v>
      </c>
      <c r="AT363" s="137">
        <f>$W363*Y363+$L363*Summary_LCIA!H$32</f>
        <v>1042.421734703466</v>
      </c>
      <c r="AU363" s="137">
        <f>$W363*Z363+$L363*Summary_LCIA!Q$32</f>
        <v>9973.0742543582983</v>
      </c>
      <c r="AV363" s="137">
        <f>$W363*AA363+$L363*Summary_LCIA!R$32</f>
        <v>3.2217659934508553</v>
      </c>
      <c r="AW363" s="137">
        <f>$W363*AB363+$L363*Summary_LCIA!S$32</f>
        <v>1042.265766163466</v>
      </c>
      <c r="AX363" s="137">
        <f>$W363*AC363+$L363*Summary_LCIA!T$32</f>
        <v>234.58084954623524</v>
      </c>
      <c r="AY363" s="137">
        <f>$W363*AD363+$L363*Summary_LCIA!U$32</f>
        <v>1.5147968854492757</v>
      </c>
      <c r="AZ363" s="137">
        <f>$W363*AE363+$L363*Summary_LCIA!V$32</f>
        <v>1.6717214278178384E-2</v>
      </c>
      <c r="BA363" s="137">
        <f>$W363*AF363+$L363*Summary_LCIA!W$32</f>
        <v>25.486232716829115</v>
      </c>
      <c r="BB363" s="137">
        <f>$W363*AG363+$L363*Summary_LCIA!X$32</f>
        <v>46.388801927865082</v>
      </c>
      <c r="BC363" s="137">
        <f>$W363*AH363+$L363*Summary_LCIA!Y$32</f>
        <v>1.2583698903245011</v>
      </c>
      <c r="BD363" s="137">
        <f>$W363*AI363+$L363*Summary_LCIA!Z$32</f>
        <v>1.186523934912451</v>
      </c>
      <c r="BE363" s="137">
        <f>$W363*AJ363+$L363*Summary_LCIA!AA$32</f>
        <v>4.2370600541004331</v>
      </c>
      <c r="BF363" s="137">
        <f>$W363*AK363+$L363*Summary_LCIA!AB$32</f>
        <v>0.2419917853352456</v>
      </c>
      <c r="BG363" s="137">
        <f>$W363*AL363+$L363*Summary_LCIA!AC$32</f>
        <v>1.1949199480679588E-4</v>
      </c>
      <c r="BH363" s="137">
        <f>$W363*AM363+$L363*Summary_LCIA!AD$32</f>
        <v>0.302330901955499</v>
      </c>
      <c r="BI363" s="137">
        <f>$W363*AN363+$L363*Summary_LCIA!AE$32</f>
        <v>0.75953191418782984</v>
      </c>
      <c r="BJ363" s="137">
        <f>$W363*AO363+$L363*Summary_LCIA!AF$32</f>
        <v>4.2118462815514748E-2</v>
      </c>
      <c r="BK363" s="137">
        <f>$W363*AP363+$L363*Summary_LCIA!AG$32</f>
        <v>1.4091586630514749E-2</v>
      </c>
      <c r="BL363" s="137">
        <f>$W363*AQ363+$L363*Summary_LCIA!AH$32</f>
        <v>1.8187021809089365</v>
      </c>
      <c r="BM363" s="137">
        <f>$W363*AR363+$L363*Summary_LCIA!AI$32</f>
        <v>0.78730479086248084</v>
      </c>
    </row>
    <row r="364" spans="1:65" x14ac:dyDescent="0.25">
      <c r="A364" s="149">
        <v>152</v>
      </c>
      <c r="B364" s="149">
        <v>15</v>
      </c>
      <c r="C364" s="61">
        <v>41.385064</v>
      </c>
      <c r="D364" s="61">
        <v>2.1734040000000001</v>
      </c>
      <c r="E364" s="61" t="s">
        <v>466</v>
      </c>
      <c r="F364" s="149">
        <v>27</v>
      </c>
      <c r="G364" s="61" t="s">
        <v>686</v>
      </c>
      <c r="H364" s="61" t="s">
        <v>687</v>
      </c>
      <c r="I364" s="61">
        <v>41.297445000000003</v>
      </c>
      <c r="J364" s="61">
        <v>2.083294</v>
      </c>
      <c r="K364" s="61">
        <v>12.686920199999999</v>
      </c>
      <c r="L364" s="61">
        <v>16.001000000000001</v>
      </c>
      <c r="M364" s="61" t="s">
        <v>617</v>
      </c>
      <c r="N364" s="149">
        <v>14</v>
      </c>
      <c r="O364" s="149">
        <v>15</v>
      </c>
      <c r="P364" s="61" t="s">
        <v>567</v>
      </c>
      <c r="Q364" s="61" t="s">
        <v>566</v>
      </c>
      <c r="R364" s="61">
        <v>50.037932599999998</v>
      </c>
      <c r="S364" s="61">
        <v>8.5621518000000005</v>
      </c>
      <c r="T364" s="61"/>
      <c r="U364" s="61" t="s">
        <v>622</v>
      </c>
      <c r="V364" s="61" t="s">
        <v>569</v>
      </c>
      <c r="W364" s="61" cm="1">
        <f t="array" ref="W364">getDistance(I364,J364,R364,S364)*SA!$B$12</f>
        <v>1095.2369023856284</v>
      </c>
      <c r="Y364" s="137">
        <f>Transportation_LCIA!C$61*($W364^Transportation_LCIA!C$60)+Transportation_LCIA!C$62</f>
        <v>0.2264351866011447</v>
      </c>
      <c r="Z364" s="137">
        <f>Transportation_LCIA!D$61*($W364^Transportation_LCIA!D$60)+Transportation_LCIA!D$62</f>
        <v>2.3152304492897451</v>
      </c>
      <c r="AA364" s="137">
        <f>Transportation_LCIA!E$61*($W364^Transportation_LCIA!E$60)+Transportation_LCIA!E$62</f>
        <v>1.0718083398219423E-3</v>
      </c>
      <c r="AB364" s="137">
        <f>Transportation_LCIA!F$61*($W364^Transportation_LCIA!F$60)+Transportation_LCIA!F$62</f>
        <v>0.2264351866011447</v>
      </c>
      <c r="AC364" s="137">
        <f>Transportation_LCIA!G$61*($W364^Transportation_LCIA!G$60)+Transportation_LCIA!G$62</f>
        <v>5.4136539992836324E-2</v>
      </c>
      <c r="AD364" s="137">
        <f>Transportation_LCIA!H$61*($W364^Transportation_LCIA!H$60)+Transportation_LCIA!H$62</f>
        <v>2.608680383712866E-4</v>
      </c>
      <c r="AE364" s="137">
        <f>Transportation_LCIA!I$61*($W364^Transportation_LCIA!I$60)+Transportation_LCIA!I$62</f>
        <v>5.5198604378627698E-6</v>
      </c>
      <c r="AF364" s="137">
        <f>Transportation_LCIA!J$61*($W364^Transportation_LCIA!J$60)+Transportation_LCIA!J$62</f>
        <v>8.1667110368101141E-3</v>
      </c>
      <c r="AG364" s="137">
        <f>Transportation_LCIA!K$61*($W364^Transportation_LCIA!K$60)+Transportation_LCIA!K$62</f>
        <v>1.1462109730720352E-2</v>
      </c>
      <c r="AH364" s="137">
        <f>Transportation_LCIA!L$61*($W364^Transportation_LCIA!L$60)+Transportation_LCIA!L$62</f>
        <v>2.2524572299985693E-4</v>
      </c>
      <c r="AI364" s="137">
        <f>Transportation_LCIA!M$61*($W364^Transportation_LCIA!M$60)+Transportation_LCIA!M$62</f>
        <v>2.3481805286866631E-4</v>
      </c>
      <c r="AJ364" s="137">
        <f>Transportation_LCIA!N$61*($W364^Transportation_LCIA!N$60)+Transportation_LCIA!N$62</f>
        <v>9.3629043550798872E-4</v>
      </c>
      <c r="AK364" s="137">
        <f>Transportation_LCIA!O$61*($W364^Transportation_LCIA!O$60)+Transportation_LCIA!O$62</f>
        <v>5.7191195084553182E-5</v>
      </c>
      <c r="AL364" s="137">
        <f>Transportation_LCIA!P$61*($W364^Transportation_LCIA!P$60)+Transportation_LCIA!P$62</f>
        <v>2.7665624299729673E-8</v>
      </c>
      <c r="AM364" s="137">
        <f>Transportation_LCIA!Q$61*($W364^Transportation_LCIA!Q$60)+Transportation_LCIA!Q$62</f>
        <v>8.9233551687982669E-5</v>
      </c>
      <c r="AN364" s="137">
        <f>Transportation_LCIA!R$61*($W364^Transportation_LCIA!R$60)+Transportation_LCIA!R$62</f>
        <v>2.6553765925496408E-4</v>
      </c>
      <c r="AO364" s="137">
        <f>Transportation_LCIA!S$61*($W364^Transportation_LCIA!S$60)+Transportation_LCIA!S$62</f>
        <v>4.0259644405735335E-6</v>
      </c>
      <c r="AP364" s="137">
        <f>Transportation_LCIA!T$61*($W364^Transportation_LCIA!T$60)+Transportation_LCIA!T$62</f>
        <v>4.0259644405735335E-6</v>
      </c>
      <c r="AQ364" s="137">
        <f>Transportation_LCIA!U$61*($W364^Transportation_LCIA!U$60)+Transportation_LCIA!U$62</f>
        <v>5.6903968184353771E-4</v>
      </c>
      <c r="AR364" s="137">
        <f>Transportation_LCIA!V$61*($W364^Transportation_LCIA!V$60)+Transportation_LCIA!V$62</f>
        <v>2.320656434126541E-4</v>
      </c>
      <c r="AT364" s="137">
        <f>$W364*Y364+$L364*Summary_LCIA!H$32</f>
        <v>253.43731216414946</v>
      </c>
      <c r="AU364" s="137">
        <f>$W364*Z364+$L364*Summary_LCIA!Q$32</f>
        <v>2615.02758856742</v>
      </c>
      <c r="AV364" s="137">
        <f>$W364*AA364+$L364*Summary_LCIA!R$32</f>
        <v>1.2581389116576669</v>
      </c>
      <c r="AW364" s="137">
        <f>$W364*AB364+$L364*Summary_LCIA!S$32</f>
        <v>253.36658774414946</v>
      </c>
      <c r="AX364" s="137">
        <f>$W364*AC364+$L364*Summary_LCIA!T$32</f>
        <v>61.050846267629744</v>
      </c>
      <c r="AY364" s="137">
        <f>$W364*AD364+$L364*Summary_LCIA!U$32</f>
        <v>0.57235421627718319</v>
      </c>
      <c r="AZ364" s="137">
        <f>$W364*AE364+$L364*Summary_LCIA!V$32</f>
        <v>6.8097786085657974E-3</v>
      </c>
      <c r="BA364" s="137">
        <f>$W364*AF364+$L364*Summary_LCIA!W$32</f>
        <v>10.176096269634433</v>
      </c>
      <c r="BB364" s="137">
        <f>$W364*AG364+$L364*Summary_LCIA!X$32</f>
        <v>12.918228336278327</v>
      </c>
      <c r="BC364" s="137">
        <f>$W364*AH364+$L364*Summary_LCIA!Y$32</f>
        <v>0.49602500993397458</v>
      </c>
      <c r="BD364" s="137">
        <f>$W364*AI364+$L364*Summary_LCIA!Z$32</f>
        <v>0.25783758185710282</v>
      </c>
      <c r="BE364" s="137">
        <f>$W364*AJ364+$L364*Summary_LCIA!AA$32</f>
        <v>1.3991791923190606</v>
      </c>
      <c r="BF364" s="137">
        <f>$W364*AK364+$L364*Summary_LCIA!AB$32</f>
        <v>6.2288717525138204E-2</v>
      </c>
      <c r="BG364" s="137">
        <f>$W364*AL364+$L364*Summary_LCIA!AC$32</f>
        <v>3.1082605544600497E-5</v>
      </c>
      <c r="BH364" s="137">
        <f>$W364*AM364+$L364*Summary_LCIA!AD$32</f>
        <v>0.10430892977961401</v>
      </c>
      <c r="BI364" s="137">
        <f>$W364*AN364+$L364*Summary_LCIA!AE$32</f>
        <v>0.30500560951913736</v>
      </c>
      <c r="BJ364" s="137">
        <f>$W364*AO364+$L364*Summary_LCIA!AF$32</f>
        <v>1.7936950243008447E-2</v>
      </c>
      <c r="BK364" s="137">
        <f>$W364*AP364+$L364*Summary_LCIA!AG$32</f>
        <v>5.2280759880084463E-3</v>
      </c>
      <c r="BL364" s="137">
        <f>$W364*AQ364+$L364*Summary_LCIA!AH$32</f>
        <v>0.76249956207681979</v>
      </c>
      <c r="BM364" s="137">
        <f>$W364*AR364+$L364*Summary_LCIA!AI$32</f>
        <v>0.2690725879914031</v>
      </c>
    </row>
    <row r="365" spans="1:65" x14ac:dyDescent="0.25">
      <c r="A365" s="149">
        <v>180</v>
      </c>
      <c r="B365" s="149">
        <v>43</v>
      </c>
      <c r="C365" s="61">
        <v>-23.563486999999999</v>
      </c>
      <c r="D365" s="61">
        <v>-46.72101</v>
      </c>
      <c r="E365" s="61" t="s">
        <v>465</v>
      </c>
      <c r="F365" s="149">
        <v>52</v>
      </c>
      <c r="G365" s="61" t="s">
        <v>682</v>
      </c>
      <c r="H365" s="61" t="s">
        <v>683</v>
      </c>
      <c r="I365" s="61">
        <v>-23.430572999999999</v>
      </c>
      <c r="J365" s="61">
        <v>-46.473042999999997</v>
      </c>
      <c r="K365" s="61">
        <v>29.423486180000001</v>
      </c>
      <c r="L365" s="61">
        <v>47.289000000000001</v>
      </c>
      <c r="M365" s="61" t="s">
        <v>617</v>
      </c>
      <c r="N365" s="149">
        <v>42</v>
      </c>
      <c r="O365" s="149">
        <v>43</v>
      </c>
      <c r="P365" s="61" t="s">
        <v>565</v>
      </c>
      <c r="Q365" s="61" t="s">
        <v>555</v>
      </c>
      <c r="R365" s="61">
        <v>40.6895314</v>
      </c>
      <c r="S365" s="61">
        <v>-74.174462399999996</v>
      </c>
      <c r="T365" s="61"/>
      <c r="U365" s="61" t="s">
        <v>622</v>
      </c>
      <c r="V365" s="61" t="s">
        <v>569</v>
      </c>
      <c r="W365" s="61" cm="1">
        <f t="array" ref="W365">getDistance(I365,J365,R365,S365)*SA!$B$12</f>
        <v>7675.4977192762117</v>
      </c>
      <c r="Y365" s="137">
        <f>Transportation_LCIA!C$61*($W365^Transportation_LCIA!C$60)+Transportation_LCIA!C$62</f>
        <v>0.13424943238738063</v>
      </c>
      <c r="Z365" s="137">
        <f>Transportation_LCIA!D$61*($W365^Transportation_LCIA!D$60)+Transportation_LCIA!D$62</f>
        <v>1.2765543631290379</v>
      </c>
      <c r="AA365" s="137">
        <f>Transportation_LCIA!E$61*($W365^Transportation_LCIA!E$60)+Transportation_LCIA!E$62</f>
        <v>3.9553900962361856E-4</v>
      </c>
      <c r="AB365" s="137">
        <f>Transportation_LCIA!F$61*($W365^Transportation_LCIA!F$60)+Transportation_LCIA!F$62</f>
        <v>0.13424943238738063</v>
      </c>
      <c r="AC365" s="137">
        <f>Transportation_LCIA!G$61*($W365^Transportation_LCIA!G$60)+Transportation_LCIA!G$62</f>
        <v>3.0057048635015446E-2</v>
      </c>
      <c r="AD365" s="137">
        <f>Transportation_LCIA!H$61*($W365^Transportation_LCIA!H$60)+Transportation_LCIA!H$62</f>
        <v>1.149978281190226E-4</v>
      </c>
      <c r="AE365" s="137">
        <f>Transportation_LCIA!I$61*($W365^Transportation_LCIA!I$60)+Transportation_LCIA!I$62</f>
        <v>1.9584230783402369E-6</v>
      </c>
      <c r="AF365" s="137">
        <f>Transportation_LCIA!J$61*($W365^Transportation_LCIA!J$60)+Transportation_LCIA!J$62</f>
        <v>2.9666033230189414E-3</v>
      </c>
      <c r="AG365" s="137">
        <f>Transportation_LCIA!K$61*($W365^Transportation_LCIA!K$60)+Transportation_LCIA!K$62</f>
        <v>5.939023856835134E-3</v>
      </c>
      <c r="AH365" s="137">
        <f>Transportation_LCIA!L$61*($W365^Transportation_LCIA!L$60)+Transportation_LCIA!L$62</f>
        <v>9.231034679941437E-5</v>
      </c>
      <c r="AI365" s="137">
        <f>Transportation_LCIA!M$61*($W365^Transportation_LCIA!M$60)+Transportation_LCIA!M$62</f>
        <v>1.5439739462800624E-4</v>
      </c>
      <c r="AJ365" s="137">
        <f>Transportation_LCIA!N$61*($W365^Transportation_LCIA!N$60)+Transportation_LCIA!N$62</f>
        <v>4.4464828300701579E-4</v>
      </c>
      <c r="AK365" s="137">
        <f>Transportation_LCIA!O$61*($W365^Transportation_LCIA!O$60)+Transportation_LCIA!O$62</f>
        <v>3.1628157862202805E-5</v>
      </c>
      <c r="AL365" s="137">
        <f>Transportation_LCIA!P$61*($W365^Transportation_LCIA!P$60)+Transportation_LCIA!P$62</f>
        <v>1.5343242797536933E-8</v>
      </c>
      <c r="AM365" s="137">
        <f>Transportation_LCIA!Q$61*($W365^Transportation_LCIA!Q$60)+Transportation_LCIA!Q$62</f>
        <v>3.7499396651848744E-5</v>
      </c>
      <c r="AN365" s="137">
        <f>Transportation_LCIA!R$61*($W365^Transportation_LCIA!R$60)+Transportation_LCIA!R$62</f>
        <v>9.4881540131120523E-5</v>
      </c>
      <c r="AO365" s="137">
        <f>Transportation_LCIA!S$61*($W365^Transportation_LCIA!S$60)+Transportation_LCIA!S$62</f>
        <v>1.6006945379788757E-6</v>
      </c>
      <c r="AP365" s="137">
        <f>Transportation_LCIA!T$61*($W365^Transportation_LCIA!T$60)+Transportation_LCIA!T$62</f>
        <v>1.6006945379788757E-6</v>
      </c>
      <c r="AQ365" s="137">
        <f>Transportation_LCIA!U$61*($W365^Transportation_LCIA!U$60)+Transportation_LCIA!U$62</f>
        <v>1.9693553473578207E-4</v>
      </c>
      <c r="AR365" s="137">
        <f>Transportation_LCIA!V$61*($W365^Transportation_LCIA!V$60)+Transportation_LCIA!V$62</f>
        <v>9.8291109398391277E-5</v>
      </c>
      <c r="AT365" s="137">
        <f>$W365*Y365+$L365*Summary_LCIA!H$32</f>
        <v>1046.5000143034658</v>
      </c>
      <c r="AU365" s="137">
        <f>$W365*Z365+$L365*Summary_LCIA!Q$32</f>
        <v>10032.556771655165</v>
      </c>
      <c r="AV365" s="137">
        <f>$W365*AA365+$L365*Summary_LCIA!R$32</f>
        <v>3.2849637246508556</v>
      </c>
      <c r="AW365" s="137">
        <f>$W365*AB365+$L365*Summary_LCIA!S$32</f>
        <v>1046.2909969234659</v>
      </c>
      <c r="AX365" s="137">
        <f>$W365*AC365+$L365*Summary_LCIA!T$32</f>
        <v>235.89986934623525</v>
      </c>
      <c r="AY365" s="137">
        <f>$W365*AD365+$L365*Summary_LCIA!U$32</f>
        <v>1.7298007134492757</v>
      </c>
      <c r="AZ365" s="137">
        <f>$W365*AE365+$L365*Summary_LCIA!V$32</f>
        <v>1.7290441800178386E-2</v>
      </c>
      <c r="BA365" s="137">
        <f>$W365*AF365+$L365*Summary_LCIA!W$32</f>
        <v>26.410038658829116</v>
      </c>
      <c r="BB365" s="137">
        <f>$W365*AG365+$L365*Summary_LCIA!X$32</f>
        <v>46.662207487865082</v>
      </c>
      <c r="BC365" s="137">
        <f>$W365*AH365+$L365*Summary_LCIA!Y$32</f>
        <v>1.4453850543245013</v>
      </c>
      <c r="BD365" s="137">
        <f>$W365*AI365+$L365*Summary_LCIA!Z$32</f>
        <v>1.1870161249304512</v>
      </c>
      <c r="BE365" s="137">
        <f>$W365*AJ365+$L365*Summary_LCIA!AA$32</f>
        <v>4.5173787661004328</v>
      </c>
      <c r="BF365" s="137">
        <f>$W365*AK365+$L365*Summary_LCIA!AB$32</f>
        <v>0.24172986568924559</v>
      </c>
      <c r="BG365" s="137">
        <f>$W365*AL365+$L365*Summary_LCIA!AC$32</f>
        <v>1.2007870057479589E-4</v>
      </c>
      <c r="BH365" s="137">
        <f>$W365*AM365+$L365*Summary_LCIA!AD$32</f>
        <v>0.30726420403549903</v>
      </c>
      <c r="BI365" s="137">
        <f>$W365*AN365+$L365*Summary_LCIA!AE$32</f>
        <v>0.77016724644782986</v>
      </c>
      <c r="BJ365" s="137">
        <f>$W365*AO365+$L365*Summary_LCIA!AF$32</f>
        <v>5.2265193655514755E-2</v>
      </c>
      <c r="BK365" s="137">
        <f>$W365*AP365+$L365*Summary_LCIA!AG$32</f>
        <v>1.4705668960514749E-2</v>
      </c>
      <c r="BL365" s="137">
        <f>$W365*AQ365+$L365*Summary_LCIA!AH$32</f>
        <v>1.9231627881089366</v>
      </c>
      <c r="BM365" s="137">
        <f>$W365*AR365+$L365*Summary_LCIA!AI$32</f>
        <v>0.79848525396248093</v>
      </c>
    </row>
    <row r="366" spans="1:65" x14ac:dyDescent="0.25">
      <c r="A366" s="149">
        <v>184</v>
      </c>
      <c r="B366" s="149">
        <v>15</v>
      </c>
      <c r="C366" s="61">
        <v>41.598080000000003</v>
      </c>
      <c r="D366" s="61">
        <v>2.0106459999999999</v>
      </c>
      <c r="E366" s="61" t="s">
        <v>466</v>
      </c>
      <c r="F366" s="149">
        <v>27</v>
      </c>
      <c r="G366" s="61" t="s">
        <v>686</v>
      </c>
      <c r="H366" s="61" t="s">
        <v>687</v>
      </c>
      <c r="I366" s="61">
        <v>41.297445000000003</v>
      </c>
      <c r="J366" s="61">
        <v>2.083294</v>
      </c>
      <c r="K366" s="61">
        <v>34.112855140000001</v>
      </c>
      <c r="L366" s="61">
        <v>46.094000000000001</v>
      </c>
      <c r="M366" s="61" t="s">
        <v>617</v>
      </c>
      <c r="N366" s="149">
        <v>14</v>
      </c>
      <c r="O366" s="149">
        <v>15</v>
      </c>
      <c r="P366" s="61" t="s">
        <v>567</v>
      </c>
      <c r="Q366" s="61" t="s">
        <v>566</v>
      </c>
      <c r="R366" s="61">
        <v>50.037932599999998</v>
      </c>
      <c r="S366" s="61">
        <v>8.5621518000000005</v>
      </c>
      <c r="T366" s="61"/>
      <c r="U366" s="61" t="s">
        <v>622</v>
      </c>
      <c r="V366" s="61" t="s">
        <v>569</v>
      </c>
      <c r="W366" s="61" cm="1">
        <f t="array" ref="W366">getDistance(I366,J366,R366,S366)*SA!$B$12</f>
        <v>1095.2369023856284</v>
      </c>
      <c r="Y366" s="137">
        <f>Transportation_LCIA!C$61*($W366^Transportation_LCIA!C$60)+Transportation_LCIA!C$62</f>
        <v>0.2264351866011447</v>
      </c>
      <c r="Z366" s="137">
        <f>Transportation_LCIA!D$61*($W366^Transportation_LCIA!D$60)+Transportation_LCIA!D$62</f>
        <v>2.3152304492897451</v>
      </c>
      <c r="AA366" s="137">
        <f>Transportation_LCIA!E$61*($W366^Transportation_LCIA!E$60)+Transportation_LCIA!E$62</f>
        <v>1.0718083398219423E-3</v>
      </c>
      <c r="AB366" s="137">
        <f>Transportation_LCIA!F$61*($W366^Transportation_LCIA!F$60)+Transportation_LCIA!F$62</f>
        <v>0.2264351866011447</v>
      </c>
      <c r="AC366" s="137">
        <f>Transportation_LCIA!G$61*($W366^Transportation_LCIA!G$60)+Transportation_LCIA!G$62</f>
        <v>5.4136539992836324E-2</v>
      </c>
      <c r="AD366" s="137">
        <f>Transportation_LCIA!H$61*($W366^Transportation_LCIA!H$60)+Transportation_LCIA!H$62</f>
        <v>2.608680383712866E-4</v>
      </c>
      <c r="AE366" s="137">
        <f>Transportation_LCIA!I$61*($W366^Transportation_LCIA!I$60)+Transportation_LCIA!I$62</f>
        <v>5.5198604378627698E-6</v>
      </c>
      <c r="AF366" s="137">
        <f>Transportation_LCIA!J$61*($W366^Transportation_LCIA!J$60)+Transportation_LCIA!J$62</f>
        <v>8.1667110368101141E-3</v>
      </c>
      <c r="AG366" s="137">
        <f>Transportation_LCIA!K$61*($W366^Transportation_LCIA!K$60)+Transportation_LCIA!K$62</f>
        <v>1.1462109730720352E-2</v>
      </c>
      <c r="AH366" s="137">
        <f>Transportation_LCIA!L$61*($W366^Transportation_LCIA!L$60)+Transportation_LCIA!L$62</f>
        <v>2.2524572299985693E-4</v>
      </c>
      <c r="AI366" s="137">
        <f>Transportation_LCIA!M$61*($W366^Transportation_LCIA!M$60)+Transportation_LCIA!M$62</f>
        <v>2.3481805286866631E-4</v>
      </c>
      <c r="AJ366" s="137">
        <f>Transportation_LCIA!N$61*($W366^Transportation_LCIA!N$60)+Transportation_LCIA!N$62</f>
        <v>9.3629043550798872E-4</v>
      </c>
      <c r="AK366" s="137">
        <f>Transportation_LCIA!O$61*($W366^Transportation_LCIA!O$60)+Transportation_LCIA!O$62</f>
        <v>5.7191195084553182E-5</v>
      </c>
      <c r="AL366" s="137">
        <f>Transportation_LCIA!P$61*($W366^Transportation_LCIA!P$60)+Transportation_LCIA!P$62</f>
        <v>2.7665624299729673E-8</v>
      </c>
      <c r="AM366" s="137">
        <f>Transportation_LCIA!Q$61*($W366^Transportation_LCIA!Q$60)+Transportation_LCIA!Q$62</f>
        <v>8.9233551687982669E-5</v>
      </c>
      <c r="AN366" s="137">
        <f>Transportation_LCIA!R$61*($W366^Transportation_LCIA!R$60)+Transportation_LCIA!R$62</f>
        <v>2.6553765925496408E-4</v>
      </c>
      <c r="AO366" s="137">
        <f>Transportation_LCIA!S$61*($W366^Transportation_LCIA!S$60)+Transportation_LCIA!S$62</f>
        <v>4.0259644405735335E-6</v>
      </c>
      <c r="AP366" s="137">
        <f>Transportation_LCIA!T$61*($W366^Transportation_LCIA!T$60)+Transportation_LCIA!T$62</f>
        <v>4.0259644405735335E-6</v>
      </c>
      <c r="AQ366" s="137">
        <f>Transportation_LCIA!U$61*($W366^Transportation_LCIA!U$60)+Transportation_LCIA!U$62</f>
        <v>5.6903968184353771E-4</v>
      </c>
      <c r="AR366" s="137">
        <f>Transportation_LCIA!V$61*($W366^Transportation_LCIA!V$60)+Transportation_LCIA!V$62</f>
        <v>2.320656434126541E-4</v>
      </c>
      <c r="AT366" s="137">
        <f>$W366*Y366+$L366*Summary_LCIA!H$32</f>
        <v>263.66291356414945</v>
      </c>
      <c r="AU366" s="137">
        <f>$W366*Z366+$L366*Summary_LCIA!Q$32</f>
        <v>2764.1700142476889</v>
      </c>
      <c r="AV366" s="137">
        <f>$W366*AA366+$L366*Summary_LCIA!R$32</f>
        <v>1.416596612457667</v>
      </c>
      <c r="AW366" s="137">
        <f>$W366*AB366+$L366*Summary_LCIA!S$32</f>
        <v>263.45917808414947</v>
      </c>
      <c r="AX366" s="137">
        <f>$W366*AC366+$L366*Summary_LCIA!T$32</f>
        <v>64.358066967629739</v>
      </c>
      <c r="AY366" s="137">
        <f>$W366*AD366+$L366*Summary_LCIA!U$32</f>
        <v>1.1114402182771832</v>
      </c>
      <c r="AZ366" s="137">
        <f>$W366*AE366+$L366*Summary_LCIA!V$32</f>
        <v>8.2470503815657986E-3</v>
      </c>
      <c r="BA366" s="137">
        <f>$W366*AF366+$L366*Summary_LCIA!W$32</f>
        <v>12.492384572634432</v>
      </c>
      <c r="BB366" s="137">
        <f>$W366*AG366+$L366*Summary_LCIA!X$32</f>
        <v>13.603746876278327</v>
      </c>
      <c r="BC366" s="137">
        <f>$W366*AH366+$L366*Summary_LCIA!Y$32</f>
        <v>0.9649341359339747</v>
      </c>
      <c r="BD366" s="137">
        <f>$W366*AI366+$L366*Summary_LCIA!Z$32</f>
        <v>0.25907166569410284</v>
      </c>
      <c r="BE366" s="137">
        <f>$W366*AJ366+$L366*Summary_LCIA!AA$32</f>
        <v>2.1020313003190605</v>
      </c>
      <c r="BF366" s="137">
        <f>$W366*AK366+$L366*Summary_LCIA!AB$32</f>
        <v>6.1631997986138207E-2</v>
      </c>
      <c r="BG366" s="137">
        <f>$W366*AL366+$L366*Summary_LCIA!AC$32</f>
        <v>3.2553671756600498E-5</v>
      </c>
      <c r="BH366" s="137">
        <f>$W366*AM366+$L366*Summary_LCIA!AD$32</f>
        <v>0.116678356499614</v>
      </c>
      <c r="BI366" s="137">
        <f>$W366*AN366+$L366*Summary_LCIA!AE$32</f>
        <v>0.33167191960913733</v>
      </c>
      <c r="BJ366" s="137">
        <f>$W366*AO366+$L366*Summary_LCIA!AF$32</f>
        <v>4.337817430300845E-2</v>
      </c>
      <c r="BK366" s="137">
        <f>$W366*AP366+$L366*Summary_LCIA!AG$32</f>
        <v>6.7677843330084461E-3</v>
      </c>
      <c r="BL366" s="137">
        <f>$W366*AQ366+$L366*Summary_LCIA!AH$32</f>
        <v>1.0244169968768198</v>
      </c>
      <c r="BM366" s="137">
        <f>$W366*AR366+$L366*Summary_LCIA!AI$32</f>
        <v>0.29710572214140307</v>
      </c>
    </row>
    <row r="367" spans="1:65" x14ac:dyDescent="0.25">
      <c r="A367" s="149">
        <v>191</v>
      </c>
      <c r="B367" s="149">
        <v>15</v>
      </c>
      <c r="C367" s="61">
        <v>51.379922000000001</v>
      </c>
      <c r="D367" s="61">
        <v>-2.3322959999999999</v>
      </c>
      <c r="E367" s="61" t="s">
        <v>463</v>
      </c>
      <c r="F367" s="149">
        <v>7</v>
      </c>
      <c r="G367" s="61" t="s">
        <v>628</v>
      </c>
      <c r="H367" s="61" t="s">
        <v>629</v>
      </c>
      <c r="I367" s="61">
        <v>51.470022</v>
      </c>
      <c r="J367" s="61">
        <v>-0.45429599999999998</v>
      </c>
      <c r="K367" s="61">
        <v>150.26940870000001</v>
      </c>
      <c r="L367" s="61">
        <v>198.47900000000001</v>
      </c>
      <c r="M367" s="61" t="s">
        <v>589</v>
      </c>
      <c r="N367" s="149">
        <v>14</v>
      </c>
      <c r="O367" s="149">
        <v>15</v>
      </c>
      <c r="P367" s="61" t="s">
        <v>567</v>
      </c>
      <c r="Q367" s="61" t="s">
        <v>566</v>
      </c>
      <c r="R367" s="61">
        <v>50.037932599999998</v>
      </c>
      <c r="S367" s="61">
        <v>8.5621518000000005</v>
      </c>
      <c r="T367" s="61"/>
      <c r="U367" s="61" t="s">
        <v>622</v>
      </c>
      <c r="V367" s="61" t="s">
        <v>569</v>
      </c>
      <c r="W367" s="61" cm="1">
        <f t="array" ref="W367">getDistance(I367,J367,R367,S367)*SA!$B$12</f>
        <v>655.49865109245718</v>
      </c>
      <c r="Y367" s="137">
        <f>Transportation_LCIA!C$61*($W367^Transportation_LCIA!C$60)+Transportation_LCIA!C$62</f>
        <v>0.28808630932385726</v>
      </c>
      <c r="Z367" s="137">
        <f>Transportation_LCIA!D$61*($W367^Transportation_LCIA!D$60)+Transportation_LCIA!D$62</f>
        <v>3.0403453180333315</v>
      </c>
      <c r="AA367" s="137">
        <f>Transportation_LCIA!E$61*($W367^Transportation_LCIA!E$60)+Transportation_LCIA!E$62</f>
        <v>1.5496127326841335E-3</v>
      </c>
      <c r="AB367" s="137">
        <f>Transportation_LCIA!F$61*($W367^Transportation_LCIA!F$60)+Transportation_LCIA!F$62</f>
        <v>0.28808630932385726</v>
      </c>
      <c r="AC367" s="137">
        <f>Transportation_LCIA!G$61*($W367^Transportation_LCIA!G$60)+Transportation_LCIA!G$62</f>
        <v>7.0904955875308692E-2</v>
      </c>
      <c r="AD367" s="137">
        <f>Transportation_LCIA!H$61*($W367^Transportation_LCIA!H$60)+Transportation_LCIA!H$62</f>
        <v>3.6638661442350167E-4</v>
      </c>
      <c r="AE367" s="137">
        <f>Transportation_LCIA!I$61*($W367^Transportation_LCIA!I$60)+Transportation_LCIA!I$62</f>
        <v>8.1949302872625628E-6</v>
      </c>
      <c r="AF367" s="137">
        <f>Transportation_LCIA!J$61*($W367^Transportation_LCIA!J$60)+Transportation_LCIA!J$62</f>
        <v>1.216906133974993E-2</v>
      </c>
      <c r="AG367" s="137">
        <f>Transportation_LCIA!K$61*($W367^Transportation_LCIA!K$60)+Transportation_LCIA!K$62</f>
        <v>1.5391950999787709E-2</v>
      </c>
      <c r="AH367" s="137">
        <f>Transportation_LCIA!L$61*($W367^Transportation_LCIA!L$60)+Transportation_LCIA!L$62</f>
        <v>3.224475626051792E-4</v>
      </c>
      <c r="AI367" s="137">
        <f>Transportation_LCIA!M$61*($W367^Transportation_LCIA!M$60)+Transportation_LCIA!M$62</f>
        <v>2.9306665716547056E-4</v>
      </c>
      <c r="AJ367" s="137">
        <f>Transportation_LCIA!N$61*($W367^Transportation_LCIA!N$60)+Transportation_LCIA!N$62</f>
        <v>1.2908631335785605E-3</v>
      </c>
      <c r="AK367" s="137">
        <f>Transportation_LCIA!O$61*($W367^Transportation_LCIA!O$60)+Transportation_LCIA!O$62</f>
        <v>7.5013630480399058E-5</v>
      </c>
      <c r="AL367" s="137">
        <f>Transportation_LCIA!P$61*($W367^Transportation_LCIA!P$60)+Transportation_LCIA!P$62</f>
        <v>3.622947059126279E-8</v>
      </c>
      <c r="AM367" s="137">
        <f>Transportation_LCIA!Q$61*($W367^Transportation_LCIA!Q$60)+Transportation_LCIA!Q$62</f>
        <v>1.2728062224719001E-4</v>
      </c>
      <c r="AN367" s="137">
        <f>Transportation_LCIA!R$61*($W367^Transportation_LCIA!R$60)+Transportation_LCIA!R$62</f>
        <v>3.9383707879712856E-4</v>
      </c>
      <c r="AO367" s="137">
        <f>Transportation_LCIA!S$61*($W367^Transportation_LCIA!S$60)+Transportation_LCIA!S$62</f>
        <v>5.8462294863061377E-6</v>
      </c>
      <c r="AP367" s="137">
        <f>Transportation_LCIA!T$61*($W367^Transportation_LCIA!T$60)+Transportation_LCIA!T$62</f>
        <v>5.8462294863061377E-6</v>
      </c>
      <c r="AQ367" s="137">
        <f>Transportation_LCIA!U$61*($W367^Transportation_LCIA!U$60)+Transportation_LCIA!U$62</f>
        <v>8.5078004970210494E-4</v>
      </c>
      <c r="AR367" s="137">
        <f>Transportation_LCIA!V$61*($W367^Transportation_LCIA!V$60)+Transportation_LCIA!V$62</f>
        <v>3.311828503124549E-4</v>
      </c>
      <c r="AT367" s="137">
        <f>$W367*Y367+$L367*Summary_LCIA!H$34</f>
        <v>203.61933045799282</v>
      </c>
      <c r="AU367" s="137">
        <f>$W367*Z367+$L367*Summary_LCIA!Q$32</f>
        <v>2976.6141887175236</v>
      </c>
      <c r="AV367" s="137">
        <f>$W367*AA367+$L367*Summary_LCIA!R$32</f>
        <v>2.060880078390146</v>
      </c>
      <c r="AW367" s="137">
        <f>$W367*AB367+$L367*Summary_LCIA!S$32</f>
        <v>255.4060741799928</v>
      </c>
      <c r="AX367" s="137">
        <f>$W367*AC367+$L367*Summary_LCIA!T$32</f>
        <v>68.29094503203504</v>
      </c>
      <c r="AY367" s="137">
        <f>$W367*AD367+$L367*Summary_LCIA!U$32</f>
        <v>3.7957187375329378</v>
      </c>
      <c r="AZ367" s="137">
        <f>$W367*AE367+$L367*Summary_LCIA!V$32</f>
        <v>1.4851321268097333E-2</v>
      </c>
      <c r="BA367" s="137">
        <f>$W367*AF367+$L367*Summary_LCIA!W$32</f>
        <v>23.25393040226745</v>
      </c>
      <c r="BB367" s="137">
        <f>$W367*AG367+$L367*Summary_LCIA!X$32</f>
        <v>14.610754738042042</v>
      </c>
      <c r="BC367" s="137">
        <f>$W367*AH367+$L367*Summary_LCIA!Y$32</f>
        <v>3.3040637203357455</v>
      </c>
      <c r="BD367" s="137">
        <f>$W367*AI367+$L367*Summary_LCIA!Z$32</f>
        <v>0.20024422376314158</v>
      </c>
      <c r="BE367" s="137">
        <f>$W367*AJ367+$L367*Summary_LCIA!AA$32</f>
        <v>5.4818345668057287</v>
      </c>
      <c r="BF367" s="137">
        <f>$W367*AK367+$L367*Summary_LCIA!AB$32</f>
        <v>4.483992637644961E-2</v>
      </c>
      <c r="BG367" s="137">
        <f>$W367*AL367+$L367*Summary_LCIA!AC$32</f>
        <v>3.3450816538366605E-5</v>
      </c>
      <c r="BH367" s="137">
        <f>$W367*AM367+$L367*Summary_LCIA!AD$32</f>
        <v>0.16501508435324164</v>
      </c>
      <c r="BI367" s="137">
        <f>$W367*AN367+$L367*Summary_LCIA!AE$32</f>
        <v>0.43403787017171153</v>
      </c>
      <c r="BJ367" s="137">
        <f>$W367*AO367+$L367*Summary_LCIA!AF$32</f>
        <v>0.17163031172225063</v>
      </c>
      <c r="BK367" s="137">
        <f>$W367*AP367+$L367*Summary_LCIA!AG$32</f>
        <v>1.3987373577250623E-2</v>
      </c>
      <c r="BL367" s="137">
        <f>$W367*AQ367+$L367*Summary_LCIA!AH$32</f>
        <v>2.2851669993561039</v>
      </c>
      <c r="BM367" s="137">
        <f>$W367*AR367+$L367*Summary_LCIA!AI$32</f>
        <v>0.40198302409476938</v>
      </c>
    </row>
    <row r="368" spans="1:65" x14ac:dyDescent="0.25">
      <c r="A368" s="149">
        <v>192</v>
      </c>
      <c r="B368" s="149">
        <v>15</v>
      </c>
      <c r="C368" s="61">
        <v>51.379922000000001</v>
      </c>
      <c r="D368" s="61">
        <v>-2.3322959999999999</v>
      </c>
      <c r="E368" s="61" t="s">
        <v>463</v>
      </c>
      <c r="F368" s="149">
        <v>7</v>
      </c>
      <c r="G368" s="61" t="s">
        <v>628</v>
      </c>
      <c r="H368" s="61" t="s">
        <v>629</v>
      </c>
      <c r="I368" s="61">
        <v>51.470022</v>
      </c>
      <c r="J368" s="61">
        <v>-0.45429599999999998</v>
      </c>
      <c r="K368" s="61">
        <v>150.26940870000001</v>
      </c>
      <c r="L368" s="61">
        <v>198.47900000000001</v>
      </c>
      <c r="M368" s="61" t="s">
        <v>589</v>
      </c>
      <c r="N368" s="149">
        <v>14</v>
      </c>
      <c r="O368" s="149">
        <v>15</v>
      </c>
      <c r="P368" s="61" t="s">
        <v>567</v>
      </c>
      <c r="Q368" s="61" t="s">
        <v>566</v>
      </c>
      <c r="R368" s="61">
        <v>50.037932599999998</v>
      </c>
      <c r="S368" s="61">
        <v>8.5621518000000005</v>
      </c>
      <c r="T368" s="61"/>
      <c r="U368" s="61" t="s">
        <v>622</v>
      </c>
      <c r="V368" s="61" t="s">
        <v>569</v>
      </c>
      <c r="W368" s="61" cm="1">
        <f t="array" ref="W368">getDistance(I368,J368,R368,S368)*SA!$B$12</f>
        <v>655.49865109245718</v>
      </c>
      <c r="Y368" s="137">
        <f>Transportation_LCIA!C$61*($W368^Transportation_LCIA!C$60)+Transportation_LCIA!C$62</f>
        <v>0.28808630932385726</v>
      </c>
      <c r="Z368" s="137">
        <f>Transportation_LCIA!D$61*($W368^Transportation_LCIA!D$60)+Transportation_LCIA!D$62</f>
        <v>3.0403453180333315</v>
      </c>
      <c r="AA368" s="137">
        <f>Transportation_LCIA!E$61*($W368^Transportation_LCIA!E$60)+Transportation_LCIA!E$62</f>
        <v>1.5496127326841335E-3</v>
      </c>
      <c r="AB368" s="137">
        <f>Transportation_LCIA!F$61*($W368^Transportation_LCIA!F$60)+Transportation_LCIA!F$62</f>
        <v>0.28808630932385726</v>
      </c>
      <c r="AC368" s="137">
        <f>Transportation_LCIA!G$61*($W368^Transportation_LCIA!G$60)+Transportation_LCIA!G$62</f>
        <v>7.0904955875308692E-2</v>
      </c>
      <c r="AD368" s="137">
        <f>Transportation_LCIA!H$61*($W368^Transportation_LCIA!H$60)+Transportation_LCIA!H$62</f>
        <v>3.6638661442350167E-4</v>
      </c>
      <c r="AE368" s="137">
        <f>Transportation_LCIA!I$61*($W368^Transportation_LCIA!I$60)+Transportation_LCIA!I$62</f>
        <v>8.1949302872625628E-6</v>
      </c>
      <c r="AF368" s="137">
        <f>Transportation_LCIA!J$61*($W368^Transportation_LCIA!J$60)+Transportation_LCIA!J$62</f>
        <v>1.216906133974993E-2</v>
      </c>
      <c r="AG368" s="137">
        <f>Transportation_LCIA!K$61*($W368^Transportation_LCIA!K$60)+Transportation_LCIA!K$62</f>
        <v>1.5391950999787709E-2</v>
      </c>
      <c r="AH368" s="137">
        <f>Transportation_LCIA!L$61*($W368^Transportation_LCIA!L$60)+Transportation_LCIA!L$62</f>
        <v>3.224475626051792E-4</v>
      </c>
      <c r="AI368" s="137">
        <f>Transportation_LCIA!M$61*($W368^Transportation_LCIA!M$60)+Transportation_LCIA!M$62</f>
        <v>2.9306665716547056E-4</v>
      </c>
      <c r="AJ368" s="137">
        <f>Transportation_LCIA!N$61*($W368^Transportation_LCIA!N$60)+Transportation_LCIA!N$62</f>
        <v>1.2908631335785605E-3</v>
      </c>
      <c r="AK368" s="137">
        <f>Transportation_LCIA!O$61*($W368^Transportation_LCIA!O$60)+Transportation_LCIA!O$62</f>
        <v>7.5013630480399058E-5</v>
      </c>
      <c r="AL368" s="137">
        <f>Transportation_LCIA!P$61*($W368^Transportation_LCIA!P$60)+Transportation_LCIA!P$62</f>
        <v>3.622947059126279E-8</v>
      </c>
      <c r="AM368" s="137">
        <f>Transportation_LCIA!Q$61*($W368^Transportation_LCIA!Q$60)+Transportation_LCIA!Q$62</f>
        <v>1.2728062224719001E-4</v>
      </c>
      <c r="AN368" s="137">
        <f>Transportation_LCIA!R$61*($W368^Transportation_LCIA!R$60)+Transportation_LCIA!R$62</f>
        <v>3.9383707879712856E-4</v>
      </c>
      <c r="AO368" s="137">
        <f>Transportation_LCIA!S$61*($W368^Transportation_LCIA!S$60)+Transportation_LCIA!S$62</f>
        <v>5.8462294863061377E-6</v>
      </c>
      <c r="AP368" s="137">
        <f>Transportation_LCIA!T$61*($W368^Transportation_LCIA!T$60)+Transportation_LCIA!T$62</f>
        <v>5.8462294863061377E-6</v>
      </c>
      <c r="AQ368" s="137">
        <f>Transportation_LCIA!U$61*($W368^Transportation_LCIA!U$60)+Transportation_LCIA!U$62</f>
        <v>8.5078004970210494E-4</v>
      </c>
      <c r="AR368" s="137">
        <f>Transportation_LCIA!V$61*($W368^Transportation_LCIA!V$60)+Transportation_LCIA!V$62</f>
        <v>3.311828503124549E-4</v>
      </c>
      <c r="AT368" s="137">
        <f>$W368*Y368+$L368*Summary_LCIA!H$34</f>
        <v>203.61933045799282</v>
      </c>
      <c r="AU368" s="137">
        <f>$W368*Z368+$L368*Summary_LCIA!Q$32</f>
        <v>2976.6141887175236</v>
      </c>
      <c r="AV368" s="137">
        <f>$W368*AA368+$L368*Summary_LCIA!R$32</f>
        <v>2.060880078390146</v>
      </c>
      <c r="AW368" s="137">
        <f>$W368*AB368+$L368*Summary_LCIA!S$32</f>
        <v>255.4060741799928</v>
      </c>
      <c r="AX368" s="137">
        <f>$W368*AC368+$L368*Summary_LCIA!T$32</f>
        <v>68.29094503203504</v>
      </c>
      <c r="AY368" s="137">
        <f>$W368*AD368+$L368*Summary_LCIA!U$32</f>
        <v>3.7957187375329378</v>
      </c>
      <c r="AZ368" s="137">
        <f>$W368*AE368+$L368*Summary_LCIA!V$32</f>
        <v>1.4851321268097333E-2</v>
      </c>
      <c r="BA368" s="137">
        <f>$W368*AF368+$L368*Summary_LCIA!W$32</f>
        <v>23.25393040226745</v>
      </c>
      <c r="BB368" s="137">
        <f>$W368*AG368+$L368*Summary_LCIA!X$32</f>
        <v>14.610754738042042</v>
      </c>
      <c r="BC368" s="137">
        <f>$W368*AH368+$L368*Summary_LCIA!Y$32</f>
        <v>3.3040637203357455</v>
      </c>
      <c r="BD368" s="137">
        <f>$W368*AI368+$L368*Summary_LCIA!Z$32</f>
        <v>0.20024422376314158</v>
      </c>
      <c r="BE368" s="137">
        <f>$W368*AJ368+$L368*Summary_LCIA!AA$32</f>
        <v>5.4818345668057287</v>
      </c>
      <c r="BF368" s="137">
        <f>$W368*AK368+$L368*Summary_LCIA!AB$32</f>
        <v>4.483992637644961E-2</v>
      </c>
      <c r="BG368" s="137">
        <f>$W368*AL368+$L368*Summary_LCIA!AC$32</f>
        <v>3.3450816538366605E-5</v>
      </c>
      <c r="BH368" s="137">
        <f>$W368*AM368+$L368*Summary_LCIA!AD$32</f>
        <v>0.16501508435324164</v>
      </c>
      <c r="BI368" s="137">
        <f>$W368*AN368+$L368*Summary_LCIA!AE$32</f>
        <v>0.43403787017171153</v>
      </c>
      <c r="BJ368" s="137">
        <f>$W368*AO368+$L368*Summary_LCIA!AF$32</f>
        <v>0.17163031172225063</v>
      </c>
      <c r="BK368" s="137">
        <f>$W368*AP368+$L368*Summary_LCIA!AG$32</f>
        <v>1.3987373577250623E-2</v>
      </c>
      <c r="BL368" s="137">
        <f>$W368*AQ368+$L368*Summary_LCIA!AH$32</f>
        <v>2.2851669993561039</v>
      </c>
      <c r="BM368" s="137">
        <f>$W368*AR368+$L368*Summary_LCIA!AI$32</f>
        <v>0.40198302409476938</v>
      </c>
    </row>
    <row r="369" spans="1:65" x14ac:dyDescent="0.25">
      <c r="A369" s="149">
        <v>210</v>
      </c>
      <c r="B369" s="149">
        <v>15</v>
      </c>
      <c r="C369" s="61">
        <v>45.434493000000003</v>
      </c>
      <c r="D369" s="61">
        <v>12.326169</v>
      </c>
      <c r="E369" s="61" t="s">
        <v>421</v>
      </c>
      <c r="F369" s="149">
        <v>38</v>
      </c>
      <c r="G369" s="61" t="s">
        <v>698</v>
      </c>
      <c r="H369" s="61" t="s">
        <v>699</v>
      </c>
      <c r="I369" s="61">
        <v>45.434497</v>
      </c>
      <c r="J369" s="61">
        <v>12.323981</v>
      </c>
      <c r="K369" s="61">
        <v>334.31596839999997</v>
      </c>
      <c r="L369" s="61">
        <v>0.29699999999999999</v>
      </c>
      <c r="M369" s="61" t="s">
        <v>589</v>
      </c>
      <c r="N369" s="149">
        <v>14</v>
      </c>
      <c r="O369" s="149">
        <v>15</v>
      </c>
      <c r="P369" s="61" t="s">
        <v>567</v>
      </c>
      <c r="Q369" s="61" t="s">
        <v>566</v>
      </c>
      <c r="R369" s="61">
        <v>50.037932599999998</v>
      </c>
      <c r="S369" s="61">
        <v>8.5621518000000005</v>
      </c>
      <c r="T369" s="61"/>
      <c r="U369" s="61" t="s">
        <v>622</v>
      </c>
      <c r="V369" s="61" t="s">
        <v>569</v>
      </c>
      <c r="W369" s="61" cm="1">
        <f t="array" ref="W369">getDistance(I369,J369,R369,S369)*SA!$B$12</f>
        <v>584.95313949846002</v>
      </c>
      <c r="Y369" s="137">
        <f>Transportation_LCIA!C$61*($W369^Transportation_LCIA!C$60)+Transportation_LCIA!C$62</f>
        <v>0.30574623046614952</v>
      </c>
      <c r="Z369" s="137">
        <f>Transportation_LCIA!D$61*($W369^Transportation_LCIA!D$60)+Transportation_LCIA!D$62</f>
        <v>3.2507376071015406</v>
      </c>
      <c r="AA369" s="137">
        <f>Transportation_LCIA!E$61*($W369^Transportation_LCIA!E$60)+Transportation_LCIA!E$62</f>
        <v>1.6887479023184712E-3</v>
      </c>
      <c r="AB369" s="137">
        <f>Transportation_LCIA!F$61*($W369^Transportation_LCIA!F$60)+Transportation_LCIA!F$62</f>
        <v>0.30574623046614952</v>
      </c>
      <c r="AC369" s="137">
        <f>Transportation_LCIA!G$61*($W369^Transportation_LCIA!G$60)+Transportation_LCIA!G$62</f>
        <v>7.5766680505384543E-2</v>
      </c>
      <c r="AD369" s="137">
        <f>Transportation_LCIA!H$61*($W369^Transportation_LCIA!H$60)+Transportation_LCIA!H$62</f>
        <v>3.9733235517551955E-4</v>
      </c>
      <c r="AE369" s="137">
        <f>Transportation_LCIA!I$61*($W369^Transportation_LCIA!I$60)+Transportation_LCIA!I$62</f>
        <v>8.9884636137525969E-6</v>
      </c>
      <c r="AF369" s="137">
        <f>Transportation_LCIA!J$61*($W369^Transportation_LCIA!J$60)+Transportation_LCIA!J$62</f>
        <v>1.3365187640031041E-2</v>
      </c>
      <c r="AG369" s="137">
        <f>Transportation_LCIA!K$61*($W369^Transportation_LCIA!K$60)+Transportation_LCIA!K$62</f>
        <v>1.6538740865555596E-2</v>
      </c>
      <c r="AH369" s="137">
        <f>Transportation_LCIA!L$61*($W369^Transportation_LCIA!L$60)+Transportation_LCIA!L$62</f>
        <v>3.5104714365999959E-4</v>
      </c>
      <c r="AI369" s="137">
        <f>Transportation_LCIA!M$61*($W369^Transportation_LCIA!M$60)+Transportation_LCIA!M$62</f>
        <v>3.1015600170514814E-4</v>
      </c>
      <c r="AJ369" s="137">
        <f>Transportation_LCIA!N$61*($W369^Transportation_LCIA!N$60)+Transportation_LCIA!N$62</f>
        <v>1.3947552630796185E-3</v>
      </c>
      <c r="AK369" s="137">
        <f>Transportation_LCIA!O$61*($W369^Transportation_LCIA!O$60)+Transportation_LCIA!O$62</f>
        <v>8.0182771249620618E-5</v>
      </c>
      <c r="AL369" s="137">
        <f>Transportation_LCIA!P$61*($W369^Transportation_LCIA!P$60)+Transportation_LCIA!P$62</f>
        <v>3.8710923614024024E-8</v>
      </c>
      <c r="AM369" s="137">
        <f>Transportation_LCIA!Q$61*($W369^Transportation_LCIA!Q$60)+Transportation_LCIA!Q$62</f>
        <v>1.3849478631109845E-4</v>
      </c>
      <c r="AN369" s="137">
        <f>Transportation_LCIA!R$61*($W369^Transportation_LCIA!R$60)+Transportation_LCIA!R$62</f>
        <v>4.3190633337534618E-4</v>
      </c>
      <c r="AO369" s="137">
        <f>Transportation_LCIA!S$61*($W369^Transportation_LCIA!S$60)+Transportation_LCIA!S$62</f>
        <v>6.3860664665247732E-6</v>
      </c>
      <c r="AP369" s="137">
        <f>Transportation_LCIA!T$61*($W369^Transportation_LCIA!T$60)+Transportation_LCIA!T$62</f>
        <v>6.3860664665247732E-6</v>
      </c>
      <c r="AQ369" s="137">
        <f>Transportation_LCIA!U$61*($W369^Transportation_LCIA!U$60)+Transportation_LCIA!U$62</f>
        <v>9.3455951796051785E-4</v>
      </c>
      <c r="AR369" s="137">
        <f>Transportation_LCIA!V$61*($W369^Transportation_LCIA!V$60)+Transportation_LCIA!V$62</f>
        <v>3.6046312647041275E-4</v>
      </c>
      <c r="AT369" s="137">
        <f>$W369*Y369+$L369*Summary_LCIA!H$34</f>
        <v>178.86933261499385</v>
      </c>
      <c r="AU369" s="137">
        <f>$W369*Z369+$L369*Summary_LCIA!Q$32</f>
        <v>1903.0011159383585</v>
      </c>
      <c r="AV369" s="137">
        <f>$W369*AA369+$L369*Summary_LCIA!R$32</f>
        <v>0.98940227048262841</v>
      </c>
      <c r="AW369" s="137">
        <f>$W369*AB369+$L369*Summary_LCIA!S$32</f>
        <v>178.94682526099385</v>
      </c>
      <c r="AX369" s="137">
        <f>$W369*AC369+$L369*Summary_LCIA!T$32</f>
        <v>44.352597931001455</v>
      </c>
      <c r="AY369" s="137">
        <f>$W369*AD369+$L369*Summary_LCIA!U$32</f>
        <v>0.23774126658423736</v>
      </c>
      <c r="AZ369" s="137">
        <f>$W369*AE369+$L369*Summary_LCIA!V$32</f>
        <v>5.2720150271322553E-3</v>
      </c>
      <c r="BA369" s="137">
        <f>$W369*AF369+$L369*Summary_LCIA!W$32</f>
        <v>7.840868857022171</v>
      </c>
      <c r="BB369" s="137">
        <f>$W369*AG369+$L369*Summary_LCIA!X$32</f>
        <v>9.6811540526582238</v>
      </c>
      <c r="BC369" s="137">
        <f>$W369*AH369+$L369*Summary_LCIA!Y$32</f>
        <v>0.20997398279588367</v>
      </c>
      <c r="BD369" s="137">
        <f>$W369*AI369+$L369*Summary_LCIA!Z$32</f>
        <v>0.18143890660471612</v>
      </c>
      <c r="BE369" s="137">
        <f>$W369*AJ369+$L369*Summary_LCIA!AA$32</f>
        <v>0.82280320197042345</v>
      </c>
      <c r="BF369" s="137">
        <f>$W369*AK369+$L369*Summary_LCIA!AB$32</f>
        <v>4.6896682345152436E-2</v>
      </c>
      <c r="BG369" s="137">
        <f>$W369*AL369+$L369*Summary_LCIA!AC$32</f>
        <v>2.2658594848908424E-5</v>
      </c>
      <c r="BH369" s="137">
        <f>$W369*AM369+$L369*Summary_LCIA!AD$32</f>
        <v>8.1135038936845386E-2</v>
      </c>
      <c r="BI369" s="137">
        <f>$W369*AN369+$L369*Summary_LCIA!AE$32</f>
        <v>0.25290814628717728</v>
      </c>
      <c r="BJ369" s="137">
        <f>$W369*AO369+$L369*Summary_LCIA!AF$32</f>
        <v>3.9866393686395028E-3</v>
      </c>
      <c r="BK369" s="137">
        <f>$W369*AP369+$L369*Summary_LCIA!AG$32</f>
        <v>3.7507456336395031E-3</v>
      </c>
      <c r="BL369" s="137">
        <f>$W369*AQ369+$L369*Summary_LCIA!AH$32</f>
        <v>0.54925849327917231</v>
      </c>
      <c r="BM369" s="137">
        <f>$W369*AR369+$L369*Summary_LCIA!AI$32</f>
        <v>0.2111307078522984</v>
      </c>
    </row>
    <row r="370" spans="1:65" x14ac:dyDescent="0.25">
      <c r="A370" s="149">
        <v>212</v>
      </c>
      <c r="B370" s="149">
        <v>15</v>
      </c>
      <c r="C370" s="61">
        <v>50.908388000000002</v>
      </c>
      <c r="D370" s="61">
        <v>-1.4015599999999999</v>
      </c>
      <c r="E370" s="61" t="s">
        <v>463</v>
      </c>
      <c r="F370" s="149">
        <v>7</v>
      </c>
      <c r="G370" s="61" t="s">
        <v>628</v>
      </c>
      <c r="H370" s="61" t="s">
        <v>629</v>
      </c>
      <c r="I370" s="61">
        <v>51.470022</v>
      </c>
      <c r="J370" s="61">
        <v>-0.45429599999999998</v>
      </c>
      <c r="K370" s="61">
        <v>98.568014770000005</v>
      </c>
      <c r="L370" s="61">
        <v>158.30799999999999</v>
      </c>
      <c r="M370" s="61" t="s">
        <v>589</v>
      </c>
      <c r="N370" s="149">
        <v>14</v>
      </c>
      <c r="O370" s="149">
        <v>15</v>
      </c>
      <c r="P370" s="61" t="s">
        <v>567</v>
      </c>
      <c r="Q370" s="61" t="s">
        <v>566</v>
      </c>
      <c r="R370" s="61">
        <v>50.037932599999998</v>
      </c>
      <c r="S370" s="61">
        <v>8.5621518000000005</v>
      </c>
      <c r="T370" s="61"/>
      <c r="U370" s="61" t="s">
        <v>622</v>
      </c>
      <c r="V370" s="61" t="s">
        <v>569</v>
      </c>
      <c r="W370" s="61" cm="1">
        <f t="array" ref="W370">getDistance(I370,J370,R370,S370)*SA!$B$12</f>
        <v>655.49865109245718</v>
      </c>
      <c r="Y370" s="137">
        <f>Transportation_LCIA!C$61*($W370^Transportation_LCIA!C$60)+Transportation_LCIA!C$62</f>
        <v>0.28808630932385726</v>
      </c>
      <c r="Z370" s="137">
        <f>Transportation_LCIA!D$61*($W370^Transportation_LCIA!D$60)+Transportation_LCIA!D$62</f>
        <v>3.0403453180333315</v>
      </c>
      <c r="AA370" s="137">
        <f>Transportation_LCIA!E$61*($W370^Transportation_LCIA!E$60)+Transportation_LCIA!E$62</f>
        <v>1.5496127326841335E-3</v>
      </c>
      <c r="AB370" s="137">
        <f>Transportation_LCIA!F$61*($W370^Transportation_LCIA!F$60)+Transportation_LCIA!F$62</f>
        <v>0.28808630932385726</v>
      </c>
      <c r="AC370" s="137">
        <f>Transportation_LCIA!G$61*($W370^Transportation_LCIA!G$60)+Transportation_LCIA!G$62</f>
        <v>7.0904955875308692E-2</v>
      </c>
      <c r="AD370" s="137">
        <f>Transportation_LCIA!H$61*($W370^Transportation_LCIA!H$60)+Transportation_LCIA!H$62</f>
        <v>3.6638661442350167E-4</v>
      </c>
      <c r="AE370" s="137">
        <f>Transportation_LCIA!I$61*($W370^Transportation_LCIA!I$60)+Transportation_LCIA!I$62</f>
        <v>8.1949302872625628E-6</v>
      </c>
      <c r="AF370" s="137">
        <f>Transportation_LCIA!J$61*($W370^Transportation_LCIA!J$60)+Transportation_LCIA!J$62</f>
        <v>1.216906133974993E-2</v>
      </c>
      <c r="AG370" s="137">
        <f>Transportation_LCIA!K$61*($W370^Transportation_LCIA!K$60)+Transportation_LCIA!K$62</f>
        <v>1.5391950999787709E-2</v>
      </c>
      <c r="AH370" s="137">
        <f>Transportation_LCIA!L$61*($W370^Transportation_LCIA!L$60)+Transportation_LCIA!L$62</f>
        <v>3.224475626051792E-4</v>
      </c>
      <c r="AI370" s="137">
        <f>Transportation_LCIA!M$61*($W370^Transportation_LCIA!M$60)+Transportation_LCIA!M$62</f>
        <v>2.9306665716547056E-4</v>
      </c>
      <c r="AJ370" s="137">
        <f>Transportation_LCIA!N$61*($W370^Transportation_LCIA!N$60)+Transportation_LCIA!N$62</f>
        <v>1.2908631335785605E-3</v>
      </c>
      <c r="AK370" s="137">
        <f>Transportation_LCIA!O$61*($W370^Transportation_LCIA!O$60)+Transportation_LCIA!O$62</f>
        <v>7.5013630480399058E-5</v>
      </c>
      <c r="AL370" s="137">
        <f>Transportation_LCIA!P$61*($W370^Transportation_LCIA!P$60)+Transportation_LCIA!P$62</f>
        <v>3.622947059126279E-8</v>
      </c>
      <c r="AM370" s="137">
        <f>Transportation_LCIA!Q$61*($W370^Transportation_LCIA!Q$60)+Transportation_LCIA!Q$62</f>
        <v>1.2728062224719001E-4</v>
      </c>
      <c r="AN370" s="137">
        <f>Transportation_LCIA!R$61*($W370^Transportation_LCIA!R$60)+Transportation_LCIA!R$62</f>
        <v>3.9383707879712856E-4</v>
      </c>
      <c r="AO370" s="137">
        <f>Transportation_LCIA!S$61*($W370^Transportation_LCIA!S$60)+Transportation_LCIA!S$62</f>
        <v>5.8462294863061377E-6</v>
      </c>
      <c r="AP370" s="137">
        <f>Transportation_LCIA!T$61*($W370^Transportation_LCIA!T$60)+Transportation_LCIA!T$62</f>
        <v>5.8462294863061377E-6</v>
      </c>
      <c r="AQ370" s="137">
        <f>Transportation_LCIA!U$61*($W370^Transportation_LCIA!U$60)+Transportation_LCIA!U$62</f>
        <v>8.5078004970210494E-4</v>
      </c>
      <c r="AR370" s="137">
        <f>Transportation_LCIA!V$61*($W370^Transportation_LCIA!V$60)+Transportation_LCIA!V$62</f>
        <v>3.311828503124549E-4</v>
      </c>
      <c r="AT370" s="137">
        <f>$W370*Y370+$L370*Summary_LCIA!H$34</f>
        <v>200.62811745599282</v>
      </c>
      <c r="AU370" s="137">
        <f>$W370*Z370+$L370*Summary_LCIA!Q$32</f>
        <v>2777.5246867734804</v>
      </c>
      <c r="AV370" s="137">
        <f>$W370*AA370+$L370*Summary_LCIA!R$32</f>
        <v>1.8493556607901458</v>
      </c>
      <c r="AW370" s="137">
        <f>$W370*AB370+$L370*Summary_LCIA!S$32</f>
        <v>241.9335241999928</v>
      </c>
      <c r="AX370" s="137">
        <f>$W370*AC370+$L370*Summary_LCIA!T$32</f>
        <v>63.876152132035045</v>
      </c>
      <c r="AY370" s="137">
        <f>$W370*AD370+$L370*Summary_LCIA!U$32</f>
        <v>3.0760954435329375</v>
      </c>
      <c r="AZ370" s="137">
        <f>$W370*AE370+$L370*Summary_LCIA!V$32</f>
        <v>1.2932714137097331E-2</v>
      </c>
      <c r="BA370" s="137">
        <f>$W370*AF370+$L370*Summary_LCIA!W$32</f>
        <v>20.161928361267449</v>
      </c>
      <c r="BB370" s="137">
        <f>$W370*AG370+$L370*Summary_LCIA!X$32</f>
        <v>13.695659358042041</v>
      </c>
      <c r="BC370" s="137">
        <f>$W370*AH370+$L370*Summary_LCIA!Y$32</f>
        <v>2.6781191983357453</v>
      </c>
      <c r="BD370" s="137">
        <f>$W370*AI370+$L370*Summary_LCIA!Z$32</f>
        <v>0.19859685122414156</v>
      </c>
      <c r="BE370" s="137">
        <f>$W370*AJ370+$L370*Summary_LCIA!AA$32</f>
        <v>4.5436006908057278</v>
      </c>
      <c r="BF370" s="137">
        <f>$W370*AK370+$L370*Summary_LCIA!AB$32</f>
        <v>4.571657810944961E-2</v>
      </c>
      <c r="BG370" s="137">
        <f>$W370*AL370+$L370*Summary_LCIA!AC$32</f>
        <v>3.1487097374366605E-5</v>
      </c>
      <c r="BH370" s="137">
        <f>$W370*AM370+$L370*Summary_LCIA!AD$32</f>
        <v>0.14850319651324165</v>
      </c>
      <c r="BI370" s="137">
        <f>$W370*AN370+$L370*Summary_LCIA!AE$32</f>
        <v>0.39844114194171154</v>
      </c>
      <c r="BJ370" s="137">
        <f>$W370*AO370+$L370*Summary_LCIA!AF$32</f>
        <v>0.13766894490225062</v>
      </c>
      <c r="BK370" s="137">
        <f>$W370*AP370+$L370*Summary_LCIA!AG$32</f>
        <v>1.1932024362250621E-2</v>
      </c>
      <c r="BL370" s="137">
        <f>$W370*AQ370+$L370*Summary_LCIA!AH$32</f>
        <v>1.9355346837561034</v>
      </c>
      <c r="BM370" s="137">
        <f>$W370*AR370+$L370*Summary_LCIA!AI$32</f>
        <v>0.36456172904476936</v>
      </c>
    </row>
    <row r="371" spans="1:65" x14ac:dyDescent="0.25">
      <c r="A371" s="149">
        <v>213</v>
      </c>
      <c r="B371" s="149">
        <v>15</v>
      </c>
      <c r="C371" s="61">
        <v>50.908388000000002</v>
      </c>
      <c r="D371" s="61">
        <v>-1.4015599999999999</v>
      </c>
      <c r="E371" s="61" t="s">
        <v>463</v>
      </c>
      <c r="F371" s="149">
        <v>7</v>
      </c>
      <c r="G371" s="61" t="s">
        <v>628</v>
      </c>
      <c r="H371" s="61" t="s">
        <v>629</v>
      </c>
      <c r="I371" s="61">
        <v>51.470022</v>
      </c>
      <c r="J371" s="61">
        <v>-0.45429599999999998</v>
      </c>
      <c r="K371" s="61">
        <v>98.568014770000005</v>
      </c>
      <c r="L371" s="61">
        <v>158.30799999999999</v>
      </c>
      <c r="M371" s="61" t="s">
        <v>589</v>
      </c>
      <c r="N371" s="149">
        <v>14</v>
      </c>
      <c r="O371" s="149">
        <v>15</v>
      </c>
      <c r="P371" s="61" t="s">
        <v>567</v>
      </c>
      <c r="Q371" s="61" t="s">
        <v>566</v>
      </c>
      <c r="R371" s="61">
        <v>50.037932599999998</v>
      </c>
      <c r="S371" s="61">
        <v>8.5621518000000005</v>
      </c>
      <c r="T371" s="61"/>
      <c r="U371" s="61" t="s">
        <v>622</v>
      </c>
      <c r="V371" s="61" t="s">
        <v>569</v>
      </c>
      <c r="W371" s="61" cm="1">
        <f t="array" ref="W371">getDistance(I371,J371,R371,S371)*SA!$B$12</f>
        <v>655.49865109245718</v>
      </c>
      <c r="Y371" s="137">
        <f>Transportation_LCIA!C$61*($W371^Transportation_LCIA!C$60)+Transportation_LCIA!C$62</f>
        <v>0.28808630932385726</v>
      </c>
      <c r="Z371" s="137">
        <f>Transportation_LCIA!D$61*($W371^Transportation_LCIA!D$60)+Transportation_LCIA!D$62</f>
        <v>3.0403453180333315</v>
      </c>
      <c r="AA371" s="137">
        <f>Transportation_LCIA!E$61*($W371^Transportation_LCIA!E$60)+Transportation_LCIA!E$62</f>
        <v>1.5496127326841335E-3</v>
      </c>
      <c r="AB371" s="137">
        <f>Transportation_LCIA!F$61*($W371^Transportation_LCIA!F$60)+Transportation_LCIA!F$62</f>
        <v>0.28808630932385726</v>
      </c>
      <c r="AC371" s="137">
        <f>Transportation_LCIA!G$61*($W371^Transportation_LCIA!G$60)+Transportation_LCIA!G$62</f>
        <v>7.0904955875308692E-2</v>
      </c>
      <c r="AD371" s="137">
        <f>Transportation_LCIA!H$61*($W371^Transportation_LCIA!H$60)+Transportation_LCIA!H$62</f>
        <v>3.6638661442350167E-4</v>
      </c>
      <c r="AE371" s="137">
        <f>Transportation_LCIA!I$61*($W371^Transportation_LCIA!I$60)+Transportation_LCIA!I$62</f>
        <v>8.1949302872625628E-6</v>
      </c>
      <c r="AF371" s="137">
        <f>Transportation_LCIA!J$61*($W371^Transportation_LCIA!J$60)+Transportation_LCIA!J$62</f>
        <v>1.216906133974993E-2</v>
      </c>
      <c r="AG371" s="137">
        <f>Transportation_LCIA!K$61*($W371^Transportation_LCIA!K$60)+Transportation_LCIA!K$62</f>
        <v>1.5391950999787709E-2</v>
      </c>
      <c r="AH371" s="137">
        <f>Transportation_LCIA!L$61*($W371^Transportation_LCIA!L$60)+Transportation_LCIA!L$62</f>
        <v>3.224475626051792E-4</v>
      </c>
      <c r="AI371" s="137">
        <f>Transportation_LCIA!M$61*($W371^Transportation_LCIA!M$60)+Transportation_LCIA!M$62</f>
        <v>2.9306665716547056E-4</v>
      </c>
      <c r="AJ371" s="137">
        <f>Transportation_LCIA!N$61*($W371^Transportation_LCIA!N$60)+Transportation_LCIA!N$62</f>
        <v>1.2908631335785605E-3</v>
      </c>
      <c r="AK371" s="137">
        <f>Transportation_LCIA!O$61*($W371^Transportation_LCIA!O$60)+Transportation_LCIA!O$62</f>
        <v>7.5013630480399058E-5</v>
      </c>
      <c r="AL371" s="137">
        <f>Transportation_LCIA!P$61*($W371^Transportation_LCIA!P$60)+Transportation_LCIA!P$62</f>
        <v>3.622947059126279E-8</v>
      </c>
      <c r="AM371" s="137">
        <f>Transportation_LCIA!Q$61*($W371^Transportation_LCIA!Q$60)+Transportation_LCIA!Q$62</f>
        <v>1.2728062224719001E-4</v>
      </c>
      <c r="AN371" s="137">
        <f>Transportation_LCIA!R$61*($W371^Transportation_LCIA!R$60)+Transportation_LCIA!R$62</f>
        <v>3.9383707879712856E-4</v>
      </c>
      <c r="AO371" s="137">
        <f>Transportation_LCIA!S$61*($W371^Transportation_LCIA!S$60)+Transportation_LCIA!S$62</f>
        <v>5.8462294863061377E-6</v>
      </c>
      <c r="AP371" s="137">
        <f>Transportation_LCIA!T$61*($W371^Transportation_LCIA!T$60)+Transportation_LCIA!T$62</f>
        <v>5.8462294863061377E-6</v>
      </c>
      <c r="AQ371" s="137">
        <f>Transportation_LCIA!U$61*($W371^Transportation_LCIA!U$60)+Transportation_LCIA!U$62</f>
        <v>8.5078004970210494E-4</v>
      </c>
      <c r="AR371" s="137">
        <f>Transportation_LCIA!V$61*($W371^Transportation_LCIA!V$60)+Transportation_LCIA!V$62</f>
        <v>3.311828503124549E-4</v>
      </c>
      <c r="AT371" s="137">
        <f>$W371*Y371+$L371*Summary_LCIA!H$34</f>
        <v>200.62811745599282</v>
      </c>
      <c r="AU371" s="137">
        <f>$W371*Z371+$L371*Summary_LCIA!Q$32</f>
        <v>2777.5246867734804</v>
      </c>
      <c r="AV371" s="137">
        <f>$W371*AA371+$L371*Summary_LCIA!R$32</f>
        <v>1.8493556607901458</v>
      </c>
      <c r="AW371" s="137">
        <f>$W371*AB371+$L371*Summary_LCIA!S$32</f>
        <v>241.9335241999928</v>
      </c>
      <c r="AX371" s="137">
        <f>$W371*AC371+$L371*Summary_LCIA!T$32</f>
        <v>63.876152132035045</v>
      </c>
      <c r="AY371" s="137">
        <f>$W371*AD371+$L371*Summary_LCIA!U$32</f>
        <v>3.0760954435329375</v>
      </c>
      <c r="AZ371" s="137">
        <f>$W371*AE371+$L371*Summary_LCIA!V$32</f>
        <v>1.2932714137097331E-2</v>
      </c>
      <c r="BA371" s="137">
        <f>$W371*AF371+$L371*Summary_LCIA!W$32</f>
        <v>20.161928361267449</v>
      </c>
      <c r="BB371" s="137">
        <f>$W371*AG371+$L371*Summary_LCIA!X$32</f>
        <v>13.695659358042041</v>
      </c>
      <c r="BC371" s="137">
        <f>$W371*AH371+$L371*Summary_LCIA!Y$32</f>
        <v>2.6781191983357453</v>
      </c>
      <c r="BD371" s="137">
        <f>$W371*AI371+$L371*Summary_LCIA!Z$32</f>
        <v>0.19859685122414156</v>
      </c>
      <c r="BE371" s="137">
        <f>$W371*AJ371+$L371*Summary_LCIA!AA$32</f>
        <v>4.5436006908057278</v>
      </c>
      <c r="BF371" s="137">
        <f>$W371*AK371+$L371*Summary_LCIA!AB$32</f>
        <v>4.571657810944961E-2</v>
      </c>
      <c r="BG371" s="137">
        <f>$W371*AL371+$L371*Summary_LCIA!AC$32</f>
        <v>3.1487097374366605E-5</v>
      </c>
      <c r="BH371" s="137">
        <f>$W371*AM371+$L371*Summary_LCIA!AD$32</f>
        <v>0.14850319651324165</v>
      </c>
      <c r="BI371" s="137">
        <f>$W371*AN371+$L371*Summary_LCIA!AE$32</f>
        <v>0.39844114194171154</v>
      </c>
      <c r="BJ371" s="137">
        <f>$W371*AO371+$L371*Summary_LCIA!AF$32</f>
        <v>0.13766894490225062</v>
      </c>
      <c r="BK371" s="137">
        <f>$W371*AP371+$L371*Summary_LCIA!AG$32</f>
        <v>1.1932024362250621E-2</v>
      </c>
      <c r="BL371" s="137">
        <f>$W371*AQ371+$L371*Summary_LCIA!AH$32</f>
        <v>1.9355346837561034</v>
      </c>
      <c r="BM371" s="137">
        <f>$W371*AR371+$L371*Summary_LCIA!AI$32</f>
        <v>0.36456172904476936</v>
      </c>
    </row>
    <row r="372" spans="1:65" x14ac:dyDescent="0.25">
      <c r="A372" s="149">
        <v>225</v>
      </c>
      <c r="B372" s="149">
        <v>15</v>
      </c>
      <c r="C372" s="61">
        <v>55.864237000000003</v>
      </c>
      <c r="D372" s="61">
        <v>-4.2518060000000002</v>
      </c>
      <c r="E372" s="61" t="s">
        <v>463</v>
      </c>
      <c r="F372" s="149">
        <v>7</v>
      </c>
      <c r="G372" s="61" t="s">
        <v>628</v>
      </c>
      <c r="H372" s="61" t="s">
        <v>702</v>
      </c>
      <c r="I372" s="61">
        <v>53.358806000000001</v>
      </c>
      <c r="J372" s="61">
        <v>-2.2749190000000001</v>
      </c>
      <c r="K372" s="61">
        <v>565.56637360000002</v>
      </c>
      <c r="L372" s="61">
        <v>391.911</v>
      </c>
      <c r="M372" s="61" t="s">
        <v>589</v>
      </c>
      <c r="N372" s="149">
        <v>14</v>
      </c>
      <c r="O372" s="149">
        <v>15</v>
      </c>
      <c r="P372" s="61" t="s">
        <v>567</v>
      </c>
      <c r="Q372" s="61" t="s">
        <v>566</v>
      </c>
      <c r="R372" s="61">
        <v>50.037932599999998</v>
      </c>
      <c r="S372" s="61">
        <v>8.5621518000000005</v>
      </c>
      <c r="T372" s="61"/>
      <c r="U372" s="61" t="s">
        <v>622</v>
      </c>
      <c r="V372" s="61" t="s">
        <v>569</v>
      </c>
      <c r="W372" s="61" cm="1">
        <f t="array" ref="W372">getDistance(I372,J372,R372,S372)*SA!$B$12</f>
        <v>834.45951356708247</v>
      </c>
      <c r="Y372" s="137">
        <f>Transportation_LCIA!C$61*($W372^Transportation_LCIA!C$60)+Transportation_LCIA!C$62</f>
        <v>0.25578761515395765</v>
      </c>
      <c r="Z372" s="137">
        <f>Transportation_LCIA!D$61*($W372^Transportation_LCIA!D$60)+Transportation_LCIA!D$62</f>
        <v>2.6584554831640039</v>
      </c>
      <c r="AA372" s="137">
        <f>Transportation_LCIA!E$61*($W372^Transportation_LCIA!E$60)+Transportation_LCIA!E$62</f>
        <v>1.2976004287997794E-3</v>
      </c>
      <c r="AB372" s="137">
        <f>Transportation_LCIA!F$61*($W372^Transportation_LCIA!F$60)+Transportation_LCIA!F$62</f>
        <v>0.25578761515395765</v>
      </c>
      <c r="AC372" s="137">
        <f>Transportation_LCIA!G$61*($W372^Transportation_LCIA!G$60)+Transportation_LCIA!G$62</f>
        <v>6.2076387065224892E-2</v>
      </c>
      <c r="AD372" s="137">
        <f>Transportation_LCIA!H$61*($W372^Transportation_LCIA!H$60)+Transportation_LCIA!H$62</f>
        <v>3.1057016417771567E-4</v>
      </c>
      <c r="AE372" s="137">
        <f>Transportation_LCIA!I$61*($W372^Transportation_LCIA!I$60)+Transportation_LCIA!I$62</f>
        <v>6.773283996403457E-6</v>
      </c>
      <c r="AF372" s="137">
        <f>Transportation_LCIA!J$61*($W372^Transportation_LCIA!J$60)+Transportation_LCIA!J$62</f>
        <v>1.0035587537395835E-2</v>
      </c>
      <c r="AG372" s="137">
        <f>Transportation_LCIA!K$61*($W372^Transportation_LCIA!K$60)+Transportation_LCIA!K$62</f>
        <v>1.3317400969705059E-2</v>
      </c>
      <c r="AH372" s="137">
        <f>Transportation_LCIA!L$61*($W372^Transportation_LCIA!L$60)+Transportation_LCIA!L$62</f>
        <v>2.7096205446478584E-4</v>
      </c>
      <c r="AI372" s="137">
        <f>Transportation_LCIA!M$61*($W372^Transportation_LCIA!M$60)+Transportation_LCIA!M$62</f>
        <v>2.622498652937841E-4</v>
      </c>
      <c r="AJ372" s="137">
        <f>Transportation_LCIA!N$61*($W372^Transportation_LCIA!N$60)+Transportation_LCIA!N$62</f>
        <v>1.1033734706359408E-3</v>
      </c>
      <c r="AK372" s="137">
        <f>Transportation_LCIA!O$61*($W372^Transportation_LCIA!O$60)+Transportation_LCIA!O$62</f>
        <v>6.5628766150605593E-5</v>
      </c>
      <c r="AL372" s="137">
        <f>Transportation_LCIA!P$61*($W372^Transportation_LCIA!P$60)+Transportation_LCIA!P$62</f>
        <v>3.1721717308493248E-8</v>
      </c>
      <c r="AM372" s="137">
        <f>Transportation_LCIA!Q$61*($W372^Transportation_LCIA!Q$60)+Transportation_LCIA!Q$62</f>
        <v>1.0711358134759958E-4</v>
      </c>
      <c r="AN372" s="137">
        <f>Transportation_LCIA!R$61*($W372^Transportation_LCIA!R$60)+Transportation_LCIA!R$62</f>
        <v>3.2564563735062877E-4</v>
      </c>
      <c r="AO372" s="137">
        <f>Transportation_LCIA!S$61*($W372^Transportation_LCIA!S$60)+Transportation_LCIA!S$62</f>
        <v>4.8789555695481221E-6</v>
      </c>
      <c r="AP372" s="137">
        <f>Transportation_LCIA!T$61*($W372^Transportation_LCIA!T$60)+Transportation_LCIA!T$62</f>
        <v>4.8789555695481221E-6</v>
      </c>
      <c r="AQ372" s="137">
        <f>Transportation_LCIA!U$61*($W372^Transportation_LCIA!U$60)+Transportation_LCIA!U$62</f>
        <v>7.0090245999337509E-4</v>
      </c>
      <c r="AR372" s="137">
        <f>Transportation_LCIA!V$61*($W372^Transportation_LCIA!V$60)+Transportation_LCIA!V$62</f>
        <v>2.7859686284207273E-4</v>
      </c>
      <c r="AT372" s="137">
        <f>$W372*Y372+$L372*Summary_LCIA!H$34</f>
        <v>242.62688579985559</v>
      </c>
      <c r="AU372" s="137">
        <f>$W372*Z372+$L372*Summary_LCIA!Q$32</f>
        <v>4160.7041505682409</v>
      </c>
      <c r="AV372" s="137">
        <f>$W372*AA372+$L372*Summary_LCIA!R$32</f>
        <v>3.1464415842207014</v>
      </c>
      <c r="AW372" s="137">
        <f>$W372*AB372+$L372*Summary_LCIA!S$32</f>
        <v>344.88352009785558</v>
      </c>
      <c r="AX372" s="137">
        <f>$W372*AC372+$L372*Summary_LCIA!T$32</f>
        <v>94.871250654449483</v>
      </c>
      <c r="AY372" s="137">
        <f>$W372*AD372+$L372*Summary_LCIA!U$32</f>
        <v>7.2798518821281855</v>
      </c>
      <c r="AZ372" s="137">
        <f>$W372*AE372+$L372*Summary_LCIA!V$32</f>
        <v>2.4370092539890535E-2</v>
      </c>
      <c r="BA372" s="137">
        <f>$W372*AF372+$L372*Summary_LCIA!W$32</f>
        <v>38.540073075815201</v>
      </c>
      <c r="BB372" s="137">
        <f>$W372*AG372+$L372*Summary_LCIA!X$32</f>
        <v>20.040564515157875</v>
      </c>
      <c r="BC372" s="137">
        <f>$W372*AH372+$L372*Summary_LCIA!Y$32</f>
        <v>6.3328640661638227</v>
      </c>
      <c r="BD372" s="137">
        <f>$W372*AI372+$L372*Summary_LCIA!Z$32</f>
        <v>0.23490877322508397</v>
      </c>
      <c r="BE372" s="137">
        <f>$W372*AJ372+$L372*Summary_LCIA!AA$32</f>
        <v>10.07419380558969</v>
      </c>
      <c r="BF372" s="137">
        <f>$W372*AK372+$L372*Summary_LCIA!AB$32</f>
        <v>4.6211874525042149E-2</v>
      </c>
      <c r="BG372" s="137">
        <f>$W372*AL372+$L372*Summary_LCIA!AC$32</f>
        <v>4.5628666118757779E-5</v>
      </c>
      <c r="BH372" s="137">
        <f>$W372*AM372+$L372*Summary_LCIA!AD$32</f>
        <v>0.25047304442774609</v>
      </c>
      <c r="BI372" s="137">
        <f>$W372*AN372+$L372*Summary_LCIA!AE$32</f>
        <v>0.61902219456884822</v>
      </c>
      <c r="BJ372" s="137">
        <f>$W372*AO372+$L372*Summary_LCIA!AF$32</f>
        <v>0.33540068851128058</v>
      </c>
      <c r="BK372" s="137">
        <f>$W372*AP372+$L372*Summary_LCIA!AG$32</f>
        <v>2.4123417206280535E-2</v>
      </c>
      <c r="BL372" s="137">
        <f>$W372*AQ372+$L372*Summary_LCIA!AH$32</f>
        <v>3.9959113054240434</v>
      </c>
      <c r="BM372" s="137">
        <f>$W372*AR372+$L372*Summary_LCIA!AI$32</f>
        <v>0.59756249469851119</v>
      </c>
    </row>
    <row r="373" spans="1:65" x14ac:dyDescent="0.25">
      <c r="A373" s="149">
        <v>233</v>
      </c>
      <c r="B373" s="149">
        <v>15</v>
      </c>
      <c r="C373" s="61">
        <v>20.593684</v>
      </c>
      <c r="D373" s="61">
        <v>78.962879999999998</v>
      </c>
      <c r="E373" s="61" t="s">
        <v>268</v>
      </c>
      <c r="F373" s="149">
        <v>41</v>
      </c>
      <c r="G373" s="61" t="s">
        <v>704</v>
      </c>
      <c r="H373" s="61" t="s">
        <v>705</v>
      </c>
      <c r="I373" s="61">
        <v>21.090667</v>
      </c>
      <c r="J373" s="61">
        <v>79.051494000000005</v>
      </c>
      <c r="K373" s="61">
        <v>668.6216369</v>
      </c>
      <c r="L373" s="61">
        <v>61.351999999999997</v>
      </c>
      <c r="M373" s="61" t="s">
        <v>617</v>
      </c>
      <c r="N373" s="149">
        <v>14</v>
      </c>
      <c r="O373" s="149">
        <v>15</v>
      </c>
      <c r="P373" s="61" t="s">
        <v>567</v>
      </c>
      <c r="Q373" s="61" t="s">
        <v>566</v>
      </c>
      <c r="R373" s="61">
        <v>50.037932599999998</v>
      </c>
      <c r="S373" s="61">
        <v>8.5621518000000005</v>
      </c>
      <c r="T373" s="61"/>
      <c r="U373" s="61" t="s">
        <v>622</v>
      </c>
      <c r="V373" s="61" t="s">
        <v>569</v>
      </c>
      <c r="W373" s="61" cm="1">
        <f t="array" ref="W373">getDistance(I373,J373,R373,S373)*SA!$B$12</f>
        <v>6860.0261895692247</v>
      </c>
      <c r="Y373" s="137">
        <f>Transportation_LCIA!C$61*($W373^Transportation_LCIA!C$60)+Transportation_LCIA!C$62</f>
        <v>0.13645988213436686</v>
      </c>
      <c r="Z373" s="137">
        <f>Transportation_LCIA!D$61*($W373^Transportation_LCIA!D$60)+Transportation_LCIA!D$62</f>
        <v>1.3002198941689636</v>
      </c>
      <c r="AA373" s="137">
        <f>Transportation_LCIA!E$61*($W373^Transportation_LCIA!E$60)+Transportation_LCIA!E$62</f>
        <v>4.1072635750497347E-4</v>
      </c>
      <c r="AB373" s="137">
        <f>Transportation_LCIA!F$61*($W373^Transportation_LCIA!F$60)+Transportation_LCIA!F$62</f>
        <v>0.13645988213436686</v>
      </c>
      <c r="AC373" s="137">
        <f>Transportation_LCIA!G$61*($W373^Transportation_LCIA!G$60)+Transportation_LCIA!G$62</f>
        <v>3.0607327963128941E-2</v>
      </c>
      <c r="AD373" s="137">
        <f>Transportation_LCIA!H$61*($W373^Transportation_LCIA!H$60)+Transportation_LCIA!H$62</f>
        <v>1.1818117326373138E-4</v>
      </c>
      <c r="AE373" s="137">
        <f>Transportation_LCIA!I$61*($W373^Transportation_LCIA!I$60)+Transportation_LCIA!I$62</f>
        <v>2.0326147408223427E-6</v>
      </c>
      <c r="AF373" s="137">
        <f>Transportation_LCIA!J$61*($W373^Transportation_LCIA!J$60)+Transportation_LCIA!J$62</f>
        <v>3.0716685628491593E-3</v>
      </c>
      <c r="AG373" s="137">
        <f>Transportation_LCIA!K$61*($W373^Transportation_LCIA!K$60)+Transportation_LCIA!K$62</f>
        <v>6.0620037158523338E-3</v>
      </c>
      <c r="AH373" s="137">
        <f>Transportation_LCIA!L$61*($W373^Transportation_LCIA!L$60)+Transportation_LCIA!L$62</f>
        <v>9.5173384730676345E-5</v>
      </c>
      <c r="AI373" s="137">
        <f>Transportation_LCIA!M$61*($W373^Transportation_LCIA!M$60)+Transportation_LCIA!M$62</f>
        <v>1.5614967989661672E-4</v>
      </c>
      <c r="AJ373" s="137">
        <f>Transportation_LCIA!N$61*($W373^Transportation_LCIA!N$60)+Transportation_LCIA!N$62</f>
        <v>4.554169759156334E-4</v>
      </c>
      <c r="AK373" s="137">
        <f>Transportation_LCIA!O$61*($W373^Transportation_LCIA!O$60)+Transportation_LCIA!O$62</f>
        <v>3.2211517028364594E-5</v>
      </c>
      <c r="AL373" s="137">
        <f>Transportation_LCIA!P$61*($W373^Transportation_LCIA!P$60)+Transportation_LCIA!P$62</f>
        <v>1.5625519568579795E-8</v>
      </c>
      <c r="AM373" s="137">
        <f>Transportation_LCIA!Q$61*($W373^Transportation_LCIA!Q$60)+Transportation_LCIA!Q$62</f>
        <v>3.8605695227967373E-5</v>
      </c>
      <c r="AN373" s="137">
        <f>Transportation_LCIA!R$61*($W373^Transportation_LCIA!R$60)+Transportation_LCIA!R$62</f>
        <v>9.8432630251078101E-5</v>
      </c>
      <c r="AO373" s="137">
        <f>Transportation_LCIA!S$61*($W373^Transportation_LCIA!S$60)+Transportation_LCIA!S$62</f>
        <v>1.651266251491079E-6</v>
      </c>
      <c r="AP373" s="137">
        <f>Transportation_LCIA!T$61*($W373^Transportation_LCIA!T$60)+Transportation_LCIA!T$62</f>
        <v>1.651266251491079E-6</v>
      </c>
      <c r="AQ373" s="137">
        <f>Transportation_LCIA!U$61*($W373^Transportation_LCIA!U$60)+Transportation_LCIA!U$62</f>
        <v>2.0461011695863471E-4</v>
      </c>
      <c r="AR373" s="137">
        <f>Transportation_LCIA!V$61*($W373^Transportation_LCIA!V$60)+Transportation_LCIA!V$62</f>
        <v>1.0112559863672152E-4</v>
      </c>
      <c r="AT373" s="137">
        <f>$W373*Y373+$L373*Summary_LCIA!H$32</f>
        <v>956.9657748672862</v>
      </c>
      <c r="AU373" s="137">
        <f>$W373*Z373+$L373*Summary_LCIA!Q$32</f>
        <v>9223.6061323634331</v>
      </c>
      <c r="AV373" s="137">
        <f>$W373*AA373+$L373*Summary_LCIA!R$32</f>
        <v>3.1406486604304904</v>
      </c>
      <c r="AW373" s="137">
        <f>$W373*AB373+$L373*Summary_LCIA!S$32</f>
        <v>956.69459902728624</v>
      </c>
      <c r="AX373" s="137">
        <f>$W373*AC373+$L373*Summary_LCIA!T$32</f>
        <v>216.709656219799</v>
      </c>
      <c r="AY373" s="137">
        <f>$W373*AD373+$L373*Summary_LCIA!U$32</f>
        <v>1.9097856717032153</v>
      </c>
      <c r="AZ373" s="137">
        <f>$W373*AE373+$L373*Summary_LCIA!V$32</f>
        <v>1.6874023227345734E-2</v>
      </c>
      <c r="BA373" s="137">
        <f>$W373*AF373+$L373*Summary_LCIA!W$32</f>
        <v>25.794051578821694</v>
      </c>
      <c r="BB373" s="137">
        <f>$W373*AG373+$L373*Summary_LCIA!X$32</f>
        <v>42.983102812012966</v>
      </c>
      <c r="BC373" s="137">
        <f>$W373*AH373+$L373*Summary_LCIA!Y$32</f>
        <v>1.6088787758023875</v>
      </c>
      <c r="BD373" s="137">
        <f>$W373*AI373+$L373*Summary_LCIA!Z$32</f>
        <v>1.0737068777516419</v>
      </c>
      <c r="BE373" s="137">
        <f>$W373*AJ373+$L373*Summary_LCIA!AA$32</f>
        <v>4.5571096939556615</v>
      </c>
      <c r="BF373" s="137">
        <f>$W373*AK373+$L373*Summary_LCIA!AB$32</f>
        <v>0.21963296572433616</v>
      </c>
      <c r="BG373" s="137">
        <f>$W373*AL373+$L373*Summary_LCIA!AC$32</f>
        <v>1.1019060463408381E-4</v>
      </c>
      <c r="BH373" s="137">
        <f>$W373*AM373+$L373*Summary_LCIA!AD$32</f>
        <v>0.29005420641038382</v>
      </c>
      <c r="BI373" s="137">
        <f>$W373*AN373+$L373*Summary_LCIA!AE$32</f>
        <v>0.72961626919057965</v>
      </c>
      <c r="BJ373" s="137">
        <f>$W373*AO373+$L373*Summary_LCIA!AF$32</f>
        <v>6.319593757118061E-2</v>
      </c>
      <c r="BK373" s="137">
        <f>$W373*AP373+$L373*Summary_LCIA!AG$32</f>
        <v>1.4466804811180603E-2</v>
      </c>
      <c r="BL373" s="137">
        <f>$W373*AQ373+$L373*Summary_LCIA!AH$32</f>
        <v>1.9376140281870562</v>
      </c>
      <c r="BM373" s="137">
        <f>$W373*AR373+$L373*Summary_LCIA!AI$32</f>
        <v>0.75087671068377559</v>
      </c>
    </row>
    <row r="374" spans="1:65" x14ac:dyDescent="0.25">
      <c r="A374" s="149">
        <v>251</v>
      </c>
      <c r="B374" s="149">
        <v>15</v>
      </c>
      <c r="C374" s="61">
        <v>51.507351</v>
      </c>
      <c r="D374" s="61">
        <v>-0.12775800000000001</v>
      </c>
      <c r="E374" s="61" t="s">
        <v>463</v>
      </c>
      <c r="F374" s="149">
        <v>7</v>
      </c>
      <c r="G374" s="61" t="s">
        <v>628</v>
      </c>
      <c r="H374" s="61" t="s">
        <v>629</v>
      </c>
      <c r="I374" s="61">
        <v>51.470022</v>
      </c>
      <c r="J374" s="61">
        <v>-0.45429599999999998</v>
      </c>
      <c r="K374" s="61">
        <v>26.365709819999999</v>
      </c>
      <c r="L374" s="61">
        <v>29.34</v>
      </c>
      <c r="M374" s="61" t="s">
        <v>589</v>
      </c>
      <c r="N374" s="149">
        <v>14</v>
      </c>
      <c r="O374" s="149">
        <v>15</v>
      </c>
      <c r="P374" s="61" t="s">
        <v>567</v>
      </c>
      <c r="Q374" s="61" t="s">
        <v>566</v>
      </c>
      <c r="R374" s="61">
        <v>50.037932599999998</v>
      </c>
      <c r="S374" s="61">
        <v>8.5621518000000005</v>
      </c>
      <c r="T374" s="61"/>
      <c r="U374" s="61" t="s">
        <v>622</v>
      </c>
      <c r="V374" s="61" t="s">
        <v>569</v>
      </c>
      <c r="W374" s="61" cm="1">
        <f t="array" ref="W374">getDistance(I374,J374,R374,S374)*SA!$B$12</f>
        <v>655.49865109245718</v>
      </c>
      <c r="Y374" s="137">
        <f>Transportation_LCIA!C$61*($W374^Transportation_LCIA!C$60)+Transportation_LCIA!C$62</f>
        <v>0.28808630932385726</v>
      </c>
      <c r="Z374" s="137">
        <f>Transportation_LCIA!D$61*($W374^Transportation_LCIA!D$60)+Transportation_LCIA!D$62</f>
        <v>3.0403453180333315</v>
      </c>
      <c r="AA374" s="137">
        <f>Transportation_LCIA!E$61*($W374^Transportation_LCIA!E$60)+Transportation_LCIA!E$62</f>
        <v>1.5496127326841335E-3</v>
      </c>
      <c r="AB374" s="137">
        <f>Transportation_LCIA!F$61*($W374^Transportation_LCIA!F$60)+Transportation_LCIA!F$62</f>
        <v>0.28808630932385726</v>
      </c>
      <c r="AC374" s="137">
        <f>Transportation_LCIA!G$61*($W374^Transportation_LCIA!G$60)+Transportation_LCIA!G$62</f>
        <v>7.0904955875308692E-2</v>
      </c>
      <c r="AD374" s="137">
        <f>Transportation_LCIA!H$61*($W374^Transportation_LCIA!H$60)+Transportation_LCIA!H$62</f>
        <v>3.6638661442350167E-4</v>
      </c>
      <c r="AE374" s="137">
        <f>Transportation_LCIA!I$61*($W374^Transportation_LCIA!I$60)+Transportation_LCIA!I$62</f>
        <v>8.1949302872625628E-6</v>
      </c>
      <c r="AF374" s="137">
        <f>Transportation_LCIA!J$61*($W374^Transportation_LCIA!J$60)+Transportation_LCIA!J$62</f>
        <v>1.216906133974993E-2</v>
      </c>
      <c r="AG374" s="137">
        <f>Transportation_LCIA!K$61*($W374^Transportation_LCIA!K$60)+Transportation_LCIA!K$62</f>
        <v>1.5391950999787709E-2</v>
      </c>
      <c r="AH374" s="137">
        <f>Transportation_LCIA!L$61*($W374^Transportation_LCIA!L$60)+Transportation_LCIA!L$62</f>
        <v>3.224475626051792E-4</v>
      </c>
      <c r="AI374" s="137">
        <f>Transportation_LCIA!M$61*($W374^Transportation_LCIA!M$60)+Transportation_LCIA!M$62</f>
        <v>2.9306665716547056E-4</v>
      </c>
      <c r="AJ374" s="137">
        <f>Transportation_LCIA!N$61*($W374^Transportation_LCIA!N$60)+Transportation_LCIA!N$62</f>
        <v>1.2908631335785605E-3</v>
      </c>
      <c r="AK374" s="137">
        <f>Transportation_LCIA!O$61*($W374^Transportation_LCIA!O$60)+Transportation_LCIA!O$62</f>
        <v>7.5013630480399058E-5</v>
      </c>
      <c r="AL374" s="137">
        <f>Transportation_LCIA!P$61*($W374^Transportation_LCIA!P$60)+Transportation_LCIA!P$62</f>
        <v>3.622947059126279E-8</v>
      </c>
      <c r="AM374" s="137">
        <f>Transportation_LCIA!Q$61*($W374^Transportation_LCIA!Q$60)+Transportation_LCIA!Q$62</f>
        <v>1.2728062224719001E-4</v>
      </c>
      <c r="AN374" s="137">
        <f>Transportation_LCIA!R$61*($W374^Transportation_LCIA!R$60)+Transportation_LCIA!R$62</f>
        <v>3.9383707879712856E-4</v>
      </c>
      <c r="AO374" s="137">
        <f>Transportation_LCIA!S$61*($W374^Transportation_LCIA!S$60)+Transportation_LCIA!S$62</f>
        <v>5.8462294863061377E-6</v>
      </c>
      <c r="AP374" s="137">
        <f>Transportation_LCIA!T$61*($W374^Transportation_LCIA!T$60)+Transportation_LCIA!T$62</f>
        <v>5.8462294863061377E-6</v>
      </c>
      <c r="AQ374" s="137">
        <f>Transportation_LCIA!U$61*($W374^Transportation_LCIA!U$60)+Transportation_LCIA!U$62</f>
        <v>8.5078004970210494E-4</v>
      </c>
      <c r="AR374" s="137">
        <f>Transportation_LCIA!V$61*($W374^Transportation_LCIA!V$60)+Transportation_LCIA!V$62</f>
        <v>3.311828503124549E-4</v>
      </c>
      <c r="AT374" s="137">
        <f>$W374*Y374+$L374*Summary_LCIA!H$34</f>
        <v>191.0249022399928</v>
      </c>
      <c r="AU374" s="137">
        <f ca="1">$W374*Z374+$L374*Summary_LCIA!Q$34</f>
        <v>2029.1797728343165</v>
      </c>
      <c r="AV374" s="137">
        <f ca="1">$W374*AA374+$L374*Summary_LCIA!R$34</f>
        <v>1.090779699990146</v>
      </c>
      <c r="AW374" s="137">
        <f ca="1">$W374*AB374+$L374*Summary_LCIA!S$34</f>
        <v>190.99485807999281</v>
      </c>
      <c r="AX374" s="137">
        <f ca="1">$W374*AC374+$L374*Summary_LCIA!T$34</f>
        <v>47.086702552035042</v>
      </c>
      <c r="AY374" s="137">
        <f ca="1">$W374*AD374+$L374*Summary_LCIA!U$34</f>
        <v>0.29413979553293756</v>
      </c>
      <c r="AZ374" s="137">
        <f ca="1">$W374*AE374+$L374*Summary_LCIA!V$34</f>
        <v>7.751034369097333E-3</v>
      </c>
      <c r="BA374" s="137">
        <f ca="1">$W374*AF374+$L374*Summary_LCIA!W$34</f>
        <v>9.4599109532674497</v>
      </c>
      <c r="BB374" s="137">
        <f ca="1">$W374*AG374+$L374*Summary_LCIA!X$34</f>
        <v>10.401111278042041</v>
      </c>
      <c r="BC374" s="137">
        <f ca="1">$W374*AH374+$L374*Summary_LCIA!Y$34</f>
        <v>0.26164096633574563</v>
      </c>
      <c r="BD374" s="137">
        <f ca="1">$W374*AI374+$L374*Summary_LCIA!Z$34</f>
        <v>0.19294113515214156</v>
      </c>
      <c r="BE374" s="137">
        <f ca="1">$W374*AJ374+$L374*Summary_LCIA!AA$34</f>
        <v>0.90667572680572872</v>
      </c>
      <c r="BF374" s="137">
        <f ca="1">$W374*AK374+$L374*Summary_LCIA!AB$34</f>
        <v>4.8967746267449611E-2</v>
      </c>
      <c r="BG374" s="137">
        <f ca="1">$W374*AL374+$L374*Summary_LCIA!AC$34</f>
        <v>2.3856401916366606E-5</v>
      </c>
      <c r="BH374" s="137">
        <f ca="1">$W374*AM374+$L374*Summary_LCIA!AD$34</f>
        <v>8.6694297393241651E-2</v>
      </c>
      <c r="BI374" s="137">
        <f ca="1">$W374*AN374+$L374*Summary_LCIA!AE$34</f>
        <v>0.2669599135017115</v>
      </c>
      <c r="BJ374" s="137">
        <f ca="1">$W374*AO374+$L374*Summary_LCIA!AF$34</f>
        <v>1.0811007942250622E-2</v>
      </c>
      <c r="BK374" s="137">
        <f ca="1">$W374*AP374+$L374*Summary_LCIA!AG$34</f>
        <v>3.9125313962506221E-3</v>
      </c>
      <c r="BL374" s="137">
        <f ca="1">$W374*AQ374+$L374*Summary_LCIA!AH$34</f>
        <v>0.62453049695610352</v>
      </c>
      <c r="BM374" s="137">
        <f ca="1">$W374*AR374+$L374*Summary_LCIA!AI$34</f>
        <v>0.22532711664476934</v>
      </c>
    </row>
    <row r="375" spans="1:65" x14ac:dyDescent="0.25">
      <c r="A375" s="149">
        <v>289</v>
      </c>
      <c r="B375" s="149">
        <v>15</v>
      </c>
      <c r="C375" s="61">
        <v>53.466729999999998</v>
      </c>
      <c r="D375" s="61">
        <v>-2.2341760000000002</v>
      </c>
      <c r="E375" s="61" t="s">
        <v>463</v>
      </c>
      <c r="F375" s="149">
        <v>7</v>
      </c>
      <c r="G375" s="61" t="s">
        <v>628</v>
      </c>
      <c r="H375" s="61" t="s">
        <v>629</v>
      </c>
      <c r="I375" s="61">
        <v>51.470022</v>
      </c>
      <c r="J375" s="61">
        <v>-0.45429599999999998</v>
      </c>
      <c r="K375" s="61">
        <v>261.38947339999999</v>
      </c>
      <c r="L375" s="61">
        <v>334.10500000000002</v>
      </c>
      <c r="M375" s="61" t="s">
        <v>589</v>
      </c>
      <c r="N375" s="149">
        <v>14</v>
      </c>
      <c r="O375" s="149">
        <v>15</v>
      </c>
      <c r="P375" s="61" t="s">
        <v>567</v>
      </c>
      <c r="Q375" s="61" t="s">
        <v>566</v>
      </c>
      <c r="R375" s="61">
        <v>50.037932599999998</v>
      </c>
      <c r="S375" s="61">
        <v>8.5621518000000005</v>
      </c>
      <c r="T375" s="61"/>
      <c r="U375" s="61" t="s">
        <v>622</v>
      </c>
      <c r="V375" s="61" t="s">
        <v>569</v>
      </c>
      <c r="W375" s="61" cm="1">
        <f t="array" ref="W375">getDistance(I375,J375,R375,S375)*SA!$B$12</f>
        <v>655.49865109245718</v>
      </c>
      <c r="Y375" s="137">
        <f>Transportation_LCIA!C$61*($W375^Transportation_LCIA!C$60)+Transportation_LCIA!C$62</f>
        <v>0.28808630932385726</v>
      </c>
      <c r="Z375" s="137">
        <f>Transportation_LCIA!D$61*($W375^Transportation_LCIA!D$60)+Transportation_LCIA!D$62</f>
        <v>3.0403453180333315</v>
      </c>
      <c r="AA375" s="137">
        <f>Transportation_LCIA!E$61*($W375^Transportation_LCIA!E$60)+Transportation_LCIA!E$62</f>
        <v>1.5496127326841335E-3</v>
      </c>
      <c r="AB375" s="137">
        <f>Transportation_LCIA!F$61*($W375^Transportation_LCIA!F$60)+Transportation_LCIA!F$62</f>
        <v>0.28808630932385726</v>
      </c>
      <c r="AC375" s="137">
        <f>Transportation_LCIA!G$61*($W375^Transportation_LCIA!G$60)+Transportation_LCIA!G$62</f>
        <v>7.0904955875308692E-2</v>
      </c>
      <c r="AD375" s="137">
        <f>Transportation_LCIA!H$61*($W375^Transportation_LCIA!H$60)+Transportation_LCIA!H$62</f>
        <v>3.6638661442350167E-4</v>
      </c>
      <c r="AE375" s="137">
        <f>Transportation_LCIA!I$61*($W375^Transportation_LCIA!I$60)+Transportation_LCIA!I$62</f>
        <v>8.1949302872625628E-6</v>
      </c>
      <c r="AF375" s="137">
        <f>Transportation_LCIA!J$61*($W375^Transportation_LCIA!J$60)+Transportation_LCIA!J$62</f>
        <v>1.216906133974993E-2</v>
      </c>
      <c r="AG375" s="137">
        <f>Transportation_LCIA!K$61*($W375^Transportation_LCIA!K$60)+Transportation_LCIA!K$62</f>
        <v>1.5391950999787709E-2</v>
      </c>
      <c r="AH375" s="137">
        <f>Transportation_LCIA!L$61*($W375^Transportation_LCIA!L$60)+Transportation_LCIA!L$62</f>
        <v>3.224475626051792E-4</v>
      </c>
      <c r="AI375" s="137">
        <f>Transportation_LCIA!M$61*($W375^Transportation_LCIA!M$60)+Transportation_LCIA!M$62</f>
        <v>2.9306665716547056E-4</v>
      </c>
      <c r="AJ375" s="137">
        <f>Transportation_LCIA!N$61*($W375^Transportation_LCIA!N$60)+Transportation_LCIA!N$62</f>
        <v>1.2908631335785605E-3</v>
      </c>
      <c r="AK375" s="137">
        <f>Transportation_LCIA!O$61*($W375^Transportation_LCIA!O$60)+Transportation_LCIA!O$62</f>
        <v>7.5013630480399058E-5</v>
      </c>
      <c r="AL375" s="137">
        <f>Transportation_LCIA!P$61*($W375^Transportation_LCIA!P$60)+Transportation_LCIA!P$62</f>
        <v>3.622947059126279E-8</v>
      </c>
      <c r="AM375" s="137">
        <f>Transportation_LCIA!Q$61*($W375^Transportation_LCIA!Q$60)+Transportation_LCIA!Q$62</f>
        <v>1.2728062224719001E-4</v>
      </c>
      <c r="AN375" s="137">
        <f>Transportation_LCIA!R$61*($W375^Transportation_LCIA!R$60)+Transportation_LCIA!R$62</f>
        <v>3.9383707879712856E-4</v>
      </c>
      <c r="AO375" s="137">
        <f>Transportation_LCIA!S$61*($W375^Transportation_LCIA!S$60)+Transportation_LCIA!S$62</f>
        <v>5.8462294863061377E-6</v>
      </c>
      <c r="AP375" s="137">
        <f>Transportation_LCIA!T$61*($W375^Transportation_LCIA!T$60)+Transportation_LCIA!T$62</f>
        <v>5.8462294863061377E-6</v>
      </c>
      <c r="AQ375" s="137">
        <f>Transportation_LCIA!U$61*($W375^Transportation_LCIA!U$60)+Transportation_LCIA!U$62</f>
        <v>8.5078004970210494E-4</v>
      </c>
      <c r="AR375" s="137">
        <f>Transportation_LCIA!V$61*($W375^Transportation_LCIA!V$60)+Transportation_LCIA!V$62</f>
        <v>3.311828503124549E-4</v>
      </c>
      <c r="AT375" s="137">
        <f>$W375*Y375+$L375*Summary_LCIA!H$34</f>
        <v>213.71831366999282</v>
      </c>
      <c r="AU375" s="137">
        <f ca="1">$W375*Z375+$L375*Summary_LCIA!Q$34</f>
        <v>2405.5917420152664</v>
      </c>
      <c r="AV375" s="137">
        <f ca="1">$W375*AA375+$L375*Summary_LCIA!R$34</f>
        <v>1.8699418989901462</v>
      </c>
      <c r="AW375" s="137">
        <f ca="1">$W375*AB375+$L375*Summary_LCIA!S$34</f>
        <v>213.37619014999282</v>
      </c>
      <c r="AX375" s="137">
        <f ca="1">$W375*AC375+$L375*Summary_LCIA!T$34</f>
        <v>53.408442947035041</v>
      </c>
      <c r="AY375" s="137">
        <f ca="1">$W375*AD375+$L375*Summary_LCIA!U$34</f>
        <v>0.85478548953293754</v>
      </c>
      <c r="AZ375" s="137">
        <f ca="1">$W375*AE375+$L375*Summary_LCIA!V$34</f>
        <v>3.2465342514097335E-2</v>
      </c>
      <c r="BA375" s="137">
        <f ca="1">$W375*AF375+$L375*Summary_LCIA!W$34</f>
        <v>24.865476938267449</v>
      </c>
      <c r="BB375" s="137">
        <f ca="1">$W375*AG375+$L375*Summary_LCIA!X$34</f>
        <v>13.638934638042041</v>
      </c>
      <c r="BC375" s="137">
        <f ca="1">$W375*AH375+$L375*Summary_LCIA!Y$34</f>
        <v>0.78388627033574565</v>
      </c>
      <c r="BD375" s="137">
        <f ca="1">$W375*AI375+$L375*Summary_LCIA!Z$34</f>
        <v>0.20162846147714156</v>
      </c>
      <c r="BE375" s="137">
        <f ca="1">$W375*AJ375+$L375*Summary_LCIA!AA$34</f>
        <v>1.5352840158057286</v>
      </c>
      <c r="BF375" s="137">
        <f ca="1">$W375*AK375+$L375*Summary_LCIA!AB$34</f>
        <v>4.6853012408949617E-2</v>
      </c>
      <c r="BG375" s="137">
        <f ca="1">$W375*AL375+$L375*Summary_LCIA!AC$34</f>
        <v>2.4978577122866603E-5</v>
      </c>
      <c r="BH375" s="137">
        <f ca="1">$W375*AM375+$L375*Summary_LCIA!AD$34</f>
        <v>0.12057807009324165</v>
      </c>
      <c r="BI375" s="137">
        <f ca="1">$W375*AN375+$L375*Summary_LCIA!AE$34</f>
        <v>0.35837112760171153</v>
      </c>
      <c r="BJ375" s="137">
        <f ca="1">$W375*AO375+$L375*Summary_LCIA!AF$34</f>
        <v>8.3302410842250624E-2</v>
      </c>
      <c r="BK375" s="137">
        <f ca="1">$W375*AP375+$L375*Summary_LCIA!AG$34</f>
        <v>4.7470084427506222E-3</v>
      </c>
      <c r="BL375" s="137">
        <f ca="1">$W375*AQ375+$L375*Summary_LCIA!AH$34</f>
        <v>1.3188765964561036</v>
      </c>
      <c r="BM375" s="137">
        <f ca="1">$W375*AR375+$L375*Summary_LCIA!AI$34</f>
        <v>0.31088989039476933</v>
      </c>
    </row>
    <row r="376" spans="1:65" x14ac:dyDescent="0.25">
      <c r="A376" s="149">
        <v>292</v>
      </c>
      <c r="B376" s="149">
        <v>15</v>
      </c>
      <c r="C376" s="61">
        <v>43.719819000000001</v>
      </c>
      <c r="D376" s="61">
        <v>10.402931000000001</v>
      </c>
      <c r="E376" s="61" t="s">
        <v>421</v>
      </c>
      <c r="F376" s="149">
        <v>51</v>
      </c>
      <c r="G376" s="61" t="s">
        <v>698</v>
      </c>
      <c r="H376" s="61" t="s">
        <v>716</v>
      </c>
      <c r="I376" s="61">
        <v>41.799886999999998</v>
      </c>
      <c r="J376" s="61">
        <v>12.246238</v>
      </c>
      <c r="K376" s="61">
        <v>278.4546272</v>
      </c>
      <c r="L376" s="61">
        <v>329.53500000000003</v>
      </c>
      <c r="M376" s="61" t="s">
        <v>617</v>
      </c>
      <c r="N376" s="149">
        <v>14</v>
      </c>
      <c r="O376" s="149">
        <v>15</v>
      </c>
      <c r="P376" s="61" t="s">
        <v>567</v>
      </c>
      <c r="Q376" s="61" t="s">
        <v>566</v>
      </c>
      <c r="R376" s="61">
        <v>50.037932599999998</v>
      </c>
      <c r="S376" s="61">
        <v>8.5621518000000005</v>
      </c>
      <c r="T376" s="61"/>
      <c r="U376" s="61" t="s">
        <v>622</v>
      </c>
      <c r="V376" s="61" t="s">
        <v>569</v>
      </c>
      <c r="W376" s="61" cm="1">
        <f t="array" ref="W376">getDistance(I376,J376,R376,S376)*SA!$B$12</f>
        <v>960.33096396061467</v>
      </c>
      <c r="Y376" s="137">
        <f>Transportation_LCIA!C$61*($W376^Transportation_LCIA!C$60)+Transportation_LCIA!C$62</f>
        <v>0.23978916330242275</v>
      </c>
      <c r="Z376" s="137">
        <f>Transportation_LCIA!D$61*($W376^Transportation_LCIA!D$60)+Transportation_LCIA!D$62</f>
        <v>2.4708787889542601</v>
      </c>
      <c r="AA376" s="137">
        <f>Transportation_LCIA!E$61*($W376^Transportation_LCIA!E$60)+Transportation_LCIA!E$62</f>
        <v>1.174109327635068E-3</v>
      </c>
      <c r="AB376" s="137">
        <f>Transportation_LCIA!F$61*($W376^Transportation_LCIA!F$60)+Transportation_LCIA!F$62</f>
        <v>0.23978916330242275</v>
      </c>
      <c r="AC376" s="137">
        <f>Transportation_LCIA!G$61*($W376^Transportation_LCIA!G$60)+Transportation_LCIA!G$62</f>
        <v>5.7737841551702487E-2</v>
      </c>
      <c r="AD376" s="137">
        <f>Transportation_LCIA!H$61*($W376^Transportation_LCIA!H$60)+Transportation_LCIA!H$62</f>
        <v>2.8334647040481186E-4</v>
      </c>
      <c r="AE376" s="137">
        <f>Transportation_LCIA!I$61*($W376^Transportation_LCIA!I$60)+Transportation_LCIA!I$62</f>
        <v>6.0850967306403664E-6</v>
      </c>
      <c r="AF376" s="137">
        <f>Transportation_LCIA!J$61*($W376^Transportation_LCIA!J$60)+Transportation_LCIA!J$62</f>
        <v>9.0078905630086234E-3</v>
      </c>
      <c r="AG376" s="137">
        <f>Transportation_LCIA!K$61*($W376^Transportation_LCIA!K$60)+Transportation_LCIA!K$62</f>
        <v>1.230224715256964E-2</v>
      </c>
      <c r="AH376" s="137">
        <f>Transportation_LCIA!L$61*($W376^Transportation_LCIA!L$60)+Transportation_LCIA!L$62</f>
        <v>2.4590448371425308E-4</v>
      </c>
      <c r="AI376" s="137">
        <f>Transportation_LCIA!M$61*($W376^Transportation_LCIA!M$60)+Transportation_LCIA!M$62</f>
        <v>2.4722323152264391E-4</v>
      </c>
      <c r="AJ376" s="137">
        <f>Transportation_LCIA!N$61*($W376^Transportation_LCIA!N$60)+Transportation_LCIA!N$62</f>
        <v>1.0118732947864647E-3</v>
      </c>
      <c r="AK376" s="137">
        <f>Transportation_LCIA!O$61*($W376^Transportation_LCIA!O$60)+Transportation_LCIA!O$62</f>
        <v>6.1017911221320582E-5</v>
      </c>
      <c r="AL376" s="137">
        <f>Transportation_LCIA!P$61*($W376^Transportation_LCIA!P$60)+Transportation_LCIA!P$62</f>
        <v>2.9505637910099093E-8</v>
      </c>
      <c r="AM376" s="137">
        <f>Transportation_LCIA!Q$61*($W376^Transportation_LCIA!Q$60)+Transportation_LCIA!Q$62</f>
        <v>9.7309772323205714E-5</v>
      </c>
      <c r="AN376" s="137">
        <f>Transportation_LCIA!R$61*($W376^Transportation_LCIA!R$60)+Transportation_LCIA!R$62</f>
        <v>2.926416879903948E-4</v>
      </c>
      <c r="AO376" s="137">
        <f>Transportation_LCIA!S$61*($W376^Transportation_LCIA!S$60)+Transportation_LCIA!S$62</f>
        <v>4.4106471577943657E-6</v>
      </c>
      <c r="AP376" s="137">
        <f>Transportation_LCIA!T$61*($W376^Transportation_LCIA!T$60)+Transportation_LCIA!T$62</f>
        <v>4.4106471577943657E-6</v>
      </c>
      <c r="AQ376" s="137">
        <f>Transportation_LCIA!U$61*($W376^Transportation_LCIA!U$60)+Transportation_LCIA!U$62</f>
        <v>6.284668197431289E-4</v>
      </c>
      <c r="AR376" s="137">
        <f>Transportation_LCIA!V$61*($W376^Transportation_LCIA!V$60)+Transportation_LCIA!V$62</f>
        <v>2.5307125805150313E-4</v>
      </c>
      <c r="AT376" s="137">
        <f>$W376*Y376+$L376*Summary_LCIA!H$32</f>
        <v>342.25295134152492</v>
      </c>
      <c r="AU376" s="137">
        <f>$W376*Z376+$L376*Summary_LCIA!Q$32</f>
        <v>4006.0534886649357</v>
      </c>
      <c r="AV376" s="137">
        <f>$W376*AA376+$L376*Summary_LCIA!R$32</f>
        <v>2.8627330384029337</v>
      </c>
      <c r="AW376" s="137">
        <f>$W376*AB376+$L376*Summary_LCIA!S$32</f>
        <v>340.79640664152492</v>
      </c>
      <c r="AX376" s="137">
        <f>$W376*AC376+$L376*Summary_LCIA!T$32</f>
        <v>91.663333534351679</v>
      </c>
      <c r="AY376" s="137">
        <f>$W376*AD376+$L376*Summary_LCIA!U$32</f>
        <v>6.1753963790586912</v>
      </c>
      <c r="AZ376" s="137">
        <f>$W376*AE376+$L376*Summary_LCIA!V$32</f>
        <v>2.1582627944129448E-2</v>
      </c>
      <c r="BA376" s="137">
        <f>$W376*AF376+$L376*Summary_LCIA!W$32</f>
        <v>34.015194712625799</v>
      </c>
      <c r="BB376" s="137">
        <f>$W376*AG376+$L376*Summary_LCIA!X$32</f>
        <v>19.321036166908929</v>
      </c>
      <c r="BC376" s="137">
        <f>$W376*AH376+$L376*Summary_LCIA!Y$32</f>
        <v>5.3709640598875463</v>
      </c>
      <c r="BD376" s="137">
        <f>$W376*AI376+$L376*Summary_LCIA!Z$32</f>
        <v>0.25093002505659884</v>
      </c>
      <c r="BE376" s="137">
        <f>$W376*AJ376+$L376*Summary_LCIA!AA$32</f>
        <v>8.6683527165882897</v>
      </c>
      <c r="BF376" s="137">
        <f>$W376*AK376+$L376*Summary_LCIA!AB$32</f>
        <v>5.1405947197034001E-2</v>
      </c>
      <c r="BG376" s="137">
        <f>$W376*AL376+$L376*Summary_LCIA!AC$32</f>
        <v>4.4444166636478321E-5</v>
      </c>
      <c r="BH376" s="137">
        <f>$W376*AM376+$L376*Summary_LCIA!AD$32</f>
        <v>0.2289016538579321</v>
      </c>
      <c r="BI376" s="137">
        <f>$W376*AN376+$L376*Summary_LCIA!AE$32</f>
        <v>0.57304372387287728</v>
      </c>
      <c r="BJ376" s="137">
        <f>$W376*AO376+$L376*Summary_LCIA!AF$32</f>
        <v>0.28283116073673487</v>
      </c>
      <c r="BK376" s="137">
        <f>$W376*AP376+$L376*Summary_LCIA!AG$32</f>
        <v>2.109633931173481E-2</v>
      </c>
      <c r="BL376" s="137">
        <f>$W376*AQ376+$L376*Summary_LCIA!AH$32</f>
        <v>3.4716769728211814</v>
      </c>
      <c r="BM376" s="137">
        <f>$W376*AR376+$L376*Summary_LCIA!AI$32</f>
        <v>0.55001049444532546</v>
      </c>
    </row>
    <row r="377" spans="1:65" x14ac:dyDescent="0.25">
      <c r="A377" s="149">
        <v>308</v>
      </c>
      <c r="B377" s="149">
        <v>15</v>
      </c>
      <c r="C377" s="61">
        <v>18.520430000000001</v>
      </c>
      <c r="D377" s="61">
        <v>73.856744000000006</v>
      </c>
      <c r="E377" s="61" t="s">
        <v>268</v>
      </c>
      <c r="F377" s="149">
        <v>41</v>
      </c>
      <c r="G377" s="61" t="s">
        <v>704</v>
      </c>
      <c r="H377" s="61" t="s">
        <v>717</v>
      </c>
      <c r="I377" s="61">
        <v>19.089559999999999</v>
      </c>
      <c r="J377" s="61">
        <v>72.865613999999994</v>
      </c>
      <c r="K377" s="61">
        <v>138.57053590000001</v>
      </c>
      <c r="L377" s="61">
        <v>150.84200000000001</v>
      </c>
      <c r="M377" s="61" t="s">
        <v>617</v>
      </c>
      <c r="N377" s="149">
        <v>14</v>
      </c>
      <c r="O377" s="149">
        <v>15</v>
      </c>
      <c r="P377" s="61" t="s">
        <v>567</v>
      </c>
      <c r="Q377" s="61" t="s">
        <v>566</v>
      </c>
      <c r="R377" s="61">
        <v>50.037932599999998</v>
      </c>
      <c r="S377" s="61">
        <v>8.5621518000000005</v>
      </c>
      <c r="T377" s="61"/>
      <c r="U377" s="61" t="s">
        <v>622</v>
      </c>
      <c r="V377" s="61" t="s">
        <v>569</v>
      </c>
      <c r="W377" s="61" cm="1">
        <f t="array" ref="W377">getDistance(I377,J377,R377,S377)*SA!$B$12</f>
        <v>6580.2744353943472</v>
      </c>
      <c r="Y377" s="137">
        <f>Transportation_LCIA!C$61*($W377^Transportation_LCIA!C$60)+Transportation_LCIA!C$62</f>
        <v>0.13733361124554672</v>
      </c>
      <c r="Z377" s="137">
        <f>Transportation_LCIA!D$61*($W377^Transportation_LCIA!D$60)+Transportation_LCIA!D$62</f>
        <v>1.3096052149503097</v>
      </c>
      <c r="AA377" s="137">
        <f>Transportation_LCIA!E$61*($W377^Transportation_LCIA!E$60)+Transportation_LCIA!E$62</f>
        <v>4.167549847883517E-4</v>
      </c>
      <c r="AB377" s="137">
        <f>Transportation_LCIA!F$61*($W377^Transportation_LCIA!F$60)+Transportation_LCIA!F$62</f>
        <v>0.13733361124554672</v>
      </c>
      <c r="AC377" s="137">
        <f>Transportation_LCIA!G$61*($W377^Transportation_LCIA!G$60)+Transportation_LCIA!G$62</f>
        <v>3.0825516683626344E-2</v>
      </c>
      <c r="AD377" s="137">
        <f>Transportation_LCIA!H$61*($W377^Transportation_LCIA!H$60)+Transportation_LCIA!H$62</f>
        <v>1.1944712567135815E-4</v>
      </c>
      <c r="AE377" s="137">
        <f>Transportation_LCIA!I$61*($W377^Transportation_LCIA!I$60)+Transportation_LCIA!I$62</f>
        <v>2.0622065954474047E-6</v>
      </c>
      <c r="AF377" s="137">
        <f>Transportation_LCIA!J$61*($W377^Transportation_LCIA!J$60)+Transportation_LCIA!J$62</f>
        <v>3.1136555102907462E-3</v>
      </c>
      <c r="AG377" s="137">
        <f>Transportation_LCIA!K$61*($W377^Transportation_LCIA!K$60)+Transportation_LCIA!K$62</f>
        <v>6.1108474220744136E-3</v>
      </c>
      <c r="AH377" s="137">
        <f>Transportation_LCIA!L$61*($W377^Transportation_LCIA!L$60)+Transportation_LCIA!L$62</f>
        <v>9.6312916085844412E-5</v>
      </c>
      <c r="AI377" s="137">
        <f>Transportation_LCIA!M$61*($W377^Transportation_LCIA!M$60)+Transportation_LCIA!M$62</f>
        <v>1.5684659821607017E-4</v>
      </c>
      <c r="AJ377" s="137">
        <f>Transportation_LCIA!N$61*($W377^Transportation_LCIA!N$60)+Transportation_LCIA!N$62</f>
        <v>4.5969846283624706E-4</v>
      </c>
      <c r="AK377" s="137">
        <f>Transportation_LCIA!O$61*($W377^Transportation_LCIA!O$60)+Transportation_LCIA!O$62</f>
        <v>3.2442843105639033E-5</v>
      </c>
      <c r="AL377" s="137">
        <f>Transportation_LCIA!P$61*($W377^Transportation_LCIA!P$60)+Transportation_LCIA!P$62</f>
        <v>1.5737426471474715E-8</v>
      </c>
      <c r="AM377" s="137">
        <f>Transportation_LCIA!Q$61*($W377^Transportation_LCIA!Q$60)+Transportation_LCIA!Q$62</f>
        <v>3.9046217964547763E-5</v>
      </c>
      <c r="AN377" s="137">
        <f>Transportation_LCIA!R$61*($W377^Transportation_LCIA!R$60)+Transportation_LCIA!R$62</f>
        <v>9.9849108078312195E-5</v>
      </c>
      <c r="AO377" s="137">
        <f>Transportation_LCIA!S$61*($W377^Transportation_LCIA!S$60)+Transportation_LCIA!S$62</f>
        <v>1.6714358989519649E-6</v>
      </c>
      <c r="AP377" s="137">
        <f>Transportation_LCIA!T$61*($W377^Transportation_LCIA!T$60)+Transportation_LCIA!T$62</f>
        <v>1.6714358989519649E-6</v>
      </c>
      <c r="AQ377" s="137">
        <f>Transportation_LCIA!U$61*($W377^Transportation_LCIA!U$60)+Transportation_LCIA!U$62</f>
        <v>2.0767311130637152E-4</v>
      </c>
      <c r="AR377" s="137">
        <f>Transportation_LCIA!V$61*($W377^Transportation_LCIA!V$60)+Transportation_LCIA!V$62</f>
        <v>1.0225493834790514E-4</v>
      </c>
      <c r="AT377" s="137">
        <f>$W377*Y377+$L377*Summary_LCIA!H$32</f>
        <v>954.94896279945669</v>
      </c>
      <c r="AU377" s="137">
        <f>$W377*Z377+$L377*Summary_LCIA!Q$32</f>
        <v>9365.1422758112276</v>
      </c>
      <c r="AV377" s="137">
        <f>$W377*AA377+$L377*Summary_LCIA!R$32</f>
        <v>3.536635807425951</v>
      </c>
      <c r="AW377" s="137">
        <f>$W377*AB377+$L377*Summary_LCIA!S$32</f>
        <v>954.28224115945659</v>
      </c>
      <c r="AX377" s="137">
        <f>$W377*AC377+$L377*Summary_LCIA!T$32</f>
        <v>219.41789519108835</v>
      </c>
      <c r="AY377" s="137">
        <f>$W377*AD377+$L377*Summary_LCIA!U$32</f>
        <v>3.4881784554365738</v>
      </c>
      <c r="AZ377" s="137">
        <f>$W377*AE377+$L377*Summary_LCIA!V$32</f>
        <v>2.0774250102524171E-2</v>
      </c>
      <c r="BA377" s="137">
        <f>$W377*AF377+$L377*Summary_LCIA!W$32</f>
        <v>32.099167336990938</v>
      </c>
      <c r="BB377" s="137">
        <f>$W377*AG377+$L377*Summary_LCIA!X$32</f>
        <v>43.647233830071713</v>
      </c>
      <c r="BC377" s="137">
        <f>$W377*AH377+$L377*Summary_LCIA!Y$32</f>
        <v>2.9841854635179632</v>
      </c>
      <c r="BD377" s="137">
        <f>$W377*AI377+$L377*Summary_LCIA!Z$32</f>
        <v>1.0382795400977753</v>
      </c>
      <c r="BE377" s="137">
        <f>$W377*AJ377+$L377*Summary_LCIA!AA$32</f>
        <v>6.5480077949914346</v>
      </c>
      <c r="BF377" s="137">
        <f>$W377*AK377+$L377*Summary_LCIA!AB$32</f>
        <v>0.21019098613354628</v>
      </c>
      <c r="BG377" s="137">
        <f>$W377*AL377+$L377*Summary_LCIA!AC$32</f>
        <v>1.1093034541714334E-4</v>
      </c>
      <c r="BH377" s="137">
        <f>$W377*AM377+$L377*Summary_LCIA!AD$32</f>
        <v>0.3189369255509491</v>
      </c>
      <c r="BI377" s="137">
        <f>$W377*AN377+$L377*Summary_LCIA!AE$32</f>
        <v>0.79070015474464483</v>
      </c>
      <c r="BJ377" s="137">
        <f>$W377*AO377+$L377*Summary_LCIA!AF$32</f>
        <v>0.13852335055627402</v>
      </c>
      <c r="BK377" s="137">
        <f>$W377*AP377+$L377*Summary_LCIA!AG$32</f>
        <v>1.8716337846273984E-2</v>
      </c>
      <c r="BL377" s="137">
        <f>$W377*AQ377+$L377*Summary_LCIA!AH$32</f>
        <v>2.6794144964481217</v>
      </c>
      <c r="BM377" s="137">
        <f>$W377*AR377+$L377*Summary_LCIA!AI$32</f>
        <v>0.81338242180354525</v>
      </c>
    </row>
    <row r="378" spans="1:65" x14ac:dyDescent="0.25">
      <c r="A378" s="149">
        <v>309</v>
      </c>
      <c r="B378" s="149">
        <v>43</v>
      </c>
      <c r="C378" s="61">
        <v>-22.912496000000001</v>
      </c>
      <c r="D378" s="61">
        <v>-43.224753999999997</v>
      </c>
      <c r="E378" s="61" t="s">
        <v>465</v>
      </c>
      <c r="F378" s="149">
        <v>52</v>
      </c>
      <c r="G378" s="61" t="s">
        <v>682</v>
      </c>
      <c r="H378" s="61" t="s">
        <v>683</v>
      </c>
      <c r="I378" s="61">
        <v>-23.430572999999999</v>
      </c>
      <c r="J378" s="61">
        <v>-46.473042999999997</v>
      </c>
      <c r="K378" s="61">
        <v>339.4912473</v>
      </c>
      <c r="L378" s="61">
        <v>415.65699999999998</v>
      </c>
      <c r="M378" s="61" t="s">
        <v>617</v>
      </c>
      <c r="N378" s="149">
        <v>42</v>
      </c>
      <c r="O378" s="149">
        <v>43</v>
      </c>
      <c r="P378" s="61" t="s">
        <v>565</v>
      </c>
      <c r="Q378" s="61" t="s">
        <v>555</v>
      </c>
      <c r="R378" s="61">
        <v>40.6895314</v>
      </c>
      <c r="S378" s="61">
        <v>-74.174462399999996</v>
      </c>
      <c r="T378" s="61"/>
      <c r="U378" s="61" t="s">
        <v>622</v>
      </c>
      <c r="V378" s="61" t="s">
        <v>569</v>
      </c>
      <c r="W378" s="61" cm="1">
        <f t="array" ref="W378">getDistance(I378,J378,R378,S378)*SA!$B$12</f>
        <v>7675.4977192762117</v>
      </c>
      <c r="Y378" s="137">
        <f>Transportation_LCIA!C$61*($W378^Transportation_LCIA!C$60)+Transportation_LCIA!C$62</f>
        <v>0.13424943238738063</v>
      </c>
      <c r="Z378" s="137">
        <f>Transportation_LCIA!D$61*($W378^Transportation_LCIA!D$60)+Transportation_LCIA!D$62</f>
        <v>1.2765543631290379</v>
      </c>
      <c r="AA378" s="137">
        <f>Transportation_LCIA!E$61*($W378^Transportation_LCIA!E$60)+Transportation_LCIA!E$62</f>
        <v>3.9553900962361856E-4</v>
      </c>
      <c r="AB378" s="137">
        <f>Transportation_LCIA!F$61*($W378^Transportation_LCIA!F$60)+Transportation_LCIA!F$62</f>
        <v>0.13424943238738063</v>
      </c>
      <c r="AC378" s="137">
        <f>Transportation_LCIA!G$61*($W378^Transportation_LCIA!G$60)+Transportation_LCIA!G$62</f>
        <v>3.0057048635015446E-2</v>
      </c>
      <c r="AD378" s="137">
        <f>Transportation_LCIA!H$61*($W378^Transportation_LCIA!H$60)+Transportation_LCIA!H$62</f>
        <v>1.149978281190226E-4</v>
      </c>
      <c r="AE378" s="137">
        <f>Transportation_LCIA!I$61*($W378^Transportation_LCIA!I$60)+Transportation_LCIA!I$62</f>
        <v>1.9584230783402369E-6</v>
      </c>
      <c r="AF378" s="137">
        <f>Transportation_LCIA!J$61*($W378^Transportation_LCIA!J$60)+Transportation_LCIA!J$62</f>
        <v>2.9666033230189414E-3</v>
      </c>
      <c r="AG378" s="137">
        <f>Transportation_LCIA!K$61*($W378^Transportation_LCIA!K$60)+Transportation_LCIA!K$62</f>
        <v>5.939023856835134E-3</v>
      </c>
      <c r="AH378" s="137">
        <f>Transportation_LCIA!L$61*($W378^Transportation_LCIA!L$60)+Transportation_LCIA!L$62</f>
        <v>9.231034679941437E-5</v>
      </c>
      <c r="AI378" s="137">
        <f>Transportation_LCIA!M$61*($W378^Transportation_LCIA!M$60)+Transportation_LCIA!M$62</f>
        <v>1.5439739462800624E-4</v>
      </c>
      <c r="AJ378" s="137">
        <f>Transportation_LCIA!N$61*($W378^Transportation_LCIA!N$60)+Transportation_LCIA!N$62</f>
        <v>4.4464828300701579E-4</v>
      </c>
      <c r="AK378" s="137">
        <f>Transportation_LCIA!O$61*($W378^Transportation_LCIA!O$60)+Transportation_LCIA!O$62</f>
        <v>3.1628157862202805E-5</v>
      </c>
      <c r="AL378" s="137">
        <f>Transportation_LCIA!P$61*($W378^Transportation_LCIA!P$60)+Transportation_LCIA!P$62</f>
        <v>1.5343242797536933E-8</v>
      </c>
      <c r="AM378" s="137">
        <f>Transportation_LCIA!Q$61*($W378^Transportation_LCIA!Q$60)+Transportation_LCIA!Q$62</f>
        <v>3.7499396651848744E-5</v>
      </c>
      <c r="AN378" s="137">
        <f>Transportation_LCIA!R$61*($W378^Transportation_LCIA!R$60)+Transportation_LCIA!R$62</f>
        <v>9.4881540131120523E-5</v>
      </c>
      <c r="AO378" s="137">
        <f>Transportation_LCIA!S$61*($W378^Transportation_LCIA!S$60)+Transportation_LCIA!S$62</f>
        <v>1.6006945379788757E-6</v>
      </c>
      <c r="AP378" s="137">
        <f>Transportation_LCIA!T$61*($W378^Transportation_LCIA!T$60)+Transportation_LCIA!T$62</f>
        <v>1.6006945379788757E-6</v>
      </c>
      <c r="AQ378" s="137">
        <f>Transportation_LCIA!U$61*($W378^Transportation_LCIA!U$60)+Transportation_LCIA!U$62</f>
        <v>1.9693553473578207E-4</v>
      </c>
      <c r="AR378" s="137">
        <f>Transportation_LCIA!V$61*($W378^Transportation_LCIA!V$60)+Transportation_LCIA!V$62</f>
        <v>9.8291109398391277E-5</v>
      </c>
      <c r="AT378" s="137">
        <f>$W378*Y378+$L378*Summary_LCIA!H$32</f>
        <v>1171.671460703466</v>
      </c>
      <c r="AU378" s="137">
        <f>$W378*Z378+$L378*Summary_LCIA!Q$32</f>
        <v>11858.207157558509</v>
      </c>
      <c r="AV378" s="137">
        <f>$W378*AA378+$L378*Summary_LCIA!R$32</f>
        <v>5.2246422654508553</v>
      </c>
      <c r="AW378" s="137">
        <f>$W378*AB378+$L378*Summary_LCIA!S$32</f>
        <v>1169.8342567634659</v>
      </c>
      <c r="AX378" s="137">
        <f>$W378*AC378+$L378*Summary_LCIA!T$32</f>
        <v>276.38351254623524</v>
      </c>
      <c r="AY378" s="137">
        <f>$W378*AD378+$L378*Summary_LCIA!U$32</f>
        <v>8.3287450654492758</v>
      </c>
      <c r="AZ378" s="137">
        <f>$W378*AE378+$L378*Summary_LCIA!V$32</f>
        <v>3.4884065848178381E-2</v>
      </c>
      <c r="BA378" s="137">
        <f>$W378*AF378+$L378*Summary_LCIA!W$32</f>
        <v>54.763691986829116</v>
      </c>
      <c r="BB378" s="137">
        <f>$W378*AG378+$L378*Summary_LCIA!X$32</f>
        <v>55.053630527865081</v>
      </c>
      <c r="BC378" s="137">
        <f>$W378*AH378+$L378*Summary_LCIA!Y$32</f>
        <v>7.1852952303245008</v>
      </c>
      <c r="BD378" s="137">
        <f>$W378*AI378+$L378*Summary_LCIA!Z$32</f>
        <v>1.202122528242451</v>
      </c>
      <c r="BE378" s="137">
        <f>$W378*AJ378+$L378*Summary_LCIA!AA$32</f>
        <v>13.120981774100432</v>
      </c>
      <c r="BF378" s="137">
        <f>$W378*AK378+$L378*Summary_LCIA!AB$32</f>
        <v>0.23369097082524559</v>
      </c>
      <c r="BG378" s="137">
        <f>$W378*AL378+$L378*Summary_LCIA!AC$32</f>
        <v>1.3808600188679589E-4</v>
      </c>
      <c r="BH378" s="137">
        <f>$W378*AM378+$L378*Summary_LCIA!AD$32</f>
        <v>0.45867818675549898</v>
      </c>
      <c r="BI378" s="137">
        <f>$W378*AN378+$L378*Summary_LCIA!AE$32</f>
        <v>1.09658918228783</v>
      </c>
      <c r="BJ378" s="137">
        <f>$W378*AO378+$L378*Summary_LCIA!AF$32</f>
        <v>0.36369086821551477</v>
      </c>
      <c r="BK378" s="137">
        <f>$W378*AP378+$L378*Summary_LCIA!AG$32</f>
        <v>3.3553217680514752E-2</v>
      </c>
      <c r="BL378" s="137">
        <f>$W378*AQ378+$L378*Summary_LCIA!AH$32</f>
        <v>5.1292905129089368</v>
      </c>
      <c r="BM378" s="137">
        <f>$W378*AR378+$L378*Summary_LCIA!AI$32</f>
        <v>1.1416384643624808</v>
      </c>
    </row>
    <row r="379" spans="1:65" x14ac:dyDescent="0.25">
      <c r="A379" s="149">
        <v>335</v>
      </c>
      <c r="B379" s="149">
        <v>43</v>
      </c>
      <c r="C379" s="61">
        <v>-23.550519999999999</v>
      </c>
      <c r="D379" s="61">
        <v>-46.633308999999997</v>
      </c>
      <c r="E379" s="61" t="s">
        <v>465</v>
      </c>
      <c r="F379" s="149">
        <v>52</v>
      </c>
      <c r="G379" s="61" t="s">
        <v>682</v>
      </c>
      <c r="H379" s="61" t="s">
        <v>683</v>
      </c>
      <c r="I379" s="61">
        <v>-23.430572999999999</v>
      </c>
      <c r="J379" s="61">
        <v>-46.473042999999997</v>
      </c>
      <c r="K379" s="61">
        <v>21.411766369999999</v>
      </c>
      <c r="L379" s="61">
        <v>29.187000000000001</v>
      </c>
      <c r="M379" s="61" t="s">
        <v>617</v>
      </c>
      <c r="N379" s="149">
        <v>42</v>
      </c>
      <c r="O379" s="149">
        <v>43</v>
      </c>
      <c r="P379" s="61" t="s">
        <v>565</v>
      </c>
      <c r="Q379" s="61" t="s">
        <v>555</v>
      </c>
      <c r="R379" s="61">
        <v>40.6895314</v>
      </c>
      <c r="S379" s="61">
        <v>-74.174462399999996</v>
      </c>
      <c r="T379" s="61"/>
      <c r="U379" s="61" t="s">
        <v>622</v>
      </c>
      <c r="V379" s="61" t="s">
        <v>569</v>
      </c>
      <c r="W379" s="61" cm="1">
        <f t="array" ref="W379">getDistance(I379,J379,R379,S379)*SA!$B$12</f>
        <v>7675.4977192762117</v>
      </c>
      <c r="Y379" s="137">
        <f>Transportation_LCIA!C$61*($W379^Transportation_LCIA!C$60)+Transportation_LCIA!C$62</f>
        <v>0.13424943238738063</v>
      </c>
      <c r="Z379" s="137">
        <f>Transportation_LCIA!D$61*($W379^Transportation_LCIA!D$60)+Transportation_LCIA!D$62</f>
        <v>1.2765543631290379</v>
      </c>
      <c r="AA379" s="137">
        <f>Transportation_LCIA!E$61*($W379^Transportation_LCIA!E$60)+Transportation_LCIA!E$62</f>
        <v>3.9553900962361856E-4</v>
      </c>
      <c r="AB379" s="137">
        <f>Transportation_LCIA!F$61*($W379^Transportation_LCIA!F$60)+Transportation_LCIA!F$62</f>
        <v>0.13424943238738063</v>
      </c>
      <c r="AC379" s="137">
        <f>Transportation_LCIA!G$61*($W379^Transportation_LCIA!G$60)+Transportation_LCIA!G$62</f>
        <v>3.0057048635015446E-2</v>
      </c>
      <c r="AD379" s="137">
        <f>Transportation_LCIA!H$61*($W379^Transportation_LCIA!H$60)+Transportation_LCIA!H$62</f>
        <v>1.149978281190226E-4</v>
      </c>
      <c r="AE379" s="137">
        <f>Transportation_LCIA!I$61*($W379^Transportation_LCIA!I$60)+Transportation_LCIA!I$62</f>
        <v>1.9584230783402369E-6</v>
      </c>
      <c r="AF379" s="137">
        <f>Transportation_LCIA!J$61*($W379^Transportation_LCIA!J$60)+Transportation_LCIA!J$62</f>
        <v>2.9666033230189414E-3</v>
      </c>
      <c r="AG379" s="137">
        <f>Transportation_LCIA!K$61*($W379^Transportation_LCIA!K$60)+Transportation_LCIA!K$62</f>
        <v>5.939023856835134E-3</v>
      </c>
      <c r="AH379" s="137">
        <f>Transportation_LCIA!L$61*($W379^Transportation_LCIA!L$60)+Transportation_LCIA!L$62</f>
        <v>9.231034679941437E-5</v>
      </c>
      <c r="AI379" s="137">
        <f>Transportation_LCIA!M$61*($W379^Transportation_LCIA!M$60)+Transportation_LCIA!M$62</f>
        <v>1.5439739462800624E-4</v>
      </c>
      <c r="AJ379" s="137">
        <f>Transportation_LCIA!N$61*($W379^Transportation_LCIA!N$60)+Transportation_LCIA!N$62</f>
        <v>4.4464828300701579E-4</v>
      </c>
      <c r="AK379" s="137">
        <f>Transportation_LCIA!O$61*($W379^Transportation_LCIA!O$60)+Transportation_LCIA!O$62</f>
        <v>3.1628157862202805E-5</v>
      </c>
      <c r="AL379" s="137">
        <f>Transportation_LCIA!P$61*($W379^Transportation_LCIA!P$60)+Transportation_LCIA!P$62</f>
        <v>1.5343242797536933E-8</v>
      </c>
      <c r="AM379" s="137">
        <f>Transportation_LCIA!Q$61*($W379^Transportation_LCIA!Q$60)+Transportation_LCIA!Q$62</f>
        <v>3.7499396651848744E-5</v>
      </c>
      <c r="AN379" s="137">
        <f>Transportation_LCIA!R$61*($W379^Transportation_LCIA!R$60)+Transportation_LCIA!R$62</f>
        <v>9.4881540131120523E-5</v>
      </c>
      <c r="AO379" s="137">
        <f>Transportation_LCIA!S$61*($W379^Transportation_LCIA!S$60)+Transportation_LCIA!S$62</f>
        <v>1.6006945379788757E-6</v>
      </c>
      <c r="AP379" s="137">
        <f>Transportation_LCIA!T$61*($W379^Transportation_LCIA!T$60)+Transportation_LCIA!T$62</f>
        <v>1.6006945379788757E-6</v>
      </c>
      <c r="AQ379" s="137">
        <f>Transportation_LCIA!U$61*($W379^Transportation_LCIA!U$60)+Transportation_LCIA!U$62</f>
        <v>1.9693553473578207E-4</v>
      </c>
      <c r="AR379" s="137">
        <f>Transportation_LCIA!V$61*($W379^Transportation_LCIA!V$60)+Transportation_LCIA!V$62</f>
        <v>9.8291109398391277E-5</v>
      </c>
      <c r="AT379" s="137">
        <f>$W379*Y379+$L379*Summary_LCIA!H$32</f>
        <v>1040.348954703466</v>
      </c>
      <c r="AU379" s="137">
        <f>$W379*Z379+$L379*Summary_LCIA!Q$32</f>
        <v>9942.8423467169996</v>
      </c>
      <c r="AV379" s="137">
        <f>$W379*AA379+$L379*Summary_LCIA!R$32</f>
        <v>3.1896458334508555</v>
      </c>
      <c r="AW379" s="137">
        <f>$W379*AB379+$L379*Summary_LCIA!S$32</f>
        <v>1040.2199481634659</v>
      </c>
      <c r="AX379" s="137">
        <f>$W379*AC379+$L379*Summary_LCIA!T$32</f>
        <v>233.91045954623524</v>
      </c>
      <c r="AY379" s="137">
        <f>$W379*AD379+$L379*Summary_LCIA!U$32</f>
        <v>1.4055214854492757</v>
      </c>
      <c r="AZ379" s="137">
        <f>$W379*AE379+$L379*Summary_LCIA!V$32</f>
        <v>1.6425872178178386E-2</v>
      </c>
      <c r="BA379" s="137">
        <f>$W379*AF379+$L379*Summary_LCIA!W$32</f>
        <v>25.016709616829115</v>
      </c>
      <c r="BB379" s="137">
        <f>$W379*AG379+$L379*Summary_LCIA!X$32</f>
        <v>46.249843927865079</v>
      </c>
      <c r="BC379" s="137">
        <f>$W379*AH379+$L379*Summary_LCIA!Y$32</f>
        <v>1.1633196903245011</v>
      </c>
      <c r="BD379" s="137">
        <f>$W379*AI379+$L379*Summary_LCIA!Z$32</f>
        <v>1.186273780012451</v>
      </c>
      <c r="BE379" s="137">
        <f>$W379*AJ379+$L379*Summary_LCIA!AA$32</f>
        <v>4.0945884541004327</v>
      </c>
      <c r="BF379" s="137">
        <f>$W379*AK379+$L379*Summary_LCIA!AB$32</f>
        <v>0.24212490563524561</v>
      </c>
      <c r="BG379" s="137">
        <f>$W379*AL379+$L379*Summary_LCIA!AC$32</f>
        <v>1.1919380240679588E-4</v>
      </c>
      <c r="BH379" s="137">
        <f>$W379*AM379+$L379*Summary_LCIA!AD$32</f>
        <v>0.29982355795549903</v>
      </c>
      <c r="BI379" s="137">
        <f>$W379*AN379+$L379*Summary_LCIA!AE$32</f>
        <v>0.75412652118782986</v>
      </c>
      <c r="BJ379" s="137">
        <f>$W379*AO379+$L379*Summary_LCIA!AF$32</f>
        <v>3.6961400815514751E-2</v>
      </c>
      <c r="BK379" s="137">
        <f>$W379*AP379+$L379*Summary_LCIA!AG$32</f>
        <v>1.3779480130514749E-2</v>
      </c>
      <c r="BL379" s="137">
        <f>$W379*AQ379+$L379*Summary_LCIA!AH$32</f>
        <v>1.7656102209089366</v>
      </c>
      <c r="BM379" s="137">
        <f>$W379*AR379+$L379*Summary_LCIA!AI$32</f>
        <v>0.78162233586248087</v>
      </c>
    </row>
    <row r="380" spans="1:65" x14ac:dyDescent="0.25">
      <c r="A380" s="149">
        <v>347</v>
      </c>
      <c r="B380" s="149">
        <v>15</v>
      </c>
      <c r="C380" s="61">
        <v>40.463667000000001</v>
      </c>
      <c r="D380" s="61">
        <v>-3.7492200000000002</v>
      </c>
      <c r="E380" s="61" t="s">
        <v>466</v>
      </c>
      <c r="F380" s="149">
        <v>22</v>
      </c>
      <c r="G380" s="61" t="s">
        <v>686</v>
      </c>
      <c r="H380" s="61" t="s">
        <v>725</v>
      </c>
      <c r="I380" s="61">
        <v>40.498331999999998</v>
      </c>
      <c r="J380" s="61">
        <v>-3.5675979999999998</v>
      </c>
      <c r="K380" s="61">
        <v>17.248889810000001</v>
      </c>
      <c r="L380" s="61">
        <v>33.814999999999998</v>
      </c>
      <c r="M380" s="61" t="s">
        <v>617</v>
      </c>
      <c r="N380" s="149">
        <v>14</v>
      </c>
      <c r="O380" s="149">
        <v>15</v>
      </c>
      <c r="P380" s="61" t="s">
        <v>567</v>
      </c>
      <c r="Q380" s="61" t="s">
        <v>566</v>
      </c>
      <c r="R380" s="61">
        <v>50.037932599999998</v>
      </c>
      <c r="S380" s="61">
        <v>8.5621518000000005</v>
      </c>
      <c r="T380" s="61"/>
      <c r="U380" s="61" t="s">
        <v>622</v>
      </c>
      <c r="V380" s="61" t="s">
        <v>569</v>
      </c>
      <c r="W380" s="61" cm="1">
        <f t="array" ref="W380">getDistance(I380,J380,R380,S380)*SA!$B$12</f>
        <v>1422.5775061630379</v>
      </c>
      <c r="Y380" s="137">
        <f>Transportation_LCIA!C$61*($W380^Transportation_LCIA!C$60)+Transportation_LCIA!C$62</f>
        <v>0.20387178795923749</v>
      </c>
      <c r="Z380" s="137">
        <f>Transportation_LCIA!D$61*($W380^Transportation_LCIA!D$60)+Transportation_LCIA!D$62</f>
        <v>2.0544332493991768</v>
      </c>
      <c r="AA380" s="137">
        <f>Transportation_LCIA!E$61*($W380^Transportation_LCIA!E$60)+Transportation_LCIA!E$62</f>
        <v>9.0080003519318777E-4</v>
      </c>
      <c r="AB380" s="137">
        <f>Transportation_LCIA!F$61*($W380^Transportation_LCIA!F$60)+Transportation_LCIA!F$62</f>
        <v>0.20387178795923749</v>
      </c>
      <c r="AC380" s="137">
        <f>Transportation_LCIA!G$61*($W380^Transportation_LCIA!G$60)+Transportation_LCIA!G$62</f>
        <v>4.8099419426073042E-2</v>
      </c>
      <c r="AD380" s="137">
        <f>Transportation_LCIA!H$61*($W380^Transportation_LCIA!H$60)+Transportation_LCIA!H$62</f>
        <v>2.2346669639805041E-4</v>
      </c>
      <c r="AE380" s="137">
        <f>Transportation_LCIA!I$61*($W380^Transportation_LCIA!I$60)+Transportation_LCIA!I$62</f>
        <v>4.5863780306586757E-6</v>
      </c>
      <c r="AF380" s="137">
        <f>Transportation_LCIA!J$61*($W380^Transportation_LCIA!J$60)+Transportation_LCIA!J$62</f>
        <v>6.7842712024970423E-3</v>
      </c>
      <c r="AG380" s="137">
        <f>Transportation_LCIA!K$61*($W380^Transportation_LCIA!K$60)+Transportation_LCIA!K$62</f>
        <v>1.0059666229699251E-2</v>
      </c>
      <c r="AH380" s="137">
        <f>Transportation_LCIA!L$61*($W380^Transportation_LCIA!L$60)+Transportation_LCIA!L$62</f>
        <v>1.9094517212979147E-4</v>
      </c>
      <c r="AI380" s="137">
        <f>Transportation_LCIA!M$61*($W380^Transportation_LCIA!M$60)+Transportation_LCIA!M$62</f>
        <v>2.1418258174178348E-4</v>
      </c>
      <c r="AJ380" s="137">
        <f>Transportation_LCIA!N$61*($W380^Transportation_LCIA!N$60)+Transportation_LCIA!N$62</f>
        <v>8.1045513292544438E-4</v>
      </c>
      <c r="AK380" s="137">
        <f>Transportation_LCIA!O$61*($W380^Transportation_LCIA!O$60)+Transportation_LCIA!O$62</f>
        <v>5.07776706689413E-5</v>
      </c>
      <c r="AL380" s="137">
        <f>Transportation_LCIA!P$61*($W380^Transportation_LCIA!P$60)+Transportation_LCIA!P$62</f>
        <v>2.4579866628356082E-8</v>
      </c>
      <c r="AM380" s="137">
        <f>Transportation_LCIA!Q$61*($W380^Transportation_LCIA!Q$60)+Transportation_LCIA!Q$62</f>
        <v>7.583964131960341E-5</v>
      </c>
      <c r="AN380" s="137">
        <f>Transportation_LCIA!R$61*($W380^Transportation_LCIA!R$60)+Transportation_LCIA!R$62</f>
        <v>2.2078368893547546E-4</v>
      </c>
      <c r="AO380" s="137">
        <f>Transportation_LCIA!S$61*($W380^Transportation_LCIA!S$60)+Transportation_LCIA!S$62</f>
        <v>3.390566765884979E-6</v>
      </c>
      <c r="AP380" s="137">
        <f>Transportation_LCIA!T$61*($W380^Transportation_LCIA!T$60)+Transportation_LCIA!T$62</f>
        <v>3.390566765884979E-6</v>
      </c>
      <c r="AQ380" s="137">
        <f>Transportation_LCIA!U$61*($W380^Transportation_LCIA!U$60)+Transportation_LCIA!U$62</f>
        <v>4.7105293233365268E-4</v>
      </c>
      <c r="AR380" s="137">
        <f>Transportation_LCIA!V$61*($W380^Transportation_LCIA!V$60)+Transportation_LCIA!V$62</f>
        <v>1.9728057443119194E-4</v>
      </c>
      <c r="AT380" s="137">
        <f>$W380*Y380+$L380*Summary_LCIA!H$32</f>
        <v>301.51375669205174</v>
      </c>
      <c r="AU380" s="137">
        <f>$W380*Z380+$L380*Summary_LCIA!Q$32</f>
        <v>3090.1793739006025</v>
      </c>
      <c r="AV380" s="137">
        <f>$W380*AA380+$L380*Summary_LCIA!R$32</f>
        <v>1.459514131616702</v>
      </c>
      <c r="AW380" s="137">
        <f>$W380*AB380+$L380*Summary_LCIA!S$32</f>
        <v>301.3642943920517</v>
      </c>
      <c r="AX380" s="137">
        <f>$W380*AC380+$L380*Summary_LCIA!T$32</f>
        <v>72.141420635032972</v>
      </c>
      <c r="AY380" s="137">
        <f>$W380*AD380+$L380*Summary_LCIA!U$32</f>
        <v>0.92366060567243125</v>
      </c>
      <c r="AZ380" s="137">
        <f>$W380*AE380+$L380*Summary_LCIA!V$32</f>
        <v>8.1395164361753643E-3</v>
      </c>
      <c r="BA380" s="137">
        <f>$W380*AF380+$L380*Summary_LCIA!W$32</f>
        <v>12.253925973381957</v>
      </c>
      <c r="BB380" s="137">
        <f>$W380*AG380+$L380*Summary_LCIA!X$32</f>
        <v>15.080960597878091</v>
      </c>
      <c r="BC380" s="137">
        <f>$W380*AH380+$L380*Summary_LCIA!Y$32</f>
        <v>0.79853963678227069</v>
      </c>
      <c r="BD380" s="137">
        <f>$W380*AI380+$L380*Summary_LCIA!Z$32</f>
        <v>0.30607804233278735</v>
      </c>
      <c r="BE380" s="137">
        <f>$W380*AJ380+$L380*Summary_LCIA!AA$32</f>
        <v>1.9427183818541121</v>
      </c>
      <c r="BF380" s="137">
        <f>$W380*AK380+$L380*Summary_LCIA!AB$32</f>
        <v>7.1497227363990556E-2</v>
      </c>
      <c r="BG380" s="137">
        <f>$W380*AL380+$L380*Summary_LCIA!AC$32</f>
        <v>3.6619777829986872E-5</v>
      </c>
      <c r="BH380" s="137">
        <f>$W380*AM380+$L380*Summary_LCIA!AD$32</f>
        <v>0.12178708541674071</v>
      </c>
      <c r="BI380" s="137">
        <f>$W380*AN380+$L380*Summary_LCIA!AE$32</f>
        <v>0.3440463955573046</v>
      </c>
      <c r="BJ380" s="137">
        <f>$W380*AO380+$L380*Summary_LCIA!AF$32</f>
        <v>3.3411221314291931E-2</v>
      </c>
      <c r="BK380" s="137">
        <f>$W380*AP380+$L380*Summary_LCIA!AG$32</f>
        <v>6.5534884892919296E-3</v>
      </c>
      <c r="BL380" s="137">
        <f>$W380*AQ380+$L380*Summary_LCIA!AH$32</f>
        <v>0.96442153974999378</v>
      </c>
      <c r="BM380" s="137">
        <f>$W380*AR380+$L380*Summary_LCIA!AI$32</f>
        <v>0.31214727083873661</v>
      </c>
    </row>
    <row r="381" spans="1:65" x14ac:dyDescent="0.25">
      <c r="A381" s="149">
        <v>350</v>
      </c>
      <c r="B381" s="149">
        <v>15</v>
      </c>
      <c r="C381" s="61">
        <v>53.750993000000001</v>
      </c>
      <c r="D381" s="61">
        <v>-2.367264</v>
      </c>
      <c r="E381" s="61" t="s">
        <v>463</v>
      </c>
      <c r="F381" s="149">
        <v>7</v>
      </c>
      <c r="G381" s="61" t="s">
        <v>628</v>
      </c>
      <c r="H381" s="61" t="s">
        <v>629</v>
      </c>
      <c r="I381" s="61">
        <v>51.470022</v>
      </c>
      <c r="J381" s="61">
        <v>-0.45429599999999998</v>
      </c>
      <c r="K381" s="61">
        <v>293.50665629999997</v>
      </c>
      <c r="L381" s="61">
        <v>394.161</v>
      </c>
      <c r="M381" s="61" t="s">
        <v>589</v>
      </c>
      <c r="N381" s="149">
        <v>14</v>
      </c>
      <c r="O381" s="149">
        <v>15</v>
      </c>
      <c r="P381" s="61" t="s">
        <v>567</v>
      </c>
      <c r="Q381" s="61" t="s">
        <v>566</v>
      </c>
      <c r="R381" s="61">
        <v>50.037932599999998</v>
      </c>
      <c r="S381" s="61">
        <v>8.5621518000000005</v>
      </c>
      <c r="T381" s="61"/>
      <c r="U381" s="61" t="s">
        <v>622</v>
      </c>
      <c r="V381" s="61" t="s">
        <v>569</v>
      </c>
      <c r="W381" s="61" cm="1">
        <f t="array" ref="W381">getDistance(I381,J381,R381,S381)*SA!$B$12</f>
        <v>655.49865109245718</v>
      </c>
      <c r="Y381" s="137">
        <f>Transportation_LCIA!C$61*($W381^Transportation_LCIA!C$60)+Transportation_LCIA!C$62</f>
        <v>0.28808630932385726</v>
      </c>
      <c r="Z381" s="137">
        <f>Transportation_LCIA!D$61*($W381^Transportation_LCIA!D$60)+Transportation_LCIA!D$62</f>
        <v>3.0403453180333315</v>
      </c>
      <c r="AA381" s="137">
        <f>Transportation_LCIA!E$61*($W381^Transportation_LCIA!E$60)+Transportation_LCIA!E$62</f>
        <v>1.5496127326841335E-3</v>
      </c>
      <c r="AB381" s="137">
        <f>Transportation_LCIA!F$61*($W381^Transportation_LCIA!F$60)+Transportation_LCIA!F$62</f>
        <v>0.28808630932385726</v>
      </c>
      <c r="AC381" s="137">
        <f>Transportation_LCIA!G$61*($W381^Transportation_LCIA!G$60)+Transportation_LCIA!G$62</f>
        <v>7.0904955875308692E-2</v>
      </c>
      <c r="AD381" s="137">
        <f>Transportation_LCIA!H$61*($W381^Transportation_LCIA!H$60)+Transportation_LCIA!H$62</f>
        <v>3.6638661442350167E-4</v>
      </c>
      <c r="AE381" s="137">
        <f>Transportation_LCIA!I$61*($W381^Transportation_LCIA!I$60)+Transportation_LCIA!I$62</f>
        <v>8.1949302872625628E-6</v>
      </c>
      <c r="AF381" s="137">
        <f>Transportation_LCIA!J$61*($W381^Transportation_LCIA!J$60)+Transportation_LCIA!J$62</f>
        <v>1.216906133974993E-2</v>
      </c>
      <c r="AG381" s="137">
        <f>Transportation_LCIA!K$61*($W381^Transportation_LCIA!K$60)+Transportation_LCIA!K$62</f>
        <v>1.5391950999787709E-2</v>
      </c>
      <c r="AH381" s="137">
        <f>Transportation_LCIA!L$61*($W381^Transportation_LCIA!L$60)+Transportation_LCIA!L$62</f>
        <v>3.224475626051792E-4</v>
      </c>
      <c r="AI381" s="137">
        <f>Transportation_LCIA!M$61*($W381^Transportation_LCIA!M$60)+Transportation_LCIA!M$62</f>
        <v>2.9306665716547056E-4</v>
      </c>
      <c r="AJ381" s="137">
        <f>Transportation_LCIA!N$61*($W381^Transportation_LCIA!N$60)+Transportation_LCIA!N$62</f>
        <v>1.2908631335785605E-3</v>
      </c>
      <c r="AK381" s="137">
        <f>Transportation_LCIA!O$61*($W381^Transportation_LCIA!O$60)+Transportation_LCIA!O$62</f>
        <v>7.5013630480399058E-5</v>
      </c>
      <c r="AL381" s="137">
        <f>Transportation_LCIA!P$61*($W381^Transportation_LCIA!P$60)+Transportation_LCIA!P$62</f>
        <v>3.622947059126279E-8</v>
      </c>
      <c r="AM381" s="137">
        <f>Transportation_LCIA!Q$61*($W381^Transportation_LCIA!Q$60)+Transportation_LCIA!Q$62</f>
        <v>1.2728062224719001E-4</v>
      </c>
      <c r="AN381" s="137">
        <f>Transportation_LCIA!R$61*($W381^Transportation_LCIA!R$60)+Transportation_LCIA!R$62</f>
        <v>3.9383707879712856E-4</v>
      </c>
      <c r="AO381" s="137">
        <f>Transportation_LCIA!S$61*($W381^Transportation_LCIA!S$60)+Transportation_LCIA!S$62</f>
        <v>5.8462294863061377E-6</v>
      </c>
      <c r="AP381" s="137">
        <f>Transportation_LCIA!T$61*($W381^Transportation_LCIA!T$60)+Transportation_LCIA!T$62</f>
        <v>5.8462294863061377E-6</v>
      </c>
      <c r="AQ381" s="137">
        <f>Transportation_LCIA!U$61*($W381^Transportation_LCIA!U$60)+Transportation_LCIA!U$62</f>
        <v>8.5078004970210494E-4</v>
      </c>
      <c r="AR381" s="137">
        <f>Transportation_LCIA!V$61*($W381^Transportation_LCIA!V$60)+Transportation_LCIA!V$62</f>
        <v>3.311828503124549E-4</v>
      </c>
      <c r="AT381" s="137">
        <f>$W381*Y381+$L381*Summary_LCIA!H$34</f>
        <v>218.19020354199282</v>
      </c>
      <c r="AU381" s="137">
        <f ca="1">$W381*Z381+$L381*Summary_LCIA!Q$34</f>
        <v>2479.7662608121468</v>
      </c>
      <c r="AV381" s="137">
        <f ca="1">$W381*AA381+$L381*Summary_LCIA!R$34</f>
        <v>2.0234810685901463</v>
      </c>
      <c r="AW381" s="137">
        <f ca="1">$W381*AB381+$L381*Summary_LCIA!S$34</f>
        <v>217.78658267799281</v>
      </c>
      <c r="AX381" s="137">
        <f ca="1">$W381*AC381+$L381*Summary_LCIA!T$34</f>
        <v>54.654184555035044</v>
      </c>
      <c r="AY381" s="137">
        <f ca="1">$W381*AD381+$L381*Summary_LCIA!U$34</f>
        <v>0.96526450713293754</v>
      </c>
      <c r="AZ381" s="137">
        <f ca="1">$W381*AE381+$L381*Summary_LCIA!V$34</f>
        <v>3.7335463722097333E-2</v>
      </c>
      <c r="BA381" s="137">
        <f ca="1">$W381*AF381+$L381*Summary_LCIA!W$34</f>
        <v>27.901247682267446</v>
      </c>
      <c r="BB381" s="137">
        <f ca="1">$W381*AG381+$L381*Summary_LCIA!X$34</f>
        <v>14.276969582042041</v>
      </c>
      <c r="BC381" s="137">
        <f ca="1">$W381*AH381+$L381*Summary_LCIA!Y$34</f>
        <v>0.88679823193574558</v>
      </c>
      <c r="BD381" s="137">
        <f ca="1">$W381*AI381+$L381*Summary_LCIA!Z$34</f>
        <v>0.20334035775714157</v>
      </c>
      <c r="BE381" s="137">
        <f ca="1">$W381*AJ381+$L381*Summary_LCIA!AA$34</f>
        <v>1.6591555214057288</v>
      </c>
      <c r="BF381" s="137">
        <f ca="1">$W381*AK381+$L381*Summary_LCIA!AB$34</f>
        <v>4.6436289830549614E-2</v>
      </c>
      <c r="BG381" s="137">
        <f ca="1">$W381*AL381+$L381*Summary_LCIA!AC$34</f>
        <v>2.5199709320466604E-5</v>
      </c>
      <c r="BH381" s="137">
        <f ca="1">$W381*AM381+$L381*Summary_LCIA!AD$34</f>
        <v>0.12725509617324166</v>
      </c>
      <c r="BI381" s="137">
        <f ca="1">$W381*AN381+$L381*Summary_LCIA!AE$34</f>
        <v>0.37638432424171153</v>
      </c>
      <c r="BJ381" s="137">
        <f ca="1">$W381*AO381+$L381*Summary_LCIA!AF$34</f>
        <v>9.7587331002250616E-2</v>
      </c>
      <c r="BK381" s="137">
        <f ca="1">$W381*AP381+$L381*Summary_LCIA!AG$34</f>
        <v>4.911447776350622E-3</v>
      </c>
      <c r="BL381" s="137">
        <f ca="1">$W381*AQ381+$L381*Summary_LCIA!AH$34</f>
        <v>1.4557021812561035</v>
      </c>
      <c r="BM381" s="137">
        <f ca="1">$W381*AR381+$L381*Summary_LCIA!AI$34</f>
        <v>0.32775061239476933</v>
      </c>
    </row>
    <row r="382" spans="1:65" x14ac:dyDescent="0.25">
      <c r="A382" s="149">
        <v>356</v>
      </c>
      <c r="B382" s="149">
        <v>15</v>
      </c>
      <c r="C382" s="61">
        <v>60.128160999999999</v>
      </c>
      <c r="D382" s="61">
        <v>18.643501000000001</v>
      </c>
      <c r="E382" s="61" t="s">
        <v>469</v>
      </c>
      <c r="F382" s="149">
        <v>12</v>
      </c>
      <c r="G382" s="61" t="s">
        <v>726</v>
      </c>
      <c r="H382" s="61" t="s">
        <v>727</v>
      </c>
      <c r="I382" s="61">
        <v>59.649765000000002</v>
      </c>
      <c r="J382" s="61">
        <v>17.921592</v>
      </c>
      <c r="K382" s="61">
        <v>1283.369737</v>
      </c>
      <c r="L382" s="61">
        <v>109.205</v>
      </c>
      <c r="M382" s="61" t="s">
        <v>589</v>
      </c>
      <c r="N382" s="149">
        <v>14</v>
      </c>
      <c r="O382" s="149">
        <v>15</v>
      </c>
      <c r="P382" s="61" t="s">
        <v>567</v>
      </c>
      <c r="Q382" s="61" t="s">
        <v>566</v>
      </c>
      <c r="R382" s="61">
        <v>50.037932599999998</v>
      </c>
      <c r="S382" s="61">
        <v>8.5621518000000005</v>
      </c>
      <c r="T382" s="61"/>
      <c r="U382" s="61" t="s">
        <v>622</v>
      </c>
      <c r="V382" s="61" t="s">
        <v>569</v>
      </c>
      <c r="W382" s="61" cm="1">
        <f t="array" ref="W382">getDistance(I382,J382,R382,S382)*SA!$B$12</f>
        <v>1225.7422833871608</v>
      </c>
      <c r="Y382" s="137">
        <f>Transportation_LCIA!C$61*($W382^Transportation_LCIA!C$60)+Transportation_LCIA!C$62</f>
        <v>0.21611243011549416</v>
      </c>
      <c r="Z382" s="137">
        <f>Transportation_LCIA!D$61*($W382^Transportation_LCIA!D$60)+Transportation_LCIA!D$62</f>
        <v>2.1955501094668679</v>
      </c>
      <c r="AA382" s="137">
        <f>Transportation_LCIA!E$61*($W382^Transportation_LCIA!E$60)+Transportation_LCIA!E$62</f>
        <v>9.9326491712689916E-4</v>
      </c>
      <c r="AB382" s="137">
        <f>Transportation_LCIA!F$61*($W382^Transportation_LCIA!F$60)+Transportation_LCIA!F$62</f>
        <v>0.21611243011549416</v>
      </c>
      <c r="AC382" s="137">
        <f>Transportation_LCIA!G$61*($W382^Transportation_LCIA!G$60)+Transportation_LCIA!G$62</f>
        <v>5.1366587309719325E-2</v>
      </c>
      <c r="AD382" s="137">
        <f>Transportation_LCIA!H$61*($W382^Transportation_LCIA!H$60)+Transportation_LCIA!H$62</f>
        <v>2.4366063950068589E-4</v>
      </c>
      <c r="AE382" s="137">
        <f>Transportation_LCIA!I$61*($W382^Transportation_LCIA!I$60)+Transportation_LCIA!I$62</f>
        <v>5.0892186192930228E-6</v>
      </c>
      <c r="AF382" s="137">
        <f>Transportation_LCIA!J$61*($W382^Transportation_LCIA!J$60)+Transportation_LCIA!J$62</f>
        <v>7.5278198462194945E-3</v>
      </c>
      <c r="AG382" s="137">
        <f>Transportation_LCIA!K$61*($W382^Transportation_LCIA!K$60)+Transportation_LCIA!K$62</f>
        <v>1.0817647041235409E-2</v>
      </c>
      <c r="AH382" s="137">
        <f>Transportation_LCIA!L$61*($W382^Transportation_LCIA!L$60)+Transportation_LCIA!L$62</f>
        <v>2.0945267214998465E-4</v>
      </c>
      <c r="AI382" s="137">
        <f>Transportation_LCIA!M$61*($W382^Transportation_LCIA!M$60)+Transportation_LCIA!M$62</f>
        <v>2.2532332636909986E-4</v>
      </c>
      <c r="AJ382" s="137">
        <f>Transportation_LCIA!N$61*($W382^Transportation_LCIA!N$60)+Transportation_LCIA!N$62</f>
        <v>8.7840937608092359E-4</v>
      </c>
      <c r="AK382" s="137">
        <f>Transportation_LCIA!O$61*($W382^Transportation_LCIA!O$60)+Transportation_LCIA!O$62</f>
        <v>5.424829363992001E-5</v>
      </c>
      <c r="AL382" s="137">
        <f>Transportation_LCIA!P$61*($W382^Transportation_LCIA!P$60)+Transportation_LCIA!P$62</f>
        <v>2.6250019323080147E-8</v>
      </c>
      <c r="AM382" s="137">
        <f>Transportation_LCIA!Q$61*($W382^Transportation_LCIA!Q$60)+Transportation_LCIA!Q$62</f>
        <v>8.3063999711193088E-5</v>
      </c>
      <c r="AN382" s="137">
        <f>Transportation_LCIA!R$61*($W382^Transportation_LCIA!R$60)+Transportation_LCIA!R$62</f>
        <v>2.4489003172983539E-4</v>
      </c>
      <c r="AO382" s="137">
        <f>Transportation_LCIA!S$61*($W382^Transportation_LCIA!S$60)+Transportation_LCIA!S$62</f>
        <v>3.7328539547090719E-6</v>
      </c>
      <c r="AP382" s="137">
        <f>Transportation_LCIA!T$61*($W382^Transportation_LCIA!T$60)+Transportation_LCIA!T$62</f>
        <v>3.7328539547090719E-6</v>
      </c>
      <c r="AQ382" s="137">
        <f>Transportation_LCIA!U$61*($W382^Transportation_LCIA!U$60)+Transportation_LCIA!U$62</f>
        <v>5.2380934900005875E-4</v>
      </c>
      <c r="AR382" s="137">
        <f>Transportation_LCIA!V$61*($W382^Transportation_LCIA!V$60)+Transportation_LCIA!V$62</f>
        <v>2.1603419184371147E-4</v>
      </c>
      <c r="AT382" s="137">
        <f>$W382*Y382+$L382*Summary_LCIA!H$34</f>
        <v>273.02976626811403</v>
      </c>
      <c r="AU382" s="137">
        <f ca="1">$W382*Z382+$L382*Summary_LCIA!Q$34</f>
        <v>2826.0565238309996</v>
      </c>
      <c r="AV382" s="137">
        <f ca="1">$W382*AA382+$L382*Summary_LCIA!R$34</f>
        <v>1.4966803105274846</v>
      </c>
      <c r="AW382" s="137">
        <f ca="1">$W382*AB382+$L382*Summary_LCIA!S$34</f>
        <v>272.91794034811403</v>
      </c>
      <c r="AX382" s="137">
        <f ca="1">$W382*AC382+$L382*Summary_LCIA!T$34</f>
        <v>65.227437333821328</v>
      </c>
      <c r="AY382" s="137">
        <f ca="1">$W382*AD382+$L382*Summary_LCIA!U$34</f>
        <v>0.49955866663314658</v>
      </c>
      <c r="AZ382" s="137">
        <f ca="1">$W382*AE382+$L382*Summary_LCIA!V$34</f>
        <v>1.5093831516068683E-2</v>
      </c>
      <c r="BA382" s="137">
        <f ca="1">$W382*AF382+$L382*Summary_LCIA!W$34</f>
        <v>14.747370632232268</v>
      </c>
      <c r="BB382" s="137">
        <f ca="1">$W382*AG382+$L382*Summary_LCIA!X$34</f>
        <v>14.419841305200253</v>
      </c>
      <c r="BC382" s="137">
        <f ca="1">$W382*AH382+$L382*Summary_LCIA!Y$34</f>
        <v>0.4438686846226646</v>
      </c>
      <c r="BD382" s="137">
        <f ca="1">$W382*AI382+$L382*Summary_LCIA!Z$34</f>
        <v>0.27930121708905092</v>
      </c>
      <c r="BE382" s="137">
        <f ca="1">$W382*AJ382+$L382*Summary_LCIA!AA$34</f>
        <v>1.3019497473861226</v>
      </c>
      <c r="BF382" s="137">
        <f ca="1">$W382*AK382+$L382*Summary_LCIA!AB$34</f>
        <v>6.573666474155275E-2</v>
      </c>
      <c r="BG382" s="137">
        <f ca="1">$W382*AL382+$L382*Summary_LCIA!AC$34</f>
        <v>3.2577862354529355E-5</v>
      </c>
      <c r="BH382" s="137">
        <f ca="1">$W382*AM382+$L382*Summary_LCIA!AD$34</f>
        <v>0.11395646857326827</v>
      </c>
      <c r="BI382" s="137">
        <f ca="1">$W382*AN382+$L382*Summary_LCIA!AE$34</f>
        <v>0.33292701437128269</v>
      </c>
      <c r="BJ382" s="137">
        <f ca="1">$W382*AO382+$L382*Summary_LCIA!AF$34</f>
        <v>3.055101822999589E-2</v>
      </c>
      <c r="BK382" s="137">
        <f ca="1">$W382*AP382+$L382*Summary_LCIA!AG$34</f>
        <v>4.8745311404958906E-3</v>
      </c>
      <c r="BL382" s="137">
        <f ca="1">$W382*AQ382+$L382*Summary_LCIA!AH$34</f>
        <v>0.89085701900287417</v>
      </c>
      <c r="BM382" s="137">
        <f ca="1">$W382*AR382+$L382*Summary_LCIA!AI$34</f>
        <v>0.29546154735021085</v>
      </c>
    </row>
    <row r="383" spans="1:65" x14ac:dyDescent="0.25">
      <c r="A383" s="149">
        <v>368</v>
      </c>
      <c r="B383" s="149">
        <v>43</v>
      </c>
      <c r="C383" s="61">
        <v>-2.1458900000000001</v>
      </c>
      <c r="D383" s="61">
        <v>-79.945836</v>
      </c>
      <c r="E383" s="61" t="s">
        <v>470</v>
      </c>
      <c r="F383" s="149">
        <v>108</v>
      </c>
      <c r="G383" s="61" t="s">
        <v>730</v>
      </c>
      <c r="H383" s="61" t="s">
        <v>731</v>
      </c>
      <c r="I383" s="61">
        <v>-2.1481880000000002</v>
      </c>
      <c r="J383" s="61">
        <v>-79.886499000000001</v>
      </c>
      <c r="K383" s="61">
        <v>3436.2375189999998</v>
      </c>
      <c r="L383" s="61">
        <v>12.827</v>
      </c>
      <c r="M383" s="61" t="s">
        <v>617</v>
      </c>
      <c r="N383" s="149">
        <v>42</v>
      </c>
      <c r="O383" s="149">
        <v>43</v>
      </c>
      <c r="P383" s="61" t="s">
        <v>565</v>
      </c>
      <c r="Q383" s="61" t="s">
        <v>555</v>
      </c>
      <c r="R383" s="61">
        <v>40.6895314</v>
      </c>
      <c r="S383" s="61">
        <v>-74.174462399999996</v>
      </c>
      <c r="T383" s="61"/>
      <c r="U383" s="61" t="s">
        <v>622</v>
      </c>
      <c r="V383" s="61" t="s">
        <v>569</v>
      </c>
      <c r="W383" s="61" cm="1">
        <f t="array" ref="W383">getDistance(I383,J383,R383,S383)*SA!$B$12</f>
        <v>4792.591674202512</v>
      </c>
      <c r="Y383" s="137">
        <f>Transportation_LCIA!C$61*($W383^Transportation_LCIA!C$60)+Transportation_LCIA!C$62</f>
        <v>0.14508836189798513</v>
      </c>
      <c r="Z383" s="137">
        <f>Transportation_LCIA!D$61*($W383^Transportation_LCIA!D$60)+Transportation_LCIA!D$62</f>
        <v>1.3935810969512219</v>
      </c>
      <c r="AA383" s="137">
        <f>Transportation_LCIA!E$61*($W383^Transportation_LCIA!E$60)+Transportation_LCIA!E$62</f>
        <v>4.7081955563388377E-4</v>
      </c>
      <c r="AB383" s="137">
        <f>Transportation_LCIA!F$61*($W383^Transportation_LCIA!F$60)+Transportation_LCIA!F$62</f>
        <v>0.14508836189798513</v>
      </c>
      <c r="AC383" s="137">
        <f>Transportation_LCIA!G$61*($W383^Transportation_LCIA!G$60)+Transportation_LCIA!G$62</f>
        <v>3.2776855124596715E-2</v>
      </c>
      <c r="AD383" s="137">
        <f>Transportation_LCIA!H$61*($W383^Transportation_LCIA!H$60)+Transportation_LCIA!H$62</f>
        <v>1.308513746893189E-4</v>
      </c>
      <c r="AE383" s="137">
        <f>Transportation_LCIA!I$61*($W383^Transportation_LCIA!I$60)+Transportation_LCIA!I$62</f>
        <v>2.3307253178466008E-6</v>
      </c>
      <c r="AF383" s="137">
        <f>Transportation_LCIA!J$61*($W383^Transportation_LCIA!J$60)+Transportation_LCIA!J$62</f>
        <v>3.4964622120735415E-3</v>
      </c>
      <c r="AG383" s="137">
        <f>Transportation_LCIA!K$61*($W383^Transportation_LCIA!K$60)+Transportation_LCIA!K$62</f>
        <v>6.5494656260663524E-3</v>
      </c>
      <c r="AH383" s="137">
        <f>Transportation_LCIA!L$61*($W383^Transportation_LCIA!L$60)+Transportation_LCIA!L$62</f>
        <v>1.0659954108632807E-4</v>
      </c>
      <c r="AI383" s="137">
        <f>Transportation_LCIA!M$61*($W383^Transportation_LCIA!M$60)+Transportation_LCIA!M$62</f>
        <v>1.6312628169736591E-4</v>
      </c>
      <c r="AJ383" s="137">
        <f>Transportation_LCIA!N$61*($W383^Transportation_LCIA!N$60)+Transportation_LCIA!N$62</f>
        <v>4.9824572922676797E-4</v>
      </c>
      <c r="AK383" s="137">
        <f>Transportation_LCIA!O$61*($W383^Transportation_LCIA!O$60)+Transportation_LCIA!O$62</f>
        <v>3.4512134037950434E-5</v>
      </c>
      <c r="AL383" s="137">
        <f>Transportation_LCIA!P$61*($W383^Transportation_LCIA!P$60)+Transportation_LCIA!P$62</f>
        <v>1.673786921011434E-8</v>
      </c>
      <c r="AM383" s="137">
        <f>Transportation_LCIA!Q$61*($W383^Transportation_LCIA!Q$60)+Transportation_LCIA!Q$62</f>
        <v>4.3027274033236932E-5</v>
      </c>
      <c r="AN383" s="137">
        <f>Transportation_LCIA!R$61*($W383^Transportation_LCIA!R$60)+Transportation_LCIA!R$62</f>
        <v>1.127045918223084E-4</v>
      </c>
      <c r="AO383" s="137">
        <f>Transportation_LCIA!S$61*($W383^Transportation_LCIA!S$60)+Transportation_LCIA!S$62</f>
        <v>1.8544293976625951E-6</v>
      </c>
      <c r="AP383" s="137">
        <f>Transportation_LCIA!T$61*($W383^Transportation_LCIA!T$60)+Transportation_LCIA!T$62</f>
        <v>1.8544293976625951E-6</v>
      </c>
      <c r="AQ383" s="137">
        <f>Transportation_LCIA!U$61*($W383^Transportation_LCIA!U$60)+Transportation_LCIA!U$62</f>
        <v>2.3551018169648932E-4</v>
      </c>
      <c r="AR383" s="137">
        <f>Transportation_LCIA!V$61*($W383^Transportation_LCIA!V$60)+Transportation_LCIA!V$62</f>
        <v>1.124755801754721E-4</v>
      </c>
      <c r="AT383" s="137">
        <f>$W383*Y383+$L383*Summary_LCIA!H$32</f>
        <v>699.70788985596448</v>
      </c>
      <c r="AU383" s="137">
        <f>$W383*Z383+$L383*Summary_LCIA!Q$32</f>
        <v>6742.436421478521</v>
      </c>
      <c r="AV383" s="137">
        <f>$W383*AA383+$L383*Summary_LCIA!R$32</f>
        <v>2.323987733582678</v>
      </c>
      <c r="AW383" s="137">
        <f>$W383*AB383+$L383*Summary_LCIA!S$32</f>
        <v>699.65119451596445</v>
      </c>
      <c r="AX383" s="137">
        <f>$W383*AC383+$L383*Summary_LCIA!T$32</f>
        <v>158.49577027668417</v>
      </c>
      <c r="AY383" s="137">
        <f>$W383*AD383+$L383*Summary_LCIA!U$32</f>
        <v>0.856900086893983</v>
      </c>
      <c r="AZ383" s="137">
        <f>$W383*AE383+$L383*Summary_LCIA!V$32</f>
        <v>1.1782845100164622E-2</v>
      </c>
      <c r="BA383" s="137">
        <f>$W383*AF383+$L383*Summary_LCIA!W$32</f>
        <v>17.74442270374735</v>
      </c>
      <c r="BB383" s="137">
        <f>$W383*AG383+$L383*Summary_LCIA!X$32</f>
        <v>31.681113489961145</v>
      </c>
      <c r="BC383" s="137">
        <f>$W383*AH383+$L383*Summary_LCIA!Y$32</f>
        <v>0.71075838708414452</v>
      </c>
      <c r="BD383" s="137">
        <f>$W383*AI383+$L383*Summary_LCIA!Z$32</f>
        <v>0.78232368194940949</v>
      </c>
      <c r="BE383" s="137">
        <f>$W383*AJ383+$L383*Summary_LCIA!AA$32</f>
        <v>2.6874757455991674</v>
      </c>
      <c r="BF383" s="137">
        <f>$W383*AK383+$L383*Summary_LCIA!AB$32</f>
        <v>0.16512264262824239</v>
      </c>
      <c r="BG383" s="137">
        <f>$W383*AL383+$L383*Summary_LCIA!AC$32</f>
        <v>8.0844807688284554E-5</v>
      </c>
      <c r="BH383" s="137">
        <f>$W383*AM383+$L383*Summary_LCIA!AD$32</f>
        <v>0.21148456537532126</v>
      </c>
      <c r="BI383" s="137">
        <f>$W383*AN383+$L383*Summary_LCIA!AE$32</f>
        <v>0.55151347792198779</v>
      </c>
      <c r="BJ383" s="137">
        <f>$W383*AO383+$L383*Summary_LCIA!AF$32</f>
        <v>1.9731725231634134E-2</v>
      </c>
      <c r="BK383" s="137">
        <f>$W383*AP383+$L383*Summary_LCIA!AG$32</f>
        <v>9.543816346634133E-3</v>
      </c>
      <c r="BL383" s="137">
        <f>$W383*AQ383+$L383*Summary_LCIA!AH$32</f>
        <v>1.2403452131885155</v>
      </c>
      <c r="BM383" s="137">
        <f>$W383*AR383+$L383*Summary_LCIA!AI$32</f>
        <v>0.55099852095006463</v>
      </c>
    </row>
    <row r="384" spans="1:65" x14ac:dyDescent="0.25">
      <c r="A384" s="149">
        <v>382</v>
      </c>
      <c r="B384" s="149">
        <v>29</v>
      </c>
      <c r="C384" s="61">
        <v>35.679470000000002</v>
      </c>
      <c r="D384" s="61">
        <v>139.77990500000001</v>
      </c>
      <c r="E384" s="61" t="s">
        <v>272</v>
      </c>
      <c r="F384" s="149">
        <v>5</v>
      </c>
      <c r="G384" s="61" t="s">
        <v>620</v>
      </c>
      <c r="H384" s="61" t="s">
        <v>621</v>
      </c>
      <c r="I384" s="61">
        <v>35.549393000000002</v>
      </c>
      <c r="J384" s="61">
        <v>139.77983900000001</v>
      </c>
      <c r="K384" s="61">
        <v>34.915987389999998</v>
      </c>
      <c r="L384" s="61">
        <v>20.963999999999999</v>
      </c>
      <c r="M384" s="61" t="s">
        <v>617</v>
      </c>
      <c r="N384" s="149">
        <v>28</v>
      </c>
      <c r="O384" s="149">
        <v>29</v>
      </c>
      <c r="P384" s="61" t="s">
        <v>565</v>
      </c>
      <c r="Q384" s="61" t="s">
        <v>559</v>
      </c>
      <c r="R384" s="61">
        <v>47.450249900000003</v>
      </c>
      <c r="S384" s="61">
        <v>-122.30881650000001</v>
      </c>
      <c r="T384" s="61"/>
      <c r="U384" s="61" t="s">
        <v>622</v>
      </c>
      <c r="V384" s="61" t="s">
        <v>569</v>
      </c>
      <c r="W384" s="61" cm="1">
        <f t="array" ref="W384">getDistance(I384,J384,R384,S384)*SA!$B$12</f>
        <v>7732.9863561656575</v>
      </c>
      <c r="Y384" s="137">
        <f>Transportation_LCIA!C$61*($W384^Transportation_LCIA!C$60)+Transportation_LCIA!C$62</f>
        <v>0.13410983014831226</v>
      </c>
      <c r="Z384" s="137">
        <f>Transportation_LCIA!D$61*($W384^Transportation_LCIA!D$60)+Transportation_LCIA!D$62</f>
        <v>1.2750636922893839</v>
      </c>
      <c r="AA384" s="137">
        <f>Transportation_LCIA!E$61*($W384^Transportation_LCIA!E$60)+Transportation_LCIA!E$62</f>
        <v>3.945830816743962E-4</v>
      </c>
      <c r="AB384" s="137">
        <f>Transportation_LCIA!F$61*($W384^Transportation_LCIA!F$60)+Transportation_LCIA!F$62</f>
        <v>0.13410983014831226</v>
      </c>
      <c r="AC384" s="137">
        <f>Transportation_LCIA!G$61*($W384^Transportation_LCIA!G$60)+Transportation_LCIA!G$62</f>
        <v>3.0022381689887842E-2</v>
      </c>
      <c r="AD384" s="137">
        <f>Transportation_LCIA!H$61*($W384^Transportation_LCIA!H$60)+Transportation_LCIA!H$62</f>
        <v>1.1479775437180469E-4</v>
      </c>
      <c r="AE384" s="137">
        <f>Transportation_LCIA!I$61*($W384^Transportation_LCIA!I$60)+Transportation_LCIA!I$62</f>
        <v>1.9537711263723941E-6</v>
      </c>
      <c r="AF384" s="137">
        <f>Transportation_LCIA!J$61*($W384^Transportation_LCIA!J$60)+Transportation_LCIA!J$62</f>
        <v>2.960025709740249E-3</v>
      </c>
      <c r="AG384" s="137">
        <f>Transportation_LCIA!K$61*($W384^Transportation_LCIA!K$60)+Transportation_LCIA!K$62</f>
        <v>5.9312865998840157E-3</v>
      </c>
      <c r="AH384" s="137">
        <f>Transportation_LCIA!L$61*($W384^Transportation_LCIA!L$60)+Transportation_LCIA!L$62</f>
        <v>9.2130525424215489E-5</v>
      </c>
      <c r="AI384" s="137">
        <f>Transportation_LCIA!M$61*($W384^Transportation_LCIA!M$60)+Transportation_LCIA!M$62</f>
        <v>1.5428727202023863E-4</v>
      </c>
      <c r="AJ384" s="137">
        <f>Transportation_LCIA!N$61*($W384^Transportation_LCIA!N$60)+Transportation_LCIA!N$62</f>
        <v>4.4397134188153039E-4</v>
      </c>
      <c r="AK384" s="137">
        <f>Transportation_LCIA!O$61*($W384^Transportation_LCIA!O$60)+Transportation_LCIA!O$62</f>
        <v>3.159140959269419E-5</v>
      </c>
      <c r="AL384" s="137">
        <f>Transportation_LCIA!P$61*($W384^Transportation_LCIA!P$60)+Transportation_LCIA!P$62</f>
        <v>1.5325457493794949E-8</v>
      </c>
      <c r="AM384" s="137">
        <f>Transportation_LCIA!Q$61*($W384^Transportation_LCIA!Q$60)+Transportation_LCIA!Q$62</f>
        <v>3.7429937539717766E-5</v>
      </c>
      <c r="AN384" s="137">
        <f>Transportation_LCIA!R$61*($W384^Transportation_LCIA!R$60)+Transportation_LCIA!R$62</f>
        <v>9.4658893049615744E-5</v>
      </c>
      <c r="AO384" s="137">
        <f>Transportation_LCIA!S$61*($W384^Transportation_LCIA!S$60)+Transportation_LCIA!S$62</f>
        <v>1.5975234452295921E-6</v>
      </c>
      <c r="AP384" s="137">
        <f>Transportation_LCIA!T$61*($W384^Transportation_LCIA!T$60)+Transportation_LCIA!T$62</f>
        <v>1.5975234452295921E-6</v>
      </c>
      <c r="AQ384" s="137">
        <f>Transportation_LCIA!U$61*($W384^Transportation_LCIA!U$60)+Transportation_LCIA!U$62</f>
        <v>1.9645456769131977E-4</v>
      </c>
      <c r="AR384" s="137">
        <f>Transportation_LCIA!V$61*($W384^Transportation_LCIA!V$60)+Transportation_LCIA!V$62</f>
        <v>9.8113228741500703E-5</v>
      </c>
      <c r="AT384" s="137">
        <f>$W384*Y384+$L384*Summary_LCIA!H$32</f>
        <v>1044.1930539645925</v>
      </c>
      <c r="AU384" s="137">
        <f>$W384*Z384+$L384*Summary_LCIA!Q$32</f>
        <v>9963.948776993424</v>
      </c>
      <c r="AV384" s="137">
        <f>$W384*AA384+$L384*Summary_LCIA!R$32</f>
        <v>3.161693625361905</v>
      </c>
      <c r="AW384" s="137">
        <f>$W384*AB384+$L384*Summary_LCIA!S$32</f>
        <v>1044.1003930845925</v>
      </c>
      <c r="AX384" s="137">
        <f>$W384*AC384+$L384*Summary_LCIA!T$32</f>
        <v>234.46661158750032</v>
      </c>
      <c r="AY384" s="137">
        <f>$W384*AD384+$L384*Summary_LCIA!U$32</f>
        <v>1.2632785642756221</v>
      </c>
      <c r="AZ384" s="137">
        <f>$W384*AE384+$L384*Summary_LCIA!V$32</f>
        <v>1.6109747067308132E-2</v>
      </c>
      <c r="BA384" s="137">
        <f>$W384*AF384+$L384*Summary_LCIA!W$32</f>
        <v>24.503458471320915</v>
      </c>
      <c r="BB384" s="137">
        <f>$W384*AG384+$L384*Summary_LCIA!X$32</f>
        <v>46.344118271411283</v>
      </c>
      <c r="BC384" s="137">
        <f>$W384*AH384+$L384*Summary_LCIA!Y$32</f>
        <v>1.0391051440918315</v>
      </c>
      <c r="BD384" s="137">
        <f>$W384*AI384+$L384*Summary_LCIA!Z$32</f>
        <v>1.1939610821385247</v>
      </c>
      <c r="BE384" s="137">
        <f>$W384*AJ384+$L384*Summary_LCIA!AA$32</f>
        <v>3.922859513298433</v>
      </c>
      <c r="BF384" s="137">
        <f>$W384*AK384+$L384*Summary_LCIA!AB$32</f>
        <v>0.24383844198034504</v>
      </c>
      <c r="BG384" s="137">
        <f>$W384*AL384+$L384*Summary_LCIA!AC$32</f>
        <v>1.1953635787751307E-4</v>
      </c>
      <c r="BH384" s="137">
        <f>$W384*AM384+$L384*Summary_LCIA!AD$32</f>
        <v>0.29806223886677025</v>
      </c>
      <c r="BI384" s="137">
        <f>$W384*AN384+$L384*Summary_LCIA!AE$32</f>
        <v>0.75057275776242283</v>
      </c>
      <c r="BJ384" s="137">
        <f>$W384*AO384+$L384*Summary_LCIA!AF$32</f>
        <v>3.007701188561519E-2</v>
      </c>
      <c r="BK384" s="137">
        <f>$W384*AP384+$L384*Summary_LCIA!AG$32</f>
        <v>1.3426250065615191E-2</v>
      </c>
      <c r="BL384" s="137">
        <f>$W384*AQ384+$L384*Summary_LCIA!AH$32</f>
        <v>1.7016427619633985</v>
      </c>
      <c r="BM384" s="137">
        <f>$W384*AR384+$L384*Summary_LCIA!AI$32</f>
        <v>0.77823727341738513</v>
      </c>
    </row>
    <row r="386" spans="22:65" x14ac:dyDescent="0.25">
      <c r="V386" s="76" t="str">
        <f>Q324</f>
        <v>O'Hare International Airport</v>
      </c>
      <c r="W386" s="61">
        <f>COUNTIF(B2:B384,6)</f>
        <v>99</v>
      </c>
      <c r="AO386" s="76" t="s">
        <v>575</v>
      </c>
      <c r="AP386" s="137">
        <f>SUM(T2:T13,L248,L362,L367:L372,L374:L375,L381:L382)</f>
        <v>7885.3320000000003</v>
      </c>
      <c r="AQ386" s="76" t="s">
        <v>292</v>
      </c>
      <c r="AS386" s="76" t="s">
        <v>581</v>
      </c>
      <c r="AT386" s="137">
        <f>SUM(AT2:AT13)+SUM($L$362,$L$367:$L$372,$L$374:$L$375,$L$381:$L$382,$L$248)*Summary_LCIA!I$34</f>
        <v>587.15759138399994</v>
      </c>
      <c r="AU386" s="137">
        <f ca="1">SUM(AU2:AU13)+SUM($L$362,$L$367:$L$372,$L$374:$L$375,$L$381:$L$382,$L$248)*Summary_LCIA!Q$34</f>
        <v>9739.0886281743587</v>
      </c>
      <c r="AV386" s="137">
        <f ca="1">SUM(AV2:AV13)+SUM($L$362,$L$367:$L$372,$L$374:$L$375,$L$381:$L$382,$L$248)*Summary_LCIA!R$34</f>
        <v>20.159639791199996</v>
      </c>
      <c r="AW386" s="137">
        <f ca="1">SUM(AW2:AW13)+SUM($L$362,$L$367:$L$372,$L$374:$L$375,$L$381:$L$382,$L$248)*Summary_LCIA!S$34</f>
        <v>579.08301141599998</v>
      </c>
      <c r="AX386" s="137">
        <f ca="1">SUM(AX2:AX13)+SUM($L$362,$L$367:$L$372,$L$374:$L$375,$L$381:$L$382,$L$248)*Summary_LCIA!T$34</f>
        <v>163.56544167599998</v>
      </c>
      <c r="AY386" s="137">
        <f ca="1">SUM(AY2:AY13)+SUM($L$362,$L$367:$L$372,$L$374:$L$375,$L$381:$L$382,$L$248)*Summary_LCIA!U$34</f>
        <v>14.505856747199999</v>
      </c>
      <c r="AZ386" s="137">
        <f ca="1">SUM(AZ2:AZ13)+SUM($L$362,$L$367:$L$372,$L$374:$L$375,$L$381:$L$382,$L$248)*Summary_LCIA!V$34</f>
        <v>0.639445227876</v>
      </c>
      <c r="BA386" s="137">
        <f ca="1">SUM(BA2:BA13)+SUM($L$362,$L$367:$L$372,$L$374:$L$375,$L$381:$L$382,$L$248)*Summary_LCIA!W$34</f>
        <v>398.59564726799999</v>
      </c>
      <c r="BB386" s="137">
        <f ca="1">SUM(BB2:BB13)+SUM($L$362,$L$367:$L$372,$L$374:$L$375,$L$381:$L$382,$L$248)*Summary_LCIA!X$34</f>
        <v>83.773767167999992</v>
      </c>
      <c r="BC386" s="137">
        <f ca="1">SUM(BC2:BC13)+SUM($L$362,$L$367:$L$372,$L$374:$L$375,$L$381:$L$382,$L$248)*Summary_LCIA!Y$34</f>
        <v>13.512304915199998</v>
      </c>
      <c r="BD386" s="137">
        <f ca="1">SUM(BD2:BD13)+SUM($L$362,$L$367:$L$372,$L$374:$L$375,$L$381:$L$382,$L$248)*Summary_LCIA!Z$34</f>
        <v>0.22477138865999996</v>
      </c>
      <c r="BE386" s="137">
        <f ca="1">SUM(BE2:BE13)+SUM($L$362,$L$367:$L$372,$L$374:$L$375,$L$381:$L$382,$L$248)*Summary_LCIA!AA$34</f>
        <v>16.264285783200002</v>
      </c>
      <c r="BF386" s="137">
        <f ca="1">SUM(BF2:BF13)+SUM($L$362,$L$367:$L$372,$L$374:$L$375,$L$381:$L$382,$L$248)*Summary_LCIA!AB$34</f>
        <v>-5.4715530214800003E-2</v>
      </c>
      <c r="BG386" s="137">
        <f ca="1">SUM(BG2:BG13)+SUM($L$362,$L$367:$L$372,$L$374:$L$375,$L$381:$L$382,$L$248)*Summary_LCIA!AC$34</f>
        <v>2.9034580957199997E-5</v>
      </c>
      <c r="BH386" s="137">
        <f ca="1">SUM(BH2:BH13)+SUM($L$362,$L$367:$L$372,$L$374:$L$375,$L$381:$L$382,$L$248)*Summary_LCIA!AD$34</f>
        <v>0.87669121175999987</v>
      </c>
      <c r="BI386" s="137">
        <f ca="1">SUM(BI2:BI13)+SUM($L$362,$L$367:$L$372,$L$374:$L$375,$L$381:$L$382,$L$248)*Summary_LCIA!AE$34</f>
        <v>2.3651264800800003</v>
      </c>
      <c r="BJ386" s="137">
        <f ca="1">SUM(BJ2:BJ13)+SUM($L$362,$L$367:$L$372,$L$374:$L$375,$L$381:$L$382,$L$248)*Summary_LCIA!AF$34</f>
        <v>1.8756050695199997</v>
      </c>
      <c r="BK386" s="137">
        <f ca="1">SUM(BK2:BK13)+SUM($L$362,$L$367:$L$372,$L$374:$L$375,$L$381:$L$382,$L$248)*Summary_LCIA!AG$34</f>
        <v>2.1590827549199998E-2</v>
      </c>
      <c r="BL386" s="137">
        <f ca="1">SUM(BL2:BL13)+SUM($L$362,$L$367:$L$372,$L$374:$L$375,$L$381:$L$382,$L$248)*Summary_LCIA!AH$34</f>
        <v>17.965151895600002</v>
      </c>
      <c r="BM386" s="137">
        <f ca="1">SUM(BM2:BM13)+SUM($L$362,$L$367:$L$372,$L$374:$L$375,$L$381:$L$382,$L$248)*Summary_LCIA!AI$34</f>
        <v>2.2138069590000002</v>
      </c>
    </row>
    <row r="387" spans="22:65" x14ac:dyDescent="0.25">
      <c r="V387" s="76" t="str">
        <f>Q375</f>
        <v>Flughafen Frankfurt/Main</v>
      </c>
      <c r="W387" s="61">
        <f>COUNTIF(B2:B384,15)</f>
        <v>37</v>
      </c>
      <c r="AO387" s="76" t="s">
        <v>574</v>
      </c>
      <c r="AP387" s="137">
        <f>SUM(T14:T182,L183:L247,L249:L361,L363:L366,L373,L376:L380,L383:L384)</f>
        <v>55375.221999999958</v>
      </c>
      <c r="AQ387" s="76" t="s">
        <v>292</v>
      </c>
      <c r="AS387" s="76" t="s">
        <v>580</v>
      </c>
      <c r="AT387" s="137">
        <f>SUM(AT14:AT182)+SUM($L$183:$L$247,$L$249:$L$361,$L$363:$L$366,$L$373,$L$376:$L$380,$L$383:$L$384)*Summary_LCIA!I$32</f>
        <v>14158.150813535995</v>
      </c>
      <c r="AU387" s="137">
        <f>SUM(AU14:AU182)+SUM($L$183:$L$247,$L$249:$L$361,$L$363:$L$366,$L$373,$L$376:$L$380,$L$383:$L$384)*Summary_LCIA!Q$32</f>
        <v>274442.39297057112</v>
      </c>
      <c r="AV387" s="137">
        <f>SUM(AV14:AV182)+SUM($L$183:$L$247,$L$249:$L$361,$L$363:$L$366,$L$373,$L$376:$L$380,$L$383:$L$384)*Summary_LCIA!R$32</f>
        <v>291.58376896319999</v>
      </c>
      <c r="AW387" s="137">
        <f>SUM(AW14:AW182)+SUM($L$183:$L$247,$L$249:$L$361,$L$363:$L$366,$L$373,$L$376:$L$380,$L$383:$L$384)*Summary_LCIA!S$32</f>
        <v>18571.741954360004</v>
      </c>
      <c r="AX387" s="137">
        <f>SUM(AX14:AX182)+SUM($L$183:$L$247,$L$249:$L$361,$L$363:$L$366,$L$373,$L$376:$L$380,$L$383:$L$384)*Summary_LCIA!T$32</f>
        <v>6085.7368977999986</v>
      </c>
      <c r="AY387" s="137">
        <f>SUM(AY14:AY182)+SUM($L$183:$L$247,$L$249:$L$361,$L$363:$L$366,$L$373,$L$376:$L$380,$L$383:$L$384)*Summary_LCIA!U$32</f>
        <v>991.99172690800015</v>
      </c>
      <c r="AZ387" s="137">
        <f>SUM(AZ14:AZ182)+SUM($L$183:$L$247,$L$249:$L$361,$L$363:$L$366,$L$373,$L$376:$L$380,$L$383:$L$384)*Summary_LCIA!V$32</f>
        <v>2.6447759779420008</v>
      </c>
      <c r="BA387" s="137">
        <f>SUM(BA14:BA182)+SUM($L$183:$L$247,$L$249:$L$361,$L$363:$L$366,$L$373,$L$376:$L$380,$L$383:$L$384)*Summary_LCIA!W$32</f>
        <v>4262.2862125619995</v>
      </c>
      <c r="BB387" s="137">
        <f>SUM(BB14:BB182)+SUM($L$183:$L$247,$L$249:$L$361,$L$363:$L$366,$L$373,$L$376:$L$380,$L$383:$L$384)*Summary_LCIA!X$32</f>
        <v>1261.4475571599999</v>
      </c>
      <c r="BC387" s="137">
        <f>SUM(BC14:BC182)+SUM($L$183:$L$247,$L$249:$L$361,$L$363:$L$366,$L$373,$L$376:$L$380,$L$383:$L$384)*Summary_LCIA!Y$32</f>
        <v>862.85670920399991</v>
      </c>
      <c r="BD387" s="137">
        <f>SUM(BD14:BD182)+SUM($L$183:$L$247,$L$249:$L$361,$L$363:$L$366,$L$373,$L$376:$L$380,$L$383:$L$384)*Summary_LCIA!Z$32</f>
        <v>2.2708824789980011</v>
      </c>
      <c r="BE387" s="137">
        <f>SUM(BE14:BE182)+SUM($L$183:$L$247,$L$249:$L$361,$L$363:$L$366,$L$373,$L$376:$L$380,$L$383:$L$384)*Summary_LCIA!AA$32</f>
        <v>1293.3436850319999</v>
      </c>
      <c r="BF387" s="137">
        <f>SUM(BF14:BF182)+SUM($L$183:$L$247,$L$249:$L$361,$L$363:$L$366,$L$373,$L$376:$L$380,$L$383:$L$384)*Summary_LCIA!AB$32</f>
        <v>-1.2084534697059999</v>
      </c>
      <c r="BG387" s="137">
        <f>SUM(BG14:BG182)+SUM($L$183:$L$247,$L$249:$L$361,$L$363:$L$366,$L$373,$L$376:$L$380,$L$383:$L$384)*Summary_LCIA!AC$32</f>
        <v>2.7069623522480001E-3</v>
      </c>
      <c r="BH387" s="137">
        <f>SUM(BH14:BH182)+SUM($L$183:$L$247,$L$249:$L$361,$L$363:$L$366,$L$373,$L$376:$L$380,$L$383:$L$384)*Summary_LCIA!AD$32</f>
        <v>22.761431250880001</v>
      </c>
      <c r="BI387" s="137">
        <f>SUM(BI14:BI182)+SUM($L$183:$L$247,$L$249:$L$361,$L$363:$L$366,$L$373,$L$376:$L$380,$L$383:$L$384)*Summary_LCIA!AE$32</f>
        <v>49.06964547086001</v>
      </c>
      <c r="BJ387" s="137">
        <f>SUM(BJ14:BJ182)+SUM($L$183:$L$247,$L$249:$L$361,$L$363:$L$366,$L$373,$L$376:$L$380,$L$383:$L$384)*Summary_LCIA!AF$32</f>
        <v>46.81532018323999</v>
      </c>
      <c r="BK387" s="137">
        <f>SUM(BK14:BK182)+SUM($L$183:$L$247,$L$249:$L$361,$L$363:$L$366,$L$373,$L$376:$L$380,$L$383:$L$384)*Summary_LCIA!AG$32</f>
        <v>2.8332732336299986</v>
      </c>
      <c r="BL387" s="137">
        <f>SUM(BL14:BL182)+SUM($L$183:$L$247,$L$249:$L$361,$L$363:$L$366,$L$373,$L$376:$L$380,$L$383:$L$384)*Summary_LCIA!AH$32</f>
        <v>481.9637821992003</v>
      </c>
      <c r="BM387" s="137">
        <f>SUM(BM14:BM182)+SUM($L$183:$L$247,$L$249:$L$361,$L$363:$L$366,$L$373,$L$376:$L$380,$L$383:$L$384)*Summary_LCIA!AI$32</f>
        <v>51.584788054099988</v>
      </c>
    </row>
    <row r="388" spans="22:65" x14ac:dyDescent="0.25">
      <c r="V388" s="76" t="str">
        <f>Q346</f>
        <v>Denver International Airport</v>
      </c>
      <c r="W388" s="61">
        <f>COUNTIF(B2:B384,16)</f>
        <v>46</v>
      </c>
      <c r="AO388" s="76" t="s">
        <v>573</v>
      </c>
      <c r="AP388" s="137">
        <f>SUM(W183:W384)</f>
        <v>225562.92848062483</v>
      </c>
      <c r="AQ388" s="76" t="s">
        <v>292</v>
      </c>
      <c r="AS388" s="76" t="s">
        <v>579</v>
      </c>
      <c r="AT388" s="137">
        <f>SUM(AT183:AT384)-SUM($L$183:$L$247,$L$249:$L$361,$L$363:$L$366,$L$373,$L$376:$L$380,$L$383:$L$384)*Summary_LCIA!I$32-SUM($L$362,$L$367:$L$372,$L$374:$L$375,$L$381:$L$382,$L$248)*Summary_LCIA!I$34</f>
        <v>54267.815733398696</v>
      </c>
      <c r="AU388" s="137">
        <f ca="1">SUM(AU183:AU384)-SUM($L$183:$L$247,$L$249:$L$361,$L$363:$L$366,$L$373,$L$376:$L$380,$L$383:$L$384)*Summary_LCIA!Q$32-SUM($L$362,$L$367:$L$372,$L$374:$L$375,$L$381:$L$382,$L$248)*Summary_LCIA!Q$34</f>
        <v>512695.67491617874</v>
      </c>
      <c r="AV388" s="137">
        <f ca="1">SUM(AV183:AV384)-SUM($L$183:$L$247,$L$249:$L$361,$L$363:$L$366,$L$373,$L$376:$L$380,$L$383:$L$384)*Summary_LCIA!R$32-SUM($L$362,$L$367:$L$372,$L$374:$L$375,$L$381:$L$382,$L$248)*Summary_LCIA!R$34</f>
        <v>236.40810695979874</v>
      </c>
      <c r="AW388" s="137">
        <f ca="1">SUM(AW183:AW384)-SUM($L$183:$L$247,$L$249:$L$361,$L$363:$L$366,$L$373,$L$376:$L$380,$L$383:$L$384)*Summary_LCIA!S$32-SUM($L$362,$L$367:$L$372,$L$374:$L$375,$L$381:$L$382,$L$248)*Summary_LCIA!S$34</f>
        <v>49899.116859978712</v>
      </c>
      <c r="AX388" s="137">
        <f ca="1">SUM(AX183:AX384)-SUM($L$183:$L$247,$L$249:$L$361,$L$363:$L$366,$L$373,$L$376:$L$380,$L$383:$L$384)*Summary_LCIA!T$32-SUM($L$362,$L$367:$L$372,$L$374:$L$375,$L$381:$L$382,$L$248)*Summary_LCIA!T$34</f>
        <v>11989.40554356483</v>
      </c>
      <c r="AY388" s="137">
        <f ca="1">SUM(AY183:AY384)-SUM($L$183:$L$247,$L$249:$L$361,$L$363:$L$366,$L$373,$L$376:$L$380,$L$383:$L$384)*Summary_LCIA!U$32-SUM($L$362,$L$367:$L$372,$L$374:$L$375,$L$381:$L$382,$L$248)*Summary_LCIA!U$34</f>
        <v>75.050095965282324</v>
      </c>
      <c r="AZ388" s="137">
        <f ca="1">SUM(AZ183:AZ384)-SUM($L$183:$L$247,$L$249:$L$361,$L$363:$L$366,$L$373,$L$376:$L$380,$L$383:$L$384)*Summary_LCIA!V$32-SUM($L$362,$L$367:$L$372,$L$374:$L$375,$L$381:$L$382,$L$248)*Summary_LCIA!V$34</f>
        <v>1.1794351960134337</v>
      </c>
      <c r="BA388" s="137">
        <f ca="1">SUM(BA183:BA384)-SUM($L$183:$L$247,$L$249:$L$361,$L$363:$L$366,$L$373,$L$376:$L$380,$L$383:$L$384)*Summary_LCIA!W$32-SUM($L$362,$L$367:$L$372,$L$374:$L$375,$L$381:$L$382,$L$248)*Summary_LCIA!W$34</f>
        <v>1838.6117041541829</v>
      </c>
      <c r="BB388" s="137">
        <f ca="1">SUM(BB183:BB384)-SUM($L$183:$L$247,$L$249:$L$361,$L$363:$L$366,$L$373,$L$376:$L$380,$L$383:$L$384)*Summary_LCIA!X$32-SUM($L$362,$L$367:$L$372,$L$374:$L$375,$L$381:$L$382,$L$248)*Summary_LCIA!X$34</f>
        <v>2533.3154288794881</v>
      </c>
      <c r="BC388" s="137">
        <f ca="1">SUM(BC183:BC384)-SUM($L$183:$L$247,$L$249:$L$361,$L$363:$L$366,$L$373,$L$376:$L$380,$L$383:$L$384)*Summary_LCIA!Y$32-SUM($L$362,$L$367:$L$372,$L$374:$L$375,$L$381:$L$382,$L$248)*Summary_LCIA!Y$34</f>
        <v>64.813955516045041</v>
      </c>
      <c r="BD388" s="137">
        <f ca="1">SUM(BD183:BD384)-SUM($L$183:$L$247,$L$249:$L$361,$L$363:$L$366,$L$373,$L$376:$L$380,$L$383:$L$384)*Summary_LCIA!Z$32-SUM($L$362,$L$367:$L$372,$L$374:$L$375,$L$381:$L$382,$L$248)*Summary_LCIA!Z$34</f>
        <v>52.123352802417557</v>
      </c>
      <c r="BE388" s="137">
        <f ca="1">SUM(BE183:BE384)-SUM($L$183:$L$247,$L$249:$L$361,$L$363:$L$366,$L$373,$L$376:$L$380,$L$383:$L$384)*Summary_LCIA!AA$32-SUM($L$362,$L$367:$L$372,$L$374:$L$375,$L$381:$L$382,$L$248)*Summary_LCIA!AA$34</f>
        <v>229.35550971371478</v>
      </c>
      <c r="BF388" s="137">
        <f ca="1">SUM(BF183:BF384)-SUM($L$183:$L$247,$L$249:$L$361,$L$363:$L$366,$L$373,$L$376:$L$380,$L$383:$L$384)*Summary_LCIA!AB$32-SUM($L$362,$L$367:$L$372,$L$374:$L$375,$L$381:$L$382,$L$248)*Summary_LCIA!AB$34</f>
        <v>12.545613974075424</v>
      </c>
      <c r="BG388" s="137">
        <f ca="1">SUM(BG183:BG384)-SUM($L$183:$L$247,$L$249:$L$361,$L$363:$L$366,$L$373,$L$376:$L$380,$L$383:$L$384)*Summary_LCIA!AC$32-SUM($L$362,$L$367:$L$372,$L$374:$L$375,$L$381:$L$382,$L$248)*Summary_LCIA!AC$34</f>
        <v>6.1247488170599954E-3</v>
      </c>
      <c r="BH388" s="137">
        <f ca="1">SUM(BH183:BH384)-SUM($L$183:$L$247,$L$249:$L$361,$L$363:$L$366,$L$373,$L$376:$L$380,$L$383:$L$384)*Summary_LCIA!AD$32-SUM($L$362,$L$367:$L$372,$L$374:$L$375,$L$381:$L$382,$L$248)*Summary_LCIA!AD$34</f>
        <v>19.963317726496395</v>
      </c>
      <c r="BI388" s="137">
        <f ca="1">SUM(BI183:BI384)-SUM($L$183:$L$247,$L$249:$L$361,$L$363:$L$366,$L$373,$L$376:$L$380,$L$383:$L$384)*Summary_LCIA!AE$32-SUM($L$362,$L$367:$L$372,$L$374:$L$375,$L$381:$L$382,$L$248)*Summary_LCIA!AE$34</f>
        <v>59.175619933262119</v>
      </c>
      <c r="BJ388" s="137">
        <f ca="1">SUM(BJ183:BJ384)-SUM($L$183:$L$247,$L$249:$L$361,$L$363:$L$366,$L$373,$L$376:$L$380,$L$383:$L$384)*Summary_LCIA!AF$32-SUM($L$362,$L$367:$L$372,$L$374:$L$375,$L$381:$L$382,$L$248)*Summary_LCIA!AF$34</f>
        <v>1.5602013963958719</v>
      </c>
      <c r="BK388" s="137">
        <f ca="1">SUM(BK183:BK384)-SUM($L$183:$L$247,$L$249:$L$361,$L$363:$L$366,$L$373,$L$376:$L$380,$L$383:$L$384)*Summary_LCIA!AG$32-SUM($L$362,$L$367:$L$372,$L$374:$L$375,$L$381:$L$382,$L$248)*Summary_LCIA!AG$34</f>
        <v>0.94192207881167567</v>
      </c>
      <c r="BL388" s="137">
        <f ca="1">SUM(BL183:BL384)-SUM($L$183:$L$247,$L$249:$L$361,$L$363:$L$366,$L$373,$L$376:$L$380,$L$383:$L$384)*Summary_LCIA!AH$32-SUM($L$362,$L$367:$L$372,$L$374:$L$375,$L$381:$L$382,$L$248)*Summary_LCIA!AH$34</f>
        <v>132.66836332924839</v>
      </c>
      <c r="BM388" s="137">
        <f ca="1">SUM(BM183:BM384)-SUM($L$183:$L$247,$L$249:$L$361,$L$363:$L$366,$L$373,$L$376:$L$380,$L$383:$L$384)*Summary_LCIA!AI$32-SUM($L$362,$L$367:$L$372,$L$374:$L$375,$L$381:$L$382,$L$248)*Summary_LCIA!AI$34</f>
        <v>51.852831581146724</v>
      </c>
    </row>
    <row r="389" spans="22:65" x14ac:dyDescent="0.25">
      <c r="V389" s="76" t="str">
        <f>Q383</f>
        <v>Newark Liberty International Airport</v>
      </c>
      <c r="W389" s="61">
        <f>COUNTIF(B2:B384,43)</f>
        <v>148</v>
      </c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37"/>
      <c r="BE389" s="137"/>
      <c r="BF389" s="137"/>
      <c r="BG389" s="137"/>
      <c r="BH389" s="137"/>
      <c r="BI389" s="137"/>
      <c r="BJ389" s="137"/>
      <c r="BK389" s="137"/>
      <c r="BL389" s="137"/>
      <c r="BM389" s="137"/>
    </row>
    <row r="390" spans="22:65" x14ac:dyDescent="0.25">
      <c r="V390" s="76" t="str">
        <f>Q334</f>
        <v>Seattle-Tacoma International Airport</v>
      </c>
      <c r="W390" s="61">
        <f>COUNTIF(B2:B384,29)</f>
        <v>53</v>
      </c>
      <c r="AO390" s="76" t="str">
        <f>'ACLCA_raw data'!I2</f>
        <v>total number of participants (w. location &amp; w/o duplication)</v>
      </c>
      <c r="AP390" s="76">
        <f>'ACLCA_raw data'!J2</f>
        <v>383</v>
      </c>
      <c r="AQ390" s="76" t="s">
        <v>291</v>
      </c>
      <c r="AS390" s="76" t="s">
        <v>583</v>
      </c>
      <c r="AT390" s="137">
        <f>AT386/$AP$390</f>
        <v>1.5330485414725847</v>
      </c>
      <c r="AU390" s="137">
        <f t="shared" ref="AU390:BM390" ca="1" si="62">AU386/$AP$390</f>
        <v>25.428429838575351</v>
      </c>
      <c r="AV390" s="137">
        <f t="shared" ca="1" si="62"/>
        <v>5.2636135225065266E-2</v>
      </c>
      <c r="AW390" s="137">
        <f t="shared" ca="1" si="62"/>
        <v>1.5119660872480418</v>
      </c>
      <c r="AX390" s="137">
        <f t="shared" ca="1" si="62"/>
        <v>0.42706381638642293</v>
      </c>
      <c r="AY390" s="137">
        <f t="shared" ca="1" si="62"/>
        <v>3.7874299601044388E-2</v>
      </c>
      <c r="AZ390" s="137">
        <f t="shared" ca="1" si="62"/>
        <v>1.6695697855770234E-3</v>
      </c>
      <c r="BA390" s="137">
        <f t="shared" ca="1" si="62"/>
        <v>1.0407197056605744</v>
      </c>
      <c r="BB390" s="137">
        <f t="shared" ca="1" si="62"/>
        <v>0.21873046257963444</v>
      </c>
      <c r="BC390" s="137">
        <f t="shared" ca="1" si="62"/>
        <v>3.5280169491383809E-2</v>
      </c>
      <c r="BD390" s="137">
        <f t="shared" ca="1" si="62"/>
        <v>5.8687046647519568E-4</v>
      </c>
      <c r="BE390" s="137">
        <f t="shared" ca="1" si="62"/>
        <v>4.2465498128459532E-2</v>
      </c>
      <c r="BF390" s="137">
        <f t="shared" ca="1" si="62"/>
        <v>-1.4286039220574414E-4</v>
      </c>
      <c r="BG390" s="137">
        <f t="shared" ca="1" si="62"/>
        <v>7.5808305371279364E-8</v>
      </c>
      <c r="BH390" s="137">
        <f t="shared" ca="1" si="62"/>
        <v>2.2890109967624015E-3</v>
      </c>
      <c r="BI390" s="137">
        <f t="shared" ca="1" si="62"/>
        <v>6.1752649610443871E-3</v>
      </c>
      <c r="BJ390" s="137">
        <f t="shared" ca="1" si="62"/>
        <v>4.8971411736814614E-3</v>
      </c>
      <c r="BK390" s="137">
        <f t="shared" ca="1" si="62"/>
        <v>5.6372917883028714E-5</v>
      </c>
      <c r="BL390" s="137">
        <f t="shared" ca="1" si="62"/>
        <v>4.6906401816187993E-2</v>
      </c>
      <c r="BM390" s="137">
        <f t="shared" ca="1" si="62"/>
        <v>5.7801748276762408E-3</v>
      </c>
    </row>
    <row r="391" spans="22:65" x14ac:dyDescent="0.25">
      <c r="AO391" s="76" t="str">
        <f>'ACLCA_raw data'!I3</f>
        <v>total number of participants (w/o duplication)</v>
      </c>
      <c r="AP391" s="76">
        <f>'ACLCA_raw data'!J3</f>
        <v>536</v>
      </c>
      <c r="AQ391" s="76" t="s">
        <v>291</v>
      </c>
      <c r="AS391" s="76" t="s">
        <v>584</v>
      </c>
      <c r="AT391" s="137">
        <f>AT387/$AP$390</f>
        <v>36.966451210276745</v>
      </c>
      <c r="AU391" s="137">
        <f t="shared" ref="AU391:BM391" si="63">AU387/$AP$390</f>
        <v>716.55977276911517</v>
      </c>
      <c r="AV391" s="137">
        <f t="shared" si="63"/>
        <v>0.76131532366370758</v>
      </c>
      <c r="AW391" s="137">
        <f t="shared" si="63"/>
        <v>48.490187870391658</v>
      </c>
      <c r="AX391" s="137">
        <f t="shared" si="63"/>
        <v>15.889652474673625</v>
      </c>
      <c r="AY391" s="137">
        <f t="shared" si="63"/>
        <v>2.5900567282193214</v>
      </c>
      <c r="AZ391" s="137">
        <f t="shared" si="63"/>
        <v>6.905420307942561E-3</v>
      </c>
      <c r="BA391" s="137">
        <f t="shared" si="63"/>
        <v>11.128684628099215</v>
      </c>
      <c r="BB391" s="137">
        <f t="shared" si="63"/>
        <v>3.2935967549869449</v>
      </c>
      <c r="BC391" s="137">
        <f t="shared" si="63"/>
        <v>2.2528895801671016</v>
      </c>
      <c r="BD391" s="137">
        <f t="shared" si="63"/>
        <v>5.9291970731018308E-3</v>
      </c>
      <c r="BE391" s="137">
        <f t="shared" si="63"/>
        <v>3.3768764622245429</v>
      </c>
      <c r="BF391" s="137">
        <f t="shared" si="63"/>
        <v>-3.1552309913994775E-3</v>
      </c>
      <c r="BG391" s="137">
        <f t="shared" si="63"/>
        <v>7.0677868204908619E-6</v>
      </c>
      <c r="BH391" s="137">
        <f t="shared" si="63"/>
        <v>5.9429324414830294E-2</v>
      </c>
      <c r="BI391" s="137">
        <f t="shared" si="63"/>
        <v>0.12811917877509141</v>
      </c>
      <c r="BJ391" s="137">
        <f t="shared" si="63"/>
        <v>0.12223321196668405</v>
      </c>
      <c r="BK391" s="137">
        <f t="shared" si="63"/>
        <v>7.3975802444647487E-3</v>
      </c>
      <c r="BL391" s="137">
        <f t="shared" si="63"/>
        <v>1.258391076238121</v>
      </c>
      <c r="BM391" s="137">
        <f t="shared" si="63"/>
        <v>0.13468613068955609</v>
      </c>
    </row>
    <row r="392" spans="22:65" x14ac:dyDescent="0.25">
      <c r="AO392" s="76" t="s">
        <v>578</v>
      </c>
      <c r="AP392" s="61">
        <f>AP386/$AP$390</f>
        <v>20.588334203655354</v>
      </c>
      <c r="AQ392" s="76" t="s">
        <v>292</v>
      </c>
      <c r="AS392" s="76" t="s">
        <v>585</v>
      </c>
      <c r="AT392" s="137">
        <f>AT388/$AP$390*IF(SA!$B$9="-", 1,0)+IF(SA!$B$9&lt;&gt;"-", $AP$388*SA!$B$9/$AP$390,0)</f>
        <v>141.69142489138042</v>
      </c>
      <c r="AU392" s="137">
        <f t="shared" ref="AU392:BM392" ca="1" si="64">AU388/$AP$390</f>
        <v>1338.6310050030777</v>
      </c>
      <c r="AV392" s="137">
        <f t="shared" ca="1" si="64"/>
        <v>0.61725354297597579</v>
      </c>
      <c r="AW392" s="137">
        <f t="shared" ca="1" si="64"/>
        <v>130.28490041769899</v>
      </c>
      <c r="AX392" s="137">
        <f t="shared" ca="1" si="64"/>
        <v>31.303930923145771</v>
      </c>
      <c r="AY392" s="137">
        <f t="shared" ca="1" si="64"/>
        <v>0.19595325317306089</v>
      </c>
      <c r="AZ392" s="137">
        <f t="shared" ca="1" si="64"/>
        <v>3.0794652637426466E-3</v>
      </c>
      <c r="BA392" s="137">
        <f t="shared" ca="1" si="64"/>
        <v>4.8005527523607912</v>
      </c>
      <c r="BB392" s="137">
        <f t="shared" ca="1" si="64"/>
        <v>6.6144005975965747</v>
      </c>
      <c r="BC392" s="137">
        <f t="shared" ca="1" si="64"/>
        <v>0.16922703790090088</v>
      </c>
      <c r="BD392" s="137">
        <f t="shared" ca="1" si="64"/>
        <v>0.13609230496714766</v>
      </c>
      <c r="BE392" s="137">
        <f t="shared" ca="1" si="64"/>
        <v>0.59883945094964697</v>
      </c>
      <c r="BF392" s="137">
        <f t="shared" ca="1" si="64"/>
        <v>3.2756172256071601E-2</v>
      </c>
      <c r="BG392" s="137">
        <f t="shared" ca="1" si="64"/>
        <v>1.5991511271697115E-5</v>
      </c>
      <c r="BH392" s="137">
        <f t="shared" ca="1" si="64"/>
        <v>5.2123544977797379E-2</v>
      </c>
      <c r="BI392" s="137">
        <f t="shared" ca="1" si="64"/>
        <v>0.15450553507379144</v>
      </c>
      <c r="BJ392" s="137">
        <f t="shared" ca="1" si="64"/>
        <v>4.0736328887620672E-3</v>
      </c>
      <c r="BK392" s="137">
        <f t="shared" ca="1" si="64"/>
        <v>2.4593265765317902E-3</v>
      </c>
      <c r="BL392" s="137">
        <f t="shared" ca="1" si="64"/>
        <v>0.34639259354895141</v>
      </c>
      <c r="BM392" s="137">
        <f t="shared" ca="1" si="64"/>
        <v>0.13538598324059198</v>
      </c>
    </row>
    <row r="393" spans="22:65" x14ac:dyDescent="0.25">
      <c r="AO393" s="76" t="s">
        <v>577</v>
      </c>
      <c r="AP393" s="61">
        <f>AP387/$AP$390</f>
        <v>144.58282506527405</v>
      </c>
      <c r="AQ393" s="76" t="s">
        <v>292</v>
      </c>
      <c r="AT393" s="137"/>
      <c r="AU393" s="137"/>
      <c r="AV393" s="137"/>
      <c r="AW393" s="137"/>
      <c r="AX393" s="137"/>
      <c r="AY393" s="137"/>
      <c r="AZ393" s="137"/>
      <c r="BA393" s="137"/>
      <c r="BB393" s="137"/>
      <c r="BC393" s="137"/>
      <c r="BD393" s="137"/>
      <c r="BE393" s="137"/>
      <c r="BF393" s="137"/>
      <c r="BG393" s="137"/>
      <c r="BH393" s="137"/>
      <c r="BI393" s="137"/>
      <c r="BJ393" s="137"/>
      <c r="BK393" s="137"/>
      <c r="BL393" s="137"/>
      <c r="BM393" s="137"/>
    </row>
    <row r="394" spans="22:65" x14ac:dyDescent="0.25">
      <c r="AO394" s="76" t="s">
        <v>576</v>
      </c>
      <c r="AP394" s="61">
        <f>AP388/$AP$390</f>
        <v>588.93715007996036</v>
      </c>
      <c r="AQ394" s="76" t="s">
        <v>292</v>
      </c>
      <c r="AS394" s="76" t="s">
        <v>588</v>
      </c>
      <c r="AT394" s="137">
        <f>AT386/$AP$386</f>
        <v>7.4461999999999987E-2</v>
      </c>
      <c r="AU394" s="137">
        <f t="shared" ref="AU394:BM394" ca="1" si="65">AU386/$AP$386</f>
        <v>1.2350892299999998</v>
      </c>
      <c r="AV394" s="137">
        <f t="shared" ca="1" si="65"/>
        <v>2.5565999999999996E-3</v>
      </c>
      <c r="AW394" s="137">
        <f t="shared" ca="1" si="65"/>
        <v>7.3437999999999989E-2</v>
      </c>
      <c r="AX394" s="137">
        <f t="shared" ca="1" si="65"/>
        <v>2.0742999999999998E-2</v>
      </c>
      <c r="AY394" s="137">
        <f t="shared" ca="1" si="65"/>
        <v>1.8395999999999998E-3</v>
      </c>
      <c r="AZ394" s="137">
        <f t="shared" ca="1" si="65"/>
        <v>8.1092999999999991E-5</v>
      </c>
      <c r="BA394" s="137">
        <f t="shared" ca="1" si="65"/>
        <v>5.0548999999999997E-2</v>
      </c>
      <c r="BB394" s="137">
        <f t="shared" ca="1" si="65"/>
        <v>1.0623999999999998E-2</v>
      </c>
      <c r="BC394" s="137">
        <f t="shared" ca="1" si="65"/>
        <v>1.7135999999999996E-3</v>
      </c>
      <c r="BD394" s="137">
        <f t="shared" ca="1" si="65"/>
        <v>2.8504999999999992E-5</v>
      </c>
      <c r="BE394" s="137">
        <f t="shared" ca="1" si="65"/>
        <v>2.0625999999999999E-3</v>
      </c>
      <c r="BF394" s="137">
        <f t="shared" ca="1" si="65"/>
        <v>-6.9388999999999998E-6</v>
      </c>
      <c r="BG394" s="137">
        <f t="shared" ca="1" si="65"/>
        <v>3.6820999999999995E-9</v>
      </c>
      <c r="BH394" s="137">
        <f t="shared" ca="1" si="65"/>
        <v>1.1117999999999998E-4</v>
      </c>
      <c r="BI394" s="137">
        <f t="shared" ca="1" si="65"/>
        <v>2.9994E-4</v>
      </c>
      <c r="BJ394" s="137">
        <f t="shared" ca="1" si="65"/>
        <v>2.3785999999999995E-4</v>
      </c>
      <c r="BK394" s="137">
        <f t="shared" ca="1" si="65"/>
        <v>2.7380999999999997E-6</v>
      </c>
      <c r="BL394" s="137">
        <f t="shared" ca="1" si="65"/>
        <v>2.2783E-3</v>
      </c>
      <c r="BM394" s="137">
        <f t="shared" ca="1" si="65"/>
        <v>2.8075000000000002E-4</v>
      </c>
    </row>
    <row r="395" spans="22:65" x14ac:dyDescent="0.25">
      <c r="AS395" s="76" t="s">
        <v>587</v>
      </c>
      <c r="AT395" s="137">
        <f>AT387/$AP$387</f>
        <v>0.25567664204643742</v>
      </c>
      <c r="AU395" s="137">
        <f t="shared" ref="AU395:BM395" si="66">AU387/$AP$387</f>
        <v>4.9560504330000033</v>
      </c>
      <c r="AV395" s="137">
        <f t="shared" si="66"/>
        <v>5.265600000000004E-3</v>
      </c>
      <c r="AW395" s="137">
        <f t="shared" si="66"/>
        <v>0.33538000000000034</v>
      </c>
      <c r="AX395" s="137">
        <f t="shared" si="66"/>
        <v>0.10990000000000005</v>
      </c>
      <c r="AY395" s="137">
        <f t="shared" si="66"/>
        <v>1.7914000000000017E-2</v>
      </c>
      <c r="AZ395" s="137">
        <f t="shared" si="66"/>
        <v>4.7761000000000053E-5</v>
      </c>
      <c r="BA395" s="137">
        <f t="shared" si="66"/>
        <v>7.6971000000000053E-2</v>
      </c>
      <c r="BB395" s="137">
        <f t="shared" si="66"/>
        <v>2.2780000000000016E-2</v>
      </c>
      <c r="BC395" s="137">
        <f t="shared" si="66"/>
        <v>1.5582000000000011E-2</v>
      </c>
      <c r="BD395" s="137">
        <f t="shared" si="66"/>
        <v>4.1009000000000054E-5</v>
      </c>
      <c r="BE395" s="137">
        <f t="shared" si="66"/>
        <v>2.3356000000000016E-2</v>
      </c>
      <c r="BF395" s="137">
        <f t="shared" si="66"/>
        <v>-2.1823000000000015E-5</v>
      </c>
      <c r="BG395" s="137">
        <f t="shared" si="66"/>
        <v>4.8884000000000043E-8</v>
      </c>
      <c r="BH395" s="137">
        <f t="shared" si="66"/>
        <v>4.1104000000000032E-4</v>
      </c>
      <c r="BI395" s="137">
        <f t="shared" si="66"/>
        <v>8.8613000000000081E-4</v>
      </c>
      <c r="BJ395" s="137">
        <f t="shared" si="66"/>
        <v>8.4542000000000048E-4</v>
      </c>
      <c r="BK395" s="137">
        <f t="shared" si="66"/>
        <v>5.1165000000000016E-5</v>
      </c>
      <c r="BL395" s="137">
        <f t="shared" si="66"/>
        <v>8.7036000000000127E-3</v>
      </c>
      <c r="BM395" s="137">
        <f t="shared" si="66"/>
        <v>9.315500000000005E-4</v>
      </c>
    </row>
    <row r="396" spans="22:65" x14ac:dyDescent="0.25">
      <c r="AS396" s="76" t="s">
        <v>586</v>
      </c>
      <c r="AT396" s="137">
        <f t="shared" ref="AT396:BM396" si="67">AT388/$AP$388</f>
        <v>0.24058836307429896</v>
      </c>
      <c r="AU396" s="137">
        <f t="shared" ca="1" si="67"/>
        <v>2.272960713755841</v>
      </c>
      <c r="AV396" s="137">
        <f t="shared" ca="1" si="67"/>
        <v>1.0480805004272032E-3</v>
      </c>
      <c r="AW396" s="137">
        <f t="shared" ca="1" si="67"/>
        <v>0.22122038047694922</v>
      </c>
      <c r="AX396" s="137">
        <f t="shared" ca="1" si="67"/>
        <v>5.3153262481226753E-2</v>
      </c>
      <c r="AY396" s="137">
        <f t="shared" ca="1" si="67"/>
        <v>3.3272353959409114E-4</v>
      </c>
      <c r="AZ396" s="137">
        <f t="shared" ca="1" si="67"/>
        <v>5.2288521166045405E-6</v>
      </c>
      <c r="BA396" s="137">
        <f t="shared" ca="1" si="67"/>
        <v>8.151214016145894E-3</v>
      </c>
      <c r="BB396" s="137">
        <f t="shared" ca="1" si="67"/>
        <v>1.1231080594420869E-2</v>
      </c>
      <c r="BC396" s="137">
        <f t="shared" ca="1" si="67"/>
        <v>2.8734311951271002E-4</v>
      </c>
      <c r="BD396" s="137">
        <f t="shared" ca="1" si="67"/>
        <v>2.310812027203078E-4</v>
      </c>
      <c r="BE396" s="137">
        <f t="shared" ca="1" si="67"/>
        <v>1.0168138499470479E-3</v>
      </c>
      <c r="BF396" s="137">
        <f t="shared" ca="1" si="67"/>
        <v>5.5619130584009308E-5</v>
      </c>
      <c r="BG396" s="137">
        <f t="shared" ca="1" si="67"/>
        <v>2.7153171216191637E-8</v>
      </c>
      <c r="BH396" s="137">
        <f t="shared" ca="1" si="67"/>
        <v>8.8504426950686548E-5</v>
      </c>
      <c r="BI396" s="137">
        <f t="shared" ca="1" si="67"/>
        <v>2.623463896832015E-4</v>
      </c>
      <c r="BJ396" s="137">
        <f t="shared" ca="1" si="67"/>
        <v>6.9169229487543578E-6</v>
      </c>
      <c r="BK396" s="137">
        <f t="shared" ca="1" si="67"/>
        <v>4.1758727161257969E-6</v>
      </c>
      <c r="BL396" s="137">
        <f t="shared" ca="1" si="67"/>
        <v>5.8816563618362583E-4</v>
      </c>
      <c r="BM396" s="137">
        <f t="shared" ca="1" si="67"/>
        <v>2.2988188675516653E-4</v>
      </c>
    </row>
    <row r="397" spans="22:65" x14ac:dyDescent="0.25">
      <c r="AT397" s="137"/>
      <c r="AU397" s="137"/>
      <c r="AV397" s="137"/>
      <c r="AW397" s="137"/>
      <c r="AX397" s="137"/>
      <c r="AY397" s="137"/>
      <c r="AZ397" s="137"/>
      <c r="BA397" s="137"/>
      <c r="BB397" s="137"/>
      <c r="BC397" s="137"/>
      <c r="BD397" s="137"/>
      <c r="BE397" s="137"/>
      <c r="BF397" s="137"/>
      <c r="BG397" s="137"/>
      <c r="BH397" s="137"/>
      <c r="BI397" s="137"/>
      <c r="BJ397" s="137"/>
      <c r="BK397" s="137"/>
    </row>
  </sheetData>
  <sortState xmlns:xlrd2="http://schemas.microsoft.com/office/spreadsheetml/2017/richdata2" ref="A2:W398">
    <sortCondition descending="1" ref="V200:V398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37578-2001-46E2-863D-E3D82D1DAE39}">
  <sheetPr codeName="Sheet24"/>
  <dimension ref="A1:BM396"/>
  <sheetViews>
    <sheetView topLeftCell="A334" zoomScale="60" zoomScaleNormal="60" workbookViewId="0">
      <selection activeCell="W14" sqref="W14:W15"/>
    </sheetView>
  </sheetViews>
  <sheetFormatPr defaultRowHeight="15" x14ac:dyDescent="0.25"/>
  <cols>
    <col min="1" max="2" width="9.28515625" style="149" bestFit="1" customWidth="1"/>
    <col min="3" max="4" width="9.28515625" style="76" bestFit="1" customWidth="1"/>
    <col min="5" max="5" width="9.140625" style="76"/>
    <col min="6" max="6" width="9.28515625" style="149" bestFit="1" customWidth="1"/>
    <col min="7" max="8" width="9.140625" style="76"/>
    <col min="9" max="12" width="9.28515625" style="76" bestFit="1" customWidth="1"/>
    <col min="13" max="13" width="9.140625" style="76"/>
    <col min="14" max="15" width="9.28515625" style="149" bestFit="1" customWidth="1"/>
    <col min="16" max="17" width="9.140625" style="76"/>
    <col min="18" max="20" width="9.28515625" style="76" bestFit="1" customWidth="1"/>
    <col min="21" max="22" width="9.140625" style="76"/>
    <col min="23" max="23" width="9.28515625" style="76" bestFit="1" customWidth="1"/>
    <col min="24" max="24" width="9.140625" style="76"/>
    <col min="25" max="44" width="10.7109375" style="76" customWidth="1"/>
    <col min="45" max="45" width="9.140625" style="76"/>
    <col min="46" max="65" width="10.7109375" style="76" customWidth="1"/>
    <col min="66" max="16384" width="9.140625" style="76"/>
  </cols>
  <sheetData>
    <row r="1" spans="1:65" x14ac:dyDescent="0.25">
      <c r="A1" s="149" t="s">
        <v>562</v>
      </c>
      <c r="B1" s="149" t="s">
        <v>601</v>
      </c>
      <c r="C1" s="61" t="s">
        <v>602</v>
      </c>
      <c r="D1" s="61" t="s">
        <v>603</v>
      </c>
      <c r="E1" s="61" t="s">
        <v>604</v>
      </c>
      <c r="F1" s="149" t="s">
        <v>605</v>
      </c>
      <c r="G1" s="61" t="s">
        <v>606</v>
      </c>
      <c r="H1" s="61" t="s">
        <v>607</v>
      </c>
      <c r="I1" s="61" t="s">
        <v>608</v>
      </c>
      <c r="J1" s="61" t="s">
        <v>609</v>
      </c>
      <c r="K1" s="61" t="s">
        <v>563</v>
      </c>
      <c r="L1" s="61" t="s">
        <v>610</v>
      </c>
      <c r="M1" s="61" t="s">
        <v>568</v>
      </c>
      <c r="N1" s="149" t="s">
        <v>611</v>
      </c>
      <c r="O1" s="149" t="s">
        <v>560</v>
      </c>
      <c r="P1" s="61" t="s">
        <v>612</v>
      </c>
      <c r="Q1" s="61" t="s">
        <v>317</v>
      </c>
      <c r="R1" s="61" t="s">
        <v>288</v>
      </c>
      <c r="S1" s="61" t="s">
        <v>289</v>
      </c>
      <c r="T1" s="61" t="s">
        <v>613</v>
      </c>
      <c r="U1" s="61" t="s">
        <v>614</v>
      </c>
      <c r="V1" s="61"/>
      <c r="W1" s="61" t="s">
        <v>733</v>
      </c>
      <c r="Y1" s="137" t="s">
        <v>0</v>
      </c>
      <c r="Z1" s="137" t="s">
        <v>156</v>
      </c>
      <c r="AA1" s="137" t="s">
        <v>164</v>
      </c>
      <c r="AB1" s="137" t="s">
        <v>165</v>
      </c>
      <c r="AC1" s="137" t="s">
        <v>166</v>
      </c>
      <c r="AD1" s="137" t="s">
        <v>167</v>
      </c>
      <c r="AE1" s="137" t="s">
        <v>168</v>
      </c>
      <c r="AF1" s="137" t="s">
        <v>169</v>
      </c>
      <c r="AG1" s="137" t="s">
        <v>170</v>
      </c>
      <c r="AH1" s="137" t="s">
        <v>171</v>
      </c>
      <c r="AI1" s="137" t="s">
        <v>172</v>
      </c>
      <c r="AJ1" s="137" t="s">
        <v>173</v>
      </c>
      <c r="AK1" s="137" t="s">
        <v>174</v>
      </c>
      <c r="AL1" s="137" t="s">
        <v>175</v>
      </c>
      <c r="AM1" s="137" t="s">
        <v>176</v>
      </c>
      <c r="AN1" s="137" t="s">
        <v>177</v>
      </c>
      <c r="AO1" s="137" t="s">
        <v>178</v>
      </c>
      <c r="AP1" s="137" t="s">
        <v>179</v>
      </c>
      <c r="AQ1" s="137" t="s">
        <v>180</v>
      </c>
      <c r="AR1" s="137" t="s">
        <v>181</v>
      </c>
      <c r="AT1" s="137" t="str">
        <f>Y1</f>
        <v>GWP</v>
      </c>
      <c r="AU1" s="137" t="str">
        <f t="shared" ref="AU1:BJ1" si="0">Z1</f>
        <v>CED</v>
      </c>
      <c r="AV1" s="137" t="str">
        <f t="shared" si="0"/>
        <v>ALOP</v>
      </c>
      <c r="AW1" s="137" t="str">
        <f t="shared" si="0"/>
        <v>GWP100</v>
      </c>
      <c r="AX1" s="137" t="str">
        <f t="shared" si="0"/>
        <v>FDP</v>
      </c>
      <c r="AY1" s="137" t="str">
        <f t="shared" si="0"/>
        <v>FETPinf</v>
      </c>
      <c r="AZ1" s="137" t="str">
        <f t="shared" si="0"/>
        <v>FEP</v>
      </c>
      <c r="BA1" s="137" t="str">
        <f t="shared" si="0"/>
        <v>HTPinf</v>
      </c>
      <c r="BB1" s="137" t="str">
        <f t="shared" si="0"/>
        <v>IRP_HE</v>
      </c>
      <c r="BC1" s="137" t="str">
        <f t="shared" si="0"/>
        <v>METPinf</v>
      </c>
      <c r="BD1" s="137" t="str">
        <f t="shared" si="0"/>
        <v>MEP</v>
      </c>
      <c r="BE1" s="137" t="str">
        <f t="shared" si="0"/>
        <v>MDP</v>
      </c>
      <c r="BF1" s="137" t="str">
        <f t="shared" si="0"/>
        <v>NLTP</v>
      </c>
      <c r="BG1" s="137" t="str">
        <f t="shared" si="0"/>
        <v>ODPinf</v>
      </c>
      <c r="BH1" s="137" t="str">
        <f t="shared" si="0"/>
        <v>PMFP</v>
      </c>
      <c r="BI1" s="137" t="str">
        <f t="shared" si="0"/>
        <v>POFP</v>
      </c>
      <c r="BJ1" s="137" t="str">
        <f t="shared" si="0"/>
        <v>TAP100</v>
      </c>
      <c r="BK1" s="137" t="str">
        <f>AP1</f>
        <v>TETPinf</v>
      </c>
      <c r="BL1" s="137" t="str">
        <f t="shared" ref="BL1" si="1">AQ1</f>
        <v>ULOP</v>
      </c>
      <c r="BM1" s="137" t="str">
        <f t="shared" ref="BM1" si="2">AR1</f>
        <v>WDP</v>
      </c>
    </row>
    <row r="2" spans="1:65" x14ac:dyDescent="0.25">
      <c r="A2" s="149">
        <v>381</v>
      </c>
      <c r="B2" s="149">
        <v>15</v>
      </c>
      <c r="C2" s="61">
        <v>47.376887000000004</v>
      </c>
      <c r="D2" s="61">
        <v>8.5416939999999997</v>
      </c>
      <c r="E2" s="61" t="s">
        <v>271</v>
      </c>
      <c r="F2" s="149">
        <v>38</v>
      </c>
      <c r="G2" s="61" t="s">
        <v>567</v>
      </c>
      <c r="H2" s="61" t="s">
        <v>678</v>
      </c>
      <c r="I2" s="61">
        <v>48.353696999999997</v>
      </c>
      <c r="J2" s="61">
        <v>11.775111000000001</v>
      </c>
      <c r="K2" s="61">
        <v>287.26130230000001</v>
      </c>
      <c r="L2" s="61">
        <v>387.93700000000001</v>
      </c>
      <c r="M2" s="61" t="s">
        <v>589</v>
      </c>
      <c r="N2" s="149">
        <v>14</v>
      </c>
      <c r="O2" s="149">
        <v>15</v>
      </c>
      <c r="P2" s="61" t="s">
        <v>567</v>
      </c>
      <c r="Q2" s="61" t="s">
        <v>566</v>
      </c>
      <c r="R2" s="61">
        <v>50.037932599999998</v>
      </c>
      <c r="S2" s="61">
        <v>8.5621518000000005</v>
      </c>
      <c r="T2" s="61">
        <f>Transport_2_Hubs!T2</f>
        <v>417.82600000000002</v>
      </c>
      <c r="U2" s="61" t="s">
        <v>589</v>
      </c>
      <c r="V2" s="61" t="s">
        <v>589</v>
      </c>
      <c r="W2" s="61"/>
      <c r="Y2" s="137">
        <f>Summary_LCIA!H$34</f>
        <v>7.4462E-2</v>
      </c>
      <c r="Z2" s="137">
        <f ca="1">Summary_LCIA!Q$34</f>
        <v>1.23508923</v>
      </c>
      <c r="AA2" s="137">
        <f ca="1">Summary_LCIA!R$34</f>
        <v>2.5566E-3</v>
      </c>
      <c r="AB2" s="137">
        <f ca="1">Summary_LCIA!S$34</f>
        <v>7.3438000000000003E-2</v>
      </c>
      <c r="AC2" s="137">
        <f ca="1">Summary_LCIA!T$34</f>
        <v>2.0743000000000001E-2</v>
      </c>
      <c r="AD2" s="137">
        <f ca="1">Summary_LCIA!U$34</f>
        <v>1.8396E-3</v>
      </c>
      <c r="AE2" s="137">
        <f ca="1">Summary_LCIA!V$34</f>
        <v>8.1093000000000004E-5</v>
      </c>
      <c r="AF2" s="137">
        <f ca="1">Summary_LCIA!W$34</f>
        <v>5.0548999999999997E-2</v>
      </c>
      <c r="AG2" s="137">
        <f ca="1">Summary_LCIA!X$34</f>
        <v>1.0624E-2</v>
      </c>
      <c r="AH2" s="137">
        <f ca="1">Summary_LCIA!Y$34</f>
        <v>1.7136E-3</v>
      </c>
      <c r="AI2" s="137">
        <f ca="1">Summary_LCIA!Z$34</f>
        <v>2.8504999999999999E-5</v>
      </c>
      <c r="AJ2" s="137">
        <f ca="1">Summary_LCIA!AA$34</f>
        <v>2.0625999999999999E-3</v>
      </c>
      <c r="AK2" s="137">
        <f ca="1">Summary_LCIA!AB$34</f>
        <v>-6.9388999999999998E-6</v>
      </c>
      <c r="AL2" s="137">
        <f ca="1">Summary_LCIA!AC$34</f>
        <v>3.6820999999999999E-9</v>
      </c>
      <c r="AM2" s="137">
        <f ca="1">Summary_LCIA!AD$34</f>
        <v>1.1118E-4</v>
      </c>
      <c r="AN2" s="137">
        <f ca="1">Summary_LCIA!AE$34</f>
        <v>2.9994E-4</v>
      </c>
      <c r="AO2" s="137">
        <f ca="1">Summary_LCIA!AF$34</f>
        <v>2.3786E-4</v>
      </c>
      <c r="AP2" s="137">
        <f ca="1">Summary_LCIA!AG$34</f>
        <v>2.7381000000000001E-6</v>
      </c>
      <c r="AQ2" s="137">
        <f ca="1">Summary_LCIA!AH$34</f>
        <v>2.2783E-3</v>
      </c>
      <c r="AR2" s="137">
        <f ca="1">Summary_LCIA!AI$34</f>
        <v>2.8075000000000002E-4</v>
      </c>
      <c r="AT2" s="137">
        <f>$T2*Y2</f>
        <v>31.112159612000003</v>
      </c>
      <c r="AU2" s="137">
        <f t="shared" ref="AU2:BM2" ca="1" si="3">$T2*Z2</f>
        <v>516.05239261398003</v>
      </c>
      <c r="AV2" s="137">
        <f t="shared" ca="1" si="3"/>
        <v>1.0682139516</v>
      </c>
      <c r="AW2" s="137">
        <f t="shared" ca="1" si="3"/>
        <v>30.684305788000003</v>
      </c>
      <c r="AX2" s="137">
        <f t="shared" ca="1" si="3"/>
        <v>8.6669647180000009</v>
      </c>
      <c r="AY2" s="137">
        <f t="shared" ca="1" si="3"/>
        <v>0.76863270960000007</v>
      </c>
      <c r="AZ2" s="137">
        <f t="shared" ca="1" si="3"/>
        <v>3.3882763818000004E-2</v>
      </c>
      <c r="BA2" s="137">
        <f t="shared" ca="1" si="3"/>
        <v>21.120686473999999</v>
      </c>
      <c r="BB2" s="137">
        <f t="shared" ca="1" si="3"/>
        <v>4.4389834239999999</v>
      </c>
      <c r="BC2" s="137">
        <f t="shared" ca="1" si="3"/>
        <v>0.71598663360000003</v>
      </c>
      <c r="BD2" s="137">
        <f t="shared" ca="1" si="3"/>
        <v>1.191013013E-2</v>
      </c>
      <c r="BE2" s="137">
        <f t="shared" ca="1" si="3"/>
        <v>0.86180790760000003</v>
      </c>
      <c r="BF2" s="137">
        <f t="shared" ca="1" si="3"/>
        <v>-2.8992528314000002E-3</v>
      </c>
      <c r="BG2" s="137">
        <f t="shared" ca="1" si="3"/>
        <v>1.5384771146E-6</v>
      </c>
      <c r="BH2" s="137">
        <f t="shared" ca="1" si="3"/>
        <v>4.6453894680000003E-2</v>
      </c>
      <c r="BI2" s="137">
        <f t="shared" ca="1" si="3"/>
        <v>0.12532273044</v>
      </c>
      <c r="BJ2" s="137">
        <f t="shared" ca="1" si="3"/>
        <v>9.9384092360000009E-2</v>
      </c>
      <c r="BK2" s="137">
        <f t="shared" ca="1" si="3"/>
        <v>1.1440493706000002E-3</v>
      </c>
      <c r="BL2" s="137">
        <f t="shared" ca="1" si="3"/>
        <v>0.95193297580000003</v>
      </c>
      <c r="BM2" s="137">
        <f t="shared" ca="1" si="3"/>
        <v>0.11730464950000001</v>
      </c>
    </row>
    <row r="3" spans="1:65" x14ac:dyDescent="0.25">
      <c r="A3" s="149">
        <v>153</v>
      </c>
      <c r="B3" s="149">
        <v>15</v>
      </c>
      <c r="C3" s="61">
        <v>48.790447</v>
      </c>
      <c r="D3" s="61">
        <v>11.497889000000001</v>
      </c>
      <c r="E3" s="61" t="s">
        <v>281</v>
      </c>
      <c r="F3" s="149">
        <v>38</v>
      </c>
      <c r="G3" s="61" t="s">
        <v>567</v>
      </c>
      <c r="H3" s="61" t="s">
        <v>678</v>
      </c>
      <c r="I3" s="61">
        <v>48.353696999999997</v>
      </c>
      <c r="J3" s="61">
        <v>11.775111000000001</v>
      </c>
      <c r="K3" s="61">
        <v>55.559302189999997</v>
      </c>
      <c r="L3" s="61">
        <v>128.94999999999999</v>
      </c>
      <c r="M3" s="61" t="s">
        <v>589</v>
      </c>
      <c r="N3" s="149">
        <v>14</v>
      </c>
      <c r="O3" s="149">
        <v>15</v>
      </c>
      <c r="P3" s="61" t="s">
        <v>567</v>
      </c>
      <c r="Q3" s="61" t="s">
        <v>566</v>
      </c>
      <c r="R3" s="61">
        <v>50.037932599999998</v>
      </c>
      <c r="S3" s="61">
        <v>8.5621518000000005</v>
      </c>
      <c r="T3" s="61">
        <f>Transport_2_Hubs!T3</f>
        <v>379.20299999999997</v>
      </c>
      <c r="U3" s="61" t="s">
        <v>589</v>
      </c>
      <c r="V3" s="61" t="s">
        <v>589</v>
      </c>
      <c r="W3" s="61"/>
      <c r="Y3" s="137">
        <f>Summary_LCIA!H$34</f>
        <v>7.4462E-2</v>
      </c>
      <c r="Z3" s="137">
        <f ca="1">Summary_LCIA!Q$34</f>
        <v>1.23508923</v>
      </c>
      <c r="AA3" s="137">
        <f ca="1">Summary_LCIA!R$34</f>
        <v>2.5566E-3</v>
      </c>
      <c r="AB3" s="137">
        <f ca="1">Summary_LCIA!S$34</f>
        <v>7.3438000000000003E-2</v>
      </c>
      <c r="AC3" s="137">
        <f ca="1">Summary_LCIA!T$34</f>
        <v>2.0743000000000001E-2</v>
      </c>
      <c r="AD3" s="137">
        <f ca="1">Summary_LCIA!U$34</f>
        <v>1.8396E-3</v>
      </c>
      <c r="AE3" s="137">
        <f ca="1">Summary_LCIA!V$34</f>
        <v>8.1093000000000004E-5</v>
      </c>
      <c r="AF3" s="137">
        <f ca="1">Summary_LCIA!W$34</f>
        <v>5.0548999999999997E-2</v>
      </c>
      <c r="AG3" s="137">
        <f ca="1">Summary_LCIA!X$34</f>
        <v>1.0624E-2</v>
      </c>
      <c r="AH3" s="137">
        <f ca="1">Summary_LCIA!Y$34</f>
        <v>1.7136E-3</v>
      </c>
      <c r="AI3" s="137">
        <f ca="1">Summary_LCIA!Z$34</f>
        <v>2.8504999999999999E-5</v>
      </c>
      <c r="AJ3" s="137">
        <f ca="1">Summary_LCIA!AA$34</f>
        <v>2.0625999999999999E-3</v>
      </c>
      <c r="AK3" s="137">
        <f ca="1">Summary_LCIA!AB$34</f>
        <v>-6.9388999999999998E-6</v>
      </c>
      <c r="AL3" s="137">
        <f ca="1">Summary_LCIA!AC$34</f>
        <v>3.6820999999999999E-9</v>
      </c>
      <c r="AM3" s="137">
        <f ca="1">Summary_LCIA!AD$34</f>
        <v>1.1118E-4</v>
      </c>
      <c r="AN3" s="137">
        <f ca="1">Summary_LCIA!AE$34</f>
        <v>2.9994E-4</v>
      </c>
      <c r="AO3" s="137">
        <f ca="1">Summary_LCIA!AF$34</f>
        <v>2.3786E-4</v>
      </c>
      <c r="AP3" s="137">
        <f ca="1">Summary_LCIA!AG$34</f>
        <v>2.7381000000000001E-6</v>
      </c>
      <c r="AQ3" s="137">
        <f ca="1">Summary_LCIA!AH$34</f>
        <v>2.2783E-3</v>
      </c>
      <c r="AR3" s="137">
        <f ca="1">Summary_LCIA!AI$34</f>
        <v>2.8075000000000002E-4</v>
      </c>
      <c r="AT3" s="137">
        <f t="shared" ref="AT3:AT66" si="4">$T3*Y3</f>
        <v>28.236213785999997</v>
      </c>
      <c r="AU3" s="137">
        <f t="shared" ref="AU3:AU66" ca="1" si="5">$T3*Z3</f>
        <v>468.34954128368997</v>
      </c>
      <c r="AV3" s="137">
        <f t="shared" ref="AV3:AV66" ca="1" si="6">$T3*AA3</f>
        <v>0.96947038979999989</v>
      </c>
      <c r="AW3" s="137">
        <f t="shared" ref="AW3:AW66" ca="1" si="7">$T3*AB3</f>
        <v>27.847909913999999</v>
      </c>
      <c r="AX3" s="137">
        <f t="shared" ref="AX3:AX66" ca="1" si="8">$T3*AC3</f>
        <v>7.8658078289999995</v>
      </c>
      <c r="AY3" s="137">
        <f t="shared" ref="AY3:AY66" ca="1" si="9">$T3*AD3</f>
        <v>0.69758183880000002</v>
      </c>
      <c r="AZ3" s="137">
        <f t="shared" ref="AZ3:AZ66" ca="1" si="10">$T3*AE3</f>
        <v>3.0750708878999999E-2</v>
      </c>
      <c r="BA3" s="137">
        <f t="shared" ref="BA3:BA66" ca="1" si="11">$T3*AF3</f>
        <v>19.168332446999997</v>
      </c>
      <c r="BB3" s="137">
        <f t="shared" ref="BB3:BB66" ca="1" si="12">$T3*AG3</f>
        <v>4.0286526719999998</v>
      </c>
      <c r="BC3" s="137">
        <f t="shared" ref="BC3:BC66" ca="1" si="13">$T3*AH3</f>
        <v>0.64980226079999992</v>
      </c>
      <c r="BD3" s="137">
        <f t="shared" ref="BD3:BD66" ca="1" si="14">$T3*AI3</f>
        <v>1.0809181514999999E-2</v>
      </c>
      <c r="BE3" s="137">
        <f t="shared" ref="BE3:BE66" ca="1" si="15">$T3*AJ3</f>
        <v>0.78214410779999988</v>
      </c>
      <c r="BF3" s="137">
        <f t="shared" ref="BF3:BF66" ca="1" si="16">$T3*AK3</f>
        <v>-2.6312516966999996E-3</v>
      </c>
      <c r="BG3" s="137">
        <f t="shared" ref="BG3:BG66" ca="1" si="17">$T3*AL3</f>
        <v>1.3962633663E-6</v>
      </c>
      <c r="BH3" s="137">
        <f t="shared" ref="BH3:BH66" ca="1" si="18">$T3*AM3</f>
        <v>4.2159789539999999E-2</v>
      </c>
      <c r="BI3" s="137">
        <f t="shared" ref="BI3:BI66" ca="1" si="19">$T3*AN3</f>
        <v>0.11373814782</v>
      </c>
      <c r="BJ3" s="137">
        <f t="shared" ref="BJ3:BJ66" ca="1" si="20">$T3*AO3</f>
        <v>9.0197225579999998E-2</v>
      </c>
      <c r="BK3" s="137">
        <f t="shared" ref="BK3:BK66" ca="1" si="21">$T3*AP3</f>
        <v>1.0382957343E-3</v>
      </c>
      <c r="BL3" s="137">
        <f t="shared" ref="BL3:BL66" ca="1" si="22">$T3*AQ3</f>
        <v>0.8639381948999999</v>
      </c>
      <c r="BM3" s="137">
        <f t="shared" ref="BM3:BM66" ca="1" si="23">$T3*AR3</f>
        <v>0.10646124225</v>
      </c>
    </row>
    <row r="4" spans="1:65" x14ac:dyDescent="0.25">
      <c r="A4" s="149">
        <v>154</v>
      </c>
      <c r="B4" s="149">
        <v>15</v>
      </c>
      <c r="C4" s="61">
        <v>48.790447</v>
      </c>
      <c r="D4" s="61">
        <v>11.497889000000001</v>
      </c>
      <c r="E4" s="61" t="s">
        <v>281</v>
      </c>
      <c r="F4" s="149">
        <v>38</v>
      </c>
      <c r="G4" s="61" t="s">
        <v>567</v>
      </c>
      <c r="H4" s="61" t="s">
        <v>678</v>
      </c>
      <c r="I4" s="61">
        <v>48.353696999999997</v>
      </c>
      <c r="J4" s="61">
        <v>11.775111000000001</v>
      </c>
      <c r="K4" s="61">
        <v>55.559302189999997</v>
      </c>
      <c r="L4" s="61">
        <v>128.94999999999999</v>
      </c>
      <c r="M4" s="61" t="s">
        <v>589</v>
      </c>
      <c r="N4" s="149">
        <v>14</v>
      </c>
      <c r="O4" s="149">
        <v>15</v>
      </c>
      <c r="P4" s="61" t="s">
        <v>567</v>
      </c>
      <c r="Q4" s="61" t="s">
        <v>566</v>
      </c>
      <c r="R4" s="61">
        <v>50.037932599999998</v>
      </c>
      <c r="S4" s="61">
        <v>8.5621518000000005</v>
      </c>
      <c r="T4" s="61">
        <f>Transport_2_Hubs!T4</f>
        <v>379.20299999999997</v>
      </c>
      <c r="U4" s="61" t="s">
        <v>589</v>
      </c>
      <c r="V4" s="61" t="s">
        <v>589</v>
      </c>
      <c r="W4" s="61"/>
      <c r="Y4" s="137">
        <f>Summary_LCIA!H$34</f>
        <v>7.4462E-2</v>
      </c>
      <c r="Z4" s="137">
        <f ca="1">Summary_LCIA!Q$34</f>
        <v>1.23508923</v>
      </c>
      <c r="AA4" s="137">
        <f ca="1">Summary_LCIA!R$34</f>
        <v>2.5566E-3</v>
      </c>
      <c r="AB4" s="137">
        <f ca="1">Summary_LCIA!S$34</f>
        <v>7.3438000000000003E-2</v>
      </c>
      <c r="AC4" s="137">
        <f ca="1">Summary_LCIA!T$34</f>
        <v>2.0743000000000001E-2</v>
      </c>
      <c r="AD4" s="137">
        <f ca="1">Summary_LCIA!U$34</f>
        <v>1.8396E-3</v>
      </c>
      <c r="AE4" s="137">
        <f ca="1">Summary_LCIA!V$34</f>
        <v>8.1093000000000004E-5</v>
      </c>
      <c r="AF4" s="137">
        <f ca="1">Summary_LCIA!W$34</f>
        <v>5.0548999999999997E-2</v>
      </c>
      <c r="AG4" s="137">
        <f ca="1">Summary_LCIA!X$34</f>
        <v>1.0624E-2</v>
      </c>
      <c r="AH4" s="137">
        <f ca="1">Summary_LCIA!Y$34</f>
        <v>1.7136E-3</v>
      </c>
      <c r="AI4" s="137">
        <f ca="1">Summary_LCIA!Z$34</f>
        <v>2.8504999999999999E-5</v>
      </c>
      <c r="AJ4" s="137">
        <f ca="1">Summary_LCIA!AA$34</f>
        <v>2.0625999999999999E-3</v>
      </c>
      <c r="AK4" s="137">
        <f ca="1">Summary_LCIA!AB$34</f>
        <v>-6.9388999999999998E-6</v>
      </c>
      <c r="AL4" s="137">
        <f ca="1">Summary_LCIA!AC$34</f>
        <v>3.6820999999999999E-9</v>
      </c>
      <c r="AM4" s="137">
        <f ca="1">Summary_LCIA!AD$34</f>
        <v>1.1118E-4</v>
      </c>
      <c r="AN4" s="137">
        <f ca="1">Summary_LCIA!AE$34</f>
        <v>2.9994E-4</v>
      </c>
      <c r="AO4" s="137">
        <f ca="1">Summary_LCIA!AF$34</f>
        <v>2.3786E-4</v>
      </c>
      <c r="AP4" s="137">
        <f ca="1">Summary_LCIA!AG$34</f>
        <v>2.7381000000000001E-6</v>
      </c>
      <c r="AQ4" s="137">
        <f ca="1">Summary_LCIA!AH$34</f>
        <v>2.2783E-3</v>
      </c>
      <c r="AR4" s="137">
        <f ca="1">Summary_LCIA!AI$34</f>
        <v>2.8075000000000002E-4</v>
      </c>
      <c r="AT4" s="137">
        <f t="shared" si="4"/>
        <v>28.236213785999997</v>
      </c>
      <c r="AU4" s="137">
        <f t="shared" ca="1" si="5"/>
        <v>468.34954128368997</v>
      </c>
      <c r="AV4" s="137">
        <f t="shared" ca="1" si="6"/>
        <v>0.96947038979999989</v>
      </c>
      <c r="AW4" s="137">
        <f t="shared" ca="1" si="7"/>
        <v>27.847909913999999</v>
      </c>
      <c r="AX4" s="137">
        <f t="shared" ca="1" si="8"/>
        <v>7.8658078289999995</v>
      </c>
      <c r="AY4" s="137">
        <f t="shared" ca="1" si="9"/>
        <v>0.69758183880000002</v>
      </c>
      <c r="AZ4" s="137">
        <f t="shared" ca="1" si="10"/>
        <v>3.0750708878999999E-2</v>
      </c>
      <c r="BA4" s="137">
        <f t="shared" ca="1" si="11"/>
        <v>19.168332446999997</v>
      </c>
      <c r="BB4" s="137">
        <f t="shared" ca="1" si="12"/>
        <v>4.0286526719999998</v>
      </c>
      <c r="BC4" s="137">
        <f t="shared" ca="1" si="13"/>
        <v>0.64980226079999992</v>
      </c>
      <c r="BD4" s="137">
        <f t="shared" ca="1" si="14"/>
        <v>1.0809181514999999E-2</v>
      </c>
      <c r="BE4" s="137">
        <f t="shared" ca="1" si="15"/>
        <v>0.78214410779999988</v>
      </c>
      <c r="BF4" s="137">
        <f t="shared" ca="1" si="16"/>
        <v>-2.6312516966999996E-3</v>
      </c>
      <c r="BG4" s="137">
        <f t="shared" ca="1" si="17"/>
        <v>1.3962633663E-6</v>
      </c>
      <c r="BH4" s="137">
        <f t="shared" ca="1" si="18"/>
        <v>4.2159789539999999E-2</v>
      </c>
      <c r="BI4" s="137">
        <f t="shared" ca="1" si="19"/>
        <v>0.11373814782</v>
      </c>
      <c r="BJ4" s="137">
        <f t="shared" ca="1" si="20"/>
        <v>9.0197225579999998E-2</v>
      </c>
      <c r="BK4" s="137">
        <f t="shared" ca="1" si="21"/>
        <v>1.0382957343E-3</v>
      </c>
      <c r="BL4" s="137">
        <f t="shared" ca="1" si="22"/>
        <v>0.8639381948999999</v>
      </c>
      <c r="BM4" s="137">
        <f t="shared" ca="1" si="23"/>
        <v>0.10646124225</v>
      </c>
    </row>
    <row r="5" spans="1:65" x14ac:dyDescent="0.25">
      <c r="A5" s="149">
        <v>176</v>
      </c>
      <c r="B5" s="149">
        <v>15</v>
      </c>
      <c r="C5" s="61">
        <v>50.850346000000002</v>
      </c>
      <c r="D5" s="61">
        <v>4.3517210000000004</v>
      </c>
      <c r="E5" s="61" t="s">
        <v>464</v>
      </c>
      <c r="F5" s="149">
        <v>12</v>
      </c>
      <c r="G5" s="61" t="s">
        <v>679</v>
      </c>
      <c r="H5" s="61" t="s">
        <v>680</v>
      </c>
      <c r="I5" s="61">
        <v>52.310538999999999</v>
      </c>
      <c r="J5" s="61">
        <v>4.7682739999999999</v>
      </c>
      <c r="K5" s="61">
        <v>165.15017539999999</v>
      </c>
      <c r="L5" s="61">
        <v>197.702</v>
      </c>
      <c r="M5" s="61" t="s">
        <v>589</v>
      </c>
      <c r="N5" s="149">
        <v>14</v>
      </c>
      <c r="O5" s="149">
        <v>15</v>
      </c>
      <c r="P5" s="61" t="s">
        <v>567</v>
      </c>
      <c r="Q5" s="61" t="s">
        <v>566</v>
      </c>
      <c r="R5" s="61">
        <v>50.037932599999998</v>
      </c>
      <c r="S5" s="61">
        <v>8.5621518000000005</v>
      </c>
      <c r="T5" s="61">
        <f>Transport_2_Hubs!T5</f>
        <v>389.27199999999999</v>
      </c>
      <c r="U5" s="61" t="s">
        <v>589</v>
      </c>
      <c r="V5" s="61" t="s">
        <v>589</v>
      </c>
      <c r="W5" s="61"/>
      <c r="Y5" s="137">
        <f>Summary_LCIA!H$34</f>
        <v>7.4462E-2</v>
      </c>
      <c r="Z5" s="137">
        <f ca="1">Summary_LCIA!Q$34</f>
        <v>1.23508923</v>
      </c>
      <c r="AA5" s="137">
        <f ca="1">Summary_LCIA!R$34</f>
        <v>2.5566E-3</v>
      </c>
      <c r="AB5" s="137">
        <f ca="1">Summary_LCIA!S$34</f>
        <v>7.3438000000000003E-2</v>
      </c>
      <c r="AC5" s="137">
        <f ca="1">Summary_LCIA!T$34</f>
        <v>2.0743000000000001E-2</v>
      </c>
      <c r="AD5" s="137">
        <f ca="1">Summary_LCIA!U$34</f>
        <v>1.8396E-3</v>
      </c>
      <c r="AE5" s="137">
        <f ca="1">Summary_LCIA!V$34</f>
        <v>8.1093000000000004E-5</v>
      </c>
      <c r="AF5" s="137">
        <f ca="1">Summary_LCIA!W$34</f>
        <v>5.0548999999999997E-2</v>
      </c>
      <c r="AG5" s="137">
        <f ca="1">Summary_LCIA!X$34</f>
        <v>1.0624E-2</v>
      </c>
      <c r="AH5" s="137">
        <f ca="1">Summary_LCIA!Y$34</f>
        <v>1.7136E-3</v>
      </c>
      <c r="AI5" s="137">
        <f ca="1">Summary_LCIA!Z$34</f>
        <v>2.8504999999999999E-5</v>
      </c>
      <c r="AJ5" s="137">
        <f ca="1">Summary_LCIA!AA$34</f>
        <v>2.0625999999999999E-3</v>
      </c>
      <c r="AK5" s="137">
        <f ca="1">Summary_LCIA!AB$34</f>
        <v>-6.9388999999999998E-6</v>
      </c>
      <c r="AL5" s="137">
        <f ca="1">Summary_LCIA!AC$34</f>
        <v>3.6820999999999999E-9</v>
      </c>
      <c r="AM5" s="137">
        <f ca="1">Summary_LCIA!AD$34</f>
        <v>1.1118E-4</v>
      </c>
      <c r="AN5" s="137">
        <f ca="1">Summary_LCIA!AE$34</f>
        <v>2.9994E-4</v>
      </c>
      <c r="AO5" s="137">
        <f ca="1">Summary_LCIA!AF$34</f>
        <v>2.3786E-4</v>
      </c>
      <c r="AP5" s="137">
        <f ca="1">Summary_LCIA!AG$34</f>
        <v>2.7381000000000001E-6</v>
      </c>
      <c r="AQ5" s="137">
        <f ca="1">Summary_LCIA!AH$34</f>
        <v>2.2783E-3</v>
      </c>
      <c r="AR5" s="137">
        <f ca="1">Summary_LCIA!AI$34</f>
        <v>2.8075000000000002E-4</v>
      </c>
      <c r="AT5" s="137">
        <f t="shared" si="4"/>
        <v>28.985971664000001</v>
      </c>
      <c r="AU5" s="137">
        <f t="shared" ca="1" si="5"/>
        <v>480.78565474056001</v>
      </c>
      <c r="AV5" s="137">
        <f t="shared" ca="1" si="6"/>
        <v>0.99521279519999994</v>
      </c>
      <c r="AW5" s="137">
        <f t="shared" ca="1" si="7"/>
        <v>28.587357136000001</v>
      </c>
      <c r="AX5" s="137">
        <f t="shared" ca="1" si="8"/>
        <v>8.0746690960000009</v>
      </c>
      <c r="AY5" s="137">
        <f t="shared" ca="1" si="9"/>
        <v>0.71610477120000005</v>
      </c>
      <c r="AZ5" s="137">
        <f t="shared" ca="1" si="10"/>
        <v>3.1567234296000002E-2</v>
      </c>
      <c r="BA5" s="137">
        <f t="shared" ca="1" si="11"/>
        <v>19.677310327999997</v>
      </c>
      <c r="BB5" s="137">
        <f t="shared" ca="1" si="12"/>
        <v>4.1356257279999999</v>
      </c>
      <c r="BC5" s="137">
        <f t="shared" ca="1" si="13"/>
        <v>0.66705649919999999</v>
      </c>
      <c r="BD5" s="137">
        <f t="shared" ca="1" si="14"/>
        <v>1.109619836E-2</v>
      </c>
      <c r="BE5" s="137">
        <f t="shared" ca="1" si="15"/>
        <v>0.8029124272</v>
      </c>
      <c r="BF5" s="137">
        <f t="shared" ca="1" si="16"/>
        <v>-2.7011194807999997E-3</v>
      </c>
      <c r="BG5" s="137">
        <f t="shared" ca="1" si="17"/>
        <v>1.4333384312E-6</v>
      </c>
      <c r="BH5" s="137">
        <f t="shared" ca="1" si="18"/>
        <v>4.3279260960000003E-2</v>
      </c>
      <c r="BI5" s="137">
        <f t="shared" ca="1" si="19"/>
        <v>0.11675824368</v>
      </c>
      <c r="BJ5" s="137">
        <f t="shared" ca="1" si="20"/>
        <v>9.2592237920000001E-2</v>
      </c>
      <c r="BK5" s="137">
        <f t="shared" ca="1" si="21"/>
        <v>1.0658656632E-3</v>
      </c>
      <c r="BL5" s="137">
        <f t="shared" ca="1" si="22"/>
        <v>0.88687839759999998</v>
      </c>
      <c r="BM5" s="137">
        <f t="shared" ca="1" si="23"/>
        <v>0.10928811400000001</v>
      </c>
    </row>
    <row r="6" spans="1:65" x14ac:dyDescent="0.25">
      <c r="A6" s="149">
        <v>244</v>
      </c>
      <c r="B6" s="149">
        <v>15</v>
      </c>
      <c r="C6" s="61">
        <v>46.519652999999998</v>
      </c>
      <c r="D6" s="61">
        <v>6.6322729999999996</v>
      </c>
      <c r="E6" s="61" t="s">
        <v>271</v>
      </c>
      <c r="F6" s="149">
        <v>15</v>
      </c>
      <c r="G6" s="61" t="s">
        <v>567</v>
      </c>
      <c r="H6" s="61" t="s">
        <v>707</v>
      </c>
      <c r="I6" s="61">
        <v>50.037933000000002</v>
      </c>
      <c r="J6" s="61">
        <v>8.5621519999999993</v>
      </c>
      <c r="K6" s="61">
        <v>418.30834149999998</v>
      </c>
      <c r="L6" s="61">
        <v>541.53899999999999</v>
      </c>
      <c r="M6" s="61" t="s">
        <v>589</v>
      </c>
      <c r="N6" s="149">
        <v>14</v>
      </c>
      <c r="O6" s="149">
        <v>15</v>
      </c>
      <c r="P6" s="61" t="s">
        <v>567</v>
      </c>
      <c r="Q6" s="61" t="s">
        <v>566</v>
      </c>
      <c r="R6" s="61">
        <v>50.037932599999998</v>
      </c>
      <c r="S6" s="61">
        <v>8.5621518000000005</v>
      </c>
      <c r="T6" s="61">
        <f>Transport_2_Hubs!T6</f>
        <v>538.97799999999995</v>
      </c>
      <c r="U6" s="61" t="s">
        <v>589</v>
      </c>
      <c r="V6" s="61" t="s">
        <v>589</v>
      </c>
      <c r="W6" s="61"/>
      <c r="Y6" s="137">
        <f>Summary_LCIA!H$34</f>
        <v>7.4462E-2</v>
      </c>
      <c r="Z6" s="137">
        <f ca="1">Summary_LCIA!Q$34</f>
        <v>1.23508923</v>
      </c>
      <c r="AA6" s="137">
        <f ca="1">Summary_LCIA!R$34</f>
        <v>2.5566E-3</v>
      </c>
      <c r="AB6" s="137">
        <f ca="1">Summary_LCIA!S$34</f>
        <v>7.3438000000000003E-2</v>
      </c>
      <c r="AC6" s="137">
        <f ca="1">Summary_LCIA!T$34</f>
        <v>2.0743000000000001E-2</v>
      </c>
      <c r="AD6" s="137">
        <f ca="1">Summary_LCIA!U$34</f>
        <v>1.8396E-3</v>
      </c>
      <c r="AE6" s="137">
        <f ca="1">Summary_LCIA!V$34</f>
        <v>8.1093000000000004E-5</v>
      </c>
      <c r="AF6" s="137">
        <f ca="1">Summary_LCIA!W$34</f>
        <v>5.0548999999999997E-2</v>
      </c>
      <c r="AG6" s="137">
        <f ca="1">Summary_LCIA!X$34</f>
        <v>1.0624E-2</v>
      </c>
      <c r="AH6" s="137">
        <f ca="1">Summary_LCIA!Y$34</f>
        <v>1.7136E-3</v>
      </c>
      <c r="AI6" s="137">
        <f ca="1">Summary_LCIA!Z$34</f>
        <v>2.8504999999999999E-5</v>
      </c>
      <c r="AJ6" s="137">
        <f ca="1">Summary_LCIA!AA$34</f>
        <v>2.0625999999999999E-3</v>
      </c>
      <c r="AK6" s="137">
        <f ca="1">Summary_LCIA!AB$34</f>
        <v>-6.9388999999999998E-6</v>
      </c>
      <c r="AL6" s="137">
        <f ca="1">Summary_LCIA!AC$34</f>
        <v>3.6820999999999999E-9</v>
      </c>
      <c r="AM6" s="137">
        <f ca="1">Summary_LCIA!AD$34</f>
        <v>1.1118E-4</v>
      </c>
      <c r="AN6" s="137">
        <f ca="1">Summary_LCIA!AE$34</f>
        <v>2.9994E-4</v>
      </c>
      <c r="AO6" s="137">
        <f ca="1">Summary_LCIA!AF$34</f>
        <v>2.3786E-4</v>
      </c>
      <c r="AP6" s="137">
        <f ca="1">Summary_LCIA!AG$34</f>
        <v>2.7381000000000001E-6</v>
      </c>
      <c r="AQ6" s="137">
        <f ca="1">Summary_LCIA!AH$34</f>
        <v>2.2783E-3</v>
      </c>
      <c r="AR6" s="137">
        <f ca="1">Summary_LCIA!AI$34</f>
        <v>2.8075000000000002E-4</v>
      </c>
      <c r="AT6" s="137">
        <f t="shared" si="4"/>
        <v>40.133379835999996</v>
      </c>
      <c r="AU6" s="137">
        <f t="shared" ca="1" si="5"/>
        <v>665.68592300694002</v>
      </c>
      <c r="AV6" s="137">
        <f t="shared" ca="1" si="6"/>
        <v>1.3779511547999999</v>
      </c>
      <c r="AW6" s="137">
        <f t="shared" ca="1" si="7"/>
        <v>39.581466364000001</v>
      </c>
      <c r="AX6" s="137">
        <f t="shared" ca="1" si="8"/>
        <v>11.180020654</v>
      </c>
      <c r="AY6" s="137">
        <f t="shared" ca="1" si="9"/>
        <v>0.99150392879999993</v>
      </c>
      <c r="AZ6" s="137">
        <f t="shared" ca="1" si="10"/>
        <v>4.3707342954E-2</v>
      </c>
      <c r="BA6" s="137">
        <f t="shared" ca="1" si="11"/>
        <v>27.244798921999998</v>
      </c>
      <c r="BB6" s="137">
        <f t="shared" ca="1" si="12"/>
        <v>5.7261022719999994</v>
      </c>
      <c r="BC6" s="137">
        <f t="shared" ca="1" si="13"/>
        <v>0.92359270079999989</v>
      </c>
      <c r="BD6" s="137">
        <f t="shared" ca="1" si="14"/>
        <v>1.5363567889999999E-2</v>
      </c>
      <c r="BE6" s="137">
        <f t="shared" ca="1" si="15"/>
        <v>1.1116960227999999</v>
      </c>
      <c r="BF6" s="137">
        <f t="shared" ca="1" si="16"/>
        <v>-3.7399144441999997E-3</v>
      </c>
      <c r="BG6" s="137">
        <f t="shared" ca="1" si="17"/>
        <v>1.9845708938E-6</v>
      </c>
      <c r="BH6" s="137">
        <f t="shared" ca="1" si="18"/>
        <v>5.9923574039999997E-2</v>
      </c>
      <c r="BI6" s="137">
        <f t="shared" ca="1" si="19"/>
        <v>0.16166106131999999</v>
      </c>
      <c r="BJ6" s="137">
        <f t="shared" ca="1" si="20"/>
        <v>0.12820130707999999</v>
      </c>
      <c r="BK6" s="137">
        <f t="shared" ca="1" si="21"/>
        <v>1.4757756617999999E-3</v>
      </c>
      <c r="BL6" s="137">
        <f t="shared" ca="1" si="22"/>
        <v>1.2279535773999999</v>
      </c>
      <c r="BM6" s="137">
        <f t="shared" ca="1" si="23"/>
        <v>0.15131807350000001</v>
      </c>
    </row>
    <row r="7" spans="1:65" x14ac:dyDescent="0.25">
      <c r="A7" s="149">
        <v>245</v>
      </c>
      <c r="B7" s="149">
        <v>15</v>
      </c>
      <c r="C7" s="61">
        <v>46.519652999999998</v>
      </c>
      <c r="D7" s="61">
        <v>6.6322729999999996</v>
      </c>
      <c r="E7" s="61" t="s">
        <v>271</v>
      </c>
      <c r="F7" s="149">
        <v>15</v>
      </c>
      <c r="G7" s="61" t="s">
        <v>567</v>
      </c>
      <c r="H7" s="61" t="s">
        <v>707</v>
      </c>
      <c r="I7" s="61">
        <v>50.037933000000002</v>
      </c>
      <c r="J7" s="61">
        <v>8.5621519999999993</v>
      </c>
      <c r="K7" s="61">
        <v>418.30834149999998</v>
      </c>
      <c r="L7" s="61">
        <v>541.53899999999999</v>
      </c>
      <c r="M7" s="61" t="s">
        <v>589</v>
      </c>
      <c r="N7" s="149">
        <v>14</v>
      </c>
      <c r="O7" s="149">
        <v>15</v>
      </c>
      <c r="P7" s="61" t="s">
        <v>567</v>
      </c>
      <c r="Q7" s="61" t="s">
        <v>566</v>
      </c>
      <c r="R7" s="61">
        <v>50.037932599999998</v>
      </c>
      <c r="S7" s="61">
        <v>8.5621518000000005</v>
      </c>
      <c r="T7" s="61">
        <f>Transport_2_Hubs!T7</f>
        <v>538.97799999999995</v>
      </c>
      <c r="U7" s="61" t="s">
        <v>589</v>
      </c>
      <c r="V7" s="61" t="s">
        <v>589</v>
      </c>
      <c r="W7" s="61"/>
      <c r="Y7" s="137">
        <f>Summary_LCIA!H$34</f>
        <v>7.4462E-2</v>
      </c>
      <c r="Z7" s="137">
        <f ca="1">Summary_LCIA!Q$34</f>
        <v>1.23508923</v>
      </c>
      <c r="AA7" s="137">
        <f ca="1">Summary_LCIA!R$34</f>
        <v>2.5566E-3</v>
      </c>
      <c r="AB7" s="137">
        <f ca="1">Summary_LCIA!S$34</f>
        <v>7.3438000000000003E-2</v>
      </c>
      <c r="AC7" s="137">
        <f ca="1">Summary_LCIA!T$34</f>
        <v>2.0743000000000001E-2</v>
      </c>
      <c r="AD7" s="137">
        <f ca="1">Summary_LCIA!U$34</f>
        <v>1.8396E-3</v>
      </c>
      <c r="AE7" s="137">
        <f ca="1">Summary_LCIA!V$34</f>
        <v>8.1093000000000004E-5</v>
      </c>
      <c r="AF7" s="137">
        <f ca="1">Summary_LCIA!W$34</f>
        <v>5.0548999999999997E-2</v>
      </c>
      <c r="AG7" s="137">
        <f ca="1">Summary_LCIA!X$34</f>
        <v>1.0624E-2</v>
      </c>
      <c r="AH7" s="137">
        <f ca="1">Summary_LCIA!Y$34</f>
        <v>1.7136E-3</v>
      </c>
      <c r="AI7" s="137">
        <f ca="1">Summary_LCIA!Z$34</f>
        <v>2.8504999999999999E-5</v>
      </c>
      <c r="AJ7" s="137">
        <f ca="1">Summary_LCIA!AA$34</f>
        <v>2.0625999999999999E-3</v>
      </c>
      <c r="AK7" s="137">
        <f ca="1">Summary_LCIA!AB$34</f>
        <v>-6.9388999999999998E-6</v>
      </c>
      <c r="AL7" s="137">
        <f ca="1">Summary_LCIA!AC$34</f>
        <v>3.6820999999999999E-9</v>
      </c>
      <c r="AM7" s="137">
        <f ca="1">Summary_LCIA!AD$34</f>
        <v>1.1118E-4</v>
      </c>
      <c r="AN7" s="137">
        <f ca="1">Summary_LCIA!AE$34</f>
        <v>2.9994E-4</v>
      </c>
      <c r="AO7" s="137">
        <f ca="1">Summary_LCIA!AF$34</f>
        <v>2.3786E-4</v>
      </c>
      <c r="AP7" s="137">
        <f ca="1">Summary_LCIA!AG$34</f>
        <v>2.7381000000000001E-6</v>
      </c>
      <c r="AQ7" s="137">
        <f ca="1">Summary_LCIA!AH$34</f>
        <v>2.2783E-3</v>
      </c>
      <c r="AR7" s="137">
        <f ca="1">Summary_LCIA!AI$34</f>
        <v>2.8075000000000002E-4</v>
      </c>
      <c r="AT7" s="137">
        <f t="shared" si="4"/>
        <v>40.133379835999996</v>
      </c>
      <c r="AU7" s="137">
        <f t="shared" ca="1" si="5"/>
        <v>665.68592300694002</v>
      </c>
      <c r="AV7" s="137">
        <f t="shared" ca="1" si="6"/>
        <v>1.3779511547999999</v>
      </c>
      <c r="AW7" s="137">
        <f t="shared" ca="1" si="7"/>
        <v>39.581466364000001</v>
      </c>
      <c r="AX7" s="137">
        <f t="shared" ca="1" si="8"/>
        <v>11.180020654</v>
      </c>
      <c r="AY7" s="137">
        <f t="shared" ca="1" si="9"/>
        <v>0.99150392879999993</v>
      </c>
      <c r="AZ7" s="137">
        <f t="shared" ca="1" si="10"/>
        <v>4.3707342954E-2</v>
      </c>
      <c r="BA7" s="137">
        <f t="shared" ca="1" si="11"/>
        <v>27.244798921999998</v>
      </c>
      <c r="BB7" s="137">
        <f t="shared" ca="1" si="12"/>
        <v>5.7261022719999994</v>
      </c>
      <c r="BC7" s="137">
        <f t="shared" ca="1" si="13"/>
        <v>0.92359270079999989</v>
      </c>
      <c r="BD7" s="137">
        <f t="shared" ca="1" si="14"/>
        <v>1.5363567889999999E-2</v>
      </c>
      <c r="BE7" s="137">
        <f t="shared" ca="1" si="15"/>
        <v>1.1116960227999999</v>
      </c>
      <c r="BF7" s="137">
        <f t="shared" ca="1" si="16"/>
        <v>-3.7399144441999997E-3</v>
      </c>
      <c r="BG7" s="137">
        <f t="shared" ca="1" si="17"/>
        <v>1.9845708938E-6</v>
      </c>
      <c r="BH7" s="137">
        <f t="shared" ca="1" si="18"/>
        <v>5.9923574039999997E-2</v>
      </c>
      <c r="BI7" s="137">
        <f t="shared" ca="1" si="19"/>
        <v>0.16166106131999999</v>
      </c>
      <c r="BJ7" s="137">
        <f t="shared" ca="1" si="20"/>
        <v>0.12820130707999999</v>
      </c>
      <c r="BK7" s="137">
        <f t="shared" ca="1" si="21"/>
        <v>1.4757756617999999E-3</v>
      </c>
      <c r="BL7" s="137">
        <f t="shared" ca="1" si="22"/>
        <v>1.2279535773999999</v>
      </c>
      <c r="BM7" s="137">
        <f t="shared" ca="1" si="23"/>
        <v>0.15131807350000001</v>
      </c>
    </row>
    <row r="8" spans="1:65" x14ac:dyDescent="0.25">
      <c r="A8" s="149">
        <v>246</v>
      </c>
      <c r="B8" s="149">
        <v>15</v>
      </c>
      <c r="C8" s="61">
        <v>46.519652999999998</v>
      </c>
      <c r="D8" s="61">
        <v>6.6322729999999996</v>
      </c>
      <c r="E8" s="61" t="s">
        <v>271</v>
      </c>
      <c r="F8" s="149">
        <v>15</v>
      </c>
      <c r="G8" s="61" t="s">
        <v>567</v>
      </c>
      <c r="H8" s="61" t="s">
        <v>707</v>
      </c>
      <c r="I8" s="61">
        <v>50.037933000000002</v>
      </c>
      <c r="J8" s="61">
        <v>8.5621519999999993</v>
      </c>
      <c r="K8" s="61">
        <v>418.30834149999998</v>
      </c>
      <c r="L8" s="61">
        <v>541.53899999999999</v>
      </c>
      <c r="M8" s="61" t="s">
        <v>589</v>
      </c>
      <c r="N8" s="149">
        <v>14</v>
      </c>
      <c r="O8" s="149">
        <v>15</v>
      </c>
      <c r="P8" s="61" t="s">
        <v>567</v>
      </c>
      <c r="Q8" s="61" t="s">
        <v>566</v>
      </c>
      <c r="R8" s="61">
        <v>50.037932599999998</v>
      </c>
      <c r="S8" s="61">
        <v>8.5621518000000005</v>
      </c>
      <c r="T8" s="61">
        <f>Transport_2_Hubs!T8</f>
        <v>538.97799999999995</v>
      </c>
      <c r="U8" s="61" t="s">
        <v>589</v>
      </c>
      <c r="V8" s="61" t="s">
        <v>589</v>
      </c>
      <c r="W8" s="61"/>
      <c r="Y8" s="137">
        <f>Summary_LCIA!H$34</f>
        <v>7.4462E-2</v>
      </c>
      <c r="Z8" s="137">
        <f ca="1">Summary_LCIA!Q$34</f>
        <v>1.23508923</v>
      </c>
      <c r="AA8" s="137">
        <f ca="1">Summary_LCIA!R$34</f>
        <v>2.5566E-3</v>
      </c>
      <c r="AB8" s="137">
        <f ca="1">Summary_LCIA!S$34</f>
        <v>7.3438000000000003E-2</v>
      </c>
      <c r="AC8" s="137">
        <f ca="1">Summary_LCIA!T$34</f>
        <v>2.0743000000000001E-2</v>
      </c>
      <c r="AD8" s="137">
        <f ca="1">Summary_LCIA!U$34</f>
        <v>1.8396E-3</v>
      </c>
      <c r="AE8" s="137">
        <f ca="1">Summary_LCIA!V$34</f>
        <v>8.1093000000000004E-5</v>
      </c>
      <c r="AF8" s="137">
        <f ca="1">Summary_LCIA!W$34</f>
        <v>5.0548999999999997E-2</v>
      </c>
      <c r="AG8" s="137">
        <f ca="1">Summary_LCIA!X$34</f>
        <v>1.0624E-2</v>
      </c>
      <c r="AH8" s="137">
        <f ca="1">Summary_LCIA!Y$34</f>
        <v>1.7136E-3</v>
      </c>
      <c r="AI8" s="137">
        <f ca="1">Summary_LCIA!Z$34</f>
        <v>2.8504999999999999E-5</v>
      </c>
      <c r="AJ8" s="137">
        <f ca="1">Summary_LCIA!AA$34</f>
        <v>2.0625999999999999E-3</v>
      </c>
      <c r="AK8" s="137">
        <f ca="1">Summary_LCIA!AB$34</f>
        <v>-6.9388999999999998E-6</v>
      </c>
      <c r="AL8" s="137">
        <f ca="1">Summary_LCIA!AC$34</f>
        <v>3.6820999999999999E-9</v>
      </c>
      <c r="AM8" s="137">
        <f ca="1">Summary_LCIA!AD$34</f>
        <v>1.1118E-4</v>
      </c>
      <c r="AN8" s="137">
        <f ca="1">Summary_LCIA!AE$34</f>
        <v>2.9994E-4</v>
      </c>
      <c r="AO8" s="137">
        <f ca="1">Summary_LCIA!AF$34</f>
        <v>2.3786E-4</v>
      </c>
      <c r="AP8" s="137">
        <f ca="1">Summary_LCIA!AG$34</f>
        <v>2.7381000000000001E-6</v>
      </c>
      <c r="AQ8" s="137">
        <f ca="1">Summary_LCIA!AH$34</f>
        <v>2.2783E-3</v>
      </c>
      <c r="AR8" s="137">
        <f ca="1">Summary_LCIA!AI$34</f>
        <v>2.8075000000000002E-4</v>
      </c>
      <c r="AT8" s="137">
        <f t="shared" si="4"/>
        <v>40.133379835999996</v>
      </c>
      <c r="AU8" s="137">
        <f t="shared" ca="1" si="5"/>
        <v>665.68592300694002</v>
      </c>
      <c r="AV8" s="137">
        <f t="shared" ca="1" si="6"/>
        <v>1.3779511547999999</v>
      </c>
      <c r="AW8" s="137">
        <f t="shared" ca="1" si="7"/>
        <v>39.581466364000001</v>
      </c>
      <c r="AX8" s="137">
        <f t="shared" ca="1" si="8"/>
        <v>11.180020654</v>
      </c>
      <c r="AY8" s="137">
        <f t="shared" ca="1" si="9"/>
        <v>0.99150392879999993</v>
      </c>
      <c r="AZ8" s="137">
        <f t="shared" ca="1" si="10"/>
        <v>4.3707342954E-2</v>
      </c>
      <c r="BA8" s="137">
        <f t="shared" ca="1" si="11"/>
        <v>27.244798921999998</v>
      </c>
      <c r="BB8" s="137">
        <f t="shared" ca="1" si="12"/>
        <v>5.7261022719999994</v>
      </c>
      <c r="BC8" s="137">
        <f t="shared" ca="1" si="13"/>
        <v>0.92359270079999989</v>
      </c>
      <c r="BD8" s="137">
        <f t="shared" ca="1" si="14"/>
        <v>1.5363567889999999E-2</v>
      </c>
      <c r="BE8" s="137">
        <f t="shared" ca="1" si="15"/>
        <v>1.1116960227999999</v>
      </c>
      <c r="BF8" s="137">
        <f t="shared" ca="1" si="16"/>
        <v>-3.7399144441999997E-3</v>
      </c>
      <c r="BG8" s="137">
        <f t="shared" ca="1" si="17"/>
        <v>1.9845708938E-6</v>
      </c>
      <c r="BH8" s="137">
        <f t="shared" ca="1" si="18"/>
        <v>5.9923574039999997E-2</v>
      </c>
      <c r="BI8" s="137">
        <f t="shared" ca="1" si="19"/>
        <v>0.16166106131999999</v>
      </c>
      <c r="BJ8" s="137">
        <f t="shared" ca="1" si="20"/>
        <v>0.12820130707999999</v>
      </c>
      <c r="BK8" s="137">
        <f t="shared" ca="1" si="21"/>
        <v>1.4757756617999999E-3</v>
      </c>
      <c r="BL8" s="137">
        <f t="shared" ca="1" si="22"/>
        <v>1.2279535773999999</v>
      </c>
      <c r="BM8" s="137">
        <f t="shared" ca="1" si="23"/>
        <v>0.15131807350000001</v>
      </c>
    </row>
    <row r="9" spans="1:65" x14ac:dyDescent="0.25">
      <c r="A9" s="149">
        <v>133</v>
      </c>
      <c r="B9" s="149">
        <v>15</v>
      </c>
      <c r="C9" s="61">
        <v>51.219448</v>
      </c>
      <c r="D9" s="61">
        <v>4.4024640000000002</v>
      </c>
      <c r="E9" s="61" t="s">
        <v>464</v>
      </c>
      <c r="F9" s="149">
        <v>12</v>
      </c>
      <c r="G9" s="61" t="s">
        <v>679</v>
      </c>
      <c r="H9" s="61" t="s">
        <v>680</v>
      </c>
      <c r="I9" s="61">
        <v>52.310538999999999</v>
      </c>
      <c r="J9" s="61">
        <v>4.7682739999999999</v>
      </c>
      <c r="K9" s="61">
        <v>124.20814900000001</v>
      </c>
      <c r="L9" s="61">
        <v>149.38800000000001</v>
      </c>
      <c r="M9" s="61" t="s">
        <v>589</v>
      </c>
      <c r="N9" s="149">
        <v>14</v>
      </c>
      <c r="O9" s="149">
        <v>15</v>
      </c>
      <c r="P9" s="61" t="s">
        <v>567</v>
      </c>
      <c r="Q9" s="61" t="s">
        <v>566</v>
      </c>
      <c r="R9" s="61">
        <v>50.037932599999998</v>
      </c>
      <c r="S9" s="61">
        <v>8.5621518000000005</v>
      </c>
      <c r="T9" s="61">
        <f>Transport_2_Hubs!T9</f>
        <v>443.28300000000002</v>
      </c>
      <c r="U9" s="61" t="s">
        <v>589</v>
      </c>
      <c r="V9" s="61" t="s">
        <v>589</v>
      </c>
      <c r="W9" s="61"/>
      <c r="Y9" s="137">
        <f>Summary_LCIA!H$34</f>
        <v>7.4462E-2</v>
      </c>
      <c r="Z9" s="137">
        <f ca="1">Summary_LCIA!Q$34</f>
        <v>1.23508923</v>
      </c>
      <c r="AA9" s="137">
        <f ca="1">Summary_LCIA!R$34</f>
        <v>2.5566E-3</v>
      </c>
      <c r="AB9" s="137">
        <f ca="1">Summary_LCIA!S$34</f>
        <v>7.3438000000000003E-2</v>
      </c>
      <c r="AC9" s="137">
        <f ca="1">Summary_LCIA!T$34</f>
        <v>2.0743000000000001E-2</v>
      </c>
      <c r="AD9" s="137">
        <f ca="1">Summary_LCIA!U$34</f>
        <v>1.8396E-3</v>
      </c>
      <c r="AE9" s="137">
        <f ca="1">Summary_LCIA!V$34</f>
        <v>8.1093000000000004E-5</v>
      </c>
      <c r="AF9" s="137">
        <f ca="1">Summary_LCIA!W$34</f>
        <v>5.0548999999999997E-2</v>
      </c>
      <c r="AG9" s="137">
        <f ca="1">Summary_LCIA!X$34</f>
        <v>1.0624E-2</v>
      </c>
      <c r="AH9" s="137">
        <f ca="1">Summary_LCIA!Y$34</f>
        <v>1.7136E-3</v>
      </c>
      <c r="AI9" s="137">
        <f ca="1">Summary_LCIA!Z$34</f>
        <v>2.8504999999999999E-5</v>
      </c>
      <c r="AJ9" s="137">
        <f ca="1">Summary_LCIA!AA$34</f>
        <v>2.0625999999999999E-3</v>
      </c>
      <c r="AK9" s="137">
        <f ca="1">Summary_LCIA!AB$34</f>
        <v>-6.9388999999999998E-6</v>
      </c>
      <c r="AL9" s="137">
        <f ca="1">Summary_LCIA!AC$34</f>
        <v>3.6820999999999999E-9</v>
      </c>
      <c r="AM9" s="137">
        <f ca="1">Summary_LCIA!AD$34</f>
        <v>1.1118E-4</v>
      </c>
      <c r="AN9" s="137">
        <f ca="1">Summary_LCIA!AE$34</f>
        <v>2.9994E-4</v>
      </c>
      <c r="AO9" s="137">
        <f ca="1">Summary_LCIA!AF$34</f>
        <v>2.3786E-4</v>
      </c>
      <c r="AP9" s="137">
        <f ca="1">Summary_LCIA!AG$34</f>
        <v>2.7381000000000001E-6</v>
      </c>
      <c r="AQ9" s="137">
        <f ca="1">Summary_LCIA!AH$34</f>
        <v>2.2783E-3</v>
      </c>
      <c r="AR9" s="137">
        <f ca="1">Summary_LCIA!AI$34</f>
        <v>2.8075000000000002E-4</v>
      </c>
      <c r="AT9" s="137">
        <f t="shared" si="4"/>
        <v>33.007738746000001</v>
      </c>
      <c r="AU9" s="137">
        <f t="shared" ca="1" si="5"/>
        <v>547.49405914209001</v>
      </c>
      <c r="AV9" s="137">
        <f t="shared" ca="1" si="6"/>
        <v>1.1332973178000001</v>
      </c>
      <c r="AW9" s="137">
        <f t="shared" ca="1" si="7"/>
        <v>32.553816954000006</v>
      </c>
      <c r="AX9" s="137">
        <f t="shared" ca="1" si="8"/>
        <v>9.1950192690000012</v>
      </c>
      <c r="AY9" s="137">
        <f t="shared" ca="1" si="9"/>
        <v>0.81546340680000007</v>
      </c>
      <c r="AZ9" s="137">
        <f t="shared" ca="1" si="10"/>
        <v>3.5947148319000005E-2</v>
      </c>
      <c r="BA9" s="137">
        <f t="shared" ca="1" si="11"/>
        <v>22.407512366999999</v>
      </c>
      <c r="BB9" s="137">
        <f t="shared" ca="1" si="12"/>
        <v>4.7094385919999997</v>
      </c>
      <c r="BC9" s="137">
        <f t="shared" ca="1" si="13"/>
        <v>0.75960974879999998</v>
      </c>
      <c r="BD9" s="137">
        <f t="shared" ca="1" si="14"/>
        <v>1.2635781915E-2</v>
      </c>
      <c r="BE9" s="137">
        <f t="shared" ca="1" si="15"/>
        <v>0.91431551580000003</v>
      </c>
      <c r="BF9" s="137">
        <f t="shared" ca="1" si="16"/>
        <v>-3.0758964086999999E-3</v>
      </c>
      <c r="BG9" s="137">
        <f t="shared" ca="1" si="17"/>
        <v>1.6322123343000001E-6</v>
      </c>
      <c r="BH9" s="137">
        <f t="shared" ca="1" si="18"/>
        <v>4.928420394E-2</v>
      </c>
      <c r="BI9" s="137">
        <f t="shared" ca="1" si="19"/>
        <v>0.13295830302</v>
      </c>
      <c r="BJ9" s="137">
        <f t="shared" ca="1" si="20"/>
        <v>0.10543929438000001</v>
      </c>
      <c r="BK9" s="137">
        <f t="shared" ca="1" si="21"/>
        <v>1.2137531823000001E-3</v>
      </c>
      <c r="BL9" s="137">
        <f t="shared" ca="1" si="22"/>
        <v>1.0099316589</v>
      </c>
      <c r="BM9" s="137">
        <f t="shared" ca="1" si="23"/>
        <v>0.12445170225000002</v>
      </c>
    </row>
    <row r="10" spans="1:65" x14ac:dyDescent="0.25">
      <c r="A10" s="149">
        <v>365</v>
      </c>
      <c r="B10" s="149">
        <v>15</v>
      </c>
      <c r="C10" s="61">
        <v>52.090736999999997</v>
      </c>
      <c r="D10" s="61">
        <v>5.1214199999999996</v>
      </c>
      <c r="E10" s="61" t="s">
        <v>285</v>
      </c>
      <c r="F10" s="149">
        <v>12</v>
      </c>
      <c r="G10" s="61" t="s">
        <v>679</v>
      </c>
      <c r="H10" s="61" t="s">
        <v>680</v>
      </c>
      <c r="I10" s="61">
        <v>52.310538999999999</v>
      </c>
      <c r="J10" s="61">
        <v>4.7682739999999999</v>
      </c>
      <c r="K10" s="61">
        <v>37.628635809999999</v>
      </c>
      <c r="L10" s="61">
        <v>45.201000000000001</v>
      </c>
      <c r="M10" s="61" t="s">
        <v>589</v>
      </c>
      <c r="N10" s="149">
        <v>14</v>
      </c>
      <c r="O10" s="149">
        <v>15</v>
      </c>
      <c r="P10" s="61" t="s">
        <v>567</v>
      </c>
      <c r="Q10" s="61" t="s">
        <v>566</v>
      </c>
      <c r="R10" s="61">
        <v>50.037932599999998</v>
      </c>
      <c r="S10" s="61">
        <v>8.5621518000000005</v>
      </c>
      <c r="T10" s="61">
        <f>Transport_2_Hubs!T10</f>
        <v>388.09</v>
      </c>
      <c r="U10" s="61" t="s">
        <v>589</v>
      </c>
      <c r="V10" s="61" t="s">
        <v>589</v>
      </c>
      <c r="W10" s="61"/>
      <c r="Y10" s="137">
        <f>Summary_LCIA!H$34</f>
        <v>7.4462E-2</v>
      </c>
      <c r="Z10" s="137">
        <f ca="1">Summary_LCIA!Q$34</f>
        <v>1.23508923</v>
      </c>
      <c r="AA10" s="137">
        <f ca="1">Summary_LCIA!R$34</f>
        <v>2.5566E-3</v>
      </c>
      <c r="AB10" s="137">
        <f ca="1">Summary_LCIA!S$34</f>
        <v>7.3438000000000003E-2</v>
      </c>
      <c r="AC10" s="137">
        <f ca="1">Summary_LCIA!T$34</f>
        <v>2.0743000000000001E-2</v>
      </c>
      <c r="AD10" s="137">
        <f ca="1">Summary_LCIA!U$34</f>
        <v>1.8396E-3</v>
      </c>
      <c r="AE10" s="137">
        <f ca="1">Summary_LCIA!V$34</f>
        <v>8.1093000000000004E-5</v>
      </c>
      <c r="AF10" s="137">
        <f ca="1">Summary_LCIA!W$34</f>
        <v>5.0548999999999997E-2</v>
      </c>
      <c r="AG10" s="137">
        <f ca="1">Summary_LCIA!X$34</f>
        <v>1.0624E-2</v>
      </c>
      <c r="AH10" s="137">
        <f ca="1">Summary_LCIA!Y$34</f>
        <v>1.7136E-3</v>
      </c>
      <c r="AI10" s="137">
        <f ca="1">Summary_LCIA!Z$34</f>
        <v>2.8504999999999999E-5</v>
      </c>
      <c r="AJ10" s="137">
        <f ca="1">Summary_LCIA!AA$34</f>
        <v>2.0625999999999999E-3</v>
      </c>
      <c r="AK10" s="137">
        <f ca="1">Summary_LCIA!AB$34</f>
        <v>-6.9388999999999998E-6</v>
      </c>
      <c r="AL10" s="137">
        <f ca="1">Summary_LCIA!AC$34</f>
        <v>3.6820999999999999E-9</v>
      </c>
      <c r="AM10" s="137">
        <f ca="1">Summary_LCIA!AD$34</f>
        <v>1.1118E-4</v>
      </c>
      <c r="AN10" s="137">
        <f ca="1">Summary_LCIA!AE$34</f>
        <v>2.9994E-4</v>
      </c>
      <c r="AO10" s="137">
        <f ca="1">Summary_LCIA!AF$34</f>
        <v>2.3786E-4</v>
      </c>
      <c r="AP10" s="137">
        <f ca="1">Summary_LCIA!AG$34</f>
        <v>2.7381000000000001E-6</v>
      </c>
      <c r="AQ10" s="137">
        <f ca="1">Summary_LCIA!AH$34</f>
        <v>2.2783E-3</v>
      </c>
      <c r="AR10" s="137">
        <f ca="1">Summary_LCIA!AI$34</f>
        <v>2.8075000000000002E-4</v>
      </c>
      <c r="AT10" s="137">
        <f t="shared" si="4"/>
        <v>28.89795758</v>
      </c>
      <c r="AU10" s="137">
        <f t="shared" ca="1" si="5"/>
        <v>479.32577927069997</v>
      </c>
      <c r="AV10" s="137">
        <f t="shared" ca="1" si="6"/>
        <v>0.99219089399999993</v>
      </c>
      <c r="AW10" s="137">
        <f t="shared" ca="1" si="7"/>
        <v>28.500553419999999</v>
      </c>
      <c r="AX10" s="137">
        <f t="shared" ca="1" si="8"/>
        <v>8.0501508699999995</v>
      </c>
      <c r="AY10" s="137">
        <f t="shared" ca="1" si="9"/>
        <v>0.71393036399999998</v>
      </c>
      <c r="AZ10" s="137">
        <f t="shared" ca="1" si="10"/>
        <v>3.1471382370000002E-2</v>
      </c>
      <c r="BA10" s="137">
        <f t="shared" ca="1" si="11"/>
        <v>19.617561409999997</v>
      </c>
      <c r="BB10" s="137">
        <f t="shared" ca="1" si="12"/>
        <v>4.1230681599999999</v>
      </c>
      <c r="BC10" s="137">
        <f t="shared" ca="1" si="13"/>
        <v>0.66503102399999992</v>
      </c>
      <c r="BD10" s="137">
        <f t="shared" ca="1" si="14"/>
        <v>1.1062505449999999E-2</v>
      </c>
      <c r="BE10" s="137">
        <f t="shared" ca="1" si="15"/>
        <v>0.80047443399999996</v>
      </c>
      <c r="BF10" s="137">
        <f t="shared" ca="1" si="16"/>
        <v>-2.6929177009999998E-3</v>
      </c>
      <c r="BG10" s="137">
        <f t="shared" ca="1" si="17"/>
        <v>1.428986189E-6</v>
      </c>
      <c r="BH10" s="137">
        <f t="shared" ca="1" si="18"/>
        <v>4.3147846199999999E-2</v>
      </c>
      <c r="BI10" s="137">
        <f t="shared" ca="1" si="19"/>
        <v>0.1164037146</v>
      </c>
      <c r="BJ10" s="137">
        <f t="shared" ca="1" si="20"/>
        <v>9.2311087399999991E-2</v>
      </c>
      <c r="BK10" s="137">
        <f t="shared" ca="1" si="21"/>
        <v>1.062629229E-3</v>
      </c>
      <c r="BL10" s="137">
        <f t="shared" ca="1" si="22"/>
        <v>0.8841854469999999</v>
      </c>
      <c r="BM10" s="137">
        <f t="shared" ca="1" si="23"/>
        <v>0.1089562675</v>
      </c>
    </row>
    <row r="11" spans="1:65" x14ac:dyDescent="0.25">
      <c r="A11" s="149">
        <v>223</v>
      </c>
      <c r="B11" s="149">
        <v>15</v>
      </c>
      <c r="C11" s="61">
        <v>46.204391000000001</v>
      </c>
      <c r="D11" s="61">
        <v>6.1431579999999997</v>
      </c>
      <c r="E11" s="61" t="s">
        <v>271</v>
      </c>
      <c r="F11" s="149">
        <v>9</v>
      </c>
      <c r="G11" s="61" t="s">
        <v>567</v>
      </c>
      <c r="H11" s="61" t="s">
        <v>566</v>
      </c>
      <c r="I11" s="61">
        <v>50.037933000000002</v>
      </c>
      <c r="J11" s="61">
        <v>8.5621519999999993</v>
      </c>
      <c r="K11" s="61">
        <v>440.90853509999999</v>
      </c>
      <c r="L11" s="61">
        <v>589.53800000000001</v>
      </c>
      <c r="M11" s="61" t="s">
        <v>589</v>
      </c>
      <c r="N11" s="149">
        <v>14</v>
      </c>
      <c r="O11" s="149">
        <v>15</v>
      </c>
      <c r="P11" s="61" t="s">
        <v>567</v>
      </c>
      <c r="Q11" s="61" t="s">
        <v>566</v>
      </c>
      <c r="R11" s="61">
        <v>50.037932599999998</v>
      </c>
      <c r="S11" s="61">
        <v>8.5621518000000005</v>
      </c>
      <c r="T11" s="61">
        <f>Transport_2_Hubs!T11</f>
        <v>596.91700000000003</v>
      </c>
      <c r="U11" s="61" t="s">
        <v>589</v>
      </c>
      <c r="V11" s="61" t="s">
        <v>589</v>
      </c>
      <c r="W11" s="61"/>
      <c r="Y11" s="137">
        <f>Summary_LCIA!H$34</f>
        <v>7.4462E-2</v>
      </c>
      <c r="Z11" s="137">
        <f ca="1">Summary_LCIA!Q$34</f>
        <v>1.23508923</v>
      </c>
      <c r="AA11" s="137">
        <f ca="1">Summary_LCIA!R$34</f>
        <v>2.5566E-3</v>
      </c>
      <c r="AB11" s="137">
        <f ca="1">Summary_LCIA!S$34</f>
        <v>7.3438000000000003E-2</v>
      </c>
      <c r="AC11" s="137">
        <f ca="1">Summary_LCIA!T$34</f>
        <v>2.0743000000000001E-2</v>
      </c>
      <c r="AD11" s="137">
        <f ca="1">Summary_LCIA!U$34</f>
        <v>1.8396E-3</v>
      </c>
      <c r="AE11" s="137">
        <f ca="1">Summary_LCIA!V$34</f>
        <v>8.1093000000000004E-5</v>
      </c>
      <c r="AF11" s="137">
        <f ca="1">Summary_LCIA!W$34</f>
        <v>5.0548999999999997E-2</v>
      </c>
      <c r="AG11" s="137">
        <f ca="1">Summary_LCIA!X$34</f>
        <v>1.0624E-2</v>
      </c>
      <c r="AH11" s="137">
        <f ca="1">Summary_LCIA!Y$34</f>
        <v>1.7136E-3</v>
      </c>
      <c r="AI11" s="137">
        <f ca="1">Summary_LCIA!Z$34</f>
        <v>2.8504999999999999E-5</v>
      </c>
      <c r="AJ11" s="137">
        <f ca="1">Summary_LCIA!AA$34</f>
        <v>2.0625999999999999E-3</v>
      </c>
      <c r="AK11" s="137">
        <f ca="1">Summary_LCIA!AB$34</f>
        <v>-6.9388999999999998E-6</v>
      </c>
      <c r="AL11" s="137">
        <f ca="1">Summary_LCIA!AC$34</f>
        <v>3.6820999999999999E-9</v>
      </c>
      <c r="AM11" s="137">
        <f ca="1">Summary_LCIA!AD$34</f>
        <v>1.1118E-4</v>
      </c>
      <c r="AN11" s="137">
        <f ca="1">Summary_LCIA!AE$34</f>
        <v>2.9994E-4</v>
      </c>
      <c r="AO11" s="137">
        <f ca="1">Summary_LCIA!AF$34</f>
        <v>2.3786E-4</v>
      </c>
      <c r="AP11" s="137">
        <f ca="1">Summary_LCIA!AG$34</f>
        <v>2.7381000000000001E-6</v>
      </c>
      <c r="AQ11" s="137">
        <f ca="1">Summary_LCIA!AH$34</f>
        <v>2.2783E-3</v>
      </c>
      <c r="AR11" s="137">
        <f ca="1">Summary_LCIA!AI$34</f>
        <v>2.8075000000000002E-4</v>
      </c>
      <c r="AT11" s="137">
        <f t="shared" si="4"/>
        <v>44.447633654000001</v>
      </c>
      <c r="AU11" s="137">
        <f t="shared" ca="1" si="5"/>
        <v>737.24575790391009</v>
      </c>
      <c r="AV11" s="137">
        <f t="shared" ca="1" si="6"/>
        <v>1.5260780022</v>
      </c>
      <c r="AW11" s="137">
        <f t="shared" ca="1" si="7"/>
        <v>43.836390646000005</v>
      </c>
      <c r="AX11" s="137">
        <f t="shared" ca="1" si="8"/>
        <v>12.381849331000002</v>
      </c>
      <c r="AY11" s="137">
        <f t="shared" ca="1" si="9"/>
        <v>1.0980885132</v>
      </c>
      <c r="AZ11" s="137">
        <f t="shared" ca="1" si="10"/>
        <v>4.8405790281000005E-2</v>
      </c>
      <c r="BA11" s="137">
        <f t="shared" ca="1" si="11"/>
        <v>30.173557432999999</v>
      </c>
      <c r="BB11" s="137">
        <f t="shared" ca="1" si="12"/>
        <v>6.3416462080000002</v>
      </c>
      <c r="BC11" s="137">
        <f t="shared" ca="1" si="13"/>
        <v>1.0228769712000001</v>
      </c>
      <c r="BD11" s="137">
        <f t="shared" ca="1" si="14"/>
        <v>1.7015119084999999E-2</v>
      </c>
      <c r="BE11" s="137">
        <f t="shared" ca="1" si="15"/>
        <v>1.2312010042000001</v>
      </c>
      <c r="BF11" s="137">
        <f t="shared" ca="1" si="16"/>
        <v>-4.1419473713000003E-3</v>
      </c>
      <c r="BG11" s="137">
        <f t="shared" ca="1" si="17"/>
        <v>2.1979080857000001E-6</v>
      </c>
      <c r="BH11" s="137">
        <f t="shared" ca="1" si="18"/>
        <v>6.6365232060000001E-2</v>
      </c>
      <c r="BI11" s="137">
        <f t="shared" ca="1" si="19"/>
        <v>0.17903928498000002</v>
      </c>
      <c r="BJ11" s="137">
        <f t="shared" ca="1" si="20"/>
        <v>0.14198267762</v>
      </c>
      <c r="BK11" s="137">
        <f t="shared" ca="1" si="21"/>
        <v>1.6344184377000001E-3</v>
      </c>
      <c r="BL11" s="137">
        <f t="shared" ca="1" si="22"/>
        <v>1.3599560011</v>
      </c>
      <c r="BM11" s="137">
        <f t="shared" ca="1" si="23"/>
        <v>0.16758444775000003</v>
      </c>
    </row>
    <row r="12" spans="1:65" x14ac:dyDescent="0.25">
      <c r="A12" s="149">
        <v>376</v>
      </c>
      <c r="B12" s="149">
        <v>15</v>
      </c>
      <c r="C12" s="61">
        <v>52.541156000000001</v>
      </c>
      <c r="D12" s="61">
        <v>13.390912999999999</v>
      </c>
      <c r="E12" s="61" t="s">
        <v>281</v>
      </c>
      <c r="F12" s="149">
        <v>15</v>
      </c>
      <c r="G12" s="61" t="s">
        <v>567</v>
      </c>
      <c r="H12" s="61" t="s">
        <v>707</v>
      </c>
      <c r="I12" s="61">
        <v>50.037933000000002</v>
      </c>
      <c r="J12" s="61">
        <v>8.5621519999999993</v>
      </c>
      <c r="K12" s="61">
        <v>461.40119850000002</v>
      </c>
      <c r="L12" s="61">
        <v>636.84400000000005</v>
      </c>
      <c r="M12" s="61" t="s">
        <v>589</v>
      </c>
      <c r="N12" s="149">
        <v>14</v>
      </c>
      <c r="O12" s="149">
        <v>15</v>
      </c>
      <c r="P12" s="61" t="s">
        <v>567</v>
      </c>
      <c r="Q12" s="61" t="s">
        <v>566</v>
      </c>
      <c r="R12" s="61">
        <v>50.037932599999998</v>
      </c>
      <c r="S12" s="61">
        <v>8.5621518000000005</v>
      </c>
      <c r="T12" s="61">
        <f>Transport_2_Hubs!T12</f>
        <v>530.98199999999997</v>
      </c>
      <c r="U12" s="61" t="s">
        <v>589</v>
      </c>
      <c r="V12" s="61" t="s">
        <v>589</v>
      </c>
      <c r="W12" s="61"/>
      <c r="Y12" s="137">
        <f>Summary_LCIA!H$34</f>
        <v>7.4462E-2</v>
      </c>
      <c r="Z12" s="137">
        <f ca="1">Summary_LCIA!Q$34</f>
        <v>1.23508923</v>
      </c>
      <c r="AA12" s="137">
        <f ca="1">Summary_LCIA!R$34</f>
        <v>2.5566E-3</v>
      </c>
      <c r="AB12" s="137">
        <f ca="1">Summary_LCIA!S$34</f>
        <v>7.3438000000000003E-2</v>
      </c>
      <c r="AC12" s="137">
        <f ca="1">Summary_LCIA!T$34</f>
        <v>2.0743000000000001E-2</v>
      </c>
      <c r="AD12" s="137">
        <f ca="1">Summary_LCIA!U$34</f>
        <v>1.8396E-3</v>
      </c>
      <c r="AE12" s="137">
        <f ca="1">Summary_LCIA!V$34</f>
        <v>8.1093000000000004E-5</v>
      </c>
      <c r="AF12" s="137">
        <f ca="1">Summary_LCIA!W$34</f>
        <v>5.0548999999999997E-2</v>
      </c>
      <c r="AG12" s="137">
        <f ca="1">Summary_LCIA!X$34</f>
        <v>1.0624E-2</v>
      </c>
      <c r="AH12" s="137">
        <f ca="1">Summary_LCIA!Y$34</f>
        <v>1.7136E-3</v>
      </c>
      <c r="AI12" s="137">
        <f ca="1">Summary_LCIA!Z$34</f>
        <v>2.8504999999999999E-5</v>
      </c>
      <c r="AJ12" s="137">
        <f ca="1">Summary_LCIA!AA$34</f>
        <v>2.0625999999999999E-3</v>
      </c>
      <c r="AK12" s="137">
        <f ca="1">Summary_LCIA!AB$34</f>
        <v>-6.9388999999999998E-6</v>
      </c>
      <c r="AL12" s="137">
        <f ca="1">Summary_LCIA!AC$34</f>
        <v>3.6820999999999999E-9</v>
      </c>
      <c r="AM12" s="137">
        <f ca="1">Summary_LCIA!AD$34</f>
        <v>1.1118E-4</v>
      </c>
      <c r="AN12" s="137">
        <f ca="1">Summary_LCIA!AE$34</f>
        <v>2.9994E-4</v>
      </c>
      <c r="AO12" s="137">
        <f ca="1">Summary_LCIA!AF$34</f>
        <v>2.3786E-4</v>
      </c>
      <c r="AP12" s="137">
        <f ca="1">Summary_LCIA!AG$34</f>
        <v>2.7381000000000001E-6</v>
      </c>
      <c r="AQ12" s="137">
        <f ca="1">Summary_LCIA!AH$34</f>
        <v>2.2783E-3</v>
      </c>
      <c r="AR12" s="137">
        <f ca="1">Summary_LCIA!AI$34</f>
        <v>2.8075000000000002E-4</v>
      </c>
      <c r="AT12" s="137">
        <f t="shared" si="4"/>
        <v>39.537981683999995</v>
      </c>
      <c r="AU12" s="137">
        <f t="shared" ca="1" si="5"/>
        <v>655.81014952385999</v>
      </c>
      <c r="AV12" s="137">
        <f t="shared" ca="1" si="6"/>
        <v>1.3575085811999998</v>
      </c>
      <c r="AW12" s="137">
        <f t="shared" ca="1" si="7"/>
        <v>38.994256116000003</v>
      </c>
      <c r="AX12" s="137">
        <f t="shared" ca="1" si="8"/>
        <v>11.014159626</v>
      </c>
      <c r="AY12" s="137">
        <f t="shared" ca="1" si="9"/>
        <v>0.97679448719999995</v>
      </c>
      <c r="AZ12" s="137">
        <f t="shared" ca="1" si="10"/>
        <v>4.3058923325999997E-2</v>
      </c>
      <c r="BA12" s="137">
        <f t="shared" ca="1" si="11"/>
        <v>26.840609117999996</v>
      </c>
      <c r="BB12" s="137">
        <f t="shared" ca="1" si="12"/>
        <v>5.6411527679999995</v>
      </c>
      <c r="BC12" s="137">
        <f t="shared" ca="1" si="13"/>
        <v>0.90989075519999996</v>
      </c>
      <c r="BD12" s="137">
        <f t="shared" ca="1" si="14"/>
        <v>1.5135641909999999E-2</v>
      </c>
      <c r="BE12" s="137">
        <f t="shared" ca="1" si="15"/>
        <v>1.0952034732</v>
      </c>
      <c r="BF12" s="137">
        <f t="shared" ca="1" si="16"/>
        <v>-3.6844309997999996E-3</v>
      </c>
      <c r="BG12" s="137">
        <f t="shared" ca="1" si="17"/>
        <v>1.9551288222E-6</v>
      </c>
      <c r="BH12" s="137">
        <f t="shared" ca="1" si="18"/>
        <v>5.9034578759999998E-2</v>
      </c>
      <c r="BI12" s="137">
        <f t="shared" ca="1" si="19"/>
        <v>0.15926274107999999</v>
      </c>
      <c r="BJ12" s="137">
        <f t="shared" ca="1" si="20"/>
        <v>0.12629937852000001</v>
      </c>
      <c r="BK12" s="137">
        <f t="shared" ca="1" si="21"/>
        <v>1.4538818141999999E-3</v>
      </c>
      <c r="BL12" s="137">
        <f t="shared" ca="1" si="22"/>
        <v>1.2097362906</v>
      </c>
      <c r="BM12" s="137">
        <f t="shared" ca="1" si="23"/>
        <v>0.1490731965</v>
      </c>
    </row>
    <row r="13" spans="1:65" x14ac:dyDescent="0.25">
      <c r="A13" s="149">
        <v>377</v>
      </c>
      <c r="B13" s="149">
        <v>15</v>
      </c>
      <c r="C13" s="61">
        <v>52.541156000000001</v>
      </c>
      <c r="D13" s="61">
        <v>13.390912999999999</v>
      </c>
      <c r="E13" s="61" t="s">
        <v>281</v>
      </c>
      <c r="F13" s="149">
        <v>15</v>
      </c>
      <c r="G13" s="61" t="s">
        <v>567</v>
      </c>
      <c r="H13" s="61" t="s">
        <v>707</v>
      </c>
      <c r="I13" s="61">
        <v>50.037933000000002</v>
      </c>
      <c r="J13" s="61">
        <v>8.5621519999999993</v>
      </c>
      <c r="K13" s="61">
        <v>461.40119850000002</v>
      </c>
      <c r="L13" s="61">
        <v>636.84400000000005</v>
      </c>
      <c r="M13" s="61" t="s">
        <v>589</v>
      </c>
      <c r="N13" s="149">
        <v>14</v>
      </c>
      <c r="O13" s="149">
        <v>15</v>
      </c>
      <c r="P13" s="61" t="s">
        <v>567</v>
      </c>
      <c r="Q13" s="61" t="s">
        <v>566</v>
      </c>
      <c r="R13" s="61">
        <v>50.037932599999998</v>
      </c>
      <c r="S13" s="61">
        <v>8.5621518000000005</v>
      </c>
      <c r="T13" s="61">
        <f>Transport_2_Hubs!T13</f>
        <v>530.98199999999997</v>
      </c>
      <c r="U13" s="61" t="s">
        <v>589</v>
      </c>
      <c r="V13" s="61" t="s">
        <v>589</v>
      </c>
      <c r="W13" s="61"/>
      <c r="Y13" s="137">
        <f>Summary_LCIA!H$34</f>
        <v>7.4462E-2</v>
      </c>
      <c r="Z13" s="137">
        <f ca="1">Summary_LCIA!Q$34</f>
        <v>1.23508923</v>
      </c>
      <c r="AA13" s="137">
        <f ca="1">Summary_LCIA!R$34</f>
        <v>2.5566E-3</v>
      </c>
      <c r="AB13" s="137">
        <f ca="1">Summary_LCIA!S$34</f>
        <v>7.3438000000000003E-2</v>
      </c>
      <c r="AC13" s="137">
        <f ca="1">Summary_LCIA!T$34</f>
        <v>2.0743000000000001E-2</v>
      </c>
      <c r="AD13" s="137">
        <f ca="1">Summary_LCIA!U$34</f>
        <v>1.8396E-3</v>
      </c>
      <c r="AE13" s="137">
        <f ca="1">Summary_LCIA!V$34</f>
        <v>8.1093000000000004E-5</v>
      </c>
      <c r="AF13" s="137">
        <f ca="1">Summary_LCIA!W$34</f>
        <v>5.0548999999999997E-2</v>
      </c>
      <c r="AG13" s="137">
        <f ca="1">Summary_LCIA!X$34</f>
        <v>1.0624E-2</v>
      </c>
      <c r="AH13" s="137">
        <f ca="1">Summary_LCIA!Y$34</f>
        <v>1.7136E-3</v>
      </c>
      <c r="AI13" s="137">
        <f ca="1">Summary_LCIA!Z$34</f>
        <v>2.8504999999999999E-5</v>
      </c>
      <c r="AJ13" s="137">
        <f ca="1">Summary_LCIA!AA$34</f>
        <v>2.0625999999999999E-3</v>
      </c>
      <c r="AK13" s="137">
        <f ca="1">Summary_LCIA!AB$34</f>
        <v>-6.9388999999999998E-6</v>
      </c>
      <c r="AL13" s="137">
        <f ca="1">Summary_LCIA!AC$34</f>
        <v>3.6820999999999999E-9</v>
      </c>
      <c r="AM13" s="137">
        <f ca="1">Summary_LCIA!AD$34</f>
        <v>1.1118E-4</v>
      </c>
      <c r="AN13" s="137">
        <f ca="1">Summary_LCIA!AE$34</f>
        <v>2.9994E-4</v>
      </c>
      <c r="AO13" s="137">
        <f ca="1">Summary_LCIA!AF$34</f>
        <v>2.3786E-4</v>
      </c>
      <c r="AP13" s="137">
        <f ca="1">Summary_LCIA!AG$34</f>
        <v>2.7381000000000001E-6</v>
      </c>
      <c r="AQ13" s="137">
        <f ca="1">Summary_LCIA!AH$34</f>
        <v>2.2783E-3</v>
      </c>
      <c r="AR13" s="137">
        <f ca="1">Summary_LCIA!AI$34</f>
        <v>2.8075000000000002E-4</v>
      </c>
      <c r="AT13" s="137">
        <f t="shared" si="4"/>
        <v>39.537981683999995</v>
      </c>
      <c r="AU13" s="137">
        <f t="shared" ca="1" si="5"/>
        <v>655.81014952385999</v>
      </c>
      <c r="AV13" s="137">
        <f t="shared" ca="1" si="6"/>
        <v>1.3575085811999998</v>
      </c>
      <c r="AW13" s="137">
        <f t="shared" ca="1" si="7"/>
        <v>38.994256116000003</v>
      </c>
      <c r="AX13" s="137">
        <f t="shared" ca="1" si="8"/>
        <v>11.014159626</v>
      </c>
      <c r="AY13" s="137">
        <f t="shared" ca="1" si="9"/>
        <v>0.97679448719999995</v>
      </c>
      <c r="AZ13" s="137">
        <f t="shared" ca="1" si="10"/>
        <v>4.3058923325999997E-2</v>
      </c>
      <c r="BA13" s="137">
        <f t="shared" ca="1" si="11"/>
        <v>26.840609117999996</v>
      </c>
      <c r="BB13" s="137">
        <f t="shared" ca="1" si="12"/>
        <v>5.6411527679999995</v>
      </c>
      <c r="BC13" s="137">
        <f t="shared" ca="1" si="13"/>
        <v>0.90989075519999996</v>
      </c>
      <c r="BD13" s="137">
        <f t="shared" ca="1" si="14"/>
        <v>1.5135641909999999E-2</v>
      </c>
      <c r="BE13" s="137">
        <f t="shared" ca="1" si="15"/>
        <v>1.0952034732</v>
      </c>
      <c r="BF13" s="137">
        <f t="shared" ca="1" si="16"/>
        <v>-3.6844309997999996E-3</v>
      </c>
      <c r="BG13" s="137">
        <f t="shared" ca="1" si="17"/>
        <v>1.9551288222E-6</v>
      </c>
      <c r="BH13" s="137">
        <f t="shared" ca="1" si="18"/>
        <v>5.9034578759999998E-2</v>
      </c>
      <c r="BI13" s="137">
        <f t="shared" ca="1" si="19"/>
        <v>0.15926274107999999</v>
      </c>
      <c r="BJ13" s="137">
        <f t="shared" ca="1" si="20"/>
        <v>0.12629937852000001</v>
      </c>
      <c r="BK13" s="137">
        <f t="shared" ca="1" si="21"/>
        <v>1.4538818141999999E-3</v>
      </c>
      <c r="BL13" s="137">
        <f t="shared" ca="1" si="22"/>
        <v>1.2097362906</v>
      </c>
      <c r="BM13" s="137">
        <f t="shared" ca="1" si="23"/>
        <v>0.1490731965</v>
      </c>
    </row>
    <row r="14" spans="1:65" x14ac:dyDescent="0.25">
      <c r="A14" s="149">
        <v>15</v>
      </c>
      <c r="B14" s="149">
        <v>43</v>
      </c>
      <c r="C14" s="61">
        <v>40.676457999999997</v>
      </c>
      <c r="D14" s="61">
        <v>-74.228478999999993</v>
      </c>
      <c r="E14" s="61" t="s">
        <v>265</v>
      </c>
      <c r="F14" s="149">
        <v>43</v>
      </c>
      <c r="G14" s="61" t="s">
        <v>565</v>
      </c>
      <c r="H14" s="61" t="s">
        <v>632</v>
      </c>
      <c r="I14" s="61">
        <v>40.689531000000002</v>
      </c>
      <c r="J14" s="61">
        <v>-74.174462000000005</v>
      </c>
      <c r="K14" s="61">
        <v>5.2641184650000001</v>
      </c>
      <c r="L14" s="61">
        <v>7.0670000000000002</v>
      </c>
      <c r="M14" s="61" t="s">
        <v>617</v>
      </c>
      <c r="N14" s="149">
        <v>42</v>
      </c>
      <c r="O14" s="149">
        <v>43</v>
      </c>
      <c r="P14" s="61" t="s">
        <v>565</v>
      </c>
      <c r="Q14" s="61" t="s">
        <v>555</v>
      </c>
      <c r="R14" s="61">
        <v>40.6895314</v>
      </c>
      <c r="S14" s="61">
        <v>-74.174462399999996</v>
      </c>
      <c r="T14" s="61">
        <v>7.0670000000000002</v>
      </c>
      <c r="U14" s="61" t="s">
        <v>617</v>
      </c>
      <c r="V14" s="61" t="s">
        <v>617</v>
      </c>
      <c r="W14" s="61"/>
      <c r="Y14" s="137">
        <f>Summary_LCIA!H$32</f>
        <v>0.33979999999999999</v>
      </c>
      <c r="Z14" s="137">
        <f>Summary_LCIA!Q$32</f>
        <v>4.9560504329999997</v>
      </c>
      <c r="AA14" s="137">
        <f>Summary_LCIA!R$32</f>
        <v>5.2655999999999996E-3</v>
      </c>
      <c r="AB14" s="137">
        <f>Summary_LCIA!S$32</f>
        <v>0.33538000000000001</v>
      </c>
      <c r="AC14" s="137">
        <f>Summary_LCIA!T$32</f>
        <v>0.1099</v>
      </c>
      <c r="AD14" s="137">
        <f>Summary_LCIA!U$32</f>
        <v>1.7913999999999999E-2</v>
      </c>
      <c r="AE14" s="137">
        <f>Summary_LCIA!V$32</f>
        <v>4.7760999999999999E-5</v>
      </c>
      <c r="AF14" s="137">
        <f>Summary_LCIA!W$32</f>
        <v>7.6970999999999998E-2</v>
      </c>
      <c r="AG14" s="137">
        <f>Summary_LCIA!X$32</f>
        <v>2.2780000000000002E-2</v>
      </c>
      <c r="AH14" s="137">
        <f>Summary_LCIA!Y$32</f>
        <v>1.5582E-2</v>
      </c>
      <c r="AI14" s="137">
        <f>Summary_LCIA!Z$32</f>
        <v>4.1009E-5</v>
      </c>
      <c r="AJ14" s="137">
        <f>Summary_LCIA!AA$32</f>
        <v>2.3355999999999998E-2</v>
      </c>
      <c r="AK14" s="137">
        <f>Summary_LCIA!AB$32</f>
        <v>-2.1823000000000001E-5</v>
      </c>
      <c r="AL14" s="137">
        <f>Summary_LCIA!AC$32</f>
        <v>4.8884000000000003E-8</v>
      </c>
      <c r="AM14" s="137">
        <f>Summary_LCIA!AD$32</f>
        <v>4.1103999999999999E-4</v>
      </c>
      <c r="AN14" s="137">
        <f>Summary_LCIA!AE$32</f>
        <v>8.8612999999999995E-4</v>
      </c>
      <c r="AO14" s="137">
        <f>Summary_LCIA!AF$32</f>
        <v>8.4542000000000005E-4</v>
      </c>
      <c r="AP14" s="137">
        <f>Summary_LCIA!AG$32</f>
        <v>5.1165000000000002E-5</v>
      </c>
      <c r="AQ14" s="137">
        <f>Summary_LCIA!AH$32</f>
        <v>8.7036000000000006E-3</v>
      </c>
      <c r="AR14" s="137">
        <f>Summary_LCIA!AI$32</f>
        <v>9.3154999999999996E-4</v>
      </c>
      <c r="AT14" s="137">
        <f t="shared" si="4"/>
        <v>2.4013665999999998</v>
      </c>
      <c r="AU14" s="137">
        <f t="shared" si="5"/>
        <v>35.024408410010999</v>
      </c>
      <c r="AV14" s="137">
        <f t="shared" si="6"/>
        <v>3.72119952E-2</v>
      </c>
      <c r="AW14" s="137">
        <f t="shared" si="7"/>
        <v>2.3701304599999999</v>
      </c>
      <c r="AX14" s="137">
        <f t="shared" si="8"/>
        <v>0.77666330000000006</v>
      </c>
      <c r="AY14" s="137">
        <f t="shared" si="9"/>
        <v>0.126598238</v>
      </c>
      <c r="AZ14" s="137">
        <f t="shared" si="10"/>
        <v>3.3752698700000001E-4</v>
      </c>
      <c r="BA14" s="137">
        <f t="shared" si="11"/>
        <v>0.54395405699999999</v>
      </c>
      <c r="BB14" s="137">
        <f t="shared" si="12"/>
        <v>0.16098626000000002</v>
      </c>
      <c r="BC14" s="137">
        <f t="shared" si="13"/>
        <v>0.11011799400000001</v>
      </c>
      <c r="BD14" s="137">
        <f t="shared" si="14"/>
        <v>2.8981060300000002E-4</v>
      </c>
      <c r="BE14" s="137">
        <f t="shared" si="15"/>
        <v>0.165056852</v>
      </c>
      <c r="BF14" s="137">
        <f t="shared" si="16"/>
        <v>-1.5422314100000002E-4</v>
      </c>
      <c r="BG14" s="137">
        <f t="shared" si="17"/>
        <v>3.4546322800000003E-7</v>
      </c>
      <c r="BH14" s="137">
        <f t="shared" si="18"/>
        <v>2.9048196800000002E-3</v>
      </c>
      <c r="BI14" s="137">
        <f t="shared" si="19"/>
        <v>6.26228071E-3</v>
      </c>
      <c r="BJ14" s="137">
        <f t="shared" si="20"/>
        <v>5.9745831400000006E-3</v>
      </c>
      <c r="BK14" s="137">
        <f t="shared" si="21"/>
        <v>3.6158305500000001E-4</v>
      </c>
      <c r="BL14" s="137">
        <f t="shared" si="22"/>
        <v>6.1508341200000004E-2</v>
      </c>
      <c r="BM14" s="137">
        <f t="shared" si="23"/>
        <v>6.5832638499999999E-3</v>
      </c>
    </row>
    <row r="15" spans="1:65" x14ac:dyDescent="0.25">
      <c r="A15" s="149">
        <v>16</v>
      </c>
      <c r="B15" s="149">
        <v>43</v>
      </c>
      <c r="C15" s="61">
        <v>40.676457999999997</v>
      </c>
      <c r="D15" s="61">
        <v>-74.228478999999993</v>
      </c>
      <c r="E15" s="61" t="s">
        <v>265</v>
      </c>
      <c r="F15" s="149">
        <v>43</v>
      </c>
      <c r="G15" s="61" t="s">
        <v>565</v>
      </c>
      <c r="H15" s="61" t="s">
        <v>632</v>
      </c>
      <c r="I15" s="61">
        <v>40.689531000000002</v>
      </c>
      <c r="J15" s="61">
        <v>-74.174462000000005</v>
      </c>
      <c r="K15" s="61">
        <v>5.2641184650000001</v>
      </c>
      <c r="L15" s="61">
        <v>7.0670000000000002</v>
      </c>
      <c r="M15" s="61" t="s">
        <v>617</v>
      </c>
      <c r="N15" s="149">
        <v>42</v>
      </c>
      <c r="O15" s="149">
        <v>43</v>
      </c>
      <c r="P15" s="61" t="s">
        <v>565</v>
      </c>
      <c r="Q15" s="61" t="s">
        <v>555</v>
      </c>
      <c r="R15" s="61">
        <v>40.6895314</v>
      </c>
      <c r="S15" s="61">
        <v>-74.174462399999996</v>
      </c>
      <c r="T15" s="61">
        <v>7.0670000000000002</v>
      </c>
      <c r="U15" s="61" t="s">
        <v>617</v>
      </c>
      <c r="V15" s="61" t="s">
        <v>617</v>
      </c>
      <c r="W15" s="61"/>
      <c r="Y15" s="137">
        <f>Summary_LCIA!H$32</f>
        <v>0.33979999999999999</v>
      </c>
      <c r="Z15" s="137">
        <f>Summary_LCIA!Q$32</f>
        <v>4.9560504329999997</v>
      </c>
      <c r="AA15" s="137">
        <f>Summary_LCIA!R$32</f>
        <v>5.2655999999999996E-3</v>
      </c>
      <c r="AB15" s="137">
        <f>Summary_LCIA!S$32</f>
        <v>0.33538000000000001</v>
      </c>
      <c r="AC15" s="137">
        <f>Summary_LCIA!T$32</f>
        <v>0.1099</v>
      </c>
      <c r="AD15" s="137">
        <f>Summary_LCIA!U$32</f>
        <v>1.7913999999999999E-2</v>
      </c>
      <c r="AE15" s="137">
        <f>Summary_LCIA!V$32</f>
        <v>4.7760999999999999E-5</v>
      </c>
      <c r="AF15" s="137">
        <f>Summary_LCIA!W$32</f>
        <v>7.6970999999999998E-2</v>
      </c>
      <c r="AG15" s="137">
        <f>Summary_LCIA!X$32</f>
        <v>2.2780000000000002E-2</v>
      </c>
      <c r="AH15" s="137">
        <f>Summary_LCIA!Y$32</f>
        <v>1.5582E-2</v>
      </c>
      <c r="AI15" s="137">
        <f>Summary_LCIA!Z$32</f>
        <v>4.1009E-5</v>
      </c>
      <c r="AJ15" s="137">
        <f>Summary_LCIA!AA$32</f>
        <v>2.3355999999999998E-2</v>
      </c>
      <c r="AK15" s="137">
        <f>Summary_LCIA!AB$32</f>
        <v>-2.1823000000000001E-5</v>
      </c>
      <c r="AL15" s="137">
        <f>Summary_LCIA!AC$32</f>
        <v>4.8884000000000003E-8</v>
      </c>
      <c r="AM15" s="137">
        <f>Summary_LCIA!AD$32</f>
        <v>4.1103999999999999E-4</v>
      </c>
      <c r="AN15" s="137">
        <f>Summary_LCIA!AE$32</f>
        <v>8.8612999999999995E-4</v>
      </c>
      <c r="AO15" s="137">
        <f>Summary_LCIA!AF$32</f>
        <v>8.4542000000000005E-4</v>
      </c>
      <c r="AP15" s="137">
        <f>Summary_LCIA!AG$32</f>
        <v>5.1165000000000002E-5</v>
      </c>
      <c r="AQ15" s="137">
        <f>Summary_LCIA!AH$32</f>
        <v>8.7036000000000006E-3</v>
      </c>
      <c r="AR15" s="137">
        <f>Summary_LCIA!AI$32</f>
        <v>9.3154999999999996E-4</v>
      </c>
      <c r="AT15" s="137">
        <f t="shared" si="4"/>
        <v>2.4013665999999998</v>
      </c>
      <c r="AU15" s="137">
        <f t="shared" si="5"/>
        <v>35.024408410010999</v>
      </c>
      <c r="AV15" s="137">
        <f t="shared" si="6"/>
        <v>3.72119952E-2</v>
      </c>
      <c r="AW15" s="137">
        <f t="shared" si="7"/>
        <v>2.3701304599999999</v>
      </c>
      <c r="AX15" s="137">
        <f t="shared" si="8"/>
        <v>0.77666330000000006</v>
      </c>
      <c r="AY15" s="137">
        <f t="shared" si="9"/>
        <v>0.126598238</v>
      </c>
      <c r="AZ15" s="137">
        <f t="shared" si="10"/>
        <v>3.3752698700000001E-4</v>
      </c>
      <c r="BA15" s="137">
        <f t="shared" si="11"/>
        <v>0.54395405699999999</v>
      </c>
      <c r="BB15" s="137">
        <f t="shared" si="12"/>
        <v>0.16098626000000002</v>
      </c>
      <c r="BC15" s="137">
        <f t="shared" si="13"/>
        <v>0.11011799400000001</v>
      </c>
      <c r="BD15" s="137">
        <f t="shared" si="14"/>
        <v>2.8981060300000002E-4</v>
      </c>
      <c r="BE15" s="137">
        <f t="shared" si="15"/>
        <v>0.165056852</v>
      </c>
      <c r="BF15" s="137">
        <f t="shared" si="16"/>
        <v>-1.5422314100000002E-4</v>
      </c>
      <c r="BG15" s="137">
        <f t="shared" si="17"/>
        <v>3.4546322800000003E-7</v>
      </c>
      <c r="BH15" s="137">
        <f t="shared" si="18"/>
        <v>2.9048196800000002E-3</v>
      </c>
      <c r="BI15" s="137">
        <f t="shared" si="19"/>
        <v>6.26228071E-3</v>
      </c>
      <c r="BJ15" s="137">
        <f t="shared" si="20"/>
        <v>5.9745831400000006E-3</v>
      </c>
      <c r="BK15" s="137">
        <f t="shared" si="21"/>
        <v>3.6158305500000001E-4</v>
      </c>
      <c r="BL15" s="137">
        <f t="shared" si="22"/>
        <v>6.1508341200000004E-2</v>
      </c>
      <c r="BM15" s="137">
        <f t="shared" si="23"/>
        <v>6.5832638499999999E-3</v>
      </c>
    </row>
    <row r="16" spans="1:65" x14ac:dyDescent="0.25">
      <c r="A16" s="149">
        <v>17</v>
      </c>
      <c r="B16" s="149">
        <v>43</v>
      </c>
      <c r="C16" s="61">
        <v>40.676457999999997</v>
      </c>
      <c r="D16" s="61">
        <v>-74.228478999999993</v>
      </c>
      <c r="E16" s="61" t="s">
        <v>265</v>
      </c>
      <c r="F16" s="149">
        <v>43</v>
      </c>
      <c r="G16" s="61" t="s">
        <v>565</v>
      </c>
      <c r="H16" s="61" t="s">
        <v>632</v>
      </c>
      <c r="I16" s="61">
        <v>40.689531000000002</v>
      </c>
      <c r="J16" s="61">
        <v>-74.174462000000005</v>
      </c>
      <c r="K16" s="61">
        <v>5.2641184650000001</v>
      </c>
      <c r="L16" s="61">
        <v>7.0670000000000002</v>
      </c>
      <c r="M16" s="61" t="s">
        <v>617</v>
      </c>
      <c r="N16" s="149">
        <v>42</v>
      </c>
      <c r="O16" s="149">
        <v>43</v>
      </c>
      <c r="P16" s="61" t="s">
        <v>565</v>
      </c>
      <c r="Q16" s="61" t="s">
        <v>555</v>
      </c>
      <c r="R16" s="61">
        <v>40.6895314</v>
      </c>
      <c r="S16" s="61">
        <v>-74.174462399999996</v>
      </c>
      <c r="T16" s="61">
        <v>7.0670000000000002</v>
      </c>
      <c r="U16" s="61" t="s">
        <v>617</v>
      </c>
      <c r="V16" s="61" t="s">
        <v>617</v>
      </c>
      <c r="W16" s="61"/>
      <c r="Y16" s="137">
        <f>Summary_LCIA!H$32</f>
        <v>0.33979999999999999</v>
      </c>
      <c r="Z16" s="137">
        <f>Summary_LCIA!Q$32</f>
        <v>4.9560504329999997</v>
      </c>
      <c r="AA16" s="137">
        <f>Summary_LCIA!R$32</f>
        <v>5.2655999999999996E-3</v>
      </c>
      <c r="AB16" s="137">
        <f>Summary_LCIA!S$32</f>
        <v>0.33538000000000001</v>
      </c>
      <c r="AC16" s="137">
        <f>Summary_LCIA!T$32</f>
        <v>0.1099</v>
      </c>
      <c r="AD16" s="137">
        <f>Summary_LCIA!U$32</f>
        <v>1.7913999999999999E-2</v>
      </c>
      <c r="AE16" s="137">
        <f>Summary_LCIA!V$32</f>
        <v>4.7760999999999999E-5</v>
      </c>
      <c r="AF16" s="137">
        <f>Summary_LCIA!W$32</f>
        <v>7.6970999999999998E-2</v>
      </c>
      <c r="AG16" s="137">
        <f>Summary_LCIA!X$32</f>
        <v>2.2780000000000002E-2</v>
      </c>
      <c r="AH16" s="137">
        <f>Summary_LCIA!Y$32</f>
        <v>1.5582E-2</v>
      </c>
      <c r="AI16" s="137">
        <f>Summary_LCIA!Z$32</f>
        <v>4.1009E-5</v>
      </c>
      <c r="AJ16" s="137">
        <f>Summary_LCIA!AA$32</f>
        <v>2.3355999999999998E-2</v>
      </c>
      <c r="AK16" s="137">
        <f>Summary_LCIA!AB$32</f>
        <v>-2.1823000000000001E-5</v>
      </c>
      <c r="AL16" s="137">
        <f>Summary_LCIA!AC$32</f>
        <v>4.8884000000000003E-8</v>
      </c>
      <c r="AM16" s="137">
        <f>Summary_LCIA!AD$32</f>
        <v>4.1103999999999999E-4</v>
      </c>
      <c r="AN16" s="137">
        <f>Summary_LCIA!AE$32</f>
        <v>8.8612999999999995E-4</v>
      </c>
      <c r="AO16" s="137">
        <f>Summary_LCIA!AF$32</f>
        <v>8.4542000000000005E-4</v>
      </c>
      <c r="AP16" s="137">
        <f>Summary_LCIA!AG$32</f>
        <v>5.1165000000000002E-5</v>
      </c>
      <c r="AQ16" s="137">
        <f>Summary_LCIA!AH$32</f>
        <v>8.7036000000000006E-3</v>
      </c>
      <c r="AR16" s="137">
        <f>Summary_LCIA!AI$32</f>
        <v>9.3154999999999996E-4</v>
      </c>
      <c r="AT16" s="137">
        <f t="shared" si="4"/>
        <v>2.4013665999999998</v>
      </c>
      <c r="AU16" s="137">
        <f t="shared" si="5"/>
        <v>35.024408410010999</v>
      </c>
      <c r="AV16" s="137">
        <f t="shared" si="6"/>
        <v>3.72119952E-2</v>
      </c>
      <c r="AW16" s="137">
        <f t="shared" si="7"/>
        <v>2.3701304599999999</v>
      </c>
      <c r="AX16" s="137">
        <f t="shared" si="8"/>
        <v>0.77666330000000006</v>
      </c>
      <c r="AY16" s="137">
        <f t="shared" si="9"/>
        <v>0.126598238</v>
      </c>
      <c r="AZ16" s="137">
        <f t="shared" si="10"/>
        <v>3.3752698700000001E-4</v>
      </c>
      <c r="BA16" s="137">
        <f t="shared" si="11"/>
        <v>0.54395405699999999</v>
      </c>
      <c r="BB16" s="137">
        <f t="shared" si="12"/>
        <v>0.16098626000000002</v>
      </c>
      <c r="BC16" s="137">
        <f t="shared" si="13"/>
        <v>0.11011799400000001</v>
      </c>
      <c r="BD16" s="137">
        <f t="shared" si="14"/>
        <v>2.8981060300000002E-4</v>
      </c>
      <c r="BE16" s="137">
        <f t="shared" si="15"/>
        <v>0.165056852</v>
      </c>
      <c r="BF16" s="137">
        <f t="shared" si="16"/>
        <v>-1.5422314100000002E-4</v>
      </c>
      <c r="BG16" s="137">
        <f t="shared" si="17"/>
        <v>3.4546322800000003E-7</v>
      </c>
      <c r="BH16" s="137">
        <f t="shared" si="18"/>
        <v>2.9048196800000002E-3</v>
      </c>
      <c r="BI16" s="137">
        <f t="shared" si="19"/>
        <v>6.26228071E-3</v>
      </c>
      <c r="BJ16" s="137">
        <f t="shared" si="20"/>
        <v>5.9745831400000006E-3</v>
      </c>
      <c r="BK16" s="137">
        <f t="shared" si="21"/>
        <v>3.6158305500000001E-4</v>
      </c>
      <c r="BL16" s="137">
        <f t="shared" si="22"/>
        <v>6.1508341200000004E-2</v>
      </c>
      <c r="BM16" s="137">
        <f t="shared" si="23"/>
        <v>6.5832638499999999E-3</v>
      </c>
    </row>
    <row r="17" spans="1:65" x14ac:dyDescent="0.25">
      <c r="A17" s="149">
        <v>378</v>
      </c>
      <c r="B17" s="149">
        <v>43</v>
      </c>
      <c r="C17" s="61">
        <v>40.741002000000002</v>
      </c>
      <c r="D17" s="61">
        <v>-74.177420999999995</v>
      </c>
      <c r="E17" s="61" t="s">
        <v>265</v>
      </c>
      <c r="F17" s="149">
        <v>43</v>
      </c>
      <c r="G17" s="61" t="s">
        <v>565</v>
      </c>
      <c r="H17" s="61" t="s">
        <v>632</v>
      </c>
      <c r="I17" s="61">
        <v>40.689531000000002</v>
      </c>
      <c r="J17" s="61">
        <v>-74.174462000000005</v>
      </c>
      <c r="K17" s="61">
        <v>7.8777833389999996</v>
      </c>
      <c r="L17" s="61">
        <v>7.5250000000000004</v>
      </c>
      <c r="M17" s="61" t="s">
        <v>617</v>
      </c>
      <c r="N17" s="149">
        <v>42</v>
      </c>
      <c r="O17" s="149">
        <v>43</v>
      </c>
      <c r="P17" s="61" t="s">
        <v>565</v>
      </c>
      <c r="Q17" s="61" t="s">
        <v>555</v>
      </c>
      <c r="R17" s="61">
        <v>40.6895314</v>
      </c>
      <c r="S17" s="61">
        <v>-74.174462399999996</v>
      </c>
      <c r="T17" s="61">
        <v>7.5250000000000004</v>
      </c>
      <c r="U17" s="61" t="s">
        <v>617</v>
      </c>
      <c r="V17" s="61" t="s">
        <v>617</v>
      </c>
      <c r="W17" s="61"/>
      <c r="Y17" s="137">
        <f>Summary_LCIA!H$32</f>
        <v>0.33979999999999999</v>
      </c>
      <c r="Z17" s="137">
        <f>Summary_LCIA!Q$32</f>
        <v>4.9560504329999997</v>
      </c>
      <c r="AA17" s="137">
        <f>Summary_LCIA!R$32</f>
        <v>5.2655999999999996E-3</v>
      </c>
      <c r="AB17" s="137">
        <f>Summary_LCIA!S$32</f>
        <v>0.33538000000000001</v>
      </c>
      <c r="AC17" s="137">
        <f>Summary_LCIA!T$32</f>
        <v>0.1099</v>
      </c>
      <c r="AD17" s="137">
        <f>Summary_LCIA!U$32</f>
        <v>1.7913999999999999E-2</v>
      </c>
      <c r="AE17" s="137">
        <f>Summary_LCIA!V$32</f>
        <v>4.7760999999999999E-5</v>
      </c>
      <c r="AF17" s="137">
        <f>Summary_LCIA!W$32</f>
        <v>7.6970999999999998E-2</v>
      </c>
      <c r="AG17" s="137">
        <f>Summary_LCIA!X$32</f>
        <v>2.2780000000000002E-2</v>
      </c>
      <c r="AH17" s="137">
        <f>Summary_LCIA!Y$32</f>
        <v>1.5582E-2</v>
      </c>
      <c r="AI17" s="137">
        <f>Summary_LCIA!Z$32</f>
        <v>4.1009E-5</v>
      </c>
      <c r="AJ17" s="137">
        <f>Summary_LCIA!AA$32</f>
        <v>2.3355999999999998E-2</v>
      </c>
      <c r="AK17" s="137">
        <f>Summary_LCIA!AB$32</f>
        <v>-2.1823000000000001E-5</v>
      </c>
      <c r="AL17" s="137">
        <f>Summary_LCIA!AC$32</f>
        <v>4.8884000000000003E-8</v>
      </c>
      <c r="AM17" s="137">
        <f>Summary_LCIA!AD$32</f>
        <v>4.1103999999999999E-4</v>
      </c>
      <c r="AN17" s="137">
        <f>Summary_LCIA!AE$32</f>
        <v>8.8612999999999995E-4</v>
      </c>
      <c r="AO17" s="137">
        <f>Summary_LCIA!AF$32</f>
        <v>8.4542000000000005E-4</v>
      </c>
      <c r="AP17" s="137">
        <f>Summary_LCIA!AG$32</f>
        <v>5.1165000000000002E-5</v>
      </c>
      <c r="AQ17" s="137">
        <f>Summary_LCIA!AH$32</f>
        <v>8.7036000000000006E-3</v>
      </c>
      <c r="AR17" s="137">
        <f>Summary_LCIA!AI$32</f>
        <v>9.3154999999999996E-4</v>
      </c>
      <c r="AT17" s="137">
        <f t="shared" si="4"/>
        <v>2.5569950000000001</v>
      </c>
      <c r="AU17" s="137">
        <f t="shared" si="5"/>
        <v>37.294279508324998</v>
      </c>
      <c r="AV17" s="137">
        <f t="shared" si="6"/>
        <v>3.9623640000000002E-2</v>
      </c>
      <c r="AW17" s="137">
        <f t="shared" si="7"/>
        <v>2.5237345000000002</v>
      </c>
      <c r="AX17" s="137">
        <f t="shared" si="8"/>
        <v>0.82699750000000005</v>
      </c>
      <c r="AY17" s="137">
        <f t="shared" si="9"/>
        <v>0.13480285</v>
      </c>
      <c r="AZ17" s="137">
        <f t="shared" si="10"/>
        <v>3.5940152499999999E-4</v>
      </c>
      <c r="BA17" s="137">
        <f t="shared" si="11"/>
        <v>0.57920677500000006</v>
      </c>
      <c r="BB17" s="137">
        <f t="shared" si="12"/>
        <v>0.17141950000000003</v>
      </c>
      <c r="BC17" s="137">
        <f t="shared" si="13"/>
        <v>0.11725455000000001</v>
      </c>
      <c r="BD17" s="137">
        <f t="shared" si="14"/>
        <v>3.0859272500000003E-4</v>
      </c>
      <c r="BE17" s="137">
        <f t="shared" si="15"/>
        <v>0.17575389999999999</v>
      </c>
      <c r="BF17" s="137">
        <f t="shared" si="16"/>
        <v>-1.6421807500000002E-4</v>
      </c>
      <c r="BG17" s="137">
        <f t="shared" si="17"/>
        <v>3.6785210000000005E-7</v>
      </c>
      <c r="BH17" s="137">
        <f t="shared" si="18"/>
        <v>3.0930760000000002E-3</v>
      </c>
      <c r="BI17" s="137">
        <f t="shared" si="19"/>
        <v>6.6681282499999996E-3</v>
      </c>
      <c r="BJ17" s="137">
        <f t="shared" si="20"/>
        <v>6.3617855000000006E-3</v>
      </c>
      <c r="BK17" s="137">
        <f t="shared" si="21"/>
        <v>3.8501662500000001E-4</v>
      </c>
      <c r="BL17" s="137">
        <f t="shared" si="22"/>
        <v>6.5494590000000005E-2</v>
      </c>
      <c r="BM17" s="137">
        <f t="shared" si="23"/>
        <v>7.00991375E-3</v>
      </c>
    </row>
    <row r="18" spans="1:65" x14ac:dyDescent="0.25">
      <c r="A18" s="149">
        <v>322</v>
      </c>
      <c r="B18" s="149">
        <v>29</v>
      </c>
      <c r="C18" s="61">
        <v>47.479692999999997</v>
      </c>
      <c r="D18" s="61">
        <v>-122.207922</v>
      </c>
      <c r="E18" s="61" t="s">
        <v>265</v>
      </c>
      <c r="F18" s="149">
        <v>29</v>
      </c>
      <c r="G18" s="61" t="s">
        <v>565</v>
      </c>
      <c r="H18" s="61" t="s">
        <v>719</v>
      </c>
      <c r="I18" s="61">
        <v>47.450249999999997</v>
      </c>
      <c r="J18" s="61">
        <v>-122.308817</v>
      </c>
      <c r="K18" s="61">
        <v>8.295129287</v>
      </c>
      <c r="L18" s="61">
        <v>11.608000000000001</v>
      </c>
      <c r="M18" s="61" t="s">
        <v>617</v>
      </c>
      <c r="N18" s="149">
        <v>28</v>
      </c>
      <c r="O18" s="149">
        <v>29</v>
      </c>
      <c r="P18" s="61" t="s">
        <v>565</v>
      </c>
      <c r="Q18" s="61" t="s">
        <v>559</v>
      </c>
      <c r="R18" s="61">
        <v>47.450249900000003</v>
      </c>
      <c r="S18" s="61">
        <v>-122.30881650000001</v>
      </c>
      <c r="T18" s="61">
        <v>11.608000000000001</v>
      </c>
      <c r="U18" s="61" t="s">
        <v>617</v>
      </c>
      <c r="V18" s="61" t="s">
        <v>617</v>
      </c>
      <c r="W18" s="61"/>
      <c r="Y18" s="137">
        <f>Summary_LCIA!H$32</f>
        <v>0.33979999999999999</v>
      </c>
      <c r="Z18" s="137">
        <f>Summary_LCIA!Q$32</f>
        <v>4.9560504329999997</v>
      </c>
      <c r="AA18" s="137">
        <f>Summary_LCIA!R$32</f>
        <v>5.2655999999999996E-3</v>
      </c>
      <c r="AB18" s="137">
        <f>Summary_LCIA!S$32</f>
        <v>0.33538000000000001</v>
      </c>
      <c r="AC18" s="137">
        <f>Summary_LCIA!T$32</f>
        <v>0.1099</v>
      </c>
      <c r="AD18" s="137">
        <f>Summary_LCIA!U$32</f>
        <v>1.7913999999999999E-2</v>
      </c>
      <c r="AE18" s="137">
        <f>Summary_LCIA!V$32</f>
        <v>4.7760999999999999E-5</v>
      </c>
      <c r="AF18" s="137">
        <f>Summary_LCIA!W$32</f>
        <v>7.6970999999999998E-2</v>
      </c>
      <c r="AG18" s="137">
        <f>Summary_LCIA!X$32</f>
        <v>2.2780000000000002E-2</v>
      </c>
      <c r="AH18" s="137">
        <f>Summary_LCIA!Y$32</f>
        <v>1.5582E-2</v>
      </c>
      <c r="AI18" s="137">
        <f>Summary_LCIA!Z$32</f>
        <v>4.1009E-5</v>
      </c>
      <c r="AJ18" s="137">
        <f>Summary_LCIA!AA$32</f>
        <v>2.3355999999999998E-2</v>
      </c>
      <c r="AK18" s="137">
        <f>Summary_LCIA!AB$32</f>
        <v>-2.1823000000000001E-5</v>
      </c>
      <c r="AL18" s="137">
        <f>Summary_LCIA!AC$32</f>
        <v>4.8884000000000003E-8</v>
      </c>
      <c r="AM18" s="137">
        <f>Summary_LCIA!AD$32</f>
        <v>4.1103999999999999E-4</v>
      </c>
      <c r="AN18" s="137">
        <f>Summary_LCIA!AE$32</f>
        <v>8.8612999999999995E-4</v>
      </c>
      <c r="AO18" s="137">
        <f>Summary_LCIA!AF$32</f>
        <v>8.4542000000000005E-4</v>
      </c>
      <c r="AP18" s="137">
        <f>Summary_LCIA!AG$32</f>
        <v>5.1165000000000002E-5</v>
      </c>
      <c r="AQ18" s="137">
        <f>Summary_LCIA!AH$32</f>
        <v>8.7036000000000006E-3</v>
      </c>
      <c r="AR18" s="137">
        <f>Summary_LCIA!AI$32</f>
        <v>9.3154999999999996E-4</v>
      </c>
      <c r="AT18" s="137">
        <f t="shared" si="4"/>
        <v>3.9443983999999999</v>
      </c>
      <c r="AU18" s="137">
        <f t="shared" si="5"/>
        <v>57.529833426263998</v>
      </c>
      <c r="AV18" s="137">
        <f t="shared" si="6"/>
        <v>6.1123084799999998E-2</v>
      </c>
      <c r="AW18" s="137">
        <f t="shared" si="7"/>
        <v>3.8930910400000003</v>
      </c>
      <c r="AX18" s="137">
        <f t="shared" si="8"/>
        <v>1.2757191999999999</v>
      </c>
      <c r="AY18" s="137">
        <f t="shared" si="9"/>
        <v>0.207945712</v>
      </c>
      <c r="AZ18" s="137">
        <f t="shared" si="10"/>
        <v>5.5440968800000003E-4</v>
      </c>
      <c r="BA18" s="137">
        <f t="shared" si="11"/>
        <v>0.89347936800000005</v>
      </c>
      <c r="BB18" s="137">
        <f t="shared" si="12"/>
        <v>0.26443024000000004</v>
      </c>
      <c r="BC18" s="137">
        <f t="shared" si="13"/>
        <v>0.180875856</v>
      </c>
      <c r="BD18" s="137">
        <f t="shared" si="14"/>
        <v>4.76032472E-4</v>
      </c>
      <c r="BE18" s="137">
        <f t="shared" si="15"/>
        <v>0.27111644800000001</v>
      </c>
      <c r="BF18" s="137">
        <f t="shared" si="16"/>
        <v>-2.5332138400000002E-4</v>
      </c>
      <c r="BG18" s="137">
        <f t="shared" si="17"/>
        <v>5.6744547200000005E-7</v>
      </c>
      <c r="BH18" s="137">
        <f t="shared" si="18"/>
        <v>4.77135232E-3</v>
      </c>
      <c r="BI18" s="137">
        <f t="shared" si="19"/>
        <v>1.028619704E-2</v>
      </c>
      <c r="BJ18" s="137">
        <f t="shared" si="20"/>
        <v>9.8136353600000014E-3</v>
      </c>
      <c r="BK18" s="137">
        <f t="shared" si="21"/>
        <v>5.9392332000000002E-4</v>
      </c>
      <c r="BL18" s="137">
        <f t="shared" si="22"/>
        <v>0.10103138880000001</v>
      </c>
      <c r="BM18" s="137">
        <f t="shared" si="23"/>
        <v>1.08134324E-2</v>
      </c>
    </row>
    <row r="19" spans="1:65" x14ac:dyDescent="0.25">
      <c r="A19" s="149">
        <v>137</v>
      </c>
      <c r="B19" s="149">
        <v>1</v>
      </c>
      <c r="C19" s="61">
        <v>33.748995000000001</v>
      </c>
      <c r="D19" s="61">
        <v>-84.387981999999994</v>
      </c>
      <c r="E19" s="61" t="s">
        <v>265</v>
      </c>
      <c r="F19" s="149">
        <v>1</v>
      </c>
      <c r="G19" s="61" t="s">
        <v>565</v>
      </c>
      <c r="H19" s="61" t="s">
        <v>681</v>
      </c>
      <c r="I19" s="61">
        <v>33.640728000000003</v>
      </c>
      <c r="J19" s="61">
        <v>-84.427700000000002</v>
      </c>
      <c r="K19" s="61">
        <v>18.49134737</v>
      </c>
      <c r="L19" s="61">
        <v>14.686999999999999</v>
      </c>
      <c r="M19" s="61" t="s">
        <v>617</v>
      </c>
      <c r="N19" s="149">
        <v>0</v>
      </c>
      <c r="O19" s="149">
        <v>1</v>
      </c>
      <c r="P19" s="61" t="s">
        <v>565</v>
      </c>
      <c r="Q19" s="61" t="s">
        <v>558</v>
      </c>
      <c r="R19" s="61">
        <v>33.640728199999998</v>
      </c>
      <c r="S19" s="61">
        <v>-84.427700099999996</v>
      </c>
      <c r="T19" s="61">
        <v>14.686999999999999</v>
      </c>
      <c r="U19" s="61" t="s">
        <v>617</v>
      </c>
      <c r="V19" s="61" t="s">
        <v>617</v>
      </c>
      <c r="W19" s="61"/>
      <c r="Y19" s="137">
        <f>Summary_LCIA!H$32</f>
        <v>0.33979999999999999</v>
      </c>
      <c r="Z19" s="137">
        <f>Summary_LCIA!Q$32</f>
        <v>4.9560504329999997</v>
      </c>
      <c r="AA19" s="137">
        <f>Summary_LCIA!R$32</f>
        <v>5.2655999999999996E-3</v>
      </c>
      <c r="AB19" s="137">
        <f>Summary_LCIA!S$32</f>
        <v>0.33538000000000001</v>
      </c>
      <c r="AC19" s="137">
        <f>Summary_LCIA!T$32</f>
        <v>0.1099</v>
      </c>
      <c r="AD19" s="137">
        <f>Summary_LCIA!U$32</f>
        <v>1.7913999999999999E-2</v>
      </c>
      <c r="AE19" s="137">
        <f>Summary_LCIA!V$32</f>
        <v>4.7760999999999999E-5</v>
      </c>
      <c r="AF19" s="137">
        <f>Summary_LCIA!W$32</f>
        <v>7.6970999999999998E-2</v>
      </c>
      <c r="AG19" s="137">
        <f>Summary_LCIA!X$32</f>
        <v>2.2780000000000002E-2</v>
      </c>
      <c r="AH19" s="137">
        <f>Summary_LCIA!Y$32</f>
        <v>1.5582E-2</v>
      </c>
      <c r="AI19" s="137">
        <f>Summary_LCIA!Z$32</f>
        <v>4.1009E-5</v>
      </c>
      <c r="AJ19" s="137">
        <f>Summary_LCIA!AA$32</f>
        <v>2.3355999999999998E-2</v>
      </c>
      <c r="AK19" s="137">
        <f>Summary_LCIA!AB$32</f>
        <v>-2.1823000000000001E-5</v>
      </c>
      <c r="AL19" s="137">
        <f>Summary_LCIA!AC$32</f>
        <v>4.8884000000000003E-8</v>
      </c>
      <c r="AM19" s="137">
        <f>Summary_LCIA!AD$32</f>
        <v>4.1103999999999999E-4</v>
      </c>
      <c r="AN19" s="137">
        <f>Summary_LCIA!AE$32</f>
        <v>8.8612999999999995E-4</v>
      </c>
      <c r="AO19" s="137">
        <f>Summary_LCIA!AF$32</f>
        <v>8.4542000000000005E-4</v>
      </c>
      <c r="AP19" s="137">
        <f>Summary_LCIA!AG$32</f>
        <v>5.1165000000000002E-5</v>
      </c>
      <c r="AQ19" s="137">
        <f>Summary_LCIA!AH$32</f>
        <v>8.7036000000000006E-3</v>
      </c>
      <c r="AR19" s="137">
        <f>Summary_LCIA!AI$32</f>
        <v>9.3154999999999996E-4</v>
      </c>
      <c r="AT19" s="137">
        <f t="shared" si="4"/>
        <v>4.9906425999999993</v>
      </c>
      <c r="AU19" s="137">
        <f t="shared" si="5"/>
        <v>72.789512709470998</v>
      </c>
      <c r="AV19" s="137">
        <f t="shared" si="6"/>
        <v>7.7335867199999991E-2</v>
      </c>
      <c r="AW19" s="137">
        <f t="shared" si="7"/>
        <v>4.9257260599999997</v>
      </c>
      <c r="AX19" s="137">
        <f t="shared" si="8"/>
        <v>1.6141013</v>
      </c>
      <c r="AY19" s="137">
        <f t="shared" si="9"/>
        <v>0.26310291799999996</v>
      </c>
      <c r="AZ19" s="137">
        <f t="shared" si="10"/>
        <v>7.0146580699999999E-4</v>
      </c>
      <c r="BA19" s="137">
        <f t="shared" si="11"/>
        <v>1.130473077</v>
      </c>
      <c r="BB19" s="137">
        <f t="shared" si="12"/>
        <v>0.33456986</v>
      </c>
      <c r="BC19" s="137">
        <f t="shared" si="13"/>
        <v>0.228852834</v>
      </c>
      <c r="BD19" s="137">
        <f t="shared" si="14"/>
        <v>6.0229918299999996E-4</v>
      </c>
      <c r="BE19" s="137">
        <f t="shared" si="15"/>
        <v>0.34302957199999995</v>
      </c>
      <c r="BF19" s="137">
        <f t="shared" si="16"/>
        <v>-3.2051440100000001E-4</v>
      </c>
      <c r="BG19" s="137">
        <f t="shared" si="17"/>
        <v>7.1795930800000004E-7</v>
      </c>
      <c r="BH19" s="137">
        <f t="shared" si="18"/>
        <v>6.0369444799999996E-3</v>
      </c>
      <c r="BI19" s="137">
        <f t="shared" si="19"/>
        <v>1.3014591309999999E-2</v>
      </c>
      <c r="BJ19" s="137">
        <f t="shared" si="20"/>
        <v>1.2416683540000001E-2</v>
      </c>
      <c r="BK19" s="137">
        <f t="shared" si="21"/>
        <v>7.5146035500000001E-4</v>
      </c>
      <c r="BL19" s="137">
        <f t="shared" si="22"/>
        <v>0.1278297732</v>
      </c>
      <c r="BM19" s="137">
        <f t="shared" si="23"/>
        <v>1.3681674849999999E-2</v>
      </c>
    </row>
    <row r="20" spans="1:65" x14ac:dyDescent="0.25">
      <c r="A20" s="149">
        <v>138</v>
      </c>
      <c r="B20" s="149">
        <v>1</v>
      </c>
      <c r="C20" s="61">
        <v>33.748995000000001</v>
      </c>
      <c r="D20" s="61">
        <v>-84.387981999999994</v>
      </c>
      <c r="E20" s="61" t="s">
        <v>265</v>
      </c>
      <c r="F20" s="149">
        <v>1</v>
      </c>
      <c r="G20" s="61" t="s">
        <v>565</v>
      </c>
      <c r="H20" s="61" t="s">
        <v>681</v>
      </c>
      <c r="I20" s="61">
        <v>33.640728000000003</v>
      </c>
      <c r="J20" s="61">
        <v>-84.427700000000002</v>
      </c>
      <c r="K20" s="61">
        <v>18.49134737</v>
      </c>
      <c r="L20" s="61">
        <v>14.686999999999999</v>
      </c>
      <c r="M20" s="61" t="s">
        <v>617</v>
      </c>
      <c r="N20" s="149">
        <v>0</v>
      </c>
      <c r="O20" s="149">
        <v>1</v>
      </c>
      <c r="P20" s="61" t="s">
        <v>565</v>
      </c>
      <c r="Q20" s="61" t="s">
        <v>558</v>
      </c>
      <c r="R20" s="61">
        <v>33.640728199999998</v>
      </c>
      <c r="S20" s="61">
        <v>-84.427700099999996</v>
      </c>
      <c r="T20" s="61">
        <v>14.686999999999999</v>
      </c>
      <c r="U20" s="61" t="s">
        <v>617</v>
      </c>
      <c r="V20" s="61" t="s">
        <v>617</v>
      </c>
      <c r="W20" s="61"/>
      <c r="Y20" s="137">
        <f>Summary_LCIA!H$32</f>
        <v>0.33979999999999999</v>
      </c>
      <c r="Z20" s="137">
        <f>Summary_LCIA!Q$32</f>
        <v>4.9560504329999997</v>
      </c>
      <c r="AA20" s="137">
        <f>Summary_LCIA!R$32</f>
        <v>5.2655999999999996E-3</v>
      </c>
      <c r="AB20" s="137">
        <f>Summary_LCIA!S$32</f>
        <v>0.33538000000000001</v>
      </c>
      <c r="AC20" s="137">
        <f>Summary_LCIA!T$32</f>
        <v>0.1099</v>
      </c>
      <c r="AD20" s="137">
        <f>Summary_LCIA!U$32</f>
        <v>1.7913999999999999E-2</v>
      </c>
      <c r="AE20" s="137">
        <f>Summary_LCIA!V$32</f>
        <v>4.7760999999999999E-5</v>
      </c>
      <c r="AF20" s="137">
        <f>Summary_LCIA!W$32</f>
        <v>7.6970999999999998E-2</v>
      </c>
      <c r="AG20" s="137">
        <f>Summary_LCIA!X$32</f>
        <v>2.2780000000000002E-2</v>
      </c>
      <c r="AH20" s="137">
        <f>Summary_LCIA!Y$32</f>
        <v>1.5582E-2</v>
      </c>
      <c r="AI20" s="137">
        <f>Summary_LCIA!Z$32</f>
        <v>4.1009E-5</v>
      </c>
      <c r="AJ20" s="137">
        <f>Summary_LCIA!AA$32</f>
        <v>2.3355999999999998E-2</v>
      </c>
      <c r="AK20" s="137">
        <f>Summary_LCIA!AB$32</f>
        <v>-2.1823000000000001E-5</v>
      </c>
      <c r="AL20" s="137">
        <f>Summary_LCIA!AC$32</f>
        <v>4.8884000000000003E-8</v>
      </c>
      <c r="AM20" s="137">
        <f>Summary_LCIA!AD$32</f>
        <v>4.1103999999999999E-4</v>
      </c>
      <c r="AN20" s="137">
        <f>Summary_LCIA!AE$32</f>
        <v>8.8612999999999995E-4</v>
      </c>
      <c r="AO20" s="137">
        <f>Summary_LCIA!AF$32</f>
        <v>8.4542000000000005E-4</v>
      </c>
      <c r="AP20" s="137">
        <f>Summary_LCIA!AG$32</f>
        <v>5.1165000000000002E-5</v>
      </c>
      <c r="AQ20" s="137">
        <f>Summary_LCIA!AH$32</f>
        <v>8.7036000000000006E-3</v>
      </c>
      <c r="AR20" s="137">
        <f>Summary_LCIA!AI$32</f>
        <v>9.3154999999999996E-4</v>
      </c>
      <c r="AT20" s="137">
        <f t="shared" si="4"/>
        <v>4.9906425999999993</v>
      </c>
      <c r="AU20" s="137">
        <f t="shared" si="5"/>
        <v>72.789512709470998</v>
      </c>
      <c r="AV20" s="137">
        <f t="shared" si="6"/>
        <v>7.7335867199999991E-2</v>
      </c>
      <c r="AW20" s="137">
        <f t="shared" si="7"/>
        <v>4.9257260599999997</v>
      </c>
      <c r="AX20" s="137">
        <f t="shared" si="8"/>
        <v>1.6141013</v>
      </c>
      <c r="AY20" s="137">
        <f t="shared" si="9"/>
        <v>0.26310291799999996</v>
      </c>
      <c r="AZ20" s="137">
        <f t="shared" si="10"/>
        <v>7.0146580699999999E-4</v>
      </c>
      <c r="BA20" s="137">
        <f t="shared" si="11"/>
        <v>1.130473077</v>
      </c>
      <c r="BB20" s="137">
        <f t="shared" si="12"/>
        <v>0.33456986</v>
      </c>
      <c r="BC20" s="137">
        <f t="shared" si="13"/>
        <v>0.228852834</v>
      </c>
      <c r="BD20" s="137">
        <f t="shared" si="14"/>
        <v>6.0229918299999996E-4</v>
      </c>
      <c r="BE20" s="137">
        <f t="shared" si="15"/>
        <v>0.34302957199999995</v>
      </c>
      <c r="BF20" s="137">
        <f t="shared" si="16"/>
        <v>-3.2051440100000001E-4</v>
      </c>
      <c r="BG20" s="137">
        <f t="shared" si="17"/>
        <v>7.1795930800000004E-7</v>
      </c>
      <c r="BH20" s="137">
        <f t="shared" si="18"/>
        <v>6.0369444799999996E-3</v>
      </c>
      <c r="BI20" s="137">
        <f t="shared" si="19"/>
        <v>1.3014591309999999E-2</v>
      </c>
      <c r="BJ20" s="137">
        <f t="shared" si="20"/>
        <v>1.2416683540000001E-2</v>
      </c>
      <c r="BK20" s="137">
        <f t="shared" si="21"/>
        <v>7.5146035500000001E-4</v>
      </c>
      <c r="BL20" s="137">
        <f t="shared" si="22"/>
        <v>0.1278297732</v>
      </c>
      <c r="BM20" s="137">
        <f t="shared" si="23"/>
        <v>1.3681674849999999E-2</v>
      </c>
    </row>
    <row r="21" spans="1:65" x14ac:dyDescent="0.25">
      <c r="A21" s="149">
        <v>139</v>
      </c>
      <c r="B21" s="149">
        <v>1</v>
      </c>
      <c r="C21" s="61">
        <v>33.748995000000001</v>
      </c>
      <c r="D21" s="61">
        <v>-84.387981999999994</v>
      </c>
      <c r="E21" s="61" t="s">
        <v>265</v>
      </c>
      <c r="F21" s="149">
        <v>1</v>
      </c>
      <c r="G21" s="61" t="s">
        <v>565</v>
      </c>
      <c r="H21" s="61" t="s">
        <v>681</v>
      </c>
      <c r="I21" s="61">
        <v>33.640728000000003</v>
      </c>
      <c r="J21" s="61">
        <v>-84.427700000000002</v>
      </c>
      <c r="K21" s="61">
        <v>18.49134737</v>
      </c>
      <c r="L21" s="61">
        <v>14.686999999999999</v>
      </c>
      <c r="M21" s="61" t="s">
        <v>617</v>
      </c>
      <c r="N21" s="149">
        <v>0</v>
      </c>
      <c r="O21" s="149">
        <v>1</v>
      </c>
      <c r="P21" s="61" t="s">
        <v>565</v>
      </c>
      <c r="Q21" s="61" t="s">
        <v>558</v>
      </c>
      <c r="R21" s="61">
        <v>33.640728199999998</v>
      </c>
      <c r="S21" s="61">
        <v>-84.427700099999996</v>
      </c>
      <c r="T21" s="61">
        <v>14.686999999999999</v>
      </c>
      <c r="U21" s="61" t="s">
        <v>617</v>
      </c>
      <c r="V21" s="61" t="s">
        <v>617</v>
      </c>
      <c r="W21" s="61"/>
      <c r="Y21" s="137">
        <f>Summary_LCIA!H$32</f>
        <v>0.33979999999999999</v>
      </c>
      <c r="Z21" s="137">
        <f>Summary_LCIA!Q$32</f>
        <v>4.9560504329999997</v>
      </c>
      <c r="AA21" s="137">
        <f>Summary_LCIA!R$32</f>
        <v>5.2655999999999996E-3</v>
      </c>
      <c r="AB21" s="137">
        <f>Summary_LCIA!S$32</f>
        <v>0.33538000000000001</v>
      </c>
      <c r="AC21" s="137">
        <f>Summary_LCIA!T$32</f>
        <v>0.1099</v>
      </c>
      <c r="AD21" s="137">
        <f>Summary_LCIA!U$32</f>
        <v>1.7913999999999999E-2</v>
      </c>
      <c r="AE21" s="137">
        <f>Summary_LCIA!V$32</f>
        <v>4.7760999999999999E-5</v>
      </c>
      <c r="AF21" s="137">
        <f>Summary_LCIA!W$32</f>
        <v>7.6970999999999998E-2</v>
      </c>
      <c r="AG21" s="137">
        <f>Summary_LCIA!X$32</f>
        <v>2.2780000000000002E-2</v>
      </c>
      <c r="AH21" s="137">
        <f>Summary_LCIA!Y$32</f>
        <v>1.5582E-2</v>
      </c>
      <c r="AI21" s="137">
        <f>Summary_LCIA!Z$32</f>
        <v>4.1009E-5</v>
      </c>
      <c r="AJ21" s="137">
        <f>Summary_LCIA!AA$32</f>
        <v>2.3355999999999998E-2</v>
      </c>
      <c r="AK21" s="137">
        <f>Summary_LCIA!AB$32</f>
        <v>-2.1823000000000001E-5</v>
      </c>
      <c r="AL21" s="137">
        <f>Summary_LCIA!AC$32</f>
        <v>4.8884000000000003E-8</v>
      </c>
      <c r="AM21" s="137">
        <f>Summary_LCIA!AD$32</f>
        <v>4.1103999999999999E-4</v>
      </c>
      <c r="AN21" s="137">
        <f>Summary_LCIA!AE$32</f>
        <v>8.8612999999999995E-4</v>
      </c>
      <c r="AO21" s="137">
        <f>Summary_LCIA!AF$32</f>
        <v>8.4542000000000005E-4</v>
      </c>
      <c r="AP21" s="137">
        <f>Summary_LCIA!AG$32</f>
        <v>5.1165000000000002E-5</v>
      </c>
      <c r="AQ21" s="137">
        <f>Summary_LCIA!AH$32</f>
        <v>8.7036000000000006E-3</v>
      </c>
      <c r="AR21" s="137">
        <f>Summary_LCIA!AI$32</f>
        <v>9.3154999999999996E-4</v>
      </c>
      <c r="AT21" s="137">
        <f t="shared" si="4"/>
        <v>4.9906425999999993</v>
      </c>
      <c r="AU21" s="137">
        <f t="shared" si="5"/>
        <v>72.789512709470998</v>
      </c>
      <c r="AV21" s="137">
        <f t="shared" si="6"/>
        <v>7.7335867199999991E-2</v>
      </c>
      <c r="AW21" s="137">
        <f t="shared" si="7"/>
        <v>4.9257260599999997</v>
      </c>
      <c r="AX21" s="137">
        <f t="shared" si="8"/>
        <v>1.6141013</v>
      </c>
      <c r="AY21" s="137">
        <f t="shared" si="9"/>
        <v>0.26310291799999996</v>
      </c>
      <c r="AZ21" s="137">
        <f t="shared" si="10"/>
        <v>7.0146580699999999E-4</v>
      </c>
      <c r="BA21" s="137">
        <f t="shared" si="11"/>
        <v>1.130473077</v>
      </c>
      <c r="BB21" s="137">
        <f t="shared" si="12"/>
        <v>0.33456986</v>
      </c>
      <c r="BC21" s="137">
        <f t="shared" si="13"/>
        <v>0.228852834</v>
      </c>
      <c r="BD21" s="137">
        <f t="shared" si="14"/>
        <v>6.0229918299999996E-4</v>
      </c>
      <c r="BE21" s="137">
        <f t="shared" si="15"/>
        <v>0.34302957199999995</v>
      </c>
      <c r="BF21" s="137">
        <f t="shared" si="16"/>
        <v>-3.2051440100000001E-4</v>
      </c>
      <c r="BG21" s="137">
        <f t="shared" si="17"/>
        <v>7.1795930800000004E-7</v>
      </c>
      <c r="BH21" s="137">
        <f t="shared" si="18"/>
        <v>6.0369444799999996E-3</v>
      </c>
      <c r="BI21" s="137">
        <f t="shared" si="19"/>
        <v>1.3014591309999999E-2</v>
      </c>
      <c r="BJ21" s="137">
        <f t="shared" si="20"/>
        <v>1.2416683540000001E-2</v>
      </c>
      <c r="BK21" s="137">
        <f t="shared" si="21"/>
        <v>7.5146035500000001E-4</v>
      </c>
      <c r="BL21" s="137">
        <f t="shared" si="22"/>
        <v>0.1278297732</v>
      </c>
      <c r="BM21" s="137">
        <f t="shared" si="23"/>
        <v>1.3681674849999999E-2</v>
      </c>
    </row>
    <row r="22" spans="1:65" x14ac:dyDescent="0.25">
      <c r="A22" s="149">
        <v>286</v>
      </c>
      <c r="B22" s="149">
        <v>1</v>
      </c>
      <c r="C22" s="61">
        <v>33.771270999999999</v>
      </c>
      <c r="D22" s="61">
        <v>-84.389756000000006</v>
      </c>
      <c r="E22" s="61" t="s">
        <v>265</v>
      </c>
      <c r="F22" s="149">
        <v>1</v>
      </c>
      <c r="G22" s="61" t="s">
        <v>565</v>
      </c>
      <c r="H22" s="61" t="s">
        <v>681</v>
      </c>
      <c r="I22" s="61">
        <v>33.640728000000003</v>
      </c>
      <c r="J22" s="61">
        <v>-84.427700000000002</v>
      </c>
      <c r="K22" s="61">
        <v>22.091562750000001</v>
      </c>
      <c r="L22" s="61">
        <v>18.202999999999999</v>
      </c>
      <c r="M22" s="61" t="s">
        <v>617</v>
      </c>
      <c r="N22" s="149">
        <v>0</v>
      </c>
      <c r="O22" s="149">
        <v>1</v>
      </c>
      <c r="P22" s="61" t="s">
        <v>565</v>
      </c>
      <c r="Q22" s="61" t="s">
        <v>558</v>
      </c>
      <c r="R22" s="61">
        <v>33.640728199999998</v>
      </c>
      <c r="S22" s="61">
        <v>-84.427700099999996</v>
      </c>
      <c r="T22" s="61">
        <v>18.202999999999999</v>
      </c>
      <c r="U22" s="61" t="s">
        <v>617</v>
      </c>
      <c r="V22" s="61" t="s">
        <v>617</v>
      </c>
      <c r="W22" s="61"/>
      <c r="Y22" s="137">
        <f>Summary_LCIA!H$32</f>
        <v>0.33979999999999999</v>
      </c>
      <c r="Z22" s="137">
        <f>Summary_LCIA!Q$32</f>
        <v>4.9560504329999997</v>
      </c>
      <c r="AA22" s="137">
        <f>Summary_LCIA!R$32</f>
        <v>5.2655999999999996E-3</v>
      </c>
      <c r="AB22" s="137">
        <f>Summary_LCIA!S$32</f>
        <v>0.33538000000000001</v>
      </c>
      <c r="AC22" s="137">
        <f>Summary_LCIA!T$32</f>
        <v>0.1099</v>
      </c>
      <c r="AD22" s="137">
        <f>Summary_LCIA!U$32</f>
        <v>1.7913999999999999E-2</v>
      </c>
      <c r="AE22" s="137">
        <f>Summary_LCIA!V$32</f>
        <v>4.7760999999999999E-5</v>
      </c>
      <c r="AF22" s="137">
        <f>Summary_LCIA!W$32</f>
        <v>7.6970999999999998E-2</v>
      </c>
      <c r="AG22" s="137">
        <f>Summary_LCIA!X$32</f>
        <v>2.2780000000000002E-2</v>
      </c>
      <c r="AH22" s="137">
        <f>Summary_LCIA!Y$32</f>
        <v>1.5582E-2</v>
      </c>
      <c r="AI22" s="137">
        <f>Summary_LCIA!Z$32</f>
        <v>4.1009E-5</v>
      </c>
      <c r="AJ22" s="137">
        <f>Summary_LCIA!AA$32</f>
        <v>2.3355999999999998E-2</v>
      </c>
      <c r="AK22" s="137">
        <f>Summary_LCIA!AB$32</f>
        <v>-2.1823000000000001E-5</v>
      </c>
      <c r="AL22" s="137">
        <f>Summary_LCIA!AC$32</f>
        <v>4.8884000000000003E-8</v>
      </c>
      <c r="AM22" s="137">
        <f>Summary_LCIA!AD$32</f>
        <v>4.1103999999999999E-4</v>
      </c>
      <c r="AN22" s="137">
        <f>Summary_LCIA!AE$32</f>
        <v>8.8612999999999995E-4</v>
      </c>
      <c r="AO22" s="137">
        <f>Summary_LCIA!AF$32</f>
        <v>8.4542000000000005E-4</v>
      </c>
      <c r="AP22" s="137">
        <f>Summary_LCIA!AG$32</f>
        <v>5.1165000000000002E-5</v>
      </c>
      <c r="AQ22" s="137">
        <f>Summary_LCIA!AH$32</f>
        <v>8.7036000000000006E-3</v>
      </c>
      <c r="AR22" s="137">
        <f>Summary_LCIA!AI$32</f>
        <v>9.3154999999999996E-4</v>
      </c>
      <c r="AT22" s="137">
        <f t="shared" si="4"/>
        <v>6.1853793999999995</v>
      </c>
      <c r="AU22" s="137">
        <f t="shared" si="5"/>
        <v>90.214986031898988</v>
      </c>
      <c r="AV22" s="137">
        <f t="shared" si="6"/>
        <v>9.5849716799999984E-2</v>
      </c>
      <c r="AW22" s="137">
        <f t="shared" si="7"/>
        <v>6.1049221400000002</v>
      </c>
      <c r="AX22" s="137">
        <f t="shared" si="8"/>
        <v>2.0005096999999998</v>
      </c>
      <c r="AY22" s="137">
        <f t="shared" si="9"/>
        <v>0.32608854199999998</v>
      </c>
      <c r="AZ22" s="137">
        <f t="shared" si="10"/>
        <v>8.693934829999999E-4</v>
      </c>
      <c r="BA22" s="137">
        <f t="shared" si="11"/>
        <v>1.401103113</v>
      </c>
      <c r="BB22" s="137">
        <f t="shared" si="12"/>
        <v>0.41466434000000002</v>
      </c>
      <c r="BC22" s="137">
        <f t="shared" si="13"/>
        <v>0.28363914600000001</v>
      </c>
      <c r="BD22" s="137">
        <f t="shared" si="14"/>
        <v>7.4648682699999993E-4</v>
      </c>
      <c r="BE22" s="137">
        <f t="shared" si="15"/>
        <v>0.42514926799999997</v>
      </c>
      <c r="BF22" s="137">
        <f t="shared" si="16"/>
        <v>-3.9724406899999999E-4</v>
      </c>
      <c r="BG22" s="137">
        <f t="shared" si="17"/>
        <v>8.89835452E-7</v>
      </c>
      <c r="BH22" s="137">
        <f t="shared" si="18"/>
        <v>7.4821611199999997E-3</v>
      </c>
      <c r="BI22" s="137">
        <f t="shared" si="19"/>
        <v>1.613022439E-2</v>
      </c>
      <c r="BJ22" s="137">
        <f t="shared" si="20"/>
        <v>1.538918026E-2</v>
      </c>
      <c r="BK22" s="137">
        <f t="shared" si="21"/>
        <v>9.3135649500000002E-4</v>
      </c>
      <c r="BL22" s="137">
        <f t="shared" si="22"/>
        <v>0.1584316308</v>
      </c>
      <c r="BM22" s="137">
        <f t="shared" si="23"/>
        <v>1.6957004649999999E-2</v>
      </c>
    </row>
    <row r="23" spans="1:65" x14ac:dyDescent="0.25">
      <c r="A23" s="149">
        <v>283</v>
      </c>
      <c r="B23" s="149">
        <v>43</v>
      </c>
      <c r="C23" s="61">
        <v>40.712775999999998</v>
      </c>
      <c r="D23" s="61">
        <v>-74.005954000000003</v>
      </c>
      <c r="E23" s="61" t="s">
        <v>265</v>
      </c>
      <c r="F23" s="149">
        <v>43</v>
      </c>
      <c r="G23" s="61" t="s">
        <v>565</v>
      </c>
      <c r="H23" s="61" t="s">
        <v>632</v>
      </c>
      <c r="I23" s="61">
        <v>40.689531000000002</v>
      </c>
      <c r="J23" s="61">
        <v>-74.174462000000005</v>
      </c>
      <c r="K23" s="61">
        <v>15.29610297</v>
      </c>
      <c r="L23" s="61">
        <v>21.715</v>
      </c>
      <c r="M23" s="61" t="s">
        <v>617</v>
      </c>
      <c r="N23" s="149">
        <v>42</v>
      </c>
      <c r="O23" s="149">
        <v>43</v>
      </c>
      <c r="P23" s="61" t="s">
        <v>565</v>
      </c>
      <c r="Q23" s="61" t="s">
        <v>555</v>
      </c>
      <c r="R23" s="61">
        <v>40.6895314</v>
      </c>
      <c r="S23" s="61">
        <v>-74.174462399999996</v>
      </c>
      <c r="T23" s="61">
        <v>21.715</v>
      </c>
      <c r="U23" s="61" t="s">
        <v>617</v>
      </c>
      <c r="V23" s="61" t="s">
        <v>617</v>
      </c>
      <c r="W23" s="61"/>
      <c r="Y23" s="137">
        <f>Summary_LCIA!H$32</f>
        <v>0.33979999999999999</v>
      </c>
      <c r="Z23" s="137">
        <f>Summary_LCIA!Q$32</f>
        <v>4.9560504329999997</v>
      </c>
      <c r="AA23" s="137">
        <f>Summary_LCIA!R$32</f>
        <v>5.2655999999999996E-3</v>
      </c>
      <c r="AB23" s="137">
        <f>Summary_LCIA!S$32</f>
        <v>0.33538000000000001</v>
      </c>
      <c r="AC23" s="137">
        <f>Summary_LCIA!T$32</f>
        <v>0.1099</v>
      </c>
      <c r="AD23" s="137">
        <f>Summary_LCIA!U$32</f>
        <v>1.7913999999999999E-2</v>
      </c>
      <c r="AE23" s="137">
        <f>Summary_LCIA!V$32</f>
        <v>4.7760999999999999E-5</v>
      </c>
      <c r="AF23" s="137">
        <f>Summary_LCIA!W$32</f>
        <v>7.6970999999999998E-2</v>
      </c>
      <c r="AG23" s="137">
        <f>Summary_LCIA!X$32</f>
        <v>2.2780000000000002E-2</v>
      </c>
      <c r="AH23" s="137">
        <f>Summary_LCIA!Y$32</f>
        <v>1.5582E-2</v>
      </c>
      <c r="AI23" s="137">
        <f>Summary_LCIA!Z$32</f>
        <v>4.1009E-5</v>
      </c>
      <c r="AJ23" s="137">
        <f>Summary_LCIA!AA$32</f>
        <v>2.3355999999999998E-2</v>
      </c>
      <c r="AK23" s="137">
        <f>Summary_LCIA!AB$32</f>
        <v>-2.1823000000000001E-5</v>
      </c>
      <c r="AL23" s="137">
        <f>Summary_LCIA!AC$32</f>
        <v>4.8884000000000003E-8</v>
      </c>
      <c r="AM23" s="137">
        <f>Summary_LCIA!AD$32</f>
        <v>4.1103999999999999E-4</v>
      </c>
      <c r="AN23" s="137">
        <f>Summary_LCIA!AE$32</f>
        <v>8.8612999999999995E-4</v>
      </c>
      <c r="AO23" s="137">
        <f>Summary_LCIA!AF$32</f>
        <v>8.4542000000000005E-4</v>
      </c>
      <c r="AP23" s="137">
        <f>Summary_LCIA!AG$32</f>
        <v>5.1165000000000002E-5</v>
      </c>
      <c r="AQ23" s="137">
        <f>Summary_LCIA!AH$32</f>
        <v>8.7036000000000006E-3</v>
      </c>
      <c r="AR23" s="137">
        <f>Summary_LCIA!AI$32</f>
        <v>9.3154999999999996E-4</v>
      </c>
      <c r="AT23" s="137">
        <f t="shared" si="4"/>
        <v>7.3787569999999993</v>
      </c>
      <c r="AU23" s="137">
        <f t="shared" si="5"/>
        <v>107.620635152595</v>
      </c>
      <c r="AV23" s="137">
        <f t="shared" si="6"/>
        <v>0.114342504</v>
      </c>
      <c r="AW23" s="137">
        <f t="shared" si="7"/>
        <v>7.2827767000000003</v>
      </c>
      <c r="AX23" s="137">
        <f t="shared" si="8"/>
        <v>2.3864784999999999</v>
      </c>
      <c r="AY23" s="137">
        <f t="shared" si="9"/>
        <v>0.38900250999999997</v>
      </c>
      <c r="AZ23" s="137">
        <f t="shared" si="10"/>
        <v>1.037130115E-3</v>
      </c>
      <c r="BA23" s="137">
        <f t="shared" si="11"/>
        <v>1.6714252649999999</v>
      </c>
      <c r="BB23" s="137">
        <f t="shared" si="12"/>
        <v>0.49466770000000004</v>
      </c>
      <c r="BC23" s="137">
        <f t="shared" si="13"/>
        <v>0.33836313000000001</v>
      </c>
      <c r="BD23" s="137">
        <f t="shared" si="14"/>
        <v>8.9051043499999995E-4</v>
      </c>
      <c r="BE23" s="137">
        <f t="shared" si="15"/>
        <v>0.50717553999999998</v>
      </c>
      <c r="BF23" s="137">
        <f t="shared" si="16"/>
        <v>-4.7388644500000003E-4</v>
      </c>
      <c r="BG23" s="137">
        <f t="shared" si="17"/>
        <v>1.0615160600000002E-6</v>
      </c>
      <c r="BH23" s="137">
        <f t="shared" si="18"/>
        <v>8.9257335999999993E-3</v>
      </c>
      <c r="BI23" s="137">
        <f t="shared" si="19"/>
        <v>1.924231295E-2</v>
      </c>
      <c r="BJ23" s="137">
        <f t="shared" si="20"/>
        <v>1.8358295300000001E-2</v>
      </c>
      <c r="BK23" s="137">
        <f t="shared" si="21"/>
        <v>1.111047975E-3</v>
      </c>
      <c r="BL23" s="137">
        <f t="shared" si="22"/>
        <v>0.18899867400000001</v>
      </c>
      <c r="BM23" s="137">
        <f t="shared" si="23"/>
        <v>2.0228608249999998E-2</v>
      </c>
    </row>
    <row r="24" spans="1:65" x14ac:dyDescent="0.25">
      <c r="A24" s="149">
        <v>284</v>
      </c>
      <c r="B24" s="149">
        <v>43</v>
      </c>
      <c r="C24" s="61">
        <v>40.712775999999998</v>
      </c>
      <c r="D24" s="61">
        <v>-74.005954000000003</v>
      </c>
      <c r="E24" s="61" t="s">
        <v>265</v>
      </c>
      <c r="F24" s="149">
        <v>43</v>
      </c>
      <c r="G24" s="61" t="s">
        <v>565</v>
      </c>
      <c r="H24" s="61" t="s">
        <v>632</v>
      </c>
      <c r="I24" s="61">
        <v>40.689531000000002</v>
      </c>
      <c r="J24" s="61">
        <v>-74.174462000000005</v>
      </c>
      <c r="K24" s="61">
        <v>15.29610297</v>
      </c>
      <c r="L24" s="61">
        <v>21.715</v>
      </c>
      <c r="M24" s="61" t="s">
        <v>617</v>
      </c>
      <c r="N24" s="149">
        <v>42</v>
      </c>
      <c r="O24" s="149">
        <v>43</v>
      </c>
      <c r="P24" s="61" t="s">
        <v>565</v>
      </c>
      <c r="Q24" s="61" t="s">
        <v>555</v>
      </c>
      <c r="R24" s="61">
        <v>40.6895314</v>
      </c>
      <c r="S24" s="61">
        <v>-74.174462399999996</v>
      </c>
      <c r="T24" s="61">
        <v>21.715</v>
      </c>
      <c r="U24" s="61" t="s">
        <v>617</v>
      </c>
      <c r="V24" s="61" t="s">
        <v>617</v>
      </c>
      <c r="W24" s="61"/>
      <c r="Y24" s="137">
        <f>Summary_LCIA!H$32</f>
        <v>0.33979999999999999</v>
      </c>
      <c r="Z24" s="137">
        <f>Summary_LCIA!Q$32</f>
        <v>4.9560504329999997</v>
      </c>
      <c r="AA24" s="137">
        <f>Summary_LCIA!R$32</f>
        <v>5.2655999999999996E-3</v>
      </c>
      <c r="AB24" s="137">
        <f>Summary_LCIA!S$32</f>
        <v>0.33538000000000001</v>
      </c>
      <c r="AC24" s="137">
        <f>Summary_LCIA!T$32</f>
        <v>0.1099</v>
      </c>
      <c r="AD24" s="137">
        <f>Summary_LCIA!U$32</f>
        <v>1.7913999999999999E-2</v>
      </c>
      <c r="AE24" s="137">
        <f>Summary_LCIA!V$32</f>
        <v>4.7760999999999999E-5</v>
      </c>
      <c r="AF24" s="137">
        <f>Summary_LCIA!W$32</f>
        <v>7.6970999999999998E-2</v>
      </c>
      <c r="AG24" s="137">
        <f>Summary_LCIA!X$32</f>
        <v>2.2780000000000002E-2</v>
      </c>
      <c r="AH24" s="137">
        <f>Summary_LCIA!Y$32</f>
        <v>1.5582E-2</v>
      </c>
      <c r="AI24" s="137">
        <f>Summary_LCIA!Z$32</f>
        <v>4.1009E-5</v>
      </c>
      <c r="AJ24" s="137">
        <f>Summary_LCIA!AA$32</f>
        <v>2.3355999999999998E-2</v>
      </c>
      <c r="AK24" s="137">
        <f>Summary_LCIA!AB$32</f>
        <v>-2.1823000000000001E-5</v>
      </c>
      <c r="AL24" s="137">
        <f>Summary_LCIA!AC$32</f>
        <v>4.8884000000000003E-8</v>
      </c>
      <c r="AM24" s="137">
        <f>Summary_LCIA!AD$32</f>
        <v>4.1103999999999999E-4</v>
      </c>
      <c r="AN24" s="137">
        <f>Summary_LCIA!AE$32</f>
        <v>8.8612999999999995E-4</v>
      </c>
      <c r="AO24" s="137">
        <f>Summary_LCIA!AF$32</f>
        <v>8.4542000000000005E-4</v>
      </c>
      <c r="AP24" s="137">
        <f>Summary_LCIA!AG$32</f>
        <v>5.1165000000000002E-5</v>
      </c>
      <c r="AQ24" s="137">
        <f>Summary_LCIA!AH$32</f>
        <v>8.7036000000000006E-3</v>
      </c>
      <c r="AR24" s="137">
        <f>Summary_LCIA!AI$32</f>
        <v>9.3154999999999996E-4</v>
      </c>
      <c r="AT24" s="137">
        <f t="shared" si="4"/>
        <v>7.3787569999999993</v>
      </c>
      <c r="AU24" s="137">
        <f t="shared" si="5"/>
        <v>107.620635152595</v>
      </c>
      <c r="AV24" s="137">
        <f t="shared" si="6"/>
        <v>0.114342504</v>
      </c>
      <c r="AW24" s="137">
        <f t="shared" si="7"/>
        <v>7.2827767000000003</v>
      </c>
      <c r="AX24" s="137">
        <f t="shared" si="8"/>
        <v>2.3864784999999999</v>
      </c>
      <c r="AY24" s="137">
        <f t="shared" si="9"/>
        <v>0.38900250999999997</v>
      </c>
      <c r="AZ24" s="137">
        <f t="shared" si="10"/>
        <v>1.037130115E-3</v>
      </c>
      <c r="BA24" s="137">
        <f t="shared" si="11"/>
        <v>1.6714252649999999</v>
      </c>
      <c r="BB24" s="137">
        <f t="shared" si="12"/>
        <v>0.49466770000000004</v>
      </c>
      <c r="BC24" s="137">
        <f t="shared" si="13"/>
        <v>0.33836313000000001</v>
      </c>
      <c r="BD24" s="137">
        <f t="shared" si="14"/>
        <v>8.9051043499999995E-4</v>
      </c>
      <c r="BE24" s="137">
        <f t="shared" si="15"/>
        <v>0.50717553999999998</v>
      </c>
      <c r="BF24" s="137">
        <f t="shared" si="16"/>
        <v>-4.7388644500000003E-4</v>
      </c>
      <c r="BG24" s="137">
        <f t="shared" si="17"/>
        <v>1.0615160600000002E-6</v>
      </c>
      <c r="BH24" s="137">
        <f t="shared" si="18"/>
        <v>8.9257335999999993E-3</v>
      </c>
      <c r="BI24" s="137">
        <f t="shared" si="19"/>
        <v>1.924231295E-2</v>
      </c>
      <c r="BJ24" s="137">
        <f t="shared" si="20"/>
        <v>1.8358295300000001E-2</v>
      </c>
      <c r="BK24" s="137">
        <f t="shared" si="21"/>
        <v>1.111047975E-3</v>
      </c>
      <c r="BL24" s="137">
        <f t="shared" si="22"/>
        <v>0.18899867400000001</v>
      </c>
      <c r="BM24" s="137">
        <f t="shared" si="23"/>
        <v>2.0228608249999998E-2</v>
      </c>
    </row>
    <row r="25" spans="1:65" x14ac:dyDescent="0.25">
      <c r="A25" s="149">
        <v>285</v>
      </c>
      <c r="B25" s="149">
        <v>43</v>
      </c>
      <c r="C25" s="61">
        <v>40.712775000000001</v>
      </c>
      <c r="D25" s="61">
        <v>-74.005972999999997</v>
      </c>
      <c r="E25" s="61" t="s">
        <v>265</v>
      </c>
      <c r="F25" s="149">
        <v>43</v>
      </c>
      <c r="G25" s="61" t="s">
        <v>565</v>
      </c>
      <c r="H25" s="61" t="s">
        <v>632</v>
      </c>
      <c r="I25" s="61">
        <v>40.689531000000002</v>
      </c>
      <c r="J25" s="61">
        <v>-74.174462000000005</v>
      </c>
      <c r="K25" s="61">
        <v>15.294524689999999</v>
      </c>
      <c r="L25" s="61">
        <v>21.716000000000001</v>
      </c>
      <c r="M25" s="61" t="s">
        <v>617</v>
      </c>
      <c r="N25" s="149">
        <v>42</v>
      </c>
      <c r="O25" s="149">
        <v>43</v>
      </c>
      <c r="P25" s="61" t="s">
        <v>565</v>
      </c>
      <c r="Q25" s="61" t="s">
        <v>555</v>
      </c>
      <c r="R25" s="61">
        <v>40.6895314</v>
      </c>
      <c r="S25" s="61">
        <v>-74.174462399999996</v>
      </c>
      <c r="T25" s="61">
        <v>21.716999999999999</v>
      </c>
      <c r="U25" s="61" t="s">
        <v>617</v>
      </c>
      <c r="V25" s="61" t="s">
        <v>617</v>
      </c>
      <c r="W25" s="61"/>
      <c r="Y25" s="137">
        <f>Summary_LCIA!H$32</f>
        <v>0.33979999999999999</v>
      </c>
      <c r="Z25" s="137">
        <f>Summary_LCIA!Q$32</f>
        <v>4.9560504329999997</v>
      </c>
      <c r="AA25" s="137">
        <f>Summary_LCIA!R$32</f>
        <v>5.2655999999999996E-3</v>
      </c>
      <c r="AB25" s="137">
        <f>Summary_LCIA!S$32</f>
        <v>0.33538000000000001</v>
      </c>
      <c r="AC25" s="137">
        <f>Summary_LCIA!T$32</f>
        <v>0.1099</v>
      </c>
      <c r="AD25" s="137">
        <f>Summary_LCIA!U$32</f>
        <v>1.7913999999999999E-2</v>
      </c>
      <c r="AE25" s="137">
        <f>Summary_LCIA!V$32</f>
        <v>4.7760999999999999E-5</v>
      </c>
      <c r="AF25" s="137">
        <f>Summary_LCIA!W$32</f>
        <v>7.6970999999999998E-2</v>
      </c>
      <c r="AG25" s="137">
        <f>Summary_LCIA!X$32</f>
        <v>2.2780000000000002E-2</v>
      </c>
      <c r="AH25" s="137">
        <f>Summary_LCIA!Y$32</f>
        <v>1.5582E-2</v>
      </c>
      <c r="AI25" s="137">
        <f>Summary_LCIA!Z$32</f>
        <v>4.1009E-5</v>
      </c>
      <c r="AJ25" s="137">
        <f>Summary_LCIA!AA$32</f>
        <v>2.3355999999999998E-2</v>
      </c>
      <c r="AK25" s="137">
        <f>Summary_LCIA!AB$32</f>
        <v>-2.1823000000000001E-5</v>
      </c>
      <c r="AL25" s="137">
        <f>Summary_LCIA!AC$32</f>
        <v>4.8884000000000003E-8</v>
      </c>
      <c r="AM25" s="137">
        <f>Summary_LCIA!AD$32</f>
        <v>4.1103999999999999E-4</v>
      </c>
      <c r="AN25" s="137">
        <f>Summary_LCIA!AE$32</f>
        <v>8.8612999999999995E-4</v>
      </c>
      <c r="AO25" s="137">
        <f>Summary_LCIA!AF$32</f>
        <v>8.4542000000000005E-4</v>
      </c>
      <c r="AP25" s="137">
        <f>Summary_LCIA!AG$32</f>
        <v>5.1165000000000002E-5</v>
      </c>
      <c r="AQ25" s="137">
        <f>Summary_LCIA!AH$32</f>
        <v>8.7036000000000006E-3</v>
      </c>
      <c r="AR25" s="137">
        <f>Summary_LCIA!AI$32</f>
        <v>9.3154999999999996E-4</v>
      </c>
      <c r="AT25" s="137">
        <f t="shared" si="4"/>
        <v>7.3794365999999991</v>
      </c>
      <c r="AU25" s="137">
        <f t="shared" si="5"/>
        <v>107.63054725346099</v>
      </c>
      <c r="AV25" s="137">
        <f t="shared" si="6"/>
        <v>0.11435303519999998</v>
      </c>
      <c r="AW25" s="137">
        <f t="shared" si="7"/>
        <v>7.2834474599999997</v>
      </c>
      <c r="AX25" s="137">
        <f t="shared" si="8"/>
        <v>2.3866982999999999</v>
      </c>
      <c r="AY25" s="137">
        <f t="shared" si="9"/>
        <v>0.38903833799999998</v>
      </c>
      <c r="AZ25" s="137">
        <f t="shared" si="10"/>
        <v>1.037225637E-3</v>
      </c>
      <c r="BA25" s="137">
        <f t="shared" si="11"/>
        <v>1.671579207</v>
      </c>
      <c r="BB25" s="137">
        <f t="shared" si="12"/>
        <v>0.49471325999999999</v>
      </c>
      <c r="BC25" s="137">
        <f t="shared" si="13"/>
        <v>0.33839429399999998</v>
      </c>
      <c r="BD25" s="137">
        <f t="shared" si="14"/>
        <v>8.9059245299999998E-4</v>
      </c>
      <c r="BE25" s="137">
        <f t="shared" si="15"/>
        <v>0.50722225199999993</v>
      </c>
      <c r="BF25" s="137">
        <f t="shared" si="16"/>
        <v>-4.7393009099999997E-4</v>
      </c>
      <c r="BG25" s="137">
        <f t="shared" si="17"/>
        <v>1.0616138279999999E-6</v>
      </c>
      <c r="BH25" s="137">
        <f t="shared" si="18"/>
        <v>8.92655568E-3</v>
      </c>
      <c r="BI25" s="137">
        <f t="shared" si="19"/>
        <v>1.9244085209999998E-2</v>
      </c>
      <c r="BJ25" s="137">
        <f t="shared" si="20"/>
        <v>1.8359986139999999E-2</v>
      </c>
      <c r="BK25" s="137">
        <f t="shared" si="21"/>
        <v>1.1111503050000001E-3</v>
      </c>
      <c r="BL25" s="137">
        <f t="shared" si="22"/>
        <v>0.18901608119999999</v>
      </c>
      <c r="BM25" s="137">
        <f t="shared" si="23"/>
        <v>2.0230471349999998E-2</v>
      </c>
    </row>
    <row r="26" spans="1:65" x14ac:dyDescent="0.25">
      <c r="A26" s="149">
        <v>336</v>
      </c>
      <c r="B26" s="149">
        <v>29</v>
      </c>
      <c r="C26" s="61">
        <v>47.606209</v>
      </c>
      <c r="D26" s="61">
        <v>-122.332071</v>
      </c>
      <c r="E26" s="61" t="s">
        <v>265</v>
      </c>
      <c r="F26" s="149">
        <v>29</v>
      </c>
      <c r="G26" s="61" t="s">
        <v>565</v>
      </c>
      <c r="H26" s="61" t="s">
        <v>719</v>
      </c>
      <c r="I26" s="61">
        <v>47.450249999999997</v>
      </c>
      <c r="J26" s="61">
        <v>-122.308817</v>
      </c>
      <c r="K26" s="61">
        <v>34.697320689999998</v>
      </c>
      <c r="L26" s="61">
        <v>22.074999999999999</v>
      </c>
      <c r="M26" s="61" t="s">
        <v>617</v>
      </c>
      <c r="N26" s="149">
        <v>28</v>
      </c>
      <c r="O26" s="149">
        <v>29</v>
      </c>
      <c r="P26" s="61" t="s">
        <v>565</v>
      </c>
      <c r="Q26" s="61" t="s">
        <v>559</v>
      </c>
      <c r="R26" s="61">
        <v>47.450249900000003</v>
      </c>
      <c r="S26" s="61">
        <v>-122.30881650000001</v>
      </c>
      <c r="T26" s="61">
        <v>22.074999999999999</v>
      </c>
      <c r="U26" s="61" t="s">
        <v>617</v>
      </c>
      <c r="V26" s="61" t="s">
        <v>617</v>
      </c>
      <c r="W26" s="61"/>
      <c r="Y26" s="137">
        <f>Summary_LCIA!H$32</f>
        <v>0.33979999999999999</v>
      </c>
      <c r="Z26" s="137">
        <f>Summary_LCIA!Q$32</f>
        <v>4.9560504329999997</v>
      </c>
      <c r="AA26" s="137">
        <f>Summary_LCIA!R$32</f>
        <v>5.2655999999999996E-3</v>
      </c>
      <c r="AB26" s="137">
        <f>Summary_LCIA!S$32</f>
        <v>0.33538000000000001</v>
      </c>
      <c r="AC26" s="137">
        <f>Summary_LCIA!T$32</f>
        <v>0.1099</v>
      </c>
      <c r="AD26" s="137">
        <f>Summary_LCIA!U$32</f>
        <v>1.7913999999999999E-2</v>
      </c>
      <c r="AE26" s="137">
        <f>Summary_LCIA!V$32</f>
        <v>4.7760999999999999E-5</v>
      </c>
      <c r="AF26" s="137">
        <f>Summary_LCIA!W$32</f>
        <v>7.6970999999999998E-2</v>
      </c>
      <c r="AG26" s="137">
        <f>Summary_LCIA!X$32</f>
        <v>2.2780000000000002E-2</v>
      </c>
      <c r="AH26" s="137">
        <f>Summary_LCIA!Y$32</f>
        <v>1.5582E-2</v>
      </c>
      <c r="AI26" s="137">
        <f>Summary_LCIA!Z$32</f>
        <v>4.1009E-5</v>
      </c>
      <c r="AJ26" s="137">
        <f>Summary_LCIA!AA$32</f>
        <v>2.3355999999999998E-2</v>
      </c>
      <c r="AK26" s="137">
        <f>Summary_LCIA!AB$32</f>
        <v>-2.1823000000000001E-5</v>
      </c>
      <c r="AL26" s="137">
        <f>Summary_LCIA!AC$32</f>
        <v>4.8884000000000003E-8</v>
      </c>
      <c r="AM26" s="137">
        <f>Summary_LCIA!AD$32</f>
        <v>4.1103999999999999E-4</v>
      </c>
      <c r="AN26" s="137">
        <f>Summary_LCIA!AE$32</f>
        <v>8.8612999999999995E-4</v>
      </c>
      <c r="AO26" s="137">
        <f>Summary_LCIA!AF$32</f>
        <v>8.4542000000000005E-4</v>
      </c>
      <c r="AP26" s="137">
        <f>Summary_LCIA!AG$32</f>
        <v>5.1165000000000002E-5</v>
      </c>
      <c r="AQ26" s="137">
        <f>Summary_LCIA!AH$32</f>
        <v>8.7036000000000006E-3</v>
      </c>
      <c r="AR26" s="137">
        <f>Summary_LCIA!AI$32</f>
        <v>9.3154999999999996E-4</v>
      </c>
      <c r="AT26" s="137">
        <f t="shared" si="4"/>
        <v>7.5010849999999998</v>
      </c>
      <c r="AU26" s="137">
        <f t="shared" si="5"/>
        <v>109.40481330847498</v>
      </c>
      <c r="AV26" s="137">
        <f t="shared" si="6"/>
        <v>0.11623811999999999</v>
      </c>
      <c r="AW26" s="137">
        <f t="shared" si="7"/>
        <v>7.4035134999999999</v>
      </c>
      <c r="AX26" s="137">
        <f t="shared" si="8"/>
        <v>2.4260424999999999</v>
      </c>
      <c r="AY26" s="137">
        <f t="shared" si="9"/>
        <v>0.39545154999999999</v>
      </c>
      <c r="AZ26" s="137">
        <f t="shared" si="10"/>
        <v>1.0543240749999998E-3</v>
      </c>
      <c r="BA26" s="137">
        <f t="shared" si="11"/>
        <v>1.6991348249999998</v>
      </c>
      <c r="BB26" s="137">
        <f t="shared" si="12"/>
        <v>0.50286850000000005</v>
      </c>
      <c r="BC26" s="137">
        <f t="shared" si="13"/>
        <v>0.34397264999999999</v>
      </c>
      <c r="BD26" s="137">
        <f t="shared" si="14"/>
        <v>9.0527367499999996E-4</v>
      </c>
      <c r="BE26" s="137">
        <f t="shared" si="15"/>
        <v>0.51558369999999998</v>
      </c>
      <c r="BF26" s="137">
        <f t="shared" si="16"/>
        <v>-4.8174272499999999E-4</v>
      </c>
      <c r="BG26" s="137">
        <f t="shared" si="17"/>
        <v>1.0791143E-6</v>
      </c>
      <c r="BH26" s="137">
        <f t="shared" si="18"/>
        <v>9.0737079999999998E-3</v>
      </c>
      <c r="BI26" s="137">
        <f t="shared" si="19"/>
        <v>1.9561319749999997E-2</v>
      </c>
      <c r="BJ26" s="137">
        <f t="shared" si="20"/>
        <v>1.8662646500000001E-2</v>
      </c>
      <c r="BK26" s="137">
        <f t="shared" si="21"/>
        <v>1.1294673750000001E-3</v>
      </c>
      <c r="BL26" s="137">
        <f t="shared" si="22"/>
        <v>0.19213197000000001</v>
      </c>
      <c r="BM26" s="137">
        <f t="shared" si="23"/>
        <v>2.0563966249999999E-2</v>
      </c>
    </row>
    <row r="27" spans="1:65" x14ac:dyDescent="0.25">
      <c r="A27" s="149">
        <v>340</v>
      </c>
      <c r="B27" s="149">
        <v>29</v>
      </c>
      <c r="C27" s="61">
        <v>47.606209</v>
      </c>
      <c r="D27" s="61">
        <v>-122.332071</v>
      </c>
      <c r="E27" s="61" t="s">
        <v>265</v>
      </c>
      <c r="F27" s="149">
        <v>29</v>
      </c>
      <c r="G27" s="61" t="s">
        <v>565</v>
      </c>
      <c r="H27" s="61" t="s">
        <v>719</v>
      </c>
      <c r="I27" s="61">
        <v>47.450249999999997</v>
      </c>
      <c r="J27" s="61">
        <v>-122.308817</v>
      </c>
      <c r="K27" s="61">
        <v>34.697320689999998</v>
      </c>
      <c r="L27" s="61">
        <v>22.074999999999999</v>
      </c>
      <c r="M27" s="61" t="s">
        <v>617</v>
      </c>
      <c r="N27" s="149">
        <v>28</v>
      </c>
      <c r="O27" s="149">
        <v>29</v>
      </c>
      <c r="P27" s="61" t="s">
        <v>565</v>
      </c>
      <c r="Q27" s="61" t="s">
        <v>559</v>
      </c>
      <c r="R27" s="61">
        <v>47.450249900000003</v>
      </c>
      <c r="S27" s="61">
        <v>-122.30881650000001</v>
      </c>
      <c r="T27" s="61">
        <v>22.074999999999999</v>
      </c>
      <c r="U27" s="61" t="s">
        <v>617</v>
      </c>
      <c r="V27" s="61" t="s">
        <v>617</v>
      </c>
      <c r="W27" s="61"/>
      <c r="Y27" s="137">
        <f>Summary_LCIA!H$32</f>
        <v>0.33979999999999999</v>
      </c>
      <c r="Z27" s="137">
        <f>Summary_LCIA!Q$32</f>
        <v>4.9560504329999997</v>
      </c>
      <c r="AA27" s="137">
        <f>Summary_LCIA!R$32</f>
        <v>5.2655999999999996E-3</v>
      </c>
      <c r="AB27" s="137">
        <f>Summary_LCIA!S$32</f>
        <v>0.33538000000000001</v>
      </c>
      <c r="AC27" s="137">
        <f>Summary_LCIA!T$32</f>
        <v>0.1099</v>
      </c>
      <c r="AD27" s="137">
        <f>Summary_LCIA!U$32</f>
        <v>1.7913999999999999E-2</v>
      </c>
      <c r="AE27" s="137">
        <f>Summary_LCIA!V$32</f>
        <v>4.7760999999999999E-5</v>
      </c>
      <c r="AF27" s="137">
        <f>Summary_LCIA!W$32</f>
        <v>7.6970999999999998E-2</v>
      </c>
      <c r="AG27" s="137">
        <f>Summary_LCIA!X$32</f>
        <v>2.2780000000000002E-2</v>
      </c>
      <c r="AH27" s="137">
        <f>Summary_LCIA!Y$32</f>
        <v>1.5582E-2</v>
      </c>
      <c r="AI27" s="137">
        <f>Summary_LCIA!Z$32</f>
        <v>4.1009E-5</v>
      </c>
      <c r="AJ27" s="137">
        <f>Summary_LCIA!AA$32</f>
        <v>2.3355999999999998E-2</v>
      </c>
      <c r="AK27" s="137">
        <f>Summary_LCIA!AB$32</f>
        <v>-2.1823000000000001E-5</v>
      </c>
      <c r="AL27" s="137">
        <f>Summary_LCIA!AC$32</f>
        <v>4.8884000000000003E-8</v>
      </c>
      <c r="AM27" s="137">
        <f>Summary_LCIA!AD$32</f>
        <v>4.1103999999999999E-4</v>
      </c>
      <c r="AN27" s="137">
        <f>Summary_LCIA!AE$32</f>
        <v>8.8612999999999995E-4</v>
      </c>
      <c r="AO27" s="137">
        <f>Summary_LCIA!AF$32</f>
        <v>8.4542000000000005E-4</v>
      </c>
      <c r="AP27" s="137">
        <f>Summary_LCIA!AG$32</f>
        <v>5.1165000000000002E-5</v>
      </c>
      <c r="AQ27" s="137">
        <f>Summary_LCIA!AH$32</f>
        <v>8.7036000000000006E-3</v>
      </c>
      <c r="AR27" s="137">
        <f>Summary_LCIA!AI$32</f>
        <v>9.3154999999999996E-4</v>
      </c>
      <c r="AT27" s="137">
        <f t="shared" si="4"/>
        <v>7.5010849999999998</v>
      </c>
      <c r="AU27" s="137">
        <f t="shared" si="5"/>
        <v>109.40481330847498</v>
      </c>
      <c r="AV27" s="137">
        <f t="shared" si="6"/>
        <v>0.11623811999999999</v>
      </c>
      <c r="AW27" s="137">
        <f t="shared" si="7"/>
        <v>7.4035134999999999</v>
      </c>
      <c r="AX27" s="137">
        <f t="shared" si="8"/>
        <v>2.4260424999999999</v>
      </c>
      <c r="AY27" s="137">
        <f t="shared" si="9"/>
        <v>0.39545154999999999</v>
      </c>
      <c r="AZ27" s="137">
        <f t="shared" si="10"/>
        <v>1.0543240749999998E-3</v>
      </c>
      <c r="BA27" s="137">
        <f t="shared" si="11"/>
        <v>1.6991348249999998</v>
      </c>
      <c r="BB27" s="137">
        <f t="shared" si="12"/>
        <v>0.50286850000000005</v>
      </c>
      <c r="BC27" s="137">
        <f t="shared" si="13"/>
        <v>0.34397264999999999</v>
      </c>
      <c r="BD27" s="137">
        <f t="shared" si="14"/>
        <v>9.0527367499999996E-4</v>
      </c>
      <c r="BE27" s="137">
        <f t="shared" si="15"/>
        <v>0.51558369999999998</v>
      </c>
      <c r="BF27" s="137">
        <f t="shared" si="16"/>
        <v>-4.8174272499999999E-4</v>
      </c>
      <c r="BG27" s="137">
        <f t="shared" si="17"/>
        <v>1.0791143E-6</v>
      </c>
      <c r="BH27" s="137">
        <f t="shared" si="18"/>
        <v>9.0737079999999998E-3</v>
      </c>
      <c r="BI27" s="137">
        <f t="shared" si="19"/>
        <v>1.9561319749999997E-2</v>
      </c>
      <c r="BJ27" s="137">
        <f t="shared" si="20"/>
        <v>1.8662646500000001E-2</v>
      </c>
      <c r="BK27" s="137">
        <f t="shared" si="21"/>
        <v>1.1294673750000001E-3</v>
      </c>
      <c r="BL27" s="137">
        <f t="shared" si="22"/>
        <v>0.19213197000000001</v>
      </c>
      <c r="BM27" s="137">
        <f t="shared" si="23"/>
        <v>2.0563966249999999E-2</v>
      </c>
    </row>
    <row r="28" spans="1:65" x14ac:dyDescent="0.25">
      <c r="A28" s="149">
        <v>341</v>
      </c>
      <c r="B28" s="149">
        <v>29</v>
      </c>
      <c r="C28" s="61">
        <v>47.606209</v>
      </c>
      <c r="D28" s="61">
        <v>-122.332071</v>
      </c>
      <c r="E28" s="61" t="s">
        <v>265</v>
      </c>
      <c r="F28" s="149">
        <v>29</v>
      </c>
      <c r="G28" s="61" t="s">
        <v>565</v>
      </c>
      <c r="H28" s="61" t="s">
        <v>719</v>
      </c>
      <c r="I28" s="61">
        <v>47.450249999999997</v>
      </c>
      <c r="J28" s="61">
        <v>-122.308817</v>
      </c>
      <c r="K28" s="61">
        <v>34.697320689999998</v>
      </c>
      <c r="L28" s="61">
        <v>22.074999999999999</v>
      </c>
      <c r="M28" s="61" t="s">
        <v>617</v>
      </c>
      <c r="N28" s="149">
        <v>28</v>
      </c>
      <c r="O28" s="149">
        <v>29</v>
      </c>
      <c r="P28" s="61" t="s">
        <v>565</v>
      </c>
      <c r="Q28" s="61" t="s">
        <v>559</v>
      </c>
      <c r="R28" s="61">
        <v>47.450249900000003</v>
      </c>
      <c r="S28" s="61">
        <v>-122.30881650000001</v>
      </c>
      <c r="T28" s="61">
        <v>22.074999999999999</v>
      </c>
      <c r="U28" s="61" t="s">
        <v>617</v>
      </c>
      <c r="V28" s="61" t="s">
        <v>617</v>
      </c>
      <c r="W28" s="61"/>
      <c r="Y28" s="137">
        <f>Summary_LCIA!H$32</f>
        <v>0.33979999999999999</v>
      </c>
      <c r="Z28" s="137">
        <f>Summary_LCIA!Q$32</f>
        <v>4.9560504329999997</v>
      </c>
      <c r="AA28" s="137">
        <f>Summary_LCIA!R$32</f>
        <v>5.2655999999999996E-3</v>
      </c>
      <c r="AB28" s="137">
        <f>Summary_LCIA!S$32</f>
        <v>0.33538000000000001</v>
      </c>
      <c r="AC28" s="137">
        <f>Summary_LCIA!T$32</f>
        <v>0.1099</v>
      </c>
      <c r="AD28" s="137">
        <f>Summary_LCIA!U$32</f>
        <v>1.7913999999999999E-2</v>
      </c>
      <c r="AE28" s="137">
        <f>Summary_LCIA!V$32</f>
        <v>4.7760999999999999E-5</v>
      </c>
      <c r="AF28" s="137">
        <f>Summary_LCIA!W$32</f>
        <v>7.6970999999999998E-2</v>
      </c>
      <c r="AG28" s="137">
        <f>Summary_LCIA!X$32</f>
        <v>2.2780000000000002E-2</v>
      </c>
      <c r="AH28" s="137">
        <f>Summary_LCIA!Y$32</f>
        <v>1.5582E-2</v>
      </c>
      <c r="AI28" s="137">
        <f>Summary_LCIA!Z$32</f>
        <v>4.1009E-5</v>
      </c>
      <c r="AJ28" s="137">
        <f>Summary_LCIA!AA$32</f>
        <v>2.3355999999999998E-2</v>
      </c>
      <c r="AK28" s="137">
        <f>Summary_LCIA!AB$32</f>
        <v>-2.1823000000000001E-5</v>
      </c>
      <c r="AL28" s="137">
        <f>Summary_LCIA!AC$32</f>
        <v>4.8884000000000003E-8</v>
      </c>
      <c r="AM28" s="137">
        <f>Summary_LCIA!AD$32</f>
        <v>4.1103999999999999E-4</v>
      </c>
      <c r="AN28" s="137">
        <f>Summary_LCIA!AE$32</f>
        <v>8.8612999999999995E-4</v>
      </c>
      <c r="AO28" s="137">
        <f>Summary_LCIA!AF$32</f>
        <v>8.4542000000000005E-4</v>
      </c>
      <c r="AP28" s="137">
        <f>Summary_LCIA!AG$32</f>
        <v>5.1165000000000002E-5</v>
      </c>
      <c r="AQ28" s="137">
        <f>Summary_LCIA!AH$32</f>
        <v>8.7036000000000006E-3</v>
      </c>
      <c r="AR28" s="137">
        <f>Summary_LCIA!AI$32</f>
        <v>9.3154999999999996E-4</v>
      </c>
      <c r="AT28" s="137">
        <f t="shared" si="4"/>
        <v>7.5010849999999998</v>
      </c>
      <c r="AU28" s="137">
        <f t="shared" si="5"/>
        <v>109.40481330847498</v>
      </c>
      <c r="AV28" s="137">
        <f t="shared" si="6"/>
        <v>0.11623811999999999</v>
      </c>
      <c r="AW28" s="137">
        <f t="shared" si="7"/>
        <v>7.4035134999999999</v>
      </c>
      <c r="AX28" s="137">
        <f t="shared" si="8"/>
        <v>2.4260424999999999</v>
      </c>
      <c r="AY28" s="137">
        <f t="shared" si="9"/>
        <v>0.39545154999999999</v>
      </c>
      <c r="AZ28" s="137">
        <f t="shared" si="10"/>
        <v>1.0543240749999998E-3</v>
      </c>
      <c r="BA28" s="137">
        <f t="shared" si="11"/>
        <v>1.6991348249999998</v>
      </c>
      <c r="BB28" s="137">
        <f t="shared" si="12"/>
        <v>0.50286850000000005</v>
      </c>
      <c r="BC28" s="137">
        <f t="shared" si="13"/>
        <v>0.34397264999999999</v>
      </c>
      <c r="BD28" s="137">
        <f t="shared" si="14"/>
        <v>9.0527367499999996E-4</v>
      </c>
      <c r="BE28" s="137">
        <f t="shared" si="15"/>
        <v>0.51558369999999998</v>
      </c>
      <c r="BF28" s="137">
        <f t="shared" si="16"/>
        <v>-4.8174272499999999E-4</v>
      </c>
      <c r="BG28" s="137">
        <f t="shared" si="17"/>
        <v>1.0791143E-6</v>
      </c>
      <c r="BH28" s="137">
        <f t="shared" si="18"/>
        <v>9.0737079999999998E-3</v>
      </c>
      <c r="BI28" s="137">
        <f t="shared" si="19"/>
        <v>1.9561319749999997E-2</v>
      </c>
      <c r="BJ28" s="137">
        <f t="shared" si="20"/>
        <v>1.8662646500000001E-2</v>
      </c>
      <c r="BK28" s="137">
        <f t="shared" si="21"/>
        <v>1.1294673750000001E-3</v>
      </c>
      <c r="BL28" s="137">
        <f t="shared" si="22"/>
        <v>0.19213197000000001</v>
      </c>
      <c r="BM28" s="137">
        <f t="shared" si="23"/>
        <v>2.0563966249999999E-2</v>
      </c>
    </row>
    <row r="29" spans="1:65" x14ac:dyDescent="0.25">
      <c r="A29" s="149">
        <v>342</v>
      </c>
      <c r="B29" s="149">
        <v>29</v>
      </c>
      <c r="C29" s="61">
        <v>47.606209</v>
      </c>
      <c r="D29" s="61">
        <v>-122.332071</v>
      </c>
      <c r="E29" s="61" t="s">
        <v>265</v>
      </c>
      <c r="F29" s="149">
        <v>29</v>
      </c>
      <c r="G29" s="61" t="s">
        <v>565</v>
      </c>
      <c r="H29" s="61" t="s">
        <v>719</v>
      </c>
      <c r="I29" s="61">
        <v>47.450249999999997</v>
      </c>
      <c r="J29" s="61">
        <v>-122.308817</v>
      </c>
      <c r="K29" s="61">
        <v>34.697320689999998</v>
      </c>
      <c r="L29" s="61">
        <v>22.074999999999999</v>
      </c>
      <c r="M29" s="61" t="s">
        <v>617</v>
      </c>
      <c r="N29" s="149">
        <v>28</v>
      </c>
      <c r="O29" s="149">
        <v>29</v>
      </c>
      <c r="P29" s="61" t="s">
        <v>565</v>
      </c>
      <c r="Q29" s="61" t="s">
        <v>559</v>
      </c>
      <c r="R29" s="61">
        <v>47.450249900000003</v>
      </c>
      <c r="S29" s="61">
        <v>-122.30881650000001</v>
      </c>
      <c r="T29" s="61">
        <v>22.074999999999999</v>
      </c>
      <c r="U29" s="61" t="s">
        <v>617</v>
      </c>
      <c r="V29" s="61" t="s">
        <v>617</v>
      </c>
      <c r="W29" s="61"/>
      <c r="Y29" s="137">
        <f>Summary_LCIA!H$32</f>
        <v>0.33979999999999999</v>
      </c>
      <c r="Z29" s="137">
        <f>Summary_LCIA!Q$32</f>
        <v>4.9560504329999997</v>
      </c>
      <c r="AA29" s="137">
        <f>Summary_LCIA!R$32</f>
        <v>5.2655999999999996E-3</v>
      </c>
      <c r="AB29" s="137">
        <f>Summary_LCIA!S$32</f>
        <v>0.33538000000000001</v>
      </c>
      <c r="AC29" s="137">
        <f>Summary_LCIA!T$32</f>
        <v>0.1099</v>
      </c>
      <c r="AD29" s="137">
        <f>Summary_LCIA!U$32</f>
        <v>1.7913999999999999E-2</v>
      </c>
      <c r="AE29" s="137">
        <f>Summary_LCIA!V$32</f>
        <v>4.7760999999999999E-5</v>
      </c>
      <c r="AF29" s="137">
        <f>Summary_LCIA!W$32</f>
        <v>7.6970999999999998E-2</v>
      </c>
      <c r="AG29" s="137">
        <f>Summary_LCIA!X$32</f>
        <v>2.2780000000000002E-2</v>
      </c>
      <c r="AH29" s="137">
        <f>Summary_LCIA!Y$32</f>
        <v>1.5582E-2</v>
      </c>
      <c r="AI29" s="137">
        <f>Summary_LCIA!Z$32</f>
        <v>4.1009E-5</v>
      </c>
      <c r="AJ29" s="137">
        <f>Summary_LCIA!AA$32</f>
        <v>2.3355999999999998E-2</v>
      </c>
      <c r="AK29" s="137">
        <f>Summary_LCIA!AB$32</f>
        <v>-2.1823000000000001E-5</v>
      </c>
      <c r="AL29" s="137">
        <f>Summary_LCIA!AC$32</f>
        <v>4.8884000000000003E-8</v>
      </c>
      <c r="AM29" s="137">
        <f>Summary_LCIA!AD$32</f>
        <v>4.1103999999999999E-4</v>
      </c>
      <c r="AN29" s="137">
        <f>Summary_LCIA!AE$32</f>
        <v>8.8612999999999995E-4</v>
      </c>
      <c r="AO29" s="137">
        <f>Summary_LCIA!AF$32</f>
        <v>8.4542000000000005E-4</v>
      </c>
      <c r="AP29" s="137">
        <f>Summary_LCIA!AG$32</f>
        <v>5.1165000000000002E-5</v>
      </c>
      <c r="AQ29" s="137">
        <f>Summary_LCIA!AH$32</f>
        <v>8.7036000000000006E-3</v>
      </c>
      <c r="AR29" s="137">
        <f>Summary_LCIA!AI$32</f>
        <v>9.3154999999999996E-4</v>
      </c>
      <c r="AT29" s="137">
        <f t="shared" si="4"/>
        <v>7.5010849999999998</v>
      </c>
      <c r="AU29" s="137">
        <f t="shared" si="5"/>
        <v>109.40481330847498</v>
      </c>
      <c r="AV29" s="137">
        <f t="shared" si="6"/>
        <v>0.11623811999999999</v>
      </c>
      <c r="AW29" s="137">
        <f t="shared" si="7"/>
        <v>7.4035134999999999</v>
      </c>
      <c r="AX29" s="137">
        <f t="shared" si="8"/>
        <v>2.4260424999999999</v>
      </c>
      <c r="AY29" s="137">
        <f t="shared" si="9"/>
        <v>0.39545154999999999</v>
      </c>
      <c r="AZ29" s="137">
        <f t="shared" si="10"/>
        <v>1.0543240749999998E-3</v>
      </c>
      <c r="BA29" s="137">
        <f t="shared" si="11"/>
        <v>1.6991348249999998</v>
      </c>
      <c r="BB29" s="137">
        <f t="shared" si="12"/>
        <v>0.50286850000000005</v>
      </c>
      <c r="BC29" s="137">
        <f t="shared" si="13"/>
        <v>0.34397264999999999</v>
      </c>
      <c r="BD29" s="137">
        <f t="shared" si="14"/>
        <v>9.0527367499999996E-4</v>
      </c>
      <c r="BE29" s="137">
        <f t="shared" si="15"/>
        <v>0.51558369999999998</v>
      </c>
      <c r="BF29" s="137">
        <f t="shared" si="16"/>
        <v>-4.8174272499999999E-4</v>
      </c>
      <c r="BG29" s="137">
        <f t="shared" si="17"/>
        <v>1.0791143E-6</v>
      </c>
      <c r="BH29" s="137">
        <f t="shared" si="18"/>
        <v>9.0737079999999998E-3</v>
      </c>
      <c r="BI29" s="137">
        <f t="shared" si="19"/>
        <v>1.9561319749999997E-2</v>
      </c>
      <c r="BJ29" s="137">
        <f t="shared" si="20"/>
        <v>1.8662646500000001E-2</v>
      </c>
      <c r="BK29" s="137">
        <f t="shared" si="21"/>
        <v>1.1294673750000001E-3</v>
      </c>
      <c r="BL29" s="137">
        <f t="shared" si="22"/>
        <v>0.19213197000000001</v>
      </c>
      <c r="BM29" s="137">
        <f t="shared" si="23"/>
        <v>2.0563966249999999E-2</v>
      </c>
    </row>
    <row r="30" spans="1:65" x14ac:dyDescent="0.25">
      <c r="A30" s="149">
        <v>343</v>
      </c>
      <c r="B30" s="149">
        <v>29</v>
      </c>
      <c r="C30" s="61">
        <v>47.606209</v>
      </c>
      <c r="D30" s="61">
        <v>-122.332071</v>
      </c>
      <c r="E30" s="61" t="s">
        <v>265</v>
      </c>
      <c r="F30" s="149">
        <v>29</v>
      </c>
      <c r="G30" s="61" t="s">
        <v>565</v>
      </c>
      <c r="H30" s="61" t="s">
        <v>719</v>
      </c>
      <c r="I30" s="61">
        <v>47.450249999999997</v>
      </c>
      <c r="J30" s="61">
        <v>-122.308817</v>
      </c>
      <c r="K30" s="61">
        <v>34.697320689999998</v>
      </c>
      <c r="L30" s="61">
        <v>22.074999999999999</v>
      </c>
      <c r="M30" s="61" t="s">
        <v>617</v>
      </c>
      <c r="N30" s="149">
        <v>28</v>
      </c>
      <c r="O30" s="149">
        <v>29</v>
      </c>
      <c r="P30" s="61" t="s">
        <v>565</v>
      </c>
      <c r="Q30" s="61" t="s">
        <v>559</v>
      </c>
      <c r="R30" s="61">
        <v>47.450249900000003</v>
      </c>
      <c r="S30" s="61">
        <v>-122.30881650000001</v>
      </c>
      <c r="T30" s="61">
        <v>22.074999999999999</v>
      </c>
      <c r="U30" s="61" t="s">
        <v>617</v>
      </c>
      <c r="V30" s="61" t="s">
        <v>617</v>
      </c>
      <c r="W30" s="61"/>
      <c r="Y30" s="137">
        <f>Summary_LCIA!H$32</f>
        <v>0.33979999999999999</v>
      </c>
      <c r="Z30" s="137">
        <f>Summary_LCIA!Q$32</f>
        <v>4.9560504329999997</v>
      </c>
      <c r="AA30" s="137">
        <f>Summary_LCIA!R$32</f>
        <v>5.2655999999999996E-3</v>
      </c>
      <c r="AB30" s="137">
        <f>Summary_LCIA!S$32</f>
        <v>0.33538000000000001</v>
      </c>
      <c r="AC30" s="137">
        <f>Summary_LCIA!T$32</f>
        <v>0.1099</v>
      </c>
      <c r="AD30" s="137">
        <f>Summary_LCIA!U$32</f>
        <v>1.7913999999999999E-2</v>
      </c>
      <c r="AE30" s="137">
        <f>Summary_LCIA!V$32</f>
        <v>4.7760999999999999E-5</v>
      </c>
      <c r="AF30" s="137">
        <f>Summary_LCIA!W$32</f>
        <v>7.6970999999999998E-2</v>
      </c>
      <c r="AG30" s="137">
        <f>Summary_LCIA!X$32</f>
        <v>2.2780000000000002E-2</v>
      </c>
      <c r="AH30" s="137">
        <f>Summary_LCIA!Y$32</f>
        <v>1.5582E-2</v>
      </c>
      <c r="AI30" s="137">
        <f>Summary_LCIA!Z$32</f>
        <v>4.1009E-5</v>
      </c>
      <c r="AJ30" s="137">
        <f>Summary_LCIA!AA$32</f>
        <v>2.3355999999999998E-2</v>
      </c>
      <c r="AK30" s="137">
        <f>Summary_LCIA!AB$32</f>
        <v>-2.1823000000000001E-5</v>
      </c>
      <c r="AL30" s="137">
        <f>Summary_LCIA!AC$32</f>
        <v>4.8884000000000003E-8</v>
      </c>
      <c r="AM30" s="137">
        <f>Summary_LCIA!AD$32</f>
        <v>4.1103999999999999E-4</v>
      </c>
      <c r="AN30" s="137">
        <f>Summary_LCIA!AE$32</f>
        <v>8.8612999999999995E-4</v>
      </c>
      <c r="AO30" s="137">
        <f>Summary_LCIA!AF$32</f>
        <v>8.4542000000000005E-4</v>
      </c>
      <c r="AP30" s="137">
        <f>Summary_LCIA!AG$32</f>
        <v>5.1165000000000002E-5</v>
      </c>
      <c r="AQ30" s="137">
        <f>Summary_LCIA!AH$32</f>
        <v>8.7036000000000006E-3</v>
      </c>
      <c r="AR30" s="137">
        <f>Summary_LCIA!AI$32</f>
        <v>9.3154999999999996E-4</v>
      </c>
      <c r="AT30" s="137">
        <f t="shared" si="4"/>
        <v>7.5010849999999998</v>
      </c>
      <c r="AU30" s="137">
        <f t="shared" si="5"/>
        <v>109.40481330847498</v>
      </c>
      <c r="AV30" s="137">
        <f t="shared" si="6"/>
        <v>0.11623811999999999</v>
      </c>
      <c r="AW30" s="137">
        <f t="shared" si="7"/>
        <v>7.4035134999999999</v>
      </c>
      <c r="AX30" s="137">
        <f t="shared" si="8"/>
        <v>2.4260424999999999</v>
      </c>
      <c r="AY30" s="137">
        <f t="shared" si="9"/>
        <v>0.39545154999999999</v>
      </c>
      <c r="AZ30" s="137">
        <f t="shared" si="10"/>
        <v>1.0543240749999998E-3</v>
      </c>
      <c r="BA30" s="137">
        <f t="shared" si="11"/>
        <v>1.6991348249999998</v>
      </c>
      <c r="BB30" s="137">
        <f t="shared" si="12"/>
        <v>0.50286850000000005</v>
      </c>
      <c r="BC30" s="137">
        <f t="shared" si="13"/>
        <v>0.34397264999999999</v>
      </c>
      <c r="BD30" s="137">
        <f t="shared" si="14"/>
        <v>9.0527367499999996E-4</v>
      </c>
      <c r="BE30" s="137">
        <f t="shared" si="15"/>
        <v>0.51558369999999998</v>
      </c>
      <c r="BF30" s="137">
        <f t="shared" si="16"/>
        <v>-4.8174272499999999E-4</v>
      </c>
      <c r="BG30" s="137">
        <f t="shared" si="17"/>
        <v>1.0791143E-6</v>
      </c>
      <c r="BH30" s="137">
        <f t="shared" si="18"/>
        <v>9.0737079999999998E-3</v>
      </c>
      <c r="BI30" s="137">
        <f t="shared" si="19"/>
        <v>1.9561319749999997E-2</v>
      </c>
      <c r="BJ30" s="137">
        <f t="shared" si="20"/>
        <v>1.8662646500000001E-2</v>
      </c>
      <c r="BK30" s="137">
        <f t="shared" si="21"/>
        <v>1.1294673750000001E-3</v>
      </c>
      <c r="BL30" s="137">
        <f t="shared" si="22"/>
        <v>0.19213197000000001</v>
      </c>
      <c r="BM30" s="137">
        <f t="shared" si="23"/>
        <v>2.0563966249999999E-2</v>
      </c>
    </row>
    <row r="31" spans="1:65" x14ac:dyDescent="0.25">
      <c r="A31" s="149">
        <v>358</v>
      </c>
      <c r="B31" s="149">
        <v>1</v>
      </c>
      <c r="C31" s="61">
        <v>33.812429000000002</v>
      </c>
      <c r="D31" s="61">
        <v>-84.420958999999996</v>
      </c>
      <c r="E31" s="61" t="s">
        <v>265</v>
      </c>
      <c r="F31" s="149">
        <v>1</v>
      </c>
      <c r="G31" s="61" t="s">
        <v>565</v>
      </c>
      <c r="H31" s="61" t="s">
        <v>681</v>
      </c>
      <c r="I31" s="61">
        <v>33.640728000000003</v>
      </c>
      <c r="J31" s="61">
        <v>-84.427700000000002</v>
      </c>
      <c r="K31" s="61">
        <v>28.524966559999999</v>
      </c>
      <c r="L31" s="61">
        <v>24.202000000000002</v>
      </c>
      <c r="M31" s="61" t="s">
        <v>617</v>
      </c>
      <c r="N31" s="149">
        <v>0</v>
      </c>
      <c r="O31" s="149">
        <v>1</v>
      </c>
      <c r="P31" s="61" t="s">
        <v>565</v>
      </c>
      <c r="Q31" s="61" t="s">
        <v>558</v>
      </c>
      <c r="R31" s="61">
        <v>33.640728199999998</v>
      </c>
      <c r="S31" s="61">
        <v>-84.427700099999996</v>
      </c>
      <c r="T31" s="61">
        <v>24.175999999999998</v>
      </c>
      <c r="U31" s="61" t="s">
        <v>617</v>
      </c>
      <c r="V31" s="61" t="s">
        <v>617</v>
      </c>
      <c r="W31" s="61"/>
      <c r="Y31" s="137">
        <f>Summary_LCIA!H$32</f>
        <v>0.33979999999999999</v>
      </c>
      <c r="Z31" s="137">
        <f>Summary_LCIA!Q$32</f>
        <v>4.9560504329999997</v>
      </c>
      <c r="AA31" s="137">
        <f>Summary_LCIA!R$32</f>
        <v>5.2655999999999996E-3</v>
      </c>
      <c r="AB31" s="137">
        <f>Summary_LCIA!S$32</f>
        <v>0.33538000000000001</v>
      </c>
      <c r="AC31" s="137">
        <f>Summary_LCIA!T$32</f>
        <v>0.1099</v>
      </c>
      <c r="AD31" s="137">
        <f>Summary_LCIA!U$32</f>
        <v>1.7913999999999999E-2</v>
      </c>
      <c r="AE31" s="137">
        <f>Summary_LCIA!V$32</f>
        <v>4.7760999999999999E-5</v>
      </c>
      <c r="AF31" s="137">
        <f>Summary_LCIA!W$32</f>
        <v>7.6970999999999998E-2</v>
      </c>
      <c r="AG31" s="137">
        <f>Summary_LCIA!X$32</f>
        <v>2.2780000000000002E-2</v>
      </c>
      <c r="AH31" s="137">
        <f>Summary_LCIA!Y$32</f>
        <v>1.5582E-2</v>
      </c>
      <c r="AI31" s="137">
        <f>Summary_LCIA!Z$32</f>
        <v>4.1009E-5</v>
      </c>
      <c r="AJ31" s="137">
        <f>Summary_LCIA!AA$32</f>
        <v>2.3355999999999998E-2</v>
      </c>
      <c r="AK31" s="137">
        <f>Summary_LCIA!AB$32</f>
        <v>-2.1823000000000001E-5</v>
      </c>
      <c r="AL31" s="137">
        <f>Summary_LCIA!AC$32</f>
        <v>4.8884000000000003E-8</v>
      </c>
      <c r="AM31" s="137">
        <f>Summary_LCIA!AD$32</f>
        <v>4.1103999999999999E-4</v>
      </c>
      <c r="AN31" s="137">
        <f>Summary_LCIA!AE$32</f>
        <v>8.8612999999999995E-4</v>
      </c>
      <c r="AO31" s="137">
        <f>Summary_LCIA!AF$32</f>
        <v>8.4542000000000005E-4</v>
      </c>
      <c r="AP31" s="137">
        <f>Summary_LCIA!AG$32</f>
        <v>5.1165000000000002E-5</v>
      </c>
      <c r="AQ31" s="137">
        <f>Summary_LCIA!AH$32</f>
        <v>8.7036000000000006E-3</v>
      </c>
      <c r="AR31" s="137">
        <f>Summary_LCIA!AI$32</f>
        <v>9.3154999999999996E-4</v>
      </c>
      <c r="AT31" s="137">
        <f t="shared" si="4"/>
        <v>8.2150047999999991</v>
      </c>
      <c r="AU31" s="137">
        <f t="shared" si="5"/>
        <v>119.81747526820799</v>
      </c>
      <c r="AV31" s="137">
        <f t="shared" si="6"/>
        <v>0.12730114559999997</v>
      </c>
      <c r="AW31" s="137">
        <f t="shared" si="7"/>
        <v>8.1081468799999996</v>
      </c>
      <c r="AX31" s="137">
        <f t="shared" si="8"/>
        <v>2.6569423999999997</v>
      </c>
      <c r="AY31" s="137">
        <f t="shared" si="9"/>
        <v>0.43308886399999996</v>
      </c>
      <c r="AZ31" s="137">
        <f t="shared" si="10"/>
        <v>1.1546699359999998E-3</v>
      </c>
      <c r="BA31" s="137">
        <f t="shared" si="11"/>
        <v>1.8608508959999999</v>
      </c>
      <c r="BB31" s="137">
        <f t="shared" si="12"/>
        <v>0.55072927999999999</v>
      </c>
      <c r="BC31" s="137">
        <f t="shared" si="13"/>
        <v>0.37671043199999998</v>
      </c>
      <c r="BD31" s="137">
        <f t="shared" si="14"/>
        <v>9.9143358399999995E-4</v>
      </c>
      <c r="BE31" s="137">
        <f t="shared" si="15"/>
        <v>0.56465465599999987</v>
      </c>
      <c r="BF31" s="137">
        <f t="shared" si="16"/>
        <v>-5.2759284799999999E-4</v>
      </c>
      <c r="BG31" s="137">
        <f t="shared" si="17"/>
        <v>1.181819584E-6</v>
      </c>
      <c r="BH31" s="137">
        <f t="shared" si="18"/>
        <v>9.9373030399999996E-3</v>
      </c>
      <c r="BI31" s="137">
        <f t="shared" si="19"/>
        <v>2.1423078879999998E-2</v>
      </c>
      <c r="BJ31" s="137">
        <f t="shared" si="20"/>
        <v>2.043887392E-2</v>
      </c>
      <c r="BK31" s="137">
        <f t="shared" si="21"/>
        <v>1.2369650399999999E-3</v>
      </c>
      <c r="BL31" s="137">
        <f t="shared" si="22"/>
        <v>0.2104182336</v>
      </c>
      <c r="BM31" s="137">
        <f t="shared" si="23"/>
        <v>2.2521152799999996E-2</v>
      </c>
    </row>
    <row r="32" spans="1:65" x14ac:dyDescent="0.25">
      <c r="A32" s="149">
        <v>359</v>
      </c>
      <c r="B32" s="149">
        <v>1</v>
      </c>
      <c r="C32" s="61">
        <v>33.812429000000002</v>
      </c>
      <c r="D32" s="61">
        <v>-84.420958999999996</v>
      </c>
      <c r="E32" s="61" t="s">
        <v>265</v>
      </c>
      <c r="F32" s="149">
        <v>1</v>
      </c>
      <c r="G32" s="61" t="s">
        <v>565</v>
      </c>
      <c r="H32" s="61" t="s">
        <v>681</v>
      </c>
      <c r="I32" s="61">
        <v>33.640728000000003</v>
      </c>
      <c r="J32" s="61">
        <v>-84.427700000000002</v>
      </c>
      <c r="K32" s="61">
        <v>28.524966559999999</v>
      </c>
      <c r="L32" s="61">
        <v>24.202000000000002</v>
      </c>
      <c r="M32" s="61" t="s">
        <v>617</v>
      </c>
      <c r="N32" s="149">
        <v>0</v>
      </c>
      <c r="O32" s="149">
        <v>1</v>
      </c>
      <c r="P32" s="61" t="s">
        <v>565</v>
      </c>
      <c r="Q32" s="61" t="s">
        <v>558</v>
      </c>
      <c r="R32" s="61">
        <v>33.640728199999998</v>
      </c>
      <c r="S32" s="61">
        <v>-84.427700099999996</v>
      </c>
      <c r="T32" s="61">
        <v>24.175999999999998</v>
      </c>
      <c r="U32" s="61" t="s">
        <v>617</v>
      </c>
      <c r="V32" s="61" t="s">
        <v>617</v>
      </c>
      <c r="W32" s="61"/>
      <c r="Y32" s="137">
        <f>Summary_LCIA!H$32</f>
        <v>0.33979999999999999</v>
      </c>
      <c r="Z32" s="137">
        <f>Summary_LCIA!Q$32</f>
        <v>4.9560504329999997</v>
      </c>
      <c r="AA32" s="137">
        <f>Summary_LCIA!R$32</f>
        <v>5.2655999999999996E-3</v>
      </c>
      <c r="AB32" s="137">
        <f>Summary_LCIA!S$32</f>
        <v>0.33538000000000001</v>
      </c>
      <c r="AC32" s="137">
        <f>Summary_LCIA!T$32</f>
        <v>0.1099</v>
      </c>
      <c r="AD32" s="137">
        <f>Summary_LCIA!U$32</f>
        <v>1.7913999999999999E-2</v>
      </c>
      <c r="AE32" s="137">
        <f>Summary_LCIA!V$32</f>
        <v>4.7760999999999999E-5</v>
      </c>
      <c r="AF32" s="137">
        <f>Summary_LCIA!W$32</f>
        <v>7.6970999999999998E-2</v>
      </c>
      <c r="AG32" s="137">
        <f>Summary_LCIA!X$32</f>
        <v>2.2780000000000002E-2</v>
      </c>
      <c r="AH32" s="137">
        <f>Summary_LCIA!Y$32</f>
        <v>1.5582E-2</v>
      </c>
      <c r="AI32" s="137">
        <f>Summary_LCIA!Z$32</f>
        <v>4.1009E-5</v>
      </c>
      <c r="AJ32" s="137">
        <f>Summary_LCIA!AA$32</f>
        <v>2.3355999999999998E-2</v>
      </c>
      <c r="AK32" s="137">
        <f>Summary_LCIA!AB$32</f>
        <v>-2.1823000000000001E-5</v>
      </c>
      <c r="AL32" s="137">
        <f>Summary_LCIA!AC$32</f>
        <v>4.8884000000000003E-8</v>
      </c>
      <c r="AM32" s="137">
        <f>Summary_LCIA!AD$32</f>
        <v>4.1103999999999999E-4</v>
      </c>
      <c r="AN32" s="137">
        <f>Summary_LCIA!AE$32</f>
        <v>8.8612999999999995E-4</v>
      </c>
      <c r="AO32" s="137">
        <f>Summary_LCIA!AF$32</f>
        <v>8.4542000000000005E-4</v>
      </c>
      <c r="AP32" s="137">
        <f>Summary_LCIA!AG$32</f>
        <v>5.1165000000000002E-5</v>
      </c>
      <c r="AQ32" s="137">
        <f>Summary_LCIA!AH$32</f>
        <v>8.7036000000000006E-3</v>
      </c>
      <c r="AR32" s="137">
        <f>Summary_LCIA!AI$32</f>
        <v>9.3154999999999996E-4</v>
      </c>
      <c r="AT32" s="137">
        <f t="shared" si="4"/>
        <v>8.2150047999999991</v>
      </c>
      <c r="AU32" s="137">
        <f t="shared" si="5"/>
        <v>119.81747526820799</v>
      </c>
      <c r="AV32" s="137">
        <f t="shared" si="6"/>
        <v>0.12730114559999997</v>
      </c>
      <c r="AW32" s="137">
        <f t="shared" si="7"/>
        <v>8.1081468799999996</v>
      </c>
      <c r="AX32" s="137">
        <f t="shared" si="8"/>
        <v>2.6569423999999997</v>
      </c>
      <c r="AY32" s="137">
        <f t="shared" si="9"/>
        <v>0.43308886399999996</v>
      </c>
      <c r="AZ32" s="137">
        <f t="shared" si="10"/>
        <v>1.1546699359999998E-3</v>
      </c>
      <c r="BA32" s="137">
        <f t="shared" si="11"/>
        <v>1.8608508959999999</v>
      </c>
      <c r="BB32" s="137">
        <f t="shared" si="12"/>
        <v>0.55072927999999999</v>
      </c>
      <c r="BC32" s="137">
        <f t="shared" si="13"/>
        <v>0.37671043199999998</v>
      </c>
      <c r="BD32" s="137">
        <f t="shared" si="14"/>
        <v>9.9143358399999995E-4</v>
      </c>
      <c r="BE32" s="137">
        <f t="shared" si="15"/>
        <v>0.56465465599999987</v>
      </c>
      <c r="BF32" s="137">
        <f t="shared" si="16"/>
        <v>-5.2759284799999999E-4</v>
      </c>
      <c r="BG32" s="137">
        <f t="shared" si="17"/>
        <v>1.181819584E-6</v>
      </c>
      <c r="BH32" s="137">
        <f t="shared" si="18"/>
        <v>9.9373030399999996E-3</v>
      </c>
      <c r="BI32" s="137">
        <f t="shared" si="19"/>
        <v>2.1423078879999998E-2</v>
      </c>
      <c r="BJ32" s="137">
        <f t="shared" si="20"/>
        <v>2.043887392E-2</v>
      </c>
      <c r="BK32" s="137">
        <f t="shared" si="21"/>
        <v>1.2369650399999999E-3</v>
      </c>
      <c r="BL32" s="137">
        <f t="shared" si="22"/>
        <v>0.2104182336</v>
      </c>
      <c r="BM32" s="137">
        <f t="shared" si="23"/>
        <v>2.2521152799999996E-2</v>
      </c>
    </row>
    <row r="33" spans="1:65" x14ac:dyDescent="0.25">
      <c r="A33" s="149">
        <v>205</v>
      </c>
      <c r="B33" s="149">
        <v>1</v>
      </c>
      <c r="C33" s="61">
        <v>33.774827999999999</v>
      </c>
      <c r="D33" s="61">
        <v>-84.296312</v>
      </c>
      <c r="E33" s="61" t="s">
        <v>265</v>
      </c>
      <c r="F33" s="149">
        <v>1</v>
      </c>
      <c r="G33" s="61" t="s">
        <v>565</v>
      </c>
      <c r="H33" s="61" t="s">
        <v>681</v>
      </c>
      <c r="I33" s="61">
        <v>33.640728000000003</v>
      </c>
      <c r="J33" s="61">
        <v>-84.427700000000002</v>
      </c>
      <c r="K33" s="61">
        <v>25.823667189999998</v>
      </c>
      <c r="L33" s="61">
        <v>26.882999999999999</v>
      </c>
      <c r="M33" s="61" t="s">
        <v>617</v>
      </c>
      <c r="N33" s="149">
        <v>0</v>
      </c>
      <c r="O33" s="149">
        <v>1</v>
      </c>
      <c r="P33" s="61" t="s">
        <v>565</v>
      </c>
      <c r="Q33" s="61" t="s">
        <v>558</v>
      </c>
      <c r="R33" s="61">
        <v>33.640728199999998</v>
      </c>
      <c r="S33" s="61">
        <v>-84.427700099999996</v>
      </c>
      <c r="T33" s="61">
        <v>26.882999999999999</v>
      </c>
      <c r="U33" s="61" t="s">
        <v>617</v>
      </c>
      <c r="V33" s="61" t="s">
        <v>617</v>
      </c>
      <c r="W33" s="61"/>
      <c r="Y33" s="137">
        <f>Summary_LCIA!H$32</f>
        <v>0.33979999999999999</v>
      </c>
      <c r="Z33" s="137">
        <f>Summary_LCIA!Q$32</f>
        <v>4.9560504329999997</v>
      </c>
      <c r="AA33" s="137">
        <f>Summary_LCIA!R$32</f>
        <v>5.2655999999999996E-3</v>
      </c>
      <c r="AB33" s="137">
        <f>Summary_LCIA!S$32</f>
        <v>0.33538000000000001</v>
      </c>
      <c r="AC33" s="137">
        <f>Summary_LCIA!T$32</f>
        <v>0.1099</v>
      </c>
      <c r="AD33" s="137">
        <f>Summary_LCIA!U$32</f>
        <v>1.7913999999999999E-2</v>
      </c>
      <c r="AE33" s="137">
        <f>Summary_LCIA!V$32</f>
        <v>4.7760999999999999E-5</v>
      </c>
      <c r="AF33" s="137">
        <f>Summary_LCIA!W$32</f>
        <v>7.6970999999999998E-2</v>
      </c>
      <c r="AG33" s="137">
        <f>Summary_LCIA!X$32</f>
        <v>2.2780000000000002E-2</v>
      </c>
      <c r="AH33" s="137">
        <f>Summary_LCIA!Y$32</f>
        <v>1.5582E-2</v>
      </c>
      <c r="AI33" s="137">
        <f>Summary_LCIA!Z$32</f>
        <v>4.1009E-5</v>
      </c>
      <c r="AJ33" s="137">
        <f>Summary_LCIA!AA$32</f>
        <v>2.3355999999999998E-2</v>
      </c>
      <c r="AK33" s="137">
        <f>Summary_LCIA!AB$32</f>
        <v>-2.1823000000000001E-5</v>
      </c>
      <c r="AL33" s="137">
        <f>Summary_LCIA!AC$32</f>
        <v>4.8884000000000003E-8</v>
      </c>
      <c r="AM33" s="137">
        <f>Summary_LCIA!AD$32</f>
        <v>4.1103999999999999E-4</v>
      </c>
      <c r="AN33" s="137">
        <f>Summary_LCIA!AE$32</f>
        <v>8.8612999999999995E-4</v>
      </c>
      <c r="AO33" s="137">
        <f>Summary_LCIA!AF$32</f>
        <v>8.4542000000000005E-4</v>
      </c>
      <c r="AP33" s="137">
        <f>Summary_LCIA!AG$32</f>
        <v>5.1165000000000002E-5</v>
      </c>
      <c r="AQ33" s="137">
        <f>Summary_LCIA!AH$32</f>
        <v>8.7036000000000006E-3</v>
      </c>
      <c r="AR33" s="137">
        <f>Summary_LCIA!AI$32</f>
        <v>9.3154999999999996E-4</v>
      </c>
      <c r="AT33" s="137">
        <f t="shared" si="4"/>
        <v>9.1348433999999994</v>
      </c>
      <c r="AU33" s="137">
        <f t="shared" si="5"/>
        <v>133.233503790339</v>
      </c>
      <c r="AV33" s="137">
        <f t="shared" si="6"/>
        <v>0.14155512479999999</v>
      </c>
      <c r="AW33" s="137">
        <f t="shared" si="7"/>
        <v>9.0160205399999995</v>
      </c>
      <c r="AX33" s="137">
        <f t="shared" si="8"/>
        <v>2.9544416999999998</v>
      </c>
      <c r="AY33" s="137">
        <f t="shared" si="9"/>
        <v>0.48158206199999998</v>
      </c>
      <c r="AZ33" s="137">
        <f t="shared" si="10"/>
        <v>1.283958963E-3</v>
      </c>
      <c r="BA33" s="137">
        <f t="shared" si="11"/>
        <v>2.0692113929999998</v>
      </c>
      <c r="BB33" s="137">
        <f t="shared" si="12"/>
        <v>0.61239474000000005</v>
      </c>
      <c r="BC33" s="137">
        <f t="shared" si="13"/>
        <v>0.41889090600000001</v>
      </c>
      <c r="BD33" s="137">
        <f t="shared" si="14"/>
        <v>1.1024449469999999E-3</v>
      </c>
      <c r="BE33" s="137">
        <f t="shared" si="15"/>
        <v>0.62787934799999989</v>
      </c>
      <c r="BF33" s="137">
        <f t="shared" si="16"/>
        <v>-5.8666770900000001E-4</v>
      </c>
      <c r="BG33" s="137">
        <f t="shared" si="17"/>
        <v>1.3141485720000001E-6</v>
      </c>
      <c r="BH33" s="137">
        <f t="shared" si="18"/>
        <v>1.1049988319999999E-2</v>
      </c>
      <c r="BI33" s="137">
        <f t="shared" si="19"/>
        <v>2.3821832789999997E-2</v>
      </c>
      <c r="BJ33" s="137">
        <f t="shared" si="20"/>
        <v>2.2727425860000001E-2</v>
      </c>
      <c r="BK33" s="137">
        <f t="shared" si="21"/>
        <v>1.375468695E-3</v>
      </c>
      <c r="BL33" s="137">
        <f t="shared" si="22"/>
        <v>0.23397887880000001</v>
      </c>
      <c r="BM33" s="137">
        <f t="shared" si="23"/>
        <v>2.5042858649999999E-2</v>
      </c>
    </row>
    <row r="34" spans="1:65" x14ac:dyDescent="0.25">
      <c r="A34" s="149">
        <v>108</v>
      </c>
      <c r="B34" s="149">
        <v>6</v>
      </c>
      <c r="C34" s="61">
        <v>42.050626999999999</v>
      </c>
      <c r="D34" s="61">
        <v>-87.679727</v>
      </c>
      <c r="E34" s="61" t="s">
        <v>265</v>
      </c>
      <c r="F34" s="149">
        <v>6</v>
      </c>
      <c r="G34" s="61" t="s">
        <v>565</v>
      </c>
      <c r="H34" s="61" t="s">
        <v>673</v>
      </c>
      <c r="I34" s="61">
        <v>41.98028</v>
      </c>
      <c r="J34" s="61">
        <v>-87.908997999999997</v>
      </c>
      <c r="K34" s="61">
        <v>22.71590222</v>
      </c>
      <c r="L34" s="61">
        <v>27.763999999999999</v>
      </c>
      <c r="M34" s="61" t="s">
        <v>617</v>
      </c>
      <c r="N34" s="149">
        <v>5</v>
      </c>
      <c r="O34" s="149">
        <v>6</v>
      </c>
      <c r="P34" s="61" t="s">
        <v>565</v>
      </c>
      <c r="Q34" s="61" t="s">
        <v>564</v>
      </c>
      <c r="R34" s="61">
        <v>41.98028</v>
      </c>
      <c r="S34" s="61">
        <v>-87.908997900000003</v>
      </c>
      <c r="T34" s="61">
        <v>27.763999999999999</v>
      </c>
      <c r="U34" s="61" t="s">
        <v>617</v>
      </c>
      <c r="V34" s="61" t="s">
        <v>617</v>
      </c>
      <c r="W34" s="61"/>
      <c r="Y34" s="137">
        <f>Summary_LCIA!H$32</f>
        <v>0.33979999999999999</v>
      </c>
      <c r="Z34" s="137">
        <f>Summary_LCIA!Q$32</f>
        <v>4.9560504329999997</v>
      </c>
      <c r="AA34" s="137">
        <f>Summary_LCIA!R$32</f>
        <v>5.2655999999999996E-3</v>
      </c>
      <c r="AB34" s="137">
        <f>Summary_LCIA!S$32</f>
        <v>0.33538000000000001</v>
      </c>
      <c r="AC34" s="137">
        <f>Summary_LCIA!T$32</f>
        <v>0.1099</v>
      </c>
      <c r="AD34" s="137">
        <f>Summary_LCIA!U$32</f>
        <v>1.7913999999999999E-2</v>
      </c>
      <c r="AE34" s="137">
        <f>Summary_LCIA!V$32</f>
        <v>4.7760999999999999E-5</v>
      </c>
      <c r="AF34" s="137">
        <f>Summary_LCIA!W$32</f>
        <v>7.6970999999999998E-2</v>
      </c>
      <c r="AG34" s="137">
        <f>Summary_LCIA!X$32</f>
        <v>2.2780000000000002E-2</v>
      </c>
      <c r="AH34" s="137">
        <f>Summary_LCIA!Y$32</f>
        <v>1.5582E-2</v>
      </c>
      <c r="AI34" s="137">
        <f>Summary_LCIA!Z$32</f>
        <v>4.1009E-5</v>
      </c>
      <c r="AJ34" s="137">
        <f>Summary_LCIA!AA$32</f>
        <v>2.3355999999999998E-2</v>
      </c>
      <c r="AK34" s="137">
        <f>Summary_LCIA!AB$32</f>
        <v>-2.1823000000000001E-5</v>
      </c>
      <c r="AL34" s="137">
        <f>Summary_LCIA!AC$32</f>
        <v>4.8884000000000003E-8</v>
      </c>
      <c r="AM34" s="137">
        <f>Summary_LCIA!AD$32</f>
        <v>4.1103999999999999E-4</v>
      </c>
      <c r="AN34" s="137">
        <f>Summary_LCIA!AE$32</f>
        <v>8.8612999999999995E-4</v>
      </c>
      <c r="AO34" s="137">
        <f>Summary_LCIA!AF$32</f>
        <v>8.4542000000000005E-4</v>
      </c>
      <c r="AP34" s="137">
        <f>Summary_LCIA!AG$32</f>
        <v>5.1165000000000002E-5</v>
      </c>
      <c r="AQ34" s="137">
        <f>Summary_LCIA!AH$32</f>
        <v>8.7036000000000006E-3</v>
      </c>
      <c r="AR34" s="137">
        <f>Summary_LCIA!AI$32</f>
        <v>9.3154999999999996E-4</v>
      </c>
      <c r="AT34" s="137">
        <f t="shared" si="4"/>
        <v>9.4342071999999995</v>
      </c>
      <c r="AU34" s="137">
        <f t="shared" si="5"/>
        <v>137.599784221812</v>
      </c>
      <c r="AV34" s="137">
        <f t="shared" si="6"/>
        <v>0.14619411839999999</v>
      </c>
      <c r="AW34" s="137">
        <f t="shared" si="7"/>
        <v>9.3114903200000008</v>
      </c>
      <c r="AX34" s="137">
        <f t="shared" si="8"/>
        <v>3.0512636</v>
      </c>
      <c r="AY34" s="137">
        <f t="shared" si="9"/>
        <v>0.49736429599999998</v>
      </c>
      <c r="AZ34" s="137">
        <f t="shared" si="10"/>
        <v>1.326036404E-3</v>
      </c>
      <c r="BA34" s="137">
        <f t="shared" si="11"/>
        <v>2.1370228440000001</v>
      </c>
      <c r="BB34" s="137">
        <f t="shared" si="12"/>
        <v>0.63246392000000007</v>
      </c>
      <c r="BC34" s="137">
        <f t="shared" si="13"/>
        <v>0.43261864799999999</v>
      </c>
      <c r="BD34" s="137">
        <f t="shared" si="14"/>
        <v>1.1385738759999999E-3</v>
      </c>
      <c r="BE34" s="137">
        <f t="shared" si="15"/>
        <v>0.64845598399999993</v>
      </c>
      <c r="BF34" s="137">
        <f t="shared" si="16"/>
        <v>-6.0589377199999999E-4</v>
      </c>
      <c r="BG34" s="137">
        <f t="shared" si="17"/>
        <v>1.357215376E-6</v>
      </c>
      <c r="BH34" s="137">
        <f t="shared" si="18"/>
        <v>1.1412114559999999E-2</v>
      </c>
      <c r="BI34" s="137">
        <f t="shared" si="19"/>
        <v>2.4602513319999998E-2</v>
      </c>
      <c r="BJ34" s="137">
        <f t="shared" si="20"/>
        <v>2.3472240880000002E-2</v>
      </c>
      <c r="BK34" s="137">
        <f t="shared" si="21"/>
        <v>1.42054506E-3</v>
      </c>
      <c r="BL34" s="137">
        <f t="shared" si="22"/>
        <v>0.2416467504</v>
      </c>
      <c r="BM34" s="137">
        <f t="shared" si="23"/>
        <v>2.58635542E-2</v>
      </c>
    </row>
    <row r="35" spans="1:65" x14ac:dyDescent="0.25">
      <c r="A35" s="149">
        <v>109</v>
      </c>
      <c r="B35" s="149">
        <v>6</v>
      </c>
      <c r="C35" s="61">
        <v>42.050626999999999</v>
      </c>
      <c r="D35" s="61">
        <v>-87.679727</v>
      </c>
      <c r="E35" s="61" t="s">
        <v>265</v>
      </c>
      <c r="F35" s="149">
        <v>6</v>
      </c>
      <c r="G35" s="61" t="s">
        <v>565</v>
      </c>
      <c r="H35" s="61" t="s">
        <v>673</v>
      </c>
      <c r="I35" s="61">
        <v>41.98028</v>
      </c>
      <c r="J35" s="61">
        <v>-87.908997999999997</v>
      </c>
      <c r="K35" s="61">
        <v>22.71590222</v>
      </c>
      <c r="L35" s="61">
        <v>27.763999999999999</v>
      </c>
      <c r="M35" s="61" t="s">
        <v>617</v>
      </c>
      <c r="N35" s="149">
        <v>5</v>
      </c>
      <c r="O35" s="149">
        <v>6</v>
      </c>
      <c r="P35" s="61" t="s">
        <v>565</v>
      </c>
      <c r="Q35" s="61" t="s">
        <v>564</v>
      </c>
      <c r="R35" s="61">
        <v>41.98028</v>
      </c>
      <c r="S35" s="61">
        <v>-87.908997900000003</v>
      </c>
      <c r="T35" s="61">
        <v>27.763999999999999</v>
      </c>
      <c r="U35" s="61" t="s">
        <v>617</v>
      </c>
      <c r="V35" s="61" t="s">
        <v>617</v>
      </c>
      <c r="W35" s="61"/>
      <c r="Y35" s="137">
        <f>Summary_LCIA!H$32</f>
        <v>0.33979999999999999</v>
      </c>
      <c r="Z35" s="137">
        <f>Summary_LCIA!Q$32</f>
        <v>4.9560504329999997</v>
      </c>
      <c r="AA35" s="137">
        <f>Summary_LCIA!R$32</f>
        <v>5.2655999999999996E-3</v>
      </c>
      <c r="AB35" s="137">
        <f>Summary_LCIA!S$32</f>
        <v>0.33538000000000001</v>
      </c>
      <c r="AC35" s="137">
        <f>Summary_LCIA!T$32</f>
        <v>0.1099</v>
      </c>
      <c r="AD35" s="137">
        <f>Summary_LCIA!U$32</f>
        <v>1.7913999999999999E-2</v>
      </c>
      <c r="AE35" s="137">
        <f>Summary_LCIA!V$32</f>
        <v>4.7760999999999999E-5</v>
      </c>
      <c r="AF35" s="137">
        <f>Summary_LCIA!W$32</f>
        <v>7.6970999999999998E-2</v>
      </c>
      <c r="AG35" s="137">
        <f>Summary_LCIA!X$32</f>
        <v>2.2780000000000002E-2</v>
      </c>
      <c r="AH35" s="137">
        <f>Summary_LCIA!Y$32</f>
        <v>1.5582E-2</v>
      </c>
      <c r="AI35" s="137">
        <f>Summary_LCIA!Z$32</f>
        <v>4.1009E-5</v>
      </c>
      <c r="AJ35" s="137">
        <f>Summary_LCIA!AA$32</f>
        <v>2.3355999999999998E-2</v>
      </c>
      <c r="AK35" s="137">
        <f>Summary_LCIA!AB$32</f>
        <v>-2.1823000000000001E-5</v>
      </c>
      <c r="AL35" s="137">
        <f>Summary_LCIA!AC$32</f>
        <v>4.8884000000000003E-8</v>
      </c>
      <c r="AM35" s="137">
        <f>Summary_LCIA!AD$32</f>
        <v>4.1103999999999999E-4</v>
      </c>
      <c r="AN35" s="137">
        <f>Summary_LCIA!AE$32</f>
        <v>8.8612999999999995E-4</v>
      </c>
      <c r="AO35" s="137">
        <f>Summary_LCIA!AF$32</f>
        <v>8.4542000000000005E-4</v>
      </c>
      <c r="AP35" s="137">
        <f>Summary_LCIA!AG$32</f>
        <v>5.1165000000000002E-5</v>
      </c>
      <c r="AQ35" s="137">
        <f>Summary_LCIA!AH$32</f>
        <v>8.7036000000000006E-3</v>
      </c>
      <c r="AR35" s="137">
        <f>Summary_LCIA!AI$32</f>
        <v>9.3154999999999996E-4</v>
      </c>
      <c r="AT35" s="137">
        <f t="shared" si="4"/>
        <v>9.4342071999999995</v>
      </c>
      <c r="AU35" s="137">
        <f t="shared" si="5"/>
        <v>137.599784221812</v>
      </c>
      <c r="AV35" s="137">
        <f t="shared" si="6"/>
        <v>0.14619411839999999</v>
      </c>
      <c r="AW35" s="137">
        <f t="shared" si="7"/>
        <v>9.3114903200000008</v>
      </c>
      <c r="AX35" s="137">
        <f t="shared" si="8"/>
        <v>3.0512636</v>
      </c>
      <c r="AY35" s="137">
        <f t="shared" si="9"/>
        <v>0.49736429599999998</v>
      </c>
      <c r="AZ35" s="137">
        <f t="shared" si="10"/>
        <v>1.326036404E-3</v>
      </c>
      <c r="BA35" s="137">
        <f t="shared" si="11"/>
        <v>2.1370228440000001</v>
      </c>
      <c r="BB35" s="137">
        <f t="shared" si="12"/>
        <v>0.63246392000000007</v>
      </c>
      <c r="BC35" s="137">
        <f t="shared" si="13"/>
        <v>0.43261864799999999</v>
      </c>
      <c r="BD35" s="137">
        <f t="shared" si="14"/>
        <v>1.1385738759999999E-3</v>
      </c>
      <c r="BE35" s="137">
        <f t="shared" si="15"/>
        <v>0.64845598399999993</v>
      </c>
      <c r="BF35" s="137">
        <f t="shared" si="16"/>
        <v>-6.0589377199999999E-4</v>
      </c>
      <c r="BG35" s="137">
        <f t="shared" si="17"/>
        <v>1.357215376E-6</v>
      </c>
      <c r="BH35" s="137">
        <f t="shared" si="18"/>
        <v>1.1412114559999999E-2</v>
      </c>
      <c r="BI35" s="137">
        <f t="shared" si="19"/>
        <v>2.4602513319999998E-2</v>
      </c>
      <c r="BJ35" s="137">
        <f t="shared" si="20"/>
        <v>2.3472240880000002E-2</v>
      </c>
      <c r="BK35" s="137">
        <f t="shared" si="21"/>
        <v>1.42054506E-3</v>
      </c>
      <c r="BL35" s="137">
        <f t="shared" si="22"/>
        <v>0.2416467504</v>
      </c>
      <c r="BM35" s="137">
        <f t="shared" si="23"/>
        <v>2.58635542E-2</v>
      </c>
    </row>
    <row r="36" spans="1:65" x14ac:dyDescent="0.25">
      <c r="A36" s="149">
        <v>110</v>
      </c>
      <c r="B36" s="149">
        <v>6</v>
      </c>
      <c r="C36" s="61">
        <v>42.050626999999999</v>
      </c>
      <c r="D36" s="61">
        <v>-87.679727</v>
      </c>
      <c r="E36" s="61" t="s">
        <v>265</v>
      </c>
      <c r="F36" s="149">
        <v>6</v>
      </c>
      <c r="G36" s="61" t="s">
        <v>565</v>
      </c>
      <c r="H36" s="61" t="s">
        <v>673</v>
      </c>
      <c r="I36" s="61">
        <v>41.98028</v>
      </c>
      <c r="J36" s="61">
        <v>-87.908997999999997</v>
      </c>
      <c r="K36" s="61">
        <v>22.71590222</v>
      </c>
      <c r="L36" s="61">
        <v>27.763999999999999</v>
      </c>
      <c r="M36" s="61" t="s">
        <v>617</v>
      </c>
      <c r="N36" s="149">
        <v>5</v>
      </c>
      <c r="O36" s="149">
        <v>6</v>
      </c>
      <c r="P36" s="61" t="s">
        <v>565</v>
      </c>
      <c r="Q36" s="61" t="s">
        <v>564</v>
      </c>
      <c r="R36" s="61">
        <v>41.98028</v>
      </c>
      <c r="S36" s="61">
        <v>-87.908997900000003</v>
      </c>
      <c r="T36" s="61">
        <v>27.763999999999999</v>
      </c>
      <c r="U36" s="61" t="s">
        <v>617</v>
      </c>
      <c r="V36" s="61" t="s">
        <v>617</v>
      </c>
      <c r="W36" s="61"/>
      <c r="Y36" s="137">
        <f>Summary_LCIA!H$32</f>
        <v>0.33979999999999999</v>
      </c>
      <c r="Z36" s="137">
        <f>Summary_LCIA!Q$32</f>
        <v>4.9560504329999997</v>
      </c>
      <c r="AA36" s="137">
        <f>Summary_LCIA!R$32</f>
        <v>5.2655999999999996E-3</v>
      </c>
      <c r="AB36" s="137">
        <f>Summary_LCIA!S$32</f>
        <v>0.33538000000000001</v>
      </c>
      <c r="AC36" s="137">
        <f>Summary_LCIA!T$32</f>
        <v>0.1099</v>
      </c>
      <c r="AD36" s="137">
        <f>Summary_LCIA!U$32</f>
        <v>1.7913999999999999E-2</v>
      </c>
      <c r="AE36" s="137">
        <f>Summary_LCIA!V$32</f>
        <v>4.7760999999999999E-5</v>
      </c>
      <c r="AF36" s="137">
        <f>Summary_LCIA!W$32</f>
        <v>7.6970999999999998E-2</v>
      </c>
      <c r="AG36" s="137">
        <f>Summary_LCIA!X$32</f>
        <v>2.2780000000000002E-2</v>
      </c>
      <c r="AH36" s="137">
        <f>Summary_LCIA!Y$32</f>
        <v>1.5582E-2</v>
      </c>
      <c r="AI36" s="137">
        <f>Summary_LCIA!Z$32</f>
        <v>4.1009E-5</v>
      </c>
      <c r="AJ36" s="137">
        <f>Summary_LCIA!AA$32</f>
        <v>2.3355999999999998E-2</v>
      </c>
      <c r="AK36" s="137">
        <f>Summary_LCIA!AB$32</f>
        <v>-2.1823000000000001E-5</v>
      </c>
      <c r="AL36" s="137">
        <f>Summary_LCIA!AC$32</f>
        <v>4.8884000000000003E-8</v>
      </c>
      <c r="AM36" s="137">
        <f>Summary_LCIA!AD$32</f>
        <v>4.1103999999999999E-4</v>
      </c>
      <c r="AN36" s="137">
        <f>Summary_LCIA!AE$32</f>
        <v>8.8612999999999995E-4</v>
      </c>
      <c r="AO36" s="137">
        <f>Summary_LCIA!AF$32</f>
        <v>8.4542000000000005E-4</v>
      </c>
      <c r="AP36" s="137">
        <f>Summary_LCIA!AG$32</f>
        <v>5.1165000000000002E-5</v>
      </c>
      <c r="AQ36" s="137">
        <f>Summary_LCIA!AH$32</f>
        <v>8.7036000000000006E-3</v>
      </c>
      <c r="AR36" s="137">
        <f>Summary_LCIA!AI$32</f>
        <v>9.3154999999999996E-4</v>
      </c>
      <c r="AT36" s="137">
        <f t="shared" si="4"/>
        <v>9.4342071999999995</v>
      </c>
      <c r="AU36" s="137">
        <f t="shared" si="5"/>
        <v>137.599784221812</v>
      </c>
      <c r="AV36" s="137">
        <f t="shared" si="6"/>
        <v>0.14619411839999999</v>
      </c>
      <c r="AW36" s="137">
        <f t="shared" si="7"/>
        <v>9.3114903200000008</v>
      </c>
      <c r="AX36" s="137">
        <f t="shared" si="8"/>
        <v>3.0512636</v>
      </c>
      <c r="AY36" s="137">
        <f t="shared" si="9"/>
        <v>0.49736429599999998</v>
      </c>
      <c r="AZ36" s="137">
        <f t="shared" si="10"/>
        <v>1.326036404E-3</v>
      </c>
      <c r="BA36" s="137">
        <f t="shared" si="11"/>
        <v>2.1370228440000001</v>
      </c>
      <c r="BB36" s="137">
        <f t="shared" si="12"/>
        <v>0.63246392000000007</v>
      </c>
      <c r="BC36" s="137">
        <f t="shared" si="13"/>
        <v>0.43261864799999999</v>
      </c>
      <c r="BD36" s="137">
        <f t="shared" si="14"/>
        <v>1.1385738759999999E-3</v>
      </c>
      <c r="BE36" s="137">
        <f t="shared" si="15"/>
        <v>0.64845598399999993</v>
      </c>
      <c r="BF36" s="137">
        <f t="shared" si="16"/>
        <v>-6.0589377199999999E-4</v>
      </c>
      <c r="BG36" s="137">
        <f t="shared" si="17"/>
        <v>1.357215376E-6</v>
      </c>
      <c r="BH36" s="137">
        <f t="shared" si="18"/>
        <v>1.1412114559999999E-2</v>
      </c>
      <c r="BI36" s="137">
        <f t="shared" si="19"/>
        <v>2.4602513319999998E-2</v>
      </c>
      <c r="BJ36" s="137">
        <f t="shared" si="20"/>
        <v>2.3472240880000002E-2</v>
      </c>
      <c r="BK36" s="137">
        <f t="shared" si="21"/>
        <v>1.42054506E-3</v>
      </c>
      <c r="BL36" s="137">
        <f t="shared" si="22"/>
        <v>0.2416467504</v>
      </c>
      <c r="BM36" s="137">
        <f t="shared" si="23"/>
        <v>2.58635542E-2</v>
      </c>
    </row>
    <row r="37" spans="1:65" x14ac:dyDescent="0.25">
      <c r="A37" s="149">
        <v>337</v>
      </c>
      <c r="B37" s="149">
        <v>29</v>
      </c>
      <c r="C37" s="61">
        <v>47.650888000000002</v>
      </c>
      <c r="D37" s="61">
        <v>-122.308402</v>
      </c>
      <c r="E37" s="61" t="s">
        <v>265</v>
      </c>
      <c r="F37" s="149">
        <v>29</v>
      </c>
      <c r="G37" s="61" t="s">
        <v>565</v>
      </c>
      <c r="H37" s="61" t="s">
        <v>719</v>
      </c>
      <c r="I37" s="61">
        <v>47.450249999999997</v>
      </c>
      <c r="J37" s="61">
        <v>-122.308817</v>
      </c>
      <c r="K37" s="61">
        <v>43.043934999999998</v>
      </c>
      <c r="L37" s="61">
        <v>27.890999999999998</v>
      </c>
      <c r="M37" s="61" t="s">
        <v>617</v>
      </c>
      <c r="N37" s="149">
        <v>28</v>
      </c>
      <c r="O37" s="149">
        <v>29</v>
      </c>
      <c r="P37" s="61" t="s">
        <v>565</v>
      </c>
      <c r="Q37" s="61" t="s">
        <v>559</v>
      </c>
      <c r="R37" s="61">
        <v>47.450249900000003</v>
      </c>
      <c r="S37" s="61">
        <v>-122.30881650000001</v>
      </c>
      <c r="T37" s="61">
        <v>27.89</v>
      </c>
      <c r="U37" s="61" t="s">
        <v>617</v>
      </c>
      <c r="V37" s="61" t="s">
        <v>617</v>
      </c>
      <c r="W37" s="61"/>
      <c r="Y37" s="137">
        <f>Summary_LCIA!H$32</f>
        <v>0.33979999999999999</v>
      </c>
      <c r="Z37" s="137">
        <f>Summary_LCIA!Q$32</f>
        <v>4.9560504329999997</v>
      </c>
      <c r="AA37" s="137">
        <f>Summary_LCIA!R$32</f>
        <v>5.2655999999999996E-3</v>
      </c>
      <c r="AB37" s="137">
        <f>Summary_LCIA!S$32</f>
        <v>0.33538000000000001</v>
      </c>
      <c r="AC37" s="137">
        <f>Summary_LCIA!T$32</f>
        <v>0.1099</v>
      </c>
      <c r="AD37" s="137">
        <f>Summary_LCIA!U$32</f>
        <v>1.7913999999999999E-2</v>
      </c>
      <c r="AE37" s="137">
        <f>Summary_LCIA!V$32</f>
        <v>4.7760999999999999E-5</v>
      </c>
      <c r="AF37" s="137">
        <f>Summary_LCIA!W$32</f>
        <v>7.6970999999999998E-2</v>
      </c>
      <c r="AG37" s="137">
        <f>Summary_LCIA!X$32</f>
        <v>2.2780000000000002E-2</v>
      </c>
      <c r="AH37" s="137">
        <f>Summary_LCIA!Y$32</f>
        <v>1.5582E-2</v>
      </c>
      <c r="AI37" s="137">
        <f>Summary_LCIA!Z$32</f>
        <v>4.1009E-5</v>
      </c>
      <c r="AJ37" s="137">
        <f>Summary_LCIA!AA$32</f>
        <v>2.3355999999999998E-2</v>
      </c>
      <c r="AK37" s="137">
        <f>Summary_LCIA!AB$32</f>
        <v>-2.1823000000000001E-5</v>
      </c>
      <c r="AL37" s="137">
        <f>Summary_LCIA!AC$32</f>
        <v>4.8884000000000003E-8</v>
      </c>
      <c r="AM37" s="137">
        <f>Summary_LCIA!AD$32</f>
        <v>4.1103999999999999E-4</v>
      </c>
      <c r="AN37" s="137">
        <f>Summary_LCIA!AE$32</f>
        <v>8.8612999999999995E-4</v>
      </c>
      <c r="AO37" s="137">
        <f>Summary_LCIA!AF$32</f>
        <v>8.4542000000000005E-4</v>
      </c>
      <c r="AP37" s="137">
        <f>Summary_LCIA!AG$32</f>
        <v>5.1165000000000002E-5</v>
      </c>
      <c r="AQ37" s="137">
        <f>Summary_LCIA!AH$32</f>
        <v>8.7036000000000006E-3</v>
      </c>
      <c r="AR37" s="137">
        <f>Summary_LCIA!AI$32</f>
        <v>9.3154999999999996E-4</v>
      </c>
      <c r="AT37" s="137">
        <f t="shared" si="4"/>
        <v>9.4770219999999998</v>
      </c>
      <c r="AU37" s="137">
        <f t="shared" si="5"/>
        <v>138.22424657637001</v>
      </c>
      <c r="AV37" s="137">
        <f t="shared" si="6"/>
        <v>0.14685758399999999</v>
      </c>
      <c r="AW37" s="137">
        <f t="shared" si="7"/>
        <v>9.3537482000000001</v>
      </c>
      <c r="AX37" s="137">
        <f t="shared" si="8"/>
        <v>3.0651109999999999</v>
      </c>
      <c r="AY37" s="137">
        <f t="shared" si="9"/>
        <v>0.49962146000000002</v>
      </c>
      <c r="AZ37" s="137">
        <f t="shared" si="10"/>
        <v>1.33205429E-3</v>
      </c>
      <c r="BA37" s="137">
        <f t="shared" si="11"/>
        <v>2.1467211900000001</v>
      </c>
      <c r="BB37" s="137">
        <f t="shared" si="12"/>
        <v>0.63533420000000007</v>
      </c>
      <c r="BC37" s="137">
        <f t="shared" si="13"/>
        <v>0.43458198000000003</v>
      </c>
      <c r="BD37" s="137">
        <f t="shared" si="14"/>
        <v>1.1437410099999999E-3</v>
      </c>
      <c r="BE37" s="137">
        <f t="shared" si="15"/>
        <v>0.65139883999999992</v>
      </c>
      <c r="BF37" s="137">
        <f t="shared" si="16"/>
        <v>-6.0864347000000004E-4</v>
      </c>
      <c r="BG37" s="137">
        <f t="shared" si="17"/>
        <v>1.3633747600000001E-6</v>
      </c>
      <c r="BH37" s="137">
        <f t="shared" si="18"/>
        <v>1.1463905599999999E-2</v>
      </c>
      <c r="BI37" s="137">
        <f t="shared" si="19"/>
        <v>2.4714165699999999E-2</v>
      </c>
      <c r="BJ37" s="137">
        <f t="shared" si="20"/>
        <v>2.3578763800000003E-2</v>
      </c>
      <c r="BK37" s="137">
        <f t="shared" si="21"/>
        <v>1.4269918500000001E-3</v>
      </c>
      <c r="BL37" s="137">
        <f t="shared" si="22"/>
        <v>0.24274340400000002</v>
      </c>
      <c r="BM37" s="137">
        <f t="shared" si="23"/>
        <v>2.59809295E-2</v>
      </c>
    </row>
    <row r="38" spans="1:65" x14ac:dyDescent="0.25">
      <c r="A38" s="149">
        <v>338</v>
      </c>
      <c r="B38" s="149">
        <v>29</v>
      </c>
      <c r="C38" s="61">
        <v>47.650888000000002</v>
      </c>
      <c r="D38" s="61">
        <v>-122.308402</v>
      </c>
      <c r="E38" s="61" t="s">
        <v>265</v>
      </c>
      <c r="F38" s="149">
        <v>29</v>
      </c>
      <c r="G38" s="61" t="s">
        <v>565</v>
      </c>
      <c r="H38" s="61" t="s">
        <v>719</v>
      </c>
      <c r="I38" s="61">
        <v>47.450249999999997</v>
      </c>
      <c r="J38" s="61">
        <v>-122.308817</v>
      </c>
      <c r="K38" s="61">
        <v>43.043934999999998</v>
      </c>
      <c r="L38" s="61">
        <v>27.890999999999998</v>
      </c>
      <c r="M38" s="61" t="s">
        <v>617</v>
      </c>
      <c r="N38" s="149">
        <v>28</v>
      </c>
      <c r="O38" s="149">
        <v>29</v>
      </c>
      <c r="P38" s="61" t="s">
        <v>565</v>
      </c>
      <c r="Q38" s="61" t="s">
        <v>559</v>
      </c>
      <c r="R38" s="61">
        <v>47.450249900000003</v>
      </c>
      <c r="S38" s="61">
        <v>-122.30881650000001</v>
      </c>
      <c r="T38" s="61">
        <v>27.89</v>
      </c>
      <c r="U38" s="61" t="s">
        <v>617</v>
      </c>
      <c r="V38" s="61" t="s">
        <v>617</v>
      </c>
      <c r="W38" s="61"/>
      <c r="Y38" s="137">
        <f>Summary_LCIA!H$32</f>
        <v>0.33979999999999999</v>
      </c>
      <c r="Z38" s="137">
        <f>Summary_LCIA!Q$32</f>
        <v>4.9560504329999997</v>
      </c>
      <c r="AA38" s="137">
        <f>Summary_LCIA!R$32</f>
        <v>5.2655999999999996E-3</v>
      </c>
      <c r="AB38" s="137">
        <f>Summary_LCIA!S$32</f>
        <v>0.33538000000000001</v>
      </c>
      <c r="AC38" s="137">
        <f>Summary_LCIA!T$32</f>
        <v>0.1099</v>
      </c>
      <c r="AD38" s="137">
        <f>Summary_LCIA!U$32</f>
        <v>1.7913999999999999E-2</v>
      </c>
      <c r="AE38" s="137">
        <f>Summary_LCIA!V$32</f>
        <v>4.7760999999999999E-5</v>
      </c>
      <c r="AF38" s="137">
        <f>Summary_LCIA!W$32</f>
        <v>7.6970999999999998E-2</v>
      </c>
      <c r="AG38" s="137">
        <f>Summary_LCIA!X$32</f>
        <v>2.2780000000000002E-2</v>
      </c>
      <c r="AH38" s="137">
        <f>Summary_LCIA!Y$32</f>
        <v>1.5582E-2</v>
      </c>
      <c r="AI38" s="137">
        <f>Summary_LCIA!Z$32</f>
        <v>4.1009E-5</v>
      </c>
      <c r="AJ38" s="137">
        <f>Summary_LCIA!AA$32</f>
        <v>2.3355999999999998E-2</v>
      </c>
      <c r="AK38" s="137">
        <f>Summary_LCIA!AB$32</f>
        <v>-2.1823000000000001E-5</v>
      </c>
      <c r="AL38" s="137">
        <f>Summary_LCIA!AC$32</f>
        <v>4.8884000000000003E-8</v>
      </c>
      <c r="AM38" s="137">
        <f>Summary_LCIA!AD$32</f>
        <v>4.1103999999999999E-4</v>
      </c>
      <c r="AN38" s="137">
        <f>Summary_LCIA!AE$32</f>
        <v>8.8612999999999995E-4</v>
      </c>
      <c r="AO38" s="137">
        <f>Summary_LCIA!AF$32</f>
        <v>8.4542000000000005E-4</v>
      </c>
      <c r="AP38" s="137">
        <f>Summary_LCIA!AG$32</f>
        <v>5.1165000000000002E-5</v>
      </c>
      <c r="AQ38" s="137">
        <f>Summary_LCIA!AH$32</f>
        <v>8.7036000000000006E-3</v>
      </c>
      <c r="AR38" s="137">
        <f>Summary_LCIA!AI$32</f>
        <v>9.3154999999999996E-4</v>
      </c>
      <c r="AT38" s="137">
        <f t="shared" si="4"/>
        <v>9.4770219999999998</v>
      </c>
      <c r="AU38" s="137">
        <f t="shared" si="5"/>
        <v>138.22424657637001</v>
      </c>
      <c r="AV38" s="137">
        <f t="shared" si="6"/>
        <v>0.14685758399999999</v>
      </c>
      <c r="AW38" s="137">
        <f t="shared" si="7"/>
        <v>9.3537482000000001</v>
      </c>
      <c r="AX38" s="137">
        <f t="shared" si="8"/>
        <v>3.0651109999999999</v>
      </c>
      <c r="AY38" s="137">
        <f t="shared" si="9"/>
        <v>0.49962146000000002</v>
      </c>
      <c r="AZ38" s="137">
        <f t="shared" si="10"/>
        <v>1.33205429E-3</v>
      </c>
      <c r="BA38" s="137">
        <f t="shared" si="11"/>
        <v>2.1467211900000001</v>
      </c>
      <c r="BB38" s="137">
        <f t="shared" si="12"/>
        <v>0.63533420000000007</v>
      </c>
      <c r="BC38" s="137">
        <f t="shared" si="13"/>
        <v>0.43458198000000003</v>
      </c>
      <c r="BD38" s="137">
        <f t="shared" si="14"/>
        <v>1.1437410099999999E-3</v>
      </c>
      <c r="BE38" s="137">
        <f t="shared" si="15"/>
        <v>0.65139883999999992</v>
      </c>
      <c r="BF38" s="137">
        <f t="shared" si="16"/>
        <v>-6.0864347000000004E-4</v>
      </c>
      <c r="BG38" s="137">
        <f t="shared" si="17"/>
        <v>1.3633747600000001E-6</v>
      </c>
      <c r="BH38" s="137">
        <f t="shared" si="18"/>
        <v>1.1463905599999999E-2</v>
      </c>
      <c r="BI38" s="137">
        <f t="shared" si="19"/>
        <v>2.4714165699999999E-2</v>
      </c>
      <c r="BJ38" s="137">
        <f t="shared" si="20"/>
        <v>2.3578763800000003E-2</v>
      </c>
      <c r="BK38" s="137">
        <f t="shared" si="21"/>
        <v>1.4269918500000001E-3</v>
      </c>
      <c r="BL38" s="137">
        <f t="shared" si="22"/>
        <v>0.24274340400000002</v>
      </c>
      <c r="BM38" s="137">
        <f t="shared" si="23"/>
        <v>2.59809295E-2</v>
      </c>
    </row>
    <row r="39" spans="1:65" x14ac:dyDescent="0.25">
      <c r="A39" s="149">
        <v>339</v>
      </c>
      <c r="B39" s="149">
        <v>29</v>
      </c>
      <c r="C39" s="61">
        <v>47.650888000000002</v>
      </c>
      <c r="D39" s="61">
        <v>-122.308402</v>
      </c>
      <c r="E39" s="61" t="s">
        <v>265</v>
      </c>
      <c r="F39" s="149">
        <v>29</v>
      </c>
      <c r="G39" s="61" t="s">
        <v>565</v>
      </c>
      <c r="H39" s="61" t="s">
        <v>719</v>
      </c>
      <c r="I39" s="61">
        <v>47.450249999999997</v>
      </c>
      <c r="J39" s="61">
        <v>-122.308817</v>
      </c>
      <c r="K39" s="61">
        <v>43.043934999999998</v>
      </c>
      <c r="L39" s="61">
        <v>27.890999999999998</v>
      </c>
      <c r="M39" s="61" t="s">
        <v>617</v>
      </c>
      <c r="N39" s="149">
        <v>28</v>
      </c>
      <c r="O39" s="149">
        <v>29</v>
      </c>
      <c r="P39" s="61" t="s">
        <v>565</v>
      </c>
      <c r="Q39" s="61" t="s">
        <v>559</v>
      </c>
      <c r="R39" s="61">
        <v>47.450249900000003</v>
      </c>
      <c r="S39" s="61">
        <v>-122.30881650000001</v>
      </c>
      <c r="T39" s="61">
        <v>27.89</v>
      </c>
      <c r="U39" s="61" t="s">
        <v>617</v>
      </c>
      <c r="V39" s="61" t="s">
        <v>617</v>
      </c>
      <c r="W39" s="61"/>
      <c r="Y39" s="137">
        <f>Summary_LCIA!H$32</f>
        <v>0.33979999999999999</v>
      </c>
      <c r="Z39" s="137">
        <f>Summary_LCIA!Q$32</f>
        <v>4.9560504329999997</v>
      </c>
      <c r="AA39" s="137">
        <f>Summary_LCIA!R$32</f>
        <v>5.2655999999999996E-3</v>
      </c>
      <c r="AB39" s="137">
        <f>Summary_LCIA!S$32</f>
        <v>0.33538000000000001</v>
      </c>
      <c r="AC39" s="137">
        <f>Summary_LCIA!T$32</f>
        <v>0.1099</v>
      </c>
      <c r="AD39" s="137">
        <f>Summary_LCIA!U$32</f>
        <v>1.7913999999999999E-2</v>
      </c>
      <c r="AE39" s="137">
        <f>Summary_LCIA!V$32</f>
        <v>4.7760999999999999E-5</v>
      </c>
      <c r="AF39" s="137">
        <f>Summary_LCIA!W$32</f>
        <v>7.6970999999999998E-2</v>
      </c>
      <c r="AG39" s="137">
        <f>Summary_LCIA!X$32</f>
        <v>2.2780000000000002E-2</v>
      </c>
      <c r="AH39" s="137">
        <f>Summary_LCIA!Y$32</f>
        <v>1.5582E-2</v>
      </c>
      <c r="AI39" s="137">
        <f>Summary_LCIA!Z$32</f>
        <v>4.1009E-5</v>
      </c>
      <c r="AJ39" s="137">
        <f>Summary_LCIA!AA$32</f>
        <v>2.3355999999999998E-2</v>
      </c>
      <c r="AK39" s="137">
        <f>Summary_LCIA!AB$32</f>
        <v>-2.1823000000000001E-5</v>
      </c>
      <c r="AL39" s="137">
        <f>Summary_LCIA!AC$32</f>
        <v>4.8884000000000003E-8</v>
      </c>
      <c r="AM39" s="137">
        <f>Summary_LCIA!AD$32</f>
        <v>4.1103999999999999E-4</v>
      </c>
      <c r="AN39" s="137">
        <f>Summary_LCIA!AE$32</f>
        <v>8.8612999999999995E-4</v>
      </c>
      <c r="AO39" s="137">
        <f>Summary_LCIA!AF$32</f>
        <v>8.4542000000000005E-4</v>
      </c>
      <c r="AP39" s="137">
        <f>Summary_LCIA!AG$32</f>
        <v>5.1165000000000002E-5</v>
      </c>
      <c r="AQ39" s="137">
        <f>Summary_LCIA!AH$32</f>
        <v>8.7036000000000006E-3</v>
      </c>
      <c r="AR39" s="137">
        <f>Summary_LCIA!AI$32</f>
        <v>9.3154999999999996E-4</v>
      </c>
      <c r="AT39" s="137">
        <f t="shared" si="4"/>
        <v>9.4770219999999998</v>
      </c>
      <c r="AU39" s="137">
        <f t="shared" si="5"/>
        <v>138.22424657637001</v>
      </c>
      <c r="AV39" s="137">
        <f t="shared" si="6"/>
        <v>0.14685758399999999</v>
      </c>
      <c r="AW39" s="137">
        <f t="shared" si="7"/>
        <v>9.3537482000000001</v>
      </c>
      <c r="AX39" s="137">
        <f t="shared" si="8"/>
        <v>3.0651109999999999</v>
      </c>
      <c r="AY39" s="137">
        <f t="shared" si="9"/>
        <v>0.49962146000000002</v>
      </c>
      <c r="AZ39" s="137">
        <f t="shared" si="10"/>
        <v>1.33205429E-3</v>
      </c>
      <c r="BA39" s="137">
        <f t="shared" si="11"/>
        <v>2.1467211900000001</v>
      </c>
      <c r="BB39" s="137">
        <f t="shared" si="12"/>
        <v>0.63533420000000007</v>
      </c>
      <c r="BC39" s="137">
        <f t="shared" si="13"/>
        <v>0.43458198000000003</v>
      </c>
      <c r="BD39" s="137">
        <f t="shared" si="14"/>
        <v>1.1437410099999999E-3</v>
      </c>
      <c r="BE39" s="137">
        <f t="shared" si="15"/>
        <v>0.65139883999999992</v>
      </c>
      <c r="BF39" s="137">
        <f t="shared" si="16"/>
        <v>-6.0864347000000004E-4</v>
      </c>
      <c r="BG39" s="137">
        <f t="shared" si="17"/>
        <v>1.3633747600000001E-6</v>
      </c>
      <c r="BH39" s="137">
        <f t="shared" si="18"/>
        <v>1.1463905599999999E-2</v>
      </c>
      <c r="BI39" s="137">
        <f t="shared" si="19"/>
        <v>2.4714165699999999E-2</v>
      </c>
      <c r="BJ39" s="137">
        <f t="shared" si="20"/>
        <v>2.3578763800000003E-2</v>
      </c>
      <c r="BK39" s="137">
        <f t="shared" si="21"/>
        <v>1.4269918500000001E-3</v>
      </c>
      <c r="BL39" s="137">
        <f t="shared" si="22"/>
        <v>0.24274340400000002</v>
      </c>
      <c r="BM39" s="137">
        <f t="shared" si="23"/>
        <v>2.59809295E-2</v>
      </c>
    </row>
    <row r="40" spans="1:65" x14ac:dyDescent="0.25">
      <c r="A40" s="149">
        <v>175</v>
      </c>
      <c r="B40" s="149">
        <v>43</v>
      </c>
      <c r="C40" s="61">
        <v>40.678178000000003</v>
      </c>
      <c r="D40" s="61">
        <v>-73.944158000000002</v>
      </c>
      <c r="E40" s="61" t="s">
        <v>265</v>
      </c>
      <c r="F40" s="149">
        <v>20</v>
      </c>
      <c r="G40" s="61" t="s">
        <v>565</v>
      </c>
      <c r="H40" s="61" t="s">
        <v>689</v>
      </c>
      <c r="I40" s="61">
        <v>40.641311000000002</v>
      </c>
      <c r="J40" s="61">
        <v>-73.778138999999996</v>
      </c>
      <c r="K40" s="61">
        <v>14.69230808</v>
      </c>
      <c r="L40" s="61">
        <v>17.010000000000002</v>
      </c>
      <c r="M40" s="61" t="s">
        <v>617</v>
      </c>
      <c r="N40" s="149">
        <v>42</v>
      </c>
      <c r="O40" s="149">
        <v>43</v>
      </c>
      <c r="P40" s="61" t="s">
        <v>565</v>
      </c>
      <c r="Q40" s="61" t="s">
        <v>555</v>
      </c>
      <c r="R40" s="61">
        <v>40.6895314</v>
      </c>
      <c r="S40" s="61">
        <v>-74.174462399999996</v>
      </c>
      <c r="T40" s="61">
        <v>28.129000000000001</v>
      </c>
      <c r="U40" s="61" t="s">
        <v>617</v>
      </c>
      <c r="V40" s="61" t="s">
        <v>617</v>
      </c>
      <c r="W40" s="61"/>
      <c r="Y40" s="137">
        <f>Summary_LCIA!H$32</f>
        <v>0.33979999999999999</v>
      </c>
      <c r="Z40" s="137">
        <f>Summary_LCIA!Q$32</f>
        <v>4.9560504329999997</v>
      </c>
      <c r="AA40" s="137">
        <f>Summary_LCIA!R$32</f>
        <v>5.2655999999999996E-3</v>
      </c>
      <c r="AB40" s="137">
        <f>Summary_LCIA!S$32</f>
        <v>0.33538000000000001</v>
      </c>
      <c r="AC40" s="137">
        <f>Summary_LCIA!T$32</f>
        <v>0.1099</v>
      </c>
      <c r="AD40" s="137">
        <f>Summary_LCIA!U$32</f>
        <v>1.7913999999999999E-2</v>
      </c>
      <c r="AE40" s="137">
        <f>Summary_LCIA!V$32</f>
        <v>4.7760999999999999E-5</v>
      </c>
      <c r="AF40" s="137">
        <f>Summary_LCIA!W$32</f>
        <v>7.6970999999999998E-2</v>
      </c>
      <c r="AG40" s="137">
        <f>Summary_LCIA!X$32</f>
        <v>2.2780000000000002E-2</v>
      </c>
      <c r="AH40" s="137">
        <f>Summary_LCIA!Y$32</f>
        <v>1.5582E-2</v>
      </c>
      <c r="AI40" s="137">
        <f>Summary_LCIA!Z$32</f>
        <v>4.1009E-5</v>
      </c>
      <c r="AJ40" s="137">
        <f>Summary_LCIA!AA$32</f>
        <v>2.3355999999999998E-2</v>
      </c>
      <c r="AK40" s="137">
        <f>Summary_LCIA!AB$32</f>
        <v>-2.1823000000000001E-5</v>
      </c>
      <c r="AL40" s="137">
        <f>Summary_LCIA!AC$32</f>
        <v>4.8884000000000003E-8</v>
      </c>
      <c r="AM40" s="137">
        <f>Summary_LCIA!AD$32</f>
        <v>4.1103999999999999E-4</v>
      </c>
      <c r="AN40" s="137">
        <f>Summary_LCIA!AE$32</f>
        <v>8.8612999999999995E-4</v>
      </c>
      <c r="AO40" s="137">
        <f>Summary_LCIA!AF$32</f>
        <v>8.4542000000000005E-4</v>
      </c>
      <c r="AP40" s="137">
        <f>Summary_LCIA!AG$32</f>
        <v>5.1165000000000002E-5</v>
      </c>
      <c r="AQ40" s="137">
        <f>Summary_LCIA!AH$32</f>
        <v>8.7036000000000006E-3</v>
      </c>
      <c r="AR40" s="137">
        <f>Summary_LCIA!AI$32</f>
        <v>9.3154999999999996E-4</v>
      </c>
      <c r="AT40" s="137">
        <f t="shared" si="4"/>
        <v>9.5582341999999993</v>
      </c>
      <c r="AU40" s="137">
        <f t="shared" si="5"/>
        <v>139.40874262985699</v>
      </c>
      <c r="AV40" s="137">
        <f t="shared" si="6"/>
        <v>0.1481160624</v>
      </c>
      <c r="AW40" s="137">
        <f t="shared" si="7"/>
        <v>9.4339040199999999</v>
      </c>
      <c r="AX40" s="137">
        <f t="shared" si="8"/>
        <v>3.0913770999999999</v>
      </c>
      <c r="AY40" s="137">
        <f t="shared" si="9"/>
        <v>0.50390290599999998</v>
      </c>
      <c r="AZ40" s="137">
        <f t="shared" si="10"/>
        <v>1.3434691690000001E-3</v>
      </c>
      <c r="BA40" s="137">
        <f t="shared" si="11"/>
        <v>2.1651172590000001</v>
      </c>
      <c r="BB40" s="137">
        <f t="shared" si="12"/>
        <v>0.64077862000000008</v>
      </c>
      <c r="BC40" s="137">
        <f t="shared" si="13"/>
        <v>0.43830607800000004</v>
      </c>
      <c r="BD40" s="137">
        <f t="shared" si="14"/>
        <v>1.153542161E-3</v>
      </c>
      <c r="BE40" s="137">
        <f t="shared" si="15"/>
        <v>0.65698092399999997</v>
      </c>
      <c r="BF40" s="137">
        <f t="shared" si="16"/>
        <v>-6.13859167E-4</v>
      </c>
      <c r="BG40" s="137">
        <f t="shared" si="17"/>
        <v>1.3750580360000002E-6</v>
      </c>
      <c r="BH40" s="137">
        <f t="shared" si="18"/>
        <v>1.1562144160000001E-2</v>
      </c>
      <c r="BI40" s="137">
        <f t="shared" si="19"/>
        <v>2.492595077E-2</v>
      </c>
      <c r="BJ40" s="137">
        <f t="shared" si="20"/>
        <v>2.3780819180000003E-2</v>
      </c>
      <c r="BK40" s="137">
        <f t="shared" si="21"/>
        <v>1.4392202850000001E-3</v>
      </c>
      <c r="BL40" s="137">
        <f t="shared" si="22"/>
        <v>0.24482356440000003</v>
      </c>
      <c r="BM40" s="137">
        <f t="shared" si="23"/>
        <v>2.6203569949999998E-2</v>
      </c>
    </row>
    <row r="41" spans="1:65" x14ac:dyDescent="0.25">
      <c r="A41" s="149">
        <v>316</v>
      </c>
      <c r="B41" s="149">
        <v>29</v>
      </c>
      <c r="C41" s="61">
        <v>47.673988000000001</v>
      </c>
      <c r="D41" s="61">
        <v>-122.121512</v>
      </c>
      <c r="E41" s="61" t="s">
        <v>265</v>
      </c>
      <c r="F41" s="149">
        <v>29</v>
      </c>
      <c r="G41" s="61" t="s">
        <v>565</v>
      </c>
      <c r="H41" s="61" t="s">
        <v>719</v>
      </c>
      <c r="I41" s="61">
        <v>47.450249999999997</v>
      </c>
      <c r="J41" s="61">
        <v>-122.308817</v>
      </c>
      <c r="K41" s="61">
        <v>41.554973830000002</v>
      </c>
      <c r="L41" s="61">
        <v>37.302999999999997</v>
      </c>
      <c r="M41" s="61" t="s">
        <v>617</v>
      </c>
      <c r="N41" s="149">
        <v>28</v>
      </c>
      <c r="O41" s="149">
        <v>29</v>
      </c>
      <c r="P41" s="61" t="s">
        <v>565</v>
      </c>
      <c r="Q41" s="61" t="s">
        <v>559</v>
      </c>
      <c r="R41" s="61">
        <v>47.450249900000003</v>
      </c>
      <c r="S41" s="61">
        <v>-122.30881650000001</v>
      </c>
      <c r="T41" s="61">
        <v>37.301000000000002</v>
      </c>
      <c r="U41" s="61" t="s">
        <v>617</v>
      </c>
      <c r="V41" s="61" t="s">
        <v>617</v>
      </c>
      <c r="W41" s="61"/>
      <c r="Y41" s="137">
        <f>Summary_LCIA!H$32</f>
        <v>0.33979999999999999</v>
      </c>
      <c r="Z41" s="137">
        <f>Summary_LCIA!Q$32</f>
        <v>4.9560504329999997</v>
      </c>
      <c r="AA41" s="137">
        <f>Summary_LCIA!R$32</f>
        <v>5.2655999999999996E-3</v>
      </c>
      <c r="AB41" s="137">
        <f>Summary_LCIA!S$32</f>
        <v>0.33538000000000001</v>
      </c>
      <c r="AC41" s="137">
        <f>Summary_LCIA!T$32</f>
        <v>0.1099</v>
      </c>
      <c r="AD41" s="137">
        <f>Summary_LCIA!U$32</f>
        <v>1.7913999999999999E-2</v>
      </c>
      <c r="AE41" s="137">
        <f>Summary_LCIA!V$32</f>
        <v>4.7760999999999999E-5</v>
      </c>
      <c r="AF41" s="137">
        <f>Summary_LCIA!W$32</f>
        <v>7.6970999999999998E-2</v>
      </c>
      <c r="AG41" s="137">
        <f>Summary_LCIA!X$32</f>
        <v>2.2780000000000002E-2</v>
      </c>
      <c r="AH41" s="137">
        <f>Summary_LCIA!Y$32</f>
        <v>1.5582E-2</v>
      </c>
      <c r="AI41" s="137">
        <f>Summary_LCIA!Z$32</f>
        <v>4.1009E-5</v>
      </c>
      <c r="AJ41" s="137">
        <f>Summary_LCIA!AA$32</f>
        <v>2.3355999999999998E-2</v>
      </c>
      <c r="AK41" s="137">
        <f>Summary_LCIA!AB$32</f>
        <v>-2.1823000000000001E-5</v>
      </c>
      <c r="AL41" s="137">
        <f>Summary_LCIA!AC$32</f>
        <v>4.8884000000000003E-8</v>
      </c>
      <c r="AM41" s="137">
        <f>Summary_LCIA!AD$32</f>
        <v>4.1103999999999999E-4</v>
      </c>
      <c r="AN41" s="137">
        <f>Summary_LCIA!AE$32</f>
        <v>8.8612999999999995E-4</v>
      </c>
      <c r="AO41" s="137">
        <f>Summary_LCIA!AF$32</f>
        <v>8.4542000000000005E-4</v>
      </c>
      <c r="AP41" s="137">
        <f>Summary_LCIA!AG$32</f>
        <v>5.1165000000000002E-5</v>
      </c>
      <c r="AQ41" s="137">
        <f>Summary_LCIA!AH$32</f>
        <v>8.7036000000000006E-3</v>
      </c>
      <c r="AR41" s="137">
        <f>Summary_LCIA!AI$32</f>
        <v>9.3154999999999996E-4</v>
      </c>
      <c r="AT41" s="137">
        <f t="shared" si="4"/>
        <v>12.674879800000001</v>
      </c>
      <c r="AU41" s="137">
        <f t="shared" si="5"/>
        <v>184.86563720133299</v>
      </c>
      <c r="AV41" s="137">
        <f t="shared" si="6"/>
        <v>0.1964121456</v>
      </c>
      <c r="AW41" s="137">
        <f t="shared" si="7"/>
        <v>12.510009380000001</v>
      </c>
      <c r="AX41" s="137">
        <f t="shared" si="8"/>
        <v>4.0993798999999997</v>
      </c>
      <c r="AY41" s="137">
        <f t="shared" si="9"/>
        <v>0.66821011399999997</v>
      </c>
      <c r="AZ41" s="137">
        <f t="shared" si="10"/>
        <v>1.781533061E-3</v>
      </c>
      <c r="BA41" s="137">
        <f t="shared" si="11"/>
        <v>2.8710952710000002</v>
      </c>
      <c r="BB41" s="137">
        <f t="shared" si="12"/>
        <v>0.84971678000000006</v>
      </c>
      <c r="BC41" s="137">
        <f t="shared" si="13"/>
        <v>0.58122418200000003</v>
      </c>
      <c r="BD41" s="137">
        <f t="shared" si="14"/>
        <v>1.529676709E-3</v>
      </c>
      <c r="BE41" s="137">
        <f t="shared" si="15"/>
        <v>0.87120215599999995</v>
      </c>
      <c r="BF41" s="137">
        <f t="shared" si="16"/>
        <v>-8.1401972300000007E-4</v>
      </c>
      <c r="BG41" s="137">
        <f t="shared" si="17"/>
        <v>1.8234220840000003E-6</v>
      </c>
      <c r="BH41" s="137">
        <f t="shared" si="18"/>
        <v>1.5332203040000001E-2</v>
      </c>
      <c r="BI41" s="137">
        <f t="shared" si="19"/>
        <v>3.3053535129999999E-2</v>
      </c>
      <c r="BJ41" s="137">
        <f t="shared" si="20"/>
        <v>3.1535011420000002E-2</v>
      </c>
      <c r="BK41" s="137">
        <f t="shared" si="21"/>
        <v>1.9085056650000002E-3</v>
      </c>
      <c r="BL41" s="137">
        <f t="shared" si="22"/>
        <v>0.32465298360000006</v>
      </c>
      <c r="BM41" s="137">
        <f t="shared" si="23"/>
        <v>3.474774655E-2</v>
      </c>
    </row>
    <row r="42" spans="1:65" x14ac:dyDescent="0.25">
      <c r="A42" s="149">
        <v>317</v>
      </c>
      <c r="B42" s="149">
        <v>29</v>
      </c>
      <c r="C42" s="61">
        <v>47.673988000000001</v>
      </c>
      <c r="D42" s="61">
        <v>-122.121512</v>
      </c>
      <c r="E42" s="61" t="s">
        <v>265</v>
      </c>
      <c r="F42" s="149">
        <v>29</v>
      </c>
      <c r="G42" s="61" t="s">
        <v>565</v>
      </c>
      <c r="H42" s="61" t="s">
        <v>719</v>
      </c>
      <c r="I42" s="61">
        <v>47.450249999999997</v>
      </c>
      <c r="J42" s="61">
        <v>-122.308817</v>
      </c>
      <c r="K42" s="61">
        <v>41.554973830000002</v>
      </c>
      <c r="L42" s="61">
        <v>37.302999999999997</v>
      </c>
      <c r="M42" s="61" t="s">
        <v>617</v>
      </c>
      <c r="N42" s="149">
        <v>28</v>
      </c>
      <c r="O42" s="149">
        <v>29</v>
      </c>
      <c r="P42" s="61" t="s">
        <v>565</v>
      </c>
      <c r="Q42" s="61" t="s">
        <v>559</v>
      </c>
      <c r="R42" s="61">
        <v>47.450249900000003</v>
      </c>
      <c r="S42" s="61">
        <v>-122.30881650000001</v>
      </c>
      <c r="T42" s="61">
        <v>37.301000000000002</v>
      </c>
      <c r="U42" s="61" t="s">
        <v>617</v>
      </c>
      <c r="V42" s="61" t="s">
        <v>617</v>
      </c>
      <c r="W42" s="61"/>
      <c r="Y42" s="137">
        <f>Summary_LCIA!H$32</f>
        <v>0.33979999999999999</v>
      </c>
      <c r="Z42" s="137">
        <f>Summary_LCIA!Q$32</f>
        <v>4.9560504329999997</v>
      </c>
      <c r="AA42" s="137">
        <f>Summary_LCIA!R$32</f>
        <v>5.2655999999999996E-3</v>
      </c>
      <c r="AB42" s="137">
        <f>Summary_LCIA!S$32</f>
        <v>0.33538000000000001</v>
      </c>
      <c r="AC42" s="137">
        <f>Summary_LCIA!T$32</f>
        <v>0.1099</v>
      </c>
      <c r="AD42" s="137">
        <f>Summary_LCIA!U$32</f>
        <v>1.7913999999999999E-2</v>
      </c>
      <c r="AE42" s="137">
        <f>Summary_LCIA!V$32</f>
        <v>4.7760999999999999E-5</v>
      </c>
      <c r="AF42" s="137">
        <f>Summary_LCIA!W$32</f>
        <v>7.6970999999999998E-2</v>
      </c>
      <c r="AG42" s="137">
        <f>Summary_LCIA!X$32</f>
        <v>2.2780000000000002E-2</v>
      </c>
      <c r="AH42" s="137">
        <f>Summary_LCIA!Y$32</f>
        <v>1.5582E-2</v>
      </c>
      <c r="AI42" s="137">
        <f>Summary_LCIA!Z$32</f>
        <v>4.1009E-5</v>
      </c>
      <c r="AJ42" s="137">
        <f>Summary_LCIA!AA$32</f>
        <v>2.3355999999999998E-2</v>
      </c>
      <c r="AK42" s="137">
        <f>Summary_LCIA!AB$32</f>
        <v>-2.1823000000000001E-5</v>
      </c>
      <c r="AL42" s="137">
        <f>Summary_LCIA!AC$32</f>
        <v>4.8884000000000003E-8</v>
      </c>
      <c r="AM42" s="137">
        <f>Summary_LCIA!AD$32</f>
        <v>4.1103999999999999E-4</v>
      </c>
      <c r="AN42" s="137">
        <f>Summary_LCIA!AE$32</f>
        <v>8.8612999999999995E-4</v>
      </c>
      <c r="AO42" s="137">
        <f>Summary_LCIA!AF$32</f>
        <v>8.4542000000000005E-4</v>
      </c>
      <c r="AP42" s="137">
        <f>Summary_LCIA!AG$32</f>
        <v>5.1165000000000002E-5</v>
      </c>
      <c r="AQ42" s="137">
        <f>Summary_LCIA!AH$32</f>
        <v>8.7036000000000006E-3</v>
      </c>
      <c r="AR42" s="137">
        <f>Summary_LCIA!AI$32</f>
        <v>9.3154999999999996E-4</v>
      </c>
      <c r="AT42" s="137">
        <f t="shared" si="4"/>
        <v>12.674879800000001</v>
      </c>
      <c r="AU42" s="137">
        <f t="shared" si="5"/>
        <v>184.86563720133299</v>
      </c>
      <c r="AV42" s="137">
        <f t="shared" si="6"/>
        <v>0.1964121456</v>
      </c>
      <c r="AW42" s="137">
        <f t="shared" si="7"/>
        <v>12.510009380000001</v>
      </c>
      <c r="AX42" s="137">
        <f t="shared" si="8"/>
        <v>4.0993798999999997</v>
      </c>
      <c r="AY42" s="137">
        <f t="shared" si="9"/>
        <v>0.66821011399999997</v>
      </c>
      <c r="AZ42" s="137">
        <f t="shared" si="10"/>
        <v>1.781533061E-3</v>
      </c>
      <c r="BA42" s="137">
        <f t="shared" si="11"/>
        <v>2.8710952710000002</v>
      </c>
      <c r="BB42" s="137">
        <f t="shared" si="12"/>
        <v>0.84971678000000006</v>
      </c>
      <c r="BC42" s="137">
        <f t="shared" si="13"/>
        <v>0.58122418200000003</v>
      </c>
      <c r="BD42" s="137">
        <f t="shared" si="14"/>
        <v>1.529676709E-3</v>
      </c>
      <c r="BE42" s="137">
        <f t="shared" si="15"/>
        <v>0.87120215599999995</v>
      </c>
      <c r="BF42" s="137">
        <f t="shared" si="16"/>
        <v>-8.1401972300000007E-4</v>
      </c>
      <c r="BG42" s="137">
        <f t="shared" si="17"/>
        <v>1.8234220840000003E-6</v>
      </c>
      <c r="BH42" s="137">
        <f t="shared" si="18"/>
        <v>1.5332203040000001E-2</v>
      </c>
      <c r="BI42" s="137">
        <f t="shared" si="19"/>
        <v>3.3053535129999999E-2</v>
      </c>
      <c r="BJ42" s="137">
        <f t="shared" si="20"/>
        <v>3.1535011420000002E-2</v>
      </c>
      <c r="BK42" s="137">
        <f t="shared" si="21"/>
        <v>1.9085056650000002E-3</v>
      </c>
      <c r="BL42" s="137">
        <f t="shared" si="22"/>
        <v>0.32465298360000006</v>
      </c>
      <c r="BM42" s="137">
        <f t="shared" si="23"/>
        <v>3.474774655E-2</v>
      </c>
    </row>
    <row r="43" spans="1:65" x14ac:dyDescent="0.25">
      <c r="A43" s="149">
        <v>318</v>
      </c>
      <c r="B43" s="149">
        <v>29</v>
      </c>
      <c r="C43" s="61">
        <v>47.673988000000001</v>
      </c>
      <c r="D43" s="61">
        <v>-122.121512</v>
      </c>
      <c r="E43" s="61" t="s">
        <v>265</v>
      </c>
      <c r="F43" s="149">
        <v>29</v>
      </c>
      <c r="G43" s="61" t="s">
        <v>565</v>
      </c>
      <c r="H43" s="61" t="s">
        <v>719</v>
      </c>
      <c r="I43" s="61">
        <v>47.450249999999997</v>
      </c>
      <c r="J43" s="61">
        <v>-122.308817</v>
      </c>
      <c r="K43" s="61">
        <v>41.554973830000002</v>
      </c>
      <c r="L43" s="61">
        <v>37.302999999999997</v>
      </c>
      <c r="M43" s="61" t="s">
        <v>617</v>
      </c>
      <c r="N43" s="149">
        <v>28</v>
      </c>
      <c r="O43" s="149">
        <v>29</v>
      </c>
      <c r="P43" s="61" t="s">
        <v>565</v>
      </c>
      <c r="Q43" s="61" t="s">
        <v>559</v>
      </c>
      <c r="R43" s="61">
        <v>47.450249900000003</v>
      </c>
      <c r="S43" s="61">
        <v>-122.30881650000001</v>
      </c>
      <c r="T43" s="61">
        <v>37.301000000000002</v>
      </c>
      <c r="U43" s="61" t="s">
        <v>617</v>
      </c>
      <c r="V43" s="61" t="s">
        <v>617</v>
      </c>
      <c r="W43" s="61"/>
      <c r="Y43" s="137">
        <f>Summary_LCIA!H$32</f>
        <v>0.33979999999999999</v>
      </c>
      <c r="Z43" s="137">
        <f>Summary_LCIA!Q$32</f>
        <v>4.9560504329999997</v>
      </c>
      <c r="AA43" s="137">
        <f>Summary_LCIA!R$32</f>
        <v>5.2655999999999996E-3</v>
      </c>
      <c r="AB43" s="137">
        <f>Summary_LCIA!S$32</f>
        <v>0.33538000000000001</v>
      </c>
      <c r="AC43" s="137">
        <f>Summary_LCIA!T$32</f>
        <v>0.1099</v>
      </c>
      <c r="AD43" s="137">
        <f>Summary_LCIA!U$32</f>
        <v>1.7913999999999999E-2</v>
      </c>
      <c r="AE43" s="137">
        <f>Summary_LCIA!V$32</f>
        <v>4.7760999999999999E-5</v>
      </c>
      <c r="AF43" s="137">
        <f>Summary_LCIA!W$32</f>
        <v>7.6970999999999998E-2</v>
      </c>
      <c r="AG43" s="137">
        <f>Summary_LCIA!X$32</f>
        <v>2.2780000000000002E-2</v>
      </c>
      <c r="AH43" s="137">
        <f>Summary_LCIA!Y$32</f>
        <v>1.5582E-2</v>
      </c>
      <c r="AI43" s="137">
        <f>Summary_LCIA!Z$32</f>
        <v>4.1009E-5</v>
      </c>
      <c r="AJ43" s="137">
        <f>Summary_LCIA!AA$32</f>
        <v>2.3355999999999998E-2</v>
      </c>
      <c r="AK43" s="137">
        <f>Summary_LCIA!AB$32</f>
        <v>-2.1823000000000001E-5</v>
      </c>
      <c r="AL43" s="137">
        <f>Summary_LCIA!AC$32</f>
        <v>4.8884000000000003E-8</v>
      </c>
      <c r="AM43" s="137">
        <f>Summary_LCIA!AD$32</f>
        <v>4.1103999999999999E-4</v>
      </c>
      <c r="AN43" s="137">
        <f>Summary_LCIA!AE$32</f>
        <v>8.8612999999999995E-4</v>
      </c>
      <c r="AO43" s="137">
        <f>Summary_LCIA!AF$32</f>
        <v>8.4542000000000005E-4</v>
      </c>
      <c r="AP43" s="137">
        <f>Summary_LCIA!AG$32</f>
        <v>5.1165000000000002E-5</v>
      </c>
      <c r="AQ43" s="137">
        <f>Summary_LCIA!AH$32</f>
        <v>8.7036000000000006E-3</v>
      </c>
      <c r="AR43" s="137">
        <f>Summary_LCIA!AI$32</f>
        <v>9.3154999999999996E-4</v>
      </c>
      <c r="AT43" s="137">
        <f t="shared" si="4"/>
        <v>12.674879800000001</v>
      </c>
      <c r="AU43" s="137">
        <f t="shared" si="5"/>
        <v>184.86563720133299</v>
      </c>
      <c r="AV43" s="137">
        <f t="shared" si="6"/>
        <v>0.1964121456</v>
      </c>
      <c r="AW43" s="137">
        <f t="shared" si="7"/>
        <v>12.510009380000001</v>
      </c>
      <c r="AX43" s="137">
        <f t="shared" si="8"/>
        <v>4.0993798999999997</v>
      </c>
      <c r="AY43" s="137">
        <f t="shared" si="9"/>
        <v>0.66821011399999997</v>
      </c>
      <c r="AZ43" s="137">
        <f t="shared" si="10"/>
        <v>1.781533061E-3</v>
      </c>
      <c r="BA43" s="137">
        <f t="shared" si="11"/>
        <v>2.8710952710000002</v>
      </c>
      <c r="BB43" s="137">
        <f t="shared" si="12"/>
        <v>0.84971678000000006</v>
      </c>
      <c r="BC43" s="137">
        <f t="shared" si="13"/>
        <v>0.58122418200000003</v>
      </c>
      <c r="BD43" s="137">
        <f t="shared" si="14"/>
        <v>1.529676709E-3</v>
      </c>
      <c r="BE43" s="137">
        <f t="shared" si="15"/>
        <v>0.87120215599999995</v>
      </c>
      <c r="BF43" s="137">
        <f t="shared" si="16"/>
        <v>-8.1401972300000007E-4</v>
      </c>
      <c r="BG43" s="137">
        <f t="shared" si="17"/>
        <v>1.8234220840000003E-6</v>
      </c>
      <c r="BH43" s="137">
        <f t="shared" si="18"/>
        <v>1.5332203040000001E-2</v>
      </c>
      <c r="BI43" s="137">
        <f t="shared" si="19"/>
        <v>3.3053535129999999E-2</v>
      </c>
      <c r="BJ43" s="137">
        <f t="shared" si="20"/>
        <v>3.1535011420000002E-2</v>
      </c>
      <c r="BK43" s="137">
        <f t="shared" si="21"/>
        <v>1.9085056650000002E-3</v>
      </c>
      <c r="BL43" s="137">
        <f t="shared" si="22"/>
        <v>0.32465298360000006</v>
      </c>
      <c r="BM43" s="137">
        <f t="shared" si="23"/>
        <v>3.474774655E-2</v>
      </c>
    </row>
    <row r="44" spans="1:65" x14ac:dyDescent="0.25">
      <c r="A44" s="149">
        <v>249</v>
      </c>
      <c r="B44" s="149">
        <v>6</v>
      </c>
      <c r="C44" s="61">
        <v>42.283079000000001</v>
      </c>
      <c r="D44" s="61">
        <v>-87.953130000000002</v>
      </c>
      <c r="E44" s="61" t="s">
        <v>265</v>
      </c>
      <c r="F44" s="149">
        <v>6</v>
      </c>
      <c r="G44" s="61" t="s">
        <v>565</v>
      </c>
      <c r="H44" s="61" t="s">
        <v>673</v>
      </c>
      <c r="I44" s="61">
        <v>41.98028</v>
      </c>
      <c r="J44" s="61">
        <v>-87.908997999999997</v>
      </c>
      <c r="K44" s="61">
        <v>52.053779710000001</v>
      </c>
      <c r="L44" s="61">
        <v>42.158000000000001</v>
      </c>
      <c r="M44" s="61" t="s">
        <v>617</v>
      </c>
      <c r="N44" s="149">
        <v>5</v>
      </c>
      <c r="O44" s="149">
        <v>6</v>
      </c>
      <c r="P44" s="61" t="s">
        <v>565</v>
      </c>
      <c r="Q44" s="61" t="s">
        <v>564</v>
      </c>
      <c r="R44" s="61">
        <v>41.98028</v>
      </c>
      <c r="S44" s="61">
        <v>-87.908997900000003</v>
      </c>
      <c r="T44" s="61">
        <v>42.158000000000001</v>
      </c>
      <c r="U44" s="61" t="s">
        <v>617</v>
      </c>
      <c r="V44" s="61" t="s">
        <v>617</v>
      </c>
      <c r="W44" s="61"/>
      <c r="Y44" s="137">
        <f>Summary_LCIA!H$32</f>
        <v>0.33979999999999999</v>
      </c>
      <c r="Z44" s="137">
        <f>Summary_LCIA!Q$32</f>
        <v>4.9560504329999997</v>
      </c>
      <c r="AA44" s="137">
        <f>Summary_LCIA!R$32</f>
        <v>5.2655999999999996E-3</v>
      </c>
      <c r="AB44" s="137">
        <f>Summary_LCIA!S$32</f>
        <v>0.33538000000000001</v>
      </c>
      <c r="AC44" s="137">
        <f>Summary_LCIA!T$32</f>
        <v>0.1099</v>
      </c>
      <c r="AD44" s="137">
        <f>Summary_LCIA!U$32</f>
        <v>1.7913999999999999E-2</v>
      </c>
      <c r="AE44" s="137">
        <f>Summary_LCIA!V$32</f>
        <v>4.7760999999999999E-5</v>
      </c>
      <c r="AF44" s="137">
        <f>Summary_LCIA!W$32</f>
        <v>7.6970999999999998E-2</v>
      </c>
      <c r="AG44" s="137">
        <f>Summary_LCIA!X$32</f>
        <v>2.2780000000000002E-2</v>
      </c>
      <c r="AH44" s="137">
        <f>Summary_LCIA!Y$32</f>
        <v>1.5582E-2</v>
      </c>
      <c r="AI44" s="137">
        <f>Summary_LCIA!Z$32</f>
        <v>4.1009E-5</v>
      </c>
      <c r="AJ44" s="137">
        <f>Summary_LCIA!AA$32</f>
        <v>2.3355999999999998E-2</v>
      </c>
      <c r="AK44" s="137">
        <f>Summary_LCIA!AB$32</f>
        <v>-2.1823000000000001E-5</v>
      </c>
      <c r="AL44" s="137">
        <f>Summary_LCIA!AC$32</f>
        <v>4.8884000000000003E-8</v>
      </c>
      <c r="AM44" s="137">
        <f>Summary_LCIA!AD$32</f>
        <v>4.1103999999999999E-4</v>
      </c>
      <c r="AN44" s="137">
        <f>Summary_LCIA!AE$32</f>
        <v>8.8612999999999995E-4</v>
      </c>
      <c r="AO44" s="137">
        <f>Summary_LCIA!AF$32</f>
        <v>8.4542000000000005E-4</v>
      </c>
      <c r="AP44" s="137">
        <f>Summary_LCIA!AG$32</f>
        <v>5.1165000000000002E-5</v>
      </c>
      <c r="AQ44" s="137">
        <f>Summary_LCIA!AH$32</f>
        <v>8.7036000000000006E-3</v>
      </c>
      <c r="AR44" s="137">
        <f>Summary_LCIA!AI$32</f>
        <v>9.3154999999999996E-4</v>
      </c>
      <c r="AT44" s="137">
        <f t="shared" si="4"/>
        <v>14.3252884</v>
      </c>
      <c r="AU44" s="137">
        <f t="shared" si="5"/>
        <v>208.93717415441398</v>
      </c>
      <c r="AV44" s="137">
        <f t="shared" si="6"/>
        <v>0.2219871648</v>
      </c>
      <c r="AW44" s="137">
        <f t="shared" si="7"/>
        <v>14.138950040000001</v>
      </c>
      <c r="AX44" s="137">
        <f t="shared" si="8"/>
        <v>4.6331642000000004</v>
      </c>
      <c r="AY44" s="137">
        <f t="shared" si="9"/>
        <v>0.75521841199999995</v>
      </c>
      <c r="AZ44" s="137">
        <f t="shared" si="10"/>
        <v>2.0135082380000001E-3</v>
      </c>
      <c r="BA44" s="137">
        <f t="shared" si="11"/>
        <v>3.2449434180000001</v>
      </c>
      <c r="BB44" s="137">
        <f t="shared" si="12"/>
        <v>0.96035924000000006</v>
      </c>
      <c r="BC44" s="137">
        <f t="shared" si="13"/>
        <v>0.65690595600000001</v>
      </c>
      <c r="BD44" s="137">
        <f t="shared" si="14"/>
        <v>1.7288574220000001E-3</v>
      </c>
      <c r="BE44" s="137">
        <f t="shared" si="15"/>
        <v>0.984642248</v>
      </c>
      <c r="BF44" s="137">
        <f t="shared" si="16"/>
        <v>-9.2001403400000011E-4</v>
      </c>
      <c r="BG44" s="137">
        <f t="shared" si="17"/>
        <v>2.0608516720000001E-6</v>
      </c>
      <c r="BH44" s="137">
        <f t="shared" si="18"/>
        <v>1.732862432E-2</v>
      </c>
      <c r="BI44" s="137">
        <f t="shared" si="19"/>
        <v>3.7357468540000001E-2</v>
      </c>
      <c r="BJ44" s="137">
        <f t="shared" si="20"/>
        <v>3.5641216360000005E-2</v>
      </c>
      <c r="BK44" s="137">
        <f t="shared" si="21"/>
        <v>2.1570140700000002E-3</v>
      </c>
      <c r="BL44" s="137">
        <f t="shared" si="22"/>
        <v>0.36692636880000001</v>
      </c>
      <c r="BM44" s="137">
        <f t="shared" si="23"/>
        <v>3.9272284900000003E-2</v>
      </c>
    </row>
    <row r="45" spans="1:65" x14ac:dyDescent="0.25">
      <c r="A45" s="149">
        <v>121</v>
      </c>
      <c r="B45" s="149">
        <v>6</v>
      </c>
      <c r="C45" s="61">
        <v>41.712980000000002</v>
      </c>
      <c r="D45" s="61">
        <v>-87.960780999999997</v>
      </c>
      <c r="E45" s="61" t="s">
        <v>265</v>
      </c>
      <c r="F45" s="149">
        <v>88</v>
      </c>
      <c r="G45" s="61" t="s">
        <v>674</v>
      </c>
      <c r="H45" s="61" t="s">
        <v>675</v>
      </c>
      <c r="I45" s="61">
        <v>41.786776000000003</v>
      </c>
      <c r="J45" s="61">
        <v>-87.752188000000004</v>
      </c>
      <c r="K45" s="61">
        <v>21.68769485</v>
      </c>
      <c r="L45" s="61">
        <v>26.821000000000002</v>
      </c>
      <c r="M45" s="61" t="s">
        <v>617</v>
      </c>
      <c r="N45" s="149">
        <v>5</v>
      </c>
      <c r="O45" s="149">
        <v>6</v>
      </c>
      <c r="P45" s="61" t="s">
        <v>565</v>
      </c>
      <c r="Q45" s="61" t="s">
        <v>564</v>
      </c>
      <c r="R45" s="61">
        <v>41.98028</v>
      </c>
      <c r="S45" s="61">
        <v>-87.908997900000003</v>
      </c>
      <c r="T45" s="61">
        <v>42.777999999999999</v>
      </c>
      <c r="U45" s="61" t="s">
        <v>617</v>
      </c>
      <c r="V45" s="61" t="s">
        <v>617</v>
      </c>
      <c r="W45" s="61"/>
      <c r="Y45" s="137">
        <f>Summary_LCIA!H$32</f>
        <v>0.33979999999999999</v>
      </c>
      <c r="Z45" s="137">
        <f>Summary_LCIA!Q$32</f>
        <v>4.9560504329999997</v>
      </c>
      <c r="AA45" s="137">
        <f>Summary_LCIA!R$32</f>
        <v>5.2655999999999996E-3</v>
      </c>
      <c r="AB45" s="137">
        <f>Summary_LCIA!S$32</f>
        <v>0.33538000000000001</v>
      </c>
      <c r="AC45" s="137">
        <f>Summary_LCIA!T$32</f>
        <v>0.1099</v>
      </c>
      <c r="AD45" s="137">
        <f>Summary_LCIA!U$32</f>
        <v>1.7913999999999999E-2</v>
      </c>
      <c r="AE45" s="137">
        <f>Summary_LCIA!V$32</f>
        <v>4.7760999999999999E-5</v>
      </c>
      <c r="AF45" s="137">
        <f>Summary_LCIA!W$32</f>
        <v>7.6970999999999998E-2</v>
      </c>
      <c r="AG45" s="137">
        <f>Summary_LCIA!X$32</f>
        <v>2.2780000000000002E-2</v>
      </c>
      <c r="AH45" s="137">
        <f>Summary_LCIA!Y$32</f>
        <v>1.5582E-2</v>
      </c>
      <c r="AI45" s="137">
        <f>Summary_LCIA!Z$32</f>
        <v>4.1009E-5</v>
      </c>
      <c r="AJ45" s="137">
        <f>Summary_LCIA!AA$32</f>
        <v>2.3355999999999998E-2</v>
      </c>
      <c r="AK45" s="137">
        <f>Summary_LCIA!AB$32</f>
        <v>-2.1823000000000001E-5</v>
      </c>
      <c r="AL45" s="137">
        <f>Summary_LCIA!AC$32</f>
        <v>4.8884000000000003E-8</v>
      </c>
      <c r="AM45" s="137">
        <f>Summary_LCIA!AD$32</f>
        <v>4.1103999999999999E-4</v>
      </c>
      <c r="AN45" s="137">
        <f>Summary_LCIA!AE$32</f>
        <v>8.8612999999999995E-4</v>
      </c>
      <c r="AO45" s="137">
        <f>Summary_LCIA!AF$32</f>
        <v>8.4542000000000005E-4</v>
      </c>
      <c r="AP45" s="137">
        <f>Summary_LCIA!AG$32</f>
        <v>5.1165000000000002E-5</v>
      </c>
      <c r="AQ45" s="137">
        <f>Summary_LCIA!AH$32</f>
        <v>8.7036000000000006E-3</v>
      </c>
      <c r="AR45" s="137">
        <f>Summary_LCIA!AI$32</f>
        <v>9.3154999999999996E-4</v>
      </c>
      <c r="AT45" s="137">
        <f t="shared" si="4"/>
        <v>14.535964399999999</v>
      </c>
      <c r="AU45" s="137">
        <f t="shared" si="5"/>
        <v>212.00992542287398</v>
      </c>
      <c r="AV45" s="137">
        <f t="shared" si="6"/>
        <v>0.22525183679999997</v>
      </c>
      <c r="AW45" s="137">
        <f t="shared" si="7"/>
        <v>14.34688564</v>
      </c>
      <c r="AX45" s="137">
        <f t="shared" si="8"/>
        <v>4.7013021999999998</v>
      </c>
      <c r="AY45" s="137">
        <f t="shared" si="9"/>
        <v>0.76632509199999999</v>
      </c>
      <c r="AZ45" s="137">
        <f t="shared" si="10"/>
        <v>2.043120058E-3</v>
      </c>
      <c r="BA45" s="137">
        <f t="shared" si="11"/>
        <v>3.2926654379999998</v>
      </c>
      <c r="BB45" s="137">
        <f t="shared" si="12"/>
        <v>0.97448284000000007</v>
      </c>
      <c r="BC45" s="137">
        <f t="shared" si="13"/>
        <v>0.66656679600000002</v>
      </c>
      <c r="BD45" s="137">
        <f t="shared" si="14"/>
        <v>1.7542830019999999E-3</v>
      </c>
      <c r="BE45" s="137">
        <f t="shared" si="15"/>
        <v>0.99912296799999989</v>
      </c>
      <c r="BF45" s="137">
        <f t="shared" si="16"/>
        <v>-9.3354429400000004E-4</v>
      </c>
      <c r="BG45" s="137">
        <f t="shared" si="17"/>
        <v>2.0911597520000001E-6</v>
      </c>
      <c r="BH45" s="137">
        <f t="shared" si="18"/>
        <v>1.758346912E-2</v>
      </c>
      <c r="BI45" s="137">
        <f t="shared" si="19"/>
        <v>3.7906869139999994E-2</v>
      </c>
      <c r="BJ45" s="137">
        <f t="shared" si="20"/>
        <v>3.616537676E-2</v>
      </c>
      <c r="BK45" s="137">
        <f t="shared" si="21"/>
        <v>2.18873637E-3</v>
      </c>
      <c r="BL45" s="137">
        <f t="shared" si="22"/>
        <v>0.37232260080000001</v>
      </c>
      <c r="BM45" s="137">
        <f t="shared" si="23"/>
        <v>3.98498459E-2</v>
      </c>
    </row>
    <row r="46" spans="1:65" x14ac:dyDescent="0.25">
      <c r="A46" s="149">
        <v>122</v>
      </c>
      <c r="B46" s="149">
        <v>6</v>
      </c>
      <c r="C46" s="61">
        <v>41.712980000000002</v>
      </c>
      <c r="D46" s="61">
        <v>-87.960780999999997</v>
      </c>
      <c r="E46" s="61" t="s">
        <v>265</v>
      </c>
      <c r="F46" s="149">
        <v>88</v>
      </c>
      <c r="G46" s="61" t="s">
        <v>674</v>
      </c>
      <c r="H46" s="61" t="s">
        <v>675</v>
      </c>
      <c r="I46" s="61">
        <v>41.786776000000003</v>
      </c>
      <c r="J46" s="61">
        <v>-87.752188000000004</v>
      </c>
      <c r="K46" s="61">
        <v>21.68769485</v>
      </c>
      <c r="L46" s="61">
        <v>26.821000000000002</v>
      </c>
      <c r="M46" s="61" t="s">
        <v>617</v>
      </c>
      <c r="N46" s="149">
        <v>5</v>
      </c>
      <c r="O46" s="149">
        <v>6</v>
      </c>
      <c r="P46" s="61" t="s">
        <v>565</v>
      </c>
      <c r="Q46" s="61" t="s">
        <v>564</v>
      </c>
      <c r="R46" s="61">
        <v>41.98028</v>
      </c>
      <c r="S46" s="61">
        <v>-87.908997900000003</v>
      </c>
      <c r="T46" s="61">
        <v>42.777999999999999</v>
      </c>
      <c r="U46" s="61" t="s">
        <v>617</v>
      </c>
      <c r="V46" s="61" t="s">
        <v>617</v>
      </c>
      <c r="W46" s="61"/>
      <c r="Y46" s="137">
        <f>Summary_LCIA!H$32</f>
        <v>0.33979999999999999</v>
      </c>
      <c r="Z46" s="137">
        <f>Summary_LCIA!Q$32</f>
        <v>4.9560504329999997</v>
      </c>
      <c r="AA46" s="137">
        <f>Summary_LCIA!R$32</f>
        <v>5.2655999999999996E-3</v>
      </c>
      <c r="AB46" s="137">
        <f>Summary_LCIA!S$32</f>
        <v>0.33538000000000001</v>
      </c>
      <c r="AC46" s="137">
        <f>Summary_LCIA!T$32</f>
        <v>0.1099</v>
      </c>
      <c r="AD46" s="137">
        <f>Summary_LCIA!U$32</f>
        <v>1.7913999999999999E-2</v>
      </c>
      <c r="AE46" s="137">
        <f>Summary_LCIA!V$32</f>
        <v>4.7760999999999999E-5</v>
      </c>
      <c r="AF46" s="137">
        <f>Summary_LCIA!W$32</f>
        <v>7.6970999999999998E-2</v>
      </c>
      <c r="AG46" s="137">
        <f>Summary_LCIA!X$32</f>
        <v>2.2780000000000002E-2</v>
      </c>
      <c r="AH46" s="137">
        <f>Summary_LCIA!Y$32</f>
        <v>1.5582E-2</v>
      </c>
      <c r="AI46" s="137">
        <f>Summary_LCIA!Z$32</f>
        <v>4.1009E-5</v>
      </c>
      <c r="AJ46" s="137">
        <f>Summary_LCIA!AA$32</f>
        <v>2.3355999999999998E-2</v>
      </c>
      <c r="AK46" s="137">
        <f>Summary_LCIA!AB$32</f>
        <v>-2.1823000000000001E-5</v>
      </c>
      <c r="AL46" s="137">
        <f>Summary_LCIA!AC$32</f>
        <v>4.8884000000000003E-8</v>
      </c>
      <c r="AM46" s="137">
        <f>Summary_LCIA!AD$32</f>
        <v>4.1103999999999999E-4</v>
      </c>
      <c r="AN46" s="137">
        <f>Summary_LCIA!AE$32</f>
        <v>8.8612999999999995E-4</v>
      </c>
      <c r="AO46" s="137">
        <f>Summary_LCIA!AF$32</f>
        <v>8.4542000000000005E-4</v>
      </c>
      <c r="AP46" s="137">
        <f>Summary_LCIA!AG$32</f>
        <v>5.1165000000000002E-5</v>
      </c>
      <c r="AQ46" s="137">
        <f>Summary_LCIA!AH$32</f>
        <v>8.7036000000000006E-3</v>
      </c>
      <c r="AR46" s="137">
        <f>Summary_LCIA!AI$32</f>
        <v>9.3154999999999996E-4</v>
      </c>
      <c r="AT46" s="137">
        <f t="shared" si="4"/>
        <v>14.535964399999999</v>
      </c>
      <c r="AU46" s="137">
        <f t="shared" si="5"/>
        <v>212.00992542287398</v>
      </c>
      <c r="AV46" s="137">
        <f t="shared" si="6"/>
        <v>0.22525183679999997</v>
      </c>
      <c r="AW46" s="137">
        <f t="shared" si="7"/>
        <v>14.34688564</v>
      </c>
      <c r="AX46" s="137">
        <f t="shared" si="8"/>
        <v>4.7013021999999998</v>
      </c>
      <c r="AY46" s="137">
        <f t="shared" si="9"/>
        <v>0.76632509199999999</v>
      </c>
      <c r="AZ46" s="137">
        <f t="shared" si="10"/>
        <v>2.043120058E-3</v>
      </c>
      <c r="BA46" s="137">
        <f t="shared" si="11"/>
        <v>3.2926654379999998</v>
      </c>
      <c r="BB46" s="137">
        <f t="shared" si="12"/>
        <v>0.97448284000000007</v>
      </c>
      <c r="BC46" s="137">
        <f t="shared" si="13"/>
        <v>0.66656679600000002</v>
      </c>
      <c r="BD46" s="137">
        <f t="shared" si="14"/>
        <v>1.7542830019999999E-3</v>
      </c>
      <c r="BE46" s="137">
        <f t="shared" si="15"/>
        <v>0.99912296799999989</v>
      </c>
      <c r="BF46" s="137">
        <f t="shared" si="16"/>
        <v>-9.3354429400000004E-4</v>
      </c>
      <c r="BG46" s="137">
        <f t="shared" si="17"/>
        <v>2.0911597520000001E-6</v>
      </c>
      <c r="BH46" s="137">
        <f t="shared" si="18"/>
        <v>1.758346912E-2</v>
      </c>
      <c r="BI46" s="137">
        <f t="shared" si="19"/>
        <v>3.7906869139999994E-2</v>
      </c>
      <c r="BJ46" s="137">
        <f t="shared" si="20"/>
        <v>3.616537676E-2</v>
      </c>
      <c r="BK46" s="137">
        <f t="shared" si="21"/>
        <v>2.18873637E-3</v>
      </c>
      <c r="BL46" s="137">
        <f t="shared" si="22"/>
        <v>0.37232260080000001</v>
      </c>
      <c r="BM46" s="137">
        <f t="shared" si="23"/>
        <v>3.98498459E-2</v>
      </c>
    </row>
    <row r="47" spans="1:65" x14ac:dyDescent="0.25">
      <c r="A47" s="149">
        <v>123</v>
      </c>
      <c r="B47" s="149">
        <v>6</v>
      </c>
      <c r="C47" s="61">
        <v>41.712980000000002</v>
      </c>
      <c r="D47" s="61">
        <v>-87.960780999999997</v>
      </c>
      <c r="E47" s="61" t="s">
        <v>265</v>
      </c>
      <c r="F47" s="149">
        <v>88</v>
      </c>
      <c r="G47" s="61" t="s">
        <v>674</v>
      </c>
      <c r="H47" s="61" t="s">
        <v>675</v>
      </c>
      <c r="I47" s="61">
        <v>41.786776000000003</v>
      </c>
      <c r="J47" s="61">
        <v>-87.752188000000004</v>
      </c>
      <c r="K47" s="61">
        <v>21.68769485</v>
      </c>
      <c r="L47" s="61">
        <v>26.821000000000002</v>
      </c>
      <c r="M47" s="61" t="s">
        <v>617</v>
      </c>
      <c r="N47" s="149">
        <v>5</v>
      </c>
      <c r="O47" s="149">
        <v>6</v>
      </c>
      <c r="P47" s="61" t="s">
        <v>565</v>
      </c>
      <c r="Q47" s="61" t="s">
        <v>564</v>
      </c>
      <c r="R47" s="61">
        <v>41.98028</v>
      </c>
      <c r="S47" s="61">
        <v>-87.908997900000003</v>
      </c>
      <c r="T47" s="61">
        <v>42.777999999999999</v>
      </c>
      <c r="U47" s="61" t="s">
        <v>617</v>
      </c>
      <c r="V47" s="61" t="s">
        <v>617</v>
      </c>
      <c r="W47" s="61"/>
      <c r="Y47" s="137">
        <f>Summary_LCIA!H$32</f>
        <v>0.33979999999999999</v>
      </c>
      <c r="Z47" s="137">
        <f>Summary_LCIA!Q$32</f>
        <v>4.9560504329999997</v>
      </c>
      <c r="AA47" s="137">
        <f>Summary_LCIA!R$32</f>
        <v>5.2655999999999996E-3</v>
      </c>
      <c r="AB47" s="137">
        <f>Summary_LCIA!S$32</f>
        <v>0.33538000000000001</v>
      </c>
      <c r="AC47" s="137">
        <f>Summary_LCIA!T$32</f>
        <v>0.1099</v>
      </c>
      <c r="AD47" s="137">
        <f>Summary_LCIA!U$32</f>
        <v>1.7913999999999999E-2</v>
      </c>
      <c r="AE47" s="137">
        <f>Summary_LCIA!V$32</f>
        <v>4.7760999999999999E-5</v>
      </c>
      <c r="AF47" s="137">
        <f>Summary_LCIA!W$32</f>
        <v>7.6970999999999998E-2</v>
      </c>
      <c r="AG47" s="137">
        <f>Summary_LCIA!X$32</f>
        <v>2.2780000000000002E-2</v>
      </c>
      <c r="AH47" s="137">
        <f>Summary_LCIA!Y$32</f>
        <v>1.5582E-2</v>
      </c>
      <c r="AI47" s="137">
        <f>Summary_LCIA!Z$32</f>
        <v>4.1009E-5</v>
      </c>
      <c r="AJ47" s="137">
        <f>Summary_LCIA!AA$32</f>
        <v>2.3355999999999998E-2</v>
      </c>
      <c r="AK47" s="137">
        <f>Summary_LCIA!AB$32</f>
        <v>-2.1823000000000001E-5</v>
      </c>
      <c r="AL47" s="137">
        <f>Summary_LCIA!AC$32</f>
        <v>4.8884000000000003E-8</v>
      </c>
      <c r="AM47" s="137">
        <f>Summary_LCIA!AD$32</f>
        <v>4.1103999999999999E-4</v>
      </c>
      <c r="AN47" s="137">
        <f>Summary_LCIA!AE$32</f>
        <v>8.8612999999999995E-4</v>
      </c>
      <c r="AO47" s="137">
        <f>Summary_LCIA!AF$32</f>
        <v>8.4542000000000005E-4</v>
      </c>
      <c r="AP47" s="137">
        <f>Summary_LCIA!AG$32</f>
        <v>5.1165000000000002E-5</v>
      </c>
      <c r="AQ47" s="137">
        <f>Summary_LCIA!AH$32</f>
        <v>8.7036000000000006E-3</v>
      </c>
      <c r="AR47" s="137">
        <f>Summary_LCIA!AI$32</f>
        <v>9.3154999999999996E-4</v>
      </c>
      <c r="AT47" s="137">
        <f t="shared" si="4"/>
        <v>14.535964399999999</v>
      </c>
      <c r="AU47" s="137">
        <f t="shared" si="5"/>
        <v>212.00992542287398</v>
      </c>
      <c r="AV47" s="137">
        <f t="shared" si="6"/>
        <v>0.22525183679999997</v>
      </c>
      <c r="AW47" s="137">
        <f t="shared" si="7"/>
        <v>14.34688564</v>
      </c>
      <c r="AX47" s="137">
        <f t="shared" si="8"/>
        <v>4.7013021999999998</v>
      </c>
      <c r="AY47" s="137">
        <f t="shared" si="9"/>
        <v>0.76632509199999999</v>
      </c>
      <c r="AZ47" s="137">
        <f t="shared" si="10"/>
        <v>2.043120058E-3</v>
      </c>
      <c r="BA47" s="137">
        <f t="shared" si="11"/>
        <v>3.2926654379999998</v>
      </c>
      <c r="BB47" s="137">
        <f t="shared" si="12"/>
        <v>0.97448284000000007</v>
      </c>
      <c r="BC47" s="137">
        <f t="shared" si="13"/>
        <v>0.66656679600000002</v>
      </c>
      <c r="BD47" s="137">
        <f t="shared" si="14"/>
        <v>1.7542830019999999E-3</v>
      </c>
      <c r="BE47" s="137">
        <f t="shared" si="15"/>
        <v>0.99912296799999989</v>
      </c>
      <c r="BF47" s="137">
        <f t="shared" si="16"/>
        <v>-9.3354429400000004E-4</v>
      </c>
      <c r="BG47" s="137">
        <f t="shared" si="17"/>
        <v>2.0911597520000001E-6</v>
      </c>
      <c r="BH47" s="137">
        <f t="shared" si="18"/>
        <v>1.758346912E-2</v>
      </c>
      <c r="BI47" s="137">
        <f t="shared" si="19"/>
        <v>3.7906869139999994E-2</v>
      </c>
      <c r="BJ47" s="137">
        <f t="shared" si="20"/>
        <v>3.616537676E-2</v>
      </c>
      <c r="BK47" s="137">
        <f t="shared" si="21"/>
        <v>2.18873637E-3</v>
      </c>
      <c r="BL47" s="137">
        <f t="shared" si="22"/>
        <v>0.37232260080000001</v>
      </c>
      <c r="BM47" s="137">
        <f t="shared" si="23"/>
        <v>3.98498459E-2</v>
      </c>
    </row>
    <row r="48" spans="1:65" x14ac:dyDescent="0.25">
      <c r="A48" s="149">
        <v>124</v>
      </c>
      <c r="B48" s="149">
        <v>6</v>
      </c>
      <c r="C48" s="61">
        <v>41.712980000000002</v>
      </c>
      <c r="D48" s="61">
        <v>-87.960780999999997</v>
      </c>
      <c r="E48" s="61" t="s">
        <v>265</v>
      </c>
      <c r="F48" s="149">
        <v>88</v>
      </c>
      <c r="G48" s="61" t="s">
        <v>674</v>
      </c>
      <c r="H48" s="61" t="s">
        <v>675</v>
      </c>
      <c r="I48" s="61">
        <v>41.786776000000003</v>
      </c>
      <c r="J48" s="61">
        <v>-87.752188000000004</v>
      </c>
      <c r="K48" s="61">
        <v>21.68769485</v>
      </c>
      <c r="L48" s="61">
        <v>26.821000000000002</v>
      </c>
      <c r="M48" s="61" t="s">
        <v>617</v>
      </c>
      <c r="N48" s="149">
        <v>5</v>
      </c>
      <c r="O48" s="149">
        <v>6</v>
      </c>
      <c r="P48" s="61" t="s">
        <v>565</v>
      </c>
      <c r="Q48" s="61" t="s">
        <v>564</v>
      </c>
      <c r="R48" s="61">
        <v>41.98028</v>
      </c>
      <c r="S48" s="61">
        <v>-87.908997900000003</v>
      </c>
      <c r="T48" s="61">
        <v>42.777999999999999</v>
      </c>
      <c r="U48" s="61" t="s">
        <v>617</v>
      </c>
      <c r="V48" s="61" t="s">
        <v>617</v>
      </c>
      <c r="W48" s="61"/>
      <c r="Y48" s="137">
        <f>Summary_LCIA!H$32</f>
        <v>0.33979999999999999</v>
      </c>
      <c r="Z48" s="137">
        <f>Summary_LCIA!Q$32</f>
        <v>4.9560504329999997</v>
      </c>
      <c r="AA48" s="137">
        <f>Summary_LCIA!R$32</f>
        <v>5.2655999999999996E-3</v>
      </c>
      <c r="AB48" s="137">
        <f>Summary_LCIA!S$32</f>
        <v>0.33538000000000001</v>
      </c>
      <c r="AC48" s="137">
        <f>Summary_LCIA!T$32</f>
        <v>0.1099</v>
      </c>
      <c r="AD48" s="137">
        <f>Summary_LCIA!U$32</f>
        <v>1.7913999999999999E-2</v>
      </c>
      <c r="AE48" s="137">
        <f>Summary_LCIA!V$32</f>
        <v>4.7760999999999999E-5</v>
      </c>
      <c r="AF48" s="137">
        <f>Summary_LCIA!W$32</f>
        <v>7.6970999999999998E-2</v>
      </c>
      <c r="AG48" s="137">
        <f>Summary_LCIA!X$32</f>
        <v>2.2780000000000002E-2</v>
      </c>
      <c r="AH48" s="137">
        <f>Summary_LCIA!Y$32</f>
        <v>1.5582E-2</v>
      </c>
      <c r="AI48" s="137">
        <f>Summary_LCIA!Z$32</f>
        <v>4.1009E-5</v>
      </c>
      <c r="AJ48" s="137">
        <f>Summary_LCIA!AA$32</f>
        <v>2.3355999999999998E-2</v>
      </c>
      <c r="AK48" s="137">
        <f>Summary_LCIA!AB$32</f>
        <v>-2.1823000000000001E-5</v>
      </c>
      <c r="AL48" s="137">
        <f>Summary_LCIA!AC$32</f>
        <v>4.8884000000000003E-8</v>
      </c>
      <c r="AM48" s="137">
        <f>Summary_LCIA!AD$32</f>
        <v>4.1103999999999999E-4</v>
      </c>
      <c r="AN48" s="137">
        <f>Summary_LCIA!AE$32</f>
        <v>8.8612999999999995E-4</v>
      </c>
      <c r="AO48" s="137">
        <f>Summary_LCIA!AF$32</f>
        <v>8.4542000000000005E-4</v>
      </c>
      <c r="AP48" s="137">
        <f>Summary_LCIA!AG$32</f>
        <v>5.1165000000000002E-5</v>
      </c>
      <c r="AQ48" s="137">
        <f>Summary_LCIA!AH$32</f>
        <v>8.7036000000000006E-3</v>
      </c>
      <c r="AR48" s="137">
        <f>Summary_LCIA!AI$32</f>
        <v>9.3154999999999996E-4</v>
      </c>
      <c r="AT48" s="137">
        <f t="shared" si="4"/>
        <v>14.535964399999999</v>
      </c>
      <c r="AU48" s="137">
        <f t="shared" si="5"/>
        <v>212.00992542287398</v>
      </c>
      <c r="AV48" s="137">
        <f t="shared" si="6"/>
        <v>0.22525183679999997</v>
      </c>
      <c r="AW48" s="137">
        <f t="shared" si="7"/>
        <v>14.34688564</v>
      </c>
      <c r="AX48" s="137">
        <f t="shared" si="8"/>
        <v>4.7013021999999998</v>
      </c>
      <c r="AY48" s="137">
        <f t="shared" si="9"/>
        <v>0.76632509199999999</v>
      </c>
      <c r="AZ48" s="137">
        <f t="shared" si="10"/>
        <v>2.043120058E-3</v>
      </c>
      <c r="BA48" s="137">
        <f t="shared" si="11"/>
        <v>3.2926654379999998</v>
      </c>
      <c r="BB48" s="137">
        <f t="shared" si="12"/>
        <v>0.97448284000000007</v>
      </c>
      <c r="BC48" s="137">
        <f t="shared" si="13"/>
        <v>0.66656679600000002</v>
      </c>
      <c r="BD48" s="137">
        <f t="shared" si="14"/>
        <v>1.7542830019999999E-3</v>
      </c>
      <c r="BE48" s="137">
        <f t="shared" si="15"/>
        <v>0.99912296799999989</v>
      </c>
      <c r="BF48" s="137">
        <f t="shared" si="16"/>
        <v>-9.3354429400000004E-4</v>
      </c>
      <c r="BG48" s="137">
        <f t="shared" si="17"/>
        <v>2.0911597520000001E-6</v>
      </c>
      <c r="BH48" s="137">
        <f t="shared" si="18"/>
        <v>1.758346912E-2</v>
      </c>
      <c r="BI48" s="137">
        <f t="shared" si="19"/>
        <v>3.7906869139999994E-2</v>
      </c>
      <c r="BJ48" s="137">
        <f t="shared" si="20"/>
        <v>3.616537676E-2</v>
      </c>
      <c r="BK48" s="137">
        <f t="shared" si="21"/>
        <v>2.18873637E-3</v>
      </c>
      <c r="BL48" s="137">
        <f t="shared" si="22"/>
        <v>0.37232260080000001</v>
      </c>
      <c r="BM48" s="137">
        <f t="shared" si="23"/>
        <v>3.98498459E-2</v>
      </c>
    </row>
    <row r="49" spans="1:65" x14ac:dyDescent="0.25">
      <c r="A49" s="149">
        <v>125</v>
      </c>
      <c r="B49" s="149">
        <v>6</v>
      </c>
      <c r="C49" s="61">
        <v>41.712980000000002</v>
      </c>
      <c r="D49" s="61">
        <v>-87.960780999999997</v>
      </c>
      <c r="E49" s="61" t="s">
        <v>265</v>
      </c>
      <c r="F49" s="149">
        <v>88</v>
      </c>
      <c r="G49" s="61" t="s">
        <v>674</v>
      </c>
      <c r="H49" s="61" t="s">
        <v>675</v>
      </c>
      <c r="I49" s="61">
        <v>41.786776000000003</v>
      </c>
      <c r="J49" s="61">
        <v>-87.752188000000004</v>
      </c>
      <c r="K49" s="61">
        <v>21.68769485</v>
      </c>
      <c r="L49" s="61">
        <v>26.821000000000002</v>
      </c>
      <c r="M49" s="61" t="s">
        <v>617</v>
      </c>
      <c r="N49" s="149">
        <v>5</v>
      </c>
      <c r="O49" s="149">
        <v>6</v>
      </c>
      <c r="P49" s="61" t="s">
        <v>565</v>
      </c>
      <c r="Q49" s="61" t="s">
        <v>564</v>
      </c>
      <c r="R49" s="61">
        <v>41.98028</v>
      </c>
      <c r="S49" s="61">
        <v>-87.908997900000003</v>
      </c>
      <c r="T49" s="61">
        <v>42.777999999999999</v>
      </c>
      <c r="U49" s="61" t="s">
        <v>617</v>
      </c>
      <c r="V49" s="61" t="s">
        <v>617</v>
      </c>
      <c r="W49" s="61"/>
      <c r="Y49" s="137">
        <f>Summary_LCIA!H$32</f>
        <v>0.33979999999999999</v>
      </c>
      <c r="Z49" s="137">
        <f>Summary_LCIA!Q$32</f>
        <v>4.9560504329999997</v>
      </c>
      <c r="AA49" s="137">
        <f>Summary_LCIA!R$32</f>
        <v>5.2655999999999996E-3</v>
      </c>
      <c r="AB49" s="137">
        <f>Summary_LCIA!S$32</f>
        <v>0.33538000000000001</v>
      </c>
      <c r="AC49" s="137">
        <f>Summary_LCIA!T$32</f>
        <v>0.1099</v>
      </c>
      <c r="AD49" s="137">
        <f>Summary_LCIA!U$32</f>
        <v>1.7913999999999999E-2</v>
      </c>
      <c r="AE49" s="137">
        <f>Summary_LCIA!V$32</f>
        <v>4.7760999999999999E-5</v>
      </c>
      <c r="AF49" s="137">
        <f>Summary_LCIA!W$32</f>
        <v>7.6970999999999998E-2</v>
      </c>
      <c r="AG49" s="137">
        <f>Summary_LCIA!X$32</f>
        <v>2.2780000000000002E-2</v>
      </c>
      <c r="AH49" s="137">
        <f>Summary_LCIA!Y$32</f>
        <v>1.5582E-2</v>
      </c>
      <c r="AI49" s="137">
        <f>Summary_LCIA!Z$32</f>
        <v>4.1009E-5</v>
      </c>
      <c r="AJ49" s="137">
        <f>Summary_LCIA!AA$32</f>
        <v>2.3355999999999998E-2</v>
      </c>
      <c r="AK49" s="137">
        <f>Summary_LCIA!AB$32</f>
        <v>-2.1823000000000001E-5</v>
      </c>
      <c r="AL49" s="137">
        <f>Summary_LCIA!AC$32</f>
        <v>4.8884000000000003E-8</v>
      </c>
      <c r="AM49" s="137">
        <f>Summary_LCIA!AD$32</f>
        <v>4.1103999999999999E-4</v>
      </c>
      <c r="AN49" s="137">
        <f>Summary_LCIA!AE$32</f>
        <v>8.8612999999999995E-4</v>
      </c>
      <c r="AO49" s="137">
        <f>Summary_LCIA!AF$32</f>
        <v>8.4542000000000005E-4</v>
      </c>
      <c r="AP49" s="137">
        <f>Summary_LCIA!AG$32</f>
        <v>5.1165000000000002E-5</v>
      </c>
      <c r="AQ49" s="137">
        <f>Summary_LCIA!AH$32</f>
        <v>8.7036000000000006E-3</v>
      </c>
      <c r="AR49" s="137">
        <f>Summary_LCIA!AI$32</f>
        <v>9.3154999999999996E-4</v>
      </c>
      <c r="AT49" s="137">
        <f t="shared" si="4"/>
        <v>14.535964399999999</v>
      </c>
      <c r="AU49" s="137">
        <f t="shared" si="5"/>
        <v>212.00992542287398</v>
      </c>
      <c r="AV49" s="137">
        <f t="shared" si="6"/>
        <v>0.22525183679999997</v>
      </c>
      <c r="AW49" s="137">
        <f t="shared" si="7"/>
        <v>14.34688564</v>
      </c>
      <c r="AX49" s="137">
        <f t="shared" si="8"/>
        <v>4.7013021999999998</v>
      </c>
      <c r="AY49" s="137">
        <f t="shared" si="9"/>
        <v>0.76632509199999999</v>
      </c>
      <c r="AZ49" s="137">
        <f t="shared" si="10"/>
        <v>2.043120058E-3</v>
      </c>
      <c r="BA49" s="137">
        <f t="shared" si="11"/>
        <v>3.2926654379999998</v>
      </c>
      <c r="BB49" s="137">
        <f t="shared" si="12"/>
        <v>0.97448284000000007</v>
      </c>
      <c r="BC49" s="137">
        <f t="shared" si="13"/>
        <v>0.66656679600000002</v>
      </c>
      <c r="BD49" s="137">
        <f t="shared" si="14"/>
        <v>1.7542830019999999E-3</v>
      </c>
      <c r="BE49" s="137">
        <f t="shared" si="15"/>
        <v>0.99912296799999989</v>
      </c>
      <c r="BF49" s="137">
        <f t="shared" si="16"/>
        <v>-9.3354429400000004E-4</v>
      </c>
      <c r="BG49" s="137">
        <f t="shared" si="17"/>
        <v>2.0911597520000001E-6</v>
      </c>
      <c r="BH49" s="137">
        <f t="shared" si="18"/>
        <v>1.758346912E-2</v>
      </c>
      <c r="BI49" s="137">
        <f t="shared" si="19"/>
        <v>3.7906869139999994E-2</v>
      </c>
      <c r="BJ49" s="137">
        <f t="shared" si="20"/>
        <v>3.616537676E-2</v>
      </c>
      <c r="BK49" s="137">
        <f t="shared" si="21"/>
        <v>2.18873637E-3</v>
      </c>
      <c r="BL49" s="137">
        <f t="shared" si="22"/>
        <v>0.37232260080000001</v>
      </c>
      <c r="BM49" s="137">
        <f t="shared" si="23"/>
        <v>3.98498459E-2</v>
      </c>
    </row>
    <row r="50" spans="1:65" x14ac:dyDescent="0.25">
      <c r="A50" s="149">
        <v>126</v>
      </c>
      <c r="B50" s="149">
        <v>6</v>
      </c>
      <c r="C50" s="61">
        <v>41.712980000000002</v>
      </c>
      <c r="D50" s="61">
        <v>-87.960780999999997</v>
      </c>
      <c r="E50" s="61" t="s">
        <v>265</v>
      </c>
      <c r="F50" s="149">
        <v>88</v>
      </c>
      <c r="G50" s="61" t="s">
        <v>674</v>
      </c>
      <c r="H50" s="61" t="s">
        <v>675</v>
      </c>
      <c r="I50" s="61">
        <v>41.786776000000003</v>
      </c>
      <c r="J50" s="61">
        <v>-87.752188000000004</v>
      </c>
      <c r="K50" s="61">
        <v>21.68769485</v>
      </c>
      <c r="L50" s="61">
        <v>26.821000000000002</v>
      </c>
      <c r="M50" s="61" t="s">
        <v>617</v>
      </c>
      <c r="N50" s="149">
        <v>5</v>
      </c>
      <c r="O50" s="149">
        <v>6</v>
      </c>
      <c r="P50" s="61" t="s">
        <v>565</v>
      </c>
      <c r="Q50" s="61" t="s">
        <v>564</v>
      </c>
      <c r="R50" s="61">
        <v>41.98028</v>
      </c>
      <c r="S50" s="61">
        <v>-87.908997900000003</v>
      </c>
      <c r="T50" s="61">
        <v>42.777999999999999</v>
      </c>
      <c r="U50" s="61" t="s">
        <v>617</v>
      </c>
      <c r="V50" s="61" t="s">
        <v>617</v>
      </c>
      <c r="W50" s="61"/>
      <c r="Y50" s="137">
        <f>Summary_LCIA!H$32</f>
        <v>0.33979999999999999</v>
      </c>
      <c r="Z50" s="137">
        <f>Summary_LCIA!Q$32</f>
        <v>4.9560504329999997</v>
      </c>
      <c r="AA50" s="137">
        <f>Summary_LCIA!R$32</f>
        <v>5.2655999999999996E-3</v>
      </c>
      <c r="AB50" s="137">
        <f>Summary_LCIA!S$32</f>
        <v>0.33538000000000001</v>
      </c>
      <c r="AC50" s="137">
        <f>Summary_LCIA!T$32</f>
        <v>0.1099</v>
      </c>
      <c r="AD50" s="137">
        <f>Summary_LCIA!U$32</f>
        <v>1.7913999999999999E-2</v>
      </c>
      <c r="AE50" s="137">
        <f>Summary_LCIA!V$32</f>
        <v>4.7760999999999999E-5</v>
      </c>
      <c r="AF50" s="137">
        <f>Summary_LCIA!W$32</f>
        <v>7.6970999999999998E-2</v>
      </c>
      <c r="AG50" s="137">
        <f>Summary_LCIA!X$32</f>
        <v>2.2780000000000002E-2</v>
      </c>
      <c r="AH50" s="137">
        <f>Summary_LCIA!Y$32</f>
        <v>1.5582E-2</v>
      </c>
      <c r="AI50" s="137">
        <f>Summary_LCIA!Z$32</f>
        <v>4.1009E-5</v>
      </c>
      <c r="AJ50" s="137">
        <f>Summary_LCIA!AA$32</f>
        <v>2.3355999999999998E-2</v>
      </c>
      <c r="AK50" s="137">
        <f>Summary_LCIA!AB$32</f>
        <v>-2.1823000000000001E-5</v>
      </c>
      <c r="AL50" s="137">
        <f>Summary_LCIA!AC$32</f>
        <v>4.8884000000000003E-8</v>
      </c>
      <c r="AM50" s="137">
        <f>Summary_LCIA!AD$32</f>
        <v>4.1103999999999999E-4</v>
      </c>
      <c r="AN50" s="137">
        <f>Summary_LCIA!AE$32</f>
        <v>8.8612999999999995E-4</v>
      </c>
      <c r="AO50" s="137">
        <f>Summary_LCIA!AF$32</f>
        <v>8.4542000000000005E-4</v>
      </c>
      <c r="AP50" s="137">
        <f>Summary_LCIA!AG$32</f>
        <v>5.1165000000000002E-5</v>
      </c>
      <c r="AQ50" s="137">
        <f>Summary_LCIA!AH$32</f>
        <v>8.7036000000000006E-3</v>
      </c>
      <c r="AR50" s="137">
        <f>Summary_LCIA!AI$32</f>
        <v>9.3154999999999996E-4</v>
      </c>
      <c r="AT50" s="137">
        <f t="shared" si="4"/>
        <v>14.535964399999999</v>
      </c>
      <c r="AU50" s="137">
        <f t="shared" si="5"/>
        <v>212.00992542287398</v>
      </c>
      <c r="AV50" s="137">
        <f t="shared" si="6"/>
        <v>0.22525183679999997</v>
      </c>
      <c r="AW50" s="137">
        <f t="shared" si="7"/>
        <v>14.34688564</v>
      </c>
      <c r="AX50" s="137">
        <f t="shared" si="8"/>
        <v>4.7013021999999998</v>
      </c>
      <c r="AY50" s="137">
        <f t="shared" si="9"/>
        <v>0.76632509199999999</v>
      </c>
      <c r="AZ50" s="137">
        <f t="shared" si="10"/>
        <v>2.043120058E-3</v>
      </c>
      <c r="BA50" s="137">
        <f t="shared" si="11"/>
        <v>3.2926654379999998</v>
      </c>
      <c r="BB50" s="137">
        <f t="shared" si="12"/>
        <v>0.97448284000000007</v>
      </c>
      <c r="BC50" s="137">
        <f t="shared" si="13"/>
        <v>0.66656679600000002</v>
      </c>
      <c r="BD50" s="137">
        <f t="shared" si="14"/>
        <v>1.7542830019999999E-3</v>
      </c>
      <c r="BE50" s="137">
        <f t="shared" si="15"/>
        <v>0.99912296799999989</v>
      </c>
      <c r="BF50" s="137">
        <f t="shared" si="16"/>
        <v>-9.3354429400000004E-4</v>
      </c>
      <c r="BG50" s="137">
        <f t="shared" si="17"/>
        <v>2.0911597520000001E-6</v>
      </c>
      <c r="BH50" s="137">
        <f t="shared" si="18"/>
        <v>1.758346912E-2</v>
      </c>
      <c r="BI50" s="137">
        <f t="shared" si="19"/>
        <v>3.7906869139999994E-2</v>
      </c>
      <c r="BJ50" s="137">
        <f t="shared" si="20"/>
        <v>3.616537676E-2</v>
      </c>
      <c r="BK50" s="137">
        <f t="shared" si="21"/>
        <v>2.18873637E-3</v>
      </c>
      <c r="BL50" s="137">
        <f t="shared" si="22"/>
        <v>0.37232260080000001</v>
      </c>
      <c r="BM50" s="137">
        <f t="shared" si="23"/>
        <v>3.98498459E-2</v>
      </c>
    </row>
    <row r="51" spans="1:65" x14ac:dyDescent="0.25">
      <c r="A51" s="149">
        <v>207</v>
      </c>
      <c r="B51" s="149">
        <v>16</v>
      </c>
      <c r="C51" s="61">
        <v>39.739235999999998</v>
      </c>
      <c r="D51" s="61">
        <v>-104.990251</v>
      </c>
      <c r="E51" s="61" t="s">
        <v>265</v>
      </c>
      <c r="F51" s="149">
        <v>16</v>
      </c>
      <c r="G51" s="61" t="s">
        <v>565</v>
      </c>
      <c r="H51" s="61" t="s">
        <v>645</v>
      </c>
      <c r="I51" s="61">
        <v>39.856096000000001</v>
      </c>
      <c r="J51" s="61">
        <v>-104.673738</v>
      </c>
      <c r="K51" s="61">
        <v>32.480303239999998</v>
      </c>
      <c r="L51" s="61">
        <v>43.084000000000003</v>
      </c>
      <c r="M51" s="61" t="s">
        <v>617</v>
      </c>
      <c r="N51" s="149">
        <v>15</v>
      </c>
      <c r="O51" s="149">
        <v>16</v>
      </c>
      <c r="P51" s="61" t="s">
        <v>565</v>
      </c>
      <c r="Q51" s="61" t="s">
        <v>556</v>
      </c>
      <c r="R51" s="61">
        <v>39.856096299999997</v>
      </c>
      <c r="S51" s="61">
        <v>-104.6737376</v>
      </c>
      <c r="T51" s="61">
        <v>43.084000000000003</v>
      </c>
      <c r="U51" s="61" t="s">
        <v>617</v>
      </c>
      <c r="V51" s="61" t="s">
        <v>617</v>
      </c>
      <c r="W51" s="61"/>
      <c r="Y51" s="137">
        <f>Summary_LCIA!H$32</f>
        <v>0.33979999999999999</v>
      </c>
      <c r="Z51" s="137">
        <f>Summary_LCIA!Q$32</f>
        <v>4.9560504329999997</v>
      </c>
      <c r="AA51" s="137">
        <f>Summary_LCIA!R$32</f>
        <v>5.2655999999999996E-3</v>
      </c>
      <c r="AB51" s="137">
        <f>Summary_LCIA!S$32</f>
        <v>0.33538000000000001</v>
      </c>
      <c r="AC51" s="137">
        <f>Summary_LCIA!T$32</f>
        <v>0.1099</v>
      </c>
      <c r="AD51" s="137">
        <f>Summary_LCIA!U$32</f>
        <v>1.7913999999999999E-2</v>
      </c>
      <c r="AE51" s="137">
        <f>Summary_LCIA!V$32</f>
        <v>4.7760999999999999E-5</v>
      </c>
      <c r="AF51" s="137">
        <f>Summary_LCIA!W$32</f>
        <v>7.6970999999999998E-2</v>
      </c>
      <c r="AG51" s="137">
        <f>Summary_LCIA!X$32</f>
        <v>2.2780000000000002E-2</v>
      </c>
      <c r="AH51" s="137">
        <f>Summary_LCIA!Y$32</f>
        <v>1.5582E-2</v>
      </c>
      <c r="AI51" s="137">
        <f>Summary_LCIA!Z$32</f>
        <v>4.1009E-5</v>
      </c>
      <c r="AJ51" s="137">
        <f>Summary_LCIA!AA$32</f>
        <v>2.3355999999999998E-2</v>
      </c>
      <c r="AK51" s="137">
        <f>Summary_LCIA!AB$32</f>
        <v>-2.1823000000000001E-5</v>
      </c>
      <c r="AL51" s="137">
        <f>Summary_LCIA!AC$32</f>
        <v>4.8884000000000003E-8</v>
      </c>
      <c r="AM51" s="137">
        <f>Summary_LCIA!AD$32</f>
        <v>4.1103999999999999E-4</v>
      </c>
      <c r="AN51" s="137">
        <f>Summary_LCIA!AE$32</f>
        <v>8.8612999999999995E-4</v>
      </c>
      <c r="AO51" s="137">
        <f>Summary_LCIA!AF$32</f>
        <v>8.4542000000000005E-4</v>
      </c>
      <c r="AP51" s="137">
        <f>Summary_LCIA!AG$32</f>
        <v>5.1165000000000002E-5</v>
      </c>
      <c r="AQ51" s="137">
        <f>Summary_LCIA!AH$32</f>
        <v>8.7036000000000006E-3</v>
      </c>
      <c r="AR51" s="137">
        <f>Summary_LCIA!AI$32</f>
        <v>9.3154999999999996E-4</v>
      </c>
      <c r="AT51" s="137">
        <f t="shared" si="4"/>
        <v>14.639943200000001</v>
      </c>
      <c r="AU51" s="137">
        <f t="shared" si="5"/>
        <v>213.52647685537201</v>
      </c>
      <c r="AV51" s="137">
        <f t="shared" si="6"/>
        <v>0.22686311040000001</v>
      </c>
      <c r="AW51" s="137">
        <f t="shared" si="7"/>
        <v>14.449511920000001</v>
      </c>
      <c r="AX51" s="137">
        <f t="shared" si="8"/>
        <v>4.7349316000000004</v>
      </c>
      <c r="AY51" s="137">
        <f t="shared" si="9"/>
        <v>0.77180677600000003</v>
      </c>
      <c r="AZ51" s="137">
        <f t="shared" si="10"/>
        <v>2.0577349240000001E-3</v>
      </c>
      <c r="BA51" s="137">
        <f t="shared" si="11"/>
        <v>3.3162185640000001</v>
      </c>
      <c r="BB51" s="137">
        <f t="shared" si="12"/>
        <v>0.98145352000000019</v>
      </c>
      <c r="BC51" s="137">
        <f t="shared" si="13"/>
        <v>0.67133488800000007</v>
      </c>
      <c r="BD51" s="137">
        <f t="shared" si="14"/>
        <v>1.7668317560000002E-3</v>
      </c>
      <c r="BE51" s="137">
        <f t="shared" si="15"/>
        <v>1.006269904</v>
      </c>
      <c r="BF51" s="137">
        <f t="shared" si="16"/>
        <v>-9.4022213200000012E-4</v>
      </c>
      <c r="BG51" s="137">
        <f t="shared" si="17"/>
        <v>2.1061182560000002E-6</v>
      </c>
      <c r="BH51" s="137">
        <f t="shared" si="18"/>
        <v>1.7709247359999999E-2</v>
      </c>
      <c r="BI51" s="137">
        <f t="shared" si="19"/>
        <v>3.8178024919999998E-2</v>
      </c>
      <c r="BJ51" s="137">
        <f t="shared" si="20"/>
        <v>3.6424075280000003E-2</v>
      </c>
      <c r="BK51" s="137">
        <f t="shared" si="21"/>
        <v>2.2043928600000004E-3</v>
      </c>
      <c r="BL51" s="137">
        <f t="shared" si="22"/>
        <v>0.37498590240000007</v>
      </c>
      <c r="BM51" s="137">
        <f t="shared" si="23"/>
        <v>4.0134900200000004E-2</v>
      </c>
    </row>
    <row r="52" spans="1:65" x14ac:dyDescent="0.25">
      <c r="A52" s="149">
        <v>208</v>
      </c>
      <c r="B52" s="149">
        <v>16</v>
      </c>
      <c r="C52" s="61">
        <v>39.739235999999998</v>
      </c>
      <c r="D52" s="61">
        <v>-104.990251</v>
      </c>
      <c r="E52" s="61" t="s">
        <v>265</v>
      </c>
      <c r="F52" s="149">
        <v>16</v>
      </c>
      <c r="G52" s="61" t="s">
        <v>565</v>
      </c>
      <c r="H52" s="61" t="s">
        <v>645</v>
      </c>
      <c r="I52" s="61">
        <v>39.856096000000001</v>
      </c>
      <c r="J52" s="61">
        <v>-104.673738</v>
      </c>
      <c r="K52" s="61">
        <v>32.480303239999998</v>
      </c>
      <c r="L52" s="61">
        <v>43.084000000000003</v>
      </c>
      <c r="M52" s="61" t="s">
        <v>617</v>
      </c>
      <c r="N52" s="149">
        <v>15</v>
      </c>
      <c r="O52" s="149">
        <v>16</v>
      </c>
      <c r="P52" s="61" t="s">
        <v>565</v>
      </c>
      <c r="Q52" s="61" t="s">
        <v>556</v>
      </c>
      <c r="R52" s="61">
        <v>39.856096299999997</v>
      </c>
      <c r="S52" s="61">
        <v>-104.6737376</v>
      </c>
      <c r="T52" s="61">
        <v>43.084000000000003</v>
      </c>
      <c r="U52" s="61" t="s">
        <v>617</v>
      </c>
      <c r="V52" s="61" t="s">
        <v>617</v>
      </c>
      <c r="W52" s="61"/>
      <c r="Y52" s="137">
        <f>Summary_LCIA!H$32</f>
        <v>0.33979999999999999</v>
      </c>
      <c r="Z52" s="137">
        <f>Summary_LCIA!Q$32</f>
        <v>4.9560504329999997</v>
      </c>
      <c r="AA52" s="137">
        <f>Summary_LCIA!R$32</f>
        <v>5.2655999999999996E-3</v>
      </c>
      <c r="AB52" s="137">
        <f>Summary_LCIA!S$32</f>
        <v>0.33538000000000001</v>
      </c>
      <c r="AC52" s="137">
        <f>Summary_LCIA!T$32</f>
        <v>0.1099</v>
      </c>
      <c r="AD52" s="137">
        <f>Summary_LCIA!U$32</f>
        <v>1.7913999999999999E-2</v>
      </c>
      <c r="AE52" s="137">
        <f>Summary_LCIA!V$32</f>
        <v>4.7760999999999999E-5</v>
      </c>
      <c r="AF52" s="137">
        <f>Summary_LCIA!W$32</f>
        <v>7.6970999999999998E-2</v>
      </c>
      <c r="AG52" s="137">
        <f>Summary_LCIA!X$32</f>
        <v>2.2780000000000002E-2</v>
      </c>
      <c r="AH52" s="137">
        <f>Summary_LCIA!Y$32</f>
        <v>1.5582E-2</v>
      </c>
      <c r="AI52" s="137">
        <f>Summary_LCIA!Z$32</f>
        <v>4.1009E-5</v>
      </c>
      <c r="AJ52" s="137">
        <f>Summary_LCIA!AA$32</f>
        <v>2.3355999999999998E-2</v>
      </c>
      <c r="AK52" s="137">
        <f>Summary_LCIA!AB$32</f>
        <v>-2.1823000000000001E-5</v>
      </c>
      <c r="AL52" s="137">
        <f>Summary_LCIA!AC$32</f>
        <v>4.8884000000000003E-8</v>
      </c>
      <c r="AM52" s="137">
        <f>Summary_LCIA!AD$32</f>
        <v>4.1103999999999999E-4</v>
      </c>
      <c r="AN52" s="137">
        <f>Summary_LCIA!AE$32</f>
        <v>8.8612999999999995E-4</v>
      </c>
      <c r="AO52" s="137">
        <f>Summary_LCIA!AF$32</f>
        <v>8.4542000000000005E-4</v>
      </c>
      <c r="AP52" s="137">
        <f>Summary_LCIA!AG$32</f>
        <v>5.1165000000000002E-5</v>
      </c>
      <c r="AQ52" s="137">
        <f>Summary_LCIA!AH$32</f>
        <v>8.7036000000000006E-3</v>
      </c>
      <c r="AR52" s="137">
        <f>Summary_LCIA!AI$32</f>
        <v>9.3154999999999996E-4</v>
      </c>
      <c r="AT52" s="137">
        <f t="shared" si="4"/>
        <v>14.639943200000001</v>
      </c>
      <c r="AU52" s="137">
        <f t="shared" si="5"/>
        <v>213.52647685537201</v>
      </c>
      <c r="AV52" s="137">
        <f t="shared" si="6"/>
        <v>0.22686311040000001</v>
      </c>
      <c r="AW52" s="137">
        <f t="shared" si="7"/>
        <v>14.449511920000001</v>
      </c>
      <c r="AX52" s="137">
        <f t="shared" si="8"/>
        <v>4.7349316000000004</v>
      </c>
      <c r="AY52" s="137">
        <f t="shared" si="9"/>
        <v>0.77180677600000003</v>
      </c>
      <c r="AZ52" s="137">
        <f t="shared" si="10"/>
        <v>2.0577349240000001E-3</v>
      </c>
      <c r="BA52" s="137">
        <f t="shared" si="11"/>
        <v>3.3162185640000001</v>
      </c>
      <c r="BB52" s="137">
        <f t="shared" si="12"/>
        <v>0.98145352000000019</v>
      </c>
      <c r="BC52" s="137">
        <f t="shared" si="13"/>
        <v>0.67133488800000007</v>
      </c>
      <c r="BD52" s="137">
        <f t="shared" si="14"/>
        <v>1.7668317560000002E-3</v>
      </c>
      <c r="BE52" s="137">
        <f t="shared" si="15"/>
        <v>1.006269904</v>
      </c>
      <c r="BF52" s="137">
        <f t="shared" si="16"/>
        <v>-9.4022213200000012E-4</v>
      </c>
      <c r="BG52" s="137">
        <f t="shared" si="17"/>
        <v>2.1061182560000002E-6</v>
      </c>
      <c r="BH52" s="137">
        <f t="shared" si="18"/>
        <v>1.7709247359999999E-2</v>
      </c>
      <c r="BI52" s="137">
        <f t="shared" si="19"/>
        <v>3.8178024919999998E-2</v>
      </c>
      <c r="BJ52" s="137">
        <f t="shared" si="20"/>
        <v>3.6424075280000003E-2</v>
      </c>
      <c r="BK52" s="137">
        <f t="shared" si="21"/>
        <v>2.2043928600000004E-3</v>
      </c>
      <c r="BL52" s="137">
        <f t="shared" si="22"/>
        <v>0.37498590240000007</v>
      </c>
      <c r="BM52" s="137">
        <f t="shared" si="23"/>
        <v>4.0134900200000004E-2</v>
      </c>
    </row>
    <row r="53" spans="1:65" x14ac:dyDescent="0.25">
      <c r="A53" s="149">
        <v>228</v>
      </c>
      <c r="B53" s="149">
        <v>6</v>
      </c>
      <c r="C53" s="61">
        <v>41.743507000000001</v>
      </c>
      <c r="D53" s="61">
        <v>-88.011847000000003</v>
      </c>
      <c r="E53" s="61" t="s">
        <v>265</v>
      </c>
      <c r="F53" s="149">
        <v>88</v>
      </c>
      <c r="G53" s="61" t="s">
        <v>674</v>
      </c>
      <c r="H53" s="61" t="s">
        <v>675</v>
      </c>
      <c r="I53" s="61">
        <v>41.786776000000003</v>
      </c>
      <c r="J53" s="61">
        <v>-87.752188000000004</v>
      </c>
      <c r="K53" s="61">
        <v>22.97844104</v>
      </c>
      <c r="L53" s="61">
        <v>30.356000000000002</v>
      </c>
      <c r="M53" s="61" t="s">
        <v>617</v>
      </c>
      <c r="N53" s="149">
        <v>5</v>
      </c>
      <c r="O53" s="149">
        <v>6</v>
      </c>
      <c r="P53" s="61" t="s">
        <v>565</v>
      </c>
      <c r="Q53" s="61" t="s">
        <v>564</v>
      </c>
      <c r="R53" s="61">
        <v>41.98028</v>
      </c>
      <c r="S53" s="61">
        <v>-87.908997900000003</v>
      </c>
      <c r="T53" s="61">
        <v>44.277999999999999</v>
      </c>
      <c r="U53" s="61" t="s">
        <v>617</v>
      </c>
      <c r="V53" s="61" t="s">
        <v>617</v>
      </c>
      <c r="W53" s="61"/>
      <c r="Y53" s="137">
        <f>Summary_LCIA!H$32</f>
        <v>0.33979999999999999</v>
      </c>
      <c r="Z53" s="137">
        <f>Summary_LCIA!Q$32</f>
        <v>4.9560504329999997</v>
      </c>
      <c r="AA53" s="137">
        <f>Summary_LCIA!R$32</f>
        <v>5.2655999999999996E-3</v>
      </c>
      <c r="AB53" s="137">
        <f>Summary_LCIA!S$32</f>
        <v>0.33538000000000001</v>
      </c>
      <c r="AC53" s="137">
        <f>Summary_LCIA!T$32</f>
        <v>0.1099</v>
      </c>
      <c r="AD53" s="137">
        <f>Summary_LCIA!U$32</f>
        <v>1.7913999999999999E-2</v>
      </c>
      <c r="AE53" s="137">
        <f>Summary_LCIA!V$32</f>
        <v>4.7760999999999999E-5</v>
      </c>
      <c r="AF53" s="137">
        <f>Summary_LCIA!W$32</f>
        <v>7.6970999999999998E-2</v>
      </c>
      <c r="AG53" s="137">
        <f>Summary_LCIA!X$32</f>
        <v>2.2780000000000002E-2</v>
      </c>
      <c r="AH53" s="137">
        <f>Summary_LCIA!Y$32</f>
        <v>1.5582E-2</v>
      </c>
      <c r="AI53" s="137">
        <f>Summary_LCIA!Z$32</f>
        <v>4.1009E-5</v>
      </c>
      <c r="AJ53" s="137">
        <f>Summary_LCIA!AA$32</f>
        <v>2.3355999999999998E-2</v>
      </c>
      <c r="AK53" s="137">
        <f>Summary_LCIA!AB$32</f>
        <v>-2.1823000000000001E-5</v>
      </c>
      <c r="AL53" s="137">
        <f>Summary_LCIA!AC$32</f>
        <v>4.8884000000000003E-8</v>
      </c>
      <c r="AM53" s="137">
        <f>Summary_LCIA!AD$32</f>
        <v>4.1103999999999999E-4</v>
      </c>
      <c r="AN53" s="137">
        <f>Summary_LCIA!AE$32</f>
        <v>8.8612999999999995E-4</v>
      </c>
      <c r="AO53" s="137">
        <f>Summary_LCIA!AF$32</f>
        <v>8.4542000000000005E-4</v>
      </c>
      <c r="AP53" s="137">
        <f>Summary_LCIA!AG$32</f>
        <v>5.1165000000000002E-5</v>
      </c>
      <c r="AQ53" s="137">
        <f>Summary_LCIA!AH$32</f>
        <v>8.7036000000000006E-3</v>
      </c>
      <c r="AR53" s="137">
        <f>Summary_LCIA!AI$32</f>
        <v>9.3154999999999996E-4</v>
      </c>
      <c r="AT53" s="137">
        <f t="shared" si="4"/>
        <v>15.0456644</v>
      </c>
      <c r="AU53" s="137">
        <f t="shared" si="5"/>
        <v>219.44400107237399</v>
      </c>
      <c r="AV53" s="137">
        <f t="shared" si="6"/>
        <v>0.23315023679999997</v>
      </c>
      <c r="AW53" s="137">
        <f t="shared" si="7"/>
        <v>14.849955639999999</v>
      </c>
      <c r="AX53" s="137">
        <f t="shared" si="8"/>
        <v>4.8661522000000001</v>
      </c>
      <c r="AY53" s="137">
        <f t="shared" si="9"/>
        <v>0.79319609199999996</v>
      </c>
      <c r="AZ53" s="137">
        <f t="shared" si="10"/>
        <v>2.1147615580000001E-3</v>
      </c>
      <c r="BA53" s="137">
        <f t="shared" si="11"/>
        <v>3.4081219379999999</v>
      </c>
      <c r="BB53" s="137">
        <f t="shared" si="12"/>
        <v>1.0086528400000001</v>
      </c>
      <c r="BC53" s="137">
        <f t="shared" si="13"/>
        <v>0.68993979599999999</v>
      </c>
      <c r="BD53" s="137">
        <f t="shared" si="14"/>
        <v>1.8157965019999999E-3</v>
      </c>
      <c r="BE53" s="137">
        <f t="shared" si="15"/>
        <v>1.0341569679999998</v>
      </c>
      <c r="BF53" s="137">
        <f t="shared" si="16"/>
        <v>-9.6627879399999997E-4</v>
      </c>
      <c r="BG53" s="137">
        <f t="shared" si="17"/>
        <v>2.1644857520000002E-6</v>
      </c>
      <c r="BH53" s="137">
        <f t="shared" si="18"/>
        <v>1.8200029119999999E-2</v>
      </c>
      <c r="BI53" s="137">
        <f t="shared" si="19"/>
        <v>3.9236064139999999E-2</v>
      </c>
      <c r="BJ53" s="137">
        <f t="shared" si="20"/>
        <v>3.7433506759999999E-2</v>
      </c>
      <c r="BK53" s="137">
        <f t="shared" si="21"/>
        <v>2.26548387E-3</v>
      </c>
      <c r="BL53" s="137">
        <f t="shared" si="22"/>
        <v>0.38537800080000001</v>
      </c>
      <c r="BM53" s="137">
        <f t="shared" si="23"/>
        <v>4.1247170899999998E-2</v>
      </c>
    </row>
    <row r="54" spans="1:65" x14ac:dyDescent="0.25">
      <c r="A54" s="149">
        <v>229</v>
      </c>
      <c r="B54" s="149">
        <v>6</v>
      </c>
      <c r="C54" s="61">
        <v>41.743507000000001</v>
      </c>
      <c r="D54" s="61">
        <v>-88.011847000000003</v>
      </c>
      <c r="E54" s="61" t="s">
        <v>265</v>
      </c>
      <c r="F54" s="149">
        <v>88</v>
      </c>
      <c r="G54" s="61" t="s">
        <v>674</v>
      </c>
      <c r="H54" s="61" t="s">
        <v>675</v>
      </c>
      <c r="I54" s="61">
        <v>41.786776000000003</v>
      </c>
      <c r="J54" s="61">
        <v>-87.752188000000004</v>
      </c>
      <c r="K54" s="61">
        <v>22.97844104</v>
      </c>
      <c r="L54" s="61">
        <v>30.356000000000002</v>
      </c>
      <c r="M54" s="61" t="s">
        <v>617</v>
      </c>
      <c r="N54" s="149">
        <v>5</v>
      </c>
      <c r="O54" s="149">
        <v>6</v>
      </c>
      <c r="P54" s="61" t="s">
        <v>565</v>
      </c>
      <c r="Q54" s="61" t="s">
        <v>564</v>
      </c>
      <c r="R54" s="61">
        <v>41.98028</v>
      </c>
      <c r="S54" s="61">
        <v>-87.908997900000003</v>
      </c>
      <c r="T54" s="61">
        <v>44.277999999999999</v>
      </c>
      <c r="U54" s="61" t="s">
        <v>617</v>
      </c>
      <c r="V54" s="61" t="s">
        <v>617</v>
      </c>
      <c r="W54" s="61"/>
      <c r="Y54" s="137">
        <f>Summary_LCIA!H$32</f>
        <v>0.33979999999999999</v>
      </c>
      <c r="Z54" s="137">
        <f>Summary_LCIA!Q$32</f>
        <v>4.9560504329999997</v>
      </c>
      <c r="AA54" s="137">
        <f>Summary_LCIA!R$32</f>
        <v>5.2655999999999996E-3</v>
      </c>
      <c r="AB54" s="137">
        <f>Summary_LCIA!S$32</f>
        <v>0.33538000000000001</v>
      </c>
      <c r="AC54" s="137">
        <f>Summary_LCIA!T$32</f>
        <v>0.1099</v>
      </c>
      <c r="AD54" s="137">
        <f>Summary_LCIA!U$32</f>
        <v>1.7913999999999999E-2</v>
      </c>
      <c r="AE54" s="137">
        <f>Summary_LCIA!V$32</f>
        <v>4.7760999999999999E-5</v>
      </c>
      <c r="AF54" s="137">
        <f>Summary_LCIA!W$32</f>
        <v>7.6970999999999998E-2</v>
      </c>
      <c r="AG54" s="137">
        <f>Summary_LCIA!X$32</f>
        <v>2.2780000000000002E-2</v>
      </c>
      <c r="AH54" s="137">
        <f>Summary_LCIA!Y$32</f>
        <v>1.5582E-2</v>
      </c>
      <c r="AI54" s="137">
        <f>Summary_LCIA!Z$32</f>
        <v>4.1009E-5</v>
      </c>
      <c r="AJ54" s="137">
        <f>Summary_LCIA!AA$32</f>
        <v>2.3355999999999998E-2</v>
      </c>
      <c r="AK54" s="137">
        <f>Summary_LCIA!AB$32</f>
        <v>-2.1823000000000001E-5</v>
      </c>
      <c r="AL54" s="137">
        <f>Summary_LCIA!AC$32</f>
        <v>4.8884000000000003E-8</v>
      </c>
      <c r="AM54" s="137">
        <f>Summary_LCIA!AD$32</f>
        <v>4.1103999999999999E-4</v>
      </c>
      <c r="AN54" s="137">
        <f>Summary_LCIA!AE$32</f>
        <v>8.8612999999999995E-4</v>
      </c>
      <c r="AO54" s="137">
        <f>Summary_LCIA!AF$32</f>
        <v>8.4542000000000005E-4</v>
      </c>
      <c r="AP54" s="137">
        <f>Summary_LCIA!AG$32</f>
        <v>5.1165000000000002E-5</v>
      </c>
      <c r="AQ54" s="137">
        <f>Summary_LCIA!AH$32</f>
        <v>8.7036000000000006E-3</v>
      </c>
      <c r="AR54" s="137">
        <f>Summary_LCIA!AI$32</f>
        <v>9.3154999999999996E-4</v>
      </c>
      <c r="AT54" s="137">
        <f t="shared" si="4"/>
        <v>15.0456644</v>
      </c>
      <c r="AU54" s="137">
        <f t="shared" si="5"/>
        <v>219.44400107237399</v>
      </c>
      <c r="AV54" s="137">
        <f t="shared" si="6"/>
        <v>0.23315023679999997</v>
      </c>
      <c r="AW54" s="137">
        <f t="shared" si="7"/>
        <v>14.849955639999999</v>
      </c>
      <c r="AX54" s="137">
        <f t="shared" si="8"/>
        <v>4.8661522000000001</v>
      </c>
      <c r="AY54" s="137">
        <f t="shared" si="9"/>
        <v>0.79319609199999996</v>
      </c>
      <c r="AZ54" s="137">
        <f t="shared" si="10"/>
        <v>2.1147615580000001E-3</v>
      </c>
      <c r="BA54" s="137">
        <f t="shared" si="11"/>
        <v>3.4081219379999999</v>
      </c>
      <c r="BB54" s="137">
        <f t="shared" si="12"/>
        <v>1.0086528400000001</v>
      </c>
      <c r="BC54" s="137">
        <f t="shared" si="13"/>
        <v>0.68993979599999999</v>
      </c>
      <c r="BD54" s="137">
        <f t="shared" si="14"/>
        <v>1.8157965019999999E-3</v>
      </c>
      <c r="BE54" s="137">
        <f t="shared" si="15"/>
        <v>1.0341569679999998</v>
      </c>
      <c r="BF54" s="137">
        <f t="shared" si="16"/>
        <v>-9.6627879399999997E-4</v>
      </c>
      <c r="BG54" s="137">
        <f t="shared" si="17"/>
        <v>2.1644857520000002E-6</v>
      </c>
      <c r="BH54" s="137">
        <f t="shared" si="18"/>
        <v>1.8200029119999999E-2</v>
      </c>
      <c r="BI54" s="137">
        <f t="shared" si="19"/>
        <v>3.9236064139999999E-2</v>
      </c>
      <c r="BJ54" s="137">
        <f t="shared" si="20"/>
        <v>3.7433506759999999E-2</v>
      </c>
      <c r="BK54" s="137">
        <f t="shared" si="21"/>
        <v>2.26548387E-3</v>
      </c>
      <c r="BL54" s="137">
        <f t="shared" si="22"/>
        <v>0.38537800080000001</v>
      </c>
      <c r="BM54" s="137">
        <f t="shared" si="23"/>
        <v>4.1247170899999998E-2</v>
      </c>
    </row>
    <row r="55" spans="1:65" x14ac:dyDescent="0.25">
      <c r="A55" s="149">
        <v>206</v>
      </c>
      <c r="B55" s="149">
        <v>16</v>
      </c>
      <c r="C55" s="61">
        <v>39.514285000000001</v>
      </c>
      <c r="D55" s="61">
        <v>-104.845462</v>
      </c>
      <c r="E55" s="61" t="s">
        <v>265</v>
      </c>
      <c r="F55" s="149">
        <v>16</v>
      </c>
      <c r="G55" s="61" t="s">
        <v>565</v>
      </c>
      <c r="H55" s="61" t="s">
        <v>645</v>
      </c>
      <c r="I55" s="61">
        <v>39.856096000000001</v>
      </c>
      <c r="J55" s="61">
        <v>-104.673738</v>
      </c>
      <c r="K55" s="61">
        <v>66.458705199999997</v>
      </c>
      <c r="L55" s="61">
        <v>55.151000000000003</v>
      </c>
      <c r="M55" s="61" t="s">
        <v>617</v>
      </c>
      <c r="N55" s="149">
        <v>15</v>
      </c>
      <c r="O55" s="149">
        <v>16</v>
      </c>
      <c r="P55" s="61" t="s">
        <v>565</v>
      </c>
      <c r="Q55" s="61" t="s">
        <v>556</v>
      </c>
      <c r="R55" s="61">
        <v>39.856096299999997</v>
      </c>
      <c r="S55" s="61">
        <v>-104.6737376</v>
      </c>
      <c r="T55" s="61">
        <v>55.151000000000003</v>
      </c>
      <c r="U55" s="61" t="s">
        <v>617</v>
      </c>
      <c r="V55" s="61" t="s">
        <v>617</v>
      </c>
      <c r="W55" s="61"/>
      <c r="Y55" s="137">
        <f>Summary_LCIA!H$32</f>
        <v>0.33979999999999999</v>
      </c>
      <c r="Z55" s="137">
        <f>Summary_LCIA!Q$32</f>
        <v>4.9560504329999997</v>
      </c>
      <c r="AA55" s="137">
        <f>Summary_LCIA!R$32</f>
        <v>5.2655999999999996E-3</v>
      </c>
      <c r="AB55" s="137">
        <f>Summary_LCIA!S$32</f>
        <v>0.33538000000000001</v>
      </c>
      <c r="AC55" s="137">
        <f>Summary_LCIA!T$32</f>
        <v>0.1099</v>
      </c>
      <c r="AD55" s="137">
        <f>Summary_LCIA!U$32</f>
        <v>1.7913999999999999E-2</v>
      </c>
      <c r="AE55" s="137">
        <f>Summary_LCIA!V$32</f>
        <v>4.7760999999999999E-5</v>
      </c>
      <c r="AF55" s="137">
        <f>Summary_LCIA!W$32</f>
        <v>7.6970999999999998E-2</v>
      </c>
      <c r="AG55" s="137">
        <f>Summary_LCIA!X$32</f>
        <v>2.2780000000000002E-2</v>
      </c>
      <c r="AH55" s="137">
        <f>Summary_LCIA!Y$32</f>
        <v>1.5582E-2</v>
      </c>
      <c r="AI55" s="137">
        <f>Summary_LCIA!Z$32</f>
        <v>4.1009E-5</v>
      </c>
      <c r="AJ55" s="137">
        <f>Summary_LCIA!AA$32</f>
        <v>2.3355999999999998E-2</v>
      </c>
      <c r="AK55" s="137">
        <f>Summary_LCIA!AB$32</f>
        <v>-2.1823000000000001E-5</v>
      </c>
      <c r="AL55" s="137">
        <f>Summary_LCIA!AC$32</f>
        <v>4.8884000000000003E-8</v>
      </c>
      <c r="AM55" s="137">
        <f>Summary_LCIA!AD$32</f>
        <v>4.1103999999999999E-4</v>
      </c>
      <c r="AN55" s="137">
        <f>Summary_LCIA!AE$32</f>
        <v>8.8612999999999995E-4</v>
      </c>
      <c r="AO55" s="137">
        <f>Summary_LCIA!AF$32</f>
        <v>8.4542000000000005E-4</v>
      </c>
      <c r="AP55" s="137">
        <f>Summary_LCIA!AG$32</f>
        <v>5.1165000000000002E-5</v>
      </c>
      <c r="AQ55" s="137">
        <f>Summary_LCIA!AH$32</f>
        <v>8.7036000000000006E-3</v>
      </c>
      <c r="AR55" s="137">
        <f>Summary_LCIA!AI$32</f>
        <v>9.3154999999999996E-4</v>
      </c>
      <c r="AT55" s="137">
        <f t="shared" si="4"/>
        <v>18.740309800000002</v>
      </c>
      <c r="AU55" s="137">
        <f t="shared" si="5"/>
        <v>273.33113743038302</v>
      </c>
      <c r="AV55" s="137">
        <f t="shared" si="6"/>
        <v>0.29040310559999999</v>
      </c>
      <c r="AW55" s="137">
        <f t="shared" si="7"/>
        <v>18.496542380000001</v>
      </c>
      <c r="AX55" s="137">
        <f t="shared" si="8"/>
        <v>6.0610949000000005</v>
      </c>
      <c r="AY55" s="137">
        <f t="shared" si="9"/>
        <v>0.98797501399999998</v>
      </c>
      <c r="AZ55" s="137">
        <f t="shared" si="10"/>
        <v>2.6340669110000003E-3</v>
      </c>
      <c r="BA55" s="137">
        <f t="shared" si="11"/>
        <v>4.2450276210000002</v>
      </c>
      <c r="BB55" s="137">
        <f t="shared" si="12"/>
        <v>1.2563397800000002</v>
      </c>
      <c r="BC55" s="137">
        <f t="shared" si="13"/>
        <v>0.85936288200000011</v>
      </c>
      <c r="BD55" s="137">
        <f t="shared" si="14"/>
        <v>2.2616873589999999E-3</v>
      </c>
      <c r="BE55" s="137">
        <f t="shared" si="15"/>
        <v>1.2881067559999999</v>
      </c>
      <c r="BF55" s="137">
        <f t="shared" si="16"/>
        <v>-1.2035602730000002E-3</v>
      </c>
      <c r="BG55" s="137">
        <f t="shared" si="17"/>
        <v>2.6960014840000004E-6</v>
      </c>
      <c r="BH55" s="137">
        <f t="shared" si="18"/>
        <v>2.266926704E-2</v>
      </c>
      <c r="BI55" s="137">
        <f t="shared" si="19"/>
        <v>4.8870955629999997E-2</v>
      </c>
      <c r="BJ55" s="137">
        <f t="shared" si="20"/>
        <v>4.6625758420000003E-2</v>
      </c>
      <c r="BK55" s="137">
        <f t="shared" si="21"/>
        <v>2.8218009150000004E-3</v>
      </c>
      <c r="BL55" s="137">
        <f t="shared" si="22"/>
        <v>0.48001224360000005</v>
      </c>
      <c r="BM55" s="137">
        <f t="shared" si="23"/>
        <v>5.1375914049999999E-2</v>
      </c>
    </row>
    <row r="56" spans="1:65" x14ac:dyDescent="0.25">
      <c r="A56" s="149">
        <v>224</v>
      </c>
      <c r="B56" s="149">
        <v>1</v>
      </c>
      <c r="C56" s="61">
        <v>34.023434000000002</v>
      </c>
      <c r="D56" s="61">
        <v>-84.615489999999994</v>
      </c>
      <c r="E56" s="61" t="s">
        <v>265</v>
      </c>
      <c r="F56" s="149">
        <v>1</v>
      </c>
      <c r="G56" s="61" t="s">
        <v>565</v>
      </c>
      <c r="H56" s="61" t="s">
        <v>681</v>
      </c>
      <c r="I56" s="61">
        <v>33.640728000000003</v>
      </c>
      <c r="J56" s="61">
        <v>-84.427700000000002</v>
      </c>
      <c r="K56" s="61">
        <v>65.192234650000003</v>
      </c>
      <c r="L56" s="61">
        <v>57.293999999999997</v>
      </c>
      <c r="M56" s="61" t="s">
        <v>617</v>
      </c>
      <c r="N56" s="149">
        <v>0</v>
      </c>
      <c r="O56" s="149">
        <v>1</v>
      </c>
      <c r="P56" s="61" t="s">
        <v>565</v>
      </c>
      <c r="Q56" s="61" t="s">
        <v>558</v>
      </c>
      <c r="R56" s="61">
        <v>33.640728199999998</v>
      </c>
      <c r="S56" s="61">
        <v>-84.427700099999996</v>
      </c>
      <c r="T56" s="61">
        <v>57.293999999999997</v>
      </c>
      <c r="U56" s="61" t="s">
        <v>617</v>
      </c>
      <c r="V56" s="61" t="s">
        <v>617</v>
      </c>
      <c r="W56" s="61"/>
      <c r="Y56" s="137">
        <f>Summary_LCIA!H$32</f>
        <v>0.33979999999999999</v>
      </c>
      <c r="Z56" s="137">
        <f>Summary_LCIA!Q$32</f>
        <v>4.9560504329999997</v>
      </c>
      <c r="AA56" s="137">
        <f>Summary_LCIA!R$32</f>
        <v>5.2655999999999996E-3</v>
      </c>
      <c r="AB56" s="137">
        <f>Summary_LCIA!S$32</f>
        <v>0.33538000000000001</v>
      </c>
      <c r="AC56" s="137">
        <f>Summary_LCIA!T$32</f>
        <v>0.1099</v>
      </c>
      <c r="AD56" s="137">
        <f>Summary_LCIA!U$32</f>
        <v>1.7913999999999999E-2</v>
      </c>
      <c r="AE56" s="137">
        <f>Summary_LCIA!V$32</f>
        <v>4.7760999999999999E-5</v>
      </c>
      <c r="AF56" s="137">
        <f>Summary_LCIA!W$32</f>
        <v>7.6970999999999998E-2</v>
      </c>
      <c r="AG56" s="137">
        <f>Summary_LCIA!X$32</f>
        <v>2.2780000000000002E-2</v>
      </c>
      <c r="AH56" s="137">
        <f>Summary_LCIA!Y$32</f>
        <v>1.5582E-2</v>
      </c>
      <c r="AI56" s="137">
        <f>Summary_LCIA!Z$32</f>
        <v>4.1009E-5</v>
      </c>
      <c r="AJ56" s="137">
        <f>Summary_LCIA!AA$32</f>
        <v>2.3355999999999998E-2</v>
      </c>
      <c r="AK56" s="137">
        <f>Summary_LCIA!AB$32</f>
        <v>-2.1823000000000001E-5</v>
      </c>
      <c r="AL56" s="137">
        <f>Summary_LCIA!AC$32</f>
        <v>4.8884000000000003E-8</v>
      </c>
      <c r="AM56" s="137">
        <f>Summary_LCIA!AD$32</f>
        <v>4.1103999999999999E-4</v>
      </c>
      <c r="AN56" s="137">
        <f>Summary_LCIA!AE$32</f>
        <v>8.8612999999999995E-4</v>
      </c>
      <c r="AO56" s="137">
        <f>Summary_LCIA!AF$32</f>
        <v>8.4542000000000005E-4</v>
      </c>
      <c r="AP56" s="137">
        <f>Summary_LCIA!AG$32</f>
        <v>5.1165000000000002E-5</v>
      </c>
      <c r="AQ56" s="137">
        <f>Summary_LCIA!AH$32</f>
        <v>8.7036000000000006E-3</v>
      </c>
      <c r="AR56" s="137">
        <f>Summary_LCIA!AI$32</f>
        <v>9.3154999999999996E-4</v>
      </c>
      <c r="AT56" s="137">
        <f t="shared" si="4"/>
        <v>19.468501199999999</v>
      </c>
      <c r="AU56" s="137">
        <f t="shared" si="5"/>
        <v>283.95195350830198</v>
      </c>
      <c r="AV56" s="137">
        <f t="shared" si="6"/>
        <v>0.30168728639999998</v>
      </c>
      <c r="AW56" s="137">
        <f t="shared" si="7"/>
        <v>19.215261720000001</v>
      </c>
      <c r="AX56" s="137">
        <f t="shared" si="8"/>
        <v>6.2966105999999993</v>
      </c>
      <c r="AY56" s="137">
        <f t="shared" si="9"/>
        <v>1.026364716</v>
      </c>
      <c r="AZ56" s="137">
        <f t="shared" si="10"/>
        <v>2.7364187339999997E-3</v>
      </c>
      <c r="BA56" s="137">
        <f t="shared" si="11"/>
        <v>4.4099764739999996</v>
      </c>
      <c r="BB56" s="137">
        <f t="shared" si="12"/>
        <v>1.30515732</v>
      </c>
      <c r="BC56" s="137">
        <f t="shared" si="13"/>
        <v>0.89275510800000002</v>
      </c>
      <c r="BD56" s="137">
        <f t="shared" si="14"/>
        <v>2.3495696459999997E-3</v>
      </c>
      <c r="BE56" s="137">
        <f t="shared" si="15"/>
        <v>1.3381586639999998</v>
      </c>
      <c r="BF56" s="137">
        <f t="shared" si="16"/>
        <v>-1.250326962E-3</v>
      </c>
      <c r="BG56" s="137">
        <f t="shared" si="17"/>
        <v>2.8007598960000001E-6</v>
      </c>
      <c r="BH56" s="137">
        <f t="shared" si="18"/>
        <v>2.3550125759999999E-2</v>
      </c>
      <c r="BI56" s="137">
        <f t="shared" si="19"/>
        <v>5.0769932219999994E-2</v>
      </c>
      <c r="BJ56" s="137">
        <f t="shared" si="20"/>
        <v>4.8437493480000003E-2</v>
      </c>
      <c r="BK56" s="137">
        <f t="shared" si="21"/>
        <v>2.9314475099999999E-3</v>
      </c>
      <c r="BL56" s="137">
        <f t="shared" si="22"/>
        <v>0.4986640584</v>
      </c>
      <c r="BM56" s="137">
        <f t="shared" si="23"/>
        <v>5.3372225699999998E-2</v>
      </c>
    </row>
    <row r="57" spans="1:65" x14ac:dyDescent="0.25">
      <c r="A57" s="149">
        <v>226</v>
      </c>
      <c r="B57" s="149">
        <v>16</v>
      </c>
      <c r="C57" s="61">
        <v>39.755543000000003</v>
      </c>
      <c r="D57" s="61">
        <v>-105.22110000000001</v>
      </c>
      <c r="E57" s="61" t="s">
        <v>265</v>
      </c>
      <c r="F57" s="149">
        <v>16</v>
      </c>
      <c r="G57" s="61" t="s">
        <v>565</v>
      </c>
      <c r="H57" s="61" t="s">
        <v>645</v>
      </c>
      <c r="I57" s="61">
        <v>39.856096000000001</v>
      </c>
      <c r="J57" s="61">
        <v>-104.673738</v>
      </c>
      <c r="K57" s="61">
        <v>48.393650190000002</v>
      </c>
      <c r="L57" s="61">
        <v>58.264000000000003</v>
      </c>
      <c r="M57" s="61" t="s">
        <v>617</v>
      </c>
      <c r="N57" s="149">
        <v>15</v>
      </c>
      <c r="O57" s="149">
        <v>16</v>
      </c>
      <c r="P57" s="61" t="s">
        <v>565</v>
      </c>
      <c r="Q57" s="61" t="s">
        <v>556</v>
      </c>
      <c r="R57" s="61">
        <v>39.856096299999997</v>
      </c>
      <c r="S57" s="61">
        <v>-104.6737376</v>
      </c>
      <c r="T57" s="61">
        <v>58.264000000000003</v>
      </c>
      <c r="U57" s="61" t="s">
        <v>617</v>
      </c>
      <c r="V57" s="61" t="s">
        <v>617</v>
      </c>
      <c r="W57" s="61"/>
      <c r="Y57" s="137">
        <f>Summary_LCIA!H$32</f>
        <v>0.33979999999999999</v>
      </c>
      <c r="Z57" s="137">
        <f>Summary_LCIA!Q$32</f>
        <v>4.9560504329999997</v>
      </c>
      <c r="AA57" s="137">
        <f>Summary_LCIA!R$32</f>
        <v>5.2655999999999996E-3</v>
      </c>
      <c r="AB57" s="137">
        <f>Summary_LCIA!S$32</f>
        <v>0.33538000000000001</v>
      </c>
      <c r="AC57" s="137">
        <f>Summary_LCIA!T$32</f>
        <v>0.1099</v>
      </c>
      <c r="AD57" s="137">
        <f>Summary_LCIA!U$32</f>
        <v>1.7913999999999999E-2</v>
      </c>
      <c r="AE57" s="137">
        <f>Summary_LCIA!V$32</f>
        <v>4.7760999999999999E-5</v>
      </c>
      <c r="AF57" s="137">
        <f>Summary_LCIA!W$32</f>
        <v>7.6970999999999998E-2</v>
      </c>
      <c r="AG57" s="137">
        <f>Summary_LCIA!X$32</f>
        <v>2.2780000000000002E-2</v>
      </c>
      <c r="AH57" s="137">
        <f>Summary_LCIA!Y$32</f>
        <v>1.5582E-2</v>
      </c>
      <c r="AI57" s="137">
        <f>Summary_LCIA!Z$32</f>
        <v>4.1009E-5</v>
      </c>
      <c r="AJ57" s="137">
        <f>Summary_LCIA!AA$32</f>
        <v>2.3355999999999998E-2</v>
      </c>
      <c r="AK57" s="137">
        <f>Summary_LCIA!AB$32</f>
        <v>-2.1823000000000001E-5</v>
      </c>
      <c r="AL57" s="137">
        <f>Summary_LCIA!AC$32</f>
        <v>4.8884000000000003E-8</v>
      </c>
      <c r="AM57" s="137">
        <f>Summary_LCIA!AD$32</f>
        <v>4.1103999999999999E-4</v>
      </c>
      <c r="AN57" s="137">
        <f>Summary_LCIA!AE$32</f>
        <v>8.8612999999999995E-4</v>
      </c>
      <c r="AO57" s="137">
        <f>Summary_LCIA!AF$32</f>
        <v>8.4542000000000005E-4</v>
      </c>
      <c r="AP57" s="137">
        <f>Summary_LCIA!AG$32</f>
        <v>5.1165000000000002E-5</v>
      </c>
      <c r="AQ57" s="137">
        <f>Summary_LCIA!AH$32</f>
        <v>8.7036000000000006E-3</v>
      </c>
      <c r="AR57" s="137">
        <f>Summary_LCIA!AI$32</f>
        <v>9.3154999999999996E-4</v>
      </c>
      <c r="AT57" s="137">
        <f t="shared" si="4"/>
        <v>19.7981072</v>
      </c>
      <c r="AU57" s="137">
        <f t="shared" si="5"/>
        <v>288.75932242831198</v>
      </c>
      <c r="AV57" s="137">
        <f t="shared" si="6"/>
        <v>0.30679491840000001</v>
      </c>
      <c r="AW57" s="137">
        <f t="shared" si="7"/>
        <v>19.54058032</v>
      </c>
      <c r="AX57" s="137">
        <f t="shared" si="8"/>
        <v>6.4032135999999999</v>
      </c>
      <c r="AY57" s="137">
        <f t="shared" si="9"/>
        <v>1.0437412960000001</v>
      </c>
      <c r="AZ57" s="137">
        <f t="shared" si="10"/>
        <v>2.7827469039999999E-3</v>
      </c>
      <c r="BA57" s="137">
        <f t="shared" si="11"/>
        <v>4.4846383440000004</v>
      </c>
      <c r="BB57" s="137">
        <f t="shared" si="12"/>
        <v>1.3272539200000002</v>
      </c>
      <c r="BC57" s="137">
        <f t="shared" si="13"/>
        <v>0.90786964800000003</v>
      </c>
      <c r="BD57" s="137">
        <f t="shared" si="14"/>
        <v>2.3893483760000001E-3</v>
      </c>
      <c r="BE57" s="137">
        <f t="shared" si="15"/>
        <v>1.360813984</v>
      </c>
      <c r="BF57" s="137">
        <f t="shared" si="16"/>
        <v>-1.2714952720000001E-3</v>
      </c>
      <c r="BG57" s="137">
        <f t="shared" si="17"/>
        <v>2.8481773760000002E-6</v>
      </c>
      <c r="BH57" s="137">
        <f t="shared" si="18"/>
        <v>2.394883456E-2</v>
      </c>
      <c r="BI57" s="137">
        <f t="shared" si="19"/>
        <v>5.1629478319999998E-2</v>
      </c>
      <c r="BJ57" s="137">
        <f t="shared" si="20"/>
        <v>4.9257550880000008E-2</v>
      </c>
      <c r="BK57" s="137">
        <f t="shared" si="21"/>
        <v>2.9810775600000003E-3</v>
      </c>
      <c r="BL57" s="137">
        <f t="shared" si="22"/>
        <v>0.50710655040000008</v>
      </c>
      <c r="BM57" s="137">
        <f t="shared" si="23"/>
        <v>5.42758292E-2</v>
      </c>
    </row>
    <row r="58" spans="1:65" x14ac:dyDescent="0.25">
      <c r="A58" s="149">
        <v>39</v>
      </c>
      <c r="B58" s="149">
        <v>16</v>
      </c>
      <c r="C58" s="61">
        <v>39.740726000000002</v>
      </c>
      <c r="D58" s="61">
        <v>-105.168615</v>
      </c>
      <c r="E58" s="61" t="s">
        <v>265</v>
      </c>
      <c r="F58" s="149">
        <v>16</v>
      </c>
      <c r="G58" s="61" t="s">
        <v>565</v>
      </c>
      <c r="H58" s="61" t="s">
        <v>645</v>
      </c>
      <c r="I58" s="61">
        <v>39.856096000000001</v>
      </c>
      <c r="J58" s="61">
        <v>-104.673738</v>
      </c>
      <c r="K58" s="61">
        <v>45.014100849999998</v>
      </c>
      <c r="L58" s="61">
        <v>58.618000000000002</v>
      </c>
      <c r="M58" s="61" t="s">
        <v>617</v>
      </c>
      <c r="N58" s="149">
        <v>15</v>
      </c>
      <c r="O58" s="149">
        <v>16</v>
      </c>
      <c r="P58" s="61" t="s">
        <v>565</v>
      </c>
      <c r="Q58" s="61" t="s">
        <v>556</v>
      </c>
      <c r="R58" s="61">
        <v>39.856096299999997</v>
      </c>
      <c r="S58" s="61">
        <v>-104.6737376</v>
      </c>
      <c r="T58" s="61">
        <v>58.618000000000002</v>
      </c>
      <c r="U58" s="61" t="s">
        <v>617</v>
      </c>
      <c r="V58" s="61" t="s">
        <v>617</v>
      </c>
      <c r="W58" s="61"/>
      <c r="Y58" s="137">
        <f>Summary_LCIA!H$32</f>
        <v>0.33979999999999999</v>
      </c>
      <c r="Z58" s="137">
        <f>Summary_LCIA!Q$32</f>
        <v>4.9560504329999997</v>
      </c>
      <c r="AA58" s="137">
        <f>Summary_LCIA!R$32</f>
        <v>5.2655999999999996E-3</v>
      </c>
      <c r="AB58" s="137">
        <f>Summary_LCIA!S$32</f>
        <v>0.33538000000000001</v>
      </c>
      <c r="AC58" s="137">
        <f>Summary_LCIA!T$32</f>
        <v>0.1099</v>
      </c>
      <c r="AD58" s="137">
        <f>Summary_LCIA!U$32</f>
        <v>1.7913999999999999E-2</v>
      </c>
      <c r="AE58" s="137">
        <f>Summary_LCIA!V$32</f>
        <v>4.7760999999999999E-5</v>
      </c>
      <c r="AF58" s="137">
        <f>Summary_LCIA!W$32</f>
        <v>7.6970999999999998E-2</v>
      </c>
      <c r="AG58" s="137">
        <f>Summary_LCIA!X$32</f>
        <v>2.2780000000000002E-2</v>
      </c>
      <c r="AH58" s="137">
        <f>Summary_LCIA!Y$32</f>
        <v>1.5582E-2</v>
      </c>
      <c r="AI58" s="137">
        <f>Summary_LCIA!Z$32</f>
        <v>4.1009E-5</v>
      </c>
      <c r="AJ58" s="137">
        <f>Summary_LCIA!AA$32</f>
        <v>2.3355999999999998E-2</v>
      </c>
      <c r="AK58" s="137">
        <f>Summary_LCIA!AB$32</f>
        <v>-2.1823000000000001E-5</v>
      </c>
      <c r="AL58" s="137">
        <f>Summary_LCIA!AC$32</f>
        <v>4.8884000000000003E-8</v>
      </c>
      <c r="AM58" s="137">
        <f>Summary_LCIA!AD$32</f>
        <v>4.1103999999999999E-4</v>
      </c>
      <c r="AN58" s="137">
        <f>Summary_LCIA!AE$32</f>
        <v>8.8612999999999995E-4</v>
      </c>
      <c r="AO58" s="137">
        <f>Summary_LCIA!AF$32</f>
        <v>8.4542000000000005E-4</v>
      </c>
      <c r="AP58" s="137">
        <f>Summary_LCIA!AG$32</f>
        <v>5.1165000000000002E-5</v>
      </c>
      <c r="AQ58" s="137">
        <f>Summary_LCIA!AH$32</f>
        <v>8.7036000000000006E-3</v>
      </c>
      <c r="AR58" s="137">
        <f>Summary_LCIA!AI$32</f>
        <v>9.3154999999999996E-4</v>
      </c>
      <c r="AT58" s="137">
        <f t="shared" si="4"/>
        <v>19.918396399999999</v>
      </c>
      <c r="AU58" s="137">
        <f t="shared" si="5"/>
        <v>290.51376428159398</v>
      </c>
      <c r="AV58" s="137">
        <f t="shared" si="6"/>
        <v>0.3086589408</v>
      </c>
      <c r="AW58" s="137">
        <f t="shared" si="7"/>
        <v>19.659304840000001</v>
      </c>
      <c r="AX58" s="137">
        <f t="shared" si="8"/>
        <v>6.4421182000000003</v>
      </c>
      <c r="AY58" s="137">
        <f t="shared" si="9"/>
        <v>1.0500828520000001</v>
      </c>
      <c r="AZ58" s="137">
        <f t="shared" si="10"/>
        <v>2.7996542980000001E-3</v>
      </c>
      <c r="BA58" s="137">
        <f t="shared" si="11"/>
        <v>4.5118860779999999</v>
      </c>
      <c r="BB58" s="137">
        <f t="shared" si="12"/>
        <v>1.3353180400000002</v>
      </c>
      <c r="BC58" s="137">
        <f t="shared" si="13"/>
        <v>0.91338567600000009</v>
      </c>
      <c r="BD58" s="137">
        <f t="shared" si="14"/>
        <v>2.4038655620000002E-3</v>
      </c>
      <c r="BE58" s="137">
        <f t="shared" si="15"/>
        <v>1.3690820079999999</v>
      </c>
      <c r="BF58" s="137">
        <f t="shared" si="16"/>
        <v>-1.2792206140000001E-3</v>
      </c>
      <c r="BG58" s="137">
        <f t="shared" si="17"/>
        <v>2.8654823120000001E-6</v>
      </c>
      <c r="BH58" s="137">
        <f t="shared" si="18"/>
        <v>2.4094342720000002E-2</v>
      </c>
      <c r="BI58" s="137">
        <f t="shared" si="19"/>
        <v>5.1943168339999998E-2</v>
      </c>
      <c r="BJ58" s="137">
        <f t="shared" si="20"/>
        <v>4.9556829560000001E-2</v>
      </c>
      <c r="BK58" s="137">
        <f t="shared" si="21"/>
        <v>2.9991899700000002E-3</v>
      </c>
      <c r="BL58" s="137">
        <f t="shared" si="22"/>
        <v>0.51018762480000002</v>
      </c>
      <c r="BM58" s="137">
        <f t="shared" si="23"/>
        <v>5.4605597899999997E-2</v>
      </c>
    </row>
    <row r="59" spans="1:65" x14ac:dyDescent="0.25">
      <c r="A59" s="149">
        <v>40</v>
      </c>
      <c r="B59" s="149">
        <v>16</v>
      </c>
      <c r="C59" s="61">
        <v>39.740726000000002</v>
      </c>
      <c r="D59" s="61">
        <v>-105.168615</v>
      </c>
      <c r="E59" s="61" t="s">
        <v>265</v>
      </c>
      <c r="F59" s="149">
        <v>16</v>
      </c>
      <c r="G59" s="61" t="s">
        <v>565</v>
      </c>
      <c r="H59" s="61" t="s">
        <v>645</v>
      </c>
      <c r="I59" s="61">
        <v>39.856096000000001</v>
      </c>
      <c r="J59" s="61">
        <v>-104.673738</v>
      </c>
      <c r="K59" s="61">
        <v>45.014100849999998</v>
      </c>
      <c r="L59" s="61">
        <v>58.618000000000002</v>
      </c>
      <c r="M59" s="61" t="s">
        <v>617</v>
      </c>
      <c r="N59" s="149">
        <v>15</v>
      </c>
      <c r="O59" s="149">
        <v>16</v>
      </c>
      <c r="P59" s="61" t="s">
        <v>565</v>
      </c>
      <c r="Q59" s="61" t="s">
        <v>556</v>
      </c>
      <c r="R59" s="61">
        <v>39.856096299999997</v>
      </c>
      <c r="S59" s="61">
        <v>-104.6737376</v>
      </c>
      <c r="T59" s="61">
        <v>58.618000000000002</v>
      </c>
      <c r="U59" s="61" t="s">
        <v>617</v>
      </c>
      <c r="V59" s="61" t="s">
        <v>617</v>
      </c>
      <c r="W59" s="61"/>
      <c r="Y59" s="137">
        <f>Summary_LCIA!H$32</f>
        <v>0.33979999999999999</v>
      </c>
      <c r="Z59" s="137">
        <f>Summary_LCIA!Q$32</f>
        <v>4.9560504329999997</v>
      </c>
      <c r="AA59" s="137">
        <f>Summary_LCIA!R$32</f>
        <v>5.2655999999999996E-3</v>
      </c>
      <c r="AB59" s="137">
        <f>Summary_LCIA!S$32</f>
        <v>0.33538000000000001</v>
      </c>
      <c r="AC59" s="137">
        <f>Summary_LCIA!T$32</f>
        <v>0.1099</v>
      </c>
      <c r="AD59" s="137">
        <f>Summary_LCIA!U$32</f>
        <v>1.7913999999999999E-2</v>
      </c>
      <c r="AE59" s="137">
        <f>Summary_LCIA!V$32</f>
        <v>4.7760999999999999E-5</v>
      </c>
      <c r="AF59" s="137">
        <f>Summary_LCIA!W$32</f>
        <v>7.6970999999999998E-2</v>
      </c>
      <c r="AG59" s="137">
        <f>Summary_LCIA!X$32</f>
        <v>2.2780000000000002E-2</v>
      </c>
      <c r="AH59" s="137">
        <f>Summary_LCIA!Y$32</f>
        <v>1.5582E-2</v>
      </c>
      <c r="AI59" s="137">
        <f>Summary_LCIA!Z$32</f>
        <v>4.1009E-5</v>
      </c>
      <c r="AJ59" s="137">
        <f>Summary_LCIA!AA$32</f>
        <v>2.3355999999999998E-2</v>
      </c>
      <c r="AK59" s="137">
        <f>Summary_LCIA!AB$32</f>
        <v>-2.1823000000000001E-5</v>
      </c>
      <c r="AL59" s="137">
        <f>Summary_LCIA!AC$32</f>
        <v>4.8884000000000003E-8</v>
      </c>
      <c r="AM59" s="137">
        <f>Summary_LCIA!AD$32</f>
        <v>4.1103999999999999E-4</v>
      </c>
      <c r="AN59" s="137">
        <f>Summary_LCIA!AE$32</f>
        <v>8.8612999999999995E-4</v>
      </c>
      <c r="AO59" s="137">
        <f>Summary_LCIA!AF$32</f>
        <v>8.4542000000000005E-4</v>
      </c>
      <c r="AP59" s="137">
        <f>Summary_LCIA!AG$32</f>
        <v>5.1165000000000002E-5</v>
      </c>
      <c r="AQ59" s="137">
        <f>Summary_LCIA!AH$32</f>
        <v>8.7036000000000006E-3</v>
      </c>
      <c r="AR59" s="137">
        <f>Summary_LCIA!AI$32</f>
        <v>9.3154999999999996E-4</v>
      </c>
      <c r="AT59" s="137">
        <f t="shared" si="4"/>
        <v>19.918396399999999</v>
      </c>
      <c r="AU59" s="137">
        <f t="shared" si="5"/>
        <v>290.51376428159398</v>
      </c>
      <c r="AV59" s="137">
        <f t="shared" si="6"/>
        <v>0.3086589408</v>
      </c>
      <c r="AW59" s="137">
        <f t="shared" si="7"/>
        <v>19.659304840000001</v>
      </c>
      <c r="AX59" s="137">
        <f t="shared" si="8"/>
        <v>6.4421182000000003</v>
      </c>
      <c r="AY59" s="137">
        <f t="shared" si="9"/>
        <v>1.0500828520000001</v>
      </c>
      <c r="AZ59" s="137">
        <f t="shared" si="10"/>
        <v>2.7996542980000001E-3</v>
      </c>
      <c r="BA59" s="137">
        <f t="shared" si="11"/>
        <v>4.5118860779999999</v>
      </c>
      <c r="BB59" s="137">
        <f t="shared" si="12"/>
        <v>1.3353180400000002</v>
      </c>
      <c r="BC59" s="137">
        <f t="shared" si="13"/>
        <v>0.91338567600000009</v>
      </c>
      <c r="BD59" s="137">
        <f t="shared" si="14"/>
        <v>2.4038655620000002E-3</v>
      </c>
      <c r="BE59" s="137">
        <f t="shared" si="15"/>
        <v>1.3690820079999999</v>
      </c>
      <c r="BF59" s="137">
        <f t="shared" si="16"/>
        <v>-1.2792206140000001E-3</v>
      </c>
      <c r="BG59" s="137">
        <f t="shared" si="17"/>
        <v>2.8654823120000001E-6</v>
      </c>
      <c r="BH59" s="137">
        <f t="shared" si="18"/>
        <v>2.4094342720000002E-2</v>
      </c>
      <c r="BI59" s="137">
        <f t="shared" si="19"/>
        <v>5.1943168339999998E-2</v>
      </c>
      <c r="BJ59" s="137">
        <f t="shared" si="20"/>
        <v>4.9556829560000001E-2</v>
      </c>
      <c r="BK59" s="137">
        <f t="shared" si="21"/>
        <v>2.9991899700000002E-3</v>
      </c>
      <c r="BL59" s="137">
        <f t="shared" si="22"/>
        <v>0.51018762480000002</v>
      </c>
      <c r="BM59" s="137">
        <f t="shared" si="23"/>
        <v>5.4605597899999997E-2</v>
      </c>
    </row>
    <row r="60" spans="1:65" x14ac:dyDescent="0.25">
      <c r="A60" s="149">
        <v>36</v>
      </c>
      <c r="B60" s="149">
        <v>16</v>
      </c>
      <c r="C60" s="61">
        <v>39.750858999999998</v>
      </c>
      <c r="D60" s="61">
        <v>-105.22386899999999</v>
      </c>
      <c r="E60" s="61" t="s">
        <v>265</v>
      </c>
      <c r="F60" s="149">
        <v>16</v>
      </c>
      <c r="G60" s="61" t="s">
        <v>565</v>
      </c>
      <c r="H60" s="61" t="s">
        <v>645</v>
      </c>
      <c r="I60" s="61">
        <v>39.856096000000001</v>
      </c>
      <c r="J60" s="61">
        <v>-104.673738</v>
      </c>
      <c r="K60" s="61">
        <v>48.817587850000002</v>
      </c>
      <c r="L60" s="61">
        <v>58.978000000000002</v>
      </c>
      <c r="M60" s="61" t="s">
        <v>617</v>
      </c>
      <c r="N60" s="149">
        <v>15</v>
      </c>
      <c r="O60" s="149">
        <v>16</v>
      </c>
      <c r="P60" s="61" t="s">
        <v>565</v>
      </c>
      <c r="Q60" s="61" t="s">
        <v>556</v>
      </c>
      <c r="R60" s="61">
        <v>39.856096299999997</v>
      </c>
      <c r="S60" s="61">
        <v>-104.6737376</v>
      </c>
      <c r="T60" s="61">
        <v>58.978000000000002</v>
      </c>
      <c r="U60" s="61" t="s">
        <v>617</v>
      </c>
      <c r="V60" s="61" t="s">
        <v>617</v>
      </c>
      <c r="W60" s="61"/>
      <c r="Y60" s="137">
        <f>Summary_LCIA!H$32</f>
        <v>0.33979999999999999</v>
      </c>
      <c r="Z60" s="137">
        <f>Summary_LCIA!Q$32</f>
        <v>4.9560504329999997</v>
      </c>
      <c r="AA60" s="137">
        <f>Summary_LCIA!R$32</f>
        <v>5.2655999999999996E-3</v>
      </c>
      <c r="AB60" s="137">
        <f>Summary_LCIA!S$32</f>
        <v>0.33538000000000001</v>
      </c>
      <c r="AC60" s="137">
        <f>Summary_LCIA!T$32</f>
        <v>0.1099</v>
      </c>
      <c r="AD60" s="137">
        <f>Summary_LCIA!U$32</f>
        <v>1.7913999999999999E-2</v>
      </c>
      <c r="AE60" s="137">
        <f>Summary_LCIA!V$32</f>
        <v>4.7760999999999999E-5</v>
      </c>
      <c r="AF60" s="137">
        <f>Summary_LCIA!W$32</f>
        <v>7.6970999999999998E-2</v>
      </c>
      <c r="AG60" s="137">
        <f>Summary_LCIA!X$32</f>
        <v>2.2780000000000002E-2</v>
      </c>
      <c r="AH60" s="137">
        <f>Summary_LCIA!Y$32</f>
        <v>1.5582E-2</v>
      </c>
      <c r="AI60" s="137">
        <f>Summary_LCIA!Z$32</f>
        <v>4.1009E-5</v>
      </c>
      <c r="AJ60" s="137">
        <f>Summary_LCIA!AA$32</f>
        <v>2.3355999999999998E-2</v>
      </c>
      <c r="AK60" s="137">
        <f>Summary_LCIA!AB$32</f>
        <v>-2.1823000000000001E-5</v>
      </c>
      <c r="AL60" s="137">
        <f>Summary_LCIA!AC$32</f>
        <v>4.8884000000000003E-8</v>
      </c>
      <c r="AM60" s="137">
        <f>Summary_LCIA!AD$32</f>
        <v>4.1103999999999999E-4</v>
      </c>
      <c r="AN60" s="137">
        <f>Summary_LCIA!AE$32</f>
        <v>8.8612999999999995E-4</v>
      </c>
      <c r="AO60" s="137">
        <f>Summary_LCIA!AF$32</f>
        <v>8.4542000000000005E-4</v>
      </c>
      <c r="AP60" s="137">
        <f>Summary_LCIA!AG$32</f>
        <v>5.1165000000000002E-5</v>
      </c>
      <c r="AQ60" s="137">
        <f>Summary_LCIA!AH$32</f>
        <v>8.7036000000000006E-3</v>
      </c>
      <c r="AR60" s="137">
        <f>Summary_LCIA!AI$32</f>
        <v>9.3154999999999996E-4</v>
      </c>
      <c r="AT60" s="137">
        <f t="shared" si="4"/>
        <v>20.040724399999998</v>
      </c>
      <c r="AU60" s="137">
        <f t="shared" si="5"/>
        <v>292.29794243747398</v>
      </c>
      <c r="AV60" s="137">
        <f t="shared" si="6"/>
        <v>0.31055455679999999</v>
      </c>
      <c r="AW60" s="137">
        <f t="shared" si="7"/>
        <v>19.78004164</v>
      </c>
      <c r="AX60" s="137">
        <f t="shared" si="8"/>
        <v>6.4816821999999998</v>
      </c>
      <c r="AY60" s="137">
        <f t="shared" si="9"/>
        <v>1.056531892</v>
      </c>
      <c r="AZ60" s="137">
        <f t="shared" si="10"/>
        <v>2.8168482580000001E-3</v>
      </c>
      <c r="BA60" s="137">
        <f t="shared" si="11"/>
        <v>4.5395956379999998</v>
      </c>
      <c r="BB60" s="137">
        <f t="shared" si="12"/>
        <v>1.3435188400000002</v>
      </c>
      <c r="BC60" s="137">
        <f t="shared" si="13"/>
        <v>0.91899519600000001</v>
      </c>
      <c r="BD60" s="137">
        <f t="shared" si="14"/>
        <v>2.4186288020000002E-3</v>
      </c>
      <c r="BE60" s="137">
        <f t="shared" si="15"/>
        <v>1.377490168</v>
      </c>
      <c r="BF60" s="137">
        <f t="shared" si="16"/>
        <v>-1.2870768940000002E-3</v>
      </c>
      <c r="BG60" s="137">
        <f t="shared" si="17"/>
        <v>2.8830805520000002E-6</v>
      </c>
      <c r="BH60" s="137">
        <f t="shared" si="18"/>
        <v>2.4242317119999999E-2</v>
      </c>
      <c r="BI60" s="137">
        <f t="shared" si="19"/>
        <v>5.2262175139999999E-2</v>
      </c>
      <c r="BJ60" s="137">
        <f t="shared" si="20"/>
        <v>4.9861180760000005E-2</v>
      </c>
      <c r="BK60" s="137">
        <f t="shared" si="21"/>
        <v>3.0176093700000003E-3</v>
      </c>
      <c r="BL60" s="137">
        <f t="shared" si="22"/>
        <v>0.51332092080000002</v>
      </c>
      <c r="BM60" s="137">
        <f t="shared" si="23"/>
        <v>5.4940955899999998E-2</v>
      </c>
    </row>
    <row r="61" spans="1:65" x14ac:dyDescent="0.25">
      <c r="A61" s="149">
        <v>37</v>
      </c>
      <c r="B61" s="149">
        <v>16</v>
      </c>
      <c r="C61" s="61">
        <v>39.750858999999998</v>
      </c>
      <c r="D61" s="61">
        <v>-105.22386899999999</v>
      </c>
      <c r="E61" s="61" t="s">
        <v>265</v>
      </c>
      <c r="F61" s="149">
        <v>16</v>
      </c>
      <c r="G61" s="61" t="s">
        <v>565</v>
      </c>
      <c r="H61" s="61" t="s">
        <v>645</v>
      </c>
      <c r="I61" s="61">
        <v>39.856096000000001</v>
      </c>
      <c r="J61" s="61">
        <v>-104.673738</v>
      </c>
      <c r="K61" s="61">
        <v>48.817587850000002</v>
      </c>
      <c r="L61" s="61">
        <v>58.978000000000002</v>
      </c>
      <c r="M61" s="61" t="s">
        <v>617</v>
      </c>
      <c r="N61" s="149">
        <v>15</v>
      </c>
      <c r="O61" s="149">
        <v>16</v>
      </c>
      <c r="P61" s="61" t="s">
        <v>565</v>
      </c>
      <c r="Q61" s="61" t="s">
        <v>556</v>
      </c>
      <c r="R61" s="61">
        <v>39.856096299999997</v>
      </c>
      <c r="S61" s="61">
        <v>-104.6737376</v>
      </c>
      <c r="T61" s="61">
        <v>58.978000000000002</v>
      </c>
      <c r="U61" s="61" t="s">
        <v>617</v>
      </c>
      <c r="V61" s="61" t="s">
        <v>617</v>
      </c>
      <c r="W61" s="61"/>
      <c r="Y61" s="137">
        <f>Summary_LCIA!H$32</f>
        <v>0.33979999999999999</v>
      </c>
      <c r="Z61" s="137">
        <f>Summary_LCIA!Q$32</f>
        <v>4.9560504329999997</v>
      </c>
      <c r="AA61" s="137">
        <f>Summary_LCIA!R$32</f>
        <v>5.2655999999999996E-3</v>
      </c>
      <c r="AB61" s="137">
        <f>Summary_LCIA!S$32</f>
        <v>0.33538000000000001</v>
      </c>
      <c r="AC61" s="137">
        <f>Summary_LCIA!T$32</f>
        <v>0.1099</v>
      </c>
      <c r="AD61" s="137">
        <f>Summary_LCIA!U$32</f>
        <v>1.7913999999999999E-2</v>
      </c>
      <c r="AE61" s="137">
        <f>Summary_LCIA!V$32</f>
        <v>4.7760999999999999E-5</v>
      </c>
      <c r="AF61" s="137">
        <f>Summary_LCIA!W$32</f>
        <v>7.6970999999999998E-2</v>
      </c>
      <c r="AG61" s="137">
        <f>Summary_LCIA!X$32</f>
        <v>2.2780000000000002E-2</v>
      </c>
      <c r="AH61" s="137">
        <f>Summary_LCIA!Y$32</f>
        <v>1.5582E-2</v>
      </c>
      <c r="AI61" s="137">
        <f>Summary_LCIA!Z$32</f>
        <v>4.1009E-5</v>
      </c>
      <c r="AJ61" s="137">
        <f>Summary_LCIA!AA$32</f>
        <v>2.3355999999999998E-2</v>
      </c>
      <c r="AK61" s="137">
        <f>Summary_LCIA!AB$32</f>
        <v>-2.1823000000000001E-5</v>
      </c>
      <c r="AL61" s="137">
        <f>Summary_LCIA!AC$32</f>
        <v>4.8884000000000003E-8</v>
      </c>
      <c r="AM61" s="137">
        <f>Summary_LCIA!AD$32</f>
        <v>4.1103999999999999E-4</v>
      </c>
      <c r="AN61" s="137">
        <f>Summary_LCIA!AE$32</f>
        <v>8.8612999999999995E-4</v>
      </c>
      <c r="AO61" s="137">
        <f>Summary_LCIA!AF$32</f>
        <v>8.4542000000000005E-4</v>
      </c>
      <c r="AP61" s="137">
        <f>Summary_LCIA!AG$32</f>
        <v>5.1165000000000002E-5</v>
      </c>
      <c r="AQ61" s="137">
        <f>Summary_LCIA!AH$32</f>
        <v>8.7036000000000006E-3</v>
      </c>
      <c r="AR61" s="137">
        <f>Summary_LCIA!AI$32</f>
        <v>9.3154999999999996E-4</v>
      </c>
      <c r="AT61" s="137">
        <f t="shared" si="4"/>
        <v>20.040724399999998</v>
      </c>
      <c r="AU61" s="137">
        <f t="shared" si="5"/>
        <v>292.29794243747398</v>
      </c>
      <c r="AV61" s="137">
        <f t="shared" si="6"/>
        <v>0.31055455679999999</v>
      </c>
      <c r="AW61" s="137">
        <f t="shared" si="7"/>
        <v>19.78004164</v>
      </c>
      <c r="AX61" s="137">
        <f t="shared" si="8"/>
        <v>6.4816821999999998</v>
      </c>
      <c r="AY61" s="137">
        <f t="shared" si="9"/>
        <v>1.056531892</v>
      </c>
      <c r="AZ61" s="137">
        <f t="shared" si="10"/>
        <v>2.8168482580000001E-3</v>
      </c>
      <c r="BA61" s="137">
        <f t="shared" si="11"/>
        <v>4.5395956379999998</v>
      </c>
      <c r="BB61" s="137">
        <f t="shared" si="12"/>
        <v>1.3435188400000002</v>
      </c>
      <c r="BC61" s="137">
        <f t="shared" si="13"/>
        <v>0.91899519600000001</v>
      </c>
      <c r="BD61" s="137">
        <f t="shared" si="14"/>
        <v>2.4186288020000002E-3</v>
      </c>
      <c r="BE61" s="137">
        <f t="shared" si="15"/>
        <v>1.377490168</v>
      </c>
      <c r="BF61" s="137">
        <f t="shared" si="16"/>
        <v>-1.2870768940000002E-3</v>
      </c>
      <c r="BG61" s="137">
        <f t="shared" si="17"/>
        <v>2.8830805520000002E-6</v>
      </c>
      <c r="BH61" s="137">
        <f t="shared" si="18"/>
        <v>2.4242317119999999E-2</v>
      </c>
      <c r="BI61" s="137">
        <f t="shared" si="19"/>
        <v>5.2262175139999999E-2</v>
      </c>
      <c r="BJ61" s="137">
        <f t="shared" si="20"/>
        <v>4.9861180760000005E-2</v>
      </c>
      <c r="BK61" s="137">
        <f t="shared" si="21"/>
        <v>3.0176093700000003E-3</v>
      </c>
      <c r="BL61" s="137">
        <f t="shared" si="22"/>
        <v>0.51332092080000002</v>
      </c>
      <c r="BM61" s="137">
        <f t="shared" si="23"/>
        <v>5.4940955899999998E-2</v>
      </c>
    </row>
    <row r="62" spans="1:65" x14ac:dyDescent="0.25">
      <c r="A62" s="149">
        <v>38</v>
      </c>
      <c r="B62" s="149">
        <v>16</v>
      </c>
      <c r="C62" s="61">
        <v>39.750858999999998</v>
      </c>
      <c r="D62" s="61">
        <v>-105.22386899999999</v>
      </c>
      <c r="E62" s="61" t="s">
        <v>265</v>
      </c>
      <c r="F62" s="149">
        <v>16</v>
      </c>
      <c r="G62" s="61" t="s">
        <v>565</v>
      </c>
      <c r="H62" s="61" t="s">
        <v>645</v>
      </c>
      <c r="I62" s="61">
        <v>39.856096000000001</v>
      </c>
      <c r="J62" s="61">
        <v>-104.673738</v>
      </c>
      <c r="K62" s="61">
        <v>48.817587850000002</v>
      </c>
      <c r="L62" s="61">
        <v>58.978000000000002</v>
      </c>
      <c r="M62" s="61" t="s">
        <v>617</v>
      </c>
      <c r="N62" s="149">
        <v>15</v>
      </c>
      <c r="O62" s="149">
        <v>16</v>
      </c>
      <c r="P62" s="61" t="s">
        <v>565</v>
      </c>
      <c r="Q62" s="61" t="s">
        <v>556</v>
      </c>
      <c r="R62" s="61">
        <v>39.856096299999997</v>
      </c>
      <c r="S62" s="61">
        <v>-104.6737376</v>
      </c>
      <c r="T62" s="61">
        <v>58.978000000000002</v>
      </c>
      <c r="U62" s="61" t="s">
        <v>617</v>
      </c>
      <c r="V62" s="61" t="s">
        <v>617</v>
      </c>
      <c r="W62" s="61"/>
      <c r="Y62" s="137">
        <f>Summary_LCIA!H$32</f>
        <v>0.33979999999999999</v>
      </c>
      <c r="Z62" s="137">
        <f>Summary_LCIA!Q$32</f>
        <v>4.9560504329999997</v>
      </c>
      <c r="AA62" s="137">
        <f>Summary_LCIA!R$32</f>
        <v>5.2655999999999996E-3</v>
      </c>
      <c r="AB62" s="137">
        <f>Summary_LCIA!S$32</f>
        <v>0.33538000000000001</v>
      </c>
      <c r="AC62" s="137">
        <f>Summary_LCIA!T$32</f>
        <v>0.1099</v>
      </c>
      <c r="AD62" s="137">
        <f>Summary_LCIA!U$32</f>
        <v>1.7913999999999999E-2</v>
      </c>
      <c r="AE62" s="137">
        <f>Summary_LCIA!V$32</f>
        <v>4.7760999999999999E-5</v>
      </c>
      <c r="AF62" s="137">
        <f>Summary_LCIA!W$32</f>
        <v>7.6970999999999998E-2</v>
      </c>
      <c r="AG62" s="137">
        <f>Summary_LCIA!X$32</f>
        <v>2.2780000000000002E-2</v>
      </c>
      <c r="AH62" s="137">
        <f>Summary_LCIA!Y$32</f>
        <v>1.5582E-2</v>
      </c>
      <c r="AI62" s="137">
        <f>Summary_LCIA!Z$32</f>
        <v>4.1009E-5</v>
      </c>
      <c r="AJ62" s="137">
        <f>Summary_LCIA!AA$32</f>
        <v>2.3355999999999998E-2</v>
      </c>
      <c r="AK62" s="137">
        <f>Summary_LCIA!AB$32</f>
        <v>-2.1823000000000001E-5</v>
      </c>
      <c r="AL62" s="137">
        <f>Summary_LCIA!AC$32</f>
        <v>4.8884000000000003E-8</v>
      </c>
      <c r="AM62" s="137">
        <f>Summary_LCIA!AD$32</f>
        <v>4.1103999999999999E-4</v>
      </c>
      <c r="AN62" s="137">
        <f>Summary_LCIA!AE$32</f>
        <v>8.8612999999999995E-4</v>
      </c>
      <c r="AO62" s="137">
        <f>Summary_LCIA!AF$32</f>
        <v>8.4542000000000005E-4</v>
      </c>
      <c r="AP62" s="137">
        <f>Summary_LCIA!AG$32</f>
        <v>5.1165000000000002E-5</v>
      </c>
      <c r="AQ62" s="137">
        <f>Summary_LCIA!AH$32</f>
        <v>8.7036000000000006E-3</v>
      </c>
      <c r="AR62" s="137">
        <f>Summary_LCIA!AI$32</f>
        <v>9.3154999999999996E-4</v>
      </c>
      <c r="AT62" s="137">
        <f t="shared" si="4"/>
        <v>20.040724399999998</v>
      </c>
      <c r="AU62" s="137">
        <f t="shared" si="5"/>
        <v>292.29794243747398</v>
      </c>
      <c r="AV62" s="137">
        <f t="shared" si="6"/>
        <v>0.31055455679999999</v>
      </c>
      <c r="AW62" s="137">
        <f t="shared" si="7"/>
        <v>19.78004164</v>
      </c>
      <c r="AX62" s="137">
        <f t="shared" si="8"/>
        <v>6.4816821999999998</v>
      </c>
      <c r="AY62" s="137">
        <f t="shared" si="9"/>
        <v>1.056531892</v>
      </c>
      <c r="AZ62" s="137">
        <f t="shared" si="10"/>
        <v>2.8168482580000001E-3</v>
      </c>
      <c r="BA62" s="137">
        <f t="shared" si="11"/>
        <v>4.5395956379999998</v>
      </c>
      <c r="BB62" s="137">
        <f t="shared" si="12"/>
        <v>1.3435188400000002</v>
      </c>
      <c r="BC62" s="137">
        <f t="shared" si="13"/>
        <v>0.91899519600000001</v>
      </c>
      <c r="BD62" s="137">
        <f t="shared" si="14"/>
        <v>2.4186288020000002E-3</v>
      </c>
      <c r="BE62" s="137">
        <f t="shared" si="15"/>
        <v>1.377490168</v>
      </c>
      <c r="BF62" s="137">
        <f t="shared" si="16"/>
        <v>-1.2870768940000002E-3</v>
      </c>
      <c r="BG62" s="137">
        <f t="shared" si="17"/>
        <v>2.8830805520000002E-6</v>
      </c>
      <c r="BH62" s="137">
        <f t="shared" si="18"/>
        <v>2.4242317119999999E-2</v>
      </c>
      <c r="BI62" s="137">
        <f t="shared" si="19"/>
        <v>5.2262175139999999E-2</v>
      </c>
      <c r="BJ62" s="137">
        <f t="shared" si="20"/>
        <v>4.9861180760000005E-2</v>
      </c>
      <c r="BK62" s="137">
        <f t="shared" si="21"/>
        <v>3.0176093700000003E-3</v>
      </c>
      <c r="BL62" s="137">
        <f t="shared" si="22"/>
        <v>0.51332092080000002</v>
      </c>
      <c r="BM62" s="137">
        <f t="shared" si="23"/>
        <v>5.4940955899999998E-2</v>
      </c>
    </row>
    <row r="63" spans="1:65" x14ac:dyDescent="0.25">
      <c r="A63" s="149">
        <v>247</v>
      </c>
      <c r="B63" s="149">
        <v>43</v>
      </c>
      <c r="C63" s="61">
        <v>40.883676999999999</v>
      </c>
      <c r="D63" s="61">
        <v>-74.657272000000006</v>
      </c>
      <c r="E63" s="61" t="s">
        <v>265</v>
      </c>
      <c r="F63" s="149">
        <v>43</v>
      </c>
      <c r="G63" s="61" t="s">
        <v>565</v>
      </c>
      <c r="H63" s="61" t="s">
        <v>632</v>
      </c>
      <c r="I63" s="61">
        <v>40.689531000000002</v>
      </c>
      <c r="J63" s="61">
        <v>-74.174462000000005</v>
      </c>
      <c r="K63" s="61">
        <v>48.085556680000003</v>
      </c>
      <c r="L63" s="61">
        <v>63.673000000000002</v>
      </c>
      <c r="M63" s="61" t="s">
        <v>617</v>
      </c>
      <c r="N63" s="149">
        <v>42</v>
      </c>
      <c r="O63" s="149">
        <v>43</v>
      </c>
      <c r="P63" s="61" t="s">
        <v>565</v>
      </c>
      <c r="Q63" s="61" t="s">
        <v>555</v>
      </c>
      <c r="R63" s="61">
        <v>40.6895314</v>
      </c>
      <c r="S63" s="61">
        <v>-74.174462399999996</v>
      </c>
      <c r="T63" s="61">
        <v>63.67</v>
      </c>
      <c r="U63" s="61" t="s">
        <v>617</v>
      </c>
      <c r="V63" s="61" t="s">
        <v>617</v>
      </c>
      <c r="W63" s="61"/>
      <c r="Y63" s="137">
        <f>Summary_LCIA!H$32</f>
        <v>0.33979999999999999</v>
      </c>
      <c r="Z63" s="137">
        <f>Summary_LCIA!Q$32</f>
        <v>4.9560504329999997</v>
      </c>
      <c r="AA63" s="137">
        <f>Summary_LCIA!R$32</f>
        <v>5.2655999999999996E-3</v>
      </c>
      <c r="AB63" s="137">
        <f>Summary_LCIA!S$32</f>
        <v>0.33538000000000001</v>
      </c>
      <c r="AC63" s="137">
        <f>Summary_LCIA!T$32</f>
        <v>0.1099</v>
      </c>
      <c r="AD63" s="137">
        <f>Summary_LCIA!U$32</f>
        <v>1.7913999999999999E-2</v>
      </c>
      <c r="AE63" s="137">
        <f>Summary_LCIA!V$32</f>
        <v>4.7760999999999999E-5</v>
      </c>
      <c r="AF63" s="137">
        <f>Summary_LCIA!W$32</f>
        <v>7.6970999999999998E-2</v>
      </c>
      <c r="AG63" s="137">
        <f>Summary_LCIA!X$32</f>
        <v>2.2780000000000002E-2</v>
      </c>
      <c r="AH63" s="137">
        <f>Summary_LCIA!Y$32</f>
        <v>1.5582E-2</v>
      </c>
      <c r="AI63" s="137">
        <f>Summary_LCIA!Z$32</f>
        <v>4.1009E-5</v>
      </c>
      <c r="AJ63" s="137">
        <f>Summary_LCIA!AA$32</f>
        <v>2.3355999999999998E-2</v>
      </c>
      <c r="AK63" s="137">
        <f>Summary_LCIA!AB$32</f>
        <v>-2.1823000000000001E-5</v>
      </c>
      <c r="AL63" s="137">
        <f>Summary_LCIA!AC$32</f>
        <v>4.8884000000000003E-8</v>
      </c>
      <c r="AM63" s="137">
        <f>Summary_LCIA!AD$32</f>
        <v>4.1103999999999999E-4</v>
      </c>
      <c r="AN63" s="137">
        <f>Summary_LCIA!AE$32</f>
        <v>8.8612999999999995E-4</v>
      </c>
      <c r="AO63" s="137">
        <f>Summary_LCIA!AF$32</f>
        <v>8.4542000000000005E-4</v>
      </c>
      <c r="AP63" s="137">
        <f>Summary_LCIA!AG$32</f>
        <v>5.1165000000000002E-5</v>
      </c>
      <c r="AQ63" s="137">
        <f>Summary_LCIA!AH$32</f>
        <v>8.7036000000000006E-3</v>
      </c>
      <c r="AR63" s="137">
        <f>Summary_LCIA!AI$32</f>
        <v>9.3154999999999996E-4</v>
      </c>
      <c r="AT63" s="137">
        <f t="shared" si="4"/>
        <v>21.635065999999998</v>
      </c>
      <c r="AU63" s="137">
        <f t="shared" si="5"/>
        <v>315.55173106910996</v>
      </c>
      <c r="AV63" s="137">
        <f t="shared" si="6"/>
        <v>0.335260752</v>
      </c>
      <c r="AW63" s="137">
        <f t="shared" si="7"/>
        <v>21.353644600000003</v>
      </c>
      <c r="AX63" s="137">
        <f t="shared" si="8"/>
        <v>6.9973330000000002</v>
      </c>
      <c r="AY63" s="137">
        <f t="shared" si="9"/>
        <v>1.14058438</v>
      </c>
      <c r="AZ63" s="137">
        <f t="shared" si="10"/>
        <v>3.04094287E-3</v>
      </c>
      <c r="BA63" s="137">
        <f t="shared" si="11"/>
        <v>4.9007435700000004</v>
      </c>
      <c r="BB63" s="137">
        <f t="shared" si="12"/>
        <v>1.4504026000000001</v>
      </c>
      <c r="BC63" s="137">
        <f t="shared" si="13"/>
        <v>0.99210594000000007</v>
      </c>
      <c r="BD63" s="137">
        <f t="shared" si="14"/>
        <v>2.6110430300000003E-3</v>
      </c>
      <c r="BE63" s="137">
        <f t="shared" si="15"/>
        <v>1.48707652</v>
      </c>
      <c r="BF63" s="137">
        <f t="shared" si="16"/>
        <v>-1.3894704100000002E-3</v>
      </c>
      <c r="BG63" s="137">
        <f t="shared" si="17"/>
        <v>3.1124442800000002E-6</v>
      </c>
      <c r="BH63" s="137">
        <f t="shared" si="18"/>
        <v>2.6170916799999999E-2</v>
      </c>
      <c r="BI63" s="137">
        <f t="shared" si="19"/>
        <v>5.6419897099999998E-2</v>
      </c>
      <c r="BJ63" s="137">
        <f t="shared" si="20"/>
        <v>5.3827891400000001E-2</v>
      </c>
      <c r="BK63" s="137">
        <f t="shared" si="21"/>
        <v>3.2576755500000002E-3</v>
      </c>
      <c r="BL63" s="137">
        <f t="shared" si="22"/>
        <v>0.55415821200000004</v>
      </c>
      <c r="BM63" s="137">
        <f t="shared" si="23"/>
        <v>5.9311788499999997E-2</v>
      </c>
    </row>
    <row r="64" spans="1:65" x14ac:dyDescent="0.25">
      <c r="A64" s="149">
        <v>132</v>
      </c>
      <c r="B64" s="149">
        <v>43</v>
      </c>
      <c r="C64" s="61">
        <v>40.640934999999999</v>
      </c>
      <c r="D64" s="61">
        <v>-74.881277999999995</v>
      </c>
      <c r="E64" s="61" t="s">
        <v>265</v>
      </c>
      <c r="F64" s="149">
        <v>43</v>
      </c>
      <c r="G64" s="61" t="s">
        <v>565</v>
      </c>
      <c r="H64" s="61" t="s">
        <v>632</v>
      </c>
      <c r="I64" s="61">
        <v>40.689531000000002</v>
      </c>
      <c r="J64" s="61">
        <v>-74.174462000000005</v>
      </c>
      <c r="K64" s="61">
        <v>61.95024781</v>
      </c>
      <c r="L64" s="61">
        <v>66.501000000000005</v>
      </c>
      <c r="M64" s="61" t="s">
        <v>617</v>
      </c>
      <c r="N64" s="149">
        <v>42</v>
      </c>
      <c r="O64" s="149">
        <v>43</v>
      </c>
      <c r="P64" s="61" t="s">
        <v>565</v>
      </c>
      <c r="Q64" s="61" t="s">
        <v>555</v>
      </c>
      <c r="R64" s="61">
        <v>40.6895314</v>
      </c>
      <c r="S64" s="61">
        <v>-74.174462399999996</v>
      </c>
      <c r="T64" s="61">
        <v>66.501000000000005</v>
      </c>
      <c r="U64" s="61" t="s">
        <v>617</v>
      </c>
      <c r="V64" s="61" t="s">
        <v>617</v>
      </c>
      <c r="W64" s="61"/>
      <c r="Y64" s="137">
        <f>Summary_LCIA!H$32</f>
        <v>0.33979999999999999</v>
      </c>
      <c r="Z64" s="137">
        <f>Summary_LCIA!Q$32</f>
        <v>4.9560504329999997</v>
      </c>
      <c r="AA64" s="137">
        <f>Summary_LCIA!R$32</f>
        <v>5.2655999999999996E-3</v>
      </c>
      <c r="AB64" s="137">
        <f>Summary_LCIA!S$32</f>
        <v>0.33538000000000001</v>
      </c>
      <c r="AC64" s="137">
        <f>Summary_LCIA!T$32</f>
        <v>0.1099</v>
      </c>
      <c r="AD64" s="137">
        <f>Summary_LCIA!U$32</f>
        <v>1.7913999999999999E-2</v>
      </c>
      <c r="AE64" s="137">
        <f>Summary_LCIA!V$32</f>
        <v>4.7760999999999999E-5</v>
      </c>
      <c r="AF64" s="137">
        <f>Summary_LCIA!W$32</f>
        <v>7.6970999999999998E-2</v>
      </c>
      <c r="AG64" s="137">
        <f>Summary_LCIA!X$32</f>
        <v>2.2780000000000002E-2</v>
      </c>
      <c r="AH64" s="137">
        <f>Summary_LCIA!Y$32</f>
        <v>1.5582E-2</v>
      </c>
      <c r="AI64" s="137">
        <f>Summary_LCIA!Z$32</f>
        <v>4.1009E-5</v>
      </c>
      <c r="AJ64" s="137">
        <f>Summary_LCIA!AA$32</f>
        <v>2.3355999999999998E-2</v>
      </c>
      <c r="AK64" s="137">
        <f>Summary_LCIA!AB$32</f>
        <v>-2.1823000000000001E-5</v>
      </c>
      <c r="AL64" s="137">
        <f>Summary_LCIA!AC$32</f>
        <v>4.8884000000000003E-8</v>
      </c>
      <c r="AM64" s="137">
        <f>Summary_LCIA!AD$32</f>
        <v>4.1103999999999999E-4</v>
      </c>
      <c r="AN64" s="137">
        <f>Summary_LCIA!AE$32</f>
        <v>8.8612999999999995E-4</v>
      </c>
      <c r="AO64" s="137">
        <f>Summary_LCIA!AF$32</f>
        <v>8.4542000000000005E-4</v>
      </c>
      <c r="AP64" s="137">
        <f>Summary_LCIA!AG$32</f>
        <v>5.1165000000000002E-5</v>
      </c>
      <c r="AQ64" s="137">
        <f>Summary_LCIA!AH$32</f>
        <v>8.7036000000000006E-3</v>
      </c>
      <c r="AR64" s="137">
        <f>Summary_LCIA!AI$32</f>
        <v>9.3154999999999996E-4</v>
      </c>
      <c r="AT64" s="137">
        <f t="shared" si="4"/>
        <v>22.597039800000001</v>
      </c>
      <c r="AU64" s="137">
        <f t="shared" si="5"/>
        <v>329.58230984493298</v>
      </c>
      <c r="AV64" s="137">
        <f t="shared" si="6"/>
        <v>0.35016766560000001</v>
      </c>
      <c r="AW64" s="137">
        <f t="shared" si="7"/>
        <v>22.303105380000002</v>
      </c>
      <c r="AX64" s="137">
        <f t="shared" si="8"/>
        <v>7.3084599000000008</v>
      </c>
      <c r="AY64" s="137">
        <f t="shared" si="9"/>
        <v>1.1912989140000001</v>
      </c>
      <c r="AZ64" s="137">
        <f t="shared" si="10"/>
        <v>3.1761542610000003E-3</v>
      </c>
      <c r="BA64" s="137">
        <f t="shared" si="11"/>
        <v>5.1186484710000002</v>
      </c>
      <c r="BB64" s="137">
        <f t="shared" si="12"/>
        <v>1.5148927800000003</v>
      </c>
      <c r="BC64" s="137">
        <f t="shared" si="13"/>
        <v>1.0362185820000001</v>
      </c>
      <c r="BD64" s="137">
        <f t="shared" si="14"/>
        <v>2.7271395090000001E-3</v>
      </c>
      <c r="BE64" s="137">
        <f t="shared" si="15"/>
        <v>1.5531973560000001</v>
      </c>
      <c r="BF64" s="137">
        <f t="shared" si="16"/>
        <v>-1.4512513230000002E-3</v>
      </c>
      <c r="BG64" s="137">
        <f t="shared" si="17"/>
        <v>3.2508348840000006E-6</v>
      </c>
      <c r="BH64" s="137">
        <f t="shared" si="18"/>
        <v>2.7334571040000002E-2</v>
      </c>
      <c r="BI64" s="137">
        <f t="shared" si="19"/>
        <v>5.8928531130000003E-2</v>
      </c>
      <c r="BJ64" s="137">
        <f t="shared" si="20"/>
        <v>5.6221275420000008E-2</v>
      </c>
      <c r="BK64" s="137">
        <f t="shared" si="21"/>
        <v>3.4025236650000006E-3</v>
      </c>
      <c r="BL64" s="137">
        <f t="shared" si="22"/>
        <v>0.57879810360000006</v>
      </c>
      <c r="BM64" s="137">
        <f t="shared" si="23"/>
        <v>6.1949006550000005E-2</v>
      </c>
    </row>
    <row r="65" spans="1:65" x14ac:dyDescent="0.25">
      <c r="A65" s="149">
        <v>166</v>
      </c>
      <c r="B65" s="149">
        <v>16</v>
      </c>
      <c r="C65" s="61">
        <v>40.014986</v>
      </c>
      <c r="D65" s="61">
        <v>-105.270546</v>
      </c>
      <c r="E65" s="61" t="s">
        <v>265</v>
      </c>
      <c r="F65" s="149">
        <v>16</v>
      </c>
      <c r="G65" s="61" t="s">
        <v>565</v>
      </c>
      <c r="H65" s="61" t="s">
        <v>645</v>
      </c>
      <c r="I65" s="61">
        <v>39.856096000000001</v>
      </c>
      <c r="J65" s="61">
        <v>-104.673738</v>
      </c>
      <c r="K65" s="61">
        <v>66.833860599999994</v>
      </c>
      <c r="L65" s="61">
        <v>70.700999999999993</v>
      </c>
      <c r="M65" s="61" t="s">
        <v>617</v>
      </c>
      <c r="N65" s="149">
        <v>15</v>
      </c>
      <c r="O65" s="149">
        <v>16</v>
      </c>
      <c r="P65" s="61" t="s">
        <v>565</v>
      </c>
      <c r="Q65" s="61" t="s">
        <v>556</v>
      </c>
      <c r="R65" s="61">
        <v>39.856096299999997</v>
      </c>
      <c r="S65" s="61">
        <v>-104.6737376</v>
      </c>
      <c r="T65" s="61">
        <v>70.700999999999993</v>
      </c>
      <c r="U65" s="61" t="s">
        <v>617</v>
      </c>
      <c r="V65" s="61" t="s">
        <v>617</v>
      </c>
      <c r="W65" s="61"/>
      <c r="Y65" s="137">
        <f>Summary_LCIA!H$32</f>
        <v>0.33979999999999999</v>
      </c>
      <c r="Z65" s="137">
        <f>Summary_LCIA!Q$32</f>
        <v>4.9560504329999997</v>
      </c>
      <c r="AA65" s="137">
        <f>Summary_LCIA!R$32</f>
        <v>5.2655999999999996E-3</v>
      </c>
      <c r="AB65" s="137">
        <f>Summary_LCIA!S$32</f>
        <v>0.33538000000000001</v>
      </c>
      <c r="AC65" s="137">
        <f>Summary_LCIA!T$32</f>
        <v>0.1099</v>
      </c>
      <c r="AD65" s="137">
        <f>Summary_LCIA!U$32</f>
        <v>1.7913999999999999E-2</v>
      </c>
      <c r="AE65" s="137">
        <f>Summary_LCIA!V$32</f>
        <v>4.7760999999999999E-5</v>
      </c>
      <c r="AF65" s="137">
        <f>Summary_LCIA!W$32</f>
        <v>7.6970999999999998E-2</v>
      </c>
      <c r="AG65" s="137">
        <f>Summary_LCIA!X$32</f>
        <v>2.2780000000000002E-2</v>
      </c>
      <c r="AH65" s="137">
        <f>Summary_LCIA!Y$32</f>
        <v>1.5582E-2</v>
      </c>
      <c r="AI65" s="137">
        <f>Summary_LCIA!Z$32</f>
        <v>4.1009E-5</v>
      </c>
      <c r="AJ65" s="137">
        <f>Summary_LCIA!AA$32</f>
        <v>2.3355999999999998E-2</v>
      </c>
      <c r="AK65" s="137">
        <f>Summary_LCIA!AB$32</f>
        <v>-2.1823000000000001E-5</v>
      </c>
      <c r="AL65" s="137">
        <f>Summary_LCIA!AC$32</f>
        <v>4.8884000000000003E-8</v>
      </c>
      <c r="AM65" s="137">
        <f>Summary_LCIA!AD$32</f>
        <v>4.1103999999999999E-4</v>
      </c>
      <c r="AN65" s="137">
        <f>Summary_LCIA!AE$32</f>
        <v>8.8612999999999995E-4</v>
      </c>
      <c r="AO65" s="137">
        <f>Summary_LCIA!AF$32</f>
        <v>8.4542000000000005E-4</v>
      </c>
      <c r="AP65" s="137">
        <f>Summary_LCIA!AG$32</f>
        <v>5.1165000000000002E-5</v>
      </c>
      <c r="AQ65" s="137">
        <f>Summary_LCIA!AH$32</f>
        <v>8.7036000000000006E-3</v>
      </c>
      <c r="AR65" s="137">
        <f>Summary_LCIA!AI$32</f>
        <v>9.3154999999999996E-4</v>
      </c>
      <c r="AT65" s="137">
        <f t="shared" si="4"/>
        <v>24.024199799999998</v>
      </c>
      <c r="AU65" s="137">
        <f t="shared" si="5"/>
        <v>350.39772166353293</v>
      </c>
      <c r="AV65" s="137">
        <f t="shared" si="6"/>
        <v>0.37228318559999996</v>
      </c>
      <c r="AW65" s="137">
        <f t="shared" si="7"/>
        <v>23.711701379999997</v>
      </c>
      <c r="AX65" s="137">
        <f t="shared" si="8"/>
        <v>7.7700398999999996</v>
      </c>
      <c r="AY65" s="137">
        <f t="shared" si="9"/>
        <v>1.2665377139999998</v>
      </c>
      <c r="AZ65" s="137">
        <f t="shared" si="10"/>
        <v>3.3767504609999994E-3</v>
      </c>
      <c r="BA65" s="137">
        <f t="shared" si="11"/>
        <v>5.4419266709999992</v>
      </c>
      <c r="BB65" s="137">
        <f t="shared" si="12"/>
        <v>1.6105687799999999</v>
      </c>
      <c r="BC65" s="137">
        <f t="shared" si="13"/>
        <v>1.1016629819999999</v>
      </c>
      <c r="BD65" s="137">
        <f t="shared" si="14"/>
        <v>2.8993773089999999E-3</v>
      </c>
      <c r="BE65" s="137">
        <f t="shared" si="15"/>
        <v>1.6512925559999998</v>
      </c>
      <c r="BF65" s="137">
        <f t="shared" si="16"/>
        <v>-1.5429079229999998E-3</v>
      </c>
      <c r="BG65" s="137">
        <f t="shared" si="17"/>
        <v>3.456147684E-6</v>
      </c>
      <c r="BH65" s="137">
        <f t="shared" si="18"/>
        <v>2.9060939039999997E-2</v>
      </c>
      <c r="BI65" s="137">
        <f t="shared" si="19"/>
        <v>6.2650277129999987E-2</v>
      </c>
      <c r="BJ65" s="137">
        <f t="shared" si="20"/>
        <v>5.9772039419999999E-2</v>
      </c>
      <c r="BK65" s="137">
        <f t="shared" si="21"/>
        <v>3.617416665E-3</v>
      </c>
      <c r="BL65" s="137">
        <f t="shared" si="22"/>
        <v>0.6153532236</v>
      </c>
      <c r="BM65" s="137">
        <f t="shared" si="23"/>
        <v>6.5861516549999985E-2</v>
      </c>
    </row>
    <row r="66" spans="1:65" x14ac:dyDescent="0.25">
      <c r="A66" s="149">
        <v>167</v>
      </c>
      <c r="B66" s="149">
        <v>16</v>
      </c>
      <c r="C66" s="61">
        <v>40.014986</v>
      </c>
      <c r="D66" s="61">
        <v>-105.270546</v>
      </c>
      <c r="E66" s="61" t="s">
        <v>265</v>
      </c>
      <c r="F66" s="149">
        <v>16</v>
      </c>
      <c r="G66" s="61" t="s">
        <v>565</v>
      </c>
      <c r="H66" s="61" t="s">
        <v>645</v>
      </c>
      <c r="I66" s="61">
        <v>39.856096000000001</v>
      </c>
      <c r="J66" s="61">
        <v>-104.673738</v>
      </c>
      <c r="K66" s="61">
        <v>66.833860599999994</v>
      </c>
      <c r="L66" s="61">
        <v>70.700999999999993</v>
      </c>
      <c r="M66" s="61" t="s">
        <v>617</v>
      </c>
      <c r="N66" s="149">
        <v>15</v>
      </c>
      <c r="O66" s="149">
        <v>16</v>
      </c>
      <c r="P66" s="61" t="s">
        <v>565</v>
      </c>
      <c r="Q66" s="61" t="s">
        <v>556</v>
      </c>
      <c r="R66" s="61">
        <v>39.856096299999997</v>
      </c>
      <c r="S66" s="61">
        <v>-104.6737376</v>
      </c>
      <c r="T66" s="61">
        <v>70.700999999999993</v>
      </c>
      <c r="U66" s="61" t="s">
        <v>617</v>
      </c>
      <c r="V66" s="61" t="s">
        <v>617</v>
      </c>
      <c r="W66" s="61"/>
      <c r="Y66" s="137">
        <f>Summary_LCIA!H$32</f>
        <v>0.33979999999999999</v>
      </c>
      <c r="Z66" s="137">
        <f>Summary_LCIA!Q$32</f>
        <v>4.9560504329999997</v>
      </c>
      <c r="AA66" s="137">
        <f>Summary_LCIA!R$32</f>
        <v>5.2655999999999996E-3</v>
      </c>
      <c r="AB66" s="137">
        <f>Summary_LCIA!S$32</f>
        <v>0.33538000000000001</v>
      </c>
      <c r="AC66" s="137">
        <f>Summary_LCIA!T$32</f>
        <v>0.1099</v>
      </c>
      <c r="AD66" s="137">
        <f>Summary_LCIA!U$32</f>
        <v>1.7913999999999999E-2</v>
      </c>
      <c r="AE66" s="137">
        <f>Summary_LCIA!V$32</f>
        <v>4.7760999999999999E-5</v>
      </c>
      <c r="AF66" s="137">
        <f>Summary_LCIA!W$32</f>
        <v>7.6970999999999998E-2</v>
      </c>
      <c r="AG66" s="137">
        <f>Summary_LCIA!X$32</f>
        <v>2.2780000000000002E-2</v>
      </c>
      <c r="AH66" s="137">
        <f>Summary_LCIA!Y$32</f>
        <v>1.5582E-2</v>
      </c>
      <c r="AI66" s="137">
        <f>Summary_LCIA!Z$32</f>
        <v>4.1009E-5</v>
      </c>
      <c r="AJ66" s="137">
        <f>Summary_LCIA!AA$32</f>
        <v>2.3355999999999998E-2</v>
      </c>
      <c r="AK66" s="137">
        <f>Summary_LCIA!AB$32</f>
        <v>-2.1823000000000001E-5</v>
      </c>
      <c r="AL66" s="137">
        <f>Summary_LCIA!AC$32</f>
        <v>4.8884000000000003E-8</v>
      </c>
      <c r="AM66" s="137">
        <f>Summary_LCIA!AD$32</f>
        <v>4.1103999999999999E-4</v>
      </c>
      <c r="AN66" s="137">
        <f>Summary_LCIA!AE$32</f>
        <v>8.8612999999999995E-4</v>
      </c>
      <c r="AO66" s="137">
        <f>Summary_LCIA!AF$32</f>
        <v>8.4542000000000005E-4</v>
      </c>
      <c r="AP66" s="137">
        <f>Summary_LCIA!AG$32</f>
        <v>5.1165000000000002E-5</v>
      </c>
      <c r="AQ66" s="137">
        <f>Summary_LCIA!AH$32</f>
        <v>8.7036000000000006E-3</v>
      </c>
      <c r="AR66" s="137">
        <f>Summary_LCIA!AI$32</f>
        <v>9.3154999999999996E-4</v>
      </c>
      <c r="AT66" s="137">
        <f t="shared" si="4"/>
        <v>24.024199799999998</v>
      </c>
      <c r="AU66" s="137">
        <f t="shared" si="5"/>
        <v>350.39772166353293</v>
      </c>
      <c r="AV66" s="137">
        <f t="shared" si="6"/>
        <v>0.37228318559999996</v>
      </c>
      <c r="AW66" s="137">
        <f t="shared" si="7"/>
        <v>23.711701379999997</v>
      </c>
      <c r="AX66" s="137">
        <f t="shared" si="8"/>
        <v>7.7700398999999996</v>
      </c>
      <c r="AY66" s="137">
        <f t="shared" si="9"/>
        <v>1.2665377139999998</v>
      </c>
      <c r="AZ66" s="137">
        <f t="shared" si="10"/>
        <v>3.3767504609999994E-3</v>
      </c>
      <c r="BA66" s="137">
        <f t="shared" si="11"/>
        <v>5.4419266709999992</v>
      </c>
      <c r="BB66" s="137">
        <f t="shared" si="12"/>
        <v>1.6105687799999999</v>
      </c>
      <c r="BC66" s="137">
        <f t="shared" si="13"/>
        <v>1.1016629819999999</v>
      </c>
      <c r="BD66" s="137">
        <f t="shared" si="14"/>
        <v>2.8993773089999999E-3</v>
      </c>
      <c r="BE66" s="137">
        <f t="shared" si="15"/>
        <v>1.6512925559999998</v>
      </c>
      <c r="BF66" s="137">
        <f t="shared" si="16"/>
        <v>-1.5429079229999998E-3</v>
      </c>
      <c r="BG66" s="137">
        <f t="shared" si="17"/>
        <v>3.456147684E-6</v>
      </c>
      <c r="BH66" s="137">
        <f t="shared" si="18"/>
        <v>2.9060939039999997E-2</v>
      </c>
      <c r="BI66" s="137">
        <f t="shared" si="19"/>
        <v>6.2650277129999987E-2</v>
      </c>
      <c r="BJ66" s="137">
        <f t="shared" si="20"/>
        <v>5.9772039419999999E-2</v>
      </c>
      <c r="BK66" s="137">
        <f t="shared" si="21"/>
        <v>3.617416665E-3</v>
      </c>
      <c r="BL66" s="137">
        <f t="shared" si="22"/>
        <v>0.6153532236</v>
      </c>
      <c r="BM66" s="137">
        <f t="shared" si="23"/>
        <v>6.5861516549999985E-2</v>
      </c>
    </row>
    <row r="67" spans="1:65" x14ac:dyDescent="0.25">
      <c r="A67" s="149">
        <v>168</v>
      </c>
      <c r="B67" s="149">
        <v>16</v>
      </c>
      <c r="C67" s="61">
        <v>40.014986</v>
      </c>
      <c r="D67" s="61">
        <v>-105.270546</v>
      </c>
      <c r="E67" s="61" t="s">
        <v>265</v>
      </c>
      <c r="F67" s="149">
        <v>16</v>
      </c>
      <c r="G67" s="61" t="s">
        <v>565</v>
      </c>
      <c r="H67" s="61" t="s">
        <v>645</v>
      </c>
      <c r="I67" s="61">
        <v>39.856096000000001</v>
      </c>
      <c r="J67" s="61">
        <v>-104.673738</v>
      </c>
      <c r="K67" s="61">
        <v>66.833860599999994</v>
      </c>
      <c r="L67" s="61">
        <v>70.700999999999993</v>
      </c>
      <c r="M67" s="61" t="s">
        <v>617</v>
      </c>
      <c r="N67" s="149">
        <v>15</v>
      </c>
      <c r="O67" s="149">
        <v>16</v>
      </c>
      <c r="P67" s="61" t="s">
        <v>565</v>
      </c>
      <c r="Q67" s="61" t="s">
        <v>556</v>
      </c>
      <c r="R67" s="61">
        <v>39.856096299999997</v>
      </c>
      <c r="S67" s="61">
        <v>-104.6737376</v>
      </c>
      <c r="T67" s="61">
        <v>70.700999999999993</v>
      </c>
      <c r="U67" s="61" t="s">
        <v>617</v>
      </c>
      <c r="V67" s="61" t="s">
        <v>617</v>
      </c>
      <c r="W67" s="61"/>
      <c r="Y67" s="137">
        <f>Summary_LCIA!H$32</f>
        <v>0.33979999999999999</v>
      </c>
      <c r="Z67" s="137">
        <f>Summary_LCIA!Q$32</f>
        <v>4.9560504329999997</v>
      </c>
      <c r="AA67" s="137">
        <f>Summary_LCIA!R$32</f>
        <v>5.2655999999999996E-3</v>
      </c>
      <c r="AB67" s="137">
        <f>Summary_LCIA!S$32</f>
        <v>0.33538000000000001</v>
      </c>
      <c r="AC67" s="137">
        <f>Summary_LCIA!T$32</f>
        <v>0.1099</v>
      </c>
      <c r="AD67" s="137">
        <f>Summary_LCIA!U$32</f>
        <v>1.7913999999999999E-2</v>
      </c>
      <c r="AE67" s="137">
        <f>Summary_LCIA!V$32</f>
        <v>4.7760999999999999E-5</v>
      </c>
      <c r="AF67" s="137">
        <f>Summary_LCIA!W$32</f>
        <v>7.6970999999999998E-2</v>
      </c>
      <c r="AG67" s="137">
        <f>Summary_LCIA!X$32</f>
        <v>2.2780000000000002E-2</v>
      </c>
      <c r="AH67" s="137">
        <f>Summary_LCIA!Y$32</f>
        <v>1.5582E-2</v>
      </c>
      <c r="AI67" s="137">
        <f>Summary_LCIA!Z$32</f>
        <v>4.1009E-5</v>
      </c>
      <c r="AJ67" s="137">
        <f>Summary_LCIA!AA$32</f>
        <v>2.3355999999999998E-2</v>
      </c>
      <c r="AK67" s="137">
        <f>Summary_LCIA!AB$32</f>
        <v>-2.1823000000000001E-5</v>
      </c>
      <c r="AL67" s="137">
        <f>Summary_LCIA!AC$32</f>
        <v>4.8884000000000003E-8</v>
      </c>
      <c r="AM67" s="137">
        <f>Summary_LCIA!AD$32</f>
        <v>4.1103999999999999E-4</v>
      </c>
      <c r="AN67" s="137">
        <f>Summary_LCIA!AE$32</f>
        <v>8.8612999999999995E-4</v>
      </c>
      <c r="AO67" s="137">
        <f>Summary_LCIA!AF$32</f>
        <v>8.4542000000000005E-4</v>
      </c>
      <c r="AP67" s="137">
        <f>Summary_LCIA!AG$32</f>
        <v>5.1165000000000002E-5</v>
      </c>
      <c r="AQ67" s="137">
        <f>Summary_LCIA!AH$32</f>
        <v>8.7036000000000006E-3</v>
      </c>
      <c r="AR67" s="137">
        <f>Summary_LCIA!AI$32</f>
        <v>9.3154999999999996E-4</v>
      </c>
      <c r="AT67" s="137">
        <f t="shared" ref="AT67:AT130" si="24">$T67*Y67</f>
        <v>24.024199799999998</v>
      </c>
      <c r="AU67" s="137">
        <f t="shared" ref="AU67:AU130" si="25">$T67*Z67</f>
        <v>350.39772166353293</v>
      </c>
      <c r="AV67" s="137">
        <f t="shared" ref="AV67:AV130" si="26">$T67*AA67</f>
        <v>0.37228318559999996</v>
      </c>
      <c r="AW67" s="137">
        <f t="shared" ref="AW67:AW130" si="27">$T67*AB67</f>
        <v>23.711701379999997</v>
      </c>
      <c r="AX67" s="137">
        <f t="shared" ref="AX67:AX130" si="28">$T67*AC67</f>
        <v>7.7700398999999996</v>
      </c>
      <c r="AY67" s="137">
        <f t="shared" ref="AY67:AY130" si="29">$T67*AD67</f>
        <v>1.2665377139999998</v>
      </c>
      <c r="AZ67" s="137">
        <f t="shared" ref="AZ67:AZ130" si="30">$T67*AE67</f>
        <v>3.3767504609999994E-3</v>
      </c>
      <c r="BA67" s="137">
        <f t="shared" ref="BA67:BA130" si="31">$T67*AF67</f>
        <v>5.4419266709999992</v>
      </c>
      <c r="BB67" s="137">
        <f t="shared" ref="BB67:BB130" si="32">$T67*AG67</f>
        <v>1.6105687799999999</v>
      </c>
      <c r="BC67" s="137">
        <f t="shared" ref="BC67:BC130" si="33">$T67*AH67</f>
        <v>1.1016629819999999</v>
      </c>
      <c r="BD67" s="137">
        <f t="shared" ref="BD67:BD130" si="34">$T67*AI67</f>
        <v>2.8993773089999999E-3</v>
      </c>
      <c r="BE67" s="137">
        <f t="shared" ref="BE67:BE130" si="35">$T67*AJ67</f>
        <v>1.6512925559999998</v>
      </c>
      <c r="BF67" s="137">
        <f t="shared" ref="BF67:BF130" si="36">$T67*AK67</f>
        <v>-1.5429079229999998E-3</v>
      </c>
      <c r="BG67" s="137">
        <f t="shared" ref="BG67:BG130" si="37">$T67*AL67</f>
        <v>3.456147684E-6</v>
      </c>
      <c r="BH67" s="137">
        <f t="shared" ref="BH67:BH130" si="38">$T67*AM67</f>
        <v>2.9060939039999997E-2</v>
      </c>
      <c r="BI67" s="137">
        <f t="shared" ref="BI67:BI130" si="39">$T67*AN67</f>
        <v>6.2650277129999987E-2</v>
      </c>
      <c r="BJ67" s="137">
        <f t="shared" ref="BJ67:BJ130" si="40">$T67*AO67</f>
        <v>5.9772039419999999E-2</v>
      </c>
      <c r="BK67" s="137">
        <f t="shared" ref="BK67:BK130" si="41">$T67*AP67</f>
        <v>3.617416665E-3</v>
      </c>
      <c r="BL67" s="137">
        <f t="shared" ref="BL67:BL130" si="42">$T67*AQ67</f>
        <v>0.6153532236</v>
      </c>
      <c r="BM67" s="137">
        <f t="shared" ref="BM67:BM130" si="43">$T67*AR67</f>
        <v>6.5861516549999985E-2</v>
      </c>
    </row>
    <row r="68" spans="1:65" x14ac:dyDescent="0.25">
      <c r="A68" s="149">
        <v>169</v>
      </c>
      <c r="B68" s="149">
        <v>16</v>
      </c>
      <c r="C68" s="61">
        <v>40.014986</v>
      </c>
      <c r="D68" s="61">
        <v>-105.270546</v>
      </c>
      <c r="E68" s="61" t="s">
        <v>265</v>
      </c>
      <c r="F68" s="149">
        <v>16</v>
      </c>
      <c r="G68" s="61" t="s">
        <v>565</v>
      </c>
      <c r="H68" s="61" t="s">
        <v>645</v>
      </c>
      <c r="I68" s="61">
        <v>39.856096000000001</v>
      </c>
      <c r="J68" s="61">
        <v>-104.673738</v>
      </c>
      <c r="K68" s="61">
        <v>66.833860599999994</v>
      </c>
      <c r="L68" s="61">
        <v>70.700999999999993</v>
      </c>
      <c r="M68" s="61" t="s">
        <v>617</v>
      </c>
      <c r="N68" s="149">
        <v>15</v>
      </c>
      <c r="O68" s="149">
        <v>16</v>
      </c>
      <c r="P68" s="61" t="s">
        <v>565</v>
      </c>
      <c r="Q68" s="61" t="s">
        <v>556</v>
      </c>
      <c r="R68" s="61">
        <v>39.856096299999997</v>
      </c>
      <c r="S68" s="61">
        <v>-104.6737376</v>
      </c>
      <c r="T68" s="61">
        <v>70.700999999999993</v>
      </c>
      <c r="U68" s="61" t="s">
        <v>617</v>
      </c>
      <c r="V68" s="61" t="s">
        <v>617</v>
      </c>
      <c r="W68" s="61"/>
      <c r="Y68" s="137">
        <f>Summary_LCIA!H$32</f>
        <v>0.33979999999999999</v>
      </c>
      <c r="Z68" s="137">
        <f>Summary_LCIA!Q$32</f>
        <v>4.9560504329999997</v>
      </c>
      <c r="AA68" s="137">
        <f>Summary_LCIA!R$32</f>
        <v>5.2655999999999996E-3</v>
      </c>
      <c r="AB68" s="137">
        <f>Summary_LCIA!S$32</f>
        <v>0.33538000000000001</v>
      </c>
      <c r="AC68" s="137">
        <f>Summary_LCIA!T$32</f>
        <v>0.1099</v>
      </c>
      <c r="AD68" s="137">
        <f>Summary_LCIA!U$32</f>
        <v>1.7913999999999999E-2</v>
      </c>
      <c r="AE68" s="137">
        <f>Summary_LCIA!V$32</f>
        <v>4.7760999999999999E-5</v>
      </c>
      <c r="AF68" s="137">
        <f>Summary_LCIA!W$32</f>
        <v>7.6970999999999998E-2</v>
      </c>
      <c r="AG68" s="137">
        <f>Summary_LCIA!X$32</f>
        <v>2.2780000000000002E-2</v>
      </c>
      <c r="AH68" s="137">
        <f>Summary_LCIA!Y$32</f>
        <v>1.5582E-2</v>
      </c>
      <c r="AI68" s="137">
        <f>Summary_LCIA!Z$32</f>
        <v>4.1009E-5</v>
      </c>
      <c r="AJ68" s="137">
        <f>Summary_LCIA!AA$32</f>
        <v>2.3355999999999998E-2</v>
      </c>
      <c r="AK68" s="137">
        <f>Summary_LCIA!AB$32</f>
        <v>-2.1823000000000001E-5</v>
      </c>
      <c r="AL68" s="137">
        <f>Summary_LCIA!AC$32</f>
        <v>4.8884000000000003E-8</v>
      </c>
      <c r="AM68" s="137">
        <f>Summary_LCIA!AD$32</f>
        <v>4.1103999999999999E-4</v>
      </c>
      <c r="AN68" s="137">
        <f>Summary_LCIA!AE$32</f>
        <v>8.8612999999999995E-4</v>
      </c>
      <c r="AO68" s="137">
        <f>Summary_LCIA!AF$32</f>
        <v>8.4542000000000005E-4</v>
      </c>
      <c r="AP68" s="137">
        <f>Summary_LCIA!AG$32</f>
        <v>5.1165000000000002E-5</v>
      </c>
      <c r="AQ68" s="137">
        <f>Summary_LCIA!AH$32</f>
        <v>8.7036000000000006E-3</v>
      </c>
      <c r="AR68" s="137">
        <f>Summary_LCIA!AI$32</f>
        <v>9.3154999999999996E-4</v>
      </c>
      <c r="AT68" s="137">
        <f t="shared" si="24"/>
        <v>24.024199799999998</v>
      </c>
      <c r="AU68" s="137">
        <f t="shared" si="25"/>
        <v>350.39772166353293</v>
      </c>
      <c r="AV68" s="137">
        <f t="shared" si="26"/>
        <v>0.37228318559999996</v>
      </c>
      <c r="AW68" s="137">
        <f t="shared" si="27"/>
        <v>23.711701379999997</v>
      </c>
      <c r="AX68" s="137">
        <f t="shared" si="28"/>
        <v>7.7700398999999996</v>
      </c>
      <c r="AY68" s="137">
        <f t="shared" si="29"/>
        <v>1.2665377139999998</v>
      </c>
      <c r="AZ68" s="137">
        <f t="shared" si="30"/>
        <v>3.3767504609999994E-3</v>
      </c>
      <c r="BA68" s="137">
        <f t="shared" si="31"/>
        <v>5.4419266709999992</v>
      </c>
      <c r="BB68" s="137">
        <f t="shared" si="32"/>
        <v>1.6105687799999999</v>
      </c>
      <c r="BC68" s="137">
        <f t="shared" si="33"/>
        <v>1.1016629819999999</v>
      </c>
      <c r="BD68" s="137">
        <f t="shared" si="34"/>
        <v>2.8993773089999999E-3</v>
      </c>
      <c r="BE68" s="137">
        <f t="shared" si="35"/>
        <v>1.6512925559999998</v>
      </c>
      <c r="BF68" s="137">
        <f t="shared" si="36"/>
        <v>-1.5429079229999998E-3</v>
      </c>
      <c r="BG68" s="137">
        <f t="shared" si="37"/>
        <v>3.456147684E-6</v>
      </c>
      <c r="BH68" s="137">
        <f t="shared" si="38"/>
        <v>2.9060939039999997E-2</v>
      </c>
      <c r="BI68" s="137">
        <f t="shared" si="39"/>
        <v>6.2650277129999987E-2</v>
      </c>
      <c r="BJ68" s="137">
        <f t="shared" si="40"/>
        <v>5.9772039419999999E-2</v>
      </c>
      <c r="BK68" s="137">
        <f t="shared" si="41"/>
        <v>3.617416665E-3</v>
      </c>
      <c r="BL68" s="137">
        <f t="shared" si="42"/>
        <v>0.6153532236</v>
      </c>
      <c r="BM68" s="137">
        <f t="shared" si="43"/>
        <v>6.5861516549999985E-2</v>
      </c>
    </row>
    <row r="69" spans="1:65" x14ac:dyDescent="0.25">
      <c r="A69" s="149">
        <v>170</v>
      </c>
      <c r="B69" s="149">
        <v>16</v>
      </c>
      <c r="C69" s="61">
        <v>40.014986</v>
      </c>
      <c r="D69" s="61">
        <v>-105.270546</v>
      </c>
      <c r="E69" s="61" t="s">
        <v>265</v>
      </c>
      <c r="F69" s="149">
        <v>16</v>
      </c>
      <c r="G69" s="61" t="s">
        <v>565</v>
      </c>
      <c r="H69" s="61" t="s">
        <v>645</v>
      </c>
      <c r="I69" s="61">
        <v>39.856096000000001</v>
      </c>
      <c r="J69" s="61">
        <v>-104.673738</v>
      </c>
      <c r="K69" s="61">
        <v>66.833860599999994</v>
      </c>
      <c r="L69" s="61">
        <v>70.700999999999993</v>
      </c>
      <c r="M69" s="61" t="s">
        <v>617</v>
      </c>
      <c r="N69" s="149">
        <v>15</v>
      </c>
      <c r="O69" s="149">
        <v>16</v>
      </c>
      <c r="P69" s="61" t="s">
        <v>565</v>
      </c>
      <c r="Q69" s="61" t="s">
        <v>556</v>
      </c>
      <c r="R69" s="61">
        <v>39.856096299999997</v>
      </c>
      <c r="S69" s="61">
        <v>-104.6737376</v>
      </c>
      <c r="T69" s="61">
        <v>70.700999999999993</v>
      </c>
      <c r="U69" s="61" t="s">
        <v>617</v>
      </c>
      <c r="V69" s="61" t="s">
        <v>617</v>
      </c>
      <c r="W69" s="61"/>
      <c r="Y69" s="137">
        <f>Summary_LCIA!H$32</f>
        <v>0.33979999999999999</v>
      </c>
      <c r="Z69" s="137">
        <f>Summary_LCIA!Q$32</f>
        <v>4.9560504329999997</v>
      </c>
      <c r="AA69" s="137">
        <f>Summary_LCIA!R$32</f>
        <v>5.2655999999999996E-3</v>
      </c>
      <c r="AB69" s="137">
        <f>Summary_LCIA!S$32</f>
        <v>0.33538000000000001</v>
      </c>
      <c r="AC69" s="137">
        <f>Summary_LCIA!T$32</f>
        <v>0.1099</v>
      </c>
      <c r="AD69" s="137">
        <f>Summary_LCIA!U$32</f>
        <v>1.7913999999999999E-2</v>
      </c>
      <c r="AE69" s="137">
        <f>Summary_LCIA!V$32</f>
        <v>4.7760999999999999E-5</v>
      </c>
      <c r="AF69" s="137">
        <f>Summary_LCIA!W$32</f>
        <v>7.6970999999999998E-2</v>
      </c>
      <c r="AG69" s="137">
        <f>Summary_LCIA!X$32</f>
        <v>2.2780000000000002E-2</v>
      </c>
      <c r="AH69" s="137">
        <f>Summary_LCIA!Y$32</f>
        <v>1.5582E-2</v>
      </c>
      <c r="AI69" s="137">
        <f>Summary_LCIA!Z$32</f>
        <v>4.1009E-5</v>
      </c>
      <c r="AJ69" s="137">
        <f>Summary_LCIA!AA$32</f>
        <v>2.3355999999999998E-2</v>
      </c>
      <c r="AK69" s="137">
        <f>Summary_LCIA!AB$32</f>
        <v>-2.1823000000000001E-5</v>
      </c>
      <c r="AL69" s="137">
        <f>Summary_LCIA!AC$32</f>
        <v>4.8884000000000003E-8</v>
      </c>
      <c r="AM69" s="137">
        <f>Summary_LCIA!AD$32</f>
        <v>4.1103999999999999E-4</v>
      </c>
      <c r="AN69" s="137">
        <f>Summary_LCIA!AE$32</f>
        <v>8.8612999999999995E-4</v>
      </c>
      <c r="AO69" s="137">
        <f>Summary_LCIA!AF$32</f>
        <v>8.4542000000000005E-4</v>
      </c>
      <c r="AP69" s="137">
        <f>Summary_LCIA!AG$32</f>
        <v>5.1165000000000002E-5</v>
      </c>
      <c r="AQ69" s="137">
        <f>Summary_LCIA!AH$32</f>
        <v>8.7036000000000006E-3</v>
      </c>
      <c r="AR69" s="137">
        <f>Summary_LCIA!AI$32</f>
        <v>9.3154999999999996E-4</v>
      </c>
      <c r="AT69" s="137">
        <f t="shared" si="24"/>
        <v>24.024199799999998</v>
      </c>
      <c r="AU69" s="137">
        <f t="shared" si="25"/>
        <v>350.39772166353293</v>
      </c>
      <c r="AV69" s="137">
        <f t="shared" si="26"/>
        <v>0.37228318559999996</v>
      </c>
      <c r="AW69" s="137">
        <f t="shared" si="27"/>
        <v>23.711701379999997</v>
      </c>
      <c r="AX69" s="137">
        <f t="shared" si="28"/>
        <v>7.7700398999999996</v>
      </c>
      <c r="AY69" s="137">
        <f t="shared" si="29"/>
        <v>1.2665377139999998</v>
      </c>
      <c r="AZ69" s="137">
        <f t="shared" si="30"/>
        <v>3.3767504609999994E-3</v>
      </c>
      <c r="BA69" s="137">
        <f t="shared" si="31"/>
        <v>5.4419266709999992</v>
      </c>
      <c r="BB69" s="137">
        <f t="shared" si="32"/>
        <v>1.6105687799999999</v>
      </c>
      <c r="BC69" s="137">
        <f t="shared" si="33"/>
        <v>1.1016629819999999</v>
      </c>
      <c r="BD69" s="137">
        <f t="shared" si="34"/>
        <v>2.8993773089999999E-3</v>
      </c>
      <c r="BE69" s="137">
        <f t="shared" si="35"/>
        <v>1.6512925559999998</v>
      </c>
      <c r="BF69" s="137">
        <f t="shared" si="36"/>
        <v>-1.5429079229999998E-3</v>
      </c>
      <c r="BG69" s="137">
        <f t="shared" si="37"/>
        <v>3.456147684E-6</v>
      </c>
      <c r="BH69" s="137">
        <f t="shared" si="38"/>
        <v>2.9060939039999997E-2</v>
      </c>
      <c r="BI69" s="137">
        <f t="shared" si="39"/>
        <v>6.2650277129999987E-2</v>
      </c>
      <c r="BJ69" s="137">
        <f t="shared" si="40"/>
        <v>5.9772039419999999E-2</v>
      </c>
      <c r="BK69" s="137">
        <f t="shared" si="41"/>
        <v>3.617416665E-3</v>
      </c>
      <c r="BL69" s="137">
        <f t="shared" si="42"/>
        <v>0.6153532236</v>
      </c>
      <c r="BM69" s="137">
        <f t="shared" si="43"/>
        <v>6.5861516549999985E-2</v>
      </c>
    </row>
    <row r="70" spans="1:65" x14ac:dyDescent="0.25">
      <c r="A70" s="149">
        <v>171</v>
      </c>
      <c r="B70" s="149">
        <v>16</v>
      </c>
      <c r="C70" s="61">
        <v>40.014986</v>
      </c>
      <c r="D70" s="61">
        <v>-105.270546</v>
      </c>
      <c r="E70" s="61" t="s">
        <v>265</v>
      </c>
      <c r="F70" s="149">
        <v>16</v>
      </c>
      <c r="G70" s="61" t="s">
        <v>565</v>
      </c>
      <c r="H70" s="61" t="s">
        <v>645</v>
      </c>
      <c r="I70" s="61">
        <v>39.856096000000001</v>
      </c>
      <c r="J70" s="61">
        <v>-104.673738</v>
      </c>
      <c r="K70" s="61">
        <v>66.833860599999994</v>
      </c>
      <c r="L70" s="61">
        <v>70.700999999999993</v>
      </c>
      <c r="M70" s="61" t="s">
        <v>617</v>
      </c>
      <c r="N70" s="149">
        <v>15</v>
      </c>
      <c r="O70" s="149">
        <v>16</v>
      </c>
      <c r="P70" s="61" t="s">
        <v>565</v>
      </c>
      <c r="Q70" s="61" t="s">
        <v>556</v>
      </c>
      <c r="R70" s="61">
        <v>39.856096299999997</v>
      </c>
      <c r="S70" s="61">
        <v>-104.6737376</v>
      </c>
      <c r="T70" s="61">
        <v>70.700999999999993</v>
      </c>
      <c r="U70" s="61" t="s">
        <v>617</v>
      </c>
      <c r="V70" s="61" t="s">
        <v>617</v>
      </c>
      <c r="W70" s="61"/>
      <c r="Y70" s="137">
        <f>Summary_LCIA!H$32</f>
        <v>0.33979999999999999</v>
      </c>
      <c r="Z70" s="137">
        <f>Summary_LCIA!Q$32</f>
        <v>4.9560504329999997</v>
      </c>
      <c r="AA70" s="137">
        <f>Summary_LCIA!R$32</f>
        <v>5.2655999999999996E-3</v>
      </c>
      <c r="AB70" s="137">
        <f>Summary_LCIA!S$32</f>
        <v>0.33538000000000001</v>
      </c>
      <c r="AC70" s="137">
        <f>Summary_LCIA!T$32</f>
        <v>0.1099</v>
      </c>
      <c r="AD70" s="137">
        <f>Summary_LCIA!U$32</f>
        <v>1.7913999999999999E-2</v>
      </c>
      <c r="AE70" s="137">
        <f>Summary_LCIA!V$32</f>
        <v>4.7760999999999999E-5</v>
      </c>
      <c r="AF70" s="137">
        <f>Summary_LCIA!W$32</f>
        <v>7.6970999999999998E-2</v>
      </c>
      <c r="AG70" s="137">
        <f>Summary_LCIA!X$32</f>
        <v>2.2780000000000002E-2</v>
      </c>
      <c r="AH70" s="137">
        <f>Summary_LCIA!Y$32</f>
        <v>1.5582E-2</v>
      </c>
      <c r="AI70" s="137">
        <f>Summary_LCIA!Z$32</f>
        <v>4.1009E-5</v>
      </c>
      <c r="AJ70" s="137">
        <f>Summary_LCIA!AA$32</f>
        <v>2.3355999999999998E-2</v>
      </c>
      <c r="AK70" s="137">
        <f>Summary_LCIA!AB$32</f>
        <v>-2.1823000000000001E-5</v>
      </c>
      <c r="AL70" s="137">
        <f>Summary_LCIA!AC$32</f>
        <v>4.8884000000000003E-8</v>
      </c>
      <c r="AM70" s="137">
        <f>Summary_LCIA!AD$32</f>
        <v>4.1103999999999999E-4</v>
      </c>
      <c r="AN70" s="137">
        <f>Summary_LCIA!AE$32</f>
        <v>8.8612999999999995E-4</v>
      </c>
      <c r="AO70" s="137">
        <f>Summary_LCIA!AF$32</f>
        <v>8.4542000000000005E-4</v>
      </c>
      <c r="AP70" s="137">
        <f>Summary_LCIA!AG$32</f>
        <v>5.1165000000000002E-5</v>
      </c>
      <c r="AQ70" s="137">
        <f>Summary_LCIA!AH$32</f>
        <v>8.7036000000000006E-3</v>
      </c>
      <c r="AR70" s="137">
        <f>Summary_LCIA!AI$32</f>
        <v>9.3154999999999996E-4</v>
      </c>
      <c r="AT70" s="137">
        <f t="shared" si="24"/>
        <v>24.024199799999998</v>
      </c>
      <c r="AU70" s="137">
        <f t="shared" si="25"/>
        <v>350.39772166353293</v>
      </c>
      <c r="AV70" s="137">
        <f t="shared" si="26"/>
        <v>0.37228318559999996</v>
      </c>
      <c r="AW70" s="137">
        <f t="shared" si="27"/>
        <v>23.711701379999997</v>
      </c>
      <c r="AX70" s="137">
        <f t="shared" si="28"/>
        <v>7.7700398999999996</v>
      </c>
      <c r="AY70" s="137">
        <f t="shared" si="29"/>
        <v>1.2665377139999998</v>
      </c>
      <c r="AZ70" s="137">
        <f t="shared" si="30"/>
        <v>3.3767504609999994E-3</v>
      </c>
      <c r="BA70" s="137">
        <f t="shared" si="31"/>
        <v>5.4419266709999992</v>
      </c>
      <c r="BB70" s="137">
        <f t="shared" si="32"/>
        <v>1.6105687799999999</v>
      </c>
      <c r="BC70" s="137">
        <f t="shared" si="33"/>
        <v>1.1016629819999999</v>
      </c>
      <c r="BD70" s="137">
        <f t="shared" si="34"/>
        <v>2.8993773089999999E-3</v>
      </c>
      <c r="BE70" s="137">
        <f t="shared" si="35"/>
        <v>1.6512925559999998</v>
      </c>
      <c r="BF70" s="137">
        <f t="shared" si="36"/>
        <v>-1.5429079229999998E-3</v>
      </c>
      <c r="BG70" s="137">
        <f t="shared" si="37"/>
        <v>3.456147684E-6</v>
      </c>
      <c r="BH70" s="137">
        <f t="shared" si="38"/>
        <v>2.9060939039999997E-2</v>
      </c>
      <c r="BI70" s="137">
        <f t="shared" si="39"/>
        <v>6.2650277129999987E-2</v>
      </c>
      <c r="BJ70" s="137">
        <f t="shared" si="40"/>
        <v>5.9772039419999999E-2</v>
      </c>
      <c r="BK70" s="137">
        <f t="shared" si="41"/>
        <v>3.617416665E-3</v>
      </c>
      <c r="BL70" s="137">
        <f t="shared" si="42"/>
        <v>0.6153532236</v>
      </c>
      <c r="BM70" s="137">
        <f t="shared" si="43"/>
        <v>6.5861516549999985E-2</v>
      </c>
    </row>
    <row r="71" spans="1:65" x14ac:dyDescent="0.25">
      <c r="A71" s="149">
        <v>172</v>
      </c>
      <c r="B71" s="149">
        <v>16</v>
      </c>
      <c r="C71" s="61">
        <v>40.014986</v>
      </c>
      <c r="D71" s="61">
        <v>-105.270546</v>
      </c>
      <c r="E71" s="61" t="s">
        <v>265</v>
      </c>
      <c r="F71" s="149">
        <v>16</v>
      </c>
      <c r="G71" s="61" t="s">
        <v>565</v>
      </c>
      <c r="H71" s="61" t="s">
        <v>645</v>
      </c>
      <c r="I71" s="61">
        <v>39.856096000000001</v>
      </c>
      <c r="J71" s="61">
        <v>-104.673738</v>
      </c>
      <c r="K71" s="61">
        <v>66.833860599999994</v>
      </c>
      <c r="L71" s="61">
        <v>70.700999999999993</v>
      </c>
      <c r="M71" s="61" t="s">
        <v>617</v>
      </c>
      <c r="N71" s="149">
        <v>15</v>
      </c>
      <c r="O71" s="149">
        <v>16</v>
      </c>
      <c r="P71" s="61" t="s">
        <v>565</v>
      </c>
      <c r="Q71" s="61" t="s">
        <v>556</v>
      </c>
      <c r="R71" s="61">
        <v>39.856096299999997</v>
      </c>
      <c r="S71" s="61">
        <v>-104.6737376</v>
      </c>
      <c r="T71" s="61">
        <v>70.700999999999993</v>
      </c>
      <c r="U71" s="61" t="s">
        <v>617</v>
      </c>
      <c r="V71" s="61" t="s">
        <v>617</v>
      </c>
      <c r="W71" s="61"/>
      <c r="Y71" s="137">
        <f>Summary_LCIA!H$32</f>
        <v>0.33979999999999999</v>
      </c>
      <c r="Z71" s="137">
        <f>Summary_LCIA!Q$32</f>
        <v>4.9560504329999997</v>
      </c>
      <c r="AA71" s="137">
        <f>Summary_LCIA!R$32</f>
        <v>5.2655999999999996E-3</v>
      </c>
      <c r="AB71" s="137">
        <f>Summary_LCIA!S$32</f>
        <v>0.33538000000000001</v>
      </c>
      <c r="AC71" s="137">
        <f>Summary_LCIA!T$32</f>
        <v>0.1099</v>
      </c>
      <c r="AD71" s="137">
        <f>Summary_LCIA!U$32</f>
        <v>1.7913999999999999E-2</v>
      </c>
      <c r="AE71" s="137">
        <f>Summary_LCIA!V$32</f>
        <v>4.7760999999999999E-5</v>
      </c>
      <c r="AF71" s="137">
        <f>Summary_LCIA!W$32</f>
        <v>7.6970999999999998E-2</v>
      </c>
      <c r="AG71" s="137">
        <f>Summary_LCIA!X$32</f>
        <v>2.2780000000000002E-2</v>
      </c>
      <c r="AH71" s="137">
        <f>Summary_LCIA!Y$32</f>
        <v>1.5582E-2</v>
      </c>
      <c r="AI71" s="137">
        <f>Summary_LCIA!Z$32</f>
        <v>4.1009E-5</v>
      </c>
      <c r="AJ71" s="137">
        <f>Summary_LCIA!AA$32</f>
        <v>2.3355999999999998E-2</v>
      </c>
      <c r="AK71" s="137">
        <f>Summary_LCIA!AB$32</f>
        <v>-2.1823000000000001E-5</v>
      </c>
      <c r="AL71" s="137">
        <f>Summary_LCIA!AC$32</f>
        <v>4.8884000000000003E-8</v>
      </c>
      <c r="AM71" s="137">
        <f>Summary_LCIA!AD$32</f>
        <v>4.1103999999999999E-4</v>
      </c>
      <c r="AN71" s="137">
        <f>Summary_LCIA!AE$32</f>
        <v>8.8612999999999995E-4</v>
      </c>
      <c r="AO71" s="137">
        <f>Summary_LCIA!AF$32</f>
        <v>8.4542000000000005E-4</v>
      </c>
      <c r="AP71" s="137">
        <f>Summary_LCIA!AG$32</f>
        <v>5.1165000000000002E-5</v>
      </c>
      <c r="AQ71" s="137">
        <f>Summary_LCIA!AH$32</f>
        <v>8.7036000000000006E-3</v>
      </c>
      <c r="AR71" s="137">
        <f>Summary_LCIA!AI$32</f>
        <v>9.3154999999999996E-4</v>
      </c>
      <c r="AT71" s="137">
        <f t="shared" si="24"/>
        <v>24.024199799999998</v>
      </c>
      <c r="AU71" s="137">
        <f t="shared" si="25"/>
        <v>350.39772166353293</v>
      </c>
      <c r="AV71" s="137">
        <f t="shared" si="26"/>
        <v>0.37228318559999996</v>
      </c>
      <c r="AW71" s="137">
        <f t="shared" si="27"/>
        <v>23.711701379999997</v>
      </c>
      <c r="AX71" s="137">
        <f t="shared" si="28"/>
        <v>7.7700398999999996</v>
      </c>
      <c r="AY71" s="137">
        <f t="shared" si="29"/>
        <v>1.2665377139999998</v>
      </c>
      <c r="AZ71" s="137">
        <f t="shared" si="30"/>
        <v>3.3767504609999994E-3</v>
      </c>
      <c r="BA71" s="137">
        <f t="shared" si="31"/>
        <v>5.4419266709999992</v>
      </c>
      <c r="BB71" s="137">
        <f t="shared" si="32"/>
        <v>1.6105687799999999</v>
      </c>
      <c r="BC71" s="137">
        <f t="shared" si="33"/>
        <v>1.1016629819999999</v>
      </c>
      <c r="BD71" s="137">
        <f t="shared" si="34"/>
        <v>2.8993773089999999E-3</v>
      </c>
      <c r="BE71" s="137">
        <f t="shared" si="35"/>
        <v>1.6512925559999998</v>
      </c>
      <c r="BF71" s="137">
        <f t="shared" si="36"/>
        <v>-1.5429079229999998E-3</v>
      </c>
      <c r="BG71" s="137">
        <f t="shared" si="37"/>
        <v>3.456147684E-6</v>
      </c>
      <c r="BH71" s="137">
        <f t="shared" si="38"/>
        <v>2.9060939039999997E-2</v>
      </c>
      <c r="BI71" s="137">
        <f t="shared" si="39"/>
        <v>6.2650277129999987E-2</v>
      </c>
      <c r="BJ71" s="137">
        <f t="shared" si="40"/>
        <v>5.9772039419999999E-2</v>
      </c>
      <c r="BK71" s="137">
        <f t="shared" si="41"/>
        <v>3.617416665E-3</v>
      </c>
      <c r="BL71" s="137">
        <f t="shared" si="42"/>
        <v>0.6153532236</v>
      </c>
      <c r="BM71" s="137">
        <f t="shared" si="43"/>
        <v>6.5861516549999985E-2</v>
      </c>
    </row>
    <row r="72" spans="1:65" x14ac:dyDescent="0.25">
      <c r="A72" s="149">
        <v>45</v>
      </c>
      <c r="B72" s="149">
        <v>43</v>
      </c>
      <c r="C72" s="61">
        <v>40.698720999999999</v>
      </c>
      <c r="D72" s="61">
        <v>-75.211763000000005</v>
      </c>
      <c r="E72" s="61" t="s">
        <v>265</v>
      </c>
      <c r="F72" s="149">
        <v>43</v>
      </c>
      <c r="G72" s="61" t="s">
        <v>565</v>
      </c>
      <c r="H72" s="61" t="s">
        <v>632</v>
      </c>
      <c r="I72" s="61">
        <v>40.689531000000002</v>
      </c>
      <c r="J72" s="61">
        <v>-74.174462000000005</v>
      </c>
      <c r="K72" s="61">
        <v>88.768893129999995</v>
      </c>
      <c r="L72" s="61">
        <v>99.001999999999995</v>
      </c>
      <c r="M72" s="61" t="s">
        <v>617</v>
      </c>
      <c r="N72" s="149">
        <v>42</v>
      </c>
      <c r="O72" s="149">
        <v>43</v>
      </c>
      <c r="P72" s="61" t="s">
        <v>565</v>
      </c>
      <c r="Q72" s="61" t="s">
        <v>555</v>
      </c>
      <c r="R72" s="61">
        <v>40.6895314</v>
      </c>
      <c r="S72" s="61">
        <v>-74.174462399999996</v>
      </c>
      <c r="T72" s="61">
        <v>99.001999999999995</v>
      </c>
      <c r="U72" s="61" t="s">
        <v>617</v>
      </c>
      <c r="V72" s="61" t="s">
        <v>617</v>
      </c>
      <c r="W72" s="61"/>
      <c r="Y72" s="137">
        <f>Summary_LCIA!H$32</f>
        <v>0.33979999999999999</v>
      </c>
      <c r="Z72" s="137">
        <f>Summary_LCIA!Q$32</f>
        <v>4.9560504329999997</v>
      </c>
      <c r="AA72" s="137">
        <f>Summary_LCIA!R$32</f>
        <v>5.2655999999999996E-3</v>
      </c>
      <c r="AB72" s="137">
        <f>Summary_LCIA!S$32</f>
        <v>0.33538000000000001</v>
      </c>
      <c r="AC72" s="137">
        <f>Summary_LCIA!T$32</f>
        <v>0.1099</v>
      </c>
      <c r="AD72" s="137">
        <f>Summary_LCIA!U$32</f>
        <v>1.7913999999999999E-2</v>
      </c>
      <c r="AE72" s="137">
        <f>Summary_LCIA!V$32</f>
        <v>4.7760999999999999E-5</v>
      </c>
      <c r="AF72" s="137">
        <f>Summary_LCIA!W$32</f>
        <v>7.6970999999999998E-2</v>
      </c>
      <c r="AG72" s="137">
        <f>Summary_LCIA!X$32</f>
        <v>2.2780000000000002E-2</v>
      </c>
      <c r="AH72" s="137">
        <f>Summary_LCIA!Y$32</f>
        <v>1.5582E-2</v>
      </c>
      <c r="AI72" s="137">
        <f>Summary_LCIA!Z$32</f>
        <v>4.1009E-5</v>
      </c>
      <c r="AJ72" s="137">
        <f>Summary_LCIA!AA$32</f>
        <v>2.3355999999999998E-2</v>
      </c>
      <c r="AK72" s="137">
        <f>Summary_LCIA!AB$32</f>
        <v>-2.1823000000000001E-5</v>
      </c>
      <c r="AL72" s="137">
        <f>Summary_LCIA!AC$32</f>
        <v>4.8884000000000003E-8</v>
      </c>
      <c r="AM72" s="137">
        <f>Summary_LCIA!AD$32</f>
        <v>4.1103999999999999E-4</v>
      </c>
      <c r="AN72" s="137">
        <f>Summary_LCIA!AE$32</f>
        <v>8.8612999999999995E-4</v>
      </c>
      <c r="AO72" s="137">
        <f>Summary_LCIA!AF$32</f>
        <v>8.4542000000000005E-4</v>
      </c>
      <c r="AP72" s="137">
        <f>Summary_LCIA!AG$32</f>
        <v>5.1165000000000002E-5</v>
      </c>
      <c r="AQ72" s="137">
        <f>Summary_LCIA!AH$32</f>
        <v>8.7036000000000006E-3</v>
      </c>
      <c r="AR72" s="137">
        <f>Summary_LCIA!AI$32</f>
        <v>9.3154999999999996E-4</v>
      </c>
      <c r="AT72" s="137">
        <f t="shared" si="24"/>
        <v>33.640879599999998</v>
      </c>
      <c r="AU72" s="137">
        <f t="shared" si="25"/>
        <v>490.65890496786596</v>
      </c>
      <c r="AV72" s="137">
        <f t="shared" si="26"/>
        <v>0.52130493119999999</v>
      </c>
      <c r="AW72" s="137">
        <f t="shared" si="27"/>
        <v>33.203290760000002</v>
      </c>
      <c r="AX72" s="137">
        <f t="shared" si="28"/>
        <v>10.880319799999999</v>
      </c>
      <c r="AY72" s="137">
        <f t="shared" si="29"/>
        <v>1.7735218279999998</v>
      </c>
      <c r="AZ72" s="137">
        <f t="shared" si="30"/>
        <v>4.7284345219999998E-3</v>
      </c>
      <c r="BA72" s="137">
        <f t="shared" si="31"/>
        <v>7.6202829419999993</v>
      </c>
      <c r="BB72" s="137">
        <f t="shared" si="32"/>
        <v>2.2552655600000002</v>
      </c>
      <c r="BC72" s="137">
        <f t="shared" si="33"/>
        <v>1.542649164</v>
      </c>
      <c r="BD72" s="137">
        <f t="shared" si="34"/>
        <v>4.0599730179999996E-3</v>
      </c>
      <c r="BE72" s="137">
        <f t="shared" si="35"/>
        <v>2.3122907119999998</v>
      </c>
      <c r="BF72" s="137">
        <f t="shared" si="36"/>
        <v>-2.160520646E-3</v>
      </c>
      <c r="BG72" s="137">
        <f t="shared" si="37"/>
        <v>4.8396137680000002E-6</v>
      </c>
      <c r="BH72" s="137">
        <f t="shared" si="38"/>
        <v>4.0693782079999997E-2</v>
      </c>
      <c r="BI72" s="137">
        <f t="shared" si="39"/>
        <v>8.7728642259999989E-2</v>
      </c>
      <c r="BJ72" s="137">
        <f t="shared" si="40"/>
        <v>8.3698270840000005E-2</v>
      </c>
      <c r="BK72" s="137">
        <f t="shared" si="41"/>
        <v>5.0654373300000003E-3</v>
      </c>
      <c r="BL72" s="137">
        <f t="shared" si="42"/>
        <v>0.86167380719999997</v>
      </c>
      <c r="BM72" s="137">
        <f t="shared" si="43"/>
        <v>9.2225313099999998E-2</v>
      </c>
    </row>
    <row r="73" spans="1:65" x14ac:dyDescent="0.25">
      <c r="A73" s="149">
        <v>219</v>
      </c>
      <c r="B73" s="149">
        <v>16</v>
      </c>
      <c r="C73" s="61">
        <v>40.570262999999997</v>
      </c>
      <c r="D73" s="61">
        <v>-105.090346</v>
      </c>
      <c r="E73" s="61" t="s">
        <v>265</v>
      </c>
      <c r="F73" s="149">
        <v>16</v>
      </c>
      <c r="G73" s="61" t="s">
        <v>565</v>
      </c>
      <c r="H73" s="61" t="s">
        <v>645</v>
      </c>
      <c r="I73" s="61">
        <v>39.856096000000001</v>
      </c>
      <c r="J73" s="61">
        <v>-104.673738</v>
      </c>
      <c r="K73" s="61">
        <v>153.5848848</v>
      </c>
      <c r="L73" s="61">
        <v>113.407</v>
      </c>
      <c r="M73" s="61" t="s">
        <v>617</v>
      </c>
      <c r="N73" s="149">
        <v>15</v>
      </c>
      <c r="O73" s="149">
        <v>16</v>
      </c>
      <c r="P73" s="61" t="s">
        <v>565</v>
      </c>
      <c r="Q73" s="61" t="s">
        <v>556</v>
      </c>
      <c r="R73" s="61">
        <v>39.856096299999997</v>
      </c>
      <c r="S73" s="61">
        <v>-104.6737376</v>
      </c>
      <c r="T73" s="61">
        <v>113.407</v>
      </c>
      <c r="U73" s="61" t="s">
        <v>617</v>
      </c>
      <c r="V73" s="61" t="s">
        <v>617</v>
      </c>
      <c r="W73" s="61"/>
      <c r="Y73" s="137">
        <f>Summary_LCIA!H$32</f>
        <v>0.33979999999999999</v>
      </c>
      <c r="Z73" s="137">
        <f>Summary_LCIA!Q$32</f>
        <v>4.9560504329999997</v>
      </c>
      <c r="AA73" s="137">
        <f>Summary_LCIA!R$32</f>
        <v>5.2655999999999996E-3</v>
      </c>
      <c r="AB73" s="137">
        <f>Summary_LCIA!S$32</f>
        <v>0.33538000000000001</v>
      </c>
      <c r="AC73" s="137">
        <f>Summary_LCIA!T$32</f>
        <v>0.1099</v>
      </c>
      <c r="AD73" s="137">
        <f>Summary_LCIA!U$32</f>
        <v>1.7913999999999999E-2</v>
      </c>
      <c r="AE73" s="137">
        <f>Summary_LCIA!V$32</f>
        <v>4.7760999999999999E-5</v>
      </c>
      <c r="AF73" s="137">
        <f>Summary_LCIA!W$32</f>
        <v>7.6970999999999998E-2</v>
      </c>
      <c r="AG73" s="137">
        <f>Summary_LCIA!X$32</f>
        <v>2.2780000000000002E-2</v>
      </c>
      <c r="AH73" s="137">
        <f>Summary_LCIA!Y$32</f>
        <v>1.5582E-2</v>
      </c>
      <c r="AI73" s="137">
        <f>Summary_LCIA!Z$32</f>
        <v>4.1009E-5</v>
      </c>
      <c r="AJ73" s="137">
        <f>Summary_LCIA!AA$32</f>
        <v>2.3355999999999998E-2</v>
      </c>
      <c r="AK73" s="137">
        <f>Summary_LCIA!AB$32</f>
        <v>-2.1823000000000001E-5</v>
      </c>
      <c r="AL73" s="137">
        <f>Summary_LCIA!AC$32</f>
        <v>4.8884000000000003E-8</v>
      </c>
      <c r="AM73" s="137">
        <f>Summary_LCIA!AD$32</f>
        <v>4.1103999999999999E-4</v>
      </c>
      <c r="AN73" s="137">
        <f>Summary_LCIA!AE$32</f>
        <v>8.8612999999999995E-4</v>
      </c>
      <c r="AO73" s="137">
        <f>Summary_LCIA!AF$32</f>
        <v>8.4542000000000005E-4</v>
      </c>
      <c r="AP73" s="137">
        <f>Summary_LCIA!AG$32</f>
        <v>5.1165000000000002E-5</v>
      </c>
      <c r="AQ73" s="137">
        <f>Summary_LCIA!AH$32</f>
        <v>8.7036000000000006E-3</v>
      </c>
      <c r="AR73" s="137">
        <f>Summary_LCIA!AI$32</f>
        <v>9.3154999999999996E-4</v>
      </c>
      <c r="AT73" s="137">
        <f t="shared" si="24"/>
        <v>38.535698599999996</v>
      </c>
      <c r="AU73" s="137">
        <f t="shared" si="25"/>
        <v>562.05081145523093</v>
      </c>
      <c r="AV73" s="137">
        <f t="shared" si="26"/>
        <v>0.5971558991999999</v>
      </c>
      <c r="AW73" s="137">
        <f t="shared" si="27"/>
        <v>38.034439659999997</v>
      </c>
      <c r="AX73" s="137">
        <f t="shared" si="28"/>
        <v>12.4634293</v>
      </c>
      <c r="AY73" s="137">
        <f t="shared" si="29"/>
        <v>2.0315729979999997</v>
      </c>
      <c r="AZ73" s="137">
        <f t="shared" si="30"/>
        <v>5.4164317269999995E-3</v>
      </c>
      <c r="BA73" s="137">
        <f t="shared" si="31"/>
        <v>8.7290501969999994</v>
      </c>
      <c r="BB73" s="137">
        <f t="shared" si="32"/>
        <v>2.5834114600000002</v>
      </c>
      <c r="BC73" s="137">
        <f t="shared" si="33"/>
        <v>1.7671078739999999</v>
      </c>
      <c r="BD73" s="137">
        <f t="shared" si="34"/>
        <v>4.650707663E-3</v>
      </c>
      <c r="BE73" s="137">
        <f t="shared" si="35"/>
        <v>2.6487338919999996</v>
      </c>
      <c r="BF73" s="137">
        <f t="shared" si="36"/>
        <v>-2.4748809610000001E-3</v>
      </c>
      <c r="BG73" s="137">
        <f t="shared" si="37"/>
        <v>5.5437877880000004E-6</v>
      </c>
      <c r="BH73" s="137">
        <f t="shared" si="38"/>
        <v>4.661481328E-2</v>
      </c>
      <c r="BI73" s="137">
        <f t="shared" si="39"/>
        <v>0.10049334490999999</v>
      </c>
      <c r="BJ73" s="137">
        <f t="shared" si="40"/>
        <v>9.5876545940000002E-2</v>
      </c>
      <c r="BK73" s="137">
        <f t="shared" si="41"/>
        <v>5.802469155E-3</v>
      </c>
      <c r="BL73" s="137">
        <f t="shared" si="42"/>
        <v>0.98704916520000008</v>
      </c>
      <c r="BM73" s="137">
        <f t="shared" si="43"/>
        <v>0.10564429084999999</v>
      </c>
    </row>
    <row r="74" spans="1:65" x14ac:dyDescent="0.25">
      <c r="A74" s="149">
        <v>220</v>
      </c>
      <c r="B74" s="149">
        <v>16</v>
      </c>
      <c r="C74" s="61">
        <v>40.570262999999997</v>
      </c>
      <c r="D74" s="61">
        <v>-105.090346</v>
      </c>
      <c r="E74" s="61" t="s">
        <v>265</v>
      </c>
      <c r="F74" s="149">
        <v>16</v>
      </c>
      <c r="G74" s="61" t="s">
        <v>565</v>
      </c>
      <c r="H74" s="61" t="s">
        <v>645</v>
      </c>
      <c r="I74" s="61">
        <v>39.856096000000001</v>
      </c>
      <c r="J74" s="61">
        <v>-104.673738</v>
      </c>
      <c r="K74" s="61">
        <v>153.5848848</v>
      </c>
      <c r="L74" s="61">
        <v>113.407</v>
      </c>
      <c r="M74" s="61" t="s">
        <v>617</v>
      </c>
      <c r="N74" s="149">
        <v>15</v>
      </c>
      <c r="O74" s="149">
        <v>16</v>
      </c>
      <c r="P74" s="61" t="s">
        <v>565</v>
      </c>
      <c r="Q74" s="61" t="s">
        <v>556</v>
      </c>
      <c r="R74" s="61">
        <v>39.856096299999997</v>
      </c>
      <c r="S74" s="61">
        <v>-104.6737376</v>
      </c>
      <c r="T74" s="61">
        <v>113.407</v>
      </c>
      <c r="U74" s="61" t="s">
        <v>617</v>
      </c>
      <c r="V74" s="61" t="s">
        <v>617</v>
      </c>
      <c r="W74" s="61"/>
      <c r="Y74" s="137">
        <f>Summary_LCIA!H$32</f>
        <v>0.33979999999999999</v>
      </c>
      <c r="Z74" s="137">
        <f>Summary_LCIA!Q$32</f>
        <v>4.9560504329999997</v>
      </c>
      <c r="AA74" s="137">
        <f>Summary_LCIA!R$32</f>
        <v>5.2655999999999996E-3</v>
      </c>
      <c r="AB74" s="137">
        <f>Summary_LCIA!S$32</f>
        <v>0.33538000000000001</v>
      </c>
      <c r="AC74" s="137">
        <f>Summary_LCIA!T$32</f>
        <v>0.1099</v>
      </c>
      <c r="AD74" s="137">
        <f>Summary_LCIA!U$32</f>
        <v>1.7913999999999999E-2</v>
      </c>
      <c r="AE74" s="137">
        <f>Summary_LCIA!V$32</f>
        <v>4.7760999999999999E-5</v>
      </c>
      <c r="AF74" s="137">
        <f>Summary_LCIA!W$32</f>
        <v>7.6970999999999998E-2</v>
      </c>
      <c r="AG74" s="137">
        <f>Summary_LCIA!X$32</f>
        <v>2.2780000000000002E-2</v>
      </c>
      <c r="AH74" s="137">
        <f>Summary_LCIA!Y$32</f>
        <v>1.5582E-2</v>
      </c>
      <c r="AI74" s="137">
        <f>Summary_LCIA!Z$32</f>
        <v>4.1009E-5</v>
      </c>
      <c r="AJ74" s="137">
        <f>Summary_LCIA!AA$32</f>
        <v>2.3355999999999998E-2</v>
      </c>
      <c r="AK74" s="137">
        <f>Summary_LCIA!AB$32</f>
        <v>-2.1823000000000001E-5</v>
      </c>
      <c r="AL74" s="137">
        <f>Summary_LCIA!AC$32</f>
        <v>4.8884000000000003E-8</v>
      </c>
      <c r="AM74" s="137">
        <f>Summary_LCIA!AD$32</f>
        <v>4.1103999999999999E-4</v>
      </c>
      <c r="AN74" s="137">
        <f>Summary_LCIA!AE$32</f>
        <v>8.8612999999999995E-4</v>
      </c>
      <c r="AO74" s="137">
        <f>Summary_LCIA!AF$32</f>
        <v>8.4542000000000005E-4</v>
      </c>
      <c r="AP74" s="137">
        <f>Summary_LCIA!AG$32</f>
        <v>5.1165000000000002E-5</v>
      </c>
      <c r="AQ74" s="137">
        <f>Summary_LCIA!AH$32</f>
        <v>8.7036000000000006E-3</v>
      </c>
      <c r="AR74" s="137">
        <f>Summary_LCIA!AI$32</f>
        <v>9.3154999999999996E-4</v>
      </c>
      <c r="AT74" s="137">
        <f t="shared" si="24"/>
        <v>38.535698599999996</v>
      </c>
      <c r="AU74" s="137">
        <f t="shared" si="25"/>
        <v>562.05081145523093</v>
      </c>
      <c r="AV74" s="137">
        <f t="shared" si="26"/>
        <v>0.5971558991999999</v>
      </c>
      <c r="AW74" s="137">
        <f t="shared" si="27"/>
        <v>38.034439659999997</v>
      </c>
      <c r="AX74" s="137">
        <f t="shared" si="28"/>
        <v>12.4634293</v>
      </c>
      <c r="AY74" s="137">
        <f t="shared" si="29"/>
        <v>2.0315729979999997</v>
      </c>
      <c r="AZ74" s="137">
        <f t="shared" si="30"/>
        <v>5.4164317269999995E-3</v>
      </c>
      <c r="BA74" s="137">
        <f t="shared" si="31"/>
        <v>8.7290501969999994</v>
      </c>
      <c r="BB74" s="137">
        <f t="shared" si="32"/>
        <v>2.5834114600000002</v>
      </c>
      <c r="BC74" s="137">
        <f t="shared" si="33"/>
        <v>1.7671078739999999</v>
      </c>
      <c r="BD74" s="137">
        <f t="shared" si="34"/>
        <v>4.650707663E-3</v>
      </c>
      <c r="BE74" s="137">
        <f t="shared" si="35"/>
        <v>2.6487338919999996</v>
      </c>
      <c r="BF74" s="137">
        <f t="shared" si="36"/>
        <v>-2.4748809610000001E-3</v>
      </c>
      <c r="BG74" s="137">
        <f t="shared" si="37"/>
        <v>5.5437877880000004E-6</v>
      </c>
      <c r="BH74" s="137">
        <f t="shared" si="38"/>
        <v>4.661481328E-2</v>
      </c>
      <c r="BI74" s="137">
        <f t="shared" si="39"/>
        <v>0.10049334490999999</v>
      </c>
      <c r="BJ74" s="137">
        <f t="shared" si="40"/>
        <v>9.5876545940000002E-2</v>
      </c>
      <c r="BK74" s="137">
        <f t="shared" si="41"/>
        <v>5.802469155E-3</v>
      </c>
      <c r="BL74" s="137">
        <f t="shared" si="42"/>
        <v>0.98704916520000008</v>
      </c>
      <c r="BM74" s="137">
        <f t="shared" si="43"/>
        <v>0.10564429084999999</v>
      </c>
    </row>
    <row r="75" spans="1:65" x14ac:dyDescent="0.25">
      <c r="A75" s="149">
        <v>221</v>
      </c>
      <c r="B75" s="149">
        <v>16</v>
      </c>
      <c r="C75" s="61">
        <v>40.570262999999997</v>
      </c>
      <c r="D75" s="61">
        <v>-105.090346</v>
      </c>
      <c r="E75" s="61" t="s">
        <v>265</v>
      </c>
      <c r="F75" s="149">
        <v>16</v>
      </c>
      <c r="G75" s="61" t="s">
        <v>565</v>
      </c>
      <c r="H75" s="61" t="s">
        <v>645</v>
      </c>
      <c r="I75" s="61">
        <v>39.856096000000001</v>
      </c>
      <c r="J75" s="61">
        <v>-104.673738</v>
      </c>
      <c r="K75" s="61">
        <v>153.5848848</v>
      </c>
      <c r="L75" s="61">
        <v>113.407</v>
      </c>
      <c r="M75" s="61" t="s">
        <v>617</v>
      </c>
      <c r="N75" s="149">
        <v>15</v>
      </c>
      <c r="O75" s="149">
        <v>16</v>
      </c>
      <c r="P75" s="61" t="s">
        <v>565</v>
      </c>
      <c r="Q75" s="61" t="s">
        <v>556</v>
      </c>
      <c r="R75" s="61">
        <v>39.856096299999997</v>
      </c>
      <c r="S75" s="61">
        <v>-104.6737376</v>
      </c>
      <c r="T75" s="61">
        <v>113.407</v>
      </c>
      <c r="U75" s="61" t="s">
        <v>617</v>
      </c>
      <c r="V75" s="61" t="s">
        <v>617</v>
      </c>
      <c r="W75" s="61"/>
      <c r="Y75" s="137">
        <f>Summary_LCIA!H$32</f>
        <v>0.33979999999999999</v>
      </c>
      <c r="Z75" s="137">
        <f>Summary_LCIA!Q$32</f>
        <v>4.9560504329999997</v>
      </c>
      <c r="AA75" s="137">
        <f>Summary_LCIA!R$32</f>
        <v>5.2655999999999996E-3</v>
      </c>
      <c r="AB75" s="137">
        <f>Summary_LCIA!S$32</f>
        <v>0.33538000000000001</v>
      </c>
      <c r="AC75" s="137">
        <f>Summary_LCIA!T$32</f>
        <v>0.1099</v>
      </c>
      <c r="AD75" s="137">
        <f>Summary_LCIA!U$32</f>
        <v>1.7913999999999999E-2</v>
      </c>
      <c r="AE75" s="137">
        <f>Summary_LCIA!V$32</f>
        <v>4.7760999999999999E-5</v>
      </c>
      <c r="AF75" s="137">
        <f>Summary_LCIA!W$32</f>
        <v>7.6970999999999998E-2</v>
      </c>
      <c r="AG75" s="137">
        <f>Summary_LCIA!X$32</f>
        <v>2.2780000000000002E-2</v>
      </c>
      <c r="AH75" s="137">
        <f>Summary_LCIA!Y$32</f>
        <v>1.5582E-2</v>
      </c>
      <c r="AI75" s="137">
        <f>Summary_LCIA!Z$32</f>
        <v>4.1009E-5</v>
      </c>
      <c r="AJ75" s="137">
        <f>Summary_LCIA!AA$32</f>
        <v>2.3355999999999998E-2</v>
      </c>
      <c r="AK75" s="137">
        <f>Summary_LCIA!AB$32</f>
        <v>-2.1823000000000001E-5</v>
      </c>
      <c r="AL75" s="137">
        <f>Summary_LCIA!AC$32</f>
        <v>4.8884000000000003E-8</v>
      </c>
      <c r="AM75" s="137">
        <f>Summary_LCIA!AD$32</f>
        <v>4.1103999999999999E-4</v>
      </c>
      <c r="AN75" s="137">
        <f>Summary_LCIA!AE$32</f>
        <v>8.8612999999999995E-4</v>
      </c>
      <c r="AO75" s="137">
        <f>Summary_LCIA!AF$32</f>
        <v>8.4542000000000005E-4</v>
      </c>
      <c r="AP75" s="137">
        <f>Summary_LCIA!AG$32</f>
        <v>5.1165000000000002E-5</v>
      </c>
      <c r="AQ75" s="137">
        <f>Summary_LCIA!AH$32</f>
        <v>8.7036000000000006E-3</v>
      </c>
      <c r="AR75" s="137">
        <f>Summary_LCIA!AI$32</f>
        <v>9.3154999999999996E-4</v>
      </c>
      <c r="AT75" s="137">
        <f t="shared" si="24"/>
        <v>38.535698599999996</v>
      </c>
      <c r="AU75" s="137">
        <f t="shared" si="25"/>
        <v>562.05081145523093</v>
      </c>
      <c r="AV75" s="137">
        <f t="shared" si="26"/>
        <v>0.5971558991999999</v>
      </c>
      <c r="AW75" s="137">
        <f t="shared" si="27"/>
        <v>38.034439659999997</v>
      </c>
      <c r="AX75" s="137">
        <f t="shared" si="28"/>
        <v>12.4634293</v>
      </c>
      <c r="AY75" s="137">
        <f t="shared" si="29"/>
        <v>2.0315729979999997</v>
      </c>
      <c r="AZ75" s="137">
        <f t="shared" si="30"/>
        <v>5.4164317269999995E-3</v>
      </c>
      <c r="BA75" s="137">
        <f t="shared" si="31"/>
        <v>8.7290501969999994</v>
      </c>
      <c r="BB75" s="137">
        <f t="shared" si="32"/>
        <v>2.5834114600000002</v>
      </c>
      <c r="BC75" s="137">
        <f t="shared" si="33"/>
        <v>1.7671078739999999</v>
      </c>
      <c r="BD75" s="137">
        <f t="shared" si="34"/>
        <v>4.650707663E-3</v>
      </c>
      <c r="BE75" s="137">
        <f t="shared" si="35"/>
        <v>2.6487338919999996</v>
      </c>
      <c r="BF75" s="137">
        <f t="shared" si="36"/>
        <v>-2.4748809610000001E-3</v>
      </c>
      <c r="BG75" s="137">
        <f t="shared" si="37"/>
        <v>5.5437877880000004E-6</v>
      </c>
      <c r="BH75" s="137">
        <f t="shared" si="38"/>
        <v>4.661481328E-2</v>
      </c>
      <c r="BI75" s="137">
        <f t="shared" si="39"/>
        <v>0.10049334490999999</v>
      </c>
      <c r="BJ75" s="137">
        <f t="shared" si="40"/>
        <v>9.5876545940000002E-2</v>
      </c>
      <c r="BK75" s="137">
        <f t="shared" si="41"/>
        <v>5.802469155E-3</v>
      </c>
      <c r="BL75" s="137">
        <f t="shared" si="42"/>
        <v>0.98704916520000008</v>
      </c>
      <c r="BM75" s="137">
        <f t="shared" si="43"/>
        <v>0.10564429084999999</v>
      </c>
    </row>
    <row r="76" spans="1:65" x14ac:dyDescent="0.25">
      <c r="A76" s="149">
        <v>222</v>
      </c>
      <c r="B76" s="149">
        <v>16</v>
      </c>
      <c r="C76" s="61">
        <v>40.585259999999998</v>
      </c>
      <c r="D76" s="61">
        <v>-105.084423</v>
      </c>
      <c r="E76" s="61" t="s">
        <v>265</v>
      </c>
      <c r="F76" s="149">
        <v>16</v>
      </c>
      <c r="G76" s="61" t="s">
        <v>565</v>
      </c>
      <c r="H76" s="61" t="s">
        <v>645</v>
      </c>
      <c r="I76" s="61">
        <v>39.856096000000001</v>
      </c>
      <c r="J76" s="61">
        <v>-104.673738</v>
      </c>
      <c r="K76" s="61">
        <v>156.25087780000001</v>
      </c>
      <c r="L76" s="61">
        <v>114.667</v>
      </c>
      <c r="M76" s="61" t="s">
        <v>617</v>
      </c>
      <c r="N76" s="149">
        <v>15</v>
      </c>
      <c r="O76" s="149">
        <v>16</v>
      </c>
      <c r="P76" s="61" t="s">
        <v>565</v>
      </c>
      <c r="Q76" s="61" t="s">
        <v>556</v>
      </c>
      <c r="R76" s="61">
        <v>39.856096299999997</v>
      </c>
      <c r="S76" s="61">
        <v>-104.6737376</v>
      </c>
      <c r="T76" s="61">
        <v>114.667</v>
      </c>
      <c r="U76" s="61" t="s">
        <v>617</v>
      </c>
      <c r="V76" s="61" t="s">
        <v>617</v>
      </c>
      <c r="W76" s="61"/>
      <c r="Y76" s="137">
        <f>Summary_LCIA!H$32</f>
        <v>0.33979999999999999</v>
      </c>
      <c r="Z76" s="137">
        <f>Summary_LCIA!Q$32</f>
        <v>4.9560504329999997</v>
      </c>
      <c r="AA76" s="137">
        <f>Summary_LCIA!R$32</f>
        <v>5.2655999999999996E-3</v>
      </c>
      <c r="AB76" s="137">
        <f>Summary_LCIA!S$32</f>
        <v>0.33538000000000001</v>
      </c>
      <c r="AC76" s="137">
        <f>Summary_LCIA!T$32</f>
        <v>0.1099</v>
      </c>
      <c r="AD76" s="137">
        <f>Summary_LCIA!U$32</f>
        <v>1.7913999999999999E-2</v>
      </c>
      <c r="AE76" s="137">
        <f>Summary_LCIA!V$32</f>
        <v>4.7760999999999999E-5</v>
      </c>
      <c r="AF76" s="137">
        <f>Summary_LCIA!W$32</f>
        <v>7.6970999999999998E-2</v>
      </c>
      <c r="AG76" s="137">
        <f>Summary_LCIA!X$32</f>
        <v>2.2780000000000002E-2</v>
      </c>
      <c r="AH76" s="137">
        <f>Summary_LCIA!Y$32</f>
        <v>1.5582E-2</v>
      </c>
      <c r="AI76" s="137">
        <f>Summary_LCIA!Z$32</f>
        <v>4.1009E-5</v>
      </c>
      <c r="AJ76" s="137">
        <f>Summary_LCIA!AA$32</f>
        <v>2.3355999999999998E-2</v>
      </c>
      <c r="AK76" s="137">
        <f>Summary_LCIA!AB$32</f>
        <v>-2.1823000000000001E-5</v>
      </c>
      <c r="AL76" s="137">
        <f>Summary_LCIA!AC$32</f>
        <v>4.8884000000000003E-8</v>
      </c>
      <c r="AM76" s="137">
        <f>Summary_LCIA!AD$32</f>
        <v>4.1103999999999999E-4</v>
      </c>
      <c r="AN76" s="137">
        <f>Summary_LCIA!AE$32</f>
        <v>8.8612999999999995E-4</v>
      </c>
      <c r="AO76" s="137">
        <f>Summary_LCIA!AF$32</f>
        <v>8.4542000000000005E-4</v>
      </c>
      <c r="AP76" s="137">
        <f>Summary_LCIA!AG$32</f>
        <v>5.1165000000000002E-5</v>
      </c>
      <c r="AQ76" s="137">
        <f>Summary_LCIA!AH$32</f>
        <v>8.7036000000000006E-3</v>
      </c>
      <c r="AR76" s="137">
        <f>Summary_LCIA!AI$32</f>
        <v>9.3154999999999996E-4</v>
      </c>
      <c r="AT76" s="137">
        <f t="shared" si="24"/>
        <v>38.963846599999997</v>
      </c>
      <c r="AU76" s="137">
        <f t="shared" si="25"/>
        <v>568.29543500081093</v>
      </c>
      <c r="AV76" s="137">
        <f t="shared" si="26"/>
        <v>0.60379055519999991</v>
      </c>
      <c r="AW76" s="137">
        <f t="shared" si="27"/>
        <v>38.45701846</v>
      </c>
      <c r="AX76" s="137">
        <f t="shared" si="28"/>
        <v>12.6019033</v>
      </c>
      <c r="AY76" s="137">
        <f t="shared" si="29"/>
        <v>2.0541446379999999</v>
      </c>
      <c r="AZ76" s="137">
        <f t="shared" si="30"/>
        <v>5.4766105869999996E-3</v>
      </c>
      <c r="BA76" s="137">
        <f t="shared" si="31"/>
        <v>8.826033657</v>
      </c>
      <c r="BB76" s="137">
        <f t="shared" si="32"/>
        <v>2.6121142600000002</v>
      </c>
      <c r="BC76" s="137">
        <f t="shared" si="33"/>
        <v>1.786741194</v>
      </c>
      <c r="BD76" s="137">
        <f t="shared" si="34"/>
        <v>4.702379003E-3</v>
      </c>
      <c r="BE76" s="137">
        <f t="shared" si="35"/>
        <v>2.678162452</v>
      </c>
      <c r="BF76" s="137">
        <f t="shared" si="36"/>
        <v>-2.5023779410000002E-3</v>
      </c>
      <c r="BG76" s="137">
        <f t="shared" si="37"/>
        <v>5.6053816280000004E-6</v>
      </c>
      <c r="BH76" s="137">
        <f t="shared" si="38"/>
        <v>4.7132723680000002E-2</v>
      </c>
      <c r="BI76" s="137">
        <f t="shared" si="39"/>
        <v>0.10160986871</v>
      </c>
      <c r="BJ76" s="137">
        <f t="shared" si="40"/>
        <v>9.6941775140000006E-2</v>
      </c>
      <c r="BK76" s="137">
        <f t="shared" si="41"/>
        <v>5.8669370550000002E-3</v>
      </c>
      <c r="BL76" s="137">
        <f t="shared" si="42"/>
        <v>0.99801570120000005</v>
      </c>
      <c r="BM76" s="137">
        <f t="shared" si="43"/>
        <v>0.10681804385</v>
      </c>
    </row>
    <row r="77" spans="1:65" x14ac:dyDescent="0.25">
      <c r="A77" s="149">
        <v>76</v>
      </c>
      <c r="B77" s="149">
        <v>43</v>
      </c>
      <c r="C77" s="61">
        <v>40.606834999999997</v>
      </c>
      <c r="D77" s="61">
        <v>-75.380168999999995</v>
      </c>
      <c r="E77" s="61" t="s">
        <v>265</v>
      </c>
      <c r="F77" s="149">
        <v>43</v>
      </c>
      <c r="G77" s="61" t="s">
        <v>565</v>
      </c>
      <c r="H77" s="61" t="s">
        <v>632</v>
      </c>
      <c r="I77" s="61">
        <v>40.689531000000002</v>
      </c>
      <c r="J77" s="61">
        <v>-74.174462000000005</v>
      </c>
      <c r="K77" s="61">
        <v>105.6453843</v>
      </c>
      <c r="L77" s="61">
        <v>119.545</v>
      </c>
      <c r="M77" s="61" t="s">
        <v>617</v>
      </c>
      <c r="N77" s="149">
        <v>42</v>
      </c>
      <c r="O77" s="149">
        <v>43</v>
      </c>
      <c r="P77" s="61" t="s">
        <v>565</v>
      </c>
      <c r="Q77" s="61" t="s">
        <v>555</v>
      </c>
      <c r="R77" s="61">
        <v>40.6895314</v>
      </c>
      <c r="S77" s="61">
        <v>-74.174462399999996</v>
      </c>
      <c r="T77" s="61">
        <v>119.545</v>
      </c>
      <c r="U77" s="61" t="s">
        <v>617</v>
      </c>
      <c r="V77" s="61" t="s">
        <v>617</v>
      </c>
      <c r="W77" s="61"/>
      <c r="Y77" s="137">
        <f>Summary_LCIA!H$32</f>
        <v>0.33979999999999999</v>
      </c>
      <c r="Z77" s="137">
        <f>Summary_LCIA!Q$32</f>
        <v>4.9560504329999997</v>
      </c>
      <c r="AA77" s="137">
        <f>Summary_LCIA!R$32</f>
        <v>5.2655999999999996E-3</v>
      </c>
      <c r="AB77" s="137">
        <f>Summary_LCIA!S$32</f>
        <v>0.33538000000000001</v>
      </c>
      <c r="AC77" s="137">
        <f>Summary_LCIA!T$32</f>
        <v>0.1099</v>
      </c>
      <c r="AD77" s="137">
        <f>Summary_LCIA!U$32</f>
        <v>1.7913999999999999E-2</v>
      </c>
      <c r="AE77" s="137">
        <f>Summary_LCIA!V$32</f>
        <v>4.7760999999999999E-5</v>
      </c>
      <c r="AF77" s="137">
        <f>Summary_LCIA!W$32</f>
        <v>7.6970999999999998E-2</v>
      </c>
      <c r="AG77" s="137">
        <f>Summary_LCIA!X$32</f>
        <v>2.2780000000000002E-2</v>
      </c>
      <c r="AH77" s="137">
        <f>Summary_LCIA!Y$32</f>
        <v>1.5582E-2</v>
      </c>
      <c r="AI77" s="137">
        <f>Summary_LCIA!Z$32</f>
        <v>4.1009E-5</v>
      </c>
      <c r="AJ77" s="137">
        <f>Summary_LCIA!AA$32</f>
        <v>2.3355999999999998E-2</v>
      </c>
      <c r="AK77" s="137">
        <f>Summary_LCIA!AB$32</f>
        <v>-2.1823000000000001E-5</v>
      </c>
      <c r="AL77" s="137">
        <f>Summary_LCIA!AC$32</f>
        <v>4.8884000000000003E-8</v>
      </c>
      <c r="AM77" s="137">
        <f>Summary_LCIA!AD$32</f>
        <v>4.1103999999999999E-4</v>
      </c>
      <c r="AN77" s="137">
        <f>Summary_LCIA!AE$32</f>
        <v>8.8612999999999995E-4</v>
      </c>
      <c r="AO77" s="137">
        <f>Summary_LCIA!AF$32</f>
        <v>8.4542000000000005E-4</v>
      </c>
      <c r="AP77" s="137">
        <f>Summary_LCIA!AG$32</f>
        <v>5.1165000000000002E-5</v>
      </c>
      <c r="AQ77" s="137">
        <f>Summary_LCIA!AH$32</f>
        <v>8.7036000000000006E-3</v>
      </c>
      <c r="AR77" s="137">
        <f>Summary_LCIA!AI$32</f>
        <v>9.3154999999999996E-4</v>
      </c>
      <c r="AT77" s="137">
        <f t="shared" si="24"/>
        <v>40.621391000000003</v>
      </c>
      <c r="AU77" s="137">
        <f t="shared" si="25"/>
        <v>592.47104901298496</v>
      </c>
      <c r="AV77" s="137">
        <f t="shared" si="26"/>
        <v>0.62947615199999996</v>
      </c>
      <c r="AW77" s="137">
        <f t="shared" si="27"/>
        <v>40.0930021</v>
      </c>
      <c r="AX77" s="137">
        <f t="shared" si="28"/>
        <v>13.137995500000001</v>
      </c>
      <c r="AY77" s="137">
        <f t="shared" si="29"/>
        <v>2.1415291299999999</v>
      </c>
      <c r="AZ77" s="137">
        <f t="shared" si="30"/>
        <v>5.7095887449999999E-3</v>
      </c>
      <c r="BA77" s="137">
        <f t="shared" si="31"/>
        <v>9.2014981949999992</v>
      </c>
      <c r="BB77" s="137">
        <f t="shared" si="32"/>
        <v>2.7232351000000001</v>
      </c>
      <c r="BC77" s="137">
        <f t="shared" si="33"/>
        <v>1.8627501900000001</v>
      </c>
      <c r="BD77" s="137">
        <f t="shared" si="34"/>
        <v>4.9024209049999996E-3</v>
      </c>
      <c r="BE77" s="137">
        <f t="shared" si="35"/>
        <v>2.7920930199999998</v>
      </c>
      <c r="BF77" s="137">
        <f t="shared" si="36"/>
        <v>-2.6088305349999999E-3</v>
      </c>
      <c r="BG77" s="137">
        <f t="shared" si="37"/>
        <v>5.8438377800000001E-6</v>
      </c>
      <c r="BH77" s="137">
        <f t="shared" si="38"/>
        <v>4.9137776799999998E-2</v>
      </c>
      <c r="BI77" s="137">
        <f t="shared" si="39"/>
        <v>0.10593241084999999</v>
      </c>
      <c r="BJ77" s="137">
        <f t="shared" si="40"/>
        <v>0.10106573390000001</v>
      </c>
      <c r="BK77" s="137">
        <f t="shared" si="41"/>
        <v>6.1165199250000002E-3</v>
      </c>
      <c r="BL77" s="137">
        <f t="shared" si="42"/>
        <v>1.0404718620000002</v>
      </c>
      <c r="BM77" s="137">
        <f t="shared" si="43"/>
        <v>0.11136214475</v>
      </c>
    </row>
    <row r="78" spans="1:65" x14ac:dyDescent="0.25">
      <c r="A78" s="149">
        <v>282</v>
      </c>
      <c r="B78" s="149">
        <v>6</v>
      </c>
      <c r="C78" s="61">
        <v>42.905847999999999</v>
      </c>
      <c r="D78" s="61">
        <v>-88.138977999999994</v>
      </c>
      <c r="E78" s="61" t="s">
        <v>265</v>
      </c>
      <c r="F78" s="149">
        <v>114</v>
      </c>
      <c r="G78" s="61" t="s">
        <v>639</v>
      </c>
      <c r="H78" s="61" t="s">
        <v>640</v>
      </c>
      <c r="I78" s="61">
        <v>42.947552999999999</v>
      </c>
      <c r="J78" s="61">
        <v>-87.896646000000004</v>
      </c>
      <c r="K78" s="61">
        <v>21.17463892</v>
      </c>
      <c r="L78" s="61">
        <v>30.303000000000001</v>
      </c>
      <c r="M78" s="61" t="s">
        <v>617</v>
      </c>
      <c r="N78" s="149">
        <v>5</v>
      </c>
      <c r="O78" s="149">
        <v>6</v>
      </c>
      <c r="P78" s="61" t="s">
        <v>565</v>
      </c>
      <c r="Q78" s="61" t="s">
        <v>564</v>
      </c>
      <c r="R78" s="61">
        <v>41.98028</v>
      </c>
      <c r="S78" s="61">
        <v>-87.908997900000003</v>
      </c>
      <c r="T78" s="61">
        <v>125.387</v>
      </c>
      <c r="U78" s="61" t="s">
        <v>617</v>
      </c>
      <c r="V78" s="61" t="s">
        <v>617</v>
      </c>
      <c r="W78" s="61"/>
      <c r="Y78" s="137">
        <f>Summary_LCIA!H$32</f>
        <v>0.33979999999999999</v>
      </c>
      <c r="Z78" s="137">
        <f>Summary_LCIA!Q$32</f>
        <v>4.9560504329999997</v>
      </c>
      <c r="AA78" s="137">
        <f>Summary_LCIA!R$32</f>
        <v>5.2655999999999996E-3</v>
      </c>
      <c r="AB78" s="137">
        <f>Summary_LCIA!S$32</f>
        <v>0.33538000000000001</v>
      </c>
      <c r="AC78" s="137">
        <f>Summary_LCIA!T$32</f>
        <v>0.1099</v>
      </c>
      <c r="AD78" s="137">
        <f>Summary_LCIA!U$32</f>
        <v>1.7913999999999999E-2</v>
      </c>
      <c r="AE78" s="137">
        <f>Summary_LCIA!V$32</f>
        <v>4.7760999999999999E-5</v>
      </c>
      <c r="AF78" s="137">
        <f>Summary_LCIA!W$32</f>
        <v>7.6970999999999998E-2</v>
      </c>
      <c r="AG78" s="137">
        <f>Summary_LCIA!X$32</f>
        <v>2.2780000000000002E-2</v>
      </c>
      <c r="AH78" s="137">
        <f>Summary_LCIA!Y$32</f>
        <v>1.5582E-2</v>
      </c>
      <c r="AI78" s="137">
        <f>Summary_LCIA!Z$32</f>
        <v>4.1009E-5</v>
      </c>
      <c r="AJ78" s="137">
        <f>Summary_LCIA!AA$32</f>
        <v>2.3355999999999998E-2</v>
      </c>
      <c r="AK78" s="137">
        <f>Summary_LCIA!AB$32</f>
        <v>-2.1823000000000001E-5</v>
      </c>
      <c r="AL78" s="137">
        <f>Summary_LCIA!AC$32</f>
        <v>4.8884000000000003E-8</v>
      </c>
      <c r="AM78" s="137">
        <f>Summary_LCIA!AD$32</f>
        <v>4.1103999999999999E-4</v>
      </c>
      <c r="AN78" s="137">
        <f>Summary_LCIA!AE$32</f>
        <v>8.8612999999999995E-4</v>
      </c>
      <c r="AO78" s="137">
        <f>Summary_LCIA!AF$32</f>
        <v>8.4542000000000005E-4</v>
      </c>
      <c r="AP78" s="137">
        <f>Summary_LCIA!AG$32</f>
        <v>5.1165000000000002E-5</v>
      </c>
      <c r="AQ78" s="137">
        <f>Summary_LCIA!AH$32</f>
        <v>8.7036000000000006E-3</v>
      </c>
      <c r="AR78" s="137">
        <f>Summary_LCIA!AI$32</f>
        <v>9.3154999999999996E-4</v>
      </c>
      <c r="AT78" s="137">
        <f t="shared" si="24"/>
        <v>42.606502599999999</v>
      </c>
      <c r="AU78" s="137">
        <f t="shared" si="25"/>
        <v>621.424295642571</v>
      </c>
      <c r="AV78" s="137">
        <f t="shared" si="26"/>
        <v>0.66023778719999993</v>
      </c>
      <c r="AW78" s="137">
        <f t="shared" si="27"/>
        <v>42.052292059999999</v>
      </c>
      <c r="AX78" s="137">
        <f t="shared" si="28"/>
        <v>13.780031299999999</v>
      </c>
      <c r="AY78" s="137">
        <f t="shared" si="29"/>
        <v>2.246182718</v>
      </c>
      <c r="AZ78" s="137">
        <f t="shared" si="30"/>
        <v>5.9886085069999996E-3</v>
      </c>
      <c r="BA78" s="137">
        <f t="shared" si="31"/>
        <v>9.6511627769999997</v>
      </c>
      <c r="BB78" s="137">
        <f t="shared" si="32"/>
        <v>2.85631586</v>
      </c>
      <c r="BC78" s="137">
        <f t="shared" si="33"/>
        <v>1.9537802340000001</v>
      </c>
      <c r="BD78" s="137">
        <f t="shared" si="34"/>
        <v>5.1419954830000001E-3</v>
      </c>
      <c r="BE78" s="137">
        <f t="shared" si="35"/>
        <v>2.928538772</v>
      </c>
      <c r="BF78" s="137">
        <f t="shared" si="36"/>
        <v>-2.7363205010000002E-3</v>
      </c>
      <c r="BG78" s="137">
        <f t="shared" si="37"/>
        <v>6.1294181080000002E-6</v>
      </c>
      <c r="BH78" s="137">
        <f t="shared" si="38"/>
        <v>5.1539072479999996E-2</v>
      </c>
      <c r="BI78" s="137">
        <f t="shared" si="39"/>
        <v>0.11110918231</v>
      </c>
      <c r="BJ78" s="137">
        <f t="shared" si="40"/>
        <v>0.10600467754000001</v>
      </c>
      <c r="BK78" s="137">
        <f t="shared" si="41"/>
        <v>6.4154258550000003E-3</v>
      </c>
      <c r="BL78" s="137">
        <f t="shared" si="42"/>
        <v>1.0913182932000001</v>
      </c>
      <c r="BM78" s="137">
        <f t="shared" si="43"/>
        <v>0.11680425984999999</v>
      </c>
    </row>
    <row r="79" spans="1:65" x14ac:dyDescent="0.25">
      <c r="A79" s="149">
        <v>23</v>
      </c>
      <c r="B79" s="149">
        <v>6</v>
      </c>
      <c r="C79" s="61">
        <v>43.038966000000002</v>
      </c>
      <c r="D79" s="61">
        <v>-87.928042000000005</v>
      </c>
      <c r="E79" s="61" t="s">
        <v>265</v>
      </c>
      <c r="F79" s="149">
        <v>114</v>
      </c>
      <c r="G79" s="61" t="s">
        <v>639</v>
      </c>
      <c r="H79" s="61" t="s">
        <v>640</v>
      </c>
      <c r="I79" s="61">
        <v>42.947552999999999</v>
      </c>
      <c r="J79" s="61">
        <v>-87.896646000000004</v>
      </c>
      <c r="K79" s="61">
        <v>15.85670011</v>
      </c>
      <c r="L79" s="61">
        <v>12.099</v>
      </c>
      <c r="M79" s="61" t="s">
        <v>617</v>
      </c>
      <c r="N79" s="149">
        <v>5</v>
      </c>
      <c r="O79" s="149">
        <v>6</v>
      </c>
      <c r="P79" s="61" t="s">
        <v>565</v>
      </c>
      <c r="Q79" s="61" t="s">
        <v>564</v>
      </c>
      <c r="R79" s="61">
        <v>41.98028</v>
      </c>
      <c r="S79" s="61">
        <v>-87.908997900000003</v>
      </c>
      <c r="T79" s="61">
        <v>126.72499999999999</v>
      </c>
      <c r="U79" s="61" t="s">
        <v>617</v>
      </c>
      <c r="V79" s="61" t="s">
        <v>617</v>
      </c>
      <c r="W79" s="61"/>
      <c r="Y79" s="137">
        <f>Summary_LCIA!H$32</f>
        <v>0.33979999999999999</v>
      </c>
      <c r="Z79" s="137">
        <f>Summary_LCIA!Q$32</f>
        <v>4.9560504329999997</v>
      </c>
      <c r="AA79" s="137">
        <f>Summary_LCIA!R$32</f>
        <v>5.2655999999999996E-3</v>
      </c>
      <c r="AB79" s="137">
        <f>Summary_LCIA!S$32</f>
        <v>0.33538000000000001</v>
      </c>
      <c r="AC79" s="137">
        <f>Summary_LCIA!T$32</f>
        <v>0.1099</v>
      </c>
      <c r="AD79" s="137">
        <f>Summary_LCIA!U$32</f>
        <v>1.7913999999999999E-2</v>
      </c>
      <c r="AE79" s="137">
        <f>Summary_LCIA!V$32</f>
        <v>4.7760999999999999E-5</v>
      </c>
      <c r="AF79" s="137">
        <f>Summary_LCIA!W$32</f>
        <v>7.6970999999999998E-2</v>
      </c>
      <c r="AG79" s="137">
        <f>Summary_LCIA!X$32</f>
        <v>2.2780000000000002E-2</v>
      </c>
      <c r="AH79" s="137">
        <f>Summary_LCIA!Y$32</f>
        <v>1.5582E-2</v>
      </c>
      <c r="AI79" s="137">
        <f>Summary_LCIA!Z$32</f>
        <v>4.1009E-5</v>
      </c>
      <c r="AJ79" s="137">
        <f>Summary_LCIA!AA$32</f>
        <v>2.3355999999999998E-2</v>
      </c>
      <c r="AK79" s="137">
        <f>Summary_LCIA!AB$32</f>
        <v>-2.1823000000000001E-5</v>
      </c>
      <c r="AL79" s="137">
        <f>Summary_LCIA!AC$32</f>
        <v>4.8884000000000003E-8</v>
      </c>
      <c r="AM79" s="137">
        <f>Summary_LCIA!AD$32</f>
        <v>4.1103999999999999E-4</v>
      </c>
      <c r="AN79" s="137">
        <f>Summary_LCIA!AE$32</f>
        <v>8.8612999999999995E-4</v>
      </c>
      <c r="AO79" s="137">
        <f>Summary_LCIA!AF$32</f>
        <v>8.4542000000000005E-4</v>
      </c>
      <c r="AP79" s="137">
        <f>Summary_LCIA!AG$32</f>
        <v>5.1165000000000002E-5</v>
      </c>
      <c r="AQ79" s="137">
        <f>Summary_LCIA!AH$32</f>
        <v>8.7036000000000006E-3</v>
      </c>
      <c r="AR79" s="137">
        <f>Summary_LCIA!AI$32</f>
        <v>9.3154999999999996E-4</v>
      </c>
      <c r="AT79" s="137">
        <f t="shared" si="24"/>
        <v>43.061154999999999</v>
      </c>
      <c r="AU79" s="137">
        <f t="shared" si="25"/>
        <v>628.05549112192489</v>
      </c>
      <c r="AV79" s="137">
        <f t="shared" si="26"/>
        <v>0.66728315999999988</v>
      </c>
      <c r="AW79" s="137">
        <f t="shared" si="27"/>
        <v>42.501030499999999</v>
      </c>
      <c r="AX79" s="137">
        <f t="shared" si="28"/>
        <v>13.927077499999999</v>
      </c>
      <c r="AY79" s="137">
        <f t="shared" si="29"/>
        <v>2.2701516499999999</v>
      </c>
      <c r="AZ79" s="137">
        <f t="shared" si="30"/>
        <v>6.0525127249999996E-3</v>
      </c>
      <c r="BA79" s="137">
        <f t="shared" si="31"/>
        <v>9.7541499749999989</v>
      </c>
      <c r="BB79" s="137">
        <f t="shared" si="32"/>
        <v>2.8867955000000003</v>
      </c>
      <c r="BC79" s="137">
        <f t="shared" si="33"/>
        <v>1.97462895</v>
      </c>
      <c r="BD79" s="137">
        <f t="shared" si="34"/>
        <v>5.1968655249999994E-3</v>
      </c>
      <c r="BE79" s="137">
        <f t="shared" si="35"/>
        <v>2.9597890999999996</v>
      </c>
      <c r="BF79" s="137">
        <f t="shared" si="36"/>
        <v>-2.765519675E-3</v>
      </c>
      <c r="BG79" s="137">
        <f t="shared" si="37"/>
        <v>6.1948249000000005E-6</v>
      </c>
      <c r="BH79" s="137">
        <f t="shared" si="38"/>
        <v>5.2089043999999994E-2</v>
      </c>
      <c r="BI79" s="137">
        <f t="shared" si="39"/>
        <v>0.11229482424999999</v>
      </c>
      <c r="BJ79" s="137">
        <f t="shared" si="40"/>
        <v>0.1071358495</v>
      </c>
      <c r="BK79" s="137">
        <f t="shared" si="41"/>
        <v>6.4838846250000002E-3</v>
      </c>
      <c r="BL79" s="137">
        <f t="shared" si="42"/>
        <v>1.10296371</v>
      </c>
      <c r="BM79" s="137">
        <f t="shared" si="43"/>
        <v>0.11805067374999999</v>
      </c>
    </row>
    <row r="80" spans="1:65" x14ac:dyDescent="0.25">
      <c r="A80" s="149">
        <v>135</v>
      </c>
      <c r="B80" s="149">
        <v>1</v>
      </c>
      <c r="C80" s="61">
        <v>33.954258000000003</v>
      </c>
      <c r="D80" s="61">
        <v>-83.374932000000001</v>
      </c>
      <c r="E80" s="61" t="s">
        <v>265</v>
      </c>
      <c r="F80" s="149">
        <v>1</v>
      </c>
      <c r="G80" s="61" t="s">
        <v>565</v>
      </c>
      <c r="H80" s="61" t="s">
        <v>681</v>
      </c>
      <c r="I80" s="61">
        <v>33.640728000000003</v>
      </c>
      <c r="J80" s="61">
        <v>-84.427700000000002</v>
      </c>
      <c r="K80" s="61">
        <v>112.66856199999999</v>
      </c>
      <c r="L80" s="61">
        <v>131.636</v>
      </c>
      <c r="M80" s="61" t="s">
        <v>617</v>
      </c>
      <c r="N80" s="149">
        <v>0</v>
      </c>
      <c r="O80" s="149">
        <v>1</v>
      </c>
      <c r="P80" s="61" t="s">
        <v>565</v>
      </c>
      <c r="Q80" s="61" t="s">
        <v>558</v>
      </c>
      <c r="R80" s="61">
        <v>33.640728199999998</v>
      </c>
      <c r="S80" s="61">
        <v>-84.427700099999996</v>
      </c>
      <c r="T80" s="61">
        <v>131.636</v>
      </c>
      <c r="U80" s="61" t="s">
        <v>617</v>
      </c>
      <c r="V80" s="61" t="s">
        <v>617</v>
      </c>
      <c r="W80" s="61"/>
      <c r="Y80" s="137">
        <f>Summary_LCIA!H$32</f>
        <v>0.33979999999999999</v>
      </c>
      <c r="Z80" s="137">
        <f>Summary_LCIA!Q$32</f>
        <v>4.9560504329999997</v>
      </c>
      <c r="AA80" s="137">
        <f>Summary_LCIA!R$32</f>
        <v>5.2655999999999996E-3</v>
      </c>
      <c r="AB80" s="137">
        <f>Summary_LCIA!S$32</f>
        <v>0.33538000000000001</v>
      </c>
      <c r="AC80" s="137">
        <f>Summary_LCIA!T$32</f>
        <v>0.1099</v>
      </c>
      <c r="AD80" s="137">
        <f>Summary_LCIA!U$32</f>
        <v>1.7913999999999999E-2</v>
      </c>
      <c r="AE80" s="137">
        <f>Summary_LCIA!V$32</f>
        <v>4.7760999999999999E-5</v>
      </c>
      <c r="AF80" s="137">
        <f>Summary_LCIA!W$32</f>
        <v>7.6970999999999998E-2</v>
      </c>
      <c r="AG80" s="137">
        <f>Summary_LCIA!X$32</f>
        <v>2.2780000000000002E-2</v>
      </c>
      <c r="AH80" s="137">
        <f>Summary_LCIA!Y$32</f>
        <v>1.5582E-2</v>
      </c>
      <c r="AI80" s="137">
        <f>Summary_LCIA!Z$32</f>
        <v>4.1009E-5</v>
      </c>
      <c r="AJ80" s="137">
        <f>Summary_LCIA!AA$32</f>
        <v>2.3355999999999998E-2</v>
      </c>
      <c r="AK80" s="137">
        <f>Summary_LCIA!AB$32</f>
        <v>-2.1823000000000001E-5</v>
      </c>
      <c r="AL80" s="137">
        <f>Summary_LCIA!AC$32</f>
        <v>4.8884000000000003E-8</v>
      </c>
      <c r="AM80" s="137">
        <f>Summary_LCIA!AD$32</f>
        <v>4.1103999999999999E-4</v>
      </c>
      <c r="AN80" s="137">
        <f>Summary_LCIA!AE$32</f>
        <v>8.8612999999999995E-4</v>
      </c>
      <c r="AO80" s="137">
        <f>Summary_LCIA!AF$32</f>
        <v>8.4542000000000005E-4</v>
      </c>
      <c r="AP80" s="137">
        <f>Summary_LCIA!AG$32</f>
        <v>5.1165000000000002E-5</v>
      </c>
      <c r="AQ80" s="137">
        <f>Summary_LCIA!AH$32</f>
        <v>8.7036000000000006E-3</v>
      </c>
      <c r="AR80" s="137">
        <f>Summary_LCIA!AI$32</f>
        <v>9.3154999999999996E-4</v>
      </c>
      <c r="AT80" s="137">
        <f t="shared" si="24"/>
        <v>44.729912799999994</v>
      </c>
      <c r="AU80" s="137">
        <f t="shared" si="25"/>
        <v>652.39465479838793</v>
      </c>
      <c r="AV80" s="137">
        <f t="shared" si="26"/>
        <v>0.69314252159999989</v>
      </c>
      <c r="AW80" s="137">
        <f t="shared" si="27"/>
        <v>44.148081679999997</v>
      </c>
      <c r="AX80" s="137">
        <f t="shared" si="28"/>
        <v>14.4667964</v>
      </c>
      <c r="AY80" s="137">
        <f t="shared" si="29"/>
        <v>2.3581273039999999</v>
      </c>
      <c r="AZ80" s="137">
        <f t="shared" si="30"/>
        <v>6.2870669959999995E-3</v>
      </c>
      <c r="BA80" s="137">
        <f t="shared" si="31"/>
        <v>10.132154556</v>
      </c>
      <c r="BB80" s="137">
        <f t="shared" si="32"/>
        <v>2.9986680800000003</v>
      </c>
      <c r="BC80" s="137">
        <f t="shared" si="33"/>
        <v>2.0511521519999998</v>
      </c>
      <c r="BD80" s="137">
        <f t="shared" si="34"/>
        <v>5.3982607239999999E-3</v>
      </c>
      <c r="BE80" s="137">
        <f t="shared" si="35"/>
        <v>3.0744904159999997</v>
      </c>
      <c r="BF80" s="137">
        <f t="shared" si="36"/>
        <v>-2.8726924280000001E-3</v>
      </c>
      <c r="BG80" s="137">
        <f t="shared" si="37"/>
        <v>6.4348942240000002E-6</v>
      </c>
      <c r="BH80" s="137">
        <f t="shared" si="38"/>
        <v>5.4107661439999996E-2</v>
      </c>
      <c r="BI80" s="137">
        <f t="shared" si="39"/>
        <v>0.11664660867999999</v>
      </c>
      <c r="BJ80" s="137">
        <f t="shared" si="40"/>
        <v>0.11128770712</v>
      </c>
      <c r="BK80" s="137">
        <f t="shared" si="41"/>
        <v>6.7351559400000002E-3</v>
      </c>
      <c r="BL80" s="137">
        <f t="shared" si="42"/>
        <v>1.1457070896000001</v>
      </c>
      <c r="BM80" s="137">
        <f t="shared" si="43"/>
        <v>0.12262551579999999</v>
      </c>
    </row>
    <row r="81" spans="1:65" x14ac:dyDescent="0.25">
      <c r="A81" s="149">
        <v>136</v>
      </c>
      <c r="B81" s="149">
        <v>1</v>
      </c>
      <c r="C81" s="61">
        <v>33.954258000000003</v>
      </c>
      <c r="D81" s="61">
        <v>-83.374932000000001</v>
      </c>
      <c r="E81" s="61" t="s">
        <v>265</v>
      </c>
      <c r="F81" s="149">
        <v>1</v>
      </c>
      <c r="G81" s="61" t="s">
        <v>565</v>
      </c>
      <c r="H81" s="61" t="s">
        <v>681</v>
      </c>
      <c r="I81" s="61">
        <v>33.640728000000003</v>
      </c>
      <c r="J81" s="61">
        <v>-84.427700000000002</v>
      </c>
      <c r="K81" s="61">
        <v>112.66856199999999</v>
      </c>
      <c r="L81" s="61">
        <v>131.636</v>
      </c>
      <c r="M81" s="61" t="s">
        <v>617</v>
      </c>
      <c r="N81" s="149">
        <v>0</v>
      </c>
      <c r="O81" s="149">
        <v>1</v>
      </c>
      <c r="P81" s="61" t="s">
        <v>565</v>
      </c>
      <c r="Q81" s="61" t="s">
        <v>558</v>
      </c>
      <c r="R81" s="61">
        <v>33.640728199999998</v>
      </c>
      <c r="S81" s="61">
        <v>-84.427700099999996</v>
      </c>
      <c r="T81" s="61">
        <v>131.636</v>
      </c>
      <c r="U81" s="61" t="s">
        <v>617</v>
      </c>
      <c r="V81" s="61" t="s">
        <v>617</v>
      </c>
      <c r="W81" s="61"/>
      <c r="Y81" s="137">
        <f>Summary_LCIA!H$32</f>
        <v>0.33979999999999999</v>
      </c>
      <c r="Z81" s="137">
        <f>Summary_LCIA!Q$32</f>
        <v>4.9560504329999997</v>
      </c>
      <c r="AA81" s="137">
        <f>Summary_LCIA!R$32</f>
        <v>5.2655999999999996E-3</v>
      </c>
      <c r="AB81" s="137">
        <f>Summary_LCIA!S$32</f>
        <v>0.33538000000000001</v>
      </c>
      <c r="AC81" s="137">
        <f>Summary_LCIA!T$32</f>
        <v>0.1099</v>
      </c>
      <c r="AD81" s="137">
        <f>Summary_LCIA!U$32</f>
        <v>1.7913999999999999E-2</v>
      </c>
      <c r="AE81" s="137">
        <f>Summary_LCIA!V$32</f>
        <v>4.7760999999999999E-5</v>
      </c>
      <c r="AF81" s="137">
        <f>Summary_LCIA!W$32</f>
        <v>7.6970999999999998E-2</v>
      </c>
      <c r="AG81" s="137">
        <f>Summary_LCIA!X$32</f>
        <v>2.2780000000000002E-2</v>
      </c>
      <c r="AH81" s="137">
        <f>Summary_LCIA!Y$32</f>
        <v>1.5582E-2</v>
      </c>
      <c r="AI81" s="137">
        <f>Summary_LCIA!Z$32</f>
        <v>4.1009E-5</v>
      </c>
      <c r="AJ81" s="137">
        <f>Summary_LCIA!AA$32</f>
        <v>2.3355999999999998E-2</v>
      </c>
      <c r="AK81" s="137">
        <f>Summary_LCIA!AB$32</f>
        <v>-2.1823000000000001E-5</v>
      </c>
      <c r="AL81" s="137">
        <f>Summary_LCIA!AC$32</f>
        <v>4.8884000000000003E-8</v>
      </c>
      <c r="AM81" s="137">
        <f>Summary_LCIA!AD$32</f>
        <v>4.1103999999999999E-4</v>
      </c>
      <c r="AN81" s="137">
        <f>Summary_LCIA!AE$32</f>
        <v>8.8612999999999995E-4</v>
      </c>
      <c r="AO81" s="137">
        <f>Summary_LCIA!AF$32</f>
        <v>8.4542000000000005E-4</v>
      </c>
      <c r="AP81" s="137">
        <f>Summary_LCIA!AG$32</f>
        <v>5.1165000000000002E-5</v>
      </c>
      <c r="AQ81" s="137">
        <f>Summary_LCIA!AH$32</f>
        <v>8.7036000000000006E-3</v>
      </c>
      <c r="AR81" s="137">
        <f>Summary_LCIA!AI$32</f>
        <v>9.3154999999999996E-4</v>
      </c>
      <c r="AT81" s="137">
        <f t="shared" si="24"/>
        <v>44.729912799999994</v>
      </c>
      <c r="AU81" s="137">
        <f t="shared" si="25"/>
        <v>652.39465479838793</v>
      </c>
      <c r="AV81" s="137">
        <f t="shared" si="26"/>
        <v>0.69314252159999989</v>
      </c>
      <c r="AW81" s="137">
        <f t="shared" si="27"/>
        <v>44.148081679999997</v>
      </c>
      <c r="AX81" s="137">
        <f t="shared" si="28"/>
        <v>14.4667964</v>
      </c>
      <c r="AY81" s="137">
        <f t="shared" si="29"/>
        <v>2.3581273039999999</v>
      </c>
      <c r="AZ81" s="137">
        <f t="shared" si="30"/>
        <v>6.2870669959999995E-3</v>
      </c>
      <c r="BA81" s="137">
        <f t="shared" si="31"/>
        <v>10.132154556</v>
      </c>
      <c r="BB81" s="137">
        <f t="shared" si="32"/>
        <v>2.9986680800000003</v>
      </c>
      <c r="BC81" s="137">
        <f t="shared" si="33"/>
        <v>2.0511521519999998</v>
      </c>
      <c r="BD81" s="137">
        <f t="shared" si="34"/>
        <v>5.3982607239999999E-3</v>
      </c>
      <c r="BE81" s="137">
        <f t="shared" si="35"/>
        <v>3.0744904159999997</v>
      </c>
      <c r="BF81" s="137">
        <f t="shared" si="36"/>
        <v>-2.8726924280000001E-3</v>
      </c>
      <c r="BG81" s="137">
        <f t="shared" si="37"/>
        <v>6.4348942240000002E-6</v>
      </c>
      <c r="BH81" s="137">
        <f t="shared" si="38"/>
        <v>5.4107661439999996E-2</v>
      </c>
      <c r="BI81" s="137">
        <f t="shared" si="39"/>
        <v>0.11664660867999999</v>
      </c>
      <c r="BJ81" s="137">
        <f t="shared" si="40"/>
        <v>0.11128770712</v>
      </c>
      <c r="BK81" s="137">
        <f t="shared" si="41"/>
        <v>6.7351559400000002E-3</v>
      </c>
      <c r="BL81" s="137">
        <f t="shared" si="42"/>
        <v>1.1457070896000001</v>
      </c>
      <c r="BM81" s="137">
        <f t="shared" si="43"/>
        <v>0.12262551579999999</v>
      </c>
    </row>
    <row r="82" spans="1:65" x14ac:dyDescent="0.25">
      <c r="A82" s="149">
        <v>291</v>
      </c>
      <c r="B82" s="149">
        <v>43</v>
      </c>
      <c r="C82" s="61">
        <v>39.958359000000002</v>
      </c>
      <c r="D82" s="61">
        <v>-75.195392999999996</v>
      </c>
      <c r="E82" s="61" t="s">
        <v>265</v>
      </c>
      <c r="F82" s="149">
        <v>80</v>
      </c>
      <c r="G82" s="61" t="s">
        <v>284</v>
      </c>
      <c r="H82" s="61" t="s">
        <v>715</v>
      </c>
      <c r="I82" s="61">
        <v>39.872929999999997</v>
      </c>
      <c r="J82" s="61">
        <v>-75.243667000000002</v>
      </c>
      <c r="K82" s="61">
        <v>14.292168419999999</v>
      </c>
      <c r="L82" s="61">
        <v>15.794</v>
      </c>
      <c r="M82" s="61" t="s">
        <v>617</v>
      </c>
      <c r="N82" s="149">
        <v>42</v>
      </c>
      <c r="O82" s="149">
        <v>43</v>
      </c>
      <c r="P82" s="61" t="s">
        <v>565</v>
      </c>
      <c r="Q82" s="61" t="s">
        <v>555</v>
      </c>
      <c r="R82" s="61">
        <v>40.6895314</v>
      </c>
      <c r="S82" s="61">
        <v>-74.174462399999996</v>
      </c>
      <c r="T82" s="61">
        <v>136.09700000000001</v>
      </c>
      <c r="U82" s="61" t="s">
        <v>617</v>
      </c>
      <c r="V82" s="61" t="s">
        <v>617</v>
      </c>
      <c r="W82" s="61"/>
      <c r="Y82" s="137">
        <f>Summary_LCIA!H$32</f>
        <v>0.33979999999999999</v>
      </c>
      <c r="Z82" s="137">
        <f>Summary_LCIA!Q$32</f>
        <v>4.9560504329999997</v>
      </c>
      <c r="AA82" s="137">
        <f>Summary_LCIA!R$32</f>
        <v>5.2655999999999996E-3</v>
      </c>
      <c r="AB82" s="137">
        <f>Summary_LCIA!S$32</f>
        <v>0.33538000000000001</v>
      </c>
      <c r="AC82" s="137">
        <f>Summary_LCIA!T$32</f>
        <v>0.1099</v>
      </c>
      <c r="AD82" s="137">
        <f>Summary_LCIA!U$32</f>
        <v>1.7913999999999999E-2</v>
      </c>
      <c r="AE82" s="137">
        <f>Summary_LCIA!V$32</f>
        <v>4.7760999999999999E-5</v>
      </c>
      <c r="AF82" s="137">
        <f>Summary_LCIA!W$32</f>
        <v>7.6970999999999998E-2</v>
      </c>
      <c r="AG82" s="137">
        <f>Summary_LCIA!X$32</f>
        <v>2.2780000000000002E-2</v>
      </c>
      <c r="AH82" s="137">
        <f>Summary_LCIA!Y$32</f>
        <v>1.5582E-2</v>
      </c>
      <c r="AI82" s="137">
        <f>Summary_LCIA!Z$32</f>
        <v>4.1009E-5</v>
      </c>
      <c r="AJ82" s="137">
        <f>Summary_LCIA!AA$32</f>
        <v>2.3355999999999998E-2</v>
      </c>
      <c r="AK82" s="137">
        <f>Summary_LCIA!AB$32</f>
        <v>-2.1823000000000001E-5</v>
      </c>
      <c r="AL82" s="137">
        <f>Summary_LCIA!AC$32</f>
        <v>4.8884000000000003E-8</v>
      </c>
      <c r="AM82" s="137">
        <f>Summary_LCIA!AD$32</f>
        <v>4.1103999999999999E-4</v>
      </c>
      <c r="AN82" s="137">
        <f>Summary_LCIA!AE$32</f>
        <v>8.8612999999999995E-4</v>
      </c>
      <c r="AO82" s="137">
        <f>Summary_LCIA!AF$32</f>
        <v>8.4542000000000005E-4</v>
      </c>
      <c r="AP82" s="137">
        <f>Summary_LCIA!AG$32</f>
        <v>5.1165000000000002E-5</v>
      </c>
      <c r="AQ82" s="137">
        <f>Summary_LCIA!AH$32</f>
        <v>8.7036000000000006E-3</v>
      </c>
      <c r="AR82" s="137">
        <f>Summary_LCIA!AI$32</f>
        <v>9.3154999999999996E-4</v>
      </c>
      <c r="AT82" s="137">
        <f t="shared" si="24"/>
        <v>46.245760600000004</v>
      </c>
      <c r="AU82" s="137">
        <f t="shared" si="25"/>
        <v>674.50359578000098</v>
      </c>
      <c r="AV82" s="137">
        <f t="shared" si="26"/>
        <v>0.71663236320000001</v>
      </c>
      <c r="AW82" s="137">
        <f t="shared" si="27"/>
        <v>45.644211860000006</v>
      </c>
      <c r="AX82" s="137">
        <f t="shared" si="28"/>
        <v>14.9570603</v>
      </c>
      <c r="AY82" s="137">
        <f t="shared" si="29"/>
        <v>2.4380416579999999</v>
      </c>
      <c r="AZ82" s="137">
        <f t="shared" si="30"/>
        <v>6.5001288170000006E-3</v>
      </c>
      <c r="BA82" s="137">
        <f t="shared" si="31"/>
        <v>10.475522187000001</v>
      </c>
      <c r="BB82" s="137">
        <f t="shared" si="32"/>
        <v>3.1002896600000005</v>
      </c>
      <c r="BC82" s="137">
        <f t="shared" si="33"/>
        <v>2.1206634540000002</v>
      </c>
      <c r="BD82" s="137">
        <f t="shared" si="34"/>
        <v>5.5812018730000005E-3</v>
      </c>
      <c r="BE82" s="137">
        <f t="shared" si="35"/>
        <v>3.1786815320000001</v>
      </c>
      <c r="BF82" s="137">
        <f t="shared" si="36"/>
        <v>-2.9700448310000004E-3</v>
      </c>
      <c r="BG82" s="137">
        <f t="shared" si="37"/>
        <v>6.6529657480000012E-6</v>
      </c>
      <c r="BH82" s="137">
        <f t="shared" si="38"/>
        <v>5.5941310880000004E-2</v>
      </c>
      <c r="BI82" s="137">
        <f t="shared" si="39"/>
        <v>0.12059963461000001</v>
      </c>
      <c r="BJ82" s="137">
        <f t="shared" si="40"/>
        <v>0.11505912574000002</v>
      </c>
      <c r="BK82" s="137">
        <f t="shared" si="41"/>
        <v>6.9634030050000004E-3</v>
      </c>
      <c r="BL82" s="137">
        <f t="shared" si="42"/>
        <v>1.1845338492000002</v>
      </c>
      <c r="BM82" s="137">
        <f t="shared" si="43"/>
        <v>0.12678116035000001</v>
      </c>
    </row>
    <row r="83" spans="1:65" x14ac:dyDescent="0.25">
      <c r="A83" s="149">
        <v>173</v>
      </c>
      <c r="B83" s="149">
        <v>16</v>
      </c>
      <c r="C83" s="61">
        <v>39.481653999999999</v>
      </c>
      <c r="D83" s="61">
        <v>-106.038352</v>
      </c>
      <c r="E83" s="61" t="s">
        <v>265</v>
      </c>
      <c r="F83" s="149">
        <v>16</v>
      </c>
      <c r="G83" s="61" t="s">
        <v>565</v>
      </c>
      <c r="H83" s="61" t="s">
        <v>645</v>
      </c>
      <c r="I83" s="61">
        <v>39.856096000000001</v>
      </c>
      <c r="J83" s="61">
        <v>-104.673738</v>
      </c>
      <c r="K83" s="61">
        <v>128.04936520000001</v>
      </c>
      <c r="L83" s="61">
        <v>168.03800000000001</v>
      </c>
      <c r="M83" s="61" t="s">
        <v>617</v>
      </c>
      <c r="N83" s="149">
        <v>15</v>
      </c>
      <c r="O83" s="149">
        <v>16</v>
      </c>
      <c r="P83" s="61" t="s">
        <v>565</v>
      </c>
      <c r="Q83" s="61" t="s">
        <v>556</v>
      </c>
      <c r="R83" s="61">
        <v>39.856096299999997</v>
      </c>
      <c r="S83" s="61">
        <v>-104.6737376</v>
      </c>
      <c r="T83" s="61">
        <v>168.03800000000001</v>
      </c>
      <c r="U83" s="61" t="s">
        <v>617</v>
      </c>
      <c r="V83" s="61" t="s">
        <v>617</v>
      </c>
      <c r="W83" s="61"/>
      <c r="Y83" s="137">
        <f>Summary_LCIA!H$32</f>
        <v>0.33979999999999999</v>
      </c>
      <c r="Z83" s="137">
        <f>Summary_LCIA!Q$32</f>
        <v>4.9560504329999997</v>
      </c>
      <c r="AA83" s="137">
        <f>Summary_LCIA!R$32</f>
        <v>5.2655999999999996E-3</v>
      </c>
      <c r="AB83" s="137">
        <f>Summary_LCIA!S$32</f>
        <v>0.33538000000000001</v>
      </c>
      <c r="AC83" s="137">
        <f>Summary_LCIA!T$32</f>
        <v>0.1099</v>
      </c>
      <c r="AD83" s="137">
        <f>Summary_LCIA!U$32</f>
        <v>1.7913999999999999E-2</v>
      </c>
      <c r="AE83" s="137">
        <f>Summary_LCIA!V$32</f>
        <v>4.7760999999999999E-5</v>
      </c>
      <c r="AF83" s="137">
        <f>Summary_LCIA!W$32</f>
        <v>7.6970999999999998E-2</v>
      </c>
      <c r="AG83" s="137">
        <f>Summary_LCIA!X$32</f>
        <v>2.2780000000000002E-2</v>
      </c>
      <c r="AH83" s="137">
        <f>Summary_LCIA!Y$32</f>
        <v>1.5582E-2</v>
      </c>
      <c r="AI83" s="137">
        <f>Summary_LCIA!Z$32</f>
        <v>4.1009E-5</v>
      </c>
      <c r="AJ83" s="137">
        <f>Summary_LCIA!AA$32</f>
        <v>2.3355999999999998E-2</v>
      </c>
      <c r="AK83" s="137">
        <f>Summary_LCIA!AB$32</f>
        <v>-2.1823000000000001E-5</v>
      </c>
      <c r="AL83" s="137">
        <f>Summary_LCIA!AC$32</f>
        <v>4.8884000000000003E-8</v>
      </c>
      <c r="AM83" s="137">
        <f>Summary_LCIA!AD$32</f>
        <v>4.1103999999999999E-4</v>
      </c>
      <c r="AN83" s="137">
        <f>Summary_LCIA!AE$32</f>
        <v>8.8612999999999995E-4</v>
      </c>
      <c r="AO83" s="137">
        <f>Summary_LCIA!AF$32</f>
        <v>8.4542000000000005E-4</v>
      </c>
      <c r="AP83" s="137">
        <f>Summary_LCIA!AG$32</f>
        <v>5.1165000000000002E-5</v>
      </c>
      <c r="AQ83" s="137">
        <f>Summary_LCIA!AH$32</f>
        <v>8.7036000000000006E-3</v>
      </c>
      <c r="AR83" s="137">
        <f>Summary_LCIA!AI$32</f>
        <v>9.3154999999999996E-4</v>
      </c>
      <c r="AT83" s="137">
        <f t="shared" si="24"/>
        <v>57.099312400000002</v>
      </c>
      <c r="AU83" s="137">
        <f t="shared" si="25"/>
        <v>832.80480266045402</v>
      </c>
      <c r="AV83" s="137">
        <f t="shared" si="26"/>
        <v>0.88482089279999998</v>
      </c>
      <c r="AW83" s="137">
        <f t="shared" si="27"/>
        <v>56.356584440000006</v>
      </c>
      <c r="AX83" s="137">
        <f t="shared" si="28"/>
        <v>18.4673762</v>
      </c>
      <c r="AY83" s="137">
        <f t="shared" si="29"/>
        <v>3.010232732</v>
      </c>
      <c r="AZ83" s="137">
        <f t="shared" si="30"/>
        <v>8.025662918E-3</v>
      </c>
      <c r="BA83" s="137">
        <f t="shared" si="31"/>
        <v>12.934052898000001</v>
      </c>
      <c r="BB83" s="137">
        <f t="shared" si="32"/>
        <v>3.8279056400000004</v>
      </c>
      <c r="BC83" s="137">
        <f t="shared" si="33"/>
        <v>2.6183681160000001</v>
      </c>
      <c r="BD83" s="137">
        <f t="shared" si="34"/>
        <v>6.8910703420000004E-3</v>
      </c>
      <c r="BE83" s="137">
        <f t="shared" si="35"/>
        <v>3.924695528</v>
      </c>
      <c r="BF83" s="137">
        <f t="shared" si="36"/>
        <v>-3.6670932740000004E-3</v>
      </c>
      <c r="BG83" s="137">
        <f t="shared" si="37"/>
        <v>8.2143695920000012E-6</v>
      </c>
      <c r="BH83" s="137">
        <f t="shared" si="38"/>
        <v>6.907033952000001E-2</v>
      </c>
      <c r="BI83" s="137">
        <f t="shared" si="39"/>
        <v>0.14890351294000001</v>
      </c>
      <c r="BJ83" s="137">
        <f t="shared" si="40"/>
        <v>0.14206268596000002</v>
      </c>
      <c r="BK83" s="137">
        <f t="shared" si="41"/>
        <v>8.5976642700000012E-3</v>
      </c>
      <c r="BL83" s="137">
        <f t="shared" si="42"/>
        <v>1.4625355368000001</v>
      </c>
      <c r="BM83" s="137">
        <f t="shared" si="43"/>
        <v>0.15653579889999999</v>
      </c>
    </row>
    <row r="84" spans="1:65" x14ac:dyDescent="0.25">
      <c r="A84" s="149">
        <v>174</v>
      </c>
      <c r="B84" s="149">
        <v>16</v>
      </c>
      <c r="C84" s="61">
        <v>39.481653999999999</v>
      </c>
      <c r="D84" s="61">
        <v>-106.038352</v>
      </c>
      <c r="E84" s="61" t="s">
        <v>265</v>
      </c>
      <c r="F84" s="149">
        <v>16</v>
      </c>
      <c r="G84" s="61" t="s">
        <v>565</v>
      </c>
      <c r="H84" s="61" t="s">
        <v>645</v>
      </c>
      <c r="I84" s="61">
        <v>39.856096000000001</v>
      </c>
      <c r="J84" s="61">
        <v>-104.673738</v>
      </c>
      <c r="K84" s="61">
        <v>128.04936520000001</v>
      </c>
      <c r="L84" s="61">
        <v>168.03800000000001</v>
      </c>
      <c r="M84" s="61" t="s">
        <v>617</v>
      </c>
      <c r="N84" s="149">
        <v>15</v>
      </c>
      <c r="O84" s="149">
        <v>16</v>
      </c>
      <c r="P84" s="61" t="s">
        <v>565</v>
      </c>
      <c r="Q84" s="61" t="s">
        <v>556</v>
      </c>
      <c r="R84" s="61">
        <v>39.856096299999997</v>
      </c>
      <c r="S84" s="61">
        <v>-104.6737376</v>
      </c>
      <c r="T84" s="61">
        <v>168.03800000000001</v>
      </c>
      <c r="U84" s="61" t="s">
        <v>617</v>
      </c>
      <c r="V84" s="61" t="s">
        <v>617</v>
      </c>
      <c r="W84" s="61"/>
      <c r="Y84" s="137">
        <f>Summary_LCIA!H$32</f>
        <v>0.33979999999999999</v>
      </c>
      <c r="Z84" s="137">
        <f>Summary_LCIA!Q$32</f>
        <v>4.9560504329999997</v>
      </c>
      <c r="AA84" s="137">
        <f>Summary_LCIA!R$32</f>
        <v>5.2655999999999996E-3</v>
      </c>
      <c r="AB84" s="137">
        <f>Summary_LCIA!S$32</f>
        <v>0.33538000000000001</v>
      </c>
      <c r="AC84" s="137">
        <f>Summary_LCIA!T$32</f>
        <v>0.1099</v>
      </c>
      <c r="AD84" s="137">
        <f>Summary_LCIA!U$32</f>
        <v>1.7913999999999999E-2</v>
      </c>
      <c r="AE84" s="137">
        <f>Summary_LCIA!V$32</f>
        <v>4.7760999999999999E-5</v>
      </c>
      <c r="AF84" s="137">
        <f>Summary_LCIA!W$32</f>
        <v>7.6970999999999998E-2</v>
      </c>
      <c r="AG84" s="137">
        <f>Summary_LCIA!X$32</f>
        <v>2.2780000000000002E-2</v>
      </c>
      <c r="AH84" s="137">
        <f>Summary_LCIA!Y$32</f>
        <v>1.5582E-2</v>
      </c>
      <c r="AI84" s="137">
        <f>Summary_LCIA!Z$32</f>
        <v>4.1009E-5</v>
      </c>
      <c r="AJ84" s="137">
        <f>Summary_LCIA!AA$32</f>
        <v>2.3355999999999998E-2</v>
      </c>
      <c r="AK84" s="137">
        <f>Summary_LCIA!AB$32</f>
        <v>-2.1823000000000001E-5</v>
      </c>
      <c r="AL84" s="137">
        <f>Summary_LCIA!AC$32</f>
        <v>4.8884000000000003E-8</v>
      </c>
      <c r="AM84" s="137">
        <f>Summary_LCIA!AD$32</f>
        <v>4.1103999999999999E-4</v>
      </c>
      <c r="AN84" s="137">
        <f>Summary_LCIA!AE$32</f>
        <v>8.8612999999999995E-4</v>
      </c>
      <c r="AO84" s="137">
        <f>Summary_LCIA!AF$32</f>
        <v>8.4542000000000005E-4</v>
      </c>
      <c r="AP84" s="137">
        <f>Summary_LCIA!AG$32</f>
        <v>5.1165000000000002E-5</v>
      </c>
      <c r="AQ84" s="137">
        <f>Summary_LCIA!AH$32</f>
        <v>8.7036000000000006E-3</v>
      </c>
      <c r="AR84" s="137">
        <f>Summary_LCIA!AI$32</f>
        <v>9.3154999999999996E-4</v>
      </c>
      <c r="AT84" s="137">
        <f t="shared" si="24"/>
        <v>57.099312400000002</v>
      </c>
      <c r="AU84" s="137">
        <f t="shared" si="25"/>
        <v>832.80480266045402</v>
      </c>
      <c r="AV84" s="137">
        <f t="shared" si="26"/>
        <v>0.88482089279999998</v>
      </c>
      <c r="AW84" s="137">
        <f t="shared" si="27"/>
        <v>56.356584440000006</v>
      </c>
      <c r="AX84" s="137">
        <f t="shared" si="28"/>
        <v>18.4673762</v>
      </c>
      <c r="AY84" s="137">
        <f t="shared" si="29"/>
        <v>3.010232732</v>
      </c>
      <c r="AZ84" s="137">
        <f t="shared" si="30"/>
        <v>8.025662918E-3</v>
      </c>
      <c r="BA84" s="137">
        <f t="shared" si="31"/>
        <v>12.934052898000001</v>
      </c>
      <c r="BB84" s="137">
        <f t="shared" si="32"/>
        <v>3.8279056400000004</v>
      </c>
      <c r="BC84" s="137">
        <f t="shared" si="33"/>
        <v>2.6183681160000001</v>
      </c>
      <c r="BD84" s="137">
        <f t="shared" si="34"/>
        <v>6.8910703420000004E-3</v>
      </c>
      <c r="BE84" s="137">
        <f t="shared" si="35"/>
        <v>3.924695528</v>
      </c>
      <c r="BF84" s="137">
        <f t="shared" si="36"/>
        <v>-3.6670932740000004E-3</v>
      </c>
      <c r="BG84" s="137">
        <f t="shared" si="37"/>
        <v>8.2143695920000012E-6</v>
      </c>
      <c r="BH84" s="137">
        <f t="shared" si="38"/>
        <v>6.907033952000001E-2</v>
      </c>
      <c r="BI84" s="137">
        <f t="shared" si="39"/>
        <v>0.14890351294000001</v>
      </c>
      <c r="BJ84" s="137">
        <f t="shared" si="40"/>
        <v>0.14206268596000002</v>
      </c>
      <c r="BK84" s="137">
        <f t="shared" si="41"/>
        <v>8.5976642700000012E-3</v>
      </c>
      <c r="BL84" s="137">
        <f t="shared" si="42"/>
        <v>1.4625355368000001</v>
      </c>
      <c r="BM84" s="137">
        <f t="shared" si="43"/>
        <v>0.15653579889999999</v>
      </c>
    </row>
    <row r="85" spans="1:65" x14ac:dyDescent="0.25">
      <c r="A85" s="149">
        <v>140</v>
      </c>
      <c r="B85" s="149">
        <v>1</v>
      </c>
      <c r="C85" s="61">
        <v>32.590955999999998</v>
      </c>
      <c r="D85" s="61">
        <v>-85.492979000000005</v>
      </c>
      <c r="E85" s="61" t="s">
        <v>265</v>
      </c>
      <c r="F85" s="149">
        <v>1</v>
      </c>
      <c r="G85" s="61" t="s">
        <v>565</v>
      </c>
      <c r="H85" s="61" t="s">
        <v>681</v>
      </c>
      <c r="I85" s="61">
        <v>33.640728000000003</v>
      </c>
      <c r="J85" s="61">
        <v>-84.427700000000002</v>
      </c>
      <c r="K85" s="61">
        <v>204.5911443</v>
      </c>
      <c r="L85" s="61">
        <v>172.04300000000001</v>
      </c>
      <c r="M85" s="61" t="s">
        <v>617</v>
      </c>
      <c r="N85" s="149">
        <v>0</v>
      </c>
      <c r="O85" s="149">
        <v>1</v>
      </c>
      <c r="P85" s="61" t="s">
        <v>565</v>
      </c>
      <c r="Q85" s="61" t="s">
        <v>558</v>
      </c>
      <c r="R85" s="61">
        <v>33.640728199999998</v>
      </c>
      <c r="S85" s="61">
        <v>-84.427700099999996</v>
      </c>
      <c r="T85" s="61">
        <v>172.04300000000001</v>
      </c>
      <c r="U85" s="61" t="s">
        <v>617</v>
      </c>
      <c r="V85" s="61" t="s">
        <v>617</v>
      </c>
      <c r="W85" s="61"/>
      <c r="Y85" s="137">
        <f>Summary_LCIA!H$32</f>
        <v>0.33979999999999999</v>
      </c>
      <c r="Z85" s="137">
        <f>Summary_LCIA!Q$32</f>
        <v>4.9560504329999997</v>
      </c>
      <c r="AA85" s="137">
        <f>Summary_LCIA!R$32</f>
        <v>5.2655999999999996E-3</v>
      </c>
      <c r="AB85" s="137">
        <f>Summary_LCIA!S$32</f>
        <v>0.33538000000000001</v>
      </c>
      <c r="AC85" s="137">
        <f>Summary_LCIA!T$32</f>
        <v>0.1099</v>
      </c>
      <c r="AD85" s="137">
        <f>Summary_LCIA!U$32</f>
        <v>1.7913999999999999E-2</v>
      </c>
      <c r="AE85" s="137">
        <f>Summary_LCIA!V$32</f>
        <v>4.7760999999999999E-5</v>
      </c>
      <c r="AF85" s="137">
        <f>Summary_LCIA!W$32</f>
        <v>7.6970999999999998E-2</v>
      </c>
      <c r="AG85" s="137">
        <f>Summary_LCIA!X$32</f>
        <v>2.2780000000000002E-2</v>
      </c>
      <c r="AH85" s="137">
        <f>Summary_LCIA!Y$32</f>
        <v>1.5582E-2</v>
      </c>
      <c r="AI85" s="137">
        <f>Summary_LCIA!Z$32</f>
        <v>4.1009E-5</v>
      </c>
      <c r="AJ85" s="137">
        <f>Summary_LCIA!AA$32</f>
        <v>2.3355999999999998E-2</v>
      </c>
      <c r="AK85" s="137">
        <f>Summary_LCIA!AB$32</f>
        <v>-2.1823000000000001E-5</v>
      </c>
      <c r="AL85" s="137">
        <f>Summary_LCIA!AC$32</f>
        <v>4.8884000000000003E-8</v>
      </c>
      <c r="AM85" s="137">
        <f>Summary_LCIA!AD$32</f>
        <v>4.1103999999999999E-4</v>
      </c>
      <c r="AN85" s="137">
        <f>Summary_LCIA!AE$32</f>
        <v>8.8612999999999995E-4</v>
      </c>
      <c r="AO85" s="137">
        <f>Summary_LCIA!AF$32</f>
        <v>8.4542000000000005E-4</v>
      </c>
      <c r="AP85" s="137">
        <f>Summary_LCIA!AG$32</f>
        <v>5.1165000000000002E-5</v>
      </c>
      <c r="AQ85" s="137">
        <f>Summary_LCIA!AH$32</f>
        <v>8.7036000000000006E-3</v>
      </c>
      <c r="AR85" s="137">
        <f>Summary_LCIA!AI$32</f>
        <v>9.3154999999999996E-4</v>
      </c>
      <c r="AT85" s="137">
        <f t="shared" si="24"/>
        <v>58.460211399999999</v>
      </c>
      <c r="AU85" s="137">
        <f t="shared" si="25"/>
        <v>852.65378464461901</v>
      </c>
      <c r="AV85" s="137">
        <f t="shared" si="26"/>
        <v>0.90590962079999993</v>
      </c>
      <c r="AW85" s="137">
        <f t="shared" si="27"/>
        <v>57.699781340000001</v>
      </c>
      <c r="AX85" s="137">
        <f t="shared" si="28"/>
        <v>18.907525700000001</v>
      </c>
      <c r="AY85" s="137">
        <f t="shared" si="29"/>
        <v>3.081978302</v>
      </c>
      <c r="AZ85" s="137">
        <f t="shared" si="30"/>
        <v>8.216945723E-3</v>
      </c>
      <c r="BA85" s="137">
        <f t="shared" si="31"/>
        <v>13.242321753000001</v>
      </c>
      <c r="BB85" s="137">
        <f t="shared" si="32"/>
        <v>3.9191395400000006</v>
      </c>
      <c r="BC85" s="137">
        <f t="shared" si="33"/>
        <v>2.6807740260000004</v>
      </c>
      <c r="BD85" s="137">
        <f t="shared" si="34"/>
        <v>7.0553113870000005E-3</v>
      </c>
      <c r="BE85" s="137">
        <f t="shared" si="35"/>
        <v>4.0182363079999996</v>
      </c>
      <c r="BF85" s="137">
        <f t="shared" si="36"/>
        <v>-3.7544943890000003E-3</v>
      </c>
      <c r="BG85" s="137">
        <f t="shared" si="37"/>
        <v>8.4101500120000016E-6</v>
      </c>
      <c r="BH85" s="137">
        <f t="shared" si="38"/>
        <v>7.0716554720000005E-2</v>
      </c>
      <c r="BI85" s="137">
        <f t="shared" si="39"/>
        <v>0.15245246359</v>
      </c>
      <c r="BJ85" s="137">
        <f t="shared" si="40"/>
        <v>0.14544859306000002</v>
      </c>
      <c r="BK85" s="137">
        <f t="shared" si="41"/>
        <v>8.802580095E-3</v>
      </c>
      <c r="BL85" s="137">
        <f t="shared" si="42"/>
        <v>1.4973934548000001</v>
      </c>
      <c r="BM85" s="137">
        <f t="shared" si="43"/>
        <v>0.16026665665000001</v>
      </c>
    </row>
    <row r="86" spans="1:65" x14ac:dyDescent="0.25">
      <c r="A86" s="149">
        <v>141</v>
      </c>
      <c r="B86" s="149">
        <v>1</v>
      </c>
      <c r="C86" s="61">
        <v>32.590955999999998</v>
      </c>
      <c r="D86" s="61">
        <v>-85.492979000000005</v>
      </c>
      <c r="E86" s="61" t="s">
        <v>265</v>
      </c>
      <c r="F86" s="149">
        <v>1</v>
      </c>
      <c r="G86" s="61" t="s">
        <v>565</v>
      </c>
      <c r="H86" s="61" t="s">
        <v>681</v>
      </c>
      <c r="I86" s="61">
        <v>33.640728000000003</v>
      </c>
      <c r="J86" s="61">
        <v>-84.427700000000002</v>
      </c>
      <c r="K86" s="61">
        <v>204.5911443</v>
      </c>
      <c r="L86" s="61">
        <v>172.04300000000001</v>
      </c>
      <c r="M86" s="61" t="s">
        <v>617</v>
      </c>
      <c r="N86" s="149">
        <v>0</v>
      </c>
      <c r="O86" s="149">
        <v>1</v>
      </c>
      <c r="P86" s="61" t="s">
        <v>565</v>
      </c>
      <c r="Q86" s="61" t="s">
        <v>558</v>
      </c>
      <c r="R86" s="61">
        <v>33.640728199999998</v>
      </c>
      <c r="S86" s="61">
        <v>-84.427700099999996</v>
      </c>
      <c r="T86" s="61">
        <v>172.04300000000001</v>
      </c>
      <c r="U86" s="61" t="s">
        <v>617</v>
      </c>
      <c r="V86" s="61" t="s">
        <v>617</v>
      </c>
      <c r="W86" s="61"/>
      <c r="Y86" s="137">
        <f>Summary_LCIA!H$32</f>
        <v>0.33979999999999999</v>
      </c>
      <c r="Z86" s="137">
        <f>Summary_LCIA!Q$32</f>
        <v>4.9560504329999997</v>
      </c>
      <c r="AA86" s="137">
        <f>Summary_LCIA!R$32</f>
        <v>5.2655999999999996E-3</v>
      </c>
      <c r="AB86" s="137">
        <f>Summary_LCIA!S$32</f>
        <v>0.33538000000000001</v>
      </c>
      <c r="AC86" s="137">
        <f>Summary_LCIA!T$32</f>
        <v>0.1099</v>
      </c>
      <c r="AD86" s="137">
        <f>Summary_LCIA!U$32</f>
        <v>1.7913999999999999E-2</v>
      </c>
      <c r="AE86" s="137">
        <f>Summary_LCIA!V$32</f>
        <v>4.7760999999999999E-5</v>
      </c>
      <c r="AF86" s="137">
        <f>Summary_LCIA!W$32</f>
        <v>7.6970999999999998E-2</v>
      </c>
      <c r="AG86" s="137">
        <f>Summary_LCIA!X$32</f>
        <v>2.2780000000000002E-2</v>
      </c>
      <c r="AH86" s="137">
        <f>Summary_LCIA!Y$32</f>
        <v>1.5582E-2</v>
      </c>
      <c r="AI86" s="137">
        <f>Summary_LCIA!Z$32</f>
        <v>4.1009E-5</v>
      </c>
      <c r="AJ86" s="137">
        <f>Summary_LCIA!AA$32</f>
        <v>2.3355999999999998E-2</v>
      </c>
      <c r="AK86" s="137">
        <f>Summary_LCIA!AB$32</f>
        <v>-2.1823000000000001E-5</v>
      </c>
      <c r="AL86" s="137">
        <f>Summary_LCIA!AC$32</f>
        <v>4.8884000000000003E-8</v>
      </c>
      <c r="AM86" s="137">
        <f>Summary_LCIA!AD$32</f>
        <v>4.1103999999999999E-4</v>
      </c>
      <c r="AN86" s="137">
        <f>Summary_LCIA!AE$32</f>
        <v>8.8612999999999995E-4</v>
      </c>
      <c r="AO86" s="137">
        <f>Summary_LCIA!AF$32</f>
        <v>8.4542000000000005E-4</v>
      </c>
      <c r="AP86" s="137">
        <f>Summary_LCIA!AG$32</f>
        <v>5.1165000000000002E-5</v>
      </c>
      <c r="AQ86" s="137">
        <f>Summary_LCIA!AH$32</f>
        <v>8.7036000000000006E-3</v>
      </c>
      <c r="AR86" s="137">
        <f>Summary_LCIA!AI$32</f>
        <v>9.3154999999999996E-4</v>
      </c>
      <c r="AT86" s="137">
        <f t="shared" si="24"/>
        <v>58.460211399999999</v>
      </c>
      <c r="AU86" s="137">
        <f t="shared" si="25"/>
        <v>852.65378464461901</v>
      </c>
      <c r="AV86" s="137">
        <f t="shared" si="26"/>
        <v>0.90590962079999993</v>
      </c>
      <c r="AW86" s="137">
        <f t="shared" si="27"/>
        <v>57.699781340000001</v>
      </c>
      <c r="AX86" s="137">
        <f t="shared" si="28"/>
        <v>18.907525700000001</v>
      </c>
      <c r="AY86" s="137">
        <f t="shared" si="29"/>
        <v>3.081978302</v>
      </c>
      <c r="AZ86" s="137">
        <f t="shared" si="30"/>
        <v>8.216945723E-3</v>
      </c>
      <c r="BA86" s="137">
        <f t="shared" si="31"/>
        <v>13.242321753000001</v>
      </c>
      <c r="BB86" s="137">
        <f t="shared" si="32"/>
        <v>3.9191395400000006</v>
      </c>
      <c r="BC86" s="137">
        <f t="shared" si="33"/>
        <v>2.6807740260000004</v>
      </c>
      <c r="BD86" s="137">
        <f t="shared" si="34"/>
        <v>7.0553113870000005E-3</v>
      </c>
      <c r="BE86" s="137">
        <f t="shared" si="35"/>
        <v>4.0182363079999996</v>
      </c>
      <c r="BF86" s="137">
        <f t="shared" si="36"/>
        <v>-3.7544943890000003E-3</v>
      </c>
      <c r="BG86" s="137">
        <f t="shared" si="37"/>
        <v>8.4101500120000016E-6</v>
      </c>
      <c r="BH86" s="137">
        <f t="shared" si="38"/>
        <v>7.0716554720000005E-2</v>
      </c>
      <c r="BI86" s="137">
        <f t="shared" si="39"/>
        <v>0.15245246359</v>
      </c>
      <c r="BJ86" s="137">
        <f t="shared" si="40"/>
        <v>0.14544859306000002</v>
      </c>
      <c r="BK86" s="137">
        <f t="shared" si="41"/>
        <v>8.802580095E-3</v>
      </c>
      <c r="BL86" s="137">
        <f t="shared" si="42"/>
        <v>1.4973934548000001</v>
      </c>
      <c r="BM86" s="137">
        <f t="shared" si="43"/>
        <v>0.16026665665000001</v>
      </c>
    </row>
    <row r="87" spans="1:65" x14ac:dyDescent="0.25">
      <c r="A87" s="149">
        <v>379</v>
      </c>
      <c r="B87" s="149">
        <v>43</v>
      </c>
      <c r="C87" s="61">
        <v>39.744655000000002</v>
      </c>
      <c r="D87" s="61">
        <v>-75.548390999999995</v>
      </c>
      <c r="E87" s="61" t="s">
        <v>265</v>
      </c>
      <c r="F87" s="149">
        <v>80</v>
      </c>
      <c r="G87" s="61" t="s">
        <v>284</v>
      </c>
      <c r="H87" s="61" t="s">
        <v>715</v>
      </c>
      <c r="I87" s="61">
        <v>39.872929999999997</v>
      </c>
      <c r="J87" s="61">
        <v>-75.243667000000002</v>
      </c>
      <c r="K87" s="61">
        <v>34.755050079999997</v>
      </c>
      <c r="L87" s="61">
        <v>33.222000000000001</v>
      </c>
      <c r="M87" s="61" t="s">
        <v>617</v>
      </c>
      <c r="N87" s="149">
        <v>42</v>
      </c>
      <c r="O87" s="149">
        <v>43</v>
      </c>
      <c r="P87" s="61" t="s">
        <v>565</v>
      </c>
      <c r="Q87" s="61" t="s">
        <v>555</v>
      </c>
      <c r="R87" s="61">
        <v>40.6895314</v>
      </c>
      <c r="S87" s="61">
        <v>-74.174462399999996</v>
      </c>
      <c r="T87" s="61">
        <v>184.57</v>
      </c>
      <c r="U87" s="61" t="s">
        <v>617</v>
      </c>
      <c r="V87" s="61" t="s">
        <v>617</v>
      </c>
      <c r="W87" s="61"/>
      <c r="Y87" s="137">
        <f>Summary_LCIA!H$32</f>
        <v>0.33979999999999999</v>
      </c>
      <c r="Z87" s="137">
        <f>Summary_LCIA!Q$32</f>
        <v>4.9560504329999997</v>
      </c>
      <c r="AA87" s="137">
        <f>Summary_LCIA!R$32</f>
        <v>5.2655999999999996E-3</v>
      </c>
      <c r="AB87" s="137">
        <f>Summary_LCIA!S$32</f>
        <v>0.33538000000000001</v>
      </c>
      <c r="AC87" s="137">
        <f>Summary_LCIA!T$32</f>
        <v>0.1099</v>
      </c>
      <c r="AD87" s="137">
        <f>Summary_LCIA!U$32</f>
        <v>1.7913999999999999E-2</v>
      </c>
      <c r="AE87" s="137">
        <f>Summary_LCIA!V$32</f>
        <v>4.7760999999999999E-5</v>
      </c>
      <c r="AF87" s="137">
        <f>Summary_LCIA!W$32</f>
        <v>7.6970999999999998E-2</v>
      </c>
      <c r="AG87" s="137">
        <f>Summary_LCIA!X$32</f>
        <v>2.2780000000000002E-2</v>
      </c>
      <c r="AH87" s="137">
        <f>Summary_LCIA!Y$32</f>
        <v>1.5582E-2</v>
      </c>
      <c r="AI87" s="137">
        <f>Summary_LCIA!Z$32</f>
        <v>4.1009E-5</v>
      </c>
      <c r="AJ87" s="137">
        <f>Summary_LCIA!AA$32</f>
        <v>2.3355999999999998E-2</v>
      </c>
      <c r="AK87" s="137">
        <f>Summary_LCIA!AB$32</f>
        <v>-2.1823000000000001E-5</v>
      </c>
      <c r="AL87" s="137">
        <f>Summary_LCIA!AC$32</f>
        <v>4.8884000000000003E-8</v>
      </c>
      <c r="AM87" s="137">
        <f>Summary_LCIA!AD$32</f>
        <v>4.1103999999999999E-4</v>
      </c>
      <c r="AN87" s="137">
        <f>Summary_LCIA!AE$32</f>
        <v>8.8612999999999995E-4</v>
      </c>
      <c r="AO87" s="137">
        <f>Summary_LCIA!AF$32</f>
        <v>8.4542000000000005E-4</v>
      </c>
      <c r="AP87" s="137">
        <f>Summary_LCIA!AG$32</f>
        <v>5.1165000000000002E-5</v>
      </c>
      <c r="AQ87" s="137">
        <f>Summary_LCIA!AH$32</f>
        <v>8.7036000000000006E-3</v>
      </c>
      <c r="AR87" s="137">
        <f>Summary_LCIA!AI$32</f>
        <v>9.3154999999999996E-4</v>
      </c>
      <c r="AT87" s="137">
        <f t="shared" si="24"/>
        <v>62.716885999999995</v>
      </c>
      <c r="AU87" s="137">
        <f t="shared" si="25"/>
        <v>914.73822841880997</v>
      </c>
      <c r="AV87" s="137">
        <f t="shared" si="26"/>
        <v>0.97187179199999985</v>
      </c>
      <c r="AW87" s="137">
        <f t="shared" si="27"/>
        <v>61.901086599999999</v>
      </c>
      <c r="AX87" s="137">
        <f t="shared" si="28"/>
        <v>20.284243</v>
      </c>
      <c r="AY87" s="137">
        <f t="shared" si="29"/>
        <v>3.3063869799999996</v>
      </c>
      <c r="AZ87" s="137">
        <f t="shared" si="30"/>
        <v>8.8152477699999995E-3</v>
      </c>
      <c r="BA87" s="137">
        <f t="shared" si="31"/>
        <v>14.206537469999999</v>
      </c>
      <c r="BB87" s="137">
        <f t="shared" si="32"/>
        <v>4.2045045999999999</v>
      </c>
      <c r="BC87" s="137">
        <f t="shared" si="33"/>
        <v>2.8759697399999999</v>
      </c>
      <c r="BD87" s="137">
        <f t="shared" si="34"/>
        <v>7.5690311299999999E-3</v>
      </c>
      <c r="BE87" s="137">
        <f t="shared" si="35"/>
        <v>4.3108169199999997</v>
      </c>
      <c r="BF87" s="137">
        <f t="shared" si="36"/>
        <v>-4.0278711100000001E-3</v>
      </c>
      <c r="BG87" s="137">
        <f t="shared" si="37"/>
        <v>9.0225198800000006E-6</v>
      </c>
      <c r="BH87" s="137">
        <f t="shared" si="38"/>
        <v>7.5865652800000002E-2</v>
      </c>
      <c r="BI87" s="137">
        <f t="shared" si="39"/>
        <v>0.16355301409999998</v>
      </c>
      <c r="BJ87" s="137">
        <f t="shared" si="40"/>
        <v>0.15603916940000001</v>
      </c>
      <c r="BK87" s="137">
        <f t="shared" si="41"/>
        <v>9.4435240500000007E-3</v>
      </c>
      <c r="BL87" s="137">
        <f t="shared" si="42"/>
        <v>1.606423452</v>
      </c>
      <c r="BM87" s="137">
        <f t="shared" si="43"/>
        <v>0.17193618349999998</v>
      </c>
    </row>
    <row r="88" spans="1:65" x14ac:dyDescent="0.25">
      <c r="A88" s="149">
        <v>189</v>
      </c>
      <c r="B88" s="149">
        <v>1</v>
      </c>
      <c r="C88" s="61">
        <v>35.045630000000003</v>
      </c>
      <c r="D88" s="61">
        <v>-85.30968</v>
      </c>
      <c r="E88" s="61" t="s">
        <v>265</v>
      </c>
      <c r="F88" s="149">
        <v>91</v>
      </c>
      <c r="G88" s="61" t="s">
        <v>618</v>
      </c>
      <c r="H88" s="61" t="s">
        <v>619</v>
      </c>
      <c r="I88" s="61">
        <v>36.126317</v>
      </c>
      <c r="J88" s="61">
        <v>-86.677370999999994</v>
      </c>
      <c r="K88" s="61">
        <v>216.8818096</v>
      </c>
      <c r="L88" s="61">
        <v>207.744</v>
      </c>
      <c r="M88" s="61" t="s">
        <v>617</v>
      </c>
      <c r="N88" s="149">
        <v>0</v>
      </c>
      <c r="O88" s="149">
        <v>1</v>
      </c>
      <c r="P88" s="61" t="s">
        <v>565</v>
      </c>
      <c r="Q88" s="61" t="s">
        <v>558</v>
      </c>
      <c r="R88" s="61">
        <v>33.640728199999998</v>
      </c>
      <c r="S88" s="61">
        <v>-84.427700099999996</v>
      </c>
      <c r="T88" s="61">
        <v>202.86799999999999</v>
      </c>
      <c r="U88" s="61" t="s">
        <v>617</v>
      </c>
      <c r="V88" s="61" t="s">
        <v>617</v>
      </c>
      <c r="W88" s="61"/>
      <c r="Y88" s="137">
        <f>Summary_LCIA!H$32</f>
        <v>0.33979999999999999</v>
      </c>
      <c r="Z88" s="137">
        <f>Summary_LCIA!Q$32</f>
        <v>4.9560504329999997</v>
      </c>
      <c r="AA88" s="137">
        <f>Summary_LCIA!R$32</f>
        <v>5.2655999999999996E-3</v>
      </c>
      <c r="AB88" s="137">
        <f>Summary_LCIA!S$32</f>
        <v>0.33538000000000001</v>
      </c>
      <c r="AC88" s="137">
        <f>Summary_LCIA!T$32</f>
        <v>0.1099</v>
      </c>
      <c r="AD88" s="137">
        <f>Summary_LCIA!U$32</f>
        <v>1.7913999999999999E-2</v>
      </c>
      <c r="AE88" s="137">
        <f>Summary_LCIA!V$32</f>
        <v>4.7760999999999999E-5</v>
      </c>
      <c r="AF88" s="137">
        <f>Summary_LCIA!W$32</f>
        <v>7.6970999999999998E-2</v>
      </c>
      <c r="AG88" s="137">
        <f>Summary_LCIA!X$32</f>
        <v>2.2780000000000002E-2</v>
      </c>
      <c r="AH88" s="137">
        <f>Summary_LCIA!Y$32</f>
        <v>1.5582E-2</v>
      </c>
      <c r="AI88" s="137">
        <f>Summary_LCIA!Z$32</f>
        <v>4.1009E-5</v>
      </c>
      <c r="AJ88" s="137">
        <f>Summary_LCIA!AA$32</f>
        <v>2.3355999999999998E-2</v>
      </c>
      <c r="AK88" s="137">
        <f>Summary_LCIA!AB$32</f>
        <v>-2.1823000000000001E-5</v>
      </c>
      <c r="AL88" s="137">
        <f>Summary_LCIA!AC$32</f>
        <v>4.8884000000000003E-8</v>
      </c>
      <c r="AM88" s="137">
        <f>Summary_LCIA!AD$32</f>
        <v>4.1103999999999999E-4</v>
      </c>
      <c r="AN88" s="137">
        <f>Summary_LCIA!AE$32</f>
        <v>8.8612999999999995E-4</v>
      </c>
      <c r="AO88" s="137">
        <f>Summary_LCIA!AF$32</f>
        <v>8.4542000000000005E-4</v>
      </c>
      <c r="AP88" s="137">
        <f>Summary_LCIA!AG$32</f>
        <v>5.1165000000000002E-5</v>
      </c>
      <c r="AQ88" s="137">
        <f>Summary_LCIA!AH$32</f>
        <v>8.7036000000000006E-3</v>
      </c>
      <c r="AR88" s="137">
        <f>Summary_LCIA!AI$32</f>
        <v>9.3154999999999996E-4</v>
      </c>
      <c r="AT88" s="137">
        <f t="shared" si="24"/>
        <v>68.934546400000002</v>
      </c>
      <c r="AU88" s="137">
        <f t="shared" si="25"/>
        <v>1005.424039241844</v>
      </c>
      <c r="AV88" s="137">
        <f t="shared" si="26"/>
        <v>1.0682217407999999</v>
      </c>
      <c r="AW88" s="137">
        <f t="shared" si="27"/>
        <v>68.037869839999999</v>
      </c>
      <c r="AX88" s="137">
        <f t="shared" si="28"/>
        <v>22.2951932</v>
      </c>
      <c r="AY88" s="137">
        <f t="shared" si="29"/>
        <v>3.6341773519999996</v>
      </c>
      <c r="AZ88" s="137">
        <f t="shared" si="30"/>
        <v>9.6891785479999992E-3</v>
      </c>
      <c r="BA88" s="137">
        <f t="shared" si="31"/>
        <v>15.614952828</v>
      </c>
      <c r="BB88" s="137">
        <f t="shared" si="32"/>
        <v>4.6213330400000006</v>
      </c>
      <c r="BC88" s="137">
        <f t="shared" si="33"/>
        <v>3.1610891759999999</v>
      </c>
      <c r="BD88" s="137">
        <f t="shared" si="34"/>
        <v>8.3194138119999997E-3</v>
      </c>
      <c r="BE88" s="137">
        <f t="shared" si="35"/>
        <v>4.7381850079999994</v>
      </c>
      <c r="BF88" s="137">
        <f t="shared" si="36"/>
        <v>-4.4271883639999997E-3</v>
      </c>
      <c r="BG88" s="137">
        <f t="shared" si="37"/>
        <v>9.916999312000001E-6</v>
      </c>
      <c r="BH88" s="137">
        <f t="shared" si="38"/>
        <v>8.3386862719999996E-2</v>
      </c>
      <c r="BI88" s="137">
        <f t="shared" si="39"/>
        <v>0.17976742084</v>
      </c>
      <c r="BJ88" s="137">
        <f t="shared" si="40"/>
        <v>0.17150866456</v>
      </c>
      <c r="BK88" s="137">
        <f t="shared" si="41"/>
        <v>1.037974122E-2</v>
      </c>
      <c r="BL88" s="137">
        <f t="shared" si="42"/>
        <v>1.7656819248</v>
      </c>
      <c r="BM88" s="137">
        <f t="shared" si="43"/>
        <v>0.18898168539999999</v>
      </c>
    </row>
    <row r="89" spans="1:65" x14ac:dyDescent="0.25">
      <c r="A89" s="149">
        <v>190</v>
      </c>
      <c r="B89" s="149">
        <v>1</v>
      </c>
      <c r="C89" s="61">
        <v>35.045630000000003</v>
      </c>
      <c r="D89" s="61">
        <v>-85.30968</v>
      </c>
      <c r="E89" s="61" t="s">
        <v>265</v>
      </c>
      <c r="F89" s="149">
        <v>91</v>
      </c>
      <c r="G89" s="61" t="s">
        <v>618</v>
      </c>
      <c r="H89" s="61" t="s">
        <v>619</v>
      </c>
      <c r="I89" s="61">
        <v>36.126317</v>
      </c>
      <c r="J89" s="61">
        <v>-86.677370999999994</v>
      </c>
      <c r="K89" s="61">
        <v>216.8818096</v>
      </c>
      <c r="L89" s="61">
        <v>207.744</v>
      </c>
      <c r="M89" s="61" t="s">
        <v>617</v>
      </c>
      <c r="N89" s="149">
        <v>0</v>
      </c>
      <c r="O89" s="149">
        <v>1</v>
      </c>
      <c r="P89" s="61" t="s">
        <v>565</v>
      </c>
      <c r="Q89" s="61" t="s">
        <v>558</v>
      </c>
      <c r="R89" s="61">
        <v>33.640728199999998</v>
      </c>
      <c r="S89" s="61">
        <v>-84.427700099999996</v>
      </c>
      <c r="T89" s="61">
        <v>202.86799999999999</v>
      </c>
      <c r="U89" s="61" t="s">
        <v>617</v>
      </c>
      <c r="V89" s="61" t="s">
        <v>617</v>
      </c>
      <c r="W89" s="61"/>
      <c r="Y89" s="137">
        <f>Summary_LCIA!H$32</f>
        <v>0.33979999999999999</v>
      </c>
      <c r="Z89" s="137">
        <f>Summary_LCIA!Q$32</f>
        <v>4.9560504329999997</v>
      </c>
      <c r="AA89" s="137">
        <f>Summary_LCIA!R$32</f>
        <v>5.2655999999999996E-3</v>
      </c>
      <c r="AB89" s="137">
        <f>Summary_LCIA!S$32</f>
        <v>0.33538000000000001</v>
      </c>
      <c r="AC89" s="137">
        <f>Summary_LCIA!T$32</f>
        <v>0.1099</v>
      </c>
      <c r="AD89" s="137">
        <f>Summary_LCIA!U$32</f>
        <v>1.7913999999999999E-2</v>
      </c>
      <c r="AE89" s="137">
        <f>Summary_LCIA!V$32</f>
        <v>4.7760999999999999E-5</v>
      </c>
      <c r="AF89" s="137">
        <f>Summary_LCIA!W$32</f>
        <v>7.6970999999999998E-2</v>
      </c>
      <c r="AG89" s="137">
        <f>Summary_LCIA!X$32</f>
        <v>2.2780000000000002E-2</v>
      </c>
      <c r="AH89" s="137">
        <f>Summary_LCIA!Y$32</f>
        <v>1.5582E-2</v>
      </c>
      <c r="AI89" s="137">
        <f>Summary_LCIA!Z$32</f>
        <v>4.1009E-5</v>
      </c>
      <c r="AJ89" s="137">
        <f>Summary_LCIA!AA$32</f>
        <v>2.3355999999999998E-2</v>
      </c>
      <c r="AK89" s="137">
        <f>Summary_LCIA!AB$32</f>
        <v>-2.1823000000000001E-5</v>
      </c>
      <c r="AL89" s="137">
        <f>Summary_LCIA!AC$32</f>
        <v>4.8884000000000003E-8</v>
      </c>
      <c r="AM89" s="137">
        <f>Summary_LCIA!AD$32</f>
        <v>4.1103999999999999E-4</v>
      </c>
      <c r="AN89" s="137">
        <f>Summary_LCIA!AE$32</f>
        <v>8.8612999999999995E-4</v>
      </c>
      <c r="AO89" s="137">
        <f>Summary_LCIA!AF$32</f>
        <v>8.4542000000000005E-4</v>
      </c>
      <c r="AP89" s="137">
        <f>Summary_LCIA!AG$32</f>
        <v>5.1165000000000002E-5</v>
      </c>
      <c r="AQ89" s="137">
        <f>Summary_LCIA!AH$32</f>
        <v>8.7036000000000006E-3</v>
      </c>
      <c r="AR89" s="137">
        <f>Summary_LCIA!AI$32</f>
        <v>9.3154999999999996E-4</v>
      </c>
      <c r="AT89" s="137">
        <f t="shared" si="24"/>
        <v>68.934546400000002</v>
      </c>
      <c r="AU89" s="137">
        <f t="shared" si="25"/>
        <v>1005.424039241844</v>
      </c>
      <c r="AV89" s="137">
        <f t="shared" si="26"/>
        <v>1.0682217407999999</v>
      </c>
      <c r="AW89" s="137">
        <f t="shared" si="27"/>
        <v>68.037869839999999</v>
      </c>
      <c r="AX89" s="137">
        <f t="shared" si="28"/>
        <v>22.2951932</v>
      </c>
      <c r="AY89" s="137">
        <f t="shared" si="29"/>
        <v>3.6341773519999996</v>
      </c>
      <c r="AZ89" s="137">
        <f t="shared" si="30"/>
        <v>9.6891785479999992E-3</v>
      </c>
      <c r="BA89" s="137">
        <f t="shared" si="31"/>
        <v>15.614952828</v>
      </c>
      <c r="BB89" s="137">
        <f t="shared" si="32"/>
        <v>4.6213330400000006</v>
      </c>
      <c r="BC89" s="137">
        <f t="shared" si="33"/>
        <v>3.1610891759999999</v>
      </c>
      <c r="BD89" s="137">
        <f t="shared" si="34"/>
        <v>8.3194138119999997E-3</v>
      </c>
      <c r="BE89" s="137">
        <f t="shared" si="35"/>
        <v>4.7381850079999994</v>
      </c>
      <c r="BF89" s="137">
        <f t="shared" si="36"/>
        <v>-4.4271883639999997E-3</v>
      </c>
      <c r="BG89" s="137">
        <f t="shared" si="37"/>
        <v>9.916999312000001E-6</v>
      </c>
      <c r="BH89" s="137">
        <f t="shared" si="38"/>
        <v>8.3386862719999996E-2</v>
      </c>
      <c r="BI89" s="137">
        <f t="shared" si="39"/>
        <v>0.17976742084</v>
      </c>
      <c r="BJ89" s="137">
        <f t="shared" si="40"/>
        <v>0.17150866456</v>
      </c>
      <c r="BK89" s="137">
        <f t="shared" si="41"/>
        <v>1.037974122E-2</v>
      </c>
      <c r="BL89" s="137">
        <f t="shared" si="42"/>
        <v>1.7656819248</v>
      </c>
      <c r="BM89" s="137">
        <f t="shared" si="43"/>
        <v>0.18898168539999999</v>
      </c>
    </row>
    <row r="90" spans="1:65" x14ac:dyDescent="0.25">
      <c r="A90" s="149">
        <v>18</v>
      </c>
      <c r="B90" s="149">
        <v>1</v>
      </c>
      <c r="C90" s="61">
        <v>34.679338999999999</v>
      </c>
      <c r="D90" s="61">
        <v>-82.835136000000006</v>
      </c>
      <c r="E90" s="61" t="s">
        <v>265</v>
      </c>
      <c r="F90" s="149">
        <v>34</v>
      </c>
      <c r="G90" s="61" t="s">
        <v>565</v>
      </c>
      <c r="H90" s="61" t="s">
        <v>633</v>
      </c>
      <c r="I90" s="61">
        <v>35.214402999999997</v>
      </c>
      <c r="J90" s="61">
        <v>-80.947315000000003</v>
      </c>
      <c r="K90" s="61">
        <v>198.3898093</v>
      </c>
      <c r="L90" s="61">
        <v>211.65</v>
      </c>
      <c r="M90" s="61" t="s">
        <v>617</v>
      </c>
      <c r="N90" s="149">
        <v>0</v>
      </c>
      <c r="O90" s="149">
        <v>1</v>
      </c>
      <c r="P90" s="61" t="s">
        <v>565</v>
      </c>
      <c r="Q90" s="61" t="s">
        <v>558</v>
      </c>
      <c r="R90" s="61">
        <v>33.640728199999998</v>
      </c>
      <c r="S90" s="61">
        <v>-84.427700099999996</v>
      </c>
      <c r="T90" s="61">
        <v>212.685</v>
      </c>
      <c r="U90" s="61" t="s">
        <v>617</v>
      </c>
      <c r="V90" s="61" t="s">
        <v>617</v>
      </c>
      <c r="W90" s="61"/>
      <c r="Y90" s="137">
        <f>Summary_LCIA!H$32</f>
        <v>0.33979999999999999</v>
      </c>
      <c r="Z90" s="137">
        <f>Summary_LCIA!Q$32</f>
        <v>4.9560504329999997</v>
      </c>
      <c r="AA90" s="137">
        <f>Summary_LCIA!R$32</f>
        <v>5.2655999999999996E-3</v>
      </c>
      <c r="AB90" s="137">
        <f>Summary_LCIA!S$32</f>
        <v>0.33538000000000001</v>
      </c>
      <c r="AC90" s="137">
        <f>Summary_LCIA!T$32</f>
        <v>0.1099</v>
      </c>
      <c r="AD90" s="137">
        <f>Summary_LCIA!U$32</f>
        <v>1.7913999999999999E-2</v>
      </c>
      <c r="AE90" s="137">
        <f>Summary_LCIA!V$32</f>
        <v>4.7760999999999999E-5</v>
      </c>
      <c r="AF90" s="137">
        <f>Summary_LCIA!W$32</f>
        <v>7.6970999999999998E-2</v>
      </c>
      <c r="AG90" s="137">
        <f>Summary_LCIA!X$32</f>
        <v>2.2780000000000002E-2</v>
      </c>
      <c r="AH90" s="137">
        <f>Summary_LCIA!Y$32</f>
        <v>1.5582E-2</v>
      </c>
      <c r="AI90" s="137">
        <f>Summary_LCIA!Z$32</f>
        <v>4.1009E-5</v>
      </c>
      <c r="AJ90" s="137">
        <f>Summary_LCIA!AA$32</f>
        <v>2.3355999999999998E-2</v>
      </c>
      <c r="AK90" s="137">
        <f>Summary_LCIA!AB$32</f>
        <v>-2.1823000000000001E-5</v>
      </c>
      <c r="AL90" s="137">
        <f>Summary_LCIA!AC$32</f>
        <v>4.8884000000000003E-8</v>
      </c>
      <c r="AM90" s="137">
        <f>Summary_LCIA!AD$32</f>
        <v>4.1103999999999999E-4</v>
      </c>
      <c r="AN90" s="137">
        <f>Summary_LCIA!AE$32</f>
        <v>8.8612999999999995E-4</v>
      </c>
      <c r="AO90" s="137">
        <f>Summary_LCIA!AF$32</f>
        <v>8.4542000000000005E-4</v>
      </c>
      <c r="AP90" s="137">
        <f>Summary_LCIA!AG$32</f>
        <v>5.1165000000000002E-5</v>
      </c>
      <c r="AQ90" s="137">
        <f>Summary_LCIA!AH$32</f>
        <v>8.7036000000000006E-3</v>
      </c>
      <c r="AR90" s="137">
        <f>Summary_LCIA!AI$32</f>
        <v>9.3154999999999996E-4</v>
      </c>
      <c r="AT90" s="137">
        <f t="shared" si="24"/>
        <v>72.270363000000003</v>
      </c>
      <c r="AU90" s="137">
        <f t="shared" si="25"/>
        <v>1054.0775863426049</v>
      </c>
      <c r="AV90" s="137">
        <f t="shared" si="26"/>
        <v>1.119914136</v>
      </c>
      <c r="AW90" s="137">
        <f t="shared" si="27"/>
        <v>71.330295300000003</v>
      </c>
      <c r="AX90" s="137">
        <f t="shared" si="28"/>
        <v>23.374081499999999</v>
      </c>
      <c r="AY90" s="137">
        <f t="shared" si="29"/>
        <v>3.8100390900000001</v>
      </c>
      <c r="AZ90" s="137">
        <f t="shared" si="30"/>
        <v>1.0158048285E-2</v>
      </c>
      <c r="BA90" s="137">
        <f t="shared" si="31"/>
        <v>16.370577135000001</v>
      </c>
      <c r="BB90" s="137">
        <f t="shared" si="32"/>
        <v>4.8449643</v>
      </c>
      <c r="BC90" s="137">
        <f t="shared" si="33"/>
        <v>3.31405767</v>
      </c>
      <c r="BD90" s="137">
        <f t="shared" si="34"/>
        <v>8.7219991650000009E-3</v>
      </c>
      <c r="BE90" s="137">
        <f t="shared" si="35"/>
        <v>4.9674708599999997</v>
      </c>
      <c r="BF90" s="137">
        <f t="shared" si="36"/>
        <v>-4.6414247549999999E-3</v>
      </c>
      <c r="BG90" s="137">
        <f t="shared" si="37"/>
        <v>1.039689354E-5</v>
      </c>
      <c r="BH90" s="137">
        <f t="shared" si="38"/>
        <v>8.7422042399999997E-2</v>
      </c>
      <c r="BI90" s="137">
        <f t="shared" si="39"/>
        <v>0.18846655904999998</v>
      </c>
      <c r="BJ90" s="137">
        <f t="shared" si="40"/>
        <v>0.1798081527</v>
      </c>
      <c r="BK90" s="137">
        <f t="shared" si="41"/>
        <v>1.0882028025000001E-2</v>
      </c>
      <c r="BL90" s="137">
        <f t="shared" si="42"/>
        <v>1.8511251660000001</v>
      </c>
      <c r="BM90" s="137">
        <f t="shared" si="43"/>
        <v>0.19812671174999999</v>
      </c>
    </row>
    <row r="91" spans="1:65" x14ac:dyDescent="0.25">
      <c r="A91" s="149">
        <v>239</v>
      </c>
      <c r="B91" s="149">
        <v>6</v>
      </c>
      <c r="C91" s="61">
        <v>43.739162</v>
      </c>
      <c r="D91" s="61">
        <v>-87.781754000000006</v>
      </c>
      <c r="E91" s="61" t="s">
        <v>265</v>
      </c>
      <c r="F91" s="149">
        <v>114</v>
      </c>
      <c r="G91" s="61" t="s">
        <v>639</v>
      </c>
      <c r="H91" s="61" t="s">
        <v>640</v>
      </c>
      <c r="I91" s="61">
        <v>42.947552999999999</v>
      </c>
      <c r="J91" s="61">
        <v>-87.896646000000004</v>
      </c>
      <c r="K91" s="61">
        <v>136.40500399999999</v>
      </c>
      <c r="L91" s="61">
        <v>98.278000000000006</v>
      </c>
      <c r="M91" s="61" t="s">
        <v>617</v>
      </c>
      <c r="N91" s="149">
        <v>5</v>
      </c>
      <c r="O91" s="149">
        <v>6</v>
      </c>
      <c r="P91" s="61" t="s">
        <v>565</v>
      </c>
      <c r="Q91" s="61" t="s">
        <v>564</v>
      </c>
      <c r="R91" s="61">
        <v>41.98028</v>
      </c>
      <c r="S91" s="61">
        <v>-87.908997900000003</v>
      </c>
      <c r="T91" s="61">
        <v>212.905</v>
      </c>
      <c r="U91" s="61" t="s">
        <v>617</v>
      </c>
      <c r="V91" s="61" t="s">
        <v>617</v>
      </c>
      <c r="W91" s="61"/>
      <c r="Y91" s="137">
        <f>Summary_LCIA!H$32</f>
        <v>0.33979999999999999</v>
      </c>
      <c r="Z91" s="137">
        <f>Summary_LCIA!Q$32</f>
        <v>4.9560504329999997</v>
      </c>
      <c r="AA91" s="137">
        <f>Summary_LCIA!R$32</f>
        <v>5.2655999999999996E-3</v>
      </c>
      <c r="AB91" s="137">
        <f>Summary_LCIA!S$32</f>
        <v>0.33538000000000001</v>
      </c>
      <c r="AC91" s="137">
        <f>Summary_LCIA!T$32</f>
        <v>0.1099</v>
      </c>
      <c r="AD91" s="137">
        <f>Summary_LCIA!U$32</f>
        <v>1.7913999999999999E-2</v>
      </c>
      <c r="AE91" s="137">
        <f>Summary_LCIA!V$32</f>
        <v>4.7760999999999999E-5</v>
      </c>
      <c r="AF91" s="137">
        <f>Summary_LCIA!W$32</f>
        <v>7.6970999999999998E-2</v>
      </c>
      <c r="AG91" s="137">
        <f>Summary_LCIA!X$32</f>
        <v>2.2780000000000002E-2</v>
      </c>
      <c r="AH91" s="137">
        <f>Summary_LCIA!Y$32</f>
        <v>1.5582E-2</v>
      </c>
      <c r="AI91" s="137">
        <f>Summary_LCIA!Z$32</f>
        <v>4.1009E-5</v>
      </c>
      <c r="AJ91" s="137">
        <f>Summary_LCIA!AA$32</f>
        <v>2.3355999999999998E-2</v>
      </c>
      <c r="AK91" s="137">
        <f>Summary_LCIA!AB$32</f>
        <v>-2.1823000000000001E-5</v>
      </c>
      <c r="AL91" s="137">
        <f>Summary_LCIA!AC$32</f>
        <v>4.8884000000000003E-8</v>
      </c>
      <c r="AM91" s="137">
        <f>Summary_LCIA!AD$32</f>
        <v>4.1103999999999999E-4</v>
      </c>
      <c r="AN91" s="137">
        <f>Summary_LCIA!AE$32</f>
        <v>8.8612999999999995E-4</v>
      </c>
      <c r="AO91" s="137">
        <f>Summary_LCIA!AF$32</f>
        <v>8.4542000000000005E-4</v>
      </c>
      <c r="AP91" s="137">
        <f>Summary_LCIA!AG$32</f>
        <v>5.1165000000000002E-5</v>
      </c>
      <c r="AQ91" s="137">
        <f>Summary_LCIA!AH$32</f>
        <v>8.7036000000000006E-3</v>
      </c>
      <c r="AR91" s="137">
        <f>Summary_LCIA!AI$32</f>
        <v>9.3154999999999996E-4</v>
      </c>
      <c r="AT91" s="137">
        <f t="shared" si="24"/>
        <v>72.345118999999997</v>
      </c>
      <c r="AU91" s="137">
        <f t="shared" si="25"/>
        <v>1055.1679174378648</v>
      </c>
      <c r="AV91" s="137">
        <f t="shared" si="26"/>
        <v>1.121072568</v>
      </c>
      <c r="AW91" s="137">
        <f t="shared" si="27"/>
        <v>71.404078900000002</v>
      </c>
      <c r="AX91" s="137">
        <f t="shared" si="28"/>
        <v>23.398259499999998</v>
      </c>
      <c r="AY91" s="137">
        <f t="shared" si="29"/>
        <v>3.8139801699999998</v>
      </c>
      <c r="AZ91" s="137">
        <f t="shared" si="30"/>
        <v>1.0168555705E-2</v>
      </c>
      <c r="BA91" s="137">
        <f t="shared" si="31"/>
        <v>16.387510755000001</v>
      </c>
      <c r="BB91" s="137">
        <f t="shared" si="32"/>
        <v>4.8499759000000005</v>
      </c>
      <c r="BC91" s="137">
        <f t="shared" si="33"/>
        <v>3.3174857100000001</v>
      </c>
      <c r="BD91" s="137">
        <f t="shared" si="34"/>
        <v>8.7310211450000001E-3</v>
      </c>
      <c r="BE91" s="137">
        <f t="shared" si="35"/>
        <v>4.9726091800000001</v>
      </c>
      <c r="BF91" s="137">
        <f t="shared" si="36"/>
        <v>-4.6462258150000001E-3</v>
      </c>
      <c r="BG91" s="137">
        <f t="shared" si="37"/>
        <v>1.0407648020000001E-5</v>
      </c>
      <c r="BH91" s="137">
        <f t="shared" si="38"/>
        <v>8.7512471199999997E-2</v>
      </c>
      <c r="BI91" s="137">
        <f t="shared" si="39"/>
        <v>0.18866150764999998</v>
      </c>
      <c r="BJ91" s="137">
        <f t="shared" si="40"/>
        <v>0.1799941451</v>
      </c>
      <c r="BK91" s="137">
        <f t="shared" si="41"/>
        <v>1.0893284325E-2</v>
      </c>
      <c r="BL91" s="137">
        <f t="shared" si="42"/>
        <v>1.8530399580000001</v>
      </c>
      <c r="BM91" s="137">
        <f t="shared" si="43"/>
        <v>0.19833165275</v>
      </c>
    </row>
    <row r="92" spans="1:65" x14ac:dyDescent="0.25">
      <c r="A92" s="149">
        <v>240</v>
      </c>
      <c r="B92" s="149">
        <v>6</v>
      </c>
      <c r="C92" s="61">
        <v>43.739162</v>
      </c>
      <c r="D92" s="61">
        <v>-87.781754000000006</v>
      </c>
      <c r="E92" s="61" t="s">
        <v>265</v>
      </c>
      <c r="F92" s="149">
        <v>114</v>
      </c>
      <c r="G92" s="61" t="s">
        <v>639</v>
      </c>
      <c r="H92" s="61" t="s">
        <v>640</v>
      </c>
      <c r="I92" s="61">
        <v>42.947552999999999</v>
      </c>
      <c r="J92" s="61">
        <v>-87.896646000000004</v>
      </c>
      <c r="K92" s="61">
        <v>136.40500399999999</v>
      </c>
      <c r="L92" s="61">
        <v>98.278000000000006</v>
      </c>
      <c r="M92" s="61" t="s">
        <v>617</v>
      </c>
      <c r="N92" s="149">
        <v>5</v>
      </c>
      <c r="O92" s="149">
        <v>6</v>
      </c>
      <c r="P92" s="61" t="s">
        <v>565</v>
      </c>
      <c r="Q92" s="61" t="s">
        <v>564</v>
      </c>
      <c r="R92" s="61">
        <v>41.98028</v>
      </c>
      <c r="S92" s="61">
        <v>-87.908997900000003</v>
      </c>
      <c r="T92" s="61">
        <v>212.905</v>
      </c>
      <c r="U92" s="61" t="s">
        <v>617</v>
      </c>
      <c r="V92" s="61" t="s">
        <v>617</v>
      </c>
      <c r="W92" s="61"/>
      <c r="Y92" s="137">
        <f>Summary_LCIA!H$32</f>
        <v>0.33979999999999999</v>
      </c>
      <c r="Z92" s="137">
        <f>Summary_LCIA!Q$32</f>
        <v>4.9560504329999997</v>
      </c>
      <c r="AA92" s="137">
        <f>Summary_LCIA!R$32</f>
        <v>5.2655999999999996E-3</v>
      </c>
      <c r="AB92" s="137">
        <f>Summary_LCIA!S$32</f>
        <v>0.33538000000000001</v>
      </c>
      <c r="AC92" s="137">
        <f>Summary_LCIA!T$32</f>
        <v>0.1099</v>
      </c>
      <c r="AD92" s="137">
        <f>Summary_LCIA!U$32</f>
        <v>1.7913999999999999E-2</v>
      </c>
      <c r="AE92" s="137">
        <f>Summary_LCIA!V$32</f>
        <v>4.7760999999999999E-5</v>
      </c>
      <c r="AF92" s="137">
        <f>Summary_LCIA!W$32</f>
        <v>7.6970999999999998E-2</v>
      </c>
      <c r="AG92" s="137">
        <f>Summary_LCIA!X$32</f>
        <v>2.2780000000000002E-2</v>
      </c>
      <c r="AH92" s="137">
        <f>Summary_LCIA!Y$32</f>
        <v>1.5582E-2</v>
      </c>
      <c r="AI92" s="137">
        <f>Summary_LCIA!Z$32</f>
        <v>4.1009E-5</v>
      </c>
      <c r="AJ92" s="137">
        <f>Summary_LCIA!AA$32</f>
        <v>2.3355999999999998E-2</v>
      </c>
      <c r="AK92" s="137">
        <f>Summary_LCIA!AB$32</f>
        <v>-2.1823000000000001E-5</v>
      </c>
      <c r="AL92" s="137">
        <f>Summary_LCIA!AC$32</f>
        <v>4.8884000000000003E-8</v>
      </c>
      <c r="AM92" s="137">
        <f>Summary_LCIA!AD$32</f>
        <v>4.1103999999999999E-4</v>
      </c>
      <c r="AN92" s="137">
        <f>Summary_LCIA!AE$32</f>
        <v>8.8612999999999995E-4</v>
      </c>
      <c r="AO92" s="137">
        <f>Summary_LCIA!AF$32</f>
        <v>8.4542000000000005E-4</v>
      </c>
      <c r="AP92" s="137">
        <f>Summary_LCIA!AG$32</f>
        <v>5.1165000000000002E-5</v>
      </c>
      <c r="AQ92" s="137">
        <f>Summary_LCIA!AH$32</f>
        <v>8.7036000000000006E-3</v>
      </c>
      <c r="AR92" s="137">
        <f>Summary_LCIA!AI$32</f>
        <v>9.3154999999999996E-4</v>
      </c>
      <c r="AT92" s="137">
        <f t="shared" si="24"/>
        <v>72.345118999999997</v>
      </c>
      <c r="AU92" s="137">
        <f t="shared" si="25"/>
        <v>1055.1679174378648</v>
      </c>
      <c r="AV92" s="137">
        <f t="shared" si="26"/>
        <v>1.121072568</v>
      </c>
      <c r="AW92" s="137">
        <f t="shared" si="27"/>
        <v>71.404078900000002</v>
      </c>
      <c r="AX92" s="137">
        <f t="shared" si="28"/>
        <v>23.398259499999998</v>
      </c>
      <c r="AY92" s="137">
        <f t="shared" si="29"/>
        <v>3.8139801699999998</v>
      </c>
      <c r="AZ92" s="137">
        <f t="shared" si="30"/>
        <v>1.0168555705E-2</v>
      </c>
      <c r="BA92" s="137">
        <f t="shared" si="31"/>
        <v>16.387510755000001</v>
      </c>
      <c r="BB92" s="137">
        <f t="shared" si="32"/>
        <v>4.8499759000000005</v>
      </c>
      <c r="BC92" s="137">
        <f t="shared" si="33"/>
        <v>3.3174857100000001</v>
      </c>
      <c r="BD92" s="137">
        <f t="shared" si="34"/>
        <v>8.7310211450000001E-3</v>
      </c>
      <c r="BE92" s="137">
        <f t="shared" si="35"/>
        <v>4.9726091800000001</v>
      </c>
      <c r="BF92" s="137">
        <f t="shared" si="36"/>
        <v>-4.6462258150000001E-3</v>
      </c>
      <c r="BG92" s="137">
        <f t="shared" si="37"/>
        <v>1.0407648020000001E-5</v>
      </c>
      <c r="BH92" s="137">
        <f t="shared" si="38"/>
        <v>8.7512471199999997E-2</v>
      </c>
      <c r="BI92" s="137">
        <f t="shared" si="39"/>
        <v>0.18866150764999998</v>
      </c>
      <c r="BJ92" s="137">
        <f t="shared" si="40"/>
        <v>0.1799941451</v>
      </c>
      <c r="BK92" s="137">
        <f t="shared" si="41"/>
        <v>1.0893284325E-2</v>
      </c>
      <c r="BL92" s="137">
        <f t="shared" si="42"/>
        <v>1.8530399580000001</v>
      </c>
      <c r="BM92" s="137">
        <f t="shared" si="43"/>
        <v>0.19833165275</v>
      </c>
    </row>
    <row r="93" spans="1:65" x14ac:dyDescent="0.25">
      <c r="A93" s="149">
        <v>241</v>
      </c>
      <c r="B93" s="149">
        <v>6</v>
      </c>
      <c r="C93" s="61">
        <v>43.739162</v>
      </c>
      <c r="D93" s="61">
        <v>-87.781754000000006</v>
      </c>
      <c r="E93" s="61" t="s">
        <v>265</v>
      </c>
      <c r="F93" s="149">
        <v>114</v>
      </c>
      <c r="G93" s="61" t="s">
        <v>639</v>
      </c>
      <c r="H93" s="61" t="s">
        <v>640</v>
      </c>
      <c r="I93" s="61">
        <v>42.947552999999999</v>
      </c>
      <c r="J93" s="61">
        <v>-87.896646000000004</v>
      </c>
      <c r="K93" s="61">
        <v>136.40500399999999</v>
      </c>
      <c r="L93" s="61">
        <v>98.278000000000006</v>
      </c>
      <c r="M93" s="61" t="s">
        <v>617</v>
      </c>
      <c r="N93" s="149">
        <v>5</v>
      </c>
      <c r="O93" s="149">
        <v>6</v>
      </c>
      <c r="P93" s="61" t="s">
        <v>565</v>
      </c>
      <c r="Q93" s="61" t="s">
        <v>564</v>
      </c>
      <c r="R93" s="61">
        <v>41.98028</v>
      </c>
      <c r="S93" s="61">
        <v>-87.908997900000003</v>
      </c>
      <c r="T93" s="61">
        <v>212.905</v>
      </c>
      <c r="U93" s="61" t="s">
        <v>617</v>
      </c>
      <c r="V93" s="61" t="s">
        <v>617</v>
      </c>
      <c r="W93" s="61"/>
      <c r="Y93" s="137">
        <f>Summary_LCIA!H$32</f>
        <v>0.33979999999999999</v>
      </c>
      <c r="Z93" s="137">
        <f>Summary_LCIA!Q$32</f>
        <v>4.9560504329999997</v>
      </c>
      <c r="AA93" s="137">
        <f>Summary_LCIA!R$32</f>
        <v>5.2655999999999996E-3</v>
      </c>
      <c r="AB93" s="137">
        <f>Summary_LCIA!S$32</f>
        <v>0.33538000000000001</v>
      </c>
      <c r="AC93" s="137">
        <f>Summary_LCIA!T$32</f>
        <v>0.1099</v>
      </c>
      <c r="AD93" s="137">
        <f>Summary_LCIA!U$32</f>
        <v>1.7913999999999999E-2</v>
      </c>
      <c r="AE93" s="137">
        <f>Summary_LCIA!V$32</f>
        <v>4.7760999999999999E-5</v>
      </c>
      <c r="AF93" s="137">
        <f>Summary_LCIA!W$32</f>
        <v>7.6970999999999998E-2</v>
      </c>
      <c r="AG93" s="137">
        <f>Summary_LCIA!X$32</f>
        <v>2.2780000000000002E-2</v>
      </c>
      <c r="AH93" s="137">
        <f>Summary_LCIA!Y$32</f>
        <v>1.5582E-2</v>
      </c>
      <c r="AI93" s="137">
        <f>Summary_LCIA!Z$32</f>
        <v>4.1009E-5</v>
      </c>
      <c r="AJ93" s="137">
        <f>Summary_LCIA!AA$32</f>
        <v>2.3355999999999998E-2</v>
      </c>
      <c r="AK93" s="137">
        <f>Summary_LCIA!AB$32</f>
        <v>-2.1823000000000001E-5</v>
      </c>
      <c r="AL93" s="137">
        <f>Summary_LCIA!AC$32</f>
        <v>4.8884000000000003E-8</v>
      </c>
      <c r="AM93" s="137">
        <f>Summary_LCIA!AD$32</f>
        <v>4.1103999999999999E-4</v>
      </c>
      <c r="AN93" s="137">
        <f>Summary_LCIA!AE$32</f>
        <v>8.8612999999999995E-4</v>
      </c>
      <c r="AO93" s="137">
        <f>Summary_LCIA!AF$32</f>
        <v>8.4542000000000005E-4</v>
      </c>
      <c r="AP93" s="137">
        <f>Summary_LCIA!AG$32</f>
        <v>5.1165000000000002E-5</v>
      </c>
      <c r="AQ93" s="137">
        <f>Summary_LCIA!AH$32</f>
        <v>8.7036000000000006E-3</v>
      </c>
      <c r="AR93" s="137">
        <f>Summary_LCIA!AI$32</f>
        <v>9.3154999999999996E-4</v>
      </c>
      <c r="AT93" s="137">
        <f t="shared" si="24"/>
        <v>72.345118999999997</v>
      </c>
      <c r="AU93" s="137">
        <f t="shared" si="25"/>
        <v>1055.1679174378648</v>
      </c>
      <c r="AV93" s="137">
        <f t="shared" si="26"/>
        <v>1.121072568</v>
      </c>
      <c r="AW93" s="137">
        <f t="shared" si="27"/>
        <v>71.404078900000002</v>
      </c>
      <c r="AX93" s="137">
        <f t="shared" si="28"/>
        <v>23.398259499999998</v>
      </c>
      <c r="AY93" s="137">
        <f t="shared" si="29"/>
        <v>3.8139801699999998</v>
      </c>
      <c r="AZ93" s="137">
        <f t="shared" si="30"/>
        <v>1.0168555705E-2</v>
      </c>
      <c r="BA93" s="137">
        <f t="shared" si="31"/>
        <v>16.387510755000001</v>
      </c>
      <c r="BB93" s="137">
        <f t="shared" si="32"/>
        <v>4.8499759000000005</v>
      </c>
      <c r="BC93" s="137">
        <f t="shared" si="33"/>
        <v>3.3174857100000001</v>
      </c>
      <c r="BD93" s="137">
        <f t="shared" si="34"/>
        <v>8.7310211450000001E-3</v>
      </c>
      <c r="BE93" s="137">
        <f t="shared" si="35"/>
        <v>4.9726091800000001</v>
      </c>
      <c r="BF93" s="137">
        <f t="shared" si="36"/>
        <v>-4.6462258150000001E-3</v>
      </c>
      <c r="BG93" s="137">
        <f t="shared" si="37"/>
        <v>1.0407648020000001E-5</v>
      </c>
      <c r="BH93" s="137">
        <f t="shared" si="38"/>
        <v>8.7512471199999997E-2</v>
      </c>
      <c r="BI93" s="137">
        <f t="shared" si="39"/>
        <v>0.18866150764999998</v>
      </c>
      <c r="BJ93" s="137">
        <f t="shared" si="40"/>
        <v>0.1799941451</v>
      </c>
      <c r="BK93" s="137">
        <f t="shared" si="41"/>
        <v>1.0893284325E-2</v>
      </c>
      <c r="BL93" s="137">
        <f t="shared" si="42"/>
        <v>1.8530399580000001</v>
      </c>
      <c r="BM93" s="137">
        <f t="shared" si="43"/>
        <v>0.19833165275</v>
      </c>
    </row>
    <row r="94" spans="1:65" x14ac:dyDescent="0.25">
      <c r="A94" s="149">
        <v>242</v>
      </c>
      <c r="B94" s="149">
        <v>6</v>
      </c>
      <c r="C94" s="61">
        <v>43.739162</v>
      </c>
      <c r="D94" s="61">
        <v>-87.781754000000006</v>
      </c>
      <c r="E94" s="61" t="s">
        <v>265</v>
      </c>
      <c r="F94" s="149">
        <v>114</v>
      </c>
      <c r="G94" s="61" t="s">
        <v>639</v>
      </c>
      <c r="H94" s="61" t="s">
        <v>640</v>
      </c>
      <c r="I94" s="61">
        <v>42.947552999999999</v>
      </c>
      <c r="J94" s="61">
        <v>-87.896646000000004</v>
      </c>
      <c r="K94" s="61">
        <v>136.40500399999999</v>
      </c>
      <c r="L94" s="61">
        <v>98.278000000000006</v>
      </c>
      <c r="M94" s="61" t="s">
        <v>617</v>
      </c>
      <c r="N94" s="149">
        <v>5</v>
      </c>
      <c r="O94" s="149">
        <v>6</v>
      </c>
      <c r="P94" s="61" t="s">
        <v>565</v>
      </c>
      <c r="Q94" s="61" t="s">
        <v>564</v>
      </c>
      <c r="R94" s="61">
        <v>41.98028</v>
      </c>
      <c r="S94" s="61">
        <v>-87.908997900000003</v>
      </c>
      <c r="T94" s="61">
        <v>212.905</v>
      </c>
      <c r="U94" s="61" t="s">
        <v>617</v>
      </c>
      <c r="V94" s="61" t="s">
        <v>617</v>
      </c>
      <c r="W94" s="61"/>
      <c r="Y94" s="137">
        <f>Summary_LCIA!H$32</f>
        <v>0.33979999999999999</v>
      </c>
      <c r="Z94" s="137">
        <f>Summary_LCIA!Q$32</f>
        <v>4.9560504329999997</v>
      </c>
      <c r="AA94" s="137">
        <f>Summary_LCIA!R$32</f>
        <v>5.2655999999999996E-3</v>
      </c>
      <c r="AB94" s="137">
        <f>Summary_LCIA!S$32</f>
        <v>0.33538000000000001</v>
      </c>
      <c r="AC94" s="137">
        <f>Summary_LCIA!T$32</f>
        <v>0.1099</v>
      </c>
      <c r="AD94" s="137">
        <f>Summary_LCIA!U$32</f>
        <v>1.7913999999999999E-2</v>
      </c>
      <c r="AE94" s="137">
        <f>Summary_LCIA!V$32</f>
        <v>4.7760999999999999E-5</v>
      </c>
      <c r="AF94" s="137">
        <f>Summary_LCIA!W$32</f>
        <v>7.6970999999999998E-2</v>
      </c>
      <c r="AG94" s="137">
        <f>Summary_LCIA!X$32</f>
        <v>2.2780000000000002E-2</v>
      </c>
      <c r="AH94" s="137">
        <f>Summary_LCIA!Y$32</f>
        <v>1.5582E-2</v>
      </c>
      <c r="AI94" s="137">
        <f>Summary_LCIA!Z$32</f>
        <v>4.1009E-5</v>
      </c>
      <c r="AJ94" s="137">
        <f>Summary_LCIA!AA$32</f>
        <v>2.3355999999999998E-2</v>
      </c>
      <c r="AK94" s="137">
        <f>Summary_LCIA!AB$32</f>
        <v>-2.1823000000000001E-5</v>
      </c>
      <c r="AL94" s="137">
        <f>Summary_LCIA!AC$32</f>
        <v>4.8884000000000003E-8</v>
      </c>
      <c r="AM94" s="137">
        <f>Summary_LCIA!AD$32</f>
        <v>4.1103999999999999E-4</v>
      </c>
      <c r="AN94" s="137">
        <f>Summary_LCIA!AE$32</f>
        <v>8.8612999999999995E-4</v>
      </c>
      <c r="AO94" s="137">
        <f>Summary_LCIA!AF$32</f>
        <v>8.4542000000000005E-4</v>
      </c>
      <c r="AP94" s="137">
        <f>Summary_LCIA!AG$32</f>
        <v>5.1165000000000002E-5</v>
      </c>
      <c r="AQ94" s="137">
        <f>Summary_LCIA!AH$32</f>
        <v>8.7036000000000006E-3</v>
      </c>
      <c r="AR94" s="137">
        <f>Summary_LCIA!AI$32</f>
        <v>9.3154999999999996E-4</v>
      </c>
      <c r="AT94" s="137">
        <f t="shared" si="24"/>
        <v>72.345118999999997</v>
      </c>
      <c r="AU94" s="137">
        <f t="shared" si="25"/>
        <v>1055.1679174378648</v>
      </c>
      <c r="AV94" s="137">
        <f t="shared" si="26"/>
        <v>1.121072568</v>
      </c>
      <c r="AW94" s="137">
        <f t="shared" si="27"/>
        <v>71.404078900000002</v>
      </c>
      <c r="AX94" s="137">
        <f t="shared" si="28"/>
        <v>23.398259499999998</v>
      </c>
      <c r="AY94" s="137">
        <f t="shared" si="29"/>
        <v>3.8139801699999998</v>
      </c>
      <c r="AZ94" s="137">
        <f t="shared" si="30"/>
        <v>1.0168555705E-2</v>
      </c>
      <c r="BA94" s="137">
        <f t="shared" si="31"/>
        <v>16.387510755000001</v>
      </c>
      <c r="BB94" s="137">
        <f t="shared" si="32"/>
        <v>4.8499759000000005</v>
      </c>
      <c r="BC94" s="137">
        <f t="shared" si="33"/>
        <v>3.3174857100000001</v>
      </c>
      <c r="BD94" s="137">
        <f t="shared" si="34"/>
        <v>8.7310211450000001E-3</v>
      </c>
      <c r="BE94" s="137">
        <f t="shared" si="35"/>
        <v>4.9726091800000001</v>
      </c>
      <c r="BF94" s="137">
        <f t="shared" si="36"/>
        <v>-4.6462258150000001E-3</v>
      </c>
      <c r="BG94" s="137">
        <f t="shared" si="37"/>
        <v>1.0407648020000001E-5</v>
      </c>
      <c r="BH94" s="137">
        <f t="shared" si="38"/>
        <v>8.7512471199999997E-2</v>
      </c>
      <c r="BI94" s="137">
        <f t="shared" si="39"/>
        <v>0.18866150764999998</v>
      </c>
      <c r="BJ94" s="137">
        <f t="shared" si="40"/>
        <v>0.1799941451</v>
      </c>
      <c r="BK94" s="137">
        <f t="shared" si="41"/>
        <v>1.0893284325E-2</v>
      </c>
      <c r="BL94" s="137">
        <f t="shared" si="42"/>
        <v>1.8530399580000001</v>
      </c>
      <c r="BM94" s="137">
        <f t="shared" si="43"/>
        <v>0.19833165275</v>
      </c>
    </row>
    <row r="95" spans="1:65" x14ac:dyDescent="0.25">
      <c r="A95" s="149">
        <v>243</v>
      </c>
      <c r="B95" s="149">
        <v>6</v>
      </c>
      <c r="C95" s="61">
        <v>43.739162</v>
      </c>
      <c r="D95" s="61">
        <v>-87.781754000000006</v>
      </c>
      <c r="E95" s="61" t="s">
        <v>265</v>
      </c>
      <c r="F95" s="149">
        <v>114</v>
      </c>
      <c r="G95" s="61" t="s">
        <v>639</v>
      </c>
      <c r="H95" s="61" t="s">
        <v>640</v>
      </c>
      <c r="I95" s="61">
        <v>42.947552999999999</v>
      </c>
      <c r="J95" s="61">
        <v>-87.896646000000004</v>
      </c>
      <c r="K95" s="61">
        <v>136.40500399999999</v>
      </c>
      <c r="L95" s="61">
        <v>98.278000000000006</v>
      </c>
      <c r="M95" s="61" t="s">
        <v>617</v>
      </c>
      <c r="N95" s="149">
        <v>5</v>
      </c>
      <c r="O95" s="149">
        <v>6</v>
      </c>
      <c r="P95" s="61" t="s">
        <v>565</v>
      </c>
      <c r="Q95" s="61" t="s">
        <v>564</v>
      </c>
      <c r="R95" s="61">
        <v>41.98028</v>
      </c>
      <c r="S95" s="61">
        <v>-87.908997900000003</v>
      </c>
      <c r="T95" s="61">
        <v>212.905</v>
      </c>
      <c r="U95" s="61" t="s">
        <v>617</v>
      </c>
      <c r="V95" s="61" t="s">
        <v>617</v>
      </c>
      <c r="W95" s="61"/>
      <c r="Y95" s="137">
        <f>Summary_LCIA!H$32</f>
        <v>0.33979999999999999</v>
      </c>
      <c r="Z95" s="137">
        <f>Summary_LCIA!Q$32</f>
        <v>4.9560504329999997</v>
      </c>
      <c r="AA95" s="137">
        <f>Summary_LCIA!R$32</f>
        <v>5.2655999999999996E-3</v>
      </c>
      <c r="AB95" s="137">
        <f>Summary_LCIA!S$32</f>
        <v>0.33538000000000001</v>
      </c>
      <c r="AC95" s="137">
        <f>Summary_LCIA!T$32</f>
        <v>0.1099</v>
      </c>
      <c r="AD95" s="137">
        <f>Summary_LCIA!U$32</f>
        <v>1.7913999999999999E-2</v>
      </c>
      <c r="AE95" s="137">
        <f>Summary_LCIA!V$32</f>
        <v>4.7760999999999999E-5</v>
      </c>
      <c r="AF95" s="137">
        <f>Summary_LCIA!W$32</f>
        <v>7.6970999999999998E-2</v>
      </c>
      <c r="AG95" s="137">
        <f>Summary_LCIA!X$32</f>
        <v>2.2780000000000002E-2</v>
      </c>
      <c r="AH95" s="137">
        <f>Summary_LCIA!Y$32</f>
        <v>1.5582E-2</v>
      </c>
      <c r="AI95" s="137">
        <f>Summary_LCIA!Z$32</f>
        <v>4.1009E-5</v>
      </c>
      <c r="AJ95" s="137">
        <f>Summary_LCIA!AA$32</f>
        <v>2.3355999999999998E-2</v>
      </c>
      <c r="AK95" s="137">
        <f>Summary_LCIA!AB$32</f>
        <v>-2.1823000000000001E-5</v>
      </c>
      <c r="AL95" s="137">
        <f>Summary_LCIA!AC$32</f>
        <v>4.8884000000000003E-8</v>
      </c>
      <c r="AM95" s="137">
        <f>Summary_LCIA!AD$32</f>
        <v>4.1103999999999999E-4</v>
      </c>
      <c r="AN95" s="137">
        <f>Summary_LCIA!AE$32</f>
        <v>8.8612999999999995E-4</v>
      </c>
      <c r="AO95" s="137">
        <f>Summary_LCIA!AF$32</f>
        <v>8.4542000000000005E-4</v>
      </c>
      <c r="AP95" s="137">
        <f>Summary_LCIA!AG$32</f>
        <v>5.1165000000000002E-5</v>
      </c>
      <c r="AQ95" s="137">
        <f>Summary_LCIA!AH$32</f>
        <v>8.7036000000000006E-3</v>
      </c>
      <c r="AR95" s="137">
        <f>Summary_LCIA!AI$32</f>
        <v>9.3154999999999996E-4</v>
      </c>
      <c r="AT95" s="137">
        <f t="shared" si="24"/>
        <v>72.345118999999997</v>
      </c>
      <c r="AU95" s="137">
        <f t="shared" si="25"/>
        <v>1055.1679174378648</v>
      </c>
      <c r="AV95" s="137">
        <f t="shared" si="26"/>
        <v>1.121072568</v>
      </c>
      <c r="AW95" s="137">
        <f t="shared" si="27"/>
        <v>71.404078900000002</v>
      </c>
      <c r="AX95" s="137">
        <f t="shared" si="28"/>
        <v>23.398259499999998</v>
      </c>
      <c r="AY95" s="137">
        <f t="shared" si="29"/>
        <v>3.8139801699999998</v>
      </c>
      <c r="AZ95" s="137">
        <f t="shared" si="30"/>
        <v>1.0168555705E-2</v>
      </c>
      <c r="BA95" s="137">
        <f t="shared" si="31"/>
        <v>16.387510755000001</v>
      </c>
      <c r="BB95" s="137">
        <f t="shared" si="32"/>
        <v>4.8499759000000005</v>
      </c>
      <c r="BC95" s="137">
        <f t="shared" si="33"/>
        <v>3.3174857100000001</v>
      </c>
      <c r="BD95" s="137">
        <f t="shared" si="34"/>
        <v>8.7310211450000001E-3</v>
      </c>
      <c r="BE95" s="137">
        <f t="shared" si="35"/>
        <v>4.9726091800000001</v>
      </c>
      <c r="BF95" s="137">
        <f t="shared" si="36"/>
        <v>-4.6462258150000001E-3</v>
      </c>
      <c r="BG95" s="137">
        <f t="shared" si="37"/>
        <v>1.0407648020000001E-5</v>
      </c>
      <c r="BH95" s="137">
        <f t="shared" si="38"/>
        <v>8.7512471199999997E-2</v>
      </c>
      <c r="BI95" s="137">
        <f t="shared" si="39"/>
        <v>0.18866150764999998</v>
      </c>
      <c r="BJ95" s="137">
        <f t="shared" si="40"/>
        <v>0.1799941451</v>
      </c>
      <c r="BK95" s="137">
        <f t="shared" si="41"/>
        <v>1.0893284325E-2</v>
      </c>
      <c r="BL95" s="137">
        <f t="shared" si="42"/>
        <v>1.8530399580000001</v>
      </c>
      <c r="BM95" s="137">
        <f t="shared" si="43"/>
        <v>0.19833165275</v>
      </c>
    </row>
    <row r="96" spans="1:65" x14ac:dyDescent="0.25">
      <c r="A96" s="149">
        <v>253</v>
      </c>
      <c r="B96" s="149">
        <v>6</v>
      </c>
      <c r="C96" s="61">
        <v>43.073051999999997</v>
      </c>
      <c r="D96" s="61">
        <v>-89.401229999999998</v>
      </c>
      <c r="E96" s="61" t="s">
        <v>265</v>
      </c>
      <c r="F96" s="149">
        <v>114</v>
      </c>
      <c r="G96" s="61" t="s">
        <v>639</v>
      </c>
      <c r="H96" s="61" t="s">
        <v>640</v>
      </c>
      <c r="I96" s="61">
        <v>42.947552999999999</v>
      </c>
      <c r="J96" s="61">
        <v>-87.896646000000004</v>
      </c>
      <c r="K96" s="61">
        <v>124.3178211</v>
      </c>
      <c r="L96" s="61">
        <v>138.58099999999999</v>
      </c>
      <c r="M96" s="61" t="s">
        <v>617</v>
      </c>
      <c r="N96" s="149">
        <v>5</v>
      </c>
      <c r="O96" s="149">
        <v>6</v>
      </c>
      <c r="P96" s="61" t="s">
        <v>565</v>
      </c>
      <c r="Q96" s="61" t="s">
        <v>564</v>
      </c>
      <c r="R96" s="61">
        <v>41.98028</v>
      </c>
      <c r="S96" s="61">
        <v>-87.908997900000003</v>
      </c>
      <c r="T96" s="61">
        <v>215.59800000000001</v>
      </c>
      <c r="U96" s="61" t="s">
        <v>617</v>
      </c>
      <c r="V96" s="61" t="s">
        <v>617</v>
      </c>
      <c r="W96" s="61"/>
      <c r="Y96" s="137">
        <f>Summary_LCIA!H$32</f>
        <v>0.33979999999999999</v>
      </c>
      <c r="Z96" s="137">
        <f>Summary_LCIA!Q$32</f>
        <v>4.9560504329999997</v>
      </c>
      <c r="AA96" s="137">
        <f>Summary_LCIA!R$32</f>
        <v>5.2655999999999996E-3</v>
      </c>
      <c r="AB96" s="137">
        <f>Summary_LCIA!S$32</f>
        <v>0.33538000000000001</v>
      </c>
      <c r="AC96" s="137">
        <f>Summary_LCIA!T$32</f>
        <v>0.1099</v>
      </c>
      <c r="AD96" s="137">
        <f>Summary_LCIA!U$32</f>
        <v>1.7913999999999999E-2</v>
      </c>
      <c r="AE96" s="137">
        <f>Summary_LCIA!V$32</f>
        <v>4.7760999999999999E-5</v>
      </c>
      <c r="AF96" s="137">
        <f>Summary_LCIA!W$32</f>
        <v>7.6970999999999998E-2</v>
      </c>
      <c r="AG96" s="137">
        <f>Summary_LCIA!X$32</f>
        <v>2.2780000000000002E-2</v>
      </c>
      <c r="AH96" s="137">
        <f>Summary_LCIA!Y$32</f>
        <v>1.5582E-2</v>
      </c>
      <c r="AI96" s="137">
        <f>Summary_LCIA!Z$32</f>
        <v>4.1009E-5</v>
      </c>
      <c r="AJ96" s="137">
        <f>Summary_LCIA!AA$32</f>
        <v>2.3355999999999998E-2</v>
      </c>
      <c r="AK96" s="137">
        <f>Summary_LCIA!AB$32</f>
        <v>-2.1823000000000001E-5</v>
      </c>
      <c r="AL96" s="137">
        <f>Summary_LCIA!AC$32</f>
        <v>4.8884000000000003E-8</v>
      </c>
      <c r="AM96" s="137">
        <f>Summary_LCIA!AD$32</f>
        <v>4.1103999999999999E-4</v>
      </c>
      <c r="AN96" s="137">
        <f>Summary_LCIA!AE$32</f>
        <v>8.8612999999999995E-4</v>
      </c>
      <c r="AO96" s="137">
        <f>Summary_LCIA!AF$32</f>
        <v>8.4542000000000005E-4</v>
      </c>
      <c r="AP96" s="137">
        <f>Summary_LCIA!AG$32</f>
        <v>5.1165000000000002E-5</v>
      </c>
      <c r="AQ96" s="137">
        <f>Summary_LCIA!AH$32</f>
        <v>8.7036000000000006E-3</v>
      </c>
      <c r="AR96" s="137">
        <f>Summary_LCIA!AI$32</f>
        <v>9.3154999999999996E-4</v>
      </c>
      <c r="AT96" s="137">
        <f t="shared" si="24"/>
        <v>73.260200400000002</v>
      </c>
      <c r="AU96" s="137">
        <f t="shared" si="25"/>
        <v>1068.5145612539341</v>
      </c>
      <c r="AV96" s="137">
        <f t="shared" si="26"/>
        <v>1.1352528287999999</v>
      </c>
      <c r="AW96" s="137">
        <f t="shared" si="27"/>
        <v>72.307257240000013</v>
      </c>
      <c r="AX96" s="137">
        <f t="shared" si="28"/>
        <v>23.6942202</v>
      </c>
      <c r="AY96" s="137">
        <f t="shared" si="29"/>
        <v>3.8622225720000003</v>
      </c>
      <c r="AZ96" s="137">
        <f t="shared" si="30"/>
        <v>1.0297176078E-2</v>
      </c>
      <c r="BA96" s="137">
        <f t="shared" si="31"/>
        <v>16.594793658</v>
      </c>
      <c r="BB96" s="137">
        <f t="shared" si="32"/>
        <v>4.9113224400000011</v>
      </c>
      <c r="BC96" s="137">
        <f t="shared" si="33"/>
        <v>3.3594480360000003</v>
      </c>
      <c r="BD96" s="137">
        <f t="shared" si="34"/>
        <v>8.841458382000001E-3</v>
      </c>
      <c r="BE96" s="137">
        <f t="shared" si="35"/>
        <v>5.0355068879999996</v>
      </c>
      <c r="BF96" s="137">
        <f t="shared" si="36"/>
        <v>-4.7049951540000003E-3</v>
      </c>
      <c r="BG96" s="137">
        <f t="shared" si="37"/>
        <v>1.0539292632E-5</v>
      </c>
      <c r="BH96" s="137">
        <f t="shared" si="38"/>
        <v>8.8619401920000007E-2</v>
      </c>
      <c r="BI96" s="137">
        <f t="shared" si="39"/>
        <v>0.19104785573999999</v>
      </c>
      <c r="BJ96" s="137">
        <f t="shared" si="40"/>
        <v>0.18227086116000002</v>
      </c>
      <c r="BK96" s="137">
        <f t="shared" si="41"/>
        <v>1.1031071670000002E-2</v>
      </c>
      <c r="BL96" s="137">
        <f t="shared" si="42"/>
        <v>1.8764787528000002</v>
      </c>
      <c r="BM96" s="137">
        <f t="shared" si="43"/>
        <v>0.20084031690000001</v>
      </c>
    </row>
    <row r="97" spans="1:65" x14ac:dyDescent="0.25">
      <c r="A97" s="149">
        <v>254</v>
      </c>
      <c r="B97" s="149">
        <v>6</v>
      </c>
      <c r="C97" s="61">
        <v>43.073051999999997</v>
      </c>
      <c r="D97" s="61">
        <v>-89.401229999999998</v>
      </c>
      <c r="E97" s="61" t="s">
        <v>265</v>
      </c>
      <c r="F97" s="149">
        <v>114</v>
      </c>
      <c r="G97" s="61" t="s">
        <v>639</v>
      </c>
      <c r="H97" s="61" t="s">
        <v>640</v>
      </c>
      <c r="I97" s="61">
        <v>42.947552999999999</v>
      </c>
      <c r="J97" s="61">
        <v>-87.896646000000004</v>
      </c>
      <c r="K97" s="61">
        <v>124.3178211</v>
      </c>
      <c r="L97" s="61">
        <v>138.58099999999999</v>
      </c>
      <c r="M97" s="61" t="s">
        <v>617</v>
      </c>
      <c r="N97" s="149">
        <v>5</v>
      </c>
      <c r="O97" s="149">
        <v>6</v>
      </c>
      <c r="P97" s="61" t="s">
        <v>565</v>
      </c>
      <c r="Q97" s="61" t="s">
        <v>564</v>
      </c>
      <c r="R97" s="61">
        <v>41.98028</v>
      </c>
      <c r="S97" s="61">
        <v>-87.908997900000003</v>
      </c>
      <c r="T97" s="61">
        <v>215.59800000000001</v>
      </c>
      <c r="U97" s="61" t="s">
        <v>617</v>
      </c>
      <c r="V97" s="61" t="s">
        <v>617</v>
      </c>
      <c r="W97" s="61"/>
      <c r="Y97" s="137">
        <f>Summary_LCIA!H$32</f>
        <v>0.33979999999999999</v>
      </c>
      <c r="Z97" s="137">
        <f>Summary_LCIA!Q$32</f>
        <v>4.9560504329999997</v>
      </c>
      <c r="AA97" s="137">
        <f>Summary_LCIA!R$32</f>
        <v>5.2655999999999996E-3</v>
      </c>
      <c r="AB97" s="137">
        <f>Summary_LCIA!S$32</f>
        <v>0.33538000000000001</v>
      </c>
      <c r="AC97" s="137">
        <f>Summary_LCIA!T$32</f>
        <v>0.1099</v>
      </c>
      <c r="AD97" s="137">
        <f>Summary_LCIA!U$32</f>
        <v>1.7913999999999999E-2</v>
      </c>
      <c r="AE97" s="137">
        <f>Summary_LCIA!V$32</f>
        <v>4.7760999999999999E-5</v>
      </c>
      <c r="AF97" s="137">
        <f>Summary_LCIA!W$32</f>
        <v>7.6970999999999998E-2</v>
      </c>
      <c r="AG97" s="137">
        <f>Summary_LCIA!X$32</f>
        <v>2.2780000000000002E-2</v>
      </c>
      <c r="AH97" s="137">
        <f>Summary_LCIA!Y$32</f>
        <v>1.5582E-2</v>
      </c>
      <c r="AI97" s="137">
        <f>Summary_LCIA!Z$32</f>
        <v>4.1009E-5</v>
      </c>
      <c r="AJ97" s="137">
        <f>Summary_LCIA!AA$32</f>
        <v>2.3355999999999998E-2</v>
      </c>
      <c r="AK97" s="137">
        <f>Summary_LCIA!AB$32</f>
        <v>-2.1823000000000001E-5</v>
      </c>
      <c r="AL97" s="137">
        <f>Summary_LCIA!AC$32</f>
        <v>4.8884000000000003E-8</v>
      </c>
      <c r="AM97" s="137">
        <f>Summary_LCIA!AD$32</f>
        <v>4.1103999999999999E-4</v>
      </c>
      <c r="AN97" s="137">
        <f>Summary_LCIA!AE$32</f>
        <v>8.8612999999999995E-4</v>
      </c>
      <c r="AO97" s="137">
        <f>Summary_LCIA!AF$32</f>
        <v>8.4542000000000005E-4</v>
      </c>
      <c r="AP97" s="137">
        <f>Summary_LCIA!AG$32</f>
        <v>5.1165000000000002E-5</v>
      </c>
      <c r="AQ97" s="137">
        <f>Summary_LCIA!AH$32</f>
        <v>8.7036000000000006E-3</v>
      </c>
      <c r="AR97" s="137">
        <f>Summary_LCIA!AI$32</f>
        <v>9.3154999999999996E-4</v>
      </c>
      <c r="AT97" s="137">
        <f t="shared" si="24"/>
        <v>73.260200400000002</v>
      </c>
      <c r="AU97" s="137">
        <f t="shared" si="25"/>
        <v>1068.5145612539341</v>
      </c>
      <c r="AV97" s="137">
        <f t="shared" si="26"/>
        <v>1.1352528287999999</v>
      </c>
      <c r="AW97" s="137">
        <f t="shared" si="27"/>
        <v>72.307257240000013</v>
      </c>
      <c r="AX97" s="137">
        <f t="shared" si="28"/>
        <v>23.6942202</v>
      </c>
      <c r="AY97" s="137">
        <f t="shared" si="29"/>
        <v>3.8622225720000003</v>
      </c>
      <c r="AZ97" s="137">
        <f t="shared" si="30"/>
        <v>1.0297176078E-2</v>
      </c>
      <c r="BA97" s="137">
        <f t="shared" si="31"/>
        <v>16.594793658</v>
      </c>
      <c r="BB97" s="137">
        <f t="shared" si="32"/>
        <v>4.9113224400000011</v>
      </c>
      <c r="BC97" s="137">
        <f t="shared" si="33"/>
        <v>3.3594480360000003</v>
      </c>
      <c r="BD97" s="137">
        <f t="shared" si="34"/>
        <v>8.841458382000001E-3</v>
      </c>
      <c r="BE97" s="137">
        <f t="shared" si="35"/>
        <v>5.0355068879999996</v>
      </c>
      <c r="BF97" s="137">
        <f t="shared" si="36"/>
        <v>-4.7049951540000003E-3</v>
      </c>
      <c r="BG97" s="137">
        <f t="shared" si="37"/>
        <v>1.0539292632E-5</v>
      </c>
      <c r="BH97" s="137">
        <f t="shared" si="38"/>
        <v>8.8619401920000007E-2</v>
      </c>
      <c r="BI97" s="137">
        <f t="shared" si="39"/>
        <v>0.19104785573999999</v>
      </c>
      <c r="BJ97" s="137">
        <f t="shared" si="40"/>
        <v>0.18227086116000002</v>
      </c>
      <c r="BK97" s="137">
        <f t="shared" si="41"/>
        <v>1.1031071670000002E-2</v>
      </c>
      <c r="BL97" s="137">
        <f t="shared" si="42"/>
        <v>1.8764787528000002</v>
      </c>
      <c r="BM97" s="137">
        <f t="shared" si="43"/>
        <v>0.20084031690000001</v>
      </c>
    </row>
    <row r="98" spans="1:65" x14ac:dyDescent="0.25">
      <c r="A98" s="149">
        <v>255</v>
      </c>
      <c r="B98" s="149">
        <v>6</v>
      </c>
      <c r="C98" s="61">
        <v>43.073051999999997</v>
      </c>
      <c r="D98" s="61">
        <v>-89.401229999999998</v>
      </c>
      <c r="E98" s="61" t="s">
        <v>265</v>
      </c>
      <c r="F98" s="149">
        <v>114</v>
      </c>
      <c r="G98" s="61" t="s">
        <v>639</v>
      </c>
      <c r="H98" s="61" t="s">
        <v>640</v>
      </c>
      <c r="I98" s="61">
        <v>42.947552999999999</v>
      </c>
      <c r="J98" s="61">
        <v>-87.896646000000004</v>
      </c>
      <c r="K98" s="61">
        <v>124.3178211</v>
      </c>
      <c r="L98" s="61">
        <v>138.58099999999999</v>
      </c>
      <c r="M98" s="61" t="s">
        <v>617</v>
      </c>
      <c r="N98" s="149">
        <v>5</v>
      </c>
      <c r="O98" s="149">
        <v>6</v>
      </c>
      <c r="P98" s="61" t="s">
        <v>565</v>
      </c>
      <c r="Q98" s="61" t="s">
        <v>564</v>
      </c>
      <c r="R98" s="61">
        <v>41.98028</v>
      </c>
      <c r="S98" s="61">
        <v>-87.908997900000003</v>
      </c>
      <c r="T98" s="61">
        <v>215.59800000000001</v>
      </c>
      <c r="U98" s="61" t="s">
        <v>617</v>
      </c>
      <c r="V98" s="61" t="s">
        <v>617</v>
      </c>
      <c r="W98" s="61"/>
      <c r="Y98" s="137">
        <f>Summary_LCIA!H$32</f>
        <v>0.33979999999999999</v>
      </c>
      <c r="Z98" s="137">
        <f>Summary_LCIA!Q$32</f>
        <v>4.9560504329999997</v>
      </c>
      <c r="AA98" s="137">
        <f>Summary_LCIA!R$32</f>
        <v>5.2655999999999996E-3</v>
      </c>
      <c r="AB98" s="137">
        <f>Summary_LCIA!S$32</f>
        <v>0.33538000000000001</v>
      </c>
      <c r="AC98" s="137">
        <f>Summary_LCIA!T$32</f>
        <v>0.1099</v>
      </c>
      <c r="AD98" s="137">
        <f>Summary_LCIA!U$32</f>
        <v>1.7913999999999999E-2</v>
      </c>
      <c r="AE98" s="137">
        <f>Summary_LCIA!V$32</f>
        <v>4.7760999999999999E-5</v>
      </c>
      <c r="AF98" s="137">
        <f>Summary_LCIA!W$32</f>
        <v>7.6970999999999998E-2</v>
      </c>
      <c r="AG98" s="137">
        <f>Summary_LCIA!X$32</f>
        <v>2.2780000000000002E-2</v>
      </c>
      <c r="AH98" s="137">
        <f>Summary_LCIA!Y$32</f>
        <v>1.5582E-2</v>
      </c>
      <c r="AI98" s="137">
        <f>Summary_LCIA!Z$32</f>
        <v>4.1009E-5</v>
      </c>
      <c r="AJ98" s="137">
        <f>Summary_LCIA!AA$32</f>
        <v>2.3355999999999998E-2</v>
      </c>
      <c r="AK98" s="137">
        <f>Summary_LCIA!AB$32</f>
        <v>-2.1823000000000001E-5</v>
      </c>
      <c r="AL98" s="137">
        <f>Summary_LCIA!AC$32</f>
        <v>4.8884000000000003E-8</v>
      </c>
      <c r="AM98" s="137">
        <f>Summary_LCIA!AD$32</f>
        <v>4.1103999999999999E-4</v>
      </c>
      <c r="AN98" s="137">
        <f>Summary_LCIA!AE$32</f>
        <v>8.8612999999999995E-4</v>
      </c>
      <c r="AO98" s="137">
        <f>Summary_LCIA!AF$32</f>
        <v>8.4542000000000005E-4</v>
      </c>
      <c r="AP98" s="137">
        <f>Summary_LCIA!AG$32</f>
        <v>5.1165000000000002E-5</v>
      </c>
      <c r="AQ98" s="137">
        <f>Summary_LCIA!AH$32</f>
        <v>8.7036000000000006E-3</v>
      </c>
      <c r="AR98" s="137">
        <f>Summary_LCIA!AI$32</f>
        <v>9.3154999999999996E-4</v>
      </c>
      <c r="AT98" s="137">
        <f t="shared" si="24"/>
        <v>73.260200400000002</v>
      </c>
      <c r="AU98" s="137">
        <f t="shared" si="25"/>
        <v>1068.5145612539341</v>
      </c>
      <c r="AV98" s="137">
        <f t="shared" si="26"/>
        <v>1.1352528287999999</v>
      </c>
      <c r="AW98" s="137">
        <f t="shared" si="27"/>
        <v>72.307257240000013</v>
      </c>
      <c r="AX98" s="137">
        <f t="shared" si="28"/>
        <v>23.6942202</v>
      </c>
      <c r="AY98" s="137">
        <f t="shared" si="29"/>
        <v>3.8622225720000003</v>
      </c>
      <c r="AZ98" s="137">
        <f t="shared" si="30"/>
        <v>1.0297176078E-2</v>
      </c>
      <c r="BA98" s="137">
        <f t="shared" si="31"/>
        <v>16.594793658</v>
      </c>
      <c r="BB98" s="137">
        <f t="shared" si="32"/>
        <v>4.9113224400000011</v>
      </c>
      <c r="BC98" s="137">
        <f t="shared" si="33"/>
        <v>3.3594480360000003</v>
      </c>
      <c r="BD98" s="137">
        <f t="shared" si="34"/>
        <v>8.841458382000001E-3</v>
      </c>
      <c r="BE98" s="137">
        <f t="shared" si="35"/>
        <v>5.0355068879999996</v>
      </c>
      <c r="BF98" s="137">
        <f t="shared" si="36"/>
        <v>-4.7049951540000003E-3</v>
      </c>
      <c r="BG98" s="137">
        <f t="shared" si="37"/>
        <v>1.0539292632E-5</v>
      </c>
      <c r="BH98" s="137">
        <f t="shared" si="38"/>
        <v>8.8619401920000007E-2</v>
      </c>
      <c r="BI98" s="137">
        <f t="shared" si="39"/>
        <v>0.19104785573999999</v>
      </c>
      <c r="BJ98" s="137">
        <f t="shared" si="40"/>
        <v>0.18227086116000002</v>
      </c>
      <c r="BK98" s="137">
        <f t="shared" si="41"/>
        <v>1.1031071670000002E-2</v>
      </c>
      <c r="BL98" s="137">
        <f t="shared" si="42"/>
        <v>1.8764787528000002</v>
      </c>
      <c r="BM98" s="137">
        <f t="shared" si="43"/>
        <v>0.20084031690000001</v>
      </c>
    </row>
    <row r="99" spans="1:65" x14ac:dyDescent="0.25">
      <c r="A99" s="149">
        <v>256</v>
      </c>
      <c r="B99" s="149">
        <v>6</v>
      </c>
      <c r="C99" s="61">
        <v>43.073051999999997</v>
      </c>
      <c r="D99" s="61">
        <v>-89.401229999999998</v>
      </c>
      <c r="E99" s="61" t="s">
        <v>265</v>
      </c>
      <c r="F99" s="149">
        <v>114</v>
      </c>
      <c r="G99" s="61" t="s">
        <v>639</v>
      </c>
      <c r="H99" s="61" t="s">
        <v>640</v>
      </c>
      <c r="I99" s="61">
        <v>42.947552999999999</v>
      </c>
      <c r="J99" s="61">
        <v>-87.896646000000004</v>
      </c>
      <c r="K99" s="61">
        <v>124.3178211</v>
      </c>
      <c r="L99" s="61">
        <v>138.58099999999999</v>
      </c>
      <c r="M99" s="61" t="s">
        <v>617</v>
      </c>
      <c r="N99" s="149">
        <v>5</v>
      </c>
      <c r="O99" s="149">
        <v>6</v>
      </c>
      <c r="P99" s="61" t="s">
        <v>565</v>
      </c>
      <c r="Q99" s="61" t="s">
        <v>564</v>
      </c>
      <c r="R99" s="61">
        <v>41.98028</v>
      </c>
      <c r="S99" s="61">
        <v>-87.908997900000003</v>
      </c>
      <c r="T99" s="61">
        <v>215.59800000000001</v>
      </c>
      <c r="U99" s="61" t="s">
        <v>617</v>
      </c>
      <c r="V99" s="61" t="s">
        <v>617</v>
      </c>
      <c r="W99" s="61"/>
      <c r="Y99" s="137">
        <f>Summary_LCIA!H$32</f>
        <v>0.33979999999999999</v>
      </c>
      <c r="Z99" s="137">
        <f>Summary_LCIA!Q$32</f>
        <v>4.9560504329999997</v>
      </c>
      <c r="AA99" s="137">
        <f>Summary_LCIA!R$32</f>
        <v>5.2655999999999996E-3</v>
      </c>
      <c r="AB99" s="137">
        <f>Summary_LCIA!S$32</f>
        <v>0.33538000000000001</v>
      </c>
      <c r="AC99" s="137">
        <f>Summary_LCIA!T$32</f>
        <v>0.1099</v>
      </c>
      <c r="AD99" s="137">
        <f>Summary_LCIA!U$32</f>
        <v>1.7913999999999999E-2</v>
      </c>
      <c r="AE99" s="137">
        <f>Summary_LCIA!V$32</f>
        <v>4.7760999999999999E-5</v>
      </c>
      <c r="AF99" s="137">
        <f>Summary_LCIA!W$32</f>
        <v>7.6970999999999998E-2</v>
      </c>
      <c r="AG99" s="137">
        <f>Summary_LCIA!X$32</f>
        <v>2.2780000000000002E-2</v>
      </c>
      <c r="AH99" s="137">
        <f>Summary_LCIA!Y$32</f>
        <v>1.5582E-2</v>
      </c>
      <c r="AI99" s="137">
        <f>Summary_LCIA!Z$32</f>
        <v>4.1009E-5</v>
      </c>
      <c r="AJ99" s="137">
        <f>Summary_LCIA!AA$32</f>
        <v>2.3355999999999998E-2</v>
      </c>
      <c r="AK99" s="137">
        <f>Summary_LCIA!AB$32</f>
        <v>-2.1823000000000001E-5</v>
      </c>
      <c r="AL99" s="137">
        <f>Summary_LCIA!AC$32</f>
        <v>4.8884000000000003E-8</v>
      </c>
      <c r="AM99" s="137">
        <f>Summary_LCIA!AD$32</f>
        <v>4.1103999999999999E-4</v>
      </c>
      <c r="AN99" s="137">
        <f>Summary_LCIA!AE$32</f>
        <v>8.8612999999999995E-4</v>
      </c>
      <c r="AO99" s="137">
        <f>Summary_LCIA!AF$32</f>
        <v>8.4542000000000005E-4</v>
      </c>
      <c r="AP99" s="137">
        <f>Summary_LCIA!AG$32</f>
        <v>5.1165000000000002E-5</v>
      </c>
      <c r="AQ99" s="137">
        <f>Summary_LCIA!AH$32</f>
        <v>8.7036000000000006E-3</v>
      </c>
      <c r="AR99" s="137">
        <f>Summary_LCIA!AI$32</f>
        <v>9.3154999999999996E-4</v>
      </c>
      <c r="AT99" s="137">
        <f t="shared" si="24"/>
        <v>73.260200400000002</v>
      </c>
      <c r="AU99" s="137">
        <f t="shared" si="25"/>
        <v>1068.5145612539341</v>
      </c>
      <c r="AV99" s="137">
        <f t="shared" si="26"/>
        <v>1.1352528287999999</v>
      </c>
      <c r="AW99" s="137">
        <f t="shared" si="27"/>
        <v>72.307257240000013</v>
      </c>
      <c r="AX99" s="137">
        <f t="shared" si="28"/>
        <v>23.6942202</v>
      </c>
      <c r="AY99" s="137">
        <f t="shared" si="29"/>
        <v>3.8622225720000003</v>
      </c>
      <c r="AZ99" s="137">
        <f t="shared" si="30"/>
        <v>1.0297176078E-2</v>
      </c>
      <c r="BA99" s="137">
        <f t="shared" si="31"/>
        <v>16.594793658</v>
      </c>
      <c r="BB99" s="137">
        <f t="shared" si="32"/>
        <v>4.9113224400000011</v>
      </c>
      <c r="BC99" s="137">
        <f t="shared" si="33"/>
        <v>3.3594480360000003</v>
      </c>
      <c r="BD99" s="137">
        <f t="shared" si="34"/>
        <v>8.841458382000001E-3</v>
      </c>
      <c r="BE99" s="137">
        <f t="shared" si="35"/>
        <v>5.0355068879999996</v>
      </c>
      <c r="BF99" s="137">
        <f t="shared" si="36"/>
        <v>-4.7049951540000003E-3</v>
      </c>
      <c r="BG99" s="137">
        <f t="shared" si="37"/>
        <v>1.0539292632E-5</v>
      </c>
      <c r="BH99" s="137">
        <f t="shared" si="38"/>
        <v>8.8619401920000007E-2</v>
      </c>
      <c r="BI99" s="137">
        <f t="shared" si="39"/>
        <v>0.19104785573999999</v>
      </c>
      <c r="BJ99" s="137">
        <f t="shared" si="40"/>
        <v>0.18227086116000002</v>
      </c>
      <c r="BK99" s="137">
        <f t="shared" si="41"/>
        <v>1.1031071670000002E-2</v>
      </c>
      <c r="BL99" s="137">
        <f t="shared" si="42"/>
        <v>1.8764787528000002</v>
      </c>
      <c r="BM99" s="137">
        <f t="shared" si="43"/>
        <v>0.20084031690000001</v>
      </c>
    </row>
    <row r="100" spans="1:65" x14ac:dyDescent="0.25">
      <c r="A100" s="149">
        <v>257</v>
      </c>
      <c r="B100" s="149">
        <v>6</v>
      </c>
      <c r="C100" s="61">
        <v>43.073051999999997</v>
      </c>
      <c r="D100" s="61">
        <v>-89.401229999999998</v>
      </c>
      <c r="E100" s="61" t="s">
        <v>265</v>
      </c>
      <c r="F100" s="149">
        <v>114</v>
      </c>
      <c r="G100" s="61" t="s">
        <v>639</v>
      </c>
      <c r="H100" s="61" t="s">
        <v>640</v>
      </c>
      <c r="I100" s="61">
        <v>42.947552999999999</v>
      </c>
      <c r="J100" s="61">
        <v>-87.896646000000004</v>
      </c>
      <c r="K100" s="61">
        <v>124.3178211</v>
      </c>
      <c r="L100" s="61">
        <v>138.58099999999999</v>
      </c>
      <c r="M100" s="61" t="s">
        <v>617</v>
      </c>
      <c r="N100" s="149">
        <v>5</v>
      </c>
      <c r="O100" s="149">
        <v>6</v>
      </c>
      <c r="P100" s="61" t="s">
        <v>565</v>
      </c>
      <c r="Q100" s="61" t="s">
        <v>564</v>
      </c>
      <c r="R100" s="61">
        <v>41.98028</v>
      </c>
      <c r="S100" s="61">
        <v>-87.908997900000003</v>
      </c>
      <c r="T100" s="61">
        <v>215.59800000000001</v>
      </c>
      <c r="U100" s="61" t="s">
        <v>617</v>
      </c>
      <c r="V100" s="61" t="s">
        <v>617</v>
      </c>
      <c r="W100" s="61"/>
      <c r="Y100" s="137">
        <f>Summary_LCIA!H$32</f>
        <v>0.33979999999999999</v>
      </c>
      <c r="Z100" s="137">
        <f>Summary_LCIA!Q$32</f>
        <v>4.9560504329999997</v>
      </c>
      <c r="AA100" s="137">
        <f>Summary_LCIA!R$32</f>
        <v>5.2655999999999996E-3</v>
      </c>
      <c r="AB100" s="137">
        <f>Summary_LCIA!S$32</f>
        <v>0.33538000000000001</v>
      </c>
      <c r="AC100" s="137">
        <f>Summary_LCIA!T$32</f>
        <v>0.1099</v>
      </c>
      <c r="AD100" s="137">
        <f>Summary_LCIA!U$32</f>
        <v>1.7913999999999999E-2</v>
      </c>
      <c r="AE100" s="137">
        <f>Summary_LCIA!V$32</f>
        <v>4.7760999999999999E-5</v>
      </c>
      <c r="AF100" s="137">
        <f>Summary_LCIA!W$32</f>
        <v>7.6970999999999998E-2</v>
      </c>
      <c r="AG100" s="137">
        <f>Summary_LCIA!X$32</f>
        <v>2.2780000000000002E-2</v>
      </c>
      <c r="AH100" s="137">
        <f>Summary_LCIA!Y$32</f>
        <v>1.5582E-2</v>
      </c>
      <c r="AI100" s="137">
        <f>Summary_LCIA!Z$32</f>
        <v>4.1009E-5</v>
      </c>
      <c r="AJ100" s="137">
        <f>Summary_LCIA!AA$32</f>
        <v>2.3355999999999998E-2</v>
      </c>
      <c r="AK100" s="137">
        <f>Summary_LCIA!AB$32</f>
        <v>-2.1823000000000001E-5</v>
      </c>
      <c r="AL100" s="137">
        <f>Summary_LCIA!AC$32</f>
        <v>4.8884000000000003E-8</v>
      </c>
      <c r="AM100" s="137">
        <f>Summary_LCIA!AD$32</f>
        <v>4.1103999999999999E-4</v>
      </c>
      <c r="AN100" s="137">
        <f>Summary_LCIA!AE$32</f>
        <v>8.8612999999999995E-4</v>
      </c>
      <c r="AO100" s="137">
        <f>Summary_LCIA!AF$32</f>
        <v>8.4542000000000005E-4</v>
      </c>
      <c r="AP100" s="137">
        <f>Summary_LCIA!AG$32</f>
        <v>5.1165000000000002E-5</v>
      </c>
      <c r="AQ100" s="137">
        <f>Summary_LCIA!AH$32</f>
        <v>8.7036000000000006E-3</v>
      </c>
      <c r="AR100" s="137">
        <f>Summary_LCIA!AI$32</f>
        <v>9.3154999999999996E-4</v>
      </c>
      <c r="AT100" s="137">
        <f t="shared" si="24"/>
        <v>73.260200400000002</v>
      </c>
      <c r="AU100" s="137">
        <f t="shared" si="25"/>
        <v>1068.5145612539341</v>
      </c>
      <c r="AV100" s="137">
        <f t="shared" si="26"/>
        <v>1.1352528287999999</v>
      </c>
      <c r="AW100" s="137">
        <f t="shared" si="27"/>
        <v>72.307257240000013</v>
      </c>
      <c r="AX100" s="137">
        <f t="shared" si="28"/>
        <v>23.6942202</v>
      </c>
      <c r="AY100" s="137">
        <f t="shared" si="29"/>
        <v>3.8622225720000003</v>
      </c>
      <c r="AZ100" s="137">
        <f t="shared" si="30"/>
        <v>1.0297176078E-2</v>
      </c>
      <c r="BA100" s="137">
        <f t="shared" si="31"/>
        <v>16.594793658</v>
      </c>
      <c r="BB100" s="137">
        <f t="shared" si="32"/>
        <v>4.9113224400000011</v>
      </c>
      <c r="BC100" s="137">
        <f t="shared" si="33"/>
        <v>3.3594480360000003</v>
      </c>
      <c r="BD100" s="137">
        <f t="shared" si="34"/>
        <v>8.841458382000001E-3</v>
      </c>
      <c r="BE100" s="137">
        <f t="shared" si="35"/>
        <v>5.0355068879999996</v>
      </c>
      <c r="BF100" s="137">
        <f t="shared" si="36"/>
        <v>-4.7049951540000003E-3</v>
      </c>
      <c r="BG100" s="137">
        <f t="shared" si="37"/>
        <v>1.0539292632E-5</v>
      </c>
      <c r="BH100" s="137">
        <f t="shared" si="38"/>
        <v>8.8619401920000007E-2</v>
      </c>
      <c r="BI100" s="137">
        <f t="shared" si="39"/>
        <v>0.19104785573999999</v>
      </c>
      <c r="BJ100" s="137">
        <f t="shared" si="40"/>
        <v>0.18227086116000002</v>
      </c>
      <c r="BK100" s="137">
        <f t="shared" si="41"/>
        <v>1.1031071670000002E-2</v>
      </c>
      <c r="BL100" s="137">
        <f t="shared" si="42"/>
        <v>1.8764787528000002</v>
      </c>
      <c r="BM100" s="137">
        <f t="shared" si="43"/>
        <v>0.20084031690000001</v>
      </c>
    </row>
    <row r="101" spans="1:65" x14ac:dyDescent="0.25">
      <c r="A101" s="149">
        <v>258</v>
      </c>
      <c r="B101" s="149">
        <v>6</v>
      </c>
      <c r="C101" s="61">
        <v>43.073051999999997</v>
      </c>
      <c r="D101" s="61">
        <v>-89.401229999999998</v>
      </c>
      <c r="E101" s="61" t="s">
        <v>265</v>
      </c>
      <c r="F101" s="149">
        <v>114</v>
      </c>
      <c r="G101" s="61" t="s">
        <v>639</v>
      </c>
      <c r="H101" s="61" t="s">
        <v>640</v>
      </c>
      <c r="I101" s="61">
        <v>42.947552999999999</v>
      </c>
      <c r="J101" s="61">
        <v>-87.896646000000004</v>
      </c>
      <c r="K101" s="61">
        <v>124.3178211</v>
      </c>
      <c r="L101" s="61">
        <v>138.58099999999999</v>
      </c>
      <c r="M101" s="61" t="s">
        <v>617</v>
      </c>
      <c r="N101" s="149">
        <v>5</v>
      </c>
      <c r="O101" s="149">
        <v>6</v>
      </c>
      <c r="P101" s="61" t="s">
        <v>565</v>
      </c>
      <c r="Q101" s="61" t="s">
        <v>564</v>
      </c>
      <c r="R101" s="61">
        <v>41.98028</v>
      </c>
      <c r="S101" s="61">
        <v>-87.908997900000003</v>
      </c>
      <c r="T101" s="61">
        <v>215.59800000000001</v>
      </c>
      <c r="U101" s="61" t="s">
        <v>617</v>
      </c>
      <c r="V101" s="61" t="s">
        <v>617</v>
      </c>
      <c r="W101" s="61"/>
      <c r="Y101" s="137">
        <f>Summary_LCIA!H$32</f>
        <v>0.33979999999999999</v>
      </c>
      <c r="Z101" s="137">
        <f>Summary_LCIA!Q$32</f>
        <v>4.9560504329999997</v>
      </c>
      <c r="AA101" s="137">
        <f>Summary_LCIA!R$32</f>
        <v>5.2655999999999996E-3</v>
      </c>
      <c r="AB101" s="137">
        <f>Summary_LCIA!S$32</f>
        <v>0.33538000000000001</v>
      </c>
      <c r="AC101" s="137">
        <f>Summary_LCIA!T$32</f>
        <v>0.1099</v>
      </c>
      <c r="AD101" s="137">
        <f>Summary_LCIA!U$32</f>
        <v>1.7913999999999999E-2</v>
      </c>
      <c r="AE101" s="137">
        <f>Summary_LCIA!V$32</f>
        <v>4.7760999999999999E-5</v>
      </c>
      <c r="AF101" s="137">
        <f>Summary_LCIA!W$32</f>
        <v>7.6970999999999998E-2</v>
      </c>
      <c r="AG101" s="137">
        <f>Summary_LCIA!X$32</f>
        <v>2.2780000000000002E-2</v>
      </c>
      <c r="AH101" s="137">
        <f>Summary_LCIA!Y$32</f>
        <v>1.5582E-2</v>
      </c>
      <c r="AI101" s="137">
        <f>Summary_LCIA!Z$32</f>
        <v>4.1009E-5</v>
      </c>
      <c r="AJ101" s="137">
        <f>Summary_LCIA!AA$32</f>
        <v>2.3355999999999998E-2</v>
      </c>
      <c r="AK101" s="137">
        <f>Summary_LCIA!AB$32</f>
        <v>-2.1823000000000001E-5</v>
      </c>
      <c r="AL101" s="137">
        <f>Summary_LCIA!AC$32</f>
        <v>4.8884000000000003E-8</v>
      </c>
      <c r="AM101" s="137">
        <f>Summary_LCIA!AD$32</f>
        <v>4.1103999999999999E-4</v>
      </c>
      <c r="AN101" s="137">
        <f>Summary_LCIA!AE$32</f>
        <v>8.8612999999999995E-4</v>
      </c>
      <c r="AO101" s="137">
        <f>Summary_LCIA!AF$32</f>
        <v>8.4542000000000005E-4</v>
      </c>
      <c r="AP101" s="137">
        <f>Summary_LCIA!AG$32</f>
        <v>5.1165000000000002E-5</v>
      </c>
      <c r="AQ101" s="137">
        <f>Summary_LCIA!AH$32</f>
        <v>8.7036000000000006E-3</v>
      </c>
      <c r="AR101" s="137">
        <f>Summary_LCIA!AI$32</f>
        <v>9.3154999999999996E-4</v>
      </c>
      <c r="AT101" s="137">
        <f t="shared" si="24"/>
        <v>73.260200400000002</v>
      </c>
      <c r="AU101" s="137">
        <f t="shared" si="25"/>
        <v>1068.5145612539341</v>
      </c>
      <c r="AV101" s="137">
        <f t="shared" si="26"/>
        <v>1.1352528287999999</v>
      </c>
      <c r="AW101" s="137">
        <f t="shared" si="27"/>
        <v>72.307257240000013</v>
      </c>
      <c r="AX101" s="137">
        <f t="shared" si="28"/>
        <v>23.6942202</v>
      </c>
      <c r="AY101" s="137">
        <f t="shared" si="29"/>
        <v>3.8622225720000003</v>
      </c>
      <c r="AZ101" s="137">
        <f t="shared" si="30"/>
        <v>1.0297176078E-2</v>
      </c>
      <c r="BA101" s="137">
        <f t="shared" si="31"/>
        <v>16.594793658</v>
      </c>
      <c r="BB101" s="137">
        <f t="shared" si="32"/>
        <v>4.9113224400000011</v>
      </c>
      <c r="BC101" s="137">
        <f t="shared" si="33"/>
        <v>3.3594480360000003</v>
      </c>
      <c r="BD101" s="137">
        <f t="shared" si="34"/>
        <v>8.841458382000001E-3</v>
      </c>
      <c r="BE101" s="137">
        <f t="shared" si="35"/>
        <v>5.0355068879999996</v>
      </c>
      <c r="BF101" s="137">
        <f t="shared" si="36"/>
        <v>-4.7049951540000003E-3</v>
      </c>
      <c r="BG101" s="137">
        <f t="shared" si="37"/>
        <v>1.0539292632E-5</v>
      </c>
      <c r="BH101" s="137">
        <f t="shared" si="38"/>
        <v>8.8619401920000007E-2</v>
      </c>
      <c r="BI101" s="137">
        <f t="shared" si="39"/>
        <v>0.19104785573999999</v>
      </c>
      <c r="BJ101" s="137">
        <f t="shared" si="40"/>
        <v>0.18227086116000002</v>
      </c>
      <c r="BK101" s="137">
        <f t="shared" si="41"/>
        <v>1.1031071670000002E-2</v>
      </c>
      <c r="BL101" s="137">
        <f t="shared" si="42"/>
        <v>1.8764787528000002</v>
      </c>
      <c r="BM101" s="137">
        <f t="shared" si="43"/>
        <v>0.20084031690000001</v>
      </c>
    </row>
    <row r="102" spans="1:65" x14ac:dyDescent="0.25">
      <c r="A102" s="149">
        <v>259</v>
      </c>
      <c r="B102" s="149">
        <v>6</v>
      </c>
      <c r="C102" s="61">
        <v>43.073051999999997</v>
      </c>
      <c r="D102" s="61">
        <v>-89.401229999999998</v>
      </c>
      <c r="E102" s="61" t="s">
        <v>265</v>
      </c>
      <c r="F102" s="149">
        <v>114</v>
      </c>
      <c r="G102" s="61" t="s">
        <v>639</v>
      </c>
      <c r="H102" s="61" t="s">
        <v>640</v>
      </c>
      <c r="I102" s="61">
        <v>42.947552999999999</v>
      </c>
      <c r="J102" s="61">
        <v>-87.896646000000004</v>
      </c>
      <c r="K102" s="61">
        <v>124.3178211</v>
      </c>
      <c r="L102" s="61">
        <v>138.58099999999999</v>
      </c>
      <c r="M102" s="61" t="s">
        <v>617</v>
      </c>
      <c r="N102" s="149">
        <v>5</v>
      </c>
      <c r="O102" s="149">
        <v>6</v>
      </c>
      <c r="P102" s="61" t="s">
        <v>565</v>
      </c>
      <c r="Q102" s="61" t="s">
        <v>564</v>
      </c>
      <c r="R102" s="61">
        <v>41.98028</v>
      </c>
      <c r="S102" s="61">
        <v>-87.908997900000003</v>
      </c>
      <c r="T102" s="61">
        <v>215.59800000000001</v>
      </c>
      <c r="U102" s="61" t="s">
        <v>617</v>
      </c>
      <c r="V102" s="61" t="s">
        <v>617</v>
      </c>
      <c r="W102" s="61"/>
      <c r="Y102" s="137">
        <f>Summary_LCIA!H$32</f>
        <v>0.33979999999999999</v>
      </c>
      <c r="Z102" s="137">
        <f>Summary_LCIA!Q$32</f>
        <v>4.9560504329999997</v>
      </c>
      <c r="AA102" s="137">
        <f>Summary_LCIA!R$32</f>
        <v>5.2655999999999996E-3</v>
      </c>
      <c r="AB102" s="137">
        <f>Summary_LCIA!S$32</f>
        <v>0.33538000000000001</v>
      </c>
      <c r="AC102" s="137">
        <f>Summary_LCIA!T$32</f>
        <v>0.1099</v>
      </c>
      <c r="AD102" s="137">
        <f>Summary_LCIA!U$32</f>
        <v>1.7913999999999999E-2</v>
      </c>
      <c r="AE102" s="137">
        <f>Summary_LCIA!V$32</f>
        <v>4.7760999999999999E-5</v>
      </c>
      <c r="AF102" s="137">
        <f>Summary_LCIA!W$32</f>
        <v>7.6970999999999998E-2</v>
      </c>
      <c r="AG102" s="137">
        <f>Summary_LCIA!X$32</f>
        <v>2.2780000000000002E-2</v>
      </c>
      <c r="AH102" s="137">
        <f>Summary_LCIA!Y$32</f>
        <v>1.5582E-2</v>
      </c>
      <c r="AI102" s="137">
        <f>Summary_LCIA!Z$32</f>
        <v>4.1009E-5</v>
      </c>
      <c r="AJ102" s="137">
        <f>Summary_LCIA!AA$32</f>
        <v>2.3355999999999998E-2</v>
      </c>
      <c r="AK102" s="137">
        <f>Summary_LCIA!AB$32</f>
        <v>-2.1823000000000001E-5</v>
      </c>
      <c r="AL102" s="137">
        <f>Summary_LCIA!AC$32</f>
        <v>4.8884000000000003E-8</v>
      </c>
      <c r="AM102" s="137">
        <f>Summary_LCIA!AD$32</f>
        <v>4.1103999999999999E-4</v>
      </c>
      <c r="AN102" s="137">
        <f>Summary_LCIA!AE$32</f>
        <v>8.8612999999999995E-4</v>
      </c>
      <c r="AO102" s="137">
        <f>Summary_LCIA!AF$32</f>
        <v>8.4542000000000005E-4</v>
      </c>
      <c r="AP102" s="137">
        <f>Summary_LCIA!AG$32</f>
        <v>5.1165000000000002E-5</v>
      </c>
      <c r="AQ102" s="137">
        <f>Summary_LCIA!AH$32</f>
        <v>8.7036000000000006E-3</v>
      </c>
      <c r="AR102" s="137">
        <f>Summary_LCIA!AI$32</f>
        <v>9.3154999999999996E-4</v>
      </c>
      <c r="AT102" s="137">
        <f t="shared" si="24"/>
        <v>73.260200400000002</v>
      </c>
      <c r="AU102" s="137">
        <f t="shared" si="25"/>
        <v>1068.5145612539341</v>
      </c>
      <c r="AV102" s="137">
        <f t="shared" si="26"/>
        <v>1.1352528287999999</v>
      </c>
      <c r="AW102" s="137">
        <f t="shared" si="27"/>
        <v>72.307257240000013</v>
      </c>
      <c r="AX102" s="137">
        <f t="shared" si="28"/>
        <v>23.6942202</v>
      </c>
      <c r="AY102" s="137">
        <f t="shared" si="29"/>
        <v>3.8622225720000003</v>
      </c>
      <c r="AZ102" s="137">
        <f t="shared" si="30"/>
        <v>1.0297176078E-2</v>
      </c>
      <c r="BA102" s="137">
        <f t="shared" si="31"/>
        <v>16.594793658</v>
      </c>
      <c r="BB102" s="137">
        <f t="shared" si="32"/>
        <v>4.9113224400000011</v>
      </c>
      <c r="BC102" s="137">
        <f t="shared" si="33"/>
        <v>3.3594480360000003</v>
      </c>
      <c r="BD102" s="137">
        <f t="shared" si="34"/>
        <v>8.841458382000001E-3</v>
      </c>
      <c r="BE102" s="137">
        <f t="shared" si="35"/>
        <v>5.0355068879999996</v>
      </c>
      <c r="BF102" s="137">
        <f t="shared" si="36"/>
        <v>-4.7049951540000003E-3</v>
      </c>
      <c r="BG102" s="137">
        <f t="shared" si="37"/>
        <v>1.0539292632E-5</v>
      </c>
      <c r="BH102" s="137">
        <f t="shared" si="38"/>
        <v>8.8619401920000007E-2</v>
      </c>
      <c r="BI102" s="137">
        <f t="shared" si="39"/>
        <v>0.19104785573999999</v>
      </c>
      <c r="BJ102" s="137">
        <f t="shared" si="40"/>
        <v>0.18227086116000002</v>
      </c>
      <c r="BK102" s="137">
        <f t="shared" si="41"/>
        <v>1.1031071670000002E-2</v>
      </c>
      <c r="BL102" s="137">
        <f t="shared" si="42"/>
        <v>1.8764787528000002</v>
      </c>
      <c r="BM102" s="137">
        <f t="shared" si="43"/>
        <v>0.20084031690000001</v>
      </c>
    </row>
    <row r="103" spans="1:65" x14ac:dyDescent="0.25">
      <c r="A103" s="149">
        <v>260</v>
      </c>
      <c r="B103" s="149">
        <v>6</v>
      </c>
      <c r="C103" s="61">
        <v>43.073051999999997</v>
      </c>
      <c r="D103" s="61">
        <v>-89.401229999999998</v>
      </c>
      <c r="E103" s="61" t="s">
        <v>265</v>
      </c>
      <c r="F103" s="149">
        <v>114</v>
      </c>
      <c r="G103" s="61" t="s">
        <v>639</v>
      </c>
      <c r="H103" s="61" t="s">
        <v>640</v>
      </c>
      <c r="I103" s="61">
        <v>42.947552999999999</v>
      </c>
      <c r="J103" s="61">
        <v>-87.896646000000004</v>
      </c>
      <c r="K103" s="61">
        <v>124.3178211</v>
      </c>
      <c r="L103" s="61">
        <v>138.58099999999999</v>
      </c>
      <c r="M103" s="61" t="s">
        <v>617</v>
      </c>
      <c r="N103" s="149">
        <v>5</v>
      </c>
      <c r="O103" s="149">
        <v>6</v>
      </c>
      <c r="P103" s="61" t="s">
        <v>565</v>
      </c>
      <c r="Q103" s="61" t="s">
        <v>564</v>
      </c>
      <c r="R103" s="61">
        <v>41.98028</v>
      </c>
      <c r="S103" s="61">
        <v>-87.908997900000003</v>
      </c>
      <c r="T103" s="61">
        <v>215.59800000000001</v>
      </c>
      <c r="U103" s="61" t="s">
        <v>617</v>
      </c>
      <c r="V103" s="61" t="s">
        <v>617</v>
      </c>
      <c r="W103" s="61"/>
      <c r="Y103" s="137">
        <f>Summary_LCIA!H$32</f>
        <v>0.33979999999999999</v>
      </c>
      <c r="Z103" s="137">
        <f>Summary_LCIA!Q$32</f>
        <v>4.9560504329999997</v>
      </c>
      <c r="AA103" s="137">
        <f>Summary_LCIA!R$32</f>
        <v>5.2655999999999996E-3</v>
      </c>
      <c r="AB103" s="137">
        <f>Summary_LCIA!S$32</f>
        <v>0.33538000000000001</v>
      </c>
      <c r="AC103" s="137">
        <f>Summary_LCIA!T$32</f>
        <v>0.1099</v>
      </c>
      <c r="AD103" s="137">
        <f>Summary_LCIA!U$32</f>
        <v>1.7913999999999999E-2</v>
      </c>
      <c r="AE103" s="137">
        <f>Summary_LCIA!V$32</f>
        <v>4.7760999999999999E-5</v>
      </c>
      <c r="AF103" s="137">
        <f>Summary_LCIA!W$32</f>
        <v>7.6970999999999998E-2</v>
      </c>
      <c r="AG103" s="137">
        <f>Summary_LCIA!X$32</f>
        <v>2.2780000000000002E-2</v>
      </c>
      <c r="AH103" s="137">
        <f>Summary_LCIA!Y$32</f>
        <v>1.5582E-2</v>
      </c>
      <c r="AI103" s="137">
        <f>Summary_LCIA!Z$32</f>
        <v>4.1009E-5</v>
      </c>
      <c r="AJ103" s="137">
        <f>Summary_LCIA!AA$32</f>
        <v>2.3355999999999998E-2</v>
      </c>
      <c r="AK103" s="137">
        <f>Summary_LCIA!AB$32</f>
        <v>-2.1823000000000001E-5</v>
      </c>
      <c r="AL103" s="137">
        <f>Summary_LCIA!AC$32</f>
        <v>4.8884000000000003E-8</v>
      </c>
      <c r="AM103" s="137">
        <f>Summary_LCIA!AD$32</f>
        <v>4.1103999999999999E-4</v>
      </c>
      <c r="AN103" s="137">
        <f>Summary_LCIA!AE$32</f>
        <v>8.8612999999999995E-4</v>
      </c>
      <c r="AO103" s="137">
        <f>Summary_LCIA!AF$32</f>
        <v>8.4542000000000005E-4</v>
      </c>
      <c r="AP103" s="137">
        <f>Summary_LCIA!AG$32</f>
        <v>5.1165000000000002E-5</v>
      </c>
      <c r="AQ103" s="137">
        <f>Summary_LCIA!AH$32</f>
        <v>8.7036000000000006E-3</v>
      </c>
      <c r="AR103" s="137">
        <f>Summary_LCIA!AI$32</f>
        <v>9.3154999999999996E-4</v>
      </c>
      <c r="AT103" s="137">
        <f t="shared" si="24"/>
        <v>73.260200400000002</v>
      </c>
      <c r="AU103" s="137">
        <f t="shared" si="25"/>
        <v>1068.5145612539341</v>
      </c>
      <c r="AV103" s="137">
        <f t="shared" si="26"/>
        <v>1.1352528287999999</v>
      </c>
      <c r="AW103" s="137">
        <f t="shared" si="27"/>
        <v>72.307257240000013</v>
      </c>
      <c r="AX103" s="137">
        <f t="shared" si="28"/>
        <v>23.6942202</v>
      </c>
      <c r="AY103" s="137">
        <f t="shared" si="29"/>
        <v>3.8622225720000003</v>
      </c>
      <c r="AZ103" s="137">
        <f t="shared" si="30"/>
        <v>1.0297176078E-2</v>
      </c>
      <c r="BA103" s="137">
        <f t="shared" si="31"/>
        <v>16.594793658</v>
      </c>
      <c r="BB103" s="137">
        <f t="shared" si="32"/>
        <v>4.9113224400000011</v>
      </c>
      <c r="BC103" s="137">
        <f t="shared" si="33"/>
        <v>3.3594480360000003</v>
      </c>
      <c r="BD103" s="137">
        <f t="shared" si="34"/>
        <v>8.841458382000001E-3</v>
      </c>
      <c r="BE103" s="137">
        <f t="shared" si="35"/>
        <v>5.0355068879999996</v>
      </c>
      <c r="BF103" s="137">
        <f t="shared" si="36"/>
        <v>-4.7049951540000003E-3</v>
      </c>
      <c r="BG103" s="137">
        <f t="shared" si="37"/>
        <v>1.0539292632E-5</v>
      </c>
      <c r="BH103" s="137">
        <f t="shared" si="38"/>
        <v>8.8619401920000007E-2</v>
      </c>
      <c r="BI103" s="137">
        <f t="shared" si="39"/>
        <v>0.19104785573999999</v>
      </c>
      <c r="BJ103" s="137">
        <f t="shared" si="40"/>
        <v>0.18227086116000002</v>
      </c>
      <c r="BK103" s="137">
        <f t="shared" si="41"/>
        <v>1.1031071670000002E-2</v>
      </c>
      <c r="BL103" s="137">
        <f t="shared" si="42"/>
        <v>1.8764787528000002</v>
      </c>
      <c r="BM103" s="137">
        <f t="shared" si="43"/>
        <v>0.20084031690000001</v>
      </c>
    </row>
    <row r="104" spans="1:65" x14ac:dyDescent="0.25">
      <c r="A104" s="149">
        <v>261</v>
      </c>
      <c r="B104" s="149">
        <v>6</v>
      </c>
      <c r="C104" s="61">
        <v>43.073051999999997</v>
      </c>
      <c r="D104" s="61">
        <v>-89.401229999999998</v>
      </c>
      <c r="E104" s="61" t="s">
        <v>265</v>
      </c>
      <c r="F104" s="149">
        <v>114</v>
      </c>
      <c r="G104" s="61" t="s">
        <v>639</v>
      </c>
      <c r="H104" s="61" t="s">
        <v>640</v>
      </c>
      <c r="I104" s="61">
        <v>42.947552999999999</v>
      </c>
      <c r="J104" s="61">
        <v>-87.896646000000004</v>
      </c>
      <c r="K104" s="61">
        <v>124.3178211</v>
      </c>
      <c r="L104" s="61">
        <v>138.58099999999999</v>
      </c>
      <c r="M104" s="61" t="s">
        <v>617</v>
      </c>
      <c r="N104" s="149">
        <v>5</v>
      </c>
      <c r="O104" s="149">
        <v>6</v>
      </c>
      <c r="P104" s="61" t="s">
        <v>565</v>
      </c>
      <c r="Q104" s="61" t="s">
        <v>564</v>
      </c>
      <c r="R104" s="61">
        <v>41.98028</v>
      </c>
      <c r="S104" s="61">
        <v>-87.908997900000003</v>
      </c>
      <c r="T104" s="61">
        <v>215.59800000000001</v>
      </c>
      <c r="U104" s="61" t="s">
        <v>617</v>
      </c>
      <c r="V104" s="61" t="s">
        <v>617</v>
      </c>
      <c r="W104" s="61"/>
      <c r="Y104" s="137">
        <f>Summary_LCIA!H$32</f>
        <v>0.33979999999999999</v>
      </c>
      <c r="Z104" s="137">
        <f>Summary_LCIA!Q$32</f>
        <v>4.9560504329999997</v>
      </c>
      <c r="AA104" s="137">
        <f>Summary_LCIA!R$32</f>
        <v>5.2655999999999996E-3</v>
      </c>
      <c r="AB104" s="137">
        <f>Summary_LCIA!S$32</f>
        <v>0.33538000000000001</v>
      </c>
      <c r="AC104" s="137">
        <f>Summary_LCIA!T$32</f>
        <v>0.1099</v>
      </c>
      <c r="AD104" s="137">
        <f>Summary_LCIA!U$32</f>
        <v>1.7913999999999999E-2</v>
      </c>
      <c r="AE104" s="137">
        <f>Summary_LCIA!V$32</f>
        <v>4.7760999999999999E-5</v>
      </c>
      <c r="AF104" s="137">
        <f>Summary_LCIA!W$32</f>
        <v>7.6970999999999998E-2</v>
      </c>
      <c r="AG104" s="137">
        <f>Summary_LCIA!X$32</f>
        <v>2.2780000000000002E-2</v>
      </c>
      <c r="AH104" s="137">
        <f>Summary_LCIA!Y$32</f>
        <v>1.5582E-2</v>
      </c>
      <c r="AI104" s="137">
        <f>Summary_LCIA!Z$32</f>
        <v>4.1009E-5</v>
      </c>
      <c r="AJ104" s="137">
        <f>Summary_LCIA!AA$32</f>
        <v>2.3355999999999998E-2</v>
      </c>
      <c r="AK104" s="137">
        <f>Summary_LCIA!AB$32</f>
        <v>-2.1823000000000001E-5</v>
      </c>
      <c r="AL104" s="137">
        <f>Summary_LCIA!AC$32</f>
        <v>4.8884000000000003E-8</v>
      </c>
      <c r="AM104" s="137">
        <f>Summary_LCIA!AD$32</f>
        <v>4.1103999999999999E-4</v>
      </c>
      <c r="AN104" s="137">
        <f>Summary_LCIA!AE$32</f>
        <v>8.8612999999999995E-4</v>
      </c>
      <c r="AO104" s="137">
        <f>Summary_LCIA!AF$32</f>
        <v>8.4542000000000005E-4</v>
      </c>
      <c r="AP104" s="137">
        <f>Summary_LCIA!AG$32</f>
        <v>5.1165000000000002E-5</v>
      </c>
      <c r="AQ104" s="137">
        <f>Summary_LCIA!AH$32</f>
        <v>8.7036000000000006E-3</v>
      </c>
      <c r="AR104" s="137">
        <f>Summary_LCIA!AI$32</f>
        <v>9.3154999999999996E-4</v>
      </c>
      <c r="AT104" s="137">
        <f t="shared" si="24"/>
        <v>73.260200400000002</v>
      </c>
      <c r="AU104" s="137">
        <f t="shared" si="25"/>
        <v>1068.5145612539341</v>
      </c>
      <c r="AV104" s="137">
        <f t="shared" si="26"/>
        <v>1.1352528287999999</v>
      </c>
      <c r="AW104" s="137">
        <f t="shared" si="27"/>
        <v>72.307257240000013</v>
      </c>
      <c r="AX104" s="137">
        <f t="shared" si="28"/>
        <v>23.6942202</v>
      </c>
      <c r="AY104" s="137">
        <f t="shared" si="29"/>
        <v>3.8622225720000003</v>
      </c>
      <c r="AZ104" s="137">
        <f t="shared" si="30"/>
        <v>1.0297176078E-2</v>
      </c>
      <c r="BA104" s="137">
        <f t="shared" si="31"/>
        <v>16.594793658</v>
      </c>
      <c r="BB104" s="137">
        <f t="shared" si="32"/>
        <v>4.9113224400000011</v>
      </c>
      <c r="BC104" s="137">
        <f t="shared" si="33"/>
        <v>3.3594480360000003</v>
      </c>
      <c r="BD104" s="137">
        <f t="shared" si="34"/>
        <v>8.841458382000001E-3</v>
      </c>
      <c r="BE104" s="137">
        <f t="shared" si="35"/>
        <v>5.0355068879999996</v>
      </c>
      <c r="BF104" s="137">
        <f t="shared" si="36"/>
        <v>-4.7049951540000003E-3</v>
      </c>
      <c r="BG104" s="137">
        <f t="shared" si="37"/>
        <v>1.0539292632E-5</v>
      </c>
      <c r="BH104" s="137">
        <f t="shared" si="38"/>
        <v>8.8619401920000007E-2</v>
      </c>
      <c r="BI104" s="137">
        <f t="shared" si="39"/>
        <v>0.19104785573999999</v>
      </c>
      <c r="BJ104" s="137">
        <f t="shared" si="40"/>
        <v>0.18227086116000002</v>
      </c>
      <c r="BK104" s="137">
        <f t="shared" si="41"/>
        <v>1.1031071670000002E-2</v>
      </c>
      <c r="BL104" s="137">
        <f t="shared" si="42"/>
        <v>1.8764787528000002</v>
      </c>
      <c r="BM104" s="137">
        <f t="shared" si="43"/>
        <v>0.20084031690000001</v>
      </c>
    </row>
    <row r="105" spans="1:65" x14ac:dyDescent="0.25">
      <c r="A105" s="149">
        <v>262</v>
      </c>
      <c r="B105" s="149">
        <v>6</v>
      </c>
      <c r="C105" s="61">
        <v>43.069034000000002</v>
      </c>
      <c r="D105" s="61">
        <v>-89.424563000000006</v>
      </c>
      <c r="E105" s="61" t="s">
        <v>265</v>
      </c>
      <c r="F105" s="149">
        <v>114</v>
      </c>
      <c r="G105" s="61" t="s">
        <v>639</v>
      </c>
      <c r="H105" s="61" t="s">
        <v>640</v>
      </c>
      <c r="I105" s="61">
        <v>42.947552999999999</v>
      </c>
      <c r="J105" s="61">
        <v>-87.896646000000004</v>
      </c>
      <c r="K105" s="61">
        <v>126.0890892</v>
      </c>
      <c r="L105" s="61">
        <v>140.03299999999999</v>
      </c>
      <c r="M105" s="61" t="s">
        <v>617</v>
      </c>
      <c r="N105" s="149">
        <v>5</v>
      </c>
      <c r="O105" s="149">
        <v>6</v>
      </c>
      <c r="P105" s="61" t="s">
        <v>565</v>
      </c>
      <c r="Q105" s="61" t="s">
        <v>564</v>
      </c>
      <c r="R105" s="61">
        <v>41.98028</v>
      </c>
      <c r="S105" s="61">
        <v>-87.908997900000003</v>
      </c>
      <c r="T105" s="61">
        <v>216.43100000000001</v>
      </c>
      <c r="U105" s="61" t="s">
        <v>617</v>
      </c>
      <c r="V105" s="61" t="s">
        <v>617</v>
      </c>
      <c r="W105" s="61"/>
      <c r="Y105" s="137">
        <f>Summary_LCIA!H$32</f>
        <v>0.33979999999999999</v>
      </c>
      <c r="Z105" s="137">
        <f>Summary_LCIA!Q$32</f>
        <v>4.9560504329999997</v>
      </c>
      <c r="AA105" s="137">
        <f>Summary_LCIA!R$32</f>
        <v>5.2655999999999996E-3</v>
      </c>
      <c r="AB105" s="137">
        <f>Summary_LCIA!S$32</f>
        <v>0.33538000000000001</v>
      </c>
      <c r="AC105" s="137">
        <f>Summary_LCIA!T$32</f>
        <v>0.1099</v>
      </c>
      <c r="AD105" s="137">
        <f>Summary_LCIA!U$32</f>
        <v>1.7913999999999999E-2</v>
      </c>
      <c r="AE105" s="137">
        <f>Summary_LCIA!V$32</f>
        <v>4.7760999999999999E-5</v>
      </c>
      <c r="AF105" s="137">
        <f>Summary_LCIA!W$32</f>
        <v>7.6970999999999998E-2</v>
      </c>
      <c r="AG105" s="137">
        <f>Summary_LCIA!X$32</f>
        <v>2.2780000000000002E-2</v>
      </c>
      <c r="AH105" s="137">
        <f>Summary_LCIA!Y$32</f>
        <v>1.5582E-2</v>
      </c>
      <c r="AI105" s="137">
        <f>Summary_LCIA!Z$32</f>
        <v>4.1009E-5</v>
      </c>
      <c r="AJ105" s="137">
        <f>Summary_LCIA!AA$32</f>
        <v>2.3355999999999998E-2</v>
      </c>
      <c r="AK105" s="137">
        <f>Summary_LCIA!AB$32</f>
        <v>-2.1823000000000001E-5</v>
      </c>
      <c r="AL105" s="137">
        <f>Summary_LCIA!AC$32</f>
        <v>4.8884000000000003E-8</v>
      </c>
      <c r="AM105" s="137">
        <f>Summary_LCIA!AD$32</f>
        <v>4.1103999999999999E-4</v>
      </c>
      <c r="AN105" s="137">
        <f>Summary_LCIA!AE$32</f>
        <v>8.8612999999999995E-4</v>
      </c>
      <c r="AO105" s="137">
        <f>Summary_LCIA!AF$32</f>
        <v>8.4542000000000005E-4</v>
      </c>
      <c r="AP105" s="137">
        <f>Summary_LCIA!AG$32</f>
        <v>5.1165000000000002E-5</v>
      </c>
      <c r="AQ105" s="137">
        <f>Summary_LCIA!AH$32</f>
        <v>8.7036000000000006E-3</v>
      </c>
      <c r="AR105" s="137">
        <f>Summary_LCIA!AI$32</f>
        <v>9.3154999999999996E-4</v>
      </c>
      <c r="AT105" s="137">
        <f t="shared" si="24"/>
        <v>73.543253800000002</v>
      </c>
      <c r="AU105" s="137">
        <f t="shared" si="25"/>
        <v>1072.642951264623</v>
      </c>
      <c r="AV105" s="137">
        <f t="shared" si="26"/>
        <v>1.1396390735999999</v>
      </c>
      <c r="AW105" s="137">
        <f t="shared" si="27"/>
        <v>72.586628780000012</v>
      </c>
      <c r="AX105" s="137">
        <f t="shared" si="28"/>
        <v>23.785766900000002</v>
      </c>
      <c r="AY105" s="137">
        <f t="shared" si="29"/>
        <v>3.8771449339999999</v>
      </c>
      <c r="AZ105" s="137">
        <f t="shared" si="30"/>
        <v>1.0336960991E-2</v>
      </c>
      <c r="BA105" s="137">
        <f t="shared" si="31"/>
        <v>16.658910501000001</v>
      </c>
      <c r="BB105" s="137">
        <f t="shared" si="32"/>
        <v>4.9302981800000003</v>
      </c>
      <c r="BC105" s="137">
        <f t="shared" si="33"/>
        <v>3.3724278420000005</v>
      </c>
      <c r="BD105" s="137">
        <f t="shared" si="34"/>
        <v>8.8756188790000013E-3</v>
      </c>
      <c r="BE105" s="137">
        <f t="shared" si="35"/>
        <v>5.0549624360000003</v>
      </c>
      <c r="BF105" s="137">
        <f t="shared" si="36"/>
        <v>-4.7231737130000008E-3</v>
      </c>
      <c r="BG105" s="137">
        <f t="shared" si="37"/>
        <v>1.0580013004000001E-5</v>
      </c>
      <c r="BH105" s="137">
        <f t="shared" si="38"/>
        <v>8.8961798240000001E-2</v>
      </c>
      <c r="BI105" s="137">
        <f t="shared" si="39"/>
        <v>0.19178600202999999</v>
      </c>
      <c r="BJ105" s="137">
        <f t="shared" si="40"/>
        <v>0.18297509602000003</v>
      </c>
      <c r="BK105" s="137">
        <f t="shared" si="41"/>
        <v>1.1073692115E-2</v>
      </c>
      <c r="BL105" s="137">
        <f t="shared" si="42"/>
        <v>1.8837288516000001</v>
      </c>
      <c r="BM105" s="137">
        <f t="shared" si="43"/>
        <v>0.20161629805</v>
      </c>
    </row>
    <row r="106" spans="1:65" x14ac:dyDescent="0.25">
      <c r="A106" s="149">
        <v>263</v>
      </c>
      <c r="B106" s="149">
        <v>6</v>
      </c>
      <c r="C106" s="61">
        <v>43.069034000000002</v>
      </c>
      <c r="D106" s="61">
        <v>-89.424563000000006</v>
      </c>
      <c r="E106" s="61" t="s">
        <v>265</v>
      </c>
      <c r="F106" s="149">
        <v>114</v>
      </c>
      <c r="G106" s="61" t="s">
        <v>639</v>
      </c>
      <c r="H106" s="61" t="s">
        <v>640</v>
      </c>
      <c r="I106" s="61">
        <v>42.947552999999999</v>
      </c>
      <c r="J106" s="61">
        <v>-87.896646000000004</v>
      </c>
      <c r="K106" s="61">
        <v>126.0890892</v>
      </c>
      <c r="L106" s="61">
        <v>140.03299999999999</v>
      </c>
      <c r="M106" s="61" t="s">
        <v>617</v>
      </c>
      <c r="N106" s="149">
        <v>5</v>
      </c>
      <c r="O106" s="149">
        <v>6</v>
      </c>
      <c r="P106" s="61" t="s">
        <v>565</v>
      </c>
      <c r="Q106" s="61" t="s">
        <v>564</v>
      </c>
      <c r="R106" s="61">
        <v>41.98028</v>
      </c>
      <c r="S106" s="61">
        <v>-87.908997900000003</v>
      </c>
      <c r="T106" s="61">
        <v>216.43100000000001</v>
      </c>
      <c r="U106" s="61" t="s">
        <v>617</v>
      </c>
      <c r="V106" s="61" t="s">
        <v>617</v>
      </c>
      <c r="W106" s="61"/>
      <c r="Y106" s="137">
        <f>Summary_LCIA!H$32</f>
        <v>0.33979999999999999</v>
      </c>
      <c r="Z106" s="137">
        <f>Summary_LCIA!Q$32</f>
        <v>4.9560504329999997</v>
      </c>
      <c r="AA106" s="137">
        <f>Summary_LCIA!R$32</f>
        <v>5.2655999999999996E-3</v>
      </c>
      <c r="AB106" s="137">
        <f>Summary_LCIA!S$32</f>
        <v>0.33538000000000001</v>
      </c>
      <c r="AC106" s="137">
        <f>Summary_LCIA!T$32</f>
        <v>0.1099</v>
      </c>
      <c r="AD106" s="137">
        <f>Summary_LCIA!U$32</f>
        <v>1.7913999999999999E-2</v>
      </c>
      <c r="AE106" s="137">
        <f>Summary_LCIA!V$32</f>
        <v>4.7760999999999999E-5</v>
      </c>
      <c r="AF106" s="137">
        <f>Summary_LCIA!W$32</f>
        <v>7.6970999999999998E-2</v>
      </c>
      <c r="AG106" s="137">
        <f>Summary_LCIA!X$32</f>
        <v>2.2780000000000002E-2</v>
      </c>
      <c r="AH106" s="137">
        <f>Summary_LCIA!Y$32</f>
        <v>1.5582E-2</v>
      </c>
      <c r="AI106" s="137">
        <f>Summary_LCIA!Z$32</f>
        <v>4.1009E-5</v>
      </c>
      <c r="AJ106" s="137">
        <f>Summary_LCIA!AA$32</f>
        <v>2.3355999999999998E-2</v>
      </c>
      <c r="AK106" s="137">
        <f>Summary_LCIA!AB$32</f>
        <v>-2.1823000000000001E-5</v>
      </c>
      <c r="AL106" s="137">
        <f>Summary_LCIA!AC$32</f>
        <v>4.8884000000000003E-8</v>
      </c>
      <c r="AM106" s="137">
        <f>Summary_LCIA!AD$32</f>
        <v>4.1103999999999999E-4</v>
      </c>
      <c r="AN106" s="137">
        <f>Summary_LCIA!AE$32</f>
        <v>8.8612999999999995E-4</v>
      </c>
      <c r="AO106" s="137">
        <f>Summary_LCIA!AF$32</f>
        <v>8.4542000000000005E-4</v>
      </c>
      <c r="AP106" s="137">
        <f>Summary_LCIA!AG$32</f>
        <v>5.1165000000000002E-5</v>
      </c>
      <c r="AQ106" s="137">
        <f>Summary_LCIA!AH$32</f>
        <v>8.7036000000000006E-3</v>
      </c>
      <c r="AR106" s="137">
        <f>Summary_LCIA!AI$32</f>
        <v>9.3154999999999996E-4</v>
      </c>
      <c r="AT106" s="137">
        <f t="shared" si="24"/>
        <v>73.543253800000002</v>
      </c>
      <c r="AU106" s="137">
        <f t="shared" si="25"/>
        <v>1072.642951264623</v>
      </c>
      <c r="AV106" s="137">
        <f t="shared" si="26"/>
        <v>1.1396390735999999</v>
      </c>
      <c r="AW106" s="137">
        <f t="shared" si="27"/>
        <v>72.586628780000012</v>
      </c>
      <c r="AX106" s="137">
        <f t="shared" si="28"/>
        <v>23.785766900000002</v>
      </c>
      <c r="AY106" s="137">
        <f t="shared" si="29"/>
        <v>3.8771449339999999</v>
      </c>
      <c r="AZ106" s="137">
        <f t="shared" si="30"/>
        <v>1.0336960991E-2</v>
      </c>
      <c r="BA106" s="137">
        <f t="shared" si="31"/>
        <v>16.658910501000001</v>
      </c>
      <c r="BB106" s="137">
        <f t="shared" si="32"/>
        <v>4.9302981800000003</v>
      </c>
      <c r="BC106" s="137">
        <f t="shared" si="33"/>
        <v>3.3724278420000005</v>
      </c>
      <c r="BD106" s="137">
        <f t="shared" si="34"/>
        <v>8.8756188790000013E-3</v>
      </c>
      <c r="BE106" s="137">
        <f t="shared" si="35"/>
        <v>5.0549624360000003</v>
      </c>
      <c r="BF106" s="137">
        <f t="shared" si="36"/>
        <v>-4.7231737130000008E-3</v>
      </c>
      <c r="BG106" s="137">
        <f t="shared" si="37"/>
        <v>1.0580013004000001E-5</v>
      </c>
      <c r="BH106" s="137">
        <f t="shared" si="38"/>
        <v>8.8961798240000001E-2</v>
      </c>
      <c r="BI106" s="137">
        <f t="shared" si="39"/>
        <v>0.19178600202999999</v>
      </c>
      <c r="BJ106" s="137">
        <f t="shared" si="40"/>
        <v>0.18297509602000003</v>
      </c>
      <c r="BK106" s="137">
        <f t="shared" si="41"/>
        <v>1.1073692115E-2</v>
      </c>
      <c r="BL106" s="137">
        <f t="shared" si="42"/>
        <v>1.8837288516000001</v>
      </c>
      <c r="BM106" s="137">
        <f t="shared" si="43"/>
        <v>0.20161629805</v>
      </c>
    </row>
    <row r="107" spans="1:65" x14ac:dyDescent="0.25">
      <c r="A107" s="149">
        <v>264</v>
      </c>
      <c r="B107" s="149">
        <v>6</v>
      </c>
      <c r="C107" s="61">
        <v>43.069034000000002</v>
      </c>
      <c r="D107" s="61">
        <v>-89.424563000000006</v>
      </c>
      <c r="E107" s="61" t="s">
        <v>265</v>
      </c>
      <c r="F107" s="149">
        <v>114</v>
      </c>
      <c r="G107" s="61" t="s">
        <v>639</v>
      </c>
      <c r="H107" s="61" t="s">
        <v>640</v>
      </c>
      <c r="I107" s="61">
        <v>42.947552999999999</v>
      </c>
      <c r="J107" s="61">
        <v>-87.896646000000004</v>
      </c>
      <c r="K107" s="61">
        <v>126.0890892</v>
      </c>
      <c r="L107" s="61">
        <v>140.03299999999999</v>
      </c>
      <c r="M107" s="61" t="s">
        <v>617</v>
      </c>
      <c r="N107" s="149">
        <v>5</v>
      </c>
      <c r="O107" s="149">
        <v>6</v>
      </c>
      <c r="P107" s="61" t="s">
        <v>565</v>
      </c>
      <c r="Q107" s="61" t="s">
        <v>564</v>
      </c>
      <c r="R107" s="61">
        <v>41.98028</v>
      </c>
      <c r="S107" s="61">
        <v>-87.908997900000003</v>
      </c>
      <c r="T107" s="61">
        <v>216.43100000000001</v>
      </c>
      <c r="U107" s="61" t="s">
        <v>617</v>
      </c>
      <c r="V107" s="61" t="s">
        <v>617</v>
      </c>
      <c r="W107" s="61"/>
      <c r="Y107" s="137">
        <f>Summary_LCIA!H$32</f>
        <v>0.33979999999999999</v>
      </c>
      <c r="Z107" s="137">
        <f>Summary_LCIA!Q$32</f>
        <v>4.9560504329999997</v>
      </c>
      <c r="AA107" s="137">
        <f>Summary_LCIA!R$32</f>
        <v>5.2655999999999996E-3</v>
      </c>
      <c r="AB107" s="137">
        <f>Summary_LCIA!S$32</f>
        <v>0.33538000000000001</v>
      </c>
      <c r="AC107" s="137">
        <f>Summary_LCIA!T$32</f>
        <v>0.1099</v>
      </c>
      <c r="AD107" s="137">
        <f>Summary_LCIA!U$32</f>
        <v>1.7913999999999999E-2</v>
      </c>
      <c r="AE107" s="137">
        <f>Summary_LCIA!V$32</f>
        <v>4.7760999999999999E-5</v>
      </c>
      <c r="AF107" s="137">
        <f>Summary_LCIA!W$32</f>
        <v>7.6970999999999998E-2</v>
      </c>
      <c r="AG107" s="137">
        <f>Summary_LCIA!X$32</f>
        <v>2.2780000000000002E-2</v>
      </c>
      <c r="AH107" s="137">
        <f>Summary_LCIA!Y$32</f>
        <v>1.5582E-2</v>
      </c>
      <c r="AI107" s="137">
        <f>Summary_LCIA!Z$32</f>
        <v>4.1009E-5</v>
      </c>
      <c r="AJ107" s="137">
        <f>Summary_LCIA!AA$32</f>
        <v>2.3355999999999998E-2</v>
      </c>
      <c r="AK107" s="137">
        <f>Summary_LCIA!AB$32</f>
        <v>-2.1823000000000001E-5</v>
      </c>
      <c r="AL107" s="137">
        <f>Summary_LCIA!AC$32</f>
        <v>4.8884000000000003E-8</v>
      </c>
      <c r="AM107" s="137">
        <f>Summary_LCIA!AD$32</f>
        <v>4.1103999999999999E-4</v>
      </c>
      <c r="AN107" s="137">
        <f>Summary_LCIA!AE$32</f>
        <v>8.8612999999999995E-4</v>
      </c>
      <c r="AO107" s="137">
        <f>Summary_LCIA!AF$32</f>
        <v>8.4542000000000005E-4</v>
      </c>
      <c r="AP107" s="137">
        <f>Summary_LCIA!AG$32</f>
        <v>5.1165000000000002E-5</v>
      </c>
      <c r="AQ107" s="137">
        <f>Summary_LCIA!AH$32</f>
        <v>8.7036000000000006E-3</v>
      </c>
      <c r="AR107" s="137">
        <f>Summary_LCIA!AI$32</f>
        <v>9.3154999999999996E-4</v>
      </c>
      <c r="AT107" s="137">
        <f t="shared" si="24"/>
        <v>73.543253800000002</v>
      </c>
      <c r="AU107" s="137">
        <f t="shared" si="25"/>
        <v>1072.642951264623</v>
      </c>
      <c r="AV107" s="137">
        <f t="shared" si="26"/>
        <v>1.1396390735999999</v>
      </c>
      <c r="AW107" s="137">
        <f t="shared" si="27"/>
        <v>72.586628780000012</v>
      </c>
      <c r="AX107" s="137">
        <f t="shared" si="28"/>
        <v>23.785766900000002</v>
      </c>
      <c r="AY107" s="137">
        <f t="shared" si="29"/>
        <v>3.8771449339999999</v>
      </c>
      <c r="AZ107" s="137">
        <f t="shared" si="30"/>
        <v>1.0336960991E-2</v>
      </c>
      <c r="BA107" s="137">
        <f t="shared" si="31"/>
        <v>16.658910501000001</v>
      </c>
      <c r="BB107" s="137">
        <f t="shared" si="32"/>
        <v>4.9302981800000003</v>
      </c>
      <c r="BC107" s="137">
        <f t="shared" si="33"/>
        <v>3.3724278420000005</v>
      </c>
      <c r="BD107" s="137">
        <f t="shared" si="34"/>
        <v>8.8756188790000013E-3</v>
      </c>
      <c r="BE107" s="137">
        <f t="shared" si="35"/>
        <v>5.0549624360000003</v>
      </c>
      <c r="BF107" s="137">
        <f t="shared" si="36"/>
        <v>-4.7231737130000008E-3</v>
      </c>
      <c r="BG107" s="137">
        <f t="shared" si="37"/>
        <v>1.0580013004000001E-5</v>
      </c>
      <c r="BH107" s="137">
        <f t="shared" si="38"/>
        <v>8.8961798240000001E-2</v>
      </c>
      <c r="BI107" s="137">
        <f t="shared" si="39"/>
        <v>0.19178600202999999</v>
      </c>
      <c r="BJ107" s="137">
        <f t="shared" si="40"/>
        <v>0.18297509602000003</v>
      </c>
      <c r="BK107" s="137">
        <f t="shared" si="41"/>
        <v>1.1073692115E-2</v>
      </c>
      <c r="BL107" s="137">
        <f t="shared" si="42"/>
        <v>1.8837288516000001</v>
      </c>
      <c r="BM107" s="137">
        <f t="shared" si="43"/>
        <v>0.20161629805</v>
      </c>
    </row>
    <row r="108" spans="1:65" x14ac:dyDescent="0.25">
      <c r="A108" s="149">
        <v>265</v>
      </c>
      <c r="B108" s="149">
        <v>6</v>
      </c>
      <c r="C108" s="61">
        <v>43.069034000000002</v>
      </c>
      <c r="D108" s="61">
        <v>-89.424563000000006</v>
      </c>
      <c r="E108" s="61" t="s">
        <v>265</v>
      </c>
      <c r="F108" s="149">
        <v>114</v>
      </c>
      <c r="G108" s="61" t="s">
        <v>639</v>
      </c>
      <c r="H108" s="61" t="s">
        <v>640</v>
      </c>
      <c r="I108" s="61">
        <v>42.947552999999999</v>
      </c>
      <c r="J108" s="61">
        <v>-87.896646000000004</v>
      </c>
      <c r="K108" s="61">
        <v>126.0890892</v>
      </c>
      <c r="L108" s="61">
        <v>140.03299999999999</v>
      </c>
      <c r="M108" s="61" t="s">
        <v>617</v>
      </c>
      <c r="N108" s="149">
        <v>5</v>
      </c>
      <c r="O108" s="149">
        <v>6</v>
      </c>
      <c r="P108" s="61" t="s">
        <v>565</v>
      </c>
      <c r="Q108" s="61" t="s">
        <v>564</v>
      </c>
      <c r="R108" s="61">
        <v>41.98028</v>
      </c>
      <c r="S108" s="61">
        <v>-87.908997900000003</v>
      </c>
      <c r="T108" s="61">
        <v>216.43100000000001</v>
      </c>
      <c r="U108" s="61" t="s">
        <v>617</v>
      </c>
      <c r="V108" s="61" t="s">
        <v>617</v>
      </c>
      <c r="W108" s="61"/>
      <c r="Y108" s="137">
        <f>Summary_LCIA!H$32</f>
        <v>0.33979999999999999</v>
      </c>
      <c r="Z108" s="137">
        <f>Summary_LCIA!Q$32</f>
        <v>4.9560504329999997</v>
      </c>
      <c r="AA108" s="137">
        <f>Summary_LCIA!R$32</f>
        <v>5.2655999999999996E-3</v>
      </c>
      <c r="AB108" s="137">
        <f>Summary_LCIA!S$32</f>
        <v>0.33538000000000001</v>
      </c>
      <c r="AC108" s="137">
        <f>Summary_LCIA!T$32</f>
        <v>0.1099</v>
      </c>
      <c r="AD108" s="137">
        <f>Summary_LCIA!U$32</f>
        <v>1.7913999999999999E-2</v>
      </c>
      <c r="AE108" s="137">
        <f>Summary_LCIA!V$32</f>
        <v>4.7760999999999999E-5</v>
      </c>
      <c r="AF108" s="137">
        <f>Summary_LCIA!W$32</f>
        <v>7.6970999999999998E-2</v>
      </c>
      <c r="AG108" s="137">
        <f>Summary_LCIA!X$32</f>
        <v>2.2780000000000002E-2</v>
      </c>
      <c r="AH108" s="137">
        <f>Summary_LCIA!Y$32</f>
        <v>1.5582E-2</v>
      </c>
      <c r="AI108" s="137">
        <f>Summary_LCIA!Z$32</f>
        <v>4.1009E-5</v>
      </c>
      <c r="AJ108" s="137">
        <f>Summary_LCIA!AA$32</f>
        <v>2.3355999999999998E-2</v>
      </c>
      <c r="AK108" s="137">
        <f>Summary_LCIA!AB$32</f>
        <v>-2.1823000000000001E-5</v>
      </c>
      <c r="AL108" s="137">
        <f>Summary_LCIA!AC$32</f>
        <v>4.8884000000000003E-8</v>
      </c>
      <c r="AM108" s="137">
        <f>Summary_LCIA!AD$32</f>
        <v>4.1103999999999999E-4</v>
      </c>
      <c r="AN108" s="137">
        <f>Summary_LCIA!AE$32</f>
        <v>8.8612999999999995E-4</v>
      </c>
      <c r="AO108" s="137">
        <f>Summary_LCIA!AF$32</f>
        <v>8.4542000000000005E-4</v>
      </c>
      <c r="AP108" s="137">
        <f>Summary_LCIA!AG$32</f>
        <v>5.1165000000000002E-5</v>
      </c>
      <c r="AQ108" s="137">
        <f>Summary_LCIA!AH$32</f>
        <v>8.7036000000000006E-3</v>
      </c>
      <c r="AR108" s="137">
        <f>Summary_LCIA!AI$32</f>
        <v>9.3154999999999996E-4</v>
      </c>
      <c r="AT108" s="137">
        <f t="shared" si="24"/>
        <v>73.543253800000002</v>
      </c>
      <c r="AU108" s="137">
        <f t="shared" si="25"/>
        <v>1072.642951264623</v>
      </c>
      <c r="AV108" s="137">
        <f t="shared" si="26"/>
        <v>1.1396390735999999</v>
      </c>
      <c r="AW108" s="137">
        <f t="shared" si="27"/>
        <v>72.586628780000012</v>
      </c>
      <c r="AX108" s="137">
        <f t="shared" si="28"/>
        <v>23.785766900000002</v>
      </c>
      <c r="AY108" s="137">
        <f t="shared" si="29"/>
        <v>3.8771449339999999</v>
      </c>
      <c r="AZ108" s="137">
        <f t="shared" si="30"/>
        <v>1.0336960991E-2</v>
      </c>
      <c r="BA108" s="137">
        <f t="shared" si="31"/>
        <v>16.658910501000001</v>
      </c>
      <c r="BB108" s="137">
        <f t="shared" si="32"/>
        <v>4.9302981800000003</v>
      </c>
      <c r="BC108" s="137">
        <f t="shared" si="33"/>
        <v>3.3724278420000005</v>
      </c>
      <c r="BD108" s="137">
        <f t="shared" si="34"/>
        <v>8.8756188790000013E-3</v>
      </c>
      <c r="BE108" s="137">
        <f t="shared" si="35"/>
        <v>5.0549624360000003</v>
      </c>
      <c r="BF108" s="137">
        <f t="shared" si="36"/>
        <v>-4.7231737130000008E-3</v>
      </c>
      <c r="BG108" s="137">
        <f t="shared" si="37"/>
        <v>1.0580013004000001E-5</v>
      </c>
      <c r="BH108" s="137">
        <f t="shared" si="38"/>
        <v>8.8961798240000001E-2</v>
      </c>
      <c r="BI108" s="137">
        <f t="shared" si="39"/>
        <v>0.19178600202999999</v>
      </c>
      <c r="BJ108" s="137">
        <f t="shared" si="40"/>
        <v>0.18297509602000003</v>
      </c>
      <c r="BK108" s="137">
        <f t="shared" si="41"/>
        <v>1.1073692115E-2</v>
      </c>
      <c r="BL108" s="137">
        <f t="shared" si="42"/>
        <v>1.8837288516000001</v>
      </c>
      <c r="BM108" s="137">
        <f t="shared" si="43"/>
        <v>0.20161629805</v>
      </c>
    </row>
    <row r="109" spans="1:65" x14ac:dyDescent="0.25">
      <c r="A109" s="149">
        <v>266</v>
      </c>
      <c r="B109" s="149">
        <v>6</v>
      </c>
      <c r="C109" s="61">
        <v>43.069034000000002</v>
      </c>
      <c r="D109" s="61">
        <v>-89.424563000000006</v>
      </c>
      <c r="E109" s="61" t="s">
        <v>265</v>
      </c>
      <c r="F109" s="149">
        <v>114</v>
      </c>
      <c r="G109" s="61" t="s">
        <v>639</v>
      </c>
      <c r="H109" s="61" t="s">
        <v>640</v>
      </c>
      <c r="I109" s="61">
        <v>42.947552999999999</v>
      </c>
      <c r="J109" s="61">
        <v>-87.896646000000004</v>
      </c>
      <c r="K109" s="61">
        <v>126.0890892</v>
      </c>
      <c r="L109" s="61">
        <v>140.03299999999999</v>
      </c>
      <c r="M109" s="61" t="s">
        <v>617</v>
      </c>
      <c r="N109" s="149">
        <v>5</v>
      </c>
      <c r="O109" s="149">
        <v>6</v>
      </c>
      <c r="P109" s="61" t="s">
        <v>565</v>
      </c>
      <c r="Q109" s="61" t="s">
        <v>564</v>
      </c>
      <c r="R109" s="61">
        <v>41.98028</v>
      </c>
      <c r="S109" s="61">
        <v>-87.908997900000003</v>
      </c>
      <c r="T109" s="61">
        <v>216.43100000000001</v>
      </c>
      <c r="U109" s="61" t="s">
        <v>617</v>
      </c>
      <c r="V109" s="61" t="s">
        <v>617</v>
      </c>
      <c r="W109" s="61"/>
      <c r="Y109" s="137">
        <f>Summary_LCIA!H$32</f>
        <v>0.33979999999999999</v>
      </c>
      <c r="Z109" s="137">
        <f>Summary_LCIA!Q$32</f>
        <v>4.9560504329999997</v>
      </c>
      <c r="AA109" s="137">
        <f>Summary_LCIA!R$32</f>
        <v>5.2655999999999996E-3</v>
      </c>
      <c r="AB109" s="137">
        <f>Summary_LCIA!S$32</f>
        <v>0.33538000000000001</v>
      </c>
      <c r="AC109" s="137">
        <f>Summary_LCIA!T$32</f>
        <v>0.1099</v>
      </c>
      <c r="AD109" s="137">
        <f>Summary_LCIA!U$32</f>
        <v>1.7913999999999999E-2</v>
      </c>
      <c r="AE109" s="137">
        <f>Summary_LCIA!V$32</f>
        <v>4.7760999999999999E-5</v>
      </c>
      <c r="AF109" s="137">
        <f>Summary_LCIA!W$32</f>
        <v>7.6970999999999998E-2</v>
      </c>
      <c r="AG109" s="137">
        <f>Summary_LCIA!X$32</f>
        <v>2.2780000000000002E-2</v>
      </c>
      <c r="AH109" s="137">
        <f>Summary_LCIA!Y$32</f>
        <v>1.5582E-2</v>
      </c>
      <c r="AI109" s="137">
        <f>Summary_LCIA!Z$32</f>
        <v>4.1009E-5</v>
      </c>
      <c r="AJ109" s="137">
        <f>Summary_LCIA!AA$32</f>
        <v>2.3355999999999998E-2</v>
      </c>
      <c r="AK109" s="137">
        <f>Summary_LCIA!AB$32</f>
        <v>-2.1823000000000001E-5</v>
      </c>
      <c r="AL109" s="137">
        <f>Summary_LCIA!AC$32</f>
        <v>4.8884000000000003E-8</v>
      </c>
      <c r="AM109" s="137">
        <f>Summary_LCIA!AD$32</f>
        <v>4.1103999999999999E-4</v>
      </c>
      <c r="AN109" s="137">
        <f>Summary_LCIA!AE$32</f>
        <v>8.8612999999999995E-4</v>
      </c>
      <c r="AO109" s="137">
        <f>Summary_LCIA!AF$32</f>
        <v>8.4542000000000005E-4</v>
      </c>
      <c r="AP109" s="137">
        <f>Summary_LCIA!AG$32</f>
        <v>5.1165000000000002E-5</v>
      </c>
      <c r="AQ109" s="137">
        <f>Summary_LCIA!AH$32</f>
        <v>8.7036000000000006E-3</v>
      </c>
      <c r="AR109" s="137">
        <f>Summary_LCIA!AI$32</f>
        <v>9.3154999999999996E-4</v>
      </c>
      <c r="AT109" s="137">
        <f t="shared" si="24"/>
        <v>73.543253800000002</v>
      </c>
      <c r="AU109" s="137">
        <f t="shared" si="25"/>
        <v>1072.642951264623</v>
      </c>
      <c r="AV109" s="137">
        <f t="shared" si="26"/>
        <v>1.1396390735999999</v>
      </c>
      <c r="AW109" s="137">
        <f t="shared" si="27"/>
        <v>72.586628780000012</v>
      </c>
      <c r="AX109" s="137">
        <f t="shared" si="28"/>
        <v>23.785766900000002</v>
      </c>
      <c r="AY109" s="137">
        <f t="shared" si="29"/>
        <v>3.8771449339999999</v>
      </c>
      <c r="AZ109" s="137">
        <f t="shared" si="30"/>
        <v>1.0336960991E-2</v>
      </c>
      <c r="BA109" s="137">
        <f t="shared" si="31"/>
        <v>16.658910501000001</v>
      </c>
      <c r="BB109" s="137">
        <f t="shared" si="32"/>
        <v>4.9302981800000003</v>
      </c>
      <c r="BC109" s="137">
        <f t="shared" si="33"/>
        <v>3.3724278420000005</v>
      </c>
      <c r="BD109" s="137">
        <f t="shared" si="34"/>
        <v>8.8756188790000013E-3</v>
      </c>
      <c r="BE109" s="137">
        <f t="shared" si="35"/>
        <v>5.0549624360000003</v>
      </c>
      <c r="BF109" s="137">
        <f t="shared" si="36"/>
        <v>-4.7231737130000008E-3</v>
      </c>
      <c r="BG109" s="137">
        <f t="shared" si="37"/>
        <v>1.0580013004000001E-5</v>
      </c>
      <c r="BH109" s="137">
        <f t="shared" si="38"/>
        <v>8.8961798240000001E-2</v>
      </c>
      <c r="BI109" s="137">
        <f t="shared" si="39"/>
        <v>0.19178600202999999</v>
      </c>
      <c r="BJ109" s="137">
        <f t="shared" si="40"/>
        <v>0.18297509602000003</v>
      </c>
      <c r="BK109" s="137">
        <f t="shared" si="41"/>
        <v>1.1073692115E-2</v>
      </c>
      <c r="BL109" s="137">
        <f t="shared" si="42"/>
        <v>1.8837288516000001</v>
      </c>
      <c r="BM109" s="137">
        <f t="shared" si="43"/>
        <v>0.20161629805</v>
      </c>
    </row>
    <row r="110" spans="1:65" x14ac:dyDescent="0.25">
      <c r="A110" s="149">
        <v>104</v>
      </c>
      <c r="B110" s="149">
        <v>6</v>
      </c>
      <c r="C110" s="61">
        <v>40.428246000000001</v>
      </c>
      <c r="D110" s="61">
        <v>-86.914390999999995</v>
      </c>
      <c r="E110" s="61" t="s">
        <v>265</v>
      </c>
      <c r="F110" s="149">
        <v>107</v>
      </c>
      <c r="G110" s="61" t="s">
        <v>671</v>
      </c>
      <c r="H110" s="61" t="s">
        <v>672</v>
      </c>
      <c r="I110" s="61">
        <v>39.716858999999999</v>
      </c>
      <c r="J110" s="61">
        <v>-86.295595000000006</v>
      </c>
      <c r="K110" s="61">
        <v>130.25631390000001</v>
      </c>
      <c r="L110" s="61">
        <v>113.89400000000001</v>
      </c>
      <c r="M110" s="61" t="s">
        <v>617</v>
      </c>
      <c r="N110" s="149">
        <v>5</v>
      </c>
      <c r="O110" s="149">
        <v>6</v>
      </c>
      <c r="P110" s="61" t="s">
        <v>565</v>
      </c>
      <c r="Q110" s="61" t="s">
        <v>564</v>
      </c>
      <c r="R110" s="61">
        <v>41.98028</v>
      </c>
      <c r="S110" s="61">
        <v>-87.908997900000003</v>
      </c>
      <c r="T110" s="61">
        <v>224.767</v>
      </c>
      <c r="U110" s="61" t="s">
        <v>617</v>
      </c>
      <c r="V110" s="61" t="s">
        <v>617</v>
      </c>
      <c r="W110" s="61"/>
      <c r="Y110" s="137">
        <f>Summary_LCIA!H$32</f>
        <v>0.33979999999999999</v>
      </c>
      <c r="Z110" s="137">
        <f>Summary_LCIA!Q$32</f>
        <v>4.9560504329999997</v>
      </c>
      <c r="AA110" s="137">
        <f>Summary_LCIA!R$32</f>
        <v>5.2655999999999996E-3</v>
      </c>
      <c r="AB110" s="137">
        <f>Summary_LCIA!S$32</f>
        <v>0.33538000000000001</v>
      </c>
      <c r="AC110" s="137">
        <f>Summary_LCIA!T$32</f>
        <v>0.1099</v>
      </c>
      <c r="AD110" s="137">
        <f>Summary_LCIA!U$32</f>
        <v>1.7913999999999999E-2</v>
      </c>
      <c r="AE110" s="137">
        <f>Summary_LCIA!V$32</f>
        <v>4.7760999999999999E-5</v>
      </c>
      <c r="AF110" s="137">
        <f>Summary_LCIA!W$32</f>
        <v>7.6970999999999998E-2</v>
      </c>
      <c r="AG110" s="137">
        <f>Summary_LCIA!X$32</f>
        <v>2.2780000000000002E-2</v>
      </c>
      <c r="AH110" s="137">
        <f>Summary_LCIA!Y$32</f>
        <v>1.5582E-2</v>
      </c>
      <c r="AI110" s="137">
        <f>Summary_LCIA!Z$32</f>
        <v>4.1009E-5</v>
      </c>
      <c r="AJ110" s="137">
        <f>Summary_LCIA!AA$32</f>
        <v>2.3355999999999998E-2</v>
      </c>
      <c r="AK110" s="137">
        <f>Summary_LCIA!AB$32</f>
        <v>-2.1823000000000001E-5</v>
      </c>
      <c r="AL110" s="137">
        <f>Summary_LCIA!AC$32</f>
        <v>4.8884000000000003E-8</v>
      </c>
      <c r="AM110" s="137">
        <f>Summary_LCIA!AD$32</f>
        <v>4.1103999999999999E-4</v>
      </c>
      <c r="AN110" s="137">
        <f>Summary_LCIA!AE$32</f>
        <v>8.8612999999999995E-4</v>
      </c>
      <c r="AO110" s="137">
        <f>Summary_LCIA!AF$32</f>
        <v>8.4542000000000005E-4</v>
      </c>
      <c r="AP110" s="137">
        <f>Summary_LCIA!AG$32</f>
        <v>5.1165000000000002E-5</v>
      </c>
      <c r="AQ110" s="137">
        <f>Summary_LCIA!AH$32</f>
        <v>8.7036000000000006E-3</v>
      </c>
      <c r="AR110" s="137">
        <f>Summary_LCIA!AI$32</f>
        <v>9.3154999999999996E-4</v>
      </c>
      <c r="AT110" s="137">
        <f t="shared" si="24"/>
        <v>76.375826599999996</v>
      </c>
      <c r="AU110" s="137">
        <f t="shared" si="25"/>
        <v>1113.956587674111</v>
      </c>
      <c r="AV110" s="137">
        <f t="shared" si="26"/>
        <v>1.1835331151999999</v>
      </c>
      <c r="AW110" s="137">
        <f t="shared" si="27"/>
        <v>75.382356459999997</v>
      </c>
      <c r="AX110" s="137">
        <f t="shared" si="28"/>
        <v>24.701893299999998</v>
      </c>
      <c r="AY110" s="137">
        <f t="shared" si="29"/>
        <v>4.0264760380000002</v>
      </c>
      <c r="AZ110" s="137">
        <f t="shared" si="30"/>
        <v>1.0735096687E-2</v>
      </c>
      <c r="BA110" s="137">
        <f t="shared" si="31"/>
        <v>17.300540757</v>
      </c>
      <c r="BB110" s="137">
        <f t="shared" si="32"/>
        <v>5.1201922600000005</v>
      </c>
      <c r="BC110" s="137">
        <f t="shared" si="33"/>
        <v>3.5023193940000001</v>
      </c>
      <c r="BD110" s="137">
        <f t="shared" si="34"/>
        <v>9.2174699030000001E-3</v>
      </c>
      <c r="BE110" s="137">
        <f t="shared" si="35"/>
        <v>5.2496580519999991</v>
      </c>
      <c r="BF110" s="137">
        <f t="shared" si="36"/>
        <v>-4.9050902410000003E-3</v>
      </c>
      <c r="BG110" s="137">
        <f t="shared" si="37"/>
        <v>1.0987510028000001E-5</v>
      </c>
      <c r="BH110" s="137">
        <f t="shared" si="38"/>
        <v>9.2388227680000004E-2</v>
      </c>
      <c r="BI110" s="137">
        <f t="shared" si="39"/>
        <v>0.19917278171</v>
      </c>
      <c r="BJ110" s="137">
        <f t="shared" si="40"/>
        <v>0.19002251714000001</v>
      </c>
      <c r="BK110" s="137">
        <f t="shared" si="41"/>
        <v>1.1500203555E-2</v>
      </c>
      <c r="BL110" s="137">
        <f t="shared" si="42"/>
        <v>1.9562820612</v>
      </c>
      <c r="BM110" s="137">
        <f t="shared" si="43"/>
        <v>0.20938169884999999</v>
      </c>
    </row>
    <row r="111" spans="1:65" x14ac:dyDescent="0.25">
      <c r="A111" s="149">
        <v>97</v>
      </c>
      <c r="B111" s="149">
        <v>1</v>
      </c>
      <c r="C111" s="61">
        <v>34.814366999999997</v>
      </c>
      <c r="D111" s="61">
        <v>-82.327129999999997</v>
      </c>
      <c r="E111" s="61" t="s">
        <v>265</v>
      </c>
      <c r="F111" s="149">
        <v>34</v>
      </c>
      <c r="G111" s="61" t="s">
        <v>565</v>
      </c>
      <c r="H111" s="61" t="s">
        <v>633</v>
      </c>
      <c r="I111" s="61">
        <v>35.214402999999997</v>
      </c>
      <c r="J111" s="61">
        <v>-80.947315000000003</v>
      </c>
      <c r="K111" s="61">
        <v>145.6865875</v>
      </c>
      <c r="L111" s="61">
        <v>156.35</v>
      </c>
      <c r="M111" s="61" t="s">
        <v>617</v>
      </c>
      <c r="N111" s="149">
        <v>0</v>
      </c>
      <c r="O111" s="149">
        <v>1</v>
      </c>
      <c r="P111" s="61" t="s">
        <v>565</v>
      </c>
      <c r="Q111" s="61" t="s">
        <v>558</v>
      </c>
      <c r="R111" s="61">
        <v>33.640728199999998</v>
      </c>
      <c r="S111" s="61">
        <v>-84.427700099999996</v>
      </c>
      <c r="T111" s="61">
        <v>251.619</v>
      </c>
      <c r="U111" s="61" t="s">
        <v>617</v>
      </c>
      <c r="V111" s="61" t="s">
        <v>617</v>
      </c>
      <c r="W111" s="61"/>
      <c r="Y111" s="137">
        <f>Summary_LCIA!H$32</f>
        <v>0.33979999999999999</v>
      </c>
      <c r="Z111" s="137">
        <f>Summary_LCIA!Q$32</f>
        <v>4.9560504329999997</v>
      </c>
      <c r="AA111" s="137">
        <f>Summary_LCIA!R$32</f>
        <v>5.2655999999999996E-3</v>
      </c>
      <c r="AB111" s="137">
        <f>Summary_LCIA!S$32</f>
        <v>0.33538000000000001</v>
      </c>
      <c r="AC111" s="137">
        <f>Summary_LCIA!T$32</f>
        <v>0.1099</v>
      </c>
      <c r="AD111" s="137">
        <f>Summary_LCIA!U$32</f>
        <v>1.7913999999999999E-2</v>
      </c>
      <c r="AE111" s="137">
        <f>Summary_LCIA!V$32</f>
        <v>4.7760999999999999E-5</v>
      </c>
      <c r="AF111" s="137">
        <f>Summary_LCIA!W$32</f>
        <v>7.6970999999999998E-2</v>
      </c>
      <c r="AG111" s="137">
        <f>Summary_LCIA!X$32</f>
        <v>2.2780000000000002E-2</v>
      </c>
      <c r="AH111" s="137">
        <f>Summary_LCIA!Y$32</f>
        <v>1.5582E-2</v>
      </c>
      <c r="AI111" s="137">
        <f>Summary_LCIA!Z$32</f>
        <v>4.1009E-5</v>
      </c>
      <c r="AJ111" s="137">
        <f>Summary_LCIA!AA$32</f>
        <v>2.3355999999999998E-2</v>
      </c>
      <c r="AK111" s="137">
        <f>Summary_LCIA!AB$32</f>
        <v>-2.1823000000000001E-5</v>
      </c>
      <c r="AL111" s="137">
        <f>Summary_LCIA!AC$32</f>
        <v>4.8884000000000003E-8</v>
      </c>
      <c r="AM111" s="137">
        <f>Summary_LCIA!AD$32</f>
        <v>4.1103999999999999E-4</v>
      </c>
      <c r="AN111" s="137">
        <f>Summary_LCIA!AE$32</f>
        <v>8.8612999999999995E-4</v>
      </c>
      <c r="AO111" s="137">
        <f>Summary_LCIA!AF$32</f>
        <v>8.4542000000000005E-4</v>
      </c>
      <c r="AP111" s="137">
        <f>Summary_LCIA!AG$32</f>
        <v>5.1165000000000002E-5</v>
      </c>
      <c r="AQ111" s="137">
        <f>Summary_LCIA!AH$32</f>
        <v>8.7036000000000006E-3</v>
      </c>
      <c r="AR111" s="137">
        <f>Summary_LCIA!AI$32</f>
        <v>9.3154999999999996E-4</v>
      </c>
      <c r="AT111" s="137">
        <f t="shared" si="24"/>
        <v>85.5001362</v>
      </c>
      <c r="AU111" s="137">
        <f t="shared" si="25"/>
        <v>1247.036453901027</v>
      </c>
      <c r="AV111" s="137">
        <f t="shared" si="26"/>
        <v>1.3249250064</v>
      </c>
      <c r="AW111" s="137">
        <f t="shared" si="27"/>
        <v>84.387980220000003</v>
      </c>
      <c r="AX111" s="137">
        <f t="shared" si="28"/>
        <v>27.6529281</v>
      </c>
      <c r="AY111" s="137">
        <f t="shared" si="29"/>
        <v>4.507502766</v>
      </c>
      <c r="AZ111" s="137">
        <f t="shared" si="30"/>
        <v>1.2017575059E-2</v>
      </c>
      <c r="BA111" s="137">
        <f t="shared" si="31"/>
        <v>19.367366049000001</v>
      </c>
      <c r="BB111" s="137">
        <f t="shared" si="32"/>
        <v>5.7318808200000007</v>
      </c>
      <c r="BC111" s="137">
        <f t="shared" si="33"/>
        <v>3.9207272579999999</v>
      </c>
      <c r="BD111" s="137">
        <f t="shared" si="34"/>
        <v>1.0318643571E-2</v>
      </c>
      <c r="BE111" s="137">
        <f t="shared" si="35"/>
        <v>5.8768133639999993</v>
      </c>
      <c r="BF111" s="137">
        <f t="shared" si="36"/>
        <v>-5.4910814370000005E-3</v>
      </c>
      <c r="BG111" s="137">
        <f t="shared" si="37"/>
        <v>1.2300143196000001E-5</v>
      </c>
      <c r="BH111" s="137">
        <f t="shared" si="38"/>
        <v>0.10342547376</v>
      </c>
      <c r="BI111" s="137">
        <f t="shared" si="39"/>
        <v>0.22296714446999999</v>
      </c>
      <c r="BJ111" s="137">
        <f t="shared" si="40"/>
        <v>0.21272373498000002</v>
      </c>
      <c r="BK111" s="137">
        <f t="shared" si="41"/>
        <v>1.2874086135000001E-2</v>
      </c>
      <c r="BL111" s="137">
        <f t="shared" si="42"/>
        <v>2.1899911284</v>
      </c>
      <c r="BM111" s="137">
        <f t="shared" si="43"/>
        <v>0.23439567944999998</v>
      </c>
    </row>
    <row r="112" spans="1:65" x14ac:dyDescent="0.25">
      <c r="A112" s="149">
        <v>366</v>
      </c>
      <c r="B112" s="149">
        <v>29</v>
      </c>
      <c r="C112" s="61">
        <v>49.261045000000003</v>
      </c>
      <c r="D112" s="61">
        <v>-123.248794</v>
      </c>
      <c r="E112" s="61" t="s">
        <v>459</v>
      </c>
      <c r="F112" s="149">
        <v>123</v>
      </c>
      <c r="G112" s="61" t="s">
        <v>728</v>
      </c>
      <c r="H112" s="61" t="s">
        <v>729</v>
      </c>
      <c r="I112" s="61">
        <v>49.196691000000001</v>
      </c>
      <c r="J112" s="61">
        <v>-123.181512</v>
      </c>
      <c r="K112" s="61">
        <v>17.860732670000001</v>
      </c>
      <c r="L112" s="61">
        <v>15.871</v>
      </c>
      <c r="M112" s="61" t="s">
        <v>617</v>
      </c>
      <c r="N112" s="149">
        <v>28</v>
      </c>
      <c r="O112" s="149">
        <v>29</v>
      </c>
      <c r="P112" s="61" t="s">
        <v>565</v>
      </c>
      <c r="Q112" s="61" t="s">
        <v>559</v>
      </c>
      <c r="R112" s="61">
        <v>47.450249900000003</v>
      </c>
      <c r="S112" s="61">
        <v>-122.30881650000001</v>
      </c>
      <c r="T112" s="61">
        <v>253.08199999999999</v>
      </c>
      <c r="U112" s="61" t="s">
        <v>617</v>
      </c>
      <c r="V112" s="61" t="s">
        <v>617</v>
      </c>
      <c r="W112" s="61"/>
      <c r="Y112" s="137">
        <f>Summary_LCIA!H$32</f>
        <v>0.33979999999999999</v>
      </c>
      <c r="Z112" s="137">
        <f>Summary_LCIA!Q$32</f>
        <v>4.9560504329999997</v>
      </c>
      <c r="AA112" s="137">
        <f>Summary_LCIA!R$32</f>
        <v>5.2655999999999996E-3</v>
      </c>
      <c r="AB112" s="137">
        <f>Summary_LCIA!S$32</f>
        <v>0.33538000000000001</v>
      </c>
      <c r="AC112" s="137">
        <f>Summary_LCIA!T$32</f>
        <v>0.1099</v>
      </c>
      <c r="AD112" s="137">
        <f>Summary_LCIA!U$32</f>
        <v>1.7913999999999999E-2</v>
      </c>
      <c r="AE112" s="137">
        <f>Summary_LCIA!V$32</f>
        <v>4.7760999999999999E-5</v>
      </c>
      <c r="AF112" s="137">
        <f>Summary_LCIA!W$32</f>
        <v>7.6970999999999998E-2</v>
      </c>
      <c r="AG112" s="137">
        <f>Summary_LCIA!X$32</f>
        <v>2.2780000000000002E-2</v>
      </c>
      <c r="AH112" s="137">
        <f>Summary_LCIA!Y$32</f>
        <v>1.5582E-2</v>
      </c>
      <c r="AI112" s="137">
        <f>Summary_LCIA!Z$32</f>
        <v>4.1009E-5</v>
      </c>
      <c r="AJ112" s="137">
        <f>Summary_LCIA!AA$32</f>
        <v>2.3355999999999998E-2</v>
      </c>
      <c r="AK112" s="137">
        <f>Summary_LCIA!AB$32</f>
        <v>-2.1823000000000001E-5</v>
      </c>
      <c r="AL112" s="137">
        <f>Summary_LCIA!AC$32</f>
        <v>4.8884000000000003E-8</v>
      </c>
      <c r="AM112" s="137">
        <f>Summary_LCIA!AD$32</f>
        <v>4.1103999999999999E-4</v>
      </c>
      <c r="AN112" s="137">
        <f>Summary_LCIA!AE$32</f>
        <v>8.8612999999999995E-4</v>
      </c>
      <c r="AO112" s="137">
        <f>Summary_LCIA!AF$32</f>
        <v>8.4542000000000005E-4</v>
      </c>
      <c r="AP112" s="137">
        <f>Summary_LCIA!AG$32</f>
        <v>5.1165000000000002E-5</v>
      </c>
      <c r="AQ112" s="137">
        <f>Summary_LCIA!AH$32</f>
        <v>8.7036000000000006E-3</v>
      </c>
      <c r="AR112" s="137">
        <f>Summary_LCIA!AI$32</f>
        <v>9.3154999999999996E-4</v>
      </c>
      <c r="AT112" s="137">
        <f t="shared" si="24"/>
        <v>85.997263599999997</v>
      </c>
      <c r="AU112" s="137">
        <f t="shared" si="25"/>
        <v>1254.2871556845059</v>
      </c>
      <c r="AV112" s="137">
        <f t="shared" si="26"/>
        <v>1.3326285791999999</v>
      </c>
      <c r="AW112" s="137">
        <f t="shared" si="27"/>
        <v>84.878641160000001</v>
      </c>
      <c r="AX112" s="137">
        <f t="shared" si="28"/>
        <v>27.8137118</v>
      </c>
      <c r="AY112" s="137">
        <f t="shared" si="29"/>
        <v>4.5337109479999995</v>
      </c>
      <c r="AZ112" s="137">
        <f t="shared" si="30"/>
        <v>1.2087449401999999E-2</v>
      </c>
      <c r="BA112" s="137">
        <f t="shared" si="31"/>
        <v>19.479974622</v>
      </c>
      <c r="BB112" s="137">
        <f t="shared" si="32"/>
        <v>5.7652079600000006</v>
      </c>
      <c r="BC112" s="137">
        <f t="shared" si="33"/>
        <v>3.9435237239999998</v>
      </c>
      <c r="BD112" s="137">
        <f t="shared" si="34"/>
        <v>1.0378639738E-2</v>
      </c>
      <c r="BE112" s="137">
        <f t="shared" si="35"/>
        <v>5.9109831919999998</v>
      </c>
      <c r="BF112" s="137">
        <f t="shared" si="36"/>
        <v>-5.5230084860000001E-3</v>
      </c>
      <c r="BG112" s="137">
        <f t="shared" si="37"/>
        <v>1.2371660488E-5</v>
      </c>
      <c r="BH112" s="137">
        <f t="shared" si="38"/>
        <v>0.10402682528</v>
      </c>
      <c r="BI112" s="137">
        <f t="shared" si="39"/>
        <v>0.22426355265999998</v>
      </c>
      <c r="BJ112" s="137">
        <f t="shared" si="40"/>
        <v>0.21396058444000002</v>
      </c>
      <c r="BK112" s="137">
        <f t="shared" si="41"/>
        <v>1.294894053E-2</v>
      </c>
      <c r="BL112" s="137">
        <f t="shared" si="42"/>
        <v>2.2027244952</v>
      </c>
      <c r="BM112" s="137">
        <f t="shared" si="43"/>
        <v>0.23575853709999997</v>
      </c>
    </row>
    <row r="113" spans="1:65" x14ac:dyDescent="0.25">
      <c r="A113" s="149">
        <v>367</v>
      </c>
      <c r="B113" s="149">
        <v>29</v>
      </c>
      <c r="C113" s="61">
        <v>49.261045000000003</v>
      </c>
      <c r="D113" s="61">
        <v>-123.248794</v>
      </c>
      <c r="E113" s="61" t="s">
        <v>459</v>
      </c>
      <c r="F113" s="149">
        <v>123</v>
      </c>
      <c r="G113" s="61" t="s">
        <v>728</v>
      </c>
      <c r="H113" s="61" t="s">
        <v>729</v>
      </c>
      <c r="I113" s="61">
        <v>49.196691000000001</v>
      </c>
      <c r="J113" s="61">
        <v>-123.181512</v>
      </c>
      <c r="K113" s="61">
        <v>17.860732670000001</v>
      </c>
      <c r="L113" s="61">
        <v>15.871</v>
      </c>
      <c r="M113" s="61" t="s">
        <v>617</v>
      </c>
      <c r="N113" s="149">
        <v>28</v>
      </c>
      <c r="O113" s="149">
        <v>29</v>
      </c>
      <c r="P113" s="61" t="s">
        <v>565</v>
      </c>
      <c r="Q113" s="61" t="s">
        <v>559</v>
      </c>
      <c r="R113" s="61">
        <v>47.450249900000003</v>
      </c>
      <c r="S113" s="61">
        <v>-122.30881650000001</v>
      </c>
      <c r="T113" s="61">
        <v>253.08199999999999</v>
      </c>
      <c r="U113" s="61" t="s">
        <v>617</v>
      </c>
      <c r="V113" s="61" t="s">
        <v>617</v>
      </c>
      <c r="W113" s="61"/>
      <c r="Y113" s="137">
        <f>Summary_LCIA!H$32</f>
        <v>0.33979999999999999</v>
      </c>
      <c r="Z113" s="137">
        <f>Summary_LCIA!Q$32</f>
        <v>4.9560504329999997</v>
      </c>
      <c r="AA113" s="137">
        <f>Summary_LCIA!R$32</f>
        <v>5.2655999999999996E-3</v>
      </c>
      <c r="AB113" s="137">
        <f>Summary_LCIA!S$32</f>
        <v>0.33538000000000001</v>
      </c>
      <c r="AC113" s="137">
        <f>Summary_LCIA!T$32</f>
        <v>0.1099</v>
      </c>
      <c r="AD113" s="137">
        <f>Summary_LCIA!U$32</f>
        <v>1.7913999999999999E-2</v>
      </c>
      <c r="AE113" s="137">
        <f>Summary_LCIA!V$32</f>
        <v>4.7760999999999999E-5</v>
      </c>
      <c r="AF113" s="137">
        <f>Summary_LCIA!W$32</f>
        <v>7.6970999999999998E-2</v>
      </c>
      <c r="AG113" s="137">
        <f>Summary_LCIA!X$32</f>
        <v>2.2780000000000002E-2</v>
      </c>
      <c r="AH113" s="137">
        <f>Summary_LCIA!Y$32</f>
        <v>1.5582E-2</v>
      </c>
      <c r="AI113" s="137">
        <f>Summary_LCIA!Z$32</f>
        <v>4.1009E-5</v>
      </c>
      <c r="AJ113" s="137">
        <f>Summary_LCIA!AA$32</f>
        <v>2.3355999999999998E-2</v>
      </c>
      <c r="AK113" s="137">
        <f>Summary_LCIA!AB$32</f>
        <v>-2.1823000000000001E-5</v>
      </c>
      <c r="AL113" s="137">
        <f>Summary_LCIA!AC$32</f>
        <v>4.8884000000000003E-8</v>
      </c>
      <c r="AM113" s="137">
        <f>Summary_LCIA!AD$32</f>
        <v>4.1103999999999999E-4</v>
      </c>
      <c r="AN113" s="137">
        <f>Summary_LCIA!AE$32</f>
        <v>8.8612999999999995E-4</v>
      </c>
      <c r="AO113" s="137">
        <f>Summary_LCIA!AF$32</f>
        <v>8.4542000000000005E-4</v>
      </c>
      <c r="AP113" s="137">
        <f>Summary_LCIA!AG$32</f>
        <v>5.1165000000000002E-5</v>
      </c>
      <c r="AQ113" s="137">
        <f>Summary_LCIA!AH$32</f>
        <v>8.7036000000000006E-3</v>
      </c>
      <c r="AR113" s="137">
        <f>Summary_LCIA!AI$32</f>
        <v>9.3154999999999996E-4</v>
      </c>
      <c r="AT113" s="137">
        <f t="shared" si="24"/>
        <v>85.997263599999997</v>
      </c>
      <c r="AU113" s="137">
        <f t="shared" si="25"/>
        <v>1254.2871556845059</v>
      </c>
      <c r="AV113" s="137">
        <f t="shared" si="26"/>
        <v>1.3326285791999999</v>
      </c>
      <c r="AW113" s="137">
        <f t="shared" si="27"/>
        <v>84.878641160000001</v>
      </c>
      <c r="AX113" s="137">
        <f t="shared" si="28"/>
        <v>27.8137118</v>
      </c>
      <c r="AY113" s="137">
        <f t="shared" si="29"/>
        <v>4.5337109479999995</v>
      </c>
      <c r="AZ113" s="137">
        <f t="shared" si="30"/>
        <v>1.2087449401999999E-2</v>
      </c>
      <c r="BA113" s="137">
        <f t="shared" si="31"/>
        <v>19.479974622</v>
      </c>
      <c r="BB113" s="137">
        <f t="shared" si="32"/>
        <v>5.7652079600000006</v>
      </c>
      <c r="BC113" s="137">
        <f t="shared" si="33"/>
        <v>3.9435237239999998</v>
      </c>
      <c r="BD113" s="137">
        <f t="shared" si="34"/>
        <v>1.0378639738E-2</v>
      </c>
      <c r="BE113" s="137">
        <f t="shared" si="35"/>
        <v>5.9109831919999998</v>
      </c>
      <c r="BF113" s="137">
        <f t="shared" si="36"/>
        <v>-5.5230084860000001E-3</v>
      </c>
      <c r="BG113" s="137">
        <f t="shared" si="37"/>
        <v>1.2371660488E-5</v>
      </c>
      <c r="BH113" s="137">
        <f t="shared" si="38"/>
        <v>0.10402682528</v>
      </c>
      <c r="BI113" s="137">
        <f t="shared" si="39"/>
        <v>0.22426355265999998</v>
      </c>
      <c r="BJ113" s="137">
        <f t="shared" si="40"/>
        <v>0.21396058444000002</v>
      </c>
      <c r="BK113" s="137">
        <f t="shared" si="41"/>
        <v>1.294894053E-2</v>
      </c>
      <c r="BL113" s="137">
        <f t="shared" si="42"/>
        <v>2.2027244952</v>
      </c>
      <c r="BM113" s="137">
        <f t="shared" si="43"/>
        <v>0.23575853709999997</v>
      </c>
    </row>
    <row r="114" spans="1:65" x14ac:dyDescent="0.25">
      <c r="A114" s="149">
        <v>303</v>
      </c>
      <c r="B114" s="149">
        <v>29</v>
      </c>
      <c r="C114" s="61">
        <v>45.505105999999998</v>
      </c>
      <c r="D114" s="61">
        <v>-122.675026</v>
      </c>
      <c r="E114" s="61" t="s">
        <v>265</v>
      </c>
      <c r="F114" s="149">
        <v>90</v>
      </c>
      <c r="G114" s="61" t="s">
        <v>277</v>
      </c>
      <c r="H114" s="61" t="s">
        <v>697</v>
      </c>
      <c r="I114" s="61">
        <v>45.589768999999997</v>
      </c>
      <c r="J114" s="61">
        <v>-122.595094</v>
      </c>
      <c r="K114" s="61">
        <v>15.812124730000001</v>
      </c>
      <c r="L114" s="61">
        <v>25.564</v>
      </c>
      <c r="M114" s="61" t="s">
        <v>617</v>
      </c>
      <c r="N114" s="149">
        <v>28</v>
      </c>
      <c r="O114" s="149">
        <v>29</v>
      </c>
      <c r="P114" s="61" t="s">
        <v>565</v>
      </c>
      <c r="Q114" s="61" t="s">
        <v>559</v>
      </c>
      <c r="R114" s="61">
        <v>47.450249900000003</v>
      </c>
      <c r="S114" s="61">
        <v>-122.30881650000001</v>
      </c>
      <c r="T114" s="61">
        <v>266.59500000000003</v>
      </c>
      <c r="U114" s="61" t="s">
        <v>617</v>
      </c>
      <c r="V114" s="61" t="s">
        <v>617</v>
      </c>
      <c r="W114" s="61"/>
      <c r="Y114" s="137">
        <f>Summary_LCIA!H$32</f>
        <v>0.33979999999999999</v>
      </c>
      <c r="Z114" s="137">
        <f>Summary_LCIA!Q$32</f>
        <v>4.9560504329999997</v>
      </c>
      <c r="AA114" s="137">
        <f>Summary_LCIA!R$32</f>
        <v>5.2655999999999996E-3</v>
      </c>
      <c r="AB114" s="137">
        <f>Summary_LCIA!S$32</f>
        <v>0.33538000000000001</v>
      </c>
      <c r="AC114" s="137">
        <f>Summary_LCIA!T$32</f>
        <v>0.1099</v>
      </c>
      <c r="AD114" s="137">
        <f>Summary_LCIA!U$32</f>
        <v>1.7913999999999999E-2</v>
      </c>
      <c r="AE114" s="137">
        <f>Summary_LCIA!V$32</f>
        <v>4.7760999999999999E-5</v>
      </c>
      <c r="AF114" s="137">
        <f>Summary_LCIA!W$32</f>
        <v>7.6970999999999998E-2</v>
      </c>
      <c r="AG114" s="137">
        <f>Summary_LCIA!X$32</f>
        <v>2.2780000000000002E-2</v>
      </c>
      <c r="AH114" s="137">
        <f>Summary_LCIA!Y$32</f>
        <v>1.5582E-2</v>
      </c>
      <c r="AI114" s="137">
        <f>Summary_LCIA!Z$32</f>
        <v>4.1009E-5</v>
      </c>
      <c r="AJ114" s="137">
        <f>Summary_LCIA!AA$32</f>
        <v>2.3355999999999998E-2</v>
      </c>
      <c r="AK114" s="137">
        <f>Summary_LCIA!AB$32</f>
        <v>-2.1823000000000001E-5</v>
      </c>
      <c r="AL114" s="137">
        <f>Summary_LCIA!AC$32</f>
        <v>4.8884000000000003E-8</v>
      </c>
      <c r="AM114" s="137">
        <f>Summary_LCIA!AD$32</f>
        <v>4.1103999999999999E-4</v>
      </c>
      <c r="AN114" s="137">
        <f>Summary_LCIA!AE$32</f>
        <v>8.8612999999999995E-4</v>
      </c>
      <c r="AO114" s="137">
        <f>Summary_LCIA!AF$32</f>
        <v>8.4542000000000005E-4</v>
      </c>
      <c r="AP114" s="137">
        <f>Summary_LCIA!AG$32</f>
        <v>5.1165000000000002E-5</v>
      </c>
      <c r="AQ114" s="137">
        <f>Summary_LCIA!AH$32</f>
        <v>8.7036000000000006E-3</v>
      </c>
      <c r="AR114" s="137">
        <f>Summary_LCIA!AI$32</f>
        <v>9.3154999999999996E-4</v>
      </c>
      <c r="AT114" s="137">
        <f t="shared" si="24"/>
        <v>90.588981000000004</v>
      </c>
      <c r="AU114" s="137">
        <f t="shared" si="25"/>
        <v>1321.2582651856351</v>
      </c>
      <c r="AV114" s="137">
        <f t="shared" si="26"/>
        <v>1.403782632</v>
      </c>
      <c r="AW114" s="137">
        <f t="shared" si="27"/>
        <v>89.410631100000018</v>
      </c>
      <c r="AX114" s="137">
        <f t="shared" si="28"/>
        <v>29.298790500000003</v>
      </c>
      <c r="AY114" s="137">
        <f t="shared" si="29"/>
        <v>4.7757828300000007</v>
      </c>
      <c r="AZ114" s="137">
        <f t="shared" si="30"/>
        <v>1.2732843795E-2</v>
      </c>
      <c r="BA114" s="137">
        <f t="shared" si="31"/>
        <v>20.520083745000001</v>
      </c>
      <c r="BB114" s="137">
        <f t="shared" si="32"/>
        <v>6.073034100000001</v>
      </c>
      <c r="BC114" s="137">
        <f t="shared" si="33"/>
        <v>4.1540832900000009</v>
      </c>
      <c r="BD114" s="137">
        <f t="shared" si="34"/>
        <v>1.0932794355000001E-2</v>
      </c>
      <c r="BE114" s="137">
        <f t="shared" si="35"/>
        <v>6.2265928200000005</v>
      </c>
      <c r="BF114" s="137">
        <f t="shared" si="36"/>
        <v>-5.817902685000001E-3</v>
      </c>
      <c r="BG114" s="137">
        <f t="shared" si="37"/>
        <v>1.3032229980000003E-5</v>
      </c>
      <c r="BH114" s="137">
        <f t="shared" si="38"/>
        <v>0.10958120880000001</v>
      </c>
      <c r="BI114" s="137">
        <f t="shared" si="39"/>
        <v>0.23623782735000001</v>
      </c>
      <c r="BJ114" s="137">
        <f t="shared" si="40"/>
        <v>0.22538474490000004</v>
      </c>
      <c r="BK114" s="137">
        <f t="shared" si="41"/>
        <v>1.3640333175000002E-2</v>
      </c>
      <c r="BL114" s="137">
        <f t="shared" si="42"/>
        <v>2.3203362420000002</v>
      </c>
      <c r="BM114" s="137">
        <f t="shared" si="43"/>
        <v>0.24834657225000001</v>
      </c>
    </row>
    <row r="115" spans="1:65" x14ac:dyDescent="0.25">
      <c r="A115" s="149">
        <v>304</v>
      </c>
      <c r="B115" s="149">
        <v>29</v>
      </c>
      <c r="C115" s="61">
        <v>45.505105999999998</v>
      </c>
      <c r="D115" s="61">
        <v>-122.675026</v>
      </c>
      <c r="E115" s="61" t="s">
        <v>265</v>
      </c>
      <c r="F115" s="149">
        <v>90</v>
      </c>
      <c r="G115" s="61" t="s">
        <v>277</v>
      </c>
      <c r="H115" s="61" t="s">
        <v>697</v>
      </c>
      <c r="I115" s="61">
        <v>45.589768999999997</v>
      </c>
      <c r="J115" s="61">
        <v>-122.595094</v>
      </c>
      <c r="K115" s="61">
        <v>15.812124730000001</v>
      </c>
      <c r="L115" s="61">
        <v>25.564</v>
      </c>
      <c r="M115" s="61" t="s">
        <v>617</v>
      </c>
      <c r="N115" s="149">
        <v>28</v>
      </c>
      <c r="O115" s="149">
        <v>29</v>
      </c>
      <c r="P115" s="61" t="s">
        <v>565</v>
      </c>
      <c r="Q115" s="61" t="s">
        <v>559</v>
      </c>
      <c r="R115" s="61">
        <v>47.450249900000003</v>
      </c>
      <c r="S115" s="61">
        <v>-122.30881650000001</v>
      </c>
      <c r="T115" s="61">
        <v>266.59500000000003</v>
      </c>
      <c r="U115" s="61" t="s">
        <v>617</v>
      </c>
      <c r="V115" s="61" t="s">
        <v>617</v>
      </c>
      <c r="W115" s="61"/>
      <c r="Y115" s="137">
        <f>Summary_LCIA!H$32</f>
        <v>0.33979999999999999</v>
      </c>
      <c r="Z115" s="137">
        <f>Summary_LCIA!Q$32</f>
        <v>4.9560504329999997</v>
      </c>
      <c r="AA115" s="137">
        <f>Summary_LCIA!R$32</f>
        <v>5.2655999999999996E-3</v>
      </c>
      <c r="AB115" s="137">
        <f>Summary_LCIA!S$32</f>
        <v>0.33538000000000001</v>
      </c>
      <c r="AC115" s="137">
        <f>Summary_LCIA!T$32</f>
        <v>0.1099</v>
      </c>
      <c r="AD115" s="137">
        <f>Summary_LCIA!U$32</f>
        <v>1.7913999999999999E-2</v>
      </c>
      <c r="AE115" s="137">
        <f>Summary_LCIA!V$32</f>
        <v>4.7760999999999999E-5</v>
      </c>
      <c r="AF115" s="137">
        <f>Summary_LCIA!W$32</f>
        <v>7.6970999999999998E-2</v>
      </c>
      <c r="AG115" s="137">
        <f>Summary_LCIA!X$32</f>
        <v>2.2780000000000002E-2</v>
      </c>
      <c r="AH115" s="137">
        <f>Summary_LCIA!Y$32</f>
        <v>1.5582E-2</v>
      </c>
      <c r="AI115" s="137">
        <f>Summary_LCIA!Z$32</f>
        <v>4.1009E-5</v>
      </c>
      <c r="AJ115" s="137">
        <f>Summary_LCIA!AA$32</f>
        <v>2.3355999999999998E-2</v>
      </c>
      <c r="AK115" s="137">
        <f>Summary_LCIA!AB$32</f>
        <v>-2.1823000000000001E-5</v>
      </c>
      <c r="AL115" s="137">
        <f>Summary_LCIA!AC$32</f>
        <v>4.8884000000000003E-8</v>
      </c>
      <c r="AM115" s="137">
        <f>Summary_LCIA!AD$32</f>
        <v>4.1103999999999999E-4</v>
      </c>
      <c r="AN115" s="137">
        <f>Summary_LCIA!AE$32</f>
        <v>8.8612999999999995E-4</v>
      </c>
      <c r="AO115" s="137">
        <f>Summary_LCIA!AF$32</f>
        <v>8.4542000000000005E-4</v>
      </c>
      <c r="AP115" s="137">
        <f>Summary_LCIA!AG$32</f>
        <v>5.1165000000000002E-5</v>
      </c>
      <c r="AQ115" s="137">
        <f>Summary_LCIA!AH$32</f>
        <v>8.7036000000000006E-3</v>
      </c>
      <c r="AR115" s="137">
        <f>Summary_LCIA!AI$32</f>
        <v>9.3154999999999996E-4</v>
      </c>
      <c r="AT115" s="137">
        <f t="shared" si="24"/>
        <v>90.588981000000004</v>
      </c>
      <c r="AU115" s="137">
        <f t="shared" si="25"/>
        <v>1321.2582651856351</v>
      </c>
      <c r="AV115" s="137">
        <f t="shared" si="26"/>
        <v>1.403782632</v>
      </c>
      <c r="AW115" s="137">
        <f t="shared" si="27"/>
        <v>89.410631100000018</v>
      </c>
      <c r="AX115" s="137">
        <f t="shared" si="28"/>
        <v>29.298790500000003</v>
      </c>
      <c r="AY115" s="137">
        <f t="shared" si="29"/>
        <v>4.7757828300000007</v>
      </c>
      <c r="AZ115" s="137">
        <f t="shared" si="30"/>
        <v>1.2732843795E-2</v>
      </c>
      <c r="BA115" s="137">
        <f t="shared" si="31"/>
        <v>20.520083745000001</v>
      </c>
      <c r="BB115" s="137">
        <f t="shared" si="32"/>
        <v>6.073034100000001</v>
      </c>
      <c r="BC115" s="137">
        <f t="shared" si="33"/>
        <v>4.1540832900000009</v>
      </c>
      <c r="BD115" s="137">
        <f t="shared" si="34"/>
        <v>1.0932794355000001E-2</v>
      </c>
      <c r="BE115" s="137">
        <f t="shared" si="35"/>
        <v>6.2265928200000005</v>
      </c>
      <c r="BF115" s="137">
        <f t="shared" si="36"/>
        <v>-5.817902685000001E-3</v>
      </c>
      <c r="BG115" s="137">
        <f t="shared" si="37"/>
        <v>1.3032229980000003E-5</v>
      </c>
      <c r="BH115" s="137">
        <f t="shared" si="38"/>
        <v>0.10958120880000001</v>
      </c>
      <c r="BI115" s="137">
        <f t="shared" si="39"/>
        <v>0.23623782735000001</v>
      </c>
      <c r="BJ115" s="137">
        <f t="shared" si="40"/>
        <v>0.22538474490000004</v>
      </c>
      <c r="BK115" s="137">
        <f t="shared" si="41"/>
        <v>1.3640333175000002E-2</v>
      </c>
      <c r="BL115" s="137">
        <f t="shared" si="42"/>
        <v>2.3203362420000002</v>
      </c>
      <c r="BM115" s="137">
        <f t="shared" si="43"/>
        <v>0.24834657225000001</v>
      </c>
    </row>
    <row r="116" spans="1:65" x14ac:dyDescent="0.25">
      <c r="A116" s="149">
        <v>305</v>
      </c>
      <c r="B116" s="149">
        <v>29</v>
      </c>
      <c r="C116" s="61">
        <v>45.505105999999998</v>
      </c>
      <c r="D116" s="61">
        <v>-122.675026</v>
      </c>
      <c r="E116" s="61" t="s">
        <v>265</v>
      </c>
      <c r="F116" s="149">
        <v>90</v>
      </c>
      <c r="G116" s="61" t="s">
        <v>277</v>
      </c>
      <c r="H116" s="61" t="s">
        <v>697</v>
      </c>
      <c r="I116" s="61">
        <v>45.589768999999997</v>
      </c>
      <c r="J116" s="61">
        <v>-122.595094</v>
      </c>
      <c r="K116" s="61">
        <v>15.812124730000001</v>
      </c>
      <c r="L116" s="61">
        <v>25.564</v>
      </c>
      <c r="M116" s="61" t="s">
        <v>617</v>
      </c>
      <c r="N116" s="149">
        <v>28</v>
      </c>
      <c r="O116" s="149">
        <v>29</v>
      </c>
      <c r="P116" s="61" t="s">
        <v>565</v>
      </c>
      <c r="Q116" s="61" t="s">
        <v>559</v>
      </c>
      <c r="R116" s="61">
        <v>47.450249900000003</v>
      </c>
      <c r="S116" s="61">
        <v>-122.30881650000001</v>
      </c>
      <c r="T116" s="61">
        <v>266.59500000000003</v>
      </c>
      <c r="U116" s="61" t="s">
        <v>617</v>
      </c>
      <c r="V116" s="61" t="s">
        <v>617</v>
      </c>
      <c r="W116" s="61"/>
      <c r="Y116" s="137">
        <f>Summary_LCIA!H$32</f>
        <v>0.33979999999999999</v>
      </c>
      <c r="Z116" s="137">
        <f>Summary_LCIA!Q$32</f>
        <v>4.9560504329999997</v>
      </c>
      <c r="AA116" s="137">
        <f>Summary_LCIA!R$32</f>
        <v>5.2655999999999996E-3</v>
      </c>
      <c r="AB116" s="137">
        <f>Summary_LCIA!S$32</f>
        <v>0.33538000000000001</v>
      </c>
      <c r="AC116" s="137">
        <f>Summary_LCIA!T$32</f>
        <v>0.1099</v>
      </c>
      <c r="AD116" s="137">
        <f>Summary_LCIA!U$32</f>
        <v>1.7913999999999999E-2</v>
      </c>
      <c r="AE116" s="137">
        <f>Summary_LCIA!V$32</f>
        <v>4.7760999999999999E-5</v>
      </c>
      <c r="AF116" s="137">
        <f>Summary_LCIA!W$32</f>
        <v>7.6970999999999998E-2</v>
      </c>
      <c r="AG116" s="137">
        <f>Summary_LCIA!X$32</f>
        <v>2.2780000000000002E-2</v>
      </c>
      <c r="AH116" s="137">
        <f>Summary_LCIA!Y$32</f>
        <v>1.5582E-2</v>
      </c>
      <c r="AI116" s="137">
        <f>Summary_LCIA!Z$32</f>
        <v>4.1009E-5</v>
      </c>
      <c r="AJ116" s="137">
        <f>Summary_LCIA!AA$32</f>
        <v>2.3355999999999998E-2</v>
      </c>
      <c r="AK116" s="137">
        <f>Summary_LCIA!AB$32</f>
        <v>-2.1823000000000001E-5</v>
      </c>
      <c r="AL116" s="137">
        <f>Summary_LCIA!AC$32</f>
        <v>4.8884000000000003E-8</v>
      </c>
      <c r="AM116" s="137">
        <f>Summary_LCIA!AD$32</f>
        <v>4.1103999999999999E-4</v>
      </c>
      <c r="AN116" s="137">
        <f>Summary_LCIA!AE$32</f>
        <v>8.8612999999999995E-4</v>
      </c>
      <c r="AO116" s="137">
        <f>Summary_LCIA!AF$32</f>
        <v>8.4542000000000005E-4</v>
      </c>
      <c r="AP116" s="137">
        <f>Summary_LCIA!AG$32</f>
        <v>5.1165000000000002E-5</v>
      </c>
      <c r="AQ116" s="137">
        <f>Summary_LCIA!AH$32</f>
        <v>8.7036000000000006E-3</v>
      </c>
      <c r="AR116" s="137">
        <f>Summary_LCIA!AI$32</f>
        <v>9.3154999999999996E-4</v>
      </c>
      <c r="AT116" s="137">
        <f t="shared" si="24"/>
        <v>90.588981000000004</v>
      </c>
      <c r="AU116" s="137">
        <f t="shared" si="25"/>
        <v>1321.2582651856351</v>
      </c>
      <c r="AV116" s="137">
        <f t="shared" si="26"/>
        <v>1.403782632</v>
      </c>
      <c r="AW116" s="137">
        <f t="shared" si="27"/>
        <v>89.410631100000018</v>
      </c>
      <c r="AX116" s="137">
        <f t="shared" si="28"/>
        <v>29.298790500000003</v>
      </c>
      <c r="AY116" s="137">
        <f t="shared" si="29"/>
        <v>4.7757828300000007</v>
      </c>
      <c r="AZ116" s="137">
        <f t="shared" si="30"/>
        <v>1.2732843795E-2</v>
      </c>
      <c r="BA116" s="137">
        <f t="shared" si="31"/>
        <v>20.520083745000001</v>
      </c>
      <c r="BB116" s="137">
        <f t="shared" si="32"/>
        <v>6.073034100000001</v>
      </c>
      <c r="BC116" s="137">
        <f t="shared" si="33"/>
        <v>4.1540832900000009</v>
      </c>
      <c r="BD116" s="137">
        <f t="shared" si="34"/>
        <v>1.0932794355000001E-2</v>
      </c>
      <c r="BE116" s="137">
        <f t="shared" si="35"/>
        <v>6.2265928200000005</v>
      </c>
      <c r="BF116" s="137">
        <f t="shared" si="36"/>
        <v>-5.817902685000001E-3</v>
      </c>
      <c r="BG116" s="137">
        <f t="shared" si="37"/>
        <v>1.3032229980000003E-5</v>
      </c>
      <c r="BH116" s="137">
        <f t="shared" si="38"/>
        <v>0.10958120880000001</v>
      </c>
      <c r="BI116" s="137">
        <f t="shared" si="39"/>
        <v>0.23623782735000001</v>
      </c>
      <c r="BJ116" s="137">
        <f t="shared" si="40"/>
        <v>0.22538474490000004</v>
      </c>
      <c r="BK116" s="137">
        <f t="shared" si="41"/>
        <v>1.3640333175000002E-2</v>
      </c>
      <c r="BL116" s="137">
        <f t="shared" si="42"/>
        <v>2.3203362420000002</v>
      </c>
      <c r="BM116" s="137">
        <f t="shared" si="43"/>
        <v>0.24834657225000001</v>
      </c>
    </row>
    <row r="117" spans="1:65" x14ac:dyDescent="0.25">
      <c r="A117" s="149">
        <v>306</v>
      </c>
      <c r="B117" s="149">
        <v>29</v>
      </c>
      <c r="C117" s="61">
        <v>45.505105999999998</v>
      </c>
      <c r="D117" s="61">
        <v>-122.675026</v>
      </c>
      <c r="E117" s="61" t="s">
        <v>265</v>
      </c>
      <c r="F117" s="149">
        <v>90</v>
      </c>
      <c r="G117" s="61" t="s">
        <v>277</v>
      </c>
      <c r="H117" s="61" t="s">
        <v>697</v>
      </c>
      <c r="I117" s="61">
        <v>45.589768999999997</v>
      </c>
      <c r="J117" s="61">
        <v>-122.595094</v>
      </c>
      <c r="K117" s="61">
        <v>15.812124730000001</v>
      </c>
      <c r="L117" s="61">
        <v>25.564</v>
      </c>
      <c r="M117" s="61" t="s">
        <v>617</v>
      </c>
      <c r="N117" s="149">
        <v>28</v>
      </c>
      <c r="O117" s="149">
        <v>29</v>
      </c>
      <c r="P117" s="61" t="s">
        <v>565</v>
      </c>
      <c r="Q117" s="61" t="s">
        <v>559</v>
      </c>
      <c r="R117" s="61">
        <v>47.450249900000003</v>
      </c>
      <c r="S117" s="61">
        <v>-122.30881650000001</v>
      </c>
      <c r="T117" s="61">
        <v>266.59500000000003</v>
      </c>
      <c r="U117" s="61" t="s">
        <v>617</v>
      </c>
      <c r="V117" s="61" t="s">
        <v>617</v>
      </c>
      <c r="W117" s="61"/>
      <c r="Y117" s="137">
        <f>Summary_LCIA!H$32</f>
        <v>0.33979999999999999</v>
      </c>
      <c r="Z117" s="137">
        <f>Summary_LCIA!Q$32</f>
        <v>4.9560504329999997</v>
      </c>
      <c r="AA117" s="137">
        <f>Summary_LCIA!R$32</f>
        <v>5.2655999999999996E-3</v>
      </c>
      <c r="AB117" s="137">
        <f>Summary_LCIA!S$32</f>
        <v>0.33538000000000001</v>
      </c>
      <c r="AC117" s="137">
        <f>Summary_LCIA!T$32</f>
        <v>0.1099</v>
      </c>
      <c r="AD117" s="137">
        <f>Summary_LCIA!U$32</f>
        <v>1.7913999999999999E-2</v>
      </c>
      <c r="AE117" s="137">
        <f>Summary_LCIA!V$32</f>
        <v>4.7760999999999999E-5</v>
      </c>
      <c r="AF117" s="137">
        <f>Summary_LCIA!W$32</f>
        <v>7.6970999999999998E-2</v>
      </c>
      <c r="AG117" s="137">
        <f>Summary_LCIA!X$32</f>
        <v>2.2780000000000002E-2</v>
      </c>
      <c r="AH117" s="137">
        <f>Summary_LCIA!Y$32</f>
        <v>1.5582E-2</v>
      </c>
      <c r="AI117" s="137">
        <f>Summary_LCIA!Z$32</f>
        <v>4.1009E-5</v>
      </c>
      <c r="AJ117" s="137">
        <f>Summary_LCIA!AA$32</f>
        <v>2.3355999999999998E-2</v>
      </c>
      <c r="AK117" s="137">
        <f>Summary_LCIA!AB$32</f>
        <v>-2.1823000000000001E-5</v>
      </c>
      <c r="AL117" s="137">
        <f>Summary_LCIA!AC$32</f>
        <v>4.8884000000000003E-8</v>
      </c>
      <c r="AM117" s="137">
        <f>Summary_LCIA!AD$32</f>
        <v>4.1103999999999999E-4</v>
      </c>
      <c r="AN117" s="137">
        <f>Summary_LCIA!AE$32</f>
        <v>8.8612999999999995E-4</v>
      </c>
      <c r="AO117" s="137">
        <f>Summary_LCIA!AF$32</f>
        <v>8.4542000000000005E-4</v>
      </c>
      <c r="AP117" s="137">
        <f>Summary_LCIA!AG$32</f>
        <v>5.1165000000000002E-5</v>
      </c>
      <c r="AQ117" s="137">
        <f>Summary_LCIA!AH$32</f>
        <v>8.7036000000000006E-3</v>
      </c>
      <c r="AR117" s="137">
        <f>Summary_LCIA!AI$32</f>
        <v>9.3154999999999996E-4</v>
      </c>
      <c r="AT117" s="137">
        <f t="shared" si="24"/>
        <v>90.588981000000004</v>
      </c>
      <c r="AU117" s="137">
        <f t="shared" si="25"/>
        <v>1321.2582651856351</v>
      </c>
      <c r="AV117" s="137">
        <f t="shared" si="26"/>
        <v>1.403782632</v>
      </c>
      <c r="AW117" s="137">
        <f t="shared" si="27"/>
        <v>89.410631100000018</v>
      </c>
      <c r="AX117" s="137">
        <f t="shared" si="28"/>
        <v>29.298790500000003</v>
      </c>
      <c r="AY117" s="137">
        <f t="shared" si="29"/>
        <v>4.7757828300000007</v>
      </c>
      <c r="AZ117" s="137">
        <f t="shared" si="30"/>
        <v>1.2732843795E-2</v>
      </c>
      <c r="BA117" s="137">
        <f t="shared" si="31"/>
        <v>20.520083745000001</v>
      </c>
      <c r="BB117" s="137">
        <f t="shared" si="32"/>
        <v>6.073034100000001</v>
      </c>
      <c r="BC117" s="137">
        <f t="shared" si="33"/>
        <v>4.1540832900000009</v>
      </c>
      <c r="BD117" s="137">
        <f t="shared" si="34"/>
        <v>1.0932794355000001E-2</v>
      </c>
      <c r="BE117" s="137">
        <f t="shared" si="35"/>
        <v>6.2265928200000005</v>
      </c>
      <c r="BF117" s="137">
        <f t="shared" si="36"/>
        <v>-5.817902685000001E-3</v>
      </c>
      <c r="BG117" s="137">
        <f t="shared" si="37"/>
        <v>1.3032229980000003E-5</v>
      </c>
      <c r="BH117" s="137">
        <f t="shared" si="38"/>
        <v>0.10958120880000001</v>
      </c>
      <c r="BI117" s="137">
        <f t="shared" si="39"/>
        <v>0.23623782735000001</v>
      </c>
      <c r="BJ117" s="137">
        <f t="shared" si="40"/>
        <v>0.22538474490000004</v>
      </c>
      <c r="BK117" s="137">
        <f t="shared" si="41"/>
        <v>1.3640333175000002E-2</v>
      </c>
      <c r="BL117" s="137">
        <f t="shared" si="42"/>
        <v>2.3203362420000002</v>
      </c>
      <c r="BM117" s="137">
        <f t="shared" si="43"/>
        <v>0.24834657225000001</v>
      </c>
    </row>
    <row r="118" spans="1:65" x14ac:dyDescent="0.25">
      <c r="A118" s="149">
        <v>144</v>
      </c>
      <c r="B118" s="149">
        <v>43</v>
      </c>
      <c r="C118" s="61">
        <v>39.332213000000003</v>
      </c>
      <c r="D118" s="61">
        <v>-76.600832999999994</v>
      </c>
      <c r="E118" s="61" t="s">
        <v>265</v>
      </c>
      <c r="F118" s="149">
        <v>82</v>
      </c>
      <c r="G118" s="61" t="s">
        <v>684</v>
      </c>
      <c r="H118" s="61" t="s">
        <v>685</v>
      </c>
      <c r="I118" s="61">
        <v>39.177404000000003</v>
      </c>
      <c r="J118" s="61">
        <v>-76.668391999999997</v>
      </c>
      <c r="K118" s="61">
        <v>25.47228264</v>
      </c>
      <c r="L118" s="61">
        <v>22.373000000000001</v>
      </c>
      <c r="M118" s="61" t="s">
        <v>617</v>
      </c>
      <c r="N118" s="149">
        <v>42</v>
      </c>
      <c r="O118" s="149">
        <v>43</v>
      </c>
      <c r="P118" s="61" t="s">
        <v>565</v>
      </c>
      <c r="Q118" s="61" t="s">
        <v>555</v>
      </c>
      <c r="R118" s="61">
        <v>40.6895314</v>
      </c>
      <c r="S118" s="61">
        <v>-74.174462399999996</v>
      </c>
      <c r="T118" s="61">
        <v>285.99299999999999</v>
      </c>
      <c r="U118" s="61" t="s">
        <v>617</v>
      </c>
      <c r="V118" s="61" t="s">
        <v>617</v>
      </c>
      <c r="W118" s="61"/>
      <c r="Y118" s="137">
        <f>Summary_LCIA!H$32</f>
        <v>0.33979999999999999</v>
      </c>
      <c r="Z118" s="137">
        <f>Summary_LCIA!Q$32</f>
        <v>4.9560504329999997</v>
      </c>
      <c r="AA118" s="137">
        <f>Summary_LCIA!R$32</f>
        <v>5.2655999999999996E-3</v>
      </c>
      <c r="AB118" s="137">
        <f>Summary_LCIA!S$32</f>
        <v>0.33538000000000001</v>
      </c>
      <c r="AC118" s="137">
        <f>Summary_LCIA!T$32</f>
        <v>0.1099</v>
      </c>
      <c r="AD118" s="137">
        <f>Summary_LCIA!U$32</f>
        <v>1.7913999999999999E-2</v>
      </c>
      <c r="AE118" s="137">
        <f>Summary_LCIA!V$32</f>
        <v>4.7760999999999999E-5</v>
      </c>
      <c r="AF118" s="137">
        <f>Summary_LCIA!W$32</f>
        <v>7.6970999999999998E-2</v>
      </c>
      <c r="AG118" s="137">
        <f>Summary_LCIA!X$32</f>
        <v>2.2780000000000002E-2</v>
      </c>
      <c r="AH118" s="137">
        <f>Summary_LCIA!Y$32</f>
        <v>1.5582E-2</v>
      </c>
      <c r="AI118" s="137">
        <f>Summary_LCIA!Z$32</f>
        <v>4.1009E-5</v>
      </c>
      <c r="AJ118" s="137">
        <f>Summary_LCIA!AA$32</f>
        <v>2.3355999999999998E-2</v>
      </c>
      <c r="AK118" s="137">
        <f>Summary_LCIA!AB$32</f>
        <v>-2.1823000000000001E-5</v>
      </c>
      <c r="AL118" s="137">
        <f>Summary_LCIA!AC$32</f>
        <v>4.8884000000000003E-8</v>
      </c>
      <c r="AM118" s="137">
        <f>Summary_LCIA!AD$32</f>
        <v>4.1103999999999999E-4</v>
      </c>
      <c r="AN118" s="137">
        <f>Summary_LCIA!AE$32</f>
        <v>8.8612999999999995E-4</v>
      </c>
      <c r="AO118" s="137">
        <f>Summary_LCIA!AF$32</f>
        <v>8.4542000000000005E-4</v>
      </c>
      <c r="AP118" s="137">
        <f>Summary_LCIA!AG$32</f>
        <v>5.1165000000000002E-5</v>
      </c>
      <c r="AQ118" s="137">
        <f>Summary_LCIA!AH$32</f>
        <v>8.7036000000000006E-3</v>
      </c>
      <c r="AR118" s="137">
        <f>Summary_LCIA!AI$32</f>
        <v>9.3154999999999996E-4</v>
      </c>
      <c r="AT118" s="137">
        <f t="shared" si="24"/>
        <v>97.1804214</v>
      </c>
      <c r="AU118" s="137">
        <f t="shared" si="25"/>
        <v>1417.3957314849688</v>
      </c>
      <c r="AV118" s="137">
        <f t="shared" si="26"/>
        <v>1.5059247407999998</v>
      </c>
      <c r="AW118" s="137">
        <f t="shared" si="27"/>
        <v>95.916332339999997</v>
      </c>
      <c r="AX118" s="137">
        <f t="shared" si="28"/>
        <v>31.430630699999998</v>
      </c>
      <c r="AY118" s="137">
        <f t="shared" si="29"/>
        <v>5.1232786020000001</v>
      </c>
      <c r="AZ118" s="137">
        <f t="shared" si="30"/>
        <v>1.3659311673E-2</v>
      </c>
      <c r="BA118" s="137">
        <f t="shared" si="31"/>
        <v>22.013167202999998</v>
      </c>
      <c r="BB118" s="137">
        <f t="shared" si="32"/>
        <v>6.5149205400000003</v>
      </c>
      <c r="BC118" s="137">
        <f t="shared" si="33"/>
        <v>4.4563429259999996</v>
      </c>
      <c r="BD118" s="137">
        <f t="shared" si="34"/>
        <v>1.1728286936999999E-2</v>
      </c>
      <c r="BE118" s="137">
        <f t="shared" si="35"/>
        <v>6.6796525079999993</v>
      </c>
      <c r="BF118" s="137">
        <f t="shared" si="36"/>
        <v>-6.2412252389999999E-3</v>
      </c>
      <c r="BG118" s="137">
        <f t="shared" si="37"/>
        <v>1.3980481812000001E-5</v>
      </c>
      <c r="BH118" s="137">
        <f t="shared" si="38"/>
        <v>0.11755456271999999</v>
      </c>
      <c r="BI118" s="137">
        <f t="shared" si="39"/>
        <v>0.25342697709000001</v>
      </c>
      <c r="BJ118" s="137">
        <f t="shared" si="40"/>
        <v>0.24178420206000001</v>
      </c>
      <c r="BK118" s="137">
        <f t="shared" si="41"/>
        <v>1.4632831845000001E-2</v>
      </c>
      <c r="BL118" s="137">
        <f t="shared" si="42"/>
        <v>2.4891686748000001</v>
      </c>
      <c r="BM118" s="137">
        <f t="shared" si="43"/>
        <v>0.26641677915</v>
      </c>
    </row>
    <row r="119" spans="1:65" x14ac:dyDescent="0.25">
      <c r="A119" s="149">
        <v>145</v>
      </c>
      <c r="B119" s="149">
        <v>43</v>
      </c>
      <c r="C119" s="61">
        <v>39.332213000000003</v>
      </c>
      <c r="D119" s="61">
        <v>-76.600832999999994</v>
      </c>
      <c r="E119" s="61" t="s">
        <v>265</v>
      </c>
      <c r="F119" s="149">
        <v>82</v>
      </c>
      <c r="G119" s="61" t="s">
        <v>684</v>
      </c>
      <c r="H119" s="61" t="s">
        <v>685</v>
      </c>
      <c r="I119" s="61">
        <v>39.177404000000003</v>
      </c>
      <c r="J119" s="61">
        <v>-76.668391999999997</v>
      </c>
      <c r="K119" s="61">
        <v>25.47228264</v>
      </c>
      <c r="L119" s="61">
        <v>22.373000000000001</v>
      </c>
      <c r="M119" s="61" t="s">
        <v>617</v>
      </c>
      <c r="N119" s="149">
        <v>42</v>
      </c>
      <c r="O119" s="149">
        <v>43</v>
      </c>
      <c r="P119" s="61" t="s">
        <v>565</v>
      </c>
      <c r="Q119" s="61" t="s">
        <v>555</v>
      </c>
      <c r="R119" s="61">
        <v>40.6895314</v>
      </c>
      <c r="S119" s="61">
        <v>-74.174462399999996</v>
      </c>
      <c r="T119" s="61">
        <v>285.99299999999999</v>
      </c>
      <c r="U119" s="61" t="s">
        <v>617</v>
      </c>
      <c r="V119" s="61" t="s">
        <v>617</v>
      </c>
      <c r="W119" s="61"/>
      <c r="Y119" s="137">
        <f>Summary_LCIA!H$32</f>
        <v>0.33979999999999999</v>
      </c>
      <c r="Z119" s="137">
        <f>Summary_LCIA!Q$32</f>
        <v>4.9560504329999997</v>
      </c>
      <c r="AA119" s="137">
        <f>Summary_LCIA!R$32</f>
        <v>5.2655999999999996E-3</v>
      </c>
      <c r="AB119" s="137">
        <f>Summary_LCIA!S$32</f>
        <v>0.33538000000000001</v>
      </c>
      <c r="AC119" s="137">
        <f>Summary_LCIA!T$32</f>
        <v>0.1099</v>
      </c>
      <c r="AD119" s="137">
        <f>Summary_LCIA!U$32</f>
        <v>1.7913999999999999E-2</v>
      </c>
      <c r="AE119" s="137">
        <f>Summary_LCIA!V$32</f>
        <v>4.7760999999999999E-5</v>
      </c>
      <c r="AF119" s="137">
        <f>Summary_LCIA!W$32</f>
        <v>7.6970999999999998E-2</v>
      </c>
      <c r="AG119" s="137">
        <f>Summary_LCIA!X$32</f>
        <v>2.2780000000000002E-2</v>
      </c>
      <c r="AH119" s="137">
        <f>Summary_LCIA!Y$32</f>
        <v>1.5582E-2</v>
      </c>
      <c r="AI119" s="137">
        <f>Summary_LCIA!Z$32</f>
        <v>4.1009E-5</v>
      </c>
      <c r="AJ119" s="137">
        <f>Summary_LCIA!AA$32</f>
        <v>2.3355999999999998E-2</v>
      </c>
      <c r="AK119" s="137">
        <f>Summary_LCIA!AB$32</f>
        <v>-2.1823000000000001E-5</v>
      </c>
      <c r="AL119" s="137">
        <f>Summary_LCIA!AC$32</f>
        <v>4.8884000000000003E-8</v>
      </c>
      <c r="AM119" s="137">
        <f>Summary_LCIA!AD$32</f>
        <v>4.1103999999999999E-4</v>
      </c>
      <c r="AN119" s="137">
        <f>Summary_LCIA!AE$32</f>
        <v>8.8612999999999995E-4</v>
      </c>
      <c r="AO119" s="137">
        <f>Summary_LCIA!AF$32</f>
        <v>8.4542000000000005E-4</v>
      </c>
      <c r="AP119" s="137">
        <f>Summary_LCIA!AG$32</f>
        <v>5.1165000000000002E-5</v>
      </c>
      <c r="AQ119" s="137">
        <f>Summary_LCIA!AH$32</f>
        <v>8.7036000000000006E-3</v>
      </c>
      <c r="AR119" s="137">
        <f>Summary_LCIA!AI$32</f>
        <v>9.3154999999999996E-4</v>
      </c>
      <c r="AT119" s="137">
        <f t="shared" si="24"/>
        <v>97.1804214</v>
      </c>
      <c r="AU119" s="137">
        <f t="shared" si="25"/>
        <v>1417.3957314849688</v>
      </c>
      <c r="AV119" s="137">
        <f t="shared" si="26"/>
        <v>1.5059247407999998</v>
      </c>
      <c r="AW119" s="137">
        <f t="shared" si="27"/>
        <v>95.916332339999997</v>
      </c>
      <c r="AX119" s="137">
        <f t="shared" si="28"/>
        <v>31.430630699999998</v>
      </c>
      <c r="AY119" s="137">
        <f t="shared" si="29"/>
        <v>5.1232786020000001</v>
      </c>
      <c r="AZ119" s="137">
        <f t="shared" si="30"/>
        <v>1.3659311673E-2</v>
      </c>
      <c r="BA119" s="137">
        <f t="shared" si="31"/>
        <v>22.013167202999998</v>
      </c>
      <c r="BB119" s="137">
        <f t="shared" si="32"/>
        <v>6.5149205400000003</v>
      </c>
      <c r="BC119" s="137">
        <f t="shared" si="33"/>
        <v>4.4563429259999996</v>
      </c>
      <c r="BD119" s="137">
        <f t="shared" si="34"/>
        <v>1.1728286936999999E-2</v>
      </c>
      <c r="BE119" s="137">
        <f t="shared" si="35"/>
        <v>6.6796525079999993</v>
      </c>
      <c r="BF119" s="137">
        <f t="shared" si="36"/>
        <v>-6.2412252389999999E-3</v>
      </c>
      <c r="BG119" s="137">
        <f t="shared" si="37"/>
        <v>1.3980481812000001E-5</v>
      </c>
      <c r="BH119" s="137">
        <f t="shared" si="38"/>
        <v>0.11755456271999999</v>
      </c>
      <c r="BI119" s="137">
        <f t="shared" si="39"/>
        <v>0.25342697709000001</v>
      </c>
      <c r="BJ119" s="137">
        <f t="shared" si="40"/>
        <v>0.24178420206000001</v>
      </c>
      <c r="BK119" s="137">
        <f t="shared" si="41"/>
        <v>1.4632831845000001E-2</v>
      </c>
      <c r="BL119" s="137">
        <f t="shared" si="42"/>
        <v>2.4891686748000001</v>
      </c>
      <c r="BM119" s="137">
        <f t="shared" si="43"/>
        <v>0.26641677915</v>
      </c>
    </row>
    <row r="120" spans="1:65" x14ac:dyDescent="0.25">
      <c r="A120" s="149">
        <v>146</v>
      </c>
      <c r="B120" s="149">
        <v>43</v>
      </c>
      <c r="C120" s="61">
        <v>39.332213000000003</v>
      </c>
      <c r="D120" s="61">
        <v>-76.600832999999994</v>
      </c>
      <c r="E120" s="61" t="s">
        <v>265</v>
      </c>
      <c r="F120" s="149">
        <v>82</v>
      </c>
      <c r="G120" s="61" t="s">
        <v>684</v>
      </c>
      <c r="H120" s="61" t="s">
        <v>685</v>
      </c>
      <c r="I120" s="61">
        <v>39.177404000000003</v>
      </c>
      <c r="J120" s="61">
        <v>-76.668391999999997</v>
      </c>
      <c r="K120" s="61">
        <v>25.47228264</v>
      </c>
      <c r="L120" s="61">
        <v>22.373000000000001</v>
      </c>
      <c r="M120" s="61" t="s">
        <v>617</v>
      </c>
      <c r="N120" s="149">
        <v>42</v>
      </c>
      <c r="O120" s="149">
        <v>43</v>
      </c>
      <c r="P120" s="61" t="s">
        <v>565</v>
      </c>
      <c r="Q120" s="61" t="s">
        <v>555</v>
      </c>
      <c r="R120" s="61">
        <v>40.6895314</v>
      </c>
      <c r="S120" s="61">
        <v>-74.174462399999996</v>
      </c>
      <c r="T120" s="61">
        <v>285.99299999999999</v>
      </c>
      <c r="U120" s="61" t="s">
        <v>617</v>
      </c>
      <c r="V120" s="61" t="s">
        <v>617</v>
      </c>
      <c r="W120" s="61"/>
      <c r="Y120" s="137">
        <f>Summary_LCIA!H$32</f>
        <v>0.33979999999999999</v>
      </c>
      <c r="Z120" s="137">
        <f>Summary_LCIA!Q$32</f>
        <v>4.9560504329999997</v>
      </c>
      <c r="AA120" s="137">
        <f>Summary_LCIA!R$32</f>
        <v>5.2655999999999996E-3</v>
      </c>
      <c r="AB120" s="137">
        <f>Summary_LCIA!S$32</f>
        <v>0.33538000000000001</v>
      </c>
      <c r="AC120" s="137">
        <f>Summary_LCIA!T$32</f>
        <v>0.1099</v>
      </c>
      <c r="AD120" s="137">
        <f>Summary_LCIA!U$32</f>
        <v>1.7913999999999999E-2</v>
      </c>
      <c r="AE120" s="137">
        <f>Summary_LCIA!V$32</f>
        <v>4.7760999999999999E-5</v>
      </c>
      <c r="AF120" s="137">
        <f>Summary_LCIA!W$32</f>
        <v>7.6970999999999998E-2</v>
      </c>
      <c r="AG120" s="137">
        <f>Summary_LCIA!X$32</f>
        <v>2.2780000000000002E-2</v>
      </c>
      <c r="AH120" s="137">
        <f>Summary_LCIA!Y$32</f>
        <v>1.5582E-2</v>
      </c>
      <c r="AI120" s="137">
        <f>Summary_LCIA!Z$32</f>
        <v>4.1009E-5</v>
      </c>
      <c r="AJ120" s="137">
        <f>Summary_LCIA!AA$32</f>
        <v>2.3355999999999998E-2</v>
      </c>
      <c r="AK120" s="137">
        <f>Summary_LCIA!AB$32</f>
        <v>-2.1823000000000001E-5</v>
      </c>
      <c r="AL120" s="137">
        <f>Summary_LCIA!AC$32</f>
        <v>4.8884000000000003E-8</v>
      </c>
      <c r="AM120" s="137">
        <f>Summary_LCIA!AD$32</f>
        <v>4.1103999999999999E-4</v>
      </c>
      <c r="AN120" s="137">
        <f>Summary_LCIA!AE$32</f>
        <v>8.8612999999999995E-4</v>
      </c>
      <c r="AO120" s="137">
        <f>Summary_LCIA!AF$32</f>
        <v>8.4542000000000005E-4</v>
      </c>
      <c r="AP120" s="137">
        <f>Summary_LCIA!AG$32</f>
        <v>5.1165000000000002E-5</v>
      </c>
      <c r="AQ120" s="137">
        <f>Summary_LCIA!AH$32</f>
        <v>8.7036000000000006E-3</v>
      </c>
      <c r="AR120" s="137">
        <f>Summary_LCIA!AI$32</f>
        <v>9.3154999999999996E-4</v>
      </c>
      <c r="AT120" s="137">
        <f t="shared" si="24"/>
        <v>97.1804214</v>
      </c>
      <c r="AU120" s="137">
        <f t="shared" si="25"/>
        <v>1417.3957314849688</v>
      </c>
      <c r="AV120" s="137">
        <f t="shared" si="26"/>
        <v>1.5059247407999998</v>
      </c>
      <c r="AW120" s="137">
        <f t="shared" si="27"/>
        <v>95.916332339999997</v>
      </c>
      <c r="AX120" s="137">
        <f t="shared" si="28"/>
        <v>31.430630699999998</v>
      </c>
      <c r="AY120" s="137">
        <f t="shared" si="29"/>
        <v>5.1232786020000001</v>
      </c>
      <c r="AZ120" s="137">
        <f t="shared" si="30"/>
        <v>1.3659311673E-2</v>
      </c>
      <c r="BA120" s="137">
        <f t="shared" si="31"/>
        <v>22.013167202999998</v>
      </c>
      <c r="BB120" s="137">
        <f t="shared" si="32"/>
        <v>6.5149205400000003</v>
      </c>
      <c r="BC120" s="137">
        <f t="shared" si="33"/>
        <v>4.4563429259999996</v>
      </c>
      <c r="BD120" s="137">
        <f t="shared" si="34"/>
        <v>1.1728286936999999E-2</v>
      </c>
      <c r="BE120" s="137">
        <f t="shared" si="35"/>
        <v>6.6796525079999993</v>
      </c>
      <c r="BF120" s="137">
        <f t="shared" si="36"/>
        <v>-6.2412252389999999E-3</v>
      </c>
      <c r="BG120" s="137">
        <f t="shared" si="37"/>
        <v>1.3980481812000001E-5</v>
      </c>
      <c r="BH120" s="137">
        <f t="shared" si="38"/>
        <v>0.11755456271999999</v>
      </c>
      <c r="BI120" s="137">
        <f t="shared" si="39"/>
        <v>0.25342697709000001</v>
      </c>
      <c r="BJ120" s="137">
        <f t="shared" si="40"/>
        <v>0.24178420206000001</v>
      </c>
      <c r="BK120" s="137">
        <f t="shared" si="41"/>
        <v>1.4632831845000001E-2</v>
      </c>
      <c r="BL120" s="137">
        <f t="shared" si="42"/>
        <v>2.4891686748000001</v>
      </c>
      <c r="BM120" s="137">
        <f t="shared" si="43"/>
        <v>0.26641677915</v>
      </c>
    </row>
    <row r="121" spans="1:65" x14ac:dyDescent="0.25">
      <c r="A121" s="149">
        <v>147</v>
      </c>
      <c r="B121" s="149">
        <v>43</v>
      </c>
      <c r="C121" s="61">
        <v>39.332213000000003</v>
      </c>
      <c r="D121" s="61">
        <v>-76.600832999999994</v>
      </c>
      <c r="E121" s="61" t="s">
        <v>265</v>
      </c>
      <c r="F121" s="149">
        <v>82</v>
      </c>
      <c r="G121" s="61" t="s">
        <v>684</v>
      </c>
      <c r="H121" s="61" t="s">
        <v>685</v>
      </c>
      <c r="I121" s="61">
        <v>39.177404000000003</v>
      </c>
      <c r="J121" s="61">
        <v>-76.668391999999997</v>
      </c>
      <c r="K121" s="61">
        <v>25.47228264</v>
      </c>
      <c r="L121" s="61">
        <v>22.373000000000001</v>
      </c>
      <c r="M121" s="61" t="s">
        <v>617</v>
      </c>
      <c r="N121" s="149">
        <v>42</v>
      </c>
      <c r="O121" s="149">
        <v>43</v>
      </c>
      <c r="P121" s="61" t="s">
        <v>565</v>
      </c>
      <c r="Q121" s="61" t="s">
        <v>555</v>
      </c>
      <c r="R121" s="61">
        <v>40.6895314</v>
      </c>
      <c r="S121" s="61">
        <v>-74.174462399999996</v>
      </c>
      <c r="T121" s="61">
        <v>285.99299999999999</v>
      </c>
      <c r="U121" s="61" t="s">
        <v>617</v>
      </c>
      <c r="V121" s="61" t="s">
        <v>617</v>
      </c>
      <c r="W121" s="61"/>
      <c r="Y121" s="137">
        <f>Summary_LCIA!H$32</f>
        <v>0.33979999999999999</v>
      </c>
      <c r="Z121" s="137">
        <f>Summary_LCIA!Q$32</f>
        <v>4.9560504329999997</v>
      </c>
      <c r="AA121" s="137">
        <f>Summary_LCIA!R$32</f>
        <v>5.2655999999999996E-3</v>
      </c>
      <c r="AB121" s="137">
        <f>Summary_LCIA!S$32</f>
        <v>0.33538000000000001</v>
      </c>
      <c r="AC121" s="137">
        <f>Summary_LCIA!T$32</f>
        <v>0.1099</v>
      </c>
      <c r="AD121" s="137">
        <f>Summary_LCIA!U$32</f>
        <v>1.7913999999999999E-2</v>
      </c>
      <c r="AE121" s="137">
        <f>Summary_LCIA!V$32</f>
        <v>4.7760999999999999E-5</v>
      </c>
      <c r="AF121" s="137">
        <f>Summary_LCIA!W$32</f>
        <v>7.6970999999999998E-2</v>
      </c>
      <c r="AG121" s="137">
        <f>Summary_LCIA!X$32</f>
        <v>2.2780000000000002E-2</v>
      </c>
      <c r="AH121" s="137">
        <f>Summary_LCIA!Y$32</f>
        <v>1.5582E-2</v>
      </c>
      <c r="AI121" s="137">
        <f>Summary_LCIA!Z$32</f>
        <v>4.1009E-5</v>
      </c>
      <c r="AJ121" s="137">
        <f>Summary_LCIA!AA$32</f>
        <v>2.3355999999999998E-2</v>
      </c>
      <c r="AK121" s="137">
        <f>Summary_LCIA!AB$32</f>
        <v>-2.1823000000000001E-5</v>
      </c>
      <c r="AL121" s="137">
        <f>Summary_LCIA!AC$32</f>
        <v>4.8884000000000003E-8</v>
      </c>
      <c r="AM121" s="137">
        <f>Summary_LCIA!AD$32</f>
        <v>4.1103999999999999E-4</v>
      </c>
      <c r="AN121" s="137">
        <f>Summary_LCIA!AE$32</f>
        <v>8.8612999999999995E-4</v>
      </c>
      <c r="AO121" s="137">
        <f>Summary_LCIA!AF$32</f>
        <v>8.4542000000000005E-4</v>
      </c>
      <c r="AP121" s="137">
        <f>Summary_LCIA!AG$32</f>
        <v>5.1165000000000002E-5</v>
      </c>
      <c r="AQ121" s="137">
        <f>Summary_LCIA!AH$32</f>
        <v>8.7036000000000006E-3</v>
      </c>
      <c r="AR121" s="137">
        <f>Summary_LCIA!AI$32</f>
        <v>9.3154999999999996E-4</v>
      </c>
      <c r="AT121" s="137">
        <f t="shared" si="24"/>
        <v>97.1804214</v>
      </c>
      <c r="AU121" s="137">
        <f t="shared" si="25"/>
        <v>1417.3957314849688</v>
      </c>
      <c r="AV121" s="137">
        <f t="shared" si="26"/>
        <v>1.5059247407999998</v>
      </c>
      <c r="AW121" s="137">
        <f t="shared" si="27"/>
        <v>95.916332339999997</v>
      </c>
      <c r="AX121" s="137">
        <f t="shared" si="28"/>
        <v>31.430630699999998</v>
      </c>
      <c r="AY121" s="137">
        <f t="shared" si="29"/>
        <v>5.1232786020000001</v>
      </c>
      <c r="AZ121" s="137">
        <f t="shared" si="30"/>
        <v>1.3659311673E-2</v>
      </c>
      <c r="BA121" s="137">
        <f t="shared" si="31"/>
        <v>22.013167202999998</v>
      </c>
      <c r="BB121" s="137">
        <f t="shared" si="32"/>
        <v>6.5149205400000003</v>
      </c>
      <c r="BC121" s="137">
        <f t="shared" si="33"/>
        <v>4.4563429259999996</v>
      </c>
      <c r="BD121" s="137">
        <f t="shared" si="34"/>
        <v>1.1728286936999999E-2</v>
      </c>
      <c r="BE121" s="137">
        <f t="shared" si="35"/>
        <v>6.6796525079999993</v>
      </c>
      <c r="BF121" s="137">
        <f t="shared" si="36"/>
        <v>-6.2412252389999999E-3</v>
      </c>
      <c r="BG121" s="137">
        <f t="shared" si="37"/>
        <v>1.3980481812000001E-5</v>
      </c>
      <c r="BH121" s="137">
        <f t="shared" si="38"/>
        <v>0.11755456271999999</v>
      </c>
      <c r="BI121" s="137">
        <f t="shared" si="39"/>
        <v>0.25342697709000001</v>
      </c>
      <c r="BJ121" s="137">
        <f t="shared" si="40"/>
        <v>0.24178420206000001</v>
      </c>
      <c r="BK121" s="137">
        <f t="shared" si="41"/>
        <v>1.4632831845000001E-2</v>
      </c>
      <c r="BL121" s="137">
        <f t="shared" si="42"/>
        <v>2.4891686748000001</v>
      </c>
      <c r="BM121" s="137">
        <f t="shared" si="43"/>
        <v>0.26641677915</v>
      </c>
    </row>
    <row r="122" spans="1:65" x14ac:dyDescent="0.25">
      <c r="A122" s="149">
        <v>148</v>
      </c>
      <c r="B122" s="149">
        <v>43</v>
      </c>
      <c r="C122" s="61">
        <v>39.332213000000003</v>
      </c>
      <c r="D122" s="61">
        <v>-76.600832999999994</v>
      </c>
      <c r="E122" s="61" t="s">
        <v>265</v>
      </c>
      <c r="F122" s="149">
        <v>82</v>
      </c>
      <c r="G122" s="61" t="s">
        <v>684</v>
      </c>
      <c r="H122" s="61" t="s">
        <v>685</v>
      </c>
      <c r="I122" s="61">
        <v>39.177404000000003</v>
      </c>
      <c r="J122" s="61">
        <v>-76.668391999999997</v>
      </c>
      <c r="K122" s="61">
        <v>25.47228264</v>
      </c>
      <c r="L122" s="61">
        <v>22.373000000000001</v>
      </c>
      <c r="M122" s="61" t="s">
        <v>617</v>
      </c>
      <c r="N122" s="149">
        <v>42</v>
      </c>
      <c r="O122" s="149">
        <v>43</v>
      </c>
      <c r="P122" s="61" t="s">
        <v>565</v>
      </c>
      <c r="Q122" s="61" t="s">
        <v>555</v>
      </c>
      <c r="R122" s="61">
        <v>40.6895314</v>
      </c>
      <c r="S122" s="61">
        <v>-74.174462399999996</v>
      </c>
      <c r="T122" s="61">
        <v>285.99299999999999</v>
      </c>
      <c r="U122" s="61" t="s">
        <v>617</v>
      </c>
      <c r="V122" s="61" t="s">
        <v>617</v>
      </c>
      <c r="W122" s="61"/>
      <c r="Y122" s="137">
        <f>Summary_LCIA!H$32</f>
        <v>0.33979999999999999</v>
      </c>
      <c r="Z122" s="137">
        <f>Summary_LCIA!Q$32</f>
        <v>4.9560504329999997</v>
      </c>
      <c r="AA122" s="137">
        <f>Summary_LCIA!R$32</f>
        <v>5.2655999999999996E-3</v>
      </c>
      <c r="AB122" s="137">
        <f>Summary_LCIA!S$32</f>
        <v>0.33538000000000001</v>
      </c>
      <c r="AC122" s="137">
        <f>Summary_LCIA!T$32</f>
        <v>0.1099</v>
      </c>
      <c r="AD122" s="137">
        <f>Summary_LCIA!U$32</f>
        <v>1.7913999999999999E-2</v>
      </c>
      <c r="AE122" s="137">
        <f>Summary_LCIA!V$32</f>
        <v>4.7760999999999999E-5</v>
      </c>
      <c r="AF122" s="137">
        <f>Summary_LCIA!W$32</f>
        <v>7.6970999999999998E-2</v>
      </c>
      <c r="AG122" s="137">
        <f>Summary_LCIA!X$32</f>
        <v>2.2780000000000002E-2</v>
      </c>
      <c r="AH122" s="137">
        <f>Summary_LCIA!Y$32</f>
        <v>1.5582E-2</v>
      </c>
      <c r="AI122" s="137">
        <f>Summary_LCIA!Z$32</f>
        <v>4.1009E-5</v>
      </c>
      <c r="AJ122" s="137">
        <f>Summary_LCIA!AA$32</f>
        <v>2.3355999999999998E-2</v>
      </c>
      <c r="AK122" s="137">
        <f>Summary_LCIA!AB$32</f>
        <v>-2.1823000000000001E-5</v>
      </c>
      <c r="AL122" s="137">
        <f>Summary_LCIA!AC$32</f>
        <v>4.8884000000000003E-8</v>
      </c>
      <c r="AM122" s="137">
        <f>Summary_LCIA!AD$32</f>
        <v>4.1103999999999999E-4</v>
      </c>
      <c r="AN122" s="137">
        <f>Summary_LCIA!AE$32</f>
        <v>8.8612999999999995E-4</v>
      </c>
      <c r="AO122" s="137">
        <f>Summary_LCIA!AF$32</f>
        <v>8.4542000000000005E-4</v>
      </c>
      <c r="AP122" s="137">
        <f>Summary_LCIA!AG$32</f>
        <v>5.1165000000000002E-5</v>
      </c>
      <c r="AQ122" s="137">
        <f>Summary_LCIA!AH$32</f>
        <v>8.7036000000000006E-3</v>
      </c>
      <c r="AR122" s="137">
        <f>Summary_LCIA!AI$32</f>
        <v>9.3154999999999996E-4</v>
      </c>
      <c r="AT122" s="137">
        <f t="shared" si="24"/>
        <v>97.1804214</v>
      </c>
      <c r="AU122" s="137">
        <f t="shared" si="25"/>
        <v>1417.3957314849688</v>
      </c>
      <c r="AV122" s="137">
        <f t="shared" si="26"/>
        <v>1.5059247407999998</v>
      </c>
      <c r="AW122" s="137">
        <f t="shared" si="27"/>
        <v>95.916332339999997</v>
      </c>
      <c r="AX122" s="137">
        <f t="shared" si="28"/>
        <v>31.430630699999998</v>
      </c>
      <c r="AY122" s="137">
        <f t="shared" si="29"/>
        <v>5.1232786020000001</v>
      </c>
      <c r="AZ122" s="137">
        <f t="shared" si="30"/>
        <v>1.3659311673E-2</v>
      </c>
      <c r="BA122" s="137">
        <f t="shared" si="31"/>
        <v>22.013167202999998</v>
      </c>
      <c r="BB122" s="137">
        <f t="shared" si="32"/>
        <v>6.5149205400000003</v>
      </c>
      <c r="BC122" s="137">
        <f t="shared" si="33"/>
        <v>4.4563429259999996</v>
      </c>
      <c r="BD122" s="137">
        <f t="shared" si="34"/>
        <v>1.1728286936999999E-2</v>
      </c>
      <c r="BE122" s="137">
        <f t="shared" si="35"/>
        <v>6.6796525079999993</v>
      </c>
      <c r="BF122" s="137">
        <f t="shared" si="36"/>
        <v>-6.2412252389999999E-3</v>
      </c>
      <c r="BG122" s="137">
        <f t="shared" si="37"/>
        <v>1.3980481812000001E-5</v>
      </c>
      <c r="BH122" s="137">
        <f t="shared" si="38"/>
        <v>0.11755456271999999</v>
      </c>
      <c r="BI122" s="137">
        <f t="shared" si="39"/>
        <v>0.25342697709000001</v>
      </c>
      <c r="BJ122" s="137">
        <f t="shared" si="40"/>
        <v>0.24178420206000001</v>
      </c>
      <c r="BK122" s="137">
        <f t="shared" si="41"/>
        <v>1.4632831845000001E-2</v>
      </c>
      <c r="BL122" s="137">
        <f t="shared" si="42"/>
        <v>2.4891686748000001</v>
      </c>
      <c r="BM122" s="137">
        <f t="shared" si="43"/>
        <v>0.26641677915</v>
      </c>
    </row>
    <row r="123" spans="1:65" x14ac:dyDescent="0.25">
      <c r="A123" s="149">
        <v>149</v>
      </c>
      <c r="B123" s="149">
        <v>43</v>
      </c>
      <c r="C123" s="61">
        <v>39.332213000000003</v>
      </c>
      <c r="D123" s="61">
        <v>-76.600832999999994</v>
      </c>
      <c r="E123" s="61" t="s">
        <v>265</v>
      </c>
      <c r="F123" s="149">
        <v>82</v>
      </c>
      <c r="G123" s="61" t="s">
        <v>684</v>
      </c>
      <c r="H123" s="61" t="s">
        <v>685</v>
      </c>
      <c r="I123" s="61">
        <v>39.177404000000003</v>
      </c>
      <c r="J123" s="61">
        <v>-76.668391999999997</v>
      </c>
      <c r="K123" s="61">
        <v>25.47228264</v>
      </c>
      <c r="L123" s="61">
        <v>22.373000000000001</v>
      </c>
      <c r="M123" s="61" t="s">
        <v>617</v>
      </c>
      <c r="N123" s="149">
        <v>42</v>
      </c>
      <c r="O123" s="149">
        <v>43</v>
      </c>
      <c r="P123" s="61" t="s">
        <v>565</v>
      </c>
      <c r="Q123" s="61" t="s">
        <v>555</v>
      </c>
      <c r="R123" s="61">
        <v>40.6895314</v>
      </c>
      <c r="S123" s="61">
        <v>-74.174462399999996</v>
      </c>
      <c r="T123" s="61">
        <v>285.99299999999999</v>
      </c>
      <c r="U123" s="61" t="s">
        <v>617</v>
      </c>
      <c r="V123" s="61" t="s">
        <v>617</v>
      </c>
      <c r="W123" s="61"/>
      <c r="Y123" s="137">
        <f>Summary_LCIA!H$32</f>
        <v>0.33979999999999999</v>
      </c>
      <c r="Z123" s="137">
        <f>Summary_LCIA!Q$32</f>
        <v>4.9560504329999997</v>
      </c>
      <c r="AA123" s="137">
        <f>Summary_LCIA!R$32</f>
        <v>5.2655999999999996E-3</v>
      </c>
      <c r="AB123" s="137">
        <f>Summary_LCIA!S$32</f>
        <v>0.33538000000000001</v>
      </c>
      <c r="AC123" s="137">
        <f>Summary_LCIA!T$32</f>
        <v>0.1099</v>
      </c>
      <c r="AD123" s="137">
        <f>Summary_LCIA!U$32</f>
        <v>1.7913999999999999E-2</v>
      </c>
      <c r="AE123" s="137">
        <f>Summary_LCIA!V$32</f>
        <v>4.7760999999999999E-5</v>
      </c>
      <c r="AF123" s="137">
        <f>Summary_LCIA!W$32</f>
        <v>7.6970999999999998E-2</v>
      </c>
      <c r="AG123" s="137">
        <f>Summary_LCIA!X$32</f>
        <v>2.2780000000000002E-2</v>
      </c>
      <c r="AH123" s="137">
        <f>Summary_LCIA!Y$32</f>
        <v>1.5582E-2</v>
      </c>
      <c r="AI123" s="137">
        <f>Summary_LCIA!Z$32</f>
        <v>4.1009E-5</v>
      </c>
      <c r="AJ123" s="137">
        <f>Summary_LCIA!AA$32</f>
        <v>2.3355999999999998E-2</v>
      </c>
      <c r="AK123" s="137">
        <f>Summary_LCIA!AB$32</f>
        <v>-2.1823000000000001E-5</v>
      </c>
      <c r="AL123" s="137">
        <f>Summary_LCIA!AC$32</f>
        <v>4.8884000000000003E-8</v>
      </c>
      <c r="AM123" s="137">
        <f>Summary_LCIA!AD$32</f>
        <v>4.1103999999999999E-4</v>
      </c>
      <c r="AN123" s="137">
        <f>Summary_LCIA!AE$32</f>
        <v>8.8612999999999995E-4</v>
      </c>
      <c r="AO123" s="137">
        <f>Summary_LCIA!AF$32</f>
        <v>8.4542000000000005E-4</v>
      </c>
      <c r="AP123" s="137">
        <f>Summary_LCIA!AG$32</f>
        <v>5.1165000000000002E-5</v>
      </c>
      <c r="AQ123" s="137">
        <f>Summary_LCIA!AH$32</f>
        <v>8.7036000000000006E-3</v>
      </c>
      <c r="AR123" s="137">
        <f>Summary_LCIA!AI$32</f>
        <v>9.3154999999999996E-4</v>
      </c>
      <c r="AT123" s="137">
        <f t="shared" si="24"/>
        <v>97.1804214</v>
      </c>
      <c r="AU123" s="137">
        <f t="shared" si="25"/>
        <v>1417.3957314849688</v>
      </c>
      <c r="AV123" s="137">
        <f t="shared" si="26"/>
        <v>1.5059247407999998</v>
      </c>
      <c r="AW123" s="137">
        <f t="shared" si="27"/>
        <v>95.916332339999997</v>
      </c>
      <c r="AX123" s="137">
        <f t="shared" si="28"/>
        <v>31.430630699999998</v>
      </c>
      <c r="AY123" s="137">
        <f t="shared" si="29"/>
        <v>5.1232786020000001</v>
      </c>
      <c r="AZ123" s="137">
        <f t="shared" si="30"/>
        <v>1.3659311673E-2</v>
      </c>
      <c r="BA123" s="137">
        <f t="shared" si="31"/>
        <v>22.013167202999998</v>
      </c>
      <c r="BB123" s="137">
        <f t="shared" si="32"/>
        <v>6.5149205400000003</v>
      </c>
      <c r="BC123" s="137">
        <f t="shared" si="33"/>
        <v>4.4563429259999996</v>
      </c>
      <c r="BD123" s="137">
        <f t="shared" si="34"/>
        <v>1.1728286936999999E-2</v>
      </c>
      <c r="BE123" s="137">
        <f t="shared" si="35"/>
        <v>6.6796525079999993</v>
      </c>
      <c r="BF123" s="137">
        <f t="shared" si="36"/>
        <v>-6.2412252389999999E-3</v>
      </c>
      <c r="BG123" s="137">
        <f t="shared" si="37"/>
        <v>1.3980481812000001E-5</v>
      </c>
      <c r="BH123" s="137">
        <f t="shared" si="38"/>
        <v>0.11755456271999999</v>
      </c>
      <c r="BI123" s="137">
        <f t="shared" si="39"/>
        <v>0.25342697709000001</v>
      </c>
      <c r="BJ123" s="137">
        <f t="shared" si="40"/>
        <v>0.24178420206000001</v>
      </c>
      <c r="BK123" s="137">
        <f t="shared" si="41"/>
        <v>1.4632831845000001E-2</v>
      </c>
      <c r="BL123" s="137">
        <f t="shared" si="42"/>
        <v>2.4891686748000001</v>
      </c>
      <c r="BM123" s="137">
        <f t="shared" si="43"/>
        <v>0.26641677915</v>
      </c>
    </row>
    <row r="124" spans="1:65" x14ac:dyDescent="0.25">
      <c r="A124" s="149">
        <v>150</v>
      </c>
      <c r="B124" s="149">
        <v>43</v>
      </c>
      <c r="C124" s="61">
        <v>39.332213000000003</v>
      </c>
      <c r="D124" s="61">
        <v>-76.600832999999994</v>
      </c>
      <c r="E124" s="61" t="s">
        <v>265</v>
      </c>
      <c r="F124" s="149">
        <v>82</v>
      </c>
      <c r="G124" s="61" t="s">
        <v>684</v>
      </c>
      <c r="H124" s="61" t="s">
        <v>685</v>
      </c>
      <c r="I124" s="61">
        <v>39.177404000000003</v>
      </c>
      <c r="J124" s="61">
        <v>-76.668391999999997</v>
      </c>
      <c r="K124" s="61">
        <v>25.47228264</v>
      </c>
      <c r="L124" s="61">
        <v>22.373000000000001</v>
      </c>
      <c r="M124" s="61" t="s">
        <v>617</v>
      </c>
      <c r="N124" s="149">
        <v>42</v>
      </c>
      <c r="O124" s="149">
        <v>43</v>
      </c>
      <c r="P124" s="61" t="s">
        <v>565</v>
      </c>
      <c r="Q124" s="61" t="s">
        <v>555</v>
      </c>
      <c r="R124" s="61">
        <v>40.6895314</v>
      </c>
      <c r="S124" s="61">
        <v>-74.174462399999996</v>
      </c>
      <c r="T124" s="61">
        <v>285.99299999999999</v>
      </c>
      <c r="U124" s="61" t="s">
        <v>617</v>
      </c>
      <c r="V124" s="61" t="s">
        <v>617</v>
      </c>
      <c r="W124" s="61"/>
      <c r="Y124" s="137">
        <f>Summary_LCIA!H$32</f>
        <v>0.33979999999999999</v>
      </c>
      <c r="Z124" s="137">
        <f>Summary_LCIA!Q$32</f>
        <v>4.9560504329999997</v>
      </c>
      <c r="AA124" s="137">
        <f>Summary_LCIA!R$32</f>
        <v>5.2655999999999996E-3</v>
      </c>
      <c r="AB124" s="137">
        <f>Summary_LCIA!S$32</f>
        <v>0.33538000000000001</v>
      </c>
      <c r="AC124" s="137">
        <f>Summary_LCIA!T$32</f>
        <v>0.1099</v>
      </c>
      <c r="AD124" s="137">
        <f>Summary_LCIA!U$32</f>
        <v>1.7913999999999999E-2</v>
      </c>
      <c r="AE124" s="137">
        <f>Summary_LCIA!V$32</f>
        <v>4.7760999999999999E-5</v>
      </c>
      <c r="AF124" s="137">
        <f>Summary_LCIA!W$32</f>
        <v>7.6970999999999998E-2</v>
      </c>
      <c r="AG124" s="137">
        <f>Summary_LCIA!X$32</f>
        <v>2.2780000000000002E-2</v>
      </c>
      <c r="AH124" s="137">
        <f>Summary_LCIA!Y$32</f>
        <v>1.5582E-2</v>
      </c>
      <c r="AI124" s="137">
        <f>Summary_LCIA!Z$32</f>
        <v>4.1009E-5</v>
      </c>
      <c r="AJ124" s="137">
        <f>Summary_LCIA!AA$32</f>
        <v>2.3355999999999998E-2</v>
      </c>
      <c r="AK124" s="137">
        <f>Summary_LCIA!AB$32</f>
        <v>-2.1823000000000001E-5</v>
      </c>
      <c r="AL124" s="137">
        <f>Summary_LCIA!AC$32</f>
        <v>4.8884000000000003E-8</v>
      </c>
      <c r="AM124" s="137">
        <f>Summary_LCIA!AD$32</f>
        <v>4.1103999999999999E-4</v>
      </c>
      <c r="AN124" s="137">
        <f>Summary_LCIA!AE$32</f>
        <v>8.8612999999999995E-4</v>
      </c>
      <c r="AO124" s="137">
        <f>Summary_LCIA!AF$32</f>
        <v>8.4542000000000005E-4</v>
      </c>
      <c r="AP124" s="137">
        <f>Summary_LCIA!AG$32</f>
        <v>5.1165000000000002E-5</v>
      </c>
      <c r="AQ124" s="137">
        <f>Summary_LCIA!AH$32</f>
        <v>8.7036000000000006E-3</v>
      </c>
      <c r="AR124" s="137">
        <f>Summary_LCIA!AI$32</f>
        <v>9.3154999999999996E-4</v>
      </c>
      <c r="AT124" s="137">
        <f t="shared" si="24"/>
        <v>97.1804214</v>
      </c>
      <c r="AU124" s="137">
        <f t="shared" si="25"/>
        <v>1417.3957314849688</v>
      </c>
      <c r="AV124" s="137">
        <f t="shared" si="26"/>
        <v>1.5059247407999998</v>
      </c>
      <c r="AW124" s="137">
        <f t="shared" si="27"/>
        <v>95.916332339999997</v>
      </c>
      <c r="AX124" s="137">
        <f t="shared" si="28"/>
        <v>31.430630699999998</v>
      </c>
      <c r="AY124" s="137">
        <f t="shared" si="29"/>
        <v>5.1232786020000001</v>
      </c>
      <c r="AZ124" s="137">
        <f t="shared" si="30"/>
        <v>1.3659311673E-2</v>
      </c>
      <c r="BA124" s="137">
        <f t="shared" si="31"/>
        <v>22.013167202999998</v>
      </c>
      <c r="BB124" s="137">
        <f t="shared" si="32"/>
        <v>6.5149205400000003</v>
      </c>
      <c r="BC124" s="137">
        <f t="shared" si="33"/>
        <v>4.4563429259999996</v>
      </c>
      <c r="BD124" s="137">
        <f t="shared" si="34"/>
        <v>1.1728286936999999E-2</v>
      </c>
      <c r="BE124" s="137">
        <f t="shared" si="35"/>
        <v>6.6796525079999993</v>
      </c>
      <c r="BF124" s="137">
        <f t="shared" si="36"/>
        <v>-6.2412252389999999E-3</v>
      </c>
      <c r="BG124" s="137">
        <f t="shared" si="37"/>
        <v>1.3980481812000001E-5</v>
      </c>
      <c r="BH124" s="137">
        <f t="shared" si="38"/>
        <v>0.11755456271999999</v>
      </c>
      <c r="BI124" s="137">
        <f t="shared" si="39"/>
        <v>0.25342697709000001</v>
      </c>
      <c r="BJ124" s="137">
        <f t="shared" si="40"/>
        <v>0.24178420206000001</v>
      </c>
      <c r="BK124" s="137">
        <f t="shared" si="41"/>
        <v>1.4632831845000001E-2</v>
      </c>
      <c r="BL124" s="137">
        <f t="shared" si="42"/>
        <v>2.4891686748000001</v>
      </c>
      <c r="BM124" s="137">
        <f t="shared" si="43"/>
        <v>0.26641677915</v>
      </c>
    </row>
    <row r="125" spans="1:65" x14ac:dyDescent="0.25">
      <c r="A125" s="149">
        <v>151</v>
      </c>
      <c r="B125" s="149">
        <v>43</v>
      </c>
      <c r="C125" s="61">
        <v>39.332213000000003</v>
      </c>
      <c r="D125" s="61">
        <v>-76.600832999999994</v>
      </c>
      <c r="E125" s="61" t="s">
        <v>265</v>
      </c>
      <c r="F125" s="149">
        <v>82</v>
      </c>
      <c r="G125" s="61" t="s">
        <v>684</v>
      </c>
      <c r="H125" s="61" t="s">
        <v>685</v>
      </c>
      <c r="I125" s="61">
        <v>39.177404000000003</v>
      </c>
      <c r="J125" s="61">
        <v>-76.668391999999997</v>
      </c>
      <c r="K125" s="61">
        <v>25.47228264</v>
      </c>
      <c r="L125" s="61">
        <v>22.373000000000001</v>
      </c>
      <c r="M125" s="61" t="s">
        <v>617</v>
      </c>
      <c r="N125" s="149">
        <v>42</v>
      </c>
      <c r="O125" s="149">
        <v>43</v>
      </c>
      <c r="P125" s="61" t="s">
        <v>565</v>
      </c>
      <c r="Q125" s="61" t="s">
        <v>555</v>
      </c>
      <c r="R125" s="61">
        <v>40.6895314</v>
      </c>
      <c r="S125" s="61">
        <v>-74.174462399999996</v>
      </c>
      <c r="T125" s="61">
        <v>285.99299999999999</v>
      </c>
      <c r="U125" s="61" t="s">
        <v>617</v>
      </c>
      <c r="V125" s="61" t="s">
        <v>617</v>
      </c>
      <c r="W125" s="61"/>
      <c r="Y125" s="137">
        <f>Summary_LCIA!H$32</f>
        <v>0.33979999999999999</v>
      </c>
      <c r="Z125" s="137">
        <f>Summary_LCIA!Q$32</f>
        <v>4.9560504329999997</v>
      </c>
      <c r="AA125" s="137">
        <f>Summary_LCIA!R$32</f>
        <v>5.2655999999999996E-3</v>
      </c>
      <c r="AB125" s="137">
        <f>Summary_LCIA!S$32</f>
        <v>0.33538000000000001</v>
      </c>
      <c r="AC125" s="137">
        <f>Summary_LCIA!T$32</f>
        <v>0.1099</v>
      </c>
      <c r="AD125" s="137">
        <f>Summary_LCIA!U$32</f>
        <v>1.7913999999999999E-2</v>
      </c>
      <c r="AE125" s="137">
        <f>Summary_LCIA!V$32</f>
        <v>4.7760999999999999E-5</v>
      </c>
      <c r="AF125" s="137">
        <f>Summary_LCIA!W$32</f>
        <v>7.6970999999999998E-2</v>
      </c>
      <c r="AG125" s="137">
        <f>Summary_LCIA!X$32</f>
        <v>2.2780000000000002E-2</v>
      </c>
      <c r="AH125" s="137">
        <f>Summary_LCIA!Y$32</f>
        <v>1.5582E-2</v>
      </c>
      <c r="AI125" s="137">
        <f>Summary_LCIA!Z$32</f>
        <v>4.1009E-5</v>
      </c>
      <c r="AJ125" s="137">
        <f>Summary_LCIA!AA$32</f>
        <v>2.3355999999999998E-2</v>
      </c>
      <c r="AK125" s="137">
        <f>Summary_LCIA!AB$32</f>
        <v>-2.1823000000000001E-5</v>
      </c>
      <c r="AL125" s="137">
        <f>Summary_LCIA!AC$32</f>
        <v>4.8884000000000003E-8</v>
      </c>
      <c r="AM125" s="137">
        <f>Summary_LCIA!AD$32</f>
        <v>4.1103999999999999E-4</v>
      </c>
      <c r="AN125" s="137">
        <f>Summary_LCIA!AE$32</f>
        <v>8.8612999999999995E-4</v>
      </c>
      <c r="AO125" s="137">
        <f>Summary_LCIA!AF$32</f>
        <v>8.4542000000000005E-4</v>
      </c>
      <c r="AP125" s="137">
        <f>Summary_LCIA!AG$32</f>
        <v>5.1165000000000002E-5</v>
      </c>
      <c r="AQ125" s="137">
        <f>Summary_LCIA!AH$32</f>
        <v>8.7036000000000006E-3</v>
      </c>
      <c r="AR125" s="137">
        <f>Summary_LCIA!AI$32</f>
        <v>9.3154999999999996E-4</v>
      </c>
      <c r="AT125" s="137">
        <f t="shared" si="24"/>
        <v>97.1804214</v>
      </c>
      <c r="AU125" s="137">
        <f t="shared" si="25"/>
        <v>1417.3957314849688</v>
      </c>
      <c r="AV125" s="137">
        <f t="shared" si="26"/>
        <v>1.5059247407999998</v>
      </c>
      <c r="AW125" s="137">
        <f t="shared" si="27"/>
        <v>95.916332339999997</v>
      </c>
      <c r="AX125" s="137">
        <f t="shared" si="28"/>
        <v>31.430630699999998</v>
      </c>
      <c r="AY125" s="137">
        <f t="shared" si="29"/>
        <v>5.1232786020000001</v>
      </c>
      <c r="AZ125" s="137">
        <f t="shared" si="30"/>
        <v>1.3659311673E-2</v>
      </c>
      <c r="BA125" s="137">
        <f t="shared" si="31"/>
        <v>22.013167202999998</v>
      </c>
      <c r="BB125" s="137">
        <f t="shared" si="32"/>
        <v>6.5149205400000003</v>
      </c>
      <c r="BC125" s="137">
        <f t="shared" si="33"/>
        <v>4.4563429259999996</v>
      </c>
      <c r="BD125" s="137">
        <f t="shared" si="34"/>
        <v>1.1728286936999999E-2</v>
      </c>
      <c r="BE125" s="137">
        <f t="shared" si="35"/>
        <v>6.6796525079999993</v>
      </c>
      <c r="BF125" s="137">
        <f t="shared" si="36"/>
        <v>-6.2412252389999999E-3</v>
      </c>
      <c r="BG125" s="137">
        <f t="shared" si="37"/>
        <v>1.3980481812000001E-5</v>
      </c>
      <c r="BH125" s="137">
        <f t="shared" si="38"/>
        <v>0.11755456271999999</v>
      </c>
      <c r="BI125" s="137">
        <f t="shared" si="39"/>
        <v>0.25342697709000001</v>
      </c>
      <c r="BJ125" s="137">
        <f t="shared" si="40"/>
        <v>0.24178420206000001</v>
      </c>
      <c r="BK125" s="137">
        <f t="shared" si="41"/>
        <v>1.4632831845000001E-2</v>
      </c>
      <c r="BL125" s="137">
        <f t="shared" si="42"/>
        <v>2.4891686748000001</v>
      </c>
      <c r="BM125" s="137">
        <f t="shared" si="43"/>
        <v>0.26641677915</v>
      </c>
    </row>
    <row r="126" spans="1:65" x14ac:dyDescent="0.25">
      <c r="A126" s="149">
        <v>307</v>
      </c>
      <c r="B126" s="149">
        <v>43</v>
      </c>
      <c r="C126" s="61">
        <v>41.888157999999997</v>
      </c>
      <c r="D126" s="61">
        <v>-71.477429000000001</v>
      </c>
      <c r="E126" s="61" t="s">
        <v>265</v>
      </c>
      <c r="F126" s="149">
        <v>53</v>
      </c>
      <c r="G126" s="61" t="s">
        <v>565</v>
      </c>
      <c r="H126" s="61" t="s">
        <v>634</v>
      </c>
      <c r="I126" s="61">
        <v>42.365613000000003</v>
      </c>
      <c r="J126" s="61">
        <v>-71.009559999999993</v>
      </c>
      <c r="K126" s="61">
        <v>86.564645630000001</v>
      </c>
      <c r="L126" s="61">
        <v>88.81</v>
      </c>
      <c r="M126" s="61" t="s">
        <v>617</v>
      </c>
      <c r="N126" s="149">
        <v>42</v>
      </c>
      <c r="O126" s="149">
        <v>43</v>
      </c>
      <c r="P126" s="61" t="s">
        <v>565</v>
      </c>
      <c r="Q126" s="61" t="s">
        <v>555</v>
      </c>
      <c r="R126" s="61">
        <v>40.6895314</v>
      </c>
      <c r="S126" s="61">
        <v>-74.174462399999996</v>
      </c>
      <c r="T126" s="61">
        <v>325.79700000000003</v>
      </c>
      <c r="U126" s="61" t="s">
        <v>617</v>
      </c>
      <c r="V126" s="61" t="s">
        <v>617</v>
      </c>
      <c r="W126" s="61"/>
      <c r="Y126" s="137">
        <f>Summary_LCIA!H$32</f>
        <v>0.33979999999999999</v>
      </c>
      <c r="Z126" s="137">
        <f>Summary_LCIA!Q$32</f>
        <v>4.9560504329999997</v>
      </c>
      <c r="AA126" s="137">
        <f>Summary_LCIA!R$32</f>
        <v>5.2655999999999996E-3</v>
      </c>
      <c r="AB126" s="137">
        <f>Summary_LCIA!S$32</f>
        <v>0.33538000000000001</v>
      </c>
      <c r="AC126" s="137">
        <f>Summary_LCIA!T$32</f>
        <v>0.1099</v>
      </c>
      <c r="AD126" s="137">
        <f>Summary_LCIA!U$32</f>
        <v>1.7913999999999999E-2</v>
      </c>
      <c r="AE126" s="137">
        <f>Summary_LCIA!V$32</f>
        <v>4.7760999999999999E-5</v>
      </c>
      <c r="AF126" s="137">
        <f>Summary_LCIA!W$32</f>
        <v>7.6970999999999998E-2</v>
      </c>
      <c r="AG126" s="137">
        <f>Summary_LCIA!X$32</f>
        <v>2.2780000000000002E-2</v>
      </c>
      <c r="AH126" s="137">
        <f>Summary_LCIA!Y$32</f>
        <v>1.5582E-2</v>
      </c>
      <c r="AI126" s="137">
        <f>Summary_LCIA!Z$32</f>
        <v>4.1009E-5</v>
      </c>
      <c r="AJ126" s="137">
        <f>Summary_LCIA!AA$32</f>
        <v>2.3355999999999998E-2</v>
      </c>
      <c r="AK126" s="137">
        <f>Summary_LCIA!AB$32</f>
        <v>-2.1823000000000001E-5</v>
      </c>
      <c r="AL126" s="137">
        <f>Summary_LCIA!AC$32</f>
        <v>4.8884000000000003E-8</v>
      </c>
      <c r="AM126" s="137">
        <f>Summary_LCIA!AD$32</f>
        <v>4.1103999999999999E-4</v>
      </c>
      <c r="AN126" s="137">
        <f>Summary_LCIA!AE$32</f>
        <v>8.8612999999999995E-4</v>
      </c>
      <c r="AO126" s="137">
        <f>Summary_LCIA!AF$32</f>
        <v>8.4542000000000005E-4</v>
      </c>
      <c r="AP126" s="137">
        <f>Summary_LCIA!AG$32</f>
        <v>5.1165000000000002E-5</v>
      </c>
      <c r="AQ126" s="137">
        <f>Summary_LCIA!AH$32</f>
        <v>8.7036000000000006E-3</v>
      </c>
      <c r="AR126" s="137">
        <f>Summary_LCIA!AI$32</f>
        <v>9.3154999999999996E-4</v>
      </c>
      <c r="AT126" s="137">
        <f t="shared" si="24"/>
        <v>110.70582060000001</v>
      </c>
      <c r="AU126" s="137">
        <f t="shared" si="25"/>
        <v>1614.6663629201009</v>
      </c>
      <c r="AV126" s="137">
        <f t="shared" si="26"/>
        <v>1.7155166831999999</v>
      </c>
      <c r="AW126" s="137">
        <f t="shared" si="27"/>
        <v>109.26579786000001</v>
      </c>
      <c r="AX126" s="137">
        <f t="shared" si="28"/>
        <v>35.805090300000003</v>
      </c>
      <c r="AY126" s="137">
        <f t="shared" si="29"/>
        <v>5.8363274580000004</v>
      </c>
      <c r="AZ126" s="137">
        <f t="shared" si="30"/>
        <v>1.5560390517E-2</v>
      </c>
      <c r="BA126" s="137">
        <f t="shared" si="31"/>
        <v>25.076920887</v>
      </c>
      <c r="BB126" s="137">
        <f t="shared" si="32"/>
        <v>7.4216556600000008</v>
      </c>
      <c r="BC126" s="137">
        <f t="shared" si="33"/>
        <v>5.0765688540000005</v>
      </c>
      <c r="BD126" s="137">
        <f t="shared" si="34"/>
        <v>1.3360609173E-2</v>
      </c>
      <c r="BE126" s="137">
        <f t="shared" si="35"/>
        <v>7.6093147319999996</v>
      </c>
      <c r="BF126" s="137">
        <f t="shared" si="36"/>
        <v>-7.1098679310000008E-3</v>
      </c>
      <c r="BG126" s="137">
        <f t="shared" si="37"/>
        <v>1.5926260548000001E-5</v>
      </c>
      <c r="BH126" s="137">
        <f t="shared" si="38"/>
        <v>0.13391559888000001</v>
      </c>
      <c r="BI126" s="137">
        <f t="shared" si="39"/>
        <v>0.28869849560999999</v>
      </c>
      <c r="BJ126" s="137">
        <f t="shared" si="40"/>
        <v>0.27543529974000003</v>
      </c>
      <c r="BK126" s="137">
        <f t="shared" si="41"/>
        <v>1.6669403505000003E-2</v>
      </c>
      <c r="BL126" s="137">
        <f t="shared" si="42"/>
        <v>2.8356067692000004</v>
      </c>
      <c r="BM126" s="137">
        <f t="shared" si="43"/>
        <v>0.30349619535</v>
      </c>
    </row>
    <row r="127" spans="1:65" x14ac:dyDescent="0.25">
      <c r="A127" s="149">
        <v>157</v>
      </c>
      <c r="B127" s="149">
        <v>43</v>
      </c>
      <c r="C127" s="61">
        <v>39.034832000000002</v>
      </c>
      <c r="D127" s="61">
        <v>-76.907473999999993</v>
      </c>
      <c r="E127" s="61" t="s">
        <v>265</v>
      </c>
      <c r="F127" s="149">
        <v>82</v>
      </c>
      <c r="G127" s="61" t="s">
        <v>684</v>
      </c>
      <c r="H127" s="61" t="s">
        <v>685</v>
      </c>
      <c r="I127" s="61">
        <v>39.177404000000003</v>
      </c>
      <c r="J127" s="61">
        <v>-76.668391999999997</v>
      </c>
      <c r="K127" s="61">
        <v>32.055941840000003</v>
      </c>
      <c r="L127" s="61">
        <v>31.834</v>
      </c>
      <c r="M127" s="61" t="s">
        <v>617</v>
      </c>
      <c r="N127" s="149">
        <v>42</v>
      </c>
      <c r="O127" s="149">
        <v>43</v>
      </c>
      <c r="P127" s="61" t="s">
        <v>565</v>
      </c>
      <c r="Q127" s="61" t="s">
        <v>555</v>
      </c>
      <c r="R127" s="61">
        <v>40.6895314</v>
      </c>
      <c r="S127" s="61">
        <v>-74.174462399999996</v>
      </c>
      <c r="T127" s="61">
        <v>328.17399999999998</v>
      </c>
      <c r="U127" s="61" t="s">
        <v>617</v>
      </c>
      <c r="V127" s="61" t="s">
        <v>617</v>
      </c>
      <c r="W127" s="61"/>
      <c r="Y127" s="137">
        <f>Summary_LCIA!H$32</f>
        <v>0.33979999999999999</v>
      </c>
      <c r="Z127" s="137">
        <f>Summary_LCIA!Q$32</f>
        <v>4.9560504329999997</v>
      </c>
      <c r="AA127" s="137">
        <f>Summary_LCIA!R$32</f>
        <v>5.2655999999999996E-3</v>
      </c>
      <c r="AB127" s="137">
        <f>Summary_LCIA!S$32</f>
        <v>0.33538000000000001</v>
      </c>
      <c r="AC127" s="137">
        <f>Summary_LCIA!T$32</f>
        <v>0.1099</v>
      </c>
      <c r="AD127" s="137">
        <f>Summary_LCIA!U$32</f>
        <v>1.7913999999999999E-2</v>
      </c>
      <c r="AE127" s="137">
        <f>Summary_LCIA!V$32</f>
        <v>4.7760999999999999E-5</v>
      </c>
      <c r="AF127" s="137">
        <f>Summary_LCIA!W$32</f>
        <v>7.6970999999999998E-2</v>
      </c>
      <c r="AG127" s="137">
        <f>Summary_LCIA!X$32</f>
        <v>2.2780000000000002E-2</v>
      </c>
      <c r="AH127" s="137">
        <f>Summary_LCIA!Y$32</f>
        <v>1.5582E-2</v>
      </c>
      <c r="AI127" s="137">
        <f>Summary_LCIA!Z$32</f>
        <v>4.1009E-5</v>
      </c>
      <c r="AJ127" s="137">
        <f>Summary_LCIA!AA$32</f>
        <v>2.3355999999999998E-2</v>
      </c>
      <c r="AK127" s="137">
        <f>Summary_LCIA!AB$32</f>
        <v>-2.1823000000000001E-5</v>
      </c>
      <c r="AL127" s="137">
        <f>Summary_LCIA!AC$32</f>
        <v>4.8884000000000003E-8</v>
      </c>
      <c r="AM127" s="137">
        <f>Summary_LCIA!AD$32</f>
        <v>4.1103999999999999E-4</v>
      </c>
      <c r="AN127" s="137">
        <f>Summary_LCIA!AE$32</f>
        <v>8.8612999999999995E-4</v>
      </c>
      <c r="AO127" s="137">
        <f>Summary_LCIA!AF$32</f>
        <v>8.4542000000000005E-4</v>
      </c>
      <c r="AP127" s="137">
        <f>Summary_LCIA!AG$32</f>
        <v>5.1165000000000002E-5</v>
      </c>
      <c r="AQ127" s="137">
        <f>Summary_LCIA!AH$32</f>
        <v>8.7036000000000006E-3</v>
      </c>
      <c r="AR127" s="137">
        <f>Summary_LCIA!AI$32</f>
        <v>9.3154999999999996E-4</v>
      </c>
      <c r="AT127" s="137">
        <f t="shared" si="24"/>
        <v>111.51352519999999</v>
      </c>
      <c r="AU127" s="137">
        <f t="shared" si="25"/>
        <v>1626.4468947993419</v>
      </c>
      <c r="AV127" s="137">
        <f t="shared" si="26"/>
        <v>1.7280330143999998</v>
      </c>
      <c r="AW127" s="137">
        <f t="shared" si="27"/>
        <v>110.06299611999999</v>
      </c>
      <c r="AX127" s="137">
        <f t="shared" si="28"/>
        <v>36.066322599999999</v>
      </c>
      <c r="AY127" s="137">
        <f t="shared" si="29"/>
        <v>5.8789090359999996</v>
      </c>
      <c r="AZ127" s="137">
        <f t="shared" si="30"/>
        <v>1.5673918413999999E-2</v>
      </c>
      <c r="BA127" s="137">
        <f t="shared" si="31"/>
        <v>25.259880953999996</v>
      </c>
      <c r="BB127" s="137">
        <f t="shared" si="32"/>
        <v>7.47580372</v>
      </c>
      <c r="BC127" s="137">
        <f t="shared" si="33"/>
        <v>5.113607268</v>
      </c>
      <c r="BD127" s="137">
        <f t="shared" si="34"/>
        <v>1.3458087565999999E-2</v>
      </c>
      <c r="BE127" s="137">
        <f t="shared" si="35"/>
        <v>7.6648319439999986</v>
      </c>
      <c r="BF127" s="137">
        <f t="shared" si="36"/>
        <v>-7.1617412020000002E-3</v>
      </c>
      <c r="BG127" s="137">
        <f t="shared" si="37"/>
        <v>1.6042457816000001E-5</v>
      </c>
      <c r="BH127" s="137">
        <f t="shared" si="38"/>
        <v>0.13489264095999998</v>
      </c>
      <c r="BI127" s="137">
        <f t="shared" si="39"/>
        <v>0.29080482661999996</v>
      </c>
      <c r="BJ127" s="137">
        <f t="shared" si="40"/>
        <v>0.27744486307999999</v>
      </c>
      <c r="BK127" s="137">
        <f t="shared" si="41"/>
        <v>1.6791022709999999E-2</v>
      </c>
      <c r="BL127" s="137">
        <f t="shared" si="42"/>
        <v>2.8562952263999999</v>
      </c>
      <c r="BM127" s="137">
        <f t="shared" si="43"/>
        <v>0.30571048969999998</v>
      </c>
    </row>
    <row r="128" spans="1:65" x14ac:dyDescent="0.25">
      <c r="A128" s="149">
        <v>111</v>
      </c>
      <c r="B128" s="149">
        <v>43</v>
      </c>
      <c r="C128" s="61">
        <v>39.008927</v>
      </c>
      <c r="D128" s="61">
        <v>-76.895245000000003</v>
      </c>
      <c r="E128" s="61" t="s">
        <v>265</v>
      </c>
      <c r="F128" s="149">
        <v>86</v>
      </c>
      <c r="G128" s="61" t="s">
        <v>630</v>
      </c>
      <c r="H128" s="61" t="s">
        <v>644</v>
      </c>
      <c r="I128" s="61">
        <v>38.851241999999999</v>
      </c>
      <c r="J128" s="61">
        <v>-77.040232000000003</v>
      </c>
      <c r="K128" s="61">
        <v>28.86541089</v>
      </c>
      <c r="L128" s="61">
        <v>30.018999999999998</v>
      </c>
      <c r="M128" s="61" t="s">
        <v>617</v>
      </c>
      <c r="N128" s="149">
        <v>42</v>
      </c>
      <c r="O128" s="149">
        <v>43</v>
      </c>
      <c r="P128" s="61" t="s">
        <v>565</v>
      </c>
      <c r="Q128" s="61" t="s">
        <v>555</v>
      </c>
      <c r="R128" s="61">
        <v>40.6895314</v>
      </c>
      <c r="S128" s="61">
        <v>-74.174462399999996</v>
      </c>
      <c r="T128" s="61">
        <v>329.06599999999997</v>
      </c>
      <c r="U128" s="61" t="s">
        <v>617</v>
      </c>
      <c r="V128" s="61" t="s">
        <v>617</v>
      </c>
      <c r="W128" s="61"/>
      <c r="Y128" s="137">
        <f>Summary_LCIA!H$32</f>
        <v>0.33979999999999999</v>
      </c>
      <c r="Z128" s="137">
        <f>Summary_LCIA!Q$32</f>
        <v>4.9560504329999997</v>
      </c>
      <c r="AA128" s="137">
        <f>Summary_LCIA!R$32</f>
        <v>5.2655999999999996E-3</v>
      </c>
      <c r="AB128" s="137">
        <f>Summary_LCIA!S$32</f>
        <v>0.33538000000000001</v>
      </c>
      <c r="AC128" s="137">
        <f>Summary_LCIA!T$32</f>
        <v>0.1099</v>
      </c>
      <c r="AD128" s="137">
        <f>Summary_LCIA!U$32</f>
        <v>1.7913999999999999E-2</v>
      </c>
      <c r="AE128" s="137">
        <f>Summary_LCIA!V$32</f>
        <v>4.7760999999999999E-5</v>
      </c>
      <c r="AF128" s="137">
        <f>Summary_LCIA!W$32</f>
        <v>7.6970999999999998E-2</v>
      </c>
      <c r="AG128" s="137">
        <f>Summary_LCIA!X$32</f>
        <v>2.2780000000000002E-2</v>
      </c>
      <c r="AH128" s="137">
        <f>Summary_LCIA!Y$32</f>
        <v>1.5582E-2</v>
      </c>
      <c r="AI128" s="137">
        <f>Summary_LCIA!Z$32</f>
        <v>4.1009E-5</v>
      </c>
      <c r="AJ128" s="137">
        <f>Summary_LCIA!AA$32</f>
        <v>2.3355999999999998E-2</v>
      </c>
      <c r="AK128" s="137">
        <f>Summary_LCIA!AB$32</f>
        <v>-2.1823000000000001E-5</v>
      </c>
      <c r="AL128" s="137">
        <f>Summary_LCIA!AC$32</f>
        <v>4.8884000000000003E-8</v>
      </c>
      <c r="AM128" s="137">
        <f>Summary_LCIA!AD$32</f>
        <v>4.1103999999999999E-4</v>
      </c>
      <c r="AN128" s="137">
        <f>Summary_LCIA!AE$32</f>
        <v>8.8612999999999995E-4</v>
      </c>
      <c r="AO128" s="137">
        <f>Summary_LCIA!AF$32</f>
        <v>8.4542000000000005E-4</v>
      </c>
      <c r="AP128" s="137">
        <f>Summary_LCIA!AG$32</f>
        <v>5.1165000000000002E-5</v>
      </c>
      <c r="AQ128" s="137">
        <f>Summary_LCIA!AH$32</f>
        <v>8.7036000000000006E-3</v>
      </c>
      <c r="AR128" s="137">
        <f>Summary_LCIA!AI$32</f>
        <v>9.3154999999999996E-4</v>
      </c>
      <c r="AT128" s="137">
        <f t="shared" si="24"/>
        <v>111.81662679999999</v>
      </c>
      <c r="AU128" s="137">
        <f t="shared" si="25"/>
        <v>1630.8676917855778</v>
      </c>
      <c r="AV128" s="137">
        <f t="shared" si="26"/>
        <v>1.7327299295999998</v>
      </c>
      <c r="AW128" s="137">
        <f t="shared" si="27"/>
        <v>110.36215507999999</v>
      </c>
      <c r="AX128" s="137">
        <f t="shared" si="28"/>
        <v>36.164353399999996</v>
      </c>
      <c r="AY128" s="137">
        <f t="shared" si="29"/>
        <v>5.8948883239999992</v>
      </c>
      <c r="AZ128" s="137">
        <f t="shared" si="30"/>
        <v>1.5716521225999997E-2</v>
      </c>
      <c r="BA128" s="137">
        <f t="shared" si="31"/>
        <v>25.328539085999996</v>
      </c>
      <c r="BB128" s="137">
        <f t="shared" si="32"/>
        <v>7.4961234799999996</v>
      </c>
      <c r="BC128" s="137">
        <f t="shared" si="33"/>
        <v>5.1275064119999998</v>
      </c>
      <c r="BD128" s="137">
        <f t="shared" si="34"/>
        <v>1.3494667593999999E-2</v>
      </c>
      <c r="BE128" s="137">
        <f t="shared" si="35"/>
        <v>7.6856654959999986</v>
      </c>
      <c r="BF128" s="137">
        <f t="shared" si="36"/>
        <v>-7.1812073179999998E-3</v>
      </c>
      <c r="BG128" s="137">
        <f t="shared" si="37"/>
        <v>1.6086062344E-5</v>
      </c>
      <c r="BH128" s="137">
        <f t="shared" si="38"/>
        <v>0.13525928863999997</v>
      </c>
      <c r="BI128" s="137">
        <f t="shared" si="39"/>
        <v>0.29159525457999996</v>
      </c>
      <c r="BJ128" s="137">
        <f t="shared" si="40"/>
        <v>0.27819897772000002</v>
      </c>
      <c r="BK128" s="137">
        <f t="shared" si="41"/>
        <v>1.683666189E-2</v>
      </c>
      <c r="BL128" s="137">
        <f t="shared" si="42"/>
        <v>2.8640588376</v>
      </c>
      <c r="BM128" s="137">
        <f t="shared" si="43"/>
        <v>0.30654143229999997</v>
      </c>
    </row>
    <row r="129" spans="1:65" x14ac:dyDescent="0.25">
      <c r="A129" s="149">
        <v>323</v>
      </c>
      <c r="B129" s="149">
        <v>29</v>
      </c>
      <c r="C129" s="61">
        <v>46.280419999999999</v>
      </c>
      <c r="D129" s="61">
        <v>-119.2752</v>
      </c>
      <c r="E129" s="61" t="s">
        <v>265</v>
      </c>
      <c r="F129" s="149">
        <v>90</v>
      </c>
      <c r="G129" s="61" t="s">
        <v>277</v>
      </c>
      <c r="H129" s="61" t="s">
        <v>697</v>
      </c>
      <c r="I129" s="61">
        <v>45.589768999999997</v>
      </c>
      <c r="J129" s="61">
        <v>-122.595094</v>
      </c>
      <c r="K129" s="61">
        <v>274.9193128</v>
      </c>
      <c r="L129" s="61">
        <v>348.00400000000002</v>
      </c>
      <c r="M129" s="61" t="s">
        <v>617</v>
      </c>
      <c r="N129" s="149">
        <v>28</v>
      </c>
      <c r="O129" s="149">
        <v>29</v>
      </c>
      <c r="P129" s="61" t="s">
        <v>565</v>
      </c>
      <c r="Q129" s="61" t="s">
        <v>559</v>
      </c>
      <c r="R129" s="61">
        <v>47.450249900000003</v>
      </c>
      <c r="S129" s="61">
        <v>-122.30881650000001</v>
      </c>
      <c r="T129" s="61">
        <v>334.65499999999997</v>
      </c>
      <c r="U129" s="61" t="s">
        <v>617</v>
      </c>
      <c r="V129" s="61" t="s">
        <v>617</v>
      </c>
      <c r="W129" s="61"/>
      <c r="Y129" s="137">
        <f>Summary_LCIA!H$32</f>
        <v>0.33979999999999999</v>
      </c>
      <c r="Z129" s="137">
        <f>Summary_LCIA!Q$32</f>
        <v>4.9560504329999997</v>
      </c>
      <c r="AA129" s="137">
        <f>Summary_LCIA!R$32</f>
        <v>5.2655999999999996E-3</v>
      </c>
      <c r="AB129" s="137">
        <f>Summary_LCIA!S$32</f>
        <v>0.33538000000000001</v>
      </c>
      <c r="AC129" s="137">
        <f>Summary_LCIA!T$32</f>
        <v>0.1099</v>
      </c>
      <c r="AD129" s="137">
        <f>Summary_LCIA!U$32</f>
        <v>1.7913999999999999E-2</v>
      </c>
      <c r="AE129" s="137">
        <f>Summary_LCIA!V$32</f>
        <v>4.7760999999999999E-5</v>
      </c>
      <c r="AF129" s="137">
        <f>Summary_LCIA!W$32</f>
        <v>7.6970999999999998E-2</v>
      </c>
      <c r="AG129" s="137">
        <f>Summary_LCIA!X$32</f>
        <v>2.2780000000000002E-2</v>
      </c>
      <c r="AH129" s="137">
        <f>Summary_LCIA!Y$32</f>
        <v>1.5582E-2</v>
      </c>
      <c r="AI129" s="137">
        <f>Summary_LCIA!Z$32</f>
        <v>4.1009E-5</v>
      </c>
      <c r="AJ129" s="137">
        <f>Summary_LCIA!AA$32</f>
        <v>2.3355999999999998E-2</v>
      </c>
      <c r="AK129" s="137">
        <f>Summary_LCIA!AB$32</f>
        <v>-2.1823000000000001E-5</v>
      </c>
      <c r="AL129" s="137">
        <f>Summary_LCIA!AC$32</f>
        <v>4.8884000000000003E-8</v>
      </c>
      <c r="AM129" s="137">
        <f>Summary_LCIA!AD$32</f>
        <v>4.1103999999999999E-4</v>
      </c>
      <c r="AN129" s="137">
        <f>Summary_LCIA!AE$32</f>
        <v>8.8612999999999995E-4</v>
      </c>
      <c r="AO129" s="137">
        <f>Summary_LCIA!AF$32</f>
        <v>8.4542000000000005E-4</v>
      </c>
      <c r="AP129" s="137">
        <f>Summary_LCIA!AG$32</f>
        <v>5.1165000000000002E-5</v>
      </c>
      <c r="AQ129" s="137">
        <f>Summary_LCIA!AH$32</f>
        <v>8.7036000000000006E-3</v>
      </c>
      <c r="AR129" s="137">
        <f>Summary_LCIA!AI$32</f>
        <v>9.3154999999999996E-4</v>
      </c>
      <c r="AT129" s="137">
        <f t="shared" si="24"/>
        <v>113.71576899999999</v>
      </c>
      <c r="AU129" s="137">
        <f t="shared" si="25"/>
        <v>1658.5670576556147</v>
      </c>
      <c r="AV129" s="137">
        <f t="shared" si="26"/>
        <v>1.7621593679999998</v>
      </c>
      <c r="AW129" s="137">
        <f t="shared" si="27"/>
        <v>112.23659389999999</v>
      </c>
      <c r="AX129" s="137">
        <f t="shared" si="28"/>
        <v>36.778584499999994</v>
      </c>
      <c r="AY129" s="137">
        <f t="shared" si="29"/>
        <v>5.9950096699999991</v>
      </c>
      <c r="AZ129" s="137">
        <f t="shared" si="30"/>
        <v>1.5983457454999999E-2</v>
      </c>
      <c r="BA129" s="137">
        <f t="shared" si="31"/>
        <v>25.758730004999997</v>
      </c>
      <c r="BB129" s="137">
        <f t="shared" si="32"/>
        <v>7.6234409000000003</v>
      </c>
      <c r="BC129" s="137">
        <f t="shared" si="33"/>
        <v>5.2145942099999996</v>
      </c>
      <c r="BD129" s="137">
        <f t="shared" si="34"/>
        <v>1.3723866894999999E-2</v>
      </c>
      <c r="BE129" s="137">
        <f t="shared" si="35"/>
        <v>7.8162021799999986</v>
      </c>
      <c r="BF129" s="137">
        <f t="shared" si="36"/>
        <v>-7.3031760649999999E-3</v>
      </c>
      <c r="BG129" s="137">
        <f t="shared" si="37"/>
        <v>1.6359275019999999E-5</v>
      </c>
      <c r="BH129" s="137">
        <f t="shared" si="38"/>
        <v>0.13755659119999999</v>
      </c>
      <c r="BI129" s="137">
        <f t="shared" si="39"/>
        <v>0.29654783514999994</v>
      </c>
      <c r="BJ129" s="137">
        <f t="shared" si="40"/>
        <v>0.2829240301</v>
      </c>
      <c r="BK129" s="137">
        <f t="shared" si="41"/>
        <v>1.7122623074999999E-2</v>
      </c>
      <c r="BL129" s="137">
        <f t="shared" si="42"/>
        <v>2.9127032580000001</v>
      </c>
      <c r="BM129" s="137">
        <f t="shared" si="43"/>
        <v>0.31174786524999998</v>
      </c>
    </row>
    <row r="130" spans="1:65" x14ac:dyDescent="0.25">
      <c r="A130" s="149">
        <v>194</v>
      </c>
      <c r="B130" s="149">
        <v>43</v>
      </c>
      <c r="C130" s="61">
        <v>38.990848999999997</v>
      </c>
      <c r="D130" s="61">
        <v>-76.944141000000002</v>
      </c>
      <c r="E130" s="61" t="s">
        <v>265</v>
      </c>
      <c r="F130" s="149">
        <v>86</v>
      </c>
      <c r="G130" s="61" t="s">
        <v>630</v>
      </c>
      <c r="H130" s="61" t="s">
        <v>644</v>
      </c>
      <c r="I130" s="61">
        <v>38.851241999999999</v>
      </c>
      <c r="J130" s="61">
        <v>-77.040232000000003</v>
      </c>
      <c r="K130" s="61">
        <v>24.195713640000001</v>
      </c>
      <c r="L130" s="61">
        <v>33.975999999999999</v>
      </c>
      <c r="M130" s="61" t="s">
        <v>617</v>
      </c>
      <c r="N130" s="149">
        <v>42</v>
      </c>
      <c r="O130" s="149">
        <v>43</v>
      </c>
      <c r="P130" s="61" t="s">
        <v>565</v>
      </c>
      <c r="Q130" s="61" t="s">
        <v>555</v>
      </c>
      <c r="R130" s="61">
        <v>40.6895314</v>
      </c>
      <c r="S130" s="61">
        <v>-74.174462399999996</v>
      </c>
      <c r="T130" s="61">
        <v>336.69600000000003</v>
      </c>
      <c r="U130" s="61" t="s">
        <v>617</v>
      </c>
      <c r="V130" s="61" t="s">
        <v>617</v>
      </c>
      <c r="W130" s="61"/>
      <c r="Y130" s="137">
        <f>Summary_LCIA!H$32</f>
        <v>0.33979999999999999</v>
      </c>
      <c r="Z130" s="137">
        <f>Summary_LCIA!Q$32</f>
        <v>4.9560504329999997</v>
      </c>
      <c r="AA130" s="137">
        <f>Summary_LCIA!R$32</f>
        <v>5.2655999999999996E-3</v>
      </c>
      <c r="AB130" s="137">
        <f>Summary_LCIA!S$32</f>
        <v>0.33538000000000001</v>
      </c>
      <c r="AC130" s="137">
        <f>Summary_LCIA!T$32</f>
        <v>0.1099</v>
      </c>
      <c r="AD130" s="137">
        <f>Summary_LCIA!U$32</f>
        <v>1.7913999999999999E-2</v>
      </c>
      <c r="AE130" s="137">
        <f>Summary_LCIA!V$32</f>
        <v>4.7760999999999999E-5</v>
      </c>
      <c r="AF130" s="137">
        <f>Summary_LCIA!W$32</f>
        <v>7.6970999999999998E-2</v>
      </c>
      <c r="AG130" s="137">
        <f>Summary_LCIA!X$32</f>
        <v>2.2780000000000002E-2</v>
      </c>
      <c r="AH130" s="137">
        <f>Summary_LCIA!Y$32</f>
        <v>1.5582E-2</v>
      </c>
      <c r="AI130" s="137">
        <f>Summary_LCIA!Z$32</f>
        <v>4.1009E-5</v>
      </c>
      <c r="AJ130" s="137">
        <f>Summary_LCIA!AA$32</f>
        <v>2.3355999999999998E-2</v>
      </c>
      <c r="AK130" s="137">
        <f>Summary_LCIA!AB$32</f>
        <v>-2.1823000000000001E-5</v>
      </c>
      <c r="AL130" s="137">
        <f>Summary_LCIA!AC$32</f>
        <v>4.8884000000000003E-8</v>
      </c>
      <c r="AM130" s="137">
        <f>Summary_LCIA!AD$32</f>
        <v>4.1103999999999999E-4</v>
      </c>
      <c r="AN130" s="137">
        <f>Summary_LCIA!AE$32</f>
        <v>8.8612999999999995E-4</v>
      </c>
      <c r="AO130" s="137">
        <f>Summary_LCIA!AF$32</f>
        <v>8.4542000000000005E-4</v>
      </c>
      <c r="AP130" s="137">
        <f>Summary_LCIA!AG$32</f>
        <v>5.1165000000000002E-5</v>
      </c>
      <c r="AQ130" s="137">
        <f>Summary_LCIA!AH$32</f>
        <v>8.7036000000000006E-3</v>
      </c>
      <c r="AR130" s="137">
        <f>Summary_LCIA!AI$32</f>
        <v>9.3154999999999996E-4</v>
      </c>
      <c r="AT130" s="137">
        <f t="shared" si="24"/>
        <v>114.40930080000001</v>
      </c>
      <c r="AU130" s="137">
        <f t="shared" si="25"/>
        <v>1668.6823565893681</v>
      </c>
      <c r="AV130" s="137">
        <f t="shared" si="26"/>
        <v>1.7729064576</v>
      </c>
      <c r="AW130" s="137">
        <f t="shared" si="27"/>
        <v>112.92110448000001</v>
      </c>
      <c r="AX130" s="137">
        <f t="shared" si="28"/>
        <v>37.002890400000005</v>
      </c>
      <c r="AY130" s="137">
        <f t="shared" si="29"/>
        <v>6.0315721440000001</v>
      </c>
      <c r="AZ130" s="137">
        <f t="shared" si="30"/>
        <v>1.6080937656000001E-2</v>
      </c>
      <c r="BA130" s="137">
        <f t="shared" si="31"/>
        <v>25.915827816</v>
      </c>
      <c r="BB130" s="137">
        <f t="shared" si="32"/>
        <v>7.6699348800000013</v>
      </c>
      <c r="BC130" s="137">
        <f t="shared" si="33"/>
        <v>5.2463970720000006</v>
      </c>
      <c r="BD130" s="137">
        <f t="shared" si="34"/>
        <v>1.3807566264000001E-2</v>
      </c>
      <c r="BE130" s="137">
        <f t="shared" si="35"/>
        <v>7.8638717759999999</v>
      </c>
      <c r="BF130" s="137">
        <f t="shared" si="36"/>
        <v>-7.3477168080000009E-3</v>
      </c>
      <c r="BG130" s="137">
        <f t="shared" si="37"/>
        <v>1.6459047264000001E-5</v>
      </c>
      <c r="BH130" s="137">
        <f t="shared" si="38"/>
        <v>0.13839552384000001</v>
      </c>
      <c r="BI130" s="137">
        <f t="shared" si="39"/>
        <v>0.29835642647999999</v>
      </c>
      <c r="BJ130" s="137">
        <f t="shared" si="40"/>
        <v>0.28464953232000006</v>
      </c>
      <c r="BK130" s="137">
        <f t="shared" si="41"/>
        <v>1.7227050840000001E-2</v>
      </c>
      <c r="BL130" s="137">
        <f t="shared" si="42"/>
        <v>2.9304673056000006</v>
      </c>
      <c r="BM130" s="137">
        <f t="shared" si="43"/>
        <v>0.31364915879999999</v>
      </c>
    </row>
    <row r="131" spans="1:65" x14ac:dyDescent="0.25">
      <c r="A131" s="149">
        <v>195</v>
      </c>
      <c r="B131" s="149">
        <v>43</v>
      </c>
      <c r="C131" s="61">
        <v>38.990848999999997</v>
      </c>
      <c r="D131" s="61">
        <v>-76.944141000000002</v>
      </c>
      <c r="E131" s="61" t="s">
        <v>265</v>
      </c>
      <c r="F131" s="149">
        <v>86</v>
      </c>
      <c r="G131" s="61" t="s">
        <v>630</v>
      </c>
      <c r="H131" s="61" t="s">
        <v>644</v>
      </c>
      <c r="I131" s="61">
        <v>38.851241999999999</v>
      </c>
      <c r="J131" s="61">
        <v>-77.040232000000003</v>
      </c>
      <c r="K131" s="61">
        <v>24.195713640000001</v>
      </c>
      <c r="L131" s="61">
        <v>33.975999999999999</v>
      </c>
      <c r="M131" s="61" t="s">
        <v>617</v>
      </c>
      <c r="N131" s="149">
        <v>42</v>
      </c>
      <c r="O131" s="149">
        <v>43</v>
      </c>
      <c r="P131" s="61" t="s">
        <v>565</v>
      </c>
      <c r="Q131" s="61" t="s">
        <v>555</v>
      </c>
      <c r="R131" s="61">
        <v>40.6895314</v>
      </c>
      <c r="S131" s="61">
        <v>-74.174462399999996</v>
      </c>
      <c r="T131" s="61">
        <v>336.69600000000003</v>
      </c>
      <c r="U131" s="61" t="s">
        <v>617</v>
      </c>
      <c r="V131" s="61" t="s">
        <v>617</v>
      </c>
      <c r="W131" s="61"/>
      <c r="Y131" s="137">
        <f>Summary_LCIA!H$32</f>
        <v>0.33979999999999999</v>
      </c>
      <c r="Z131" s="137">
        <f>Summary_LCIA!Q$32</f>
        <v>4.9560504329999997</v>
      </c>
      <c r="AA131" s="137">
        <f>Summary_LCIA!R$32</f>
        <v>5.2655999999999996E-3</v>
      </c>
      <c r="AB131" s="137">
        <f>Summary_LCIA!S$32</f>
        <v>0.33538000000000001</v>
      </c>
      <c r="AC131" s="137">
        <f>Summary_LCIA!T$32</f>
        <v>0.1099</v>
      </c>
      <c r="AD131" s="137">
        <f>Summary_LCIA!U$32</f>
        <v>1.7913999999999999E-2</v>
      </c>
      <c r="AE131" s="137">
        <f>Summary_LCIA!V$32</f>
        <v>4.7760999999999999E-5</v>
      </c>
      <c r="AF131" s="137">
        <f>Summary_LCIA!W$32</f>
        <v>7.6970999999999998E-2</v>
      </c>
      <c r="AG131" s="137">
        <f>Summary_LCIA!X$32</f>
        <v>2.2780000000000002E-2</v>
      </c>
      <c r="AH131" s="137">
        <f>Summary_LCIA!Y$32</f>
        <v>1.5582E-2</v>
      </c>
      <c r="AI131" s="137">
        <f>Summary_LCIA!Z$32</f>
        <v>4.1009E-5</v>
      </c>
      <c r="AJ131" s="137">
        <f>Summary_LCIA!AA$32</f>
        <v>2.3355999999999998E-2</v>
      </c>
      <c r="AK131" s="137">
        <f>Summary_LCIA!AB$32</f>
        <v>-2.1823000000000001E-5</v>
      </c>
      <c r="AL131" s="137">
        <f>Summary_LCIA!AC$32</f>
        <v>4.8884000000000003E-8</v>
      </c>
      <c r="AM131" s="137">
        <f>Summary_LCIA!AD$32</f>
        <v>4.1103999999999999E-4</v>
      </c>
      <c r="AN131" s="137">
        <f>Summary_LCIA!AE$32</f>
        <v>8.8612999999999995E-4</v>
      </c>
      <c r="AO131" s="137">
        <f>Summary_LCIA!AF$32</f>
        <v>8.4542000000000005E-4</v>
      </c>
      <c r="AP131" s="137">
        <f>Summary_LCIA!AG$32</f>
        <v>5.1165000000000002E-5</v>
      </c>
      <c r="AQ131" s="137">
        <f>Summary_LCIA!AH$32</f>
        <v>8.7036000000000006E-3</v>
      </c>
      <c r="AR131" s="137">
        <f>Summary_LCIA!AI$32</f>
        <v>9.3154999999999996E-4</v>
      </c>
      <c r="AT131" s="137">
        <f t="shared" ref="AT131:AT194" si="44">$T131*Y131</f>
        <v>114.40930080000001</v>
      </c>
      <c r="AU131" s="137">
        <f t="shared" ref="AU131:AU194" si="45">$T131*Z131</f>
        <v>1668.6823565893681</v>
      </c>
      <c r="AV131" s="137">
        <f t="shared" ref="AV131:AV194" si="46">$T131*AA131</f>
        <v>1.7729064576</v>
      </c>
      <c r="AW131" s="137">
        <f t="shared" ref="AW131:AW194" si="47">$T131*AB131</f>
        <v>112.92110448000001</v>
      </c>
      <c r="AX131" s="137">
        <f t="shared" ref="AX131:AX194" si="48">$T131*AC131</f>
        <v>37.002890400000005</v>
      </c>
      <c r="AY131" s="137">
        <f t="shared" ref="AY131:AY194" si="49">$T131*AD131</f>
        <v>6.0315721440000001</v>
      </c>
      <c r="AZ131" s="137">
        <f t="shared" ref="AZ131:AZ194" si="50">$T131*AE131</f>
        <v>1.6080937656000001E-2</v>
      </c>
      <c r="BA131" s="137">
        <f t="shared" ref="BA131:BA194" si="51">$T131*AF131</f>
        <v>25.915827816</v>
      </c>
      <c r="BB131" s="137">
        <f t="shared" ref="BB131:BB194" si="52">$T131*AG131</f>
        <v>7.6699348800000013</v>
      </c>
      <c r="BC131" s="137">
        <f t="shared" ref="BC131:BC194" si="53">$T131*AH131</f>
        <v>5.2463970720000006</v>
      </c>
      <c r="BD131" s="137">
        <f t="shared" ref="BD131:BD194" si="54">$T131*AI131</f>
        <v>1.3807566264000001E-2</v>
      </c>
      <c r="BE131" s="137">
        <f t="shared" ref="BE131:BE194" si="55">$T131*AJ131</f>
        <v>7.8638717759999999</v>
      </c>
      <c r="BF131" s="137">
        <f t="shared" ref="BF131:BF194" si="56">$T131*AK131</f>
        <v>-7.3477168080000009E-3</v>
      </c>
      <c r="BG131" s="137">
        <f t="shared" ref="BG131:BG194" si="57">$T131*AL131</f>
        <v>1.6459047264000001E-5</v>
      </c>
      <c r="BH131" s="137">
        <f t="shared" ref="BH131:BH194" si="58">$T131*AM131</f>
        <v>0.13839552384000001</v>
      </c>
      <c r="BI131" s="137">
        <f t="shared" ref="BI131:BI194" si="59">$T131*AN131</f>
        <v>0.29835642647999999</v>
      </c>
      <c r="BJ131" s="137">
        <f t="shared" ref="BJ131:BJ194" si="60">$T131*AO131</f>
        <v>0.28464953232000006</v>
      </c>
      <c r="BK131" s="137">
        <f t="shared" ref="BK131:BK194" si="61">$T131*AP131</f>
        <v>1.7227050840000001E-2</v>
      </c>
      <c r="BL131" s="137">
        <f t="shared" ref="BL131:BL194" si="62">$T131*AQ131</f>
        <v>2.9304673056000006</v>
      </c>
      <c r="BM131" s="137">
        <f t="shared" ref="BM131:BM194" si="63">$T131*AR131</f>
        <v>0.31364915879999999</v>
      </c>
    </row>
    <row r="132" spans="1:65" x14ac:dyDescent="0.25">
      <c r="A132" s="149">
        <v>345</v>
      </c>
      <c r="B132" s="149">
        <v>43</v>
      </c>
      <c r="C132" s="61">
        <v>38.990665999999997</v>
      </c>
      <c r="D132" s="61">
        <v>-77.026088000000001</v>
      </c>
      <c r="E132" s="61" t="s">
        <v>265</v>
      </c>
      <c r="F132" s="149">
        <v>86</v>
      </c>
      <c r="G132" s="61" t="s">
        <v>630</v>
      </c>
      <c r="H132" s="61" t="s">
        <v>644</v>
      </c>
      <c r="I132" s="61">
        <v>38.851241999999999</v>
      </c>
      <c r="J132" s="61">
        <v>-77.040232000000003</v>
      </c>
      <c r="K132" s="61">
        <v>22.001929870000001</v>
      </c>
      <c r="L132" s="61">
        <v>20.452000000000002</v>
      </c>
      <c r="M132" s="61" t="s">
        <v>617</v>
      </c>
      <c r="N132" s="149">
        <v>42</v>
      </c>
      <c r="O132" s="149">
        <v>43</v>
      </c>
      <c r="P132" s="61" t="s">
        <v>565</v>
      </c>
      <c r="Q132" s="61" t="s">
        <v>555</v>
      </c>
      <c r="R132" s="61">
        <v>40.6895314</v>
      </c>
      <c r="S132" s="61">
        <v>-74.174462399999996</v>
      </c>
      <c r="T132" s="61">
        <v>338.21699999999998</v>
      </c>
      <c r="U132" s="61" t="s">
        <v>617</v>
      </c>
      <c r="V132" s="61" t="s">
        <v>617</v>
      </c>
      <c r="W132" s="61"/>
      <c r="Y132" s="137">
        <f>Summary_LCIA!H$32</f>
        <v>0.33979999999999999</v>
      </c>
      <c r="Z132" s="137">
        <f>Summary_LCIA!Q$32</f>
        <v>4.9560504329999997</v>
      </c>
      <c r="AA132" s="137">
        <f>Summary_LCIA!R$32</f>
        <v>5.2655999999999996E-3</v>
      </c>
      <c r="AB132" s="137">
        <f>Summary_LCIA!S$32</f>
        <v>0.33538000000000001</v>
      </c>
      <c r="AC132" s="137">
        <f>Summary_LCIA!T$32</f>
        <v>0.1099</v>
      </c>
      <c r="AD132" s="137">
        <f>Summary_LCIA!U$32</f>
        <v>1.7913999999999999E-2</v>
      </c>
      <c r="AE132" s="137">
        <f>Summary_LCIA!V$32</f>
        <v>4.7760999999999999E-5</v>
      </c>
      <c r="AF132" s="137">
        <f>Summary_LCIA!W$32</f>
        <v>7.6970999999999998E-2</v>
      </c>
      <c r="AG132" s="137">
        <f>Summary_LCIA!X$32</f>
        <v>2.2780000000000002E-2</v>
      </c>
      <c r="AH132" s="137">
        <f>Summary_LCIA!Y$32</f>
        <v>1.5582E-2</v>
      </c>
      <c r="AI132" s="137">
        <f>Summary_LCIA!Z$32</f>
        <v>4.1009E-5</v>
      </c>
      <c r="AJ132" s="137">
        <f>Summary_LCIA!AA$32</f>
        <v>2.3355999999999998E-2</v>
      </c>
      <c r="AK132" s="137">
        <f>Summary_LCIA!AB$32</f>
        <v>-2.1823000000000001E-5</v>
      </c>
      <c r="AL132" s="137">
        <f>Summary_LCIA!AC$32</f>
        <v>4.8884000000000003E-8</v>
      </c>
      <c r="AM132" s="137">
        <f>Summary_LCIA!AD$32</f>
        <v>4.1103999999999999E-4</v>
      </c>
      <c r="AN132" s="137">
        <f>Summary_LCIA!AE$32</f>
        <v>8.8612999999999995E-4</v>
      </c>
      <c r="AO132" s="137">
        <f>Summary_LCIA!AF$32</f>
        <v>8.4542000000000005E-4</v>
      </c>
      <c r="AP132" s="137">
        <f>Summary_LCIA!AG$32</f>
        <v>5.1165000000000002E-5</v>
      </c>
      <c r="AQ132" s="137">
        <f>Summary_LCIA!AH$32</f>
        <v>8.7036000000000006E-3</v>
      </c>
      <c r="AR132" s="137">
        <f>Summary_LCIA!AI$32</f>
        <v>9.3154999999999996E-4</v>
      </c>
      <c r="AT132" s="137">
        <f t="shared" si="44"/>
        <v>114.92613659999999</v>
      </c>
      <c r="AU132" s="137">
        <f t="shared" si="45"/>
        <v>1676.2205092979609</v>
      </c>
      <c r="AV132" s="137">
        <f t="shared" si="46"/>
        <v>1.7809154351999998</v>
      </c>
      <c r="AW132" s="137">
        <f t="shared" si="47"/>
        <v>113.43121746</v>
      </c>
      <c r="AX132" s="137">
        <f t="shared" si="48"/>
        <v>37.170048299999998</v>
      </c>
      <c r="AY132" s="137">
        <f t="shared" si="49"/>
        <v>6.0588193379999993</v>
      </c>
      <c r="AZ132" s="137">
        <f t="shared" si="50"/>
        <v>1.6153582136999998E-2</v>
      </c>
      <c r="BA132" s="137">
        <f t="shared" si="51"/>
        <v>26.032900707</v>
      </c>
      <c r="BB132" s="137">
        <f t="shared" si="52"/>
        <v>7.7045832600000006</v>
      </c>
      <c r="BC132" s="137">
        <f t="shared" si="53"/>
        <v>5.2700972940000002</v>
      </c>
      <c r="BD132" s="137">
        <f t="shared" si="54"/>
        <v>1.3869940952999999E-2</v>
      </c>
      <c r="BE132" s="137">
        <f t="shared" si="55"/>
        <v>7.899396251999999</v>
      </c>
      <c r="BF132" s="137">
        <f t="shared" si="56"/>
        <v>-7.3809095910000004E-3</v>
      </c>
      <c r="BG132" s="137">
        <f t="shared" si="57"/>
        <v>1.6533399827999999E-5</v>
      </c>
      <c r="BH132" s="137">
        <f t="shared" si="58"/>
        <v>0.13902071567999999</v>
      </c>
      <c r="BI132" s="137">
        <f t="shared" si="59"/>
        <v>0.29970423020999998</v>
      </c>
      <c r="BJ132" s="137">
        <f t="shared" si="60"/>
        <v>0.28593541614000001</v>
      </c>
      <c r="BK132" s="137">
        <f t="shared" si="61"/>
        <v>1.7304872805E-2</v>
      </c>
      <c r="BL132" s="137">
        <f t="shared" si="62"/>
        <v>2.9437054811999999</v>
      </c>
      <c r="BM132" s="137">
        <f t="shared" si="63"/>
        <v>0.31506604634999996</v>
      </c>
    </row>
    <row r="133" spans="1:65" x14ac:dyDescent="0.25">
      <c r="A133" s="149">
        <v>112</v>
      </c>
      <c r="B133" s="149">
        <v>43</v>
      </c>
      <c r="C133" s="61">
        <v>38.899540000000002</v>
      </c>
      <c r="D133" s="61">
        <v>-77.003996000000001</v>
      </c>
      <c r="E133" s="61" t="s">
        <v>265</v>
      </c>
      <c r="F133" s="149">
        <v>86</v>
      </c>
      <c r="G133" s="61" t="s">
        <v>630</v>
      </c>
      <c r="H133" s="61" t="s">
        <v>644</v>
      </c>
      <c r="I133" s="61">
        <v>38.851241999999999</v>
      </c>
      <c r="J133" s="61">
        <v>-77.040232000000003</v>
      </c>
      <c r="K133" s="61">
        <v>8.4899752769999992</v>
      </c>
      <c r="L133" s="61">
        <v>10.651</v>
      </c>
      <c r="M133" s="61" t="s">
        <v>617</v>
      </c>
      <c r="N133" s="149">
        <v>42</v>
      </c>
      <c r="O133" s="149">
        <v>43</v>
      </c>
      <c r="P133" s="61" t="s">
        <v>565</v>
      </c>
      <c r="Q133" s="61" t="s">
        <v>555</v>
      </c>
      <c r="R133" s="61">
        <v>40.6895314</v>
      </c>
      <c r="S133" s="61">
        <v>-74.174462399999996</v>
      </c>
      <c r="T133" s="61">
        <v>341.99299999999999</v>
      </c>
      <c r="U133" s="61" t="s">
        <v>617</v>
      </c>
      <c r="V133" s="61" t="s">
        <v>617</v>
      </c>
      <c r="W133" s="61"/>
      <c r="Y133" s="137">
        <f>Summary_LCIA!H$32</f>
        <v>0.33979999999999999</v>
      </c>
      <c r="Z133" s="137">
        <f>Summary_LCIA!Q$32</f>
        <v>4.9560504329999997</v>
      </c>
      <c r="AA133" s="137">
        <f>Summary_LCIA!R$32</f>
        <v>5.2655999999999996E-3</v>
      </c>
      <c r="AB133" s="137">
        <f>Summary_LCIA!S$32</f>
        <v>0.33538000000000001</v>
      </c>
      <c r="AC133" s="137">
        <f>Summary_LCIA!T$32</f>
        <v>0.1099</v>
      </c>
      <c r="AD133" s="137">
        <f>Summary_LCIA!U$32</f>
        <v>1.7913999999999999E-2</v>
      </c>
      <c r="AE133" s="137">
        <f>Summary_LCIA!V$32</f>
        <v>4.7760999999999999E-5</v>
      </c>
      <c r="AF133" s="137">
        <f>Summary_LCIA!W$32</f>
        <v>7.6970999999999998E-2</v>
      </c>
      <c r="AG133" s="137">
        <f>Summary_LCIA!X$32</f>
        <v>2.2780000000000002E-2</v>
      </c>
      <c r="AH133" s="137">
        <f>Summary_LCIA!Y$32</f>
        <v>1.5582E-2</v>
      </c>
      <c r="AI133" s="137">
        <f>Summary_LCIA!Z$32</f>
        <v>4.1009E-5</v>
      </c>
      <c r="AJ133" s="137">
        <f>Summary_LCIA!AA$32</f>
        <v>2.3355999999999998E-2</v>
      </c>
      <c r="AK133" s="137">
        <f>Summary_LCIA!AB$32</f>
        <v>-2.1823000000000001E-5</v>
      </c>
      <c r="AL133" s="137">
        <f>Summary_LCIA!AC$32</f>
        <v>4.8884000000000003E-8</v>
      </c>
      <c r="AM133" s="137">
        <f>Summary_LCIA!AD$32</f>
        <v>4.1103999999999999E-4</v>
      </c>
      <c r="AN133" s="137">
        <f>Summary_LCIA!AE$32</f>
        <v>8.8612999999999995E-4</v>
      </c>
      <c r="AO133" s="137">
        <f>Summary_LCIA!AF$32</f>
        <v>8.4542000000000005E-4</v>
      </c>
      <c r="AP133" s="137">
        <f>Summary_LCIA!AG$32</f>
        <v>5.1165000000000002E-5</v>
      </c>
      <c r="AQ133" s="137">
        <f>Summary_LCIA!AH$32</f>
        <v>8.7036000000000006E-3</v>
      </c>
      <c r="AR133" s="137">
        <f>Summary_LCIA!AI$32</f>
        <v>9.3154999999999996E-4</v>
      </c>
      <c r="AT133" s="137">
        <f t="shared" si="44"/>
        <v>116.20922139999999</v>
      </c>
      <c r="AU133" s="137">
        <f t="shared" si="45"/>
        <v>1694.9345557329689</v>
      </c>
      <c r="AV133" s="137">
        <f t="shared" si="46"/>
        <v>1.8007983407999999</v>
      </c>
      <c r="AW133" s="137">
        <f t="shared" si="47"/>
        <v>114.69761234000001</v>
      </c>
      <c r="AX133" s="137">
        <f t="shared" si="48"/>
        <v>37.585030699999997</v>
      </c>
      <c r="AY133" s="137">
        <f t="shared" si="49"/>
        <v>6.1264626019999993</v>
      </c>
      <c r="AZ133" s="137">
        <f t="shared" si="50"/>
        <v>1.6333927673000001E-2</v>
      </c>
      <c r="BA133" s="137">
        <f t="shared" si="51"/>
        <v>26.323543203</v>
      </c>
      <c r="BB133" s="137">
        <f t="shared" si="52"/>
        <v>7.7906005400000007</v>
      </c>
      <c r="BC133" s="137">
        <f t="shared" si="53"/>
        <v>5.3289349259999996</v>
      </c>
      <c r="BD133" s="137">
        <f t="shared" si="54"/>
        <v>1.4024790936999999E-2</v>
      </c>
      <c r="BE133" s="137">
        <f t="shared" si="55"/>
        <v>7.9875885079999991</v>
      </c>
      <c r="BF133" s="137">
        <f t="shared" si="56"/>
        <v>-7.4633132390000004E-3</v>
      </c>
      <c r="BG133" s="137">
        <f t="shared" si="57"/>
        <v>1.6717985812E-5</v>
      </c>
      <c r="BH133" s="137">
        <f t="shared" si="58"/>
        <v>0.14057280272</v>
      </c>
      <c r="BI133" s="137">
        <f t="shared" si="59"/>
        <v>0.30305025709</v>
      </c>
      <c r="BJ133" s="137">
        <f t="shared" si="60"/>
        <v>0.28912772206000004</v>
      </c>
      <c r="BK133" s="137">
        <f t="shared" si="61"/>
        <v>1.7498071845000001E-2</v>
      </c>
      <c r="BL133" s="137">
        <f t="shared" si="62"/>
        <v>2.9765702748000002</v>
      </c>
      <c r="BM133" s="137">
        <f t="shared" si="63"/>
        <v>0.31858357914999996</v>
      </c>
    </row>
    <row r="134" spans="1:65" x14ac:dyDescent="0.25">
      <c r="A134" s="149">
        <v>113</v>
      </c>
      <c r="B134" s="149">
        <v>43</v>
      </c>
      <c r="C134" s="61">
        <v>38.899540000000002</v>
      </c>
      <c r="D134" s="61">
        <v>-77.003996000000001</v>
      </c>
      <c r="E134" s="61" t="s">
        <v>265</v>
      </c>
      <c r="F134" s="149">
        <v>86</v>
      </c>
      <c r="G134" s="61" t="s">
        <v>630</v>
      </c>
      <c r="H134" s="61" t="s">
        <v>644</v>
      </c>
      <c r="I134" s="61">
        <v>38.851241999999999</v>
      </c>
      <c r="J134" s="61">
        <v>-77.040232000000003</v>
      </c>
      <c r="K134" s="61">
        <v>8.4899752769999992</v>
      </c>
      <c r="L134" s="61">
        <v>10.651</v>
      </c>
      <c r="M134" s="61" t="s">
        <v>617</v>
      </c>
      <c r="N134" s="149">
        <v>42</v>
      </c>
      <c r="O134" s="149">
        <v>43</v>
      </c>
      <c r="P134" s="61" t="s">
        <v>565</v>
      </c>
      <c r="Q134" s="61" t="s">
        <v>555</v>
      </c>
      <c r="R134" s="61">
        <v>40.6895314</v>
      </c>
      <c r="S134" s="61">
        <v>-74.174462399999996</v>
      </c>
      <c r="T134" s="61">
        <v>341.99299999999999</v>
      </c>
      <c r="U134" s="61" t="s">
        <v>617</v>
      </c>
      <c r="V134" s="61" t="s">
        <v>617</v>
      </c>
      <c r="W134" s="61"/>
      <c r="Y134" s="137">
        <f>Summary_LCIA!H$32</f>
        <v>0.33979999999999999</v>
      </c>
      <c r="Z134" s="137">
        <f>Summary_LCIA!Q$32</f>
        <v>4.9560504329999997</v>
      </c>
      <c r="AA134" s="137">
        <f>Summary_LCIA!R$32</f>
        <v>5.2655999999999996E-3</v>
      </c>
      <c r="AB134" s="137">
        <f>Summary_LCIA!S$32</f>
        <v>0.33538000000000001</v>
      </c>
      <c r="AC134" s="137">
        <f>Summary_LCIA!T$32</f>
        <v>0.1099</v>
      </c>
      <c r="AD134" s="137">
        <f>Summary_LCIA!U$32</f>
        <v>1.7913999999999999E-2</v>
      </c>
      <c r="AE134" s="137">
        <f>Summary_LCIA!V$32</f>
        <v>4.7760999999999999E-5</v>
      </c>
      <c r="AF134" s="137">
        <f>Summary_LCIA!W$32</f>
        <v>7.6970999999999998E-2</v>
      </c>
      <c r="AG134" s="137">
        <f>Summary_LCIA!X$32</f>
        <v>2.2780000000000002E-2</v>
      </c>
      <c r="AH134" s="137">
        <f>Summary_LCIA!Y$32</f>
        <v>1.5582E-2</v>
      </c>
      <c r="AI134" s="137">
        <f>Summary_LCIA!Z$32</f>
        <v>4.1009E-5</v>
      </c>
      <c r="AJ134" s="137">
        <f>Summary_LCIA!AA$32</f>
        <v>2.3355999999999998E-2</v>
      </c>
      <c r="AK134" s="137">
        <f>Summary_LCIA!AB$32</f>
        <v>-2.1823000000000001E-5</v>
      </c>
      <c r="AL134" s="137">
        <f>Summary_LCIA!AC$32</f>
        <v>4.8884000000000003E-8</v>
      </c>
      <c r="AM134" s="137">
        <f>Summary_LCIA!AD$32</f>
        <v>4.1103999999999999E-4</v>
      </c>
      <c r="AN134" s="137">
        <f>Summary_LCIA!AE$32</f>
        <v>8.8612999999999995E-4</v>
      </c>
      <c r="AO134" s="137">
        <f>Summary_LCIA!AF$32</f>
        <v>8.4542000000000005E-4</v>
      </c>
      <c r="AP134" s="137">
        <f>Summary_LCIA!AG$32</f>
        <v>5.1165000000000002E-5</v>
      </c>
      <c r="AQ134" s="137">
        <f>Summary_LCIA!AH$32</f>
        <v>8.7036000000000006E-3</v>
      </c>
      <c r="AR134" s="137">
        <f>Summary_LCIA!AI$32</f>
        <v>9.3154999999999996E-4</v>
      </c>
      <c r="AT134" s="137">
        <f t="shared" si="44"/>
        <v>116.20922139999999</v>
      </c>
      <c r="AU134" s="137">
        <f t="shared" si="45"/>
        <v>1694.9345557329689</v>
      </c>
      <c r="AV134" s="137">
        <f t="shared" si="46"/>
        <v>1.8007983407999999</v>
      </c>
      <c r="AW134" s="137">
        <f t="shared" si="47"/>
        <v>114.69761234000001</v>
      </c>
      <c r="AX134" s="137">
        <f t="shared" si="48"/>
        <v>37.585030699999997</v>
      </c>
      <c r="AY134" s="137">
        <f t="shared" si="49"/>
        <v>6.1264626019999993</v>
      </c>
      <c r="AZ134" s="137">
        <f t="shared" si="50"/>
        <v>1.6333927673000001E-2</v>
      </c>
      <c r="BA134" s="137">
        <f t="shared" si="51"/>
        <v>26.323543203</v>
      </c>
      <c r="BB134" s="137">
        <f t="shared" si="52"/>
        <v>7.7906005400000007</v>
      </c>
      <c r="BC134" s="137">
        <f t="shared" si="53"/>
        <v>5.3289349259999996</v>
      </c>
      <c r="BD134" s="137">
        <f t="shared" si="54"/>
        <v>1.4024790936999999E-2</v>
      </c>
      <c r="BE134" s="137">
        <f t="shared" si="55"/>
        <v>7.9875885079999991</v>
      </c>
      <c r="BF134" s="137">
        <f t="shared" si="56"/>
        <v>-7.4633132390000004E-3</v>
      </c>
      <c r="BG134" s="137">
        <f t="shared" si="57"/>
        <v>1.6717985812E-5</v>
      </c>
      <c r="BH134" s="137">
        <f t="shared" si="58"/>
        <v>0.14057280272</v>
      </c>
      <c r="BI134" s="137">
        <f t="shared" si="59"/>
        <v>0.30305025709</v>
      </c>
      <c r="BJ134" s="137">
        <f t="shared" si="60"/>
        <v>0.28912772206000004</v>
      </c>
      <c r="BK134" s="137">
        <f t="shared" si="61"/>
        <v>1.7498071845000001E-2</v>
      </c>
      <c r="BL134" s="137">
        <f t="shared" si="62"/>
        <v>2.9765702748000002</v>
      </c>
      <c r="BM134" s="137">
        <f t="shared" si="63"/>
        <v>0.31858357914999996</v>
      </c>
    </row>
    <row r="135" spans="1:65" x14ac:dyDescent="0.25">
      <c r="A135" s="149">
        <v>57</v>
      </c>
      <c r="B135" s="149">
        <v>43</v>
      </c>
      <c r="C135" s="61">
        <v>38.898505</v>
      </c>
      <c r="D135" s="61">
        <v>-77.010475</v>
      </c>
      <c r="E135" s="61" t="s">
        <v>265</v>
      </c>
      <c r="F135" s="149">
        <v>86</v>
      </c>
      <c r="G135" s="61" t="s">
        <v>630</v>
      </c>
      <c r="H135" s="61" t="s">
        <v>644</v>
      </c>
      <c r="I135" s="61">
        <v>38.851241999999999</v>
      </c>
      <c r="J135" s="61">
        <v>-77.040232000000003</v>
      </c>
      <c r="K135" s="61">
        <v>8.0893784039999996</v>
      </c>
      <c r="L135" s="61">
        <v>9.125</v>
      </c>
      <c r="M135" s="61" t="s">
        <v>617</v>
      </c>
      <c r="N135" s="149">
        <v>42</v>
      </c>
      <c r="O135" s="149">
        <v>43</v>
      </c>
      <c r="P135" s="61" t="s">
        <v>565</v>
      </c>
      <c r="Q135" s="61" t="s">
        <v>555</v>
      </c>
      <c r="R135" s="61">
        <v>40.6895314</v>
      </c>
      <c r="S135" s="61">
        <v>-74.174462399999996</v>
      </c>
      <c r="T135" s="61">
        <v>342.65800000000002</v>
      </c>
      <c r="U135" s="61" t="s">
        <v>617</v>
      </c>
      <c r="V135" s="61" t="s">
        <v>617</v>
      </c>
      <c r="W135" s="61"/>
      <c r="Y135" s="137">
        <f>Summary_LCIA!H$32</f>
        <v>0.33979999999999999</v>
      </c>
      <c r="Z135" s="137">
        <f>Summary_LCIA!Q$32</f>
        <v>4.9560504329999997</v>
      </c>
      <c r="AA135" s="137">
        <f>Summary_LCIA!R$32</f>
        <v>5.2655999999999996E-3</v>
      </c>
      <c r="AB135" s="137">
        <f>Summary_LCIA!S$32</f>
        <v>0.33538000000000001</v>
      </c>
      <c r="AC135" s="137">
        <f>Summary_LCIA!T$32</f>
        <v>0.1099</v>
      </c>
      <c r="AD135" s="137">
        <f>Summary_LCIA!U$32</f>
        <v>1.7913999999999999E-2</v>
      </c>
      <c r="AE135" s="137">
        <f>Summary_LCIA!V$32</f>
        <v>4.7760999999999999E-5</v>
      </c>
      <c r="AF135" s="137">
        <f>Summary_LCIA!W$32</f>
        <v>7.6970999999999998E-2</v>
      </c>
      <c r="AG135" s="137">
        <f>Summary_LCIA!X$32</f>
        <v>2.2780000000000002E-2</v>
      </c>
      <c r="AH135" s="137">
        <f>Summary_LCIA!Y$32</f>
        <v>1.5582E-2</v>
      </c>
      <c r="AI135" s="137">
        <f>Summary_LCIA!Z$32</f>
        <v>4.1009E-5</v>
      </c>
      <c r="AJ135" s="137">
        <f>Summary_LCIA!AA$32</f>
        <v>2.3355999999999998E-2</v>
      </c>
      <c r="AK135" s="137">
        <f>Summary_LCIA!AB$32</f>
        <v>-2.1823000000000001E-5</v>
      </c>
      <c r="AL135" s="137">
        <f>Summary_LCIA!AC$32</f>
        <v>4.8884000000000003E-8</v>
      </c>
      <c r="AM135" s="137">
        <f>Summary_LCIA!AD$32</f>
        <v>4.1103999999999999E-4</v>
      </c>
      <c r="AN135" s="137">
        <f>Summary_LCIA!AE$32</f>
        <v>8.8612999999999995E-4</v>
      </c>
      <c r="AO135" s="137">
        <f>Summary_LCIA!AF$32</f>
        <v>8.4542000000000005E-4</v>
      </c>
      <c r="AP135" s="137">
        <f>Summary_LCIA!AG$32</f>
        <v>5.1165000000000002E-5</v>
      </c>
      <c r="AQ135" s="137">
        <f>Summary_LCIA!AH$32</f>
        <v>8.7036000000000006E-3</v>
      </c>
      <c r="AR135" s="137">
        <f>Summary_LCIA!AI$32</f>
        <v>9.3154999999999996E-4</v>
      </c>
      <c r="AT135" s="137">
        <f t="shared" si="44"/>
        <v>116.4351884</v>
      </c>
      <c r="AU135" s="137">
        <f t="shared" si="45"/>
        <v>1698.2303292709139</v>
      </c>
      <c r="AV135" s="137">
        <f t="shared" si="46"/>
        <v>1.8042999648</v>
      </c>
      <c r="AW135" s="137">
        <f t="shared" si="47"/>
        <v>114.92064004000001</v>
      </c>
      <c r="AX135" s="137">
        <f t="shared" si="48"/>
        <v>37.6581142</v>
      </c>
      <c r="AY135" s="137">
        <f t="shared" si="49"/>
        <v>6.1383754120000003</v>
      </c>
      <c r="AZ135" s="137">
        <f t="shared" si="50"/>
        <v>1.6365688738000001E-2</v>
      </c>
      <c r="BA135" s="137">
        <f t="shared" si="51"/>
        <v>26.374728917999999</v>
      </c>
      <c r="BB135" s="137">
        <f t="shared" si="52"/>
        <v>7.8057492400000008</v>
      </c>
      <c r="BC135" s="137">
        <f t="shared" si="53"/>
        <v>5.3392969560000001</v>
      </c>
      <c r="BD135" s="137">
        <f t="shared" si="54"/>
        <v>1.4052061922E-2</v>
      </c>
      <c r="BE135" s="137">
        <f t="shared" si="55"/>
        <v>8.0031202480000001</v>
      </c>
      <c r="BF135" s="137">
        <f t="shared" si="56"/>
        <v>-7.4778255340000009E-3</v>
      </c>
      <c r="BG135" s="137">
        <f t="shared" si="57"/>
        <v>1.6750493672000002E-5</v>
      </c>
      <c r="BH135" s="137">
        <f t="shared" si="58"/>
        <v>0.14084614432000001</v>
      </c>
      <c r="BI135" s="137">
        <f t="shared" si="59"/>
        <v>0.30363953354000001</v>
      </c>
      <c r="BJ135" s="137">
        <f t="shared" si="60"/>
        <v>0.28968992636000002</v>
      </c>
      <c r="BK135" s="137">
        <f t="shared" si="61"/>
        <v>1.7532096570000003E-2</v>
      </c>
      <c r="BL135" s="137">
        <f t="shared" si="62"/>
        <v>2.9823581688000003</v>
      </c>
      <c r="BM135" s="137">
        <f t="shared" si="63"/>
        <v>0.31920305989999997</v>
      </c>
    </row>
    <row r="136" spans="1:65" x14ac:dyDescent="0.25">
      <c r="A136" s="149">
        <v>370</v>
      </c>
      <c r="B136" s="149">
        <v>43</v>
      </c>
      <c r="C136" s="61">
        <v>38.907192000000002</v>
      </c>
      <c r="D136" s="61">
        <v>-77.036871000000005</v>
      </c>
      <c r="E136" s="61" t="s">
        <v>265</v>
      </c>
      <c r="F136" s="149">
        <v>86</v>
      </c>
      <c r="G136" s="61" t="s">
        <v>630</v>
      </c>
      <c r="H136" s="61" t="s">
        <v>644</v>
      </c>
      <c r="I136" s="61">
        <v>38.851241999999999</v>
      </c>
      <c r="J136" s="61">
        <v>-77.040232000000003</v>
      </c>
      <c r="K136" s="61">
        <v>8.800194329</v>
      </c>
      <c r="L136" s="61">
        <v>8.4060000000000006</v>
      </c>
      <c r="M136" s="61" t="s">
        <v>617</v>
      </c>
      <c r="N136" s="149">
        <v>42</v>
      </c>
      <c r="O136" s="149">
        <v>43</v>
      </c>
      <c r="P136" s="61" t="s">
        <v>565</v>
      </c>
      <c r="Q136" s="61" t="s">
        <v>555</v>
      </c>
      <c r="R136" s="61">
        <v>40.6895314</v>
      </c>
      <c r="S136" s="61">
        <v>-74.174462399999996</v>
      </c>
      <c r="T136" s="61">
        <v>344.01499999999999</v>
      </c>
      <c r="U136" s="61" t="s">
        <v>617</v>
      </c>
      <c r="V136" s="61" t="s">
        <v>617</v>
      </c>
      <c r="W136" s="61"/>
      <c r="Y136" s="137">
        <f>Summary_LCIA!H$32</f>
        <v>0.33979999999999999</v>
      </c>
      <c r="Z136" s="137">
        <f>Summary_LCIA!Q$32</f>
        <v>4.9560504329999997</v>
      </c>
      <c r="AA136" s="137">
        <f>Summary_LCIA!R$32</f>
        <v>5.2655999999999996E-3</v>
      </c>
      <c r="AB136" s="137">
        <f>Summary_LCIA!S$32</f>
        <v>0.33538000000000001</v>
      </c>
      <c r="AC136" s="137">
        <f>Summary_LCIA!T$32</f>
        <v>0.1099</v>
      </c>
      <c r="AD136" s="137">
        <f>Summary_LCIA!U$32</f>
        <v>1.7913999999999999E-2</v>
      </c>
      <c r="AE136" s="137">
        <f>Summary_LCIA!V$32</f>
        <v>4.7760999999999999E-5</v>
      </c>
      <c r="AF136" s="137">
        <f>Summary_LCIA!W$32</f>
        <v>7.6970999999999998E-2</v>
      </c>
      <c r="AG136" s="137">
        <f>Summary_LCIA!X$32</f>
        <v>2.2780000000000002E-2</v>
      </c>
      <c r="AH136" s="137">
        <f>Summary_LCIA!Y$32</f>
        <v>1.5582E-2</v>
      </c>
      <c r="AI136" s="137">
        <f>Summary_LCIA!Z$32</f>
        <v>4.1009E-5</v>
      </c>
      <c r="AJ136" s="137">
        <f>Summary_LCIA!AA$32</f>
        <v>2.3355999999999998E-2</v>
      </c>
      <c r="AK136" s="137">
        <f>Summary_LCIA!AB$32</f>
        <v>-2.1823000000000001E-5</v>
      </c>
      <c r="AL136" s="137">
        <f>Summary_LCIA!AC$32</f>
        <v>4.8884000000000003E-8</v>
      </c>
      <c r="AM136" s="137">
        <f>Summary_LCIA!AD$32</f>
        <v>4.1103999999999999E-4</v>
      </c>
      <c r="AN136" s="137">
        <f>Summary_LCIA!AE$32</f>
        <v>8.8612999999999995E-4</v>
      </c>
      <c r="AO136" s="137">
        <f>Summary_LCIA!AF$32</f>
        <v>8.4542000000000005E-4</v>
      </c>
      <c r="AP136" s="137">
        <f>Summary_LCIA!AG$32</f>
        <v>5.1165000000000002E-5</v>
      </c>
      <c r="AQ136" s="137">
        <f>Summary_LCIA!AH$32</f>
        <v>8.7036000000000006E-3</v>
      </c>
      <c r="AR136" s="137">
        <f>Summary_LCIA!AI$32</f>
        <v>9.3154999999999996E-4</v>
      </c>
      <c r="AT136" s="137">
        <f t="shared" si="44"/>
        <v>116.89629699999999</v>
      </c>
      <c r="AU136" s="137">
        <f t="shared" si="45"/>
        <v>1704.9556897084949</v>
      </c>
      <c r="AV136" s="137">
        <f t="shared" si="46"/>
        <v>1.8114453839999998</v>
      </c>
      <c r="AW136" s="137">
        <f t="shared" si="47"/>
        <v>115.3757507</v>
      </c>
      <c r="AX136" s="137">
        <f t="shared" si="48"/>
        <v>37.8072485</v>
      </c>
      <c r="AY136" s="137">
        <f t="shared" si="49"/>
        <v>6.1626847099999997</v>
      </c>
      <c r="AZ136" s="137">
        <f t="shared" si="50"/>
        <v>1.6430500415E-2</v>
      </c>
      <c r="BA136" s="137">
        <f t="shared" si="51"/>
        <v>26.479178564999998</v>
      </c>
      <c r="BB136" s="137">
        <f t="shared" si="52"/>
        <v>7.8366617000000005</v>
      </c>
      <c r="BC136" s="137">
        <f t="shared" si="53"/>
        <v>5.3604417299999998</v>
      </c>
      <c r="BD136" s="137">
        <f t="shared" si="54"/>
        <v>1.4107711134999999E-2</v>
      </c>
      <c r="BE136" s="137">
        <f t="shared" si="55"/>
        <v>8.0348143399999987</v>
      </c>
      <c r="BF136" s="137">
        <f t="shared" si="56"/>
        <v>-7.5074393450000002E-3</v>
      </c>
      <c r="BG136" s="137">
        <f t="shared" si="57"/>
        <v>1.6816829259999999E-5</v>
      </c>
      <c r="BH136" s="137">
        <f t="shared" si="58"/>
        <v>0.14140392559999998</v>
      </c>
      <c r="BI136" s="137">
        <f t="shared" si="59"/>
        <v>0.30484201194999999</v>
      </c>
      <c r="BJ136" s="137">
        <f t="shared" si="60"/>
        <v>0.29083716129999998</v>
      </c>
      <c r="BK136" s="137">
        <f t="shared" si="61"/>
        <v>1.7601527475E-2</v>
      </c>
      <c r="BL136" s="137">
        <f t="shared" si="62"/>
        <v>2.994168954</v>
      </c>
      <c r="BM136" s="137">
        <f t="shared" si="63"/>
        <v>0.32046717324999996</v>
      </c>
    </row>
    <row r="137" spans="1:65" x14ac:dyDescent="0.25">
      <c r="A137" s="149">
        <v>371</v>
      </c>
      <c r="B137" s="149">
        <v>43</v>
      </c>
      <c r="C137" s="61">
        <v>38.907192000000002</v>
      </c>
      <c r="D137" s="61">
        <v>-77.036871000000005</v>
      </c>
      <c r="E137" s="61" t="s">
        <v>265</v>
      </c>
      <c r="F137" s="149">
        <v>86</v>
      </c>
      <c r="G137" s="61" t="s">
        <v>630</v>
      </c>
      <c r="H137" s="61" t="s">
        <v>644</v>
      </c>
      <c r="I137" s="61">
        <v>38.851241999999999</v>
      </c>
      <c r="J137" s="61">
        <v>-77.040232000000003</v>
      </c>
      <c r="K137" s="61">
        <v>8.800194329</v>
      </c>
      <c r="L137" s="61">
        <v>8.4060000000000006</v>
      </c>
      <c r="M137" s="61" t="s">
        <v>617</v>
      </c>
      <c r="N137" s="149">
        <v>42</v>
      </c>
      <c r="O137" s="149">
        <v>43</v>
      </c>
      <c r="P137" s="61" t="s">
        <v>565</v>
      </c>
      <c r="Q137" s="61" t="s">
        <v>555</v>
      </c>
      <c r="R137" s="61">
        <v>40.6895314</v>
      </c>
      <c r="S137" s="61">
        <v>-74.174462399999996</v>
      </c>
      <c r="T137" s="61">
        <v>344.01499999999999</v>
      </c>
      <c r="U137" s="61" t="s">
        <v>617</v>
      </c>
      <c r="V137" s="61" t="s">
        <v>617</v>
      </c>
      <c r="W137" s="61"/>
      <c r="Y137" s="137">
        <f>Summary_LCIA!H$32</f>
        <v>0.33979999999999999</v>
      </c>
      <c r="Z137" s="137">
        <f>Summary_LCIA!Q$32</f>
        <v>4.9560504329999997</v>
      </c>
      <c r="AA137" s="137">
        <f>Summary_LCIA!R$32</f>
        <v>5.2655999999999996E-3</v>
      </c>
      <c r="AB137" s="137">
        <f>Summary_LCIA!S$32</f>
        <v>0.33538000000000001</v>
      </c>
      <c r="AC137" s="137">
        <f>Summary_LCIA!T$32</f>
        <v>0.1099</v>
      </c>
      <c r="AD137" s="137">
        <f>Summary_LCIA!U$32</f>
        <v>1.7913999999999999E-2</v>
      </c>
      <c r="AE137" s="137">
        <f>Summary_LCIA!V$32</f>
        <v>4.7760999999999999E-5</v>
      </c>
      <c r="AF137" s="137">
        <f>Summary_LCIA!W$32</f>
        <v>7.6970999999999998E-2</v>
      </c>
      <c r="AG137" s="137">
        <f>Summary_LCIA!X$32</f>
        <v>2.2780000000000002E-2</v>
      </c>
      <c r="AH137" s="137">
        <f>Summary_LCIA!Y$32</f>
        <v>1.5582E-2</v>
      </c>
      <c r="AI137" s="137">
        <f>Summary_LCIA!Z$32</f>
        <v>4.1009E-5</v>
      </c>
      <c r="AJ137" s="137">
        <f>Summary_LCIA!AA$32</f>
        <v>2.3355999999999998E-2</v>
      </c>
      <c r="AK137" s="137">
        <f>Summary_LCIA!AB$32</f>
        <v>-2.1823000000000001E-5</v>
      </c>
      <c r="AL137" s="137">
        <f>Summary_LCIA!AC$32</f>
        <v>4.8884000000000003E-8</v>
      </c>
      <c r="AM137" s="137">
        <f>Summary_LCIA!AD$32</f>
        <v>4.1103999999999999E-4</v>
      </c>
      <c r="AN137" s="137">
        <f>Summary_LCIA!AE$32</f>
        <v>8.8612999999999995E-4</v>
      </c>
      <c r="AO137" s="137">
        <f>Summary_LCIA!AF$32</f>
        <v>8.4542000000000005E-4</v>
      </c>
      <c r="AP137" s="137">
        <f>Summary_LCIA!AG$32</f>
        <v>5.1165000000000002E-5</v>
      </c>
      <c r="AQ137" s="137">
        <f>Summary_LCIA!AH$32</f>
        <v>8.7036000000000006E-3</v>
      </c>
      <c r="AR137" s="137">
        <f>Summary_LCIA!AI$32</f>
        <v>9.3154999999999996E-4</v>
      </c>
      <c r="AT137" s="137">
        <f t="shared" si="44"/>
        <v>116.89629699999999</v>
      </c>
      <c r="AU137" s="137">
        <f t="shared" si="45"/>
        <v>1704.9556897084949</v>
      </c>
      <c r="AV137" s="137">
        <f t="shared" si="46"/>
        <v>1.8114453839999998</v>
      </c>
      <c r="AW137" s="137">
        <f t="shared" si="47"/>
        <v>115.3757507</v>
      </c>
      <c r="AX137" s="137">
        <f t="shared" si="48"/>
        <v>37.8072485</v>
      </c>
      <c r="AY137" s="137">
        <f t="shared" si="49"/>
        <v>6.1626847099999997</v>
      </c>
      <c r="AZ137" s="137">
        <f t="shared" si="50"/>
        <v>1.6430500415E-2</v>
      </c>
      <c r="BA137" s="137">
        <f t="shared" si="51"/>
        <v>26.479178564999998</v>
      </c>
      <c r="BB137" s="137">
        <f t="shared" si="52"/>
        <v>7.8366617000000005</v>
      </c>
      <c r="BC137" s="137">
        <f t="shared" si="53"/>
        <v>5.3604417299999998</v>
      </c>
      <c r="BD137" s="137">
        <f t="shared" si="54"/>
        <v>1.4107711134999999E-2</v>
      </c>
      <c r="BE137" s="137">
        <f t="shared" si="55"/>
        <v>8.0348143399999987</v>
      </c>
      <c r="BF137" s="137">
        <f t="shared" si="56"/>
        <v>-7.5074393450000002E-3</v>
      </c>
      <c r="BG137" s="137">
        <f t="shared" si="57"/>
        <v>1.6816829259999999E-5</v>
      </c>
      <c r="BH137" s="137">
        <f t="shared" si="58"/>
        <v>0.14140392559999998</v>
      </c>
      <c r="BI137" s="137">
        <f t="shared" si="59"/>
        <v>0.30484201194999999</v>
      </c>
      <c r="BJ137" s="137">
        <f t="shared" si="60"/>
        <v>0.29083716129999998</v>
      </c>
      <c r="BK137" s="137">
        <f t="shared" si="61"/>
        <v>1.7601527475E-2</v>
      </c>
      <c r="BL137" s="137">
        <f t="shared" si="62"/>
        <v>2.994168954</v>
      </c>
      <c r="BM137" s="137">
        <f t="shared" si="63"/>
        <v>0.32046717324999996</v>
      </c>
    </row>
    <row r="138" spans="1:65" x14ac:dyDescent="0.25">
      <c r="A138" s="149">
        <v>372</v>
      </c>
      <c r="B138" s="149">
        <v>43</v>
      </c>
      <c r="C138" s="61">
        <v>38.907192000000002</v>
      </c>
      <c r="D138" s="61">
        <v>-77.036871000000005</v>
      </c>
      <c r="E138" s="61" t="s">
        <v>265</v>
      </c>
      <c r="F138" s="149">
        <v>86</v>
      </c>
      <c r="G138" s="61" t="s">
        <v>630</v>
      </c>
      <c r="H138" s="61" t="s">
        <v>644</v>
      </c>
      <c r="I138" s="61">
        <v>38.851241999999999</v>
      </c>
      <c r="J138" s="61">
        <v>-77.040232000000003</v>
      </c>
      <c r="K138" s="61">
        <v>8.800194329</v>
      </c>
      <c r="L138" s="61">
        <v>8.4060000000000006</v>
      </c>
      <c r="M138" s="61" t="s">
        <v>617</v>
      </c>
      <c r="N138" s="149">
        <v>42</v>
      </c>
      <c r="O138" s="149">
        <v>43</v>
      </c>
      <c r="P138" s="61" t="s">
        <v>565</v>
      </c>
      <c r="Q138" s="61" t="s">
        <v>555</v>
      </c>
      <c r="R138" s="61">
        <v>40.6895314</v>
      </c>
      <c r="S138" s="61">
        <v>-74.174462399999996</v>
      </c>
      <c r="T138" s="61">
        <v>344.01499999999999</v>
      </c>
      <c r="U138" s="61" t="s">
        <v>617</v>
      </c>
      <c r="V138" s="61" t="s">
        <v>617</v>
      </c>
      <c r="W138" s="61"/>
      <c r="Y138" s="137">
        <f>Summary_LCIA!H$32</f>
        <v>0.33979999999999999</v>
      </c>
      <c r="Z138" s="137">
        <f>Summary_LCIA!Q$32</f>
        <v>4.9560504329999997</v>
      </c>
      <c r="AA138" s="137">
        <f>Summary_LCIA!R$32</f>
        <v>5.2655999999999996E-3</v>
      </c>
      <c r="AB138" s="137">
        <f>Summary_LCIA!S$32</f>
        <v>0.33538000000000001</v>
      </c>
      <c r="AC138" s="137">
        <f>Summary_LCIA!T$32</f>
        <v>0.1099</v>
      </c>
      <c r="AD138" s="137">
        <f>Summary_LCIA!U$32</f>
        <v>1.7913999999999999E-2</v>
      </c>
      <c r="AE138" s="137">
        <f>Summary_LCIA!V$32</f>
        <v>4.7760999999999999E-5</v>
      </c>
      <c r="AF138" s="137">
        <f>Summary_LCIA!W$32</f>
        <v>7.6970999999999998E-2</v>
      </c>
      <c r="AG138" s="137">
        <f>Summary_LCIA!X$32</f>
        <v>2.2780000000000002E-2</v>
      </c>
      <c r="AH138" s="137">
        <f>Summary_LCIA!Y$32</f>
        <v>1.5582E-2</v>
      </c>
      <c r="AI138" s="137">
        <f>Summary_LCIA!Z$32</f>
        <v>4.1009E-5</v>
      </c>
      <c r="AJ138" s="137">
        <f>Summary_LCIA!AA$32</f>
        <v>2.3355999999999998E-2</v>
      </c>
      <c r="AK138" s="137">
        <f>Summary_LCIA!AB$32</f>
        <v>-2.1823000000000001E-5</v>
      </c>
      <c r="AL138" s="137">
        <f>Summary_LCIA!AC$32</f>
        <v>4.8884000000000003E-8</v>
      </c>
      <c r="AM138" s="137">
        <f>Summary_LCIA!AD$32</f>
        <v>4.1103999999999999E-4</v>
      </c>
      <c r="AN138" s="137">
        <f>Summary_LCIA!AE$32</f>
        <v>8.8612999999999995E-4</v>
      </c>
      <c r="AO138" s="137">
        <f>Summary_LCIA!AF$32</f>
        <v>8.4542000000000005E-4</v>
      </c>
      <c r="AP138" s="137">
        <f>Summary_LCIA!AG$32</f>
        <v>5.1165000000000002E-5</v>
      </c>
      <c r="AQ138" s="137">
        <f>Summary_LCIA!AH$32</f>
        <v>8.7036000000000006E-3</v>
      </c>
      <c r="AR138" s="137">
        <f>Summary_LCIA!AI$32</f>
        <v>9.3154999999999996E-4</v>
      </c>
      <c r="AT138" s="137">
        <f t="shared" si="44"/>
        <v>116.89629699999999</v>
      </c>
      <c r="AU138" s="137">
        <f t="shared" si="45"/>
        <v>1704.9556897084949</v>
      </c>
      <c r="AV138" s="137">
        <f t="shared" si="46"/>
        <v>1.8114453839999998</v>
      </c>
      <c r="AW138" s="137">
        <f t="shared" si="47"/>
        <v>115.3757507</v>
      </c>
      <c r="AX138" s="137">
        <f t="shared" si="48"/>
        <v>37.8072485</v>
      </c>
      <c r="AY138" s="137">
        <f t="shared" si="49"/>
        <v>6.1626847099999997</v>
      </c>
      <c r="AZ138" s="137">
        <f t="shared" si="50"/>
        <v>1.6430500415E-2</v>
      </c>
      <c r="BA138" s="137">
        <f t="shared" si="51"/>
        <v>26.479178564999998</v>
      </c>
      <c r="BB138" s="137">
        <f t="shared" si="52"/>
        <v>7.8366617000000005</v>
      </c>
      <c r="BC138" s="137">
        <f t="shared" si="53"/>
        <v>5.3604417299999998</v>
      </c>
      <c r="BD138" s="137">
        <f t="shared" si="54"/>
        <v>1.4107711134999999E-2</v>
      </c>
      <c r="BE138" s="137">
        <f t="shared" si="55"/>
        <v>8.0348143399999987</v>
      </c>
      <c r="BF138" s="137">
        <f t="shared" si="56"/>
        <v>-7.5074393450000002E-3</v>
      </c>
      <c r="BG138" s="137">
        <f t="shared" si="57"/>
        <v>1.6816829259999999E-5</v>
      </c>
      <c r="BH138" s="137">
        <f t="shared" si="58"/>
        <v>0.14140392559999998</v>
      </c>
      <c r="BI138" s="137">
        <f t="shared" si="59"/>
        <v>0.30484201194999999</v>
      </c>
      <c r="BJ138" s="137">
        <f t="shared" si="60"/>
        <v>0.29083716129999998</v>
      </c>
      <c r="BK138" s="137">
        <f t="shared" si="61"/>
        <v>1.7601527475E-2</v>
      </c>
      <c r="BL138" s="137">
        <f t="shared" si="62"/>
        <v>2.994168954</v>
      </c>
      <c r="BM138" s="137">
        <f t="shared" si="63"/>
        <v>0.32046717324999996</v>
      </c>
    </row>
    <row r="139" spans="1:65" x14ac:dyDescent="0.25">
      <c r="A139" s="149">
        <v>373</v>
      </c>
      <c r="B139" s="149">
        <v>43</v>
      </c>
      <c r="C139" s="61">
        <v>38.907192000000002</v>
      </c>
      <c r="D139" s="61">
        <v>-77.036871000000005</v>
      </c>
      <c r="E139" s="61" t="s">
        <v>265</v>
      </c>
      <c r="F139" s="149">
        <v>86</v>
      </c>
      <c r="G139" s="61" t="s">
        <v>630</v>
      </c>
      <c r="H139" s="61" t="s">
        <v>644</v>
      </c>
      <c r="I139" s="61">
        <v>38.851241999999999</v>
      </c>
      <c r="J139" s="61">
        <v>-77.040232000000003</v>
      </c>
      <c r="K139" s="61">
        <v>8.800194329</v>
      </c>
      <c r="L139" s="61">
        <v>8.4060000000000006</v>
      </c>
      <c r="M139" s="61" t="s">
        <v>617</v>
      </c>
      <c r="N139" s="149">
        <v>42</v>
      </c>
      <c r="O139" s="149">
        <v>43</v>
      </c>
      <c r="P139" s="61" t="s">
        <v>565</v>
      </c>
      <c r="Q139" s="61" t="s">
        <v>555</v>
      </c>
      <c r="R139" s="61">
        <v>40.6895314</v>
      </c>
      <c r="S139" s="61">
        <v>-74.174462399999996</v>
      </c>
      <c r="T139" s="61">
        <v>344.01499999999999</v>
      </c>
      <c r="U139" s="61" t="s">
        <v>617</v>
      </c>
      <c r="V139" s="61" t="s">
        <v>617</v>
      </c>
      <c r="W139" s="61"/>
      <c r="Y139" s="137">
        <f>Summary_LCIA!H$32</f>
        <v>0.33979999999999999</v>
      </c>
      <c r="Z139" s="137">
        <f>Summary_LCIA!Q$32</f>
        <v>4.9560504329999997</v>
      </c>
      <c r="AA139" s="137">
        <f>Summary_LCIA!R$32</f>
        <v>5.2655999999999996E-3</v>
      </c>
      <c r="AB139" s="137">
        <f>Summary_LCIA!S$32</f>
        <v>0.33538000000000001</v>
      </c>
      <c r="AC139" s="137">
        <f>Summary_LCIA!T$32</f>
        <v>0.1099</v>
      </c>
      <c r="AD139" s="137">
        <f>Summary_LCIA!U$32</f>
        <v>1.7913999999999999E-2</v>
      </c>
      <c r="AE139" s="137">
        <f>Summary_LCIA!V$32</f>
        <v>4.7760999999999999E-5</v>
      </c>
      <c r="AF139" s="137">
        <f>Summary_LCIA!W$32</f>
        <v>7.6970999999999998E-2</v>
      </c>
      <c r="AG139" s="137">
        <f>Summary_LCIA!X$32</f>
        <v>2.2780000000000002E-2</v>
      </c>
      <c r="AH139" s="137">
        <f>Summary_LCIA!Y$32</f>
        <v>1.5582E-2</v>
      </c>
      <c r="AI139" s="137">
        <f>Summary_LCIA!Z$32</f>
        <v>4.1009E-5</v>
      </c>
      <c r="AJ139" s="137">
        <f>Summary_LCIA!AA$32</f>
        <v>2.3355999999999998E-2</v>
      </c>
      <c r="AK139" s="137">
        <f>Summary_LCIA!AB$32</f>
        <v>-2.1823000000000001E-5</v>
      </c>
      <c r="AL139" s="137">
        <f>Summary_LCIA!AC$32</f>
        <v>4.8884000000000003E-8</v>
      </c>
      <c r="AM139" s="137">
        <f>Summary_LCIA!AD$32</f>
        <v>4.1103999999999999E-4</v>
      </c>
      <c r="AN139" s="137">
        <f>Summary_LCIA!AE$32</f>
        <v>8.8612999999999995E-4</v>
      </c>
      <c r="AO139" s="137">
        <f>Summary_LCIA!AF$32</f>
        <v>8.4542000000000005E-4</v>
      </c>
      <c r="AP139" s="137">
        <f>Summary_LCIA!AG$32</f>
        <v>5.1165000000000002E-5</v>
      </c>
      <c r="AQ139" s="137">
        <f>Summary_LCIA!AH$32</f>
        <v>8.7036000000000006E-3</v>
      </c>
      <c r="AR139" s="137">
        <f>Summary_LCIA!AI$32</f>
        <v>9.3154999999999996E-4</v>
      </c>
      <c r="AT139" s="137">
        <f t="shared" si="44"/>
        <v>116.89629699999999</v>
      </c>
      <c r="AU139" s="137">
        <f t="shared" si="45"/>
        <v>1704.9556897084949</v>
      </c>
      <c r="AV139" s="137">
        <f t="shared" si="46"/>
        <v>1.8114453839999998</v>
      </c>
      <c r="AW139" s="137">
        <f t="shared" si="47"/>
        <v>115.3757507</v>
      </c>
      <c r="AX139" s="137">
        <f t="shared" si="48"/>
        <v>37.8072485</v>
      </c>
      <c r="AY139" s="137">
        <f t="shared" si="49"/>
        <v>6.1626847099999997</v>
      </c>
      <c r="AZ139" s="137">
        <f t="shared" si="50"/>
        <v>1.6430500415E-2</v>
      </c>
      <c r="BA139" s="137">
        <f t="shared" si="51"/>
        <v>26.479178564999998</v>
      </c>
      <c r="BB139" s="137">
        <f t="shared" si="52"/>
        <v>7.8366617000000005</v>
      </c>
      <c r="BC139" s="137">
        <f t="shared" si="53"/>
        <v>5.3604417299999998</v>
      </c>
      <c r="BD139" s="137">
        <f t="shared" si="54"/>
        <v>1.4107711134999999E-2</v>
      </c>
      <c r="BE139" s="137">
        <f t="shared" si="55"/>
        <v>8.0348143399999987</v>
      </c>
      <c r="BF139" s="137">
        <f t="shared" si="56"/>
        <v>-7.5074393450000002E-3</v>
      </c>
      <c r="BG139" s="137">
        <f t="shared" si="57"/>
        <v>1.6816829259999999E-5</v>
      </c>
      <c r="BH139" s="137">
        <f t="shared" si="58"/>
        <v>0.14140392559999998</v>
      </c>
      <c r="BI139" s="137">
        <f t="shared" si="59"/>
        <v>0.30484201194999999</v>
      </c>
      <c r="BJ139" s="137">
        <f t="shared" si="60"/>
        <v>0.29083716129999998</v>
      </c>
      <c r="BK139" s="137">
        <f t="shared" si="61"/>
        <v>1.7601527475E-2</v>
      </c>
      <c r="BL139" s="137">
        <f t="shared" si="62"/>
        <v>2.994168954</v>
      </c>
      <c r="BM139" s="137">
        <f t="shared" si="63"/>
        <v>0.32046717324999996</v>
      </c>
    </row>
    <row r="140" spans="1:65" x14ac:dyDescent="0.25">
      <c r="A140" s="149">
        <v>374</v>
      </c>
      <c r="B140" s="149">
        <v>43</v>
      </c>
      <c r="C140" s="61">
        <v>38.907192000000002</v>
      </c>
      <c r="D140" s="61">
        <v>-77.036871000000005</v>
      </c>
      <c r="E140" s="61" t="s">
        <v>265</v>
      </c>
      <c r="F140" s="149">
        <v>86</v>
      </c>
      <c r="G140" s="61" t="s">
        <v>630</v>
      </c>
      <c r="H140" s="61" t="s">
        <v>644</v>
      </c>
      <c r="I140" s="61">
        <v>38.851241999999999</v>
      </c>
      <c r="J140" s="61">
        <v>-77.040232000000003</v>
      </c>
      <c r="K140" s="61">
        <v>8.800194329</v>
      </c>
      <c r="L140" s="61">
        <v>8.4060000000000006</v>
      </c>
      <c r="M140" s="61" t="s">
        <v>617</v>
      </c>
      <c r="N140" s="149">
        <v>42</v>
      </c>
      <c r="O140" s="149">
        <v>43</v>
      </c>
      <c r="P140" s="61" t="s">
        <v>565</v>
      </c>
      <c r="Q140" s="61" t="s">
        <v>555</v>
      </c>
      <c r="R140" s="61">
        <v>40.6895314</v>
      </c>
      <c r="S140" s="61">
        <v>-74.174462399999996</v>
      </c>
      <c r="T140" s="61">
        <v>344.01499999999999</v>
      </c>
      <c r="U140" s="61" t="s">
        <v>617</v>
      </c>
      <c r="V140" s="61" t="s">
        <v>617</v>
      </c>
      <c r="W140" s="61"/>
      <c r="Y140" s="137">
        <f>Summary_LCIA!H$32</f>
        <v>0.33979999999999999</v>
      </c>
      <c r="Z140" s="137">
        <f>Summary_LCIA!Q$32</f>
        <v>4.9560504329999997</v>
      </c>
      <c r="AA140" s="137">
        <f>Summary_LCIA!R$32</f>
        <v>5.2655999999999996E-3</v>
      </c>
      <c r="AB140" s="137">
        <f>Summary_LCIA!S$32</f>
        <v>0.33538000000000001</v>
      </c>
      <c r="AC140" s="137">
        <f>Summary_LCIA!T$32</f>
        <v>0.1099</v>
      </c>
      <c r="AD140" s="137">
        <f>Summary_LCIA!U$32</f>
        <v>1.7913999999999999E-2</v>
      </c>
      <c r="AE140" s="137">
        <f>Summary_LCIA!V$32</f>
        <v>4.7760999999999999E-5</v>
      </c>
      <c r="AF140" s="137">
        <f>Summary_LCIA!W$32</f>
        <v>7.6970999999999998E-2</v>
      </c>
      <c r="AG140" s="137">
        <f>Summary_LCIA!X$32</f>
        <v>2.2780000000000002E-2</v>
      </c>
      <c r="AH140" s="137">
        <f>Summary_LCIA!Y$32</f>
        <v>1.5582E-2</v>
      </c>
      <c r="AI140" s="137">
        <f>Summary_LCIA!Z$32</f>
        <v>4.1009E-5</v>
      </c>
      <c r="AJ140" s="137">
        <f>Summary_LCIA!AA$32</f>
        <v>2.3355999999999998E-2</v>
      </c>
      <c r="AK140" s="137">
        <f>Summary_LCIA!AB$32</f>
        <v>-2.1823000000000001E-5</v>
      </c>
      <c r="AL140" s="137">
        <f>Summary_LCIA!AC$32</f>
        <v>4.8884000000000003E-8</v>
      </c>
      <c r="AM140" s="137">
        <f>Summary_LCIA!AD$32</f>
        <v>4.1103999999999999E-4</v>
      </c>
      <c r="AN140" s="137">
        <f>Summary_LCIA!AE$32</f>
        <v>8.8612999999999995E-4</v>
      </c>
      <c r="AO140" s="137">
        <f>Summary_LCIA!AF$32</f>
        <v>8.4542000000000005E-4</v>
      </c>
      <c r="AP140" s="137">
        <f>Summary_LCIA!AG$32</f>
        <v>5.1165000000000002E-5</v>
      </c>
      <c r="AQ140" s="137">
        <f>Summary_LCIA!AH$32</f>
        <v>8.7036000000000006E-3</v>
      </c>
      <c r="AR140" s="137">
        <f>Summary_LCIA!AI$32</f>
        <v>9.3154999999999996E-4</v>
      </c>
      <c r="AT140" s="137">
        <f t="shared" si="44"/>
        <v>116.89629699999999</v>
      </c>
      <c r="AU140" s="137">
        <f t="shared" si="45"/>
        <v>1704.9556897084949</v>
      </c>
      <c r="AV140" s="137">
        <f t="shared" si="46"/>
        <v>1.8114453839999998</v>
      </c>
      <c r="AW140" s="137">
        <f t="shared" si="47"/>
        <v>115.3757507</v>
      </c>
      <c r="AX140" s="137">
        <f t="shared" si="48"/>
        <v>37.8072485</v>
      </c>
      <c r="AY140" s="137">
        <f t="shared" si="49"/>
        <v>6.1626847099999997</v>
      </c>
      <c r="AZ140" s="137">
        <f t="shared" si="50"/>
        <v>1.6430500415E-2</v>
      </c>
      <c r="BA140" s="137">
        <f t="shared" si="51"/>
        <v>26.479178564999998</v>
      </c>
      <c r="BB140" s="137">
        <f t="shared" si="52"/>
        <v>7.8366617000000005</v>
      </c>
      <c r="BC140" s="137">
        <f t="shared" si="53"/>
        <v>5.3604417299999998</v>
      </c>
      <c r="BD140" s="137">
        <f t="shared" si="54"/>
        <v>1.4107711134999999E-2</v>
      </c>
      <c r="BE140" s="137">
        <f t="shared" si="55"/>
        <v>8.0348143399999987</v>
      </c>
      <c r="BF140" s="137">
        <f t="shared" si="56"/>
        <v>-7.5074393450000002E-3</v>
      </c>
      <c r="BG140" s="137">
        <f t="shared" si="57"/>
        <v>1.6816829259999999E-5</v>
      </c>
      <c r="BH140" s="137">
        <f t="shared" si="58"/>
        <v>0.14140392559999998</v>
      </c>
      <c r="BI140" s="137">
        <f t="shared" si="59"/>
        <v>0.30484201194999999</v>
      </c>
      <c r="BJ140" s="137">
        <f t="shared" si="60"/>
        <v>0.29083716129999998</v>
      </c>
      <c r="BK140" s="137">
        <f t="shared" si="61"/>
        <v>1.7601527475E-2</v>
      </c>
      <c r="BL140" s="137">
        <f t="shared" si="62"/>
        <v>2.994168954</v>
      </c>
      <c r="BM140" s="137">
        <f t="shared" si="63"/>
        <v>0.32046717324999996</v>
      </c>
    </row>
    <row r="141" spans="1:65" x14ac:dyDescent="0.25">
      <c r="A141" s="149">
        <v>375</v>
      </c>
      <c r="B141" s="149">
        <v>43</v>
      </c>
      <c r="C141" s="61">
        <v>38.907192000000002</v>
      </c>
      <c r="D141" s="61">
        <v>-77.036871000000005</v>
      </c>
      <c r="E141" s="61" t="s">
        <v>265</v>
      </c>
      <c r="F141" s="149">
        <v>86</v>
      </c>
      <c r="G141" s="61" t="s">
        <v>630</v>
      </c>
      <c r="H141" s="61" t="s">
        <v>644</v>
      </c>
      <c r="I141" s="61">
        <v>38.851241999999999</v>
      </c>
      <c r="J141" s="61">
        <v>-77.040232000000003</v>
      </c>
      <c r="K141" s="61">
        <v>8.800194329</v>
      </c>
      <c r="L141" s="61">
        <v>8.4060000000000006</v>
      </c>
      <c r="M141" s="61" t="s">
        <v>617</v>
      </c>
      <c r="N141" s="149">
        <v>42</v>
      </c>
      <c r="O141" s="149">
        <v>43</v>
      </c>
      <c r="P141" s="61" t="s">
        <v>565</v>
      </c>
      <c r="Q141" s="61" t="s">
        <v>555</v>
      </c>
      <c r="R141" s="61">
        <v>40.6895314</v>
      </c>
      <c r="S141" s="61">
        <v>-74.174462399999996</v>
      </c>
      <c r="T141" s="61">
        <v>344.01499999999999</v>
      </c>
      <c r="U141" s="61" t="s">
        <v>617</v>
      </c>
      <c r="V141" s="61" t="s">
        <v>617</v>
      </c>
      <c r="W141" s="61"/>
      <c r="Y141" s="137">
        <f>Summary_LCIA!H$32</f>
        <v>0.33979999999999999</v>
      </c>
      <c r="Z141" s="137">
        <f>Summary_LCIA!Q$32</f>
        <v>4.9560504329999997</v>
      </c>
      <c r="AA141" s="137">
        <f>Summary_LCIA!R$32</f>
        <v>5.2655999999999996E-3</v>
      </c>
      <c r="AB141" s="137">
        <f>Summary_LCIA!S$32</f>
        <v>0.33538000000000001</v>
      </c>
      <c r="AC141" s="137">
        <f>Summary_LCIA!T$32</f>
        <v>0.1099</v>
      </c>
      <c r="AD141" s="137">
        <f>Summary_LCIA!U$32</f>
        <v>1.7913999999999999E-2</v>
      </c>
      <c r="AE141" s="137">
        <f>Summary_LCIA!V$32</f>
        <v>4.7760999999999999E-5</v>
      </c>
      <c r="AF141" s="137">
        <f>Summary_LCIA!W$32</f>
        <v>7.6970999999999998E-2</v>
      </c>
      <c r="AG141" s="137">
        <f>Summary_LCIA!X$32</f>
        <v>2.2780000000000002E-2</v>
      </c>
      <c r="AH141" s="137">
        <f>Summary_LCIA!Y$32</f>
        <v>1.5582E-2</v>
      </c>
      <c r="AI141" s="137">
        <f>Summary_LCIA!Z$32</f>
        <v>4.1009E-5</v>
      </c>
      <c r="AJ141" s="137">
        <f>Summary_LCIA!AA$32</f>
        <v>2.3355999999999998E-2</v>
      </c>
      <c r="AK141" s="137">
        <f>Summary_LCIA!AB$32</f>
        <v>-2.1823000000000001E-5</v>
      </c>
      <c r="AL141" s="137">
        <f>Summary_LCIA!AC$32</f>
        <v>4.8884000000000003E-8</v>
      </c>
      <c r="AM141" s="137">
        <f>Summary_LCIA!AD$32</f>
        <v>4.1103999999999999E-4</v>
      </c>
      <c r="AN141" s="137">
        <f>Summary_LCIA!AE$32</f>
        <v>8.8612999999999995E-4</v>
      </c>
      <c r="AO141" s="137">
        <f>Summary_LCIA!AF$32</f>
        <v>8.4542000000000005E-4</v>
      </c>
      <c r="AP141" s="137">
        <f>Summary_LCIA!AG$32</f>
        <v>5.1165000000000002E-5</v>
      </c>
      <c r="AQ141" s="137">
        <f>Summary_LCIA!AH$32</f>
        <v>8.7036000000000006E-3</v>
      </c>
      <c r="AR141" s="137">
        <f>Summary_LCIA!AI$32</f>
        <v>9.3154999999999996E-4</v>
      </c>
      <c r="AT141" s="137">
        <f t="shared" si="44"/>
        <v>116.89629699999999</v>
      </c>
      <c r="AU141" s="137">
        <f t="shared" si="45"/>
        <v>1704.9556897084949</v>
      </c>
      <c r="AV141" s="137">
        <f t="shared" si="46"/>
        <v>1.8114453839999998</v>
      </c>
      <c r="AW141" s="137">
        <f t="shared" si="47"/>
        <v>115.3757507</v>
      </c>
      <c r="AX141" s="137">
        <f t="shared" si="48"/>
        <v>37.8072485</v>
      </c>
      <c r="AY141" s="137">
        <f t="shared" si="49"/>
        <v>6.1626847099999997</v>
      </c>
      <c r="AZ141" s="137">
        <f t="shared" si="50"/>
        <v>1.6430500415E-2</v>
      </c>
      <c r="BA141" s="137">
        <f t="shared" si="51"/>
        <v>26.479178564999998</v>
      </c>
      <c r="BB141" s="137">
        <f t="shared" si="52"/>
        <v>7.8366617000000005</v>
      </c>
      <c r="BC141" s="137">
        <f t="shared" si="53"/>
        <v>5.3604417299999998</v>
      </c>
      <c r="BD141" s="137">
        <f t="shared" si="54"/>
        <v>1.4107711134999999E-2</v>
      </c>
      <c r="BE141" s="137">
        <f t="shared" si="55"/>
        <v>8.0348143399999987</v>
      </c>
      <c r="BF141" s="137">
        <f t="shared" si="56"/>
        <v>-7.5074393450000002E-3</v>
      </c>
      <c r="BG141" s="137">
        <f t="shared" si="57"/>
        <v>1.6816829259999999E-5</v>
      </c>
      <c r="BH141" s="137">
        <f t="shared" si="58"/>
        <v>0.14140392559999998</v>
      </c>
      <c r="BI141" s="137">
        <f t="shared" si="59"/>
        <v>0.30484201194999999</v>
      </c>
      <c r="BJ141" s="137">
        <f t="shared" si="60"/>
        <v>0.29083716129999998</v>
      </c>
      <c r="BK141" s="137">
        <f t="shared" si="61"/>
        <v>1.7601527475E-2</v>
      </c>
      <c r="BL141" s="137">
        <f t="shared" si="62"/>
        <v>2.994168954</v>
      </c>
      <c r="BM141" s="137">
        <f t="shared" si="63"/>
        <v>0.32046717324999996</v>
      </c>
    </row>
    <row r="142" spans="1:65" x14ac:dyDescent="0.25">
      <c r="A142" s="149">
        <v>46</v>
      </c>
      <c r="B142" s="149">
        <v>43</v>
      </c>
      <c r="C142" s="61">
        <v>38.90813</v>
      </c>
      <c r="D142" s="61">
        <v>-77.040278999999998</v>
      </c>
      <c r="E142" s="61" t="s">
        <v>265</v>
      </c>
      <c r="F142" s="149">
        <v>86</v>
      </c>
      <c r="G142" s="61" t="s">
        <v>630</v>
      </c>
      <c r="H142" s="61" t="s">
        <v>644</v>
      </c>
      <c r="I142" s="61">
        <v>38.851241999999999</v>
      </c>
      <c r="J142" s="61">
        <v>-77.040232000000003</v>
      </c>
      <c r="K142" s="61">
        <v>8.9128861770000007</v>
      </c>
      <c r="L142" s="61">
        <v>8.7949999999999999</v>
      </c>
      <c r="M142" s="61" t="s">
        <v>617</v>
      </c>
      <c r="N142" s="149">
        <v>42</v>
      </c>
      <c r="O142" s="149">
        <v>43</v>
      </c>
      <c r="P142" s="61" t="s">
        <v>565</v>
      </c>
      <c r="Q142" s="61" t="s">
        <v>555</v>
      </c>
      <c r="R142" s="61">
        <v>40.6895314</v>
      </c>
      <c r="S142" s="61">
        <v>-74.174462399999996</v>
      </c>
      <c r="T142" s="61">
        <v>344.404</v>
      </c>
      <c r="U142" s="61" t="s">
        <v>617</v>
      </c>
      <c r="V142" s="61" t="s">
        <v>617</v>
      </c>
      <c r="W142" s="61"/>
      <c r="Y142" s="137">
        <f>Summary_LCIA!H$32</f>
        <v>0.33979999999999999</v>
      </c>
      <c r="Z142" s="137">
        <f>Summary_LCIA!Q$32</f>
        <v>4.9560504329999997</v>
      </c>
      <c r="AA142" s="137">
        <f>Summary_LCIA!R$32</f>
        <v>5.2655999999999996E-3</v>
      </c>
      <c r="AB142" s="137">
        <f>Summary_LCIA!S$32</f>
        <v>0.33538000000000001</v>
      </c>
      <c r="AC142" s="137">
        <f>Summary_LCIA!T$32</f>
        <v>0.1099</v>
      </c>
      <c r="AD142" s="137">
        <f>Summary_LCIA!U$32</f>
        <v>1.7913999999999999E-2</v>
      </c>
      <c r="AE142" s="137">
        <f>Summary_LCIA!V$32</f>
        <v>4.7760999999999999E-5</v>
      </c>
      <c r="AF142" s="137">
        <f>Summary_LCIA!W$32</f>
        <v>7.6970999999999998E-2</v>
      </c>
      <c r="AG142" s="137">
        <f>Summary_LCIA!X$32</f>
        <v>2.2780000000000002E-2</v>
      </c>
      <c r="AH142" s="137">
        <f>Summary_LCIA!Y$32</f>
        <v>1.5582E-2</v>
      </c>
      <c r="AI142" s="137">
        <f>Summary_LCIA!Z$32</f>
        <v>4.1009E-5</v>
      </c>
      <c r="AJ142" s="137">
        <f>Summary_LCIA!AA$32</f>
        <v>2.3355999999999998E-2</v>
      </c>
      <c r="AK142" s="137">
        <f>Summary_LCIA!AB$32</f>
        <v>-2.1823000000000001E-5</v>
      </c>
      <c r="AL142" s="137">
        <f>Summary_LCIA!AC$32</f>
        <v>4.8884000000000003E-8</v>
      </c>
      <c r="AM142" s="137">
        <f>Summary_LCIA!AD$32</f>
        <v>4.1103999999999999E-4</v>
      </c>
      <c r="AN142" s="137">
        <f>Summary_LCIA!AE$32</f>
        <v>8.8612999999999995E-4</v>
      </c>
      <c r="AO142" s="137">
        <f>Summary_LCIA!AF$32</f>
        <v>8.4542000000000005E-4</v>
      </c>
      <c r="AP142" s="137">
        <f>Summary_LCIA!AG$32</f>
        <v>5.1165000000000002E-5</v>
      </c>
      <c r="AQ142" s="137">
        <f>Summary_LCIA!AH$32</f>
        <v>8.7036000000000006E-3</v>
      </c>
      <c r="AR142" s="137">
        <f>Summary_LCIA!AI$32</f>
        <v>9.3154999999999996E-4</v>
      </c>
      <c r="AT142" s="137">
        <f t="shared" si="44"/>
        <v>117.02847919999999</v>
      </c>
      <c r="AU142" s="137">
        <f t="shared" si="45"/>
        <v>1706.883593326932</v>
      </c>
      <c r="AV142" s="137">
        <f t="shared" si="46"/>
        <v>1.8134937023999997</v>
      </c>
      <c r="AW142" s="137">
        <f t="shared" si="47"/>
        <v>115.50621352</v>
      </c>
      <c r="AX142" s="137">
        <f t="shared" si="48"/>
        <v>37.849999599999997</v>
      </c>
      <c r="AY142" s="137">
        <f t="shared" si="49"/>
        <v>6.1696532560000001</v>
      </c>
      <c r="AZ142" s="137">
        <f t="shared" si="50"/>
        <v>1.6449079443999998E-2</v>
      </c>
      <c r="BA142" s="137">
        <f t="shared" si="51"/>
        <v>26.509120283999998</v>
      </c>
      <c r="BB142" s="137">
        <f t="shared" si="52"/>
        <v>7.8455231200000002</v>
      </c>
      <c r="BC142" s="137">
        <f t="shared" si="53"/>
        <v>5.3665031279999997</v>
      </c>
      <c r="BD142" s="137">
        <f t="shared" si="54"/>
        <v>1.4123663635999999E-2</v>
      </c>
      <c r="BE142" s="137">
        <f t="shared" si="55"/>
        <v>8.0438998239999986</v>
      </c>
      <c r="BF142" s="137">
        <f t="shared" si="56"/>
        <v>-7.5159284920000005E-3</v>
      </c>
      <c r="BG142" s="137">
        <f t="shared" si="57"/>
        <v>1.6835845136000002E-5</v>
      </c>
      <c r="BH142" s="137">
        <f t="shared" si="58"/>
        <v>0.14156382015999999</v>
      </c>
      <c r="BI142" s="137">
        <f t="shared" si="59"/>
        <v>0.30518671651999996</v>
      </c>
      <c r="BJ142" s="137">
        <f t="shared" si="60"/>
        <v>0.29116602967999999</v>
      </c>
      <c r="BK142" s="137">
        <f t="shared" si="61"/>
        <v>1.762143066E-2</v>
      </c>
      <c r="BL142" s="137">
        <f t="shared" si="62"/>
        <v>2.9975546544</v>
      </c>
      <c r="BM142" s="137">
        <f t="shared" si="63"/>
        <v>0.32082954619999998</v>
      </c>
    </row>
    <row r="143" spans="1:65" x14ac:dyDescent="0.25">
      <c r="A143" s="149">
        <v>119</v>
      </c>
      <c r="B143" s="149">
        <v>43</v>
      </c>
      <c r="C143" s="61">
        <v>38.883254999999998</v>
      </c>
      <c r="D143" s="61">
        <v>-77.025096000000005</v>
      </c>
      <c r="E143" s="61" t="s">
        <v>265</v>
      </c>
      <c r="F143" s="149">
        <v>86</v>
      </c>
      <c r="G143" s="61" t="s">
        <v>630</v>
      </c>
      <c r="H143" s="61" t="s">
        <v>644</v>
      </c>
      <c r="I143" s="61">
        <v>38.851241999999999</v>
      </c>
      <c r="J143" s="61">
        <v>-77.040232000000003</v>
      </c>
      <c r="K143" s="61">
        <v>5.3130254810000004</v>
      </c>
      <c r="L143" s="61">
        <v>7.0659999999999998</v>
      </c>
      <c r="M143" s="61" t="s">
        <v>617</v>
      </c>
      <c r="N143" s="149">
        <v>42</v>
      </c>
      <c r="O143" s="149">
        <v>43</v>
      </c>
      <c r="P143" s="61" t="s">
        <v>565</v>
      </c>
      <c r="Q143" s="61" t="s">
        <v>555</v>
      </c>
      <c r="R143" s="61">
        <v>40.6895314</v>
      </c>
      <c r="S143" s="61">
        <v>-74.174462399999996</v>
      </c>
      <c r="T143" s="61">
        <v>347.41399999999999</v>
      </c>
      <c r="U143" s="61" t="s">
        <v>617</v>
      </c>
      <c r="V143" s="61" t="s">
        <v>617</v>
      </c>
      <c r="W143" s="61"/>
      <c r="Y143" s="137">
        <f>Summary_LCIA!H$32</f>
        <v>0.33979999999999999</v>
      </c>
      <c r="Z143" s="137">
        <f>Summary_LCIA!Q$32</f>
        <v>4.9560504329999997</v>
      </c>
      <c r="AA143" s="137">
        <f>Summary_LCIA!R$32</f>
        <v>5.2655999999999996E-3</v>
      </c>
      <c r="AB143" s="137">
        <f>Summary_LCIA!S$32</f>
        <v>0.33538000000000001</v>
      </c>
      <c r="AC143" s="137">
        <f>Summary_LCIA!T$32</f>
        <v>0.1099</v>
      </c>
      <c r="AD143" s="137">
        <f>Summary_LCIA!U$32</f>
        <v>1.7913999999999999E-2</v>
      </c>
      <c r="AE143" s="137">
        <f>Summary_LCIA!V$32</f>
        <v>4.7760999999999999E-5</v>
      </c>
      <c r="AF143" s="137">
        <f>Summary_LCIA!W$32</f>
        <v>7.6970999999999998E-2</v>
      </c>
      <c r="AG143" s="137">
        <f>Summary_LCIA!X$32</f>
        <v>2.2780000000000002E-2</v>
      </c>
      <c r="AH143" s="137">
        <f>Summary_LCIA!Y$32</f>
        <v>1.5582E-2</v>
      </c>
      <c r="AI143" s="137">
        <f>Summary_LCIA!Z$32</f>
        <v>4.1009E-5</v>
      </c>
      <c r="AJ143" s="137">
        <f>Summary_LCIA!AA$32</f>
        <v>2.3355999999999998E-2</v>
      </c>
      <c r="AK143" s="137">
        <f>Summary_LCIA!AB$32</f>
        <v>-2.1823000000000001E-5</v>
      </c>
      <c r="AL143" s="137">
        <f>Summary_LCIA!AC$32</f>
        <v>4.8884000000000003E-8</v>
      </c>
      <c r="AM143" s="137">
        <f>Summary_LCIA!AD$32</f>
        <v>4.1103999999999999E-4</v>
      </c>
      <c r="AN143" s="137">
        <f>Summary_LCIA!AE$32</f>
        <v>8.8612999999999995E-4</v>
      </c>
      <c r="AO143" s="137">
        <f>Summary_LCIA!AF$32</f>
        <v>8.4542000000000005E-4</v>
      </c>
      <c r="AP143" s="137">
        <f>Summary_LCIA!AG$32</f>
        <v>5.1165000000000002E-5</v>
      </c>
      <c r="AQ143" s="137">
        <f>Summary_LCIA!AH$32</f>
        <v>8.7036000000000006E-3</v>
      </c>
      <c r="AR143" s="137">
        <f>Summary_LCIA!AI$32</f>
        <v>9.3154999999999996E-4</v>
      </c>
      <c r="AT143" s="137">
        <f t="shared" si="44"/>
        <v>118.05127719999999</v>
      </c>
      <c r="AU143" s="137">
        <f t="shared" si="45"/>
        <v>1721.8013051302619</v>
      </c>
      <c r="AV143" s="137">
        <f t="shared" si="46"/>
        <v>1.8293431583999997</v>
      </c>
      <c r="AW143" s="137">
        <f t="shared" si="47"/>
        <v>116.51570732</v>
      </c>
      <c r="AX143" s="137">
        <f t="shared" si="48"/>
        <v>38.180798599999996</v>
      </c>
      <c r="AY143" s="137">
        <f t="shared" si="49"/>
        <v>6.2235743959999992</v>
      </c>
      <c r="AZ143" s="137">
        <f t="shared" si="50"/>
        <v>1.6592840054E-2</v>
      </c>
      <c r="BA143" s="137">
        <f t="shared" si="51"/>
        <v>26.740802993999999</v>
      </c>
      <c r="BB143" s="137">
        <f t="shared" si="52"/>
        <v>7.9140909200000005</v>
      </c>
      <c r="BC143" s="137">
        <f t="shared" si="53"/>
        <v>5.4134049480000002</v>
      </c>
      <c r="BD143" s="137">
        <f t="shared" si="54"/>
        <v>1.4247100726E-2</v>
      </c>
      <c r="BE143" s="137">
        <f t="shared" si="55"/>
        <v>8.1142013839999994</v>
      </c>
      <c r="BF143" s="137">
        <f t="shared" si="56"/>
        <v>-7.5816157220000005E-3</v>
      </c>
      <c r="BG143" s="137">
        <f t="shared" si="57"/>
        <v>1.6982985976000001E-5</v>
      </c>
      <c r="BH143" s="137">
        <f t="shared" si="58"/>
        <v>0.14280105056</v>
      </c>
      <c r="BI143" s="137">
        <f t="shared" si="59"/>
        <v>0.30785396781999996</v>
      </c>
      <c r="BJ143" s="137">
        <f t="shared" si="60"/>
        <v>0.29371074388000001</v>
      </c>
      <c r="BK143" s="137">
        <f t="shared" si="61"/>
        <v>1.7775437309999999E-2</v>
      </c>
      <c r="BL143" s="137">
        <f t="shared" si="62"/>
        <v>3.0237524904000002</v>
      </c>
      <c r="BM143" s="137">
        <f t="shared" si="63"/>
        <v>0.32363351169999999</v>
      </c>
    </row>
    <row r="144" spans="1:65" x14ac:dyDescent="0.25">
      <c r="A144" s="149">
        <v>120</v>
      </c>
      <c r="B144" s="149">
        <v>43</v>
      </c>
      <c r="C144" s="61">
        <v>38.883254999999998</v>
      </c>
      <c r="D144" s="61">
        <v>-77.025096000000005</v>
      </c>
      <c r="E144" s="61" t="s">
        <v>265</v>
      </c>
      <c r="F144" s="149">
        <v>86</v>
      </c>
      <c r="G144" s="61" t="s">
        <v>630</v>
      </c>
      <c r="H144" s="61" t="s">
        <v>644</v>
      </c>
      <c r="I144" s="61">
        <v>38.851241999999999</v>
      </c>
      <c r="J144" s="61">
        <v>-77.040232000000003</v>
      </c>
      <c r="K144" s="61">
        <v>5.3130254810000004</v>
      </c>
      <c r="L144" s="61">
        <v>7.0659999999999998</v>
      </c>
      <c r="M144" s="61" t="s">
        <v>617</v>
      </c>
      <c r="N144" s="149">
        <v>42</v>
      </c>
      <c r="O144" s="149">
        <v>43</v>
      </c>
      <c r="P144" s="61" t="s">
        <v>565</v>
      </c>
      <c r="Q144" s="61" t="s">
        <v>555</v>
      </c>
      <c r="R144" s="61">
        <v>40.6895314</v>
      </c>
      <c r="S144" s="61">
        <v>-74.174462399999996</v>
      </c>
      <c r="T144" s="61">
        <v>347.41399999999999</v>
      </c>
      <c r="U144" s="61" t="s">
        <v>617</v>
      </c>
      <c r="V144" s="61" t="s">
        <v>617</v>
      </c>
      <c r="W144" s="61"/>
      <c r="Y144" s="137">
        <f>Summary_LCIA!H$32</f>
        <v>0.33979999999999999</v>
      </c>
      <c r="Z144" s="137">
        <f>Summary_LCIA!Q$32</f>
        <v>4.9560504329999997</v>
      </c>
      <c r="AA144" s="137">
        <f>Summary_LCIA!R$32</f>
        <v>5.2655999999999996E-3</v>
      </c>
      <c r="AB144" s="137">
        <f>Summary_LCIA!S$32</f>
        <v>0.33538000000000001</v>
      </c>
      <c r="AC144" s="137">
        <f>Summary_LCIA!T$32</f>
        <v>0.1099</v>
      </c>
      <c r="AD144" s="137">
        <f>Summary_LCIA!U$32</f>
        <v>1.7913999999999999E-2</v>
      </c>
      <c r="AE144" s="137">
        <f>Summary_LCIA!V$32</f>
        <v>4.7760999999999999E-5</v>
      </c>
      <c r="AF144" s="137">
        <f>Summary_LCIA!W$32</f>
        <v>7.6970999999999998E-2</v>
      </c>
      <c r="AG144" s="137">
        <f>Summary_LCIA!X$32</f>
        <v>2.2780000000000002E-2</v>
      </c>
      <c r="AH144" s="137">
        <f>Summary_LCIA!Y$32</f>
        <v>1.5582E-2</v>
      </c>
      <c r="AI144" s="137">
        <f>Summary_LCIA!Z$32</f>
        <v>4.1009E-5</v>
      </c>
      <c r="AJ144" s="137">
        <f>Summary_LCIA!AA$32</f>
        <v>2.3355999999999998E-2</v>
      </c>
      <c r="AK144" s="137">
        <f>Summary_LCIA!AB$32</f>
        <v>-2.1823000000000001E-5</v>
      </c>
      <c r="AL144" s="137">
        <f>Summary_LCIA!AC$32</f>
        <v>4.8884000000000003E-8</v>
      </c>
      <c r="AM144" s="137">
        <f>Summary_LCIA!AD$32</f>
        <v>4.1103999999999999E-4</v>
      </c>
      <c r="AN144" s="137">
        <f>Summary_LCIA!AE$32</f>
        <v>8.8612999999999995E-4</v>
      </c>
      <c r="AO144" s="137">
        <f>Summary_LCIA!AF$32</f>
        <v>8.4542000000000005E-4</v>
      </c>
      <c r="AP144" s="137">
        <f>Summary_LCIA!AG$32</f>
        <v>5.1165000000000002E-5</v>
      </c>
      <c r="AQ144" s="137">
        <f>Summary_LCIA!AH$32</f>
        <v>8.7036000000000006E-3</v>
      </c>
      <c r="AR144" s="137">
        <f>Summary_LCIA!AI$32</f>
        <v>9.3154999999999996E-4</v>
      </c>
      <c r="AT144" s="137">
        <f t="shared" si="44"/>
        <v>118.05127719999999</v>
      </c>
      <c r="AU144" s="137">
        <f t="shared" si="45"/>
        <v>1721.8013051302619</v>
      </c>
      <c r="AV144" s="137">
        <f t="shared" si="46"/>
        <v>1.8293431583999997</v>
      </c>
      <c r="AW144" s="137">
        <f t="shared" si="47"/>
        <v>116.51570732</v>
      </c>
      <c r="AX144" s="137">
        <f t="shared" si="48"/>
        <v>38.180798599999996</v>
      </c>
      <c r="AY144" s="137">
        <f t="shared" si="49"/>
        <v>6.2235743959999992</v>
      </c>
      <c r="AZ144" s="137">
        <f t="shared" si="50"/>
        <v>1.6592840054E-2</v>
      </c>
      <c r="BA144" s="137">
        <f t="shared" si="51"/>
        <v>26.740802993999999</v>
      </c>
      <c r="BB144" s="137">
        <f t="shared" si="52"/>
        <v>7.9140909200000005</v>
      </c>
      <c r="BC144" s="137">
        <f t="shared" si="53"/>
        <v>5.4134049480000002</v>
      </c>
      <c r="BD144" s="137">
        <f t="shared" si="54"/>
        <v>1.4247100726E-2</v>
      </c>
      <c r="BE144" s="137">
        <f t="shared" si="55"/>
        <v>8.1142013839999994</v>
      </c>
      <c r="BF144" s="137">
        <f t="shared" si="56"/>
        <v>-7.5816157220000005E-3</v>
      </c>
      <c r="BG144" s="137">
        <f t="shared" si="57"/>
        <v>1.6982985976000001E-5</v>
      </c>
      <c r="BH144" s="137">
        <f t="shared" si="58"/>
        <v>0.14280105056</v>
      </c>
      <c r="BI144" s="137">
        <f t="shared" si="59"/>
        <v>0.30785396781999996</v>
      </c>
      <c r="BJ144" s="137">
        <f t="shared" si="60"/>
        <v>0.29371074388000001</v>
      </c>
      <c r="BK144" s="137">
        <f t="shared" si="61"/>
        <v>1.7775437309999999E-2</v>
      </c>
      <c r="BL144" s="137">
        <f t="shared" si="62"/>
        <v>3.0237524904000002</v>
      </c>
      <c r="BM144" s="137">
        <f t="shared" si="63"/>
        <v>0.32363351169999999</v>
      </c>
    </row>
    <row r="145" spans="1:65" x14ac:dyDescent="0.25">
      <c r="A145" s="149">
        <v>51</v>
      </c>
      <c r="B145" s="149">
        <v>43</v>
      </c>
      <c r="C145" s="61">
        <v>38.892378999999998</v>
      </c>
      <c r="D145" s="61">
        <v>-77.048395999999997</v>
      </c>
      <c r="E145" s="61" t="s">
        <v>265</v>
      </c>
      <c r="F145" s="149">
        <v>86</v>
      </c>
      <c r="G145" s="61" t="s">
        <v>630</v>
      </c>
      <c r="H145" s="61" t="s">
        <v>644</v>
      </c>
      <c r="I145" s="61">
        <v>38.851241999999999</v>
      </c>
      <c r="J145" s="61">
        <v>-77.040232000000003</v>
      </c>
      <c r="K145" s="61">
        <v>6.4145804120000003</v>
      </c>
      <c r="L145" s="61">
        <v>7.7</v>
      </c>
      <c r="M145" s="61" t="s">
        <v>617</v>
      </c>
      <c r="N145" s="149">
        <v>42</v>
      </c>
      <c r="O145" s="149">
        <v>43</v>
      </c>
      <c r="P145" s="61" t="s">
        <v>565</v>
      </c>
      <c r="Q145" s="61" t="s">
        <v>555</v>
      </c>
      <c r="R145" s="61">
        <v>40.6895314</v>
      </c>
      <c r="S145" s="61">
        <v>-74.174462399999996</v>
      </c>
      <c r="T145" s="61">
        <v>349.28899999999999</v>
      </c>
      <c r="U145" s="61" t="s">
        <v>617</v>
      </c>
      <c r="V145" s="61" t="s">
        <v>617</v>
      </c>
      <c r="W145" s="61"/>
      <c r="Y145" s="137">
        <f>Summary_LCIA!H$32</f>
        <v>0.33979999999999999</v>
      </c>
      <c r="Z145" s="137">
        <f>Summary_LCIA!Q$32</f>
        <v>4.9560504329999997</v>
      </c>
      <c r="AA145" s="137">
        <f>Summary_LCIA!R$32</f>
        <v>5.2655999999999996E-3</v>
      </c>
      <c r="AB145" s="137">
        <f>Summary_LCIA!S$32</f>
        <v>0.33538000000000001</v>
      </c>
      <c r="AC145" s="137">
        <f>Summary_LCIA!T$32</f>
        <v>0.1099</v>
      </c>
      <c r="AD145" s="137">
        <f>Summary_LCIA!U$32</f>
        <v>1.7913999999999999E-2</v>
      </c>
      <c r="AE145" s="137">
        <f>Summary_LCIA!V$32</f>
        <v>4.7760999999999999E-5</v>
      </c>
      <c r="AF145" s="137">
        <f>Summary_LCIA!W$32</f>
        <v>7.6970999999999998E-2</v>
      </c>
      <c r="AG145" s="137">
        <f>Summary_LCIA!X$32</f>
        <v>2.2780000000000002E-2</v>
      </c>
      <c r="AH145" s="137">
        <f>Summary_LCIA!Y$32</f>
        <v>1.5582E-2</v>
      </c>
      <c r="AI145" s="137">
        <f>Summary_LCIA!Z$32</f>
        <v>4.1009E-5</v>
      </c>
      <c r="AJ145" s="137">
        <f>Summary_LCIA!AA$32</f>
        <v>2.3355999999999998E-2</v>
      </c>
      <c r="AK145" s="137">
        <f>Summary_LCIA!AB$32</f>
        <v>-2.1823000000000001E-5</v>
      </c>
      <c r="AL145" s="137">
        <f>Summary_LCIA!AC$32</f>
        <v>4.8884000000000003E-8</v>
      </c>
      <c r="AM145" s="137">
        <f>Summary_LCIA!AD$32</f>
        <v>4.1103999999999999E-4</v>
      </c>
      <c r="AN145" s="137">
        <f>Summary_LCIA!AE$32</f>
        <v>8.8612999999999995E-4</v>
      </c>
      <c r="AO145" s="137">
        <f>Summary_LCIA!AF$32</f>
        <v>8.4542000000000005E-4</v>
      </c>
      <c r="AP145" s="137">
        <f>Summary_LCIA!AG$32</f>
        <v>5.1165000000000002E-5</v>
      </c>
      <c r="AQ145" s="137">
        <f>Summary_LCIA!AH$32</f>
        <v>8.7036000000000006E-3</v>
      </c>
      <c r="AR145" s="137">
        <f>Summary_LCIA!AI$32</f>
        <v>9.3154999999999996E-4</v>
      </c>
      <c r="AT145" s="137">
        <f t="shared" si="44"/>
        <v>118.6884022</v>
      </c>
      <c r="AU145" s="137">
        <f t="shared" si="45"/>
        <v>1731.0938996921368</v>
      </c>
      <c r="AV145" s="137">
        <f t="shared" si="46"/>
        <v>1.8392161583999997</v>
      </c>
      <c r="AW145" s="137">
        <f t="shared" si="47"/>
        <v>117.14454481999999</v>
      </c>
      <c r="AX145" s="137">
        <f t="shared" si="48"/>
        <v>38.386861099999997</v>
      </c>
      <c r="AY145" s="137">
        <f t="shared" si="49"/>
        <v>6.2571631459999999</v>
      </c>
      <c r="AZ145" s="137">
        <f t="shared" si="50"/>
        <v>1.6682391929E-2</v>
      </c>
      <c r="BA145" s="137">
        <f t="shared" si="51"/>
        <v>26.885123618999998</v>
      </c>
      <c r="BB145" s="137">
        <f t="shared" si="52"/>
        <v>7.95680342</v>
      </c>
      <c r="BC145" s="137">
        <f t="shared" si="53"/>
        <v>5.4426211980000003</v>
      </c>
      <c r="BD145" s="137">
        <f t="shared" si="54"/>
        <v>1.4323992600999999E-2</v>
      </c>
      <c r="BE145" s="137">
        <f t="shared" si="55"/>
        <v>8.1579938839999997</v>
      </c>
      <c r="BF145" s="137">
        <f t="shared" si="56"/>
        <v>-7.6225338470000004E-3</v>
      </c>
      <c r="BG145" s="137">
        <f t="shared" si="57"/>
        <v>1.7074643475999999E-5</v>
      </c>
      <c r="BH145" s="137">
        <f t="shared" si="58"/>
        <v>0.14357175055999999</v>
      </c>
      <c r="BI145" s="137">
        <f t="shared" si="59"/>
        <v>0.30951546156999998</v>
      </c>
      <c r="BJ145" s="137">
        <f t="shared" si="60"/>
        <v>0.29529590638000003</v>
      </c>
      <c r="BK145" s="137">
        <f t="shared" si="61"/>
        <v>1.7871371685000002E-2</v>
      </c>
      <c r="BL145" s="137">
        <f t="shared" si="62"/>
        <v>3.0400717404000002</v>
      </c>
      <c r="BM145" s="137">
        <f t="shared" si="63"/>
        <v>0.32538016794999997</v>
      </c>
    </row>
    <row r="146" spans="1:65" x14ac:dyDescent="0.25">
      <c r="A146" s="149">
        <v>55</v>
      </c>
      <c r="B146" s="149">
        <v>43</v>
      </c>
      <c r="C146" s="61">
        <v>38.892918999999999</v>
      </c>
      <c r="D146" s="61">
        <v>-77.050562999999997</v>
      </c>
      <c r="E146" s="61" t="s">
        <v>265</v>
      </c>
      <c r="F146" s="149">
        <v>86</v>
      </c>
      <c r="G146" s="61" t="s">
        <v>630</v>
      </c>
      <c r="H146" s="61" t="s">
        <v>644</v>
      </c>
      <c r="I146" s="61">
        <v>38.851241999999999</v>
      </c>
      <c r="J146" s="61">
        <v>-77.040232000000003</v>
      </c>
      <c r="K146" s="61">
        <v>6.5036477030000004</v>
      </c>
      <c r="L146" s="61">
        <v>7.6310000000000002</v>
      </c>
      <c r="M146" s="61" t="s">
        <v>617</v>
      </c>
      <c r="N146" s="149">
        <v>42</v>
      </c>
      <c r="O146" s="149">
        <v>43</v>
      </c>
      <c r="P146" s="61" t="s">
        <v>565</v>
      </c>
      <c r="Q146" s="61" t="s">
        <v>555</v>
      </c>
      <c r="R146" s="61">
        <v>40.6895314</v>
      </c>
      <c r="S146" s="61">
        <v>-74.174462399999996</v>
      </c>
      <c r="T146" s="61">
        <v>349.54</v>
      </c>
      <c r="U146" s="61" t="s">
        <v>617</v>
      </c>
      <c r="V146" s="61" t="s">
        <v>617</v>
      </c>
      <c r="W146" s="61"/>
      <c r="Y146" s="137">
        <f>Summary_LCIA!H$32</f>
        <v>0.33979999999999999</v>
      </c>
      <c r="Z146" s="137">
        <f>Summary_LCIA!Q$32</f>
        <v>4.9560504329999997</v>
      </c>
      <c r="AA146" s="137">
        <f>Summary_LCIA!R$32</f>
        <v>5.2655999999999996E-3</v>
      </c>
      <c r="AB146" s="137">
        <f>Summary_LCIA!S$32</f>
        <v>0.33538000000000001</v>
      </c>
      <c r="AC146" s="137">
        <f>Summary_LCIA!T$32</f>
        <v>0.1099</v>
      </c>
      <c r="AD146" s="137">
        <f>Summary_LCIA!U$32</f>
        <v>1.7913999999999999E-2</v>
      </c>
      <c r="AE146" s="137">
        <f>Summary_LCIA!V$32</f>
        <v>4.7760999999999999E-5</v>
      </c>
      <c r="AF146" s="137">
        <f>Summary_LCIA!W$32</f>
        <v>7.6970999999999998E-2</v>
      </c>
      <c r="AG146" s="137">
        <f>Summary_LCIA!X$32</f>
        <v>2.2780000000000002E-2</v>
      </c>
      <c r="AH146" s="137">
        <f>Summary_LCIA!Y$32</f>
        <v>1.5582E-2</v>
      </c>
      <c r="AI146" s="137">
        <f>Summary_LCIA!Z$32</f>
        <v>4.1009E-5</v>
      </c>
      <c r="AJ146" s="137">
        <f>Summary_LCIA!AA$32</f>
        <v>2.3355999999999998E-2</v>
      </c>
      <c r="AK146" s="137">
        <f>Summary_LCIA!AB$32</f>
        <v>-2.1823000000000001E-5</v>
      </c>
      <c r="AL146" s="137">
        <f>Summary_LCIA!AC$32</f>
        <v>4.8884000000000003E-8</v>
      </c>
      <c r="AM146" s="137">
        <f>Summary_LCIA!AD$32</f>
        <v>4.1103999999999999E-4</v>
      </c>
      <c r="AN146" s="137">
        <f>Summary_LCIA!AE$32</f>
        <v>8.8612999999999995E-4</v>
      </c>
      <c r="AO146" s="137">
        <f>Summary_LCIA!AF$32</f>
        <v>8.4542000000000005E-4</v>
      </c>
      <c r="AP146" s="137">
        <f>Summary_LCIA!AG$32</f>
        <v>5.1165000000000002E-5</v>
      </c>
      <c r="AQ146" s="137">
        <f>Summary_LCIA!AH$32</f>
        <v>8.7036000000000006E-3</v>
      </c>
      <c r="AR146" s="137">
        <f>Summary_LCIA!AI$32</f>
        <v>9.3154999999999996E-4</v>
      </c>
      <c r="AT146" s="137">
        <f t="shared" si="44"/>
        <v>118.773692</v>
      </c>
      <c r="AU146" s="137">
        <f t="shared" si="45"/>
        <v>1732.3378683508199</v>
      </c>
      <c r="AV146" s="137">
        <f t="shared" si="46"/>
        <v>1.8405378239999999</v>
      </c>
      <c r="AW146" s="137">
        <f t="shared" si="47"/>
        <v>117.22872520000001</v>
      </c>
      <c r="AX146" s="137">
        <f t="shared" si="48"/>
        <v>38.414445999999998</v>
      </c>
      <c r="AY146" s="137">
        <f t="shared" si="49"/>
        <v>6.26165956</v>
      </c>
      <c r="AZ146" s="137">
        <f t="shared" si="50"/>
        <v>1.669437994E-2</v>
      </c>
      <c r="BA146" s="137">
        <f t="shared" si="51"/>
        <v>26.90444334</v>
      </c>
      <c r="BB146" s="137">
        <f t="shared" si="52"/>
        <v>7.9625212000000012</v>
      </c>
      <c r="BC146" s="137">
        <f t="shared" si="53"/>
        <v>5.4465322800000004</v>
      </c>
      <c r="BD146" s="137">
        <f t="shared" si="54"/>
        <v>1.433428586E-2</v>
      </c>
      <c r="BE146" s="137">
        <f t="shared" si="55"/>
        <v>8.1638562399999994</v>
      </c>
      <c r="BF146" s="137">
        <f t="shared" si="56"/>
        <v>-7.6280114200000006E-3</v>
      </c>
      <c r="BG146" s="137">
        <f t="shared" si="57"/>
        <v>1.7086913360000003E-5</v>
      </c>
      <c r="BH146" s="137">
        <f t="shared" si="58"/>
        <v>0.14367492160000001</v>
      </c>
      <c r="BI146" s="137">
        <f t="shared" si="59"/>
        <v>0.30973788019999998</v>
      </c>
      <c r="BJ146" s="137">
        <f t="shared" si="60"/>
        <v>0.29550810680000006</v>
      </c>
      <c r="BK146" s="137">
        <f t="shared" si="61"/>
        <v>1.78842141E-2</v>
      </c>
      <c r="BL146" s="137">
        <f t="shared" si="62"/>
        <v>3.0422563440000006</v>
      </c>
      <c r="BM146" s="137">
        <f t="shared" si="63"/>
        <v>0.32561398699999999</v>
      </c>
    </row>
    <row r="147" spans="1:65" x14ac:dyDescent="0.25">
      <c r="A147" s="149">
        <v>56</v>
      </c>
      <c r="B147" s="149">
        <v>43</v>
      </c>
      <c r="C147" s="61">
        <v>38.892918999999999</v>
      </c>
      <c r="D147" s="61">
        <v>-77.050562999999997</v>
      </c>
      <c r="E147" s="61" t="s">
        <v>265</v>
      </c>
      <c r="F147" s="149">
        <v>86</v>
      </c>
      <c r="G147" s="61" t="s">
        <v>630</v>
      </c>
      <c r="H147" s="61" t="s">
        <v>644</v>
      </c>
      <c r="I147" s="61">
        <v>38.851241999999999</v>
      </c>
      <c r="J147" s="61">
        <v>-77.040232000000003</v>
      </c>
      <c r="K147" s="61">
        <v>6.5036477030000004</v>
      </c>
      <c r="L147" s="61">
        <v>7.6310000000000002</v>
      </c>
      <c r="M147" s="61" t="s">
        <v>617</v>
      </c>
      <c r="N147" s="149">
        <v>42</v>
      </c>
      <c r="O147" s="149">
        <v>43</v>
      </c>
      <c r="P147" s="61" t="s">
        <v>565</v>
      </c>
      <c r="Q147" s="61" t="s">
        <v>555</v>
      </c>
      <c r="R147" s="61">
        <v>40.6895314</v>
      </c>
      <c r="S147" s="61">
        <v>-74.174462399999996</v>
      </c>
      <c r="T147" s="61">
        <v>349.54</v>
      </c>
      <c r="U147" s="61" t="s">
        <v>617</v>
      </c>
      <c r="V147" s="61" t="s">
        <v>617</v>
      </c>
      <c r="W147" s="61"/>
      <c r="Y147" s="137">
        <f>Summary_LCIA!H$32</f>
        <v>0.33979999999999999</v>
      </c>
      <c r="Z147" s="137">
        <f>Summary_LCIA!Q$32</f>
        <v>4.9560504329999997</v>
      </c>
      <c r="AA147" s="137">
        <f>Summary_LCIA!R$32</f>
        <v>5.2655999999999996E-3</v>
      </c>
      <c r="AB147" s="137">
        <f>Summary_LCIA!S$32</f>
        <v>0.33538000000000001</v>
      </c>
      <c r="AC147" s="137">
        <f>Summary_LCIA!T$32</f>
        <v>0.1099</v>
      </c>
      <c r="AD147" s="137">
        <f>Summary_LCIA!U$32</f>
        <v>1.7913999999999999E-2</v>
      </c>
      <c r="AE147" s="137">
        <f>Summary_LCIA!V$32</f>
        <v>4.7760999999999999E-5</v>
      </c>
      <c r="AF147" s="137">
        <f>Summary_LCIA!W$32</f>
        <v>7.6970999999999998E-2</v>
      </c>
      <c r="AG147" s="137">
        <f>Summary_LCIA!X$32</f>
        <v>2.2780000000000002E-2</v>
      </c>
      <c r="AH147" s="137">
        <f>Summary_LCIA!Y$32</f>
        <v>1.5582E-2</v>
      </c>
      <c r="AI147" s="137">
        <f>Summary_LCIA!Z$32</f>
        <v>4.1009E-5</v>
      </c>
      <c r="AJ147" s="137">
        <f>Summary_LCIA!AA$32</f>
        <v>2.3355999999999998E-2</v>
      </c>
      <c r="AK147" s="137">
        <f>Summary_LCIA!AB$32</f>
        <v>-2.1823000000000001E-5</v>
      </c>
      <c r="AL147" s="137">
        <f>Summary_LCIA!AC$32</f>
        <v>4.8884000000000003E-8</v>
      </c>
      <c r="AM147" s="137">
        <f>Summary_LCIA!AD$32</f>
        <v>4.1103999999999999E-4</v>
      </c>
      <c r="AN147" s="137">
        <f>Summary_LCIA!AE$32</f>
        <v>8.8612999999999995E-4</v>
      </c>
      <c r="AO147" s="137">
        <f>Summary_LCIA!AF$32</f>
        <v>8.4542000000000005E-4</v>
      </c>
      <c r="AP147" s="137">
        <f>Summary_LCIA!AG$32</f>
        <v>5.1165000000000002E-5</v>
      </c>
      <c r="AQ147" s="137">
        <f>Summary_LCIA!AH$32</f>
        <v>8.7036000000000006E-3</v>
      </c>
      <c r="AR147" s="137">
        <f>Summary_LCIA!AI$32</f>
        <v>9.3154999999999996E-4</v>
      </c>
      <c r="AT147" s="137">
        <f t="shared" si="44"/>
        <v>118.773692</v>
      </c>
      <c r="AU147" s="137">
        <f t="shared" si="45"/>
        <v>1732.3378683508199</v>
      </c>
      <c r="AV147" s="137">
        <f t="shared" si="46"/>
        <v>1.8405378239999999</v>
      </c>
      <c r="AW147" s="137">
        <f t="shared" si="47"/>
        <v>117.22872520000001</v>
      </c>
      <c r="AX147" s="137">
        <f t="shared" si="48"/>
        <v>38.414445999999998</v>
      </c>
      <c r="AY147" s="137">
        <f t="shared" si="49"/>
        <v>6.26165956</v>
      </c>
      <c r="AZ147" s="137">
        <f t="shared" si="50"/>
        <v>1.669437994E-2</v>
      </c>
      <c r="BA147" s="137">
        <f t="shared" si="51"/>
        <v>26.90444334</v>
      </c>
      <c r="BB147" s="137">
        <f t="shared" si="52"/>
        <v>7.9625212000000012</v>
      </c>
      <c r="BC147" s="137">
        <f t="shared" si="53"/>
        <v>5.4465322800000004</v>
      </c>
      <c r="BD147" s="137">
        <f t="shared" si="54"/>
        <v>1.433428586E-2</v>
      </c>
      <c r="BE147" s="137">
        <f t="shared" si="55"/>
        <v>8.1638562399999994</v>
      </c>
      <c r="BF147" s="137">
        <f t="shared" si="56"/>
        <v>-7.6280114200000006E-3</v>
      </c>
      <c r="BG147" s="137">
        <f t="shared" si="57"/>
        <v>1.7086913360000003E-5</v>
      </c>
      <c r="BH147" s="137">
        <f t="shared" si="58"/>
        <v>0.14367492160000001</v>
      </c>
      <c r="BI147" s="137">
        <f t="shared" si="59"/>
        <v>0.30973788019999998</v>
      </c>
      <c r="BJ147" s="137">
        <f t="shared" si="60"/>
        <v>0.29550810680000006</v>
      </c>
      <c r="BK147" s="137">
        <f t="shared" si="61"/>
        <v>1.78842141E-2</v>
      </c>
      <c r="BL147" s="137">
        <f t="shared" si="62"/>
        <v>3.0422563440000006</v>
      </c>
      <c r="BM147" s="137">
        <f t="shared" si="63"/>
        <v>0.32561398699999999</v>
      </c>
    </row>
    <row r="148" spans="1:65" x14ac:dyDescent="0.25">
      <c r="A148" s="149">
        <v>49</v>
      </c>
      <c r="B148" s="149">
        <v>1</v>
      </c>
      <c r="C148" s="61">
        <v>35.612105</v>
      </c>
      <c r="D148" s="61">
        <v>-82.563284999999993</v>
      </c>
      <c r="E148" s="61" t="s">
        <v>265</v>
      </c>
      <c r="F148" s="149">
        <v>34</v>
      </c>
      <c r="G148" s="61" t="s">
        <v>565</v>
      </c>
      <c r="H148" s="61" t="s">
        <v>633</v>
      </c>
      <c r="I148" s="61">
        <v>35.214402999999997</v>
      </c>
      <c r="J148" s="61">
        <v>-80.947315000000003</v>
      </c>
      <c r="K148" s="61">
        <v>157.0640918</v>
      </c>
      <c r="L148" s="61">
        <v>199.89699999999999</v>
      </c>
      <c r="M148" s="61" t="s">
        <v>617</v>
      </c>
      <c r="N148" s="149">
        <v>0</v>
      </c>
      <c r="O148" s="149">
        <v>1</v>
      </c>
      <c r="P148" s="61" t="s">
        <v>565</v>
      </c>
      <c r="Q148" s="61" t="s">
        <v>558</v>
      </c>
      <c r="R148" s="61">
        <v>33.640728199999998</v>
      </c>
      <c r="S148" s="61">
        <v>-84.427700099999996</v>
      </c>
      <c r="T148" s="61">
        <v>350.03500000000003</v>
      </c>
      <c r="U148" s="61" t="s">
        <v>617</v>
      </c>
      <c r="V148" s="61" t="s">
        <v>617</v>
      </c>
      <c r="W148" s="61"/>
      <c r="Y148" s="137">
        <f>Summary_LCIA!H$32</f>
        <v>0.33979999999999999</v>
      </c>
      <c r="Z148" s="137">
        <f>Summary_LCIA!Q$32</f>
        <v>4.9560504329999997</v>
      </c>
      <c r="AA148" s="137">
        <f>Summary_LCIA!R$32</f>
        <v>5.2655999999999996E-3</v>
      </c>
      <c r="AB148" s="137">
        <f>Summary_LCIA!S$32</f>
        <v>0.33538000000000001</v>
      </c>
      <c r="AC148" s="137">
        <f>Summary_LCIA!T$32</f>
        <v>0.1099</v>
      </c>
      <c r="AD148" s="137">
        <f>Summary_LCIA!U$32</f>
        <v>1.7913999999999999E-2</v>
      </c>
      <c r="AE148" s="137">
        <f>Summary_LCIA!V$32</f>
        <v>4.7760999999999999E-5</v>
      </c>
      <c r="AF148" s="137">
        <f>Summary_LCIA!W$32</f>
        <v>7.6970999999999998E-2</v>
      </c>
      <c r="AG148" s="137">
        <f>Summary_LCIA!X$32</f>
        <v>2.2780000000000002E-2</v>
      </c>
      <c r="AH148" s="137">
        <f>Summary_LCIA!Y$32</f>
        <v>1.5582E-2</v>
      </c>
      <c r="AI148" s="137">
        <f>Summary_LCIA!Z$32</f>
        <v>4.1009E-5</v>
      </c>
      <c r="AJ148" s="137">
        <f>Summary_LCIA!AA$32</f>
        <v>2.3355999999999998E-2</v>
      </c>
      <c r="AK148" s="137">
        <f>Summary_LCIA!AB$32</f>
        <v>-2.1823000000000001E-5</v>
      </c>
      <c r="AL148" s="137">
        <f>Summary_LCIA!AC$32</f>
        <v>4.8884000000000003E-8</v>
      </c>
      <c r="AM148" s="137">
        <f>Summary_LCIA!AD$32</f>
        <v>4.1103999999999999E-4</v>
      </c>
      <c r="AN148" s="137">
        <f>Summary_LCIA!AE$32</f>
        <v>8.8612999999999995E-4</v>
      </c>
      <c r="AO148" s="137">
        <f>Summary_LCIA!AF$32</f>
        <v>8.4542000000000005E-4</v>
      </c>
      <c r="AP148" s="137">
        <f>Summary_LCIA!AG$32</f>
        <v>5.1165000000000002E-5</v>
      </c>
      <c r="AQ148" s="137">
        <f>Summary_LCIA!AH$32</f>
        <v>8.7036000000000006E-3</v>
      </c>
      <c r="AR148" s="137">
        <f>Summary_LCIA!AI$32</f>
        <v>9.3154999999999996E-4</v>
      </c>
      <c r="AT148" s="137">
        <f t="shared" si="44"/>
        <v>118.94189300000001</v>
      </c>
      <c r="AU148" s="137">
        <f t="shared" si="45"/>
        <v>1734.7911133151549</v>
      </c>
      <c r="AV148" s="137">
        <f t="shared" si="46"/>
        <v>1.843144296</v>
      </c>
      <c r="AW148" s="137">
        <f t="shared" si="47"/>
        <v>117.39473830000001</v>
      </c>
      <c r="AX148" s="137">
        <f t="shared" si="48"/>
        <v>38.468846500000005</v>
      </c>
      <c r="AY148" s="137">
        <f t="shared" si="49"/>
        <v>6.2705269900000005</v>
      </c>
      <c r="AZ148" s="137">
        <f t="shared" si="50"/>
        <v>1.6718021635E-2</v>
      </c>
      <c r="BA148" s="137">
        <f t="shared" si="51"/>
        <v>26.942543985</v>
      </c>
      <c r="BB148" s="137">
        <f t="shared" si="52"/>
        <v>7.9737973000000011</v>
      </c>
      <c r="BC148" s="137">
        <f t="shared" si="53"/>
        <v>5.4542453700000006</v>
      </c>
      <c r="BD148" s="137">
        <f t="shared" si="54"/>
        <v>1.4354585315000001E-2</v>
      </c>
      <c r="BE148" s="137">
        <f t="shared" si="55"/>
        <v>8.1754174600000002</v>
      </c>
      <c r="BF148" s="137">
        <f t="shared" si="56"/>
        <v>-7.6388138050000011E-3</v>
      </c>
      <c r="BG148" s="137">
        <f t="shared" si="57"/>
        <v>1.7111110940000001E-5</v>
      </c>
      <c r="BH148" s="137">
        <f t="shared" si="58"/>
        <v>0.1438783864</v>
      </c>
      <c r="BI148" s="137">
        <f t="shared" si="59"/>
        <v>0.31017651455</v>
      </c>
      <c r="BJ148" s="137">
        <f t="shared" si="60"/>
        <v>0.29592658970000002</v>
      </c>
      <c r="BK148" s="137">
        <f t="shared" si="61"/>
        <v>1.7909540775000003E-2</v>
      </c>
      <c r="BL148" s="137">
        <f t="shared" si="62"/>
        <v>3.0465646260000003</v>
      </c>
      <c r="BM148" s="137">
        <f t="shared" si="63"/>
        <v>0.32607510425000003</v>
      </c>
    </row>
    <row r="149" spans="1:65" x14ac:dyDescent="0.25">
      <c r="A149" s="149">
        <v>134</v>
      </c>
      <c r="B149" s="149">
        <v>43</v>
      </c>
      <c r="C149" s="61">
        <v>38.881621000000003</v>
      </c>
      <c r="D149" s="61">
        <v>-77.090980999999999</v>
      </c>
      <c r="E149" s="61" t="s">
        <v>265</v>
      </c>
      <c r="F149" s="149">
        <v>86</v>
      </c>
      <c r="G149" s="61" t="s">
        <v>630</v>
      </c>
      <c r="H149" s="61" t="s">
        <v>644</v>
      </c>
      <c r="I149" s="61">
        <v>38.851241999999999</v>
      </c>
      <c r="J149" s="61">
        <v>-77.040232000000003</v>
      </c>
      <c r="K149" s="61">
        <v>6.1868912390000004</v>
      </c>
      <c r="L149" s="61">
        <v>8.6340000000000003</v>
      </c>
      <c r="M149" s="61" t="s">
        <v>617</v>
      </c>
      <c r="N149" s="149">
        <v>42</v>
      </c>
      <c r="O149" s="149">
        <v>43</v>
      </c>
      <c r="P149" s="61" t="s">
        <v>565</v>
      </c>
      <c r="Q149" s="61" t="s">
        <v>555</v>
      </c>
      <c r="R149" s="61">
        <v>40.6895314</v>
      </c>
      <c r="S149" s="61">
        <v>-74.174462399999996</v>
      </c>
      <c r="T149" s="61">
        <v>353.63499999999999</v>
      </c>
      <c r="U149" s="61" t="s">
        <v>617</v>
      </c>
      <c r="V149" s="61" t="s">
        <v>617</v>
      </c>
      <c r="W149" s="61"/>
      <c r="Y149" s="137">
        <f>Summary_LCIA!H$32</f>
        <v>0.33979999999999999</v>
      </c>
      <c r="Z149" s="137">
        <f>Summary_LCIA!Q$32</f>
        <v>4.9560504329999997</v>
      </c>
      <c r="AA149" s="137">
        <f>Summary_LCIA!R$32</f>
        <v>5.2655999999999996E-3</v>
      </c>
      <c r="AB149" s="137">
        <f>Summary_LCIA!S$32</f>
        <v>0.33538000000000001</v>
      </c>
      <c r="AC149" s="137">
        <f>Summary_LCIA!T$32</f>
        <v>0.1099</v>
      </c>
      <c r="AD149" s="137">
        <f>Summary_LCIA!U$32</f>
        <v>1.7913999999999999E-2</v>
      </c>
      <c r="AE149" s="137">
        <f>Summary_LCIA!V$32</f>
        <v>4.7760999999999999E-5</v>
      </c>
      <c r="AF149" s="137">
        <f>Summary_LCIA!W$32</f>
        <v>7.6970999999999998E-2</v>
      </c>
      <c r="AG149" s="137">
        <f>Summary_LCIA!X$32</f>
        <v>2.2780000000000002E-2</v>
      </c>
      <c r="AH149" s="137">
        <f>Summary_LCIA!Y$32</f>
        <v>1.5582E-2</v>
      </c>
      <c r="AI149" s="137">
        <f>Summary_LCIA!Z$32</f>
        <v>4.1009E-5</v>
      </c>
      <c r="AJ149" s="137">
        <f>Summary_LCIA!AA$32</f>
        <v>2.3355999999999998E-2</v>
      </c>
      <c r="AK149" s="137">
        <f>Summary_LCIA!AB$32</f>
        <v>-2.1823000000000001E-5</v>
      </c>
      <c r="AL149" s="137">
        <f>Summary_LCIA!AC$32</f>
        <v>4.8884000000000003E-8</v>
      </c>
      <c r="AM149" s="137">
        <f>Summary_LCIA!AD$32</f>
        <v>4.1103999999999999E-4</v>
      </c>
      <c r="AN149" s="137">
        <f>Summary_LCIA!AE$32</f>
        <v>8.8612999999999995E-4</v>
      </c>
      <c r="AO149" s="137">
        <f>Summary_LCIA!AF$32</f>
        <v>8.4542000000000005E-4</v>
      </c>
      <c r="AP149" s="137">
        <f>Summary_LCIA!AG$32</f>
        <v>5.1165000000000002E-5</v>
      </c>
      <c r="AQ149" s="137">
        <f>Summary_LCIA!AH$32</f>
        <v>8.7036000000000006E-3</v>
      </c>
      <c r="AR149" s="137">
        <f>Summary_LCIA!AI$32</f>
        <v>9.3154999999999996E-4</v>
      </c>
      <c r="AT149" s="137">
        <f t="shared" si="44"/>
        <v>120.165173</v>
      </c>
      <c r="AU149" s="137">
        <f t="shared" si="45"/>
        <v>1752.6328948739549</v>
      </c>
      <c r="AV149" s="137">
        <f t="shared" si="46"/>
        <v>1.8621004559999998</v>
      </c>
      <c r="AW149" s="137">
        <f t="shared" si="47"/>
        <v>118.6021063</v>
      </c>
      <c r="AX149" s="137">
        <f t="shared" si="48"/>
        <v>38.864486499999998</v>
      </c>
      <c r="AY149" s="137">
        <f t="shared" si="49"/>
        <v>6.33501739</v>
      </c>
      <c r="AZ149" s="137">
        <f t="shared" si="50"/>
        <v>1.6889961235000001E-2</v>
      </c>
      <c r="BA149" s="137">
        <f t="shared" si="51"/>
        <v>27.219639584999999</v>
      </c>
      <c r="BB149" s="137">
        <f t="shared" si="52"/>
        <v>8.0558053000000012</v>
      </c>
      <c r="BC149" s="137">
        <f t="shared" si="53"/>
        <v>5.5103405700000003</v>
      </c>
      <c r="BD149" s="137">
        <f t="shared" si="54"/>
        <v>1.4502217715E-2</v>
      </c>
      <c r="BE149" s="137">
        <f t="shared" si="55"/>
        <v>8.2594990599999996</v>
      </c>
      <c r="BF149" s="137">
        <f t="shared" si="56"/>
        <v>-7.7173766050000004E-3</v>
      </c>
      <c r="BG149" s="137">
        <f t="shared" si="57"/>
        <v>1.7287093340000001E-5</v>
      </c>
      <c r="BH149" s="137">
        <f t="shared" si="58"/>
        <v>0.14535813040000001</v>
      </c>
      <c r="BI149" s="137">
        <f t="shared" si="59"/>
        <v>0.31336658254999999</v>
      </c>
      <c r="BJ149" s="137">
        <f t="shared" si="60"/>
        <v>0.29897010169999999</v>
      </c>
      <c r="BK149" s="137">
        <f t="shared" si="61"/>
        <v>1.8093734775000002E-2</v>
      </c>
      <c r="BL149" s="137">
        <f t="shared" si="62"/>
        <v>3.0778975860000002</v>
      </c>
      <c r="BM149" s="137">
        <f t="shared" si="63"/>
        <v>0.32942868424999999</v>
      </c>
    </row>
    <row r="150" spans="1:65" x14ac:dyDescent="0.25">
      <c r="A150" s="149">
        <v>1</v>
      </c>
      <c r="B150" s="149">
        <v>1</v>
      </c>
      <c r="C150" s="61">
        <v>35.966994</v>
      </c>
      <c r="D150" s="61">
        <v>-84.250535999999997</v>
      </c>
      <c r="E150" s="61" t="s">
        <v>265</v>
      </c>
      <c r="F150" s="149">
        <v>91</v>
      </c>
      <c r="G150" s="61" t="s">
        <v>618</v>
      </c>
      <c r="H150" s="61" t="s">
        <v>619</v>
      </c>
      <c r="I150" s="61">
        <v>36.126317</v>
      </c>
      <c r="J150" s="61">
        <v>-86.677370999999994</v>
      </c>
      <c r="K150" s="61">
        <v>219.57908760000001</v>
      </c>
      <c r="L150" s="61">
        <v>260.76</v>
      </c>
      <c r="M150" s="61" t="s">
        <v>617</v>
      </c>
      <c r="N150" s="149">
        <v>0</v>
      </c>
      <c r="O150" s="149">
        <v>1</v>
      </c>
      <c r="P150" s="61" t="s">
        <v>565</v>
      </c>
      <c r="Q150" s="61" t="s">
        <v>558</v>
      </c>
      <c r="R150" s="61">
        <v>33.640728199999998</v>
      </c>
      <c r="S150" s="61">
        <v>-84.427700099999996</v>
      </c>
      <c r="T150" s="61">
        <v>354.27800000000002</v>
      </c>
      <c r="U150" s="61" t="s">
        <v>617</v>
      </c>
      <c r="V150" s="61" t="s">
        <v>617</v>
      </c>
      <c r="W150" s="61"/>
      <c r="Y150" s="137">
        <f>Summary_LCIA!H$32</f>
        <v>0.33979999999999999</v>
      </c>
      <c r="Z150" s="137">
        <f>Summary_LCIA!Q$32</f>
        <v>4.9560504329999997</v>
      </c>
      <c r="AA150" s="137">
        <f>Summary_LCIA!R$32</f>
        <v>5.2655999999999996E-3</v>
      </c>
      <c r="AB150" s="137">
        <f>Summary_LCIA!S$32</f>
        <v>0.33538000000000001</v>
      </c>
      <c r="AC150" s="137">
        <f>Summary_LCIA!T$32</f>
        <v>0.1099</v>
      </c>
      <c r="AD150" s="137">
        <f>Summary_LCIA!U$32</f>
        <v>1.7913999999999999E-2</v>
      </c>
      <c r="AE150" s="137">
        <f>Summary_LCIA!V$32</f>
        <v>4.7760999999999999E-5</v>
      </c>
      <c r="AF150" s="137">
        <f>Summary_LCIA!W$32</f>
        <v>7.6970999999999998E-2</v>
      </c>
      <c r="AG150" s="137">
        <f>Summary_LCIA!X$32</f>
        <v>2.2780000000000002E-2</v>
      </c>
      <c r="AH150" s="137">
        <f>Summary_LCIA!Y$32</f>
        <v>1.5582E-2</v>
      </c>
      <c r="AI150" s="137">
        <f>Summary_LCIA!Z$32</f>
        <v>4.1009E-5</v>
      </c>
      <c r="AJ150" s="137">
        <f>Summary_LCIA!AA$32</f>
        <v>2.3355999999999998E-2</v>
      </c>
      <c r="AK150" s="137">
        <f>Summary_LCIA!AB$32</f>
        <v>-2.1823000000000001E-5</v>
      </c>
      <c r="AL150" s="137">
        <f>Summary_LCIA!AC$32</f>
        <v>4.8884000000000003E-8</v>
      </c>
      <c r="AM150" s="137">
        <f>Summary_LCIA!AD$32</f>
        <v>4.1103999999999999E-4</v>
      </c>
      <c r="AN150" s="137">
        <f>Summary_LCIA!AE$32</f>
        <v>8.8612999999999995E-4</v>
      </c>
      <c r="AO150" s="137">
        <f>Summary_LCIA!AF$32</f>
        <v>8.4542000000000005E-4</v>
      </c>
      <c r="AP150" s="137">
        <f>Summary_LCIA!AG$32</f>
        <v>5.1165000000000002E-5</v>
      </c>
      <c r="AQ150" s="137">
        <f>Summary_LCIA!AH$32</f>
        <v>8.7036000000000006E-3</v>
      </c>
      <c r="AR150" s="137">
        <f>Summary_LCIA!AI$32</f>
        <v>9.3154999999999996E-4</v>
      </c>
      <c r="AT150" s="137">
        <f t="shared" si="44"/>
        <v>120.3836644</v>
      </c>
      <c r="AU150" s="137">
        <f t="shared" si="45"/>
        <v>1755.8196353023741</v>
      </c>
      <c r="AV150" s="137">
        <f t="shared" si="46"/>
        <v>1.8654862368</v>
      </c>
      <c r="AW150" s="137">
        <f t="shared" si="47"/>
        <v>118.81775564000002</v>
      </c>
      <c r="AX150" s="137">
        <f t="shared" si="48"/>
        <v>38.935152200000005</v>
      </c>
      <c r="AY150" s="137">
        <f t="shared" si="49"/>
        <v>6.346536092</v>
      </c>
      <c r="AZ150" s="137">
        <f t="shared" si="50"/>
        <v>1.6920671558000002E-2</v>
      </c>
      <c r="BA150" s="137">
        <f t="shared" si="51"/>
        <v>27.269131938000001</v>
      </c>
      <c r="BB150" s="137">
        <f t="shared" si="52"/>
        <v>8.0704528400000015</v>
      </c>
      <c r="BC150" s="137">
        <f t="shared" si="53"/>
        <v>5.5203597960000002</v>
      </c>
      <c r="BD150" s="137">
        <f t="shared" si="54"/>
        <v>1.4528586502E-2</v>
      </c>
      <c r="BE150" s="137">
        <f t="shared" si="55"/>
        <v>8.2745169680000004</v>
      </c>
      <c r="BF150" s="137">
        <f t="shared" si="56"/>
        <v>-7.7314087940000007E-3</v>
      </c>
      <c r="BG150" s="137">
        <f t="shared" si="57"/>
        <v>1.7318525752000003E-5</v>
      </c>
      <c r="BH150" s="137">
        <f t="shared" si="58"/>
        <v>0.14562242912000001</v>
      </c>
      <c r="BI150" s="137">
        <f t="shared" si="59"/>
        <v>0.31393636413999998</v>
      </c>
      <c r="BJ150" s="137">
        <f t="shared" si="60"/>
        <v>0.29951370676000005</v>
      </c>
      <c r="BK150" s="137">
        <f t="shared" si="61"/>
        <v>1.8126633870000002E-2</v>
      </c>
      <c r="BL150" s="137">
        <f t="shared" si="62"/>
        <v>3.0834940008000005</v>
      </c>
      <c r="BM150" s="137">
        <f t="shared" si="63"/>
        <v>0.33002767090000001</v>
      </c>
    </row>
    <row r="151" spans="1:65" x14ac:dyDescent="0.25">
      <c r="A151" s="149">
        <v>2</v>
      </c>
      <c r="B151" s="149">
        <v>1</v>
      </c>
      <c r="C151" s="61">
        <v>35.966994</v>
      </c>
      <c r="D151" s="61">
        <v>-84.250535999999997</v>
      </c>
      <c r="E151" s="61" t="s">
        <v>265</v>
      </c>
      <c r="F151" s="149">
        <v>91</v>
      </c>
      <c r="G151" s="61" t="s">
        <v>618</v>
      </c>
      <c r="H151" s="61" t="s">
        <v>619</v>
      </c>
      <c r="I151" s="61">
        <v>36.126317</v>
      </c>
      <c r="J151" s="61">
        <v>-86.677370999999994</v>
      </c>
      <c r="K151" s="61">
        <v>219.57908760000001</v>
      </c>
      <c r="L151" s="61">
        <v>260.76</v>
      </c>
      <c r="M151" s="61" t="s">
        <v>617</v>
      </c>
      <c r="N151" s="149">
        <v>0</v>
      </c>
      <c r="O151" s="149">
        <v>1</v>
      </c>
      <c r="P151" s="61" t="s">
        <v>565</v>
      </c>
      <c r="Q151" s="61" t="s">
        <v>558</v>
      </c>
      <c r="R151" s="61">
        <v>33.640728199999998</v>
      </c>
      <c r="S151" s="61">
        <v>-84.427700099999996</v>
      </c>
      <c r="T151" s="61">
        <v>354.27800000000002</v>
      </c>
      <c r="U151" s="61" t="s">
        <v>617</v>
      </c>
      <c r="V151" s="61" t="s">
        <v>617</v>
      </c>
      <c r="W151" s="61"/>
      <c r="Y151" s="137">
        <f>Summary_LCIA!H$32</f>
        <v>0.33979999999999999</v>
      </c>
      <c r="Z151" s="137">
        <f>Summary_LCIA!Q$32</f>
        <v>4.9560504329999997</v>
      </c>
      <c r="AA151" s="137">
        <f>Summary_LCIA!R$32</f>
        <v>5.2655999999999996E-3</v>
      </c>
      <c r="AB151" s="137">
        <f>Summary_LCIA!S$32</f>
        <v>0.33538000000000001</v>
      </c>
      <c r="AC151" s="137">
        <f>Summary_LCIA!T$32</f>
        <v>0.1099</v>
      </c>
      <c r="AD151" s="137">
        <f>Summary_LCIA!U$32</f>
        <v>1.7913999999999999E-2</v>
      </c>
      <c r="AE151" s="137">
        <f>Summary_LCIA!V$32</f>
        <v>4.7760999999999999E-5</v>
      </c>
      <c r="AF151" s="137">
        <f>Summary_LCIA!W$32</f>
        <v>7.6970999999999998E-2</v>
      </c>
      <c r="AG151" s="137">
        <f>Summary_LCIA!X$32</f>
        <v>2.2780000000000002E-2</v>
      </c>
      <c r="AH151" s="137">
        <f>Summary_LCIA!Y$32</f>
        <v>1.5582E-2</v>
      </c>
      <c r="AI151" s="137">
        <f>Summary_LCIA!Z$32</f>
        <v>4.1009E-5</v>
      </c>
      <c r="AJ151" s="137">
        <f>Summary_LCIA!AA$32</f>
        <v>2.3355999999999998E-2</v>
      </c>
      <c r="AK151" s="137">
        <f>Summary_LCIA!AB$32</f>
        <v>-2.1823000000000001E-5</v>
      </c>
      <c r="AL151" s="137">
        <f>Summary_LCIA!AC$32</f>
        <v>4.8884000000000003E-8</v>
      </c>
      <c r="AM151" s="137">
        <f>Summary_LCIA!AD$32</f>
        <v>4.1103999999999999E-4</v>
      </c>
      <c r="AN151" s="137">
        <f>Summary_LCIA!AE$32</f>
        <v>8.8612999999999995E-4</v>
      </c>
      <c r="AO151" s="137">
        <f>Summary_LCIA!AF$32</f>
        <v>8.4542000000000005E-4</v>
      </c>
      <c r="AP151" s="137">
        <f>Summary_LCIA!AG$32</f>
        <v>5.1165000000000002E-5</v>
      </c>
      <c r="AQ151" s="137">
        <f>Summary_LCIA!AH$32</f>
        <v>8.7036000000000006E-3</v>
      </c>
      <c r="AR151" s="137">
        <f>Summary_LCIA!AI$32</f>
        <v>9.3154999999999996E-4</v>
      </c>
      <c r="AT151" s="137">
        <f t="shared" si="44"/>
        <v>120.3836644</v>
      </c>
      <c r="AU151" s="137">
        <f t="shared" si="45"/>
        <v>1755.8196353023741</v>
      </c>
      <c r="AV151" s="137">
        <f t="shared" si="46"/>
        <v>1.8654862368</v>
      </c>
      <c r="AW151" s="137">
        <f t="shared" si="47"/>
        <v>118.81775564000002</v>
      </c>
      <c r="AX151" s="137">
        <f t="shared" si="48"/>
        <v>38.935152200000005</v>
      </c>
      <c r="AY151" s="137">
        <f t="shared" si="49"/>
        <v>6.346536092</v>
      </c>
      <c r="AZ151" s="137">
        <f t="shared" si="50"/>
        <v>1.6920671558000002E-2</v>
      </c>
      <c r="BA151" s="137">
        <f t="shared" si="51"/>
        <v>27.269131938000001</v>
      </c>
      <c r="BB151" s="137">
        <f t="shared" si="52"/>
        <v>8.0704528400000015</v>
      </c>
      <c r="BC151" s="137">
        <f t="shared" si="53"/>
        <v>5.5203597960000002</v>
      </c>
      <c r="BD151" s="137">
        <f t="shared" si="54"/>
        <v>1.4528586502E-2</v>
      </c>
      <c r="BE151" s="137">
        <f t="shared" si="55"/>
        <v>8.2745169680000004</v>
      </c>
      <c r="BF151" s="137">
        <f t="shared" si="56"/>
        <v>-7.7314087940000007E-3</v>
      </c>
      <c r="BG151" s="137">
        <f t="shared" si="57"/>
        <v>1.7318525752000003E-5</v>
      </c>
      <c r="BH151" s="137">
        <f t="shared" si="58"/>
        <v>0.14562242912000001</v>
      </c>
      <c r="BI151" s="137">
        <f t="shared" si="59"/>
        <v>0.31393636413999998</v>
      </c>
      <c r="BJ151" s="137">
        <f t="shared" si="60"/>
        <v>0.29951370676000005</v>
      </c>
      <c r="BK151" s="137">
        <f t="shared" si="61"/>
        <v>1.8126633870000002E-2</v>
      </c>
      <c r="BL151" s="137">
        <f t="shared" si="62"/>
        <v>3.0834940008000005</v>
      </c>
      <c r="BM151" s="137">
        <f t="shared" si="63"/>
        <v>0.33002767090000001</v>
      </c>
    </row>
    <row r="152" spans="1:65" x14ac:dyDescent="0.25">
      <c r="A152" s="149">
        <v>14</v>
      </c>
      <c r="B152" s="149">
        <v>43</v>
      </c>
      <c r="C152" s="61">
        <v>39.144460000000002</v>
      </c>
      <c r="D152" s="61">
        <v>-77.216469000000004</v>
      </c>
      <c r="E152" s="61" t="s">
        <v>265</v>
      </c>
      <c r="F152" s="149">
        <v>85</v>
      </c>
      <c r="G152" s="61" t="s">
        <v>630</v>
      </c>
      <c r="H152" s="61" t="s">
        <v>631</v>
      </c>
      <c r="I152" s="61">
        <v>38.953116000000001</v>
      </c>
      <c r="J152" s="61">
        <v>-77.456539000000006</v>
      </c>
      <c r="K152" s="61">
        <v>38.295953089999998</v>
      </c>
      <c r="L152" s="61">
        <v>52.948</v>
      </c>
      <c r="M152" s="61" t="s">
        <v>617</v>
      </c>
      <c r="N152" s="149">
        <v>42</v>
      </c>
      <c r="O152" s="149">
        <v>43</v>
      </c>
      <c r="P152" s="61" t="s">
        <v>565</v>
      </c>
      <c r="Q152" s="61" t="s">
        <v>555</v>
      </c>
      <c r="R152" s="61">
        <v>40.6895314</v>
      </c>
      <c r="S152" s="61">
        <v>-74.174462399999996</v>
      </c>
      <c r="T152" s="61">
        <v>354.65100000000001</v>
      </c>
      <c r="U152" s="61" t="s">
        <v>617</v>
      </c>
      <c r="V152" s="61" t="s">
        <v>617</v>
      </c>
      <c r="W152" s="61"/>
      <c r="Y152" s="137">
        <f>Summary_LCIA!H$32</f>
        <v>0.33979999999999999</v>
      </c>
      <c r="Z152" s="137">
        <f>Summary_LCIA!Q$32</f>
        <v>4.9560504329999997</v>
      </c>
      <c r="AA152" s="137">
        <f>Summary_LCIA!R$32</f>
        <v>5.2655999999999996E-3</v>
      </c>
      <c r="AB152" s="137">
        <f>Summary_LCIA!S$32</f>
        <v>0.33538000000000001</v>
      </c>
      <c r="AC152" s="137">
        <f>Summary_LCIA!T$32</f>
        <v>0.1099</v>
      </c>
      <c r="AD152" s="137">
        <f>Summary_LCIA!U$32</f>
        <v>1.7913999999999999E-2</v>
      </c>
      <c r="AE152" s="137">
        <f>Summary_LCIA!V$32</f>
        <v>4.7760999999999999E-5</v>
      </c>
      <c r="AF152" s="137">
        <f>Summary_LCIA!W$32</f>
        <v>7.6970999999999998E-2</v>
      </c>
      <c r="AG152" s="137">
        <f>Summary_LCIA!X$32</f>
        <v>2.2780000000000002E-2</v>
      </c>
      <c r="AH152" s="137">
        <f>Summary_LCIA!Y$32</f>
        <v>1.5582E-2</v>
      </c>
      <c r="AI152" s="137">
        <f>Summary_LCIA!Z$32</f>
        <v>4.1009E-5</v>
      </c>
      <c r="AJ152" s="137">
        <f>Summary_LCIA!AA$32</f>
        <v>2.3355999999999998E-2</v>
      </c>
      <c r="AK152" s="137">
        <f>Summary_LCIA!AB$32</f>
        <v>-2.1823000000000001E-5</v>
      </c>
      <c r="AL152" s="137">
        <f>Summary_LCIA!AC$32</f>
        <v>4.8884000000000003E-8</v>
      </c>
      <c r="AM152" s="137">
        <f>Summary_LCIA!AD$32</f>
        <v>4.1103999999999999E-4</v>
      </c>
      <c r="AN152" s="137">
        <f>Summary_LCIA!AE$32</f>
        <v>8.8612999999999995E-4</v>
      </c>
      <c r="AO152" s="137">
        <f>Summary_LCIA!AF$32</f>
        <v>8.4542000000000005E-4</v>
      </c>
      <c r="AP152" s="137">
        <f>Summary_LCIA!AG$32</f>
        <v>5.1165000000000002E-5</v>
      </c>
      <c r="AQ152" s="137">
        <f>Summary_LCIA!AH$32</f>
        <v>8.7036000000000006E-3</v>
      </c>
      <c r="AR152" s="137">
        <f>Summary_LCIA!AI$32</f>
        <v>9.3154999999999996E-4</v>
      </c>
      <c r="AT152" s="137">
        <f t="shared" si="44"/>
        <v>120.51040980000001</v>
      </c>
      <c r="AU152" s="137">
        <f t="shared" si="45"/>
        <v>1757.668242113883</v>
      </c>
      <c r="AV152" s="137">
        <f t="shared" si="46"/>
        <v>1.8674503056</v>
      </c>
      <c r="AW152" s="137">
        <f t="shared" si="47"/>
        <v>118.94285238000001</v>
      </c>
      <c r="AX152" s="137">
        <f t="shared" si="48"/>
        <v>38.976144900000001</v>
      </c>
      <c r="AY152" s="137">
        <f t="shared" si="49"/>
        <v>6.3532180140000003</v>
      </c>
      <c r="AZ152" s="137">
        <f t="shared" si="50"/>
        <v>1.6938486411000001E-2</v>
      </c>
      <c r="BA152" s="137">
        <f t="shared" si="51"/>
        <v>27.297842120999999</v>
      </c>
      <c r="BB152" s="137">
        <f t="shared" si="52"/>
        <v>8.0789497800000003</v>
      </c>
      <c r="BC152" s="137">
        <f t="shared" si="53"/>
        <v>5.5261718819999999</v>
      </c>
      <c r="BD152" s="137">
        <f t="shared" si="54"/>
        <v>1.4543882859000001E-2</v>
      </c>
      <c r="BE152" s="137">
        <f t="shared" si="55"/>
        <v>8.2832287559999997</v>
      </c>
      <c r="BF152" s="137">
        <f t="shared" si="56"/>
        <v>-7.7395487730000006E-3</v>
      </c>
      <c r="BG152" s="137">
        <f t="shared" si="57"/>
        <v>1.7336759484000001E-5</v>
      </c>
      <c r="BH152" s="137">
        <f t="shared" si="58"/>
        <v>0.14577574704000001</v>
      </c>
      <c r="BI152" s="137">
        <f t="shared" si="59"/>
        <v>0.31426689063000002</v>
      </c>
      <c r="BJ152" s="137">
        <f t="shared" si="60"/>
        <v>0.29982904842000002</v>
      </c>
      <c r="BK152" s="137">
        <f t="shared" si="61"/>
        <v>1.8145718415000001E-2</v>
      </c>
      <c r="BL152" s="137">
        <f t="shared" si="62"/>
        <v>3.0867404436000001</v>
      </c>
      <c r="BM152" s="137">
        <f t="shared" si="63"/>
        <v>0.33037513904999999</v>
      </c>
    </row>
    <row r="153" spans="1:65" x14ac:dyDescent="0.25">
      <c r="A153" s="149">
        <v>35</v>
      </c>
      <c r="B153" s="149">
        <v>43</v>
      </c>
      <c r="C153" s="61">
        <v>38.805311000000003</v>
      </c>
      <c r="D153" s="61">
        <v>-77.055997000000005</v>
      </c>
      <c r="E153" s="61" t="s">
        <v>265</v>
      </c>
      <c r="F153" s="149">
        <v>86</v>
      </c>
      <c r="G153" s="61" t="s">
        <v>630</v>
      </c>
      <c r="H153" s="61" t="s">
        <v>644</v>
      </c>
      <c r="I153" s="61">
        <v>38.851241999999999</v>
      </c>
      <c r="J153" s="61">
        <v>-77.040232000000003</v>
      </c>
      <c r="K153" s="61">
        <v>7.4606559270000004</v>
      </c>
      <c r="L153" s="61">
        <v>8.0039999999999996</v>
      </c>
      <c r="M153" s="61" t="s">
        <v>617</v>
      </c>
      <c r="N153" s="149">
        <v>42</v>
      </c>
      <c r="O153" s="149">
        <v>43</v>
      </c>
      <c r="P153" s="61" t="s">
        <v>565</v>
      </c>
      <c r="Q153" s="61" t="s">
        <v>555</v>
      </c>
      <c r="R153" s="61">
        <v>40.6895314</v>
      </c>
      <c r="S153" s="61">
        <v>-74.174462399999996</v>
      </c>
      <c r="T153" s="61">
        <v>358.142</v>
      </c>
      <c r="U153" s="61" t="s">
        <v>617</v>
      </c>
      <c r="V153" s="61" t="s">
        <v>617</v>
      </c>
      <c r="W153" s="61"/>
      <c r="Y153" s="137">
        <f>Summary_LCIA!H$32</f>
        <v>0.33979999999999999</v>
      </c>
      <c r="Z153" s="137">
        <f>Summary_LCIA!Q$32</f>
        <v>4.9560504329999997</v>
      </c>
      <c r="AA153" s="137">
        <f>Summary_LCIA!R$32</f>
        <v>5.2655999999999996E-3</v>
      </c>
      <c r="AB153" s="137">
        <f>Summary_LCIA!S$32</f>
        <v>0.33538000000000001</v>
      </c>
      <c r="AC153" s="137">
        <f>Summary_LCIA!T$32</f>
        <v>0.1099</v>
      </c>
      <c r="AD153" s="137">
        <f>Summary_LCIA!U$32</f>
        <v>1.7913999999999999E-2</v>
      </c>
      <c r="AE153" s="137">
        <f>Summary_LCIA!V$32</f>
        <v>4.7760999999999999E-5</v>
      </c>
      <c r="AF153" s="137">
        <f>Summary_LCIA!W$32</f>
        <v>7.6970999999999998E-2</v>
      </c>
      <c r="AG153" s="137">
        <f>Summary_LCIA!X$32</f>
        <v>2.2780000000000002E-2</v>
      </c>
      <c r="AH153" s="137">
        <f>Summary_LCIA!Y$32</f>
        <v>1.5582E-2</v>
      </c>
      <c r="AI153" s="137">
        <f>Summary_LCIA!Z$32</f>
        <v>4.1009E-5</v>
      </c>
      <c r="AJ153" s="137">
        <f>Summary_LCIA!AA$32</f>
        <v>2.3355999999999998E-2</v>
      </c>
      <c r="AK153" s="137">
        <f>Summary_LCIA!AB$32</f>
        <v>-2.1823000000000001E-5</v>
      </c>
      <c r="AL153" s="137">
        <f>Summary_LCIA!AC$32</f>
        <v>4.8884000000000003E-8</v>
      </c>
      <c r="AM153" s="137">
        <f>Summary_LCIA!AD$32</f>
        <v>4.1103999999999999E-4</v>
      </c>
      <c r="AN153" s="137">
        <f>Summary_LCIA!AE$32</f>
        <v>8.8612999999999995E-4</v>
      </c>
      <c r="AO153" s="137">
        <f>Summary_LCIA!AF$32</f>
        <v>8.4542000000000005E-4</v>
      </c>
      <c r="AP153" s="137">
        <f>Summary_LCIA!AG$32</f>
        <v>5.1165000000000002E-5</v>
      </c>
      <c r="AQ153" s="137">
        <f>Summary_LCIA!AH$32</f>
        <v>8.7036000000000006E-3</v>
      </c>
      <c r="AR153" s="137">
        <f>Summary_LCIA!AI$32</f>
        <v>9.3154999999999996E-4</v>
      </c>
      <c r="AT153" s="137">
        <f t="shared" si="44"/>
        <v>121.6966516</v>
      </c>
      <c r="AU153" s="137">
        <f t="shared" si="45"/>
        <v>1774.9698141754859</v>
      </c>
      <c r="AV153" s="137">
        <f t="shared" si="46"/>
        <v>1.8858325151999999</v>
      </c>
      <c r="AW153" s="137">
        <f t="shared" si="47"/>
        <v>120.11366396</v>
      </c>
      <c r="AX153" s="137">
        <f t="shared" si="48"/>
        <v>39.359805799999997</v>
      </c>
      <c r="AY153" s="137">
        <f t="shared" si="49"/>
        <v>6.4157557879999993</v>
      </c>
      <c r="AZ153" s="137">
        <f t="shared" si="50"/>
        <v>1.7105220062E-2</v>
      </c>
      <c r="BA153" s="137">
        <f t="shared" si="51"/>
        <v>27.566547881999998</v>
      </c>
      <c r="BB153" s="137">
        <f t="shared" si="52"/>
        <v>8.1584747600000007</v>
      </c>
      <c r="BC153" s="137">
        <f t="shared" si="53"/>
        <v>5.5805686440000004</v>
      </c>
      <c r="BD153" s="137">
        <f t="shared" si="54"/>
        <v>1.4687045277999999E-2</v>
      </c>
      <c r="BE153" s="137">
        <f t="shared" si="55"/>
        <v>8.3647645519999987</v>
      </c>
      <c r="BF153" s="137">
        <f t="shared" si="56"/>
        <v>-7.8157328659999997E-3</v>
      </c>
      <c r="BG153" s="137">
        <f t="shared" si="57"/>
        <v>1.7507413528E-5</v>
      </c>
      <c r="BH153" s="137">
        <f t="shared" si="58"/>
        <v>0.14721068768000001</v>
      </c>
      <c r="BI153" s="137">
        <f t="shared" si="59"/>
        <v>0.31736037045999999</v>
      </c>
      <c r="BJ153" s="137">
        <f t="shared" si="60"/>
        <v>0.30278040964000003</v>
      </c>
      <c r="BK153" s="137">
        <f t="shared" si="61"/>
        <v>1.8324335430000002E-2</v>
      </c>
      <c r="BL153" s="137">
        <f t="shared" si="62"/>
        <v>3.1171247112000002</v>
      </c>
      <c r="BM153" s="137">
        <f t="shared" si="63"/>
        <v>0.33362718009999998</v>
      </c>
    </row>
    <row r="154" spans="1:65" x14ac:dyDescent="0.25">
      <c r="A154" s="149">
        <v>183</v>
      </c>
      <c r="B154" s="149">
        <v>43</v>
      </c>
      <c r="C154" s="61">
        <v>42.373615999999998</v>
      </c>
      <c r="D154" s="61">
        <v>-71.109734000000003</v>
      </c>
      <c r="E154" s="61" t="s">
        <v>265</v>
      </c>
      <c r="F154" s="149">
        <v>53</v>
      </c>
      <c r="G154" s="61" t="s">
        <v>565</v>
      </c>
      <c r="H154" s="61" t="s">
        <v>634</v>
      </c>
      <c r="I154" s="61">
        <v>42.365613000000003</v>
      </c>
      <c r="J154" s="61">
        <v>-71.009559999999993</v>
      </c>
      <c r="K154" s="61">
        <v>8.3485195930000007</v>
      </c>
      <c r="L154" s="61">
        <v>14.246</v>
      </c>
      <c r="M154" s="61" t="s">
        <v>617</v>
      </c>
      <c r="N154" s="149">
        <v>42</v>
      </c>
      <c r="O154" s="149">
        <v>43</v>
      </c>
      <c r="P154" s="61" t="s">
        <v>565</v>
      </c>
      <c r="Q154" s="61" t="s">
        <v>555</v>
      </c>
      <c r="R154" s="61">
        <v>40.6895314</v>
      </c>
      <c r="S154" s="61">
        <v>-74.174462399999996</v>
      </c>
      <c r="T154" s="61">
        <v>361.38499999999999</v>
      </c>
      <c r="U154" s="61" t="s">
        <v>617</v>
      </c>
      <c r="V154" s="61" t="s">
        <v>617</v>
      </c>
      <c r="W154" s="61"/>
      <c r="Y154" s="137">
        <f>Summary_LCIA!H$32</f>
        <v>0.33979999999999999</v>
      </c>
      <c r="Z154" s="137">
        <f>Summary_LCIA!Q$32</f>
        <v>4.9560504329999997</v>
      </c>
      <c r="AA154" s="137">
        <f>Summary_LCIA!R$32</f>
        <v>5.2655999999999996E-3</v>
      </c>
      <c r="AB154" s="137">
        <f>Summary_LCIA!S$32</f>
        <v>0.33538000000000001</v>
      </c>
      <c r="AC154" s="137">
        <f>Summary_LCIA!T$32</f>
        <v>0.1099</v>
      </c>
      <c r="AD154" s="137">
        <f>Summary_LCIA!U$32</f>
        <v>1.7913999999999999E-2</v>
      </c>
      <c r="AE154" s="137">
        <f>Summary_LCIA!V$32</f>
        <v>4.7760999999999999E-5</v>
      </c>
      <c r="AF154" s="137">
        <f>Summary_LCIA!W$32</f>
        <v>7.6970999999999998E-2</v>
      </c>
      <c r="AG154" s="137">
        <f>Summary_LCIA!X$32</f>
        <v>2.2780000000000002E-2</v>
      </c>
      <c r="AH154" s="137">
        <f>Summary_LCIA!Y$32</f>
        <v>1.5582E-2</v>
      </c>
      <c r="AI154" s="137">
        <f>Summary_LCIA!Z$32</f>
        <v>4.1009E-5</v>
      </c>
      <c r="AJ154" s="137">
        <f>Summary_LCIA!AA$32</f>
        <v>2.3355999999999998E-2</v>
      </c>
      <c r="AK154" s="137">
        <f>Summary_LCIA!AB$32</f>
        <v>-2.1823000000000001E-5</v>
      </c>
      <c r="AL154" s="137">
        <f>Summary_LCIA!AC$32</f>
        <v>4.8884000000000003E-8</v>
      </c>
      <c r="AM154" s="137">
        <f>Summary_LCIA!AD$32</f>
        <v>4.1103999999999999E-4</v>
      </c>
      <c r="AN154" s="137">
        <f>Summary_LCIA!AE$32</f>
        <v>8.8612999999999995E-4</v>
      </c>
      <c r="AO154" s="137">
        <f>Summary_LCIA!AF$32</f>
        <v>8.4542000000000005E-4</v>
      </c>
      <c r="AP154" s="137">
        <f>Summary_LCIA!AG$32</f>
        <v>5.1165000000000002E-5</v>
      </c>
      <c r="AQ154" s="137">
        <f>Summary_LCIA!AH$32</f>
        <v>8.7036000000000006E-3</v>
      </c>
      <c r="AR154" s="137">
        <f>Summary_LCIA!AI$32</f>
        <v>9.3154999999999996E-4</v>
      </c>
      <c r="AT154" s="137">
        <f t="shared" si="44"/>
        <v>122.79862299999999</v>
      </c>
      <c r="AU154" s="137">
        <f t="shared" si="45"/>
        <v>1791.0422857297049</v>
      </c>
      <c r="AV154" s="137">
        <f t="shared" si="46"/>
        <v>1.9029088559999998</v>
      </c>
      <c r="AW154" s="137">
        <f t="shared" si="47"/>
        <v>121.2013013</v>
      </c>
      <c r="AX154" s="137">
        <f t="shared" si="48"/>
        <v>39.7162115</v>
      </c>
      <c r="AY154" s="137">
        <f t="shared" si="49"/>
        <v>6.4738508899999996</v>
      </c>
      <c r="AZ154" s="137">
        <f t="shared" si="50"/>
        <v>1.7260108984999998E-2</v>
      </c>
      <c r="BA154" s="137">
        <f t="shared" si="51"/>
        <v>27.816164834999999</v>
      </c>
      <c r="BB154" s="137">
        <f t="shared" si="52"/>
        <v>8.2323503000000002</v>
      </c>
      <c r="BC154" s="137">
        <f t="shared" si="53"/>
        <v>5.6311010699999997</v>
      </c>
      <c r="BD154" s="137">
        <f t="shared" si="54"/>
        <v>1.4820037465E-2</v>
      </c>
      <c r="BE154" s="137">
        <f t="shared" si="55"/>
        <v>8.4405080599999991</v>
      </c>
      <c r="BF154" s="137">
        <f t="shared" si="56"/>
        <v>-7.8865048550000004E-3</v>
      </c>
      <c r="BG154" s="137">
        <f t="shared" si="57"/>
        <v>1.7665944340000001E-5</v>
      </c>
      <c r="BH154" s="137">
        <f t="shared" si="58"/>
        <v>0.14854369039999998</v>
      </c>
      <c r="BI154" s="137">
        <f t="shared" si="59"/>
        <v>0.32023409004999998</v>
      </c>
      <c r="BJ154" s="137">
        <f t="shared" si="60"/>
        <v>0.30552210670000002</v>
      </c>
      <c r="BK154" s="137">
        <f t="shared" si="61"/>
        <v>1.8490263525000002E-2</v>
      </c>
      <c r="BL154" s="137">
        <f t="shared" si="62"/>
        <v>3.1453504860000003</v>
      </c>
      <c r="BM154" s="137">
        <f t="shared" si="63"/>
        <v>0.33664819674999996</v>
      </c>
    </row>
    <row r="155" spans="1:65" x14ac:dyDescent="0.25">
      <c r="A155" s="149">
        <v>81</v>
      </c>
      <c r="B155" s="149">
        <v>43</v>
      </c>
      <c r="C155" s="61">
        <v>42.339463000000002</v>
      </c>
      <c r="D155" s="61">
        <v>-71.088528999999994</v>
      </c>
      <c r="E155" s="61" t="s">
        <v>265</v>
      </c>
      <c r="F155" s="149">
        <v>53</v>
      </c>
      <c r="G155" s="61" t="s">
        <v>565</v>
      </c>
      <c r="H155" s="61" t="s">
        <v>634</v>
      </c>
      <c r="I155" s="61">
        <v>42.365613000000003</v>
      </c>
      <c r="J155" s="61">
        <v>-71.009559999999993</v>
      </c>
      <c r="K155" s="61">
        <v>8.1732109099999999</v>
      </c>
      <c r="L155" s="61">
        <v>10.691000000000001</v>
      </c>
      <c r="M155" s="61" t="s">
        <v>617</v>
      </c>
      <c r="N155" s="149">
        <v>42</v>
      </c>
      <c r="O155" s="149">
        <v>43</v>
      </c>
      <c r="P155" s="61" t="s">
        <v>565</v>
      </c>
      <c r="Q155" s="61" t="s">
        <v>555</v>
      </c>
      <c r="R155" s="61">
        <v>40.6895314</v>
      </c>
      <c r="S155" s="61">
        <v>-74.174462399999996</v>
      </c>
      <c r="T155" s="61">
        <v>363.32900000000001</v>
      </c>
      <c r="U155" s="61" t="s">
        <v>617</v>
      </c>
      <c r="V155" s="61" t="s">
        <v>617</v>
      </c>
      <c r="W155" s="61"/>
      <c r="Y155" s="137">
        <f>Summary_LCIA!H$32</f>
        <v>0.33979999999999999</v>
      </c>
      <c r="Z155" s="137">
        <f>Summary_LCIA!Q$32</f>
        <v>4.9560504329999997</v>
      </c>
      <c r="AA155" s="137">
        <f>Summary_LCIA!R$32</f>
        <v>5.2655999999999996E-3</v>
      </c>
      <c r="AB155" s="137">
        <f>Summary_LCIA!S$32</f>
        <v>0.33538000000000001</v>
      </c>
      <c r="AC155" s="137">
        <f>Summary_LCIA!T$32</f>
        <v>0.1099</v>
      </c>
      <c r="AD155" s="137">
        <f>Summary_LCIA!U$32</f>
        <v>1.7913999999999999E-2</v>
      </c>
      <c r="AE155" s="137">
        <f>Summary_LCIA!V$32</f>
        <v>4.7760999999999999E-5</v>
      </c>
      <c r="AF155" s="137">
        <f>Summary_LCIA!W$32</f>
        <v>7.6970999999999998E-2</v>
      </c>
      <c r="AG155" s="137">
        <f>Summary_LCIA!X$32</f>
        <v>2.2780000000000002E-2</v>
      </c>
      <c r="AH155" s="137">
        <f>Summary_LCIA!Y$32</f>
        <v>1.5582E-2</v>
      </c>
      <c r="AI155" s="137">
        <f>Summary_LCIA!Z$32</f>
        <v>4.1009E-5</v>
      </c>
      <c r="AJ155" s="137">
        <f>Summary_LCIA!AA$32</f>
        <v>2.3355999999999998E-2</v>
      </c>
      <c r="AK155" s="137">
        <f>Summary_LCIA!AB$32</f>
        <v>-2.1823000000000001E-5</v>
      </c>
      <c r="AL155" s="137">
        <f>Summary_LCIA!AC$32</f>
        <v>4.8884000000000003E-8</v>
      </c>
      <c r="AM155" s="137">
        <f>Summary_LCIA!AD$32</f>
        <v>4.1103999999999999E-4</v>
      </c>
      <c r="AN155" s="137">
        <f>Summary_LCIA!AE$32</f>
        <v>8.8612999999999995E-4</v>
      </c>
      <c r="AO155" s="137">
        <f>Summary_LCIA!AF$32</f>
        <v>8.4542000000000005E-4</v>
      </c>
      <c r="AP155" s="137">
        <f>Summary_LCIA!AG$32</f>
        <v>5.1165000000000002E-5</v>
      </c>
      <c r="AQ155" s="137">
        <f>Summary_LCIA!AH$32</f>
        <v>8.7036000000000006E-3</v>
      </c>
      <c r="AR155" s="137">
        <f>Summary_LCIA!AI$32</f>
        <v>9.3154999999999996E-4</v>
      </c>
      <c r="AT155" s="137">
        <f t="shared" si="44"/>
        <v>123.4591942</v>
      </c>
      <c r="AU155" s="137">
        <f t="shared" si="45"/>
        <v>1800.676847771457</v>
      </c>
      <c r="AV155" s="137">
        <f t="shared" si="46"/>
        <v>1.9131451823999999</v>
      </c>
      <c r="AW155" s="137">
        <f t="shared" si="47"/>
        <v>121.85328002</v>
      </c>
      <c r="AX155" s="137">
        <f t="shared" si="48"/>
        <v>39.9298571</v>
      </c>
      <c r="AY155" s="137">
        <f t="shared" si="49"/>
        <v>6.508675706</v>
      </c>
      <c r="AZ155" s="137">
        <f t="shared" si="50"/>
        <v>1.7352956369E-2</v>
      </c>
      <c r="BA155" s="137">
        <f t="shared" si="51"/>
        <v>27.965796459</v>
      </c>
      <c r="BB155" s="137">
        <f t="shared" si="52"/>
        <v>8.2766346200000012</v>
      </c>
      <c r="BC155" s="137">
        <f t="shared" si="53"/>
        <v>5.6613924780000007</v>
      </c>
      <c r="BD155" s="137">
        <f t="shared" si="54"/>
        <v>1.4899758961000001E-2</v>
      </c>
      <c r="BE155" s="137">
        <f t="shared" si="55"/>
        <v>8.4859121240000004</v>
      </c>
      <c r="BF155" s="137">
        <f t="shared" si="56"/>
        <v>-7.928928767E-3</v>
      </c>
      <c r="BG155" s="137">
        <f t="shared" si="57"/>
        <v>1.7760974836000001E-5</v>
      </c>
      <c r="BH155" s="137">
        <f t="shared" si="58"/>
        <v>0.14934275216000001</v>
      </c>
      <c r="BI155" s="137">
        <f t="shared" si="59"/>
        <v>0.32195672676999998</v>
      </c>
      <c r="BJ155" s="137">
        <f t="shared" si="60"/>
        <v>0.30716560318000002</v>
      </c>
      <c r="BK155" s="137">
        <f t="shared" si="61"/>
        <v>1.8589728285000003E-2</v>
      </c>
      <c r="BL155" s="137">
        <f t="shared" si="62"/>
        <v>3.1622702844000004</v>
      </c>
      <c r="BM155" s="137">
        <f t="shared" si="63"/>
        <v>0.33845912994999999</v>
      </c>
    </row>
    <row r="156" spans="1:65" x14ac:dyDescent="0.25">
      <c r="A156" s="149">
        <v>82</v>
      </c>
      <c r="B156" s="149">
        <v>43</v>
      </c>
      <c r="C156" s="61">
        <v>42.339463000000002</v>
      </c>
      <c r="D156" s="61">
        <v>-71.088528999999994</v>
      </c>
      <c r="E156" s="61" t="s">
        <v>265</v>
      </c>
      <c r="F156" s="149">
        <v>53</v>
      </c>
      <c r="G156" s="61" t="s">
        <v>565</v>
      </c>
      <c r="H156" s="61" t="s">
        <v>634</v>
      </c>
      <c r="I156" s="61">
        <v>42.365613000000003</v>
      </c>
      <c r="J156" s="61">
        <v>-71.009559999999993</v>
      </c>
      <c r="K156" s="61">
        <v>8.1732109099999999</v>
      </c>
      <c r="L156" s="61">
        <v>10.691000000000001</v>
      </c>
      <c r="M156" s="61" t="s">
        <v>617</v>
      </c>
      <c r="N156" s="149">
        <v>42</v>
      </c>
      <c r="O156" s="149">
        <v>43</v>
      </c>
      <c r="P156" s="61" t="s">
        <v>565</v>
      </c>
      <c r="Q156" s="61" t="s">
        <v>555</v>
      </c>
      <c r="R156" s="61">
        <v>40.6895314</v>
      </c>
      <c r="S156" s="61">
        <v>-74.174462399999996</v>
      </c>
      <c r="T156" s="61">
        <v>363.32900000000001</v>
      </c>
      <c r="U156" s="61" t="s">
        <v>617</v>
      </c>
      <c r="V156" s="61" t="s">
        <v>617</v>
      </c>
      <c r="W156" s="61"/>
      <c r="Y156" s="137">
        <f>Summary_LCIA!H$32</f>
        <v>0.33979999999999999</v>
      </c>
      <c r="Z156" s="137">
        <f>Summary_LCIA!Q$32</f>
        <v>4.9560504329999997</v>
      </c>
      <c r="AA156" s="137">
        <f>Summary_LCIA!R$32</f>
        <v>5.2655999999999996E-3</v>
      </c>
      <c r="AB156" s="137">
        <f>Summary_LCIA!S$32</f>
        <v>0.33538000000000001</v>
      </c>
      <c r="AC156" s="137">
        <f>Summary_LCIA!T$32</f>
        <v>0.1099</v>
      </c>
      <c r="AD156" s="137">
        <f>Summary_LCIA!U$32</f>
        <v>1.7913999999999999E-2</v>
      </c>
      <c r="AE156" s="137">
        <f>Summary_LCIA!V$32</f>
        <v>4.7760999999999999E-5</v>
      </c>
      <c r="AF156" s="137">
        <f>Summary_LCIA!W$32</f>
        <v>7.6970999999999998E-2</v>
      </c>
      <c r="AG156" s="137">
        <f>Summary_LCIA!X$32</f>
        <v>2.2780000000000002E-2</v>
      </c>
      <c r="AH156" s="137">
        <f>Summary_LCIA!Y$32</f>
        <v>1.5582E-2</v>
      </c>
      <c r="AI156" s="137">
        <f>Summary_LCIA!Z$32</f>
        <v>4.1009E-5</v>
      </c>
      <c r="AJ156" s="137">
        <f>Summary_LCIA!AA$32</f>
        <v>2.3355999999999998E-2</v>
      </c>
      <c r="AK156" s="137">
        <f>Summary_LCIA!AB$32</f>
        <v>-2.1823000000000001E-5</v>
      </c>
      <c r="AL156" s="137">
        <f>Summary_LCIA!AC$32</f>
        <v>4.8884000000000003E-8</v>
      </c>
      <c r="AM156" s="137">
        <f>Summary_LCIA!AD$32</f>
        <v>4.1103999999999999E-4</v>
      </c>
      <c r="AN156" s="137">
        <f>Summary_LCIA!AE$32</f>
        <v>8.8612999999999995E-4</v>
      </c>
      <c r="AO156" s="137">
        <f>Summary_LCIA!AF$32</f>
        <v>8.4542000000000005E-4</v>
      </c>
      <c r="AP156" s="137">
        <f>Summary_LCIA!AG$32</f>
        <v>5.1165000000000002E-5</v>
      </c>
      <c r="AQ156" s="137">
        <f>Summary_LCIA!AH$32</f>
        <v>8.7036000000000006E-3</v>
      </c>
      <c r="AR156" s="137">
        <f>Summary_LCIA!AI$32</f>
        <v>9.3154999999999996E-4</v>
      </c>
      <c r="AT156" s="137">
        <f t="shared" si="44"/>
        <v>123.4591942</v>
      </c>
      <c r="AU156" s="137">
        <f t="shared" si="45"/>
        <v>1800.676847771457</v>
      </c>
      <c r="AV156" s="137">
        <f t="shared" si="46"/>
        <v>1.9131451823999999</v>
      </c>
      <c r="AW156" s="137">
        <f t="shared" si="47"/>
        <v>121.85328002</v>
      </c>
      <c r="AX156" s="137">
        <f t="shared" si="48"/>
        <v>39.9298571</v>
      </c>
      <c r="AY156" s="137">
        <f t="shared" si="49"/>
        <v>6.508675706</v>
      </c>
      <c r="AZ156" s="137">
        <f t="shared" si="50"/>
        <v>1.7352956369E-2</v>
      </c>
      <c r="BA156" s="137">
        <f t="shared" si="51"/>
        <v>27.965796459</v>
      </c>
      <c r="BB156" s="137">
        <f t="shared" si="52"/>
        <v>8.2766346200000012</v>
      </c>
      <c r="BC156" s="137">
        <f t="shared" si="53"/>
        <v>5.6613924780000007</v>
      </c>
      <c r="BD156" s="137">
        <f t="shared" si="54"/>
        <v>1.4899758961000001E-2</v>
      </c>
      <c r="BE156" s="137">
        <f t="shared" si="55"/>
        <v>8.4859121240000004</v>
      </c>
      <c r="BF156" s="137">
        <f t="shared" si="56"/>
        <v>-7.928928767E-3</v>
      </c>
      <c r="BG156" s="137">
        <f t="shared" si="57"/>
        <v>1.7760974836000001E-5</v>
      </c>
      <c r="BH156" s="137">
        <f t="shared" si="58"/>
        <v>0.14934275216000001</v>
      </c>
      <c r="BI156" s="137">
        <f t="shared" si="59"/>
        <v>0.32195672676999998</v>
      </c>
      <c r="BJ156" s="137">
        <f t="shared" si="60"/>
        <v>0.30716560318000002</v>
      </c>
      <c r="BK156" s="137">
        <f t="shared" si="61"/>
        <v>1.8589728285000003E-2</v>
      </c>
      <c r="BL156" s="137">
        <f t="shared" si="62"/>
        <v>3.1622702844000004</v>
      </c>
      <c r="BM156" s="137">
        <f t="shared" si="63"/>
        <v>0.33845912994999999</v>
      </c>
    </row>
    <row r="157" spans="1:65" x14ac:dyDescent="0.25">
      <c r="A157" s="149">
        <v>114</v>
      </c>
      <c r="B157" s="149">
        <v>43</v>
      </c>
      <c r="C157" s="61">
        <v>42.359243999999997</v>
      </c>
      <c r="D157" s="61">
        <v>-71.093138999999994</v>
      </c>
      <c r="E157" s="61" t="s">
        <v>265</v>
      </c>
      <c r="F157" s="149">
        <v>53</v>
      </c>
      <c r="G157" s="61" t="s">
        <v>565</v>
      </c>
      <c r="H157" s="61" t="s">
        <v>634</v>
      </c>
      <c r="I157" s="61">
        <v>42.365613000000003</v>
      </c>
      <c r="J157" s="61">
        <v>-71.009559999999993</v>
      </c>
      <c r="K157" s="61">
        <v>7.2270388560000001</v>
      </c>
      <c r="L157" s="61">
        <v>8.6859999999999999</v>
      </c>
      <c r="M157" s="61" t="s">
        <v>617</v>
      </c>
      <c r="N157" s="149">
        <v>42</v>
      </c>
      <c r="O157" s="149">
        <v>43</v>
      </c>
      <c r="P157" s="61" t="s">
        <v>565</v>
      </c>
      <c r="Q157" s="61" t="s">
        <v>555</v>
      </c>
      <c r="R157" s="61">
        <v>40.6895314</v>
      </c>
      <c r="S157" s="61">
        <v>-74.174462399999996</v>
      </c>
      <c r="T157" s="61">
        <v>363.59300000000002</v>
      </c>
      <c r="U157" s="61" t="s">
        <v>617</v>
      </c>
      <c r="V157" s="61" t="s">
        <v>617</v>
      </c>
      <c r="W157" s="61"/>
      <c r="Y157" s="137">
        <f>Summary_LCIA!H$32</f>
        <v>0.33979999999999999</v>
      </c>
      <c r="Z157" s="137">
        <f>Summary_LCIA!Q$32</f>
        <v>4.9560504329999997</v>
      </c>
      <c r="AA157" s="137">
        <f>Summary_LCIA!R$32</f>
        <v>5.2655999999999996E-3</v>
      </c>
      <c r="AB157" s="137">
        <f>Summary_LCIA!S$32</f>
        <v>0.33538000000000001</v>
      </c>
      <c r="AC157" s="137">
        <f>Summary_LCIA!T$32</f>
        <v>0.1099</v>
      </c>
      <c r="AD157" s="137">
        <f>Summary_LCIA!U$32</f>
        <v>1.7913999999999999E-2</v>
      </c>
      <c r="AE157" s="137">
        <f>Summary_LCIA!V$32</f>
        <v>4.7760999999999999E-5</v>
      </c>
      <c r="AF157" s="137">
        <f>Summary_LCIA!W$32</f>
        <v>7.6970999999999998E-2</v>
      </c>
      <c r="AG157" s="137">
        <f>Summary_LCIA!X$32</f>
        <v>2.2780000000000002E-2</v>
      </c>
      <c r="AH157" s="137">
        <f>Summary_LCIA!Y$32</f>
        <v>1.5582E-2</v>
      </c>
      <c r="AI157" s="137">
        <f>Summary_LCIA!Z$32</f>
        <v>4.1009E-5</v>
      </c>
      <c r="AJ157" s="137">
        <f>Summary_LCIA!AA$32</f>
        <v>2.3355999999999998E-2</v>
      </c>
      <c r="AK157" s="137">
        <f>Summary_LCIA!AB$32</f>
        <v>-2.1823000000000001E-5</v>
      </c>
      <c r="AL157" s="137">
        <f>Summary_LCIA!AC$32</f>
        <v>4.8884000000000003E-8</v>
      </c>
      <c r="AM157" s="137">
        <f>Summary_LCIA!AD$32</f>
        <v>4.1103999999999999E-4</v>
      </c>
      <c r="AN157" s="137">
        <f>Summary_LCIA!AE$32</f>
        <v>8.8612999999999995E-4</v>
      </c>
      <c r="AO157" s="137">
        <f>Summary_LCIA!AF$32</f>
        <v>8.4542000000000005E-4</v>
      </c>
      <c r="AP157" s="137">
        <f>Summary_LCIA!AG$32</f>
        <v>5.1165000000000002E-5</v>
      </c>
      <c r="AQ157" s="137">
        <f>Summary_LCIA!AH$32</f>
        <v>8.7036000000000006E-3</v>
      </c>
      <c r="AR157" s="137">
        <f>Summary_LCIA!AI$32</f>
        <v>9.3154999999999996E-4</v>
      </c>
      <c r="AT157" s="137">
        <f t="shared" si="44"/>
        <v>123.54890140000001</v>
      </c>
      <c r="AU157" s="137">
        <f t="shared" si="45"/>
        <v>1801.9852450857691</v>
      </c>
      <c r="AV157" s="137">
        <f t="shared" si="46"/>
        <v>1.9145353007999999</v>
      </c>
      <c r="AW157" s="137">
        <f t="shared" si="47"/>
        <v>121.94182034000001</v>
      </c>
      <c r="AX157" s="137">
        <f t="shared" si="48"/>
        <v>39.958870699999999</v>
      </c>
      <c r="AY157" s="137">
        <f t="shared" si="49"/>
        <v>6.5134050019999998</v>
      </c>
      <c r="AZ157" s="137">
        <f t="shared" si="50"/>
        <v>1.7365565273000001E-2</v>
      </c>
      <c r="BA157" s="137">
        <f t="shared" si="51"/>
        <v>27.986116803000002</v>
      </c>
      <c r="BB157" s="137">
        <f t="shared" si="52"/>
        <v>8.2826485400000003</v>
      </c>
      <c r="BC157" s="137">
        <f t="shared" si="53"/>
        <v>5.6655061260000004</v>
      </c>
      <c r="BD157" s="137">
        <f t="shared" si="54"/>
        <v>1.4910585337000001E-2</v>
      </c>
      <c r="BE157" s="137">
        <f t="shared" si="55"/>
        <v>8.4920781079999994</v>
      </c>
      <c r="BF157" s="137">
        <f t="shared" si="56"/>
        <v>-7.9346900390000006E-3</v>
      </c>
      <c r="BG157" s="137">
        <f t="shared" si="57"/>
        <v>1.7773880212000002E-5</v>
      </c>
      <c r="BH157" s="137">
        <f t="shared" si="58"/>
        <v>0.14945126672</v>
      </c>
      <c r="BI157" s="137">
        <f t="shared" si="59"/>
        <v>0.32219066508999999</v>
      </c>
      <c r="BJ157" s="137">
        <f t="shared" si="60"/>
        <v>0.30738879406000003</v>
      </c>
      <c r="BK157" s="137">
        <f t="shared" si="61"/>
        <v>1.8603235845000003E-2</v>
      </c>
      <c r="BL157" s="137">
        <f t="shared" si="62"/>
        <v>3.1645680348000003</v>
      </c>
      <c r="BM157" s="137">
        <f t="shared" si="63"/>
        <v>0.33870505914999999</v>
      </c>
    </row>
    <row r="158" spans="1:65" x14ac:dyDescent="0.25">
      <c r="A158" s="149">
        <v>115</v>
      </c>
      <c r="B158" s="149">
        <v>43</v>
      </c>
      <c r="C158" s="61">
        <v>42.359243999999997</v>
      </c>
      <c r="D158" s="61">
        <v>-71.093138999999994</v>
      </c>
      <c r="E158" s="61" t="s">
        <v>265</v>
      </c>
      <c r="F158" s="149">
        <v>53</v>
      </c>
      <c r="G158" s="61" t="s">
        <v>565</v>
      </c>
      <c r="H158" s="61" t="s">
        <v>634</v>
      </c>
      <c r="I158" s="61">
        <v>42.365613000000003</v>
      </c>
      <c r="J158" s="61">
        <v>-71.009559999999993</v>
      </c>
      <c r="K158" s="61">
        <v>7.2270388560000001</v>
      </c>
      <c r="L158" s="61">
        <v>8.6859999999999999</v>
      </c>
      <c r="M158" s="61" t="s">
        <v>617</v>
      </c>
      <c r="N158" s="149">
        <v>42</v>
      </c>
      <c r="O158" s="149">
        <v>43</v>
      </c>
      <c r="P158" s="61" t="s">
        <v>565</v>
      </c>
      <c r="Q158" s="61" t="s">
        <v>555</v>
      </c>
      <c r="R158" s="61">
        <v>40.6895314</v>
      </c>
      <c r="S158" s="61">
        <v>-74.174462399999996</v>
      </c>
      <c r="T158" s="61">
        <v>363.59300000000002</v>
      </c>
      <c r="U158" s="61" t="s">
        <v>617</v>
      </c>
      <c r="V158" s="61" t="s">
        <v>617</v>
      </c>
      <c r="W158" s="61"/>
      <c r="Y158" s="137">
        <f>Summary_LCIA!H$32</f>
        <v>0.33979999999999999</v>
      </c>
      <c r="Z158" s="137">
        <f>Summary_LCIA!Q$32</f>
        <v>4.9560504329999997</v>
      </c>
      <c r="AA158" s="137">
        <f>Summary_LCIA!R$32</f>
        <v>5.2655999999999996E-3</v>
      </c>
      <c r="AB158" s="137">
        <f>Summary_LCIA!S$32</f>
        <v>0.33538000000000001</v>
      </c>
      <c r="AC158" s="137">
        <f>Summary_LCIA!T$32</f>
        <v>0.1099</v>
      </c>
      <c r="AD158" s="137">
        <f>Summary_LCIA!U$32</f>
        <v>1.7913999999999999E-2</v>
      </c>
      <c r="AE158" s="137">
        <f>Summary_LCIA!V$32</f>
        <v>4.7760999999999999E-5</v>
      </c>
      <c r="AF158" s="137">
        <f>Summary_LCIA!W$32</f>
        <v>7.6970999999999998E-2</v>
      </c>
      <c r="AG158" s="137">
        <f>Summary_LCIA!X$32</f>
        <v>2.2780000000000002E-2</v>
      </c>
      <c r="AH158" s="137">
        <f>Summary_LCIA!Y$32</f>
        <v>1.5582E-2</v>
      </c>
      <c r="AI158" s="137">
        <f>Summary_LCIA!Z$32</f>
        <v>4.1009E-5</v>
      </c>
      <c r="AJ158" s="137">
        <f>Summary_LCIA!AA$32</f>
        <v>2.3355999999999998E-2</v>
      </c>
      <c r="AK158" s="137">
        <f>Summary_LCIA!AB$32</f>
        <v>-2.1823000000000001E-5</v>
      </c>
      <c r="AL158" s="137">
        <f>Summary_LCIA!AC$32</f>
        <v>4.8884000000000003E-8</v>
      </c>
      <c r="AM158" s="137">
        <f>Summary_LCIA!AD$32</f>
        <v>4.1103999999999999E-4</v>
      </c>
      <c r="AN158" s="137">
        <f>Summary_LCIA!AE$32</f>
        <v>8.8612999999999995E-4</v>
      </c>
      <c r="AO158" s="137">
        <f>Summary_LCIA!AF$32</f>
        <v>8.4542000000000005E-4</v>
      </c>
      <c r="AP158" s="137">
        <f>Summary_LCIA!AG$32</f>
        <v>5.1165000000000002E-5</v>
      </c>
      <c r="AQ158" s="137">
        <f>Summary_LCIA!AH$32</f>
        <v>8.7036000000000006E-3</v>
      </c>
      <c r="AR158" s="137">
        <f>Summary_LCIA!AI$32</f>
        <v>9.3154999999999996E-4</v>
      </c>
      <c r="AT158" s="137">
        <f t="shared" si="44"/>
        <v>123.54890140000001</v>
      </c>
      <c r="AU158" s="137">
        <f t="shared" si="45"/>
        <v>1801.9852450857691</v>
      </c>
      <c r="AV158" s="137">
        <f t="shared" si="46"/>
        <v>1.9145353007999999</v>
      </c>
      <c r="AW158" s="137">
        <f t="shared" si="47"/>
        <v>121.94182034000001</v>
      </c>
      <c r="AX158" s="137">
        <f t="shared" si="48"/>
        <v>39.958870699999999</v>
      </c>
      <c r="AY158" s="137">
        <f t="shared" si="49"/>
        <v>6.5134050019999998</v>
      </c>
      <c r="AZ158" s="137">
        <f t="shared" si="50"/>
        <v>1.7365565273000001E-2</v>
      </c>
      <c r="BA158" s="137">
        <f t="shared" si="51"/>
        <v>27.986116803000002</v>
      </c>
      <c r="BB158" s="137">
        <f t="shared" si="52"/>
        <v>8.2826485400000003</v>
      </c>
      <c r="BC158" s="137">
        <f t="shared" si="53"/>
        <v>5.6655061260000004</v>
      </c>
      <c r="BD158" s="137">
        <f t="shared" si="54"/>
        <v>1.4910585337000001E-2</v>
      </c>
      <c r="BE158" s="137">
        <f t="shared" si="55"/>
        <v>8.4920781079999994</v>
      </c>
      <c r="BF158" s="137">
        <f t="shared" si="56"/>
        <v>-7.9346900390000006E-3</v>
      </c>
      <c r="BG158" s="137">
        <f t="shared" si="57"/>
        <v>1.7773880212000002E-5</v>
      </c>
      <c r="BH158" s="137">
        <f t="shared" si="58"/>
        <v>0.14945126672</v>
      </c>
      <c r="BI158" s="137">
        <f t="shared" si="59"/>
        <v>0.32219066508999999</v>
      </c>
      <c r="BJ158" s="137">
        <f t="shared" si="60"/>
        <v>0.30738879406000003</v>
      </c>
      <c r="BK158" s="137">
        <f t="shared" si="61"/>
        <v>1.8603235845000003E-2</v>
      </c>
      <c r="BL158" s="137">
        <f t="shared" si="62"/>
        <v>3.1645680348000003</v>
      </c>
      <c r="BM158" s="137">
        <f t="shared" si="63"/>
        <v>0.33870505914999999</v>
      </c>
    </row>
    <row r="159" spans="1:65" x14ac:dyDescent="0.25">
      <c r="A159" s="149">
        <v>116</v>
      </c>
      <c r="B159" s="149">
        <v>43</v>
      </c>
      <c r="C159" s="61">
        <v>42.359243999999997</v>
      </c>
      <c r="D159" s="61">
        <v>-71.093138999999994</v>
      </c>
      <c r="E159" s="61" t="s">
        <v>265</v>
      </c>
      <c r="F159" s="149">
        <v>53</v>
      </c>
      <c r="G159" s="61" t="s">
        <v>565</v>
      </c>
      <c r="H159" s="61" t="s">
        <v>634</v>
      </c>
      <c r="I159" s="61">
        <v>42.365613000000003</v>
      </c>
      <c r="J159" s="61">
        <v>-71.009559999999993</v>
      </c>
      <c r="K159" s="61">
        <v>7.2270388560000001</v>
      </c>
      <c r="L159" s="61">
        <v>8.6859999999999999</v>
      </c>
      <c r="M159" s="61" t="s">
        <v>617</v>
      </c>
      <c r="N159" s="149">
        <v>42</v>
      </c>
      <c r="O159" s="149">
        <v>43</v>
      </c>
      <c r="P159" s="61" t="s">
        <v>565</v>
      </c>
      <c r="Q159" s="61" t="s">
        <v>555</v>
      </c>
      <c r="R159" s="61">
        <v>40.6895314</v>
      </c>
      <c r="S159" s="61">
        <v>-74.174462399999996</v>
      </c>
      <c r="T159" s="61">
        <v>363.59300000000002</v>
      </c>
      <c r="U159" s="61" t="s">
        <v>617</v>
      </c>
      <c r="V159" s="61" t="s">
        <v>617</v>
      </c>
      <c r="W159" s="61"/>
      <c r="Y159" s="137">
        <f>Summary_LCIA!H$32</f>
        <v>0.33979999999999999</v>
      </c>
      <c r="Z159" s="137">
        <f>Summary_LCIA!Q$32</f>
        <v>4.9560504329999997</v>
      </c>
      <c r="AA159" s="137">
        <f>Summary_LCIA!R$32</f>
        <v>5.2655999999999996E-3</v>
      </c>
      <c r="AB159" s="137">
        <f>Summary_LCIA!S$32</f>
        <v>0.33538000000000001</v>
      </c>
      <c r="AC159" s="137">
        <f>Summary_LCIA!T$32</f>
        <v>0.1099</v>
      </c>
      <c r="AD159" s="137">
        <f>Summary_LCIA!U$32</f>
        <v>1.7913999999999999E-2</v>
      </c>
      <c r="AE159" s="137">
        <f>Summary_LCIA!V$32</f>
        <v>4.7760999999999999E-5</v>
      </c>
      <c r="AF159" s="137">
        <f>Summary_LCIA!W$32</f>
        <v>7.6970999999999998E-2</v>
      </c>
      <c r="AG159" s="137">
        <f>Summary_LCIA!X$32</f>
        <v>2.2780000000000002E-2</v>
      </c>
      <c r="AH159" s="137">
        <f>Summary_LCIA!Y$32</f>
        <v>1.5582E-2</v>
      </c>
      <c r="AI159" s="137">
        <f>Summary_LCIA!Z$32</f>
        <v>4.1009E-5</v>
      </c>
      <c r="AJ159" s="137">
        <f>Summary_LCIA!AA$32</f>
        <v>2.3355999999999998E-2</v>
      </c>
      <c r="AK159" s="137">
        <f>Summary_LCIA!AB$32</f>
        <v>-2.1823000000000001E-5</v>
      </c>
      <c r="AL159" s="137">
        <f>Summary_LCIA!AC$32</f>
        <v>4.8884000000000003E-8</v>
      </c>
      <c r="AM159" s="137">
        <f>Summary_LCIA!AD$32</f>
        <v>4.1103999999999999E-4</v>
      </c>
      <c r="AN159" s="137">
        <f>Summary_LCIA!AE$32</f>
        <v>8.8612999999999995E-4</v>
      </c>
      <c r="AO159" s="137">
        <f>Summary_LCIA!AF$32</f>
        <v>8.4542000000000005E-4</v>
      </c>
      <c r="AP159" s="137">
        <f>Summary_LCIA!AG$32</f>
        <v>5.1165000000000002E-5</v>
      </c>
      <c r="AQ159" s="137">
        <f>Summary_LCIA!AH$32</f>
        <v>8.7036000000000006E-3</v>
      </c>
      <c r="AR159" s="137">
        <f>Summary_LCIA!AI$32</f>
        <v>9.3154999999999996E-4</v>
      </c>
      <c r="AT159" s="137">
        <f t="shared" si="44"/>
        <v>123.54890140000001</v>
      </c>
      <c r="AU159" s="137">
        <f t="shared" si="45"/>
        <v>1801.9852450857691</v>
      </c>
      <c r="AV159" s="137">
        <f t="shared" si="46"/>
        <v>1.9145353007999999</v>
      </c>
      <c r="AW159" s="137">
        <f t="shared" si="47"/>
        <v>121.94182034000001</v>
      </c>
      <c r="AX159" s="137">
        <f t="shared" si="48"/>
        <v>39.958870699999999</v>
      </c>
      <c r="AY159" s="137">
        <f t="shared" si="49"/>
        <v>6.5134050019999998</v>
      </c>
      <c r="AZ159" s="137">
        <f t="shared" si="50"/>
        <v>1.7365565273000001E-2</v>
      </c>
      <c r="BA159" s="137">
        <f t="shared" si="51"/>
        <v>27.986116803000002</v>
      </c>
      <c r="BB159" s="137">
        <f t="shared" si="52"/>
        <v>8.2826485400000003</v>
      </c>
      <c r="BC159" s="137">
        <f t="shared" si="53"/>
        <v>5.6655061260000004</v>
      </c>
      <c r="BD159" s="137">
        <f t="shared" si="54"/>
        <v>1.4910585337000001E-2</v>
      </c>
      <c r="BE159" s="137">
        <f t="shared" si="55"/>
        <v>8.4920781079999994</v>
      </c>
      <c r="BF159" s="137">
        <f t="shared" si="56"/>
        <v>-7.9346900390000006E-3</v>
      </c>
      <c r="BG159" s="137">
        <f t="shared" si="57"/>
        <v>1.7773880212000002E-5</v>
      </c>
      <c r="BH159" s="137">
        <f t="shared" si="58"/>
        <v>0.14945126672</v>
      </c>
      <c r="BI159" s="137">
        <f t="shared" si="59"/>
        <v>0.32219066508999999</v>
      </c>
      <c r="BJ159" s="137">
        <f t="shared" si="60"/>
        <v>0.30738879406000003</v>
      </c>
      <c r="BK159" s="137">
        <f t="shared" si="61"/>
        <v>1.8603235845000003E-2</v>
      </c>
      <c r="BL159" s="137">
        <f t="shared" si="62"/>
        <v>3.1645680348000003</v>
      </c>
      <c r="BM159" s="137">
        <f t="shared" si="63"/>
        <v>0.33870505914999999</v>
      </c>
    </row>
    <row r="160" spans="1:65" x14ac:dyDescent="0.25">
      <c r="A160" s="149">
        <v>346</v>
      </c>
      <c r="B160" s="149">
        <v>43</v>
      </c>
      <c r="C160" s="61">
        <v>42.387597</v>
      </c>
      <c r="D160" s="61">
        <v>-71.099497</v>
      </c>
      <c r="E160" s="61" t="s">
        <v>265</v>
      </c>
      <c r="F160" s="149">
        <v>53</v>
      </c>
      <c r="G160" s="61" t="s">
        <v>565</v>
      </c>
      <c r="H160" s="61" t="s">
        <v>634</v>
      </c>
      <c r="I160" s="61">
        <v>42.365613000000003</v>
      </c>
      <c r="J160" s="61">
        <v>-71.009559999999993</v>
      </c>
      <c r="K160" s="61">
        <v>7.8292299280000002</v>
      </c>
      <c r="L160" s="61">
        <v>10.66</v>
      </c>
      <c r="M160" s="61" t="s">
        <v>617</v>
      </c>
      <c r="N160" s="149">
        <v>42</v>
      </c>
      <c r="O160" s="149">
        <v>43</v>
      </c>
      <c r="P160" s="61" t="s">
        <v>565</v>
      </c>
      <c r="Q160" s="61" t="s">
        <v>555</v>
      </c>
      <c r="R160" s="61">
        <v>40.6895314</v>
      </c>
      <c r="S160" s="61">
        <v>-74.174462399999996</v>
      </c>
      <c r="T160" s="61">
        <v>363.73599999999999</v>
      </c>
      <c r="U160" s="61" t="s">
        <v>617</v>
      </c>
      <c r="V160" s="61" t="s">
        <v>617</v>
      </c>
      <c r="W160" s="61"/>
      <c r="Y160" s="137">
        <f>Summary_LCIA!H$32</f>
        <v>0.33979999999999999</v>
      </c>
      <c r="Z160" s="137">
        <f>Summary_LCIA!Q$32</f>
        <v>4.9560504329999997</v>
      </c>
      <c r="AA160" s="137">
        <f>Summary_LCIA!R$32</f>
        <v>5.2655999999999996E-3</v>
      </c>
      <c r="AB160" s="137">
        <f>Summary_LCIA!S$32</f>
        <v>0.33538000000000001</v>
      </c>
      <c r="AC160" s="137">
        <f>Summary_LCIA!T$32</f>
        <v>0.1099</v>
      </c>
      <c r="AD160" s="137">
        <f>Summary_LCIA!U$32</f>
        <v>1.7913999999999999E-2</v>
      </c>
      <c r="AE160" s="137">
        <f>Summary_LCIA!V$32</f>
        <v>4.7760999999999999E-5</v>
      </c>
      <c r="AF160" s="137">
        <f>Summary_LCIA!W$32</f>
        <v>7.6970999999999998E-2</v>
      </c>
      <c r="AG160" s="137">
        <f>Summary_LCIA!X$32</f>
        <v>2.2780000000000002E-2</v>
      </c>
      <c r="AH160" s="137">
        <f>Summary_LCIA!Y$32</f>
        <v>1.5582E-2</v>
      </c>
      <c r="AI160" s="137">
        <f>Summary_LCIA!Z$32</f>
        <v>4.1009E-5</v>
      </c>
      <c r="AJ160" s="137">
        <f>Summary_LCIA!AA$32</f>
        <v>2.3355999999999998E-2</v>
      </c>
      <c r="AK160" s="137">
        <f>Summary_LCIA!AB$32</f>
        <v>-2.1823000000000001E-5</v>
      </c>
      <c r="AL160" s="137">
        <f>Summary_LCIA!AC$32</f>
        <v>4.8884000000000003E-8</v>
      </c>
      <c r="AM160" s="137">
        <f>Summary_LCIA!AD$32</f>
        <v>4.1103999999999999E-4</v>
      </c>
      <c r="AN160" s="137">
        <f>Summary_LCIA!AE$32</f>
        <v>8.8612999999999995E-4</v>
      </c>
      <c r="AO160" s="137">
        <f>Summary_LCIA!AF$32</f>
        <v>8.4542000000000005E-4</v>
      </c>
      <c r="AP160" s="137">
        <f>Summary_LCIA!AG$32</f>
        <v>5.1165000000000002E-5</v>
      </c>
      <c r="AQ160" s="137">
        <f>Summary_LCIA!AH$32</f>
        <v>8.7036000000000006E-3</v>
      </c>
      <c r="AR160" s="137">
        <f>Summary_LCIA!AI$32</f>
        <v>9.3154999999999996E-4</v>
      </c>
      <c r="AT160" s="137">
        <f t="shared" si="44"/>
        <v>123.5974928</v>
      </c>
      <c r="AU160" s="137">
        <f t="shared" si="45"/>
        <v>1802.6939602976879</v>
      </c>
      <c r="AV160" s="137">
        <f t="shared" si="46"/>
        <v>1.9152882815999999</v>
      </c>
      <c r="AW160" s="137">
        <f t="shared" si="47"/>
        <v>121.98977968</v>
      </c>
      <c r="AX160" s="137">
        <f t="shared" si="48"/>
        <v>39.9745864</v>
      </c>
      <c r="AY160" s="137">
        <f t="shared" si="49"/>
        <v>6.5159667039999993</v>
      </c>
      <c r="AZ160" s="137">
        <f t="shared" si="50"/>
        <v>1.7372395095999998E-2</v>
      </c>
      <c r="BA160" s="137">
        <f t="shared" si="51"/>
        <v>27.997123655999999</v>
      </c>
      <c r="BB160" s="137">
        <f t="shared" si="52"/>
        <v>8.2859060800000002</v>
      </c>
      <c r="BC160" s="137">
        <f t="shared" si="53"/>
        <v>5.6677343520000001</v>
      </c>
      <c r="BD160" s="137">
        <f t="shared" si="54"/>
        <v>1.4916449623999999E-2</v>
      </c>
      <c r="BE160" s="137">
        <f t="shared" si="55"/>
        <v>8.4954180159999986</v>
      </c>
      <c r="BF160" s="137">
        <f t="shared" si="56"/>
        <v>-7.9378107280000006E-3</v>
      </c>
      <c r="BG160" s="137">
        <f t="shared" si="57"/>
        <v>1.7780870624E-5</v>
      </c>
      <c r="BH160" s="137">
        <f t="shared" si="58"/>
        <v>0.14951004543999999</v>
      </c>
      <c r="BI160" s="137">
        <f t="shared" si="59"/>
        <v>0.32231738167999996</v>
      </c>
      <c r="BJ160" s="137">
        <f t="shared" si="60"/>
        <v>0.30750968911999998</v>
      </c>
      <c r="BK160" s="137">
        <f t="shared" si="61"/>
        <v>1.8610552440000001E-2</v>
      </c>
      <c r="BL160" s="137">
        <f t="shared" si="62"/>
        <v>3.1658126496000003</v>
      </c>
      <c r="BM160" s="137">
        <f t="shared" si="63"/>
        <v>0.33883827079999995</v>
      </c>
    </row>
    <row r="161" spans="1:65" x14ac:dyDescent="0.25">
      <c r="A161" s="149">
        <v>160</v>
      </c>
      <c r="B161" s="149">
        <v>43</v>
      </c>
      <c r="C161" s="61">
        <v>42.360081999999998</v>
      </c>
      <c r="D161" s="61">
        <v>-71.058880000000002</v>
      </c>
      <c r="E161" s="61" t="s">
        <v>265</v>
      </c>
      <c r="F161" s="149">
        <v>53</v>
      </c>
      <c r="G161" s="61" t="s">
        <v>565</v>
      </c>
      <c r="H161" s="61" t="s">
        <v>634</v>
      </c>
      <c r="I161" s="61">
        <v>42.365613000000003</v>
      </c>
      <c r="J161" s="61">
        <v>-71.009559999999993</v>
      </c>
      <c r="K161" s="61">
        <v>4.3433329829999998</v>
      </c>
      <c r="L161" s="61">
        <v>5.3479999999999999</v>
      </c>
      <c r="M161" s="61" t="s">
        <v>617</v>
      </c>
      <c r="N161" s="149">
        <v>42</v>
      </c>
      <c r="O161" s="149">
        <v>43</v>
      </c>
      <c r="P161" s="61" t="s">
        <v>565</v>
      </c>
      <c r="Q161" s="61" t="s">
        <v>555</v>
      </c>
      <c r="R161" s="61">
        <v>40.6895314</v>
      </c>
      <c r="S161" s="61">
        <v>-74.174462399999996</v>
      </c>
      <c r="T161" s="61">
        <v>367.16399999999999</v>
      </c>
      <c r="U161" s="61" t="s">
        <v>617</v>
      </c>
      <c r="V161" s="61" t="s">
        <v>617</v>
      </c>
      <c r="W161" s="61"/>
      <c r="Y161" s="137">
        <f>Summary_LCIA!H$32</f>
        <v>0.33979999999999999</v>
      </c>
      <c r="Z161" s="137">
        <f>Summary_LCIA!Q$32</f>
        <v>4.9560504329999997</v>
      </c>
      <c r="AA161" s="137">
        <f>Summary_LCIA!R$32</f>
        <v>5.2655999999999996E-3</v>
      </c>
      <c r="AB161" s="137">
        <f>Summary_LCIA!S$32</f>
        <v>0.33538000000000001</v>
      </c>
      <c r="AC161" s="137">
        <f>Summary_LCIA!T$32</f>
        <v>0.1099</v>
      </c>
      <c r="AD161" s="137">
        <f>Summary_LCIA!U$32</f>
        <v>1.7913999999999999E-2</v>
      </c>
      <c r="AE161" s="137">
        <f>Summary_LCIA!V$32</f>
        <v>4.7760999999999999E-5</v>
      </c>
      <c r="AF161" s="137">
        <f>Summary_LCIA!W$32</f>
        <v>7.6970999999999998E-2</v>
      </c>
      <c r="AG161" s="137">
        <f>Summary_LCIA!X$32</f>
        <v>2.2780000000000002E-2</v>
      </c>
      <c r="AH161" s="137">
        <f>Summary_LCIA!Y$32</f>
        <v>1.5582E-2</v>
      </c>
      <c r="AI161" s="137">
        <f>Summary_LCIA!Z$32</f>
        <v>4.1009E-5</v>
      </c>
      <c r="AJ161" s="137">
        <f>Summary_LCIA!AA$32</f>
        <v>2.3355999999999998E-2</v>
      </c>
      <c r="AK161" s="137">
        <f>Summary_LCIA!AB$32</f>
        <v>-2.1823000000000001E-5</v>
      </c>
      <c r="AL161" s="137">
        <f>Summary_LCIA!AC$32</f>
        <v>4.8884000000000003E-8</v>
      </c>
      <c r="AM161" s="137">
        <f>Summary_LCIA!AD$32</f>
        <v>4.1103999999999999E-4</v>
      </c>
      <c r="AN161" s="137">
        <f>Summary_LCIA!AE$32</f>
        <v>8.8612999999999995E-4</v>
      </c>
      <c r="AO161" s="137">
        <f>Summary_LCIA!AF$32</f>
        <v>8.4542000000000005E-4</v>
      </c>
      <c r="AP161" s="137">
        <f>Summary_LCIA!AG$32</f>
        <v>5.1165000000000002E-5</v>
      </c>
      <c r="AQ161" s="137">
        <f>Summary_LCIA!AH$32</f>
        <v>8.7036000000000006E-3</v>
      </c>
      <c r="AR161" s="137">
        <f>Summary_LCIA!AI$32</f>
        <v>9.3154999999999996E-4</v>
      </c>
      <c r="AT161" s="137">
        <f t="shared" si="44"/>
        <v>124.76232719999999</v>
      </c>
      <c r="AU161" s="137">
        <f t="shared" si="45"/>
        <v>1819.6833011820117</v>
      </c>
      <c r="AV161" s="137">
        <f t="shared" si="46"/>
        <v>1.9333387583999997</v>
      </c>
      <c r="AW161" s="137">
        <f t="shared" si="47"/>
        <v>123.13946232000001</v>
      </c>
      <c r="AX161" s="137">
        <f t="shared" si="48"/>
        <v>40.351323600000001</v>
      </c>
      <c r="AY161" s="137">
        <f t="shared" si="49"/>
        <v>6.5773758959999995</v>
      </c>
      <c r="AZ161" s="137">
        <f t="shared" si="50"/>
        <v>1.7536119803999998E-2</v>
      </c>
      <c r="BA161" s="137">
        <f t="shared" si="51"/>
        <v>28.260980243999999</v>
      </c>
      <c r="BB161" s="137">
        <f t="shared" si="52"/>
        <v>8.3639959200000007</v>
      </c>
      <c r="BC161" s="137">
        <f t="shared" si="53"/>
        <v>5.7211494480000002</v>
      </c>
      <c r="BD161" s="137">
        <f t="shared" si="54"/>
        <v>1.5057028476E-2</v>
      </c>
      <c r="BE161" s="137">
        <f t="shared" si="55"/>
        <v>8.575482383999999</v>
      </c>
      <c r="BF161" s="137">
        <f t="shared" si="56"/>
        <v>-8.0126199719999999E-3</v>
      </c>
      <c r="BG161" s="137">
        <f t="shared" si="57"/>
        <v>1.7948444976000001E-5</v>
      </c>
      <c r="BH161" s="137">
        <f t="shared" si="58"/>
        <v>0.15091909056</v>
      </c>
      <c r="BI161" s="137">
        <f t="shared" si="59"/>
        <v>0.32535503531999999</v>
      </c>
      <c r="BJ161" s="137">
        <f t="shared" si="60"/>
        <v>0.31040778887999998</v>
      </c>
      <c r="BK161" s="137">
        <f t="shared" si="61"/>
        <v>1.8785946059999999E-2</v>
      </c>
      <c r="BL161" s="137">
        <f t="shared" si="62"/>
        <v>3.1956485904000003</v>
      </c>
      <c r="BM161" s="137">
        <f t="shared" si="63"/>
        <v>0.3420316242</v>
      </c>
    </row>
    <row r="162" spans="1:65" x14ac:dyDescent="0.25">
      <c r="A162" s="149">
        <v>161</v>
      </c>
      <c r="B162" s="149">
        <v>43</v>
      </c>
      <c r="C162" s="61">
        <v>42.360081999999998</v>
      </c>
      <c r="D162" s="61">
        <v>-71.058880000000002</v>
      </c>
      <c r="E162" s="61" t="s">
        <v>265</v>
      </c>
      <c r="F162" s="149">
        <v>53</v>
      </c>
      <c r="G162" s="61" t="s">
        <v>565</v>
      </c>
      <c r="H162" s="61" t="s">
        <v>634</v>
      </c>
      <c r="I162" s="61">
        <v>42.365613000000003</v>
      </c>
      <c r="J162" s="61">
        <v>-71.009559999999993</v>
      </c>
      <c r="K162" s="61">
        <v>4.3433329829999998</v>
      </c>
      <c r="L162" s="61">
        <v>5.3479999999999999</v>
      </c>
      <c r="M162" s="61" t="s">
        <v>617</v>
      </c>
      <c r="N162" s="149">
        <v>42</v>
      </c>
      <c r="O162" s="149">
        <v>43</v>
      </c>
      <c r="P162" s="61" t="s">
        <v>565</v>
      </c>
      <c r="Q162" s="61" t="s">
        <v>555</v>
      </c>
      <c r="R162" s="61">
        <v>40.6895314</v>
      </c>
      <c r="S162" s="61">
        <v>-74.174462399999996</v>
      </c>
      <c r="T162" s="61">
        <v>367.16399999999999</v>
      </c>
      <c r="U162" s="61" t="s">
        <v>617</v>
      </c>
      <c r="V162" s="61" t="s">
        <v>617</v>
      </c>
      <c r="W162" s="61"/>
      <c r="Y162" s="137">
        <f>Summary_LCIA!H$32</f>
        <v>0.33979999999999999</v>
      </c>
      <c r="Z162" s="137">
        <f>Summary_LCIA!Q$32</f>
        <v>4.9560504329999997</v>
      </c>
      <c r="AA162" s="137">
        <f>Summary_LCIA!R$32</f>
        <v>5.2655999999999996E-3</v>
      </c>
      <c r="AB162" s="137">
        <f>Summary_LCIA!S$32</f>
        <v>0.33538000000000001</v>
      </c>
      <c r="AC162" s="137">
        <f>Summary_LCIA!T$32</f>
        <v>0.1099</v>
      </c>
      <c r="AD162" s="137">
        <f>Summary_LCIA!U$32</f>
        <v>1.7913999999999999E-2</v>
      </c>
      <c r="AE162" s="137">
        <f>Summary_LCIA!V$32</f>
        <v>4.7760999999999999E-5</v>
      </c>
      <c r="AF162" s="137">
        <f>Summary_LCIA!W$32</f>
        <v>7.6970999999999998E-2</v>
      </c>
      <c r="AG162" s="137">
        <f>Summary_LCIA!X$32</f>
        <v>2.2780000000000002E-2</v>
      </c>
      <c r="AH162" s="137">
        <f>Summary_LCIA!Y$32</f>
        <v>1.5582E-2</v>
      </c>
      <c r="AI162" s="137">
        <f>Summary_LCIA!Z$32</f>
        <v>4.1009E-5</v>
      </c>
      <c r="AJ162" s="137">
        <f>Summary_LCIA!AA$32</f>
        <v>2.3355999999999998E-2</v>
      </c>
      <c r="AK162" s="137">
        <f>Summary_LCIA!AB$32</f>
        <v>-2.1823000000000001E-5</v>
      </c>
      <c r="AL162" s="137">
        <f>Summary_LCIA!AC$32</f>
        <v>4.8884000000000003E-8</v>
      </c>
      <c r="AM162" s="137">
        <f>Summary_LCIA!AD$32</f>
        <v>4.1103999999999999E-4</v>
      </c>
      <c r="AN162" s="137">
        <f>Summary_LCIA!AE$32</f>
        <v>8.8612999999999995E-4</v>
      </c>
      <c r="AO162" s="137">
        <f>Summary_LCIA!AF$32</f>
        <v>8.4542000000000005E-4</v>
      </c>
      <c r="AP162" s="137">
        <f>Summary_LCIA!AG$32</f>
        <v>5.1165000000000002E-5</v>
      </c>
      <c r="AQ162" s="137">
        <f>Summary_LCIA!AH$32</f>
        <v>8.7036000000000006E-3</v>
      </c>
      <c r="AR162" s="137">
        <f>Summary_LCIA!AI$32</f>
        <v>9.3154999999999996E-4</v>
      </c>
      <c r="AT162" s="137">
        <f t="shared" si="44"/>
        <v>124.76232719999999</v>
      </c>
      <c r="AU162" s="137">
        <f t="shared" si="45"/>
        <v>1819.6833011820117</v>
      </c>
      <c r="AV162" s="137">
        <f t="shared" si="46"/>
        <v>1.9333387583999997</v>
      </c>
      <c r="AW162" s="137">
        <f t="shared" si="47"/>
        <v>123.13946232000001</v>
      </c>
      <c r="AX162" s="137">
        <f t="shared" si="48"/>
        <v>40.351323600000001</v>
      </c>
      <c r="AY162" s="137">
        <f t="shared" si="49"/>
        <v>6.5773758959999995</v>
      </c>
      <c r="AZ162" s="137">
        <f t="shared" si="50"/>
        <v>1.7536119803999998E-2</v>
      </c>
      <c r="BA162" s="137">
        <f t="shared" si="51"/>
        <v>28.260980243999999</v>
      </c>
      <c r="BB162" s="137">
        <f t="shared" si="52"/>
        <v>8.3639959200000007</v>
      </c>
      <c r="BC162" s="137">
        <f t="shared" si="53"/>
        <v>5.7211494480000002</v>
      </c>
      <c r="BD162" s="137">
        <f t="shared" si="54"/>
        <v>1.5057028476E-2</v>
      </c>
      <c r="BE162" s="137">
        <f t="shared" si="55"/>
        <v>8.575482383999999</v>
      </c>
      <c r="BF162" s="137">
        <f t="shared" si="56"/>
        <v>-8.0126199719999999E-3</v>
      </c>
      <c r="BG162" s="137">
        <f t="shared" si="57"/>
        <v>1.7948444976000001E-5</v>
      </c>
      <c r="BH162" s="137">
        <f t="shared" si="58"/>
        <v>0.15091909056</v>
      </c>
      <c r="BI162" s="137">
        <f t="shared" si="59"/>
        <v>0.32535503531999999</v>
      </c>
      <c r="BJ162" s="137">
        <f t="shared" si="60"/>
        <v>0.31040778887999998</v>
      </c>
      <c r="BK162" s="137">
        <f t="shared" si="61"/>
        <v>1.8785946059999999E-2</v>
      </c>
      <c r="BL162" s="137">
        <f t="shared" si="62"/>
        <v>3.1956485904000003</v>
      </c>
      <c r="BM162" s="137">
        <f t="shared" si="63"/>
        <v>0.3420316242</v>
      </c>
    </row>
    <row r="163" spans="1:65" x14ac:dyDescent="0.25">
      <c r="A163" s="149">
        <v>162</v>
      </c>
      <c r="B163" s="149">
        <v>43</v>
      </c>
      <c r="C163" s="61">
        <v>42.360081999999998</v>
      </c>
      <c r="D163" s="61">
        <v>-71.058880000000002</v>
      </c>
      <c r="E163" s="61" t="s">
        <v>265</v>
      </c>
      <c r="F163" s="149">
        <v>53</v>
      </c>
      <c r="G163" s="61" t="s">
        <v>565</v>
      </c>
      <c r="H163" s="61" t="s">
        <v>634</v>
      </c>
      <c r="I163" s="61">
        <v>42.365613000000003</v>
      </c>
      <c r="J163" s="61">
        <v>-71.009559999999993</v>
      </c>
      <c r="K163" s="61">
        <v>4.3433329829999998</v>
      </c>
      <c r="L163" s="61">
        <v>5.3479999999999999</v>
      </c>
      <c r="M163" s="61" t="s">
        <v>617</v>
      </c>
      <c r="N163" s="149">
        <v>42</v>
      </c>
      <c r="O163" s="149">
        <v>43</v>
      </c>
      <c r="P163" s="61" t="s">
        <v>565</v>
      </c>
      <c r="Q163" s="61" t="s">
        <v>555</v>
      </c>
      <c r="R163" s="61">
        <v>40.6895314</v>
      </c>
      <c r="S163" s="61">
        <v>-74.174462399999996</v>
      </c>
      <c r="T163" s="61">
        <v>367.16399999999999</v>
      </c>
      <c r="U163" s="61" t="s">
        <v>617</v>
      </c>
      <c r="V163" s="61" t="s">
        <v>617</v>
      </c>
      <c r="W163" s="61"/>
      <c r="Y163" s="137">
        <f>Summary_LCIA!H$32</f>
        <v>0.33979999999999999</v>
      </c>
      <c r="Z163" s="137">
        <f>Summary_LCIA!Q$32</f>
        <v>4.9560504329999997</v>
      </c>
      <c r="AA163" s="137">
        <f>Summary_LCIA!R$32</f>
        <v>5.2655999999999996E-3</v>
      </c>
      <c r="AB163" s="137">
        <f>Summary_LCIA!S$32</f>
        <v>0.33538000000000001</v>
      </c>
      <c r="AC163" s="137">
        <f>Summary_LCIA!T$32</f>
        <v>0.1099</v>
      </c>
      <c r="AD163" s="137">
        <f>Summary_LCIA!U$32</f>
        <v>1.7913999999999999E-2</v>
      </c>
      <c r="AE163" s="137">
        <f>Summary_LCIA!V$32</f>
        <v>4.7760999999999999E-5</v>
      </c>
      <c r="AF163" s="137">
        <f>Summary_LCIA!W$32</f>
        <v>7.6970999999999998E-2</v>
      </c>
      <c r="AG163" s="137">
        <f>Summary_LCIA!X$32</f>
        <v>2.2780000000000002E-2</v>
      </c>
      <c r="AH163" s="137">
        <f>Summary_LCIA!Y$32</f>
        <v>1.5582E-2</v>
      </c>
      <c r="AI163" s="137">
        <f>Summary_LCIA!Z$32</f>
        <v>4.1009E-5</v>
      </c>
      <c r="AJ163" s="137">
        <f>Summary_LCIA!AA$32</f>
        <v>2.3355999999999998E-2</v>
      </c>
      <c r="AK163" s="137">
        <f>Summary_LCIA!AB$32</f>
        <v>-2.1823000000000001E-5</v>
      </c>
      <c r="AL163" s="137">
        <f>Summary_LCIA!AC$32</f>
        <v>4.8884000000000003E-8</v>
      </c>
      <c r="AM163" s="137">
        <f>Summary_LCIA!AD$32</f>
        <v>4.1103999999999999E-4</v>
      </c>
      <c r="AN163" s="137">
        <f>Summary_LCIA!AE$32</f>
        <v>8.8612999999999995E-4</v>
      </c>
      <c r="AO163" s="137">
        <f>Summary_LCIA!AF$32</f>
        <v>8.4542000000000005E-4</v>
      </c>
      <c r="AP163" s="137">
        <f>Summary_LCIA!AG$32</f>
        <v>5.1165000000000002E-5</v>
      </c>
      <c r="AQ163" s="137">
        <f>Summary_LCIA!AH$32</f>
        <v>8.7036000000000006E-3</v>
      </c>
      <c r="AR163" s="137">
        <f>Summary_LCIA!AI$32</f>
        <v>9.3154999999999996E-4</v>
      </c>
      <c r="AT163" s="137">
        <f t="shared" si="44"/>
        <v>124.76232719999999</v>
      </c>
      <c r="AU163" s="137">
        <f t="shared" si="45"/>
        <v>1819.6833011820117</v>
      </c>
      <c r="AV163" s="137">
        <f t="shared" si="46"/>
        <v>1.9333387583999997</v>
      </c>
      <c r="AW163" s="137">
        <f t="shared" si="47"/>
        <v>123.13946232000001</v>
      </c>
      <c r="AX163" s="137">
        <f t="shared" si="48"/>
        <v>40.351323600000001</v>
      </c>
      <c r="AY163" s="137">
        <f t="shared" si="49"/>
        <v>6.5773758959999995</v>
      </c>
      <c r="AZ163" s="137">
        <f t="shared" si="50"/>
        <v>1.7536119803999998E-2</v>
      </c>
      <c r="BA163" s="137">
        <f t="shared" si="51"/>
        <v>28.260980243999999</v>
      </c>
      <c r="BB163" s="137">
        <f t="shared" si="52"/>
        <v>8.3639959200000007</v>
      </c>
      <c r="BC163" s="137">
        <f t="shared" si="53"/>
        <v>5.7211494480000002</v>
      </c>
      <c r="BD163" s="137">
        <f t="shared" si="54"/>
        <v>1.5057028476E-2</v>
      </c>
      <c r="BE163" s="137">
        <f t="shared" si="55"/>
        <v>8.575482383999999</v>
      </c>
      <c r="BF163" s="137">
        <f t="shared" si="56"/>
        <v>-8.0126199719999999E-3</v>
      </c>
      <c r="BG163" s="137">
        <f t="shared" si="57"/>
        <v>1.7948444976000001E-5</v>
      </c>
      <c r="BH163" s="137">
        <f t="shared" si="58"/>
        <v>0.15091909056</v>
      </c>
      <c r="BI163" s="137">
        <f t="shared" si="59"/>
        <v>0.32535503531999999</v>
      </c>
      <c r="BJ163" s="137">
        <f t="shared" si="60"/>
        <v>0.31040778887999998</v>
      </c>
      <c r="BK163" s="137">
        <f t="shared" si="61"/>
        <v>1.8785946059999999E-2</v>
      </c>
      <c r="BL163" s="137">
        <f t="shared" si="62"/>
        <v>3.1956485904000003</v>
      </c>
      <c r="BM163" s="137">
        <f t="shared" si="63"/>
        <v>0.3420316242</v>
      </c>
    </row>
    <row r="164" spans="1:65" x14ac:dyDescent="0.25">
      <c r="A164" s="149">
        <v>163</v>
      </c>
      <c r="B164" s="149">
        <v>43</v>
      </c>
      <c r="C164" s="61">
        <v>42.360081999999998</v>
      </c>
      <c r="D164" s="61">
        <v>-71.058880000000002</v>
      </c>
      <c r="E164" s="61" t="s">
        <v>265</v>
      </c>
      <c r="F164" s="149">
        <v>53</v>
      </c>
      <c r="G164" s="61" t="s">
        <v>565</v>
      </c>
      <c r="H164" s="61" t="s">
        <v>634</v>
      </c>
      <c r="I164" s="61">
        <v>42.365613000000003</v>
      </c>
      <c r="J164" s="61">
        <v>-71.009559999999993</v>
      </c>
      <c r="K164" s="61">
        <v>4.3433329829999998</v>
      </c>
      <c r="L164" s="61">
        <v>5.3479999999999999</v>
      </c>
      <c r="M164" s="61" t="s">
        <v>617</v>
      </c>
      <c r="N164" s="149">
        <v>42</v>
      </c>
      <c r="O164" s="149">
        <v>43</v>
      </c>
      <c r="P164" s="61" t="s">
        <v>565</v>
      </c>
      <c r="Q164" s="61" t="s">
        <v>555</v>
      </c>
      <c r="R164" s="61">
        <v>40.6895314</v>
      </c>
      <c r="S164" s="61">
        <v>-74.174462399999996</v>
      </c>
      <c r="T164" s="61">
        <v>367.16399999999999</v>
      </c>
      <c r="U164" s="61" t="s">
        <v>617</v>
      </c>
      <c r="V164" s="61" t="s">
        <v>617</v>
      </c>
      <c r="W164" s="61"/>
      <c r="Y164" s="137">
        <f>Summary_LCIA!H$32</f>
        <v>0.33979999999999999</v>
      </c>
      <c r="Z164" s="137">
        <f>Summary_LCIA!Q$32</f>
        <v>4.9560504329999997</v>
      </c>
      <c r="AA164" s="137">
        <f>Summary_LCIA!R$32</f>
        <v>5.2655999999999996E-3</v>
      </c>
      <c r="AB164" s="137">
        <f>Summary_LCIA!S$32</f>
        <v>0.33538000000000001</v>
      </c>
      <c r="AC164" s="137">
        <f>Summary_LCIA!T$32</f>
        <v>0.1099</v>
      </c>
      <c r="AD164" s="137">
        <f>Summary_LCIA!U$32</f>
        <v>1.7913999999999999E-2</v>
      </c>
      <c r="AE164" s="137">
        <f>Summary_LCIA!V$32</f>
        <v>4.7760999999999999E-5</v>
      </c>
      <c r="AF164" s="137">
        <f>Summary_LCIA!W$32</f>
        <v>7.6970999999999998E-2</v>
      </c>
      <c r="AG164" s="137">
        <f>Summary_LCIA!X$32</f>
        <v>2.2780000000000002E-2</v>
      </c>
      <c r="AH164" s="137">
        <f>Summary_LCIA!Y$32</f>
        <v>1.5582E-2</v>
      </c>
      <c r="AI164" s="137">
        <f>Summary_LCIA!Z$32</f>
        <v>4.1009E-5</v>
      </c>
      <c r="AJ164" s="137">
        <f>Summary_LCIA!AA$32</f>
        <v>2.3355999999999998E-2</v>
      </c>
      <c r="AK164" s="137">
        <f>Summary_LCIA!AB$32</f>
        <v>-2.1823000000000001E-5</v>
      </c>
      <c r="AL164" s="137">
        <f>Summary_LCIA!AC$32</f>
        <v>4.8884000000000003E-8</v>
      </c>
      <c r="AM164" s="137">
        <f>Summary_LCIA!AD$32</f>
        <v>4.1103999999999999E-4</v>
      </c>
      <c r="AN164" s="137">
        <f>Summary_LCIA!AE$32</f>
        <v>8.8612999999999995E-4</v>
      </c>
      <c r="AO164" s="137">
        <f>Summary_LCIA!AF$32</f>
        <v>8.4542000000000005E-4</v>
      </c>
      <c r="AP164" s="137">
        <f>Summary_LCIA!AG$32</f>
        <v>5.1165000000000002E-5</v>
      </c>
      <c r="AQ164" s="137">
        <f>Summary_LCIA!AH$32</f>
        <v>8.7036000000000006E-3</v>
      </c>
      <c r="AR164" s="137">
        <f>Summary_LCIA!AI$32</f>
        <v>9.3154999999999996E-4</v>
      </c>
      <c r="AT164" s="137">
        <f t="shared" si="44"/>
        <v>124.76232719999999</v>
      </c>
      <c r="AU164" s="137">
        <f t="shared" si="45"/>
        <v>1819.6833011820117</v>
      </c>
      <c r="AV164" s="137">
        <f t="shared" si="46"/>
        <v>1.9333387583999997</v>
      </c>
      <c r="AW164" s="137">
        <f t="shared" si="47"/>
        <v>123.13946232000001</v>
      </c>
      <c r="AX164" s="137">
        <f t="shared" si="48"/>
        <v>40.351323600000001</v>
      </c>
      <c r="AY164" s="137">
        <f t="shared" si="49"/>
        <v>6.5773758959999995</v>
      </c>
      <c r="AZ164" s="137">
        <f t="shared" si="50"/>
        <v>1.7536119803999998E-2</v>
      </c>
      <c r="BA164" s="137">
        <f t="shared" si="51"/>
        <v>28.260980243999999</v>
      </c>
      <c r="BB164" s="137">
        <f t="shared" si="52"/>
        <v>8.3639959200000007</v>
      </c>
      <c r="BC164" s="137">
        <f t="shared" si="53"/>
        <v>5.7211494480000002</v>
      </c>
      <c r="BD164" s="137">
        <f t="shared" si="54"/>
        <v>1.5057028476E-2</v>
      </c>
      <c r="BE164" s="137">
        <f t="shared" si="55"/>
        <v>8.575482383999999</v>
      </c>
      <c r="BF164" s="137">
        <f t="shared" si="56"/>
        <v>-8.0126199719999999E-3</v>
      </c>
      <c r="BG164" s="137">
        <f t="shared" si="57"/>
        <v>1.7948444976000001E-5</v>
      </c>
      <c r="BH164" s="137">
        <f t="shared" si="58"/>
        <v>0.15091909056</v>
      </c>
      <c r="BI164" s="137">
        <f t="shared" si="59"/>
        <v>0.32535503531999999</v>
      </c>
      <c r="BJ164" s="137">
        <f t="shared" si="60"/>
        <v>0.31040778887999998</v>
      </c>
      <c r="BK164" s="137">
        <f t="shared" si="61"/>
        <v>1.8785946059999999E-2</v>
      </c>
      <c r="BL164" s="137">
        <f t="shared" si="62"/>
        <v>3.1956485904000003</v>
      </c>
      <c r="BM164" s="137">
        <f t="shared" si="63"/>
        <v>0.3420316242</v>
      </c>
    </row>
    <row r="165" spans="1:65" x14ac:dyDescent="0.25">
      <c r="A165" s="149">
        <v>164</v>
      </c>
      <c r="B165" s="149">
        <v>43</v>
      </c>
      <c r="C165" s="61">
        <v>42.360081999999998</v>
      </c>
      <c r="D165" s="61">
        <v>-71.058880000000002</v>
      </c>
      <c r="E165" s="61" t="s">
        <v>265</v>
      </c>
      <c r="F165" s="149">
        <v>53</v>
      </c>
      <c r="G165" s="61" t="s">
        <v>565</v>
      </c>
      <c r="H165" s="61" t="s">
        <v>634</v>
      </c>
      <c r="I165" s="61">
        <v>42.365613000000003</v>
      </c>
      <c r="J165" s="61">
        <v>-71.009559999999993</v>
      </c>
      <c r="K165" s="61">
        <v>4.3433329829999998</v>
      </c>
      <c r="L165" s="61">
        <v>5.3479999999999999</v>
      </c>
      <c r="M165" s="61" t="s">
        <v>617</v>
      </c>
      <c r="N165" s="149">
        <v>42</v>
      </c>
      <c r="O165" s="149">
        <v>43</v>
      </c>
      <c r="P165" s="61" t="s">
        <v>565</v>
      </c>
      <c r="Q165" s="61" t="s">
        <v>555</v>
      </c>
      <c r="R165" s="61">
        <v>40.6895314</v>
      </c>
      <c r="S165" s="61">
        <v>-74.174462399999996</v>
      </c>
      <c r="T165" s="61">
        <v>367.16399999999999</v>
      </c>
      <c r="U165" s="61" t="s">
        <v>617</v>
      </c>
      <c r="V165" s="61" t="s">
        <v>617</v>
      </c>
      <c r="W165" s="61"/>
      <c r="Y165" s="137">
        <f>Summary_LCIA!H$32</f>
        <v>0.33979999999999999</v>
      </c>
      <c r="Z165" s="137">
        <f>Summary_LCIA!Q$32</f>
        <v>4.9560504329999997</v>
      </c>
      <c r="AA165" s="137">
        <f>Summary_LCIA!R$32</f>
        <v>5.2655999999999996E-3</v>
      </c>
      <c r="AB165" s="137">
        <f>Summary_LCIA!S$32</f>
        <v>0.33538000000000001</v>
      </c>
      <c r="AC165" s="137">
        <f>Summary_LCIA!T$32</f>
        <v>0.1099</v>
      </c>
      <c r="AD165" s="137">
        <f>Summary_LCIA!U$32</f>
        <v>1.7913999999999999E-2</v>
      </c>
      <c r="AE165" s="137">
        <f>Summary_LCIA!V$32</f>
        <v>4.7760999999999999E-5</v>
      </c>
      <c r="AF165" s="137">
        <f>Summary_LCIA!W$32</f>
        <v>7.6970999999999998E-2</v>
      </c>
      <c r="AG165" s="137">
        <f>Summary_LCIA!X$32</f>
        <v>2.2780000000000002E-2</v>
      </c>
      <c r="AH165" s="137">
        <f>Summary_LCIA!Y$32</f>
        <v>1.5582E-2</v>
      </c>
      <c r="AI165" s="137">
        <f>Summary_LCIA!Z$32</f>
        <v>4.1009E-5</v>
      </c>
      <c r="AJ165" s="137">
        <f>Summary_LCIA!AA$32</f>
        <v>2.3355999999999998E-2</v>
      </c>
      <c r="AK165" s="137">
        <f>Summary_LCIA!AB$32</f>
        <v>-2.1823000000000001E-5</v>
      </c>
      <c r="AL165" s="137">
        <f>Summary_LCIA!AC$32</f>
        <v>4.8884000000000003E-8</v>
      </c>
      <c r="AM165" s="137">
        <f>Summary_LCIA!AD$32</f>
        <v>4.1103999999999999E-4</v>
      </c>
      <c r="AN165" s="137">
        <f>Summary_LCIA!AE$32</f>
        <v>8.8612999999999995E-4</v>
      </c>
      <c r="AO165" s="137">
        <f>Summary_LCIA!AF$32</f>
        <v>8.4542000000000005E-4</v>
      </c>
      <c r="AP165" s="137">
        <f>Summary_LCIA!AG$32</f>
        <v>5.1165000000000002E-5</v>
      </c>
      <c r="AQ165" s="137">
        <f>Summary_LCIA!AH$32</f>
        <v>8.7036000000000006E-3</v>
      </c>
      <c r="AR165" s="137">
        <f>Summary_LCIA!AI$32</f>
        <v>9.3154999999999996E-4</v>
      </c>
      <c r="AT165" s="137">
        <f t="shared" si="44"/>
        <v>124.76232719999999</v>
      </c>
      <c r="AU165" s="137">
        <f t="shared" si="45"/>
        <v>1819.6833011820117</v>
      </c>
      <c r="AV165" s="137">
        <f t="shared" si="46"/>
        <v>1.9333387583999997</v>
      </c>
      <c r="AW165" s="137">
        <f t="shared" si="47"/>
        <v>123.13946232000001</v>
      </c>
      <c r="AX165" s="137">
        <f t="shared" si="48"/>
        <v>40.351323600000001</v>
      </c>
      <c r="AY165" s="137">
        <f t="shared" si="49"/>
        <v>6.5773758959999995</v>
      </c>
      <c r="AZ165" s="137">
        <f t="shared" si="50"/>
        <v>1.7536119803999998E-2</v>
      </c>
      <c r="BA165" s="137">
        <f t="shared" si="51"/>
        <v>28.260980243999999</v>
      </c>
      <c r="BB165" s="137">
        <f t="shared" si="52"/>
        <v>8.3639959200000007</v>
      </c>
      <c r="BC165" s="137">
        <f t="shared" si="53"/>
        <v>5.7211494480000002</v>
      </c>
      <c r="BD165" s="137">
        <f t="shared" si="54"/>
        <v>1.5057028476E-2</v>
      </c>
      <c r="BE165" s="137">
        <f t="shared" si="55"/>
        <v>8.575482383999999</v>
      </c>
      <c r="BF165" s="137">
        <f t="shared" si="56"/>
        <v>-8.0126199719999999E-3</v>
      </c>
      <c r="BG165" s="137">
        <f t="shared" si="57"/>
        <v>1.7948444976000001E-5</v>
      </c>
      <c r="BH165" s="137">
        <f t="shared" si="58"/>
        <v>0.15091909056</v>
      </c>
      <c r="BI165" s="137">
        <f t="shared" si="59"/>
        <v>0.32535503531999999</v>
      </c>
      <c r="BJ165" s="137">
        <f t="shared" si="60"/>
        <v>0.31040778887999998</v>
      </c>
      <c r="BK165" s="137">
        <f t="shared" si="61"/>
        <v>1.8785946059999999E-2</v>
      </c>
      <c r="BL165" s="137">
        <f t="shared" si="62"/>
        <v>3.1956485904000003</v>
      </c>
      <c r="BM165" s="137">
        <f t="shared" si="63"/>
        <v>0.3420316242</v>
      </c>
    </row>
    <row r="166" spans="1:65" x14ac:dyDescent="0.25">
      <c r="A166" s="149">
        <v>165</v>
      </c>
      <c r="B166" s="149">
        <v>43</v>
      </c>
      <c r="C166" s="61">
        <v>42.360081999999998</v>
      </c>
      <c r="D166" s="61">
        <v>-71.058880000000002</v>
      </c>
      <c r="E166" s="61" t="s">
        <v>265</v>
      </c>
      <c r="F166" s="149">
        <v>53</v>
      </c>
      <c r="G166" s="61" t="s">
        <v>565</v>
      </c>
      <c r="H166" s="61" t="s">
        <v>634</v>
      </c>
      <c r="I166" s="61">
        <v>42.365613000000003</v>
      </c>
      <c r="J166" s="61">
        <v>-71.009559999999993</v>
      </c>
      <c r="K166" s="61">
        <v>4.3433329829999998</v>
      </c>
      <c r="L166" s="61">
        <v>5.3479999999999999</v>
      </c>
      <c r="M166" s="61" t="s">
        <v>617</v>
      </c>
      <c r="N166" s="149">
        <v>42</v>
      </c>
      <c r="O166" s="149">
        <v>43</v>
      </c>
      <c r="P166" s="61" t="s">
        <v>565</v>
      </c>
      <c r="Q166" s="61" t="s">
        <v>555</v>
      </c>
      <c r="R166" s="61">
        <v>40.6895314</v>
      </c>
      <c r="S166" s="61">
        <v>-74.174462399999996</v>
      </c>
      <c r="T166" s="61">
        <v>367.16399999999999</v>
      </c>
      <c r="U166" s="61" t="s">
        <v>617</v>
      </c>
      <c r="V166" s="61" t="s">
        <v>617</v>
      </c>
      <c r="W166" s="61"/>
      <c r="Y166" s="137">
        <f>Summary_LCIA!H$32</f>
        <v>0.33979999999999999</v>
      </c>
      <c r="Z166" s="137">
        <f>Summary_LCIA!Q$32</f>
        <v>4.9560504329999997</v>
      </c>
      <c r="AA166" s="137">
        <f>Summary_LCIA!R$32</f>
        <v>5.2655999999999996E-3</v>
      </c>
      <c r="AB166" s="137">
        <f>Summary_LCIA!S$32</f>
        <v>0.33538000000000001</v>
      </c>
      <c r="AC166" s="137">
        <f>Summary_LCIA!T$32</f>
        <v>0.1099</v>
      </c>
      <c r="AD166" s="137">
        <f>Summary_LCIA!U$32</f>
        <v>1.7913999999999999E-2</v>
      </c>
      <c r="AE166" s="137">
        <f>Summary_LCIA!V$32</f>
        <v>4.7760999999999999E-5</v>
      </c>
      <c r="AF166" s="137">
        <f>Summary_LCIA!W$32</f>
        <v>7.6970999999999998E-2</v>
      </c>
      <c r="AG166" s="137">
        <f>Summary_LCIA!X$32</f>
        <v>2.2780000000000002E-2</v>
      </c>
      <c r="AH166" s="137">
        <f>Summary_LCIA!Y$32</f>
        <v>1.5582E-2</v>
      </c>
      <c r="AI166" s="137">
        <f>Summary_LCIA!Z$32</f>
        <v>4.1009E-5</v>
      </c>
      <c r="AJ166" s="137">
        <f>Summary_LCIA!AA$32</f>
        <v>2.3355999999999998E-2</v>
      </c>
      <c r="AK166" s="137">
        <f>Summary_LCIA!AB$32</f>
        <v>-2.1823000000000001E-5</v>
      </c>
      <c r="AL166" s="137">
        <f>Summary_LCIA!AC$32</f>
        <v>4.8884000000000003E-8</v>
      </c>
      <c r="AM166" s="137">
        <f>Summary_LCIA!AD$32</f>
        <v>4.1103999999999999E-4</v>
      </c>
      <c r="AN166" s="137">
        <f>Summary_LCIA!AE$32</f>
        <v>8.8612999999999995E-4</v>
      </c>
      <c r="AO166" s="137">
        <f>Summary_LCIA!AF$32</f>
        <v>8.4542000000000005E-4</v>
      </c>
      <c r="AP166" s="137">
        <f>Summary_LCIA!AG$32</f>
        <v>5.1165000000000002E-5</v>
      </c>
      <c r="AQ166" s="137">
        <f>Summary_LCIA!AH$32</f>
        <v>8.7036000000000006E-3</v>
      </c>
      <c r="AR166" s="137">
        <f>Summary_LCIA!AI$32</f>
        <v>9.3154999999999996E-4</v>
      </c>
      <c r="AT166" s="137">
        <f t="shared" si="44"/>
        <v>124.76232719999999</v>
      </c>
      <c r="AU166" s="137">
        <f t="shared" si="45"/>
        <v>1819.6833011820117</v>
      </c>
      <c r="AV166" s="137">
        <f t="shared" si="46"/>
        <v>1.9333387583999997</v>
      </c>
      <c r="AW166" s="137">
        <f t="shared" si="47"/>
        <v>123.13946232000001</v>
      </c>
      <c r="AX166" s="137">
        <f t="shared" si="48"/>
        <v>40.351323600000001</v>
      </c>
      <c r="AY166" s="137">
        <f t="shared" si="49"/>
        <v>6.5773758959999995</v>
      </c>
      <c r="AZ166" s="137">
        <f t="shared" si="50"/>
        <v>1.7536119803999998E-2</v>
      </c>
      <c r="BA166" s="137">
        <f t="shared" si="51"/>
        <v>28.260980243999999</v>
      </c>
      <c r="BB166" s="137">
        <f t="shared" si="52"/>
        <v>8.3639959200000007</v>
      </c>
      <c r="BC166" s="137">
        <f t="shared" si="53"/>
        <v>5.7211494480000002</v>
      </c>
      <c r="BD166" s="137">
        <f t="shared" si="54"/>
        <v>1.5057028476E-2</v>
      </c>
      <c r="BE166" s="137">
        <f t="shared" si="55"/>
        <v>8.575482383999999</v>
      </c>
      <c r="BF166" s="137">
        <f t="shared" si="56"/>
        <v>-8.0126199719999999E-3</v>
      </c>
      <c r="BG166" s="137">
        <f t="shared" si="57"/>
        <v>1.7948444976000001E-5</v>
      </c>
      <c r="BH166" s="137">
        <f t="shared" si="58"/>
        <v>0.15091909056</v>
      </c>
      <c r="BI166" s="137">
        <f t="shared" si="59"/>
        <v>0.32535503531999999</v>
      </c>
      <c r="BJ166" s="137">
        <f t="shared" si="60"/>
        <v>0.31040778887999998</v>
      </c>
      <c r="BK166" s="137">
        <f t="shared" si="61"/>
        <v>1.8785946059999999E-2</v>
      </c>
      <c r="BL166" s="137">
        <f t="shared" si="62"/>
        <v>3.1956485904000003</v>
      </c>
      <c r="BM166" s="137">
        <f t="shared" si="63"/>
        <v>0.3420316242</v>
      </c>
    </row>
    <row r="167" spans="1:65" x14ac:dyDescent="0.25">
      <c r="A167" s="149">
        <v>227</v>
      </c>
      <c r="B167" s="149">
        <v>43</v>
      </c>
      <c r="C167" s="61">
        <v>42.360070999999998</v>
      </c>
      <c r="D167" s="61">
        <v>-71.05883</v>
      </c>
      <c r="E167" s="61" t="s">
        <v>265</v>
      </c>
      <c r="F167" s="149">
        <v>53</v>
      </c>
      <c r="G167" s="61" t="s">
        <v>565</v>
      </c>
      <c r="H167" s="61" t="s">
        <v>634</v>
      </c>
      <c r="I167" s="61">
        <v>42.365613000000003</v>
      </c>
      <c r="J167" s="61">
        <v>-71.009559999999993</v>
      </c>
      <c r="K167" s="61">
        <v>4.3397988529999996</v>
      </c>
      <c r="L167" s="61">
        <v>5.351</v>
      </c>
      <c r="M167" s="61" t="s">
        <v>617</v>
      </c>
      <c r="N167" s="149">
        <v>42</v>
      </c>
      <c r="O167" s="149">
        <v>43</v>
      </c>
      <c r="P167" s="61" t="s">
        <v>565</v>
      </c>
      <c r="Q167" s="61" t="s">
        <v>555</v>
      </c>
      <c r="R167" s="61">
        <v>40.6895314</v>
      </c>
      <c r="S167" s="61">
        <v>-74.174462399999996</v>
      </c>
      <c r="T167" s="61">
        <v>367.16699999999997</v>
      </c>
      <c r="U167" s="61" t="s">
        <v>617</v>
      </c>
      <c r="V167" s="61" t="s">
        <v>617</v>
      </c>
      <c r="W167" s="61"/>
      <c r="Y167" s="137">
        <f>Summary_LCIA!H$32</f>
        <v>0.33979999999999999</v>
      </c>
      <c r="Z167" s="137">
        <f>Summary_LCIA!Q$32</f>
        <v>4.9560504329999997</v>
      </c>
      <c r="AA167" s="137">
        <f>Summary_LCIA!R$32</f>
        <v>5.2655999999999996E-3</v>
      </c>
      <c r="AB167" s="137">
        <f>Summary_LCIA!S$32</f>
        <v>0.33538000000000001</v>
      </c>
      <c r="AC167" s="137">
        <f>Summary_LCIA!T$32</f>
        <v>0.1099</v>
      </c>
      <c r="AD167" s="137">
        <f>Summary_LCIA!U$32</f>
        <v>1.7913999999999999E-2</v>
      </c>
      <c r="AE167" s="137">
        <f>Summary_LCIA!V$32</f>
        <v>4.7760999999999999E-5</v>
      </c>
      <c r="AF167" s="137">
        <f>Summary_LCIA!W$32</f>
        <v>7.6970999999999998E-2</v>
      </c>
      <c r="AG167" s="137">
        <f>Summary_LCIA!X$32</f>
        <v>2.2780000000000002E-2</v>
      </c>
      <c r="AH167" s="137">
        <f>Summary_LCIA!Y$32</f>
        <v>1.5582E-2</v>
      </c>
      <c r="AI167" s="137">
        <f>Summary_LCIA!Z$32</f>
        <v>4.1009E-5</v>
      </c>
      <c r="AJ167" s="137">
        <f>Summary_LCIA!AA$32</f>
        <v>2.3355999999999998E-2</v>
      </c>
      <c r="AK167" s="137">
        <f>Summary_LCIA!AB$32</f>
        <v>-2.1823000000000001E-5</v>
      </c>
      <c r="AL167" s="137">
        <f>Summary_LCIA!AC$32</f>
        <v>4.8884000000000003E-8</v>
      </c>
      <c r="AM167" s="137">
        <f>Summary_LCIA!AD$32</f>
        <v>4.1103999999999999E-4</v>
      </c>
      <c r="AN167" s="137">
        <f>Summary_LCIA!AE$32</f>
        <v>8.8612999999999995E-4</v>
      </c>
      <c r="AO167" s="137">
        <f>Summary_LCIA!AF$32</f>
        <v>8.4542000000000005E-4</v>
      </c>
      <c r="AP167" s="137">
        <f>Summary_LCIA!AG$32</f>
        <v>5.1165000000000002E-5</v>
      </c>
      <c r="AQ167" s="137">
        <f>Summary_LCIA!AH$32</f>
        <v>8.7036000000000006E-3</v>
      </c>
      <c r="AR167" s="137">
        <f>Summary_LCIA!AI$32</f>
        <v>9.3154999999999996E-4</v>
      </c>
      <c r="AT167" s="137">
        <f t="shared" si="44"/>
        <v>124.76334659999999</v>
      </c>
      <c r="AU167" s="137">
        <f t="shared" si="45"/>
        <v>1819.6981693333107</v>
      </c>
      <c r="AV167" s="137">
        <f t="shared" si="46"/>
        <v>1.9333545551999998</v>
      </c>
      <c r="AW167" s="137">
        <f t="shared" si="47"/>
        <v>123.14046845999999</v>
      </c>
      <c r="AX167" s="137">
        <f t="shared" si="48"/>
        <v>40.351653299999995</v>
      </c>
      <c r="AY167" s="137">
        <f t="shared" si="49"/>
        <v>6.577429637999999</v>
      </c>
      <c r="AZ167" s="137">
        <f t="shared" si="50"/>
        <v>1.7536263086999997E-2</v>
      </c>
      <c r="BA167" s="137">
        <f t="shared" si="51"/>
        <v>28.261211156999998</v>
      </c>
      <c r="BB167" s="137">
        <f t="shared" si="52"/>
        <v>8.3640642599999993</v>
      </c>
      <c r="BC167" s="137">
        <f t="shared" si="53"/>
        <v>5.721196194</v>
      </c>
      <c r="BD167" s="137">
        <f t="shared" si="54"/>
        <v>1.5057151502999999E-2</v>
      </c>
      <c r="BE167" s="137">
        <f t="shared" si="55"/>
        <v>8.5755524519999984</v>
      </c>
      <c r="BF167" s="137">
        <f t="shared" si="56"/>
        <v>-8.012685440999999E-3</v>
      </c>
      <c r="BG167" s="137">
        <f t="shared" si="57"/>
        <v>1.7948591628E-5</v>
      </c>
      <c r="BH167" s="137">
        <f t="shared" si="58"/>
        <v>0.15092032368</v>
      </c>
      <c r="BI167" s="137">
        <f t="shared" si="59"/>
        <v>0.32535769370999995</v>
      </c>
      <c r="BJ167" s="137">
        <f t="shared" si="60"/>
        <v>0.31041032514</v>
      </c>
      <c r="BK167" s="137">
        <f t="shared" si="61"/>
        <v>1.8786099554999998E-2</v>
      </c>
      <c r="BL167" s="137">
        <f t="shared" si="62"/>
        <v>3.1956747012000002</v>
      </c>
      <c r="BM167" s="137">
        <f t="shared" si="63"/>
        <v>0.34203441884999997</v>
      </c>
    </row>
    <row r="168" spans="1:65" x14ac:dyDescent="0.25">
      <c r="A168" s="149">
        <v>100</v>
      </c>
      <c r="B168" s="149">
        <v>43</v>
      </c>
      <c r="C168" s="61">
        <v>42.362706000000003</v>
      </c>
      <c r="D168" s="61">
        <v>-71.068657999999999</v>
      </c>
      <c r="E168" s="61" t="s">
        <v>265</v>
      </c>
      <c r="F168" s="149">
        <v>53</v>
      </c>
      <c r="G168" s="61" t="s">
        <v>565</v>
      </c>
      <c r="H168" s="61" t="s">
        <v>634</v>
      </c>
      <c r="I168" s="61">
        <v>42.365613000000003</v>
      </c>
      <c r="J168" s="61">
        <v>-71.009559999999993</v>
      </c>
      <c r="K168" s="61">
        <v>5.0515925839999998</v>
      </c>
      <c r="L168" s="61">
        <v>6.5289999999999999</v>
      </c>
      <c r="M168" s="61" t="s">
        <v>617</v>
      </c>
      <c r="N168" s="149">
        <v>42</v>
      </c>
      <c r="O168" s="149">
        <v>43</v>
      </c>
      <c r="P168" s="61" t="s">
        <v>565</v>
      </c>
      <c r="Q168" s="61" t="s">
        <v>555</v>
      </c>
      <c r="R168" s="61">
        <v>40.6895314</v>
      </c>
      <c r="S168" s="61">
        <v>-74.174462399999996</v>
      </c>
      <c r="T168" s="61">
        <v>368.303</v>
      </c>
      <c r="U168" s="61" t="s">
        <v>617</v>
      </c>
      <c r="V168" s="61" t="s">
        <v>617</v>
      </c>
      <c r="W168" s="61"/>
      <c r="Y168" s="137">
        <f>Summary_LCIA!H$32</f>
        <v>0.33979999999999999</v>
      </c>
      <c r="Z168" s="137">
        <f>Summary_LCIA!Q$32</f>
        <v>4.9560504329999997</v>
      </c>
      <c r="AA168" s="137">
        <f>Summary_LCIA!R$32</f>
        <v>5.2655999999999996E-3</v>
      </c>
      <c r="AB168" s="137">
        <f>Summary_LCIA!S$32</f>
        <v>0.33538000000000001</v>
      </c>
      <c r="AC168" s="137">
        <f>Summary_LCIA!T$32</f>
        <v>0.1099</v>
      </c>
      <c r="AD168" s="137">
        <f>Summary_LCIA!U$32</f>
        <v>1.7913999999999999E-2</v>
      </c>
      <c r="AE168" s="137">
        <f>Summary_LCIA!V$32</f>
        <v>4.7760999999999999E-5</v>
      </c>
      <c r="AF168" s="137">
        <f>Summary_LCIA!W$32</f>
        <v>7.6970999999999998E-2</v>
      </c>
      <c r="AG168" s="137">
        <f>Summary_LCIA!X$32</f>
        <v>2.2780000000000002E-2</v>
      </c>
      <c r="AH168" s="137">
        <f>Summary_LCIA!Y$32</f>
        <v>1.5582E-2</v>
      </c>
      <c r="AI168" s="137">
        <f>Summary_LCIA!Z$32</f>
        <v>4.1009E-5</v>
      </c>
      <c r="AJ168" s="137">
        <f>Summary_LCIA!AA$32</f>
        <v>2.3355999999999998E-2</v>
      </c>
      <c r="AK168" s="137">
        <f>Summary_LCIA!AB$32</f>
        <v>-2.1823000000000001E-5</v>
      </c>
      <c r="AL168" s="137">
        <f>Summary_LCIA!AC$32</f>
        <v>4.8884000000000003E-8</v>
      </c>
      <c r="AM168" s="137">
        <f>Summary_LCIA!AD$32</f>
        <v>4.1103999999999999E-4</v>
      </c>
      <c r="AN168" s="137">
        <f>Summary_LCIA!AE$32</f>
        <v>8.8612999999999995E-4</v>
      </c>
      <c r="AO168" s="137">
        <f>Summary_LCIA!AF$32</f>
        <v>8.4542000000000005E-4</v>
      </c>
      <c r="AP168" s="137">
        <f>Summary_LCIA!AG$32</f>
        <v>5.1165000000000002E-5</v>
      </c>
      <c r="AQ168" s="137">
        <f>Summary_LCIA!AH$32</f>
        <v>8.7036000000000006E-3</v>
      </c>
      <c r="AR168" s="137">
        <f>Summary_LCIA!AI$32</f>
        <v>9.3154999999999996E-4</v>
      </c>
      <c r="AT168" s="137">
        <f t="shared" si="44"/>
        <v>125.14935939999999</v>
      </c>
      <c r="AU168" s="137">
        <f t="shared" si="45"/>
        <v>1825.328242625199</v>
      </c>
      <c r="AV168" s="137">
        <f t="shared" si="46"/>
        <v>1.9393362767999998</v>
      </c>
      <c r="AW168" s="137">
        <f t="shared" si="47"/>
        <v>123.52146014</v>
      </c>
      <c r="AX168" s="137">
        <f t="shared" si="48"/>
        <v>40.476499699999998</v>
      </c>
      <c r="AY168" s="137">
        <f t="shared" si="49"/>
        <v>6.5977799419999998</v>
      </c>
      <c r="AZ168" s="137">
        <f t="shared" si="50"/>
        <v>1.7590519582999998E-2</v>
      </c>
      <c r="BA168" s="137">
        <f t="shared" si="51"/>
        <v>28.348650212999999</v>
      </c>
      <c r="BB168" s="137">
        <f t="shared" si="52"/>
        <v>8.3899423400000011</v>
      </c>
      <c r="BC168" s="137">
        <f t="shared" si="53"/>
        <v>5.7388973459999999</v>
      </c>
      <c r="BD168" s="137">
        <f t="shared" si="54"/>
        <v>1.5103737726999999E-2</v>
      </c>
      <c r="BE168" s="137">
        <f t="shared" si="55"/>
        <v>8.6020848679999986</v>
      </c>
      <c r="BF168" s="137">
        <f t="shared" si="56"/>
        <v>-8.0374763690000007E-3</v>
      </c>
      <c r="BG168" s="137">
        <f t="shared" si="57"/>
        <v>1.8004123852000002E-5</v>
      </c>
      <c r="BH168" s="137">
        <f t="shared" si="58"/>
        <v>0.15138726512</v>
      </c>
      <c r="BI168" s="137">
        <f t="shared" si="59"/>
        <v>0.32636433738999998</v>
      </c>
      <c r="BJ168" s="137">
        <f t="shared" si="60"/>
        <v>0.31137072226000001</v>
      </c>
      <c r="BK168" s="137">
        <f t="shared" si="61"/>
        <v>1.8844222995E-2</v>
      </c>
      <c r="BL168" s="137">
        <f t="shared" si="62"/>
        <v>3.2055619908000001</v>
      </c>
      <c r="BM168" s="137">
        <f t="shared" si="63"/>
        <v>0.34309265964999996</v>
      </c>
    </row>
    <row r="169" spans="1:65" x14ac:dyDescent="0.25">
      <c r="A169" s="149">
        <v>352</v>
      </c>
      <c r="B169" s="149">
        <v>43</v>
      </c>
      <c r="C169" s="61">
        <v>40.793394999999997</v>
      </c>
      <c r="D169" s="61">
        <v>-77.860000999999997</v>
      </c>
      <c r="E169" s="61" t="s">
        <v>265</v>
      </c>
      <c r="F169" s="149">
        <v>106</v>
      </c>
      <c r="G169" s="61" t="s">
        <v>266</v>
      </c>
      <c r="H169" s="61" t="s">
        <v>669</v>
      </c>
      <c r="I169" s="61">
        <v>40.491920999999998</v>
      </c>
      <c r="J169" s="61">
        <v>-80.235223000000005</v>
      </c>
      <c r="K169" s="61">
        <v>212.3657571</v>
      </c>
      <c r="L169" s="61">
        <v>245.108</v>
      </c>
      <c r="M169" s="61" t="s">
        <v>617</v>
      </c>
      <c r="N169" s="149">
        <v>42</v>
      </c>
      <c r="O169" s="149">
        <v>43</v>
      </c>
      <c r="P169" s="61" t="s">
        <v>565</v>
      </c>
      <c r="Q169" s="61" t="s">
        <v>555</v>
      </c>
      <c r="R169" s="61">
        <v>40.6895314</v>
      </c>
      <c r="S169" s="61">
        <v>-74.174462399999996</v>
      </c>
      <c r="T169" s="61">
        <v>375.66</v>
      </c>
      <c r="U169" s="61" t="s">
        <v>617</v>
      </c>
      <c r="V169" s="61" t="s">
        <v>617</v>
      </c>
      <c r="W169" s="61"/>
      <c r="Y169" s="137">
        <f>Summary_LCIA!H$32</f>
        <v>0.33979999999999999</v>
      </c>
      <c r="Z169" s="137">
        <f>Summary_LCIA!Q$32</f>
        <v>4.9560504329999997</v>
      </c>
      <c r="AA169" s="137">
        <f>Summary_LCIA!R$32</f>
        <v>5.2655999999999996E-3</v>
      </c>
      <c r="AB169" s="137">
        <f>Summary_LCIA!S$32</f>
        <v>0.33538000000000001</v>
      </c>
      <c r="AC169" s="137">
        <f>Summary_LCIA!T$32</f>
        <v>0.1099</v>
      </c>
      <c r="AD169" s="137">
        <f>Summary_LCIA!U$32</f>
        <v>1.7913999999999999E-2</v>
      </c>
      <c r="AE169" s="137">
        <f>Summary_LCIA!V$32</f>
        <v>4.7760999999999999E-5</v>
      </c>
      <c r="AF169" s="137">
        <f>Summary_LCIA!W$32</f>
        <v>7.6970999999999998E-2</v>
      </c>
      <c r="AG169" s="137">
        <f>Summary_LCIA!X$32</f>
        <v>2.2780000000000002E-2</v>
      </c>
      <c r="AH169" s="137">
        <f>Summary_LCIA!Y$32</f>
        <v>1.5582E-2</v>
      </c>
      <c r="AI169" s="137">
        <f>Summary_LCIA!Z$32</f>
        <v>4.1009E-5</v>
      </c>
      <c r="AJ169" s="137">
        <f>Summary_LCIA!AA$32</f>
        <v>2.3355999999999998E-2</v>
      </c>
      <c r="AK169" s="137">
        <f>Summary_LCIA!AB$32</f>
        <v>-2.1823000000000001E-5</v>
      </c>
      <c r="AL169" s="137">
        <f>Summary_LCIA!AC$32</f>
        <v>4.8884000000000003E-8</v>
      </c>
      <c r="AM169" s="137">
        <f>Summary_LCIA!AD$32</f>
        <v>4.1103999999999999E-4</v>
      </c>
      <c r="AN169" s="137">
        <f>Summary_LCIA!AE$32</f>
        <v>8.8612999999999995E-4</v>
      </c>
      <c r="AO169" s="137">
        <f>Summary_LCIA!AF$32</f>
        <v>8.4542000000000005E-4</v>
      </c>
      <c r="AP169" s="137">
        <f>Summary_LCIA!AG$32</f>
        <v>5.1165000000000002E-5</v>
      </c>
      <c r="AQ169" s="137">
        <f>Summary_LCIA!AH$32</f>
        <v>8.7036000000000006E-3</v>
      </c>
      <c r="AR169" s="137">
        <f>Summary_LCIA!AI$32</f>
        <v>9.3154999999999996E-4</v>
      </c>
      <c r="AT169" s="137">
        <f t="shared" si="44"/>
        <v>127.64926800000001</v>
      </c>
      <c r="AU169" s="137">
        <f t="shared" si="45"/>
        <v>1861.7899056607801</v>
      </c>
      <c r="AV169" s="137">
        <f t="shared" si="46"/>
        <v>1.9780752960000001</v>
      </c>
      <c r="AW169" s="137">
        <f t="shared" si="47"/>
        <v>125.98885080000001</v>
      </c>
      <c r="AX169" s="137">
        <f t="shared" si="48"/>
        <v>41.285034000000003</v>
      </c>
      <c r="AY169" s="137">
        <f t="shared" si="49"/>
        <v>6.7295732400000006</v>
      </c>
      <c r="AZ169" s="137">
        <f t="shared" si="50"/>
        <v>1.7941897260000002E-2</v>
      </c>
      <c r="BA169" s="137">
        <f t="shared" si="51"/>
        <v>28.91492586</v>
      </c>
      <c r="BB169" s="137">
        <f t="shared" si="52"/>
        <v>8.5575348000000009</v>
      </c>
      <c r="BC169" s="137">
        <f t="shared" si="53"/>
        <v>5.8535341200000008</v>
      </c>
      <c r="BD169" s="137">
        <f t="shared" si="54"/>
        <v>1.5405440940000001E-2</v>
      </c>
      <c r="BE169" s="137">
        <f t="shared" si="55"/>
        <v>8.7739149600000008</v>
      </c>
      <c r="BF169" s="137">
        <f t="shared" si="56"/>
        <v>-8.1980281800000006E-3</v>
      </c>
      <c r="BG169" s="137">
        <f t="shared" si="57"/>
        <v>1.8363763440000003E-5</v>
      </c>
      <c r="BH169" s="137">
        <f t="shared" si="58"/>
        <v>0.15441128640000001</v>
      </c>
      <c r="BI169" s="137">
        <f t="shared" si="59"/>
        <v>0.33288359579999999</v>
      </c>
      <c r="BJ169" s="137">
        <f t="shared" si="60"/>
        <v>0.31759047720000005</v>
      </c>
      <c r="BK169" s="137">
        <f t="shared" si="61"/>
        <v>1.9220643900000001E-2</v>
      </c>
      <c r="BL169" s="137">
        <f t="shared" si="62"/>
        <v>3.2695943760000006</v>
      </c>
      <c r="BM169" s="137">
        <f t="shared" si="63"/>
        <v>0.34994607300000002</v>
      </c>
    </row>
    <row r="170" spans="1:65" x14ac:dyDescent="0.25">
      <c r="A170" s="149">
        <v>353</v>
      </c>
      <c r="B170" s="149">
        <v>43</v>
      </c>
      <c r="C170" s="61">
        <v>40.793394999999997</v>
      </c>
      <c r="D170" s="61">
        <v>-77.860000999999997</v>
      </c>
      <c r="E170" s="61" t="s">
        <v>265</v>
      </c>
      <c r="F170" s="149">
        <v>106</v>
      </c>
      <c r="G170" s="61" t="s">
        <v>266</v>
      </c>
      <c r="H170" s="61" t="s">
        <v>669</v>
      </c>
      <c r="I170" s="61">
        <v>40.491920999999998</v>
      </c>
      <c r="J170" s="61">
        <v>-80.235223000000005</v>
      </c>
      <c r="K170" s="61">
        <v>212.3657571</v>
      </c>
      <c r="L170" s="61">
        <v>245.108</v>
      </c>
      <c r="M170" s="61" t="s">
        <v>617</v>
      </c>
      <c r="N170" s="149">
        <v>42</v>
      </c>
      <c r="O170" s="149">
        <v>43</v>
      </c>
      <c r="P170" s="61" t="s">
        <v>565</v>
      </c>
      <c r="Q170" s="61" t="s">
        <v>555</v>
      </c>
      <c r="R170" s="61">
        <v>40.6895314</v>
      </c>
      <c r="S170" s="61">
        <v>-74.174462399999996</v>
      </c>
      <c r="T170" s="61">
        <v>375.66</v>
      </c>
      <c r="U170" s="61" t="s">
        <v>617</v>
      </c>
      <c r="V170" s="61" t="s">
        <v>617</v>
      </c>
      <c r="W170" s="61"/>
      <c r="Y170" s="137">
        <f>Summary_LCIA!H$32</f>
        <v>0.33979999999999999</v>
      </c>
      <c r="Z170" s="137">
        <f>Summary_LCIA!Q$32</f>
        <v>4.9560504329999997</v>
      </c>
      <c r="AA170" s="137">
        <f>Summary_LCIA!R$32</f>
        <v>5.2655999999999996E-3</v>
      </c>
      <c r="AB170" s="137">
        <f>Summary_LCIA!S$32</f>
        <v>0.33538000000000001</v>
      </c>
      <c r="AC170" s="137">
        <f>Summary_LCIA!T$32</f>
        <v>0.1099</v>
      </c>
      <c r="AD170" s="137">
        <f>Summary_LCIA!U$32</f>
        <v>1.7913999999999999E-2</v>
      </c>
      <c r="AE170" s="137">
        <f>Summary_LCIA!V$32</f>
        <v>4.7760999999999999E-5</v>
      </c>
      <c r="AF170" s="137">
        <f>Summary_LCIA!W$32</f>
        <v>7.6970999999999998E-2</v>
      </c>
      <c r="AG170" s="137">
        <f>Summary_LCIA!X$32</f>
        <v>2.2780000000000002E-2</v>
      </c>
      <c r="AH170" s="137">
        <f>Summary_LCIA!Y$32</f>
        <v>1.5582E-2</v>
      </c>
      <c r="AI170" s="137">
        <f>Summary_LCIA!Z$32</f>
        <v>4.1009E-5</v>
      </c>
      <c r="AJ170" s="137">
        <f>Summary_LCIA!AA$32</f>
        <v>2.3355999999999998E-2</v>
      </c>
      <c r="AK170" s="137">
        <f>Summary_LCIA!AB$32</f>
        <v>-2.1823000000000001E-5</v>
      </c>
      <c r="AL170" s="137">
        <f>Summary_LCIA!AC$32</f>
        <v>4.8884000000000003E-8</v>
      </c>
      <c r="AM170" s="137">
        <f>Summary_LCIA!AD$32</f>
        <v>4.1103999999999999E-4</v>
      </c>
      <c r="AN170" s="137">
        <f>Summary_LCIA!AE$32</f>
        <v>8.8612999999999995E-4</v>
      </c>
      <c r="AO170" s="137">
        <f>Summary_LCIA!AF$32</f>
        <v>8.4542000000000005E-4</v>
      </c>
      <c r="AP170" s="137">
        <f>Summary_LCIA!AG$32</f>
        <v>5.1165000000000002E-5</v>
      </c>
      <c r="AQ170" s="137">
        <f>Summary_LCIA!AH$32</f>
        <v>8.7036000000000006E-3</v>
      </c>
      <c r="AR170" s="137">
        <f>Summary_LCIA!AI$32</f>
        <v>9.3154999999999996E-4</v>
      </c>
      <c r="AT170" s="137">
        <f t="shared" si="44"/>
        <v>127.64926800000001</v>
      </c>
      <c r="AU170" s="137">
        <f t="shared" si="45"/>
        <v>1861.7899056607801</v>
      </c>
      <c r="AV170" s="137">
        <f t="shared" si="46"/>
        <v>1.9780752960000001</v>
      </c>
      <c r="AW170" s="137">
        <f t="shared" si="47"/>
        <v>125.98885080000001</v>
      </c>
      <c r="AX170" s="137">
        <f t="shared" si="48"/>
        <v>41.285034000000003</v>
      </c>
      <c r="AY170" s="137">
        <f t="shared" si="49"/>
        <v>6.7295732400000006</v>
      </c>
      <c r="AZ170" s="137">
        <f t="shared" si="50"/>
        <v>1.7941897260000002E-2</v>
      </c>
      <c r="BA170" s="137">
        <f t="shared" si="51"/>
        <v>28.91492586</v>
      </c>
      <c r="BB170" s="137">
        <f t="shared" si="52"/>
        <v>8.5575348000000009</v>
      </c>
      <c r="BC170" s="137">
        <f t="shared" si="53"/>
        <v>5.8535341200000008</v>
      </c>
      <c r="BD170" s="137">
        <f t="shared" si="54"/>
        <v>1.5405440940000001E-2</v>
      </c>
      <c r="BE170" s="137">
        <f t="shared" si="55"/>
        <v>8.7739149600000008</v>
      </c>
      <c r="BF170" s="137">
        <f t="shared" si="56"/>
        <v>-8.1980281800000006E-3</v>
      </c>
      <c r="BG170" s="137">
        <f t="shared" si="57"/>
        <v>1.8363763440000003E-5</v>
      </c>
      <c r="BH170" s="137">
        <f t="shared" si="58"/>
        <v>0.15441128640000001</v>
      </c>
      <c r="BI170" s="137">
        <f t="shared" si="59"/>
        <v>0.33288359579999999</v>
      </c>
      <c r="BJ170" s="137">
        <f t="shared" si="60"/>
        <v>0.31759047720000005</v>
      </c>
      <c r="BK170" s="137">
        <f t="shared" si="61"/>
        <v>1.9220643900000001E-2</v>
      </c>
      <c r="BL170" s="137">
        <f t="shared" si="62"/>
        <v>3.2695943760000006</v>
      </c>
      <c r="BM170" s="137">
        <f t="shared" si="63"/>
        <v>0.34994607300000002</v>
      </c>
    </row>
    <row r="171" spans="1:65" x14ac:dyDescent="0.25">
      <c r="A171" s="149">
        <v>354</v>
      </c>
      <c r="B171" s="149">
        <v>43</v>
      </c>
      <c r="C171" s="61">
        <v>40.793394999999997</v>
      </c>
      <c r="D171" s="61">
        <v>-77.860000999999997</v>
      </c>
      <c r="E171" s="61" t="s">
        <v>265</v>
      </c>
      <c r="F171" s="149">
        <v>106</v>
      </c>
      <c r="G171" s="61" t="s">
        <v>266</v>
      </c>
      <c r="H171" s="61" t="s">
        <v>669</v>
      </c>
      <c r="I171" s="61">
        <v>40.491920999999998</v>
      </c>
      <c r="J171" s="61">
        <v>-80.235223000000005</v>
      </c>
      <c r="K171" s="61">
        <v>212.3657571</v>
      </c>
      <c r="L171" s="61">
        <v>245.108</v>
      </c>
      <c r="M171" s="61" t="s">
        <v>617</v>
      </c>
      <c r="N171" s="149">
        <v>42</v>
      </c>
      <c r="O171" s="149">
        <v>43</v>
      </c>
      <c r="P171" s="61" t="s">
        <v>565</v>
      </c>
      <c r="Q171" s="61" t="s">
        <v>555</v>
      </c>
      <c r="R171" s="61">
        <v>40.6895314</v>
      </c>
      <c r="S171" s="61">
        <v>-74.174462399999996</v>
      </c>
      <c r="T171" s="61">
        <v>375.66</v>
      </c>
      <c r="U171" s="61" t="s">
        <v>617</v>
      </c>
      <c r="V171" s="61" t="s">
        <v>617</v>
      </c>
      <c r="W171" s="61"/>
      <c r="Y171" s="137">
        <f>Summary_LCIA!H$32</f>
        <v>0.33979999999999999</v>
      </c>
      <c r="Z171" s="137">
        <f>Summary_LCIA!Q$32</f>
        <v>4.9560504329999997</v>
      </c>
      <c r="AA171" s="137">
        <f>Summary_LCIA!R$32</f>
        <v>5.2655999999999996E-3</v>
      </c>
      <c r="AB171" s="137">
        <f>Summary_LCIA!S$32</f>
        <v>0.33538000000000001</v>
      </c>
      <c r="AC171" s="137">
        <f>Summary_LCIA!T$32</f>
        <v>0.1099</v>
      </c>
      <c r="AD171" s="137">
        <f>Summary_LCIA!U$32</f>
        <v>1.7913999999999999E-2</v>
      </c>
      <c r="AE171" s="137">
        <f>Summary_LCIA!V$32</f>
        <v>4.7760999999999999E-5</v>
      </c>
      <c r="AF171" s="137">
        <f>Summary_LCIA!W$32</f>
        <v>7.6970999999999998E-2</v>
      </c>
      <c r="AG171" s="137">
        <f>Summary_LCIA!X$32</f>
        <v>2.2780000000000002E-2</v>
      </c>
      <c r="AH171" s="137">
        <f>Summary_LCIA!Y$32</f>
        <v>1.5582E-2</v>
      </c>
      <c r="AI171" s="137">
        <f>Summary_LCIA!Z$32</f>
        <v>4.1009E-5</v>
      </c>
      <c r="AJ171" s="137">
        <f>Summary_LCIA!AA$32</f>
        <v>2.3355999999999998E-2</v>
      </c>
      <c r="AK171" s="137">
        <f>Summary_LCIA!AB$32</f>
        <v>-2.1823000000000001E-5</v>
      </c>
      <c r="AL171" s="137">
        <f>Summary_LCIA!AC$32</f>
        <v>4.8884000000000003E-8</v>
      </c>
      <c r="AM171" s="137">
        <f>Summary_LCIA!AD$32</f>
        <v>4.1103999999999999E-4</v>
      </c>
      <c r="AN171" s="137">
        <f>Summary_LCIA!AE$32</f>
        <v>8.8612999999999995E-4</v>
      </c>
      <c r="AO171" s="137">
        <f>Summary_LCIA!AF$32</f>
        <v>8.4542000000000005E-4</v>
      </c>
      <c r="AP171" s="137">
        <f>Summary_LCIA!AG$32</f>
        <v>5.1165000000000002E-5</v>
      </c>
      <c r="AQ171" s="137">
        <f>Summary_LCIA!AH$32</f>
        <v>8.7036000000000006E-3</v>
      </c>
      <c r="AR171" s="137">
        <f>Summary_LCIA!AI$32</f>
        <v>9.3154999999999996E-4</v>
      </c>
      <c r="AT171" s="137">
        <f t="shared" si="44"/>
        <v>127.64926800000001</v>
      </c>
      <c r="AU171" s="137">
        <f t="shared" si="45"/>
        <v>1861.7899056607801</v>
      </c>
      <c r="AV171" s="137">
        <f t="shared" si="46"/>
        <v>1.9780752960000001</v>
      </c>
      <c r="AW171" s="137">
        <f t="shared" si="47"/>
        <v>125.98885080000001</v>
      </c>
      <c r="AX171" s="137">
        <f t="shared" si="48"/>
        <v>41.285034000000003</v>
      </c>
      <c r="AY171" s="137">
        <f t="shared" si="49"/>
        <v>6.7295732400000006</v>
      </c>
      <c r="AZ171" s="137">
        <f t="shared" si="50"/>
        <v>1.7941897260000002E-2</v>
      </c>
      <c r="BA171" s="137">
        <f t="shared" si="51"/>
        <v>28.91492586</v>
      </c>
      <c r="BB171" s="137">
        <f t="shared" si="52"/>
        <v>8.5575348000000009</v>
      </c>
      <c r="BC171" s="137">
        <f t="shared" si="53"/>
        <v>5.8535341200000008</v>
      </c>
      <c r="BD171" s="137">
        <f t="shared" si="54"/>
        <v>1.5405440940000001E-2</v>
      </c>
      <c r="BE171" s="137">
        <f t="shared" si="55"/>
        <v>8.7739149600000008</v>
      </c>
      <c r="BF171" s="137">
        <f t="shared" si="56"/>
        <v>-8.1980281800000006E-3</v>
      </c>
      <c r="BG171" s="137">
        <f t="shared" si="57"/>
        <v>1.8363763440000003E-5</v>
      </c>
      <c r="BH171" s="137">
        <f t="shared" si="58"/>
        <v>0.15441128640000001</v>
      </c>
      <c r="BI171" s="137">
        <f t="shared" si="59"/>
        <v>0.33288359579999999</v>
      </c>
      <c r="BJ171" s="137">
        <f t="shared" si="60"/>
        <v>0.31759047720000005</v>
      </c>
      <c r="BK171" s="137">
        <f t="shared" si="61"/>
        <v>1.9220643900000001E-2</v>
      </c>
      <c r="BL171" s="137">
        <f t="shared" si="62"/>
        <v>3.2695943760000006</v>
      </c>
      <c r="BM171" s="137">
        <f t="shared" si="63"/>
        <v>0.34994607300000002</v>
      </c>
    </row>
    <row r="172" spans="1:65" x14ac:dyDescent="0.25">
      <c r="A172" s="149">
        <v>0</v>
      </c>
      <c r="B172" s="149">
        <v>6</v>
      </c>
      <c r="C172" s="61">
        <v>42.724305000000001</v>
      </c>
      <c r="D172" s="61">
        <v>-84.479605000000006</v>
      </c>
      <c r="E172" s="61" t="s">
        <v>265</v>
      </c>
      <c r="F172" s="149">
        <v>78</v>
      </c>
      <c r="G172" s="61" t="s">
        <v>615</v>
      </c>
      <c r="H172" s="61" t="s">
        <v>616</v>
      </c>
      <c r="I172" s="61">
        <v>42.216248999999998</v>
      </c>
      <c r="J172" s="61">
        <v>-83.355363999999994</v>
      </c>
      <c r="K172" s="61">
        <v>121.7981765</v>
      </c>
      <c r="L172" s="61">
        <v>141.471</v>
      </c>
      <c r="M172" s="61" t="s">
        <v>617</v>
      </c>
      <c r="N172" s="149">
        <v>5</v>
      </c>
      <c r="O172" s="149">
        <v>6</v>
      </c>
      <c r="P172" s="61" t="s">
        <v>565</v>
      </c>
      <c r="Q172" s="61" t="s">
        <v>564</v>
      </c>
      <c r="R172" s="61">
        <v>41.98028</v>
      </c>
      <c r="S172" s="61">
        <v>-87.908997900000003</v>
      </c>
      <c r="T172" s="61">
        <v>383.76100000000002</v>
      </c>
      <c r="U172" s="61" t="s">
        <v>617</v>
      </c>
      <c r="V172" s="61" t="s">
        <v>617</v>
      </c>
      <c r="W172" s="61"/>
      <c r="Y172" s="137">
        <f>Summary_LCIA!H$32</f>
        <v>0.33979999999999999</v>
      </c>
      <c r="Z172" s="137">
        <f>Summary_LCIA!Q$32</f>
        <v>4.9560504329999997</v>
      </c>
      <c r="AA172" s="137">
        <f>Summary_LCIA!R$32</f>
        <v>5.2655999999999996E-3</v>
      </c>
      <c r="AB172" s="137">
        <f>Summary_LCIA!S$32</f>
        <v>0.33538000000000001</v>
      </c>
      <c r="AC172" s="137">
        <f>Summary_LCIA!T$32</f>
        <v>0.1099</v>
      </c>
      <c r="AD172" s="137">
        <f>Summary_LCIA!U$32</f>
        <v>1.7913999999999999E-2</v>
      </c>
      <c r="AE172" s="137">
        <f>Summary_LCIA!V$32</f>
        <v>4.7760999999999999E-5</v>
      </c>
      <c r="AF172" s="137">
        <f>Summary_LCIA!W$32</f>
        <v>7.6970999999999998E-2</v>
      </c>
      <c r="AG172" s="137">
        <f>Summary_LCIA!X$32</f>
        <v>2.2780000000000002E-2</v>
      </c>
      <c r="AH172" s="137">
        <f>Summary_LCIA!Y$32</f>
        <v>1.5582E-2</v>
      </c>
      <c r="AI172" s="137">
        <f>Summary_LCIA!Z$32</f>
        <v>4.1009E-5</v>
      </c>
      <c r="AJ172" s="137">
        <f>Summary_LCIA!AA$32</f>
        <v>2.3355999999999998E-2</v>
      </c>
      <c r="AK172" s="137">
        <f>Summary_LCIA!AB$32</f>
        <v>-2.1823000000000001E-5</v>
      </c>
      <c r="AL172" s="137">
        <f>Summary_LCIA!AC$32</f>
        <v>4.8884000000000003E-8</v>
      </c>
      <c r="AM172" s="137">
        <f>Summary_LCIA!AD$32</f>
        <v>4.1103999999999999E-4</v>
      </c>
      <c r="AN172" s="137">
        <f>Summary_LCIA!AE$32</f>
        <v>8.8612999999999995E-4</v>
      </c>
      <c r="AO172" s="137">
        <f>Summary_LCIA!AF$32</f>
        <v>8.4542000000000005E-4</v>
      </c>
      <c r="AP172" s="137">
        <f>Summary_LCIA!AG$32</f>
        <v>5.1165000000000002E-5</v>
      </c>
      <c r="AQ172" s="137">
        <f>Summary_LCIA!AH$32</f>
        <v>8.7036000000000006E-3</v>
      </c>
      <c r="AR172" s="137">
        <f>Summary_LCIA!AI$32</f>
        <v>9.3154999999999996E-4</v>
      </c>
      <c r="AT172" s="137">
        <f t="shared" si="44"/>
        <v>130.4019878</v>
      </c>
      <c r="AU172" s="137">
        <f t="shared" si="45"/>
        <v>1901.9388702185131</v>
      </c>
      <c r="AV172" s="137">
        <f t="shared" si="46"/>
        <v>2.0207319215999999</v>
      </c>
      <c r="AW172" s="137">
        <f t="shared" si="47"/>
        <v>128.70576418000002</v>
      </c>
      <c r="AX172" s="137">
        <f t="shared" si="48"/>
        <v>42.175333899999998</v>
      </c>
      <c r="AY172" s="137">
        <f t="shared" si="49"/>
        <v>6.8746945540000004</v>
      </c>
      <c r="AZ172" s="137">
        <f t="shared" si="50"/>
        <v>1.8328809121E-2</v>
      </c>
      <c r="BA172" s="137">
        <f t="shared" si="51"/>
        <v>29.538467931</v>
      </c>
      <c r="BB172" s="137">
        <f t="shared" si="52"/>
        <v>8.7420755800000016</v>
      </c>
      <c r="BC172" s="137">
        <f t="shared" si="53"/>
        <v>5.9797639020000002</v>
      </c>
      <c r="BD172" s="137">
        <f t="shared" si="54"/>
        <v>1.5737654849000002E-2</v>
      </c>
      <c r="BE172" s="137">
        <f t="shared" si="55"/>
        <v>8.9631219160000004</v>
      </c>
      <c r="BF172" s="137">
        <f t="shared" si="56"/>
        <v>-8.3748163030000003E-3</v>
      </c>
      <c r="BG172" s="137">
        <f t="shared" si="57"/>
        <v>1.8759772724000002E-5</v>
      </c>
      <c r="BH172" s="137">
        <f t="shared" si="58"/>
        <v>0.15774112144000002</v>
      </c>
      <c r="BI172" s="137">
        <f t="shared" si="59"/>
        <v>0.34006213492999998</v>
      </c>
      <c r="BJ172" s="137">
        <f t="shared" si="60"/>
        <v>0.32443922462000002</v>
      </c>
      <c r="BK172" s="137">
        <f t="shared" si="61"/>
        <v>1.9635131565000002E-2</v>
      </c>
      <c r="BL172" s="137">
        <f t="shared" si="62"/>
        <v>3.3401022396000006</v>
      </c>
      <c r="BM172" s="137">
        <f t="shared" si="63"/>
        <v>0.35749255955000003</v>
      </c>
    </row>
    <row r="173" spans="1:65" x14ac:dyDescent="0.25">
      <c r="A173" s="149">
        <v>355</v>
      </c>
      <c r="B173" s="149">
        <v>43</v>
      </c>
      <c r="C173" s="61">
        <v>42.470944000000003</v>
      </c>
      <c r="D173" s="61">
        <v>-70.917556000000005</v>
      </c>
      <c r="E173" s="61" t="s">
        <v>265</v>
      </c>
      <c r="F173" s="149">
        <v>53</v>
      </c>
      <c r="G173" s="61" t="s">
        <v>565</v>
      </c>
      <c r="H173" s="61" t="s">
        <v>634</v>
      </c>
      <c r="I173" s="61">
        <v>42.365613000000003</v>
      </c>
      <c r="J173" s="61">
        <v>-71.009559999999993</v>
      </c>
      <c r="K173" s="61">
        <v>18.548969249999999</v>
      </c>
      <c r="L173" s="61">
        <v>17.323</v>
      </c>
      <c r="M173" s="61" t="s">
        <v>617</v>
      </c>
      <c r="N173" s="149">
        <v>42</v>
      </c>
      <c r="O173" s="149">
        <v>43</v>
      </c>
      <c r="P173" s="61" t="s">
        <v>565</v>
      </c>
      <c r="Q173" s="61" t="s">
        <v>555</v>
      </c>
      <c r="R173" s="61">
        <v>40.6895314</v>
      </c>
      <c r="S173" s="61">
        <v>-74.174462399999996</v>
      </c>
      <c r="T173" s="61">
        <v>385.233</v>
      </c>
      <c r="U173" s="61" t="s">
        <v>617</v>
      </c>
      <c r="V173" s="61" t="s">
        <v>617</v>
      </c>
      <c r="W173" s="61"/>
      <c r="Y173" s="137">
        <f>Summary_LCIA!H$32</f>
        <v>0.33979999999999999</v>
      </c>
      <c r="Z173" s="137">
        <f>Summary_LCIA!Q$32</f>
        <v>4.9560504329999997</v>
      </c>
      <c r="AA173" s="137">
        <f>Summary_LCIA!R$32</f>
        <v>5.2655999999999996E-3</v>
      </c>
      <c r="AB173" s="137">
        <f>Summary_LCIA!S$32</f>
        <v>0.33538000000000001</v>
      </c>
      <c r="AC173" s="137">
        <f>Summary_LCIA!T$32</f>
        <v>0.1099</v>
      </c>
      <c r="AD173" s="137">
        <f>Summary_LCIA!U$32</f>
        <v>1.7913999999999999E-2</v>
      </c>
      <c r="AE173" s="137">
        <f>Summary_LCIA!V$32</f>
        <v>4.7760999999999999E-5</v>
      </c>
      <c r="AF173" s="137">
        <f>Summary_LCIA!W$32</f>
        <v>7.6970999999999998E-2</v>
      </c>
      <c r="AG173" s="137">
        <f>Summary_LCIA!X$32</f>
        <v>2.2780000000000002E-2</v>
      </c>
      <c r="AH173" s="137">
        <f>Summary_LCIA!Y$32</f>
        <v>1.5582E-2</v>
      </c>
      <c r="AI173" s="137">
        <f>Summary_LCIA!Z$32</f>
        <v>4.1009E-5</v>
      </c>
      <c r="AJ173" s="137">
        <f>Summary_LCIA!AA$32</f>
        <v>2.3355999999999998E-2</v>
      </c>
      <c r="AK173" s="137">
        <f>Summary_LCIA!AB$32</f>
        <v>-2.1823000000000001E-5</v>
      </c>
      <c r="AL173" s="137">
        <f>Summary_LCIA!AC$32</f>
        <v>4.8884000000000003E-8</v>
      </c>
      <c r="AM173" s="137">
        <f>Summary_LCIA!AD$32</f>
        <v>4.1103999999999999E-4</v>
      </c>
      <c r="AN173" s="137">
        <f>Summary_LCIA!AE$32</f>
        <v>8.8612999999999995E-4</v>
      </c>
      <c r="AO173" s="137">
        <f>Summary_LCIA!AF$32</f>
        <v>8.4542000000000005E-4</v>
      </c>
      <c r="AP173" s="137">
        <f>Summary_LCIA!AG$32</f>
        <v>5.1165000000000002E-5</v>
      </c>
      <c r="AQ173" s="137">
        <f>Summary_LCIA!AH$32</f>
        <v>8.7036000000000006E-3</v>
      </c>
      <c r="AR173" s="137">
        <f>Summary_LCIA!AI$32</f>
        <v>9.3154999999999996E-4</v>
      </c>
      <c r="AT173" s="137">
        <f t="shared" si="44"/>
        <v>130.90217340000001</v>
      </c>
      <c r="AU173" s="137">
        <f t="shared" si="45"/>
        <v>1909.2341764558889</v>
      </c>
      <c r="AV173" s="137">
        <f t="shared" si="46"/>
        <v>2.0284828847999998</v>
      </c>
      <c r="AW173" s="137">
        <f t="shared" si="47"/>
        <v>129.19944354</v>
      </c>
      <c r="AX173" s="137">
        <f t="shared" si="48"/>
        <v>42.3371067</v>
      </c>
      <c r="AY173" s="137">
        <f t="shared" si="49"/>
        <v>6.9010639620000003</v>
      </c>
      <c r="AZ173" s="137">
        <f t="shared" si="50"/>
        <v>1.8399113312999999E-2</v>
      </c>
      <c r="BA173" s="137">
        <f t="shared" si="51"/>
        <v>29.651769243</v>
      </c>
      <c r="BB173" s="137">
        <f t="shared" si="52"/>
        <v>8.7756077399999999</v>
      </c>
      <c r="BC173" s="137">
        <f t="shared" si="53"/>
        <v>6.0027006060000003</v>
      </c>
      <c r="BD173" s="137">
        <f t="shared" si="54"/>
        <v>1.5798020097000001E-2</v>
      </c>
      <c r="BE173" s="137">
        <f t="shared" si="55"/>
        <v>8.997501948</v>
      </c>
      <c r="BF173" s="137">
        <f t="shared" si="56"/>
        <v>-8.4069397590000004E-3</v>
      </c>
      <c r="BG173" s="137">
        <f t="shared" si="57"/>
        <v>1.8831729972000001E-5</v>
      </c>
      <c r="BH173" s="137">
        <f t="shared" si="58"/>
        <v>0.15834617232000001</v>
      </c>
      <c r="BI173" s="137">
        <f t="shared" si="59"/>
        <v>0.34136651828999998</v>
      </c>
      <c r="BJ173" s="137">
        <f t="shared" si="60"/>
        <v>0.32568368286000005</v>
      </c>
      <c r="BK173" s="137">
        <f t="shared" si="61"/>
        <v>1.9710446445000002E-2</v>
      </c>
      <c r="BL173" s="137">
        <f t="shared" si="62"/>
        <v>3.3529139388000004</v>
      </c>
      <c r="BM173" s="137">
        <f t="shared" si="63"/>
        <v>0.35886380114999999</v>
      </c>
    </row>
    <row r="174" spans="1:65" x14ac:dyDescent="0.25">
      <c r="A174" s="149">
        <v>186</v>
      </c>
      <c r="B174" s="149">
        <v>43</v>
      </c>
      <c r="C174" s="61">
        <v>38.894278999999997</v>
      </c>
      <c r="D174" s="61">
        <v>-77.431099000000003</v>
      </c>
      <c r="E174" s="61" t="s">
        <v>265</v>
      </c>
      <c r="F174" s="149">
        <v>85</v>
      </c>
      <c r="G174" s="61" t="s">
        <v>630</v>
      </c>
      <c r="H174" s="61" t="s">
        <v>631</v>
      </c>
      <c r="I174" s="61">
        <v>38.953116000000001</v>
      </c>
      <c r="J174" s="61">
        <v>-77.456539000000006</v>
      </c>
      <c r="K174" s="61">
        <v>9.3021399710000008</v>
      </c>
      <c r="L174" s="61">
        <v>12.042999999999999</v>
      </c>
      <c r="M174" s="61" t="s">
        <v>617</v>
      </c>
      <c r="N174" s="149">
        <v>42</v>
      </c>
      <c r="O174" s="149">
        <v>43</v>
      </c>
      <c r="P174" s="61" t="s">
        <v>565</v>
      </c>
      <c r="Q174" s="61" t="s">
        <v>555</v>
      </c>
      <c r="R174" s="61">
        <v>40.6895314</v>
      </c>
      <c r="S174" s="61">
        <v>-74.174462399999996</v>
      </c>
      <c r="T174" s="61">
        <v>387.10199999999998</v>
      </c>
      <c r="U174" s="61" t="s">
        <v>617</v>
      </c>
      <c r="V174" s="61" t="s">
        <v>617</v>
      </c>
      <c r="W174" s="61"/>
      <c r="Y174" s="137">
        <f>Summary_LCIA!H$32</f>
        <v>0.33979999999999999</v>
      </c>
      <c r="Z174" s="137">
        <f>Summary_LCIA!Q$32</f>
        <v>4.9560504329999997</v>
      </c>
      <c r="AA174" s="137">
        <f>Summary_LCIA!R$32</f>
        <v>5.2655999999999996E-3</v>
      </c>
      <c r="AB174" s="137">
        <f>Summary_LCIA!S$32</f>
        <v>0.33538000000000001</v>
      </c>
      <c r="AC174" s="137">
        <f>Summary_LCIA!T$32</f>
        <v>0.1099</v>
      </c>
      <c r="AD174" s="137">
        <f>Summary_LCIA!U$32</f>
        <v>1.7913999999999999E-2</v>
      </c>
      <c r="AE174" s="137">
        <f>Summary_LCIA!V$32</f>
        <v>4.7760999999999999E-5</v>
      </c>
      <c r="AF174" s="137">
        <f>Summary_LCIA!W$32</f>
        <v>7.6970999999999998E-2</v>
      </c>
      <c r="AG174" s="137">
        <f>Summary_LCIA!X$32</f>
        <v>2.2780000000000002E-2</v>
      </c>
      <c r="AH174" s="137">
        <f>Summary_LCIA!Y$32</f>
        <v>1.5582E-2</v>
      </c>
      <c r="AI174" s="137">
        <f>Summary_LCIA!Z$32</f>
        <v>4.1009E-5</v>
      </c>
      <c r="AJ174" s="137">
        <f>Summary_LCIA!AA$32</f>
        <v>2.3355999999999998E-2</v>
      </c>
      <c r="AK174" s="137">
        <f>Summary_LCIA!AB$32</f>
        <v>-2.1823000000000001E-5</v>
      </c>
      <c r="AL174" s="137">
        <f>Summary_LCIA!AC$32</f>
        <v>4.8884000000000003E-8</v>
      </c>
      <c r="AM174" s="137">
        <f>Summary_LCIA!AD$32</f>
        <v>4.1103999999999999E-4</v>
      </c>
      <c r="AN174" s="137">
        <f>Summary_LCIA!AE$32</f>
        <v>8.8612999999999995E-4</v>
      </c>
      <c r="AO174" s="137">
        <f>Summary_LCIA!AF$32</f>
        <v>8.4542000000000005E-4</v>
      </c>
      <c r="AP174" s="137">
        <f>Summary_LCIA!AG$32</f>
        <v>5.1165000000000002E-5</v>
      </c>
      <c r="AQ174" s="137">
        <f>Summary_LCIA!AH$32</f>
        <v>8.7036000000000006E-3</v>
      </c>
      <c r="AR174" s="137">
        <f>Summary_LCIA!AI$32</f>
        <v>9.3154999999999996E-4</v>
      </c>
      <c r="AT174" s="137">
        <f t="shared" si="44"/>
        <v>131.5372596</v>
      </c>
      <c r="AU174" s="137">
        <f t="shared" si="45"/>
        <v>1918.4970347151657</v>
      </c>
      <c r="AV174" s="137">
        <f t="shared" si="46"/>
        <v>2.0383242911999999</v>
      </c>
      <c r="AW174" s="137">
        <f t="shared" si="47"/>
        <v>129.82626876</v>
      </c>
      <c r="AX174" s="137">
        <f t="shared" si="48"/>
        <v>42.542509799999998</v>
      </c>
      <c r="AY174" s="137">
        <f t="shared" si="49"/>
        <v>6.9345452279999993</v>
      </c>
      <c r="AZ174" s="137">
        <f t="shared" si="50"/>
        <v>1.8488378622E-2</v>
      </c>
      <c r="BA174" s="137">
        <f t="shared" si="51"/>
        <v>29.795628041999997</v>
      </c>
      <c r="BB174" s="137">
        <f t="shared" si="52"/>
        <v>8.8181835599999996</v>
      </c>
      <c r="BC174" s="137">
        <f t="shared" si="53"/>
        <v>6.0318233640000001</v>
      </c>
      <c r="BD174" s="137">
        <f t="shared" si="54"/>
        <v>1.5874665917999999E-2</v>
      </c>
      <c r="BE174" s="137">
        <f t="shared" si="55"/>
        <v>9.041154311999998</v>
      </c>
      <c r="BF174" s="137">
        <f t="shared" si="56"/>
        <v>-8.4477269459999997E-3</v>
      </c>
      <c r="BG174" s="137">
        <f t="shared" si="57"/>
        <v>1.8923094167999998E-5</v>
      </c>
      <c r="BH174" s="137">
        <f t="shared" si="58"/>
        <v>0.15911440607999999</v>
      </c>
      <c r="BI174" s="137">
        <f t="shared" si="59"/>
        <v>0.34302269525999995</v>
      </c>
      <c r="BJ174" s="137">
        <f t="shared" si="60"/>
        <v>0.32726377284000002</v>
      </c>
      <c r="BK174" s="137">
        <f t="shared" si="61"/>
        <v>1.980607383E-2</v>
      </c>
      <c r="BL174" s="137">
        <f t="shared" si="62"/>
        <v>3.3691809672000002</v>
      </c>
      <c r="BM174" s="137">
        <f t="shared" si="63"/>
        <v>0.36060486809999998</v>
      </c>
    </row>
    <row r="175" spans="1:65" x14ac:dyDescent="0.25">
      <c r="A175" s="149">
        <v>201</v>
      </c>
      <c r="B175" s="149">
        <v>29</v>
      </c>
      <c r="C175" s="61">
        <v>44.564565999999999</v>
      </c>
      <c r="D175" s="61">
        <v>-123.262044</v>
      </c>
      <c r="E175" s="61" t="s">
        <v>265</v>
      </c>
      <c r="F175" s="149">
        <v>90</v>
      </c>
      <c r="G175" s="61" t="s">
        <v>277</v>
      </c>
      <c r="H175" s="61" t="s">
        <v>697</v>
      </c>
      <c r="I175" s="61">
        <v>45.589768999999997</v>
      </c>
      <c r="J175" s="61">
        <v>-122.595094</v>
      </c>
      <c r="K175" s="61">
        <v>197.87946479999999</v>
      </c>
      <c r="L175" s="61">
        <v>153.494</v>
      </c>
      <c r="M175" s="61" t="s">
        <v>617</v>
      </c>
      <c r="N175" s="149">
        <v>28</v>
      </c>
      <c r="O175" s="149">
        <v>29</v>
      </c>
      <c r="P175" s="61" t="s">
        <v>565</v>
      </c>
      <c r="Q175" s="61" t="s">
        <v>559</v>
      </c>
      <c r="R175" s="61">
        <v>47.450249900000003</v>
      </c>
      <c r="S175" s="61">
        <v>-122.30881650000001</v>
      </c>
      <c r="T175" s="61">
        <v>399.30799999999999</v>
      </c>
      <c r="U175" s="61" t="s">
        <v>617</v>
      </c>
      <c r="V175" s="61" t="s">
        <v>617</v>
      </c>
      <c r="W175" s="61"/>
      <c r="Y175" s="137">
        <f>Summary_LCIA!H$32</f>
        <v>0.33979999999999999</v>
      </c>
      <c r="Z175" s="137">
        <f>Summary_LCIA!Q$32</f>
        <v>4.9560504329999997</v>
      </c>
      <c r="AA175" s="137">
        <f>Summary_LCIA!R$32</f>
        <v>5.2655999999999996E-3</v>
      </c>
      <c r="AB175" s="137">
        <f>Summary_LCIA!S$32</f>
        <v>0.33538000000000001</v>
      </c>
      <c r="AC175" s="137">
        <f>Summary_LCIA!T$32</f>
        <v>0.1099</v>
      </c>
      <c r="AD175" s="137">
        <f>Summary_LCIA!U$32</f>
        <v>1.7913999999999999E-2</v>
      </c>
      <c r="AE175" s="137">
        <f>Summary_LCIA!V$32</f>
        <v>4.7760999999999999E-5</v>
      </c>
      <c r="AF175" s="137">
        <f>Summary_LCIA!W$32</f>
        <v>7.6970999999999998E-2</v>
      </c>
      <c r="AG175" s="137">
        <f>Summary_LCIA!X$32</f>
        <v>2.2780000000000002E-2</v>
      </c>
      <c r="AH175" s="137">
        <f>Summary_LCIA!Y$32</f>
        <v>1.5582E-2</v>
      </c>
      <c r="AI175" s="137">
        <f>Summary_LCIA!Z$32</f>
        <v>4.1009E-5</v>
      </c>
      <c r="AJ175" s="137">
        <f>Summary_LCIA!AA$32</f>
        <v>2.3355999999999998E-2</v>
      </c>
      <c r="AK175" s="137">
        <f>Summary_LCIA!AB$32</f>
        <v>-2.1823000000000001E-5</v>
      </c>
      <c r="AL175" s="137">
        <f>Summary_LCIA!AC$32</f>
        <v>4.8884000000000003E-8</v>
      </c>
      <c r="AM175" s="137">
        <f>Summary_LCIA!AD$32</f>
        <v>4.1103999999999999E-4</v>
      </c>
      <c r="AN175" s="137">
        <f>Summary_LCIA!AE$32</f>
        <v>8.8612999999999995E-4</v>
      </c>
      <c r="AO175" s="137">
        <f>Summary_LCIA!AF$32</f>
        <v>8.4542000000000005E-4</v>
      </c>
      <c r="AP175" s="137">
        <f>Summary_LCIA!AG$32</f>
        <v>5.1165000000000002E-5</v>
      </c>
      <c r="AQ175" s="137">
        <f>Summary_LCIA!AH$32</f>
        <v>8.7036000000000006E-3</v>
      </c>
      <c r="AR175" s="137">
        <f>Summary_LCIA!AI$32</f>
        <v>9.3154999999999996E-4</v>
      </c>
      <c r="AT175" s="137">
        <f t="shared" si="44"/>
        <v>135.6848584</v>
      </c>
      <c r="AU175" s="137">
        <f t="shared" si="45"/>
        <v>1978.9905863003639</v>
      </c>
      <c r="AV175" s="137">
        <f t="shared" si="46"/>
        <v>2.1025962047999998</v>
      </c>
      <c r="AW175" s="137">
        <f t="shared" si="47"/>
        <v>133.91991704</v>
      </c>
      <c r="AX175" s="137">
        <f t="shared" si="48"/>
        <v>43.883949199999996</v>
      </c>
      <c r="AY175" s="137">
        <f t="shared" si="49"/>
        <v>7.1532035119999993</v>
      </c>
      <c r="AZ175" s="137">
        <f t="shared" si="50"/>
        <v>1.9071349387999998E-2</v>
      </c>
      <c r="BA175" s="137">
        <f t="shared" si="51"/>
        <v>30.735136067999999</v>
      </c>
      <c r="BB175" s="137">
        <f t="shared" si="52"/>
        <v>9.0962362399999996</v>
      </c>
      <c r="BC175" s="137">
        <f t="shared" si="53"/>
        <v>6.222017256</v>
      </c>
      <c r="BD175" s="137">
        <f t="shared" si="54"/>
        <v>1.6375221772000001E-2</v>
      </c>
      <c r="BE175" s="137">
        <f t="shared" si="55"/>
        <v>9.3262376479999993</v>
      </c>
      <c r="BF175" s="137">
        <f t="shared" si="56"/>
        <v>-8.7140984839999998E-3</v>
      </c>
      <c r="BG175" s="137">
        <f t="shared" si="57"/>
        <v>1.9519772272000002E-5</v>
      </c>
      <c r="BH175" s="137">
        <f t="shared" si="58"/>
        <v>0.16413156032000001</v>
      </c>
      <c r="BI175" s="137">
        <f t="shared" si="59"/>
        <v>0.35383879803999996</v>
      </c>
      <c r="BJ175" s="137">
        <f t="shared" si="60"/>
        <v>0.33758296936000004</v>
      </c>
      <c r="BK175" s="137">
        <f t="shared" si="61"/>
        <v>2.0430593819999999E-2</v>
      </c>
      <c r="BL175" s="137">
        <f t="shared" si="62"/>
        <v>3.4754171088000003</v>
      </c>
      <c r="BM175" s="137">
        <f t="shared" si="63"/>
        <v>0.37197536739999998</v>
      </c>
    </row>
    <row r="176" spans="1:65" x14ac:dyDescent="0.25">
      <c r="A176" s="149">
        <v>202</v>
      </c>
      <c r="B176" s="149">
        <v>29</v>
      </c>
      <c r="C176" s="61">
        <v>44.564565999999999</v>
      </c>
      <c r="D176" s="61">
        <v>-123.262044</v>
      </c>
      <c r="E176" s="61" t="s">
        <v>265</v>
      </c>
      <c r="F176" s="149">
        <v>90</v>
      </c>
      <c r="G176" s="61" t="s">
        <v>277</v>
      </c>
      <c r="H176" s="61" t="s">
        <v>697</v>
      </c>
      <c r="I176" s="61">
        <v>45.589768999999997</v>
      </c>
      <c r="J176" s="61">
        <v>-122.595094</v>
      </c>
      <c r="K176" s="61">
        <v>197.87946479999999</v>
      </c>
      <c r="L176" s="61">
        <v>153.494</v>
      </c>
      <c r="M176" s="61" t="s">
        <v>617</v>
      </c>
      <c r="N176" s="149">
        <v>28</v>
      </c>
      <c r="O176" s="149">
        <v>29</v>
      </c>
      <c r="P176" s="61" t="s">
        <v>565</v>
      </c>
      <c r="Q176" s="61" t="s">
        <v>559</v>
      </c>
      <c r="R176" s="61">
        <v>47.450249900000003</v>
      </c>
      <c r="S176" s="61">
        <v>-122.30881650000001</v>
      </c>
      <c r="T176" s="61">
        <v>399.30799999999999</v>
      </c>
      <c r="U176" s="61" t="s">
        <v>617</v>
      </c>
      <c r="V176" s="61" t="s">
        <v>617</v>
      </c>
      <c r="W176" s="61"/>
      <c r="Y176" s="137">
        <f>Summary_LCIA!H$32</f>
        <v>0.33979999999999999</v>
      </c>
      <c r="Z176" s="137">
        <f>Summary_LCIA!Q$32</f>
        <v>4.9560504329999997</v>
      </c>
      <c r="AA176" s="137">
        <f>Summary_LCIA!R$32</f>
        <v>5.2655999999999996E-3</v>
      </c>
      <c r="AB176" s="137">
        <f>Summary_LCIA!S$32</f>
        <v>0.33538000000000001</v>
      </c>
      <c r="AC176" s="137">
        <f>Summary_LCIA!T$32</f>
        <v>0.1099</v>
      </c>
      <c r="AD176" s="137">
        <f>Summary_LCIA!U$32</f>
        <v>1.7913999999999999E-2</v>
      </c>
      <c r="AE176" s="137">
        <f>Summary_LCIA!V$32</f>
        <v>4.7760999999999999E-5</v>
      </c>
      <c r="AF176" s="137">
        <f>Summary_LCIA!W$32</f>
        <v>7.6970999999999998E-2</v>
      </c>
      <c r="AG176" s="137">
        <f>Summary_LCIA!X$32</f>
        <v>2.2780000000000002E-2</v>
      </c>
      <c r="AH176" s="137">
        <f>Summary_LCIA!Y$32</f>
        <v>1.5582E-2</v>
      </c>
      <c r="AI176" s="137">
        <f>Summary_LCIA!Z$32</f>
        <v>4.1009E-5</v>
      </c>
      <c r="AJ176" s="137">
        <f>Summary_LCIA!AA$32</f>
        <v>2.3355999999999998E-2</v>
      </c>
      <c r="AK176" s="137">
        <f>Summary_LCIA!AB$32</f>
        <v>-2.1823000000000001E-5</v>
      </c>
      <c r="AL176" s="137">
        <f>Summary_LCIA!AC$32</f>
        <v>4.8884000000000003E-8</v>
      </c>
      <c r="AM176" s="137">
        <f>Summary_LCIA!AD$32</f>
        <v>4.1103999999999999E-4</v>
      </c>
      <c r="AN176" s="137">
        <f>Summary_LCIA!AE$32</f>
        <v>8.8612999999999995E-4</v>
      </c>
      <c r="AO176" s="137">
        <f>Summary_LCIA!AF$32</f>
        <v>8.4542000000000005E-4</v>
      </c>
      <c r="AP176" s="137">
        <f>Summary_LCIA!AG$32</f>
        <v>5.1165000000000002E-5</v>
      </c>
      <c r="AQ176" s="137">
        <f>Summary_LCIA!AH$32</f>
        <v>8.7036000000000006E-3</v>
      </c>
      <c r="AR176" s="137">
        <f>Summary_LCIA!AI$32</f>
        <v>9.3154999999999996E-4</v>
      </c>
      <c r="AT176" s="137">
        <f t="shared" si="44"/>
        <v>135.6848584</v>
      </c>
      <c r="AU176" s="137">
        <f t="shared" si="45"/>
        <v>1978.9905863003639</v>
      </c>
      <c r="AV176" s="137">
        <f t="shared" si="46"/>
        <v>2.1025962047999998</v>
      </c>
      <c r="AW176" s="137">
        <f t="shared" si="47"/>
        <v>133.91991704</v>
      </c>
      <c r="AX176" s="137">
        <f t="shared" si="48"/>
        <v>43.883949199999996</v>
      </c>
      <c r="AY176" s="137">
        <f t="shared" si="49"/>
        <v>7.1532035119999993</v>
      </c>
      <c r="AZ176" s="137">
        <f t="shared" si="50"/>
        <v>1.9071349387999998E-2</v>
      </c>
      <c r="BA176" s="137">
        <f t="shared" si="51"/>
        <v>30.735136067999999</v>
      </c>
      <c r="BB176" s="137">
        <f t="shared" si="52"/>
        <v>9.0962362399999996</v>
      </c>
      <c r="BC176" s="137">
        <f t="shared" si="53"/>
        <v>6.222017256</v>
      </c>
      <c r="BD176" s="137">
        <f t="shared" si="54"/>
        <v>1.6375221772000001E-2</v>
      </c>
      <c r="BE176" s="137">
        <f t="shared" si="55"/>
        <v>9.3262376479999993</v>
      </c>
      <c r="BF176" s="137">
        <f t="shared" si="56"/>
        <v>-8.7140984839999998E-3</v>
      </c>
      <c r="BG176" s="137">
        <f t="shared" si="57"/>
        <v>1.9519772272000002E-5</v>
      </c>
      <c r="BH176" s="137">
        <f t="shared" si="58"/>
        <v>0.16413156032000001</v>
      </c>
      <c r="BI176" s="137">
        <f t="shared" si="59"/>
        <v>0.35383879803999996</v>
      </c>
      <c r="BJ176" s="137">
        <f t="shared" si="60"/>
        <v>0.33758296936000004</v>
      </c>
      <c r="BK176" s="137">
        <f t="shared" si="61"/>
        <v>2.0430593819999999E-2</v>
      </c>
      <c r="BL176" s="137">
        <f t="shared" si="62"/>
        <v>3.4754171088000003</v>
      </c>
      <c r="BM176" s="137">
        <f t="shared" si="63"/>
        <v>0.37197536739999998</v>
      </c>
    </row>
    <row r="177" spans="1:65" x14ac:dyDescent="0.25">
      <c r="A177" s="149">
        <v>199</v>
      </c>
      <c r="B177" s="149">
        <v>29</v>
      </c>
      <c r="C177" s="61">
        <v>44.564272000000003</v>
      </c>
      <c r="D177" s="61">
        <v>-123.278594</v>
      </c>
      <c r="E177" s="61" t="s">
        <v>265</v>
      </c>
      <c r="F177" s="149">
        <v>90</v>
      </c>
      <c r="G177" s="61" t="s">
        <v>277</v>
      </c>
      <c r="H177" s="61" t="s">
        <v>697</v>
      </c>
      <c r="I177" s="61">
        <v>45.589768999999997</v>
      </c>
      <c r="J177" s="61">
        <v>-122.595094</v>
      </c>
      <c r="K177" s="61">
        <v>197.4951184</v>
      </c>
      <c r="L177" s="61">
        <v>155.84200000000001</v>
      </c>
      <c r="M177" s="61" t="s">
        <v>617</v>
      </c>
      <c r="N177" s="149">
        <v>28</v>
      </c>
      <c r="O177" s="149">
        <v>29</v>
      </c>
      <c r="P177" s="61" t="s">
        <v>565</v>
      </c>
      <c r="Q177" s="61" t="s">
        <v>559</v>
      </c>
      <c r="R177" s="61">
        <v>47.450249900000003</v>
      </c>
      <c r="S177" s="61">
        <v>-122.30881650000001</v>
      </c>
      <c r="T177" s="61">
        <v>401.65699999999998</v>
      </c>
      <c r="U177" s="61" t="s">
        <v>617</v>
      </c>
      <c r="V177" s="61" t="s">
        <v>617</v>
      </c>
      <c r="W177" s="61"/>
      <c r="Y177" s="137">
        <f>Summary_LCIA!H$32</f>
        <v>0.33979999999999999</v>
      </c>
      <c r="Z177" s="137">
        <f>Summary_LCIA!Q$32</f>
        <v>4.9560504329999997</v>
      </c>
      <c r="AA177" s="137">
        <f>Summary_LCIA!R$32</f>
        <v>5.2655999999999996E-3</v>
      </c>
      <c r="AB177" s="137">
        <f>Summary_LCIA!S$32</f>
        <v>0.33538000000000001</v>
      </c>
      <c r="AC177" s="137">
        <f>Summary_LCIA!T$32</f>
        <v>0.1099</v>
      </c>
      <c r="AD177" s="137">
        <f>Summary_LCIA!U$32</f>
        <v>1.7913999999999999E-2</v>
      </c>
      <c r="AE177" s="137">
        <f>Summary_LCIA!V$32</f>
        <v>4.7760999999999999E-5</v>
      </c>
      <c r="AF177" s="137">
        <f>Summary_LCIA!W$32</f>
        <v>7.6970999999999998E-2</v>
      </c>
      <c r="AG177" s="137">
        <f>Summary_LCIA!X$32</f>
        <v>2.2780000000000002E-2</v>
      </c>
      <c r="AH177" s="137">
        <f>Summary_LCIA!Y$32</f>
        <v>1.5582E-2</v>
      </c>
      <c r="AI177" s="137">
        <f>Summary_LCIA!Z$32</f>
        <v>4.1009E-5</v>
      </c>
      <c r="AJ177" s="137">
        <f>Summary_LCIA!AA$32</f>
        <v>2.3355999999999998E-2</v>
      </c>
      <c r="AK177" s="137">
        <f>Summary_LCIA!AB$32</f>
        <v>-2.1823000000000001E-5</v>
      </c>
      <c r="AL177" s="137">
        <f>Summary_LCIA!AC$32</f>
        <v>4.8884000000000003E-8</v>
      </c>
      <c r="AM177" s="137">
        <f>Summary_LCIA!AD$32</f>
        <v>4.1103999999999999E-4</v>
      </c>
      <c r="AN177" s="137">
        <f>Summary_LCIA!AE$32</f>
        <v>8.8612999999999995E-4</v>
      </c>
      <c r="AO177" s="137">
        <f>Summary_LCIA!AF$32</f>
        <v>8.4542000000000005E-4</v>
      </c>
      <c r="AP177" s="137">
        <f>Summary_LCIA!AG$32</f>
        <v>5.1165000000000002E-5</v>
      </c>
      <c r="AQ177" s="137">
        <f>Summary_LCIA!AH$32</f>
        <v>8.7036000000000006E-3</v>
      </c>
      <c r="AR177" s="137">
        <f>Summary_LCIA!AI$32</f>
        <v>9.3154999999999996E-4</v>
      </c>
      <c r="AT177" s="137">
        <f t="shared" si="44"/>
        <v>136.48304859999999</v>
      </c>
      <c r="AU177" s="137">
        <f t="shared" si="45"/>
        <v>1990.6323487674808</v>
      </c>
      <c r="AV177" s="137">
        <f t="shared" si="46"/>
        <v>2.1149650992</v>
      </c>
      <c r="AW177" s="137">
        <f t="shared" si="47"/>
        <v>134.70772466</v>
      </c>
      <c r="AX177" s="137">
        <f t="shared" si="48"/>
        <v>44.1421043</v>
      </c>
      <c r="AY177" s="137">
        <f t="shared" si="49"/>
        <v>7.1952834979999993</v>
      </c>
      <c r="AZ177" s="137">
        <f t="shared" si="50"/>
        <v>1.9183539976999998E-2</v>
      </c>
      <c r="BA177" s="137">
        <f t="shared" si="51"/>
        <v>30.915940946999999</v>
      </c>
      <c r="BB177" s="137">
        <f t="shared" si="52"/>
        <v>9.1497464600000011</v>
      </c>
      <c r="BC177" s="137">
        <f t="shared" si="53"/>
        <v>6.2586193740000002</v>
      </c>
      <c r="BD177" s="137">
        <f t="shared" si="54"/>
        <v>1.6471551912999999E-2</v>
      </c>
      <c r="BE177" s="137">
        <f t="shared" si="55"/>
        <v>9.3811008919999992</v>
      </c>
      <c r="BF177" s="137">
        <f t="shared" si="56"/>
        <v>-8.765360711E-3</v>
      </c>
      <c r="BG177" s="137">
        <f t="shared" si="57"/>
        <v>1.9634600787999999E-5</v>
      </c>
      <c r="BH177" s="137">
        <f t="shared" si="58"/>
        <v>0.16509709328</v>
      </c>
      <c r="BI177" s="137">
        <f t="shared" si="59"/>
        <v>0.35592031740999996</v>
      </c>
      <c r="BJ177" s="137">
        <f t="shared" si="60"/>
        <v>0.33956886093999999</v>
      </c>
      <c r="BK177" s="137">
        <f t="shared" si="61"/>
        <v>2.0550780405E-2</v>
      </c>
      <c r="BL177" s="137">
        <f t="shared" si="62"/>
        <v>3.4958618652000002</v>
      </c>
      <c r="BM177" s="137">
        <f t="shared" si="63"/>
        <v>0.37416357834999997</v>
      </c>
    </row>
    <row r="178" spans="1:65" x14ac:dyDescent="0.25">
      <c r="A178" s="149">
        <v>200</v>
      </c>
      <c r="B178" s="149">
        <v>29</v>
      </c>
      <c r="C178" s="61">
        <v>44.564272000000003</v>
      </c>
      <c r="D178" s="61">
        <v>-123.278594</v>
      </c>
      <c r="E178" s="61" t="s">
        <v>265</v>
      </c>
      <c r="F178" s="149">
        <v>90</v>
      </c>
      <c r="G178" s="61" t="s">
        <v>277</v>
      </c>
      <c r="H178" s="61" t="s">
        <v>697</v>
      </c>
      <c r="I178" s="61">
        <v>45.589768999999997</v>
      </c>
      <c r="J178" s="61">
        <v>-122.595094</v>
      </c>
      <c r="K178" s="61">
        <v>197.4951184</v>
      </c>
      <c r="L178" s="61">
        <v>155.84200000000001</v>
      </c>
      <c r="M178" s="61" t="s">
        <v>617</v>
      </c>
      <c r="N178" s="149">
        <v>28</v>
      </c>
      <c r="O178" s="149">
        <v>29</v>
      </c>
      <c r="P178" s="61" t="s">
        <v>565</v>
      </c>
      <c r="Q178" s="61" t="s">
        <v>559</v>
      </c>
      <c r="R178" s="61">
        <v>47.450249900000003</v>
      </c>
      <c r="S178" s="61">
        <v>-122.30881650000001</v>
      </c>
      <c r="T178" s="61">
        <v>401.65699999999998</v>
      </c>
      <c r="U178" s="61" t="s">
        <v>617</v>
      </c>
      <c r="V178" s="61" t="s">
        <v>617</v>
      </c>
      <c r="W178" s="61"/>
      <c r="Y178" s="137">
        <f>Summary_LCIA!H$32</f>
        <v>0.33979999999999999</v>
      </c>
      <c r="Z178" s="137">
        <f>Summary_LCIA!Q$32</f>
        <v>4.9560504329999997</v>
      </c>
      <c r="AA178" s="137">
        <f>Summary_LCIA!R$32</f>
        <v>5.2655999999999996E-3</v>
      </c>
      <c r="AB178" s="137">
        <f>Summary_LCIA!S$32</f>
        <v>0.33538000000000001</v>
      </c>
      <c r="AC178" s="137">
        <f>Summary_LCIA!T$32</f>
        <v>0.1099</v>
      </c>
      <c r="AD178" s="137">
        <f>Summary_LCIA!U$32</f>
        <v>1.7913999999999999E-2</v>
      </c>
      <c r="AE178" s="137">
        <f>Summary_LCIA!V$32</f>
        <v>4.7760999999999999E-5</v>
      </c>
      <c r="AF178" s="137">
        <f>Summary_LCIA!W$32</f>
        <v>7.6970999999999998E-2</v>
      </c>
      <c r="AG178" s="137">
        <f>Summary_LCIA!X$32</f>
        <v>2.2780000000000002E-2</v>
      </c>
      <c r="AH178" s="137">
        <f>Summary_LCIA!Y$32</f>
        <v>1.5582E-2</v>
      </c>
      <c r="AI178" s="137">
        <f>Summary_LCIA!Z$32</f>
        <v>4.1009E-5</v>
      </c>
      <c r="AJ178" s="137">
        <f>Summary_LCIA!AA$32</f>
        <v>2.3355999999999998E-2</v>
      </c>
      <c r="AK178" s="137">
        <f>Summary_LCIA!AB$32</f>
        <v>-2.1823000000000001E-5</v>
      </c>
      <c r="AL178" s="137">
        <f>Summary_LCIA!AC$32</f>
        <v>4.8884000000000003E-8</v>
      </c>
      <c r="AM178" s="137">
        <f>Summary_LCIA!AD$32</f>
        <v>4.1103999999999999E-4</v>
      </c>
      <c r="AN178" s="137">
        <f>Summary_LCIA!AE$32</f>
        <v>8.8612999999999995E-4</v>
      </c>
      <c r="AO178" s="137">
        <f>Summary_LCIA!AF$32</f>
        <v>8.4542000000000005E-4</v>
      </c>
      <c r="AP178" s="137">
        <f>Summary_LCIA!AG$32</f>
        <v>5.1165000000000002E-5</v>
      </c>
      <c r="AQ178" s="137">
        <f>Summary_LCIA!AH$32</f>
        <v>8.7036000000000006E-3</v>
      </c>
      <c r="AR178" s="137">
        <f>Summary_LCIA!AI$32</f>
        <v>9.3154999999999996E-4</v>
      </c>
      <c r="AT178" s="137">
        <f t="shared" si="44"/>
        <v>136.48304859999999</v>
      </c>
      <c r="AU178" s="137">
        <f t="shared" si="45"/>
        <v>1990.6323487674808</v>
      </c>
      <c r="AV178" s="137">
        <f t="shared" si="46"/>
        <v>2.1149650992</v>
      </c>
      <c r="AW178" s="137">
        <f t="shared" si="47"/>
        <v>134.70772466</v>
      </c>
      <c r="AX178" s="137">
        <f t="shared" si="48"/>
        <v>44.1421043</v>
      </c>
      <c r="AY178" s="137">
        <f t="shared" si="49"/>
        <v>7.1952834979999993</v>
      </c>
      <c r="AZ178" s="137">
        <f t="shared" si="50"/>
        <v>1.9183539976999998E-2</v>
      </c>
      <c r="BA178" s="137">
        <f t="shared" si="51"/>
        <v>30.915940946999999</v>
      </c>
      <c r="BB178" s="137">
        <f t="shared" si="52"/>
        <v>9.1497464600000011</v>
      </c>
      <c r="BC178" s="137">
        <f t="shared" si="53"/>
        <v>6.2586193740000002</v>
      </c>
      <c r="BD178" s="137">
        <f t="shared" si="54"/>
        <v>1.6471551912999999E-2</v>
      </c>
      <c r="BE178" s="137">
        <f t="shared" si="55"/>
        <v>9.3811008919999992</v>
      </c>
      <c r="BF178" s="137">
        <f t="shared" si="56"/>
        <v>-8.765360711E-3</v>
      </c>
      <c r="BG178" s="137">
        <f t="shared" si="57"/>
        <v>1.9634600787999999E-5</v>
      </c>
      <c r="BH178" s="137">
        <f t="shared" si="58"/>
        <v>0.16509709328</v>
      </c>
      <c r="BI178" s="137">
        <f t="shared" si="59"/>
        <v>0.35592031740999996</v>
      </c>
      <c r="BJ178" s="137">
        <f t="shared" si="60"/>
        <v>0.33956886093999999</v>
      </c>
      <c r="BK178" s="137">
        <f t="shared" si="61"/>
        <v>2.0550780405E-2</v>
      </c>
      <c r="BL178" s="137">
        <f t="shared" si="62"/>
        <v>3.4958618652000002</v>
      </c>
      <c r="BM178" s="137">
        <f t="shared" si="63"/>
        <v>0.37416357834999997</v>
      </c>
    </row>
    <row r="179" spans="1:65" x14ac:dyDescent="0.25">
      <c r="A179" s="149">
        <v>52</v>
      </c>
      <c r="B179" s="149">
        <v>43</v>
      </c>
      <c r="C179" s="61">
        <v>39.109959000000003</v>
      </c>
      <c r="D179" s="61">
        <v>-77.556522999999999</v>
      </c>
      <c r="E179" s="61" t="s">
        <v>265</v>
      </c>
      <c r="F179" s="149">
        <v>85</v>
      </c>
      <c r="G179" s="61" t="s">
        <v>630</v>
      </c>
      <c r="H179" s="61" t="s">
        <v>631</v>
      </c>
      <c r="I179" s="61">
        <v>38.953116000000001</v>
      </c>
      <c r="J179" s="61">
        <v>-77.456539000000006</v>
      </c>
      <c r="K179" s="61">
        <v>25.36634257</v>
      </c>
      <c r="L179" s="61">
        <v>25.824000000000002</v>
      </c>
      <c r="M179" s="61" t="s">
        <v>617</v>
      </c>
      <c r="N179" s="149">
        <v>42</v>
      </c>
      <c r="O179" s="149">
        <v>43</v>
      </c>
      <c r="P179" s="61" t="s">
        <v>565</v>
      </c>
      <c r="Q179" s="61" t="s">
        <v>555</v>
      </c>
      <c r="R179" s="61">
        <v>40.6895314</v>
      </c>
      <c r="S179" s="61">
        <v>-74.174462399999996</v>
      </c>
      <c r="T179" s="61">
        <v>404.02199999999999</v>
      </c>
      <c r="U179" s="61" t="s">
        <v>617</v>
      </c>
      <c r="V179" s="61" t="s">
        <v>617</v>
      </c>
      <c r="W179" s="61"/>
      <c r="Y179" s="137">
        <f>Summary_LCIA!H$32</f>
        <v>0.33979999999999999</v>
      </c>
      <c r="Z179" s="137">
        <f>Summary_LCIA!Q$32</f>
        <v>4.9560504329999997</v>
      </c>
      <c r="AA179" s="137">
        <f>Summary_LCIA!R$32</f>
        <v>5.2655999999999996E-3</v>
      </c>
      <c r="AB179" s="137">
        <f>Summary_LCIA!S$32</f>
        <v>0.33538000000000001</v>
      </c>
      <c r="AC179" s="137">
        <f>Summary_LCIA!T$32</f>
        <v>0.1099</v>
      </c>
      <c r="AD179" s="137">
        <f>Summary_LCIA!U$32</f>
        <v>1.7913999999999999E-2</v>
      </c>
      <c r="AE179" s="137">
        <f>Summary_LCIA!V$32</f>
        <v>4.7760999999999999E-5</v>
      </c>
      <c r="AF179" s="137">
        <f>Summary_LCIA!W$32</f>
        <v>7.6970999999999998E-2</v>
      </c>
      <c r="AG179" s="137">
        <f>Summary_LCIA!X$32</f>
        <v>2.2780000000000002E-2</v>
      </c>
      <c r="AH179" s="137">
        <f>Summary_LCIA!Y$32</f>
        <v>1.5582E-2</v>
      </c>
      <c r="AI179" s="137">
        <f>Summary_LCIA!Z$32</f>
        <v>4.1009E-5</v>
      </c>
      <c r="AJ179" s="137">
        <f>Summary_LCIA!AA$32</f>
        <v>2.3355999999999998E-2</v>
      </c>
      <c r="AK179" s="137">
        <f>Summary_LCIA!AB$32</f>
        <v>-2.1823000000000001E-5</v>
      </c>
      <c r="AL179" s="137">
        <f>Summary_LCIA!AC$32</f>
        <v>4.8884000000000003E-8</v>
      </c>
      <c r="AM179" s="137">
        <f>Summary_LCIA!AD$32</f>
        <v>4.1103999999999999E-4</v>
      </c>
      <c r="AN179" s="137">
        <f>Summary_LCIA!AE$32</f>
        <v>8.8612999999999995E-4</v>
      </c>
      <c r="AO179" s="137">
        <f>Summary_LCIA!AF$32</f>
        <v>8.4542000000000005E-4</v>
      </c>
      <c r="AP179" s="137">
        <f>Summary_LCIA!AG$32</f>
        <v>5.1165000000000002E-5</v>
      </c>
      <c r="AQ179" s="137">
        <f>Summary_LCIA!AH$32</f>
        <v>8.7036000000000006E-3</v>
      </c>
      <c r="AR179" s="137">
        <f>Summary_LCIA!AI$32</f>
        <v>9.3154999999999996E-4</v>
      </c>
      <c r="AT179" s="137">
        <f t="shared" si="44"/>
        <v>137.2866756</v>
      </c>
      <c r="AU179" s="137">
        <f t="shared" si="45"/>
        <v>2002.3534080415259</v>
      </c>
      <c r="AV179" s="137">
        <f t="shared" si="46"/>
        <v>2.1274182431999997</v>
      </c>
      <c r="AW179" s="137">
        <f t="shared" si="47"/>
        <v>135.50089836000001</v>
      </c>
      <c r="AX179" s="137">
        <f t="shared" si="48"/>
        <v>44.402017799999996</v>
      </c>
      <c r="AY179" s="137">
        <f t="shared" si="49"/>
        <v>7.2376501079999995</v>
      </c>
      <c r="AZ179" s="137">
        <f t="shared" si="50"/>
        <v>1.9296494742E-2</v>
      </c>
      <c r="BA179" s="137">
        <f t="shared" si="51"/>
        <v>31.097977361999998</v>
      </c>
      <c r="BB179" s="137">
        <f t="shared" si="52"/>
        <v>9.2036211600000009</v>
      </c>
      <c r="BC179" s="137">
        <f t="shared" si="53"/>
        <v>6.2954708039999998</v>
      </c>
      <c r="BD179" s="137">
        <f t="shared" si="54"/>
        <v>1.6568538197999999E-2</v>
      </c>
      <c r="BE179" s="137">
        <f t="shared" si="55"/>
        <v>9.4363378319999995</v>
      </c>
      <c r="BF179" s="137">
        <f t="shared" si="56"/>
        <v>-8.8169721059999998E-3</v>
      </c>
      <c r="BG179" s="137">
        <f t="shared" si="57"/>
        <v>1.9750211448000001E-5</v>
      </c>
      <c r="BH179" s="137">
        <f t="shared" si="58"/>
        <v>0.16606920287999999</v>
      </c>
      <c r="BI179" s="137">
        <f t="shared" si="59"/>
        <v>0.35801601485999995</v>
      </c>
      <c r="BJ179" s="137">
        <f t="shared" si="60"/>
        <v>0.34156827923999999</v>
      </c>
      <c r="BK179" s="137">
        <f t="shared" si="61"/>
        <v>2.0671785630000002E-2</v>
      </c>
      <c r="BL179" s="137">
        <f t="shared" si="62"/>
        <v>3.5164458792</v>
      </c>
      <c r="BM179" s="137">
        <f t="shared" si="63"/>
        <v>0.37636669409999995</v>
      </c>
    </row>
    <row r="180" spans="1:65" x14ac:dyDescent="0.25">
      <c r="A180" s="149">
        <v>53</v>
      </c>
      <c r="B180" s="149">
        <v>1</v>
      </c>
      <c r="C180" s="61">
        <v>35.227164999999999</v>
      </c>
      <c r="D180" s="61">
        <v>-80.846342000000007</v>
      </c>
      <c r="E180" s="61" t="s">
        <v>265</v>
      </c>
      <c r="F180" s="149">
        <v>34</v>
      </c>
      <c r="G180" s="61" t="s">
        <v>565</v>
      </c>
      <c r="H180" s="61" t="s">
        <v>633</v>
      </c>
      <c r="I180" s="61">
        <v>35.214402999999997</v>
      </c>
      <c r="J180" s="61">
        <v>-80.947315000000003</v>
      </c>
      <c r="K180" s="61">
        <v>9.5962039079999997</v>
      </c>
      <c r="L180" s="61">
        <v>11.887</v>
      </c>
      <c r="M180" s="61" t="s">
        <v>617</v>
      </c>
      <c r="N180" s="149">
        <v>0</v>
      </c>
      <c r="O180" s="149">
        <v>1</v>
      </c>
      <c r="P180" s="61" t="s">
        <v>565</v>
      </c>
      <c r="Q180" s="61" t="s">
        <v>558</v>
      </c>
      <c r="R180" s="61">
        <v>33.640728199999998</v>
      </c>
      <c r="S180" s="61">
        <v>-84.427700099999996</v>
      </c>
      <c r="T180" s="61">
        <v>405.87099999999998</v>
      </c>
      <c r="U180" s="61" t="s">
        <v>617</v>
      </c>
      <c r="V180" s="61" t="s">
        <v>617</v>
      </c>
      <c r="W180" s="61"/>
      <c r="Y180" s="137">
        <f>Summary_LCIA!H$32</f>
        <v>0.33979999999999999</v>
      </c>
      <c r="Z180" s="137">
        <f>Summary_LCIA!Q$32</f>
        <v>4.9560504329999997</v>
      </c>
      <c r="AA180" s="137">
        <f>Summary_LCIA!R$32</f>
        <v>5.2655999999999996E-3</v>
      </c>
      <c r="AB180" s="137">
        <f>Summary_LCIA!S$32</f>
        <v>0.33538000000000001</v>
      </c>
      <c r="AC180" s="137">
        <f>Summary_LCIA!T$32</f>
        <v>0.1099</v>
      </c>
      <c r="AD180" s="137">
        <f>Summary_LCIA!U$32</f>
        <v>1.7913999999999999E-2</v>
      </c>
      <c r="AE180" s="137">
        <f>Summary_LCIA!V$32</f>
        <v>4.7760999999999999E-5</v>
      </c>
      <c r="AF180" s="137">
        <f>Summary_LCIA!W$32</f>
        <v>7.6970999999999998E-2</v>
      </c>
      <c r="AG180" s="137">
        <f>Summary_LCIA!X$32</f>
        <v>2.2780000000000002E-2</v>
      </c>
      <c r="AH180" s="137">
        <f>Summary_LCIA!Y$32</f>
        <v>1.5582E-2</v>
      </c>
      <c r="AI180" s="137">
        <f>Summary_LCIA!Z$32</f>
        <v>4.1009E-5</v>
      </c>
      <c r="AJ180" s="137">
        <f>Summary_LCIA!AA$32</f>
        <v>2.3355999999999998E-2</v>
      </c>
      <c r="AK180" s="137">
        <f>Summary_LCIA!AB$32</f>
        <v>-2.1823000000000001E-5</v>
      </c>
      <c r="AL180" s="137">
        <f>Summary_LCIA!AC$32</f>
        <v>4.8884000000000003E-8</v>
      </c>
      <c r="AM180" s="137">
        <f>Summary_LCIA!AD$32</f>
        <v>4.1103999999999999E-4</v>
      </c>
      <c r="AN180" s="137">
        <f>Summary_LCIA!AE$32</f>
        <v>8.8612999999999995E-4</v>
      </c>
      <c r="AO180" s="137">
        <f>Summary_LCIA!AF$32</f>
        <v>8.4542000000000005E-4</v>
      </c>
      <c r="AP180" s="137">
        <f>Summary_LCIA!AG$32</f>
        <v>5.1165000000000002E-5</v>
      </c>
      <c r="AQ180" s="137">
        <f>Summary_LCIA!AH$32</f>
        <v>8.7036000000000006E-3</v>
      </c>
      <c r="AR180" s="137">
        <f>Summary_LCIA!AI$32</f>
        <v>9.3154999999999996E-4</v>
      </c>
      <c r="AT180" s="137">
        <f t="shared" si="44"/>
        <v>137.91496579999998</v>
      </c>
      <c r="AU180" s="137">
        <f t="shared" si="45"/>
        <v>2011.5171452921427</v>
      </c>
      <c r="AV180" s="137">
        <f t="shared" si="46"/>
        <v>2.1371543375999997</v>
      </c>
      <c r="AW180" s="137">
        <f t="shared" si="47"/>
        <v>136.12101598000001</v>
      </c>
      <c r="AX180" s="137">
        <f t="shared" si="48"/>
        <v>44.605222899999994</v>
      </c>
      <c r="AY180" s="137">
        <f t="shared" si="49"/>
        <v>7.270773093999999</v>
      </c>
      <c r="AZ180" s="137">
        <f t="shared" si="50"/>
        <v>1.9384804831E-2</v>
      </c>
      <c r="BA180" s="137">
        <f t="shared" si="51"/>
        <v>31.240296740999998</v>
      </c>
      <c r="BB180" s="137">
        <f t="shared" si="52"/>
        <v>9.2457413800000001</v>
      </c>
      <c r="BC180" s="137">
        <f t="shared" si="53"/>
        <v>6.3242819219999999</v>
      </c>
      <c r="BD180" s="137">
        <f t="shared" si="54"/>
        <v>1.6644363839E-2</v>
      </c>
      <c r="BE180" s="137">
        <f t="shared" si="55"/>
        <v>9.4795230759999995</v>
      </c>
      <c r="BF180" s="137">
        <f t="shared" si="56"/>
        <v>-8.8573228329999996E-3</v>
      </c>
      <c r="BG180" s="137">
        <f t="shared" si="57"/>
        <v>1.9840597964000001E-5</v>
      </c>
      <c r="BH180" s="137">
        <f t="shared" si="58"/>
        <v>0.16682921583999999</v>
      </c>
      <c r="BI180" s="137">
        <f t="shared" si="59"/>
        <v>0.35965446922999994</v>
      </c>
      <c r="BJ180" s="137">
        <f t="shared" si="60"/>
        <v>0.34313146082000001</v>
      </c>
      <c r="BK180" s="137">
        <f t="shared" si="61"/>
        <v>2.0766389715E-2</v>
      </c>
      <c r="BL180" s="137">
        <f t="shared" si="62"/>
        <v>3.5325388356</v>
      </c>
      <c r="BM180" s="137">
        <f t="shared" si="63"/>
        <v>0.37808913004999994</v>
      </c>
    </row>
    <row r="181" spans="1:65" x14ac:dyDescent="0.25">
      <c r="A181" s="149">
        <v>187</v>
      </c>
      <c r="B181" s="149">
        <v>1</v>
      </c>
      <c r="C181" s="61">
        <v>35.227086999999997</v>
      </c>
      <c r="D181" s="61">
        <v>-80.843126999999996</v>
      </c>
      <c r="E181" s="61" t="s">
        <v>265</v>
      </c>
      <c r="F181" s="149">
        <v>34</v>
      </c>
      <c r="G181" s="61" t="s">
        <v>565</v>
      </c>
      <c r="H181" s="61" t="s">
        <v>633</v>
      </c>
      <c r="I181" s="61">
        <v>35.214402999999997</v>
      </c>
      <c r="J181" s="61">
        <v>-80.947315000000003</v>
      </c>
      <c r="K181" s="61">
        <v>9.8802151649999992</v>
      </c>
      <c r="L181" s="61">
        <v>12.212999999999999</v>
      </c>
      <c r="M181" s="61" t="s">
        <v>617</v>
      </c>
      <c r="N181" s="149">
        <v>0</v>
      </c>
      <c r="O181" s="149">
        <v>1</v>
      </c>
      <c r="P181" s="61" t="s">
        <v>565</v>
      </c>
      <c r="Q181" s="61" t="s">
        <v>558</v>
      </c>
      <c r="R181" s="61">
        <v>33.640728199999998</v>
      </c>
      <c r="S181" s="61">
        <v>-84.427700099999996</v>
      </c>
      <c r="T181" s="61">
        <v>408.642</v>
      </c>
      <c r="U181" s="61" t="s">
        <v>617</v>
      </c>
      <c r="V181" s="61" t="s">
        <v>617</v>
      </c>
      <c r="W181" s="61"/>
      <c r="Y181" s="137">
        <f>Summary_LCIA!H$32</f>
        <v>0.33979999999999999</v>
      </c>
      <c r="Z181" s="137">
        <f>Summary_LCIA!Q$32</f>
        <v>4.9560504329999997</v>
      </c>
      <c r="AA181" s="137">
        <f>Summary_LCIA!R$32</f>
        <v>5.2655999999999996E-3</v>
      </c>
      <c r="AB181" s="137">
        <f>Summary_LCIA!S$32</f>
        <v>0.33538000000000001</v>
      </c>
      <c r="AC181" s="137">
        <f>Summary_LCIA!T$32</f>
        <v>0.1099</v>
      </c>
      <c r="AD181" s="137">
        <f>Summary_LCIA!U$32</f>
        <v>1.7913999999999999E-2</v>
      </c>
      <c r="AE181" s="137">
        <f>Summary_LCIA!V$32</f>
        <v>4.7760999999999999E-5</v>
      </c>
      <c r="AF181" s="137">
        <f>Summary_LCIA!W$32</f>
        <v>7.6970999999999998E-2</v>
      </c>
      <c r="AG181" s="137">
        <f>Summary_LCIA!X$32</f>
        <v>2.2780000000000002E-2</v>
      </c>
      <c r="AH181" s="137">
        <f>Summary_LCIA!Y$32</f>
        <v>1.5582E-2</v>
      </c>
      <c r="AI181" s="137">
        <f>Summary_LCIA!Z$32</f>
        <v>4.1009E-5</v>
      </c>
      <c r="AJ181" s="137">
        <f>Summary_LCIA!AA$32</f>
        <v>2.3355999999999998E-2</v>
      </c>
      <c r="AK181" s="137">
        <f>Summary_LCIA!AB$32</f>
        <v>-2.1823000000000001E-5</v>
      </c>
      <c r="AL181" s="137">
        <f>Summary_LCIA!AC$32</f>
        <v>4.8884000000000003E-8</v>
      </c>
      <c r="AM181" s="137">
        <f>Summary_LCIA!AD$32</f>
        <v>4.1103999999999999E-4</v>
      </c>
      <c r="AN181" s="137">
        <f>Summary_LCIA!AE$32</f>
        <v>8.8612999999999995E-4</v>
      </c>
      <c r="AO181" s="137">
        <f>Summary_LCIA!AF$32</f>
        <v>8.4542000000000005E-4</v>
      </c>
      <c r="AP181" s="137">
        <f>Summary_LCIA!AG$32</f>
        <v>5.1165000000000002E-5</v>
      </c>
      <c r="AQ181" s="137">
        <f>Summary_LCIA!AH$32</f>
        <v>8.7036000000000006E-3</v>
      </c>
      <c r="AR181" s="137">
        <f>Summary_LCIA!AI$32</f>
        <v>9.3154999999999996E-4</v>
      </c>
      <c r="AT181" s="137">
        <f t="shared" si="44"/>
        <v>138.85655159999999</v>
      </c>
      <c r="AU181" s="137">
        <f t="shared" si="45"/>
        <v>2025.2503610419858</v>
      </c>
      <c r="AV181" s="137">
        <f t="shared" si="46"/>
        <v>2.1517453151999999</v>
      </c>
      <c r="AW181" s="137">
        <f t="shared" si="47"/>
        <v>137.05035396</v>
      </c>
      <c r="AX181" s="137">
        <f t="shared" si="48"/>
        <v>44.909755799999999</v>
      </c>
      <c r="AY181" s="137">
        <f t="shared" si="49"/>
        <v>7.3204127879999996</v>
      </c>
      <c r="AZ181" s="137">
        <f t="shared" si="50"/>
        <v>1.9517150561999999E-2</v>
      </c>
      <c r="BA181" s="137">
        <f t="shared" si="51"/>
        <v>31.453583381999998</v>
      </c>
      <c r="BB181" s="137">
        <f t="shared" si="52"/>
        <v>9.3088647600000005</v>
      </c>
      <c r="BC181" s="137">
        <f t="shared" si="53"/>
        <v>6.3674596440000002</v>
      </c>
      <c r="BD181" s="137">
        <f t="shared" si="54"/>
        <v>1.6757999778E-2</v>
      </c>
      <c r="BE181" s="137">
        <f t="shared" si="55"/>
        <v>9.544242552</v>
      </c>
      <c r="BF181" s="137">
        <f t="shared" si="56"/>
        <v>-8.9177943660000009E-3</v>
      </c>
      <c r="BG181" s="137">
        <f t="shared" si="57"/>
        <v>1.9976055528000001E-5</v>
      </c>
      <c r="BH181" s="137">
        <f t="shared" si="58"/>
        <v>0.16796820768000001</v>
      </c>
      <c r="BI181" s="137">
        <f t="shared" si="59"/>
        <v>0.36210993545999998</v>
      </c>
      <c r="BJ181" s="137">
        <f t="shared" si="60"/>
        <v>0.34547411964000002</v>
      </c>
      <c r="BK181" s="137">
        <f t="shared" si="61"/>
        <v>2.0908167930000002E-2</v>
      </c>
      <c r="BL181" s="137">
        <f t="shared" si="62"/>
        <v>3.5566565112000004</v>
      </c>
      <c r="BM181" s="137">
        <f t="shared" si="63"/>
        <v>0.38067045509999997</v>
      </c>
    </row>
    <row r="182" spans="1:65" x14ac:dyDescent="0.25">
      <c r="A182" s="149">
        <v>131</v>
      </c>
      <c r="B182" s="149">
        <v>6</v>
      </c>
      <c r="C182" s="61">
        <v>42.280825999999998</v>
      </c>
      <c r="D182" s="61">
        <v>-83.743037999999999</v>
      </c>
      <c r="E182" s="61" t="s">
        <v>265</v>
      </c>
      <c r="F182" s="149">
        <v>78</v>
      </c>
      <c r="G182" s="61" t="s">
        <v>615</v>
      </c>
      <c r="H182" s="61" t="s">
        <v>616</v>
      </c>
      <c r="I182" s="61">
        <v>42.216248999999998</v>
      </c>
      <c r="J182" s="61">
        <v>-83.355363999999994</v>
      </c>
      <c r="K182" s="61">
        <v>33.220362780000002</v>
      </c>
      <c r="L182" s="61">
        <v>42.878</v>
      </c>
      <c r="M182" s="61" t="s">
        <v>617</v>
      </c>
      <c r="N182" s="149">
        <v>5</v>
      </c>
      <c r="O182" s="149">
        <v>6</v>
      </c>
      <c r="P182" s="61" t="s">
        <v>565</v>
      </c>
      <c r="Q182" s="61" t="s">
        <v>564</v>
      </c>
      <c r="R182" s="61">
        <v>41.98028</v>
      </c>
      <c r="S182" s="61">
        <v>-87.908997900000003</v>
      </c>
      <c r="T182" s="61">
        <v>414.488</v>
      </c>
      <c r="U182" s="61" t="s">
        <v>617</v>
      </c>
      <c r="V182" s="61" t="s">
        <v>617</v>
      </c>
      <c r="W182" s="61"/>
      <c r="Y182" s="137">
        <f>Summary_LCIA!H$32</f>
        <v>0.33979999999999999</v>
      </c>
      <c r="Z182" s="137">
        <f>Summary_LCIA!Q$32</f>
        <v>4.9560504329999997</v>
      </c>
      <c r="AA182" s="137">
        <f>Summary_LCIA!R$32</f>
        <v>5.2655999999999996E-3</v>
      </c>
      <c r="AB182" s="137">
        <f>Summary_LCIA!S$32</f>
        <v>0.33538000000000001</v>
      </c>
      <c r="AC182" s="137">
        <f>Summary_LCIA!T$32</f>
        <v>0.1099</v>
      </c>
      <c r="AD182" s="137">
        <f>Summary_LCIA!U$32</f>
        <v>1.7913999999999999E-2</v>
      </c>
      <c r="AE182" s="137">
        <f>Summary_LCIA!V$32</f>
        <v>4.7760999999999999E-5</v>
      </c>
      <c r="AF182" s="137">
        <f>Summary_LCIA!W$32</f>
        <v>7.6970999999999998E-2</v>
      </c>
      <c r="AG182" s="137">
        <f>Summary_LCIA!X$32</f>
        <v>2.2780000000000002E-2</v>
      </c>
      <c r="AH182" s="137">
        <f>Summary_LCIA!Y$32</f>
        <v>1.5582E-2</v>
      </c>
      <c r="AI182" s="137">
        <f>Summary_LCIA!Z$32</f>
        <v>4.1009E-5</v>
      </c>
      <c r="AJ182" s="137">
        <f>Summary_LCIA!AA$32</f>
        <v>2.3355999999999998E-2</v>
      </c>
      <c r="AK182" s="137">
        <f>Summary_LCIA!AB$32</f>
        <v>-2.1823000000000001E-5</v>
      </c>
      <c r="AL182" s="137">
        <f>Summary_LCIA!AC$32</f>
        <v>4.8884000000000003E-8</v>
      </c>
      <c r="AM182" s="137">
        <f>Summary_LCIA!AD$32</f>
        <v>4.1103999999999999E-4</v>
      </c>
      <c r="AN182" s="137">
        <f>Summary_LCIA!AE$32</f>
        <v>8.8612999999999995E-4</v>
      </c>
      <c r="AO182" s="137">
        <f>Summary_LCIA!AF$32</f>
        <v>8.4542000000000005E-4</v>
      </c>
      <c r="AP182" s="137">
        <f>Summary_LCIA!AG$32</f>
        <v>5.1165000000000002E-5</v>
      </c>
      <c r="AQ182" s="137">
        <f>Summary_LCIA!AH$32</f>
        <v>8.7036000000000006E-3</v>
      </c>
      <c r="AR182" s="137">
        <f>Summary_LCIA!AI$32</f>
        <v>9.3154999999999996E-4</v>
      </c>
      <c r="AT182" s="137">
        <f t="shared" si="44"/>
        <v>140.8430224</v>
      </c>
      <c r="AU182" s="137">
        <f t="shared" si="45"/>
        <v>2054.223431873304</v>
      </c>
      <c r="AV182" s="137">
        <f t="shared" si="46"/>
        <v>2.1825280127999998</v>
      </c>
      <c r="AW182" s="137">
        <f t="shared" si="47"/>
        <v>139.01098544000001</v>
      </c>
      <c r="AX182" s="137">
        <f t="shared" si="48"/>
        <v>45.552231200000001</v>
      </c>
      <c r="AY182" s="137">
        <f t="shared" si="49"/>
        <v>7.4251380319999996</v>
      </c>
      <c r="AZ182" s="137">
        <f t="shared" si="50"/>
        <v>1.9796361368E-2</v>
      </c>
      <c r="BA182" s="137">
        <f t="shared" si="51"/>
        <v>31.903555848</v>
      </c>
      <c r="BB182" s="137">
        <f t="shared" si="52"/>
        <v>9.4420366400000013</v>
      </c>
      <c r="BC182" s="137">
        <f t="shared" si="53"/>
        <v>6.4585520160000005</v>
      </c>
      <c r="BD182" s="137">
        <f t="shared" si="54"/>
        <v>1.6997738392E-2</v>
      </c>
      <c r="BE182" s="137">
        <f t="shared" si="55"/>
        <v>9.6807817279999995</v>
      </c>
      <c r="BF182" s="137">
        <f t="shared" si="56"/>
        <v>-9.0453716240000009E-3</v>
      </c>
      <c r="BG182" s="137">
        <f t="shared" si="57"/>
        <v>2.0261831392000002E-5</v>
      </c>
      <c r="BH182" s="137">
        <f t="shared" si="58"/>
        <v>0.17037114751999999</v>
      </c>
      <c r="BI182" s="137">
        <f t="shared" si="59"/>
        <v>0.36729025143999999</v>
      </c>
      <c r="BJ182" s="137">
        <f t="shared" si="60"/>
        <v>0.35041644496000002</v>
      </c>
      <c r="BK182" s="137">
        <f t="shared" si="61"/>
        <v>2.1207278520000001E-2</v>
      </c>
      <c r="BL182" s="137">
        <f t="shared" si="62"/>
        <v>3.6075377568000002</v>
      </c>
      <c r="BM182" s="137">
        <f t="shared" si="63"/>
        <v>0.3861162964</v>
      </c>
    </row>
    <row r="183" spans="1:65" x14ac:dyDescent="0.25">
      <c r="A183" s="149">
        <v>98</v>
      </c>
      <c r="B183" s="149">
        <v>6</v>
      </c>
      <c r="C183" s="61">
        <v>42.276254000000002</v>
      </c>
      <c r="D183" s="61">
        <v>-83.741243999999995</v>
      </c>
      <c r="E183" s="61" t="s">
        <v>265</v>
      </c>
      <c r="F183" s="149">
        <v>78</v>
      </c>
      <c r="G183" s="61" t="s">
        <v>615</v>
      </c>
      <c r="H183" s="61" t="s">
        <v>616</v>
      </c>
      <c r="I183" s="61">
        <v>42.216248999999998</v>
      </c>
      <c r="J183" s="61">
        <v>-83.355363999999994</v>
      </c>
      <c r="K183" s="61">
        <v>32.887807850000002</v>
      </c>
      <c r="L183" s="61">
        <v>42.174999999999997</v>
      </c>
      <c r="M183" s="61" t="s">
        <v>617</v>
      </c>
      <c r="N183" s="149">
        <v>5</v>
      </c>
      <c r="O183" s="149">
        <v>6</v>
      </c>
      <c r="P183" s="61" t="s">
        <v>565</v>
      </c>
      <c r="Q183" s="61" t="s">
        <v>564</v>
      </c>
      <c r="R183" s="61">
        <v>41.98028</v>
      </c>
      <c r="S183" s="61">
        <v>-87.908997900000003</v>
      </c>
      <c r="T183" s="61">
        <v>415.20499999999998</v>
      </c>
      <c r="U183" s="61" t="s">
        <v>617</v>
      </c>
      <c r="V183" s="61" t="s">
        <v>617</v>
      </c>
      <c r="W183" s="61"/>
      <c r="Y183" s="137">
        <f>Summary_LCIA!H$32</f>
        <v>0.33979999999999999</v>
      </c>
      <c r="Z183" s="137">
        <f>Summary_LCIA!Q$32</f>
        <v>4.9560504329999997</v>
      </c>
      <c r="AA183" s="137">
        <f>Summary_LCIA!R$32</f>
        <v>5.2655999999999996E-3</v>
      </c>
      <c r="AB183" s="137">
        <f>Summary_LCIA!S$32</f>
        <v>0.33538000000000001</v>
      </c>
      <c r="AC183" s="137">
        <f>Summary_LCIA!T$32</f>
        <v>0.1099</v>
      </c>
      <c r="AD183" s="137">
        <f>Summary_LCIA!U$32</f>
        <v>1.7913999999999999E-2</v>
      </c>
      <c r="AE183" s="137">
        <f>Summary_LCIA!V$32</f>
        <v>4.7760999999999999E-5</v>
      </c>
      <c r="AF183" s="137">
        <f>Summary_LCIA!W$32</f>
        <v>7.6970999999999998E-2</v>
      </c>
      <c r="AG183" s="137">
        <f>Summary_LCIA!X$32</f>
        <v>2.2780000000000002E-2</v>
      </c>
      <c r="AH183" s="137">
        <f>Summary_LCIA!Y$32</f>
        <v>1.5582E-2</v>
      </c>
      <c r="AI183" s="137">
        <f>Summary_LCIA!Z$32</f>
        <v>4.1009E-5</v>
      </c>
      <c r="AJ183" s="137">
        <f>Summary_LCIA!AA$32</f>
        <v>2.3355999999999998E-2</v>
      </c>
      <c r="AK183" s="137">
        <f>Summary_LCIA!AB$32</f>
        <v>-2.1823000000000001E-5</v>
      </c>
      <c r="AL183" s="137">
        <f>Summary_LCIA!AC$32</f>
        <v>4.8884000000000003E-8</v>
      </c>
      <c r="AM183" s="137">
        <f>Summary_LCIA!AD$32</f>
        <v>4.1103999999999999E-4</v>
      </c>
      <c r="AN183" s="137">
        <f>Summary_LCIA!AE$32</f>
        <v>8.8612999999999995E-4</v>
      </c>
      <c r="AO183" s="137">
        <f>Summary_LCIA!AF$32</f>
        <v>8.4542000000000005E-4</v>
      </c>
      <c r="AP183" s="137">
        <f>Summary_LCIA!AG$32</f>
        <v>5.1165000000000002E-5</v>
      </c>
      <c r="AQ183" s="137">
        <f>Summary_LCIA!AH$32</f>
        <v>8.7036000000000006E-3</v>
      </c>
      <c r="AR183" s="137">
        <f>Summary_LCIA!AI$32</f>
        <v>9.3154999999999996E-4</v>
      </c>
      <c r="AT183" s="137">
        <f t="shared" si="44"/>
        <v>141.086659</v>
      </c>
      <c r="AU183" s="137">
        <f t="shared" si="45"/>
        <v>2057.7769200337648</v>
      </c>
      <c r="AV183" s="137">
        <f t="shared" si="46"/>
        <v>2.1863034479999999</v>
      </c>
      <c r="AW183" s="137">
        <f t="shared" si="47"/>
        <v>139.2514529</v>
      </c>
      <c r="AX183" s="137">
        <f t="shared" si="48"/>
        <v>45.631029499999997</v>
      </c>
      <c r="AY183" s="137">
        <f t="shared" si="49"/>
        <v>7.4379823699999994</v>
      </c>
      <c r="AZ183" s="137">
        <f t="shared" si="50"/>
        <v>1.9830606004999998E-2</v>
      </c>
      <c r="BA183" s="137">
        <f t="shared" si="51"/>
        <v>31.958744054999997</v>
      </c>
      <c r="BB183" s="137">
        <f t="shared" si="52"/>
        <v>9.458369900000001</v>
      </c>
      <c r="BC183" s="137">
        <f t="shared" si="53"/>
        <v>6.4697243100000001</v>
      </c>
      <c r="BD183" s="137">
        <f t="shared" si="54"/>
        <v>1.7027141845E-2</v>
      </c>
      <c r="BE183" s="137">
        <f t="shared" si="55"/>
        <v>9.6975279799999985</v>
      </c>
      <c r="BF183" s="137">
        <f t="shared" si="56"/>
        <v>-9.0610187150000007E-3</v>
      </c>
      <c r="BG183" s="137">
        <f t="shared" si="57"/>
        <v>2.029688122E-5</v>
      </c>
      <c r="BH183" s="137">
        <f t="shared" si="58"/>
        <v>0.17066586319999999</v>
      </c>
      <c r="BI183" s="137">
        <f t="shared" si="59"/>
        <v>0.36792560664999996</v>
      </c>
      <c r="BJ183" s="137">
        <f t="shared" si="60"/>
        <v>0.35102261109999999</v>
      </c>
      <c r="BK183" s="137">
        <f t="shared" si="61"/>
        <v>2.1243963825E-2</v>
      </c>
      <c r="BL183" s="137">
        <f t="shared" si="62"/>
        <v>3.6137782380000001</v>
      </c>
      <c r="BM183" s="137">
        <f t="shared" si="63"/>
        <v>0.38678421774999999</v>
      </c>
    </row>
    <row r="184" spans="1:65" x14ac:dyDescent="0.25">
      <c r="A184" s="149">
        <v>361</v>
      </c>
      <c r="B184" s="149">
        <v>6</v>
      </c>
      <c r="C184" s="61">
        <v>41.652805000000001</v>
      </c>
      <c r="D184" s="61">
        <v>-83.537867000000006</v>
      </c>
      <c r="E184" s="61" t="s">
        <v>265</v>
      </c>
      <c r="F184" s="149">
        <v>78</v>
      </c>
      <c r="G184" s="61" t="s">
        <v>615</v>
      </c>
      <c r="H184" s="61" t="s">
        <v>616</v>
      </c>
      <c r="I184" s="61">
        <v>42.216248999999998</v>
      </c>
      <c r="J184" s="61">
        <v>-83.355363999999994</v>
      </c>
      <c r="K184" s="61">
        <v>95.399904230000004</v>
      </c>
      <c r="L184" s="61">
        <v>80.596000000000004</v>
      </c>
      <c r="M184" s="61" t="s">
        <v>617</v>
      </c>
      <c r="N184" s="149">
        <v>5</v>
      </c>
      <c r="O184" s="149">
        <v>6</v>
      </c>
      <c r="P184" s="61" t="s">
        <v>565</v>
      </c>
      <c r="Q184" s="61" t="s">
        <v>564</v>
      </c>
      <c r="R184" s="61">
        <v>41.98028</v>
      </c>
      <c r="S184" s="61">
        <v>-87.908997900000003</v>
      </c>
      <c r="T184" s="61">
        <v>419.88900000000001</v>
      </c>
      <c r="U184" s="61" t="s">
        <v>617</v>
      </c>
      <c r="V184" s="61" t="s">
        <v>617</v>
      </c>
      <c r="W184" s="61"/>
      <c r="Y184" s="137">
        <f>Summary_LCIA!H$32</f>
        <v>0.33979999999999999</v>
      </c>
      <c r="Z184" s="137">
        <f>Summary_LCIA!Q$32</f>
        <v>4.9560504329999997</v>
      </c>
      <c r="AA184" s="137">
        <f>Summary_LCIA!R$32</f>
        <v>5.2655999999999996E-3</v>
      </c>
      <c r="AB184" s="137">
        <f>Summary_LCIA!S$32</f>
        <v>0.33538000000000001</v>
      </c>
      <c r="AC184" s="137">
        <f>Summary_LCIA!T$32</f>
        <v>0.1099</v>
      </c>
      <c r="AD184" s="137">
        <f>Summary_LCIA!U$32</f>
        <v>1.7913999999999999E-2</v>
      </c>
      <c r="AE184" s="137">
        <f>Summary_LCIA!V$32</f>
        <v>4.7760999999999999E-5</v>
      </c>
      <c r="AF184" s="137">
        <f>Summary_LCIA!W$32</f>
        <v>7.6970999999999998E-2</v>
      </c>
      <c r="AG184" s="137">
        <f>Summary_LCIA!X$32</f>
        <v>2.2780000000000002E-2</v>
      </c>
      <c r="AH184" s="137">
        <f>Summary_LCIA!Y$32</f>
        <v>1.5582E-2</v>
      </c>
      <c r="AI184" s="137">
        <f>Summary_LCIA!Z$32</f>
        <v>4.1009E-5</v>
      </c>
      <c r="AJ184" s="137">
        <f>Summary_LCIA!AA$32</f>
        <v>2.3355999999999998E-2</v>
      </c>
      <c r="AK184" s="137">
        <f>Summary_LCIA!AB$32</f>
        <v>-2.1823000000000001E-5</v>
      </c>
      <c r="AL184" s="137">
        <f>Summary_LCIA!AC$32</f>
        <v>4.8884000000000003E-8</v>
      </c>
      <c r="AM184" s="137">
        <f>Summary_LCIA!AD$32</f>
        <v>4.1103999999999999E-4</v>
      </c>
      <c r="AN184" s="137">
        <f>Summary_LCIA!AE$32</f>
        <v>8.8612999999999995E-4</v>
      </c>
      <c r="AO184" s="137">
        <f>Summary_LCIA!AF$32</f>
        <v>8.4542000000000005E-4</v>
      </c>
      <c r="AP184" s="137">
        <f>Summary_LCIA!AG$32</f>
        <v>5.1165000000000002E-5</v>
      </c>
      <c r="AQ184" s="137">
        <f>Summary_LCIA!AH$32</f>
        <v>8.7036000000000006E-3</v>
      </c>
      <c r="AR184" s="137">
        <f>Summary_LCIA!AI$32</f>
        <v>9.3154999999999996E-4</v>
      </c>
      <c r="AT184" s="137">
        <f t="shared" si="44"/>
        <v>142.67828220000001</v>
      </c>
      <c r="AU184" s="137">
        <f t="shared" si="45"/>
        <v>2080.991060261937</v>
      </c>
      <c r="AV184" s="137">
        <f t="shared" si="46"/>
        <v>2.2109675183999999</v>
      </c>
      <c r="AW184" s="137">
        <f t="shared" si="47"/>
        <v>140.82237282</v>
      </c>
      <c r="AX184" s="137">
        <f t="shared" si="48"/>
        <v>46.1458011</v>
      </c>
      <c r="AY184" s="137">
        <f t="shared" si="49"/>
        <v>7.521891546</v>
      </c>
      <c r="AZ184" s="137">
        <f t="shared" si="50"/>
        <v>2.0054318529000002E-2</v>
      </c>
      <c r="BA184" s="137">
        <f t="shared" si="51"/>
        <v>32.319276219000002</v>
      </c>
      <c r="BB184" s="137">
        <f t="shared" si="52"/>
        <v>9.5650714200000007</v>
      </c>
      <c r="BC184" s="137">
        <f t="shared" si="53"/>
        <v>6.5427103980000005</v>
      </c>
      <c r="BD184" s="137">
        <f t="shared" si="54"/>
        <v>1.7219228001000002E-2</v>
      </c>
      <c r="BE184" s="137">
        <f t="shared" si="55"/>
        <v>9.8069274839999991</v>
      </c>
      <c r="BF184" s="137">
        <f t="shared" si="56"/>
        <v>-9.1632376469999999E-3</v>
      </c>
      <c r="BG184" s="137">
        <f t="shared" si="57"/>
        <v>2.0525853876000001E-5</v>
      </c>
      <c r="BH184" s="137">
        <f t="shared" si="58"/>
        <v>0.17259117456</v>
      </c>
      <c r="BI184" s="137">
        <f t="shared" si="59"/>
        <v>0.37207623956999997</v>
      </c>
      <c r="BJ184" s="137">
        <f t="shared" si="60"/>
        <v>0.35498255838000004</v>
      </c>
      <c r="BK184" s="137">
        <f t="shared" si="61"/>
        <v>2.1483620685000003E-2</v>
      </c>
      <c r="BL184" s="137">
        <f t="shared" si="62"/>
        <v>3.6545459004000005</v>
      </c>
      <c r="BM184" s="137">
        <f t="shared" si="63"/>
        <v>0.39114759794999998</v>
      </c>
    </row>
    <row r="185" spans="1:65" x14ac:dyDescent="0.25">
      <c r="A185" s="149">
        <v>362</v>
      </c>
      <c r="B185" s="149">
        <v>6</v>
      </c>
      <c r="C185" s="61">
        <v>41.652805000000001</v>
      </c>
      <c r="D185" s="61">
        <v>-83.537867000000006</v>
      </c>
      <c r="E185" s="61" t="s">
        <v>265</v>
      </c>
      <c r="F185" s="149">
        <v>78</v>
      </c>
      <c r="G185" s="61" t="s">
        <v>615</v>
      </c>
      <c r="H185" s="61" t="s">
        <v>616</v>
      </c>
      <c r="I185" s="61">
        <v>42.216248999999998</v>
      </c>
      <c r="J185" s="61">
        <v>-83.355363999999994</v>
      </c>
      <c r="K185" s="61">
        <v>95.399904230000004</v>
      </c>
      <c r="L185" s="61">
        <v>80.596000000000004</v>
      </c>
      <c r="M185" s="61" t="s">
        <v>617</v>
      </c>
      <c r="N185" s="149">
        <v>5</v>
      </c>
      <c r="O185" s="149">
        <v>6</v>
      </c>
      <c r="P185" s="61" t="s">
        <v>565</v>
      </c>
      <c r="Q185" s="61" t="s">
        <v>564</v>
      </c>
      <c r="R185" s="61">
        <v>41.98028</v>
      </c>
      <c r="S185" s="61">
        <v>-87.908997900000003</v>
      </c>
      <c r="T185" s="61">
        <v>419.88900000000001</v>
      </c>
      <c r="U185" s="61" t="s">
        <v>617</v>
      </c>
      <c r="V185" s="61" t="s">
        <v>617</v>
      </c>
      <c r="W185" s="61"/>
      <c r="Y185" s="137">
        <f>Summary_LCIA!H$32</f>
        <v>0.33979999999999999</v>
      </c>
      <c r="Z185" s="137">
        <f>Summary_LCIA!Q$32</f>
        <v>4.9560504329999997</v>
      </c>
      <c r="AA185" s="137">
        <f>Summary_LCIA!R$32</f>
        <v>5.2655999999999996E-3</v>
      </c>
      <c r="AB185" s="137">
        <f>Summary_LCIA!S$32</f>
        <v>0.33538000000000001</v>
      </c>
      <c r="AC185" s="137">
        <f>Summary_LCIA!T$32</f>
        <v>0.1099</v>
      </c>
      <c r="AD185" s="137">
        <f>Summary_LCIA!U$32</f>
        <v>1.7913999999999999E-2</v>
      </c>
      <c r="AE185" s="137">
        <f>Summary_LCIA!V$32</f>
        <v>4.7760999999999999E-5</v>
      </c>
      <c r="AF185" s="137">
        <f>Summary_LCIA!W$32</f>
        <v>7.6970999999999998E-2</v>
      </c>
      <c r="AG185" s="137">
        <f>Summary_LCIA!X$32</f>
        <v>2.2780000000000002E-2</v>
      </c>
      <c r="AH185" s="137">
        <f>Summary_LCIA!Y$32</f>
        <v>1.5582E-2</v>
      </c>
      <c r="AI185" s="137">
        <f>Summary_LCIA!Z$32</f>
        <v>4.1009E-5</v>
      </c>
      <c r="AJ185" s="137">
        <f>Summary_LCIA!AA$32</f>
        <v>2.3355999999999998E-2</v>
      </c>
      <c r="AK185" s="137">
        <f>Summary_LCIA!AB$32</f>
        <v>-2.1823000000000001E-5</v>
      </c>
      <c r="AL185" s="137">
        <f>Summary_LCIA!AC$32</f>
        <v>4.8884000000000003E-8</v>
      </c>
      <c r="AM185" s="137">
        <f>Summary_LCIA!AD$32</f>
        <v>4.1103999999999999E-4</v>
      </c>
      <c r="AN185" s="137">
        <f>Summary_LCIA!AE$32</f>
        <v>8.8612999999999995E-4</v>
      </c>
      <c r="AO185" s="137">
        <f>Summary_LCIA!AF$32</f>
        <v>8.4542000000000005E-4</v>
      </c>
      <c r="AP185" s="137">
        <f>Summary_LCIA!AG$32</f>
        <v>5.1165000000000002E-5</v>
      </c>
      <c r="AQ185" s="137">
        <f>Summary_LCIA!AH$32</f>
        <v>8.7036000000000006E-3</v>
      </c>
      <c r="AR185" s="137">
        <f>Summary_LCIA!AI$32</f>
        <v>9.3154999999999996E-4</v>
      </c>
      <c r="AT185" s="137">
        <f t="shared" si="44"/>
        <v>142.67828220000001</v>
      </c>
      <c r="AU185" s="137">
        <f t="shared" si="45"/>
        <v>2080.991060261937</v>
      </c>
      <c r="AV185" s="137">
        <f t="shared" si="46"/>
        <v>2.2109675183999999</v>
      </c>
      <c r="AW185" s="137">
        <f t="shared" si="47"/>
        <v>140.82237282</v>
      </c>
      <c r="AX185" s="137">
        <f t="shared" si="48"/>
        <v>46.1458011</v>
      </c>
      <c r="AY185" s="137">
        <f t="shared" si="49"/>
        <v>7.521891546</v>
      </c>
      <c r="AZ185" s="137">
        <f t="shared" si="50"/>
        <v>2.0054318529000002E-2</v>
      </c>
      <c r="BA185" s="137">
        <f t="shared" si="51"/>
        <v>32.319276219000002</v>
      </c>
      <c r="BB185" s="137">
        <f t="shared" si="52"/>
        <v>9.5650714200000007</v>
      </c>
      <c r="BC185" s="137">
        <f t="shared" si="53"/>
        <v>6.5427103980000005</v>
      </c>
      <c r="BD185" s="137">
        <f t="shared" si="54"/>
        <v>1.7219228001000002E-2</v>
      </c>
      <c r="BE185" s="137">
        <f t="shared" si="55"/>
        <v>9.8069274839999991</v>
      </c>
      <c r="BF185" s="137">
        <f t="shared" si="56"/>
        <v>-9.1632376469999999E-3</v>
      </c>
      <c r="BG185" s="137">
        <f t="shared" si="57"/>
        <v>2.0525853876000001E-5</v>
      </c>
      <c r="BH185" s="137">
        <f t="shared" si="58"/>
        <v>0.17259117456</v>
      </c>
      <c r="BI185" s="137">
        <f t="shared" si="59"/>
        <v>0.37207623956999997</v>
      </c>
      <c r="BJ185" s="137">
        <f t="shared" si="60"/>
        <v>0.35498255838000004</v>
      </c>
      <c r="BK185" s="137">
        <f t="shared" si="61"/>
        <v>2.1483620685000003E-2</v>
      </c>
      <c r="BL185" s="137">
        <f t="shared" si="62"/>
        <v>3.6545459004000005</v>
      </c>
      <c r="BM185" s="137">
        <f t="shared" si="63"/>
        <v>0.39114759794999998</v>
      </c>
    </row>
    <row r="186" spans="1:65" x14ac:dyDescent="0.25">
      <c r="A186" s="149">
        <v>315</v>
      </c>
      <c r="B186" s="149">
        <v>15</v>
      </c>
      <c r="C186" s="61">
        <v>52.156661999999997</v>
      </c>
      <c r="D186" s="61">
        <v>4.4867590000000002</v>
      </c>
      <c r="E186" s="61" t="s">
        <v>285</v>
      </c>
      <c r="F186" s="149">
        <v>12</v>
      </c>
      <c r="G186" s="61" t="s">
        <v>679</v>
      </c>
      <c r="H186" s="61" t="s">
        <v>680</v>
      </c>
      <c r="I186" s="61">
        <v>52.310538999999999</v>
      </c>
      <c r="J186" s="61">
        <v>4.7682739999999999</v>
      </c>
      <c r="K186" s="61">
        <v>27.619618039999999</v>
      </c>
      <c r="L186" s="61">
        <v>28.559000000000001</v>
      </c>
      <c r="M186" s="61" t="s">
        <v>589</v>
      </c>
      <c r="N186" s="149">
        <v>14</v>
      </c>
      <c r="O186" s="149">
        <v>15</v>
      </c>
      <c r="P186" s="61" t="s">
        <v>567</v>
      </c>
      <c r="Q186" s="61" t="s">
        <v>566</v>
      </c>
      <c r="R186" s="61">
        <v>50.037932599999998</v>
      </c>
      <c r="S186" s="61">
        <v>8.5621518000000005</v>
      </c>
      <c r="T186" s="61">
        <v>439.27699999999999</v>
      </c>
      <c r="U186" s="61" t="s">
        <v>617</v>
      </c>
      <c r="V186" s="61" t="s">
        <v>617</v>
      </c>
      <c r="W186" s="61"/>
      <c r="Y186" s="137">
        <f>Summary_LCIA!H$32</f>
        <v>0.33979999999999999</v>
      </c>
      <c r="Z186" s="137">
        <f>Summary_LCIA!Q$32</f>
        <v>4.9560504329999997</v>
      </c>
      <c r="AA186" s="137">
        <f>Summary_LCIA!R$32</f>
        <v>5.2655999999999996E-3</v>
      </c>
      <c r="AB186" s="137">
        <f>Summary_LCIA!S$32</f>
        <v>0.33538000000000001</v>
      </c>
      <c r="AC186" s="137">
        <f>Summary_LCIA!T$32</f>
        <v>0.1099</v>
      </c>
      <c r="AD186" s="137">
        <f>Summary_LCIA!U$32</f>
        <v>1.7913999999999999E-2</v>
      </c>
      <c r="AE186" s="137">
        <f>Summary_LCIA!V$32</f>
        <v>4.7760999999999999E-5</v>
      </c>
      <c r="AF186" s="137">
        <f>Summary_LCIA!W$32</f>
        <v>7.6970999999999998E-2</v>
      </c>
      <c r="AG186" s="137">
        <f>Summary_LCIA!X$32</f>
        <v>2.2780000000000002E-2</v>
      </c>
      <c r="AH186" s="137">
        <f>Summary_LCIA!Y$32</f>
        <v>1.5582E-2</v>
      </c>
      <c r="AI186" s="137">
        <f>Summary_LCIA!Z$32</f>
        <v>4.1009E-5</v>
      </c>
      <c r="AJ186" s="137">
        <f>Summary_LCIA!AA$32</f>
        <v>2.3355999999999998E-2</v>
      </c>
      <c r="AK186" s="137">
        <f>Summary_LCIA!AB$32</f>
        <v>-2.1823000000000001E-5</v>
      </c>
      <c r="AL186" s="137">
        <f>Summary_LCIA!AC$32</f>
        <v>4.8884000000000003E-8</v>
      </c>
      <c r="AM186" s="137">
        <f>Summary_LCIA!AD$32</f>
        <v>4.1103999999999999E-4</v>
      </c>
      <c r="AN186" s="137">
        <f>Summary_LCIA!AE$32</f>
        <v>8.8612999999999995E-4</v>
      </c>
      <c r="AO186" s="137">
        <f>Summary_LCIA!AF$32</f>
        <v>8.4542000000000005E-4</v>
      </c>
      <c r="AP186" s="137">
        <f>Summary_LCIA!AG$32</f>
        <v>5.1165000000000002E-5</v>
      </c>
      <c r="AQ186" s="137">
        <f>Summary_LCIA!AH$32</f>
        <v>8.7036000000000006E-3</v>
      </c>
      <c r="AR186" s="137">
        <f>Summary_LCIA!AI$32</f>
        <v>9.3154999999999996E-4</v>
      </c>
      <c r="AT186" s="137">
        <f t="shared" si="44"/>
        <v>149.26632459999999</v>
      </c>
      <c r="AU186" s="137">
        <f t="shared" si="45"/>
        <v>2177.0789660569408</v>
      </c>
      <c r="AV186" s="137">
        <f t="shared" si="46"/>
        <v>2.3130569712</v>
      </c>
      <c r="AW186" s="137">
        <f t="shared" si="47"/>
        <v>147.32472025999999</v>
      </c>
      <c r="AX186" s="137">
        <f t="shared" si="48"/>
        <v>48.276542299999996</v>
      </c>
      <c r="AY186" s="137">
        <f t="shared" si="49"/>
        <v>7.8692081779999992</v>
      </c>
      <c r="AZ186" s="137">
        <f t="shared" si="50"/>
        <v>2.0980308797E-2</v>
      </c>
      <c r="BA186" s="137">
        <f t="shared" si="51"/>
        <v>33.811589966999996</v>
      </c>
      <c r="BB186" s="137">
        <f t="shared" si="52"/>
        <v>10.006730060000001</v>
      </c>
      <c r="BC186" s="137">
        <f t="shared" si="53"/>
        <v>6.8448142140000003</v>
      </c>
      <c r="BD186" s="137">
        <f t="shared" si="54"/>
        <v>1.8014310493000001E-2</v>
      </c>
      <c r="BE186" s="137">
        <f t="shared" si="55"/>
        <v>10.259753611999999</v>
      </c>
      <c r="BF186" s="137">
        <f t="shared" si="56"/>
        <v>-9.5863419710000009E-3</v>
      </c>
      <c r="BG186" s="137">
        <f t="shared" si="57"/>
        <v>2.1473616868000002E-5</v>
      </c>
      <c r="BH186" s="137">
        <f t="shared" si="58"/>
        <v>0.18056041807999998</v>
      </c>
      <c r="BI186" s="137">
        <f t="shared" si="59"/>
        <v>0.38925652800999999</v>
      </c>
      <c r="BJ186" s="137">
        <f t="shared" si="60"/>
        <v>0.37137356133999999</v>
      </c>
      <c r="BK186" s="137">
        <f t="shared" si="61"/>
        <v>2.2475607705000001E-2</v>
      </c>
      <c r="BL186" s="137">
        <f t="shared" si="62"/>
        <v>3.8232912971999999</v>
      </c>
      <c r="BM186" s="137">
        <f t="shared" si="63"/>
        <v>0.40920848934999998</v>
      </c>
    </row>
    <row r="187" spans="1:65" x14ac:dyDescent="0.25">
      <c r="A187" s="149">
        <v>236</v>
      </c>
      <c r="B187" s="149">
        <v>1</v>
      </c>
      <c r="C187" s="61">
        <v>36.31344</v>
      </c>
      <c r="D187" s="61">
        <v>-82.353472999999994</v>
      </c>
      <c r="E187" s="61" t="s">
        <v>265</v>
      </c>
      <c r="F187" s="149">
        <v>34</v>
      </c>
      <c r="G187" s="61" t="s">
        <v>565</v>
      </c>
      <c r="H187" s="61" t="s">
        <v>633</v>
      </c>
      <c r="I187" s="61">
        <v>35.214402999999997</v>
      </c>
      <c r="J187" s="61">
        <v>-80.947315000000003</v>
      </c>
      <c r="K187" s="61">
        <v>212.4742573</v>
      </c>
      <c r="L187" s="61">
        <v>236.197</v>
      </c>
      <c r="M187" s="61" t="s">
        <v>617</v>
      </c>
      <c r="N187" s="149">
        <v>0</v>
      </c>
      <c r="O187" s="149">
        <v>1</v>
      </c>
      <c r="P187" s="61" t="s">
        <v>565</v>
      </c>
      <c r="Q187" s="61" t="s">
        <v>558</v>
      </c>
      <c r="R187" s="61">
        <v>33.640728199999998</v>
      </c>
      <c r="S187" s="61">
        <v>-84.427700099999996</v>
      </c>
      <c r="T187" s="61">
        <v>442.036</v>
      </c>
      <c r="U187" s="61" t="s">
        <v>617</v>
      </c>
      <c r="V187" s="61" t="s">
        <v>617</v>
      </c>
      <c r="W187" s="61"/>
      <c r="Y187" s="137">
        <f>Summary_LCIA!H$32</f>
        <v>0.33979999999999999</v>
      </c>
      <c r="Z187" s="137">
        <f>Summary_LCIA!Q$32</f>
        <v>4.9560504329999997</v>
      </c>
      <c r="AA187" s="137">
        <f>Summary_LCIA!R$32</f>
        <v>5.2655999999999996E-3</v>
      </c>
      <c r="AB187" s="137">
        <f>Summary_LCIA!S$32</f>
        <v>0.33538000000000001</v>
      </c>
      <c r="AC187" s="137">
        <f>Summary_LCIA!T$32</f>
        <v>0.1099</v>
      </c>
      <c r="AD187" s="137">
        <f>Summary_LCIA!U$32</f>
        <v>1.7913999999999999E-2</v>
      </c>
      <c r="AE187" s="137">
        <f>Summary_LCIA!V$32</f>
        <v>4.7760999999999999E-5</v>
      </c>
      <c r="AF187" s="137">
        <f>Summary_LCIA!W$32</f>
        <v>7.6970999999999998E-2</v>
      </c>
      <c r="AG187" s="137">
        <f>Summary_LCIA!X$32</f>
        <v>2.2780000000000002E-2</v>
      </c>
      <c r="AH187" s="137">
        <f>Summary_LCIA!Y$32</f>
        <v>1.5582E-2</v>
      </c>
      <c r="AI187" s="137">
        <f>Summary_LCIA!Z$32</f>
        <v>4.1009E-5</v>
      </c>
      <c r="AJ187" s="137">
        <f>Summary_LCIA!AA$32</f>
        <v>2.3355999999999998E-2</v>
      </c>
      <c r="AK187" s="137">
        <f>Summary_LCIA!AB$32</f>
        <v>-2.1823000000000001E-5</v>
      </c>
      <c r="AL187" s="137">
        <f>Summary_LCIA!AC$32</f>
        <v>4.8884000000000003E-8</v>
      </c>
      <c r="AM187" s="137">
        <f>Summary_LCIA!AD$32</f>
        <v>4.1103999999999999E-4</v>
      </c>
      <c r="AN187" s="137">
        <f>Summary_LCIA!AE$32</f>
        <v>8.8612999999999995E-4</v>
      </c>
      <c r="AO187" s="137">
        <f>Summary_LCIA!AF$32</f>
        <v>8.4542000000000005E-4</v>
      </c>
      <c r="AP187" s="137">
        <f>Summary_LCIA!AG$32</f>
        <v>5.1165000000000002E-5</v>
      </c>
      <c r="AQ187" s="137">
        <f>Summary_LCIA!AH$32</f>
        <v>8.7036000000000006E-3</v>
      </c>
      <c r="AR187" s="137">
        <f>Summary_LCIA!AI$32</f>
        <v>9.3154999999999996E-4</v>
      </c>
      <c r="AT187" s="137">
        <f t="shared" si="44"/>
        <v>150.20383279999999</v>
      </c>
      <c r="AU187" s="137">
        <f t="shared" si="45"/>
        <v>2190.752709201588</v>
      </c>
      <c r="AV187" s="137">
        <f t="shared" si="46"/>
        <v>2.3275847615999998</v>
      </c>
      <c r="AW187" s="137">
        <f t="shared" si="47"/>
        <v>148.25003368</v>
      </c>
      <c r="AX187" s="137">
        <f t="shared" si="48"/>
        <v>48.579756400000001</v>
      </c>
      <c r="AY187" s="137">
        <f t="shared" si="49"/>
        <v>7.9186329039999999</v>
      </c>
      <c r="AZ187" s="137">
        <f t="shared" si="50"/>
        <v>2.1112081395999998E-2</v>
      </c>
      <c r="BA187" s="137">
        <f t="shared" si="51"/>
        <v>34.023952956000002</v>
      </c>
      <c r="BB187" s="137">
        <f t="shared" si="52"/>
        <v>10.069580080000001</v>
      </c>
      <c r="BC187" s="137">
        <f t="shared" si="53"/>
        <v>6.8878049519999998</v>
      </c>
      <c r="BD187" s="137">
        <f t="shared" si="54"/>
        <v>1.8127454324000002E-2</v>
      </c>
      <c r="BE187" s="137">
        <f t="shared" si="55"/>
        <v>10.324192816</v>
      </c>
      <c r="BF187" s="137">
        <f t="shared" si="56"/>
        <v>-9.6465516280000007E-3</v>
      </c>
      <c r="BG187" s="137">
        <f t="shared" si="57"/>
        <v>2.1608487824E-5</v>
      </c>
      <c r="BH187" s="137">
        <f t="shared" si="58"/>
        <v>0.18169447744</v>
      </c>
      <c r="BI187" s="137">
        <f t="shared" si="59"/>
        <v>0.39170136068</v>
      </c>
      <c r="BJ187" s="137">
        <f t="shared" si="60"/>
        <v>0.37370607512000004</v>
      </c>
      <c r="BK187" s="137">
        <f t="shared" si="61"/>
        <v>2.2616771940000002E-2</v>
      </c>
      <c r="BL187" s="137">
        <f t="shared" si="62"/>
        <v>3.8473045296000001</v>
      </c>
      <c r="BM187" s="137">
        <f t="shared" si="63"/>
        <v>0.41177863579999996</v>
      </c>
    </row>
    <row r="188" spans="1:65" x14ac:dyDescent="0.25">
      <c r="A188" s="149">
        <v>237</v>
      </c>
      <c r="B188" s="149">
        <v>1</v>
      </c>
      <c r="C188" s="61">
        <v>36.31344</v>
      </c>
      <c r="D188" s="61">
        <v>-82.353472999999994</v>
      </c>
      <c r="E188" s="61" t="s">
        <v>265</v>
      </c>
      <c r="F188" s="149">
        <v>34</v>
      </c>
      <c r="G188" s="61" t="s">
        <v>565</v>
      </c>
      <c r="H188" s="61" t="s">
        <v>633</v>
      </c>
      <c r="I188" s="61">
        <v>35.214402999999997</v>
      </c>
      <c r="J188" s="61">
        <v>-80.947315000000003</v>
      </c>
      <c r="K188" s="61">
        <v>212.4742573</v>
      </c>
      <c r="L188" s="61">
        <v>236.197</v>
      </c>
      <c r="M188" s="61" t="s">
        <v>617</v>
      </c>
      <c r="N188" s="149">
        <v>0</v>
      </c>
      <c r="O188" s="149">
        <v>1</v>
      </c>
      <c r="P188" s="61" t="s">
        <v>565</v>
      </c>
      <c r="Q188" s="61" t="s">
        <v>558</v>
      </c>
      <c r="R188" s="61">
        <v>33.640728199999998</v>
      </c>
      <c r="S188" s="61">
        <v>-84.427700099999996</v>
      </c>
      <c r="T188" s="61">
        <v>442.036</v>
      </c>
      <c r="U188" s="61" t="s">
        <v>617</v>
      </c>
      <c r="V188" s="61" t="s">
        <v>617</v>
      </c>
      <c r="W188" s="61"/>
      <c r="Y188" s="137">
        <f>Summary_LCIA!H$32</f>
        <v>0.33979999999999999</v>
      </c>
      <c r="Z188" s="137">
        <f>Summary_LCIA!Q$32</f>
        <v>4.9560504329999997</v>
      </c>
      <c r="AA188" s="137">
        <f>Summary_LCIA!R$32</f>
        <v>5.2655999999999996E-3</v>
      </c>
      <c r="AB188" s="137">
        <f>Summary_LCIA!S$32</f>
        <v>0.33538000000000001</v>
      </c>
      <c r="AC188" s="137">
        <f>Summary_LCIA!T$32</f>
        <v>0.1099</v>
      </c>
      <c r="AD188" s="137">
        <f>Summary_LCIA!U$32</f>
        <v>1.7913999999999999E-2</v>
      </c>
      <c r="AE188" s="137">
        <f>Summary_LCIA!V$32</f>
        <v>4.7760999999999999E-5</v>
      </c>
      <c r="AF188" s="137">
        <f>Summary_LCIA!W$32</f>
        <v>7.6970999999999998E-2</v>
      </c>
      <c r="AG188" s="137">
        <f>Summary_LCIA!X$32</f>
        <v>2.2780000000000002E-2</v>
      </c>
      <c r="AH188" s="137">
        <f>Summary_LCIA!Y$32</f>
        <v>1.5582E-2</v>
      </c>
      <c r="AI188" s="137">
        <f>Summary_LCIA!Z$32</f>
        <v>4.1009E-5</v>
      </c>
      <c r="AJ188" s="137">
        <f>Summary_LCIA!AA$32</f>
        <v>2.3355999999999998E-2</v>
      </c>
      <c r="AK188" s="137">
        <f>Summary_LCIA!AB$32</f>
        <v>-2.1823000000000001E-5</v>
      </c>
      <c r="AL188" s="137">
        <f>Summary_LCIA!AC$32</f>
        <v>4.8884000000000003E-8</v>
      </c>
      <c r="AM188" s="137">
        <f>Summary_LCIA!AD$32</f>
        <v>4.1103999999999999E-4</v>
      </c>
      <c r="AN188" s="137">
        <f>Summary_LCIA!AE$32</f>
        <v>8.8612999999999995E-4</v>
      </c>
      <c r="AO188" s="137">
        <f>Summary_LCIA!AF$32</f>
        <v>8.4542000000000005E-4</v>
      </c>
      <c r="AP188" s="137">
        <f>Summary_LCIA!AG$32</f>
        <v>5.1165000000000002E-5</v>
      </c>
      <c r="AQ188" s="137">
        <f>Summary_LCIA!AH$32</f>
        <v>8.7036000000000006E-3</v>
      </c>
      <c r="AR188" s="137">
        <f>Summary_LCIA!AI$32</f>
        <v>9.3154999999999996E-4</v>
      </c>
      <c r="AT188" s="137">
        <f t="shared" si="44"/>
        <v>150.20383279999999</v>
      </c>
      <c r="AU188" s="137">
        <f t="shared" si="45"/>
        <v>2190.752709201588</v>
      </c>
      <c r="AV188" s="137">
        <f t="shared" si="46"/>
        <v>2.3275847615999998</v>
      </c>
      <c r="AW188" s="137">
        <f t="shared" si="47"/>
        <v>148.25003368</v>
      </c>
      <c r="AX188" s="137">
        <f t="shared" si="48"/>
        <v>48.579756400000001</v>
      </c>
      <c r="AY188" s="137">
        <f t="shared" si="49"/>
        <v>7.9186329039999999</v>
      </c>
      <c r="AZ188" s="137">
        <f t="shared" si="50"/>
        <v>2.1112081395999998E-2</v>
      </c>
      <c r="BA188" s="137">
        <f t="shared" si="51"/>
        <v>34.023952956000002</v>
      </c>
      <c r="BB188" s="137">
        <f t="shared" si="52"/>
        <v>10.069580080000001</v>
      </c>
      <c r="BC188" s="137">
        <f t="shared" si="53"/>
        <v>6.8878049519999998</v>
      </c>
      <c r="BD188" s="137">
        <f t="shared" si="54"/>
        <v>1.8127454324000002E-2</v>
      </c>
      <c r="BE188" s="137">
        <f t="shared" si="55"/>
        <v>10.324192816</v>
      </c>
      <c r="BF188" s="137">
        <f t="shared" si="56"/>
        <v>-9.6465516280000007E-3</v>
      </c>
      <c r="BG188" s="137">
        <f t="shared" si="57"/>
        <v>2.1608487824E-5</v>
      </c>
      <c r="BH188" s="137">
        <f t="shared" si="58"/>
        <v>0.18169447744</v>
      </c>
      <c r="BI188" s="137">
        <f t="shared" si="59"/>
        <v>0.39170136068</v>
      </c>
      <c r="BJ188" s="137">
        <f t="shared" si="60"/>
        <v>0.37370607512000004</v>
      </c>
      <c r="BK188" s="137">
        <f t="shared" si="61"/>
        <v>2.2616771940000002E-2</v>
      </c>
      <c r="BL188" s="137">
        <f t="shared" si="62"/>
        <v>3.8473045296000001</v>
      </c>
      <c r="BM188" s="137">
        <f t="shared" si="63"/>
        <v>0.41177863579999996</v>
      </c>
    </row>
    <row r="189" spans="1:65" x14ac:dyDescent="0.25">
      <c r="A189" s="149">
        <v>83</v>
      </c>
      <c r="B189" s="149">
        <v>43</v>
      </c>
      <c r="C189" s="61">
        <v>43.110801000000002</v>
      </c>
      <c r="D189" s="61">
        <v>-70.750540000000001</v>
      </c>
      <c r="E189" s="61" t="s">
        <v>265</v>
      </c>
      <c r="F189" s="149">
        <v>53</v>
      </c>
      <c r="G189" s="61" t="s">
        <v>565</v>
      </c>
      <c r="H189" s="61" t="s">
        <v>634</v>
      </c>
      <c r="I189" s="61">
        <v>42.365613000000003</v>
      </c>
      <c r="J189" s="61">
        <v>-71.009559999999993</v>
      </c>
      <c r="K189" s="61">
        <v>116.9533083</v>
      </c>
      <c r="L189" s="61">
        <v>92.052999999999997</v>
      </c>
      <c r="M189" s="61" t="s">
        <v>617</v>
      </c>
      <c r="N189" s="149">
        <v>42</v>
      </c>
      <c r="O189" s="149">
        <v>43</v>
      </c>
      <c r="P189" s="61" t="s">
        <v>565</v>
      </c>
      <c r="Q189" s="61" t="s">
        <v>555</v>
      </c>
      <c r="R189" s="61">
        <v>40.6895314</v>
      </c>
      <c r="S189" s="61">
        <v>-74.174462399999996</v>
      </c>
      <c r="T189" s="61">
        <v>447.81700000000001</v>
      </c>
      <c r="U189" s="61" t="s">
        <v>617</v>
      </c>
      <c r="V189" s="61" t="s">
        <v>617</v>
      </c>
      <c r="W189" s="61"/>
      <c r="Y189" s="137">
        <f>Summary_LCIA!H$32</f>
        <v>0.33979999999999999</v>
      </c>
      <c r="Z189" s="137">
        <f>Summary_LCIA!Q$32</f>
        <v>4.9560504329999997</v>
      </c>
      <c r="AA189" s="137">
        <f>Summary_LCIA!R$32</f>
        <v>5.2655999999999996E-3</v>
      </c>
      <c r="AB189" s="137">
        <f>Summary_LCIA!S$32</f>
        <v>0.33538000000000001</v>
      </c>
      <c r="AC189" s="137">
        <f>Summary_LCIA!T$32</f>
        <v>0.1099</v>
      </c>
      <c r="AD189" s="137">
        <f>Summary_LCIA!U$32</f>
        <v>1.7913999999999999E-2</v>
      </c>
      <c r="AE189" s="137">
        <f>Summary_LCIA!V$32</f>
        <v>4.7760999999999999E-5</v>
      </c>
      <c r="AF189" s="137">
        <f>Summary_LCIA!W$32</f>
        <v>7.6970999999999998E-2</v>
      </c>
      <c r="AG189" s="137">
        <f>Summary_LCIA!X$32</f>
        <v>2.2780000000000002E-2</v>
      </c>
      <c r="AH189" s="137">
        <f>Summary_LCIA!Y$32</f>
        <v>1.5582E-2</v>
      </c>
      <c r="AI189" s="137">
        <f>Summary_LCIA!Z$32</f>
        <v>4.1009E-5</v>
      </c>
      <c r="AJ189" s="137">
        <f>Summary_LCIA!AA$32</f>
        <v>2.3355999999999998E-2</v>
      </c>
      <c r="AK189" s="137">
        <f>Summary_LCIA!AB$32</f>
        <v>-2.1823000000000001E-5</v>
      </c>
      <c r="AL189" s="137">
        <f>Summary_LCIA!AC$32</f>
        <v>4.8884000000000003E-8</v>
      </c>
      <c r="AM189" s="137">
        <f>Summary_LCIA!AD$32</f>
        <v>4.1103999999999999E-4</v>
      </c>
      <c r="AN189" s="137">
        <f>Summary_LCIA!AE$32</f>
        <v>8.8612999999999995E-4</v>
      </c>
      <c r="AO189" s="137">
        <f>Summary_LCIA!AF$32</f>
        <v>8.4542000000000005E-4</v>
      </c>
      <c r="AP189" s="137">
        <f>Summary_LCIA!AG$32</f>
        <v>5.1165000000000002E-5</v>
      </c>
      <c r="AQ189" s="137">
        <f>Summary_LCIA!AH$32</f>
        <v>8.7036000000000006E-3</v>
      </c>
      <c r="AR189" s="137">
        <f>Summary_LCIA!AI$32</f>
        <v>9.3154999999999996E-4</v>
      </c>
      <c r="AT189" s="137">
        <f t="shared" si="44"/>
        <v>152.16821659999999</v>
      </c>
      <c r="AU189" s="137">
        <f t="shared" si="45"/>
        <v>2219.403636754761</v>
      </c>
      <c r="AV189" s="137">
        <f t="shared" si="46"/>
        <v>2.3580251951999998</v>
      </c>
      <c r="AW189" s="137">
        <f t="shared" si="47"/>
        <v>150.18886546000002</v>
      </c>
      <c r="AX189" s="137">
        <f t="shared" si="48"/>
        <v>49.215088299999998</v>
      </c>
      <c r="AY189" s="137">
        <f t="shared" si="49"/>
        <v>8.0221937380000004</v>
      </c>
      <c r="AZ189" s="137">
        <f t="shared" si="50"/>
        <v>2.1388187736999999E-2</v>
      </c>
      <c r="BA189" s="137">
        <f t="shared" si="51"/>
        <v>34.468922307</v>
      </c>
      <c r="BB189" s="137">
        <f t="shared" si="52"/>
        <v>10.20127126</v>
      </c>
      <c r="BC189" s="137">
        <f t="shared" si="53"/>
        <v>6.9778844940000004</v>
      </c>
      <c r="BD189" s="137">
        <f t="shared" si="54"/>
        <v>1.8364527352999999E-2</v>
      </c>
      <c r="BE189" s="137">
        <f t="shared" si="55"/>
        <v>10.459213852</v>
      </c>
      <c r="BF189" s="137">
        <f t="shared" si="56"/>
        <v>-9.7727103910000002E-3</v>
      </c>
      <c r="BG189" s="137">
        <f t="shared" si="57"/>
        <v>2.1891086228000002E-5</v>
      </c>
      <c r="BH189" s="137">
        <f t="shared" si="58"/>
        <v>0.18407069968000001</v>
      </c>
      <c r="BI189" s="137">
        <f t="shared" si="59"/>
        <v>0.39682407820999999</v>
      </c>
      <c r="BJ189" s="137">
        <f t="shared" si="60"/>
        <v>0.37859344814000001</v>
      </c>
      <c r="BK189" s="137">
        <f t="shared" si="61"/>
        <v>2.2912556805000001E-2</v>
      </c>
      <c r="BL189" s="137">
        <f t="shared" si="62"/>
        <v>3.8976200412000002</v>
      </c>
      <c r="BM189" s="137">
        <f t="shared" si="63"/>
        <v>0.41716392634999999</v>
      </c>
    </row>
    <row r="190" spans="1:65" x14ac:dyDescent="0.25">
      <c r="A190" s="149">
        <v>84</v>
      </c>
      <c r="B190" s="149">
        <v>43</v>
      </c>
      <c r="C190" s="61">
        <v>43.110801000000002</v>
      </c>
      <c r="D190" s="61">
        <v>-70.750540000000001</v>
      </c>
      <c r="E190" s="61" t="s">
        <v>265</v>
      </c>
      <c r="F190" s="149">
        <v>53</v>
      </c>
      <c r="G190" s="61" t="s">
        <v>565</v>
      </c>
      <c r="H190" s="61" t="s">
        <v>634</v>
      </c>
      <c r="I190" s="61">
        <v>42.365613000000003</v>
      </c>
      <c r="J190" s="61">
        <v>-71.009559999999993</v>
      </c>
      <c r="K190" s="61">
        <v>116.9533083</v>
      </c>
      <c r="L190" s="61">
        <v>92.052999999999997</v>
      </c>
      <c r="M190" s="61" t="s">
        <v>617</v>
      </c>
      <c r="N190" s="149">
        <v>42</v>
      </c>
      <c r="O190" s="149">
        <v>43</v>
      </c>
      <c r="P190" s="61" t="s">
        <v>565</v>
      </c>
      <c r="Q190" s="61" t="s">
        <v>555</v>
      </c>
      <c r="R190" s="61">
        <v>40.6895314</v>
      </c>
      <c r="S190" s="61">
        <v>-74.174462399999996</v>
      </c>
      <c r="T190" s="61">
        <v>447.81700000000001</v>
      </c>
      <c r="U190" s="61" t="s">
        <v>617</v>
      </c>
      <c r="V190" s="61" t="s">
        <v>617</v>
      </c>
      <c r="W190" s="61"/>
      <c r="Y190" s="137">
        <f>Summary_LCIA!H$32</f>
        <v>0.33979999999999999</v>
      </c>
      <c r="Z190" s="137">
        <f>Summary_LCIA!Q$32</f>
        <v>4.9560504329999997</v>
      </c>
      <c r="AA190" s="137">
        <f>Summary_LCIA!R$32</f>
        <v>5.2655999999999996E-3</v>
      </c>
      <c r="AB190" s="137">
        <f>Summary_LCIA!S$32</f>
        <v>0.33538000000000001</v>
      </c>
      <c r="AC190" s="137">
        <f>Summary_LCIA!T$32</f>
        <v>0.1099</v>
      </c>
      <c r="AD190" s="137">
        <f>Summary_LCIA!U$32</f>
        <v>1.7913999999999999E-2</v>
      </c>
      <c r="AE190" s="137">
        <f>Summary_LCIA!V$32</f>
        <v>4.7760999999999999E-5</v>
      </c>
      <c r="AF190" s="137">
        <f>Summary_LCIA!W$32</f>
        <v>7.6970999999999998E-2</v>
      </c>
      <c r="AG190" s="137">
        <f>Summary_LCIA!X$32</f>
        <v>2.2780000000000002E-2</v>
      </c>
      <c r="AH190" s="137">
        <f>Summary_LCIA!Y$32</f>
        <v>1.5582E-2</v>
      </c>
      <c r="AI190" s="137">
        <f>Summary_LCIA!Z$32</f>
        <v>4.1009E-5</v>
      </c>
      <c r="AJ190" s="137">
        <f>Summary_LCIA!AA$32</f>
        <v>2.3355999999999998E-2</v>
      </c>
      <c r="AK190" s="137">
        <f>Summary_LCIA!AB$32</f>
        <v>-2.1823000000000001E-5</v>
      </c>
      <c r="AL190" s="137">
        <f>Summary_LCIA!AC$32</f>
        <v>4.8884000000000003E-8</v>
      </c>
      <c r="AM190" s="137">
        <f>Summary_LCIA!AD$32</f>
        <v>4.1103999999999999E-4</v>
      </c>
      <c r="AN190" s="137">
        <f>Summary_LCIA!AE$32</f>
        <v>8.8612999999999995E-4</v>
      </c>
      <c r="AO190" s="137">
        <f>Summary_LCIA!AF$32</f>
        <v>8.4542000000000005E-4</v>
      </c>
      <c r="AP190" s="137">
        <f>Summary_LCIA!AG$32</f>
        <v>5.1165000000000002E-5</v>
      </c>
      <c r="AQ190" s="137">
        <f>Summary_LCIA!AH$32</f>
        <v>8.7036000000000006E-3</v>
      </c>
      <c r="AR190" s="137">
        <f>Summary_LCIA!AI$32</f>
        <v>9.3154999999999996E-4</v>
      </c>
      <c r="AT190" s="137">
        <f t="shared" si="44"/>
        <v>152.16821659999999</v>
      </c>
      <c r="AU190" s="137">
        <f t="shared" si="45"/>
        <v>2219.403636754761</v>
      </c>
      <c r="AV190" s="137">
        <f t="shared" si="46"/>
        <v>2.3580251951999998</v>
      </c>
      <c r="AW190" s="137">
        <f t="shared" si="47"/>
        <v>150.18886546000002</v>
      </c>
      <c r="AX190" s="137">
        <f t="shared" si="48"/>
        <v>49.215088299999998</v>
      </c>
      <c r="AY190" s="137">
        <f t="shared" si="49"/>
        <v>8.0221937380000004</v>
      </c>
      <c r="AZ190" s="137">
        <f t="shared" si="50"/>
        <v>2.1388187736999999E-2</v>
      </c>
      <c r="BA190" s="137">
        <f t="shared" si="51"/>
        <v>34.468922307</v>
      </c>
      <c r="BB190" s="137">
        <f t="shared" si="52"/>
        <v>10.20127126</v>
      </c>
      <c r="BC190" s="137">
        <f t="shared" si="53"/>
        <v>6.9778844940000004</v>
      </c>
      <c r="BD190" s="137">
        <f t="shared" si="54"/>
        <v>1.8364527352999999E-2</v>
      </c>
      <c r="BE190" s="137">
        <f t="shared" si="55"/>
        <v>10.459213852</v>
      </c>
      <c r="BF190" s="137">
        <f t="shared" si="56"/>
        <v>-9.7727103910000002E-3</v>
      </c>
      <c r="BG190" s="137">
        <f t="shared" si="57"/>
        <v>2.1891086228000002E-5</v>
      </c>
      <c r="BH190" s="137">
        <f t="shared" si="58"/>
        <v>0.18407069968000001</v>
      </c>
      <c r="BI190" s="137">
        <f t="shared" si="59"/>
        <v>0.39682407820999999</v>
      </c>
      <c r="BJ190" s="137">
        <f t="shared" si="60"/>
        <v>0.37859344814000001</v>
      </c>
      <c r="BK190" s="137">
        <f t="shared" si="61"/>
        <v>2.2912556805000001E-2</v>
      </c>
      <c r="BL190" s="137">
        <f t="shared" si="62"/>
        <v>3.8976200412000002</v>
      </c>
      <c r="BM190" s="137">
        <f t="shared" si="63"/>
        <v>0.41716392634999999</v>
      </c>
    </row>
    <row r="191" spans="1:65" x14ac:dyDescent="0.25">
      <c r="A191" s="149">
        <v>85</v>
      </c>
      <c r="B191" s="149">
        <v>43</v>
      </c>
      <c r="C191" s="61">
        <v>43.110801000000002</v>
      </c>
      <c r="D191" s="61">
        <v>-70.750540000000001</v>
      </c>
      <c r="E191" s="61" t="s">
        <v>265</v>
      </c>
      <c r="F191" s="149">
        <v>53</v>
      </c>
      <c r="G191" s="61" t="s">
        <v>565</v>
      </c>
      <c r="H191" s="61" t="s">
        <v>634</v>
      </c>
      <c r="I191" s="61">
        <v>42.365613000000003</v>
      </c>
      <c r="J191" s="61">
        <v>-71.009559999999993</v>
      </c>
      <c r="K191" s="61">
        <v>116.9533083</v>
      </c>
      <c r="L191" s="61">
        <v>92.052999999999997</v>
      </c>
      <c r="M191" s="61" t="s">
        <v>617</v>
      </c>
      <c r="N191" s="149">
        <v>42</v>
      </c>
      <c r="O191" s="149">
        <v>43</v>
      </c>
      <c r="P191" s="61" t="s">
        <v>565</v>
      </c>
      <c r="Q191" s="61" t="s">
        <v>555</v>
      </c>
      <c r="R191" s="61">
        <v>40.6895314</v>
      </c>
      <c r="S191" s="61">
        <v>-74.174462399999996</v>
      </c>
      <c r="T191" s="61">
        <v>447.81700000000001</v>
      </c>
      <c r="U191" s="61" t="s">
        <v>617</v>
      </c>
      <c r="V191" s="61" t="s">
        <v>617</v>
      </c>
      <c r="W191" s="61"/>
      <c r="Y191" s="137">
        <f>Summary_LCIA!H$32</f>
        <v>0.33979999999999999</v>
      </c>
      <c r="Z191" s="137">
        <f>Summary_LCIA!Q$32</f>
        <v>4.9560504329999997</v>
      </c>
      <c r="AA191" s="137">
        <f>Summary_LCIA!R$32</f>
        <v>5.2655999999999996E-3</v>
      </c>
      <c r="AB191" s="137">
        <f>Summary_LCIA!S$32</f>
        <v>0.33538000000000001</v>
      </c>
      <c r="AC191" s="137">
        <f>Summary_LCIA!T$32</f>
        <v>0.1099</v>
      </c>
      <c r="AD191" s="137">
        <f>Summary_LCIA!U$32</f>
        <v>1.7913999999999999E-2</v>
      </c>
      <c r="AE191" s="137">
        <f>Summary_LCIA!V$32</f>
        <v>4.7760999999999999E-5</v>
      </c>
      <c r="AF191" s="137">
        <f>Summary_LCIA!W$32</f>
        <v>7.6970999999999998E-2</v>
      </c>
      <c r="AG191" s="137">
        <f>Summary_LCIA!X$32</f>
        <v>2.2780000000000002E-2</v>
      </c>
      <c r="AH191" s="137">
        <f>Summary_LCIA!Y$32</f>
        <v>1.5582E-2</v>
      </c>
      <c r="AI191" s="137">
        <f>Summary_LCIA!Z$32</f>
        <v>4.1009E-5</v>
      </c>
      <c r="AJ191" s="137">
        <f>Summary_LCIA!AA$32</f>
        <v>2.3355999999999998E-2</v>
      </c>
      <c r="AK191" s="137">
        <f>Summary_LCIA!AB$32</f>
        <v>-2.1823000000000001E-5</v>
      </c>
      <c r="AL191" s="137">
        <f>Summary_LCIA!AC$32</f>
        <v>4.8884000000000003E-8</v>
      </c>
      <c r="AM191" s="137">
        <f>Summary_LCIA!AD$32</f>
        <v>4.1103999999999999E-4</v>
      </c>
      <c r="AN191" s="137">
        <f>Summary_LCIA!AE$32</f>
        <v>8.8612999999999995E-4</v>
      </c>
      <c r="AO191" s="137">
        <f>Summary_LCIA!AF$32</f>
        <v>8.4542000000000005E-4</v>
      </c>
      <c r="AP191" s="137">
        <f>Summary_LCIA!AG$32</f>
        <v>5.1165000000000002E-5</v>
      </c>
      <c r="AQ191" s="137">
        <f>Summary_LCIA!AH$32</f>
        <v>8.7036000000000006E-3</v>
      </c>
      <c r="AR191" s="137">
        <f>Summary_LCIA!AI$32</f>
        <v>9.3154999999999996E-4</v>
      </c>
      <c r="AT191" s="137">
        <f t="shared" si="44"/>
        <v>152.16821659999999</v>
      </c>
      <c r="AU191" s="137">
        <f t="shared" si="45"/>
        <v>2219.403636754761</v>
      </c>
      <c r="AV191" s="137">
        <f t="shared" si="46"/>
        <v>2.3580251951999998</v>
      </c>
      <c r="AW191" s="137">
        <f t="shared" si="47"/>
        <v>150.18886546000002</v>
      </c>
      <c r="AX191" s="137">
        <f t="shared" si="48"/>
        <v>49.215088299999998</v>
      </c>
      <c r="AY191" s="137">
        <f t="shared" si="49"/>
        <v>8.0221937380000004</v>
      </c>
      <c r="AZ191" s="137">
        <f t="shared" si="50"/>
        <v>2.1388187736999999E-2</v>
      </c>
      <c r="BA191" s="137">
        <f t="shared" si="51"/>
        <v>34.468922307</v>
      </c>
      <c r="BB191" s="137">
        <f t="shared" si="52"/>
        <v>10.20127126</v>
      </c>
      <c r="BC191" s="137">
        <f t="shared" si="53"/>
        <v>6.9778844940000004</v>
      </c>
      <c r="BD191" s="137">
        <f t="shared" si="54"/>
        <v>1.8364527352999999E-2</v>
      </c>
      <c r="BE191" s="137">
        <f t="shared" si="55"/>
        <v>10.459213852</v>
      </c>
      <c r="BF191" s="137">
        <f t="shared" si="56"/>
        <v>-9.7727103910000002E-3</v>
      </c>
      <c r="BG191" s="137">
        <f t="shared" si="57"/>
        <v>2.1891086228000002E-5</v>
      </c>
      <c r="BH191" s="137">
        <f t="shared" si="58"/>
        <v>0.18407069968000001</v>
      </c>
      <c r="BI191" s="137">
        <f t="shared" si="59"/>
        <v>0.39682407820999999</v>
      </c>
      <c r="BJ191" s="137">
        <f t="shared" si="60"/>
        <v>0.37859344814000001</v>
      </c>
      <c r="BK191" s="137">
        <f t="shared" si="61"/>
        <v>2.2912556805000001E-2</v>
      </c>
      <c r="BL191" s="137">
        <f t="shared" si="62"/>
        <v>3.8976200412000002</v>
      </c>
      <c r="BM191" s="137">
        <f t="shared" si="63"/>
        <v>0.41716392634999999</v>
      </c>
    </row>
    <row r="192" spans="1:65" x14ac:dyDescent="0.25">
      <c r="A192" s="149">
        <v>86</v>
      </c>
      <c r="B192" s="149">
        <v>43</v>
      </c>
      <c r="C192" s="61">
        <v>43.110801000000002</v>
      </c>
      <c r="D192" s="61">
        <v>-70.750540000000001</v>
      </c>
      <c r="E192" s="61" t="s">
        <v>265</v>
      </c>
      <c r="F192" s="149">
        <v>53</v>
      </c>
      <c r="G192" s="61" t="s">
        <v>565</v>
      </c>
      <c r="H192" s="61" t="s">
        <v>634</v>
      </c>
      <c r="I192" s="61">
        <v>42.365613000000003</v>
      </c>
      <c r="J192" s="61">
        <v>-71.009559999999993</v>
      </c>
      <c r="K192" s="61">
        <v>116.9533083</v>
      </c>
      <c r="L192" s="61">
        <v>92.052999999999997</v>
      </c>
      <c r="M192" s="61" t="s">
        <v>617</v>
      </c>
      <c r="N192" s="149">
        <v>42</v>
      </c>
      <c r="O192" s="149">
        <v>43</v>
      </c>
      <c r="P192" s="61" t="s">
        <v>565</v>
      </c>
      <c r="Q192" s="61" t="s">
        <v>555</v>
      </c>
      <c r="R192" s="61">
        <v>40.6895314</v>
      </c>
      <c r="S192" s="61">
        <v>-74.174462399999996</v>
      </c>
      <c r="T192" s="61">
        <v>447.81700000000001</v>
      </c>
      <c r="U192" s="61" t="s">
        <v>617</v>
      </c>
      <c r="V192" s="61" t="s">
        <v>617</v>
      </c>
      <c r="W192" s="61"/>
      <c r="Y192" s="137">
        <f>Summary_LCIA!H$32</f>
        <v>0.33979999999999999</v>
      </c>
      <c r="Z192" s="137">
        <f>Summary_LCIA!Q$32</f>
        <v>4.9560504329999997</v>
      </c>
      <c r="AA192" s="137">
        <f>Summary_LCIA!R$32</f>
        <v>5.2655999999999996E-3</v>
      </c>
      <c r="AB192" s="137">
        <f>Summary_LCIA!S$32</f>
        <v>0.33538000000000001</v>
      </c>
      <c r="AC192" s="137">
        <f>Summary_LCIA!T$32</f>
        <v>0.1099</v>
      </c>
      <c r="AD192" s="137">
        <f>Summary_LCIA!U$32</f>
        <v>1.7913999999999999E-2</v>
      </c>
      <c r="AE192" s="137">
        <f>Summary_LCIA!V$32</f>
        <v>4.7760999999999999E-5</v>
      </c>
      <c r="AF192" s="137">
        <f>Summary_LCIA!W$32</f>
        <v>7.6970999999999998E-2</v>
      </c>
      <c r="AG192" s="137">
        <f>Summary_LCIA!X$32</f>
        <v>2.2780000000000002E-2</v>
      </c>
      <c r="AH192" s="137">
        <f>Summary_LCIA!Y$32</f>
        <v>1.5582E-2</v>
      </c>
      <c r="AI192" s="137">
        <f>Summary_LCIA!Z$32</f>
        <v>4.1009E-5</v>
      </c>
      <c r="AJ192" s="137">
        <f>Summary_LCIA!AA$32</f>
        <v>2.3355999999999998E-2</v>
      </c>
      <c r="AK192" s="137">
        <f>Summary_LCIA!AB$32</f>
        <v>-2.1823000000000001E-5</v>
      </c>
      <c r="AL192" s="137">
        <f>Summary_LCIA!AC$32</f>
        <v>4.8884000000000003E-8</v>
      </c>
      <c r="AM192" s="137">
        <f>Summary_LCIA!AD$32</f>
        <v>4.1103999999999999E-4</v>
      </c>
      <c r="AN192" s="137">
        <f>Summary_LCIA!AE$32</f>
        <v>8.8612999999999995E-4</v>
      </c>
      <c r="AO192" s="137">
        <f>Summary_LCIA!AF$32</f>
        <v>8.4542000000000005E-4</v>
      </c>
      <c r="AP192" s="137">
        <f>Summary_LCIA!AG$32</f>
        <v>5.1165000000000002E-5</v>
      </c>
      <c r="AQ192" s="137">
        <f>Summary_LCIA!AH$32</f>
        <v>8.7036000000000006E-3</v>
      </c>
      <c r="AR192" s="137">
        <f>Summary_LCIA!AI$32</f>
        <v>9.3154999999999996E-4</v>
      </c>
      <c r="AT192" s="137">
        <f t="shared" si="44"/>
        <v>152.16821659999999</v>
      </c>
      <c r="AU192" s="137">
        <f t="shared" si="45"/>
        <v>2219.403636754761</v>
      </c>
      <c r="AV192" s="137">
        <f t="shared" si="46"/>
        <v>2.3580251951999998</v>
      </c>
      <c r="AW192" s="137">
        <f t="shared" si="47"/>
        <v>150.18886546000002</v>
      </c>
      <c r="AX192" s="137">
        <f t="shared" si="48"/>
        <v>49.215088299999998</v>
      </c>
      <c r="AY192" s="137">
        <f t="shared" si="49"/>
        <v>8.0221937380000004</v>
      </c>
      <c r="AZ192" s="137">
        <f t="shared" si="50"/>
        <v>2.1388187736999999E-2</v>
      </c>
      <c r="BA192" s="137">
        <f t="shared" si="51"/>
        <v>34.468922307</v>
      </c>
      <c r="BB192" s="137">
        <f t="shared" si="52"/>
        <v>10.20127126</v>
      </c>
      <c r="BC192" s="137">
        <f t="shared" si="53"/>
        <v>6.9778844940000004</v>
      </c>
      <c r="BD192" s="137">
        <f t="shared" si="54"/>
        <v>1.8364527352999999E-2</v>
      </c>
      <c r="BE192" s="137">
        <f t="shared" si="55"/>
        <v>10.459213852</v>
      </c>
      <c r="BF192" s="137">
        <f t="shared" si="56"/>
        <v>-9.7727103910000002E-3</v>
      </c>
      <c r="BG192" s="137">
        <f t="shared" si="57"/>
        <v>2.1891086228000002E-5</v>
      </c>
      <c r="BH192" s="137">
        <f t="shared" si="58"/>
        <v>0.18407069968000001</v>
      </c>
      <c r="BI192" s="137">
        <f t="shared" si="59"/>
        <v>0.39682407820999999</v>
      </c>
      <c r="BJ192" s="137">
        <f t="shared" si="60"/>
        <v>0.37859344814000001</v>
      </c>
      <c r="BK192" s="137">
        <f t="shared" si="61"/>
        <v>2.2912556805000001E-2</v>
      </c>
      <c r="BL192" s="137">
        <f t="shared" si="62"/>
        <v>3.8976200412000002</v>
      </c>
      <c r="BM192" s="137">
        <f t="shared" si="63"/>
        <v>0.41716392634999999</v>
      </c>
    </row>
    <row r="193" spans="1:65" x14ac:dyDescent="0.25">
      <c r="A193" s="149">
        <v>87</v>
      </c>
      <c r="B193" s="149">
        <v>43</v>
      </c>
      <c r="C193" s="61">
        <v>43.110801000000002</v>
      </c>
      <c r="D193" s="61">
        <v>-70.750540000000001</v>
      </c>
      <c r="E193" s="61" t="s">
        <v>265</v>
      </c>
      <c r="F193" s="149">
        <v>53</v>
      </c>
      <c r="G193" s="61" t="s">
        <v>565</v>
      </c>
      <c r="H193" s="61" t="s">
        <v>634</v>
      </c>
      <c r="I193" s="61">
        <v>42.365613000000003</v>
      </c>
      <c r="J193" s="61">
        <v>-71.009559999999993</v>
      </c>
      <c r="K193" s="61">
        <v>116.9533083</v>
      </c>
      <c r="L193" s="61">
        <v>92.052999999999997</v>
      </c>
      <c r="M193" s="61" t="s">
        <v>617</v>
      </c>
      <c r="N193" s="149">
        <v>42</v>
      </c>
      <c r="O193" s="149">
        <v>43</v>
      </c>
      <c r="P193" s="61" t="s">
        <v>565</v>
      </c>
      <c r="Q193" s="61" t="s">
        <v>555</v>
      </c>
      <c r="R193" s="61">
        <v>40.6895314</v>
      </c>
      <c r="S193" s="61">
        <v>-74.174462399999996</v>
      </c>
      <c r="T193" s="61">
        <v>447.81700000000001</v>
      </c>
      <c r="U193" s="61" t="s">
        <v>617</v>
      </c>
      <c r="V193" s="61" t="s">
        <v>617</v>
      </c>
      <c r="W193" s="61"/>
      <c r="Y193" s="137">
        <f>Summary_LCIA!H$32</f>
        <v>0.33979999999999999</v>
      </c>
      <c r="Z193" s="137">
        <f>Summary_LCIA!Q$32</f>
        <v>4.9560504329999997</v>
      </c>
      <c r="AA193" s="137">
        <f>Summary_LCIA!R$32</f>
        <v>5.2655999999999996E-3</v>
      </c>
      <c r="AB193" s="137">
        <f>Summary_LCIA!S$32</f>
        <v>0.33538000000000001</v>
      </c>
      <c r="AC193" s="137">
        <f>Summary_LCIA!T$32</f>
        <v>0.1099</v>
      </c>
      <c r="AD193" s="137">
        <f>Summary_LCIA!U$32</f>
        <v>1.7913999999999999E-2</v>
      </c>
      <c r="AE193" s="137">
        <f>Summary_LCIA!V$32</f>
        <v>4.7760999999999999E-5</v>
      </c>
      <c r="AF193" s="137">
        <f>Summary_LCIA!W$32</f>
        <v>7.6970999999999998E-2</v>
      </c>
      <c r="AG193" s="137">
        <f>Summary_LCIA!X$32</f>
        <v>2.2780000000000002E-2</v>
      </c>
      <c r="AH193" s="137">
        <f>Summary_LCIA!Y$32</f>
        <v>1.5582E-2</v>
      </c>
      <c r="AI193" s="137">
        <f>Summary_LCIA!Z$32</f>
        <v>4.1009E-5</v>
      </c>
      <c r="AJ193" s="137">
        <f>Summary_LCIA!AA$32</f>
        <v>2.3355999999999998E-2</v>
      </c>
      <c r="AK193" s="137">
        <f>Summary_LCIA!AB$32</f>
        <v>-2.1823000000000001E-5</v>
      </c>
      <c r="AL193" s="137">
        <f>Summary_LCIA!AC$32</f>
        <v>4.8884000000000003E-8</v>
      </c>
      <c r="AM193" s="137">
        <f>Summary_LCIA!AD$32</f>
        <v>4.1103999999999999E-4</v>
      </c>
      <c r="AN193" s="137">
        <f>Summary_LCIA!AE$32</f>
        <v>8.8612999999999995E-4</v>
      </c>
      <c r="AO193" s="137">
        <f>Summary_LCIA!AF$32</f>
        <v>8.4542000000000005E-4</v>
      </c>
      <c r="AP193" s="137">
        <f>Summary_LCIA!AG$32</f>
        <v>5.1165000000000002E-5</v>
      </c>
      <c r="AQ193" s="137">
        <f>Summary_LCIA!AH$32</f>
        <v>8.7036000000000006E-3</v>
      </c>
      <c r="AR193" s="137">
        <f>Summary_LCIA!AI$32</f>
        <v>9.3154999999999996E-4</v>
      </c>
      <c r="AT193" s="137">
        <f t="shared" si="44"/>
        <v>152.16821659999999</v>
      </c>
      <c r="AU193" s="137">
        <f t="shared" si="45"/>
        <v>2219.403636754761</v>
      </c>
      <c r="AV193" s="137">
        <f t="shared" si="46"/>
        <v>2.3580251951999998</v>
      </c>
      <c r="AW193" s="137">
        <f t="shared" si="47"/>
        <v>150.18886546000002</v>
      </c>
      <c r="AX193" s="137">
        <f t="shared" si="48"/>
        <v>49.215088299999998</v>
      </c>
      <c r="AY193" s="137">
        <f t="shared" si="49"/>
        <v>8.0221937380000004</v>
      </c>
      <c r="AZ193" s="137">
        <f t="shared" si="50"/>
        <v>2.1388187736999999E-2</v>
      </c>
      <c r="BA193" s="137">
        <f t="shared" si="51"/>
        <v>34.468922307</v>
      </c>
      <c r="BB193" s="137">
        <f t="shared" si="52"/>
        <v>10.20127126</v>
      </c>
      <c r="BC193" s="137">
        <f t="shared" si="53"/>
        <v>6.9778844940000004</v>
      </c>
      <c r="BD193" s="137">
        <f t="shared" si="54"/>
        <v>1.8364527352999999E-2</v>
      </c>
      <c r="BE193" s="137">
        <f t="shared" si="55"/>
        <v>10.459213852</v>
      </c>
      <c r="BF193" s="137">
        <f t="shared" si="56"/>
        <v>-9.7727103910000002E-3</v>
      </c>
      <c r="BG193" s="137">
        <f t="shared" si="57"/>
        <v>2.1891086228000002E-5</v>
      </c>
      <c r="BH193" s="137">
        <f t="shared" si="58"/>
        <v>0.18407069968000001</v>
      </c>
      <c r="BI193" s="137">
        <f t="shared" si="59"/>
        <v>0.39682407820999999</v>
      </c>
      <c r="BJ193" s="137">
        <f t="shared" si="60"/>
        <v>0.37859344814000001</v>
      </c>
      <c r="BK193" s="137">
        <f t="shared" si="61"/>
        <v>2.2912556805000001E-2</v>
      </c>
      <c r="BL193" s="137">
        <f t="shared" si="62"/>
        <v>3.8976200412000002</v>
      </c>
      <c r="BM193" s="137">
        <f t="shared" si="63"/>
        <v>0.41716392634999999</v>
      </c>
    </row>
    <row r="194" spans="1:65" x14ac:dyDescent="0.25">
      <c r="A194" s="149">
        <v>88</v>
      </c>
      <c r="B194" s="149">
        <v>43</v>
      </c>
      <c r="C194" s="61">
        <v>43.110801000000002</v>
      </c>
      <c r="D194" s="61">
        <v>-70.750540000000001</v>
      </c>
      <c r="E194" s="61" t="s">
        <v>265</v>
      </c>
      <c r="F194" s="149">
        <v>53</v>
      </c>
      <c r="G194" s="61" t="s">
        <v>565</v>
      </c>
      <c r="H194" s="61" t="s">
        <v>634</v>
      </c>
      <c r="I194" s="61">
        <v>42.365613000000003</v>
      </c>
      <c r="J194" s="61">
        <v>-71.009559999999993</v>
      </c>
      <c r="K194" s="61">
        <v>116.9533083</v>
      </c>
      <c r="L194" s="61">
        <v>92.052999999999997</v>
      </c>
      <c r="M194" s="61" t="s">
        <v>617</v>
      </c>
      <c r="N194" s="149">
        <v>42</v>
      </c>
      <c r="O194" s="149">
        <v>43</v>
      </c>
      <c r="P194" s="61" t="s">
        <v>565</v>
      </c>
      <c r="Q194" s="61" t="s">
        <v>555</v>
      </c>
      <c r="R194" s="61">
        <v>40.6895314</v>
      </c>
      <c r="S194" s="61">
        <v>-74.174462399999996</v>
      </c>
      <c r="T194" s="61">
        <v>447.81700000000001</v>
      </c>
      <c r="U194" s="61" t="s">
        <v>617</v>
      </c>
      <c r="V194" s="61" t="s">
        <v>617</v>
      </c>
      <c r="W194" s="61"/>
      <c r="Y194" s="137">
        <f>Summary_LCIA!H$32</f>
        <v>0.33979999999999999</v>
      </c>
      <c r="Z194" s="137">
        <f>Summary_LCIA!Q$32</f>
        <v>4.9560504329999997</v>
      </c>
      <c r="AA194" s="137">
        <f>Summary_LCIA!R$32</f>
        <v>5.2655999999999996E-3</v>
      </c>
      <c r="AB194" s="137">
        <f>Summary_LCIA!S$32</f>
        <v>0.33538000000000001</v>
      </c>
      <c r="AC194" s="137">
        <f>Summary_LCIA!T$32</f>
        <v>0.1099</v>
      </c>
      <c r="AD194" s="137">
        <f>Summary_LCIA!U$32</f>
        <v>1.7913999999999999E-2</v>
      </c>
      <c r="AE194" s="137">
        <f>Summary_LCIA!V$32</f>
        <v>4.7760999999999999E-5</v>
      </c>
      <c r="AF194" s="137">
        <f>Summary_LCIA!W$32</f>
        <v>7.6970999999999998E-2</v>
      </c>
      <c r="AG194" s="137">
        <f>Summary_LCIA!X$32</f>
        <v>2.2780000000000002E-2</v>
      </c>
      <c r="AH194" s="137">
        <f>Summary_LCIA!Y$32</f>
        <v>1.5582E-2</v>
      </c>
      <c r="AI194" s="137">
        <f>Summary_LCIA!Z$32</f>
        <v>4.1009E-5</v>
      </c>
      <c r="AJ194" s="137">
        <f>Summary_LCIA!AA$32</f>
        <v>2.3355999999999998E-2</v>
      </c>
      <c r="AK194" s="137">
        <f>Summary_LCIA!AB$32</f>
        <v>-2.1823000000000001E-5</v>
      </c>
      <c r="AL194" s="137">
        <f>Summary_LCIA!AC$32</f>
        <v>4.8884000000000003E-8</v>
      </c>
      <c r="AM194" s="137">
        <f>Summary_LCIA!AD$32</f>
        <v>4.1103999999999999E-4</v>
      </c>
      <c r="AN194" s="137">
        <f>Summary_LCIA!AE$32</f>
        <v>8.8612999999999995E-4</v>
      </c>
      <c r="AO194" s="137">
        <f>Summary_LCIA!AF$32</f>
        <v>8.4542000000000005E-4</v>
      </c>
      <c r="AP194" s="137">
        <f>Summary_LCIA!AG$32</f>
        <v>5.1165000000000002E-5</v>
      </c>
      <c r="AQ194" s="137">
        <f>Summary_LCIA!AH$32</f>
        <v>8.7036000000000006E-3</v>
      </c>
      <c r="AR194" s="137">
        <f>Summary_LCIA!AI$32</f>
        <v>9.3154999999999996E-4</v>
      </c>
      <c r="AT194" s="137">
        <f t="shared" si="44"/>
        <v>152.16821659999999</v>
      </c>
      <c r="AU194" s="137">
        <f t="shared" si="45"/>
        <v>2219.403636754761</v>
      </c>
      <c r="AV194" s="137">
        <f t="shared" si="46"/>
        <v>2.3580251951999998</v>
      </c>
      <c r="AW194" s="137">
        <f t="shared" si="47"/>
        <v>150.18886546000002</v>
      </c>
      <c r="AX194" s="137">
        <f t="shared" si="48"/>
        <v>49.215088299999998</v>
      </c>
      <c r="AY194" s="137">
        <f t="shared" si="49"/>
        <v>8.0221937380000004</v>
      </c>
      <c r="AZ194" s="137">
        <f t="shared" si="50"/>
        <v>2.1388187736999999E-2</v>
      </c>
      <c r="BA194" s="137">
        <f t="shared" si="51"/>
        <v>34.468922307</v>
      </c>
      <c r="BB194" s="137">
        <f t="shared" si="52"/>
        <v>10.20127126</v>
      </c>
      <c r="BC194" s="137">
        <f t="shared" si="53"/>
        <v>6.9778844940000004</v>
      </c>
      <c r="BD194" s="137">
        <f t="shared" si="54"/>
        <v>1.8364527352999999E-2</v>
      </c>
      <c r="BE194" s="137">
        <f t="shared" si="55"/>
        <v>10.459213852</v>
      </c>
      <c r="BF194" s="137">
        <f t="shared" si="56"/>
        <v>-9.7727103910000002E-3</v>
      </c>
      <c r="BG194" s="137">
        <f t="shared" si="57"/>
        <v>2.1891086228000002E-5</v>
      </c>
      <c r="BH194" s="137">
        <f t="shared" si="58"/>
        <v>0.18407069968000001</v>
      </c>
      <c r="BI194" s="137">
        <f t="shared" si="59"/>
        <v>0.39682407820999999</v>
      </c>
      <c r="BJ194" s="137">
        <f t="shared" si="60"/>
        <v>0.37859344814000001</v>
      </c>
      <c r="BK194" s="137">
        <f t="shared" si="61"/>
        <v>2.2912556805000001E-2</v>
      </c>
      <c r="BL194" s="137">
        <f t="shared" si="62"/>
        <v>3.8976200412000002</v>
      </c>
      <c r="BM194" s="137">
        <f t="shared" si="63"/>
        <v>0.41716392634999999</v>
      </c>
    </row>
    <row r="195" spans="1:65" x14ac:dyDescent="0.25">
      <c r="A195" s="149">
        <v>211</v>
      </c>
      <c r="B195" s="149">
        <v>43</v>
      </c>
      <c r="C195" s="61">
        <v>43.197862000000001</v>
      </c>
      <c r="D195" s="61">
        <v>-70.873670000000004</v>
      </c>
      <c r="E195" s="61" t="s">
        <v>265</v>
      </c>
      <c r="F195" s="149">
        <v>53</v>
      </c>
      <c r="G195" s="61" t="s">
        <v>565</v>
      </c>
      <c r="H195" s="61" t="s">
        <v>634</v>
      </c>
      <c r="I195" s="61">
        <v>42.365613000000003</v>
      </c>
      <c r="J195" s="61">
        <v>-71.009559999999993</v>
      </c>
      <c r="K195" s="61">
        <v>127.17130450000001</v>
      </c>
      <c r="L195" s="61">
        <v>104.06699999999999</v>
      </c>
      <c r="M195" s="61" t="s">
        <v>617</v>
      </c>
      <c r="N195" s="149">
        <v>42</v>
      </c>
      <c r="O195" s="149">
        <v>43</v>
      </c>
      <c r="P195" s="61" t="s">
        <v>565</v>
      </c>
      <c r="Q195" s="61" t="s">
        <v>555</v>
      </c>
      <c r="R195" s="61">
        <v>40.6895314</v>
      </c>
      <c r="S195" s="61">
        <v>-74.174462399999996</v>
      </c>
      <c r="T195" s="61">
        <v>459.83100000000002</v>
      </c>
      <c r="U195" s="61" t="s">
        <v>617</v>
      </c>
      <c r="V195" s="61" t="s">
        <v>617</v>
      </c>
      <c r="W195" s="61"/>
      <c r="Y195" s="137">
        <f>Summary_LCIA!H$32</f>
        <v>0.33979999999999999</v>
      </c>
      <c r="Z195" s="137">
        <f>Summary_LCIA!Q$32</f>
        <v>4.9560504329999997</v>
      </c>
      <c r="AA195" s="137">
        <f>Summary_LCIA!R$32</f>
        <v>5.2655999999999996E-3</v>
      </c>
      <c r="AB195" s="137">
        <f>Summary_LCIA!S$32</f>
        <v>0.33538000000000001</v>
      </c>
      <c r="AC195" s="137">
        <f>Summary_LCIA!T$32</f>
        <v>0.1099</v>
      </c>
      <c r="AD195" s="137">
        <f>Summary_LCIA!U$32</f>
        <v>1.7913999999999999E-2</v>
      </c>
      <c r="AE195" s="137">
        <f>Summary_LCIA!V$32</f>
        <v>4.7760999999999999E-5</v>
      </c>
      <c r="AF195" s="137">
        <f>Summary_LCIA!W$32</f>
        <v>7.6970999999999998E-2</v>
      </c>
      <c r="AG195" s="137">
        <f>Summary_LCIA!X$32</f>
        <v>2.2780000000000002E-2</v>
      </c>
      <c r="AH195" s="137">
        <f>Summary_LCIA!Y$32</f>
        <v>1.5582E-2</v>
      </c>
      <c r="AI195" s="137">
        <f>Summary_LCIA!Z$32</f>
        <v>4.1009E-5</v>
      </c>
      <c r="AJ195" s="137">
        <f>Summary_LCIA!AA$32</f>
        <v>2.3355999999999998E-2</v>
      </c>
      <c r="AK195" s="137">
        <f>Summary_LCIA!AB$32</f>
        <v>-2.1823000000000001E-5</v>
      </c>
      <c r="AL195" s="137">
        <f>Summary_LCIA!AC$32</f>
        <v>4.8884000000000003E-8</v>
      </c>
      <c r="AM195" s="137">
        <f>Summary_LCIA!AD$32</f>
        <v>4.1103999999999999E-4</v>
      </c>
      <c r="AN195" s="137">
        <f>Summary_LCIA!AE$32</f>
        <v>8.8612999999999995E-4</v>
      </c>
      <c r="AO195" s="137">
        <f>Summary_LCIA!AF$32</f>
        <v>8.4542000000000005E-4</v>
      </c>
      <c r="AP195" s="137">
        <f>Summary_LCIA!AG$32</f>
        <v>5.1165000000000002E-5</v>
      </c>
      <c r="AQ195" s="137">
        <f>Summary_LCIA!AH$32</f>
        <v>8.7036000000000006E-3</v>
      </c>
      <c r="AR195" s="137">
        <f>Summary_LCIA!AI$32</f>
        <v>9.3154999999999996E-4</v>
      </c>
      <c r="AT195" s="137">
        <f t="shared" ref="AT195:AT205" si="64">$T195*Y195</f>
        <v>156.25057380000001</v>
      </c>
      <c r="AU195" s="137">
        <f t="shared" ref="AU195:AU205" si="65">$T195*Z195</f>
        <v>2278.9456266568232</v>
      </c>
      <c r="AV195" s="137">
        <f t="shared" ref="AV195:AV205" si="66">$T195*AA195</f>
        <v>2.4212861135999999</v>
      </c>
      <c r="AW195" s="137">
        <f t="shared" ref="AW195:AW205" si="67">$T195*AB195</f>
        <v>154.21812078000002</v>
      </c>
      <c r="AX195" s="137">
        <f t="shared" ref="AX195:AX205" si="68">$T195*AC195</f>
        <v>50.535426899999997</v>
      </c>
      <c r="AY195" s="137">
        <f t="shared" ref="AY195:AY205" si="69">$T195*AD195</f>
        <v>8.2374125340000006</v>
      </c>
      <c r="AZ195" s="137">
        <f t="shared" ref="AZ195:AZ205" si="70">$T195*AE195</f>
        <v>2.1961988391000001E-2</v>
      </c>
      <c r="BA195" s="137">
        <f t="shared" ref="BA195:BA205" si="71">$T195*AF195</f>
        <v>35.393651900999998</v>
      </c>
      <c r="BB195" s="137">
        <f t="shared" ref="BB195:BB205" si="72">$T195*AG195</f>
        <v>10.47495018</v>
      </c>
      <c r="BC195" s="137">
        <f t="shared" ref="BC195:BC205" si="73">$T195*AH195</f>
        <v>7.1650866420000003</v>
      </c>
      <c r="BD195" s="137">
        <f t="shared" ref="BD195:BD205" si="74">$T195*AI195</f>
        <v>1.8857209478999999E-2</v>
      </c>
      <c r="BE195" s="137">
        <f t="shared" ref="BE195:BE205" si="75">$T195*AJ195</f>
        <v>10.739812836</v>
      </c>
      <c r="BF195" s="137">
        <f t="shared" ref="BF195:BF205" si="76">$T195*AK195</f>
        <v>-1.0034891913000001E-2</v>
      </c>
      <c r="BG195" s="137">
        <f t="shared" ref="BG195:BG205" si="77">$T195*AL195</f>
        <v>2.2478378604000002E-5</v>
      </c>
      <c r="BH195" s="137">
        <f t="shared" ref="BH195:BH205" si="78">$T195*AM195</f>
        <v>0.18900893424000001</v>
      </c>
      <c r="BI195" s="137">
        <f t="shared" ref="BI195:BI205" si="79">$T195*AN195</f>
        <v>0.40747004402999998</v>
      </c>
      <c r="BJ195" s="137">
        <f t="shared" ref="BJ195:BJ205" si="80">$T195*AO195</f>
        <v>0.38875032402000004</v>
      </c>
      <c r="BK195" s="137">
        <f t="shared" ref="BK195:BK205" si="81">$T195*AP195</f>
        <v>2.3527253115000001E-2</v>
      </c>
      <c r="BL195" s="137">
        <f t="shared" ref="BL195:BL205" si="82">$T195*AQ195</f>
        <v>4.0021850916000004</v>
      </c>
      <c r="BM195" s="137">
        <f t="shared" ref="BM195:BM205" si="83">$T195*AR195</f>
        <v>0.42835556804999997</v>
      </c>
    </row>
    <row r="196" spans="1:65" x14ac:dyDescent="0.25">
      <c r="A196" s="149">
        <v>19</v>
      </c>
      <c r="B196" s="149">
        <v>43</v>
      </c>
      <c r="C196" s="61">
        <v>43.183446000000004</v>
      </c>
      <c r="D196" s="61">
        <v>-70.608591000000004</v>
      </c>
      <c r="E196" s="61" t="s">
        <v>265</v>
      </c>
      <c r="F196" s="149">
        <v>53</v>
      </c>
      <c r="G196" s="61" t="s">
        <v>565</v>
      </c>
      <c r="H196" s="61" t="s">
        <v>634</v>
      </c>
      <c r="I196" s="61">
        <v>42.365613000000003</v>
      </c>
      <c r="J196" s="61">
        <v>-71.009559999999993</v>
      </c>
      <c r="K196" s="61">
        <v>131.74496160000001</v>
      </c>
      <c r="L196" s="61">
        <v>107.55800000000001</v>
      </c>
      <c r="M196" s="61" t="s">
        <v>617</v>
      </c>
      <c r="N196" s="149">
        <v>42</v>
      </c>
      <c r="O196" s="149">
        <v>43</v>
      </c>
      <c r="P196" s="61" t="s">
        <v>565</v>
      </c>
      <c r="Q196" s="61" t="s">
        <v>555</v>
      </c>
      <c r="R196" s="61">
        <v>40.6895314</v>
      </c>
      <c r="S196" s="61">
        <v>-74.174462399999996</v>
      </c>
      <c r="T196" s="61">
        <v>463.322</v>
      </c>
      <c r="U196" s="61" t="s">
        <v>617</v>
      </c>
      <c r="V196" s="61" t="s">
        <v>617</v>
      </c>
      <c r="W196" s="61"/>
      <c r="Y196" s="137">
        <f>Summary_LCIA!H$32</f>
        <v>0.33979999999999999</v>
      </c>
      <c r="Z196" s="137">
        <f>Summary_LCIA!Q$32</f>
        <v>4.9560504329999997</v>
      </c>
      <c r="AA196" s="137">
        <f>Summary_LCIA!R$32</f>
        <v>5.2655999999999996E-3</v>
      </c>
      <c r="AB196" s="137">
        <f>Summary_LCIA!S$32</f>
        <v>0.33538000000000001</v>
      </c>
      <c r="AC196" s="137">
        <f>Summary_LCIA!T$32</f>
        <v>0.1099</v>
      </c>
      <c r="AD196" s="137">
        <f>Summary_LCIA!U$32</f>
        <v>1.7913999999999999E-2</v>
      </c>
      <c r="AE196" s="137">
        <f>Summary_LCIA!V$32</f>
        <v>4.7760999999999999E-5</v>
      </c>
      <c r="AF196" s="137">
        <f>Summary_LCIA!W$32</f>
        <v>7.6970999999999998E-2</v>
      </c>
      <c r="AG196" s="137">
        <f>Summary_LCIA!X$32</f>
        <v>2.2780000000000002E-2</v>
      </c>
      <c r="AH196" s="137">
        <f>Summary_LCIA!Y$32</f>
        <v>1.5582E-2</v>
      </c>
      <c r="AI196" s="137">
        <f>Summary_LCIA!Z$32</f>
        <v>4.1009E-5</v>
      </c>
      <c r="AJ196" s="137">
        <f>Summary_LCIA!AA$32</f>
        <v>2.3355999999999998E-2</v>
      </c>
      <c r="AK196" s="137">
        <f>Summary_LCIA!AB$32</f>
        <v>-2.1823000000000001E-5</v>
      </c>
      <c r="AL196" s="137">
        <f>Summary_LCIA!AC$32</f>
        <v>4.8884000000000003E-8</v>
      </c>
      <c r="AM196" s="137">
        <f>Summary_LCIA!AD$32</f>
        <v>4.1103999999999999E-4</v>
      </c>
      <c r="AN196" s="137">
        <f>Summary_LCIA!AE$32</f>
        <v>8.8612999999999995E-4</v>
      </c>
      <c r="AO196" s="137">
        <f>Summary_LCIA!AF$32</f>
        <v>8.4542000000000005E-4</v>
      </c>
      <c r="AP196" s="137">
        <f>Summary_LCIA!AG$32</f>
        <v>5.1165000000000002E-5</v>
      </c>
      <c r="AQ196" s="137">
        <f>Summary_LCIA!AH$32</f>
        <v>8.7036000000000006E-3</v>
      </c>
      <c r="AR196" s="137">
        <f>Summary_LCIA!AI$32</f>
        <v>9.3154999999999996E-4</v>
      </c>
      <c r="AT196" s="137">
        <f t="shared" si="64"/>
        <v>157.43681559999999</v>
      </c>
      <c r="AU196" s="137">
        <f t="shared" si="65"/>
        <v>2296.2471987184258</v>
      </c>
      <c r="AV196" s="137">
        <f t="shared" si="66"/>
        <v>2.4396683231999998</v>
      </c>
      <c r="AW196" s="137">
        <f t="shared" si="67"/>
        <v>155.38893236000001</v>
      </c>
      <c r="AX196" s="137">
        <f t="shared" si="68"/>
        <v>50.9190878</v>
      </c>
      <c r="AY196" s="137">
        <f t="shared" si="69"/>
        <v>8.2999503079999997</v>
      </c>
      <c r="AZ196" s="137">
        <f t="shared" si="70"/>
        <v>2.2128722042000001E-2</v>
      </c>
      <c r="BA196" s="137">
        <f t="shared" si="71"/>
        <v>35.662357661999998</v>
      </c>
      <c r="BB196" s="137">
        <f t="shared" si="72"/>
        <v>10.554475160000001</v>
      </c>
      <c r="BC196" s="137">
        <f t="shared" si="73"/>
        <v>7.219483404</v>
      </c>
      <c r="BD196" s="137">
        <f t="shared" si="74"/>
        <v>1.9000371897999999E-2</v>
      </c>
      <c r="BE196" s="137">
        <f t="shared" si="75"/>
        <v>10.821348631999999</v>
      </c>
      <c r="BF196" s="137">
        <f t="shared" si="76"/>
        <v>-1.0111076006000001E-2</v>
      </c>
      <c r="BG196" s="137">
        <f t="shared" si="77"/>
        <v>2.2649032648000002E-5</v>
      </c>
      <c r="BH196" s="137">
        <f t="shared" si="78"/>
        <v>0.19044387488</v>
      </c>
      <c r="BI196" s="137">
        <f t="shared" si="79"/>
        <v>0.41056352386</v>
      </c>
      <c r="BJ196" s="137">
        <f t="shared" si="80"/>
        <v>0.39170168524000004</v>
      </c>
      <c r="BK196" s="137">
        <f t="shared" si="81"/>
        <v>2.3705870130000001E-2</v>
      </c>
      <c r="BL196" s="137">
        <f t="shared" si="82"/>
        <v>4.0325693592</v>
      </c>
      <c r="BM196" s="137">
        <f t="shared" si="83"/>
        <v>0.43160760909999996</v>
      </c>
    </row>
    <row r="197" spans="1:65" x14ac:dyDescent="0.25">
      <c r="A197" s="149">
        <v>130</v>
      </c>
      <c r="B197" s="149">
        <v>15</v>
      </c>
      <c r="C197" s="61">
        <v>51.048797</v>
      </c>
      <c r="D197" s="61">
        <v>13.721128999999999</v>
      </c>
      <c r="E197" s="61" t="s">
        <v>281</v>
      </c>
      <c r="F197" s="149">
        <v>38</v>
      </c>
      <c r="G197" s="61" t="s">
        <v>567</v>
      </c>
      <c r="H197" s="61" t="s">
        <v>678</v>
      </c>
      <c r="I197" s="61">
        <v>48.353696999999997</v>
      </c>
      <c r="J197" s="61">
        <v>11.775111000000001</v>
      </c>
      <c r="K197" s="61">
        <v>332.0913797</v>
      </c>
      <c r="L197" s="61">
        <v>445.78</v>
      </c>
      <c r="M197" s="61" t="s">
        <v>617</v>
      </c>
      <c r="N197" s="149">
        <v>14</v>
      </c>
      <c r="O197" s="149">
        <v>15</v>
      </c>
      <c r="P197" s="61" t="s">
        <v>567</v>
      </c>
      <c r="Q197" s="61" t="s">
        <v>566</v>
      </c>
      <c r="R197" s="61">
        <v>50.037932599999998</v>
      </c>
      <c r="S197" s="61">
        <v>8.5621518000000005</v>
      </c>
      <c r="T197" s="61">
        <v>467.15100000000001</v>
      </c>
      <c r="U197" s="61" t="s">
        <v>617</v>
      </c>
      <c r="V197" s="61" t="s">
        <v>617</v>
      </c>
      <c r="W197" s="61"/>
      <c r="Y197" s="137">
        <f>Summary_LCIA!H$32</f>
        <v>0.33979999999999999</v>
      </c>
      <c r="Z197" s="137">
        <f>Summary_LCIA!Q$32</f>
        <v>4.9560504329999997</v>
      </c>
      <c r="AA197" s="137">
        <f>Summary_LCIA!R$32</f>
        <v>5.2655999999999996E-3</v>
      </c>
      <c r="AB197" s="137">
        <f>Summary_LCIA!S$32</f>
        <v>0.33538000000000001</v>
      </c>
      <c r="AC197" s="137">
        <f>Summary_LCIA!T$32</f>
        <v>0.1099</v>
      </c>
      <c r="AD197" s="137">
        <f>Summary_LCIA!U$32</f>
        <v>1.7913999999999999E-2</v>
      </c>
      <c r="AE197" s="137">
        <f>Summary_LCIA!V$32</f>
        <v>4.7760999999999999E-5</v>
      </c>
      <c r="AF197" s="137">
        <f>Summary_LCIA!W$32</f>
        <v>7.6970999999999998E-2</v>
      </c>
      <c r="AG197" s="137">
        <f>Summary_LCIA!X$32</f>
        <v>2.2780000000000002E-2</v>
      </c>
      <c r="AH197" s="137">
        <f>Summary_LCIA!Y$32</f>
        <v>1.5582E-2</v>
      </c>
      <c r="AI197" s="137">
        <f>Summary_LCIA!Z$32</f>
        <v>4.1009E-5</v>
      </c>
      <c r="AJ197" s="137">
        <f>Summary_LCIA!AA$32</f>
        <v>2.3355999999999998E-2</v>
      </c>
      <c r="AK197" s="137">
        <f>Summary_LCIA!AB$32</f>
        <v>-2.1823000000000001E-5</v>
      </c>
      <c r="AL197" s="137">
        <f>Summary_LCIA!AC$32</f>
        <v>4.8884000000000003E-8</v>
      </c>
      <c r="AM197" s="137">
        <f>Summary_LCIA!AD$32</f>
        <v>4.1103999999999999E-4</v>
      </c>
      <c r="AN197" s="137">
        <f>Summary_LCIA!AE$32</f>
        <v>8.8612999999999995E-4</v>
      </c>
      <c r="AO197" s="137">
        <f>Summary_LCIA!AF$32</f>
        <v>8.4542000000000005E-4</v>
      </c>
      <c r="AP197" s="137">
        <f>Summary_LCIA!AG$32</f>
        <v>5.1165000000000002E-5</v>
      </c>
      <c r="AQ197" s="137">
        <f>Summary_LCIA!AH$32</f>
        <v>8.7036000000000006E-3</v>
      </c>
      <c r="AR197" s="137">
        <f>Summary_LCIA!AI$32</f>
        <v>9.3154999999999996E-4</v>
      </c>
      <c r="AT197" s="137">
        <f t="shared" si="64"/>
        <v>158.73790980000001</v>
      </c>
      <c r="AU197" s="137">
        <f t="shared" si="65"/>
        <v>2315.2239158263828</v>
      </c>
      <c r="AV197" s="137">
        <f t="shared" si="66"/>
        <v>2.4598303055999997</v>
      </c>
      <c r="AW197" s="137">
        <f t="shared" si="67"/>
        <v>156.67310238000002</v>
      </c>
      <c r="AX197" s="137">
        <f t="shared" si="68"/>
        <v>51.339894899999997</v>
      </c>
      <c r="AY197" s="137">
        <f t="shared" si="69"/>
        <v>8.3685430140000001</v>
      </c>
      <c r="AZ197" s="137">
        <f t="shared" si="70"/>
        <v>2.2311598911E-2</v>
      </c>
      <c r="BA197" s="137">
        <f t="shared" si="71"/>
        <v>35.957079620999998</v>
      </c>
      <c r="BB197" s="137">
        <f t="shared" si="72"/>
        <v>10.641699780000001</v>
      </c>
      <c r="BC197" s="137">
        <f t="shared" si="73"/>
        <v>7.279146882</v>
      </c>
      <c r="BD197" s="137">
        <f t="shared" si="74"/>
        <v>1.9157395359000001E-2</v>
      </c>
      <c r="BE197" s="137">
        <f t="shared" si="75"/>
        <v>10.910778755999999</v>
      </c>
      <c r="BF197" s="137">
        <f t="shared" si="76"/>
        <v>-1.0194636273000001E-2</v>
      </c>
      <c r="BG197" s="137">
        <f t="shared" si="77"/>
        <v>2.2836209484000001E-5</v>
      </c>
      <c r="BH197" s="137">
        <f t="shared" si="78"/>
        <v>0.19201774703999999</v>
      </c>
      <c r="BI197" s="137">
        <f t="shared" si="79"/>
        <v>0.41395651562999997</v>
      </c>
      <c r="BJ197" s="137">
        <f t="shared" si="80"/>
        <v>0.39493879842000001</v>
      </c>
      <c r="BK197" s="137">
        <f t="shared" si="81"/>
        <v>2.3901780915E-2</v>
      </c>
      <c r="BL197" s="137">
        <f t="shared" si="82"/>
        <v>4.0658954436000005</v>
      </c>
      <c r="BM197" s="137">
        <f t="shared" si="83"/>
        <v>0.43517451405000002</v>
      </c>
    </row>
    <row r="198" spans="1:65" x14ac:dyDescent="0.25">
      <c r="A198" s="149">
        <v>204</v>
      </c>
      <c r="B198" s="149">
        <v>6</v>
      </c>
      <c r="C198" s="61">
        <v>42.32226</v>
      </c>
      <c r="D198" s="61">
        <v>-83.176315000000002</v>
      </c>
      <c r="E198" s="61" t="s">
        <v>265</v>
      </c>
      <c r="F198" s="149">
        <v>78</v>
      </c>
      <c r="G198" s="61" t="s">
        <v>615</v>
      </c>
      <c r="H198" s="61" t="s">
        <v>616</v>
      </c>
      <c r="I198" s="61">
        <v>42.216248999999998</v>
      </c>
      <c r="J198" s="61">
        <v>-83.355363999999994</v>
      </c>
      <c r="K198" s="61">
        <v>23.652639489999999</v>
      </c>
      <c r="L198" s="61">
        <v>22.933</v>
      </c>
      <c r="M198" s="61" t="s">
        <v>617</v>
      </c>
      <c r="N198" s="149">
        <v>5</v>
      </c>
      <c r="O198" s="149">
        <v>6</v>
      </c>
      <c r="P198" s="61" t="s">
        <v>565</v>
      </c>
      <c r="Q198" s="61" t="s">
        <v>564</v>
      </c>
      <c r="R198" s="61">
        <v>41.98028</v>
      </c>
      <c r="S198" s="61">
        <v>-87.908997900000003</v>
      </c>
      <c r="T198" s="61">
        <v>471.61900000000003</v>
      </c>
      <c r="U198" s="61" t="s">
        <v>617</v>
      </c>
      <c r="V198" s="61" t="s">
        <v>617</v>
      </c>
      <c r="W198" s="61"/>
      <c r="Y198" s="137">
        <f>Summary_LCIA!H$32</f>
        <v>0.33979999999999999</v>
      </c>
      <c r="Z198" s="137">
        <f>Summary_LCIA!Q$32</f>
        <v>4.9560504329999997</v>
      </c>
      <c r="AA198" s="137">
        <f>Summary_LCIA!R$32</f>
        <v>5.2655999999999996E-3</v>
      </c>
      <c r="AB198" s="137">
        <f>Summary_LCIA!S$32</f>
        <v>0.33538000000000001</v>
      </c>
      <c r="AC198" s="137">
        <f>Summary_LCIA!T$32</f>
        <v>0.1099</v>
      </c>
      <c r="AD198" s="137">
        <f>Summary_LCIA!U$32</f>
        <v>1.7913999999999999E-2</v>
      </c>
      <c r="AE198" s="137">
        <f>Summary_LCIA!V$32</f>
        <v>4.7760999999999999E-5</v>
      </c>
      <c r="AF198" s="137">
        <f>Summary_LCIA!W$32</f>
        <v>7.6970999999999998E-2</v>
      </c>
      <c r="AG198" s="137">
        <f>Summary_LCIA!X$32</f>
        <v>2.2780000000000002E-2</v>
      </c>
      <c r="AH198" s="137">
        <f>Summary_LCIA!Y$32</f>
        <v>1.5582E-2</v>
      </c>
      <c r="AI198" s="137">
        <f>Summary_LCIA!Z$32</f>
        <v>4.1009E-5</v>
      </c>
      <c r="AJ198" s="137">
        <f>Summary_LCIA!AA$32</f>
        <v>2.3355999999999998E-2</v>
      </c>
      <c r="AK198" s="137">
        <f>Summary_LCIA!AB$32</f>
        <v>-2.1823000000000001E-5</v>
      </c>
      <c r="AL198" s="137">
        <f>Summary_LCIA!AC$32</f>
        <v>4.8884000000000003E-8</v>
      </c>
      <c r="AM198" s="137">
        <f>Summary_LCIA!AD$32</f>
        <v>4.1103999999999999E-4</v>
      </c>
      <c r="AN198" s="137">
        <f>Summary_LCIA!AE$32</f>
        <v>8.8612999999999995E-4</v>
      </c>
      <c r="AO198" s="137">
        <f>Summary_LCIA!AF$32</f>
        <v>8.4542000000000005E-4</v>
      </c>
      <c r="AP198" s="137">
        <f>Summary_LCIA!AG$32</f>
        <v>5.1165000000000002E-5</v>
      </c>
      <c r="AQ198" s="137">
        <f>Summary_LCIA!AH$32</f>
        <v>8.7036000000000006E-3</v>
      </c>
      <c r="AR198" s="137">
        <f>Summary_LCIA!AI$32</f>
        <v>9.3154999999999996E-4</v>
      </c>
      <c r="AT198" s="137">
        <f t="shared" si="64"/>
        <v>160.25613620000001</v>
      </c>
      <c r="AU198" s="137">
        <f t="shared" si="65"/>
        <v>2337.367549161027</v>
      </c>
      <c r="AV198" s="137">
        <f t="shared" si="66"/>
        <v>2.4833570063999999</v>
      </c>
      <c r="AW198" s="137">
        <f t="shared" si="67"/>
        <v>158.17158022000001</v>
      </c>
      <c r="AX198" s="137">
        <f t="shared" si="68"/>
        <v>51.830928100000001</v>
      </c>
      <c r="AY198" s="137">
        <f t="shared" si="69"/>
        <v>8.4485827659999995</v>
      </c>
      <c r="AZ198" s="137">
        <f t="shared" si="70"/>
        <v>2.2524995059000002E-2</v>
      </c>
      <c r="BA198" s="137">
        <f t="shared" si="71"/>
        <v>36.300986049000002</v>
      </c>
      <c r="BB198" s="137">
        <f t="shared" si="72"/>
        <v>10.743480820000002</v>
      </c>
      <c r="BC198" s="137">
        <f t="shared" si="73"/>
        <v>7.3487672580000005</v>
      </c>
      <c r="BD198" s="137">
        <f t="shared" si="74"/>
        <v>1.9340623571000002E-2</v>
      </c>
      <c r="BE198" s="137">
        <f t="shared" si="75"/>
        <v>11.015133364</v>
      </c>
      <c r="BF198" s="137">
        <f t="shared" si="76"/>
        <v>-1.0292141437000002E-2</v>
      </c>
      <c r="BG198" s="137">
        <f t="shared" si="77"/>
        <v>2.3054623196000003E-5</v>
      </c>
      <c r="BH198" s="137">
        <f t="shared" si="78"/>
        <v>0.19385427376</v>
      </c>
      <c r="BI198" s="137">
        <f t="shared" si="79"/>
        <v>0.41791574447000002</v>
      </c>
      <c r="BJ198" s="137">
        <f t="shared" si="80"/>
        <v>0.39871613498000003</v>
      </c>
      <c r="BK198" s="137">
        <f t="shared" si="81"/>
        <v>2.4130386135000001E-2</v>
      </c>
      <c r="BL198" s="137">
        <f t="shared" si="82"/>
        <v>4.1047831284000003</v>
      </c>
      <c r="BM198" s="137">
        <f t="shared" si="83"/>
        <v>0.43933667944999999</v>
      </c>
    </row>
    <row r="199" spans="1:65" x14ac:dyDescent="0.25">
      <c r="A199" s="149">
        <v>380</v>
      </c>
      <c r="B199" s="149">
        <v>6</v>
      </c>
      <c r="C199" s="61">
        <v>42.214205999999997</v>
      </c>
      <c r="D199" s="61">
        <v>-83.149923999999999</v>
      </c>
      <c r="E199" s="61" t="s">
        <v>265</v>
      </c>
      <c r="F199" s="149">
        <v>78</v>
      </c>
      <c r="G199" s="61" t="s">
        <v>615</v>
      </c>
      <c r="H199" s="61" t="s">
        <v>616</v>
      </c>
      <c r="I199" s="61">
        <v>42.216248999999998</v>
      </c>
      <c r="J199" s="61">
        <v>-83.355363999999994</v>
      </c>
      <c r="K199" s="61">
        <v>17.006377449999999</v>
      </c>
      <c r="L199" s="61">
        <v>24.92</v>
      </c>
      <c r="M199" s="61" t="s">
        <v>617</v>
      </c>
      <c r="N199" s="149">
        <v>5</v>
      </c>
      <c r="O199" s="149">
        <v>6</v>
      </c>
      <c r="P199" s="61" t="s">
        <v>565</v>
      </c>
      <c r="Q199" s="61" t="s">
        <v>564</v>
      </c>
      <c r="R199" s="61">
        <v>41.98028</v>
      </c>
      <c r="S199" s="61">
        <v>-87.908997900000003</v>
      </c>
      <c r="T199" s="61">
        <v>473.60700000000003</v>
      </c>
      <c r="U199" s="61" t="s">
        <v>617</v>
      </c>
      <c r="V199" s="61" t="s">
        <v>617</v>
      </c>
      <c r="W199" s="61"/>
      <c r="Y199" s="137">
        <f>Summary_LCIA!H$32</f>
        <v>0.33979999999999999</v>
      </c>
      <c r="Z199" s="137">
        <f>Summary_LCIA!Q$32</f>
        <v>4.9560504329999997</v>
      </c>
      <c r="AA199" s="137">
        <f>Summary_LCIA!R$32</f>
        <v>5.2655999999999996E-3</v>
      </c>
      <c r="AB199" s="137">
        <f>Summary_LCIA!S$32</f>
        <v>0.33538000000000001</v>
      </c>
      <c r="AC199" s="137">
        <f>Summary_LCIA!T$32</f>
        <v>0.1099</v>
      </c>
      <c r="AD199" s="137">
        <f>Summary_LCIA!U$32</f>
        <v>1.7913999999999999E-2</v>
      </c>
      <c r="AE199" s="137">
        <f>Summary_LCIA!V$32</f>
        <v>4.7760999999999999E-5</v>
      </c>
      <c r="AF199" s="137">
        <f>Summary_LCIA!W$32</f>
        <v>7.6970999999999998E-2</v>
      </c>
      <c r="AG199" s="137">
        <f>Summary_LCIA!X$32</f>
        <v>2.2780000000000002E-2</v>
      </c>
      <c r="AH199" s="137">
        <f>Summary_LCIA!Y$32</f>
        <v>1.5582E-2</v>
      </c>
      <c r="AI199" s="137">
        <f>Summary_LCIA!Z$32</f>
        <v>4.1009E-5</v>
      </c>
      <c r="AJ199" s="137">
        <f>Summary_LCIA!AA$32</f>
        <v>2.3355999999999998E-2</v>
      </c>
      <c r="AK199" s="137">
        <f>Summary_LCIA!AB$32</f>
        <v>-2.1823000000000001E-5</v>
      </c>
      <c r="AL199" s="137">
        <f>Summary_LCIA!AC$32</f>
        <v>4.8884000000000003E-8</v>
      </c>
      <c r="AM199" s="137">
        <f>Summary_LCIA!AD$32</f>
        <v>4.1103999999999999E-4</v>
      </c>
      <c r="AN199" s="137">
        <f>Summary_LCIA!AE$32</f>
        <v>8.8612999999999995E-4</v>
      </c>
      <c r="AO199" s="137">
        <f>Summary_LCIA!AF$32</f>
        <v>8.4542000000000005E-4</v>
      </c>
      <c r="AP199" s="137">
        <f>Summary_LCIA!AG$32</f>
        <v>5.1165000000000002E-5</v>
      </c>
      <c r="AQ199" s="137">
        <f>Summary_LCIA!AH$32</f>
        <v>8.7036000000000006E-3</v>
      </c>
      <c r="AR199" s="137">
        <f>Summary_LCIA!AI$32</f>
        <v>9.3154999999999996E-4</v>
      </c>
      <c r="AT199" s="137">
        <f t="shared" si="64"/>
        <v>160.93165859999999</v>
      </c>
      <c r="AU199" s="137">
        <f t="shared" si="65"/>
        <v>2347.2201774218311</v>
      </c>
      <c r="AV199" s="137">
        <f t="shared" si="66"/>
        <v>2.4938250192</v>
      </c>
      <c r="AW199" s="137">
        <f t="shared" si="67"/>
        <v>158.83831566000001</v>
      </c>
      <c r="AX199" s="137">
        <f t="shared" si="68"/>
        <v>52.049409300000001</v>
      </c>
      <c r="AY199" s="137">
        <f t="shared" si="69"/>
        <v>8.484195798</v>
      </c>
      <c r="AZ199" s="137">
        <f t="shared" si="70"/>
        <v>2.2619943927000001E-2</v>
      </c>
      <c r="BA199" s="137">
        <f t="shared" si="71"/>
        <v>36.454004396999999</v>
      </c>
      <c r="BB199" s="137">
        <f t="shared" si="72"/>
        <v>10.788767460000001</v>
      </c>
      <c r="BC199" s="137">
        <f t="shared" si="73"/>
        <v>7.379744274000001</v>
      </c>
      <c r="BD199" s="137">
        <f t="shared" si="74"/>
        <v>1.9422149463000003E-2</v>
      </c>
      <c r="BE199" s="137">
        <f t="shared" si="75"/>
        <v>11.061565092</v>
      </c>
      <c r="BF199" s="137">
        <f t="shared" si="76"/>
        <v>-1.0335525561000002E-2</v>
      </c>
      <c r="BG199" s="137">
        <f t="shared" si="77"/>
        <v>2.3151804588000004E-5</v>
      </c>
      <c r="BH199" s="137">
        <f t="shared" si="78"/>
        <v>0.19467142128000001</v>
      </c>
      <c r="BI199" s="137">
        <f t="shared" si="79"/>
        <v>0.41967737091000001</v>
      </c>
      <c r="BJ199" s="137">
        <f t="shared" si="80"/>
        <v>0.40039682994000003</v>
      </c>
      <c r="BK199" s="137">
        <f t="shared" si="81"/>
        <v>2.4232102155000001E-2</v>
      </c>
      <c r="BL199" s="137">
        <f t="shared" si="82"/>
        <v>4.1220858852000006</v>
      </c>
      <c r="BM199" s="137">
        <f t="shared" si="83"/>
        <v>0.44118860085</v>
      </c>
    </row>
    <row r="200" spans="1:65" x14ac:dyDescent="0.25">
      <c r="A200" s="149">
        <v>218</v>
      </c>
      <c r="B200" s="149">
        <v>6</v>
      </c>
      <c r="C200" s="61">
        <v>42.460591999999998</v>
      </c>
      <c r="D200" s="61">
        <v>-83.134647999999999</v>
      </c>
      <c r="E200" s="61" t="s">
        <v>265</v>
      </c>
      <c r="F200" s="149">
        <v>78</v>
      </c>
      <c r="G200" s="61" t="s">
        <v>615</v>
      </c>
      <c r="H200" s="61" t="s">
        <v>616</v>
      </c>
      <c r="I200" s="61">
        <v>42.216248999999998</v>
      </c>
      <c r="J200" s="61">
        <v>-83.355363999999994</v>
      </c>
      <c r="K200" s="61">
        <v>45.359604679999997</v>
      </c>
      <c r="L200" s="61">
        <v>42.874000000000002</v>
      </c>
      <c r="M200" s="61" t="s">
        <v>617</v>
      </c>
      <c r="N200" s="149">
        <v>5</v>
      </c>
      <c r="O200" s="149">
        <v>6</v>
      </c>
      <c r="P200" s="61" t="s">
        <v>565</v>
      </c>
      <c r="Q200" s="61" t="s">
        <v>564</v>
      </c>
      <c r="R200" s="61">
        <v>41.98028</v>
      </c>
      <c r="S200" s="61">
        <v>-87.908997900000003</v>
      </c>
      <c r="T200" s="61">
        <v>482.85399999999998</v>
      </c>
      <c r="U200" s="61" t="s">
        <v>617</v>
      </c>
      <c r="V200" s="61" t="s">
        <v>617</v>
      </c>
      <c r="W200" s="61"/>
      <c r="Y200" s="137">
        <f>Summary_LCIA!H$32</f>
        <v>0.33979999999999999</v>
      </c>
      <c r="Z200" s="137">
        <f>Summary_LCIA!Q$32</f>
        <v>4.9560504329999997</v>
      </c>
      <c r="AA200" s="137">
        <f>Summary_LCIA!R$32</f>
        <v>5.2655999999999996E-3</v>
      </c>
      <c r="AB200" s="137">
        <f>Summary_LCIA!S$32</f>
        <v>0.33538000000000001</v>
      </c>
      <c r="AC200" s="137">
        <f>Summary_LCIA!T$32</f>
        <v>0.1099</v>
      </c>
      <c r="AD200" s="137">
        <f>Summary_LCIA!U$32</f>
        <v>1.7913999999999999E-2</v>
      </c>
      <c r="AE200" s="137">
        <f>Summary_LCIA!V$32</f>
        <v>4.7760999999999999E-5</v>
      </c>
      <c r="AF200" s="137">
        <f>Summary_LCIA!W$32</f>
        <v>7.6970999999999998E-2</v>
      </c>
      <c r="AG200" s="137">
        <f>Summary_LCIA!X$32</f>
        <v>2.2780000000000002E-2</v>
      </c>
      <c r="AH200" s="137">
        <f>Summary_LCIA!Y$32</f>
        <v>1.5582E-2</v>
      </c>
      <c r="AI200" s="137">
        <f>Summary_LCIA!Z$32</f>
        <v>4.1009E-5</v>
      </c>
      <c r="AJ200" s="137">
        <f>Summary_LCIA!AA$32</f>
        <v>2.3355999999999998E-2</v>
      </c>
      <c r="AK200" s="137">
        <f>Summary_LCIA!AB$32</f>
        <v>-2.1823000000000001E-5</v>
      </c>
      <c r="AL200" s="137">
        <f>Summary_LCIA!AC$32</f>
        <v>4.8884000000000003E-8</v>
      </c>
      <c r="AM200" s="137">
        <f>Summary_LCIA!AD$32</f>
        <v>4.1103999999999999E-4</v>
      </c>
      <c r="AN200" s="137">
        <f>Summary_LCIA!AE$32</f>
        <v>8.8612999999999995E-4</v>
      </c>
      <c r="AO200" s="137">
        <f>Summary_LCIA!AF$32</f>
        <v>8.4542000000000005E-4</v>
      </c>
      <c r="AP200" s="137">
        <f>Summary_LCIA!AG$32</f>
        <v>5.1165000000000002E-5</v>
      </c>
      <c r="AQ200" s="137">
        <f>Summary_LCIA!AH$32</f>
        <v>8.7036000000000006E-3</v>
      </c>
      <c r="AR200" s="137">
        <f>Summary_LCIA!AI$32</f>
        <v>9.3154999999999996E-4</v>
      </c>
      <c r="AT200" s="137">
        <f t="shared" si="64"/>
        <v>164.07378919999999</v>
      </c>
      <c r="AU200" s="137">
        <f t="shared" si="65"/>
        <v>2393.0487757757819</v>
      </c>
      <c r="AV200" s="137">
        <f t="shared" si="66"/>
        <v>2.5425160223999996</v>
      </c>
      <c r="AW200" s="137">
        <f t="shared" si="67"/>
        <v>161.93957452000001</v>
      </c>
      <c r="AX200" s="137">
        <f t="shared" si="68"/>
        <v>53.065654599999995</v>
      </c>
      <c r="AY200" s="137">
        <f t="shared" si="69"/>
        <v>8.649846556</v>
      </c>
      <c r="AZ200" s="137">
        <f t="shared" si="70"/>
        <v>2.3061589893999999E-2</v>
      </c>
      <c r="BA200" s="137">
        <f t="shared" si="71"/>
        <v>37.165755233999995</v>
      </c>
      <c r="BB200" s="137">
        <f t="shared" si="72"/>
        <v>10.999414120000001</v>
      </c>
      <c r="BC200" s="137">
        <f t="shared" si="73"/>
        <v>7.523831028</v>
      </c>
      <c r="BD200" s="137">
        <f t="shared" si="74"/>
        <v>1.9801359686000001E-2</v>
      </c>
      <c r="BE200" s="137">
        <f t="shared" si="75"/>
        <v>11.277538023999998</v>
      </c>
      <c r="BF200" s="137">
        <f t="shared" si="76"/>
        <v>-1.0537322842000001E-2</v>
      </c>
      <c r="BG200" s="137">
        <f t="shared" si="77"/>
        <v>2.3603834936000001E-5</v>
      </c>
      <c r="BH200" s="137">
        <f t="shared" si="78"/>
        <v>0.19847230816</v>
      </c>
      <c r="BI200" s="137">
        <f t="shared" si="79"/>
        <v>0.42787141501999998</v>
      </c>
      <c r="BJ200" s="137">
        <f t="shared" si="80"/>
        <v>0.40821442868000002</v>
      </c>
      <c r="BK200" s="137">
        <f t="shared" si="81"/>
        <v>2.470522491E-2</v>
      </c>
      <c r="BL200" s="137">
        <f t="shared" si="82"/>
        <v>4.2025680744000002</v>
      </c>
      <c r="BM200" s="137">
        <f t="shared" si="83"/>
        <v>0.44980264369999995</v>
      </c>
    </row>
    <row r="201" spans="1:65" x14ac:dyDescent="0.25">
      <c r="A201" s="149">
        <v>268</v>
      </c>
      <c r="B201" s="149">
        <v>6</v>
      </c>
      <c r="C201" s="61">
        <v>43.615583000000001</v>
      </c>
      <c r="D201" s="61">
        <v>-84.247212000000005</v>
      </c>
      <c r="E201" s="61" t="s">
        <v>265</v>
      </c>
      <c r="F201" s="149">
        <v>78</v>
      </c>
      <c r="G201" s="61" t="s">
        <v>615</v>
      </c>
      <c r="H201" s="61" t="s">
        <v>616</v>
      </c>
      <c r="I201" s="61">
        <v>42.216248999999998</v>
      </c>
      <c r="J201" s="61">
        <v>-83.355363999999994</v>
      </c>
      <c r="K201" s="61">
        <v>239.54536110000001</v>
      </c>
      <c r="L201" s="61">
        <v>218.8</v>
      </c>
      <c r="M201" s="61" t="s">
        <v>617</v>
      </c>
      <c r="N201" s="149">
        <v>5</v>
      </c>
      <c r="O201" s="149">
        <v>6</v>
      </c>
      <c r="P201" s="61" t="s">
        <v>565</v>
      </c>
      <c r="Q201" s="61" t="s">
        <v>564</v>
      </c>
      <c r="R201" s="61">
        <v>41.98028</v>
      </c>
      <c r="S201" s="61">
        <v>-87.908997900000003</v>
      </c>
      <c r="T201" s="61">
        <v>493.80099999999999</v>
      </c>
      <c r="U201" s="61" t="s">
        <v>617</v>
      </c>
      <c r="V201" s="61" t="s">
        <v>617</v>
      </c>
      <c r="W201" s="61"/>
      <c r="Y201" s="137">
        <f>Summary_LCIA!H$32</f>
        <v>0.33979999999999999</v>
      </c>
      <c r="Z201" s="137">
        <f>Summary_LCIA!Q$32</f>
        <v>4.9560504329999997</v>
      </c>
      <c r="AA201" s="137">
        <f>Summary_LCIA!R$32</f>
        <v>5.2655999999999996E-3</v>
      </c>
      <c r="AB201" s="137">
        <f>Summary_LCIA!S$32</f>
        <v>0.33538000000000001</v>
      </c>
      <c r="AC201" s="137">
        <f>Summary_LCIA!T$32</f>
        <v>0.1099</v>
      </c>
      <c r="AD201" s="137">
        <f>Summary_LCIA!U$32</f>
        <v>1.7913999999999999E-2</v>
      </c>
      <c r="AE201" s="137">
        <f>Summary_LCIA!V$32</f>
        <v>4.7760999999999999E-5</v>
      </c>
      <c r="AF201" s="137">
        <f>Summary_LCIA!W$32</f>
        <v>7.6970999999999998E-2</v>
      </c>
      <c r="AG201" s="137">
        <f>Summary_LCIA!X$32</f>
        <v>2.2780000000000002E-2</v>
      </c>
      <c r="AH201" s="137">
        <f>Summary_LCIA!Y$32</f>
        <v>1.5582E-2</v>
      </c>
      <c r="AI201" s="137">
        <f>Summary_LCIA!Z$32</f>
        <v>4.1009E-5</v>
      </c>
      <c r="AJ201" s="137">
        <f>Summary_LCIA!AA$32</f>
        <v>2.3355999999999998E-2</v>
      </c>
      <c r="AK201" s="137">
        <f>Summary_LCIA!AB$32</f>
        <v>-2.1823000000000001E-5</v>
      </c>
      <c r="AL201" s="137">
        <f>Summary_LCIA!AC$32</f>
        <v>4.8884000000000003E-8</v>
      </c>
      <c r="AM201" s="137">
        <f>Summary_LCIA!AD$32</f>
        <v>4.1103999999999999E-4</v>
      </c>
      <c r="AN201" s="137">
        <f>Summary_LCIA!AE$32</f>
        <v>8.8612999999999995E-4</v>
      </c>
      <c r="AO201" s="137">
        <f>Summary_LCIA!AF$32</f>
        <v>8.4542000000000005E-4</v>
      </c>
      <c r="AP201" s="137">
        <f>Summary_LCIA!AG$32</f>
        <v>5.1165000000000002E-5</v>
      </c>
      <c r="AQ201" s="137">
        <f>Summary_LCIA!AH$32</f>
        <v>8.7036000000000006E-3</v>
      </c>
      <c r="AR201" s="137">
        <f>Summary_LCIA!AI$32</f>
        <v>9.3154999999999996E-4</v>
      </c>
      <c r="AT201" s="137">
        <f t="shared" si="64"/>
        <v>167.7935798</v>
      </c>
      <c r="AU201" s="137">
        <f t="shared" si="65"/>
        <v>2447.302659865833</v>
      </c>
      <c r="AV201" s="137">
        <f t="shared" si="66"/>
        <v>2.6001585455999998</v>
      </c>
      <c r="AW201" s="137">
        <f t="shared" si="67"/>
        <v>165.61097938</v>
      </c>
      <c r="AX201" s="137">
        <f t="shared" si="68"/>
        <v>54.268729899999997</v>
      </c>
      <c r="AY201" s="137">
        <f t="shared" si="69"/>
        <v>8.845951114</v>
      </c>
      <c r="AZ201" s="137">
        <f t="shared" si="70"/>
        <v>2.3584429561E-2</v>
      </c>
      <c r="BA201" s="137">
        <f t="shared" si="71"/>
        <v>38.008356770999995</v>
      </c>
      <c r="BB201" s="137">
        <f t="shared" si="72"/>
        <v>11.24878678</v>
      </c>
      <c r="BC201" s="137">
        <f t="shared" si="73"/>
        <v>7.694407182</v>
      </c>
      <c r="BD201" s="137">
        <f t="shared" si="74"/>
        <v>2.0250285209000001E-2</v>
      </c>
      <c r="BE201" s="137">
        <f t="shared" si="75"/>
        <v>11.533216155999998</v>
      </c>
      <c r="BF201" s="137">
        <f t="shared" si="76"/>
        <v>-1.0776219223E-2</v>
      </c>
      <c r="BG201" s="137">
        <f t="shared" si="77"/>
        <v>2.4138968083999999E-5</v>
      </c>
      <c r="BH201" s="137">
        <f t="shared" si="78"/>
        <v>0.20297196303999998</v>
      </c>
      <c r="BI201" s="137">
        <f t="shared" si="79"/>
        <v>0.43757188012999998</v>
      </c>
      <c r="BJ201" s="137">
        <f t="shared" si="80"/>
        <v>0.41746924142000003</v>
      </c>
      <c r="BK201" s="137">
        <f t="shared" si="81"/>
        <v>2.5265328165E-2</v>
      </c>
      <c r="BL201" s="137">
        <f t="shared" si="82"/>
        <v>4.2978463836000005</v>
      </c>
      <c r="BM201" s="137">
        <f t="shared" si="83"/>
        <v>0.46000032154999998</v>
      </c>
    </row>
    <row r="202" spans="1:65" x14ac:dyDescent="0.25">
      <c r="A202" s="149">
        <v>269</v>
      </c>
      <c r="B202" s="149">
        <v>6</v>
      </c>
      <c r="C202" s="61">
        <v>43.615583000000001</v>
      </c>
      <c r="D202" s="61">
        <v>-84.247212000000005</v>
      </c>
      <c r="E202" s="61" t="s">
        <v>265</v>
      </c>
      <c r="F202" s="149">
        <v>78</v>
      </c>
      <c r="G202" s="61" t="s">
        <v>615</v>
      </c>
      <c r="H202" s="61" t="s">
        <v>616</v>
      </c>
      <c r="I202" s="61">
        <v>42.216248999999998</v>
      </c>
      <c r="J202" s="61">
        <v>-83.355363999999994</v>
      </c>
      <c r="K202" s="61">
        <v>239.54536110000001</v>
      </c>
      <c r="L202" s="61">
        <v>218.8</v>
      </c>
      <c r="M202" s="61" t="s">
        <v>617</v>
      </c>
      <c r="N202" s="149">
        <v>5</v>
      </c>
      <c r="O202" s="149">
        <v>6</v>
      </c>
      <c r="P202" s="61" t="s">
        <v>565</v>
      </c>
      <c r="Q202" s="61" t="s">
        <v>564</v>
      </c>
      <c r="R202" s="61">
        <v>41.98028</v>
      </c>
      <c r="S202" s="61">
        <v>-87.908997900000003</v>
      </c>
      <c r="T202" s="61">
        <v>493.80099999999999</v>
      </c>
      <c r="U202" s="61" t="s">
        <v>617</v>
      </c>
      <c r="V202" s="61" t="s">
        <v>617</v>
      </c>
      <c r="W202" s="61"/>
      <c r="Y202" s="137">
        <f>Summary_LCIA!H$32</f>
        <v>0.33979999999999999</v>
      </c>
      <c r="Z202" s="137">
        <f>Summary_LCIA!Q$32</f>
        <v>4.9560504329999997</v>
      </c>
      <c r="AA202" s="137">
        <f>Summary_LCIA!R$32</f>
        <v>5.2655999999999996E-3</v>
      </c>
      <c r="AB202" s="137">
        <f>Summary_LCIA!S$32</f>
        <v>0.33538000000000001</v>
      </c>
      <c r="AC202" s="137">
        <f>Summary_LCIA!T$32</f>
        <v>0.1099</v>
      </c>
      <c r="AD202" s="137">
        <f>Summary_LCIA!U$32</f>
        <v>1.7913999999999999E-2</v>
      </c>
      <c r="AE202" s="137">
        <f>Summary_LCIA!V$32</f>
        <v>4.7760999999999999E-5</v>
      </c>
      <c r="AF202" s="137">
        <f>Summary_LCIA!W$32</f>
        <v>7.6970999999999998E-2</v>
      </c>
      <c r="AG202" s="137">
        <f>Summary_LCIA!X$32</f>
        <v>2.2780000000000002E-2</v>
      </c>
      <c r="AH202" s="137">
        <f>Summary_LCIA!Y$32</f>
        <v>1.5582E-2</v>
      </c>
      <c r="AI202" s="137">
        <f>Summary_LCIA!Z$32</f>
        <v>4.1009E-5</v>
      </c>
      <c r="AJ202" s="137">
        <f>Summary_LCIA!AA$32</f>
        <v>2.3355999999999998E-2</v>
      </c>
      <c r="AK202" s="137">
        <f>Summary_LCIA!AB$32</f>
        <v>-2.1823000000000001E-5</v>
      </c>
      <c r="AL202" s="137">
        <f>Summary_LCIA!AC$32</f>
        <v>4.8884000000000003E-8</v>
      </c>
      <c r="AM202" s="137">
        <f>Summary_LCIA!AD$32</f>
        <v>4.1103999999999999E-4</v>
      </c>
      <c r="AN202" s="137">
        <f>Summary_LCIA!AE$32</f>
        <v>8.8612999999999995E-4</v>
      </c>
      <c r="AO202" s="137">
        <f>Summary_LCIA!AF$32</f>
        <v>8.4542000000000005E-4</v>
      </c>
      <c r="AP202" s="137">
        <f>Summary_LCIA!AG$32</f>
        <v>5.1165000000000002E-5</v>
      </c>
      <c r="AQ202" s="137">
        <f>Summary_LCIA!AH$32</f>
        <v>8.7036000000000006E-3</v>
      </c>
      <c r="AR202" s="137">
        <f>Summary_LCIA!AI$32</f>
        <v>9.3154999999999996E-4</v>
      </c>
      <c r="AT202" s="137">
        <f t="shared" si="64"/>
        <v>167.7935798</v>
      </c>
      <c r="AU202" s="137">
        <f t="shared" si="65"/>
        <v>2447.302659865833</v>
      </c>
      <c r="AV202" s="137">
        <f t="shared" si="66"/>
        <v>2.6001585455999998</v>
      </c>
      <c r="AW202" s="137">
        <f t="shared" si="67"/>
        <v>165.61097938</v>
      </c>
      <c r="AX202" s="137">
        <f t="shared" si="68"/>
        <v>54.268729899999997</v>
      </c>
      <c r="AY202" s="137">
        <f t="shared" si="69"/>
        <v>8.845951114</v>
      </c>
      <c r="AZ202" s="137">
        <f t="shared" si="70"/>
        <v>2.3584429561E-2</v>
      </c>
      <c r="BA202" s="137">
        <f t="shared" si="71"/>
        <v>38.008356770999995</v>
      </c>
      <c r="BB202" s="137">
        <f t="shared" si="72"/>
        <v>11.24878678</v>
      </c>
      <c r="BC202" s="137">
        <f t="shared" si="73"/>
        <v>7.694407182</v>
      </c>
      <c r="BD202" s="137">
        <f t="shared" si="74"/>
        <v>2.0250285209000001E-2</v>
      </c>
      <c r="BE202" s="137">
        <f t="shared" si="75"/>
        <v>11.533216155999998</v>
      </c>
      <c r="BF202" s="137">
        <f t="shared" si="76"/>
        <v>-1.0776219223E-2</v>
      </c>
      <c r="BG202" s="137">
        <f t="shared" si="77"/>
        <v>2.4138968083999999E-5</v>
      </c>
      <c r="BH202" s="137">
        <f t="shared" si="78"/>
        <v>0.20297196303999998</v>
      </c>
      <c r="BI202" s="137">
        <f t="shared" si="79"/>
        <v>0.43757188012999998</v>
      </c>
      <c r="BJ202" s="137">
        <f t="shared" si="80"/>
        <v>0.41746924142000003</v>
      </c>
      <c r="BK202" s="137">
        <f t="shared" si="81"/>
        <v>2.5265328165E-2</v>
      </c>
      <c r="BL202" s="137">
        <f t="shared" si="82"/>
        <v>4.2978463836000005</v>
      </c>
      <c r="BM202" s="137">
        <f t="shared" si="83"/>
        <v>0.46000032154999998</v>
      </c>
    </row>
    <row r="203" spans="1:65" x14ac:dyDescent="0.25">
      <c r="A203" s="149">
        <v>270</v>
      </c>
      <c r="B203" s="149">
        <v>6</v>
      </c>
      <c r="C203" s="61">
        <v>43.615583000000001</v>
      </c>
      <c r="D203" s="61">
        <v>-84.247212000000005</v>
      </c>
      <c r="E203" s="61" t="s">
        <v>265</v>
      </c>
      <c r="F203" s="149">
        <v>78</v>
      </c>
      <c r="G203" s="61" t="s">
        <v>615</v>
      </c>
      <c r="H203" s="61" t="s">
        <v>616</v>
      </c>
      <c r="I203" s="61">
        <v>42.216248999999998</v>
      </c>
      <c r="J203" s="61">
        <v>-83.355363999999994</v>
      </c>
      <c r="K203" s="61">
        <v>239.54536110000001</v>
      </c>
      <c r="L203" s="61">
        <v>218.8</v>
      </c>
      <c r="M203" s="61" t="s">
        <v>617</v>
      </c>
      <c r="N203" s="149">
        <v>5</v>
      </c>
      <c r="O203" s="149">
        <v>6</v>
      </c>
      <c r="P203" s="61" t="s">
        <v>565</v>
      </c>
      <c r="Q203" s="61" t="s">
        <v>564</v>
      </c>
      <c r="R203" s="61">
        <v>41.98028</v>
      </c>
      <c r="S203" s="61">
        <v>-87.908997900000003</v>
      </c>
      <c r="T203" s="61">
        <v>493.80099999999999</v>
      </c>
      <c r="U203" s="61" t="s">
        <v>617</v>
      </c>
      <c r="V203" s="61" t="s">
        <v>617</v>
      </c>
      <c r="W203" s="61"/>
      <c r="Y203" s="137">
        <f>Summary_LCIA!H$32</f>
        <v>0.33979999999999999</v>
      </c>
      <c r="Z203" s="137">
        <f>Summary_LCIA!Q$32</f>
        <v>4.9560504329999997</v>
      </c>
      <c r="AA203" s="137">
        <f>Summary_LCIA!R$32</f>
        <v>5.2655999999999996E-3</v>
      </c>
      <c r="AB203" s="137">
        <f>Summary_LCIA!S$32</f>
        <v>0.33538000000000001</v>
      </c>
      <c r="AC203" s="137">
        <f>Summary_LCIA!T$32</f>
        <v>0.1099</v>
      </c>
      <c r="AD203" s="137">
        <f>Summary_LCIA!U$32</f>
        <v>1.7913999999999999E-2</v>
      </c>
      <c r="AE203" s="137">
        <f>Summary_LCIA!V$32</f>
        <v>4.7760999999999999E-5</v>
      </c>
      <c r="AF203" s="137">
        <f>Summary_LCIA!W$32</f>
        <v>7.6970999999999998E-2</v>
      </c>
      <c r="AG203" s="137">
        <f>Summary_LCIA!X$32</f>
        <v>2.2780000000000002E-2</v>
      </c>
      <c r="AH203" s="137">
        <f>Summary_LCIA!Y$32</f>
        <v>1.5582E-2</v>
      </c>
      <c r="AI203" s="137">
        <f>Summary_LCIA!Z$32</f>
        <v>4.1009E-5</v>
      </c>
      <c r="AJ203" s="137">
        <f>Summary_LCIA!AA$32</f>
        <v>2.3355999999999998E-2</v>
      </c>
      <c r="AK203" s="137">
        <f>Summary_LCIA!AB$32</f>
        <v>-2.1823000000000001E-5</v>
      </c>
      <c r="AL203" s="137">
        <f>Summary_LCIA!AC$32</f>
        <v>4.8884000000000003E-8</v>
      </c>
      <c r="AM203" s="137">
        <f>Summary_LCIA!AD$32</f>
        <v>4.1103999999999999E-4</v>
      </c>
      <c r="AN203" s="137">
        <f>Summary_LCIA!AE$32</f>
        <v>8.8612999999999995E-4</v>
      </c>
      <c r="AO203" s="137">
        <f>Summary_LCIA!AF$32</f>
        <v>8.4542000000000005E-4</v>
      </c>
      <c r="AP203" s="137">
        <f>Summary_LCIA!AG$32</f>
        <v>5.1165000000000002E-5</v>
      </c>
      <c r="AQ203" s="137">
        <f>Summary_LCIA!AH$32</f>
        <v>8.7036000000000006E-3</v>
      </c>
      <c r="AR203" s="137">
        <f>Summary_LCIA!AI$32</f>
        <v>9.3154999999999996E-4</v>
      </c>
      <c r="AT203" s="137">
        <f t="shared" si="64"/>
        <v>167.7935798</v>
      </c>
      <c r="AU203" s="137">
        <f t="shared" si="65"/>
        <v>2447.302659865833</v>
      </c>
      <c r="AV203" s="137">
        <f t="shared" si="66"/>
        <v>2.6001585455999998</v>
      </c>
      <c r="AW203" s="137">
        <f t="shared" si="67"/>
        <v>165.61097938</v>
      </c>
      <c r="AX203" s="137">
        <f t="shared" si="68"/>
        <v>54.268729899999997</v>
      </c>
      <c r="AY203" s="137">
        <f t="shared" si="69"/>
        <v>8.845951114</v>
      </c>
      <c r="AZ203" s="137">
        <f t="shared" si="70"/>
        <v>2.3584429561E-2</v>
      </c>
      <c r="BA203" s="137">
        <f t="shared" si="71"/>
        <v>38.008356770999995</v>
      </c>
      <c r="BB203" s="137">
        <f t="shared" si="72"/>
        <v>11.24878678</v>
      </c>
      <c r="BC203" s="137">
        <f t="shared" si="73"/>
        <v>7.694407182</v>
      </c>
      <c r="BD203" s="137">
        <f t="shared" si="74"/>
        <v>2.0250285209000001E-2</v>
      </c>
      <c r="BE203" s="137">
        <f t="shared" si="75"/>
        <v>11.533216155999998</v>
      </c>
      <c r="BF203" s="137">
        <f t="shared" si="76"/>
        <v>-1.0776219223E-2</v>
      </c>
      <c r="BG203" s="137">
        <f t="shared" si="77"/>
        <v>2.4138968083999999E-5</v>
      </c>
      <c r="BH203" s="137">
        <f t="shared" si="78"/>
        <v>0.20297196303999998</v>
      </c>
      <c r="BI203" s="137">
        <f t="shared" si="79"/>
        <v>0.43757188012999998</v>
      </c>
      <c r="BJ203" s="137">
        <f t="shared" si="80"/>
        <v>0.41746924142000003</v>
      </c>
      <c r="BK203" s="137">
        <f t="shared" si="81"/>
        <v>2.5265328165E-2</v>
      </c>
      <c r="BL203" s="137">
        <f t="shared" si="82"/>
        <v>4.2978463836000005</v>
      </c>
      <c r="BM203" s="137">
        <f t="shared" si="83"/>
        <v>0.46000032154999998</v>
      </c>
    </row>
    <row r="204" spans="1:65" x14ac:dyDescent="0.25">
      <c r="A204" s="149">
        <v>271</v>
      </c>
      <c r="B204" s="149">
        <v>6</v>
      </c>
      <c r="C204" s="61">
        <v>43.615583000000001</v>
      </c>
      <c r="D204" s="61">
        <v>-84.247212000000005</v>
      </c>
      <c r="E204" s="61" t="s">
        <v>265</v>
      </c>
      <c r="F204" s="149">
        <v>78</v>
      </c>
      <c r="G204" s="61" t="s">
        <v>615</v>
      </c>
      <c r="H204" s="61" t="s">
        <v>616</v>
      </c>
      <c r="I204" s="61">
        <v>42.216248999999998</v>
      </c>
      <c r="J204" s="61">
        <v>-83.355363999999994</v>
      </c>
      <c r="K204" s="61">
        <v>239.54536110000001</v>
      </c>
      <c r="L204" s="61">
        <v>218.8</v>
      </c>
      <c r="M204" s="61" t="s">
        <v>617</v>
      </c>
      <c r="N204" s="149">
        <v>5</v>
      </c>
      <c r="O204" s="149">
        <v>6</v>
      </c>
      <c r="P204" s="61" t="s">
        <v>565</v>
      </c>
      <c r="Q204" s="61" t="s">
        <v>564</v>
      </c>
      <c r="R204" s="61">
        <v>41.98028</v>
      </c>
      <c r="S204" s="61">
        <v>-87.908997900000003</v>
      </c>
      <c r="T204" s="61">
        <v>493.80099999999999</v>
      </c>
      <c r="U204" s="61" t="s">
        <v>617</v>
      </c>
      <c r="V204" s="61" t="s">
        <v>617</v>
      </c>
      <c r="W204" s="61"/>
      <c r="Y204" s="137">
        <f>Summary_LCIA!H$32</f>
        <v>0.33979999999999999</v>
      </c>
      <c r="Z204" s="137">
        <f>Summary_LCIA!Q$32</f>
        <v>4.9560504329999997</v>
      </c>
      <c r="AA204" s="137">
        <f>Summary_LCIA!R$32</f>
        <v>5.2655999999999996E-3</v>
      </c>
      <c r="AB204" s="137">
        <f>Summary_LCIA!S$32</f>
        <v>0.33538000000000001</v>
      </c>
      <c r="AC204" s="137">
        <f>Summary_LCIA!T$32</f>
        <v>0.1099</v>
      </c>
      <c r="AD204" s="137">
        <f>Summary_LCIA!U$32</f>
        <v>1.7913999999999999E-2</v>
      </c>
      <c r="AE204" s="137">
        <f>Summary_LCIA!V$32</f>
        <v>4.7760999999999999E-5</v>
      </c>
      <c r="AF204" s="137">
        <f>Summary_LCIA!W$32</f>
        <v>7.6970999999999998E-2</v>
      </c>
      <c r="AG204" s="137">
        <f>Summary_LCIA!X$32</f>
        <v>2.2780000000000002E-2</v>
      </c>
      <c r="AH204" s="137">
        <f>Summary_LCIA!Y$32</f>
        <v>1.5582E-2</v>
      </c>
      <c r="AI204" s="137">
        <f>Summary_LCIA!Z$32</f>
        <v>4.1009E-5</v>
      </c>
      <c r="AJ204" s="137">
        <f>Summary_LCIA!AA$32</f>
        <v>2.3355999999999998E-2</v>
      </c>
      <c r="AK204" s="137">
        <f>Summary_LCIA!AB$32</f>
        <v>-2.1823000000000001E-5</v>
      </c>
      <c r="AL204" s="137">
        <f>Summary_LCIA!AC$32</f>
        <v>4.8884000000000003E-8</v>
      </c>
      <c r="AM204" s="137">
        <f>Summary_LCIA!AD$32</f>
        <v>4.1103999999999999E-4</v>
      </c>
      <c r="AN204" s="137">
        <f>Summary_LCIA!AE$32</f>
        <v>8.8612999999999995E-4</v>
      </c>
      <c r="AO204" s="137">
        <f>Summary_LCIA!AF$32</f>
        <v>8.4542000000000005E-4</v>
      </c>
      <c r="AP204" s="137">
        <f>Summary_LCIA!AG$32</f>
        <v>5.1165000000000002E-5</v>
      </c>
      <c r="AQ204" s="137">
        <f>Summary_LCIA!AH$32</f>
        <v>8.7036000000000006E-3</v>
      </c>
      <c r="AR204" s="137">
        <f>Summary_LCIA!AI$32</f>
        <v>9.3154999999999996E-4</v>
      </c>
      <c r="AT204" s="137">
        <f t="shared" si="64"/>
        <v>167.7935798</v>
      </c>
      <c r="AU204" s="137">
        <f t="shared" si="65"/>
        <v>2447.302659865833</v>
      </c>
      <c r="AV204" s="137">
        <f t="shared" si="66"/>
        <v>2.6001585455999998</v>
      </c>
      <c r="AW204" s="137">
        <f t="shared" si="67"/>
        <v>165.61097938</v>
      </c>
      <c r="AX204" s="137">
        <f t="shared" si="68"/>
        <v>54.268729899999997</v>
      </c>
      <c r="AY204" s="137">
        <f t="shared" si="69"/>
        <v>8.845951114</v>
      </c>
      <c r="AZ204" s="137">
        <f t="shared" si="70"/>
        <v>2.3584429561E-2</v>
      </c>
      <c r="BA204" s="137">
        <f t="shared" si="71"/>
        <v>38.008356770999995</v>
      </c>
      <c r="BB204" s="137">
        <f t="shared" si="72"/>
        <v>11.24878678</v>
      </c>
      <c r="BC204" s="137">
        <f t="shared" si="73"/>
        <v>7.694407182</v>
      </c>
      <c r="BD204" s="137">
        <f t="shared" si="74"/>
        <v>2.0250285209000001E-2</v>
      </c>
      <c r="BE204" s="137">
        <f t="shared" si="75"/>
        <v>11.533216155999998</v>
      </c>
      <c r="BF204" s="137">
        <f t="shared" si="76"/>
        <v>-1.0776219223E-2</v>
      </c>
      <c r="BG204" s="137">
        <f t="shared" si="77"/>
        <v>2.4138968083999999E-5</v>
      </c>
      <c r="BH204" s="137">
        <f t="shared" si="78"/>
        <v>0.20297196303999998</v>
      </c>
      <c r="BI204" s="137">
        <f t="shared" si="79"/>
        <v>0.43757188012999998</v>
      </c>
      <c r="BJ204" s="137">
        <f t="shared" si="80"/>
        <v>0.41746924142000003</v>
      </c>
      <c r="BK204" s="137">
        <f t="shared" si="81"/>
        <v>2.5265328165E-2</v>
      </c>
      <c r="BL204" s="137">
        <f t="shared" si="82"/>
        <v>4.2978463836000005</v>
      </c>
      <c r="BM204" s="137">
        <f t="shared" si="83"/>
        <v>0.46000032154999998</v>
      </c>
    </row>
    <row r="205" spans="1:65" x14ac:dyDescent="0.25">
      <c r="A205" s="149">
        <v>54</v>
      </c>
      <c r="B205" s="149">
        <v>6</v>
      </c>
      <c r="C205" s="61">
        <v>42.698954000000001</v>
      </c>
      <c r="D205" s="61">
        <v>-83.249512999999993</v>
      </c>
      <c r="E205" s="61" t="s">
        <v>265</v>
      </c>
      <c r="F205" s="149">
        <v>78</v>
      </c>
      <c r="G205" s="61" t="s">
        <v>615</v>
      </c>
      <c r="H205" s="61" t="s">
        <v>616</v>
      </c>
      <c r="I205" s="61">
        <v>42.216248999999998</v>
      </c>
      <c r="J205" s="61">
        <v>-83.355363999999994</v>
      </c>
      <c r="K205" s="61">
        <v>80.862537599999996</v>
      </c>
      <c r="L205" s="61">
        <v>80.61</v>
      </c>
      <c r="M205" s="61" t="s">
        <v>617</v>
      </c>
      <c r="N205" s="149">
        <v>5</v>
      </c>
      <c r="O205" s="149">
        <v>6</v>
      </c>
      <c r="P205" s="61" t="s">
        <v>565</v>
      </c>
      <c r="Q205" s="61" t="s">
        <v>564</v>
      </c>
      <c r="R205" s="61">
        <v>41.98028</v>
      </c>
      <c r="S205" s="61">
        <v>-87.908997900000003</v>
      </c>
      <c r="T205" s="61">
        <v>497.61799999999999</v>
      </c>
      <c r="U205" s="61" t="s">
        <v>617</v>
      </c>
      <c r="V205" s="61" t="s">
        <v>617</v>
      </c>
      <c r="W205" s="61"/>
      <c r="Y205" s="137">
        <f>Summary_LCIA!H$32</f>
        <v>0.33979999999999999</v>
      </c>
      <c r="Z205" s="137">
        <f>Summary_LCIA!Q$32</f>
        <v>4.9560504329999997</v>
      </c>
      <c r="AA205" s="137">
        <f>Summary_LCIA!R$32</f>
        <v>5.2655999999999996E-3</v>
      </c>
      <c r="AB205" s="137">
        <f>Summary_LCIA!S$32</f>
        <v>0.33538000000000001</v>
      </c>
      <c r="AC205" s="137">
        <f>Summary_LCIA!T$32</f>
        <v>0.1099</v>
      </c>
      <c r="AD205" s="137">
        <f>Summary_LCIA!U$32</f>
        <v>1.7913999999999999E-2</v>
      </c>
      <c r="AE205" s="137">
        <f>Summary_LCIA!V$32</f>
        <v>4.7760999999999999E-5</v>
      </c>
      <c r="AF205" s="137">
        <f>Summary_LCIA!W$32</f>
        <v>7.6970999999999998E-2</v>
      </c>
      <c r="AG205" s="137">
        <f>Summary_LCIA!X$32</f>
        <v>2.2780000000000002E-2</v>
      </c>
      <c r="AH205" s="137">
        <f>Summary_LCIA!Y$32</f>
        <v>1.5582E-2</v>
      </c>
      <c r="AI205" s="137">
        <f>Summary_LCIA!Z$32</f>
        <v>4.1009E-5</v>
      </c>
      <c r="AJ205" s="137">
        <f>Summary_LCIA!AA$32</f>
        <v>2.3355999999999998E-2</v>
      </c>
      <c r="AK205" s="137">
        <f>Summary_LCIA!AB$32</f>
        <v>-2.1823000000000001E-5</v>
      </c>
      <c r="AL205" s="137">
        <f>Summary_LCIA!AC$32</f>
        <v>4.8884000000000003E-8</v>
      </c>
      <c r="AM205" s="137">
        <f>Summary_LCIA!AD$32</f>
        <v>4.1103999999999999E-4</v>
      </c>
      <c r="AN205" s="137">
        <f>Summary_LCIA!AE$32</f>
        <v>8.8612999999999995E-4</v>
      </c>
      <c r="AO205" s="137">
        <f>Summary_LCIA!AF$32</f>
        <v>8.4542000000000005E-4</v>
      </c>
      <c r="AP205" s="137">
        <f>Summary_LCIA!AG$32</f>
        <v>5.1165000000000002E-5</v>
      </c>
      <c r="AQ205" s="137">
        <f>Summary_LCIA!AH$32</f>
        <v>8.7036000000000006E-3</v>
      </c>
      <c r="AR205" s="137">
        <f>Summary_LCIA!AI$32</f>
        <v>9.3154999999999996E-4</v>
      </c>
      <c r="AT205" s="137">
        <f t="shared" si="64"/>
        <v>169.09059639999998</v>
      </c>
      <c r="AU205" s="137">
        <f t="shared" si="65"/>
        <v>2466.2199043685937</v>
      </c>
      <c r="AV205" s="137">
        <f t="shared" si="66"/>
        <v>2.6202573407999998</v>
      </c>
      <c r="AW205" s="137">
        <f t="shared" si="67"/>
        <v>166.89112484</v>
      </c>
      <c r="AX205" s="137">
        <f t="shared" si="68"/>
        <v>54.688218200000001</v>
      </c>
      <c r="AY205" s="137">
        <f t="shared" si="69"/>
        <v>8.9143288519999988</v>
      </c>
      <c r="AZ205" s="137">
        <f t="shared" si="70"/>
        <v>2.3766733297999998E-2</v>
      </c>
      <c r="BA205" s="137">
        <f t="shared" si="71"/>
        <v>38.302155077999998</v>
      </c>
      <c r="BB205" s="137">
        <f t="shared" si="72"/>
        <v>11.335738040000001</v>
      </c>
      <c r="BC205" s="137">
        <f t="shared" si="73"/>
        <v>7.7538836760000001</v>
      </c>
      <c r="BD205" s="137">
        <f t="shared" si="74"/>
        <v>2.0406816562E-2</v>
      </c>
      <c r="BE205" s="137">
        <f t="shared" si="75"/>
        <v>11.622366007999998</v>
      </c>
      <c r="BF205" s="137">
        <f t="shared" si="76"/>
        <v>-1.0859517614000001E-2</v>
      </c>
      <c r="BG205" s="137">
        <f t="shared" si="77"/>
        <v>2.4325558312E-5</v>
      </c>
      <c r="BH205" s="137">
        <f t="shared" si="78"/>
        <v>0.20454090272</v>
      </c>
      <c r="BI205" s="137">
        <f t="shared" si="79"/>
        <v>0.44095423833999997</v>
      </c>
      <c r="BJ205" s="137">
        <f t="shared" si="80"/>
        <v>0.42069620956000003</v>
      </c>
      <c r="BK205" s="137">
        <f t="shared" si="81"/>
        <v>2.5460624970000002E-2</v>
      </c>
      <c r="BL205" s="137">
        <f t="shared" si="82"/>
        <v>4.3310680248000004</v>
      </c>
      <c r="BM205" s="137">
        <f t="shared" si="83"/>
        <v>0.46355604789999999</v>
      </c>
    </row>
    <row r="206" spans="1:65" x14ac:dyDescent="0.25">
      <c r="A206" s="149">
        <v>290</v>
      </c>
      <c r="B206" s="149">
        <v>1</v>
      </c>
      <c r="C206" s="61">
        <v>30.421309000000001</v>
      </c>
      <c r="D206" s="61">
        <v>-87.216915</v>
      </c>
      <c r="E206" s="61" t="s">
        <v>265</v>
      </c>
      <c r="F206" s="149">
        <v>98</v>
      </c>
      <c r="G206" s="61" t="s">
        <v>713</v>
      </c>
      <c r="H206" s="61" t="s">
        <v>714</v>
      </c>
      <c r="I206" s="61">
        <v>29.991091000000001</v>
      </c>
      <c r="J206" s="61">
        <v>-90.259230000000002</v>
      </c>
      <c r="K206" s="61">
        <v>302.75969529999998</v>
      </c>
      <c r="L206" s="61">
        <v>342.399</v>
      </c>
      <c r="M206" s="61" t="s">
        <v>617</v>
      </c>
      <c r="N206" s="149">
        <v>0</v>
      </c>
      <c r="O206" s="149">
        <v>1</v>
      </c>
      <c r="P206" s="61" t="s">
        <v>565</v>
      </c>
      <c r="Q206" s="61" t="s">
        <v>558</v>
      </c>
      <c r="R206" s="61">
        <v>33.640728199999998</v>
      </c>
      <c r="S206" s="61">
        <v>-84.427700099999996</v>
      </c>
      <c r="T206" s="61">
        <v>511.80700000000002</v>
      </c>
      <c r="U206" s="61" t="s">
        <v>617</v>
      </c>
      <c r="V206" s="61" t="s">
        <v>569</v>
      </c>
      <c r="W206" s="61" cm="1">
        <f t="array" ref="W206">getDistance(I206,J206,R206,S206)*SA!$B$12</f>
        <v>684.9295606050747</v>
      </c>
      <c r="Y206" s="137">
        <f>Transportation_LCIA!C$61*($W206^Transportation_LCIA!C$60)+Transportation_LCIA!C$62</f>
        <v>0.28171277797067384</v>
      </c>
      <c r="Z206" s="137">
        <f>Transportation_LCIA!D$61*($W206^Transportation_LCIA!D$60)+Transportation_LCIA!D$62</f>
        <v>2.9646761840738769</v>
      </c>
      <c r="AA206" s="137">
        <f>Transportation_LCIA!E$61*($W206^Transportation_LCIA!E$60)+Transportation_LCIA!E$62</f>
        <v>1.49962038839197E-3</v>
      </c>
      <c r="AB206" s="137">
        <f>Transportation_LCIA!F$61*($W206^Transportation_LCIA!F$60)+Transportation_LCIA!F$62</f>
        <v>0.28171277797067384</v>
      </c>
      <c r="AC206" s="137">
        <f>Transportation_LCIA!G$61*($W206^Transportation_LCIA!G$60)+Transportation_LCIA!G$62</f>
        <v>6.9156047955295757E-2</v>
      </c>
      <c r="AD206" s="137">
        <f>Transportation_LCIA!H$61*($W206^Transportation_LCIA!H$60)+Transportation_LCIA!H$62</f>
        <v>3.5528891529682872E-4</v>
      </c>
      <c r="AE206" s="137">
        <f>Transportation_LCIA!I$61*($W206^Transportation_LCIA!I$60)+Transportation_LCIA!I$62</f>
        <v>7.9112346467873038E-6</v>
      </c>
      <c r="AF206" s="137">
        <f>Transportation_LCIA!J$61*($W206^Transportation_LCIA!J$60)+Transportation_LCIA!J$62</f>
        <v>1.1742299303926427E-2</v>
      </c>
      <c r="AG206" s="137">
        <f>Transportation_LCIA!K$61*($W206^Transportation_LCIA!K$60)+Transportation_LCIA!K$62</f>
        <v>1.4980136920504017E-2</v>
      </c>
      <c r="AH206" s="137">
        <f>Transportation_LCIA!L$61*($W206^Transportation_LCIA!L$60)+Transportation_LCIA!L$62</f>
        <v>3.1220027515138209E-4</v>
      </c>
      <c r="AI206" s="137">
        <f>Transportation_LCIA!M$61*($W206^Transportation_LCIA!M$60)+Transportation_LCIA!M$62</f>
        <v>2.8693875249332572E-4</v>
      </c>
      <c r="AJ206" s="137">
        <f>Transportation_LCIA!N$61*($W206^Transportation_LCIA!N$60)+Transportation_LCIA!N$62</f>
        <v>1.2535963817877644E-3</v>
      </c>
      <c r="AK206" s="137">
        <f>Transportation_LCIA!O$61*($W206^Transportation_LCIA!O$60)+Transportation_LCIA!O$62</f>
        <v>7.3154312570151183E-5</v>
      </c>
      <c r="AL206" s="137">
        <f>Transportation_LCIA!P$61*($W206^Transportation_LCIA!P$60)+Transportation_LCIA!P$62</f>
        <v>3.533667277691762E-8</v>
      </c>
      <c r="AM206" s="137">
        <f>Transportation_LCIA!Q$61*($W206^Transportation_LCIA!Q$60)+Transportation_LCIA!Q$62</f>
        <v>1.2326447148988223E-4</v>
      </c>
      <c r="AN206" s="137">
        <f>Transportation_LCIA!R$61*($W206^Transportation_LCIA!R$60)+Transportation_LCIA!R$62</f>
        <v>3.8022797998165921E-4</v>
      </c>
      <c r="AO206" s="137">
        <f>Transportation_LCIA!S$61*($W206^Transportation_LCIA!S$60)+Transportation_LCIA!S$62</f>
        <v>5.6532203628280945E-6</v>
      </c>
      <c r="AP206" s="137">
        <f>Transportation_LCIA!T$61*($W206^Transportation_LCIA!T$60)+Transportation_LCIA!T$62</f>
        <v>5.6532203628280945E-6</v>
      </c>
      <c r="AQ206" s="137">
        <f>Transportation_LCIA!U$61*($W206^Transportation_LCIA!U$60)+Transportation_LCIA!U$62</f>
        <v>8.2084792875426174E-4</v>
      </c>
      <c r="AR206" s="137">
        <f>Transportation_LCIA!V$61*($W206^Transportation_LCIA!V$60)+Transportation_LCIA!V$62</f>
        <v>3.2070306568491105E-4</v>
      </c>
      <c r="AT206" s="137">
        <f>$W206*Y206+$L206*Summary_LCIA!H$32</f>
        <v>309.30058943228858</v>
      </c>
      <c r="AU206" s="137">
        <f>$W206*Z206+$L206*Summary_LCIA!Q$32</f>
        <v>3727.5410683028167</v>
      </c>
      <c r="AV206" s="137">
        <f>$W206*AA206+$L206*Summary_LCIA!R$32</f>
        <v>2.8300705080957234</v>
      </c>
      <c r="AW206" s="137">
        <f>$W206*AB206+$L206*Summary_LCIA!S$32</f>
        <v>307.78718585228864</v>
      </c>
      <c r="AX206" s="137">
        <f>$W206*AC206+$L206*Summary_LCIA!T$32</f>
        <v>84.996671639204195</v>
      </c>
      <c r="AY206" s="137">
        <f>$W206*AD206+$L206*Summary_LCIA!U$32</f>
        <v>6.37708356664211</v>
      </c>
      <c r="AZ206" s="137">
        <f>$W206*AE206+$L206*Summary_LCIA!V$32</f>
        <v>2.1771957109467673E-2</v>
      </c>
      <c r="BA206" s="137">
        <f>$W206*AF206+$L206*Summary_LCIA!W$32</f>
        <v>34.397441331731599</v>
      </c>
      <c r="BB206" s="137">
        <f>$W206*AG206+$L206*Summary_LCIA!X$32</f>
        <v>18.060187818764675</v>
      </c>
      <c r="BC206" s="137">
        <f>$W206*AH206+$L206*Summary_LCIA!Y$32</f>
        <v>5.5490964152802196</v>
      </c>
      <c r="BD206" s="137">
        <f>$W206*AI206+$L206*Summary_LCIA!Z$32</f>
        <v>0.21057427425682185</v>
      </c>
      <c r="BE206" s="137">
        <f>$W206*AJ206+$L206*Summary_LCIA!AA$32</f>
        <v>8.8556962629540035</v>
      </c>
      <c r="BF206" s="137">
        <f>$W206*AK206+$L206*Summary_LCIA!AB$32</f>
        <v>4.2633377788039946E-2</v>
      </c>
      <c r="BG206" s="137">
        <f>$W206*AL206+$L206*Summary_LCIA!AC$32</f>
        <v>4.0940964474339489E-5</v>
      </c>
      <c r="BH206" s="137">
        <f>$W206*AM206+$L206*Summary_LCIA!AD$32</f>
        <v>0.22516716525578179</v>
      </c>
      <c r="BI206" s="137">
        <f>$W206*AN206+$L206*Summary_LCIA!AE$32</f>
        <v>0.56383940912859298</v>
      </c>
      <c r="BJ206" s="137">
        <f>$W206*AO206+$L206*Summary_LCIA!AF$32</f>
        <v>0.29334302031911552</v>
      </c>
      <c r="BK206" s="137">
        <f>$W206*AP206+$L206*Summary_LCIA!AG$32</f>
        <v>2.1390902574115508E-2</v>
      </c>
      <c r="BL206" s="137">
        <f>$W206*AQ206+$L206*Summary_LCIA!AH$32</f>
        <v>3.5423269475652424</v>
      </c>
      <c r="BM206" s="137">
        <f>$W206*AR206+$L206*Summary_LCIA!AI$32</f>
        <v>0.53862079831426657</v>
      </c>
    </row>
    <row r="207" spans="1:65" x14ac:dyDescent="0.25">
      <c r="A207" s="149">
        <v>324</v>
      </c>
      <c r="B207" s="149">
        <v>43</v>
      </c>
      <c r="C207" s="61">
        <v>43.142994000000002</v>
      </c>
      <c r="D207" s="61">
        <v>-77.544745000000006</v>
      </c>
      <c r="E207" s="61" t="s">
        <v>265</v>
      </c>
      <c r="F207" s="149">
        <v>120</v>
      </c>
      <c r="G207" s="61" t="s">
        <v>625</v>
      </c>
      <c r="H207" s="61" t="s">
        <v>626</v>
      </c>
      <c r="I207" s="61">
        <v>42.939706000000001</v>
      </c>
      <c r="J207" s="61">
        <v>-78.729506999999998</v>
      </c>
      <c r="K207" s="61">
        <v>105.8161415</v>
      </c>
      <c r="L207" s="61">
        <v>109.876</v>
      </c>
      <c r="M207" s="61" t="s">
        <v>617</v>
      </c>
      <c r="N207" s="149">
        <v>42</v>
      </c>
      <c r="O207" s="149">
        <v>43</v>
      </c>
      <c r="P207" s="61" t="s">
        <v>565</v>
      </c>
      <c r="Q207" s="61" t="s">
        <v>555</v>
      </c>
      <c r="R207" s="61">
        <v>40.6895314</v>
      </c>
      <c r="S207" s="61">
        <v>-74.174462399999996</v>
      </c>
      <c r="T207" s="61">
        <v>527.03300000000002</v>
      </c>
      <c r="U207" s="61" t="s">
        <v>617</v>
      </c>
      <c r="V207" s="61" t="s">
        <v>569</v>
      </c>
      <c r="W207" s="61" cm="1">
        <f t="array" ref="W207">getDistance(I207,J207,R207,S207)*SA!$B$12</f>
        <v>453.70669460993366</v>
      </c>
      <c r="Y207" s="137">
        <f>Transportation_LCIA!C$61*($W207^Transportation_LCIA!C$60)+Transportation_LCIA!C$62</f>
        <v>0.35179822030380453</v>
      </c>
      <c r="Z207" s="137">
        <f>Transportation_LCIA!D$61*($W207^Transportation_LCIA!D$60)+Transportation_LCIA!D$62</f>
        <v>3.8038685240383758</v>
      </c>
      <c r="AA207" s="137">
        <f>Transportation_LCIA!E$61*($W207^Transportation_LCIA!E$60)+Transportation_LCIA!E$62</f>
        <v>2.0553796700765819E-3</v>
      </c>
      <c r="AB207" s="137">
        <f>Transportation_LCIA!F$61*($W207^Transportation_LCIA!F$60)+Transportation_LCIA!F$62</f>
        <v>0.35179822030380453</v>
      </c>
      <c r="AC207" s="137">
        <f>Transportation_LCIA!G$61*($W207^Transportation_LCIA!G$60)+Transportation_LCIA!G$62</f>
        <v>8.8542301175389054E-2</v>
      </c>
      <c r="AD207" s="137">
        <f>Transportation_LCIA!H$61*($W207^Transportation_LCIA!H$60)+Transportation_LCIA!H$62</f>
        <v>4.7924680402862424E-4</v>
      </c>
      <c r="AE207" s="137">
        <f>Transportation_LCIA!I$61*($W207^Transportation_LCIA!I$60)+Transportation_LCIA!I$62</f>
        <v>1.1104359431323201E-5</v>
      </c>
      <c r="AF207" s="137">
        <f>Transportation_LCIA!J$61*($W207^Transportation_LCIA!J$60)+Transportation_LCIA!J$62</f>
        <v>1.6569820845191208E-2</v>
      </c>
      <c r="AG207" s="137">
        <f>Transportation_LCIA!K$61*($W207^Transportation_LCIA!K$60)+Transportation_LCIA!K$62</f>
        <v>1.9564708397539259E-2</v>
      </c>
      <c r="AH207" s="137">
        <f>Transportation_LCIA!L$61*($W207^Transportation_LCIA!L$60)+Transportation_LCIA!L$62</f>
        <v>4.2690866521771174E-4</v>
      </c>
      <c r="AI207" s="137">
        <f>Transportation_LCIA!M$61*($W207^Transportation_LCIA!M$60)+Transportation_LCIA!M$62</f>
        <v>3.5540325219174092E-4</v>
      </c>
      <c r="AJ207" s="137">
        <f>Transportation_LCIA!N$61*($W207^Transportation_LCIA!N$60)+Transportation_LCIA!N$62</f>
        <v>1.6696019563166051E-3</v>
      </c>
      <c r="AK207" s="137">
        <f>Transportation_LCIA!O$61*($W207^Transportation_LCIA!O$60)+Transportation_LCIA!O$62</f>
        <v>9.376926172545552E-5</v>
      </c>
      <c r="AL207" s="137">
        <f>Transportation_LCIA!P$61*($W207^Transportation_LCIA!P$60)+Transportation_LCIA!P$62</f>
        <v>4.5229183914951175E-8</v>
      </c>
      <c r="AM207" s="137">
        <f>Transportation_LCIA!Q$61*($W207^Transportation_LCIA!Q$60)+Transportation_LCIA!Q$62</f>
        <v>1.6827410039877645E-4</v>
      </c>
      <c r="AN207" s="137">
        <f>Transportation_LCIA!R$61*($W207^Transportation_LCIA!R$60)+Transportation_LCIA!R$62</f>
        <v>5.3343299418952066E-4</v>
      </c>
      <c r="AO207" s="137">
        <f>Transportation_LCIA!S$61*($W207^Transportation_LCIA!S$60)+Transportation_LCIA!S$62</f>
        <v>7.8252838449889344E-6</v>
      </c>
      <c r="AP207" s="137">
        <f>Transportation_LCIA!T$61*($W207^Transportation_LCIA!T$60)+Transportation_LCIA!T$62</f>
        <v>7.8252838449889344E-6</v>
      </c>
      <c r="AQ207" s="137">
        <f>Transportation_LCIA!U$61*($W207^Transportation_LCIA!U$60)+Transportation_LCIA!U$62</f>
        <v>1.1583001340676898E-3</v>
      </c>
      <c r="AR207" s="137">
        <f>Transportation_LCIA!V$61*($W207^Transportation_LCIA!V$60)+Transportation_LCIA!V$62</f>
        <v>4.3832947018607746E-4</v>
      </c>
      <c r="AT207" s="137">
        <f>$W207*Y207+$L207*Summary_LCIA!H$32</f>
        <v>196.94907250369641</v>
      </c>
      <c r="AU207" s="137">
        <f>$W207*Z207+$L207*Summary_LCIA!Q$32</f>
        <v>2270.3916121485263</v>
      </c>
      <c r="AV207" s="137">
        <f>$W207*AA207+$L207*Summary_LCIA!R$32</f>
        <v>1.5111025818789021</v>
      </c>
      <c r="AW207" s="137">
        <f>$W207*AB207+$L207*Summary_LCIA!S$32</f>
        <v>196.4634205836964</v>
      </c>
      <c r="AX207" s="137">
        <f>$W207*AC207+$L207*Summary_LCIA!T$32</f>
        <v>52.24760719944301</v>
      </c>
      <c r="AY207" s="137">
        <f>$W207*AD207+$L207*Summary_LCIA!U$32</f>
        <v>2.1857561473582017</v>
      </c>
      <c r="AZ207" s="137">
        <f>$W207*AE207+$L207*Summary_LCIA!V$32</f>
        <v>1.0285909849346292E-2</v>
      </c>
      <c r="BA207" s="137">
        <f>$W207*AF207+$L207*Summary_LCIA!W$32</f>
        <v>15.975104241950481</v>
      </c>
      <c r="BB207" s="137">
        <f>$W207*AG207+$L207*Summary_LCIA!X$32</f>
        <v>11.37961445805475</v>
      </c>
      <c r="BC207" s="137">
        <f>$W207*AH207+$L207*Summary_LCIA!Y$32</f>
        <v>1.905779151396267</v>
      </c>
      <c r="BD207" s="137">
        <f>$W207*AI207+$L207*Summary_LCIA!Z$32</f>
        <v>0.16575473968953541</v>
      </c>
      <c r="BE207" s="137">
        <f>$W207*AJ207+$L207*Summary_LCIA!AA$32</f>
        <v>3.3237734409146857</v>
      </c>
      <c r="BF207" s="137">
        <f>$W207*AK207+$L207*Summary_LCIA!AB$32</f>
        <v>4.014591784547019E-2</v>
      </c>
      <c r="BG207" s="137">
        <f>$W207*AL207+$L207*Summary_LCIA!AC$32</f>
        <v>2.5891961917957278E-5</v>
      </c>
      <c r="BH207" s="137">
        <f>$W207*AM207+$L207*Summary_LCIA!AD$32</f>
        <v>0.12151051692038897</v>
      </c>
      <c r="BI207" s="137">
        <f>$W207*AN207+$L207*Summary_LCIA!AE$32</f>
        <v>0.33938654046960737</v>
      </c>
      <c r="BJ207" s="137">
        <f>$W207*AO207+$L207*Summary_LCIA!AF$32</f>
        <v>9.6441751587694455E-2</v>
      </c>
      <c r="BK207" s="137">
        <f>$W207*AP207+$L207*Summary_LCIA!AG$32</f>
        <v>9.1721892076944422E-3</v>
      </c>
      <c r="BL207" s="137">
        <f>$W207*AQ207+$L207*Summary_LCIA!AH$32</f>
        <v>1.4818452787940948</v>
      </c>
      <c r="BM207" s="137">
        <f>$W207*AR207+$L207*Summary_LCIA!AI$32</f>
        <v>0.30122800286824869</v>
      </c>
    </row>
    <row r="208" spans="1:65" x14ac:dyDescent="0.25">
      <c r="A208" s="149">
        <v>90</v>
      </c>
      <c r="B208" s="149">
        <v>6</v>
      </c>
      <c r="C208" s="61">
        <v>39.563648000000001</v>
      </c>
      <c r="D208" s="61">
        <v>-84.231724</v>
      </c>
      <c r="E208" s="61" t="s">
        <v>265</v>
      </c>
      <c r="F208" s="149">
        <v>109</v>
      </c>
      <c r="G208" s="61" t="s">
        <v>273</v>
      </c>
      <c r="H208" s="61" t="s">
        <v>665</v>
      </c>
      <c r="I208" s="61">
        <v>39.053274999999999</v>
      </c>
      <c r="J208" s="61">
        <v>-84.663016999999996</v>
      </c>
      <c r="K208" s="61">
        <v>94.489521969999998</v>
      </c>
      <c r="L208" s="61">
        <v>86.263999999999996</v>
      </c>
      <c r="M208" s="61" t="s">
        <v>617</v>
      </c>
      <c r="N208" s="149">
        <v>5</v>
      </c>
      <c r="O208" s="149">
        <v>6</v>
      </c>
      <c r="P208" s="61" t="s">
        <v>565</v>
      </c>
      <c r="Q208" s="61" t="s">
        <v>564</v>
      </c>
      <c r="R208" s="61">
        <v>41.98028</v>
      </c>
      <c r="S208" s="61">
        <v>-87.908997900000003</v>
      </c>
      <c r="T208" s="61">
        <v>528.36800000000005</v>
      </c>
      <c r="U208" s="61" t="s">
        <v>617</v>
      </c>
      <c r="V208" s="61" t="s">
        <v>569</v>
      </c>
      <c r="W208" s="61" cm="1">
        <f t="array" ref="W208">getDistance(I208,J208,R208,S208)*SA!$B$12</f>
        <v>426.22298474711437</v>
      </c>
      <c r="Y208" s="137">
        <f>Transportation_LCIA!C$61*($W208^Transportation_LCIA!C$60)+Transportation_LCIA!C$62</f>
        <v>0.36470937059724018</v>
      </c>
      <c r="Z208" s="137">
        <f>Transportation_LCIA!D$61*($W208^Transportation_LCIA!D$60)+Transportation_LCIA!D$62</f>
        <v>3.9599843643856643</v>
      </c>
      <c r="AA208" s="137">
        <f>Transportation_LCIA!E$61*($W208^Transportation_LCIA!E$60)+Transportation_LCIA!E$62</f>
        <v>2.1590522921276657E-3</v>
      </c>
      <c r="AB208" s="137">
        <f>Transportation_LCIA!F$61*($W208^Transportation_LCIA!F$60)+Transportation_LCIA!F$62</f>
        <v>0.36470937059724018</v>
      </c>
      <c r="AC208" s="137">
        <f>Transportation_LCIA!G$61*($W208^Transportation_LCIA!G$60)+Transportation_LCIA!G$62</f>
        <v>9.2146692060025251E-2</v>
      </c>
      <c r="AD208" s="137">
        <f>Transportation_LCIA!H$61*($W208^Transportation_LCIA!H$60)+Transportation_LCIA!H$62</f>
        <v>5.0249575772855042E-4</v>
      </c>
      <c r="AE208" s="137">
        <f>Transportation_LCIA!I$61*($W208^Transportation_LCIA!I$60)+Transportation_LCIA!I$62</f>
        <v>1.1708483079934808E-5</v>
      </c>
      <c r="AF208" s="137">
        <f>Transportation_LCIA!J$61*($W208^Transportation_LCIA!J$60)+Transportation_LCIA!J$62</f>
        <v>1.7488363461505577E-2</v>
      </c>
      <c r="AG208" s="137">
        <f>Transportation_LCIA!K$61*($W208^Transportation_LCIA!K$60)+Transportation_LCIA!K$62</f>
        <v>2.0421310133522361E-2</v>
      </c>
      <c r="AH208" s="137">
        <f>Transportation_LCIA!L$61*($W208^Transportation_LCIA!L$60)+Transportation_LCIA!L$62</f>
        <v>4.4847627034344826E-4</v>
      </c>
      <c r="AI208" s="137">
        <f>Transportation_LCIA!M$61*($W208^Transportation_LCIA!M$60)+Transportation_LCIA!M$62</f>
        <v>3.6824791490361742E-4</v>
      </c>
      <c r="AJ208" s="137">
        <f>Transportation_LCIA!N$61*($W208^Transportation_LCIA!N$60)+Transportation_LCIA!N$62</f>
        <v>1.7475719590774809E-3</v>
      </c>
      <c r="AK208" s="137">
        <f>Transportation_LCIA!O$61*($W208^Transportation_LCIA!O$60)+Transportation_LCIA!O$62</f>
        <v>9.7603127192632193E-5</v>
      </c>
      <c r="AL208" s="137">
        <f>Transportation_LCIA!P$61*($W208^Transportation_LCIA!P$60)+Transportation_LCIA!P$62</f>
        <v>4.7067607312152108E-8</v>
      </c>
      <c r="AM208" s="137">
        <f>Transportation_LCIA!Q$61*($W208^Transportation_LCIA!Q$60)+Transportation_LCIA!Q$62</f>
        <v>1.7674817037411348E-4</v>
      </c>
      <c r="AN208" s="137">
        <f>Transportation_LCIA!R$61*($W208^Transportation_LCIA!R$60)+Transportation_LCIA!R$62</f>
        <v>5.6242472670821938E-4</v>
      </c>
      <c r="AO208" s="137">
        <f>Transportation_LCIA!S$61*($W208^Transportation_LCIA!S$60)+Transportation_LCIA!S$62</f>
        <v>8.2361540379476893E-6</v>
      </c>
      <c r="AP208" s="137">
        <f>Transportation_LCIA!T$61*($W208^Transportation_LCIA!T$60)+Transportation_LCIA!T$62</f>
        <v>8.2361540379476893E-6</v>
      </c>
      <c r="AQ208" s="137">
        <f>Transportation_LCIA!U$61*($W208^Transportation_LCIA!U$60)+Transportation_LCIA!U$62</f>
        <v>1.2222632354241475E-3</v>
      </c>
      <c r="AR208" s="137">
        <f>Transportation_LCIA!V$61*($W208^Transportation_LCIA!V$60)+Transportation_LCIA!V$62</f>
        <v>4.6051342935052081E-4</v>
      </c>
      <c r="AT208" s="137">
        <f>$W208*Y208+$L208*Summary_LCIA!H$32</f>
        <v>184.76002370119718</v>
      </c>
      <c r="AU208" s="137">
        <f>$W208*Z208+$L208*Summary_LCIA!Q$32</f>
        <v>2115.3650898926744</v>
      </c>
      <c r="AV208" s="137">
        <f>$W208*AA208+$L208*Summary_LCIA!R$32</f>
        <v>1.3744694305757523</v>
      </c>
      <c r="AW208" s="137">
        <f>$W208*AB208+$L208*Summary_LCIA!S$32</f>
        <v>184.37873682119718</v>
      </c>
      <c r="AX208" s="137">
        <f>$W208*AC208+$L208*Summary_LCIA!T$32</f>
        <v>48.755451724397183</v>
      </c>
      <c r="AY208" s="137">
        <f>$W208*AD208+$L208*Summary_LCIA!U$32</f>
        <v>1.7595085376818256</v>
      </c>
      <c r="AZ208" s="137">
        <f>$W208*AE208+$L208*Summary_LCIA!V$32</f>
        <v>9.110479509190899E-3</v>
      </c>
      <c r="BA208" s="137">
        <f>$W208*AF208+$L208*Summary_LCIA!W$32</f>
        <v>14.093768816905282</v>
      </c>
      <c r="BB208" s="137">
        <f>$W208*AG208+$L208*Summary_LCIA!X$32</f>
        <v>10.669125677556393</v>
      </c>
      <c r="BC208" s="137">
        <f>$W208*AH208+$L208*Summary_LCIA!Y$32</f>
        <v>1.5353165425340383</v>
      </c>
      <c r="BD208" s="137">
        <f>$W208*AI208+$L208*Summary_LCIA!Z$32</f>
        <v>0.1604933257931212</v>
      </c>
      <c r="BE208" s="137">
        <f>$W208*AJ208+$L208*Summary_LCIA!AA$32</f>
        <v>2.7596373204583657</v>
      </c>
      <c r="BF208" s="137">
        <f>$W208*AK208+$L208*Summary_LCIA!AB$32</f>
        <v>3.9718156920695934E-2</v>
      </c>
      <c r="BG208" s="137">
        <f>$W208*AL208+$L208*Summary_LCIA!AC$32</f>
        <v>2.4278225449490579E-5</v>
      </c>
      <c r="BH208" s="137">
        <f>$W208*AM208+$L208*Summary_LCIA!AD$32</f>
        <v>0.11079208728544615</v>
      </c>
      <c r="BI208" s="137">
        <f>$W208*AN208+$L208*Summary_LCIA!AE$32</f>
        <v>0.31615946403315737</v>
      </c>
      <c r="BJ208" s="137">
        <f>$W208*AO208+$L208*Summary_LCIA!AF$32</f>
        <v>7.6439749036891061E-2</v>
      </c>
      <c r="BK208" s="137">
        <f>$W208*AP208+$L208*Summary_LCIA!AG$32</f>
        <v>7.9241357168910627E-3</v>
      </c>
      <c r="BL208" s="137">
        <f>$W208*AQ208+$L208*Summary_LCIA!AH$32</f>
        <v>1.271764034749145</v>
      </c>
      <c r="BM208" s="137">
        <f>$W208*AR208+$L208*Summary_LCIA!AI$32</f>
        <v>0.27664063757390833</v>
      </c>
    </row>
    <row r="209" spans="1:65" x14ac:dyDescent="0.25">
      <c r="A209" s="149">
        <v>349</v>
      </c>
      <c r="B209" s="149">
        <v>6</v>
      </c>
      <c r="C209" s="61">
        <v>39.552281000000001</v>
      </c>
      <c r="D209" s="61">
        <v>-84.233271999999999</v>
      </c>
      <c r="E209" s="61" t="s">
        <v>265</v>
      </c>
      <c r="F209" s="149">
        <v>109</v>
      </c>
      <c r="G209" s="61" t="s">
        <v>273</v>
      </c>
      <c r="H209" s="61" t="s">
        <v>665</v>
      </c>
      <c r="I209" s="61">
        <v>39.053274999999999</v>
      </c>
      <c r="J209" s="61">
        <v>-84.663016999999996</v>
      </c>
      <c r="K209" s="61">
        <v>92.693861600000005</v>
      </c>
      <c r="L209" s="61">
        <v>85.906000000000006</v>
      </c>
      <c r="M209" s="61" t="s">
        <v>617</v>
      </c>
      <c r="N209" s="149">
        <v>5</v>
      </c>
      <c r="O209" s="149">
        <v>6</v>
      </c>
      <c r="P209" s="61" t="s">
        <v>565</v>
      </c>
      <c r="Q209" s="61" t="s">
        <v>564</v>
      </c>
      <c r="R209" s="61">
        <v>41.98028</v>
      </c>
      <c r="S209" s="61">
        <v>-87.908997900000003</v>
      </c>
      <c r="T209" s="61">
        <v>529.49400000000003</v>
      </c>
      <c r="U209" s="61" t="s">
        <v>617</v>
      </c>
      <c r="V209" s="61" t="s">
        <v>569</v>
      </c>
      <c r="W209" s="61" cm="1">
        <f t="array" ref="W209">getDistance(I209,J209,R209,S209)*SA!$B$12</f>
        <v>426.22298474711437</v>
      </c>
      <c r="Y209" s="137">
        <f>Transportation_LCIA!C$61*($W209^Transportation_LCIA!C$60)+Transportation_LCIA!C$62</f>
        <v>0.36470937059724018</v>
      </c>
      <c r="Z209" s="137">
        <f>Transportation_LCIA!D$61*($W209^Transportation_LCIA!D$60)+Transportation_LCIA!D$62</f>
        <v>3.9599843643856643</v>
      </c>
      <c r="AA209" s="137">
        <f>Transportation_LCIA!E$61*($W209^Transportation_LCIA!E$60)+Transportation_LCIA!E$62</f>
        <v>2.1590522921276657E-3</v>
      </c>
      <c r="AB209" s="137">
        <f>Transportation_LCIA!F$61*($W209^Transportation_LCIA!F$60)+Transportation_LCIA!F$62</f>
        <v>0.36470937059724018</v>
      </c>
      <c r="AC209" s="137">
        <f>Transportation_LCIA!G$61*($W209^Transportation_LCIA!G$60)+Transportation_LCIA!G$62</f>
        <v>9.2146692060025251E-2</v>
      </c>
      <c r="AD209" s="137">
        <f>Transportation_LCIA!H$61*($W209^Transportation_LCIA!H$60)+Transportation_LCIA!H$62</f>
        <v>5.0249575772855042E-4</v>
      </c>
      <c r="AE209" s="137">
        <f>Transportation_LCIA!I$61*($W209^Transportation_LCIA!I$60)+Transportation_LCIA!I$62</f>
        <v>1.1708483079934808E-5</v>
      </c>
      <c r="AF209" s="137">
        <f>Transportation_LCIA!J$61*($W209^Transportation_LCIA!J$60)+Transportation_LCIA!J$62</f>
        <v>1.7488363461505577E-2</v>
      </c>
      <c r="AG209" s="137">
        <f>Transportation_LCIA!K$61*($W209^Transportation_LCIA!K$60)+Transportation_LCIA!K$62</f>
        <v>2.0421310133522361E-2</v>
      </c>
      <c r="AH209" s="137">
        <f>Transportation_LCIA!L$61*($W209^Transportation_LCIA!L$60)+Transportation_LCIA!L$62</f>
        <v>4.4847627034344826E-4</v>
      </c>
      <c r="AI209" s="137">
        <f>Transportation_LCIA!M$61*($W209^Transportation_LCIA!M$60)+Transportation_LCIA!M$62</f>
        <v>3.6824791490361742E-4</v>
      </c>
      <c r="AJ209" s="137">
        <f>Transportation_LCIA!N$61*($W209^Transportation_LCIA!N$60)+Transportation_LCIA!N$62</f>
        <v>1.7475719590774809E-3</v>
      </c>
      <c r="AK209" s="137">
        <f>Transportation_LCIA!O$61*($W209^Transportation_LCIA!O$60)+Transportation_LCIA!O$62</f>
        <v>9.7603127192632193E-5</v>
      </c>
      <c r="AL209" s="137">
        <f>Transportation_LCIA!P$61*($W209^Transportation_LCIA!P$60)+Transportation_LCIA!P$62</f>
        <v>4.7067607312152108E-8</v>
      </c>
      <c r="AM209" s="137">
        <f>Transportation_LCIA!Q$61*($W209^Transportation_LCIA!Q$60)+Transportation_LCIA!Q$62</f>
        <v>1.7674817037411348E-4</v>
      </c>
      <c r="AN209" s="137">
        <f>Transportation_LCIA!R$61*($W209^Transportation_LCIA!R$60)+Transportation_LCIA!R$62</f>
        <v>5.6242472670821938E-4</v>
      </c>
      <c r="AO209" s="137">
        <f>Transportation_LCIA!S$61*($W209^Transportation_LCIA!S$60)+Transportation_LCIA!S$62</f>
        <v>8.2361540379476893E-6</v>
      </c>
      <c r="AP209" s="137">
        <f>Transportation_LCIA!T$61*($W209^Transportation_LCIA!T$60)+Transportation_LCIA!T$62</f>
        <v>8.2361540379476893E-6</v>
      </c>
      <c r="AQ209" s="137">
        <f>Transportation_LCIA!U$61*($W209^Transportation_LCIA!U$60)+Transportation_LCIA!U$62</f>
        <v>1.2222632354241475E-3</v>
      </c>
      <c r="AR209" s="137">
        <f>Transportation_LCIA!V$61*($W209^Transportation_LCIA!V$60)+Transportation_LCIA!V$62</f>
        <v>4.6051342935052081E-4</v>
      </c>
      <c r="AT209" s="137">
        <f>$W209*Y209+$L209*Summary_LCIA!H$32</f>
        <v>184.63837530119719</v>
      </c>
      <c r="AU209" s="137">
        <f>$W209*Z209+$L209*Summary_LCIA!Q$32</f>
        <v>2113.5908238376605</v>
      </c>
      <c r="AV209" s="137">
        <f>$W209*AA209+$L209*Summary_LCIA!R$32</f>
        <v>1.3725843457757523</v>
      </c>
      <c r="AW209" s="137">
        <f>$W209*AB209+$L209*Summary_LCIA!S$32</f>
        <v>184.2586707811972</v>
      </c>
      <c r="AX209" s="137">
        <f>$W209*AC209+$L209*Summary_LCIA!T$32</f>
        <v>48.716107524397188</v>
      </c>
      <c r="AY209" s="137">
        <f>$W209*AD209+$L209*Summary_LCIA!U$32</f>
        <v>1.7530953256818258</v>
      </c>
      <c r="AZ209" s="137">
        <f>$W209*AE209+$L209*Summary_LCIA!V$32</f>
        <v>9.0933810711909015E-3</v>
      </c>
      <c r="BA209" s="137">
        <f>$W209*AF209+$L209*Summary_LCIA!W$32</f>
        <v>14.066213198905285</v>
      </c>
      <c r="BB209" s="137">
        <f>$W209*AG209+$L209*Summary_LCIA!X$32</f>
        <v>10.660970437556394</v>
      </c>
      <c r="BC209" s="137">
        <f>$W209*AH209+$L209*Summary_LCIA!Y$32</f>
        <v>1.5297381865340385</v>
      </c>
      <c r="BD209" s="137">
        <f>$W209*AI209+$L209*Summary_LCIA!Z$32</f>
        <v>0.16047864457112118</v>
      </c>
      <c r="BE209" s="137">
        <f>$W209*AJ209+$L209*Summary_LCIA!AA$32</f>
        <v>2.7512758724583657</v>
      </c>
      <c r="BF209" s="137">
        <f>$W209*AK209+$L209*Summary_LCIA!AB$32</f>
        <v>3.9725969554695935E-2</v>
      </c>
      <c r="BG209" s="137">
        <f>$W209*AL209+$L209*Summary_LCIA!AC$32</f>
        <v>2.4260724977490579E-5</v>
      </c>
      <c r="BH209" s="137">
        <f>$W209*AM209+$L209*Summary_LCIA!AD$32</f>
        <v>0.11064493496544614</v>
      </c>
      <c r="BI209" s="137">
        <f>$W209*AN209+$L209*Summary_LCIA!AE$32</f>
        <v>0.31584222949315738</v>
      </c>
      <c r="BJ209" s="137">
        <f>$W209*AO209+$L209*Summary_LCIA!AF$32</f>
        <v>7.6137088676891063E-2</v>
      </c>
      <c r="BK209" s="137">
        <f>$W209*AP209+$L209*Summary_LCIA!AG$32</f>
        <v>7.9058186468910635E-3</v>
      </c>
      <c r="BL209" s="137">
        <f>$W209*AQ209+$L209*Summary_LCIA!AH$32</f>
        <v>1.2686481459491452</v>
      </c>
      <c r="BM209" s="137">
        <f>$W209*AR209+$L209*Summary_LCIA!AI$32</f>
        <v>0.27630714267390838</v>
      </c>
    </row>
    <row r="210" spans="1:65" x14ac:dyDescent="0.25">
      <c r="A210" s="149">
        <v>209</v>
      </c>
      <c r="B210" s="149">
        <v>6</v>
      </c>
      <c r="C210" s="61">
        <v>42.810535999999999</v>
      </c>
      <c r="D210" s="61">
        <v>-83.079087000000001</v>
      </c>
      <c r="E210" s="61" t="s">
        <v>265</v>
      </c>
      <c r="F210" s="149">
        <v>78</v>
      </c>
      <c r="G210" s="61" t="s">
        <v>615</v>
      </c>
      <c r="H210" s="61" t="s">
        <v>616</v>
      </c>
      <c r="I210" s="61">
        <v>42.216248999999998</v>
      </c>
      <c r="J210" s="61">
        <v>-83.355363999999994</v>
      </c>
      <c r="K210" s="61">
        <v>102.2416606</v>
      </c>
      <c r="L210" s="61">
        <v>88.736999999999995</v>
      </c>
      <c r="M210" s="61" t="s">
        <v>617</v>
      </c>
      <c r="N210" s="149">
        <v>5</v>
      </c>
      <c r="O210" s="149">
        <v>6</v>
      </c>
      <c r="P210" s="61" t="s">
        <v>565</v>
      </c>
      <c r="Q210" s="61" t="s">
        <v>564</v>
      </c>
      <c r="R210" s="61">
        <v>41.98028</v>
      </c>
      <c r="S210" s="61">
        <v>-87.908997900000003</v>
      </c>
      <c r="T210" s="61">
        <v>532.41999999999996</v>
      </c>
      <c r="U210" s="61" t="s">
        <v>617</v>
      </c>
      <c r="V210" s="61" t="s">
        <v>569</v>
      </c>
      <c r="W210" s="61" cm="1">
        <f t="array" ref="W210">getDistance(I210,J210,R210,S210)*SA!$B$12</f>
        <v>377.55996592631055</v>
      </c>
      <c r="Y210" s="137">
        <f>Transportation_LCIA!C$61*($W210^Transportation_LCIA!C$60)+Transportation_LCIA!C$62</f>
        <v>0.39177321151276934</v>
      </c>
      <c r="Z210" s="137">
        <f>Transportation_LCIA!D$61*($W210^Transportation_LCIA!D$60)+Transportation_LCIA!D$62</f>
        <v>4.2885469298554302</v>
      </c>
      <c r="AA210" s="137">
        <f>Transportation_LCIA!E$61*($W210^Transportation_LCIA!E$60)+Transportation_LCIA!E$62</f>
        <v>2.3774892800205579E-3</v>
      </c>
      <c r="AB210" s="137">
        <f>Transportation_LCIA!F$61*($W210^Transportation_LCIA!F$60)+Transportation_LCIA!F$62</f>
        <v>0.39177321151276934</v>
      </c>
      <c r="AC210" s="137">
        <f>Transportation_LCIA!G$61*($W210^Transportation_LCIA!G$60)+Transportation_LCIA!G$62</f>
        <v>9.9730740674667376E-2</v>
      </c>
      <c r="AD210" s="137">
        <f>Transportation_LCIA!H$61*($W210^Transportation_LCIA!H$60)+Transportation_LCIA!H$62</f>
        <v>5.5159056743946447E-4</v>
      </c>
      <c r="AE210" s="137">
        <f>Transportation_LCIA!I$61*($W210^Transportation_LCIA!I$60)+Transportation_LCIA!I$62</f>
        <v>1.2988810045312625E-5</v>
      </c>
      <c r="AF210" s="137">
        <f>Transportation_LCIA!J$61*($W210^Transportation_LCIA!J$60)+Transportation_LCIA!J$62</f>
        <v>1.9439626149728245E-2</v>
      </c>
      <c r="AG210" s="137">
        <f>Transportation_LCIA!K$61*($W210^Transportation_LCIA!K$60)+Transportation_LCIA!K$62</f>
        <v>2.2227364305679936E-2</v>
      </c>
      <c r="AH210" s="137">
        <f>Transportation_LCIA!L$61*($W210^Transportation_LCIA!L$60)+Transportation_LCIA!L$62</f>
        <v>4.9406726591070139E-4</v>
      </c>
      <c r="AI210" s="137">
        <f>Transportation_LCIA!M$61*($W210^Transportation_LCIA!M$60)+Transportation_LCIA!M$62</f>
        <v>3.9537528709454031E-4</v>
      </c>
      <c r="AJ210" s="137">
        <f>Transportation_LCIA!N$61*($W210^Transportation_LCIA!N$60)+Transportation_LCIA!N$62</f>
        <v>1.9121741222974152E-3</v>
      </c>
      <c r="AK210" s="137">
        <f>Transportation_LCIA!O$61*($W210^Transportation_LCIA!O$60)+Transportation_LCIA!O$62</f>
        <v>1.0567090816044529E-4</v>
      </c>
      <c r="AL210" s="137">
        <f>Transportation_LCIA!P$61*($W210^Transportation_LCIA!P$60)+Transportation_LCIA!P$62</f>
        <v>5.0935129732250114E-8</v>
      </c>
      <c r="AM210" s="137">
        <f>Transportation_LCIA!Q$61*($W210^Transportation_LCIA!Q$60)+Transportation_LCIA!Q$62</f>
        <v>1.9467109253194182E-4</v>
      </c>
      <c r="AN210" s="137">
        <f>Transportation_LCIA!R$61*($W210^Transportation_LCIA!R$60)+Transportation_LCIA!R$62</f>
        <v>6.2387261985424414E-4</v>
      </c>
      <c r="AO210" s="137">
        <f>Transportation_LCIA!S$61*($W210^Transportation_LCIA!S$60)+Transportation_LCIA!S$62</f>
        <v>9.1068518980920511E-6</v>
      </c>
      <c r="AP210" s="137">
        <f>Transportation_LCIA!T$61*($W210^Transportation_LCIA!T$60)+Transportation_LCIA!T$62</f>
        <v>9.1068518980920511E-6</v>
      </c>
      <c r="AQ210" s="137">
        <f>Transportation_LCIA!U$61*($W210^Transportation_LCIA!U$60)+Transportation_LCIA!U$62</f>
        <v>1.3579254338977325E-3</v>
      </c>
      <c r="AR210" s="137">
        <f>Transportation_LCIA!V$61*($W210^Transportation_LCIA!V$60)+Transportation_LCIA!V$62</f>
        <v>5.0746659917131709E-4</v>
      </c>
      <c r="AT210" s="137">
        <f>$W210*Y210+$L210*Summary_LCIA!H$32</f>
        <v>178.07071298960244</v>
      </c>
      <c r="AU210" s="137">
        <f>$W210*Z210+$L210*Summary_LCIA!Q$32</f>
        <v>2058.9686799827209</v>
      </c>
      <c r="AV210" s="137">
        <f>$W210*AA210+$L210*Summary_LCIA!R$32</f>
        <v>1.3648983187547303</v>
      </c>
      <c r="AW210" s="137">
        <f>$W210*AB210+$L210*Summary_LCIA!S$32</f>
        <v>177.67849544960245</v>
      </c>
      <c r="AX210" s="137">
        <f>$W210*AC210+$L210*Summary_LCIA!T$32</f>
        <v>47.406531350933129</v>
      </c>
      <c r="AY210" s="137">
        <f>$W210*AD210+$L210*Summary_LCIA!U$32</f>
        <v>1.7978931338477184</v>
      </c>
      <c r="AZ210" s="137">
        <f>$W210*AE210+$L210*Summary_LCIA!V$32</f>
        <v>9.1422225351315556E-3</v>
      </c>
      <c r="BA210" s="137">
        <f>$W210*AF210+$L210*Summary_LCIA!W$32</f>
        <v>14.169800213711611</v>
      </c>
      <c r="BB210" s="137">
        <f>$W210*AG210+$L210*Summary_LCIA!X$32</f>
        <v>10.413591769884208</v>
      </c>
      <c r="BC210" s="137">
        <f>$W210*AH210+$L210*Summary_LCIA!Y$32</f>
        <v>1.5692399540825497</v>
      </c>
      <c r="BD210" s="137">
        <f>$W210*AI210+$L210*Summary_LCIA!Z$32</f>
        <v>0.15291689555651991</v>
      </c>
      <c r="BE210" s="137">
        <f>$W210*AJ210+$L210*Summary_LCIA!AA$32</f>
        <v>2.794501768459785</v>
      </c>
      <c r="BF210" s="137">
        <f>$W210*AK210+$L210*Summary_LCIA!AB$32</f>
        <v>3.7960596933460017E-2</v>
      </c>
      <c r="BG210" s="137">
        <f>$W210*AL210+$L210*Summary_LCIA!AC$32</f>
        <v>2.3568885354160562E-5</v>
      </c>
      <c r="BH210" s="137">
        <f>$W210*AM210+$L210*Summary_LCIA!AD$32</f>
        <v>0.1099744675431976</v>
      </c>
      <c r="BI210" s="137">
        <f>$W210*AN210+$L210*Summary_LCIA!AE$32</f>
        <v>0.3141818429045265</v>
      </c>
      <c r="BJ210" s="137">
        <f>$W210*AO210+$L210*Summary_LCIA!AF$32</f>
        <v>7.8458417232339595E-2</v>
      </c>
      <c r="BK210" s="137">
        <f>$W210*AP210+$L210*Summary_LCIA!AG$32</f>
        <v>7.9786112973395905E-3</v>
      </c>
      <c r="BL210" s="137">
        <f>$W210*AQ210+$L210*Summary_LCIA!AH$32</f>
        <v>1.2850296337528984</v>
      </c>
      <c r="BM210" s="137">
        <f>$W210*AR210+$L210*Summary_LCIA!AI$32</f>
        <v>0.27426202424186319</v>
      </c>
    </row>
    <row r="211" spans="1:65" x14ac:dyDescent="0.25">
      <c r="A211" s="149">
        <v>10</v>
      </c>
      <c r="B211" s="149">
        <v>43</v>
      </c>
      <c r="C211" s="61">
        <v>43.083925000000001</v>
      </c>
      <c r="D211" s="61">
        <v>-77.674614000000005</v>
      </c>
      <c r="E211" s="61" t="s">
        <v>265</v>
      </c>
      <c r="F211" s="149">
        <v>120</v>
      </c>
      <c r="G211" s="61" t="s">
        <v>625</v>
      </c>
      <c r="H211" s="61" t="s">
        <v>626</v>
      </c>
      <c r="I211" s="61">
        <v>42.939706000000001</v>
      </c>
      <c r="J211" s="61">
        <v>-78.729506999999998</v>
      </c>
      <c r="K211" s="61">
        <v>92.065719849999994</v>
      </c>
      <c r="L211" s="61">
        <v>101.642</v>
      </c>
      <c r="M211" s="61" t="s">
        <v>617</v>
      </c>
      <c r="N211" s="149">
        <v>42</v>
      </c>
      <c r="O211" s="149">
        <v>43</v>
      </c>
      <c r="P211" s="61" t="s">
        <v>565</v>
      </c>
      <c r="Q211" s="61" t="s">
        <v>555</v>
      </c>
      <c r="R211" s="61">
        <v>40.6895314</v>
      </c>
      <c r="S211" s="61">
        <v>-74.174462399999996</v>
      </c>
      <c r="T211" s="61">
        <v>534.476</v>
      </c>
      <c r="U211" s="61" t="s">
        <v>617</v>
      </c>
      <c r="V211" s="61" t="s">
        <v>569</v>
      </c>
      <c r="W211" s="61" cm="1">
        <f t="array" ref="W211">getDistance(I211,J211,R211,S211)*SA!$B$12</f>
        <v>453.70669460993366</v>
      </c>
      <c r="Y211" s="137">
        <f>Transportation_LCIA!C$61*($W211^Transportation_LCIA!C$60)+Transportation_LCIA!C$62</f>
        <v>0.35179822030380453</v>
      </c>
      <c r="Z211" s="137">
        <f>Transportation_LCIA!D$61*($W211^Transportation_LCIA!D$60)+Transportation_LCIA!D$62</f>
        <v>3.8038685240383758</v>
      </c>
      <c r="AA211" s="137">
        <f>Transportation_LCIA!E$61*($W211^Transportation_LCIA!E$60)+Transportation_LCIA!E$62</f>
        <v>2.0553796700765819E-3</v>
      </c>
      <c r="AB211" s="137">
        <f>Transportation_LCIA!F$61*($W211^Transportation_LCIA!F$60)+Transportation_LCIA!F$62</f>
        <v>0.35179822030380453</v>
      </c>
      <c r="AC211" s="137">
        <f>Transportation_LCIA!G$61*($W211^Transportation_LCIA!G$60)+Transportation_LCIA!G$62</f>
        <v>8.8542301175389054E-2</v>
      </c>
      <c r="AD211" s="137">
        <f>Transportation_LCIA!H$61*($W211^Transportation_LCIA!H$60)+Transportation_LCIA!H$62</f>
        <v>4.7924680402862424E-4</v>
      </c>
      <c r="AE211" s="137">
        <f>Transportation_LCIA!I$61*($W211^Transportation_LCIA!I$60)+Transportation_LCIA!I$62</f>
        <v>1.1104359431323201E-5</v>
      </c>
      <c r="AF211" s="137">
        <f>Transportation_LCIA!J$61*($W211^Transportation_LCIA!J$60)+Transportation_LCIA!J$62</f>
        <v>1.6569820845191208E-2</v>
      </c>
      <c r="AG211" s="137">
        <f>Transportation_LCIA!K$61*($W211^Transportation_LCIA!K$60)+Transportation_LCIA!K$62</f>
        <v>1.9564708397539259E-2</v>
      </c>
      <c r="AH211" s="137">
        <f>Transportation_LCIA!L$61*($W211^Transportation_LCIA!L$60)+Transportation_LCIA!L$62</f>
        <v>4.2690866521771174E-4</v>
      </c>
      <c r="AI211" s="137">
        <f>Transportation_LCIA!M$61*($W211^Transportation_LCIA!M$60)+Transportation_LCIA!M$62</f>
        <v>3.5540325219174092E-4</v>
      </c>
      <c r="AJ211" s="137">
        <f>Transportation_LCIA!N$61*($W211^Transportation_LCIA!N$60)+Transportation_LCIA!N$62</f>
        <v>1.6696019563166051E-3</v>
      </c>
      <c r="AK211" s="137">
        <f>Transportation_LCIA!O$61*($W211^Transportation_LCIA!O$60)+Transportation_LCIA!O$62</f>
        <v>9.376926172545552E-5</v>
      </c>
      <c r="AL211" s="137">
        <f>Transportation_LCIA!P$61*($W211^Transportation_LCIA!P$60)+Transportation_LCIA!P$62</f>
        <v>4.5229183914951175E-8</v>
      </c>
      <c r="AM211" s="137">
        <f>Transportation_LCIA!Q$61*($W211^Transportation_LCIA!Q$60)+Transportation_LCIA!Q$62</f>
        <v>1.6827410039877645E-4</v>
      </c>
      <c r="AN211" s="137">
        <f>Transportation_LCIA!R$61*($W211^Transportation_LCIA!R$60)+Transportation_LCIA!R$62</f>
        <v>5.3343299418952066E-4</v>
      </c>
      <c r="AO211" s="137">
        <f>Transportation_LCIA!S$61*($W211^Transportation_LCIA!S$60)+Transportation_LCIA!S$62</f>
        <v>7.8252838449889344E-6</v>
      </c>
      <c r="AP211" s="137">
        <f>Transportation_LCIA!T$61*($W211^Transportation_LCIA!T$60)+Transportation_LCIA!T$62</f>
        <v>7.8252838449889344E-6</v>
      </c>
      <c r="AQ211" s="137">
        <f>Transportation_LCIA!U$61*($W211^Transportation_LCIA!U$60)+Transportation_LCIA!U$62</f>
        <v>1.1583001340676898E-3</v>
      </c>
      <c r="AR211" s="137">
        <f>Transportation_LCIA!V$61*($W211^Transportation_LCIA!V$60)+Transportation_LCIA!V$62</f>
        <v>4.3832947018607746E-4</v>
      </c>
      <c r="AT211" s="137">
        <f>$W211*Y211+$L211*Summary_LCIA!H$32</f>
        <v>194.15115930369643</v>
      </c>
      <c r="AU211" s="137">
        <f>$W211*Z211+$L211*Summary_LCIA!Q$32</f>
        <v>2229.5834928832046</v>
      </c>
      <c r="AV211" s="137">
        <f>$W211*AA211+$L211*Summary_LCIA!R$32</f>
        <v>1.4677456314789019</v>
      </c>
      <c r="AW211" s="137">
        <f>$W211*AB211+$L211*Summary_LCIA!S$32</f>
        <v>193.70190166369642</v>
      </c>
      <c r="AX211" s="137">
        <f>$W211*AC211+$L211*Summary_LCIA!T$32</f>
        <v>51.34269059944301</v>
      </c>
      <c r="AY211" s="137">
        <f>$W211*AD211+$L211*Summary_LCIA!U$32</f>
        <v>2.0382522713582016</v>
      </c>
      <c r="AZ211" s="137">
        <f>$W211*AE211+$L211*Summary_LCIA!V$32</f>
        <v>9.8926457753462926E-3</v>
      </c>
      <c r="BA211" s="137">
        <f>$W211*AF211+$L211*Summary_LCIA!W$32</f>
        <v>15.341325027950479</v>
      </c>
      <c r="BB211" s="137">
        <f>$W211*AG211+$L211*Summary_LCIA!X$32</f>
        <v>11.192043938054749</v>
      </c>
      <c r="BC211" s="137">
        <f>$W211*AH211+$L211*Summary_LCIA!Y$32</f>
        <v>1.7774769633962668</v>
      </c>
      <c r="BD211" s="137">
        <f>$W211*AI211+$L211*Summary_LCIA!Z$32</f>
        <v>0.16541707158353541</v>
      </c>
      <c r="BE211" s="137">
        <f>$W211*AJ211+$L211*Summary_LCIA!AA$32</f>
        <v>3.1314601369146855</v>
      </c>
      <c r="BF211" s="137">
        <f>$W211*AK211+$L211*Summary_LCIA!AB$32</f>
        <v>4.032560842747019E-2</v>
      </c>
      <c r="BG211" s="137">
        <f>$W211*AL211+$L211*Summary_LCIA!AC$32</f>
        <v>2.5489451061957275E-5</v>
      </c>
      <c r="BH211" s="137">
        <f>$W211*AM211+$L211*Summary_LCIA!AD$32</f>
        <v>0.11812601356038899</v>
      </c>
      <c r="BI211" s="137">
        <f>$W211*AN211+$L211*Summary_LCIA!AE$32</f>
        <v>0.33209014604960735</v>
      </c>
      <c r="BJ211" s="137">
        <f>$W211*AO211+$L211*Summary_LCIA!AF$32</f>
        <v>8.9480563307694452E-2</v>
      </c>
      <c r="BK211" s="137">
        <f>$W211*AP211+$L211*Summary_LCIA!AG$32</f>
        <v>8.7508965976944419E-3</v>
      </c>
      <c r="BL211" s="137">
        <f>$W211*AQ211+$L211*Summary_LCIA!AH$32</f>
        <v>1.4101798363940947</v>
      </c>
      <c r="BM211" s="137">
        <f>$W211*AR211+$L211*Summary_LCIA!AI$32</f>
        <v>0.29355762016824866</v>
      </c>
    </row>
    <row r="212" spans="1:65" x14ac:dyDescent="0.25">
      <c r="A212" s="149">
        <v>11</v>
      </c>
      <c r="B212" s="149">
        <v>43</v>
      </c>
      <c r="C212" s="61">
        <v>43.083925000000001</v>
      </c>
      <c r="D212" s="61">
        <v>-77.674614000000005</v>
      </c>
      <c r="E212" s="61" t="s">
        <v>265</v>
      </c>
      <c r="F212" s="149">
        <v>120</v>
      </c>
      <c r="G212" s="61" t="s">
        <v>625</v>
      </c>
      <c r="H212" s="61" t="s">
        <v>626</v>
      </c>
      <c r="I212" s="61">
        <v>42.939706000000001</v>
      </c>
      <c r="J212" s="61">
        <v>-78.729506999999998</v>
      </c>
      <c r="K212" s="61">
        <v>92.065719849999994</v>
      </c>
      <c r="L212" s="61">
        <v>101.642</v>
      </c>
      <c r="M212" s="61" t="s">
        <v>617</v>
      </c>
      <c r="N212" s="149">
        <v>42</v>
      </c>
      <c r="O212" s="149">
        <v>43</v>
      </c>
      <c r="P212" s="61" t="s">
        <v>565</v>
      </c>
      <c r="Q212" s="61" t="s">
        <v>555</v>
      </c>
      <c r="R212" s="61">
        <v>40.6895314</v>
      </c>
      <c r="S212" s="61">
        <v>-74.174462399999996</v>
      </c>
      <c r="T212" s="61">
        <v>534.476</v>
      </c>
      <c r="U212" s="61" t="s">
        <v>617</v>
      </c>
      <c r="V212" s="61" t="s">
        <v>569</v>
      </c>
      <c r="W212" s="61" cm="1">
        <f t="array" ref="W212">getDistance(I212,J212,R212,S212)*SA!$B$12</f>
        <v>453.70669460993366</v>
      </c>
      <c r="Y212" s="137">
        <f>Transportation_LCIA!C$61*($W212^Transportation_LCIA!C$60)+Transportation_LCIA!C$62</f>
        <v>0.35179822030380453</v>
      </c>
      <c r="Z212" s="137">
        <f>Transportation_LCIA!D$61*($W212^Transportation_LCIA!D$60)+Transportation_LCIA!D$62</f>
        <v>3.8038685240383758</v>
      </c>
      <c r="AA212" s="137">
        <f>Transportation_LCIA!E$61*($W212^Transportation_LCIA!E$60)+Transportation_LCIA!E$62</f>
        <v>2.0553796700765819E-3</v>
      </c>
      <c r="AB212" s="137">
        <f>Transportation_LCIA!F$61*($W212^Transportation_LCIA!F$60)+Transportation_LCIA!F$62</f>
        <v>0.35179822030380453</v>
      </c>
      <c r="AC212" s="137">
        <f>Transportation_LCIA!G$61*($W212^Transportation_LCIA!G$60)+Transportation_LCIA!G$62</f>
        <v>8.8542301175389054E-2</v>
      </c>
      <c r="AD212" s="137">
        <f>Transportation_LCIA!H$61*($W212^Transportation_LCIA!H$60)+Transportation_LCIA!H$62</f>
        <v>4.7924680402862424E-4</v>
      </c>
      <c r="AE212" s="137">
        <f>Transportation_LCIA!I$61*($W212^Transportation_LCIA!I$60)+Transportation_LCIA!I$62</f>
        <v>1.1104359431323201E-5</v>
      </c>
      <c r="AF212" s="137">
        <f>Transportation_LCIA!J$61*($W212^Transportation_LCIA!J$60)+Transportation_LCIA!J$62</f>
        <v>1.6569820845191208E-2</v>
      </c>
      <c r="AG212" s="137">
        <f>Transportation_LCIA!K$61*($W212^Transportation_LCIA!K$60)+Transportation_LCIA!K$62</f>
        <v>1.9564708397539259E-2</v>
      </c>
      <c r="AH212" s="137">
        <f>Transportation_LCIA!L$61*($W212^Transportation_LCIA!L$60)+Transportation_LCIA!L$62</f>
        <v>4.2690866521771174E-4</v>
      </c>
      <c r="AI212" s="137">
        <f>Transportation_LCIA!M$61*($W212^Transportation_LCIA!M$60)+Transportation_LCIA!M$62</f>
        <v>3.5540325219174092E-4</v>
      </c>
      <c r="AJ212" s="137">
        <f>Transportation_LCIA!N$61*($W212^Transportation_LCIA!N$60)+Transportation_LCIA!N$62</f>
        <v>1.6696019563166051E-3</v>
      </c>
      <c r="AK212" s="137">
        <f>Transportation_LCIA!O$61*($W212^Transportation_LCIA!O$60)+Transportation_LCIA!O$62</f>
        <v>9.376926172545552E-5</v>
      </c>
      <c r="AL212" s="137">
        <f>Transportation_LCIA!P$61*($W212^Transportation_LCIA!P$60)+Transportation_LCIA!P$62</f>
        <v>4.5229183914951175E-8</v>
      </c>
      <c r="AM212" s="137">
        <f>Transportation_LCIA!Q$61*($W212^Transportation_LCIA!Q$60)+Transportation_LCIA!Q$62</f>
        <v>1.6827410039877645E-4</v>
      </c>
      <c r="AN212" s="137">
        <f>Transportation_LCIA!R$61*($W212^Transportation_LCIA!R$60)+Transportation_LCIA!R$62</f>
        <v>5.3343299418952066E-4</v>
      </c>
      <c r="AO212" s="137">
        <f>Transportation_LCIA!S$61*($W212^Transportation_LCIA!S$60)+Transportation_LCIA!S$62</f>
        <v>7.8252838449889344E-6</v>
      </c>
      <c r="AP212" s="137">
        <f>Transportation_LCIA!T$61*($W212^Transportation_LCIA!T$60)+Transportation_LCIA!T$62</f>
        <v>7.8252838449889344E-6</v>
      </c>
      <c r="AQ212" s="137">
        <f>Transportation_LCIA!U$61*($W212^Transportation_LCIA!U$60)+Transportation_LCIA!U$62</f>
        <v>1.1583001340676898E-3</v>
      </c>
      <c r="AR212" s="137">
        <f>Transportation_LCIA!V$61*($W212^Transportation_LCIA!V$60)+Transportation_LCIA!V$62</f>
        <v>4.3832947018607746E-4</v>
      </c>
      <c r="AT212" s="137">
        <f>$W212*Y212+$L212*Summary_LCIA!H$32</f>
        <v>194.15115930369643</v>
      </c>
      <c r="AU212" s="137">
        <f>$W212*Z212+$L212*Summary_LCIA!Q$32</f>
        <v>2229.5834928832046</v>
      </c>
      <c r="AV212" s="137">
        <f>$W212*AA212+$L212*Summary_LCIA!R$32</f>
        <v>1.4677456314789019</v>
      </c>
      <c r="AW212" s="137">
        <f>$W212*AB212+$L212*Summary_LCIA!S$32</f>
        <v>193.70190166369642</v>
      </c>
      <c r="AX212" s="137">
        <f>$W212*AC212+$L212*Summary_LCIA!T$32</f>
        <v>51.34269059944301</v>
      </c>
      <c r="AY212" s="137">
        <f>$W212*AD212+$L212*Summary_LCIA!U$32</f>
        <v>2.0382522713582016</v>
      </c>
      <c r="AZ212" s="137">
        <f>$W212*AE212+$L212*Summary_LCIA!V$32</f>
        <v>9.8926457753462926E-3</v>
      </c>
      <c r="BA212" s="137">
        <f>$W212*AF212+$L212*Summary_LCIA!W$32</f>
        <v>15.341325027950479</v>
      </c>
      <c r="BB212" s="137">
        <f>$W212*AG212+$L212*Summary_LCIA!X$32</f>
        <v>11.192043938054749</v>
      </c>
      <c r="BC212" s="137">
        <f>$W212*AH212+$L212*Summary_LCIA!Y$32</f>
        <v>1.7774769633962668</v>
      </c>
      <c r="BD212" s="137">
        <f>$W212*AI212+$L212*Summary_LCIA!Z$32</f>
        <v>0.16541707158353541</v>
      </c>
      <c r="BE212" s="137">
        <f>$W212*AJ212+$L212*Summary_LCIA!AA$32</f>
        <v>3.1314601369146855</v>
      </c>
      <c r="BF212" s="137">
        <f>$W212*AK212+$L212*Summary_LCIA!AB$32</f>
        <v>4.032560842747019E-2</v>
      </c>
      <c r="BG212" s="137">
        <f>$W212*AL212+$L212*Summary_LCIA!AC$32</f>
        <v>2.5489451061957275E-5</v>
      </c>
      <c r="BH212" s="137">
        <f>$W212*AM212+$L212*Summary_LCIA!AD$32</f>
        <v>0.11812601356038899</v>
      </c>
      <c r="BI212" s="137">
        <f>$W212*AN212+$L212*Summary_LCIA!AE$32</f>
        <v>0.33209014604960735</v>
      </c>
      <c r="BJ212" s="137">
        <f>$W212*AO212+$L212*Summary_LCIA!AF$32</f>
        <v>8.9480563307694452E-2</v>
      </c>
      <c r="BK212" s="137">
        <f>$W212*AP212+$L212*Summary_LCIA!AG$32</f>
        <v>8.7508965976944419E-3</v>
      </c>
      <c r="BL212" s="137">
        <f>$W212*AQ212+$L212*Summary_LCIA!AH$32</f>
        <v>1.4101798363940947</v>
      </c>
      <c r="BM212" s="137">
        <f>$W212*AR212+$L212*Summary_LCIA!AI$32</f>
        <v>0.29355762016824866</v>
      </c>
    </row>
    <row r="213" spans="1:65" x14ac:dyDescent="0.25">
      <c r="A213" s="149">
        <v>117</v>
      </c>
      <c r="B213" s="149">
        <v>6</v>
      </c>
      <c r="C213" s="61">
        <v>41.720916000000003</v>
      </c>
      <c r="D213" s="61">
        <v>-93.629379999999998</v>
      </c>
      <c r="E213" s="61" t="s">
        <v>265</v>
      </c>
      <c r="F213" s="149">
        <v>121</v>
      </c>
      <c r="G213" s="61" t="s">
        <v>287</v>
      </c>
      <c r="H213" s="61" t="s">
        <v>290</v>
      </c>
      <c r="I213" s="61">
        <v>41.301873000000001</v>
      </c>
      <c r="J213" s="61">
        <v>-95.893741000000006</v>
      </c>
      <c r="K213" s="61">
        <v>200.06094519999999</v>
      </c>
      <c r="L213" s="61">
        <v>235.221</v>
      </c>
      <c r="M213" s="61" t="s">
        <v>617</v>
      </c>
      <c r="N213" s="149">
        <v>5</v>
      </c>
      <c r="O213" s="149">
        <v>6</v>
      </c>
      <c r="P213" s="61" t="s">
        <v>565</v>
      </c>
      <c r="Q213" s="61" t="s">
        <v>564</v>
      </c>
      <c r="R213" s="61">
        <v>41.98028</v>
      </c>
      <c r="S213" s="61">
        <v>-87.908997900000003</v>
      </c>
      <c r="T213" s="61">
        <v>535.13599999999997</v>
      </c>
      <c r="U213" s="61" t="s">
        <v>617</v>
      </c>
      <c r="V213" s="61" t="s">
        <v>569</v>
      </c>
      <c r="W213" s="61" cm="1">
        <f t="array" ref="W213">getDistance(I213,J213,R213,S213)*SA!$B$12</f>
        <v>669.26749072627524</v>
      </c>
      <c r="Y213" s="137">
        <f>Transportation_LCIA!C$61*($W213^Transportation_LCIA!C$60)+Transportation_LCIA!C$62</f>
        <v>0.28504039049137575</v>
      </c>
      <c r="Z213" s="137">
        <f>Transportation_LCIA!D$61*($W213^Transportation_LCIA!D$60)+Transportation_LCIA!D$62</f>
        <v>3.0041649469674656</v>
      </c>
      <c r="AA213" s="137">
        <f>Transportation_LCIA!E$61*($W213^Transportation_LCIA!E$60)+Transportation_LCIA!E$62</f>
        <v>1.525706097435096E-3</v>
      </c>
      <c r="AB213" s="137">
        <f>Transportation_LCIA!F$61*($W213^Transportation_LCIA!F$60)+Transportation_LCIA!F$62</f>
        <v>0.28504039049137575</v>
      </c>
      <c r="AC213" s="137">
        <f>Transportation_LCIA!G$61*($W213^Transportation_LCIA!G$60)+Transportation_LCIA!G$62</f>
        <v>7.0068758885027033E-2</v>
      </c>
      <c r="AD213" s="137">
        <f>Transportation_LCIA!H$61*($W213^Transportation_LCIA!H$60)+Transportation_LCIA!H$62</f>
        <v>3.6107816379944279E-4</v>
      </c>
      <c r="AE213" s="137">
        <f>Transportation_LCIA!I$61*($W213^Transportation_LCIA!I$60)+Transportation_LCIA!I$62</f>
        <v>8.0591675714929097E-6</v>
      </c>
      <c r="AF213" s="137">
        <f>Transportation_LCIA!J$61*($W213^Transportation_LCIA!J$60)+Transportation_LCIA!J$62</f>
        <v>1.1964774828826928E-2</v>
      </c>
      <c r="AG213" s="137">
        <f>Transportation_LCIA!K$61*($W213^Transportation_LCIA!K$60)+Transportation_LCIA!K$62</f>
        <v>1.5195002827775642E-2</v>
      </c>
      <c r="AH213" s="137">
        <f>Transportation_LCIA!L$61*($W213^Transportation_LCIA!L$60)+Transportation_LCIA!L$62</f>
        <v>3.1754527567534542E-4</v>
      </c>
      <c r="AI213" s="137">
        <f>Transportation_LCIA!M$61*($W213^Transportation_LCIA!M$60)+Transportation_LCIA!M$62</f>
        <v>2.9013540374786794E-4</v>
      </c>
      <c r="AJ213" s="137">
        <f>Transportation_LCIA!N$61*($W213^Transportation_LCIA!N$60)+Transportation_LCIA!N$62</f>
        <v>1.2730376617698762E-3</v>
      </c>
      <c r="AK213" s="137">
        <f>Transportation_LCIA!O$61*($W213^Transportation_LCIA!O$60)+Transportation_LCIA!O$62</f>
        <v>7.4124631538667591E-5</v>
      </c>
      <c r="AL213" s="137">
        <f>Transportation_LCIA!P$61*($W213^Transportation_LCIA!P$60)+Transportation_LCIA!P$62</f>
        <v>3.5802611393451831E-8</v>
      </c>
      <c r="AM213" s="137">
        <f>Transportation_LCIA!Q$61*($W213^Transportation_LCIA!Q$60)+Transportation_LCIA!Q$62</f>
        <v>1.2535917081520263E-4</v>
      </c>
      <c r="AN213" s="137">
        <f>Transportation_LCIA!R$61*($W213^Transportation_LCIA!R$60)+Transportation_LCIA!R$62</f>
        <v>3.8732436662072014E-4</v>
      </c>
      <c r="AO213" s="137">
        <f>Transportation_LCIA!S$61*($W213^Transportation_LCIA!S$60)+Transportation_LCIA!S$62</f>
        <v>5.7538657024500324E-6</v>
      </c>
      <c r="AP213" s="137">
        <f>Transportation_LCIA!T$61*($W213^Transportation_LCIA!T$60)+Transportation_LCIA!T$62</f>
        <v>5.7538657024500324E-6</v>
      </c>
      <c r="AQ213" s="137">
        <f>Transportation_LCIA!U$61*($W213^Transportation_LCIA!U$60)+Transportation_LCIA!U$62</f>
        <v>8.3645465454341723E-4</v>
      </c>
      <c r="AR213" s="137">
        <f>Transportation_LCIA!V$61*($W213^Transportation_LCIA!V$60)+Transportation_LCIA!V$62</f>
        <v>3.2616855470196486E-4</v>
      </c>
      <c r="AT213" s="137">
        <f>$W213*Y213+$L213*Summary_LCIA!H$32</f>
        <v>270.69636269980072</v>
      </c>
      <c r="AU213" s="137">
        <f>$W213*Z213+$L213*Summary_LCIA!Q$32</f>
        <v>3176.3570746854425</v>
      </c>
      <c r="AV213" s="137">
        <f>$W213*AA213+$L213*Summary_LCIA!R$32</f>
        <v>2.2596851890161647</v>
      </c>
      <c r="AW213" s="137">
        <f>$W213*AB213+$L213*Summary_LCIA!S$32</f>
        <v>269.6566858798007</v>
      </c>
      <c r="AX213" s="137">
        <f>$W213*AC213+$L213*Summary_LCIA!T$32</f>
        <v>72.745530337286453</v>
      </c>
      <c r="AY213" s="137">
        <f>$W213*AD213+$L213*Summary_LCIA!U$32</f>
        <v>4.4554068706421042</v>
      </c>
      <c r="AZ213" s="137">
        <f>$W213*AE213+$L213*Summary_LCIA!V$32</f>
        <v>1.662812903891563E-2</v>
      </c>
      <c r="BA213" s="137">
        <f>$W213*AF213+$L213*Summary_LCIA!W$32</f>
        <v>26.112830417793898</v>
      </c>
      <c r="BB213" s="137">
        <f>$W213*AG213+$L213*Summary_LCIA!X$32</f>
        <v>15.527855794124061</v>
      </c>
      <c r="BC213" s="137">
        <f>$W213*AH213+$L213*Summary_LCIA!Y$32</f>
        <v>3.8777363518432217</v>
      </c>
      <c r="BD213" s="137">
        <f>$W213*AI213+$L213*Summary_LCIA!Z$32</f>
        <v>0.20382437162619033</v>
      </c>
      <c r="BE213" s="137">
        <f>$W213*AJ213+$L213*Summary_LCIA!AA$32</f>
        <v>6.3458243974927697</v>
      </c>
      <c r="BF213" s="137">
        <f>$W213*AK213+$L213*Summary_LCIA!AB$32</f>
        <v>4.4475978267893776E-2</v>
      </c>
      <c r="BG213" s="137">
        <f>$W213*AL213+$L213*Summary_LCIA!AC$32</f>
        <v>3.5460067252743457E-5</v>
      </c>
      <c r="BH213" s="137">
        <f>$W213*AM213+$L213*Summary_LCIA!AD$32</f>
        <v>0.18058405753101719</v>
      </c>
      <c r="BI213" s="137">
        <f>$W213*AN213+$L213*Summary_LCIA!AE$32</f>
        <v>0.46765999167539324</v>
      </c>
      <c r="BJ213" s="137">
        <f>$W213*AO213+$L213*Summary_LCIA!AF$32</f>
        <v>0.20271141308065474</v>
      </c>
      <c r="BK213" s="137">
        <f>$W213*AP213+$L213*Summary_LCIA!AG$32</f>
        <v>1.5885957725654713E-2</v>
      </c>
      <c r="BL213" s="137">
        <f>$W213*AQ213+$L213*Summary_LCIA!AH$32</f>
        <v>2.6070814033525864</v>
      </c>
      <c r="BM213" s="137">
        <f>$W213*AR213+$L213*Summary_LCIA!AI$32</f>
        <v>0.43741413270919982</v>
      </c>
    </row>
    <row r="214" spans="1:65" x14ac:dyDescent="0.25">
      <c r="A214" s="149">
        <v>118</v>
      </c>
      <c r="B214" s="149">
        <v>6</v>
      </c>
      <c r="C214" s="61">
        <v>41.720916000000003</v>
      </c>
      <c r="D214" s="61">
        <v>-93.629379999999998</v>
      </c>
      <c r="E214" s="61" t="s">
        <v>265</v>
      </c>
      <c r="F214" s="149">
        <v>121</v>
      </c>
      <c r="G214" s="61" t="s">
        <v>287</v>
      </c>
      <c r="H214" s="61" t="s">
        <v>290</v>
      </c>
      <c r="I214" s="61">
        <v>41.301873000000001</v>
      </c>
      <c r="J214" s="61">
        <v>-95.893741000000006</v>
      </c>
      <c r="K214" s="61">
        <v>200.06094519999999</v>
      </c>
      <c r="L214" s="61">
        <v>235.221</v>
      </c>
      <c r="M214" s="61" t="s">
        <v>617</v>
      </c>
      <c r="N214" s="149">
        <v>5</v>
      </c>
      <c r="O214" s="149">
        <v>6</v>
      </c>
      <c r="P214" s="61" t="s">
        <v>565</v>
      </c>
      <c r="Q214" s="61" t="s">
        <v>564</v>
      </c>
      <c r="R214" s="61">
        <v>41.98028</v>
      </c>
      <c r="S214" s="61">
        <v>-87.908997900000003</v>
      </c>
      <c r="T214" s="61">
        <v>535.13599999999997</v>
      </c>
      <c r="U214" s="61" t="s">
        <v>617</v>
      </c>
      <c r="V214" s="61" t="s">
        <v>569</v>
      </c>
      <c r="W214" s="61" cm="1">
        <f t="array" ref="W214">getDistance(I214,J214,R214,S214)*SA!$B$12</f>
        <v>669.26749072627524</v>
      </c>
      <c r="Y214" s="137">
        <f>Transportation_LCIA!C$61*($W214^Transportation_LCIA!C$60)+Transportation_LCIA!C$62</f>
        <v>0.28504039049137575</v>
      </c>
      <c r="Z214" s="137">
        <f>Transportation_LCIA!D$61*($W214^Transportation_LCIA!D$60)+Transportation_LCIA!D$62</f>
        <v>3.0041649469674656</v>
      </c>
      <c r="AA214" s="137">
        <f>Transportation_LCIA!E$61*($W214^Transportation_LCIA!E$60)+Transportation_LCIA!E$62</f>
        <v>1.525706097435096E-3</v>
      </c>
      <c r="AB214" s="137">
        <f>Transportation_LCIA!F$61*($W214^Transportation_LCIA!F$60)+Transportation_LCIA!F$62</f>
        <v>0.28504039049137575</v>
      </c>
      <c r="AC214" s="137">
        <f>Transportation_LCIA!G$61*($W214^Transportation_LCIA!G$60)+Transportation_LCIA!G$62</f>
        <v>7.0068758885027033E-2</v>
      </c>
      <c r="AD214" s="137">
        <f>Transportation_LCIA!H$61*($W214^Transportation_LCIA!H$60)+Transportation_LCIA!H$62</f>
        <v>3.6107816379944279E-4</v>
      </c>
      <c r="AE214" s="137">
        <f>Transportation_LCIA!I$61*($W214^Transportation_LCIA!I$60)+Transportation_LCIA!I$62</f>
        <v>8.0591675714929097E-6</v>
      </c>
      <c r="AF214" s="137">
        <f>Transportation_LCIA!J$61*($W214^Transportation_LCIA!J$60)+Transportation_LCIA!J$62</f>
        <v>1.1964774828826928E-2</v>
      </c>
      <c r="AG214" s="137">
        <f>Transportation_LCIA!K$61*($W214^Transportation_LCIA!K$60)+Transportation_LCIA!K$62</f>
        <v>1.5195002827775642E-2</v>
      </c>
      <c r="AH214" s="137">
        <f>Transportation_LCIA!L$61*($W214^Transportation_LCIA!L$60)+Transportation_LCIA!L$62</f>
        <v>3.1754527567534542E-4</v>
      </c>
      <c r="AI214" s="137">
        <f>Transportation_LCIA!M$61*($W214^Transportation_LCIA!M$60)+Transportation_LCIA!M$62</f>
        <v>2.9013540374786794E-4</v>
      </c>
      <c r="AJ214" s="137">
        <f>Transportation_LCIA!N$61*($W214^Transportation_LCIA!N$60)+Transportation_LCIA!N$62</f>
        <v>1.2730376617698762E-3</v>
      </c>
      <c r="AK214" s="137">
        <f>Transportation_LCIA!O$61*($W214^Transportation_LCIA!O$60)+Transportation_LCIA!O$62</f>
        <v>7.4124631538667591E-5</v>
      </c>
      <c r="AL214" s="137">
        <f>Transportation_LCIA!P$61*($W214^Transportation_LCIA!P$60)+Transportation_LCIA!P$62</f>
        <v>3.5802611393451831E-8</v>
      </c>
      <c r="AM214" s="137">
        <f>Transportation_LCIA!Q$61*($W214^Transportation_LCIA!Q$60)+Transportation_LCIA!Q$62</f>
        <v>1.2535917081520263E-4</v>
      </c>
      <c r="AN214" s="137">
        <f>Transportation_LCIA!R$61*($W214^Transportation_LCIA!R$60)+Transportation_LCIA!R$62</f>
        <v>3.8732436662072014E-4</v>
      </c>
      <c r="AO214" s="137">
        <f>Transportation_LCIA!S$61*($W214^Transportation_LCIA!S$60)+Transportation_LCIA!S$62</f>
        <v>5.7538657024500324E-6</v>
      </c>
      <c r="AP214" s="137">
        <f>Transportation_LCIA!T$61*($W214^Transportation_LCIA!T$60)+Transportation_LCIA!T$62</f>
        <v>5.7538657024500324E-6</v>
      </c>
      <c r="AQ214" s="137">
        <f>Transportation_LCIA!U$61*($W214^Transportation_LCIA!U$60)+Transportation_LCIA!U$62</f>
        <v>8.3645465454341723E-4</v>
      </c>
      <c r="AR214" s="137">
        <f>Transportation_LCIA!V$61*($W214^Transportation_LCIA!V$60)+Transportation_LCIA!V$62</f>
        <v>3.2616855470196486E-4</v>
      </c>
      <c r="AT214" s="137">
        <f>$W214*Y214+$L214*Summary_LCIA!H$32</f>
        <v>270.69636269980072</v>
      </c>
      <c r="AU214" s="137">
        <f>$W214*Z214+$L214*Summary_LCIA!Q$32</f>
        <v>3176.3570746854425</v>
      </c>
      <c r="AV214" s="137">
        <f>$W214*AA214+$L214*Summary_LCIA!R$32</f>
        <v>2.2596851890161647</v>
      </c>
      <c r="AW214" s="137">
        <f>$W214*AB214+$L214*Summary_LCIA!S$32</f>
        <v>269.6566858798007</v>
      </c>
      <c r="AX214" s="137">
        <f>$W214*AC214+$L214*Summary_LCIA!T$32</f>
        <v>72.745530337286453</v>
      </c>
      <c r="AY214" s="137">
        <f>$W214*AD214+$L214*Summary_LCIA!U$32</f>
        <v>4.4554068706421042</v>
      </c>
      <c r="AZ214" s="137">
        <f>$W214*AE214+$L214*Summary_LCIA!V$32</f>
        <v>1.662812903891563E-2</v>
      </c>
      <c r="BA214" s="137">
        <f>$W214*AF214+$L214*Summary_LCIA!W$32</f>
        <v>26.112830417793898</v>
      </c>
      <c r="BB214" s="137">
        <f>$W214*AG214+$L214*Summary_LCIA!X$32</f>
        <v>15.527855794124061</v>
      </c>
      <c r="BC214" s="137">
        <f>$W214*AH214+$L214*Summary_LCIA!Y$32</f>
        <v>3.8777363518432217</v>
      </c>
      <c r="BD214" s="137">
        <f>$W214*AI214+$L214*Summary_LCIA!Z$32</f>
        <v>0.20382437162619033</v>
      </c>
      <c r="BE214" s="137">
        <f>$W214*AJ214+$L214*Summary_LCIA!AA$32</f>
        <v>6.3458243974927697</v>
      </c>
      <c r="BF214" s="137">
        <f>$W214*AK214+$L214*Summary_LCIA!AB$32</f>
        <v>4.4475978267893776E-2</v>
      </c>
      <c r="BG214" s="137">
        <f>$W214*AL214+$L214*Summary_LCIA!AC$32</f>
        <v>3.5460067252743457E-5</v>
      </c>
      <c r="BH214" s="137">
        <f>$W214*AM214+$L214*Summary_LCIA!AD$32</f>
        <v>0.18058405753101719</v>
      </c>
      <c r="BI214" s="137">
        <f>$W214*AN214+$L214*Summary_LCIA!AE$32</f>
        <v>0.46765999167539324</v>
      </c>
      <c r="BJ214" s="137">
        <f>$W214*AO214+$L214*Summary_LCIA!AF$32</f>
        <v>0.20271141308065474</v>
      </c>
      <c r="BK214" s="137">
        <f>$W214*AP214+$L214*Summary_LCIA!AG$32</f>
        <v>1.5885957725654713E-2</v>
      </c>
      <c r="BL214" s="137">
        <f>$W214*AQ214+$L214*Summary_LCIA!AH$32</f>
        <v>2.6070814033525864</v>
      </c>
      <c r="BM214" s="137">
        <f>$W214*AR214+$L214*Summary_LCIA!AI$32</f>
        <v>0.43741413270919982</v>
      </c>
    </row>
    <row r="215" spans="1:65" x14ac:dyDescent="0.25">
      <c r="A215" s="149">
        <v>234</v>
      </c>
      <c r="B215" s="149">
        <v>43</v>
      </c>
      <c r="C215" s="61">
        <v>40.324514000000001</v>
      </c>
      <c r="D215" s="61">
        <v>-79.701155</v>
      </c>
      <c r="E215" s="61" t="s">
        <v>265</v>
      </c>
      <c r="F215" s="149">
        <v>106</v>
      </c>
      <c r="G215" s="61" t="s">
        <v>266</v>
      </c>
      <c r="H215" s="61" t="s">
        <v>669</v>
      </c>
      <c r="I215" s="61">
        <v>40.491920999999998</v>
      </c>
      <c r="J215" s="61">
        <v>-80.235223000000005</v>
      </c>
      <c r="K215" s="61">
        <v>50.994779719999997</v>
      </c>
      <c r="L215" s="61">
        <v>71.013000000000005</v>
      </c>
      <c r="M215" s="61" t="s">
        <v>617</v>
      </c>
      <c r="N215" s="149">
        <v>42</v>
      </c>
      <c r="O215" s="149">
        <v>43</v>
      </c>
      <c r="P215" s="61" t="s">
        <v>565</v>
      </c>
      <c r="Q215" s="61" t="s">
        <v>555</v>
      </c>
      <c r="R215" s="61">
        <v>40.6895314</v>
      </c>
      <c r="S215" s="61">
        <v>-74.174462399999996</v>
      </c>
      <c r="T215" s="61">
        <v>542.74</v>
      </c>
      <c r="U215" s="61" t="s">
        <v>617</v>
      </c>
      <c r="V215" s="61" t="s">
        <v>569</v>
      </c>
      <c r="W215" s="61" cm="1">
        <f t="array" ref="W215">getDistance(I215,J215,R215,S215)*SA!$B$12</f>
        <v>513.433583839015</v>
      </c>
      <c r="Y215" s="137">
        <f>Transportation_LCIA!C$61*($W215^Transportation_LCIA!C$60)+Transportation_LCIA!C$62</f>
        <v>0.32815716511039528</v>
      </c>
      <c r="Z215" s="137">
        <f>Transportation_LCIA!D$61*($W215^Transportation_LCIA!D$60)+Transportation_LCIA!D$62</f>
        <v>3.5191542163843881</v>
      </c>
      <c r="AA215" s="137">
        <f>Transportation_LCIA!E$61*($W215^Transportation_LCIA!E$60)+Transportation_LCIA!E$62</f>
        <v>1.8665206810453132E-3</v>
      </c>
      <c r="AB215" s="137">
        <f>Transportation_LCIA!F$61*($W215^Transportation_LCIA!F$60)+Transportation_LCIA!F$62</f>
        <v>0.32815716511039528</v>
      </c>
      <c r="AC215" s="137">
        <f>Transportation_LCIA!G$61*($W215^Transportation_LCIA!G$60)+Transportation_LCIA!G$62</f>
        <v>8.1967302989677859E-2</v>
      </c>
      <c r="AD215" s="137">
        <f>Transportation_LCIA!H$61*($W215^Transportation_LCIA!H$60)+Transportation_LCIA!H$62</f>
        <v>4.3698853519291556E-4</v>
      </c>
      <c r="AE215" s="137">
        <f>Transportation_LCIA!I$61*($W215^Transportation_LCIA!I$60)+Transportation_LCIA!I$62</f>
        <v>1.0010201729396875E-5</v>
      </c>
      <c r="AF215" s="137">
        <f>Transportation_LCIA!J$61*($W215^Transportation_LCIA!J$60)+Transportation_LCIA!J$62</f>
        <v>1.4910087392935532E-2</v>
      </c>
      <c r="AG215" s="137">
        <f>Transportation_LCIA!K$61*($W215^Transportation_LCIA!K$60)+Transportation_LCIA!K$62</f>
        <v>1.8005284512120634E-2</v>
      </c>
      <c r="AH215" s="137">
        <f>Transportation_LCIA!L$61*($W215^Transportation_LCIA!L$60)+Transportation_LCIA!L$62</f>
        <v>3.8774642038002372E-4</v>
      </c>
      <c r="AI215" s="137">
        <f>Transportation_LCIA!M$61*($W215^Transportation_LCIA!M$60)+Transportation_LCIA!M$62</f>
        <v>3.3205908340433346E-4</v>
      </c>
      <c r="AJ215" s="137">
        <f>Transportation_LCIA!N$61*($W215^Transportation_LCIA!N$60)+Transportation_LCIA!N$62</f>
        <v>1.5278401037459809E-3</v>
      </c>
      <c r="AK215" s="137">
        <f>Transportation_LCIA!O$61*($W215^Transportation_LCIA!O$60)+Transportation_LCIA!O$62</f>
        <v>8.6776433969231709E-5</v>
      </c>
      <c r="AL215" s="137">
        <f>Transportation_LCIA!P$61*($W215^Transportation_LCIA!P$60)+Transportation_LCIA!P$62</f>
        <v>4.187496920977748E-8</v>
      </c>
      <c r="AM215" s="137">
        <f>Transportation_LCIA!Q$61*($W215^Transportation_LCIA!Q$60)+Transportation_LCIA!Q$62</f>
        <v>1.5289540886279419E-4</v>
      </c>
      <c r="AN215" s="137">
        <f>Transportation_LCIA!R$61*($W215^Transportation_LCIA!R$60)+Transportation_LCIA!R$62</f>
        <v>4.8092919779996581E-4</v>
      </c>
      <c r="AO215" s="137">
        <f>Transportation_LCIA!S$61*($W215^Transportation_LCIA!S$60)+Transportation_LCIA!S$62</f>
        <v>7.081081996143308E-6</v>
      </c>
      <c r="AP215" s="137">
        <f>Transportation_LCIA!T$61*($W215^Transportation_LCIA!T$60)+Transportation_LCIA!T$62</f>
        <v>7.081081996143308E-6</v>
      </c>
      <c r="AQ215" s="137">
        <f>Transportation_LCIA!U$61*($W215^Transportation_LCIA!U$60)+Transportation_LCIA!U$62</f>
        <v>1.0425420500377758E-3</v>
      </c>
      <c r="AR215" s="137">
        <f>Transportation_LCIA!V$61*($W215^Transportation_LCIA!V$60)+Transportation_LCIA!V$62</f>
        <v>3.9809863614409633E-4</v>
      </c>
      <c r="AT215" s="137">
        <f>$W215*Y215+$L215*Summary_LCIA!H$32</f>
        <v>192.61712674508161</v>
      </c>
      <c r="AU215" s="137">
        <f>$W215*Z215+$L215*Summary_LCIA!Q$32</f>
        <v>2158.7959707990458</v>
      </c>
      <c r="AV215" s="137">
        <f>$W215*AA215+$L215*Summary_LCIA!R$32</f>
        <v>1.3322604553787343</v>
      </c>
      <c r="AW215" s="137">
        <f>$W215*AB215+$L215*Summary_LCIA!S$32</f>
        <v>192.30324928508162</v>
      </c>
      <c r="AX215" s="137">
        <f>$W215*AC215+$L215*Summary_LCIA!T$32</f>
        <v>49.889094831608709</v>
      </c>
      <c r="AY215" s="137">
        <f>$W215*AD215+$L215*Summary_LCIA!U$32</f>
        <v>1.4964914717206601</v>
      </c>
      <c r="AZ215" s="137">
        <f>$W215*AE215+$L215*Summary_LCIA!V$32</f>
        <v>8.5312256418757434E-3</v>
      </c>
      <c r="BA215" s="137">
        <f>$W215*AF215+$L215*Summary_LCIA!W$32</f>
        <v>13.121281228507806</v>
      </c>
      <c r="BB215" s="137">
        <f>$W215*AG215+$L215*Summary_LCIA!X$32</f>
        <v>10.862193895099209</v>
      </c>
      <c r="BC215" s="137">
        <f>$W215*AH215+$L215*Summary_LCIA!Y$32</f>
        <v>1.305606600236465</v>
      </c>
      <c r="BD215" s="137">
        <f>$W215*AI215+$L215*Summary_LCIA!Z$32</f>
        <v>0.17340245735558532</v>
      </c>
      <c r="BE215" s="137">
        <f>$W215*AJ215+$L215*Summary_LCIA!AA$32</f>
        <v>2.4430240479992715</v>
      </c>
      <c r="BF215" s="137">
        <f>$W215*AK215+$L215*Summary_LCIA!AB$32</f>
        <v>4.3004218786592274E-2</v>
      </c>
      <c r="BG215" s="137">
        <f>$W215*AL215+$L215*Summary_LCIA!AC$32</f>
        <v>2.4971415006524458E-5</v>
      </c>
      <c r="BH215" s="137">
        <f>$W215*AM215+$L215*Summary_LCIA!AD$32</f>
        <v>0.10769082124495591</v>
      </c>
      <c r="BI215" s="137">
        <f>$W215*AN215+$L215*Summary_LCIA!AE$32</f>
        <v>0.30985195128925902</v>
      </c>
      <c r="BJ215" s="137">
        <f>$W215*AO215+$L215*Summary_LCIA!AF$32</f>
        <v>6.367147576673779E-2</v>
      </c>
      <c r="BK215" s="137">
        <f>$W215*AP215+$L215*Summary_LCIA!AG$32</f>
        <v>7.2690454517377852E-3</v>
      </c>
      <c r="BL215" s="137">
        <f>$W215*AQ215+$L215*Summary_LCIA!AH$32</f>
        <v>1.1533448478537691</v>
      </c>
      <c r="BM215" s="137">
        <f>$W215*AR215+$L215*Summary_LCIA!AI$32</f>
        <v>0.27054936962688741</v>
      </c>
    </row>
    <row r="216" spans="1:65" x14ac:dyDescent="0.25">
      <c r="A216" s="149">
        <v>129</v>
      </c>
      <c r="B216" s="149">
        <v>6</v>
      </c>
      <c r="C216" s="61">
        <v>42.028866000000001</v>
      </c>
      <c r="D216" s="61">
        <v>-93.648031000000003</v>
      </c>
      <c r="E216" s="61" t="s">
        <v>265</v>
      </c>
      <c r="F216" s="149">
        <v>121</v>
      </c>
      <c r="G216" s="61" t="s">
        <v>287</v>
      </c>
      <c r="H216" s="61" t="s">
        <v>290</v>
      </c>
      <c r="I216" s="61">
        <v>41.301873000000001</v>
      </c>
      <c r="J216" s="61">
        <v>-95.893741000000006</v>
      </c>
      <c r="K216" s="61">
        <v>222.912556</v>
      </c>
      <c r="L216" s="61">
        <v>279.464</v>
      </c>
      <c r="M216" s="61" t="s">
        <v>617</v>
      </c>
      <c r="N216" s="149">
        <v>5</v>
      </c>
      <c r="O216" s="149">
        <v>6</v>
      </c>
      <c r="P216" s="61" t="s">
        <v>565</v>
      </c>
      <c r="Q216" s="61" t="s">
        <v>564</v>
      </c>
      <c r="R216" s="61">
        <v>41.98028</v>
      </c>
      <c r="S216" s="61">
        <v>-87.908997900000003</v>
      </c>
      <c r="T216" s="61">
        <v>556.37900000000002</v>
      </c>
      <c r="U216" s="61" t="s">
        <v>617</v>
      </c>
      <c r="V216" s="61" t="s">
        <v>569</v>
      </c>
      <c r="W216" s="61" cm="1">
        <f t="array" ref="W216">getDistance(I216,J216,R216,S216)*SA!$B$12</f>
        <v>669.26749072627524</v>
      </c>
      <c r="Y216" s="137">
        <f>Transportation_LCIA!C$61*($W216^Transportation_LCIA!C$60)+Transportation_LCIA!C$62</f>
        <v>0.28504039049137575</v>
      </c>
      <c r="Z216" s="137">
        <f>Transportation_LCIA!D$61*($W216^Transportation_LCIA!D$60)+Transportation_LCIA!D$62</f>
        <v>3.0041649469674656</v>
      </c>
      <c r="AA216" s="137">
        <f>Transportation_LCIA!E$61*($W216^Transportation_LCIA!E$60)+Transportation_LCIA!E$62</f>
        <v>1.525706097435096E-3</v>
      </c>
      <c r="AB216" s="137">
        <f>Transportation_LCIA!F$61*($W216^Transportation_LCIA!F$60)+Transportation_LCIA!F$62</f>
        <v>0.28504039049137575</v>
      </c>
      <c r="AC216" s="137">
        <f>Transportation_LCIA!G$61*($W216^Transportation_LCIA!G$60)+Transportation_LCIA!G$62</f>
        <v>7.0068758885027033E-2</v>
      </c>
      <c r="AD216" s="137">
        <f>Transportation_LCIA!H$61*($W216^Transportation_LCIA!H$60)+Transportation_LCIA!H$62</f>
        <v>3.6107816379944279E-4</v>
      </c>
      <c r="AE216" s="137">
        <f>Transportation_LCIA!I$61*($W216^Transportation_LCIA!I$60)+Transportation_LCIA!I$62</f>
        <v>8.0591675714929097E-6</v>
      </c>
      <c r="AF216" s="137">
        <f>Transportation_LCIA!J$61*($W216^Transportation_LCIA!J$60)+Transportation_LCIA!J$62</f>
        <v>1.1964774828826928E-2</v>
      </c>
      <c r="AG216" s="137">
        <f>Transportation_LCIA!K$61*($W216^Transportation_LCIA!K$60)+Transportation_LCIA!K$62</f>
        <v>1.5195002827775642E-2</v>
      </c>
      <c r="AH216" s="137">
        <f>Transportation_LCIA!L$61*($W216^Transportation_LCIA!L$60)+Transportation_LCIA!L$62</f>
        <v>3.1754527567534542E-4</v>
      </c>
      <c r="AI216" s="137">
        <f>Transportation_LCIA!M$61*($W216^Transportation_LCIA!M$60)+Transportation_LCIA!M$62</f>
        <v>2.9013540374786794E-4</v>
      </c>
      <c r="AJ216" s="137">
        <f>Transportation_LCIA!N$61*($W216^Transportation_LCIA!N$60)+Transportation_LCIA!N$62</f>
        <v>1.2730376617698762E-3</v>
      </c>
      <c r="AK216" s="137">
        <f>Transportation_LCIA!O$61*($W216^Transportation_LCIA!O$60)+Transportation_LCIA!O$62</f>
        <v>7.4124631538667591E-5</v>
      </c>
      <c r="AL216" s="137">
        <f>Transportation_LCIA!P$61*($W216^Transportation_LCIA!P$60)+Transportation_LCIA!P$62</f>
        <v>3.5802611393451831E-8</v>
      </c>
      <c r="AM216" s="137">
        <f>Transportation_LCIA!Q$61*($W216^Transportation_LCIA!Q$60)+Transportation_LCIA!Q$62</f>
        <v>1.2535917081520263E-4</v>
      </c>
      <c r="AN216" s="137">
        <f>Transportation_LCIA!R$61*($W216^Transportation_LCIA!R$60)+Transportation_LCIA!R$62</f>
        <v>3.8732436662072014E-4</v>
      </c>
      <c r="AO216" s="137">
        <f>Transportation_LCIA!S$61*($W216^Transportation_LCIA!S$60)+Transportation_LCIA!S$62</f>
        <v>5.7538657024500324E-6</v>
      </c>
      <c r="AP216" s="137">
        <f>Transportation_LCIA!T$61*($W216^Transportation_LCIA!T$60)+Transportation_LCIA!T$62</f>
        <v>5.7538657024500324E-6</v>
      </c>
      <c r="AQ216" s="137">
        <f>Transportation_LCIA!U$61*($W216^Transportation_LCIA!U$60)+Transportation_LCIA!U$62</f>
        <v>8.3645465454341723E-4</v>
      </c>
      <c r="AR216" s="137">
        <f>Transportation_LCIA!V$61*($W216^Transportation_LCIA!V$60)+Transportation_LCIA!V$62</f>
        <v>3.2616855470196486E-4</v>
      </c>
      <c r="AT216" s="137">
        <f>$W216*Y216+$L216*Summary_LCIA!H$32</f>
        <v>285.73013409980069</v>
      </c>
      <c r="AU216" s="137">
        <f>$W216*Z216+$L216*Summary_LCIA!Q$32</f>
        <v>3395.6276139926613</v>
      </c>
      <c r="AV216" s="137">
        <f>$W216*AA216+$L216*Summary_LCIA!R$32</f>
        <v>2.4926511298161644</v>
      </c>
      <c r="AW216" s="137">
        <f>$W216*AB216+$L216*Summary_LCIA!S$32</f>
        <v>284.49490321980068</v>
      </c>
      <c r="AX216" s="137">
        <f>$W216*AC216+$L216*Summary_LCIA!T$32</f>
        <v>77.607836037286447</v>
      </c>
      <c r="AY216" s="137">
        <f>$W216*AD216+$L216*Summary_LCIA!U$32</f>
        <v>5.247975972642104</v>
      </c>
      <c r="AZ216" s="137">
        <f>$W216*AE216+$L216*Summary_LCIA!V$32</f>
        <v>1.8741218961915627E-2</v>
      </c>
      <c r="BA216" s="137">
        <f>$W216*AF216+$L216*Summary_LCIA!W$32</f>
        <v>29.518258370793895</v>
      </c>
      <c r="BB216" s="137">
        <f>$W216*AG216+$L216*Summary_LCIA!X$32</f>
        <v>16.535711334124059</v>
      </c>
      <c r="BC216" s="137">
        <f>$W216*AH216+$L216*Summary_LCIA!Y$32</f>
        <v>4.5671307778432224</v>
      </c>
      <c r="BD216" s="137">
        <f>$W216*AI216+$L216*Summary_LCIA!Z$32</f>
        <v>0.20563873281319034</v>
      </c>
      <c r="BE216" s="137">
        <f>$W216*AJ216+$L216*Summary_LCIA!AA$32</f>
        <v>7.3791639054927689</v>
      </c>
      <c r="BF216" s="137">
        <f>$W216*AK216+$L216*Summary_LCIA!AB$32</f>
        <v>4.3510463278893782E-2</v>
      </c>
      <c r="BG216" s="137">
        <f>$W216*AL216+$L216*Summary_LCIA!AC$32</f>
        <v>3.7622842064743461E-5</v>
      </c>
      <c r="BH216" s="137">
        <f>$W216*AM216+$L216*Summary_LCIA!AD$32</f>
        <v>0.19876970025101717</v>
      </c>
      <c r="BI216" s="137">
        <f>$W216*AN216+$L216*Summary_LCIA!AE$32</f>
        <v>0.50686504126539322</v>
      </c>
      <c r="BJ216" s="137">
        <f>$W216*AO216+$L216*Summary_LCIA!AF$32</f>
        <v>0.24011533014065473</v>
      </c>
      <c r="BK216" s="137">
        <f>$W216*AP216+$L216*Summary_LCIA!AG$32</f>
        <v>1.8149650820654711E-2</v>
      </c>
      <c r="BL216" s="137">
        <f>$W216*AQ216+$L216*Summary_LCIA!AH$32</f>
        <v>2.9921547781525866</v>
      </c>
      <c r="BM216" s="137">
        <f>$W216*AR216+$L216*Summary_LCIA!AI$32</f>
        <v>0.47862869935919983</v>
      </c>
    </row>
    <row r="217" spans="1:65" x14ac:dyDescent="0.25">
      <c r="A217" s="149">
        <v>188</v>
      </c>
      <c r="B217" s="149">
        <v>6</v>
      </c>
      <c r="C217" s="61">
        <v>42.404803000000001</v>
      </c>
      <c r="D217" s="61">
        <v>-82.191038000000006</v>
      </c>
      <c r="E217" s="61" t="s">
        <v>456</v>
      </c>
      <c r="F217" s="149">
        <v>78</v>
      </c>
      <c r="G217" s="61" t="s">
        <v>615</v>
      </c>
      <c r="H217" s="61" t="s">
        <v>616</v>
      </c>
      <c r="I217" s="61">
        <v>42.216248999999998</v>
      </c>
      <c r="J217" s="61">
        <v>-83.355363999999994</v>
      </c>
      <c r="K217" s="61">
        <v>103.2140149</v>
      </c>
      <c r="L217" s="61">
        <v>119.09</v>
      </c>
      <c r="M217" s="61" t="s">
        <v>617</v>
      </c>
      <c r="N217" s="149">
        <v>5</v>
      </c>
      <c r="O217" s="149">
        <v>6</v>
      </c>
      <c r="P217" s="61" t="s">
        <v>565</v>
      </c>
      <c r="Q217" s="61" t="s">
        <v>564</v>
      </c>
      <c r="R217" s="61">
        <v>41.98028</v>
      </c>
      <c r="S217" s="61">
        <v>-87.908997900000003</v>
      </c>
      <c r="T217" s="61">
        <v>565.01400000000001</v>
      </c>
      <c r="U217" s="61" t="s">
        <v>617</v>
      </c>
      <c r="V217" s="61" t="s">
        <v>569</v>
      </c>
      <c r="W217" s="61" cm="1">
        <f t="array" ref="W217">getDistance(I217,J217,R217,S217)*SA!$B$12</f>
        <v>377.55996592631055</v>
      </c>
      <c r="Y217" s="137">
        <f>Transportation_LCIA!C$61*($W217^Transportation_LCIA!C$60)+Transportation_LCIA!C$62</f>
        <v>0.39177321151276934</v>
      </c>
      <c r="Z217" s="137">
        <f>Transportation_LCIA!D$61*($W217^Transportation_LCIA!D$60)+Transportation_LCIA!D$62</f>
        <v>4.2885469298554302</v>
      </c>
      <c r="AA217" s="137">
        <f>Transportation_LCIA!E$61*($W217^Transportation_LCIA!E$60)+Transportation_LCIA!E$62</f>
        <v>2.3774892800205579E-3</v>
      </c>
      <c r="AB217" s="137">
        <f>Transportation_LCIA!F$61*($W217^Transportation_LCIA!F$60)+Transportation_LCIA!F$62</f>
        <v>0.39177321151276934</v>
      </c>
      <c r="AC217" s="137">
        <f>Transportation_LCIA!G$61*($W217^Transportation_LCIA!G$60)+Transportation_LCIA!G$62</f>
        <v>9.9730740674667376E-2</v>
      </c>
      <c r="AD217" s="137">
        <f>Transportation_LCIA!H$61*($W217^Transportation_LCIA!H$60)+Transportation_LCIA!H$62</f>
        <v>5.5159056743946447E-4</v>
      </c>
      <c r="AE217" s="137">
        <f>Transportation_LCIA!I$61*($W217^Transportation_LCIA!I$60)+Transportation_LCIA!I$62</f>
        <v>1.2988810045312625E-5</v>
      </c>
      <c r="AF217" s="137">
        <f>Transportation_LCIA!J$61*($W217^Transportation_LCIA!J$60)+Transportation_LCIA!J$62</f>
        <v>1.9439626149728245E-2</v>
      </c>
      <c r="AG217" s="137">
        <f>Transportation_LCIA!K$61*($W217^Transportation_LCIA!K$60)+Transportation_LCIA!K$62</f>
        <v>2.2227364305679936E-2</v>
      </c>
      <c r="AH217" s="137">
        <f>Transportation_LCIA!L$61*($W217^Transportation_LCIA!L$60)+Transportation_LCIA!L$62</f>
        <v>4.9406726591070139E-4</v>
      </c>
      <c r="AI217" s="137">
        <f>Transportation_LCIA!M$61*($W217^Transportation_LCIA!M$60)+Transportation_LCIA!M$62</f>
        <v>3.9537528709454031E-4</v>
      </c>
      <c r="AJ217" s="137">
        <f>Transportation_LCIA!N$61*($W217^Transportation_LCIA!N$60)+Transportation_LCIA!N$62</f>
        <v>1.9121741222974152E-3</v>
      </c>
      <c r="AK217" s="137">
        <f>Transportation_LCIA!O$61*($W217^Transportation_LCIA!O$60)+Transportation_LCIA!O$62</f>
        <v>1.0567090816044529E-4</v>
      </c>
      <c r="AL217" s="137">
        <f>Transportation_LCIA!P$61*($W217^Transportation_LCIA!P$60)+Transportation_LCIA!P$62</f>
        <v>5.0935129732250114E-8</v>
      </c>
      <c r="AM217" s="137">
        <f>Transportation_LCIA!Q$61*($W217^Transportation_LCIA!Q$60)+Transportation_LCIA!Q$62</f>
        <v>1.9467109253194182E-4</v>
      </c>
      <c r="AN217" s="137">
        <f>Transportation_LCIA!R$61*($W217^Transportation_LCIA!R$60)+Transportation_LCIA!R$62</f>
        <v>6.2387261985424414E-4</v>
      </c>
      <c r="AO217" s="137">
        <f>Transportation_LCIA!S$61*($W217^Transportation_LCIA!S$60)+Transportation_LCIA!S$62</f>
        <v>9.1068518980920511E-6</v>
      </c>
      <c r="AP217" s="137">
        <f>Transportation_LCIA!T$61*($W217^Transportation_LCIA!T$60)+Transportation_LCIA!T$62</f>
        <v>9.1068518980920511E-6</v>
      </c>
      <c r="AQ217" s="137">
        <f>Transportation_LCIA!U$61*($W217^Transportation_LCIA!U$60)+Transportation_LCIA!U$62</f>
        <v>1.3579254338977325E-3</v>
      </c>
      <c r="AR217" s="137">
        <f>Transportation_LCIA!V$61*($W217^Transportation_LCIA!V$60)+Transportation_LCIA!V$62</f>
        <v>5.0746659917131709E-4</v>
      </c>
      <c r="AT217" s="137">
        <f>$W217*Y217+$L217*Summary_LCIA!H$32</f>
        <v>188.38466238960245</v>
      </c>
      <c r="AU217" s="137">
        <f>$W217*Z217+$L217*Summary_LCIA!Q$32</f>
        <v>2209.39967877557</v>
      </c>
      <c r="AV217" s="137">
        <f>$W217*AA217+$L217*Summary_LCIA!R$32</f>
        <v>1.5247250755547304</v>
      </c>
      <c r="AW217" s="137">
        <f>$W217*AB217+$L217*Summary_LCIA!S$32</f>
        <v>187.85828458960248</v>
      </c>
      <c r="AX217" s="137">
        <f>$W217*AC217+$L217*Summary_LCIA!T$32</f>
        <v>50.74232605093313</v>
      </c>
      <c r="AY217" s="137">
        <f>$W217*AD217+$L217*Summary_LCIA!U$32</f>
        <v>2.3416367758477188</v>
      </c>
      <c r="AZ217" s="137">
        <f>$W217*AE217+$L217*Summary_LCIA!V$32</f>
        <v>1.0591912168131556E-2</v>
      </c>
      <c r="BA217" s="137">
        <f>$W217*AF217+$L217*Summary_LCIA!W$32</f>
        <v>16.506100976711611</v>
      </c>
      <c r="BB217" s="137">
        <f>$W217*AG217+$L217*Summary_LCIA!X$32</f>
        <v>11.105033109884207</v>
      </c>
      <c r="BC217" s="137">
        <f>$W217*AH217+$L217*Summary_LCIA!Y$32</f>
        <v>2.04220040008255</v>
      </c>
      <c r="BD217" s="137">
        <f>$W217*AI217+$L217*Summary_LCIA!Z$32</f>
        <v>0.1541616417335199</v>
      </c>
      <c r="BE217" s="137">
        <f>$W217*AJ217+$L217*Summary_LCIA!AA$32</f>
        <v>3.5034264364597849</v>
      </c>
      <c r="BF217" s="137">
        <f>$W217*AK217+$L217*Summary_LCIA!AB$32</f>
        <v>3.7298203414460017E-2</v>
      </c>
      <c r="BG217" s="137">
        <f>$W217*AL217+$L217*Summary_LCIA!AC$32</f>
        <v>2.5052661406160563E-5</v>
      </c>
      <c r="BH217" s="137">
        <f>$W217*AM217+$L217*Summary_LCIA!AD$32</f>
        <v>0.1224507646631976</v>
      </c>
      <c r="BI217" s="137">
        <f>$W217*AN217+$L217*Summary_LCIA!AE$32</f>
        <v>0.34107854679452648</v>
      </c>
      <c r="BJ217" s="137">
        <f>$W217*AO217+$L217*Summary_LCIA!AF$32</f>
        <v>0.1041194504923396</v>
      </c>
      <c r="BK217" s="137">
        <f>$W217*AP217+$L217*Summary_LCIA!AG$32</f>
        <v>9.5316225423395916E-3</v>
      </c>
      <c r="BL217" s="137">
        <f>$W217*AQ217+$L217*Summary_LCIA!AH$32</f>
        <v>1.5492100045528985</v>
      </c>
      <c r="BM217" s="137">
        <f>$W217*AR217+$L217*Summary_LCIA!AI$32</f>
        <v>0.30253736139186316</v>
      </c>
    </row>
    <row r="218" spans="1:65" x14ac:dyDescent="0.25">
      <c r="A218" s="149">
        <v>231</v>
      </c>
      <c r="B218" s="149">
        <v>43</v>
      </c>
      <c r="C218" s="61">
        <v>40.356509000000003</v>
      </c>
      <c r="D218" s="61">
        <v>-79.919269999999997</v>
      </c>
      <c r="E218" s="61" t="s">
        <v>265</v>
      </c>
      <c r="F218" s="149">
        <v>106</v>
      </c>
      <c r="G218" s="61" t="s">
        <v>266</v>
      </c>
      <c r="H218" s="61" t="s">
        <v>669</v>
      </c>
      <c r="I218" s="61">
        <v>40.491920999999998</v>
      </c>
      <c r="J218" s="61">
        <v>-80.235223000000005</v>
      </c>
      <c r="K218" s="61">
        <v>33.240134609999998</v>
      </c>
      <c r="L218" s="61">
        <v>45.319000000000003</v>
      </c>
      <c r="M218" s="61" t="s">
        <v>617</v>
      </c>
      <c r="N218" s="149">
        <v>42</v>
      </c>
      <c r="O218" s="149">
        <v>43</v>
      </c>
      <c r="P218" s="61" t="s">
        <v>565</v>
      </c>
      <c r="Q218" s="61" t="s">
        <v>555</v>
      </c>
      <c r="R218" s="61">
        <v>40.6895314</v>
      </c>
      <c r="S218" s="61">
        <v>-74.174462399999996</v>
      </c>
      <c r="T218" s="61">
        <v>565.14300000000003</v>
      </c>
      <c r="U218" s="61" t="s">
        <v>617</v>
      </c>
      <c r="V218" s="61" t="s">
        <v>569</v>
      </c>
      <c r="W218" s="61" cm="1">
        <f t="array" ref="W218">getDistance(I218,J218,R218,S218)*SA!$B$12</f>
        <v>513.433583839015</v>
      </c>
      <c r="Y218" s="137">
        <f>Transportation_LCIA!C$61*($W218^Transportation_LCIA!C$60)+Transportation_LCIA!C$62</f>
        <v>0.32815716511039528</v>
      </c>
      <c r="Z218" s="137">
        <f>Transportation_LCIA!D$61*($W218^Transportation_LCIA!D$60)+Transportation_LCIA!D$62</f>
        <v>3.5191542163843881</v>
      </c>
      <c r="AA218" s="137">
        <f>Transportation_LCIA!E$61*($W218^Transportation_LCIA!E$60)+Transportation_LCIA!E$62</f>
        <v>1.8665206810453132E-3</v>
      </c>
      <c r="AB218" s="137">
        <f>Transportation_LCIA!F$61*($W218^Transportation_LCIA!F$60)+Transportation_LCIA!F$62</f>
        <v>0.32815716511039528</v>
      </c>
      <c r="AC218" s="137">
        <f>Transportation_LCIA!G$61*($W218^Transportation_LCIA!G$60)+Transportation_LCIA!G$62</f>
        <v>8.1967302989677859E-2</v>
      </c>
      <c r="AD218" s="137">
        <f>Transportation_LCIA!H$61*($W218^Transportation_LCIA!H$60)+Transportation_LCIA!H$62</f>
        <v>4.3698853519291556E-4</v>
      </c>
      <c r="AE218" s="137">
        <f>Transportation_LCIA!I$61*($W218^Transportation_LCIA!I$60)+Transportation_LCIA!I$62</f>
        <v>1.0010201729396875E-5</v>
      </c>
      <c r="AF218" s="137">
        <f>Transportation_LCIA!J$61*($W218^Transportation_LCIA!J$60)+Transportation_LCIA!J$62</f>
        <v>1.4910087392935532E-2</v>
      </c>
      <c r="AG218" s="137">
        <f>Transportation_LCIA!K$61*($W218^Transportation_LCIA!K$60)+Transportation_LCIA!K$62</f>
        <v>1.8005284512120634E-2</v>
      </c>
      <c r="AH218" s="137">
        <f>Transportation_LCIA!L$61*($W218^Transportation_LCIA!L$60)+Transportation_LCIA!L$62</f>
        <v>3.8774642038002372E-4</v>
      </c>
      <c r="AI218" s="137">
        <f>Transportation_LCIA!M$61*($W218^Transportation_LCIA!M$60)+Transportation_LCIA!M$62</f>
        <v>3.3205908340433346E-4</v>
      </c>
      <c r="AJ218" s="137">
        <f>Transportation_LCIA!N$61*($W218^Transportation_LCIA!N$60)+Transportation_LCIA!N$62</f>
        <v>1.5278401037459809E-3</v>
      </c>
      <c r="AK218" s="137">
        <f>Transportation_LCIA!O$61*($W218^Transportation_LCIA!O$60)+Transportation_LCIA!O$62</f>
        <v>8.6776433969231709E-5</v>
      </c>
      <c r="AL218" s="137">
        <f>Transportation_LCIA!P$61*($W218^Transportation_LCIA!P$60)+Transportation_LCIA!P$62</f>
        <v>4.187496920977748E-8</v>
      </c>
      <c r="AM218" s="137">
        <f>Transportation_LCIA!Q$61*($W218^Transportation_LCIA!Q$60)+Transportation_LCIA!Q$62</f>
        <v>1.5289540886279419E-4</v>
      </c>
      <c r="AN218" s="137">
        <f>Transportation_LCIA!R$61*($W218^Transportation_LCIA!R$60)+Transportation_LCIA!R$62</f>
        <v>4.8092919779996581E-4</v>
      </c>
      <c r="AO218" s="137">
        <f>Transportation_LCIA!S$61*($W218^Transportation_LCIA!S$60)+Transportation_LCIA!S$62</f>
        <v>7.081081996143308E-6</v>
      </c>
      <c r="AP218" s="137">
        <f>Transportation_LCIA!T$61*($W218^Transportation_LCIA!T$60)+Transportation_LCIA!T$62</f>
        <v>7.081081996143308E-6</v>
      </c>
      <c r="AQ218" s="137">
        <f>Transportation_LCIA!U$61*($W218^Transportation_LCIA!U$60)+Transportation_LCIA!U$62</f>
        <v>1.0425420500377758E-3</v>
      </c>
      <c r="AR218" s="137">
        <f>Transportation_LCIA!V$61*($W218^Transportation_LCIA!V$60)+Transportation_LCIA!V$62</f>
        <v>3.9809863614409633E-4</v>
      </c>
      <c r="AT218" s="137">
        <f>$W218*Y218+$L218*Summary_LCIA!H$32</f>
        <v>183.88630554508163</v>
      </c>
      <c r="AU218" s="137">
        <f>$W218*Z218+$L218*Summary_LCIA!Q$32</f>
        <v>2031.4552109735439</v>
      </c>
      <c r="AV218" s="137">
        <f>$W218*AA218+$L218*Summary_LCIA!R$32</f>
        <v>1.1969661289787343</v>
      </c>
      <c r="AW218" s="137">
        <f>$W218*AB218+$L218*Summary_LCIA!S$32</f>
        <v>183.68599556508161</v>
      </c>
      <c r="AX218" s="137">
        <f>$W218*AC218+$L218*Summary_LCIA!T$32</f>
        <v>47.065324231608713</v>
      </c>
      <c r="AY218" s="137">
        <f>$W218*AD218+$L218*Summary_LCIA!U$32</f>
        <v>1.0362091557206601</v>
      </c>
      <c r="AZ218" s="137">
        <f>$W218*AE218+$L218*Summary_LCIA!V$32</f>
        <v>7.3040545078757431E-3</v>
      </c>
      <c r="BA218" s="137">
        <f>$W218*AF218+$L218*Summary_LCIA!W$32</f>
        <v>11.143588354507806</v>
      </c>
      <c r="BB218" s="137">
        <f>$W218*AG218+$L218*Summary_LCIA!X$32</f>
        <v>10.276884575099208</v>
      </c>
      <c r="BC218" s="137">
        <f>$W218*AH218+$L218*Summary_LCIA!Y$32</f>
        <v>0.90524269223646492</v>
      </c>
      <c r="BD218" s="137">
        <f>$W218*AI218+$L218*Summary_LCIA!Z$32</f>
        <v>0.1723487721095853</v>
      </c>
      <c r="BE218" s="137">
        <f>$W218*AJ218+$L218*Summary_LCIA!AA$32</f>
        <v>1.8429149839992716</v>
      </c>
      <c r="BF218" s="137">
        <f>$W218*AK218+$L218*Summary_LCIA!AB$32</f>
        <v>4.3564938948592279E-2</v>
      </c>
      <c r="BG218" s="137">
        <f>$W218*AL218+$L218*Summary_LCIA!AC$32</f>
        <v>2.3715389510524457E-5</v>
      </c>
      <c r="BH218" s="137">
        <f>$W218*AM218+$L218*Summary_LCIA!AD$32</f>
        <v>9.7129559484955913E-2</v>
      </c>
      <c r="BI218" s="137">
        <f>$W218*AN218+$L218*Summary_LCIA!AE$32</f>
        <v>0.287083727069259</v>
      </c>
      <c r="BJ218" s="137">
        <f>$W218*AO218+$L218*Summary_LCIA!AF$32</f>
        <v>4.1949254286737792E-2</v>
      </c>
      <c r="BK218" s="137">
        <f>$W218*AP218+$L218*Summary_LCIA!AG$32</f>
        <v>5.9544119417377847E-3</v>
      </c>
      <c r="BL218" s="137">
        <f>$W218*AQ218+$L218*Summary_LCIA!AH$32</f>
        <v>0.92971454945376908</v>
      </c>
      <c r="BM218" s="137">
        <f>$W218*AR218+$L218*Summary_LCIA!AI$32</f>
        <v>0.24661412392688742</v>
      </c>
    </row>
    <row r="219" spans="1:65" x14ac:dyDescent="0.25">
      <c r="A219" s="149">
        <v>105</v>
      </c>
      <c r="B219" s="149">
        <v>43</v>
      </c>
      <c r="C219" s="61">
        <v>40.299481</v>
      </c>
      <c r="D219" s="61">
        <v>-79.976793999999998</v>
      </c>
      <c r="E219" s="61" t="s">
        <v>265</v>
      </c>
      <c r="F219" s="149">
        <v>106</v>
      </c>
      <c r="G219" s="61" t="s">
        <v>266</v>
      </c>
      <c r="H219" s="61" t="s">
        <v>669</v>
      </c>
      <c r="I219" s="61">
        <v>40.491920999999998</v>
      </c>
      <c r="J219" s="61">
        <v>-80.235223000000005</v>
      </c>
      <c r="K219" s="61">
        <v>36.504344930000002</v>
      </c>
      <c r="L219" s="61">
        <v>41.466000000000001</v>
      </c>
      <c r="M219" s="61" t="s">
        <v>617</v>
      </c>
      <c r="N219" s="149">
        <v>42</v>
      </c>
      <c r="O219" s="149">
        <v>43</v>
      </c>
      <c r="P219" s="61" t="s">
        <v>565</v>
      </c>
      <c r="Q219" s="61" t="s">
        <v>555</v>
      </c>
      <c r="R219" s="61">
        <v>40.6895314</v>
      </c>
      <c r="S219" s="61">
        <v>-74.174462399999996</v>
      </c>
      <c r="T219" s="61">
        <v>576.21100000000001</v>
      </c>
      <c r="U219" s="61" t="s">
        <v>617</v>
      </c>
      <c r="V219" s="61" t="s">
        <v>569</v>
      </c>
      <c r="W219" s="61" cm="1">
        <f t="array" ref="W219">getDistance(I219,J219,R219,S219)*SA!$B$12</f>
        <v>513.433583839015</v>
      </c>
      <c r="Y219" s="137">
        <f>Transportation_LCIA!C$61*($W219^Transportation_LCIA!C$60)+Transportation_LCIA!C$62</f>
        <v>0.32815716511039528</v>
      </c>
      <c r="Z219" s="137">
        <f>Transportation_LCIA!D$61*($W219^Transportation_LCIA!D$60)+Transportation_LCIA!D$62</f>
        <v>3.5191542163843881</v>
      </c>
      <c r="AA219" s="137">
        <f>Transportation_LCIA!E$61*($W219^Transportation_LCIA!E$60)+Transportation_LCIA!E$62</f>
        <v>1.8665206810453132E-3</v>
      </c>
      <c r="AB219" s="137">
        <f>Transportation_LCIA!F$61*($W219^Transportation_LCIA!F$60)+Transportation_LCIA!F$62</f>
        <v>0.32815716511039528</v>
      </c>
      <c r="AC219" s="137">
        <f>Transportation_LCIA!G$61*($W219^Transportation_LCIA!G$60)+Transportation_LCIA!G$62</f>
        <v>8.1967302989677859E-2</v>
      </c>
      <c r="AD219" s="137">
        <f>Transportation_LCIA!H$61*($W219^Transportation_LCIA!H$60)+Transportation_LCIA!H$62</f>
        <v>4.3698853519291556E-4</v>
      </c>
      <c r="AE219" s="137">
        <f>Transportation_LCIA!I$61*($W219^Transportation_LCIA!I$60)+Transportation_LCIA!I$62</f>
        <v>1.0010201729396875E-5</v>
      </c>
      <c r="AF219" s="137">
        <f>Transportation_LCIA!J$61*($W219^Transportation_LCIA!J$60)+Transportation_LCIA!J$62</f>
        <v>1.4910087392935532E-2</v>
      </c>
      <c r="AG219" s="137">
        <f>Transportation_LCIA!K$61*($W219^Transportation_LCIA!K$60)+Transportation_LCIA!K$62</f>
        <v>1.8005284512120634E-2</v>
      </c>
      <c r="AH219" s="137">
        <f>Transportation_LCIA!L$61*($W219^Transportation_LCIA!L$60)+Transportation_LCIA!L$62</f>
        <v>3.8774642038002372E-4</v>
      </c>
      <c r="AI219" s="137">
        <f>Transportation_LCIA!M$61*($W219^Transportation_LCIA!M$60)+Transportation_LCIA!M$62</f>
        <v>3.3205908340433346E-4</v>
      </c>
      <c r="AJ219" s="137">
        <f>Transportation_LCIA!N$61*($W219^Transportation_LCIA!N$60)+Transportation_LCIA!N$62</f>
        <v>1.5278401037459809E-3</v>
      </c>
      <c r="AK219" s="137">
        <f>Transportation_LCIA!O$61*($W219^Transportation_LCIA!O$60)+Transportation_LCIA!O$62</f>
        <v>8.6776433969231709E-5</v>
      </c>
      <c r="AL219" s="137">
        <f>Transportation_LCIA!P$61*($W219^Transportation_LCIA!P$60)+Transportation_LCIA!P$62</f>
        <v>4.187496920977748E-8</v>
      </c>
      <c r="AM219" s="137">
        <f>Transportation_LCIA!Q$61*($W219^Transportation_LCIA!Q$60)+Transportation_LCIA!Q$62</f>
        <v>1.5289540886279419E-4</v>
      </c>
      <c r="AN219" s="137">
        <f>Transportation_LCIA!R$61*($W219^Transportation_LCIA!R$60)+Transportation_LCIA!R$62</f>
        <v>4.8092919779996581E-4</v>
      </c>
      <c r="AO219" s="137">
        <f>Transportation_LCIA!S$61*($W219^Transportation_LCIA!S$60)+Transportation_LCIA!S$62</f>
        <v>7.081081996143308E-6</v>
      </c>
      <c r="AP219" s="137">
        <f>Transportation_LCIA!T$61*($W219^Transportation_LCIA!T$60)+Transportation_LCIA!T$62</f>
        <v>7.081081996143308E-6</v>
      </c>
      <c r="AQ219" s="137">
        <f>Transportation_LCIA!U$61*($W219^Transportation_LCIA!U$60)+Transportation_LCIA!U$62</f>
        <v>1.0425420500377758E-3</v>
      </c>
      <c r="AR219" s="137">
        <f>Transportation_LCIA!V$61*($W219^Transportation_LCIA!V$60)+Transportation_LCIA!V$62</f>
        <v>3.9809863614409633E-4</v>
      </c>
      <c r="AT219" s="137">
        <f>$W219*Y219+$L219*Summary_LCIA!H$32</f>
        <v>182.5770561450816</v>
      </c>
      <c r="AU219" s="137">
        <f>$W219*Z219+$L219*Summary_LCIA!Q$32</f>
        <v>2012.3595486551949</v>
      </c>
      <c r="AV219" s="137">
        <f>$W219*AA219+$L219*Summary_LCIA!R$32</f>
        <v>1.1766777721787343</v>
      </c>
      <c r="AW219" s="137">
        <f>$W219*AB219+$L219*Summary_LCIA!S$32</f>
        <v>182.39377642508163</v>
      </c>
      <c r="AX219" s="137">
        <f>$W219*AC219+$L219*Summary_LCIA!T$32</f>
        <v>46.641879531608708</v>
      </c>
      <c r="AY219" s="137">
        <f>$W219*AD219+$L219*Summary_LCIA!U$32</f>
        <v>0.96718651372066022</v>
      </c>
      <c r="AZ219" s="137">
        <f>$W219*AE219+$L219*Summary_LCIA!V$32</f>
        <v>7.1200313748757431E-3</v>
      </c>
      <c r="BA219" s="137">
        <f>$W219*AF219+$L219*Summary_LCIA!W$32</f>
        <v>10.847019091507807</v>
      </c>
      <c r="BB219" s="137">
        <f>$W219*AG219+$L219*Summary_LCIA!X$32</f>
        <v>10.189113235099208</v>
      </c>
      <c r="BC219" s="137">
        <f>$W219*AH219+$L219*Summary_LCIA!Y$32</f>
        <v>0.84520524623646487</v>
      </c>
      <c r="BD219" s="137">
        <f>$W219*AI219+$L219*Summary_LCIA!Z$32</f>
        <v>0.1721907644325853</v>
      </c>
      <c r="BE219" s="137">
        <f>$W219*AJ219+$L219*Summary_LCIA!AA$32</f>
        <v>1.7529243159992713</v>
      </c>
      <c r="BF219" s="137">
        <f>$W219*AK219+$L219*Summary_LCIA!AB$32</f>
        <v>4.364902296759228E-2</v>
      </c>
      <c r="BG219" s="137">
        <f>$W219*AL219+$L219*Summary_LCIA!AC$32</f>
        <v>2.3527039458524457E-5</v>
      </c>
      <c r="BH219" s="137">
        <f>$W219*AM219+$L219*Summary_LCIA!AD$32</f>
        <v>9.5545822364955915E-2</v>
      </c>
      <c r="BI219" s="137">
        <f>$W219*AN219+$L219*Summary_LCIA!AE$32</f>
        <v>0.28366946817925898</v>
      </c>
      <c r="BJ219" s="137">
        <f>$W219*AO219+$L219*Summary_LCIA!AF$32</f>
        <v>3.8691851026737785E-2</v>
      </c>
      <c r="BK219" s="137">
        <f>$W219*AP219+$L219*Summary_LCIA!AG$32</f>
        <v>5.7572731967377843E-3</v>
      </c>
      <c r="BL219" s="137">
        <f>$W219*AQ219+$L219*Summary_LCIA!AH$32</f>
        <v>0.89617957865376896</v>
      </c>
      <c r="BM219" s="137">
        <f>$W219*AR219+$L219*Summary_LCIA!AI$32</f>
        <v>0.24302486177688742</v>
      </c>
    </row>
    <row r="220" spans="1:65" x14ac:dyDescent="0.25">
      <c r="A220" s="149">
        <v>106</v>
      </c>
      <c r="B220" s="149">
        <v>43</v>
      </c>
      <c r="C220" s="61">
        <v>40.299481</v>
      </c>
      <c r="D220" s="61">
        <v>-79.976793999999998</v>
      </c>
      <c r="E220" s="61" t="s">
        <v>265</v>
      </c>
      <c r="F220" s="149">
        <v>106</v>
      </c>
      <c r="G220" s="61" t="s">
        <v>266</v>
      </c>
      <c r="H220" s="61" t="s">
        <v>669</v>
      </c>
      <c r="I220" s="61">
        <v>40.491920999999998</v>
      </c>
      <c r="J220" s="61">
        <v>-80.235223000000005</v>
      </c>
      <c r="K220" s="61">
        <v>36.504344930000002</v>
      </c>
      <c r="L220" s="61">
        <v>41.466000000000001</v>
      </c>
      <c r="M220" s="61" t="s">
        <v>617</v>
      </c>
      <c r="N220" s="149">
        <v>42</v>
      </c>
      <c r="O220" s="149">
        <v>43</v>
      </c>
      <c r="P220" s="61" t="s">
        <v>565</v>
      </c>
      <c r="Q220" s="61" t="s">
        <v>555</v>
      </c>
      <c r="R220" s="61">
        <v>40.6895314</v>
      </c>
      <c r="S220" s="61">
        <v>-74.174462399999996</v>
      </c>
      <c r="T220" s="61">
        <v>576.21100000000001</v>
      </c>
      <c r="U220" s="61" t="s">
        <v>617</v>
      </c>
      <c r="V220" s="61" t="s">
        <v>569</v>
      </c>
      <c r="W220" s="61" cm="1">
        <f t="array" ref="W220">getDistance(I220,J220,R220,S220)*SA!$B$12</f>
        <v>513.433583839015</v>
      </c>
      <c r="Y220" s="137">
        <f>Transportation_LCIA!C$61*($W220^Transportation_LCIA!C$60)+Transportation_LCIA!C$62</f>
        <v>0.32815716511039528</v>
      </c>
      <c r="Z220" s="137">
        <f>Transportation_LCIA!D$61*($W220^Transportation_LCIA!D$60)+Transportation_LCIA!D$62</f>
        <v>3.5191542163843881</v>
      </c>
      <c r="AA220" s="137">
        <f>Transportation_LCIA!E$61*($W220^Transportation_LCIA!E$60)+Transportation_LCIA!E$62</f>
        <v>1.8665206810453132E-3</v>
      </c>
      <c r="AB220" s="137">
        <f>Transportation_LCIA!F$61*($W220^Transportation_LCIA!F$60)+Transportation_LCIA!F$62</f>
        <v>0.32815716511039528</v>
      </c>
      <c r="AC220" s="137">
        <f>Transportation_LCIA!G$61*($W220^Transportation_LCIA!G$60)+Transportation_LCIA!G$62</f>
        <v>8.1967302989677859E-2</v>
      </c>
      <c r="AD220" s="137">
        <f>Transportation_LCIA!H$61*($W220^Transportation_LCIA!H$60)+Transportation_LCIA!H$62</f>
        <v>4.3698853519291556E-4</v>
      </c>
      <c r="AE220" s="137">
        <f>Transportation_LCIA!I$61*($W220^Transportation_LCIA!I$60)+Transportation_LCIA!I$62</f>
        <v>1.0010201729396875E-5</v>
      </c>
      <c r="AF220" s="137">
        <f>Transportation_LCIA!J$61*($W220^Transportation_LCIA!J$60)+Transportation_LCIA!J$62</f>
        <v>1.4910087392935532E-2</v>
      </c>
      <c r="AG220" s="137">
        <f>Transportation_LCIA!K$61*($W220^Transportation_LCIA!K$60)+Transportation_LCIA!K$62</f>
        <v>1.8005284512120634E-2</v>
      </c>
      <c r="AH220" s="137">
        <f>Transportation_LCIA!L$61*($W220^Transportation_LCIA!L$60)+Transportation_LCIA!L$62</f>
        <v>3.8774642038002372E-4</v>
      </c>
      <c r="AI220" s="137">
        <f>Transportation_LCIA!M$61*($W220^Transportation_LCIA!M$60)+Transportation_LCIA!M$62</f>
        <v>3.3205908340433346E-4</v>
      </c>
      <c r="AJ220" s="137">
        <f>Transportation_LCIA!N$61*($W220^Transportation_LCIA!N$60)+Transportation_LCIA!N$62</f>
        <v>1.5278401037459809E-3</v>
      </c>
      <c r="AK220" s="137">
        <f>Transportation_LCIA!O$61*($W220^Transportation_LCIA!O$60)+Transportation_LCIA!O$62</f>
        <v>8.6776433969231709E-5</v>
      </c>
      <c r="AL220" s="137">
        <f>Transportation_LCIA!P$61*($W220^Transportation_LCIA!P$60)+Transportation_LCIA!P$62</f>
        <v>4.187496920977748E-8</v>
      </c>
      <c r="AM220" s="137">
        <f>Transportation_LCIA!Q$61*($W220^Transportation_LCIA!Q$60)+Transportation_LCIA!Q$62</f>
        <v>1.5289540886279419E-4</v>
      </c>
      <c r="AN220" s="137">
        <f>Transportation_LCIA!R$61*($W220^Transportation_LCIA!R$60)+Transportation_LCIA!R$62</f>
        <v>4.8092919779996581E-4</v>
      </c>
      <c r="AO220" s="137">
        <f>Transportation_LCIA!S$61*($W220^Transportation_LCIA!S$60)+Transportation_LCIA!S$62</f>
        <v>7.081081996143308E-6</v>
      </c>
      <c r="AP220" s="137">
        <f>Transportation_LCIA!T$61*($W220^Transportation_LCIA!T$60)+Transportation_LCIA!T$62</f>
        <v>7.081081996143308E-6</v>
      </c>
      <c r="AQ220" s="137">
        <f>Transportation_LCIA!U$61*($W220^Transportation_LCIA!U$60)+Transportation_LCIA!U$62</f>
        <v>1.0425420500377758E-3</v>
      </c>
      <c r="AR220" s="137">
        <f>Transportation_LCIA!V$61*($W220^Transportation_LCIA!V$60)+Transportation_LCIA!V$62</f>
        <v>3.9809863614409633E-4</v>
      </c>
      <c r="AT220" s="137">
        <f>$W220*Y220+$L220*Summary_LCIA!H$32</f>
        <v>182.5770561450816</v>
      </c>
      <c r="AU220" s="137">
        <f>$W220*Z220+$L220*Summary_LCIA!Q$32</f>
        <v>2012.3595486551949</v>
      </c>
      <c r="AV220" s="137">
        <f>$W220*AA220+$L220*Summary_LCIA!R$32</f>
        <v>1.1766777721787343</v>
      </c>
      <c r="AW220" s="137">
        <f>$W220*AB220+$L220*Summary_LCIA!S$32</f>
        <v>182.39377642508163</v>
      </c>
      <c r="AX220" s="137">
        <f>$W220*AC220+$L220*Summary_LCIA!T$32</f>
        <v>46.641879531608708</v>
      </c>
      <c r="AY220" s="137">
        <f>$W220*AD220+$L220*Summary_LCIA!U$32</f>
        <v>0.96718651372066022</v>
      </c>
      <c r="AZ220" s="137">
        <f>$W220*AE220+$L220*Summary_LCIA!V$32</f>
        <v>7.1200313748757431E-3</v>
      </c>
      <c r="BA220" s="137">
        <f>$W220*AF220+$L220*Summary_LCIA!W$32</f>
        <v>10.847019091507807</v>
      </c>
      <c r="BB220" s="137">
        <f>$W220*AG220+$L220*Summary_LCIA!X$32</f>
        <v>10.189113235099208</v>
      </c>
      <c r="BC220" s="137">
        <f>$W220*AH220+$L220*Summary_LCIA!Y$32</f>
        <v>0.84520524623646487</v>
      </c>
      <c r="BD220" s="137">
        <f>$W220*AI220+$L220*Summary_LCIA!Z$32</f>
        <v>0.1721907644325853</v>
      </c>
      <c r="BE220" s="137">
        <f>$W220*AJ220+$L220*Summary_LCIA!AA$32</f>
        <v>1.7529243159992713</v>
      </c>
      <c r="BF220" s="137">
        <f>$W220*AK220+$L220*Summary_LCIA!AB$32</f>
        <v>4.364902296759228E-2</v>
      </c>
      <c r="BG220" s="137">
        <f>$W220*AL220+$L220*Summary_LCIA!AC$32</f>
        <v>2.3527039458524457E-5</v>
      </c>
      <c r="BH220" s="137">
        <f>$W220*AM220+$L220*Summary_LCIA!AD$32</f>
        <v>9.5545822364955915E-2</v>
      </c>
      <c r="BI220" s="137">
        <f>$W220*AN220+$L220*Summary_LCIA!AE$32</f>
        <v>0.28366946817925898</v>
      </c>
      <c r="BJ220" s="137">
        <f>$W220*AO220+$L220*Summary_LCIA!AF$32</f>
        <v>3.8691851026737785E-2</v>
      </c>
      <c r="BK220" s="137">
        <f>$W220*AP220+$L220*Summary_LCIA!AG$32</f>
        <v>5.7572731967377843E-3</v>
      </c>
      <c r="BL220" s="137">
        <f>$W220*AQ220+$L220*Summary_LCIA!AH$32</f>
        <v>0.89617957865376896</v>
      </c>
      <c r="BM220" s="137">
        <f>$W220*AR220+$L220*Summary_LCIA!AI$32</f>
        <v>0.24302486177688742</v>
      </c>
    </row>
    <row r="221" spans="1:65" x14ac:dyDescent="0.25">
      <c r="A221" s="149">
        <v>107</v>
      </c>
      <c r="B221" s="149">
        <v>43</v>
      </c>
      <c r="C221" s="61">
        <v>40.299481</v>
      </c>
      <c r="D221" s="61">
        <v>-79.976793999999998</v>
      </c>
      <c r="E221" s="61" t="s">
        <v>265</v>
      </c>
      <c r="F221" s="149">
        <v>106</v>
      </c>
      <c r="G221" s="61" t="s">
        <v>266</v>
      </c>
      <c r="H221" s="61" t="s">
        <v>669</v>
      </c>
      <c r="I221" s="61">
        <v>40.491920999999998</v>
      </c>
      <c r="J221" s="61">
        <v>-80.235223000000005</v>
      </c>
      <c r="K221" s="61">
        <v>36.504344930000002</v>
      </c>
      <c r="L221" s="61">
        <v>41.466000000000001</v>
      </c>
      <c r="M221" s="61" t="s">
        <v>617</v>
      </c>
      <c r="N221" s="149">
        <v>42</v>
      </c>
      <c r="O221" s="149">
        <v>43</v>
      </c>
      <c r="P221" s="61" t="s">
        <v>565</v>
      </c>
      <c r="Q221" s="61" t="s">
        <v>555</v>
      </c>
      <c r="R221" s="61">
        <v>40.6895314</v>
      </c>
      <c r="S221" s="61">
        <v>-74.174462399999996</v>
      </c>
      <c r="T221" s="61">
        <v>576.21100000000001</v>
      </c>
      <c r="U221" s="61" t="s">
        <v>617</v>
      </c>
      <c r="V221" s="61" t="s">
        <v>569</v>
      </c>
      <c r="W221" s="61" cm="1">
        <f t="array" ref="W221">getDistance(I221,J221,R221,S221)*SA!$B$12</f>
        <v>513.433583839015</v>
      </c>
      <c r="Y221" s="137">
        <f>Transportation_LCIA!C$61*($W221^Transportation_LCIA!C$60)+Transportation_LCIA!C$62</f>
        <v>0.32815716511039528</v>
      </c>
      <c r="Z221" s="137">
        <f>Transportation_LCIA!D$61*($W221^Transportation_LCIA!D$60)+Transportation_LCIA!D$62</f>
        <v>3.5191542163843881</v>
      </c>
      <c r="AA221" s="137">
        <f>Transportation_LCIA!E$61*($W221^Transportation_LCIA!E$60)+Transportation_LCIA!E$62</f>
        <v>1.8665206810453132E-3</v>
      </c>
      <c r="AB221" s="137">
        <f>Transportation_LCIA!F$61*($W221^Transportation_LCIA!F$60)+Transportation_LCIA!F$62</f>
        <v>0.32815716511039528</v>
      </c>
      <c r="AC221" s="137">
        <f>Transportation_LCIA!G$61*($W221^Transportation_LCIA!G$60)+Transportation_LCIA!G$62</f>
        <v>8.1967302989677859E-2</v>
      </c>
      <c r="AD221" s="137">
        <f>Transportation_LCIA!H$61*($W221^Transportation_LCIA!H$60)+Transportation_LCIA!H$62</f>
        <v>4.3698853519291556E-4</v>
      </c>
      <c r="AE221" s="137">
        <f>Transportation_LCIA!I$61*($W221^Transportation_LCIA!I$60)+Transportation_LCIA!I$62</f>
        <v>1.0010201729396875E-5</v>
      </c>
      <c r="AF221" s="137">
        <f>Transportation_LCIA!J$61*($W221^Transportation_LCIA!J$60)+Transportation_LCIA!J$62</f>
        <v>1.4910087392935532E-2</v>
      </c>
      <c r="AG221" s="137">
        <f>Transportation_LCIA!K$61*($W221^Transportation_LCIA!K$60)+Transportation_LCIA!K$62</f>
        <v>1.8005284512120634E-2</v>
      </c>
      <c r="AH221" s="137">
        <f>Transportation_LCIA!L$61*($W221^Transportation_LCIA!L$60)+Transportation_LCIA!L$62</f>
        <v>3.8774642038002372E-4</v>
      </c>
      <c r="AI221" s="137">
        <f>Transportation_LCIA!M$61*($W221^Transportation_LCIA!M$60)+Transportation_LCIA!M$62</f>
        <v>3.3205908340433346E-4</v>
      </c>
      <c r="AJ221" s="137">
        <f>Transportation_LCIA!N$61*($W221^Transportation_LCIA!N$60)+Transportation_LCIA!N$62</f>
        <v>1.5278401037459809E-3</v>
      </c>
      <c r="AK221" s="137">
        <f>Transportation_LCIA!O$61*($W221^Transportation_LCIA!O$60)+Transportation_LCIA!O$62</f>
        <v>8.6776433969231709E-5</v>
      </c>
      <c r="AL221" s="137">
        <f>Transportation_LCIA!P$61*($W221^Transportation_LCIA!P$60)+Transportation_LCIA!P$62</f>
        <v>4.187496920977748E-8</v>
      </c>
      <c r="AM221" s="137">
        <f>Transportation_LCIA!Q$61*($W221^Transportation_LCIA!Q$60)+Transportation_LCIA!Q$62</f>
        <v>1.5289540886279419E-4</v>
      </c>
      <c r="AN221" s="137">
        <f>Transportation_LCIA!R$61*($W221^Transportation_LCIA!R$60)+Transportation_LCIA!R$62</f>
        <v>4.8092919779996581E-4</v>
      </c>
      <c r="AO221" s="137">
        <f>Transportation_LCIA!S$61*($W221^Transportation_LCIA!S$60)+Transportation_LCIA!S$62</f>
        <v>7.081081996143308E-6</v>
      </c>
      <c r="AP221" s="137">
        <f>Transportation_LCIA!T$61*($W221^Transportation_LCIA!T$60)+Transportation_LCIA!T$62</f>
        <v>7.081081996143308E-6</v>
      </c>
      <c r="AQ221" s="137">
        <f>Transportation_LCIA!U$61*($W221^Transportation_LCIA!U$60)+Transportation_LCIA!U$62</f>
        <v>1.0425420500377758E-3</v>
      </c>
      <c r="AR221" s="137">
        <f>Transportation_LCIA!V$61*($W221^Transportation_LCIA!V$60)+Transportation_LCIA!V$62</f>
        <v>3.9809863614409633E-4</v>
      </c>
      <c r="AT221" s="137">
        <f>$W221*Y221+$L221*Summary_LCIA!H$32</f>
        <v>182.5770561450816</v>
      </c>
      <c r="AU221" s="137">
        <f>$W221*Z221+$L221*Summary_LCIA!Q$32</f>
        <v>2012.3595486551949</v>
      </c>
      <c r="AV221" s="137">
        <f>$W221*AA221+$L221*Summary_LCIA!R$32</f>
        <v>1.1766777721787343</v>
      </c>
      <c r="AW221" s="137">
        <f>$W221*AB221+$L221*Summary_LCIA!S$32</f>
        <v>182.39377642508163</v>
      </c>
      <c r="AX221" s="137">
        <f>$W221*AC221+$L221*Summary_LCIA!T$32</f>
        <v>46.641879531608708</v>
      </c>
      <c r="AY221" s="137">
        <f>$W221*AD221+$L221*Summary_LCIA!U$32</f>
        <v>0.96718651372066022</v>
      </c>
      <c r="AZ221" s="137">
        <f>$W221*AE221+$L221*Summary_LCIA!V$32</f>
        <v>7.1200313748757431E-3</v>
      </c>
      <c r="BA221" s="137">
        <f>$W221*AF221+$L221*Summary_LCIA!W$32</f>
        <v>10.847019091507807</v>
      </c>
      <c r="BB221" s="137">
        <f>$W221*AG221+$L221*Summary_LCIA!X$32</f>
        <v>10.189113235099208</v>
      </c>
      <c r="BC221" s="137">
        <f>$W221*AH221+$L221*Summary_LCIA!Y$32</f>
        <v>0.84520524623646487</v>
      </c>
      <c r="BD221" s="137">
        <f>$W221*AI221+$L221*Summary_LCIA!Z$32</f>
        <v>0.1721907644325853</v>
      </c>
      <c r="BE221" s="137">
        <f>$W221*AJ221+$L221*Summary_LCIA!AA$32</f>
        <v>1.7529243159992713</v>
      </c>
      <c r="BF221" s="137">
        <f>$W221*AK221+$L221*Summary_LCIA!AB$32</f>
        <v>4.364902296759228E-2</v>
      </c>
      <c r="BG221" s="137">
        <f>$W221*AL221+$L221*Summary_LCIA!AC$32</f>
        <v>2.3527039458524457E-5</v>
      </c>
      <c r="BH221" s="137">
        <f>$W221*AM221+$L221*Summary_LCIA!AD$32</f>
        <v>9.5545822364955915E-2</v>
      </c>
      <c r="BI221" s="137">
        <f>$W221*AN221+$L221*Summary_LCIA!AE$32</f>
        <v>0.28366946817925898</v>
      </c>
      <c r="BJ221" s="137">
        <f>$W221*AO221+$L221*Summary_LCIA!AF$32</f>
        <v>3.8691851026737785E-2</v>
      </c>
      <c r="BK221" s="137">
        <f>$W221*AP221+$L221*Summary_LCIA!AG$32</f>
        <v>5.7572731967377843E-3</v>
      </c>
      <c r="BL221" s="137">
        <f>$W221*AQ221+$L221*Summary_LCIA!AH$32</f>
        <v>0.89617957865376896</v>
      </c>
      <c r="BM221" s="137">
        <f>$W221*AR221+$L221*Summary_LCIA!AI$32</f>
        <v>0.24302486177688742</v>
      </c>
    </row>
    <row r="222" spans="1:65" x14ac:dyDescent="0.25">
      <c r="A222" s="149">
        <v>99</v>
      </c>
      <c r="B222" s="149">
        <v>43</v>
      </c>
      <c r="C222" s="61">
        <v>40.444164999999998</v>
      </c>
      <c r="D222" s="61">
        <v>-79.943371999999997</v>
      </c>
      <c r="E222" s="61" t="s">
        <v>265</v>
      </c>
      <c r="F222" s="149">
        <v>106</v>
      </c>
      <c r="G222" s="61" t="s">
        <v>266</v>
      </c>
      <c r="H222" s="61" t="s">
        <v>669</v>
      </c>
      <c r="I222" s="61">
        <v>40.491920999999998</v>
      </c>
      <c r="J222" s="61">
        <v>-80.235223000000005</v>
      </c>
      <c r="K222" s="61">
        <v>25.455054860000001</v>
      </c>
      <c r="L222" s="61">
        <v>32.761000000000003</v>
      </c>
      <c r="M222" s="61" t="s">
        <v>617</v>
      </c>
      <c r="N222" s="149">
        <v>42</v>
      </c>
      <c r="O222" s="149">
        <v>43</v>
      </c>
      <c r="P222" s="61" t="s">
        <v>565</v>
      </c>
      <c r="Q222" s="61" t="s">
        <v>555</v>
      </c>
      <c r="R222" s="61">
        <v>40.6895314</v>
      </c>
      <c r="S222" s="61">
        <v>-74.174462399999996</v>
      </c>
      <c r="T222" s="61">
        <v>578.36400000000003</v>
      </c>
      <c r="U222" s="61" t="s">
        <v>617</v>
      </c>
      <c r="V222" s="61" t="s">
        <v>569</v>
      </c>
      <c r="W222" s="61" cm="1">
        <f t="array" ref="W222">getDistance(I222,J222,R222,S222)*SA!$B$12</f>
        <v>513.433583839015</v>
      </c>
      <c r="Y222" s="137">
        <f>Transportation_LCIA!C$61*($W222^Transportation_LCIA!C$60)+Transportation_LCIA!C$62</f>
        <v>0.32815716511039528</v>
      </c>
      <c r="Z222" s="137">
        <f>Transportation_LCIA!D$61*($W222^Transportation_LCIA!D$60)+Transportation_LCIA!D$62</f>
        <v>3.5191542163843881</v>
      </c>
      <c r="AA222" s="137">
        <f>Transportation_LCIA!E$61*($W222^Transportation_LCIA!E$60)+Transportation_LCIA!E$62</f>
        <v>1.8665206810453132E-3</v>
      </c>
      <c r="AB222" s="137">
        <f>Transportation_LCIA!F$61*($W222^Transportation_LCIA!F$60)+Transportation_LCIA!F$62</f>
        <v>0.32815716511039528</v>
      </c>
      <c r="AC222" s="137">
        <f>Transportation_LCIA!G$61*($W222^Transportation_LCIA!G$60)+Transportation_LCIA!G$62</f>
        <v>8.1967302989677859E-2</v>
      </c>
      <c r="AD222" s="137">
        <f>Transportation_LCIA!H$61*($W222^Transportation_LCIA!H$60)+Transportation_LCIA!H$62</f>
        <v>4.3698853519291556E-4</v>
      </c>
      <c r="AE222" s="137">
        <f>Transportation_LCIA!I$61*($W222^Transportation_LCIA!I$60)+Transportation_LCIA!I$62</f>
        <v>1.0010201729396875E-5</v>
      </c>
      <c r="AF222" s="137">
        <f>Transportation_LCIA!J$61*($W222^Transportation_LCIA!J$60)+Transportation_LCIA!J$62</f>
        <v>1.4910087392935532E-2</v>
      </c>
      <c r="AG222" s="137">
        <f>Transportation_LCIA!K$61*($W222^Transportation_LCIA!K$60)+Transportation_LCIA!K$62</f>
        <v>1.8005284512120634E-2</v>
      </c>
      <c r="AH222" s="137">
        <f>Transportation_LCIA!L$61*($W222^Transportation_LCIA!L$60)+Transportation_LCIA!L$62</f>
        <v>3.8774642038002372E-4</v>
      </c>
      <c r="AI222" s="137">
        <f>Transportation_LCIA!M$61*($W222^Transportation_LCIA!M$60)+Transportation_LCIA!M$62</f>
        <v>3.3205908340433346E-4</v>
      </c>
      <c r="AJ222" s="137">
        <f>Transportation_LCIA!N$61*($W222^Transportation_LCIA!N$60)+Transportation_LCIA!N$62</f>
        <v>1.5278401037459809E-3</v>
      </c>
      <c r="AK222" s="137">
        <f>Transportation_LCIA!O$61*($W222^Transportation_LCIA!O$60)+Transportation_LCIA!O$62</f>
        <v>8.6776433969231709E-5</v>
      </c>
      <c r="AL222" s="137">
        <f>Transportation_LCIA!P$61*($W222^Transportation_LCIA!P$60)+Transportation_LCIA!P$62</f>
        <v>4.187496920977748E-8</v>
      </c>
      <c r="AM222" s="137">
        <f>Transportation_LCIA!Q$61*($W222^Transportation_LCIA!Q$60)+Transportation_LCIA!Q$62</f>
        <v>1.5289540886279419E-4</v>
      </c>
      <c r="AN222" s="137">
        <f>Transportation_LCIA!R$61*($W222^Transportation_LCIA!R$60)+Transportation_LCIA!R$62</f>
        <v>4.8092919779996581E-4</v>
      </c>
      <c r="AO222" s="137">
        <f>Transportation_LCIA!S$61*($W222^Transportation_LCIA!S$60)+Transportation_LCIA!S$62</f>
        <v>7.081081996143308E-6</v>
      </c>
      <c r="AP222" s="137">
        <f>Transportation_LCIA!T$61*($W222^Transportation_LCIA!T$60)+Transportation_LCIA!T$62</f>
        <v>7.081081996143308E-6</v>
      </c>
      <c r="AQ222" s="137">
        <f>Transportation_LCIA!U$61*($W222^Transportation_LCIA!U$60)+Transportation_LCIA!U$62</f>
        <v>1.0425420500377758E-3</v>
      </c>
      <c r="AR222" s="137">
        <f>Transportation_LCIA!V$61*($W222^Transportation_LCIA!V$60)+Transportation_LCIA!V$62</f>
        <v>3.9809863614409633E-4</v>
      </c>
      <c r="AT222" s="137">
        <f>$W222*Y222+$L222*Summary_LCIA!H$32</f>
        <v>179.61909714508161</v>
      </c>
      <c r="AU222" s="137">
        <f>$W222*Z222+$L222*Summary_LCIA!Q$32</f>
        <v>1969.21712963593</v>
      </c>
      <c r="AV222" s="137">
        <f>$W222*AA222+$L222*Summary_LCIA!R$32</f>
        <v>1.1308407241787344</v>
      </c>
      <c r="AW222" s="137">
        <f>$W222*AB222+$L222*Summary_LCIA!S$32</f>
        <v>179.47429352508161</v>
      </c>
      <c r="AX222" s="137">
        <f>$W222*AC222+$L222*Summary_LCIA!T$32</f>
        <v>45.685200031608709</v>
      </c>
      <c r="AY222" s="137">
        <f>$W222*AD222+$L222*Summary_LCIA!U$32</f>
        <v>0.81124514372066026</v>
      </c>
      <c r="AZ222" s="137">
        <f>$W222*AE222+$L222*Summary_LCIA!V$32</f>
        <v>6.7042718698757438E-3</v>
      </c>
      <c r="BA222" s="137">
        <f>$W222*AF222+$L222*Summary_LCIA!W$32</f>
        <v>10.176986536507806</v>
      </c>
      <c r="BB222" s="137">
        <f>$W222*AG222+$L222*Summary_LCIA!X$32</f>
        <v>9.9908133350992081</v>
      </c>
      <c r="BC222" s="137">
        <f>$W222*AH222+$L222*Summary_LCIA!Y$32</f>
        <v>0.70956393623646496</v>
      </c>
      <c r="BD222" s="137">
        <f>$W222*AI222+$L222*Summary_LCIA!Z$32</f>
        <v>0.17183378108758532</v>
      </c>
      <c r="BE222" s="137">
        <f>$W222*AJ222+$L222*Summary_LCIA!AA$32</f>
        <v>1.5496103359992714</v>
      </c>
      <c r="BF222" s="137">
        <f>$W222*AK222+$L222*Summary_LCIA!AB$32</f>
        <v>4.3838992182592275E-2</v>
      </c>
      <c r="BG222" s="137">
        <f>$W222*AL222+$L222*Summary_LCIA!AC$32</f>
        <v>2.3101504238524458E-5</v>
      </c>
      <c r="BH222" s="137">
        <f>$W222*AM222+$L222*Summary_LCIA!AD$32</f>
        <v>9.1967719164955913E-2</v>
      </c>
      <c r="BI222" s="137">
        <f>$W222*AN222+$L222*Summary_LCIA!AE$32</f>
        <v>0.27595570652925899</v>
      </c>
      <c r="BJ222" s="137">
        <f>$W222*AO222+$L222*Summary_LCIA!AF$32</f>
        <v>3.1332469926737792E-2</v>
      </c>
      <c r="BK222" s="137">
        <f>$W222*AP222+$L222*Summary_LCIA!AG$32</f>
        <v>5.3118818717377853E-3</v>
      </c>
      <c r="BL222" s="137">
        <f>$W222*AQ222+$L222*Summary_LCIA!AH$32</f>
        <v>0.82041474065376896</v>
      </c>
      <c r="BM222" s="137">
        <f>$W222*AR222+$L222*Summary_LCIA!AI$32</f>
        <v>0.2349157190268874</v>
      </c>
    </row>
    <row r="223" spans="1:65" x14ac:dyDescent="0.25">
      <c r="A223" s="149">
        <v>95</v>
      </c>
      <c r="B223" s="149">
        <v>43</v>
      </c>
      <c r="C223" s="61">
        <v>40.444389999999999</v>
      </c>
      <c r="D223" s="61">
        <v>-79.953412999999998</v>
      </c>
      <c r="E223" s="61" t="s">
        <v>265</v>
      </c>
      <c r="F223" s="149">
        <v>106</v>
      </c>
      <c r="G223" s="61" t="s">
        <v>266</v>
      </c>
      <c r="H223" s="61" t="s">
        <v>669</v>
      </c>
      <c r="I223" s="61">
        <v>40.491920999999998</v>
      </c>
      <c r="J223" s="61">
        <v>-80.235223000000005</v>
      </c>
      <c r="K223" s="61">
        <v>24.630663819999999</v>
      </c>
      <c r="L223" s="61">
        <v>31.443999999999999</v>
      </c>
      <c r="M223" s="61" t="s">
        <v>617</v>
      </c>
      <c r="N223" s="149">
        <v>42</v>
      </c>
      <c r="O223" s="149">
        <v>43</v>
      </c>
      <c r="P223" s="61" t="s">
        <v>565</v>
      </c>
      <c r="Q223" s="61" t="s">
        <v>555</v>
      </c>
      <c r="R223" s="61">
        <v>40.6895314</v>
      </c>
      <c r="S223" s="61">
        <v>-74.174462399999996</v>
      </c>
      <c r="T223" s="61">
        <v>578.75699999999995</v>
      </c>
      <c r="U223" s="61" t="s">
        <v>617</v>
      </c>
      <c r="V223" s="61" t="s">
        <v>569</v>
      </c>
      <c r="W223" s="61" cm="1">
        <f t="array" ref="W223">getDistance(I223,J223,R223,S223)*SA!$B$12</f>
        <v>513.433583839015</v>
      </c>
      <c r="Y223" s="137">
        <f>Transportation_LCIA!C$61*($W223^Transportation_LCIA!C$60)+Transportation_LCIA!C$62</f>
        <v>0.32815716511039528</v>
      </c>
      <c r="Z223" s="137">
        <f>Transportation_LCIA!D$61*($W223^Transportation_LCIA!D$60)+Transportation_LCIA!D$62</f>
        <v>3.5191542163843881</v>
      </c>
      <c r="AA223" s="137">
        <f>Transportation_LCIA!E$61*($W223^Transportation_LCIA!E$60)+Transportation_LCIA!E$62</f>
        <v>1.8665206810453132E-3</v>
      </c>
      <c r="AB223" s="137">
        <f>Transportation_LCIA!F$61*($W223^Transportation_LCIA!F$60)+Transportation_LCIA!F$62</f>
        <v>0.32815716511039528</v>
      </c>
      <c r="AC223" s="137">
        <f>Transportation_LCIA!G$61*($W223^Transportation_LCIA!G$60)+Transportation_LCIA!G$62</f>
        <v>8.1967302989677859E-2</v>
      </c>
      <c r="AD223" s="137">
        <f>Transportation_LCIA!H$61*($W223^Transportation_LCIA!H$60)+Transportation_LCIA!H$62</f>
        <v>4.3698853519291556E-4</v>
      </c>
      <c r="AE223" s="137">
        <f>Transportation_LCIA!I$61*($W223^Transportation_LCIA!I$60)+Transportation_LCIA!I$62</f>
        <v>1.0010201729396875E-5</v>
      </c>
      <c r="AF223" s="137">
        <f>Transportation_LCIA!J$61*($W223^Transportation_LCIA!J$60)+Transportation_LCIA!J$62</f>
        <v>1.4910087392935532E-2</v>
      </c>
      <c r="AG223" s="137">
        <f>Transportation_LCIA!K$61*($W223^Transportation_LCIA!K$60)+Transportation_LCIA!K$62</f>
        <v>1.8005284512120634E-2</v>
      </c>
      <c r="AH223" s="137">
        <f>Transportation_LCIA!L$61*($W223^Transportation_LCIA!L$60)+Transportation_LCIA!L$62</f>
        <v>3.8774642038002372E-4</v>
      </c>
      <c r="AI223" s="137">
        <f>Transportation_LCIA!M$61*($W223^Transportation_LCIA!M$60)+Transportation_LCIA!M$62</f>
        <v>3.3205908340433346E-4</v>
      </c>
      <c r="AJ223" s="137">
        <f>Transportation_LCIA!N$61*($W223^Transportation_LCIA!N$60)+Transportation_LCIA!N$62</f>
        <v>1.5278401037459809E-3</v>
      </c>
      <c r="AK223" s="137">
        <f>Transportation_LCIA!O$61*($W223^Transportation_LCIA!O$60)+Transportation_LCIA!O$62</f>
        <v>8.6776433969231709E-5</v>
      </c>
      <c r="AL223" s="137">
        <f>Transportation_LCIA!P$61*($W223^Transportation_LCIA!P$60)+Transportation_LCIA!P$62</f>
        <v>4.187496920977748E-8</v>
      </c>
      <c r="AM223" s="137">
        <f>Transportation_LCIA!Q$61*($W223^Transportation_LCIA!Q$60)+Transportation_LCIA!Q$62</f>
        <v>1.5289540886279419E-4</v>
      </c>
      <c r="AN223" s="137">
        <f>Transportation_LCIA!R$61*($W223^Transportation_LCIA!R$60)+Transportation_LCIA!R$62</f>
        <v>4.8092919779996581E-4</v>
      </c>
      <c r="AO223" s="137">
        <f>Transportation_LCIA!S$61*($W223^Transportation_LCIA!S$60)+Transportation_LCIA!S$62</f>
        <v>7.081081996143308E-6</v>
      </c>
      <c r="AP223" s="137">
        <f>Transportation_LCIA!T$61*($W223^Transportation_LCIA!T$60)+Transportation_LCIA!T$62</f>
        <v>7.081081996143308E-6</v>
      </c>
      <c r="AQ223" s="137">
        <f>Transportation_LCIA!U$61*($W223^Transportation_LCIA!U$60)+Transportation_LCIA!U$62</f>
        <v>1.0425420500377758E-3</v>
      </c>
      <c r="AR223" s="137">
        <f>Transportation_LCIA!V$61*($W223^Transportation_LCIA!V$60)+Transportation_LCIA!V$62</f>
        <v>3.9809863614409633E-4</v>
      </c>
      <c r="AT223" s="137">
        <f>$W223*Y223+$L223*Summary_LCIA!H$32</f>
        <v>179.17158054508161</v>
      </c>
      <c r="AU223" s="137">
        <f>$W223*Z223+$L223*Summary_LCIA!Q$32</f>
        <v>1962.6900112156688</v>
      </c>
      <c r="AV223" s="137">
        <f>$W223*AA223+$L223*Summary_LCIA!R$32</f>
        <v>1.1239059289787343</v>
      </c>
      <c r="AW223" s="137">
        <f>$W223*AB223+$L223*Summary_LCIA!S$32</f>
        <v>179.0325980650816</v>
      </c>
      <c r="AX223" s="137">
        <f>$W223*AC223+$L223*Summary_LCIA!T$32</f>
        <v>45.540461731608708</v>
      </c>
      <c r="AY223" s="137">
        <f>$W223*AD223+$L223*Summary_LCIA!U$32</f>
        <v>0.7876524057206602</v>
      </c>
      <c r="AZ223" s="137">
        <f>$W223*AE223+$L223*Summary_LCIA!V$32</f>
        <v>6.6413706328757429E-3</v>
      </c>
      <c r="BA223" s="137">
        <f>$W223*AF223+$L223*Summary_LCIA!W$32</f>
        <v>10.075615729507806</v>
      </c>
      <c r="BB223" s="137">
        <f>$W223*AG223+$L223*Summary_LCIA!X$32</f>
        <v>9.9608120750992075</v>
      </c>
      <c r="BC223" s="137">
        <f>$W223*AH223+$L223*Summary_LCIA!Y$32</f>
        <v>0.68904244223646494</v>
      </c>
      <c r="BD223" s="137">
        <f>$W223*AI223+$L223*Summary_LCIA!Z$32</f>
        <v>0.17177977223458532</v>
      </c>
      <c r="BE223" s="137">
        <f>$W223*AJ223+$L223*Summary_LCIA!AA$32</f>
        <v>1.5188504839992714</v>
      </c>
      <c r="BF223" s="137">
        <f>$W223*AK223+$L223*Summary_LCIA!AB$32</f>
        <v>4.3867733073592277E-2</v>
      </c>
      <c r="BG223" s="137">
        <f>$W223*AL223+$L223*Summary_LCIA!AC$32</f>
        <v>2.3037124010524458E-5</v>
      </c>
      <c r="BH223" s="137">
        <f>$W223*AM223+$L223*Summary_LCIA!AD$32</f>
        <v>9.1426379484955911E-2</v>
      </c>
      <c r="BI223" s="137">
        <f>$W223*AN223+$L223*Summary_LCIA!AE$32</f>
        <v>0.27478867331925899</v>
      </c>
      <c r="BJ223" s="137">
        <f>$W223*AO223+$L223*Summary_LCIA!AF$32</f>
        <v>3.0219051786737786E-2</v>
      </c>
      <c r="BK223" s="137">
        <f>$W223*AP223+$L223*Summary_LCIA!AG$32</f>
        <v>5.2444975667377842E-3</v>
      </c>
      <c r="BL223" s="137">
        <f>$W223*AQ223+$L223*Summary_LCIA!AH$32</f>
        <v>0.808952099453769</v>
      </c>
      <c r="BM223" s="137">
        <f>$W223*AR223+$L223*Summary_LCIA!AI$32</f>
        <v>0.2336888676768874</v>
      </c>
    </row>
    <row r="224" spans="1:65" x14ac:dyDescent="0.25">
      <c r="A224" s="149">
        <v>96</v>
      </c>
      <c r="B224" s="149">
        <v>43</v>
      </c>
      <c r="C224" s="61">
        <v>40.444389999999999</v>
      </c>
      <c r="D224" s="61">
        <v>-79.953412999999998</v>
      </c>
      <c r="E224" s="61" t="s">
        <v>265</v>
      </c>
      <c r="F224" s="149">
        <v>106</v>
      </c>
      <c r="G224" s="61" t="s">
        <v>266</v>
      </c>
      <c r="H224" s="61" t="s">
        <v>669</v>
      </c>
      <c r="I224" s="61">
        <v>40.491920999999998</v>
      </c>
      <c r="J224" s="61">
        <v>-80.235223000000005</v>
      </c>
      <c r="K224" s="61">
        <v>24.630663819999999</v>
      </c>
      <c r="L224" s="61">
        <v>31.443999999999999</v>
      </c>
      <c r="M224" s="61" t="s">
        <v>617</v>
      </c>
      <c r="N224" s="149">
        <v>42</v>
      </c>
      <c r="O224" s="149">
        <v>43</v>
      </c>
      <c r="P224" s="61" t="s">
        <v>565</v>
      </c>
      <c r="Q224" s="61" t="s">
        <v>555</v>
      </c>
      <c r="R224" s="61">
        <v>40.6895314</v>
      </c>
      <c r="S224" s="61">
        <v>-74.174462399999996</v>
      </c>
      <c r="T224" s="61">
        <v>578.75699999999995</v>
      </c>
      <c r="U224" s="61" t="s">
        <v>617</v>
      </c>
      <c r="V224" s="61" t="s">
        <v>569</v>
      </c>
      <c r="W224" s="61" cm="1">
        <f t="array" ref="W224">getDistance(I224,J224,R224,S224)*SA!$B$12</f>
        <v>513.433583839015</v>
      </c>
      <c r="Y224" s="137">
        <f>Transportation_LCIA!C$61*($W224^Transportation_LCIA!C$60)+Transportation_LCIA!C$62</f>
        <v>0.32815716511039528</v>
      </c>
      <c r="Z224" s="137">
        <f>Transportation_LCIA!D$61*($W224^Transportation_LCIA!D$60)+Transportation_LCIA!D$62</f>
        <v>3.5191542163843881</v>
      </c>
      <c r="AA224" s="137">
        <f>Transportation_LCIA!E$61*($W224^Transportation_LCIA!E$60)+Transportation_LCIA!E$62</f>
        <v>1.8665206810453132E-3</v>
      </c>
      <c r="AB224" s="137">
        <f>Transportation_LCIA!F$61*($W224^Transportation_LCIA!F$60)+Transportation_LCIA!F$62</f>
        <v>0.32815716511039528</v>
      </c>
      <c r="AC224" s="137">
        <f>Transportation_LCIA!G$61*($W224^Transportation_LCIA!G$60)+Transportation_LCIA!G$62</f>
        <v>8.1967302989677859E-2</v>
      </c>
      <c r="AD224" s="137">
        <f>Transportation_LCIA!H$61*($W224^Transportation_LCIA!H$60)+Transportation_LCIA!H$62</f>
        <v>4.3698853519291556E-4</v>
      </c>
      <c r="AE224" s="137">
        <f>Transportation_LCIA!I$61*($W224^Transportation_LCIA!I$60)+Transportation_LCIA!I$62</f>
        <v>1.0010201729396875E-5</v>
      </c>
      <c r="AF224" s="137">
        <f>Transportation_LCIA!J$61*($W224^Transportation_LCIA!J$60)+Transportation_LCIA!J$62</f>
        <v>1.4910087392935532E-2</v>
      </c>
      <c r="AG224" s="137">
        <f>Transportation_LCIA!K$61*($W224^Transportation_LCIA!K$60)+Transportation_LCIA!K$62</f>
        <v>1.8005284512120634E-2</v>
      </c>
      <c r="AH224" s="137">
        <f>Transportation_LCIA!L$61*($W224^Transportation_LCIA!L$60)+Transportation_LCIA!L$62</f>
        <v>3.8774642038002372E-4</v>
      </c>
      <c r="AI224" s="137">
        <f>Transportation_LCIA!M$61*($W224^Transportation_LCIA!M$60)+Transportation_LCIA!M$62</f>
        <v>3.3205908340433346E-4</v>
      </c>
      <c r="AJ224" s="137">
        <f>Transportation_LCIA!N$61*($W224^Transportation_LCIA!N$60)+Transportation_LCIA!N$62</f>
        <v>1.5278401037459809E-3</v>
      </c>
      <c r="AK224" s="137">
        <f>Transportation_LCIA!O$61*($W224^Transportation_LCIA!O$60)+Transportation_LCIA!O$62</f>
        <v>8.6776433969231709E-5</v>
      </c>
      <c r="AL224" s="137">
        <f>Transportation_LCIA!P$61*($W224^Transportation_LCIA!P$60)+Transportation_LCIA!P$62</f>
        <v>4.187496920977748E-8</v>
      </c>
      <c r="AM224" s="137">
        <f>Transportation_LCIA!Q$61*($W224^Transportation_LCIA!Q$60)+Transportation_LCIA!Q$62</f>
        <v>1.5289540886279419E-4</v>
      </c>
      <c r="AN224" s="137">
        <f>Transportation_LCIA!R$61*($W224^Transportation_LCIA!R$60)+Transportation_LCIA!R$62</f>
        <v>4.8092919779996581E-4</v>
      </c>
      <c r="AO224" s="137">
        <f>Transportation_LCIA!S$61*($W224^Transportation_LCIA!S$60)+Transportation_LCIA!S$62</f>
        <v>7.081081996143308E-6</v>
      </c>
      <c r="AP224" s="137">
        <f>Transportation_LCIA!T$61*($W224^Transportation_LCIA!T$60)+Transportation_LCIA!T$62</f>
        <v>7.081081996143308E-6</v>
      </c>
      <c r="AQ224" s="137">
        <f>Transportation_LCIA!U$61*($W224^Transportation_LCIA!U$60)+Transportation_LCIA!U$62</f>
        <v>1.0425420500377758E-3</v>
      </c>
      <c r="AR224" s="137">
        <f>Transportation_LCIA!V$61*($W224^Transportation_LCIA!V$60)+Transportation_LCIA!V$62</f>
        <v>3.9809863614409633E-4</v>
      </c>
      <c r="AT224" s="137">
        <f>$W224*Y224+$L224*Summary_LCIA!H$32</f>
        <v>179.17158054508161</v>
      </c>
      <c r="AU224" s="137">
        <f>$W224*Z224+$L224*Summary_LCIA!Q$32</f>
        <v>1962.6900112156688</v>
      </c>
      <c r="AV224" s="137">
        <f>$W224*AA224+$L224*Summary_LCIA!R$32</f>
        <v>1.1239059289787343</v>
      </c>
      <c r="AW224" s="137">
        <f>$W224*AB224+$L224*Summary_LCIA!S$32</f>
        <v>179.0325980650816</v>
      </c>
      <c r="AX224" s="137">
        <f>$W224*AC224+$L224*Summary_LCIA!T$32</f>
        <v>45.540461731608708</v>
      </c>
      <c r="AY224" s="137">
        <f>$W224*AD224+$L224*Summary_LCIA!U$32</f>
        <v>0.7876524057206602</v>
      </c>
      <c r="AZ224" s="137">
        <f>$W224*AE224+$L224*Summary_LCIA!V$32</f>
        <v>6.6413706328757429E-3</v>
      </c>
      <c r="BA224" s="137">
        <f>$W224*AF224+$L224*Summary_LCIA!W$32</f>
        <v>10.075615729507806</v>
      </c>
      <c r="BB224" s="137">
        <f>$W224*AG224+$L224*Summary_LCIA!X$32</f>
        <v>9.9608120750992075</v>
      </c>
      <c r="BC224" s="137">
        <f>$W224*AH224+$L224*Summary_LCIA!Y$32</f>
        <v>0.68904244223646494</v>
      </c>
      <c r="BD224" s="137">
        <f>$W224*AI224+$L224*Summary_LCIA!Z$32</f>
        <v>0.17177977223458532</v>
      </c>
      <c r="BE224" s="137">
        <f>$W224*AJ224+$L224*Summary_LCIA!AA$32</f>
        <v>1.5188504839992714</v>
      </c>
      <c r="BF224" s="137">
        <f>$W224*AK224+$L224*Summary_LCIA!AB$32</f>
        <v>4.3867733073592277E-2</v>
      </c>
      <c r="BG224" s="137">
        <f>$W224*AL224+$L224*Summary_LCIA!AC$32</f>
        <v>2.3037124010524458E-5</v>
      </c>
      <c r="BH224" s="137">
        <f>$W224*AM224+$L224*Summary_LCIA!AD$32</f>
        <v>9.1426379484955911E-2</v>
      </c>
      <c r="BI224" s="137">
        <f>$W224*AN224+$L224*Summary_LCIA!AE$32</f>
        <v>0.27478867331925899</v>
      </c>
      <c r="BJ224" s="137">
        <f>$W224*AO224+$L224*Summary_LCIA!AF$32</f>
        <v>3.0219051786737786E-2</v>
      </c>
      <c r="BK224" s="137">
        <f>$W224*AP224+$L224*Summary_LCIA!AG$32</f>
        <v>5.2444975667377842E-3</v>
      </c>
      <c r="BL224" s="137">
        <f>$W224*AQ224+$L224*Summary_LCIA!AH$32</f>
        <v>0.808952099453769</v>
      </c>
      <c r="BM224" s="137">
        <f>$W224*AR224+$L224*Summary_LCIA!AI$32</f>
        <v>0.2336888676768874</v>
      </c>
    </row>
    <row r="225" spans="1:65" x14ac:dyDescent="0.25">
      <c r="A225" s="149">
        <v>293</v>
      </c>
      <c r="B225" s="149">
        <v>43</v>
      </c>
      <c r="C225" s="61">
        <v>40.440624999999997</v>
      </c>
      <c r="D225" s="61">
        <v>-79.995885999999999</v>
      </c>
      <c r="E225" s="61" t="s">
        <v>265</v>
      </c>
      <c r="F225" s="149">
        <v>106</v>
      </c>
      <c r="G225" s="61" t="s">
        <v>266</v>
      </c>
      <c r="H225" s="61" t="s">
        <v>669</v>
      </c>
      <c r="I225" s="61">
        <v>40.491920999999998</v>
      </c>
      <c r="J225" s="61">
        <v>-80.235223000000005</v>
      </c>
      <c r="K225" s="61">
        <v>21.391265860000001</v>
      </c>
      <c r="L225" s="61">
        <v>27.920999999999999</v>
      </c>
      <c r="M225" s="61" t="s">
        <v>617</v>
      </c>
      <c r="N225" s="149">
        <v>42</v>
      </c>
      <c r="O225" s="149">
        <v>43</v>
      </c>
      <c r="P225" s="61" t="s">
        <v>565</v>
      </c>
      <c r="Q225" s="61" t="s">
        <v>555</v>
      </c>
      <c r="R225" s="61">
        <v>40.6895314</v>
      </c>
      <c r="S225" s="61">
        <v>-74.174462399999996</v>
      </c>
      <c r="T225" s="61">
        <v>581.04700000000003</v>
      </c>
      <c r="U225" s="61" t="s">
        <v>617</v>
      </c>
      <c r="V225" s="61" t="s">
        <v>569</v>
      </c>
      <c r="W225" s="61" cm="1">
        <f t="array" ref="W225">getDistance(I225,J225,R225,S225)*SA!$B$12</f>
        <v>513.433583839015</v>
      </c>
      <c r="Y225" s="137">
        <f>Transportation_LCIA!C$61*($W225^Transportation_LCIA!C$60)+Transportation_LCIA!C$62</f>
        <v>0.32815716511039528</v>
      </c>
      <c r="Z225" s="137">
        <f>Transportation_LCIA!D$61*($W225^Transportation_LCIA!D$60)+Transportation_LCIA!D$62</f>
        <v>3.5191542163843881</v>
      </c>
      <c r="AA225" s="137">
        <f>Transportation_LCIA!E$61*($W225^Transportation_LCIA!E$60)+Transportation_LCIA!E$62</f>
        <v>1.8665206810453132E-3</v>
      </c>
      <c r="AB225" s="137">
        <f>Transportation_LCIA!F$61*($W225^Transportation_LCIA!F$60)+Transportation_LCIA!F$62</f>
        <v>0.32815716511039528</v>
      </c>
      <c r="AC225" s="137">
        <f>Transportation_LCIA!G$61*($W225^Transportation_LCIA!G$60)+Transportation_LCIA!G$62</f>
        <v>8.1967302989677859E-2</v>
      </c>
      <c r="AD225" s="137">
        <f>Transportation_LCIA!H$61*($W225^Transportation_LCIA!H$60)+Transportation_LCIA!H$62</f>
        <v>4.3698853519291556E-4</v>
      </c>
      <c r="AE225" s="137">
        <f>Transportation_LCIA!I$61*($W225^Transportation_LCIA!I$60)+Transportation_LCIA!I$62</f>
        <v>1.0010201729396875E-5</v>
      </c>
      <c r="AF225" s="137">
        <f>Transportation_LCIA!J$61*($W225^Transportation_LCIA!J$60)+Transportation_LCIA!J$62</f>
        <v>1.4910087392935532E-2</v>
      </c>
      <c r="AG225" s="137">
        <f>Transportation_LCIA!K$61*($W225^Transportation_LCIA!K$60)+Transportation_LCIA!K$62</f>
        <v>1.8005284512120634E-2</v>
      </c>
      <c r="AH225" s="137">
        <f>Transportation_LCIA!L$61*($W225^Transportation_LCIA!L$60)+Transportation_LCIA!L$62</f>
        <v>3.8774642038002372E-4</v>
      </c>
      <c r="AI225" s="137">
        <f>Transportation_LCIA!M$61*($W225^Transportation_LCIA!M$60)+Transportation_LCIA!M$62</f>
        <v>3.3205908340433346E-4</v>
      </c>
      <c r="AJ225" s="137">
        <f>Transportation_LCIA!N$61*($W225^Transportation_LCIA!N$60)+Transportation_LCIA!N$62</f>
        <v>1.5278401037459809E-3</v>
      </c>
      <c r="AK225" s="137">
        <f>Transportation_LCIA!O$61*($W225^Transportation_LCIA!O$60)+Transportation_LCIA!O$62</f>
        <v>8.6776433969231709E-5</v>
      </c>
      <c r="AL225" s="137">
        <f>Transportation_LCIA!P$61*($W225^Transportation_LCIA!P$60)+Transportation_LCIA!P$62</f>
        <v>4.187496920977748E-8</v>
      </c>
      <c r="AM225" s="137">
        <f>Transportation_LCIA!Q$61*($W225^Transportation_LCIA!Q$60)+Transportation_LCIA!Q$62</f>
        <v>1.5289540886279419E-4</v>
      </c>
      <c r="AN225" s="137">
        <f>Transportation_LCIA!R$61*($W225^Transportation_LCIA!R$60)+Transportation_LCIA!R$62</f>
        <v>4.8092919779996581E-4</v>
      </c>
      <c r="AO225" s="137">
        <f>Transportation_LCIA!S$61*($W225^Transportation_LCIA!S$60)+Transportation_LCIA!S$62</f>
        <v>7.081081996143308E-6</v>
      </c>
      <c r="AP225" s="137">
        <f>Transportation_LCIA!T$61*($W225^Transportation_LCIA!T$60)+Transportation_LCIA!T$62</f>
        <v>7.081081996143308E-6</v>
      </c>
      <c r="AQ225" s="137">
        <f>Transportation_LCIA!U$61*($W225^Transportation_LCIA!U$60)+Transportation_LCIA!U$62</f>
        <v>1.0425420500377758E-3</v>
      </c>
      <c r="AR225" s="137">
        <f>Transportation_LCIA!V$61*($W225^Transportation_LCIA!V$60)+Transportation_LCIA!V$62</f>
        <v>3.9809863614409633E-4</v>
      </c>
      <c r="AT225" s="137">
        <f>$W225*Y225+$L225*Summary_LCIA!H$32</f>
        <v>177.97446514508161</v>
      </c>
      <c r="AU225" s="137">
        <f>$W225*Z225+$L225*Summary_LCIA!Q$32</f>
        <v>1945.2298455402099</v>
      </c>
      <c r="AV225" s="137">
        <f>$W225*AA225+$L225*Summary_LCIA!R$32</f>
        <v>1.1053552201787342</v>
      </c>
      <c r="AW225" s="137">
        <f>$W225*AB225+$L225*Summary_LCIA!S$32</f>
        <v>177.85105432508161</v>
      </c>
      <c r="AX225" s="137">
        <f>$W225*AC225+$L225*Summary_LCIA!T$32</f>
        <v>45.153284031608706</v>
      </c>
      <c r="AY225" s="137">
        <f>$W225*AD225+$L225*Summary_LCIA!U$32</f>
        <v>0.72454138372066013</v>
      </c>
      <c r="AZ225" s="137">
        <f>$W225*AE225+$L225*Summary_LCIA!V$32</f>
        <v>6.4731086298757436E-3</v>
      </c>
      <c r="BA225" s="137">
        <f>$W225*AF225+$L225*Summary_LCIA!W$32</f>
        <v>9.8044468965078053</v>
      </c>
      <c r="BB225" s="137">
        <f>$W225*AG225+$L225*Summary_LCIA!X$32</f>
        <v>9.8805581350992089</v>
      </c>
      <c r="BC225" s="137">
        <f>$W225*AH225+$L225*Summary_LCIA!Y$32</f>
        <v>0.63414705623646483</v>
      </c>
      <c r="BD225" s="137">
        <f>$W225*AI225+$L225*Summary_LCIA!Z$32</f>
        <v>0.1716352975275853</v>
      </c>
      <c r="BE225" s="137">
        <f>$W225*AJ225+$L225*Summary_LCIA!AA$32</f>
        <v>1.4365672959992715</v>
      </c>
      <c r="BF225" s="137">
        <f>$W225*AK225+$L225*Summary_LCIA!AB$32</f>
        <v>4.394461550259228E-2</v>
      </c>
      <c r="BG225" s="137">
        <f>$W225*AL225+$L225*Summary_LCIA!AC$32</f>
        <v>2.2864905678524456E-5</v>
      </c>
      <c r="BH225" s="137">
        <f>$W225*AM225+$L225*Summary_LCIA!AD$32</f>
        <v>8.9978285564955907E-2</v>
      </c>
      <c r="BI225" s="137">
        <f>$W225*AN225+$L225*Summary_LCIA!AE$32</f>
        <v>0.271666837329259</v>
      </c>
      <c r="BJ225" s="137">
        <f>$W225*AO225+$L225*Summary_LCIA!AF$32</f>
        <v>2.7240637126737785E-2</v>
      </c>
      <c r="BK225" s="137">
        <f>$W225*AP225+$L225*Summary_LCIA!AG$32</f>
        <v>5.0642432717377846E-3</v>
      </c>
      <c r="BL225" s="137">
        <f>$W225*AQ225+$L225*Summary_LCIA!AH$32</f>
        <v>0.77828931665376899</v>
      </c>
      <c r="BM225" s="137">
        <f>$W225*AR225+$L225*Summary_LCIA!AI$32</f>
        <v>0.23040701702688743</v>
      </c>
    </row>
    <row r="226" spans="1:65" x14ac:dyDescent="0.25">
      <c r="A226" s="149">
        <v>294</v>
      </c>
      <c r="B226" s="149">
        <v>43</v>
      </c>
      <c r="C226" s="61">
        <v>40.440624999999997</v>
      </c>
      <c r="D226" s="61">
        <v>-79.995885999999999</v>
      </c>
      <c r="E226" s="61" t="s">
        <v>265</v>
      </c>
      <c r="F226" s="149">
        <v>106</v>
      </c>
      <c r="G226" s="61" t="s">
        <v>266</v>
      </c>
      <c r="H226" s="61" t="s">
        <v>669</v>
      </c>
      <c r="I226" s="61">
        <v>40.491920999999998</v>
      </c>
      <c r="J226" s="61">
        <v>-80.235223000000005</v>
      </c>
      <c r="K226" s="61">
        <v>21.391265860000001</v>
      </c>
      <c r="L226" s="61">
        <v>27.920999999999999</v>
      </c>
      <c r="M226" s="61" t="s">
        <v>617</v>
      </c>
      <c r="N226" s="149">
        <v>42</v>
      </c>
      <c r="O226" s="149">
        <v>43</v>
      </c>
      <c r="P226" s="61" t="s">
        <v>565</v>
      </c>
      <c r="Q226" s="61" t="s">
        <v>555</v>
      </c>
      <c r="R226" s="61">
        <v>40.6895314</v>
      </c>
      <c r="S226" s="61">
        <v>-74.174462399999996</v>
      </c>
      <c r="T226" s="61">
        <v>581.04700000000003</v>
      </c>
      <c r="U226" s="61" t="s">
        <v>617</v>
      </c>
      <c r="V226" s="61" t="s">
        <v>569</v>
      </c>
      <c r="W226" s="61" cm="1">
        <f t="array" ref="W226">getDistance(I226,J226,R226,S226)*SA!$B$12</f>
        <v>513.433583839015</v>
      </c>
      <c r="Y226" s="137">
        <f>Transportation_LCIA!C$61*($W226^Transportation_LCIA!C$60)+Transportation_LCIA!C$62</f>
        <v>0.32815716511039528</v>
      </c>
      <c r="Z226" s="137">
        <f>Transportation_LCIA!D$61*($W226^Transportation_LCIA!D$60)+Transportation_LCIA!D$62</f>
        <v>3.5191542163843881</v>
      </c>
      <c r="AA226" s="137">
        <f>Transportation_LCIA!E$61*($W226^Transportation_LCIA!E$60)+Transportation_LCIA!E$62</f>
        <v>1.8665206810453132E-3</v>
      </c>
      <c r="AB226" s="137">
        <f>Transportation_LCIA!F$61*($W226^Transportation_LCIA!F$60)+Transportation_LCIA!F$62</f>
        <v>0.32815716511039528</v>
      </c>
      <c r="AC226" s="137">
        <f>Transportation_LCIA!G$61*($W226^Transportation_LCIA!G$60)+Transportation_LCIA!G$62</f>
        <v>8.1967302989677859E-2</v>
      </c>
      <c r="AD226" s="137">
        <f>Transportation_LCIA!H$61*($W226^Transportation_LCIA!H$60)+Transportation_LCIA!H$62</f>
        <v>4.3698853519291556E-4</v>
      </c>
      <c r="AE226" s="137">
        <f>Transportation_LCIA!I$61*($W226^Transportation_LCIA!I$60)+Transportation_LCIA!I$62</f>
        <v>1.0010201729396875E-5</v>
      </c>
      <c r="AF226" s="137">
        <f>Transportation_LCIA!J$61*($W226^Transportation_LCIA!J$60)+Transportation_LCIA!J$62</f>
        <v>1.4910087392935532E-2</v>
      </c>
      <c r="AG226" s="137">
        <f>Transportation_LCIA!K$61*($W226^Transportation_LCIA!K$60)+Transportation_LCIA!K$62</f>
        <v>1.8005284512120634E-2</v>
      </c>
      <c r="AH226" s="137">
        <f>Transportation_LCIA!L$61*($W226^Transportation_LCIA!L$60)+Transportation_LCIA!L$62</f>
        <v>3.8774642038002372E-4</v>
      </c>
      <c r="AI226" s="137">
        <f>Transportation_LCIA!M$61*($W226^Transportation_LCIA!M$60)+Transportation_LCIA!M$62</f>
        <v>3.3205908340433346E-4</v>
      </c>
      <c r="AJ226" s="137">
        <f>Transportation_LCIA!N$61*($W226^Transportation_LCIA!N$60)+Transportation_LCIA!N$62</f>
        <v>1.5278401037459809E-3</v>
      </c>
      <c r="AK226" s="137">
        <f>Transportation_LCIA!O$61*($W226^Transportation_LCIA!O$60)+Transportation_LCIA!O$62</f>
        <v>8.6776433969231709E-5</v>
      </c>
      <c r="AL226" s="137">
        <f>Transportation_LCIA!P$61*($W226^Transportation_LCIA!P$60)+Transportation_LCIA!P$62</f>
        <v>4.187496920977748E-8</v>
      </c>
      <c r="AM226" s="137">
        <f>Transportation_LCIA!Q$61*($W226^Transportation_LCIA!Q$60)+Transportation_LCIA!Q$62</f>
        <v>1.5289540886279419E-4</v>
      </c>
      <c r="AN226" s="137">
        <f>Transportation_LCIA!R$61*($W226^Transportation_LCIA!R$60)+Transportation_LCIA!R$62</f>
        <v>4.8092919779996581E-4</v>
      </c>
      <c r="AO226" s="137">
        <f>Transportation_LCIA!S$61*($W226^Transportation_LCIA!S$60)+Transportation_LCIA!S$62</f>
        <v>7.081081996143308E-6</v>
      </c>
      <c r="AP226" s="137">
        <f>Transportation_LCIA!T$61*($W226^Transportation_LCIA!T$60)+Transportation_LCIA!T$62</f>
        <v>7.081081996143308E-6</v>
      </c>
      <c r="AQ226" s="137">
        <f>Transportation_LCIA!U$61*($W226^Transportation_LCIA!U$60)+Transportation_LCIA!U$62</f>
        <v>1.0425420500377758E-3</v>
      </c>
      <c r="AR226" s="137">
        <f>Transportation_LCIA!V$61*($W226^Transportation_LCIA!V$60)+Transportation_LCIA!V$62</f>
        <v>3.9809863614409633E-4</v>
      </c>
      <c r="AT226" s="137">
        <f>$W226*Y226+$L226*Summary_LCIA!H$32</f>
        <v>177.97446514508161</v>
      </c>
      <c r="AU226" s="137">
        <f>$W226*Z226+$L226*Summary_LCIA!Q$32</f>
        <v>1945.2298455402099</v>
      </c>
      <c r="AV226" s="137">
        <f>$W226*AA226+$L226*Summary_LCIA!R$32</f>
        <v>1.1053552201787342</v>
      </c>
      <c r="AW226" s="137">
        <f>$W226*AB226+$L226*Summary_LCIA!S$32</f>
        <v>177.85105432508161</v>
      </c>
      <c r="AX226" s="137">
        <f>$W226*AC226+$L226*Summary_LCIA!T$32</f>
        <v>45.153284031608706</v>
      </c>
      <c r="AY226" s="137">
        <f>$W226*AD226+$L226*Summary_LCIA!U$32</f>
        <v>0.72454138372066013</v>
      </c>
      <c r="AZ226" s="137">
        <f>$W226*AE226+$L226*Summary_LCIA!V$32</f>
        <v>6.4731086298757436E-3</v>
      </c>
      <c r="BA226" s="137">
        <f>$W226*AF226+$L226*Summary_LCIA!W$32</f>
        <v>9.8044468965078053</v>
      </c>
      <c r="BB226" s="137">
        <f>$W226*AG226+$L226*Summary_LCIA!X$32</f>
        <v>9.8805581350992089</v>
      </c>
      <c r="BC226" s="137">
        <f>$W226*AH226+$L226*Summary_LCIA!Y$32</f>
        <v>0.63414705623646483</v>
      </c>
      <c r="BD226" s="137">
        <f>$W226*AI226+$L226*Summary_LCIA!Z$32</f>
        <v>0.1716352975275853</v>
      </c>
      <c r="BE226" s="137">
        <f>$W226*AJ226+$L226*Summary_LCIA!AA$32</f>
        <v>1.4365672959992715</v>
      </c>
      <c r="BF226" s="137">
        <f>$W226*AK226+$L226*Summary_LCIA!AB$32</f>
        <v>4.394461550259228E-2</v>
      </c>
      <c r="BG226" s="137">
        <f>$W226*AL226+$L226*Summary_LCIA!AC$32</f>
        <v>2.2864905678524456E-5</v>
      </c>
      <c r="BH226" s="137">
        <f>$W226*AM226+$L226*Summary_LCIA!AD$32</f>
        <v>8.9978285564955907E-2</v>
      </c>
      <c r="BI226" s="137">
        <f>$W226*AN226+$L226*Summary_LCIA!AE$32</f>
        <v>0.271666837329259</v>
      </c>
      <c r="BJ226" s="137">
        <f>$W226*AO226+$L226*Summary_LCIA!AF$32</f>
        <v>2.7240637126737785E-2</v>
      </c>
      <c r="BK226" s="137">
        <f>$W226*AP226+$L226*Summary_LCIA!AG$32</f>
        <v>5.0642432717377846E-3</v>
      </c>
      <c r="BL226" s="137">
        <f>$W226*AQ226+$L226*Summary_LCIA!AH$32</f>
        <v>0.77828931665376899</v>
      </c>
      <c r="BM226" s="137">
        <f>$W226*AR226+$L226*Summary_LCIA!AI$32</f>
        <v>0.23040701702688743</v>
      </c>
    </row>
    <row r="227" spans="1:65" x14ac:dyDescent="0.25">
      <c r="A227" s="149">
        <v>295</v>
      </c>
      <c r="B227" s="149">
        <v>43</v>
      </c>
      <c r="C227" s="61">
        <v>40.440624999999997</v>
      </c>
      <c r="D227" s="61">
        <v>-79.995885999999999</v>
      </c>
      <c r="E227" s="61" t="s">
        <v>265</v>
      </c>
      <c r="F227" s="149">
        <v>106</v>
      </c>
      <c r="G227" s="61" t="s">
        <v>266</v>
      </c>
      <c r="H227" s="61" t="s">
        <v>669</v>
      </c>
      <c r="I227" s="61">
        <v>40.491920999999998</v>
      </c>
      <c r="J227" s="61">
        <v>-80.235223000000005</v>
      </c>
      <c r="K227" s="61">
        <v>21.391265860000001</v>
      </c>
      <c r="L227" s="61">
        <v>27.920999999999999</v>
      </c>
      <c r="M227" s="61" t="s">
        <v>617</v>
      </c>
      <c r="N227" s="149">
        <v>42</v>
      </c>
      <c r="O227" s="149">
        <v>43</v>
      </c>
      <c r="P227" s="61" t="s">
        <v>565</v>
      </c>
      <c r="Q227" s="61" t="s">
        <v>555</v>
      </c>
      <c r="R227" s="61">
        <v>40.6895314</v>
      </c>
      <c r="S227" s="61">
        <v>-74.174462399999996</v>
      </c>
      <c r="T227" s="61">
        <v>581.04700000000003</v>
      </c>
      <c r="U227" s="61" t="s">
        <v>617</v>
      </c>
      <c r="V227" s="61" t="s">
        <v>569</v>
      </c>
      <c r="W227" s="61" cm="1">
        <f t="array" ref="W227">getDistance(I227,J227,R227,S227)*SA!$B$12</f>
        <v>513.433583839015</v>
      </c>
      <c r="Y227" s="137">
        <f>Transportation_LCIA!C$61*($W227^Transportation_LCIA!C$60)+Transportation_LCIA!C$62</f>
        <v>0.32815716511039528</v>
      </c>
      <c r="Z227" s="137">
        <f>Transportation_LCIA!D$61*($W227^Transportation_LCIA!D$60)+Transportation_LCIA!D$62</f>
        <v>3.5191542163843881</v>
      </c>
      <c r="AA227" s="137">
        <f>Transportation_LCIA!E$61*($W227^Transportation_LCIA!E$60)+Transportation_LCIA!E$62</f>
        <v>1.8665206810453132E-3</v>
      </c>
      <c r="AB227" s="137">
        <f>Transportation_LCIA!F$61*($W227^Transportation_LCIA!F$60)+Transportation_LCIA!F$62</f>
        <v>0.32815716511039528</v>
      </c>
      <c r="AC227" s="137">
        <f>Transportation_LCIA!G$61*($W227^Transportation_LCIA!G$60)+Transportation_LCIA!G$62</f>
        <v>8.1967302989677859E-2</v>
      </c>
      <c r="AD227" s="137">
        <f>Transportation_LCIA!H$61*($W227^Transportation_LCIA!H$60)+Transportation_LCIA!H$62</f>
        <v>4.3698853519291556E-4</v>
      </c>
      <c r="AE227" s="137">
        <f>Transportation_LCIA!I$61*($W227^Transportation_LCIA!I$60)+Transportation_LCIA!I$62</f>
        <v>1.0010201729396875E-5</v>
      </c>
      <c r="AF227" s="137">
        <f>Transportation_LCIA!J$61*($W227^Transportation_LCIA!J$60)+Transportation_LCIA!J$62</f>
        <v>1.4910087392935532E-2</v>
      </c>
      <c r="AG227" s="137">
        <f>Transportation_LCIA!K$61*($W227^Transportation_LCIA!K$60)+Transportation_LCIA!K$62</f>
        <v>1.8005284512120634E-2</v>
      </c>
      <c r="AH227" s="137">
        <f>Transportation_LCIA!L$61*($W227^Transportation_LCIA!L$60)+Transportation_LCIA!L$62</f>
        <v>3.8774642038002372E-4</v>
      </c>
      <c r="AI227" s="137">
        <f>Transportation_LCIA!M$61*($W227^Transportation_LCIA!M$60)+Transportation_LCIA!M$62</f>
        <v>3.3205908340433346E-4</v>
      </c>
      <c r="AJ227" s="137">
        <f>Transportation_LCIA!N$61*($W227^Transportation_LCIA!N$60)+Transportation_LCIA!N$62</f>
        <v>1.5278401037459809E-3</v>
      </c>
      <c r="AK227" s="137">
        <f>Transportation_LCIA!O$61*($W227^Transportation_LCIA!O$60)+Transportation_LCIA!O$62</f>
        <v>8.6776433969231709E-5</v>
      </c>
      <c r="AL227" s="137">
        <f>Transportation_LCIA!P$61*($W227^Transportation_LCIA!P$60)+Transportation_LCIA!P$62</f>
        <v>4.187496920977748E-8</v>
      </c>
      <c r="AM227" s="137">
        <f>Transportation_LCIA!Q$61*($W227^Transportation_LCIA!Q$60)+Transportation_LCIA!Q$62</f>
        <v>1.5289540886279419E-4</v>
      </c>
      <c r="AN227" s="137">
        <f>Transportation_LCIA!R$61*($W227^Transportation_LCIA!R$60)+Transportation_LCIA!R$62</f>
        <v>4.8092919779996581E-4</v>
      </c>
      <c r="AO227" s="137">
        <f>Transportation_LCIA!S$61*($W227^Transportation_LCIA!S$60)+Transportation_LCIA!S$62</f>
        <v>7.081081996143308E-6</v>
      </c>
      <c r="AP227" s="137">
        <f>Transportation_LCIA!T$61*($W227^Transportation_LCIA!T$60)+Transportation_LCIA!T$62</f>
        <v>7.081081996143308E-6</v>
      </c>
      <c r="AQ227" s="137">
        <f>Transportation_LCIA!U$61*($W227^Transportation_LCIA!U$60)+Transportation_LCIA!U$62</f>
        <v>1.0425420500377758E-3</v>
      </c>
      <c r="AR227" s="137">
        <f>Transportation_LCIA!V$61*($W227^Transportation_LCIA!V$60)+Transportation_LCIA!V$62</f>
        <v>3.9809863614409633E-4</v>
      </c>
      <c r="AT227" s="137">
        <f>$W227*Y227+$L227*Summary_LCIA!H$32</f>
        <v>177.97446514508161</v>
      </c>
      <c r="AU227" s="137">
        <f>$W227*Z227+$L227*Summary_LCIA!Q$32</f>
        <v>1945.2298455402099</v>
      </c>
      <c r="AV227" s="137">
        <f>$W227*AA227+$L227*Summary_LCIA!R$32</f>
        <v>1.1053552201787342</v>
      </c>
      <c r="AW227" s="137">
        <f>$W227*AB227+$L227*Summary_LCIA!S$32</f>
        <v>177.85105432508161</v>
      </c>
      <c r="AX227" s="137">
        <f>$W227*AC227+$L227*Summary_LCIA!T$32</f>
        <v>45.153284031608706</v>
      </c>
      <c r="AY227" s="137">
        <f>$W227*AD227+$L227*Summary_LCIA!U$32</f>
        <v>0.72454138372066013</v>
      </c>
      <c r="AZ227" s="137">
        <f>$W227*AE227+$L227*Summary_LCIA!V$32</f>
        <v>6.4731086298757436E-3</v>
      </c>
      <c r="BA227" s="137">
        <f>$W227*AF227+$L227*Summary_LCIA!W$32</f>
        <v>9.8044468965078053</v>
      </c>
      <c r="BB227" s="137">
        <f>$W227*AG227+$L227*Summary_LCIA!X$32</f>
        <v>9.8805581350992089</v>
      </c>
      <c r="BC227" s="137">
        <f>$W227*AH227+$L227*Summary_LCIA!Y$32</f>
        <v>0.63414705623646483</v>
      </c>
      <c r="BD227" s="137">
        <f>$W227*AI227+$L227*Summary_LCIA!Z$32</f>
        <v>0.1716352975275853</v>
      </c>
      <c r="BE227" s="137">
        <f>$W227*AJ227+$L227*Summary_LCIA!AA$32</f>
        <v>1.4365672959992715</v>
      </c>
      <c r="BF227" s="137">
        <f>$W227*AK227+$L227*Summary_LCIA!AB$32</f>
        <v>4.394461550259228E-2</v>
      </c>
      <c r="BG227" s="137">
        <f>$W227*AL227+$L227*Summary_LCIA!AC$32</f>
        <v>2.2864905678524456E-5</v>
      </c>
      <c r="BH227" s="137">
        <f>$W227*AM227+$L227*Summary_LCIA!AD$32</f>
        <v>8.9978285564955907E-2</v>
      </c>
      <c r="BI227" s="137">
        <f>$W227*AN227+$L227*Summary_LCIA!AE$32</f>
        <v>0.271666837329259</v>
      </c>
      <c r="BJ227" s="137">
        <f>$W227*AO227+$L227*Summary_LCIA!AF$32</f>
        <v>2.7240637126737785E-2</v>
      </c>
      <c r="BK227" s="137">
        <f>$W227*AP227+$L227*Summary_LCIA!AG$32</f>
        <v>5.0642432717377846E-3</v>
      </c>
      <c r="BL227" s="137">
        <f>$W227*AQ227+$L227*Summary_LCIA!AH$32</f>
        <v>0.77828931665376899</v>
      </c>
      <c r="BM227" s="137">
        <f>$W227*AR227+$L227*Summary_LCIA!AI$32</f>
        <v>0.23040701702688743</v>
      </c>
    </row>
    <row r="228" spans="1:65" x14ac:dyDescent="0.25">
      <c r="A228" s="149">
        <v>296</v>
      </c>
      <c r="B228" s="149">
        <v>43</v>
      </c>
      <c r="C228" s="61">
        <v>40.440624999999997</v>
      </c>
      <c r="D228" s="61">
        <v>-79.995885999999999</v>
      </c>
      <c r="E228" s="61" t="s">
        <v>265</v>
      </c>
      <c r="F228" s="149">
        <v>106</v>
      </c>
      <c r="G228" s="61" t="s">
        <v>266</v>
      </c>
      <c r="H228" s="61" t="s">
        <v>669</v>
      </c>
      <c r="I228" s="61">
        <v>40.491920999999998</v>
      </c>
      <c r="J228" s="61">
        <v>-80.235223000000005</v>
      </c>
      <c r="K228" s="61">
        <v>21.391265860000001</v>
      </c>
      <c r="L228" s="61">
        <v>27.920999999999999</v>
      </c>
      <c r="M228" s="61" t="s">
        <v>617</v>
      </c>
      <c r="N228" s="149">
        <v>42</v>
      </c>
      <c r="O228" s="149">
        <v>43</v>
      </c>
      <c r="P228" s="61" t="s">
        <v>565</v>
      </c>
      <c r="Q228" s="61" t="s">
        <v>555</v>
      </c>
      <c r="R228" s="61">
        <v>40.6895314</v>
      </c>
      <c r="S228" s="61">
        <v>-74.174462399999996</v>
      </c>
      <c r="T228" s="61">
        <v>581.04700000000003</v>
      </c>
      <c r="U228" s="61" t="s">
        <v>617</v>
      </c>
      <c r="V228" s="61" t="s">
        <v>569</v>
      </c>
      <c r="W228" s="61" cm="1">
        <f t="array" ref="W228">getDistance(I228,J228,R228,S228)*SA!$B$12</f>
        <v>513.433583839015</v>
      </c>
      <c r="Y228" s="137">
        <f>Transportation_LCIA!C$61*($W228^Transportation_LCIA!C$60)+Transportation_LCIA!C$62</f>
        <v>0.32815716511039528</v>
      </c>
      <c r="Z228" s="137">
        <f>Transportation_LCIA!D$61*($W228^Transportation_LCIA!D$60)+Transportation_LCIA!D$62</f>
        <v>3.5191542163843881</v>
      </c>
      <c r="AA228" s="137">
        <f>Transportation_LCIA!E$61*($W228^Transportation_LCIA!E$60)+Transportation_LCIA!E$62</f>
        <v>1.8665206810453132E-3</v>
      </c>
      <c r="AB228" s="137">
        <f>Transportation_LCIA!F$61*($W228^Transportation_LCIA!F$60)+Transportation_LCIA!F$62</f>
        <v>0.32815716511039528</v>
      </c>
      <c r="AC228" s="137">
        <f>Transportation_LCIA!G$61*($W228^Transportation_LCIA!G$60)+Transportation_LCIA!G$62</f>
        <v>8.1967302989677859E-2</v>
      </c>
      <c r="AD228" s="137">
        <f>Transportation_LCIA!H$61*($W228^Transportation_LCIA!H$60)+Transportation_LCIA!H$62</f>
        <v>4.3698853519291556E-4</v>
      </c>
      <c r="AE228" s="137">
        <f>Transportation_LCIA!I$61*($W228^Transportation_LCIA!I$60)+Transportation_LCIA!I$62</f>
        <v>1.0010201729396875E-5</v>
      </c>
      <c r="AF228" s="137">
        <f>Transportation_LCIA!J$61*($W228^Transportation_LCIA!J$60)+Transportation_LCIA!J$62</f>
        <v>1.4910087392935532E-2</v>
      </c>
      <c r="AG228" s="137">
        <f>Transportation_LCIA!K$61*($W228^Transportation_LCIA!K$60)+Transportation_LCIA!K$62</f>
        <v>1.8005284512120634E-2</v>
      </c>
      <c r="AH228" s="137">
        <f>Transportation_LCIA!L$61*($W228^Transportation_LCIA!L$60)+Transportation_LCIA!L$62</f>
        <v>3.8774642038002372E-4</v>
      </c>
      <c r="AI228" s="137">
        <f>Transportation_LCIA!M$61*($W228^Transportation_LCIA!M$60)+Transportation_LCIA!M$62</f>
        <v>3.3205908340433346E-4</v>
      </c>
      <c r="AJ228" s="137">
        <f>Transportation_LCIA!N$61*($W228^Transportation_LCIA!N$60)+Transportation_LCIA!N$62</f>
        <v>1.5278401037459809E-3</v>
      </c>
      <c r="AK228" s="137">
        <f>Transportation_LCIA!O$61*($W228^Transportation_LCIA!O$60)+Transportation_LCIA!O$62</f>
        <v>8.6776433969231709E-5</v>
      </c>
      <c r="AL228" s="137">
        <f>Transportation_LCIA!P$61*($W228^Transportation_LCIA!P$60)+Transportation_LCIA!P$62</f>
        <v>4.187496920977748E-8</v>
      </c>
      <c r="AM228" s="137">
        <f>Transportation_LCIA!Q$61*($W228^Transportation_LCIA!Q$60)+Transportation_LCIA!Q$62</f>
        <v>1.5289540886279419E-4</v>
      </c>
      <c r="AN228" s="137">
        <f>Transportation_LCIA!R$61*($W228^Transportation_LCIA!R$60)+Transportation_LCIA!R$62</f>
        <v>4.8092919779996581E-4</v>
      </c>
      <c r="AO228" s="137">
        <f>Transportation_LCIA!S$61*($W228^Transportation_LCIA!S$60)+Transportation_LCIA!S$62</f>
        <v>7.081081996143308E-6</v>
      </c>
      <c r="AP228" s="137">
        <f>Transportation_LCIA!T$61*($W228^Transportation_LCIA!T$60)+Transportation_LCIA!T$62</f>
        <v>7.081081996143308E-6</v>
      </c>
      <c r="AQ228" s="137">
        <f>Transportation_LCIA!U$61*($W228^Transportation_LCIA!U$60)+Transportation_LCIA!U$62</f>
        <v>1.0425420500377758E-3</v>
      </c>
      <c r="AR228" s="137">
        <f>Transportation_LCIA!V$61*($W228^Transportation_LCIA!V$60)+Transportation_LCIA!V$62</f>
        <v>3.9809863614409633E-4</v>
      </c>
      <c r="AT228" s="137">
        <f>$W228*Y228+$L228*Summary_LCIA!H$32</f>
        <v>177.97446514508161</v>
      </c>
      <c r="AU228" s="137">
        <f>$W228*Z228+$L228*Summary_LCIA!Q$32</f>
        <v>1945.2298455402099</v>
      </c>
      <c r="AV228" s="137">
        <f>$W228*AA228+$L228*Summary_LCIA!R$32</f>
        <v>1.1053552201787342</v>
      </c>
      <c r="AW228" s="137">
        <f>$W228*AB228+$L228*Summary_LCIA!S$32</f>
        <v>177.85105432508161</v>
      </c>
      <c r="AX228" s="137">
        <f>$W228*AC228+$L228*Summary_LCIA!T$32</f>
        <v>45.153284031608706</v>
      </c>
      <c r="AY228" s="137">
        <f>$W228*AD228+$L228*Summary_LCIA!U$32</f>
        <v>0.72454138372066013</v>
      </c>
      <c r="AZ228" s="137">
        <f>$W228*AE228+$L228*Summary_LCIA!V$32</f>
        <v>6.4731086298757436E-3</v>
      </c>
      <c r="BA228" s="137">
        <f>$W228*AF228+$L228*Summary_LCIA!W$32</f>
        <v>9.8044468965078053</v>
      </c>
      <c r="BB228" s="137">
        <f>$W228*AG228+$L228*Summary_LCIA!X$32</f>
        <v>9.8805581350992089</v>
      </c>
      <c r="BC228" s="137">
        <f>$W228*AH228+$L228*Summary_LCIA!Y$32</f>
        <v>0.63414705623646483</v>
      </c>
      <c r="BD228" s="137">
        <f>$W228*AI228+$L228*Summary_LCIA!Z$32</f>
        <v>0.1716352975275853</v>
      </c>
      <c r="BE228" s="137">
        <f>$W228*AJ228+$L228*Summary_LCIA!AA$32</f>
        <v>1.4365672959992715</v>
      </c>
      <c r="BF228" s="137">
        <f>$W228*AK228+$L228*Summary_LCIA!AB$32</f>
        <v>4.394461550259228E-2</v>
      </c>
      <c r="BG228" s="137">
        <f>$W228*AL228+$L228*Summary_LCIA!AC$32</f>
        <v>2.2864905678524456E-5</v>
      </c>
      <c r="BH228" s="137">
        <f>$W228*AM228+$L228*Summary_LCIA!AD$32</f>
        <v>8.9978285564955907E-2</v>
      </c>
      <c r="BI228" s="137">
        <f>$W228*AN228+$L228*Summary_LCIA!AE$32</f>
        <v>0.271666837329259</v>
      </c>
      <c r="BJ228" s="137">
        <f>$W228*AO228+$L228*Summary_LCIA!AF$32</f>
        <v>2.7240637126737785E-2</v>
      </c>
      <c r="BK228" s="137">
        <f>$W228*AP228+$L228*Summary_LCIA!AG$32</f>
        <v>5.0642432717377846E-3</v>
      </c>
      <c r="BL228" s="137">
        <f>$W228*AQ228+$L228*Summary_LCIA!AH$32</f>
        <v>0.77828931665376899</v>
      </c>
      <c r="BM228" s="137">
        <f>$W228*AR228+$L228*Summary_LCIA!AI$32</f>
        <v>0.23040701702688743</v>
      </c>
    </row>
    <row r="229" spans="1:65" x14ac:dyDescent="0.25">
      <c r="A229" s="149">
        <v>297</v>
      </c>
      <c r="B229" s="149">
        <v>43</v>
      </c>
      <c r="C229" s="61">
        <v>40.440624999999997</v>
      </c>
      <c r="D229" s="61">
        <v>-79.995885999999999</v>
      </c>
      <c r="E229" s="61" t="s">
        <v>265</v>
      </c>
      <c r="F229" s="149">
        <v>106</v>
      </c>
      <c r="G229" s="61" t="s">
        <v>266</v>
      </c>
      <c r="H229" s="61" t="s">
        <v>669</v>
      </c>
      <c r="I229" s="61">
        <v>40.491920999999998</v>
      </c>
      <c r="J229" s="61">
        <v>-80.235223000000005</v>
      </c>
      <c r="K229" s="61">
        <v>21.391265860000001</v>
      </c>
      <c r="L229" s="61">
        <v>27.920999999999999</v>
      </c>
      <c r="M229" s="61" t="s">
        <v>617</v>
      </c>
      <c r="N229" s="149">
        <v>42</v>
      </c>
      <c r="O229" s="149">
        <v>43</v>
      </c>
      <c r="P229" s="61" t="s">
        <v>565</v>
      </c>
      <c r="Q229" s="61" t="s">
        <v>555</v>
      </c>
      <c r="R229" s="61">
        <v>40.6895314</v>
      </c>
      <c r="S229" s="61">
        <v>-74.174462399999996</v>
      </c>
      <c r="T229" s="61">
        <v>581.04700000000003</v>
      </c>
      <c r="U229" s="61" t="s">
        <v>617</v>
      </c>
      <c r="V229" s="61" t="s">
        <v>569</v>
      </c>
      <c r="W229" s="61" cm="1">
        <f t="array" ref="W229">getDistance(I229,J229,R229,S229)*SA!$B$12</f>
        <v>513.433583839015</v>
      </c>
      <c r="Y229" s="137">
        <f>Transportation_LCIA!C$61*($W229^Transportation_LCIA!C$60)+Transportation_LCIA!C$62</f>
        <v>0.32815716511039528</v>
      </c>
      <c r="Z229" s="137">
        <f>Transportation_LCIA!D$61*($W229^Transportation_LCIA!D$60)+Transportation_LCIA!D$62</f>
        <v>3.5191542163843881</v>
      </c>
      <c r="AA229" s="137">
        <f>Transportation_LCIA!E$61*($W229^Transportation_LCIA!E$60)+Transportation_LCIA!E$62</f>
        <v>1.8665206810453132E-3</v>
      </c>
      <c r="AB229" s="137">
        <f>Transportation_LCIA!F$61*($W229^Transportation_LCIA!F$60)+Transportation_LCIA!F$62</f>
        <v>0.32815716511039528</v>
      </c>
      <c r="AC229" s="137">
        <f>Transportation_LCIA!G$61*($W229^Transportation_LCIA!G$60)+Transportation_LCIA!G$62</f>
        <v>8.1967302989677859E-2</v>
      </c>
      <c r="AD229" s="137">
        <f>Transportation_LCIA!H$61*($W229^Transportation_LCIA!H$60)+Transportation_LCIA!H$62</f>
        <v>4.3698853519291556E-4</v>
      </c>
      <c r="AE229" s="137">
        <f>Transportation_LCIA!I$61*($W229^Transportation_LCIA!I$60)+Transportation_LCIA!I$62</f>
        <v>1.0010201729396875E-5</v>
      </c>
      <c r="AF229" s="137">
        <f>Transportation_LCIA!J$61*($W229^Transportation_LCIA!J$60)+Transportation_LCIA!J$62</f>
        <v>1.4910087392935532E-2</v>
      </c>
      <c r="AG229" s="137">
        <f>Transportation_LCIA!K$61*($W229^Transportation_LCIA!K$60)+Transportation_LCIA!K$62</f>
        <v>1.8005284512120634E-2</v>
      </c>
      <c r="AH229" s="137">
        <f>Transportation_LCIA!L$61*($W229^Transportation_LCIA!L$60)+Transportation_LCIA!L$62</f>
        <v>3.8774642038002372E-4</v>
      </c>
      <c r="AI229" s="137">
        <f>Transportation_LCIA!M$61*($W229^Transportation_LCIA!M$60)+Transportation_LCIA!M$62</f>
        <v>3.3205908340433346E-4</v>
      </c>
      <c r="AJ229" s="137">
        <f>Transportation_LCIA!N$61*($W229^Transportation_LCIA!N$60)+Transportation_LCIA!N$62</f>
        <v>1.5278401037459809E-3</v>
      </c>
      <c r="AK229" s="137">
        <f>Transportation_LCIA!O$61*($W229^Transportation_LCIA!O$60)+Transportation_LCIA!O$62</f>
        <v>8.6776433969231709E-5</v>
      </c>
      <c r="AL229" s="137">
        <f>Transportation_LCIA!P$61*($W229^Transportation_LCIA!P$60)+Transportation_LCIA!P$62</f>
        <v>4.187496920977748E-8</v>
      </c>
      <c r="AM229" s="137">
        <f>Transportation_LCIA!Q$61*($W229^Transportation_LCIA!Q$60)+Transportation_LCIA!Q$62</f>
        <v>1.5289540886279419E-4</v>
      </c>
      <c r="AN229" s="137">
        <f>Transportation_LCIA!R$61*($W229^Transportation_LCIA!R$60)+Transportation_LCIA!R$62</f>
        <v>4.8092919779996581E-4</v>
      </c>
      <c r="AO229" s="137">
        <f>Transportation_LCIA!S$61*($W229^Transportation_LCIA!S$60)+Transportation_LCIA!S$62</f>
        <v>7.081081996143308E-6</v>
      </c>
      <c r="AP229" s="137">
        <f>Transportation_LCIA!T$61*($W229^Transportation_LCIA!T$60)+Transportation_LCIA!T$62</f>
        <v>7.081081996143308E-6</v>
      </c>
      <c r="AQ229" s="137">
        <f>Transportation_LCIA!U$61*($W229^Transportation_LCIA!U$60)+Transportation_LCIA!U$62</f>
        <v>1.0425420500377758E-3</v>
      </c>
      <c r="AR229" s="137">
        <f>Transportation_LCIA!V$61*($W229^Transportation_LCIA!V$60)+Transportation_LCIA!V$62</f>
        <v>3.9809863614409633E-4</v>
      </c>
      <c r="AT229" s="137">
        <f>$W229*Y229+$L229*Summary_LCIA!H$32</f>
        <v>177.97446514508161</v>
      </c>
      <c r="AU229" s="137">
        <f>$W229*Z229+$L229*Summary_LCIA!Q$32</f>
        <v>1945.2298455402099</v>
      </c>
      <c r="AV229" s="137">
        <f>$W229*AA229+$L229*Summary_LCIA!R$32</f>
        <v>1.1053552201787342</v>
      </c>
      <c r="AW229" s="137">
        <f>$W229*AB229+$L229*Summary_LCIA!S$32</f>
        <v>177.85105432508161</v>
      </c>
      <c r="AX229" s="137">
        <f>$W229*AC229+$L229*Summary_LCIA!T$32</f>
        <v>45.153284031608706</v>
      </c>
      <c r="AY229" s="137">
        <f>$W229*AD229+$L229*Summary_LCIA!U$32</f>
        <v>0.72454138372066013</v>
      </c>
      <c r="AZ229" s="137">
        <f>$W229*AE229+$L229*Summary_LCIA!V$32</f>
        <v>6.4731086298757436E-3</v>
      </c>
      <c r="BA229" s="137">
        <f>$W229*AF229+$L229*Summary_LCIA!W$32</f>
        <v>9.8044468965078053</v>
      </c>
      <c r="BB229" s="137">
        <f>$W229*AG229+$L229*Summary_LCIA!X$32</f>
        <v>9.8805581350992089</v>
      </c>
      <c r="BC229" s="137">
        <f>$W229*AH229+$L229*Summary_LCIA!Y$32</f>
        <v>0.63414705623646483</v>
      </c>
      <c r="BD229" s="137">
        <f>$W229*AI229+$L229*Summary_LCIA!Z$32</f>
        <v>0.1716352975275853</v>
      </c>
      <c r="BE229" s="137">
        <f>$W229*AJ229+$L229*Summary_LCIA!AA$32</f>
        <v>1.4365672959992715</v>
      </c>
      <c r="BF229" s="137">
        <f>$W229*AK229+$L229*Summary_LCIA!AB$32</f>
        <v>4.394461550259228E-2</v>
      </c>
      <c r="BG229" s="137">
        <f>$W229*AL229+$L229*Summary_LCIA!AC$32</f>
        <v>2.2864905678524456E-5</v>
      </c>
      <c r="BH229" s="137">
        <f>$W229*AM229+$L229*Summary_LCIA!AD$32</f>
        <v>8.9978285564955907E-2</v>
      </c>
      <c r="BI229" s="137">
        <f>$W229*AN229+$L229*Summary_LCIA!AE$32</f>
        <v>0.271666837329259</v>
      </c>
      <c r="BJ229" s="137">
        <f>$W229*AO229+$L229*Summary_LCIA!AF$32</f>
        <v>2.7240637126737785E-2</v>
      </c>
      <c r="BK229" s="137">
        <f>$W229*AP229+$L229*Summary_LCIA!AG$32</f>
        <v>5.0642432717377846E-3</v>
      </c>
      <c r="BL229" s="137">
        <f>$W229*AQ229+$L229*Summary_LCIA!AH$32</f>
        <v>0.77828931665376899</v>
      </c>
      <c r="BM229" s="137">
        <f>$W229*AR229+$L229*Summary_LCIA!AI$32</f>
        <v>0.23040701702688743</v>
      </c>
    </row>
    <row r="230" spans="1:65" x14ac:dyDescent="0.25">
      <c r="A230" s="149">
        <v>298</v>
      </c>
      <c r="B230" s="149">
        <v>43</v>
      </c>
      <c r="C230" s="61">
        <v>40.440624999999997</v>
      </c>
      <c r="D230" s="61">
        <v>-79.995885999999999</v>
      </c>
      <c r="E230" s="61" t="s">
        <v>265</v>
      </c>
      <c r="F230" s="149">
        <v>106</v>
      </c>
      <c r="G230" s="61" t="s">
        <v>266</v>
      </c>
      <c r="H230" s="61" t="s">
        <v>669</v>
      </c>
      <c r="I230" s="61">
        <v>40.491920999999998</v>
      </c>
      <c r="J230" s="61">
        <v>-80.235223000000005</v>
      </c>
      <c r="K230" s="61">
        <v>21.391265860000001</v>
      </c>
      <c r="L230" s="61">
        <v>27.920999999999999</v>
      </c>
      <c r="M230" s="61" t="s">
        <v>617</v>
      </c>
      <c r="N230" s="149">
        <v>42</v>
      </c>
      <c r="O230" s="149">
        <v>43</v>
      </c>
      <c r="P230" s="61" t="s">
        <v>565</v>
      </c>
      <c r="Q230" s="61" t="s">
        <v>555</v>
      </c>
      <c r="R230" s="61">
        <v>40.6895314</v>
      </c>
      <c r="S230" s="61">
        <v>-74.174462399999996</v>
      </c>
      <c r="T230" s="61">
        <v>581.04700000000003</v>
      </c>
      <c r="U230" s="61" t="s">
        <v>617</v>
      </c>
      <c r="V230" s="61" t="s">
        <v>569</v>
      </c>
      <c r="W230" s="61" cm="1">
        <f t="array" ref="W230">getDistance(I230,J230,R230,S230)*SA!$B$12</f>
        <v>513.433583839015</v>
      </c>
      <c r="Y230" s="137">
        <f>Transportation_LCIA!C$61*($W230^Transportation_LCIA!C$60)+Transportation_LCIA!C$62</f>
        <v>0.32815716511039528</v>
      </c>
      <c r="Z230" s="137">
        <f>Transportation_LCIA!D$61*($W230^Transportation_LCIA!D$60)+Transportation_LCIA!D$62</f>
        <v>3.5191542163843881</v>
      </c>
      <c r="AA230" s="137">
        <f>Transportation_LCIA!E$61*($W230^Transportation_LCIA!E$60)+Transportation_LCIA!E$62</f>
        <v>1.8665206810453132E-3</v>
      </c>
      <c r="AB230" s="137">
        <f>Transportation_LCIA!F$61*($W230^Transportation_LCIA!F$60)+Transportation_LCIA!F$62</f>
        <v>0.32815716511039528</v>
      </c>
      <c r="AC230" s="137">
        <f>Transportation_LCIA!G$61*($W230^Transportation_LCIA!G$60)+Transportation_LCIA!G$62</f>
        <v>8.1967302989677859E-2</v>
      </c>
      <c r="AD230" s="137">
        <f>Transportation_LCIA!H$61*($W230^Transportation_LCIA!H$60)+Transportation_LCIA!H$62</f>
        <v>4.3698853519291556E-4</v>
      </c>
      <c r="AE230" s="137">
        <f>Transportation_LCIA!I$61*($W230^Transportation_LCIA!I$60)+Transportation_LCIA!I$62</f>
        <v>1.0010201729396875E-5</v>
      </c>
      <c r="AF230" s="137">
        <f>Transportation_LCIA!J$61*($W230^Transportation_LCIA!J$60)+Transportation_LCIA!J$62</f>
        <v>1.4910087392935532E-2</v>
      </c>
      <c r="AG230" s="137">
        <f>Transportation_LCIA!K$61*($W230^Transportation_LCIA!K$60)+Transportation_LCIA!K$62</f>
        <v>1.8005284512120634E-2</v>
      </c>
      <c r="AH230" s="137">
        <f>Transportation_LCIA!L$61*($W230^Transportation_LCIA!L$60)+Transportation_LCIA!L$62</f>
        <v>3.8774642038002372E-4</v>
      </c>
      <c r="AI230" s="137">
        <f>Transportation_LCIA!M$61*($W230^Transportation_LCIA!M$60)+Transportation_LCIA!M$62</f>
        <v>3.3205908340433346E-4</v>
      </c>
      <c r="AJ230" s="137">
        <f>Transportation_LCIA!N$61*($W230^Transportation_LCIA!N$60)+Transportation_LCIA!N$62</f>
        <v>1.5278401037459809E-3</v>
      </c>
      <c r="AK230" s="137">
        <f>Transportation_LCIA!O$61*($W230^Transportation_LCIA!O$60)+Transportation_LCIA!O$62</f>
        <v>8.6776433969231709E-5</v>
      </c>
      <c r="AL230" s="137">
        <f>Transportation_LCIA!P$61*($W230^Transportation_LCIA!P$60)+Transportation_LCIA!P$62</f>
        <v>4.187496920977748E-8</v>
      </c>
      <c r="AM230" s="137">
        <f>Transportation_LCIA!Q$61*($W230^Transportation_LCIA!Q$60)+Transportation_LCIA!Q$62</f>
        <v>1.5289540886279419E-4</v>
      </c>
      <c r="AN230" s="137">
        <f>Transportation_LCIA!R$61*($W230^Transportation_LCIA!R$60)+Transportation_LCIA!R$62</f>
        <v>4.8092919779996581E-4</v>
      </c>
      <c r="AO230" s="137">
        <f>Transportation_LCIA!S$61*($W230^Transportation_LCIA!S$60)+Transportation_LCIA!S$62</f>
        <v>7.081081996143308E-6</v>
      </c>
      <c r="AP230" s="137">
        <f>Transportation_LCIA!T$61*($W230^Transportation_LCIA!T$60)+Transportation_LCIA!T$62</f>
        <v>7.081081996143308E-6</v>
      </c>
      <c r="AQ230" s="137">
        <f>Transportation_LCIA!U$61*($W230^Transportation_LCIA!U$60)+Transportation_LCIA!U$62</f>
        <v>1.0425420500377758E-3</v>
      </c>
      <c r="AR230" s="137">
        <f>Transportation_LCIA!V$61*($W230^Transportation_LCIA!V$60)+Transportation_LCIA!V$62</f>
        <v>3.9809863614409633E-4</v>
      </c>
      <c r="AT230" s="137">
        <f>$W230*Y230+$L230*Summary_LCIA!H$32</f>
        <v>177.97446514508161</v>
      </c>
      <c r="AU230" s="137">
        <f>$W230*Z230+$L230*Summary_LCIA!Q$32</f>
        <v>1945.2298455402099</v>
      </c>
      <c r="AV230" s="137">
        <f>$W230*AA230+$L230*Summary_LCIA!R$32</f>
        <v>1.1053552201787342</v>
      </c>
      <c r="AW230" s="137">
        <f>$W230*AB230+$L230*Summary_LCIA!S$32</f>
        <v>177.85105432508161</v>
      </c>
      <c r="AX230" s="137">
        <f>$W230*AC230+$L230*Summary_LCIA!T$32</f>
        <v>45.153284031608706</v>
      </c>
      <c r="AY230" s="137">
        <f>$W230*AD230+$L230*Summary_LCIA!U$32</f>
        <v>0.72454138372066013</v>
      </c>
      <c r="AZ230" s="137">
        <f>$W230*AE230+$L230*Summary_LCIA!V$32</f>
        <v>6.4731086298757436E-3</v>
      </c>
      <c r="BA230" s="137">
        <f>$W230*AF230+$L230*Summary_LCIA!W$32</f>
        <v>9.8044468965078053</v>
      </c>
      <c r="BB230" s="137">
        <f>$W230*AG230+$L230*Summary_LCIA!X$32</f>
        <v>9.8805581350992089</v>
      </c>
      <c r="BC230" s="137">
        <f>$W230*AH230+$L230*Summary_LCIA!Y$32</f>
        <v>0.63414705623646483</v>
      </c>
      <c r="BD230" s="137">
        <f>$W230*AI230+$L230*Summary_LCIA!Z$32</f>
        <v>0.1716352975275853</v>
      </c>
      <c r="BE230" s="137">
        <f>$W230*AJ230+$L230*Summary_LCIA!AA$32</f>
        <v>1.4365672959992715</v>
      </c>
      <c r="BF230" s="137">
        <f>$W230*AK230+$L230*Summary_LCIA!AB$32</f>
        <v>4.394461550259228E-2</v>
      </c>
      <c r="BG230" s="137">
        <f>$W230*AL230+$L230*Summary_LCIA!AC$32</f>
        <v>2.2864905678524456E-5</v>
      </c>
      <c r="BH230" s="137">
        <f>$W230*AM230+$L230*Summary_LCIA!AD$32</f>
        <v>8.9978285564955907E-2</v>
      </c>
      <c r="BI230" s="137">
        <f>$W230*AN230+$L230*Summary_LCIA!AE$32</f>
        <v>0.271666837329259</v>
      </c>
      <c r="BJ230" s="137">
        <f>$W230*AO230+$L230*Summary_LCIA!AF$32</f>
        <v>2.7240637126737785E-2</v>
      </c>
      <c r="BK230" s="137">
        <f>$W230*AP230+$L230*Summary_LCIA!AG$32</f>
        <v>5.0642432717377846E-3</v>
      </c>
      <c r="BL230" s="137">
        <f>$W230*AQ230+$L230*Summary_LCIA!AH$32</f>
        <v>0.77828931665376899</v>
      </c>
      <c r="BM230" s="137">
        <f>$W230*AR230+$L230*Summary_LCIA!AI$32</f>
        <v>0.23040701702688743</v>
      </c>
    </row>
    <row r="231" spans="1:65" x14ac:dyDescent="0.25">
      <c r="A231" s="149">
        <v>299</v>
      </c>
      <c r="B231" s="149">
        <v>43</v>
      </c>
      <c r="C231" s="61">
        <v>40.440624999999997</v>
      </c>
      <c r="D231" s="61">
        <v>-79.995885999999999</v>
      </c>
      <c r="E231" s="61" t="s">
        <v>265</v>
      </c>
      <c r="F231" s="149">
        <v>106</v>
      </c>
      <c r="G231" s="61" t="s">
        <v>266</v>
      </c>
      <c r="H231" s="61" t="s">
        <v>669</v>
      </c>
      <c r="I231" s="61">
        <v>40.491920999999998</v>
      </c>
      <c r="J231" s="61">
        <v>-80.235223000000005</v>
      </c>
      <c r="K231" s="61">
        <v>21.391265860000001</v>
      </c>
      <c r="L231" s="61">
        <v>27.920999999999999</v>
      </c>
      <c r="M231" s="61" t="s">
        <v>617</v>
      </c>
      <c r="N231" s="149">
        <v>42</v>
      </c>
      <c r="O231" s="149">
        <v>43</v>
      </c>
      <c r="P231" s="61" t="s">
        <v>565</v>
      </c>
      <c r="Q231" s="61" t="s">
        <v>555</v>
      </c>
      <c r="R231" s="61">
        <v>40.6895314</v>
      </c>
      <c r="S231" s="61">
        <v>-74.174462399999996</v>
      </c>
      <c r="T231" s="61">
        <v>581.04700000000003</v>
      </c>
      <c r="U231" s="61" t="s">
        <v>617</v>
      </c>
      <c r="V231" s="61" t="s">
        <v>569</v>
      </c>
      <c r="W231" s="61" cm="1">
        <f t="array" ref="W231">getDistance(I231,J231,R231,S231)*SA!$B$12</f>
        <v>513.433583839015</v>
      </c>
      <c r="Y231" s="137">
        <f>Transportation_LCIA!C$61*($W231^Transportation_LCIA!C$60)+Transportation_LCIA!C$62</f>
        <v>0.32815716511039528</v>
      </c>
      <c r="Z231" s="137">
        <f>Transportation_LCIA!D$61*($W231^Transportation_LCIA!D$60)+Transportation_LCIA!D$62</f>
        <v>3.5191542163843881</v>
      </c>
      <c r="AA231" s="137">
        <f>Transportation_LCIA!E$61*($W231^Transportation_LCIA!E$60)+Transportation_LCIA!E$62</f>
        <v>1.8665206810453132E-3</v>
      </c>
      <c r="AB231" s="137">
        <f>Transportation_LCIA!F$61*($W231^Transportation_LCIA!F$60)+Transportation_LCIA!F$62</f>
        <v>0.32815716511039528</v>
      </c>
      <c r="AC231" s="137">
        <f>Transportation_LCIA!G$61*($W231^Transportation_LCIA!G$60)+Transportation_LCIA!G$62</f>
        <v>8.1967302989677859E-2</v>
      </c>
      <c r="AD231" s="137">
        <f>Transportation_LCIA!H$61*($W231^Transportation_LCIA!H$60)+Transportation_LCIA!H$62</f>
        <v>4.3698853519291556E-4</v>
      </c>
      <c r="AE231" s="137">
        <f>Transportation_LCIA!I$61*($W231^Transportation_LCIA!I$60)+Transportation_LCIA!I$62</f>
        <v>1.0010201729396875E-5</v>
      </c>
      <c r="AF231" s="137">
        <f>Transportation_LCIA!J$61*($W231^Transportation_LCIA!J$60)+Transportation_LCIA!J$62</f>
        <v>1.4910087392935532E-2</v>
      </c>
      <c r="AG231" s="137">
        <f>Transportation_LCIA!K$61*($W231^Transportation_LCIA!K$60)+Transportation_LCIA!K$62</f>
        <v>1.8005284512120634E-2</v>
      </c>
      <c r="AH231" s="137">
        <f>Transportation_LCIA!L$61*($W231^Transportation_LCIA!L$60)+Transportation_LCIA!L$62</f>
        <v>3.8774642038002372E-4</v>
      </c>
      <c r="AI231" s="137">
        <f>Transportation_LCIA!M$61*($W231^Transportation_LCIA!M$60)+Transportation_LCIA!M$62</f>
        <v>3.3205908340433346E-4</v>
      </c>
      <c r="AJ231" s="137">
        <f>Transportation_LCIA!N$61*($W231^Transportation_LCIA!N$60)+Transportation_LCIA!N$62</f>
        <v>1.5278401037459809E-3</v>
      </c>
      <c r="AK231" s="137">
        <f>Transportation_LCIA!O$61*($W231^Transportation_LCIA!O$60)+Transportation_LCIA!O$62</f>
        <v>8.6776433969231709E-5</v>
      </c>
      <c r="AL231" s="137">
        <f>Transportation_LCIA!P$61*($W231^Transportation_LCIA!P$60)+Transportation_LCIA!P$62</f>
        <v>4.187496920977748E-8</v>
      </c>
      <c r="AM231" s="137">
        <f>Transportation_LCIA!Q$61*($W231^Transportation_LCIA!Q$60)+Transportation_LCIA!Q$62</f>
        <v>1.5289540886279419E-4</v>
      </c>
      <c r="AN231" s="137">
        <f>Transportation_LCIA!R$61*($W231^Transportation_LCIA!R$60)+Transportation_LCIA!R$62</f>
        <v>4.8092919779996581E-4</v>
      </c>
      <c r="AO231" s="137">
        <f>Transportation_LCIA!S$61*($W231^Transportation_LCIA!S$60)+Transportation_LCIA!S$62</f>
        <v>7.081081996143308E-6</v>
      </c>
      <c r="AP231" s="137">
        <f>Transportation_LCIA!T$61*($W231^Transportation_LCIA!T$60)+Transportation_LCIA!T$62</f>
        <v>7.081081996143308E-6</v>
      </c>
      <c r="AQ231" s="137">
        <f>Transportation_LCIA!U$61*($W231^Transportation_LCIA!U$60)+Transportation_LCIA!U$62</f>
        <v>1.0425420500377758E-3</v>
      </c>
      <c r="AR231" s="137">
        <f>Transportation_LCIA!V$61*($W231^Transportation_LCIA!V$60)+Transportation_LCIA!V$62</f>
        <v>3.9809863614409633E-4</v>
      </c>
      <c r="AT231" s="137">
        <f>$W231*Y231+$L231*Summary_LCIA!H$32</f>
        <v>177.97446514508161</v>
      </c>
      <c r="AU231" s="137">
        <f>$W231*Z231+$L231*Summary_LCIA!Q$32</f>
        <v>1945.2298455402099</v>
      </c>
      <c r="AV231" s="137">
        <f>$W231*AA231+$L231*Summary_LCIA!R$32</f>
        <v>1.1053552201787342</v>
      </c>
      <c r="AW231" s="137">
        <f>$W231*AB231+$L231*Summary_LCIA!S$32</f>
        <v>177.85105432508161</v>
      </c>
      <c r="AX231" s="137">
        <f>$W231*AC231+$L231*Summary_LCIA!T$32</f>
        <v>45.153284031608706</v>
      </c>
      <c r="AY231" s="137">
        <f>$W231*AD231+$L231*Summary_LCIA!U$32</f>
        <v>0.72454138372066013</v>
      </c>
      <c r="AZ231" s="137">
        <f>$W231*AE231+$L231*Summary_LCIA!V$32</f>
        <v>6.4731086298757436E-3</v>
      </c>
      <c r="BA231" s="137">
        <f>$W231*AF231+$L231*Summary_LCIA!W$32</f>
        <v>9.8044468965078053</v>
      </c>
      <c r="BB231" s="137">
        <f>$W231*AG231+$L231*Summary_LCIA!X$32</f>
        <v>9.8805581350992089</v>
      </c>
      <c r="BC231" s="137">
        <f>$W231*AH231+$L231*Summary_LCIA!Y$32</f>
        <v>0.63414705623646483</v>
      </c>
      <c r="BD231" s="137">
        <f>$W231*AI231+$L231*Summary_LCIA!Z$32</f>
        <v>0.1716352975275853</v>
      </c>
      <c r="BE231" s="137">
        <f>$W231*AJ231+$L231*Summary_LCIA!AA$32</f>
        <v>1.4365672959992715</v>
      </c>
      <c r="BF231" s="137">
        <f>$W231*AK231+$L231*Summary_LCIA!AB$32</f>
        <v>4.394461550259228E-2</v>
      </c>
      <c r="BG231" s="137">
        <f>$W231*AL231+$L231*Summary_LCIA!AC$32</f>
        <v>2.2864905678524456E-5</v>
      </c>
      <c r="BH231" s="137">
        <f>$W231*AM231+$L231*Summary_LCIA!AD$32</f>
        <v>8.9978285564955907E-2</v>
      </c>
      <c r="BI231" s="137">
        <f>$W231*AN231+$L231*Summary_LCIA!AE$32</f>
        <v>0.271666837329259</v>
      </c>
      <c r="BJ231" s="137">
        <f>$W231*AO231+$L231*Summary_LCIA!AF$32</f>
        <v>2.7240637126737785E-2</v>
      </c>
      <c r="BK231" s="137">
        <f>$W231*AP231+$L231*Summary_LCIA!AG$32</f>
        <v>5.0642432717377846E-3</v>
      </c>
      <c r="BL231" s="137">
        <f>$W231*AQ231+$L231*Summary_LCIA!AH$32</f>
        <v>0.77828931665376899</v>
      </c>
      <c r="BM231" s="137">
        <f>$W231*AR231+$L231*Summary_LCIA!AI$32</f>
        <v>0.23040701702688743</v>
      </c>
    </row>
    <row r="232" spans="1:65" x14ac:dyDescent="0.25">
      <c r="A232" s="149">
        <v>300</v>
      </c>
      <c r="B232" s="149">
        <v>43</v>
      </c>
      <c r="C232" s="61">
        <v>40.440624999999997</v>
      </c>
      <c r="D232" s="61">
        <v>-79.995885999999999</v>
      </c>
      <c r="E232" s="61" t="s">
        <v>265</v>
      </c>
      <c r="F232" s="149">
        <v>106</v>
      </c>
      <c r="G232" s="61" t="s">
        <v>266</v>
      </c>
      <c r="H232" s="61" t="s">
        <v>669</v>
      </c>
      <c r="I232" s="61">
        <v>40.491920999999998</v>
      </c>
      <c r="J232" s="61">
        <v>-80.235223000000005</v>
      </c>
      <c r="K232" s="61">
        <v>21.391265860000001</v>
      </c>
      <c r="L232" s="61">
        <v>27.920999999999999</v>
      </c>
      <c r="M232" s="61" t="s">
        <v>617</v>
      </c>
      <c r="N232" s="149">
        <v>42</v>
      </c>
      <c r="O232" s="149">
        <v>43</v>
      </c>
      <c r="P232" s="61" t="s">
        <v>565</v>
      </c>
      <c r="Q232" s="61" t="s">
        <v>555</v>
      </c>
      <c r="R232" s="61">
        <v>40.6895314</v>
      </c>
      <c r="S232" s="61">
        <v>-74.174462399999996</v>
      </c>
      <c r="T232" s="61">
        <v>581.04700000000003</v>
      </c>
      <c r="U232" s="61" t="s">
        <v>617</v>
      </c>
      <c r="V232" s="61" t="s">
        <v>569</v>
      </c>
      <c r="W232" s="61" cm="1">
        <f t="array" ref="W232">getDistance(I232,J232,R232,S232)*SA!$B$12</f>
        <v>513.433583839015</v>
      </c>
      <c r="Y232" s="137">
        <f>Transportation_LCIA!C$61*($W232^Transportation_LCIA!C$60)+Transportation_LCIA!C$62</f>
        <v>0.32815716511039528</v>
      </c>
      <c r="Z232" s="137">
        <f>Transportation_LCIA!D$61*($W232^Transportation_LCIA!D$60)+Transportation_LCIA!D$62</f>
        <v>3.5191542163843881</v>
      </c>
      <c r="AA232" s="137">
        <f>Transportation_LCIA!E$61*($W232^Transportation_LCIA!E$60)+Transportation_LCIA!E$62</f>
        <v>1.8665206810453132E-3</v>
      </c>
      <c r="AB232" s="137">
        <f>Transportation_LCIA!F$61*($W232^Transportation_LCIA!F$60)+Transportation_LCIA!F$62</f>
        <v>0.32815716511039528</v>
      </c>
      <c r="AC232" s="137">
        <f>Transportation_LCIA!G$61*($W232^Transportation_LCIA!G$60)+Transportation_LCIA!G$62</f>
        <v>8.1967302989677859E-2</v>
      </c>
      <c r="AD232" s="137">
        <f>Transportation_LCIA!H$61*($W232^Transportation_LCIA!H$60)+Transportation_LCIA!H$62</f>
        <v>4.3698853519291556E-4</v>
      </c>
      <c r="AE232" s="137">
        <f>Transportation_LCIA!I$61*($W232^Transportation_LCIA!I$60)+Transportation_LCIA!I$62</f>
        <v>1.0010201729396875E-5</v>
      </c>
      <c r="AF232" s="137">
        <f>Transportation_LCIA!J$61*($W232^Transportation_LCIA!J$60)+Transportation_LCIA!J$62</f>
        <v>1.4910087392935532E-2</v>
      </c>
      <c r="AG232" s="137">
        <f>Transportation_LCIA!K$61*($W232^Transportation_LCIA!K$60)+Transportation_LCIA!K$62</f>
        <v>1.8005284512120634E-2</v>
      </c>
      <c r="AH232" s="137">
        <f>Transportation_LCIA!L$61*($W232^Transportation_LCIA!L$60)+Transportation_LCIA!L$62</f>
        <v>3.8774642038002372E-4</v>
      </c>
      <c r="AI232" s="137">
        <f>Transportation_LCIA!M$61*($W232^Transportation_LCIA!M$60)+Transportation_LCIA!M$62</f>
        <v>3.3205908340433346E-4</v>
      </c>
      <c r="AJ232" s="137">
        <f>Transportation_LCIA!N$61*($W232^Transportation_LCIA!N$60)+Transportation_LCIA!N$62</f>
        <v>1.5278401037459809E-3</v>
      </c>
      <c r="AK232" s="137">
        <f>Transportation_LCIA!O$61*($W232^Transportation_LCIA!O$60)+Transportation_LCIA!O$62</f>
        <v>8.6776433969231709E-5</v>
      </c>
      <c r="AL232" s="137">
        <f>Transportation_LCIA!P$61*($W232^Transportation_LCIA!P$60)+Transportation_LCIA!P$62</f>
        <v>4.187496920977748E-8</v>
      </c>
      <c r="AM232" s="137">
        <f>Transportation_LCIA!Q$61*($W232^Transportation_LCIA!Q$60)+Transportation_LCIA!Q$62</f>
        <v>1.5289540886279419E-4</v>
      </c>
      <c r="AN232" s="137">
        <f>Transportation_LCIA!R$61*($W232^Transportation_LCIA!R$60)+Transportation_LCIA!R$62</f>
        <v>4.8092919779996581E-4</v>
      </c>
      <c r="AO232" s="137">
        <f>Transportation_LCIA!S$61*($W232^Transportation_LCIA!S$60)+Transportation_LCIA!S$62</f>
        <v>7.081081996143308E-6</v>
      </c>
      <c r="AP232" s="137">
        <f>Transportation_LCIA!T$61*($W232^Transportation_LCIA!T$60)+Transportation_LCIA!T$62</f>
        <v>7.081081996143308E-6</v>
      </c>
      <c r="AQ232" s="137">
        <f>Transportation_LCIA!U$61*($W232^Transportation_LCIA!U$60)+Transportation_LCIA!U$62</f>
        <v>1.0425420500377758E-3</v>
      </c>
      <c r="AR232" s="137">
        <f>Transportation_LCIA!V$61*($W232^Transportation_LCIA!V$60)+Transportation_LCIA!V$62</f>
        <v>3.9809863614409633E-4</v>
      </c>
      <c r="AT232" s="137">
        <f>$W232*Y232+$L232*Summary_LCIA!H$32</f>
        <v>177.97446514508161</v>
      </c>
      <c r="AU232" s="137">
        <f>$W232*Z232+$L232*Summary_LCIA!Q$32</f>
        <v>1945.2298455402099</v>
      </c>
      <c r="AV232" s="137">
        <f>$W232*AA232+$L232*Summary_LCIA!R$32</f>
        <v>1.1053552201787342</v>
      </c>
      <c r="AW232" s="137">
        <f>$W232*AB232+$L232*Summary_LCIA!S$32</f>
        <v>177.85105432508161</v>
      </c>
      <c r="AX232" s="137">
        <f>$W232*AC232+$L232*Summary_LCIA!T$32</f>
        <v>45.153284031608706</v>
      </c>
      <c r="AY232" s="137">
        <f>$W232*AD232+$L232*Summary_LCIA!U$32</f>
        <v>0.72454138372066013</v>
      </c>
      <c r="AZ232" s="137">
        <f>$W232*AE232+$L232*Summary_LCIA!V$32</f>
        <v>6.4731086298757436E-3</v>
      </c>
      <c r="BA232" s="137">
        <f>$W232*AF232+$L232*Summary_LCIA!W$32</f>
        <v>9.8044468965078053</v>
      </c>
      <c r="BB232" s="137">
        <f>$W232*AG232+$L232*Summary_LCIA!X$32</f>
        <v>9.8805581350992089</v>
      </c>
      <c r="BC232" s="137">
        <f>$W232*AH232+$L232*Summary_LCIA!Y$32</f>
        <v>0.63414705623646483</v>
      </c>
      <c r="BD232" s="137">
        <f>$W232*AI232+$L232*Summary_LCIA!Z$32</f>
        <v>0.1716352975275853</v>
      </c>
      <c r="BE232" s="137">
        <f>$W232*AJ232+$L232*Summary_LCIA!AA$32</f>
        <v>1.4365672959992715</v>
      </c>
      <c r="BF232" s="137">
        <f>$W232*AK232+$L232*Summary_LCIA!AB$32</f>
        <v>4.394461550259228E-2</v>
      </c>
      <c r="BG232" s="137">
        <f>$W232*AL232+$L232*Summary_LCIA!AC$32</f>
        <v>2.2864905678524456E-5</v>
      </c>
      <c r="BH232" s="137">
        <f>$W232*AM232+$L232*Summary_LCIA!AD$32</f>
        <v>8.9978285564955907E-2</v>
      </c>
      <c r="BI232" s="137">
        <f>$W232*AN232+$L232*Summary_LCIA!AE$32</f>
        <v>0.271666837329259</v>
      </c>
      <c r="BJ232" s="137">
        <f>$W232*AO232+$L232*Summary_LCIA!AF$32</f>
        <v>2.7240637126737785E-2</v>
      </c>
      <c r="BK232" s="137">
        <f>$W232*AP232+$L232*Summary_LCIA!AG$32</f>
        <v>5.0642432717377846E-3</v>
      </c>
      <c r="BL232" s="137">
        <f>$W232*AQ232+$L232*Summary_LCIA!AH$32</f>
        <v>0.77828931665376899</v>
      </c>
      <c r="BM232" s="137">
        <f>$W232*AR232+$L232*Summary_LCIA!AI$32</f>
        <v>0.23040701702688743</v>
      </c>
    </row>
    <row r="233" spans="1:65" x14ac:dyDescent="0.25">
      <c r="A233" s="149">
        <v>301</v>
      </c>
      <c r="B233" s="149">
        <v>43</v>
      </c>
      <c r="C233" s="61">
        <v>40.440624999999997</v>
      </c>
      <c r="D233" s="61">
        <v>-79.995885999999999</v>
      </c>
      <c r="E233" s="61" t="s">
        <v>265</v>
      </c>
      <c r="F233" s="149">
        <v>106</v>
      </c>
      <c r="G233" s="61" t="s">
        <v>266</v>
      </c>
      <c r="H233" s="61" t="s">
        <v>669</v>
      </c>
      <c r="I233" s="61">
        <v>40.491920999999998</v>
      </c>
      <c r="J233" s="61">
        <v>-80.235223000000005</v>
      </c>
      <c r="K233" s="61">
        <v>21.391265860000001</v>
      </c>
      <c r="L233" s="61">
        <v>27.920999999999999</v>
      </c>
      <c r="M233" s="61" t="s">
        <v>617</v>
      </c>
      <c r="N233" s="149">
        <v>42</v>
      </c>
      <c r="O233" s="149">
        <v>43</v>
      </c>
      <c r="P233" s="61" t="s">
        <v>565</v>
      </c>
      <c r="Q233" s="61" t="s">
        <v>555</v>
      </c>
      <c r="R233" s="61">
        <v>40.6895314</v>
      </c>
      <c r="S233" s="61">
        <v>-74.174462399999996</v>
      </c>
      <c r="T233" s="61">
        <v>581.04700000000003</v>
      </c>
      <c r="U233" s="61" t="s">
        <v>617</v>
      </c>
      <c r="V233" s="61" t="s">
        <v>569</v>
      </c>
      <c r="W233" s="61" cm="1">
        <f t="array" ref="W233">getDistance(I233,J233,R233,S233)*SA!$B$12</f>
        <v>513.433583839015</v>
      </c>
      <c r="Y233" s="137">
        <f>Transportation_LCIA!C$61*($W233^Transportation_LCIA!C$60)+Transportation_LCIA!C$62</f>
        <v>0.32815716511039528</v>
      </c>
      <c r="Z233" s="137">
        <f>Transportation_LCIA!D$61*($W233^Transportation_LCIA!D$60)+Transportation_LCIA!D$62</f>
        <v>3.5191542163843881</v>
      </c>
      <c r="AA233" s="137">
        <f>Transportation_LCIA!E$61*($W233^Transportation_LCIA!E$60)+Transportation_LCIA!E$62</f>
        <v>1.8665206810453132E-3</v>
      </c>
      <c r="AB233" s="137">
        <f>Transportation_LCIA!F$61*($W233^Transportation_LCIA!F$60)+Transportation_LCIA!F$62</f>
        <v>0.32815716511039528</v>
      </c>
      <c r="AC233" s="137">
        <f>Transportation_LCIA!G$61*($W233^Transportation_LCIA!G$60)+Transportation_LCIA!G$62</f>
        <v>8.1967302989677859E-2</v>
      </c>
      <c r="AD233" s="137">
        <f>Transportation_LCIA!H$61*($W233^Transportation_LCIA!H$60)+Transportation_LCIA!H$62</f>
        <v>4.3698853519291556E-4</v>
      </c>
      <c r="AE233" s="137">
        <f>Transportation_LCIA!I$61*($W233^Transportation_LCIA!I$60)+Transportation_LCIA!I$62</f>
        <v>1.0010201729396875E-5</v>
      </c>
      <c r="AF233" s="137">
        <f>Transportation_LCIA!J$61*($W233^Transportation_LCIA!J$60)+Transportation_LCIA!J$62</f>
        <v>1.4910087392935532E-2</v>
      </c>
      <c r="AG233" s="137">
        <f>Transportation_LCIA!K$61*($W233^Transportation_LCIA!K$60)+Transportation_LCIA!K$62</f>
        <v>1.8005284512120634E-2</v>
      </c>
      <c r="AH233" s="137">
        <f>Transportation_LCIA!L$61*($W233^Transportation_LCIA!L$60)+Transportation_LCIA!L$62</f>
        <v>3.8774642038002372E-4</v>
      </c>
      <c r="AI233" s="137">
        <f>Transportation_LCIA!M$61*($W233^Transportation_LCIA!M$60)+Transportation_LCIA!M$62</f>
        <v>3.3205908340433346E-4</v>
      </c>
      <c r="AJ233" s="137">
        <f>Transportation_LCIA!N$61*($W233^Transportation_LCIA!N$60)+Transportation_LCIA!N$62</f>
        <v>1.5278401037459809E-3</v>
      </c>
      <c r="AK233" s="137">
        <f>Transportation_LCIA!O$61*($W233^Transportation_LCIA!O$60)+Transportation_LCIA!O$62</f>
        <v>8.6776433969231709E-5</v>
      </c>
      <c r="AL233" s="137">
        <f>Transportation_LCIA!P$61*($W233^Transportation_LCIA!P$60)+Transportation_LCIA!P$62</f>
        <v>4.187496920977748E-8</v>
      </c>
      <c r="AM233" s="137">
        <f>Transportation_LCIA!Q$61*($W233^Transportation_LCIA!Q$60)+Transportation_LCIA!Q$62</f>
        <v>1.5289540886279419E-4</v>
      </c>
      <c r="AN233" s="137">
        <f>Transportation_LCIA!R$61*($W233^Transportation_LCIA!R$60)+Transportation_LCIA!R$62</f>
        <v>4.8092919779996581E-4</v>
      </c>
      <c r="AO233" s="137">
        <f>Transportation_LCIA!S$61*($W233^Transportation_LCIA!S$60)+Transportation_LCIA!S$62</f>
        <v>7.081081996143308E-6</v>
      </c>
      <c r="AP233" s="137">
        <f>Transportation_LCIA!T$61*($W233^Transportation_LCIA!T$60)+Transportation_LCIA!T$62</f>
        <v>7.081081996143308E-6</v>
      </c>
      <c r="AQ233" s="137">
        <f>Transportation_LCIA!U$61*($W233^Transportation_LCIA!U$60)+Transportation_LCIA!U$62</f>
        <v>1.0425420500377758E-3</v>
      </c>
      <c r="AR233" s="137">
        <f>Transportation_LCIA!V$61*($W233^Transportation_LCIA!V$60)+Transportation_LCIA!V$62</f>
        <v>3.9809863614409633E-4</v>
      </c>
      <c r="AT233" s="137">
        <f>$W233*Y233+$L233*Summary_LCIA!H$32</f>
        <v>177.97446514508161</v>
      </c>
      <c r="AU233" s="137">
        <f>$W233*Z233+$L233*Summary_LCIA!Q$32</f>
        <v>1945.2298455402099</v>
      </c>
      <c r="AV233" s="137">
        <f>$W233*AA233+$L233*Summary_LCIA!R$32</f>
        <v>1.1053552201787342</v>
      </c>
      <c r="AW233" s="137">
        <f>$W233*AB233+$L233*Summary_LCIA!S$32</f>
        <v>177.85105432508161</v>
      </c>
      <c r="AX233" s="137">
        <f>$W233*AC233+$L233*Summary_LCIA!T$32</f>
        <v>45.153284031608706</v>
      </c>
      <c r="AY233" s="137">
        <f>$W233*AD233+$L233*Summary_LCIA!U$32</f>
        <v>0.72454138372066013</v>
      </c>
      <c r="AZ233" s="137">
        <f>$W233*AE233+$L233*Summary_LCIA!V$32</f>
        <v>6.4731086298757436E-3</v>
      </c>
      <c r="BA233" s="137">
        <f>$W233*AF233+$L233*Summary_LCIA!W$32</f>
        <v>9.8044468965078053</v>
      </c>
      <c r="BB233" s="137">
        <f>$W233*AG233+$L233*Summary_LCIA!X$32</f>
        <v>9.8805581350992089</v>
      </c>
      <c r="BC233" s="137">
        <f>$W233*AH233+$L233*Summary_LCIA!Y$32</f>
        <v>0.63414705623646483</v>
      </c>
      <c r="BD233" s="137">
        <f>$W233*AI233+$L233*Summary_LCIA!Z$32</f>
        <v>0.1716352975275853</v>
      </c>
      <c r="BE233" s="137">
        <f>$W233*AJ233+$L233*Summary_LCIA!AA$32</f>
        <v>1.4365672959992715</v>
      </c>
      <c r="BF233" s="137">
        <f>$W233*AK233+$L233*Summary_LCIA!AB$32</f>
        <v>4.394461550259228E-2</v>
      </c>
      <c r="BG233" s="137">
        <f>$W233*AL233+$L233*Summary_LCIA!AC$32</f>
        <v>2.2864905678524456E-5</v>
      </c>
      <c r="BH233" s="137">
        <f>$W233*AM233+$L233*Summary_LCIA!AD$32</f>
        <v>8.9978285564955907E-2</v>
      </c>
      <c r="BI233" s="137">
        <f>$W233*AN233+$L233*Summary_LCIA!AE$32</f>
        <v>0.271666837329259</v>
      </c>
      <c r="BJ233" s="137">
        <f>$W233*AO233+$L233*Summary_LCIA!AF$32</f>
        <v>2.7240637126737785E-2</v>
      </c>
      <c r="BK233" s="137">
        <f>$W233*AP233+$L233*Summary_LCIA!AG$32</f>
        <v>5.0642432717377846E-3</v>
      </c>
      <c r="BL233" s="137">
        <f>$W233*AQ233+$L233*Summary_LCIA!AH$32</f>
        <v>0.77828931665376899</v>
      </c>
      <c r="BM233" s="137">
        <f>$W233*AR233+$L233*Summary_LCIA!AI$32</f>
        <v>0.23040701702688743</v>
      </c>
    </row>
    <row r="234" spans="1:65" x14ac:dyDescent="0.25">
      <c r="A234" s="149">
        <v>302</v>
      </c>
      <c r="B234" s="149">
        <v>43</v>
      </c>
      <c r="C234" s="61">
        <v>40.440624999999997</v>
      </c>
      <c r="D234" s="61">
        <v>-79.995885999999999</v>
      </c>
      <c r="E234" s="61" t="s">
        <v>265</v>
      </c>
      <c r="F234" s="149">
        <v>106</v>
      </c>
      <c r="G234" s="61" t="s">
        <v>266</v>
      </c>
      <c r="H234" s="61" t="s">
        <v>669</v>
      </c>
      <c r="I234" s="61">
        <v>40.491920999999998</v>
      </c>
      <c r="J234" s="61">
        <v>-80.235223000000005</v>
      </c>
      <c r="K234" s="61">
        <v>21.391265860000001</v>
      </c>
      <c r="L234" s="61">
        <v>27.920999999999999</v>
      </c>
      <c r="M234" s="61" t="s">
        <v>617</v>
      </c>
      <c r="N234" s="149">
        <v>42</v>
      </c>
      <c r="O234" s="149">
        <v>43</v>
      </c>
      <c r="P234" s="61" t="s">
        <v>565</v>
      </c>
      <c r="Q234" s="61" t="s">
        <v>555</v>
      </c>
      <c r="R234" s="61">
        <v>40.6895314</v>
      </c>
      <c r="S234" s="61">
        <v>-74.174462399999996</v>
      </c>
      <c r="T234" s="61">
        <v>581.04700000000003</v>
      </c>
      <c r="U234" s="61" t="s">
        <v>617</v>
      </c>
      <c r="V234" s="61" t="s">
        <v>569</v>
      </c>
      <c r="W234" s="61" cm="1">
        <f t="array" ref="W234">getDistance(I234,J234,R234,S234)*SA!$B$12</f>
        <v>513.433583839015</v>
      </c>
      <c r="Y234" s="137">
        <f>Transportation_LCIA!C$61*($W234^Transportation_LCIA!C$60)+Transportation_LCIA!C$62</f>
        <v>0.32815716511039528</v>
      </c>
      <c r="Z234" s="137">
        <f>Transportation_LCIA!D$61*($W234^Transportation_LCIA!D$60)+Transportation_LCIA!D$62</f>
        <v>3.5191542163843881</v>
      </c>
      <c r="AA234" s="137">
        <f>Transportation_LCIA!E$61*($W234^Transportation_LCIA!E$60)+Transportation_LCIA!E$62</f>
        <v>1.8665206810453132E-3</v>
      </c>
      <c r="AB234" s="137">
        <f>Transportation_LCIA!F$61*($W234^Transportation_LCIA!F$60)+Transportation_LCIA!F$62</f>
        <v>0.32815716511039528</v>
      </c>
      <c r="AC234" s="137">
        <f>Transportation_LCIA!G$61*($W234^Transportation_LCIA!G$60)+Transportation_LCIA!G$62</f>
        <v>8.1967302989677859E-2</v>
      </c>
      <c r="AD234" s="137">
        <f>Transportation_LCIA!H$61*($W234^Transportation_LCIA!H$60)+Transportation_LCIA!H$62</f>
        <v>4.3698853519291556E-4</v>
      </c>
      <c r="AE234" s="137">
        <f>Transportation_LCIA!I$61*($W234^Transportation_LCIA!I$60)+Transportation_LCIA!I$62</f>
        <v>1.0010201729396875E-5</v>
      </c>
      <c r="AF234" s="137">
        <f>Transportation_LCIA!J$61*($W234^Transportation_LCIA!J$60)+Transportation_LCIA!J$62</f>
        <v>1.4910087392935532E-2</v>
      </c>
      <c r="AG234" s="137">
        <f>Transportation_LCIA!K$61*($W234^Transportation_LCIA!K$60)+Transportation_LCIA!K$62</f>
        <v>1.8005284512120634E-2</v>
      </c>
      <c r="AH234" s="137">
        <f>Transportation_LCIA!L$61*($W234^Transportation_LCIA!L$60)+Transportation_LCIA!L$62</f>
        <v>3.8774642038002372E-4</v>
      </c>
      <c r="AI234" s="137">
        <f>Transportation_LCIA!M$61*($W234^Transportation_LCIA!M$60)+Transportation_LCIA!M$62</f>
        <v>3.3205908340433346E-4</v>
      </c>
      <c r="AJ234" s="137">
        <f>Transportation_LCIA!N$61*($W234^Transportation_LCIA!N$60)+Transportation_LCIA!N$62</f>
        <v>1.5278401037459809E-3</v>
      </c>
      <c r="AK234" s="137">
        <f>Transportation_LCIA!O$61*($W234^Transportation_LCIA!O$60)+Transportation_LCIA!O$62</f>
        <v>8.6776433969231709E-5</v>
      </c>
      <c r="AL234" s="137">
        <f>Transportation_LCIA!P$61*($W234^Transportation_LCIA!P$60)+Transportation_LCIA!P$62</f>
        <v>4.187496920977748E-8</v>
      </c>
      <c r="AM234" s="137">
        <f>Transportation_LCIA!Q$61*($W234^Transportation_LCIA!Q$60)+Transportation_LCIA!Q$62</f>
        <v>1.5289540886279419E-4</v>
      </c>
      <c r="AN234" s="137">
        <f>Transportation_LCIA!R$61*($W234^Transportation_LCIA!R$60)+Transportation_LCIA!R$62</f>
        <v>4.8092919779996581E-4</v>
      </c>
      <c r="AO234" s="137">
        <f>Transportation_LCIA!S$61*($W234^Transportation_LCIA!S$60)+Transportation_LCIA!S$62</f>
        <v>7.081081996143308E-6</v>
      </c>
      <c r="AP234" s="137">
        <f>Transportation_LCIA!T$61*($W234^Transportation_LCIA!T$60)+Transportation_LCIA!T$62</f>
        <v>7.081081996143308E-6</v>
      </c>
      <c r="AQ234" s="137">
        <f>Transportation_LCIA!U$61*($W234^Transportation_LCIA!U$60)+Transportation_LCIA!U$62</f>
        <v>1.0425420500377758E-3</v>
      </c>
      <c r="AR234" s="137">
        <f>Transportation_LCIA!V$61*($W234^Transportation_LCIA!V$60)+Transportation_LCIA!V$62</f>
        <v>3.9809863614409633E-4</v>
      </c>
      <c r="AT234" s="137">
        <f>$W234*Y234+$L234*Summary_LCIA!H$32</f>
        <v>177.97446514508161</v>
      </c>
      <c r="AU234" s="137">
        <f>$W234*Z234+$L234*Summary_LCIA!Q$32</f>
        <v>1945.2298455402099</v>
      </c>
      <c r="AV234" s="137">
        <f>$W234*AA234+$L234*Summary_LCIA!R$32</f>
        <v>1.1053552201787342</v>
      </c>
      <c r="AW234" s="137">
        <f>$W234*AB234+$L234*Summary_LCIA!S$32</f>
        <v>177.85105432508161</v>
      </c>
      <c r="AX234" s="137">
        <f>$W234*AC234+$L234*Summary_LCIA!T$32</f>
        <v>45.153284031608706</v>
      </c>
      <c r="AY234" s="137">
        <f>$W234*AD234+$L234*Summary_LCIA!U$32</f>
        <v>0.72454138372066013</v>
      </c>
      <c r="AZ234" s="137">
        <f>$W234*AE234+$L234*Summary_LCIA!V$32</f>
        <v>6.4731086298757436E-3</v>
      </c>
      <c r="BA234" s="137">
        <f>$W234*AF234+$L234*Summary_LCIA!W$32</f>
        <v>9.8044468965078053</v>
      </c>
      <c r="BB234" s="137">
        <f>$W234*AG234+$L234*Summary_LCIA!X$32</f>
        <v>9.8805581350992089</v>
      </c>
      <c r="BC234" s="137">
        <f>$W234*AH234+$L234*Summary_LCIA!Y$32</f>
        <v>0.63414705623646483</v>
      </c>
      <c r="BD234" s="137">
        <f>$W234*AI234+$L234*Summary_LCIA!Z$32</f>
        <v>0.1716352975275853</v>
      </c>
      <c r="BE234" s="137">
        <f>$W234*AJ234+$L234*Summary_LCIA!AA$32</f>
        <v>1.4365672959992715</v>
      </c>
      <c r="BF234" s="137">
        <f>$W234*AK234+$L234*Summary_LCIA!AB$32</f>
        <v>4.394461550259228E-2</v>
      </c>
      <c r="BG234" s="137">
        <f>$W234*AL234+$L234*Summary_LCIA!AC$32</f>
        <v>2.2864905678524456E-5</v>
      </c>
      <c r="BH234" s="137">
        <f>$W234*AM234+$L234*Summary_LCIA!AD$32</f>
        <v>8.9978285564955907E-2</v>
      </c>
      <c r="BI234" s="137">
        <f>$W234*AN234+$L234*Summary_LCIA!AE$32</f>
        <v>0.271666837329259</v>
      </c>
      <c r="BJ234" s="137">
        <f>$W234*AO234+$L234*Summary_LCIA!AF$32</f>
        <v>2.7240637126737785E-2</v>
      </c>
      <c r="BK234" s="137">
        <f>$W234*AP234+$L234*Summary_LCIA!AG$32</f>
        <v>5.0642432717377846E-3</v>
      </c>
      <c r="BL234" s="137">
        <f>$W234*AQ234+$L234*Summary_LCIA!AH$32</f>
        <v>0.77828931665376899</v>
      </c>
      <c r="BM234" s="137">
        <f>$W234*AR234+$L234*Summary_LCIA!AI$32</f>
        <v>0.23040701702688743</v>
      </c>
    </row>
    <row r="235" spans="1:65" x14ac:dyDescent="0.25">
      <c r="A235" s="149">
        <v>177</v>
      </c>
      <c r="B235" s="149">
        <v>43</v>
      </c>
      <c r="C235" s="61">
        <v>42.871099999999998</v>
      </c>
      <c r="D235" s="61">
        <v>-78.859319999999997</v>
      </c>
      <c r="E235" s="61" t="s">
        <v>265</v>
      </c>
      <c r="F235" s="149">
        <v>120</v>
      </c>
      <c r="G235" s="61" t="s">
        <v>625</v>
      </c>
      <c r="H235" s="61" t="s">
        <v>626</v>
      </c>
      <c r="I235" s="61">
        <v>42.939706000000001</v>
      </c>
      <c r="J235" s="61">
        <v>-78.729506999999998</v>
      </c>
      <c r="K235" s="61">
        <v>16.03849787</v>
      </c>
      <c r="L235" s="61">
        <v>20.835000000000001</v>
      </c>
      <c r="M235" s="61" t="s">
        <v>617</v>
      </c>
      <c r="N235" s="149">
        <v>42</v>
      </c>
      <c r="O235" s="149">
        <v>43</v>
      </c>
      <c r="P235" s="61" t="s">
        <v>565</v>
      </c>
      <c r="Q235" s="61" t="s">
        <v>555</v>
      </c>
      <c r="R235" s="61">
        <v>40.6895314</v>
      </c>
      <c r="S235" s="61">
        <v>-74.174462399999996</v>
      </c>
      <c r="T235" s="61">
        <v>593.16399999999999</v>
      </c>
      <c r="U235" s="61" t="s">
        <v>617</v>
      </c>
      <c r="V235" s="61" t="s">
        <v>569</v>
      </c>
      <c r="W235" s="61" cm="1">
        <f t="array" ref="W235">getDistance(I235,J235,R235,S235)*SA!$B$12</f>
        <v>453.70669460993366</v>
      </c>
      <c r="Y235" s="137">
        <f>Transportation_LCIA!C$61*($W235^Transportation_LCIA!C$60)+Transportation_LCIA!C$62</f>
        <v>0.35179822030380453</v>
      </c>
      <c r="Z235" s="137">
        <f>Transportation_LCIA!D$61*($W235^Transportation_LCIA!D$60)+Transportation_LCIA!D$62</f>
        <v>3.8038685240383758</v>
      </c>
      <c r="AA235" s="137">
        <f>Transportation_LCIA!E$61*($W235^Transportation_LCIA!E$60)+Transportation_LCIA!E$62</f>
        <v>2.0553796700765819E-3</v>
      </c>
      <c r="AB235" s="137">
        <f>Transportation_LCIA!F$61*($W235^Transportation_LCIA!F$60)+Transportation_LCIA!F$62</f>
        <v>0.35179822030380453</v>
      </c>
      <c r="AC235" s="137">
        <f>Transportation_LCIA!G$61*($W235^Transportation_LCIA!G$60)+Transportation_LCIA!G$62</f>
        <v>8.8542301175389054E-2</v>
      </c>
      <c r="AD235" s="137">
        <f>Transportation_LCIA!H$61*($W235^Transportation_LCIA!H$60)+Transportation_LCIA!H$62</f>
        <v>4.7924680402862424E-4</v>
      </c>
      <c r="AE235" s="137">
        <f>Transportation_LCIA!I$61*($W235^Transportation_LCIA!I$60)+Transportation_LCIA!I$62</f>
        <v>1.1104359431323201E-5</v>
      </c>
      <c r="AF235" s="137">
        <f>Transportation_LCIA!J$61*($W235^Transportation_LCIA!J$60)+Transportation_LCIA!J$62</f>
        <v>1.6569820845191208E-2</v>
      </c>
      <c r="AG235" s="137">
        <f>Transportation_LCIA!K$61*($W235^Transportation_LCIA!K$60)+Transportation_LCIA!K$62</f>
        <v>1.9564708397539259E-2</v>
      </c>
      <c r="AH235" s="137">
        <f>Transportation_LCIA!L$61*($W235^Transportation_LCIA!L$60)+Transportation_LCIA!L$62</f>
        <v>4.2690866521771174E-4</v>
      </c>
      <c r="AI235" s="137">
        <f>Transportation_LCIA!M$61*($W235^Transportation_LCIA!M$60)+Transportation_LCIA!M$62</f>
        <v>3.5540325219174092E-4</v>
      </c>
      <c r="AJ235" s="137">
        <f>Transportation_LCIA!N$61*($W235^Transportation_LCIA!N$60)+Transportation_LCIA!N$62</f>
        <v>1.6696019563166051E-3</v>
      </c>
      <c r="AK235" s="137">
        <f>Transportation_LCIA!O$61*($W235^Transportation_LCIA!O$60)+Transportation_LCIA!O$62</f>
        <v>9.376926172545552E-5</v>
      </c>
      <c r="AL235" s="137">
        <f>Transportation_LCIA!P$61*($W235^Transportation_LCIA!P$60)+Transportation_LCIA!P$62</f>
        <v>4.5229183914951175E-8</v>
      </c>
      <c r="AM235" s="137">
        <f>Transportation_LCIA!Q$61*($W235^Transportation_LCIA!Q$60)+Transportation_LCIA!Q$62</f>
        <v>1.6827410039877645E-4</v>
      </c>
      <c r="AN235" s="137">
        <f>Transportation_LCIA!R$61*($W235^Transportation_LCIA!R$60)+Transportation_LCIA!R$62</f>
        <v>5.3343299418952066E-4</v>
      </c>
      <c r="AO235" s="137">
        <f>Transportation_LCIA!S$61*($W235^Transportation_LCIA!S$60)+Transportation_LCIA!S$62</f>
        <v>7.8252838449889344E-6</v>
      </c>
      <c r="AP235" s="137">
        <f>Transportation_LCIA!T$61*($W235^Transportation_LCIA!T$60)+Transportation_LCIA!T$62</f>
        <v>7.8252838449889344E-6</v>
      </c>
      <c r="AQ235" s="137">
        <f>Transportation_LCIA!U$61*($W235^Transportation_LCIA!U$60)+Transportation_LCIA!U$62</f>
        <v>1.1583001340676898E-3</v>
      </c>
      <c r="AR235" s="137">
        <f>Transportation_LCIA!V$61*($W235^Transportation_LCIA!V$60)+Transportation_LCIA!V$62</f>
        <v>4.3832947018607746E-4</v>
      </c>
      <c r="AT235" s="137">
        <f>$W235*Y235+$L235*Summary_LCIA!H$32</f>
        <v>166.69294070369642</v>
      </c>
      <c r="AU235" s="137">
        <f>$W235*Z235+$L235*Summary_LCIA!Q$32</f>
        <v>1829.0999255437735</v>
      </c>
      <c r="AV235" s="137">
        <f>$W235*AA235+$L235*Summary_LCIA!R$32</f>
        <v>1.042248292278902</v>
      </c>
      <c r="AW235" s="137">
        <f>$W235*AB235+$L235*Summary_LCIA!S$32</f>
        <v>166.60085000369642</v>
      </c>
      <c r="AX235" s="137">
        <f>$W235*AC235+$L235*Summary_LCIA!T$32</f>
        <v>42.46200129944301</v>
      </c>
      <c r="AY235" s="137">
        <f>$W235*AD235+$L235*Summary_LCIA!U$32</f>
        <v>0.5906756733582017</v>
      </c>
      <c r="AZ235" s="137">
        <f>$W235*AE235+$L235*Summary_LCIA!V$32</f>
        <v>6.033222648346292E-3</v>
      </c>
      <c r="BA235" s="137">
        <f>$W235*AF235+$L235*Summary_LCIA!W$32</f>
        <v>9.1215294309504795</v>
      </c>
      <c r="BB235" s="137">
        <f>$W235*AG235+$L235*Summary_LCIA!X$32</f>
        <v>9.3512604780547495</v>
      </c>
      <c r="BC235" s="137">
        <f>$W235*AH235+$L235*Summary_LCIA!Y$32</f>
        <v>0.51834228939626681</v>
      </c>
      <c r="BD235" s="137">
        <f>$W235*AI235+$L235*Summary_LCIA!Z$32</f>
        <v>0.16210325732053543</v>
      </c>
      <c r="BE235" s="137">
        <f>$W235*AJ235+$L235*Summary_LCIA!AA$32</f>
        <v>1.2441318449146856</v>
      </c>
      <c r="BF235" s="137">
        <f>$W235*AK235+$L235*Summary_LCIA!AB$32</f>
        <v>4.2089059588470187E-2</v>
      </c>
      <c r="BG235" s="137">
        <f>$W235*AL235+$L235*Summary_LCIA!AC$32</f>
        <v>2.1539281673957276E-5</v>
      </c>
      <c r="BH235" s="137">
        <f>$W235*AM235+$L235*Summary_LCIA!AD$32</f>
        <v>8.4911104280388977E-2</v>
      </c>
      <c r="BI235" s="137">
        <f>$W235*AN235+$L235*Summary_LCIA!AE$32</f>
        <v>0.2604846391396074</v>
      </c>
      <c r="BJ235" s="137">
        <f>$W235*AO235+$L235*Summary_LCIA!AF$32</f>
        <v>2.1164709367694445E-2</v>
      </c>
      <c r="BK235" s="137">
        <f>$W235*AP235+$L235*Summary_LCIA!AG$32</f>
        <v>4.6164064426944419E-3</v>
      </c>
      <c r="BL235" s="137">
        <f>$W235*AQ235+$L235*Summary_LCIA!AH$32</f>
        <v>0.70686803119409458</v>
      </c>
      <c r="BM235" s="137">
        <f>$W235*AR235+$L235*Summary_LCIA!AI$32</f>
        <v>0.21828185931824867</v>
      </c>
    </row>
    <row r="236" spans="1:65" x14ac:dyDescent="0.25">
      <c r="A236" s="149">
        <v>178</v>
      </c>
      <c r="B236" s="149">
        <v>43</v>
      </c>
      <c r="C236" s="61">
        <v>42.871099999999998</v>
      </c>
      <c r="D236" s="61">
        <v>-78.859319999999997</v>
      </c>
      <c r="E236" s="61" t="s">
        <v>265</v>
      </c>
      <c r="F236" s="149">
        <v>120</v>
      </c>
      <c r="G236" s="61" t="s">
        <v>625</v>
      </c>
      <c r="H236" s="61" t="s">
        <v>626</v>
      </c>
      <c r="I236" s="61">
        <v>42.939706000000001</v>
      </c>
      <c r="J236" s="61">
        <v>-78.729506999999998</v>
      </c>
      <c r="K236" s="61">
        <v>16.03849787</v>
      </c>
      <c r="L236" s="61">
        <v>20.835000000000001</v>
      </c>
      <c r="M236" s="61" t="s">
        <v>617</v>
      </c>
      <c r="N236" s="149">
        <v>42</v>
      </c>
      <c r="O236" s="149">
        <v>43</v>
      </c>
      <c r="P236" s="61" t="s">
        <v>565</v>
      </c>
      <c r="Q236" s="61" t="s">
        <v>555</v>
      </c>
      <c r="R236" s="61">
        <v>40.6895314</v>
      </c>
      <c r="S236" s="61">
        <v>-74.174462399999996</v>
      </c>
      <c r="T236" s="61">
        <v>593.16399999999999</v>
      </c>
      <c r="U236" s="61" t="s">
        <v>617</v>
      </c>
      <c r="V236" s="61" t="s">
        <v>569</v>
      </c>
      <c r="W236" s="61" cm="1">
        <f t="array" ref="W236">getDistance(I236,J236,R236,S236)*SA!$B$12</f>
        <v>453.70669460993366</v>
      </c>
      <c r="Y236" s="137">
        <f>Transportation_LCIA!C$61*($W236^Transportation_LCIA!C$60)+Transportation_LCIA!C$62</f>
        <v>0.35179822030380453</v>
      </c>
      <c r="Z236" s="137">
        <f>Transportation_LCIA!D$61*($W236^Transportation_LCIA!D$60)+Transportation_LCIA!D$62</f>
        <v>3.8038685240383758</v>
      </c>
      <c r="AA236" s="137">
        <f>Transportation_LCIA!E$61*($W236^Transportation_LCIA!E$60)+Transportation_LCIA!E$62</f>
        <v>2.0553796700765819E-3</v>
      </c>
      <c r="AB236" s="137">
        <f>Transportation_LCIA!F$61*($W236^Transportation_LCIA!F$60)+Transportation_LCIA!F$62</f>
        <v>0.35179822030380453</v>
      </c>
      <c r="AC236" s="137">
        <f>Transportation_LCIA!G$61*($W236^Transportation_LCIA!G$60)+Transportation_LCIA!G$62</f>
        <v>8.8542301175389054E-2</v>
      </c>
      <c r="AD236" s="137">
        <f>Transportation_LCIA!H$61*($W236^Transportation_LCIA!H$60)+Transportation_LCIA!H$62</f>
        <v>4.7924680402862424E-4</v>
      </c>
      <c r="AE236" s="137">
        <f>Transportation_LCIA!I$61*($W236^Transportation_LCIA!I$60)+Transportation_LCIA!I$62</f>
        <v>1.1104359431323201E-5</v>
      </c>
      <c r="AF236" s="137">
        <f>Transportation_LCIA!J$61*($W236^Transportation_LCIA!J$60)+Transportation_LCIA!J$62</f>
        <v>1.6569820845191208E-2</v>
      </c>
      <c r="AG236" s="137">
        <f>Transportation_LCIA!K$61*($W236^Transportation_LCIA!K$60)+Transportation_LCIA!K$62</f>
        <v>1.9564708397539259E-2</v>
      </c>
      <c r="AH236" s="137">
        <f>Transportation_LCIA!L$61*($W236^Transportation_LCIA!L$60)+Transportation_LCIA!L$62</f>
        <v>4.2690866521771174E-4</v>
      </c>
      <c r="AI236" s="137">
        <f>Transportation_LCIA!M$61*($W236^Transportation_LCIA!M$60)+Transportation_LCIA!M$62</f>
        <v>3.5540325219174092E-4</v>
      </c>
      <c r="AJ236" s="137">
        <f>Transportation_LCIA!N$61*($W236^Transportation_LCIA!N$60)+Transportation_LCIA!N$62</f>
        <v>1.6696019563166051E-3</v>
      </c>
      <c r="AK236" s="137">
        <f>Transportation_LCIA!O$61*($W236^Transportation_LCIA!O$60)+Transportation_LCIA!O$62</f>
        <v>9.376926172545552E-5</v>
      </c>
      <c r="AL236" s="137">
        <f>Transportation_LCIA!P$61*($W236^Transportation_LCIA!P$60)+Transportation_LCIA!P$62</f>
        <v>4.5229183914951175E-8</v>
      </c>
      <c r="AM236" s="137">
        <f>Transportation_LCIA!Q$61*($W236^Transportation_LCIA!Q$60)+Transportation_LCIA!Q$62</f>
        <v>1.6827410039877645E-4</v>
      </c>
      <c r="AN236" s="137">
        <f>Transportation_LCIA!R$61*($W236^Transportation_LCIA!R$60)+Transportation_LCIA!R$62</f>
        <v>5.3343299418952066E-4</v>
      </c>
      <c r="AO236" s="137">
        <f>Transportation_LCIA!S$61*($W236^Transportation_LCIA!S$60)+Transportation_LCIA!S$62</f>
        <v>7.8252838449889344E-6</v>
      </c>
      <c r="AP236" s="137">
        <f>Transportation_LCIA!T$61*($W236^Transportation_LCIA!T$60)+Transportation_LCIA!T$62</f>
        <v>7.8252838449889344E-6</v>
      </c>
      <c r="AQ236" s="137">
        <f>Transportation_LCIA!U$61*($W236^Transportation_LCIA!U$60)+Transportation_LCIA!U$62</f>
        <v>1.1583001340676898E-3</v>
      </c>
      <c r="AR236" s="137">
        <f>Transportation_LCIA!V$61*($W236^Transportation_LCIA!V$60)+Transportation_LCIA!V$62</f>
        <v>4.3832947018607746E-4</v>
      </c>
      <c r="AT236" s="137">
        <f>$W236*Y236+$L236*Summary_LCIA!H$32</f>
        <v>166.69294070369642</v>
      </c>
      <c r="AU236" s="137">
        <f>$W236*Z236+$L236*Summary_LCIA!Q$32</f>
        <v>1829.0999255437735</v>
      </c>
      <c r="AV236" s="137">
        <f>$W236*AA236+$L236*Summary_LCIA!R$32</f>
        <v>1.042248292278902</v>
      </c>
      <c r="AW236" s="137">
        <f>$W236*AB236+$L236*Summary_LCIA!S$32</f>
        <v>166.60085000369642</v>
      </c>
      <c r="AX236" s="137">
        <f>$W236*AC236+$L236*Summary_LCIA!T$32</f>
        <v>42.46200129944301</v>
      </c>
      <c r="AY236" s="137">
        <f>$W236*AD236+$L236*Summary_LCIA!U$32</f>
        <v>0.5906756733582017</v>
      </c>
      <c r="AZ236" s="137">
        <f>$W236*AE236+$L236*Summary_LCIA!V$32</f>
        <v>6.033222648346292E-3</v>
      </c>
      <c r="BA236" s="137">
        <f>$W236*AF236+$L236*Summary_LCIA!W$32</f>
        <v>9.1215294309504795</v>
      </c>
      <c r="BB236" s="137">
        <f>$W236*AG236+$L236*Summary_LCIA!X$32</f>
        <v>9.3512604780547495</v>
      </c>
      <c r="BC236" s="137">
        <f>$W236*AH236+$L236*Summary_LCIA!Y$32</f>
        <v>0.51834228939626681</v>
      </c>
      <c r="BD236" s="137">
        <f>$W236*AI236+$L236*Summary_LCIA!Z$32</f>
        <v>0.16210325732053543</v>
      </c>
      <c r="BE236" s="137">
        <f>$W236*AJ236+$L236*Summary_LCIA!AA$32</f>
        <v>1.2441318449146856</v>
      </c>
      <c r="BF236" s="137">
        <f>$W236*AK236+$L236*Summary_LCIA!AB$32</f>
        <v>4.2089059588470187E-2</v>
      </c>
      <c r="BG236" s="137">
        <f>$W236*AL236+$L236*Summary_LCIA!AC$32</f>
        <v>2.1539281673957276E-5</v>
      </c>
      <c r="BH236" s="137">
        <f>$W236*AM236+$L236*Summary_LCIA!AD$32</f>
        <v>8.4911104280388977E-2</v>
      </c>
      <c r="BI236" s="137">
        <f>$W236*AN236+$L236*Summary_LCIA!AE$32</f>
        <v>0.2604846391396074</v>
      </c>
      <c r="BJ236" s="137">
        <f>$W236*AO236+$L236*Summary_LCIA!AF$32</f>
        <v>2.1164709367694445E-2</v>
      </c>
      <c r="BK236" s="137">
        <f>$W236*AP236+$L236*Summary_LCIA!AG$32</f>
        <v>4.6164064426944419E-3</v>
      </c>
      <c r="BL236" s="137">
        <f>$W236*AQ236+$L236*Summary_LCIA!AH$32</f>
        <v>0.70686803119409458</v>
      </c>
      <c r="BM236" s="137">
        <f>$W236*AR236+$L236*Summary_LCIA!AI$32</f>
        <v>0.21828185931824867</v>
      </c>
    </row>
    <row r="237" spans="1:65" x14ac:dyDescent="0.25">
      <c r="A237" s="149">
        <v>179</v>
      </c>
      <c r="B237" s="149">
        <v>43</v>
      </c>
      <c r="C237" s="61">
        <v>42.871099999999998</v>
      </c>
      <c r="D237" s="61">
        <v>-78.859319999999997</v>
      </c>
      <c r="E237" s="61" t="s">
        <v>265</v>
      </c>
      <c r="F237" s="149">
        <v>120</v>
      </c>
      <c r="G237" s="61" t="s">
        <v>625</v>
      </c>
      <c r="H237" s="61" t="s">
        <v>626</v>
      </c>
      <c r="I237" s="61">
        <v>42.939706000000001</v>
      </c>
      <c r="J237" s="61">
        <v>-78.729506999999998</v>
      </c>
      <c r="K237" s="61">
        <v>16.03849787</v>
      </c>
      <c r="L237" s="61">
        <v>20.835000000000001</v>
      </c>
      <c r="M237" s="61" t="s">
        <v>617</v>
      </c>
      <c r="N237" s="149">
        <v>42</v>
      </c>
      <c r="O237" s="149">
        <v>43</v>
      </c>
      <c r="P237" s="61" t="s">
        <v>565</v>
      </c>
      <c r="Q237" s="61" t="s">
        <v>555</v>
      </c>
      <c r="R237" s="61">
        <v>40.6895314</v>
      </c>
      <c r="S237" s="61">
        <v>-74.174462399999996</v>
      </c>
      <c r="T237" s="61">
        <v>593.16399999999999</v>
      </c>
      <c r="U237" s="61" t="s">
        <v>617</v>
      </c>
      <c r="V237" s="61" t="s">
        <v>569</v>
      </c>
      <c r="W237" s="61" cm="1">
        <f t="array" ref="W237">getDistance(I237,J237,R237,S237)*SA!$B$12</f>
        <v>453.70669460993366</v>
      </c>
      <c r="Y237" s="137">
        <f>Transportation_LCIA!C$61*($W237^Transportation_LCIA!C$60)+Transportation_LCIA!C$62</f>
        <v>0.35179822030380453</v>
      </c>
      <c r="Z237" s="137">
        <f>Transportation_LCIA!D$61*($W237^Transportation_LCIA!D$60)+Transportation_LCIA!D$62</f>
        <v>3.8038685240383758</v>
      </c>
      <c r="AA237" s="137">
        <f>Transportation_LCIA!E$61*($W237^Transportation_LCIA!E$60)+Transportation_LCIA!E$62</f>
        <v>2.0553796700765819E-3</v>
      </c>
      <c r="AB237" s="137">
        <f>Transportation_LCIA!F$61*($W237^Transportation_LCIA!F$60)+Transportation_LCIA!F$62</f>
        <v>0.35179822030380453</v>
      </c>
      <c r="AC237" s="137">
        <f>Transportation_LCIA!G$61*($W237^Transportation_LCIA!G$60)+Transportation_LCIA!G$62</f>
        <v>8.8542301175389054E-2</v>
      </c>
      <c r="AD237" s="137">
        <f>Transportation_LCIA!H$61*($W237^Transportation_LCIA!H$60)+Transportation_LCIA!H$62</f>
        <v>4.7924680402862424E-4</v>
      </c>
      <c r="AE237" s="137">
        <f>Transportation_LCIA!I$61*($W237^Transportation_LCIA!I$60)+Transportation_LCIA!I$62</f>
        <v>1.1104359431323201E-5</v>
      </c>
      <c r="AF237" s="137">
        <f>Transportation_LCIA!J$61*($W237^Transportation_LCIA!J$60)+Transportation_LCIA!J$62</f>
        <v>1.6569820845191208E-2</v>
      </c>
      <c r="AG237" s="137">
        <f>Transportation_LCIA!K$61*($W237^Transportation_LCIA!K$60)+Transportation_LCIA!K$62</f>
        <v>1.9564708397539259E-2</v>
      </c>
      <c r="AH237" s="137">
        <f>Transportation_LCIA!L$61*($W237^Transportation_LCIA!L$60)+Transportation_LCIA!L$62</f>
        <v>4.2690866521771174E-4</v>
      </c>
      <c r="AI237" s="137">
        <f>Transportation_LCIA!M$61*($W237^Transportation_LCIA!M$60)+Transportation_LCIA!M$62</f>
        <v>3.5540325219174092E-4</v>
      </c>
      <c r="AJ237" s="137">
        <f>Transportation_LCIA!N$61*($W237^Transportation_LCIA!N$60)+Transportation_LCIA!N$62</f>
        <v>1.6696019563166051E-3</v>
      </c>
      <c r="AK237" s="137">
        <f>Transportation_LCIA!O$61*($W237^Transportation_LCIA!O$60)+Transportation_LCIA!O$62</f>
        <v>9.376926172545552E-5</v>
      </c>
      <c r="AL237" s="137">
        <f>Transportation_LCIA!P$61*($W237^Transportation_LCIA!P$60)+Transportation_LCIA!P$62</f>
        <v>4.5229183914951175E-8</v>
      </c>
      <c r="AM237" s="137">
        <f>Transportation_LCIA!Q$61*($W237^Transportation_LCIA!Q$60)+Transportation_LCIA!Q$62</f>
        <v>1.6827410039877645E-4</v>
      </c>
      <c r="AN237" s="137">
        <f>Transportation_LCIA!R$61*($W237^Transportation_LCIA!R$60)+Transportation_LCIA!R$62</f>
        <v>5.3343299418952066E-4</v>
      </c>
      <c r="AO237" s="137">
        <f>Transportation_LCIA!S$61*($W237^Transportation_LCIA!S$60)+Transportation_LCIA!S$62</f>
        <v>7.8252838449889344E-6</v>
      </c>
      <c r="AP237" s="137">
        <f>Transportation_LCIA!T$61*($W237^Transportation_LCIA!T$60)+Transportation_LCIA!T$62</f>
        <v>7.8252838449889344E-6</v>
      </c>
      <c r="AQ237" s="137">
        <f>Transportation_LCIA!U$61*($W237^Transportation_LCIA!U$60)+Transportation_LCIA!U$62</f>
        <v>1.1583001340676898E-3</v>
      </c>
      <c r="AR237" s="137">
        <f>Transportation_LCIA!V$61*($W237^Transportation_LCIA!V$60)+Transportation_LCIA!V$62</f>
        <v>4.3832947018607746E-4</v>
      </c>
      <c r="AT237" s="137">
        <f>$W237*Y237+$L237*Summary_LCIA!H$32</f>
        <v>166.69294070369642</v>
      </c>
      <c r="AU237" s="137">
        <f>$W237*Z237+$L237*Summary_LCIA!Q$32</f>
        <v>1829.0999255437735</v>
      </c>
      <c r="AV237" s="137">
        <f>$W237*AA237+$L237*Summary_LCIA!R$32</f>
        <v>1.042248292278902</v>
      </c>
      <c r="AW237" s="137">
        <f>$W237*AB237+$L237*Summary_LCIA!S$32</f>
        <v>166.60085000369642</v>
      </c>
      <c r="AX237" s="137">
        <f>$W237*AC237+$L237*Summary_LCIA!T$32</f>
        <v>42.46200129944301</v>
      </c>
      <c r="AY237" s="137">
        <f>$W237*AD237+$L237*Summary_LCIA!U$32</f>
        <v>0.5906756733582017</v>
      </c>
      <c r="AZ237" s="137">
        <f>$W237*AE237+$L237*Summary_LCIA!V$32</f>
        <v>6.033222648346292E-3</v>
      </c>
      <c r="BA237" s="137">
        <f>$W237*AF237+$L237*Summary_LCIA!W$32</f>
        <v>9.1215294309504795</v>
      </c>
      <c r="BB237" s="137">
        <f>$W237*AG237+$L237*Summary_LCIA!X$32</f>
        <v>9.3512604780547495</v>
      </c>
      <c r="BC237" s="137">
        <f>$W237*AH237+$L237*Summary_LCIA!Y$32</f>
        <v>0.51834228939626681</v>
      </c>
      <c r="BD237" s="137">
        <f>$W237*AI237+$L237*Summary_LCIA!Z$32</f>
        <v>0.16210325732053543</v>
      </c>
      <c r="BE237" s="137">
        <f>$W237*AJ237+$L237*Summary_LCIA!AA$32</f>
        <v>1.2441318449146856</v>
      </c>
      <c r="BF237" s="137">
        <f>$W237*AK237+$L237*Summary_LCIA!AB$32</f>
        <v>4.2089059588470187E-2</v>
      </c>
      <c r="BG237" s="137">
        <f>$W237*AL237+$L237*Summary_LCIA!AC$32</f>
        <v>2.1539281673957276E-5</v>
      </c>
      <c r="BH237" s="137">
        <f>$W237*AM237+$L237*Summary_LCIA!AD$32</f>
        <v>8.4911104280388977E-2</v>
      </c>
      <c r="BI237" s="137">
        <f>$W237*AN237+$L237*Summary_LCIA!AE$32</f>
        <v>0.2604846391396074</v>
      </c>
      <c r="BJ237" s="137">
        <f>$W237*AO237+$L237*Summary_LCIA!AF$32</f>
        <v>2.1164709367694445E-2</v>
      </c>
      <c r="BK237" s="137">
        <f>$W237*AP237+$L237*Summary_LCIA!AG$32</f>
        <v>4.6164064426944419E-3</v>
      </c>
      <c r="BL237" s="137">
        <f>$W237*AQ237+$L237*Summary_LCIA!AH$32</f>
        <v>0.70686803119409458</v>
      </c>
      <c r="BM237" s="137">
        <f>$W237*AR237+$L237*Summary_LCIA!AI$32</f>
        <v>0.21828185931824867</v>
      </c>
    </row>
    <row r="238" spans="1:65" x14ac:dyDescent="0.25">
      <c r="A238" s="149">
        <v>281</v>
      </c>
      <c r="B238" s="149">
        <v>43</v>
      </c>
      <c r="C238" s="61">
        <v>39.654181000000001</v>
      </c>
      <c r="D238" s="61">
        <v>-79.959489000000005</v>
      </c>
      <c r="E238" s="61" t="s">
        <v>265</v>
      </c>
      <c r="F238" s="149">
        <v>106</v>
      </c>
      <c r="G238" s="61" t="s">
        <v>266</v>
      </c>
      <c r="H238" s="61" t="s">
        <v>669</v>
      </c>
      <c r="I238" s="61">
        <v>40.491920999999998</v>
      </c>
      <c r="J238" s="61">
        <v>-80.235223000000005</v>
      </c>
      <c r="K238" s="61">
        <v>134.8417848</v>
      </c>
      <c r="L238" s="61">
        <v>124.12</v>
      </c>
      <c r="M238" s="61" t="s">
        <v>617</v>
      </c>
      <c r="N238" s="149">
        <v>42</v>
      </c>
      <c r="O238" s="149">
        <v>43</v>
      </c>
      <c r="P238" s="61" t="s">
        <v>565</v>
      </c>
      <c r="Q238" s="61" t="s">
        <v>555</v>
      </c>
      <c r="R238" s="61">
        <v>40.6895314</v>
      </c>
      <c r="S238" s="61">
        <v>-74.174462399999996</v>
      </c>
      <c r="T238" s="61">
        <v>593.59199999999998</v>
      </c>
      <c r="U238" s="61" t="s">
        <v>617</v>
      </c>
      <c r="V238" s="61" t="s">
        <v>569</v>
      </c>
      <c r="W238" s="61" cm="1">
        <f t="array" ref="W238">getDistance(I238,J238,R238,S238)*SA!$B$12</f>
        <v>513.433583839015</v>
      </c>
      <c r="Y238" s="137">
        <f>Transportation_LCIA!C$61*($W238^Transportation_LCIA!C$60)+Transportation_LCIA!C$62</f>
        <v>0.32815716511039528</v>
      </c>
      <c r="Z238" s="137">
        <f>Transportation_LCIA!D$61*($W238^Transportation_LCIA!D$60)+Transportation_LCIA!D$62</f>
        <v>3.5191542163843881</v>
      </c>
      <c r="AA238" s="137">
        <f>Transportation_LCIA!E$61*($W238^Transportation_LCIA!E$60)+Transportation_LCIA!E$62</f>
        <v>1.8665206810453132E-3</v>
      </c>
      <c r="AB238" s="137">
        <f>Transportation_LCIA!F$61*($W238^Transportation_LCIA!F$60)+Transportation_LCIA!F$62</f>
        <v>0.32815716511039528</v>
      </c>
      <c r="AC238" s="137">
        <f>Transportation_LCIA!G$61*($W238^Transportation_LCIA!G$60)+Transportation_LCIA!G$62</f>
        <v>8.1967302989677859E-2</v>
      </c>
      <c r="AD238" s="137">
        <f>Transportation_LCIA!H$61*($W238^Transportation_LCIA!H$60)+Transportation_LCIA!H$62</f>
        <v>4.3698853519291556E-4</v>
      </c>
      <c r="AE238" s="137">
        <f>Transportation_LCIA!I$61*($W238^Transportation_LCIA!I$60)+Transportation_LCIA!I$62</f>
        <v>1.0010201729396875E-5</v>
      </c>
      <c r="AF238" s="137">
        <f>Transportation_LCIA!J$61*($W238^Transportation_LCIA!J$60)+Transportation_LCIA!J$62</f>
        <v>1.4910087392935532E-2</v>
      </c>
      <c r="AG238" s="137">
        <f>Transportation_LCIA!K$61*($W238^Transportation_LCIA!K$60)+Transportation_LCIA!K$62</f>
        <v>1.8005284512120634E-2</v>
      </c>
      <c r="AH238" s="137">
        <f>Transportation_LCIA!L$61*($W238^Transportation_LCIA!L$60)+Transportation_LCIA!L$62</f>
        <v>3.8774642038002372E-4</v>
      </c>
      <c r="AI238" s="137">
        <f>Transportation_LCIA!M$61*($W238^Transportation_LCIA!M$60)+Transportation_LCIA!M$62</f>
        <v>3.3205908340433346E-4</v>
      </c>
      <c r="AJ238" s="137">
        <f>Transportation_LCIA!N$61*($W238^Transportation_LCIA!N$60)+Transportation_LCIA!N$62</f>
        <v>1.5278401037459809E-3</v>
      </c>
      <c r="AK238" s="137">
        <f>Transportation_LCIA!O$61*($W238^Transportation_LCIA!O$60)+Transportation_LCIA!O$62</f>
        <v>8.6776433969231709E-5</v>
      </c>
      <c r="AL238" s="137">
        <f>Transportation_LCIA!P$61*($W238^Transportation_LCIA!P$60)+Transportation_LCIA!P$62</f>
        <v>4.187496920977748E-8</v>
      </c>
      <c r="AM238" s="137">
        <f>Transportation_LCIA!Q$61*($W238^Transportation_LCIA!Q$60)+Transportation_LCIA!Q$62</f>
        <v>1.5289540886279419E-4</v>
      </c>
      <c r="AN238" s="137">
        <f>Transportation_LCIA!R$61*($W238^Transportation_LCIA!R$60)+Transportation_LCIA!R$62</f>
        <v>4.8092919779996581E-4</v>
      </c>
      <c r="AO238" s="137">
        <f>Transportation_LCIA!S$61*($W238^Transportation_LCIA!S$60)+Transportation_LCIA!S$62</f>
        <v>7.081081996143308E-6</v>
      </c>
      <c r="AP238" s="137">
        <f>Transportation_LCIA!T$61*($W238^Transportation_LCIA!T$60)+Transportation_LCIA!T$62</f>
        <v>7.081081996143308E-6</v>
      </c>
      <c r="AQ238" s="137">
        <f>Transportation_LCIA!U$61*($W238^Transportation_LCIA!U$60)+Transportation_LCIA!U$62</f>
        <v>1.0425420500377758E-3</v>
      </c>
      <c r="AR238" s="137">
        <f>Transportation_LCIA!V$61*($W238^Transportation_LCIA!V$60)+Transportation_LCIA!V$62</f>
        <v>3.9809863614409633E-4</v>
      </c>
      <c r="AT238" s="137">
        <f>$W238*Y238+$L238*Summary_LCIA!H$32</f>
        <v>210.66288534508161</v>
      </c>
      <c r="AU238" s="137">
        <f>$W238*Z238+$L238*Summary_LCIA!Q$32</f>
        <v>2421.9969411443772</v>
      </c>
      <c r="AV238" s="137">
        <f>$W238*AA238+$L238*Summary_LCIA!R$32</f>
        <v>1.6119006745787341</v>
      </c>
      <c r="AW238" s="137">
        <f>$W238*AB238+$L238*Summary_LCIA!S$32</f>
        <v>210.1142749450816</v>
      </c>
      <c r="AX238" s="137">
        <f>$W238*AC238+$L238*Summary_LCIA!T$32</f>
        <v>55.72555413160871</v>
      </c>
      <c r="AY238" s="137">
        <f>$W238*AD238+$L238*Summary_LCIA!U$32</f>
        <v>2.4478502697206603</v>
      </c>
      <c r="AZ238" s="137">
        <f>$W238*AE238+$L238*Summary_LCIA!V$32</f>
        <v>1.1067669068875744E-2</v>
      </c>
      <c r="BA238" s="137">
        <f>$W238*AF238+$L238*Summary_LCIA!W$32</f>
        <v>17.208980125507807</v>
      </c>
      <c r="BB238" s="137">
        <f>$W238*AG238+$L238*Summary_LCIA!X$32</f>
        <v>12.071971355099208</v>
      </c>
      <c r="BC238" s="137">
        <f>$W238*AH238+$L238*Summary_LCIA!Y$32</f>
        <v>2.1331198742364648</v>
      </c>
      <c r="BD238" s="137">
        <f>$W238*AI238+$L238*Summary_LCIA!Z$32</f>
        <v>0.17558032231858531</v>
      </c>
      <c r="BE238" s="137">
        <f>$W238*AJ238+$L238*Summary_LCIA!AA$32</f>
        <v>3.6833911399992716</v>
      </c>
      <c r="BF238" s="137">
        <f>$W238*AK238+$L238*Summary_LCIA!AB$32</f>
        <v>4.1845264725592274E-2</v>
      </c>
      <c r="BG238" s="137">
        <f>$W238*AL238+$L238*Summary_LCIA!AC$32</f>
        <v>2.7567497594524459E-5</v>
      </c>
      <c r="BH238" s="137">
        <f>$W238*AM238+$L238*Summary_LCIA!AD$32</f>
        <v>0.12951992252495592</v>
      </c>
      <c r="BI238" s="137">
        <f>$W238*AN238+$L238*Summary_LCIA!AE$32</f>
        <v>0.35691165719925899</v>
      </c>
      <c r="BJ238" s="137">
        <f>$W238*AO238+$L238*Summary_LCIA!AF$32</f>
        <v>0.1085691957067378</v>
      </c>
      <c r="BK238" s="137">
        <f>$W238*AP238+$L238*Summary_LCIA!AG$32</f>
        <v>9.9862651067377847E-3</v>
      </c>
      <c r="BL238" s="137">
        <f>$W238*AQ238+$L238*Summary_LCIA!AH$32</f>
        <v>1.6155669330537692</v>
      </c>
      <c r="BM238" s="137">
        <f>$W238*AR238+$L238*Summary_LCIA!AI$32</f>
        <v>0.3200211954768874</v>
      </c>
    </row>
    <row r="239" spans="1:65" x14ac:dyDescent="0.25">
      <c r="A239" s="149">
        <v>77</v>
      </c>
      <c r="B239" s="149">
        <v>6</v>
      </c>
      <c r="C239" s="61">
        <v>40.006103000000003</v>
      </c>
      <c r="D239" s="61">
        <v>-83.016536000000002</v>
      </c>
      <c r="E239" s="61" t="s">
        <v>265</v>
      </c>
      <c r="F239" s="149">
        <v>110</v>
      </c>
      <c r="G239" s="61" t="s">
        <v>658</v>
      </c>
      <c r="H239" s="61" t="s">
        <v>659</v>
      </c>
      <c r="I239" s="61">
        <v>39.999940000000002</v>
      </c>
      <c r="J239" s="61">
        <v>-82.887176999999994</v>
      </c>
      <c r="K239" s="61">
        <v>11.068644279999999</v>
      </c>
      <c r="L239" s="61">
        <v>18.408000000000001</v>
      </c>
      <c r="M239" s="61" t="s">
        <v>617</v>
      </c>
      <c r="N239" s="149">
        <v>5</v>
      </c>
      <c r="O239" s="149">
        <v>6</v>
      </c>
      <c r="P239" s="61" t="s">
        <v>565</v>
      </c>
      <c r="Q239" s="61" t="s">
        <v>564</v>
      </c>
      <c r="R239" s="61">
        <v>41.98028</v>
      </c>
      <c r="S239" s="61">
        <v>-87.908997900000003</v>
      </c>
      <c r="T239" s="61">
        <v>601.20799999999997</v>
      </c>
      <c r="U239" s="61" t="s">
        <v>617</v>
      </c>
      <c r="V239" s="61" t="s">
        <v>569</v>
      </c>
      <c r="W239" s="61" cm="1">
        <f t="array" ref="W239">getDistance(I239,J239,R239,S239)*SA!$B$12</f>
        <v>476.46082211216719</v>
      </c>
      <c r="Y239" s="137">
        <f>Transportation_LCIA!C$61*($W239^Transportation_LCIA!C$60)+Transportation_LCIA!C$62</f>
        <v>0.3421495485374596</v>
      </c>
      <c r="Z239" s="137">
        <f>Transportation_LCIA!D$61*($W239^Transportation_LCIA!D$60)+Transportation_LCIA!D$62</f>
        <v>3.6874835022314647</v>
      </c>
      <c r="AA239" s="137">
        <f>Transportation_LCIA!E$61*($W239^Transportation_LCIA!E$60)+Transportation_LCIA!E$62</f>
        <v>1.9781439132864741E-3</v>
      </c>
      <c r="AB239" s="137">
        <f>Transportation_LCIA!F$61*($W239^Transportation_LCIA!F$60)+Transportation_LCIA!F$62</f>
        <v>0.3421495485374596</v>
      </c>
      <c r="AC239" s="137">
        <f>Transportation_LCIA!G$61*($W239^Transportation_LCIA!G$60)+Transportation_LCIA!G$62</f>
        <v>8.585483264216312E-2</v>
      </c>
      <c r="AD239" s="137">
        <f>Transportation_LCIA!H$61*($W239^Transportation_LCIA!H$60)+Transportation_LCIA!H$62</f>
        <v>4.6194970027992912E-4</v>
      </c>
      <c r="AE239" s="137">
        <f>Transportation_LCIA!I$61*($W239^Transportation_LCIA!I$60)+Transportation_LCIA!I$62</f>
        <v>1.0655867543092664E-5</v>
      </c>
      <c r="AF239" s="137">
        <f>Transportation_LCIA!J$61*($W239^Transportation_LCIA!J$60)+Transportation_LCIA!J$62</f>
        <v>1.5888874162923741E-2</v>
      </c>
      <c r="AG239" s="137">
        <f>Transportation_LCIA!K$61*($W239^Transportation_LCIA!K$60)+Transportation_LCIA!K$62</f>
        <v>1.8926799382803748E-2</v>
      </c>
      <c r="AH239" s="137">
        <f>Transportation_LCIA!L$61*($W239^Transportation_LCIA!L$60)+Transportation_LCIA!L$62</f>
        <v>4.1087237564962301E-4</v>
      </c>
      <c r="AI239" s="137">
        <f>Transportation_LCIA!M$61*($W239^Transportation_LCIA!M$60)+Transportation_LCIA!M$62</f>
        <v>3.4584758868402539E-4</v>
      </c>
      <c r="AJ239" s="137">
        <f>Transportation_LCIA!N$61*($W239^Transportation_LCIA!N$60)+Transportation_LCIA!N$62</f>
        <v>1.6115826777894741E-3</v>
      </c>
      <c r="AK239" s="137">
        <f>Transportation_LCIA!O$61*($W239^Transportation_LCIA!O$60)+Transportation_LCIA!O$62</f>
        <v>9.0910885097424208E-5</v>
      </c>
      <c r="AL239" s="137">
        <f>Transportation_LCIA!P$61*($W239^Transportation_LCIA!P$60)+Transportation_LCIA!P$62</f>
        <v>4.3858281937434929E-8</v>
      </c>
      <c r="AM239" s="137">
        <f>Transportation_LCIA!Q$61*($W239^Transportation_LCIA!Q$60)+Transportation_LCIA!Q$62</f>
        <v>1.6197541816227853E-4</v>
      </c>
      <c r="AN239" s="137">
        <f>Transportation_LCIA!R$61*($W239^Transportation_LCIA!R$60)+Transportation_LCIA!R$62</f>
        <v>5.1191111541630801E-4</v>
      </c>
      <c r="AO239" s="137">
        <f>Transportation_LCIA!S$61*($W239^Transportation_LCIA!S$60)+Transportation_LCIA!S$62</f>
        <v>7.5202466562288372E-6</v>
      </c>
      <c r="AP239" s="137">
        <f>Transportation_LCIA!T$61*($W239^Transportation_LCIA!T$60)+Transportation_LCIA!T$62</f>
        <v>7.5202466562288372E-6</v>
      </c>
      <c r="AQ239" s="137">
        <f>Transportation_LCIA!U$61*($W239^Transportation_LCIA!U$60)+Transportation_LCIA!U$62</f>
        <v>1.1108369369812168E-3</v>
      </c>
      <c r="AR239" s="137">
        <f>Transportation_LCIA!V$61*($W239^Transportation_LCIA!V$60)+Transportation_LCIA!V$62</f>
        <v>4.2184744513366603E-4</v>
      </c>
      <c r="AT239" s="137">
        <f>$W239*Y239+$L239*Summary_LCIA!H$32</f>
        <v>169.27589358146486</v>
      </c>
      <c r="AU239" s="137">
        <f>$W239*Z239+$L239*Summary_LCIA!Q$32</f>
        <v>1848.1723973689211</v>
      </c>
      <c r="AV239" s="137">
        <f>$W239*AA239+$L239*Summary_LCIA!R$32</f>
        <v>1.0394372399806531</v>
      </c>
      <c r="AW239" s="137">
        <f>$W239*AB239+$L239*Summary_LCIA!S$32</f>
        <v>169.19453022146487</v>
      </c>
      <c r="AX239" s="137">
        <f>$W239*AC239+$L239*Summary_LCIA!T$32</f>
        <v>42.929503342987566</v>
      </c>
      <c r="AY239" s="137">
        <f>$W239*AD239+$L239*Summary_LCIA!U$32</f>
        <v>0.54986184596984433</v>
      </c>
      <c r="AZ239" s="137">
        <f>$W239*AE239+$L239*Summary_LCIA!V$32</f>
        <v>5.9562878979002899E-3</v>
      </c>
      <c r="BA239" s="137">
        <f>$W239*AF239+$L239*Summary_LCIA!W$32</f>
        <v>8.9873082141034182</v>
      </c>
      <c r="BB239" s="137">
        <f>$W239*AG239+$L239*Summary_LCIA!X$32</f>
        <v>9.4372126338827318</v>
      </c>
      <c r="BC239" s="137">
        <f>$W239*AH239+$L239*Summary_LCIA!Y$32</f>
        <v>0.48259804588519861</v>
      </c>
      <c r="BD239" s="137">
        <f>$W239*AI239+$L239*Summary_LCIA!Z$32</f>
        <v>0.16553772010190138</v>
      </c>
      <c r="BE239" s="137">
        <f>$W239*AJ239+$L239*Summary_LCIA!AA$32</f>
        <v>1.1977932555613007</v>
      </c>
      <c r="BF239" s="137">
        <f>$W239*AK239+$L239*Summary_LCIA!AB$32</f>
        <v>4.2913757268463505E-2</v>
      </c>
      <c r="BG239" s="137">
        <f>$W239*AL239+$L239*Summary_LCIA!AC$32</f>
        <v>2.179660974033746E-5</v>
      </c>
      <c r="BH239" s="137">
        <f>$W239*AM239+$L239*Summary_LCIA!AD$32</f>
        <v>8.4741365219561285E-2</v>
      </c>
      <c r="BI239" s="137">
        <f>$W239*AN239+$L239*Summary_LCIA!AE$32</f>
        <v>0.26021747193961059</v>
      </c>
      <c r="BJ239" s="137">
        <f>$W239*AO239+$L239*Summary_LCIA!AF$32</f>
        <v>1.914559426431307E-2</v>
      </c>
      <c r="BK239" s="137">
        <f>$W239*AP239+$L239*Summary_LCIA!AG$32</f>
        <v>4.5249482243130681E-3</v>
      </c>
      <c r="BL239" s="137">
        <f>$W239*AQ239+$L239*Summary_LCIA!AH$32</f>
        <v>0.6894861490266323</v>
      </c>
      <c r="BM239" s="137">
        <f>$W239*AR239+$L239*Summary_LCIA!AI$32</f>
        <v>0.21814175291430385</v>
      </c>
    </row>
    <row r="240" spans="1:65" x14ac:dyDescent="0.25">
      <c r="A240" s="149">
        <v>78</v>
      </c>
      <c r="B240" s="149">
        <v>6</v>
      </c>
      <c r="C240" s="61">
        <v>40.006103000000003</v>
      </c>
      <c r="D240" s="61">
        <v>-83.016536000000002</v>
      </c>
      <c r="E240" s="61" t="s">
        <v>265</v>
      </c>
      <c r="F240" s="149">
        <v>110</v>
      </c>
      <c r="G240" s="61" t="s">
        <v>658</v>
      </c>
      <c r="H240" s="61" t="s">
        <v>659</v>
      </c>
      <c r="I240" s="61">
        <v>39.999940000000002</v>
      </c>
      <c r="J240" s="61">
        <v>-82.887176999999994</v>
      </c>
      <c r="K240" s="61">
        <v>11.068644279999999</v>
      </c>
      <c r="L240" s="61">
        <v>18.408000000000001</v>
      </c>
      <c r="M240" s="61" t="s">
        <v>617</v>
      </c>
      <c r="N240" s="149">
        <v>5</v>
      </c>
      <c r="O240" s="149">
        <v>6</v>
      </c>
      <c r="P240" s="61" t="s">
        <v>565</v>
      </c>
      <c r="Q240" s="61" t="s">
        <v>564</v>
      </c>
      <c r="R240" s="61">
        <v>41.98028</v>
      </c>
      <c r="S240" s="61">
        <v>-87.908997900000003</v>
      </c>
      <c r="T240" s="61">
        <v>601.20799999999997</v>
      </c>
      <c r="U240" s="61" t="s">
        <v>617</v>
      </c>
      <c r="V240" s="61" t="s">
        <v>569</v>
      </c>
      <c r="W240" s="61" cm="1">
        <f t="array" ref="W240">getDistance(I240,J240,R240,S240)*SA!$B$12</f>
        <v>476.46082211216719</v>
      </c>
      <c r="Y240" s="137">
        <f>Transportation_LCIA!C$61*($W240^Transportation_LCIA!C$60)+Transportation_LCIA!C$62</f>
        <v>0.3421495485374596</v>
      </c>
      <c r="Z240" s="137">
        <f>Transportation_LCIA!D$61*($W240^Transportation_LCIA!D$60)+Transportation_LCIA!D$62</f>
        <v>3.6874835022314647</v>
      </c>
      <c r="AA240" s="137">
        <f>Transportation_LCIA!E$61*($W240^Transportation_LCIA!E$60)+Transportation_LCIA!E$62</f>
        <v>1.9781439132864741E-3</v>
      </c>
      <c r="AB240" s="137">
        <f>Transportation_LCIA!F$61*($W240^Transportation_LCIA!F$60)+Transportation_LCIA!F$62</f>
        <v>0.3421495485374596</v>
      </c>
      <c r="AC240" s="137">
        <f>Transportation_LCIA!G$61*($W240^Transportation_LCIA!G$60)+Transportation_LCIA!G$62</f>
        <v>8.585483264216312E-2</v>
      </c>
      <c r="AD240" s="137">
        <f>Transportation_LCIA!H$61*($W240^Transportation_LCIA!H$60)+Transportation_LCIA!H$62</f>
        <v>4.6194970027992912E-4</v>
      </c>
      <c r="AE240" s="137">
        <f>Transportation_LCIA!I$61*($W240^Transportation_LCIA!I$60)+Transportation_LCIA!I$62</f>
        <v>1.0655867543092664E-5</v>
      </c>
      <c r="AF240" s="137">
        <f>Transportation_LCIA!J$61*($W240^Transportation_LCIA!J$60)+Transportation_LCIA!J$62</f>
        <v>1.5888874162923741E-2</v>
      </c>
      <c r="AG240" s="137">
        <f>Transportation_LCIA!K$61*($W240^Transportation_LCIA!K$60)+Transportation_LCIA!K$62</f>
        <v>1.8926799382803748E-2</v>
      </c>
      <c r="AH240" s="137">
        <f>Transportation_LCIA!L$61*($W240^Transportation_LCIA!L$60)+Transportation_LCIA!L$62</f>
        <v>4.1087237564962301E-4</v>
      </c>
      <c r="AI240" s="137">
        <f>Transportation_LCIA!M$61*($W240^Transportation_LCIA!M$60)+Transportation_LCIA!M$62</f>
        <v>3.4584758868402539E-4</v>
      </c>
      <c r="AJ240" s="137">
        <f>Transportation_LCIA!N$61*($W240^Transportation_LCIA!N$60)+Transportation_LCIA!N$62</f>
        <v>1.6115826777894741E-3</v>
      </c>
      <c r="AK240" s="137">
        <f>Transportation_LCIA!O$61*($W240^Transportation_LCIA!O$60)+Transportation_LCIA!O$62</f>
        <v>9.0910885097424208E-5</v>
      </c>
      <c r="AL240" s="137">
        <f>Transportation_LCIA!P$61*($W240^Transportation_LCIA!P$60)+Transportation_LCIA!P$62</f>
        <v>4.3858281937434929E-8</v>
      </c>
      <c r="AM240" s="137">
        <f>Transportation_LCIA!Q$61*($W240^Transportation_LCIA!Q$60)+Transportation_LCIA!Q$62</f>
        <v>1.6197541816227853E-4</v>
      </c>
      <c r="AN240" s="137">
        <f>Transportation_LCIA!R$61*($W240^Transportation_LCIA!R$60)+Transportation_LCIA!R$62</f>
        <v>5.1191111541630801E-4</v>
      </c>
      <c r="AO240" s="137">
        <f>Transportation_LCIA!S$61*($W240^Transportation_LCIA!S$60)+Transportation_LCIA!S$62</f>
        <v>7.5202466562288372E-6</v>
      </c>
      <c r="AP240" s="137">
        <f>Transportation_LCIA!T$61*($W240^Transportation_LCIA!T$60)+Transportation_LCIA!T$62</f>
        <v>7.5202466562288372E-6</v>
      </c>
      <c r="AQ240" s="137">
        <f>Transportation_LCIA!U$61*($W240^Transportation_LCIA!U$60)+Transportation_LCIA!U$62</f>
        <v>1.1108369369812168E-3</v>
      </c>
      <c r="AR240" s="137">
        <f>Transportation_LCIA!V$61*($W240^Transportation_LCIA!V$60)+Transportation_LCIA!V$62</f>
        <v>4.2184744513366603E-4</v>
      </c>
      <c r="AT240" s="137">
        <f>$W240*Y240+$L240*Summary_LCIA!H$32</f>
        <v>169.27589358146486</v>
      </c>
      <c r="AU240" s="137">
        <f>$W240*Z240+$L240*Summary_LCIA!Q$32</f>
        <v>1848.1723973689211</v>
      </c>
      <c r="AV240" s="137">
        <f>$W240*AA240+$L240*Summary_LCIA!R$32</f>
        <v>1.0394372399806531</v>
      </c>
      <c r="AW240" s="137">
        <f>$W240*AB240+$L240*Summary_LCIA!S$32</f>
        <v>169.19453022146487</v>
      </c>
      <c r="AX240" s="137">
        <f>$W240*AC240+$L240*Summary_LCIA!T$32</f>
        <v>42.929503342987566</v>
      </c>
      <c r="AY240" s="137">
        <f>$W240*AD240+$L240*Summary_LCIA!U$32</f>
        <v>0.54986184596984433</v>
      </c>
      <c r="AZ240" s="137">
        <f>$W240*AE240+$L240*Summary_LCIA!V$32</f>
        <v>5.9562878979002899E-3</v>
      </c>
      <c r="BA240" s="137">
        <f>$W240*AF240+$L240*Summary_LCIA!W$32</f>
        <v>8.9873082141034182</v>
      </c>
      <c r="BB240" s="137">
        <f>$W240*AG240+$L240*Summary_LCIA!X$32</f>
        <v>9.4372126338827318</v>
      </c>
      <c r="BC240" s="137">
        <f>$W240*AH240+$L240*Summary_LCIA!Y$32</f>
        <v>0.48259804588519861</v>
      </c>
      <c r="BD240" s="137">
        <f>$W240*AI240+$L240*Summary_LCIA!Z$32</f>
        <v>0.16553772010190138</v>
      </c>
      <c r="BE240" s="137">
        <f>$W240*AJ240+$L240*Summary_LCIA!AA$32</f>
        <v>1.1977932555613007</v>
      </c>
      <c r="BF240" s="137">
        <f>$W240*AK240+$L240*Summary_LCIA!AB$32</f>
        <v>4.2913757268463505E-2</v>
      </c>
      <c r="BG240" s="137">
        <f>$W240*AL240+$L240*Summary_LCIA!AC$32</f>
        <v>2.179660974033746E-5</v>
      </c>
      <c r="BH240" s="137">
        <f>$W240*AM240+$L240*Summary_LCIA!AD$32</f>
        <v>8.4741365219561285E-2</v>
      </c>
      <c r="BI240" s="137">
        <f>$W240*AN240+$L240*Summary_LCIA!AE$32</f>
        <v>0.26021747193961059</v>
      </c>
      <c r="BJ240" s="137">
        <f>$W240*AO240+$L240*Summary_LCIA!AF$32</f>
        <v>1.914559426431307E-2</v>
      </c>
      <c r="BK240" s="137">
        <f>$W240*AP240+$L240*Summary_LCIA!AG$32</f>
        <v>4.5249482243130681E-3</v>
      </c>
      <c r="BL240" s="137">
        <f>$W240*AQ240+$L240*Summary_LCIA!AH$32</f>
        <v>0.6894861490266323</v>
      </c>
      <c r="BM240" s="137">
        <f>$W240*AR240+$L240*Summary_LCIA!AI$32</f>
        <v>0.21814175291430385</v>
      </c>
    </row>
    <row r="241" spans="1:65" x14ac:dyDescent="0.25">
      <c r="A241" s="149">
        <v>79</v>
      </c>
      <c r="B241" s="149">
        <v>6</v>
      </c>
      <c r="C241" s="61">
        <v>41.615028000000002</v>
      </c>
      <c r="D241" s="61">
        <v>-81.473634000000004</v>
      </c>
      <c r="E241" s="61" t="s">
        <v>265</v>
      </c>
      <c r="F241" s="149">
        <v>105</v>
      </c>
      <c r="G241" s="61" t="s">
        <v>276</v>
      </c>
      <c r="H241" s="61" t="s">
        <v>660</v>
      </c>
      <c r="I241" s="61">
        <v>41.405799000000002</v>
      </c>
      <c r="J241" s="61">
        <v>-81.853866999999994</v>
      </c>
      <c r="K241" s="61">
        <v>48.412403679999997</v>
      </c>
      <c r="L241" s="61">
        <v>45.866999999999997</v>
      </c>
      <c r="M241" s="61" t="s">
        <v>617</v>
      </c>
      <c r="N241" s="149">
        <v>5</v>
      </c>
      <c r="O241" s="149">
        <v>6</v>
      </c>
      <c r="P241" s="61" t="s">
        <v>565</v>
      </c>
      <c r="Q241" s="61" t="s">
        <v>564</v>
      </c>
      <c r="R241" s="61">
        <v>41.98028</v>
      </c>
      <c r="S241" s="61">
        <v>-87.908997900000003</v>
      </c>
      <c r="T241" s="61">
        <v>603.75900000000001</v>
      </c>
      <c r="U241" s="61" t="s">
        <v>617</v>
      </c>
      <c r="V241" s="61" t="s">
        <v>569</v>
      </c>
      <c r="W241" s="61" cm="1">
        <f t="array" ref="W241">getDistance(I241,J241,R241,S241)*SA!$B$12</f>
        <v>508.0035886560301</v>
      </c>
      <c r="Y241" s="137">
        <f>Transportation_LCIA!C$61*($W241^Transportation_LCIA!C$60)+Transportation_LCIA!C$62</f>
        <v>0.33009466965930534</v>
      </c>
      <c r="Z241" s="137">
        <f>Transportation_LCIA!D$61*($W241^Transportation_LCIA!D$60)+Transportation_LCIA!D$62</f>
        <v>3.5424297147150119</v>
      </c>
      <c r="AA241" s="137">
        <f>Transportation_LCIA!E$61*($W241^Transportation_LCIA!E$60)+Transportation_LCIA!E$62</f>
        <v>1.881949117619271E-3</v>
      </c>
      <c r="AB241" s="137">
        <f>Transportation_LCIA!F$61*($W241^Transportation_LCIA!F$60)+Transportation_LCIA!F$62</f>
        <v>0.33009466965930534</v>
      </c>
      <c r="AC241" s="137">
        <f>Transportation_LCIA!G$61*($W241^Transportation_LCIA!G$60)+Transportation_LCIA!G$62</f>
        <v>8.2504889928352365E-2</v>
      </c>
      <c r="AD241" s="137">
        <f>Transportation_LCIA!H$61*($W241^Transportation_LCIA!H$60)+Transportation_LCIA!H$62</f>
        <v>4.4043594058456003E-4</v>
      </c>
      <c r="AE241" s="137">
        <f>Transportation_LCIA!I$61*($W241^Transportation_LCIA!I$60)+Transportation_LCIA!I$62</f>
        <v>1.0099262763484922E-5</v>
      </c>
      <c r="AF241" s="137">
        <f>Transportation_LCIA!J$61*($W241^Transportation_LCIA!J$60)+Transportation_LCIA!J$62</f>
        <v>1.5044986830824957E-2</v>
      </c>
      <c r="AG241" s="137">
        <f>Transportation_LCIA!K$61*($W241^Transportation_LCIA!K$60)+Transportation_LCIA!K$62</f>
        <v>1.8132625491128557E-2</v>
      </c>
      <c r="AH241" s="137">
        <f>Transportation_LCIA!L$61*($W241^Transportation_LCIA!L$60)+Transportation_LCIA!L$62</f>
        <v>3.9093921727928455E-4</v>
      </c>
      <c r="AI241" s="137">
        <f>Transportation_LCIA!M$61*($W241^Transportation_LCIA!M$60)+Transportation_LCIA!M$62</f>
        <v>3.3396334311075232E-4</v>
      </c>
      <c r="AJ241" s="137">
        <f>Transportation_LCIA!N$61*($W241^Transportation_LCIA!N$60)+Transportation_LCIA!N$62</f>
        <v>1.5394070125787397E-3</v>
      </c>
      <c r="AK241" s="137">
        <f>Transportation_LCIA!O$61*($W241^Transportation_LCIA!O$60)+Transportation_LCIA!O$62</f>
        <v>8.7348144302915392E-5</v>
      </c>
      <c r="AL241" s="137">
        <f>Transportation_LCIA!P$61*($W241^Transportation_LCIA!P$60)+Transportation_LCIA!P$62</f>
        <v>4.2149249681484652E-8</v>
      </c>
      <c r="AM241" s="137">
        <f>Transportation_LCIA!Q$61*($W241^Transportation_LCIA!Q$60)+Transportation_LCIA!Q$62</f>
        <v>1.5414876345104929E-4</v>
      </c>
      <c r="AN241" s="137">
        <f>Transportation_LCIA!R$61*($W241^Transportation_LCIA!R$60)+Transportation_LCIA!R$62</f>
        <v>4.8520261212265276E-4</v>
      </c>
      <c r="AO241" s="137">
        <f>Transportation_LCIA!S$61*($W241^Transportation_LCIA!S$60)+Transportation_LCIA!S$62</f>
        <v>7.1416605098105525E-6</v>
      </c>
      <c r="AP241" s="137">
        <f>Transportation_LCIA!T$61*($W241^Transportation_LCIA!T$60)+Transportation_LCIA!T$62</f>
        <v>7.1416605098105525E-6</v>
      </c>
      <c r="AQ241" s="137">
        <f>Transportation_LCIA!U$61*($W241^Transportation_LCIA!U$60)+Transportation_LCIA!U$62</f>
        <v>1.0519598834212809E-3</v>
      </c>
      <c r="AR241" s="137">
        <f>Transportation_LCIA!V$61*($W241^Transportation_LCIA!V$60)+Transportation_LCIA!V$62</f>
        <v>4.0137597393638617E-4</v>
      </c>
      <c r="AT241" s="137">
        <f>$W241*Y241+$L241*Summary_LCIA!H$32</f>
        <v>183.27488338315391</v>
      </c>
      <c r="AU241" s="137">
        <f>$W241*Z241+$L241*Summary_LCIA!Q$32</f>
        <v>2026.8861728473939</v>
      </c>
      <c r="AV241" s="137">
        <f>$W241*AA241+$L241*Summary_LCIA!R$32</f>
        <v>1.1975541806186389</v>
      </c>
      <c r="AW241" s="137">
        <f>$W241*AB241+$L241*Summary_LCIA!S$32</f>
        <v>183.07215124315391</v>
      </c>
      <c r="AX241" s="137">
        <f>$W241*AC241+$L241*Summary_LCIA!T$32</f>
        <v>46.95356346527376</v>
      </c>
      <c r="AY241" s="137">
        <f>$W241*AD241+$L241*Summary_LCIA!U$32</f>
        <v>1.0454044763900505</v>
      </c>
      <c r="AZ241" s="137">
        <f>$W241*AE241+$L241*Summary_LCIA!V$32</f>
        <v>7.3211155136305561E-3</v>
      </c>
      <c r="BA241" s="137">
        <f>$W241*AF241+$L241*Summary_LCIA!W$32</f>
        <v>11.17333615834179</v>
      </c>
      <c r="BB241" s="137">
        <f>$W241*AG241+$L241*Summary_LCIA!X$32</f>
        <v>10.256289081249118</v>
      </c>
      <c r="BC241" s="137">
        <f>$W241*AH241+$L241*Summary_LCIA!Y$32</f>
        <v>0.91329811932425597</v>
      </c>
      <c r="BD241" s="137">
        <f>$W241*AI241+$L241*Summary_LCIA!Z$32</f>
        <v>0.17153553658282725</v>
      </c>
      <c r="BE241" s="137">
        <f>$W241*AJ241+$L241*Summary_LCIA!AA$32</f>
        <v>1.853293938792258</v>
      </c>
      <c r="BF241" s="137">
        <f>$W241*AK241+$L241*Summary_LCIA!AB$32</f>
        <v>4.3372215227325789E-2</v>
      </c>
      <c r="BG241" s="137">
        <f>$W241*AL241+$L241*Summary_LCIA!AC$32</f>
        <v>2.3654132525353234E-5</v>
      </c>
      <c r="BH241" s="137">
        <f>$W241*AM241+$L241*Summary_LCIA!AD$32</f>
        <v>9.7161296700022534E-2</v>
      </c>
      <c r="BI241" s="137">
        <f>$W241*AN241+$L241*Summary_LCIA!AE$32</f>
        <v>0.28712879289358739</v>
      </c>
      <c r="BJ241" s="137">
        <f>$W241*AO241+$L241*Summary_LCIA!AF$32</f>
        <v>4.2404868307946812E-2</v>
      </c>
      <c r="BK241" s="137">
        <f>$W241*AP241+$L241*Summary_LCIA!AG$32</f>
        <v>5.9747742229468142E-3</v>
      </c>
      <c r="BL241" s="137">
        <f>$W241*AQ241+$L241*Summary_LCIA!AH$32</f>
        <v>0.9336074171001898</v>
      </c>
      <c r="BM241" s="137">
        <f>$W241*AR241+$L241*Summary_LCIA!AI$32</f>
        <v>0.24662783900999335</v>
      </c>
    </row>
    <row r="242" spans="1:65" x14ac:dyDescent="0.25">
      <c r="A242" s="149">
        <v>273</v>
      </c>
      <c r="B242" s="149">
        <v>43</v>
      </c>
      <c r="C242" s="61">
        <v>45.501688999999999</v>
      </c>
      <c r="D242" s="61">
        <v>-73.567256</v>
      </c>
      <c r="E242" s="61" t="s">
        <v>458</v>
      </c>
      <c r="F242" s="149">
        <v>124</v>
      </c>
      <c r="G242" s="61" t="s">
        <v>654</v>
      </c>
      <c r="H242" s="61" t="s">
        <v>655</v>
      </c>
      <c r="I242" s="61">
        <v>45.465685000000001</v>
      </c>
      <c r="J242" s="61">
        <v>-73.745480999999998</v>
      </c>
      <c r="K242" s="61">
        <v>15.92927869</v>
      </c>
      <c r="L242" s="61">
        <v>19.553999999999998</v>
      </c>
      <c r="M242" s="61" t="s">
        <v>617</v>
      </c>
      <c r="N242" s="149">
        <v>42</v>
      </c>
      <c r="O242" s="149">
        <v>43</v>
      </c>
      <c r="P242" s="61" t="s">
        <v>565</v>
      </c>
      <c r="Q242" s="61" t="s">
        <v>555</v>
      </c>
      <c r="R242" s="61">
        <v>40.6895314</v>
      </c>
      <c r="S242" s="61">
        <v>-74.174462399999996</v>
      </c>
      <c r="T242" s="61">
        <v>604.83699999999999</v>
      </c>
      <c r="U242" s="61" t="s">
        <v>617</v>
      </c>
      <c r="V242" s="61" t="s">
        <v>569</v>
      </c>
      <c r="W242" s="61" cm="1">
        <f t="array" ref="W242">getDistance(I242,J242,R242,S242)*SA!$B$12</f>
        <v>532.70082587978914</v>
      </c>
      <c r="Y242" s="137">
        <f>Transportation_LCIA!C$61*($W242^Transportation_LCIA!C$60)+Transportation_LCIA!C$62</f>
        <v>0.32157602463370416</v>
      </c>
      <c r="Z242" s="137">
        <f>Transportation_LCIA!D$61*($W242^Transportation_LCIA!D$60)+Transportation_LCIA!D$62</f>
        <v>3.4401752281760434</v>
      </c>
      <c r="AA242" s="137">
        <f>Transportation_LCIA!E$61*($W242^Transportation_LCIA!E$60)+Transportation_LCIA!E$62</f>
        <v>1.8141836341962153E-3</v>
      </c>
      <c r="AB242" s="137">
        <f>Transportation_LCIA!F$61*($W242^Transportation_LCIA!F$60)+Transportation_LCIA!F$62</f>
        <v>0.32157602463370416</v>
      </c>
      <c r="AC242" s="137">
        <f>Transportation_LCIA!G$61*($W242^Transportation_LCIA!G$60)+Transportation_LCIA!G$62</f>
        <v>8.0143040676289495E-2</v>
      </c>
      <c r="AD242" s="137">
        <f>Transportation_LCIA!H$61*($W242^Transportation_LCIA!H$60)+Transportation_LCIA!H$62</f>
        <v>4.2530075100495493E-4</v>
      </c>
      <c r="AE242" s="137">
        <f>Transportation_LCIA!I$61*($W242^Transportation_LCIA!I$60)+Transportation_LCIA!I$62</f>
        <v>9.7085338694522006E-6</v>
      </c>
      <c r="AF242" s="137">
        <f>Transportation_LCIA!J$61*($W242^Transportation_LCIA!J$60)+Transportation_LCIA!J$62</f>
        <v>1.4453429332288598E-2</v>
      </c>
      <c r="AG242" s="137">
        <f>Transportation_LCIA!K$61*($W242^Transportation_LCIA!K$60)+Transportation_LCIA!K$62</f>
        <v>1.7573386146825021E-2</v>
      </c>
      <c r="AH242" s="137">
        <f>Transportation_LCIA!L$61*($W242^Transportation_LCIA!L$60)+Transportation_LCIA!L$62</f>
        <v>3.7692466700234696E-4</v>
      </c>
      <c r="AI242" s="137">
        <f>Transportation_LCIA!M$61*($W242^Transportation_LCIA!M$60)+Transportation_LCIA!M$62</f>
        <v>3.2560324687594627E-4</v>
      </c>
      <c r="AJ242" s="137">
        <f>Transportation_LCIA!N$61*($W242^Transportation_LCIA!N$60)+Transportation_LCIA!N$62</f>
        <v>1.4886217992903391E-3</v>
      </c>
      <c r="AK242" s="137">
        <f>Transportation_LCIA!O$61*($W242^Transportation_LCIA!O$60)+Transportation_LCIA!O$62</f>
        <v>8.4836431112135085E-5</v>
      </c>
      <c r="AL242" s="137">
        <f>Transportation_LCIA!P$61*($W242^Transportation_LCIA!P$60)+Transportation_LCIA!P$62</f>
        <v>4.094417350036071E-8</v>
      </c>
      <c r="AM242" s="137">
        <f>Transportation_LCIA!Q$61*($W242^Transportation_LCIA!Q$60)+Transportation_LCIA!Q$62</f>
        <v>1.4864785211779024E-4</v>
      </c>
      <c r="AN242" s="137">
        <f>Transportation_LCIA!R$61*($W242^Transportation_LCIA!R$60)+Transportation_LCIA!R$62</f>
        <v>4.664545941177262E-4</v>
      </c>
      <c r="AO242" s="137">
        <f>Transportation_LCIA!S$61*($W242^Transportation_LCIA!S$60)+Transportation_LCIA!S$62</f>
        <v>6.8758863533443067E-6</v>
      </c>
      <c r="AP242" s="137">
        <f>Transportation_LCIA!T$61*($W242^Transportation_LCIA!T$60)+Transportation_LCIA!T$62</f>
        <v>6.8758863533443067E-6</v>
      </c>
      <c r="AQ242" s="137">
        <f>Transportation_LCIA!U$61*($W242^Transportation_LCIA!U$60)+Transportation_LCIA!U$62</f>
        <v>1.0106481886833722E-3</v>
      </c>
      <c r="AR242" s="137">
        <f>Transportation_LCIA!V$61*($W242^Transportation_LCIA!V$60)+Transportation_LCIA!V$62</f>
        <v>3.8699391574166265E-4</v>
      </c>
      <c r="AT242" s="137">
        <f>$W242*Y242+$L242*Summary_LCIA!H$32</f>
        <v>177.94826310551363</v>
      </c>
      <c r="AU242" s="137">
        <f>$W242*Z242+$L242*Summary_LCIA!Q$32</f>
        <v>1929.4947953874523</v>
      </c>
      <c r="AV242" s="137">
        <f>$W242*AA242+$L242*Summary_LCIA!R$32</f>
        <v>1.0693806626339211</v>
      </c>
      <c r="AW242" s="137">
        <f>$W242*AB242+$L242*Summary_LCIA!S$32</f>
        <v>177.86183442551362</v>
      </c>
      <c r="AX242" s="137">
        <f>$W242*AC242+$L242*Summary_LCIA!T$32</f>
        <v>44.841248556776947</v>
      </c>
      <c r="AY242" s="137">
        <f>$W242*AD242+$L242*Summary_LCIA!U$32</f>
        <v>0.57684841730763403</v>
      </c>
      <c r="AZ242" s="137">
        <f>$W242*AE242+$L242*Summary_LCIA!V$32</f>
        <v>6.1056626043390922E-3</v>
      </c>
      <c r="BA242" s="137">
        <f>$W242*AF242+$L242*Summary_LCIA!W$32</f>
        <v>9.2044446761053056</v>
      </c>
      <c r="BB242" s="137">
        <f>$W242*AG242+$L242*Summary_LCIA!X$32</f>
        <v>9.8067974339181347</v>
      </c>
      <c r="BC242" s="137">
        <f>$W242*AH242+$L242*Summary_LCIA!Y$32</f>
        <v>0.50547850940661465</v>
      </c>
      <c r="BD242" s="137">
        <f>$W242*AI242+$L242*Summary_LCIA!Z$32</f>
        <v>0.17425100850595746</v>
      </c>
      <c r="BE242" s="137">
        <f>$W242*AJ242+$L242*Summary_LCIA!AA$32</f>
        <v>1.2496932859046213</v>
      </c>
      <c r="BF242" s="137">
        <f>$W242*AK242+$L242*Summary_LCIA!AB$32</f>
        <v>4.47657099761282E-2</v>
      </c>
      <c r="BG242" s="137">
        <f>$W242*AL242+$L242*Summary_LCIA!AC$32</f>
        <v>2.2766872774607524E-5</v>
      </c>
      <c r="BH242" s="137">
        <f>$W242*AM242+$L242*Summary_LCIA!AD$32</f>
        <v>8.7222309748403629E-2</v>
      </c>
      <c r="BI242" s="137">
        <f>$W242*AN242+$L242*Summary_LCIA!AE$32</f>
        <v>0.26580813354193455</v>
      </c>
      <c r="BJ242" s="137">
        <f>$W242*AO242+$L242*Summary_LCIA!AF$32</f>
        <v>2.0194133019082083E-2</v>
      </c>
      <c r="BK242" s="137">
        <f>$W242*AP242+$L242*Summary_LCIA!AG$32</f>
        <v>4.6632707490820834E-3</v>
      </c>
      <c r="BL242" s="137">
        <f>$W242*AQ242+$L242*Summary_LCIA!AH$32</f>
        <v>0.70856331918554538</v>
      </c>
      <c r="BM242" s="137">
        <f>$W242*AR242+$L242*Summary_LCIA!AI$32</f>
        <v>0.22436750722603721</v>
      </c>
    </row>
    <row r="243" spans="1:65" x14ac:dyDescent="0.25">
      <c r="A243" s="149">
        <v>274</v>
      </c>
      <c r="B243" s="149">
        <v>43</v>
      </c>
      <c r="C243" s="61">
        <v>45.501688999999999</v>
      </c>
      <c r="D243" s="61">
        <v>-73.567256</v>
      </c>
      <c r="E243" s="61" t="s">
        <v>458</v>
      </c>
      <c r="F243" s="149">
        <v>124</v>
      </c>
      <c r="G243" s="61" t="s">
        <v>654</v>
      </c>
      <c r="H243" s="61" t="s">
        <v>655</v>
      </c>
      <c r="I243" s="61">
        <v>45.465685000000001</v>
      </c>
      <c r="J243" s="61">
        <v>-73.745480999999998</v>
      </c>
      <c r="K243" s="61">
        <v>15.92927869</v>
      </c>
      <c r="L243" s="61">
        <v>19.553999999999998</v>
      </c>
      <c r="M243" s="61" t="s">
        <v>617</v>
      </c>
      <c r="N243" s="149">
        <v>42</v>
      </c>
      <c r="O243" s="149">
        <v>43</v>
      </c>
      <c r="P243" s="61" t="s">
        <v>565</v>
      </c>
      <c r="Q243" s="61" t="s">
        <v>555</v>
      </c>
      <c r="R243" s="61">
        <v>40.6895314</v>
      </c>
      <c r="S243" s="61">
        <v>-74.174462399999996</v>
      </c>
      <c r="T243" s="61">
        <v>604.83699999999999</v>
      </c>
      <c r="U243" s="61" t="s">
        <v>617</v>
      </c>
      <c r="V243" s="61" t="s">
        <v>569</v>
      </c>
      <c r="W243" s="61" cm="1">
        <f t="array" ref="W243">getDistance(I243,J243,R243,S243)*SA!$B$12</f>
        <v>532.70082587978914</v>
      </c>
      <c r="Y243" s="137">
        <f>Transportation_LCIA!C$61*($W243^Transportation_LCIA!C$60)+Transportation_LCIA!C$62</f>
        <v>0.32157602463370416</v>
      </c>
      <c r="Z243" s="137">
        <f>Transportation_LCIA!D$61*($W243^Transportation_LCIA!D$60)+Transportation_LCIA!D$62</f>
        <v>3.4401752281760434</v>
      </c>
      <c r="AA243" s="137">
        <f>Transportation_LCIA!E$61*($W243^Transportation_LCIA!E$60)+Transportation_LCIA!E$62</f>
        <v>1.8141836341962153E-3</v>
      </c>
      <c r="AB243" s="137">
        <f>Transportation_LCIA!F$61*($W243^Transportation_LCIA!F$60)+Transportation_LCIA!F$62</f>
        <v>0.32157602463370416</v>
      </c>
      <c r="AC243" s="137">
        <f>Transportation_LCIA!G$61*($W243^Transportation_LCIA!G$60)+Transportation_LCIA!G$62</f>
        <v>8.0143040676289495E-2</v>
      </c>
      <c r="AD243" s="137">
        <f>Transportation_LCIA!H$61*($W243^Transportation_LCIA!H$60)+Transportation_LCIA!H$62</f>
        <v>4.2530075100495493E-4</v>
      </c>
      <c r="AE243" s="137">
        <f>Transportation_LCIA!I$61*($W243^Transportation_LCIA!I$60)+Transportation_LCIA!I$62</f>
        <v>9.7085338694522006E-6</v>
      </c>
      <c r="AF243" s="137">
        <f>Transportation_LCIA!J$61*($W243^Transportation_LCIA!J$60)+Transportation_LCIA!J$62</f>
        <v>1.4453429332288598E-2</v>
      </c>
      <c r="AG243" s="137">
        <f>Transportation_LCIA!K$61*($W243^Transportation_LCIA!K$60)+Transportation_LCIA!K$62</f>
        <v>1.7573386146825021E-2</v>
      </c>
      <c r="AH243" s="137">
        <f>Transportation_LCIA!L$61*($W243^Transportation_LCIA!L$60)+Transportation_LCIA!L$62</f>
        <v>3.7692466700234696E-4</v>
      </c>
      <c r="AI243" s="137">
        <f>Transportation_LCIA!M$61*($W243^Transportation_LCIA!M$60)+Transportation_LCIA!M$62</f>
        <v>3.2560324687594627E-4</v>
      </c>
      <c r="AJ243" s="137">
        <f>Transportation_LCIA!N$61*($W243^Transportation_LCIA!N$60)+Transportation_LCIA!N$62</f>
        <v>1.4886217992903391E-3</v>
      </c>
      <c r="AK243" s="137">
        <f>Transportation_LCIA!O$61*($W243^Transportation_LCIA!O$60)+Transportation_LCIA!O$62</f>
        <v>8.4836431112135085E-5</v>
      </c>
      <c r="AL243" s="137">
        <f>Transportation_LCIA!P$61*($W243^Transportation_LCIA!P$60)+Transportation_LCIA!P$62</f>
        <v>4.094417350036071E-8</v>
      </c>
      <c r="AM243" s="137">
        <f>Transportation_LCIA!Q$61*($W243^Transportation_LCIA!Q$60)+Transportation_LCIA!Q$62</f>
        <v>1.4864785211779024E-4</v>
      </c>
      <c r="AN243" s="137">
        <f>Transportation_LCIA!R$61*($W243^Transportation_LCIA!R$60)+Transportation_LCIA!R$62</f>
        <v>4.664545941177262E-4</v>
      </c>
      <c r="AO243" s="137">
        <f>Transportation_LCIA!S$61*($W243^Transportation_LCIA!S$60)+Transportation_LCIA!S$62</f>
        <v>6.8758863533443067E-6</v>
      </c>
      <c r="AP243" s="137">
        <f>Transportation_LCIA!T$61*($W243^Transportation_LCIA!T$60)+Transportation_LCIA!T$62</f>
        <v>6.8758863533443067E-6</v>
      </c>
      <c r="AQ243" s="137">
        <f>Transportation_LCIA!U$61*($W243^Transportation_LCIA!U$60)+Transportation_LCIA!U$62</f>
        <v>1.0106481886833722E-3</v>
      </c>
      <c r="AR243" s="137">
        <f>Transportation_LCIA!V$61*($W243^Transportation_LCIA!V$60)+Transportation_LCIA!V$62</f>
        <v>3.8699391574166265E-4</v>
      </c>
      <c r="AT243" s="137">
        <f>$W243*Y243+$L243*Summary_LCIA!H$32</f>
        <v>177.94826310551363</v>
      </c>
      <c r="AU243" s="137">
        <f>$W243*Z243+$L243*Summary_LCIA!Q$32</f>
        <v>1929.4947953874523</v>
      </c>
      <c r="AV243" s="137">
        <f>$W243*AA243+$L243*Summary_LCIA!R$32</f>
        <v>1.0693806626339211</v>
      </c>
      <c r="AW243" s="137">
        <f>$W243*AB243+$L243*Summary_LCIA!S$32</f>
        <v>177.86183442551362</v>
      </c>
      <c r="AX243" s="137">
        <f>$W243*AC243+$L243*Summary_LCIA!T$32</f>
        <v>44.841248556776947</v>
      </c>
      <c r="AY243" s="137">
        <f>$W243*AD243+$L243*Summary_LCIA!U$32</f>
        <v>0.57684841730763403</v>
      </c>
      <c r="AZ243" s="137">
        <f>$W243*AE243+$L243*Summary_LCIA!V$32</f>
        <v>6.1056626043390922E-3</v>
      </c>
      <c r="BA243" s="137">
        <f>$W243*AF243+$L243*Summary_LCIA!W$32</f>
        <v>9.2044446761053056</v>
      </c>
      <c r="BB243" s="137">
        <f>$W243*AG243+$L243*Summary_LCIA!X$32</f>
        <v>9.8067974339181347</v>
      </c>
      <c r="BC243" s="137">
        <f>$W243*AH243+$L243*Summary_LCIA!Y$32</f>
        <v>0.50547850940661465</v>
      </c>
      <c r="BD243" s="137">
        <f>$W243*AI243+$L243*Summary_LCIA!Z$32</f>
        <v>0.17425100850595746</v>
      </c>
      <c r="BE243" s="137">
        <f>$W243*AJ243+$L243*Summary_LCIA!AA$32</f>
        <v>1.2496932859046213</v>
      </c>
      <c r="BF243" s="137">
        <f>$W243*AK243+$L243*Summary_LCIA!AB$32</f>
        <v>4.47657099761282E-2</v>
      </c>
      <c r="BG243" s="137">
        <f>$W243*AL243+$L243*Summary_LCIA!AC$32</f>
        <v>2.2766872774607524E-5</v>
      </c>
      <c r="BH243" s="137">
        <f>$W243*AM243+$L243*Summary_LCIA!AD$32</f>
        <v>8.7222309748403629E-2</v>
      </c>
      <c r="BI243" s="137">
        <f>$W243*AN243+$L243*Summary_LCIA!AE$32</f>
        <v>0.26580813354193455</v>
      </c>
      <c r="BJ243" s="137">
        <f>$W243*AO243+$L243*Summary_LCIA!AF$32</f>
        <v>2.0194133019082083E-2</v>
      </c>
      <c r="BK243" s="137">
        <f>$W243*AP243+$L243*Summary_LCIA!AG$32</f>
        <v>4.6632707490820834E-3</v>
      </c>
      <c r="BL243" s="137">
        <f>$W243*AQ243+$L243*Summary_LCIA!AH$32</f>
        <v>0.70856331918554538</v>
      </c>
      <c r="BM243" s="137">
        <f>$W243*AR243+$L243*Summary_LCIA!AI$32</f>
        <v>0.22436750722603721</v>
      </c>
    </row>
    <row r="244" spans="1:65" x14ac:dyDescent="0.25">
      <c r="A244" s="149">
        <v>275</v>
      </c>
      <c r="B244" s="149">
        <v>43</v>
      </c>
      <c r="C244" s="61">
        <v>45.501688999999999</v>
      </c>
      <c r="D244" s="61">
        <v>-73.567256</v>
      </c>
      <c r="E244" s="61" t="s">
        <v>458</v>
      </c>
      <c r="F244" s="149">
        <v>124</v>
      </c>
      <c r="G244" s="61" t="s">
        <v>654</v>
      </c>
      <c r="H244" s="61" t="s">
        <v>655</v>
      </c>
      <c r="I244" s="61">
        <v>45.465685000000001</v>
      </c>
      <c r="J244" s="61">
        <v>-73.745480999999998</v>
      </c>
      <c r="K244" s="61">
        <v>15.92927869</v>
      </c>
      <c r="L244" s="61">
        <v>19.553999999999998</v>
      </c>
      <c r="M244" s="61" t="s">
        <v>617</v>
      </c>
      <c r="N244" s="149">
        <v>42</v>
      </c>
      <c r="O244" s="149">
        <v>43</v>
      </c>
      <c r="P244" s="61" t="s">
        <v>565</v>
      </c>
      <c r="Q244" s="61" t="s">
        <v>555</v>
      </c>
      <c r="R244" s="61">
        <v>40.6895314</v>
      </c>
      <c r="S244" s="61">
        <v>-74.174462399999996</v>
      </c>
      <c r="T244" s="61">
        <v>604.83699999999999</v>
      </c>
      <c r="U244" s="61" t="s">
        <v>617</v>
      </c>
      <c r="V244" s="61" t="s">
        <v>569</v>
      </c>
      <c r="W244" s="61" cm="1">
        <f t="array" ref="W244">getDistance(I244,J244,R244,S244)*SA!$B$12</f>
        <v>532.70082587978914</v>
      </c>
      <c r="Y244" s="137">
        <f>Transportation_LCIA!C$61*($W244^Transportation_LCIA!C$60)+Transportation_LCIA!C$62</f>
        <v>0.32157602463370416</v>
      </c>
      <c r="Z244" s="137">
        <f>Transportation_LCIA!D$61*($W244^Transportation_LCIA!D$60)+Transportation_LCIA!D$62</f>
        <v>3.4401752281760434</v>
      </c>
      <c r="AA244" s="137">
        <f>Transportation_LCIA!E$61*($W244^Transportation_LCIA!E$60)+Transportation_LCIA!E$62</f>
        <v>1.8141836341962153E-3</v>
      </c>
      <c r="AB244" s="137">
        <f>Transportation_LCIA!F$61*($W244^Transportation_LCIA!F$60)+Transportation_LCIA!F$62</f>
        <v>0.32157602463370416</v>
      </c>
      <c r="AC244" s="137">
        <f>Transportation_LCIA!G$61*($W244^Transportation_LCIA!G$60)+Transportation_LCIA!G$62</f>
        <v>8.0143040676289495E-2</v>
      </c>
      <c r="AD244" s="137">
        <f>Transportation_LCIA!H$61*($W244^Transportation_LCIA!H$60)+Transportation_LCIA!H$62</f>
        <v>4.2530075100495493E-4</v>
      </c>
      <c r="AE244" s="137">
        <f>Transportation_LCIA!I$61*($W244^Transportation_LCIA!I$60)+Transportation_LCIA!I$62</f>
        <v>9.7085338694522006E-6</v>
      </c>
      <c r="AF244" s="137">
        <f>Transportation_LCIA!J$61*($W244^Transportation_LCIA!J$60)+Transportation_LCIA!J$62</f>
        <v>1.4453429332288598E-2</v>
      </c>
      <c r="AG244" s="137">
        <f>Transportation_LCIA!K$61*($W244^Transportation_LCIA!K$60)+Transportation_LCIA!K$62</f>
        <v>1.7573386146825021E-2</v>
      </c>
      <c r="AH244" s="137">
        <f>Transportation_LCIA!L$61*($W244^Transportation_LCIA!L$60)+Transportation_LCIA!L$62</f>
        <v>3.7692466700234696E-4</v>
      </c>
      <c r="AI244" s="137">
        <f>Transportation_LCIA!M$61*($W244^Transportation_LCIA!M$60)+Transportation_LCIA!M$62</f>
        <v>3.2560324687594627E-4</v>
      </c>
      <c r="AJ244" s="137">
        <f>Transportation_LCIA!N$61*($W244^Transportation_LCIA!N$60)+Transportation_LCIA!N$62</f>
        <v>1.4886217992903391E-3</v>
      </c>
      <c r="AK244" s="137">
        <f>Transportation_LCIA!O$61*($W244^Transportation_LCIA!O$60)+Transportation_LCIA!O$62</f>
        <v>8.4836431112135085E-5</v>
      </c>
      <c r="AL244" s="137">
        <f>Transportation_LCIA!P$61*($W244^Transportation_LCIA!P$60)+Transportation_LCIA!P$62</f>
        <v>4.094417350036071E-8</v>
      </c>
      <c r="AM244" s="137">
        <f>Transportation_LCIA!Q$61*($W244^Transportation_LCIA!Q$60)+Transportation_LCIA!Q$62</f>
        <v>1.4864785211779024E-4</v>
      </c>
      <c r="AN244" s="137">
        <f>Transportation_LCIA!R$61*($W244^Transportation_LCIA!R$60)+Transportation_LCIA!R$62</f>
        <v>4.664545941177262E-4</v>
      </c>
      <c r="AO244" s="137">
        <f>Transportation_LCIA!S$61*($W244^Transportation_LCIA!S$60)+Transportation_LCIA!S$62</f>
        <v>6.8758863533443067E-6</v>
      </c>
      <c r="AP244" s="137">
        <f>Transportation_LCIA!T$61*($W244^Transportation_LCIA!T$60)+Transportation_LCIA!T$62</f>
        <v>6.8758863533443067E-6</v>
      </c>
      <c r="AQ244" s="137">
        <f>Transportation_LCIA!U$61*($W244^Transportation_LCIA!U$60)+Transportation_LCIA!U$62</f>
        <v>1.0106481886833722E-3</v>
      </c>
      <c r="AR244" s="137">
        <f>Transportation_LCIA!V$61*($W244^Transportation_LCIA!V$60)+Transportation_LCIA!V$62</f>
        <v>3.8699391574166265E-4</v>
      </c>
      <c r="AT244" s="137">
        <f>$W244*Y244+$L244*Summary_LCIA!H$32</f>
        <v>177.94826310551363</v>
      </c>
      <c r="AU244" s="137">
        <f>$W244*Z244+$L244*Summary_LCIA!Q$32</f>
        <v>1929.4947953874523</v>
      </c>
      <c r="AV244" s="137">
        <f>$W244*AA244+$L244*Summary_LCIA!R$32</f>
        <v>1.0693806626339211</v>
      </c>
      <c r="AW244" s="137">
        <f>$W244*AB244+$L244*Summary_LCIA!S$32</f>
        <v>177.86183442551362</v>
      </c>
      <c r="AX244" s="137">
        <f>$W244*AC244+$L244*Summary_LCIA!T$32</f>
        <v>44.841248556776947</v>
      </c>
      <c r="AY244" s="137">
        <f>$W244*AD244+$L244*Summary_LCIA!U$32</f>
        <v>0.57684841730763403</v>
      </c>
      <c r="AZ244" s="137">
        <f>$W244*AE244+$L244*Summary_LCIA!V$32</f>
        <v>6.1056626043390922E-3</v>
      </c>
      <c r="BA244" s="137">
        <f>$W244*AF244+$L244*Summary_LCIA!W$32</f>
        <v>9.2044446761053056</v>
      </c>
      <c r="BB244" s="137">
        <f>$W244*AG244+$L244*Summary_LCIA!X$32</f>
        <v>9.8067974339181347</v>
      </c>
      <c r="BC244" s="137">
        <f>$W244*AH244+$L244*Summary_LCIA!Y$32</f>
        <v>0.50547850940661465</v>
      </c>
      <c r="BD244" s="137">
        <f>$W244*AI244+$L244*Summary_LCIA!Z$32</f>
        <v>0.17425100850595746</v>
      </c>
      <c r="BE244" s="137">
        <f>$W244*AJ244+$L244*Summary_LCIA!AA$32</f>
        <v>1.2496932859046213</v>
      </c>
      <c r="BF244" s="137">
        <f>$W244*AK244+$L244*Summary_LCIA!AB$32</f>
        <v>4.47657099761282E-2</v>
      </c>
      <c r="BG244" s="137">
        <f>$W244*AL244+$L244*Summary_LCIA!AC$32</f>
        <v>2.2766872774607524E-5</v>
      </c>
      <c r="BH244" s="137">
        <f>$W244*AM244+$L244*Summary_LCIA!AD$32</f>
        <v>8.7222309748403629E-2</v>
      </c>
      <c r="BI244" s="137">
        <f>$W244*AN244+$L244*Summary_LCIA!AE$32</f>
        <v>0.26580813354193455</v>
      </c>
      <c r="BJ244" s="137">
        <f>$W244*AO244+$L244*Summary_LCIA!AF$32</f>
        <v>2.0194133019082083E-2</v>
      </c>
      <c r="BK244" s="137">
        <f>$W244*AP244+$L244*Summary_LCIA!AG$32</f>
        <v>4.6632707490820834E-3</v>
      </c>
      <c r="BL244" s="137">
        <f>$W244*AQ244+$L244*Summary_LCIA!AH$32</f>
        <v>0.70856331918554538</v>
      </c>
      <c r="BM244" s="137">
        <f>$W244*AR244+$L244*Summary_LCIA!AI$32</f>
        <v>0.22436750722603721</v>
      </c>
    </row>
    <row r="245" spans="1:65" x14ac:dyDescent="0.25">
      <c r="A245" s="149">
        <v>276</v>
      </c>
      <c r="B245" s="149">
        <v>43</v>
      </c>
      <c r="C245" s="61">
        <v>45.501688999999999</v>
      </c>
      <c r="D245" s="61">
        <v>-73.567256</v>
      </c>
      <c r="E245" s="61" t="s">
        <v>458</v>
      </c>
      <c r="F245" s="149">
        <v>124</v>
      </c>
      <c r="G245" s="61" t="s">
        <v>654</v>
      </c>
      <c r="H245" s="61" t="s">
        <v>655</v>
      </c>
      <c r="I245" s="61">
        <v>45.465685000000001</v>
      </c>
      <c r="J245" s="61">
        <v>-73.745480999999998</v>
      </c>
      <c r="K245" s="61">
        <v>15.92927869</v>
      </c>
      <c r="L245" s="61">
        <v>19.553999999999998</v>
      </c>
      <c r="M245" s="61" t="s">
        <v>617</v>
      </c>
      <c r="N245" s="149">
        <v>42</v>
      </c>
      <c r="O245" s="149">
        <v>43</v>
      </c>
      <c r="P245" s="61" t="s">
        <v>565</v>
      </c>
      <c r="Q245" s="61" t="s">
        <v>555</v>
      </c>
      <c r="R245" s="61">
        <v>40.6895314</v>
      </c>
      <c r="S245" s="61">
        <v>-74.174462399999996</v>
      </c>
      <c r="T245" s="61">
        <v>604.83699999999999</v>
      </c>
      <c r="U245" s="61" t="s">
        <v>617</v>
      </c>
      <c r="V245" s="61" t="s">
        <v>569</v>
      </c>
      <c r="W245" s="61" cm="1">
        <f t="array" ref="W245">getDistance(I245,J245,R245,S245)*SA!$B$12</f>
        <v>532.70082587978914</v>
      </c>
      <c r="Y245" s="137">
        <f>Transportation_LCIA!C$61*($W245^Transportation_LCIA!C$60)+Transportation_LCIA!C$62</f>
        <v>0.32157602463370416</v>
      </c>
      <c r="Z245" s="137">
        <f>Transportation_LCIA!D$61*($W245^Transportation_LCIA!D$60)+Transportation_LCIA!D$62</f>
        <v>3.4401752281760434</v>
      </c>
      <c r="AA245" s="137">
        <f>Transportation_LCIA!E$61*($W245^Transportation_LCIA!E$60)+Transportation_LCIA!E$62</f>
        <v>1.8141836341962153E-3</v>
      </c>
      <c r="AB245" s="137">
        <f>Transportation_LCIA!F$61*($W245^Transportation_LCIA!F$60)+Transportation_LCIA!F$62</f>
        <v>0.32157602463370416</v>
      </c>
      <c r="AC245" s="137">
        <f>Transportation_LCIA!G$61*($W245^Transportation_LCIA!G$60)+Transportation_LCIA!G$62</f>
        <v>8.0143040676289495E-2</v>
      </c>
      <c r="AD245" s="137">
        <f>Transportation_LCIA!H$61*($W245^Transportation_LCIA!H$60)+Transportation_LCIA!H$62</f>
        <v>4.2530075100495493E-4</v>
      </c>
      <c r="AE245" s="137">
        <f>Transportation_LCIA!I$61*($W245^Transportation_LCIA!I$60)+Transportation_LCIA!I$62</f>
        <v>9.7085338694522006E-6</v>
      </c>
      <c r="AF245" s="137">
        <f>Transportation_LCIA!J$61*($W245^Transportation_LCIA!J$60)+Transportation_LCIA!J$62</f>
        <v>1.4453429332288598E-2</v>
      </c>
      <c r="AG245" s="137">
        <f>Transportation_LCIA!K$61*($W245^Transportation_LCIA!K$60)+Transportation_LCIA!K$62</f>
        <v>1.7573386146825021E-2</v>
      </c>
      <c r="AH245" s="137">
        <f>Transportation_LCIA!L$61*($W245^Transportation_LCIA!L$60)+Transportation_LCIA!L$62</f>
        <v>3.7692466700234696E-4</v>
      </c>
      <c r="AI245" s="137">
        <f>Transportation_LCIA!M$61*($W245^Transportation_LCIA!M$60)+Transportation_LCIA!M$62</f>
        <v>3.2560324687594627E-4</v>
      </c>
      <c r="AJ245" s="137">
        <f>Transportation_LCIA!N$61*($W245^Transportation_LCIA!N$60)+Transportation_LCIA!N$62</f>
        <v>1.4886217992903391E-3</v>
      </c>
      <c r="AK245" s="137">
        <f>Transportation_LCIA!O$61*($W245^Transportation_LCIA!O$60)+Transportation_LCIA!O$62</f>
        <v>8.4836431112135085E-5</v>
      </c>
      <c r="AL245" s="137">
        <f>Transportation_LCIA!P$61*($W245^Transportation_LCIA!P$60)+Transportation_LCIA!P$62</f>
        <v>4.094417350036071E-8</v>
      </c>
      <c r="AM245" s="137">
        <f>Transportation_LCIA!Q$61*($W245^Transportation_LCIA!Q$60)+Transportation_LCIA!Q$62</f>
        <v>1.4864785211779024E-4</v>
      </c>
      <c r="AN245" s="137">
        <f>Transportation_LCIA!R$61*($W245^Transportation_LCIA!R$60)+Transportation_LCIA!R$62</f>
        <v>4.664545941177262E-4</v>
      </c>
      <c r="AO245" s="137">
        <f>Transportation_LCIA!S$61*($W245^Transportation_LCIA!S$60)+Transportation_LCIA!S$62</f>
        <v>6.8758863533443067E-6</v>
      </c>
      <c r="AP245" s="137">
        <f>Transportation_LCIA!T$61*($W245^Transportation_LCIA!T$60)+Transportation_LCIA!T$62</f>
        <v>6.8758863533443067E-6</v>
      </c>
      <c r="AQ245" s="137">
        <f>Transportation_LCIA!U$61*($W245^Transportation_LCIA!U$60)+Transportation_LCIA!U$62</f>
        <v>1.0106481886833722E-3</v>
      </c>
      <c r="AR245" s="137">
        <f>Transportation_LCIA!V$61*($W245^Transportation_LCIA!V$60)+Transportation_LCIA!V$62</f>
        <v>3.8699391574166265E-4</v>
      </c>
      <c r="AT245" s="137">
        <f>$W245*Y245+$L245*Summary_LCIA!H$32</f>
        <v>177.94826310551363</v>
      </c>
      <c r="AU245" s="137">
        <f>$W245*Z245+$L245*Summary_LCIA!Q$32</f>
        <v>1929.4947953874523</v>
      </c>
      <c r="AV245" s="137">
        <f>$W245*AA245+$L245*Summary_LCIA!R$32</f>
        <v>1.0693806626339211</v>
      </c>
      <c r="AW245" s="137">
        <f>$W245*AB245+$L245*Summary_LCIA!S$32</f>
        <v>177.86183442551362</v>
      </c>
      <c r="AX245" s="137">
        <f>$W245*AC245+$L245*Summary_LCIA!T$32</f>
        <v>44.841248556776947</v>
      </c>
      <c r="AY245" s="137">
        <f>$W245*AD245+$L245*Summary_LCIA!U$32</f>
        <v>0.57684841730763403</v>
      </c>
      <c r="AZ245" s="137">
        <f>$W245*AE245+$L245*Summary_LCIA!V$32</f>
        <v>6.1056626043390922E-3</v>
      </c>
      <c r="BA245" s="137">
        <f>$W245*AF245+$L245*Summary_LCIA!W$32</f>
        <v>9.2044446761053056</v>
      </c>
      <c r="BB245" s="137">
        <f>$W245*AG245+$L245*Summary_LCIA!X$32</f>
        <v>9.8067974339181347</v>
      </c>
      <c r="BC245" s="137">
        <f>$W245*AH245+$L245*Summary_LCIA!Y$32</f>
        <v>0.50547850940661465</v>
      </c>
      <c r="BD245" s="137">
        <f>$W245*AI245+$L245*Summary_LCIA!Z$32</f>
        <v>0.17425100850595746</v>
      </c>
      <c r="BE245" s="137">
        <f>$W245*AJ245+$L245*Summary_LCIA!AA$32</f>
        <v>1.2496932859046213</v>
      </c>
      <c r="BF245" s="137">
        <f>$W245*AK245+$L245*Summary_LCIA!AB$32</f>
        <v>4.47657099761282E-2</v>
      </c>
      <c r="BG245" s="137">
        <f>$W245*AL245+$L245*Summary_LCIA!AC$32</f>
        <v>2.2766872774607524E-5</v>
      </c>
      <c r="BH245" s="137">
        <f>$W245*AM245+$L245*Summary_LCIA!AD$32</f>
        <v>8.7222309748403629E-2</v>
      </c>
      <c r="BI245" s="137">
        <f>$W245*AN245+$L245*Summary_LCIA!AE$32</f>
        <v>0.26580813354193455</v>
      </c>
      <c r="BJ245" s="137">
        <f>$W245*AO245+$L245*Summary_LCIA!AF$32</f>
        <v>2.0194133019082083E-2</v>
      </c>
      <c r="BK245" s="137">
        <f>$W245*AP245+$L245*Summary_LCIA!AG$32</f>
        <v>4.6632707490820834E-3</v>
      </c>
      <c r="BL245" s="137">
        <f>$W245*AQ245+$L245*Summary_LCIA!AH$32</f>
        <v>0.70856331918554538</v>
      </c>
      <c r="BM245" s="137">
        <f>$W245*AR245+$L245*Summary_LCIA!AI$32</f>
        <v>0.22436750722603721</v>
      </c>
    </row>
    <row r="246" spans="1:65" x14ac:dyDescent="0.25">
      <c r="A246" s="149">
        <v>277</v>
      </c>
      <c r="B246" s="149">
        <v>43</v>
      </c>
      <c r="C246" s="61">
        <v>45.501688999999999</v>
      </c>
      <c r="D246" s="61">
        <v>-73.567256</v>
      </c>
      <c r="E246" s="61" t="s">
        <v>458</v>
      </c>
      <c r="F246" s="149">
        <v>124</v>
      </c>
      <c r="G246" s="61" t="s">
        <v>654</v>
      </c>
      <c r="H246" s="61" t="s">
        <v>655</v>
      </c>
      <c r="I246" s="61">
        <v>45.465685000000001</v>
      </c>
      <c r="J246" s="61">
        <v>-73.745480999999998</v>
      </c>
      <c r="K246" s="61">
        <v>15.92927869</v>
      </c>
      <c r="L246" s="61">
        <v>19.553999999999998</v>
      </c>
      <c r="M246" s="61" t="s">
        <v>617</v>
      </c>
      <c r="N246" s="149">
        <v>42</v>
      </c>
      <c r="O246" s="149">
        <v>43</v>
      </c>
      <c r="P246" s="61" t="s">
        <v>565</v>
      </c>
      <c r="Q246" s="61" t="s">
        <v>555</v>
      </c>
      <c r="R246" s="61">
        <v>40.6895314</v>
      </c>
      <c r="S246" s="61">
        <v>-74.174462399999996</v>
      </c>
      <c r="T246" s="61">
        <v>604.83699999999999</v>
      </c>
      <c r="U246" s="61" t="s">
        <v>617</v>
      </c>
      <c r="V246" s="61" t="s">
        <v>569</v>
      </c>
      <c r="W246" s="61" cm="1">
        <f t="array" ref="W246">getDistance(I246,J246,R246,S246)*SA!$B$12</f>
        <v>532.70082587978914</v>
      </c>
      <c r="Y246" s="137">
        <f>Transportation_LCIA!C$61*($W246^Transportation_LCIA!C$60)+Transportation_LCIA!C$62</f>
        <v>0.32157602463370416</v>
      </c>
      <c r="Z246" s="137">
        <f>Transportation_LCIA!D$61*($W246^Transportation_LCIA!D$60)+Transportation_LCIA!D$62</f>
        <v>3.4401752281760434</v>
      </c>
      <c r="AA246" s="137">
        <f>Transportation_LCIA!E$61*($W246^Transportation_LCIA!E$60)+Transportation_LCIA!E$62</f>
        <v>1.8141836341962153E-3</v>
      </c>
      <c r="AB246" s="137">
        <f>Transportation_LCIA!F$61*($W246^Transportation_LCIA!F$60)+Transportation_LCIA!F$62</f>
        <v>0.32157602463370416</v>
      </c>
      <c r="AC246" s="137">
        <f>Transportation_LCIA!G$61*($W246^Transportation_LCIA!G$60)+Transportation_LCIA!G$62</f>
        <v>8.0143040676289495E-2</v>
      </c>
      <c r="AD246" s="137">
        <f>Transportation_LCIA!H$61*($W246^Transportation_LCIA!H$60)+Transportation_LCIA!H$62</f>
        <v>4.2530075100495493E-4</v>
      </c>
      <c r="AE246" s="137">
        <f>Transportation_LCIA!I$61*($W246^Transportation_LCIA!I$60)+Transportation_LCIA!I$62</f>
        <v>9.7085338694522006E-6</v>
      </c>
      <c r="AF246" s="137">
        <f>Transportation_LCIA!J$61*($W246^Transportation_LCIA!J$60)+Transportation_LCIA!J$62</f>
        <v>1.4453429332288598E-2</v>
      </c>
      <c r="AG246" s="137">
        <f>Transportation_LCIA!K$61*($W246^Transportation_LCIA!K$60)+Transportation_LCIA!K$62</f>
        <v>1.7573386146825021E-2</v>
      </c>
      <c r="AH246" s="137">
        <f>Transportation_LCIA!L$61*($W246^Transportation_LCIA!L$60)+Transportation_LCIA!L$62</f>
        <v>3.7692466700234696E-4</v>
      </c>
      <c r="AI246" s="137">
        <f>Transportation_LCIA!M$61*($W246^Transportation_LCIA!M$60)+Transportation_LCIA!M$62</f>
        <v>3.2560324687594627E-4</v>
      </c>
      <c r="AJ246" s="137">
        <f>Transportation_LCIA!N$61*($W246^Transportation_LCIA!N$60)+Transportation_LCIA!N$62</f>
        <v>1.4886217992903391E-3</v>
      </c>
      <c r="AK246" s="137">
        <f>Transportation_LCIA!O$61*($W246^Transportation_LCIA!O$60)+Transportation_LCIA!O$62</f>
        <v>8.4836431112135085E-5</v>
      </c>
      <c r="AL246" s="137">
        <f>Transportation_LCIA!P$61*($W246^Transportation_LCIA!P$60)+Transportation_LCIA!P$62</f>
        <v>4.094417350036071E-8</v>
      </c>
      <c r="AM246" s="137">
        <f>Transportation_LCIA!Q$61*($W246^Transportation_LCIA!Q$60)+Transportation_LCIA!Q$62</f>
        <v>1.4864785211779024E-4</v>
      </c>
      <c r="AN246" s="137">
        <f>Transportation_LCIA!R$61*($W246^Transportation_LCIA!R$60)+Transportation_LCIA!R$62</f>
        <v>4.664545941177262E-4</v>
      </c>
      <c r="AO246" s="137">
        <f>Transportation_LCIA!S$61*($W246^Transportation_LCIA!S$60)+Transportation_LCIA!S$62</f>
        <v>6.8758863533443067E-6</v>
      </c>
      <c r="AP246" s="137">
        <f>Transportation_LCIA!T$61*($W246^Transportation_LCIA!T$60)+Transportation_LCIA!T$62</f>
        <v>6.8758863533443067E-6</v>
      </c>
      <c r="AQ246" s="137">
        <f>Transportation_LCIA!U$61*($W246^Transportation_LCIA!U$60)+Transportation_LCIA!U$62</f>
        <v>1.0106481886833722E-3</v>
      </c>
      <c r="AR246" s="137">
        <f>Transportation_LCIA!V$61*($W246^Transportation_LCIA!V$60)+Transportation_LCIA!V$62</f>
        <v>3.8699391574166265E-4</v>
      </c>
      <c r="AT246" s="137">
        <f>$W246*Y246+$L246*Summary_LCIA!H$32</f>
        <v>177.94826310551363</v>
      </c>
      <c r="AU246" s="137">
        <f>$W246*Z246+$L246*Summary_LCIA!Q$32</f>
        <v>1929.4947953874523</v>
      </c>
      <c r="AV246" s="137">
        <f>$W246*AA246+$L246*Summary_LCIA!R$32</f>
        <v>1.0693806626339211</v>
      </c>
      <c r="AW246" s="137">
        <f>$W246*AB246+$L246*Summary_LCIA!S$32</f>
        <v>177.86183442551362</v>
      </c>
      <c r="AX246" s="137">
        <f>$W246*AC246+$L246*Summary_LCIA!T$32</f>
        <v>44.841248556776947</v>
      </c>
      <c r="AY246" s="137">
        <f>$W246*AD246+$L246*Summary_LCIA!U$32</f>
        <v>0.57684841730763403</v>
      </c>
      <c r="AZ246" s="137">
        <f>$W246*AE246+$L246*Summary_LCIA!V$32</f>
        <v>6.1056626043390922E-3</v>
      </c>
      <c r="BA246" s="137">
        <f>$W246*AF246+$L246*Summary_LCIA!W$32</f>
        <v>9.2044446761053056</v>
      </c>
      <c r="BB246" s="137">
        <f>$W246*AG246+$L246*Summary_LCIA!X$32</f>
        <v>9.8067974339181347</v>
      </c>
      <c r="BC246" s="137">
        <f>$W246*AH246+$L246*Summary_LCIA!Y$32</f>
        <v>0.50547850940661465</v>
      </c>
      <c r="BD246" s="137">
        <f>$W246*AI246+$L246*Summary_LCIA!Z$32</f>
        <v>0.17425100850595746</v>
      </c>
      <c r="BE246" s="137">
        <f>$W246*AJ246+$L246*Summary_LCIA!AA$32</f>
        <v>1.2496932859046213</v>
      </c>
      <c r="BF246" s="137">
        <f>$W246*AK246+$L246*Summary_LCIA!AB$32</f>
        <v>4.47657099761282E-2</v>
      </c>
      <c r="BG246" s="137">
        <f>$W246*AL246+$L246*Summary_LCIA!AC$32</f>
        <v>2.2766872774607524E-5</v>
      </c>
      <c r="BH246" s="137">
        <f>$W246*AM246+$L246*Summary_LCIA!AD$32</f>
        <v>8.7222309748403629E-2</v>
      </c>
      <c r="BI246" s="137">
        <f>$W246*AN246+$L246*Summary_LCIA!AE$32</f>
        <v>0.26580813354193455</v>
      </c>
      <c r="BJ246" s="137">
        <f>$W246*AO246+$L246*Summary_LCIA!AF$32</f>
        <v>2.0194133019082083E-2</v>
      </c>
      <c r="BK246" s="137">
        <f>$W246*AP246+$L246*Summary_LCIA!AG$32</f>
        <v>4.6632707490820834E-3</v>
      </c>
      <c r="BL246" s="137">
        <f>$W246*AQ246+$L246*Summary_LCIA!AH$32</f>
        <v>0.70856331918554538</v>
      </c>
      <c r="BM246" s="137">
        <f>$W246*AR246+$L246*Summary_LCIA!AI$32</f>
        <v>0.22436750722603721</v>
      </c>
    </row>
    <row r="247" spans="1:65" x14ac:dyDescent="0.25">
      <c r="A247" s="149">
        <v>278</v>
      </c>
      <c r="B247" s="149">
        <v>43</v>
      </c>
      <c r="C247" s="61">
        <v>45.501688999999999</v>
      </c>
      <c r="D247" s="61">
        <v>-73.567256</v>
      </c>
      <c r="E247" s="61" t="s">
        <v>458</v>
      </c>
      <c r="F247" s="149">
        <v>124</v>
      </c>
      <c r="G247" s="61" t="s">
        <v>654</v>
      </c>
      <c r="H247" s="61" t="s">
        <v>655</v>
      </c>
      <c r="I247" s="61">
        <v>45.465685000000001</v>
      </c>
      <c r="J247" s="61">
        <v>-73.745480999999998</v>
      </c>
      <c r="K247" s="61">
        <v>15.92927869</v>
      </c>
      <c r="L247" s="61">
        <v>19.553999999999998</v>
      </c>
      <c r="M247" s="61" t="s">
        <v>617</v>
      </c>
      <c r="N247" s="149">
        <v>42</v>
      </c>
      <c r="O247" s="149">
        <v>43</v>
      </c>
      <c r="P247" s="61" t="s">
        <v>565</v>
      </c>
      <c r="Q247" s="61" t="s">
        <v>555</v>
      </c>
      <c r="R247" s="61">
        <v>40.6895314</v>
      </c>
      <c r="S247" s="61">
        <v>-74.174462399999996</v>
      </c>
      <c r="T247" s="61">
        <v>604.83699999999999</v>
      </c>
      <c r="U247" s="61" t="s">
        <v>617</v>
      </c>
      <c r="V247" s="61" t="s">
        <v>569</v>
      </c>
      <c r="W247" s="61" cm="1">
        <f t="array" ref="W247">getDistance(I247,J247,R247,S247)*SA!$B$12</f>
        <v>532.70082587978914</v>
      </c>
      <c r="Y247" s="137">
        <f>Transportation_LCIA!C$61*($W247^Transportation_LCIA!C$60)+Transportation_LCIA!C$62</f>
        <v>0.32157602463370416</v>
      </c>
      <c r="Z247" s="137">
        <f>Transportation_LCIA!D$61*($W247^Transportation_LCIA!D$60)+Transportation_LCIA!D$62</f>
        <v>3.4401752281760434</v>
      </c>
      <c r="AA247" s="137">
        <f>Transportation_LCIA!E$61*($W247^Transportation_LCIA!E$60)+Transportation_LCIA!E$62</f>
        <v>1.8141836341962153E-3</v>
      </c>
      <c r="AB247" s="137">
        <f>Transportation_LCIA!F$61*($W247^Transportation_LCIA!F$60)+Transportation_LCIA!F$62</f>
        <v>0.32157602463370416</v>
      </c>
      <c r="AC247" s="137">
        <f>Transportation_LCIA!G$61*($W247^Transportation_LCIA!G$60)+Transportation_LCIA!G$62</f>
        <v>8.0143040676289495E-2</v>
      </c>
      <c r="AD247" s="137">
        <f>Transportation_LCIA!H$61*($W247^Transportation_LCIA!H$60)+Transportation_LCIA!H$62</f>
        <v>4.2530075100495493E-4</v>
      </c>
      <c r="AE247" s="137">
        <f>Transportation_LCIA!I$61*($W247^Transportation_LCIA!I$60)+Transportation_LCIA!I$62</f>
        <v>9.7085338694522006E-6</v>
      </c>
      <c r="AF247" s="137">
        <f>Transportation_LCIA!J$61*($W247^Transportation_LCIA!J$60)+Transportation_LCIA!J$62</f>
        <v>1.4453429332288598E-2</v>
      </c>
      <c r="AG247" s="137">
        <f>Transportation_LCIA!K$61*($W247^Transportation_LCIA!K$60)+Transportation_LCIA!K$62</f>
        <v>1.7573386146825021E-2</v>
      </c>
      <c r="AH247" s="137">
        <f>Transportation_LCIA!L$61*($W247^Transportation_LCIA!L$60)+Transportation_LCIA!L$62</f>
        <v>3.7692466700234696E-4</v>
      </c>
      <c r="AI247" s="137">
        <f>Transportation_LCIA!M$61*($W247^Transportation_LCIA!M$60)+Transportation_LCIA!M$62</f>
        <v>3.2560324687594627E-4</v>
      </c>
      <c r="AJ247" s="137">
        <f>Transportation_LCIA!N$61*($W247^Transportation_LCIA!N$60)+Transportation_LCIA!N$62</f>
        <v>1.4886217992903391E-3</v>
      </c>
      <c r="AK247" s="137">
        <f>Transportation_LCIA!O$61*($W247^Transportation_LCIA!O$60)+Transportation_LCIA!O$62</f>
        <v>8.4836431112135085E-5</v>
      </c>
      <c r="AL247" s="137">
        <f>Transportation_LCIA!P$61*($W247^Transportation_LCIA!P$60)+Transportation_LCIA!P$62</f>
        <v>4.094417350036071E-8</v>
      </c>
      <c r="AM247" s="137">
        <f>Transportation_LCIA!Q$61*($W247^Transportation_LCIA!Q$60)+Transportation_LCIA!Q$62</f>
        <v>1.4864785211779024E-4</v>
      </c>
      <c r="AN247" s="137">
        <f>Transportation_LCIA!R$61*($W247^Transportation_LCIA!R$60)+Transportation_LCIA!R$62</f>
        <v>4.664545941177262E-4</v>
      </c>
      <c r="AO247" s="137">
        <f>Transportation_LCIA!S$61*($W247^Transportation_LCIA!S$60)+Transportation_LCIA!S$62</f>
        <v>6.8758863533443067E-6</v>
      </c>
      <c r="AP247" s="137">
        <f>Transportation_LCIA!T$61*($W247^Transportation_LCIA!T$60)+Transportation_LCIA!T$62</f>
        <v>6.8758863533443067E-6</v>
      </c>
      <c r="AQ247" s="137">
        <f>Transportation_LCIA!U$61*($W247^Transportation_LCIA!U$60)+Transportation_LCIA!U$62</f>
        <v>1.0106481886833722E-3</v>
      </c>
      <c r="AR247" s="137">
        <f>Transportation_LCIA!V$61*($W247^Transportation_LCIA!V$60)+Transportation_LCIA!V$62</f>
        <v>3.8699391574166265E-4</v>
      </c>
      <c r="AT247" s="137">
        <f>$W247*Y247+$L247*Summary_LCIA!H$32</f>
        <v>177.94826310551363</v>
      </c>
      <c r="AU247" s="137">
        <f>$W247*Z247+$L247*Summary_LCIA!Q$32</f>
        <v>1929.4947953874523</v>
      </c>
      <c r="AV247" s="137">
        <f>$W247*AA247+$L247*Summary_LCIA!R$32</f>
        <v>1.0693806626339211</v>
      </c>
      <c r="AW247" s="137">
        <f>$W247*AB247+$L247*Summary_LCIA!S$32</f>
        <v>177.86183442551362</v>
      </c>
      <c r="AX247" s="137">
        <f>$W247*AC247+$L247*Summary_LCIA!T$32</f>
        <v>44.841248556776947</v>
      </c>
      <c r="AY247" s="137">
        <f>$W247*AD247+$L247*Summary_LCIA!U$32</f>
        <v>0.57684841730763403</v>
      </c>
      <c r="AZ247" s="137">
        <f>$W247*AE247+$L247*Summary_LCIA!V$32</f>
        <v>6.1056626043390922E-3</v>
      </c>
      <c r="BA247" s="137">
        <f>$W247*AF247+$L247*Summary_LCIA!W$32</f>
        <v>9.2044446761053056</v>
      </c>
      <c r="BB247" s="137">
        <f>$W247*AG247+$L247*Summary_LCIA!X$32</f>
        <v>9.8067974339181347</v>
      </c>
      <c r="BC247" s="137">
        <f>$W247*AH247+$L247*Summary_LCIA!Y$32</f>
        <v>0.50547850940661465</v>
      </c>
      <c r="BD247" s="137">
        <f>$W247*AI247+$L247*Summary_LCIA!Z$32</f>
        <v>0.17425100850595746</v>
      </c>
      <c r="BE247" s="137">
        <f>$W247*AJ247+$L247*Summary_LCIA!AA$32</f>
        <v>1.2496932859046213</v>
      </c>
      <c r="BF247" s="137">
        <f>$W247*AK247+$L247*Summary_LCIA!AB$32</f>
        <v>4.47657099761282E-2</v>
      </c>
      <c r="BG247" s="137">
        <f>$W247*AL247+$L247*Summary_LCIA!AC$32</f>
        <v>2.2766872774607524E-5</v>
      </c>
      <c r="BH247" s="137">
        <f>$W247*AM247+$L247*Summary_LCIA!AD$32</f>
        <v>8.7222309748403629E-2</v>
      </c>
      <c r="BI247" s="137">
        <f>$W247*AN247+$L247*Summary_LCIA!AE$32</f>
        <v>0.26580813354193455</v>
      </c>
      <c r="BJ247" s="137">
        <f>$W247*AO247+$L247*Summary_LCIA!AF$32</f>
        <v>2.0194133019082083E-2</v>
      </c>
      <c r="BK247" s="137">
        <f>$W247*AP247+$L247*Summary_LCIA!AG$32</f>
        <v>4.6632707490820834E-3</v>
      </c>
      <c r="BL247" s="137">
        <f>$W247*AQ247+$L247*Summary_LCIA!AH$32</f>
        <v>0.70856331918554538</v>
      </c>
      <c r="BM247" s="137">
        <f>$W247*AR247+$L247*Summary_LCIA!AI$32</f>
        <v>0.22436750722603721</v>
      </c>
    </row>
    <row r="248" spans="1:65" x14ac:dyDescent="0.25">
      <c r="A248" s="149">
        <v>279</v>
      </c>
      <c r="B248" s="149">
        <v>43</v>
      </c>
      <c r="C248" s="61">
        <v>45.501688999999999</v>
      </c>
      <c r="D248" s="61">
        <v>-73.567256</v>
      </c>
      <c r="E248" s="61" t="s">
        <v>458</v>
      </c>
      <c r="F248" s="149">
        <v>124</v>
      </c>
      <c r="G248" s="61" t="s">
        <v>654</v>
      </c>
      <c r="H248" s="61" t="s">
        <v>655</v>
      </c>
      <c r="I248" s="61">
        <v>45.465685000000001</v>
      </c>
      <c r="J248" s="61">
        <v>-73.745480999999998</v>
      </c>
      <c r="K248" s="61">
        <v>15.92927869</v>
      </c>
      <c r="L248" s="61">
        <v>19.553999999999998</v>
      </c>
      <c r="M248" s="61" t="s">
        <v>617</v>
      </c>
      <c r="N248" s="149">
        <v>42</v>
      </c>
      <c r="O248" s="149">
        <v>43</v>
      </c>
      <c r="P248" s="61" t="s">
        <v>565</v>
      </c>
      <c r="Q248" s="61" t="s">
        <v>555</v>
      </c>
      <c r="R248" s="61">
        <v>40.6895314</v>
      </c>
      <c r="S248" s="61">
        <v>-74.174462399999996</v>
      </c>
      <c r="T248" s="61">
        <v>604.83699999999999</v>
      </c>
      <c r="U248" s="61" t="s">
        <v>617</v>
      </c>
      <c r="V248" s="61" t="s">
        <v>569</v>
      </c>
      <c r="W248" s="61" cm="1">
        <f t="array" ref="W248">getDistance(I248,J248,R248,S248)*SA!$B$12</f>
        <v>532.70082587978914</v>
      </c>
      <c r="Y248" s="137">
        <f>Transportation_LCIA!C$61*($W248^Transportation_LCIA!C$60)+Transportation_LCIA!C$62</f>
        <v>0.32157602463370416</v>
      </c>
      <c r="Z248" s="137">
        <f>Transportation_LCIA!D$61*($W248^Transportation_LCIA!D$60)+Transportation_LCIA!D$62</f>
        <v>3.4401752281760434</v>
      </c>
      <c r="AA248" s="137">
        <f>Transportation_LCIA!E$61*($W248^Transportation_LCIA!E$60)+Transportation_LCIA!E$62</f>
        <v>1.8141836341962153E-3</v>
      </c>
      <c r="AB248" s="137">
        <f>Transportation_LCIA!F$61*($W248^Transportation_LCIA!F$60)+Transportation_LCIA!F$62</f>
        <v>0.32157602463370416</v>
      </c>
      <c r="AC248" s="137">
        <f>Transportation_LCIA!G$61*($W248^Transportation_LCIA!G$60)+Transportation_LCIA!G$62</f>
        <v>8.0143040676289495E-2</v>
      </c>
      <c r="AD248" s="137">
        <f>Transportation_LCIA!H$61*($W248^Transportation_LCIA!H$60)+Transportation_LCIA!H$62</f>
        <v>4.2530075100495493E-4</v>
      </c>
      <c r="AE248" s="137">
        <f>Transportation_LCIA!I$61*($W248^Transportation_LCIA!I$60)+Transportation_LCIA!I$62</f>
        <v>9.7085338694522006E-6</v>
      </c>
      <c r="AF248" s="137">
        <f>Transportation_LCIA!J$61*($W248^Transportation_LCIA!J$60)+Transportation_LCIA!J$62</f>
        <v>1.4453429332288598E-2</v>
      </c>
      <c r="AG248" s="137">
        <f>Transportation_LCIA!K$61*($W248^Transportation_LCIA!K$60)+Transportation_LCIA!K$62</f>
        <v>1.7573386146825021E-2</v>
      </c>
      <c r="AH248" s="137">
        <f>Transportation_LCIA!L$61*($W248^Transportation_LCIA!L$60)+Transportation_LCIA!L$62</f>
        <v>3.7692466700234696E-4</v>
      </c>
      <c r="AI248" s="137">
        <f>Transportation_LCIA!M$61*($W248^Transportation_LCIA!M$60)+Transportation_LCIA!M$62</f>
        <v>3.2560324687594627E-4</v>
      </c>
      <c r="AJ248" s="137">
        <f>Transportation_LCIA!N$61*($W248^Transportation_LCIA!N$60)+Transportation_LCIA!N$62</f>
        <v>1.4886217992903391E-3</v>
      </c>
      <c r="AK248" s="137">
        <f>Transportation_LCIA!O$61*($W248^Transportation_LCIA!O$60)+Transportation_LCIA!O$62</f>
        <v>8.4836431112135085E-5</v>
      </c>
      <c r="AL248" s="137">
        <f>Transportation_LCIA!P$61*($W248^Transportation_LCIA!P$60)+Transportation_LCIA!P$62</f>
        <v>4.094417350036071E-8</v>
      </c>
      <c r="AM248" s="137">
        <f>Transportation_LCIA!Q$61*($W248^Transportation_LCIA!Q$60)+Transportation_LCIA!Q$62</f>
        <v>1.4864785211779024E-4</v>
      </c>
      <c r="AN248" s="137">
        <f>Transportation_LCIA!R$61*($W248^Transportation_LCIA!R$60)+Transportation_LCIA!R$62</f>
        <v>4.664545941177262E-4</v>
      </c>
      <c r="AO248" s="137">
        <f>Transportation_LCIA!S$61*($W248^Transportation_LCIA!S$60)+Transportation_LCIA!S$62</f>
        <v>6.8758863533443067E-6</v>
      </c>
      <c r="AP248" s="137">
        <f>Transportation_LCIA!T$61*($W248^Transportation_LCIA!T$60)+Transportation_LCIA!T$62</f>
        <v>6.8758863533443067E-6</v>
      </c>
      <c r="AQ248" s="137">
        <f>Transportation_LCIA!U$61*($W248^Transportation_LCIA!U$60)+Transportation_LCIA!U$62</f>
        <v>1.0106481886833722E-3</v>
      </c>
      <c r="AR248" s="137">
        <f>Transportation_LCIA!V$61*($W248^Transportation_LCIA!V$60)+Transportation_LCIA!V$62</f>
        <v>3.8699391574166265E-4</v>
      </c>
      <c r="AT248" s="137">
        <f>$W248*Y248+$L248*Summary_LCIA!H$32</f>
        <v>177.94826310551363</v>
      </c>
      <c r="AU248" s="137">
        <f>$W248*Z248+$L248*Summary_LCIA!Q$32</f>
        <v>1929.4947953874523</v>
      </c>
      <c r="AV248" s="137">
        <f>$W248*AA248+$L248*Summary_LCIA!R$32</f>
        <v>1.0693806626339211</v>
      </c>
      <c r="AW248" s="137">
        <f>$W248*AB248+$L248*Summary_LCIA!S$32</f>
        <v>177.86183442551362</v>
      </c>
      <c r="AX248" s="137">
        <f>$W248*AC248+$L248*Summary_LCIA!T$32</f>
        <v>44.841248556776947</v>
      </c>
      <c r="AY248" s="137">
        <f>$W248*AD248+$L248*Summary_LCIA!U$32</f>
        <v>0.57684841730763403</v>
      </c>
      <c r="AZ248" s="137">
        <f>$W248*AE248+$L248*Summary_LCIA!V$32</f>
        <v>6.1056626043390922E-3</v>
      </c>
      <c r="BA248" s="137">
        <f>$W248*AF248+$L248*Summary_LCIA!W$32</f>
        <v>9.2044446761053056</v>
      </c>
      <c r="BB248" s="137">
        <f>$W248*AG248+$L248*Summary_LCIA!X$32</f>
        <v>9.8067974339181347</v>
      </c>
      <c r="BC248" s="137">
        <f>$W248*AH248+$L248*Summary_LCIA!Y$32</f>
        <v>0.50547850940661465</v>
      </c>
      <c r="BD248" s="137">
        <f>$W248*AI248+$L248*Summary_LCIA!Z$32</f>
        <v>0.17425100850595746</v>
      </c>
      <c r="BE248" s="137">
        <f>$W248*AJ248+$L248*Summary_LCIA!AA$32</f>
        <v>1.2496932859046213</v>
      </c>
      <c r="BF248" s="137">
        <f>$W248*AK248+$L248*Summary_LCIA!AB$32</f>
        <v>4.47657099761282E-2</v>
      </c>
      <c r="BG248" s="137">
        <f>$W248*AL248+$L248*Summary_LCIA!AC$32</f>
        <v>2.2766872774607524E-5</v>
      </c>
      <c r="BH248" s="137">
        <f>$W248*AM248+$L248*Summary_LCIA!AD$32</f>
        <v>8.7222309748403629E-2</v>
      </c>
      <c r="BI248" s="137">
        <f>$W248*AN248+$L248*Summary_LCIA!AE$32</f>
        <v>0.26580813354193455</v>
      </c>
      <c r="BJ248" s="137">
        <f>$W248*AO248+$L248*Summary_LCIA!AF$32</f>
        <v>2.0194133019082083E-2</v>
      </c>
      <c r="BK248" s="137">
        <f>$W248*AP248+$L248*Summary_LCIA!AG$32</f>
        <v>4.6632707490820834E-3</v>
      </c>
      <c r="BL248" s="137">
        <f>$W248*AQ248+$L248*Summary_LCIA!AH$32</f>
        <v>0.70856331918554538</v>
      </c>
      <c r="BM248" s="137">
        <f>$W248*AR248+$L248*Summary_LCIA!AI$32</f>
        <v>0.22436750722603721</v>
      </c>
    </row>
    <row r="249" spans="1:65" x14ac:dyDescent="0.25">
      <c r="A249" s="149">
        <v>280</v>
      </c>
      <c r="B249" s="149">
        <v>43</v>
      </c>
      <c r="C249" s="61">
        <v>45.501688999999999</v>
      </c>
      <c r="D249" s="61">
        <v>-73.567256</v>
      </c>
      <c r="E249" s="61" t="s">
        <v>458</v>
      </c>
      <c r="F249" s="149">
        <v>124</v>
      </c>
      <c r="G249" s="61" t="s">
        <v>654</v>
      </c>
      <c r="H249" s="61" t="s">
        <v>655</v>
      </c>
      <c r="I249" s="61">
        <v>45.465685000000001</v>
      </c>
      <c r="J249" s="61">
        <v>-73.745480999999998</v>
      </c>
      <c r="K249" s="61">
        <v>15.92927869</v>
      </c>
      <c r="L249" s="61">
        <v>19.553999999999998</v>
      </c>
      <c r="M249" s="61" t="s">
        <v>617</v>
      </c>
      <c r="N249" s="149">
        <v>42</v>
      </c>
      <c r="O249" s="149">
        <v>43</v>
      </c>
      <c r="P249" s="61" t="s">
        <v>565</v>
      </c>
      <c r="Q249" s="61" t="s">
        <v>555</v>
      </c>
      <c r="R249" s="61">
        <v>40.6895314</v>
      </c>
      <c r="S249" s="61">
        <v>-74.174462399999996</v>
      </c>
      <c r="T249" s="61">
        <v>604.83699999999999</v>
      </c>
      <c r="U249" s="61" t="s">
        <v>617</v>
      </c>
      <c r="V249" s="61" t="s">
        <v>569</v>
      </c>
      <c r="W249" s="61" cm="1">
        <f t="array" ref="W249">getDistance(I249,J249,R249,S249)*SA!$B$12</f>
        <v>532.70082587978914</v>
      </c>
      <c r="Y249" s="137">
        <f>Transportation_LCIA!C$61*($W249^Transportation_LCIA!C$60)+Transportation_LCIA!C$62</f>
        <v>0.32157602463370416</v>
      </c>
      <c r="Z249" s="137">
        <f>Transportation_LCIA!D$61*($W249^Transportation_LCIA!D$60)+Transportation_LCIA!D$62</f>
        <v>3.4401752281760434</v>
      </c>
      <c r="AA249" s="137">
        <f>Transportation_LCIA!E$61*($W249^Transportation_LCIA!E$60)+Transportation_LCIA!E$62</f>
        <v>1.8141836341962153E-3</v>
      </c>
      <c r="AB249" s="137">
        <f>Transportation_LCIA!F$61*($W249^Transportation_LCIA!F$60)+Transportation_LCIA!F$62</f>
        <v>0.32157602463370416</v>
      </c>
      <c r="AC249" s="137">
        <f>Transportation_LCIA!G$61*($W249^Transportation_LCIA!G$60)+Transportation_LCIA!G$62</f>
        <v>8.0143040676289495E-2</v>
      </c>
      <c r="AD249" s="137">
        <f>Transportation_LCIA!H$61*($W249^Transportation_LCIA!H$60)+Transportation_LCIA!H$62</f>
        <v>4.2530075100495493E-4</v>
      </c>
      <c r="AE249" s="137">
        <f>Transportation_LCIA!I$61*($W249^Transportation_LCIA!I$60)+Transportation_LCIA!I$62</f>
        <v>9.7085338694522006E-6</v>
      </c>
      <c r="AF249" s="137">
        <f>Transportation_LCIA!J$61*($W249^Transportation_LCIA!J$60)+Transportation_LCIA!J$62</f>
        <v>1.4453429332288598E-2</v>
      </c>
      <c r="AG249" s="137">
        <f>Transportation_LCIA!K$61*($W249^Transportation_LCIA!K$60)+Transportation_LCIA!K$62</f>
        <v>1.7573386146825021E-2</v>
      </c>
      <c r="AH249" s="137">
        <f>Transportation_LCIA!L$61*($W249^Transportation_LCIA!L$60)+Transportation_LCIA!L$62</f>
        <v>3.7692466700234696E-4</v>
      </c>
      <c r="AI249" s="137">
        <f>Transportation_LCIA!M$61*($W249^Transportation_LCIA!M$60)+Transportation_LCIA!M$62</f>
        <v>3.2560324687594627E-4</v>
      </c>
      <c r="AJ249" s="137">
        <f>Transportation_LCIA!N$61*($W249^Transportation_LCIA!N$60)+Transportation_LCIA!N$62</f>
        <v>1.4886217992903391E-3</v>
      </c>
      <c r="AK249" s="137">
        <f>Transportation_LCIA!O$61*($W249^Transportation_LCIA!O$60)+Transportation_LCIA!O$62</f>
        <v>8.4836431112135085E-5</v>
      </c>
      <c r="AL249" s="137">
        <f>Transportation_LCIA!P$61*($W249^Transportation_LCIA!P$60)+Transportation_LCIA!P$62</f>
        <v>4.094417350036071E-8</v>
      </c>
      <c r="AM249" s="137">
        <f>Transportation_LCIA!Q$61*($W249^Transportation_LCIA!Q$60)+Transportation_LCIA!Q$62</f>
        <v>1.4864785211779024E-4</v>
      </c>
      <c r="AN249" s="137">
        <f>Transportation_LCIA!R$61*($W249^Transportation_LCIA!R$60)+Transportation_LCIA!R$62</f>
        <v>4.664545941177262E-4</v>
      </c>
      <c r="AO249" s="137">
        <f>Transportation_LCIA!S$61*($W249^Transportation_LCIA!S$60)+Transportation_LCIA!S$62</f>
        <v>6.8758863533443067E-6</v>
      </c>
      <c r="AP249" s="137">
        <f>Transportation_LCIA!T$61*($W249^Transportation_LCIA!T$60)+Transportation_LCIA!T$62</f>
        <v>6.8758863533443067E-6</v>
      </c>
      <c r="AQ249" s="137">
        <f>Transportation_LCIA!U$61*($W249^Transportation_LCIA!U$60)+Transportation_LCIA!U$62</f>
        <v>1.0106481886833722E-3</v>
      </c>
      <c r="AR249" s="137">
        <f>Transportation_LCIA!V$61*($W249^Transportation_LCIA!V$60)+Transportation_LCIA!V$62</f>
        <v>3.8699391574166265E-4</v>
      </c>
      <c r="AT249" s="137">
        <f>$W249*Y249+$L249*Summary_LCIA!H$32</f>
        <v>177.94826310551363</v>
      </c>
      <c r="AU249" s="137">
        <f>$W249*Z249+$L249*Summary_LCIA!Q$32</f>
        <v>1929.4947953874523</v>
      </c>
      <c r="AV249" s="137">
        <f>$W249*AA249+$L249*Summary_LCIA!R$32</f>
        <v>1.0693806626339211</v>
      </c>
      <c r="AW249" s="137">
        <f>$W249*AB249+$L249*Summary_LCIA!S$32</f>
        <v>177.86183442551362</v>
      </c>
      <c r="AX249" s="137">
        <f>$W249*AC249+$L249*Summary_LCIA!T$32</f>
        <v>44.841248556776947</v>
      </c>
      <c r="AY249" s="137">
        <f>$W249*AD249+$L249*Summary_LCIA!U$32</f>
        <v>0.57684841730763403</v>
      </c>
      <c r="AZ249" s="137">
        <f>$W249*AE249+$L249*Summary_LCIA!V$32</f>
        <v>6.1056626043390922E-3</v>
      </c>
      <c r="BA249" s="137">
        <f>$W249*AF249+$L249*Summary_LCIA!W$32</f>
        <v>9.2044446761053056</v>
      </c>
      <c r="BB249" s="137">
        <f>$W249*AG249+$L249*Summary_LCIA!X$32</f>
        <v>9.8067974339181347</v>
      </c>
      <c r="BC249" s="137">
        <f>$W249*AH249+$L249*Summary_LCIA!Y$32</f>
        <v>0.50547850940661465</v>
      </c>
      <c r="BD249" s="137">
        <f>$W249*AI249+$L249*Summary_LCIA!Z$32</f>
        <v>0.17425100850595746</v>
      </c>
      <c r="BE249" s="137">
        <f>$W249*AJ249+$L249*Summary_LCIA!AA$32</f>
        <v>1.2496932859046213</v>
      </c>
      <c r="BF249" s="137">
        <f>$W249*AK249+$L249*Summary_LCIA!AB$32</f>
        <v>4.47657099761282E-2</v>
      </c>
      <c r="BG249" s="137">
        <f>$W249*AL249+$L249*Summary_LCIA!AC$32</f>
        <v>2.2766872774607524E-5</v>
      </c>
      <c r="BH249" s="137">
        <f>$W249*AM249+$L249*Summary_LCIA!AD$32</f>
        <v>8.7222309748403629E-2</v>
      </c>
      <c r="BI249" s="137">
        <f>$W249*AN249+$L249*Summary_LCIA!AE$32</f>
        <v>0.26580813354193455</v>
      </c>
      <c r="BJ249" s="137">
        <f>$W249*AO249+$L249*Summary_LCIA!AF$32</f>
        <v>2.0194133019082083E-2</v>
      </c>
      <c r="BK249" s="137">
        <f>$W249*AP249+$L249*Summary_LCIA!AG$32</f>
        <v>4.6632707490820834E-3</v>
      </c>
      <c r="BL249" s="137">
        <f>$W249*AQ249+$L249*Summary_LCIA!AH$32</f>
        <v>0.70856331918554538</v>
      </c>
      <c r="BM249" s="137">
        <f>$W249*AR249+$L249*Summary_LCIA!AI$32</f>
        <v>0.22436750722603721</v>
      </c>
    </row>
    <row r="250" spans="1:65" x14ac:dyDescent="0.25">
      <c r="A250" s="149">
        <v>351</v>
      </c>
      <c r="B250" s="149">
        <v>6</v>
      </c>
      <c r="C250" s="61">
        <v>45.176614999999998</v>
      </c>
      <c r="D250" s="61">
        <v>-92.577832999999998</v>
      </c>
      <c r="E250" s="61" t="s">
        <v>265</v>
      </c>
      <c r="F250" s="149">
        <v>57</v>
      </c>
      <c r="G250" s="61" t="s">
        <v>565</v>
      </c>
      <c r="H250" s="61" t="s">
        <v>641</v>
      </c>
      <c r="I250" s="61">
        <v>44.884754999999998</v>
      </c>
      <c r="J250" s="61">
        <v>-93.222284999999999</v>
      </c>
      <c r="K250" s="61">
        <v>71.451382140000007</v>
      </c>
      <c r="L250" s="61">
        <v>80.105999999999995</v>
      </c>
      <c r="M250" s="61" t="s">
        <v>617</v>
      </c>
      <c r="N250" s="149">
        <v>5</v>
      </c>
      <c r="O250" s="149">
        <v>6</v>
      </c>
      <c r="P250" s="61" t="s">
        <v>565</v>
      </c>
      <c r="Q250" s="61" t="s">
        <v>564</v>
      </c>
      <c r="R250" s="61">
        <v>41.98028</v>
      </c>
      <c r="S250" s="61">
        <v>-87.908997900000003</v>
      </c>
      <c r="T250" s="61">
        <v>607.62</v>
      </c>
      <c r="U250" s="61" t="s">
        <v>617</v>
      </c>
      <c r="V250" s="61" t="s">
        <v>569</v>
      </c>
      <c r="W250" s="61" cm="1">
        <f t="array" ref="W250">getDistance(I250,J250,R250,S250)*SA!$B$12</f>
        <v>537.9238360294454</v>
      </c>
      <c r="Y250" s="137">
        <f>Transportation_LCIA!C$61*($W250^Transportation_LCIA!C$60)+Transportation_LCIA!C$62</f>
        <v>0.31986678213898079</v>
      </c>
      <c r="Z250" s="137">
        <f>Transportation_LCIA!D$61*($W250^Transportation_LCIA!D$60)+Transportation_LCIA!D$62</f>
        <v>3.4196837590581142</v>
      </c>
      <c r="AA250" s="137">
        <f>Transportation_LCIA!E$61*($W250^Transportation_LCIA!E$60)+Transportation_LCIA!E$62</f>
        <v>1.8006084167141755E-3</v>
      </c>
      <c r="AB250" s="137">
        <f>Transportation_LCIA!F$61*($W250^Transportation_LCIA!F$60)+Transportation_LCIA!F$62</f>
        <v>0.31986678213898079</v>
      </c>
      <c r="AC250" s="137">
        <f>Transportation_LCIA!G$61*($W250^Transportation_LCIA!G$60)+Transportation_LCIA!G$62</f>
        <v>7.9669699225259488E-2</v>
      </c>
      <c r="AD250" s="137">
        <f>Transportation_LCIA!H$61*($W250^Transportation_LCIA!H$60)+Transportation_LCIA!H$62</f>
        <v>4.2227087470452683E-4</v>
      </c>
      <c r="AE250" s="137">
        <f>Transportation_LCIA!I$61*($W250^Transportation_LCIA!I$60)+Transportation_LCIA!I$62</f>
        <v>9.6304021623867961E-6</v>
      </c>
      <c r="AF250" s="137">
        <f>Transportation_LCIA!J$61*($W250^Transportation_LCIA!J$60)+Transportation_LCIA!J$62</f>
        <v>1.4335225470337743E-2</v>
      </c>
      <c r="AG250" s="137">
        <f>Transportation_LCIA!K$61*($W250^Transportation_LCIA!K$60)+Transportation_LCIA!K$62</f>
        <v>1.7461378929992367E-2</v>
      </c>
      <c r="AH250" s="137">
        <f>Transportation_LCIA!L$61*($W250^Transportation_LCIA!L$60)+Transportation_LCIA!L$62</f>
        <v>3.741200211309115E-4</v>
      </c>
      <c r="AI250" s="137">
        <f>Transportation_LCIA!M$61*($W250^Transportation_LCIA!M$60)+Transportation_LCIA!M$62</f>
        <v>3.2392972305419126E-4</v>
      </c>
      <c r="AJ250" s="137">
        <f>Transportation_LCIA!N$61*($W250^Transportation_LCIA!N$60)+Transportation_LCIA!N$62</f>
        <v>1.4784543299395398E-3</v>
      </c>
      <c r="AK250" s="137">
        <f>Transportation_LCIA!O$61*($W250^Transportation_LCIA!O$60)+Transportation_LCIA!O$62</f>
        <v>8.4333072501823996E-5</v>
      </c>
      <c r="AL250" s="137">
        <f>Transportation_LCIA!P$61*($W250^Transportation_LCIA!P$60)+Transportation_LCIA!P$62</f>
        <v>4.0702648380323872E-8</v>
      </c>
      <c r="AM250" s="137">
        <f>Transportation_LCIA!Q$61*($W250^Transportation_LCIA!Q$60)+Transportation_LCIA!Q$62</f>
        <v>1.4754717709156823E-4</v>
      </c>
      <c r="AN250" s="137">
        <f>Transportation_LCIA!R$61*($W250^Transportation_LCIA!R$60)+Transportation_LCIA!R$62</f>
        <v>4.6270576693556009E-4</v>
      </c>
      <c r="AO250" s="137">
        <f>Transportation_LCIA!S$61*($W250^Transportation_LCIA!S$60)+Transportation_LCIA!S$62</f>
        <v>6.8227398697620497E-6</v>
      </c>
      <c r="AP250" s="137">
        <f>Transportation_LCIA!T$61*($W250^Transportation_LCIA!T$60)+Transportation_LCIA!T$62</f>
        <v>6.8227398697620497E-6</v>
      </c>
      <c r="AQ250" s="137">
        <f>Transportation_LCIA!U$61*($W250^Transportation_LCIA!U$60)+Transportation_LCIA!U$62</f>
        <v>1.002389311334221E-3</v>
      </c>
      <c r="AR250" s="137">
        <f>Transportation_LCIA!V$61*($W250^Transportation_LCIA!V$60)+Transportation_LCIA!V$62</f>
        <v>3.8411685160034487E-4</v>
      </c>
      <c r="AT250" s="137">
        <f>$W250*Y250+$L250*Summary_LCIA!H$32</f>
        <v>199.28398526659544</v>
      </c>
      <c r="AU250" s="137">
        <f>$W250*Z250+$L250*Summary_LCIA!Q$32</f>
        <v>2236.5387816660323</v>
      </c>
      <c r="AV250" s="137">
        <f>$W250*AA250+$L250*Summary_LCIA!R$32</f>
        <v>1.3903963403057955</v>
      </c>
      <c r="AW250" s="137">
        <f>$W250*AB250+$L250*Summary_LCIA!S$32</f>
        <v>198.92991674659544</v>
      </c>
      <c r="AX250" s="137">
        <f>$W250*AC250+$L250*Summary_LCIA!T$32</f>
        <v>51.659879622563714</v>
      </c>
      <c r="AY250" s="137">
        <f>$W250*AD250+$L250*Summary_LCIA!U$32</f>
        <v>1.6621684527645681</v>
      </c>
      <c r="AZ250" s="137">
        <f>$W250*AE250+$L250*Summary_LCIA!V$32</f>
        <v>9.0063655396973707E-3</v>
      </c>
      <c r="BA250" s="137">
        <f>$W250*AF250+$L250*Summary_LCIA!W$32</f>
        <v>13.877098401351088</v>
      </c>
      <c r="BB250" s="137">
        <f>$W250*AG250+$L250*Summary_LCIA!X$32</f>
        <v>11.217706616385227</v>
      </c>
      <c r="BC250" s="137">
        <f>$W250*AH250+$L250*Summary_LCIA!Y$32</f>
        <v>1.4494597689021571</v>
      </c>
      <c r="BD250" s="137">
        <f>$W250*AI250+$L250*Summary_LCIA!Z$32</f>
        <v>0.17753458618326642</v>
      </c>
      <c r="BE250" s="137">
        <f>$W250*AJ250+$L250*Summary_LCIA!AA$32</f>
        <v>2.6662515605554202</v>
      </c>
      <c r="BF250" s="137">
        <f>$W250*AK250+$L250*Summary_LCIA!AB$32</f>
        <v>4.3616616626330505E-2</v>
      </c>
      <c r="BG250" s="137">
        <f>$W250*AL250+$L250*Summary_LCIA!AC$32</f>
        <v>2.5810826457301509E-5</v>
      </c>
      <c r="BH250" s="137">
        <f>$W250*AM250+$L250*Summary_LCIA!AD$32</f>
        <v>0.11229591373641229</v>
      </c>
      <c r="BI250" s="137">
        <f>$W250*AN250+$L250*Summary_LCIA!AE$32</f>
        <v>0.31988479088292299</v>
      </c>
      <c r="BJ250" s="137">
        <f>$W250*AO250+$L250*Summary_LCIA!AF$32</f>
        <v>7.139332892297344E-2</v>
      </c>
      <c r="BK250" s="137">
        <f>$W250*AP250+$L250*Summary_LCIA!AG$32</f>
        <v>7.7687378929734404E-3</v>
      </c>
      <c r="BL250" s="137">
        <f>$W250*AQ250+$L250*Summary_LCIA!AH$32</f>
        <v>1.2364196851478182</v>
      </c>
      <c r="BM250" s="137">
        <f>$W250*AR250+$L250*Summary_LCIA!AI$32</f>
        <v>0.28124835459641073</v>
      </c>
    </row>
    <row r="251" spans="1:65" x14ac:dyDescent="0.25">
      <c r="A251" s="149">
        <v>193</v>
      </c>
      <c r="B251" s="149">
        <v>6</v>
      </c>
      <c r="C251" s="61">
        <v>41.09545</v>
      </c>
      <c r="D251" s="61">
        <v>-81.588757999999999</v>
      </c>
      <c r="E251" s="61" t="s">
        <v>265</v>
      </c>
      <c r="F251" s="149">
        <v>105</v>
      </c>
      <c r="G251" s="61" t="s">
        <v>276</v>
      </c>
      <c r="H251" s="61" t="s">
        <v>660</v>
      </c>
      <c r="I251" s="61">
        <v>41.405799000000002</v>
      </c>
      <c r="J251" s="61">
        <v>-81.853866999999994</v>
      </c>
      <c r="K251" s="61">
        <v>53.820187070000003</v>
      </c>
      <c r="L251" s="61">
        <v>60.753</v>
      </c>
      <c r="M251" s="61" t="s">
        <v>617</v>
      </c>
      <c r="N251" s="149">
        <v>5</v>
      </c>
      <c r="O251" s="149">
        <v>6</v>
      </c>
      <c r="P251" s="61" t="s">
        <v>565</v>
      </c>
      <c r="Q251" s="61" t="s">
        <v>564</v>
      </c>
      <c r="R251" s="61">
        <v>41.98028</v>
      </c>
      <c r="S251" s="61">
        <v>-87.908997900000003</v>
      </c>
      <c r="T251" s="61">
        <v>608.34900000000005</v>
      </c>
      <c r="U251" s="61" t="s">
        <v>617</v>
      </c>
      <c r="V251" s="61" t="s">
        <v>569</v>
      </c>
      <c r="W251" s="61" cm="1">
        <f t="array" ref="W251">getDistance(I251,J251,R251,S251)*SA!$B$12</f>
        <v>508.0035886560301</v>
      </c>
      <c r="Y251" s="137">
        <f>Transportation_LCIA!C$61*($W251^Transportation_LCIA!C$60)+Transportation_LCIA!C$62</f>
        <v>0.33009466965930534</v>
      </c>
      <c r="Z251" s="137">
        <f>Transportation_LCIA!D$61*($W251^Transportation_LCIA!D$60)+Transportation_LCIA!D$62</f>
        <v>3.5424297147150119</v>
      </c>
      <c r="AA251" s="137">
        <f>Transportation_LCIA!E$61*($W251^Transportation_LCIA!E$60)+Transportation_LCIA!E$62</f>
        <v>1.881949117619271E-3</v>
      </c>
      <c r="AB251" s="137">
        <f>Transportation_LCIA!F$61*($W251^Transportation_LCIA!F$60)+Transportation_LCIA!F$62</f>
        <v>0.33009466965930534</v>
      </c>
      <c r="AC251" s="137">
        <f>Transportation_LCIA!G$61*($W251^Transportation_LCIA!G$60)+Transportation_LCIA!G$62</f>
        <v>8.2504889928352365E-2</v>
      </c>
      <c r="AD251" s="137">
        <f>Transportation_LCIA!H$61*($W251^Transportation_LCIA!H$60)+Transportation_LCIA!H$62</f>
        <v>4.4043594058456003E-4</v>
      </c>
      <c r="AE251" s="137">
        <f>Transportation_LCIA!I$61*($W251^Transportation_LCIA!I$60)+Transportation_LCIA!I$62</f>
        <v>1.0099262763484922E-5</v>
      </c>
      <c r="AF251" s="137">
        <f>Transportation_LCIA!J$61*($W251^Transportation_LCIA!J$60)+Transportation_LCIA!J$62</f>
        <v>1.5044986830824957E-2</v>
      </c>
      <c r="AG251" s="137">
        <f>Transportation_LCIA!K$61*($W251^Transportation_LCIA!K$60)+Transportation_LCIA!K$62</f>
        <v>1.8132625491128557E-2</v>
      </c>
      <c r="AH251" s="137">
        <f>Transportation_LCIA!L$61*($W251^Transportation_LCIA!L$60)+Transportation_LCIA!L$62</f>
        <v>3.9093921727928455E-4</v>
      </c>
      <c r="AI251" s="137">
        <f>Transportation_LCIA!M$61*($W251^Transportation_LCIA!M$60)+Transportation_LCIA!M$62</f>
        <v>3.3396334311075232E-4</v>
      </c>
      <c r="AJ251" s="137">
        <f>Transportation_LCIA!N$61*($W251^Transportation_LCIA!N$60)+Transportation_LCIA!N$62</f>
        <v>1.5394070125787397E-3</v>
      </c>
      <c r="AK251" s="137">
        <f>Transportation_LCIA!O$61*($W251^Transportation_LCIA!O$60)+Transportation_LCIA!O$62</f>
        <v>8.7348144302915392E-5</v>
      </c>
      <c r="AL251" s="137">
        <f>Transportation_LCIA!P$61*($W251^Transportation_LCIA!P$60)+Transportation_LCIA!P$62</f>
        <v>4.2149249681484652E-8</v>
      </c>
      <c r="AM251" s="137">
        <f>Transportation_LCIA!Q$61*($W251^Transportation_LCIA!Q$60)+Transportation_LCIA!Q$62</f>
        <v>1.5414876345104929E-4</v>
      </c>
      <c r="AN251" s="137">
        <f>Transportation_LCIA!R$61*($W251^Transportation_LCIA!R$60)+Transportation_LCIA!R$62</f>
        <v>4.8520261212265276E-4</v>
      </c>
      <c r="AO251" s="137">
        <f>Transportation_LCIA!S$61*($W251^Transportation_LCIA!S$60)+Transportation_LCIA!S$62</f>
        <v>7.1416605098105525E-6</v>
      </c>
      <c r="AP251" s="137">
        <f>Transportation_LCIA!T$61*($W251^Transportation_LCIA!T$60)+Transportation_LCIA!T$62</f>
        <v>7.1416605098105525E-6</v>
      </c>
      <c r="AQ251" s="137">
        <f>Transportation_LCIA!U$61*($W251^Transportation_LCIA!U$60)+Transportation_LCIA!U$62</f>
        <v>1.0519598834212809E-3</v>
      </c>
      <c r="AR251" s="137">
        <f>Transportation_LCIA!V$61*($W251^Transportation_LCIA!V$60)+Transportation_LCIA!V$62</f>
        <v>4.0137597393638617E-4</v>
      </c>
      <c r="AT251" s="137">
        <f>$W251*Y251+$L251*Summary_LCIA!H$32</f>
        <v>188.3331461831539</v>
      </c>
      <c r="AU251" s="137">
        <f>$W251*Z251+$L251*Summary_LCIA!Q$32</f>
        <v>2100.661939593032</v>
      </c>
      <c r="AV251" s="137">
        <f>$W251*AA251+$L251*Summary_LCIA!R$32</f>
        <v>1.275937902218639</v>
      </c>
      <c r="AW251" s="137">
        <f>$W251*AB251+$L251*Summary_LCIA!S$32</f>
        <v>188.06461792315389</v>
      </c>
      <c r="AX251" s="137">
        <f>$W251*AC251+$L251*Summary_LCIA!T$32</f>
        <v>48.589534865273762</v>
      </c>
      <c r="AY251" s="137">
        <f>$W251*AD251+$L251*Summary_LCIA!U$32</f>
        <v>1.3120722803900504</v>
      </c>
      <c r="AZ251" s="137">
        <f>$W251*AE251+$L251*Summary_LCIA!V$32</f>
        <v>8.0320857596305559E-3</v>
      </c>
      <c r="BA251" s="137">
        <f>$W251*AF251+$L251*Summary_LCIA!W$32</f>
        <v>12.319126464341792</v>
      </c>
      <c r="BB251" s="137">
        <f>$W251*AG251+$L251*Summary_LCIA!X$32</f>
        <v>10.595392161249118</v>
      </c>
      <c r="BC251" s="137">
        <f>$W251*AH251+$L251*Summary_LCIA!Y$32</f>
        <v>1.145251771324256</v>
      </c>
      <c r="BD251" s="137">
        <f>$W251*AI251+$L251*Summary_LCIA!Z$32</f>
        <v>0.17214599655682725</v>
      </c>
      <c r="BE251" s="137">
        <f>$W251*AJ251+$L251*Summary_LCIA!AA$32</f>
        <v>2.2009713547922578</v>
      </c>
      <c r="BF251" s="137">
        <f>$W251*AK251+$L251*Summary_LCIA!AB$32</f>
        <v>4.3047358049325787E-2</v>
      </c>
      <c r="BG251" s="137">
        <f>$W251*AL251+$L251*Summary_LCIA!AC$32</f>
        <v>2.4381819749353236E-5</v>
      </c>
      <c r="BH251" s="137">
        <f>$W251*AM251+$L251*Summary_LCIA!AD$32</f>
        <v>0.10328003814002254</v>
      </c>
      <c r="BI251" s="137">
        <f>$W251*AN251+$L251*Summary_LCIA!AE$32</f>
        <v>0.30031972407358742</v>
      </c>
      <c r="BJ251" s="137">
        <f>$W251*AO251+$L251*Summary_LCIA!AF$32</f>
        <v>5.4989790427946821E-2</v>
      </c>
      <c r="BK251" s="137">
        <f>$W251*AP251+$L251*Summary_LCIA!AG$32</f>
        <v>6.7364164129468142E-3</v>
      </c>
      <c r="BL251" s="137">
        <f>$W251*AQ251+$L251*Summary_LCIA!AH$32</f>
        <v>1.0631692067001899</v>
      </c>
      <c r="BM251" s="137">
        <f>$W251*AR251+$L251*Summary_LCIA!AI$32</f>
        <v>0.26049489230999334</v>
      </c>
    </row>
    <row r="252" spans="1:65" x14ac:dyDescent="0.25">
      <c r="A252" s="149">
        <v>92</v>
      </c>
      <c r="B252" s="149">
        <v>43</v>
      </c>
      <c r="C252" s="61">
        <v>45.514125999999997</v>
      </c>
      <c r="D252" s="61">
        <v>-73.560551000000004</v>
      </c>
      <c r="E252" s="61" t="s">
        <v>458</v>
      </c>
      <c r="F252" s="149">
        <v>124</v>
      </c>
      <c r="G252" s="61" t="s">
        <v>654</v>
      </c>
      <c r="H252" s="61" t="s">
        <v>655</v>
      </c>
      <c r="I252" s="61">
        <v>45.465685000000001</v>
      </c>
      <c r="J252" s="61">
        <v>-73.745480999999998</v>
      </c>
      <c r="K252" s="61">
        <v>17.39246069</v>
      </c>
      <c r="L252" s="61">
        <v>21.344000000000001</v>
      </c>
      <c r="M252" s="61" t="s">
        <v>617</v>
      </c>
      <c r="N252" s="149">
        <v>42</v>
      </c>
      <c r="O252" s="149">
        <v>43</v>
      </c>
      <c r="P252" s="61" t="s">
        <v>565</v>
      </c>
      <c r="Q252" s="61" t="s">
        <v>555</v>
      </c>
      <c r="R252" s="61">
        <v>40.6895314</v>
      </c>
      <c r="S252" s="61">
        <v>-74.174462399999996</v>
      </c>
      <c r="T252" s="61">
        <v>609.423</v>
      </c>
      <c r="U252" s="61" t="s">
        <v>617</v>
      </c>
      <c r="V252" s="61" t="s">
        <v>569</v>
      </c>
      <c r="W252" s="61" cm="1">
        <f t="array" ref="W252">getDistance(I252,J252,R252,S252)*SA!$B$12</f>
        <v>532.70082587978914</v>
      </c>
      <c r="Y252" s="137">
        <f>Transportation_LCIA!C$61*($W252^Transportation_LCIA!C$60)+Transportation_LCIA!C$62</f>
        <v>0.32157602463370416</v>
      </c>
      <c r="Z252" s="137">
        <f>Transportation_LCIA!D$61*($W252^Transportation_LCIA!D$60)+Transportation_LCIA!D$62</f>
        <v>3.4401752281760434</v>
      </c>
      <c r="AA252" s="137">
        <f>Transportation_LCIA!E$61*($W252^Transportation_LCIA!E$60)+Transportation_LCIA!E$62</f>
        <v>1.8141836341962153E-3</v>
      </c>
      <c r="AB252" s="137">
        <f>Transportation_LCIA!F$61*($W252^Transportation_LCIA!F$60)+Transportation_LCIA!F$62</f>
        <v>0.32157602463370416</v>
      </c>
      <c r="AC252" s="137">
        <f>Transportation_LCIA!G$61*($W252^Transportation_LCIA!G$60)+Transportation_LCIA!G$62</f>
        <v>8.0143040676289495E-2</v>
      </c>
      <c r="AD252" s="137">
        <f>Transportation_LCIA!H$61*($W252^Transportation_LCIA!H$60)+Transportation_LCIA!H$62</f>
        <v>4.2530075100495493E-4</v>
      </c>
      <c r="AE252" s="137">
        <f>Transportation_LCIA!I$61*($W252^Transportation_LCIA!I$60)+Transportation_LCIA!I$62</f>
        <v>9.7085338694522006E-6</v>
      </c>
      <c r="AF252" s="137">
        <f>Transportation_LCIA!J$61*($W252^Transportation_LCIA!J$60)+Transportation_LCIA!J$62</f>
        <v>1.4453429332288598E-2</v>
      </c>
      <c r="AG252" s="137">
        <f>Transportation_LCIA!K$61*($W252^Transportation_LCIA!K$60)+Transportation_LCIA!K$62</f>
        <v>1.7573386146825021E-2</v>
      </c>
      <c r="AH252" s="137">
        <f>Transportation_LCIA!L$61*($W252^Transportation_LCIA!L$60)+Transportation_LCIA!L$62</f>
        <v>3.7692466700234696E-4</v>
      </c>
      <c r="AI252" s="137">
        <f>Transportation_LCIA!M$61*($W252^Transportation_LCIA!M$60)+Transportation_LCIA!M$62</f>
        <v>3.2560324687594627E-4</v>
      </c>
      <c r="AJ252" s="137">
        <f>Transportation_LCIA!N$61*($W252^Transportation_LCIA!N$60)+Transportation_LCIA!N$62</f>
        <v>1.4886217992903391E-3</v>
      </c>
      <c r="AK252" s="137">
        <f>Transportation_LCIA!O$61*($W252^Transportation_LCIA!O$60)+Transportation_LCIA!O$62</f>
        <v>8.4836431112135085E-5</v>
      </c>
      <c r="AL252" s="137">
        <f>Transportation_LCIA!P$61*($W252^Transportation_LCIA!P$60)+Transportation_LCIA!P$62</f>
        <v>4.094417350036071E-8</v>
      </c>
      <c r="AM252" s="137">
        <f>Transportation_LCIA!Q$61*($W252^Transportation_LCIA!Q$60)+Transportation_LCIA!Q$62</f>
        <v>1.4864785211779024E-4</v>
      </c>
      <c r="AN252" s="137">
        <f>Transportation_LCIA!R$61*($W252^Transportation_LCIA!R$60)+Transportation_LCIA!R$62</f>
        <v>4.664545941177262E-4</v>
      </c>
      <c r="AO252" s="137">
        <f>Transportation_LCIA!S$61*($W252^Transportation_LCIA!S$60)+Transportation_LCIA!S$62</f>
        <v>6.8758863533443067E-6</v>
      </c>
      <c r="AP252" s="137">
        <f>Transportation_LCIA!T$61*($W252^Transportation_LCIA!T$60)+Transportation_LCIA!T$62</f>
        <v>6.8758863533443067E-6</v>
      </c>
      <c r="AQ252" s="137">
        <f>Transportation_LCIA!U$61*($W252^Transportation_LCIA!U$60)+Transportation_LCIA!U$62</f>
        <v>1.0106481886833722E-3</v>
      </c>
      <c r="AR252" s="137">
        <f>Transportation_LCIA!V$61*($W252^Transportation_LCIA!V$60)+Transportation_LCIA!V$62</f>
        <v>3.8699391574166265E-4</v>
      </c>
      <c r="AT252" s="137">
        <f>$W252*Y252+$L252*Summary_LCIA!H$32</f>
        <v>178.55650510551362</v>
      </c>
      <c r="AU252" s="137">
        <f>$W252*Z252+$L252*Summary_LCIA!Q$32</f>
        <v>1938.3661256625223</v>
      </c>
      <c r="AV252" s="137">
        <f>$W252*AA252+$L252*Summary_LCIA!R$32</f>
        <v>1.0788060866339211</v>
      </c>
      <c r="AW252" s="137">
        <f>$W252*AB252+$L252*Summary_LCIA!S$32</f>
        <v>178.46216462551362</v>
      </c>
      <c r="AX252" s="137">
        <f>$W252*AC252+$L252*Summary_LCIA!T$32</f>
        <v>45.03796955677695</v>
      </c>
      <c r="AY252" s="137">
        <f>$W252*AD252+$L252*Summary_LCIA!U$32</f>
        <v>0.60891447730763404</v>
      </c>
      <c r="AZ252" s="137">
        <f>$W252*AE252+$L252*Summary_LCIA!V$32</f>
        <v>6.1911547943390918E-3</v>
      </c>
      <c r="BA252" s="137">
        <f>$W252*AF252+$L252*Summary_LCIA!W$32</f>
        <v>9.342222766105305</v>
      </c>
      <c r="BB252" s="137">
        <f>$W252*AG252+$L252*Summary_LCIA!X$32</f>
        <v>9.8475736339181346</v>
      </c>
      <c r="BC252" s="137">
        <f>$W252*AH252+$L252*Summary_LCIA!Y$32</f>
        <v>0.53337028940661479</v>
      </c>
      <c r="BD252" s="137">
        <f>$W252*AI252+$L252*Summary_LCIA!Z$32</f>
        <v>0.17432441461595746</v>
      </c>
      <c r="BE252" s="137">
        <f>$W252*AJ252+$L252*Summary_LCIA!AA$32</f>
        <v>1.2915005259046213</v>
      </c>
      <c r="BF252" s="137">
        <f>$W252*AK252+$L252*Summary_LCIA!AB$32</f>
        <v>4.4726646806128201E-2</v>
      </c>
      <c r="BG252" s="137">
        <f>$W252*AL252+$L252*Summary_LCIA!AC$32</f>
        <v>2.2854375134607526E-5</v>
      </c>
      <c r="BH252" s="137">
        <f>$W252*AM252+$L252*Summary_LCIA!AD$32</f>
        <v>8.7958071348403624E-2</v>
      </c>
      <c r="BI252" s="137">
        <f>$W252*AN252+$L252*Summary_LCIA!AE$32</f>
        <v>0.26739430624193461</v>
      </c>
      <c r="BJ252" s="137">
        <f>$W252*AO252+$L252*Summary_LCIA!AF$32</f>
        <v>2.1707434819082088E-2</v>
      </c>
      <c r="BK252" s="137">
        <f>$W252*AP252+$L252*Summary_LCIA!AG$32</f>
        <v>4.7548560990820837E-3</v>
      </c>
      <c r="BL252" s="137">
        <f>$W252*AQ252+$L252*Summary_LCIA!AH$32</f>
        <v>0.72414276318554538</v>
      </c>
      <c r="BM252" s="137">
        <f>$W252*AR252+$L252*Summary_LCIA!AI$32</f>
        <v>0.22603498172603723</v>
      </c>
    </row>
    <row r="253" spans="1:65" x14ac:dyDescent="0.25">
      <c r="A253" s="149">
        <v>58</v>
      </c>
      <c r="B253" s="149">
        <v>43</v>
      </c>
      <c r="C253" s="61">
        <v>45.504741000000003</v>
      </c>
      <c r="D253" s="61">
        <v>-73.614750999999998</v>
      </c>
      <c r="E253" s="61" t="s">
        <v>458</v>
      </c>
      <c r="F253" s="149">
        <v>124</v>
      </c>
      <c r="G253" s="61" t="s">
        <v>654</v>
      </c>
      <c r="H253" s="61" t="s">
        <v>655</v>
      </c>
      <c r="I253" s="61">
        <v>45.465685000000001</v>
      </c>
      <c r="J253" s="61">
        <v>-73.745480999999998</v>
      </c>
      <c r="K253" s="61">
        <v>12.713174800000001</v>
      </c>
      <c r="L253" s="61">
        <v>14.117000000000001</v>
      </c>
      <c r="M253" s="61" t="s">
        <v>617</v>
      </c>
      <c r="N253" s="149">
        <v>42</v>
      </c>
      <c r="O253" s="149">
        <v>43</v>
      </c>
      <c r="P253" s="61" t="s">
        <v>565</v>
      </c>
      <c r="Q253" s="61" t="s">
        <v>555</v>
      </c>
      <c r="R253" s="61">
        <v>40.6895314</v>
      </c>
      <c r="S253" s="61">
        <v>-74.174462399999996</v>
      </c>
      <c r="T253" s="61">
        <v>610.48800000000006</v>
      </c>
      <c r="U253" s="61" t="s">
        <v>617</v>
      </c>
      <c r="V253" s="61" t="s">
        <v>569</v>
      </c>
      <c r="W253" s="61" cm="1">
        <f t="array" ref="W253">getDistance(I253,J253,R253,S253)*SA!$B$12</f>
        <v>532.70082587978914</v>
      </c>
      <c r="Y253" s="137">
        <f>Transportation_LCIA!C$61*($W253^Transportation_LCIA!C$60)+Transportation_LCIA!C$62</f>
        <v>0.32157602463370416</v>
      </c>
      <c r="Z253" s="137">
        <f>Transportation_LCIA!D$61*($W253^Transportation_LCIA!D$60)+Transportation_LCIA!D$62</f>
        <v>3.4401752281760434</v>
      </c>
      <c r="AA253" s="137">
        <f>Transportation_LCIA!E$61*($W253^Transportation_LCIA!E$60)+Transportation_LCIA!E$62</f>
        <v>1.8141836341962153E-3</v>
      </c>
      <c r="AB253" s="137">
        <f>Transportation_LCIA!F$61*($W253^Transportation_LCIA!F$60)+Transportation_LCIA!F$62</f>
        <v>0.32157602463370416</v>
      </c>
      <c r="AC253" s="137">
        <f>Transportation_LCIA!G$61*($W253^Transportation_LCIA!G$60)+Transportation_LCIA!G$62</f>
        <v>8.0143040676289495E-2</v>
      </c>
      <c r="AD253" s="137">
        <f>Transportation_LCIA!H$61*($W253^Transportation_LCIA!H$60)+Transportation_LCIA!H$62</f>
        <v>4.2530075100495493E-4</v>
      </c>
      <c r="AE253" s="137">
        <f>Transportation_LCIA!I$61*($W253^Transportation_LCIA!I$60)+Transportation_LCIA!I$62</f>
        <v>9.7085338694522006E-6</v>
      </c>
      <c r="AF253" s="137">
        <f>Transportation_LCIA!J$61*($W253^Transportation_LCIA!J$60)+Transportation_LCIA!J$62</f>
        <v>1.4453429332288598E-2</v>
      </c>
      <c r="AG253" s="137">
        <f>Transportation_LCIA!K$61*($W253^Transportation_LCIA!K$60)+Transportation_LCIA!K$62</f>
        <v>1.7573386146825021E-2</v>
      </c>
      <c r="AH253" s="137">
        <f>Transportation_LCIA!L$61*($W253^Transportation_LCIA!L$60)+Transportation_LCIA!L$62</f>
        <v>3.7692466700234696E-4</v>
      </c>
      <c r="AI253" s="137">
        <f>Transportation_LCIA!M$61*($W253^Transportation_LCIA!M$60)+Transportation_LCIA!M$62</f>
        <v>3.2560324687594627E-4</v>
      </c>
      <c r="AJ253" s="137">
        <f>Transportation_LCIA!N$61*($W253^Transportation_LCIA!N$60)+Transportation_LCIA!N$62</f>
        <v>1.4886217992903391E-3</v>
      </c>
      <c r="AK253" s="137">
        <f>Transportation_LCIA!O$61*($W253^Transportation_LCIA!O$60)+Transportation_LCIA!O$62</f>
        <v>8.4836431112135085E-5</v>
      </c>
      <c r="AL253" s="137">
        <f>Transportation_LCIA!P$61*($W253^Transportation_LCIA!P$60)+Transportation_LCIA!P$62</f>
        <v>4.094417350036071E-8</v>
      </c>
      <c r="AM253" s="137">
        <f>Transportation_LCIA!Q$61*($W253^Transportation_LCIA!Q$60)+Transportation_LCIA!Q$62</f>
        <v>1.4864785211779024E-4</v>
      </c>
      <c r="AN253" s="137">
        <f>Transportation_LCIA!R$61*($W253^Transportation_LCIA!R$60)+Transportation_LCIA!R$62</f>
        <v>4.664545941177262E-4</v>
      </c>
      <c r="AO253" s="137">
        <f>Transportation_LCIA!S$61*($W253^Transportation_LCIA!S$60)+Transportation_LCIA!S$62</f>
        <v>6.8758863533443067E-6</v>
      </c>
      <c r="AP253" s="137">
        <f>Transportation_LCIA!T$61*($W253^Transportation_LCIA!T$60)+Transportation_LCIA!T$62</f>
        <v>6.8758863533443067E-6</v>
      </c>
      <c r="AQ253" s="137">
        <f>Transportation_LCIA!U$61*($W253^Transportation_LCIA!U$60)+Transportation_LCIA!U$62</f>
        <v>1.0106481886833722E-3</v>
      </c>
      <c r="AR253" s="137">
        <f>Transportation_LCIA!V$61*($W253^Transportation_LCIA!V$60)+Transportation_LCIA!V$62</f>
        <v>3.8699391574166265E-4</v>
      </c>
      <c r="AT253" s="137">
        <f>$W253*Y253+$L253*Summary_LCIA!H$32</f>
        <v>176.10077050551362</v>
      </c>
      <c r="AU253" s="137">
        <f>$W253*Z253+$L253*Summary_LCIA!Q$32</f>
        <v>1902.5487491832314</v>
      </c>
      <c r="AV253" s="137">
        <f>$W253*AA253+$L253*Summary_LCIA!R$32</f>
        <v>1.040751595433921</v>
      </c>
      <c r="AW253" s="137">
        <f>$W253*AB253+$L253*Summary_LCIA!S$32</f>
        <v>176.03837336551365</v>
      </c>
      <c r="AX253" s="137">
        <f>$W253*AC253+$L253*Summary_LCIA!T$32</f>
        <v>44.243722256776948</v>
      </c>
      <c r="AY253" s="137">
        <f>$W253*AD253+$L253*Summary_LCIA!U$32</f>
        <v>0.47944999930763404</v>
      </c>
      <c r="AZ253" s="137">
        <f>$W253*AE253+$L253*Summary_LCIA!V$32</f>
        <v>5.8459860473390919E-3</v>
      </c>
      <c r="BA253" s="137">
        <f>$W253*AF253+$L253*Summary_LCIA!W$32</f>
        <v>8.7859533491053057</v>
      </c>
      <c r="BB253" s="137">
        <f>$W253*AG253+$L253*Summary_LCIA!X$32</f>
        <v>9.682942573918135</v>
      </c>
      <c r="BC253" s="137">
        <f>$W253*AH253+$L253*Summary_LCIA!Y$32</f>
        <v>0.42075917540661473</v>
      </c>
      <c r="BD253" s="137">
        <f>$W253*AI253+$L253*Summary_LCIA!Z$32</f>
        <v>0.17402804257295745</v>
      </c>
      <c r="BE253" s="137">
        <f>$W253*AJ253+$L253*Summary_LCIA!AA$32</f>
        <v>1.1227067139046212</v>
      </c>
      <c r="BF253" s="137">
        <f>$W253*AK253+$L253*Summary_LCIA!AB$32</f>
        <v>4.4884361627128201E-2</v>
      </c>
      <c r="BG253" s="137">
        <f>$W253*AL253+$L253*Summary_LCIA!AC$32</f>
        <v>2.2501090466607526E-5</v>
      </c>
      <c r="BH253" s="137">
        <f>$W253*AM253+$L253*Summary_LCIA!AD$32</f>
        <v>8.4987485268403634E-2</v>
      </c>
      <c r="BI253" s="137">
        <f>$W253*AN253+$L253*Summary_LCIA!AE$32</f>
        <v>0.26099024473193461</v>
      </c>
      <c r="BJ253" s="137">
        <f>$W253*AO253+$L253*Summary_LCIA!AF$32</f>
        <v>1.5597584479082084E-2</v>
      </c>
      <c r="BK253" s="137">
        <f>$W253*AP253+$L253*Summary_LCIA!AG$32</f>
        <v>4.3850866440820835E-3</v>
      </c>
      <c r="BL253" s="137">
        <f>$W253*AQ253+$L253*Summary_LCIA!AH$32</f>
        <v>0.66124184598554536</v>
      </c>
      <c r="BM253" s="137">
        <f>$W253*AR253+$L253*Summary_LCIA!AI$32</f>
        <v>0.21930266987603722</v>
      </c>
    </row>
    <row r="254" spans="1:65" x14ac:dyDescent="0.25">
      <c r="A254" s="149">
        <v>59</v>
      </c>
      <c r="B254" s="149">
        <v>43</v>
      </c>
      <c r="C254" s="61">
        <v>45.504741000000003</v>
      </c>
      <c r="D254" s="61">
        <v>-73.614750999999998</v>
      </c>
      <c r="E254" s="61" t="s">
        <v>458</v>
      </c>
      <c r="F254" s="149">
        <v>124</v>
      </c>
      <c r="G254" s="61" t="s">
        <v>654</v>
      </c>
      <c r="H254" s="61" t="s">
        <v>655</v>
      </c>
      <c r="I254" s="61">
        <v>45.465685000000001</v>
      </c>
      <c r="J254" s="61">
        <v>-73.745480999999998</v>
      </c>
      <c r="K254" s="61">
        <v>12.713174800000001</v>
      </c>
      <c r="L254" s="61">
        <v>14.117000000000001</v>
      </c>
      <c r="M254" s="61" t="s">
        <v>617</v>
      </c>
      <c r="N254" s="149">
        <v>42</v>
      </c>
      <c r="O254" s="149">
        <v>43</v>
      </c>
      <c r="P254" s="61" t="s">
        <v>565</v>
      </c>
      <c r="Q254" s="61" t="s">
        <v>555</v>
      </c>
      <c r="R254" s="61">
        <v>40.6895314</v>
      </c>
      <c r="S254" s="61">
        <v>-74.174462399999996</v>
      </c>
      <c r="T254" s="61">
        <v>610.48800000000006</v>
      </c>
      <c r="U254" s="61" t="s">
        <v>617</v>
      </c>
      <c r="V254" s="61" t="s">
        <v>569</v>
      </c>
      <c r="W254" s="61" cm="1">
        <f t="array" ref="W254">getDistance(I254,J254,R254,S254)*SA!$B$12</f>
        <v>532.70082587978914</v>
      </c>
      <c r="Y254" s="137">
        <f>Transportation_LCIA!C$61*($W254^Transportation_LCIA!C$60)+Transportation_LCIA!C$62</f>
        <v>0.32157602463370416</v>
      </c>
      <c r="Z254" s="137">
        <f>Transportation_LCIA!D$61*($W254^Transportation_LCIA!D$60)+Transportation_LCIA!D$62</f>
        <v>3.4401752281760434</v>
      </c>
      <c r="AA254" s="137">
        <f>Transportation_LCIA!E$61*($W254^Transportation_LCIA!E$60)+Transportation_LCIA!E$62</f>
        <v>1.8141836341962153E-3</v>
      </c>
      <c r="AB254" s="137">
        <f>Transportation_LCIA!F$61*($W254^Transportation_LCIA!F$60)+Transportation_LCIA!F$62</f>
        <v>0.32157602463370416</v>
      </c>
      <c r="AC254" s="137">
        <f>Transportation_LCIA!G$61*($W254^Transportation_LCIA!G$60)+Transportation_LCIA!G$62</f>
        <v>8.0143040676289495E-2</v>
      </c>
      <c r="AD254" s="137">
        <f>Transportation_LCIA!H$61*($W254^Transportation_LCIA!H$60)+Transportation_LCIA!H$62</f>
        <v>4.2530075100495493E-4</v>
      </c>
      <c r="AE254" s="137">
        <f>Transportation_LCIA!I$61*($W254^Transportation_LCIA!I$60)+Transportation_LCIA!I$62</f>
        <v>9.7085338694522006E-6</v>
      </c>
      <c r="AF254" s="137">
        <f>Transportation_LCIA!J$61*($W254^Transportation_LCIA!J$60)+Transportation_LCIA!J$62</f>
        <v>1.4453429332288598E-2</v>
      </c>
      <c r="AG254" s="137">
        <f>Transportation_LCIA!K$61*($W254^Transportation_LCIA!K$60)+Transportation_LCIA!K$62</f>
        <v>1.7573386146825021E-2</v>
      </c>
      <c r="AH254" s="137">
        <f>Transportation_LCIA!L$61*($W254^Transportation_LCIA!L$60)+Transportation_LCIA!L$62</f>
        <v>3.7692466700234696E-4</v>
      </c>
      <c r="AI254" s="137">
        <f>Transportation_LCIA!M$61*($W254^Transportation_LCIA!M$60)+Transportation_LCIA!M$62</f>
        <v>3.2560324687594627E-4</v>
      </c>
      <c r="AJ254" s="137">
        <f>Transportation_LCIA!N$61*($W254^Transportation_LCIA!N$60)+Transportation_LCIA!N$62</f>
        <v>1.4886217992903391E-3</v>
      </c>
      <c r="AK254" s="137">
        <f>Transportation_LCIA!O$61*($W254^Transportation_LCIA!O$60)+Transportation_LCIA!O$62</f>
        <v>8.4836431112135085E-5</v>
      </c>
      <c r="AL254" s="137">
        <f>Transportation_LCIA!P$61*($W254^Transportation_LCIA!P$60)+Transportation_LCIA!P$62</f>
        <v>4.094417350036071E-8</v>
      </c>
      <c r="AM254" s="137">
        <f>Transportation_LCIA!Q$61*($W254^Transportation_LCIA!Q$60)+Transportation_LCIA!Q$62</f>
        <v>1.4864785211779024E-4</v>
      </c>
      <c r="AN254" s="137">
        <f>Transportation_LCIA!R$61*($W254^Transportation_LCIA!R$60)+Transportation_LCIA!R$62</f>
        <v>4.664545941177262E-4</v>
      </c>
      <c r="AO254" s="137">
        <f>Transportation_LCIA!S$61*($W254^Transportation_LCIA!S$60)+Transportation_LCIA!S$62</f>
        <v>6.8758863533443067E-6</v>
      </c>
      <c r="AP254" s="137">
        <f>Transportation_LCIA!T$61*($W254^Transportation_LCIA!T$60)+Transportation_LCIA!T$62</f>
        <v>6.8758863533443067E-6</v>
      </c>
      <c r="AQ254" s="137">
        <f>Transportation_LCIA!U$61*($W254^Transportation_LCIA!U$60)+Transportation_LCIA!U$62</f>
        <v>1.0106481886833722E-3</v>
      </c>
      <c r="AR254" s="137">
        <f>Transportation_LCIA!V$61*($W254^Transportation_LCIA!V$60)+Transportation_LCIA!V$62</f>
        <v>3.8699391574166265E-4</v>
      </c>
      <c r="AT254" s="137">
        <f>$W254*Y254+$L254*Summary_LCIA!H$32</f>
        <v>176.10077050551362</v>
      </c>
      <c r="AU254" s="137">
        <f>$W254*Z254+$L254*Summary_LCIA!Q$32</f>
        <v>1902.5487491832314</v>
      </c>
      <c r="AV254" s="137">
        <f>$W254*AA254+$L254*Summary_LCIA!R$32</f>
        <v>1.040751595433921</v>
      </c>
      <c r="AW254" s="137">
        <f>$W254*AB254+$L254*Summary_LCIA!S$32</f>
        <v>176.03837336551365</v>
      </c>
      <c r="AX254" s="137">
        <f>$W254*AC254+$L254*Summary_LCIA!T$32</f>
        <v>44.243722256776948</v>
      </c>
      <c r="AY254" s="137">
        <f>$W254*AD254+$L254*Summary_LCIA!U$32</f>
        <v>0.47944999930763404</v>
      </c>
      <c r="AZ254" s="137">
        <f>$W254*AE254+$L254*Summary_LCIA!V$32</f>
        <v>5.8459860473390919E-3</v>
      </c>
      <c r="BA254" s="137">
        <f>$W254*AF254+$L254*Summary_LCIA!W$32</f>
        <v>8.7859533491053057</v>
      </c>
      <c r="BB254" s="137">
        <f>$W254*AG254+$L254*Summary_LCIA!X$32</f>
        <v>9.682942573918135</v>
      </c>
      <c r="BC254" s="137">
        <f>$W254*AH254+$L254*Summary_LCIA!Y$32</f>
        <v>0.42075917540661473</v>
      </c>
      <c r="BD254" s="137">
        <f>$W254*AI254+$L254*Summary_LCIA!Z$32</f>
        <v>0.17402804257295745</v>
      </c>
      <c r="BE254" s="137">
        <f>$W254*AJ254+$L254*Summary_LCIA!AA$32</f>
        <v>1.1227067139046212</v>
      </c>
      <c r="BF254" s="137">
        <f>$W254*AK254+$L254*Summary_LCIA!AB$32</f>
        <v>4.4884361627128201E-2</v>
      </c>
      <c r="BG254" s="137">
        <f>$W254*AL254+$L254*Summary_LCIA!AC$32</f>
        <v>2.2501090466607526E-5</v>
      </c>
      <c r="BH254" s="137">
        <f>$W254*AM254+$L254*Summary_LCIA!AD$32</f>
        <v>8.4987485268403634E-2</v>
      </c>
      <c r="BI254" s="137">
        <f>$W254*AN254+$L254*Summary_LCIA!AE$32</f>
        <v>0.26099024473193461</v>
      </c>
      <c r="BJ254" s="137">
        <f>$W254*AO254+$L254*Summary_LCIA!AF$32</f>
        <v>1.5597584479082084E-2</v>
      </c>
      <c r="BK254" s="137">
        <f>$W254*AP254+$L254*Summary_LCIA!AG$32</f>
        <v>4.3850866440820835E-3</v>
      </c>
      <c r="BL254" s="137">
        <f>$W254*AQ254+$L254*Summary_LCIA!AH$32</f>
        <v>0.66124184598554536</v>
      </c>
      <c r="BM254" s="137">
        <f>$W254*AR254+$L254*Summary_LCIA!AI$32</f>
        <v>0.21930266987603722</v>
      </c>
    </row>
    <row r="255" spans="1:65" x14ac:dyDescent="0.25">
      <c r="A255" s="149">
        <v>60</v>
      </c>
      <c r="B255" s="149">
        <v>43</v>
      </c>
      <c r="C255" s="61">
        <v>45.504741000000003</v>
      </c>
      <c r="D255" s="61">
        <v>-73.614750999999998</v>
      </c>
      <c r="E255" s="61" t="s">
        <v>458</v>
      </c>
      <c r="F255" s="149">
        <v>124</v>
      </c>
      <c r="G255" s="61" t="s">
        <v>654</v>
      </c>
      <c r="H255" s="61" t="s">
        <v>655</v>
      </c>
      <c r="I255" s="61">
        <v>45.465685000000001</v>
      </c>
      <c r="J255" s="61">
        <v>-73.745480999999998</v>
      </c>
      <c r="K255" s="61">
        <v>12.713174800000001</v>
      </c>
      <c r="L255" s="61">
        <v>14.117000000000001</v>
      </c>
      <c r="M255" s="61" t="s">
        <v>617</v>
      </c>
      <c r="N255" s="149">
        <v>42</v>
      </c>
      <c r="O255" s="149">
        <v>43</v>
      </c>
      <c r="P255" s="61" t="s">
        <v>565</v>
      </c>
      <c r="Q255" s="61" t="s">
        <v>555</v>
      </c>
      <c r="R255" s="61">
        <v>40.6895314</v>
      </c>
      <c r="S255" s="61">
        <v>-74.174462399999996</v>
      </c>
      <c r="T255" s="61">
        <v>610.48800000000006</v>
      </c>
      <c r="U255" s="61" t="s">
        <v>617</v>
      </c>
      <c r="V255" s="61" t="s">
        <v>569</v>
      </c>
      <c r="W255" s="61" cm="1">
        <f t="array" ref="W255">getDistance(I255,J255,R255,S255)*SA!$B$12</f>
        <v>532.70082587978914</v>
      </c>
      <c r="Y255" s="137">
        <f>Transportation_LCIA!C$61*($W255^Transportation_LCIA!C$60)+Transportation_LCIA!C$62</f>
        <v>0.32157602463370416</v>
      </c>
      <c r="Z255" s="137">
        <f>Transportation_LCIA!D$61*($W255^Transportation_LCIA!D$60)+Transportation_LCIA!D$62</f>
        <v>3.4401752281760434</v>
      </c>
      <c r="AA255" s="137">
        <f>Transportation_LCIA!E$61*($W255^Transportation_LCIA!E$60)+Transportation_LCIA!E$62</f>
        <v>1.8141836341962153E-3</v>
      </c>
      <c r="AB255" s="137">
        <f>Transportation_LCIA!F$61*($W255^Transportation_LCIA!F$60)+Transportation_LCIA!F$62</f>
        <v>0.32157602463370416</v>
      </c>
      <c r="AC255" s="137">
        <f>Transportation_LCIA!G$61*($W255^Transportation_LCIA!G$60)+Transportation_LCIA!G$62</f>
        <v>8.0143040676289495E-2</v>
      </c>
      <c r="AD255" s="137">
        <f>Transportation_LCIA!H$61*($W255^Transportation_LCIA!H$60)+Transportation_LCIA!H$62</f>
        <v>4.2530075100495493E-4</v>
      </c>
      <c r="AE255" s="137">
        <f>Transportation_LCIA!I$61*($W255^Transportation_LCIA!I$60)+Transportation_LCIA!I$62</f>
        <v>9.7085338694522006E-6</v>
      </c>
      <c r="AF255" s="137">
        <f>Transportation_LCIA!J$61*($W255^Transportation_LCIA!J$60)+Transportation_LCIA!J$62</f>
        <v>1.4453429332288598E-2</v>
      </c>
      <c r="AG255" s="137">
        <f>Transportation_LCIA!K$61*($W255^Transportation_LCIA!K$60)+Transportation_LCIA!K$62</f>
        <v>1.7573386146825021E-2</v>
      </c>
      <c r="AH255" s="137">
        <f>Transportation_LCIA!L$61*($W255^Transportation_LCIA!L$60)+Transportation_LCIA!L$62</f>
        <v>3.7692466700234696E-4</v>
      </c>
      <c r="AI255" s="137">
        <f>Transportation_LCIA!M$61*($W255^Transportation_LCIA!M$60)+Transportation_LCIA!M$62</f>
        <v>3.2560324687594627E-4</v>
      </c>
      <c r="AJ255" s="137">
        <f>Transportation_LCIA!N$61*($W255^Transportation_LCIA!N$60)+Transportation_LCIA!N$62</f>
        <v>1.4886217992903391E-3</v>
      </c>
      <c r="AK255" s="137">
        <f>Transportation_LCIA!O$61*($W255^Transportation_LCIA!O$60)+Transportation_LCIA!O$62</f>
        <v>8.4836431112135085E-5</v>
      </c>
      <c r="AL255" s="137">
        <f>Transportation_LCIA!P$61*($W255^Transportation_LCIA!P$60)+Transportation_LCIA!P$62</f>
        <v>4.094417350036071E-8</v>
      </c>
      <c r="AM255" s="137">
        <f>Transportation_LCIA!Q$61*($W255^Transportation_LCIA!Q$60)+Transportation_LCIA!Q$62</f>
        <v>1.4864785211779024E-4</v>
      </c>
      <c r="AN255" s="137">
        <f>Transportation_LCIA!R$61*($W255^Transportation_LCIA!R$60)+Transportation_LCIA!R$62</f>
        <v>4.664545941177262E-4</v>
      </c>
      <c r="AO255" s="137">
        <f>Transportation_LCIA!S$61*($W255^Transportation_LCIA!S$60)+Transportation_LCIA!S$62</f>
        <v>6.8758863533443067E-6</v>
      </c>
      <c r="AP255" s="137">
        <f>Transportation_LCIA!T$61*($W255^Transportation_LCIA!T$60)+Transportation_LCIA!T$62</f>
        <v>6.8758863533443067E-6</v>
      </c>
      <c r="AQ255" s="137">
        <f>Transportation_LCIA!U$61*($W255^Transportation_LCIA!U$60)+Transportation_LCIA!U$62</f>
        <v>1.0106481886833722E-3</v>
      </c>
      <c r="AR255" s="137">
        <f>Transportation_LCIA!V$61*($W255^Transportation_LCIA!V$60)+Transportation_LCIA!V$62</f>
        <v>3.8699391574166265E-4</v>
      </c>
      <c r="AT255" s="137">
        <f>$W255*Y255+$L255*Summary_LCIA!H$32</f>
        <v>176.10077050551362</v>
      </c>
      <c r="AU255" s="137">
        <f>$W255*Z255+$L255*Summary_LCIA!Q$32</f>
        <v>1902.5487491832314</v>
      </c>
      <c r="AV255" s="137">
        <f>$W255*AA255+$L255*Summary_LCIA!R$32</f>
        <v>1.040751595433921</v>
      </c>
      <c r="AW255" s="137">
        <f>$W255*AB255+$L255*Summary_LCIA!S$32</f>
        <v>176.03837336551365</v>
      </c>
      <c r="AX255" s="137">
        <f>$W255*AC255+$L255*Summary_LCIA!T$32</f>
        <v>44.243722256776948</v>
      </c>
      <c r="AY255" s="137">
        <f>$W255*AD255+$L255*Summary_LCIA!U$32</f>
        <v>0.47944999930763404</v>
      </c>
      <c r="AZ255" s="137">
        <f>$W255*AE255+$L255*Summary_LCIA!V$32</f>
        <v>5.8459860473390919E-3</v>
      </c>
      <c r="BA255" s="137">
        <f>$W255*AF255+$L255*Summary_LCIA!W$32</f>
        <v>8.7859533491053057</v>
      </c>
      <c r="BB255" s="137">
        <f>$W255*AG255+$L255*Summary_LCIA!X$32</f>
        <v>9.682942573918135</v>
      </c>
      <c r="BC255" s="137">
        <f>$W255*AH255+$L255*Summary_LCIA!Y$32</f>
        <v>0.42075917540661473</v>
      </c>
      <c r="BD255" s="137">
        <f>$W255*AI255+$L255*Summary_LCIA!Z$32</f>
        <v>0.17402804257295745</v>
      </c>
      <c r="BE255" s="137">
        <f>$W255*AJ255+$L255*Summary_LCIA!AA$32</f>
        <v>1.1227067139046212</v>
      </c>
      <c r="BF255" s="137">
        <f>$W255*AK255+$L255*Summary_LCIA!AB$32</f>
        <v>4.4884361627128201E-2</v>
      </c>
      <c r="BG255" s="137">
        <f>$W255*AL255+$L255*Summary_LCIA!AC$32</f>
        <v>2.2501090466607526E-5</v>
      </c>
      <c r="BH255" s="137">
        <f>$W255*AM255+$L255*Summary_LCIA!AD$32</f>
        <v>8.4987485268403634E-2</v>
      </c>
      <c r="BI255" s="137">
        <f>$W255*AN255+$L255*Summary_LCIA!AE$32</f>
        <v>0.26099024473193461</v>
      </c>
      <c r="BJ255" s="137">
        <f>$W255*AO255+$L255*Summary_LCIA!AF$32</f>
        <v>1.5597584479082084E-2</v>
      </c>
      <c r="BK255" s="137">
        <f>$W255*AP255+$L255*Summary_LCIA!AG$32</f>
        <v>4.3850866440820835E-3</v>
      </c>
      <c r="BL255" s="137">
        <f>$W255*AQ255+$L255*Summary_LCIA!AH$32</f>
        <v>0.66124184598554536</v>
      </c>
      <c r="BM255" s="137">
        <f>$W255*AR255+$L255*Summary_LCIA!AI$32</f>
        <v>0.21930266987603722</v>
      </c>
    </row>
    <row r="256" spans="1:65" x14ac:dyDescent="0.25">
      <c r="A256" s="149">
        <v>61</v>
      </c>
      <c r="B256" s="149">
        <v>43</v>
      </c>
      <c r="C256" s="61">
        <v>45.504741000000003</v>
      </c>
      <c r="D256" s="61">
        <v>-73.614750999999998</v>
      </c>
      <c r="E256" s="61" t="s">
        <v>458</v>
      </c>
      <c r="F256" s="149">
        <v>124</v>
      </c>
      <c r="G256" s="61" t="s">
        <v>654</v>
      </c>
      <c r="H256" s="61" t="s">
        <v>655</v>
      </c>
      <c r="I256" s="61">
        <v>45.465685000000001</v>
      </c>
      <c r="J256" s="61">
        <v>-73.745480999999998</v>
      </c>
      <c r="K256" s="61">
        <v>12.713174800000001</v>
      </c>
      <c r="L256" s="61">
        <v>14.117000000000001</v>
      </c>
      <c r="M256" s="61" t="s">
        <v>617</v>
      </c>
      <c r="N256" s="149">
        <v>42</v>
      </c>
      <c r="O256" s="149">
        <v>43</v>
      </c>
      <c r="P256" s="61" t="s">
        <v>565</v>
      </c>
      <c r="Q256" s="61" t="s">
        <v>555</v>
      </c>
      <c r="R256" s="61">
        <v>40.6895314</v>
      </c>
      <c r="S256" s="61">
        <v>-74.174462399999996</v>
      </c>
      <c r="T256" s="61">
        <v>610.48800000000006</v>
      </c>
      <c r="U256" s="61" t="s">
        <v>617</v>
      </c>
      <c r="V256" s="61" t="s">
        <v>569</v>
      </c>
      <c r="W256" s="61" cm="1">
        <f t="array" ref="W256">getDistance(I256,J256,R256,S256)*SA!$B$12</f>
        <v>532.70082587978914</v>
      </c>
      <c r="Y256" s="137">
        <f>Transportation_LCIA!C$61*($W256^Transportation_LCIA!C$60)+Transportation_LCIA!C$62</f>
        <v>0.32157602463370416</v>
      </c>
      <c r="Z256" s="137">
        <f>Transportation_LCIA!D$61*($W256^Transportation_LCIA!D$60)+Transportation_LCIA!D$62</f>
        <v>3.4401752281760434</v>
      </c>
      <c r="AA256" s="137">
        <f>Transportation_LCIA!E$61*($W256^Transportation_LCIA!E$60)+Transportation_LCIA!E$62</f>
        <v>1.8141836341962153E-3</v>
      </c>
      <c r="AB256" s="137">
        <f>Transportation_LCIA!F$61*($W256^Transportation_LCIA!F$60)+Transportation_LCIA!F$62</f>
        <v>0.32157602463370416</v>
      </c>
      <c r="AC256" s="137">
        <f>Transportation_LCIA!G$61*($W256^Transportation_LCIA!G$60)+Transportation_LCIA!G$62</f>
        <v>8.0143040676289495E-2</v>
      </c>
      <c r="AD256" s="137">
        <f>Transportation_LCIA!H$61*($W256^Transportation_LCIA!H$60)+Transportation_LCIA!H$62</f>
        <v>4.2530075100495493E-4</v>
      </c>
      <c r="AE256" s="137">
        <f>Transportation_LCIA!I$61*($W256^Transportation_LCIA!I$60)+Transportation_LCIA!I$62</f>
        <v>9.7085338694522006E-6</v>
      </c>
      <c r="AF256" s="137">
        <f>Transportation_LCIA!J$61*($W256^Transportation_LCIA!J$60)+Transportation_LCIA!J$62</f>
        <v>1.4453429332288598E-2</v>
      </c>
      <c r="AG256" s="137">
        <f>Transportation_LCIA!K$61*($W256^Transportation_LCIA!K$60)+Transportation_LCIA!K$62</f>
        <v>1.7573386146825021E-2</v>
      </c>
      <c r="AH256" s="137">
        <f>Transportation_LCIA!L$61*($W256^Transportation_LCIA!L$60)+Transportation_LCIA!L$62</f>
        <v>3.7692466700234696E-4</v>
      </c>
      <c r="AI256" s="137">
        <f>Transportation_LCIA!M$61*($W256^Transportation_LCIA!M$60)+Transportation_LCIA!M$62</f>
        <v>3.2560324687594627E-4</v>
      </c>
      <c r="AJ256" s="137">
        <f>Transportation_LCIA!N$61*($W256^Transportation_LCIA!N$60)+Transportation_LCIA!N$62</f>
        <v>1.4886217992903391E-3</v>
      </c>
      <c r="AK256" s="137">
        <f>Transportation_LCIA!O$61*($W256^Transportation_LCIA!O$60)+Transportation_LCIA!O$62</f>
        <v>8.4836431112135085E-5</v>
      </c>
      <c r="AL256" s="137">
        <f>Transportation_LCIA!P$61*($W256^Transportation_LCIA!P$60)+Transportation_LCIA!P$62</f>
        <v>4.094417350036071E-8</v>
      </c>
      <c r="AM256" s="137">
        <f>Transportation_LCIA!Q$61*($W256^Transportation_LCIA!Q$60)+Transportation_LCIA!Q$62</f>
        <v>1.4864785211779024E-4</v>
      </c>
      <c r="AN256" s="137">
        <f>Transportation_LCIA!R$61*($W256^Transportation_LCIA!R$60)+Transportation_LCIA!R$62</f>
        <v>4.664545941177262E-4</v>
      </c>
      <c r="AO256" s="137">
        <f>Transportation_LCIA!S$61*($W256^Transportation_LCIA!S$60)+Transportation_LCIA!S$62</f>
        <v>6.8758863533443067E-6</v>
      </c>
      <c r="AP256" s="137">
        <f>Transportation_LCIA!T$61*($W256^Transportation_LCIA!T$60)+Transportation_LCIA!T$62</f>
        <v>6.8758863533443067E-6</v>
      </c>
      <c r="AQ256" s="137">
        <f>Transportation_LCIA!U$61*($W256^Transportation_LCIA!U$60)+Transportation_LCIA!U$62</f>
        <v>1.0106481886833722E-3</v>
      </c>
      <c r="AR256" s="137">
        <f>Transportation_LCIA!V$61*($W256^Transportation_LCIA!V$60)+Transportation_LCIA!V$62</f>
        <v>3.8699391574166265E-4</v>
      </c>
      <c r="AT256" s="137">
        <f>$W256*Y256+$L256*Summary_LCIA!H$32</f>
        <v>176.10077050551362</v>
      </c>
      <c r="AU256" s="137">
        <f>$W256*Z256+$L256*Summary_LCIA!Q$32</f>
        <v>1902.5487491832314</v>
      </c>
      <c r="AV256" s="137">
        <f>$W256*AA256+$L256*Summary_LCIA!R$32</f>
        <v>1.040751595433921</v>
      </c>
      <c r="AW256" s="137">
        <f>$W256*AB256+$L256*Summary_LCIA!S$32</f>
        <v>176.03837336551365</v>
      </c>
      <c r="AX256" s="137">
        <f>$W256*AC256+$L256*Summary_LCIA!T$32</f>
        <v>44.243722256776948</v>
      </c>
      <c r="AY256" s="137">
        <f>$W256*AD256+$L256*Summary_LCIA!U$32</f>
        <v>0.47944999930763404</v>
      </c>
      <c r="AZ256" s="137">
        <f>$W256*AE256+$L256*Summary_LCIA!V$32</f>
        <v>5.8459860473390919E-3</v>
      </c>
      <c r="BA256" s="137">
        <f>$W256*AF256+$L256*Summary_LCIA!W$32</f>
        <v>8.7859533491053057</v>
      </c>
      <c r="BB256" s="137">
        <f>$W256*AG256+$L256*Summary_LCIA!X$32</f>
        <v>9.682942573918135</v>
      </c>
      <c r="BC256" s="137">
        <f>$W256*AH256+$L256*Summary_LCIA!Y$32</f>
        <v>0.42075917540661473</v>
      </c>
      <c r="BD256" s="137">
        <f>$W256*AI256+$L256*Summary_LCIA!Z$32</f>
        <v>0.17402804257295745</v>
      </c>
      <c r="BE256" s="137">
        <f>$W256*AJ256+$L256*Summary_LCIA!AA$32</f>
        <v>1.1227067139046212</v>
      </c>
      <c r="BF256" s="137">
        <f>$W256*AK256+$L256*Summary_LCIA!AB$32</f>
        <v>4.4884361627128201E-2</v>
      </c>
      <c r="BG256" s="137">
        <f>$W256*AL256+$L256*Summary_LCIA!AC$32</f>
        <v>2.2501090466607526E-5</v>
      </c>
      <c r="BH256" s="137">
        <f>$W256*AM256+$L256*Summary_LCIA!AD$32</f>
        <v>8.4987485268403634E-2</v>
      </c>
      <c r="BI256" s="137">
        <f>$W256*AN256+$L256*Summary_LCIA!AE$32</f>
        <v>0.26099024473193461</v>
      </c>
      <c r="BJ256" s="137">
        <f>$W256*AO256+$L256*Summary_LCIA!AF$32</f>
        <v>1.5597584479082084E-2</v>
      </c>
      <c r="BK256" s="137">
        <f>$W256*AP256+$L256*Summary_LCIA!AG$32</f>
        <v>4.3850866440820835E-3</v>
      </c>
      <c r="BL256" s="137">
        <f>$W256*AQ256+$L256*Summary_LCIA!AH$32</f>
        <v>0.66124184598554536</v>
      </c>
      <c r="BM256" s="137">
        <f>$W256*AR256+$L256*Summary_LCIA!AI$32</f>
        <v>0.21930266987603722</v>
      </c>
    </row>
    <row r="257" spans="1:65" x14ac:dyDescent="0.25">
      <c r="A257" s="149">
        <v>62</v>
      </c>
      <c r="B257" s="149">
        <v>43</v>
      </c>
      <c r="C257" s="61">
        <v>45.504741000000003</v>
      </c>
      <c r="D257" s="61">
        <v>-73.614750999999998</v>
      </c>
      <c r="E257" s="61" t="s">
        <v>458</v>
      </c>
      <c r="F257" s="149">
        <v>124</v>
      </c>
      <c r="G257" s="61" t="s">
        <v>654</v>
      </c>
      <c r="H257" s="61" t="s">
        <v>655</v>
      </c>
      <c r="I257" s="61">
        <v>45.465685000000001</v>
      </c>
      <c r="J257" s="61">
        <v>-73.745480999999998</v>
      </c>
      <c r="K257" s="61">
        <v>12.713174800000001</v>
      </c>
      <c r="L257" s="61">
        <v>14.117000000000001</v>
      </c>
      <c r="M257" s="61" t="s">
        <v>617</v>
      </c>
      <c r="N257" s="149">
        <v>42</v>
      </c>
      <c r="O257" s="149">
        <v>43</v>
      </c>
      <c r="P257" s="61" t="s">
        <v>565</v>
      </c>
      <c r="Q257" s="61" t="s">
        <v>555</v>
      </c>
      <c r="R257" s="61">
        <v>40.6895314</v>
      </c>
      <c r="S257" s="61">
        <v>-74.174462399999996</v>
      </c>
      <c r="T257" s="61">
        <v>610.48800000000006</v>
      </c>
      <c r="U257" s="61" t="s">
        <v>617</v>
      </c>
      <c r="V257" s="61" t="s">
        <v>569</v>
      </c>
      <c r="W257" s="61" cm="1">
        <f t="array" ref="W257">getDistance(I257,J257,R257,S257)*SA!$B$12</f>
        <v>532.70082587978914</v>
      </c>
      <c r="Y257" s="137">
        <f>Transportation_LCIA!C$61*($W257^Transportation_LCIA!C$60)+Transportation_LCIA!C$62</f>
        <v>0.32157602463370416</v>
      </c>
      <c r="Z257" s="137">
        <f>Transportation_LCIA!D$61*($W257^Transportation_LCIA!D$60)+Transportation_LCIA!D$62</f>
        <v>3.4401752281760434</v>
      </c>
      <c r="AA257" s="137">
        <f>Transportation_LCIA!E$61*($W257^Transportation_LCIA!E$60)+Transportation_LCIA!E$62</f>
        <v>1.8141836341962153E-3</v>
      </c>
      <c r="AB257" s="137">
        <f>Transportation_LCIA!F$61*($W257^Transportation_LCIA!F$60)+Transportation_LCIA!F$62</f>
        <v>0.32157602463370416</v>
      </c>
      <c r="AC257" s="137">
        <f>Transportation_LCIA!G$61*($W257^Transportation_LCIA!G$60)+Transportation_LCIA!G$62</f>
        <v>8.0143040676289495E-2</v>
      </c>
      <c r="AD257" s="137">
        <f>Transportation_LCIA!H$61*($W257^Transportation_LCIA!H$60)+Transportation_LCIA!H$62</f>
        <v>4.2530075100495493E-4</v>
      </c>
      <c r="AE257" s="137">
        <f>Transportation_LCIA!I$61*($W257^Transportation_LCIA!I$60)+Transportation_LCIA!I$62</f>
        <v>9.7085338694522006E-6</v>
      </c>
      <c r="AF257" s="137">
        <f>Transportation_LCIA!J$61*($W257^Transportation_LCIA!J$60)+Transportation_LCIA!J$62</f>
        <v>1.4453429332288598E-2</v>
      </c>
      <c r="AG257" s="137">
        <f>Transportation_LCIA!K$61*($W257^Transportation_LCIA!K$60)+Transportation_LCIA!K$62</f>
        <v>1.7573386146825021E-2</v>
      </c>
      <c r="AH257" s="137">
        <f>Transportation_LCIA!L$61*($W257^Transportation_LCIA!L$60)+Transportation_LCIA!L$62</f>
        <v>3.7692466700234696E-4</v>
      </c>
      <c r="AI257" s="137">
        <f>Transportation_LCIA!M$61*($W257^Transportation_LCIA!M$60)+Transportation_LCIA!M$62</f>
        <v>3.2560324687594627E-4</v>
      </c>
      <c r="AJ257" s="137">
        <f>Transportation_LCIA!N$61*($W257^Transportation_LCIA!N$60)+Transportation_LCIA!N$62</f>
        <v>1.4886217992903391E-3</v>
      </c>
      <c r="AK257" s="137">
        <f>Transportation_LCIA!O$61*($W257^Transportation_LCIA!O$60)+Transportation_LCIA!O$62</f>
        <v>8.4836431112135085E-5</v>
      </c>
      <c r="AL257" s="137">
        <f>Transportation_LCIA!P$61*($W257^Transportation_LCIA!P$60)+Transportation_LCIA!P$62</f>
        <v>4.094417350036071E-8</v>
      </c>
      <c r="AM257" s="137">
        <f>Transportation_LCIA!Q$61*($W257^Transportation_LCIA!Q$60)+Transportation_LCIA!Q$62</f>
        <v>1.4864785211779024E-4</v>
      </c>
      <c r="AN257" s="137">
        <f>Transportation_LCIA!R$61*($W257^Transportation_LCIA!R$60)+Transportation_LCIA!R$62</f>
        <v>4.664545941177262E-4</v>
      </c>
      <c r="AO257" s="137">
        <f>Transportation_LCIA!S$61*($W257^Transportation_LCIA!S$60)+Transportation_LCIA!S$62</f>
        <v>6.8758863533443067E-6</v>
      </c>
      <c r="AP257" s="137">
        <f>Transportation_LCIA!T$61*($W257^Transportation_LCIA!T$60)+Transportation_LCIA!T$62</f>
        <v>6.8758863533443067E-6</v>
      </c>
      <c r="AQ257" s="137">
        <f>Transportation_LCIA!U$61*($W257^Transportation_LCIA!U$60)+Transportation_LCIA!U$62</f>
        <v>1.0106481886833722E-3</v>
      </c>
      <c r="AR257" s="137">
        <f>Transportation_LCIA!V$61*($W257^Transportation_LCIA!V$60)+Transportation_LCIA!V$62</f>
        <v>3.8699391574166265E-4</v>
      </c>
      <c r="AT257" s="137">
        <f>$W257*Y257+$L257*Summary_LCIA!H$32</f>
        <v>176.10077050551362</v>
      </c>
      <c r="AU257" s="137">
        <f>$W257*Z257+$L257*Summary_LCIA!Q$32</f>
        <v>1902.5487491832314</v>
      </c>
      <c r="AV257" s="137">
        <f>$W257*AA257+$L257*Summary_LCIA!R$32</f>
        <v>1.040751595433921</v>
      </c>
      <c r="AW257" s="137">
        <f>$W257*AB257+$L257*Summary_LCIA!S$32</f>
        <v>176.03837336551365</v>
      </c>
      <c r="AX257" s="137">
        <f>$W257*AC257+$L257*Summary_LCIA!T$32</f>
        <v>44.243722256776948</v>
      </c>
      <c r="AY257" s="137">
        <f>$W257*AD257+$L257*Summary_LCIA!U$32</f>
        <v>0.47944999930763404</v>
      </c>
      <c r="AZ257" s="137">
        <f>$W257*AE257+$L257*Summary_LCIA!V$32</f>
        <v>5.8459860473390919E-3</v>
      </c>
      <c r="BA257" s="137">
        <f>$W257*AF257+$L257*Summary_LCIA!W$32</f>
        <v>8.7859533491053057</v>
      </c>
      <c r="BB257" s="137">
        <f>$W257*AG257+$L257*Summary_LCIA!X$32</f>
        <v>9.682942573918135</v>
      </c>
      <c r="BC257" s="137">
        <f>$W257*AH257+$L257*Summary_LCIA!Y$32</f>
        <v>0.42075917540661473</v>
      </c>
      <c r="BD257" s="137">
        <f>$W257*AI257+$L257*Summary_LCIA!Z$32</f>
        <v>0.17402804257295745</v>
      </c>
      <c r="BE257" s="137">
        <f>$W257*AJ257+$L257*Summary_LCIA!AA$32</f>
        <v>1.1227067139046212</v>
      </c>
      <c r="BF257" s="137">
        <f>$W257*AK257+$L257*Summary_LCIA!AB$32</f>
        <v>4.4884361627128201E-2</v>
      </c>
      <c r="BG257" s="137">
        <f>$W257*AL257+$L257*Summary_LCIA!AC$32</f>
        <v>2.2501090466607526E-5</v>
      </c>
      <c r="BH257" s="137">
        <f>$W257*AM257+$L257*Summary_LCIA!AD$32</f>
        <v>8.4987485268403634E-2</v>
      </c>
      <c r="BI257" s="137">
        <f>$W257*AN257+$L257*Summary_LCIA!AE$32</f>
        <v>0.26099024473193461</v>
      </c>
      <c r="BJ257" s="137">
        <f>$W257*AO257+$L257*Summary_LCIA!AF$32</f>
        <v>1.5597584479082084E-2</v>
      </c>
      <c r="BK257" s="137">
        <f>$W257*AP257+$L257*Summary_LCIA!AG$32</f>
        <v>4.3850866440820835E-3</v>
      </c>
      <c r="BL257" s="137">
        <f>$W257*AQ257+$L257*Summary_LCIA!AH$32</f>
        <v>0.66124184598554536</v>
      </c>
      <c r="BM257" s="137">
        <f>$W257*AR257+$L257*Summary_LCIA!AI$32</f>
        <v>0.21930266987603722</v>
      </c>
    </row>
    <row r="258" spans="1:65" x14ac:dyDescent="0.25">
      <c r="A258" s="149">
        <v>230</v>
      </c>
      <c r="B258" s="149">
        <v>6</v>
      </c>
      <c r="C258" s="61">
        <v>44.974069999999998</v>
      </c>
      <c r="D258" s="61">
        <v>-93.024049000000005</v>
      </c>
      <c r="E258" s="61" t="s">
        <v>265</v>
      </c>
      <c r="F258" s="149">
        <v>57</v>
      </c>
      <c r="G258" s="61" t="s">
        <v>565</v>
      </c>
      <c r="H258" s="61" t="s">
        <v>641</v>
      </c>
      <c r="I258" s="61">
        <v>44.884754999999998</v>
      </c>
      <c r="J258" s="61">
        <v>-93.222284999999999</v>
      </c>
      <c r="K258" s="61">
        <v>21.929348569999998</v>
      </c>
      <c r="L258" s="61">
        <v>28.896000000000001</v>
      </c>
      <c r="M258" s="61" t="s">
        <v>617</v>
      </c>
      <c r="N258" s="149">
        <v>5</v>
      </c>
      <c r="O258" s="149">
        <v>6</v>
      </c>
      <c r="P258" s="61" t="s">
        <v>565</v>
      </c>
      <c r="Q258" s="61" t="s">
        <v>564</v>
      </c>
      <c r="R258" s="61">
        <v>41.98028</v>
      </c>
      <c r="S258" s="61">
        <v>-87.908997900000003</v>
      </c>
      <c r="T258" s="61">
        <v>617.125</v>
      </c>
      <c r="U258" s="61" t="s">
        <v>617</v>
      </c>
      <c r="V258" s="61" t="s">
        <v>569</v>
      </c>
      <c r="W258" s="61" cm="1">
        <f t="array" ref="W258">getDistance(I258,J258,R258,S258)*SA!$B$12</f>
        <v>537.9238360294454</v>
      </c>
      <c r="Y258" s="137">
        <f>Transportation_LCIA!C$61*($W258^Transportation_LCIA!C$60)+Transportation_LCIA!C$62</f>
        <v>0.31986678213898079</v>
      </c>
      <c r="Z258" s="137">
        <f>Transportation_LCIA!D$61*($W258^Transportation_LCIA!D$60)+Transportation_LCIA!D$62</f>
        <v>3.4196837590581142</v>
      </c>
      <c r="AA258" s="137">
        <f>Transportation_LCIA!E$61*($W258^Transportation_LCIA!E$60)+Transportation_LCIA!E$62</f>
        <v>1.8006084167141755E-3</v>
      </c>
      <c r="AB258" s="137">
        <f>Transportation_LCIA!F$61*($W258^Transportation_LCIA!F$60)+Transportation_LCIA!F$62</f>
        <v>0.31986678213898079</v>
      </c>
      <c r="AC258" s="137">
        <f>Transportation_LCIA!G$61*($W258^Transportation_LCIA!G$60)+Transportation_LCIA!G$62</f>
        <v>7.9669699225259488E-2</v>
      </c>
      <c r="AD258" s="137">
        <f>Transportation_LCIA!H$61*($W258^Transportation_LCIA!H$60)+Transportation_LCIA!H$62</f>
        <v>4.2227087470452683E-4</v>
      </c>
      <c r="AE258" s="137">
        <f>Transportation_LCIA!I$61*($W258^Transportation_LCIA!I$60)+Transportation_LCIA!I$62</f>
        <v>9.6304021623867961E-6</v>
      </c>
      <c r="AF258" s="137">
        <f>Transportation_LCIA!J$61*($W258^Transportation_LCIA!J$60)+Transportation_LCIA!J$62</f>
        <v>1.4335225470337743E-2</v>
      </c>
      <c r="AG258" s="137">
        <f>Transportation_LCIA!K$61*($W258^Transportation_LCIA!K$60)+Transportation_LCIA!K$62</f>
        <v>1.7461378929992367E-2</v>
      </c>
      <c r="AH258" s="137">
        <f>Transportation_LCIA!L$61*($W258^Transportation_LCIA!L$60)+Transportation_LCIA!L$62</f>
        <v>3.741200211309115E-4</v>
      </c>
      <c r="AI258" s="137">
        <f>Transportation_LCIA!M$61*($W258^Transportation_LCIA!M$60)+Transportation_LCIA!M$62</f>
        <v>3.2392972305419126E-4</v>
      </c>
      <c r="AJ258" s="137">
        <f>Transportation_LCIA!N$61*($W258^Transportation_LCIA!N$60)+Transportation_LCIA!N$62</f>
        <v>1.4784543299395398E-3</v>
      </c>
      <c r="AK258" s="137">
        <f>Transportation_LCIA!O$61*($W258^Transportation_LCIA!O$60)+Transportation_LCIA!O$62</f>
        <v>8.4333072501823996E-5</v>
      </c>
      <c r="AL258" s="137">
        <f>Transportation_LCIA!P$61*($W258^Transportation_LCIA!P$60)+Transportation_LCIA!P$62</f>
        <v>4.0702648380323872E-8</v>
      </c>
      <c r="AM258" s="137">
        <f>Transportation_LCIA!Q$61*($W258^Transportation_LCIA!Q$60)+Transportation_LCIA!Q$62</f>
        <v>1.4754717709156823E-4</v>
      </c>
      <c r="AN258" s="137">
        <f>Transportation_LCIA!R$61*($W258^Transportation_LCIA!R$60)+Transportation_LCIA!R$62</f>
        <v>4.6270576693556009E-4</v>
      </c>
      <c r="AO258" s="137">
        <f>Transportation_LCIA!S$61*($W258^Transportation_LCIA!S$60)+Transportation_LCIA!S$62</f>
        <v>6.8227398697620497E-6</v>
      </c>
      <c r="AP258" s="137">
        <f>Transportation_LCIA!T$61*($W258^Transportation_LCIA!T$60)+Transportation_LCIA!T$62</f>
        <v>6.8227398697620497E-6</v>
      </c>
      <c r="AQ258" s="137">
        <f>Transportation_LCIA!U$61*($W258^Transportation_LCIA!U$60)+Transportation_LCIA!U$62</f>
        <v>1.002389311334221E-3</v>
      </c>
      <c r="AR258" s="137">
        <f>Transportation_LCIA!V$61*($W258^Transportation_LCIA!V$60)+Transportation_LCIA!V$62</f>
        <v>3.8411685160034487E-4</v>
      </c>
      <c r="AT258" s="137">
        <f>$W258*Y258+$L258*Summary_LCIA!H$32</f>
        <v>181.88282726659546</v>
      </c>
      <c r="AU258" s="137">
        <f>$W258*Z258+$L258*Summary_LCIA!Q$32</f>
        <v>1982.7394389921024</v>
      </c>
      <c r="AV258" s="137">
        <f>$W258*AA258+$L258*Summary_LCIA!R$32</f>
        <v>1.1207449643057954</v>
      </c>
      <c r="AW258" s="137">
        <f>$W258*AB258+$L258*Summary_LCIA!S$32</f>
        <v>181.75510694659545</v>
      </c>
      <c r="AX258" s="137">
        <f>$W258*AC258+$L258*Summary_LCIA!T$32</f>
        <v>46.031900622563718</v>
      </c>
      <c r="AY258" s="137">
        <f>$W258*AD258+$L258*Summary_LCIA!U$32</f>
        <v>0.74479251276456837</v>
      </c>
      <c r="AZ258" s="137">
        <f>$W258*AE258+$L258*Summary_LCIA!V$32</f>
        <v>6.560524729697371E-3</v>
      </c>
      <c r="BA258" s="137">
        <f>$W258*AF258+$L258*Summary_LCIA!W$32</f>
        <v>9.9354134913510883</v>
      </c>
      <c r="BB258" s="137">
        <f>$W258*AG258+$L258*Summary_LCIA!X$32</f>
        <v>10.051142816385228</v>
      </c>
      <c r="BC258" s="137">
        <f>$W258*AH258+$L258*Summary_LCIA!Y$32</f>
        <v>0.65150554890215717</v>
      </c>
      <c r="BD258" s="137">
        <f>$W258*AI258+$L258*Summary_LCIA!Z$32</f>
        <v>0.17543451529326642</v>
      </c>
      <c r="BE258" s="137">
        <f>$W258*AJ258+$L258*Summary_LCIA!AA$32</f>
        <v>1.4701908005554205</v>
      </c>
      <c r="BF258" s="137">
        <f>$W258*AK258+$L258*Summary_LCIA!AB$32</f>
        <v>4.4734172456330504E-2</v>
      </c>
      <c r="BG258" s="137">
        <f>$W258*AL258+$L258*Summary_LCIA!AC$32</f>
        <v>2.3307476817301509E-5</v>
      </c>
      <c r="BH258" s="137">
        <f>$W258*AM258+$L258*Summary_LCIA!AD$32</f>
        <v>9.1246555336412294E-2</v>
      </c>
      <c r="BI258" s="137">
        <f>$W258*AN258+$L258*Summary_LCIA!AE$32</f>
        <v>0.274506073582923</v>
      </c>
      <c r="BJ258" s="137">
        <f>$W258*AO258+$L258*Summary_LCIA!AF$32</f>
        <v>2.8099370722973444E-2</v>
      </c>
      <c r="BK258" s="137">
        <f>$W258*AP258+$L258*Summary_LCIA!AG$32</f>
        <v>5.1485782429734409E-3</v>
      </c>
      <c r="BL258" s="137">
        <f>$W258*AQ258+$L258*Summary_LCIA!AH$32</f>
        <v>0.79070832914781819</v>
      </c>
      <c r="BM258" s="137">
        <f>$W258*AR258+$L258*Summary_LCIA!AI$32</f>
        <v>0.23354367909641072</v>
      </c>
    </row>
    <row r="259" spans="1:65" x14ac:dyDescent="0.25">
      <c r="A259" s="149">
        <v>248</v>
      </c>
      <c r="B259" s="149">
        <v>6</v>
      </c>
      <c r="C259" s="61">
        <v>38.019613999999997</v>
      </c>
      <c r="D259" s="61">
        <v>-84.499448999999998</v>
      </c>
      <c r="E259" s="61" t="s">
        <v>265</v>
      </c>
      <c r="F259" s="149">
        <v>109</v>
      </c>
      <c r="G259" s="61" t="s">
        <v>273</v>
      </c>
      <c r="H259" s="61" t="s">
        <v>665</v>
      </c>
      <c r="I259" s="61">
        <v>39.053274999999999</v>
      </c>
      <c r="J259" s="61">
        <v>-84.663016999999996</v>
      </c>
      <c r="K259" s="61">
        <v>172.19998559999999</v>
      </c>
      <c r="L259" s="61">
        <v>132.86199999999999</v>
      </c>
      <c r="M259" s="61" t="s">
        <v>617</v>
      </c>
      <c r="N259" s="149">
        <v>5</v>
      </c>
      <c r="O259" s="149">
        <v>6</v>
      </c>
      <c r="P259" s="61" t="s">
        <v>565</v>
      </c>
      <c r="Q259" s="61" t="s">
        <v>564</v>
      </c>
      <c r="R259" s="61">
        <v>41.98028</v>
      </c>
      <c r="S259" s="61">
        <v>-87.908997900000003</v>
      </c>
      <c r="T259" s="61">
        <v>628.44299999999998</v>
      </c>
      <c r="U259" s="61" t="s">
        <v>617</v>
      </c>
      <c r="V259" s="61" t="s">
        <v>569</v>
      </c>
      <c r="W259" s="61" cm="1">
        <f t="array" ref="W259">getDistance(I259,J259,R259,S259)*SA!$B$12</f>
        <v>426.22298474711437</v>
      </c>
      <c r="Y259" s="137">
        <f>Transportation_LCIA!C$61*($W259^Transportation_LCIA!C$60)+Transportation_LCIA!C$62</f>
        <v>0.36470937059724018</v>
      </c>
      <c r="Z259" s="137">
        <f>Transportation_LCIA!D$61*($W259^Transportation_LCIA!D$60)+Transportation_LCIA!D$62</f>
        <v>3.9599843643856643</v>
      </c>
      <c r="AA259" s="137">
        <f>Transportation_LCIA!E$61*($W259^Transportation_LCIA!E$60)+Transportation_LCIA!E$62</f>
        <v>2.1590522921276657E-3</v>
      </c>
      <c r="AB259" s="137">
        <f>Transportation_LCIA!F$61*($W259^Transportation_LCIA!F$60)+Transportation_LCIA!F$62</f>
        <v>0.36470937059724018</v>
      </c>
      <c r="AC259" s="137">
        <f>Transportation_LCIA!G$61*($W259^Transportation_LCIA!G$60)+Transportation_LCIA!G$62</f>
        <v>9.2146692060025251E-2</v>
      </c>
      <c r="AD259" s="137">
        <f>Transportation_LCIA!H$61*($W259^Transportation_LCIA!H$60)+Transportation_LCIA!H$62</f>
        <v>5.0249575772855042E-4</v>
      </c>
      <c r="AE259" s="137">
        <f>Transportation_LCIA!I$61*($W259^Transportation_LCIA!I$60)+Transportation_LCIA!I$62</f>
        <v>1.1708483079934808E-5</v>
      </c>
      <c r="AF259" s="137">
        <f>Transportation_LCIA!J$61*($W259^Transportation_LCIA!J$60)+Transportation_LCIA!J$62</f>
        <v>1.7488363461505577E-2</v>
      </c>
      <c r="AG259" s="137">
        <f>Transportation_LCIA!K$61*($W259^Transportation_LCIA!K$60)+Transportation_LCIA!K$62</f>
        <v>2.0421310133522361E-2</v>
      </c>
      <c r="AH259" s="137">
        <f>Transportation_LCIA!L$61*($W259^Transportation_LCIA!L$60)+Transportation_LCIA!L$62</f>
        <v>4.4847627034344826E-4</v>
      </c>
      <c r="AI259" s="137">
        <f>Transportation_LCIA!M$61*($W259^Transportation_LCIA!M$60)+Transportation_LCIA!M$62</f>
        <v>3.6824791490361742E-4</v>
      </c>
      <c r="AJ259" s="137">
        <f>Transportation_LCIA!N$61*($W259^Transportation_LCIA!N$60)+Transportation_LCIA!N$62</f>
        <v>1.7475719590774809E-3</v>
      </c>
      <c r="AK259" s="137">
        <f>Transportation_LCIA!O$61*($W259^Transportation_LCIA!O$60)+Transportation_LCIA!O$62</f>
        <v>9.7603127192632193E-5</v>
      </c>
      <c r="AL259" s="137">
        <f>Transportation_LCIA!P$61*($W259^Transportation_LCIA!P$60)+Transportation_LCIA!P$62</f>
        <v>4.7067607312152108E-8</v>
      </c>
      <c r="AM259" s="137">
        <f>Transportation_LCIA!Q$61*($W259^Transportation_LCIA!Q$60)+Transportation_LCIA!Q$62</f>
        <v>1.7674817037411348E-4</v>
      </c>
      <c r="AN259" s="137">
        <f>Transportation_LCIA!R$61*($W259^Transportation_LCIA!R$60)+Transportation_LCIA!R$62</f>
        <v>5.6242472670821938E-4</v>
      </c>
      <c r="AO259" s="137">
        <f>Transportation_LCIA!S$61*($W259^Transportation_LCIA!S$60)+Transportation_LCIA!S$62</f>
        <v>8.2361540379476893E-6</v>
      </c>
      <c r="AP259" s="137">
        <f>Transportation_LCIA!T$61*($W259^Transportation_LCIA!T$60)+Transportation_LCIA!T$62</f>
        <v>8.2361540379476893E-6</v>
      </c>
      <c r="AQ259" s="137">
        <f>Transportation_LCIA!U$61*($W259^Transportation_LCIA!U$60)+Transportation_LCIA!U$62</f>
        <v>1.2222632354241475E-3</v>
      </c>
      <c r="AR259" s="137">
        <f>Transportation_LCIA!V$61*($W259^Transportation_LCIA!V$60)+Transportation_LCIA!V$62</f>
        <v>4.6051342935052081E-4</v>
      </c>
      <c r="AT259" s="137">
        <f>$W259*Y259+$L259*Summary_LCIA!H$32</f>
        <v>200.59402410119719</v>
      </c>
      <c r="AU259" s="137">
        <f>$W259*Z259+$L259*Summary_LCIA!Q$32</f>
        <v>2346.3071279696082</v>
      </c>
      <c r="AV259" s="137">
        <f>$W259*AA259+$L259*Summary_LCIA!R$32</f>
        <v>1.6198358593757523</v>
      </c>
      <c r="AW259" s="137">
        <f>$W259*AB259+$L259*Summary_LCIA!S$32</f>
        <v>200.00677406119718</v>
      </c>
      <c r="AX259" s="137">
        <f>$W259*AC259+$L259*Summary_LCIA!T$32</f>
        <v>53.876571924397183</v>
      </c>
      <c r="AY259" s="137">
        <f>$W259*AD259+$L259*Summary_LCIA!U$32</f>
        <v>2.5942651096818254</v>
      </c>
      <c r="AZ259" s="137">
        <f>$W259*AE259+$L259*Summary_LCIA!V$32</f>
        <v>1.1336046587190899E-2</v>
      </c>
      <c r="BA259" s="137">
        <f>$W259*AF259+$L259*Summary_LCIA!W$32</f>
        <v>17.680463474905284</v>
      </c>
      <c r="BB259" s="137">
        <f>$W259*AG259+$L259*Summary_LCIA!X$32</f>
        <v>11.730628117556392</v>
      </c>
      <c r="BC259" s="137">
        <f>$W259*AH259+$L259*Summary_LCIA!Y$32</f>
        <v>2.2614065785340385</v>
      </c>
      <c r="BD259" s="137">
        <f>$W259*AI259+$L259*Summary_LCIA!Z$32</f>
        <v>0.16240426317512119</v>
      </c>
      <c r="BE259" s="137">
        <f>$W259*AJ259+$L259*Summary_LCIA!AA$32</f>
        <v>3.8479802084583654</v>
      </c>
      <c r="BF259" s="137">
        <f>$W259*AK259+$L259*Summary_LCIA!AB$32</f>
        <v>3.8701248766695936E-2</v>
      </c>
      <c r="BG259" s="137">
        <f>$W259*AL259+$L259*Summary_LCIA!AC$32</f>
        <v>2.6556122081490578E-5</v>
      </c>
      <c r="BH259" s="137">
        <f>$W259*AM259+$L259*Summary_LCIA!AD$32</f>
        <v>0.12994572920544614</v>
      </c>
      <c r="BI259" s="137">
        <f>$W259*AN259+$L259*Summary_LCIA!AE$32</f>
        <v>0.35745134977315735</v>
      </c>
      <c r="BJ259" s="137">
        <f>$W259*AO259+$L259*Summary_LCIA!AF$32</f>
        <v>0.11583463019689107</v>
      </c>
      <c r="BK259" s="137">
        <f>$W259*AP259+$L259*Summary_LCIA!AG$32</f>
        <v>1.0308322386891063E-2</v>
      </c>
      <c r="BL259" s="137">
        <f>$W259*AQ259+$L259*Summary_LCIA!AH$32</f>
        <v>1.6773343875491451</v>
      </c>
      <c r="BM259" s="137">
        <f>$W259*AR259+$L259*Summary_LCIA!AI$32</f>
        <v>0.32004900447390838</v>
      </c>
    </row>
    <row r="260" spans="1:65" x14ac:dyDescent="0.25">
      <c r="A260" s="149">
        <v>196</v>
      </c>
      <c r="B260" s="149">
        <v>6</v>
      </c>
      <c r="C260" s="61">
        <v>38.933138999999997</v>
      </c>
      <c r="D260" s="61">
        <v>-92.373804000000007</v>
      </c>
      <c r="E260" s="61" t="s">
        <v>265</v>
      </c>
      <c r="F260" s="149">
        <v>94</v>
      </c>
      <c r="G260" s="61" t="s">
        <v>693</v>
      </c>
      <c r="H260" s="61" t="s">
        <v>694</v>
      </c>
      <c r="I260" s="61">
        <v>38.749940000000002</v>
      </c>
      <c r="J260" s="61">
        <v>-90.374819000000002</v>
      </c>
      <c r="K260" s="61">
        <v>177.120712</v>
      </c>
      <c r="L260" s="61">
        <v>188.05</v>
      </c>
      <c r="M260" s="61" t="s">
        <v>617</v>
      </c>
      <c r="N260" s="149">
        <v>5</v>
      </c>
      <c r="O260" s="149">
        <v>6</v>
      </c>
      <c r="P260" s="61" t="s">
        <v>565</v>
      </c>
      <c r="Q260" s="61" t="s">
        <v>564</v>
      </c>
      <c r="R260" s="61">
        <v>41.98028</v>
      </c>
      <c r="S260" s="61">
        <v>-87.908997900000003</v>
      </c>
      <c r="T260" s="61">
        <v>628.77</v>
      </c>
      <c r="U260" s="61" t="s">
        <v>617</v>
      </c>
      <c r="V260" s="61" t="s">
        <v>569</v>
      </c>
      <c r="W260" s="61" cm="1">
        <f t="array" ref="W260">getDistance(I260,J260,R260,S260)*SA!$B$12</f>
        <v>415.92837633975137</v>
      </c>
      <c r="Y260" s="137">
        <f>Transportation_LCIA!C$61*($W260^Transportation_LCIA!C$60)+Transportation_LCIA!C$62</f>
        <v>0.36994815840498518</v>
      </c>
      <c r="Z260" s="137">
        <f>Transportation_LCIA!D$61*($W260^Transportation_LCIA!D$60)+Transportation_LCIA!D$62</f>
        <v>4.0234484421955647</v>
      </c>
      <c r="AA260" s="137">
        <f>Transportation_LCIA!E$61*($W260^Transportation_LCIA!E$60)+Transportation_LCIA!E$62</f>
        <v>2.2012194298649938E-3</v>
      </c>
      <c r="AB260" s="137">
        <f>Transportation_LCIA!F$61*($W260^Transportation_LCIA!F$60)+Transportation_LCIA!F$62</f>
        <v>0.36994815840498518</v>
      </c>
      <c r="AC260" s="137">
        <f>Transportation_LCIA!G$61*($W260^Transportation_LCIA!G$60)+Transportation_LCIA!G$62</f>
        <v>9.3611785596409508E-2</v>
      </c>
      <c r="AD260" s="137">
        <f>Transportation_LCIA!H$61*($W260^Transportation_LCIA!H$60)+Transportation_LCIA!H$62</f>
        <v>5.1196174340509932E-4</v>
      </c>
      <c r="AE260" s="137">
        <f>Transportation_LCIA!I$61*($W260^Transportation_LCIA!I$60)+Transportation_LCIA!I$62</f>
        <v>1.1954869488468754E-5</v>
      </c>
      <c r="AF260" s="137">
        <f>Transportation_LCIA!J$61*($W260^Transportation_LCIA!J$60)+Transportation_LCIA!J$62</f>
        <v>1.7863393495932058E-2</v>
      </c>
      <c r="AG260" s="137">
        <f>Transportation_LCIA!K$61*($W260^Transportation_LCIA!K$60)+Transportation_LCIA!K$62</f>
        <v>2.0769827257385139E-2</v>
      </c>
      <c r="AH260" s="137">
        <f>Transportation_LCIA!L$61*($W260^Transportation_LCIA!L$60)+Transportation_LCIA!L$62</f>
        <v>4.5726187815364603E-4</v>
      </c>
      <c r="AI260" s="137">
        <f>Transportation_LCIA!M$61*($W260^Transportation_LCIA!M$60)+Transportation_LCIA!M$62</f>
        <v>3.7347801231547796E-4</v>
      </c>
      <c r="AJ260" s="137">
        <f>Transportation_LCIA!N$61*($W260^Transportation_LCIA!N$60)+Transportation_LCIA!N$62</f>
        <v>1.7793137976698883E-3</v>
      </c>
      <c r="AK260" s="137">
        <f>Transportation_LCIA!O$61*($W260^Transportation_LCIA!O$60)+Transportation_LCIA!O$62</f>
        <v>9.9161576696146439E-5</v>
      </c>
      <c r="AL260" s="137">
        <f>Transportation_LCIA!P$61*($W260^Transportation_LCIA!P$60)+Transportation_LCIA!P$62</f>
        <v>4.7814814061373349E-8</v>
      </c>
      <c r="AM260" s="137">
        <f>Transportation_LCIA!Q$61*($W260^Transportation_LCIA!Q$60)+Transportation_LCIA!Q$62</f>
        <v>1.8020098795436986E-4</v>
      </c>
      <c r="AN260" s="137">
        <f>Transportation_LCIA!R$61*($W260^Transportation_LCIA!R$60)+Transportation_LCIA!R$62</f>
        <v>5.7424922383034498E-4</v>
      </c>
      <c r="AO260" s="137">
        <f>Transportation_LCIA!S$61*($W260^Transportation_LCIA!S$60)+Transportation_LCIA!S$62</f>
        <v>8.4037179670860392E-6</v>
      </c>
      <c r="AP260" s="137">
        <f>Transportation_LCIA!T$61*($W260^Transportation_LCIA!T$60)+Transportation_LCIA!T$62</f>
        <v>8.4037179670860392E-6</v>
      </c>
      <c r="AQ260" s="137">
        <f>Transportation_LCIA!U$61*($W260^Transportation_LCIA!U$60)+Transportation_LCIA!U$62</f>
        <v>1.2483593696332224E-3</v>
      </c>
      <c r="AR260" s="137">
        <f>Transportation_LCIA!V$61*($W260^Transportation_LCIA!V$60)+Transportation_LCIA!V$62</f>
        <v>4.6955543369307253E-4</v>
      </c>
      <c r="AT260" s="137">
        <f>$W260*Y260+$L260*Summary_LCIA!H$32</f>
        <v>217.77132685526664</v>
      </c>
      <c r="AU260" s="137">
        <f>$W260*Z260+$L260*Summary_LCIA!Q$32</f>
        <v>2605.4516617747531</v>
      </c>
      <c r="AV260" s="137">
        <f>$W260*AA260+$L260*Summary_LCIA!R$32</f>
        <v>1.9057457034312602</v>
      </c>
      <c r="AW260" s="137">
        <f>$W260*AB260+$L260*Summary_LCIA!S$32</f>
        <v>216.94014585526662</v>
      </c>
      <c r="AX260" s="137">
        <f>$W260*AC260+$L260*Summary_LCIA!T$32</f>
        <v>59.602492989379527</v>
      </c>
      <c r="AY260" s="137">
        <f>$W260*AD260+$L260*Summary_LCIA!U$32</f>
        <v>3.5816671166825516</v>
      </c>
      <c r="AZ260" s="137">
        <f>$W260*AE260+$L260*Summary_LCIA!V$32</f>
        <v>1.3953825505692444E-2</v>
      </c>
      <c r="BA260" s="137">
        <f>$W260*AF260+$L260*Summary_LCIA!W$32</f>
        <v>21.904288802681094</v>
      </c>
      <c r="BB260" s="137">
        <f>$W260*AG260+$L260*Summary_LCIA!X$32</f>
        <v>12.922539528021312</v>
      </c>
      <c r="BC260" s="137">
        <f>$W260*AH260+$L260*Summary_LCIA!Y$32</f>
        <v>3.1203832905425113</v>
      </c>
      <c r="BD260" s="137">
        <f>$W260*AI260+$L260*Summary_LCIA!Z$32</f>
        <v>0.16305184571097442</v>
      </c>
      <c r="BE260" s="137">
        <f>$W260*AJ260+$L260*Summary_LCIA!AA$32</f>
        <v>5.1321628988637533</v>
      </c>
      <c r="BF260" s="137">
        <f>$W260*AK260+$L260*Summary_LCIA!AB$32</f>
        <v>3.7140298440517916E-2</v>
      </c>
      <c r="BG260" s="137">
        <f>$W260*AL260+$L260*Summary_LCIA!AC$32</f>
        <v>2.908017417753413E-5</v>
      </c>
      <c r="BH260" s="137">
        <f>$W260*AM260+$L260*Summary_LCIA!AD$32</f>
        <v>0.15224677633468015</v>
      </c>
      <c r="BI260" s="137">
        <f>$W260*AN260+$L260*Summary_LCIA!AE$32</f>
        <v>0.40548329378211784</v>
      </c>
      <c r="BJ260" s="137">
        <f>$W260*AO260+$L260*Summary_LCIA!AF$32</f>
        <v>0.16247657576926733</v>
      </c>
      <c r="BK260" s="137">
        <f>$W260*AP260+$L260*Summary_LCIA!AG$32</f>
        <v>1.3116923019267292E-2</v>
      </c>
      <c r="BL260" s="137">
        <f>$W260*AQ260+$L260*Summary_LCIA!AH$32</f>
        <v>2.155940065700062</v>
      </c>
      <c r="BM260" s="137">
        <f>$W260*AR260+$L260*Summary_LCIA!AI$32</f>
        <v>0.37047940663746748</v>
      </c>
    </row>
    <row r="261" spans="1:65" x14ac:dyDescent="0.25">
      <c r="A261" s="149">
        <v>197</v>
      </c>
      <c r="B261" s="149">
        <v>6</v>
      </c>
      <c r="C261" s="61">
        <v>38.933138999999997</v>
      </c>
      <c r="D261" s="61">
        <v>-92.373804000000007</v>
      </c>
      <c r="E261" s="61" t="s">
        <v>265</v>
      </c>
      <c r="F261" s="149">
        <v>94</v>
      </c>
      <c r="G261" s="61" t="s">
        <v>693</v>
      </c>
      <c r="H261" s="61" t="s">
        <v>694</v>
      </c>
      <c r="I261" s="61">
        <v>38.749940000000002</v>
      </c>
      <c r="J261" s="61">
        <v>-90.374819000000002</v>
      </c>
      <c r="K261" s="61">
        <v>177.120712</v>
      </c>
      <c r="L261" s="61">
        <v>188.05</v>
      </c>
      <c r="M261" s="61" t="s">
        <v>617</v>
      </c>
      <c r="N261" s="149">
        <v>5</v>
      </c>
      <c r="O261" s="149">
        <v>6</v>
      </c>
      <c r="P261" s="61" t="s">
        <v>565</v>
      </c>
      <c r="Q261" s="61" t="s">
        <v>564</v>
      </c>
      <c r="R261" s="61">
        <v>41.98028</v>
      </c>
      <c r="S261" s="61">
        <v>-87.908997900000003</v>
      </c>
      <c r="T261" s="61">
        <v>628.77</v>
      </c>
      <c r="U261" s="61" t="s">
        <v>617</v>
      </c>
      <c r="V261" s="61" t="s">
        <v>569</v>
      </c>
      <c r="W261" s="61" cm="1">
        <f t="array" ref="W261">getDistance(I261,J261,R261,S261)*SA!$B$12</f>
        <v>415.92837633975137</v>
      </c>
      <c r="Y261" s="137">
        <f>Transportation_LCIA!C$61*($W261^Transportation_LCIA!C$60)+Transportation_LCIA!C$62</f>
        <v>0.36994815840498518</v>
      </c>
      <c r="Z261" s="137">
        <f>Transportation_LCIA!D$61*($W261^Transportation_LCIA!D$60)+Transportation_LCIA!D$62</f>
        <v>4.0234484421955647</v>
      </c>
      <c r="AA261" s="137">
        <f>Transportation_LCIA!E$61*($W261^Transportation_LCIA!E$60)+Transportation_LCIA!E$62</f>
        <v>2.2012194298649938E-3</v>
      </c>
      <c r="AB261" s="137">
        <f>Transportation_LCIA!F$61*($W261^Transportation_LCIA!F$60)+Transportation_LCIA!F$62</f>
        <v>0.36994815840498518</v>
      </c>
      <c r="AC261" s="137">
        <f>Transportation_LCIA!G$61*($W261^Transportation_LCIA!G$60)+Transportation_LCIA!G$62</f>
        <v>9.3611785596409508E-2</v>
      </c>
      <c r="AD261" s="137">
        <f>Transportation_LCIA!H$61*($W261^Transportation_LCIA!H$60)+Transportation_LCIA!H$62</f>
        <v>5.1196174340509932E-4</v>
      </c>
      <c r="AE261" s="137">
        <f>Transportation_LCIA!I$61*($W261^Transportation_LCIA!I$60)+Transportation_LCIA!I$62</f>
        <v>1.1954869488468754E-5</v>
      </c>
      <c r="AF261" s="137">
        <f>Transportation_LCIA!J$61*($W261^Transportation_LCIA!J$60)+Transportation_LCIA!J$62</f>
        <v>1.7863393495932058E-2</v>
      </c>
      <c r="AG261" s="137">
        <f>Transportation_LCIA!K$61*($W261^Transportation_LCIA!K$60)+Transportation_LCIA!K$62</f>
        <v>2.0769827257385139E-2</v>
      </c>
      <c r="AH261" s="137">
        <f>Transportation_LCIA!L$61*($W261^Transportation_LCIA!L$60)+Transportation_LCIA!L$62</f>
        <v>4.5726187815364603E-4</v>
      </c>
      <c r="AI261" s="137">
        <f>Transportation_LCIA!M$61*($W261^Transportation_LCIA!M$60)+Transportation_LCIA!M$62</f>
        <v>3.7347801231547796E-4</v>
      </c>
      <c r="AJ261" s="137">
        <f>Transportation_LCIA!N$61*($W261^Transportation_LCIA!N$60)+Transportation_LCIA!N$62</f>
        <v>1.7793137976698883E-3</v>
      </c>
      <c r="AK261" s="137">
        <f>Transportation_LCIA!O$61*($W261^Transportation_LCIA!O$60)+Transportation_LCIA!O$62</f>
        <v>9.9161576696146439E-5</v>
      </c>
      <c r="AL261" s="137">
        <f>Transportation_LCIA!P$61*($W261^Transportation_LCIA!P$60)+Transportation_LCIA!P$62</f>
        <v>4.7814814061373349E-8</v>
      </c>
      <c r="AM261" s="137">
        <f>Transportation_LCIA!Q$61*($W261^Transportation_LCIA!Q$60)+Transportation_LCIA!Q$62</f>
        <v>1.8020098795436986E-4</v>
      </c>
      <c r="AN261" s="137">
        <f>Transportation_LCIA!R$61*($W261^Transportation_LCIA!R$60)+Transportation_LCIA!R$62</f>
        <v>5.7424922383034498E-4</v>
      </c>
      <c r="AO261" s="137">
        <f>Transportation_LCIA!S$61*($W261^Transportation_LCIA!S$60)+Transportation_LCIA!S$62</f>
        <v>8.4037179670860392E-6</v>
      </c>
      <c r="AP261" s="137">
        <f>Transportation_LCIA!T$61*($W261^Transportation_LCIA!T$60)+Transportation_LCIA!T$62</f>
        <v>8.4037179670860392E-6</v>
      </c>
      <c r="AQ261" s="137">
        <f>Transportation_LCIA!U$61*($W261^Transportation_LCIA!U$60)+Transportation_LCIA!U$62</f>
        <v>1.2483593696332224E-3</v>
      </c>
      <c r="AR261" s="137">
        <f>Transportation_LCIA!V$61*($W261^Transportation_LCIA!V$60)+Transportation_LCIA!V$62</f>
        <v>4.6955543369307253E-4</v>
      </c>
      <c r="AT261" s="137">
        <f>$W261*Y261+$L261*Summary_LCIA!H$32</f>
        <v>217.77132685526664</v>
      </c>
      <c r="AU261" s="137">
        <f>$W261*Z261+$L261*Summary_LCIA!Q$32</f>
        <v>2605.4516617747531</v>
      </c>
      <c r="AV261" s="137">
        <f>$W261*AA261+$L261*Summary_LCIA!R$32</f>
        <v>1.9057457034312602</v>
      </c>
      <c r="AW261" s="137">
        <f>$W261*AB261+$L261*Summary_LCIA!S$32</f>
        <v>216.94014585526662</v>
      </c>
      <c r="AX261" s="137">
        <f>$W261*AC261+$L261*Summary_LCIA!T$32</f>
        <v>59.602492989379527</v>
      </c>
      <c r="AY261" s="137">
        <f>$W261*AD261+$L261*Summary_LCIA!U$32</f>
        <v>3.5816671166825516</v>
      </c>
      <c r="AZ261" s="137">
        <f>$W261*AE261+$L261*Summary_LCIA!V$32</f>
        <v>1.3953825505692444E-2</v>
      </c>
      <c r="BA261" s="137">
        <f>$W261*AF261+$L261*Summary_LCIA!W$32</f>
        <v>21.904288802681094</v>
      </c>
      <c r="BB261" s="137">
        <f>$W261*AG261+$L261*Summary_LCIA!X$32</f>
        <v>12.922539528021312</v>
      </c>
      <c r="BC261" s="137">
        <f>$W261*AH261+$L261*Summary_LCIA!Y$32</f>
        <v>3.1203832905425113</v>
      </c>
      <c r="BD261" s="137">
        <f>$W261*AI261+$L261*Summary_LCIA!Z$32</f>
        <v>0.16305184571097442</v>
      </c>
      <c r="BE261" s="137">
        <f>$W261*AJ261+$L261*Summary_LCIA!AA$32</f>
        <v>5.1321628988637533</v>
      </c>
      <c r="BF261" s="137">
        <f>$W261*AK261+$L261*Summary_LCIA!AB$32</f>
        <v>3.7140298440517916E-2</v>
      </c>
      <c r="BG261" s="137">
        <f>$W261*AL261+$L261*Summary_LCIA!AC$32</f>
        <v>2.908017417753413E-5</v>
      </c>
      <c r="BH261" s="137">
        <f>$W261*AM261+$L261*Summary_LCIA!AD$32</f>
        <v>0.15224677633468015</v>
      </c>
      <c r="BI261" s="137">
        <f>$W261*AN261+$L261*Summary_LCIA!AE$32</f>
        <v>0.40548329378211784</v>
      </c>
      <c r="BJ261" s="137">
        <f>$W261*AO261+$L261*Summary_LCIA!AF$32</f>
        <v>0.16247657576926733</v>
      </c>
      <c r="BK261" s="137">
        <f>$W261*AP261+$L261*Summary_LCIA!AG$32</f>
        <v>1.3116923019267292E-2</v>
      </c>
      <c r="BL261" s="137">
        <f>$W261*AQ261+$L261*Summary_LCIA!AH$32</f>
        <v>2.155940065700062</v>
      </c>
      <c r="BM261" s="137">
        <f>$W261*AR261+$L261*Summary_LCIA!AI$32</f>
        <v>0.37047940663746748</v>
      </c>
    </row>
    <row r="262" spans="1:65" x14ac:dyDescent="0.25">
      <c r="A262" s="149">
        <v>272</v>
      </c>
      <c r="B262" s="149">
        <v>6</v>
      </c>
      <c r="C262" s="61">
        <v>44.974156000000001</v>
      </c>
      <c r="D262" s="61">
        <v>-93.234200000000001</v>
      </c>
      <c r="E262" s="61" t="s">
        <v>265</v>
      </c>
      <c r="F262" s="149">
        <v>57</v>
      </c>
      <c r="G262" s="61" t="s">
        <v>565</v>
      </c>
      <c r="H262" s="61" t="s">
        <v>641</v>
      </c>
      <c r="I262" s="61">
        <v>44.884754999999998</v>
      </c>
      <c r="J262" s="61">
        <v>-93.222284999999999</v>
      </c>
      <c r="K262" s="61">
        <v>16.087904340000001</v>
      </c>
      <c r="L262" s="61">
        <v>18.332000000000001</v>
      </c>
      <c r="M262" s="61" t="s">
        <v>617</v>
      </c>
      <c r="N262" s="149">
        <v>5</v>
      </c>
      <c r="O262" s="149">
        <v>6</v>
      </c>
      <c r="P262" s="61" t="s">
        <v>565</v>
      </c>
      <c r="Q262" s="61" t="s">
        <v>564</v>
      </c>
      <c r="R262" s="61">
        <v>41.98028</v>
      </c>
      <c r="S262" s="61">
        <v>-87.908997900000003</v>
      </c>
      <c r="T262" s="61">
        <v>632.90800000000002</v>
      </c>
      <c r="U262" s="61" t="s">
        <v>617</v>
      </c>
      <c r="V262" s="61" t="s">
        <v>569</v>
      </c>
      <c r="W262" s="61" cm="1">
        <f t="array" ref="W262">getDistance(I262,J262,R262,S262)*SA!$B$12</f>
        <v>537.9238360294454</v>
      </c>
      <c r="Y262" s="137">
        <f>Transportation_LCIA!C$61*($W262^Transportation_LCIA!C$60)+Transportation_LCIA!C$62</f>
        <v>0.31986678213898079</v>
      </c>
      <c r="Z262" s="137">
        <f>Transportation_LCIA!D$61*($W262^Transportation_LCIA!D$60)+Transportation_LCIA!D$62</f>
        <v>3.4196837590581142</v>
      </c>
      <c r="AA262" s="137">
        <f>Transportation_LCIA!E$61*($W262^Transportation_LCIA!E$60)+Transportation_LCIA!E$62</f>
        <v>1.8006084167141755E-3</v>
      </c>
      <c r="AB262" s="137">
        <f>Transportation_LCIA!F$61*($W262^Transportation_LCIA!F$60)+Transportation_LCIA!F$62</f>
        <v>0.31986678213898079</v>
      </c>
      <c r="AC262" s="137">
        <f>Transportation_LCIA!G$61*($W262^Transportation_LCIA!G$60)+Transportation_LCIA!G$62</f>
        <v>7.9669699225259488E-2</v>
      </c>
      <c r="AD262" s="137">
        <f>Transportation_LCIA!H$61*($W262^Transportation_LCIA!H$60)+Transportation_LCIA!H$62</f>
        <v>4.2227087470452683E-4</v>
      </c>
      <c r="AE262" s="137">
        <f>Transportation_LCIA!I$61*($W262^Transportation_LCIA!I$60)+Transportation_LCIA!I$62</f>
        <v>9.6304021623867961E-6</v>
      </c>
      <c r="AF262" s="137">
        <f>Transportation_LCIA!J$61*($W262^Transportation_LCIA!J$60)+Transportation_LCIA!J$62</f>
        <v>1.4335225470337743E-2</v>
      </c>
      <c r="AG262" s="137">
        <f>Transportation_LCIA!K$61*($W262^Transportation_LCIA!K$60)+Transportation_LCIA!K$62</f>
        <v>1.7461378929992367E-2</v>
      </c>
      <c r="AH262" s="137">
        <f>Transportation_LCIA!L$61*($W262^Transportation_LCIA!L$60)+Transportation_LCIA!L$62</f>
        <v>3.741200211309115E-4</v>
      </c>
      <c r="AI262" s="137">
        <f>Transportation_LCIA!M$61*($W262^Transportation_LCIA!M$60)+Transportation_LCIA!M$62</f>
        <v>3.2392972305419126E-4</v>
      </c>
      <c r="AJ262" s="137">
        <f>Transportation_LCIA!N$61*($W262^Transportation_LCIA!N$60)+Transportation_LCIA!N$62</f>
        <v>1.4784543299395398E-3</v>
      </c>
      <c r="AK262" s="137">
        <f>Transportation_LCIA!O$61*($W262^Transportation_LCIA!O$60)+Transportation_LCIA!O$62</f>
        <v>8.4333072501823996E-5</v>
      </c>
      <c r="AL262" s="137">
        <f>Transportation_LCIA!P$61*($W262^Transportation_LCIA!P$60)+Transportation_LCIA!P$62</f>
        <v>4.0702648380323872E-8</v>
      </c>
      <c r="AM262" s="137">
        <f>Transportation_LCIA!Q$61*($W262^Transportation_LCIA!Q$60)+Transportation_LCIA!Q$62</f>
        <v>1.4754717709156823E-4</v>
      </c>
      <c r="AN262" s="137">
        <f>Transportation_LCIA!R$61*($W262^Transportation_LCIA!R$60)+Transportation_LCIA!R$62</f>
        <v>4.6270576693556009E-4</v>
      </c>
      <c r="AO262" s="137">
        <f>Transportation_LCIA!S$61*($W262^Transportation_LCIA!S$60)+Transportation_LCIA!S$62</f>
        <v>6.8227398697620497E-6</v>
      </c>
      <c r="AP262" s="137">
        <f>Transportation_LCIA!T$61*($W262^Transportation_LCIA!T$60)+Transportation_LCIA!T$62</f>
        <v>6.8227398697620497E-6</v>
      </c>
      <c r="AQ262" s="137">
        <f>Transportation_LCIA!U$61*($W262^Transportation_LCIA!U$60)+Transportation_LCIA!U$62</f>
        <v>1.002389311334221E-3</v>
      </c>
      <c r="AR262" s="137">
        <f>Transportation_LCIA!V$61*($W262^Transportation_LCIA!V$60)+Transportation_LCIA!V$62</f>
        <v>3.8411685160034487E-4</v>
      </c>
      <c r="AT262" s="137">
        <f>$W262*Y262+$L262*Summary_LCIA!H$32</f>
        <v>178.29318006659545</v>
      </c>
      <c r="AU262" s="137">
        <f>$W262*Z262+$L262*Summary_LCIA!Q$32</f>
        <v>1930.3837222178904</v>
      </c>
      <c r="AV262" s="137">
        <f>$W262*AA262+$L262*Summary_LCIA!R$32</f>
        <v>1.0651191659057955</v>
      </c>
      <c r="AW262" s="137">
        <f>$W262*AB262+$L262*Summary_LCIA!S$32</f>
        <v>178.21215262659544</v>
      </c>
      <c r="AX262" s="137">
        <f>$W262*AC262+$L262*Summary_LCIA!T$32</f>
        <v>44.870917022563717</v>
      </c>
      <c r="AY262" s="137">
        <f>$W262*AD262+$L262*Summary_LCIA!U$32</f>
        <v>0.55554901676456836</v>
      </c>
      <c r="AZ262" s="137">
        <f>$W262*AE262+$L262*Summary_LCIA!V$32</f>
        <v>6.0559775256973708E-3</v>
      </c>
      <c r="BA262" s="137">
        <f>$W262*AF262+$L262*Summary_LCIA!W$32</f>
        <v>9.1222918473510894</v>
      </c>
      <c r="BB262" s="137">
        <f>$W262*AG262+$L262*Summary_LCIA!X$32</f>
        <v>9.8104948963852276</v>
      </c>
      <c r="BC262" s="137">
        <f>$W262*AH262+$L262*Summary_LCIA!Y$32</f>
        <v>0.4868973009021571</v>
      </c>
      <c r="BD262" s="137">
        <f>$W262*AI262+$L262*Summary_LCIA!Z$32</f>
        <v>0.17500129621726643</v>
      </c>
      <c r="BE262" s="137">
        <f>$W262*AJ262+$L262*Summary_LCIA!AA$32</f>
        <v>1.2234580165554205</v>
      </c>
      <c r="BF262" s="137">
        <f>$W262*AK262+$L262*Summary_LCIA!AB$32</f>
        <v>4.4964710628330504E-2</v>
      </c>
      <c r="BG262" s="137">
        <f>$W262*AL262+$L262*Summary_LCIA!AC$32</f>
        <v>2.2791066241301509E-5</v>
      </c>
      <c r="BH262" s="137">
        <f>$W262*AM262+$L262*Summary_LCIA!AD$32</f>
        <v>8.6904328776412285E-2</v>
      </c>
      <c r="BI262" s="137">
        <f>$W262*AN262+$L262*Summary_LCIA!AE$32</f>
        <v>0.26514499626292298</v>
      </c>
      <c r="BJ262" s="137">
        <f>$W262*AO262+$L262*Summary_LCIA!AF$32</f>
        <v>1.9168353842973444E-2</v>
      </c>
      <c r="BK262" s="137">
        <f>$W262*AP262+$L262*Summary_LCIA!AG$32</f>
        <v>4.6080711829734403E-3</v>
      </c>
      <c r="BL262" s="137">
        <f>$W262*AQ262+$L262*Summary_LCIA!AH$32</f>
        <v>0.69876349874781818</v>
      </c>
      <c r="BM262" s="137">
        <f>$W262*AR262+$L262*Summary_LCIA!AI$32</f>
        <v>0.22370278489641071</v>
      </c>
    </row>
    <row r="263" spans="1:65" x14ac:dyDescent="0.25">
      <c r="A263" s="149">
        <v>47</v>
      </c>
      <c r="B263" s="149">
        <v>6</v>
      </c>
      <c r="C263" s="61">
        <v>44.983167000000002</v>
      </c>
      <c r="D263" s="61">
        <v>-93.225847999999999</v>
      </c>
      <c r="E263" s="61" t="s">
        <v>265</v>
      </c>
      <c r="F263" s="149">
        <v>57</v>
      </c>
      <c r="G263" s="61" t="s">
        <v>565</v>
      </c>
      <c r="H263" s="61" t="s">
        <v>641</v>
      </c>
      <c r="I263" s="61">
        <v>44.884754999999998</v>
      </c>
      <c r="J263" s="61">
        <v>-93.222284999999999</v>
      </c>
      <c r="K263" s="61">
        <v>17.648848319999999</v>
      </c>
      <c r="L263" s="61">
        <v>19.448</v>
      </c>
      <c r="M263" s="61" t="s">
        <v>617</v>
      </c>
      <c r="N263" s="149">
        <v>5</v>
      </c>
      <c r="O263" s="149">
        <v>6</v>
      </c>
      <c r="P263" s="61" t="s">
        <v>565</v>
      </c>
      <c r="Q263" s="61" t="s">
        <v>564</v>
      </c>
      <c r="R263" s="61">
        <v>41.98028</v>
      </c>
      <c r="S263" s="61">
        <v>-87.908997900000003</v>
      </c>
      <c r="T263" s="61">
        <v>632.95899999999995</v>
      </c>
      <c r="U263" s="61" t="s">
        <v>617</v>
      </c>
      <c r="V263" s="61" t="s">
        <v>569</v>
      </c>
      <c r="W263" s="61" cm="1">
        <f t="array" ref="W263">getDistance(I263,J263,R263,S263)*SA!$B$12</f>
        <v>537.9238360294454</v>
      </c>
      <c r="Y263" s="137">
        <f>Transportation_LCIA!C$61*($W263^Transportation_LCIA!C$60)+Transportation_LCIA!C$62</f>
        <v>0.31986678213898079</v>
      </c>
      <c r="Z263" s="137">
        <f>Transportation_LCIA!D$61*($W263^Transportation_LCIA!D$60)+Transportation_LCIA!D$62</f>
        <v>3.4196837590581142</v>
      </c>
      <c r="AA263" s="137">
        <f>Transportation_LCIA!E$61*($W263^Transportation_LCIA!E$60)+Transportation_LCIA!E$62</f>
        <v>1.8006084167141755E-3</v>
      </c>
      <c r="AB263" s="137">
        <f>Transportation_LCIA!F$61*($W263^Transportation_LCIA!F$60)+Transportation_LCIA!F$62</f>
        <v>0.31986678213898079</v>
      </c>
      <c r="AC263" s="137">
        <f>Transportation_LCIA!G$61*($W263^Transportation_LCIA!G$60)+Transportation_LCIA!G$62</f>
        <v>7.9669699225259488E-2</v>
      </c>
      <c r="AD263" s="137">
        <f>Transportation_LCIA!H$61*($W263^Transportation_LCIA!H$60)+Transportation_LCIA!H$62</f>
        <v>4.2227087470452683E-4</v>
      </c>
      <c r="AE263" s="137">
        <f>Transportation_LCIA!I$61*($W263^Transportation_LCIA!I$60)+Transportation_LCIA!I$62</f>
        <v>9.6304021623867961E-6</v>
      </c>
      <c r="AF263" s="137">
        <f>Transportation_LCIA!J$61*($W263^Transportation_LCIA!J$60)+Transportation_LCIA!J$62</f>
        <v>1.4335225470337743E-2</v>
      </c>
      <c r="AG263" s="137">
        <f>Transportation_LCIA!K$61*($W263^Transportation_LCIA!K$60)+Transportation_LCIA!K$62</f>
        <v>1.7461378929992367E-2</v>
      </c>
      <c r="AH263" s="137">
        <f>Transportation_LCIA!L$61*($W263^Transportation_LCIA!L$60)+Transportation_LCIA!L$62</f>
        <v>3.741200211309115E-4</v>
      </c>
      <c r="AI263" s="137">
        <f>Transportation_LCIA!M$61*($W263^Transportation_LCIA!M$60)+Transportation_LCIA!M$62</f>
        <v>3.2392972305419126E-4</v>
      </c>
      <c r="AJ263" s="137">
        <f>Transportation_LCIA!N$61*($W263^Transportation_LCIA!N$60)+Transportation_LCIA!N$62</f>
        <v>1.4784543299395398E-3</v>
      </c>
      <c r="AK263" s="137">
        <f>Transportation_LCIA!O$61*($W263^Transportation_LCIA!O$60)+Transportation_LCIA!O$62</f>
        <v>8.4333072501823996E-5</v>
      </c>
      <c r="AL263" s="137">
        <f>Transportation_LCIA!P$61*($W263^Transportation_LCIA!P$60)+Transportation_LCIA!P$62</f>
        <v>4.0702648380323872E-8</v>
      </c>
      <c r="AM263" s="137">
        <f>Transportation_LCIA!Q$61*($W263^Transportation_LCIA!Q$60)+Transportation_LCIA!Q$62</f>
        <v>1.4754717709156823E-4</v>
      </c>
      <c r="AN263" s="137">
        <f>Transportation_LCIA!R$61*($W263^Transportation_LCIA!R$60)+Transportation_LCIA!R$62</f>
        <v>4.6270576693556009E-4</v>
      </c>
      <c r="AO263" s="137">
        <f>Transportation_LCIA!S$61*($W263^Transportation_LCIA!S$60)+Transportation_LCIA!S$62</f>
        <v>6.8227398697620497E-6</v>
      </c>
      <c r="AP263" s="137">
        <f>Transportation_LCIA!T$61*($W263^Transportation_LCIA!T$60)+Transportation_LCIA!T$62</f>
        <v>6.8227398697620497E-6</v>
      </c>
      <c r="AQ263" s="137">
        <f>Transportation_LCIA!U$61*($W263^Transportation_LCIA!U$60)+Transportation_LCIA!U$62</f>
        <v>1.002389311334221E-3</v>
      </c>
      <c r="AR263" s="137">
        <f>Transportation_LCIA!V$61*($W263^Transportation_LCIA!V$60)+Transportation_LCIA!V$62</f>
        <v>3.8411685160034487E-4</v>
      </c>
      <c r="AT263" s="137">
        <f>$W263*Y263+$L263*Summary_LCIA!H$32</f>
        <v>178.67239686659545</v>
      </c>
      <c r="AU263" s="137">
        <f>$W263*Z263+$L263*Summary_LCIA!Q$32</f>
        <v>1935.9146745011185</v>
      </c>
      <c r="AV263" s="137">
        <f>$W263*AA263+$L263*Summary_LCIA!R$32</f>
        <v>1.0709955755057954</v>
      </c>
      <c r="AW263" s="137">
        <f>$W263*AB263+$L263*Summary_LCIA!S$32</f>
        <v>178.58643670659544</v>
      </c>
      <c r="AX263" s="137">
        <f>$W263*AC263+$L263*Summary_LCIA!T$32</f>
        <v>44.993565422563719</v>
      </c>
      <c r="AY263" s="137">
        <f>$W263*AD263+$L263*Summary_LCIA!U$32</f>
        <v>0.57554104076456836</v>
      </c>
      <c r="AZ263" s="137">
        <f>$W263*AE263+$L263*Summary_LCIA!V$32</f>
        <v>6.1092788016973709E-3</v>
      </c>
      <c r="BA263" s="137">
        <f>$W263*AF263+$L263*Summary_LCIA!W$32</f>
        <v>9.2081914833510901</v>
      </c>
      <c r="BB263" s="137">
        <f>$W263*AG263+$L263*Summary_LCIA!X$32</f>
        <v>9.8359173763852272</v>
      </c>
      <c r="BC263" s="137">
        <f>$W263*AH263+$L263*Summary_LCIA!Y$32</f>
        <v>0.50428681290215716</v>
      </c>
      <c r="BD263" s="137">
        <f>$W263*AI263+$L263*Summary_LCIA!Z$32</f>
        <v>0.17504706226126643</v>
      </c>
      <c r="BE263" s="137">
        <f>$W263*AJ263+$L263*Summary_LCIA!AA$32</f>
        <v>1.2495233125554206</v>
      </c>
      <c r="BF263" s="137">
        <f>$W263*AK263+$L263*Summary_LCIA!AB$32</f>
        <v>4.49403561603305E-2</v>
      </c>
      <c r="BG263" s="137">
        <f>$W263*AL263+$L263*Summary_LCIA!AC$32</f>
        <v>2.284562078530151E-5</v>
      </c>
      <c r="BH263" s="137">
        <f>$W263*AM263+$L263*Summary_LCIA!AD$32</f>
        <v>8.7363049416412292E-2</v>
      </c>
      <c r="BI263" s="137">
        <f>$W263*AN263+$L263*Summary_LCIA!AE$32</f>
        <v>0.26613391734292302</v>
      </c>
      <c r="BJ263" s="137">
        <f>$W263*AO263+$L263*Summary_LCIA!AF$32</f>
        <v>2.0111842562973443E-2</v>
      </c>
      <c r="BK263" s="137">
        <f>$W263*AP263+$L263*Summary_LCIA!AG$32</f>
        <v>4.6651713229734406E-3</v>
      </c>
      <c r="BL263" s="137">
        <f>$W263*AQ263+$L263*Summary_LCIA!AH$32</f>
        <v>0.70847671634781817</v>
      </c>
      <c r="BM263" s="137">
        <f>$W263*AR263+$L263*Summary_LCIA!AI$32</f>
        <v>0.22474239469641072</v>
      </c>
    </row>
    <row r="264" spans="1:65" x14ac:dyDescent="0.25">
      <c r="A264" s="149">
        <v>33</v>
      </c>
      <c r="B264" s="149">
        <v>6</v>
      </c>
      <c r="C264" s="61">
        <v>47.115026</v>
      </c>
      <c r="D264" s="61">
        <v>-88.545199999999994</v>
      </c>
      <c r="E264" s="61" t="s">
        <v>265</v>
      </c>
      <c r="F264" s="149">
        <v>137</v>
      </c>
      <c r="G264" s="61" t="s">
        <v>642</v>
      </c>
      <c r="H264" s="61" t="s">
        <v>643</v>
      </c>
      <c r="I264" s="61">
        <v>47.168708000000002</v>
      </c>
      <c r="J264" s="61">
        <v>-88.496306000000004</v>
      </c>
      <c r="K264" s="61">
        <v>225.30955169999999</v>
      </c>
      <c r="L264" s="61">
        <v>13.54</v>
      </c>
      <c r="M264" s="61" t="s">
        <v>617</v>
      </c>
      <c r="N264" s="149">
        <v>5</v>
      </c>
      <c r="O264" s="149">
        <v>6</v>
      </c>
      <c r="P264" s="61" t="s">
        <v>565</v>
      </c>
      <c r="Q264" s="61" t="s">
        <v>564</v>
      </c>
      <c r="R264" s="61">
        <v>41.98028</v>
      </c>
      <c r="S264" s="61">
        <v>-87.908997900000003</v>
      </c>
      <c r="T264" s="61">
        <v>646.82100000000003</v>
      </c>
      <c r="U264" s="61" t="s">
        <v>617</v>
      </c>
      <c r="V264" s="61" t="s">
        <v>569</v>
      </c>
      <c r="W264" s="61" cm="1">
        <f t="array" ref="W264">getDistance(I264,J264,R264,S264)*SA!$B$12</f>
        <v>579.41700792204915</v>
      </c>
      <c r="Y264" s="137">
        <f>Transportation_LCIA!C$61*($W264^Transportation_LCIA!C$60)+Transportation_LCIA!C$62</f>
        <v>0.30729882152489507</v>
      </c>
      <c r="Z264" s="137">
        <f>Transportation_LCIA!D$61*($W264^Transportation_LCIA!D$60)+Transportation_LCIA!D$62</f>
        <v>3.2692833329177207</v>
      </c>
      <c r="AA264" s="137">
        <f>Transportation_LCIA!E$61*($W264^Transportation_LCIA!E$60)+Transportation_LCIA!E$62</f>
        <v>1.7010215246835009E-3</v>
      </c>
      <c r="AB264" s="137">
        <f>Transportation_LCIA!F$61*($W264^Transportation_LCIA!F$60)+Transportation_LCIA!F$62</f>
        <v>0.30729882152489507</v>
      </c>
      <c r="AC264" s="137">
        <f>Transportation_LCIA!G$61*($W264^Transportation_LCIA!G$60)+Transportation_LCIA!G$62</f>
        <v>7.6195167434880529E-2</v>
      </c>
      <c r="AD264" s="137">
        <f>Transportation_LCIA!H$61*($W264^Transportation_LCIA!H$60)+Transportation_LCIA!H$62</f>
        <v>4.0006618979584763E-4</v>
      </c>
      <c r="AE264" s="137">
        <f>Transportation_LCIA!I$61*($W264^Transportation_LCIA!I$60)+Transportation_LCIA!I$62</f>
        <v>9.0587319283235716E-6</v>
      </c>
      <c r="AF264" s="137">
        <f>Transportation_LCIA!J$61*($W264^Transportation_LCIA!J$60)+Transportation_LCIA!J$62</f>
        <v>1.3471269072017985E-2</v>
      </c>
      <c r="AG264" s="137">
        <f>Transportation_LCIA!K$61*($W264^Transportation_LCIA!K$60)+Transportation_LCIA!K$62</f>
        <v>1.6639947628133055E-2</v>
      </c>
      <c r="AH264" s="137">
        <f>Transportation_LCIA!L$61*($W264^Transportation_LCIA!L$60)+Transportation_LCIA!L$62</f>
        <v>3.5357540758904505E-4</v>
      </c>
      <c r="AI264" s="137">
        <f>Transportation_LCIA!M$61*($W264^Transportation_LCIA!M$60)+Transportation_LCIA!M$62</f>
        <v>3.1166584326352707E-4</v>
      </c>
      <c r="AJ264" s="137">
        <f>Transportation_LCIA!N$61*($W264^Transportation_LCIA!N$60)+Transportation_LCIA!N$62</f>
        <v>1.4039316702187713E-3</v>
      </c>
      <c r="AK264" s="137">
        <f>Transportation_LCIA!O$61*($W264^Transportation_LCIA!O$60)+Transportation_LCIA!O$62</f>
        <v>8.0638385241804721E-5</v>
      </c>
      <c r="AL264" s="137">
        <f>Transportation_LCIA!P$61*($W264^Transportation_LCIA!P$60)+Transportation_LCIA!P$62</f>
        <v>3.8929598832181193E-8</v>
      </c>
      <c r="AM264" s="137">
        <f>Transportation_LCIA!Q$61*($W264^Transportation_LCIA!Q$60)+Transportation_LCIA!Q$62</f>
        <v>1.394865004676305E-4</v>
      </c>
      <c r="AN264" s="137">
        <f>Transportation_LCIA!R$61*($W264^Transportation_LCIA!R$60)+Transportation_LCIA!R$62</f>
        <v>4.3527760270768294E-4</v>
      </c>
      <c r="AO264" s="137">
        <f>Transportation_LCIA!S$61*($W264^Transportation_LCIA!S$60)+Transportation_LCIA!S$62</f>
        <v>6.4338673498341644E-6</v>
      </c>
      <c r="AP264" s="137">
        <f>Transportation_LCIA!T$61*($W264^Transportation_LCIA!T$60)+Transportation_LCIA!T$62</f>
        <v>6.4338673498341644E-6</v>
      </c>
      <c r="AQ264" s="137">
        <f>Transportation_LCIA!U$61*($W264^Transportation_LCIA!U$60)+Transportation_LCIA!U$62</f>
        <v>9.4198202526368834E-4</v>
      </c>
      <c r="AR264" s="137">
        <f>Transportation_LCIA!V$61*($W264^Transportation_LCIA!V$60)+Transportation_LCIA!V$62</f>
        <v>3.6305370692808487E-4</v>
      </c>
      <c r="AT264" s="137">
        <f>$W264*Y264+$L264*Summary_LCIA!H$32</f>
        <v>182.65505570592649</v>
      </c>
      <c r="AU264" s="137">
        <f>$W264*Z264+$L264*Summary_LCIA!Q$32</f>
        <v>1961.3832896714302</v>
      </c>
      <c r="AV264" s="137">
        <f>$W264*AA264+$L264*Summary_LCIA!R$32</f>
        <v>1.0568970262431161</v>
      </c>
      <c r="AW264" s="137">
        <f>$W264*AB264+$L264*Summary_LCIA!S$32</f>
        <v>182.59520890592651</v>
      </c>
      <c r="AX264" s="137">
        <f>$W264*AC264+$L264*Summary_LCIA!T$32</f>
        <v>45.636821933238032</v>
      </c>
      <c r="AY264" s="137">
        <f>$W264*AD264+$L264*Summary_LCIA!U$32</f>
        <v>0.47436071466228463</v>
      </c>
      <c r="AZ264" s="137">
        <f>$W264*AE264+$L264*Summary_LCIA!V$32</f>
        <v>5.8954672894771789E-3</v>
      </c>
      <c r="BA264" s="137">
        <f>$W264*AF264+$L264*Summary_LCIA!W$32</f>
        <v>8.8476697586214996</v>
      </c>
      <c r="BB264" s="137">
        <f>$W264*AG264+$L264*Summary_LCIA!X$32</f>
        <v>9.9499098666724546</v>
      </c>
      <c r="BC264" s="137">
        <f>$W264*AH264+$L264*Summary_LCIA!Y$32</f>
        <v>0.41584788474006346</v>
      </c>
      <c r="BD264" s="137">
        <f>$W264*AI264+$L264*Summary_LCIA!Z$32</f>
        <v>0.18113975223525519</v>
      </c>
      <c r="BE264" s="137">
        <f>$W264*AJ264+$L264*Summary_LCIA!AA$32</f>
        <v>1.1297021276851655</v>
      </c>
      <c r="BF264" s="137">
        <f>$W264*AK264+$L264*Summary_LCIA!AB$32</f>
        <v>4.6427768480472018E-2</v>
      </c>
      <c r="BG264" s="137">
        <f>$W264*AL264+$L264*Summary_LCIA!AC$32</f>
        <v>2.3218361034948127E-5</v>
      </c>
      <c r="BH264" s="137">
        <f>$W264*AM264+$L264*Summary_LCIA!AD$32</f>
        <v>8.6386332346471972E-2</v>
      </c>
      <c r="BI264" s="137">
        <f>$W264*AN264+$L264*Summary_LCIA!AE$32</f>
        <v>0.26420544637636806</v>
      </c>
      <c r="BJ264" s="137">
        <f>$W264*AO264+$L264*Summary_LCIA!AF$32</f>
        <v>1.5174878969208275E-2</v>
      </c>
      <c r="BK264" s="137">
        <f>$W264*AP264+$L264*Summary_LCIA!AG$32</f>
        <v>4.4206662692082756E-3</v>
      </c>
      <c r="BL264" s="137">
        <f>$W264*AQ264+$L264*Summary_LCIA!AH$32</f>
        <v>0.66364715059463841</v>
      </c>
      <c r="BM264" s="137">
        <f>$W264*AR264+$L264*Summary_LCIA!AI$32</f>
        <v>0.22297267958327946</v>
      </c>
    </row>
    <row r="265" spans="1:65" x14ac:dyDescent="0.25">
      <c r="A265" s="149">
        <v>34</v>
      </c>
      <c r="B265" s="149">
        <v>6</v>
      </c>
      <c r="C265" s="61">
        <v>47.115026</v>
      </c>
      <c r="D265" s="61">
        <v>-88.545199999999994</v>
      </c>
      <c r="E265" s="61" t="s">
        <v>265</v>
      </c>
      <c r="F265" s="149">
        <v>137</v>
      </c>
      <c r="G265" s="61" t="s">
        <v>642</v>
      </c>
      <c r="H265" s="61" t="s">
        <v>643</v>
      </c>
      <c r="I265" s="61">
        <v>47.168708000000002</v>
      </c>
      <c r="J265" s="61">
        <v>-88.496306000000004</v>
      </c>
      <c r="K265" s="61">
        <v>225.30955169999999</v>
      </c>
      <c r="L265" s="61">
        <v>13.54</v>
      </c>
      <c r="M265" s="61" t="s">
        <v>617</v>
      </c>
      <c r="N265" s="149">
        <v>5</v>
      </c>
      <c r="O265" s="149">
        <v>6</v>
      </c>
      <c r="P265" s="61" t="s">
        <v>565</v>
      </c>
      <c r="Q265" s="61" t="s">
        <v>564</v>
      </c>
      <c r="R265" s="61">
        <v>41.98028</v>
      </c>
      <c r="S265" s="61">
        <v>-87.908997900000003</v>
      </c>
      <c r="T265" s="61">
        <v>646.82100000000003</v>
      </c>
      <c r="U265" s="61" t="s">
        <v>617</v>
      </c>
      <c r="V265" s="61" t="s">
        <v>569</v>
      </c>
      <c r="W265" s="61" cm="1">
        <f t="array" ref="W265">getDistance(I265,J265,R265,S265)*SA!$B$12</f>
        <v>579.41700792204915</v>
      </c>
      <c r="Y265" s="137">
        <f>Transportation_LCIA!C$61*($W265^Transportation_LCIA!C$60)+Transportation_LCIA!C$62</f>
        <v>0.30729882152489507</v>
      </c>
      <c r="Z265" s="137">
        <f>Transportation_LCIA!D$61*($W265^Transportation_LCIA!D$60)+Transportation_LCIA!D$62</f>
        <v>3.2692833329177207</v>
      </c>
      <c r="AA265" s="137">
        <f>Transportation_LCIA!E$61*($W265^Transportation_LCIA!E$60)+Transportation_LCIA!E$62</f>
        <v>1.7010215246835009E-3</v>
      </c>
      <c r="AB265" s="137">
        <f>Transportation_LCIA!F$61*($W265^Transportation_LCIA!F$60)+Transportation_LCIA!F$62</f>
        <v>0.30729882152489507</v>
      </c>
      <c r="AC265" s="137">
        <f>Transportation_LCIA!G$61*($W265^Transportation_LCIA!G$60)+Transportation_LCIA!G$62</f>
        <v>7.6195167434880529E-2</v>
      </c>
      <c r="AD265" s="137">
        <f>Transportation_LCIA!H$61*($W265^Transportation_LCIA!H$60)+Transportation_LCIA!H$62</f>
        <v>4.0006618979584763E-4</v>
      </c>
      <c r="AE265" s="137">
        <f>Transportation_LCIA!I$61*($W265^Transportation_LCIA!I$60)+Transportation_LCIA!I$62</f>
        <v>9.0587319283235716E-6</v>
      </c>
      <c r="AF265" s="137">
        <f>Transportation_LCIA!J$61*($W265^Transportation_LCIA!J$60)+Transportation_LCIA!J$62</f>
        <v>1.3471269072017985E-2</v>
      </c>
      <c r="AG265" s="137">
        <f>Transportation_LCIA!K$61*($W265^Transportation_LCIA!K$60)+Transportation_LCIA!K$62</f>
        <v>1.6639947628133055E-2</v>
      </c>
      <c r="AH265" s="137">
        <f>Transportation_LCIA!L$61*($W265^Transportation_LCIA!L$60)+Transportation_LCIA!L$62</f>
        <v>3.5357540758904505E-4</v>
      </c>
      <c r="AI265" s="137">
        <f>Transportation_LCIA!M$61*($W265^Transportation_LCIA!M$60)+Transportation_LCIA!M$62</f>
        <v>3.1166584326352707E-4</v>
      </c>
      <c r="AJ265" s="137">
        <f>Transportation_LCIA!N$61*($W265^Transportation_LCIA!N$60)+Transportation_LCIA!N$62</f>
        <v>1.4039316702187713E-3</v>
      </c>
      <c r="AK265" s="137">
        <f>Transportation_LCIA!O$61*($W265^Transportation_LCIA!O$60)+Transportation_LCIA!O$62</f>
        <v>8.0638385241804721E-5</v>
      </c>
      <c r="AL265" s="137">
        <f>Transportation_LCIA!P$61*($W265^Transportation_LCIA!P$60)+Transportation_LCIA!P$62</f>
        <v>3.8929598832181193E-8</v>
      </c>
      <c r="AM265" s="137">
        <f>Transportation_LCIA!Q$61*($W265^Transportation_LCIA!Q$60)+Transportation_LCIA!Q$62</f>
        <v>1.394865004676305E-4</v>
      </c>
      <c r="AN265" s="137">
        <f>Transportation_LCIA!R$61*($W265^Transportation_LCIA!R$60)+Transportation_LCIA!R$62</f>
        <v>4.3527760270768294E-4</v>
      </c>
      <c r="AO265" s="137">
        <f>Transportation_LCIA!S$61*($W265^Transportation_LCIA!S$60)+Transportation_LCIA!S$62</f>
        <v>6.4338673498341644E-6</v>
      </c>
      <c r="AP265" s="137">
        <f>Transportation_LCIA!T$61*($W265^Transportation_LCIA!T$60)+Transportation_LCIA!T$62</f>
        <v>6.4338673498341644E-6</v>
      </c>
      <c r="AQ265" s="137">
        <f>Transportation_LCIA!U$61*($W265^Transportation_LCIA!U$60)+Transportation_LCIA!U$62</f>
        <v>9.4198202526368834E-4</v>
      </c>
      <c r="AR265" s="137">
        <f>Transportation_LCIA!V$61*($W265^Transportation_LCIA!V$60)+Transportation_LCIA!V$62</f>
        <v>3.6305370692808487E-4</v>
      </c>
      <c r="AT265" s="137">
        <f>$W265*Y265+$L265*Summary_LCIA!H$32</f>
        <v>182.65505570592649</v>
      </c>
      <c r="AU265" s="137">
        <f>$W265*Z265+$L265*Summary_LCIA!Q$32</f>
        <v>1961.3832896714302</v>
      </c>
      <c r="AV265" s="137">
        <f>$W265*AA265+$L265*Summary_LCIA!R$32</f>
        <v>1.0568970262431161</v>
      </c>
      <c r="AW265" s="137">
        <f>$W265*AB265+$L265*Summary_LCIA!S$32</f>
        <v>182.59520890592651</v>
      </c>
      <c r="AX265" s="137">
        <f>$W265*AC265+$L265*Summary_LCIA!T$32</f>
        <v>45.636821933238032</v>
      </c>
      <c r="AY265" s="137">
        <f>$W265*AD265+$L265*Summary_LCIA!U$32</f>
        <v>0.47436071466228463</v>
      </c>
      <c r="AZ265" s="137">
        <f>$W265*AE265+$L265*Summary_LCIA!V$32</f>
        <v>5.8954672894771789E-3</v>
      </c>
      <c r="BA265" s="137">
        <f>$W265*AF265+$L265*Summary_LCIA!W$32</f>
        <v>8.8476697586214996</v>
      </c>
      <c r="BB265" s="137">
        <f>$W265*AG265+$L265*Summary_LCIA!X$32</f>
        <v>9.9499098666724546</v>
      </c>
      <c r="BC265" s="137">
        <f>$W265*AH265+$L265*Summary_LCIA!Y$32</f>
        <v>0.41584788474006346</v>
      </c>
      <c r="BD265" s="137">
        <f>$W265*AI265+$L265*Summary_LCIA!Z$32</f>
        <v>0.18113975223525519</v>
      </c>
      <c r="BE265" s="137">
        <f>$W265*AJ265+$L265*Summary_LCIA!AA$32</f>
        <v>1.1297021276851655</v>
      </c>
      <c r="BF265" s="137">
        <f>$W265*AK265+$L265*Summary_LCIA!AB$32</f>
        <v>4.6427768480472018E-2</v>
      </c>
      <c r="BG265" s="137">
        <f>$W265*AL265+$L265*Summary_LCIA!AC$32</f>
        <v>2.3218361034948127E-5</v>
      </c>
      <c r="BH265" s="137">
        <f>$W265*AM265+$L265*Summary_LCIA!AD$32</f>
        <v>8.6386332346471972E-2</v>
      </c>
      <c r="BI265" s="137">
        <f>$W265*AN265+$L265*Summary_LCIA!AE$32</f>
        <v>0.26420544637636806</v>
      </c>
      <c r="BJ265" s="137">
        <f>$W265*AO265+$L265*Summary_LCIA!AF$32</f>
        <v>1.5174878969208275E-2</v>
      </c>
      <c r="BK265" s="137">
        <f>$W265*AP265+$L265*Summary_LCIA!AG$32</f>
        <v>4.4206662692082756E-3</v>
      </c>
      <c r="BL265" s="137">
        <f>$W265*AQ265+$L265*Summary_LCIA!AH$32</f>
        <v>0.66364715059463841</v>
      </c>
      <c r="BM265" s="137">
        <f>$W265*AR265+$L265*Summary_LCIA!AI$32</f>
        <v>0.22297267958327946</v>
      </c>
    </row>
    <row r="266" spans="1:65" x14ac:dyDescent="0.25">
      <c r="A266" s="149">
        <v>128</v>
      </c>
      <c r="B266" s="149">
        <v>16</v>
      </c>
      <c r="C266" s="61">
        <v>35.686974999999997</v>
      </c>
      <c r="D266" s="61">
        <v>-105.937799</v>
      </c>
      <c r="E266" s="61" t="s">
        <v>265</v>
      </c>
      <c r="F266" s="149">
        <v>119</v>
      </c>
      <c r="G266" s="61" t="s">
        <v>676</v>
      </c>
      <c r="H266" s="61" t="s">
        <v>677</v>
      </c>
      <c r="I266" s="61">
        <v>35.043332999999997</v>
      </c>
      <c r="J266" s="61">
        <v>-106.612909</v>
      </c>
      <c r="K266" s="61">
        <v>132.83882500000001</v>
      </c>
      <c r="L266" s="61">
        <v>108.321</v>
      </c>
      <c r="M266" s="61" t="s">
        <v>617</v>
      </c>
      <c r="N266" s="149">
        <v>15</v>
      </c>
      <c r="O266" s="149">
        <v>16</v>
      </c>
      <c r="P266" s="61" t="s">
        <v>565</v>
      </c>
      <c r="Q266" s="61" t="s">
        <v>556</v>
      </c>
      <c r="R266" s="61">
        <v>39.856096299999997</v>
      </c>
      <c r="S266" s="61">
        <v>-104.6737376</v>
      </c>
      <c r="T266" s="61">
        <v>658.04899999999998</v>
      </c>
      <c r="U266" s="61" t="s">
        <v>617</v>
      </c>
      <c r="V266" s="61" t="s">
        <v>569</v>
      </c>
      <c r="W266" s="61" cm="1">
        <f t="array" ref="W266">getDistance(I266,J266,R266,S266)*SA!$B$12</f>
        <v>562.0692154742253</v>
      </c>
      <c r="Y266" s="137">
        <f>Transportation_LCIA!C$61*($W266^Transportation_LCIA!C$60)+Transportation_LCIA!C$62</f>
        <v>0.31234572379644221</v>
      </c>
      <c r="Z266" s="137">
        <f>Transportation_LCIA!D$61*($W266^Transportation_LCIA!D$60)+Transportation_LCIA!D$62</f>
        <v>3.3296210667490271</v>
      </c>
      <c r="AA266" s="137">
        <f>Transportation_LCIA!E$61*($W266^Transportation_LCIA!E$60)+Transportation_LCIA!E$62</f>
        <v>1.7409629881306933E-3</v>
      </c>
      <c r="AB266" s="137">
        <f>Transportation_LCIA!F$61*($W266^Transportation_LCIA!F$60)+Transportation_LCIA!F$62</f>
        <v>0.31234572379644221</v>
      </c>
      <c r="AC266" s="137">
        <f>Transportation_LCIA!G$61*($W266^Transportation_LCIA!G$60)+Transportation_LCIA!G$62</f>
        <v>7.7589160875477806E-2</v>
      </c>
      <c r="AD266" s="137">
        <f>Transportation_LCIA!H$61*($W266^Transportation_LCIA!H$60)+Transportation_LCIA!H$62</f>
        <v>4.0896707036547922E-4</v>
      </c>
      <c r="AE266" s="137">
        <f>Transportation_LCIA!I$61*($W266^Transportation_LCIA!I$60)+Transportation_LCIA!I$62</f>
        <v>9.287690950406478E-6</v>
      </c>
      <c r="AF266" s="137">
        <f>Transportation_LCIA!J$61*($W266^Transportation_LCIA!J$60)+Transportation_LCIA!J$62</f>
        <v>1.381709544487048E-2</v>
      </c>
      <c r="AG266" s="137">
        <f>Transportation_LCIA!K$61*($W266^Transportation_LCIA!K$60)+Transportation_LCIA!K$62</f>
        <v>1.6969347425940542E-2</v>
      </c>
      <c r="AH266" s="137">
        <f>Transportation_LCIA!L$61*($W266^Transportation_LCIA!L$60)+Transportation_LCIA!L$62</f>
        <v>3.6180880809060781E-4</v>
      </c>
      <c r="AI266" s="137">
        <f>Transportation_LCIA!M$61*($W266^Transportation_LCIA!M$60)+Transportation_LCIA!M$62</f>
        <v>3.1658174874836395E-4</v>
      </c>
      <c r="AJ266" s="137">
        <f>Transportation_LCIA!N$61*($W266^Transportation_LCIA!N$60)+Transportation_LCIA!N$62</f>
        <v>1.4338065791517597E-3</v>
      </c>
      <c r="AK266" s="137">
        <f>Transportation_LCIA!O$61*($W266^Transportation_LCIA!O$60)+Transportation_LCIA!O$62</f>
        <v>8.2120666352479983E-5</v>
      </c>
      <c r="AL266" s="137">
        <f>Transportation_LCIA!P$61*($W266^Transportation_LCIA!P$60)+Transportation_LCIA!P$62</f>
        <v>3.9640984354842165E-8</v>
      </c>
      <c r="AM266" s="137">
        <f>Transportation_LCIA!Q$61*($W266^Transportation_LCIA!Q$60)+Transportation_LCIA!Q$62</f>
        <v>1.427164451988576E-4</v>
      </c>
      <c r="AN266" s="137">
        <f>Transportation_LCIA!R$61*($W266^Transportation_LCIA!R$60)+Transportation_LCIA!R$62</f>
        <v>4.4626259685882214E-4</v>
      </c>
      <c r="AO266" s="137">
        <f>Transportation_LCIA!S$61*($W266^Transportation_LCIA!S$60)+Transportation_LCIA!S$62</f>
        <v>6.5896170398703171E-6</v>
      </c>
      <c r="AP266" s="137">
        <f>Transportation_LCIA!T$61*($W266^Transportation_LCIA!T$60)+Transportation_LCIA!T$62</f>
        <v>6.5896170398703171E-6</v>
      </c>
      <c r="AQ266" s="137">
        <f>Transportation_LCIA!U$61*($W266^Transportation_LCIA!U$60)+Transportation_LCIA!U$62</f>
        <v>9.6617119892550003E-4</v>
      </c>
      <c r="AR266" s="137">
        <f>Transportation_LCIA!V$61*($W266^Transportation_LCIA!V$60)+Transportation_LCIA!V$62</f>
        <v>3.7149234590026369E-4</v>
      </c>
      <c r="AT266" s="137">
        <f>$W266*Y266+$L266*Summary_LCIA!H$32</f>
        <v>212.36739173099534</v>
      </c>
      <c r="AU266" s="137">
        <f>$W266*Z266+$L266*Summary_LCIA!Q$32</f>
        <v>2408.3218397670717</v>
      </c>
      <c r="AV266" s="137">
        <f>$W266*AA266+$L266*Summary_LCIA!R$32</f>
        <v>1.5489167585082817</v>
      </c>
      <c r="AW266" s="137">
        <f>$W266*AB266+$L266*Summary_LCIA!S$32</f>
        <v>211.88861291099533</v>
      </c>
      <c r="AX266" s="137">
        <f>$W266*AC266+$L266*Summary_LCIA!T$32</f>
        <v>55.514956682583261</v>
      </c>
      <c r="AY266" s="137">
        <f>$W266*AD266+$L266*Summary_LCIA!U$32</f>
        <v>2.1703301943951172</v>
      </c>
      <c r="AZ266" s="137">
        <f>$W266*AE266+$L266*Summary_LCIA!V$32</f>
        <v>1.0393844447062031E-2</v>
      </c>
      <c r="BA266" s="137">
        <f>$W266*AF266+$L266*Summary_LCIA!W$32</f>
        <v>16.103739687830842</v>
      </c>
      <c r="BB266" s="137">
        <f>$W266*AG266+$L266*Summary_LCIA!X$32</f>
        <v>12.005500174807967</v>
      </c>
      <c r="BC266" s="137">
        <f>$W266*AH266+$L266*Summary_LCIA!Y$32</f>
        <v>1.8912194149151524</v>
      </c>
      <c r="BD266" s="137">
        <f>$W266*AI266+$L266*Summary_LCIA!Z$32</f>
        <v>0.18238299104145123</v>
      </c>
      <c r="BE266" s="137">
        <f>$W266*AJ266+$L266*Summary_LCIA!AA$32</f>
        <v>3.335843815085612</v>
      </c>
      <c r="BF266" s="137">
        <f>$W266*AK266+$L266*Summary_LCIA!AB$32</f>
        <v>4.3793609327959039E-2</v>
      </c>
      <c r="BG266" s="137">
        <f>$W266*AL266+$L266*Summary_LCIA!AC$32</f>
        <v>2.7576140740952175E-5</v>
      </c>
      <c r="BH266" s="137">
        <f>$W266*AM266+$L266*Summary_LCIA!AD$32</f>
        <v>0.12474078422819215</v>
      </c>
      <c r="BI266" s="137">
        <f>$W266*AN266+$L266*Summary_LCIA!AE$32</f>
        <v>0.34681695544192859</v>
      </c>
      <c r="BJ266" s="137">
        <f>$W266*AO266+$L266*Summary_LCIA!AF$32</f>
        <v>9.5280560699875505E-2</v>
      </c>
      <c r="BK266" s="137">
        <f>$W266*AP266+$L266*Summary_LCIA!AG$32</f>
        <v>9.246064844875496E-3</v>
      </c>
      <c r="BL266" s="137">
        <f>$W266*AQ266+$L266*Summary_LCIA!AH$32</f>
        <v>1.4858377433938474</v>
      </c>
      <c r="BM266" s="137">
        <f>$W266*AR266+$L266*Summary_LCIA!AI$32</f>
        <v>0.30971083896484075</v>
      </c>
    </row>
    <row r="267" spans="1:65" x14ac:dyDescent="0.25">
      <c r="A267" s="149">
        <v>310</v>
      </c>
      <c r="B267" s="149">
        <v>1</v>
      </c>
      <c r="C267" s="61">
        <v>35.785055</v>
      </c>
      <c r="D267" s="61">
        <v>-78.681944999999999</v>
      </c>
      <c r="E267" s="61" t="s">
        <v>265</v>
      </c>
      <c r="F267" s="149">
        <v>97</v>
      </c>
      <c r="G267" s="61" t="s">
        <v>286</v>
      </c>
      <c r="H267" s="61" t="s">
        <v>718</v>
      </c>
      <c r="I267" s="61">
        <v>35.880079000000002</v>
      </c>
      <c r="J267" s="61">
        <v>-78.787996000000007</v>
      </c>
      <c r="K267" s="61">
        <v>17.190043989999999</v>
      </c>
      <c r="L267" s="61">
        <v>19.38</v>
      </c>
      <c r="M267" s="61" t="s">
        <v>617</v>
      </c>
      <c r="N267" s="149">
        <v>0</v>
      </c>
      <c r="O267" s="149">
        <v>1</v>
      </c>
      <c r="P267" s="61" t="s">
        <v>565</v>
      </c>
      <c r="Q267" s="61" t="s">
        <v>558</v>
      </c>
      <c r="R267" s="61">
        <v>33.640728199999998</v>
      </c>
      <c r="S267" s="61">
        <v>-84.427700099999996</v>
      </c>
      <c r="T267" s="61">
        <v>664.19299999999998</v>
      </c>
      <c r="U267" s="61" t="s">
        <v>617</v>
      </c>
      <c r="V267" s="61" t="s">
        <v>569</v>
      </c>
      <c r="W267" s="61" cm="1">
        <f t="array" ref="W267">getDistance(I267,J267,R267,S267)*SA!$B$12</f>
        <v>573.10072250496057</v>
      </c>
      <c r="Y267" s="137">
        <f>Transportation_LCIA!C$61*($W267^Transportation_LCIA!C$60)+Transportation_LCIA!C$62</f>
        <v>0.30910385761601844</v>
      </c>
      <c r="Z267" s="137">
        <f>Transportation_LCIA!D$61*($W267^Transportation_LCIA!D$60)+Transportation_LCIA!D$62</f>
        <v>3.2908541038241621</v>
      </c>
      <c r="AA267" s="137">
        <f>Transportation_LCIA!E$61*($W267^Transportation_LCIA!E$60)+Transportation_LCIA!E$62</f>
        <v>1.7152989150577527E-3</v>
      </c>
      <c r="AB267" s="137">
        <f>Transportation_LCIA!F$61*($W267^Transportation_LCIA!F$60)+Transportation_LCIA!F$62</f>
        <v>0.30910385761601844</v>
      </c>
      <c r="AC267" s="137">
        <f>Transportation_LCIA!G$61*($W267^Transportation_LCIA!G$60)+Transportation_LCIA!G$62</f>
        <v>7.6693533144911216E-2</v>
      </c>
      <c r="AD267" s="137">
        <f>Transportation_LCIA!H$61*($W267^Transportation_LCIA!H$60)+Transportation_LCIA!H$62</f>
        <v>4.0324712977657081E-4</v>
      </c>
      <c r="AE267" s="137">
        <f>Transportation_LCIA!I$61*($W267^Transportation_LCIA!I$60)+Transportation_LCIA!I$62</f>
        <v>9.140524782749112E-6</v>
      </c>
      <c r="AF267" s="137">
        <f>Transportation_LCIA!J$61*($W267^Transportation_LCIA!J$60)+Transportation_LCIA!J$62</f>
        <v>1.3594780732097286E-2</v>
      </c>
      <c r="AG267" s="137">
        <f>Transportation_LCIA!K$61*($W267^Transportation_LCIA!K$60)+Transportation_LCIA!K$62</f>
        <v>1.6757685889184391E-2</v>
      </c>
      <c r="AH267" s="137">
        <f>Transportation_LCIA!L$61*($W267^Transportation_LCIA!L$60)+Transportation_LCIA!L$62</f>
        <v>3.5651748971155618E-4</v>
      </c>
      <c r="AI267" s="137">
        <f>Transportation_LCIA!M$61*($W267^Transportation_LCIA!M$60)+Transportation_LCIA!M$62</f>
        <v>3.134226356821502E-4</v>
      </c>
      <c r="AJ267" s="137">
        <f>Transportation_LCIA!N$61*($W267^Transportation_LCIA!N$60)+Transportation_LCIA!N$62</f>
        <v>1.4146084969254148E-3</v>
      </c>
      <c r="AK267" s="137">
        <f>Transportation_LCIA!O$61*($W267^Transportation_LCIA!O$60)+Transportation_LCIA!O$62</f>
        <v>8.1168308439547713E-5</v>
      </c>
      <c r="AL267" s="137">
        <f>Transportation_LCIA!P$61*($W267^Transportation_LCIA!P$60)+Transportation_LCIA!P$62</f>
        <v>3.9183930881523387E-8</v>
      </c>
      <c r="AM267" s="137">
        <f>Transportation_LCIA!Q$61*($W267^Transportation_LCIA!Q$60)+Transportation_LCIA!Q$62</f>
        <v>1.4064060556229221E-4</v>
      </c>
      <c r="AN267" s="137">
        <f>Transportation_LCIA!R$61*($W267^Transportation_LCIA!R$60)+Transportation_LCIA!R$62</f>
        <v>4.3920182362218712E-4</v>
      </c>
      <c r="AO267" s="137">
        <f>Transportation_LCIA!S$61*($W267^Transportation_LCIA!S$60)+Transportation_LCIA!S$62</f>
        <v>6.489507487112558E-6</v>
      </c>
      <c r="AP267" s="137">
        <f>Transportation_LCIA!T$61*($W267^Transportation_LCIA!T$60)+Transportation_LCIA!T$62</f>
        <v>6.489507487112558E-6</v>
      </c>
      <c r="AQ267" s="137">
        <f>Transportation_LCIA!U$61*($W267^Transportation_LCIA!U$60)+Transportation_LCIA!U$62</f>
        <v>9.5062261467040814E-4</v>
      </c>
      <c r="AR267" s="137">
        <f>Transportation_LCIA!V$61*($W267^Transportation_LCIA!V$60)+Transportation_LCIA!V$62</f>
        <v>3.6606872599504245E-4</v>
      </c>
      <c r="AT267" s="137">
        <f>$W267*Y267+$L267*Summary_LCIA!H$32</f>
        <v>183.73296812881063</v>
      </c>
      <c r="AU267" s="137">
        <f>$W267*Z267+$L267*Summary_LCIA!Q$32</f>
        <v>1982.0391219515818</v>
      </c>
      <c r="AV267" s="137">
        <f>$W267*AA267+$L267*Summary_LCIA!R$32</f>
        <v>1.0850863755315732</v>
      </c>
      <c r="AW267" s="137">
        <f>$W267*AB267+$L267*Summary_LCIA!S$32</f>
        <v>183.64730852881064</v>
      </c>
      <c r="AX267" s="137">
        <f>$W267*AC267+$L267*Summary_LCIA!T$32</f>
        <v>46.082981256806761</v>
      </c>
      <c r="AY267" s="137">
        <f>$W267*AD267+$L267*Summary_LCIA!U$32</f>
        <v>0.57827454142300427</v>
      </c>
      <c r="AZ267" s="137">
        <f>$W267*AE267+$L267*Summary_LCIA!V$32</f>
        <v>6.1640495370680138E-3</v>
      </c>
      <c r="BA267" s="137">
        <f>$W267*AF267+$L267*Summary_LCIA!W$32</f>
        <v>9.2828766398614722</v>
      </c>
      <c r="BB267" s="137">
        <f>$W267*AG267+$L267*Summary_LCIA!X$32</f>
        <v>10.045318290602758</v>
      </c>
      <c r="BC267" s="137">
        <f>$W267*AH267+$L267*Summary_LCIA!Y$32</f>
        <v>0.50629959093934762</v>
      </c>
      <c r="BD267" s="137">
        <f>$W267*AI267+$L267*Summary_LCIA!Z$32</f>
        <v>0.1804174933788493</v>
      </c>
      <c r="BE267" s="137">
        <f>$W267*AJ267+$L267*Summary_LCIA!AA$32</f>
        <v>1.2633524316496114</v>
      </c>
      <c r="BF267" s="137">
        <f>$W267*AK267+$L267*Summary_LCIA!AB$32</f>
        <v>4.6094686471210282E-2</v>
      </c>
      <c r="BG267" s="137">
        <f>$W267*AL267+$L267*Summary_LCIA!AC$32</f>
        <v>2.3403711018785488E-5</v>
      </c>
      <c r="BH267" s="137">
        <f>$W267*AM267+$L267*Summary_LCIA!AD$32</f>
        <v>8.8567187861284841E-2</v>
      </c>
      <c r="BI267" s="137">
        <f>$W267*AN267+$L267*Summary_LCIA!AE$32</f>
        <v>0.2688800818433717</v>
      </c>
      <c r="BJ267" s="137">
        <f>$W267*AO267+$L267*Summary_LCIA!AF$32</f>
        <v>2.0103381029565558E-2</v>
      </c>
      <c r="BK267" s="137">
        <f>$W267*AP267+$L267*Summary_LCIA!AG$32</f>
        <v>4.7107191295655583E-3</v>
      </c>
      <c r="BL267" s="137">
        <f>$W267*AQ267+$L267*Summary_LCIA!AH$32</f>
        <v>0.71347827529716557</v>
      </c>
      <c r="BM267" s="137">
        <f>$W267*AR267+$L267*Summary_LCIA!AI$32</f>
        <v>0.22784769035422928</v>
      </c>
    </row>
    <row r="268" spans="1:65" x14ac:dyDescent="0.25">
      <c r="A268" s="149">
        <v>311</v>
      </c>
      <c r="B268" s="149">
        <v>1</v>
      </c>
      <c r="C268" s="61">
        <v>35.785055</v>
      </c>
      <c r="D268" s="61">
        <v>-78.681944999999999</v>
      </c>
      <c r="E268" s="61" t="s">
        <v>265</v>
      </c>
      <c r="F268" s="149">
        <v>97</v>
      </c>
      <c r="G268" s="61" t="s">
        <v>286</v>
      </c>
      <c r="H268" s="61" t="s">
        <v>718</v>
      </c>
      <c r="I268" s="61">
        <v>35.880079000000002</v>
      </c>
      <c r="J268" s="61">
        <v>-78.787996000000007</v>
      </c>
      <c r="K268" s="61">
        <v>17.190043989999999</v>
      </c>
      <c r="L268" s="61">
        <v>19.38</v>
      </c>
      <c r="M268" s="61" t="s">
        <v>617</v>
      </c>
      <c r="N268" s="149">
        <v>0</v>
      </c>
      <c r="O268" s="149">
        <v>1</v>
      </c>
      <c r="P268" s="61" t="s">
        <v>565</v>
      </c>
      <c r="Q268" s="61" t="s">
        <v>558</v>
      </c>
      <c r="R268" s="61">
        <v>33.640728199999998</v>
      </c>
      <c r="S268" s="61">
        <v>-84.427700099999996</v>
      </c>
      <c r="T268" s="61">
        <v>664.19299999999998</v>
      </c>
      <c r="U268" s="61" t="s">
        <v>617</v>
      </c>
      <c r="V268" s="61" t="s">
        <v>569</v>
      </c>
      <c r="W268" s="61" cm="1">
        <f t="array" ref="W268">getDistance(I268,J268,R268,S268)*SA!$B$12</f>
        <v>573.10072250496057</v>
      </c>
      <c r="Y268" s="137">
        <f>Transportation_LCIA!C$61*($W268^Transportation_LCIA!C$60)+Transportation_LCIA!C$62</f>
        <v>0.30910385761601844</v>
      </c>
      <c r="Z268" s="137">
        <f>Transportation_LCIA!D$61*($W268^Transportation_LCIA!D$60)+Transportation_LCIA!D$62</f>
        <v>3.2908541038241621</v>
      </c>
      <c r="AA268" s="137">
        <f>Transportation_LCIA!E$61*($W268^Transportation_LCIA!E$60)+Transportation_LCIA!E$62</f>
        <v>1.7152989150577527E-3</v>
      </c>
      <c r="AB268" s="137">
        <f>Transportation_LCIA!F$61*($W268^Transportation_LCIA!F$60)+Transportation_LCIA!F$62</f>
        <v>0.30910385761601844</v>
      </c>
      <c r="AC268" s="137">
        <f>Transportation_LCIA!G$61*($W268^Transportation_LCIA!G$60)+Transportation_LCIA!G$62</f>
        <v>7.6693533144911216E-2</v>
      </c>
      <c r="AD268" s="137">
        <f>Transportation_LCIA!H$61*($W268^Transportation_LCIA!H$60)+Transportation_LCIA!H$62</f>
        <v>4.0324712977657081E-4</v>
      </c>
      <c r="AE268" s="137">
        <f>Transportation_LCIA!I$61*($W268^Transportation_LCIA!I$60)+Transportation_LCIA!I$62</f>
        <v>9.140524782749112E-6</v>
      </c>
      <c r="AF268" s="137">
        <f>Transportation_LCIA!J$61*($W268^Transportation_LCIA!J$60)+Transportation_LCIA!J$62</f>
        <v>1.3594780732097286E-2</v>
      </c>
      <c r="AG268" s="137">
        <f>Transportation_LCIA!K$61*($W268^Transportation_LCIA!K$60)+Transportation_LCIA!K$62</f>
        <v>1.6757685889184391E-2</v>
      </c>
      <c r="AH268" s="137">
        <f>Transportation_LCIA!L$61*($W268^Transportation_LCIA!L$60)+Transportation_LCIA!L$62</f>
        <v>3.5651748971155618E-4</v>
      </c>
      <c r="AI268" s="137">
        <f>Transportation_LCIA!M$61*($W268^Transportation_LCIA!M$60)+Transportation_LCIA!M$62</f>
        <v>3.134226356821502E-4</v>
      </c>
      <c r="AJ268" s="137">
        <f>Transportation_LCIA!N$61*($W268^Transportation_LCIA!N$60)+Transportation_LCIA!N$62</f>
        <v>1.4146084969254148E-3</v>
      </c>
      <c r="AK268" s="137">
        <f>Transportation_LCIA!O$61*($W268^Transportation_LCIA!O$60)+Transportation_LCIA!O$62</f>
        <v>8.1168308439547713E-5</v>
      </c>
      <c r="AL268" s="137">
        <f>Transportation_LCIA!P$61*($W268^Transportation_LCIA!P$60)+Transportation_LCIA!P$62</f>
        <v>3.9183930881523387E-8</v>
      </c>
      <c r="AM268" s="137">
        <f>Transportation_LCIA!Q$61*($W268^Transportation_LCIA!Q$60)+Transportation_LCIA!Q$62</f>
        <v>1.4064060556229221E-4</v>
      </c>
      <c r="AN268" s="137">
        <f>Transportation_LCIA!R$61*($W268^Transportation_LCIA!R$60)+Transportation_LCIA!R$62</f>
        <v>4.3920182362218712E-4</v>
      </c>
      <c r="AO268" s="137">
        <f>Transportation_LCIA!S$61*($W268^Transportation_LCIA!S$60)+Transportation_LCIA!S$62</f>
        <v>6.489507487112558E-6</v>
      </c>
      <c r="AP268" s="137">
        <f>Transportation_LCIA!T$61*($W268^Transportation_LCIA!T$60)+Transportation_LCIA!T$62</f>
        <v>6.489507487112558E-6</v>
      </c>
      <c r="AQ268" s="137">
        <f>Transportation_LCIA!U$61*($W268^Transportation_LCIA!U$60)+Transportation_LCIA!U$62</f>
        <v>9.5062261467040814E-4</v>
      </c>
      <c r="AR268" s="137">
        <f>Transportation_LCIA!V$61*($W268^Transportation_LCIA!V$60)+Transportation_LCIA!V$62</f>
        <v>3.6606872599504245E-4</v>
      </c>
      <c r="AT268" s="137">
        <f>$W268*Y268+$L268*Summary_LCIA!H$32</f>
        <v>183.73296812881063</v>
      </c>
      <c r="AU268" s="137">
        <f>$W268*Z268+$L268*Summary_LCIA!Q$32</f>
        <v>1982.0391219515818</v>
      </c>
      <c r="AV268" s="137">
        <f>$W268*AA268+$L268*Summary_LCIA!R$32</f>
        <v>1.0850863755315732</v>
      </c>
      <c r="AW268" s="137">
        <f>$W268*AB268+$L268*Summary_LCIA!S$32</f>
        <v>183.64730852881064</v>
      </c>
      <c r="AX268" s="137">
        <f>$W268*AC268+$L268*Summary_LCIA!T$32</f>
        <v>46.082981256806761</v>
      </c>
      <c r="AY268" s="137">
        <f>$W268*AD268+$L268*Summary_LCIA!U$32</f>
        <v>0.57827454142300427</v>
      </c>
      <c r="AZ268" s="137">
        <f>$W268*AE268+$L268*Summary_LCIA!V$32</f>
        <v>6.1640495370680138E-3</v>
      </c>
      <c r="BA268" s="137">
        <f>$W268*AF268+$L268*Summary_LCIA!W$32</f>
        <v>9.2828766398614722</v>
      </c>
      <c r="BB268" s="137">
        <f>$W268*AG268+$L268*Summary_LCIA!X$32</f>
        <v>10.045318290602758</v>
      </c>
      <c r="BC268" s="137">
        <f>$W268*AH268+$L268*Summary_LCIA!Y$32</f>
        <v>0.50629959093934762</v>
      </c>
      <c r="BD268" s="137">
        <f>$W268*AI268+$L268*Summary_LCIA!Z$32</f>
        <v>0.1804174933788493</v>
      </c>
      <c r="BE268" s="137">
        <f>$W268*AJ268+$L268*Summary_LCIA!AA$32</f>
        <v>1.2633524316496114</v>
      </c>
      <c r="BF268" s="137">
        <f>$W268*AK268+$L268*Summary_LCIA!AB$32</f>
        <v>4.6094686471210282E-2</v>
      </c>
      <c r="BG268" s="137">
        <f>$W268*AL268+$L268*Summary_LCIA!AC$32</f>
        <v>2.3403711018785488E-5</v>
      </c>
      <c r="BH268" s="137">
        <f>$W268*AM268+$L268*Summary_LCIA!AD$32</f>
        <v>8.8567187861284841E-2</v>
      </c>
      <c r="BI268" s="137">
        <f>$W268*AN268+$L268*Summary_LCIA!AE$32</f>
        <v>0.2688800818433717</v>
      </c>
      <c r="BJ268" s="137">
        <f>$W268*AO268+$L268*Summary_LCIA!AF$32</f>
        <v>2.0103381029565558E-2</v>
      </c>
      <c r="BK268" s="137">
        <f>$W268*AP268+$L268*Summary_LCIA!AG$32</f>
        <v>4.7107191295655583E-3</v>
      </c>
      <c r="BL268" s="137">
        <f>$W268*AQ268+$L268*Summary_LCIA!AH$32</f>
        <v>0.71347827529716557</v>
      </c>
      <c r="BM268" s="137">
        <f>$W268*AR268+$L268*Summary_LCIA!AI$32</f>
        <v>0.22784769035422928</v>
      </c>
    </row>
    <row r="269" spans="1:65" x14ac:dyDescent="0.25">
      <c r="A269" s="149">
        <v>185</v>
      </c>
      <c r="B269" s="149">
        <v>43</v>
      </c>
      <c r="C269" s="61">
        <v>45.376868000000002</v>
      </c>
      <c r="D269" s="61">
        <v>-71.930583999999996</v>
      </c>
      <c r="E269" s="61" t="s">
        <v>458</v>
      </c>
      <c r="F269" s="149">
        <v>124</v>
      </c>
      <c r="G269" s="61" t="s">
        <v>654</v>
      </c>
      <c r="H269" s="61" t="s">
        <v>655</v>
      </c>
      <c r="I269" s="61">
        <v>45.465685000000001</v>
      </c>
      <c r="J269" s="61">
        <v>-73.745480999999998</v>
      </c>
      <c r="K269" s="61">
        <v>143.76694309999999</v>
      </c>
      <c r="L269" s="61">
        <v>167.62799999999999</v>
      </c>
      <c r="M269" s="61" t="s">
        <v>617</v>
      </c>
      <c r="N269" s="149">
        <v>42</v>
      </c>
      <c r="O269" s="149">
        <v>43</v>
      </c>
      <c r="P269" s="61" t="s">
        <v>565</v>
      </c>
      <c r="Q269" s="61" t="s">
        <v>555</v>
      </c>
      <c r="R269" s="61">
        <v>40.6895314</v>
      </c>
      <c r="S269" s="61">
        <v>-74.174462399999996</v>
      </c>
      <c r="T269" s="61">
        <v>665.03599999999994</v>
      </c>
      <c r="U269" s="61" t="s">
        <v>617</v>
      </c>
      <c r="V269" s="61" t="s">
        <v>569</v>
      </c>
      <c r="W269" s="61" cm="1">
        <f t="array" ref="W269">getDistance(I269,J269,R269,S269)*SA!$B$12</f>
        <v>532.70082587978914</v>
      </c>
      <c r="Y269" s="137">
        <f>Transportation_LCIA!C$61*($W269^Transportation_LCIA!C$60)+Transportation_LCIA!C$62</f>
        <v>0.32157602463370416</v>
      </c>
      <c r="Z269" s="137">
        <f>Transportation_LCIA!D$61*($W269^Transportation_LCIA!D$60)+Transportation_LCIA!D$62</f>
        <v>3.4401752281760434</v>
      </c>
      <c r="AA269" s="137">
        <f>Transportation_LCIA!E$61*($W269^Transportation_LCIA!E$60)+Transportation_LCIA!E$62</f>
        <v>1.8141836341962153E-3</v>
      </c>
      <c r="AB269" s="137">
        <f>Transportation_LCIA!F$61*($W269^Transportation_LCIA!F$60)+Transportation_LCIA!F$62</f>
        <v>0.32157602463370416</v>
      </c>
      <c r="AC269" s="137">
        <f>Transportation_LCIA!G$61*($W269^Transportation_LCIA!G$60)+Transportation_LCIA!G$62</f>
        <v>8.0143040676289495E-2</v>
      </c>
      <c r="AD269" s="137">
        <f>Transportation_LCIA!H$61*($W269^Transportation_LCIA!H$60)+Transportation_LCIA!H$62</f>
        <v>4.2530075100495493E-4</v>
      </c>
      <c r="AE269" s="137">
        <f>Transportation_LCIA!I$61*($W269^Transportation_LCIA!I$60)+Transportation_LCIA!I$62</f>
        <v>9.7085338694522006E-6</v>
      </c>
      <c r="AF269" s="137">
        <f>Transportation_LCIA!J$61*($W269^Transportation_LCIA!J$60)+Transportation_LCIA!J$62</f>
        <v>1.4453429332288598E-2</v>
      </c>
      <c r="AG269" s="137">
        <f>Transportation_LCIA!K$61*($W269^Transportation_LCIA!K$60)+Transportation_LCIA!K$62</f>
        <v>1.7573386146825021E-2</v>
      </c>
      <c r="AH269" s="137">
        <f>Transportation_LCIA!L$61*($W269^Transportation_LCIA!L$60)+Transportation_LCIA!L$62</f>
        <v>3.7692466700234696E-4</v>
      </c>
      <c r="AI269" s="137">
        <f>Transportation_LCIA!M$61*($W269^Transportation_LCIA!M$60)+Transportation_LCIA!M$62</f>
        <v>3.2560324687594627E-4</v>
      </c>
      <c r="AJ269" s="137">
        <f>Transportation_LCIA!N$61*($W269^Transportation_LCIA!N$60)+Transportation_LCIA!N$62</f>
        <v>1.4886217992903391E-3</v>
      </c>
      <c r="AK269" s="137">
        <f>Transportation_LCIA!O$61*($W269^Transportation_LCIA!O$60)+Transportation_LCIA!O$62</f>
        <v>8.4836431112135085E-5</v>
      </c>
      <c r="AL269" s="137">
        <f>Transportation_LCIA!P$61*($W269^Transportation_LCIA!P$60)+Transportation_LCIA!P$62</f>
        <v>4.094417350036071E-8</v>
      </c>
      <c r="AM269" s="137">
        <f>Transportation_LCIA!Q$61*($W269^Transportation_LCIA!Q$60)+Transportation_LCIA!Q$62</f>
        <v>1.4864785211779024E-4</v>
      </c>
      <c r="AN269" s="137">
        <f>Transportation_LCIA!R$61*($W269^Transportation_LCIA!R$60)+Transportation_LCIA!R$62</f>
        <v>4.664545941177262E-4</v>
      </c>
      <c r="AO269" s="137">
        <f>Transportation_LCIA!S$61*($W269^Transportation_LCIA!S$60)+Transportation_LCIA!S$62</f>
        <v>6.8758863533443067E-6</v>
      </c>
      <c r="AP269" s="137">
        <f>Transportation_LCIA!T$61*($W269^Transportation_LCIA!T$60)+Transportation_LCIA!T$62</f>
        <v>6.8758863533443067E-6</v>
      </c>
      <c r="AQ269" s="137">
        <f>Transportation_LCIA!U$61*($W269^Transportation_LCIA!U$60)+Transportation_LCIA!U$62</f>
        <v>1.0106481886833722E-3</v>
      </c>
      <c r="AR269" s="137">
        <f>Transportation_LCIA!V$61*($W269^Transportation_LCIA!V$60)+Transportation_LCIA!V$62</f>
        <v>3.8699391574166265E-4</v>
      </c>
      <c r="AT269" s="137">
        <f>$W269*Y269+$L269*Summary_LCIA!H$32</f>
        <v>228.26380830551363</v>
      </c>
      <c r="AU269" s="137">
        <f>$W269*Z269+$L269*Summary_LCIA!Q$32</f>
        <v>2663.3570072034945</v>
      </c>
      <c r="AV269" s="137">
        <f>$W269*AA269+$L269*Summary_LCIA!R$32</f>
        <v>1.8490791170339209</v>
      </c>
      <c r="AW269" s="137">
        <f>$W269*AB269+$L269*Summary_LCIA!S$32</f>
        <v>227.52289254551363</v>
      </c>
      <c r="AX269" s="137">
        <f>$W269*AC269+$L269*Summary_LCIA!T$32</f>
        <v>61.11458115677695</v>
      </c>
      <c r="AY269" s="137">
        <f>$W269*AD269+$L269*Summary_LCIA!U$32</f>
        <v>3.2294460533076337</v>
      </c>
      <c r="AZ269" s="137">
        <f>$W269*AE269+$L269*Summary_LCIA!V$32</f>
        <v>1.317782491833909E-2</v>
      </c>
      <c r="BA269" s="137">
        <f>$W269*AF269+$L269*Summary_LCIA!W$32</f>
        <v>20.601848530105304</v>
      </c>
      <c r="BB269" s="137">
        <f>$W269*AG269+$L269*Summary_LCIA!X$32</f>
        <v>13.179923153918134</v>
      </c>
      <c r="BC269" s="137">
        <f>$W269*AH269+$L269*Summary_LCIA!Y$32</f>
        <v>2.8127675774066145</v>
      </c>
      <c r="BD269" s="137">
        <f>$W269*AI269+$L269*Summary_LCIA!Z$32</f>
        <v>0.18032337517195746</v>
      </c>
      <c r="BE269" s="137">
        <f>$W269*AJ269+$L269*Summary_LCIA!AA$32</f>
        <v>4.7081096299046203</v>
      </c>
      <c r="BF269" s="137">
        <f>$W269*AK269+$L269*Summary_LCIA!AB$32</f>
        <v>4.1534291074128205E-2</v>
      </c>
      <c r="BG269" s="137">
        <f>$W269*AL269+$L269*Summary_LCIA!AC$32</f>
        <v>3.0005322190607525E-5</v>
      </c>
      <c r="BH269" s="137">
        <f>$W269*AM269+$L269*Summary_LCIA!AD$32</f>
        <v>0.1480866467084036</v>
      </c>
      <c r="BI269" s="137">
        <f>$W269*AN269+$L269*Summary_LCIA!AE$32</f>
        <v>0.39702094716193459</v>
      </c>
      <c r="BJ269" s="137">
        <f>$W269*AO269+$L269*Summary_LCIA!AF$32</f>
        <v>0.14537885409908208</v>
      </c>
      <c r="BK269" s="137">
        <f>$W269*AP269+$L269*Summary_LCIA!AG$32</f>
        <v>1.2239476959082084E-2</v>
      </c>
      <c r="BL269" s="137">
        <f>$W269*AQ269+$L269*Summary_LCIA!AH$32</f>
        <v>1.9973401855855455</v>
      </c>
      <c r="BM269" s="137">
        <f>$W269*AR269+$L269*Summary_LCIA!AI$32</f>
        <v>0.36230584192603721</v>
      </c>
    </row>
    <row r="270" spans="1:65" x14ac:dyDescent="0.25">
      <c r="A270" s="149">
        <v>344</v>
      </c>
      <c r="B270" s="149">
        <v>43</v>
      </c>
      <c r="C270" s="61">
        <v>45.404172000000003</v>
      </c>
      <c r="D270" s="61">
        <v>-71.892910999999998</v>
      </c>
      <c r="E270" s="61" t="s">
        <v>458</v>
      </c>
      <c r="F270" s="149">
        <v>124</v>
      </c>
      <c r="G270" s="61" t="s">
        <v>654</v>
      </c>
      <c r="H270" s="61" t="s">
        <v>655</v>
      </c>
      <c r="I270" s="61">
        <v>45.465685000000001</v>
      </c>
      <c r="J270" s="61">
        <v>-73.745480999999998</v>
      </c>
      <c r="K270" s="61">
        <v>146.99097639999999</v>
      </c>
      <c r="L270" s="61">
        <v>171.571</v>
      </c>
      <c r="M270" s="61" t="s">
        <v>617</v>
      </c>
      <c r="N270" s="149">
        <v>42</v>
      </c>
      <c r="O270" s="149">
        <v>43</v>
      </c>
      <c r="P270" s="61" t="s">
        <v>565</v>
      </c>
      <c r="Q270" s="61" t="s">
        <v>555</v>
      </c>
      <c r="R270" s="61">
        <v>40.6895314</v>
      </c>
      <c r="S270" s="61">
        <v>-74.174462399999996</v>
      </c>
      <c r="T270" s="61">
        <v>665.50599999999997</v>
      </c>
      <c r="U270" s="61" t="s">
        <v>617</v>
      </c>
      <c r="V270" s="61" t="s">
        <v>569</v>
      </c>
      <c r="W270" s="61" cm="1">
        <f t="array" ref="W270">getDistance(I270,J270,R270,S270)*SA!$B$12</f>
        <v>532.70082587978914</v>
      </c>
      <c r="Y270" s="137">
        <f>Transportation_LCIA!C$61*($W270^Transportation_LCIA!C$60)+Transportation_LCIA!C$62</f>
        <v>0.32157602463370416</v>
      </c>
      <c r="Z270" s="137">
        <f>Transportation_LCIA!D$61*($W270^Transportation_LCIA!D$60)+Transportation_LCIA!D$62</f>
        <v>3.4401752281760434</v>
      </c>
      <c r="AA270" s="137">
        <f>Transportation_LCIA!E$61*($W270^Transportation_LCIA!E$60)+Transportation_LCIA!E$62</f>
        <v>1.8141836341962153E-3</v>
      </c>
      <c r="AB270" s="137">
        <f>Transportation_LCIA!F$61*($W270^Transportation_LCIA!F$60)+Transportation_LCIA!F$62</f>
        <v>0.32157602463370416</v>
      </c>
      <c r="AC270" s="137">
        <f>Transportation_LCIA!G$61*($W270^Transportation_LCIA!G$60)+Transportation_LCIA!G$62</f>
        <v>8.0143040676289495E-2</v>
      </c>
      <c r="AD270" s="137">
        <f>Transportation_LCIA!H$61*($W270^Transportation_LCIA!H$60)+Transportation_LCIA!H$62</f>
        <v>4.2530075100495493E-4</v>
      </c>
      <c r="AE270" s="137">
        <f>Transportation_LCIA!I$61*($W270^Transportation_LCIA!I$60)+Transportation_LCIA!I$62</f>
        <v>9.7085338694522006E-6</v>
      </c>
      <c r="AF270" s="137">
        <f>Transportation_LCIA!J$61*($W270^Transportation_LCIA!J$60)+Transportation_LCIA!J$62</f>
        <v>1.4453429332288598E-2</v>
      </c>
      <c r="AG270" s="137">
        <f>Transportation_LCIA!K$61*($W270^Transportation_LCIA!K$60)+Transportation_LCIA!K$62</f>
        <v>1.7573386146825021E-2</v>
      </c>
      <c r="AH270" s="137">
        <f>Transportation_LCIA!L$61*($W270^Transportation_LCIA!L$60)+Transportation_LCIA!L$62</f>
        <v>3.7692466700234696E-4</v>
      </c>
      <c r="AI270" s="137">
        <f>Transportation_LCIA!M$61*($W270^Transportation_LCIA!M$60)+Transportation_LCIA!M$62</f>
        <v>3.2560324687594627E-4</v>
      </c>
      <c r="AJ270" s="137">
        <f>Transportation_LCIA!N$61*($W270^Transportation_LCIA!N$60)+Transportation_LCIA!N$62</f>
        <v>1.4886217992903391E-3</v>
      </c>
      <c r="AK270" s="137">
        <f>Transportation_LCIA!O$61*($W270^Transportation_LCIA!O$60)+Transportation_LCIA!O$62</f>
        <v>8.4836431112135085E-5</v>
      </c>
      <c r="AL270" s="137">
        <f>Transportation_LCIA!P$61*($W270^Transportation_LCIA!P$60)+Transportation_LCIA!P$62</f>
        <v>4.094417350036071E-8</v>
      </c>
      <c r="AM270" s="137">
        <f>Transportation_LCIA!Q$61*($W270^Transportation_LCIA!Q$60)+Transportation_LCIA!Q$62</f>
        <v>1.4864785211779024E-4</v>
      </c>
      <c r="AN270" s="137">
        <f>Transportation_LCIA!R$61*($W270^Transportation_LCIA!R$60)+Transportation_LCIA!R$62</f>
        <v>4.664545941177262E-4</v>
      </c>
      <c r="AO270" s="137">
        <f>Transportation_LCIA!S$61*($W270^Transportation_LCIA!S$60)+Transportation_LCIA!S$62</f>
        <v>6.8758863533443067E-6</v>
      </c>
      <c r="AP270" s="137">
        <f>Transportation_LCIA!T$61*($W270^Transportation_LCIA!T$60)+Transportation_LCIA!T$62</f>
        <v>6.8758863533443067E-6</v>
      </c>
      <c r="AQ270" s="137">
        <f>Transportation_LCIA!U$61*($W270^Transportation_LCIA!U$60)+Transportation_LCIA!U$62</f>
        <v>1.0106481886833722E-3</v>
      </c>
      <c r="AR270" s="137">
        <f>Transportation_LCIA!V$61*($W270^Transportation_LCIA!V$60)+Transportation_LCIA!V$62</f>
        <v>3.8699391574166265E-4</v>
      </c>
      <c r="AT270" s="137">
        <f>$W270*Y270+$L270*Summary_LCIA!H$32</f>
        <v>229.60363970551364</v>
      </c>
      <c r="AU270" s="137">
        <f>$W270*Z270+$L270*Summary_LCIA!Q$32</f>
        <v>2682.8987140608133</v>
      </c>
      <c r="AV270" s="137">
        <f>$W270*AA270+$L270*Summary_LCIA!R$32</f>
        <v>1.8698413778339211</v>
      </c>
      <c r="AW270" s="137">
        <f>$W270*AB270+$L270*Summary_LCIA!S$32</f>
        <v>228.84529588551362</v>
      </c>
      <c r="AX270" s="137">
        <f>$W270*AC270+$L270*Summary_LCIA!T$32</f>
        <v>61.547916856776951</v>
      </c>
      <c r="AY270" s="137">
        <f>$W270*AD270+$L270*Summary_LCIA!U$32</f>
        <v>3.3000809553076338</v>
      </c>
      <c r="AZ270" s="137">
        <f>$W270*AE270+$L270*Summary_LCIA!V$32</f>
        <v>1.336614654133909E-2</v>
      </c>
      <c r="BA270" s="137">
        <f>$W270*AF270+$L270*Summary_LCIA!W$32</f>
        <v>20.905345183105304</v>
      </c>
      <c r="BB270" s="137">
        <f>$W270*AG270+$L270*Summary_LCIA!X$32</f>
        <v>13.269744693918135</v>
      </c>
      <c r="BC270" s="137">
        <f>$W270*AH270+$L270*Summary_LCIA!Y$32</f>
        <v>2.8742074034066145</v>
      </c>
      <c r="BD270" s="137">
        <f>$W270*AI270+$L270*Summary_LCIA!Z$32</f>
        <v>0.18048507365895744</v>
      </c>
      <c r="BE270" s="137">
        <f>$W270*AJ270+$L270*Summary_LCIA!AA$32</f>
        <v>4.8002023379046213</v>
      </c>
      <c r="BF270" s="137">
        <f>$W270*AK270+$L270*Summary_LCIA!AB$32</f>
        <v>4.1448242985128197E-2</v>
      </c>
      <c r="BG270" s="137">
        <f>$W270*AL270+$L270*Summary_LCIA!AC$32</f>
        <v>3.0198071802607525E-5</v>
      </c>
      <c r="BH270" s="137">
        <f>$W270*AM270+$L270*Summary_LCIA!AD$32</f>
        <v>0.14970737742840362</v>
      </c>
      <c r="BI270" s="137">
        <f>$W270*AN270+$L270*Summary_LCIA!AE$32</f>
        <v>0.40051495775193457</v>
      </c>
      <c r="BJ270" s="137">
        <f>$W270*AO270+$L270*Summary_LCIA!AF$32</f>
        <v>0.1487123451590821</v>
      </c>
      <c r="BK270" s="137">
        <f>$W270*AP270+$L270*Summary_LCIA!AG$32</f>
        <v>1.2441220554082085E-2</v>
      </c>
      <c r="BL270" s="137">
        <f>$W270*AQ270+$L270*Summary_LCIA!AH$32</f>
        <v>2.0316584803855453</v>
      </c>
      <c r="BM270" s="137">
        <f>$W270*AR270+$L270*Summary_LCIA!AI$32</f>
        <v>0.36597894357603722</v>
      </c>
    </row>
    <row r="271" spans="1:65" x14ac:dyDescent="0.25">
      <c r="A271" s="149">
        <v>312</v>
      </c>
      <c r="B271" s="149">
        <v>1</v>
      </c>
      <c r="C271" s="61">
        <v>35.779589999999999</v>
      </c>
      <c r="D271" s="61">
        <v>-78.638178999999994</v>
      </c>
      <c r="E271" s="61" t="s">
        <v>265</v>
      </c>
      <c r="F271" s="149">
        <v>97</v>
      </c>
      <c r="G271" s="61" t="s">
        <v>286</v>
      </c>
      <c r="H271" s="61" t="s">
        <v>718</v>
      </c>
      <c r="I271" s="61">
        <v>35.880079000000002</v>
      </c>
      <c r="J271" s="61">
        <v>-78.787996000000007</v>
      </c>
      <c r="K271" s="61">
        <v>20.075432370000001</v>
      </c>
      <c r="L271" s="61">
        <v>23.661999999999999</v>
      </c>
      <c r="M271" s="61" t="s">
        <v>617</v>
      </c>
      <c r="N271" s="149">
        <v>0</v>
      </c>
      <c r="O271" s="149">
        <v>1</v>
      </c>
      <c r="P271" s="61" t="s">
        <v>565</v>
      </c>
      <c r="Q271" s="61" t="s">
        <v>558</v>
      </c>
      <c r="R271" s="61">
        <v>33.640728199999998</v>
      </c>
      <c r="S271" s="61">
        <v>-84.427700099999996</v>
      </c>
      <c r="T271" s="61">
        <v>668.47400000000005</v>
      </c>
      <c r="U271" s="61" t="s">
        <v>617</v>
      </c>
      <c r="V271" s="61" t="s">
        <v>569</v>
      </c>
      <c r="W271" s="61" cm="1">
        <f t="array" ref="W271">getDistance(I271,J271,R271,S271)*SA!$B$12</f>
        <v>573.10072250496057</v>
      </c>
      <c r="Y271" s="137">
        <f>Transportation_LCIA!C$61*($W271^Transportation_LCIA!C$60)+Transportation_LCIA!C$62</f>
        <v>0.30910385761601844</v>
      </c>
      <c r="Z271" s="137">
        <f>Transportation_LCIA!D$61*($W271^Transportation_LCIA!D$60)+Transportation_LCIA!D$62</f>
        <v>3.2908541038241621</v>
      </c>
      <c r="AA271" s="137">
        <f>Transportation_LCIA!E$61*($W271^Transportation_LCIA!E$60)+Transportation_LCIA!E$62</f>
        <v>1.7152989150577527E-3</v>
      </c>
      <c r="AB271" s="137">
        <f>Transportation_LCIA!F$61*($W271^Transportation_LCIA!F$60)+Transportation_LCIA!F$62</f>
        <v>0.30910385761601844</v>
      </c>
      <c r="AC271" s="137">
        <f>Transportation_LCIA!G$61*($W271^Transportation_LCIA!G$60)+Transportation_LCIA!G$62</f>
        <v>7.6693533144911216E-2</v>
      </c>
      <c r="AD271" s="137">
        <f>Transportation_LCIA!H$61*($W271^Transportation_LCIA!H$60)+Transportation_LCIA!H$62</f>
        <v>4.0324712977657081E-4</v>
      </c>
      <c r="AE271" s="137">
        <f>Transportation_LCIA!I$61*($W271^Transportation_LCIA!I$60)+Transportation_LCIA!I$62</f>
        <v>9.140524782749112E-6</v>
      </c>
      <c r="AF271" s="137">
        <f>Transportation_LCIA!J$61*($W271^Transportation_LCIA!J$60)+Transportation_LCIA!J$62</f>
        <v>1.3594780732097286E-2</v>
      </c>
      <c r="AG271" s="137">
        <f>Transportation_LCIA!K$61*($W271^Transportation_LCIA!K$60)+Transportation_LCIA!K$62</f>
        <v>1.6757685889184391E-2</v>
      </c>
      <c r="AH271" s="137">
        <f>Transportation_LCIA!L$61*($W271^Transportation_LCIA!L$60)+Transportation_LCIA!L$62</f>
        <v>3.5651748971155618E-4</v>
      </c>
      <c r="AI271" s="137">
        <f>Transportation_LCIA!M$61*($W271^Transportation_LCIA!M$60)+Transportation_LCIA!M$62</f>
        <v>3.134226356821502E-4</v>
      </c>
      <c r="AJ271" s="137">
        <f>Transportation_LCIA!N$61*($W271^Transportation_LCIA!N$60)+Transportation_LCIA!N$62</f>
        <v>1.4146084969254148E-3</v>
      </c>
      <c r="AK271" s="137">
        <f>Transportation_LCIA!O$61*($W271^Transportation_LCIA!O$60)+Transportation_LCIA!O$62</f>
        <v>8.1168308439547713E-5</v>
      </c>
      <c r="AL271" s="137">
        <f>Transportation_LCIA!P$61*($W271^Transportation_LCIA!P$60)+Transportation_LCIA!P$62</f>
        <v>3.9183930881523387E-8</v>
      </c>
      <c r="AM271" s="137">
        <f>Transportation_LCIA!Q$61*($W271^Transportation_LCIA!Q$60)+Transportation_LCIA!Q$62</f>
        <v>1.4064060556229221E-4</v>
      </c>
      <c r="AN271" s="137">
        <f>Transportation_LCIA!R$61*($W271^Transportation_LCIA!R$60)+Transportation_LCIA!R$62</f>
        <v>4.3920182362218712E-4</v>
      </c>
      <c r="AO271" s="137">
        <f>Transportation_LCIA!S$61*($W271^Transportation_LCIA!S$60)+Transportation_LCIA!S$62</f>
        <v>6.489507487112558E-6</v>
      </c>
      <c r="AP271" s="137">
        <f>Transportation_LCIA!T$61*($W271^Transportation_LCIA!T$60)+Transportation_LCIA!T$62</f>
        <v>6.489507487112558E-6</v>
      </c>
      <c r="AQ271" s="137">
        <f>Transportation_LCIA!U$61*($W271^Transportation_LCIA!U$60)+Transportation_LCIA!U$62</f>
        <v>9.5062261467040814E-4</v>
      </c>
      <c r="AR271" s="137">
        <f>Transportation_LCIA!V$61*($W271^Transportation_LCIA!V$60)+Transportation_LCIA!V$62</f>
        <v>3.6606872599504245E-4</v>
      </c>
      <c r="AT271" s="137">
        <f>$W271*Y271+$L271*Summary_LCIA!H$32</f>
        <v>185.18799172881063</v>
      </c>
      <c r="AU271" s="137">
        <f>$W271*Z271+$L271*Summary_LCIA!Q$32</f>
        <v>2003.2609299056878</v>
      </c>
      <c r="AV271" s="137">
        <f>$W271*AA271+$L271*Summary_LCIA!R$32</f>
        <v>1.1076336747315731</v>
      </c>
      <c r="AW271" s="137">
        <f>$W271*AB271+$L271*Summary_LCIA!S$32</f>
        <v>185.08340568881064</v>
      </c>
      <c r="AX271" s="137">
        <f>$W271*AC271+$L271*Summary_LCIA!T$32</f>
        <v>46.553573056806755</v>
      </c>
      <c r="AY271" s="137">
        <f>$W271*AD271+$L271*Summary_LCIA!U$32</f>
        <v>0.65498228942300429</v>
      </c>
      <c r="AZ271" s="137">
        <f>$W271*AE271+$L271*Summary_LCIA!V$32</f>
        <v>6.3685621390680135E-3</v>
      </c>
      <c r="BA271" s="137">
        <f>$W271*AF271+$L271*Summary_LCIA!W$32</f>
        <v>9.6124664618614712</v>
      </c>
      <c r="BB271" s="137">
        <f>$W271*AG271+$L271*Summary_LCIA!X$32</f>
        <v>10.142862250602757</v>
      </c>
      <c r="BC271" s="137">
        <f>$W271*AH271+$L271*Summary_LCIA!Y$32</f>
        <v>0.57302171493934773</v>
      </c>
      <c r="BD271" s="137">
        <f>$W271*AI271+$L271*Summary_LCIA!Z$32</f>
        <v>0.1805930939168493</v>
      </c>
      <c r="BE271" s="137">
        <f>$W271*AJ271+$L271*Summary_LCIA!AA$32</f>
        <v>1.3633628236496116</v>
      </c>
      <c r="BF271" s="137">
        <f>$W271*AK271+$L271*Summary_LCIA!AB$32</f>
        <v>4.6001240385210286E-2</v>
      </c>
      <c r="BG271" s="137">
        <f>$W271*AL271+$L271*Summary_LCIA!AC$32</f>
        <v>2.3613032306785488E-5</v>
      </c>
      <c r="BH271" s="137">
        <f>$W271*AM271+$L271*Summary_LCIA!AD$32</f>
        <v>9.0327261141284837E-2</v>
      </c>
      <c r="BI271" s="137">
        <f>$W271*AN271+$L271*Summary_LCIA!AE$32</f>
        <v>0.27267449050337167</v>
      </c>
      <c r="BJ271" s="137">
        <f>$W271*AO271+$L271*Summary_LCIA!AF$32</f>
        <v>2.3723469469565561E-2</v>
      </c>
      <c r="BK271" s="137">
        <f>$W271*AP271+$L271*Summary_LCIA!AG$32</f>
        <v>4.929807659565558E-3</v>
      </c>
      <c r="BL271" s="137">
        <f>$W271*AQ271+$L271*Summary_LCIA!AH$32</f>
        <v>0.75074709049716559</v>
      </c>
      <c r="BM271" s="137">
        <f>$W271*AR271+$L271*Summary_LCIA!AI$32</f>
        <v>0.23183658745422928</v>
      </c>
    </row>
    <row r="272" spans="1:65" x14ac:dyDescent="0.25">
      <c r="A272" s="149">
        <v>313</v>
      </c>
      <c r="B272" s="149">
        <v>1</v>
      </c>
      <c r="C272" s="61">
        <v>35.779589999999999</v>
      </c>
      <c r="D272" s="61">
        <v>-78.638178999999994</v>
      </c>
      <c r="E272" s="61" t="s">
        <v>265</v>
      </c>
      <c r="F272" s="149">
        <v>97</v>
      </c>
      <c r="G272" s="61" t="s">
        <v>286</v>
      </c>
      <c r="H272" s="61" t="s">
        <v>718</v>
      </c>
      <c r="I272" s="61">
        <v>35.880079000000002</v>
      </c>
      <c r="J272" s="61">
        <v>-78.787996000000007</v>
      </c>
      <c r="K272" s="61">
        <v>20.075432370000001</v>
      </c>
      <c r="L272" s="61">
        <v>23.661999999999999</v>
      </c>
      <c r="M272" s="61" t="s">
        <v>617</v>
      </c>
      <c r="N272" s="149">
        <v>0</v>
      </c>
      <c r="O272" s="149">
        <v>1</v>
      </c>
      <c r="P272" s="61" t="s">
        <v>565</v>
      </c>
      <c r="Q272" s="61" t="s">
        <v>558</v>
      </c>
      <c r="R272" s="61">
        <v>33.640728199999998</v>
      </c>
      <c r="S272" s="61">
        <v>-84.427700099999996</v>
      </c>
      <c r="T272" s="61">
        <v>668.47400000000005</v>
      </c>
      <c r="U272" s="61" t="s">
        <v>617</v>
      </c>
      <c r="V272" s="61" t="s">
        <v>569</v>
      </c>
      <c r="W272" s="61" cm="1">
        <f t="array" ref="W272">getDistance(I272,J272,R272,S272)*SA!$B$12</f>
        <v>573.10072250496057</v>
      </c>
      <c r="Y272" s="137">
        <f>Transportation_LCIA!C$61*($W272^Transportation_LCIA!C$60)+Transportation_LCIA!C$62</f>
        <v>0.30910385761601844</v>
      </c>
      <c r="Z272" s="137">
        <f>Transportation_LCIA!D$61*($W272^Transportation_LCIA!D$60)+Transportation_LCIA!D$62</f>
        <v>3.2908541038241621</v>
      </c>
      <c r="AA272" s="137">
        <f>Transportation_LCIA!E$61*($W272^Transportation_LCIA!E$60)+Transportation_LCIA!E$62</f>
        <v>1.7152989150577527E-3</v>
      </c>
      <c r="AB272" s="137">
        <f>Transportation_LCIA!F$61*($W272^Transportation_LCIA!F$60)+Transportation_LCIA!F$62</f>
        <v>0.30910385761601844</v>
      </c>
      <c r="AC272" s="137">
        <f>Transportation_LCIA!G$61*($W272^Transportation_LCIA!G$60)+Transportation_LCIA!G$62</f>
        <v>7.6693533144911216E-2</v>
      </c>
      <c r="AD272" s="137">
        <f>Transportation_LCIA!H$61*($W272^Transportation_LCIA!H$60)+Transportation_LCIA!H$62</f>
        <v>4.0324712977657081E-4</v>
      </c>
      <c r="AE272" s="137">
        <f>Transportation_LCIA!I$61*($W272^Transportation_LCIA!I$60)+Transportation_LCIA!I$62</f>
        <v>9.140524782749112E-6</v>
      </c>
      <c r="AF272" s="137">
        <f>Transportation_LCIA!J$61*($W272^Transportation_LCIA!J$60)+Transportation_LCIA!J$62</f>
        <v>1.3594780732097286E-2</v>
      </c>
      <c r="AG272" s="137">
        <f>Transportation_LCIA!K$61*($W272^Transportation_LCIA!K$60)+Transportation_LCIA!K$62</f>
        <v>1.6757685889184391E-2</v>
      </c>
      <c r="AH272" s="137">
        <f>Transportation_LCIA!L$61*($W272^Transportation_LCIA!L$60)+Transportation_LCIA!L$62</f>
        <v>3.5651748971155618E-4</v>
      </c>
      <c r="AI272" s="137">
        <f>Transportation_LCIA!M$61*($W272^Transportation_LCIA!M$60)+Transportation_LCIA!M$62</f>
        <v>3.134226356821502E-4</v>
      </c>
      <c r="AJ272" s="137">
        <f>Transportation_LCIA!N$61*($W272^Transportation_LCIA!N$60)+Transportation_LCIA!N$62</f>
        <v>1.4146084969254148E-3</v>
      </c>
      <c r="AK272" s="137">
        <f>Transportation_LCIA!O$61*($W272^Transportation_LCIA!O$60)+Transportation_LCIA!O$62</f>
        <v>8.1168308439547713E-5</v>
      </c>
      <c r="AL272" s="137">
        <f>Transportation_LCIA!P$61*($W272^Transportation_LCIA!P$60)+Transportation_LCIA!P$62</f>
        <v>3.9183930881523387E-8</v>
      </c>
      <c r="AM272" s="137">
        <f>Transportation_LCIA!Q$61*($W272^Transportation_LCIA!Q$60)+Transportation_LCIA!Q$62</f>
        <v>1.4064060556229221E-4</v>
      </c>
      <c r="AN272" s="137">
        <f>Transportation_LCIA!R$61*($W272^Transportation_LCIA!R$60)+Transportation_LCIA!R$62</f>
        <v>4.3920182362218712E-4</v>
      </c>
      <c r="AO272" s="137">
        <f>Transportation_LCIA!S$61*($W272^Transportation_LCIA!S$60)+Transportation_LCIA!S$62</f>
        <v>6.489507487112558E-6</v>
      </c>
      <c r="AP272" s="137">
        <f>Transportation_LCIA!T$61*($W272^Transportation_LCIA!T$60)+Transportation_LCIA!T$62</f>
        <v>6.489507487112558E-6</v>
      </c>
      <c r="AQ272" s="137">
        <f>Transportation_LCIA!U$61*($W272^Transportation_LCIA!U$60)+Transportation_LCIA!U$62</f>
        <v>9.5062261467040814E-4</v>
      </c>
      <c r="AR272" s="137">
        <f>Transportation_LCIA!V$61*($W272^Transportation_LCIA!V$60)+Transportation_LCIA!V$62</f>
        <v>3.6606872599504245E-4</v>
      </c>
      <c r="AT272" s="137">
        <f>$W272*Y272+$L272*Summary_LCIA!H$32</f>
        <v>185.18799172881063</v>
      </c>
      <c r="AU272" s="137">
        <f>$W272*Z272+$L272*Summary_LCIA!Q$32</f>
        <v>2003.2609299056878</v>
      </c>
      <c r="AV272" s="137">
        <f>$W272*AA272+$L272*Summary_LCIA!R$32</f>
        <v>1.1076336747315731</v>
      </c>
      <c r="AW272" s="137">
        <f>$W272*AB272+$L272*Summary_LCIA!S$32</f>
        <v>185.08340568881064</v>
      </c>
      <c r="AX272" s="137">
        <f>$W272*AC272+$L272*Summary_LCIA!T$32</f>
        <v>46.553573056806755</v>
      </c>
      <c r="AY272" s="137">
        <f>$W272*AD272+$L272*Summary_LCIA!U$32</f>
        <v>0.65498228942300429</v>
      </c>
      <c r="AZ272" s="137">
        <f>$W272*AE272+$L272*Summary_LCIA!V$32</f>
        <v>6.3685621390680135E-3</v>
      </c>
      <c r="BA272" s="137">
        <f>$W272*AF272+$L272*Summary_LCIA!W$32</f>
        <v>9.6124664618614712</v>
      </c>
      <c r="BB272" s="137">
        <f>$W272*AG272+$L272*Summary_LCIA!X$32</f>
        <v>10.142862250602757</v>
      </c>
      <c r="BC272" s="137">
        <f>$W272*AH272+$L272*Summary_LCIA!Y$32</f>
        <v>0.57302171493934773</v>
      </c>
      <c r="BD272" s="137">
        <f>$W272*AI272+$L272*Summary_LCIA!Z$32</f>
        <v>0.1805930939168493</v>
      </c>
      <c r="BE272" s="137">
        <f>$W272*AJ272+$L272*Summary_LCIA!AA$32</f>
        <v>1.3633628236496116</v>
      </c>
      <c r="BF272" s="137">
        <f>$W272*AK272+$L272*Summary_LCIA!AB$32</f>
        <v>4.6001240385210286E-2</v>
      </c>
      <c r="BG272" s="137">
        <f>$W272*AL272+$L272*Summary_LCIA!AC$32</f>
        <v>2.3613032306785488E-5</v>
      </c>
      <c r="BH272" s="137">
        <f>$W272*AM272+$L272*Summary_LCIA!AD$32</f>
        <v>9.0327261141284837E-2</v>
      </c>
      <c r="BI272" s="137">
        <f>$W272*AN272+$L272*Summary_LCIA!AE$32</f>
        <v>0.27267449050337167</v>
      </c>
      <c r="BJ272" s="137">
        <f>$W272*AO272+$L272*Summary_LCIA!AF$32</f>
        <v>2.3723469469565561E-2</v>
      </c>
      <c r="BK272" s="137">
        <f>$W272*AP272+$L272*Summary_LCIA!AG$32</f>
        <v>4.929807659565558E-3</v>
      </c>
      <c r="BL272" s="137">
        <f>$W272*AQ272+$L272*Summary_LCIA!AH$32</f>
        <v>0.75074709049716559</v>
      </c>
      <c r="BM272" s="137">
        <f>$W272*AR272+$L272*Summary_LCIA!AI$32</f>
        <v>0.23183658745422928</v>
      </c>
    </row>
    <row r="273" spans="1:65" x14ac:dyDescent="0.25">
      <c r="A273" s="149">
        <v>314</v>
      </c>
      <c r="B273" s="149">
        <v>1</v>
      </c>
      <c r="C273" s="61">
        <v>35.779589999999999</v>
      </c>
      <c r="D273" s="61">
        <v>-78.638178999999994</v>
      </c>
      <c r="E273" s="61" t="s">
        <v>265</v>
      </c>
      <c r="F273" s="149">
        <v>97</v>
      </c>
      <c r="G273" s="61" t="s">
        <v>286</v>
      </c>
      <c r="H273" s="61" t="s">
        <v>718</v>
      </c>
      <c r="I273" s="61">
        <v>35.880079000000002</v>
      </c>
      <c r="J273" s="61">
        <v>-78.787996000000007</v>
      </c>
      <c r="K273" s="61">
        <v>20.075432370000001</v>
      </c>
      <c r="L273" s="61">
        <v>23.661999999999999</v>
      </c>
      <c r="M273" s="61" t="s">
        <v>617</v>
      </c>
      <c r="N273" s="149">
        <v>0</v>
      </c>
      <c r="O273" s="149">
        <v>1</v>
      </c>
      <c r="P273" s="61" t="s">
        <v>565</v>
      </c>
      <c r="Q273" s="61" t="s">
        <v>558</v>
      </c>
      <c r="R273" s="61">
        <v>33.640728199999998</v>
      </c>
      <c r="S273" s="61">
        <v>-84.427700099999996</v>
      </c>
      <c r="T273" s="61">
        <v>668.47400000000005</v>
      </c>
      <c r="U273" s="61" t="s">
        <v>617</v>
      </c>
      <c r="V273" s="61" t="s">
        <v>569</v>
      </c>
      <c r="W273" s="61" cm="1">
        <f t="array" ref="W273">getDistance(I273,J273,R273,S273)*SA!$B$12</f>
        <v>573.10072250496057</v>
      </c>
      <c r="Y273" s="137">
        <f>Transportation_LCIA!C$61*($W273^Transportation_LCIA!C$60)+Transportation_LCIA!C$62</f>
        <v>0.30910385761601844</v>
      </c>
      <c r="Z273" s="137">
        <f>Transportation_LCIA!D$61*($W273^Transportation_LCIA!D$60)+Transportation_LCIA!D$62</f>
        <v>3.2908541038241621</v>
      </c>
      <c r="AA273" s="137">
        <f>Transportation_LCIA!E$61*($W273^Transportation_LCIA!E$60)+Transportation_LCIA!E$62</f>
        <v>1.7152989150577527E-3</v>
      </c>
      <c r="AB273" s="137">
        <f>Transportation_LCIA!F$61*($W273^Transportation_LCIA!F$60)+Transportation_LCIA!F$62</f>
        <v>0.30910385761601844</v>
      </c>
      <c r="AC273" s="137">
        <f>Transportation_LCIA!G$61*($W273^Transportation_LCIA!G$60)+Transportation_LCIA!G$62</f>
        <v>7.6693533144911216E-2</v>
      </c>
      <c r="AD273" s="137">
        <f>Transportation_LCIA!H$61*($W273^Transportation_LCIA!H$60)+Transportation_LCIA!H$62</f>
        <v>4.0324712977657081E-4</v>
      </c>
      <c r="AE273" s="137">
        <f>Transportation_LCIA!I$61*($W273^Transportation_LCIA!I$60)+Transportation_LCIA!I$62</f>
        <v>9.140524782749112E-6</v>
      </c>
      <c r="AF273" s="137">
        <f>Transportation_LCIA!J$61*($W273^Transportation_LCIA!J$60)+Transportation_LCIA!J$62</f>
        <v>1.3594780732097286E-2</v>
      </c>
      <c r="AG273" s="137">
        <f>Transportation_LCIA!K$61*($W273^Transportation_LCIA!K$60)+Transportation_LCIA!K$62</f>
        <v>1.6757685889184391E-2</v>
      </c>
      <c r="AH273" s="137">
        <f>Transportation_LCIA!L$61*($W273^Transportation_LCIA!L$60)+Transportation_LCIA!L$62</f>
        <v>3.5651748971155618E-4</v>
      </c>
      <c r="AI273" s="137">
        <f>Transportation_LCIA!M$61*($W273^Transportation_LCIA!M$60)+Transportation_LCIA!M$62</f>
        <v>3.134226356821502E-4</v>
      </c>
      <c r="AJ273" s="137">
        <f>Transportation_LCIA!N$61*($W273^Transportation_LCIA!N$60)+Transportation_LCIA!N$62</f>
        <v>1.4146084969254148E-3</v>
      </c>
      <c r="AK273" s="137">
        <f>Transportation_LCIA!O$61*($W273^Transportation_LCIA!O$60)+Transportation_LCIA!O$62</f>
        <v>8.1168308439547713E-5</v>
      </c>
      <c r="AL273" s="137">
        <f>Transportation_LCIA!P$61*($W273^Transportation_LCIA!P$60)+Transportation_LCIA!P$62</f>
        <v>3.9183930881523387E-8</v>
      </c>
      <c r="AM273" s="137">
        <f>Transportation_LCIA!Q$61*($W273^Transportation_LCIA!Q$60)+Transportation_LCIA!Q$62</f>
        <v>1.4064060556229221E-4</v>
      </c>
      <c r="AN273" s="137">
        <f>Transportation_LCIA!R$61*($W273^Transportation_LCIA!R$60)+Transportation_LCIA!R$62</f>
        <v>4.3920182362218712E-4</v>
      </c>
      <c r="AO273" s="137">
        <f>Transportation_LCIA!S$61*($W273^Transportation_LCIA!S$60)+Transportation_LCIA!S$62</f>
        <v>6.489507487112558E-6</v>
      </c>
      <c r="AP273" s="137">
        <f>Transportation_LCIA!T$61*($W273^Transportation_LCIA!T$60)+Transportation_LCIA!T$62</f>
        <v>6.489507487112558E-6</v>
      </c>
      <c r="AQ273" s="137">
        <f>Transportation_LCIA!U$61*($W273^Transportation_LCIA!U$60)+Transportation_LCIA!U$62</f>
        <v>9.5062261467040814E-4</v>
      </c>
      <c r="AR273" s="137">
        <f>Transportation_LCIA!V$61*($W273^Transportation_LCIA!V$60)+Transportation_LCIA!V$62</f>
        <v>3.6606872599504245E-4</v>
      </c>
      <c r="AT273" s="137">
        <f>$W273*Y273+$L273*Summary_LCIA!H$32</f>
        <v>185.18799172881063</v>
      </c>
      <c r="AU273" s="137">
        <f>$W273*Z273+$L273*Summary_LCIA!Q$32</f>
        <v>2003.2609299056878</v>
      </c>
      <c r="AV273" s="137">
        <f>$W273*AA273+$L273*Summary_LCIA!R$32</f>
        <v>1.1076336747315731</v>
      </c>
      <c r="AW273" s="137">
        <f>$W273*AB273+$L273*Summary_LCIA!S$32</f>
        <v>185.08340568881064</v>
      </c>
      <c r="AX273" s="137">
        <f>$W273*AC273+$L273*Summary_LCIA!T$32</f>
        <v>46.553573056806755</v>
      </c>
      <c r="AY273" s="137">
        <f>$W273*AD273+$L273*Summary_LCIA!U$32</f>
        <v>0.65498228942300429</v>
      </c>
      <c r="AZ273" s="137">
        <f>$W273*AE273+$L273*Summary_LCIA!V$32</f>
        <v>6.3685621390680135E-3</v>
      </c>
      <c r="BA273" s="137">
        <f>$W273*AF273+$L273*Summary_LCIA!W$32</f>
        <v>9.6124664618614712</v>
      </c>
      <c r="BB273" s="137">
        <f>$W273*AG273+$L273*Summary_LCIA!X$32</f>
        <v>10.142862250602757</v>
      </c>
      <c r="BC273" s="137">
        <f>$W273*AH273+$L273*Summary_LCIA!Y$32</f>
        <v>0.57302171493934773</v>
      </c>
      <c r="BD273" s="137">
        <f>$W273*AI273+$L273*Summary_LCIA!Z$32</f>
        <v>0.1805930939168493</v>
      </c>
      <c r="BE273" s="137">
        <f>$W273*AJ273+$L273*Summary_LCIA!AA$32</f>
        <v>1.3633628236496116</v>
      </c>
      <c r="BF273" s="137">
        <f>$W273*AK273+$L273*Summary_LCIA!AB$32</f>
        <v>4.6001240385210286E-2</v>
      </c>
      <c r="BG273" s="137">
        <f>$W273*AL273+$L273*Summary_LCIA!AC$32</f>
        <v>2.3613032306785488E-5</v>
      </c>
      <c r="BH273" s="137">
        <f>$W273*AM273+$L273*Summary_LCIA!AD$32</f>
        <v>9.0327261141284837E-2</v>
      </c>
      <c r="BI273" s="137">
        <f>$W273*AN273+$L273*Summary_LCIA!AE$32</f>
        <v>0.27267449050337167</v>
      </c>
      <c r="BJ273" s="137">
        <f>$W273*AO273+$L273*Summary_LCIA!AF$32</f>
        <v>2.3723469469565561E-2</v>
      </c>
      <c r="BK273" s="137">
        <f>$W273*AP273+$L273*Summary_LCIA!AG$32</f>
        <v>4.929807659565558E-3</v>
      </c>
      <c r="BL273" s="137">
        <f>$W273*AQ273+$L273*Summary_LCIA!AH$32</f>
        <v>0.75074709049716559</v>
      </c>
      <c r="BM273" s="137">
        <f>$W273*AR273+$L273*Summary_LCIA!AI$32</f>
        <v>0.23183658745422928</v>
      </c>
    </row>
    <row r="274" spans="1:65" x14ac:dyDescent="0.25">
      <c r="A274" s="149">
        <v>287</v>
      </c>
      <c r="B274" s="149">
        <v>43</v>
      </c>
      <c r="C274" s="61">
        <v>45.421529999999997</v>
      </c>
      <c r="D274" s="61">
        <v>-75.697192999999999</v>
      </c>
      <c r="E274" s="61" t="s">
        <v>456</v>
      </c>
      <c r="F274" s="149">
        <v>127</v>
      </c>
      <c r="G274" s="61" t="s">
        <v>635</v>
      </c>
      <c r="H274" s="61" t="s">
        <v>636</v>
      </c>
      <c r="I274" s="61">
        <v>45.319212</v>
      </c>
      <c r="J274" s="61">
        <v>-75.669165000000007</v>
      </c>
      <c r="K274" s="61">
        <v>15.884900010000001</v>
      </c>
      <c r="L274" s="61">
        <v>14.090999999999999</v>
      </c>
      <c r="M274" s="61" t="s">
        <v>617</v>
      </c>
      <c r="N274" s="149">
        <v>42</v>
      </c>
      <c r="O274" s="149">
        <v>43</v>
      </c>
      <c r="P274" s="61" t="s">
        <v>565</v>
      </c>
      <c r="Q274" s="61" t="s">
        <v>555</v>
      </c>
      <c r="R274" s="61">
        <v>40.6895314</v>
      </c>
      <c r="S274" s="61">
        <v>-74.174462399999996</v>
      </c>
      <c r="T274" s="61">
        <v>704.39099999999996</v>
      </c>
      <c r="U274" s="61" t="s">
        <v>617</v>
      </c>
      <c r="V274" s="61" t="s">
        <v>569</v>
      </c>
      <c r="W274" s="61" cm="1">
        <f t="array" ref="W274">getDistance(I274,J274,R274,S274)*SA!$B$12</f>
        <v>529.43931884690528</v>
      </c>
      <c r="Y274" s="137">
        <f>Transportation_LCIA!C$61*($W274^Transportation_LCIA!C$60)+Transportation_LCIA!C$62</f>
        <v>0.32265907727188337</v>
      </c>
      <c r="Z274" s="137">
        <f>Transportation_LCIA!D$61*($W274^Transportation_LCIA!D$60)+Transportation_LCIA!D$62</f>
        <v>3.4531640207907941</v>
      </c>
      <c r="AA274" s="137">
        <f>Transportation_LCIA!E$61*($W274^Transportation_LCIA!E$60)+Transportation_LCIA!E$62</f>
        <v>1.8227893020850289E-3</v>
      </c>
      <c r="AB274" s="137">
        <f>Transportation_LCIA!F$61*($W274^Transportation_LCIA!F$60)+Transportation_LCIA!F$62</f>
        <v>0.32265907727188337</v>
      </c>
      <c r="AC274" s="137">
        <f>Transportation_LCIA!G$61*($W274^Transportation_LCIA!G$60)+Transportation_LCIA!G$62</f>
        <v>8.0443068469756601E-2</v>
      </c>
      <c r="AD274" s="137">
        <f>Transportation_LCIA!H$61*($W274^Transportation_LCIA!H$60)+Transportation_LCIA!H$62</f>
        <v>4.2722183275246164E-4</v>
      </c>
      <c r="AE274" s="137">
        <f>Transportation_LCIA!I$61*($W274^Transportation_LCIA!I$60)+Transportation_LCIA!I$62</f>
        <v>9.7580882669063746E-6</v>
      </c>
      <c r="AF274" s="137">
        <f>Transportation_LCIA!J$61*($W274^Transportation_LCIA!J$60)+Transportation_LCIA!J$62</f>
        <v>1.452841427349187E-2</v>
      </c>
      <c r="AG274" s="137">
        <f>Transportation_LCIA!K$61*($W274^Transportation_LCIA!K$60)+Transportation_LCIA!K$62</f>
        <v>1.7644394367690802E-2</v>
      </c>
      <c r="AH274" s="137">
        <f>Transportation_LCIA!L$61*($W274^Transportation_LCIA!L$60)+Transportation_LCIA!L$62</f>
        <v>3.7870309841583639E-4</v>
      </c>
      <c r="AI274" s="137">
        <f>Transportation_LCIA!M$61*($W274^Transportation_LCIA!M$60)+Transportation_LCIA!M$62</f>
        <v>3.2666434947107312E-4</v>
      </c>
      <c r="AJ274" s="137">
        <f>Transportation_LCIA!N$61*($W274^Transportation_LCIA!N$60)+Transportation_LCIA!N$62</f>
        <v>1.4950682872387905E-3</v>
      </c>
      <c r="AK274" s="137">
        <f>Transportation_LCIA!O$61*($W274^Transportation_LCIA!O$60)+Transportation_LCIA!O$62</f>
        <v>8.5155488326102327E-5</v>
      </c>
      <c r="AL274" s="137">
        <f>Transportation_LCIA!P$61*($W274^Transportation_LCIA!P$60)+Transportation_LCIA!P$62</f>
        <v>4.1097261881908054E-8</v>
      </c>
      <c r="AM274" s="137">
        <f>Transportation_LCIA!Q$61*($W274^Transportation_LCIA!Q$60)+Transportation_LCIA!Q$62</f>
        <v>1.4934582530155702E-4</v>
      </c>
      <c r="AN274" s="137">
        <f>Transportation_LCIA!R$61*($W274^Transportation_LCIA!R$60)+Transportation_LCIA!R$62</f>
        <v>4.6883227487666394E-4</v>
      </c>
      <c r="AO274" s="137">
        <f>Transportation_LCIA!S$61*($W274^Transportation_LCIA!S$60)+Transportation_LCIA!S$62</f>
        <v>6.909593862511241E-6</v>
      </c>
      <c r="AP274" s="137">
        <f>Transportation_LCIA!T$61*($W274^Transportation_LCIA!T$60)+Transportation_LCIA!T$62</f>
        <v>6.909593862511241E-6</v>
      </c>
      <c r="AQ274" s="137">
        <f>Transportation_LCIA!U$61*($W274^Transportation_LCIA!U$60)+Transportation_LCIA!U$62</f>
        <v>1.0158866596849867E-3</v>
      </c>
      <c r="AR274" s="137">
        <f>Transportation_LCIA!V$61*($W274^Transportation_LCIA!V$60)+Transportation_LCIA!V$62</f>
        <v>3.8881846527034328E-4</v>
      </c>
      <c r="AT274" s="137">
        <f>$W274*Y274+$L274*Summary_LCIA!H$32</f>
        <v>175.61652389059691</v>
      </c>
      <c r="AU274" s="137">
        <f>$W274*Z274+$L274*Summary_LCIA!Q$32</f>
        <v>1898.0765136855216</v>
      </c>
      <c r="AV274" s="137">
        <f>$W274*AA274+$L274*Summary_LCIA!R$32</f>
        <v>1.0392538960973234</v>
      </c>
      <c r="AW274" s="137">
        <f>$W274*AB274+$L274*Summary_LCIA!S$32</f>
        <v>175.55424167059692</v>
      </c>
      <c r="AX274" s="137">
        <f>$W274*AC274+$L274*Summary_LCIA!T$32</f>
        <v>44.138324276582892</v>
      </c>
      <c r="AY274" s="137">
        <f>$W274*AD274+$L274*Summary_LCIA!U$32</f>
        <v>0.47861421012898975</v>
      </c>
      <c r="AZ274" s="137">
        <f>$W274*AE274+$L274*Summary_LCIA!V$32</f>
        <v>5.8393158562788901E-3</v>
      </c>
      <c r="BA274" s="137">
        <f>$W274*AF274+$L274*Summary_LCIA!W$32</f>
        <v>8.7765121178831915</v>
      </c>
      <c r="BB274" s="137">
        <f>$W274*AG274+$L274*Summary_LCIA!X$32</f>
        <v>9.6626291154963901</v>
      </c>
      <c r="BC274" s="137">
        <f>$W274*AH274+$L274*Summary_LCIA!Y$32</f>
        <v>0.420066272470493</v>
      </c>
      <c r="BD274" s="137">
        <f>$W274*AI274+$L274*Summary_LCIA!Z$32</f>
        <v>0.17352680849453236</v>
      </c>
      <c r="BE274" s="137">
        <f>$W274*AJ274+$L274*Summary_LCIA!AA$32</f>
        <v>1.1206573316253146</v>
      </c>
      <c r="BF274" s="137">
        <f>$W274*AK274+$L274*Summary_LCIA!AB$32</f>
        <v>4.4777155842447208E-2</v>
      </c>
      <c r="BG274" s="137">
        <f>$W274*AL274+$L274*Summary_LCIA!AC$32</f>
        <v>2.2447330781230284E-5</v>
      </c>
      <c r="BH274" s="137">
        <f>$W274*AM274+$L274*Summary_LCIA!AD$32</f>
        <v>8.4861516660285255E-2</v>
      </c>
      <c r="BI274" s="137">
        <f>$W274*AN274+$L274*Summary_LCIA!AE$32</f>
        <v>0.26070469809414604</v>
      </c>
      <c r="BJ274" s="137">
        <f>$W274*AO274+$L274*Summary_LCIA!AF$32</f>
        <v>1.5571023888076709E-2</v>
      </c>
      <c r="BK274" s="137">
        <f>$W274*AP274+$L274*Summary_LCIA!AG$32</f>
        <v>4.3791766830767092E-3</v>
      </c>
      <c r="BL274" s="137">
        <f>$W274*AQ274+$L274*Summary_LCIA!AH$32</f>
        <v>0.6604927687292772</v>
      </c>
      <c r="BM274" s="137">
        <f>$W274*AR274+$L274*Summary_LCIA!AI$32</f>
        <v>0.21898225445782965</v>
      </c>
    </row>
    <row r="275" spans="1:65" x14ac:dyDescent="0.25">
      <c r="A275" s="149">
        <v>288</v>
      </c>
      <c r="B275" s="149">
        <v>43</v>
      </c>
      <c r="C275" s="61">
        <v>45.421529999999997</v>
      </c>
      <c r="D275" s="61">
        <v>-75.697192999999999</v>
      </c>
      <c r="E275" s="61" t="s">
        <v>456</v>
      </c>
      <c r="F275" s="149">
        <v>127</v>
      </c>
      <c r="G275" s="61" t="s">
        <v>635</v>
      </c>
      <c r="H275" s="61" t="s">
        <v>636</v>
      </c>
      <c r="I275" s="61">
        <v>45.319212</v>
      </c>
      <c r="J275" s="61">
        <v>-75.669165000000007</v>
      </c>
      <c r="K275" s="61">
        <v>15.884900010000001</v>
      </c>
      <c r="L275" s="61">
        <v>14.090999999999999</v>
      </c>
      <c r="M275" s="61" t="s">
        <v>617</v>
      </c>
      <c r="N275" s="149">
        <v>42</v>
      </c>
      <c r="O275" s="149">
        <v>43</v>
      </c>
      <c r="P275" s="61" t="s">
        <v>565</v>
      </c>
      <c r="Q275" s="61" t="s">
        <v>555</v>
      </c>
      <c r="R275" s="61">
        <v>40.6895314</v>
      </c>
      <c r="S275" s="61">
        <v>-74.174462399999996</v>
      </c>
      <c r="T275" s="61">
        <v>704.39099999999996</v>
      </c>
      <c r="U275" s="61" t="s">
        <v>617</v>
      </c>
      <c r="V275" s="61" t="s">
        <v>569</v>
      </c>
      <c r="W275" s="61" cm="1">
        <f t="array" ref="W275">getDistance(I275,J275,R275,S275)*SA!$B$12</f>
        <v>529.43931884690528</v>
      </c>
      <c r="Y275" s="137">
        <f>Transportation_LCIA!C$61*($W275^Transportation_LCIA!C$60)+Transportation_LCIA!C$62</f>
        <v>0.32265907727188337</v>
      </c>
      <c r="Z275" s="137">
        <f>Transportation_LCIA!D$61*($W275^Transportation_LCIA!D$60)+Transportation_LCIA!D$62</f>
        <v>3.4531640207907941</v>
      </c>
      <c r="AA275" s="137">
        <f>Transportation_LCIA!E$61*($W275^Transportation_LCIA!E$60)+Transportation_LCIA!E$62</f>
        <v>1.8227893020850289E-3</v>
      </c>
      <c r="AB275" s="137">
        <f>Transportation_LCIA!F$61*($W275^Transportation_LCIA!F$60)+Transportation_LCIA!F$62</f>
        <v>0.32265907727188337</v>
      </c>
      <c r="AC275" s="137">
        <f>Transportation_LCIA!G$61*($W275^Transportation_LCIA!G$60)+Transportation_LCIA!G$62</f>
        <v>8.0443068469756601E-2</v>
      </c>
      <c r="AD275" s="137">
        <f>Transportation_LCIA!H$61*($W275^Transportation_LCIA!H$60)+Transportation_LCIA!H$62</f>
        <v>4.2722183275246164E-4</v>
      </c>
      <c r="AE275" s="137">
        <f>Transportation_LCIA!I$61*($W275^Transportation_LCIA!I$60)+Transportation_LCIA!I$62</f>
        <v>9.7580882669063746E-6</v>
      </c>
      <c r="AF275" s="137">
        <f>Transportation_LCIA!J$61*($W275^Transportation_LCIA!J$60)+Transportation_LCIA!J$62</f>
        <v>1.452841427349187E-2</v>
      </c>
      <c r="AG275" s="137">
        <f>Transportation_LCIA!K$61*($W275^Transportation_LCIA!K$60)+Transportation_LCIA!K$62</f>
        <v>1.7644394367690802E-2</v>
      </c>
      <c r="AH275" s="137">
        <f>Transportation_LCIA!L$61*($W275^Transportation_LCIA!L$60)+Transportation_LCIA!L$62</f>
        <v>3.7870309841583639E-4</v>
      </c>
      <c r="AI275" s="137">
        <f>Transportation_LCIA!M$61*($W275^Transportation_LCIA!M$60)+Transportation_LCIA!M$62</f>
        <v>3.2666434947107312E-4</v>
      </c>
      <c r="AJ275" s="137">
        <f>Transportation_LCIA!N$61*($W275^Transportation_LCIA!N$60)+Transportation_LCIA!N$62</f>
        <v>1.4950682872387905E-3</v>
      </c>
      <c r="AK275" s="137">
        <f>Transportation_LCIA!O$61*($W275^Transportation_LCIA!O$60)+Transportation_LCIA!O$62</f>
        <v>8.5155488326102327E-5</v>
      </c>
      <c r="AL275" s="137">
        <f>Transportation_LCIA!P$61*($W275^Transportation_LCIA!P$60)+Transportation_LCIA!P$62</f>
        <v>4.1097261881908054E-8</v>
      </c>
      <c r="AM275" s="137">
        <f>Transportation_LCIA!Q$61*($W275^Transportation_LCIA!Q$60)+Transportation_LCIA!Q$62</f>
        <v>1.4934582530155702E-4</v>
      </c>
      <c r="AN275" s="137">
        <f>Transportation_LCIA!R$61*($W275^Transportation_LCIA!R$60)+Transportation_LCIA!R$62</f>
        <v>4.6883227487666394E-4</v>
      </c>
      <c r="AO275" s="137">
        <f>Transportation_LCIA!S$61*($W275^Transportation_LCIA!S$60)+Transportation_LCIA!S$62</f>
        <v>6.909593862511241E-6</v>
      </c>
      <c r="AP275" s="137">
        <f>Transportation_LCIA!T$61*($W275^Transportation_LCIA!T$60)+Transportation_LCIA!T$62</f>
        <v>6.909593862511241E-6</v>
      </c>
      <c r="AQ275" s="137">
        <f>Transportation_LCIA!U$61*($W275^Transportation_LCIA!U$60)+Transportation_LCIA!U$62</f>
        <v>1.0158866596849867E-3</v>
      </c>
      <c r="AR275" s="137">
        <f>Transportation_LCIA!V$61*($W275^Transportation_LCIA!V$60)+Transportation_LCIA!V$62</f>
        <v>3.8881846527034328E-4</v>
      </c>
      <c r="AT275" s="137">
        <f>$W275*Y275+$L275*Summary_LCIA!H$32</f>
        <v>175.61652389059691</v>
      </c>
      <c r="AU275" s="137">
        <f>$W275*Z275+$L275*Summary_LCIA!Q$32</f>
        <v>1898.0765136855216</v>
      </c>
      <c r="AV275" s="137">
        <f>$W275*AA275+$L275*Summary_LCIA!R$32</f>
        <v>1.0392538960973234</v>
      </c>
      <c r="AW275" s="137">
        <f>$W275*AB275+$L275*Summary_LCIA!S$32</f>
        <v>175.55424167059692</v>
      </c>
      <c r="AX275" s="137">
        <f>$W275*AC275+$L275*Summary_LCIA!T$32</f>
        <v>44.138324276582892</v>
      </c>
      <c r="AY275" s="137">
        <f>$W275*AD275+$L275*Summary_LCIA!U$32</f>
        <v>0.47861421012898975</v>
      </c>
      <c r="AZ275" s="137">
        <f>$W275*AE275+$L275*Summary_LCIA!V$32</f>
        <v>5.8393158562788901E-3</v>
      </c>
      <c r="BA275" s="137">
        <f>$W275*AF275+$L275*Summary_LCIA!W$32</f>
        <v>8.7765121178831915</v>
      </c>
      <c r="BB275" s="137">
        <f>$W275*AG275+$L275*Summary_LCIA!X$32</f>
        <v>9.6626291154963901</v>
      </c>
      <c r="BC275" s="137">
        <f>$W275*AH275+$L275*Summary_LCIA!Y$32</f>
        <v>0.420066272470493</v>
      </c>
      <c r="BD275" s="137">
        <f>$W275*AI275+$L275*Summary_LCIA!Z$32</f>
        <v>0.17352680849453236</v>
      </c>
      <c r="BE275" s="137">
        <f>$W275*AJ275+$L275*Summary_LCIA!AA$32</f>
        <v>1.1206573316253146</v>
      </c>
      <c r="BF275" s="137">
        <f>$W275*AK275+$L275*Summary_LCIA!AB$32</f>
        <v>4.4777155842447208E-2</v>
      </c>
      <c r="BG275" s="137">
        <f>$W275*AL275+$L275*Summary_LCIA!AC$32</f>
        <v>2.2447330781230284E-5</v>
      </c>
      <c r="BH275" s="137">
        <f>$W275*AM275+$L275*Summary_LCIA!AD$32</f>
        <v>8.4861516660285255E-2</v>
      </c>
      <c r="BI275" s="137">
        <f>$W275*AN275+$L275*Summary_LCIA!AE$32</f>
        <v>0.26070469809414604</v>
      </c>
      <c r="BJ275" s="137">
        <f>$W275*AO275+$L275*Summary_LCIA!AF$32</f>
        <v>1.5571023888076709E-2</v>
      </c>
      <c r="BK275" s="137">
        <f>$W275*AP275+$L275*Summary_LCIA!AG$32</f>
        <v>4.3791766830767092E-3</v>
      </c>
      <c r="BL275" s="137">
        <f>$W275*AQ275+$L275*Summary_LCIA!AH$32</f>
        <v>0.6604927687292772</v>
      </c>
      <c r="BM275" s="137">
        <f>$W275*AR275+$L275*Summary_LCIA!AI$32</f>
        <v>0.21898225445782965</v>
      </c>
    </row>
    <row r="276" spans="1:65" x14ac:dyDescent="0.25">
      <c r="A276" s="149">
        <v>20</v>
      </c>
      <c r="B276" s="149">
        <v>43</v>
      </c>
      <c r="C276" s="61">
        <v>45.421379000000002</v>
      </c>
      <c r="D276" s="61">
        <v>-75.696757000000005</v>
      </c>
      <c r="E276" s="61" t="s">
        <v>456</v>
      </c>
      <c r="F276" s="149">
        <v>127</v>
      </c>
      <c r="G276" s="61" t="s">
        <v>635</v>
      </c>
      <c r="H276" s="61" t="s">
        <v>636</v>
      </c>
      <c r="I276" s="61">
        <v>45.319212</v>
      </c>
      <c r="J276" s="61">
        <v>-75.669165000000007</v>
      </c>
      <c r="K276" s="61">
        <v>15.86100968</v>
      </c>
      <c r="L276" s="61">
        <v>14.111000000000001</v>
      </c>
      <c r="M276" s="61" t="s">
        <v>617</v>
      </c>
      <c r="N276" s="149">
        <v>42</v>
      </c>
      <c r="O276" s="149">
        <v>43</v>
      </c>
      <c r="P276" s="61" t="s">
        <v>565</v>
      </c>
      <c r="Q276" s="61" t="s">
        <v>555</v>
      </c>
      <c r="R276" s="61">
        <v>40.6895314</v>
      </c>
      <c r="S276" s="61">
        <v>-74.174462399999996</v>
      </c>
      <c r="T276" s="61">
        <v>704.41099999999994</v>
      </c>
      <c r="U276" s="61" t="s">
        <v>617</v>
      </c>
      <c r="V276" s="61" t="s">
        <v>569</v>
      </c>
      <c r="W276" s="61" cm="1">
        <f t="array" ref="W276">getDistance(I276,J276,R276,S276)*SA!$B$12</f>
        <v>529.43931884690528</v>
      </c>
      <c r="Y276" s="137">
        <f>Transportation_LCIA!C$61*($W276^Transportation_LCIA!C$60)+Transportation_LCIA!C$62</f>
        <v>0.32265907727188337</v>
      </c>
      <c r="Z276" s="137">
        <f>Transportation_LCIA!D$61*($W276^Transportation_LCIA!D$60)+Transportation_LCIA!D$62</f>
        <v>3.4531640207907941</v>
      </c>
      <c r="AA276" s="137">
        <f>Transportation_LCIA!E$61*($W276^Transportation_LCIA!E$60)+Transportation_LCIA!E$62</f>
        <v>1.8227893020850289E-3</v>
      </c>
      <c r="AB276" s="137">
        <f>Transportation_LCIA!F$61*($W276^Transportation_LCIA!F$60)+Transportation_LCIA!F$62</f>
        <v>0.32265907727188337</v>
      </c>
      <c r="AC276" s="137">
        <f>Transportation_LCIA!G$61*($W276^Transportation_LCIA!G$60)+Transportation_LCIA!G$62</f>
        <v>8.0443068469756601E-2</v>
      </c>
      <c r="AD276" s="137">
        <f>Transportation_LCIA!H$61*($W276^Transportation_LCIA!H$60)+Transportation_LCIA!H$62</f>
        <v>4.2722183275246164E-4</v>
      </c>
      <c r="AE276" s="137">
        <f>Transportation_LCIA!I$61*($W276^Transportation_LCIA!I$60)+Transportation_LCIA!I$62</f>
        <v>9.7580882669063746E-6</v>
      </c>
      <c r="AF276" s="137">
        <f>Transportation_LCIA!J$61*($W276^Transportation_LCIA!J$60)+Transportation_LCIA!J$62</f>
        <v>1.452841427349187E-2</v>
      </c>
      <c r="AG276" s="137">
        <f>Transportation_LCIA!K$61*($W276^Transportation_LCIA!K$60)+Transportation_LCIA!K$62</f>
        <v>1.7644394367690802E-2</v>
      </c>
      <c r="AH276" s="137">
        <f>Transportation_LCIA!L$61*($W276^Transportation_LCIA!L$60)+Transportation_LCIA!L$62</f>
        <v>3.7870309841583639E-4</v>
      </c>
      <c r="AI276" s="137">
        <f>Transportation_LCIA!M$61*($W276^Transportation_LCIA!M$60)+Transportation_LCIA!M$62</f>
        <v>3.2666434947107312E-4</v>
      </c>
      <c r="AJ276" s="137">
        <f>Transportation_LCIA!N$61*($W276^Transportation_LCIA!N$60)+Transportation_LCIA!N$62</f>
        <v>1.4950682872387905E-3</v>
      </c>
      <c r="AK276" s="137">
        <f>Transportation_LCIA!O$61*($W276^Transportation_LCIA!O$60)+Transportation_LCIA!O$62</f>
        <v>8.5155488326102327E-5</v>
      </c>
      <c r="AL276" s="137">
        <f>Transportation_LCIA!P$61*($W276^Transportation_LCIA!P$60)+Transportation_LCIA!P$62</f>
        <v>4.1097261881908054E-8</v>
      </c>
      <c r="AM276" s="137">
        <f>Transportation_LCIA!Q$61*($W276^Transportation_LCIA!Q$60)+Transportation_LCIA!Q$62</f>
        <v>1.4934582530155702E-4</v>
      </c>
      <c r="AN276" s="137">
        <f>Transportation_LCIA!R$61*($W276^Transportation_LCIA!R$60)+Transportation_LCIA!R$62</f>
        <v>4.6883227487666394E-4</v>
      </c>
      <c r="AO276" s="137">
        <f>Transportation_LCIA!S$61*($W276^Transportation_LCIA!S$60)+Transportation_LCIA!S$62</f>
        <v>6.909593862511241E-6</v>
      </c>
      <c r="AP276" s="137">
        <f>Transportation_LCIA!T$61*($W276^Transportation_LCIA!T$60)+Transportation_LCIA!T$62</f>
        <v>6.909593862511241E-6</v>
      </c>
      <c r="AQ276" s="137">
        <f>Transportation_LCIA!U$61*($W276^Transportation_LCIA!U$60)+Transportation_LCIA!U$62</f>
        <v>1.0158866596849867E-3</v>
      </c>
      <c r="AR276" s="137">
        <f>Transportation_LCIA!V$61*($W276^Transportation_LCIA!V$60)+Transportation_LCIA!V$62</f>
        <v>3.8881846527034328E-4</v>
      </c>
      <c r="AT276" s="137">
        <f>$W276*Y276+$L276*Summary_LCIA!H$32</f>
        <v>175.62331989059692</v>
      </c>
      <c r="AU276" s="137">
        <f>$W276*Z276+$L276*Summary_LCIA!Q$32</f>
        <v>1898.1756346941818</v>
      </c>
      <c r="AV276" s="137">
        <f>$W276*AA276+$L276*Summary_LCIA!R$32</f>
        <v>1.0393592080973235</v>
      </c>
      <c r="AW276" s="137">
        <f>$W276*AB276+$L276*Summary_LCIA!S$32</f>
        <v>175.56094927059692</v>
      </c>
      <c r="AX276" s="137">
        <f>$W276*AC276+$L276*Summary_LCIA!T$32</f>
        <v>44.140522276582892</v>
      </c>
      <c r="AY276" s="137">
        <f>$W276*AD276+$L276*Summary_LCIA!U$32</f>
        <v>0.47897249012898979</v>
      </c>
      <c r="AZ276" s="137">
        <f>$W276*AE276+$L276*Summary_LCIA!V$32</f>
        <v>5.8402710762788896E-3</v>
      </c>
      <c r="BA276" s="137">
        <f>$W276*AF276+$L276*Summary_LCIA!W$32</f>
        <v>8.7780515378831918</v>
      </c>
      <c r="BB276" s="137">
        <f>$W276*AG276+$L276*Summary_LCIA!X$32</f>
        <v>9.6630847154963906</v>
      </c>
      <c r="BC276" s="137">
        <f>$W276*AH276+$L276*Summary_LCIA!Y$32</f>
        <v>0.42037791247049294</v>
      </c>
      <c r="BD276" s="137">
        <f>$W276*AI276+$L276*Summary_LCIA!Z$32</f>
        <v>0.17352762867453236</v>
      </c>
      <c r="BE276" s="137">
        <f>$W276*AJ276+$L276*Summary_LCIA!AA$32</f>
        <v>1.1211244516253145</v>
      </c>
      <c r="BF276" s="137">
        <f>$W276*AK276+$L276*Summary_LCIA!AB$32</f>
        <v>4.4776719382447205E-2</v>
      </c>
      <c r="BG276" s="137">
        <f>$W276*AL276+$L276*Summary_LCIA!AC$32</f>
        <v>2.2448308461230285E-5</v>
      </c>
      <c r="BH276" s="137">
        <f>$W276*AM276+$L276*Summary_LCIA!AD$32</f>
        <v>8.4869737460285255E-2</v>
      </c>
      <c r="BI276" s="137">
        <f>$W276*AN276+$L276*Summary_LCIA!AE$32</f>
        <v>0.26072242069414603</v>
      </c>
      <c r="BJ276" s="137">
        <f>$W276*AO276+$L276*Summary_LCIA!AF$32</f>
        <v>1.5587932288076711E-2</v>
      </c>
      <c r="BK276" s="137">
        <f>$W276*AP276+$L276*Summary_LCIA!AG$32</f>
        <v>4.380199983076709E-3</v>
      </c>
      <c r="BL276" s="137">
        <f>$W276*AQ276+$L276*Summary_LCIA!AH$32</f>
        <v>0.66066684072927728</v>
      </c>
      <c r="BM276" s="137">
        <f>$W276*AR276+$L276*Summary_LCIA!AI$32</f>
        <v>0.21900088545782964</v>
      </c>
    </row>
    <row r="277" spans="1:65" x14ac:dyDescent="0.25">
      <c r="A277" s="149">
        <v>321</v>
      </c>
      <c r="B277" s="149">
        <v>15</v>
      </c>
      <c r="C277" s="61">
        <v>48.849919999999997</v>
      </c>
      <c r="D277" s="61">
        <v>2.637041</v>
      </c>
      <c r="E277" s="61" t="s">
        <v>468</v>
      </c>
      <c r="F277" s="149">
        <v>9</v>
      </c>
      <c r="G277" s="61" t="s">
        <v>570</v>
      </c>
      <c r="H277" s="61" t="s">
        <v>722</v>
      </c>
      <c r="I277" s="61">
        <v>49.009673999999997</v>
      </c>
      <c r="J277" s="61">
        <v>2.5479660000000002</v>
      </c>
      <c r="K277" s="61">
        <v>19.350996810000002</v>
      </c>
      <c r="L277" s="61">
        <v>41.466999999999999</v>
      </c>
      <c r="M277" s="61" t="s">
        <v>589</v>
      </c>
      <c r="N277" s="149">
        <v>14</v>
      </c>
      <c r="O277" s="149">
        <v>15</v>
      </c>
      <c r="P277" s="61" t="s">
        <v>567</v>
      </c>
      <c r="Q277" s="61" t="s">
        <v>566</v>
      </c>
      <c r="R277" s="61">
        <v>50.037932599999998</v>
      </c>
      <c r="S277" s="61">
        <v>8.5621518000000005</v>
      </c>
      <c r="T277" s="61">
        <v>708.65599999999995</v>
      </c>
      <c r="U277" s="61" t="s">
        <v>589</v>
      </c>
      <c r="V277" s="61" t="s">
        <v>569</v>
      </c>
      <c r="W277" s="61" cm="1">
        <f t="array" ref="W277">getDistance(I277,J277,R277,S277)*SA!$B$12</f>
        <v>450.10397451184883</v>
      </c>
      <c r="Y277" s="137">
        <f>Transportation_LCIA!C$61*($W277^Transportation_LCIA!C$60)+Transportation_LCIA!C$62</f>
        <v>0.35340802383957459</v>
      </c>
      <c r="Z277" s="137">
        <f>Transportation_LCIA!D$61*($W277^Transportation_LCIA!D$60)+Transportation_LCIA!D$62</f>
        <v>3.8233102927251448</v>
      </c>
      <c r="AA277" s="137">
        <f>Transportation_LCIA!E$61*($W277^Transportation_LCIA!E$60)+Transportation_LCIA!E$62</f>
        <v>2.0682861241773458E-3</v>
      </c>
      <c r="AB277" s="137">
        <f>Transportation_LCIA!F$61*($W277^Transportation_LCIA!F$60)+Transportation_LCIA!F$62</f>
        <v>0.35340802383957459</v>
      </c>
      <c r="AC277" s="137">
        <f>Transportation_LCIA!G$61*($W277^Transportation_LCIA!G$60)+Transportation_LCIA!G$62</f>
        <v>8.8991202582924381E-2</v>
      </c>
      <c r="AD277" s="137">
        <f>Transportation_LCIA!H$61*($W277^Transportation_LCIA!H$60)+Transportation_LCIA!H$62</f>
        <v>4.8213920111113174E-4</v>
      </c>
      <c r="AE277" s="137">
        <f>Transportation_LCIA!I$61*($W277^Transportation_LCIA!I$60)+Transportation_LCIA!I$62</f>
        <v>1.1179437957480255E-5</v>
      </c>
      <c r="AF277" s="137">
        <f>Transportation_LCIA!J$61*($W277^Transportation_LCIA!J$60)+Transportation_LCIA!J$62</f>
        <v>1.6683894555981089E-2</v>
      </c>
      <c r="AG277" s="137">
        <f>Transportation_LCIA!K$61*($W277^Transportation_LCIA!K$60)+Transportation_LCIA!K$62</f>
        <v>1.9671327663537286E-2</v>
      </c>
      <c r="AH277" s="137">
        <f>Transportation_LCIA!L$61*($W277^Transportation_LCIA!L$60)+Transportation_LCIA!L$62</f>
        <v>4.2959106897467309E-4</v>
      </c>
      <c r="AI277" s="137">
        <f>Transportation_LCIA!M$61*($W277^Transportation_LCIA!M$60)+Transportation_LCIA!M$62</f>
        <v>3.5700119597236054E-4</v>
      </c>
      <c r="AJ277" s="137">
        <f>Transportation_LCIA!N$61*($W277^Transportation_LCIA!N$60)+Transportation_LCIA!N$62</f>
        <v>1.6793030112815474E-3</v>
      </c>
      <c r="AK277" s="137">
        <f>Transportation_LCIA!O$61*($W277^Transportation_LCIA!O$60)+Transportation_LCIA!O$62</f>
        <v>9.424672688289836E-5</v>
      </c>
      <c r="AL277" s="137">
        <f>Transportation_LCIA!P$61*($W277^Transportation_LCIA!P$60)+Transportation_LCIA!P$62</f>
        <v>4.5458159392694596E-8</v>
      </c>
      <c r="AM277" s="137">
        <f>Transportation_LCIA!Q$61*($W277^Transportation_LCIA!Q$60)+Transportation_LCIA!Q$62</f>
        <v>1.693278636274998E-4</v>
      </c>
      <c r="AN277" s="137">
        <f>Transportation_LCIA!R$61*($W277^Transportation_LCIA!R$60)+Transportation_LCIA!R$62</f>
        <v>5.3703589944790683E-4</v>
      </c>
      <c r="AO277" s="137">
        <f>Transportation_LCIA!S$61*($W277^Transportation_LCIA!S$60)+Transportation_LCIA!S$62</f>
        <v>7.8763465849423122E-6</v>
      </c>
      <c r="AP277" s="137">
        <f>Transportation_LCIA!T$61*($W277^Transportation_LCIA!T$60)+Transportation_LCIA!T$62</f>
        <v>7.8763465849423122E-6</v>
      </c>
      <c r="AQ277" s="137">
        <f>Transportation_LCIA!U$61*($W277^Transportation_LCIA!U$60)+Transportation_LCIA!U$62</f>
        <v>1.1662474419532874E-3</v>
      </c>
      <c r="AR277" s="137">
        <f>Transportation_LCIA!V$61*($W277^Transportation_LCIA!V$60)+Transportation_LCIA!V$62</f>
        <v>4.4108749499364595E-4</v>
      </c>
      <c r="AT277" s="137">
        <f>$W277*Y277+$L277*Summary_LCIA!H$34</f>
        <v>162.15807190857075</v>
      </c>
      <c r="AU277" s="137">
        <f ca="1">$W277*Z277+$L277*Summary_LCIA!Q$34</f>
        <v>1772.102603648058</v>
      </c>
      <c r="AV277" s="137">
        <f ca="1">$W277*AA277+$L277*Summary_LCIA!R$34</f>
        <v>1.0369583371199307</v>
      </c>
      <c r="AW277" s="137">
        <f ca="1">$W277*AB277+$L277*Summary_LCIA!S$34</f>
        <v>162.11560970057076</v>
      </c>
      <c r="AX277" s="137">
        <f ca="1">$W277*AC277+$L277*Summary_LCIA!T$34</f>
        <v>40.915443960163373</v>
      </c>
      <c r="AY277" s="137">
        <f ca="1">$W277*AD277+$L277*Summary_LCIA!U$34</f>
        <v>0.29329546388808803</v>
      </c>
      <c r="AZ277" s="137">
        <f ca="1">$W277*AE277+$L277*Summary_LCIA!V$34</f>
        <v>8.3945928884704875E-3</v>
      </c>
      <c r="BA277" s="137">
        <f ca="1">$W277*AF277+$L277*Summary_LCIA!W$34</f>
        <v>9.6056026329836861</v>
      </c>
      <c r="BB277" s="137">
        <f ca="1">$W277*AG277+$L277*Summary_LCIA!X$34</f>
        <v>9.2946881732830136</v>
      </c>
      <c r="BC277" s="137">
        <f ca="1">$W277*AH277+$L277*Summary_LCIA!Y$34</f>
        <v>0.26441849876029411</v>
      </c>
      <c r="BD277" s="137">
        <f ca="1">$W277*AI277+$L277*Summary_LCIA!Z$34</f>
        <v>0.16186967404764291</v>
      </c>
      <c r="BE277" s="137">
        <f ca="1">$W277*AJ277+$L277*Summary_LCIA!AA$34</f>
        <v>0.84139079398754058</v>
      </c>
      <c r="BF277" s="137">
        <f ca="1">$W277*AK277+$L277*Summary_LCIA!AB$34</f>
        <v>4.2133090988425263E-2</v>
      </c>
      <c r="BG277" s="137">
        <f ca="1">$W277*AL277+$L277*Summary_LCIA!AC$34</f>
        <v>2.0613583857344969E-5</v>
      </c>
      <c r="BH277" s="137">
        <f ca="1">$W277*AM277+$L277*Summary_LCIA!AD$34</f>
        <v>8.0825445474337981E-2</v>
      </c>
      <c r="BI277" s="137">
        <f ca="1">$W277*AN277+$L277*Summary_LCIA!AE$34</f>
        <v>0.25415960477704846</v>
      </c>
      <c r="BJ277" s="137">
        <f ca="1">$W277*AO277+$L277*Summary_LCIA!AF$34</f>
        <v>1.3408515522515362E-2</v>
      </c>
      <c r="BK277" s="137">
        <f ca="1">$W277*AP277+$L277*Summary_LCIA!AG$34</f>
        <v>3.6587156952153622E-3</v>
      </c>
      <c r="BL277" s="137">
        <f ca="1">$W277*AQ277+$L277*Summary_LCIA!AH$34</f>
        <v>0.61940687498745128</v>
      </c>
      <c r="BM277" s="137">
        <f ca="1">$W277*AR277+$L277*Summary_LCIA!AI$34</f>
        <v>0.21017709485411526</v>
      </c>
    </row>
    <row r="278" spans="1:65" x14ac:dyDescent="0.25">
      <c r="A278" s="149">
        <v>44</v>
      </c>
      <c r="B278" s="149">
        <v>43</v>
      </c>
      <c r="C278" s="61">
        <v>44.895567</v>
      </c>
      <c r="D278" s="61">
        <v>-68.673552999999998</v>
      </c>
      <c r="E278" s="61" t="s">
        <v>265</v>
      </c>
      <c r="F278" s="149">
        <v>133</v>
      </c>
      <c r="G278" s="61" t="s">
        <v>649</v>
      </c>
      <c r="H278" s="61" t="s">
        <v>650</v>
      </c>
      <c r="I278" s="61">
        <v>46.790733000000003</v>
      </c>
      <c r="J278" s="61">
        <v>-71.388600999999994</v>
      </c>
      <c r="K278" s="61">
        <v>330.02700069999997</v>
      </c>
      <c r="L278" s="61">
        <v>380.17899999999997</v>
      </c>
      <c r="M278" s="61" t="s">
        <v>617</v>
      </c>
      <c r="N278" s="149">
        <v>42</v>
      </c>
      <c r="O278" s="149">
        <v>43</v>
      </c>
      <c r="P278" s="61" t="s">
        <v>565</v>
      </c>
      <c r="Q278" s="61" t="s">
        <v>555</v>
      </c>
      <c r="R278" s="61">
        <v>40.6895314</v>
      </c>
      <c r="S278" s="61">
        <v>-74.174462399999996</v>
      </c>
      <c r="T278" s="61">
        <v>745.89700000000005</v>
      </c>
      <c r="U278" s="61" t="s">
        <v>617</v>
      </c>
      <c r="V278" s="61" t="s">
        <v>569</v>
      </c>
      <c r="W278" s="61" cm="1">
        <f t="array" ref="W278">getDistance(I278,J278,R278,S278)*SA!$B$12</f>
        <v>715.07166113775827</v>
      </c>
      <c r="Y278" s="137">
        <f>Transportation_LCIA!C$61*($W278^Transportation_LCIA!C$60)+Transportation_LCIA!C$62</f>
        <v>0.27568694248660131</v>
      </c>
      <c r="Z278" s="137">
        <f>Transportation_LCIA!D$61*($W278^Transportation_LCIA!D$60)+Transportation_LCIA!D$62</f>
        <v>2.8932700129699978</v>
      </c>
      <c r="AA278" s="137">
        <f>Transportation_LCIA!E$61*($W278^Transportation_LCIA!E$60)+Transportation_LCIA!E$62</f>
        <v>1.4524694877162572E-3</v>
      </c>
      <c r="AB278" s="137">
        <f>Transportation_LCIA!F$61*($W278^Transportation_LCIA!F$60)+Transportation_LCIA!F$62</f>
        <v>0.27568694248660131</v>
      </c>
      <c r="AC278" s="137">
        <f>Transportation_LCIA!G$61*($W278^Transportation_LCIA!G$60)+Transportation_LCIA!G$62</f>
        <v>6.7505486268678722E-2</v>
      </c>
      <c r="AD278" s="137">
        <f>Transportation_LCIA!H$61*($W278^Transportation_LCIA!H$60)+Transportation_LCIA!H$62</f>
        <v>3.4483295035874406E-4</v>
      </c>
      <c r="AE278" s="137">
        <f>Transportation_LCIA!I$61*($W278^Transportation_LCIA!I$60)+Transportation_LCIA!I$62</f>
        <v>7.644394919140504E-6</v>
      </c>
      <c r="AF278" s="137">
        <f>Transportation_LCIA!J$61*($W278^Transportation_LCIA!J$60)+Transportation_LCIA!J$62</f>
        <v>1.134133612007697E-2</v>
      </c>
      <c r="AG278" s="137">
        <f>Transportation_LCIA!K$61*($W278^Transportation_LCIA!K$60)+Transportation_LCIA!K$62</f>
        <v>1.4591850964811854E-2</v>
      </c>
      <c r="AH278" s="137">
        <f>Transportation_LCIA!L$61*($W278^Transportation_LCIA!L$60)+Transportation_LCIA!L$62</f>
        <v>3.0255018732627456E-4</v>
      </c>
      <c r="AI278" s="137">
        <f>Transportation_LCIA!M$61*($W278^Transportation_LCIA!M$60)+Transportation_LCIA!M$62</f>
        <v>2.8116552902711909E-4</v>
      </c>
      <c r="AJ278" s="137">
        <f>Transportation_LCIA!N$61*($W278^Transportation_LCIA!N$60)+Transportation_LCIA!N$62</f>
        <v>1.2184799005035894E-3</v>
      </c>
      <c r="AK278" s="137">
        <f>Transportation_LCIA!O$61*($W278^Transportation_LCIA!O$60)+Transportation_LCIA!O$62</f>
        <v>7.1399640630831436E-5</v>
      </c>
      <c r="AL278" s="137">
        <f>Transportation_LCIA!P$61*($W278^Transportation_LCIA!P$60)+Transportation_LCIA!P$62</f>
        <v>3.4494004981956467E-8</v>
      </c>
      <c r="AM278" s="137">
        <f>Transportation_LCIA!Q$61*($W278^Transportation_LCIA!Q$60)+Transportation_LCIA!Q$62</f>
        <v>1.1948335626517517E-4</v>
      </c>
      <c r="AN278" s="137">
        <f>Transportation_LCIA!R$61*($W278^Transportation_LCIA!R$60)+Transportation_LCIA!R$62</f>
        <v>3.6742799459173149E-4</v>
      </c>
      <c r="AO278" s="137">
        <f>Transportation_LCIA!S$61*($W278^Transportation_LCIA!S$60)+Transportation_LCIA!S$62</f>
        <v>5.4716726515547334E-6</v>
      </c>
      <c r="AP278" s="137">
        <f>Transportation_LCIA!T$61*($W278^Transportation_LCIA!T$60)+Transportation_LCIA!T$62</f>
        <v>5.4716726515547334E-6</v>
      </c>
      <c r="AQ278" s="137">
        <f>Transportation_LCIA!U$61*($W278^Transportation_LCIA!U$60)+Transportation_LCIA!U$62</f>
        <v>7.927044032515311E-4</v>
      </c>
      <c r="AR278" s="137">
        <f>Transportation_LCIA!V$61*($W278^Transportation_LCIA!V$60)+Transportation_LCIA!V$62</f>
        <v>3.1083987945175798E-4</v>
      </c>
      <c r="AT278" s="137">
        <f>$W278*Y278+$L278*Summary_LCIA!H$32</f>
        <v>326.32074411788358</v>
      </c>
      <c r="AU278" s="137">
        <f>$W278*Z278+$L278*Summary_LCIA!Q$32</f>
        <v>3953.0816918620262</v>
      </c>
      <c r="AV278" s="137">
        <f>$W278*AA278+$L278*Summary_LCIA!R$32</f>
        <v>3.0404903117331727</v>
      </c>
      <c r="AW278" s="137">
        <f>$W278*AB278+$L278*Summary_LCIA!S$32</f>
        <v>324.64035293788362</v>
      </c>
      <c r="AX278" s="137">
        <f>$W278*AC278+$L278*Summary_LCIA!T$32</f>
        <v>90.05293230205622</v>
      </c>
      <c r="AY278" s="137">
        <f>$W278*AD278+$L278*Summary_LCIA!U$32</f>
        <v>7.05710687662806</v>
      </c>
      <c r="AZ278" s="137">
        <f>$W278*AE278+$L278*Summary_LCIA!V$32</f>
        <v>2.3624019392222841E-2</v>
      </c>
      <c r="BA278" s="137">
        <f>$W278*AF278+$L278*Summary_LCIA!W$32</f>
        <v>37.372625867905093</v>
      </c>
      <c r="BB278" s="137">
        <f>$W278*AG278+$L278*Summary_LCIA!X$32</f>
        <v>19.094696728482614</v>
      </c>
      <c r="BC278" s="137">
        <f>$W278*AH278+$L278*Summary_LCIA!Y$32</f>
        <v>6.1402942430289391</v>
      </c>
      <c r="BD278" s="137">
        <f>$W278*AI278+$L278*Summary_LCIA!Z$32</f>
        <v>0.21664426250709864</v>
      </c>
      <c r="BE278" s="137">
        <f>$W278*AJ278+$L278*Summary_LCIA!AA$32</f>
        <v>9.7507611705160713</v>
      </c>
      <c r="BF278" s="137">
        <f>$W278*AK278+$L278*Summary_LCIA!AB$32</f>
        <v>4.2759213313527611E-2</v>
      </c>
      <c r="BG278" s="137">
        <f>$W278*AL278+$L278*Summary_LCIA!AC$32</f>
        <v>4.3250355677741722E-5</v>
      </c>
      <c r="BH278" s="137">
        <f>$W278*AM278+$L278*Summary_LCIA!AD$32</f>
        <v>0.24170793820285336</v>
      </c>
      <c r="BI278" s="137">
        <f>$W278*AN278+$L278*Summary_LCIA!AE$32</f>
        <v>0.59962536371122466</v>
      </c>
      <c r="BJ278" s="137">
        <f>$W278*AO278+$L278*Summary_LCIA!AF$32</f>
        <v>0.32532356823214931</v>
      </c>
      <c r="BK278" s="137">
        <f>$W278*AP278+$L278*Summary_LCIA!AG$32</f>
        <v>2.3364496587149283E-2</v>
      </c>
      <c r="BL278" s="137">
        <f>$W278*AQ278+$L278*Summary_LCIA!AH$32</f>
        <v>3.8757663988242879</v>
      </c>
      <c r="BM278" s="137">
        <f>$W278*AR278+$L278*Summary_LCIA!AI$32</f>
        <v>0.57642853639742908</v>
      </c>
    </row>
    <row r="279" spans="1:65" x14ac:dyDescent="0.25">
      <c r="A279" s="149">
        <v>127</v>
      </c>
      <c r="B279" s="149">
        <v>16</v>
      </c>
      <c r="C279" s="61">
        <v>35.084386000000002</v>
      </c>
      <c r="D279" s="61">
        <v>-106.65042200000001</v>
      </c>
      <c r="E279" s="61" t="s">
        <v>265</v>
      </c>
      <c r="F279" s="149">
        <v>119</v>
      </c>
      <c r="G279" s="61" t="s">
        <v>676</v>
      </c>
      <c r="H279" s="61" t="s">
        <v>677</v>
      </c>
      <c r="I279" s="61">
        <v>35.043332999999997</v>
      </c>
      <c r="J279" s="61">
        <v>-106.612909</v>
      </c>
      <c r="K279" s="61">
        <v>9.8032842630000001</v>
      </c>
      <c r="L279" s="61">
        <v>7.4539999999999997</v>
      </c>
      <c r="M279" s="61" t="s">
        <v>617</v>
      </c>
      <c r="N279" s="149">
        <v>15</v>
      </c>
      <c r="O279" s="149">
        <v>16</v>
      </c>
      <c r="P279" s="61" t="s">
        <v>565</v>
      </c>
      <c r="Q279" s="61" t="s">
        <v>556</v>
      </c>
      <c r="R279" s="61">
        <v>39.856096299999997</v>
      </c>
      <c r="S279" s="61">
        <v>-104.6737376</v>
      </c>
      <c r="T279" s="61">
        <v>747.803</v>
      </c>
      <c r="U279" s="61" t="s">
        <v>617</v>
      </c>
      <c r="V279" s="61" t="s">
        <v>569</v>
      </c>
      <c r="W279" s="61" cm="1">
        <f t="array" ref="W279">getDistance(I279,J279,R279,S279)*SA!$B$12</f>
        <v>562.0692154742253</v>
      </c>
      <c r="Y279" s="137">
        <f>Transportation_LCIA!C$61*($W279^Transportation_LCIA!C$60)+Transportation_LCIA!C$62</f>
        <v>0.31234572379644221</v>
      </c>
      <c r="Z279" s="137">
        <f>Transportation_LCIA!D$61*($W279^Transportation_LCIA!D$60)+Transportation_LCIA!D$62</f>
        <v>3.3296210667490271</v>
      </c>
      <c r="AA279" s="137">
        <f>Transportation_LCIA!E$61*($W279^Transportation_LCIA!E$60)+Transportation_LCIA!E$62</f>
        <v>1.7409629881306933E-3</v>
      </c>
      <c r="AB279" s="137">
        <f>Transportation_LCIA!F$61*($W279^Transportation_LCIA!F$60)+Transportation_LCIA!F$62</f>
        <v>0.31234572379644221</v>
      </c>
      <c r="AC279" s="137">
        <f>Transportation_LCIA!G$61*($W279^Transportation_LCIA!G$60)+Transportation_LCIA!G$62</f>
        <v>7.7589160875477806E-2</v>
      </c>
      <c r="AD279" s="137">
        <f>Transportation_LCIA!H$61*($W279^Transportation_LCIA!H$60)+Transportation_LCIA!H$62</f>
        <v>4.0896707036547922E-4</v>
      </c>
      <c r="AE279" s="137">
        <f>Transportation_LCIA!I$61*($W279^Transportation_LCIA!I$60)+Transportation_LCIA!I$62</f>
        <v>9.287690950406478E-6</v>
      </c>
      <c r="AF279" s="137">
        <f>Transportation_LCIA!J$61*($W279^Transportation_LCIA!J$60)+Transportation_LCIA!J$62</f>
        <v>1.381709544487048E-2</v>
      </c>
      <c r="AG279" s="137">
        <f>Transportation_LCIA!K$61*($W279^Transportation_LCIA!K$60)+Transportation_LCIA!K$62</f>
        <v>1.6969347425940542E-2</v>
      </c>
      <c r="AH279" s="137">
        <f>Transportation_LCIA!L$61*($W279^Transportation_LCIA!L$60)+Transportation_LCIA!L$62</f>
        <v>3.6180880809060781E-4</v>
      </c>
      <c r="AI279" s="137">
        <f>Transportation_LCIA!M$61*($W279^Transportation_LCIA!M$60)+Transportation_LCIA!M$62</f>
        <v>3.1658174874836395E-4</v>
      </c>
      <c r="AJ279" s="137">
        <f>Transportation_LCIA!N$61*($W279^Transportation_LCIA!N$60)+Transportation_LCIA!N$62</f>
        <v>1.4338065791517597E-3</v>
      </c>
      <c r="AK279" s="137">
        <f>Transportation_LCIA!O$61*($W279^Transportation_LCIA!O$60)+Transportation_LCIA!O$62</f>
        <v>8.2120666352479983E-5</v>
      </c>
      <c r="AL279" s="137">
        <f>Transportation_LCIA!P$61*($W279^Transportation_LCIA!P$60)+Transportation_LCIA!P$62</f>
        <v>3.9640984354842165E-8</v>
      </c>
      <c r="AM279" s="137">
        <f>Transportation_LCIA!Q$61*($W279^Transportation_LCIA!Q$60)+Transportation_LCIA!Q$62</f>
        <v>1.427164451988576E-4</v>
      </c>
      <c r="AN279" s="137">
        <f>Transportation_LCIA!R$61*($W279^Transportation_LCIA!R$60)+Transportation_LCIA!R$62</f>
        <v>4.4626259685882214E-4</v>
      </c>
      <c r="AO279" s="137">
        <f>Transportation_LCIA!S$61*($W279^Transportation_LCIA!S$60)+Transportation_LCIA!S$62</f>
        <v>6.5896170398703171E-6</v>
      </c>
      <c r="AP279" s="137">
        <f>Transportation_LCIA!T$61*($W279^Transportation_LCIA!T$60)+Transportation_LCIA!T$62</f>
        <v>6.5896170398703171E-6</v>
      </c>
      <c r="AQ279" s="137">
        <f>Transportation_LCIA!U$61*($W279^Transportation_LCIA!U$60)+Transportation_LCIA!U$62</f>
        <v>9.6617119892550003E-4</v>
      </c>
      <c r="AR279" s="137">
        <f>Transportation_LCIA!V$61*($W279^Transportation_LCIA!V$60)+Transportation_LCIA!V$62</f>
        <v>3.7149234590026369E-4</v>
      </c>
      <c r="AT279" s="137">
        <f>$W279*Y279+$L279*Summary_LCIA!H$32</f>
        <v>178.09278513099534</v>
      </c>
      <c r="AU279" s="137">
        <f>$W279*Z279+$L279*Summary_LCIA!Q$32</f>
        <v>1908.419900741661</v>
      </c>
      <c r="AV279" s="137">
        <f>$W279*AA279+$L279*Summary_LCIA!R$32</f>
        <v>1.017791483308282</v>
      </c>
      <c r="AW279" s="137">
        <f>$W279*AB279+$L279*Summary_LCIA!S$32</f>
        <v>178.05983845099536</v>
      </c>
      <c r="AX279" s="137">
        <f>$W279*AC279+$L279*Summary_LCIA!T$32</f>
        <v>44.429673382583267</v>
      </c>
      <c r="AY279" s="137">
        <f>$W279*AD279+$L279*Summary_LCIA!U$32</f>
        <v>0.36339875639511721</v>
      </c>
      <c r="AZ279" s="137">
        <f>$W279*AE279+$L279*Summary_LCIA!V$32</f>
        <v>5.576335660062031E-3</v>
      </c>
      <c r="BA279" s="137">
        <f>$W279*AF279+$L279*Summary_LCIA!W$32</f>
        <v>8.339905830830844</v>
      </c>
      <c r="BB279" s="137">
        <f>$W279*AG279+$L279*Summary_LCIA!X$32</f>
        <v>9.707749914807966</v>
      </c>
      <c r="BC279" s="137">
        <f>$W279*AH279+$L279*Summary_LCIA!Y$32</f>
        <v>0.31950982091515245</v>
      </c>
      <c r="BD279" s="137">
        <f>$W279*AI279+$L279*Summary_LCIA!Z$32</f>
        <v>0.17824653623845121</v>
      </c>
      <c r="BE279" s="137">
        <f>$W279*AJ279+$L279*Summary_LCIA!AA$32</f>
        <v>0.97999416308561227</v>
      </c>
      <c r="BF279" s="137">
        <f>$W279*AK279+$L279*Summary_LCIA!AB$32</f>
        <v>4.5994829868959038E-2</v>
      </c>
      <c r="BG279" s="137">
        <f>$W279*AL279+$L279*Summary_LCIA!AC$32</f>
        <v>2.2645358312952176E-5</v>
      </c>
      <c r="BH279" s="137">
        <f>$W279*AM279+$L279*Summary_LCIA!AD$32</f>
        <v>8.3280412548192156E-2</v>
      </c>
      <c r="BI279" s="137">
        <f>$W279*AN279+$L279*Summary_LCIA!AE$32</f>
        <v>0.25743568073192863</v>
      </c>
      <c r="BJ279" s="137">
        <f>$W279*AO279+$L279*Summary_LCIA!AF$32</f>
        <v>1.0005581559875496E-2</v>
      </c>
      <c r="BK279" s="137">
        <f>$W279*AP279+$L279*Summary_LCIA!AG$32</f>
        <v>4.085204789875496E-3</v>
      </c>
      <c r="BL279" s="137">
        <f>$W279*AQ279+$L279*Summary_LCIA!AH$32</f>
        <v>0.6079317221938475</v>
      </c>
      <c r="BM279" s="137">
        <f>$W279*AR279+$L279*Summary_LCIA!AI$32</f>
        <v>0.21574818511484073</v>
      </c>
    </row>
    <row r="280" spans="1:65" x14ac:dyDescent="0.25">
      <c r="A280" s="149">
        <v>50</v>
      </c>
      <c r="B280" s="149">
        <v>43</v>
      </c>
      <c r="C280" s="61">
        <v>43.638885999999999</v>
      </c>
      <c r="D280" s="61">
        <v>-79.380352000000002</v>
      </c>
      <c r="E280" s="61" t="s">
        <v>456</v>
      </c>
      <c r="F280" s="149">
        <v>130</v>
      </c>
      <c r="G280" s="61" t="s">
        <v>275</v>
      </c>
      <c r="H280" s="61" t="s">
        <v>653</v>
      </c>
      <c r="I280" s="61">
        <v>43.628481999999998</v>
      </c>
      <c r="J280" s="61">
        <v>-79.395957999999993</v>
      </c>
      <c r="K280" s="61">
        <v>2.1920799710000001</v>
      </c>
      <c r="L280" s="61">
        <v>2.4620000000000002</v>
      </c>
      <c r="M280" s="61" t="s">
        <v>617</v>
      </c>
      <c r="N280" s="149">
        <v>42</v>
      </c>
      <c r="O280" s="149">
        <v>43</v>
      </c>
      <c r="P280" s="61" t="s">
        <v>565</v>
      </c>
      <c r="Q280" s="61" t="s">
        <v>555</v>
      </c>
      <c r="R280" s="61">
        <v>40.6895314</v>
      </c>
      <c r="S280" s="61">
        <v>-74.174462399999996</v>
      </c>
      <c r="T280" s="61">
        <v>784.93200000000002</v>
      </c>
      <c r="U280" s="61" t="s">
        <v>617</v>
      </c>
      <c r="V280" s="61" t="s">
        <v>569</v>
      </c>
      <c r="W280" s="61" cm="1">
        <f t="array" ref="W280">getDistance(I280,J280,R280,S280)*SA!$B$12</f>
        <v>541.27512186027764</v>
      </c>
      <c r="Y280" s="137">
        <f>Transportation_LCIA!C$61*($W280^Transportation_LCIA!C$60)+Transportation_LCIA!C$62</f>
        <v>0.31878604820552614</v>
      </c>
      <c r="Z280" s="137">
        <f>Transportation_LCIA!D$61*($W280^Transportation_LCIA!D$60)+Transportation_LCIA!D$62</f>
        <v>3.4067317365432173</v>
      </c>
      <c r="AA280" s="137">
        <f>Transportation_LCIA!E$61*($W280^Transportation_LCIA!E$60)+Transportation_LCIA!E$62</f>
        <v>1.7920287787271288E-3</v>
      </c>
      <c r="AB280" s="137">
        <f>Transportation_LCIA!F$61*($W280^Transportation_LCIA!F$60)+Transportation_LCIA!F$62</f>
        <v>0.31878604820552614</v>
      </c>
      <c r="AC280" s="137">
        <f>Transportation_LCIA!G$61*($W280^Transportation_LCIA!G$60)+Transportation_LCIA!G$62</f>
        <v>7.9370508713586002E-2</v>
      </c>
      <c r="AD280" s="137">
        <f>Transportation_LCIA!H$61*($W280^Transportation_LCIA!H$60)+Transportation_LCIA!H$62</f>
        <v>4.2035633908471618E-4</v>
      </c>
      <c r="AE280" s="137">
        <f>Transportation_LCIA!I$61*($W280^Transportation_LCIA!I$60)+Transportation_LCIA!I$62</f>
        <v>9.5810471583003702E-6</v>
      </c>
      <c r="AF280" s="137">
        <f>Transportation_LCIA!J$61*($W280^Transportation_LCIA!J$60)+Transportation_LCIA!J$62</f>
        <v>1.426057241974343E-2</v>
      </c>
      <c r="AG280" s="137">
        <f>Transportation_LCIA!K$61*($W280^Transportation_LCIA!K$60)+Transportation_LCIA!K$62</f>
        <v>1.7390593610148022E-2</v>
      </c>
      <c r="AH280" s="137">
        <f>Transportation_LCIA!L$61*($W280^Transportation_LCIA!L$60)+Transportation_LCIA!L$62</f>
        <v>3.723479618897653E-4</v>
      </c>
      <c r="AI280" s="137">
        <f>Transportation_LCIA!M$61*($W280^Transportation_LCIA!M$60)+Transportation_LCIA!M$62</f>
        <v>3.228722583115967E-4</v>
      </c>
      <c r="AJ280" s="137">
        <f>Transportation_LCIA!N$61*($W280^Transportation_LCIA!N$60)+Transportation_LCIA!N$62</f>
        <v>1.4720294927440731E-3</v>
      </c>
      <c r="AK280" s="137">
        <f>Transportation_LCIA!O$61*($W280^Transportation_LCIA!O$60)+Transportation_LCIA!O$62</f>
        <v>8.4014911722372877E-5</v>
      </c>
      <c r="AL280" s="137">
        <f>Transportation_LCIA!P$61*($W280^Transportation_LCIA!P$60)+Transportation_LCIA!P$62</f>
        <v>4.0549982267229356E-8</v>
      </c>
      <c r="AM280" s="137">
        <f>Transportation_LCIA!Q$61*($W280^Transportation_LCIA!Q$60)+Transportation_LCIA!Q$62</f>
        <v>1.4685177071714801E-4</v>
      </c>
      <c r="AN280" s="137">
        <f>Transportation_LCIA!R$61*($W280^Transportation_LCIA!R$60)+Transportation_LCIA!R$62</f>
        <v>4.6033768870650074E-4</v>
      </c>
      <c r="AO280" s="137">
        <f>Transportation_LCIA!S$61*($W280^Transportation_LCIA!S$60)+Transportation_LCIA!S$62</f>
        <v>6.7891675624868085E-6</v>
      </c>
      <c r="AP280" s="137">
        <f>Transportation_LCIA!T$61*($W280^Transportation_LCIA!T$60)+Transportation_LCIA!T$62</f>
        <v>6.7891675624868085E-6</v>
      </c>
      <c r="AQ280" s="137">
        <f>Transportation_LCIA!U$61*($W280^Transportation_LCIA!U$60)+Transportation_LCIA!U$62</f>
        <v>9.9717260851609206E-4</v>
      </c>
      <c r="AR280" s="137">
        <f>Transportation_LCIA!V$61*($W280^Transportation_LCIA!V$60)+Transportation_LCIA!V$62</f>
        <v>3.8229923422683721E-4</v>
      </c>
      <c r="AT280" s="137">
        <f>$W280*Y280+$L280*Summary_LCIA!H$32</f>
        <v>173.3875446898025</v>
      </c>
      <c r="AU280" s="137">
        <f>$W280*Z280+$L280*Summary_LCIA!Q$32</f>
        <v>1856.1809320087511</v>
      </c>
      <c r="AV280" s="137">
        <f>$W280*AA280+$L280*Summary_LCIA!R$32</f>
        <v>0.98294450278265111</v>
      </c>
      <c r="AW280" s="137">
        <f>$W280*AB280+$L280*Summary_LCIA!S$32</f>
        <v>173.37666264980248</v>
      </c>
      <c r="AX280" s="137">
        <f>$W280*AC280+$L280*Summary_LCIA!T$32</f>
        <v>43.231855576058493</v>
      </c>
      <c r="AY280" s="137">
        <f>$W280*AD280+$L280*Summary_LCIA!U$32</f>
        <v>0.27163269666281997</v>
      </c>
      <c r="AZ280" s="137">
        <f>$W280*AE280+$L280*Summary_LCIA!V$32</f>
        <v>5.3035700501580995E-3</v>
      </c>
      <c r="BA280" s="137">
        <f>$W280*AF280+$L280*Summary_LCIA!W$32</f>
        <v>7.9083956762939396</v>
      </c>
      <c r="BB280" s="137">
        <f>$W280*AG280+$L280*Summary_LCIA!X$32</f>
        <v>9.4691800355554356</v>
      </c>
      <c r="BC280" s="137">
        <f>$W280*AH280+$L280*Summary_LCIA!Y$32</f>
        <v>0.23990557244630875</v>
      </c>
      <c r="BD280" s="137">
        <f>$W280*AI280+$L280*Summary_LCIA!Z$32</f>
        <v>0.17486368512091255</v>
      </c>
      <c r="BE280" s="137">
        <f>$W280*AJ280+$L280*Summary_LCIA!AA$32</f>
        <v>0.85427541506697091</v>
      </c>
      <c r="BF280" s="137">
        <f>$W280*AK280+$L280*Summary_LCIA!AB$32</f>
        <v>4.5421453354607851E-2</v>
      </c>
      <c r="BG280" s="137">
        <f>$W280*AL280+$L280*Summary_LCIA!AC$32</f>
        <v>2.2069049001126668E-5</v>
      </c>
      <c r="BH280" s="137">
        <f>$W280*AM280+$L280*Summary_LCIA!AD$32</f>
        <v>8.049919057032183E-2</v>
      </c>
      <c r="BI280" s="137">
        <f>$W280*AN280+$L280*Summary_LCIA!AE$32</f>
        <v>0.25135099061148974</v>
      </c>
      <c r="BJ280" s="137">
        <f>$W280*AO280+$L280*Summary_LCIA!AF$32</f>
        <v>5.7562315397148914E-3</v>
      </c>
      <c r="BK280" s="137">
        <f>$W280*AP280+$L280*Summary_LCIA!AG$32</f>
        <v>3.8007757297148915E-3</v>
      </c>
      <c r="BL280" s="137">
        <f>$W280*AQ280+$L280*Summary_LCIA!AH$32</f>
        <v>0.56117298839027863</v>
      </c>
      <c r="BM280" s="137">
        <f>$W280*AR280+$L280*Summary_LCIA!AI$32</f>
        <v>0.20922254069322213</v>
      </c>
    </row>
    <row r="281" spans="1:65" x14ac:dyDescent="0.25">
      <c r="A281" s="149">
        <v>363</v>
      </c>
      <c r="B281" s="149">
        <v>43</v>
      </c>
      <c r="C281" s="61">
        <v>43.653225999999997</v>
      </c>
      <c r="D281" s="61">
        <v>-79.383184</v>
      </c>
      <c r="E281" s="61" t="s">
        <v>456</v>
      </c>
      <c r="F281" s="149">
        <v>130</v>
      </c>
      <c r="G281" s="61" t="s">
        <v>275</v>
      </c>
      <c r="H281" s="61" t="s">
        <v>653</v>
      </c>
      <c r="I281" s="61">
        <v>43.628481999999998</v>
      </c>
      <c r="J281" s="61">
        <v>-79.395957999999993</v>
      </c>
      <c r="K281" s="61">
        <v>4.2005598900000001</v>
      </c>
      <c r="L281" s="61">
        <v>4.1710000000000003</v>
      </c>
      <c r="M281" s="61" t="s">
        <v>617</v>
      </c>
      <c r="N281" s="149">
        <v>42</v>
      </c>
      <c r="O281" s="149">
        <v>43</v>
      </c>
      <c r="P281" s="61" t="s">
        <v>565</v>
      </c>
      <c r="Q281" s="61" t="s">
        <v>555</v>
      </c>
      <c r="R281" s="61">
        <v>40.6895314</v>
      </c>
      <c r="S281" s="61">
        <v>-74.174462399999996</v>
      </c>
      <c r="T281" s="61">
        <v>785.35199999999998</v>
      </c>
      <c r="U281" s="61" t="s">
        <v>617</v>
      </c>
      <c r="V281" s="61" t="s">
        <v>569</v>
      </c>
      <c r="W281" s="61" cm="1">
        <f t="array" ref="W281">getDistance(I281,J281,R281,S281)*SA!$B$12</f>
        <v>541.27512186027764</v>
      </c>
      <c r="Y281" s="137">
        <f>Transportation_LCIA!C$61*($W281^Transportation_LCIA!C$60)+Transportation_LCIA!C$62</f>
        <v>0.31878604820552614</v>
      </c>
      <c r="Z281" s="137">
        <f>Transportation_LCIA!D$61*($W281^Transportation_LCIA!D$60)+Transportation_LCIA!D$62</f>
        <v>3.4067317365432173</v>
      </c>
      <c r="AA281" s="137">
        <f>Transportation_LCIA!E$61*($W281^Transportation_LCIA!E$60)+Transportation_LCIA!E$62</f>
        <v>1.7920287787271288E-3</v>
      </c>
      <c r="AB281" s="137">
        <f>Transportation_LCIA!F$61*($W281^Transportation_LCIA!F$60)+Transportation_LCIA!F$62</f>
        <v>0.31878604820552614</v>
      </c>
      <c r="AC281" s="137">
        <f>Transportation_LCIA!G$61*($W281^Transportation_LCIA!G$60)+Transportation_LCIA!G$62</f>
        <v>7.9370508713586002E-2</v>
      </c>
      <c r="AD281" s="137">
        <f>Transportation_LCIA!H$61*($W281^Transportation_LCIA!H$60)+Transportation_LCIA!H$62</f>
        <v>4.2035633908471618E-4</v>
      </c>
      <c r="AE281" s="137">
        <f>Transportation_LCIA!I$61*($W281^Transportation_LCIA!I$60)+Transportation_LCIA!I$62</f>
        <v>9.5810471583003702E-6</v>
      </c>
      <c r="AF281" s="137">
        <f>Transportation_LCIA!J$61*($W281^Transportation_LCIA!J$60)+Transportation_LCIA!J$62</f>
        <v>1.426057241974343E-2</v>
      </c>
      <c r="AG281" s="137">
        <f>Transportation_LCIA!K$61*($W281^Transportation_LCIA!K$60)+Transportation_LCIA!K$62</f>
        <v>1.7390593610148022E-2</v>
      </c>
      <c r="AH281" s="137">
        <f>Transportation_LCIA!L$61*($W281^Transportation_LCIA!L$60)+Transportation_LCIA!L$62</f>
        <v>3.723479618897653E-4</v>
      </c>
      <c r="AI281" s="137">
        <f>Transportation_LCIA!M$61*($W281^Transportation_LCIA!M$60)+Transportation_LCIA!M$62</f>
        <v>3.228722583115967E-4</v>
      </c>
      <c r="AJ281" s="137">
        <f>Transportation_LCIA!N$61*($W281^Transportation_LCIA!N$60)+Transportation_LCIA!N$62</f>
        <v>1.4720294927440731E-3</v>
      </c>
      <c r="AK281" s="137">
        <f>Transportation_LCIA!O$61*($W281^Transportation_LCIA!O$60)+Transportation_LCIA!O$62</f>
        <v>8.4014911722372877E-5</v>
      </c>
      <c r="AL281" s="137">
        <f>Transportation_LCIA!P$61*($W281^Transportation_LCIA!P$60)+Transportation_LCIA!P$62</f>
        <v>4.0549982267229356E-8</v>
      </c>
      <c r="AM281" s="137">
        <f>Transportation_LCIA!Q$61*($W281^Transportation_LCIA!Q$60)+Transportation_LCIA!Q$62</f>
        <v>1.4685177071714801E-4</v>
      </c>
      <c r="AN281" s="137">
        <f>Transportation_LCIA!R$61*($W281^Transportation_LCIA!R$60)+Transportation_LCIA!R$62</f>
        <v>4.6033768870650074E-4</v>
      </c>
      <c r="AO281" s="137">
        <f>Transportation_LCIA!S$61*($W281^Transportation_LCIA!S$60)+Transportation_LCIA!S$62</f>
        <v>6.7891675624868085E-6</v>
      </c>
      <c r="AP281" s="137">
        <f>Transportation_LCIA!T$61*($W281^Transportation_LCIA!T$60)+Transportation_LCIA!T$62</f>
        <v>6.7891675624868085E-6</v>
      </c>
      <c r="AQ281" s="137">
        <f>Transportation_LCIA!U$61*($W281^Transportation_LCIA!U$60)+Transportation_LCIA!U$62</f>
        <v>9.9717260851609206E-4</v>
      </c>
      <c r="AR281" s="137">
        <f>Transportation_LCIA!V$61*($W281^Transportation_LCIA!V$60)+Transportation_LCIA!V$62</f>
        <v>3.8229923422683721E-4</v>
      </c>
      <c r="AT281" s="137">
        <f>$W281*Y281+$L281*Summary_LCIA!H$32</f>
        <v>173.9682628898025</v>
      </c>
      <c r="AU281" s="137">
        <f>$W281*Z281+$L281*Summary_LCIA!Q$32</f>
        <v>1864.6508221987481</v>
      </c>
      <c r="AV281" s="137">
        <f>$W281*AA281+$L281*Summary_LCIA!R$32</f>
        <v>0.99194341318265111</v>
      </c>
      <c r="AW281" s="137">
        <f>$W281*AB281+$L281*Summary_LCIA!S$32</f>
        <v>173.9498270698025</v>
      </c>
      <c r="AX281" s="137">
        <f>$W281*AC281+$L281*Summary_LCIA!T$32</f>
        <v>43.419674676058492</v>
      </c>
      <c r="AY281" s="137">
        <f>$W281*AD281+$L281*Summary_LCIA!U$32</f>
        <v>0.30224772266281996</v>
      </c>
      <c r="AZ281" s="137">
        <f>$W281*AE281+$L281*Summary_LCIA!V$32</f>
        <v>5.3851935991580998E-3</v>
      </c>
      <c r="BA281" s="137">
        <f>$W281*AF281+$L281*Summary_LCIA!W$32</f>
        <v>8.0399391152939401</v>
      </c>
      <c r="BB281" s="137">
        <f>$W281*AG281+$L281*Summary_LCIA!X$32</f>
        <v>9.5081110555554353</v>
      </c>
      <c r="BC281" s="137">
        <f>$W281*AH281+$L281*Summary_LCIA!Y$32</f>
        <v>0.26653521044630873</v>
      </c>
      <c r="BD281" s="137">
        <f>$W281*AI281+$L281*Summary_LCIA!Z$32</f>
        <v>0.17493376950191253</v>
      </c>
      <c r="BE281" s="137">
        <f>$W281*AJ281+$L281*Summary_LCIA!AA$32</f>
        <v>0.89419081906697084</v>
      </c>
      <c r="BF281" s="137">
        <f>$W281*AK281+$L281*Summary_LCIA!AB$32</f>
        <v>4.5384157847607853E-2</v>
      </c>
      <c r="BG281" s="137">
        <f>$W281*AL281+$L281*Summary_LCIA!AC$32</f>
        <v>2.2152591757126669E-5</v>
      </c>
      <c r="BH281" s="137">
        <f>$W281*AM281+$L281*Summary_LCIA!AD$32</f>
        <v>8.120165793032183E-2</v>
      </c>
      <c r="BI281" s="137">
        <f>$W281*AN281+$L281*Summary_LCIA!AE$32</f>
        <v>0.25286538678148973</v>
      </c>
      <c r="BJ281" s="137">
        <f>$W281*AO281+$L281*Summary_LCIA!AF$32</f>
        <v>7.2010543197148918E-3</v>
      </c>
      <c r="BK281" s="137">
        <f>$W281*AP281+$L281*Summary_LCIA!AG$32</f>
        <v>3.8882167147148913E-3</v>
      </c>
      <c r="BL281" s="137">
        <f>$W281*AQ281+$L281*Summary_LCIA!AH$32</f>
        <v>0.57604744079027859</v>
      </c>
      <c r="BM281" s="137">
        <f>$W281*AR281+$L281*Summary_LCIA!AI$32</f>
        <v>0.21081455964322213</v>
      </c>
    </row>
    <row r="282" spans="1:65" x14ac:dyDescent="0.25">
      <c r="A282" s="149">
        <v>73</v>
      </c>
      <c r="B282" s="149">
        <v>43</v>
      </c>
      <c r="C282" s="61">
        <v>43.660848999999999</v>
      </c>
      <c r="D282" s="61">
        <v>-79.395493999999999</v>
      </c>
      <c r="E282" s="61" t="s">
        <v>456</v>
      </c>
      <c r="F282" s="149">
        <v>130</v>
      </c>
      <c r="G282" s="61" t="s">
        <v>275</v>
      </c>
      <c r="H282" s="61" t="s">
        <v>653</v>
      </c>
      <c r="I282" s="61">
        <v>43.628481999999998</v>
      </c>
      <c r="J282" s="61">
        <v>-79.395957999999993</v>
      </c>
      <c r="K282" s="61">
        <v>5.2007018199999999</v>
      </c>
      <c r="L282" s="61">
        <v>5.4240000000000004</v>
      </c>
      <c r="M282" s="61" t="s">
        <v>617</v>
      </c>
      <c r="N282" s="149">
        <v>42</v>
      </c>
      <c r="O282" s="149">
        <v>43</v>
      </c>
      <c r="P282" s="61" t="s">
        <v>565</v>
      </c>
      <c r="Q282" s="61" t="s">
        <v>555</v>
      </c>
      <c r="R282" s="61">
        <v>40.6895314</v>
      </c>
      <c r="S282" s="61">
        <v>-74.174462399999996</v>
      </c>
      <c r="T282" s="61">
        <v>786.899</v>
      </c>
      <c r="U282" s="61" t="s">
        <v>617</v>
      </c>
      <c r="V282" s="61" t="s">
        <v>569</v>
      </c>
      <c r="W282" s="61" cm="1">
        <f t="array" ref="W282">getDistance(I282,J282,R282,S282)*SA!$B$12</f>
        <v>541.27512186027764</v>
      </c>
      <c r="Y282" s="137">
        <f>Transportation_LCIA!C$61*($W282^Transportation_LCIA!C$60)+Transportation_LCIA!C$62</f>
        <v>0.31878604820552614</v>
      </c>
      <c r="Z282" s="137">
        <f>Transportation_LCIA!D$61*($W282^Transportation_LCIA!D$60)+Transportation_LCIA!D$62</f>
        <v>3.4067317365432173</v>
      </c>
      <c r="AA282" s="137">
        <f>Transportation_LCIA!E$61*($W282^Transportation_LCIA!E$60)+Transportation_LCIA!E$62</f>
        <v>1.7920287787271288E-3</v>
      </c>
      <c r="AB282" s="137">
        <f>Transportation_LCIA!F$61*($W282^Transportation_LCIA!F$60)+Transportation_LCIA!F$62</f>
        <v>0.31878604820552614</v>
      </c>
      <c r="AC282" s="137">
        <f>Transportation_LCIA!G$61*($W282^Transportation_LCIA!G$60)+Transportation_LCIA!G$62</f>
        <v>7.9370508713586002E-2</v>
      </c>
      <c r="AD282" s="137">
        <f>Transportation_LCIA!H$61*($W282^Transportation_LCIA!H$60)+Transportation_LCIA!H$62</f>
        <v>4.2035633908471618E-4</v>
      </c>
      <c r="AE282" s="137">
        <f>Transportation_LCIA!I$61*($W282^Transportation_LCIA!I$60)+Transportation_LCIA!I$62</f>
        <v>9.5810471583003702E-6</v>
      </c>
      <c r="AF282" s="137">
        <f>Transportation_LCIA!J$61*($W282^Transportation_LCIA!J$60)+Transportation_LCIA!J$62</f>
        <v>1.426057241974343E-2</v>
      </c>
      <c r="AG282" s="137">
        <f>Transportation_LCIA!K$61*($W282^Transportation_LCIA!K$60)+Transportation_LCIA!K$62</f>
        <v>1.7390593610148022E-2</v>
      </c>
      <c r="AH282" s="137">
        <f>Transportation_LCIA!L$61*($W282^Transportation_LCIA!L$60)+Transportation_LCIA!L$62</f>
        <v>3.723479618897653E-4</v>
      </c>
      <c r="AI282" s="137">
        <f>Transportation_LCIA!M$61*($W282^Transportation_LCIA!M$60)+Transportation_LCIA!M$62</f>
        <v>3.228722583115967E-4</v>
      </c>
      <c r="AJ282" s="137">
        <f>Transportation_LCIA!N$61*($W282^Transportation_LCIA!N$60)+Transportation_LCIA!N$62</f>
        <v>1.4720294927440731E-3</v>
      </c>
      <c r="AK282" s="137">
        <f>Transportation_LCIA!O$61*($W282^Transportation_LCIA!O$60)+Transportation_LCIA!O$62</f>
        <v>8.4014911722372877E-5</v>
      </c>
      <c r="AL282" s="137">
        <f>Transportation_LCIA!P$61*($W282^Transportation_LCIA!P$60)+Transportation_LCIA!P$62</f>
        <v>4.0549982267229356E-8</v>
      </c>
      <c r="AM282" s="137">
        <f>Transportation_LCIA!Q$61*($W282^Transportation_LCIA!Q$60)+Transportation_LCIA!Q$62</f>
        <v>1.4685177071714801E-4</v>
      </c>
      <c r="AN282" s="137">
        <f>Transportation_LCIA!R$61*($W282^Transportation_LCIA!R$60)+Transportation_LCIA!R$62</f>
        <v>4.6033768870650074E-4</v>
      </c>
      <c r="AO282" s="137">
        <f>Transportation_LCIA!S$61*($W282^Transportation_LCIA!S$60)+Transportation_LCIA!S$62</f>
        <v>6.7891675624868085E-6</v>
      </c>
      <c r="AP282" s="137">
        <f>Transportation_LCIA!T$61*($W282^Transportation_LCIA!T$60)+Transportation_LCIA!T$62</f>
        <v>6.7891675624868085E-6</v>
      </c>
      <c r="AQ282" s="137">
        <f>Transportation_LCIA!U$61*($W282^Transportation_LCIA!U$60)+Transportation_LCIA!U$62</f>
        <v>9.9717260851609206E-4</v>
      </c>
      <c r="AR282" s="137">
        <f>Transportation_LCIA!V$61*($W282^Transportation_LCIA!V$60)+Transportation_LCIA!V$62</f>
        <v>3.8229923422683721E-4</v>
      </c>
      <c r="AT282" s="137">
        <f>$W282*Y282+$L282*Summary_LCIA!H$32</f>
        <v>174.39403228980248</v>
      </c>
      <c r="AU282" s="137">
        <f>$W282*Z282+$L282*Summary_LCIA!Q$32</f>
        <v>1870.8607533912971</v>
      </c>
      <c r="AV282" s="137">
        <f>$W282*AA282+$L282*Summary_LCIA!R$32</f>
        <v>0.99854120998265117</v>
      </c>
      <c r="AW282" s="137">
        <f>$W282*AB282+$L282*Summary_LCIA!S$32</f>
        <v>174.37005820980249</v>
      </c>
      <c r="AX282" s="137">
        <f>$W282*AC282+$L282*Summary_LCIA!T$32</f>
        <v>43.557379376058492</v>
      </c>
      <c r="AY282" s="137">
        <f>$W282*AD282+$L282*Summary_LCIA!U$32</f>
        <v>0.32469396466281997</v>
      </c>
      <c r="AZ282" s="137">
        <f>$W282*AE282+$L282*Summary_LCIA!V$32</f>
        <v>5.4450381321580997E-3</v>
      </c>
      <c r="BA282" s="137">
        <f>$W282*AF282+$L282*Summary_LCIA!W$32</f>
        <v>8.1363837782939399</v>
      </c>
      <c r="BB282" s="137">
        <f>$W282*AG282+$L282*Summary_LCIA!X$32</f>
        <v>9.5366543955554359</v>
      </c>
      <c r="BC282" s="137">
        <f>$W282*AH282+$L282*Summary_LCIA!Y$32</f>
        <v>0.28605945644630876</v>
      </c>
      <c r="BD282" s="137">
        <f>$W282*AI282+$L282*Summary_LCIA!Z$32</f>
        <v>0.17498515377891255</v>
      </c>
      <c r="BE282" s="137">
        <f>$W282*AJ282+$L282*Summary_LCIA!AA$32</f>
        <v>0.9234558870669709</v>
      </c>
      <c r="BF282" s="137">
        <f>$W282*AK282+$L282*Summary_LCIA!AB$32</f>
        <v>4.5356813628607849E-2</v>
      </c>
      <c r="BG282" s="137">
        <f>$W282*AL282+$L282*Summary_LCIA!AC$32</f>
        <v>2.2213843409126666E-5</v>
      </c>
      <c r="BH282" s="137">
        <f>$W282*AM282+$L282*Summary_LCIA!AD$32</f>
        <v>8.1716691050321838E-2</v>
      </c>
      <c r="BI282" s="137">
        <f>$W282*AN282+$L282*Summary_LCIA!AE$32</f>
        <v>0.25397570767148975</v>
      </c>
      <c r="BJ282" s="137">
        <f>$W282*AO282+$L282*Summary_LCIA!AF$32</f>
        <v>8.2603655797148928E-3</v>
      </c>
      <c r="BK282" s="137">
        <f>$W282*AP282+$L282*Summary_LCIA!AG$32</f>
        <v>3.9523264597148911E-3</v>
      </c>
      <c r="BL282" s="137">
        <f>$W282*AQ282+$L282*Summary_LCIA!AH$32</f>
        <v>0.58695305159027866</v>
      </c>
      <c r="BM282" s="137">
        <f>$W282*AR282+$L282*Summary_LCIA!AI$32</f>
        <v>0.21198179179322213</v>
      </c>
    </row>
    <row r="283" spans="1:65" x14ac:dyDescent="0.25">
      <c r="A283" s="149">
        <v>74</v>
      </c>
      <c r="B283" s="149">
        <v>43</v>
      </c>
      <c r="C283" s="61">
        <v>43.660848999999999</v>
      </c>
      <c r="D283" s="61">
        <v>-79.395493999999999</v>
      </c>
      <c r="E283" s="61" t="s">
        <v>456</v>
      </c>
      <c r="F283" s="149">
        <v>130</v>
      </c>
      <c r="G283" s="61" t="s">
        <v>275</v>
      </c>
      <c r="H283" s="61" t="s">
        <v>653</v>
      </c>
      <c r="I283" s="61">
        <v>43.628481999999998</v>
      </c>
      <c r="J283" s="61">
        <v>-79.395957999999993</v>
      </c>
      <c r="K283" s="61">
        <v>5.2007018199999999</v>
      </c>
      <c r="L283" s="61">
        <v>5.4240000000000004</v>
      </c>
      <c r="M283" s="61" t="s">
        <v>617</v>
      </c>
      <c r="N283" s="149">
        <v>42</v>
      </c>
      <c r="O283" s="149">
        <v>43</v>
      </c>
      <c r="P283" s="61" t="s">
        <v>565</v>
      </c>
      <c r="Q283" s="61" t="s">
        <v>555</v>
      </c>
      <c r="R283" s="61">
        <v>40.6895314</v>
      </c>
      <c r="S283" s="61">
        <v>-74.174462399999996</v>
      </c>
      <c r="T283" s="61">
        <v>786.899</v>
      </c>
      <c r="U283" s="61" t="s">
        <v>617</v>
      </c>
      <c r="V283" s="61" t="s">
        <v>569</v>
      </c>
      <c r="W283" s="61" cm="1">
        <f t="array" ref="W283">getDistance(I283,J283,R283,S283)*SA!$B$12</f>
        <v>541.27512186027764</v>
      </c>
      <c r="Y283" s="137">
        <f>Transportation_LCIA!C$61*($W283^Transportation_LCIA!C$60)+Transportation_LCIA!C$62</f>
        <v>0.31878604820552614</v>
      </c>
      <c r="Z283" s="137">
        <f>Transportation_LCIA!D$61*($W283^Transportation_LCIA!D$60)+Transportation_LCIA!D$62</f>
        <v>3.4067317365432173</v>
      </c>
      <c r="AA283" s="137">
        <f>Transportation_LCIA!E$61*($W283^Transportation_LCIA!E$60)+Transportation_LCIA!E$62</f>
        <v>1.7920287787271288E-3</v>
      </c>
      <c r="AB283" s="137">
        <f>Transportation_LCIA!F$61*($W283^Transportation_LCIA!F$60)+Transportation_LCIA!F$62</f>
        <v>0.31878604820552614</v>
      </c>
      <c r="AC283" s="137">
        <f>Transportation_LCIA!G$61*($W283^Transportation_LCIA!G$60)+Transportation_LCIA!G$62</f>
        <v>7.9370508713586002E-2</v>
      </c>
      <c r="AD283" s="137">
        <f>Transportation_LCIA!H$61*($W283^Transportation_LCIA!H$60)+Transportation_LCIA!H$62</f>
        <v>4.2035633908471618E-4</v>
      </c>
      <c r="AE283" s="137">
        <f>Transportation_LCIA!I$61*($W283^Transportation_LCIA!I$60)+Transportation_LCIA!I$62</f>
        <v>9.5810471583003702E-6</v>
      </c>
      <c r="AF283" s="137">
        <f>Transportation_LCIA!J$61*($W283^Transportation_LCIA!J$60)+Transportation_LCIA!J$62</f>
        <v>1.426057241974343E-2</v>
      </c>
      <c r="AG283" s="137">
        <f>Transportation_LCIA!K$61*($W283^Transportation_LCIA!K$60)+Transportation_LCIA!K$62</f>
        <v>1.7390593610148022E-2</v>
      </c>
      <c r="AH283" s="137">
        <f>Transportation_LCIA!L$61*($W283^Transportation_LCIA!L$60)+Transportation_LCIA!L$62</f>
        <v>3.723479618897653E-4</v>
      </c>
      <c r="AI283" s="137">
        <f>Transportation_LCIA!M$61*($W283^Transportation_LCIA!M$60)+Transportation_LCIA!M$62</f>
        <v>3.228722583115967E-4</v>
      </c>
      <c r="AJ283" s="137">
        <f>Transportation_LCIA!N$61*($W283^Transportation_LCIA!N$60)+Transportation_LCIA!N$62</f>
        <v>1.4720294927440731E-3</v>
      </c>
      <c r="AK283" s="137">
        <f>Transportation_LCIA!O$61*($W283^Transportation_LCIA!O$60)+Transportation_LCIA!O$62</f>
        <v>8.4014911722372877E-5</v>
      </c>
      <c r="AL283" s="137">
        <f>Transportation_LCIA!P$61*($W283^Transportation_LCIA!P$60)+Transportation_LCIA!P$62</f>
        <v>4.0549982267229356E-8</v>
      </c>
      <c r="AM283" s="137">
        <f>Transportation_LCIA!Q$61*($W283^Transportation_LCIA!Q$60)+Transportation_LCIA!Q$62</f>
        <v>1.4685177071714801E-4</v>
      </c>
      <c r="AN283" s="137">
        <f>Transportation_LCIA!R$61*($W283^Transportation_LCIA!R$60)+Transportation_LCIA!R$62</f>
        <v>4.6033768870650074E-4</v>
      </c>
      <c r="AO283" s="137">
        <f>Transportation_LCIA!S$61*($W283^Transportation_LCIA!S$60)+Transportation_LCIA!S$62</f>
        <v>6.7891675624868085E-6</v>
      </c>
      <c r="AP283" s="137">
        <f>Transportation_LCIA!T$61*($W283^Transportation_LCIA!T$60)+Transportation_LCIA!T$62</f>
        <v>6.7891675624868085E-6</v>
      </c>
      <c r="AQ283" s="137">
        <f>Transportation_LCIA!U$61*($W283^Transportation_LCIA!U$60)+Transportation_LCIA!U$62</f>
        <v>9.9717260851609206E-4</v>
      </c>
      <c r="AR283" s="137">
        <f>Transportation_LCIA!V$61*($W283^Transportation_LCIA!V$60)+Transportation_LCIA!V$62</f>
        <v>3.8229923422683721E-4</v>
      </c>
      <c r="AT283" s="137">
        <f>$W283*Y283+$L283*Summary_LCIA!H$32</f>
        <v>174.39403228980248</v>
      </c>
      <c r="AU283" s="137">
        <f>$W283*Z283+$L283*Summary_LCIA!Q$32</f>
        <v>1870.8607533912971</v>
      </c>
      <c r="AV283" s="137">
        <f>$W283*AA283+$L283*Summary_LCIA!R$32</f>
        <v>0.99854120998265117</v>
      </c>
      <c r="AW283" s="137">
        <f>$W283*AB283+$L283*Summary_LCIA!S$32</f>
        <v>174.37005820980249</v>
      </c>
      <c r="AX283" s="137">
        <f>$W283*AC283+$L283*Summary_LCIA!T$32</f>
        <v>43.557379376058492</v>
      </c>
      <c r="AY283" s="137">
        <f>$W283*AD283+$L283*Summary_LCIA!U$32</f>
        <v>0.32469396466281997</v>
      </c>
      <c r="AZ283" s="137">
        <f>$W283*AE283+$L283*Summary_LCIA!V$32</f>
        <v>5.4450381321580997E-3</v>
      </c>
      <c r="BA283" s="137">
        <f>$W283*AF283+$L283*Summary_LCIA!W$32</f>
        <v>8.1363837782939399</v>
      </c>
      <c r="BB283" s="137">
        <f>$W283*AG283+$L283*Summary_LCIA!X$32</f>
        <v>9.5366543955554359</v>
      </c>
      <c r="BC283" s="137">
        <f>$W283*AH283+$L283*Summary_LCIA!Y$32</f>
        <v>0.28605945644630876</v>
      </c>
      <c r="BD283" s="137">
        <f>$W283*AI283+$L283*Summary_LCIA!Z$32</f>
        <v>0.17498515377891255</v>
      </c>
      <c r="BE283" s="137">
        <f>$W283*AJ283+$L283*Summary_LCIA!AA$32</f>
        <v>0.9234558870669709</v>
      </c>
      <c r="BF283" s="137">
        <f>$W283*AK283+$L283*Summary_LCIA!AB$32</f>
        <v>4.5356813628607849E-2</v>
      </c>
      <c r="BG283" s="137">
        <f>$W283*AL283+$L283*Summary_LCIA!AC$32</f>
        <v>2.2213843409126666E-5</v>
      </c>
      <c r="BH283" s="137">
        <f>$W283*AM283+$L283*Summary_LCIA!AD$32</f>
        <v>8.1716691050321838E-2</v>
      </c>
      <c r="BI283" s="137">
        <f>$W283*AN283+$L283*Summary_LCIA!AE$32</f>
        <v>0.25397570767148975</v>
      </c>
      <c r="BJ283" s="137">
        <f>$W283*AO283+$L283*Summary_LCIA!AF$32</f>
        <v>8.2603655797148928E-3</v>
      </c>
      <c r="BK283" s="137">
        <f>$W283*AP283+$L283*Summary_LCIA!AG$32</f>
        <v>3.9523264597148911E-3</v>
      </c>
      <c r="BL283" s="137">
        <f>$W283*AQ283+$L283*Summary_LCIA!AH$32</f>
        <v>0.58695305159027866</v>
      </c>
      <c r="BM283" s="137">
        <f>$W283*AR283+$L283*Summary_LCIA!AI$32</f>
        <v>0.21198179179322213</v>
      </c>
    </row>
    <row r="284" spans="1:65" x14ac:dyDescent="0.25">
      <c r="A284" s="149">
        <v>75</v>
      </c>
      <c r="B284" s="149">
        <v>43</v>
      </c>
      <c r="C284" s="61">
        <v>43.660848999999999</v>
      </c>
      <c r="D284" s="61">
        <v>-79.395493999999999</v>
      </c>
      <c r="E284" s="61" t="s">
        <v>456</v>
      </c>
      <c r="F284" s="149">
        <v>130</v>
      </c>
      <c r="G284" s="61" t="s">
        <v>275</v>
      </c>
      <c r="H284" s="61" t="s">
        <v>653</v>
      </c>
      <c r="I284" s="61">
        <v>43.628481999999998</v>
      </c>
      <c r="J284" s="61">
        <v>-79.395957999999993</v>
      </c>
      <c r="K284" s="61">
        <v>5.2007018199999999</v>
      </c>
      <c r="L284" s="61">
        <v>5.4240000000000004</v>
      </c>
      <c r="M284" s="61" t="s">
        <v>617</v>
      </c>
      <c r="N284" s="149">
        <v>42</v>
      </c>
      <c r="O284" s="149">
        <v>43</v>
      </c>
      <c r="P284" s="61" t="s">
        <v>565</v>
      </c>
      <c r="Q284" s="61" t="s">
        <v>555</v>
      </c>
      <c r="R284" s="61">
        <v>40.6895314</v>
      </c>
      <c r="S284" s="61">
        <v>-74.174462399999996</v>
      </c>
      <c r="T284" s="61">
        <v>786.899</v>
      </c>
      <c r="U284" s="61" t="s">
        <v>617</v>
      </c>
      <c r="V284" s="61" t="s">
        <v>569</v>
      </c>
      <c r="W284" s="61" cm="1">
        <f t="array" ref="W284">getDistance(I284,J284,R284,S284)*SA!$B$12</f>
        <v>541.27512186027764</v>
      </c>
      <c r="Y284" s="137">
        <f>Transportation_LCIA!C$61*($W284^Transportation_LCIA!C$60)+Transportation_LCIA!C$62</f>
        <v>0.31878604820552614</v>
      </c>
      <c r="Z284" s="137">
        <f>Transportation_LCIA!D$61*($W284^Transportation_LCIA!D$60)+Transportation_LCIA!D$62</f>
        <v>3.4067317365432173</v>
      </c>
      <c r="AA284" s="137">
        <f>Transportation_LCIA!E$61*($W284^Transportation_LCIA!E$60)+Transportation_LCIA!E$62</f>
        <v>1.7920287787271288E-3</v>
      </c>
      <c r="AB284" s="137">
        <f>Transportation_LCIA!F$61*($W284^Transportation_LCIA!F$60)+Transportation_LCIA!F$62</f>
        <v>0.31878604820552614</v>
      </c>
      <c r="AC284" s="137">
        <f>Transportation_LCIA!G$61*($W284^Transportation_LCIA!G$60)+Transportation_LCIA!G$62</f>
        <v>7.9370508713586002E-2</v>
      </c>
      <c r="AD284" s="137">
        <f>Transportation_LCIA!H$61*($W284^Transportation_LCIA!H$60)+Transportation_LCIA!H$62</f>
        <v>4.2035633908471618E-4</v>
      </c>
      <c r="AE284" s="137">
        <f>Transportation_LCIA!I$61*($W284^Transportation_LCIA!I$60)+Transportation_LCIA!I$62</f>
        <v>9.5810471583003702E-6</v>
      </c>
      <c r="AF284" s="137">
        <f>Transportation_LCIA!J$61*($W284^Transportation_LCIA!J$60)+Transportation_LCIA!J$62</f>
        <v>1.426057241974343E-2</v>
      </c>
      <c r="AG284" s="137">
        <f>Transportation_LCIA!K$61*($W284^Transportation_LCIA!K$60)+Transportation_LCIA!K$62</f>
        <v>1.7390593610148022E-2</v>
      </c>
      <c r="AH284" s="137">
        <f>Transportation_LCIA!L$61*($W284^Transportation_LCIA!L$60)+Transportation_LCIA!L$62</f>
        <v>3.723479618897653E-4</v>
      </c>
      <c r="AI284" s="137">
        <f>Transportation_LCIA!M$61*($W284^Transportation_LCIA!M$60)+Transportation_LCIA!M$62</f>
        <v>3.228722583115967E-4</v>
      </c>
      <c r="AJ284" s="137">
        <f>Transportation_LCIA!N$61*($W284^Transportation_LCIA!N$60)+Transportation_LCIA!N$62</f>
        <v>1.4720294927440731E-3</v>
      </c>
      <c r="AK284" s="137">
        <f>Transportation_LCIA!O$61*($W284^Transportation_LCIA!O$60)+Transportation_LCIA!O$62</f>
        <v>8.4014911722372877E-5</v>
      </c>
      <c r="AL284" s="137">
        <f>Transportation_LCIA!P$61*($W284^Transportation_LCIA!P$60)+Transportation_LCIA!P$62</f>
        <v>4.0549982267229356E-8</v>
      </c>
      <c r="AM284" s="137">
        <f>Transportation_LCIA!Q$61*($W284^Transportation_LCIA!Q$60)+Transportation_LCIA!Q$62</f>
        <v>1.4685177071714801E-4</v>
      </c>
      <c r="AN284" s="137">
        <f>Transportation_LCIA!R$61*($W284^Transportation_LCIA!R$60)+Transportation_LCIA!R$62</f>
        <v>4.6033768870650074E-4</v>
      </c>
      <c r="AO284" s="137">
        <f>Transportation_LCIA!S$61*($W284^Transportation_LCIA!S$60)+Transportation_LCIA!S$62</f>
        <v>6.7891675624868085E-6</v>
      </c>
      <c r="AP284" s="137">
        <f>Transportation_LCIA!T$61*($W284^Transportation_LCIA!T$60)+Transportation_LCIA!T$62</f>
        <v>6.7891675624868085E-6</v>
      </c>
      <c r="AQ284" s="137">
        <f>Transportation_LCIA!U$61*($W284^Transportation_LCIA!U$60)+Transportation_LCIA!U$62</f>
        <v>9.9717260851609206E-4</v>
      </c>
      <c r="AR284" s="137">
        <f>Transportation_LCIA!V$61*($W284^Transportation_LCIA!V$60)+Transportation_LCIA!V$62</f>
        <v>3.8229923422683721E-4</v>
      </c>
      <c r="AT284" s="137">
        <f>$W284*Y284+$L284*Summary_LCIA!H$32</f>
        <v>174.39403228980248</v>
      </c>
      <c r="AU284" s="137">
        <f>$W284*Z284+$L284*Summary_LCIA!Q$32</f>
        <v>1870.8607533912971</v>
      </c>
      <c r="AV284" s="137">
        <f>$W284*AA284+$L284*Summary_LCIA!R$32</f>
        <v>0.99854120998265117</v>
      </c>
      <c r="AW284" s="137">
        <f>$W284*AB284+$L284*Summary_LCIA!S$32</f>
        <v>174.37005820980249</v>
      </c>
      <c r="AX284" s="137">
        <f>$W284*AC284+$L284*Summary_LCIA!T$32</f>
        <v>43.557379376058492</v>
      </c>
      <c r="AY284" s="137">
        <f>$W284*AD284+$L284*Summary_LCIA!U$32</f>
        <v>0.32469396466281997</v>
      </c>
      <c r="AZ284" s="137">
        <f>$W284*AE284+$L284*Summary_LCIA!V$32</f>
        <v>5.4450381321580997E-3</v>
      </c>
      <c r="BA284" s="137">
        <f>$W284*AF284+$L284*Summary_LCIA!W$32</f>
        <v>8.1363837782939399</v>
      </c>
      <c r="BB284" s="137">
        <f>$W284*AG284+$L284*Summary_LCIA!X$32</f>
        <v>9.5366543955554359</v>
      </c>
      <c r="BC284" s="137">
        <f>$W284*AH284+$L284*Summary_LCIA!Y$32</f>
        <v>0.28605945644630876</v>
      </c>
      <c r="BD284" s="137">
        <f>$W284*AI284+$L284*Summary_LCIA!Z$32</f>
        <v>0.17498515377891255</v>
      </c>
      <c r="BE284" s="137">
        <f>$W284*AJ284+$L284*Summary_LCIA!AA$32</f>
        <v>0.9234558870669709</v>
      </c>
      <c r="BF284" s="137">
        <f>$W284*AK284+$L284*Summary_LCIA!AB$32</f>
        <v>4.5356813628607849E-2</v>
      </c>
      <c r="BG284" s="137">
        <f>$W284*AL284+$L284*Summary_LCIA!AC$32</f>
        <v>2.2213843409126666E-5</v>
      </c>
      <c r="BH284" s="137">
        <f>$W284*AM284+$L284*Summary_LCIA!AD$32</f>
        <v>8.1716691050321838E-2</v>
      </c>
      <c r="BI284" s="137">
        <f>$W284*AN284+$L284*Summary_LCIA!AE$32</f>
        <v>0.25397570767148975</v>
      </c>
      <c r="BJ284" s="137">
        <f>$W284*AO284+$L284*Summary_LCIA!AF$32</f>
        <v>8.2603655797148928E-3</v>
      </c>
      <c r="BK284" s="137">
        <f>$W284*AP284+$L284*Summary_LCIA!AG$32</f>
        <v>3.9523264597148911E-3</v>
      </c>
      <c r="BL284" s="137">
        <f>$W284*AQ284+$L284*Summary_LCIA!AH$32</f>
        <v>0.58695305159027866</v>
      </c>
      <c r="BM284" s="137">
        <f>$W284*AR284+$L284*Summary_LCIA!AI$32</f>
        <v>0.21198179179322213</v>
      </c>
    </row>
    <row r="285" spans="1:65" x14ac:dyDescent="0.25">
      <c r="A285" s="149">
        <v>48</v>
      </c>
      <c r="B285" s="149">
        <v>43</v>
      </c>
      <c r="C285" s="61">
        <v>43.472979000000002</v>
      </c>
      <c r="D285" s="61">
        <v>-80.540103000000002</v>
      </c>
      <c r="E285" s="61" t="s">
        <v>456</v>
      </c>
      <c r="F285" s="149">
        <v>139</v>
      </c>
      <c r="G285" s="61" t="s">
        <v>651</v>
      </c>
      <c r="H285" s="61" t="s">
        <v>652</v>
      </c>
      <c r="I285" s="61">
        <v>43.163226000000002</v>
      </c>
      <c r="J285" s="61">
        <v>-79.926573000000005</v>
      </c>
      <c r="K285" s="61">
        <v>67.656494089999995</v>
      </c>
      <c r="L285" s="61">
        <v>75.798000000000002</v>
      </c>
      <c r="M285" s="61" t="s">
        <v>617</v>
      </c>
      <c r="N285" s="149">
        <v>42</v>
      </c>
      <c r="O285" s="149">
        <v>43</v>
      </c>
      <c r="P285" s="61" t="s">
        <v>565</v>
      </c>
      <c r="Q285" s="61" t="s">
        <v>555</v>
      </c>
      <c r="R285" s="61">
        <v>40.6895314</v>
      </c>
      <c r="S285" s="61">
        <v>-74.174462399999996</v>
      </c>
      <c r="T285" s="61">
        <v>803.12199999999996</v>
      </c>
      <c r="U285" s="61" t="s">
        <v>617</v>
      </c>
      <c r="V285" s="61" t="s">
        <v>569</v>
      </c>
      <c r="W285" s="61" cm="1">
        <f t="array" ref="W285">getDistance(I285,J285,R285,S285)*SA!$B$12</f>
        <v>550.64226474870293</v>
      </c>
      <c r="Y285" s="137">
        <f>Transportation_LCIA!C$61*($W285^Transportation_LCIA!C$60)+Transportation_LCIA!C$62</f>
        <v>0.31582951834006651</v>
      </c>
      <c r="Z285" s="137">
        <f>Transportation_LCIA!D$61*($W285^Transportation_LCIA!D$60)+Transportation_LCIA!D$62</f>
        <v>3.3713172365095883</v>
      </c>
      <c r="AA285" s="137">
        <f>Transportation_LCIA!E$61*($W285^Transportation_LCIA!E$60)+Transportation_LCIA!E$62</f>
        <v>1.7685729557347799E-3</v>
      </c>
      <c r="AB285" s="137">
        <f>Transportation_LCIA!F$61*($W285^Transportation_LCIA!F$60)+Transportation_LCIA!F$62</f>
        <v>0.31582951834006651</v>
      </c>
      <c r="AC285" s="137">
        <f>Transportation_LCIA!G$61*($W285^Transportation_LCIA!G$60)+Transportation_LCIA!G$62</f>
        <v>7.8552412903394125E-2</v>
      </c>
      <c r="AD285" s="137">
        <f>Transportation_LCIA!H$61*($W285^Transportation_LCIA!H$60)+Transportation_LCIA!H$62</f>
        <v>4.1512367250764272E-4</v>
      </c>
      <c r="AE285" s="137">
        <f>Transportation_LCIA!I$61*($W285^Transportation_LCIA!I$60)+Transportation_LCIA!I$62</f>
        <v>9.4462147912456424E-6</v>
      </c>
      <c r="AF285" s="137">
        <f>Transportation_LCIA!J$61*($W285^Transportation_LCIA!J$60)+Transportation_LCIA!J$62</f>
        <v>1.4056688928173458E-2</v>
      </c>
      <c r="AG285" s="137">
        <f>Transportation_LCIA!K$61*($W285^Transportation_LCIA!K$60)+Transportation_LCIA!K$62</f>
        <v>1.7197090281413016E-2</v>
      </c>
      <c r="AH285" s="137">
        <f>Transportation_LCIA!L$61*($W285^Transportation_LCIA!L$60)+Transportation_LCIA!L$62</f>
        <v>3.6750532561619483E-4</v>
      </c>
      <c r="AI285" s="137">
        <f>Transportation_LCIA!M$61*($W285^Transportation_LCIA!M$60)+Transportation_LCIA!M$62</f>
        <v>3.1998211847213403E-4</v>
      </c>
      <c r="AJ285" s="137">
        <f>Transportation_LCIA!N$61*($W285^Transportation_LCIA!N$60)+Transportation_LCIA!N$62</f>
        <v>1.4544689729375109E-3</v>
      </c>
      <c r="AK285" s="137">
        <f>Transportation_LCIA!O$61*($W285^Transportation_LCIA!O$60)+Transportation_LCIA!O$62</f>
        <v>8.3144956399104825E-5</v>
      </c>
      <c r="AL285" s="137">
        <f>Transportation_LCIA!P$61*($W285^Transportation_LCIA!P$60)+Transportation_LCIA!P$62</f>
        <v>4.0132527605336209E-8</v>
      </c>
      <c r="AM285" s="137">
        <f>Transportation_LCIA!Q$61*($W285^Transportation_LCIA!Q$60)+Transportation_LCIA!Q$62</f>
        <v>1.4495151463949962E-4</v>
      </c>
      <c r="AN285" s="137">
        <f>Transportation_LCIA!R$61*($W285^Transportation_LCIA!R$60)+Transportation_LCIA!R$62</f>
        <v>4.5386843385268231E-4</v>
      </c>
      <c r="AO285" s="137">
        <f>Transportation_LCIA!S$61*($W285^Transportation_LCIA!S$60)+Transportation_LCIA!S$62</f>
        <v>6.6974509072146396E-6</v>
      </c>
      <c r="AP285" s="137">
        <f>Transportation_LCIA!T$61*($W285^Transportation_LCIA!T$60)+Transportation_LCIA!T$62</f>
        <v>6.6974509072146396E-6</v>
      </c>
      <c r="AQ285" s="137">
        <f>Transportation_LCIA!U$61*($W285^Transportation_LCIA!U$60)+Transportation_LCIA!U$62</f>
        <v>9.829225379503466E-4</v>
      </c>
      <c r="AR285" s="137">
        <f>Transportation_LCIA!V$61*($W285^Transportation_LCIA!V$60)+Transportation_LCIA!V$62</f>
        <v>3.7733288747447675E-4</v>
      </c>
      <c r="AT285" s="137">
        <f>$W285*Y285+$L285*Summary_LCIA!H$32</f>
        <v>199.66524165326624</v>
      </c>
      <c r="AU285" s="137">
        <f>$W285*Z285+$L285*Summary_LCIA!Q$32</f>
        <v>2232.0484690185122</v>
      </c>
      <c r="AV285" s="137">
        <f>$W285*AA285+$L285*Summary_LCIA!R$32</f>
        <v>1.3729729665191068</v>
      </c>
      <c r="AW285" s="137">
        <f>$W285*AB285+$L285*Summary_LCIA!S$32</f>
        <v>199.33021449326623</v>
      </c>
      <c r="AX285" s="137">
        <f>$W285*AC285+$L285*Summary_LCIA!T$32</f>
        <v>51.584478742600176</v>
      </c>
      <c r="AY285" s="137">
        <f>$W285*AD285+$L285*Summary_LCIA!U$32</f>
        <v>1.5864300111804071</v>
      </c>
      <c r="AZ285" s="137">
        <f>$W285*AE285+$L285*Summary_LCIA!V$32</f>
        <v>8.8216733839541969E-3</v>
      </c>
      <c r="BA285" s="137">
        <f>$W285*AF285+$L285*Summary_LCIA!W$32</f>
        <v>13.574454884277451</v>
      </c>
      <c r="BB285" s="137">
        <f>$W285*AG285+$L285*Summary_LCIA!X$32</f>
        <v>11.196123179645173</v>
      </c>
      <c r="BC285" s="137">
        <f>$W285*AH285+$L285*Summary_LCIA!Y$32</f>
        <v>1.3834484008045111</v>
      </c>
      <c r="BD285" s="137">
        <f>$W285*AI285+$L285*Summary_LCIA!Z$32</f>
        <v>0.17930407857658365</v>
      </c>
      <c r="BE285" s="137">
        <f>$W285*AJ285+$L285*Summary_LCIA!AA$32</f>
        <v>2.571230177265031</v>
      </c>
      <c r="BF285" s="137">
        <f>$W285*AK285+$L285*Summary_LCIA!AB$32</f>
        <v>4.4128987340035238E-2</v>
      </c>
      <c r="BG285" s="137">
        <f>$W285*AL285+$L285*Summary_LCIA!AC$32</f>
        <v>2.5803975322692171E-5</v>
      </c>
      <c r="BH285" s="137">
        <f>$W285*AM285+$L285*Summary_LCIA!AD$32</f>
        <v>0.11097244021984884</v>
      </c>
      <c r="BI285" s="137">
        <f>$W285*AN285+$L285*Summary_LCIA!AE$32</f>
        <v>0.31708602405458786</v>
      </c>
      <c r="BJ285" s="137">
        <f>$W285*AO285+$L285*Summary_LCIA!AF$32</f>
        <v>6.7769044695591932E-2</v>
      </c>
      <c r="BK285" s="137">
        <f>$W285*AP285+$L285*Summary_LCIA!AG$32</f>
        <v>7.5661042055919243E-3</v>
      </c>
      <c r="BL285" s="137">
        <f>$W285*AQ285+$L285*Summary_LCIA!AH$32</f>
        <v>1.2009541651695219</v>
      </c>
      <c r="BM285" s="137">
        <f>$W285*AR285+$L285*Summary_LCIA!AI$32</f>
        <v>0.27838506262311336</v>
      </c>
    </row>
    <row r="286" spans="1:65" x14ac:dyDescent="0.25">
      <c r="A286" s="149">
        <v>27</v>
      </c>
      <c r="B286" s="149">
        <v>6</v>
      </c>
      <c r="C286" s="61">
        <v>40.817663000000003</v>
      </c>
      <c r="D286" s="61">
        <v>-96.700036999999995</v>
      </c>
      <c r="E286" s="61" t="s">
        <v>265</v>
      </c>
      <c r="F286" s="149">
        <v>121</v>
      </c>
      <c r="G286" s="61" t="s">
        <v>287</v>
      </c>
      <c r="H286" s="61" t="s">
        <v>290</v>
      </c>
      <c r="I286" s="61">
        <v>41.301873000000001</v>
      </c>
      <c r="J286" s="61">
        <v>-95.893741000000006</v>
      </c>
      <c r="K286" s="61">
        <v>107.8641052</v>
      </c>
      <c r="L286" s="61">
        <v>100.626</v>
      </c>
      <c r="M286" s="61" t="s">
        <v>617</v>
      </c>
      <c r="N286" s="149">
        <v>5</v>
      </c>
      <c r="O286" s="149">
        <v>6</v>
      </c>
      <c r="P286" s="61" t="s">
        <v>565</v>
      </c>
      <c r="Q286" s="61" t="s">
        <v>564</v>
      </c>
      <c r="R286" s="61">
        <v>41.98028</v>
      </c>
      <c r="S286" s="61">
        <v>-87.908997900000003</v>
      </c>
      <c r="T286" s="61">
        <v>836.69100000000003</v>
      </c>
      <c r="U286" s="61" t="s">
        <v>617</v>
      </c>
      <c r="V286" s="61" t="s">
        <v>569</v>
      </c>
      <c r="W286" s="61" cm="1">
        <f t="array" ref="W286">getDistance(I286,J286,R286,S286)*SA!$B$12</f>
        <v>669.26749072627524</v>
      </c>
      <c r="Y286" s="137">
        <f>Transportation_LCIA!C$61*($W286^Transportation_LCIA!C$60)+Transportation_LCIA!C$62</f>
        <v>0.28504039049137575</v>
      </c>
      <c r="Z286" s="137">
        <f>Transportation_LCIA!D$61*($W286^Transportation_LCIA!D$60)+Transportation_LCIA!D$62</f>
        <v>3.0041649469674656</v>
      </c>
      <c r="AA286" s="137">
        <f>Transportation_LCIA!E$61*($W286^Transportation_LCIA!E$60)+Transportation_LCIA!E$62</f>
        <v>1.525706097435096E-3</v>
      </c>
      <c r="AB286" s="137">
        <f>Transportation_LCIA!F$61*($W286^Transportation_LCIA!F$60)+Transportation_LCIA!F$62</f>
        <v>0.28504039049137575</v>
      </c>
      <c r="AC286" s="137">
        <f>Transportation_LCIA!G$61*($W286^Transportation_LCIA!G$60)+Transportation_LCIA!G$62</f>
        <v>7.0068758885027033E-2</v>
      </c>
      <c r="AD286" s="137">
        <f>Transportation_LCIA!H$61*($W286^Transportation_LCIA!H$60)+Transportation_LCIA!H$62</f>
        <v>3.6107816379944279E-4</v>
      </c>
      <c r="AE286" s="137">
        <f>Transportation_LCIA!I$61*($W286^Transportation_LCIA!I$60)+Transportation_LCIA!I$62</f>
        <v>8.0591675714929097E-6</v>
      </c>
      <c r="AF286" s="137">
        <f>Transportation_LCIA!J$61*($W286^Transportation_LCIA!J$60)+Transportation_LCIA!J$62</f>
        <v>1.1964774828826928E-2</v>
      </c>
      <c r="AG286" s="137">
        <f>Transportation_LCIA!K$61*($W286^Transportation_LCIA!K$60)+Transportation_LCIA!K$62</f>
        <v>1.5195002827775642E-2</v>
      </c>
      <c r="AH286" s="137">
        <f>Transportation_LCIA!L$61*($W286^Transportation_LCIA!L$60)+Transportation_LCIA!L$62</f>
        <v>3.1754527567534542E-4</v>
      </c>
      <c r="AI286" s="137">
        <f>Transportation_LCIA!M$61*($W286^Transportation_LCIA!M$60)+Transportation_LCIA!M$62</f>
        <v>2.9013540374786794E-4</v>
      </c>
      <c r="AJ286" s="137">
        <f>Transportation_LCIA!N$61*($W286^Transportation_LCIA!N$60)+Transportation_LCIA!N$62</f>
        <v>1.2730376617698762E-3</v>
      </c>
      <c r="AK286" s="137">
        <f>Transportation_LCIA!O$61*($W286^Transportation_LCIA!O$60)+Transportation_LCIA!O$62</f>
        <v>7.4124631538667591E-5</v>
      </c>
      <c r="AL286" s="137">
        <f>Transportation_LCIA!P$61*($W286^Transportation_LCIA!P$60)+Transportation_LCIA!P$62</f>
        <v>3.5802611393451831E-8</v>
      </c>
      <c r="AM286" s="137">
        <f>Transportation_LCIA!Q$61*($W286^Transportation_LCIA!Q$60)+Transportation_LCIA!Q$62</f>
        <v>1.2535917081520263E-4</v>
      </c>
      <c r="AN286" s="137">
        <f>Transportation_LCIA!R$61*($W286^Transportation_LCIA!R$60)+Transportation_LCIA!R$62</f>
        <v>3.8732436662072014E-4</v>
      </c>
      <c r="AO286" s="137">
        <f>Transportation_LCIA!S$61*($W286^Transportation_LCIA!S$60)+Transportation_LCIA!S$62</f>
        <v>5.7538657024500324E-6</v>
      </c>
      <c r="AP286" s="137">
        <f>Transportation_LCIA!T$61*($W286^Transportation_LCIA!T$60)+Transportation_LCIA!T$62</f>
        <v>5.7538657024500324E-6</v>
      </c>
      <c r="AQ286" s="137">
        <f>Transportation_LCIA!U$61*($W286^Transportation_LCIA!U$60)+Transportation_LCIA!U$62</f>
        <v>8.3645465454341723E-4</v>
      </c>
      <c r="AR286" s="137">
        <f>Transportation_LCIA!V$61*($W286^Transportation_LCIA!V$60)+Transportation_LCIA!V$62</f>
        <v>3.2616855470196486E-4</v>
      </c>
      <c r="AT286" s="137">
        <f>$W286*Y286+$L286*Summary_LCIA!H$32</f>
        <v>224.9609816998007</v>
      </c>
      <c r="AU286" s="137">
        <f>$W286*Z286+$L286*Summary_LCIA!Q$32</f>
        <v>2509.2974666558075</v>
      </c>
      <c r="AV286" s="137">
        <f>$W286*AA286+$L286*Summary_LCIA!R$32</f>
        <v>1.5509617570161645</v>
      </c>
      <c r="AW286" s="137">
        <f>$W286*AB286+$L286*Summary_LCIA!S$32</f>
        <v>224.51621477980069</v>
      </c>
      <c r="AX286" s="137">
        <f>$W286*AC286+$L286*Summary_LCIA!T$32</f>
        <v>57.953539837286442</v>
      </c>
      <c r="AY286" s="137">
        <f>$W286*AD286+$L286*Summary_LCIA!U$32</f>
        <v>2.0442720406421042</v>
      </c>
      <c r="AZ286" s="137">
        <f>$W286*AE286+$L286*Summary_LCIA!V$32</f>
        <v>1.0199737243915629E-2</v>
      </c>
      <c r="BA286" s="137">
        <f>$W286*AF286+$L286*Summary_LCIA!W$32</f>
        <v>15.752918672793896</v>
      </c>
      <c r="BB286" s="137">
        <f>$W286*AG286+$L286*Summary_LCIA!X$32</f>
        <v>12.461781694124062</v>
      </c>
      <c r="BC286" s="137">
        <f>$W286*AH286+$L286*Summary_LCIA!Y$32</f>
        <v>1.7804770618432217</v>
      </c>
      <c r="BD286" s="137">
        <f>$W286*AI286+$L286*Summary_LCIA!Z$32</f>
        <v>0.19830476527119031</v>
      </c>
      <c r="BE286" s="137">
        <f>$W286*AJ286+$L286*Summary_LCIA!AA$32</f>
        <v>3.2022235774927696</v>
      </c>
      <c r="BF286" s="137">
        <f>$W286*AK286+$L286*Summary_LCIA!AB$32</f>
        <v>4.7413244952893778E-2</v>
      </c>
      <c r="BG286" s="137">
        <f>$W286*AL286+$L286*Summary_LCIA!AC$32</f>
        <v>2.8880525272743461E-5</v>
      </c>
      <c r="BH286" s="137">
        <f>$W286*AM286+$L286*Summary_LCIA!AD$32</f>
        <v>0.12526012873101716</v>
      </c>
      <c r="BI286" s="137">
        <f>$W286*AN286+$L286*Summary_LCIA!AE$32</f>
        <v>0.34839132432539327</v>
      </c>
      <c r="BJ286" s="137">
        <f>$W286*AO286+$L286*Summary_LCIA!AF$32</f>
        <v>8.8922108180654713E-2</v>
      </c>
      <c r="BK286" s="137">
        <f>$W286*AP286+$L286*Summary_LCIA!AG$32</f>
        <v>8.9994045506547101E-3</v>
      </c>
      <c r="BL286" s="137">
        <f>$W286*AQ286+$L286*Summary_LCIA!AH$32</f>
        <v>1.4356203613525864</v>
      </c>
      <c r="BM286" s="137">
        <f>$W286*AR286+$L286*Summary_LCIA!AI$32</f>
        <v>0.31203216045919985</v>
      </c>
    </row>
    <row r="287" spans="1:65" x14ac:dyDescent="0.25">
      <c r="A287" s="149">
        <v>28</v>
      </c>
      <c r="B287" s="149">
        <v>6</v>
      </c>
      <c r="C287" s="61">
        <v>40.817663000000003</v>
      </c>
      <c r="D287" s="61">
        <v>-96.700036999999995</v>
      </c>
      <c r="E287" s="61" t="s">
        <v>265</v>
      </c>
      <c r="F287" s="149">
        <v>121</v>
      </c>
      <c r="G287" s="61" t="s">
        <v>287</v>
      </c>
      <c r="H287" s="61" t="s">
        <v>290</v>
      </c>
      <c r="I287" s="61">
        <v>41.301873000000001</v>
      </c>
      <c r="J287" s="61">
        <v>-95.893741000000006</v>
      </c>
      <c r="K287" s="61">
        <v>107.8641052</v>
      </c>
      <c r="L287" s="61">
        <v>100.626</v>
      </c>
      <c r="M287" s="61" t="s">
        <v>617</v>
      </c>
      <c r="N287" s="149">
        <v>5</v>
      </c>
      <c r="O287" s="149">
        <v>6</v>
      </c>
      <c r="P287" s="61" t="s">
        <v>565</v>
      </c>
      <c r="Q287" s="61" t="s">
        <v>564</v>
      </c>
      <c r="R287" s="61">
        <v>41.98028</v>
      </c>
      <c r="S287" s="61">
        <v>-87.908997900000003</v>
      </c>
      <c r="T287" s="61">
        <v>836.69100000000003</v>
      </c>
      <c r="U287" s="61" t="s">
        <v>617</v>
      </c>
      <c r="V287" s="61" t="s">
        <v>569</v>
      </c>
      <c r="W287" s="61" cm="1">
        <f t="array" ref="W287">getDistance(I287,J287,R287,S287)*SA!$B$12</f>
        <v>669.26749072627524</v>
      </c>
      <c r="Y287" s="137">
        <f>Transportation_LCIA!C$61*($W287^Transportation_LCIA!C$60)+Transportation_LCIA!C$62</f>
        <v>0.28504039049137575</v>
      </c>
      <c r="Z287" s="137">
        <f>Transportation_LCIA!D$61*($W287^Transportation_LCIA!D$60)+Transportation_LCIA!D$62</f>
        <v>3.0041649469674656</v>
      </c>
      <c r="AA287" s="137">
        <f>Transportation_LCIA!E$61*($W287^Transportation_LCIA!E$60)+Transportation_LCIA!E$62</f>
        <v>1.525706097435096E-3</v>
      </c>
      <c r="AB287" s="137">
        <f>Transportation_LCIA!F$61*($W287^Transportation_LCIA!F$60)+Transportation_LCIA!F$62</f>
        <v>0.28504039049137575</v>
      </c>
      <c r="AC287" s="137">
        <f>Transportation_LCIA!G$61*($W287^Transportation_LCIA!G$60)+Transportation_LCIA!G$62</f>
        <v>7.0068758885027033E-2</v>
      </c>
      <c r="AD287" s="137">
        <f>Transportation_LCIA!H$61*($W287^Transportation_LCIA!H$60)+Transportation_LCIA!H$62</f>
        <v>3.6107816379944279E-4</v>
      </c>
      <c r="AE287" s="137">
        <f>Transportation_LCIA!I$61*($W287^Transportation_LCIA!I$60)+Transportation_LCIA!I$62</f>
        <v>8.0591675714929097E-6</v>
      </c>
      <c r="AF287" s="137">
        <f>Transportation_LCIA!J$61*($W287^Transportation_LCIA!J$60)+Transportation_LCIA!J$62</f>
        <v>1.1964774828826928E-2</v>
      </c>
      <c r="AG287" s="137">
        <f>Transportation_LCIA!K$61*($W287^Transportation_LCIA!K$60)+Transportation_LCIA!K$62</f>
        <v>1.5195002827775642E-2</v>
      </c>
      <c r="AH287" s="137">
        <f>Transportation_LCIA!L$61*($W287^Transportation_LCIA!L$60)+Transportation_LCIA!L$62</f>
        <v>3.1754527567534542E-4</v>
      </c>
      <c r="AI287" s="137">
        <f>Transportation_LCIA!M$61*($W287^Transportation_LCIA!M$60)+Transportation_LCIA!M$62</f>
        <v>2.9013540374786794E-4</v>
      </c>
      <c r="AJ287" s="137">
        <f>Transportation_LCIA!N$61*($W287^Transportation_LCIA!N$60)+Transportation_LCIA!N$62</f>
        <v>1.2730376617698762E-3</v>
      </c>
      <c r="AK287" s="137">
        <f>Transportation_LCIA!O$61*($W287^Transportation_LCIA!O$60)+Transportation_LCIA!O$62</f>
        <v>7.4124631538667591E-5</v>
      </c>
      <c r="AL287" s="137">
        <f>Transportation_LCIA!P$61*($W287^Transportation_LCIA!P$60)+Transportation_LCIA!P$62</f>
        <v>3.5802611393451831E-8</v>
      </c>
      <c r="AM287" s="137">
        <f>Transportation_LCIA!Q$61*($W287^Transportation_LCIA!Q$60)+Transportation_LCIA!Q$62</f>
        <v>1.2535917081520263E-4</v>
      </c>
      <c r="AN287" s="137">
        <f>Transportation_LCIA!R$61*($W287^Transportation_LCIA!R$60)+Transportation_LCIA!R$62</f>
        <v>3.8732436662072014E-4</v>
      </c>
      <c r="AO287" s="137">
        <f>Transportation_LCIA!S$61*($W287^Transportation_LCIA!S$60)+Transportation_LCIA!S$62</f>
        <v>5.7538657024500324E-6</v>
      </c>
      <c r="AP287" s="137">
        <f>Transportation_LCIA!T$61*($W287^Transportation_LCIA!T$60)+Transportation_LCIA!T$62</f>
        <v>5.7538657024500324E-6</v>
      </c>
      <c r="AQ287" s="137">
        <f>Transportation_LCIA!U$61*($W287^Transportation_LCIA!U$60)+Transportation_LCIA!U$62</f>
        <v>8.3645465454341723E-4</v>
      </c>
      <c r="AR287" s="137">
        <f>Transportation_LCIA!V$61*($W287^Transportation_LCIA!V$60)+Transportation_LCIA!V$62</f>
        <v>3.2616855470196486E-4</v>
      </c>
      <c r="AT287" s="137">
        <f>$W287*Y287+$L287*Summary_LCIA!H$32</f>
        <v>224.9609816998007</v>
      </c>
      <c r="AU287" s="137">
        <f>$W287*Z287+$L287*Summary_LCIA!Q$32</f>
        <v>2509.2974666558075</v>
      </c>
      <c r="AV287" s="137">
        <f>$W287*AA287+$L287*Summary_LCIA!R$32</f>
        <v>1.5509617570161645</v>
      </c>
      <c r="AW287" s="137">
        <f>$W287*AB287+$L287*Summary_LCIA!S$32</f>
        <v>224.51621477980069</v>
      </c>
      <c r="AX287" s="137">
        <f>$W287*AC287+$L287*Summary_LCIA!T$32</f>
        <v>57.953539837286442</v>
      </c>
      <c r="AY287" s="137">
        <f>$W287*AD287+$L287*Summary_LCIA!U$32</f>
        <v>2.0442720406421042</v>
      </c>
      <c r="AZ287" s="137">
        <f>$W287*AE287+$L287*Summary_LCIA!V$32</f>
        <v>1.0199737243915629E-2</v>
      </c>
      <c r="BA287" s="137">
        <f>$W287*AF287+$L287*Summary_LCIA!W$32</f>
        <v>15.752918672793896</v>
      </c>
      <c r="BB287" s="137">
        <f>$W287*AG287+$L287*Summary_LCIA!X$32</f>
        <v>12.461781694124062</v>
      </c>
      <c r="BC287" s="137">
        <f>$W287*AH287+$L287*Summary_LCIA!Y$32</f>
        <v>1.7804770618432217</v>
      </c>
      <c r="BD287" s="137">
        <f>$W287*AI287+$L287*Summary_LCIA!Z$32</f>
        <v>0.19830476527119031</v>
      </c>
      <c r="BE287" s="137">
        <f>$W287*AJ287+$L287*Summary_LCIA!AA$32</f>
        <v>3.2022235774927696</v>
      </c>
      <c r="BF287" s="137">
        <f>$W287*AK287+$L287*Summary_LCIA!AB$32</f>
        <v>4.7413244952893778E-2</v>
      </c>
      <c r="BG287" s="137">
        <f>$W287*AL287+$L287*Summary_LCIA!AC$32</f>
        <v>2.8880525272743461E-5</v>
      </c>
      <c r="BH287" s="137">
        <f>$W287*AM287+$L287*Summary_LCIA!AD$32</f>
        <v>0.12526012873101716</v>
      </c>
      <c r="BI287" s="137">
        <f>$W287*AN287+$L287*Summary_LCIA!AE$32</f>
        <v>0.34839132432539327</v>
      </c>
      <c r="BJ287" s="137">
        <f>$W287*AO287+$L287*Summary_LCIA!AF$32</f>
        <v>8.8922108180654713E-2</v>
      </c>
      <c r="BK287" s="137">
        <f>$W287*AP287+$L287*Summary_LCIA!AG$32</f>
        <v>8.9994045506547101E-3</v>
      </c>
      <c r="BL287" s="137">
        <f>$W287*AQ287+$L287*Summary_LCIA!AH$32</f>
        <v>1.4356203613525864</v>
      </c>
      <c r="BM287" s="137">
        <f>$W287*AR287+$L287*Summary_LCIA!AI$32</f>
        <v>0.31203216045919985</v>
      </c>
    </row>
    <row r="288" spans="1:65" x14ac:dyDescent="0.25">
      <c r="A288" s="149">
        <v>29</v>
      </c>
      <c r="B288" s="149">
        <v>6</v>
      </c>
      <c r="C288" s="61">
        <v>40.817663000000003</v>
      </c>
      <c r="D288" s="61">
        <v>-96.700036999999995</v>
      </c>
      <c r="E288" s="61" t="s">
        <v>265</v>
      </c>
      <c r="F288" s="149">
        <v>121</v>
      </c>
      <c r="G288" s="61" t="s">
        <v>287</v>
      </c>
      <c r="H288" s="61" t="s">
        <v>290</v>
      </c>
      <c r="I288" s="61">
        <v>41.301873000000001</v>
      </c>
      <c r="J288" s="61">
        <v>-95.893741000000006</v>
      </c>
      <c r="K288" s="61">
        <v>107.8641052</v>
      </c>
      <c r="L288" s="61">
        <v>100.626</v>
      </c>
      <c r="M288" s="61" t="s">
        <v>617</v>
      </c>
      <c r="N288" s="149">
        <v>5</v>
      </c>
      <c r="O288" s="149">
        <v>6</v>
      </c>
      <c r="P288" s="61" t="s">
        <v>565</v>
      </c>
      <c r="Q288" s="61" t="s">
        <v>564</v>
      </c>
      <c r="R288" s="61">
        <v>41.98028</v>
      </c>
      <c r="S288" s="61">
        <v>-87.908997900000003</v>
      </c>
      <c r="T288" s="61">
        <v>836.69100000000003</v>
      </c>
      <c r="U288" s="61" t="s">
        <v>617</v>
      </c>
      <c r="V288" s="61" t="s">
        <v>569</v>
      </c>
      <c r="W288" s="61" cm="1">
        <f t="array" ref="W288">getDistance(I288,J288,R288,S288)*SA!$B$12</f>
        <v>669.26749072627524</v>
      </c>
      <c r="Y288" s="137">
        <f>Transportation_LCIA!C$61*($W288^Transportation_LCIA!C$60)+Transportation_LCIA!C$62</f>
        <v>0.28504039049137575</v>
      </c>
      <c r="Z288" s="137">
        <f>Transportation_LCIA!D$61*($W288^Transportation_LCIA!D$60)+Transportation_LCIA!D$62</f>
        <v>3.0041649469674656</v>
      </c>
      <c r="AA288" s="137">
        <f>Transportation_LCIA!E$61*($W288^Transportation_LCIA!E$60)+Transportation_LCIA!E$62</f>
        <v>1.525706097435096E-3</v>
      </c>
      <c r="AB288" s="137">
        <f>Transportation_LCIA!F$61*($W288^Transportation_LCIA!F$60)+Transportation_LCIA!F$62</f>
        <v>0.28504039049137575</v>
      </c>
      <c r="AC288" s="137">
        <f>Transportation_LCIA!G$61*($W288^Transportation_LCIA!G$60)+Transportation_LCIA!G$62</f>
        <v>7.0068758885027033E-2</v>
      </c>
      <c r="AD288" s="137">
        <f>Transportation_LCIA!H$61*($W288^Transportation_LCIA!H$60)+Transportation_LCIA!H$62</f>
        <v>3.6107816379944279E-4</v>
      </c>
      <c r="AE288" s="137">
        <f>Transportation_LCIA!I$61*($W288^Transportation_LCIA!I$60)+Transportation_LCIA!I$62</f>
        <v>8.0591675714929097E-6</v>
      </c>
      <c r="AF288" s="137">
        <f>Transportation_LCIA!J$61*($W288^Transportation_LCIA!J$60)+Transportation_LCIA!J$62</f>
        <v>1.1964774828826928E-2</v>
      </c>
      <c r="AG288" s="137">
        <f>Transportation_LCIA!K$61*($W288^Transportation_LCIA!K$60)+Transportation_LCIA!K$62</f>
        <v>1.5195002827775642E-2</v>
      </c>
      <c r="AH288" s="137">
        <f>Transportation_LCIA!L$61*($W288^Transportation_LCIA!L$60)+Transportation_LCIA!L$62</f>
        <v>3.1754527567534542E-4</v>
      </c>
      <c r="AI288" s="137">
        <f>Transportation_LCIA!M$61*($W288^Transportation_LCIA!M$60)+Transportation_LCIA!M$62</f>
        <v>2.9013540374786794E-4</v>
      </c>
      <c r="AJ288" s="137">
        <f>Transportation_LCIA!N$61*($W288^Transportation_LCIA!N$60)+Transportation_LCIA!N$62</f>
        <v>1.2730376617698762E-3</v>
      </c>
      <c r="AK288" s="137">
        <f>Transportation_LCIA!O$61*($W288^Transportation_LCIA!O$60)+Transportation_LCIA!O$62</f>
        <v>7.4124631538667591E-5</v>
      </c>
      <c r="AL288" s="137">
        <f>Transportation_LCIA!P$61*($W288^Transportation_LCIA!P$60)+Transportation_LCIA!P$62</f>
        <v>3.5802611393451831E-8</v>
      </c>
      <c r="AM288" s="137">
        <f>Transportation_LCIA!Q$61*($W288^Transportation_LCIA!Q$60)+Transportation_LCIA!Q$62</f>
        <v>1.2535917081520263E-4</v>
      </c>
      <c r="AN288" s="137">
        <f>Transportation_LCIA!R$61*($W288^Transportation_LCIA!R$60)+Transportation_LCIA!R$62</f>
        <v>3.8732436662072014E-4</v>
      </c>
      <c r="AO288" s="137">
        <f>Transportation_LCIA!S$61*($W288^Transportation_LCIA!S$60)+Transportation_LCIA!S$62</f>
        <v>5.7538657024500324E-6</v>
      </c>
      <c r="AP288" s="137">
        <f>Transportation_LCIA!T$61*($W288^Transportation_LCIA!T$60)+Transportation_LCIA!T$62</f>
        <v>5.7538657024500324E-6</v>
      </c>
      <c r="AQ288" s="137">
        <f>Transportation_LCIA!U$61*($W288^Transportation_LCIA!U$60)+Transportation_LCIA!U$62</f>
        <v>8.3645465454341723E-4</v>
      </c>
      <c r="AR288" s="137">
        <f>Transportation_LCIA!V$61*($W288^Transportation_LCIA!V$60)+Transportation_LCIA!V$62</f>
        <v>3.2616855470196486E-4</v>
      </c>
      <c r="AT288" s="137">
        <f>$W288*Y288+$L288*Summary_LCIA!H$32</f>
        <v>224.9609816998007</v>
      </c>
      <c r="AU288" s="137">
        <f>$W288*Z288+$L288*Summary_LCIA!Q$32</f>
        <v>2509.2974666558075</v>
      </c>
      <c r="AV288" s="137">
        <f>$W288*AA288+$L288*Summary_LCIA!R$32</f>
        <v>1.5509617570161645</v>
      </c>
      <c r="AW288" s="137">
        <f>$W288*AB288+$L288*Summary_LCIA!S$32</f>
        <v>224.51621477980069</v>
      </c>
      <c r="AX288" s="137">
        <f>$W288*AC288+$L288*Summary_LCIA!T$32</f>
        <v>57.953539837286442</v>
      </c>
      <c r="AY288" s="137">
        <f>$W288*AD288+$L288*Summary_LCIA!U$32</f>
        <v>2.0442720406421042</v>
      </c>
      <c r="AZ288" s="137">
        <f>$W288*AE288+$L288*Summary_LCIA!V$32</f>
        <v>1.0199737243915629E-2</v>
      </c>
      <c r="BA288" s="137">
        <f>$W288*AF288+$L288*Summary_LCIA!W$32</f>
        <v>15.752918672793896</v>
      </c>
      <c r="BB288" s="137">
        <f>$W288*AG288+$L288*Summary_LCIA!X$32</f>
        <v>12.461781694124062</v>
      </c>
      <c r="BC288" s="137">
        <f>$W288*AH288+$L288*Summary_LCIA!Y$32</f>
        <v>1.7804770618432217</v>
      </c>
      <c r="BD288" s="137">
        <f>$W288*AI288+$L288*Summary_LCIA!Z$32</f>
        <v>0.19830476527119031</v>
      </c>
      <c r="BE288" s="137">
        <f>$W288*AJ288+$L288*Summary_LCIA!AA$32</f>
        <v>3.2022235774927696</v>
      </c>
      <c r="BF288" s="137">
        <f>$W288*AK288+$L288*Summary_LCIA!AB$32</f>
        <v>4.7413244952893778E-2</v>
      </c>
      <c r="BG288" s="137">
        <f>$W288*AL288+$L288*Summary_LCIA!AC$32</f>
        <v>2.8880525272743461E-5</v>
      </c>
      <c r="BH288" s="137">
        <f>$W288*AM288+$L288*Summary_LCIA!AD$32</f>
        <v>0.12526012873101716</v>
      </c>
      <c r="BI288" s="137">
        <f>$W288*AN288+$L288*Summary_LCIA!AE$32</f>
        <v>0.34839132432539327</v>
      </c>
      <c r="BJ288" s="137">
        <f>$W288*AO288+$L288*Summary_LCIA!AF$32</f>
        <v>8.8922108180654713E-2</v>
      </c>
      <c r="BK288" s="137">
        <f>$W288*AP288+$L288*Summary_LCIA!AG$32</f>
        <v>8.9994045506547101E-3</v>
      </c>
      <c r="BL288" s="137">
        <f>$W288*AQ288+$L288*Summary_LCIA!AH$32</f>
        <v>1.4356203613525864</v>
      </c>
      <c r="BM288" s="137">
        <f>$W288*AR288+$L288*Summary_LCIA!AI$32</f>
        <v>0.31203216045919985</v>
      </c>
    </row>
    <row r="289" spans="1:65" x14ac:dyDescent="0.25">
      <c r="A289" s="149">
        <v>30</v>
      </c>
      <c r="B289" s="149">
        <v>6</v>
      </c>
      <c r="C289" s="61">
        <v>40.817663000000003</v>
      </c>
      <c r="D289" s="61">
        <v>-96.700036999999995</v>
      </c>
      <c r="E289" s="61" t="s">
        <v>265</v>
      </c>
      <c r="F289" s="149">
        <v>121</v>
      </c>
      <c r="G289" s="61" t="s">
        <v>287</v>
      </c>
      <c r="H289" s="61" t="s">
        <v>290</v>
      </c>
      <c r="I289" s="61">
        <v>41.301873000000001</v>
      </c>
      <c r="J289" s="61">
        <v>-95.893741000000006</v>
      </c>
      <c r="K289" s="61">
        <v>107.8641052</v>
      </c>
      <c r="L289" s="61">
        <v>100.626</v>
      </c>
      <c r="M289" s="61" t="s">
        <v>617</v>
      </c>
      <c r="N289" s="149">
        <v>5</v>
      </c>
      <c r="O289" s="149">
        <v>6</v>
      </c>
      <c r="P289" s="61" t="s">
        <v>565</v>
      </c>
      <c r="Q289" s="61" t="s">
        <v>564</v>
      </c>
      <c r="R289" s="61">
        <v>41.98028</v>
      </c>
      <c r="S289" s="61">
        <v>-87.908997900000003</v>
      </c>
      <c r="T289" s="61">
        <v>836.69100000000003</v>
      </c>
      <c r="U289" s="61" t="s">
        <v>617</v>
      </c>
      <c r="V289" s="61" t="s">
        <v>569</v>
      </c>
      <c r="W289" s="61" cm="1">
        <f t="array" ref="W289">getDistance(I289,J289,R289,S289)*SA!$B$12</f>
        <v>669.26749072627524</v>
      </c>
      <c r="Y289" s="137">
        <f>Transportation_LCIA!C$61*($W289^Transportation_LCIA!C$60)+Transportation_LCIA!C$62</f>
        <v>0.28504039049137575</v>
      </c>
      <c r="Z289" s="137">
        <f>Transportation_LCIA!D$61*($W289^Transportation_LCIA!D$60)+Transportation_LCIA!D$62</f>
        <v>3.0041649469674656</v>
      </c>
      <c r="AA289" s="137">
        <f>Transportation_LCIA!E$61*($W289^Transportation_LCIA!E$60)+Transportation_LCIA!E$62</f>
        <v>1.525706097435096E-3</v>
      </c>
      <c r="AB289" s="137">
        <f>Transportation_LCIA!F$61*($W289^Transportation_LCIA!F$60)+Transportation_LCIA!F$62</f>
        <v>0.28504039049137575</v>
      </c>
      <c r="AC289" s="137">
        <f>Transportation_LCIA!G$61*($W289^Transportation_LCIA!G$60)+Transportation_LCIA!G$62</f>
        <v>7.0068758885027033E-2</v>
      </c>
      <c r="AD289" s="137">
        <f>Transportation_LCIA!H$61*($W289^Transportation_LCIA!H$60)+Transportation_LCIA!H$62</f>
        <v>3.6107816379944279E-4</v>
      </c>
      <c r="AE289" s="137">
        <f>Transportation_LCIA!I$61*($W289^Transportation_LCIA!I$60)+Transportation_LCIA!I$62</f>
        <v>8.0591675714929097E-6</v>
      </c>
      <c r="AF289" s="137">
        <f>Transportation_LCIA!J$61*($W289^Transportation_LCIA!J$60)+Transportation_LCIA!J$62</f>
        <v>1.1964774828826928E-2</v>
      </c>
      <c r="AG289" s="137">
        <f>Transportation_LCIA!K$61*($W289^Transportation_LCIA!K$60)+Transportation_LCIA!K$62</f>
        <v>1.5195002827775642E-2</v>
      </c>
      <c r="AH289" s="137">
        <f>Transportation_LCIA!L$61*($W289^Transportation_LCIA!L$60)+Transportation_LCIA!L$62</f>
        <v>3.1754527567534542E-4</v>
      </c>
      <c r="AI289" s="137">
        <f>Transportation_LCIA!M$61*($W289^Transportation_LCIA!M$60)+Transportation_LCIA!M$62</f>
        <v>2.9013540374786794E-4</v>
      </c>
      <c r="AJ289" s="137">
        <f>Transportation_LCIA!N$61*($W289^Transportation_LCIA!N$60)+Transportation_LCIA!N$62</f>
        <v>1.2730376617698762E-3</v>
      </c>
      <c r="AK289" s="137">
        <f>Transportation_LCIA!O$61*($W289^Transportation_LCIA!O$60)+Transportation_LCIA!O$62</f>
        <v>7.4124631538667591E-5</v>
      </c>
      <c r="AL289" s="137">
        <f>Transportation_LCIA!P$61*($W289^Transportation_LCIA!P$60)+Transportation_LCIA!P$62</f>
        <v>3.5802611393451831E-8</v>
      </c>
      <c r="AM289" s="137">
        <f>Transportation_LCIA!Q$61*($W289^Transportation_LCIA!Q$60)+Transportation_LCIA!Q$62</f>
        <v>1.2535917081520263E-4</v>
      </c>
      <c r="AN289" s="137">
        <f>Transportation_LCIA!R$61*($W289^Transportation_LCIA!R$60)+Transportation_LCIA!R$62</f>
        <v>3.8732436662072014E-4</v>
      </c>
      <c r="AO289" s="137">
        <f>Transportation_LCIA!S$61*($W289^Transportation_LCIA!S$60)+Transportation_LCIA!S$62</f>
        <v>5.7538657024500324E-6</v>
      </c>
      <c r="AP289" s="137">
        <f>Transportation_LCIA!T$61*($W289^Transportation_LCIA!T$60)+Transportation_LCIA!T$62</f>
        <v>5.7538657024500324E-6</v>
      </c>
      <c r="AQ289" s="137">
        <f>Transportation_LCIA!U$61*($W289^Transportation_LCIA!U$60)+Transportation_LCIA!U$62</f>
        <v>8.3645465454341723E-4</v>
      </c>
      <c r="AR289" s="137">
        <f>Transportation_LCIA!V$61*($W289^Transportation_LCIA!V$60)+Transportation_LCIA!V$62</f>
        <v>3.2616855470196486E-4</v>
      </c>
      <c r="AT289" s="137">
        <f>$W289*Y289+$L289*Summary_LCIA!H$32</f>
        <v>224.9609816998007</v>
      </c>
      <c r="AU289" s="137">
        <f>$W289*Z289+$L289*Summary_LCIA!Q$32</f>
        <v>2509.2974666558075</v>
      </c>
      <c r="AV289" s="137">
        <f>$W289*AA289+$L289*Summary_LCIA!R$32</f>
        <v>1.5509617570161645</v>
      </c>
      <c r="AW289" s="137">
        <f>$W289*AB289+$L289*Summary_LCIA!S$32</f>
        <v>224.51621477980069</v>
      </c>
      <c r="AX289" s="137">
        <f>$W289*AC289+$L289*Summary_LCIA!T$32</f>
        <v>57.953539837286442</v>
      </c>
      <c r="AY289" s="137">
        <f>$W289*AD289+$L289*Summary_LCIA!U$32</f>
        <v>2.0442720406421042</v>
      </c>
      <c r="AZ289" s="137">
        <f>$W289*AE289+$L289*Summary_LCIA!V$32</f>
        <v>1.0199737243915629E-2</v>
      </c>
      <c r="BA289" s="137">
        <f>$W289*AF289+$L289*Summary_LCIA!W$32</f>
        <v>15.752918672793896</v>
      </c>
      <c r="BB289" s="137">
        <f>$W289*AG289+$L289*Summary_LCIA!X$32</f>
        <v>12.461781694124062</v>
      </c>
      <c r="BC289" s="137">
        <f>$W289*AH289+$L289*Summary_LCIA!Y$32</f>
        <v>1.7804770618432217</v>
      </c>
      <c r="BD289" s="137">
        <f>$W289*AI289+$L289*Summary_LCIA!Z$32</f>
        <v>0.19830476527119031</v>
      </c>
      <c r="BE289" s="137">
        <f>$W289*AJ289+$L289*Summary_LCIA!AA$32</f>
        <v>3.2022235774927696</v>
      </c>
      <c r="BF289" s="137">
        <f>$W289*AK289+$L289*Summary_LCIA!AB$32</f>
        <v>4.7413244952893778E-2</v>
      </c>
      <c r="BG289" s="137">
        <f>$W289*AL289+$L289*Summary_LCIA!AC$32</f>
        <v>2.8880525272743461E-5</v>
      </c>
      <c r="BH289" s="137">
        <f>$W289*AM289+$L289*Summary_LCIA!AD$32</f>
        <v>0.12526012873101716</v>
      </c>
      <c r="BI289" s="137">
        <f>$W289*AN289+$L289*Summary_LCIA!AE$32</f>
        <v>0.34839132432539327</v>
      </c>
      <c r="BJ289" s="137">
        <f>$W289*AO289+$L289*Summary_LCIA!AF$32</f>
        <v>8.8922108180654713E-2</v>
      </c>
      <c r="BK289" s="137">
        <f>$W289*AP289+$L289*Summary_LCIA!AG$32</f>
        <v>8.9994045506547101E-3</v>
      </c>
      <c r="BL289" s="137">
        <f>$W289*AQ289+$L289*Summary_LCIA!AH$32</f>
        <v>1.4356203613525864</v>
      </c>
      <c r="BM289" s="137">
        <f>$W289*AR289+$L289*Summary_LCIA!AI$32</f>
        <v>0.31203216045919985</v>
      </c>
    </row>
    <row r="290" spans="1:65" x14ac:dyDescent="0.25">
      <c r="A290" s="149">
        <v>31</v>
      </c>
      <c r="B290" s="149">
        <v>6</v>
      </c>
      <c r="C290" s="61">
        <v>40.817663000000003</v>
      </c>
      <c r="D290" s="61">
        <v>-96.700036999999995</v>
      </c>
      <c r="E290" s="61" t="s">
        <v>265</v>
      </c>
      <c r="F290" s="149">
        <v>121</v>
      </c>
      <c r="G290" s="61" t="s">
        <v>287</v>
      </c>
      <c r="H290" s="61" t="s">
        <v>290</v>
      </c>
      <c r="I290" s="61">
        <v>41.301873000000001</v>
      </c>
      <c r="J290" s="61">
        <v>-95.893741000000006</v>
      </c>
      <c r="K290" s="61">
        <v>107.8641052</v>
      </c>
      <c r="L290" s="61">
        <v>100.626</v>
      </c>
      <c r="M290" s="61" t="s">
        <v>617</v>
      </c>
      <c r="N290" s="149">
        <v>5</v>
      </c>
      <c r="O290" s="149">
        <v>6</v>
      </c>
      <c r="P290" s="61" t="s">
        <v>565</v>
      </c>
      <c r="Q290" s="61" t="s">
        <v>564</v>
      </c>
      <c r="R290" s="61">
        <v>41.98028</v>
      </c>
      <c r="S290" s="61">
        <v>-87.908997900000003</v>
      </c>
      <c r="T290" s="61">
        <v>836.69100000000003</v>
      </c>
      <c r="U290" s="61" t="s">
        <v>617</v>
      </c>
      <c r="V290" s="61" t="s">
        <v>569</v>
      </c>
      <c r="W290" s="61" cm="1">
        <f t="array" ref="W290">getDistance(I290,J290,R290,S290)*SA!$B$12</f>
        <v>669.26749072627524</v>
      </c>
      <c r="Y290" s="137">
        <f>Transportation_LCIA!C$61*($W290^Transportation_LCIA!C$60)+Transportation_LCIA!C$62</f>
        <v>0.28504039049137575</v>
      </c>
      <c r="Z290" s="137">
        <f>Transportation_LCIA!D$61*($W290^Transportation_LCIA!D$60)+Transportation_LCIA!D$62</f>
        <v>3.0041649469674656</v>
      </c>
      <c r="AA290" s="137">
        <f>Transportation_LCIA!E$61*($W290^Transportation_LCIA!E$60)+Transportation_LCIA!E$62</f>
        <v>1.525706097435096E-3</v>
      </c>
      <c r="AB290" s="137">
        <f>Transportation_LCIA!F$61*($W290^Transportation_LCIA!F$60)+Transportation_LCIA!F$62</f>
        <v>0.28504039049137575</v>
      </c>
      <c r="AC290" s="137">
        <f>Transportation_LCIA!G$61*($W290^Transportation_LCIA!G$60)+Transportation_LCIA!G$62</f>
        <v>7.0068758885027033E-2</v>
      </c>
      <c r="AD290" s="137">
        <f>Transportation_LCIA!H$61*($W290^Transportation_LCIA!H$60)+Transportation_LCIA!H$62</f>
        <v>3.6107816379944279E-4</v>
      </c>
      <c r="AE290" s="137">
        <f>Transportation_LCIA!I$61*($W290^Transportation_LCIA!I$60)+Transportation_LCIA!I$62</f>
        <v>8.0591675714929097E-6</v>
      </c>
      <c r="AF290" s="137">
        <f>Transportation_LCIA!J$61*($W290^Transportation_LCIA!J$60)+Transportation_LCIA!J$62</f>
        <v>1.1964774828826928E-2</v>
      </c>
      <c r="AG290" s="137">
        <f>Transportation_LCIA!K$61*($W290^Transportation_LCIA!K$60)+Transportation_LCIA!K$62</f>
        <v>1.5195002827775642E-2</v>
      </c>
      <c r="AH290" s="137">
        <f>Transportation_LCIA!L$61*($W290^Transportation_LCIA!L$60)+Transportation_LCIA!L$62</f>
        <v>3.1754527567534542E-4</v>
      </c>
      <c r="AI290" s="137">
        <f>Transportation_LCIA!M$61*($W290^Transportation_LCIA!M$60)+Transportation_LCIA!M$62</f>
        <v>2.9013540374786794E-4</v>
      </c>
      <c r="AJ290" s="137">
        <f>Transportation_LCIA!N$61*($W290^Transportation_LCIA!N$60)+Transportation_LCIA!N$62</f>
        <v>1.2730376617698762E-3</v>
      </c>
      <c r="AK290" s="137">
        <f>Transportation_LCIA!O$61*($W290^Transportation_LCIA!O$60)+Transportation_LCIA!O$62</f>
        <v>7.4124631538667591E-5</v>
      </c>
      <c r="AL290" s="137">
        <f>Transportation_LCIA!P$61*($W290^Transportation_LCIA!P$60)+Transportation_LCIA!P$62</f>
        <v>3.5802611393451831E-8</v>
      </c>
      <c r="AM290" s="137">
        <f>Transportation_LCIA!Q$61*($W290^Transportation_LCIA!Q$60)+Transportation_LCIA!Q$62</f>
        <v>1.2535917081520263E-4</v>
      </c>
      <c r="AN290" s="137">
        <f>Transportation_LCIA!R$61*($W290^Transportation_LCIA!R$60)+Transportation_LCIA!R$62</f>
        <v>3.8732436662072014E-4</v>
      </c>
      <c r="AO290" s="137">
        <f>Transportation_LCIA!S$61*($W290^Transportation_LCIA!S$60)+Transportation_LCIA!S$62</f>
        <v>5.7538657024500324E-6</v>
      </c>
      <c r="AP290" s="137">
        <f>Transportation_LCIA!T$61*($W290^Transportation_LCIA!T$60)+Transportation_LCIA!T$62</f>
        <v>5.7538657024500324E-6</v>
      </c>
      <c r="AQ290" s="137">
        <f>Transportation_LCIA!U$61*($W290^Transportation_LCIA!U$60)+Transportation_LCIA!U$62</f>
        <v>8.3645465454341723E-4</v>
      </c>
      <c r="AR290" s="137">
        <f>Transportation_LCIA!V$61*($W290^Transportation_LCIA!V$60)+Transportation_LCIA!V$62</f>
        <v>3.2616855470196486E-4</v>
      </c>
      <c r="AT290" s="137">
        <f>$W290*Y290+$L290*Summary_LCIA!H$32</f>
        <v>224.9609816998007</v>
      </c>
      <c r="AU290" s="137">
        <f>$W290*Z290+$L290*Summary_LCIA!Q$32</f>
        <v>2509.2974666558075</v>
      </c>
      <c r="AV290" s="137">
        <f>$W290*AA290+$L290*Summary_LCIA!R$32</f>
        <v>1.5509617570161645</v>
      </c>
      <c r="AW290" s="137">
        <f>$W290*AB290+$L290*Summary_LCIA!S$32</f>
        <v>224.51621477980069</v>
      </c>
      <c r="AX290" s="137">
        <f>$W290*AC290+$L290*Summary_LCIA!T$32</f>
        <v>57.953539837286442</v>
      </c>
      <c r="AY290" s="137">
        <f>$W290*AD290+$L290*Summary_LCIA!U$32</f>
        <v>2.0442720406421042</v>
      </c>
      <c r="AZ290" s="137">
        <f>$W290*AE290+$L290*Summary_LCIA!V$32</f>
        <v>1.0199737243915629E-2</v>
      </c>
      <c r="BA290" s="137">
        <f>$W290*AF290+$L290*Summary_LCIA!W$32</f>
        <v>15.752918672793896</v>
      </c>
      <c r="BB290" s="137">
        <f>$W290*AG290+$L290*Summary_LCIA!X$32</f>
        <v>12.461781694124062</v>
      </c>
      <c r="BC290" s="137">
        <f>$W290*AH290+$L290*Summary_LCIA!Y$32</f>
        <v>1.7804770618432217</v>
      </c>
      <c r="BD290" s="137">
        <f>$W290*AI290+$L290*Summary_LCIA!Z$32</f>
        <v>0.19830476527119031</v>
      </c>
      <c r="BE290" s="137">
        <f>$W290*AJ290+$L290*Summary_LCIA!AA$32</f>
        <v>3.2022235774927696</v>
      </c>
      <c r="BF290" s="137">
        <f>$W290*AK290+$L290*Summary_LCIA!AB$32</f>
        <v>4.7413244952893778E-2</v>
      </c>
      <c r="BG290" s="137">
        <f>$W290*AL290+$L290*Summary_LCIA!AC$32</f>
        <v>2.8880525272743461E-5</v>
      </c>
      <c r="BH290" s="137">
        <f>$W290*AM290+$L290*Summary_LCIA!AD$32</f>
        <v>0.12526012873101716</v>
      </c>
      <c r="BI290" s="137">
        <f>$W290*AN290+$L290*Summary_LCIA!AE$32</f>
        <v>0.34839132432539327</v>
      </c>
      <c r="BJ290" s="137">
        <f>$W290*AO290+$L290*Summary_LCIA!AF$32</f>
        <v>8.8922108180654713E-2</v>
      </c>
      <c r="BK290" s="137">
        <f>$W290*AP290+$L290*Summary_LCIA!AG$32</f>
        <v>8.9994045506547101E-3</v>
      </c>
      <c r="BL290" s="137">
        <f>$W290*AQ290+$L290*Summary_LCIA!AH$32</f>
        <v>1.4356203613525864</v>
      </c>
      <c r="BM290" s="137">
        <f>$W290*AR290+$L290*Summary_LCIA!AI$32</f>
        <v>0.31203216045919985</v>
      </c>
    </row>
    <row r="291" spans="1:65" x14ac:dyDescent="0.25">
      <c r="A291" s="149">
        <v>32</v>
      </c>
      <c r="B291" s="149">
        <v>6</v>
      </c>
      <c r="C291" s="61">
        <v>40.817663000000003</v>
      </c>
      <c r="D291" s="61">
        <v>-96.700036999999995</v>
      </c>
      <c r="E291" s="61" t="s">
        <v>265</v>
      </c>
      <c r="F291" s="149">
        <v>121</v>
      </c>
      <c r="G291" s="61" t="s">
        <v>287</v>
      </c>
      <c r="H291" s="61" t="s">
        <v>290</v>
      </c>
      <c r="I291" s="61">
        <v>41.301873000000001</v>
      </c>
      <c r="J291" s="61">
        <v>-95.893741000000006</v>
      </c>
      <c r="K291" s="61">
        <v>107.8641052</v>
      </c>
      <c r="L291" s="61">
        <v>100.626</v>
      </c>
      <c r="M291" s="61" t="s">
        <v>617</v>
      </c>
      <c r="N291" s="149">
        <v>5</v>
      </c>
      <c r="O291" s="149">
        <v>6</v>
      </c>
      <c r="P291" s="61" t="s">
        <v>565</v>
      </c>
      <c r="Q291" s="61" t="s">
        <v>564</v>
      </c>
      <c r="R291" s="61">
        <v>41.98028</v>
      </c>
      <c r="S291" s="61">
        <v>-87.908997900000003</v>
      </c>
      <c r="T291" s="61">
        <v>836.69100000000003</v>
      </c>
      <c r="U291" s="61" t="s">
        <v>617</v>
      </c>
      <c r="V291" s="61" t="s">
        <v>569</v>
      </c>
      <c r="W291" s="61" cm="1">
        <f t="array" ref="W291">getDistance(I291,J291,R291,S291)*SA!$B$12</f>
        <v>669.26749072627524</v>
      </c>
      <c r="Y291" s="137">
        <f>Transportation_LCIA!C$61*($W291^Transportation_LCIA!C$60)+Transportation_LCIA!C$62</f>
        <v>0.28504039049137575</v>
      </c>
      <c r="Z291" s="137">
        <f>Transportation_LCIA!D$61*($W291^Transportation_LCIA!D$60)+Transportation_LCIA!D$62</f>
        <v>3.0041649469674656</v>
      </c>
      <c r="AA291" s="137">
        <f>Transportation_LCIA!E$61*($W291^Transportation_LCIA!E$60)+Transportation_LCIA!E$62</f>
        <v>1.525706097435096E-3</v>
      </c>
      <c r="AB291" s="137">
        <f>Transportation_LCIA!F$61*($W291^Transportation_LCIA!F$60)+Transportation_LCIA!F$62</f>
        <v>0.28504039049137575</v>
      </c>
      <c r="AC291" s="137">
        <f>Transportation_LCIA!G$61*($W291^Transportation_LCIA!G$60)+Transportation_LCIA!G$62</f>
        <v>7.0068758885027033E-2</v>
      </c>
      <c r="AD291" s="137">
        <f>Transportation_LCIA!H$61*($W291^Transportation_LCIA!H$60)+Transportation_LCIA!H$62</f>
        <v>3.6107816379944279E-4</v>
      </c>
      <c r="AE291" s="137">
        <f>Transportation_LCIA!I$61*($W291^Transportation_LCIA!I$60)+Transportation_LCIA!I$62</f>
        <v>8.0591675714929097E-6</v>
      </c>
      <c r="AF291" s="137">
        <f>Transportation_LCIA!J$61*($W291^Transportation_LCIA!J$60)+Transportation_LCIA!J$62</f>
        <v>1.1964774828826928E-2</v>
      </c>
      <c r="AG291" s="137">
        <f>Transportation_LCIA!K$61*($W291^Transportation_LCIA!K$60)+Transportation_LCIA!K$62</f>
        <v>1.5195002827775642E-2</v>
      </c>
      <c r="AH291" s="137">
        <f>Transportation_LCIA!L$61*($W291^Transportation_LCIA!L$60)+Transportation_LCIA!L$62</f>
        <v>3.1754527567534542E-4</v>
      </c>
      <c r="AI291" s="137">
        <f>Transportation_LCIA!M$61*($W291^Transportation_LCIA!M$60)+Transportation_LCIA!M$62</f>
        <v>2.9013540374786794E-4</v>
      </c>
      <c r="AJ291" s="137">
        <f>Transportation_LCIA!N$61*($W291^Transportation_LCIA!N$60)+Transportation_LCIA!N$62</f>
        <v>1.2730376617698762E-3</v>
      </c>
      <c r="AK291" s="137">
        <f>Transportation_LCIA!O$61*($W291^Transportation_LCIA!O$60)+Transportation_LCIA!O$62</f>
        <v>7.4124631538667591E-5</v>
      </c>
      <c r="AL291" s="137">
        <f>Transportation_LCIA!P$61*($W291^Transportation_LCIA!P$60)+Transportation_LCIA!P$62</f>
        <v>3.5802611393451831E-8</v>
      </c>
      <c r="AM291" s="137">
        <f>Transportation_LCIA!Q$61*($W291^Transportation_LCIA!Q$60)+Transportation_LCIA!Q$62</f>
        <v>1.2535917081520263E-4</v>
      </c>
      <c r="AN291" s="137">
        <f>Transportation_LCIA!R$61*($W291^Transportation_LCIA!R$60)+Transportation_LCIA!R$62</f>
        <v>3.8732436662072014E-4</v>
      </c>
      <c r="AO291" s="137">
        <f>Transportation_LCIA!S$61*($W291^Transportation_LCIA!S$60)+Transportation_LCIA!S$62</f>
        <v>5.7538657024500324E-6</v>
      </c>
      <c r="AP291" s="137">
        <f>Transportation_LCIA!T$61*($W291^Transportation_LCIA!T$60)+Transportation_LCIA!T$62</f>
        <v>5.7538657024500324E-6</v>
      </c>
      <c r="AQ291" s="137">
        <f>Transportation_LCIA!U$61*($W291^Transportation_LCIA!U$60)+Transportation_LCIA!U$62</f>
        <v>8.3645465454341723E-4</v>
      </c>
      <c r="AR291" s="137">
        <f>Transportation_LCIA!V$61*($W291^Transportation_LCIA!V$60)+Transportation_LCIA!V$62</f>
        <v>3.2616855470196486E-4</v>
      </c>
      <c r="AT291" s="137">
        <f>$W291*Y291+$L291*Summary_LCIA!H$32</f>
        <v>224.9609816998007</v>
      </c>
      <c r="AU291" s="137">
        <f>$W291*Z291+$L291*Summary_LCIA!Q$32</f>
        <v>2509.2974666558075</v>
      </c>
      <c r="AV291" s="137">
        <f>$W291*AA291+$L291*Summary_LCIA!R$32</f>
        <v>1.5509617570161645</v>
      </c>
      <c r="AW291" s="137">
        <f>$W291*AB291+$L291*Summary_LCIA!S$32</f>
        <v>224.51621477980069</v>
      </c>
      <c r="AX291" s="137">
        <f>$W291*AC291+$L291*Summary_LCIA!T$32</f>
        <v>57.953539837286442</v>
      </c>
      <c r="AY291" s="137">
        <f>$W291*AD291+$L291*Summary_LCIA!U$32</f>
        <v>2.0442720406421042</v>
      </c>
      <c r="AZ291" s="137">
        <f>$W291*AE291+$L291*Summary_LCIA!V$32</f>
        <v>1.0199737243915629E-2</v>
      </c>
      <c r="BA291" s="137">
        <f>$W291*AF291+$L291*Summary_LCIA!W$32</f>
        <v>15.752918672793896</v>
      </c>
      <c r="BB291" s="137">
        <f>$W291*AG291+$L291*Summary_LCIA!X$32</f>
        <v>12.461781694124062</v>
      </c>
      <c r="BC291" s="137">
        <f>$W291*AH291+$L291*Summary_LCIA!Y$32</f>
        <v>1.7804770618432217</v>
      </c>
      <c r="BD291" s="137">
        <f>$W291*AI291+$L291*Summary_LCIA!Z$32</f>
        <v>0.19830476527119031</v>
      </c>
      <c r="BE291" s="137">
        <f>$W291*AJ291+$L291*Summary_LCIA!AA$32</f>
        <v>3.2022235774927696</v>
      </c>
      <c r="BF291" s="137">
        <f>$W291*AK291+$L291*Summary_LCIA!AB$32</f>
        <v>4.7413244952893778E-2</v>
      </c>
      <c r="BG291" s="137">
        <f>$W291*AL291+$L291*Summary_LCIA!AC$32</f>
        <v>2.8880525272743461E-5</v>
      </c>
      <c r="BH291" s="137">
        <f>$W291*AM291+$L291*Summary_LCIA!AD$32</f>
        <v>0.12526012873101716</v>
      </c>
      <c r="BI291" s="137">
        <f>$W291*AN291+$L291*Summary_LCIA!AE$32</f>
        <v>0.34839132432539327</v>
      </c>
      <c r="BJ291" s="137">
        <f>$W291*AO291+$L291*Summary_LCIA!AF$32</f>
        <v>8.8922108180654713E-2</v>
      </c>
      <c r="BK291" s="137">
        <f>$W291*AP291+$L291*Summary_LCIA!AG$32</f>
        <v>8.9994045506547101E-3</v>
      </c>
      <c r="BL291" s="137">
        <f>$W291*AQ291+$L291*Summary_LCIA!AH$32</f>
        <v>1.4356203613525864</v>
      </c>
      <c r="BM291" s="137">
        <f>$W291*AR291+$L291*Summary_LCIA!AI$32</f>
        <v>0.31203216045919985</v>
      </c>
    </row>
    <row r="292" spans="1:65" x14ac:dyDescent="0.25">
      <c r="A292" s="149">
        <v>319</v>
      </c>
      <c r="B292" s="149">
        <v>15</v>
      </c>
      <c r="C292" s="61">
        <v>44.698993000000002</v>
      </c>
      <c r="D292" s="61">
        <v>10.629686</v>
      </c>
      <c r="E292" s="61" t="s">
        <v>421</v>
      </c>
      <c r="F292" s="149">
        <v>51</v>
      </c>
      <c r="G292" s="61" t="s">
        <v>698</v>
      </c>
      <c r="H292" s="61" t="s">
        <v>716</v>
      </c>
      <c r="I292" s="61">
        <v>41.799886999999998</v>
      </c>
      <c r="J292" s="61">
        <v>12.246238</v>
      </c>
      <c r="K292" s="61">
        <v>362.83693729999999</v>
      </c>
      <c r="L292" s="61">
        <v>459.46699999999998</v>
      </c>
      <c r="M292" s="61" t="s">
        <v>617</v>
      </c>
      <c r="N292" s="149">
        <v>14</v>
      </c>
      <c r="O292" s="149">
        <v>15</v>
      </c>
      <c r="P292" s="61" t="s">
        <v>567</v>
      </c>
      <c r="Q292" s="61" t="s">
        <v>566</v>
      </c>
      <c r="R292" s="61">
        <v>50.037932599999998</v>
      </c>
      <c r="S292" s="61">
        <v>8.5621518000000005</v>
      </c>
      <c r="T292" s="61">
        <v>841.529</v>
      </c>
      <c r="U292" s="61" t="s">
        <v>589</v>
      </c>
      <c r="V292" s="61" t="s">
        <v>569</v>
      </c>
      <c r="W292" s="61" cm="1">
        <f t="array" ref="W292">getDistance(I292,J292,R292,S292)*SA!$B$12</f>
        <v>960.33096396061467</v>
      </c>
      <c r="Y292" s="137">
        <f>Transportation_LCIA!C$61*($W292^Transportation_LCIA!C$60)+Transportation_LCIA!C$62</f>
        <v>0.23978916330242275</v>
      </c>
      <c r="Z292" s="137">
        <f>Transportation_LCIA!D$61*($W292^Transportation_LCIA!D$60)+Transportation_LCIA!D$62</f>
        <v>2.4708787889542601</v>
      </c>
      <c r="AA292" s="137">
        <f>Transportation_LCIA!E$61*($W292^Transportation_LCIA!E$60)+Transportation_LCIA!E$62</f>
        <v>1.174109327635068E-3</v>
      </c>
      <c r="AB292" s="137">
        <f>Transportation_LCIA!F$61*($W292^Transportation_LCIA!F$60)+Transportation_LCIA!F$62</f>
        <v>0.23978916330242275</v>
      </c>
      <c r="AC292" s="137">
        <f>Transportation_LCIA!G$61*($W292^Transportation_LCIA!G$60)+Transportation_LCIA!G$62</f>
        <v>5.7737841551702487E-2</v>
      </c>
      <c r="AD292" s="137">
        <f>Transportation_LCIA!H$61*($W292^Transportation_LCIA!H$60)+Transportation_LCIA!H$62</f>
        <v>2.8334647040481186E-4</v>
      </c>
      <c r="AE292" s="137">
        <f>Transportation_LCIA!I$61*($W292^Transportation_LCIA!I$60)+Transportation_LCIA!I$62</f>
        <v>6.0850967306403664E-6</v>
      </c>
      <c r="AF292" s="137">
        <f>Transportation_LCIA!J$61*($W292^Transportation_LCIA!J$60)+Transportation_LCIA!J$62</f>
        <v>9.0078905630086234E-3</v>
      </c>
      <c r="AG292" s="137">
        <f>Transportation_LCIA!K$61*($W292^Transportation_LCIA!K$60)+Transportation_LCIA!K$62</f>
        <v>1.230224715256964E-2</v>
      </c>
      <c r="AH292" s="137">
        <f>Transportation_LCIA!L$61*($W292^Transportation_LCIA!L$60)+Transportation_LCIA!L$62</f>
        <v>2.4590448371425308E-4</v>
      </c>
      <c r="AI292" s="137">
        <f>Transportation_LCIA!M$61*($W292^Transportation_LCIA!M$60)+Transportation_LCIA!M$62</f>
        <v>2.4722323152264391E-4</v>
      </c>
      <c r="AJ292" s="137">
        <f>Transportation_LCIA!N$61*($W292^Transportation_LCIA!N$60)+Transportation_LCIA!N$62</f>
        <v>1.0118732947864647E-3</v>
      </c>
      <c r="AK292" s="137">
        <f>Transportation_LCIA!O$61*($W292^Transportation_LCIA!O$60)+Transportation_LCIA!O$62</f>
        <v>6.1017911221320582E-5</v>
      </c>
      <c r="AL292" s="137">
        <f>Transportation_LCIA!P$61*($W292^Transportation_LCIA!P$60)+Transportation_LCIA!P$62</f>
        <v>2.9505637910099093E-8</v>
      </c>
      <c r="AM292" s="137">
        <f>Transportation_LCIA!Q$61*($W292^Transportation_LCIA!Q$60)+Transportation_LCIA!Q$62</f>
        <v>9.7309772323205714E-5</v>
      </c>
      <c r="AN292" s="137">
        <f>Transportation_LCIA!R$61*($W292^Transportation_LCIA!R$60)+Transportation_LCIA!R$62</f>
        <v>2.926416879903948E-4</v>
      </c>
      <c r="AO292" s="137">
        <f>Transportation_LCIA!S$61*($W292^Transportation_LCIA!S$60)+Transportation_LCIA!S$62</f>
        <v>4.4106471577943657E-6</v>
      </c>
      <c r="AP292" s="137">
        <f>Transportation_LCIA!T$61*($W292^Transportation_LCIA!T$60)+Transportation_LCIA!T$62</f>
        <v>4.4106471577943657E-6</v>
      </c>
      <c r="AQ292" s="137">
        <f>Transportation_LCIA!U$61*($W292^Transportation_LCIA!U$60)+Transportation_LCIA!U$62</f>
        <v>6.284668197431289E-4</v>
      </c>
      <c r="AR292" s="137">
        <f>Transportation_LCIA!V$61*($W292^Transportation_LCIA!V$60)+Transportation_LCIA!V$62</f>
        <v>2.5307125805150313E-4</v>
      </c>
      <c r="AT292" s="137">
        <f>$W292*Y292+$L292*Summary_LCIA!H$32</f>
        <v>386.40384494152488</v>
      </c>
      <c r="AU292" s="137">
        <f>$W292*Z292+$L292*Summary_LCIA!Q$32</f>
        <v>4650.0030335254914</v>
      </c>
      <c r="AV292" s="137">
        <f>$W292*AA292+$L292*Summary_LCIA!R$32</f>
        <v>3.5469029776029339</v>
      </c>
      <c r="AW292" s="137">
        <f>$W292*AB292+$L292*Summary_LCIA!S$32</f>
        <v>384.37300080152488</v>
      </c>
      <c r="AX292" s="137">
        <f>$W292*AC292+$L292*Summary_LCIA!T$32</f>
        <v>105.94286033435168</v>
      </c>
      <c r="AY292" s="137">
        <f>$W292*AD292+$L292*Summary_LCIA!U$32</f>
        <v>8.5029982270586899</v>
      </c>
      <c r="AZ292" s="137">
        <f>$W292*AE292+$L292*Summary_LCIA!V$32</f>
        <v>2.7788310196129446E-2</v>
      </c>
      <c r="BA292" s="137">
        <f>$W292*AF292+$L292*Summary_LCIA!W$32</f>
        <v>44.016190684625798</v>
      </c>
      <c r="BB292" s="137">
        <f>$W292*AG292+$L292*Summary_LCIA!X$32</f>
        <v>22.280887126908929</v>
      </c>
      <c r="BC292" s="137">
        <f>$W292*AH292+$L292*Summary_LCIA!Y$32</f>
        <v>7.3955644838875454</v>
      </c>
      <c r="BD292" s="137">
        <f>$W292*AI292+$L292*Summary_LCIA!Z$32</f>
        <v>0.25625840644459885</v>
      </c>
      <c r="BE292" s="137">
        <f>$W292*AJ292+$L292*Summary_LCIA!AA$32</f>
        <v>11.703044508588288</v>
      </c>
      <c r="BF292" s="137">
        <f>$W292*AK292+$L292*Summary_LCIA!AB$32</f>
        <v>4.8570441161034004E-2</v>
      </c>
      <c r="BG292" s="137">
        <f>$W292*AL292+$L292*Summary_LCIA!AC$32</f>
        <v>5.0795762524478324E-5</v>
      </c>
      <c r="BH292" s="137">
        <f>$W292*AM292+$L292*Summary_LCIA!AD$32</f>
        <v>0.28230890313793211</v>
      </c>
      <c r="BI292" s="137">
        <f>$W292*AN292+$L292*Summary_LCIA!AE$32</f>
        <v>0.68818036703287722</v>
      </c>
      <c r="BJ292" s="137">
        <f>$W292*AO292+$L292*Summary_LCIA!AF$32</f>
        <v>0.39267827217673484</v>
      </c>
      <c r="BK292" s="137">
        <f>$W292*AP292+$L292*Summary_LCIA!AG$32</f>
        <v>2.7744310091734808E-2</v>
      </c>
      <c r="BL292" s="137">
        <f>$W292*AQ292+$L292*Summary_LCIA!AH$32</f>
        <v>4.6025531280211807</v>
      </c>
      <c r="BM292" s="137">
        <f>$W292*AR292+$L292*Summary_LCIA!AI$32</f>
        <v>0.67104864904532546</v>
      </c>
    </row>
    <row r="293" spans="1:65" x14ac:dyDescent="0.25">
      <c r="A293" s="149">
        <v>43</v>
      </c>
      <c r="B293" s="149">
        <v>6</v>
      </c>
      <c r="C293" s="61">
        <v>38.877713999999997</v>
      </c>
      <c r="D293" s="61">
        <v>-94.774396999999993</v>
      </c>
      <c r="E293" s="61" t="s">
        <v>265</v>
      </c>
      <c r="F293" s="149">
        <v>101</v>
      </c>
      <c r="G293" s="61" t="s">
        <v>647</v>
      </c>
      <c r="H293" s="61" t="s">
        <v>648</v>
      </c>
      <c r="I293" s="61">
        <v>39.303586000000003</v>
      </c>
      <c r="J293" s="61">
        <v>-94.70926</v>
      </c>
      <c r="K293" s="61">
        <v>77.391958450000004</v>
      </c>
      <c r="L293" s="61">
        <v>62.118000000000002</v>
      </c>
      <c r="M293" s="61" t="s">
        <v>617</v>
      </c>
      <c r="N293" s="149">
        <v>5</v>
      </c>
      <c r="O293" s="149">
        <v>6</v>
      </c>
      <c r="P293" s="61" t="s">
        <v>565</v>
      </c>
      <c r="Q293" s="61" t="s">
        <v>564</v>
      </c>
      <c r="R293" s="61">
        <v>41.98028</v>
      </c>
      <c r="S293" s="61">
        <v>-87.908997900000003</v>
      </c>
      <c r="T293" s="61">
        <v>858.19299999999998</v>
      </c>
      <c r="U293" s="61" t="s">
        <v>617</v>
      </c>
      <c r="V293" s="61" t="s">
        <v>569</v>
      </c>
      <c r="W293" s="61" cm="1">
        <f t="array" ref="W293">getDistance(I293,J293,R293,S293)*SA!$B$12</f>
        <v>647.4733630144575</v>
      </c>
      <c r="Y293" s="137">
        <f>Transportation_LCIA!C$61*($W293^Transportation_LCIA!C$60)+Transportation_LCIA!C$62</f>
        <v>0.28991652457155515</v>
      </c>
      <c r="Z293" s="137">
        <f>Transportation_LCIA!D$61*($W293^Transportation_LCIA!D$60)+Transportation_LCIA!D$62</f>
        <v>3.0621007939018225</v>
      </c>
      <c r="AA293" s="137">
        <f>Transportation_LCIA!E$61*($W293^Transportation_LCIA!E$60)+Transportation_LCIA!E$62</f>
        <v>1.5639908369269233E-3</v>
      </c>
      <c r="AB293" s="137">
        <f>Transportation_LCIA!F$61*($W293^Transportation_LCIA!F$60)+Transportation_LCIA!F$62</f>
        <v>0.28991652457155515</v>
      </c>
      <c r="AC293" s="137">
        <f>Transportation_LCIA!G$61*($W293^Transportation_LCIA!G$60)+Transportation_LCIA!G$62</f>
        <v>7.1407745133871256E-2</v>
      </c>
      <c r="AD293" s="137">
        <f>Transportation_LCIA!H$61*($W293^Transportation_LCIA!H$60)+Transportation_LCIA!H$62</f>
        <v>3.6958053417538898E-4</v>
      </c>
      <c r="AE293" s="137">
        <f>Transportation_LCIA!I$61*($W293^Transportation_LCIA!I$60)+Transportation_LCIA!I$62</f>
        <v>8.2766666733597734E-6</v>
      </c>
      <c r="AF293" s="137">
        <f>Transportation_LCIA!J$61*($W293^Transportation_LCIA!J$60)+Transportation_LCIA!J$62</f>
        <v>1.2292104272569999E-2</v>
      </c>
      <c r="AG293" s="137">
        <f>Transportation_LCIA!K$61*($W293^Transportation_LCIA!K$60)+Transportation_LCIA!K$62</f>
        <v>1.5510415114736775E-2</v>
      </c>
      <c r="AH293" s="137">
        <f>Transportation_LCIA!L$61*($W293^Transportation_LCIA!L$60)+Transportation_LCIA!L$62</f>
        <v>3.2539764609745288E-4</v>
      </c>
      <c r="AI293" s="137">
        <f>Transportation_LCIA!M$61*($W293^Transportation_LCIA!M$60)+Transportation_LCIA!M$62</f>
        <v>2.9483033400248848E-4</v>
      </c>
      <c r="AJ293" s="137">
        <f>Transportation_LCIA!N$61*($W293^Transportation_LCIA!N$60)+Transportation_LCIA!N$62</f>
        <v>1.3015875854014613E-3</v>
      </c>
      <c r="AK293" s="137">
        <f>Transportation_LCIA!O$61*($W293^Transportation_LCIA!O$60)+Transportation_LCIA!O$62</f>
        <v>7.5548179085519799E-5</v>
      </c>
      <c r="AL293" s="137">
        <f>Transportation_LCIA!P$61*($W293^Transportation_LCIA!P$60)+Transportation_LCIA!P$62</f>
        <v>3.6486124224340038E-8</v>
      </c>
      <c r="AM293" s="137">
        <f>Transportation_LCIA!Q$61*($W293^Transportation_LCIA!Q$60)+Transportation_LCIA!Q$62</f>
        <v>1.2843702129143657E-4</v>
      </c>
      <c r="AN293" s="137">
        <f>Transportation_LCIA!R$61*($W293^Transportation_LCIA!R$60)+Transportation_LCIA!R$62</f>
        <v>3.977581392161846E-4</v>
      </c>
      <c r="AO293" s="137">
        <f>Transportation_LCIA!S$61*($W293^Transportation_LCIA!S$60)+Transportation_LCIA!S$62</f>
        <v>5.9018366684239294E-6</v>
      </c>
      <c r="AP293" s="137">
        <f>Transportation_LCIA!T$61*($W293^Transportation_LCIA!T$60)+Transportation_LCIA!T$62</f>
        <v>5.9018366684239294E-6</v>
      </c>
      <c r="AQ293" s="137">
        <f>Transportation_LCIA!U$61*($W293^Transportation_LCIA!U$60)+Transportation_LCIA!U$62</f>
        <v>8.594058841703753E-4</v>
      </c>
      <c r="AR293" s="137">
        <f>Transportation_LCIA!V$61*($W293^Transportation_LCIA!V$60)+Transportation_LCIA!V$62</f>
        <v>3.3420101797980824E-4</v>
      </c>
      <c r="AT293" s="137">
        <f>$W293*Y293+$L293*Summary_LCIA!H$32</f>
        <v>208.82092355780841</v>
      </c>
      <c r="AU293" s="137">
        <f>$W293*Z293+$L293*Summary_LCIA!Q$32</f>
        <v>2290.4886397139471</v>
      </c>
      <c r="AV293" s="137">
        <f>$W293*AA293+$L293*Summary_LCIA!R$32</f>
        <v>1.339730947708871</v>
      </c>
      <c r="AW293" s="137">
        <f>$W293*AB293+$L293*Summary_LCIA!S$32</f>
        <v>208.54636199780842</v>
      </c>
      <c r="AX293" s="137">
        <f>$W293*AC293+$L293*Summary_LCIA!T$32</f>
        <v>53.061381087106881</v>
      </c>
      <c r="AY293" s="137">
        <f>$W293*AD293+$L293*Summary_LCIA!U$32</f>
        <v>1.3520754033672187</v>
      </c>
      <c r="AZ293" s="137">
        <f>$W293*AE293+$L293*Summary_LCIA!V$32</f>
        <v>8.3257390035499351E-3</v>
      </c>
      <c r="BA293" s="137">
        <f>$W293*AF293+$L293*Summary_LCIA!W$32</f>
        <v>12.740094669885281</v>
      </c>
      <c r="BB293" s="137">
        <f>$W293*AG293+$L293*Summary_LCIA!X$32</f>
        <v>11.457628676088893</v>
      </c>
      <c r="BC293" s="137">
        <f>$W293*AH293+$L293*Summary_LCIA!Y$32</f>
        <v>1.1786089842357061</v>
      </c>
      <c r="BD293" s="137">
        <f>$W293*AI293+$L293*Summary_LCIA!Z$32</f>
        <v>0.19344218493726698</v>
      </c>
      <c r="BE293" s="137">
        <f>$W293*AJ293+$L293*Summary_LCIA!AA$32</f>
        <v>2.2935712991777515</v>
      </c>
      <c r="BF293" s="137">
        <f>$W293*AK293+$L293*Summary_LCIA!AB$32</f>
        <v>4.7559832468120004E-2</v>
      </c>
      <c r="BG293" s="137">
        <f>$W293*AL293+$L293*Summary_LCIA!AC$32</f>
        <v>2.6660369866896708E-5</v>
      </c>
      <c r="BH293" s="137">
        <f>$W293*AM293+$L293*Summary_LCIA!AD$32</f>
        <v>0.10869253283112591</v>
      </c>
      <c r="BI293" s="137">
        <f>$W293*AN293+$L293*Summary_LCIA!AE$32</f>
        <v>0.31258242340467579</v>
      </c>
      <c r="BJ293" s="137">
        <f>$W293*AO293+$L293*Summary_LCIA!AF$32</f>
        <v>5.6337081595666492E-2</v>
      </c>
      <c r="BK293" s="137">
        <f>$W293*AP293+$L293*Summary_LCIA!AG$32</f>
        <v>6.9995495056664834E-3</v>
      </c>
      <c r="BL293" s="137">
        <f>$W293*AQ293+$L293*Summary_LCIA!AH$32</f>
        <v>1.0970926428182062</v>
      </c>
      <c r="BM293" s="137">
        <f>$W293*AR293+$L293*Summary_LCIA!AI$32</f>
        <v>0.27425227993424162</v>
      </c>
    </row>
    <row r="294" spans="1:65" x14ac:dyDescent="0.25">
      <c r="A294" s="149">
        <v>41</v>
      </c>
      <c r="B294" s="149">
        <v>1</v>
      </c>
      <c r="C294" s="61">
        <v>35.099532000000004</v>
      </c>
      <c r="D294" s="61">
        <v>-92.440676999999994</v>
      </c>
      <c r="E294" s="61" t="s">
        <v>265</v>
      </c>
      <c r="F294" s="149">
        <v>91</v>
      </c>
      <c r="G294" s="61" t="s">
        <v>565</v>
      </c>
      <c r="H294" s="61" t="s">
        <v>646</v>
      </c>
      <c r="I294" s="61">
        <v>34.904254999999999</v>
      </c>
      <c r="J294" s="61">
        <v>-92.470821999999998</v>
      </c>
      <c r="K294" s="61">
        <v>552.08197859999996</v>
      </c>
      <c r="L294" s="61">
        <v>69.558000000000007</v>
      </c>
      <c r="M294" s="61" t="s">
        <v>617</v>
      </c>
      <c r="N294" s="149">
        <v>0</v>
      </c>
      <c r="O294" s="149">
        <v>1</v>
      </c>
      <c r="P294" s="61" t="s">
        <v>565</v>
      </c>
      <c r="Q294" s="61" t="s">
        <v>558</v>
      </c>
      <c r="R294" s="61">
        <v>33.640728199999998</v>
      </c>
      <c r="S294" s="61">
        <v>-84.427700099999996</v>
      </c>
      <c r="T294" s="61">
        <v>896.82399999999996</v>
      </c>
      <c r="U294" s="61" t="s">
        <v>617</v>
      </c>
      <c r="V294" s="61" t="s">
        <v>569</v>
      </c>
      <c r="W294" s="61" cm="1">
        <f t="array" ref="W294">getDistance(I294,J294,R294,S294)*SA!$B$12</f>
        <v>753.66149137477521</v>
      </c>
      <c r="Y294" s="137">
        <f>Transportation_LCIA!C$61*($W294^Transportation_LCIA!C$60)+Transportation_LCIA!C$62</f>
        <v>0.2686216773630099</v>
      </c>
      <c r="Z294" s="137">
        <f>Transportation_LCIA!D$61*($W294^Transportation_LCIA!D$60)+Transportation_LCIA!D$62</f>
        <v>2.809719976258811</v>
      </c>
      <c r="AA294" s="137">
        <f>Transportation_LCIA!E$61*($W294^Transportation_LCIA!E$60)+Transportation_LCIA!E$62</f>
        <v>1.3973318834999437E-3</v>
      </c>
      <c r="AB294" s="137">
        <f>Transportation_LCIA!F$61*($W294^Transportation_LCIA!F$60)+Transportation_LCIA!F$62</f>
        <v>0.2686216773630099</v>
      </c>
      <c r="AC294" s="137">
        <f>Transportation_LCIA!G$61*($W294^Transportation_LCIA!G$60)+Transportation_LCIA!G$62</f>
        <v>6.5573984265283353E-2</v>
      </c>
      <c r="AD294" s="137">
        <f>Transportation_LCIA!H$61*($W294^Transportation_LCIA!H$60)+Transportation_LCIA!H$62</f>
        <v>3.3261995332424955E-4</v>
      </c>
      <c r="AE294" s="137">
        <f>Transportation_LCIA!I$61*($W294^Transportation_LCIA!I$60)+Transportation_LCIA!I$62</f>
        <v>7.3332922524851873E-6</v>
      </c>
      <c r="AF294" s="137">
        <f>Transportation_LCIA!J$61*($W294^Transportation_LCIA!J$60)+Transportation_LCIA!J$62</f>
        <v>1.0874427464819075E-2</v>
      </c>
      <c r="AG294" s="137">
        <f>Transportation_LCIA!K$61*($W294^Transportation_LCIA!K$60)+Transportation_LCIA!K$62</f>
        <v>1.4137950837369581E-2</v>
      </c>
      <c r="AH294" s="137">
        <f>Transportation_LCIA!L$61*($W294^Transportation_LCIA!L$60)+Transportation_LCIA!L$62</f>
        <v>2.9128443507656039E-4</v>
      </c>
      <c r="AI294" s="137">
        <f>Transportation_LCIA!M$61*($W294^Transportation_LCIA!M$60)+Transportation_LCIA!M$62</f>
        <v>2.7442258931777537E-4</v>
      </c>
      <c r="AJ294" s="137">
        <f>Transportation_LCIA!N$61*($W294^Transportation_LCIA!N$60)+Transportation_LCIA!N$62</f>
        <v>1.1774563642900713E-3</v>
      </c>
      <c r="AK294" s="137">
        <f>Transportation_LCIA!O$61*($W294^Transportation_LCIA!O$60)+Transportation_LCIA!O$62</f>
        <v>6.9346424840507456E-5</v>
      </c>
      <c r="AL294" s="137">
        <f>Transportation_LCIA!P$61*($W294^Transportation_LCIA!P$60)+Transportation_LCIA!P$62</f>
        <v>3.3507811747991457E-8</v>
      </c>
      <c r="AM294" s="137">
        <f>Transportation_LCIA!Q$61*($W294^Transportation_LCIA!Q$60)+Transportation_LCIA!Q$62</f>
        <v>1.1507044260582723E-4</v>
      </c>
      <c r="AN294" s="137">
        <f>Transportation_LCIA!R$61*($W294^Transportation_LCIA!R$60)+Transportation_LCIA!R$62</f>
        <v>3.5250543675807559E-4</v>
      </c>
      <c r="AO294" s="137">
        <f>Transportation_LCIA!S$61*($W294^Transportation_LCIA!S$60)+Transportation_LCIA!S$62</f>
        <v>5.2600020177176398E-6</v>
      </c>
      <c r="AP294" s="137">
        <f>Transportation_LCIA!T$61*($W294^Transportation_LCIA!T$60)+Transportation_LCIA!T$62</f>
        <v>5.2600020177176398E-6</v>
      </c>
      <c r="AQ294" s="137">
        <f>Transportation_LCIA!U$61*($W294^Transportation_LCIA!U$60)+Transportation_LCIA!U$62</f>
        <v>7.5990547632380956E-4</v>
      </c>
      <c r="AR294" s="137">
        <f>Transportation_LCIA!V$61*($W294^Transportation_LCIA!V$60)+Transportation_LCIA!V$62</f>
        <v>2.9933284074240525E-4</v>
      </c>
      <c r="AT294" s="137">
        <f>$W294*Y294+$L294*Summary_LCIA!H$32</f>
        <v>226.08562237699974</v>
      </c>
      <c r="AU294" s="137">
        <f>$W294*Z294+$L294*Summary_LCIA!Q$32</f>
        <v>2462.3107036713277</v>
      </c>
      <c r="AV294" s="137">
        <f>$W294*AA294+$L294*Summary_LCIA!R$32</f>
        <v>1.4193798360640912</v>
      </c>
      <c r="AW294" s="137">
        <f>$W294*AB294+$L294*Summary_LCIA!S$32</f>
        <v>225.77817601699974</v>
      </c>
      <c r="AX294" s="137">
        <f>$W294*AC294+$L294*Summary_LCIA!T$32</f>
        <v>57.065010976759496</v>
      </c>
      <c r="AY294" s="137">
        <f>$W294*AD294+$L294*Summary_LCIA!U$32</f>
        <v>1.4967448620833621</v>
      </c>
      <c r="AZ294" s="137">
        <f>$W294*AE294+$L294*Summary_LCIA!V$32</f>
        <v>8.8489796136950703E-3</v>
      </c>
      <c r="BA294" s="137">
        <f>$W294*AF294+$L294*Summary_LCIA!W$32</f>
        <v>13.549586038982358</v>
      </c>
      <c r="BB294" s="137">
        <f>$W294*AG294+$L294*Summary_LCIA!X$32</f>
        <v>12.23976035307521</v>
      </c>
      <c r="BC294" s="137">
        <f>$W294*AH294+$L294*Summary_LCIA!Y$32</f>
        <v>1.3033826177540595</v>
      </c>
      <c r="BD294" s="137">
        <f>$W294*AI294+$L294*Summary_LCIA!Z$32</f>
        <v>0.20967424195416204</v>
      </c>
      <c r="BE294" s="137">
        <f>$W294*AJ294+$L294*Summary_LCIA!AA$32</f>
        <v>2.5120001675395756</v>
      </c>
      <c r="BF294" s="137">
        <f>$W294*AK294+$L294*Summary_LCIA!AB$32</f>
        <v>5.0745765732805606E-2</v>
      </c>
      <c r="BG294" s="137">
        <f>$W294*AL294+$L294*Summary_LCIA!AC$32</f>
        <v>2.8653820646696456E-5</v>
      </c>
      <c r="BH294" s="137">
        <f>$W294*AM294+$L294*Summary_LCIA!AD$32</f>
        <v>0.11531528170746322</v>
      </c>
      <c r="BI294" s="137">
        <f>$W294*AN294+$L294*Summary_LCIA!AE$32</f>
        <v>0.32730720372480776</v>
      </c>
      <c r="BJ294" s="137">
        <f>$W294*AO294+$L294*Summary_LCIA!AF$32</f>
        <v>6.2769985325307406E-2</v>
      </c>
      <c r="BK294" s="137">
        <f>$W294*AP294+$L294*Summary_LCIA!AG$32</f>
        <v>7.5231960353074039E-3</v>
      </c>
      <c r="BL294" s="137">
        <f>$W294*AQ294+$L294*Summary_LCIA!AH$32</f>
        <v>1.1781165033900614</v>
      </c>
      <c r="BM294" s="137">
        <f>$W294*AR294+$L294*Summary_LCIA!AI$32</f>
        <v>0.29039239007136919</v>
      </c>
    </row>
    <row r="295" spans="1:65" x14ac:dyDescent="0.25">
      <c r="A295" s="149">
        <v>42</v>
      </c>
      <c r="B295" s="149">
        <v>1</v>
      </c>
      <c r="C295" s="61">
        <v>35.099532000000004</v>
      </c>
      <c r="D295" s="61">
        <v>-92.440676999999994</v>
      </c>
      <c r="E295" s="61" t="s">
        <v>265</v>
      </c>
      <c r="F295" s="149">
        <v>91</v>
      </c>
      <c r="G295" s="61" t="s">
        <v>565</v>
      </c>
      <c r="H295" s="61" t="s">
        <v>646</v>
      </c>
      <c r="I295" s="61">
        <v>34.904254999999999</v>
      </c>
      <c r="J295" s="61">
        <v>-92.470821999999998</v>
      </c>
      <c r="K295" s="61">
        <v>552.08197859999996</v>
      </c>
      <c r="L295" s="61">
        <v>69.558000000000007</v>
      </c>
      <c r="M295" s="61" t="s">
        <v>617</v>
      </c>
      <c r="N295" s="149">
        <v>0</v>
      </c>
      <c r="O295" s="149">
        <v>1</v>
      </c>
      <c r="P295" s="61" t="s">
        <v>565</v>
      </c>
      <c r="Q295" s="61" t="s">
        <v>558</v>
      </c>
      <c r="R295" s="61">
        <v>33.640728199999998</v>
      </c>
      <c r="S295" s="61">
        <v>-84.427700099999996</v>
      </c>
      <c r="T295" s="61">
        <v>896.82399999999996</v>
      </c>
      <c r="U295" s="61" t="s">
        <v>617</v>
      </c>
      <c r="V295" s="61" t="s">
        <v>569</v>
      </c>
      <c r="W295" s="61" cm="1">
        <f t="array" ref="W295">getDistance(I295,J295,R295,S295)*SA!$B$12</f>
        <v>753.66149137477521</v>
      </c>
      <c r="Y295" s="137">
        <f>Transportation_LCIA!C$61*($W295^Transportation_LCIA!C$60)+Transportation_LCIA!C$62</f>
        <v>0.2686216773630099</v>
      </c>
      <c r="Z295" s="137">
        <f>Transportation_LCIA!D$61*($W295^Transportation_LCIA!D$60)+Transportation_LCIA!D$62</f>
        <v>2.809719976258811</v>
      </c>
      <c r="AA295" s="137">
        <f>Transportation_LCIA!E$61*($W295^Transportation_LCIA!E$60)+Transportation_LCIA!E$62</f>
        <v>1.3973318834999437E-3</v>
      </c>
      <c r="AB295" s="137">
        <f>Transportation_LCIA!F$61*($W295^Transportation_LCIA!F$60)+Transportation_LCIA!F$62</f>
        <v>0.2686216773630099</v>
      </c>
      <c r="AC295" s="137">
        <f>Transportation_LCIA!G$61*($W295^Transportation_LCIA!G$60)+Transportation_LCIA!G$62</f>
        <v>6.5573984265283353E-2</v>
      </c>
      <c r="AD295" s="137">
        <f>Transportation_LCIA!H$61*($W295^Transportation_LCIA!H$60)+Transportation_LCIA!H$62</f>
        <v>3.3261995332424955E-4</v>
      </c>
      <c r="AE295" s="137">
        <f>Transportation_LCIA!I$61*($W295^Transportation_LCIA!I$60)+Transportation_LCIA!I$62</f>
        <v>7.3332922524851873E-6</v>
      </c>
      <c r="AF295" s="137">
        <f>Transportation_LCIA!J$61*($W295^Transportation_LCIA!J$60)+Transportation_LCIA!J$62</f>
        <v>1.0874427464819075E-2</v>
      </c>
      <c r="AG295" s="137">
        <f>Transportation_LCIA!K$61*($W295^Transportation_LCIA!K$60)+Transportation_LCIA!K$62</f>
        <v>1.4137950837369581E-2</v>
      </c>
      <c r="AH295" s="137">
        <f>Transportation_LCIA!L$61*($W295^Transportation_LCIA!L$60)+Transportation_LCIA!L$62</f>
        <v>2.9128443507656039E-4</v>
      </c>
      <c r="AI295" s="137">
        <f>Transportation_LCIA!M$61*($W295^Transportation_LCIA!M$60)+Transportation_LCIA!M$62</f>
        <v>2.7442258931777537E-4</v>
      </c>
      <c r="AJ295" s="137">
        <f>Transportation_LCIA!N$61*($W295^Transportation_LCIA!N$60)+Transportation_LCIA!N$62</f>
        <v>1.1774563642900713E-3</v>
      </c>
      <c r="AK295" s="137">
        <f>Transportation_LCIA!O$61*($W295^Transportation_LCIA!O$60)+Transportation_LCIA!O$62</f>
        <v>6.9346424840507456E-5</v>
      </c>
      <c r="AL295" s="137">
        <f>Transportation_LCIA!P$61*($W295^Transportation_LCIA!P$60)+Transportation_LCIA!P$62</f>
        <v>3.3507811747991457E-8</v>
      </c>
      <c r="AM295" s="137">
        <f>Transportation_LCIA!Q$61*($W295^Transportation_LCIA!Q$60)+Transportation_LCIA!Q$62</f>
        <v>1.1507044260582723E-4</v>
      </c>
      <c r="AN295" s="137">
        <f>Transportation_LCIA!R$61*($W295^Transportation_LCIA!R$60)+Transportation_LCIA!R$62</f>
        <v>3.5250543675807559E-4</v>
      </c>
      <c r="AO295" s="137">
        <f>Transportation_LCIA!S$61*($W295^Transportation_LCIA!S$60)+Transportation_LCIA!S$62</f>
        <v>5.2600020177176398E-6</v>
      </c>
      <c r="AP295" s="137">
        <f>Transportation_LCIA!T$61*($W295^Transportation_LCIA!T$60)+Transportation_LCIA!T$62</f>
        <v>5.2600020177176398E-6</v>
      </c>
      <c r="AQ295" s="137">
        <f>Transportation_LCIA!U$61*($W295^Transportation_LCIA!U$60)+Transportation_LCIA!U$62</f>
        <v>7.5990547632380956E-4</v>
      </c>
      <c r="AR295" s="137">
        <f>Transportation_LCIA!V$61*($W295^Transportation_LCIA!V$60)+Transportation_LCIA!V$62</f>
        <v>2.9933284074240525E-4</v>
      </c>
      <c r="AT295" s="137">
        <f>$W295*Y295+$L295*Summary_LCIA!H$32</f>
        <v>226.08562237699974</v>
      </c>
      <c r="AU295" s="137">
        <f>$W295*Z295+$L295*Summary_LCIA!Q$32</f>
        <v>2462.3107036713277</v>
      </c>
      <c r="AV295" s="137">
        <f>$W295*AA295+$L295*Summary_LCIA!R$32</f>
        <v>1.4193798360640912</v>
      </c>
      <c r="AW295" s="137">
        <f>$W295*AB295+$L295*Summary_LCIA!S$32</f>
        <v>225.77817601699974</v>
      </c>
      <c r="AX295" s="137">
        <f>$W295*AC295+$L295*Summary_LCIA!T$32</f>
        <v>57.065010976759496</v>
      </c>
      <c r="AY295" s="137">
        <f>$W295*AD295+$L295*Summary_LCIA!U$32</f>
        <v>1.4967448620833621</v>
      </c>
      <c r="AZ295" s="137">
        <f>$W295*AE295+$L295*Summary_LCIA!V$32</f>
        <v>8.8489796136950703E-3</v>
      </c>
      <c r="BA295" s="137">
        <f>$W295*AF295+$L295*Summary_LCIA!W$32</f>
        <v>13.549586038982358</v>
      </c>
      <c r="BB295" s="137">
        <f>$W295*AG295+$L295*Summary_LCIA!X$32</f>
        <v>12.23976035307521</v>
      </c>
      <c r="BC295" s="137">
        <f>$W295*AH295+$L295*Summary_LCIA!Y$32</f>
        <v>1.3033826177540595</v>
      </c>
      <c r="BD295" s="137">
        <f>$W295*AI295+$L295*Summary_LCIA!Z$32</f>
        <v>0.20967424195416204</v>
      </c>
      <c r="BE295" s="137">
        <f>$W295*AJ295+$L295*Summary_LCIA!AA$32</f>
        <v>2.5120001675395756</v>
      </c>
      <c r="BF295" s="137">
        <f>$W295*AK295+$L295*Summary_LCIA!AB$32</f>
        <v>5.0745765732805606E-2</v>
      </c>
      <c r="BG295" s="137">
        <f>$W295*AL295+$L295*Summary_LCIA!AC$32</f>
        <v>2.8653820646696456E-5</v>
      </c>
      <c r="BH295" s="137">
        <f>$W295*AM295+$L295*Summary_LCIA!AD$32</f>
        <v>0.11531528170746322</v>
      </c>
      <c r="BI295" s="137">
        <f>$W295*AN295+$L295*Summary_LCIA!AE$32</f>
        <v>0.32730720372480776</v>
      </c>
      <c r="BJ295" s="137">
        <f>$W295*AO295+$L295*Summary_LCIA!AF$32</f>
        <v>6.2769985325307406E-2</v>
      </c>
      <c r="BK295" s="137">
        <f>$W295*AP295+$L295*Summary_LCIA!AG$32</f>
        <v>7.5231960353074039E-3</v>
      </c>
      <c r="BL295" s="137">
        <f>$W295*AQ295+$L295*Summary_LCIA!AH$32</f>
        <v>1.1781165033900614</v>
      </c>
      <c r="BM295" s="137">
        <f>$W295*AR295+$L295*Summary_LCIA!AI$32</f>
        <v>0.29039239007136919</v>
      </c>
    </row>
    <row r="296" spans="1:65" x14ac:dyDescent="0.25">
      <c r="A296" s="149">
        <v>369</v>
      </c>
      <c r="B296" s="149">
        <v>15</v>
      </c>
      <c r="C296" s="61">
        <v>44.496878000000002</v>
      </c>
      <c r="D296" s="61">
        <v>11.352409</v>
      </c>
      <c r="E296" s="61" t="s">
        <v>421</v>
      </c>
      <c r="F296" s="149">
        <v>51</v>
      </c>
      <c r="G296" s="61" t="s">
        <v>698</v>
      </c>
      <c r="H296" s="61" t="s">
        <v>716</v>
      </c>
      <c r="I296" s="61">
        <v>41.799886999999998</v>
      </c>
      <c r="J296" s="61">
        <v>12.246238</v>
      </c>
      <c r="K296" s="61">
        <v>317.25793929999998</v>
      </c>
      <c r="L296" s="61">
        <v>414.30399999999997</v>
      </c>
      <c r="M296" s="61" t="s">
        <v>617</v>
      </c>
      <c r="N296" s="149">
        <v>14</v>
      </c>
      <c r="O296" s="149">
        <v>15</v>
      </c>
      <c r="P296" s="61" t="s">
        <v>567</v>
      </c>
      <c r="Q296" s="61" t="s">
        <v>566</v>
      </c>
      <c r="R296" s="61">
        <v>50.037932599999998</v>
      </c>
      <c r="S296" s="61">
        <v>8.5621518000000005</v>
      </c>
      <c r="T296" s="61">
        <v>898.07799999999997</v>
      </c>
      <c r="U296" s="61" t="s">
        <v>589</v>
      </c>
      <c r="V296" s="61" t="s">
        <v>569</v>
      </c>
      <c r="W296" s="61" cm="1">
        <f t="array" ref="W296">getDistance(I296,J296,R296,S296)*SA!$B$12</f>
        <v>960.33096396061467</v>
      </c>
      <c r="Y296" s="137">
        <f>Transportation_LCIA!C$61*($W296^Transportation_LCIA!C$60)+Transportation_LCIA!C$62</f>
        <v>0.23978916330242275</v>
      </c>
      <c r="Z296" s="137">
        <f>Transportation_LCIA!D$61*($W296^Transportation_LCIA!D$60)+Transportation_LCIA!D$62</f>
        <v>2.4708787889542601</v>
      </c>
      <c r="AA296" s="137">
        <f>Transportation_LCIA!E$61*($W296^Transportation_LCIA!E$60)+Transportation_LCIA!E$62</f>
        <v>1.174109327635068E-3</v>
      </c>
      <c r="AB296" s="137">
        <f>Transportation_LCIA!F$61*($W296^Transportation_LCIA!F$60)+Transportation_LCIA!F$62</f>
        <v>0.23978916330242275</v>
      </c>
      <c r="AC296" s="137">
        <f>Transportation_LCIA!G$61*($W296^Transportation_LCIA!G$60)+Transportation_LCIA!G$62</f>
        <v>5.7737841551702487E-2</v>
      </c>
      <c r="AD296" s="137">
        <f>Transportation_LCIA!H$61*($W296^Transportation_LCIA!H$60)+Transportation_LCIA!H$62</f>
        <v>2.8334647040481186E-4</v>
      </c>
      <c r="AE296" s="137">
        <f>Transportation_LCIA!I$61*($W296^Transportation_LCIA!I$60)+Transportation_LCIA!I$62</f>
        <v>6.0850967306403664E-6</v>
      </c>
      <c r="AF296" s="137">
        <f>Transportation_LCIA!J$61*($W296^Transportation_LCIA!J$60)+Transportation_LCIA!J$62</f>
        <v>9.0078905630086234E-3</v>
      </c>
      <c r="AG296" s="137">
        <f>Transportation_LCIA!K$61*($W296^Transportation_LCIA!K$60)+Transportation_LCIA!K$62</f>
        <v>1.230224715256964E-2</v>
      </c>
      <c r="AH296" s="137">
        <f>Transportation_LCIA!L$61*($W296^Transportation_LCIA!L$60)+Transportation_LCIA!L$62</f>
        <v>2.4590448371425308E-4</v>
      </c>
      <c r="AI296" s="137">
        <f>Transportation_LCIA!M$61*($W296^Transportation_LCIA!M$60)+Transportation_LCIA!M$62</f>
        <v>2.4722323152264391E-4</v>
      </c>
      <c r="AJ296" s="137">
        <f>Transportation_LCIA!N$61*($W296^Transportation_LCIA!N$60)+Transportation_LCIA!N$62</f>
        <v>1.0118732947864647E-3</v>
      </c>
      <c r="AK296" s="137">
        <f>Transportation_LCIA!O$61*($W296^Transportation_LCIA!O$60)+Transportation_LCIA!O$62</f>
        <v>6.1017911221320582E-5</v>
      </c>
      <c r="AL296" s="137">
        <f>Transportation_LCIA!P$61*($W296^Transportation_LCIA!P$60)+Transportation_LCIA!P$62</f>
        <v>2.9505637910099093E-8</v>
      </c>
      <c r="AM296" s="137">
        <f>Transportation_LCIA!Q$61*($W296^Transportation_LCIA!Q$60)+Transportation_LCIA!Q$62</f>
        <v>9.7309772323205714E-5</v>
      </c>
      <c r="AN296" s="137">
        <f>Transportation_LCIA!R$61*($W296^Transportation_LCIA!R$60)+Transportation_LCIA!R$62</f>
        <v>2.926416879903948E-4</v>
      </c>
      <c r="AO296" s="137">
        <f>Transportation_LCIA!S$61*($W296^Transportation_LCIA!S$60)+Transportation_LCIA!S$62</f>
        <v>4.4106471577943657E-6</v>
      </c>
      <c r="AP296" s="137">
        <f>Transportation_LCIA!T$61*($W296^Transportation_LCIA!T$60)+Transportation_LCIA!T$62</f>
        <v>4.4106471577943657E-6</v>
      </c>
      <c r="AQ296" s="137">
        <f>Transportation_LCIA!U$61*($W296^Transportation_LCIA!U$60)+Transportation_LCIA!U$62</f>
        <v>6.284668197431289E-4</v>
      </c>
      <c r="AR296" s="137">
        <f>Transportation_LCIA!V$61*($W296^Transportation_LCIA!V$60)+Transportation_LCIA!V$62</f>
        <v>2.5307125805150313E-4</v>
      </c>
      <c r="AT296" s="137">
        <f>$W296*Y296+$L296*Summary_LCIA!H$32</f>
        <v>371.05745754152485</v>
      </c>
      <c r="AU296" s="137">
        <f>$W296*Z296+$L296*Summary_LCIA!Q$32</f>
        <v>4426.1729278199127</v>
      </c>
      <c r="AV296" s="137">
        <f>$W296*AA296+$L296*Summary_LCIA!R$32</f>
        <v>3.3090926848029341</v>
      </c>
      <c r="AW296" s="137">
        <f>$W296*AB296+$L296*Summary_LCIA!S$32</f>
        <v>369.22623386152486</v>
      </c>
      <c r="AX296" s="137">
        <f>$W296*AC296+$L296*Summary_LCIA!T$32</f>
        <v>100.97944663435167</v>
      </c>
      <c r="AY296" s="137">
        <f>$W296*AD296+$L296*Summary_LCIA!U$32</f>
        <v>7.6939482450586905</v>
      </c>
      <c r="AZ296" s="137">
        <f>$W296*AE296+$L296*Summary_LCIA!V$32</f>
        <v>2.5631280153129446E-2</v>
      </c>
      <c r="BA296" s="137">
        <f>$W296*AF296+$L296*Summary_LCIA!W$32</f>
        <v>40.539949411625791</v>
      </c>
      <c r="BB296" s="137">
        <f>$W296*AG296+$L296*Summary_LCIA!X$32</f>
        <v>21.252073986908929</v>
      </c>
      <c r="BC296" s="137">
        <f>$W296*AH296+$L296*Summary_LCIA!Y$32</f>
        <v>6.6918346178875456</v>
      </c>
      <c r="BD296" s="137">
        <f>$W296*AI296+$L296*Summary_LCIA!Z$32</f>
        <v>0.25440631697759886</v>
      </c>
      <c r="BE296" s="137">
        <f>$W296*AJ296+$L296*Summary_LCIA!AA$32</f>
        <v>10.648217480588288</v>
      </c>
      <c r="BF296" s="137">
        <f>$W296*AK296+$L296*Summary_LCIA!AB$32</f>
        <v>4.9556033310034005E-2</v>
      </c>
      <c r="BG296" s="137">
        <f>$W296*AL296+$L296*Summary_LCIA!AC$32</f>
        <v>4.8588014432478321E-5</v>
      </c>
      <c r="BH296" s="137">
        <f>$W296*AM296+$L296*Summary_LCIA!AD$32</f>
        <v>0.26374510361793208</v>
      </c>
      <c r="BI296" s="137">
        <f>$W296*AN296+$L296*Summary_LCIA!AE$32</f>
        <v>0.64816007784287721</v>
      </c>
      <c r="BJ296" s="137">
        <f>$W296*AO296+$L296*Summary_LCIA!AF$32</f>
        <v>0.35449656871673485</v>
      </c>
      <c r="BK296" s="137">
        <f>$W296*AP296+$L296*Summary_LCIA!AG$32</f>
        <v>2.5433545196734807E-2</v>
      </c>
      <c r="BL296" s="137">
        <f>$W296*AQ296+$L296*Summary_LCIA!AH$32</f>
        <v>4.2094724412211812</v>
      </c>
      <c r="BM296" s="137">
        <f>$W296*AR296+$L296*Summary_LCIA!AI$32</f>
        <v>0.62897705639532542</v>
      </c>
    </row>
    <row r="297" spans="1:65" x14ac:dyDescent="0.25">
      <c r="A297" s="149">
        <v>267</v>
      </c>
      <c r="B297" s="149">
        <v>1</v>
      </c>
      <c r="C297" s="61">
        <v>26.301392</v>
      </c>
      <c r="D297" s="61">
        <v>-80.632692000000006</v>
      </c>
      <c r="E297" s="61" t="s">
        <v>265</v>
      </c>
      <c r="F297" s="149">
        <v>79</v>
      </c>
      <c r="G297" s="61" t="s">
        <v>711</v>
      </c>
      <c r="H297" s="61" t="s">
        <v>712</v>
      </c>
      <c r="I297" s="61">
        <v>26.074234000000001</v>
      </c>
      <c r="J297" s="61">
        <v>-80.150602000000006</v>
      </c>
      <c r="K297" s="61">
        <v>58.788354300000002</v>
      </c>
      <c r="L297" s="61">
        <v>65.929000000000002</v>
      </c>
      <c r="M297" s="61" t="s">
        <v>617</v>
      </c>
      <c r="N297" s="149">
        <v>0</v>
      </c>
      <c r="O297" s="149">
        <v>1</v>
      </c>
      <c r="P297" s="61" t="s">
        <v>565</v>
      </c>
      <c r="Q297" s="61" t="s">
        <v>558</v>
      </c>
      <c r="R297" s="61">
        <v>33.640728199999998</v>
      </c>
      <c r="S297" s="61">
        <v>-84.427700099999996</v>
      </c>
      <c r="T297" s="61">
        <v>983.55399999999997</v>
      </c>
      <c r="U297" s="61" t="s">
        <v>617</v>
      </c>
      <c r="V297" s="61" t="s">
        <v>569</v>
      </c>
      <c r="W297" s="61" cm="1">
        <f t="array" ref="W297">getDistance(I297,J297,R297,S297)*SA!$B$12</f>
        <v>936.66822826376665</v>
      </c>
      <c r="Y297" s="137">
        <f>Transportation_LCIA!C$61*($W297^Transportation_LCIA!C$60)+Transportation_LCIA!C$62</f>
        <v>0.24249425460819177</v>
      </c>
      <c r="Z297" s="137">
        <f>Transportation_LCIA!D$61*($W297^Transportation_LCIA!D$60)+Transportation_LCIA!D$62</f>
        <v>2.5025137798713204</v>
      </c>
      <c r="AA297" s="137">
        <f>Transportation_LCIA!E$61*($W297^Transportation_LCIA!E$60)+Transportation_LCIA!E$62</f>
        <v>1.1949211867332108E-3</v>
      </c>
      <c r="AB297" s="137">
        <f>Transportation_LCIA!F$61*($W297^Transportation_LCIA!F$60)+Transportation_LCIA!F$62</f>
        <v>0.24249425460819177</v>
      </c>
      <c r="AC297" s="137">
        <f>Transportation_LCIA!G$61*($W297^Transportation_LCIA!G$60)+Transportation_LCIA!G$62</f>
        <v>5.846965108960045E-2</v>
      </c>
      <c r="AD297" s="137">
        <f>Transportation_LCIA!H$61*($W297^Transportation_LCIA!H$60)+Transportation_LCIA!H$62</f>
        <v>2.879279148885171E-4</v>
      </c>
      <c r="AE297" s="137">
        <f>Transportation_LCIA!I$61*($W297^Transportation_LCIA!I$60)+Transportation_LCIA!I$62</f>
        <v>6.2006448413215124E-6</v>
      </c>
      <c r="AF297" s="137">
        <f>Transportation_LCIA!J$61*($W297^Transportation_LCIA!J$60)+Transportation_LCIA!J$62</f>
        <v>9.1801836951546159E-3</v>
      </c>
      <c r="AG297" s="137">
        <f>Transportation_LCIA!K$61*($W297^Transportation_LCIA!K$60)+Transportation_LCIA!K$62</f>
        <v>1.2473257334695145E-2</v>
      </c>
      <c r="AH297" s="137">
        <f>Transportation_LCIA!L$61*($W297^Transportation_LCIA!L$60)+Transportation_LCIA!L$62</f>
        <v>2.5011863313441883E-4</v>
      </c>
      <c r="AI297" s="137">
        <f>Transportation_LCIA!M$61*($W297^Transportation_LCIA!M$60)+Transportation_LCIA!M$62</f>
        <v>2.4975184996465122E-4</v>
      </c>
      <c r="AJ297" s="137">
        <f>Transportation_LCIA!N$61*($W297^Transportation_LCIA!N$60)+Transportation_LCIA!N$62</f>
        <v>1.0272745694519061E-3</v>
      </c>
      <c r="AK297" s="137">
        <f>Transportation_LCIA!O$61*($W297^Transportation_LCIA!O$60)+Transportation_LCIA!O$62</f>
        <v>6.1795597984408274E-5</v>
      </c>
      <c r="AL297" s="137">
        <f>Transportation_LCIA!P$61*($W297^Transportation_LCIA!P$60)+Transportation_LCIA!P$62</f>
        <v>2.9879482883121991E-8</v>
      </c>
      <c r="AM297" s="137">
        <f>Transportation_LCIA!Q$61*($W297^Transportation_LCIA!Q$60)+Transportation_LCIA!Q$62</f>
        <v>9.8957982652425245E-5</v>
      </c>
      <c r="AN297" s="137">
        <f>Transportation_LCIA!R$61*($W297^Transportation_LCIA!R$60)+Transportation_LCIA!R$62</f>
        <v>2.9818281331314803E-4</v>
      </c>
      <c r="AO297" s="137">
        <f>Transportation_LCIA!S$61*($W297^Transportation_LCIA!S$60)+Transportation_LCIA!S$62</f>
        <v>4.4892808696809598E-6</v>
      </c>
      <c r="AP297" s="137">
        <f>Transportation_LCIA!T$61*($W297^Transportation_LCIA!T$60)+Transportation_LCIA!T$62</f>
        <v>4.4892808696809598E-6</v>
      </c>
      <c r="AQ297" s="137">
        <f>Transportation_LCIA!U$61*($W297^Transportation_LCIA!U$60)+Transportation_LCIA!U$62</f>
        <v>6.4062293265707948E-4</v>
      </c>
      <c r="AR297" s="137">
        <f>Transportation_LCIA!V$61*($W297^Transportation_LCIA!V$60)+Transportation_LCIA!V$62</f>
        <v>2.5736065485675112E-4</v>
      </c>
      <c r="AT297" s="137">
        <f>$W297*Y297+$L297*Summary_LCIA!H$32</f>
        <v>249.53933802799773</v>
      </c>
      <c r="AU297" s="137">
        <f>$W297*Z297+$L297*Summary_LCIA!Q$32</f>
        <v>2670.7725973949882</v>
      </c>
      <c r="AV297" s="137">
        <f>$W297*AA297+$L297*Summary_LCIA!R$32</f>
        <v>1.4664004532922341</v>
      </c>
      <c r="AW297" s="137">
        <f>$W297*AB297+$L297*Summary_LCIA!S$32</f>
        <v>249.24793184799773</v>
      </c>
      <c r="AX297" s="137">
        <f>$W297*AC297+$L297*Summary_LCIA!T$32</f>
        <v>62.012261593296664</v>
      </c>
      <c r="AY297" s="137">
        <f>$W297*AD297+$L297*Summary_LCIA!U$32</f>
        <v>1.4507450359063081</v>
      </c>
      <c r="AZ297" s="137">
        <f>$W297*AE297+$L297*Summary_LCIA!V$32</f>
        <v>8.9567819866134858E-3</v>
      </c>
      <c r="BA297" s="137">
        <f>$W297*AF297+$L297*Summary_LCIA!W$32</f>
        <v>13.673407455876392</v>
      </c>
      <c r="BB297" s="137">
        <f>$W297*AG297+$L297*Summary_LCIA!X$32</f>
        <v>13.185166468366933</v>
      </c>
      <c r="BC297" s="137">
        <f>$W297*AH297+$L297*Summary_LCIA!Y$32</f>
        <v>1.2615838549537712</v>
      </c>
      <c r="BD297" s="137">
        <f>$W297*AI297+$L297*Summary_LCIA!Z$32</f>
        <v>0.23663830517298792</v>
      </c>
      <c r="BE297" s="137">
        <f>$W297*AJ297+$L297*Summary_LCIA!AA$32</f>
        <v>2.5020531749089403</v>
      </c>
      <c r="BF297" s="137">
        <f>$W297*AK297+$L297*Summary_LCIA!AB$32</f>
        <v>5.6443204711555686E-2</v>
      </c>
      <c r="BG297" s="137">
        <f>$W297*AL297+$L297*Summary_LCIA!AC$32</f>
        <v>3.1210035529571419E-5</v>
      </c>
      <c r="BH297" s="137">
        <f>$W297*AM297+$L297*Summary_LCIA!AD$32</f>
        <v>0.11979025444360372</v>
      </c>
      <c r="BI297" s="137">
        <f>$W297*AN297+$L297*Summary_LCIA!AE$32</f>
        <v>0.33772003221473185</v>
      </c>
      <c r="BJ297" s="137">
        <f>$W297*AO297+$L297*Summary_LCIA!AF$32</f>
        <v>5.9942661938382491E-2</v>
      </c>
      <c r="BK297" s="137">
        <f>$W297*AP297+$L297*Summary_LCIA!AG$32</f>
        <v>7.5782240433824866E-3</v>
      </c>
      <c r="BL297" s="137">
        <f>$W297*AQ297+$L297*Summary_LCIA!AH$32</f>
        <v>1.173870791717045</v>
      </c>
      <c r="BM297" s="137">
        <f>$W297*AR297+$L297*Summary_LCIA!AI$32</f>
        <v>0.30247770855947581</v>
      </c>
    </row>
    <row r="298" spans="1:65" x14ac:dyDescent="0.25">
      <c r="A298" s="149">
        <v>24</v>
      </c>
      <c r="B298" s="149">
        <v>6</v>
      </c>
      <c r="C298" s="61">
        <v>46.891579</v>
      </c>
      <c r="D298" s="61">
        <v>-96.800127000000003</v>
      </c>
      <c r="E298" s="61" t="s">
        <v>265</v>
      </c>
      <c r="F298" s="149">
        <v>57</v>
      </c>
      <c r="G298" s="61" t="s">
        <v>565</v>
      </c>
      <c r="H298" s="61" t="s">
        <v>641</v>
      </c>
      <c r="I298" s="61">
        <v>44.884754999999998</v>
      </c>
      <c r="J298" s="61">
        <v>-93.222284999999999</v>
      </c>
      <c r="K298" s="61">
        <v>473.17089249999998</v>
      </c>
      <c r="L298" s="61">
        <v>397.00400000000002</v>
      </c>
      <c r="M298" s="61" t="s">
        <v>617</v>
      </c>
      <c r="N298" s="149">
        <v>5</v>
      </c>
      <c r="O298" s="149">
        <v>6</v>
      </c>
      <c r="P298" s="61" t="s">
        <v>565</v>
      </c>
      <c r="Q298" s="61" t="s">
        <v>564</v>
      </c>
      <c r="R298" s="61">
        <v>41.98028</v>
      </c>
      <c r="S298" s="61">
        <v>-87.908997900000003</v>
      </c>
      <c r="T298" s="61">
        <v>1014.241</v>
      </c>
      <c r="U298" s="61" t="s">
        <v>617</v>
      </c>
      <c r="V298" s="61" t="s">
        <v>569</v>
      </c>
      <c r="W298" s="61" cm="1">
        <f t="array" ref="W298">getDistance(I298,J298,R298,S298)*SA!$B$12</f>
        <v>537.9238360294454</v>
      </c>
      <c r="Y298" s="137">
        <f>Transportation_LCIA!C$61*($W298^Transportation_LCIA!C$60)+Transportation_LCIA!C$62</f>
        <v>0.31986678213898079</v>
      </c>
      <c r="Z298" s="137">
        <f>Transportation_LCIA!D$61*($W298^Transportation_LCIA!D$60)+Transportation_LCIA!D$62</f>
        <v>3.4196837590581142</v>
      </c>
      <c r="AA298" s="137">
        <f>Transportation_LCIA!E$61*($W298^Transportation_LCIA!E$60)+Transportation_LCIA!E$62</f>
        <v>1.8006084167141755E-3</v>
      </c>
      <c r="AB298" s="137">
        <f>Transportation_LCIA!F$61*($W298^Transportation_LCIA!F$60)+Transportation_LCIA!F$62</f>
        <v>0.31986678213898079</v>
      </c>
      <c r="AC298" s="137">
        <f>Transportation_LCIA!G$61*($W298^Transportation_LCIA!G$60)+Transportation_LCIA!G$62</f>
        <v>7.9669699225259488E-2</v>
      </c>
      <c r="AD298" s="137">
        <f>Transportation_LCIA!H$61*($W298^Transportation_LCIA!H$60)+Transportation_LCIA!H$62</f>
        <v>4.2227087470452683E-4</v>
      </c>
      <c r="AE298" s="137">
        <f>Transportation_LCIA!I$61*($W298^Transportation_LCIA!I$60)+Transportation_LCIA!I$62</f>
        <v>9.6304021623867961E-6</v>
      </c>
      <c r="AF298" s="137">
        <f>Transportation_LCIA!J$61*($W298^Transportation_LCIA!J$60)+Transportation_LCIA!J$62</f>
        <v>1.4335225470337743E-2</v>
      </c>
      <c r="AG298" s="137">
        <f>Transportation_LCIA!K$61*($W298^Transportation_LCIA!K$60)+Transportation_LCIA!K$62</f>
        <v>1.7461378929992367E-2</v>
      </c>
      <c r="AH298" s="137">
        <f>Transportation_LCIA!L$61*($W298^Transportation_LCIA!L$60)+Transportation_LCIA!L$62</f>
        <v>3.741200211309115E-4</v>
      </c>
      <c r="AI298" s="137">
        <f>Transportation_LCIA!M$61*($W298^Transportation_LCIA!M$60)+Transportation_LCIA!M$62</f>
        <v>3.2392972305419126E-4</v>
      </c>
      <c r="AJ298" s="137">
        <f>Transportation_LCIA!N$61*($W298^Transportation_LCIA!N$60)+Transportation_LCIA!N$62</f>
        <v>1.4784543299395398E-3</v>
      </c>
      <c r="AK298" s="137">
        <f>Transportation_LCIA!O$61*($W298^Transportation_LCIA!O$60)+Transportation_LCIA!O$62</f>
        <v>8.4333072501823996E-5</v>
      </c>
      <c r="AL298" s="137">
        <f>Transportation_LCIA!P$61*($W298^Transportation_LCIA!P$60)+Transportation_LCIA!P$62</f>
        <v>4.0702648380323872E-8</v>
      </c>
      <c r="AM298" s="137">
        <f>Transportation_LCIA!Q$61*($W298^Transportation_LCIA!Q$60)+Transportation_LCIA!Q$62</f>
        <v>1.4754717709156823E-4</v>
      </c>
      <c r="AN298" s="137">
        <f>Transportation_LCIA!R$61*($W298^Transportation_LCIA!R$60)+Transportation_LCIA!R$62</f>
        <v>4.6270576693556009E-4</v>
      </c>
      <c r="AO298" s="137">
        <f>Transportation_LCIA!S$61*($W298^Transportation_LCIA!S$60)+Transportation_LCIA!S$62</f>
        <v>6.8227398697620497E-6</v>
      </c>
      <c r="AP298" s="137">
        <f>Transportation_LCIA!T$61*($W298^Transportation_LCIA!T$60)+Transportation_LCIA!T$62</f>
        <v>6.8227398697620497E-6</v>
      </c>
      <c r="AQ298" s="137">
        <f>Transportation_LCIA!U$61*($W298^Transportation_LCIA!U$60)+Transportation_LCIA!U$62</f>
        <v>1.002389311334221E-3</v>
      </c>
      <c r="AR298" s="137">
        <f>Transportation_LCIA!V$61*($W298^Transportation_LCIA!V$60)+Transportation_LCIA!V$62</f>
        <v>3.8411685160034487E-4</v>
      </c>
      <c r="AT298" s="137">
        <f>$W298*Y298+$L298*Summary_LCIA!H$32</f>
        <v>306.96592566659547</v>
      </c>
      <c r="AU298" s="137">
        <f>$W298*Z298+$L298*Summary_LCIA!Q$32</f>
        <v>3807.1012517828667</v>
      </c>
      <c r="AV298" s="137">
        <f>$W298*AA298+$L298*Summary_LCIA!R$32</f>
        <v>3.0590544491057954</v>
      </c>
      <c r="AW298" s="137">
        <f>$W298*AB298+$L298*Summary_LCIA!S$32</f>
        <v>305.21116798659546</v>
      </c>
      <c r="AX298" s="137">
        <f>$W298*AC298+$L298*Summary_LCIA!T$32</f>
        <v>86.486969822563708</v>
      </c>
      <c r="AY298" s="137">
        <f>$W298*AD298+$L298*Summary_LCIA!U$32</f>
        <v>7.3390792247645686</v>
      </c>
      <c r="AZ298" s="137">
        <f>$W298*AE298+$L298*Summary_LCIA!V$32</f>
        <v>2.4141730917697373E-2</v>
      </c>
      <c r="BA298" s="137">
        <f>$W298*AF298+$L298*Summary_LCIA!W$32</f>
        <v>38.269054359351088</v>
      </c>
      <c r="BB298" s="137">
        <f>$W298*AG298+$L298*Summary_LCIA!X$32</f>
        <v>18.436643056385229</v>
      </c>
      <c r="BC298" s="137">
        <f>$W298*AH298+$L298*Summary_LCIA!Y$32</f>
        <v>6.3873644049021578</v>
      </c>
      <c r="BD298" s="137">
        <f>$W298*AI298+$L298*Summary_LCIA!Z$32</f>
        <v>0.19053025626526643</v>
      </c>
      <c r="BE298" s="137">
        <f>$W298*AJ298+$L298*Summary_LCIA!AA$32</f>
        <v>10.06772124855542</v>
      </c>
      <c r="BF298" s="137">
        <f>$W298*AK298+$L298*Summary_LCIA!AB$32</f>
        <v>3.6700951572330498E-2</v>
      </c>
      <c r="BG298" s="137">
        <f>$W298*AL298+$L298*Summary_LCIA!AC$32</f>
        <v>4.1302068289301513E-5</v>
      </c>
      <c r="BH298" s="137">
        <f>$W298*AM298+$L298*Summary_LCIA!AD$32</f>
        <v>0.24255366765641229</v>
      </c>
      <c r="BI298" s="137">
        <f>$W298*AN298+$L298*Summary_LCIA!AE$32</f>
        <v>0.60069761562292301</v>
      </c>
      <c r="BJ298" s="137">
        <f>$W298*AO298+$L298*Summary_LCIA!AF$32</f>
        <v>0.33930523608297347</v>
      </c>
      <c r="BK298" s="137">
        <f>$W298*AP298+$L298*Summary_LCIA!AG$32</f>
        <v>2.3982824062973442E-2</v>
      </c>
      <c r="BL298" s="137">
        <f>$W298*AQ298+$L298*Summary_LCIA!AH$32</f>
        <v>3.9945731179478186</v>
      </c>
      <c r="BM298" s="137">
        <f>$W298*AR298+$L298*Summary_LCIA!AI$32</f>
        <v>0.57645468649641074</v>
      </c>
    </row>
    <row r="299" spans="1:65" x14ac:dyDescent="0.25">
      <c r="A299" s="149">
        <v>25</v>
      </c>
      <c r="B299" s="149">
        <v>6</v>
      </c>
      <c r="C299" s="61">
        <v>46.891579</v>
      </c>
      <c r="D299" s="61">
        <v>-96.800127000000003</v>
      </c>
      <c r="E299" s="61" t="s">
        <v>265</v>
      </c>
      <c r="F299" s="149">
        <v>57</v>
      </c>
      <c r="G299" s="61" t="s">
        <v>565</v>
      </c>
      <c r="H299" s="61" t="s">
        <v>641</v>
      </c>
      <c r="I299" s="61">
        <v>44.884754999999998</v>
      </c>
      <c r="J299" s="61">
        <v>-93.222284999999999</v>
      </c>
      <c r="K299" s="61">
        <v>473.17089249999998</v>
      </c>
      <c r="L299" s="61">
        <v>397.00400000000002</v>
      </c>
      <c r="M299" s="61" t="s">
        <v>617</v>
      </c>
      <c r="N299" s="149">
        <v>5</v>
      </c>
      <c r="O299" s="149">
        <v>6</v>
      </c>
      <c r="P299" s="61" t="s">
        <v>565</v>
      </c>
      <c r="Q299" s="61" t="s">
        <v>564</v>
      </c>
      <c r="R299" s="61">
        <v>41.98028</v>
      </c>
      <c r="S299" s="61">
        <v>-87.908997900000003</v>
      </c>
      <c r="T299" s="61">
        <v>1014.241</v>
      </c>
      <c r="U299" s="61" t="s">
        <v>617</v>
      </c>
      <c r="V299" s="61" t="s">
        <v>569</v>
      </c>
      <c r="W299" s="61" cm="1">
        <f t="array" ref="W299">getDistance(I299,J299,R299,S299)*SA!$B$12</f>
        <v>537.9238360294454</v>
      </c>
      <c r="Y299" s="137">
        <f>Transportation_LCIA!C$61*($W299^Transportation_LCIA!C$60)+Transportation_LCIA!C$62</f>
        <v>0.31986678213898079</v>
      </c>
      <c r="Z299" s="137">
        <f>Transportation_LCIA!D$61*($W299^Transportation_LCIA!D$60)+Transportation_LCIA!D$62</f>
        <v>3.4196837590581142</v>
      </c>
      <c r="AA299" s="137">
        <f>Transportation_LCIA!E$61*($W299^Transportation_LCIA!E$60)+Transportation_LCIA!E$62</f>
        <v>1.8006084167141755E-3</v>
      </c>
      <c r="AB299" s="137">
        <f>Transportation_LCIA!F$61*($W299^Transportation_LCIA!F$60)+Transportation_LCIA!F$62</f>
        <v>0.31986678213898079</v>
      </c>
      <c r="AC299" s="137">
        <f>Transportation_LCIA!G$61*($W299^Transportation_LCIA!G$60)+Transportation_LCIA!G$62</f>
        <v>7.9669699225259488E-2</v>
      </c>
      <c r="AD299" s="137">
        <f>Transportation_LCIA!H$61*($W299^Transportation_LCIA!H$60)+Transportation_LCIA!H$62</f>
        <v>4.2227087470452683E-4</v>
      </c>
      <c r="AE299" s="137">
        <f>Transportation_LCIA!I$61*($W299^Transportation_LCIA!I$60)+Transportation_LCIA!I$62</f>
        <v>9.6304021623867961E-6</v>
      </c>
      <c r="AF299" s="137">
        <f>Transportation_LCIA!J$61*($W299^Transportation_LCIA!J$60)+Transportation_LCIA!J$62</f>
        <v>1.4335225470337743E-2</v>
      </c>
      <c r="AG299" s="137">
        <f>Transportation_LCIA!K$61*($W299^Transportation_LCIA!K$60)+Transportation_LCIA!K$62</f>
        <v>1.7461378929992367E-2</v>
      </c>
      <c r="AH299" s="137">
        <f>Transportation_LCIA!L$61*($W299^Transportation_LCIA!L$60)+Transportation_LCIA!L$62</f>
        <v>3.741200211309115E-4</v>
      </c>
      <c r="AI299" s="137">
        <f>Transportation_LCIA!M$61*($W299^Transportation_LCIA!M$60)+Transportation_LCIA!M$62</f>
        <v>3.2392972305419126E-4</v>
      </c>
      <c r="AJ299" s="137">
        <f>Transportation_LCIA!N$61*($W299^Transportation_LCIA!N$60)+Transportation_LCIA!N$62</f>
        <v>1.4784543299395398E-3</v>
      </c>
      <c r="AK299" s="137">
        <f>Transportation_LCIA!O$61*($W299^Transportation_LCIA!O$60)+Transportation_LCIA!O$62</f>
        <v>8.4333072501823996E-5</v>
      </c>
      <c r="AL299" s="137">
        <f>Transportation_LCIA!P$61*($W299^Transportation_LCIA!P$60)+Transportation_LCIA!P$62</f>
        <v>4.0702648380323872E-8</v>
      </c>
      <c r="AM299" s="137">
        <f>Transportation_LCIA!Q$61*($W299^Transportation_LCIA!Q$60)+Transportation_LCIA!Q$62</f>
        <v>1.4754717709156823E-4</v>
      </c>
      <c r="AN299" s="137">
        <f>Transportation_LCIA!R$61*($W299^Transportation_LCIA!R$60)+Transportation_LCIA!R$62</f>
        <v>4.6270576693556009E-4</v>
      </c>
      <c r="AO299" s="137">
        <f>Transportation_LCIA!S$61*($W299^Transportation_LCIA!S$60)+Transportation_LCIA!S$62</f>
        <v>6.8227398697620497E-6</v>
      </c>
      <c r="AP299" s="137">
        <f>Transportation_LCIA!T$61*($W299^Transportation_LCIA!T$60)+Transportation_LCIA!T$62</f>
        <v>6.8227398697620497E-6</v>
      </c>
      <c r="AQ299" s="137">
        <f>Transportation_LCIA!U$61*($W299^Transportation_LCIA!U$60)+Transportation_LCIA!U$62</f>
        <v>1.002389311334221E-3</v>
      </c>
      <c r="AR299" s="137">
        <f>Transportation_LCIA!V$61*($W299^Transportation_LCIA!V$60)+Transportation_LCIA!V$62</f>
        <v>3.8411685160034487E-4</v>
      </c>
      <c r="AT299" s="137">
        <f>$W299*Y299+$L299*Summary_LCIA!H$32</f>
        <v>306.96592566659547</v>
      </c>
      <c r="AU299" s="137">
        <f>$W299*Z299+$L299*Summary_LCIA!Q$32</f>
        <v>3807.1012517828667</v>
      </c>
      <c r="AV299" s="137">
        <f>$W299*AA299+$L299*Summary_LCIA!R$32</f>
        <v>3.0590544491057954</v>
      </c>
      <c r="AW299" s="137">
        <f>$W299*AB299+$L299*Summary_LCIA!S$32</f>
        <v>305.21116798659546</v>
      </c>
      <c r="AX299" s="137">
        <f>$W299*AC299+$L299*Summary_LCIA!T$32</f>
        <v>86.486969822563708</v>
      </c>
      <c r="AY299" s="137">
        <f>$W299*AD299+$L299*Summary_LCIA!U$32</f>
        <v>7.3390792247645686</v>
      </c>
      <c r="AZ299" s="137">
        <f>$W299*AE299+$L299*Summary_LCIA!V$32</f>
        <v>2.4141730917697373E-2</v>
      </c>
      <c r="BA299" s="137">
        <f>$W299*AF299+$L299*Summary_LCIA!W$32</f>
        <v>38.269054359351088</v>
      </c>
      <c r="BB299" s="137">
        <f>$W299*AG299+$L299*Summary_LCIA!X$32</f>
        <v>18.436643056385229</v>
      </c>
      <c r="BC299" s="137">
        <f>$W299*AH299+$L299*Summary_LCIA!Y$32</f>
        <v>6.3873644049021578</v>
      </c>
      <c r="BD299" s="137">
        <f>$W299*AI299+$L299*Summary_LCIA!Z$32</f>
        <v>0.19053025626526643</v>
      </c>
      <c r="BE299" s="137">
        <f>$W299*AJ299+$L299*Summary_LCIA!AA$32</f>
        <v>10.06772124855542</v>
      </c>
      <c r="BF299" s="137">
        <f>$W299*AK299+$L299*Summary_LCIA!AB$32</f>
        <v>3.6700951572330498E-2</v>
      </c>
      <c r="BG299" s="137">
        <f>$W299*AL299+$L299*Summary_LCIA!AC$32</f>
        <v>4.1302068289301513E-5</v>
      </c>
      <c r="BH299" s="137">
        <f>$W299*AM299+$L299*Summary_LCIA!AD$32</f>
        <v>0.24255366765641229</v>
      </c>
      <c r="BI299" s="137">
        <f>$W299*AN299+$L299*Summary_LCIA!AE$32</f>
        <v>0.60069761562292301</v>
      </c>
      <c r="BJ299" s="137">
        <f>$W299*AO299+$L299*Summary_LCIA!AF$32</f>
        <v>0.33930523608297347</v>
      </c>
      <c r="BK299" s="137">
        <f>$W299*AP299+$L299*Summary_LCIA!AG$32</f>
        <v>2.3982824062973442E-2</v>
      </c>
      <c r="BL299" s="137">
        <f>$W299*AQ299+$L299*Summary_LCIA!AH$32</f>
        <v>3.9945731179478186</v>
      </c>
      <c r="BM299" s="137">
        <f>$W299*AR299+$L299*Summary_LCIA!AI$32</f>
        <v>0.57645468649641074</v>
      </c>
    </row>
    <row r="300" spans="1:65" x14ac:dyDescent="0.25">
      <c r="A300" s="149">
        <v>26</v>
      </c>
      <c r="B300" s="149">
        <v>6</v>
      </c>
      <c r="C300" s="61">
        <v>46.891579</v>
      </c>
      <c r="D300" s="61">
        <v>-96.800127000000003</v>
      </c>
      <c r="E300" s="61" t="s">
        <v>265</v>
      </c>
      <c r="F300" s="149">
        <v>57</v>
      </c>
      <c r="G300" s="61" t="s">
        <v>565</v>
      </c>
      <c r="H300" s="61" t="s">
        <v>641</v>
      </c>
      <c r="I300" s="61">
        <v>44.884754999999998</v>
      </c>
      <c r="J300" s="61">
        <v>-93.222284999999999</v>
      </c>
      <c r="K300" s="61">
        <v>473.17089249999998</v>
      </c>
      <c r="L300" s="61">
        <v>397.00400000000002</v>
      </c>
      <c r="M300" s="61" t="s">
        <v>617</v>
      </c>
      <c r="N300" s="149">
        <v>5</v>
      </c>
      <c r="O300" s="149">
        <v>6</v>
      </c>
      <c r="P300" s="61" t="s">
        <v>565</v>
      </c>
      <c r="Q300" s="61" t="s">
        <v>564</v>
      </c>
      <c r="R300" s="61">
        <v>41.98028</v>
      </c>
      <c r="S300" s="61">
        <v>-87.908997900000003</v>
      </c>
      <c r="T300" s="61">
        <v>1014.241</v>
      </c>
      <c r="U300" s="61" t="s">
        <v>617</v>
      </c>
      <c r="V300" s="61" t="s">
        <v>569</v>
      </c>
      <c r="W300" s="61" cm="1">
        <f t="array" ref="W300">getDistance(I300,J300,R300,S300)*SA!$B$12</f>
        <v>537.9238360294454</v>
      </c>
      <c r="Y300" s="137">
        <f>Transportation_LCIA!C$61*($W300^Transportation_LCIA!C$60)+Transportation_LCIA!C$62</f>
        <v>0.31986678213898079</v>
      </c>
      <c r="Z300" s="137">
        <f>Transportation_LCIA!D$61*($W300^Transportation_LCIA!D$60)+Transportation_LCIA!D$62</f>
        <v>3.4196837590581142</v>
      </c>
      <c r="AA300" s="137">
        <f>Transportation_LCIA!E$61*($W300^Transportation_LCIA!E$60)+Transportation_LCIA!E$62</f>
        <v>1.8006084167141755E-3</v>
      </c>
      <c r="AB300" s="137">
        <f>Transportation_LCIA!F$61*($W300^Transportation_LCIA!F$60)+Transportation_LCIA!F$62</f>
        <v>0.31986678213898079</v>
      </c>
      <c r="AC300" s="137">
        <f>Transportation_LCIA!G$61*($W300^Transportation_LCIA!G$60)+Transportation_LCIA!G$62</f>
        <v>7.9669699225259488E-2</v>
      </c>
      <c r="AD300" s="137">
        <f>Transportation_LCIA!H$61*($W300^Transportation_LCIA!H$60)+Transportation_LCIA!H$62</f>
        <v>4.2227087470452683E-4</v>
      </c>
      <c r="AE300" s="137">
        <f>Transportation_LCIA!I$61*($W300^Transportation_LCIA!I$60)+Transportation_LCIA!I$62</f>
        <v>9.6304021623867961E-6</v>
      </c>
      <c r="AF300" s="137">
        <f>Transportation_LCIA!J$61*($W300^Transportation_LCIA!J$60)+Transportation_LCIA!J$62</f>
        <v>1.4335225470337743E-2</v>
      </c>
      <c r="AG300" s="137">
        <f>Transportation_LCIA!K$61*($W300^Transportation_LCIA!K$60)+Transportation_LCIA!K$62</f>
        <v>1.7461378929992367E-2</v>
      </c>
      <c r="AH300" s="137">
        <f>Transportation_LCIA!L$61*($W300^Transportation_LCIA!L$60)+Transportation_LCIA!L$62</f>
        <v>3.741200211309115E-4</v>
      </c>
      <c r="AI300" s="137">
        <f>Transportation_LCIA!M$61*($W300^Transportation_LCIA!M$60)+Transportation_LCIA!M$62</f>
        <v>3.2392972305419126E-4</v>
      </c>
      <c r="AJ300" s="137">
        <f>Transportation_LCIA!N$61*($W300^Transportation_LCIA!N$60)+Transportation_LCIA!N$62</f>
        <v>1.4784543299395398E-3</v>
      </c>
      <c r="AK300" s="137">
        <f>Transportation_LCIA!O$61*($W300^Transportation_LCIA!O$60)+Transportation_LCIA!O$62</f>
        <v>8.4333072501823996E-5</v>
      </c>
      <c r="AL300" s="137">
        <f>Transportation_LCIA!P$61*($W300^Transportation_LCIA!P$60)+Transportation_LCIA!P$62</f>
        <v>4.0702648380323872E-8</v>
      </c>
      <c r="AM300" s="137">
        <f>Transportation_LCIA!Q$61*($W300^Transportation_LCIA!Q$60)+Transportation_LCIA!Q$62</f>
        <v>1.4754717709156823E-4</v>
      </c>
      <c r="AN300" s="137">
        <f>Transportation_LCIA!R$61*($W300^Transportation_LCIA!R$60)+Transportation_LCIA!R$62</f>
        <v>4.6270576693556009E-4</v>
      </c>
      <c r="AO300" s="137">
        <f>Transportation_LCIA!S$61*($W300^Transportation_LCIA!S$60)+Transportation_LCIA!S$62</f>
        <v>6.8227398697620497E-6</v>
      </c>
      <c r="AP300" s="137">
        <f>Transportation_LCIA!T$61*($W300^Transportation_LCIA!T$60)+Transportation_LCIA!T$62</f>
        <v>6.8227398697620497E-6</v>
      </c>
      <c r="AQ300" s="137">
        <f>Transportation_LCIA!U$61*($W300^Transportation_LCIA!U$60)+Transportation_LCIA!U$62</f>
        <v>1.002389311334221E-3</v>
      </c>
      <c r="AR300" s="137">
        <f>Transportation_LCIA!V$61*($W300^Transportation_LCIA!V$60)+Transportation_LCIA!V$62</f>
        <v>3.8411685160034487E-4</v>
      </c>
      <c r="AT300" s="137">
        <f>$W300*Y300+$L300*Summary_LCIA!H$32</f>
        <v>306.96592566659547</v>
      </c>
      <c r="AU300" s="137">
        <f>$W300*Z300+$L300*Summary_LCIA!Q$32</f>
        <v>3807.1012517828667</v>
      </c>
      <c r="AV300" s="137">
        <f>$W300*AA300+$L300*Summary_LCIA!R$32</f>
        <v>3.0590544491057954</v>
      </c>
      <c r="AW300" s="137">
        <f>$W300*AB300+$L300*Summary_LCIA!S$32</f>
        <v>305.21116798659546</v>
      </c>
      <c r="AX300" s="137">
        <f>$W300*AC300+$L300*Summary_LCIA!T$32</f>
        <v>86.486969822563708</v>
      </c>
      <c r="AY300" s="137">
        <f>$W300*AD300+$L300*Summary_LCIA!U$32</f>
        <v>7.3390792247645686</v>
      </c>
      <c r="AZ300" s="137">
        <f>$W300*AE300+$L300*Summary_LCIA!V$32</f>
        <v>2.4141730917697373E-2</v>
      </c>
      <c r="BA300" s="137">
        <f>$W300*AF300+$L300*Summary_LCIA!W$32</f>
        <v>38.269054359351088</v>
      </c>
      <c r="BB300" s="137">
        <f>$W300*AG300+$L300*Summary_LCIA!X$32</f>
        <v>18.436643056385229</v>
      </c>
      <c r="BC300" s="137">
        <f>$W300*AH300+$L300*Summary_LCIA!Y$32</f>
        <v>6.3873644049021578</v>
      </c>
      <c r="BD300" s="137">
        <f>$W300*AI300+$L300*Summary_LCIA!Z$32</f>
        <v>0.19053025626526643</v>
      </c>
      <c r="BE300" s="137">
        <f>$W300*AJ300+$L300*Summary_LCIA!AA$32</f>
        <v>10.06772124855542</v>
      </c>
      <c r="BF300" s="137">
        <f>$W300*AK300+$L300*Summary_LCIA!AB$32</f>
        <v>3.6700951572330498E-2</v>
      </c>
      <c r="BG300" s="137">
        <f>$W300*AL300+$L300*Summary_LCIA!AC$32</f>
        <v>4.1302068289301513E-5</v>
      </c>
      <c r="BH300" s="137">
        <f>$W300*AM300+$L300*Summary_LCIA!AD$32</f>
        <v>0.24255366765641229</v>
      </c>
      <c r="BI300" s="137">
        <f>$W300*AN300+$L300*Summary_LCIA!AE$32</f>
        <v>0.60069761562292301</v>
      </c>
      <c r="BJ300" s="137">
        <f>$W300*AO300+$L300*Summary_LCIA!AF$32</f>
        <v>0.33930523608297347</v>
      </c>
      <c r="BK300" s="137">
        <f>$W300*AP300+$L300*Summary_LCIA!AG$32</f>
        <v>2.3982824062973442E-2</v>
      </c>
      <c r="BL300" s="137">
        <f>$W300*AQ300+$L300*Summary_LCIA!AH$32</f>
        <v>3.9945731179478186</v>
      </c>
      <c r="BM300" s="137">
        <f>$W300*AR300+$L300*Summary_LCIA!AI$32</f>
        <v>0.57645468649641074</v>
      </c>
    </row>
    <row r="301" spans="1:65" x14ac:dyDescent="0.25">
      <c r="A301" s="149">
        <v>214</v>
      </c>
      <c r="B301" s="149">
        <v>6</v>
      </c>
      <c r="C301" s="61">
        <v>35.998092999999997</v>
      </c>
      <c r="D301" s="61">
        <v>-94.089990999999998</v>
      </c>
      <c r="E301" s="61" t="s">
        <v>265</v>
      </c>
      <c r="F301" s="149">
        <v>94</v>
      </c>
      <c r="G301" s="61" t="s">
        <v>565</v>
      </c>
      <c r="H301" s="61" t="s">
        <v>700</v>
      </c>
      <c r="I301" s="61">
        <v>36.278663000000002</v>
      </c>
      <c r="J301" s="61">
        <v>-94.306483</v>
      </c>
      <c r="K301" s="61">
        <v>583.37919480000005</v>
      </c>
      <c r="L301" s="61">
        <v>58.906999999999996</v>
      </c>
      <c r="M301" s="61" t="s">
        <v>617</v>
      </c>
      <c r="N301" s="149">
        <v>5</v>
      </c>
      <c r="O301" s="149">
        <v>6</v>
      </c>
      <c r="P301" s="61" t="s">
        <v>565</v>
      </c>
      <c r="Q301" s="61" t="s">
        <v>564</v>
      </c>
      <c r="R301" s="61">
        <v>41.98028</v>
      </c>
      <c r="S301" s="61">
        <v>-87.908997900000003</v>
      </c>
      <c r="T301" s="61">
        <v>1033.424</v>
      </c>
      <c r="U301" s="61" t="s">
        <v>617</v>
      </c>
      <c r="V301" s="61" t="s">
        <v>569</v>
      </c>
      <c r="W301" s="61" cm="1">
        <f t="array" ref="W301">getDistance(I301,J301,R301,S301)*SA!$B$12</f>
        <v>841.08228791697036</v>
      </c>
      <c r="Y301" s="137">
        <f>Transportation_LCIA!C$61*($W301^Transportation_LCIA!C$60)+Transportation_LCIA!C$62</f>
        <v>0.25483648971312539</v>
      </c>
      <c r="Z301" s="137">
        <f>Transportation_LCIA!D$61*($W301^Transportation_LCIA!D$60)+Transportation_LCIA!D$62</f>
        <v>2.6472723861775869</v>
      </c>
      <c r="AA301" s="137">
        <f>Transportation_LCIA!E$61*($W301^Transportation_LCIA!E$60)+Transportation_LCIA!E$62</f>
        <v>1.2902322112089038E-3</v>
      </c>
      <c r="AB301" s="137">
        <f>Transportation_LCIA!F$61*($W301^Transportation_LCIA!F$60)+Transportation_LCIA!F$62</f>
        <v>0.25483648971312539</v>
      </c>
      <c r="AC301" s="137">
        <f>Transportation_LCIA!G$61*($W301^Transportation_LCIA!G$60)+Transportation_LCIA!G$62</f>
        <v>6.1817770666351725E-2</v>
      </c>
      <c r="AD301" s="137">
        <f>Transportation_LCIA!H$61*($W301^Transportation_LCIA!H$60)+Transportation_LCIA!H$62</f>
        <v>3.0894329660543525E-4</v>
      </c>
      <c r="AE301" s="137">
        <f>Transportation_LCIA!I$61*($W301^Transportation_LCIA!I$60)+Transportation_LCIA!I$62</f>
        <v>6.7320549290728598E-6</v>
      </c>
      <c r="AF301" s="137">
        <f>Transportation_LCIA!J$61*($W301^Transportation_LCIA!J$60)+Transportation_LCIA!J$62</f>
        <v>9.973917442371992E-3</v>
      </c>
      <c r="AG301" s="137">
        <f>Transportation_LCIA!K$61*($W301^Transportation_LCIA!K$60)+Transportation_LCIA!K$62</f>
        <v>1.3256802550257076E-2</v>
      </c>
      <c r="AH301" s="137">
        <f>Transportation_LCIA!L$61*($W301^Transportation_LCIA!L$60)+Transportation_LCIA!L$62</f>
        <v>2.6946356013672829E-4</v>
      </c>
      <c r="AI301" s="137">
        <f>Transportation_LCIA!M$61*($W301^Transportation_LCIA!M$60)+Transportation_LCIA!M$62</f>
        <v>2.6135180851105747E-4</v>
      </c>
      <c r="AJ301" s="137">
        <f>Transportation_LCIA!N$61*($W301^Transportation_LCIA!N$60)+Transportation_LCIA!N$62</f>
        <v>1.0979065814177152E-3</v>
      </c>
      <c r="AK301" s="137">
        <f>Transportation_LCIA!O$61*($W301^Transportation_LCIA!O$60)+Transportation_LCIA!O$62</f>
        <v>6.5353896392131321E-5</v>
      </c>
      <c r="AL301" s="137">
        <f>Transportation_LCIA!P$61*($W301^Transportation_LCIA!P$60)+Transportation_LCIA!P$62</f>
        <v>3.1589636452966191E-8</v>
      </c>
      <c r="AM301" s="137">
        <f>Transportation_LCIA!Q$61*($W301^Transportation_LCIA!Q$60)+Transportation_LCIA!Q$62</f>
        <v>1.0652706733180661E-4</v>
      </c>
      <c r="AN301" s="137">
        <f>Transportation_LCIA!R$61*($W301^Transportation_LCIA!R$60)+Transportation_LCIA!R$62</f>
        <v>3.2366826181379828E-4</v>
      </c>
      <c r="AO301" s="137">
        <f>Transportation_LCIA!S$61*($W301^Transportation_LCIA!S$60)+Transportation_LCIA!S$62</f>
        <v>4.850900823039175E-6</v>
      </c>
      <c r="AP301" s="137">
        <f>Transportation_LCIA!T$61*($W301^Transportation_LCIA!T$60)+Transportation_LCIA!T$62</f>
        <v>4.850900823039175E-6</v>
      </c>
      <c r="AQ301" s="137">
        <f>Transportation_LCIA!U$61*($W301^Transportation_LCIA!U$60)+Transportation_LCIA!U$62</f>
        <v>6.965605332122526E-4</v>
      </c>
      <c r="AR301" s="137">
        <f>Transportation_LCIA!V$61*($W301^Transportation_LCIA!V$60)+Transportation_LCIA!V$62</f>
        <v>2.7706903123845639E-4</v>
      </c>
      <c r="AT301" s="137">
        <f>$W301*Y301+$L301*Summary_LCIA!H$32</f>
        <v>234.35505641264498</v>
      </c>
      <c r="AU301" s="137">
        <f>$W301*Z301+$L301*Summary_LCIA!Q$32</f>
        <v>2518.5199781623933</v>
      </c>
      <c r="AV301" s="137">
        <f>$W301*AA301+$L301*Summary_LCIA!R$32</f>
        <v>1.3953721593477566</v>
      </c>
      <c r="AW301" s="137">
        <f>$W301*AB301+$L301*Summary_LCIA!S$32</f>
        <v>234.09468747264498</v>
      </c>
      <c r="AX301" s="137">
        <f>$W301*AC301+$L301*Summary_LCIA!T$32</f>
        <v>58.467711285981686</v>
      </c>
      <c r="AY301" s="137">
        <f>$W301*AD301+$L301*Summary_LCIA!U$32</f>
        <v>1.3151067327455106</v>
      </c>
      <c r="AZ301" s="137">
        <f>$W301*AE301+$L301*Summary_LCIA!V$32</f>
        <v>8.4756693891273188E-3</v>
      </c>
      <c r="BA301" s="137">
        <f>$W301*AF301+$L301*Summary_LCIA!W$32</f>
        <v>12.923015998925212</v>
      </c>
      <c r="BB301" s="137">
        <f>$W301*AG301+$L301*Summary_LCIA!X$32</f>
        <v>12.491963279433749</v>
      </c>
      <c r="BC301" s="137">
        <f>$W301*AH301+$L301*Summary_LCIA!Y$32</f>
        <v>1.1445299016700514</v>
      </c>
      <c r="BD301" s="137">
        <f>$W301*AI301+$L301*Summary_LCIA!Z$32</f>
        <v>0.22223409421671814</v>
      </c>
      <c r="BE301" s="137">
        <f>$W301*AJ301+$L301*Summary_LCIA!AA$32</f>
        <v>2.299261671417911</v>
      </c>
      <c r="BF301" s="137">
        <f>$W301*AK301+$L301*Summary_LCIA!AB$32</f>
        <v>5.3682477240782449E-2</v>
      </c>
      <c r="BG301" s="137">
        <f>$W301*AL301+$L301*Summary_LCIA!AC$32</f>
        <v>2.9449093490326133E-5</v>
      </c>
      <c r="BH301" s="137">
        <f>$W301*AM301+$L301*Summary_LCIA!AD$32</f>
        <v>0.11381116279652105</v>
      </c>
      <c r="BI301" s="137">
        <f>$W301*AN301+$L301*Summary_LCIA!AE$32</f>
        <v>0.32443090208245845</v>
      </c>
      <c r="BJ301" s="137">
        <f>$W301*AO301+$L301*Summary_LCIA!AF$32</f>
        <v>5.3881162702700103E-2</v>
      </c>
      <c r="BK301" s="137">
        <f>$W301*AP301+$L301*Summary_LCIA!AG$32</f>
        <v>7.0939834177001036E-3</v>
      </c>
      <c r="BL301" s="137">
        <f>$W301*AQ301+$L301*Summary_LCIA!AH$32</f>
        <v>1.0985676921468261</v>
      </c>
      <c r="BM301" s="137">
        <f>$W301*AR301+$L301*Summary_LCIA!AI$32</f>
        <v>0.28791267055497943</v>
      </c>
    </row>
    <row r="302" spans="1:65" x14ac:dyDescent="0.25">
      <c r="A302" s="149">
        <v>215</v>
      </c>
      <c r="B302" s="149">
        <v>6</v>
      </c>
      <c r="C302" s="61">
        <v>35.998092999999997</v>
      </c>
      <c r="D302" s="61">
        <v>-94.089990999999998</v>
      </c>
      <c r="E302" s="61" t="s">
        <v>265</v>
      </c>
      <c r="F302" s="149">
        <v>94</v>
      </c>
      <c r="G302" s="61" t="s">
        <v>565</v>
      </c>
      <c r="H302" s="61" t="s">
        <v>700</v>
      </c>
      <c r="I302" s="61">
        <v>36.278663000000002</v>
      </c>
      <c r="J302" s="61">
        <v>-94.306483</v>
      </c>
      <c r="K302" s="61">
        <v>583.37919480000005</v>
      </c>
      <c r="L302" s="61">
        <v>58.906999999999996</v>
      </c>
      <c r="M302" s="61" t="s">
        <v>617</v>
      </c>
      <c r="N302" s="149">
        <v>5</v>
      </c>
      <c r="O302" s="149">
        <v>6</v>
      </c>
      <c r="P302" s="61" t="s">
        <v>565</v>
      </c>
      <c r="Q302" s="61" t="s">
        <v>564</v>
      </c>
      <c r="R302" s="61">
        <v>41.98028</v>
      </c>
      <c r="S302" s="61">
        <v>-87.908997900000003</v>
      </c>
      <c r="T302" s="61">
        <v>1033.424</v>
      </c>
      <c r="U302" s="61" t="s">
        <v>617</v>
      </c>
      <c r="V302" s="61" t="s">
        <v>569</v>
      </c>
      <c r="W302" s="61" cm="1">
        <f t="array" ref="W302">getDistance(I302,J302,R302,S302)*SA!$B$12</f>
        <v>841.08228791697036</v>
      </c>
      <c r="Y302" s="137">
        <f>Transportation_LCIA!C$61*($W302^Transportation_LCIA!C$60)+Transportation_LCIA!C$62</f>
        <v>0.25483648971312539</v>
      </c>
      <c r="Z302" s="137">
        <f>Transportation_LCIA!D$61*($W302^Transportation_LCIA!D$60)+Transportation_LCIA!D$62</f>
        <v>2.6472723861775869</v>
      </c>
      <c r="AA302" s="137">
        <f>Transportation_LCIA!E$61*($W302^Transportation_LCIA!E$60)+Transportation_LCIA!E$62</f>
        <v>1.2902322112089038E-3</v>
      </c>
      <c r="AB302" s="137">
        <f>Transportation_LCIA!F$61*($W302^Transportation_LCIA!F$60)+Transportation_LCIA!F$62</f>
        <v>0.25483648971312539</v>
      </c>
      <c r="AC302" s="137">
        <f>Transportation_LCIA!G$61*($W302^Transportation_LCIA!G$60)+Transportation_LCIA!G$62</f>
        <v>6.1817770666351725E-2</v>
      </c>
      <c r="AD302" s="137">
        <f>Transportation_LCIA!H$61*($W302^Transportation_LCIA!H$60)+Transportation_LCIA!H$62</f>
        <v>3.0894329660543525E-4</v>
      </c>
      <c r="AE302" s="137">
        <f>Transportation_LCIA!I$61*($W302^Transportation_LCIA!I$60)+Transportation_LCIA!I$62</f>
        <v>6.7320549290728598E-6</v>
      </c>
      <c r="AF302" s="137">
        <f>Transportation_LCIA!J$61*($W302^Transportation_LCIA!J$60)+Transportation_LCIA!J$62</f>
        <v>9.973917442371992E-3</v>
      </c>
      <c r="AG302" s="137">
        <f>Transportation_LCIA!K$61*($W302^Transportation_LCIA!K$60)+Transportation_LCIA!K$62</f>
        <v>1.3256802550257076E-2</v>
      </c>
      <c r="AH302" s="137">
        <f>Transportation_LCIA!L$61*($W302^Transportation_LCIA!L$60)+Transportation_LCIA!L$62</f>
        <v>2.6946356013672829E-4</v>
      </c>
      <c r="AI302" s="137">
        <f>Transportation_LCIA!M$61*($W302^Transportation_LCIA!M$60)+Transportation_LCIA!M$62</f>
        <v>2.6135180851105747E-4</v>
      </c>
      <c r="AJ302" s="137">
        <f>Transportation_LCIA!N$61*($W302^Transportation_LCIA!N$60)+Transportation_LCIA!N$62</f>
        <v>1.0979065814177152E-3</v>
      </c>
      <c r="AK302" s="137">
        <f>Transportation_LCIA!O$61*($W302^Transportation_LCIA!O$60)+Transportation_LCIA!O$62</f>
        <v>6.5353896392131321E-5</v>
      </c>
      <c r="AL302" s="137">
        <f>Transportation_LCIA!P$61*($W302^Transportation_LCIA!P$60)+Transportation_LCIA!P$62</f>
        <v>3.1589636452966191E-8</v>
      </c>
      <c r="AM302" s="137">
        <f>Transportation_LCIA!Q$61*($W302^Transportation_LCIA!Q$60)+Transportation_LCIA!Q$62</f>
        <v>1.0652706733180661E-4</v>
      </c>
      <c r="AN302" s="137">
        <f>Transportation_LCIA!R$61*($W302^Transportation_LCIA!R$60)+Transportation_LCIA!R$62</f>
        <v>3.2366826181379828E-4</v>
      </c>
      <c r="AO302" s="137">
        <f>Transportation_LCIA!S$61*($W302^Transportation_LCIA!S$60)+Transportation_LCIA!S$62</f>
        <v>4.850900823039175E-6</v>
      </c>
      <c r="AP302" s="137">
        <f>Transportation_LCIA!T$61*($W302^Transportation_LCIA!T$60)+Transportation_LCIA!T$62</f>
        <v>4.850900823039175E-6</v>
      </c>
      <c r="AQ302" s="137">
        <f>Transportation_LCIA!U$61*($W302^Transportation_LCIA!U$60)+Transportation_LCIA!U$62</f>
        <v>6.965605332122526E-4</v>
      </c>
      <c r="AR302" s="137">
        <f>Transportation_LCIA!V$61*($W302^Transportation_LCIA!V$60)+Transportation_LCIA!V$62</f>
        <v>2.7706903123845639E-4</v>
      </c>
      <c r="AT302" s="137">
        <f>$W302*Y302+$L302*Summary_LCIA!H$32</f>
        <v>234.35505641264498</v>
      </c>
      <c r="AU302" s="137">
        <f>$W302*Z302+$L302*Summary_LCIA!Q$32</f>
        <v>2518.5199781623933</v>
      </c>
      <c r="AV302" s="137">
        <f>$W302*AA302+$L302*Summary_LCIA!R$32</f>
        <v>1.3953721593477566</v>
      </c>
      <c r="AW302" s="137">
        <f>$W302*AB302+$L302*Summary_LCIA!S$32</f>
        <v>234.09468747264498</v>
      </c>
      <c r="AX302" s="137">
        <f>$W302*AC302+$L302*Summary_LCIA!T$32</f>
        <v>58.467711285981686</v>
      </c>
      <c r="AY302" s="137">
        <f>$W302*AD302+$L302*Summary_LCIA!U$32</f>
        <v>1.3151067327455106</v>
      </c>
      <c r="AZ302" s="137">
        <f>$W302*AE302+$L302*Summary_LCIA!V$32</f>
        <v>8.4756693891273188E-3</v>
      </c>
      <c r="BA302" s="137">
        <f>$W302*AF302+$L302*Summary_LCIA!W$32</f>
        <v>12.923015998925212</v>
      </c>
      <c r="BB302" s="137">
        <f>$W302*AG302+$L302*Summary_LCIA!X$32</f>
        <v>12.491963279433749</v>
      </c>
      <c r="BC302" s="137">
        <f>$W302*AH302+$L302*Summary_LCIA!Y$32</f>
        <v>1.1445299016700514</v>
      </c>
      <c r="BD302" s="137">
        <f>$W302*AI302+$L302*Summary_LCIA!Z$32</f>
        <v>0.22223409421671814</v>
      </c>
      <c r="BE302" s="137">
        <f>$W302*AJ302+$L302*Summary_LCIA!AA$32</f>
        <v>2.299261671417911</v>
      </c>
      <c r="BF302" s="137">
        <f>$W302*AK302+$L302*Summary_LCIA!AB$32</f>
        <v>5.3682477240782449E-2</v>
      </c>
      <c r="BG302" s="137">
        <f>$W302*AL302+$L302*Summary_LCIA!AC$32</f>
        <v>2.9449093490326133E-5</v>
      </c>
      <c r="BH302" s="137">
        <f>$W302*AM302+$L302*Summary_LCIA!AD$32</f>
        <v>0.11381116279652105</v>
      </c>
      <c r="BI302" s="137">
        <f>$W302*AN302+$L302*Summary_LCIA!AE$32</f>
        <v>0.32443090208245845</v>
      </c>
      <c r="BJ302" s="137">
        <f>$W302*AO302+$L302*Summary_LCIA!AF$32</f>
        <v>5.3881162702700103E-2</v>
      </c>
      <c r="BK302" s="137">
        <f>$W302*AP302+$L302*Summary_LCIA!AG$32</f>
        <v>7.0939834177001036E-3</v>
      </c>
      <c r="BL302" s="137">
        <f>$W302*AQ302+$L302*Summary_LCIA!AH$32</f>
        <v>1.0985676921468261</v>
      </c>
      <c r="BM302" s="137">
        <f>$W302*AR302+$L302*Summary_LCIA!AI$32</f>
        <v>0.28791267055497943</v>
      </c>
    </row>
    <row r="303" spans="1:65" x14ac:dyDescent="0.25">
      <c r="A303" s="149">
        <v>216</v>
      </c>
      <c r="B303" s="149">
        <v>6</v>
      </c>
      <c r="C303" s="61">
        <v>35.998092999999997</v>
      </c>
      <c r="D303" s="61">
        <v>-94.089990999999998</v>
      </c>
      <c r="E303" s="61" t="s">
        <v>265</v>
      </c>
      <c r="F303" s="149">
        <v>94</v>
      </c>
      <c r="G303" s="61" t="s">
        <v>565</v>
      </c>
      <c r="H303" s="61" t="s">
        <v>700</v>
      </c>
      <c r="I303" s="61">
        <v>36.278663000000002</v>
      </c>
      <c r="J303" s="61">
        <v>-94.306483</v>
      </c>
      <c r="K303" s="61">
        <v>583.37919480000005</v>
      </c>
      <c r="L303" s="61">
        <v>58.906999999999996</v>
      </c>
      <c r="M303" s="61" t="s">
        <v>617</v>
      </c>
      <c r="N303" s="149">
        <v>5</v>
      </c>
      <c r="O303" s="149">
        <v>6</v>
      </c>
      <c r="P303" s="61" t="s">
        <v>565</v>
      </c>
      <c r="Q303" s="61" t="s">
        <v>564</v>
      </c>
      <c r="R303" s="61">
        <v>41.98028</v>
      </c>
      <c r="S303" s="61">
        <v>-87.908997900000003</v>
      </c>
      <c r="T303" s="61">
        <v>1033.424</v>
      </c>
      <c r="U303" s="61" t="s">
        <v>617</v>
      </c>
      <c r="V303" s="61" t="s">
        <v>569</v>
      </c>
      <c r="W303" s="61" cm="1">
        <f t="array" ref="W303">getDistance(I303,J303,R303,S303)*SA!$B$12</f>
        <v>841.08228791697036</v>
      </c>
      <c r="Y303" s="137">
        <f>Transportation_LCIA!C$61*($W303^Transportation_LCIA!C$60)+Transportation_LCIA!C$62</f>
        <v>0.25483648971312539</v>
      </c>
      <c r="Z303" s="137">
        <f>Transportation_LCIA!D$61*($W303^Transportation_LCIA!D$60)+Transportation_LCIA!D$62</f>
        <v>2.6472723861775869</v>
      </c>
      <c r="AA303" s="137">
        <f>Transportation_LCIA!E$61*($W303^Transportation_LCIA!E$60)+Transportation_LCIA!E$62</f>
        <v>1.2902322112089038E-3</v>
      </c>
      <c r="AB303" s="137">
        <f>Transportation_LCIA!F$61*($W303^Transportation_LCIA!F$60)+Transportation_LCIA!F$62</f>
        <v>0.25483648971312539</v>
      </c>
      <c r="AC303" s="137">
        <f>Transportation_LCIA!G$61*($W303^Transportation_LCIA!G$60)+Transportation_LCIA!G$62</f>
        <v>6.1817770666351725E-2</v>
      </c>
      <c r="AD303" s="137">
        <f>Transportation_LCIA!H$61*($W303^Transportation_LCIA!H$60)+Transportation_LCIA!H$62</f>
        <v>3.0894329660543525E-4</v>
      </c>
      <c r="AE303" s="137">
        <f>Transportation_LCIA!I$61*($W303^Transportation_LCIA!I$60)+Transportation_LCIA!I$62</f>
        <v>6.7320549290728598E-6</v>
      </c>
      <c r="AF303" s="137">
        <f>Transportation_LCIA!J$61*($W303^Transportation_LCIA!J$60)+Transportation_LCIA!J$62</f>
        <v>9.973917442371992E-3</v>
      </c>
      <c r="AG303" s="137">
        <f>Transportation_LCIA!K$61*($W303^Transportation_LCIA!K$60)+Transportation_LCIA!K$62</f>
        <v>1.3256802550257076E-2</v>
      </c>
      <c r="AH303" s="137">
        <f>Transportation_LCIA!L$61*($W303^Transportation_LCIA!L$60)+Transportation_LCIA!L$62</f>
        <v>2.6946356013672829E-4</v>
      </c>
      <c r="AI303" s="137">
        <f>Transportation_LCIA!M$61*($W303^Transportation_LCIA!M$60)+Transportation_LCIA!M$62</f>
        <v>2.6135180851105747E-4</v>
      </c>
      <c r="AJ303" s="137">
        <f>Transportation_LCIA!N$61*($W303^Transportation_LCIA!N$60)+Transportation_LCIA!N$62</f>
        <v>1.0979065814177152E-3</v>
      </c>
      <c r="AK303" s="137">
        <f>Transportation_LCIA!O$61*($W303^Transportation_LCIA!O$60)+Transportation_LCIA!O$62</f>
        <v>6.5353896392131321E-5</v>
      </c>
      <c r="AL303" s="137">
        <f>Transportation_LCIA!P$61*($W303^Transportation_LCIA!P$60)+Transportation_LCIA!P$62</f>
        <v>3.1589636452966191E-8</v>
      </c>
      <c r="AM303" s="137">
        <f>Transportation_LCIA!Q$61*($W303^Transportation_LCIA!Q$60)+Transportation_LCIA!Q$62</f>
        <v>1.0652706733180661E-4</v>
      </c>
      <c r="AN303" s="137">
        <f>Transportation_LCIA!R$61*($W303^Transportation_LCIA!R$60)+Transportation_LCIA!R$62</f>
        <v>3.2366826181379828E-4</v>
      </c>
      <c r="AO303" s="137">
        <f>Transportation_LCIA!S$61*($W303^Transportation_LCIA!S$60)+Transportation_LCIA!S$62</f>
        <v>4.850900823039175E-6</v>
      </c>
      <c r="AP303" s="137">
        <f>Transportation_LCIA!T$61*($W303^Transportation_LCIA!T$60)+Transportation_LCIA!T$62</f>
        <v>4.850900823039175E-6</v>
      </c>
      <c r="AQ303" s="137">
        <f>Transportation_LCIA!U$61*($W303^Transportation_LCIA!U$60)+Transportation_LCIA!U$62</f>
        <v>6.965605332122526E-4</v>
      </c>
      <c r="AR303" s="137">
        <f>Transportation_LCIA!V$61*($W303^Transportation_LCIA!V$60)+Transportation_LCIA!V$62</f>
        <v>2.7706903123845639E-4</v>
      </c>
      <c r="AT303" s="137">
        <f>$W303*Y303+$L303*Summary_LCIA!H$32</f>
        <v>234.35505641264498</v>
      </c>
      <c r="AU303" s="137">
        <f>$W303*Z303+$L303*Summary_LCIA!Q$32</f>
        <v>2518.5199781623933</v>
      </c>
      <c r="AV303" s="137">
        <f>$W303*AA303+$L303*Summary_LCIA!R$32</f>
        <v>1.3953721593477566</v>
      </c>
      <c r="AW303" s="137">
        <f>$W303*AB303+$L303*Summary_LCIA!S$32</f>
        <v>234.09468747264498</v>
      </c>
      <c r="AX303" s="137">
        <f>$W303*AC303+$L303*Summary_LCIA!T$32</f>
        <v>58.467711285981686</v>
      </c>
      <c r="AY303" s="137">
        <f>$W303*AD303+$L303*Summary_LCIA!U$32</f>
        <v>1.3151067327455106</v>
      </c>
      <c r="AZ303" s="137">
        <f>$W303*AE303+$L303*Summary_LCIA!V$32</f>
        <v>8.4756693891273188E-3</v>
      </c>
      <c r="BA303" s="137">
        <f>$W303*AF303+$L303*Summary_LCIA!W$32</f>
        <v>12.923015998925212</v>
      </c>
      <c r="BB303" s="137">
        <f>$W303*AG303+$L303*Summary_LCIA!X$32</f>
        <v>12.491963279433749</v>
      </c>
      <c r="BC303" s="137">
        <f>$W303*AH303+$L303*Summary_LCIA!Y$32</f>
        <v>1.1445299016700514</v>
      </c>
      <c r="BD303" s="137">
        <f>$W303*AI303+$L303*Summary_LCIA!Z$32</f>
        <v>0.22223409421671814</v>
      </c>
      <c r="BE303" s="137">
        <f>$W303*AJ303+$L303*Summary_LCIA!AA$32</f>
        <v>2.299261671417911</v>
      </c>
      <c r="BF303" s="137">
        <f>$W303*AK303+$L303*Summary_LCIA!AB$32</f>
        <v>5.3682477240782449E-2</v>
      </c>
      <c r="BG303" s="137">
        <f>$W303*AL303+$L303*Summary_LCIA!AC$32</f>
        <v>2.9449093490326133E-5</v>
      </c>
      <c r="BH303" s="137">
        <f>$W303*AM303+$L303*Summary_LCIA!AD$32</f>
        <v>0.11381116279652105</v>
      </c>
      <c r="BI303" s="137">
        <f>$W303*AN303+$L303*Summary_LCIA!AE$32</f>
        <v>0.32443090208245845</v>
      </c>
      <c r="BJ303" s="137">
        <f>$W303*AO303+$L303*Summary_LCIA!AF$32</f>
        <v>5.3881162702700103E-2</v>
      </c>
      <c r="BK303" s="137">
        <f>$W303*AP303+$L303*Summary_LCIA!AG$32</f>
        <v>7.0939834177001036E-3</v>
      </c>
      <c r="BL303" s="137">
        <f>$W303*AQ303+$L303*Summary_LCIA!AH$32</f>
        <v>1.0985676921468261</v>
      </c>
      <c r="BM303" s="137">
        <f>$W303*AR303+$L303*Summary_LCIA!AI$32</f>
        <v>0.28791267055497943</v>
      </c>
    </row>
    <row r="304" spans="1:65" x14ac:dyDescent="0.25">
      <c r="A304" s="149">
        <v>80</v>
      </c>
      <c r="B304" s="149">
        <v>43</v>
      </c>
      <c r="C304" s="61">
        <v>45.948258000000003</v>
      </c>
      <c r="D304" s="61">
        <v>-66.641317999999998</v>
      </c>
      <c r="E304" s="61" t="s">
        <v>460</v>
      </c>
      <c r="F304" s="149">
        <v>141</v>
      </c>
      <c r="G304" s="61" t="s">
        <v>661</v>
      </c>
      <c r="H304" s="61" t="s">
        <v>662</v>
      </c>
      <c r="I304" s="61">
        <v>46.116180999999997</v>
      </c>
      <c r="J304" s="61">
        <v>-64.688446999999996</v>
      </c>
      <c r="K304" s="61">
        <v>162.62382070000001</v>
      </c>
      <c r="L304" s="61">
        <v>184.447</v>
      </c>
      <c r="M304" s="61" t="s">
        <v>617</v>
      </c>
      <c r="N304" s="149">
        <v>42</v>
      </c>
      <c r="O304" s="149">
        <v>43</v>
      </c>
      <c r="P304" s="61" t="s">
        <v>565</v>
      </c>
      <c r="Q304" s="61" t="s">
        <v>555</v>
      </c>
      <c r="R304" s="61">
        <v>40.6895314</v>
      </c>
      <c r="S304" s="61">
        <v>-74.174462399999996</v>
      </c>
      <c r="T304" s="61">
        <v>1042.354</v>
      </c>
      <c r="U304" s="61" t="s">
        <v>617</v>
      </c>
      <c r="V304" s="61" t="s">
        <v>569</v>
      </c>
      <c r="W304" s="61" cm="1">
        <f t="array" ref="W304">getDistance(I304,J304,R304,S304)*SA!$B$12</f>
        <v>976.21921839853326</v>
      </c>
      <c r="Y304" s="137">
        <f>Transportation_LCIA!C$61*($W304^Transportation_LCIA!C$60)+Transportation_LCIA!C$62</f>
        <v>0.23804060106334077</v>
      </c>
      <c r="Z304" s="137">
        <f>Transportation_LCIA!D$61*($W304^Transportation_LCIA!D$60)+Transportation_LCIA!D$62</f>
        <v>2.4504484062130265</v>
      </c>
      <c r="AA304" s="137">
        <f>Transportation_LCIA!E$61*($W304^Transportation_LCIA!E$60)+Transportation_LCIA!E$62</f>
        <v>1.1606720913959455E-3</v>
      </c>
      <c r="AB304" s="137">
        <f>Transportation_LCIA!F$61*($W304^Transportation_LCIA!F$60)+Transportation_LCIA!F$62</f>
        <v>0.23804060106334077</v>
      </c>
      <c r="AC304" s="137">
        <f>Transportation_LCIA!G$61*($W304^Transportation_LCIA!G$60)+Transportation_LCIA!G$62</f>
        <v>5.726520247855086E-2</v>
      </c>
      <c r="AD304" s="137">
        <f>Transportation_LCIA!H$61*($W304^Transportation_LCIA!H$60)+Transportation_LCIA!H$62</f>
        <v>2.8038992352398014E-4</v>
      </c>
      <c r="AE304" s="137">
        <f>Transportation_LCIA!I$61*($W304^Transportation_LCIA!I$60)+Transportation_LCIA!I$62</f>
        <v>6.0105898982720086E-6</v>
      </c>
      <c r="AF304" s="137">
        <f>Transportation_LCIA!J$61*($W304^Transportation_LCIA!J$60)+Transportation_LCIA!J$62</f>
        <v>8.896852176798465E-3</v>
      </c>
      <c r="AG304" s="137">
        <f>Transportation_LCIA!K$61*($W304^Transportation_LCIA!K$60)+Transportation_LCIA!K$62</f>
        <v>1.2191850397092132E-2</v>
      </c>
      <c r="AH304" s="137">
        <f>Transportation_LCIA!L$61*($W304^Transportation_LCIA!L$60)+Transportation_LCIA!L$62</f>
        <v>2.431855860123998E-4</v>
      </c>
      <c r="AI304" s="137">
        <f>Transportation_LCIA!M$61*($W304^Transportation_LCIA!M$60)+Transportation_LCIA!M$62</f>
        <v>2.4559148071851629E-4</v>
      </c>
      <c r="AJ304" s="137">
        <f>Transportation_LCIA!N$61*($W304^Transportation_LCIA!N$60)+Transportation_LCIA!N$62</f>
        <v>1.0019337441737129E-3</v>
      </c>
      <c r="AK304" s="137">
        <f>Transportation_LCIA!O$61*($W304^Transportation_LCIA!O$60)+Transportation_LCIA!O$62</f>
        <v>6.0515654755985323E-5</v>
      </c>
      <c r="AL304" s="137">
        <f>Transportation_LCIA!P$61*($W304^Transportation_LCIA!P$60)+Transportation_LCIA!P$62</f>
        <v>2.9264180015516956E-8</v>
      </c>
      <c r="AM304" s="137">
        <f>Transportation_LCIA!Q$61*($W304^Transportation_LCIA!Q$60)+Transportation_LCIA!Q$62</f>
        <v>9.6246506035158898E-5</v>
      </c>
      <c r="AN304" s="137">
        <f>Transportation_LCIA!R$61*($W304^Transportation_LCIA!R$60)+Transportation_LCIA!R$62</f>
        <v>2.8906877213541162E-4</v>
      </c>
      <c r="AO304" s="137">
        <f>Transportation_LCIA!S$61*($W304^Transportation_LCIA!S$60)+Transportation_LCIA!S$62</f>
        <v>4.3599423404604346E-6</v>
      </c>
      <c r="AP304" s="137">
        <f>Transportation_LCIA!T$61*($W304^Transportation_LCIA!T$60)+Transportation_LCIA!T$62</f>
        <v>4.3599423404604346E-6</v>
      </c>
      <c r="AQ304" s="137">
        <f>Transportation_LCIA!U$61*($W304^Transportation_LCIA!U$60)+Transportation_LCIA!U$62</f>
        <v>6.2062975697497851E-4</v>
      </c>
      <c r="AR304" s="137">
        <f>Transportation_LCIA!V$61*($W304^Transportation_LCIA!V$60)+Transportation_LCIA!V$62</f>
        <v>2.503045929040431E-4</v>
      </c>
      <c r="AT304" s="137">
        <f>$W304*Y304+$L304*Summary_LCIA!H$32</f>
        <v>295.0549001171716</v>
      </c>
      <c r="AU304" s="137">
        <f>$W304*Z304+$L304*Summary_LCIA!Q$32</f>
        <v>3306.3034620547633</v>
      </c>
      <c r="AV304" s="137">
        <f>$W304*AA304+$L304*Summary_LCIA!R$32</f>
        <v>2.1042945250795406</v>
      </c>
      <c r="AW304" s="137">
        <f>$W304*AB304+$L304*Summary_LCIA!S$32</f>
        <v>294.2396443771716</v>
      </c>
      <c r="AX304" s="137">
        <f>$W304*AC304+$L304*Summary_LCIA!T$32</f>
        <v>76.174116505044665</v>
      </c>
      <c r="AY304" s="137">
        <f>$W304*AD304+$L304*Summary_LCIA!U$32</f>
        <v>3.5779055899894043</v>
      </c>
      <c r="AZ304" s="137">
        <f>$W304*AE304+$L304*Summary_LCIA!V$32</f>
        <v>1.4677026539605219E-2</v>
      </c>
      <c r="BA304" s="137">
        <f>$W304*AF304+$L304*Summary_LCIA!W$32</f>
        <v>22.882348115241484</v>
      </c>
      <c r="BB304" s="137">
        <f>$W304*AG304+$L304*Summary_LCIA!X$32</f>
        <v>16.103621325481129</v>
      </c>
      <c r="BC304" s="137">
        <f>$W304*AH304+$L304*Summary_LCIA!Y$32</f>
        <v>3.1114555967028146</v>
      </c>
      <c r="BD304" s="137">
        <f>$W304*AI304+$L304*Summary_LCIA!Z$32</f>
        <v>0.24731511037536844</v>
      </c>
      <c r="BE304" s="137">
        <f>$W304*AJ304+$L304*Summary_LCIA!AA$32</f>
        <v>5.2860511086243775</v>
      </c>
      <c r="BF304" s="137">
        <f>$W304*AK304+$L304*Summary_LCIA!AB$32</f>
        <v>5.5051358305763472E-2</v>
      </c>
      <c r="BG304" s="137">
        <f>$W304*AL304+$L304*Summary_LCIA!AC$32</f>
        <v>3.7584762089821938E-5</v>
      </c>
      <c r="BH304" s="137">
        <f>$W304*AM304+$L304*Summary_LCIA!AD$32</f>
        <v>0.16977278377523253</v>
      </c>
      <c r="BI304" s="137">
        <f>$W304*AN304+$L304*Summary_LCIA!AE$32</f>
        <v>0.44563851090745521</v>
      </c>
      <c r="BJ304" s="137">
        <f>$W304*AO304+$L304*Summary_LCIA!AF$32</f>
        <v>0.16019144224386697</v>
      </c>
      <c r="BK304" s="137">
        <f>$W304*AP304+$L304*Summary_LCIA!AG$32</f>
        <v>1.3693490258866958E-2</v>
      </c>
      <c r="BL304" s="137">
        <f>$W304*AQ304+$L304*Summary_LCIA!AH$32</f>
        <v>2.2112236054689851</v>
      </c>
      <c r="BM304" s="137">
        <f>$W304*AR304+$L304*Summary_LCIA!AI$32</f>
        <v>0.41617375689634806</v>
      </c>
    </row>
    <row r="305" spans="1:65" x14ac:dyDescent="0.25">
      <c r="A305" s="149">
        <v>155</v>
      </c>
      <c r="B305" s="149">
        <v>1</v>
      </c>
      <c r="C305" s="61">
        <v>30.080174</v>
      </c>
      <c r="D305" s="61">
        <v>-94.126555999999994</v>
      </c>
      <c r="E305" s="61" t="s">
        <v>265</v>
      </c>
      <c r="F305" s="149">
        <v>47</v>
      </c>
      <c r="G305" s="61" t="s">
        <v>565</v>
      </c>
      <c r="H305" s="61" t="s">
        <v>688</v>
      </c>
      <c r="I305" s="61">
        <v>29.990220000000001</v>
      </c>
      <c r="J305" s="61">
        <v>-95.336782999999997</v>
      </c>
      <c r="K305" s="61">
        <v>117.32741729999999</v>
      </c>
      <c r="L305" s="61">
        <v>153.17099999999999</v>
      </c>
      <c r="M305" s="61" t="s">
        <v>617</v>
      </c>
      <c r="N305" s="149">
        <v>0</v>
      </c>
      <c r="O305" s="149">
        <v>1</v>
      </c>
      <c r="P305" s="61" t="s">
        <v>565</v>
      </c>
      <c r="Q305" s="61" t="s">
        <v>558</v>
      </c>
      <c r="R305" s="61">
        <v>33.640728199999998</v>
      </c>
      <c r="S305" s="61">
        <v>-84.427700099999996</v>
      </c>
      <c r="T305" s="61">
        <v>1131.463</v>
      </c>
      <c r="U305" s="61" t="s">
        <v>617</v>
      </c>
      <c r="V305" s="61" t="s">
        <v>569</v>
      </c>
      <c r="W305" s="61" cm="1">
        <f t="array" ref="W305">getDistance(I305,J305,R305,S305)*SA!$B$12</f>
        <v>1108.9825726640418</v>
      </c>
      <c r="Y305" s="137">
        <f>Transportation_LCIA!C$61*($W305^Transportation_LCIA!C$60)+Transportation_LCIA!C$62</f>
        <v>0.22524292664619311</v>
      </c>
      <c r="Z305" s="137">
        <f>Transportation_LCIA!D$61*($W305^Transportation_LCIA!D$60)+Transportation_LCIA!D$62</f>
        <v>2.3013780536264536</v>
      </c>
      <c r="AA305" s="137">
        <f>Transportation_LCIA!E$61*($W305^Transportation_LCIA!E$60)+Transportation_LCIA!E$62</f>
        <v>1.0627118842399044E-3</v>
      </c>
      <c r="AB305" s="137">
        <f>Transportation_LCIA!F$61*($W305^Transportation_LCIA!F$60)+Transportation_LCIA!F$62</f>
        <v>0.22524292664619311</v>
      </c>
      <c r="AC305" s="137">
        <f>Transportation_LCIA!G$61*($W305^Transportation_LCIA!G$60)+Transportation_LCIA!G$62</f>
        <v>5.3815971824164345E-2</v>
      </c>
      <c r="AD305" s="137">
        <f>Transportation_LCIA!H$61*($W305^Transportation_LCIA!H$60)+Transportation_LCIA!H$62</f>
        <v>2.5887281455195925E-4</v>
      </c>
      <c r="AE305" s="137">
        <f>Transportation_LCIA!I$61*($W305^Transportation_LCIA!I$60)+Transportation_LCIA!I$62</f>
        <v>5.4698316568282146E-6</v>
      </c>
      <c r="AF305" s="137">
        <f>Transportation_LCIA!J$61*($W305^Transportation_LCIA!J$60)+Transportation_LCIA!J$62</f>
        <v>8.0923970167602558E-3</v>
      </c>
      <c r="AG305" s="137">
        <f>Transportation_LCIA!K$61*($W305^Transportation_LCIA!K$60)+Transportation_LCIA!K$62</f>
        <v>1.1387445306923118E-2</v>
      </c>
      <c r="AH305" s="137">
        <f>Transportation_LCIA!L$61*($W305^Transportation_LCIA!L$60)+Transportation_LCIA!L$62</f>
        <v>2.2341350103461166E-4</v>
      </c>
      <c r="AI305" s="137">
        <f>Transportation_LCIA!M$61*($W305^Transportation_LCIA!M$60)+Transportation_LCIA!M$62</f>
        <v>2.3371705406140014E-4</v>
      </c>
      <c r="AJ305" s="137">
        <f>Transportation_LCIA!N$61*($W305^Transportation_LCIA!N$60)+Transportation_LCIA!N$62</f>
        <v>9.2958005590552202E-4</v>
      </c>
      <c r="AK305" s="137">
        <f>Transportation_LCIA!O$61*($W305^Transportation_LCIA!O$60)+Transportation_LCIA!O$62</f>
        <v>5.6850591494866229E-5</v>
      </c>
      <c r="AL305" s="137">
        <f>Transportation_LCIA!P$61*($W305^Transportation_LCIA!P$60)+Transportation_LCIA!P$62</f>
        <v>2.7501811934919385E-8</v>
      </c>
      <c r="AM305" s="137">
        <f>Transportation_LCIA!Q$61*($W305^Transportation_LCIA!Q$60)+Transportation_LCIA!Q$62</f>
        <v>8.8517585447443799E-5</v>
      </c>
      <c r="AN305" s="137">
        <f>Transportation_LCIA!R$61*($W305^Transportation_LCIA!R$60)+Transportation_LCIA!R$62</f>
        <v>2.6313886024909163E-4</v>
      </c>
      <c r="AO305" s="137">
        <f>Transportation_LCIA!S$61*($W305^Transportation_LCIA!S$60)+Transportation_LCIA!S$62</f>
        <v>3.9919143687103552E-6</v>
      </c>
      <c r="AP305" s="137">
        <f>Transportation_LCIA!T$61*($W305^Transportation_LCIA!T$60)+Transportation_LCIA!T$62</f>
        <v>3.9919143687103552E-6</v>
      </c>
      <c r="AQ305" s="137">
        <f>Transportation_LCIA!U$61*($W305^Transportation_LCIA!U$60)+Transportation_LCIA!U$62</f>
        <v>5.6378301649474805E-4</v>
      </c>
      <c r="AR305" s="137">
        <f>Transportation_LCIA!V$61*($W305^Transportation_LCIA!V$60)+Transportation_LCIA!V$62</f>
        <v>2.302045191324243E-4</v>
      </c>
      <c r="AT305" s="137">
        <f>$W305*Y305+$L305*Summary_LCIA!H$32</f>
        <v>301.83798606647326</v>
      </c>
      <c r="AU305" s="137">
        <f>$W305*Z305+$L305*Summary_LCIA!Q$32</f>
        <v>3311.3113554562728</v>
      </c>
      <c r="AV305" s="137">
        <f>$W305*AA305+$L305*Summary_LCIA!R$32</f>
        <v>1.9850661769850204</v>
      </c>
      <c r="AW305" s="137">
        <f>$W305*AB305+$L305*Summary_LCIA!S$32</f>
        <v>301.16097024647331</v>
      </c>
      <c r="AX305" s="137">
        <f>$W305*AC305+$L305*Summary_LCIA!T$32</f>
        <v>76.514467783977352</v>
      </c>
      <c r="AY305" s="137">
        <f>$W305*AD305+$L305*Summary_LCIA!U$32</f>
        <v>3.0309907338746127</v>
      </c>
      <c r="AZ305" s="137">
        <f>$W305*AE305+$L305*Summary_LCIA!V$32</f>
        <v>1.3381548113828572E-2</v>
      </c>
      <c r="BA305" s="137">
        <f>$W305*AF305+$L305*Summary_LCIA!W$32</f>
        <v>20.764052303665604</v>
      </c>
      <c r="BB305" s="137">
        <f>$W305*AG305+$L305*Summary_LCIA!X$32</f>
        <v>16.117713772542668</v>
      </c>
      <c r="BC305" s="137">
        <f>$W305*AH305+$L305*Summary_LCIA!Y$32</f>
        <v>2.6344722011452442</v>
      </c>
      <c r="BD305" s="137">
        <f>$W305*AI305+$L305*Summary_LCIA!Z$32</f>
        <v>0.26546952942747243</v>
      </c>
      <c r="BE305" s="137">
        <f>$W305*AJ305+$L305*Summary_LCIA!AA$32</f>
        <v>4.6083499578952889</v>
      </c>
      <c r="BF305" s="137">
        <f>$W305*AK305+$L305*Summary_LCIA!AB$32</f>
        <v>5.9703664480449239E-2</v>
      </c>
      <c r="BG305" s="137">
        <f>$W305*AL305+$L305*Summary_LCIA!AC$32</f>
        <v>3.7986641316509546E-5</v>
      </c>
      <c r="BH305" s="137">
        <f>$W305*AM305+$L305*Summary_LCIA!AD$32</f>
        <v>0.16112386747551538</v>
      </c>
      <c r="BI305" s="137">
        <f>$W305*AN305+$L305*Summary_LCIA!AE$32</f>
        <v>0.42754582843692135</v>
      </c>
      <c r="BJ305" s="137">
        <f>$W305*AO305+$L305*Summary_LCIA!AF$32</f>
        <v>0.13392079028646695</v>
      </c>
      <c r="BK305" s="137">
        <f>$W305*AP305+$L305*Summary_LCIA!AG$32</f>
        <v>1.2263957681466965E-2</v>
      </c>
      <c r="BL305" s="137">
        <f>$W305*AQ305+$L305*Summary_LCIA!AH$32</f>
        <v>1.9583646556566396</v>
      </c>
      <c r="BM305" s="137">
        <f>$W305*AR305+$L305*Summary_LCIA!AI$32</f>
        <v>0.39797924491636449</v>
      </c>
    </row>
    <row r="306" spans="1:65" x14ac:dyDescent="0.25">
      <c r="A306" s="149">
        <v>156</v>
      </c>
      <c r="B306" s="149">
        <v>1</v>
      </c>
      <c r="C306" s="61">
        <v>30.080174</v>
      </c>
      <c r="D306" s="61">
        <v>-94.126555999999994</v>
      </c>
      <c r="E306" s="61" t="s">
        <v>265</v>
      </c>
      <c r="F306" s="149">
        <v>47</v>
      </c>
      <c r="G306" s="61" t="s">
        <v>565</v>
      </c>
      <c r="H306" s="61" t="s">
        <v>688</v>
      </c>
      <c r="I306" s="61">
        <v>29.990220000000001</v>
      </c>
      <c r="J306" s="61">
        <v>-95.336782999999997</v>
      </c>
      <c r="K306" s="61">
        <v>117.32741729999999</v>
      </c>
      <c r="L306" s="61">
        <v>153.17099999999999</v>
      </c>
      <c r="M306" s="61" t="s">
        <v>617</v>
      </c>
      <c r="N306" s="149">
        <v>0</v>
      </c>
      <c r="O306" s="149">
        <v>1</v>
      </c>
      <c r="P306" s="61" t="s">
        <v>565</v>
      </c>
      <c r="Q306" s="61" t="s">
        <v>558</v>
      </c>
      <c r="R306" s="61">
        <v>33.640728199999998</v>
      </c>
      <c r="S306" s="61">
        <v>-84.427700099999996</v>
      </c>
      <c r="T306" s="61">
        <v>1131.463</v>
      </c>
      <c r="U306" s="61" t="s">
        <v>617</v>
      </c>
      <c r="V306" s="61" t="s">
        <v>569</v>
      </c>
      <c r="W306" s="61" cm="1">
        <f t="array" ref="W306">getDistance(I306,J306,R306,S306)*SA!$B$12</f>
        <v>1108.9825726640418</v>
      </c>
      <c r="Y306" s="137">
        <f>Transportation_LCIA!C$61*($W306^Transportation_LCIA!C$60)+Transportation_LCIA!C$62</f>
        <v>0.22524292664619311</v>
      </c>
      <c r="Z306" s="137">
        <f>Transportation_LCIA!D$61*($W306^Transportation_LCIA!D$60)+Transportation_LCIA!D$62</f>
        <v>2.3013780536264536</v>
      </c>
      <c r="AA306" s="137">
        <f>Transportation_LCIA!E$61*($W306^Transportation_LCIA!E$60)+Transportation_LCIA!E$62</f>
        <v>1.0627118842399044E-3</v>
      </c>
      <c r="AB306" s="137">
        <f>Transportation_LCIA!F$61*($W306^Transportation_LCIA!F$60)+Transportation_LCIA!F$62</f>
        <v>0.22524292664619311</v>
      </c>
      <c r="AC306" s="137">
        <f>Transportation_LCIA!G$61*($W306^Transportation_LCIA!G$60)+Transportation_LCIA!G$62</f>
        <v>5.3815971824164345E-2</v>
      </c>
      <c r="AD306" s="137">
        <f>Transportation_LCIA!H$61*($W306^Transportation_LCIA!H$60)+Transportation_LCIA!H$62</f>
        <v>2.5887281455195925E-4</v>
      </c>
      <c r="AE306" s="137">
        <f>Transportation_LCIA!I$61*($W306^Transportation_LCIA!I$60)+Transportation_LCIA!I$62</f>
        <v>5.4698316568282146E-6</v>
      </c>
      <c r="AF306" s="137">
        <f>Transportation_LCIA!J$61*($W306^Transportation_LCIA!J$60)+Transportation_LCIA!J$62</f>
        <v>8.0923970167602558E-3</v>
      </c>
      <c r="AG306" s="137">
        <f>Transportation_LCIA!K$61*($W306^Transportation_LCIA!K$60)+Transportation_LCIA!K$62</f>
        <v>1.1387445306923118E-2</v>
      </c>
      <c r="AH306" s="137">
        <f>Transportation_LCIA!L$61*($W306^Transportation_LCIA!L$60)+Transportation_LCIA!L$62</f>
        <v>2.2341350103461166E-4</v>
      </c>
      <c r="AI306" s="137">
        <f>Transportation_LCIA!M$61*($W306^Transportation_LCIA!M$60)+Transportation_LCIA!M$62</f>
        <v>2.3371705406140014E-4</v>
      </c>
      <c r="AJ306" s="137">
        <f>Transportation_LCIA!N$61*($W306^Transportation_LCIA!N$60)+Transportation_LCIA!N$62</f>
        <v>9.2958005590552202E-4</v>
      </c>
      <c r="AK306" s="137">
        <f>Transportation_LCIA!O$61*($W306^Transportation_LCIA!O$60)+Transportation_LCIA!O$62</f>
        <v>5.6850591494866229E-5</v>
      </c>
      <c r="AL306" s="137">
        <f>Transportation_LCIA!P$61*($W306^Transportation_LCIA!P$60)+Transportation_LCIA!P$62</f>
        <v>2.7501811934919385E-8</v>
      </c>
      <c r="AM306" s="137">
        <f>Transportation_LCIA!Q$61*($W306^Transportation_LCIA!Q$60)+Transportation_LCIA!Q$62</f>
        <v>8.8517585447443799E-5</v>
      </c>
      <c r="AN306" s="137">
        <f>Transportation_LCIA!R$61*($W306^Transportation_LCIA!R$60)+Transportation_LCIA!R$62</f>
        <v>2.6313886024909163E-4</v>
      </c>
      <c r="AO306" s="137">
        <f>Transportation_LCIA!S$61*($W306^Transportation_LCIA!S$60)+Transportation_LCIA!S$62</f>
        <v>3.9919143687103552E-6</v>
      </c>
      <c r="AP306" s="137">
        <f>Transportation_LCIA!T$61*($W306^Transportation_LCIA!T$60)+Transportation_LCIA!T$62</f>
        <v>3.9919143687103552E-6</v>
      </c>
      <c r="AQ306" s="137">
        <f>Transportation_LCIA!U$61*($W306^Transportation_LCIA!U$60)+Transportation_LCIA!U$62</f>
        <v>5.6378301649474805E-4</v>
      </c>
      <c r="AR306" s="137">
        <f>Transportation_LCIA!V$61*($W306^Transportation_LCIA!V$60)+Transportation_LCIA!V$62</f>
        <v>2.302045191324243E-4</v>
      </c>
      <c r="AT306" s="137">
        <f>$W306*Y306+$L306*Summary_LCIA!H$32</f>
        <v>301.83798606647326</v>
      </c>
      <c r="AU306" s="137">
        <f>$W306*Z306+$L306*Summary_LCIA!Q$32</f>
        <v>3311.3113554562728</v>
      </c>
      <c r="AV306" s="137">
        <f>$W306*AA306+$L306*Summary_LCIA!R$32</f>
        <v>1.9850661769850204</v>
      </c>
      <c r="AW306" s="137">
        <f>$W306*AB306+$L306*Summary_LCIA!S$32</f>
        <v>301.16097024647331</v>
      </c>
      <c r="AX306" s="137">
        <f>$W306*AC306+$L306*Summary_LCIA!T$32</f>
        <v>76.514467783977352</v>
      </c>
      <c r="AY306" s="137">
        <f>$W306*AD306+$L306*Summary_LCIA!U$32</f>
        <v>3.0309907338746127</v>
      </c>
      <c r="AZ306" s="137">
        <f>$W306*AE306+$L306*Summary_LCIA!V$32</f>
        <v>1.3381548113828572E-2</v>
      </c>
      <c r="BA306" s="137">
        <f>$W306*AF306+$L306*Summary_LCIA!W$32</f>
        <v>20.764052303665604</v>
      </c>
      <c r="BB306" s="137">
        <f>$W306*AG306+$L306*Summary_LCIA!X$32</f>
        <v>16.117713772542668</v>
      </c>
      <c r="BC306" s="137">
        <f>$W306*AH306+$L306*Summary_LCIA!Y$32</f>
        <v>2.6344722011452442</v>
      </c>
      <c r="BD306" s="137">
        <f>$W306*AI306+$L306*Summary_LCIA!Z$32</f>
        <v>0.26546952942747243</v>
      </c>
      <c r="BE306" s="137">
        <f>$W306*AJ306+$L306*Summary_LCIA!AA$32</f>
        <v>4.6083499578952889</v>
      </c>
      <c r="BF306" s="137">
        <f>$W306*AK306+$L306*Summary_LCIA!AB$32</f>
        <v>5.9703664480449239E-2</v>
      </c>
      <c r="BG306" s="137">
        <f>$W306*AL306+$L306*Summary_LCIA!AC$32</f>
        <v>3.7986641316509546E-5</v>
      </c>
      <c r="BH306" s="137">
        <f>$W306*AM306+$L306*Summary_LCIA!AD$32</f>
        <v>0.16112386747551538</v>
      </c>
      <c r="BI306" s="137">
        <f>$W306*AN306+$L306*Summary_LCIA!AE$32</f>
        <v>0.42754582843692135</v>
      </c>
      <c r="BJ306" s="137">
        <f>$W306*AO306+$L306*Summary_LCIA!AF$32</f>
        <v>0.13392079028646695</v>
      </c>
      <c r="BK306" s="137">
        <f>$W306*AP306+$L306*Summary_LCIA!AG$32</f>
        <v>1.2263957681466965E-2</v>
      </c>
      <c r="BL306" s="137">
        <f>$W306*AQ306+$L306*Summary_LCIA!AH$32</f>
        <v>1.9583646556566396</v>
      </c>
      <c r="BM306" s="137">
        <f>$W306*AR306+$L306*Summary_LCIA!AI$32</f>
        <v>0.39797924491636449</v>
      </c>
    </row>
    <row r="307" spans="1:65" x14ac:dyDescent="0.25">
      <c r="A307" s="149">
        <v>63</v>
      </c>
      <c r="B307" s="149">
        <v>29</v>
      </c>
      <c r="C307" s="61">
        <v>51.075544999999998</v>
      </c>
      <c r="D307" s="61">
        <v>-114.12975400000001</v>
      </c>
      <c r="E307" s="61" t="s">
        <v>462</v>
      </c>
      <c r="F307" s="149">
        <v>125</v>
      </c>
      <c r="G307" s="61" t="s">
        <v>656</v>
      </c>
      <c r="H307" s="61" t="s">
        <v>657</v>
      </c>
      <c r="I307" s="61">
        <v>51.121502999999997</v>
      </c>
      <c r="J307" s="61">
        <v>-114.007616</v>
      </c>
      <c r="K307" s="61">
        <v>10.47008467</v>
      </c>
      <c r="L307" s="61">
        <v>15.291</v>
      </c>
      <c r="M307" s="61" t="s">
        <v>617</v>
      </c>
      <c r="N307" s="149">
        <v>28</v>
      </c>
      <c r="O307" s="149">
        <v>29</v>
      </c>
      <c r="P307" s="61" t="s">
        <v>565</v>
      </c>
      <c r="Q307" s="61" t="s">
        <v>559</v>
      </c>
      <c r="R307" s="61">
        <v>47.450249900000003</v>
      </c>
      <c r="S307" s="61">
        <v>-122.30881650000001</v>
      </c>
      <c r="T307" s="61">
        <v>1138.5450000000001</v>
      </c>
      <c r="U307" s="61" t="s">
        <v>617</v>
      </c>
      <c r="V307" s="61" t="s">
        <v>569</v>
      </c>
      <c r="W307" s="61" cm="1">
        <f t="array" ref="W307">getDistance(I307,J307,R307,S307)*SA!$B$12</f>
        <v>728.64359849106268</v>
      </c>
      <c r="Y307" s="137">
        <f>Transportation_LCIA!C$61*($W307^Transportation_LCIA!C$60)+Transportation_LCIA!C$62</f>
        <v>0.2731236986367126</v>
      </c>
      <c r="Z307" s="137">
        <f>Transportation_LCIA!D$61*($W307^Transportation_LCIA!D$60)+Transportation_LCIA!D$62</f>
        <v>2.8629364723129571</v>
      </c>
      <c r="AA307" s="137">
        <f>Transportation_LCIA!E$61*($W307^Transportation_LCIA!E$60)+Transportation_LCIA!E$62</f>
        <v>1.4324472391760977E-3</v>
      </c>
      <c r="AB307" s="137">
        <f>Transportation_LCIA!F$61*($W307^Transportation_LCIA!F$60)+Transportation_LCIA!F$62</f>
        <v>0.2731236986367126</v>
      </c>
      <c r="AC307" s="137">
        <f>Transportation_LCIA!G$61*($W307^Transportation_LCIA!G$60)+Transportation_LCIA!G$62</f>
        <v>6.6804267943327042E-2</v>
      </c>
      <c r="AD307" s="137">
        <f>Transportation_LCIA!H$61*($W307^Transportation_LCIA!H$60)+Transportation_LCIA!H$62</f>
        <v>3.4039623073025302E-4</v>
      </c>
      <c r="AE307" s="137">
        <f>Transportation_LCIA!I$61*($W307^Transportation_LCIA!I$60)+Transportation_LCIA!I$62</f>
        <v>7.5313047486579253E-6</v>
      </c>
      <c r="AF307" s="137">
        <f>Transportation_LCIA!J$61*($W307^Transportation_LCIA!J$60)+Transportation_LCIA!J$62</f>
        <v>1.1171536460231862E-2</v>
      </c>
      <c r="AG307" s="137">
        <f>Transportation_LCIA!K$61*($W307^Transportation_LCIA!K$60)+Transportation_LCIA!K$62</f>
        <v>1.4427005322781314E-2</v>
      </c>
      <c r="AH307" s="137">
        <f>Transportation_LCIA!L$61*($W307^Transportation_LCIA!L$60)+Transportation_LCIA!L$62</f>
        <v>2.9845682610086144E-4</v>
      </c>
      <c r="AI307" s="137">
        <f>Transportation_LCIA!M$61*($W307^Transportation_LCIA!M$60)+Transportation_LCIA!M$62</f>
        <v>2.7871591009555731E-4</v>
      </c>
      <c r="AJ307" s="137">
        <f>Transportation_LCIA!N$61*($W307^Transportation_LCIA!N$60)+Transportation_LCIA!N$62</f>
        <v>1.2035776980627529E-3</v>
      </c>
      <c r="AK307" s="137">
        <f>Transportation_LCIA!O$61*($W307^Transportation_LCIA!O$60)+Transportation_LCIA!O$62</f>
        <v>7.0654220111155368E-5</v>
      </c>
      <c r="AL307" s="137">
        <f>Transportation_LCIA!P$61*($W307^Transportation_LCIA!P$60)+Transportation_LCIA!P$62</f>
        <v>3.4135986584869326E-8</v>
      </c>
      <c r="AM307" s="137">
        <f>Transportation_LCIA!Q$61*($W307^Transportation_LCIA!Q$60)+Transportation_LCIA!Q$62</f>
        <v>1.1787978430654126E-4</v>
      </c>
      <c r="AN307" s="137">
        <f>Transportation_LCIA!R$61*($W307^Transportation_LCIA!R$60)+Transportation_LCIA!R$62</f>
        <v>3.620033512007317E-4</v>
      </c>
      <c r="AO307" s="137">
        <f>Transportation_LCIA!S$61*($W307^Transportation_LCIA!S$60)+Transportation_LCIA!S$62</f>
        <v>5.3947284428738964E-6</v>
      </c>
      <c r="AP307" s="137">
        <f>Transportation_LCIA!T$61*($W307^Transportation_LCIA!T$60)+Transportation_LCIA!T$62</f>
        <v>5.3947284428738964E-6</v>
      </c>
      <c r="AQ307" s="137">
        <f>Transportation_LCIA!U$61*($W307^Transportation_LCIA!U$60)+Transportation_LCIA!U$62</f>
        <v>7.807798829957284E-4</v>
      </c>
      <c r="AR307" s="137">
        <f>Transportation_LCIA!V$61*($W307^Transportation_LCIA!V$60)+Transportation_LCIA!V$62</f>
        <v>3.0665789662484431E-4</v>
      </c>
      <c r="AT307" s="137">
        <f>$W307*Y307+$L307*Summary_LCIA!H$32</f>
        <v>204.2057164078428</v>
      </c>
      <c r="AU307" s="137">
        <f>$W307*Z307+$L307*Summary_LCIA!Q$32</f>
        <v>2161.8433006084247</v>
      </c>
      <c r="AV307" s="137">
        <f>$W307*AA307+$L307*Summary_LCIA!R$32</f>
        <v>1.1242598006018598</v>
      </c>
      <c r="AW307" s="137">
        <f>$W307*AB307+$L307*Summary_LCIA!S$32</f>
        <v>204.13813018784282</v>
      </c>
      <c r="AX307" s="137">
        <f>$W307*AC307+$L307*Summary_LCIA!T$32</f>
        <v>50.356983088786954</v>
      </c>
      <c r="AY307" s="137">
        <f>$W307*AD307+$L307*Summary_LCIA!U$32</f>
        <v>0.52195050847208557</v>
      </c>
      <c r="AZ307" s="137">
        <f>$W307*AE307+$L307*Summary_LCIA!V$32</f>
        <v>6.2179504443949391E-3</v>
      </c>
      <c r="BA307" s="137">
        <f>$W307*AF307+$L307*Summary_LCIA!W$32</f>
        <v>9.3170320880574522</v>
      </c>
      <c r="BB307" s="137">
        <f>$W307*AG307+$L307*Summary_LCIA!X$32</f>
        <v>10.860474053841092</v>
      </c>
      <c r="BC307" s="137">
        <f>$W307*AH307+$L307*Summary_LCIA!Y$32</f>
        <v>0.45573301776435304</v>
      </c>
      <c r="BD307" s="137">
        <f>$W307*AI307+$L307*Summary_LCIA!Z$32</f>
        <v>0.20371163230773839</v>
      </c>
      <c r="BE307" s="137">
        <f>$W307*AJ307+$L307*Summary_LCIA!AA$32</f>
        <v>1.234115780980034</v>
      </c>
      <c r="BF307" s="137">
        <f>$W307*AK307+$L307*Summary_LCIA!AB$32</f>
        <v>5.1148049697371863E-2</v>
      </c>
      <c r="BG307" s="137">
        <f>$W307*AL307+$L307*Summary_LCIA!AC$32</f>
        <v>2.5620453347241825E-5</v>
      </c>
      <c r="BH307" s="137">
        <f>$W307*AM307+$L307*Summary_LCIA!AD$32</f>
        <v>9.2177562866468513E-2</v>
      </c>
      <c r="BI307" s="137">
        <f>$W307*AN307+$L307*Summary_LCIA!AE$32</f>
        <v>0.2773212383147251</v>
      </c>
      <c r="BJ307" s="137">
        <f>$W307*AO307+$L307*Summary_LCIA!AF$32</f>
        <v>1.6858151565497727E-2</v>
      </c>
      <c r="BK307" s="137">
        <f>$W307*AP307+$L307*Summary_LCIA!AG$32</f>
        <v>4.7131983604977237E-3</v>
      </c>
      <c r="BL307" s="137">
        <f>$W307*AQ307+$L307*Summary_LCIA!AH$32</f>
        <v>0.70199701117543833</v>
      </c>
      <c r="BM307" s="137">
        <f>$W307*AR307+$L307*Summary_LCIA!AI$32</f>
        <v>0.23768864435242687</v>
      </c>
    </row>
    <row r="308" spans="1:65" x14ac:dyDescent="0.25">
      <c r="A308" s="149">
        <v>64</v>
      </c>
      <c r="B308" s="149">
        <v>29</v>
      </c>
      <c r="C308" s="61">
        <v>51.075544999999998</v>
      </c>
      <c r="D308" s="61">
        <v>-114.12975400000001</v>
      </c>
      <c r="E308" s="61" t="s">
        <v>462</v>
      </c>
      <c r="F308" s="149">
        <v>125</v>
      </c>
      <c r="G308" s="61" t="s">
        <v>656</v>
      </c>
      <c r="H308" s="61" t="s">
        <v>657</v>
      </c>
      <c r="I308" s="61">
        <v>51.121502999999997</v>
      </c>
      <c r="J308" s="61">
        <v>-114.007616</v>
      </c>
      <c r="K308" s="61">
        <v>10.47008467</v>
      </c>
      <c r="L308" s="61">
        <v>15.291</v>
      </c>
      <c r="M308" s="61" t="s">
        <v>617</v>
      </c>
      <c r="N308" s="149">
        <v>28</v>
      </c>
      <c r="O308" s="149">
        <v>29</v>
      </c>
      <c r="P308" s="61" t="s">
        <v>565</v>
      </c>
      <c r="Q308" s="61" t="s">
        <v>559</v>
      </c>
      <c r="R308" s="61">
        <v>47.450249900000003</v>
      </c>
      <c r="S308" s="61">
        <v>-122.30881650000001</v>
      </c>
      <c r="T308" s="61">
        <v>1138.5450000000001</v>
      </c>
      <c r="U308" s="61" t="s">
        <v>617</v>
      </c>
      <c r="V308" s="61" t="s">
        <v>569</v>
      </c>
      <c r="W308" s="61" cm="1">
        <f t="array" ref="W308">getDistance(I308,J308,R308,S308)*SA!$B$12</f>
        <v>728.64359849106268</v>
      </c>
      <c r="Y308" s="137">
        <f>Transportation_LCIA!C$61*($W308^Transportation_LCIA!C$60)+Transportation_LCIA!C$62</f>
        <v>0.2731236986367126</v>
      </c>
      <c r="Z308" s="137">
        <f>Transportation_LCIA!D$61*($W308^Transportation_LCIA!D$60)+Transportation_LCIA!D$62</f>
        <v>2.8629364723129571</v>
      </c>
      <c r="AA308" s="137">
        <f>Transportation_LCIA!E$61*($W308^Transportation_LCIA!E$60)+Transportation_LCIA!E$62</f>
        <v>1.4324472391760977E-3</v>
      </c>
      <c r="AB308" s="137">
        <f>Transportation_LCIA!F$61*($W308^Transportation_LCIA!F$60)+Transportation_LCIA!F$62</f>
        <v>0.2731236986367126</v>
      </c>
      <c r="AC308" s="137">
        <f>Transportation_LCIA!G$61*($W308^Transportation_LCIA!G$60)+Transportation_LCIA!G$62</f>
        <v>6.6804267943327042E-2</v>
      </c>
      <c r="AD308" s="137">
        <f>Transportation_LCIA!H$61*($W308^Transportation_LCIA!H$60)+Transportation_LCIA!H$62</f>
        <v>3.4039623073025302E-4</v>
      </c>
      <c r="AE308" s="137">
        <f>Transportation_LCIA!I$61*($W308^Transportation_LCIA!I$60)+Transportation_LCIA!I$62</f>
        <v>7.5313047486579253E-6</v>
      </c>
      <c r="AF308" s="137">
        <f>Transportation_LCIA!J$61*($W308^Transportation_LCIA!J$60)+Transportation_LCIA!J$62</f>
        <v>1.1171536460231862E-2</v>
      </c>
      <c r="AG308" s="137">
        <f>Transportation_LCIA!K$61*($W308^Transportation_LCIA!K$60)+Transportation_LCIA!K$62</f>
        <v>1.4427005322781314E-2</v>
      </c>
      <c r="AH308" s="137">
        <f>Transportation_LCIA!L$61*($W308^Transportation_LCIA!L$60)+Transportation_LCIA!L$62</f>
        <v>2.9845682610086144E-4</v>
      </c>
      <c r="AI308" s="137">
        <f>Transportation_LCIA!M$61*($W308^Transportation_LCIA!M$60)+Transportation_LCIA!M$62</f>
        <v>2.7871591009555731E-4</v>
      </c>
      <c r="AJ308" s="137">
        <f>Transportation_LCIA!N$61*($W308^Transportation_LCIA!N$60)+Transportation_LCIA!N$62</f>
        <v>1.2035776980627529E-3</v>
      </c>
      <c r="AK308" s="137">
        <f>Transportation_LCIA!O$61*($W308^Transportation_LCIA!O$60)+Transportation_LCIA!O$62</f>
        <v>7.0654220111155368E-5</v>
      </c>
      <c r="AL308" s="137">
        <f>Transportation_LCIA!P$61*($W308^Transportation_LCIA!P$60)+Transportation_LCIA!P$62</f>
        <v>3.4135986584869326E-8</v>
      </c>
      <c r="AM308" s="137">
        <f>Transportation_LCIA!Q$61*($W308^Transportation_LCIA!Q$60)+Transportation_LCIA!Q$62</f>
        <v>1.1787978430654126E-4</v>
      </c>
      <c r="AN308" s="137">
        <f>Transportation_LCIA!R$61*($W308^Transportation_LCIA!R$60)+Transportation_LCIA!R$62</f>
        <v>3.620033512007317E-4</v>
      </c>
      <c r="AO308" s="137">
        <f>Transportation_LCIA!S$61*($W308^Transportation_LCIA!S$60)+Transportation_LCIA!S$62</f>
        <v>5.3947284428738964E-6</v>
      </c>
      <c r="AP308" s="137">
        <f>Transportation_LCIA!T$61*($W308^Transportation_LCIA!T$60)+Transportation_LCIA!T$62</f>
        <v>5.3947284428738964E-6</v>
      </c>
      <c r="AQ308" s="137">
        <f>Transportation_LCIA!U$61*($W308^Transportation_LCIA!U$60)+Transportation_LCIA!U$62</f>
        <v>7.807798829957284E-4</v>
      </c>
      <c r="AR308" s="137">
        <f>Transportation_LCIA!V$61*($W308^Transportation_LCIA!V$60)+Transportation_LCIA!V$62</f>
        <v>3.0665789662484431E-4</v>
      </c>
      <c r="AT308" s="137">
        <f>$W308*Y308+$L308*Summary_LCIA!H$32</f>
        <v>204.2057164078428</v>
      </c>
      <c r="AU308" s="137">
        <f>$W308*Z308+$L308*Summary_LCIA!Q$32</f>
        <v>2161.8433006084247</v>
      </c>
      <c r="AV308" s="137">
        <f>$W308*AA308+$L308*Summary_LCIA!R$32</f>
        <v>1.1242598006018598</v>
      </c>
      <c r="AW308" s="137">
        <f>$W308*AB308+$L308*Summary_LCIA!S$32</f>
        <v>204.13813018784282</v>
      </c>
      <c r="AX308" s="137">
        <f>$W308*AC308+$L308*Summary_LCIA!T$32</f>
        <v>50.356983088786954</v>
      </c>
      <c r="AY308" s="137">
        <f>$W308*AD308+$L308*Summary_LCIA!U$32</f>
        <v>0.52195050847208557</v>
      </c>
      <c r="AZ308" s="137">
        <f>$W308*AE308+$L308*Summary_LCIA!V$32</f>
        <v>6.2179504443949391E-3</v>
      </c>
      <c r="BA308" s="137">
        <f>$W308*AF308+$L308*Summary_LCIA!W$32</f>
        <v>9.3170320880574522</v>
      </c>
      <c r="BB308" s="137">
        <f>$W308*AG308+$L308*Summary_LCIA!X$32</f>
        <v>10.860474053841092</v>
      </c>
      <c r="BC308" s="137">
        <f>$W308*AH308+$L308*Summary_LCIA!Y$32</f>
        <v>0.45573301776435304</v>
      </c>
      <c r="BD308" s="137">
        <f>$W308*AI308+$L308*Summary_LCIA!Z$32</f>
        <v>0.20371163230773839</v>
      </c>
      <c r="BE308" s="137">
        <f>$W308*AJ308+$L308*Summary_LCIA!AA$32</f>
        <v>1.234115780980034</v>
      </c>
      <c r="BF308" s="137">
        <f>$W308*AK308+$L308*Summary_LCIA!AB$32</f>
        <v>5.1148049697371863E-2</v>
      </c>
      <c r="BG308" s="137">
        <f>$W308*AL308+$L308*Summary_LCIA!AC$32</f>
        <v>2.5620453347241825E-5</v>
      </c>
      <c r="BH308" s="137">
        <f>$W308*AM308+$L308*Summary_LCIA!AD$32</f>
        <v>9.2177562866468513E-2</v>
      </c>
      <c r="BI308" s="137">
        <f>$W308*AN308+$L308*Summary_LCIA!AE$32</f>
        <v>0.2773212383147251</v>
      </c>
      <c r="BJ308" s="137">
        <f>$W308*AO308+$L308*Summary_LCIA!AF$32</f>
        <v>1.6858151565497727E-2</v>
      </c>
      <c r="BK308" s="137">
        <f>$W308*AP308+$L308*Summary_LCIA!AG$32</f>
        <v>4.7131983604977237E-3</v>
      </c>
      <c r="BL308" s="137">
        <f>$W308*AQ308+$L308*Summary_LCIA!AH$32</f>
        <v>0.70199701117543833</v>
      </c>
      <c r="BM308" s="137">
        <f>$W308*AR308+$L308*Summary_LCIA!AI$32</f>
        <v>0.23768864435242687</v>
      </c>
    </row>
    <row r="309" spans="1:65" x14ac:dyDescent="0.25">
      <c r="A309" s="149">
        <v>65</v>
      </c>
      <c r="B309" s="149">
        <v>29</v>
      </c>
      <c r="C309" s="61">
        <v>51.075544999999998</v>
      </c>
      <c r="D309" s="61">
        <v>-114.12975400000001</v>
      </c>
      <c r="E309" s="61" t="s">
        <v>462</v>
      </c>
      <c r="F309" s="149">
        <v>125</v>
      </c>
      <c r="G309" s="61" t="s">
        <v>656</v>
      </c>
      <c r="H309" s="61" t="s">
        <v>657</v>
      </c>
      <c r="I309" s="61">
        <v>51.121502999999997</v>
      </c>
      <c r="J309" s="61">
        <v>-114.007616</v>
      </c>
      <c r="K309" s="61">
        <v>10.47008467</v>
      </c>
      <c r="L309" s="61">
        <v>15.291</v>
      </c>
      <c r="M309" s="61" t="s">
        <v>617</v>
      </c>
      <c r="N309" s="149">
        <v>28</v>
      </c>
      <c r="O309" s="149">
        <v>29</v>
      </c>
      <c r="P309" s="61" t="s">
        <v>565</v>
      </c>
      <c r="Q309" s="61" t="s">
        <v>559</v>
      </c>
      <c r="R309" s="61">
        <v>47.450249900000003</v>
      </c>
      <c r="S309" s="61">
        <v>-122.30881650000001</v>
      </c>
      <c r="T309" s="61">
        <v>1138.5450000000001</v>
      </c>
      <c r="U309" s="61" t="s">
        <v>617</v>
      </c>
      <c r="V309" s="61" t="s">
        <v>569</v>
      </c>
      <c r="W309" s="61" cm="1">
        <f t="array" ref="W309">getDistance(I309,J309,R309,S309)*SA!$B$12</f>
        <v>728.64359849106268</v>
      </c>
      <c r="Y309" s="137">
        <f>Transportation_LCIA!C$61*($W309^Transportation_LCIA!C$60)+Transportation_LCIA!C$62</f>
        <v>0.2731236986367126</v>
      </c>
      <c r="Z309" s="137">
        <f>Transportation_LCIA!D$61*($W309^Transportation_LCIA!D$60)+Transportation_LCIA!D$62</f>
        <v>2.8629364723129571</v>
      </c>
      <c r="AA309" s="137">
        <f>Transportation_LCIA!E$61*($W309^Transportation_LCIA!E$60)+Transportation_LCIA!E$62</f>
        <v>1.4324472391760977E-3</v>
      </c>
      <c r="AB309" s="137">
        <f>Transportation_LCIA!F$61*($W309^Transportation_LCIA!F$60)+Transportation_LCIA!F$62</f>
        <v>0.2731236986367126</v>
      </c>
      <c r="AC309" s="137">
        <f>Transportation_LCIA!G$61*($W309^Transportation_LCIA!G$60)+Transportation_LCIA!G$62</f>
        <v>6.6804267943327042E-2</v>
      </c>
      <c r="AD309" s="137">
        <f>Transportation_LCIA!H$61*($W309^Transportation_LCIA!H$60)+Transportation_LCIA!H$62</f>
        <v>3.4039623073025302E-4</v>
      </c>
      <c r="AE309" s="137">
        <f>Transportation_LCIA!I$61*($W309^Transportation_LCIA!I$60)+Transportation_LCIA!I$62</f>
        <v>7.5313047486579253E-6</v>
      </c>
      <c r="AF309" s="137">
        <f>Transportation_LCIA!J$61*($W309^Transportation_LCIA!J$60)+Transportation_LCIA!J$62</f>
        <v>1.1171536460231862E-2</v>
      </c>
      <c r="AG309" s="137">
        <f>Transportation_LCIA!K$61*($W309^Transportation_LCIA!K$60)+Transportation_LCIA!K$62</f>
        <v>1.4427005322781314E-2</v>
      </c>
      <c r="AH309" s="137">
        <f>Transportation_LCIA!L$61*($W309^Transportation_LCIA!L$60)+Transportation_LCIA!L$62</f>
        <v>2.9845682610086144E-4</v>
      </c>
      <c r="AI309" s="137">
        <f>Transportation_LCIA!M$61*($W309^Transportation_LCIA!M$60)+Transportation_LCIA!M$62</f>
        <v>2.7871591009555731E-4</v>
      </c>
      <c r="AJ309" s="137">
        <f>Transportation_LCIA!N$61*($W309^Transportation_LCIA!N$60)+Transportation_LCIA!N$62</f>
        <v>1.2035776980627529E-3</v>
      </c>
      <c r="AK309" s="137">
        <f>Transportation_LCIA!O$61*($W309^Transportation_LCIA!O$60)+Transportation_LCIA!O$62</f>
        <v>7.0654220111155368E-5</v>
      </c>
      <c r="AL309" s="137">
        <f>Transportation_LCIA!P$61*($W309^Transportation_LCIA!P$60)+Transportation_LCIA!P$62</f>
        <v>3.4135986584869326E-8</v>
      </c>
      <c r="AM309" s="137">
        <f>Transportation_LCIA!Q$61*($W309^Transportation_LCIA!Q$60)+Transportation_LCIA!Q$62</f>
        <v>1.1787978430654126E-4</v>
      </c>
      <c r="AN309" s="137">
        <f>Transportation_LCIA!R$61*($W309^Transportation_LCIA!R$60)+Transportation_LCIA!R$62</f>
        <v>3.620033512007317E-4</v>
      </c>
      <c r="AO309" s="137">
        <f>Transportation_LCIA!S$61*($W309^Transportation_LCIA!S$60)+Transportation_LCIA!S$62</f>
        <v>5.3947284428738964E-6</v>
      </c>
      <c r="AP309" s="137">
        <f>Transportation_LCIA!T$61*($W309^Transportation_LCIA!T$60)+Transportation_LCIA!T$62</f>
        <v>5.3947284428738964E-6</v>
      </c>
      <c r="AQ309" s="137">
        <f>Transportation_LCIA!U$61*($W309^Transportation_LCIA!U$60)+Transportation_LCIA!U$62</f>
        <v>7.807798829957284E-4</v>
      </c>
      <c r="AR309" s="137">
        <f>Transportation_LCIA!V$61*($W309^Transportation_LCIA!V$60)+Transportation_LCIA!V$62</f>
        <v>3.0665789662484431E-4</v>
      </c>
      <c r="AT309" s="137">
        <f>$W309*Y309+$L309*Summary_LCIA!H$32</f>
        <v>204.2057164078428</v>
      </c>
      <c r="AU309" s="137">
        <f>$W309*Z309+$L309*Summary_LCIA!Q$32</f>
        <v>2161.8433006084247</v>
      </c>
      <c r="AV309" s="137">
        <f>$W309*AA309+$L309*Summary_LCIA!R$32</f>
        <v>1.1242598006018598</v>
      </c>
      <c r="AW309" s="137">
        <f>$W309*AB309+$L309*Summary_LCIA!S$32</f>
        <v>204.13813018784282</v>
      </c>
      <c r="AX309" s="137">
        <f>$W309*AC309+$L309*Summary_LCIA!T$32</f>
        <v>50.356983088786954</v>
      </c>
      <c r="AY309" s="137">
        <f>$W309*AD309+$L309*Summary_LCIA!U$32</f>
        <v>0.52195050847208557</v>
      </c>
      <c r="AZ309" s="137">
        <f>$W309*AE309+$L309*Summary_LCIA!V$32</f>
        <v>6.2179504443949391E-3</v>
      </c>
      <c r="BA309" s="137">
        <f>$W309*AF309+$L309*Summary_LCIA!W$32</f>
        <v>9.3170320880574522</v>
      </c>
      <c r="BB309" s="137">
        <f>$W309*AG309+$L309*Summary_LCIA!X$32</f>
        <v>10.860474053841092</v>
      </c>
      <c r="BC309" s="137">
        <f>$W309*AH309+$L309*Summary_LCIA!Y$32</f>
        <v>0.45573301776435304</v>
      </c>
      <c r="BD309" s="137">
        <f>$W309*AI309+$L309*Summary_LCIA!Z$32</f>
        <v>0.20371163230773839</v>
      </c>
      <c r="BE309" s="137">
        <f>$W309*AJ309+$L309*Summary_LCIA!AA$32</f>
        <v>1.234115780980034</v>
      </c>
      <c r="BF309" s="137">
        <f>$W309*AK309+$L309*Summary_LCIA!AB$32</f>
        <v>5.1148049697371863E-2</v>
      </c>
      <c r="BG309" s="137">
        <f>$W309*AL309+$L309*Summary_LCIA!AC$32</f>
        <v>2.5620453347241825E-5</v>
      </c>
      <c r="BH309" s="137">
        <f>$W309*AM309+$L309*Summary_LCIA!AD$32</f>
        <v>9.2177562866468513E-2</v>
      </c>
      <c r="BI309" s="137">
        <f>$W309*AN309+$L309*Summary_LCIA!AE$32</f>
        <v>0.2773212383147251</v>
      </c>
      <c r="BJ309" s="137">
        <f>$W309*AO309+$L309*Summary_LCIA!AF$32</f>
        <v>1.6858151565497727E-2</v>
      </c>
      <c r="BK309" s="137">
        <f>$W309*AP309+$L309*Summary_LCIA!AG$32</f>
        <v>4.7131983604977237E-3</v>
      </c>
      <c r="BL309" s="137">
        <f>$W309*AQ309+$L309*Summary_LCIA!AH$32</f>
        <v>0.70199701117543833</v>
      </c>
      <c r="BM309" s="137">
        <f>$W309*AR309+$L309*Summary_LCIA!AI$32</f>
        <v>0.23768864435242687</v>
      </c>
    </row>
    <row r="310" spans="1:65" x14ac:dyDescent="0.25">
      <c r="A310" s="149">
        <v>66</v>
      </c>
      <c r="B310" s="149">
        <v>29</v>
      </c>
      <c r="C310" s="61">
        <v>51.075544999999998</v>
      </c>
      <c r="D310" s="61">
        <v>-114.12975400000001</v>
      </c>
      <c r="E310" s="61" t="s">
        <v>462</v>
      </c>
      <c r="F310" s="149">
        <v>125</v>
      </c>
      <c r="G310" s="61" t="s">
        <v>656</v>
      </c>
      <c r="H310" s="61" t="s">
        <v>657</v>
      </c>
      <c r="I310" s="61">
        <v>51.121502999999997</v>
      </c>
      <c r="J310" s="61">
        <v>-114.007616</v>
      </c>
      <c r="K310" s="61">
        <v>10.47008467</v>
      </c>
      <c r="L310" s="61">
        <v>15.291</v>
      </c>
      <c r="M310" s="61" t="s">
        <v>617</v>
      </c>
      <c r="N310" s="149">
        <v>28</v>
      </c>
      <c r="O310" s="149">
        <v>29</v>
      </c>
      <c r="P310" s="61" t="s">
        <v>565</v>
      </c>
      <c r="Q310" s="61" t="s">
        <v>559</v>
      </c>
      <c r="R310" s="61">
        <v>47.450249900000003</v>
      </c>
      <c r="S310" s="61">
        <v>-122.30881650000001</v>
      </c>
      <c r="T310" s="61">
        <v>1138.5450000000001</v>
      </c>
      <c r="U310" s="61" t="s">
        <v>617</v>
      </c>
      <c r="V310" s="61" t="s">
        <v>569</v>
      </c>
      <c r="W310" s="61" cm="1">
        <f t="array" ref="W310">getDistance(I310,J310,R310,S310)*SA!$B$12</f>
        <v>728.64359849106268</v>
      </c>
      <c r="Y310" s="137">
        <f>Transportation_LCIA!C$61*($W310^Transportation_LCIA!C$60)+Transportation_LCIA!C$62</f>
        <v>0.2731236986367126</v>
      </c>
      <c r="Z310" s="137">
        <f>Transportation_LCIA!D$61*($W310^Transportation_LCIA!D$60)+Transportation_LCIA!D$62</f>
        <v>2.8629364723129571</v>
      </c>
      <c r="AA310" s="137">
        <f>Transportation_LCIA!E$61*($W310^Transportation_LCIA!E$60)+Transportation_LCIA!E$62</f>
        <v>1.4324472391760977E-3</v>
      </c>
      <c r="AB310" s="137">
        <f>Transportation_LCIA!F$61*($W310^Transportation_LCIA!F$60)+Transportation_LCIA!F$62</f>
        <v>0.2731236986367126</v>
      </c>
      <c r="AC310" s="137">
        <f>Transportation_LCIA!G$61*($W310^Transportation_LCIA!G$60)+Transportation_LCIA!G$62</f>
        <v>6.6804267943327042E-2</v>
      </c>
      <c r="AD310" s="137">
        <f>Transportation_LCIA!H$61*($W310^Transportation_LCIA!H$60)+Transportation_LCIA!H$62</f>
        <v>3.4039623073025302E-4</v>
      </c>
      <c r="AE310" s="137">
        <f>Transportation_LCIA!I$61*($W310^Transportation_LCIA!I$60)+Transportation_LCIA!I$62</f>
        <v>7.5313047486579253E-6</v>
      </c>
      <c r="AF310" s="137">
        <f>Transportation_LCIA!J$61*($W310^Transportation_LCIA!J$60)+Transportation_LCIA!J$62</f>
        <v>1.1171536460231862E-2</v>
      </c>
      <c r="AG310" s="137">
        <f>Transportation_LCIA!K$61*($W310^Transportation_LCIA!K$60)+Transportation_LCIA!K$62</f>
        <v>1.4427005322781314E-2</v>
      </c>
      <c r="AH310" s="137">
        <f>Transportation_LCIA!L$61*($W310^Transportation_LCIA!L$60)+Transportation_LCIA!L$62</f>
        <v>2.9845682610086144E-4</v>
      </c>
      <c r="AI310" s="137">
        <f>Transportation_LCIA!M$61*($W310^Transportation_LCIA!M$60)+Transportation_LCIA!M$62</f>
        <v>2.7871591009555731E-4</v>
      </c>
      <c r="AJ310" s="137">
        <f>Transportation_LCIA!N$61*($W310^Transportation_LCIA!N$60)+Transportation_LCIA!N$62</f>
        <v>1.2035776980627529E-3</v>
      </c>
      <c r="AK310" s="137">
        <f>Transportation_LCIA!O$61*($W310^Transportation_LCIA!O$60)+Transportation_LCIA!O$62</f>
        <v>7.0654220111155368E-5</v>
      </c>
      <c r="AL310" s="137">
        <f>Transportation_LCIA!P$61*($W310^Transportation_LCIA!P$60)+Transportation_LCIA!P$62</f>
        <v>3.4135986584869326E-8</v>
      </c>
      <c r="AM310" s="137">
        <f>Transportation_LCIA!Q$61*($W310^Transportation_LCIA!Q$60)+Transportation_LCIA!Q$62</f>
        <v>1.1787978430654126E-4</v>
      </c>
      <c r="AN310" s="137">
        <f>Transportation_LCIA!R$61*($W310^Transportation_LCIA!R$60)+Transportation_LCIA!R$62</f>
        <v>3.620033512007317E-4</v>
      </c>
      <c r="AO310" s="137">
        <f>Transportation_LCIA!S$61*($W310^Transportation_LCIA!S$60)+Transportation_LCIA!S$62</f>
        <v>5.3947284428738964E-6</v>
      </c>
      <c r="AP310" s="137">
        <f>Transportation_LCIA!T$61*($W310^Transportation_LCIA!T$60)+Transportation_LCIA!T$62</f>
        <v>5.3947284428738964E-6</v>
      </c>
      <c r="AQ310" s="137">
        <f>Transportation_LCIA!U$61*($W310^Transportation_LCIA!U$60)+Transportation_LCIA!U$62</f>
        <v>7.807798829957284E-4</v>
      </c>
      <c r="AR310" s="137">
        <f>Transportation_LCIA!V$61*($W310^Transportation_LCIA!V$60)+Transportation_LCIA!V$62</f>
        <v>3.0665789662484431E-4</v>
      </c>
      <c r="AT310" s="137">
        <f>$W310*Y310+$L310*Summary_LCIA!H$32</f>
        <v>204.2057164078428</v>
      </c>
      <c r="AU310" s="137">
        <f>$W310*Z310+$L310*Summary_LCIA!Q$32</f>
        <v>2161.8433006084247</v>
      </c>
      <c r="AV310" s="137">
        <f>$W310*AA310+$L310*Summary_LCIA!R$32</f>
        <v>1.1242598006018598</v>
      </c>
      <c r="AW310" s="137">
        <f>$W310*AB310+$L310*Summary_LCIA!S$32</f>
        <v>204.13813018784282</v>
      </c>
      <c r="AX310" s="137">
        <f>$W310*AC310+$L310*Summary_LCIA!T$32</f>
        <v>50.356983088786954</v>
      </c>
      <c r="AY310" s="137">
        <f>$W310*AD310+$L310*Summary_LCIA!U$32</f>
        <v>0.52195050847208557</v>
      </c>
      <c r="AZ310" s="137">
        <f>$W310*AE310+$L310*Summary_LCIA!V$32</f>
        <v>6.2179504443949391E-3</v>
      </c>
      <c r="BA310" s="137">
        <f>$W310*AF310+$L310*Summary_LCIA!W$32</f>
        <v>9.3170320880574522</v>
      </c>
      <c r="BB310" s="137">
        <f>$W310*AG310+$L310*Summary_LCIA!X$32</f>
        <v>10.860474053841092</v>
      </c>
      <c r="BC310" s="137">
        <f>$W310*AH310+$L310*Summary_LCIA!Y$32</f>
        <v>0.45573301776435304</v>
      </c>
      <c r="BD310" s="137">
        <f>$W310*AI310+$L310*Summary_LCIA!Z$32</f>
        <v>0.20371163230773839</v>
      </c>
      <c r="BE310" s="137">
        <f>$W310*AJ310+$L310*Summary_LCIA!AA$32</f>
        <v>1.234115780980034</v>
      </c>
      <c r="BF310" s="137">
        <f>$W310*AK310+$L310*Summary_LCIA!AB$32</f>
        <v>5.1148049697371863E-2</v>
      </c>
      <c r="BG310" s="137">
        <f>$W310*AL310+$L310*Summary_LCIA!AC$32</f>
        <v>2.5620453347241825E-5</v>
      </c>
      <c r="BH310" s="137">
        <f>$W310*AM310+$L310*Summary_LCIA!AD$32</f>
        <v>9.2177562866468513E-2</v>
      </c>
      <c r="BI310" s="137">
        <f>$W310*AN310+$L310*Summary_LCIA!AE$32</f>
        <v>0.2773212383147251</v>
      </c>
      <c r="BJ310" s="137">
        <f>$W310*AO310+$L310*Summary_LCIA!AF$32</f>
        <v>1.6858151565497727E-2</v>
      </c>
      <c r="BK310" s="137">
        <f>$W310*AP310+$L310*Summary_LCIA!AG$32</f>
        <v>4.7131983604977237E-3</v>
      </c>
      <c r="BL310" s="137">
        <f>$W310*AQ310+$L310*Summary_LCIA!AH$32</f>
        <v>0.70199701117543833</v>
      </c>
      <c r="BM310" s="137">
        <f>$W310*AR310+$L310*Summary_LCIA!AI$32</f>
        <v>0.23768864435242687</v>
      </c>
    </row>
    <row r="311" spans="1:65" x14ac:dyDescent="0.25">
      <c r="A311" s="149">
        <v>67</v>
      </c>
      <c r="B311" s="149">
        <v>29</v>
      </c>
      <c r="C311" s="61">
        <v>51.075544999999998</v>
      </c>
      <c r="D311" s="61">
        <v>-114.12975400000001</v>
      </c>
      <c r="E311" s="61" t="s">
        <v>462</v>
      </c>
      <c r="F311" s="149">
        <v>125</v>
      </c>
      <c r="G311" s="61" t="s">
        <v>656</v>
      </c>
      <c r="H311" s="61" t="s">
        <v>657</v>
      </c>
      <c r="I311" s="61">
        <v>51.121502999999997</v>
      </c>
      <c r="J311" s="61">
        <v>-114.007616</v>
      </c>
      <c r="K311" s="61">
        <v>10.47008467</v>
      </c>
      <c r="L311" s="61">
        <v>15.291</v>
      </c>
      <c r="M311" s="61" t="s">
        <v>617</v>
      </c>
      <c r="N311" s="149">
        <v>28</v>
      </c>
      <c r="O311" s="149">
        <v>29</v>
      </c>
      <c r="P311" s="61" t="s">
        <v>565</v>
      </c>
      <c r="Q311" s="61" t="s">
        <v>559</v>
      </c>
      <c r="R311" s="61">
        <v>47.450249900000003</v>
      </c>
      <c r="S311" s="61">
        <v>-122.30881650000001</v>
      </c>
      <c r="T311" s="61">
        <v>1138.5450000000001</v>
      </c>
      <c r="U311" s="61" t="s">
        <v>617</v>
      </c>
      <c r="V311" s="61" t="s">
        <v>569</v>
      </c>
      <c r="W311" s="61" cm="1">
        <f t="array" ref="W311">getDistance(I311,J311,R311,S311)*SA!$B$12</f>
        <v>728.64359849106268</v>
      </c>
      <c r="Y311" s="137">
        <f>Transportation_LCIA!C$61*($W311^Transportation_LCIA!C$60)+Transportation_LCIA!C$62</f>
        <v>0.2731236986367126</v>
      </c>
      <c r="Z311" s="137">
        <f>Transportation_LCIA!D$61*($W311^Transportation_LCIA!D$60)+Transportation_LCIA!D$62</f>
        <v>2.8629364723129571</v>
      </c>
      <c r="AA311" s="137">
        <f>Transportation_LCIA!E$61*($W311^Transportation_LCIA!E$60)+Transportation_LCIA!E$62</f>
        <v>1.4324472391760977E-3</v>
      </c>
      <c r="AB311" s="137">
        <f>Transportation_LCIA!F$61*($W311^Transportation_LCIA!F$60)+Transportation_LCIA!F$62</f>
        <v>0.2731236986367126</v>
      </c>
      <c r="AC311" s="137">
        <f>Transportation_LCIA!G$61*($W311^Transportation_LCIA!G$60)+Transportation_LCIA!G$62</f>
        <v>6.6804267943327042E-2</v>
      </c>
      <c r="AD311" s="137">
        <f>Transportation_LCIA!H$61*($W311^Transportation_LCIA!H$60)+Transportation_LCIA!H$62</f>
        <v>3.4039623073025302E-4</v>
      </c>
      <c r="AE311" s="137">
        <f>Transportation_LCIA!I$61*($W311^Transportation_LCIA!I$60)+Transportation_LCIA!I$62</f>
        <v>7.5313047486579253E-6</v>
      </c>
      <c r="AF311" s="137">
        <f>Transportation_LCIA!J$61*($W311^Transportation_LCIA!J$60)+Transportation_LCIA!J$62</f>
        <v>1.1171536460231862E-2</v>
      </c>
      <c r="AG311" s="137">
        <f>Transportation_LCIA!K$61*($W311^Transportation_LCIA!K$60)+Transportation_LCIA!K$62</f>
        <v>1.4427005322781314E-2</v>
      </c>
      <c r="AH311" s="137">
        <f>Transportation_LCIA!L$61*($W311^Transportation_LCIA!L$60)+Transportation_LCIA!L$62</f>
        <v>2.9845682610086144E-4</v>
      </c>
      <c r="AI311" s="137">
        <f>Transportation_LCIA!M$61*($W311^Transportation_LCIA!M$60)+Transportation_LCIA!M$62</f>
        <v>2.7871591009555731E-4</v>
      </c>
      <c r="AJ311" s="137">
        <f>Transportation_LCIA!N$61*($W311^Transportation_LCIA!N$60)+Transportation_LCIA!N$62</f>
        <v>1.2035776980627529E-3</v>
      </c>
      <c r="AK311" s="137">
        <f>Transportation_LCIA!O$61*($W311^Transportation_LCIA!O$60)+Transportation_LCIA!O$62</f>
        <v>7.0654220111155368E-5</v>
      </c>
      <c r="AL311" s="137">
        <f>Transportation_LCIA!P$61*($W311^Transportation_LCIA!P$60)+Transportation_LCIA!P$62</f>
        <v>3.4135986584869326E-8</v>
      </c>
      <c r="AM311" s="137">
        <f>Transportation_LCIA!Q$61*($W311^Transportation_LCIA!Q$60)+Transportation_LCIA!Q$62</f>
        <v>1.1787978430654126E-4</v>
      </c>
      <c r="AN311" s="137">
        <f>Transportation_LCIA!R$61*($W311^Transportation_LCIA!R$60)+Transportation_LCIA!R$62</f>
        <v>3.620033512007317E-4</v>
      </c>
      <c r="AO311" s="137">
        <f>Transportation_LCIA!S$61*($W311^Transportation_LCIA!S$60)+Transportation_LCIA!S$62</f>
        <v>5.3947284428738964E-6</v>
      </c>
      <c r="AP311" s="137">
        <f>Transportation_LCIA!T$61*($W311^Transportation_LCIA!T$60)+Transportation_LCIA!T$62</f>
        <v>5.3947284428738964E-6</v>
      </c>
      <c r="AQ311" s="137">
        <f>Transportation_LCIA!U$61*($W311^Transportation_LCIA!U$60)+Transportation_LCIA!U$62</f>
        <v>7.807798829957284E-4</v>
      </c>
      <c r="AR311" s="137">
        <f>Transportation_LCIA!V$61*($W311^Transportation_LCIA!V$60)+Transportation_LCIA!V$62</f>
        <v>3.0665789662484431E-4</v>
      </c>
      <c r="AT311" s="137">
        <f>$W311*Y311+$L311*Summary_LCIA!H$32</f>
        <v>204.2057164078428</v>
      </c>
      <c r="AU311" s="137">
        <f>$W311*Z311+$L311*Summary_LCIA!Q$32</f>
        <v>2161.8433006084247</v>
      </c>
      <c r="AV311" s="137">
        <f>$W311*AA311+$L311*Summary_LCIA!R$32</f>
        <v>1.1242598006018598</v>
      </c>
      <c r="AW311" s="137">
        <f>$W311*AB311+$L311*Summary_LCIA!S$32</f>
        <v>204.13813018784282</v>
      </c>
      <c r="AX311" s="137">
        <f>$W311*AC311+$L311*Summary_LCIA!T$32</f>
        <v>50.356983088786954</v>
      </c>
      <c r="AY311" s="137">
        <f>$W311*AD311+$L311*Summary_LCIA!U$32</f>
        <v>0.52195050847208557</v>
      </c>
      <c r="AZ311" s="137">
        <f>$W311*AE311+$L311*Summary_LCIA!V$32</f>
        <v>6.2179504443949391E-3</v>
      </c>
      <c r="BA311" s="137">
        <f>$W311*AF311+$L311*Summary_LCIA!W$32</f>
        <v>9.3170320880574522</v>
      </c>
      <c r="BB311" s="137">
        <f>$W311*AG311+$L311*Summary_LCIA!X$32</f>
        <v>10.860474053841092</v>
      </c>
      <c r="BC311" s="137">
        <f>$W311*AH311+$L311*Summary_LCIA!Y$32</f>
        <v>0.45573301776435304</v>
      </c>
      <c r="BD311" s="137">
        <f>$W311*AI311+$L311*Summary_LCIA!Z$32</f>
        <v>0.20371163230773839</v>
      </c>
      <c r="BE311" s="137">
        <f>$W311*AJ311+$L311*Summary_LCIA!AA$32</f>
        <v>1.234115780980034</v>
      </c>
      <c r="BF311" s="137">
        <f>$W311*AK311+$L311*Summary_LCIA!AB$32</f>
        <v>5.1148049697371863E-2</v>
      </c>
      <c r="BG311" s="137">
        <f>$W311*AL311+$L311*Summary_LCIA!AC$32</f>
        <v>2.5620453347241825E-5</v>
      </c>
      <c r="BH311" s="137">
        <f>$W311*AM311+$L311*Summary_LCIA!AD$32</f>
        <v>9.2177562866468513E-2</v>
      </c>
      <c r="BI311" s="137">
        <f>$W311*AN311+$L311*Summary_LCIA!AE$32</f>
        <v>0.2773212383147251</v>
      </c>
      <c r="BJ311" s="137">
        <f>$W311*AO311+$L311*Summary_LCIA!AF$32</f>
        <v>1.6858151565497727E-2</v>
      </c>
      <c r="BK311" s="137">
        <f>$W311*AP311+$L311*Summary_LCIA!AG$32</f>
        <v>4.7131983604977237E-3</v>
      </c>
      <c r="BL311" s="137">
        <f>$W311*AQ311+$L311*Summary_LCIA!AH$32</f>
        <v>0.70199701117543833</v>
      </c>
      <c r="BM311" s="137">
        <f>$W311*AR311+$L311*Summary_LCIA!AI$32</f>
        <v>0.23768864435242687</v>
      </c>
    </row>
    <row r="312" spans="1:65" x14ac:dyDescent="0.25">
      <c r="A312" s="149">
        <v>68</v>
      </c>
      <c r="B312" s="149">
        <v>29</v>
      </c>
      <c r="C312" s="61">
        <v>51.075544999999998</v>
      </c>
      <c r="D312" s="61">
        <v>-114.12975400000001</v>
      </c>
      <c r="E312" s="61" t="s">
        <v>462</v>
      </c>
      <c r="F312" s="149">
        <v>125</v>
      </c>
      <c r="G312" s="61" t="s">
        <v>656</v>
      </c>
      <c r="H312" s="61" t="s">
        <v>657</v>
      </c>
      <c r="I312" s="61">
        <v>51.121502999999997</v>
      </c>
      <c r="J312" s="61">
        <v>-114.007616</v>
      </c>
      <c r="K312" s="61">
        <v>10.47008467</v>
      </c>
      <c r="L312" s="61">
        <v>15.291</v>
      </c>
      <c r="M312" s="61" t="s">
        <v>617</v>
      </c>
      <c r="N312" s="149">
        <v>28</v>
      </c>
      <c r="O312" s="149">
        <v>29</v>
      </c>
      <c r="P312" s="61" t="s">
        <v>565</v>
      </c>
      <c r="Q312" s="61" t="s">
        <v>559</v>
      </c>
      <c r="R312" s="61">
        <v>47.450249900000003</v>
      </c>
      <c r="S312" s="61">
        <v>-122.30881650000001</v>
      </c>
      <c r="T312" s="61">
        <v>1138.5450000000001</v>
      </c>
      <c r="U312" s="61" t="s">
        <v>617</v>
      </c>
      <c r="V312" s="61" t="s">
        <v>569</v>
      </c>
      <c r="W312" s="61" cm="1">
        <f t="array" ref="W312">getDistance(I312,J312,R312,S312)*SA!$B$12</f>
        <v>728.64359849106268</v>
      </c>
      <c r="Y312" s="137">
        <f>Transportation_LCIA!C$61*($W312^Transportation_LCIA!C$60)+Transportation_LCIA!C$62</f>
        <v>0.2731236986367126</v>
      </c>
      <c r="Z312" s="137">
        <f>Transportation_LCIA!D$61*($W312^Transportation_LCIA!D$60)+Transportation_LCIA!D$62</f>
        <v>2.8629364723129571</v>
      </c>
      <c r="AA312" s="137">
        <f>Transportation_LCIA!E$61*($W312^Transportation_LCIA!E$60)+Transportation_LCIA!E$62</f>
        <v>1.4324472391760977E-3</v>
      </c>
      <c r="AB312" s="137">
        <f>Transportation_LCIA!F$61*($W312^Transportation_LCIA!F$60)+Transportation_LCIA!F$62</f>
        <v>0.2731236986367126</v>
      </c>
      <c r="AC312" s="137">
        <f>Transportation_LCIA!G$61*($W312^Transportation_LCIA!G$60)+Transportation_LCIA!G$62</f>
        <v>6.6804267943327042E-2</v>
      </c>
      <c r="AD312" s="137">
        <f>Transportation_LCIA!H$61*($W312^Transportation_LCIA!H$60)+Transportation_LCIA!H$62</f>
        <v>3.4039623073025302E-4</v>
      </c>
      <c r="AE312" s="137">
        <f>Transportation_LCIA!I$61*($W312^Transportation_LCIA!I$60)+Transportation_LCIA!I$62</f>
        <v>7.5313047486579253E-6</v>
      </c>
      <c r="AF312" s="137">
        <f>Transportation_LCIA!J$61*($W312^Transportation_LCIA!J$60)+Transportation_LCIA!J$62</f>
        <v>1.1171536460231862E-2</v>
      </c>
      <c r="AG312" s="137">
        <f>Transportation_LCIA!K$61*($W312^Transportation_LCIA!K$60)+Transportation_LCIA!K$62</f>
        <v>1.4427005322781314E-2</v>
      </c>
      <c r="AH312" s="137">
        <f>Transportation_LCIA!L$61*($W312^Transportation_LCIA!L$60)+Transportation_LCIA!L$62</f>
        <v>2.9845682610086144E-4</v>
      </c>
      <c r="AI312" s="137">
        <f>Transportation_LCIA!M$61*($W312^Transportation_LCIA!M$60)+Transportation_LCIA!M$62</f>
        <v>2.7871591009555731E-4</v>
      </c>
      <c r="AJ312" s="137">
        <f>Transportation_LCIA!N$61*($W312^Transportation_LCIA!N$60)+Transportation_LCIA!N$62</f>
        <v>1.2035776980627529E-3</v>
      </c>
      <c r="AK312" s="137">
        <f>Transportation_LCIA!O$61*($W312^Transportation_LCIA!O$60)+Transportation_LCIA!O$62</f>
        <v>7.0654220111155368E-5</v>
      </c>
      <c r="AL312" s="137">
        <f>Transportation_LCIA!P$61*($W312^Transportation_LCIA!P$60)+Transportation_LCIA!P$62</f>
        <v>3.4135986584869326E-8</v>
      </c>
      <c r="AM312" s="137">
        <f>Transportation_LCIA!Q$61*($W312^Transportation_LCIA!Q$60)+Transportation_LCIA!Q$62</f>
        <v>1.1787978430654126E-4</v>
      </c>
      <c r="AN312" s="137">
        <f>Transportation_LCIA!R$61*($W312^Transportation_LCIA!R$60)+Transportation_LCIA!R$62</f>
        <v>3.620033512007317E-4</v>
      </c>
      <c r="AO312" s="137">
        <f>Transportation_LCIA!S$61*($W312^Transportation_LCIA!S$60)+Transportation_LCIA!S$62</f>
        <v>5.3947284428738964E-6</v>
      </c>
      <c r="AP312" s="137">
        <f>Transportation_LCIA!T$61*($W312^Transportation_LCIA!T$60)+Transportation_LCIA!T$62</f>
        <v>5.3947284428738964E-6</v>
      </c>
      <c r="AQ312" s="137">
        <f>Transportation_LCIA!U$61*($W312^Transportation_LCIA!U$60)+Transportation_LCIA!U$62</f>
        <v>7.807798829957284E-4</v>
      </c>
      <c r="AR312" s="137">
        <f>Transportation_LCIA!V$61*($W312^Transportation_LCIA!V$60)+Transportation_LCIA!V$62</f>
        <v>3.0665789662484431E-4</v>
      </c>
      <c r="AT312" s="137">
        <f>$W312*Y312+$L312*Summary_LCIA!H$32</f>
        <v>204.2057164078428</v>
      </c>
      <c r="AU312" s="137">
        <f>$W312*Z312+$L312*Summary_LCIA!Q$32</f>
        <v>2161.8433006084247</v>
      </c>
      <c r="AV312" s="137">
        <f>$W312*AA312+$L312*Summary_LCIA!R$32</f>
        <v>1.1242598006018598</v>
      </c>
      <c r="AW312" s="137">
        <f>$W312*AB312+$L312*Summary_LCIA!S$32</f>
        <v>204.13813018784282</v>
      </c>
      <c r="AX312" s="137">
        <f>$W312*AC312+$L312*Summary_LCIA!T$32</f>
        <v>50.356983088786954</v>
      </c>
      <c r="AY312" s="137">
        <f>$W312*AD312+$L312*Summary_LCIA!U$32</f>
        <v>0.52195050847208557</v>
      </c>
      <c r="AZ312" s="137">
        <f>$W312*AE312+$L312*Summary_LCIA!V$32</f>
        <v>6.2179504443949391E-3</v>
      </c>
      <c r="BA312" s="137">
        <f>$W312*AF312+$L312*Summary_LCIA!W$32</f>
        <v>9.3170320880574522</v>
      </c>
      <c r="BB312" s="137">
        <f>$W312*AG312+$L312*Summary_LCIA!X$32</f>
        <v>10.860474053841092</v>
      </c>
      <c r="BC312" s="137">
        <f>$W312*AH312+$L312*Summary_LCIA!Y$32</f>
        <v>0.45573301776435304</v>
      </c>
      <c r="BD312" s="137">
        <f>$W312*AI312+$L312*Summary_LCIA!Z$32</f>
        <v>0.20371163230773839</v>
      </c>
      <c r="BE312" s="137">
        <f>$W312*AJ312+$L312*Summary_LCIA!AA$32</f>
        <v>1.234115780980034</v>
      </c>
      <c r="BF312" s="137">
        <f>$W312*AK312+$L312*Summary_LCIA!AB$32</f>
        <v>5.1148049697371863E-2</v>
      </c>
      <c r="BG312" s="137">
        <f>$W312*AL312+$L312*Summary_LCIA!AC$32</f>
        <v>2.5620453347241825E-5</v>
      </c>
      <c r="BH312" s="137">
        <f>$W312*AM312+$L312*Summary_LCIA!AD$32</f>
        <v>9.2177562866468513E-2</v>
      </c>
      <c r="BI312" s="137">
        <f>$W312*AN312+$L312*Summary_LCIA!AE$32</f>
        <v>0.2773212383147251</v>
      </c>
      <c r="BJ312" s="137">
        <f>$W312*AO312+$L312*Summary_LCIA!AF$32</f>
        <v>1.6858151565497727E-2</v>
      </c>
      <c r="BK312" s="137">
        <f>$W312*AP312+$L312*Summary_LCIA!AG$32</f>
        <v>4.7131983604977237E-3</v>
      </c>
      <c r="BL312" s="137">
        <f>$W312*AQ312+$L312*Summary_LCIA!AH$32</f>
        <v>0.70199701117543833</v>
      </c>
      <c r="BM312" s="137">
        <f>$W312*AR312+$L312*Summary_LCIA!AI$32</f>
        <v>0.23768864435242687</v>
      </c>
    </row>
    <row r="313" spans="1:65" x14ac:dyDescent="0.25">
      <c r="A313" s="149">
        <v>69</v>
      </c>
      <c r="B313" s="149">
        <v>29</v>
      </c>
      <c r="C313" s="61">
        <v>51.075544999999998</v>
      </c>
      <c r="D313" s="61">
        <v>-114.12975400000001</v>
      </c>
      <c r="E313" s="61" t="s">
        <v>462</v>
      </c>
      <c r="F313" s="149">
        <v>125</v>
      </c>
      <c r="G313" s="61" t="s">
        <v>656</v>
      </c>
      <c r="H313" s="61" t="s">
        <v>657</v>
      </c>
      <c r="I313" s="61">
        <v>51.121502999999997</v>
      </c>
      <c r="J313" s="61">
        <v>-114.007616</v>
      </c>
      <c r="K313" s="61">
        <v>10.47008467</v>
      </c>
      <c r="L313" s="61">
        <v>15.291</v>
      </c>
      <c r="M313" s="61" t="s">
        <v>617</v>
      </c>
      <c r="N313" s="149">
        <v>28</v>
      </c>
      <c r="O313" s="149">
        <v>29</v>
      </c>
      <c r="P313" s="61" t="s">
        <v>565</v>
      </c>
      <c r="Q313" s="61" t="s">
        <v>559</v>
      </c>
      <c r="R313" s="61">
        <v>47.450249900000003</v>
      </c>
      <c r="S313" s="61">
        <v>-122.30881650000001</v>
      </c>
      <c r="T313" s="61">
        <v>1138.5450000000001</v>
      </c>
      <c r="U313" s="61" t="s">
        <v>617</v>
      </c>
      <c r="V313" s="61" t="s">
        <v>569</v>
      </c>
      <c r="W313" s="61" cm="1">
        <f t="array" ref="W313">getDistance(I313,J313,R313,S313)*SA!$B$12</f>
        <v>728.64359849106268</v>
      </c>
      <c r="Y313" s="137">
        <f>Transportation_LCIA!C$61*($W313^Transportation_LCIA!C$60)+Transportation_LCIA!C$62</f>
        <v>0.2731236986367126</v>
      </c>
      <c r="Z313" s="137">
        <f>Transportation_LCIA!D$61*($W313^Transportation_LCIA!D$60)+Transportation_LCIA!D$62</f>
        <v>2.8629364723129571</v>
      </c>
      <c r="AA313" s="137">
        <f>Transportation_LCIA!E$61*($W313^Transportation_LCIA!E$60)+Transportation_LCIA!E$62</f>
        <v>1.4324472391760977E-3</v>
      </c>
      <c r="AB313" s="137">
        <f>Transportation_LCIA!F$61*($W313^Transportation_LCIA!F$60)+Transportation_LCIA!F$62</f>
        <v>0.2731236986367126</v>
      </c>
      <c r="AC313" s="137">
        <f>Transportation_LCIA!G$61*($W313^Transportation_LCIA!G$60)+Transportation_LCIA!G$62</f>
        <v>6.6804267943327042E-2</v>
      </c>
      <c r="AD313" s="137">
        <f>Transportation_LCIA!H$61*($W313^Transportation_LCIA!H$60)+Transportation_LCIA!H$62</f>
        <v>3.4039623073025302E-4</v>
      </c>
      <c r="AE313" s="137">
        <f>Transportation_LCIA!I$61*($W313^Transportation_LCIA!I$60)+Transportation_LCIA!I$62</f>
        <v>7.5313047486579253E-6</v>
      </c>
      <c r="AF313" s="137">
        <f>Transportation_LCIA!J$61*($W313^Transportation_LCIA!J$60)+Transportation_LCIA!J$62</f>
        <v>1.1171536460231862E-2</v>
      </c>
      <c r="AG313" s="137">
        <f>Transportation_LCIA!K$61*($W313^Transportation_LCIA!K$60)+Transportation_LCIA!K$62</f>
        <v>1.4427005322781314E-2</v>
      </c>
      <c r="AH313" s="137">
        <f>Transportation_LCIA!L$61*($W313^Transportation_LCIA!L$60)+Transportation_LCIA!L$62</f>
        <v>2.9845682610086144E-4</v>
      </c>
      <c r="AI313" s="137">
        <f>Transportation_LCIA!M$61*($W313^Transportation_LCIA!M$60)+Transportation_LCIA!M$62</f>
        <v>2.7871591009555731E-4</v>
      </c>
      <c r="AJ313" s="137">
        <f>Transportation_LCIA!N$61*($W313^Transportation_LCIA!N$60)+Transportation_LCIA!N$62</f>
        <v>1.2035776980627529E-3</v>
      </c>
      <c r="AK313" s="137">
        <f>Transportation_LCIA!O$61*($W313^Transportation_LCIA!O$60)+Transportation_LCIA!O$62</f>
        <v>7.0654220111155368E-5</v>
      </c>
      <c r="AL313" s="137">
        <f>Transportation_LCIA!P$61*($W313^Transportation_LCIA!P$60)+Transportation_LCIA!P$62</f>
        <v>3.4135986584869326E-8</v>
      </c>
      <c r="AM313" s="137">
        <f>Transportation_LCIA!Q$61*($W313^Transportation_LCIA!Q$60)+Transportation_LCIA!Q$62</f>
        <v>1.1787978430654126E-4</v>
      </c>
      <c r="AN313" s="137">
        <f>Transportation_LCIA!R$61*($W313^Transportation_LCIA!R$60)+Transportation_LCIA!R$62</f>
        <v>3.620033512007317E-4</v>
      </c>
      <c r="AO313" s="137">
        <f>Transportation_LCIA!S$61*($W313^Transportation_LCIA!S$60)+Transportation_LCIA!S$62</f>
        <v>5.3947284428738964E-6</v>
      </c>
      <c r="AP313" s="137">
        <f>Transportation_LCIA!T$61*($W313^Transportation_LCIA!T$60)+Transportation_LCIA!T$62</f>
        <v>5.3947284428738964E-6</v>
      </c>
      <c r="AQ313" s="137">
        <f>Transportation_LCIA!U$61*($W313^Transportation_LCIA!U$60)+Transportation_LCIA!U$62</f>
        <v>7.807798829957284E-4</v>
      </c>
      <c r="AR313" s="137">
        <f>Transportation_LCIA!V$61*($W313^Transportation_LCIA!V$60)+Transportation_LCIA!V$62</f>
        <v>3.0665789662484431E-4</v>
      </c>
      <c r="AT313" s="137">
        <f>$W313*Y313+$L313*Summary_LCIA!H$32</f>
        <v>204.2057164078428</v>
      </c>
      <c r="AU313" s="137">
        <f>$W313*Z313+$L313*Summary_LCIA!Q$32</f>
        <v>2161.8433006084247</v>
      </c>
      <c r="AV313" s="137">
        <f>$W313*AA313+$L313*Summary_LCIA!R$32</f>
        <v>1.1242598006018598</v>
      </c>
      <c r="AW313" s="137">
        <f>$W313*AB313+$L313*Summary_LCIA!S$32</f>
        <v>204.13813018784282</v>
      </c>
      <c r="AX313" s="137">
        <f>$W313*AC313+$L313*Summary_LCIA!T$32</f>
        <v>50.356983088786954</v>
      </c>
      <c r="AY313" s="137">
        <f>$W313*AD313+$L313*Summary_LCIA!U$32</f>
        <v>0.52195050847208557</v>
      </c>
      <c r="AZ313" s="137">
        <f>$W313*AE313+$L313*Summary_LCIA!V$32</f>
        <v>6.2179504443949391E-3</v>
      </c>
      <c r="BA313" s="137">
        <f>$W313*AF313+$L313*Summary_LCIA!W$32</f>
        <v>9.3170320880574522</v>
      </c>
      <c r="BB313" s="137">
        <f>$W313*AG313+$L313*Summary_LCIA!X$32</f>
        <v>10.860474053841092</v>
      </c>
      <c r="BC313" s="137">
        <f>$W313*AH313+$L313*Summary_LCIA!Y$32</f>
        <v>0.45573301776435304</v>
      </c>
      <c r="BD313" s="137">
        <f>$W313*AI313+$L313*Summary_LCIA!Z$32</f>
        <v>0.20371163230773839</v>
      </c>
      <c r="BE313" s="137">
        <f>$W313*AJ313+$L313*Summary_LCIA!AA$32</f>
        <v>1.234115780980034</v>
      </c>
      <c r="BF313" s="137">
        <f>$W313*AK313+$L313*Summary_LCIA!AB$32</f>
        <v>5.1148049697371863E-2</v>
      </c>
      <c r="BG313" s="137">
        <f>$W313*AL313+$L313*Summary_LCIA!AC$32</f>
        <v>2.5620453347241825E-5</v>
      </c>
      <c r="BH313" s="137">
        <f>$W313*AM313+$L313*Summary_LCIA!AD$32</f>
        <v>9.2177562866468513E-2</v>
      </c>
      <c r="BI313" s="137">
        <f>$W313*AN313+$L313*Summary_LCIA!AE$32</f>
        <v>0.2773212383147251</v>
      </c>
      <c r="BJ313" s="137">
        <f>$W313*AO313+$L313*Summary_LCIA!AF$32</f>
        <v>1.6858151565497727E-2</v>
      </c>
      <c r="BK313" s="137">
        <f>$W313*AP313+$L313*Summary_LCIA!AG$32</f>
        <v>4.7131983604977237E-3</v>
      </c>
      <c r="BL313" s="137">
        <f>$W313*AQ313+$L313*Summary_LCIA!AH$32</f>
        <v>0.70199701117543833</v>
      </c>
      <c r="BM313" s="137">
        <f>$W313*AR313+$L313*Summary_LCIA!AI$32</f>
        <v>0.23768864435242687</v>
      </c>
    </row>
    <row r="314" spans="1:65" x14ac:dyDescent="0.25">
      <c r="A314" s="149">
        <v>70</v>
      </c>
      <c r="B314" s="149">
        <v>29</v>
      </c>
      <c r="C314" s="61">
        <v>51.075544999999998</v>
      </c>
      <c r="D314" s="61">
        <v>-114.12975400000001</v>
      </c>
      <c r="E314" s="61" t="s">
        <v>462</v>
      </c>
      <c r="F314" s="149">
        <v>125</v>
      </c>
      <c r="G314" s="61" t="s">
        <v>656</v>
      </c>
      <c r="H314" s="61" t="s">
        <v>657</v>
      </c>
      <c r="I314" s="61">
        <v>51.121502999999997</v>
      </c>
      <c r="J314" s="61">
        <v>-114.007616</v>
      </c>
      <c r="K314" s="61">
        <v>10.47008467</v>
      </c>
      <c r="L314" s="61">
        <v>15.291</v>
      </c>
      <c r="M314" s="61" t="s">
        <v>617</v>
      </c>
      <c r="N314" s="149">
        <v>28</v>
      </c>
      <c r="O314" s="149">
        <v>29</v>
      </c>
      <c r="P314" s="61" t="s">
        <v>565</v>
      </c>
      <c r="Q314" s="61" t="s">
        <v>559</v>
      </c>
      <c r="R314" s="61">
        <v>47.450249900000003</v>
      </c>
      <c r="S314" s="61">
        <v>-122.30881650000001</v>
      </c>
      <c r="T314" s="61">
        <v>1138.5450000000001</v>
      </c>
      <c r="U314" s="61" t="s">
        <v>617</v>
      </c>
      <c r="V314" s="61" t="s">
        <v>569</v>
      </c>
      <c r="W314" s="61" cm="1">
        <f t="array" ref="W314">getDistance(I314,J314,R314,S314)*SA!$B$12</f>
        <v>728.64359849106268</v>
      </c>
      <c r="Y314" s="137">
        <f>Transportation_LCIA!C$61*($W314^Transportation_LCIA!C$60)+Transportation_LCIA!C$62</f>
        <v>0.2731236986367126</v>
      </c>
      <c r="Z314" s="137">
        <f>Transportation_LCIA!D$61*($W314^Transportation_LCIA!D$60)+Transportation_LCIA!D$62</f>
        <v>2.8629364723129571</v>
      </c>
      <c r="AA314" s="137">
        <f>Transportation_LCIA!E$61*($W314^Transportation_LCIA!E$60)+Transportation_LCIA!E$62</f>
        <v>1.4324472391760977E-3</v>
      </c>
      <c r="AB314" s="137">
        <f>Transportation_LCIA!F$61*($W314^Transportation_LCIA!F$60)+Transportation_LCIA!F$62</f>
        <v>0.2731236986367126</v>
      </c>
      <c r="AC314" s="137">
        <f>Transportation_LCIA!G$61*($W314^Transportation_LCIA!G$60)+Transportation_LCIA!G$62</f>
        <v>6.6804267943327042E-2</v>
      </c>
      <c r="AD314" s="137">
        <f>Transportation_LCIA!H$61*($W314^Transportation_LCIA!H$60)+Transportation_LCIA!H$62</f>
        <v>3.4039623073025302E-4</v>
      </c>
      <c r="AE314" s="137">
        <f>Transportation_LCIA!I$61*($W314^Transportation_LCIA!I$60)+Transportation_LCIA!I$62</f>
        <v>7.5313047486579253E-6</v>
      </c>
      <c r="AF314" s="137">
        <f>Transportation_LCIA!J$61*($W314^Transportation_LCIA!J$60)+Transportation_LCIA!J$62</f>
        <v>1.1171536460231862E-2</v>
      </c>
      <c r="AG314" s="137">
        <f>Transportation_LCIA!K$61*($W314^Transportation_LCIA!K$60)+Transportation_LCIA!K$62</f>
        <v>1.4427005322781314E-2</v>
      </c>
      <c r="AH314" s="137">
        <f>Transportation_LCIA!L$61*($W314^Transportation_LCIA!L$60)+Transportation_LCIA!L$62</f>
        <v>2.9845682610086144E-4</v>
      </c>
      <c r="AI314" s="137">
        <f>Transportation_LCIA!M$61*($W314^Transportation_LCIA!M$60)+Transportation_LCIA!M$62</f>
        <v>2.7871591009555731E-4</v>
      </c>
      <c r="AJ314" s="137">
        <f>Transportation_LCIA!N$61*($W314^Transportation_LCIA!N$60)+Transportation_LCIA!N$62</f>
        <v>1.2035776980627529E-3</v>
      </c>
      <c r="AK314" s="137">
        <f>Transportation_LCIA!O$61*($W314^Transportation_LCIA!O$60)+Transportation_LCIA!O$62</f>
        <v>7.0654220111155368E-5</v>
      </c>
      <c r="AL314" s="137">
        <f>Transportation_LCIA!P$61*($W314^Transportation_LCIA!P$60)+Transportation_LCIA!P$62</f>
        <v>3.4135986584869326E-8</v>
      </c>
      <c r="AM314" s="137">
        <f>Transportation_LCIA!Q$61*($W314^Transportation_LCIA!Q$60)+Transportation_LCIA!Q$62</f>
        <v>1.1787978430654126E-4</v>
      </c>
      <c r="AN314" s="137">
        <f>Transportation_LCIA!R$61*($W314^Transportation_LCIA!R$60)+Transportation_LCIA!R$62</f>
        <v>3.620033512007317E-4</v>
      </c>
      <c r="AO314" s="137">
        <f>Transportation_LCIA!S$61*($W314^Transportation_LCIA!S$60)+Transportation_LCIA!S$62</f>
        <v>5.3947284428738964E-6</v>
      </c>
      <c r="AP314" s="137">
        <f>Transportation_LCIA!T$61*($W314^Transportation_LCIA!T$60)+Transportation_LCIA!T$62</f>
        <v>5.3947284428738964E-6</v>
      </c>
      <c r="AQ314" s="137">
        <f>Transportation_LCIA!U$61*($W314^Transportation_LCIA!U$60)+Transportation_LCIA!U$62</f>
        <v>7.807798829957284E-4</v>
      </c>
      <c r="AR314" s="137">
        <f>Transportation_LCIA!V$61*($W314^Transportation_LCIA!V$60)+Transportation_LCIA!V$62</f>
        <v>3.0665789662484431E-4</v>
      </c>
      <c r="AT314" s="137">
        <f>$W314*Y314+$L314*Summary_LCIA!H$32</f>
        <v>204.2057164078428</v>
      </c>
      <c r="AU314" s="137">
        <f>$W314*Z314+$L314*Summary_LCIA!Q$32</f>
        <v>2161.8433006084247</v>
      </c>
      <c r="AV314" s="137">
        <f>$W314*AA314+$L314*Summary_LCIA!R$32</f>
        <v>1.1242598006018598</v>
      </c>
      <c r="AW314" s="137">
        <f>$W314*AB314+$L314*Summary_LCIA!S$32</f>
        <v>204.13813018784282</v>
      </c>
      <c r="AX314" s="137">
        <f>$W314*AC314+$L314*Summary_LCIA!T$32</f>
        <v>50.356983088786954</v>
      </c>
      <c r="AY314" s="137">
        <f>$W314*AD314+$L314*Summary_LCIA!U$32</f>
        <v>0.52195050847208557</v>
      </c>
      <c r="AZ314" s="137">
        <f>$W314*AE314+$L314*Summary_LCIA!V$32</f>
        <v>6.2179504443949391E-3</v>
      </c>
      <c r="BA314" s="137">
        <f>$W314*AF314+$L314*Summary_LCIA!W$32</f>
        <v>9.3170320880574522</v>
      </c>
      <c r="BB314" s="137">
        <f>$W314*AG314+$L314*Summary_LCIA!X$32</f>
        <v>10.860474053841092</v>
      </c>
      <c r="BC314" s="137">
        <f>$W314*AH314+$L314*Summary_LCIA!Y$32</f>
        <v>0.45573301776435304</v>
      </c>
      <c r="BD314" s="137">
        <f>$W314*AI314+$L314*Summary_LCIA!Z$32</f>
        <v>0.20371163230773839</v>
      </c>
      <c r="BE314" s="137">
        <f>$W314*AJ314+$L314*Summary_LCIA!AA$32</f>
        <v>1.234115780980034</v>
      </c>
      <c r="BF314" s="137">
        <f>$W314*AK314+$L314*Summary_LCIA!AB$32</f>
        <v>5.1148049697371863E-2</v>
      </c>
      <c r="BG314" s="137">
        <f>$W314*AL314+$L314*Summary_LCIA!AC$32</f>
        <v>2.5620453347241825E-5</v>
      </c>
      <c r="BH314" s="137">
        <f>$W314*AM314+$L314*Summary_LCIA!AD$32</f>
        <v>9.2177562866468513E-2</v>
      </c>
      <c r="BI314" s="137">
        <f>$W314*AN314+$L314*Summary_LCIA!AE$32</f>
        <v>0.2773212383147251</v>
      </c>
      <c r="BJ314" s="137">
        <f>$W314*AO314+$L314*Summary_LCIA!AF$32</f>
        <v>1.6858151565497727E-2</v>
      </c>
      <c r="BK314" s="137">
        <f>$W314*AP314+$L314*Summary_LCIA!AG$32</f>
        <v>4.7131983604977237E-3</v>
      </c>
      <c r="BL314" s="137">
        <f>$W314*AQ314+$L314*Summary_LCIA!AH$32</f>
        <v>0.70199701117543833</v>
      </c>
      <c r="BM314" s="137">
        <f>$W314*AR314+$L314*Summary_LCIA!AI$32</f>
        <v>0.23768864435242687</v>
      </c>
    </row>
    <row r="315" spans="1:65" x14ac:dyDescent="0.25">
      <c r="A315" s="149">
        <v>71</v>
      </c>
      <c r="B315" s="149">
        <v>29</v>
      </c>
      <c r="C315" s="61">
        <v>51.075544999999998</v>
      </c>
      <c r="D315" s="61">
        <v>-114.12975400000001</v>
      </c>
      <c r="E315" s="61" t="s">
        <v>462</v>
      </c>
      <c r="F315" s="149">
        <v>125</v>
      </c>
      <c r="G315" s="61" t="s">
        <v>656</v>
      </c>
      <c r="H315" s="61" t="s">
        <v>657</v>
      </c>
      <c r="I315" s="61">
        <v>51.121502999999997</v>
      </c>
      <c r="J315" s="61">
        <v>-114.007616</v>
      </c>
      <c r="K315" s="61">
        <v>10.47008467</v>
      </c>
      <c r="L315" s="61">
        <v>15.291</v>
      </c>
      <c r="M315" s="61" t="s">
        <v>617</v>
      </c>
      <c r="N315" s="149">
        <v>28</v>
      </c>
      <c r="O315" s="149">
        <v>29</v>
      </c>
      <c r="P315" s="61" t="s">
        <v>565</v>
      </c>
      <c r="Q315" s="61" t="s">
        <v>559</v>
      </c>
      <c r="R315" s="61">
        <v>47.450249900000003</v>
      </c>
      <c r="S315" s="61">
        <v>-122.30881650000001</v>
      </c>
      <c r="T315" s="61">
        <v>1138.5450000000001</v>
      </c>
      <c r="U315" s="61" t="s">
        <v>617</v>
      </c>
      <c r="V315" s="61" t="s">
        <v>569</v>
      </c>
      <c r="W315" s="61" cm="1">
        <f t="array" ref="W315">getDistance(I315,J315,R315,S315)*SA!$B$12</f>
        <v>728.64359849106268</v>
      </c>
      <c r="Y315" s="137">
        <f>Transportation_LCIA!C$61*($W315^Transportation_LCIA!C$60)+Transportation_LCIA!C$62</f>
        <v>0.2731236986367126</v>
      </c>
      <c r="Z315" s="137">
        <f>Transportation_LCIA!D$61*($W315^Transportation_LCIA!D$60)+Transportation_LCIA!D$62</f>
        <v>2.8629364723129571</v>
      </c>
      <c r="AA315" s="137">
        <f>Transportation_LCIA!E$61*($W315^Transportation_LCIA!E$60)+Transportation_LCIA!E$62</f>
        <v>1.4324472391760977E-3</v>
      </c>
      <c r="AB315" s="137">
        <f>Transportation_LCIA!F$61*($W315^Transportation_LCIA!F$60)+Transportation_LCIA!F$62</f>
        <v>0.2731236986367126</v>
      </c>
      <c r="AC315" s="137">
        <f>Transportation_LCIA!G$61*($W315^Transportation_LCIA!G$60)+Transportation_LCIA!G$62</f>
        <v>6.6804267943327042E-2</v>
      </c>
      <c r="AD315" s="137">
        <f>Transportation_LCIA!H$61*($W315^Transportation_LCIA!H$60)+Transportation_LCIA!H$62</f>
        <v>3.4039623073025302E-4</v>
      </c>
      <c r="AE315" s="137">
        <f>Transportation_LCIA!I$61*($W315^Transportation_LCIA!I$60)+Transportation_LCIA!I$62</f>
        <v>7.5313047486579253E-6</v>
      </c>
      <c r="AF315" s="137">
        <f>Transportation_LCIA!J$61*($W315^Transportation_LCIA!J$60)+Transportation_LCIA!J$62</f>
        <v>1.1171536460231862E-2</v>
      </c>
      <c r="AG315" s="137">
        <f>Transportation_LCIA!K$61*($W315^Transportation_LCIA!K$60)+Transportation_LCIA!K$62</f>
        <v>1.4427005322781314E-2</v>
      </c>
      <c r="AH315" s="137">
        <f>Transportation_LCIA!L$61*($W315^Transportation_LCIA!L$60)+Transportation_LCIA!L$62</f>
        <v>2.9845682610086144E-4</v>
      </c>
      <c r="AI315" s="137">
        <f>Transportation_LCIA!M$61*($W315^Transportation_LCIA!M$60)+Transportation_LCIA!M$62</f>
        <v>2.7871591009555731E-4</v>
      </c>
      <c r="AJ315" s="137">
        <f>Transportation_LCIA!N$61*($W315^Transportation_LCIA!N$60)+Transportation_LCIA!N$62</f>
        <v>1.2035776980627529E-3</v>
      </c>
      <c r="AK315" s="137">
        <f>Transportation_LCIA!O$61*($W315^Transportation_LCIA!O$60)+Transportation_LCIA!O$62</f>
        <v>7.0654220111155368E-5</v>
      </c>
      <c r="AL315" s="137">
        <f>Transportation_LCIA!P$61*($W315^Transportation_LCIA!P$60)+Transportation_LCIA!P$62</f>
        <v>3.4135986584869326E-8</v>
      </c>
      <c r="AM315" s="137">
        <f>Transportation_LCIA!Q$61*($W315^Transportation_LCIA!Q$60)+Transportation_LCIA!Q$62</f>
        <v>1.1787978430654126E-4</v>
      </c>
      <c r="AN315" s="137">
        <f>Transportation_LCIA!R$61*($W315^Transportation_LCIA!R$60)+Transportation_LCIA!R$62</f>
        <v>3.620033512007317E-4</v>
      </c>
      <c r="AO315" s="137">
        <f>Transportation_LCIA!S$61*($W315^Transportation_LCIA!S$60)+Transportation_LCIA!S$62</f>
        <v>5.3947284428738964E-6</v>
      </c>
      <c r="AP315" s="137">
        <f>Transportation_LCIA!T$61*($W315^Transportation_LCIA!T$60)+Transportation_LCIA!T$62</f>
        <v>5.3947284428738964E-6</v>
      </c>
      <c r="AQ315" s="137">
        <f>Transportation_LCIA!U$61*($W315^Transportation_LCIA!U$60)+Transportation_LCIA!U$62</f>
        <v>7.807798829957284E-4</v>
      </c>
      <c r="AR315" s="137">
        <f>Transportation_LCIA!V$61*($W315^Transportation_LCIA!V$60)+Transportation_LCIA!V$62</f>
        <v>3.0665789662484431E-4</v>
      </c>
      <c r="AT315" s="137">
        <f>$W315*Y315+$L315*Summary_LCIA!H$32</f>
        <v>204.2057164078428</v>
      </c>
      <c r="AU315" s="137">
        <f>$W315*Z315+$L315*Summary_LCIA!Q$32</f>
        <v>2161.8433006084247</v>
      </c>
      <c r="AV315" s="137">
        <f>$W315*AA315+$L315*Summary_LCIA!R$32</f>
        <v>1.1242598006018598</v>
      </c>
      <c r="AW315" s="137">
        <f>$W315*AB315+$L315*Summary_LCIA!S$32</f>
        <v>204.13813018784282</v>
      </c>
      <c r="AX315" s="137">
        <f>$W315*AC315+$L315*Summary_LCIA!T$32</f>
        <v>50.356983088786954</v>
      </c>
      <c r="AY315" s="137">
        <f>$W315*AD315+$L315*Summary_LCIA!U$32</f>
        <v>0.52195050847208557</v>
      </c>
      <c r="AZ315" s="137">
        <f>$W315*AE315+$L315*Summary_LCIA!V$32</f>
        <v>6.2179504443949391E-3</v>
      </c>
      <c r="BA315" s="137">
        <f>$W315*AF315+$L315*Summary_LCIA!W$32</f>
        <v>9.3170320880574522</v>
      </c>
      <c r="BB315" s="137">
        <f>$W315*AG315+$L315*Summary_LCIA!X$32</f>
        <v>10.860474053841092</v>
      </c>
      <c r="BC315" s="137">
        <f>$W315*AH315+$L315*Summary_LCIA!Y$32</f>
        <v>0.45573301776435304</v>
      </c>
      <c r="BD315" s="137">
        <f>$W315*AI315+$L315*Summary_LCIA!Z$32</f>
        <v>0.20371163230773839</v>
      </c>
      <c r="BE315" s="137">
        <f>$W315*AJ315+$L315*Summary_LCIA!AA$32</f>
        <v>1.234115780980034</v>
      </c>
      <c r="BF315" s="137">
        <f>$W315*AK315+$L315*Summary_LCIA!AB$32</f>
        <v>5.1148049697371863E-2</v>
      </c>
      <c r="BG315" s="137">
        <f>$W315*AL315+$L315*Summary_LCIA!AC$32</f>
        <v>2.5620453347241825E-5</v>
      </c>
      <c r="BH315" s="137">
        <f>$W315*AM315+$L315*Summary_LCIA!AD$32</f>
        <v>9.2177562866468513E-2</v>
      </c>
      <c r="BI315" s="137">
        <f>$W315*AN315+$L315*Summary_LCIA!AE$32</f>
        <v>0.2773212383147251</v>
      </c>
      <c r="BJ315" s="137">
        <f>$W315*AO315+$L315*Summary_LCIA!AF$32</f>
        <v>1.6858151565497727E-2</v>
      </c>
      <c r="BK315" s="137">
        <f>$W315*AP315+$L315*Summary_LCIA!AG$32</f>
        <v>4.7131983604977237E-3</v>
      </c>
      <c r="BL315" s="137">
        <f>$W315*AQ315+$L315*Summary_LCIA!AH$32</f>
        <v>0.70199701117543833</v>
      </c>
      <c r="BM315" s="137">
        <f>$W315*AR315+$L315*Summary_LCIA!AI$32</f>
        <v>0.23768864435242687</v>
      </c>
    </row>
    <row r="316" spans="1:65" x14ac:dyDescent="0.25">
      <c r="A316" s="149">
        <v>72</v>
      </c>
      <c r="B316" s="149">
        <v>29</v>
      </c>
      <c r="C316" s="61">
        <v>51.075544999999998</v>
      </c>
      <c r="D316" s="61">
        <v>-114.12975400000001</v>
      </c>
      <c r="E316" s="61" t="s">
        <v>462</v>
      </c>
      <c r="F316" s="149">
        <v>125</v>
      </c>
      <c r="G316" s="61" t="s">
        <v>656</v>
      </c>
      <c r="H316" s="61" t="s">
        <v>657</v>
      </c>
      <c r="I316" s="61">
        <v>51.121502999999997</v>
      </c>
      <c r="J316" s="61">
        <v>-114.007616</v>
      </c>
      <c r="K316" s="61">
        <v>10.47008467</v>
      </c>
      <c r="L316" s="61">
        <v>15.291</v>
      </c>
      <c r="M316" s="61" t="s">
        <v>617</v>
      </c>
      <c r="N316" s="149">
        <v>28</v>
      </c>
      <c r="O316" s="149">
        <v>29</v>
      </c>
      <c r="P316" s="61" t="s">
        <v>565</v>
      </c>
      <c r="Q316" s="61" t="s">
        <v>559</v>
      </c>
      <c r="R316" s="61">
        <v>47.450249900000003</v>
      </c>
      <c r="S316" s="61">
        <v>-122.30881650000001</v>
      </c>
      <c r="T316" s="61">
        <v>1138.5450000000001</v>
      </c>
      <c r="U316" s="61" t="s">
        <v>617</v>
      </c>
      <c r="V316" s="61" t="s">
        <v>569</v>
      </c>
      <c r="W316" s="61" cm="1">
        <f t="array" ref="W316">getDistance(I316,J316,R316,S316)*SA!$B$12</f>
        <v>728.64359849106268</v>
      </c>
      <c r="Y316" s="137">
        <f>Transportation_LCIA!C$61*($W316^Transportation_LCIA!C$60)+Transportation_LCIA!C$62</f>
        <v>0.2731236986367126</v>
      </c>
      <c r="Z316" s="137">
        <f>Transportation_LCIA!D$61*($W316^Transportation_LCIA!D$60)+Transportation_LCIA!D$62</f>
        <v>2.8629364723129571</v>
      </c>
      <c r="AA316" s="137">
        <f>Transportation_LCIA!E$61*($W316^Transportation_LCIA!E$60)+Transportation_LCIA!E$62</f>
        <v>1.4324472391760977E-3</v>
      </c>
      <c r="AB316" s="137">
        <f>Transportation_LCIA!F$61*($W316^Transportation_LCIA!F$60)+Transportation_LCIA!F$62</f>
        <v>0.2731236986367126</v>
      </c>
      <c r="AC316" s="137">
        <f>Transportation_LCIA!G$61*($W316^Transportation_LCIA!G$60)+Transportation_LCIA!G$62</f>
        <v>6.6804267943327042E-2</v>
      </c>
      <c r="AD316" s="137">
        <f>Transportation_LCIA!H$61*($W316^Transportation_LCIA!H$60)+Transportation_LCIA!H$62</f>
        <v>3.4039623073025302E-4</v>
      </c>
      <c r="AE316" s="137">
        <f>Transportation_LCIA!I$61*($W316^Transportation_LCIA!I$60)+Transportation_LCIA!I$62</f>
        <v>7.5313047486579253E-6</v>
      </c>
      <c r="AF316" s="137">
        <f>Transportation_LCIA!J$61*($W316^Transportation_LCIA!J$60)+Transportation_LCIA!J$62</f>
        <v>1.1171536460231862E-2</v>
      </c>
      <c r="AG316" s="137">
        <f>Transportation_LCIA!K$61*($W316^Transportation_LCIA!K$60)+Transportation_LCIA!K$62</f>
        <v>1.4427005322781314E-2</v>
      </c>
      <c r="AH316" s="137">
        <f>Transportation_LCIA!L$61*($W316^Transportation_LCIA!L$60)+Transportation_LCIA!L$62</f>
        <v>2.9845682610086144E-4</v>
      </c>
      <c r="AI316" s="137">
        <f>Transportation_LCIA!M$61*($W316^Transportation_LCIA!M$60)+Transportation_LCIA!M$62</f>
        <v>2.7871591009555731E-4</v>
      </c>
      <c r="AJ316" s="137">
        <f>Transportation_LCIA!N$61*($W316^Transportation_LCIA!N$60)+Transportation_LCIA!N$62</f>
        <v>1.2035776980627529E-3</v>
      </c>
      <c r="AK316" s="137">
        <f>Transportation_LCIA!O$61*($W316^Transportation_LCIA!O$60)+Transportation_LCIA!O$62</f>
        <v>7.0654220111155368E-5</v>
      </c>
      <c r="AL316" s="137">
        <f>Transportation_LCIA!P$61*($W316^Transportation_LCIA!P$60)+Transportation_LCIA!P$62</f>
        <v>3.4135986584869326E-8</v>
      </c>
      <c r="AM316" s="137">
        <f>Transportation_LCIA!Q$61*($W316^Transportation_LCIA!Q$60)+Transportation_LCIA!Q$62</f>
        <v>1.1787978430654126E-4</v>
      </c>
      <c r="AN316" s="137">
        <f>Transportation_LCIA!R$61*($W316^Transportation_LCIA!R$60)+Transportation_LCIA!R$62</f>
        <v>3.620033512007317E-4</v>
      </c>
      <c r="AO316" s="137">
        <f>Transportation_LCIA!S$61*($W316^Transportation_LCIA!S$60)+Transportation_LCIA!S$62</f>
        <v>5.3947284428738964E-6</v>
      </c>
      <c r="AP316" s="137">
        <f>Transportation_LCIA!T$61*($W316^Transportation_LCIA!T$60)+Transportation_LCIA!T$62</f>
        <v>5.3947284428738964E-6</v>
      </c>
      <c r="AQ316" s="137">
        <f>Transportation_LCIA!U$61*($W316^Transportation_LCIA!U$60)+Transportation_LCIA!U$62</f>
        <v>7.807798829957284E-4</v>
      </c>
      <c r="AR316" s="137">
        <f>Transportation_LCIA!V$61*($W316^Transportation_LCIA!V$60)+Transportation_LCIA!V$62</f>
        <v>3.0665789662484431E-4</v>
      </c>
      <c r="AT316" s="137">
        <f>$W316*Y316+$L316*Summary_LCIA!H$32</f>
        <v>204.2057164078428</v>
      </c>
      <c r="AU316" s="137">
        <f>$W316*Z316+$L316*Summary_LCIA!Q$32</f>
        <v>2161.8433006084247</v>
      </c>
      <c r="AV316" s="137">
        <f>$W316*AA316+$L316*Summary_LCIA!R$32</f>
        <v>1.1242598006018598</v>
      </c>
      <c r="AW316" s="137">
        <f>$W316*AB316+$L316*Summary_LCIA!S$32</f>
        <v>204.13813018784282</v>
      </c>
      <c r="AX316" s="137">
        <f>$W316*AC316+$L316*Summary_LCIA!T$32</f>
        <v>50.356983088786954</v>
      </c>
      <c r="AY316" s="137">
        <f>$W316*AD316+$L316*Summary_LCIA!U$32</f>
        <v>0.52195050847208557</v>
      </c>
      <c r="AZ316" s="137">
        <f>$W316*AE316+$L316*Summary_LCIA!V$32</f>
        <v>6.2179504443949391E-3</v>
      </c>
      <c r="BA316" s="137">
        <f>$W316*AF316+$L316*Summary_LCIA!W$32</f>
        <v>9.3170320880574522</v>
      </c>
      <c r="BB316" s="137">
        <f>$W316*AG316+$L316*Summary_LCIA!X$32</f>
        <v>10.860474053841092</v>
      </c>
      <c r="BC316" s="137">
        <f>$W316*AH316+$L316*Summary_LCIA!Y$32</f>
        <v>0.45573301776435304</v>
      </c>
      <c r="BD316" s="137">
        <f>$W316*AI316+$L316*Summary_LCIA!Z$32</f>
        <v>0.20371163230773839</v>
      </c>
      <c r="BE316" s="137">
        <f>$W316*AJ316+$L316*Summary_LCIA!AA$32</f>
        <v>1.234115780980034</v>
      </c>
      <c r="BF316" s="137">
        <f>$W316*AK316+$L316*Summary_LCIA!AB$32</f>
        <v>5.1148049697371863E-2</v>
      </c>
      <c r="BG316" s="137">
        <f>$W316*AL316+$L316*Summary_LCIA!AC$32</f>
        <v>2.5620453347241825E-5</v>
      </c>
      <c r="BH316" s="137">
        <f>$W316*AM316+$L316*Summary_LCIA!AD$32</f>
        <v>9.2177562866468513E-2</v>
      </c>
      <c r="BI316" s="137">
        <f>$W316*AN316+$L316*Summary_LCIA!AE$32</f>
        <v>0.2773212383147251</v>
      </c>
      <c r="BJ316" s="137">
        <f>$W316*AO316+$L316*Summary_LCIA!AF$32</f>
        <v>1.6858151565497727E-2</v>
      </c>
      <c r="BK316" s="137">
        <f>$W316*AP316+$L316*Summary_LCIA!AG$32</f>
        <v>4.7131983604977237E-3</v>
      </c>
      <c r="BL316" s="137">
        <f>$W316*AQ316+$L316*Summary_LCIA!AH$32</f>
        <v>0.70199701117543833</v>
      </c>
      <c r="BM316" s="137">
        <f>$W316*AR316+$L316*Summary_LCIA!AI$32</f>
        <v>0.23768864435242687</v>
      </c>
    </row>
    <row r="317" spans="1:65" x14ac:dyDescent="0.25">
      <c r="A317" s="149">
        <v>203</v>
      </c>
      <c r="B317" s="149">
        <v>29</v>
      </c>
      <c r="C317" s="61">
        <v>38.544907000000002</v>
      </c>
      <c r="D317" s="61">
        <v>-121.740517</v>
      </c>
      <c r="E317" s="61" t="s">
        <v>265</v>
      </c>
      <c r="F317" s="149">
        <v>100</v>
      </c>
      <c r="G317" s="61" t="s">
        <v>280</v>
      </c>
      <c r="H317" s="61" t="s">
        <v>627</v>
      </c>
      <c r="I317" s="61">
        <v>38.695084999999999</v>
      </c>
      <c r="J317" s="61">
        <v>-121.590065</v>
      </c>
      <c r="K317" s="61">
        <v>29.866794039999998</v>
      </c>
      <c r="L317" s="61">
        <v>36.277000000000001</v>
      </c>
      <c r="M317" s="61" t="s">
        <v>617</v>
      </c>
      <c r="N317" s="149">
        <v>28</v>
      </c>
      <c r="O317" s="149">
        <v>29</v>
      </c>
      <c r="P317" s="61" t="s">
        <v>565</v>
      </c>
      <c r="Q317" s="61" t="s">
        <v>559</v>
      </c>
      <c r="R317" s="61">
        <v>47.450249900000003</v>
      </c>
      <c r="S317" s="61">
        <v>-122.30881650000001</v>
      </c>
      <c r="T317" s="61">
        <v>1183.703</v>
      </c>
      <c r="U317" s="61" t="s">
        <v>617</v>
      </c>
      <c r="V317" s="61" t="s">
        <v>569</v>
      </c>
      <c r="W317" s="61" cm="1">
        <f t="array" ref="W317">getDistance(I317,J317,R317,S317)*SA!$B$12</f>
        <v>976.14037070709026</v>
      </c>
      <c r="Y317" s="137">
        <f>Transportation_LCIA!C$61*($W317^Transportation_LCIA!C$60)+Transportation_LCIA!C$62</f>
        <v>0.23804914927990986</v>
      </c>
      <c r="Z317" s="137">
        <f>Transportation_LCIA!D$61*($W317^Transportation_LCIA!D$60)+Transportation_LCIA!D$62</f>
        <v>2.4505482489837318</v>
      </c>
      <c r="AA317" s="137">
        <f>Transportation_LCIA!E$61*($W317^Transportation_LCIA!E$60)+Transportation_LCIA!E$62</f>
        <v>1.160737752277303E-3</v>
      </c>
      <c r="AB317" s="137">
        <f>Transportation_LCIA!F$61*($W317^Transportation_LCIA!F$60)+Transportation_LCIA!F$62</f>
        <v>0.23804914927990986</v>
      </c>
      <c r="AC317" s="137">
        <f>Transportation_LCIA!G$61*($W317^Transportation_LCIA!G$60)+Transportation_LCIA!G$62</f>
        <v>5.7267512301772003E-2</v>
      </c>
      <c r="AD317" s="137">
        <f>Transportation_LCIA!H$61*($W317^Transportation_LCIA!H$60)+Transportation_LCIA!H$62</f>
        <v>2.8040436780251598E-4</v>
      </c>
      <c r="AE317" s="137">
        <f>Transportation_LCIA!I$61*($W317^Transportation_LCIA!I$60)+Transportation_LCIA!I$62</f>
        <v>6.0109537874923005E-6</v>
      </c>
      <c r="AF317" s="137">
        <f>Transportation_LCIA!J$61*($W317^Transportation_LCIA!J$60)+Transportation_LCIA!J$62</f>
        <v>8.8973943725000858E-3</v>
      </c>
      <c r="AG317" s="137">
        <f>Transportation_LCIA!K$61*($W317^Transportation_LCIA!K$60)+Transportation_LCIA!K$62</f>
        <v>1.2192389817628976E-2</v>
      </c>
      <c r="AH317" s="137">
        <f>Transportation_LCIA!L$61*($W317^Transportation_LCIA!L$60)+Transportation_LCIA!L$62</f>
        <v>2.4319886804858096E-4</v>
      </c>
      <c r="AI317" s="137">
        <f>Transportation_LCIA!M$61*($W317^Transportation_LCIA!M$60)+Transportation_LCIA!M$62</f>
        <v>2.4559945258934175E-4</v>
      </c>
      <c r="AJ317" s="137">
        <f>Transportation_LCIA!N$61*($W317^Transportation_LCIA!N$60)+Transportation_LCIA!N$62</f>
        <v>1.001982305305515E-3</v>
      </c>
      <c r="AK317" s="137">
        <f>Transportation_LCIA!O$61*($W317^Transportation_LCIA!O$60)+Transportation_LCIA!O$62</f>
        <v>6.0518109297697417E-5</v>
      </c>
      <c r="AL317" s="137">
        <f>Transportation_LCIA!P$61*($W317^Transportation_LCIA!P$60)+Transportation_LCIA!P$62</f>
        <v>2.9265360058337515E-8</v>
      </c>
      <c r="AM317" s="137">
        <f>Transportation_LCIA!Q$61*($W317^Transportation_LCIA!Q$60)+Transportation_LCIA!Q$62</f>
        <v>9.6251699924323629E-5</v>
      </c>
      <c r="AN317" s="137">
        <f>Transportation_LCIA!R$61*($W317^Transportation_LCIA!R$60)+Transportation_LCIA!R$62</f>
        <v>2.8908622201941005E-4</v>
      </c>
      <c r="AO317" s="137">
        <f>Transportation_LCIA!S$61*($W317^Transportation_LCIA!S$60)+Transportation_LCIA!S$62</f>
        <v>4.3601899829475127E-6</v>
      </c>
      <c r="AP317" s="137">
        <f>Transportation_LCIA!T$61*($W317^Transportation_LCIA!T$60)+Transportation_LCIA!T$62</f>
        <v>4.3601899829475127E-6</v>
      </c>
      <c r="AQ317" s="137">
        <f>Transportation_LCIA!U$61*($W317^Transportation_LCIA!U$60)+Transportation_LCIA!U$62</f>
        <v>6.206680303627221E-4</v>
      </c>
      <c r="AR317" s="137">
        <f>Transportation_LCIA!V$61*($W317^Transportation_LCIA!V$60)+Transportation_LCIA!V$62</f>
        <v>2.5031810678043397E-4</v>
      </c>
      <c r="AT317" s="137">
        <f>$W317*Y317+$L317*Summary_LCIA!H$32</f>
        <v>244.6963094245987</v>
      </c>
      <c r="AU317" s="137">
        <f>$W317*Z317+$L317*Summary_LCIA!Q$32</f>
        <v>2571.8697177565318</v>
      </c>
      <c r="AV317" s="137">
        <f>$W317*AA317+$L317*Summary_LCIA!R$32</f>
        <v>1.3240631510016811</v>
      </c>
      <c r="AW317" s="137">
        <f>$W317*AB317+$L317*Summary_LCIA!S$32</f>
        <v>244.53596508459867</v>
      </c>
      <c r="AX317" s="137">
        <f>$W317*AC317+$L317*Summary_LCIA!T$32</f>
        <v>59.887972987724574</v>
      </c>
      <c r="AY317" s="137">
        <f>$W317*AD317+$L317*Summary_LCIA!U$32</f>
        <v>0.92358020153463527</v>
      </c>
      <c r="AZ317" s="137">
        <f>$W317*AE317+$L317*Summary_LCIA!V$32</f>
        <v>7.6001604554259226E-3</v>
      </c>
      <c r="BA317" s="137">
        <f>$W317*AF317+$L317*Summary_LCIA!W$32</f>
        <v>11.477382808099412</v>
      </c>
      <c r="BB317" s="137">
        <f>$W317*AG317+$L317*Summary_LCIA!X$32</f>
        <v>12.727873976385702</v>
      </c>
      <c r="BC317" s="137">
        <f>$W317*AH317+$L317*Summary_LCIA!Y$32</f>
        <v>0.80266444721248664</v>
      </c>
      <c r="BD317" s="137">
        <f>$W317*AI317+$L317*Summary_LCIA!Z$32</f>
        <v>0.24122722418901849</v>
      </c>
      <c r="BE317" s="137">
        <f>$W317*AJ317+$L317*Summary_LCIA!AA$32</f>
        <v>1.8253609909428703</v>
      </c>
      <c r="BF317" s="137">
        <f>$W317*AK317+$L317*Summary_LCIA!AB$32</f>
        <v>5.8282496673346562E-2</v>
      </c>
      <c r="BG317" s="137">
        <f>$W317*AL317+$L317*Summary_LCIA!AC$32</f>
        <v>3.0340464284222055E-5</v>
      </c>
      <c r="BH317" s="137">
        <f>$W317*AM317+$L317*Summary_LCIA!AD$32</f>
        <v>0.10886646812531688</v>
      </c>
      <c r="BI317" s="137">
        <f>$W317*AN317+$L317*Summary_LCIA!AE$32</f>
        <v>0.31433486993833909</v>
      </c>
      <c r="BJ317" s="137">
        <f>$W317*AO317+$L317*Summary_LCIA!AF$32</f>
        <v>3.4925458806307728E-2</v>
      </c>
      <c r="BK317" s="137">
        <f>$W317*AP317+$L317*Summary_LCIA!AG$32</f>
        <v>6.1122701713077271E-3</v>
      </c>
      <c r="BL317" s="137">
        <f>$W317*AQ317+$L317*Summary_LCIA!AH$32</f>
        <v>0.92159961844430716</v>
      </c>
      <c r="BM317" s="137">
        <f>$W317*AR317+$L317*Summary_LCIA!AI$32</f>
        <v>0.27813944889734982</v>
      </c>
    </row>
    <row r="318" spans="1:65" x14ac:dyDescent="0.25">
      <c r="A318" s="149">
        <v>12</v>
      </c>
      <c r="B318" s="149">
        <v>29</v>
      </c>
      <c r="C318" s="61">
        <v>38.538727999999999</v>
      </c>
      <c r="D318" s="61">
        <v>-121.75308200000001</v>
      </c>
      <c r="E318" s="61" t="s">
        <v>265</v>
      </c>
      <c r="F318" s="149">
        <v>100</v>
      </c>
      <c r="G318" s="61" t="s">
        <v>280</v>
      </c>
      <c r="H318" s="61" t="s">
        <v>627</v>
      </c>
      <c r="I318" s="61">
        <v>38.695084999999999</v>
      </c>
      <c r="J318" s="61">
        <v>-121.590065</v>
      </c>
      <c r="K318" s="61">
        <v>31.070852179999999</v>
      </c>
      <c r="L318" s="61">
        <v>34.07</v>
      </c>
      <c r="M318" s="61" t="s">
        <v>617</v>
      </c>
      <c r="N318" s="149">
        <v>28</v>
      </c>
      <c r="O318" s="149">
        <v>29</v>
      </c>
      <c r="P318" s="61" t="s">
        <v>565</v>
      </c>
      <c r="Q318" s="61" t="s">
        <v>559</v>
      </c>
      <c r="R318" s="61">
        <v>47.450249900000003</v>
      </c>
      <c r="S318" s="61">
        <v>-122.30881650000001</v>
      </c>
      <c r="T318" s="61">
        <v>1184.68</v>
      </c>
      <c r="U318" s="61" t="s">
        <v>617</v>
      </c>
      <c r="V318" s="61" t="s">
        <v>569</v>
      </c>
      <c r="W318" s="61" cm="1">
        <f t="array" ref="W318">getDistance(I318,J318,R318,S318)*SA!$B$12</f>
        <v>976.14037070709026</v>
      </c>
      <c r="Y318" s="137">
        <f>Transportation_LCIA!C$61*($W318^Transportation_LCIA!C$60)+Transportation_LCIA!C$62</f>
        <v>0.23804914927990986</v>
      </c>
      <c r="Z318" s="137">
        <f>Transportation_LCIA!D$61*($W318^Transportation_LCIA!D$60)+Transportation_LCIA!D$62</f>
        <v>2.4505482489837318</v>
      </c>
      <c r="AA318" s="137">
        <f>Transportation_LCIA!E$61*($W318^Transportation_LCIA!E$60)+Transportation_LCIA!E$62</f>
        <v>1.160737752277303E-3</v>
      </c>
      <c r="AB318" s="137">
        <f>Transportation_LCIA!F$61*($W318^Transportation_LCIA!F$60)+Transportation_LCIA!F$62</f>
        <v>0.23804914927990986</v>
      </c>
      <c r="AC318" s="137">
        <f>Transportation_LCIA!G$61*($W318^Transportation_LCIA!G$60)+Transportation_LCIA!G$62</f>
        <v>5.7267512301772003E-2</v>
      </c>
      <c r="AD318" s="137">
        <f>Transportation_LCIA!H$61*($W318^Transportation_LCIA!H$60)+Transportation_LCIA!H$62</f>
        <v>2.8040436780251598E-4</v>
      </c>
      <c r="AE318" s="137">
        <f>Transportation_LCIA!I$61*($W318^Transportation_LCIA!I$60)+Transportation_LCIA!I$62</f>
        <v>6.0109537874923005E-6</v>
      </c>
      <c r="AF318" s="137">
        <f>Transportation_LCIA!J$61*($W318^Transportation_LCIA!J$60)+Transportation_LCIA!J$62</f>
        <v>8.8973943725000858E-3</v>
      </c>
      <c r="AG318" s="137">
        <f>Transportation_LCIA!K$61*($W318^Transportation_LCIA!K$60)+Transportation_LCIA!K$62</f>
        <v>1.2192389817628976E-2</v>
      </c>
      <c r="AH318" s="137">
        <f>Transportation_LCIA!L$61*($W318^Transportation_LCIA!L$60)+Transportation_LCIA!L$62</f>
        <v>2.4319886804858096E-4</v>
      </c>
      <c r="AI318" s="137">
        <f>Transportation_LCIA!M$61*($W318^Transportation_LCIA!M$60)+Transportation_LCIA!M$62</f>
        <v>2.4559945258934175E-4</v>
      </c>
      <c r="AJ318" s="137">
        <f>Transportation_LCIA!N$61*($W318^Transportation_LCIA!N$60)+Transportation_LCIA!N$62</f>
        <v>1.001982305305515E-3</v>
      </c>
      <c r="AK318" s="137">
        <f>Transportation_LCIA!O$61*($W318^Transportation_LCIA!O$60)+Transportation_LCIA!O$62</f>
        <v>6.0518109297697417E-5</v>
      </c>
      <c r="AL318" s="137">
        <f>Transportation_LCIA!P$61*($W318^Transportation_LCIA!P$60)+Transportation_LCIA!P$62</f>
        <v>2.9265360058337515E-8</v>
      </c>
      <c r="AM318" s="137">
        <f>Transportation_LCIA!Q$61*($W318^Transportation_LCIA!Q$60)+Transportation_LCIA!Q$62</f>
        <v>9.6251699924323629E-5</v>
      </c>
      <c r="AN318" s="137">
        <f>Transportation_LCIA!R$61*($W318^Transportation_LCIA!R$60)+Transportation_LCIA!R$62</f>
        <v>2.8908622201941005E-4</v>
      </c>
      <c r="AO318" s="137">
        <f>Transportation_LCIA!S$61*($W318^Transportation_LCIA!S$60)+Transportation_LCIA!S$62</f>
        <v>4.3601899829475127E-6</v>
      </c>
      <c r="AP318" s="137">
        <f>Transportation_LCIA!T$61*($W318^Transportation_LCIA!T$60)+Transportation_LCIA!T$62</f>
        <v>4.3601899829475127E-6</v>
      </c>
      <c r="AQ318" s="137">
        <f>Transportation_LCIA!U$61*($W318^Transportation_LCIA!U$60)+Transportation_LCIA!U$62</f>
        <v>6.206680303627221E-4</v>
      </c>
      <c r="AR318" s="137">
        <f>Transportation_LCIA!V$61*($W318^Transportation_LCIA!V$60)+Transportation_LCIA!V$62</f>
        <v>2.5031810678043397E-4</v>
      </c>
      <c r="AT318" s="137">
        <f>$W318*Y318+$L318*Summary_LCIA!H$32</f>
        <v>243.94637082459869</v>
      </c>
      <c r="AU318" s="137">
        <f>$W318*Z318+$L318*Summary_LCIA!Q$32</f>
        <v>2560.9317144509009</v>
      </c>
      <c r="AV318" s="137">
        <f>$W318*AA318+$L318*Summary_LCIA!R$32</f>
        <v>1.3124419718016811</v>
      </c>
      <c r="AW318" s="137">
        <f>$W318*AB318+$L318*Summary_LCIA!S$32</f>
        <v>243.79578142459869</v>
      </c>
      <c r="AX318" s="137">
        <f>$W318*AC318+$L318*Summary_LCIA!T$32</f>
        <v>59.645423687724573</v>
      </c>
      <c r="AY318" s="137">
        <f>$W318*AD318+$L318*Summary_LCIA!U$32</f>
        <v>0.88404400353463519</v>
      </c>
      <c r="AZ318" s="137">
        <f>$W318*AE318+$L318*Summary_LCIA!V$32</f>
        <v>7.4947519284259221E-3</v>
      </c>
      <c r="BA318" s="137">
        <f>$W318*AF318+$L318*Summary_LCIA!W$32</f>
        <v>11.307507811099413</v>
      </c>
      <c r="BB318" s="137">
        <f>$W318*AG318+$L318*Summary_LCIA!X$32</f>
        <v>12.677598516385702</v>
      </c>
      <c r="BC318" s="137">
        <f>$W318*AH318+$L318*Summary_LCIA!Y$32</f>
        <v>0.7682749732124865</v>
      </c>
      <c r="BD318" s="137">
        <f>$W318*AI318+$L318*Summary_LCIA!Z$32</f>
        <v>0.24113671732601849</v>
      </c>
      <c r="BE318" s="137">
        <f>$W318*AJ318+$L318*Summary_LCIA!AA$32</f>
        <v>1.7738142989428702</v>
      </c>
      <c r="BF318" s="137">
        <f>$W318*AK318+$L318*Summary_LCIA!AB$32</f>
        <v>5.8330660034346567E-2</v>
      </c>
      <c r="BG318" s="137">
        <f>$W318*AL318+$L318*Summary_LCIA!AC$32</f>
        <v>3.0232577296222055E-5</v>
      </c>
      <c r="BH318" s="137">
        <f>$W318*AM318+$L318*Summary_LCIA!AD$32</f>
        <v>0.10795930284531688</v>
      </c>
      <c r="BI318" s="137">
        <f>$W318*AN318+$L318*Summary_LCIA!AE$32</f>
        <v>0.31237918102833911</v>
      </c>
      <c r="BJ318" s="137">
        <f>$W318*AO318+$L318*Summary_LCIA!AF$32</f>
        <v>3.3059616866307727E-2</v>
      </c>
      <c r="BK318" s="137">
        <f>$W318*AP318+$L318*Summary_LCIA!AG$32</f>
        <v>5.999349016307727E-3</v>
      </c>
      <c r="BL318" s="137">
        <f>$W318*AQ318+$L318*Summary_LCIA!AH$32</f>
        <v>0.90239077324430705</v>
      </c>
      <c r="BM318" s="137">
        <f>$W318*AR318+$L318*Summary_LCIA!AI$32</f>
        <v>0.27608351804734982</v>
      </c>
    </row>
    <row r="319" spans="1:65" x14ac:dyDescent="0.25">
      <c r="A319" s="149">
        <v>325</v>
      </c>
      <c r="B319" s="149">
        <v>29</v>
      </c>
      <c r="C319" s="61">
        <v>38.581572000000001</v>
      </c>
      <c r="D319" s="61">
        <v>-121.4944</v>
      </c>
      <c r="E319" s="61" t="s">
        <v>265</v>
      </c>
      <c r="F319" s="149">
        <v>100</v>
      </c>
      <c r="G319" s="61" t="s">
        <v>280</v>
      </c>
      <c r="H319" s="61" t="s">
        <v>627</v>
      </c>
      <c r="I319" s="61">
        <v>38.695084999999999</v>
      </c>
      <c r="J319" s="61">
        <v>-121.590065</v>
      </c>
      <c r="K319" s="61">
        <v>32.424409709999999</v>
      </c>
      <c r="L319" s="61">
        <v>18.324999999999999</v>
      </c>
      <c r="M319" s="61" t="s">
        <v>617</v>
      </c>
      <c r="N319" s="149">
        <v>28</v>
      </c>
      <c r="O319" s="149">
        <v>29</v>
      </c>
      <c r="P319" s="61" t="s">
        <v>565</v>
      </c>
      <c r="Q319" s="61" t="s">
        <v>559</v>
      </c>
      <c r="R319" s="61">
        <v>47.450249900000003</v>
      </c>
      <c r="S319" s="61">
        <v>-122.30881650000001</v>
      </c>
      <c r="T319" s="61">
        <v>1196.8589999999999</v>
      </c>
      <c r="U319" s="61" t="s">
        <v>617</v>
      </c>
      <c r="V319" s="61" t="s">
        <v>569</v>
      </c>
      <c r="W319" s="61" cm="1">
        <f t="array" ref="W319">getDistance(I319,J319,R319,S319)*SA!$B$12</f>
        <v>976.14037070709026</v>
      </c>
      <c r="Y319" s="137">
        <f>Transportation_LCIA!C$61*($W319^Transportation_LCIA!C$60)+Transportation_LCIA!C$62</f>
        <v>0.23804914927990986</v>
      </c>
      <c r="Z319" s="137">
        <f>Transportation_LCIA!D$61*($W319^Transportation_LCIA!D$60)+Transportation_LCIA!D$62</f>
        <v>2.4505482489837318</v>
      </c>
      <c r="AA319" s="137">
        <f>Transportation_LCIA!E$61*($W319^Transportation_LCIA!E$60)+Transportation_LCIA!E$62</f>
        <v>1.160737752277303E-3</v>
      </c>
      <c r="AB319" s="137">
        <f>Transportation_LCIA!F$61*($W319^Transportation_LCIA!F$60)+Transportation_LCIA!F$62</f>
        <v>0.23804914927990986</v>
      </c>
      <c r="AC319" s="137">
        <f>Transportation_LCIA!G$61*($W319^Transportation_LCIA!G$60)+Transportation_LCIA!G$62</f>
        <v>5.7267512301772003E-2</v>
      </c>
      <c r="AD319" s="137">
        <f>Transportation_LCIA!H$61*($W319^Transportation_LCIA!H$60)+Transportation_LCIA!H$62</f>
        <v>2.8040436780251598E-4</v>
      </c>
      <c r="AE319" s="137">
        <f>Transportation_LCIA!I$61*($W319^Transportation_LCIA!I$60)+Transportation_LCIA!I$62</f>
        <v>6.0109537874923005E-6</v>
      </c>
      <c r="AF319" s="137">
        <f>Transportation_LCIA!J$61*($W319^Transportation_LCIA!J$60)+Transportation_LCIA!J$62</f>
        <v>8.8973943725000858E-3</v>
      </c>
      <c r="AG319" s="137">
        <f>Transportation_LCIA!K$61*($W319^Transportation_LCIA!K$60)+Transportation_LCIA!K$62</f>
        <v>1.2192389817628976E-2</v>
      </c>
      <c r="AH319" s="137">
        <f>Transportation_LCIA!L$61*($W319^Transportation_LCIA!L$60)+Transportation_LCIA!L$62</f>
        <v>2.4319886804858096E-4</v>
      </c>
      <c r="AI319" s="137">
        <f>Transportation_LCIA!M$61*($W319^Transportation_LCIA!M$60)+Transportation_LCIA!M$62</f>
        <v>2.4559945258934175E-4</v>
      </c>
      <c r="AJ319" s="137">
        <f>Transportation_LCIA!N$61*($W319^Transportation_LCIA!N$60)+Transportation_LCIA!N$62</f>
        <v>1.001982305305515E-3</v>
      </c>
      <c r="AK319" s="137">
        <f>Transportation_LCIA!O$61*($W319^Transportation_LCIA!O$60)+Transportation_LCIA!O$62</f>
        <v>6.0518109297697417E-5</v>
      </c>
      <c r="AL319" s="137">
        <f>Transportation_LCIA!P$61*($W319^Transportation_LCIA!P$60)+Transportation_LCIA!P$62</f>
        <v>2.9265360058337515E-8</v>
      </c>
      <c r="AM319" s="137">
        <f>Transportation_LCIA!Q$61*($W319^Transportation_LCIA!Q$60)+Transportation_LCIA!Q$62</f>
        <v>9.6251699924323629E-5</v>
      </c>
      <c r="AN319" s="137">
        <f>Transportation_LCIA!R$61*($W319^Transportation_LCIA!R$60)+Transportation_LCIA!R$62</f>
        <v>2.8908622201941005E-4</v>
      </c>
      <c r="AO319" s="137">
        <f>Transportation_LCIA!S$61*($W319^Transportation_LCIA!S$60)+Transportation_LCIA!S$62</f>
        <v>4.3601899829475127E-6</v>
      </c>
      <c r="AP319" s="137">
        <f>Transportation_LCIA!T$61*($W319^Transportation_LCIA!T$60)+Transportation_LCIA!T$62</f>
        <v>4.3601899829475127E-6</v>
      </c>
      <c r="AQ319" s="137">
        <f>Transportation_LCIA!U$61*($W319^Transportation_LCIA!U$60)+Transportation_LCIA!U$62</f>
        <v>6.206680303627221E-4</v>
      </c>
      <c r="AR319" s="137">
        <f>Transportation_LCIA!V$61*($W319^Transportation_LCIA!V$60)+Transportation_LCIA!V$62</f>
        <v>2.5031810678043397E-4</v>
      </c>
      <c r="AT319" s="137">
        <f>$W319*Y319+$L319*Summary_LCIA!H$32</f>
        <v>238.59621982459868</v>
      </c>
      <c r="AU319" s="137">
        <f>$W319*Z319+$L319*Summary_LCIA!Q$32</f>
        <v>2482.8987003833158</v>
      </c>
      <c r="AV319" s="137">
        <f>$W319*AA319+$L319*Summary_LCIA!R$32</f>
        <v>1.2295350998016812</v>
      </c>
      <c r="AW319" s="137">
        <f>$W319*AB319+$L319*Summary_LCIA!S$32</f>
        <v>238.51522332459868</v>
      </c>
      <c r="AX319" s="137">
        <f>$W319*AC319+$L319*Summary_LCIA!T$32</f>
        <v>57.915048187724572</v>
      </c>
      <c r="AY319" s="137">
        <f>$W319*AD319+$L319*Summary_LCIA!U$32</f>
        <v>0.60198807353463524</v>
      </c>
      <c r="AZ319" s="137">
        <f>$W319*AE319+$L319*Summary_LCIA!V$32</f>
        <v>6.7427549834259224E-3</v>
      </c>
      <c r="BA319" s="137">
        <f>$W319*AF319+$L319*Summary_LCIA!W$32</f>
        <v>10.095599416099413</v>
      </c>
      <c r="BB319" s="137">
        <f>$W319*AG319+$L319*Summary_LCIA!X$32</f>
        <v>12.318927416385701</v>
      </c>
      <c r="BC319" s="137">
        <f>$W319*AH319+$L319*Summary_LCIA!Y$32</f>
        <v>0.52293638321248648</v>
      </c>
      <c r="BD319" s="137">
        <f>$W319*AI319+$L319*Summary_LCIA!Z$32</f>
        <v>0.24049103062101848</v>
      </c>
      <c r="BE319" s="137">
        <f>$W319*AJ319+$L319*Summary_LCIA!AA$32</f>
        <v>1.4060740789428703</v>
      </c>
      <c r="BF319" s="137">
        <f>$W319*AK319+$L319*Summary_LCIA!AB$32</f>
        <v>5.8674263169346562E-2</v>
      </c>
      <c r="BG319" s="137">
        <f>$W319*AL319+$L319*Summary_LCIA!AC$32</f>
        <v>2.9462898716222054E-5</v>
      </c>
      <c r="BH319" s="137">
        <f>$W319*AM319+$L319*Summary_LCIA!AD$32</f>
        <v>0.10148747804531688</v>
      </c>
      <c r="BI319" s="137">
        <f>$W319*AN319+$L319*Summary_LCIA!AE$32</f>
        <v>0.29842706417833909</v>
      </c>
      <c r="BJ319" s="137">
        <f>$W319*AO319+$L319*Summary_LCIA!AF$32</f>
        <v>1.9748478966307728E-2</v>
      </c>
      <c r="BK319" s="137">
        <f>$W319*AP319+$L319*Summary_LCIA!AG$32</f>
        <v>5.1937560913077269E-3</v>
      </c>
      <c r="BL319" s="137">
        <f>$W319*AQ319+$L319*Summary_LCIA!AH$32</f>
        <v>0.7653525912443071</v>
      </c>
      <c r="BM319" s="137">
        <f>$W319*AR319+$L319*Summary_LCIA!AI$32</f>
        <v>0.26141626329734979</v>
      </c>
    </row>
    <row r="320" spans="1:65" x14ac:dyDescent="0.25">
      <c r="A320" s="149">
        <v>103</v>
      </c>
      <c r="B320" s="149">
        <v>16</v>
      </c>
      <c r="C320" s="61">
        <v>32.890006</v>
      </c>
      <c r="D320" s="61">
        <v>-96.949909000000005</v>
      </c>
      <c r="E320" s="61" t="s">
        <v>265</v>
      </c>
      <c r="F320" s="149">
        <v>10</v>
      </c>
      <c r="G320" s="61" t="s">
        <v>565</v>
      </c>
      <c r="H320" s="61" t="s">
        <v>670</v>
      </c>
      <c r="I320" s="61">
        <v>32.899808999999998</v>
      </c>
      <c r="J320" s="61">
        <v>-97.040334999999999</v>
      </c>
      <c r="K320" s="61">
        <v>8.8253574990000008</v>
      </c>
      <c r="L320" s="61">
        <v>16.529</v>
      </c>
      <c r="M320" s="61" t="s">
        <v>617</v>
      </c>
      <c r="N320" s="149">
        <v>15</v>
      </c>
      <c r="O320" s="149">
        <v>16</v>
      </c>
      <c r="P320" s="61" t="s">
        <v>565</v>
      </c>
      <c r="Q320" s="61" t="s">
        <v>556</v>
      </c>
      <c r="R320" s="61">
        <v>39.856096299999997</v>
      </c>
      <c r="S320" s="61">
        <v>-104.6737376</v>
      </c>
      <c r="T320" s="61">
        <v>1231.6610000000001</v>
      </c>
      <c r="U320" s="61" t="s">
        <v>617</v>
      </c>
      <c r="V320" s="61" t="s">
        <v>569</v>
      </c>
      <c r="W320" s="61" cm="1">
        <f t="array" ref="W320">getDistance(I320,J320,R320,S320)*SA!$B$12</f>
        <v>1032.405382823028</v>
      </c>
      <c r="Y320" s="137">
        <f>Transportation_LCIA!C$61*($W320^Transportation_LCIA!C$60)+Transportation_LCIA!C$62</f>
        <v>0.23225534418598123</v>
      </c>
      <c r="Z320" s="137">
        <f>Transportation_LCIA!D$61*($W320^Transportation_LCIA!D$60)+Transportation_LCIA!D$62</f>
        <v>2.3829583682730289</v>
      </c>
      <c r="AA320" s="137">
        <f>Transportation_LCIA!E$61*($W320^Transportation_LCIA!E$60)+Transportation_LCIA!E$62</f>
        <v>1.1163027982333872E-3</v>
      </c>
      <c r="AB320" s="137">
        <f>Transportation_LCIA!F$61*($W320^Transportation_LCIA!F$60)+Transportation_LCIA!F$62</f>
        <v>0.23225534418598123</v>
      </c>
      <c r="AC320" s="137">
        <f>Transportation_LCIA!G$61*($W320^Transportation_LCIA!G$60)+Transportation_LCIA!G$62</f>
        <v>5.5703737133526478E-2</v>
      </c>
      <c r="AD320" s="137">
        <f>Transportation_LCIA!H$61*($W320^Transportation_LCIA!H$60)+Transportation_LCIA!H$62</f>
        <v>2.7063596654759427E-4</v>
      </c>
      <c r="AE320" s="137">
        <f>Transportation_LCIA!I$61*($W320^Transportation_LCIA!I$60)+Transportation_LCIA!I$62</f>
        <v>5.7651269707403461E-6</v>
      </c>
      <c r="AF320" s="137">
        <f>Transportation_LCIA!J$61*($W320^Transportation_LCIA!J$60)+Transportation_LCIA!J$62</f>
        <v>8.5313693632523887E-3</v>
      </c>
      <c r="AG320" s="137">
        <f>Transportation_LCIA!K$61*($W320^Transportation_LCIA!K$60)+Transportation_LCIA!K$62</f>
        <v>1.1827418478712399E-2</v>
      </c>
      <c r="AH320" s="137">
        <f>Transportation_LCIA!L$61*($W320^Transportation_LCIA!L$60)+Transportation_LCIA!L$62</f>
        <v>2.3421922374683465E-4</v>
      </c>
      <c r="AI320" s="137">
        <f>Transportation_LCIA!M$61*($W320^Transportation_LCIA!M$60)+Transportation_LCIA!M$62</f>
        <v>2.4020841858251191E-4</v>
      </c>
      <c r="AJ320" s="137">
        <f>Transportation_LCIA!N$61*($W320^Transportation_LCIA!N$60)+Transportation_LCIA!N$62</f>
        <v>9.6913848993546322E-4</v>
      </c>
      <c r="AK320" s="137">
        <f>Transportation_LCIA!O$61*($W320^Transportation_LCIA!O$60)+Transportation_LCIA!O$62</f>
        <v>5.8856413165664977E-5</v>
      </c>
      <c r="AL320" s="137">
        <f>Transportation_LCIA!P$61*($W320^Transportation_LCIA!P$60)+Transportation_LCIA!P$62</f>
        <v>2.8466413236598074E-8</v>
      </c>
      <c r="AM320" s="137">
        <f>Transportation_LCIA!Q$61*($W320^Transportation_LCIA!Q$60)+Transportation_LCIA!Q$62</f>
        <v>9.2740824190142807E-5</v>
      </c>
      <c r="AN320" s="137">
        <f>Transportation_LCIA!R$61*($W320^Transportation_LCIA!R$60)+Transportation_LCIA!R$62</f>
        <v>2.7729818976966129E-4</v>
      </c>
      <c r="AO320" s="137">
        <f>Transportation_LCIA!S$61*($W320^Transportation_LCIA!S$60)+Transportation_LCIA!S$62</f>
        <v>4.1928904000612024E-6</v>
      </c>
      <c r="AP320" s="137">
        <f>Transportation_LCIA!T$61*($W320^Transportation_LCIA!T$60)+Transportation_LCIA!T$62</f>
        <v>4.1928904000612024E-6</v>
      </c>
      <c r="AQ320" s="137">
        <f>Transportation_LCIA!U$61*($W320^Transportation_LCIA!U$60)+Transportation_LCIA!U$62</f>
        <v>5.9481824090767315E-4</v>
      </c>
      <c r="AR320" s="137">
        <f>Transportation_LCIA!V$61*($W320^Transportation_LCIA!V$60)+Transportation_LCIA!V$62</f>
        <v>2.4118517412096064E-4</v>
      </c>
      <c r="AT320" s="137">
        <f>$W320*Y320+$L320*Summary_LCIA!H$32</f>
        <v>245.3982217270221</v>
      </c>
      <c r="AU320" s="137">
        <f>$W320*Z320+$L320*Summary_LCIA!Q$32</f>
        <v>2542.0976040553119</v>
      </c>
      <c r="AV320" s="137">
        <f>$W320*AA320+$L320*Summary_LCIA!R$32</f>
        <v>1.2395121201565575</v>
      </c>
      <c r="AW320" s="137">
        <f>$W320*AB320+$L320*Summary_LCIA!S$32</f>
        <v>245.3251635470221</v>
      </c>
      <c r="AX320" s="137">
        <f>$W320*AC320+$L320*Summary_LCIA!T$32</f>
        <v>59.325375160011724</v>
      </c>
      <c r="AY320" s="137">
        <f>$W320*AD320+$L320*Summary_LCIA!U$32</f>
        <v>0.57550653464924928</v>
      </c>
      <c r="AZ320" s="137">
        <f>$W320*AE320+$L320*Summary_LCIA!V$32</f>
        <v>6.7413896862505507E-3</v>
      </c>
      <c r="BA320" s="137">
        <f>$W320*AF320+$L320*Summary_LCIA!W$32</f>
        <v>10.080085312473235</v>
      </c>
      <c r="BB320" s="137">
        <f>$W320*AG320+$L320*Summary_LCIA!X$32</f>
        <v>12.58722112232323</v>
      </c>
      <c r="BC320" s="137">
        <f>$W320*AH320+$L320*Summary_LCIA!Y$32</f>
        <v>0.49936406535686328</v>
      </c>
      <c r="BD320" s="137">
        <f>$W320*AI320+$L320*Summary_LCIA!Z$32</f>
        <v>0.24867030210499239</v>
      </c>
      <c r="BE320" s="137">
        <f>$W320*AJ320+$L320*Summary_LCIA!AA$32</f>
        <v>1.3865951177103533</v>
      </c>
      <c r="BF320" s="137">
        <f>$W320*AK320+$L320*Summary_LCIA!AB$32</f>
        <v>6.0402965398888661E-2</v>
      </c>
      <c r="BG320" s="137">
        <f>$W320*AL320+$L320*Summary_LCIA!AC$32</f>
        <v>3.0196881891128548E-5</v>
      </c>
      <c r="BH320" s="137">
        <f>$W320*AM320+$L320*Summary_LCIA!AD$32</f>
        <v>0.10254020626134752</v>
      </c>
      <c r="BI320" s="137">
        <f>$W320*AN320+$L320*Summary_LCIA!AE$32</f>
        <v>0.30093098653527983</v>
      </c>
      <c r="BJ320" s="137">
        <f>$W320*AO320+$L320*Summary_LCIA!AF$32</f>
        <v>1.8302709798610185E-2</v>
      </c>
      <c r="BK320" s="137">
        <f>$W320*AP320+$L320*Summary_LCIA!AG$32</f>
        <v>5.1744689036101847E-3</v>
      </c>
      <c r="BL320" s="137">
        <f>$W320*AQ320+$L320*Summary_LCIA!AH$32</f>
        <v>0.75795535811440651</v>
      </c>
      <c r="BM320" s="137">
        <f>$W320*AR320+$L320*Summary_LCIA!AI$32</f>
        <v>0.26439846196958905</v>
      </c>
    </row>
    <row r="321" spans="1:65" x14ac:dyDescent="0.25">
      <c r="A321" s="149">
        <v>232</v>
      </c>
      <c r="B321" s="149">
        <v>1</v>
      </c>
      <c r="C321" s="61">
        <v>29.760427</v>
      </c>
      <c r="D321" s="61">
        <v>-95.369803000000005</v>
      </c>
      <c r="E321" s="61" t="s">
        <v>265</v>
      </c>
      <c r="F321" s="149">
        <v>96</v>
      </c>
      <c r="G321" s="61" t="s">
        <v>267</v>
      </c>
      <c r="H321" s="61" t="s">
        <v>703</v>
      </c>
      <c r="I321" s="61">
        <v>29.645907999999999</v>
      </c>
      <c r="J321" s="61">
        <v>-95.276904999999999</v>
      </c>
      <c r="K321" s="61">
        <v>23.33220326</v>
      </c>
      <c r="L321" s="61">
        <v>20.425999999999998</v>
      </c>
      <c r="M321" s="61" t="s">
        <v>617</v>
      </c>
      <c r="N321" s="149">
        <v>0</v>
      </c>
      <c r="O321" s="149">
        <v>1</v>
      </c>
      <c r="P321" s="61" t="s">
        <v>565</v>
      </c>
      <c r="Q321" s="61" t="s">
        <v>558</v>
      </c>
      <c r="R321" s="61">
        <v>33.640728199999998</v>
      </c>
      <c r="S321" s="61">
        <v>-84.427700099999996</v>
      </c>
      <c r="T321" s="61">
        <v>1266.633</v>
      </c>
      <c r="U321" s="61" t="s">
        <v>617</v>
      </c>
      <c r="V321" s="61" t="s">
        <v>569</v>
      </c>
      <c r="W321" s="61" cm="1">
        <f t="array" ref="W321">getDistance(I321,J321,R321,S321)*SA!$B$12</f>
        <v>1120.0323523729749</v>
      </c>
      <c r="Y321" s="137">
        <f>Transportation_LCIA!C$61*($W321^Transportation_LCIA!C$60)+Transportation_LCIA!C$62</f>
        <v>0.22430402512454245</v>
      </c>
      <c r="Z321" s="137">
        <f>Transportation_LCIA!D$61*($W321^Transportation_LCIA!D$60)+Transportation_LCIA!D$62</f>
        <v>2.2904746310332182</v>
      </c>
      <c r="AA321" s="137">
        <f>Transportation_LCIA!E$61*($W321^Transportation_LCIA!E$60)+Transportation_LCIA!E$62</f>
        <v>1.0555529095724184E-3</v>
      </c>
      <c r="AB321" s="137">
        <f>Transportation_LCIA!F$61*($W321^Transportation_LCIA!F$60)+Transportation_LCIA!F$62</f>
        <v>0.22430402512454245</v>
      </c>
      <c r="AC321" s="137">
        <f>Transportation_LCIA!G$61*($W321^Transportation_LCIA!G$60)+Transportation_LCIA!G$62</f>
        <v>5.356364079065009E-2</v>
      </c>
      <c r="AD321" s="137">
        <f>Transportation_LCIA!H$61*($W321^Transportation_LCIA!H$60)+Transportation_LCIA!H$62</f>
        <v>2.5730298307778595E-4</v>
      </c>
      <c r="AE321" s="137">
        <f>Transportation_LCIA!I$61*($W321^Transportation_LCIA!I$60)+Transportation_LCIA!I$62</f>
        <v>5.4304863851607118E-6</v>
      </c>
      <c r="AF321" s="137">
        <f>Transportation_LCIA!J$61*($W321^Transportation_LCIA!J$60)+Transportation_LCIA!J$62</f>
        <v>8.0339691479865451E-3</v>
      </c>
      <c r="AG321" s="137">
        <f>Transportation_LCIA!K$61*($W321^Transportation_LCIA!K$60)+Transportation_LCIA!K$62</f>
        <v>1.1328688615766924E-2</v>
      </c>
      <c r="AH321" s="137">
        <f>Transportation_LCIA!L$61*($W321^Transportation_LCIA!L$60)+Transportation_LCIA!L$62</f>
        <v>2.2197209698058643E-4</v>
      </c>
      <c r="AI321" s="137">
        <f>Transportation_LCIA!M$61*($W321^Transportation_LCIA!M$60)+Transportation_LCIA!M$62</f>
        <v>2.3285080680024244E-4</v>
      </c>
      <c r="AJ321" s="137">
        <f>Transportation_LCIA!N$61*($W321^Transportation_LCIA!N$60)+Transportation_LCIA!N$62</f>
        <v>9.2430018258336441E-4</v>
      </c>
      <c r="AK321" s="137">
        <f>Transportation_LCIA!O$61*($W321^Transportation_LCIA!O$60)+Transportation_LCIA!O$62</f>
        <v>5.6582493423716065E-5</v>
      </c>
      <c r="AL321" s="137">
        <f>Transportation_LCIA!P$61*($W321^Transportation_LCIA!P$60)+Transportation_LCIA!P$62</f>
        <v>2.7372866238698815E-8</v>
      </c>
      <c r="AM321" s="137">
        <f>Transportation_LCIA!Q$61*($W321^Transportation_LCIA!Q$60)+Transportation_LCIA!Q$62</f>
        <v>8.7954374285746526E-5</v>
      </c>
      <c r="AN321" s="137">
        <f>Transportation_LCIA!R$61*($W321^Transportation_LCIA!R$60)+Transportation_LCIA!R$62</f>
        <v>2.6125233802612083E-4</v>
      </c>
      <c r="AO321" s="137">
        <f>Transportation_LCIA!S$61*($W321^Transportation_LCIA!S$60)+Transportation_LCIA!S$62</f>
        <v>3.9651353566744079E-6</v>
      </c>
      <c r="AP321" s="137">
        <f>Transportation_LCIA!T$61*($W321^Transportation_LCIA!T$60)+Transportation_LCIA!T$62</f>
        <v>3.9651353566744079E-6</v>
      </c>
      <c r="AQ321" s="137">
        <f>Transportation_LCIA!U$61*($W321^Transportation_LCIA!U$60)+Transportation_LCIA!U$62</f>
        <v>5.5964928192331017E-4</v>
      </c>
      <c r="AR321" s="137">
        <f>Transportation_LCIA!V$61*($W321^Transportation_LCIA!V$60)+Transportation_LCIA!V$62</f>
        <v>2.2874060114033782E-4</v>
      </c>
      <c r="AT321" s="137">
        <f>$W321*Y321+$L321*Summary_LCIA!H$32</f>
        <v>258.16851970696814</v>
      </c>
      <c r="AU321" s="137">
        <f>$W321*Z321+$L321*Summary_LCIA!Q$32</f>
        <v>2666.6379751912154</v>
      </c>
      <c r="AV321" s="137">
        <f>$W321*AA321+$L321*Summary_LCIA!R$32</f>
        <v>1.2898085539625337</v>
      </c>
      <c r="AW321" s="137">
        <f>$W321*AB321+$L321*Summary_LCIA!S$32</f>
        <v>258.07823678696815</v>
      </c>
      <c r="AX321" s="137">
        <f>$W321*AC321+$L321*Summary_LCIA!T$32</f>
        <v>62.237827996412854</v>
      </c>
      <c r="AY321" s="137">
        <f>$W321*AD321+$L321*Summary_LCIA!U$32</f>
        <v>0.65409902940919629</v>
      </c>
      <c r="AZ321" s="137">
        <f>$W321*AE321+$L321*Summary_LCIA!V$32</f>
        <v>7.057886626500965E-3</v>
      </c>
      <c r="BA321" s="137">
        <f>$W321*AF321+$L321*Summary_LCIA!W$32</f>
        <v>10.570515009711274</v>
      </c>
      <c r="BB321" s="137">
        <f>$W321*AG321+$L321*Summary_LCIA!X$32</f>
        <v>13.153802039618368</v>
      </c>
      <c r="BC321" s="137">
        <f>$W321*AH321+$L321*Summary_LCIA!Y$32</f>
        <v>0.56689386194232827</v>
      </c>
      <c r="BD321" s="137">
        <f>$W321*AI321+$L321*Summary_LCIA!Z$32</f>
        <v>0.26163808672642058</v>
      </c>
      <c r="BE321" s="137">
        <f>$W321*AJ321+$L321*Summary_LCIA!AA$32</f>
        <v>1.5123157637976159</v>
      </c>
      <c r="BF321" s="137">
        <f>$W321*AK321+$L321*Summary_LCIA!AB$32</f>
        <v>6.2928466614493084E-2</v>
      </c>
      <c r="BG321" s="137">
        <f>$W321*AL321+$L321*Summary_LCIA!AC$32</f>
        <v>3.1657000348520622E-5</v>
      </c>
      <c r="BH321" s="137">
        <f>$W321*AM321+$L321*Summary_LCIA!AD$32</f>
        <v>0.10690764777275777</v>
      </c>
      <c r="BI321" s="137">
        <f>$W321*AN321+$L321*Summary_LCIA!AE$32</f>
        <v>0.31071116210233574</v>
      </c>
      <c r="BJ321" s="137">
        <f>$W321*AO321+$L321*Summary_LCIA!AF$32</f>
        <v>2.1709628801013289E-2</v>
      </c>
      <c r="BK321" s="137">
        <f>$W321*AP321+$L321*Summary_LCIA!AG$32</f>
        <v>5.4861761710132918E-3</v>
      </c>
      <c r="BL321" s="137">
        <f>$W321*AQ321+$L321*Summary_LCIA!AH$32</f>
        <v>0.80460503533641126</v>
      </c>
      <c r="BM321" s="137">
        <f>$W321*AR321+$L321*Summary_LCIA!AI$32</f>
        <v>0.27522471387842096</v>
      </c>
    </row>
    <row r="322" spans="1:65" x14ac:dyDescent="0.25">
      <c r="A322" s="149">
        <v>158</v>
      </c>
      <c r="B322" s="149">
        <v>29</v>
      </c>
      <c r="C322" s="61">
        <v>37.871523000000003</v>
      </c>
      <c r="D322" s="61">
        <v>-122.273042</v>
      </c>
      <c r="E322" s="61" t="s">
        <v>265</v>
      </c>
      <c r="F322" s="149">
        <v>99</v>
      </c>
      <c r="G322" s="61" t="s">
        <v>623</v>
      </c>
      <c r="H322" s="61" t="s">
        <v>624</v>
      </c>
      <c r="I322" s="61">
        <v>37.712569000000002</v>
      </c>
      <c r="J322" s="61">
        <v>-122.21974299999999</v>
      </c>
      <c r="K322" s="61">
        <v>40.270393179999999</v>
      </c>
      <c r="L322" s="61">
        <v>24.324000000000002</v>
      </c>
      <c r="M322" s="61" t="s">
        <v>617</v>
      </c>
      <c r="N322" s="149">
        <v>28</v>
      </c>
      <c r="O322" s="149">
        <v>29</v>
      </c>
      <c r="P322" s="61" t="s">
        <v>565</v>
      </c>
      <c r="Q322" s="61" t="s">
        <v>559</v>
      </c>
      <c r="R322" s="61">
        <v>47.450249900000003</v>
      </c>
      <c r="S322" s="61">
        <v>-122.30881650000001</v>
      </c>
      <c r="T322" s="61">
        <v>1269.6880000000001</v>
      </c>
      <c r="U322" s="61" t="s">
        <v>617</v>
      </c>
      <c r="V322" s="61" t="s">
        <v>569</v>
      </c>
      <c r="W322" s="61" cm="1">
        <f t="array" ref="W322">getDistance(I322,J322,R322,S322)*SA!$B$12</f>
        <v>1083.7067192187251</v>
      </c>
      <c r="Y322" s="137">
        <f>Transportation_LCIA!C$61*($W322^Transportation_LCIA!C$60)+Transportation_LCIA!C$62</f>
        <v>0.22745670793590661</v>
      </c>
      <c r="Z322" s="137">
        <f>Transportation_LCIA!D$61*($W322^Transportation_LCIA!D$60)+Transportation_LCIA!D$62</f>
        <v>2.3271050405397338</v>
      </c>
      <c r="AA322" s="137">
        <f>Transportation_LCIA!E$61*($W322^Transportation_LCIA!E$60)+Transportation_LCIA!E$62</f>
        <v>1.0796071266874865E-3</v>
      </c>
      <c r="AB322" s="137">
        <f>Transportation_LCIA!F$61*($W322^Transportation_LCIA!F$60)+Transportation_LCIA!F$62</f>
        <v>0.22745670793590661</v>
      </c>
      <c r="AC322" s="137">
        <f>Transportation_LCIA!G$61*($W322^Transportation_LCIA!G$60)+Transportation_LCIA!G$62</f>
        <v>5.4411330360243829E-2</v>
      </c>
      <c r="AD322" s="137">
        <f>Transportation_LCIA!H$61*($W322^Transportation_LCIA!H$60)+Transportation_LCIA!H$62</f>
        <v>2.6257910570795154E-4</v>
      </c>
      <c r="AE322" s="137">
        <f>Transportation_LCIA!I$61*($W322^Transportation_LCIA!I$60)+Transportation_LCIA!I$62</f>
        <v>5.5627834005164701E-6</v>
      </c>
      <c r="AF322" s="137">
        <f>Transportation_LCIA!J$61*($W322^Transportation_LCIA!J$60)+Transportation_LCIA!J$62</f>
        <v>8.2304885314531239E-3</v>
      </c>
      <c r="AG322" s="137">
        <f>Transportation_LCIA!K$61*($W322^Transportation_LCIA!K$60)+Transportation_LCIA!K$62</f>
        <v>1.1526128098589581E-2</v>
      </c>
      <c r="AH322" s="137">
        <f>Transportation_LCIA!L$61*($W322^Transportation_LCIA!L$60)+Transportation_LCIA!L$62</f>
        <v>2.2681720311816129E-4</v>
      </c>
      <c r="AI322" s="137">
        <f>Transportation_LCIA!M$61*($W322^Transportation_LCIA!M$60)+Transportation_LCIA!M$62</f>
        <v>2.3576226353069502E-4</v>
      </c>
      <c r="AJ322" s="137">
        <f>Transportation_LCIA!N$61*($W322^Transportation_LCIA!N$60)+Transportation_LCIA!N$62</f>
        <v>9.4204492933100935E-4</v>
      </c>
      <c r="AK322" s="137">
        <f>Transportation_LCIA!O$61*($W322^Transportation_LCIA!O$60)+Transportation_LCIA!O$62</f>
        <v>5.7483163787402971E-5</v>
      </c>
      <c r="AL322" s="137">
        <f>Transportation_LCIA!P$61*($W322^Transportation_LCIA!P$60)+Transportation_LCIA!P$62</f>
        <v>2.7806040623323073E-8</v>
      </c>
      <c r="AM322" s="137">
        <f>Transportation_LCIA!Q$61*($W322^Transportation_LCIA!Q$60)+Transportation_LCIA!Q$62</f>
        <v>8.9847671545088305E-5</v>
      </c>
      <c r="AN322" s="137">
        <f>Transportation_LCIA!R$61*($W322^Transportation_LCIA!R$60)+Transportation_LCIA!R$62</f>
        <v>2.6759576802836684E-4</v>
      </c>
      <c r="AO322" s="137">
        <f>Transportation_LCIA!S$61*($W322^Transportation_LCIA!S$60)+Transportation_LCIA!S$62</f>
        <v>4.0551779544391714E-6</v>
      </c>
      <c r="AP322" s="137">
        <f>Transportation_LCIA!T$61*($W322^Transportation_LCIA!T$60)+Transportation_LCIA!T$62</f>
        <v>4.0551779544391714E-6</v>
      </c>
      <c r="AQ322" s="137">
        <f>Transportation_LCIA!U$61*($W322^Transportation_LCIA!U$60)+Transportation_LCIA!U$62</f>
        <v>5.7355015024913001E-4</v>
      </c>
      <c r="AR322" s="137">
        <f>Transportation_LCIA!V$61*($W322^Transportation_LCIA!V$60)+Transportation_LCIA!V$62</f>
        <v>2.3366216352403273E-4</v>
      </c>
      <c r="AT322" s="137">
        <f>$W322*Y322+$L322*Summary_LCIA!H$32</f>
        <v>254.76165792151309</v>
      </c>
      <c r="AU322" s="137">
        <f>$W322*Z322+$L322*Summary_LCIA!Q$32</f>
        <v>2642.4503394929652</v>
      </c>
      <c r="AV322" s="137">
        <f>$W322*AA322+$L322*Summary_LCIA!R$32</f>
        <v>1.2980579517076505</v>
      </c>
      <c r="AW322" s="137">
        <f>$W322*AB322+$L322*Summary_LCIA!S$32</f>
        <v>254.6541458415131</v>
      </c>
      <c r="AX322" s="137">
        <f>$W322*AC322+$L322*Summary_LCIA!T$32</f>
        <v>61.639131913026048</v>
      </c>
      <c r="AY322" s="137">
        <f>$W322*AD322+$L322*Summary_LCIA!U$32</f>
        <v>0.72029887718215102</v>
      </c>
      <c r="AZ322" s="137">
        <f>$W322*AE322+$L322*Summary_LCIA!V$32</f>
        <v>7.1901643126980868E-3</v>
      </c>
      <c r="BA322" s="137">
        <f>$W322*AF322+$L322*Summary_LCIA!W$32</f>
        <v>10.791678327988407</v>
      </c>
      <c r="BB322" s="137">
        <f>$W322*AG322+$L322*Summary_LCIA!X$32</f>
        <v>13.045043187017278</v>
      </c>
      <c r="BC322" s="137">
        <f>$W322*AH322+$L322*Summary_LCIA!Y$32</f>
        <v>0.62481989505354985</v>
      </c>
      <c r="BD322" s="137">
        <f>$W322*AI322+$L322*Summary_LCIA!Z$32</f>
        <v>0.25649465204242994</v>
      </c>
      <c r="BE322" s="137">
        <f>$W322*AJ322+$L322*Summary_LCIA!AA$32</f>
        <v>1.5890117637219436</v>
      </c>
      <c r="BF322" s="137">
        <f>$W322*AK322+$L322*Summary_LCIA!AB$32</f>
        <v>6.1764068186359093E-2</v>
      </c>
      <c r="BG322" s="137">
        <f>$W322*AL322+$L322*Summary_LCIA!AC$32</f>
        <v>3.1322647474364037E-5</v>
      </c>
      <c r="BH322" s="137">
        <f>$W322*AM322+$L322*Summary_LCIA!AD$32</f>
        <v>0.10736666231956925</v>
      </c>
      <c r="BI322" s="137">
        <f>$W322*AN322+$L322*Summary_LCIA!AE$32</f>
        <v>0.31154955796683648</v>
      </c>
      <c r="BJ322" s="137">
        <f>$W322*AO322+$L322*Summary_LCIA!AF$32</f>
        <v>2.495861967685338E-2</v>
      </c>
      <c r="BK322" s="137">
        <f>$W322*AP322+$L322*Summary_LCIA!AG$32</f>
        <v>5.6391610568533755E-3</v>
      </c>
      <c r="BL322" s="137">
        <f>$W322*AQ322+$L322*Summary_LCIA!AH$32</f>
        <v>0.83326651803389162</v>
      </c>
      <c r="BM322" s="137">
        <f>$W322*AR322+$L322*Summary_LCIA!AI$32</f>
        <v>0.27588027883817878</v>
      </c>
    </row>
    <row r="323" spans="1:65" x14ac:dyDescent="0.25">
      <c r="A323" s="149">
        <v>159</v>
      </c>
      <c r="B323" s="149">
        <v>29</v>
      </c>
      <c r="C323" s="61">
        <v>37.871523000000003</v>
      </c>
      <c r="D323" s="61">
        <v>-122.273042</v>
      </c>
      <c r="E323" s="61" t="s">
        <v>265</v>
      </c>
      <c r="F323" s="149">
        <v>99</v>
      </c>
      <c r="G323" s="61" t="s">
        <v>623</v>
      </c>
      <c r="H323" s="61" t="s">
        <v>624</v>
      </c>
      <c r="I323" s="61">
        <v>37.712569000000002</v>
      </c>
      <c r="J323" s="61">
        <v>-122.21974299999999</v>
      </c>
      <c r="K323" s="61">
        <v>40.270393179999999</v>
      </c>
      <c r="L323" s="61">
        <v>24.324000000000002</v>
      </c>
      <c r="M323" s="61" t="s">
        <v>617</v>
      </c>
      <c r="N323" s="149">
        <v>28</v>
      </c>
      <c r="O323" s="149">
        <v>29</v>
      </c>
      <c r="P323" s="61" t="s">
        <v>565</v>
      </c>
      <c r="Q323" s="61" t="s">
        <v>559</v>
      </c>
      <c r="R323" s="61">
        <v>47.450249900000003</v>
      </c>
      <c r="S323" s="61">
        <v>-122.30881650000001</v>
      </c>
      <c r="T323" s="61">
        <v>1269.6880000000001</v>
      </c>
      <c r="U323" s="61" t="s">
        <v>617</v>
      </c>
      <c r="V323" s="61" t="s">
        <v>569</v>
      </c>
      <c r="W323" s="61" cm="1">
        <f t="array" ref="W323">getDistance(I323,J323,R323,S323)*SA!$B$12</f>
        <v>1083.7067192187251</v>
      </c>
      <c r="Y323" s="137">
        <f>Transportation_LCIA!C$61*($W323^Transportation_LCIA!C$60)+Transportation_LCIA!C$62</f>
        <v>0.22745670793590661</v>
      </c>
      <c r="Z323" s="137">
        <f>Transportation_LCIA!D$61*($W323^Transportation_LCIA!D$60)+Transportation_LCIA!D$62</f>
        <v>2.3271050405397338</v>
      </c>
      <c r="AA323" s="137">
        <f>Transportation_LCIA!E$61*($W323^Transportation_LCIA!E$60)+Transportation_LCIA!E$62</f>
        <v>1.0796071266874865E-3</v>
      </c>
      <c r="AB323" s="137">
        <f>Transportation_LCIA!F$61*($W323^Transportation_LCIA!F$60)+Transportation_LCIA!F$62</f>
        <v>0.22745670793590661</v>
      </c>
      <c r="AC323" s="137">
        <f>Transportation_LCIA!G$61*($W323^Transportation_LCIA!G$60)+Transportation_LCIA!G$62</f>
        <v>5.4411330360243829E-2</v>
      </c>
      <c r="AD323" s="137">
        <f>Transportation_LCIA!H$61*($W323^Transportation_LCIA!H$60)+Transportation_LCIA!H$62</f>
        <v>2.6257910570795154E-4</v>
      </c>
      <c r="AE323" s="137">
        <f>Transportation_LCIA!I$61*($W323^Transportation_LCIA!I$60)+Transportation_LCIA!I$62</f>
        <v>5.5627834005164701E-6</v>
      </c>
      <c r="AF323" s="137">
        <f>Transportation_LCIA!J$61*($W323^Transportation_LCIA!J$60)+Transportation_LCIA!J$62</f>
        <v>8.2304885314531239E-3</v>
      </c>
      <c r="AG323" s="137">
        <f>Transportation_LCIA!K$61*($W323^Transportation_LCIA!K$60)+Transportation_LCIA!K$62</f>
        <v>1.1526128098589581E-2</v>
      </c>
      <c r="AH323" s="137">
        <f>Transportation_LCIA!L$61*($W323^Transportation_LCIA!L$60)+Transportation_LCIA!L$62</f>
        <v>2.2681720311816129E-4</v>
      </c>
      <c r="AI323" s="137">
        <f>Transportation_LCIA!M$61*($W323^Transportation_LCIA!M$60)+Transportation_LCIA!M$62</f>
        <v>2.3576226353069502E-4</v>
      </c>
      <c r="AJ323" s="137">
        <f>Transportation_LCIA!N$61*($W323^Transportation_LCIA!N$60)+Transportation_LCIA!N$62</f>
        <v>9.4204492933100935E-4</v>
      </c>
      <c r="AK323" s="137">
        <f>Transportation_LCIA!O$61*($W323^Transportation_LCIA!O$60)+Transportation_LCIA!O$62</f>
        <v>5.7483163787402971E-5</v>
      </c>
      <c r="AL323" s="137">
        <f>Transportation_LCIA!P$61*($W323^Transportation_LCIA!P$60)+Transportation_LCIA!P$62</f>
        <v>2.7806040623323073E-8</v>
      </c>
      <c r="AM323" s="137">
        <f>Transportation_LCIA!Q$61*($W323^Transportation_LCIA!Q$60)+Transportation_LCIA!Q$62</f>
        <v>8.9847671545088305E-5</v>
      </c>
      <c r="AN323" s="137">
        <f>Transportation_LCIA!R$61*($W323^Transportation_LCIA!R$60)+Transportation_LCIA!R$62</f>
        <v>2.6759576802836684E-4</v>
      </c>
      <c r="AO323" s="137">
        <f>Transportation_LCIA!S$61*($W323^Transportation_LCIA!S$60)+Transportation_LCIA!S$62</f>
        <v>4.0551779544391714E-6</v>
      </c>
      <c r="AP323" s="137">
        <f>Transportation_LCIA!T$61*($W323^Transportation_LCIA!T$60)+Transportation_LCIA!T$62</f>
        <v>4.0551779544391714E-6</v>
      </c>
      <c r="AQ323" s="137">
        <f>Transportation_LCIA!U$61*($W323^Transportation_LCIA!U$60)+Transportation_LCIA!U$62</f>
        <v>5.7355015024913001E-4</v>
      </c>
      <c r="AR323" s="137">
        <f>Transportation_LCIA!V$61*($W323^Transportation_LCIA!V$60)+Transportation_LCIA!V$62</f>
        <v>2.3366216352403273E-4</v>
      </c>
      <c r="AT323" s="137">
        <f>$W323*Y323+$L323*Summary_LCIA!H$32</f>
        <v>254.76165792151309</v>
      </c>
      <c r="AU323" s="137">
        <f>$W323*Z323+$L323*Summary_LCIA!Q$32</f>
        <v>2642.4503394929652</v>
      </c>
      <c r="AV323" s="137">
        <f>$W323*AA323+$L323*Summary_LCIA!R$32</f>
        <v>1.2980579517076505</v>
      </c>
      <c r="AW323" s="137">
        <f>$W323*AB323+$L323*Summary_LCIA!S$32</f>
        <v>254.6541458415131</v>
      </c>
      <c r="AX323" s="137">
        <f>$W323*AC323+$L323*Summary_LCIA!T$32</f>
        <v>61.639131913026048</v>
      </c>
      <c r="AY323" s="137">
        <f>$W323*AD323+$L323*Summary_LCIA!U$32</f>
        <v>0.72029887718215102</v>
      </c>
      <c r="AZ323" s="137">
        <f>$W323*AE323+$L323*Summary_LCIA!V$32</f>
        <v>7.1901643126980868E-3</v>
      </c>
      <c r="BA323" s="137">
        <f>$W323*AF323+$L323*Summary_LCIA!W$32</f>
        <v>10.791678327988407</v>
      </c>
      <c r="BB323" s="137">
        <f>$W323*AG323+$L323*Summary_LCIA!X$32</f>
        <v>13.045043187017278</v>
      </c>
      <c r="BC323" s="137">
        <f>$W323*AH323+$L323*Summary_LCIA!Y$32</f>
        <v>0.62481989505354985</v>
      </c>
      <c r="BD323" s="137">
        <f>$W323*AI323+$L323*Summary_LCIA!Z$32</f>
        <v>0.25649465204242994</v>
      </c>
      <c r="BE323" s="137">
        <f>$W323*AJ323+$L323*Summary_LCIA!AA$32</f>
        <v>1.5890117637219436</v>
      </c>
      <c r="BF323" s="137">
        <f>$W323*AK323+$L323*Summary_LCIA!AB$32</f>
        <v>6.1764068186359093E-2</v>
      </c>
      <c r="BG323" s="137">
        <f>$W323*AL323+$L323*Summary_LCIA!AC$32</f>
        <v>3.1322647474364037E-5</v>
      </c>
      <c r="BH323" s="137">
        <f>$W323*AM323+$L323*Summary_LCIA!AD$32</f>
        <v>0.10736666231956925</v>
      </c>
      <c r="BI323" s="137">
        <f>$W323*AN323+$L323*Summary_LCIA!AE$32</f>
        <v>0.31154955796683648</v>
      </c>
      <c r="BJ323" s="137">
        <f>$W323*AO323+$L323*Summary_LCIA!AF$32</f>
        <v>2.495861967685338E-2</v>
      </c>
      <c r="BK323" s="137">
        <f>$W323*AP323+$L323*Summary_LCIA!AG$32</f>
        <v>5.6391610568533755E-3</v>
      </c>
      <c r="BL323" s="137">
        <f>$W323*AQ323+$L323*Summary_LCIA!AH$32</f>
        <v>0.83326651803389162</v>
      </c>
      <c r="BM323" s="137">
        <f>$W323*AR323+$L323*Summary_LCIA!AI$32</f>
        <v>0.27588027883817878</v>
      </c>
    </row>
    <row r="324" spans="1:65" x14ac:dyDescent="0.25">
      <c r="A324" s="149">
        <v>360</v>
      </c>
      <c r="B324" s="149">
        <v>29</v>
      </c>
      <c r="C324" s="61">
        <v>37.92633</v>
      </c>
      <c r="D324" s="61">
        <v>-122.38489</v>
      </c>
      <c r="E324" s="61" t="s">
        <v>265</v>
      </c>
      <c r="F324" s="149">
        <v>99</v>
      </c>
      <c r="G324" s="61" t="s">
        <v>623</v>
      </c>
      <c r="H324" s="61" t="s">
        <v>624</v>
      </c>
      <c r="I324" s="61">
        <v>37.712569000000002</v>
      </c>
      <c r="J324" s="61">
        <v>-122.21974299999999</v>
      </c>
      <c r="K324" s="61">
        <v>60.952904539999999</v>
      </c>
      <c r="L324" s="61">
        <v>37.832000000000001</v>
      </c>
      <c r="M324" s="61" t="s">
        <v>617</v>
      </c>
      <c r="N324" s="149">
        <v>28</v>
      </c>
      <c r="O324" s="149">
        <v>29</v>
      </c>
      <c r="P324" s="61" t="s">
        <v>565</v>
      </c>
      <c r="Q324" s="61" t="s">
        <v>559</v>
      </c>
      <c r="R324" s="61">
        <v>47.450249900000003</v>
      </c>
      <c r="S324" s="61">
        <v>-122.30881650000001</v>
      </c>
      <c r="T324" s="61">
        <v>1269.7449999999999</v>
      </c>
      <c r="U324" s="61" t="s">
        <v>617</v>
      </c>
      <c r="V324" s="61" t="s">
        <v>569</v>
      </c>
      <c r="W324" s="61" cm="1">
        <f t="array" ref="W324">getDistance(I324,J324,R324,S324)*SA!$B$12</f>
        <v>1083.7067192187251</v>
      </c>
      <c r="Y324" s="137">
        <f>Transportation_LCIA!C$61*($W324^Transportation_LCIA!C$60)+Transportation_LCIA!C$62</f>
        <v>0.22745670793590661</v>
      </c>
      <c r="Z324" s="137">
        <f>Transportation_LCIA!D$61*($W324^Transportation_LCIA!D$60)+Transportation_LCIA!D$62</f>
        <v>2.3271050405397338</v>
      </c>
      <c r="AA324" s="137">
        <f>Transportation_LCIA!E$61*($W324^Transportation_LCIA!E$60)+Transportation_LCIA!E$62</f>
        <v>1.0796071266874865E-3</v>
      </c>
      <c r="AB324" s="137">
        <f>Transportation_LCIA!F$61*($W324^Transportation_LCIA!F$60)+Transportation_LCIA!F$62</f>
        <v>0.22745670793590661</v>
      </c>
      <c r="AC324" s="137">
        <f>Transportation_LCIA!G$61*($W324^Transportation_LCIA!G$60)+Transportation_LCIA!G$62</f>
        <v>5.4411330360243829E-2</v>
      </c>
      <c r="AD324" s="137">
        <f>Transportation_LCIA!H$61*($W324^Transportation_LCIA!H$60)+Transportation_LCIA!H$62</f>
        <v>2.6257910570795154E-4</v>
      </c>
      <c r="AE324" s="137">
        <f>Transportation_LCIA!I$61*($W324^Transportation_LCIA!I$60)+Transportation_LCIA!I$62</f>
        <v>5.5627834005164701E-6</v>
      </c>
      <c r="AF324" s="137">
        <f>Transportation_LCIA!J$61*($W324^Transportation_LCIA!J$60)+Transportation_LCIA!J$62</f>
        <v>8.2304885314531239E-3</v>
      </c>
      <c r="AG324" s="137">
        <f>Transportation_LCIA!K$61*($W324^Transportation_LCIA!K$60)+Transportation_LCIA!K$62</f>
        <v>1.1526128098589581E-2</v>
      </c>
      <c r="AH324" s="137">
        <f>Transportation_LCIA!L$61*($W324^Transportation_LCIA!L$60)+Transportation_LCIA!L$62</f>
        <v>2.2681720311816129E-4</v>
      </c>
      <c r="AI324" s="137">
        <f>Transportation_LCIA!M$61*($W324^Transportation_LCIA!M$60)+Transportation_LCIA!M$62</f>
        <v>2.3576226353069502E-4</v>
      </c>
      <c r="AJ324" s="137">
        <f>Transportation_LCIA!N$61*($W324^Transportation_LCIA!N$60)+Transportation_LCIA!N$62</f>
        <v>9.4204492933100935E-4</v>
      </c>
      <c r="AK324" s="137">
        <f>Transportation_LCIA!O$61*($W324^Transportation_LCIA!O$60)+Transportation_LCIA!O$62</f>
        <v>5.7483163787402971E-5</v>
      </c>
      <c r="AL324" s="137">
        <f>Transportation_LCIA!P$61*($W324^Transportation_LCIA!P$60)+Transportation_LCIA!P$62</f>
        <v>2.7806040623323073E-8</v>
      </c>
      <c r="AM324" s="137">
        <f>Transportation_LCIA!Q$61*($W324^Transportation_LCIA!Q$60)+Transportation_LCIA!Q$62</f>
        <v>8.9847671545088305E-5</v>
      </c>
      <c r="AN324" s="137">
        <f>Transportation_LCIA!R$61*($W324^Transportation_LCIA!R$60)+Transportation_LCIA!R$62</f>
        <v>2.6759576802836684E-4</v>
      </c>
      <c r="AO324" s="137">
        <f>Transportation_LCIA!S$61*($W324^Transportation_LCIA!S$60)+Transportation_LCIA!S$62</f>
        <v>4.0551779544391714E-6</v>
      </c>
      <c r="AP324" s="137">
        <f>Transportation_LCIA!T$61*($W324^Transportation_LCIA!T$60)+Transportation_LCIA!T$62</f>
        <v>4.0551779544391714E-6</v>
      </c>
      <c r="AQ324" s="137">
        <f>Transportation_LCIA!U$61*($W324^Transportation_LCIA!U$60)+Transportation_LCIA!U$62</f>
        <v>5.7355015024913001E-4</v>
      </c>
      <c r="AR324" s="137">
        <f>Transportation_LCIA!V$61*($W324^Transportation_LCIA!V$60)+Transportation_LCIA!V$62</f>
        <v>2.3366216352403273E-4</v>
      </c>
      <c r="AT324" s="137">
        <f>$W324*Y324+$L324*Summary_LCIA!H$32</f>
        <v>259.35167632151308</v>
      </c>
      <c r="AU324" s="137">
        <f>$W324*Z324+$L324*Summary_LCIA!Q$32</f>
        <v>2709.3966687419288</v>
      </c>
      <c r="AV324" s="137">
        <f>$W324*AA324+$L324*Summary_LCIA!R$32</f>
        <v>1.3691856765076504</v>
      </c>
      <c r="AW324" s="137">
        <f>$W324*AB324+$L324*Summary_LCIA!S$32</f>
        <v>259.18445888151308</v>
      </c>
      <c r="AX324" s="137">
        <f>$W324*AC324+$L324*Summary_LCIA!T$32</f>
        <v>63.123661113026053</v>
      </c>
      <c r="AY324" s="137">
        <f>$W324*AD324+$L324*Summary_LCIA!U$32</f>
        <v>0.962281189182151</v>
      </c>
      <c r="AZ324" s="137">
        <f>$W324*AE324+$L324*Summary_LCIA!V$32</f>
        <v>7.8353199006980859E-3</v>
      </c>
      <c r="BA324" s="137">
        <f>$W324*AF324+$L324*Summary_LCIA!W$32</f>
        <v>11.831402595988408</v>
      </c>
      <c r="BB324" s="137">
        <f>$W324*AG324+$L324*Summary_LCIA!X$32</f>
        <v>13.352755427017277</v>
      </c>
      <c r="BC324" s="137">
        <f>$W324*AH324+$L324*Summary_LCIA!Y$32</f>
        <v>0.83530155105354986</v>
      </c>
      <c r="BD324" s="137">
        <f>$W324*AI324+$L324*Summary_LCIA!Z$32</f>
        <v>0.25704860161442994</v>
      </c>
      <c r="BE324" s="137">
        <f>$W324*AJ324+$L324*Summary_LCIA!AA$32</f>
        <v>1.9045046117219437</v>
      </c>
      <c r="BF324" s="137">
        <f>$W324*AK324+$L324*Summary_LCIA!AB$32</f>
        <v>6.1469283102359093E-2</v>
      </c>
      <c r="BG324" s="137">
        <f>$W324*AL324+$L324*Summary_LCIA!AC$32</f>
        <v>3.1982972546364039E-5</v>
      </c>
      <c r="BH324" s="137">
        <f>$W324*AM324+$L324*Summary_LCIA!AD$32</f>
        <v>0.11291899063956924</v>
      </c>
      <c r="BI324" s="137">
        <f>$W324*AN324+$L324*Summary_LCIA!AE$32</f>
        <v>0.32351940200683643</v>
      </c>
      <c r="BJ324" s="137">
        <f>$W324*AO324+$L324*Summary_LCIA!AF$32</f>
        <v>3.6378553036853375E-2</v>
      </c>
      <c r="BK324" s="137">
        <f>$W324*AP324+$L324*Summary_LCIA!AG$32</f>
        <v>6.330297876853375E-3</v>
      </c>
      <c r="BL324" s="137">
        <f>$W324*AQ324+$L324*Summary_LCIA!AH$32</f>
        <v>0.95083474683389158</v>
      </c>
      <c r="BM324" s="137">
        <f>$W324*AR324+$L324*Summary_LCIA!AI$32</f>
        <v>0.28846365623817882</v>
      </c>
    </row>
    <row r="325" spans="1:65" x14ac:dyDescent="0.25">
      <c r="A325" s="149">
        <v>326</v>
      </c>
      <c r="B325" s="149">
        <v>29</v>
      </c>
      <c r="C325" s="61">
        <v>37.827178000000004</v>
      </c>
      <c r="D325" s="61">
        <v>-122.291308</v>
      </c>
      <c r="E325" s="61" t="s">
        <v>265</v>
      </c>
      <c r="F325" s="149">
        <v>99</v>
      </c>
      <c r="G325" s="61" t="s">
        <v>623</v>
      </c>
      <c r="H325" s="61" t="s">
        <v>624</v>
      </c>
      <c r="I325" s="61">
        <v>37.712569000000002</v>
      </c>
      <c r="J325" s="61">
        <v>-122.21974299999999</v>
      </c>
      <c r="K325" s="61">
        <v>31.383945929999999</v>
      </c>
      <c r="L325" s="61">
        <v>20.917000000000002</v>
      </c>
      <c r="M325" s="61" t="s">
        <v>617</v>
      </c>
      <c r="N325" s="149">
        <v>28</v>
      </c>
      <c r="O325" s="149">
        <v>29</v>
      </c>
      <c r="P325" s="61" t="s">
        <v>565</v>
      </c>
      <c r="Q325" s="61" t="s">
        <v>559</v>
      </c>
      <c r="R325" s="61">
        <v>47.450249900000003</v>
      </c>
      <c r="S325" s="61">
        <v>-122.30881650000001</v>
      </c>
      <c r="T325" s="61">
        <v>1271.547</v>
      </c>
      <c r="U325" s="61" t="s">
        <v>617</v>
      </c>
      <c r="V325" s="61" t="s">
        <v>569</v>
      </c>
      <c r="W325" s="61" cm="1">
        <f t="array" ref="W325">getDistance(I325,J325,R325,S325)*SA!$B$12</f>
        <v>1083.7067192187251</v>
      </c>
      <c r="Y325" s="137">
        <f>Transportation_LCIA!C$61*($W325^Transportation_LCIA!C$60)+Transportation_LCIA!C$62</f>
        <v>0.22745670793590661</v>
      </c>
      <c r="Z325" s="137">
        <f>Transportation_LCIA!D$61*($W325^Transportation_LCIA!D$60)+Transportation_LCIA!D$62</f>
        <v>2.3271050405397338</v>
      </c>
      <c r="AA325" s="137">
        <f>Transportation_LCIA!E$61*($W325^Transportation_LCIA!E$60)+Transportation_LCIA!E$62</f>
        <v>1.0796071266874865E-3</v>
      </c>
      <c r="AB325" s="137">
        <f>Transportation_LCIA!F$61*($W325^Transportation_LCIA!F$60)+Transportation_LCIA!F$62</f>
        <v>0.22745670793590661</v>
      </c>
      <c r="AC325" s="137">
        <f>Transportation_LCIA!G$61*($W325^Transportation_LCIA!G$60)+Transportation_LCIA!G$62</f>
        <v>5.4411330360243829E-2</v>
      </c>
      <c r="AD325" s="137">
        <f>Transportation_LCIA!H$61*($W325^Transportation_LCIA!H$60)+Transportation_LCIA!H$62</f>
        <v>2.6257910570795154E-4</v>
      </c>
      <c r="AE325" s="137">
        <f>Transportation_LCIA!I$61*($W325^Transportation_LCIA!I$60)+Transportation_LCIA!I$62</f>
        <v>5.5627834005164701E-6</v>
      </c>
      <c r="AF325" s="137">
        <f>Transportation_LCIA!J$61*($W325^Transportation_LCIA!J$60)+Transportation_LCIA!J$62</f>
        <v>8.2304885314531239E-3</v>
      </c>
      <c r="AG325" s="137">
        <f>Transportation_LCIA!K$61*($W325^Transportation_LCIA!K$60)+Transportation_LCIA!K$62</f>
        <v>1.1526128098589581E-2</v>
      </c>
      <c r="AH325" s="137">
        <f>Transportation_LCIA!L$61*($W325^Transportation_LCIA!L$60)+Transportation_LCIA!L$62</f>
        <v>2.2681720311816129E-4</v>
      </c>
      <c r="AI325" s="137">
        <f>Transportation_LCIA!M$61*($W325^Transportation_LCIA!M$60)+Transportation_LCIA!M$62</f>
        <v>2.3576226353069502E-4</v>
      </c>
      <c r="AJ325" s="137">
        <f>Transportation_LCIA!N$61*($W325^Transportation_LCIA!N$60)+Transportation_LCIA!N$62</f>
        <v>9.4204492933100935E-4</v>
      </c>
      <c r="AK325" s="137">
        <f>Transportation_LCIA!O$61*($W325^Transportation_LCIA!O$60)+Transportation_LCIA!O$62</f>
        <v>5.7483163787402971E-5</v>
      </c>
      <c r="AL325" s="137">
        <f>Transportation_LCIA!P$61*($W325^Transportation_LCIA!P$60)+Transportation_LCIA!P$62</f>
        <v>2.7806040623323073E-8</v>
      </c>
      <c r="AM325" s="137">
        <f>Transportation_LCIA!Q$61*($W325^Transportation_LCIA!Q$60)+Transportation_LCIA!Q$62</f>
        <v>8.9847671545088305E-5</v>
      </c>
      <c r="AN325" s="137">
        <f>Transportation_LCIA!R$61*($W325^Transportation_LCIA!R$60)+Transportation_LCIA!R$62</f>
        <v>2.6759576802836684E-4</v>
      </c>
      <c r="AO325" s="137">
        <f>Transportation_LCIA!S$61*($W325^Transportation_LCIA!S$60)+Transportation_LCIA!S$62</f>
        <v>4.0551779544391714E-6</v>
      </c>
      <c r="AP325" s="137">
        <f>Transportation_LCIA!T$61*($W325^Transportation_LCIA!T$60)+Transportation_LCIA!T$62</f>
        <v>4.0551779544391714E-6</v>
      </c>
      <c r="AQ325" s="137">
        <f>Transportation_LCIA!U$61*($W325^Transportation_LCIA!U$60)+Transportation_LCIA!U$62</f>
        <v>5.7355015024913001E-4</v>
      </c>
      <c r="AR325" s="137">
        <f>Transportation_LCIA!V$61*($W325^Transportation_LCIA!V$60)+Transportation_LCIA!V$62</f>
        <v>2.3366216352403273E-4</v>
      </c>
      <c r="AT325" s="137">
        <f>$W325*Y325+$L325*Summary_LCIA!H$32</f>
        <v>253.60395932151309</v>
      </c>
      <c r="AU325" s="137">
        <f>$W325*Z325+$L325*Summary_LCIA!Q$32</f>
        <v>2625.5650756677342</v>
      </c>
      <c r="AV325" s="137">
        <f>$W325*AA325+$L325*Summary_LCIA!R$32</f>
        <v>1.2801180525076505</v>
      </c>
      <c r="AW325" s="137">
        <f>$W325*AB325+$L325*Summary_LCIA!S$32</f>
        <v>253.51150618151308</v>
      </c>
      <c r="AX325" s="137">
        <f>$W325*AC325+$L325*Summary_LCIA!T$32</f>
        <v>61.264702613026053</v>
      </c>
      <c r="AY325" s="137">
        <f>$W325*AD325+$L325*Summary_LCIA!U$32</f>
        <v>0.65926587918215096</v>
      </c>
      <c r="AZ325" s="137">
        <f>$W325*AE325+$L325*Summary_LCIA!V$32</f>
        <v>7.0274425856980864E-3</v>
      </c>
      <c r="BA325" s="137">
        <f>$W325*AF325+$L325*Summary_LCIA!W$32</f>
        <v>10.529438130988407</v>
      </c>
      <c r="BB325" s="137">
        <f>$W325*AG325+$L325*Summary_LCIA!X$32</f>
        <v>12.967431727017276</v>
      </c>
      <c r="BC325" s="137">
        <f>$W325*AH325+$L325*Summary_LCIA!Y$32</f>
        <v>0.57173202105354981</v>
      </c>
      <c r="BD325" s="137">
        <f>$W325*AI325+$L325*Summary_LCIA!Z$32</f>
        <v>0.25635493437942997</v>
      </c>
      <c r="BE325" s="137">
        <f>$W325*AJ325+$L325*Summary_LCIA!AA$32</f>
        <v>1.5094378717219437</v>
      </c>
      <c r="BF325" s="137">
        <f>$W325*AK325+$L325*Summary_LCIA!AB$32</f>
        <v>6.1838419147359096E-2</v>
      </c>
      <c r="BG325" s="137">
        <f>$W325*AL325+$L325*Summary_LCIA!AC$32</f>
        <v>3.115609968636404E-5</v>
      </c>
      <c r="BH325" s="137">
        <f>$W325*AM325+$L325*Summary_LCIA!AD$32</f>
        <v>0.10596624903956925</v>
      </c>
      <c r="BI325" s="137">
        <f>$W325*AN325+$L325*Summary_LCIA!AE$32</f>
        <v>0.30853051305683643</v>
      </c>
      <c r="BJ325" s="137">
        <f>$W325*AO325+$L325*Summary_LCIA!AF$32</f>
        <v>2.2078273736853379E-2</v>
      </c>
      <c r="BK325" s="137">
        <f>$W325*AP325+$L325*Summary_LCIA!AG$32</f>
        <v>5.4648419018533748E-3</v>
      </c>
      <c r="BL325" s="137">
        <f>$W325*AQ325+$L325*Summary_LCIA!AH$32</f>
        <v>0.80361335283389157</v>
      </c>
      <c r="BM325" s="137">
        <f>$W325*AR325+$L325*Summary_LCIA!AI$32</f>
        <v>0.27270648798817881</v>
      </c>
    </row>
    <row r="326" spans="1:65" x14ac:dyDescent="0.25">
      <c r="A326" s="149">
        <v>327</v>
      </c>
      <c r="B326" s="149">
        <v>29</v>
      </c>
      <c r="C326" s="61">
        <v>37.827178000000004</v>
      </c>
      <c r="D326" s="61">
        <v>-122.291308</v>
      </c>
      <c r="E326" s="61" t="s">
        <v>265</v>
      </c>
      <c r="F326" s="149">
        <v>99</v>
      </c>
      <c r="G326" s="61" t="s">
        <v>623</v>
      </c>
      <c r="H326" s="61" t="s">
        <v>624</v>
      </c>
      <c r="I326" s="61">
        <v>37.712569000000002</v>
      </c>
      <c r="J326" s="61">
        <v>-122.21974299999999</v>
      </c>
      <c r="K326" s="61">
        <v>31.383945929999999</v>
      </c>
      <c r="L326" s="61">
        <v>20.917000000000002</v>
      </c>
      <c r="M326" s="61" t="s">
        <v>617</v>
      </c>
      <c r="N326" s="149">
        <v>28</v>
      </c>
      <c r="O326" s="149">
        <v>29</v>
      </c>
      <c r="P326" s="61" t="s">
        <v>565</v>
      </c>
      <c r="Q326" s="61" t="s">
        <v>559</v>
      </c>
      <c r="R326" s="61">
        <v>47.450249900000003</v>
      </c>
      <c r="S326" s="61">
        <v>-122.30881650000001</v>
      </c>
      <c r="T326" s="61">
        <v>1271.547</v>
      </c>
      <c r="U326" s="61" t="s">
        <v>617</v>
      </c>
      <c r="V326" s="61" t="s">
        <v>569</v>
      </c>
      <c r="W326" s="61" cm="1">
        <f t="array" ref="W326">getDistance(I326,J326,R326,S326)*SA!$B$12</f>
        <v>1083.7067192187251</v>
      </c>
      <c r="Y326" s="137">
        <f>Transportation_LCIA!C$61*($W326^Transportation_LCIA!C$60)+Transportation_LCIA!C$62</f>
        <v>0.22745670793590661</v>
      </c>
      <c r="Z326" s="137">
        <f>Transportation_LCIA!D$61*($W326^Transportation_LCIA!D$60)+Transportation_LCIA!D$62</f>
        <v>2.3271050405397338</v>
      </c>
      <c r="AA326" s="137">
        <f>Transportation_LCIA!E$61*($W326^Transportation_LCIA!E$60)+Transportation_LCIA!E$62</f>
        <v>1.0796071266874865E-3</v>
      </c>
      <c r="AB326" s="137">
        <f>Transportation_LCIA!F$61*($W326^Transportation_LCIA!F$60)+Transportation_LCIA!F$62</f>
        <v>0.22745670793590661</v>
      </c>
      <c r="AC326" s="137">
        <f>Transportation_LCIA!G$61*($W326^Transportation_LCIA!G$60)+Transportation_LCIA!G$62</f>
        <v>5.4411330360243829E-2</v>
      </c>
      <c r="AD326" s="137">
        <f>Transportation_LCIA!H$61*($W326^Transportation_LCIA!H$60)+Transportation_LCIA!H$62</f>
        <v>2.6257910570795154E-4</v>
      </c>
      <c r="AE326" s="137">
        <f>Transportation_LCIA!I$61*($W326^Transportation_LCIA!I$60)+Transportation_LCIA!I$62</f>
        <v>5.5627834005164701E-6</v>
      </c>
      <c r="AF326" s="137">
        <f>Transportation_LCIA!J$61*($W326^Transportation_LCIA!J$60)+Transportation_LCIA!J$62</f>
        <v>8.2304885314531239E-3</v>
      </c>
      <c r="AG326" s="137">
        <f>Transportation_LCIA!K$61*($W326^Transportation_LCIA!K$60)+Transportation_LCIA!K$62</f>
        <v>1.1526128098589581E-2</v>
      </c>
      <c r="AH326" s="137">
        <f>Transportation_LCIA!L$61*($W326^Transportation_LCIA!L$60)+Transportation_LCIA!L$62</f>
        <v>2.2681720311816129E-4</v>
      </c>
      <c r="AI326" s="137">
        <f>Transportation_LCIA!M$61*($W326^Transportation_LCIA!M$60)+Transportation_LCIA!M$62</f>
        <v>2.3576226353069502E-4</v>
      </c>
      <c r="AJ326" s="137">
        <f>Transportation_LCIA!N$61*($W326^Transportation_LCIA!N$60)+Transportation_LCIA!N$62</f>
        <v>9.4204492933100935E-4</v>
      </c>
      <c r="AK326" s="137">
        <f>Transportation_LCIA!O$61*($W326^Transportation_LCIA!O$60)+Transportation_LCIA!O$62</f>
        <v>5.7483163787402971E-5</v>
      </c>
      <c r="AL326" s="137">
        <f>Transportation_LCIA!P$61*($W326^Transportation_LCIA!P$60)+Transportation_LCIA!P$62</f>
        <v>2.7806040623323073E-8</v>
      </c>
      <c r="AM326" s="137">
        <f>Transportation_LCIA!Q$61*($W326^Transportation_LCIA!Q$60)+Transportation_LCIA!Q$62</f>
        <v>8.9847671545088305E-5</v>
      </c>
      <c r="AN326" s="137">
        <f>Transportation_LCIA!R$61*($W326^Transportation_LCIA!R$60)+Transportation_LCIA!R$62</f>
        <v>2.6759576802836684E-4</v>
      </c>
      <c r="AO326" s="137">
        <f>Transportation_LCIA!S$61*($W326^Transportation_LCIA!S$60)+Transportation_LCIA!S$62</f>
        <v>4.0551779544391714E-6</v>
      </c>
      <c r="AP326" s="137">
        <f>Transportation_LCIA!T$61*($W326^Transportation_LCIA!T$60)+Transportation_LCIA!T$62</f>
        <v>4.0551779544391714E-6</v>
      </c>
      <c r="AQ326" s="137">
        <f>Transportation_LCIA!U$61*($W326^Transportation_LCIA!U$60)+Transportation_LCIA!U$62</f>
        <v>5.7355015024913001E-4</v>
      </c>
      <c r="AR326" s="137">
        <f>Transportation_LCIA!V$61*($W326^Transportation_LCIA!V$60)+Transportation_LCIA!V$62</f>
        <v>2.3366216352403273E-4</v>
      </c>
      <c r="AT326" s="137">
        <f>$W326*Y326+$L326*Summary_LCIA!H$32</f>
        <v>253.60395932151309</v>
      </c>
      <c r="AU326" s="137">
        <f>$W326*Z326+$L326*Summary_LCIA!Q$32</f>
        <v>2625.5650756677342</v>
      </c>
      <c r="AV326" s="137">
        <f>$W326*AA326+$L326*Summary_LCIA!R$32</f>
        <v>1.2801180525076505</v>
      </c>
      <c r="AW326" s="137">
        <f>$W326*AB326+$L326*Summary_LCIA!S$32</f>
        <v>253.51150618151308</v>
      </c>
      <c r="AX326" s="137">
        <f>$W326*AC326+$L326*Summary_LCIA!T$32</f>
        <v>61.264702613026053</v>
      </c>
      <c r="AY326" s="137">
        <f>$W326*AD326+$L326*Summary_LCIA!U$32</f>
        <v>0.65926587918215096</v>
      </c>
      <c r="AZ326" s="137">
        <f>$W326*AE326+$L326*Summary_LCIA!V$32</f>
        <v>7.0274425856980864E-3</v>
      </c>
      <c r="BA326" s="137">
        <f>$W326*AF326+$L326*Summary_LCIA!W$32</f>
        <v>10.529438130988407</v>
      </c>
      <c r="BB326" s="137">
        <f>$W326*AG326+$L326*Summary_LCIA!X$32</f>
        <v>12.967431727017276</v>
      </c>
      <c r="BC326" s="137">
        <f>$W326*AH326+$L326*Summary_LCIA!Y$32</f>
        <v>0.57173202105354981</v>
      </c>
      <c r="BD326" s="137">
        <f>$W326*AI326+$L326*Summary_LCIA!Z$32</f>
        <v>0.25635493437942997</v>
      </c>
      <c r="BE326" s="137">
        <f>$W326*AJ326+$L326*Summary_LCIA!AA$32</f>
        <v>1.5094378717219437</v>
      </c>
      <c r="BF326" s="137">
        <f>$W326*AK326+$L326*Summary_LCIA!AB$32</f>
        <v>6.1838419147359096E-2</v>
      </c>
      <c r="BG326" s="137">
        <f>$W326*AL326+$L326*Summary_LCIA!AC$32</f>
        <v>3.115609968636404E-5</v>
      </c>
      <c r="BH326" s="137">
        <f>$W326*AM326+$L326*Summary_LCIA!AD$32</f>
        <v>0.10596624903956925</v>
      </c>
      <c r="BI326" s="137">
        <f>$W326*AN326+$L326*Summary_LCIA!AE$32</f>
        <v>0.30853051305683643</v>
      </c>
      <c r="BJ326" s="137">
        <f>$W326*AO326+$L326*Summary_LCIA!AF$32</f>
        <v>2.2078273736853379E-2</v>
      </c>
      <c r="BK326" s="137">
        <f>$W326*AP326+$L326*Summary_LCIA!AG$32</f>
        <v>5.4648419018533748E-3</v>
      </c>
      <c r="BL326" s="137">
        <f>$W326*AQ326+$L326*Summary_LCIA!AH$32</f>
        <v>0.80361335283389157</v>
      </c>
      <c r="BM326" s="137">
        <f>$W326*AR326+$L326*Summary_LCIA!AI$32</f>
        <v>0.27270648798817881</v>
      </c>
    </row>
    <row r="327" spans="1:65" x14ac:dyDescent="0.25">
      <c r="A327" s="149">
        <v>4</v>
      </c>
      <c r="B327" s="149">
        <v>29</v>
      </c>
      <c r="C327" s="61">
        <v>37.875985</v>
      </c>
      <c r="D327" s="61">
        <v>-122.25001399999999</v>
      </c>
      <c r="E327" s="61" t="s">
        <v>265</v>
      </c>
      <c r="F327" s="149">
        <v>99</v>
      </c>
      <c r="G327" s="61" t="s">
        <v>623</v>
      </c>
      <c r="H327" s="61" t="s">
        <v>624</v>
      </c>
      <c r="I327" s="61">
        <v>37.712569000000002</v>
      </c>
      <c r="J327" s="61">
        <v>-122.21974299999999</v>
      </c>
      <c r="K327" s="61">
        <v>39.814875569999998</v>
      </c>
      <c r="L327" s="61">
        <v>26.879000000000001</v>
      </c>
      <c r="M327" s="61" t="s">
        <v>617</v>
      </c>
      <c r="N327" s="149">
        <v>28</v>
      </c>
      <c r="O327" s="149">
        <v>29</v>
      </c>
      <c r="P327" s="61" t="s">
        <v>565</v>
      </c>
      <c r="Q327" s="61" t="s">
        <v>559</v>
      </c>
      <c r="R327" s="61">
        <v>47.450249900000003</v>
      </c>
      <c r="S327" s="61">
        <v>-122.30881650000001</v>
      </c>
      <c r="T327" s="61">
        <v>1272.7180000000001</v>
      </c>
      <c r="U327" s="61" t="s">
        <v>617</v>
      </c>
      <c r="V327" s="61" t="s">
        <v>569</v>
      </c>
      <c r="W327" s="61" cm="1">
        <f t="array" ref="W327">getDistance(I327,J327,R327,S327)*SA!$B$12</f>
        <v>1083.7067192187251</v>
      </c>
      <c r="Y327" s="137">
        <f>Transportation_LCIA!C$61*($W327^Transportation_LCIA!C$60)+Transportation_LCIA!C$62</f>
        <v>0.22745670793590661</v>
      </c>
      <c r="Z327" s="137">
        <f>Transportation_LCIA!D$61*($W327^Transportation_LCIA!D$60)+Transportation_LCIA!D$62</f>
        <v>2.3271050405397338</v>
      </c>
      <c r="AA327" s="137">
        <f>Transportation_LCIA!E$61*($W327^Transportation_LCIA!E$60)+Transportation_LCIA!E$62</f>
        <v>1.0796071266874865E-3</v>
      </c>
      <c r="AB327" s="137">
        <f>Transportation_LCIA!F$61*($W327^Transportation_LCIA!F$60)+Transportation_LCIA!F$62</f>
        <v>0.22745670793590661</v>
      </c>
      <c r="AC327" s="137">
        <f>Transportation_LCIA!G$61*($W327^Transportation_LCIA!G$60)+Transportation_LCIA!G$62</f>
        <v>5.4411330360243829E-2</v>
      </c>
      <c r="AD327" s="137">
        <f>Transportation_LCIA!H$61*($W327^Transportation_LCIA!H$60)+Transportation_LCIA!H$62</f>
        <v>2.6257910570795154E-4</v>
      </c>
      <c r="AE327" s="137">
        <f>Transportation_LCIA!I$61*($W327^Transportation_LCIA!I$60)+Transportation_LCIA!I$62</f>
        <v>5.5627834005164701E-6</v>
      </c>
      <c r="AF327" s="137">
        <f>Transportation_LCIA!J$61*($W327^Transportation_LCIA!J$60)+Transportation_LCIA!J$62</f>
        <v>8.2304885314531239E-3</v>
      </c>
      <c r="AG327" s="137">
        <f>Transportation_LCIA!K$61*($W327^Transportation_LCIA!K$60)+Transportation_LCIA!K$62</f>
        <v>1.1526128098589581E-2</v>
      </c>
      <c r="AH327" s="137">
        <f>Transportation_LCIA!L$61*($W327^Transportation_LCIA!L$60)+Transportation_LCIA!L$62</f>
        <v>2.2681720311816129E-4</v>
      </c>
      <c r="AI327" s="137">
        <f>Transportation_LCIA!M$61*($W327^Transportation_LCIA!M$60)+Transportation_LCIA!M$62</f>
        <v>2.3576226353069502E-4</v>
      </c>
      <c r="AJ327" s="137">
        <f>Transportation_LCIA!N$61*($W327^Transportation_LCIA!N$60)+Transportation_LCIA!N$62</f>
        <v>9.4204492933100935E-4</v>
      </c>
      <c r="AK327" s="137">
        <f>Transportation_LCIA!O$61*($W327^Transportation_LCIA!O$60)+Transportation_LCIA!O$62</f>
        <v>5.7483163787402971E-5</v>
      </c>
      <c r="AL327" s="137">
        <f>Transportation_LCIA!P$61*($W327^Transportation_LCIA!P$60)+Transportation_LCIA!P$62</f>
        <v>2.7806040623323073E-8</v>
      </c>
      <c r="AM327" s="137">
        <f>Transportation_LCIA!Q$61*($W327^Transportation_LCIA!Q$60)+Transportation_LCIA!Q$62</f>
        <v>8.9847671545088305E-5</v>
      </c>
      <c r="AN327" s="137">
        <f>Transportation_LCIA!R$61*($W327^Transportation_LCIA!R$60)+Transportation_LCIA!R$62</f>
        <v>2.6759576802836684E-4</v>
      </c>
      <c r="AO327" s="137">
        <f>Transportation_LCIA!S$61*($W327^Transportation_LCIA!S$60)+Transportation_LCIA!S$62</f>
        <v>4.0551779544391714E-6</v>
      </c>
      <c r="AP327" s="137">
        <f>Transportation_LCIA!T$61*($W327^Transportation_LCIA!T$60)+Transportation_LCIA!T$62</f>
        <v>4.0551779544391714E-6</v>
      </c>
      <c r="AQ327" s="137">
        <f>Transportation_LCIA!U$61*($W327^Transportation_LCIA!U$60)+Transportation_LCIA!U$62</f>
        <v>5.7355015024913001E-4</v>
      </c>
      <c r="AR327" s="137">
        <f>Transportation_LCIA!V$61*($W327^Transportation_LCIA!V$60)+Transportation_LCIA!V$62</f>
        <v>2.3366216352403273E-4</v>
      </c>
      <c r="AT327" s="137">
        <f>$W327*Y327+$L327*Summary_LCIA!H$32</f>
        <v>255.62984692151309</v>
      </c>
      <c r="AU327" s="137">
        <f>$W327*Z327+$L327*Summary_LCIA!Q$32</f>
        <v>2655.1130483492802</v>
      </c>
      <c r="AV327" s="137">
        <f>$W327*AA327+$L327*Summary_LCIA!R$32</f>
        <v>1.3115115597076503</v>
      </c>
      <c r="AW327" s="137">
        <f>$W327*AB327+$L327*Summary_LCIA!S$32</f>
        <v>255.51104174151308</v>
      </c>
      <c r="AX327" s="137">
        <f>$W327*AC327+$L327*Summary_LCIA!T$32</f>
        <v>61.919926413026047</v>
      </c>
      <c r="AY327" s="137">
        <f>$W327*AD327+$L327*Summary_LCIA!U$32</f>
        <v>0.76606914718215102</v>
      </c>
      <c r="AZ327" s="137">
        <f>$W327*AE327+$L327*Summary_LCIA!V$32</f>
        <v>7.3121936676980867E-3</v>
      </c>
      <c r="BA327" s="137">
        <f>$W327*AF327+$L327*Summary_LCIA!W$32</f>
        <v>10.988339232988407</v>
      </c>
      <c r="BB327" s="137">
        <f>$W327*AG327+$L327*Summary_LCIA!X$32</f>
        <v>13.103246087017277</v>
      </c>
      <c r="BC327" s="137">
        <f>$W327*AH327+$L327*Summary_LCIA!Y$32</f>
        <v>0.66463190505354974</v>
      </c>
      <c r="BD327" s="137">
        <f>$W327*AI327+$L327*Summary_LCIA!Z$32</f>
        <v>0.25659943003742997</v>
      </c>
      <c r="BE327" s="137">
        <f>$W327*AJ327+$L327*Summary_LCIA!AA$32</f>
        <v>1.6486863437219439</v>
      </c>
      <c r="BF327" s="137">
        <f>$W327*AK327+$L327*Summary_LCIA!AB$32</f>
        <v>6.1708310421359096E-2</v>
      </c>
      <c r="BG327" s="137">
        <f>$W327*AL327+$L327*Summary_LCIA!AC$32</f>
        <v>3.1447546094364037E-5</v>
      </c>
      <c r="BH327" s="137">
        <f>$W327*AM327+$L327*Summary_LCIA!AD$32</f>
        <v>0.10841686951956925</v>
      </c>
      <c r="BI327" s="137">
        <f>$W327*AN327+$L327*Summary_LCIA!AE$32</f>
        <v>0.31381362011683644</v>
      </c>
      <c r="BJ327" s="137">
        <f>$W327*AO327+$L327*Summary_LCIA!AF$32</f>
        <v>2.7118667776853379E-2</v>
      </c>
      <c r="BK327" s="137">
        <f>$W327*AP327+$L327*Summary_LCIA!AG$32</f>
        <v>5.7698876318533748E-3</v>
      </c>
      <c r="BL327" s="137">
        <f>$W327*AQ327+$L327*Summary_LCIA!AH$32</f>
        <v>0.8555042160338916</v>
      </c>
      <c r="BM327" s="137">
        <f>$W327*AR327+$L327*Summary_LCIA!AI$32</f>
        <v>0.27826038908817879</v>
      </c>
    </row>
    <row r="328" spans="1:65" x14ac:dyDescent="0.25">
      <c r="A328" s="149">
        <v>5</v>
      </c>
      <c r="B328" s="149">
        <v>29</v>
      </c>
      <c r="C328" s="61">
        <v>37.875985</v>
      </c>
      <c r="D328" s="61">
        <v>-122.25001399999999</v>
      </c>
      <c r="E328" s="61" t="s">
        <v>265</v>
      </c>
      <c r="F328" s="149">
        <v>99</v>
      </c>
      <c r="G328" s="61" t="s">
        <v>623</v>
      </c>
      <c r="H328" s="61" t="s">
        <v>624</v>
      </c>
      <c r="I328" s="61">
        <v>37.712569000000002</v>
      </c>
      <c r="J328" s="61">
        <v>-122.21974299999999</v>
      </c>
      <c r="K328" s="61">
        <v>39.814875569999998</v>
      </c>
      <c r="L328" s="61">
        <v>26.879000000000001</v>
      </c>
      <c r="M328" s="61" t="s">
        <v>617</v>
      </c>
      <c r="N328" s="149">
        <v>28</v>
      </c>
      <c r="O328" s="149">
        <v>29</v>
      </c>
      <c r="P328" s="61" t="s">
        <v>565</v>
      </c>
      <c r="Q328" s="61" t="s">
        <v>559</v>
      </c>
      <c r="R328" s="61">
        <v>47.450249900000003</v>
      </c>
      <c r="S328" s="61">
        <v>-122.30881650000001</v>
      </c>
      <c r="T328" s="61">
        <v>1272.7180000000001</v>
      </c>
      <c r="U328" s="61" t="s">
        <v>617</v>
      </c>
      <c r="V328" s="61" t="s">
        <v>569</v>
      </c>
      <c r="W328" s="61" cm="1">
        <f t="array" ref="W328">getDistance(I328,J328,R328,S328)*SA!$B$12</f>
        <v>1083.7067192187251</v>
      </c>
      <c r="Y328" s="137">
        <f>Transportation_LCIA!C$61*($W328^Transportation_LCIA!C$60)+Transportation_LCIA!C$62</f>
        <v>0.22745670793590661</v>
      </c>
      <c r="Z328" s="137">
        <f>Transportation_LCIA!D$61*($W328^Transportation_LCIA!D$60)+Transportation_LCIA!D$62</f>
        <v>2.3271050405397338</v>
      </c>
      <c r="AA328" s="137">
        <f>Transportation_LCIA!E$61*($W328^Transportation_LCIA!E$60)+Transportation_LCIA!E$62</f>
        <v>1.0796071266874865E-3</v>
      </c>
      <c r="AB328" s="137">
        <f>Transportation_LCIA!F$61*($W328^Transportation_LCIA!F$60)+Transportation_LCIA!F$62</f>
        <v>0.22745670793590661</v>
      </c>
      <c r="AC328" s="137">
        <f>Transportation_LCIA!G$61*($W328^Transportation_LCIA!G$60)+Transportation_LCIA!G$62</f>
        <v>5.4411330360243829E-2</v>
      </c>
      <c r="AD328" s="137">
        <f>Transportation_LCIA!H$61*($W328^Transportation_LCIA!H$60)+Transportation_LCIA!H$62</f>
        <v>2.6257910570795154E-4</v>
      </c>
      <c r="AE328" s="137">
        <f>Transportation_LCIA!I$61*($W328^Transportation_LCIA!I$60)+Transportation_LCIA!I$62</f>
        <v>5.5627834005164701E-6</v>
      </c>
      <c r="AF328" s="137">
        <f>Transportation_LCIA!J$61*($W328^Transportation_LCIA!J$60)+Transportation_LCIA!J$62</f>
        <v>8.2304885314531239E-3</v>
      </c>
      <c r="AG328" s="137">
        <f>Transportation_LCIA!K$61*($W328^Transportation_LCIA!K$60)+Transportation_LCIA!K$62</f>
        <v>1.1526128098589581E-2</v>
      </c>
      <c r="AH328" s="137">
        <f>Transportation_LCIA!L$61*($W328^Transportation_LCIA!L$60)+Transportation_LCIA!L$62</f>
        <v>2.2681720311816129E-4</v>
      </c>
      <c r="AI328" s="137">
        <f>Transportation_LCIA!M$61*($W328^Transportation_LCIA!M$60)+Transportation_LCIA!M$62</f>
        <v>2.3576226353069502E-4</v>
      </c>
      <c r="AJ328" s="137">
        <f>Transportation_LCIA!N$61*($W328^Transportation_LCIA!N$60)+Transportation_LCIA!N$62</f>
        <v>9.4204492933100935E-4</v>
      </c>
      <c r="AK328" s="137">
        <f>Transportation_LCIA!O$61*($W328^Transportation_LCIA!O$60)+Transportation_LCIA!O$62</f>
        <v>5.7483163787402971E-5</v>
      </c>
      <c r="AL328" s="137">
        <f>Transportation_LCIA!P$61*($W328^Transportation_LCIA!P$60)+Transportation_LCIA!P$62</f>
        <v>2.7806040623323073E-8</v>
      </c>
      <c r="AM328" s="137">
        <f>Transportation_LCIA!Q$61*($W328^Transportation_LCIA!Q$60)+Transportation_LCIA!Q$62</f>
        <v>8.9847671545088305E-5</v>
      </c>
      <c r="AN328" s="137">
        <f>Transportation_LCIA!R$61*($W328^Transportation_LCIA!R$60)+Transportation_LCIA!R$62</f>
        <v>2.6759576802836684E-4</v>
      </c>
      <c r="AO328" s="137">
        <f>Transportation_LCIA!S$61*($W328^Transportation_LCIA!S$60)+Transportation_LCIA!S$62</f>
        <v>4.0551779544391714E-6</v>
      </c>
      <c r="AP328" s="137">
        <f>Transportation_LCIA!T$61*($W328^Transportation_LCIA!T$60)+Transportation_LCIA!T$62</f>
        <v>4.0551779544391714E-6</v>
      </c>
      <c r="AQ328" s="137">
        <f>Transportation_LCIA!U$61*($W328^Transportation_LCIA!U$60)+Transportation_LCIA!U$62</f>
        <v>5.7355015024913001E-4</v>
      </c>
      <c r="AR328" s="137">
        <f>Transportation_LCIA!V$61*($W328^Transportation_LCIA!V$60)+Transportation_LCIA!V$62</f>
        <v>2.3366216352403273E-4</v>
      </c>
      <c r="AT328" s="137">
        <f>$W328*Y328+$L328*Summary_LCIA!H$32</f>
        <v>255.62984692151309</v>
      </c>
      <c r="AU328" s="137">
        <f>$W328*Z328+$L328*Summary_LCIA!Q$32</f>
        <v>2655.1130483492802</v>
      </c>
      <c r="AV328" s="137">
        <f>$W328*AA328+$L328*Summary_LCIA!R$32</f>
        <v>1.3115115597076503</v>
      </c>
      <c r="AW328" s="137">
        <f>$W328*AB328+$L328*Summary_LCIA!S$32</f>
        <v>255.51104174151308</v>
      </c>
      <c r="AX328" s="137">
        <f>$W328*AC328+$L328*Summary_LCIA!T$32</f>
        <v>61.919926413026047</v>
      </c>
      <c r="AY328" s="137">
        <f>$W328*AD328+$L328*Summary_LCIA!U$32</f>
        <v>0.76606914718215102</v>
      </c>
      <c r="AZ328" s="137">
        <f>$W328*AE328+$L328*Summary_LCIA!V$32</f>
        <v>7.3121936676980867E-3</v>
      </c>
      <c r="BA328" s="137">
        <f>$W328*AF328+$L328*Summary_LCIA!W$32</f>
        <v>10.988339232988407</v>
      </c>
      <c r="BB328" s="137">
        <f>$W328*AG328+$L328*Summary_LCIA!X$32</f>
        <v>13.103246087017277</v>
      </c>
      <c r="BC328" s="137">
        <f>$W328*AH328+$L328*Summary_LCIA!Y$32</f>
        <v>0.66463190505354974</v>
      </c>
      <c r="BD328" s="137">
        <f>$W328*AI328+$L328*Summary_LCIA!Z$32</f>
        <v>0.25659943003742997</v>
      </c>
      <c r="BE328" s="137">
        <f>$W328*AJ328+$L328*Summary_LCIA!AA$32</f>
        <v>1.6486863437219439</v>
      </c>
      <c r="BF328" s="137">
        <f>$W328*AK328+$L328*Summary_LCIA!AB$32</f>
        <v>6.1708310421359096E-2</v>
      </c>
      <c r="BG328" s="137">
        <f>$W328*AL328+$L328*Summary_LCIA!AC$32</f>
        <v>3.1447546094364037E-5</v>
      </c>
      <c r="BH328" s="137">
        <f>$W328*AM328+$L328*Summary_LCIA!AD$32</f>
        <v>0.10841686951956925</v>
      </c>
      <c r="BI328" s="137">
        <f>$W328*AN328+$L328*Summary_LCIA!AE$32</f>
        <v>0.31381362011683644</v>
      </c>
      <c r="BJ328" s="137">
        <f>$W328*AO328+$L328*Summary_LCIA!AF$32</f>
        <v>2.7118667776853379E-2</v>
      </c>
      <c r="BK328" s="137">
        <f>$W328*AP328+$L328*Summary_LCIA!AG$32</f>
        <v>5.7698876318533748E-3</v>
      </c>
      <c r="BL328" s="137">
        <f>$W328*AQ328+$L328*Summary_LCIA!AH$32</f>
        <v>0.8555042160338916</v>
      </c>
      <c r="BM328" s="137">
        <f>$W328*AR328+$L328*Summary_LCIA!AI$32</f>
        <v>0.27826038908817879</v>
      </c>
    </row>
    <row r="329" spans="1:65" x14ac:dyDescent="0.25">
      <c r="A329" s="149">
        <v>6</v>
      </c>
      <c r="B329" s="149">
        <v>29</v>
      </c>
      <c r="C329" s="61">
        <v>37.875985</v>
      </c>
      <c r="D329" s="61">
        <v>-122.25001399999999</v>
      </c>
      <c r="E329" s="61" t="s">
        <v>265</v>
      </c>
      <c r="F329" s="149">
        <v>99</v>
      </c>
      <c r="G329" s="61" t="s">
        <v>623</v>
      </c>
      <c r="H329" s="61" t="s">
        <v>624</v>
      </c>
      <c r="I329" s="61">
        <v>37.712569000000002</v>
      </c>
      <c r="J329" s="61">
        <v>-122.21974299999999</v>
      </c>
      <c r="K329" s="61">
        <v>39.814875569999998</v>
      </c>
      <c r="L329" s="61">
        <v>26.879000000000001</v>
      </c>
      <c r="M329" s="61" t="s">
        <v>617</v>
      </c>
      <c r="N329" s="149">
        <v>28</v>
      </c>
      <c r="O329" s="149">
        <v>29</v>
      </c>
      <c r="P329" s="61" t="s">
        <v>565</v>
      </c>
      <c r="Q329" s="61" t="s">
        <v>559</v>
      </c>
      <c r="R329" s="61">
        <v>47.450249900000003</v>
      </c>
      <c r="S329" s="61">
        <v>-122.30881650000001</v>
      </c>
      <c r="T329" s="61">
        <v>1272.7180000000001</v>
      </c>
      <c r="U329" s="61" t="s">
        <v>617</v>
      </c>
      <c r="V329" s="61" t="s">
        <v>569</v>
      </c>
      <c r="W329" s="61" cm="1">
        <f t="array" ref="W329">getDistance(I329,J329,R329,S329)*SA!$B$12</f>
        <v>1083.7067192187251</v>
      </c>
      <c r="Y329" s="137">
        <f>Transportation_LCIA!C$61*($W329^Transportation_LCIA!C$60)+Transportation_LCIA!C$62</f>
        <v>0.22745670793590661</v>
      </c>
      <c r="Z329" s="137">
        <f>Transportation_LCIA!D$61*($W329^Transportation_LCIA!D$60)+Transportation_LCIA!D$62</f>
        <v>2.3271050405397338</v>
      </c>
      <c r="AA329" s="137">
        <f>Transportation_LCIA!E$61*($W329^Transportation_LCIA!E$60)+Transportation_LCIA!E$62</f>
        <v>1.0796071266874865E-3</v>
      </c>
      <c r="AB329" s="137">
        <f>Transportation_LCIA!F$61*($W329^Transportation_LCIA!F$60)+Transportation_LCIA!F$62</f>
        <v>0.22745670793590661</v>
      </c>
      <c r="AC329" s="137">
        <f>Transportation_LCIA!G$61*($W329^Transportation_LCIA!G$60)+Transportation_LCIA!G$62</f>
        <v>5.4411330360243829E-2</v>
      </c>
      <c r="AD329" s="137">
        <f>Transportation_LCIA!H$61*($W329^Transportation_LCIA!H$60)+Transportation_LCIA!H$62</f>
        <v>2.6257910570795154E-4</v>
      </c>
      <c r="AE329" s="137">
        <f>Transportation_LCIA!I$61*($W329^Transportation_LCIA!I$60)+Transportation_LCIA!I$62</f>
        <v>5.5627834005164701E-6</v>
      </c>
      <c r="AF329" s="137">
        <f>Transportation_LCIA!J$61*($W329^Transportation_LCIA!J$60)+Transportation_LCIA!J$62</f>
        <v>8.2304885314531239E-3</v>
      </c>
      <c r="AG329" s="137">
        <f>Transportation_LCIA!K$61*($W329^Transportation_LCIA!K$60)+Transportation_LCIA!K$62</f>
        <v>1.1526128098589581E-2</v>
      </c>
      <c r="AH329" s="137">
        <f>Transportation_LCIA!L$61*($W329^Transportation_LCIA!L$60)+Transportation_LCIA!L$62</f>
        <v>2.2681720311816129E-4</v>
      </c>
      <c r="AI329" s="137">
        <f>Transportation_LCIA!M$61*($W329^Transportation_LCIA!M$60)+Transportation_LCIA!M$62</f>
        <v>2.3576226353069502E-4</v>
      </c>
      <c r="AJ329" s="137">
        <f>Transportation_LCIA!N$61*($W329^Transportation_LCIA!N$60)+Transportation_LCIA!N$62</f>
        <v>9.4204492933100935E-4</v>
      </c>
      <c r="AK329" s="137">
        <f>Transportation_LCIA!O$61*($W329^Transportation_LCIA!O$60)+Transportation_LCIA!O$62</f>
        <v>5.7483163787402971E-5</v>
      </c>
      <c r="AL329" s="137">
        <f>Transportation_LCIA!P$61*($W329^Transportation_LCIA!P$60)+Transportation_LCIA!P$62</f>
        <v>2.7806040623323073E-8</v>
      </c>
      <c r="AM329" s="137">
        <f>Transportation_LCIA!Q$61*($W329^Transportation_LCIA!Q$60)+Transportation_LCIA!Q$62</f>
        <v>8.9847671545088305E-5</v>
      </c>
      <c r="AN329" s="137">
        <f>Transportation_LCIA!R$61*($W329^Transportation_LCIA!R$60)+Transportation_LCIA!R$62</f>
        <v>2.6759576802836684E-4</v>
      </c>
      <c r="AO329" s="137">
        <f>Transportation_LCIA!S$61*($W329^Transportation_LCIA!S$60)+Transportation_LCIA!S$62</f>
        <v>4.0551779544391714E-6</v>
      </c>
      <c r="AP329" s="137">
        <f>Transportation_LCIA!T$61*($W329^Transportation_LCIA!T$60)+Transportation_LCIA!T$62</f>
        <v>4.0551779544391714E-6</v>
      </c>
      <c r="AQ329" s="137">
        <f>Transportation_LCIA!U$61*($W329^Transportation_LCIA!U$60)+Transportation_LCIA!U$62</f>
        <v>5.7355015024913001E-4</v>
      </c>
      <c r="AR329" s="137">
        <f>Transportation_LCIA!V$61*($W329^Transportation_LCIA!V$60)+Transportation_LCIA!V$62</f>
        <v>2.3366216352403273E-4</v>
      </c>
      <c r="AT329" s="137">
        <f>$W329*Y329+$L329*Summary_LCIA!H$32</f>
        <v>255.62984692151309</v>
      </c>
      <c r="AU329" s="137">
        <f>$W329*Z329+$L329*Summary_LCIA!Q$32</f>
        <v>2655.1130483492802</v>
      </c>
      <c r="AV329" s="137">
        <f>$W329*AA329+$L329*Summary_LCIA!R$32</f>
        <v>1.3115115597076503</v>
      </c>
      <c r="AW329" s="137">
        <f>$W329*AB329+$L329*Summary_LCIA!S$32</f>
        <v>255.51104174151308</v>
      </c>
      <c r="AX329" s="137">
        <f>$W329*AC329+$L329*Summary_LCIA!T$32</f>
        <v>61.919926413026047</v>
      </c>
      <c r="AY329" s="137">
        <f>$W329*AD329+$L329*Summary_LCIA!U$32</f>
        <v>0.76606914718215102</v>
      </c>
      <c r="AZ329" s="137">
        <f>$W329*AE329+$L329*Summary_LCIA!V$32</f>
        <v>7.3121936676980867E-3</v>
      </c>
      <c r="BA329" s="137">
        <f>$W329*AF329+$L329*Summary_LCIA!W$32</f>
        <v>10.988339232988407</v>
      </c>
      <c r="BB329" s="137">
        <f>$W329*AG329+$L329*Summary_LCIA!X$32</f>
        <v>13.103246087017277</v>
      </c>
      <c r="BC329" s="137">
        <f>$W329*AH329+$L329*Summary_LCIA!Y$32</f>
        <v>0.66463190505354974</v>
      </c>
      <c r="BD329" s="137">
        <f>$W329*AI329+$L329*Summary_LCIA!Z$32</f>
        <v>0.25659943003742997</v>
      </c>
      <c r="BE329" s="137">
        <f>$W329*AJ329+$L329*Summary_LCIA!AA$32</f>
        <v>1.6486863437219439</v>
      </c>
      <c r="BF329" s="137">
        <f>$W329*AK329+$L329*Summary_LCIA!AB$32</f>
        <v>6.1708310421359096E-2</v>
      </c>
      <c r="BG329" s="137">
        <f>$W329*AL329+$L329*Summary_LCIA!AC$32</f>
        <v>3.1447546094364037E-5</v>
      </c>
      <c r="BH329" s="137">
        <f>$W329*AM329+$L329*Summary_LCIA!AD$32</f>
        <v>0.10841686951956925</v>
      </c>
      <c r="BI329" s="137">
        <f>$W329*AN329+$L329*Summary_LCIA!AE$32</f>
        <v>0.31381362011683644</v>
      </c>
      <c r="BJ329" s="137">
        <f>$W329*AO329+$L329*Summary_LCIA!AF$32</f>
        <v>2.7118667776853379E-2</v>
      </c>
      <c r="BK329" s="137">
        <f>$W329*AP329+$L329*Summary_LCIA!AG$32</f>
        <v>5.7698876318533748E-3</v>
      </c>
      <c r="BL329" s="137">
        <f>$W329*AQ329+$L329*Summary_LCIA!AH$32</f>
        <v>0.8555042160338916</v>
      </c>
      <c r="BM329" s="137">
        <f>$W329*AR329+$L329*Summary_LCIA!AI$32</f>
        <v>0.27826038908817879</v>
      </c>
    </row>
    <row r="330" spans="1:65" x14ac:dyDescent="0.25">
      <c r="A330" s="149">
        <v>7</v>
      </c>
      <c r="B330" s="149">
        <v>29</v>
      </c>
      <c r="C330" s="61">
        <v>37.875985</v>
      </c>
      <c r="D330" s="61">
        <v>-122.25001399999999</v>
      </c>
      <c r="E330" s="61" t="s">
        <v>265</v>
      </c>
      <c r="F330" s="149">
        <v>99</v>
      </c>
      <c r="G330" s="61" t="s">
        <v>623</v>
      </c>
      <c r="H330" s="61" t="s">
        <v>624</v>
      </c>
      <c r="I330" s="61">
        <v>37.712569000000002</v>
      </c>
      <c r="J330" s="61">
        <v>-122.21974299999999</v>
      </c>
      <c r="K330" s="61">
        <v>39.814875569999998</v>
      </c>
      <c r="L330" s="61">
        <v>26.879000000000001</v>
      </c>
      <c r="M330" s="61" t="s">
        <v>617</v>
      </c>
      <c r="N330" s="149">
        <v>28</v>
      </c>
      <c r="O330" s="149">
        <v>29</v>
      </c>
      <c r="P330" s="61" t="s">
        <v>565</v>
      </c>
      <c r="Q330" s="61" t="s">
        <v>559</v>
      </c>
      <c r="R330" s="61">
        <v>47.450249900000003</v>
      </c>
      <c r="S330" s="61">
        <v>-122.30881650000001</v>
      </c>
      <c r="T330" s="61">
        <v>1272.7180000000001</v>
      </c>
      <c r="U330" s="61" t="s">
        <v>617</v>
      </c>
      <c r="V330" s="61" t="s">
        <v>569</v>
      </c>
      <c r="W330" s="61" cm="1">
        <f t="array" ref="W330">getDistance(I330,J330,R330,S330)*SA!$B$12</f>
        <v>1083.7067192187251</v>
      </c>
      <c r="Y330" s="137">
        <f>Transportation_LCIA!C$61*($W330^Transportation_LCIA!C$60)+Transportation_LCIA!C$62</f>
        <v>0.22745670793590661</v>
      </c>
      <c r="Z330" s="137">
        <f>Transportation_LCIA!D$61*($W330^Transportation_LCIA!D$60)+Transportation_LCIA!D$62</f>
        <v>2.3271050405397338</v>
      </c>
      <c r="AA330" s="137">
        <f>Transportation_LCIA!E$61*($W330^Transportation_LCIA!E$60)+Transportation_LCIA!E$62</f>
        <v>1.0796071266874865E-3</v>
      </c>
      <c r="AB330" s="137">
        <f>Transportation_LCIA!F$61*($W330^Transportation_LCIA!F$60)+Transportation_LCIA!F$62</f>
        <v>0.22745670793590661</v>
      </c>
      <c r="AC330" s="137">
        <f>Transportation_LCIA!G$61*($W330^Transportation_LCIA!G$60)+Transportation_LCIA!G$62</f>
        <v>5.4411330360243829E-2</v>
      </c>
      <c r="AD330" s="137">
        <f>Transportation_LCIA!H$61*($W330^Transportation_LCIA!H$60)+Transportation_LCIA!H$62</f>
        <v>2.6257910570795154E-4</v>
      </c>
      <c r="AE330" s="137">
        <f>Transportation_LCIA!I$61*($W330^Transportation_LCIA!I$60)+Transportation_LCIA!I$62</f>
        <v>5.5627834005164701E-6</v>
      </c>
      <c r="AF330" s="137">
        <f>Transportation_LCIA!J$61*($W330^Transportation_LCIA!J$60)+Transportation_LCIA!J$62</f>
        <v>8.2304885314531239E-3</v>
      </c>
      <c r="AG330" s="137">
        <f>Transportation_LCIA!K$61*($W330^Transportation_LCIA!K$60)+Transportation_LCIA!K$62</f>
        <v>1.1526128098589581E-2</v>
      </c>
      <c r="AH330" s="137">
        <f>Transportation_LCIA!L$61*($W330^Transportation_LCIA!L$60)+Transportation_LCIA!L$62</f>
        <v>2.2681720311816129E-4</v>
      </c>
      <c r="AI330" s="137">
        <f>Transportation_LCIA!M$61*($W330^Transportation_LCIA!M$60)+Transportation_LCIA!M$62</f>
        <v>2.3576226353069502E-4</v>
      </c>
      <c r="AJ330" s="137">
        <f>Transportation_LCIA!N$61*($W330^Transportation_LCIA!N$60)+Transportation_LCIA!N$62</f>
        <v>9.4204492933100935E-4</v>
      </c>
      <c r="AK330" s="137">
        <f>Transportation_LCIA!O$61*($W330^Transportation_LCIA!O$60)+Transportation_LCIA!O$62</f>
        <v>5.7483163787402971E-5</v>
      </c>
      <c r="AL330" s="137">
        <f>Transportation_LCIA!P$61*($W330^Transportation_LCIA!P$60)+Transportation_LCIA!P$62</f>
        <v>2.7806040623323073E-8</v>
      </c>
      <c r="AM330" s="137">
        <f>Transportation_LCIA!Q$61*($W330^Transportation_LCIA!Q$60)+Transportation_LCIA!Q$62</f>
        <v>8.9847671545088305E-5</v>
      </c>
      <c r="AN330" s="137">
        <f>Transportation_LCIA!R$61*($W330^Transportation_LCIA!R$60)+Transportation_LCIA!R$62</f>
        <v>2.6759576802836684E-4</v>
      </c>
      <c r="AO330" s="137">
        <f>Transportation_LCIA!S$61*($W330^Transportation_LCIA!S$60)+Transportation_LCIA!S$62</f>
        <v>4.0551779544391714E-6</v>
      </c>
      <c r="AP330" s="137">
        <f>Transportation_LCIA!T$61*($W330^Transportation_LCIA!T$60)+Transportation_LCIA!T$62</f>
        <v>4.0551779544391714E-6</v>
      </c>
      <c r="AQ330" s="137">
        <f>Transportation_LCIA!U$61*($W330^Transportation_LCIA!U$60)+Transportation_LCIA!U$62</f>
        <v>5.7355015024913001E-4</v>
      </c>
      <c r="AR330" s="137">
        <f>Transportation_LCIA!V$61*($W330^Transportation_LCIA!V$60)+Transportation_LCIA!V$62</f>
        <v>2.3366216352403273E-4</v>
      </c>
      <c r="AT330" s="137">
        <f>$W330*Y330+$L330*Summary_LCIA!H$32</f>
        <v>255.62984692151309</v>
      </c>
      <c r="AU330" s="137">
        <f>$W330*Z330+$L330*Summary_LCIA!Q$32</f>
        <v>2655.1130483492802</v>
      </c>
      <c r="AV330" s="137">
        <f>$W330*AA330+$L330*Summary_LCIA!R$32</f>
        <v>1.3115115597076503</v>
      </c>
      <c r="AW330" s="137">
        <f>$W330*AB330+$L330*Summary_LCIA!S$32</f>
        <v>255.51104174151308</v>
      </c>
      <c r="AX330" s="137">
        <f>$W330*AC330+$L330*Summary_LCIA!T$32</f>
        <v>61.919926413026047</v>
      </c>
      <c r="AY330" s="137">
        <f>$W330*AD330+$L330*Summary_LCIA!U$32</f>
        <v>0.76606914718215102</v>
      </c>
      <c r="AZ330" s="137">
        <f>$W330*AE330+$L330*Summary_LCIA!V$32</f>
        <v>7.3121936676980867E-3</v>
      </c>
      <c r="BA330" s="137">
        <f>$W330*AF330+$L330*Summary_LCIA!W$32</f>
        <v>10.988339232988407</v>
      </c>
      <c r="BB330" s="137">
        <f>$W330*AG330+$L330*Summary_LCIA!X$32</f>
        <v>13.103246087017277</v>
      </c>
      <c r="BC330" s="137">
        <f>$W330*AH330+$L330*Summary_LCIA!Y$32</f>
        <v>0.66463190505354974</v>
      </c>
      <c r="BD330" s="137">
        <f>$W330*AI330+$L330*Summary_LCIA!Z$32</f>
        <v>0.25659943003742997</v>
      </c>
      <c r="BE330" s="137">
        <f>$W330*AJ330+$L330*Summary_LCIA!AA$32</f>
        <v>1.6486863437219439</v>
      </c>
      <c r="BF330" s="137">
        <f>$W330*AK330+$L330*Summary_LCIA!AB$32</f>
        <v>6.1708310421359096E-2</v>
      </c>
      <c r="BG330" s="137">
        <f>$W330*AL330+$L330*Summary_LCIA!AC$32</f>
        <v>3.1447546094364037E-5</v>
      </c>
      <c r="BH330" s="137">
        <f>$W330*AM330+$L330*Summary_LCIA!AD$32</f>
        <v>0.10841686951956925</v>
      </c>
      <c r="BI330" s="137">
        <f>$W330*AN330+$L330*Summary_LCIA!AE$32</f>
        <v>0.31381362011683644</v>
      </c>
      <c r="BJ330" s="137">
        <f>$W330*AO330+$L330*Summary_LCIA!AF$32</f>
        <v>2.7118667776853379E-2</v>
      </c>
      <c r="BK330" s="137">
        <f>$W330*AP330+$L330*Summary_LCIA!AG$32</f>
        <v>5.7698876318533748E-3</v>
      </c>
      <c r="BL330" s="137">
        <f>$W330*AQ330+$L330*Summary_LCIA!AH$32</f>
        <v>0.8555042160338916</v>
      </c>
      <c r="BM330" s="137">
        <f>$W330*AR330+$L330*Summary_LCIA!AI$32</f>
        <v>0.27826038908817879</v>
      </c>
    </row>
    <row r="331" spans="1:65" x14ac:dyDescent="0.25">
      <c r="A331" s="149">
        <v>8</v>
      </c>
      <c r="B331" s="149">
        <v>29</v>
      </c>
      <c r="C331" s="61">
        <v>37.875985</v>
      </c>
      <c r="D331" s="61">
        <v>-122.25001399999999</v>
      </c>
      <c r="E331" s="61" t="s">
        <v>265</v>
      </c>
      <c r="F331" s="149">
        <v>99</v>
      </c>
      <c r="G331" s="61" t="s">
        <v>623</v>
      </c>
      <c r="H331" s="61" t="s">
        <v>624</v>
      </c>
      <c r="I331" s="61">
        <v>37.712569000000002</v>
      </c>
      <c r="J331" s="61">
        <v>-122.21974299999999</v>
      </c>
      <c r="K331" s="61">
        <v>39.814875569999998</v>
      </c>
      <c r="L331" s="61">
        <v>26.879000000000001</v>
      </c>
      <c r="M331" s="61" t="s">
        <v>617</v>
      </c>
      <c r="N331" s="149">
        <v>28</v>
      </c>
      <c r="O331" s="149">
        <v>29</v>
      </c>
      <c r="P331" s="61" t="s">
        <v>565</v>
      </c>
      <c r="Q331" s="61" t="s">
        <v>559</v>
      </c>
      <c r="R331" s="61">
        <v>47.450249900000003</v>
      </c>
      <c r="S331" s="61">
        <v>-122.30881650000001</v>
      </c>
      <c r="T331" s="61">
        <v>1272.7180000000001</v>
      </c>
      <c r="U331" s="61" t="s">
        <v>617</v>
      </c>
      <c r="V331" s="61" t="s">
        <v>569</v>
      </c>
      <c r="W331" s="61" cm="1">
        <f t="array" ref="W331">getDistance(I331,J331,R331,S331)*SA!$B$12</f>
        <v>1083.7067192187251</v>
      </c>
      <c r="Y331" s="137">
        <f>Transportation_LCIA!C$61*($W331^Transportation_LCIA!C$60)+Transportation_LCIA!C$62</f>
        <v>0.22745670793590661</v>
      </c>
      <c r="Z331" s="137">
        <f>Transportation_LCIA!D$61*($W331^Transportation_LCIA!D$60)+Transportation_LCIA!D$62</f>
        <v>2.3271050405397338</v>
      </c>
      <c r="AA331" s="137">
        <f>Transportation_LCIA!E$61*($W331^Transportation_LCIA!E$60)+Transportation_LCIA!E$62</f>
        <v>1.0796071266874865E-3</v>
      </c>
      <c r="AB331" s="137">
        <f>Transportation_LCIA!F$61*($W331^Transportation_LCIA!F$60)+Transportation_LCIA!F$62</f>
        <v>0.22745670793590661</v>
      </c>
      <c r="AC331" s="137">
        <f>Transportation_LCIA!G$61*($W331^Transportation_LCIA!G$60)+Transportation_LCIA!G$62</f>
        <v>5.4411330360243829E-2</v>
      </c>
      <c r="AD331" s="137">
        <f>Transportation_LCIA!H$61*($W331^Transportation_LCIA!H$60)+Transportation_LCIA!H$62</f>
        <v>2.6257910570795154E-4</v>
      </c>
      <c r="AE331" s="137">
        <f>Transportation_LCIA!I$61*($W331^Transportation_LCIA!I$60)+Transportation_LCIA!I$62</f>
        <v>5.5627834005164701E-6</v>
      </c>
      <c r="AF331" s="137">
        <f>Transportation_LCIA!J$61*($W331^Transportation_LCIA!J$60)+Transportation_LCIA!J$62</f>
        <v>8.2304885314531239E-3</v>
      </c>
      <c r="AG331" s="137">
        <f>Transportation_LCIA!K$61*($W331^Transportation_LCIA!K$60)+Transportation_LCIA!K$62</f>
        <v>1.1526128098589581E-2</v>
      </c>
      <c r="AH331" s="137">
        <f>Transportation_LCIA!L$61*($W331^Transportation_LCIA!L$60)+Transportation_LCIA!L$62</f>
        <v>2.2681720311816129E-4</v>
      </c>
      <c r="AI331" s="137">
        <f>Transportation_LCIA!M$61*($W331^Transportation_LCIA!M$60)+Transportation_LCIA!M$62</f>
        <v>2.3576226353069502E-4</v>
      </c>
      <c r="AJ331" s="137">
        <f>Transportation_LCIA!N$61*($W331^Transportation_LCIA!N$60)+Transportation_LCIA!N$62</f>
        <v>9.4204492933100935E-4</v>
      </c>
      <c r="AK331" s="137">
        <f>Transportation_LCIA!O$61*($W331^Transportation_LCIA!O$60)+Transportation_LCIA!O$62</f>
        <v>5.7483163787402971E-5</v>
      </c>
      <c r="AL331" s="137">
        <f>Transportation_LCIA!P$61*($W331^Transportation_LCIA!P$60)+Transportation_LCIA!P$62</f>
        <v>2.7806040623323073E-8</v>
      </c>
      <c r="AM331" s="137">
        <f>Transportation_LCIA!Q$61*($W331^Transportation_LCIA!Q$60)+Transportation_LCIA!Q$62</f>
        <v>8.9847671545088305E-5</v>
      </c>
      <c r="AN331" s="137">
        <f>Transportation_LCIA!R$61*($W331^Transportation_LCIA!R$60)+Transportation_LCIA!R$62</f>
        <v>2.6759576802836684E-4</v>
      </c>
      <c r="AO331" s="137">
        <f>Transportation_LCIA!S$61*($W331^Transportation_LCIA!S$60)+Transportation_LCIA!S$62</f>
        <v>4.0551779544391714E-6</v>
      </c>
      <c r="AP331" s="137">
        <f>Transportation_LCIA!T$61*($W331^Transportation_LCIA!T$60)+Transportation_LCIA!T$62</f>
        <v>4.0551779544391714E-6</v>
      </c>
      <c r="AQ331" s="137">
        <f>Transportation_LCIA!U$61*($W331^Transportation_LCIA!U$60)+Transportation_LCIA!U$62</f>
        <v>5.7355015024913001E-4</v>
      </c>
      <c r="AR331" s="137">
        <f>Transportation_LCIA!V$61*($W331^Transportation_LCIA!V$60)+Transportation_LCIA!V$62</f>
        <v>2.3366216352403273E-4</v>
      </c>
      <c r="AT331" s="137">
        <f>$W331*Y331+$L331*Summary_LCIA!H$32</f>
        <v>255.62984692151309</v>
      </c>
      <c r="AU331" s="137">
        <f>$W331*Z331+$L331*Summary_LCIA!Q$32</f>
        <v>2655.1130483492802</v>
      </c>
      <c r="AV331" s="137">
        <f>$W331*AA331+$L331*Summary_LCIA!R$32</f>
        <v>1.3115115597076503</v>
      </c>
      <c r="AW331" s="137">
        <f>$W331*AB331+$L331*Summary_LCIA!S$32</f>
        <v>255.51104174151308</v>
      </c>
      <c r="AX331" s="137">
        <f>$W331*AC331+$L331*Summary_LCIA!T$32</f>
        <v>61.919926413026047</v>
      </c>
      <c r="AY331" s="137">
        <f>$W331*AD331+$L331*Summary_LCIA!U$32</f>
        <v>0.76606914718215102</v>
      </c>
      <c r="AZ331" s="137">
        <f>$W331*AE331+$L331*Summary_LCIA!V$32</f>
        <v>7.3121936676980867E-3</v>
      </c>
      <c r="BA331" s="137">
        <f>$W331*AF331+$L331*Summary_LCIA!W$32</f>
        <v>10.988339232988407</v>
      </c>
      <c r="BB331" s="137">
        <f>$W331*AG331+$L331*Summary_LCIA!X$32</f>
        <v>13.103246087017277</v>
      </c>
      <c r="BC331" s="137">
        <f>$W331*AH331+$L331*Summary_LCIA!Y$32</f>
        <v>0.66463190505354974</v>
      </c>
      <c r="BD331" s="137">
        <f>$W331*AI331+$L331*Summary_LCIA!Z$32</f>
        <v>0.25659943003742997</v>
      </c>
      <c r="BE331" s="137">
        <f>$W331*AJ331+$L331*Summary_LCIA!AA$32</f>
        <v>1.6486863437219439</v>
      </c>
      <c r="BF331" s="137">
        <f>$W331*AK331+$L331*Summary_LCIA!AB$32</f>
        <v>6.1708310421359096E-2</v>
      </c>
      <c r="BG331" s="137">
        <f>$W331*AL331+$L331*Summary_LCIA!AC$32</f>
        <v>3.1447546094364037E-5</v>
      </c>
      <c r="BH331" s="137">
        <f>$W331*AM331+$L331*Summary_LCIA!AD$32</f>
        <v>0.10841686951956925</v>
      </c>
      <c r="BI331" s="137">
        <f>$W331*AN331+$L331*Summary_LCIA!AE$32</f>
        <v>0.31381362011683644</v>
      </c>
      <c r="BJ331" s="137">
        <f>$W331*AO331+$L331*Summary_LCIA!AF$32</f>
        <v>2.7118667776853379E-2</v>
      </c>
      <c r="BK331" s="137">
        <f>$W331*AP331+$L331*Summary_LCIA!AG$32</f>
        <v>5.7698876318533748E-3</v>
      </c>
      <c r="BL331" s="137">
        <f>$W331*AQ331+$L331*Summary_LCIA!AH$32</f>
        <v>0.8555042160338916</v>
      </c>
      <c r="BM331" s="137">
        <f>$W331*AR331+$L331*Summary_LCIA!AI$32</f>
        <v>0.27826038908817879</v>
      </c>
    </row>
    <row r="332" spans="1:65" x14ac:dyDescent="0.25">
      <c r="A332" s="149">
        <v>9</v>
      </c>
      <c r="B332" s="149">
        <v>29</v>
      </c>
      <c r="C332" s="61">
        <v>37.875985</v>
      </c>
      <c r="D332" s="61">
        <v>-122.25001399999999</v>
      </c>
      <c r="E332" s="61" t="s">
        <v>265</v>
      </c>
      <c r="F332" s="149">
        <v>99</v>
      </c>
      <c r="G332" s="61" t="s">
        <v>623</v>
      </c>
      <c r="H332" s="61" t="s">
        <v>624</v>
      </c>
      <c r="I332" s="61">
        <v>37.712569000000002</v>
      </c>
      <c r="J332" s="61">
        <v>-122.21974299999999</v>
      </c>
      <c r="K332" s="61">
        <v>39.814875569999998</v>
      </c>
      <c r="L332" s="61">
        <v>26.879000000000001</v>
      </c>
      <c r="M332" s="61" t="s">
        <v>617</v>
      </c>
      <c r="N332" s="149">
        <v>28</v>
      </c>
      <c r="O332" s="149">
        <v>29</v>
      </c>
      <c r="P332" s="61" t="s">
        <v>565</v>
      </c>
      <c r="Q332" s="61" t="s">
        <v>559</v>
      </c>
      <c r="R332" s="61">
        <v>47.450249900000003</v>
      </c>
      <c r="S332" s="61">
        <v>-122.30881650000001</v>
      </c>
      <c r="T332" s="61">
        <v>1272.7180000000001</v>
      </c>
      <c r="U332" s="61" t="s">
        <v>617</v>
      </c>
      <c r="V332" s="61" t="s">
        <v>569</v>
      </c>
      <c r="W332" s="61" cm="1">
        <f t="array" ref="W332">getDistance(I332,J332,R332,S332)*SA!$B$12</f>
        <v>1083.7067192187251</v>
      </c>
      <c r="Y332" s="137">
        <f>Transportation_LCIA!C$61*($W332^Transportation_LCIA!C$60)+Transportation_LCIA!C$62</f>
        <v>0.22745670793590661</v>
      </c>
      <c r="Z332" s="137">
        <f>Transportation_LCIA!D$61*($W332^Transportation_LCIA!D$60)+Transportation_LCIA!D$62</f>
        <v>2.3271050405397338</v>
      </c>
      <c r="AA332" s="137">
        <f>Transportation_LCIA!E$61*($W332^Transportation_LCIA!E$60)+Transportation_LCIA!E$62</f>
        <v>1.0796071266874865E-3</v>
      </c>
      <c r="AB332" s="137">
        <f>Transportation_LCIA!F$61*($W332^Transportation_LCIA!F$60)+Transportation_LCIA!F$62</f>
        <v>0.22745670793590661</v>
      </c>
      <c r="AC332" s="137">
        <f>Transportation_LCIA!G$61*($W332^Transportation_LCIA!G$60)+Transportation_LCIA!G$62</f>
        <v>5.4411330360243829E-2</v>
      </c>
      <c r="AD332" s="137">
        <f>Transportation_LCIA!H$61*($W332^Transportation_LCIA!H$60)+Transportation_LCIA!H$62</f>
        <v>2.6257910570795154E-4</v>
      </c>
      <c r="AE332" s="137">
        <f>Transportation_LCIA!I$61*($W332^Transportation_LCIA!I$60)+Transportation_LCIA!I$62</f>
        <v>5.5627834005164701E-6</v>
      </c>
      <c r="AF332" s="137">
        <f>Transportation_LCIA!J$61*($W332^Transportation_LCIA!J$60)+Transportation_LCIA!J$62</f>
        <v>8.2304885314531239E-3</v>
      </c>
      <c r="AG332" s="137">
        <f>Transportation_LCIA!K$61*($W332^Transportation_LCIA!K$60)+Transportation_LCIA!K$62</f>
        <v>1.1526128098589581E-2</v>
      </c>
      <c r="AH332" s="137">
        <f>Transportation_LCIA!L$61*($W332^Transportation_LCIA!L$60)+Transportation_LCIA!L$62</f>
        <v>2.2681720311816129E-4</v>
      </c>
      <c r="AI332" s="137">
        <f>Transportation_LCIA!M$61*($W332^Transportation_LCIA!M$60)+Transportation_LCIA!M$62</f>
        <v>2.3576226353069502E-4</v>
      </c>
      <c r="AJ332" s="137">
        <f>Transportation_LCIA!N$61*($W332^Transportation_LCIA!N$60)+Transportation_LCIA!N$62</f>
        <v>9.4204492933100935E-4</v>
      </c>
      <c r="AK332" s="137">
        <f>Transportation_LCIA!O$61*($W332^Transportation_LCIA!O$60)+Transportation_LCIA!O$62</f>
        <v>5.7483163787402971E-5</v>
      </c>
      <c r="AL332" s="137">
        <f>Transportation_LCIA!P$61*($W332^Transportation_LCIA!P$60)+Transportation_LCIA!P$62</f>
        <v>2.7806040623323073E-8</v>
      </c>
      <c r="AM332" s="137">
        <f>Transportation_LCIA!Q$61*($W332^Transportation_LCIA!Q$60)+Transportation_LCIA!Q$62</f>
        <v>8.9847671545088305E-5</v>
      </c>
      <c r="AN332" s="137">
        <f>Transportation_LCIA!R$61*($W332^Transportation_LCIA!R$60)+Transportation_LCIA!R$62</f>
        <v>2.6759576802836684E-4</v>
      </c>
      <c r="AO332" s="137">
        <f>Transportation_LCIA!S$61*($W332^Transportation_LCIA!S$60)+Transportation_LCIA!S$62</f>
        <v>4.0551779544391714E-6</v>
      </c>
      <c r="AP332" s="137">
        <f>Transportation_LCIA!T$61*($W332^Transportation_LCIA!T$60)+Transportation_LCIA!T$62</f>
        <v>4.0551779544391714E-6</v>
      </c>
      <c r="AQ332" s="137">
        <f>Transportation_LCIA!U$61*($W332^Transportation_LCIA!U$60)+Transportation_LCIA!U$62</f>
        <v>5.7355015024913001E-4</v>
      </c>
      <c r="AR332" s="137">
        <f>Transportation_LCIA!V$61*($W332^Transportation_LCIA!V$60)+Transportation_LCIA!V$62</f>
        <v>2.3366216352403273E-4</v>
      </c>
      <c r="AT332" s="137">
        <f>$W332*Y332+$L332*Summary_LCIA!H$32</f>
        <v>255.62984692151309</v>
      </c>
      <c r="AU332" s="137">
        <f>$W332*Z332+$L332*Summary_LCIA!Q$32</f>
        <v>2655.1130483492802</v>
      </c>
      <c r="AV332" s="137">
        <f>$W332*AA332+$L332*Summary_LCIA!R$32</f>
        <v>1.3115115597076503</v>
      </c>
      <c r="AW332" s="137">
        <f>$W332*AB332+$L332*Summary_LCIA!S$32</f>
        <v>255.51104174151308</v>
      </c>
      <c r="AX332" s="137">
        <f>$W332*AC332+$L332*Summary_LCIA!T$32</f>
        <v>61.919926413026047</v>
      </c>
      <c r="AY332" s="137">
        <f>$W332*AD332+$L332*Summary_LCIA!U$32</f>
        <v>0.76606914718215102</v>
      </c>
      <c r="AZ332" s="137">
        <f>$W332*AE332+$L332*Summary_LCIA!V$32</f>
        <v>7.3121936676980867E-3</v>
      </c>
      <c r="BA332" s="137">
        <f>$W332*AF332+$L332*Summary_LCIA!W$32</f>
        <v>10.988339232988407</v>
      </c>
      <c r="BB332" s="137">
        <f>$W332*AG332+$L332*Summary_LCIA!X$32</f>
        <v>13.103246087017277</v>
      </c>
      <c r="BC332" s="137">
        <f>$W332*AH332+$L332*Summary_LCIA!Y$32</f>
        <v>0.66463190505354974</v>
      </c>
      <c r="BD332" s="137">
        <f>$W332*AI332+$L332*Summary_LCIA!Z$32</f>
        <v>0.25659943003742997</v>
      </c>
      <c r="BE332" s="137">
        <f>$W332*AJ332+$L332*Summary_LCIA!AA$32</f>
        <v>1.6486863437219439</v>
      </c>
      <c r="BF332" s="137">
        <f>$W332*AK332+$L332*Summary_LCIA!AB$32</f>
        <v>6.1708310421359096E-2</v>
      </c>
      <c r="BG332" s="137">
        <f>$W332*AL332+$L332*Summary_LCIA!AC$32</f>
        <v>3.1447546094364037E-5</v>
      </c>
      <c r="BH332" s="137">
        <f>$W332*AM332+$L332*Summary_LCIA!AD$32</f>
        <v>0.10841686951956925</v>
      </c>
      <c r="BI332" s="137">
        <f>$W332*AN332+$L332*Summary_LCIA!AE$32</f>
        <v>0.31381362011683644</v>
      </c>
      <c r="BJ332" s="137">
        <f>$W332*AO332+$L332*Summary_LCIA!AF$32</f>
        <v>2.7118667776853379E-2</v>
      </c>
      <c r="BK332" s="137">
        <f>$W332*AP332+$L332*Summary_LCIA!AG$32</f>
        <v>5.7698876318533748E-3</v>
      </c>
      <c r="BL332" s="137">
        <f>$W332*AQ332+$L332*Summary_LCIA!AH$32</f>
        <v>0.8555042160338916</v>
      </c>
      <c r="BM332" s="137">
        <f>$W332*AR332+$L332*Summary_LCIA!AI$32</f>
        <v>0.27826038908817879</v>
      </c>
    </row>
    <row r="333" spans="1:65" x14ac:dyDescent="0.25">
      <c r="A333" s="149">
        <v>328</v>
      </c>
      <c r="B333" s="149">
        <v>29</v>
      </c>
      <c r="C333" s="61">
        <v>37.774929</v>
      </c>
      <c r="D333" s="61">
        <v>-122.419415</v>
      </c>
      <c r="E333" s="61" t="s">
        <v>265</v>
      </c>
      <c r="F333" s="149">
        <v>99</v>
      </c>
      <c r="G333" s="61" t="s">
        <v>623</v>
      </c>
      <c r="H333" s="61" t="s">
        <v>624</v>
      </c>
      <c r="I333" s="61">
        <v>37.712569000000002</v>
      </c>
      <c r="J333" s="61">
        <v>-122.21974299999999</v>
      </c>
      <c r="K333" s="61">
        <v>31.718590620000001</v>
      </c>
      <c r="L333" s="61">
        <v>34.848999999999997</v>
      </c>
      <c r="M333" s="61" t="s">
        <v>617</v>
      </c>
      <c r="N333" s="149">
        <v>28</v>
      </c>
      <c r="O333" s="149">
        <v>29</v>
      </c>
      <c r="P333" s="61" t="s">
        <v>565</v>
      </c>
      <c r="Q333" s="61" t="s">
        <v>559</v>
      </c>
      <c r="R333" s="61">
        <v>47.450249900000003</v>
      </c>
      <c r="S333" s="61">
        <v>-122.30881650000001</v>
      </c>
      <c r="T333" s="61">
        <v>1286.1210000000001</v>
      </c>
      <c r="U333" s="61" t="s">
        <v>617</v>
      </c>
      <c r="V333" s="61" t="s">
        <v>569</v>
      </c>
      <c r="W333" s="61" cm="1">
        <f t="array" ref="W333">getDistance(I333,J333,R333,S333)*SA!$B$12</f>
        <v>1083.7067192187251</v>
      </c>
      <c r="Y333" s="137">
        <f>Transportation_LCIA!C$61*($W333^Transportation_LCIA!C$60)+Transportation_LCIA!C$62</f>
        <v>0.22745670793590661</v>
      </c>
      <c r="Z333" s="137">
        <f>Transportation_LCIA!D$61*($W333^Transportation_LCIA!D$60)+Transportation_LCIA!D$62</f>
        <v>2.3271050405397338</v>
      </c>
      <c r="AA333" s="137">
        <f>Transportation_LCIA!E$61*($W333^Transportation_LCIA!E$60)+Transportation_LCIA!E$62</f>
        <v>1.0796071266874865E-3</v>
      </c>
      <c r="AB333" s="137">
        <f>Transportation_LCIA!F$61*($W333^Transportation_LCIA!F$60)+Transportation_LCIA!F$62</f>
        <v>0.22745670793590661</v>
      </c>
      <c r="AC333" s="137">
        <f>Transportation_LCIA!G$61*($W333^Transportation_LCIA!G$60)+Transportation_LCIA!G$62</f>
        <v>5.4411330360243829E-2</v>
      </c>
      <c r="AD333" s="137">
        <f>Transportation_LCIA!H$61*($W333^Transportation_LCIA!H$60)+Transportation_LCIA!H$62</f>
        <v>2.6257910570795154E-4</v>
      </c>
      <c r="AE333" s="137">
        <f>Transportation_LCIA!I$61*($W333^Transportation_LCIA!I$60)+Transportation_LCIA!I$62</f>
        <v>5.5627834005164701E-6</v>
      </c>
      <c r="AF333" s="137">
        <f>Transportation_LCIA!J$61*($W333^Transportation_LCIA!J$60)+Transportation_LCIA!J$62</f>
        <v>8.2304885314531239E-3</v>
      </c>
      <c r="AG333" s="137">
        <f>Transportation_LCIA!K$61*($W333^Transportation_LCIA!K$60)+Transportation_LCIA!K$62</f>
        <v>1.1526128098589581E-2</v>
      </c>
      <c r="AH333" s="137">
        <f>Transportation_LCIA!L$61*($W333^Transportation_LCIA!L$60)+Transportation_LCIA!L$62</f>
        <v>2.2681720311816129E-4</v>
      </c>
      <c r="AI333" s="137">
        <f>Transportation_LCIA!M$61*($W333^Transportation_LCIA!M$60)+Transportation_LCIA!M$62</f>
        <v>2.3576226353069502E-4</v>
      </c>
      <c r="AJ333" s="137">
        <f>Transportation_LCIA!N$61*($W333^Transportation_LCIA!N$60)+Transportation_LCIA!N$62</f>
        <v>9.4204492933100935E-4</v>
      </c>
      <c r="AK333" s="137">
        <f>Transportation_LCIA!O$61*($W333^Transportation_LCIA!O$60)+Transportation_LCIA!O$62</f>
        <v>5.7483163787402971E-5</v>
      </c>
      <c r="AL333" s="137">
        <f>Transportation_LCIA!P$61*($W333^Transportation_LCIA!P$60)+Transportation_LCIA!P$62</f>
        <v>2.7806040623323073E-8</v>
      </c>
      <c r="AM333" s="137">
        <f>Transportation_LCIA!Q$61*($W333^Transportation_LCIA!Q$60)+Transportation_LCIA!Q$62</f>
        <v>8.9847671545088305E-5</v>
      </c>
      <c r="AN333" s="137">
        <f>Transportation_LCIA!R$61*($W333^Transportation_LCIA!R$60)+Transportation_LCIA!R$62</f>
        <v>2.6759576802836684E-4</v>
      </c>
      <c r="AO333" s="137">
        <f>Transportation_LCIA!S$61*($W333^Transportation_LCIA!S$60)+Transportation_LCIA!S$62</f>
        <v>4.0551779544391714E-6</v>
      </c>
      <c r="AP333" s="137">
        <f>Transportation_LCIA!T$61*($W333^Transportation_LCIA!T$60)+Transportation_LCIA!T$62</f>
        <v>4.0551779544391714E-6</v>
      </c>
      <c r="AQ333" s="137">
        <f>Transportation_LCIA!U$61*($W333^Transportation_LCIA!U$60)+Transportation_LCIA!U$62</f>
        <v>5.7355015024913001E-4</v>
      </c>
      <c r="AR333" s="137">
        <f>Transportation_LCIA!V$61*($W333^Transportation_LCIA!V$60)+Transportation_LCIA!V$62</f>
        <v>2.3366216352403273E-4</v>
      </c>
      <c r="AT333" s="137">
        <f>$W333*Y333+$L333*Summary_LCIA!H$32</f>
        <v>258.33805292151311</v>
      </c>
      <c r="AU333" s="137">
        <f>$W333*Z333+$L333*Summary_LCIA!Q$32</f>
        <v>2694.6127703002899</v>
      </c>
      <c r="AV333" s="137">
        <f>$W333*AA333+$L333*Summary_LCIA!R$32</f>
        <v>1.3534783917076505</v>
      </c>
      <c r="AW333" s="137">
        <f>$W333*AB333+$L333*Summary_LCIA!S$32</f>
        <v>258.18402034151308</v>
      </c>
      <c r="AX333" s="137">
        <f>$W333*AC333+$L333*Summary_LCIA!T$32</f>
        <v>62.795829413026048</v>
      </c>
      <c r="AY333" s="137">
        <f>$W333*AD333+$L333*Summary_LCIA!U$32</f>
        <v>0.9088437271821509</v>
      </c>
      <c r="AZ333" s="137">
        <f>$W333*AE333+$L333*Summary_LCIA!V$32</f>
        <v>7.6928488376980866E-3</v>
      </c>
      <c r="BA333" s="137">
        <f>$W333*AF333+$L333*Summary_LCIA!W$32</f>
        <v>11.601798102988408</v>
      </c>
      <c r="BB333" s="137">
        <f>$W333*AG333+$L333*Summary_LCIA!X$32</f>
        <v>13.284802687017276</v>
      </c>
      <c r="BC333" s="137">
        <f>$W333*AH333+$L333*Summary_LCIA!Y$32</f>
        <v>0.78882044505354976</v>
      </c>
      <c r="BD333" s="137">
        <f>$W333*AI333+$L333*Summary_LCIA!Z$32</f>
        <v>0.25692627176742994</v>
      </c>
      <c r="BE333" s="137">
        <f>$W333*AJ333+$L333*Summary_LCIA!AA$32</f>
        <v>1.8348336637219438</v>
      </c>
      <c r="BF333" s="137">
        <f>$W333*AK333+$L333*Summary_LCIA!AB$32</f>
        <v>6.1534381111359095E-2</v>
      </c>
      <c r="BG333" s="137">
        <f>$W333*AL333+$L333*Summary_LCIA!AC$32</f>
        <v>3.1837151574364036E-5</v>
      </c>
      <c r="BH333" s="137">
        <f>$W333*AM333+$L333*Summary_LCIA!AD$32</f>
        <v>0.11169285831956924</v>
      </c>
      <c r="BI333" s="137">
        <f>$W333*AN333+$L333*Summary_LCIA!AE$32</f>
        <v>0.32087607621683645</v>
      </c>
      <c r="BJ333" s="137">
        <f>$W333*AO333+$L333*Summary_LCIA!AF$32</f>
        <v>3.3856665176853373E-2</v>
      </c>
      <c r="BK333" s="137">
        <f>$W333*AP333+$L333*Summary_LCIA!AG$32</f>
        <v>6.1776726818533753E-3</v>
      </c>
      <c r="BL333" s="137">
        <f>$W333*AQ333+$L333*Summary_LCIA!AH$32</f>
        <v>0.92487190803389152</v>
      </c>
      <c r="BM333" s="137">
        <f>$W333*AR333+$L333*Summary_LCIA!AI$32</f>
        <v>0.28568484258817878</v>
      </c>
    </row>
    <row r="334" spans="1:65" x14ac:dyDescent="0.25">
      <c r="A334" s="149">
        <v>21</v>
      </c>
      <c r="B334" s="149">
        <v>29</v>
      </c>
      <c r="C334" s="61">
        <v>53.523218999999997</v>
      </c>
      <c r="D334" s="61">
        <v>-113.526319</v>
      </c>
      <c r="E334" s="61" t="s">
        <v>462</v>
      </c>
      <c r="F334" s="149">
        <v>126</v>
      </c>
      <c r="G334" s="61" t="s">
        <v>637</v>
      </c>
      <c r="H334" s="61" t="s">
        <v>638</v>
      </c>
      <c r="I334" s="61">
        <v>53.305436999999998</v>
      </c>
      <c r="J334" s="61">
        <v>-113.577381</v>
      </c>
      <c r="K334" s="61">
        <v>42.053707780000003</v>
      </c>
      <c r="L334" s="61">
        <v>28.959</v>
      </c>
      <c r="M334" s="61" t="s">
        <v>617</v>
      </c>
      <c r="N334" s="149">
        <v>28</v>
      </c>
      <c r="O334" s="149">
        <v>29</v>
      </c>
      <c r="P334" s="61" t="s">
        <v>565</v>
      </c>
      <c r="Q334" s="61" t="s">
        <v>559</v>
      </c>
      <c r="R334" s="61">
        <v>47.450249900000003</v>
      </c>
      <c r="S334" s="61">
        <v>-122.30881650000001</v>
      </c>
      <c r="T334" s="61">
        <v>1292.5229999999999</v>
      </c>
      <c r="U334" s="61" t="s">
        <v>617</v>
      </c>
      <c r="V334" s="61" t="s">
        <v>569</v>
      </c>
      <c r="W334" s="61" cm="1">
        <f t="array" ref="W334">getDistance(I334,J334,R334,S334)*SA!$B$12</f>
        <v>899.37041179037806</v>
      </c>
      <c r="Y334" s="137">
        <f>Transportation_LCIA!C$61*($W334^Transportation_LCIA!C$60)+Transportation_LCIA!C$62</f>
        <v>0.2470230393938033</v>
      </c>
      <c r="Z334" s="137">
        <f>Transportation_LCIA!D$61*($W334^Transportation_LCIA!D$60)+Transportation_LCIA!D$62</f>
        <v>2.555551779942963</v>
      </c>
      <c r="AA334" s="137">
        <f>Transportation_LCIA!E$61*($W334^Transportation_LCIA!E$60)+Transportation_LCIA!E$62</f>
        <v>1.2298275386163583E-3</v>
      </c>
      <c r="AB334" s="137">
        <f>Transportation_LCIA!F$61*($W334^Transportation_LCIA!F$60)+Transportation_LCIA!F$62</f>
        <v>0.2470230393938033</v>
      </c>
      <c r="AC334" s="137">
        <f>Transportation_LCIA!G$61*($W334^Transportation_LCIA!G$60)+Transportation_LCIA!G$62</f>
        <v>5.9696472507371229E-2</v>
      </c>
      <c r="AD334" s="137">
        <f>Transportation_LCIA!H$61*($W334^Transportation_LCIA!H$60)+Transportation_LCIA!H$62</f>
        <v>2.956181579716859E-4</v>
      </c>
      <c r="AE334" s="137">
        <f>Transportation_LCIA!I$61*($W334^Transportation_LCIA!I$60)+Transportation_LCIA!I$62</f>
        <v>6.3948472765901966E-6</v>
      </c>
      <c r="AF334" s="137">
        <f>Transportation_LCIA!J$61*($W334^Transportation_LCIA!J$60)+Transportation_LCIA!J$62</f>
        <v>9.4699993728709006E-3</v>
      </c>
      <c r="AG334" s="137">
        <f>Transportation_LCIA!K$61*($W334^Transportation_LCIA!K$60)+Transportation_LCIA!K$62</f>
        <v>1.2760149255241295E-2</v>
      </c>
      <c r="AH334" s="137">
        <f>Transportation_LCIA!L$61*($W334^Transportation_LCIA!L$60)+Transportation_LCIA!L$62</f>
        <v>2.5719491904463085E-4</v>
      </c>
      <c r="AI334" s="137">
        <f>Transportation_LCIA!M$61*($W334^Transportation_LCIA!M$60)+Transportation_LCIA!M$62</f>
        <v>2.5399647844843597E-4</v>
      </c>
      <c r="AJ334" s="137">
        <f>Transportation_LCIA!N$61*($W334^Transportation_LCIA!N$60)+Transportation_LCIA!N$62</f>
        <v>1.0531239575043284E-3</v>
      </c>
      <c r="AK334" s="137">
        <f>Transportation_LCIA!O$61*($W334^Transportation_LCIA!O$60)+Transportation_LCIA!O$62</f>
        <v>6.3099380100455315E-5</v>
      </c>
      <c r="AL334" s="137">
        <f>Transportation_LCIA!P$61*($W334^Transportation_LCIA!P$60)+Transportation_LCIA!P$62</f>
        <v>3.0506162785875581E-8</v>
      </c>
      <c r="AM334" s="137">
        <f>Transportation_LCIA!Q$61*($W334^Transportation_LCIA!Q$60)+Transportation_LCIA!Q$62</f>
        <v>1.0172615447217155E-4</v>
      </c>
      <c r="AN334" s="137">
        <f>Transportation_LCIA!R$61*($W334^Transportation_LCIA!R$60)+Transportation_LCIA!R$62</f>
        <v>3.0749610461663126E-4</v>
      </c>
      <c r="AO334" s="137">
        <f>Transportation_LCIA!S$61*($W334^Transportation_LCIA!S$60)+Transportation_LCIA!S$62</f>
        <v>4.6214375674600108E-6</v>
      </c>
      <c r="AP334" s="137">
        <f>Transportation_LCIA!T$61*($W334^Transportation_LCIA!T$60)+Transportation_LCIA!T$62</f>
        <v>4.6214375674600108E-6</v>
      </c>
      <c r="AQ334" s="137">
        <f>Transportation_LCIA!U$61*($W334^Transportation_LCIA!U$60)+Transportation_LCIA!U$62</f>
        <v>6.6105936403638922E-4</v>
      </c>
      <c r="AR334" s="137">
        <f>Transportation_LCIA!V$61*($W334^Transportation_LCIA!V$60)+Transportation_LCIA!V$62</f>
        <v>2.6456652171685113E-4</v>
      </c>
      <c r="AT334" s="137">
        <f>$W334*Y334+$L334*Summary_LCIA!H$32</f>
        <v>232.00548086131565</v>
      </c>
      <c r="AU334" s="137">
        <f>$W334*Z334+$L334*Summary_LCIA!Q$32</f>
        <v>2441.9099211681832</v>
      </c>
      <c r="AV334" s="137">
        <f>$W334*AA334+$L334*Summary_LCIA!R$32</f>
        <v>1.2585570102365411</v>
      </c>
      <c r="AW334" s="137">
        <f>$W334*AB334+$L334*Summary_LCIA!S$32</f>
        <v>231.87748208131566</v>
      </c>
      <c r="AX334" s="137">
        <f>$W334*AC334+$L334*Summary_LCIA!T$32</f>
        <v>56.871835161387445</v>
      </c>
      <c r="AY334" s="137">
        <f>$W334*AD334+$L334*Summary_LCIA!U$32</f>
        <v>0.78464175046770812</v>
      </c>
      <c r="AZ334" s="137">
        <f>$W334*AE334+$L334*Summary_LCIA!V$32</f>
        <v>7.1344472274835029E-3</v>
      </c>
      <c r="BA334" s="137">
        <f>$W334*AF334+$L334*Summary_LCIA!W$32</f>
        <v>10.746040424633524</v>
      </c>
      <c r="BB334" s="137">
        <f>$W334*AG334+$L334*Summary_LCIA!X$32</f>
        <v>12.135786710193051</v>
      </c>
      <c r="BC334" s="137">
        <f>$W334*AH334+$L334*Summary_LCIA!Y$32</f>
        <v>0.68255263825156254</v>
      </c>
      <c r="BD334" s="137">
        <f>$W334*AI334+$L334*Summary_LCIA!Z$32</f>
        <v>0.22962449704647572</v>
      </c>
      <c r="BE334" s="137">
        <f>$W334*AJ334+$L334*Summary_LCIA!AA$32</f>
        <v>1.6235149313269803</v>
      </c>
      <c r="BF334" s="137">
        <f>$W334*AK334+$L334*Summary_LCIA!AB$32</f>
        <v>5.6117743207664085E-2</v>
      </c>
      <c r="BG334" s="137">
        <f>$W334*AL334+$L334*Summary_LCIA!AC$32</f>
        <v>2.8851971942877227E-5</v>
      </c>
      <c r="BH334" s="137">
        <f>$W334*AM334+$L334*Summary_LCIA!AD$32</f>
        <v>0.10339280079748854</v>
      </c>
      <c r="BI334" s="137">
        <f>$W334*AN334+$L334*Summary_LCIA!AE$32</f>
        <v>0.30221433690299682</v>
      </c>
      <c r="BJ334" s="137">
        <f>$W334*AO334+$L334*Summary_LCIA!AF$32</f>
        <v>2.8638901988110033E-2</v>
      </c>
      <c r="BK334" s="137">
        <f>$W334*AP334+$L334*Summary_LCIA!AG$32</f>
        <v>5.6380714431100327E-3</v>
      </c>
      <c r="BL334" s="137">
        <f>$W334*AQ334+$L334*Summary_LCIA!AH$32</f>
        <v>0.84658478485129285</v>
      </c>
      <c r="BM334" s="137">
        <f>$W334*AR334+$L334*Summary_LCIA!AI$32</f>
        <v>0.2649200580324324</v>
      </c>
    </row>
    <row r="335" spans="1:65" x14ac:dyDescent="0.25">
      <c r="A335" s="149">
        <v>22</v>
      </c>
      <c r="B335" s="149">
        <v>29</v>
      </c>
      <c r="C335" s="61">
        <v>53.523218999999997</v>
      </c>
      <c r="D335" s="61">
        <v>-113.526319</v>
      </c>
      <c r="E335" s="61" t="s">
        <v>462</v>
      </c>
      <c r="F335" s="149">
        <v>126</v>
      </c>
      <c r="G335" s="61" t="s">
        <v>637</v>
      </c>
      <c r="H335" s="61" t="s">
        <v>638</v>
      </c>
      <c r="I335" s="61">
        <v>53.305436999999998</v>
      </c>
      <c r="J335" s="61">
        <v>-113.577381</v>
      </c>
      <c r="K335" s="61">
        <v>42.053707780000003</v>
      </c>
      <c r="L335" s="61">
        <v>28.959</v>
      </c>
      <c r="M335" s="61" t="s">
        <v>617</v>
      </c>
      <c r="N335" s="149">
        <v>28</v>
      </c>
      <c r="O335" s="149">
        <v>29</v>
      </c>
      <c r="P335" s="61" t="s">
        <v>565</v>
      </c>
      <c r="Q335" s="61" t="s">
        <v>559</v>
      </c>
      <c r="R335" s="61">
        <v>47.450249900000003</v>
      </c>
      <c r="S335" s="61">
        <v>-122.30881650000001</v>
      </c>
      <c r="T335" s="61">
        <v>1292.5229999999999</v>
      </c>
      <c r="U335" s="61" t="s">
        <v>617</v>
      </c>
      <c r="V335" s="61" t="s">
        <v>569</v>
      </c>
      <c r="W335" s="61" cm="1">
        <f t="array" ref="W335">getDistance(I335,J335,R335,S335)*SA!$B$12</f>
        <v>899.37041179037806</v>
      </c>
      <c r="Y335" s="137">
        <f>Transportation_LCIA!C$61*($W335^Transportation_LCIA!C$60)+Transportation_LCIA!C$62</f>
        <v>0.2470230393938033</v>
      </c>
      <c r="Z335" s="137">
        <f>Transportation_LCIA!D$61*($W335^Transportation_LCIA!D$60)+Transportation_LCIA!D$62</f>
        <v>2.555551779942963</v>
      </c>
      <c r="AA335" s="137">
        <f>Transportation_LCIA!E$61*($W335^Transportation_LCIA!E$60)+Transportation_LCIA!E$62</f>
        <v>1.2298275386163583E-3</v>
      </c>
      <c r="AB335" s="137">
        <f>Transportation_LCIA!F$61*($W335^Transportation_LCIA!F$60)+Transportation_LCIA!F$62</f>
        <v>0.2470230393938033</v>
      </c>
      <c r="AC335" s="137">
        <f>Transportation_LCIA!G$61*($W335^Transportation_LCIA!G$60)+Transportation_LCIA!G$62</f>
        <v>5.9696472507371229E-2</v>
      </c>
      <c r="AD335" s="137">
        <f>Transportation_LCIA!H$61*($W335^Transportation_LCIA!H$60)+Transportation_LCIA!H$62</f>
        <v>2.956181579716859E-4</v>
      </c>
      <c r="AE335" s="137">
        <f>Transportation_LCIA!I$61*($W335^Transportation_LCIA!I$60)+Transportation_LCIA!I$62</f>
        <v>6.3948472765901966E-6</v>
      </c>
      <c r="AF335" s="137">
        <f>Transportation_LCIA!J$61*($W335^Transportation_LCIA!J$60)+Transportation_LCIA!J$62</f>
        <v>9.4699993728709006E-3</v>
      </c>
      <c r="AG335" s="137">
        <f>Transportation_LCIA!K$61*($W335^Transportation_LCIA!K$60)+Transportation_LCIA!K$62</f>
        <v>1.2760149255241295E-2</v>
      </c>
      <c r="AH335" s="137">
        <f>Transportation_LCIA!L$61*($W335^Transportation_LCIA!L$60)+Transportation_LCIA!L$62</f>
        <v>2.5719491904463085E-4</v>
      </c>
      <c r="AI335" s="137">
        <f>Transportation_LCIA!M$61*($W335^Transportation_LCIA!M$60)+Transportation_LCIA!M$62</f>
        <v>2.5399647844843597E-4</v>
      </c>
      <c r="AJ335" s="137">
        <f>Transportation_LCIA!N$61*($W335^Transportation_LCIA!N$60)+Transportation_LCIA!N$62</f>
        <v>1.0531239575043284E-3</v>
      </c>
      <c r="AK335" s="137">
        <f>Transportation_LCIA!O$61*($W335^Transportation_LCIA!O$60)+Transportation_LCIA!O$62</f>
        <v>6.3099380100455315E-5</v>
      </c>
      <c r="AL335" s="137">
        <f>Transportation_LCIA!P$61*($W335^Transportation_LCIA!P$60)+Transportation_LCIA!P$62</f>
        <v>3.0506162785875581E-8</v>
      </c>
      <c r="AM335" s="137">
        <f>Transportation_LCIA!Q$61*($W335^Transportation_LCIA!Q$60)+Transportation_LCIA!Q$62</f>
        <v>1.0172615447217155E-4</v>
      </c>
      <c r="AN335" s="137">
        <f>Transportation_LCIA!R$61*($W335^Transportation_LCIA!R$60)+Transportation_LCIA!R$62</f>
        <v>3.0749610461663126E-4</v>
      </c>
      <c r="AO335" s="137">
        <f>Transportation_LCIA!S$61*($W335^Transportation_LCIA!S$60)+Transportation_LCIA!S$62</f>
        <v>4.6214375674600108E-6</v>
      </c>
      <c r="AP335" s="137">
        <f>Transportation_LCIA!T$61*($W335^Transportation_LCIA!T$60)+Transportation_LCIA!T$62</f>
        <v>4.6214375674600108E-6</v>
      </c>
      <c r="AQ335" s="137">
        <f>Transportation_LCIA!U$61*($W335^Transportation_LCIA!U$60)+Transportation_LCIA!U$62</f>
        <v>6.6105936403638922E-4</v>
      </c>
      <c r="AR335" s="137">
        <f>Transportation_LCIA!V$61*($W335^Transportation_LCIA!V$60)+Transportation_LCIA!V$62</f>
        <v>2.6456652171685113E-4</v>
      </c>
      <c r="AT335" s="137">
        <f>$W335*Y335+$L335*Summary_LCIA!H$32</f>
        <v>232.00548086131565</v>
      </c>
      <c r="AU335" s="137">
        <f>$W335*Z335+$L335*Summary_LCIA!Q$32</f>
        <v>2441.9099211681832</v>
      </c>
      <c r="AV335" s="137">
        <f>$W335*AA335+$L335*Summary_LCIA!R$32</f>
        <v>1.2585570102365411</v>
      </c>
      <c r="AW335" s="137">
        <f>$W335*AB335+$L335*Summary_LCIA!S$32</f>
        <v>231.87748208131566</v>
      </c>
      <c r="AX335" s="137">
        <f>$W335*AC335+$L335*Summary_LCIA!T$32</f>
        <v>56.871835161387445</v>
      </c>
      <c r="AY335" s="137">
        <f>$W335*AD335+$L335*Summary_LCIA!U$32</f>
        <v>0.78464175046770812</v>
      </c>
      <c r="AZ335" s="137">
        <f>$W335*AE335+$L335*Summary_LCIA!V$32</f>
        <v>7.1344472274835029E-3</v>
      </c>
      <c r="BA335" s="137">
        <f>$W335*AF335+$L335*Summary_LCIA!W$32</f>
        <v>10.746040424633524</v>
      </c>
      <c r="BB335" s="137">
        <f>$W335*AG335+$L335*Summary_LCIA!X$32</f>
        <v>12.135786710193051</v>
      </c>
      <c r="BC335" s="137">
        <f>$W335*AH335+$L335*Summary_LCIA!Y$32</f>
        <v>0.68255263825156254</v>
      </c>
      <c r="BD335" s="137">
        <f>$W335*AI335+$L335*Summary_LCIA!Z$32</f>
        <v>0.22962449704647572</v>
      </c>
      <c r="BE335" s="137">
        <f>$W335*AJ335+$L335*Summary_LCIA!AA$32</f>
        <v>1.6235149313269803</v>
      </c>
      <c r="BF335" s="137">
        <f>$W335*AK335+$L335*Summary_LCIA!AB$32</f>
        <v>5.6117743207664085E-2</v>
      </c>
      <c r="BG335" s="137">
        <f>$W335*AL335+$L335*Summary_LCIA!AC$32</f>
        <v>2.8851971942877227E-5</v>
      </c>
      <c r="BH335" s="137">
        <f>$W335*AM335+$L335*Summary_LCIA!AD$32</f>
        <v>0.10339280079748854</v>
      </c>
      <c r="BI335" s="137">
        <f>$W335*AN335+$L335*Summary_LCIA!AE$32</f>
        <v>0.30221433690299682</v>
      </c>
      <c r="BJ335" s="137">
        <f>$W335*AO335+$L335*Summary_LCIA!AF$32</f>
        <v>2.8638901988110033E-2</v>
      </c>
      <c r="BK335" s="137">
        <f>$W335*AP335+$L335*Summary_LCIA!AG$32</f>
        <v>5.6380714431100327E-3</v>
      </c>
      <c r="BL335" s="137">
        <f>$W335*AQ335+$L335*Summary_LCIA!AH$32</f>
        <v>0.84658478485129285</v>
      </c>
      <c r="BM335" s="137">
        <f>$W335*AR335+$L335*Summary_LCIA!AI$32</f>
        <v>0.2649200580324324</v>
      </c>
    </row>
    <row r="336" spans="1:65" x14ac:dyDescent="0.25">
      <c r="A336" s="149">
        <v>348</v>
      </c>
      <c r="B336" s="149">
        <v>1</v>
      </c>
      <c r="C336" s="61">
        <v>30.079940000000001</v>
      </c>
      <c r="D336" s="61">
        <v>-95.417159999999996</v>
      </c>
      <c r="E336" s="61" t="s">
        <v>265</v>
      </c>
      <c r="F336" s="149">
        <v>47</v>
      </c>
      <c r="G336" s="61" t="s">
        <v>565</v>
      </c>
      <c r="H336" s="61" t="s">
        <v>688</v>
      </c>
      <c r="I336" s="61">
        <v>29.990220000000001</v>
      </c>
      <c r="J336" s="61">
        <v>-95.336782999999997</v>
      </c>
      <c r="K336" s="61">
        <v>18.611022930000001</v>
      </c>
      <c r="L336" s="61">
        <v>20.567</v>
      </c>
      <c r="M336" s="61" t="s">
        <v>617</v>
      </c>
      <c r="N336" s="149">
        <v>0</v>
      </c>
      <c r="O336" s="149">
        <v>1</v>
      </c>
      <c r="P336" s="61" t="s">
        <v>565</v>
      </c>
      <c r="Q336" s="61" t="s">
        <v>558</v>
      </c>
      <c r="R336" s="61">
        <v>33.640728199999998</v>
      </c>
      <c r="S336" s="61">
        <v>-84.427700099999996</v>
      </c>
      <c r="T336" s="61">
        <v>1298.4269999999999</v>
      </c>
      <c r="U336" s="61" t="s">
        <v>617</v>
      </c>
      <c r="V336" s="61" t="s">
        <v>569</v>
      </c>
      <c r="W336" s="61" cm="1">
        <f t="array" ref="W336">getDistance(I336,J336,R336,S336)*SA!$B$12</f>
        <v>1108.9825726640418</v>
      </c>
      <c r="Y336" s="137">
        <f>Transportation_LCIA!C$61*($W336^Transportation_LCIA!C$60)+Transportation_LCIA!C$62</f>
        <v>0.22524292664619311</v>
      </c>
      <c r="Z336" s="137">
        <f>Transportation_LCIA!D$61*($W336^Transportation_LCIA!D$60)+Transportation_LCIA!D$62</f>
        <v>2.3013780536264536</v>
      </c>
      <c r="AA336" s="137">
        <f>Transportation_LCIA!E$61*($W336^Transportation_LCIA!E$60)+Transportation_LCIA!E$62</f>
        <v>1.0627118842399044E-3</v>
      </c>
      <c r="AB336" s="137">
        <f>Transportation_LCIA!F$61*($W336^Transportation_LCIA!F$60)+Transportation_LCIA!F$62</f>
        <v>0.22524292664619311</v>
      </c>
      <c r="AC336" s="137">
        <f>Transportation_LCIA!G$61*($W336^Transportation_LCIA!G$60)+Transportation_LCIA!G$62</f>
        <v>5.3815971824164345E-2</v>
      </c>
      <c r="AD336" s="137">
        <f>Transportation_LCIA!H$61*($W336^Transportation_LCIA!H$60)+Transportation_LCIA!H$62</f>
        <v>2.5887281455195925E-4</v>
      </c>
      <c r="AE336" s="137">
        <f>Transportation_LCIA!I$61*($W336^Transportation_LCIA!I$60)+Transportation_LCIA!I$62</f>
        <v>5.4698316568282146E-6</v>
      </c>
      <c r="AF336" s="137">
        <f>Transportation_LCIA!J$61*($W336^Transportation_LCIA!J$60)+Transportation_LCIA!J$62</f>
        <v>8.0923970167602558E-3</v>
      </c>
      <c r="AG336" s="137">
        <f>Transportation_LCIA!K$61*($W336^Transportation_LCIA!K$60)+Transportation_LCIA!K$62</f>
        <v>1.1387445306923118E-2</v>
      </c>
      <c r="AH336" s="137">
        <f>Transportation_LCIA!L$61*($W336^Transportation_LCIA!L$60)+Transportation_LCIA!L$62</f>
        <v>2.2341350103461166E-4</v>
      </c>
      <c r="AI336" s="137">
        <f>Transportation_LCIA!M$61*($W336^Transportation_LCIA!M$60)+Transportation_LCIA!M$62</f>
        <v>2.3371705406140014E-4</v>
      </c>
      <c r="AJ336" s="137">
        <f>Transportation_LCIA!N$61*($W336^Transportation_LCIA!N$60)+Transportation_LCIA!N$62</f>
        <v>9.2958005590552202E-4</v>
      </c>
      <c r="AK336" s="137">
        <f>Transportation_LCIA!O$61*($W336^Transportation_LCIA!O$60)+Transportation_LCIA!O$62</f>
        <v>5.6850591494866229E-5</v>
      </c>
      <c r="AL336" s="137">
        <f>Transportation_LCIA!P$61*($W336^Transportation_LCIA!P$60)+Transportation_LCIA!P$62</f>
        <v>2.7501811934919385E-8</v>
      </c>
      <c r="AM336" s="137">
        <f>Transportation_LCIA!Q$61*($W336^Transportation_LCIA!Q$60)+Transportation_LCIA!Q$62</f>
        <v>8.8517585447443799E-5</v>
      </c>
      <c r="AN336" s="137">
        <f>Transportation_LCIA!R$61*($W336^Transportation_LCIA!R$60)+Transportation_LCIA!R$62</f>
        <v>2.6313886024909163E-4</v>
      </c>
      <c r="AO336" s="137">
        <f>Transportation_LCIA!S$61*($W336^Transportation_LCIA!S$60)+Transportation_LCIA!S$62</f>
        <v>3.9919143687103552E-6</v>
      </c>
      <c r="AP336" s="137">
        <f>Transportation_LCIA!T$61*($W336^Transportation_LCIA!T$60)+Transportation_LCIA!T$62</f>
        <v>3.9919143687103552E-6</v>
      </c>
      <c r="AQ336" s="137">
        <f>Transportation_LCIA!U$61*($W336^Transportation_LCIA!U$60)+Transportation_LCIA!U$62</f>
        <v>5.6378301649474805E-4</v>
      </c>
      <c r="AR336" s="137">
        <f>Transportation_LCIA!V$61*($W336^Transportation_LCIA!V$60)+Transportation_LCIA!V$62</f>
        <v>2.302045191324243E-4</v>
      </c>
      <c r="AT336" s="137">
        <f>$W336*Y336+$L336*Summary_LCIA!H$32</f>
        <v>256.7791468664733</v>
      </c>
      <c r="AU336" s="137">
        <f>$W336*Z336+$L336*Summary_LCIA!Q$32</f>
        <v>2654.1192438387407</v>
      </c>
      <c r="AV336" s="137">
        <f>$W336*AA336+$L336*Summary_LCIA!R$32</f>
        <v>1.2868265545850206</v>
      </c>
      <c r="AW336" s="137">
        <f>$W336*AB336+$L336*Summary_LCIA!S$32</f>
        <v>256.68824072647328</v>
      </c>
      <c r="AX336" s="137">
        <f>$W336*AC336+$L336*Summary_LCIA!T$32</f>
        <v>61.941288183977356</v>
      </c>
      <c r="AY336" s="137">
        <f>$W336*AD336+$L336*Summary_LCIA!U$32</f>
        <v>0.65552267787461316</v>
      </c>
      <c r="AZ336" s="137">
        <f>$W336*AE336+$L336*Summary_LCIA!V$32</f>
        <v>7.0482484698285719E-3</v>
      </c>
      <c r="BA336" s="137">
        <f>$W336*AF336+$L336*Summary_LCIA!W$32</f>
        <v>10.557389819665605</v>
      </c>
      <c r="BB336" s="137">
        <f>$W336*AG336+$L336*Summary_LCIA!X$32</f>
        <v>13.096994652542667</v>
      </c>
      <c r="BC336" s="137">
        <f>$W336*AH336+$L336*Summary_LCIA!Y$32</f>
        <v>0.56823667314524418</v>
      </c>
      <c r="BD336" s="137">
        <f>$W336*AI336+$L336*Summary_LCIA!Z$32</f>
        <v>0.26003157199147242</v>
      </c>
      <c r="BE336" s="137">
        <f>$W336*AJ336+$L336*Summary_LCIA!AA$32</f>
        <v>1.5112509338952895</v>
      </c>
      <c r="BF336" s="137">
        <f>$W336*AK336+$L336*Summary_LCIA!AB$32</f>
        <v>6.2597481572449237E-2</v>
      </c>
      <c r="BG336" s="137">
        <f>$W336*AL336+$L336*Summary_LCIA!AC$32</f>
        <v>3.1504427380509551E-5</v>
      </c>
      <c r="BH336" s="137">
        <f>$W336*AM336+$L336*Summary_LCIA!AD$32</f>
        <v>0.10661831931551537</v>
      </c>
      <c r="BI336" s="137">
        <f>$W336*AN336+$L336*Summary_LCIA!AE$32</f>
        <v>0.3100414459169214</v>
      </c>
      <c r="BJ336" s="137">
        <f>$W336*AO336+$L336*Summary_LCIA!AF$32</f>
        <v>2.1814716606466965E-2</v>
      </c>
      <c r="BK336" s="137">
        <f>$W336*AP336+$L336*Summary_LCIA!AG$32</f>
        <v>5.4792740214669637E-3</v>
      </c>
      <c r="BL336" s="137">
        <f>$W336*AQ336+$L336*Summary_LCIA!AH$32</f>
        <v>0.8042324812566396</v>
      </c>
      <c r="BM336" s="137">
        <f>$W336*AR336+$L336*Summary_LCIA!AI$32</f>
        <v>0.2744519887163645</v>
      </c>
    </row>
    <row r="337" spans="1:65" x14ac:dyDescent="0.25">
      <c r="A337" s="149">
        <v>238</v>
      </c>
      <c r="B337" s="149">
        <v>1</v>
      </c>
      <c r="C337" s="61">
        <v>29.785777</v>
      </c>
      <c r="D337" s="61">
        <v>-95.824509000000006</v>
      </c>
      <c r="E337" s="61" t="s">
        <v>265</v>
      </c>
      <c r="F337" s="149">
        <v>47</v>
      </c>
      <c r="G337" s="61" t="s">
        <v>565</v>
      </c>
      <c r="H337" s="61" t="s">
        <v>688</v>
      </c>
      <c r="I337" s="61">
        <v>29.990220000000001</v>
      </c>
      <c r="J337" s="61">
        <v>-95.336782999999997</v>
      </c>
      <c r="K337" s="61">
        <v>58.812302199999998</v>
      </c>
      <c r="L337" s="61">
        <v>71.41</v>
      </c>
      <c r="M337" s="61" t="s">
        <v>617</v>
      </c>
      <c r="N337" s="149">
        <v>0</v>
      </c>
      <c r="O337" s="149">
        <v>1</v>
      </c>
      <c r="P337" s="61" t="s">
        <v>565</v>
      </c>
      <c r="Q337" s="61" t="s">
        <v>558</v>
      </c>
      <c r="R337" s="61">
        <v>33.640728199999998</v>
      </c>
      <c r="S337" s="61">
        <v>-84.427700099999996</v>
      </c>
      <c r="T337" s="61">
        <v>1310.5519999999999</v>
      </c>
      <c r="U337" s="61" t="s">
        <v>617</v>
      </c>
      <c r="V337" s="61" t="s">
        <v>569</v>
      </c>
      <c r="W337" s="61" cm="1">
        <f t="array" ref="W337">getDistance(I337,J337,R337,S337)*SA!$B$12</f>
        <v>1108.9825726640418</v>
      </c>
      <c r="Y337" s="137">
        <f>Transportation_LCIA!C$61*($W337^Transportation_LCIA!C$60)+Transportation_LCIA!C$62</f>
        <v>0.22524292664619311</v>
      </c>
      <c r="Z337" s="137">
        <f>Transportation_LCIA!D$61*($W337^Transportation_LCIA!D$60)+Transportation_LCIA!D$62</f>
        <v>2.3013780536264536</v>
      </c>
      <c r="AA337" s="137">
        <f>Transportation_LCIA!E$61*($W337^Transportation_LCIA!E$60)+Transportation_LCIA!E$62</f>
        <v>1.0627118842399044E-3</v>
      </c>
      <c r="AB337" s="137">
        <f>Transportation_LCIA!F$61*($W337^Transportation_LCIA!F$60)+Transportation_LCIA!F$62</f>
        <v>0.22524292664619311</v>
      </c>
      <c r="AC337" s="137">
        <f>Transportation_LCIA!G$61*($W337^Transportation_LCIA!G$60)+Transportation_LCIA!G$62</f>
        <v>5.3815971824164345E-2</v>
      </c>
      <c r="AD337" s="137">
        <f>Transportation_LCIA!H$61*($W337^Transportation_LCIA!H$60)+Transportation_LCIA!H$62</f>
        <v>2.5887281455195925E-4</v>
      </c>
      <c r="AE337" s="137">
        <f>Transportation_LCIA!I$61*($W337^Transportation_LCIA!I$60)+Transportation_LCIA!I$62</f>
        <v>5.4698316568282146E-6</v>
      </c>
      <c r="AF337" s="137">
        <f>Transportation_LCIA!J$61*($W337^Transportation_LCIA!J$60)+Transportation_LCIA!J$62</f>
        <v>8.0923970167602558E-3</v>
      </c>
      <c r="AG337" s="137">
        <f>Transportation_LCIA!K$61*($W337^Transportation_LCIA!K$60)+Transportation_LCIA!K$62</f>
        <v>1.1387445306923118E-2</v>
      </c>
      <c r="AH337" s="137">
        <f>Transportation_LCIA!L$61*($W337^Transportation_LCIA!L$60)+Transportation_LCIA!L$62</f>
        <v>2.2341350103461166E-4</v>
      </c>
      <c r="AI337" s="137">
        <f>Transportation_LCIA!M$61*($W337^Transportation_LCIA!M$60)+Transportation_LCIA!M$62</f>
        <v>2.3371705406140014E-4</v>
      </c>
      <c r="AJ337" s="137">
        <f>Transportation_LCIA!N$61*($W337^Transportation_LCIA!N$60)+Transportation_LCIA!N$62</f>
        <v>9.2958005590552202E-4</v>
      </c>
      <c r="AK337" s="137">
        <f>Transportation_LCIA!O$61*($W337^Transportation_LCIA!O$60)+Transportation_LCIA!O$62</f>
        <v>5.6850591494866229E-5</v>
      </c>
      <c r="AL337" s="137">
        <f>Transportation_LCIA!P$61*($W337^Transportation_LCIA!P$60)+Transportation_LCIA!P$62</f>
        <v>2.7501811934919385E-8</v>
      </c>
      <c r="AM337" s="137">
        <f>Transportation_LCIA!Q$61*($W337^Transportation_LCIA!Q$60)+Transportation_LCIA!Q$62</f>
        <v>8.8517585447443799E-5</v>
      </c>
      <c r="AN337" s="137">
        <f>Transportation_LCIA!R$61*($W337^Transportation_LCIA!R$60)+Transportation_LCIA!R$62</f>
        <v>2.6313886024909163E-4</v>
      </c>
      <c r="AO337" s="137">
        <f>Transportation_LCIA!S$61*($W337^Transportation_LCIA!S$60)+Transportation_LCIA!S$62</f>
        <v>3.9919143687103552E-6</v>
      </c>
      <c r="AP337" s="137">
        <f>Transportation_LCIA!T$61*($W337^Transportation_LCIA!T$60)+Transportation_LCIA!T$62</f>
        <v>3.9919143687103552E-6</v>
      </c>
      <c r="AQ337" s="137">
        <f>Transportation_LCIA!U$61*($W337^Transportation_LCIA!U$60)+Transportation_LCIA!U$62</f>
        <v>5.6378301649474805E-4</v>
      </c>
      <c r="AR337" s="137">
        <f>Transportation_LCIA!V$61*($W337^Transportation_LCIA!V$60)+Transportation_LCIA!V$62</f>
        <v>2.302045191324243E-4</v>
      </c>
      <c r="AT337" s="137">
        <f>$W337*Y337+$L337*Summary_LCIA!H$32</f>
        <v>274.05559826647328</v>
      </c>
      <c r="AU337" s="137">
        <f>$W337*Z337+$L337*Summary_LCIA!Q$32</f>
        <v>2906.0997160037596</v>
      </c>
      <c r="AV337" s="137">
        <f>$W337*AA337+$L337*Summary_LCIA!R$32</f>
        <v>1.5545454553850204</v>
      </c>
      <c r="AW337" s="137">
        <f>$W337*AB337+$L337*Summary_LCIA!S$32</f>
        <v>273.7399660664733</v>
      </c>
      <c r="AX337" s="137">
        <f>$W337*AC337+$L337*Summary_LCIA!T$32</f>
        <v>67.528933883977359</v>
      </c>
      <c r="AY337" s="137">
        <f>$W337*AD337+$L337*Summary_LCIA!U$32</f>
        <v>1.566324179874613</v>
      </c>
      <c r="AZ337" s="137">
        <f>$W337*AE337+$L337*Summary_LCIA!V$32</f>
        <v>9.4765609928285713E-3</v>
      </c>
      <c r="BA337" s="137">
        <f>$W337*AF337+$L337*Summary_LCIA!W$32</f>
        <v>14.470826372665606</v>
      </c>
      <c r="BB337" s="137">
        <f>$W337*AG337+$L337*Summary_LCIA!X$32</f>
        <v>14.255198192542668</v>
      </c>
      <c r="BC337" s="137">
        <f>$W337*AH337+$L337*Summary_LCIA!Y$32</f>
        <v>1.360472299145244</v>
      </c>
      <c r="BD337" s="137">
        <f>$W337*AI337+$L337*Summary_LCIA!Z$32</f>
        <v>0.26211659257847242</v>
      </c>
      <c r="BE337" s="137">
        <f>$W337*AJ337+$L337*Summary_LCIA!AA$32</f>
        <v>2.6987400418952889</v>
      </c>
      <c r="BF337" s="137">
        <f>$W337*AK337+$L337*Summary_LCIA!AB$32</f>
        <v>6.1487934783449237E-2</v>
      </c>
      <c r="BG337" s="137">
        <f>$W337*AL337+$L337*Summary_LCIA!AC$32</f>
        <v>3.3989836592509551E-5</v>
      </c>
      <c r="BH337" s="137">
        <f>$W337*AM337+$L337*Summary_LCIA!AD$32</f>
        <v>0.12751682603551537</v>
      </c>
      <c r="BI337" s="137">
        <f>$W337*AN337+$L337*Summary_LCIA!AE$32</f>
        <v>0.35509495350692138</v>
      </c>
      <c r="BJ337" s="137">
        <f>$W337*AO337+$L337*Summary_LCIA!AF$32</f>
        <v>6.4798405666466968E-2</v>
      </c>
      <c r="BK337" s="137">
        <f>$W337*AP337+$L337*Summary_LCIA!AG$32</f>
        <v>8.0806561164669631E-3</v>
      </c>
      <c r="BL337" s="137">
        <f>$W337*AQ337+$L337*Summary_LCIA!AH$32</f>
        <v>1.2467496160566396</v>
      </c>
      <c r="BM337" s="137">
        <f>$W337*AR337+$L337*Summary_LCIA!AI$32</f>
        <v>0.32181478536636449</v>
      </c>
    </row>
    <row r="338" spans="1:65" x14ac:dyDescent="0.25">
      <c r="A338" s="149">
        <v>101</v>
      </c>
      <c r="B338" s="149">
        <v>43</v>
      </c>
      <c r="C338" s="61">
        <v>46.256036000000002</v>
      </c>
      <c r="D338" s="61">
        <v>-63.137495000000001</v>
      </c>
      <c r="E338" s="61" t="s">
        <v>461</v>
      </c>
      <c r="F338" s="149">
        <v>141</v>
      </c>
      <c r="G338" s="61" t="s">
        <v>661</v>
      </c>
      <c r="H338" s="61" t="s">
        <v>662</v>
      </c>
      <c r="I338" s="61">
        <v>46.116180999999997</v>
      </c>
      <c r="J338" s="61">
        <v>-64.688446999999996</v>
      </c>
      <c r="K338" s="61">
        <v>129.61196319999999</v>
      </c>
      <c r="L338" s="61">
        <v>158.78800000000001</v>
      </c>
      <c r="M338" s="61" t="s">
        <v>617</v>
      </c>
      <c r="N338" s="149">
        <v>42</v>
      </c>
      <c r="O338" s="149">
        <v>43</v>
      </c>
      <c r="P338" s="61" t="s">
        <v>565</v>
      </c>
      <c r="Q338" s="61" t="s">
        <v>555</v>
      </c>
      <c r="R338" s="61">
        <v>40.6895314</v>
      </c>
      <c r="S338" s="61">
        <v>-74.174462399999996</v>
      </c>
      <c r="T338" s="61">
        <v>1316.777</v>
      </c>
      <c r="U338" s="61" t="s">
        <v>617</v>
      </c>
      <c r="V338" s="61" t="s">
        <v>569</v>
      </c>
      <c r="W338" s="61" cm="1">
        <f t="array" ref="W338">getDistance(I338,J338,R338,S338)*SA!$B$12</f>
        <v>976.21921839853326</v>
      </c>
      <c r="Y338" s="137">
        <f>Transportation_LCIA!C$61*($W338^Transportation_LCIA!C$60)+Transportation_LCIA!C$62</f>
        <v>0.23804060106334077</v>
      </c>
      <c r="Z338" s="137">
        <f>Transportation_LCIA!D$61*($W338^Transportation_LCIA!D$60)+Transportation_LCIA!D$62</f>
        <v>2.4504484062130265</v>
      </c>
      <c r="AA338" s="137">
        <f>Transportation_LCIA!E$61*($W338^Transportation_LCIA!E$60)+Transportation_LCIA!E$62</f>
        <v>1.1606720913959455E-3</v>
      </c>
      <c r="AB338" s="137">
        <f>Transportation_LCIA!F$61*($W338^Transportation_LCIA!F$60)+Transportation_LCIA!F$62</f>
        <v>0.23804060106334077</v>
      </c>
      <c r="AC338" s="137">
        <f>Transportation_LCIA!G$61*($W338^Transportation_LCIA!G$60)+Transportation_LCIA!G$62</f>
        <v>5.726520247855086E-2</v>
      </c>
      <c r="AD338" s="137">
        <f>Transportation_LCIA!H$61*($W338^Transportation_LCIA!H$60)+Transportation_LCIA!H$62</f>
        <v>2.8038992352398014E-4</v>
      </c>
      <c r="AE338" s="137">
        <f>Transportation_LCIA!I$61*($W338^Transportation_LCIA!I$60)+Transportation_LCIA!I$62</f>
        <v>6.0105898982720086E-6</v>
      </c>
      <c r="AF338" s="137">
        <f>Transportation_LCIA!J$61*($W338^Transportation_LCIA!J$60)+Transportation_LCIA!J$62</f>
        <v>8.896852176798465E-3</v>
      </c>
      <c r="AG338" s="137">
        <f>Transportation_LCIA!K$61*($W338^Transportation_LCIA!K$60)+Transportation_LCIA!K$62</f>
        <v>1.2191850397092132E-2</v>
      </c>
      <c r="AH338" s="137">
        <f>Transportation_LCIA!L$61*($W338^Transportation_LCIA!L$60)+Transportation_LCIA!L$62</f>
        <v>2.431855860123998E-4</v>
      </c>
      <c r="AI338" s="137">
        <f>Transportation_LCIA!M$61*($W338^Transportation_LCIA!M$60)+Transportation_LCIA!M$62</f>
        <v>2.4559148071851629E-4</v>
      </c>
      <c r="AJ338" s="137">
        <f>Transportation_LCIA!N$61*($W338^Transportation_LCIA!N$60)+Transportation_LCIA!N$62</f>
        <v>1.0019337441737129E-3</v>
      </c>
      <c r="AK338" s="137">
        <f>Transportation_LCIA!O$61*($W338^Transportation_LCIA!O$60)+Transportation_LCIA!O$62</f>
        <v>6.0515654755985323E-5</v>
      </c>
      <c r="AL338" s="137">
        <f>Transportation_LCIA!P$61*($W338^Transportation_LCIA!P$60)+Transportation_LCIA!P$62</f>
        <v>2.9264180015516956E-8</v>
      </c>
      <c r="AM338" s="137">
        <f>Transportation_LCIA!Q$61*($W338^Transportation_LCIA!Q$60)+Transportation_LCIA!Q$62</f>
        <v>9.6246506035158898E-5</v>
      </c>
      <c r="AN338" s="137">
        <f>Transportation_LCIA!R$61*($W338^Transportation_LCIA!R$60)+Transportation_LCIA!R$62</f>
        <v>2.8906877213541162E-4</v>
      </c>
      <c r="AO338" s="137">
        <f>Transportation_LCIA!S$61*($W338^Transportation_LCIA!S$60)+Transportation_LCIA!S$62</f>
        <v>4.3599423404604346E-6</v>
      </c>
      <c r="AP338" s="137">
        <f>Transportation_LCIA!T$61*($W338^Transportation_LCIA!T$60)+Transportation_LCIA!T$62</f>
        <v>4.3599423404604346E-6</v>
      </c>
      <c r="AQ338" s="137">
        <f>Transportation_LCIA!U$61*($W338^Transportation_LCIA!U$60)+Transportation_LCIA!U$62</f>
        <v>6.2062975697497851E-4</v>
      </c>
      <c r="AR338" s="137">
        <f>Transportation_LCIA!V$61*($W338^Transportation_LCIA!V$60)+Transportation_LCIA!V$62</f>
        <v>2.503045929040431E-4</v>
      </c>
      <c r="AT338" s="137">
        <f>$W338*Y338+$L338*Summary_LCIA!H$32</f>
        <v>286.33597191717161</v>
      </c>
      <c r="AU338" s="137">
        <f>$W338*Z338+$L338*Summary_LCIA!Q$32</f>
        <v>3179.1361639944162</v>
      </c>
      <c r="AV338" s="137">
        <f>$W338*AA338+$L338*Summary_LCIA!R$32</f>
        <v>1.9691844946795407</v>
      </c>
      <c r="AW338" s="137">
        <f>$W338*AB338+$L338*Summary_LCIA!S$32</f>
        <v>285.63412895717158</v>
      </c>
      <c r="AX338" s="137">
        <f>$W338*AC338+$L338*Summary_LCIA!T$32</f>
        <v>73.354192405044671</v>
      </c>
      <c r="AY338" s="137">
        <f>$W338*AD338+$L338*Summary_LCIA!U$32</f>
        <v>3.1182502639894043</v>
      </c>
      <c r="AZ338" s="137">
        <f>$W338*AE338+$L338*Summary_LCIA!V$32</f>
        <v>1.345152704060522E-2</v>
      </c>
      <c r="BA338" s="137">
        <f>$W338*AF338+$L338*Summary_LCIA!W$32</f>
        <v>20.907349226241486</v>
      </c>
      <c r="BB338" s="137">
        <f>$W338*AG338+$L338*Summary_LCIA!X$32</f>
        <v>15.519109305481129</v>
      </c>
      <c r="BC338" s="137">
        <f>$W338*AH338+$L338*Summary_LCIA!Y$32</f>
        <v>2.7116370587028147</v>
      </c>
      <c r="BD338" s="137">
        <f>$W338*AI338+$L338*Summary_LCIA!Z$32</f>
        <v>0.24626286044436843</v>
      </c>
      <c r="BE338" s="137">
        <f>$W338*AJ338+$L338*Summary_LCIA!AA$32</f>
        <v>4.6867595046243782</v>
      </c>
      <c r="BF338" s="137">
        <f>$W338*AK338+$L338*Summary_LCIA!AB$32</f>
        <v>5.5611314662763471E-2</v>
      </c>
      <c r="BG338" s="137">
        <f>$W338*AL338+$L338*Summary_LCIA!AC$32</f>
        <v>3.6330447533821945E-5</v>
      </c>
      <c r="BH338" s="137">
        <f>$W338*AM338+$L338*Summary_LCIA!AD$32</f>
        <v>0.15922590841523254</v>
      </c>
      <c r="BI338" s="137">
        <f>$W338*AN338+$L338*Summary_LCIA!AE$32</f>
        <v>0.42290130123745523</v>
      </c>
      <c r="BJ338" s="137">
        <f>$W338*AO338+$L338*Summary_LCIA!AF$32</f>
        <v>0.13849881046386697</v>
      </c>
      <c r="BK338" s="137">
        <f>$W338*AP338+$L338*Summary_LCIA!AG$32</f>
        <v>1.2380647523866958E-2</v>
      </c>
      <c r="BL338" s="137">
        <f>$W338*AQ338+$L338*Summary_LCIA!AH$32</f>
        <v>1.9878979330689854</v>
      </c>
      <c r="BM338" s="137">
        <f>$W338*AR338+$L338*Summary_LCIA!AI$32</f>
        <v>0.39227111544634802</v>
      </c>
    </row>
    <row r="339" spans="1:65" x14ac:dyDescent="0.25">
      <c r="A339" s="149">
        <v>102</v>
      </c>
      <c r="B339" s="149">
        <v>43</v>
      </c>
      <c r="C339" s="61">
        <v>46.256036000000002</v>
      </c>
      <c r="D339" s="61">
        <v>-63.137495000000001</v>
      </c>
      <c r="E339" s="61" t="s">
        <v>461</v>
      </c>
      <c r="F339" s="149">
        <v>141</v>
      </c>
      <c r="G339" s="61" t="s">
        <v>661</v>
      </c>
      <c r="H339" s="61" t="s">
        <v>662</v>
      </c>
      <c r="I339" s="61">
        <v>46.116180999999997</v>
      </c>
      <c r="J339" s="61">
        <v>-64.688446999999996</v>
      </c>
      <c r="K339" s="61">
        <v>129.61196319999999</v>
      </c>
      <c r="L339" s="61">
        <v>158.78800000000001</v>
      </c>
      <c r="M339" s="61" t="s">
        <v>617</v>
      </c>
      <c r="N339" s="149">
        <v>42</v>
      </c>
      <c r="O339" s="149">
        <v>43</v>
      </c>
      <c r="P339" s="61" t="s">
        <v>565</v>
      </c>
      <c r="Q339" s="61" t="s">
        <v>555</v>
      </c>
      <c r="R339" s="61">
        <v>40.6895314</v>
      </c>
      <c r="S339" s="61">
        <v>-74.174462399999996</v>
      </c>
      <c r="T339" s="61">
        <v>1316.777</v>
      </c>
      <c r="U339" s="61" t="s">
        <v>617</v>
      </c>
      <c r="V339" s="61" t="s">
        <v>569</v>
      </c>
      <c r="W339" s="61" cm="1">
        <f t="array" ref="W339">getDistance(I339,J339,R339,S339)*SA!$B$12</f>
        <v>976.21921839853326</v>
      </c>
      <c r="Y339" s="137">
        <f>Transportation_LCIA!C$61*($W339^Transportation_LCIA!C$60)+Transportation_LCIA!C$62</f>
        <v>0.23804060106334077</v>
      </c>
      <c r="Z339" s="137">
        <f>Transportation_LCIA!D$61*($W339^Transportation_LCIA!D$60)+Transportation_LCIA!D$62</f>
        <v>2.4504484062130265</v>
      </c>
      <c r="AA339" s="137">
        <f>Transportation_LCIA!E$61*($W339^Transportation_LCIA!E$60)+Transportation_LCIA!E$62</f>
        <v>1.1606720913959455E-3</v>
      </c>
      <c r="AB339" s="137">
        <f>Transportation_LCIA!F$61*($W339^Transportation_LCIA!F$60)+Transportation_LCIA!F$62</f>
        <v>0.23804060106334077</v>
      </c>
      <c r="AC339" s="137">
        <f>Transportation_LCIA!G$61*($W339^Transportation_LCIA!G$60)+Transportation_LCIA!G$62</f>
        <v>5.726520247855086E-2</v>
      </c>
      <c r="AD339" s="137">
        <f>Transportation_LCIA!H$61*($W339^Transportation_LCIA!H$60)+Transportation_LCIA!H$62</f>
        <v>2.8038992352398014E-4</v>
      </c>
      <c r="AE339" s="137">
        <f>Transportation_LCIA!I$61*($W339^Transportation_LCIA!I$60)+Transportation_LCIA!I$62</f>
        <v>6.0105898982720086E-6</v>
      </c>
      <c r="AF339" s="137">
        <f>Transportation_LCIA!J$61*($W339^Transportation_LCIA!J$60)+Transportation_LCIA!J$62</f>
        <v>8.896852176798465E-3</v>
      </c>
      <c r="AG339" s="137">
        <f>Transportation_LCIA!K$61*($W339^Transportation_LCIA!K$60)+Transportation_LCIA!K$62</f>
        <v>1.2191850397092132E-2</v>
      </c>
      <c r="AH339" s="137">
        <f>Transportation_LCIA!L$61*($W339^Transportation_LCIA!L$60)+Transportation_LCIA!L$62</f>
        <v>2.431855860123998E-4</v>
      </c>
      <c r="AI339" s="137">
        <f>Transportation_LCIA!M$61*($W339^Transportation_LCIA!M$60)+Transportation_LCIA!M$62</f>
        <v>2.4559148071851629E-4</v>
      </c>
      <c r="AJ339" s="137">
        <f>Transportation_LCIA!N$61*($W339^Transportation_LCIA!N$60)+Transportation_LCIA!N$62</f>
        <v>1.0019337441737129E-3</v>
      </c>
      <c r="AK339" s="137">
        <f>Transportation_LCIA!O$61*($W339^Transportation_LCIA!O$60)+Transportation_LCIA!O$62</f>
        <v>6.0515654755985323E-5</v>
      </c>
      <c r="AL339" s="137">
        <f>Transportation_LCIA!P$61*($W339^Transportation_LCIA!P$60)+Transportation_LCIA!P$62</f>
        <v>2.9264180015516956E-8</v>
      </c>
      <c r="AM339" s="137">
        <f>Transportation_LCIA!Q$61*($W339^Transportation_LCIA!Q$60)+Transportation_LCIA!Q$62</f>
        <v>9.6246506035158898E-5</v>
      </c>
      <c r="AN339" s="137">
        <f>Transportation_LCIA!R$61*($W339^Transportation_LCIA!R$60)+Transportation_LCIA!R$62</f>
        <v>2.8906877213541162E-4</v>
      </c>
      <c r="AO339" s="137">
        <f>Transportation_LCIA!S$61*($W339^Transportation_LCIA!S$60)+Transportation_LCIA!S$62</f>
        <v>4.3599423404604346E-6</v>
      </c>
      <c r="AP339" s="137">
        <f>Transportation_LCIA!T$61*($W339^Transportation_LCIA!T$60)+Transportation_LCIA!T$62</f>
        <v>4.3599423404604346E-6</v>
      </c>
      <c r="AQ339" s="137">
        <f>Transportation_LCIA!U$61*($W339^Transportation_LCIA!U$60)+Transportation_LCIA!U$62</f>
        <v>6.2062975697497851E-4</v>
      </c>
      <c r="AR339" s="137">
        <f>Transportation_LCIA!V$61*($W339^Transportation_LCIA!V$60)+Transportation_LCIA!V$62</f>
        <v>2.503045929040431E-4</v>
      </c>
      <c r="AT339" s="137">
        <f>$W339*Y339+$L339*Summary_LCIA!H$32</f>
        <v>286.33597191717161</v>
      </c>
      <c r="AU339" s="137">
        <f>$W339*Z339+$L339*Summary_LCIA!Q$32</f>
        <v>3179.1361639944162</v>
      </c>
      <c r="AV339" s="137">
        <f>$W339*AA339+$L339*Summary_LCIA!R$32</f>
        <v>1.9691844946795407</v>
      </c>
      <c r="AW339" s="137">
        <f>$W339*AB339+$L339*Summary_LCIA!S$32</f>
        <v>285.63412895717158</v>
      </c>
      <c r="AX339" s="137">
        <f>$W339*AC339+$L339*Summary_LCIA!T$32</f>
        <v>73.354192405044671</v>
      </c>
      <c r="AY339" s="137">
        <f>$W339*AD339+$L339*Summary_LCIA!U$32</f>
        <v>3.1182502639894043</v>
      </c>
      <c r="AZ339" s="137">
        <f>$W339*AE339+$L339*Summary_LCIA!V$32</f>
        <v>1.345152704060522E-2</v>
      </c>
      <c r="BA339" s="137">
        <f>$W339*AF339+$L339*Summary_LCIA!W$32</f>
        <v>20.907349226241486</v>
      </c>
      <c r="BB339" s="137">
        <f>$W339*AG339+$L339*Summary_LCIA!X$32</f>
        <v>15.519109305481129</v>
      </c>
      <c r="BC339" s="137">
        <f>$W339*AH339+$L339*Summary_LCIA!Y$32</f>
        <v>2.7116370587028147</v>
      </c>
      <c r="BD339" s="137">
        <f>$W339*AI339+$L339*Summary_LCIA!Z$32</f>
        <v>0.24626286044436843</v>
      </c>
      <c r="BE339" s="137">
        <f>$W339*AJ339+$L339*Summary_LCIA!AA$32</f>
        <v>4.6867595046243782</v>
      </c>
      <c r="BF339" s="137">
        <f>$W339*AK339+$L339*Summary_LCIA!AB$32</f>
        <v>5.5611314662763471E-2</v>
      </c>
      <c r="BG339" s="137">
        <f>$W339*AL339+$L339*Summary_LCIA!AC$32</f>
        <v>3.6330447533821945E-5</v>
      </c>
      <c r="BH339" s="137">
        <f>$W339*AM339+$L339*Summary_LCIA!AD$32</f>
        <v>0.15922590841523254</v>
      </c>
      <c r="BI339" s="137">
        <f>$W339*AN339+$L339*Summary_LCIA!AE$32</f>
        <v>0.42290130123745523</v>
      </c>
      <c r="BJ339" s="137">
        <f>$W339*AO339+$L339*Summary_LCIA!AF$32</f>
        <v>0.13849881046386697</v>
      </c>
      <c r="BK339" s="137">
        <f>$W339*AP339+$L339*Summary_LCIA!AG$32</f>
        <v>1.2380647523866958E-2</v>
      </c>
      <c r="BL339" s="137">
        <f>$W339*AQ339+$L339*Summary_LCIA!AH$32</f>
        <v>1.9878979330689854</v>
      </c>
      <c r="BM339" s="137">
        <f>$W339*AR339+$L339*Summary_LCIA!AI$32</f>
        <v>0.39227111544634802</v>
      </c>
    </row>
    <row r="340" spans="1:65" x14ac:dyDescent="0.25">
      <c r="A340" s="149">
        <v>320</v>
      </c>
      <c r="B340" s="149">
        <v>16</v>
      </c>
      <c r="C340" s="61">
        <v>50.445211</v>
      </c>
      <c r="D340" s="61">
        <v>-104.618894</v>
      </c>
      <c r="E340" s="61" t="s">
        <v>457</v>
      </c>
      <c r="F340" s="149">
        <v>136</v>
      </c>
      <c r="G340" s="61" t="s">
        <v>720</v>
      </c>
      <c r="H340" s="61" t="s">
        <v>721</v>
      </c>
      <c r="I340" s="61">
        <v>50.432102999999998</v>
      </c>
      <c r="J340" s="61">
        <v>-104.66394099999999</v>
      </c>
      <c r="K340" s="61">
        <v>3.6963417160000001</v>
      </c>
      <c r="L340" s="61">
        <v>4.2089999999999996</v>
      </c>
      <c r="M340" s="61" t="s">
        <v>617</v>
      </c>
      <c r="N340" s="149">
        <v>15</v>
      </c>
      <c r="O340" s="149">
        <v>16</v>
      </c>
      <c r="P340" s="61" t="s">
        <v>565</v>
      </c>
      <c r="Q340" s="61" t="s">
        <v>556</v>
      </c>
      <c r="R340" s="61">
        <v>39.856096299999997</v>
      </c>
      <c r="S340" s="61">
        <v>-104.6737376</v>
      </c>
      <c r="T340" s="61">
        <v>1358.01</v>
      </c>
      <c r="U340" s="61" t="s">
        <v>617</v>
      </c>
      <c r="V340" s="61" t="s">
        <v>569</v>
      </c>
      <c r="W340" s="61" cm="1">
        <f t="array" ref="W340">getDistance(I340,J340,R340,S340)*SA!$B$12</f>
        <v>1177.3292143961403</v>
      </c>
      <c r="Y340" s="137">
        <f>Transportation_LCIA!C$61*($W340^Transportation_LCIA!C$60)+Transportation_LCIA!C$62</f>
        <v>0.2196961093135443</v>
      </c>
      <c r="Z340" s="137">
        <f>Transportation_LCIA!D$61*($W340^Transportation_LCIA!D$60)+Transportation_LCIA!D$62</f>
        <v>2.2370321321589968</v>
      </c>
      <c r="AA340" s="137">
        <f>Transportation_LCIA!E$61*($W340^Transportation_LCIA!E$60)+Transportation_LCIA!E$62</f>
        <v>1.0204763309200012E-3</v>
      </c>
      <c r="AB340" s="137">
        <f>Transportation_LCIA!F$61*($W340^Transportation_LCIA!F$60)+Transportation_LCIA!F$62</f>
        <v>0.2196961093135443</v>
      </c>
      <c r="AC340" s="137">
        <f>Transportation_LCIA!G$61*($W340^Transportation_LCIA!G$60)+Transportation_LCIA!G$62</f>
        <v>5.2326761643759011E-2</v>
      </c>
      <c r="AD340" s="137">
        <f>Transportation_LCIA!H$61*($W340^Transportation_LCIA!H$60)+Transportation_LCIA!H$62</f>
        <v>2.4961684256268035E-4</v>
      </c>
      <c r="AE340" s="137">
        <f>Transportation_LCIA!I$61*($W340^Transportation_LCIA!I$60)+Transportation_LCIA!I$62</f>
        <v>5.2380678698073826E-6</v>
      </c>
      <c r="AF340" s="137">
        <f>Transportation_LCIA!J$61*($W340^Transportation_LCIA!J$60)+Transportation_LCIA!J$62</f>
        <v>7.7484421812559733E-3</v>
      </c>
      <c r="AG340" s="137">
        <f>Transportation_LCIA!K$61*($W340^Transportation_LCIA!K$60)+Transportation_LCIA!K$62</f>
        <v>1.104086210033306E-2</v>
      </c>
      <c r="AH340" s="137">
        <f>Transportation_LCIA!L$61*($W340^Transportation_LCIA!L$60)+Transportation_LCIA!L$62</f>
        <v>2.149170752343871E-4</v>
      </c>
      <c r="AI340" s="137">
        <f>Transportation_LCIA!M$61*($W340^Transportation_LCIA!M$60)+Transportation_LCIA!M$62</f>
        <v>2.2860969017513696E-4</v>
      </c>
      <c r="AJ340" s="137">
        <f>Transportation_LCIA!N$61*($W340^Transportation_LCIA!N$60)+Transportation_LCIA!N$62</f>
        <v>8.984467264018136E-4</v>
      </c>
      <c r="AK340" s="137">
        <f>Transportation_LCIA!O$61*($W340^Transportation_LCIA!O$60)+Transportation_LCIA!O$62</f>
        <v>5.526837383711451E-5</v>
      </c>
      <c r="AL340" s="137">
        <f>Transportation_LCIA!P$61*($W340^Transportation_LCIA!P$60)+Transportation_LCIA!P$62</f>
        <v>2.6740760492339211E-8</v>
      </c>
      <c r="AM340" s="137">
        <f>Transportation_LCIA!Q$61*($W340^Transportation_LCIA!Q$60)+Transportation_LCIA!Q$62</f>
        <v>8.5198197600818486E-5</v>
      </c>
      <c r="AN340" s="137">
        <f>Transportation_LCIA!R$61*($W340^Transportation_LCIA!R$60)+Transportation_LCIA!R$62</f>
        <v>2.5202653595898057E-4</v>
      </c>
      <c r="AO340" s="137">
        <f>Transportation_LCIA!S$61*($W340^Transportation_LCIA!S$60)+Transportation_LCIA!S$62</f>
        <v>3.8341691693400328E-6</v>
      </c>
      <c r="AP340" s="137">
        <f>Transportation_LCIA!T$61*($W340^Transportation_LCIA!T$60)+Transportation_LCIA!T$62</f>
        <v>3.8341691693400328E-6</v>
      </c>
      <c r="AQ340" s="137">
        <f>Transportation_LCIA!U$61*($W340^Transportation_LCIA!U$60)+Transportation_LCIA!U$62</f>
        <v>5.3943818955445389E-4</v>
      </c>
      <c r="AR340" s="137">
        <f>Transportation_LCIA!V$61*($W340^Transportation_LCIA!V$60)+Transportation_LCIA!V$62</f>
        <v>2.2157828517714307E-4</v>
      </c>
      <c r="AT340" s="137">
        <f>$W340*Y340+$L340*Summary_LCIA!H$32</f>
        <v>260.08486598400367</v>
      </c>
      <c r="AU340" s="137">
        <f>$W340*Z340+$L340*Summary_LCIA!Q$32</f>
        <v>2654.5832990061713</v>
      </c>
      <c r="AV340" s="137">
        <f>$W340*AA340+$L340*Summary_LCIA!R$32</f>
        <v>1.2235995073919008</v>
      </c>
      <c r="AW340" s="137">
        <f>$W340*AB340+$L340*Summary_LCIA!S$32</f>
        <v>260.06626220400364</v>
      </c>
      <c r="AX340" s="137">
        <f>$W340*AC340+$L340*Summary_LCIA!T$32</f>
        <v>62.068394277940882</v>
      </c>
      <c r="AY340" s="137">
        <f>$W340*AD340+$L340*Summary_LCIA!U$32</f>
        <v>0.36928122715436551</v>
      </c>
      <c r="AZ340" s="137">
        <f>$W340*AE340+$L340*Summary_LCIA!V$32</f>
        <v>6.3679563791139903E-3</v>
      </c>
      <c r="BA340" s="137">
        <f>$W340*AF340+$L340*Summary_LCIA!W$32</f>
        <v>9.446438285052011</v>
      </c>
      <c r="BB340" s="137">
        <f>$W340*AG340+$L340*Summary_LCIA!X$32</f>
        <v>13.094610522841242</v>
      </c>
      <c r="BC340" s="137">
        <f>$W340*AH340+$L340*Summary_LCIA!Y$32</f>
        <v>0.31861278934601711</v>
      </c>
      <c r="BD340" s="137">
        <f>$W340*AI340+$L340*Summary_LCIA!Z$32</f>
        <v>0.26932147381823907</v>
      </c>
      <c r="BE340" s="137">
        <f>$W340*AJ340+$L340*Summary_LCIA!AA$32</f>
        <v>1.1560729825714311</v>
      </c>
      <c r="BF340" s="137">
        <f>$W340*AK340+$L340*Summary_LCIA!AB$32</f>
        <v>6.4977218143602217E-2</v>
      </c>
      <c r="BG340" s="137">
        <f>$W340*AL340+$L340*Summary_LCIA!AC$32</f>
        <v>3.1688431298801068E-5</v>
      </c>
      <c r="BH340" s="137">
        <f>$W340*AM340+$L340*Summary_LCIA!AD$32</f>
        <v>0.10203639440933876</v>
      </c>
      <c r="BI340" s="137">
        <f>$W340*AN340+$L340*Summary_LCIA!AE$32</f>
        <v>0.30044792475756715</v>
      </c>
      <c r="BJ340" s="137">
        <f>$W340*AO340+$L340*Summary_LCIA!AF$32</f>
        <v>8.0724521560010028E-3</v>
      </c>
      <c r="BK340" s="137">
        <f>$W340*AP340+$L340*Summary_LCIA!AG$32</f>
        <v>4.7294328610010027E-3</v>
      </c>
      <c r="BL340" s="137">
        <f>$W340*AQ340+$L340*Summary_LCIA!AH$32</f>
        <v>0.67172979232342145</v>
      </c>
      <c r="BM340" s="137">
        <f>$W340*AR340+$L340*Summary_LCIA!AI$32</f>
        <v>0.26479148236484978</v>
      </c>
    </row>
    <row r="341" spans="1:65" x14ac:dyDescent="0.25">
      <c r="A341" s="149">
        <v>334</v>
      </c>
      <c r="B341" s="149">
        <v>29</v>
      </c>
      <c r="C341" s="61">
        <v>36.974117</v>
      </c>
      <c r="D341" s="61">
        <v>-122.030796</v>
      </c>
      <c r="E341" s="61" t="s">
        <v>265</v>
      </c>
      <c r="F341" s="149">
        <v>95</v>
      </c>
      <c r="G341" s="61" t="s">
        <v>723</v>
      </c>
      <c r="H341" s="61" t="s">
        <v>724</v>
      </c>
      <c r="I341" s="61">
        <v>37.363947000000003</v>
      </c>
      <c r="J341" s="61">
        <v>-121.928938</v>
      </c>
      <c r="K341" s="61">
        <v>85.919231850000003</v>
      </c>
      <c r="L341" s="61">
        <v>54.384999999999998</v>
      </c>
      <c r="M341" s="61" t="s">
        <v>617</v>
      </c>
      <c r="N341" s="149">
        <v>28</v>
      </c>
      <c r="O341" s="149">
        <v>29</v>
      </c>
      <c r="P341" s="61" t="s">
        <v>565</v>
      </c>
      <c r="Q341" s="61" t="s">
        <v>559</v>
      </c>
      <c r="R341" s="61">
        <v>47.450249900000003</v>
      </c>
      <c r="S341" s="61">
        <v>-122.30881650000001</v>
      </c>
      <c r="T341" s="61">
        <v>1380.702</v>
      </c>
      <c r="U341" s="61" t="s">
        <v>617</v>
      </c>
      <c r="V341" s="61" t="s">
        <v>569</v>
      </c>
      <c r="W341" s="61" cm="1">
        <f t="array" ref="W341">getDistance(I341,J341,R341,S341)*SA!$B$12</f>
        <v>1122.8885161222759</v>
      </c>
      <c r="Y341" s="137">
        <f>Transportation_LCIA!C$61*($W341^Transportation_LCIA!C$60)+Transportation_LCIA!C$62</f>
        <v>0.22406410080587294</v>
      </c>
      <c r="Z341" s="137">
        <f>Transportation_LCIA!D$61*($W341^Transportation_LCIA!D$60)+Transportation_LCIA!D$62</f>
        <v>2.2876891547268983</v>
      </c>
      <c r="AA341" s="137">
        <f>Transportation_LCIA!E$61*($W341^Transportation_LCIA!E$60)+Transportation_LCIA!E$62</f>
        <v>1.053724159324039E-3</v>
      </c>
      <c r="AB341" s="137">
        <f>Transportation_LCIA!F$61*($W341^Transportation_LCIA!F$60)+Transportation_LCIA!F$62</f>
        <v>0.22406410080587294</v>
      </c>
      <c r="AC341" s="137">
        <f>Transportation_LCIA!G$61*($W341^Transportation_LCIA!G$60)+Transportation_LCIA!G$62</f>
        <v>5.3499177250901447E-2</v>
      </c>
      <c r="AD341" s="137">
        <f>Transportation_LCIA!H$61*($W341^Transportation_LCIA!H$60)+Transportation_LCIA!H$62</f>
        <v>2.5690203206666127E-4</v>
      </c>
      <c r="AE341" s="137">
        <f>Transportation_LCIA!I$61*($W341^Transportation_LCIA!I$60)+Transportation_LCIA!I$62</f>
        <v>5.4204396335412955E-6</v>
      </c>
      <c r="AF341" s="137">
        <f>Transportation_LCIA!J$61*($W341^Transportation_LCIA!J$60)+Transportation_LCIA!J$62</f>
        <v>8.0190520461417836E-3</v>
      </c>
      <c r="AG341" s="137">
        <f>Transportation_LCIA!K$61*($W341^Transportation_LCIA!K$60)+Transportation_LCIA!K$62</f>
        <v>1.1313679973660994E-2</v>
      </c>
      <c r="AH341" s="137">
        <f>Transportation_LCIA!L$61*($W341^Transportation_LCIA!L$60)+Transportation_LCIA!L$62</f>
        <v>2.2160397302970679E-4</v>
      </c>
      <c r="AI341" s="137">
        <f>Transportation_LCIA!M$61*($W341^Transportation_LCIA!M$60)+Transportation_LCIA!M$62</f>
        <v>2.3262956020381003E-4</v>
      </c>
      <c r="AJ341" s="137">
        <f>Transportation_LCIA!N$61*($W341^Transportation_LCIA!N$60)+Transportation_LCIA!N$62</f>
        <v>9.2295162299593379E-4</v>
      </c>
      <c r="AK341" s="137">
        <f>Transportation_LCIA!O$61*($W341^Transportation_LCIA!O$60)+Transportation_LCIA!O$62</f>
        <v>5.6514002355368607E-5</v>
      </c>
      <c r="AL341" s="137">
        <f>Transportation_LCIA!P$61*($W341^Transportation_LCIA!P$60)+Transportation_LCIA!P$62</f>
        <v>2.7339923792184087E-8</v>
      </c>
      <c r="AM341" s="137">
        <f>Transportation_LCIA!Q$61*($W341^Transportation_LCIA!Q$60)+Transportation_LCIA!Q$62</f>
        <v>8.7810539654600102E-5</v>
      </c>
      <c r="AN341" s="137">
        <f>Transportation_LCIA!R$61*($W341^Transportation_LCIA!R$60)+Transportation_LCIA!R$62</f>
        <v>2.607706204398866E-4</v>
      </c>
      <c r="AO341" s="137">
        <f>Transportation_LCIA!S$61*($W341^Transportation_LCIA!S$60)+Transportation_LCIA!S$62</f>
        <v>3.9582973450462707E-6</v>
      </c>
      <c r="AP341" s="137">
        <f>Transportation_LCIA!T$61*($W341^Transportation_LCIA!T$60)+Transportation_LCIA!T$62</f>
        <v>3.9582973450462707E-6</v>
      </c>
      <c r="AQ341" s="137">
        <f>Transportation_LCIA!U$61*($W341^Transportation_LCIA!U$60)+Transportation_LCIA!U$62</f>
        <v>5.5859379412890307E-4</v>
      </c>
      <c r="AR341" s="137">
        <f>Transportation_LCIA!V$61*($W341^Transportation_LCIA!V$60)+Transportation_LCIA!V$62</f>
        <v>2.2836675907980154E-4</v>
      </c>
      <c r="AT341" s="137">
        <f>$W341*Y341+$L341*Summary_LCIA!H$32</f>
        <v>270.07902867017873</v>
      </c>
      <c r="AU341" s="137">
        <f>$W341*Z341+$L341*Summary_LCIA!Q$32</f>
        <v>2838.3546830990153</v>
      </c>
      <c r="AV341" s="137">
        <f>$W341*AA341+$L341*Summary_LCIA!R$32</f>
        <v>1.4695844136655627</v>
      </c>
      <c r="AW341" s="137">
        <f>$W341*AB341+$L341*Summary_LCIA!S$32</f>
        <v>269.83864697017873</v>
      </c>
      <c r="AX341" s="137">
        <f>$W341*AC341+$L341*Summary_LCIA!T$32</f>
        <v>66.050523257027351</v>
      </c>
      <c r="AY341" s="137">
        <f>$W341*AD341+$L341*Summary_LCIA!U$32</f>
        <v>1.2627252315761306</v>
      </c>
      <c r="AZ341" s="137">
        <f>$W341*AE341+$L341*Summary_LCIA!V$32</f>
        <v>8.6840314018375581E-3</v>
      </c>
      <c r="BA341" s="137">
        <f>$W341*AF341+$L341*Summary_LCIA!W$32</f>
        <v>13.190569287799446</v>
      </c>
      <c r="BB341" s="137">
        <f>$W341*AG341+$L341*Summary_LCIA!X$32</f>
        <v>13.942891617506502</v>
      </c>
      <c r="BC341" s="137">
        <f>$W341*AH341+$L341*Summary_LCIA!Y$32</f>
        <v>1.0962636264421282</v>
      </c>
      <c r="BD341" s="137">
        <f>$W341*AI341+$L341*Summary_LCIA!Z$32</f>
        <v>0.26344733612843391</v>
      </c>
      <c r="BE341" s="137">
        <f>$W341*AJ341+$L341*Summary_LCIA!AA$32</f>
        <v>2.3065878383985501</v>
      </c>
      <c r="BF341" s="137">
        <f>$W341*AK341+$L341*Summary_LCIA!AB$32</f>
        <v>6.2272080389950656E-2</v>
      </c>
      <c r="BG341" s="137">
        <f>$W341*AL341+$L341*Summary_LCIA!AC$32</f>
        <v>3.3358242797901699E-5</v>
      </c>
      <c r="BH341" s="137">
        <f>$W341*AM341+$L341*Summary_LCIA!AD$32</f>
        <v>0.12095585697265017</v>
      </c>
      <c r="BI341" s="137">
        <f>$W341*AN341+$L341*Summary_LCIA!AE$32</f>
        <v>0.34100851508402946</v>
      </c>
      <c r="BJ341" s="137">
        <f>$W341*AO341+$L341*Summary_LCIA!AF$32</f>
        <v>5.0422893332149755E-2</v>
      </c>
      <c r="BK341" s="137">
        <f>$W341*AP341+$L341*Summary_LCIA!AG$32</f>
        <v>7.2273351571497512E-3</v>
      </c>
      <c r="BL341" s="137">
        <f>$W341*AQ341+$L341*Summary_LCIA!AH$32</f>
        <v>1.100583842604516</v>
      </c>
      <c r="BM341" s="137">
        <f>$W341*AR341+$L341*Summary_LCIA!AI$32</f>
        <v>0.30709275798477159</v>
      </c>
    </row>
    <row r="342" spans="1:65" x14ac:dyDescent="0.25">
      <c r="A342" s="149">
        <v>357</v>
      </c>
      <c r="B342" s="149">
        <v>16</v>
      </c>
      <c r="C342" s="61">
        <v>33.436664999999998</v>
      </c>
      <c r="D342" s="61">
        <v>-111.940325</v>
      </c>
      <c r="E342" s="61" t="s">
        <v>265</v>
      </c>
      <c r="F342" s="149">
        <v>44</v>
      </c>
      <c r="G342" s="61" t="s">
        <v>565</v>
      </c>
      <c r="H342" s="61" t="s">
        <v>668</v>
      </c>
      <c r="I342" s="61">
        <v>33.437269000000001</v>
      </c>
      <c r="J342" s="61">
        <v>-112.00778800000001</v>
      </c>
      <c r="K342" s="61">
        <v>6.7490779520000004</v>
      </c>
      <c r="L342" s="61">
        <v>9.0399999999999991</v>
      </c>
      <c r="M342" s="61" t="s">
        <v>617</v>
      </c>
      <c r="N342" s="149">
        <v>15</v>
      </c>
      <c r="O342" s="149">
        <v>16</v>
      </c>
      <c r="P342" s="61" t="s">
        <v>565</v>
      </c>
      <c r="Q342" s="61" t="s">
        <v>556</v>
      </c>
      <c r="R342" s="61">
        <v>39.856096299999997</v>
      </c>
      <c r="S342" s="61">
        <v>-104.6737376</v>
      </c>
      <c r="T342" s="61">
        <v>1401.8340000000001</v>
      </c>
      <c r="U342" s="61" t="s">
        <v>617</v>
      </c>
      <c r="V342" s="61" t="s">
        <v>569</v>
      </c>
      <c r="W342" s="61" cm="1">
        <f t="array" ref="W342">getDistance(I342,J342,R342,S342)*SA!$B$12</f>
        <v>968.6486123202867</v>
      </c>
      <c r="Y342" s="137">
        <f>Transportation_LCIA!C$61*($W342^Transportation_LCIA!C$60)+Transportation_LCIA!C$62</f>
        <v>0.23886719687765717</v>
      </c>
      <c r="Z342" s="137">
        <f>Transportation_LCIA!D$61*($W342^Transportation_LCIA!D$60)+Transportation_LCIA!D$62</f>
        <v>2.4601046233999142</v>
      </c>
      <c r="AA342" s="137">
        <f>Transportation_LCIA!E$61*($W342^Transportation_LCIA!E$60)+Transportation_LCIA!E$62</f>
        <v>1.1670227321326603E-3</v>
      </c>
      <c r="AB342" s="137">
        <f>Transportation_LCIA!F$61*($W342^Transportation_LCIA!F$60)+Transportation_LCIA!F$62</f>
        <v>0.23886719687765717</v>
      </c>
      <c r="AC342" s="137">
        <f>Transportation_LCIA!G$61*($W342^Transportation_LCIA!G$60)+Transportation_LCIA!G$62</f>
        <v>5.7488593082864949E-2</v>
      </c>
      <c r="AD342" s="137">
        <f>Transportation_LCIA!H$61*($W342^Transportation_LCIA!H$60)+Transportation_LCIA!H$62</f>
        <v>2.8178708647962791E-4</v>
      </c>
      <c r="AE342" s="137">
        <f>Transportation_LCIA!I$61*($W342^Transportation_LCIA!I$60)+Transportation_LCIA!I$62</f>
        <v>6.0457933640980744E-6</v>
      </c>
      <c r="AF342" s="137">
        <f>Transportation_LCIA!J$61*($W342^Transportation_LCIA!J$60)+Transportation_LCIA!J$62</f>
        <v>8.9493105460058155E-3</v>
      </c>
      <c r="AG342" s="137">
        <f>Transportation_LCIA!K$61*($W342^Transportation_LCIA!K$60)+Transportation_LCIA!K$62</f>
        <v>1.2244023945167637E-2</v>
      </c>
      <c r="AH342" s="137">
        <f>Transportation_LCIA!L$61*($W342^Transportation_LCIA!L$60)+Transportation_LCIA!L$62</f>
        <v>2.4447038262371504E-4</v>
      </c>
      <c r="AI342" s="137">
        <f>Transportation_LCIA!M$61*($W342^Transportation_LCIA!M$60)+Transportation_LCIA!M$62</f>
        <v>2.4636258596831892E-4</v>
      </c>
      <c r="AJ342" s="137">
        <f>Transportation_LCIA!N$61*($W342^Transportation_LCIA!N$60)+Transportation_LCIA!N$62</f>
        <v>1.0066308986207888E-3</v>
      </c>
      <c r="AK342" s="137">
        <f>Transportation_LCIA!O$61*($W342^Transportation_LCIA!O$60)+Transportation_LCIA!O$62</f>
        <v>6.0753042653991307E-5</v>
      </c>
      <c r="AL342" s="137">
        <f>Transportation_LCIA!P$61*($W342^Transportation_LCIA!P$60)+Transportation_LCIA!P$62</f>
        <v>2.9378304943552793E-8</v>
      </c>
      <c r="AM342" s="137">
        <f>Transportation_LCIA!Q$61*($W342^Transportation_LCIA!Q$60)+Transportation_LCIA!Q$62</f>
        <v>9.67489323424237E-5</v>
      </c>
      <c r="AN342" s="137">
        <f>Transportation_LCIA!R$61*($W342^Transportation_LCIA!R$60)+Transportation_LCIA!R$62</f>
        <v>2.9075691947048329E-4</v>
      </c>
      <c r="AO342" s="137">
        <f>Transportation_LCIA!S$61*($W342^Transportation_LCIA!S$60)+Transportation_LCIA!S$62</f>
        <v>4.3838997605882826E-6</v>
      </c>
      <c r="AP342" s="137">
        <f>Transportation_LCIA!T$61*($W342^Transportation_LCIA!T$60)+Transportation_LCIA!T$62</f>
        <v>4.3838997605882826E-6</v>
      </c>
      <c r="AQ342" s="137">
        <f>Transportation_LCIA!U$61*($W342^Transportation_LCIA!U$60)+Transportation_LCIA!U$62</f>
        <v>6.2433252958363791E-4</v>
      </c>
      <c r="AR342" s="137">
        <f>Transportation_LCIA!V$61*($W342^Transportation_LCIA!V$60)+Transportation_LCIA!V$62</f>
        <v>2.5161188457774699E-4</v>
      </c>
      <c r="AT342" s="137">
        <f>$W342*Y342+$L342*Summary_LCIA!H$32</f>
        <v>234.45017078437934</v>
      </c>
      <c r="AU342" s="137">
        <f>$W342*Z342+$L342*Summary_LCIA!Q$32</f>
        <v>2427.7796255333683</v>
      </c>
      <c r="AV342" s="137">
        <f>$W342*AA342+$L342*Summary_LCIA!R$32</f>
        <v>1.1780359740265309</v>
      </c>
      <c r="AW342" s="137">
        <f>$W342*AB342+$L342*Summary_LCIA!S$32</f>
        <v>234.41021398437934</v>
      </c>
      <c r="AX342" s="137">
        <f>$W342*AC342+$L342*Summary_LCIA!T$32</f>
        <v>56.679741913962765</v>
      </c>
      <c r="AY342" s="137">
        <f>$W342*AD342+$L342*Summary_LCIA!U$32</f>
        <v>0.43489523028826815</v>
      </c>
      <c r="AZ342" s="137">
        <f>$W342*AE342+$L342*Summary_LCIA!V$32</f>
        <v>6.2880087925087976E-3</v>
      </c>
      <c r="BA342" s="137">
        <f>$W342*AF342+$L342*Summary_LCIA!W$32</f>
        <v>9.3645550816118401</v>
      </c>
      <c r="BB342" s="137">
        <f>$W342*AG342+$L342*Summary_LCIA!X$32</f>
        <v>12.066088003702994</v>
      </c>
      <c r="BC342" s="137">
        <f>$W342*AH342+$L342*Summary_LCIA!Y$32</f>
        <v>0.37766717688187113</v>
      </c>
      <c r="BD342" s="137">
        <f>$W342*AI342+$L342*Summary_LCIA!Z$32</f>
        <v>0.23900949838584945</v>
      </c>
      <c r="BE342" s="137">
        <f>$W342*AJ342+$L342*Summary_LCIA!AA$32</f>
        <v>1.1862098630677502</v>
      </c>
      <c r="BF342" s="137">
        <f>$W342*AK342+$L342*Summary_LCIA!AB$32</f>
        <v>5.8651070541023864E-2</v>
      </c>
      <c r="BG342" s="137">
        <f>$W342*AL342+$L342*Summary_LCIA!AC$32</f>
        <v>2.8899165675894633E-5</v>
      </c>
      <c r="BH342" s="137">
        <f>$W342*AM342+$L342*Summary_LCIA!AD$32</f>
        <v>9.7431520656958023E-2</v>
      </c>
      <c r="BI342" s="137">
        <f>$W342*AN342+$L342*Summary_LCIA!AE$32</f>
        <v>0.28965190176760502</v>
      </c>
      <c r="BJ342" s="137">
        <f>$W342*AO342+$L342*Summary_LCIA!AF$32</f>
        <v>1.1889055219645077E-2</v>
      </c>
      <c r="BK342" s="137">
        <f>$W342*AP342+$L342*Summary_LCIA!AG$32</f>
        <v>4.7089900196450769E-3</v>
      </c>
      <c r="BL342" s="137">
        <f>$W342*AQ342+$L342*Summary_LCIA!AH$32</f>
        <v>0.68343938240760527</v>
      </c>
      <c r="BM342" s="137">
        <f>$W342*AR342+$L342*Summary_LCIA!AI$32</f>
        <v>0.25214471483952677</v>
      </c>
    </row>
    <row r="343" spans="1:65" x14ac:dyDescent="0.25">
      <c r="A343" s="149">
        <v>93</v>
      </c>
      <c r="B343" s="149">
        <v>16</v>
      </c>
      <c r="C343" s="61">
        <v>33.452956999999998</v>
      </c>
      <c r="D343" s="61">
        <v>-112.07345100000001</v>
      </c>
      <c r="E343" s="61" t="s">
        <v>265</v>
      </c>
      <c r="F343" s="149">
        <v>44</v>
      </c>
      <c r="G343" s="61" t="s">
        <v>565</v>
      </c>
      <c r="H343" s="61" t="s">
        <v>668</v>
      </c>
      <c r="I343" s="61">
        <v>33.437269000000001</v>
      </c>
      <c r="J343" s="61">
        <v>-112.00778800000001</v>
      </c>
      <c r="K343" s="61">
        <v>8.2391779819999993</v>
      </c>
      <c r="L343" s="61">
        <v>9.9589999999999996</v>
      </c>
      <c r="M343" s="61" t="s">
        <v>617</v>
      </c>
      <c r="N343" s="149">
        <v>15</v>
      </c>
      <c r="O343" s="149">
        <v>16</v>
      </c>
      <c r="P343" s="61" t="s">
        <v>565</v>
      </c>
      <c r="Q343" s="61" t="s">
        <v>556</v>
      </c>
      <c r="R343" s="61">
        <v>39.856096299999997</v>
      </c>
      <c r="S343" s="61">
        <v>-104.6737376</v>
      </c>
      <c r="T343" s="61">
        <v>1415.8969999999999</v>
      </c>
      <c r="U343" s="61" t="s">
        <v>617</v>
      </c>
      <c r="V343" s="61" t="s">
        <v>569</v>
      </c>
      <c r="W343" s="61" cm="1">
        <f t="array" ref="W343">getDistance(I343,J343,R343,S343)*SA!$B$12</f>
        <v>968.6486123202867</v>
      </c>
      <c r="Y343" s="137">
        <f>Transportation_LCIA!C$61*($W343^Transportation_LCIA!C$60)+Transportation_LCIA!C$62</f>
        <v>0.23886719687765717</v>
      </c>
      <c r="Z343" s="137">
        <f>Transportation_LCIA!D$61*($W343^Transportation_LCIA!D$60)+Transportation_LCIA!D$62</f>
        <v>2.4601046233999142</v>
      </c>
      <c r="AA343" s="137">
        <f>Transportation_LCIA!E$61*($W343^Transportation_LCIA!E$60)+Transportation_LCIA!E$62</f>
        <v>1.1670227321326603E-3</v>
      </c>
      <c r="AB343" s="137">
        <f>Transportation_LCIA!F$61*($W343^Transportation_LCIA!F$60)+Transportation_LCIA!F$62</f>
        <v>0.23886719687765717</v>
      </c>
      <c r="AC343" s="137">
        <f>Transportation_LCIA!G$61*($W343^Transportation_LCIA!G$60)+Transportation_LCIA!G$62</f>
        <v>5.7488593082864949E-2</v>
      </c>
      <c r="AD343" s="137">
        <f>Transportation_LCIA!H$61*($W343^Transportation_LCIA!H$60)+Transportation_LCIA!H$62</f>
        <v>2.8178708647962791E-4</v>
      </c>
      <c r="AE343" s="137">
        <f>Transportation_LCIA!I$61*($W343^Transportation_LCIA!I$60)+Transportation_LCIA!I$62</f>
        <v>6.0457933640980744E-6</v>
      </c>
      <c r="AF343" s="137">
        <f>Transportation_LCIA!J$61*($W343^Transportation_LCIA!J$60)+Transportation_LCIA!J$62</f>
        <v>8.9493105460058155E-3</v>
      </c>
      <c r="AG343" s="137">
        <f>Transportation_LCIA!K$61*($W343^Transportation_LCIA!K$60)+Transportation_LCIA!K$62</f>
        <v>1.2244023945167637E-2</v>
      </c>
      <c r="AH343" s="137">
        <f>Transportation_LCIA!L$61*($W343^Transportation_LCIA!L$60)+Transportation_LCIA!L$62</f>
        <v>2.4447038262371504E-4</v>
      </c>
      <c r="AI343" s="137">
        <f>Transportation_LCIA!M$61*($W343^Transportation_LCIA!M$60)+Transportation_LCIA!M$62</f>
        <v>2.4636258596831892E-4</v>
      </c>
      <c r="AJ343" s="137">
        <f>Transportation_LCIA!N$61*($W343^Transportation_LCIA!N$60)+Transportation_LCIA!N$62</f>
        <v>1.0066308986207888E-3</v>
      </c>
      <c r="AK343" s="137">
        <f>Transportation_LCIA!O$61*($W343^Transportation_LCIA!O$60)+Transportation_LCIA!O$62</f>
        <v>6.0753042653991307E-5</v>
      </c>
      <c r="AL343" s="137">
        <f>Transportation_LCIA!P$61*($W343^Transportation_LCIA!P$60)+Transportation_LCIA!P$62</f>
        <v>2.9378304943552793E-8</v>
      </c>
      <c r="AM343" s="137">
        <f>Transportation_LCIA!Q$61*($W343^Transportation_LCIA!Q$60)+Transportation_LCIA!Q$62</f>
        <v>9.67489323424237E-5</v>
      </c>
      <c r="AN343" s="137">
        <f>Transportation_LCIA!R$61*($W343^Transportation_LCIA!R$60)+Transportation_LCIA!R$62</f>
        <v>2.9075691947048329E-4</v>
      </c>
      <c r="AO343" s="137">
        <f>Transportation_LCIA!S$61*($W343^Transportation_LCIA!S$60)+Transportation_LCIA!S$62</f>
        <v>4.3838997605882826E-6</v>
      </c>
      <c r="AP343" s="137">
        <f>Transportation_LCIA!T$61*($W343^Transportation_LCIA!T$60)+Transportation_LCIA!T$62</f>
        <v>4.3838997605882826E-6</v>
      </c>
      <c r="AQ343" s="137">
        <f>Transportation_LCIA!U$61*($W343^Transportation_LCIA!U$60)+Transportation_LCIA!U$62</f>
        <v>6.2433252958363791E-4</v>
      </c>
      <c r="AR343" s="137">
        <f>Transportation_LCIA!V$61*($W343^Transportation_LCIA!V$60)+Transportation_LCIA!V$62</f>
        <v>2.5161188457774699E-4</v>
      </c>
      <c r="AT343" s="137">
        <f>$W343*Y343+$L343*Summary_LCIA!H$32</f>
        <v>234.76244698437935</v>
      </c>
      <c r="AU343" s="137">
        <f>$W343*Z343+$L343*Summary_LCIA!Q$32</f>
        <v>2432.3342358812952</v>
      </c>
      <c r="AV343" s="137">
        <f>$W343*AA343+$L343*Summary_LCIA!R$32</f>
        <v>1.182875060426531</v>
      </c>
      <c r="AW343" s="137">
        <f>$W343*AB343+$L343*Summary_LCIA!S$32</f>
        <v>234.71842820437936</v>
      </c>
      <c r="AX343" s="137">
        <f>$W343*AC343+$L343*Summary_LCIA!T$32</f>
        <v>56.780740013962763</v>
      </c>
      <c r="AY343" s="137">
        <f>$W343*AD343+$L343*Summary_LCIA!U$32</f>
        <v>0.45135819628826818</v>
      </c>
      <c r="AZ343" s="137">
        <f>$W343*AE343+$L343*Summary_LCIA!V$32</f>
        <v>6.3319011515087977E-3</v>
      </c>
      <c r="BA343" s="137">
        <f>$W343*AF343+$L343*Summary_LCIA!W$32</f>
        <v>9.4352914306118407</v>
      </c>
      <c r="BB343" s="137">
        <f>$W343*AG343+$L343*Summary_LCIA!X$32</f>
        <v>12.087022823702993</v>
      </c>
      <c r="BC343" s="137">
        <f>$W343*AH343+$L343*Summary_LCIA!Y$32</f>
        <v>0.39198703488187114</v>
      </c>
      <c r="BD343" s="137">
        <f>$W343*AI343+$L343*Summary_LCIA!Z$32</f>
        <v>0.23904718565684946</v>
      </c>
      <c r="BE343" s="137">
        <f>$W343*AJ343+$L343*Summary_LCIA!AA$32</f>
        <v>1.2076740270677502</v>
      </c>
      <c r="BF343" s="137">
        <f>$W343*AK343+$L343*Summary_LCIA!AB$32</f>
        <v>5.8631015204023869E-2</v>
      </c>
      <c r="BG343" s="137">
        <f>$W343*AL343+$L343*Summary_LCIA!AC$32</f>
        <v>2.8944090071894634E-5</v>
      </c>
      <c r="BH343" s="137">
        <f>$W343*AM343+$L343*Summary_LCIA!AD$32</f>
        <v>9.7809266416958029E-2</v>
      </c>
      <c r="BI343" s="137">
        <f>$W343*AN343+$L343*Summary_LCIA!AE$32</f>
        <v>0.290466255237605</v>
      </c>
      <c r="BJ343" s="137">
        <f>$W343*AO343+$L343*Summary_LCIA!AF$32</f>
        <v>1.2665996199645077E-2</v>
      </c>
      <c r="BK343" s="137">
        <f>$W343*AP343+$L343*Summary_LCIA!AG$32</f>
        <v>4.7560106546450775E-3</v>
      </c>
      <c r="BL343" s="137">
        <f>$W343*AQ343+$L343*Summary_LCIA!AH$32</f>
        <v>0.69143799080760526</v>
      </c>
      <c r="BM343" s="137">
        <f>$W343*AR343+$L343*Summary_LCIA!AI$32</f>
        <v>0.25300080928952678</v>
      </c>
    </row>
    <row r="344" spans="1:65" x14ac:dyDescent="0.25">
      <c r="A344" s="149">
        <v>94</v>
      </c>
      <c r="B344" s="149">
        <v>16</v>
      </c>
      <c r="C344" s="61">
        <v>33.452956999999998</v>
      </c>
      <c r="D344" s="61">
        <v>-112.07345100000001</v>
      </c>
      <c r="E344" s="61" t="s">
        <v>265</v>
      </c>
      <c r="F344" s="149">
        <v>44</v>
      </c>
      <c r="G344" s="61" t="s">
        <v>565</v>
      </c>
      <c r="H344" s="61" t="s">
        <v>668</v>
      </c>
      <c r="I344" s="61">
        <v>33.437269000000001</v>
      </c>
      <c r="J344" s="61">
        <v>-112.00778800000001</v>
      </c>
      <c r="K344" s="61">
        <v>8.2391779819999993</v>
      </c>
      <c r="L344" s="61">
        <v>9.9589999999999996</v>
      </c>
      <c r="M344" s="61" t="s">
        <v>617</v>
      </c>
      <c r="N344" s="149">
        <v>15</v>
      </c>
      <c r="O344" s="149">
        <v>16</v>
      </c>
      <c r="P344" s="61" t="s">
        <v>565</v>
      </c>
      <c r="Q344" s="61" t="s">
        <v>556</v>
      </c>
      <c r="R344" s="61">
        <v>39.856096299999997</v>
      </c>
      <c r="S344" s="61">
        <v>-104.6737376</v>
      </c>
      <c r="T344" s="61">
        <v>1415.8969999999999</v>
      </c>
      <c r="U344" s="61" t="s">
        <v>617</v>
      </c>
      <c r="V344" s="61" t="s">
        <v>569</v>
      </c>
      <c r="W344" s="61" cm="1">
        <f t="array" ref="W344">getDistance(I344,J344,R344,S344)*SA!$B$12</f>
        <v>968.6486123202867</v>
      </c>
      <c r="Y344" s="137">
        <f>Transportation_LCIA!C$61*($W344^Transportation_LCIA!C$60)+Transportation_LCIA!C$62</f>
        <v>0.23886719687765717</v>
      </c>
      <c r="Z344" s="137">
        <f>Transportation_LCIA!D$61*($W344^Transportation_LCIA!D$60)+Transportation_LCIA!D$62</f>
        <v>2.4601046233999142</v>
      </c>
      <c r="AA344" s="137">
        <f>Transportation_LCIA!E$61*($W344^Transportation_LCIA!E$60)+Transportation_LCIA!E$62</f>
        <v>1.1670227321326603E-3</v>
      </c>
      <c r="AB344" s="137">
        <f>Transportation_LCIA!F$61*($W344^Transportation_LCIA!F$60)+Transportation_LCIA!F$62</f>
        <v>0.23886719687765717</v>
      </c>
      <c r="AC344" s="137">
        <f>Transportation_LCIA!G$61*($W344^Transportation_LCIA!G$60)+Transportation_LCIA!G$62</f>
        <v>5.7488593082864949E-2</v>
      </c>
      <c r="AD344" s="137">
        <f>Transportation_LCIA!H$61*($W344^Transportation_LCIA!H$60)+Transportation_LCIA!H$62</f>
        <v>2.8178708647962791E-4</v>
      </c>
      <c r="AE344" s="137">
        <f>Transportation_LCIA!I$61*($W344^Transportation_LCIA!I$60)+Transportation_LCIA!I$62</f>
        <v>6.0457933640980744E-6</v>
      </c>
      <c r="AF344" s="137">
        <f>Transportation_LCIA!J$61*($W344^Transportation_LCIA!J$60)+Transportation_LCIA!J$62</f>
        <v>8.9493105460058155E-3</v>
      </c>
      <c r="AG344" s="137">
        <f>Transportation_LCIA!K$61*($W344^Transportation_LCIA!K$60)+Transportation_LCIA!K$62</f>
        <v>1.2244023945167637E-2</v>
      </c>
      <c r="AH344" s="137">
        <f>Transportation_LCIA!L$61*($W344^Transportation_LCIA!L$60)+Transportation_LCIA!L$62</f>
        <v>2.4447038262371504E-4</v>
      </c>
      <c r="AI344" s="137">
        <f>Transportation_LCIA!M$61*($W344^Transportation_LCIA!M$60)+Transportation_LCIA!M$62</f>
        <v>2.4636258596831892E-4</v>
      </c>
      <c r="AJ344" s="137">
        <f>Transportation_LCIA!N$61*($W344^Transportation_LCIA!N$60)+Transportation_LCIA!N$62</f>
        <v>1.0066308986207888E-3</v>
      </c>
      <c r="AK344" s="137">
        <f>Transportation_LCIA!O$61*($W344^Transportation_LCIA!O$60)+Transportation_LCIA!O$62</f>
        <v>6.0753042653991307E-5</v>
      </c>
      <c r="AL344" s="137">
        <f>Transportation_LCIA!P$61*($W344^Transportation_LCIA!P$60)+Transportation_LCIA!P$62</f>
        <v>2.9378304943552793E-8</v>
      </c>
      <c r="AM344" s="137">
        <f>Transportation_LCIA!Q$61*($W344^Transportation_LCIA!Q$60)+Transportation_LCIA!Q$62</f>
        <v>9.67489323424237E-5</v>
      </c>
      <c r="AN344" s="137">
        <f>Transportation_LCIA!R$61*($W344^Transportation_LCIA!R$60)+Transportation_LCIA!R$62</f>
        <v>2.9075691947048329E-4</v>
      </c>
      <c r="AO344" s="137">
        <f>Transportation_LCIA!S$61*($W344^Transportation_LCIA!S$60)+Transportation_LCIA!S$62</f>
        <v>4.3838997605882826E-6</v>
      </c>
      <c r="AP344" s="137">
        <f>Transportation_LCIA!T$61*($W344^Transportation_LCIA!T$60)+Transportation_LCIA!T$62</f>
        <v>4.3838997605882826E-6</v>
      </c>
      <c r="AQ344" s="137">
        <f>Transportation_LCIA!U$61*($W344^Transportation_LCIA!U$60)+Transportation_LCIA!U$62</f>
        <v>6.2433252958363791E-4</v>
      </c>
      <c r="AR344" s="137">
        <f>Transportation_LCIA!V$61*($W344^Transportation_LCIA!V$60)+Transportation_LCIA!V$62</f>
        <v>2.5161188457774699E-4</v>
      </c>
      <c r="AT344" s="137">
        <f>$W344*Y344+$L344*Summary_LCIA!H$32</f>
        <v>234.76244698437935</v>
      </c>
      <c r="AU344" s="137">
        <f>$W344*Z344+$L344*Summary_LCIA!Q$32</f>
        <v>2432.3342358812952</v>
      </c>
      <c r="AV344" s="137">
        <f>$W344*AA344+$L344*Summary_LCIA!R$32</f>
        <v>1.182875060426531</v>
      </c>
      <c r="AW344" s="137">
        <f>$W344*AB344+$L344*Summary_LCIA!S$32</f>
        <v>234.71842820437936</v>
      </c>
      <c r="AX344" s="137">
        <f>$W344*AC344+$L344*Summary_LCIA!T$32</f>
        <v>56.780740013962763</v>
      </c>
      <c r="AY344" s="137">
        <f>$W344*AD344+$L344*Summary_LCIA!U$32</f>
        <v>0.45135819628826818</v>
      </c>
      <c r="AZ344" s="137">
        <f>$W344*AE344+$L344*Summary_LCIA!V$32</f>
        <v>6.3319011515087977E-3</v>
      </c>
      <c r="BA344" s="137">
        <f>$W344*AF344+$L344*Summary_LCIA!W$32</f>
        <v>9.4352914306118407</v>
      </c>
      <c r="BB344" s="137">
        <f>$W344*AG344+$L344*Summary_LCIA!X$32</f>
        <v>12.087022823702993</v>
      </c>
      <c r="BC344" s="137">
        <f>$W344*AH344+$L344*Summary_LCIA!Y$32</f>
        <v>0.39198703488187114</v>
      </c>
      <c r="BD344" s="137">
        <f>$W344*AI344+$L344*Summary_LCIA!Z$32</f>
        <v>0.23904718565684946</v>
      </c>
      <c r="BE344" s="137">
        <f>$W344*AJ344+$L344*Summary_LCIA!AA$32</f>
        <v>1.2076740270677502</v>
      </c>
      <c r="BF344" s="137">
        <f>$W344*AK344+$L344*Summary_LCIA!AB$32</f>
        <v>5.8631015204023869E-2</v>
      </c>
      <c r="BG344" s="137">
        <f>$W344*AL344+$L344*Summary_LCIA!AC$32</f>
        <v>2.8944090071894634E-5</v>
      </c>
      <c r="BH344" s="137">
        <f>$W344*AM344+$L344*Summary_LCIA!AD$32</f>
        <v>9.7809266416958029E-2</v>
      </c>
      <c r="BI344" s="137">
        <f>$W344*AN344+$L344*Summary_LCIA!AE$32</f>
        <v>0.290466255237605</v>
      </c>
      <c r="BJ344" s="137">
        <f>$W344*AO344+$L344*Summary_LCIA!AF$32</f>
        <v>1.2665996199645077E-2</v>
      </c>
      <c r="BK344" s="137">
        <f>$W344*AP344+$L344*Summary_LCIA!AG$32</f>
        <v>4.7560106546450775E-3</v>
      </c>
      <c r="BL344" s="137">
        <f>$W344*AQ344+$L344*Summary_LCIA!AH$32</f>
        <v>0.69143799080760526</v>
      </c>
      <c r="BM344" s="137">
        <f>$W344*AR344+$L344*Summary_LCIA!AI$32</f>
        <v>0.25300080928952678</v>
      </c>
    </row>
    <row r="345" spans="1:65" x14ac:dyDescent="0.25">
      <c r="A345" s="149">
        <v>364</v>
      </c>
      <c r="B345" s="149">
        <v>16</v>
      </c>
      <c r="C345" s="61">
        <v>32.233283999999998</v>
      </c>
      <c r="D345" s="61">
        <v>-110.948801</v>
      </c>
      <c r="E345" s="61" t="s">
        <v>265</v>
      </c>
      <c r="F345" s="149">
        <v>44</v>
      </c>
      <c r="G345" s="61" t="s">
        <v>565</v>
      </c>
      <c r="H345" s="61" t="s">
        <v>668</v>
      </c>
      <c r="I345" s="61">
        <v>33.437269000000001</v>
      </c>
      <c r="J345" s="61">
        <v>-112.00778800000001</v>
      </c>
      <c r="K345" s="61">
        <v>308.37148159999998</v>
      </c>
      <c r="L345" s="61">
        <v>180.36</v>
      </c>
      <c r="M345" s="61" t="s">
        <v>617</v>
      </c>
      <c r="N345" s="149">
        <v>15</v>
      </c>
      <c r="O345" s="149">
        <v>16</v>
      </c>
      <c r="P345" s="61" t="s">
        <v>565</v>
      </c>
      <c r="Q345" s="61" t="s">
        <v>556</v>
      </c>
      <c r="R345" s="61">
        <v>39.856096299999997</v>
      </c>
      <c r="S345" s="61">
        <v>-104.6737376</v>
      </c>
      <c r="T345" s="61">
        <v>1468.3810000000001</v>
      </c>
      <c r="U345" s="61" t="s">
        <v>617</v>
      </c>
      <c r="V345" s="61" t="s">
        <v>569</v>
      </c>
      <c r="W345" s="61" cm="1">
        <f t="array" ref="W345">getDistance(I345,J345,R345,S345)*SA!$B$12</f>
        <v>968.6486123202867</v>
      </c>
      <c r="Y345" s="137">
        <f>Transportation_LCIA!C$61*($W345^Transportation_LCIA!C$60)+Transportation_LCIA!C$62</f>
        <v>0.23886719687765717</v>
      </c>
      <c r="Z345" s="137">
        <f>Transportation_LCIA!D$61*($W345^Transportation_LCIA!D$60)+Transportation_LCIA!D$62</f>
        <v>2.4601046233999142</v>
      </c>
      <c r="AA345" s="137">
        <f>Transportation_LCIA!E$61*($W345^Transportation_LCIA!E$60)+Transportation_LCIA!E$62</f>
        <v>1.1670227321326603E-3</v>
      </c>
      <c r="AB345" s="137">
        <f>Transportation_LCIA!F$61*($W345^Transportation_LCIA!F$60)+Transportation_LCIA!F$62</f>
        <v>0.23886719687765717</v>
      </c>
      <c r="AC345" s="137">
        <f>Transportation_LCIA!G$61*($W345^Transportation_LCIA!G$60)+Transportation_LCIA!G$62</f>
        <v>5.7488593082864949E-2</v>
      </c>
      <c r="AD345" s="137">
        <f>Transportation_LCIA!H$61*($W345^Transportation_LCIA!H$60)+Transportation_LCIA!H$62</f>
        <v>2.8178708647962791E-4</v>
      </c>
      <c r="AE345" s="137">
        <f>Transportation_LCIA!I$61*($W345^Transportation_LCIA!I$60)+Transportation_LCIA!I$62</f>
        <v>6.0457933640980744E-6</v>
      </c>
      <c r="AF345" s="137">
        <f>Transportation_LCIA!J$61*($W345^Transportation_LCIA!J$60)+Transportation_LCIA!J$62</f>
        <v>8.9493105460058155E-3</v>
      </c>
      <c r="AG345" s="137">
        <f>Transportation_LCIA!K$61*($W345^Transportation_LCIA!K$60)+Transportation_LCIA!K$62</f>
        <v>1.2244023945167637E-2</v>
      </c>
      <c r="AH345" s="137">
        <f>Transportation_LCIA!L$61*($W345^Transportation_LCIA!L$60)+Transportation_LCIA!L$62</f>
        <v>2.4447038262371504E-4</v>
      </c>
      <c r="AI345" s="137">
        <f>Transportation_LCIA!M$61*($W345^Transportation_LCIA!M$60)+Transportation_LCIA!M$62</f>
        <v>2.4636258596831892E-4</v>
      </c>
      <c r="AJ345" s="137">
        <f>Transportation_LCIA!N$61*($W345^Transportation_LCIA!N$60)+Transportation_LCIA!N$62</f>
        <v>1.0066308986207888E-3</v>
      </c>
      <c r="AK345" s="137">
        <f>Transportation_LCIA!O$61*($W345^Transportation_LCIA!O$60)+Transportation_LCIA!O$62</f>
        <v>6.0753042653991307E-5</v>
      </c>
      <c r="AL345" s="137">
        <f>Transportation_LCIA!P$61*($W345^Transportation_LCIA!P$60)+Transportation_LCIA!P$62</f>
        <v>2.9378304943552793E-8</v>
      </c>
      <c r="AM345" s="137">
        <f>Transportation_LCIA!Q$61*($W345^Transportation_LCIA!Q$60)+Transportation_LCIA!Q$62</f>
        <v>9.67489323424237E-5</v>
      </c>
      <c r="AN345" s="137">
        <f>Transportation_LCIA!R$61*($W345^Transportation_LCIA!R$60)+Transportation_LCIA!R$62</f>
        <v>2.9075691947048329E-4</v>
      </c>
      <c r="AO345" s="137">
        <f>Transportation_LCIA!S$61*($W345^Transportation_LCIA!S$60)+Transportation_LCIA!S$62</f>
        <v>4.3838997605882826E-6</v>
      </c>
      <c r="AP345" s="137">
        <f>Transportation_LCIA!T$61*($W345^Transportation_LCIA!T$60)+Transportation_LCIA!T$62</f>
        <v>4.3838997605882826E-6</v>
      </c>
      <c r="AQ345" s="137">
        <f>Transportation_LCIA!U$61*($W345^Transportation_LCIA!U$60)+Transportation_LCIA!U$62</f>
        <v>6.2433252958363791E-4</v>
      </c>
      <c r="AR345" s="137">
        <f>Transportation_LCIA!V$61*($W345^Transportation_LCIA!V$60)+Transportation_LCIA!V$62</f>
        <v>2.5161188457774699E-4</v>
      </c>
      <c r="AT345" s="137">
        <f>$W345*Y345+$L345*Summary_LCIA!H$32</f>
        <v>292.66470678437935</v>
      </c>
      <c r="AU345" s="137">
        <f>$W345*Z345+$L345*Summary_LCIA!Q$32</f>
        <v>3276.8501857149286</v>
      </c>
      <c r="AV345" s="137">
        <f>$W345*AA345+$L345*Summary_LCIA!R$32</f>
        <v>2.0801385660265308</v>
      </c>
      <c r="AW345" s="137">
        <f>$W345*AB345+$L345*Summary_LCIA!S$32</f>
        <v>291.86751558437936</v>
      </c>
      <c r="AX345" s="137">
        <f>$W345*AC345+$L345*Summary_LCIA!T$32</f>
        <v>75.507809913962774</v>
      </c>
      <c r="AY345" s="137">
        <f>$W345*AD345+$L345*Summary_LCIA!U$32</f>
        <v>3.5039217102882683</v>
      </c>
      <c r="AZ345" s="137">
        <f>$W345*AE345+$L345*Summary_LCIA!V$32</f>
        <v>1.4470423312508798E-2</v>
      </c>
      <c r="BA345" s="137">
        <f>$W345*AF345+$L345*Summary_LCIA!W$32</f>
        <v>22.55122680161184</v>
      </c>
      <c r="BB345" s="137">
        <f>$W345*AG345+$L345*Summary_LCIA!X$32</f>
        <v>15.968757603702993</v>
      </c>
      <c r="BC345" s="137">
        <f>$W345*AH345+$L345*Summary_LCIA!Y$32</f>
        <v>3.047175416881871</v>
      </c>
      <c r="BD345" s="137">
        <f>$W345*AI345+$L345*Summary_LCIA!Z$32</f>
        <v>0.24603516026584946</v>
      </c>
      <c r="BE345" s="137">
        <f>$W345*AJ345+$L345*Summary_LCIA!AA$32</f>
        <v>5.1875597830677505</v>
      </c>
      <c r="BF345" s="137">
        <f>$W345*AK345+$L345*Summary_LCIA!AB$32</f>
        <v>5.4912354181023866E-2</v>
      </c>
      <c r="BG345" s="137">
        <f>$W345*AL345+$L345*Summary_LCIA!AC$32</f>
        <v>3.7273972555894631E-5</v>
      </c>
      <c r="BH345" s="137">
        <f>$W345*AM345+$L345*Summary_LCIA!AD$32</f>
        <v>0.16785089345695803</v>
      </c>
      <c r="BI345" s="137">
        <f>$W345*AN345+$L345*Summary_LCIA!AE$32</f>
        <v>0.44146369336760505</v>
      </c>
      <c r="BJ345" s="137">
        <f>$W345*AO345+$L345*Summary_LCIA!AF$32</f>
        <v>0.1567264096196451</v>
      </c>
      <c r="BK345" s="137">
        <f>$W345*AP345+$L345*Summary_LCIA!AG$32</f>
        <v>1.3474577819645079E-2</v>
      </c>
      <c r="BL345" s="137">
        <f>$W345*AQ345+$L345*Summary_LCIA!AH$32</f>
        <v>2.1745401344076054</v>
      </c>
      <c r="BM345" s="137">
        <f>$W345*AR345+$L345*Summary_LCIA!AI$32</f>
        <v>0.41173786083952679</v>
      </c>
    </row>
    <row r="346" spans="1:65" x14ac:dyDescent="0.25">
      <c r="A346" s="149">
        <v>142</v>
      </c>
      <c r="B346" s="149">
        <v>16</v>
      </c>
      <c r="C346" s="61">
        <v>30.122962999999999</v>
      </c>
      <c r="D346" s="61">
        <v>-97.611422000000005</v>
      </c>
      <c r="E346" s="61" t="s">
        <v>265</v>
      </c>
      <c r="F346" s="149">
        <v>92</v>
      </c>
      <c r="G346" s="61" t="s">
        <v>666</v>
      </c>
      <c r="H346" s="61" t="s">
        <v>667</v>
      </c>
      <c r="I346" s="61">
        <v>30.197471</v>
      </c>
      <c r="J346" s="61">
        <v>-97.666353000000001</v>
      </c>
      <c r="K346" s="61">
        <v>15.382665169999999</v>
      </c>
      <c r="L346" s="61">
        <v>15.595000000000001</v>
      </c>
      <c r="M346" s="61" t="s">
        <v>617</v>
      </c>
      <c r="N346" s="149">
        <v>15</v>
      </c>
      <c r="O346" s="149">
        <v>16</v>
      </c>
      <c r="P346" s="61" t="s">
        <v>565</v>
      </c>
      <c r="Q346" s="61" t="s">
        <v>556</v>
      </c>
      <c r="R346" s="61">
        <v>39.856096299999997</v>
      </c>
      <c r="S346" s="61">
        <v>-104.6737376</v>
      </c>
      <c r="T346" s="61">
        <v>1491.0440000000001</v>
      </c>
      <c r="U346" s="61" t="s">
        <v>617</v>
      </c>
      <c r="V346" s="61" t="s">
        <v>569</v>
      </c>
      <c r="W346" s="61" cm="1">
        <f t="array" ref="W346">getDistance(I346,J346,R346,S346)*SA!$B$12</f>
        <v>1248.9071638415444</v>
      </c>
      <c r="Y346" s="137">
        <f>Transportation_LCIA!C$61*($W346^Transportation_LCIA!C$60)+Transportation_LCIA!C$62</f>
        <v>0.21448823954102383</v>
      </c>
      <c r="Z346" s="137">
        <f>Transportation_LCIA!D$61*($W346^Transportation_LCIA!D$60)+Transportation_LCIA!D$62</f>
        <v>2.1767738252168236</v>
      </c>
      <c r="AA346" s="137">
        <f>Transportation_LCIA!E$61*($W346^Transportation_LCIA!E$60)+Transportation_LCIA!E$62</f>
        <v>9.8095248174726295E-4</v>
      </c>
      <c r="AB346" s="137">
        <f>Transportation_LCIA!F$61*($W346^Transportation_LCIA!F$60)+Transportation_LCIA!F$62</f>
        <v>0.21448823954102383</v>
      </c>
      <c r="AC346" s="137">
        <f>Transportation_LCIA!G$61*($W346^Transportation_LCIA!G$60)+Transportation_LCIA!G$62</f>
        <v>5.0931944626929238E-2</v>
      </c>
      <c r="AD346" s="137">
        <f>Transportation_LCIA!H$61*($W346^Transportation_LCIA!H$60)+Transportation_LCIA!H$62</f>
        <v>2.4096753967225786E-4</v>
      </c>
      <c r="AE346" s="137">
        <f>Transportation_LCIA!I$61*($W346^Transportation_LCIA!I$60)+Transportation_LCIA!I$62</f>
        <v>5.0219936794745138E-6</v>
      </c>
      <c r="AF346" s="137">
        <f>Transportation_LCIA!J$61*($W346^Transportation_LCIA!J$60)+Transportation_LCIA!J$62</f>
        <v>7.4282547578900064E-3</v>
      </c>
      <c r="AG346" s="137">
        <f>Transportation_LCIA!K$61*($W346^Transportation_LCIA!K$60)+Transportation_LCIA!K$62</f>
        <v>1.0716669733527501E-2</v>
      </c>
      <c r="AH346" s="137">
        <f>Transportation_LCIA!L$61*($W346^Transportation_LCIA!L$60)+Transportation_LCIA!L$62</f>
        <v>2.0698274841012563E-4</v>
      </c>
      <c r="AI346" s="137">
        <f>Transportation_LCIA!M$61*($W346^Transportation_LCIA!M$60)+Transportation_LCIA!M$62</f>
        <v>2.23837453296328E-4</v>
      </c>
      <c r="AJ346" s="137">
        <f>Transportation_LCIA!N$61*($W346^Transportation_LCIA!N$60)+Transportation_LCIA!N$62</f>
        <v>8.6934865177854014E-4</v>
      </c>
      <c r="AK346" s="137">
        <f>Transportation_LCIA!O$61*($W346^Transportation_LCIA!O$60)+Transportation_LCIA!O$62</f>
        <v>5.3786549642432523E-5</v>
      </c>
      <c r="AL346" s="137">
        <f>Transportation_LCIA!P$61*($W346^Transportation_LCIA!P$60)+Transportation_LCIA!P$62</f>
        <v>2.602786183859221E-8</v>
      </c>
      <c r="AM346" s="137">
        <f>Transportation_LCIA!Q$61*($W346^Transportation_LCIA!Q$60)+Transportation_LCIA!Q$62</f>
        <v>8.2099506965745372E-5</v>
      </c>
      <c r="AN346" s="137">
        <f>Transportation_LCIA!R$61*($W346^Transportation_LCIA!R$60)+Transportation_LCIA!R$62</f>
        <v>2.4166705452084486E-4</v>
      </c>
      <c r="AO346" s="137">
        <f>Transportation_LCIA!S$61*($W346^Transportation_LCIA!S$60)+Transportation_LCIA!S$62</f>
        <v>3.687095776344153E-6</v>
      </c>
      <c r="AP346" s="137">
        <f>Transportation_LCIA!T$61*($W346^Transportation_LCIA!T$60)+Transportation_LCIA!T$62</f>
        <v>3.687095776344153E-6</v>
      </c>
      <c r="AQ346" s="137">
        <f>Transportation_LCIA!U$61*($W346^Transportation_LCIA!U$60)+Transportation_LCIA!U$62</f>
        <v>5.1675261453299794E-4</v>
      </c>
      <c r="AR346" s="137">
        <f>Transportation_LCIA!V$61*($W346^Transportation_LCIA!V$60)+Transportation_LCIA!V$62</f>
        <v>2.1352925898039042E-4</v>
      </c>
      <c r="AT346" s="137">
        <f>$W346*Y346+$L346*Summary_LCIA!H$32</f>
        <v>273.17507992254588</v>
      </c>
      <c r="AU346" s="137">
        <f>$W346*Z346+$L346*Summary_LCIA!Q$32</f>
        <v>2795.8780308786877</v>
      </c>
      <c r="AV346" s="137">
        <f>$W346*AA346+$L346*Summary_LCIA!R$32</f>
        <v>1.3072356138422985</v>
      </c>
      <c r="AW346" s="137">
        <f>$W346*AB346+$L346*Summary_LCIA!S$32</f>
        <v>273.10615002254588</v>
      </c>
      <c r="AX346" s="137">
        <f>$W346*AC346+$L346*Summary_LCIA!T$32</f>
        <v>65.323161012952781</v>
      </c>
      <c r="AY346" s="137">
        <f>$W346*AD346+$L346*Summary_LCIA!U$32</f>
        <v>0.58031491654995437</v>
      </c>
      <c r="AZ346" s="137">
        <f>$W346*AE346+$L346*Summary_LCIA!V$32</f>
        <v>7.0168366780626766E-3</v>
      </c>
      <c r="BA346" s="137">
        <f>$W346*AF346+$L346*Summary_LCIA!W$32</f>
        <v>10.477563326968866</v>
      </c>
      <c r="BB346" s="137">
        <f>$W346*AG346+$L346*Summary_LCIA!X$32</f>
        <v>13.73937970272635</v>
      </c>
      <c r="BC346" s="137">
        <f>$W346*AH346+$L346*Summary_LCIA!Y$32</f>
        <v>0.50150352728101788</v>
      </c>
      <c r="BD346" s="137">
        <f>$W346*AI346+$L346*Summary_LCIA!Z$32</f>
        <v>0.28019173431283112</v>
      </c>
      <c r="BE346" s="137">
        <f>$W346*AJ346+$L346*Summary_LCIA!AA$32</f>
        <v>1.4499725790822069</v>
      </c>
      <c r="BF346" s="137">
        <f>$W346*AK346+$L346*Summary_LCIA!AB$32</f>
        <v>6.6834077481752838E-2</v>
      </c>
      <c r="BG346" s="137">
        <f>$W346*AL346+$L346*Summary_LCIA!AC$32</f>
        <v>3.3268729089695756E-5</v>
      </c>
      <c r="BH346" s="137">
        <f>$W346*AM346+$L346*Summary_LCIA!AD$32</f>
        <v>0.10894483119737818</v>
      </c>
      <c r="BI346" s="137">
        <f>$W346*AN346+$L346*Summary_LCIA!AE$32</f>
        <v>0.31563891300556823</v>
      </c>
      <c r="BJ346" s="137">
        <f>$W346*AO346+$L346*Summary_LCIA!AF$32</f>
        <v>1.7789165228846115E-2</v>
      </c>
      <c r="BK346" s="137">
        <f>$W346*AP346+$L346*Summary_LCIA!AG$32</f>
        <v>5.402758503846113E-3</v>
      </c>
      <c r="BL346" s="137">
        <f>$W346*AQ346+$L346*Summary_LCIA!AH$32</f>
        <v>0.78110868422410928</v>
      </c>
      <c r="BM346" s="137">
        <f>$W346*AR346+$L346*Summary_LCIA!AI$32</f>
        <v>0.28120574348038602</v>
      </c>
    </row>
    <row r="347" spans="1:65" x14ac:dyDescent="0.25">
      <c r="A347" s="149">
        <v>91</v>
      </c>
      <c r="B347" s="149">
        <v>16</v>
      </c>
      <c r="C347" s="61">
        <v>30.618675</v>
      </c>
      <c r="D347" s="61">
        <v>-96.336455000000001</v>
      </c>
      <c r="E347" s="61" t="s">
        <v>265</v>
      </c>
      <c r="F347" s="149">
        <v>92</v>
      </c>
      <c r="G347" s="61" t="s">
        <v>666</v>
      </c>
      <c r="H347" s="61" t="s">
        <v>667</v>
      </c>
      <c r="I347" s="61">
        <v>30.197471</v>
      </c>
      <c r="J347" s="61">
        <v>-97.666353000000001</v>
      </c>
      <c r="K347" s="61">
        <v>145.74323620000001</v>
      </c>
      <c r="L347" s="61">
        <v>167.483</v>
      </c>
      <c r="M347" s="61" t="s">
        <v>617</v>
      </c>
      <c r="N347" s="149">
        <v>15</v>
      </c>
      <c r="O347" s="149">
        <v>16</v>
      </c>
      <c r="P347" s="61" t="s">
        <v>565</v>
      </c>
      <c r="Q347" s="61" t="s">
        <v>556</v>
      </c>
      <c r="R347" s="61">
        <v>39.856096299999997</v>
      </c>
      <c r="S347" s="61">
        <v>-104.6737376</v>
      </c>
      <c r="T347" s="61">
        <v>1492.3</v>
      </c>
      <c r="U347" s="61" t="s">
        <v>617</v>
      </c>
      <c r="V347" s="61" t="s">
        <v>569</v>
      </c>
      <c r="W347" s="61" cm="1">
        <f t="array" ref="W347">getDistance(I347,J347,R347,S347)*SA!$B$12</f>
        <v>1248.9071638415444</v>
      </c>
      <c r="Y347" s="137">
        <f>Transportation_LCIA!C$61*($W347^Transportation_LCIA!C$60)+Transportation_LCIA!C$62</f>
        <v>0.21448823954102383</v>
      </c>
      <c r="Z347" s="137">
        <f>Transportation_LCIA!D$61*($W347^Transportation_LCIA!D$60)+Transportation_LCIA!D$62</f>
        <v>2.1767738252168236</v>
      </c>
      <c r="AA347" s="137">
        <f>Transportation_LCIA!E$61*($W347^Transportation_LCIA!E$60)+Transportation_LCIA!E$62</f>
        <v>9.8095248174726295E-4</v>
      </c>
      <c r="AB347" s="137">
        <f>Transportation_LCIA!F$61*($W347^Transportation_LCIA!F$60)+Transportation_LCIA!F$62</f>
        <v>0.21448823954102383</v>
      </c>
      <c r="AC347" s="137">
        <f>Transportation_LCIA!G$61*($W347^Transportation_LCIA!G$60)+Transportation_LCIA!G$62</f>
        <v>5.0931944626929238E-2</v>
      </c>
      <c r="AD347" s="137">
        <f>Transportation_LCIA!H$61*($W347^Transportation_LCIA!H$60)+Transportation_LCIA!H$62</f>
        <v>2.4096753967225786E-4</v>
      </c>
      <c r="AE347" s="137">
        <f>Transportation_LCIA!I$61*($W347^Transportation_LCIA!I$60)+Transportation_LCIA!I$62</f>
        <v>5.0219936794745138E-6</v>
      </c>
      <c r="AF347" s="137">
        <f>Transportation_LCIA!J$61*($W347^Transportation_LCIA!J$60)+Transportation_LCIA!J$62</f>
        <v>7.4282547578900064E-3</v>
      </c>
      <c r="AG347" s="137">
        <f>Transportation_LCIA!K$61*($W347^Transportation_LCIA!K$60)+Transportation_LCIA!K$62</f>
        <v>1.0716669733527501E-2</v>
      </c>
      <c r="AH347" s="137">
        <f>Transportation_LCIA!L$61*($W347^Transportation_LCIA!L$60)+Transportation_LCIA!L$62</f>
        <v>2.0698274841012563E-4</v>
      </c>
      <c r="AI347" s="137">
        <f>Transportation_LCIA!M$61*($W347^Transportation_LCIA!M$60)+Transportation_LCIA!M$62</f>
        <v>2.23837453296328E-4</v>
      </c>
      <c r="AJ347" s="137">
        <f>Transportation_LCIA!N$61*($W347^Transportation_LCIA!N$60)+Transportation_LCIA!N$62</f>
        <v>8.6934865177854014E-4</v>
      </c>
      <c r="AK347" s="137">
        <f>Transportation_LCIA!O$61*($W347^Transportation_LCIA!O$60)+Transportation_LCIA!O$62</f>
        <v>5.3786549642432523E-5</v>
      </c>
      <c r="AL347" s="137">
        <f>Transportation_LCIA!P$61*($W347^Transportation_LCIA!P$60)+Transportation_LCIA!P$62</f>
        <v>2.602786183859221E-8</v>
      </c>
      <c r="AM347" s="137">
        <f>Transportation_LCIA!Q$61*($W347^Transportation_LCIA!Q$60)+Transportation_LCIA!Q$62</f>
        <v>8.2099506965745372E-5</v>
      </c>
      <c r="AN347" s="137">
        <f>Transportation_LCIA!R$61*($W347^Transportation_LCIA!R$60)+Transportation_LCIA!R$62</f>
        <v>2.4166705452084486E-4</v>
      </c>
      <c r="AO347" s="137">
        <f>Transportation_LCIA!S$61*($W347^Transportation_LCIA!S$60)+Transportation_LCIA!S$62</f>
        <v>3.687095776344153E-6</v>
      </c>
      <c r="AP347" s="137">
        <f>Transportation_LCIA!T$61*($W347^Transportation_LCIA!T$60)+Transportation_LCIA!T$62</f>
        <v>3.687095776344153E-6</v>
      </c>
      <c r="AQ347" s="137">
        <f>Transportation_LCIA!U$61*($W347^Transportation_LCIA!U$60)+Transportation_LCIA!U$62</f>
        <v>5.1675261453299794E-4</v>
      </c>
      <c r="AR347" s="137">
        <f>Transportation_LCIA!V$61*($W347^Transportation_LCIA!V$60)+Transportation_LCIA!V$62</f>
        <v>2.1352925898039042E-4</v>
      </c>
      <c r="AT347" s="137">
        <f>$W347*Y347+$L347*Summary_LCIA!H$32</f>
        <v>324.7866223225459</v>
      </c>
      <c r="AU347" s="137">
        <f>$W347*Z347+$L347*Summary_LCIA!Q$32</f>
        <v>3548.6426190461916</v>
      </c>
      <c r="AV347" s="137">
        <f>$W347*AA347+$L347*Summary_LCIA!R$32</f>
        <v>2.1070170666422987</v>
      </c>
      <c r="AW347" s="137">
        <f>$W347*AB347+$L347*Summary_LCIA!S$32</f>
        <v>324.0463474625459</v>
      </c>
      <c r="AX347" s="137">
        <f>$W347*AC347+$L347*Summary_LCIA!T$32</f>
        <v>82.015652212952787</v>
      </c>
      <c r="AY347" s="137">
        <f>$W347*AD347+$L347*Summary_LCIA!U$32</f>
        <v>3.3012365485499546</v>
      </c>
      <c r="AZ347" s="137">
        <f>$W347*AE347+$L347*Summary_LCIA!V$32</f>
        <v>1.4271159446062677E-2</v>
      </c>
      <c r="BA347" s="137">
        <f>$W347*AF347+$L347*Summary_LCIA!W$32</f>
        <v>22.168534574968866</v>
      </c>
      <c r="BB347" s="137">
        <f>$W347*AG347+$L347*Summary_LCIA!X$32</f>
        <v>17.199388342726351</v>
      </c>
      <c r="BC347" s="137">
        <f>$W347*AH347+$L347*Summary_LCIA!Y$32</f>
        <v>2.8682223432810181</v>
      </c>
      <c r="BD347" s="137">
        <f>$W347*AI347+$L347*Summary_LCIA!Z$32</f>
        <v>0.28642050930483109</v>
      </c>
      <c r="BE347" s="137">
        <f>$W347*AJ347+$L347*Summary_LCIA!AA$32</f>
        <v>4.9974687070822066</v>
      </c>
      <c r="BF347" s="137">
        <f>$W347*AK347+$L347*Summary_LCIA!AB$32</f>
        <v>6.3519425657752843E-2</v>
      </c>
      <c r="BG347" s="137">
        <f>$W347*AL347+$L347*Summary_LCIA!AC$32</f>
        <v>4.0693622081695758E-5</v>
      </c>
      <c r="BH347" s="137">
        <f>$W347*AM347+$L347*Summary_LCIA!AD$32</f>
        <v>0.17137687471737817</v>
      </c>
      <c r="BI347" s="137">
        <f>$W347*AN347+$L347*Summary_LCIA!AE$32</f>
        <v>0.45023142644556824</v>
      </c>
      <c r="BJ347" s="137">
        <f>$W347*AO347+$L347*Summary_LCIA!AF$32</f>
        <v>0.14619831818884613</v>
      </c>
      <c r="BK347" s="137">
        <f>$W347*AP347+$L347*Summary_LCIA!AG$32</f>
        <v>1.3174108023846113E-2</v>
      </c>
      <c r="BL347" s="137">
        <f>$W347*AQ347+$L347*Summary_LCIA!AH$32</f>
        <v>2.1030810810241096</v>
      </c>
      <c r="BM347" s="137">
        <f>$W347*AR347+$L347*Summary_LCIA!AI$32</f>
        <v>0.42269700988038605</v>
      </c>
    </row>
    <row r="348" spans="1:65" x14ac:dyDescent="0.25">
      <c r="A348" s="149">
        <v>250</v>
      </c>
      <c r="B348" s="149">
        <v>16</v>
      </c>
      <c r="C348" s="61">
        <v>34.048347</v>
      </c>
      <c r="D348" s="61">
        <v>-117.26115299999999</v>
      </c>
      <c r="E348" s="61" t="s">
        <v>265</v>
      </c>
      <c r="F348" s="149">
        <v>117</v>
      </c>
      <c r="G348" s="61" t="s">
        <v>708</v>
      </c>
      <c r="H348" s="61" t="s">
        <v>709</v>
      </c>
      <c r="I348" s="61">
        <v>34.060307000000002</v>
      </c>
      <c r="J348" s="61">
        <v>-117.597893</v>
      </c>
      <c r="K348" s="61">
        <v>36.386226209999997</v>
      </c>
      <c r="L348" s="61">
        <v>34.886000000000003</v>
      </c>
      <c r="M348" s="61" t="s">
        <v>617</v>
      </c>
      <c r="N348" s="149">
        <v>15</v>
      </c>
      <c r="O348" s="149">
        <v>16</v>
      </c>
      <c r="P348" s="61" t="s">
        <v>565</v>
      </c>
      <c r="Q348" s="61" t="s">
        <v>556</v>
      </c>
      <c r="R348" s="61">
        <v>39.856096299999997</v>
      </c>
      <c r="S348" s="61">
        <v>-104.6737376</v>
      </c>
      <c r="T348" s="61">
        <v>1611.2059999999999</v>
      </c>
      <c r="U348" s="61" t="s">
        <v>617</v>
      </c>
      <c r="V348" s="61" t="s">
        <v>569</v>
      </c>
      <c r="W348" s="61" cm="1">
        <f t="array" ref="W348">getDistance(I348,J348,R348,S348)*SA!$B$12</f>
        <v>1317.3001238573743</v>
      </c>
      <c r="Y348" s="137">
        <f>Transportation_LCIA!C$61*($W348^Transportation_LCIA!C$60)+Transportation_LCIA!C$62</f>
        <v>0.21000036366139632</v>
      </c>
      <c r="Z348" s="137">
        <f>Transportation_LCIA!D$61*($W348^Transportation_LCIA!D$60)+Transportation_LCIA!D$62</f>
        <v>2.1249728733065503</v>
      </c>
      <c r="AA348" s="137">
        <f>Transportation_LCIA!E$61*($W348^Transportation_LCIA!E$60)+Transportation_LCIA!E$62</f>
        <v>9.4699916747861259E-4</v>
      </c>
      <c r="AB348" s="137">
        <f>Transportation_LCIA!F$61*($W348^Transportation_LCIA!F$60)+Transportation_LCIA!F$62</f>
        <v>0.21000036366139632</v>
      </c>
      <c r="AC348" s="137">
        <f>Transportation_LCIA!G$61*($W348^Transportation_LCIA!G$60)+Transportation_LCIA!G$62</f>
        <v>4.9732721850700504E-2</v>
      </c>
      <c r="AD348" s="137">
        <f>Transportation_LCIA!H$61*($W348^Transportation_LCIA!H$60)+Transportation_LCIA!H$62</f>
        <v>2.3354733970354277E-4</v>
      </c>
      <c r="AE348" s="137">
        <f>Transportation_LCIA!I$61*($W348^Transportation_LCIA!I$60)+Transportation_LCIA!I$62</f>
        <v>4.8370286501590584E-6</v>
      </c>
      <c r="AF348" s="137">
        <f>Transportation_LCIA!J$61*($W348^Transportation_LCIA!J$60)+Transportation_LCIA!J$62</f>
        <v>7.1545566538932627E-3</v>
      </c>
      <c r="AG348" s="137">
        <f>Transportation_LCIA!K$61*($W348^Transportation_LCIA!K$60)+Transportation_LCIA!K$62</f>
        <v>1.0438282082237939E-2</v>
      </c>
      <c r="AH348" s="137">
        <f>Transportation_LCIA!L$61*($W348^Transportation_LCIA!L$60)+Transportation_LCIA!L$62</f>
        <v>2.0018015197131005E-4</v>
      </c>
      <c r="AI348" s="137">
        <f>Transportation_LCIA!M$61*($W348^Transportation_LCIA!M$60)+Transportation_LCIA!M$62</f>
        <v>2.1974367386704132E-4</v>
      </c>
      <c r="AJ348" s="137">
        <f>Transportation_LCIA!N$61*($W348^Transportation_LCIA!N$60)+Transportation_LCIA!N$62</f>
        <v>8.4438120826727404E-4</v>
      </c>
      <c r="AK348" s="137">
        <f>Transportation_LCIA!O$61*($W348^Transportation_LCIA!O$60)+Transportation_LCIA!O$62</f>
        <v>5.2512606084760235E-5</v>
      </c>
      <c r="AL348" s="137">
        <f>Transportation_LCIA!P$61*($W348^Transportation_LCIA!P$60)+Transportation_LCIA!P$62</f>
        <v>2.5414862321836186E-8</v>
      </c>
      <c r="AM348" s="137">
        <f>Transportation_LCIA!Q$61*($W348^Transportation_LCIA!Q$60)+Transportation_LCIA!Q$62</f>
        <v>7.9443693778010496E-5</v>
      </c>
      <c r="AN348" s="137">
        <f>Transportation_LCIA!R$61*($W348^Transportation_LCIA!R$60)+Transportation_LCIA!R$62</f>
        <v>2.3279954127078097E-4</v>
      </c>
      <c r="AO348" s="137">
        <f>Transportation_LCIA!S$61*($W348^Transportation_LCIA!S$60)+Transportation_LCIA!S$62</f>
        <v>3.5611915306199878E-6</v>
      </c>
      <c r="AP348" s="137">
        <f>Transportation_LCIA!T$61*($W348^Transportation_LCIA!T$60)+Transportation_LCIA!T$62</f>
        <v>3.5611915306199878E-6</v>
      </c>
      <c r="AQ348" s="137">
        <f>Transportation_LCIA!U$61*($W348^Transportation_LCIA!U$60)+Transportation_LCIA!U$62</f>
        <v>4.9734224298675508E-4</v>
      </c>
      <c r="AR348" s="137">
        <f>Transportation_LCIA!V$61*($W348^Transportation_LCIA!V$60)+Transportation_LCIA!V$62</f>
        <v>2.066336089980104E-4</v>
      </c>
      <c r="AT348" s="137">
        <f>$W348*Y348+$L348*Summary_LCIA!H$32</f>
        <v>288.48776786125103</v>
      </c>
      <c r="AU348" s="137">
        <f>$W348*Z348+$L348*Summary_LCIA!Q$32</f>
        <v>2972.123804605917</v>
      </c>
      <c r="AV348" s="137">
        <f>$W348*AA348+$L348*Summary_LCIA!R$32</f>
        <v>1.4311778422124066</v>
      </c>
      <c r="AW348" s="137">
        <f>$W348*AB348+$L348*Summary_LCIA!S$32</f>
        <v>288.33357174125103</v>
      </c>
      <c r="AX348" s="137">
        <f>$W348*AC348+$L348*Summary_LCIA!T$32</f>
        <v>69.346892053692116</v>
      </c>
      <c r="AY348" s="137">
        <f>$W348*AD348+$L348*Summary_LCIA!U$32</f>
        <v>0.93259974351803721</v>
      </c>
      <c r="AZ348" s="137">
        <f>$W348*AE348+$L348*Summary_LCIA!V$32</f>
        <v>8.0380086859561956E-3</v>
      </c>
      <c r="BA348" s="137">
        <f>$W348*AF348+$L348*Summary_LCIA!W$32</f>
        <v>12.109908672318197</v>
      </c>
      <c r="BB348" s="137">
        <f>$W348*AG348+$L348*Summary_LCIA!X$32</f>
        <v>14.545053359790247</v>
      </c>
      <c r="BC348" s="137">
        <f>$W348*AH348+$L348*Summary_LCIA!Y$32</f>
        <v>0.80729099098559476</v>
      </c>
      <c r="BD348" s="137">
        <f>$W348*AI348+$L348*Summary_LCIA!Z$32</f>
        <v>0.290899008775928</v>
      </c>
      <c r="BE348" s="137">
        <f>$W348*AJ348+$L348*Summary_LCIA!AA$32</f>
        <v>1.9271008862333194</v>
      </c>
      <c r="BF348" s="137">
        <f>$W348*AK348+$L348*Summary_LCIA!AB$32</f>
        <v>6.8413545321528157E-2</v>
      </c>
      <c r="BG348" s="137">
        <f>$W348*AL348+$L348*Summary_LCIA!AC$32</f>
        <v>3.5184368508372919E-5</v>
      </c>
      <c r="BH348" s="137">
        <f>$W348*AM348+$L348*Summary_LCIA!AD$32</f>
        <v>0.11899072909346055</v>
      </c>
      <c r="BI348" s="137">
        <f>$W348*AN348+$L348*Summary_LCIA!AE$32</f>
        <v>0.3375803957299397</v>
      </c>
      <c r="BJ348" s="137">
        <f>$W348*AO348+$L348*Summary_LCIA!AF$32</f>
        <v>3.4184480164365545E-2</v>
      </c>
      <c r="BK348" s="137">
        <f>$W348*AP348+$L348*Summary_LCIA!AG$32</f>
        <v>6.4761002343655429E-3</v>
      </c>
      <c r="BL348" s="137">
        <f>$W348*AQ348+$L348*Summary_LCIA!AH$32</f>
        <v>0.95878278788595672</v>
      </c>
      <c r="BM348" s="137">
        <f>$W348*AR348+$L348*Summary_LCIA!AI$32</f>
        <v>0.30469653202617536</v>
      </c>
    </row>
    <row r="349" spans="1:65" x14ac:dyDescent="0.25">
      <c r="A349" s="149">
        <v>198</v>
      </c>
      <c r="B349" s="149">
        <v>16</v>
      </c>
      <c r="C349" s="61">
        <v>33.875292999999999</v>
      </c>
      <c r="D349" s="61">
        <v>-117.56643800000001</v>
      </c>
      <c r="E349" s="61" t="s">
        <v>265</v>
      </c>
      <c r="F349" s="149">
        <v>102</v>
      </c>
      <c r="G349" s="61" t="s">
        <v>695</v>
      </c>
      <c r="H349" s="61" t="s">
        <v>696</v>
      </c>
      <c r="I349" s="61">
        <v>33.676189999999998</v>
      </c>
      <c r="J349" s="61">
        <v>-117.867476</v>
      </c>
      <c r="K349" s="61">
        <v>43.554003680000001</v>
      </c>
      <c r="L349" s="61">
        <v>47.546999999999997</v>
      </c>
      <c r="M349" s="61" t="s">
        <v>617</v>
      </c>
      <c r="N349" s="149">
        <v>15</v>
      </c>
      <c r="O349" s="149">
        <v>16</v>
      </c>
      <c r="P349" s="61" t="s">
        <v>565</v>
      </c>
      <c r="Q349" s="61" t="s">
        <v>556</v>
      </c>
      <c r="R349" s="61">
        <v>39.856096299999997</v>
      </c>
      <c r="S349" s="61">
        <v>-104.6737376</v>
      </c>
      <c r="T349" s="61">
        <v>1630.646</v>
      </c>
      <c r="U349" s="61" t="s">
        <v>617</v>
      </c>
      <c r="V349" s="61" t="s">
        <v>569</v>
      </c>
      <c r="W349" s="61" cm="1">
        <f t="array" ref="W349">getDistance(I349,J349,R349,S349)*SA!$B$12</f>
        <v>1361.6958499190428</v>
      </c>
      <c r="Y349" s="137">
        <f>Transportation_LCIA!C$61*($W349^Transportation_LCIA!C$60)+Transportation_LCIA!C$62</f>
        <v>0.2073097191939122</v>
      </c>
      <c r="Z349" s="137">
        <f>Transportation_LCIA!D$61*($W349^Transportation_LCIA!D$60)+Transportation_LCIA!D$62</f>
        <v>2.0939747254592413</v>
      </c>
      <c r="AA349" s="137">
        <f>Transportation_LCIA!E$61*($W349^Transportation_LCIA!E$60)+Transportation_LCIA!E$62</f>
        <v>9.2669194996962802E-4</v>
      </c>
      <c r="AB349" s="137">
        <f>Transportation_LCIA!F$61*($W349^Transportation_LCIA!F$60)+Transportation_LCIA!F$62</f>
        <v>0.2073097191939122</v>
      </c>
      <c r="AC349" s="137">
        <f>Transportation_LCIA!G$61*($W349^Transportation_LCIA!G$60)+Transportation_LCIA!G$62</f>
        <v>4.9015017544409754E-2</v>
      </c>
      <c r="AD349" s="137">
        <f>Transportation_LCIA!H$61*($W349^Transportation_LCIA!H$60)+Transportation_LCIA!H$62</f>
        <v>2.2911401068772993E-4</v>
      </c>
      <c r="AE349" s="137">
        <f>Transportation_LCIA!I$61*($W349^Transportation_LCIA!I$60)+Transportation_LCIA!I$62</f>
        <v>4.7267039245540335E-6</v>
      </c>
      <c r="AF349" s="137">
        <f>Transportation_LCIA!J$61*($W349^Transportation_LCIA!J$60)+Transportation_LCIA!J$62</f>
        <v>6.991485436087257E-3</v>
      </c>
      <c r="AG349" s="137">
        <f>Transportation_LCIA!K$61*($W349^Transportation_LCIA!K$60)+Transportation_LCIA!K$62</f>
        <v>1.0271832524653994E-2</v>
      </c>
      <c r="AH349" s="137">
        <f>Transportation_LCIA!L$61*($W349^Transportation_LCIA!L$60)+Transportation_LCIA!L$62</f>
        <v>1.9611776885917096E-4</v>
      </c>
      <c r="AI349" s="137">
        <f>Transportation_LCIA!M$61*($W349^Transportation_LCIA!M$60)+Transportation_LCIA!M$62</f>
        <v>2.1729791258452854E-4</v>
      </c>
      <c r="AJ349" s="137">
        <f>Transportation_LCIA!N$61*($W349^Transportation_LCIA!N$60)+Transportation_LCIA!N$62</f>
        <v>8.2946197414442288E-4</v>
      </c>
      <c r="AK349" s="137">
        <f>Transportation_LCIA!O$61*($W349^Transportation_LCIA!O$60)+Transportation_LCIA!O$62</f>
        <v>5.1750222729688768E-5</v>
      </c>
      <c r="AL349" s="137">
        <f>Transportation_LCIA!P$61*($W349^Transportation_LCIA!P$60)+Transportation_LCIA!P$62</f>
        <v>2.504796532688886E-8</v>
      </c>
      <c r="AM349" s="137">
        <f>Transportation_LCIA!Q$61*($W349^Transportation_LCIA!Q$60)+Transportation_LCIA!Q$62</f>
        <v>7.785810123424859E-5</v>
      </c>
      <c r="AN349" s="137">
        <f>Transportation_LCIA!R$61*($W349^Transportation_LCIA!R$60)+Transportation_LCIA!R$62</f>
        <v>2.275106162676845E-4</v>
      </c>
      <c r="AO349" s="137">
        <f>Transportation_LCIA!S$61*($W349^Transportation_LCIA!S$60)+Transportation_LCIA!S$62</f>
        <v>3.4860917489916618E-6</v>
      </c>
      <c r="AP349" s="137">
        <f>Transportation_LCIA!T$61*($W349^Transportation_LCIA!T$60)+Transportation_LCIA!T$62</f>
        <v>3.4860917489916618E-6</v>
      </c>
      <c r="AQ349" s="137">
        <f>Transportation_LCIA!U$61*($W349^Transportation_LCIA!U$60)+Transportation_LCIA!U$62</f>
        <v>4.8576884936546861E-4</v>
      </c>
      <c r="AR349" s="137">
        <f>Transportation_LCIA!V$61*($W349^Transportation_LCIA!V$60)+Transportation_LCIA!V$62</f>
        <v>2.0251808924873476E-4</v>
      </c>
      <c r="AT349" s="137">
        <f>$W349*Y349+$L349*Summary_LCIA!H$32</f>
        <v>298.44925487423234</v>
      </c>
      <c r="AU349" s="137">
        <f>$W349*Z349+$L349*Summary_LCIA!Q$32</f>
        <v>3087.0020234310668</v>
      </c>
      <c r="AV349" s="137">
        <f>$W349*AA349+$L349*Summary_LCIA!R$32</f>
        <v>1.5122360656270275</v>
      </c>
      <c r="AW349" s="137">
        <f>$W349*AB349+$L349*Summary_LCIA!S$32</f>
        <v>298.23909713423234</v>
      </c>
      <c r="AX349" s="137">
        <f>$W349*AC349+$L349*Summary_LCIA!T$32</f>
        <v>71.968961273931825</v>
      </c>
      <c r="AY349" s="137">
        <f>$W349*AD349+$L349*Summary_LCIA!U$32</f>
        <v>1.163740555511789</v>
      </c>
      <c r="AZ349" s="137">
        <f>$W349*AE349+$L349*Summary_LCIA!V$32</f>
        <v>8.707225384861279E-3</v>
      </c>
      <c r="BA349" s="137">
        <f>$W349*AF349+$L349*Summary_LCIA!W$32</f>
        <v>13.180016840089447</v>
      </c>
      <c r="BB349" s="137">
        <f>$W349*AG349+$L349*Summary_LCIA!X$32</f>
        <v>15.070232379884787</v>
      </c>
      <c r="BC349" s="137">
        <f>$W349*AH349+$L349*Summary_LCIA!Y$32</f>
        <v>1.0079301059509151</v>
      </c>
      <c r="BD349" s="137">
        <f>$W349*AI349+$L349*Summary_LCIA!Z$32</f>
        <v>0.29784352068542341</v>
      </c>
      <c r="BE349" s="137">
        <f>$W349*AJ349+$L349*Summary_LCIA!AA$32</f>
        <v>2.239982659858117</v>
      </c>
      <c r="BF349" s="137">
        <f>$W349*AK349+$L349*Summary_LCIA!AB$32</f>
        <v>6.9430445342403321E-2</v>
      </c>
      <c r="BG349" s="137">
        <f>$W349*AL349+$L349*Summary_LCIA!AC$32</f>
        <v>3.6431997982540639E-5</v>
      </c>
      <c r="BH349" s="137">
        <f>$W349*AM349+$L349*Summary_LCIA!AD$32</f>
        <v>0.12556277221325302</v>
      </c>
      <c r="BI349" s="137">
        <f>$W349*AN349+$L349*Summary_LCIA!AE$32</f>
        <v>0.35193308509422982</v>
      </c>
      <c r="BJ349" s="137">
        <f>$W349*AO349+$L349*Summary_LCIA!AF$32</f>
        <v>4.4944181407038965E-2</v>
      </c>
      <c r="BK349" s="137">
        <f>$W349*AP349+$L349*Summary_LCIA!AG$32</f>
        <v>7.1797389220389632E-3</v>
      </c>
      <c r="BL349" s="137">
        <f>$W349*AQ349+$L349*Summary_LCIA!AH$32</f>
        <v>1.0752994954009072</v>
      </c>
      <c r="BM349" s="137">
        <f>$W349*AR349+$L349*Summary_LCIA!AI$32</f>
        <v>0.3200604495135364</v>
      </c>
    </row>
    <row r="350" spans="1:65" x14ac:dyDescent="0.25">
      <c r="A350" s="149">
        <v>252</v>
      </c>
      <c r="B350" s="149">
        <v>16</v>
      </c>
      <c r="C350" s="61">
        <v>34.029510999999999</v>
      </c>
      <c r="D350" s="61">
        <v>-118.28482</v>
      </c>
      <c r="E350" s="61" t="s">
        <v>265</v>
      </c>
      <c r="F350" s="149">
        <v>3</v>
      </c>
      <c r="G350" s="61" t="s">
        <v>565</v>
      </c>
      <c r="H350" s="61" t="s">
        <v>710</v>
      </c>
      <c r="I350" s="61">
        <v>33.941589</v>
      </c>
      <c r="J350" s="61">
        <v>-118.40853</v>
      </c>
      <c r="K350" s="61">
        <v>18.890506299999998</v>
      </c>
      <c r="L350" s="61">
        <v>28.658000000000001</v>
      </c>
      <c r="M350" s="61" t="s">
        <v>617</v>
      </c>
      <c r="N350" s="149">
        <v>15</v>
      </c>
      <c r="O350" s="149">
        <v>16</v>
      </c>
      <c r="P350" s="61" t="s">
        <v>565</v>
      </c>
      <c r="Q350" s="61" t="s">
        <v>556</v>
      </c>
      <c r="R350" s="61">
        <v>39.856096299999997</v>
      </c>
      <c r="S350" s="61">
        <v>-104.6737376</v>
      </c>
      <c r="T350" s="61">
        <v>1680.5740000000001</v>
      </c>
      <c r="U350" s="61" t="s">
        <v>617</v>
      </c>
      <c r="V350" s="61" t="s">
        <v>569</v>
      </c>
      <c r="W350" s="61" cm="1">
        <f t="array" ref="W350">getDistance(I350,J350,R350,S350)*SA!$B$12</f>
        <v>1387.4843900842295</v>
      </c>
      <c r="Y350" s="137">
        <f>Transportation_LCIA!C$61*($W350^Transportation_LCIA!C$60)+Transportation_LCIA!C$62</f>
        <v>0.20581960547079264</v>
      </c>
      <c r="Z350" s="137">
        <f>Transportation_LCIA!D$61*($W350^Transportation_LCIA!D$60)+Transportation_LCIA!D$62</f>
        <v>2.0768269228976033</v>
      </c>
      <c r="AA350" s="137">
        <f>Transportation_LCIA!E$61*($W350^Transportation_LCIA!E$60)+Transportation_LCIA!E$62</f>
        <v>9.1546180581945479E-4</v>
      </c>
      <c r="AB350" s="137">
        <f>Transportation_LCIA!F$61*($W350^Transportation_LCIA!F$60)+Transportation_LCIA!F$62</f>
        <v>0.20581960547079264</v>
      </c>
      <c r="AC350" s="137">
        <f>Transportation_LCIA!G$61*($W350^Transportation_LCIA!G$60)+Transportation_LCIA!G$62</f>
        <v>4.8617966007577562E-2</v>
      </c>
      <c r="AD350" s="137">
        <f>Transportation_LCIA!H$61*($W350^Transportation_LCIA!H$60)+Transportation_LCIA!H$62</f>
        <v>2.2666386102590741E-4</v>
      </c>
      <c r="AE350" s="137">
        <f>Transportation_LCIA!I$61*($W350^Transportation_LCIA!I$60)+Transportation_LCIA!I$62</f>
        <v>4.6657927511086472E-6</v>
      </c>
      <c r="AF350" s="137">
        <f>Transportation_LCIA!J$61*($W350^Transportation_LCIA!J$60)+Transportation_LCIA!J$62</f>
        <v>6.9015118773160409E-3</v>
      </c>
      <c r="AG350" s="137">
        <f>Transportation_LCIA!K$61*($W350^Transportation_LCIA!K$60)+Transportation_LCIA!K$62</f>
        <v>1.0179801080725534E-2</v>
      </c>
      <c r="AH350" s="137">
        <f>Transportation_LCIA!L$61*($W350^Transportation_LCIA!L$60)+Transportation_LCIA!L$62</f>
        <v>1.9387327379532753E-4</v>
      </c>
      <c r="AI350" s="137">
        <f>Transportation_LCIA!M$61*($W350^Transportation_LCIA!M$60)+Transportation_LCIA!M$62</f>
        <v>2.1594626994717386E-4</v>
      </c>
      <c r="AJ350" s="137">
        <f>Transportation_LCIA!N$61*($W350^Transportation_LCIA!N$60)+Transportation_LCIA!N$62</f>
        <v>8.2121596088846074E-4</v>
      </c>
      <c r="AK350" s="137">
        <f>Transportation_LCIA!O$61*($W350^Transportation_LCIA!O$60)+Transportation_LCIA!O$62</f>
        <v>5.1328466739394509E-5</v>
      </c>
      <c r="AL350" s="137">
        <f>Transportation_LCIA!P$61*($W350^Transportation_LCIA!P$60)+Transportation_LCIA!P$62</f>
        <v>2.4844978207030577E-8</v>
      </c>
      <c r="AM350" s="137">
        <f>Transportation_LCIA!Q$61*($W350^Transportation_LCIA!Q$60)+Transportation_LCIA!Q$62</f>
        <v>7.6982185894126267E-5</v>
      </c>
      <c r="AN350" s="137">
        <f>Transportation_LCIA!R$61*($W350^Transportation_LCIA!R$60)+Transportation_LCIA!R$62</f>
        <v>2.2459062924110718E-4</v>
      </c>
      <c r="AO350" s="137">
        <f>Transportation_LCIA!S$61*($W350^Transportation_LCIA!S$60)+Transportation_LCIA!S$62</f>
        <v>3.4446276891640986E-6</v>
      </c>
      <c r="AP350" s="137">
        <f>Transportation_LCIA!T$61*($W350^Transportation_LCIA!T$60)+Transportation_LCIA!T$62</f>
        <v>3.4446276891640986E-6</v>
      </c>
      <c r="AQ350" s="137">
        <f>Transportation_LCIA!U$61*($W350^Transportation_LCIA!U$60)+Transportation_LCIA!U$62</f>
        <v>4.7938046479033795E-4</v>
      </c>
      <c r="AR350" s="137">
        <f>Transportation_LCIA!V$61*($W350^Transportation_LCIA!V$60)+Transportation_LCIA!V$62</f>
        <v>2.0024504180833207E-4</v>
      </c>
      <c r="AT350" s="137">
        <f>$W350*Y350+$L350*Summary_LCIA!H$32</f>
        <v>295.30947816401948</v>
      </c>
      <c r="AU350" s="137">
        <f>$W350*Z350+$L350*Summary_LCIA!Q$32</f>
        <v>3023.5954297360026</v>
      </c>
      <c r="AV350" s="137">
        <f>$W350*AA350+$L350*Summary_LCIA!R$32</f>
        <v>1.4210905300928136</v>
      </c>
      <c r="AW350" s="137">
        <f>$W350*AB350+$L350*Summary_LCIA!S$32</f>
        <v>295.18280980401948</v>
      </c>
      <c r="AX350" s="137">
        <f>$W350*AC350+$L350*Summary_LCIA!T$32</f>
        <v>70.60618311315956</v>
      </c>
      <c r="AY350" s="137">
        <f>$W350*AD350+$L350*Summary_LCIA!U$32</f>
        <v>0.82787198096966774</v>
      </c>
      <c r="AZ350" s="137">
        <f>$W350*AE350+$L350*Summary_LCIA!V$32</f>
        <v>7.8424493475314008E-3</v>
      </c>
      <c r="BA350" s="137">
        <f>$W350*AF350+$L350*Summary_LCIA!W$32</f>
        <v>11.781574915756913</v>
      </c>
      <c r="BB350" s="137">
        <f>$W350*AG350+$L350*Summary_LCIA!X$32</f>
        <v>14.77714433366925</v>
      </c>
      <c r="BC350" s="137">
        <f>$W350*AH350+$L350*Summary_LCIA!Y$32</f>
        <v>0.71554509704554292</v>
      </c>
      <c r="BD350" s="137">
        <f>$W350*AI350+$L350*Summary_LCIA!Z$32</f>
        <v>0.30079731457061887</v>
      </c>
      <c r="BE350" s="137">
        <f>$W350*AJ350+$L350*Summary_LCIA!AA$32</f>
        <v>1.8087605746207605</v>
      </c>
      <c r="BF350" s="137">
        <f>$W350*AK350+$L350*Summary_LCIA!AB$32</f>
        <v>7.0592042833867455E-2</v>
      </c>
      <c r="BG350" s="137">
        <f>$W350*AL350+$L350*Summary_LCIA!AC$32</f>
        <v>3.5872937106237794E-5</v>
      </c>
      <c r="BH350" s="137">
        <f>$W350*AM350+$L350*Summary_LCIA!AD$32</f>
        <v>0.11859116556266255</v>
      </c>
      <c r="BI350" s="137">
        <f>$W350*AN350+$L350*Summary_LCIA!AE$32</f>
        <v>0.33701070577123093</v>
      </c>
      <c r="BJ350" s="137">
        <f>$W350*AO350+$L350*Summary_LCIA!AF$32</f>
        <v>2.9007413508367101E-2</v>
      </c>
      <c r="BK350" s="137">
        <f>$W350*AP350+$L350*Summary_LCIA!AG$32</f>
        <v>6.2456537183670988E-3</v>
      </c>
      <c r="BL350" s="137">
        <f>$W350*AQ350+$L350*Summary_LCIA!AH$32</f>
        <v>0.91456068060791662</v>
      </c>
      <c r="BM350" s="137">
        <f>$W350*AR350+$L350*Summary_LCIA!AI$32</f>
        <v>0.30453322960082468</v>
      </c>
    </row>
    <row r="351" spans="1:65" x14ac:dyDescent="0.25">
      <c r="A351" s="149">
        <v>333</v>
      </c>
      <c r="B351" s="149">
        <v>16</v>
      </c>
      <c r="C351" s="61">
        <v>34.420831</v>
      </c>
      <c r="D351" s="61">
        <v>-119.69819</v>
      </c>
      <c r="E351" s="61" t="s">
        <v>265</v>
      </c>
      <c r="F351" s="149">
        <v>116</v>
      </c>
      <c r="G351" s="61" t="s">
        <v>663</v>
      </c>
      <c r="H351" s="61" t="s">
        <v>664</v>
      </c>
      <c r="I351" s="61">
        <v>34.198312000000001</v>
      </c>
      <c r="J351" s="61">
        <v>-118.357404</v>
      </c>
      <c r="K351" s="61">
        <v>171.82591690000001</v>
      </c>
      <c r="L351" s="61">
        <v>142.99199999999999</v>
      </c>
      <c r="M351" s="61" t="s">
        <v>617</v>
      </c>
      <c r="N351" s="149">
        <v>15</v>
      </c>
      <c r="O351" s="149">
        <v>16</v>
      </c>
      <c r="P351" s="61" t="s">
        <v>565</v>
      </c>
      <c r="Q351" s="61" t="s">
        <v>556</v>
      </c>
      <c r="R351" s="61">
        <v>39.856096299999997</v>
      </c>
      <c r="S351" s="61">
        <v>-104.6737376</v>
      </c>
      <c r="T351" s="61">
        <v>1816.76</v>
      </c>
      <c r="U351" s="61" t="s">
        <v>617</v>
      </c>
      <c r="V351" s="61" t="s">
        <v>569</v>
      </c>
      <c r="W351" s="61" cm="1">
        <f t="array" ref="W351">getDistance(I351,J351,R351,S351)*SA!$B$12</f>
        <v>1368.4330080174188</v>
      </c>
      <c r="Y351" s="137">
        <f>Transportation_LCIA!C$61*($W351^Transportation_LCIA!C$60)+Transportation_LCIA!C$62</f>
        <v>0.20691545096518085</v>
      </c>
      <c r="Z351" s="137">
        <f>Transportation_LCIA!D$61*($W351^Transportation_LCIA!D$60)+Transportation_LCIA!D$62</f>
        <v>2.0894362421462809</v>
      </c>
      <c r="AA351" s="137">
        <f>Transportation_LCIA!E$61*($W351^Transportation_LCIA!E$60)+Transportation_LCIA!E$62</f>
        <v>9.2371943464845518E-4</v>
      </c>
      <c r="AB351" s="137">
        <f>Transportation_LCIA!F$61*($W351^Transportation_LCIA!F$60)+Transportation_LCIA!F$62</f>
        <v>0.20691545096518085</v>
      </c>
      <c r="AC351" s="137">
        <f>Transportation_LCIA!G$61*($W351^Transportation_LCIA!G$60)+Transportation_LCIA!G$62</f>
        <v>4.8909932339708459E-2</v>
      </c>
      <c r="AD351" s="137">
        <f>Transportation_LCIA!H$61*($W351^Transportation_LCIA!H$60)+Transportation_LCIA!H$62</f>
        <v>2.2846537104787056E-4</v>
      </c>
      <c r="AE351" s="137">
        <f>Transportation_LCIA!I$61*($W351^Transportation_LCIA!I$60)+Transportation_LCIA!I$62</f>
        <v>4.7105743113511086E-6</v>
      </c>
      <c r="AF351" s="137">
        <f>Transportation_LCIA!J$61*($W351^Transportation_LCIA!J$60)+Transportation_LCIA!J$62</f>
        <v>6.9676557821968139E-3</v>
      </c>
      <c r="AG351" s="137">
        <f>Transportation_LCIA!K$61*($W351^Transportation_LCIA!K$60)+Transportation_LCIA!K$62</f>
        <v>1.0247471444338688E-2</v>
      </c>
      <c r="AH351" s="137">
        <f>Transportation_LCIA!L$61*($W351^Transportation_LCIA!L$60)+Transportation_LCIA!L$62</f>
        <v>1.9552352788564252E-4</v>
      </c>
      <c r="AI351" s="137">
        <f>Transportation_LCIA!M$61*($W351^Transportation_LCIA!M$60)+Transportation_LCIA!M$62</f>
        <v>2.1694008263797531E-4</v>
      </c>
      <c r="AJ351" s="137">
        <f>Transportation_LCIA!N$61*($W351^Transportation_LCIA!N$60)+Transportation_LCIA!N$62</f>
        <v>8.2727901467190875E-4</v>
      </c>
      <c r="AK351" s="137">
        <f>Transportation_LCIA!O$61*($W351^Transportation_LCIA!O$60)+Transportation_LCIA!O$62</f>
        <v>5.1638598230819343E-5</v>
      </c>
      <c r="AL351" s="137">
        <f>Transportation_LCIA!P$61*($W351^Transportation_LCIA!P$60)+Transportation_LCIA!P$62</f>
        <v>2.4994242719427007E-8</v>
      </c>
      <c r="AM351" s="137">
        <f>Transportation_LCIA!Q$61*($W351^Transportation_LCIA!Q$60)+Transportation_LCIA!Q$62</f>
        <v>7.7626188885142287E-5</v>
      </c>
      <c r="AN351" s="137">
        <f>Transportation_LCIA!R$61*($W351^Transportation_LCIA!R$60)+Transportation_LCIA!R$62</f>
        <v>2.267373826738791E-4</v>
      </c>
      <c r="AO351" s="137">
        <f>Transportation_LCIA!S$61*($W351^Transportation_LCIA!S$60)+Transportation_LCIA!S$62</f>
        <v>3.475111898756177E-6</v>
      </c>
      <c r="AP351" s="137">
        <f>Transportation_LCIA!T$61*($W351^Transportation_LCIA!T$60)+Transportation_LCIA!T$62</f>
        <v>3.475111898756177E-6</v>
      </c>
      <c r="AQ351" s="137">
        <f>Transportation_LCIA!U$61*($W351^Transportation_LCIA!U$60)+Transportation_LCIA!U$62</f>
        <v>4.8407707333919363E-4</v>
      </c>
      <c r="AR351" s="137">
        <f>Transportation_LCIA!V$61*($W351^Transportation_LCIA!V$60)+Transportation_LCIA!V$62</f>
        <v>2.0191623240174868E-4</v>
      </c>
      <c r="AT351" s="137">
        <f>$W351*Y351+$L351*Summary_LCIA!H$32</f>
        <v>331.73861456956314</v>
      </c>
      <c r="AU351" s="137">
        <f>$W351*Z351+$L351*Summary_LCIA!Q$32</f>
        <v>3567.9290854163828</v>
      </c>
      <c r="AV351" s="137">
        <f>$W351*AA351+$L351*Summary_LCIA!R$32</f>
        <v>2.0169868397201349</v>
      </c>
      <c r="AW351" s="137">
        <f>$W351*AB351+$L351*Summary_LCIA!S$32</f>
        <v>331.10658992956314</v>
      </c>
      <c r="AX351" s="137">
        <f>$W351*AC351+$L351*Summary_LCIA!T$32</f>
        <v>82.644786633555682</v>
      </c>
      <c r="AY351" s="137">
        <f>$W351*AD351+$L351*Summary_LCIA!U$32</f>
        <v>2.874198242930853</v>
      </c>
      <c r="AZ351" s="137">
        <f>$W351*AE351+$L351*Summary_LCIA!V$32</f>
        <v>1.3275546286371778E-2</v>
      </c>
      <c r="BA351" s="137">
        <f>$W351*AF351+$L351*Summary_LCIA!W$32</f>
        <v>20.541007392861545</v>
      </c>
      <c r="BB351" s="137">
        <f>$W351*AG351+$L351*Summary_LCIA!X$32</f>
        <v>17.280335933148997</v>
      </c>
      <c r="BC351" s="137">
        <f>$W351*AH351+$L351*Summary_LCIA!Y$32</f>
        <v>2.495662193402727</v>
      </c>
      <c r="BD351" s="137">
        <f>$W351*AI351+$L351*Summary_LCIA!Z$32</f>
        <v>0.30273192877183197</v>
      </c>
      <c r="BE351" s="137">
        <f>$W351*AJ351+$L351*Summary_LCIA!AA$32</f>
        <v>4.4717970625171661</v>
      </c>
      <c r="BF351" s="137">
        <f>$W351*AK351+$L351*Summary_LCIA!AB$32</f>
        <v>6.7543447890803077E-2</v>
      </c>
      <c r="BG351" s="137">
        <f>$W351*AL351+$L351*Summary_LCIA!AC$32</f>
        <v>4.1192967675662969E-5</v>
      </c>
      <c r="BH351" s="137">
        <f>$W351*AM351+$L351*Summary_LCIA!AD$32</f>
        <v>0.16500167083702358</v>
      </c>
      <c r="BI351" s="137">
        <f>$W351*AN351+$L351*Summary_LCIA!AE$32</f>
        <v>0.43698441956241296</v>
      </c>
      <c r="BJ351" s="137">
        <f>$W351*AO351+$L351*Summary_LCIA!AF$32</f>
        <v>0.12564375446881204</v>
      </c>
      <c r="BK351" s="137">
        <f>$W351*AP351+$L351*Summary_LCIA!AG$32</f>
        <v>1.2071643508812039E-2</v>
      </c>
      <c r="BL351" s="137">
        <f>$W351*AQ351+$L351*Summary_LCIA!AH$32</f>
        <v>1.9069722167818215</v>
      </c>
      <c r="BM351" s="137">
        <f>$W351*AR351+$L351*Summary_LCIA!AI$32</f>
        <v>0.40951303487306911</v>
      </c>
    </row>
    <row r="352" spans="1:65" x14ac:dyDescent="0.25">
      <c r="A352" s="149">
        <v>329</v>
      </c>
      <c r="B352" s="149">
        <v>16</v>
      </c>
      <c r="C352" s="61">
        <v>34.413587</v>
      </c>
      <c r="D352" s="61">
        <v>-119.849698</v>
      </c>
      <c r="E352" s="61" t="s">
        <v>265</v>
      </c>
      <c r="F352" s="149">
        <v>116</v>
      </c>
      <c r="G352" s="61" t="s">
        <v>663</v>
      </c>
      <c r="H352" s="61" t="s">
        <v>664</v>
      </c>
      <c r="I352" s="61">
        <v>34.198312000000001</v>
      </c>
      <c r="J352" s="61">
        <v>-118.357404</v>
      </c>
      <c r="K352" s="61">
        <v>186.5655932</v>
      </c>
      <c r="L352" s="61">
        <v>160.434</v>
      </c>
      <c r="M352" s="61" t="s">
        <v>617</v>
      </c>
      <c r="N352" s="149">
        <v>15</v>
      </c>
      <c r="O352" s="149">
        <v>16</v>
      </c>
      <c r="P352" s="61" t="s">
        <v>565</v>
      </c>
      <c r="Q352" s="61" t="s">
        <v>556</v>
      </c>
      <c r="R352" s="61">
        <v>39.856096299999997</v>
      </c>
      <c r="S352" s="61">
        <v>-104.6737376</v>
      </c>
      <c r="T352" s="61">
        <v>1834.201</v>
      </c>
      <c r="U352" s="61" t="s">
        <v>617</v>
      </c>
      <c r="V352" s="61" t="s">
        <v>569</v>
      </c>
      <c r="W352" s="61" cm="1">
        <f t="array" ref="W352">getDistance(I352,J352,R352,S352)*SA!$B$12</f>
        <v>1368.4330080174188</v>
      </c>
      <c r="Y352" s="137">
        <f>Transportation_LCIA!C$61*($W352^Transportation_LCIA!C$60)+Transportation_LCIA!C$62</f>
        <v>0.20691545096518085</v>
      </c>
      <c r="Z352" s="137">
        <f>Transportation_LCIA!D$61*($W352^Transportation_LCIA!D$60)+Transportation_LCIA!D$62</f>
        <v>2.0894362421462809</v>
      </c>
      <c r="AA352" s="137">
        <f>Transportation_LCIA!E$61*($W352^Transportation_LCIA!E$60)+Transportation_LCIA!E$62</f>
        <v>9.2371943464845518E-4</v>
      </c>
      <c r="AB352" s="137">
        <f>Transportation_LCIA!F$61*($W352^Transportation_LCIA!F$60)+Transportation_LCIA!F$62</f>
        <v>0.20691545096518085</v>
      </c>
      <c r="AC352" s="137">
        <f>Transportation_LCIA!G$61*($W352^Transportation_LCIA!G$60)+Transportation_LCIA!G$62</f>
        <v>4.8909932339708459E-2</v>
      </c>
      <c r="AD352" s="137">
        <f>Transportation_LCIA!H$61*($W352^Transportation_LCIA!H$60)+Transportation_LCIA!H$62</f>
        <v>2.2846537104787056E-4</v>
      </c>
      <c r="AE352" s="137">
        <f>Transportation_LCIA!I$61*($W352^Transportation_LCIA!I$60)+Transportation_LCIA!I$62</f>
        <v>4.7105743113511086E-6</v>
      </c>
      <c r="AF352" s="137">
        <f>Transportation_LCIA!J$61*($W352^Transportation_LCIA!J$60)+Transportation_LCIA!J$62</f>
        <v>6.9676557821968139E-3</v>
      </c>
      <c r="AG352" s="137">
        <f>Transportation_LCIA!K$61*($W352^Transportation_LCIA!K$60)+Transportation_LCIA!K$62</f>
        <v>1.0247471444338688E-2</v>
      </c>
      <c r="AH352" s="137">
        <f>Transportation_LCIA!L$61*($W352^Transportation_LCIA!L$60)+Transportation_LCIA!L$62</f>
        <v>1.9552352788564252E-4</v>
      </c>
      <c r="AI352" s="137">
        <f>Transportation_LCIA!M$61*($W352^Transportation_LCIA!M$60)+Transportation_LCIA!M$62</f>
        <v>2.1694008263797531E-4</v>
      </c>
      <c r="AJ352" s="137">
        <f>Transportation_LCIA!N$61*($W352^Transportation_LCIA!N$60)+Transportation_LCIA!N$62</f>
        <v>8.2727901467190875E-4</v>
      </c>
      <c r="AK352" s="137">
        <f>Transportation_LCIA!O$61*($W352^Transportation_LCIA!O$60)+Transportation_LCIA!O$62</f>
        <v>5.1638598230819343E-5</v>
      </c>
      <c r="AL352" s="137">
        <f>Transportation_LCIA!P$61*($W352^Transportation_LCIA!P$60)+Transportation_LCIA!P$62</f>
        <v>2.4994242719427007E-8</v>
      </c>
      <c r="AM352" s="137">
        <f>Transportation_LCIA!Q$61*($W352^Transportation_LCIA!Q$60)+Transportation_LCIA!Q$62</f>
        <v>7.7626188885142287E-5</v>
      </c>
      <c r="AN352" s="137">
        <f>Transportation_LCIA!R$61*($W352^Transportation_LCIA!R$60)+Transportation_LCIA!R$62</f>
        <v>2.267373826738791E-4</v>
      </c>
      <c r="AO352" s="137">
        <f>Transportation_LCIA!S$61*($W352^Transportation_LCIA!S$60)+Transportation_LCIA!S$62</f>
        <v>3.475111898756177E-6</v>
      </c>
      <c r="AP352" s="137">
        <f>Transportation_LCIA!T$61*($W352^Transportation_LCIA!T$60)+Transportation_LCIA!T$62</f>
        <v>3.475111898756177E-6</v>
      </c>
      <c r="AQ352" s="137">
        <f>Transportation_LCIA!U$61*($W352^Transportation_LCIA!U$60)+Transportation_LCIA!U$62</f>
        <v>4.8407707333919363E-4</v>
      </c>
      <c r="AR352" s="137">
        <f>Transportation_LCIA!V$61*($W352^Transportation_LCIA!V$60)+Transportation_LCIA!V$62</f>
        <v>2.0191623240174868E-4</v>
      </c>
      <c r="AT352" s="137">
        <f>$W352*Y352+$L352*Summary_LCIA!H$32</f>
        <v>337.66540616956314</v>
      </c>
      <c r="AU352" s="137">
        <f>$W352*Z352+$L352*Summary_LCIA!Q$32</f>
        <v>3654.372517068769</v>
      </c>
      <c r="AV352" s="137">
        <f>$W352*AA352+$L352*Summary_LCIA!R$32</f>
        <v>2.1088294349201351</v>
      </c>
      <c r="AW352" s="137">
        <f>$W352*AB352+$L352*Summary_LCIA!S$32</f>
        <v>336.95628788956316</v>
      </c>
      <c r="AX352" s="137">
        <f>$W352*AC352+$L352*Summary_LCIA!T$32</f>
        <v>84.561662433555682</v>
      </c>
      <c r="AY352" s="137">
        <f>$W352*AD352+$L352*Summary_LCIA!U$32</f>
        <v>3.186654230930853</v>
      </c>
      <c r="AZ352" s="137">
        <f>$W352*AE352+$L352*Summary_LCIA!V$32</f>
        <v>1.4108593648371779E-2</v>
      </c>
      <c r="BA352" s="137">
        <f>$W352*AF352+$L352*Summary_LCIA!W$32</f>
        <v>21.883535574861547</v>
      </c>
      <c r="BB352" s="137">
        <f>$W352*AG352+$L352*Summary_LCIA!X$32</f>
        <v>17.677664693148998</v>
      </c>
      <c r="BC352" s="137">
        <f>$W352*AH352+$L352*Summary_LCIA!Y$32</f>
        <v>2.7674434374027275</v>
      </c>
      <c r="BD352" s="137">
        <f>$W352*AI352+$L352*Summary_LCIA!Z$32</f>
        <v>0.30344720774983197</v>
      </c>
      <c r="BE352" s="137">
        <f>$W352*AJ352+$L352*Summary_LCIA!AA$32</f>
        <v>4.879172414517166</v>
      </c>
      <c r="BF352" s="137">
        <f>$W352*AK352+$L352*Summary_LCIA!AB$32</f>
        <v>6.7162811124803073E-2</v>
      </c>
      <c r="BG352" s="137">
        <f>$W352*AL352+$L352*Summary_LCIA!AC$32</f>
        <v>4.2045602403662972E-5</v>
      </c>
      <c r="BH352" s="137">
        <f>$W352*AM352+$L352*Summary_LCIA!AD$32</f>
        <v>0.17217103051702359</v>
      </c>
      <c r="BI352" s="137">
        <f>$W352*AN352+$L352*Summary_LCIA!AE$32</f>
        <v>0.45244029902241295</v>
      </c>
      <c r="BJ352" s="137">
        <f>$W352*AO352+$L352*Summary_LCIA!AF$32</f>
        <v>0.14038957010881203</v>
      </c>
      <c r="BK352" s="137">
        <f>$W352*AP352+$L352*Summary_LCIA!AG$32</f>
        <v>1.296406343881204E-2</v>
      </c>
      <c r="BL352" s="137">
        <f>$W352*AQ352+$L352*Summary_LCIA!AH$32</f>
        <v>2.0587804079818213</v>
      </c>
      <c r="BM352" s="137">
        <f>$W352*AR352+$L352*Summary_LCIA!AI$32</f>
        <v>0.42576112997306914</v>
      </c>
    </row>
    <row r="353" spans="1:65" x14ac:dyDescent="0.25">
      <c r="A353" s="149">
        <v>330</v>
      </c>
      <c r="B353" s="149">
        <v>16</v>
      </c>
      <c r="C353" s="61">
        <v>34.413587</v>
      </c>
      <c r="D353" s="61">
        <v>-119.849698</v>
      </c>
      <c r="E353" s="61" t="s">
        <v>265</v>
      </c>
      <c r="F353" s="149">
        <v>116</v>
      </c>
      <c r="G353" s="61" t="s">
        <v>663</v>
      </c>
      <c r="H353" s="61" t="s">
        <v>664</v>
      </c>
      <c r="I353" s="61">
        <v>34.198312000000001</v>
      </c>
      <c r="J353" s="61">
        <v>-118.357404</v>
      </c>
      <c r="K353" s="61">
        <v>186.5655932</v>
      </c>
      <c r="L353" s="61">
        <v>160.434</v>
      </c>
      <c r="M353" s="61" t="s">
        <v>617</v>
      </c>
      <c r="N353" s="149">
        <v>15</v>
      </c>
      <c r="O353" s="149">
        <v>16</v>
      </c>
      <c r="P353" s="61" t="s">
        <v>565</v>
      </c>
      <c r="Q353" s="61" t="s">
        <v>556</v>
      </c>
      <c r="R353" s="61">
        <v>39.856096299999997</v>
      </c>
      <c r="S353" s="61">
        <v>-104.6737376</v>
      </c>
      <c r="T353" s="61">
        <v>1834.201</v>
      </c>
      <c r="U353" s="61" t="s">
        <v>617</v>
      </c>
      <c r="V353" s="61" t="s">
        <v>569</v>
      </c>
      <c r="W353" s="61" cm="1">
        <f t="array" ref="W353">getDistance(I353,J353,R353,S353)*SA!$B$12</f>
        <v>1368.4330080174188</v>
      </c>
      <c r="Y353" s="137">
        <f>Transportation_LCIA!C$61*($W353^Transportation_LCIA!C$60)+Transportation_LCIA!C$62</f>
        <v>0.20691545096518085</v>
      </c>
      <c r="Z353" s="137">
        <f>Transportation_LCIA!D$61*($W353^Transportation_LCIA!D$60)+Transportation_LCIA!D$62</f>
        <v>2.0894362421462809</v>
      </c>
      <c r="AA353" s="137">
        <f>Transportation_LCIA!E$61*($W353^Transportation_LCIA!E$60)+Transportation_LCIA!E$62</f>
        <v>9.2371943464845518E-4</v>
      </c>
      <c r="AB353" s="137">
        <f>Transportation_LCIA!F$61*($W353^Transportation_LCIA!F$60)+Transportation_LCIA!F$62</f>
        <v>0.20691545096518085</v>
      </c>
      <c r="AC353" s="137">
        <f>Transportation_LCIA!G$61*($W353^Transportation_LCIA!G$60)+Transportation_LCIA!G$62</f>
        <v>4.8909932339708459E-2</v>
      </c>
      <c r="AD353" s="137">
        <f>Transportation_LCIA!H$61*($W353^Transportation_LCIA!H$60)+Transportation_LCIA!H$62</f>
        <v>2.2846537104787056E-4</v>
      </c>
      <c r="AE353" s="137">
        <f>Transportation_LCIA!I$61*($W353^Transportation_LCIA!I$60)+Transportation_LCIA!I$62</f>
        <v>4.7105743113511086E-6</v>
      </c>
      <c r="AF353" s="137">
        <f>Transportation_LCIA!J$61*($W353^Transportation_LCIA!J$60)+Transportation_LCIA!J$62</f>
        <v>6.9676557821968139E-3</v>
      </c>
      <c r="AG353" s="137">
        <f>Transportation_LCIA!K$61*($W353^Transportation_LCIA!K$60)+Transportation_LCIA!K$62</f>
        <v>1.0247471444338688E-2</v>
      </c>
      <c r="AH353" s="137">
        <f>Transportation_LCIA!L$61*($W353^Transportation_LCIA!L$60)+Transportation_LCIA!L$62</f>
        <v>1.9552352788564252E-4</v>
      </c>
      <c r="AI353" s="137">
        <f>Transportation_LCIA!M$61*($W353^Transportation_LCIA!M$60)+Transportation_LCIA!M$62</f>
        <v>2.1694008263797531E-4</v>
      </c>
      <c r="AJ353" s="137">
        <f>Transportation_LCIA!N$61*($W353^Transportation_LCIA!N$60)+Transportation_LCIA!N$62</f>
        <v>8.2727901467190875E-4</v>
      </c>
      <c r="AK353" s="137">
        <f>Transportation_LCIA!O$61*($W353^Transportation_LCIA!O$60)+Transportation_LCIA!O$62</f>
        <v>5.1638598230819343E-5</v>
      </c>
      <c r="AL353" s="137">
        <f>Transportation_LCIA!P$61*($W353^Transportation_LCIA!P$60)+Transportation_LCIA!P$62</f>
        <v>2.4994242719427007E-8</v>
      </c>
      <c r="AM353" s="137">
        <f>Transportation_LCIA!Q$61*($W353^Transportation_LCIA!Q$60)+Transportation_LCIA!Q$62</f>
        <v>7.7626188885142287E-5</v>
      </c>
      <c r="AN353" s="137">
        <f>Transportation_LCIA!R$61*($W353^Transportation_LCIA!R$60)+Transportation_LCIA!R$62</f>
        <v>2.267373826738791E-4</v>
      </c>
      <c r="AO353" s="137">
        <f>Transportation_LCIA!S$61*($W353^Transportation_LCIA!S$60)+Transportation_LCIA!S$62</f>
        <v>3.475111898756177E-6</v>
      </c>
      <c r="AP353" s="137">
        <f>Transportation_LCIA!T$61*($W353^Transportation_LCIA!T$60)+Transportation_LCIA!T$62</f>
        <v>3.475111898756177E-6</v>
      </c>
      <c r="AQ353" s="137">
        <f>Transportation_LCIA!U$61*($W353^Transportation_LCIA!U$60)+Transportation_LCIA!U$62</f>
        <v>4.8407707333919363E-4</v>
      </c>
      <c r="AR353" s="137">
        <f>Transportation_LCIA!V$61*($W353^Transportation_LCIA!V$60)+Transportation_LCIA!V$62</f>
        <v>2.0191623240174868E-4</v>
      </c>
      <c r="AT353" s="137">
        <f>$W353*Y353+$L353*Summary_LCIA!H$32</f>
        <v>337.66540616956314</v>
      </c>
      <c r="AU353" s="137">
        <f>$W353*Z353+$L353*Summary_LCIA!Q$32</f>
        <v>3654.372517068769</v>
      </c>
      <c r="AV353" s="137">
        <f>$W353*AA353+$L353*Summary_LCIA!R$32</f>
        <v>2.1088294349201351</v>
      </c>
      <c r="AW353" s="137">
        <f>$W353*AB353+$L353*Summary_LCIA!S$32</f>
        <v>336.95628788956316</v>
      </c>
      <c r="AX353" s="137">
        <f>$W353*AC353+$L353*Summary_LCIA!T$32</f>
        <v>84.561662433555682</v>
      </c>
      <c r="AY353" s="137">
        <f>$W353*AD353+$L353*Summary_LCIA!U$32</f>
        <v>3.186654230930853</v>
      </c>
      <c r="AZ353" s="137">
        <f>$W353*AE353+$L353*Summary_LCIA!V$32</f>
        <v>1.4108593648371779E-2</v>
      </c>
      <c r="BA353" s="137">
        <f>$W353*AF353+$L353*Summary_LCIA!W$32</f>
        <v>21.883535574861547</v>
      </c>
      <c r="BB353" s="137">
        <f>$W353*AG353+$L353*Summary_LCIA!X$32</f>
        <v>17.677664693148998</v>
      </c>
      <c r="BC353" s="137">
        <f>$W353*AH353+$L353*Summary_LCIA!Y$32</f>
        <v>2.7674434374027275</v>
      </c>
      <c r="BD353" s="137">
        <f>$W353*AI353+$L353*Summary_LCIA!Z$32</f>
        <v>0.30344720774983197</v>
      </c>
      <c r="BE353" s="137">
        <f>$W353*AJ353+$L353*Summary_LCIA!AA$32</f>
        <v>4.879172414517166</v>
      </c>
      <c r="BF353" s="137">
        <f>$W353*AK353+$L353*Summary_LCIA!AB$32</f>
        <v>6.7162811124803073E-2</v>
      </c>
      <c r="BG353" s="137">
        <f>$W353*AL353+$L353*Summary_LCIA!AC$32</f>
        <v>4.2045602403662972E-5</v>
      </c>
      <c r="BH353" s="137">
        <f>$W353*AM353+$L353*Summary_LCIA!AD$32</f>
        <v>0.17217103051702359</v>
      </c>
      <c r="BI353" s="137">
        <f>$W353*AN353+$L353*Summary_LCIA!AE$32</f>
        <v>0.45244029902241295</v>
      </c>
      <c r="BJ353" s="137">
        <f>$W353*AO353+$L353*Summary_LCIA!AF$32</f>
        <v>0.14038957010881203</v>
      </c>
      <c r="BK353" s="137">
        <f>$W353*AP353+$L353*Summary_LCIA!AG$32</f>
        <v>1.296406343881204E-2</v>
      </c>
      <c r="BL353" s="137">
        <f>$W353*AQ353+$L353*Summary_LCIA!AH$32</f>
        <v>2.0587804079818213</v>
      </c>
      <c r="BM353" s="137">
        <f>$W353*AR353+$L353*Summary_LCIA!AI$32</f>
        <v>0.42576112997306914</v>
      </c>
    </row>
    <row r="354" spans="1:65" x14ac:dyDescent="0.25">
      <c r="A354" s="149">
        <v>331</v>
      </c>
      <c r="B354" s="149">
        <v>16</v>
      </c>
      <c r="C354" s="61">
        <v>34.413587</v>
      </c>
      <c r="D354" s="61">
        <v>-119.849698</v>
      </c>
      <c r="E354" s="61" t="s">
        <v>265</v>
      </c>
      <c r="F354" s="149">
        <v>116</v>
      </c>
      <c r="G354" s="61" t="s">
        <v>663</v>
      </c>
      <c r="H354" s="61" t="s">
        <v>664</v>
      </c>
      <c r="I354" s="61">
        <v>34.198312000000001</v>
      </c>
      <c r="J354" s="61">
        <v>-118.357404</v>
      </c>
      <c r="K354" s="61">
        <v>186.5655932</v>
      </c>
      <c r="L354" s="61">
        <v>160.434</v>
      </c>
      <c r="M354" s="61" t="s">
        <v>617</v>
      </c>
      <c r="N354" s="149">
        <v>15</v>
      </c>
      <c r="O354" s="149">
        <v>16</v>
      </c>
      <c r="P354" s="61" t="s">
        <v>565</v>
      </c>
      <c r="Q354" s="61" t="s">
        <v>556</v>
      </c>
      <c r="R354" s="61">
        <v>39.856096299999997</v>
      </c>
      <c r="S354" s="61">
        <v>-104.6737376</v>
      </c>
      <c r="T354" s="61">
        <v>1834.201</v>
      </c>
      <c r="U354" s="61" t="s">
        <v>617</v>
      </c>
      <c r="V354" s="61" t="s">
        <v>569</v>
      </c>
      <c r="W354" s="61" cm="1">
        <f t="array" ref="W354">getDistance(I354,J354,R354,S354)*SA!$B$12</f>
        <v>1368.4330080174188</v>
      </c>
      <c r="Y354" s="137">
        <f>Transportation_LCIA!C$61*($W354^Transportation_LCIA!C$60)+Transportation_LCIA!C$62</f>
        <v>0.20691545096518085</v>
      </c>
      <c r="Z354" s="137">
        <f>Transportation_LCIA!D$61*($W354^Transportation_LCIA!D$60)+Transportation_LCIA!D$62</f>
        <v>2.0894362421462809</v>
      </c>
      <c r="AA354" s="137">
        <f>Transportation_LCIA!E$61*($W354^Transportation_LCIA!E$60)+Transportation_LCIA!E$62</f>
        <v>9.2371943464845518E-4</v>
      </c>
      <c r="AB354" s="137">
        <f>Transportation_LCIA!F$61*($W354^Transportation_LCIA!F$60)+Transportation_LCIA!F$62</f>
        <v>0.20691545096518085</v>
      </c>
      <c r="AC354" s="137">
        <f>Transportation_LCIA!G$61*($W354^Transportation_LCIA!G$60)+Transportation_LCIA!G$62</f>
        <v>4.8909932339708459E-2</v>
      </c>
      <c r="AD354" s="137">
        <f>Transportation_LCIA!H$61*($W354^Transportation_LCIA!H$60)+Transportation_LCIA!H$62</f>
        <v>2.2846537104787056E-4</v>
      </c>
      <c r="AE354" s="137">
        <f>Transportation_LCIA!I$61*($W354^Transportation_LCIA!I$60)+Transportation_LCIA!I$62</f>
        <v>4.7105743113511086E-6</v>
      </c>
      <c r="AF354" s="137">
        <f>Transportation_LCIA!J$61*($W354^Transportation_LCIA!J$60)+Transportation_LCIA!J$62</f>
        <v>6.9676557821968139E-3</v>
      </c>
      <c r="AG354" s="137">
        <f>Transportation_LCIA!K$61*($W354^Transportation_LCIA!K$60)+Transportation_LCIA!K$62</f>
        <v>1.0247471444338688E-2</v>
      </c>
      <c r="AH354" s="137">
        <f>Transportation_LCIA!L$61*($W354^Transportation_LCIA!L$60)+Transportation_LCIA!L$62</f>
        <v>1.9552352788564252E-4</v>
      </c>
      <c r="AI354" s="137">
        <f>Transportation_LCIA!M$61*($W354^Transportation_LCIA!M$60)+Transportation_LCIA!M$62</f>
        <v>2.1694008263797531E-4</v>
      </c>
      <c r="AJ354" s="137">
        <f>Transportation_LCIA!N$61*($W354^Transportation_LCIA!N$60)+Transportation_LCIA!N$62</f>
        <v>8.2727901467190875E-4</v>
      </c>
      <c r="AK354" s="137">
        <f>Transportation_LCIA!O$61*($W354^Transportation_LCIA!O$60)+Transportation_LCIA!O$62</f>
        <v>5.1638598230819343E-5</v>
      </c>
      <c r="AL354" s="137">
        <f>Transportation_LCIA!P$61*($W354^Transportation_LCIA!P$60)+Transportation_LCIA!P$62</f>
        <v>2.4994242719427007E-8</v>
      </c>
      <c r="AM354" s="137">
        <f>Transportation_LCIA!Q$61*($W354^Transportation_LCIA!Q$60)+Transportation_LCIA!Q$62</f>
        <v>7.7626188885142287E-5</v>
      </c>
      <c r="AN354" s="137">
        <f>Transportation_LCIA!R$61*($W354^Transportation_LCIA!R$60)+Transportation_LCIA!R$62</f>
        <v>2.267373826738791E-4</v>
      </c>
      <c r="AO354" s="137">
        <f>Transportation_LCIA!S$61*($W354^Transportation_LCIA!S$60)+Transportation_LCIA!S$62</f>
        <v>3.475111898756177E-6</v>
      </c>
      <c r="AP354" s="137">
        <f>Transportation_LCIA!T$61*($W354^Transportation_LCIA!T$60)+Transportation_LCIA!T$62</f>
        <v>3.475111898756177E-6</v>
      </c>
      <c r="AQ354" s="137">
        <f>Transportation_LCIA!U$61*($W354^Transportation_LCIA!U$60)+Transportation_LCIA!U$62</f>
        <v>4.8407707333919363E-4</v>
      </c>
      <c r="AR354" s="137">
        <f>Transportation_LCIA!V$61*($W354^Transportation_LCIA!V$60)+Transportation_LCIA!V$62</f>
        <v>2.0191623240174868E-4</v>
      </c>
      <c r="AT354" s="137">
        <f>$W354*Y354+$L354*Summary_LCIA!H$32</f>
        <v>337.66540616956314</v>
      </c>
      <c r="AU354" s="137">
        <f>$W354*Z354+$L354*Summary_LCIA!Q$32</f>
        <v>3654.372517068769</v>
      </c>
      <c r="AV354" s="137">
        <f>$W354*AA354+$L354*Summary_LCIA!R$32</f>
        <v>2.1088294349201351</v>
      </c>
      <c r="AW354" s="137">
        <f>$W354*AB354+$L354*Summary_LCIA!S$32</f>
        <v>336.95628788956316</v>
      </c>
      <c r="AX354" s="137">
        <f>$W354*AC354+$L354*Summary_LCIA!T$32</f>
        <v>84.561662433555682</v>
      </c>
      <c r="AY354" s="137">
        <f>$W354*AD354+$L354*Summary_LCIA!U$32</f>
        <v>3.186654230930853</v>
      </c>
      <c r="AZ354" s="137">
        <f>$W354*AE354+$L354*Summary_LCIA!V$32</f>
        <v>1.4108593648371779E-2</v>
      </c>
      <c r="BA354" s="137">
        <f>$W354*AF354+$L354*Summary_LCIA!W$32</f>
        <v>21.883535574861547</v>
      </c>
      <c r="BB354" s="137">
        <f>$W354*AG354+$L354*Summary_LCIA!X$32</f>
        <v>17.677664693148998</v>
      </c>
      <c r="BC354" s="137">
        <f>$W354*AH354+$L354*Summary_LCIA!Y$32</f>
        <v>2.7674434374027275</v>
      </c>
      <c r="BD354" s="137">
        <f>$W354*AI354+$L354*Summary_LCIA!Z$32</f>
        <v>0.30344720774983197</v>
      </c>
      <c r="BE354" s="137">
        <f>$W354*AJ354+$L354*Summary_LCIA!AA$32</f>
        <v>4.879172414517166</v>
      </c>
      <c r="BF354" s="137">
        <f>$W354*AK354+$L354*Summary_LCIA!AB$32</f>
        <v>6.7162811124803073E-2</v>
      </c>
      <c r="BG354" s="137">
        <f>$W354*AL354+$L354*Summary_LCIA!AC$32</f>
        <v>4.2045602403662972E-5</v>
      </c>
      <c r="BH354" s="137">
        <f>$W354*AM354+$L354*Summary_LCIA!AD$32</f>
        <v>0.17217103051702359</v>
      </c>
      <c r="BI354" s="137">
        <f>$W354*AN354+$L354*Summary_LCIA!AE$32</f>
        <v>0.45244029902241295</v>
      </c>
      <c r="BJ354" s="137">
        <f>$W354*AO354+$L354*Summary_LCIA!AF$32</f>
        <v>0.14038957010881203</v>
      </c>
      <c r="BK354" s="137">
        <f>$W354*AP354+$L354*Summary_LCIA!AG$32</f>
        <v>1.296406343881204E-2</v>
      </c>
      <c r="BL354" s="137">
        <f>$W354*AQ354+$L354*Summary_LCIA!AH$32</f>
        <v>2.0587804079818213</v>
      </c>
      <c r="BM354" s="137">
        <f>$W354*AR354+$L354*Summary_LCIA!AI$32</f>
        <v>0.42576112997306914</v>
      </c>
    </row>
    <row r="355" spans="1:65" x14ac:dyDescent="0.25">
      <c r="A355" s="149">
        <v>332</v>
      </c>
      <c r="B355" s="149">
        <v>16</v>
      </c>
      <c r="C355" s="61">
        <v>34.413587</v>
      </c>
      <c r="D355" s="61">
        <v>-119.849698</v>
      </c>
      <c r="E355" s="61" t="s">
        <v>265</v>
      </c>
      <c r="F355" s="149">
        <v>116</v>
      </c>
      <c r="G355" s="61" t="s">
        <v>663</v>
      </c>
      <c r="H355" s="61" t="s">
        <v>664</v>
      </c>
      <c r="I355" s="61">
        <v>34.198312000000001</v>
      </c>
      <c r="J355" s="61">
        <v>-118.357404</v>
      </c>
      <c r="K355" s="61">
        <v>186.5655932</v>
      </c>
      <c r="L355" s="61">
        <v>160.434</v>
      </c>
      <c r="M355" s="61" t="s">
        <v>617</v>
      </c>
      <c r="N355" s="149">
        <v>15</v>
      </c>
      <c r="O355" s="149">
        <v>16</v>
      </c>
      <c r="P355" s="61" t="s">
        <v>565</v>
      </c>
      <c r="Q355" s="61" t="s">
        <v>556</v>
      </c>
      <c r="R355" s="61">
        <v>39.856096299999997</v>
      </c>
      <c r="S355" s="61">
        <v>-104.6737376</v>
      </c>
      <c r="T355" s="61">
        <v>1834.201</v>
      </c>
      <c r="U355" s="61" t="s">
        <v>617</v>
      </c>
      <c r="V355" s="61" t="s">
        <v>569</v>
      </c>
      <c r="W355" s="61" cm="1">
        <f t="array" ref="W355">getDistance(I355,J355,R355,S355)*SA!$B$12</f>
        <v>1368.4330080174188</v>
      </c>
      <c r="Y355" s="137">
        <f>Transportation_LCIA!C$61*($W355^Transportation_LCIA!C$60)+Transportation_LCIA!C$62</f>
        <v>0.20691545096518085</v>
      </c>
      <c r="Z355" s="137">
        <f>Transportation_LCIA!D$61*($W355^Transportation_LCIA!D$60)+Transportation_LCIA!D$62</f>
        <v>2.0894362421462809</v>
      </c>
      <c r="AA355" s="137">
        <f>Transportation_LCIA!E$61*($W355^Transportation_LCIA!E$60)+Transportation_LCIA!E$62</f>
        <v>9.2371943464845518E-4</v>
      </c>
      <c r="AB355" s="137">
        <f>Transportation_LCIA!F$61*($W355^Transportation_LCIA!F$60)+Transportation_LCIA!F$62</f>
        <v>0.20691545096518085</v>
      </c>
      <c r="AC355" s="137">
        <f>Transportation_LCIA!G$61*($W355^Transportation_LCIA!G$60)+Transportation_LCIA!G$62</f>
        <v>4.8909932339708459E-2</v>
      </c>
      <c r="AD355" s="137">
        <f>Transportation_LCIA!H$61*($W355^Transportation_LCIA!H$60)+Transportation_LCIA!H$62</f>
        <v>2.2846537104787056E-4</v>
      </c>
      <c r="AE355" s="137">
        <f>Transportation_LCIA!I$61*($W355^Transportation_LCIA!I$60)+Transportation_LCIA!I$62</f>
        <v>4.7105743113511086E-6</v>
      </c>
      <c r="AF355" s="137">
        <f>Transportation_LCIA!J$61*($W355^Transportation_LCIA!J$60)+Transportation_LCIA!J$62</f>
        <v>6.9676557821968139E-3</v>
      </c>
      <c r="AG355" s="137">
        <f>Transportation_LCIA!K$61*($W355^Transportation_LCIA!K$60)+Transportation_LCIA!K$62</f>
        <v>1.0247471444338688E-2</v>
      </c>
      <c r="AH355" s="137">
        <f>Transportation_LCIA!L$61*($W355^Transportation_LCIA!L$60)+Transportation_LCIA!L$62</f>
        <v>1.9552352788564252E-4</v>
      </c>
      <c r="AI355" s="137">
        <f>Transportation_LCIA!M$61*($W355^Transportation_LCIA!M$60)+Transportation_LCIA!M$62</f>
        <v>2.1694008263797531E-4</v>
      </c>
      <c r="AJ355" s="137">
        <f>Transportation_LCIA!N$61*($W355^Transportation_LCIA!N$60)+Transportation_LCIA!N$62</f>
        <v>8.2727901467190875E-4</v>
      </c>
      <c r="AK355" s="137">
        <f>Transportation_LCIA!O$61*($W355^Transportation_LCIA!O$60)+Transportation_LCIA!O$62</f>
        <v>5.1638598230819343E-5</v>
      </c>
      <c r="AL355" s="137">
        <f>Transportation_LCIA!P$61*($W355^Transportation_LCIA!P$60)+Transportation_LCIA!P$62</f>
        <v>2.4994242719427007E-8</v>
      </c>
      <c r="AM355" s="137">
        <f>Transportation_LCIA!Q$61*($W355^Transportation_LCIA!Q$60)+Transportation_LCIA!Q$62</f>
        <v>7.7626188885142287E-5</v>
      </c>
      <c r="AN355" s="137">
        <f>Transportation_LCIA!R$61*($W355^Transportation_LCIA!R$60)+Transportation_LCIA!R$62</f>
        <v>2.267373826738791E-4</v>
      </c>
      <c r="AO355" s="137">
        <f>Transportation_LCIA!S$61*($W355^Transportation_LCIA!S$60)+Transportation_LCIA!S$62</f>
        <v>3.475111898756177E-6</v>
      </c>
      <c r="AP355" s="137">
        <f>Transportation_LCIA!T$61*($W355^Transportation_LCIA!T$60)+Transportation_LCIA!T$62</f>
        <v>3.475111898756177E-6</v>
      </c>
      <c r="AQ355" s="137">
        <f>Transportation_LCIA!U$61*($W355^Transportation_LCIA!U$60)+Transportation_LCIA!U$62</f>
        <v>4.8407707333919363E-4</v>
      </c>
      <c r="AR355" s="137">
        <f>Transportation_LCIA!V$61*($W355^Transportation_LCIA!V$60)+Transportation_LCIA!V$62</f>
        <v>2.0191623240174868E-4</v>
      </c>
      <c r="AT355" s="137">
        <f>$W355*Y355+$L355*Summary_LCIA!H$32</f>
        <v>337.66540616956314</v>
      </c>
      <c r="AU355" s="137">
        <f>$W355*Z355+$L355*Summary_LCIA!Q$32</f>
        <v>3654.372517068769</v>
      </c>
      <c r="AV355" s="137">
        <f>$W355*AA355+$L355*Summary_LCIA!R$32</f>
        <v>2.1088294349201351</v>
      </c>
      <c r="AW355" s="137">
        <f>$W355*AB355+$L355*Summary_LCIA!S$32</f>
        <v>336.95628788956316</v>
      </c>
      <c r="AX355" s="137">
        <f>$W355*AC355+$L355*Summary_LCIA!T$32</f>
        <v>84.561662433555682</v>
      </c>
      <c r="AY355" s="137">
        <f>$W355*AD355+$L355*Summary_LCIA!U$32</f>
        <v>3.186654230930853</v>
      </c>
      <c r="AZ355" s="137">
        <f>$W355*AE355+$L355*Summary_LCIA!V$32</f>
        <v>1.4108593648371779E-2</v>
      </c>
      <c r="BA355" s="137">
        <f>$W355*AF355+$L355*Summary_LCIA!W$32</f>
        <v>21.883535574861547</v>
      </c>
      <c r="BB355" s="137">
        <f>$W355*AG355+$L355*Summary_LCIA!X$32</f>
        <v>17.677664693148998</v>
      </c>
      <c r="BC355" s="137">
        <f>$W355*AH355+$L355*Summary_LCIA!Y$32</f>
        <v>2.7674434374027275</v>
      </c>
      <c r="BD355" s="137">
        <f>$W355*AI355+$L355*Summary_LCIA!Z$32</f>
        <v>0.30344720774983197</v>
      </c>
      <c r="BE355" s="137">
        <f>$W355*AJ355+$L355*Summary_LCIA!AA$32</f>
        <v>4.879172414517166</v>
      </c>
      <c r="BF355" s="137">
        <f>$W355*AK355+$L355*Summary_LCIA!AB$32</f>
        <v>6.7162811124803073E-2</v>
      </c>
      <c r="BG355" s="137">
        <f>$W355*AL355+$L355*Summary_LCIA!AC$32</f>
        <v>4.2045602403662972E-5</v>
      </c>
      <c r="BH355" s="137">
        <f>$W355*AM355+$L355*Summary_LCIA!AD$32</f>
        <v>0.17217103051702359</v>
      </c>
      <c r="BI355" s="137">
        <f>$W355*AN355+$L355*Summary_LCIA!AE$32</f>
        <v>0.45244029902241295</v>
      </c>
      <c r="BJ355" s="137">
        <f>$W355*AO355+$L355*Summary_LCIA!AF$32</f>
        <v>0.14038957010881203</v>
      </c>
      <c r="BK355" s="137">
        <f>$W355*AP355+$L355*Summary_LCIA!AG$32</f>
        <v>1.296406343881204E-2</v>
      </c>
      <c r="BL355" s="137">
        <f>$W355*AQ355+$L355*Summary_LCIA!AH$32</f>
        <v>2.0587804079818213</v>
      </c>
      <c r="BM355" s="137">
        <f>$W355*AR355+$L355*Summary_LCIA!AI$32</f>
        <v>0.42576112997306914</v>
      </c>
    </row>
    <row r="356" spans="1:65" x14ac:dyDescent="0.25">
      <c r="A356" s="149">
        <v>89</v>
      </c>
      <c r="B356" s="149">
        <v>16</v>
      </c>
      <c r="C356" s="61">
        <v>35.244402000000001</v>
      </c>
      <c r="D356" s="61">
        <v>-120.672275</v>
      </c>
      <c r="E356" s="61" t="s">
        <v>265</v>
      </c>
      <c r="F356" s="149">
        <v>116</v>
      </c>
      <c r="G356" s="61" t="s">
        <v>663</v>
      </c>
      <c r="H356" s="61" t="s">
        <v>664</v>
      </c>
      <c r="I356" s="61">
        <v>34.198312000000001</v>
      </c>
      <c r="J356" s="61">
        <v>-118.357404</v>
      </c>
      <c r="K356" s="61">
        <v>417.80808230000002</v>
      </c>
      <c r="L356" s="61">
        <v>289.17599999999999</v>
      </c>
      <c r="M356" s="61" t="s">
        <v>617</v>
      </c>
      <c r="N356" s="149">
        <v>15</v>
      </c>
      <c r="O356" s="149">
        <v>16</v>
      </c>
      <c r="P356" s="61" t="s">
        <v>565</v>
      </c>
      <c r="Q356" s="61" t="s">
        <v>556</v>
      </c>
      <c r="R356" s="61">
        <v>39.856096299999997</v>
      </c>
      <c r="S356" s="61">
        <v>-104.6737376</v>
      </c>
      <c r="T356" s="61">
        <v>1909.635</v>
      </c>
      <c r="U356" s="61" t="s">
        <v>617</v>
      </c>
      <c r="V356" s="61" t="s">
        <v>569</v>
      </c>
      <c r="W356" s="61" cm="1">
        <f t="array" ref="W356">getDistance(I356,J356,R356,S356)*SA!$B$12</f>
        <v>1368.4330080174188</v>
      </c>
      <c r="Y356" s="137">
        <f>Transportation_LCIA!C$61*($W356^Transportation_LCIA!C$60)+Transportation_LCIA!C$62</f>
        <v>0.20691545096518085</v>
      </c>
      <c r="Z356" s="137">
        <f>Transportation_LCIA!D$61*($W356^Transportation_LCIA!D$60)+Transportation_LCIA!D$62</f>
        <v>2.0894362421462809</v>
      </c>
      <c r="AA356" s="137">
        <f>Transportation_LCIA!E$61*($W356^Transportation_LCIA!E$60)+Transportation_LCIA!E$62</f>
        <v>9.2371943464845518E-4</v>
      </c>
      <c r="AB356" s="137">
        <f>Transportation_LCIA!F$61*($W356^Transportation_LCIA!F$60)+Transportation_LCIA!F$62</f>
        <v>0.20691545096518085</v>
      </c>
      <c r="AC356" s="137">
        <f>Transportation_LCIA!G$61*($W356^Transportation_LCIA!G$60)+Transportation_LCIA!G$62</f>
        <v>4.8909932339708459E-2</v>
      </c>
      <c r="AD356" s="137">
        <f>Transportation_LCIA!H$61*($W356^Transportation_LCIA!H$60)+Transportation_LCIA!H$62</f>
        <v>2.2846537104787056E-4</v>
      </c>
      <c r="AE356" s="137">
        <f>Transportation_LCIA!I$61*($W356^Transportation_LCIA!I$60)+Transportation_LCIA!I$62</f>
        <v>4.7105743113511086E-6</v>
      </c>
      <c r="AF356" s="137">
        <f>Transportation_LCIA!J$61*($W356^Transportation_LCIA!J$60)+Transportation_LCIA!J$62</f>
        <v>6.9676557821968139E-3</v>
      </c>
      <c r="AG356" s="137">
        <f>Transportation_LCIA!K$61*($W356^Transportation_LCIA!K$60)+Transportation_LCIA!K$62</f>
        <v>1.0247471444338688E-2</v>
      </c>
      <c r="AH356" s="137">
        <f>Transportation_LCIA!L$61*($W356^Transportation_LCIA!L$60)+Transportation_LCIA!L$62</f>
        <v>1.9552352788564252E-4</v>
      </c>
      <c r="AI356" s="137">
        <f>Transportation_LCIA!M$61*($W356^Transportation_LCIA!M$60)+Transportation_LCIA!M$62</f>
        <v>2.1694008263797531E-4</v>
      </c>
      <c r="AJ356" s="137">
        <f>Transportation_LCIA!N$61*($W356^Transportation_LCIA!N$60)+Transportation_LCIA!N$62</f>
        <v>8.2727901467190875E-4</v>
      </c>
      <c r="AK356" s="137">
        <f>Transportation_LCIA!O$61*($W356^Transportation_LCIA!O$60)+Transportation_LCIA!O$62</f>
        <v>5.1638598230819343E-5</v>
      </c>
      <c r="AL356" s="137">
        <f>Transportation_LCIA!P$61*($W356^Transportation_LCIA!P$60)+Transportation_LCIA!P$62</f>
        <v>2.4994242719427007E-8</v>
      </c>
      <c r="AM356" s="137">
        <f>Transportation_LCIA!Q$61*($W356^Transportation_LCIA!Q$60)+Transportation_LCIA!Q$62</f>
        <v>7.7626188885142287E-5</v>
      </c>
      <c r="AN356" s="137">
        <f>Transportation_LCIA!R$61*($W356^Transportation_LCIA!R$60)+Transportation_LCIA!R$62</f>
        <v>2.267373826738791E-4</v>
      </c>
      <c r="AO356" s="137">
        <f>Transportation_LCIA!S$61*($W356^Transportation_LCIA!S$60)+Transportation_LCIA!S$62</f>
        <v>3.475111898756177E-6</v>
      </c>
      <c r="AP356" s="137">
        <f>Transportation_LCIA!T$61*($W356^Transportation_LCIA!T$60)+Transportation_LCIA!T$62</f>
        <v>3.475111898756177E-6</v>
      </c>
      <c r="AQ356" s="137">
        <f>Transportation_LCIA!U$61*($W356^Transportation_LCIA!U$60)+Transportation_LCIA!U$62</f>
        <v>4.8407707333919363E-4</v>
      </c>
      <c r="AR356" s="137">
        <f>Transportation_LCIA!V$61*($W356^Transportation_LCIA!V$60)+Transportation_LCIA!V$62</f>
        <v>2.0191623240174868E-4</v>
      </c>
      <c r="AT356" s="137">
        <f>$W356*Y356+$L356*Summary_LCIA!H$32</f>
        <v>381.41193776956317</v>
      </c>
      <c r="AU356" s="137">
        <f>$W356*Z356+$L356*Summary_LCIA!Q$32</f>
        <v>4292.4243619140543</v>
      </c>
      <c r="AV356" s="137">
        <f>$W356*AA356+$L356*Summary_LCIA!R$32</f>
        <v>2.7867333101201348</v>
      </c>
      <c r="AW356" s="137">
        <f>$W356*AB356+$L356*Summary_LCIA!S$32</f>
        <v>380.13377984956315</v>
      </c>
      <c r="AX356" s="137">
        <f>$W356*AC356+$L356*Summary_LCIA!T$32</f>
        <v>98.710408233555683</v>
      </c>
      <c r="AY356" s="137">
        <f>$W356*AD356+$L356*Summary_LCIA!U$32</f>
        <v>5.4929384189308523</v>
      </c>
      <c r="AZ356" s="137">
        <f>$W356*AE356+$L356*Summary_LCIA!V$32</f>
        <v>2.0257440310371778E-2</v>
      </c>
      <c r="BA356" s="137">
        <f>$W356*AF356+$L356*Summary_LCIA!W$32</f>
        <v>31.792936056861546</v>
      </c>
      <c r="BB356" s="137">
        <f>$W356*AG356+$L356*Summary_LCIA!X$32</f>
        <v>20.610407453148994</v>
      </c>
      <c r="BC356" s="137">
        <f>$W356*AH356+$L356*Summary_LCIA!Y$32</f>
        <v>4.7735012814027273</v>
      </c>
      <c r="BD356" s="137">
        <f>$W356*AI356+$L356*Summary_LCIA!Z$32</f>
        <v>0.30872678842783197</v>
      </c>
      <c r="BE356" s="137">
        <f>$W356*AJ356+$L356*Summary_LCIA!AA$32</f>
        <v>7.8860705665171658</v>
      </c>
      <c r="BF356" s="137">
        <f>$W356*AK356+$L356*Summary_LCIA!AB$32</f>
        <v>6.4353274458803081E-2</v>
      </c>
      <c r="BG356" s="137">
        <f>$W356*AL356+$L356*Summary_LCIA!AC$32</f>
        <v>4.8339026331662971E-5</v>
      </c>
      <c r="BH356" s="137">
        <f>$W356*AM356+$L356*Summary_LCIA!AD$32</f>
        <v>0.22508914219702358</v>
      </c>
      <c r="BI356" s="137">
        <f>$W356*AN356+$L356*Summary_LCIA!AE$32</f>
        <v>0.56652244748241287</v>
      </c>
      <c r="BJ356" s="137">
        <f>$W356*AO356+$L356*Summary_LCIA!AF$32</f>
        <v>0.24923063174881205</v>
      </c>
      <c r="BK356" s="137">
        <f>$W356*AP356+$L356*Summary_LCIA!AG$32</f>
        <v>1.9551147868812041E-2</v>
      </c>
      <c r="BL356" s="137">
        <f>$W356*AQ356+$L356*Summary_LCIA!AH$32</f>
        <v>3.1792992791818215</v>
      </c>
      <c r="BM356" s="137">
        <f>$W356*AR356+$L356*Summary_LCIA!AI$32</f>
        <v>0.54569074007306906</v>
      </c>
    </row>
    <row r="357" spans="1:65" x14ac:dyDescent="0.25">
      <c r="A357" s="149">
        <v>217</v>
      </c>
      <c r="B357" s="149">
        <v>15</v>
      </c>
      <c r="C357" s="61">
        <v>35.791117999999997</v>
      </c>
      <c r="D357" s="61">
        <v>51.316220999999999</v>
      </c>
      <c r="E357" s="61" t="s">
        <v>278</v>
      </c>
      <c r="F357" s="149">
        <v>58</v>
      </c>
      <c r="G357" s="61" t="s">
        <v>279</v>
      </c>
      <c r="H357" s="61" t="s">
        <v>701</v>
      </c>
      <c r="I357" s="61">
        <v>35.743532000000002</v>
      </c>
      <c r="J357" s="61">
        <v>51.271971000000001</v>
      </c>
      <c r="K357" s="61">
        <v>1364.8377740000001</v>
      </c>
      <c r="L357" s="61">
        <v>16.777000000000001</v>
      </c>
      <c r="M357" s="61" t="s">
        <v>617</v>
      </c>
      <c r="N357" s="149">
        <v>14</v>
      </c>
      <c r="O357" s="149">
        <v>15</v>
      </c>
      <c r="P357" s="61" t="s">
        <v>567</v>
      </c>
      <c r="Q357" s="61" t="s">
        <v>566</v>
      </c>
      <c r="R357" s="61">
        <v>50.037932599999998</v>
      </c>
      <c r="S357" s="61">
        <v>8.5621518000000005</v>
      </c>
      <c r="T357" s="61">
        <v>4728.7700000000004</v>
      </c>
      <c r="U357" s="61" t="s">
        <v>617</v>
      </c>
      <c r="V357" s="61" t="s">
        <v>569</v>
      </c>
      <c r="W357" s="61" cm="1">
        <f t="array" ref="W357">getDistance(I357,J357,R357,S357)*SA!$B$12</f>
        <v>3769.587752024554</v>
      </c>
      <c r="Y357" s="137">
        <f>Transportation_LCIA!C$61*($W357^Transportation_LCIA!C$60)+Transportation_LCIA!C$62</f>
        <v>0.15249863555666499</v>
      </c>
      <c r="Z357" s="137">
        <f>Transportation_LCIA!D$61*($W357^Transportation_LCIA!D$60)+Transportation_LCIA!D$62</f>
        <v>1.4747921801268353</v>
      </c>
      <c r="AA357" s="137">
        <f>Transportation_LCIA!E$61*($W357^Transportation_LCIA!E$60)+Transportation_LCIA!E$62</f>
        <v>5.232800931325712E-4</v>
      </c>
      <c r="AB357" s="137">
        <f>Transportation_LCIA!F$61*($W357^Transportation_LCIA!F$60)+Transportation_LCIA!F$62</f>
        <v>0.15249863555666499</v>
      </c>
      <c r="AC357" s="137">
        <f>Transportation_LCIA!G$61*($W357^Transportation_LCIA!G$60)+Transportation_LCIA!G$62</f>
        <v>3.4662632720672305E-2</v>
      </c>
      <c r="AD357" s="137">
        <f>Transportation_LCIA!H$61*($W357^Transportation_LCIA!H$60)+Transportation_LCIA!H$62</f>
        <v>1.4199094931638254E-4</v>
      </c>
      <c r="AE357" s="137">
        <f>Transportation_LCIA!I$61*($W357^Transportation_LCIA!I$60)+Transportation_LCIA!I$62</f>
        <v>2.5958293277099199E-6</v>
      </c>
      <c r="AF357" s="137">
        <f>Transportation_LCIA!J$61*($W357^Transportation_LCIA!J$60)+Transportation_LCIA!J$62</f>
        <v>3.8770468522408815E-3</v>
      </c>
      <c r="AG357" s="137">
        <f>Transportation_LCIA!K$61*($W357^Transportation_LCIA!K$60)+Transportation_LCIA!K$62</f>
        <v>6.9759150433585052E-3</v>
      </c>
      <c r="AH357" s="137">
        <f>Transportation_LCIA!L$61*($W357^Transportation_LCIA!L$60)+Transportation_LCIA!L$62</f>
        <v>1.1667804990051856E-4</v>
      </c>
      <c r="AI357" s="137">
        <f>Transportation_LCIA!M$61*($W357^Transportation_LCIA!M$60)+Transportation_LCIA!M$62</f>
        <v>1.6926244124032327E-4</v>
      </c>
      <c r="AJ357" s="137">
        <f>Transportation_LCIA!N$61*($W357^Transportation_LCIA!N$60)+Transportation_LCIA!N$62</f>
        <v>5.3586641163412769E-4</v>
      </c>
      <c r="AK357" s="137">
        <f>Transportation_LCIA!O$61*($W357^Transportation_LCIA!O$60)+Transportation_LCIA!O$62</f>
        <v>3.6512558352428148E-5</v>
      </c>
      <c r="AL357" s="137">
        <f>Transportation_LCIA!P$61*($W357^Transportation_LCIA!P$60)+Transportation_LCIA!P$62</f>
        <v>1.7704157176186822E-8</v>
      </c>
      <c r="AM357" s="137">
        <f>Transportation_LCIA!Q$61*($W357^Transportation_LCIA!Q$60)+Transportation_LCIA!Q$62</f>
        <v>4.693418148344128E-5</v>
      </c>
      <c r="AN357" s="137">
        <f>Transportation_LCIA!R$61*($W357^Transportation_LCIA!R$60)+Transportation_LCIA!R$62</f>
        <v>1.2539987033783506E-4</v>
      </c>
      <c r="AO357" s="137">
        <f>Transportation_LCIA!S$61*($W357^Transportation_LCIA!S$60)+Transportation_LCIA!S$62</f>
        <v>2.0350560318419809E-6</v>
      </c>
      <c r="AP357" s="137">
        <f>Transportation_LCIA!T$61*($W357^Transportation_LCIA!T$60)+Transportation_LCIA!T$62</f>
        <v>2.0350560318419809E-6</v>
      </c>
      <c r="AQ357" s="137">
        <f>Transportation_LCIA!U$61*($W357^Transportation_LCIA!U$60)+Transportation_LCIA!U$62</f>
        <v>2.630560915151498E-4</v>
      </c>
      <c r="AR357" s="137">
        <f>Transportation_LCIA!V$61*($W357^Transportation_LCIA!V$60)+Transportation_LCIA!V$62</f>
        <v>1.2252707303670829E-4</v>
      </c>
      <c r="AT357" s="137">
        <f>$W357*Y357+$L357*Summary_LCIA!H$32</f>
        <v>580.55781339486055</v>
      </c>
      <c r="AU357" s="137">
        <f>$W357*Z357+$L357*Summary_LCIA!Q$32</f>
        <v>5642.5061971021487</v>
      </c>
      <c r="AV357" s="137">
        <f>$W357*AA357+$L357*Summary_LCIA!R$32</f>
        <v>2.0608912011508083</v>
      </c>
      <c r="AW357" s="137">
        <f>$W357*AB357+$L357*Summary_LCIA!S$32</f>
        <v>580.48365905486048</v>
      </c>
      <c r="AX357" s="137">
        <f>$W357*AC357+$L357*Summary_LCIA!T$32</f>
        <v>132.50762805677186</v>
      </c>
      <c r="AY357" s="137">
        <f>$W357*AD357+$L357*Summary_LCIA!U$32</f>
        <v>0.83579052144137478</v>
      </c>
      <c r="AZ357" s="137">
        <f>$W357*AE357+$L357*Summary_LCIA!V$32</f>
        <v>1.0586492737081446E-2</v>
      </c>
      <c r="BA357" s="137">
        <f>$W357*AF357+$L357*Summary_LCIA!W$32</f>
        <v>15.906210795232578</v>
      </c>
      <c r="BB357" s="137">
        <f>$W357*AG357+$L357*Summary_LCIA!X$32</f>
        <v>26.678503966608055</v>
      </c>
      <c r="BC357" s="137">
        <f>$W357*AH357+$L357*Summary_LCIA!Y$32</f>
        <v>0.7012473618351045</v>
      </c>
      <c r="BD357" s="137">
        <f>$W357*AI357+$L357*Summary_LCIA!Z$32</f>
        <v>0.63873763337029832</v>
      </c>
      <c r="BE357" s="137">
        <f>$W357*AJ357+$L357*Summary_LCIA!AA$32</f>
        <v>2.4118390740173559</v>
      </c>
      <c r="BF357" s="137">
        <f>$W357*AK357+$L357*Summary_LCIA!AB$32</f>
        <v>0.13727116828939495</v>
      </c>
      <c r="BG357" s="137">
        <f>$W357*AL357+$L357*Summary_LCIA!AC$32</f>
        <v>6.7557500919271452E-5</v>
      </c>
      <c r="BH357" s="137">
        <f>$W357*AM357+$L357*Summary_LCIA!AD$32</f>
        <v>0.18381853375127788</v>
      </c>
      <c r="BI357" s="137">
        <f>$W357*AN357+$L357*Summary_LCIA!AE$32</f>
        <v>0.48757241834097015</v>
      </c>
      <c r="BJ357" s="137">
        <f>$W357*AO357+$L357*Summary_LCIA!AF$32</f>
        <v>2.1854933632315221E-2</v>
      </c>
      <c r="BK357" s="137">
        <f>$W357*AP357+$L357*Summary_LCIA!AG$32</f>
        <v>8.5297174973152229E-3</v>
      </c>
      <c r="BL357" s="137">
        <f>$W357*AQ357+$L357*Summary_LCIA!AH$32</f>
        <v>1.137633317870959</v>
      </c>
      <c r="BM357" s="137">
        <f>$W357*AR357+$L357*Summary_LCIA!AI$32</f>
        <v>0.47750516816059357</v>
      </c>
    </row>
    <row r="358" spans="1:65" x14ac:dyDescent="0.25">
      <c r="A358" s="149">
        <v>181</v>
      </c>
      <c r="B358" s="149">
        <v>15</v>
      </c>
      <c r="C358" s="61">
        <v>30.022765</v>
      </c>
      <c r="D358" s="61">
        <v>31.207319999999999</v>
      </c>
      <c r="E358" s="61" t="s">
        <v>269</v>
      </c>
      <c r="F358" s="149">
        <v>60</v>
      </c>
      <c r="G358" s="61" t="s">
        <v>270</v>
      </c>
      <c r="H358" s="61" t="s">
        <v>690</v>
      </c>
      <c r="I358" s="61">
        <v>30.112831</v>
      </c>
      <c r="J358" s="61">
        <v>31.397601999999999</v>
      </c>
      <c r="K358" s="61">
        <v>1340.507924</v>
      </c>
      <c r="L358" s="61">
        <v>25.734999999999999</v>
      </c>
      <c r="M358" s="61" t="s">
        <v>617</v>
      </c>
      <c r="N358" s="149">
        <v>14</v>
      </c>
      <c r="O358" s="149">
        <v>15</v>
      </c>
      <c r="P358" s="61" t="s">
        <v>567</v>
      </c>
      <c r="Q358" s="61" t="s">
        <v>566</v>
      </c>
      <c r="R358" s="61">
        <v>50.037932599999998</v>
      </c>
      <c r="S358" s="61">
        <v>8.5621518000000005</v>
      </c>
      <c r="T358" s="61">
        <v>4860.4089999999997</v>
      </c>
      <c r="U358" s="61" t="s">
        <v>617</v>
      </c>
      <c r="V358" s="61" t="s">
        <v>569</v>
      </c>
      <c r="W358" s="61" cm="1">
        <f t="array" ref="W358">getDistance(I358,J358,R358,S358)*SA!$B$12</f>
        <v>2926.96660487086</v>
      </c>
      <c r="Y358" s="137">
        <f>Transportation_LCIA!C$61*($W358^Transportation_LCIA!C$60)+Transportation_LCIA!C$62</f>
        <v>0.16210255251242142</v>
      </c>
      <c r="Z358" s="137">
        <f>Transportation_LCIA!D$61*($W358^Transportation_LCIA!D$60)+Transportation_LCIA!D$62</f>
        <v>1.5811787373200161</v>
      </c>
      <c r="AA358" s="137">
        <f>Transportation_LCIA!E$61*($W358^Transportation_LCIA!E$60)+Transportation_LCIA!E$62</f>
        <v>5.9221086091727044E-4</v>
      </c>
      <c r="AB358" s="137">
        <f>Transportation_LCIA!F$61*($W358^Transportation_LCIA!F$60)+Transportation_LCIA!F$62</f>
        <v>0.16210255251242142</v>
      </c>
      <c r="AC358" s="137">
        <f>Transportation_LCIA!G$61*($W358^Transportation_LCIA!G$60)+Transportation_LCIA!G$62</f>
        <v>3.7131457648489574E-2</v>
      </c>
      <c r="AD358" s="137">
        <f>Transportation_LCIA!H$61*($W358^Transportation_LCIA!H$60)+Transportation_LCIA!H$62</f>
        <v>1.567152527858557E-4</v>
      </c>
      <c r="AE358" s="137">
        <f>Transportation_LCIA!I$61*($W358^Transportation_LCIA!I$60)+Transportation_LCIA!I$62</f>
        <v>2.9496208387207946E-6</v>
      </c>
      <c r="AF358" s="137">
        <f>Transportation_LCIA!J$61*($W358^Transportation_LCIA!J$60)+Transportation_LCIA!J$62</f>
        <v>4.3881441452681405E-3</v>
      </c>
      <c r="AG358" s="137">
        <f>Transportation_LCIA!K$61*($W358^Transportation_LCIA!K$60)+Transportation_LCIA!K$62</f>
        <v>7.5372476017549449E-3</v>
      </c>
      <c r="AH358" s="137">
        <f>Transportation_LCIA!L$61*($W358^Transportation_LCIA!L$60)+Transportation_LCIA!L$62</f>
        <v>1.300362640165528E-4</v>
      </c>
      <c r="AI358" s="137">
        <f>Transportation_LCIA!M$61*($W358^Transportation_LCIA!M$60)+Transportation_LCIA!M$62</f>
        <v>1.7737585573911126E-4</v>
      </c>
      <c r="AJ358" s="137">
        <f>Transportation_LCIA!N$61*($W358^Transportation_LCIA!N$60)+Transportation_LCIA!N$62</f>
        <v>5.8555559293073259E-4</v>
      </c>
      <c r="AK358" s="137">
        <f>Transportation_LCIA!O$61*($W358^Transportation_LCIA!O$60)+Transportation_LCIA!O$62</f>
        <v>3.913224851930483E-5</v>
      </c>
      <c r="AL358" s="137">
        <f>Transportation_LCIA!P$61*($W358^Transportation_LCIA!P$60)+Transportation_LCIA!P$62</f>
        <v>1.8968567329456026E-8</v>
      </c>
      <c r="AM358" s="137">
        <f>Transportation_LCIA!Q$61*($W358^Transportation_LCIA!Q$60)+Transportation_LCIA!Q$62</f>
        <v>5.2120077890892584E-5</v>
      </c>
      <c r="AN358" s="137">
        <f>Transportation_LCIA!R$61*($W358^Transportation_LCIA!R$60)+Transportation_LCIA!R$62</f>
        <v>1.4234613513850302E-4</v>
      </c>
      <c r="AO358" s="137">
        <f>Transportation_LCIA!S$61*($W358^Transportation_LCIA!S$60)+Transportation_LCIA!S$62</f>
        <v>2.2760615928862299E-6</v>
      </c>
      <c r="AP358" s="137">
        <f>Transportation_LCIA!T$61*($W358^Transportation_LCIA!T$60)+Transportation_LCIA!T$62</f>
        <v>2.2760615928862299E-6</v>
      </c>
      <c r="AQ358" s="137">
        <f>Transportation_LCIA!U$61*($W358^Transportation_LCIA!U$60)+Transportation_LCIA!U$62</f>
        <v>2.9989263792086528E-4</v>
      </c>
      <c r="AR358" s="137">
        <f>Transportation_LCIA!V$61*($W358^Transportation_LCIA!V$60)+Transportation_LCIA!V$62</f>
        <v>1.3589441208504177E-4</v>
      </c>
      <c r="AT358" s="137">
        <f>$W358*Y358+$L358*Summary_LCIA!H$32</f>
        <v>483.2135107681824</v>
      </c>
      <c r="AU358" s="137">
        <f>$W358*Z358+$L358*Summary_LCIA!Q$32</f>
        <v>4755.6013183608156</v>
      </c>
      <c r="AV358" s="137">
        <f>$W358*AA358+$L358*Summary_LCIA!R$32</f>
        <v>1.8688916289466722</v>
      </c>
      <c r="AW358" s="137">
        <f>$W358*AB358+$L358*Summary_LCIA!S$32</f>
        <v>483.09976206818237</v>
      </c>
      <c r="AX358" s="137">
        <f>$W358*AC358+$L358*Summary_LCIA!T$32</f>
        <v>111.51081302730566</v>
      </c>
      <c r="AY358" s="137">
        <f>$W358*AD358+$L358*Summary_LCIA!U$32</f>
        <v>0.91971710137809459</v>
      </c>
      <c r="AZ358" s="137">
        <f>$W358*AE358+$L358*Summary_LCIA!V$32</f>
        <v>9.8625710269669431E-3</v>
      </c>
      <c r="BA358" s="137">
        <f>$W358*AF358+$L358*Summary_LCIA!W$32</f>
        <v>14.824800055559431</v>
      </c>
      <c r="BB358" s="137">
        <f>$W358*AG358+$L358*Summary_LCIA!X$32</f>
        <v>22.647515322979704</v>
      </c>
      <c r="BC358" s="137">
        <f>$W358*AH358+$L358*Summary_LCIA!Y$32</f>
        <v>0.78161457219862029</v>
      </c>
      <c r="BD358" s="137">
        <f>$W358*AI358+$L358*Summary_LCIA!Z$32</f>
        <v>0.52022857287377</v>
      </c>
      <c r="BE358" s="137">
        <f>$W358*AJ358+$L358*Summary_LCIA!AA$32</f>
        <v>2.3149683258036098</v>
      </c>
      <c r="BF358" s="137">
        <f>$W358*AK358+$L358*Summary_LCIA!AB$32</f>
        <v>0.11397716968451241</v>
      </c>
      <c r="BG358" s="137">
        <f>$W358*AL358+$L358*Summary_LCIA!AC$32</f>
        <v>5.677839285556222E-5</v>
      </c>
      <c r="BH358" s="137">
        <f>$W358*AM358+$L358*Summary_LCIA!AD$32</f>
        <v>0.16313184182991064</v>
      </c>
      <c r="BI358" s="137">
        <f>$W358*AN358+$L358*Summary_LCIA!AE$32</f>
        <v>0.43944693943283281</v>
      </c>
      <c r="BJ358" s="137">
        <f>$W358*AO358+$L358*Summary_LCIA!AF$32</f>
        <v>2.8418839973007169E-2</v>
      </c>
      <c r="BK358" s="137">
        <f>$W358*AP358+$L358*Summary_LCIA!AG$32</f>
        <v>7.9786875480071691E-3</v>
      </c>
      <c r="BL358" s="137">
        <f>$W358*AQ358+$L358*Summary_LCIA!AH$32</f>
        <v>1.1017628822410011</v>
      </c>
      <c r="BM358" s="137">
        <f>$W358*AR358+$L358*Summary_LCIA!AI$32</f>
        <v>0.42173184521147628</v>
      </c>
    </row>
    <row r="359" spans="1:65" x14ac:dyDescent="0.25">
      <c r="A359" s="149">
        <v>182</v>
      </c>
      <c r="B359" s="149">
        <v>1</v>
      </c>
      <c r="C359" s="61">
        <v>9.8572469999999992</v>
      </c>
      <c r="D359" s="61">
        <v>-83.912312999999997</v>
      </c>
      <c r="E359" s="61" t="s">
        <v>467</v>
      </c>
      <c r="F359" s="149">
        <v>33</v>
      </c>
      <c r="G359" s="61" t="s">
        <v>691</v>
      </c>
      <c r="H359" s="61" t="s">
        <v>692</v>
      </c>
      <c r="I359" s="61">
        <v>9.7998569999999994</v>
      </c>
      <c r="J359" s="61">
        <v>-84.044955999999999</v>
      </c>
      <c r="K359" s="61">
        <v>2361.9992550000002</v>
      </c>
      <c r="L359" s="61">
        <v>21.867999999999999</v>
      </c>
      <c r="M359" s="61" t="s">
        <v>617</v>
      </c>
      <c r="N359" s="149">
        <v>0</v>
      </c>
      <c r="O359" s="149">
        <v>1</v>
      </c>
      <c r="P359" s="61" t="s">
        <v>565</v>
      </c>
      <c r="Q359" s="61" t="s">
        <v>558</v>
      </c>
      <c r="R359" s="61">
        <v>33.640728199999998</v>
      </c>
      <c r="S359" s="61">
        <v>-84.427700099999996</v>
      </c>
      <c r="T359" s="61">
        <v>5116.9260000000004</v>
      </c>
      <c r="U359" s="61" t="s">
        <v>617</v>
      </c>
      <c r="V359" s="61" t="s">
        <v>569</v>
      </c>
      <c r="W359" s="61" cm="1">
        <f t="array" ref="W359">getDistance(I359,J359,R359,S359)*SA!$B$12</f>
        <v>2647.9575864181729</v>
      </c>
      <c r="Y359" s="137">
        <f>Transportation_LCIA!C$61*($W359^Transportation_LCIA!C$60)+Transportation_LCIA!C$62</f>
        <v>0.16650550988978241</v>
      </c>
      <c r="Z359" s="137">
        <f>Transportation_LCIA!D$61*($W359^Transportation_LCIA!D$60)+Transportation_LCIA!D$62</f>
        <v>1.6303192280020968</v>
      </c>
      <c r="AA359" s="137">
        <f>Transportation_LCIA!E$61*($W359^Transportation_LCIA!E$60)+Transportation_LCIA!E$62</f>
        <v>6.2411745234737005E-4</v>
      </c>
      <c r="AB359" s="137">
        <f>Transportation_LCIA!F$61*($W359^Transportation_LCIA!F$60)+Transportation_LCIA!F$62</f>
        <v>0.16650550988978241</v>
      </c>
      <c r="AC359" s="137">
        <f>Transportation_LCIA!G$61*($W359^Transportation_LCIA!G$60)+Transportation_LCIA!G$62</f>
        <v>3.8271322069391378E-2</v>
      </c>
      <c r="AD359" s="137">
        <f>Transportation_LCIA!H$61*($W359^Transportation_LCIA!H$60)+Transportation_LCIA!H$62</f>
        <v>1.6355921870439904E-4</v>
      </c>
      <c r="AE359" s="137">
        <f>Transportation_LCIA!I$61*($W359^Transportation_LCIA!I$60)+Transportation_LCIA!I$62</f>
        <v>3.1151698254262871E-6</v>
      </c>
      <c r="AF359" s="137">
        <f>Transportation_LCIA!J$61*($W359^Transportation_LCIA!J$60)+Transportation_LCIA!J$62</f>
        <v>4.628347833904858E-3</v>
      </c>
      <c r="AG359" s="137">
        <f>Transportation_LCIA!K$61*($W359^Transportation_LCIA!K$60)+Transportation_LCIA!K$62</f>
        <v>7.7973995089108735E-3</v>
      </c>
      <c r="AH359" s="137">
        <f>Transportation_LCIA!L$61*($W359^Transportation_LCIA!L$60)+Transportation_LCIA!L$62</f>
        <v>1.362571077820812E-4</v>
      </c>
      <c r="AI359" s="137">
        <f>Transportation_LCIA!M$61*($W359^Transportation_LCIA!M$60)+Transportation_LCIA!M$62</f>
        <v>1.8114788526094218E-4</v>
      </c>
      <c r="AJ359" s="137">
        <f>Transportation_LCIA!N$61*($W359^Transportation_LCIA!N$60)+Transportation_LCIA!N$62</f>
        <v>6.0863920922614705E-4</v>
      </c>
      <c r="AK359" s="137">
        <f>Transportation_LCIA!O$61*($W359^Transportation_LCIA!O$60)+Transportation_LCIA!O$62</f>
        <v>4.034201703454542E-5</v>
      </c>
      <c r="AL359" s="137">
        <f>Transportation_LCIA!P$61*($W359^Transportation_LCIA!P$60)+Transportation_LCIA!P$62</f>
        <v>1.9552144408942301E-8</v>
      </c>
      <c r="AM359" s="137">
        <f>Transportation_LCIA!Q$61*($W359^Transportation_LCIA!Q$60)+Transportation_LCIA!Q$62</f>
        <v>5.4537599516880607E-5</v>
      </c>
      <c r="AN359" s="137">
        <f>Transportation_LCIA!R$61*($W359^Transportation_LCIA!R$60)+Transportation_LCIA!R$62</f>
        <v>1.5027705005430053E-4</v>
      </c>
      <c r="AO359" s="137">
        <f>Transportation_LCIA!S$61*($W359^Transportation_LCIA!S$60)+Transportation_LCIA!S$62</f>
        <v>2.3888193225936061E-6</v>
      </c>
      <c r="AP359" s="137">
        <f>Transportation_LCIA!T$61*($W359^Transportation_LCIA!T$60)+Transportation_LCIA!T$62</f>
        <v>2.3888193225936061E-6</v>
      </c>
      <c r="AQ359" s="137">
        <f>Transportation_LCIA!U$61*($W359^Transportation_LCIA!U$60)+Transportation_LCIA!U$62</f>
        <v>3.1715415919715475E-4</v>
      </c>
      <c r="AR359" s="137">
        <f>Transportation_LCIA!V$61*($W359^Transportation_LCIA!V$60)+Transportation_LCIA!V$62</f>
        <v>1.4213414761940268E-4</v>
      </c>
      <c r="AT359" s="137">
        <f>$W359*Y359+$L359*Summary_LCIA!H$32</f>
        <v>448.33027449307542</v>
      </c>
      <c r="AU359" s="137">
        <f>$W359*Z359+$L359*Summary_LCIA!Q$32</f>
        <v>4425.3950789404153</v>
      </c>
      <c r="AV359" s="137">
        <f>$W359*AA359+$L359*Summary_LCIA!R$32</f>
        <v>1.767784683559201</v>
      </c>
      <c r="AW359" s="137">
        <f>$W359*AB359+$L359*Summary_LCIA!S$32</f>
        <v>448.23361793307544</v>
      </c>
      <c r="AX359" s="137">
        <f>$W359*AC359+$L359*Summary_LCIA!T$32</f>
        <v>103.74413081589815</v>
      </c>
      <c r="AY359" s="137">
        <f>$W359*AD359+$L359*Summary_LCIA!U$32</f>
        <v>0.82484122599694243</v>
      </c>
      <c r="AZ359" s="137">
        <f>$W359*AE359+$L359*Summary_LCIA!V$32</f>
        <v>9.2932751202185124E-3</v>
      </c>
      <c r="BA359" s="137">
        <f>$W359*AF359+$L359*Summary_LCIA!W$32</f>
        <v>13.938870587370486</v>
      </c>
      <c r="BB359" s="137">
        <f>$W359*AG359+$L359*Summary_LCIA!X$32</f>
        <v>21.145336223953883</v>
      </c>
      <c r="BC359" s="137">
        <f>$W359*AH359+$L359*Summary_LCIA!Y$32</f>
        <v>0.70155021825496056</v>
      </c>
      <c r="BD359" s="137">
        <f>$W359*AI359+$L359*Summary_LCIA!Z$32</f>
        <v>0.48056870185232059</v>
      </c>
      <c r="BE359" s="137">
        <f>$W359*AJ359+$L359*Summary_LCIA!AA$32</f>
        <v>2.1223998194619336</v>
      </c>
      <c r="BF359" s="137">
        <f>$W359*AK359+$L359*Summary_LCIA!AB$32</f>
        <v>0.10634672469403571</v>
      </c>
      <c r="BG359" s="137">
        <f>$W359*AL359+$L359*Summary_LCIA!AC$32</f>
        <v>5.2842244430402425E-5</v>
      </c>
      <c r="BH359" s="137">
        <f>$W359*AM359+$L359*Summary_LCIA!AD$32</f>
        <v>0.15340187310576009</v>
      </c>
      <c r="BI359" s="137">
        <f>$W359*AN359+$L359*Summary_LCIA!AE$32</f>
        <v>0.4173051455958286</v>
      </c>
      <c r="BJ359" s="137">
        <f>$W359*AO359+$L359*Summary_LCIA!AF$32</f>
        <v>2.4813136807844059E-2</v>
      </c>
      <c r="BK359" s="137">
        <f>$W359*AP359+$L359*Summary_LCIA!AG$32</f>
        <v>7.4443684678440602E-3</v>
      </c>
      <c r="BL359" s="137">
        <f>$W359*AQ359+$L359*Summary_LCIA!AH$32</f>
        <v>1.030141086710183</v>
      </c>
      <c r="BM359" s="137">
        <f>$W359*AR359+$L359*Summary_LCIA!AI$32</f>
        <v>0.39673632987787782</v>
      </c>
    </row>
    <row r="360" spans="1:65" x14ac:dyDescent="0.25">
      <c r="A360" s="149">
        <v>235</v>
      </c>
      <c r="B360" s="149">
        <v>15</v>
      </c>
      <c r="C360" s="61">
        <v>29.351009000000001</v>
      </c>
      <c r="D360" s="61">
        <v>47.944330999999998</v>
      </c>
      <c r="E360" s="61" t="s">
        <v>282</v>
      </c>
      <c r="F360" s="149">
        <v>58</v>
      </c>
      <c r="G360" s="61" t="s">
        <v>283</v>
      </c>
      <c r="H360" s="61" t="s">
        <v>706</v>
      </c>
      <c r="I360" s="61">
        <v>29.240445999999999</v>
      </c>
      <c r="J360" s="61">
        <v>47.968857</v>
      </c>
      <c r="K360" s="61">
        <v>672.29659430000004</v>
      </c>
      <c r="L360" s="61">
        <v>18.744</v>
      </c>
      <c r="M360" s="61" t="s">
        <v>617</v>
      </c>
      <c r="N360" s="149">
        <v>14</v>
      </c>
      <c r="O360" s="149">
        <v>15</v>
      </c>
      <c r="P360" s="61" t="s">
        <v>567</v>
      </c>
      <c r="Q360" s="61" t="s">
        <v>566</v>
      </c>
      <c r="R360" s="61">
        <v>50.037932599999998</v>
      </c>
      <c r="S360" s="61">
        <v>8.5621518000000005</v>
      </c>
      <c r="T360" s="61">
        <v>5118.5919999999996</v>
      </c>
      <c r="U360" s="61" t="s">
        <v>617</v>
      </c>
      <c r="V360" s="61" t="s">
        <v>569</v>
      </c>
      <c r="W360" s="61" cm="1">
        <f t="array" ref="W360">getDistance(I360,J360,R360,S360)*SA!$B$12</f>
        <v>4027.6455522727247</v>
      </c>
      <c r="Y360" s="137">
        <f>Transportation_LCIA!C$61*($W360^Transportation_LCIA!C$60)+Transportation_LCIA!C$62</f>
        <v>0.15030384980311071</v>
      </c>
      <c r="Z360" s="137">
        <f>Transportation_LCIA!D$61*($W360^Transportation_LCIA!D$60)+Transportation_LCIA!D$62</f>
        <v>1.4506519972075935</v>
      </c>
      <c r="AA360" s="137">
        <f>Transportation_LCIA!E$61*($W360^Transportation_LCIA!E$60)+Transportation_LCIA!E$62</f>
        <v>5.0767027593173471E-4</v>
      </c>
      <c r="AB360" s="137">
        <f>Transportation_LCIA!F$61*($W360^Transportation_LCIA!F$60)+Transportation_LCIA!F$62</f>
        <v>0.15030384980311071</v>
      </c>
      <c r="AC360" s="137">
        <f>Transportation_LCIA!G$61*($W360^Transportation_LCIA!G$60)+Transportation_LCIA!G$62</f>
        <v>3.4102198798369163E-2</v>
      </c>
      <c r="AD360" s="137">
        <f>Transportation_LCIA!H$61*($W360^Transportation_LCIA!H$60)+Transportation_LCIA!H$62</f>
        <v>1.3866969839146159E-4</v>
      </c>
      <c r="AE360" s="137">
        <f>Transportation_LCIA!I$61*($W360^Transportation_LCIA!I$60)+Transportation_LCIA!I$62</f>
        <v>2.5165344668096448E-6</v>
      </c>
      <c r="AF360" s="137">
        <f>Transportation_LCIA!J$61*($W360^Transportation_LCIA!J$60)+Transportation_LCIA!J$62</f>
        <v>3.7629719135529221E-3</v>
      </c>
      <c r="AG360" s="137">
        <f>Transportation_LCIA!K$61*($W360^Transportation_LCIA!K$60)+Transportation_LCIA!K$62</f>
        <v>6.8489477137590208E-3</v>
      </c>
      <c r="AH360" s="137">
        <f>Transportation_LCIA!L$61*($W360^Transportation_LCIA!L$60)+Transportation_LCIA!L$62</f>
        <v>1.1367040138470175E-4</v>
      </c>
      <c r="AI360" s="137">
        <f>Transportation_LCIA!M$61*($W360^Transportation_LCIA!M$60)+Transportation_LCIA!M$62</f>
        <v>1.6743275350147188E-4</v>
      </c>
      <c r="AJ360" s="137">
        <f>Transportation_LCIA!N$61*($W360^Transportation_LCIA!N$60)+Transportation_LCIA!N$62</f>
        <v>5.2465271738618194E-4</v>
      </c>
      <c r="AK360" s="137">
        <f>Transportation_LCIA!O$61*($W360^Transportation_LCIA!O$60)+Transportation_LCIA!O$62</f>
        <v>3.5917993692540506E-5</v>
      </c>
      <c r="AL360" s="137">
        <f>Transportation_LCIA!P$61*($W360^Transportation_LCIA!P$60)+Transportation_LCIA!P$62</f>
        <v>1.741703477237647E-8</v>
      </c>
      <c r="AM360" s="137">
        <f>Transportation_LCIA!Q$61*($W360^Transportation_LCIA!Q$60)+Transportation_LCIA!Q$62</f>
        <v>4.576769964967199E-5</v>
      </c>
      <c r="AN360" s="137">
        <f>Transportation_LCIA!R$61*($W360^Transportation_LCIA!R$60)+Transportation_LCIA!R$62</f>
        <v>1.216023101469281E-4</v>
      </c>
      <c r="AO360" s="137">
        <f>Transportation_LCIA!S$61*($W360^Transportation_LCIA!S$60)+Transportation_LCIA!S$62</f>
        <v>1.9810326458284998E-6</v>
      </c>
      <c r="AP360" s="137">
        <f>Transportation_LCIA!T$61*($W360^Transportation_LCIA!T$60)+Transportation_LCIA!T$62</f>
        <v>1.9810326458284998E-6</v>
      </c>
      <c r="AQ360" s="137">
        <f>Transportation_LCIA!U$61*($W360^Transportation_LCIA!U$60)+Transportation_LCIA!U$62</f>
        <v>2.5481121914906741E-4</v>
      </c>
      <c r="AR360" s="137">
        <f>Transportation_LCIA!V$61*($W360^Transportation_LCIA!V$60)+Transportation_LCIA!V$62</f>
        <v>1.1952410011835198E-4</v>
      </c>
      <c r="AT360" s="137">
        <f>$W360*Y360+$L360*Summary_LCIA!H$32</f>
        <v>611.73984334896647</v>
      </c>
      <c r="AU360" s="137">
        <f>$W360*Z360+$L360*Summary_LCIA!Q$32</f>
        <v>5935.6082737648612</v>
      </c>
      <c r="AV360" s="137">
        <f>$W360*AA360+$L360*Summary_LCIA!R$32</f>
        <v>2.1434143352775181</v>
      </c>
      <c r="AW360" s="137">
        <f>$W360*AB360+$L360*Summary_LCIA!S$32</f>
        <v>611.65699486896654</v>
      </c>
      <c r="AX360" s="137">
        <f>$W360*AC360+$L360*Summary_LCIA!T$32</f>
        <v>139.4115349129718</v>
      </c>
      <c r="AY360" s="137">
        <f>$W360*AD360+$L360*Summary_LCIA!U$32</f>
        <v>0.89429240996137038</v>
      </c>
      <c r="AZ360" s="137">
        <f>$W360*AE360+$L360*Summary_LCIA!V$32</f>
        <v>1.1030941036386879E-2</v>
      </c>
      <c r="BA360" s="137">
        <f>$W360*AF360+$L360*Summary_LCIA!W$32</f>
        <v>16.59866151494861</v>
      </c>
      <c r="BB360" s="137">
        <f>$W360*AG360+$L360*Summary_LCIA!X$32</f>
        <v>28.012122117069968</v>
      </c>
      <c r="BC360" s="137">
        <f>$W360*AH360+$L360*Summary_LCIA!Y$32</f>
        <v>0.74989309456214936</v>
      </c>
      <c r="BD360" s="137">
        <f>$W360*AI360+$L360*Summary_LCIA!Z$32</f>
        <v>0.67512845764097862</v>
      </c>
      <c r="BE360" s="137">
        <f>$W360*AJ360+$L360*Summary_LCIA!AA$32</f>
        <v>2.5509000476682546</v>
      </c>
      <c r="BF360" s="137">
        <f>$W360*AK360+$L360*Summary_LCIA!AB$32</f>
        <v>0.14425589723032053</v>
      </c>
      <c r="BG360" s="137">
        <f>$W360*AL360+$L360*Summary_LCIA!AC$32</f>
        <v>7.1065924330741476E-5</v>
      </c>
      <c r="BH360" s="137">
        <f>$W360*AM360+$L360*Summary_LCIA!AD$32</f>
        <v>0.19204060569175532</v>
      </c>
      <c r="BI360" s="137">
        <f>$W360*AN360+$L360*Summary_LCIA!AE$32</f>
        <v>0.50638062432936337</v>
      </c>
      <c r="BJ360" s="137">
        <f>$W360*AO360+$L360*Summary_LCIA!AF$32</f>
        <v>2.3825449804878225E-2</v>
      </c>
      <c r="BK360" s="137">
        <f>$W360*AP360+$L360*Summary_LCIA!AG$32</f>
        <v>8.9379340848782258E-3</v>
      </c>
      <c r="BL360" s="137">
        <f>$W360*AQ360+$L360*Summary_LCIA!AH$32</f>
        <v>1.1894295518749318</v>
      </c>
      <c r="BM360" s="137">
        <f>$W360*AR360+$L360*Summary_LCIA!AI$32</f>
        <v>0.49886168343108023</v>
      </c>
    </row>
    <row r="361" spans="1:65" x14ac:dyDescent="0.25">
      <c r="A361" s="149">
        <v>3</v>
      </c>
      <c r="B361" s="149">
        <v>29</v>
      </c>
      <c r="C361" s="61">
        <v>35.597613000000003</v>
      </c>
      <c r="D361" s="61">
        <v>139.65054000000001</v>
      </c>
      <c r="E361" s="61" t="s">
        <v>272</v>
      </c>
      <c r="F361" s="149">
        <v>5</v>
      </c>
      <c r="G361" s="61" t="s">
        <v>620</v>
      </c>
      <c r="H361" s="61" t="s">
        <v>621</v>
      </c>
      <c r="I361" s="61">
        <v>35.549393000000002</v>
      </c>
      <c r="J361" s="61">
        <v>139.77983900000001</v>
      </c>
      <c r="K361" s="61">
        <v>14.24610406</v>
      </c>
      <c r="L361" s="61">
        <v>17.181999999999999</v>
      </c>
      <c r="M361" s="61" t="s">
        <v>617</v>
      </c>
      <c r="N361" s="149">
        <v>28</v>
      </c>
      <c r="O361" s="149">
        <v>29</v>
      </c>
      <c r="P361" s="61" t="s">
        <v>565</v>
      </c>
      <c r="Q361" s="61" t="s">
        <v>559</v>
      </c>
      <c r="R361" s="61">
        <v>47.450249900000003</v>
      </c>
      <c r="S361" s="61">
        <v>-122.30881650000001</v>
      </c>
      <c r="T361" s="61"/>
      <c r="U361" s="61" t="s">
        <v>622</v>
      </c>
      <c r="V361" s="61" t="s">
        <v>569</v>
      </c>
      <c r="W361" s="61" cm="1">
        <f t="array" ref="W361">getDistance(I361,J361,R361,S361)*SA!$B$12</f>
        <v>7732.9863561656575</v>
      </c>
      <c r="Y361" s="137">
        <f>Transportation_LCIA!C$61*($W361^Transportation_LCIA!C$60)+Transportation_LCIA!C$62</f>
        <v>0.13410983014831226</v>
      </c>
      <c r="Z361" s="137">
        <f>Transportation_LCIA!D$61*($W361^Transportation_LCIA!D$60)+Transportation_LCIA!D$62</f>
        <v>1.2750636922893839</v>
      </c>
      <c r="AA361" s="137">
        <f>Transportation_LCIA!E$61*($W361^Transportation_LCIA!E$60)+Transportation_LCIA!E$62</f>
        <v>3.945830816743962E-4</v>
      </c>
      <c r="AB361" s="137">
        <f>Transportation_LCIA!F$61*($W361^Transportation_LCIA!F$60)+Transportation_LCIA!F$62</f>
        <v>0.13410983014831226</v>
      </c>
      <c r="AC361" s="137">
        <f>Transportation_LCIA!G$61*($W361^Transportation_LCIA!G$60)+Transportation_LCIA!G$62</f>
        <v>3.0022381689887842E-2</v>
      </c>
      <c r="AD361" s="137">
        <f>Transportation_LCIA!H$61*($W361^Transportation_LCIA!H$60)+Transportation_LCIA!H$62</f>
        <v>1.1479775437180469E-4</v>
      </c>
      <c r="AE361" s="137">
        <f>Transportation_LCIA!I$61*($W361^Transportation_LCIA!I$60)+Transportation_LCIA!I$62</f>
        <v>1.9537711263723941E-6</v>
      </c>
      <c r="AF361" s="137">
        <f>Transportation_LCIA!J$61*($W361^Transportation_LCIA!J$60)+Transportation_LCIA!J$62</f>
        <v>2.960025709740249E-3</v>
      </c>
      <c r="AG361" s="137">
        <f>Transportation_LCIA!K$61*($W361^Transportation_LCIA!K$60)+Transportation_LCIA!K$62</f>
        <v>5.9312865998840157E-3</v>
      </c>
      <c r="AH361" s="137">
        <f>Transportation_LCIA!L$61*($W361^Transportation_LCIA!L$60)+Transportation_LCIA!L$62</f>
        <v>9.2130525424215489E-5</v>
      </c>
      <c r="AI361" s="137">
        <f>Transportation_LCIA!M$61*($W361^Transportation_LCIA!M$60)+Transportation_LCIA!M$62</f>
        <v>1.5428727202023863E-4</v>
      </c>
      <c r="AJ361" s="137">
        <f>Transportation_LCIA!N$61*($W361^Transportation_LCIA!N$60)+Transportation_LCIA!N$62</f>
        <v>4.4397134188153039E-4</v>
      </c>
      <c r="AK361" s="137">
        <f>Transportation_LCIA!O$61*($W361^Transportation_LCIA!O$60)+Transportation_LCIA!O$62</f>
        <v>3.159140959269419E-5</v>
      </c>
      <c r="AL361" s="137">
        <f>Transportation_LCIA!P$61*($W361^Transportation_LCIA!P$60)+Transportation_LCIA!P$62</f>
        <v>1.5325457493794949E-8</v>
      </c>
      <c r="AM361" s="137">
        <f>Transportation_LCIA!Q$61*($W361^Transportation_LCIA!Q$60)+Transportation_LCIA!Q$62</f>
        <v>3.7429937539717766E-5</v>
      </c>
      <c r="AN361" s="137">
        <f>Transportation_LCIA!R$61*($W361^Transportation_LCIA!R$60)+Transportation_LCIA!R$62</f>
        <v>9.4658893049615744E-5</v>
      </c>
      <c r="AO361" s="137">
        <f>Transportation_LCIA!S$61*($W361^Transportation_LCIA!S$60)+Transportation_LCIA!S$62</f>
        <v>1.5975234452295921E-6</v>
      </c>
      <c r="AP361" s="137">
        <f>Transportation_LCIA!T$61*($W361^Transportation_LCIA!T$60)+Transportation_LCIA!T$62</f>
        <v>1.5975234452295921E-6</v>
      </c>
      <c r="AQ361" s="137">
        <f>Transportation_LCIA!U$61*($W361^Transportation_LCIA!U$60)+Transportation_LCIA!U$62</f>
        <v>1.9645456769131977E-4</v>
      </c>
      <c r="AR361" s="137">
        <f>Transportation_LCIA!V$61*($W361^Transportation_LCIA!V$60)+Transportation_LCIA!V$62</f>
        <v>9.8113228741500703E-5</v>
      </c>
      <c r="AT361" s="137">
        <f>$W361*Y361+$L361*Summary_LCIA!H$32</f>
        <v>1042.9079303645924</v>
      </c>
      <c r="AU361" s="137">
        <f>$W361*Z361+$L361*Summary_LCIA!Q$32</f>
        <v>9945.2049942558187</v>
      </c>
      <c r="AV361" s="137">
        <f>$W361*AA361+$L361*Summary_LCIA!R$32</f>
        <v>3.141779126161905</v>
      </c>
      <c r="AW361" s="137">
        <f>$W361*AB361+$L361*Summary_LCIA!S$32</f>
        <v>1042.8319859245926</v>
      </c>
      <c r="AX361" s="137">
        <f>$W361*AC361+$L361*Summary_LCIA!T$32</f>
        <v>234.05096978750032</v>
      </c>
      <c r="AY361" s="137">
        <f>$W361*AD361+$L361*Summary_LCIA!U$32</f>
        <v>1.195527816275622</v>
      </c>
      <c r="AZ361" s="137">
        <f>$W361*AE361+$L361*Summary_LCIA!V$32</f>
        <v>1.5929114965308133E-2</v>
      </c>
      <c r="BA361" s="137">
        <f>$W361*AF361+$L361*Summary_LCIA!W$32</f>
        <v>24.212354149320912</v>
      </c>
      <c r="BB361" s="137">
        <f>$W361*AG361+$L361*Summary_LCIA!X$32</f>
        <v>46.257964311411286</v>
      </c>
      <c r="BC361" s="137">
        <f>$W361*AH361+$L361*Summary_LCIA!Y$32</f>
        <v>0.98017402009183163</v>
      </c>
      <c r="BD361" s="137">
        <f>$W361*AI361+$L361*Summary_LCIA!Z$32</f>
        <v>1.1938059861005248</v>
      </c>
      <c r="BE361" s="137">
        <f>$W361*AJ361+$L361*Summary_LCIA!AA$32</f>
        <v>3.8345271212984331</v>
      </c>
      <c r="BF361" s="137">
        <f>$W361*AK361+$L361*Summary_LCIA!AB$32</f>
        <v>0.24392097656634504</v>
      </c>
      <c r="BG361" s="137">
        <f>$W361*AL361+$L361*Summary_LCIA!AC$32</f>
        <v>1.1935147858951307E-4</v>
      </c>
      <c r="BH361" s="137">
        <f>$W361*AM361+$L361*Summary_LCIA!AD$32</f>
        <v>0.29650768558677021</v>
      </c>
      <c r="BI361" s="137">
        <f>$W361*AN361+$L361*Summary_LCIA!AE$32</f>
        <v>0.74722141410242282</v>
      </c>
      <c r="BJ361" s="137">
        <f>$W361*AO361+$L361*Summary_LCIA!AF$32</f>
        <v>2.6879633445615191E-2</v>
      </c>
      <c r="BK361" s="137">
        <f>$W361*AP361+$L361*Summary_LCIA!AG$32</f>
        <v>1.3232744035615191E-2</v>
      </c>
      <c r="BL361" s="137">
        <f>$W361*AQ361+$L361*Summary_LCIA!AH$32</f>
        <v>1.6687257467633985</v>
      </c>
      <c r="BM361" s="137">
        <f>$W361*AR361+$L361*Summary_LCIA!AI$32</f>
        <v>0.77471415131738519</v>
      </c>
    </row>
    <row r="362" spans="1:65" x14ac:dyDescent="0.25">
      <c r="A362" s="149">
        <v>13</v>
      </c>
      <c r="B362" s="149">
        <v>15</v>
      </c>
      <c r="C362" s="61">
        <v>51.378222999999998</v>
      </c>
      <c r="D362" s="61">
        <v>-2.3263989999999999</v>
      </c>
      <c r="E362" s="61" t="s">
        <v>463</v>
      </c>
      <c r="F362" s="149">
        <v>7</v>
      </c>
      <c r="G362" s="61" t="s">
        <v>628</v>
      </c>
      <c r="H362" s="61" t="s">
        <v>629</v>
      </c>
      <c r="I362" s="61">
        <v>51.470022</v>
      </c>
      <c r="J362" s="61">
        <v>-0.45429599999999998</v>
      </c>
      <c r="K362" s="61">
        <v>149.81618209999999</v>
      </c>
      <c r="L362" s="61">
        <v>198.58</v>
      </c>
      <c r="M362" s="61" t="s">
        <v>589</v>
      </c>
      <c r="N362" s="149">
        <v>14</v>
      </c>
      <c r="O362" s="149">
        <v>15</v>
      </c>
      <c r="P362" s="61" t="s">
        <v>567</v>
      </c>
      <c r="Q362" s="61" t="s">
        <v>566</v>
      </c>
      <c r="R362" s="61">
        <v>50.037932599999998</v>
      </c>
      <c r="S362" s="61">
        <v>8.5621518000000005</v>
      </c>
      <c r="T362" s="61"/>
      <c r="U362" s="61" t="s">
        <v>622</v>
      </c>
      <c r="V362" s="61" t="s">
        <v>569</v>
      </c>
      <c r="W362" s="61" cm="1">
        <f t="array" ref="W362">getDistance(I362,J362,R362,S362)*SA!$B$12</f>
        <v>655.49865109245718</v>
      </c>
      <c r="Y362" s="137">
        <f>Transportation_LCIA!C$61*($W362^Transportation_LCIA!C$60)+Transportation_LCIA!C$62</f>
        <v>0.28808630932385726</v>
      </c>
      <c r="Z362" s="137">
        <f>Transportation_LCIA!D$61*($W362^Transportation_LCIA!D$60)+Transportation_LCIA!D$62</f>
        <v>3.0403453180333315</v>
      </c>
      <c r="AA362" s="137">
        <f>Transportation_LCIA!E$61*($W362^Transportation_LCIA!E$60)+Transportation_LCIA!E$62</f>
        <v>1.5496127326841335E-3</v>
      </c>
      <c r="AB362" s="137">
        <f>Transportation_LCIA!F$61*($W362^Transportation_LCIA!F$60)+Transportation_LCIA!F$62</f>
        <v>0.28808630932385726</v>
      </c>
      <c r="AC362" s="137">
        <f>Transportation_LCIA!G$61*($W362^Transportation_LCIA!G$60)+Transportation_LCIA!G$62</f>
        <v>7.0904955875308692E-2</v>
      </c>
      <c r="AD362" s="137">
        <f>Transportation_LCIA!H$61*($W362^Transportation_LCIA!H$60)+Transportation_LCIA!H$62</f>
        <v>3.6638661442350167E-4</v>
      </c>
      <c r="AE362" s="137">
        <f>Transportation_LCIA!I$61*($W362^Transportation_LCIA!I$60)+Transportation_LCIA!I$62</f>
        <v>8.1949302872625628E-6</v>
      </c>
      <c r="AF362" s="137">
        <f>Transportation_LCIA!J$61*($W362^Transportation_LCIA!J$60)+Transportation_LCIA!J$62</f>
        <v>1.216906133974993E-2</v>
      </c>
      <c r="AG362" s="137">
        <f>Transportation_LCIA!K$61*($W362^Transportation_LCIA!K$60)+Transportation_LCIA!K$62</f>
        <v>1.5391950999787709E-2</v>
      </c>
      <c r="AH362" s="137">
        <f>Transportation_LCIA!L$61*($W362^Transportation_LCIA!L$60)+Transportation_LCIA!L$62</f>
        <v>3.224475626051792E-4</v>
      </c>
      <c r="AI362" s="137">
        <f>Transportation_LCIA!M$61*($W362^Transportation_LCIA!M$60)+Transportation_LCIA!M$62</f>
        <v>2.9306665716547056E-4</v>
      </c>
      <c r="AJ362" s="137">
        <f>Transportation_LCIA!N$61*($W362^Transportation_LCIA!N$60)+Transportation_LCIA!N$62</f>
        <v>1.2908631335785605E-3</v>
      </c>
      <c r="AK362" s="137">
        <f>Transportation_LCIA!O$61*($W362^Transportation_LCIA!O$60)+Transportation_LCIA!O$62</f>
        <v>7.5013630480399058E-5</v>
      </c>
      <c r="AL362" s="137">
        <f>Transportation_LCIA!P$61*($W362^Transportation_LCIA!P$60)+Transportation_LCIA!P$62</f>
        <v>3.622947059126279E-8</v>
      </c>
      <c r="AM362" s="137">
        <f>Transportation_LCIA!Q$61*($W362^Transportation_LCIA!Q$60)+Transportation_LCIA!Q$62</f>
        <v>1.2728062224719001E-4</v>
      </c>
      <c r="AN362" s="137">
        <f>Transportation_LCIA!R$61*($W362^Transportation_LCIA!R$60)+Transportation_LCIA!R$62</f>
        <v>3.9383707879712856E-4</v>
      </c>
      <c r="AO362" s="137">
        <f>Transportation_LCIA!S$61*($W362^Transportation_LCIA!S$60)+Transportation_LCIA!S$62</f>
        <v>5.8462294863061377E-6</v>
      </c>
      <c r="AP362" s="137">
        <f>Transportation_LCIA!T$61*($W362^Transportation_LCIA!T$60)+Transportation_LCIA!T$62</f>
        <v>5.8462294863061377E-6</v>
      </c>
      <c r="AQ362" s="137">
        <f>Transportation_LCIA!U$61*($W362^Transportation_LCIA!U$60)+Transportation_LCIA!U$62</f>
        <v>8.5078004970210494E-4</v>
      </c>
      <c r="AR362" s="137">
        <f>Transportation_LCIA!V$61*($W362^Transportation_LCIA!V$60)+Transportation_LCIA!V$62</f>
        <v>3.311828503124549E-4</v>
      </c>
      <c r="AT362" s="137">
        <f>$W362*Y362+$L362*Summary_LCIA!H$32</f>
        <v>256.31767115999281</v>
      </c>
      <c r="AU362" s="137">
        <f>$W362*Z362+$L362*Summary_LCIA!Q$32</f>
        <v>2977.1147498112568</v>
      </c>
      <c r="AV362" s="137">
        <f>$W362*AA362+$L362*Summary_LCIA!R$32</f>
        <v>2.061411903990146</v>
      </c>
      <c r="AW362" s="137">
        <f>$W362*AB362+$L362*Summary_LCIA!S$32</f>
        <v>255.43994755999282</v>
      </c>
      <c r="AX362" s="137">
        <f>$W362*AC362+$L362*Summary_LCIA!T$32</f>
        <v>68.302044932035045</v>
      </c>
      <c r="AY362" s="137">
        <f>$W362*AD362+$L362*Summary_LCIA!U$32</f>
        <v>3.7975280515329377</v>
      </c>
      <c r="AZ362" s="137">
        <f>$W362*AE362+$L362*Summary_LCIA!V$32</f>
        <v>1.4856145129097331E-2</v>
      </c>
      <c r="BA362" s="137">
        <f>$W362*AF362+$L362*Summary_LCIA!W$32</f>
        <v>23.26170447326745</v>
      </c>
      <c r="BB362" s="137">
        <f>$W362*AG362+$L362*Summary_LCIA!X$32</f>
        <v>14.613055518042042</v>
      </c>
      <c r="BC362" s="137">
        <f>$W362*AH362+$L362*Summary_LCIA!Y$32</f>
        <v>3.3056375023357458</v>
      </c>
      <c r="BD362" s="137">
        <f>$W362*AI362+$L362*Summary_LCIA!Z$32</f>
        <v>0.20024836567214158</v>
      </c>
      <c r="BE362" s="137">
        <f>$W362*AJ362+$L362*Summary_LCIA!AA$32</f>
        <v>5.4841935228057288</v>
      </c>
      <c r="BF362" s="137">
        <f>$W362*AK362+$L362*Summary_LCIA!AB$32</f>
        <v>4.4837722253449612E-2</v>
      </c>
      <c r="BG362" s="137">
        <f>$W362*AL362+$L362*Summary_LCIA!AC$32</f>
        <v>3.3455753822366606E-5</v>
      </c>
      <c r="BH362" s="137">
        <f>$W362*AM362+$L362*Summary_LCIA!AD$32</f>
        <v>0.16505659939324163</v>
      </c>
      <c r="BI362" s="137">
        <f>$W362*AN362+$L362*Summary_LCIA!AE$32</f>
        <v>0.43412736930171153</v>
      </c>
      <c r="BJ362" s="137">
        <f>$W362*AO362+$L362*Summary_LCIA!AF$32</f>
        <v>0.17171569914225063</v>
      </c>
      <c r="BK362" s="137">
        <f>$W362*AP362+$L362*Summary_LCIA!AG$32</f>
        <v>1.3992541242250623E-2</v>
      </c>
      <c r="BL362" s="137">
        <f>$W362*AQ362+$L362*Summary_LCIA!AH$32</f>
        <v>2.2860460629561037</v>
      </c>
      <c r="BM362" s="137">
        <f>$W362*AR362+$L362*Summary_LCIA!AI$32</f>
        <v>0.40207711064476936</v>
      </c>
    </row>
    <row r="363" spans="1:65" x14ac:dyDescent="0.25">
      <c r="A363" s="149">
        <v>143</v>
      </c>
      <c r="B363" s="149">
        <v>1</v>
      </c>
      <c r="C363" s="61">
        <v>-23.586715000000002</v>
      </c>
      <c r="D363" s="61">
        <v>-46.681919999999998</v>
      </c>
      <c r="E363" s="61" t="s">
        <v>465</v>
      </c>
      <c r="F363" s="149">
        <v>52</v>
      </c>
      <c r="G363" s="61" t="s">
        <v>682</v>
      </c>
      <c r="H363" s="61" t="s">
        <v>683</v>
      </c>
      <c r="I363" s="61">
        <v>-23.430572999999999</v>
      </c>
      <c r="J363" s="61">
        <v>-46.473042999999997</v>
      </c>
      <c r="K363" s="61">
        <v>27.890101319999999</v>
      </c>
      <c r="L363" s="61">
        <v>35.286999999999999</v>
      </c>
      <c r="M363" s="61" t="s">
        <v>617</v>
      </c>
      <c r="N363" s="149">
        <v>0</v>
      </c>
      <c r="O363" s="149">
        <v>1</v>
      </c>
      <c r="P363" s="61" t="s">
        <v>565</v>
      </c>
      <c r="Q363" s="61" t="s">
        <v>558</v>
      </c>
      <c r="R363" s="61">
        <v>33.640728199999998</v>
      </c>
      <c r="S363" s="61">
        <v>-84.427700099999996</v>
      </c>
      <c r="T363" s="61"/>
      <c r="U363" s="61" t="s">
        <v>622</v>
      </c>
      <c r="V363" s="61" t="s">
        <v>569</v>
      </c>
      <c r="W363" s="61" cm="1">
        <f t="array" ref="W363">getDistance(I363,J363,R363,S363)*SA!$B$12</f>
        <v>7504.2467822738536</v>
      </c>
      <c r="Y363" s="137">
        <f>Transportation_LCIA!C$61*($W363^Transportation_LCIA!C$60)+Transportation_LCIA!C$62</f>
        <v>0.13467692643305482</v>
      </c>
      <c r="Z363" s="137">
        <f>Transportation_LCIA!D$61*($W363^Transportation_LCIA!D$60)+Transportation_LCIA!D$62</f>
        <v>1.281122121518028</v>
      </c>
      <c r="AA363" s="137">
        <f>Transportation_LCIA!E$61*($W363^Transportation_LCIA!E$60)+Transportation_LCIA!E$62</f>
        <v>3.9846873057456544E-4</v>
      </c>
      <c r="AB363" s="137">
        <f>Transportation_LCIA!F$61*($W363^Transportation_LCIA!F$60)+Transportation_LCIA!F$62</f>
        <v>0.13467692643305482</v>
      </c>
      <c r="AC363" s="137">
        <f>Transportation_LCIA!G$61*($W363^Transportation_LCIA!G$60)+Transportation_LCIA!G$62</f>
        <v>3.0163272083294036E-2</v>
      </c>
      <c r="AD363" s="137">
        <f>Transportation_LCIA!H$61*($W363^Transportation_LCIA!H$60)+Transportation_LCIA!H$62</f>
        <v>1.1561123509205936E-4</v>
      </c>
      <c r="AE363" s="137">
        <f>Transportation_LCIA!I$61*($W363^Transportation_LCIA!I$60)+Transportation_LCIA!I$62</f>
        <v>1.9726938522060428E-6</v>
      </c>
      <c r="AF363" s="137">
        <f>Transportation_LCIA!J$61*($W363^Transportation_LCIA!J$60)+Transportation_LCIA!J$62</f>
        <v>2.9867891430907108E-3</v>
      </c>
      <c r="AG363" s="137">
        <f>Transportation_LCIA!K$61*($W363^Transportation_LCIA!K$60)+Transportation_LCIA!K$62</f>
        <v>5.962739513866968E-3</v>
      </c>
      <c r="AH363" s="137">
        <f>Transportation_LCIA!L$61*($W363^Transportation_LCIA!L$60)+Transportation_LCIA!L$62</f>
        <v>9.2861753650151202E-5</v>
      </c>
      <c r="AI363" s="137">
        <f>Transportation_LCIA!M$61*($W363^Transportation_LCIA!M$60)+Transportation_LCIA!M$62</f>
        <v>1.5473502668157449E-4</v>
      </c>
      <c r="AJ363" s="137">
        <f>Transportation_LCIA!N$61*($W363^Transportation_LCIA!N$60)+Transportation_LCIA!N$62</f>
        <v>4.4672362340835792E-4</v>
      </c>
      <c r="AK363" s="137">
        <f>Transportation_LCIA!O$61*($W363^Transportation_LCIA!O$60)+Transportation_LCIA!O$62</f>
        <v>3.1740760745464363E-5</v>
      </c>
      <c r="AL363" s="137">
        <f>Transportation_LCIA!P$61*($W363^Transportation_LCIA!P$60)+Transportation_LCIA!P$62</f>
        <v>1.5397737314191349E-8</v>
      </c>
      <c r="AM363" s="137">
        <f>Transportation_LCIA!Q$61*($W363^Transportation_LCIA!Q$60)+Transportation_LCIA!Q$62</f>
        <v>3.7712406149915079E-5</v>
      </c>
      <c r="AN363" s="137">
        <f>Transportation_LCIA!R$61*($W363^Transportation_LCIA!R$60)+Transportation_LCIA!R$62</f>
        <v>9.5564563306387018E-5</v>
      </c>
      <c r="AO363" s="137">
        <f>Transportation_LCIA!S$61*($W363^Transportation_LCIA!S$60)+Transportation_LCIA!S$62</f>
        <v>1.6104223690100325E-6</v>
      </c>
      <c r="AP363" s="137">
        <f>Transportation_LCIA!T$61*($W363^Transportation_LCIA!T$60)+Transportation_LCIA!T$62</f>
        <v>1.6104223690100325E-6</v>
      </c>
      <c r="AQ363" s="137">
        <f>Transportation_LCIA!U$61*($W363^Transportation_LCIA!U$60)+Transportation_LCIA!U$62</f>
        <v>1.9841117968728933E-4</v>
      </c>
      <c r="AR363" s="137">
        <f>Transportation_LCIA!V$61*($W363^Transportation_LCIA!V$60)+Transportation_LCIA!V$62</f>
        <v>9.8836677084105837E-5</v>
      </c>
      <c r="AT363" s="137">
        <f>$W363*Y363+$L363*Summary_LCIA!H$32</f>
        <v>1022.6394144317841</v>
      </c>
      <c r="AU363" s="137">
        <f>$W363*Z363+$L363*Summary_LCIA!Q$32</f>
        <v>9788.7407097307841</v>
      </c>
      <c r="AV363" s="137">
        <f>$W363*AA363+$L363*Summary_LCIA!R$32</f>
        <v>3.1760149164509297</v>
      </c>
      <c r="AW363" s="137">
        <f>$W363*AB363+$L363*Summary_LCIA!S$32</f>
        <v>1022.4834458917841</v>
      </c>
      <c r="AX363" s="137">
        <f>$W363*AC363+$L363*Summary_LCIA!T$32</f>
        <v>230.23067877391003</v>
      </c>
      <c r="AY363" s="137">
        <f>$W363*AD363+$L363*Summary_LCIA!U$32</f>
        <v>1.4997065569342924</v>
      </c>
      <c r="AZ363" s="137">
        <f>$W363*AE363+$L363*Summary_LCIA!V$32</f>
        <v>1.648892389982861E-2</v>
      </c>
      <c r="BA363" s="137">
        <f>$W363*AF363+$L363*Summary_LCIA!W$32</f>
        <v>25.129678493368946</v>
      </c>
      <c r="BB363" s="137">
        <f>$W363*AG363+$L363*Summary_LCIA!X$32</f>
        <v>45.549706670473356</v>
      </c>
      <c r="BC363" s="137">
        <f>$W363*AH363+$L363*Summary_LCIA!Y$32</f>
        <v>1.2466995500254545</v>
      </c>
      <c r="BD363" s="137">
        <f>$W363*AI363+$L363*Summary_LCIA!Z$32</f>
        <v>1.1626169106632642</v>
      </c>
      <c r="BE363" s="137">
        <f>$W363*AJ363+$L363*Summary_LCIA!AA$32</f>
        <v>4.1764874855278862</v>
      </c>
      <c r="BF363" s="137">
        <f>$W363*AK363+$L363*Summary_LCIA!AB$32</f>
        <v>0.23742043349007519</v>
      </c>
      <c r="BG363" s="137">
        <f>$W363*AL363+$L363*Summary_LCIA!AC$32</f>
        <v>1.1727339040231848E-4</v>
      </c>
      <c r="BH363" s="137">
        <f>$W363*AM363+$L363*Summary_LCIA!AD$32</f>
        <v>0.2975075709823049</v>
      </c>
      <c r="BI363" s="137">
        <f>$W363*AN363+$L363*Summary_LCIA!AE$32</f>
        <v>0.74840893600136071</v>
      </c>
      <c r="BJ363" s="137">
        <f>$W363*AO363+$L363*Summary_LCIA!AF$32</f>
        <v>4.1917342420745372E-2</v>
      </c>
      <c r="BK363" s="137">
        <f>$W363*AP363+$L363*Summary_LCIA!AG$32</f>
        <v>1.3890466235745373E-2</v>
      </c>
      <c r="BL363" s="137">
        <f>$W363*AQ363+$L363*Summary_LCIA!AH$32</f>
        <v>1.7960503899355003</v>
      </c>
      <c r="BM363" s="137">
        <f>$W363*AR363+$L363*Summary_LCIA!AI$32</f>
        <v>0.77456642082904115</v>
      </c>
    </row>
    <row r="364" spans="1:65" x14ac:dyDescent="0.25">
      <c r="A364" s="149">
        <v>152</v>
      </c>
      <c r="B364" s="149">
        <v>15</v>
      </c>
      <c r="C364" s="61">
        <v>41.385064</v>
      </c>
      <c r="D364" s="61">
        <v>2.1734040000000001</v>
      </c>
      <c r="E364" s="61" t="s">
        <v>466</v>
      </c>
      <c r="F364" s="149">
        <v>27</v>
      </c>
      <c r="G364" s="61" t="s">
        <v>686</v>
      </c>
      <c r="H364" s="61" t="s">
        <v>687</v>
      </c>
      <c r="I364" s="61">
        <v>41.297445000000003</v>
      </c>
      <c r="J364" s="61">
        <v>2.083294</v>
      </c>
      <c r="K364" s="61">
        <v>12.686920199999999</v>
      </c>
      <c r="L364" s="61">
        <v>16.001000000000001</v>
      </c>
      <c r="M364" s="61" t="s">
        <v>617</v>
      </c>
      <c r="N364" s="149">
        <v>14</v>
      </c>
      <c r="O364" s="149">
        <v>15</v>
      </c>
      <c r="P364" s="61" t="s">
        <v>567</v>
      </c>
      <c r="Q364" s="61" t="s">
        <v>566</v>
      </c>
      <c r="R364" s="61">
        <v>50.037932599999998</v>
      </c>
      <c r="S364" s="61">
        <v>8.5621518000000005</v>
      </c>
      <c r="T364" s="61"/>
      <c r="U364" s="61" t="s">
        <v>622</v>
      </c>
      <c r="V364" s="61" t="s">
        <v>569</v>
      </c>
      <c r="W364" s="61" cm="1">
        <f t="array" ref="W364">getDistance(I364,J364,R364,S364)*SA!$B$12</f>
        <v>1095.2369023856284</v>
      </c>
      <c r="Y364" s="137">
        <f>Transportation_LCIA!C$61*($W364^Transportation_LCIA!C$60)+Transportation_LCIA!C$62</f>
        <v>0.2264351866011447</v>
      </c>
      <c r="Z364" s="137">
        <f>Transportation_LCIA!D$61*($W364^Transportation_LCIA!D$60)+Transportation_LCIA!D$62</f>
        <v>2.3152304492897451</v>
      </c>
      <c r="AA364" s="137">
        <f>Transportation_LCIA!E$61*($W364^Transportation_LCIA!E$60)+Transportation_LCIA!E$62</f>
        <v>1.0718083398219423E-3</v>
      </c>
      <c r="AB364" s="137">
        <f>Transportation_LCIA!F$61*($W364^Transportation_LCIA!F$60)+Transportation_LCIA!F$62</f>
        <v>0.2264351866011447</v>
      </c>
      <c r="AC364" s="137">
        <f>Transportation_LCIA!G$61*($W364^Transportation_LCIA!G$60)+Transportation_LCIA!G$62</f>
        <v>5.4136539992836324E-2</v>
      </c>
      <c r="AD364" s="137">
        <f>Transportation_LCIA!H$61*($W364^Transportation_LCIA!H$60)+Transportation_LCIA!H$62</f>
        <v>2.608680383712866E-4</v>
      </c>
      <c r="AE364" s="137">
        <f>Transportation_LCIA!I$61*($W364^Transportation_LCIA!I$60)+Transportation_LCIA!I$62</f>
        <v>5.5198604378627698E-6</v>
      </c>
      <c r="AF364" s="137">
        <f>Transportation_LCIA!J$61*($W364^Transportation_LCIA!J$60)+Transportation_LCIA!J$62</f>
        <v>8.1667110368101141E-3</v>
      </c>
      <c r="AG364" s="137">
        <f>Transportation_LCIA!K$61*($W364^Transportation_LCIA!K$60)+Transportation_LCIA!K$62</f>
        <v>1.1462109730720352E-2</v>
      </c>
      <c r="AH364" s="137">
        <f>Transportation_LCIA!L$61*($W364^Transportation_LCIA!L$60)+Transportation_LCIA!L$62</f>
        <v>2.2524572299985693E-4</v>
      </c>
      <c r="AI364" s="137">
        <f>Transportation_LCIA!M$61*($W364^Transportation_LCIA!M$60)+Transportation_LCIA!M$62</f>
        <v>2.3481805286866631E-4</v>
      </c>
      <c r="AJ364" s="137">
        <f>Transportation_LCIA!N$61*($W364^Transportation_LCIA!N$60)+Transportation_LCIA!N$62</f>
        <v>9.3629043550798872E-4</v>
      </c>
      <c r="AK364" s="137">
        <f>Transportation_LCIA!O$61*($W364^Transportation_LCIA!O$60)+Transportation_LCIA!O$62</f>
        <v>5.7191195084553182E-5</v>
      </c>
      <c r="AL364" s="137">
        <f>Transportation_LCIA!P$61*($W364^Transportation_LCIA!P$60)+Transportation_LCIA!P$62</f>
        <v>2.7665624299729673E-8</v>
      </c>
      <c r="AM364" s="137">
        <f>Transportation_LCIA!Q$61*($W364^Transportation_LCIA!Q$60)+Transportation_LCIA!Q$62</f>
        <v>8.9233551687982669E-5</v>
      </c>
      <c r="AN364" s="137">
        <f>Transportation_LCIA!R$61*($W364^Transportation_LCIA!R$60)+Transportation_LCIA!R$62</f>
        <v>2.6553765925496408E-4</v>
      </c>
      <c r="AO364" s="137">
        <f>Transportation_LCIA!S$61*($W364^Transportation_LCIA!S$60)+Transportation_LCIA!S$62</f>
        <v>4.0259644405735335E-6</v>
      </c>
      <c r="AP364" s="137">
        <f>Transportation_LCIA!T$61*($W364^Transportation_LCIA!T$60)+Transportation_LCIA!T$62</f>
        <v>4.0259644405735335E-6</v>
      </c>
      <c r="AQ364" s="137">
        <f>Transportation_LCIA!U$61*($W364^Transportation_LCIA!U$60)+Transportation_LCIA!U$62</f>
        <v>5.6903968184353771E-4</v>
      </c>
      <c r="AR364" s="137">
        <f>Transportation_LCIA!V$61*($W364^Transportation_LCIA!V$60)+Transportation_LCIA!V$62</f>
        <v>2.320656434126541E-4</v>
      </c>
      <c r="AT364" s="137">
        <f>$W364*Y364+$L364*Summary_LCIA!H$32</f>
        <v>253.43731216414946</v>
      </c>
      <c r="AU364" s="137">
        <f>$W364*Z364+$L364*Summary_LCIA!Q$32</f>
        <v>2615.02758856742</v>
      </c>
      <c r="AV364" s="137">
        <f>$W364*AA364+$L364*Summary_LCIA!R$32</f>
        <v>1.2581389116576669</v>
      </c>
      <c r="AW364" s="137">
        <f>$W364*AB364+$L364*Summary_LCIA!S$32</f>
        <v>253.36658774414946</v>
      </c>
      <c r="AX364" s="137">
        <f>$W364*AC364+$L364*Summary_LCIA!T$32</f>
        <v>61.050846267629744</v>
      </c>
      <c r="AY364" s="137">
        <f>$W364*AD364+$L364*Summary_LCIA!U$32</f>
        <v>0.57235421627718319</v>
      </c>
      <c r="AZ364" s="137">
        <f>$W364*AE364+$L364*Summary_LCIA!V$32</f>
        <v>6.8097786085657974E-3</v>
      </c>
      <c r="BA364" s="137">
        <f>$W364*AF364+$L364*Summary_LCIA!W$32</f>
        <v>10.176096269634433</v>
      </c>
      <c r="BB364" s="137">
        <f>$W364*AG364+$L364*Summary_LCIA!X$32</f>
        <v>12.918228336278327</v>
      </c>
      <c r="BC364" s="137">
        <f>$W364*AH364+$L364*Summary_LCIA!Y$32</f>
        <v>0.49602500993397458</v>
      </c>
      <c r="BD364" s="137">
        <f>$W364*AI364+$L364*Summary_LCIA!Z$32</f>
        <v>0.25783758185710282</v>
      </c>
      <c r="BE364" s="137">
        <f>$W364*AJ364+$L364*Summary_LCIA!AA$32</f>
        <v>1.3991791923190606</v>
      </c>
      <c r="BF364" s="137">
        <f>$W364*AK364+$L364*Summary_LCIA!AB$32</f>
        <v>6.2288717525138204E-2</v>
      </c>
      <c r="BG364" s="137">
        <f>$W364*AL364+$L364*Summary_LCIA!AC$32</f>
        <v>3.1082605544600497E-5</v>
      </c>
      <c r="BH364" s="137">
        <f>$W364*AM364+$L364*Summary_LCIA!AD$32</f>
        <v>0.10430892977961401</v>
      </c>
      <c r="BI364" s="137">
        <f>$W364*AN364+$L364*Summary_LCIA!AE$32</f>
        <v>0.30500560951913736</v>
      </c>
      <c r="BJ364" s="137">
        <f>$W364*AO364+$L364*Summary_LCIA!AF$32</f>
        <v>1.7936950243008447E-2</v>
      </c>
      <c r="BK364" s="137">
        <f>$W364*AP364+$L364*Summary_LCIA!AG$32</f>
        <v>5.2280759880084463E-3</v>
      </c>
      <c r="BL364" s="137">
        <f>$W364*AQ364+$L364*Summary_LCIA!AH$32</f>
        <v>0.76249956207681979</v>
      </c>
      <c r="BM364" s="137">
        <f>$W364*AR364+$L364*Summary_LCIA!AI$32</f>
        <v>0.2690725879914031</v>
      </c>
    </row>
    <row r="365" spans="1:65" x14ac:dyDescent="0.25">
      <c r="A365" s="149">
        <v>180</v>
      </c>
      <c r="B365" s="149">
        <v>1</v>
      </c>
      <c r="C365" s="61">
        <v>-23.563486999999999</v>
      </c>
      <c r="D365" s="61">
        <v>-46.72101</v>
      </c>
      <c r="E365" s="61" t="s">
        <v>465</v>
      </c>
      <c r="F365" s="149">
        <v>52</v>
      </c>
      <c r="G365" s="61" t="s">
        <v>682</v>
      </c>
      <c r="H365" s="61" t="s">
        <v>683</v>
      </c>
      <c r="I365" s="61">
        <v>-23.430572999999999</v>
      </c>
      <c r="J365" s="61">
        <v>-46.473042999999997</v>
      </c>
      <c r="K365" s="61">
        <v>29.423486180000001</v>
      </c>
      <c r="L365" s="61">
        <v>47.289000000000001</v>
      </c>
      <c r="M365" s="61" t="s">
        <v>617</v>
      </c>
      <c r="N365" s="149">
        <v>0</v>
      </c>
      <c r="O365" s="149">
        <v>1</v>
      </c>
      <c r="P365" s="61" t="s">
        <v>565</v>
      </c>
      <c r="Q365" s="61" t="s">
        <v>558</v>
      </c>
      <c r="R365" s="61">
        <v>33.640728199999998</v>
      </c>
      <c r="S365" s="61">
        <v>-84.427700099999996</v>
      </c>
      <c r="T365" s="61"/>
      <c r="U365" s="61" t="s">
        <v>622</v>
      </c>
      <c r="V365" s="61" t="s">
        <v>569</v>
      </c>
      <c r="W365" s="61" cm="1">
        <f t="array" ref="W365">getDistance(I365,J365,R365,S365)*SA!$B$12</f>
        <v>7504.2467822738536</v>
      </c>
      <c r="Y365" s="137">
        <f>Transportation_LCIA!C$61*($W365^Transportation_LCIA!C$60)+Transportation_LCIA!C$62</f>
        <v>0.13467692643305482</v>
      </c>
      <c r="Z365" s="137">
        <f>Transportation_LCIA!D$61*($W365^Transportation_LCIA!D$60)+Transportation_LCIA!D$62</f>
        <v>1.281122121518028</v>
      </c>
      <c r="AA365" s="137">
        <f>Transportation_LCIA!E$61*($W365^Transportation_LCIA!E$60)+Transportation_LCIA!E$62</f>
        <v>3.9846873057456544E-4</v>
      </c>
      <c r="AB365" s="137">
        <f>Transportation_LCIA!F$61*($W365^Transportation_LCIA!F$60)+Transportation_LCIA!F$62</f>
        <v>0.13467692643305482</v>
      </c>
      <c r="AC365" s="137">
        <f>Transportation_LCIA!G$61*($W365^Transportation_LCIA!G$60)+Transportation_LCIA!G$62</f>
        <v>3.0163272083294036E-2</v>
      </c>
      <c r="AD365" s="137">
        <f>Transportation_LCIA!H$61*($W365^Transportation_LCIA!H$60)+Transportation_LCIA!H$62</f>
        <v>1.1561123509205936E-4</v>
      </c>
      <c r="AE365" s="137">
        <f>Transportation_LCIA!I$61*($W365^Transportation_LCIA!I$60)+Transportation_LCIA!I$62</f>
        <v>1.9726938522060428E-6</v>
      </c>
      <c r="AF365" s="137">
        <f>Transportation_LCIA!J$61*($W365^Transportation_LCIA!J$60)+Transportation_LCIA!J$62</f>
        <v>2.9867891430907108E-3</v>
      </c>
      <c r="AG365" s="137">
        <f>Transportation_LCIA!K$61*($W365^Transportation_LCIA!K$60)+Transportation_LCIA!K$62</f>
        <v>5.962739513866968E-3</v>
      </c>
      <c r="AH365" s="137">
        <f>Transportation_LCIA!L$61*($W365^Transportation_LCIA!L$60)+Transportation_LCIA!L$62</f>
        <v>9.2861753650151202E-5</v>
      </c>
      <c r="AI365" s="137">
        <f>Transportation_LCIA!M$61*($W365^Transportation_LCIA!M$60)+Transportation_LCIA!M$62</f>
        <v>1.5473502668157449E-4</v>
      </c>
      <c r="AJ365" s="137">
        <f>Transportation_LCIA!N$61*($W365^Transportation_LCIA!N$60)+Transportation_LCIA!N$62</f>
        <v>4.4672362340835792E-4</v>
      </c>
      <c r="AK365" s="137">
        <f>Transportation_LCIA!O$61*($W365^Transportation_LCIA!O$60)+Transportation_LCIA!O$62</f>
        <v>3.1740760745464363E-5</v>
      </c>
      <c r="AL365" s="137">
        <f>Transportation_LCIA!P$61*($W365^Transportation_LCIA!P$60)+Transportation_LCIA!P$62</f>
        <v>1.5397737314191349E-8</v>
      </c>
      <c r="AM365" s="137">
        <f>Transportation_LCIA!Q$61*($W365^Transportation_LCIA!Q$60)+Transportation_LCIA!Q$62</f>
        <v>3.7712406149915079E-5</v>
      </c>
      <c r="AN365" s="137">
        <f>Transportation_LCIA!R$61*($W365^Transportation_LCIA!R$60)+Transportation_LCIA!R$62</f>
        <v>9.5564563306387018E-5</v>
      </c>
      <c r="AO365" s="137">
        <f>Transportation_LCIA!S$61*($W365^Transportation_LCIA!S$60)+Transportation_LCIA!S$62</f>
        <v>1.6104223690100325E-6</v>
      </c>
      <c r="AP365" s="137">
        <f>Transportation_LCIA!T$61*($W365^Transportation_LCIA!T$60)+Transportation_LCIA!T$62</f>
        <v>1.6104223690100325E-6</v>
      </c>
      <c r="AQ365" s="137">
        <f>Transportation_LCIA!U$61*($W365^Transportation_LCIA!U$60)+Transportation_LCIA!U$62</f>
        <v>1.9841117968728933E-4</v>
      </c>
      <c r="AR365" s="137">
        <f>Transportation_LCIA!V$61*($W365^Transportation_LCIA!V$60)+Transportation_LCIA!V$62</f>
        <v>9.8836677084105837E-5</v>
      </c>
      <c r="AT365" s="137">
        <f>$W365*Y365+$L365*Summary_LCIA!H$32</f>
        <v>1026.717694031784</v>
      </c>
      <c r="AU365" s="137">
        <f>$W365*Z365+$L365*Summary_LCIA!Q$32</f>
        <v>9848.2232270276509</v>
      </c>
      <c r="AV365" s="137">
        <f>$W365*AA365+$L365*Summary_LCIA!R$32</f>
        <v>3.23921264765093</v>
      </c>
      <c r="AW365" s="137">
        <f>$W365*AB365+$L365*Summary_LCIA!S$32</f>
        <v>1026.5086766517841</v>
      </c>
      <c r="AX365" s="137">
        <f>$W365*AC365+$L365*Summary_LCIA!T$32</f>
        <v>231.54969857391004</v>
      </c>
      <c r="AY365" s="137">
        <f>$W365*AD365+$L365*Summary_LCIA!U$32</f>
        <v>1.7147103849342924</v>
      </c>
      <c r="AZ365" s="137">
        <f>$W365*AE365+$L365*Summary_LCIA!V$32</f>
        <v>1.7062151421828608E-2</v>
      </c>
      <c r="BA365" s="137">
        <f>$W365*AF365+$L365*Summary_LCIA!W$32</f>
        <v>26.053484435368947</v>
      </c>
      <c r="BB365" s="137">
        <f>$W365*AG365+$L365*Summary_LCIA!X$32</f>
        <v>45.823112230473356</v>
      </c>
      <c r="BC365" s="137">
        <f>$W365*AH365+$L365*Summary_LCIA!Y$32</f>
        <v>1.4337147140254545</v>
      </c>
      <c r="BD365" s="137">
        <f>$W365*AI365+$L365*Summary_LCIA!Z$32</f>
        <v>1.1631091006812644</v>
      </c>
      <c r="BE365" s="137">
        <f>$W365*AJ365+$L365*Summary_LCIA!AA$32</f>
        <v>4.4568061975278868</v>
      </c>
      <c r="BF365" s="137">
        <f>$W365*AK365+$L365*Summary_LCIA!AB$32</f>
        <v>0.23715851384407519</v>
      </c>
      <c r="BG365" s="137">
        <f>$W365*AL365+$L365*Summary_LCIA!AC$32</f>
        <v>1.1786009617031848E-4</v>
      </c>
      <c r="BH365" s="137">
        <f>$W365*AM365+$L365*Summary_LCIA!AD$32</f>
        <v>0.30244087306230494</v>
      </c>
      <c r="BI365" s="137">
        <f>$W365*AN365+$L365*Summary_LCIA!AE$32</f>
        <v>0.75904426826136073</v>
      </c>
      <c r="BJ365" s="137">
        <f>$W365*AO365+$L365*Summary_LCIA!AF$32</f>
        <v>5.2064073260745379E-2</v>
      </c>
      <c r="BK365" s="137">
        <f>$W365*AP365+$L365*Summary_LCIA!AG$32</f>
        <v>1.4504548565745373E-2</v>
      </c>
      <c r="BL365" s="137">
        <f>$W365*AQ365+$L365*Summary_LCIA!AH$32</f>
        <v>1.9005109971355003</v>
      </c>
      <c r="BM365" s="137">
        <f>$W365*AR365+$L365*Summary_LCIA!AI$32</f>
        <v>0.78574688392904124</v>
      </c>
    </row>
    <row r="366" spans="1:65" x14ac:dyDescent="0.25">
      <c r="A366" s="149">
        <v>184</v>
      </c>
      <c r="B366" s="149">
        <v>15</v>
      </c>
      <c r="C366" s="61">
        <v>41.598080000000003</v>
      </c>
      <c r="D366" s="61">
        <v>2.0106459999999999</v>
      </c>
      <c r="E366" s="61" t="s">
        <v>466</v>
      </c>
      <c r="F366" s="149">
        <v>27</v>
      </c>
      <c r="G366" s="61" t="s">
        <v>686</v>
      </c>
      <c r="H366" s="61" t="s">
        <v>687</v>
      </c>
      <c r="I366" s="61">
        <v>41.297445000000003</v>
      </c>
      <c r="J366" s="61">
        <v>2.083294</v>
      </c>
      <c r="K366" s="61">
        <v>34.112855140000001</v>
      </c>
      <c r="L366" s="61">
        <v>46.094000000000001</v>
      </c>
      <c r="M366" s="61" t="s">
        <v>617</v>
      </c>
      <c r="N366" s="149">
        <v>14</v>
      </c>
      <c r="O366" s="149">
        <v>15</v>
      </c>
      <c r="P366" s="61" t="s">
        <v>567</v>
      </c>
      <c r="Q366" s="61" t="s">
        <v>566</v>
      </c>
      <c r="R366" s="61">
        <v>50.037932599999998</v>
      </c>
      <c r="S366" s="61">
        <v>8.5621518000000005</v>
      </c>
      <c r="T366" s="61"/>
      <c r="U366" s="61" t="s">
        <v>622</v>
      </c>
      <c r="V366" s="61" t="s">
        <v>569</v>
      </c>
      <c r="W366" s="61" cm="1">
        <f t="array" ref="W366">getDistance(I366,J366,R366,S366)*SA!$B$12</f>
        <v>1095.2369023856284</v>
      </c>
      <c r="Y366" s="137">
        <f>Transportation_LCIA!C$61*($W366^Transportation_LCIA!C$60)+Transportation_LCIA!C$62</f>
        <v>0.2264351866011447</v>
      </c>
      <c r="Z366" s="137">
        <f>Transportation_LCIA!D$61*($W366^Transportation_LCIA!D$60)+Transportation_LCIA!D$62</f>
        <v>2.3152304492897451</v>
      </c>
      <c r="AA366" s="137">
        <f>Transportation_LCIA!E$61*($W366^Transportation_LCIA!E$60)+Transportation_LCIA!E$62</f>
        <v>1.0718083398219423E-3</v>
      </c>
      <c r="AB366" s="137">
        <f>Transportation_LCIA!F$61*($W366^Transportation_LCIA!F$60)+Transportation_LCIA!F$62</f>
        <v>0.2264351866011447</v>
      </c>
      <c r="AC366" s="137">
        <f>Transportation_LCIA!G$61*($W366^Transportation_LCIA!G$60)+Transportation_LCIA!G$62</f>
        <v>5.4136539992836324E-2</v>
      </c>
      <c r="AD366" s="137">
        <f>Transportation_LCIA!H$61*($W366^Transportation_LCIA!H$60)+Transportation_LCIA!H$62</f>
        <v>2.608680383712866E-4</v>
      </c>
      <c r="AE366" s="137">
        <f>Transportation_LCIA!I$61*($W366^Transportation_LCIA!I$60)+Transportation_LCIA!I$62</f>
        <v>5.5198604378627698E-6</v>
      </c>
      <c r="AF366" s="137">
        <f>Transportation_LCIA!J$61*($W366^Transportation_LCIA!J$60)+Transportation_LCIA!J$62</f>
        <v>8.1667110368101141E-3</v>
      </c>
      <c r="AG366" s="137">
        <f>Transportation_LCIA!K$61*($W366^Transportation_LCIA!K$60)+Transportation_LCIA!K$62</f>
        <v>1.1462109730720352E-2</v>
      </c>
      <c r="AH366" s="137">
        <f>Transportation_LCIA!L$61*($W366^Transportation_LCIA!L$60)+Transportation_LCIA!L$62</f>
        <v>2.2524572299985693E-4</v>
      </c>
      <c r="AI366" s="137">
        <f>Transportation_LCIA!M$61*($W366^Transportation_LCIA!M$60)+Transportation_LCIA!M$62</f>
        <v>2.3481805286866631E-4</v>
      </c>
      <c r="AJ366" s="137">
        <f>Transportation_LCIA!N$61*($W366^Transportation_LCIA!N$60)+Transportation_LCIA!N$62</f>
        <v>9.3629043550798872E-4</v>
      </c>
      <c r="AK366" s="137">
        <f>Transportation_LCIA!O$61*($W366^Transportation_LCIA!O$60)+Transportation_LCIA!O$62</f>
        <v>5.7191195084553182E-5</v>
      </c>
      <c r="AL366" s="137">
        <f>Transportation_LCIA!P$61*($W366^Transportation_LCIA!P$60)+Transportation_LCIA!P$62</f>
        <v>2.7665624299729673E-8</v>
      </c>
      <c r="AM366" s="137">
        <f>Transportation_LCIA!Q$61*($W366^Transportation_LCIA!Q$60)+Transportation_LCIA!Q$62</f>
        <v>8.9233551687982669E-5</v>
      </c>
      <c r="AN366" s="137">
        <f>Transportation_LCIA!R$61*($W366^Transportation_LCIA!R$60)+Transportation_LCIA!R$62</f>
        <v>2.6553765925496408E-4</v>
      </c>
      <c r="AO366" s="137">
        <f>Transportation_LCIA!S$61*($W366^Transportation_LCIA!S$60)+Transportation_LCIA!S$62</f>
        <v>4.0259644405735335E-6</v>
      </c>
      <c r="AP366" s="137">
        <f>Transportation_LCIA!T$61*($W366^Transportation_LCIA!T$60)+Transportation_LCIA!T$62</f>
        <v>4.0259644405735335E-6</v>
      </c>
      <c r="AQ366" s="137">
        <f>Transportation_LCIA!U$61*($W366^Transportation_LCIA!U$60)+Transportation_LCIA!U$62</f>
        <v>5.6903968184353771E-4</v>
      </c>
      <c r="AR366" s="137">
        <f>Transportation_LCIA!V$61*($W366^Transportation_LCIA!V$60)+Transportation_LCIA!V$62</f>
        <v>2.320656434126541E-4</v>
      </c>
      <c r="AT366" s="137">
        <f>$W366*Y366+$L366*Summary_LCIA!H$32</f>
        <v>263.66291356414945</v>
      </c>
      <c r="AU366" s="137">
        <f>$W366*Z366+$L366*Summary_LCIA!Q$32</f>
        <v>2764.1700142476889</v>
      </c>
      <c r="AV366" s="137">
        <f>$W366*AA366+$L366*Summary_LCIA!R$32</f>
        <v>1.416596612457667</v>
      </c>
      <c r="AW366" s="137">
        <f>$W366*AB366+$L366*Summary_LCIA!S$32</f>
        <v>263.45917808414947</v>
      </c>
      <c r="AX366" s="137">
        <f>$W366*AC366+$L366*Summary_LCIA!T$32</f>
        <v>64.358066967629739</v>
      </c>
      <c r="AY366" s="137">
        <f>$W366*AD366+$L366*Summary_LCIA!U$32</f>
        <v>1.1114402182771832</v>
      </c>
      <c r="AZ366" s="137">
        <f>$W366*AE366+$L366*Summary_LCIA!V$32</f>
        <v>8.2470503815657986E-3</v>
      </c>
      <c r="BA366" s="137">
        <f>$W366*AF366+$L366*Summary_LCIA!W$32</f>
        <v>12.492384572634432</v>
      </c>
      <c r="BB366" s="137">
        <f>$W366*AG366+$L366*Summary_LCIA!X$32</f>
        <v>13.603746876278327</v>
      </c>
      <c r="BC366" s="137">
        <f>$W366*AH366+$L366*Summary_LCIA!Y$32</f>
        <v>0.9649341359339747</v>
      </c>
      <c r="BD366" s="137">
        <f>$W366*AI366+$L366*Summary_LCIA!Z$32</f>
        <v>0.25907166569410284</v>
      </c>
      <c r="BE366" s="137">
        <f>$W366*AJ366+$L366*Summary_LCIA!AA$32</f>
        <v>2.1020313003190605</v>
      </c>
      <c r="BF366" s="137">
        <f>$W366*AK366+$L366*Summary_LCIA!AB$32</f>
        <v>6.1631997986138207E-2</v>
      </c>
      <c r="BG366" s="137">
        <f>$W366*AL366+$L366*Summary_LCIA!AC$32</f>
        <v>3.2553671756600498E-5</v>
      </c>
      <c r="BH366" s="137">
        <f>$W366*AM366+$L366*Summary_LCIA!AD$32</f>
        <v>0.116678356499614</v>
      </c>
      <c r="BI366" s="137">
        <f>$W366*AN366+$L366*Summary_LCIA!AE$32</f>
        <v>0.33167191960913733</v>
      </c>
      <c r="BJ366" s="137">
        <f>$W366*AO366+$L366*Summary_LCIA!AF$32</f>
        <v>4.337817430300845E-2</v>
      </c>
      <c r="BK366" s="137">
        <f>$W366*AP366+$L366*Summary_LCIA!AG$32</f>
        <v>6.7677843330084461E-3</v>
      </c>
      <c r="BL366" s="137">
        <f>$W366*AQ366+$L366*Summary_LCIA!AH$32</f>
        <v>1.0244169968768198</v>
      </c>
      <c r="BM366" s="137">
        <f>$W366*AR366+$L366*Summary_LCIA!AI$32</f>
        <v>0.29710572214140307</v>
      </c>
    </row>
    <row r="367" spans="1:65" x14ac:dyDescent="0.25">
      <c r="A367" s="149">
        <v>191</v>
      </c>
      <c r="B367" s="149">
        <v>15</v>
      </c>
      <c r="C367" s="61">
        <v>51.379922000000001</v>
      </c>
      <c r="D367" s="61">
        <v>-2.3322959999999999</v>
      </c>
      <c r="E367" s="61" t="s">
        <v>463</v>
      </c>
      <c r="F367" s="149">
        <v>7</v>
      </c>
      <c r="G367" s="61" t="s">
        <v>628</v>
      </c>
      <c r="H367" s="61" t="s">
        <v>629</v>
      </c>
      <c r="I367" s="61">
        <v>51.470022</v>
      </c>
      <c r="J367" s="61">
        <v>-0.45429599999999998</v>
      </c>
      <c r="K367" s="61">
        <v>150.26940870000001</v>
      </c>
      <c r="L367" s="61">
        <v>198.47900000000001</v>
      </c>
      <c r="M367" s="61" t="s">
        <v>589</v>
      </c>
      <c r="N367" s="149">
        <v>14</v>
      </c>
      <c r="O367" s="149">
        <v>15</v>
      </c>
      <c r="P367" s="61" t="s">
        <v>567</v>
      </c>
      <c r="Q367" s="61" t="s">
        <v>566</v>
      </c>
      <c r="R367" s="61">
        <v>50.037932599999998</v>
      </c>
      <c r="S367" s="61">
        <v>8.5621518000000005</v>
      </c>
      <c r="T367" s="61"/>
      <c r="U367" s="61" t="s">
        <v>622</v>
      </c>
      <c r="V367" s="61" t="s">
        <v>569</v>
      </c>
      <c r="W367" s="61" cm="1">
        <f t="array" ref="W367">getDistance(I367,J367,R367,S367)*SA!$B$12</f>
        <v>655.49865109245718</v>
      </c>
      <c r="Y367" s="137">
        <f>Transportation_LCIA!C$61*($W367^Transportation_LCIA!C$60)+Transportation_LCIA!C$62</f>
        <v>0.28808630932385726</v>
      </c>
      <c r="Z367" s="137">
        <f>Transportation_LCIA!D$61*($W367^Transportation_LCIA!D$60)+Transportation_LCIA!D$62</f>
        <v>3.0403453180333315</v>
      </c>
      <c r="AA367" s="137">
        <f>Transportation_LCIA!E$61*($W367^Transportation_LCIA!E$60)+Transportation_LCIA!E$62</f>
        <v>1.5496127326841335E-3</v>
      </c>
      <c r="AB367" s="137">
        <f>Transportation_LCIA!F$61*($W367^Transportation_LCIA!F$60)+Transportation_LCIA!F$62</f>
        <v>0.28808630932385726</v>
      </c>
      <c r="AC367" s="137">
        <f>Transportation_LCIA!G$61*($W367^Transportation_LCIA!G$60)+Transportation_LCIA!G$62</f>
        <v>7.0904955875308692E-2</v>
      </c>
      <c r="AD367" s="137">
        <f>Transportation_LCIA!H$61*($W367^Transportation_LCIA!H$60)+Transportation_LCIA!H$62</f>
        <v>3.6638661442350167E-4</v>
      </c>
      <c r="AE367" s="137">
        <f>Transportation_LCIA!I$61*($W367^Transportation_LCIA!I$60)+Transportation_LCIA!I$62</f>
        <v>8.1949302872625628E-6</v>
      </c>
      <c r="AF367" s="137">
        <f>Transportation_LCIA!J$61*($W367^Transportation_LCIA!J$60)+Transportation_LCIA!J$62</f>
        <v>1.216906133974993E-2</v>
      </c>
      <c r="AG367" s="137">
        <f>Transportation_LCIA!K$61*($W367^Transportation_LCIA!K$60)+Transportation_LCIA!K$62</f>
        <v>1.5391950999787709E-2</v>
      </c>
      <c r="AH367" s="137">
        <f>Transportation_LCIA!L$61*($W367^Transportation_LCIA!L$60)+Transportation_LCIA!L$62</f>
        <v>3.224475626051792E-4</v>
      </c>
      <c r="AI367" s="137">
        <f>Transportation_LCIA!M$61*($W367^Transportation_LCIA!M$60)+Transportation_LCIA!M$62</f>
        <v>2.9306665716547056E-4</v>
      </c>
      <c r="AJ367" s="137">
        <f>Transportation_LCIA!N$61*($W367^Transportation_LCIA!N$60)+Transportation_LCIA!N$62</f>
        <v>1.2908631335785605E-3</v>
      </c>
      <c r="AK367" s="137">
        <f>Transportation_LCIA!O$61*($W367^Transportation_LCIA!O$60)+Transportation_LCIA!O$62</f>
        <v>7.5013630480399058E-5</v>
      </c>
      <c r="AL367" s="137">
        <f>Transportation_LCIA!P$61*($W367^Transportation_LCIA!P$60)+Transportation_LCIA!P$62</f>
        <v>3.622947059126279E-8</v>
      </c>
      <c r="AM367" s="137">
        <f>Transportation_LCIA!Q$61*($W367^Transportation_LCIA!Q$60)+Transportation_LCIA!Q$62</f>
        <v>1.2728062224719001E-4</v>
      </c>
      <c r="AN367" s="137">
        <f>Transportation_LCIA!R$61*($W367^Transportation_LCIA!R$60)+Transportation_LCIA!R$62</f>
        <v>3.9383707879712856E-4</v>
      </c>
      <c r="AO367" s="137">
        <f>Transportation_LCIA!S$61*($W367^Transportation_LCIA!S$60)+Transportation_LCIA!S$62</f>
        <v>5.8462294863061377E-6</v>
      </c>
      <c r="AP367" s="137">
        <f>Transportation_LCIA!T$61*($W367^Transportation_LCIA!T$60)+Transportation_LCIA!T$62</f>
        <v>5.8462294863061377E-6</v>
      </c>
      <c r="AQ367" s="137">
        <f>Transportation_LCIA!U$61*($W367^Transportation_LCIA!U$60)+Transportation_LCIA!U$62</f>
        <v>8.5078004970210494E-4</v>
      </c>
      <c r="AR367" s="137">
        <f>Transportation_LCIA!V$61*($W367^Transportation_LCIA!V$60)+Transportation_LCIA!V$62</f>
        <v>3.311828503124549E-4</v>
      </c>
      <c r="AT367" s="137">
        <f>$W367*Y367+$L367*Summary_LCIA!H$34</f>
        <v>203.61933045799282</v>
      </c>
      <c r="AU367" s="137">
        <f ca="1">$W367*Z367+$L367*Summary_LCIA!Q$34</f>
        <v>2238.0815301072867</v>
      </c>
      <c r="AV367" s="137">
        <f ca="1">$W367*AA367+$L367*Summary_LCIA!R$34</f>
        <v>1.523200467390146</v>
      </c>
      <c r="AW367" s="137">
        <f ca="1">$W367*AB367+$L367*Summary_LCIA!S$34</f>
        <v>203.41608796199282</v>
      </c>
      <c r="AX367" s="137">
        <f ca="1">$W367*AC367+$L367*Summary_LCIA!T$34</f>
        <v>50.595152829035044</v>
      </c>
      <c r="AY367" s="137">
        <f ca="1">$W367*AD367+$L367*Summary_LCIA!U$34</f>
        <v>0.60528789993293763</v>
      </c>
      <c r="AZ367" s="137">
        <f ca="1">$W367*AE367+$L367*Summary_LCIA!V$34</f>
        <v>2.1467023296097336E-2</v>
      </c>
      <c r="BA367" s="137">
        <f ca="1">$W367*AF367+$L367*Summary_LCIA!W$34</f>
        <v>18.009718264267448</v>
      </c>
      <c r="BB367" s="137">
        <f ca="1">$W367*AG367+$L367*Summary_LCIA!X$34</f>
        <v>12.198044014042042</v>
      </c>
      <c r="BC367" s="137">
        <f ca="1">$W367*AH367+$L367*Summary_LCIA!Y$34</f>
        <v>0.55147755673574561</v>
      </c>
      <c r="BD367" s="137">
        <f ca="1">$W367*AI367+$L367*Summary_LCIA!Z$34</f>
        <v>0.19776244234714158</v>
      </c>
      <c r="BE367" s="137">
        <f ca="1">$W367*AJ367+$L367*Summary_LCIA!AA$34</f>
        <v>1.2555418282057287</v>
      </c>
      <c r="BF367" s="137">
        <f ca="1">$W367*AK367+$L367*Summary_LCIA!AB$34</f>
        <v>4.7794107660349611E-2</v>
      </c>
      <c r="BG367" s="137">
        <f ca="1">$W367*AL367+$L367*Summary_LCIA!AC$34</f>
        <v>2.4479188628266605E-5</v>
      </c>
      <c r="BH367" s="137">
        <f ca="1">$W367*AM367+$L367*Summary_LCIA!AD$34</f>
        <v>0.10549917141324164</v>
      </c>
      <c r="BI367" s="137">
        <f ca="1">$W367*AN367+$L367*Summary_LCIA!AE$34</f>
        <v>0.31769146516171154</v>
      </c>
      <c r="BJ367" s="137">
        <f ca="1">$W367*AO367+$L367*Summary_LCIA!AF$34</f>
        <v>5.1042410482250625E-2</v>
      </c>
      <c r="BK367" s="137">
        <f ca="1">$W367*AP367+$L367*Summary_LCIA!AG$34</f>
        <v>4.3756508921506225E-3</v>
      </c>
      <c r="BL367" s="137">
        <f ca="1">$W367*AQ367+$L367*Summary_LCIA!AH$34</f>
        <v>1.0098798806561036</v>
      </c>
      <c r="BM367" s="137">
        <f ca="1">$W367*AR367+$L367*Summary_LCIA!AI$34</f>
        <v>0.27281289089476934</v>
      </c>
    </row>
    <row r="368" spans="1:65" x14ac:dyDescent="0.25">
      <c r="A368" s="149">
        <v>192</v>
      </c>
      <c r="B368" s="149">
        <v>15</v>
      </c>
      <c r="C368" s="61">
        <v>51.379922000000001</v>
      </c>
      <c r="D368" s="61">
        <v>-2.3322959999999999</v>
      </c>
      <c r="E368" s="61" t="s">
        <v>463</v>
      </c>
      <c r="F368" s="149">
        <v>7</v>
      </c>
      <c r="G368" s="61" t="s">
        <v>628</v>
      </c>
      <c r="H368" s="61" t="s">
        <v>629</v>
      </c>
      <c r="I368" s="61">
        <v>51.470022</v>
      </c>
      <c r="J368" s="61">
        <v>-0.45429599999999998</v>
      </c>
      <c r="K368" s="61">
        <v>150.26940870000001</v>
      </c>
      <c r="L368" s="61">
        <v>198.47900000000001</v>
      </c>
      <c r="M368" s="61" t="s">
        <v>589</v>
      </c>
      <c r="N368" s="149">
        <v>14</v>
      </c>
      <c r="O368" s="149">
        <v>15</v>
      </c>
      <c r="P368" s="61" t="s">
        <v>567</v>
      </c>
      <c r="Q368" s="61" t="s">
        <v>566</v>
      </c>
      <c r="R368" s="61">
        <v>50.037932599999998</v>
      </c>
      <c r="S368" s="61">
        <v>8.5621518000000005</v>
      </c>
      <c r="T368" s="61"/>
      <c r="U368" s="61" t="s">
        <v>622</v>
      </c>
      <c r="V368" s="61" t="s">
        <v>569</v>
      </c>
      <c r="W368" s="61" cm="1">
        <f t="array" ref="W368">getDistance(I368,J368,R368,S368)*SA!$B$12</f>
        <v>655.49865109245718</v>
      </c>
      <c r="Y368" s="137">
        <f>Transportation_LCIA!C$61*($W368^Transportation_LCIA!C$60)+Transportation_LCIA!C$62</f>
        <v>0.28808630932385726</v>
      </c>
      <c r="Z368" s="137">
        <f>Transportation_LCIA!D$61*($W368^Transportation_LCIA!D$60)+Transportation_LCIA!D$62</f>
        <v>3.0403453180333315</v>
      </c>
      <c r="AA368" s="137">
        <f>Transportation_LCIA!E$61*($W368^Transportation_LCIA!E$60)+Transportation_LCIA!E$62</f>
        <v>1.5496127326841335E-3</v>
      </c>
      <c r="AB368" s="137">
        <f>Transportation_LCIA!F$61*($W368^Transportation_LCIA!F$60)+Transportation_LCIA!F$62</f>
        <v>0.28808630932385726</v>
      </c>
      <c r="AC368" s="137">
        <f>Transportation_LCIA!G$61*($W368^Transportation_LCIA!G$60)+Transportation_LCIA!G$62</f>
        <v>7.0904955875308692E-2</v>
      </c>
      <c r="AD368" s="137">
        <f>Transportation_LCIA!H$61*($W368^Transportation_LCIA!H$60)+Transportation_LCIA!H$62</f>
        <v>3.6638661442350167E-4</v>
      </c>
      <c r="AE368" s="137">
        <f>Transportation_LCIA!I$61*($W368^Transportation_LCIA!I$60)+Transportation_LCIA!I$62</f>
        <v>8.1949302872625628E-6</v>
      </c>
      <c r="AF368" s="137">
        <f>Transportation_LCIA!J$61*($W368^Transportation_LCIA!J$60)+Transportation_LCIA!J$62</f>
        <v>1.216906133974993E-2</v>
      </c>
      <c r="AG368" s="137">
        <f>Transportation_LCIA!K$61*($W368^Transportation_LCIA!K$60)+Transportation_LCIA!K$62</f>
        <v>1.5391950999787709E-2</v>
      </c>
      <c r="AH368" s="137">
        <f>Transportation_LCIA!L$61*($W368^Transportation_LCIA!L$60)+Transportation_LCIA!L$62</f>
        <v>3.224475626051792E-4</v>
      </c>
      <c r="AI368" s="137">
        <f>Transportation_LCIA!M$61*($W368^Transportation_LCIA!M$60)+Transportation_LCIA!M$62</f>
        <v>2.9306665716547056E-4</v>
      </c>
      <c r="AJ368" s="137">
        <f>Transportation_LCIA!N$61*($W368^Transportation_LCIA!N$60)+Transportation_LCIA!N$62</f>
        <v>1.2908631335785605E-3</v>
      </c>
      <c r="AK368" s="137">
        <f>Transportation_LCIA!O$61*($W368^Transportation_LCIA!O$60)+Transportation_LCIA!O$62</f>
        <v>7.5013630480399058E-5</v>
      </c>
      <c r="AL368" s="137">
        <f>Transportation_LCIA!P$61*($W368^Transportation_LCIA!P$60)+Transportation_LCIA!P$62</f>
        <v>3.622947059126279E-8</v>
      </c>
      <c r="AM368" s="137">
        <f>Transportation_LCIA!Q$61*($W368^Transportation_LCIA!Q$60)+Transportation_LCIA!Q$62</f>
        <v>1.2728062224719001E-4</v>
      </c>
      <c r="AN368" s="137">
        <f>Transportation_LCIA!R$61*($W368^Transportation_LCIA!R$60)+Transportation_LCIA!R$62</f>
        <v>3.9383707879712856E-4</v>
      </c>
      <c r="AO368" s="137">
        <f>Transportation_LCIA!S$61*($W368^Transportation_LCIA!S$60)+Transportation_LCIA!S$62</f>
        <v>5.8462294863061377E-6</v>
      </c>
      <c r="AP368" s="137">
        <f>Transportation_LCIA!T$61*($W368^Transportation_LCIA!T$60)+Transportation_LCIA!T$62</f>
        <v>5.8462294863061377E-6</v>
      </c>
      <c r="AQ368" s="137">
        <f>Transportation_LCIA!U$61*($W368^Transportation_LCIA!U$60)+Transportation_LCIA!U$62</f>
        <v>8.5078004970210494E-4</v>
      </c>
      <c r="AR368" s="137">
        <f>Transportation_LCIA!V$61*($W368^Transportation_LCIA!V$60)+Transportation_LCIA!V$62</f>
        <v>3.311828503124549E-4</v>
      </c>
      <c r="AT368" s="137">
        <f>$W368*Y368+$L368*Summary_LCIA!H$34</f>
        <v>203.61933045799282</v>
      </c>
      <c r="AU368" s="137">
        <f ca="1">$W368*Z368+$L368*Summary_LCIA!Q$34</f>
        <v>2238.0815301072867</v>
      </c>
      <c r="AV368" s="137">
        <f ca="1">$W368*AA368+$L368*Summary_LCIA!R$34</f>
        <v>1.523200467390146</v>
      </c>
      <c r="AW368" s="137">
        <f ca="1">$W368*AB368+$L368*Summary_LCIA!S$34</f>
        <v>203.41608796199282</v>
      </c>
      <c r="AX368" s="137">
        <f ca="1">$W368*AC368+$L368*Summary_LCIA!T$34</f>
        <v>50.595152829035044</v>
      </c>
      <c r="AY368" s="137">
        <f ca="1">$W368*AD368+$L368*Summary_LCIA!U$34</f>
        <v>0.60528789993293763</v>
      </c>
      <c r="AZ368" s="137">
        <f ca="1">$W368*AE368+$L368*Summary_LCIA!V$34</f>
        <v>2.1467023296097336E-2</v>
      </c>
      <c r="BA368" s="137">
        <f ca="1">$W368*AF368+$L368*Summary_LCIA!W$34</f>
        <v>18.009718264267448</v>
      </c>
      <c r="BB368" s="137">
        <f ca="1">$W368*AG368+$L368*Summary_LCIA!X$34</f>
        <v>12.198044014042042</v>
      </c>
      <c r="BC368" s="137">
        <f ca="1">$W368*AH368+$L368*Summary_LCIA!Y$34</f>
        <v>0.55147755673574561</v>
      </c>
      <c r="BD368" s="137">
        <f ca="1">$W368*AI368+$L368*Summary_LCIA!Z$34</f>
        <v>0.19776244234714158</v>
      </c>
      <c r="BE368" s="137">
        <f ca="1">$W368*AJ368+$L368*Summary_LCIA!AA$34</f>
        <v>1.2555418282057287</v>
      </c>
      <c r="BF368" s="137">
        <f ca="1">$W368*AK368+$L368*Summary_LCIA!AB$34</f>
        <v>4.7794107660349611E-2</v>
      </c>
      <c r="BG368" s="137">
        <f ca="1">$W368*AL368+$L368*Summary_LCIA!AC$34</f>
        <v>2.4479188628266605E-5</v>
      </c>
      <c r="BH368" s="137">
        <f ca="1">$W368*AM368+$L368*Summary_LCIA!AD$34</f>
        <v>0.10549917141324164</v>
      </c>
      <c r="BI368" s="137">
        <f ca="1">$W368*AN368+$L368*Summary_LCIA!AE$34</f>
        <v>0.31769146516171154</v>
      </c>
      <c r="BJ368" s="137">
        <f ca="1">$W368*AO368+$L368*Summary_LCIA!AF$34</f>
        <v>5.1042410482250625E-2</v>
      </c>
      <c r="BK368" s="137">
        <f ca="1">$W368*AP368+$L368*Summary_LCIA!AG$34</f>
        <v>4.3756508921506225E-3</v>
      </c>
      <c r="BL368" s="137">
        <f ca="1">$W368*AQ368+$L368*Summary_LCIA!AH$34</f>
        <v>1.0098798806561036</v>
      </c>
      <c r="BM368" s="137">
        <f ca="1">$W368*AR368+$L368*Summary_LCIA!AI$34</f>
        <v>0.27281289089476934</v>
      </c>
    </row>
    <row r="369" spans="1:65" x14ac:dyDescent="0.25">
      <c r="A369" s="149">
        <v>210</v>
      </c>
      <c r="B369" s="149">
        <v>15</v>
      </c>
      <c r="C369" s="61">
        <v>45.434493000000003</v>
      </c>
      <c r="D369" s="61">
        <v>12.326169</v>
      </c>
      <c r="E369" s="61" t="s">
        <v>421</v>
      </c>
      <c r="F369" s="149">
        <v>38</v>
      </c>
      <c r="G369" s="61" t="s">
        <v>698</v>
      </c>
      <c r="H369" s="61" t="s">
        <v>699</v>
      </c>
      <c r="I369" s="61">
        <v>45.434497</v>
      </c>
      <c r="J369" s="61">
        <v>12.323981</v>
      </c>
      <c r="K369" s="61">
        <v>334.31596839999997</v>
      </c>
      <c r="L369" s="61">
        <v>0.29699999999999999</v>
      </c>
      <c r="M369" s="61" t="s">
        <v>589</v>
      </c>
      <c r="N369" s="149">
        <v>14</v>
      </c>
      <c r="O369" s="149">
        <v>15</v>
      </c>
      <c r="P369" s="61" t="s">
        <v>567</v>
      </c>
      <c r="Q369" s="61" t="s">
        <v>566</v>
      </c>
      <c r="R369" s="61">
        <v>50.037932599999998</v>
      </c>
      <c r="S369" s="61">
        <v>8.5621518000000005</v>
      </c>
      <c r="T369" s="61"/>
      <c r="U369" s="61" t="s">
        <v>622</v>
      </c>
      <c r="V369" s="61" t="s">
        <v>569</v>
      </c>
      <c r="W369" s="61" cm="1">
        <f t="array" ref="W369">getDistance(I369,J369,R369,S369)*SA!$B$12</f>
        <v>584.95313949846002</v>
      </c>
      <c r="Y369" s="137">
        <f>Transportation_LCIA!C$61*($W369^Transportation_LCIA!C$60)+Transportation_LCIA!C$62</f>
        <v>0.30574623046614952</v>
      </c>
      <c r="Z369" s="137">
        <f>Transportation_LCIA!D$61*($W369^Transportation_LCIA!D$60)+Transportation_LCIA!D$62</f>
        <v>3.2507376071015406</v>
      </c>
      <c r="AA369" s="137">
        <f>Transportation_LCIA!E$61*($W369^Transportation_LCIA!E$60)+Transportation_LCIA!E$62</f>
        <v>1.6887479023184712E-3</v>
      </c>
      <c r="AB369" s="137">
        <f>Transportation_LCIA!F$61*($W369^Transportation_LCIA!F$60)+Transportation_LCIA!F$62</f>
        <v>0.30574623046614952</v>
      </c>
      <c r="AC369" s="137">
        <f>Transportation_LCIA!G$61*($W369^Transportation_LCIA!G$60)+Transportation_LCIA!G$62</f>
        <v>7.5766680505384543E-2</v>
      </c>
      <c r="AD369" s="137">
        <f>Transportation_LCIA!H$61*($W369^Transportation_LCIA!H$60)+Transportation_LCIA!H$62</f>
        <v>3.9733235517551955E-4</v>
      </c>
      <c r="AE369" s="137">
        <f>Transportation_LCIA!I$61*($W369^Transportation_LCIA!I$60)+Transportation_LCIA!I$62</f>
        <v>8.9884636137525969E-6</v>
      </c>
      <c r="AF369" s="137">
        <f>Transportation_LCIA!J$61*($W369^Transportation_LCIA!J$60)+Transportation_LCIA!J$62</f>
        <v>1.3365187640031041E-2</v>
      </c>
      <c r="AG369" s="137">
        <f>Transportation_LCIA!K$61*($W369^Transportation_LCIA!K$60)+Transportation_LCIA!K$62</f>
        <v>1.6538740865555596E-2</v>
      </c>
      <c r="AH369" s="137">
        <f>Transportation_LCIA!L$61*($W369^Transportation_LCIA!L$60)+Transportation_LCIA!L$62</f>
        <v>3.5104714365999959E-4</v>
      </c>
      <c r="AI369" s="137">
        <f>Transportation_LCIA!M$61*($W369^Transportation_LCIA!M$60)+Transportation_LCIA!M$62</f>
        <v>3.1015600170514814E-4</v>
      </c>
      <c r="AJ369" s="137">
        <f>Transportation_LCIA!N$61*($W369^Transportation_LCIA!N$60)+Transportation_LCIA!N$62</f>
        <v>1.3947552630796185E-3</v>
      </c>
      <c r="AK369" s="137">
        <f>Transportation_LCIA!O$61*($W369^Transportation_LCIA!O$60)+Transportation_LCIA!O$62</f>
        <v>8.0182771249620618E-5</v>
      </c>
      <c r="AL369" s="137">
        <f>Transportation_LCIA!P$61*($W369^Transportation_LCIA!P$60)+Transportation_LCIA!P$62</f>
        <v>3.8710923614024024E-8</v>
      </c>
      <c r="AM369" s="137">
        <f>Transportation_LCIA!Q$61*($W369^Transportation_LCIA!Q$60)+Transportation_LCIA!Q$62</f>
        <v>1.3849478631109845E-4</v>
      </c>
      <c r="AN369" s="137">
        <f>Transportation_LCIA!R$61*($W369^Transportation_LCIA!R$60)+Transportation_LCIA!R$62</f>
        <v>4.3190633337534618E-4</v>
      </c>
      <c r="AO369" s="137">
        <f>Transportation_LCIA!S$61*($W369^Transportation_LCIA!S$60)+Transportation_LCIA!S$62</f>
        <v>6.3860664665247732E-6</v>
      </c>
      <c r="AP369" s="137">
        <f>Transportation_LCIA!T$61*($W369^Transportation_LCIA!T$60)+Transportation_LCIA!T$62</f>
        <v>6.3860664665247732E-6</v>
      </c>
      <c r="AQ369" s="137">
        <f>Transportation_LCIA!U$61*($W369^Transportation_LCIA!U$60)+Transportation_LCIA!U$62</f>
        <v>9.3455951796051785E-4</v>
      </c>
      <c r="AR369" s="137">
        <f>Transportation_LCIA!V$61*($W369^Transportation_LCIA!V$60)+Transportation_LCIA!V$62</f>
        <v>3.6046312647041275E-4</v>
      </c>
      <c r="AT369" s="137">
        <f>$W369*Y369+$L369*Summary_LCIA!H$34</f>
        <v>178.86933261499385</v>
      </c>
      <c r="AU369" s="137">
        <f ca="1">$W369*Z369+$L369*Summary_LCIA!Q$34</f>
        <v>1901.8959904610674</v>
      </c>
      <c r="AV369" s="137">
        <f ca="1">$W369*AA369+$L369*Summary_LCIA!R$34</f>
        <v>0.98859769748262838</v>
      </c>
      <c r="AW369" s="137">
        <f ca="1">$W369*AB369+$L369*Summary_LCIA!S$34</f>
        <v>178.86902848699387</v>
      </c>
      <c r="AX369" s="137">
        <f ca="1">$W369*AC369+$L369*Summary_LCIA!T$34</f>
        <v>44.326118302001461</v>
      </c>
      <c r="AY369" s="137">
        <f ca="1">$W369*AD369+$L369*Summary_LCIA!U$34</f>
        <v>0.23296716978423737</v>
      </c>
      <c r="AZ369" s="137">
        <f ca="1">$W369*AE369+$L369*Summary_LCIA!V$34</f>
        <v>5.2819146311322554E-3</v>
      </c>
      <c r="BA369" s="137">
        <f ca="1">$W369*AF369+$L369*Summary_LCIA!W$34</f>
        <v>7.8330215230221709</v>
      </c>
      <c r="BB369" s="137">
        <f ca="1">$W369*AG369+$L369*Summary_LCIA!X$34</f>
        <v>9.6775437206582247</v>
      </c>
      <c r="BC369" s="137">
        <f ca="1">$W369*AH369+$L369*Summary_LCIA!Y$34</f>
        <v>0.20585506799588368</v>
      </c>
      <c r="BD369" s="137">
        <f ca="1">$W369*AI369+$L369*Summary_LCIA!Z$34</f>
        <v>0.18143519291671614</v>
      </c>
      <c r="BE369" s="137">
        <f ca="1">$W369*AJ369+$L369*Summary_LCIA!AA$34</f>
        <v>0.81647906217042343</v>
      </c>
      <c r="BF369" s="137">
        <f ca="1">$W369*AK369+$L369*Summary_LCIA!AB$34</f>
        <v>4.690110292285244E-2</v>
      </c>
      <c r="BG369" s="137">
        <f ca="1">$W369*AL369+$L369*Summary_LCIA!AC$34</f>
        <v>2.2645169884608423E-5</v>
      </c>
      <c r="BH369" s="137">
        <f ca="1">$W369*AM369+$L369*Summary_LCIA!AD$34</f>
        <v>8.104598051684539E-2</v>
      </c>
      <c r="BI369" s="137">
        <f ca="1">$W369*AN369+$L369*Summary_LCIA!AE$34</f>
        <v>0.25273404785717724</v>
      </c>
      <c r="BJ369" s="137">
        <f ca="1">$W369*AO369+$L369*Summary_LCIA!AF$34</f>
        <v>3.8061940486395032E-3</v>
      </c>
      <c r="BK369" s="137">
        <f ca="1">$W369*AP369+$L369*Summary_LCIA!AG$34</f>
        <v>3.7363628443395033E-3</v>
      </c>
      <c r="BL369" s="137">
        <f ca="1">$W369*AQ369+$L369*Summary_LCIA!AH$34</f>
        <v>0.54735017917917239</v>
      </c>
      <c r="BM369" s="137">
        <f ca="1">$W369*AR369+$L369*Summary_LCIA!AI$34</f>
        <v>0.21093742025229839</v>
      </c>
    </row>
    <row r="370" spans="1:65" x14ac:dyDescent="0.25">
      <c r="A370" s="149">
        <v>212</v>
      </c>
      <c r="B370" s="149">
        <v>15</v>
      </c>
      <c r="C370" s="61">
        <v>50.908388000000002</v>
      </c>
      <c r="D370" s="61">
        <v>-1.4015599999999999</v>
      </c>
      <c r="E370" s="61" t="s">
        <v>463</v>
      </c>
      <c r="F370" s="149">
        <v>7</v>
      </c>
      <c r="G370" s="61" t="s">
        <v>628</v>
      </c>
      <c r="H370" s="61" t="s">
        <v>629</v>
      </c>
      <c r="I370" s="61">
        <v>51.470022</v>
      </c>
      <c r="J370" s="61">
        <v>-0.45429599999999998</v>
      </c>
      <c r="K370" s="61">
        <v>98.568014770000005</v>
      </c>
      <c r="L370" s="61">
        <v>158.30799999999999</v>
      </c>
      <c r="M370" s="61" t="s">
        <v>589</v>
      </c>
      <c r="N370" s="149">
        <v>14</v>
      </c>
      <c r="O370" s="149">
        <v>15</v>
      </c>
      <c r="P370" s="61" t="s">
        <v>567</v>
      </c>
      <c r="Q370" s="61" t="s">
        <v>566</v>
      </c>
      <c r="R370" s="61">
        <v>50.037932599999998</v>
      </c>
      <c r="S370" s="61">
        <v>8.5621518000000005</v>
      </c>
      <c r="T370" s="61"/>
      <c r="U370" s="61" t="s">
        <v>622</v>
      </c>
      <c r="V370" s="61" t="s">
        <v>569</v>
      </c>
      <c r="W370" s="61" cm="1">
        <f t="array" ref="W370">getDistance(I370,J370,R370,S370)*SA!$B$12</f>
        <v>655.49865109245718</v>
      </c>
      <c r="Y370" s="137">
        <f>Transportation_LCIA!C$61*($W370^Transportation_LCIA!C$60)+Transportation_LCIA!C$62</f>
        <v>0.28808630932385726</v>
      </c>
      <c r="Z370" s="137">
        <f>Transportation_LCIA!D$61*($W370^Transportation_LCIA!D$60)+Transportation_LCIA!D$62</f>
        <v>3.0403453180333315</v>
      </c>
      <c r="AA370" s="137">
        <f>Transportation_LCIA!E$61*($W370^Transportation_LCIA!E$60)+Transportation_LCIA!E$62</f>
        <v>1.5496127326841335E-3</v>
      </c>
      <c r="AB370" s="137">
        <f>Transportation_LCIA!F$61*($W370^Transportation_LCIA!F$60)+Transportation_LCIA!F$62</f>
        <v>0.28808630932385726</v>
      </c>
      <c r="AC370" s="137">
        <f>Transportation_LCIA!G$61*($W370^Transportation_LCIA!G$60)+Transportation_LCIA!G$62</f>
        <v>7.0904955875308692E-2</v>
      </c>
      <c r="AD370" s="137">
        <f>Transportation_LCIA!H$61*($W370^Transportation_LCIA!H$60)+Transportation_LCIA!H$62</f>
        <v>3.6638661442350167E-4</v>
      </c>
      <c r="AE370" s="137">
        <f>Transportation_LCIA!I$61*($W370^Transportation_LCIA!I$60)+Transportation_LCIA!I$62</f>
        <v>8.1949302872625628E-6</v>
      </c>
      <c r="AF370" s="137">
        <f>Transportation_LCIA!J$61*($W370^Transportation_LCIA!J$60)+Transportation_LCIA!J$62</f>
        <v>1.216906133974993E-2</v>
      </c>
      <c r="AG370" s="137">
        <f>Transportation_LCIA!K$61*($W370^Transportation_LCIA!K$60)+Transportation_LCIA!K$62</f>
        <v>1.5391950999787709E-2</v>
      </c>
      <c r="AH370" s="137">
        <f>Transportation_LCIA!L$61*($W370^Transportation_LCIA!L$60)+Transportation_LCIA!L$62</f>
        <v>3.224475626051792E-4</v>
      </c>
      <c r="AI370" s="137">
        <f>Transportation_LCIA!M$61*($W370^Transportation_LCIA!M$60)+Transportation_LCIA!M$62</f>
        <v>2.9306665716547056E-4</v>
      </c>
      <c r="AJ370" s="137">
        <f>Transportation_LCIA!N$61*($W370^Transportation_LCIA!N$60)+Transportation_LCIA!N$62</f>
        <v>1.2908631335785605E-3</v>
      </c>
      <c r="AK370" s="137">
        <f>Transportation_LCIA!O$61*($W370^Transportation_LCIA!O$60)+Transportation_LCIA!O$62</f>
        <v>7.5013630480399058E-5</v>
      </c>
      <c r="AL370" s="137">
        <f>Transportation_LCIA!P$61*($W370^Transportation_LCIA!P$60)+Transportation_LCIA!P$62</f>
        <v>3.622947059126279E-8</v>
      </c>
      <c r="AM370" s="137">
        <f>Transportation_LCIA!Q$61*($W370^Transportation_LCIA!Q$60)+Transportation_LCIA!Q$62</f>
        <v>1.2728062224719001E-4</v>
      </c>
      <c r="AN370" s="137">
        <f>Transportation_LCIA!R$61*($W370^Transportation_LCIA!R$60)+Transportation_LCIA!R$62</f>
        <v>3.9383707879712856E-4</v>
      </c>
      <c r="AO370" s="137">
        <f>Transportation_LCIA!S$61*($W370^Transportation_LCIA!S$60)+Transportation_LCIA!S$62</f>
        <v>5.8462294863061377E-6</v>
      </c>
      <c r="AP370" s="137">
        <f>Transportation_LCIA!T$61*($W370^Transportation_LCIA!T$60)+Transportation_LCIA!T$62</f>
        <v>5.8462294863061377E-6</v>
      </c>
      <c r="AQ370" s="137">
        <f>Transportation_LCIA!U$61*($W370^Transportation_LCIA!U$60)+Transportation_LCIA!U$62</f>
        <v>8.5078004970210494E-4</v>
      </c>
      <c r="AR370" s="137">
        <f>Transportation_LCIA!V$61*($W370^Transportation_LCIA!V$60)+Transportation_LCIA!V$62</f>
        <v>3.311828503124549E-4</v>
      </c>
      <c r="AT370" s="137">
        <f>$W370*Y370+$L370*Summary_LCIA!H$34</f>
        <v>200.62811745599282</v>
      </c>
      <c r="AU370" s="137">
        <f ca="1">$W370*Z370+$L370*Summary_LCIA!Q$34</f>
        <v>2188.4667606489566</v>
      </c>
      <c r="AV370" s="137">
        <f ca="1">$W370*AA370+$L370*Summary_LCIA!R$34</f>
        <v>1.420499288790146</v>
      </c>
      <c r="AW370" s="137">
        <f ca="1">$W370*AB370+$L370*Summary_LCIA!S$34</f>
        <v>200.4660100639928</v>
      </c>
      <c r="AX370" s="137">
        <f ca="1">$W370*AC370+$L370*Summary_LCIA!T$34</f>
        <v>49.761885776035044</v>
      </c>
      <c r="AY370" s="137">
        <f ca="1">$W370*AD370+$L370*Summary_LCIA!U$34</f>
        <v>0.53138932833293751</v>
      </c>
      <c r="AZ370" s="137">
        <f ca="1">$W370*AE370+$L370*Summary_LCIA!V$34</f>
        <v>1.8209436393097331E-2</v>
      </c>
      <c r="BA370" s="137">
        <f ca="1">$W370*AF370+$L370*Summary_LCIA!W$34</f>
        <v>15.979114385267447</v>
      </c>
      <c r="BB370" s="137">
        <f ca="1">$W370*AG370+$L370*Summary_LCIA!X$34</f>
        <v>11.771267310042042</v>
      </c>
      <c r="BC370" s="137">
        <f ca="1">$W370*AH370+$L370*Summary_LCIA!Y$34</f>
        <v>0.48264053113574557</v>
      </c>
      <c r="BD370" s="137">
        <f ca="1">$W370*AI370+$L370*Summary_LCIA!Z$34</f>
        <v>0.19661736799214158</v>
      </c>
      <c r="BE370" s="137">
        <f ca="1">$W370*AJ370+$L370*Summary_LCIA!AA$34</f>
        <v>1.1726851236057287</v>
      </c>
      <c r="BF370" s="137">
        <f ca="1">$W370*AK370+$L370*Summary_LCIA!AB$34</f>
        <v>4.8072850212249614E-2</v>
      </c>
      <c r="BG370" s="137">
        <f ca="1">$W370*AL370+$L370*Summary_LCIA!AC$34</f>
        <v>2.4331274989166605E-5</v>
      </c>
      <c r="BH370" s="137">
        <f ca="1">$W370*AM370+$L370*Summary_LCIA!AD$34</f>
        <v>0.10103295963324165</v>
      </c>
      <c r="BI370" s="137">
        <f ca="1">$W370*AN370+$L370*Summary_LCIA!AE$34</f>
        <v>0.30564257542171153</v>
      </c>
      <c r="BJ370" s="137">
        <f ca="1">$W370*AO370+$L370*Summary_LCIA!AF$34</f>
        <v>4.1487336422250623E-2</v>
      </c>
      <c r="BK370" s="137">
        <f ca="1">$W370*AP370+$L370*Summary_LCIA!AG$34</f>
        <v>4.2656586770506225E-3</v>
      </c>
      <c r="BL370" s="137">
        <f ca="1">$W370*AQ370+$L370*Summary_LCIA!AH$34</f>
        <v>0.91835829135610347</v>
      </c>
      <c r="BM370" s="137">
        <f ca="1">$W370*AR370+$L370*Summary_LCIA!AI$34</f>
        <v>0.26153488264476932</v>
      </c>
    </row>
    <row r="371" spans="1:65" x14ac:dyDescent="0.25">
      <c r="A371" s="149">
        <v>213</v>
      </c>
      <c r="B371" s="149">
        <v>15</v>
      </c>
      <c r="C371" s="61">
        <v>50.908388000000002</v>
      </c>
      <c r="D371" s="61">
        <v>-1.4015599999999999</v>
      </c>
      <c r="E371" s="61" t="s">
        <v>463</v>
      </c>
      <c r="F371" s="149">
        <v>7</v>
      </c>
      <c r="G371" s="61" t="s">
        <v>628</v>
      </c>
      <c r="H371" s="61" t="s">
        <v>629</v>
      </c>
      <c r="I371" s="61">
        <v>51.470022</v>
      </c>
      <c r="J371" s="61">
        <v>-0.45429599999999998</v>
      </c>
      <c r="K371" s="61">
        <v>98.568014770000005</v>
      </c>
      <c r="L371" s="61">
        <v>158.30799999999999</v>
      </c>
      <c r="M371" s="61" t="s">
        <v>589</v>
      </c>
      <c r="N371" s="149">
        <v>14</v>
      </c>
      <c r="O371" s="149">
        <v>15</v>
      </c>
      <c r="P371" s="61" t="s">
        <v>567</v>
      </c>
      <c r="Q371" s="61" t="s">
        <v>566</v>
      </c>
      <c r="R371" s="61">
        <v>50.037932599999998</v>
      </c>
      <c r="S371" s="61">
        <v>8.5621518000000005</v>
      </c>
      <c r="T371" s="61"/>
      <c r="U371" s="61" t="s">
        <v>622</v>
      </c>
      <c r="V371" s="61" t="s">
        <v>569</v>
      </c>
      <c r="W371" s="61" cm="1">
        <f t="array" ref="W371">getDistance(I371,J371,R371,S371)*SA!$B$12</f>
        <v>655.49865109245718</v>
      </c>
      <c r="Y371" s="137">
        <f>Transportation_LCIA!C$61*($W371^Transportation_LCIA!C$60)+Transportation_LCIA!C$62</f>
        <v>0.28808630932385726</v>
      </c>
      <c r="Z371" s="137">
        <f>Transportation_LCIA!D$61*($W371^Transportation_LCIA!D$60)+Transportation_LCIA!D$62</f>
        <v>3.0403453180333315</v>
      </c>
      <c r="AA371" s="137">
        <f>Transportation_LCIA!E$61*($W371^Transportation_LCIA!E$60)+Transportation_LCIA!E$62</f>
        <v>1.5496127326841335E-3</v>
      </c>
      <c r="AB371" s="137">
        <f>Transportation_LCIA!F$61*($W371^Transportation_LCIA!F$60)+Transportation_LCIA!F$62</f>
        <v>0.28808630932385726</v>
      </c>
      <c r="AC371" s="137">
        <f>Transportation_LCIA!G$61*($W371^Transportation_LCIA!G$60)+Transportation_LCIA!G$62</f>
        <v>7.0904955875308692E-2</v>
      </c>
      <c r="AD371" s="137">
        <f>Transportation_LCIA!H$61*($W371^Transportation_LCIA!H$60)+Transportation_LCIA!H$62</f>
        <v>3.6638661442350167E-4</v>
      </c>
      <c r="AE371" s="137">
        <f>Transportation_LCIA!I$61*($W371^Transportation_LCIA!I$60)+Transportation_LCIA!I$62</f>
        <v>8.1949302872625628E-6</v>
      </c>
      <c r="AF371" s="137">
        <f>Transportation_LCIA!J$61*($W371^Transportation_LCIA!J$60)+Transportation_LCIA!J$62</f>
        <v>1.216906133974993E-2</v>
      </c>
      <c r="AG371" s="137">
        <f>Transportation_LCIA!K$61*($W371^Transportation_LCIA!K$60)+Transportation_LCIA!K$62</f>
        <v>1.5391950999787709E-2</v>
      </c>
      <c r="AH371" s="137">
        <f>Transportation_LCIA!L$61*($W371^Transportation_LCIA!L$60)+Transportation_LCIA!L$62</f>
        <v>3.224475626051792E-4</v>
      </c>
      <c r="AI371" s="137">
        <f>Transportation_LCIA!M$61*($W371^Transportation_LCIA!M$60)+Transportation_LCIA!M$62</f>
        <v>2.9306665716547056E-4</v>
      </c>
      <c r="AJ371" s="137">
        <f>Transportation_LCIA!N$61*($W371^Transportation_LCIA!N$60)+Transportation_LCIA!N$62</f>
        <v>1.2908631335785605E-3</v>
      </c>
      <c r="AK371" s="137">
        <f>Transportation_LCIA!O$61*($W371^Transportation_LCIA!O$60)+Transportation_LCIA!O$62</f>
        <v>7.5013630480399058E-5</v>
      </c>
      <c r="AL371" s="137">
        <f>Transportation_LCIA!P$61*($W371^Transportation_LCIA!P$60)+Transportation_LCIA!P$62</f>
        <v>3.622947059126279E-8</v>
      </c>
      <c r="AM371" s="137">
        <f>Transportation_LCIA!Q$61*($W371^Transportation_LCIA!Q$60)+Transportation_LCIA!Q$62</f>
        <v>1.2728062224719001E-4</v>
      </c>
      <c r="AN371" s="137">
        <f>Transportation_LCIA!R$61*($W371^Transportation_LCIA!R$60)+Transportation_LCIA!R$62</f>
        <v>3.9383707879712856E-4</v>
      </c>
      <c r="AO371" s="137">
        <f>Transportation_LCIA!S$61*($W371^Transportation_LCIA!S$60)+Transportation_LCIA!S$62</f>
        <v>5.8462294863061377E-6</v>
      </c>
      <c r="AP371" s="137">
        <f>Transportation_LCIA!T$61*($W371^Transportation_LCIA!T$60)+Transportation_LCIA!T$62</f>
        <v>5.8462294863061377E-6</v>
      </c>
      <c r="AQ371" s="137">
        <f>Transportation_LCIA!U$61*($W371^Transportation_LCIA!U$60)+Transportation_LCIA!U$62</f>
        <v>8.5078004970210494E-4</v>
      </c>
      <c r="AR371" s="137">
        <f>Transportation_LCIA!V$61*($W371^Transportation_LCIA!V$60)+Transportation_LCIA!V$62</f>
        <v>3.311828503124549E-4</v>
      </c>
      <c r="AT371" s="137">
        <f>$W371*Y371+$L371*Summary_LCIA!H$34</f>
        <v>200.62811745599282</v>
      </c>
      <c r="AU371" s="137">
        <f ca="1">$W371*Z371+$L371*Summary_LCIA!Q$34</f>
        <v>2188.4667606489566</v>
      </c>
      <c r="AV371" s="137">
        <f ca="1">$W371*AA371+$L371*Summary_LCIA!R$34</f>
        <v>1.420499288790146</v>
      </c>
      <c r="AW371" s="137">
        <f ca="1">$W371*AB371+$L371*Summary_LCIA!S$34</f>
        <v>200.4660100639928</v>
      </c>
      <c r="AX371" s="137">
        <f ca="1">$W371*AC371+$L371*Summary_LCIA!T$34</f>
        <v>49.761885776035044</v>
      </c>
      <c r="AY371" s="137">
        <f ca="1">$W371*AD371+$L371*Summary_LCIA!U$34</f>
        <v>0.53138932833293751</v>
      </c>
      <c r="AZ371" s="137">
        <f ca="1">$W371*AE371+$L371*Summary_LCIA!V$34</f>
        <v>1.8209436393097331E-2</v>
      </c>
      <c r="BA371" s="137">
        <f ca="1">$W371*AF371+$L371*Summary_LCIA!W$34</f>
        <v>15.979114385267447</v>
      </c>
      <c r="BB371" s="137">
        <f ca="1">$W371*AG371+$L371*Summary_LCIA!X$34</f>
        <v>11.771267310042042</v>
      </c>
      <c r="BC371" s="137">
        <f ca="1">$W371*AH371+$L371*Summary_LCIA!Y$34</f>
        <v>0.48264053113574557</v>
      </c>
      <c r="BD371" s="137">
        <f ca="1">$W371*AI371+$L371*Summary_LCIA!Z$34</f>
        <v>0.19661736799214158</v>
      </c>
      <c r="BE371" s="137">
        <f ca="1">$W371*AJ371+$L371*Summary_LCIA!AA$34</f>
        <v>1.1726851236057287</v>
      </c>
      <c r="BF371" s="137">
        <f ca="1">$W371*AK371+$L371*Summary_LCIA!AB$34</f>
        <v>4.8072850212249614E-2</v>
      </c>
      <c r="BG371" s="137">
        <f ca="1">$W371*AL371+$L371*Summary_LCIA!AC$34</f>
        <v>2.4331274989166605E-5</v>
      </c>
      <c r="BH371" s="137">
        <f ca="1">$W371*AM371+$L371*Summary_LCIA!AD$34</f>
        <v>0.10103295963324165</v>
      </c>
      <c r="BI371" s="137">
        <f ca="1">$W371*AN371+$L371*Summary_LCIA!AE$34</f>
        <v>0.30564257542171153</v>
      </c>
      <c r="BJ371" s="137">
        <f ca="1">$W371*AO371+$L371*Summary_LCIA!AF$34</f>
        <v>4.1487336422250623E-2</v>
      </c>
      <c r="BK371" s="137">
        <f ca="1">$W371*AP371+$L371*Summary_LCIA!AG$34</f>
        <v>4.2656586770506225E-3</v>
      </c>
      <c r="BL371" s="137">
        <f ca="1">$W371*AQ371+$L371*Summary_LCIA!AH$34</f>
        <v>0.91835829135610347</v>
      </c>
      <c r="BM371" s="137">
        <f ca="1">$W371*AR371+$L371*Summary_LCIA!AI$34</f>
        <v>0.26153488264476932</v>
      </c>
    </row>
    <row r="372" spans="1:65" x14ac:dyDescent="0.25">
      <c r="A372" s="149">
        <v>225</v>
      </c>
      <c r="B372" s="149">
        <v>15</v>
      </c>
      <c r="C372" s="61">
        <v>55.864237000000003</v>
      </c>
      <c r="D372" s="61">
        <v>-4.2518060000000002</v>
      </c>
      <c r="E372" s="61" t="s">
        <v>463</v>
      </c>
      <c r="F372" s="149">
        <v>7</v>
      </c>
      <c r="G372" s="61" t="s">
        <v>628</v>
      </c>
      <c r="H372" s="61" t="s">
        <v>702</v>
      </c>
      <c r="I372" s="61">
        <v>53.358806000000001</v>
      </c>
      <c r="J372" s="61">
        <v>-2.2749190000000001</v>
      </c>
      <c r="K372" s="61">
        <v>565.56637360000002</v>
      </c>
      <c r="L372" s="61">
        <v>391.911</v>
      </c>
      <c r="M372" s="61" t="s">
        <v>589</v>
      </c>
      <c r="N372" s="149">
        <v>14</v>
      </c>
      <c r="O372" s="149">
        <v>15</v>
      </c>
      <c r="P372" s="61" t="s">
        <v>567</v>
      </c>
      <c r="Q372" s="61" t="s">
        <v>566</v>
      </c>
      <c r="R372" s="61">
        <v>50.037932599999998</v>
      </c>
      <c r="S372" s="61">
        <v>8.5621518000000005</v>
      </c>
      <c r="T372" s="61"/>
      <c r="U372" s="61" t="s">
        <v>622</v>
      </c>
      <c r="V372" s="61" t="s">
        <v>569</v>
      </c>
      <c r="W372" s="61" cm="1">
        <f t="array" ref="W372">getDistance(I372,J372,R372,S372)*SA!$B$12</f>
        <v>834.45951356708247</v>
      </c>
      <c r="Y372" s="137">
        <f>Transportation_LCIA!C$61*($W372^Transportation_LCIA!C$60)+Transportation_LCIA!C$62</f>
        <v>0.25578761515395765</v>
      </c>
      <c r="Z372" s="137">
        <f>Transportation_LCIA!D$61*($W372^Transportation_LCIA!D$60)+Transportation_LCIA!D$62</f>
        <v>2.6584554831640039</v>
      </c>
      <c r="AA372" s="137">
        <f>Transportation_LCIA!E$61*($W372^Transportation_LCIA!E$60)+Transportation_LCIA!E$62</f>
        <v>1.2976004287997794E-3</v>
      </c>
      <c r="AB372" s="137">
        <f>Transportation_LCIA!F$61*($W372^Transportation_LCIA!F$60)+Transportation_LCIA!F$62</f>
        <v>0.25578761515395765</v>
      </c>
      <c r="AC372" s="137">
        <f>Transportation_LCIA!G$61*($W372^Transportation_LCIA!G$60)+Transportation_LCIA!G$62</f>
        <v>6.2076387065224892E-2</v>
      </c>
      <c r="AD372" s="137">
        <f>Transportation_LCIA!H$61*($W372^Transportation_LCIA!H$60)+Transportation_LCIA!H$62</f>
        <v>3.1057016417771567E-4</v>
      </c>
      <c r="AE372" s="137">
        <f>Transportation_LCIA!I$61*($W372^Transportation_LCIA!I$60)+Transportation_LCIA!I$62</f>
        <v>6.773283996403457E-6</v>
      </c>
      <c r="AF372" s="137">
        <f>Transportation_LCIA!J$61*($W372^Transportation_LCIA!J$60)+Transportation_LCIA!J$62</f>
        <v>1.0035587537395835E-2</v>
      </c>
      <c r="AG372" s="137">
        <f>Transportation_LCIA!K$61*($W372^Transportation_LCIA!K$60)+Transportation_LCIA!K$62</f>
        <v>1.3317400969705059E-2</v>
      </c>
      <c r="AH372" s="137">
        <f>Transportation_LCIA!L$61*($W372^Transportation_LCIA!L$60)+Transportation_LCIA!L$62</f>
        <v>2.7096205446478584E-4</v>
      </c>
      <c r="AI372" s="137">
        <f>Transportation_LCIA!M$61*($W372^Transportation_LCIA!M$60)+Transportation_LCIA!M$62</f>
        <v>2.622498652937841E-4</v>
      </c>
      <c r="AJ372" s="137">
        <f>Transportation_LCIA!N$61*($W372^Transportation_LCIA!N$60)+Transportation_LCIA!N$62</f>
        <v>1.1033734706359408E-3</v>
      </c>
      <c r="AK372" s="137">
        <f>Transportation_LCIA!O$61*($W372^Transportation_LCIA!O$60)+Transportation_LCIA!O$62</f>
        <v>6.5628766150605593E-5</v>
      </c>
      <c r="AL372" s="137">
        <f>Transportation_LCIA!P$61*($W372^Transportation_LCIA!P$60)+Transportation_LCIA!P$62</f>
        <v>3.1721717308493248E-8</v>
      </c>
      <c r="AM372" s="137">
        <f>Transportation_LCIA!Q$61*($W372^Transportation_LCIA!Q$60)+Transportation_LCIA!Q$62</f>
        <v>1.0711358134759958E-4</v>
      </c>
      <c r="AN372" s="137">
        <f>Transportation_LCIA!R$61*($W372^Transportation_LCIA!R$60)+Transportation_LCIA!R$62</f>
        <v>3.2564563735062877E-4</v>
      </c>
      <c r="AO372" s="137">
        <f>Transportation_LCIA!S$61*($W372^Transportation_LCIA!S$60)+Transportation_LCIA!S$62</f>
        <v>4.8789555695481221E-6</v>
      </c>
      <c r="AP372" s="137">
        <f>Transportation_LCIA!T$61*($W372^Transportation_LCIA!T$60)+Transportation_LCIA!T$62</f>
        <v>4.8789555695481221E-6</v>
      </c>
      <c r="AQ372" s="137">
        <f>Transportation_LCIA!U$61*($W372^Transportation_LCIA!U$60)+Transportation_LCIA!U$62</f>
        <v>7.0090245999337509E-4</v>
      </c>
      <c r="AR372" s="137">
        <f>Transportation_LCIA!V$61*($W372^Transportation_LCIA!V$60)+Transportation_LCIA!V$62</f>
        <v>2.7859686284207273E-4</v>
      </c>
      <c r="AT372" s="137">
        <f>$W372*Y372+$L372*Summary_LCIA!H$34</f>
        <v>242.62688579985559</v>
      </c>
      <c r="AU372" s="137">
        <f ca="1">$W372*Z372+$L372*Summary_LCIA!Q$34</f>
        <v>2702.4185245393082</v>
      </c>
      <c r="AV372" s="137">
        <f ca="1">$W372*AA372+$L372*Summary_LCIA!R$34</f>
        <v>2.0847546852207017</v>
      </c>
      <c r="AW372" s="137">
        <f ca="1">$W372*AB372+$L372*Summary_LCIA!S$34</f>
        <v>242.22556893585559</v>
      </c>
      <c r="AX372" s="137">
        <f ca="1">$W372*AC372+$L372*Summary_LCIA!T$34</f>
        <v>59.929641627449492</v>
      </c>
      <c r="AY372" s="137">
        <f ca="1">$W372*AD372+$L372*Summary_LCIA!U$34</f>
        <v>0.98011770372818563</v>
      </c>
      <c r="AZ372" s="137">
        <f ca="1">$W372*AE372+$L372*Summary_LCIA!V$34</f>
        <v>3.7433269991890533E-2</v>
      </c>
      <c r="BA372" s="137">
        <f ca="1">$W372*AF372+$L372*Summary_LCIA!W$34</f>
        <v>28.185000633815203</v>
      </c>
      <c r="BB372" s="137">
        <f ca="1">$W372*AG372+$L372*Summary_LCIA!X$34</f>
        <v>15.276494399157876</v>
      </c>
      <c r="BC372" s="137">
        <f ca="1">$W372*AH372+$L372*Summary_LCIA!Y$34</f>
        <v>0.89768555376382253</v>
      </c>
      <c r="BD372" s="137">
        <f ca="1">$W372*AI372+$L372*Summary_LCIA!Z$34</f>
        <v>0.23000831808108396</v>
      </c>
      <c r="BE372" s="137">
        <f ca="1">$W372*AJ372+$L372*Summary_LCIA!AA$34</f>
        <v>1.7290761181896905</v>
      </c>
      <c r="BF372" s="137">
        <f ca="1">$W372*AK372+$L372*Summary_LCIA!AB$34</f>
        <v>5.2045117040142148E-2</v>
      </c>
      <c r="BG372" s="137">
        <f ca="1">$W372*AL372+$L372*Summary_LCIA!AC$34</f>
        <v>2.7913544287857777E-5</v>
      </c>
      <c r="BH372" s="137">
        <f ca="1">$W372*AM372+$L372*Summary_LCIA!AD$34</f>
        <v>0.13295461196774608</v>
      </c>
      <c r="BI372" s="137">
        <f ca="1">$W372*AN372+$L372*Summary_LCIA!AE$34</f>
        <v>0.38928788547884824</v>
      </c>
      <c r="BJ372" s="137">
        <f ca="1">$W372*AO372+$L372*Summary_LCIA!AF$34</f>
        <v>9.7291241351280533E-2</v>
      </c>
      <c r="BK372" s="137">
        <f ca="1">$W372*AP372+$L372*Summary_LCIA!AG$34</f>
        <v>5.1443824003805337E-3</v>
      </c>
      <c r="BL372" s="137">
        <f ca="1">$W372*AQ372+$L372*Summary_LCIA!AH$34</f>
        <v>1.4777655571240431</v>
      </c>
      <c r="BM372" s="137">
        <f ca="1">$W372*AR372+$L372*Summary_LCIA!AI$34</f>
        <v>0.34250681589851117</v>
      </c>
    </row>
    <row r="373" spans="1:65" x14ac:dyDescent="0.25">
      <c r="A373" s="149">
        <v>233</v>
      </c>
      <c r="B373" s="149">
        <v>15</v>
      </c>
      <c r="C373" s="61">
        <v>20.593684</v>
      </c>
      <c r="D373" s="61">
        <v>78.962879999999998</v>
      </c>
      <c r="E373" s="61" t="s">
        <v>268</v>
      </c>
      <c r="F373" s="149">
        <v>41</v>
      </c>
      <c r="G373" s="61" t="s">
        <v>704</v>
      </c>
      <c r="H373" s="61" t="s">
        <v>705</v>
      </c>
      <c r="I373" s="61">
        <v>21.090667</v>
      </c>
      <c r="J373" s="61">
        <v>79.051494000000005</v>
      </c>
      <c r="K373" s="61">
        <v>668.6216369</v>
      </c>
      <c r="L373" s="61">
        <v>61.351999999999997</v>
      </c>
      <c r="M373" s="61" t="s">
        <v>617</v>
      </c>
      <c r="N373" s="149">
        <v>14</v>
      </c>
      <c r="O373" s="149">
        <v>15</v>
      </c>
      <c r="P373" s="61" t="s">
        <v>567</v>
      </c>
      <c r="Q373" s="61" t="s">
        <v>566</v>
      </c>
      <c r="R373" s="61">
        <v>50.037932599999998</v>
      </c>
      <c r="S373" s="61">
        <v>8.5621518000000005</v>
      </c>
      <c r="T373" s="61"/>
      <c r="U373" s="61" t="s">
        <v>622</v>
      </c>
      <c r="V373" s="61" t="s">
        <v>569</v>
      </c>
      <c r="W373" s="61" cm="1">
        <f t="array" ref="W373">getDistance(I373,J373,R373,S373)*SA!$B$12</f>
        <v>6860.0261895692247</v>
      </c>
      <c r="Y373" s="137">
        <f>Transportation_LCIA!C$61*($W373^Transportation_LCIA!C$60)+Transportation_LCIA!C$62</f>
        <v>0.13645988213436686</v>
      </c>
      <c r="Z373" s="137">
        <f>Transportation_LCIA!D$61*($W373^Transportation_LCIA!D$60)+Transportation_LCIA!D$62</f>
        <v>1.3002198941689636</v>
      </c>
      <c r="AA373" s="137">
        <f>Transportation_LCIA!E$61*($W373^Transportation_LCIA!E$60)+Transportation_LCIA!E$62</f>
        <v>4.1072635750497347E-4</v>
      </c>
      <c r="AB373" s="137">
        <f>Transportation_LCIA!F$61*($W373^Transportation_LCIA!F$60)+Transportation_LCIA!F$62</f>
        <v>0.13645988213436686</v>
      </c>
      <c r="AC373" s="137">
        <f>Transportation_LCIA!G$61*($W373^Transportation_LCIA!G$60)+Transportation_LCIA!G$62</f>
        <v>3.0607327963128941E-2</v>
      </c>
      <c r="AD373" s="137">
        <f>Transportation_LCIA!H$61*($W373^Transportation_LCIA!H$60)+Transportation_LCIA!H$62</f>
        <v>1.1818117326373138E-4</v>
      </c>
      <c r="AE373" s="137">
        <f>Transportation_LCIA!I$61*($W373^Transportation_LCIA!I$60)+Transportation_LCIA!I$62</f>
        <v>2.0326147408223427E-6</v>
      </c>
      <c r="AF373" s="137">
        <f>Transportation_LCIA!J$61*($W373^Transportation_LCIA!J$60)+Transportation_LCIA!J$62</f>
        <v>3.0716685628491593E-3</v>
      </c>
      <c r="AG373" s="137">
        <f>Transportation_LCIA!K$61*($W373^Transportation_LCIA!K$60)+Transportation_LCIA!K$62</f>
        <v>6.0620037158523338E-3</v>
      </c>
      <c r="AH373" s="137">
        <f>Transportation_LCIA!L$61*($W373^Transportation_LCIA!L$60)+Transportation_LCIA!L$62</f>
        <v>9.5173384730676345E-5</v>
      </c>
      <c r="AI373" s="137">
        <f>Transportation_LCIA!M$61*($W373^Transportation_LCIA!M$60)+Transportation_LCIA!M$62</f>
        <v>1.5614967989661672E-4</v>
      </c>
      <c r="AJ373" s="137">
        <f>Transportation_LCIA!N$61*($W373^Transportation_LCIA!N$60)+Transportation_LCIA!N$62</f>
        <v>4.554169759156334E-4</v>
      </c>
      <c r="AK373" s="137">
        <f>Transportation_LCIA!O$61*($W373^Transportation_LCIA!O$60)+Transportation_LCIA!O$62</f>
        <v>3.2211517028364594E-5</v>
      </c>
      <c r="AL373" s="137">
        <f>Transportation_LCIA!P$61*($W373^Transportation_LCIA!P$60)+Transportation_LCIA!P$62</f>
        <v>1.5625519568579795E-8</v>
      </c>
      <c r="AM373" s="137">
        <f>Transportation_LCIA!Q$61*($W373^Transportation_LCIA!Q$60)+Transportation_LCIA!Q$62</f>
        <v>3.8605695227967373E-5</v>
      </c>
      <c r="AN373" s="137">
        <f>Transportation_LCIA!R$61*($W373^Transportation_LCIA!R$60)+Transportation_LCIA!R$62</f>
        <v>9.8432630251078101E-5</v>
      </c>
      <c r="AO373" s="137">
        <f>Transportation_LCIA!S$61*($W373^Transportation_LCIA!S$60)+Transportation_LCIA!S$62</f>
        <v>1.651266251491079E-6</v>
      </c>
      <c r="AP373" s="137">
        <f>Transportation_LCIA!T$61*($W373^Transportation_LCIA!T$60)+Transportation_LCIA!T$62</f>
        <v>1.651266251491079E-6</v>
      </c>
      <c r="AQ373" s="137">
        <f>Transportation_LCIA!U$61*($W373^Transportation_LCIA!U$60)+Transportation_LCIA!U$62</f>
        <v>2.0461011695863471E-4</v>
      </c>
      <c r="AR373" s="137">
        <f>Transportation_LCIA!V$61*($W373^Transportation_LCIA!V$60)+Transportation_LCIA!V$62</f>
        <v>1.0112559863672152E-4</v>
      </c>
      <c r="AT373" s="137">
        <f>$W373*Y373+$L373*Summary_LCIA!H$32</f>
        <v>956.9657748672862</v>
      </c>
      <c r="AU373" s="137">
        <f>$W373*Z373+$L373*Summary_LCIA!Q$32</f>
        <v>9223.6061323634331</v>
      </c>
      <c r="AV373" s="137">
        <f>$W373*AA373+$L373*Summary_LCIA!R$32</f>
        <v>3.1406486604304904</v>
      </c>
      <c r="AW373" s="137">
        <f>$W373*AB373+$L373*Summary_LCIA!S$32</f>
        <v>956.69459902728624</v>
      </c>
      <c r="AX373" s="137">
        <f>$W373*AC373+$L373*Summary_LCIA!T$32</f>
        <v>216.709656219799</v>
      </c>
      <c r="AY373" s="137">
        <f>$W373*AD373+$L373*Summary_LCIA!U$32</f>
        <v>1.9097856717032153</v>
      </c>
      <c r="AZ373" s="137">
        <f>$W373*AE373+$L373*Summary_LCIA!V$32</f>
        <v>1.6874023227345734E-2</v>
      </c>
      <c r="BA373" s="137">
        <f>$W373*AF373+$L373*Summary_LCIA!W$32</f>
        <v>25.794051578821694</v>
      </c>
      <c r="BB373" s="137">
        <f>$W373*AG373+$L373*Summary_LCIA!X$32</f>
        <v>42.983102812012966</v>
      </c>
      <c r="BC373" s="137">
        <f>$W373*AH373+$L373*Summary_LCIA!Y$32</f>
        <v>1.6088787758023875</v>
      </c>
      <c r="BD373" s="137">
        <f>$W373*AI373+$L373*Summary_LCIA!Z$32</f>
        <v>1.0737068777516419</v>
      </c>
      <c r="BE373" s="137">
        <f>$W373*AJ373+$L373*Summary_LCIA!AA$32</f>
        <v>4.5571096939556615</v>
      </c>
      <c r="BF373" s="137">
        <f>$W373*AK373+$L373*Summary_LCIA!AB$32</f>
        <v>0.21963296572433616</v>
      </c>
      <c r="BG373" s="137">
        <f>$W373*AL373+$L373*Summary_LCIA!AC$32</f>
        <v>1.1019060463408381E-4</v>
      </c>
      <c r="BH373" s="137">
        <f>$W373*AM373+$L373*Summary_LCIA!AD$32</f>
        <v>0.29005420641038382</v>
      </c>
      <c r="BI373" s="137">
        <f>$W373*AN373+$L373*Summary_LCIA!AE$32</f>
        <v>0.72961626919057965</v>
      </c>
      <c r="BJ373" s="137">
        <f>$W373*AO373+$L373*Summary_LCIA!AF$32</f>
        <v>6.319593757118061E-2</v>
      </c>
      <c r="BK373" s="137">
        <f>$W373*AP373+$L373*Summary_LCIA!AG$32</f>
        <v>1.4466804811180603E-2</v>
      </c>
      <c r="BL373" s="137">
        <f>$W373*AQ373+$L373*Summary_LCIA!AH$32</f>
        <v>1.9376140281870562</v>
      </c>
      <c r="BM373" s="137">
        <f>$W373*AR373+$L373*Summary_LCIA!AI$32</f>
        <v>0.75087671068377559</v>
      </c>
    </row>
    <row r="374" spans="1:65" x14ac:dyDescent="0.25">
      <c r="A374" s="149">
        <v>251</v>
      </c>
      <c r="B374" s="149">
        <v>15</v>
      </c>
      <c r="C374" s="61">
        <v>51.507351</v>
      </c>
      <c r="D374" s="61">
        <v>-0.12775800000000001</v>
      </c>
      <c r="E374" s="61" t="s">
        <v>463</v>
      </c>
      <c r="F374" s="149">
        <v>7</v>
      </c>
      <c r="G374" s="61" t="s">
        <v>628</v>
      </c>
      <c r="H374" s="61" t="s">
        <v>629</v>
      </c>
      <c r="I374" s="61">
        <v>51.470022</v>
      </c>
      <c r="J374" s="61">
        <v>-0.45429599999999998</v>
      </c>
      <c r="K374" s="61">
        <v>26.365709819999999</v>
      </c>
      <c r="L374" s="61">
        <v>29.34</v>
      </c>
      <c r="M374" s="61" t="s">
        <v>589</v>
      </c>
      <c r="N374" s="149">
        <v>14</v>
      </c>
      <c r="O374" s="149">
        <v>15</v>
      </c>
      <c r="P374" s="61" t="s">
        <v>567</v>
      </c>
      <c r="Q374" s="61" t="s">
        <v>566</v>
      </c>
      <c r="R374" s="61">
        <v>50.037932599999998</v>
      </c>
      <c r="S374" s="61">
        <v>8.5621518000000005</v>
      </c>
      <c r="T374" s="61"/>
      <c r="U374" s="61" t="s">
        <v>622</v>
      </c>
      <c r="V374" s="61" t="s">
        <v>569</v>
      </c>
      <c r="W374" s="61" cm="1">
        <f t="array" ref="W374">getDistance(I374,J374,R374,S374)*SA!$B$12</f>
        <v>655.49865109245718</v>
      </c>
      <c r="Y374" s="137">
        <f>Transportation_LCIA!C$61*($W374^Transportation_LCIA!C$60)+Transportation_LCIA!C$62</f>
        <v>0.28808630932385726</v>
      </c>
      <c r="Z374" s="137">
        <f>Transportation_LCIA!D$61*($W374^Transportation_LCIA!D$60)+Transportation_LCIA!D$62</f>
        <v>3.0403453180333315</v>
      </c>
      <c r="AA374" s="137">
        <f>Transportation_LCIA!E$61*($W374^Transportation_LCIA!E$60)+Transportation_LCIA!E$62</f>
        <v>1.5496127326841335E-3</v>
      </c>
      <c r="AB374" s="137">
        <f>Transportation_LCIA!F$61*($W374^Transportation_LCIA!F$60)+Transportation_LCIA!F$62</f>
        <v>0.28808630932385726</v>
      </c>
      <c r="AC374" s="137">
        <f>Transportation_LCIA!G$61*($W374^Transportation_LCIA!G$60)+Transportation_LCIA!G$62</f>
        <v>7.0904955875308692E-2</v>
      </c>
      <c r="AD374" s="137">
        <f>Transportation_LCIA!H$61*($W374^Transportation_LCIA!H$60)+Transportation_LCIA!H$62</f>
        <v>3.6638661442350167E-4</v>
      </c>
      <c r="AE374" s="137">
        <f>Transportation_LCIA!I$61*($W374^Transportation_LCIA!I$60)+Transportation_LCIA!I$62</f>
        <v>8.1949302872625628E-6</v>
      </c>
      <c r="AF374" s="137">
        <f>Transportation_LCIA!J$61*($W374^Transportation_LCIA!J$60)+Transportation_LCIA!J$62</f>
        <v>1.216906133974993E-2</v>
      </c>
      <c r="AG374" s="137">
        <f>Transportation_LCIA!K$61*($W374^Transportation_LCIA!K$60)+Transportation_LCIA!K$62</f>
        <v>1.5391950999787709E-2</v>
      </c>
      <c r="AH374" s="137">
        <f>Transportation_LCIA!L$61*($W374^Transportation_LCIA!L$60)+Transportation_LCIA!L$62</f>
        <v>3.224475626051792E-4</v>
      </c>
      <c r="AI374" s="137">
        <f>Transportation_LCIA!M$61*($W374^Transportation_LCIA!M$60)+Transportation_LCIA!M$62</f>
        <v>2.9306665716547056E-4</v>
      </c>
      <c r="AJ374" s="137">
        <f>Transportation_LCIA!N$61*($W374^Transportation_LCIA!N$60)+Transportation_LCIA!N$62</f>
        <v>1.2908631335785605E-3</v>
      </c>
      <c r="AK374" s="137">
        <f>Transportation_LCIA!O$61*($W374^Transportation_LCIA!O$60)+Transportation_LCIA!O$62</f>
        <v>7.5013630480399058E-5</v>
      </c>
      <c r="AL374" s="137">
        <f>Transportation_LCIA!P$61*($W374^Transportation_LCIA!P$60)+Transportation_LCIA!P$62</f>
        <v>3.622947059126279E-8</v>
      </c>
      <c r="AM374" s="137">
        <f>Transportation_LCIA!Q$61*($W374^Transportation_LCIA!Q$60)+Transportation_LCIA!Q$62</f>
        <v>1.2728062224719001E-4</v>
      </c>
      <c r="AN374" s="137">
        <f>Transportation_LCIA!R$61*($W374^Transportation_LCIA!R$60)+Transportation_LCIA!R$62</f>
        <v>3.9383707879712856E-4</v>
      </c>
      <c r="AO374" s="137">
        <f>Transportation_LCIA!S$61*($W374^Transportation_LCIA!S$60)+Transportation_LCIA!S$62</f>
        <v>5.8462294863061377E-6</v>
      </c>
      <c r="AP374" s="137">
        <f>Transportation_LCIA!T$61*($W374^Transportation_LCIA!T$60)+Transportation_LCIA!T$62</f>
        <v>5.8462294863061377E-6</v>
      </c>
      <c r="AQ374" s="137">
        <f>Transportation_LCIA!U$61*($W374^Transportation_LCIA!U$60)+Transportation_LCIA!U$62</f>
        <v>8.5078004970210494E-4</v>
      </c>
      <c r="AR374" s="137">
        <f>Transportation_LCIA!V$61*($W374^Transportation_LCIA!V$60)+Transportation_LCIA!V$62</f>
        <v>3.311828503124549E-4</v>
      </c>
      <c r="AT374" s="137">
        <f>$W374*Y374+$L374*Summary_LCIA!H$34</f>
        <v>191.0249022399928</v>
      </c>
      <c r="AU374" s="137">
        <f ca="1">$W374*Z374+$L374*Summary_LCIA!Q$34</f>
        <v>2029.1797728343165</v>
      </c>
      <c r="AV374" s="137">
        <f ca="1">$W374*AA374+$L374*Summary_LCIA!R$34</f>
        <v>1.090779699990146</v>
      </c>
      <c r="AW374" s="137">
        <f ca="1">$W374*AB374+$L374*Summary_LCIA!S$34</f>
        <v>190.99485807999281</v>
      </c>
      <c r="AX374" s="137">
        <f ca="1">$W374*AC374+$L374*Summary_LCIA!T$34</f>
        <v>47.086702552035042</v>
      </c>
      <c r="AY374" s="137">
        <f ca="1">$W374*AD374+$L374*Summary_LCIA!U$34</f>
        <v>0.29413979553293756</v>
      </c>
      <c r="AZ374" s="137">
        <f ca="1">$W374*AE374+$L374*Summary_LCIA!V$34</f>
        <v>7.751034369097333E-3</v>
      </c>
      <c r="BA374" s="137">
        <f ca="1">$W374*AF374+$L374*Summary_LCIA!W$34</f>
        <v>9.4599109532674497</v>
      </c>
      <c r="BB374" s="137">
        <f ca="1">$W374*AG374+$L374*Summary_LCIA!X$34</f>
        <v>10.401111278042041</v>
      </c>
      <c r="BC374" s="137">
        <f ca="1">$W374*AH374+$L374*Summary_LCIA!Y$34</f>
        <v>0.26164096633574563</v>
      </c>
      <c r="BD374" s="137">
        <f ca="1">$W374*AI374+$L374*Summary_LCIA!Z$34</f>
        <v>0.19294113515214156</v>
      </c>
      <c r="BE374" s="137">
        <f ca="1">$W374*AJ374+$L374*Summary_LCIA!AA$34</f>
        <v>0.90667572680572872</v>
      </c>
      <c r="BF374" s="137">
        <f ca="1">$W374*AK374+$L374*Summary_LCIA!AB$34</f>
        <v>4.8967746267449611E-2</v>
      </c>
      <c r="BG374" s="137">
        <f ca="1">$W374*AL374+$L374*Summary_LCIA!AC$34</f>
        <v>2.3856401916366606E-5</v>
      </c>
      <c r="BH374" s="137">
        <f ca="1">$W374*AM374+$L374*Summary_LCIA!AD$34</f>
        <v>8.6694297393241651E-2</v>
      </c>
      <c r="BI374" s="137">
        <f ca="1">$W374*AN374+$L374*Summary_LCIA!AE$34</f>
        <v>0.2669599135017115</v>
      </c>
      <c r="BJ374" s="137">
        <f ca="1">$W374*AO374+$L374*Summary_LCIA!AF$34</f>
        <v>1.0811007942250622E-2</v>
      </c>
      <c r="BK374" s="137">
        <f ca="1">$W374*AP374+$L374*Summary_LCIA!AG$34</f>
        <v>3.9125313962506221E-3</v>
      </c>
      <c r="BL374" s="137">
        <f ca="1">$W374*AQ374+$L374*Summary_LCIA!AH$34</f>
        <v>0.62453049695610352</v>
      </c>
      <c r="BM374" s="137">
        <f ca="1">$W374*AR374+$L374*Summary_LCIA!AI$34</f>
        <v>0.22532711664476934</v>
      </c>
    </row>
    <row r="375" spans="1:65" x14ac:dyDescent="0.25">
      <c r="A375" s="149">
        <v>289</v>
      </c>
      <c r="B375" s="149">
        <v>15</v>
      </c>
      <c r="C375" s="61">
        <v>53.466729999999998</v>
      </c>
      <c r="D375" s="61">
        <v>-2.2341760000000002</v>
      </c>
      <c r="E375" s="61" t="s">
        <v>463</v>
      </c>
      <c r="F375" s="149">
        <v>7</v>
      </c>
      <c r="G375" s="61" t="s">
        <v>628</v>
      </c>
      <c r="H375" s="61" t="s">
        <v>629</v>
      </c>
      <c r="I375" s="61">
        <v>51.470022</v>
      </c>
      <c r="J375" s="61">
        <v>-0.45429599999999998</v>
      </c>
      <c r="K375" s="61">
        <v>261.38947339999999</v>
      </c>
      <c r="L375" s="61">
        <v>334.10500000000002</v>
      </c>
      <c r="M375" s="61" t="s">
        <v>589</v>
      </c>
      <c r="N375" s="149">
        <v>14</v>
      </c>
      <c r="O375" s="149">
        <v>15</v>
      </c>
      <c r="P375" s="61" t="s">
        <v>567</v>
      </c>
      <c r="Q375" s="61" t="s">
        <v>566</v>
      </c>
      <c r="R375" s="61">
        <v>50.037932599999998</v>
      </c>
      <c r="S375" s="61">
        <v>8.5621518000000005</v>
      </c>
      <c r="T375" s="61"/>
      <c r="U375" s="61" t="s">
        <v>622</v>
      </c>
      <c r="V375" s="61" t="s">
        <v>569</v>
      </c>
      <c r="W375" s="61" cm="1">
        <f t="array" ref="W375">getDistance(I375,J375,R375,S375)*SA!$B$12</f>
        <v>655.49865109245718</v>
      </c>
      <c r="Y375" s="137">
        <f>Transportation_LCIA!C$61*($W375^Transportation_LCIA!C$60)+Transportation_LCIA!C$62</f>
        <v>0.28808630932385726</v>
      </c>
      <c r="Z375" s="137">
        <f>Transportation_LCIA!D$61*($W375^Transportation_LCIA!D$60)+Transportation_LCIA!D$62</f>
        <v>3.0403453180333315</v>
      </c>
      <c r="AA375" s="137">
        <f>Transportation_LCIA!E$61*($W375^Transportation_LCIA!E$60)+Transportation_LCIA!E$62</f>
        <v>1.5496127326841335E-3</v>
      </c>
      <c r="AB375" s="137">
        <f>Transportation_LCIA!F$61*($W375^Transportation_LCIA!F$60)+Transportation_LCIA!F$62</f>
        <v>0.28808630932385726</v>
      </c>
      <c r="AC375" s="137">
        <f>Transportation_LCIA!G$61*($W375^Transportation_LCIA!G$60)+Transportation_LCIA!G$62</f>
        <v>7.0904955875308692E-2</v>
      </c>
      <c r="AD375" s="137">
        <f>Transportation_LCIA!H$61*($W375^Transportation_LCIA!H$60)+Transportation_LCIA!H$62</f>
        <v>3.6638661442350167E-4</v>
      </c>
      <c r="AE375" s="137">
        <f>Transportation_LCIA!I$61*($W375^Transportation_LCIA!I$60)+Transportation_LCIA!I$62</f>
        <v>8.1949302872625628E-6</v>
      </c>
      <c r="AF375" s="137">
        <f>Transportation_LCIA!J$61*($W375^Transportation_LCIA!J$60)+Transportation_LCIA!J$62</f>
        <v>1.216906133974993E-2</v>
      </c>
      <c r="AG375" s="137">
        <f>Transportation_LCIA!K$61*($W375^Transportation_LCIA!K$60)+Transportation_LCIA!K$62</f>
        <v>1.5391950999787709E-2</v>
      </c>
      <c r="AH375" s="137">
        <f>Transportation_LCIA!L$61*($W375^Transportation_LCIA!L$60)+Transportation_LCIA!L$62</f>
        <v>3.224475626051792E-4</v>
      </c>
      <c r="AI375" s="137">
        <f>Transportation_LCIA!M$61*($W375^Transportation_LCIA!M$60)+Transportation_LCIA!M$62</f>
        <v>2.9306665716547056E-4</v>
      </c>
      <c r="AJ375" s="137">
        <f>Transportation_LCIA!N$61*($W375^Transportation_LCIA!N$60)+Transportation_LCIA!N$62</f>
        <v>1.2908631335785605E-3</v>
      </c>
      <c r="AK375" s="137">
        <f>Transportation_LCIA!O$61*($W375^Transportation_LCIA!O$60)+Transportation_LCIA!O$62</f>
        <v>7.5013630480399058E-5</v>
      </c>
      <c r="AL375" s="137">
        <f>Transportation_LCIA!P$61*($W375^Transportation_LCIA!P$60)+Transportation_LCIA!P$62</f>
        <v>3.622947059126279E-8</v>
      </c>
      <c r="AM375" s="137">
        <f>Transportation_LCIA!Q$61*($W375^Transportation_LCIA!Q$60)+Transportation_LCIA!Q$62</f>
        <v>1.2728062224719001E-4</v>
      </c>
      <c r="AN375" s="137">
        <f>Transportation_LCIA!R$61*($W375^Transportation_LCIA!R$60)+Transportation_LCIA!R$62</f>
        <v>3.9383707879712856E-4</v>
      </c>
      <c r="AO375" s="137">
        <f>Transportation_LCIA!S$61*($W375^Transportation_LCIA!S$60)+Transportation_LCIA!S$62</f>
        <v>5.8462294863061377E-6</v>
      </c>
      <c r="AP375" s="137">
        <f>Transportation_LCIA!T$61*($W375^Transportation_LCIA!T$60)+Transportation_LCIA!T$62</f>
        <v>5.8462294863061377E-6</v>
      </c>
      <c r="AQ375" s="137">
        <f>Transportation_LCIA!U$61*($W375^Transportation_LCIA!U$60)+Transportation_LCIA!U$62</f>
        <v>8.5078004970210494E-4</v>
      </c>
      <c r="AR375" s="137">
        <f>Transportation_LCIA!V$61*($W375^Transportation_LCIA!V$60)+Transportation_LCIA!V$62</f>
        <v>3.311828503124549E-4</v>
      </c>
      <c r="AT375" s="137">
        <f>$W375*Y375+$L375*Summary_LCIA!H$34</f>
        <v>213.71831366999282</v>
      </c>
      <c r="AU375" s="137">
        <f ca="1">$W375*Z375+$L375*Summary_LCIA!Q$34</f>
        <v>2405.5917420152664</v>
      </c>
      <c r="AV375" s="137">
        <f ca="1">$W375*AA375+$L375*Summary_LCIA!R$34</f>
        <v>1.8699418989901462</v>
      </c>
      <c r="AW375" s="137">
        <f ca="1">$W375*AB375+$L375*Summary_LCIA!S$34</f>
        <v>213.37619014999282</v>
      </c>
      <c r="AX375" s="137">
        <f ca="1">$W375*AC375+$L375*Summary_LCIA!T$34</f>
        <v>53.408442947035041</v>
      </c>
      <c r="AY375" s="137">
        <f ca="1">$W375*AD375+$L375*Summary_LCIA!U$34</f>
        <v>0.85478548953293754</v>
      </c>
      <c r="AZ375" s="137">
        <f ca="1">$W375*AE375+$L375*Summary_LCIA!V$34</f>
        <v>3.2465342514097335E-2</v>
      </c>
      <c r="BA375" s="137">
        <f ca="1">$W375*AF375+$L375*Summary_LCIA!W$34</f>
        <v>24.865476938267449</v>
      </c>
      <c r="BB375" s="137">
        <f ca="1">$W375*AG375+$L375*Summary_LCIA!X$34</f>
        <v>13.638934638042041</v>
      </c>
      <c r="BC375" s="137">
        <f ca="1">$W375*AH375+$L375*Summary_LCIA!Y$34</f>
        <v>0.78388627033574565</v>
      </c>
      <c r="BD375" s="137">
        <f ca="1">$W375*AI375+$L375*Summary_LCIA!Z$34</f>
        <v>0.20162846147714156</v>
      </c>
      <c r="BE375" s="137">
        <f ca="1">$W375*AJ375+$L375*Summary_LCIA!AA$34</f>
        <v>1.5352840158057286</v>
      </c>
      <c r="BF375" s="137">
        <f ca="1">$W375*AK375+$L375*Summary_LCIA!AB$34</f>
        <v>4.6853012408949617E-2</v>
      </c>
      <c r="BG375" s="137">
        <f ca="1">$W375*AL375+$L375*Summary_LCIA!AC$34</f>
        <v>2.4978577122866603E-5</v>
      </c>
      <c r="BH375" s="137">
        <f ca="1">$W375*AM375+$L375*Summary_LCIA!AD$34</f>
        <v>0.12057807009324165</v>
      </c>
      <c r="BI375" s="137">
        <f ca="1">$W375*AN375+$L375*Summary_LCIA!AE$34</f>
        <v>0.35837112760171153</v>
      </c>
      <c r="BJ375" s="137">
        <f ca="1">$W375*AO375+$L375*Summary_LCIA!AF$34</f>
        <v>8.3302410842250624E-2</v>
      </c>
      <c r="BK375" s="137">
        <f ca="1">$W375*AP375+$L375*Summary_LCIA!AG$34</f>
        <v>4.7470084427506222E-3</v>
      </c>
      <c r="BL375" s="137">
        <f ca="1">$W375*AQ375+$L375*Summary_LCIA!AH$34</f>
        <v>1.3188765964561036</v>
      </c>
      <c r="BM375" s="137">
        <f ca="1">$W375*AR375+$L375*Summary_LCIA!AI$34</f>
        <v>0.31088989039476933</v>
      </c>
    </row>
    <row r="376" spans="1:65" x14ac:dyDescent="0.25">
      <c r="A376" s="149">
        <v>292</v>
      </c>
      <c r="B376" s="149">
        <v>15</v>
      </c>
      <c r="C376" s="61">
        <v>43.719819000000001</v>
      </c>
      <c r="D376" s="61">
        <v>10.402931000000001</v>
      </c>
      <c r="E376" s="61" t="s">
        <v>421</v>
      </c>
      <c r="F376" s="149">
        <v>51</v>
      </c>
      <c r="G376" s="61" t="s">
        <v>698</v>
      </c>
      <c r="H376" s="61" t="s">
        <v>716</v>
      </c>
      <c r="I376" s="61">
        <v>41.799886999999998</v>
      </c>
      <c r="J376" s="61">
        <v>12.246238</v>
      </c>
      <c r="K376" s="61">
        <v>278.4546272</v>
      </c>
      <c r="L376" s="61">
        <v>329.53500000000003</v>
      </c>
      <c r="M376" s="61" t="s">
        <v>617</v>
      </c>
      <c r="N376" s="149">
        <v>14</v>
      </c>
      <c r="O376" s="149">
        <v>15</v>
      </c>
      <c r="P376" s="61" t="s">
        <v>567</v>
      </c>
      <c r="Q376" s="61" t="s">
        <v>566</v>
      </c>
      <c r="R376" s="61">
        <v>50.037932599999998</v>
      </c>
      <c r="S376" s="61">
        <v>8.5621518000000005</v>
      </c>
      <c r="T376" s="61"/>
      <c r="U376" s="61" t="s">
        <v>622</v>
      </c>
      <c r="V376" s="61" t="s">
        <v>569</v>
      </c>
      <c r="W376" s="61" cm="1">
        <f t="array" ref="W376">getDistance(I376,J376,R376,S376)*SA!$B$12</f>
        <v>960.33096396061467</v>
      </c>
      <c r="Y376" s="137">
        <f>Transportation_LCIA!C$61*($W376^Transportation_LCIA!C$60)+Transportation_LCIA!C$62</f>
        <v>0.23978916330242275</v>
      </c>
      <c r="Z376" s="137">
        <f>Transportation_LCIA!D$61*($W376^Transportation_LCIA!D$60)+Transportation_LCIA!D$62</f>
        <v>2.4708787889542601</v>
      </c>
      <c r="AA376" s="137">
        <f>Transportation_LCIA!E$61*($W376^Transportation_LCIA!E$60)+Transportation_LCIA!E$62</f>
        <v>1.174109327635068E-3</v>
      </c>
      <c r="AB376" s="137">
        <f>Transportation_LCIA!F$61*($W376^Transportation_LCIA!F$60)+Transportation_LCIA!F$62</f>
        <v>0.23978916330242275</v>
      </c>
      <c r="AC376" s="137">
        <f>Transportation_LCIA!G$61*($W376^Transportation_LCIA!G$60)+Transportation_LCIA!G$62</f>
        <v>5.7737841551702487E-2</v>
      </c>
      <c r="AD376" s="137">
        <f>Transportation_LCIA!H$61*($W376^Transportation_LCIA!H$60)+Transportation_LCIA!H$62</f>
        <v>2.8334647040481186E-4</v>
      </c>
      <c r="AE376" s="137">
        <f>Transportation_LCIA!I$61*($W376^Transportation_LCIA!I$60)+Transportation_LCIA!I$62</f>
        <v>6.0850967306403664E-6</v>
      </c>
      <c r="AF376" s="137">
        <f>Transportation_LCIA!J$61*($W376^Transportation_LCIA!J$60)+Transportation_LCIA!J$62</f>
        <v>9.0078905630086234E-3</v>
      </c>
      <c r="AG376" s="137">
        <f>Transportation_LCIA!K$61*($W376^Transportation_LCIA!K$60)+Transportation_LCIA!K$62</f>
        <v>1.230224715256964E-2</v>
      </c>
      <c r="AH376" s="137">
        <f>Transportation_LCIA!L$61*($W376^Transportation_LCIA!L$60)+Transportation_LCIA!L$62</f>
        <v>2.4590448371425308E-4</v>
      </c>
      <c r="AI376" s="137">
        <f>Transportation_LCIA!M$61*($W376^Transportation_LCIA!M$60)+Transportation_LCIA!M$62</f>
        <v>2.4722323152264391E-4</v>
      </c>
      <c r="AJ376" s="137">
        <f>Transportation_LCIA!N$61*($W376^Transportation_LCIA!N$60)+Transportation_LCIA!N$62</f>
        <v>1.0118732947864647E-3</v>
      </c>
      <c r="AK376" s="137">
        <f>Transportation_LCIA!O$61*($W376^Transportation_LCIA!O$60)+Transportation_LCIA!O$62</f>
        <v>6.1017911221320582E-5</v>
      </c>
      <c r="AL376" s="137">
        <f>Transportation_LCIA!P$61*($W376^Transportation_LCIA!P$60)+Transportation_LCIA!P$62</f>
        <v>2.9505637910099093E-8</v>
      </c>
      <c r="AM376" s="137">
        <f>Transportation_LCIA!Q$61*($W376^Transportation_LCIA!Q$60)+Transportation_LCIA!Q$62</f>
        <v>9.7309772323205714E-5</v>
      </c>
      <c r="AN376" s="137">
        <f>Transportation_LCIA!R$61*($W376^Transportation_LCIA!R$60)+Transportation_LCIA!R$62</f>
        <v>2.926416879903948E-4</v>
      </c>
      <c r="AO376" s="137">
        <f>Transportation_LCIA!S$61*($W376^Transportation_LCIA!S$60)+Transportation_LCIA!S$62</f>
        <v>4.4106471577943657E-6</v>
      </c>
      <c r="AP376" s="137">
        <f>Transportation_LCIA!T$61*($W376^Transportation_LCIA!T$60)+Transportation_LCIA!T$62</f>
        <v>4.4106471577943657E-6</v>
      </c>
      <c r="AQ376" s="137">
        <f>Transportation_LCIA!U$61*($W376^Transportation_LCIA!U$60)+Transportation_LCIA!U$62</f>
        <v>6.284668197431289E-4</v>
      </c>
      <c r="AR376" s="137">
        <f>Transportation_LCIA!V$61*($W376^Transportation_LCIA!V$60)+Transportation_LCIA!V$62</f>
        <v>2.5307125805150313E-4</v>
      </c>
      <c r="AT376" s="137">
        <f>$W376*Y376+$L376*Summary_LCIA!H$32</f>
        <v>342.25295134152492</v>
      </c>
      <c r="AU376" s="137">
        <f>$W376*Z376+$L376*Summary_LCIA!Q$32</f>
        <v>4006.0534886649357</v>
      </c>
      <c r="AV376" s="137">
        <f>$W376*AA376+$L376*Summary_LCIA!R$32</f>
        <v>2.8627330384029337</v>
      </c>
      <c r="AW376" s="137">
        <f>$W376*AB376+$L376*Summary_LCIA!S$32</f>
        <v>340.79640664152492</v>
      </c>
      <c r="AX376" s="137">
        <f>$W376*AC376+$L376*Summary_LCIA!T$32</f>
        <v>91.663333534351679</v>
      </c>
      <c r="AY376" s="137">
        <f>$W376*AD376+$L376*Summary_LCIA!U$32</f>
        <v>6.1753963790586912</v>
      </c>
      <c r="AZ376" s="137">
        <f>$W376*AE376+$L376*Summary_LCIA!V$32</f>
        <v>2.1582627944129448E-2</v>
      </c>
      <c r="BA376" s="137">
        <f>$W376*AF376+$L376*Summary_LCIA!W$32</f>
        <v>34.015194712625799</v>
      </c>
      <c r="BB376" s="137">
        <f>$W376*AG376+$L376*Summary_LCIA!X$32</f>
        <v>19.321036166908929</v>
      </c>
      <c r="BC376" s="137">
        <f>$W376*AH376+$L376*Summary_LCIA!Y$32</f>
        <v>5.3709640598875463</v>
      </c>
      <c r="BD376" s="137">
        <f>$W376*AI376+$L376*Summary_LCIA!Z$32</f>
        <v>0.25093002505659884</v>
      </c>
      <c r="BE376" s="137">
        <f>$W376*AJ376+$L376*Summary_LCIA!AA$32</f>
        <v>8.6683527165882897</v>
      </c>
      <c r="BF376" s="137">
        <f>$W376*AK376+$L376*Summary_LCIA!AB$32</f>
        <v>5.1405947197034001E-2</v>
      </c>
      <c r="BG376" s="137">
        <f>$W376*AL376+$L376*Summary_LCIA!AC$32</f>
        <v>4.4444166636478321E-5</v>
      </c>
      <c r="BH376" s="137">
        <f>$W376*AM376+$L376*Summary_LCIA!AD$32</f>
        <v>0.2289016538579321</v>
      </c>
      <c r="BI376" s="137">
        <f>$W376*AN376+$L376*Summary_LCIA!AE$32</f>
        <v>0.57304372387287728</v>
      </c>
      <c r="BJ376" s="137">
        <f>$W376*AO376+$L376*Summary_LCIA!AF$32</f>
        <v>0.28283116073673487</v>
      </c>
      <c r="BK376" s="137">
        <f>$W376*AP376+$L376*Summary_LCIA!AG$32</f>
        <v>2.109633931173481E-2</v>
      </c>
      <c r="BL376" s="137">
        <f>$W376*AQ376+$L376*Summary_LCIA!AH$32</f>
        <v>3.4716769728211814</v>
      </c>
      <c r="BM376" s="137">
        <f>$W376*AR376+$L376*Summary_LCIA!AI$32</f>
        <v>0.55001049444532546</v>
      </c>
    </row>
    <row r="377" spans="1:65" x14ac:dyDescent="0.25">
      <c r="A377" s="149">
        <v>308</v>
      </c>
      <c r="B377" s="149">
        <v>15</v>
      </c>
      <c r="C377" s="61">
        <v>18.520430000000001</v>
      </c>
      <c r="D377" s="61">
        <v>73.856744000000006</v>
      </c>
      <c r="E377" s="61" t="s">
        <v>268</v>
      </c>
      <c r="F377" s="149">
        <v>41</v>
      </c>
      <c r="G377" s="61" t="s">
        <v>704</v>
      </c>
      <c r="H377" s="61" t="s">
        <v>717</v>
      </c>
      <c r="I377" s="61">
        <v>19.089559999999999</v>
      </c>
      <c r="J377" s="61">
        <v>72.865613999999994</v>
      </c>
      <c r="K377" s="61">
        <v>138.57053590000001</v>
      </c>
      <c r="L377" s="61">
        <v>150.84200000000001</v>
      </c>
      <c r="M377" s="61" t="s">
        <v>617</v>
      </c>
      <c r="N377" s="149">
        <v>14</v>
      </c>
      <c r="O377" s="149">
        <v>15</v>
      </c>
      <c r="P377" s="61" t="s">
        <v>567</v>
      </c>
      <c r="Q377" s="61" t="s">
        <v>566</v>
      </c>
      <c r="R377" s="61">
        <v>50.037932599999998</v>
      </c>
      <c r="S377" s="61">
        <v>8.5621518000000005</v>
      </c>
      <c r="T377" s="61"/>
      <c r="U377" s="61" t="s">
        <v>622</v>
      </c>
      <c r="V377" s="61" t="s">
        <v>569</v>
      </c>
      <c r="W377" s="61" cm="1">
        <f t="array" ref="W377">getDistance(I377,J377,R377,S377)*SA!$B$12</f>
        <v>6580.2744353943472</v>
      </c>
      <c r="Y377" s="137">
        <f>Transportation_LCIA!C$61*($W377^Transportation_LCIA!C$60)+Transportation_LCIA!C$62</f>
        <v>0.13733361124554672</v>
      </c>
      <c r="Z377" s="137">
        <f>Transportation_LCIA!D$61*($W377^Transportation_LCIA!D$60)+Transportation_LCIA!D$62</f>
        <v>1.3096052149503097</v>
      </c>
      <c r="AA377" s="137">
        <f>Transportation_LCIA!E$61*($W377^Transportation_LCIA!E$60)+Transportation_LCIA!E$62</f>
        <v>4.167549847883517E-4</v>
      </c>
      <c r="AB377" s="137">
        <f>Transportation_LCIA!F$61*($W377^Transportation_LCIA!F$60)+Transportation_LCIA!F$62</f>
        <v>0.13733361124554672</v>
      </c>
      <c r="AC377" s="137">
        <f>Transportation_LCIA!G$61*($W377^Transportation_LCIA!G$60)+Transportation_LCIA!G$62</f>
        <v>3.0825516683626344E-2</v>
      </c>
      <c r="AD377" s="137">
        <f>Transportation_LCIA!H$61*($W377^Transportation_LCIA!H$60)+Transportation_LCIA!H$62</f>
        <v>1.1944712567135815E-4</v>
      </c>
      <c r="AE377" s="137">
        <f>Transportation_LCIA!I$61*($W377^Transportation_LCIA!I$60)+Transportation_LCIA!I$62</f>
        <v>2.0622065954474047E-6</v>
      </c>
      <c r="AF377" s="137">
        <f>Transportation_LCIA!J$61*($W377^Transportation_LCIA!J$60)+Transportation_LCIA!J$62</f>
        <v>3.1136555102907462E-3</v>
      </c>
      <c r="AG377" s="137">
        <f>Transportation_LCIA!K$61*($W377^Transportation_LCIA!K$60)+Transportation_LCIA!K$62</f>
        <v>6.1108474220744136E-3</v>
      </c>
      <c r="AH377" s="137">
        <f>Transportation_LCIA!L$61*($W377^Transportation_LCIA!L$60)+Transportation_LCIA!L$62</f>
        <v>9.6312916085844412E-5</v>
      </c>
      <c r="AI377" s="137">
        <f>Transportation_LCIA!M$61*($W377^Transportation_LCIA!M$60)+Transportation_LCIA!M$62</f>
        <v>1.5684659821607017E-4</v>
      </c>
      <c r="AJ377" s="137">
        <f>Transportation_LCIA!N$61*($W377^Transportation_LCIA!N$60)+Transportation_LCIA!N$62</f>
        <v>4.5969846283624706E-4</v>
      </c>
      <c r="AK377" s="137">
        <f>Transportation_LCIA!O$61*($W377^Transportation_LCIA!O$60)+Transportation_LCIA!O$62</f>
        <v>3.2442843105639033E-5</v>
      </c>
      <c r="AL377" s="137">
        <f>Transportation_LCIA!P$61*($W377^Transportation_LCIA!P$60)+Transportation_LCIA!P$62</f>
        <v>1.5737426471474715E-8</v>
      </c>
      <c r="AM377" s="137">
        <f>Transportation_LCIA!Q$61*($W377^Transportation_LCIA!Q$60)+Transportation_LCIA!Q$62</f>
        <v>3.9046217964547763E-5</v>
      </c>
      <c r="AN377" s="137">
        <f>Transportation_LCIA!R$61*($W377^Transportation_LCIA!R$60)+Transportation_LCIA!R$62</f>
        <v>9.9849108078312195E-5</v>
      </c>
      <c r="AO377" s="137">
        <f>Transportation_LCIA!S$61*($W377^Transportation_LCIA!S$60)+Transportation_LCIA!S$62</f>
        <v>1.6714358989519649E-6</v>
      </c>
      <c r="AP377" s="137">
        <f>Transportation_LCIA!T$61*($W377^Transportation_LCIA!T$60)+Transportation_LCIA!T$62</f>
        <v>1.6714358989519649E-6</v>
      </c>
      <c r="AQ377" s="137">
        <f>Transportation_LCIA!U$61*($W377^Transportation_LCIA!U$60)+Transportation_LCIA!U$62</f>
        <v>2.0767311130637152E-4</v>
      </c>
      <c r="AR377" s="137">
        <f>Transportation_LCIA!V$61*($W377^Transportation_LCIA!V$60)+Transportation_LCIA!V$62</f>
        <v>1.0225493834790514E-4</v>
      </c>
      <c r="AT377" s="137">
        <f>$W377*Y377+$L377*Summary_LCIA!H$32</f>
        <v>954.94896279945669</v>
      </c>
      <c r="AU377" s="137">
        <f>$W377*Z377+$L377*Summary_LCIA!Q$32</f>
        <v>9365.1422758112276</v>
      </c>
      <c r="AV377" s="137">
        <f>$W377*AA377+$L377*Summary_LCIA!R$32</f>
        <v>3.536635807425951</v>
      </c>
      <c r="AW377" s="137">
        <f>$W377*AB377+$L377*Summary_LCIA!S$32</f>
        <v>954.28224115945659</v>
      </c>
      <c r="AX377" s="137">
        <f>$W377*AC377+$L377*Summary_LCIA!T$32</f>
        <v>219.41789519108835</v>
      </c>
      <c r="AY377" s="137">
        <f>$W377*AD377+$L377*Summary_LCIA!U$32</f>
        <v>3.4881784554365738</v>
      </c>
      <c r="AZ377" s="137">
        <f>$W377*AE377+$L377*Summary_LCIA!V$32</f>
        <v>2.0774250102524171E-2</v>
      </c>
      <c r="BA377" s="137">
        <f>$W377*AF377+$L377*Summary_LCIA!W$32</f>
        <v>32.099167336990938</v>
      </c>
      <c r="BB377" s="137">
        <f>$W377*AG377+$L377*Summary_LCIA!X$32</f>
        <v>43.647233830071713</v>
      </c>
      <c r="BC377" s="137">
        <f>$W377*AH377+$L377*Summary_LCIA!Y$32</f>
        <v>2.9841854635179632</v>
      </c>
      <c r="BD377" s="137">
        <f>$W377*AI377+$L377*Summary_LCIA!Z$32</f>
        <v>1.0382795400977753</v>
      </c>
      <c r="BE377" s="137">
        <f>$W377*AJ377+$L377*Summary_LCIA!AA$32</f>
        <v>6.5480077949914346</v>
      </c>
      <c r="BF377" s="137">
        <f>$W377*AK377+$L377*Summary_LCIA!AB$32</f>
        <v>0.21019098613354628</v>
      </c>
      <c r="BG377" s="137">
        <f>$W377*AL377+$L377*Summary_LCIA!AC$32</f>
        <v>1.1093034541714334E-4</v>
      </c>
      <c r="BH377" s="137">
        <f>$W377*AM377+$L377*Summary_LCIA!AD$32</f>
        <v>0.3189369255509491</v>
      </c>
      <c r="BI377" s="137">
        <f>$W377*AN377+$L377*Summary_LCIA!AE$32</f>
        <v>0.79070015474464483</v>
      </c>
      <c r="BJ377" s="137">
        <f>$W377*AO377+$L377*Summary_LCIA!AF$32</f>
        <v>0.13852335055627402</v>
      </c>
      <c r="BK377" s="137">
        <f>$W377*AP377+$L377*Summary_LCIA!AG$32</f>
        <v>1.8716337846273984E-2</v>
      </c>
      <c r="BL377" s="137">
        <f>$W377*AQ377+$L377*Summary_LCIA!AH$32</f>
        <v>2.6794144964481217</v>
      </c>
      <c r="BM377" s="137">
        <f>$W377*AR377+$L377*Summary_LCIA!AI$32</f>
        <v>0.81338242180354525</v>
      </c>
    </row>
    <row r="378" spans="1:65" x14ac:dyDescent="0.25">
      <c r="A378" s="149">
        <v>309</v>
      </c>
      <c r="B378" s="149">
        <v>1</v>
      </c>
      <c r="C378" s="61">
        <v>-22.912496000000001</v>
      </c>
      <c r="D378" s="61">
        <v>-43.224753999999997</v>
      </c>
      <c r="E378" s="61" t="s">
        <v>465</v>
      </c>
      <c r="F378" s="149">
        <v>52</v>
      </c>
      <c r="G378" s="61" t="s">
        <v>682</v>
      </c>
      <c r="H378" s="61" t="s">
        <v>683</v>
      </c>
      <c r="I378" s="61">
        <v>-23.430572999999999</v>
      </c>
      <c r="J378" s="61">
        <v>-46.473042999999997</v>
      </c>
      <c r="K378" s="61">
        <v>339.4912473</v>
      </c>
      <c r="L378" s="61">
        <v>415.65699999999998</v>
      </c>
      <c r="M378" s="61" t="s">
        <v>617</v>
      </c>
      <c r="N378" s="149">
        <v>0</v>
      </c>
      <c r="O378" s="149">
        <v>1</v>
      </c>
      <c r="P378" s="61" t="s">
        <v>565</v>
      </c>
      <c r="Q378" s="61" t="s">
        <v>558</v>
      </c>
      <c r="R378" s="61">
        <v>33.640728199999998</v>
      </c>
      <c r="S378" s="61">
        <v>-84.427700099999996</v>
      </c>
      <c r="T378" s="61"/>
      <c r="U378" s="61" t="s">
        <v>622</v>
      </c>
      <c r="V378" s="61" t="s">
        <v>569</v>
      </c>
      <c r="W378" s="61" cm="1">
        <f t="array" ref="W378">getDistance(I378,J378,R378,S378)*SA!$B$12</f>
        <v>7504.2467822738536</v>
      </c>
      <c r="Y378" s="137">
        <f>Transportation_LCIA!C$61*($W378^Transportation_LCIA!C$60)+Transportation_LCIA!C$62</f>
        <v>0.13467692643305482</v>
      </c>
      <c r="Z378" s="137">
        <f>Transportation_LCIA!D$61*($W378^Transportation_LCIA!D$60)+Transportation_LCIA!D$62</f>
        <v>1.281122121518028</v>
      </c>
      <c r="AA378" s="137">
        <f>Transportation_LCIA!E$61*($W378^Transportation_LCIA!E$60)+Transportation_LCIA!E$62</f>
        <v>3.9846873057456544E-4</v>
      </c>
      <c r="AB378" s="137">
        <f>Transportation_LCIA!F$61*($W378^Transportation_LCIA!F$60)+Transportation_LCIA!F$62</f>
        <v>0.13467692643305482</v>
      </c>
      <c r="AC378" s="137">
        <f>Transportation_LCIA!G$61*($W378^Transportation_LCIA!G$60)+Transportation_LCIA!G$62</f>
        <v>3.0163272083294036E-2</v>
      </c>
      <c r="AD378" s="137">
        <f>Transportation_LCIA!H$61*($W378^Transportation_LCIA!H$60)+Transportation_LCIA!H$62</f>
        <v>1.1561123509205936E-4</v>
      </c>
      <c r="AE378" s="137">
        <f>Transportation_LCIA!I$61*($W378^Transportation_LCIA!I$60)+Transportation_LCIA!I$62</f>
        <v>1.9726938522060428E-6</v>
      </c>
      <c r="AF378" s="137">
        <f>Transportation_LCIA!J$61*($W378^Transportation_LCIA!J$60)+Transportation_LCIA!J$62</f>
        <v>2.9867891430907108E-3</v>
      </c>
      <c r="AG378" s="137">
        <f>Transportation_LCIA!K$61*($W378^Transportation_LCIA!K$60)+Transportation_LCIA!K$62</f>
        <v>5.962739513866968E-3</v>
      </c>
      <c r="AH378" s="137">
        <f>Transportation_LCIA!L$61*($W378^Transportation_LCIA!L$60)+Transportation_LCIA!L$62</f>
        <v>9.2861753650151202E-5</v>
      </c>
      <c r="AI378" s="137">
        <f>Transportation_LCIA!M$61*($W378^Transportation_LCIA!M$60)+Transportation_LCIA!M$62</f>
        <v>1.5473502668157449E-4</v>
      </c>
      <c r="AJ378" s="137">
        <f>Transportation_LCIA!N$61*($W378^Transportation_LCIA!N$60)+Transportation_LCIA!N$62</f>
        <v>4.4672362340835792E-4</v>
      </c>
      <c r="AK378" s="137">
        <f>Transportation_LCIA!O$61*($W378^Transportation_LCIA!O$60)+Transportation_LCIA!O$62</f>
        <v>3.1740760745464363E-5</v>
      </c>
      <c r="AL378" s="137">
        <f>Transportation_LCIA!P$61*($W378^Transportation_LCIA!P$60)+Transportation_LCIA!P$62</f>
        <v>1.5397737314191349E-8</v>
      </c>
      <c r="AM378" s="137">
        <f>Transportation_LCIA!Q$61*($W378^Transportation_LCIA!Q$60)+Transportation_LCIA!Q$62</f>
        <v>3.7712406149915079E-5</v>
      </c>
      <c r="AN378" s="137">
        <f>Transportation_LCIA!R$61*($W378^Transportation_LCIA!R$60)+Transportation_LCIA!R$62</f>
        <v>9.5564563306387018E-5</v>
      </c>
      <c r="AO378" s="137">
        <f>Transportation_LCIA!S$61*($W378^Transportation_LCIA!S$60)+Transportation_LCIA!S$62</f>
        <v>1.6104223690100325E-6</v>
      </c>
      <c r="AP378" s="137">
        <f>Transportation_LCIA!T$61*($W378^Transportation_LCIA!T$60)+Transportation_LCIA!T$62</f>
        <v>1.6104223690100325E-6</v>
      </c>
      <c r="AQ378" s="137">
        <f>Transportation_LCIA!U$61*($W378^Transportation_LCIA!U$60)+Transportation_LCIA!U$62</f>
        <v>1.9841117968728933E-4</v>
      </c>
      <c r="AR378" s="137">
        <f>Transportation_LCIA!V$61*($W378^Transportation_LCIA!V$60)+Transportation_LCIA!V$62</f>
        <v>9.8836677084105837E-5</v>
      </c>
      <c r="AT378" s="137">
        <f>$W378*Y378+$L378*Summary_LCIA!H$32</f>
        <v>1151.8891404317842</v>
      </c>
      <c r="AU378" s="137">
        <f>$W378*Z378+$L378*Summary_LCIA!Q$32</f>
        <v>11673.873612930995</v>
      </c>
      <c r="AV378" s="137">
        <f>$W378*AA378+$L378*Summary_LCIA!R$32</f>
        <v>5.1788911884509297</v>
      </c>
      <c r="AW378" s="137">
        <f>$W378*AB378+$L378*Summary_LCIA!S$32</f>
        <v>1150.0519364917841</v>
      </c>
      <c r="AX378" s="137">
        <f>$W378*AC378+$L378*Summary_LCIA!T$32</f>
        <v>272.03334177391002</v>
      </c>
      <c r="AY378" s="137">
        <f>$W378*AD378+$L378*Summary_LCIA!U$32</f>
        <v>8.3136547369342928</v>
      </c>
      <c r="AZ378" s="137">
        <f>$W378*AE378+$L378*Summary_LCIA!V$32</f>
        <v>3.4655775469828606E-2</v>
      </c>
      <c r="BA378" s="137">
        <f>$W378*AF378+$L378*Summary_LCIA!W$32</f>
        <v>54.407137763368944</v>
      </c>
      <c r="BB378" s="137">
        <f>$W378*AG378+$L378*Summary_LCIA!X$32</f>
        <v>54.214535270473355</v>
      </c>
      <c r="BC378" s="137">
        <f>$W378*AH378+$L378*Summary_LCIA!Y$32</f>
        <v>7.1736248900254544</v>
      </c>
      <c r="BD378" s="137">
        <f>$W378*AI378+$L378*Summary_LCIA!Z$32</f>
        <v>1.1782155039932642</v>
      </c>
      <c r="BE378" s="137">
        <f>$W378*AJ378+$L378*Summary_LCIA!AA$32</f>
        <v>13.060409205527886</v>
      </c>
      <c r="BF378" s="137">
        <f>$W378*AK378+$L378*Summary_LCIA!AB$32</f>
        <v>0.22911961898007518</v>
      </c>
      <c r="BG378" s="137">
        <f>$W378*AL378+$L378*Summary_LCIA!AC$32</f>
        <v>1.3586739748231848E-4</v>
      </c>
      <c r="BH378" s="137">
        <f>$W378*AM378+$L378*Summary_LCIA!AD$32</f>
        <v>0.45385485578230489</v>
      </c>
      <c r="BI378" s="137">
        <f>$W378*AN378+$L378*Summary_LCIA!AE$32</f>
        <v>1.0854662041013607</v>
      </c>
      <c r="BJ378" s="137">
        <f>$W378*AO378+$L378*Summary_LCIA!AF$32</f>
        <v>0.36348974782074539</v>
      </c>
      <c r="BK378" s="137">
        <f>$W378*AP378+$L378*Summary_LCIA!AG$32</f>
        <v>3.3352097285745376E-2</v>
      </c>
      <c r="BL378" s="137">
        <f>$W378*AQ378+$L378*Summary_LCIA!AH$32</f>
        <v>5.1066387219355001</v>
      </c>
      <c r="BM378" s="137">
        <f>$W378*AR378+$L378*Summary_LCIA!AI$32</f>
        <v>1.1289000943290413</v>
      </c>
    </row>
    <row r="379" spans="1:65" x14ac:dyDescent="0.25">
      <c r="A379" s="149">
        <v>335</v>
      </c>
      <c r="B379" s="149">
        <v>1</v>
      </c>
      <c r="C379" s="61">
        <v>-23.550519999999999</v>
      </c>
      <c r="D379" s="61">
        <v>-46.633308999999997</v>
      </c>
      <c r="E379" s="61" t="s">
        <v>465</v>
      </c>
      <c r="F379" s="149">
        <v>52</v>
      </c>
      <c r="G379" s="61" t="s">
        <v>682</v>
      </c>
      <c r="H379" s="61" t="s">
        <v>683</v>
      </c>
      <c r="I379" s="61">
        <v>-23.430572999999999</v>
      </c>
      <c r="J379" s="61">
        <v>-46.473042999999997</v>
      </c>
      <c r="K379" s="61">
        <v>21.411766369999999</v>
      </c>
      <c r="L379" s="61">
        <v>29.187000000000001</v>
      </c>
      <c r="M379" s="61" t="s">
        <v>617</v>
      </c>
      <c r="N379" s="149">
        <v>0</v>
      </c>
      <c r="O379" s="149">
        <v>1</v>
      </c>
      <c r="P379" s="61" t="s">
        <v>565</v>
      </c>
      <c r="Q379" s="61" t="s">
        <v>558</v>
      </c>
      <c r="R379" s="61">
        <v>33.640728199999998</v>
      </c>
      <c r="S379" s="61">
        <v>-84.427700099999996</v>
      </c>
      <c r="T379" s="61"/>
      <c r="U379" s="61" t="s">
        <v>622</v>
      </c>
      <c r="V379" s="61" t="s">
        <v>569</v>
      </c>
      <c r="W379" s="61" cm="1">
        <f t="array" ref="W379">getDistance(I379,J379,R379,S379)*SA!$B$12</f>
        <v>7504.2467822738536</v>
      </c>
      <c r="Y379" s="137">
        <f>Transportation_LCIA!C$61*($W379^Transportation_LCIA!C$60)+Transportation_LCIA!C$62</f>
        <v>0.13467692643305482</v>
      </c>
      <c r="Z379" s="137">
        <f>Transportation_LCIA!D$61*($W379^Transportation_LCIA!D$60)+Transportation_LCIA!D$62</f>
        <v>1.281122121518028</v>
      </c>
      <c r="AA379" s="137">
        <f>Transportation_LCIA!E$61*($W379^Transportation_LCIA!E$60)+Transportation_LCIA!E$62</f>
        <v>3.9846873057456544E-4</v>
      </c>
      <c r="AB379" s="137">
        <f>Transportation_LCIA!F$61*($W379^Transportation_LCIA!F$60)+Transportation_LCIA!F$62</f>
        <v>0.13467692643305482</v>
      </c>
      <c r="AC379" s="137">
        <f>Transportation_LCIA!G$61*($W379^Transportation_LCIA!G$60)+Transportation_LCIA!G$62</f>
        <v>3.0163272083294036E-2</v>
      </c>
      <c r="AD379" s="137">
        <f>Transportation_LCIA!H$61*($W379^Transportation_LCIA!H$60)+Transportation_LCIA!H$62</f>
        <v>1.1561123509205936E-4</v>
      </c>
      <c r="AE379" s="137">
        <f>Transportation_LCIA!I$61*($W379^Transportation_LCIA!I$60)+Transportation_LCIA!I$62</f>
        <v>1.9726938522060428E-6</v>
      </c>
      <c r="AF379" s="137">
        <f>Transportation_LCIA!J$61*($W379^Transportation_LCIA!J$60)+Transportation_LCIA!J$62</f>
        <v>2.9867891430907108E-3</v>
      </c>
      <c r="AG379" s="137">
        <f>Transportation_LCIA!K$61*($W379^Transportation_LCIA!K$60)+Transportation_LCIA!K$62</f>
        <v>5.962739513866968E-3</v>
      </c>
      <c r="AH379" s="137">
        <f>Transportation_LCIA!L$61*($W379^Transportation_LCIA!L$60)+Transportation_LCIA!L$62</f>
        <v>9.2861753650151202E-5</v>
      </c>
      <c r="AI379" s="137">
        <f>Transportation_LCIA!M$61*($W379^Transportation_LCIA!M$60)+Transportation_LCIA!M$62</f>
        <v>1.5473502668157449E-4</v>
      </c>
      <c r="AJ379" s="137">
        <f>Transportation_LCIA!N$61*($W379^Transportation_LCIA!N$60)+Transportation_LCIA!N$62</f>
        <v>4.4672362340835792E-4</v>
      </c>
      <c r="AK379" s="137">
        <f>Transportation_LCIA!O$61*($W379^Transportation_LCIA!O$60)+Transportation_LCIA!O$62</f>
        <v>3.1740760745464363E-5</v>
      </c>
      <c r="AL379" s="137">
        <f>Transportation_LCIA!P$61*($W379^Transportation_LCIA!P$60)+Transportation_LCIA!P$62</f>
        <v>1.5397737314191349E-8</v>
      </c>
      <c r="AM379" s="137">
        <f>Transportation_LCIA!Q$61*($W379^Transportation_LCIA!Q$60)+Transportation_LCIA!Q$62</f>
        <v>3.7712406149915079E-5</v>
      </c>
      <c r="AN379" s="137">
        <f>Transportation_LCIA!R$61*($W379^Transportation_LCIA!R$60)+Transportation_LCIA!R$62</f>
        <v>9.5564563306387018E-5</v>
      </c>
      <c r="AO379" s="137">
        <f>Transportation_LCIA!S$61*($W379^Transportation_LCIA!S$60)+Transportation_LCIA!S$62</f>
        <v>1.6104223690100325E-6</v>
      </c>
      <c r="AP379" s="137">
        <f>Transportation_LCIA!T$61*($W379^Transportation_LCIA!T$60)+Transportation_LCIA!T$62</f>
        <v>1.6104223690100325E-6</v>
      </c>
      <c r="AQ379" s="137">
        <f>Transportation_LCIA!U$61*($W379^Transportation_LCIA!U$60)+Transportation_LCIA!U$62</f>
        <v>1.9841117968728933E-4</v>
      </c>
      <c r="AR379" s="137">
        <f>Transportation_LCIA!V$61*($W379^Transportation_LCIA!V$60)+Transportation_LCIA!V$62</f>
        <v>9.8836677084105837E-5</v>
      </c>
      <c r="AT379" s="137">
        <f>$W379*Y379+$L379*Summary_LCIA!H$32</f>
        <v>1020.5666344317841</v>
      </c>
      <c r="AU379" s="137">
        <f>$W379*Z379+$L379*Summary_LCIA!Q$32</f>
        <v>9758.5088020894855</v>
      </c>
      <c r="AV379" s="137">
        <f>$W379*AA379+$L379*Summary_LCIA!R$32</f>
        <v>3.1438947564509299</v>
      </c>
      <c r="AW379" s="137">
        <f>$W379*AB379+$L379*Summary_LCIA!S$32</f>
        <v>1020.4376278917841</v>
      </c>
      <c r="AX379" s="137">
        <f>$W379*AC379+$L379*Summary_LCIA!T$32</f>
        <v>229.56028877391003</v>
      </c>
      <c r="AY379" s="137">
        <f>$W379*AD379+$L379*Summary_LCIA!U$32</f>
        <v>1.3904311569342924</v>
      </c>
      <c r="AZ379" s="137">
        <f>$W379*AE379+$L379*Summary_LCIA!V$32</f>
        <v>1.6197581799828609E-2</v>
      </c>
      <c r="BA379" s="137">
        <f>$W379*AF379+$L379*Summary_LCIA!W$32</f>
        <v>24.660155393368946</v>
      </c>
      <c r="BB379" s="137">
        <f>$W379*AG379+$L379*Summary_LCIA!X$32</f>
        <v>45.410748670473353</v>
      </c>
      <c r="BC379" s="137">
        <f>$W379*AH379+$L379*Summary_LCIA!Y$32</f>
        <v>1.1516493500254543</v>
      </c>
      <c r="BD379" s="137">
        <f>$W379*AI379+$L379*Summary_LCIA!Z$32</f>
        <v>1.1623667557632642</v>
      </c>
      <c r="BE379" s="137">
        <f>$W379*AJ379+$L379*Summary_LCIA!AA$32</f>
        <v>4.0340158855278867</v>
      </c>
      <c r="BF379" s="137">
        <f>$W379*AK379+$L379*Summary_LCIA!AB$32</f>
        <v>0.2375535537900752</v>
      </c>
      <c r="BG379" s="137">
        <f>$W379*AL379+$L379*Summary_LCIA!AC$32</f>
        <v>1.1697519800231848E-4</v>
      </c>
      <c r="BH379" s="137">
        <f>$W379*AM379+$L379*Summary_LCIA!AD$32</f>
        <v>0.29500022698230494</v>
      </c>
      <c r="BI379" s="137">
        <f>$W379*AN379+$L379*Summary_LCIA!AE$32</f>
        <v>0.74300354300136073</v>
      </c>
      <c r="BJ379" s="137">
        <f>$W379*AO379+$L379*Summary_LCIA!AF$32</f>
        <v>3.6760280420745375E-2</v>
      </c>
      <c r="BK379" s="137">
        <f>$W379*AP379+$L379*Summary_LCIA!AG$32</f>
        <v>1.3578359735745373E-2</v>
      </c>
      <c r="BL379" s="137">
        <f>$W379*AQ379+$L379*Summary_LCIA!AH$32</f>
        <v>1.7429584299355003</v>
      </c>
      <c r="BM379" s="137">
        <f>$W379*AR379+$L379*Summary_LCIA!AI$32</f>
        <v>0.76888396582904117</v>
      </c>
    </row>
    <row r="380" spans="1:65" x14ac:dyDescent="0.25">
      <c r="A380" s="149">
        <v>347</v>
      </c>
      <c r="B380" s="149">
        <v>15</v>
      </c>
      <c r="C380" s="61">
        <v>40.463667000000001</v>
      </c>
      <c r="D380" s="61">
        <v>-3.7492200000000002</v>
      </c>
      <c r="E380" s="61" t="s">
        <v>466</v>
      </c>
      <c r="F380" s="149">
        <v>22</v>
      </c>
      <c r="G380" s="61" t="s">
        <v>686</v>
      </c>
      <c r="H380" s="61" t="s">
        <v>725</v>
      </c>
      <c r="I380" s="61">
        <v>40.498331999999998</v>
      </c>
      <c r="J380" s="61">
        <v>-3.5675979999999998</v>
      </c>
      <c r="K380" s="61">
        <v>17.248889810000001</v>
      </c>
      <c r="L380" s="61">
        <v>33.814999999999998</v>
      </c>
      <c r="M380" s="61" t="s">
        <v>617</v>
      </c>
      <c r="N380" s="149">
        <v>14</v>
      </c>
      <c r="O380" s="149">
        <v>15</v>
      </c>
      <c r="P380" s="61" t="s">
        <v>567</v>
      </c>
      <c r="Q380" s="61" t="s">
        <v>566</v>
      </c>
      <c r="R380" s="61">
        <v>50.037932599999998</v>
      </c>
      <c r="S380" s="61">
        <v>8.5621518000000005</v>
      </c>
      <c r="T380" s="61"/>
      <c r="U380" s="61" t="s">
        <v>622</v>
      </c>
      <c r="V380" s="61" t="s">
        <v>569</v>
      </c>
      <c r="W380" s="61" cm="1">
        <f t="array" ref="W380">getDistance(I380,J380,R380,S380)*SA!$B$12</f>
        <v>1422.5775061630379</v>
      </c>
      <c r="Y380" s="137">
        <f>Transportation_LCIA!C$61*($W380^Transportation_LCIA!C$60)+Transportation_LCIA!C$62</f>
        <v>0.20387178795923749</v>
      </c>
      <c r="Z380" s="137">
        <f>Transportation_LCIA!D$61*($W380^Transportation_LCIA!D$60)+Transportation_LCIA!D$62</f>
        <v>2.0544332493991768</v>
      </c>
      <c r="AA380" s="137">
        <f>Transportation_LCIA!E$61*($W380^Transportation_LCIA!E$60)+Transportation_LCIA!E$62</f>
        <v>9.0080003519318777E-4</v>
      </c>
      <c r="AB380" s="137">
        <f>Transportation_LCIA!F$61*($W380^Transportation_LCIA!F$60)+Transportation_LCIA!F$62</f>
        <v>0.20387178795923749</v>
      </c>
      <c r="AC380" s="137">
        <f>Transportation_LCIA!G$61*($W380^Transportation_LCIA!G$60)+Transportation_LCIA!G$62</f>
        <v>4.8099419426073042E-2</v>
      </c>
      <c r="AD380" s="137">
        <f>Transportation_LCIA!H$61*($W380^Transportation_LCIA!H$60)+Transportation_LCIA!H$62</f>
        <v>2.2346669639805041E-4</v>
      </c>
      <c r="AE380" s="137">
        <f>Transportation_LCIA!I$61*($W380^Transportation_LCIA!I$60)+Transportation_LCIA!I$62</f>
        <v>4.5863780306586757E-6</v>
      </c>
      <c r="AF380" s="137">
        <f>Transportation_LCIA!J$61*($W380^Transportation_LCIA!J$60)+Transportation_LCIA!J$62</f>
        <v>6.7842712024970423E-3</v>
      </c>
      <c r="AG380" s="137">
        <f>Transportation_LCIA!K$61*($W380^Transportation_LCIA!K$60)+Transportation_LCIA!K$62</f>
        <v>1.0059666229699251E-2</v>
      </c>
      <c r="AH380" s="137">
        <f>Transportation_LCIA!L$61*($W380^Transportation_LCIA!L$60)+Transportation_LCIA!L$62</f>
        <v>1.9094517212979147E-4</v>
      </c>
      <c r="AI380" s="137">
        <f>Transportation_LCIA!M$61*($W380^Transportation_LCIA!M$60)+Transportation_LCIA!M$62</f>
        <v>2.1418258174178348E-4</v>
      </c>
      <c r="AJ380" s="137">
        <f>Transportation_LCIA!N$61*($W380^Transportation_LCIA!N$60)+Transportation_LCIA!N$62</f>
        <v>8.1045513292544438E-4</v>
      </c>
      <c r="AK380" s="137">
        <f>Transportation_LCIA!O$61*($W380^Transportation_LCIA!O$60)+Transportation_LCIA!O$62</f>
        <v>5.07776706689413E-5</v>
      </c>
      <c r="AL380" s="137">
        <f>Transportation_LCIA!P$61*($W380^Transportation_LCIA!P$60)+Transportation_LCIA!P$62</f>
        <v>2.4579866628356082E-8</v>
      </c>
      <c r="AM380" s="137">
        <f>Transportation_LCIA!Q$61*($W380^Transportation_LCIA!Q$60)+Transportation_LCIA!Q$62</f>
        <v>7.583964131960341E-5</v>
      </c>
      <c r="AN380" s="137">
        <f>Transportation_LCIA!R$61*($W380^Transportation_LCIA!R$60)+Transportation_LCIA!R$62</f>
        <v>2.2078368893547546E-4</v>
      </c>
      <c r="AO380" s="137">
        <f>Transportation_LCIA!S$61*($W380^Transportation_LCIA!S$60)+Transportation_LCIA!S$62</f>
        <v>3.390566765884979E-6</v>
      </c>
      <c r="AP380" s="137">
        <f>Transportation_LCIA!T$61*($W380^Transportation_LCIA!T$60)+Transportation_LCIA!T$62</f>
        <v>3.390566765884979E-6</v>
      </c>
      <c r="AQ380" s="137">
        <f>Transportation_LCIA!U$61*($W380^Transportation_LCIA!U$60)+Transportation_LCIA!U$62</f>
        <v>4.7105293233365268E-4</v>
      </c>
      <c r="AR380" s="137">
        <f>Transportation_LCIA!V$61*($W380^Transportation_LCIA!V$60)+Transportation_LCIA!V$62</f>
        <v>1.9728057443119194E-4</v>
      </c>
      <c r="AT380" s="137">
        <f>$W380*Y380+$L380*Summary_LCIA!H$32</f>
        <v>301.51375669205174</v>
      </c>
      <c r="AU380" s="137">
        <f>$W380*Z380+$L380*Summary_LCIA!Q$32</f>
        <v>3090.1793739006025</v>
      </c>
      <c r="AV380" s="137">
        <f>$W380*AA380+$L380*Summary_LCIA!R$32</f>
        <v>1.459514131616702</v>
      </c>
      <c r="AW380" s="137">
        <f>$W380*AB380+$L380*Summary_LCIA!S$32</f>
        <v>301.3642943920517</v>
      </c>
      <c r="AX380" s="137">
        <f>$W380*AC380+$L380*Summary_LCIA!T$32</f>
        <v>72.141420635032972</v>
      </c>
      <c r="AY380" s="137">
        <f>$W380*AD380+$L380*Summary_LCIA!U$32</f>
        <v>0.92366060567243125</v>
      </c>
      <c r="AZ380" s="137">
        <f>$W380*AE380+$L380*Summary_LCIA!V$32</f>
        <v>8.1395164361753643E-3</v>
      </c>
      <c r="BA380" s="137">
        <f>$W380*AF380+$L380*Summary_LCIA!W$32</f>
        <v>12.253925973381957</v>
      </c>
      <c r="BB380" s="137">
        <f>$W380*AG380+$L380*Summary_LCIA!X$32</f>
        <v>15.080960597878091</v>
      </c>
      <c r="BC380" s="137">
        <f>$W380*AH380+$L380*Summary_LCIA!Y$32</f>
        <v>0.79853963678227069</v>
      </c>
      <c r="BD380" s="137">
        <f>$W380*AI380+$L380*Summary_LCIA!Z$32</f>
        <v>0.30607804233278735</v>
      </c>
      <c r="BE380" s="137">
        <f>$W380*AJ380+$L380*Summary_LCIA!AA$32</f>
        <v>1.9427183818541121</v>
      </c>
      <c r="BF380" s="137">
        <f>$W380*AK380+$L380*Summary_LCIA!AB$32</f>
        <v>7.1497227363990556E-2</v>
      </c>
      <c r="BG380" s="137">
        <f>$W380*AL380+$L380*Summary_LCIA!AC$32</f>
        <v>3.6619777829986872E-5</v>
      </c>
      <c r="BH380" s="137">
        <f>$W380*AM380+$L380*Summary_LCIA!AD$32</f>
        <v>0.12178708541674071</v>
      </c>
      <c r="BI380" s="137">
        <f>$W380*AN380+$L380*Summary_LCIA!AE$32</f>
        <v>0.3440463955573046</v>
      </c>
      <c r="BJ380" s="137">
        <f>$W380*AO380+$L380*Summary_LCIA!AF$32</f>
        <v>3.3411221314291931E-2</v>
      </c>
      <c r="BK380" s="137">
        <f>$W380*AP380+$L380*Summary_LCIA!AG$32</f>
        <v>6.5534884892919296E-3</v>
      </c>
      <c r="BL380" s="137">
        <f>$W380*AQ380+$L380*Summary_LCIA!AH$32</f>
        <v>0.96442153974999378</v>
      </c>
      <c r="BM380" s="137">
        <f>$W380*AR380+$L380*Summary_LCIA!AI$32</f>
        <v>0.31214727083873661</v>
      </c>
    </row>
    <row r="381" spans="1:65" x14ac:dyDescent="0.25">
      <c r="A381" s="149">
        <v>350</v>
      </c>
      <c r="B381" s="149">
        <v>15</v>
      </c>
      <c r="C381" s="61">
        <v>53.750993000000001</v>
      </c>
      <c r="D381" s="61">
        <v>-2.367264</v>
      </c>
      <c r="E381" s="61" t="s">
        <v>463</v>
      </c>
      <c r="F381" s="149">
        <v>7</v>
      </c>
      <c r="G381" s="61" t="s">
        <v>628</v>
      </c>
      <c r="H381" s="61" t="s">
        <v>629</v>
      </c>
      <c r="I381" s="61">
        <v>51.470022</v>
      </c>
      <c r="J381" s="61">
        <v>-0.45429599999999998</v>
      </c>
      <c r="K381" s="61">
        <v>293.50665629999997</v>
      </c>
      <c r="L381" s="61">
        <v>394.161</v>
      </c>
      <c r="M381" s="61" t="s">
        <v>589</v>
      </c>
      <c r="N381" s="149">
        <v>14</v>
      </c>
      <c r="O381" s="149">
        <v>15</v>
      </c>
      <c r="P381" s="61" t="s">
        <v>567</v>
      </c>
      <c r="Q381" s="61" t="s">
        <v>566</v>
      </c>
      <c r="R381" s="61">
        <v>50.037932599999998</v>
      </c>
      <c r="S381" s="61">
        <v>8.5621518000000005</v>
      </c>
      <c r="T381" s="61"/>
      <c r="U381" s="61" t="s">
        <v>622</v>
      </c>
      <c r="V381" s="61" t="s">
        <v>569</v>
      </c>
      <c r="W381" s="61" cm="1">
        <f t="array" ref="W381">getDistance(I381,J381,R381,S381)*SA!$B$12</f>
        <v>655.49865109245718</v>
      </c>
      <c r="Y381" s="137">
        <f>Transportation_LCIA!C$61*($W381^Transportation_LCIA!C$60)+Transportation_LCIA!C$62</f>
        <v>0.28808630932385726</v>
      </c>
      <c r="Z381" s="137">
        <f>Transportation_LCIA!D$61*($W381^Transportation_LCIA!D$60)+Transportation_LCIA!D$62</f>
        <v>3.0403453180333315</v>
      </c>
      <c r="AA381" s="137">
        <f>Transportation_LCIA!E$61*($W381^Transportation_LCIA!E$60)+Transportation_LCIA!E$62</f>
        <v>1.5496127326841335E-3</v>
      </c>
      <c r="AB381" s="137">
        <f>Transportation_LCIA!F$61*($W381^Transportation_LCIA!F$60)+Transportation_LCIA!F$62</f>
        <v>0.28808630932385726</v>
      </c>
      <c r="AC381" s="137">
        <f>Transportation_LCIA!G$61*($W381^Transportation_LCIA!G$60)+Transportation_LCIA!G$62</f>
        <v>7.0904955875308692E-2</v>
      </c>
      <c r="AD381" s="137">
        <f>Transportation_LCIA!H$61*($W381^Transportation_LCIA!H$60)+Transportation_LCIA!H$62</f>
        <v>3.6638661442350167E-4</v>
      </c>
      <c r="AE381" s="137">
        <f>Transportation_LCIA!I$61*($W381^Transportation_LCIA!I$60)+Transportation_LCIA!I$62</f>
        <v>8.1949302872625628E-6</v>
      </c>
      <c r="AF381" s="137">
        <f>Transportation_LCIA!J$61*($W381^Transportation_LCIA!J$60)+Transportation_LCIA!J$62</f>
        <v>1.216906133974993E-2</v>
      </c>
      <c r="AG381" s="137">
        <f>Transportation_LCIA!K$61*($W381^Transportation_LCIA!K$60)+Transportation_LCIA!K$62</f>
        <v>1.5391950999787709E-2</v>
      </c>
      <c r="AH381" s="137">
        <f>Transportation_LCIA!L$61*($W381^Transportation_LCIA!L$60)+Transportation_LCIA!L$62</f>
        <v>3.224475626051792E-4</v>
      </c>
      <c r="AI381" s="137">
        <f>Transportation_LCIA!M$61*($W381^Transportation_LCIA!M$60)+Transportation_LCIA!M$62</f>
        <v>2.9306665716547056E-4</v>
      </c>
      <c r="AJ381" s="137">
        <f>Transportation_LCIA!N$61*($W381^Transportation_LCIA!N$60)+Transportation_LCIA!N$62</f>
        <v>1.2908631335785605E-3</v>
      </c>
      <c r="AK381" s="137">
        <f>Transportation_LCIA!O$61*($W381^Transportation_LCIA!O$60)+Transportation_LCIA!O$62</f>
        <v>7.5013630480399058E-5</v>
      </c>
      <c r="AL381" s="137">
        <f>Transportation_LCIA!P$61*($W381^Transportation_LCIA!P$60)+Transportation_LCIA!P$62</f>
        <v>3.622947059126279E-8</v>
      </c>
      <c r="AM381" s="137">
        <f>Transportation_LCIA!Q$61*($W381^Transportation_LCIA!Q$60)+Transportation_LCIA!Q$62</f>
        <v>1.2728062224719001E-4</v>
      </c>
      <c r="AN381" s="137">
        <f>Transportation_LCIA!R$61*($W381^Transportation_LCIA!R$60)+Transportation_LCIA!R$62</f>
        <v>3.9383707879712856E-4</v>
      </c>
      <c r="AO381" s="137">
        <f>Transportation_LCIA!S$61*($W381^Transportation_LCIA!S$60)+Transportation_LCIA!S$62</f>
        <v>5.8462294863061377E-6</v>
      </c>
      <c r="AP381" s="137">
        <f>Transportation_LCIA!T$61*($W381^Transportation_LCIA!T$60)+Transportation_LCIA!T$62</f>
        <v>5.8462294863061377E-6</v>
      </c>
      <c r="AQ381" s="137">
        <f>Transportation_LCIA!U$61*($W381^Transportation_LCIA!U$60)+Transportation_LCIA!U$62</f>
        <v>8.5078004970210494E-4</v>
      </c>
      <c r="AR381" s="137">
        <f>Transportation_LCIA!V$61*($W381^Transportation_LCIA!V$60)+Transportation_LCIA!V$62</f>
        <v>3.311828503124549E-4</v>
      </c>
      <c r="AT381" s="137">
        <f>$W381*Y381+$L381*Summary_LCIA!H$34</f>
        <v>218.19020354199282</v>
      </c>
      <c r="AU381" s="137">
        <f ca="1">$W381*Z381+$L381*Summary_LCIA!Q$34</f>
        <v>2479.7662608121468</v>
      </c>
      <c r="AV381" s="137">
        <f ca="1">$W381*AA381+$L381*Summary_LCIA!R$34</f>
        <v>2.0234810685901463</v>
      </c>
      <c r="AW381" s="137">
        <f ca="1">$W381*AB381+$L381*Summary_LCIA!S$34</f>
        <v>217.78658267799281</v>
      </c>
      <c r="AX381" s="137">
        <f ca="1">$W381*AC381+$L381*Summary_LCIA!T$34</f>
        <v>54.654184555035044</v>
      </c>
      <c r="AY381" s="137">
        <f ca="1">$W381*AD381+$L381*Summary_LCIA!U$34</f>
        <v>0.96526450713293754</v>
      </c>
      <c r="AZ381" s="137">
        <f ca="1">$W381*AE381+$L381*Summary_LCIA!V$34</f>
        <v>3.7335463722097333E-2</v>
      </c>
      <c r="BA381" s="137">
        <f ca="1">$W381*AF381+$L381*Summary_LCIA!W$34</f>
        <v>27.901247682267446</v>
      </c>
      <c r="BB381" s="137">
        <f ca="1">$W381*AG381+$L381*Summary_LCIA!X$34</f>
        <v>14.276969582042041</v>
      </c>
      <c r="BC381" s="137">
        <f ca="1">$W381*AH381+$L381*Summary_LCIA!Y$34</f>
        <v>0.88679823193574558</v>
      </c>
      <c r="BD381" s="137">
        <f ca="1">$W381*AI381+$L381*Summary_LCIA!Z$34</f>
        <v>0.20334035775714157</v>
      </c>
      <c r="BE381" s="137">
        <f ca="1">$W381*AJ381+$L381*Summary_LCIA!AA$34</f>
        <v>1.6591555214057288</v>
      </c>
      <c r="BF381" s="137">
        <f ca="1">$W381*AK381+$L381*Summary_LCIA!AB$34</f>
        <v>4.6436289830549614E-2</v>
      </c>
      <c r="BG381" s="137">
        <f ca="1">$W381*AL381+$L381*Summary_LCIA!AC$34</f>
        <v>2.5199709320466604E-5</v>
      </c>
      <c r="BH381" s="137">
        <f ca="1">$W381*AM381+$L381*Summary_LCIA!AD$34</f>
        <v>0.12725509617324166</v>
      </c>
      <c r="BI381" s="137">
        <f ca="1">$W381*AN381+$L381*Summary_LCIA!AE$34</f>
        <v>0.37638432424171153</v>
      </c>
      <c r="BJ381" s="137">
        <f ca="1">$W381*AO381+$L381*Summary_LCIA!AF$34</f>
        <v>9.7587331002250616E-2</v>
      </c>
      <c r="BK381" s="137">
        <f ca="1">$W381*AP381+$L381*Summary_LCIA!AG$34</f>
        <v>4.911447776350622E-3</v>
      </c>
      <c r="BL381" s="137">
        <f ca="1">$W381*AQ381+$L381*Summary_LCIA!AH$34</f>
        <v>1.4557021812561035</v>
      </c>
      <c r="BM381" s="137">
        <f ca="1">$W381*AR381+$L381*Summary_LCIA!AI$34</f>
        <v>0.32775061239476933</v>
      </c>
    </row>
    <row r="382" spans="1:65" x14ac:dyDescent="0.25">
      <c r="A382" s="149">
        <v>356</v>
      </c>
      <c r="B382" s="149">
        <v>15</v>
      </c>
      <c r="C382" s="61">
        <v>60.128160999999999</v>
      </c>
      <c r="D382" s="61">
        <v>18.643501000000001</v>
      </c>
      <c r="E382" s="61" t="s">
        <v>469</v>
      </c>
      <c r="F382" s="149">
        <v>12</v>
      </c>
      <c r="G382" s="61" t="s">
        <v>726</v>
      </c>
      <c r="H382" s="61" t="s">
        <v>727</v>
      </c>
      <c r="I382" s="61">
        <v>59.649765000000002</v>
      </c>
      <c r="J382" s="61">
        <v>17.921592</v>
      </c>
      <c r="K382" s="61">
        <v>1283.369737</v>
      </c>
      <c r="L382" s="61">
        <v>109.205</v>
      </c>
      <c r="M382" s="61" t="s">
        <v>589</v>
      </c>
      <c r="N382" s="149">
        <v>14</v>
      </c>
      <c r="O382" s="149">
        <v>15</v>
      </c>
      <c r="P382" s="61" t="s">
        <v>567</v>
      </c>
      <c r="Q382" s="61" t="s">
        <v>566</v>
      </c>
      <c r="R382" s="61">
        <v>50.037932599999998</v>
      </c>
      <c r="S382" s="61">
        <v>8.5621518000000005</v>
      </c>
      <c r="T382" s="61"/>
      <c r="U382" s="61" t="s">
        <v>622</v>
      </c>
      <c r="V382" s="61" t="s">
        <v>569</v>
      </c>
      <c r="W382" s="61" cm="1">
        <f t="array" ref="W382">getDistance(I382,J382,R382,S382)*SA!$B$12</f>
        <v>1225.7422833871608</v>
      </c>
      <c r="Y382" s="137">
        <f>Transportation_LCIA!C$61*($W382^Transportation_LCIA!C$60)+Transportation_LCIA!C$62</f>
        <v>0.21611243011549416</v>
      </c>
      <c r="Z382" s="137">
        <f>Transportation_LCIA!D$61*($W382^Transportation_LCIA!D$60)+Transportation_LCIA!D$62</f>
        <v>2.1955501094668679</v>
      </c>
      <c r="AA382" s="137">
        <f>Transportation_LCIA!E$61*($W382^Transportation_LCIA!E$60)+Transportation_LCIA!E$62</f>
        <v>9.9326491712689916E-4</v>
      </c>
      <c r="AB382" s="137">
        <f>Transportation_LCIA!F$61*($W382^Transportation_LCIA!F$60)+Transportation_LCIA!F$62</f>
        <v>0.21611243011549416</v>
      </c>
      <c r="AC382" s="137">
        <f>Transportation_LCIA!G$61*($W382^Transportation_LCIA!G$60)+Transportation_LCIA!G$62</f>
        <v>5.1366587309719325E-2</v>
      </c>
      <c r="AD382" s="137">
        <f>Transportation_LCIA!H$61*($W382^Transportation_LCIA!H$60)+Transportation_LCIA!H$62</f>
        <v>2.4366063950068589E-4</v>
      </c>
      <c r="AE382" s="137">
        <f>Transportation_LCIA!I$61*($W382^Transportation_LCIA!I$60)+Transportation_LCIA!I$62</f>
        <v>5.0892186192930228E-6</v>
      </c>
      <c r="AF382" s="137">
        <f>Transportation_LCIA!J$61*($W382^Transportation_LCIA!J$60)+Transportation_LCIA!J$62</f>
        <v>7.5278198462194945E-3</v>
      </c>
      <c r="AG382" s="137">
        <f>Transportation_LCIA!K$61*($W382^Transportation_LCIA!K$60)+Transportation_LCIA!K$62</f>
        <v>1.0817647041235409E-2</v>
      </c>
      <c r="AH382" s="137">
        <f>Transportation_LCIA!L$61*($W382^Transportation_LCIA!L$60)+Transportation_LCIA!L$62</f>
        <v>2.0945267214998465E-4</v>
      </c>
      <c r="AI382" s="137">
        <f>Transportation_LCIA!M$61*($W382^Transportation_LCIA!M$60)+Transportation_LCIA!M$62</f>
        <v>2.2532332636909986E-4</v>
      </c>
      <c r="AJ382" s="137">
        <f>Transportation_LCIA!N$61*($W382^Transportation_LCIA!N$60)+Transportation_LCIA!N$62</f>
        <v>8.7840937608092359E-4</v>
      </c>
      <c r="AK382" s="137">
        <f>Transportation_LCIA!O$61*($W382^Transportation_LCIA!O$60)+Transportation_LCIA!O$62</f>
        <v>5.424829363992001E-5</v>
      </c>
      <c r="AL382" s="137">
        <f>Transportation_LCIA!P$61*($W382^Transportation_LCIA!P$60)+Transportation_LCIA!P$62</f>
        <v>2.6250019323080147E-8</v>
      </c>
      <c r="AM382" s="137">
        <f>Transportation_LCIA!Q$61*($W382^Transportation_LCIA!Q$60)+Transportation_LCIA!Q$62</f>
        <v>8.3063999711193088E-5</v>
      </c>
      <c r="AN382" s="137">
        <f>Transportation_LCIA!R$61*($W382^Transportation_LCIA!R$60)+Transportation_LCIA!R$62</f>
        <v>2.4489003172983539E-4</v>
      </c>
      <c r="AO382" s="137">
        <f>Transportation_LCIA!S$61*($W382^Transportation_LCIA!S$60)+Transportation_LCIA!S$62</f>
        <v>3.7328539547090719E-6</v>
      </c>
      <c r="AP382" s="137">
        <f>Transportation_LCIA!T$61*($W382^Transportation_LCIA!T$60)+Transportation_LCIA!T$62</f>
        <v>3.7328539547090719E-6</v>
      </c>
      <c r="AQ382" s="137">
        <f>Transportation_LCIA!U$61*($W382^Transportation_LCIA!U$60)+Transportation_LCIA!U$62</f>
        <v>5.2380934900005875E-4</v>
      </c>
      <c r="AR382" s="137">
        <f>Transportation_LCIA!V$61*($W382^Transportation_LCIA!V$60)+Transportation_LCIA!V$62</f>
        <v>2.1603419184371147E-4</v>
      </c>
      <c r="AT382" s="137">
        <f>$W382*Y382+$L382*Summary_LCIA!H$34</f>
        <v>273.02976626811403</v>
      </c>
      <c r="AU382" s="137">
        <f ca="1">$W382*Z382+$L382*Summary_LCIA!Q$34</f>
        <v>2826.0565238309996</v>
      </c>
      <c r="AV382" s="137">
        <f ca="1">$W382*AA382+$L382*Summary_LCIA!R$34</f>
        <v>1.4966803105274846</v>
      </c>
      <c r="AW382" s="137">
        <f ca="1">$W382*AB382+$L382*Summary_LCIA!S$34</f>
        <v>272.91794034811403</v>
      </c>
      <c r="AX382" s="137">
        <f ca="1">$W382*AC382+$L382*Summary_LCIA!T$34</f>
        <v>65.227437333821328</v>
      </c>
      <c r="AY382" s="137">
        <f ca="1">$W382*AD382+$L382*Summary_LCIA!U$34</f>
        <v>0.49955866663314658</v>
      </c>
      <c r="AZ382" s="137">
        <f ca="1">$W382*AE382+$L382*Summary_LCIA!V$34</f>
        <v>1.5093831516068683E-2</v>
      </c>
      <c r="BA382" s="137">
        <f ca="1">$W382*AF382+$L382*Summary_LCIA!W$34</f>
        <v>14.747370632232268</v>
      </c>
      <c r="BB382" s="137">
        <f ca="1">$W382*AG382+$L382*Summary_LCIA!X$34</f>
        <v>14.419841305200253</v>
      </c>
      <c r="BC382" s="137">
        <f ca="1">$W382*AH382+$L382*Summary_LCIA!Y$34</f>
        <v>0.4438686846226646</v>
      </c>
      <c r="BD382" s="137">
        <f ca="1">$W382*AI382+$L382*Summary_LCIA!Z$34</f>
        <v>0.27930121708905092</v>
      </c>
      <c r="BE382" s="137">
        <f ca="1">$W382*AJ382+$L382*Summary_LCIA!AA$34</f>
        <v>1.3019497473861226</v>
      </c>
      <c r="BF382" s="137">
        <f ca="1">$W382*AK382+$L382*Summary_LCIA!AB$34</f>
        <v>6.573666474155275E-2</v>
      </c>
      <c r="BG382" s="137">
        <f ca="1">$W382*AL382+$L382*Summary_LCIA!AC$34</f>
        <v>3.2577862354529355E-5</v>
      </c>
      <c r="BH382" s="137">
        <f ca="1">$W382*AM382+$L382*Summary_LCIA!AD$34</f>
        <v>0.11395646857326827</v>
      </c>
      <c r="BI382" s="137">
        <f ca="1">$W382*AN382+$L382*Summary_LCIA!AE$34</f>
        <v>0.33292701437128269</v>
      </c>
      <c r="BJ382" s="137">
        <f ca="1">$W382*AO382+$L382*Summary_LCIA!AF$34</f>
        <v>3.055101822999589E-2</v>
      </c>
      <c r="BK382" s="137">
        <f ca="1">$W382*AP382+$L382*Summary_LCIA!AG$34</f>
        <v>4.8745311404958906E-3</v>
      </c>
      <c r="BL382" s="137">
        <f ca="1">$W382*AQ382+$L382*Summary_LCIA!AH$34</f>
        <v>0.89085701900287417</v>
      </c>
      <c r="BM382" s="137">
        <f ca="1">$W382*AR382+$L382*Summary_LCIA!AI$34</f>
        <v>0.29546154735021085</v>
      </c>
    </row>
    <row r="383" spans="1:65" x14ac:dyDescent="0.25">
      <c r="A383" s="149">
        <v>368</v>
      </c>
      <c r="B383" s="149">
        <v>1</v>
      </c>
      <c r="C383" s="61">
        <v>-2.1458900000000001</v>
      </c>
      <c r="D383" s="61">
        <v>-79.945836</v>
      </c>
      <c r="E383" s="61" t="s">
        <v>470</v>
      </c>
      <c r="F383" s="149">
        <v>108</v>
      </c>
      <c r="G383" s="61" t="s">
        <v>730</v>
      </c>
      <c r="H383" s="61" t="s">
        <v>731</v>
      </c>
      <c r="I383" s="61">
        <v>-2.1481880000000002</v>
      </c>
      <c r="J383" s="61">
        <v>-79.886499000000001</v>
      </c>
      <c r="K383" s="61">
        <v>3436.2375189999998</v>
      </c>
      <c r="L383" s="61">
        <v>12.827</v>
      </c>
      <c r="M383" s="61" t="s">
        <v>617</v>
      </c>
      <c r="N383" s="149">
        <v>0</v>
      </c>
      <c r="O383" s="149">
        <v>1</v>
      </c>
      <c r="P383" s="61" t="s">
        <v>565</v>
      </c>
      <c r="Q383" s="61" t="s">
        <v>558</v>
      </c>
      <c r="R383" s="61">
        <v>33.640728199999998</v>
      </c>
      <c r="S383" s="61">
        <v>-84.427700099999996</v>
      </c>
      <c r="T383" s="61"/>
      <c r="U383" s="61" t="s">
        <v>622</v>
      </c>
      <c r="V383" s="61" t="s">
        <v>569</v>
      </c>
      <c r="W383" s="61" cm="1">
        <f t="array" ref="W383">getDistance(I383,J383,R383,S383)*SA!$B$12</f>
        <v>4001.822443067415</v>
      </c>
      <c r="Y383" s="137">
        <f>Transportation_LCIA!C$61*($W383^Transportation_LCIA!C$60)+Transportation_LCIA!C$62</f>
        <v>0.15051174074224261</v>
      </c>
      <c r="Z383" s="137">
        <f>Transportation_LCIA!D$61*($W383^Transportation_LCIA!D$60)+Transportation_LCIA!D$62</f>
        <v>1.452935568109968</v>
      </c>
      <c r="AA383" s="137">
        <f>Transportation_LCIA!E$61*($W383^Transportation_LCIA!E$60)+Transportation_LCIA!E$62</f>
        <v>5.0914636194311701E-4</v>
      </c>
      <c r="AB383" s="137">
        <f>Transportation_LCIA!F$61*($W383^Transportation_LCIA!F$60)+Transportation_LCIA!F$62</f>
        <v>0.15051174074224261</v>
      </c>
      <c r="AC383" s="137">
        <f>Transportation_LCIA!G$61*($W383^Transportation_LCIA!G$60)+Transportation_LCIA!G$62</f>
        <v>3.4155217804154814E-2</v>
      </c>
      <c r="AD383" s="137">
        <f>Transportation_LCIA!H$61*($W383^Transportation_LCIA!H$60)+Transportation_LCIA!H$62</f>
        <v>1.3898353182619506E-4</v>
      </c>
      <c r="AE383" s="137">
        <f>Transportation_LCIA!I$61*($W383^Transportation_LCIA!I$60)+Transportation_LCIA!I$62</f>
        <v>2.5240184515443364E-6</v>
      </c>
      <c r="AF383" s="137">
        <f>Transportation_LCIA!J$61*($W383^Transportation_LCIA!J$60)+Transportation_LCIA!J$62</f>
        <v>3.7737302468008405E-3</v>
      </c>
      <c r="AG383" s="137">
        <f>Transportation_LCIA!K$61*($W383^Transportation_LCIA!K$60)+Transportation_LCIA!K$62</f>
        <v>6.8609513094614761E-3</v>
      </c>
      <c r="AH383" s="137">
        <f>Transportation_LCIA!L$61*($W383^Transportation_LCIA!L$60)+Transportation_LCIA!L$62</f>
        <v>1.1395450678901577E-4</v>
      </c>
      <c r="AI383" s="137">
        <f>Transportation_LCIA!M$61*($W383^Transportation_LCIA!M$60)+Transportation_LCIA!M$62</f>
        <v>1.6760563848159564E-4</v>
      </c>
      <c r="AJ383" s="137">
        <f>Transportation_LCIA!N$61*($W383^Transportation_LCIA!N$60)+Transportation_LCIA!N$62</f>
        <v>5.2571242663832971E-4</v>
      </c>
      <c r="AK383" s="137">
        <f>Transportation_LCIA!O$61*($W383^Transportation_LCIA!O$60)+Transportation_LCIA!O$62</f>
        <v>3.5974239558053534E-5</v>
      </c>
      <c r="AL383" s="137">
        <f>Transportation_LCIA!P$61*($W383^Transportation_LCIA!P$60)+Transportation_LCIA!P$62</f>
        <v>1.7444199225029239E-8</v>
      </c>
      <c r="AM383" s="137">
        <f>Transportation_LCIA!Q$61*($W383^Transportation_LCIA!Q$60)+Transportation_LCIA!Q$62</f>
        <v>4.5877866834516596E-5</v>
      </c>
      <c r="AN383" s="137">
        <f>Transportation_LCIA!R$61*($W383^Transportation_LCIA!R$60)+Transportation_LCIA!R$62</f>
        <v>1.2196072021358322E-4</v>
      </c>
      <c r="AO383" s="137">
        <f>Transportation_LCIA!S$61*($W383^Transportation_LCIA!S$60)+Transportation_LCIA!S$62</f>
        <v>1.9861315888411657E-6</v>
      </c>
      <c r="AP383" s="137">
        <f>Transportation_LCIA!T$61*($W383^Transportation_LCIA!T$60)+Transportation_LCIA!T$62</f>
        <v>1.9861315888411657E-6</v>
      </c>
      <c r="AQ383" s="137">
        <f>Transportation_LCIA!U$61*($W383^Transportation_LCIA!U$60)+Transportation_LCIA!U$62</f>
        <v>2.5558918900643374E-4</v>
      </c>
      <c r="AR383" s="137">
        <f>Transportation_LCIA!V$61*($W383^Transportation_LCIA!V$60)+Transportation_LCIA!V$62</f>
        <v>1.1980764701058366E-4</v>
      </c>
      <c r="AT383" s="137">
        <f>$W383*Y383+$L383*Summary_LCIA!H$32</f>
        <v>606.67987664745067</v>
      </c>
      <c r="AU383" s="137">
        <f>$W383*Z383+$L383*Summary_LCIA!Q$32</f>
        <v>5877.9614236974658</v>
      </c>
      <c r="AV383" s="137">
        <f>$W383*AA383+$L383*Summary_LCIA!R$32</f>
        <v>2.1050551892300908</v>
      </c>
      <c r="AW383" s="137">
        <f>$W383*AB383+$L383*Summary_LCIA!S$32</f>
        <v>606.62318130745064</v>
      </c>
      <c r="AX383" s="137">
        <f>$W383*AC383+$L383*Summary_LCIA!T$32</f>
        <v>138.09280445652249</v>
      </c>
      <c r="AY383" s="137">
        <f>$W383*AD383+$L383*Summary_LCIA!U$32</f>
        <v>0.78597029487884174</v>
      </c>
      <c r="AZ383" s="137">
        <f>$W383*AE383+$L383*Summary_LCIA!V$32</f>
        <v>1.0713304033106389E-2</v>
      </c>
      <c r="BA383" s="137">
        <f>$W383*AF383+$L383*Summary_LCIA!W$32</f>
        <v>16.089105412729939</v>
      </c>
      <c r="BB383" s="137">
        <f>$W383*AG383+$L383*Summary_LCIA!X$32</f>
        <v>27.748507990995705</v>
      </c>
      <c r="BC383" s="137">
        <f>$W383*AH383+$L383*Summary_LCIA!Y$32</f>
        <v>0.65589601675696141</v>
      </c>
      <c r="BD383" s="137">
        <f>$W383*AI383+$L383*Summary_LCIA!Z$32</f>
        <v>0.67125402810329304</v>
      </c>
      <c r="BE383" s="137">
        <f>$W383*AJ383+$L383*Summary_LCIA!AA$32</f>
        <v>2.4033951995207001</v>
      </c>
      <c r="BF383" s="137">
        <f>$W383*AK383+$L383*Summary_LCIA!AB$32</f>
        <v>0.14368259561470226</v>
      </c>
      <c r="BG383" s="137">
        <f>$W383*AL383+$L383*Summary_LCIA!AC$32</f>
        <v>7.0435623028061216E-5</v>
      </c>
      <c r="BH383" s="137">
        <f>$W383*AM383+$L383*Summary_LCIA!AD$32</f>
        <v>0.18886748721842675</v>
      </c>
      <c r="BI383" s="137">
        <f>$W383*AN383+$L383*Summary_LCIA!AE$32</f>
        <v>0.49943153683338309</v>
      </c>
      <c r="BJ383" s="137">
        <f>$W383*AO383+$L383*Summary_LCIA!AF$32</f>
        <v>1.879234830710972E-2</v>
      </c>
      <c r="BK383" s="137">
        <f>$W383*AP383+$L383*Summary_LCIA!AG$32</f>
        <v>8.6044394221097206E-3</v>
      </c>
      <c r="BL383" s="137">
        <f>$W383*AQ383+$L383*Summary_LCIA!AH$32</f>
        <v>1.134463629971346</v>
      </c>
      <c r="BM383" s="137">
        <f>$W383*AR383+$L383*Summary_LCIA!AI$32</f>
        <v>0.49139792250805236</v>
      </c>
    </row>
    <row r="384" spans="1:65" x14ac:dyDescent="0.25">
      <c r="A384" s="149">
        <v>382</v>
      </c>
      <c r="B384" s="149">
        <v>29</v>
      </c>
      <c r="C384" s="61">
        <v>35.679470000000002</v>
      </c>
      <c r="D384" s="61">
        <v>139.77990500000001</v>
      </c>
      <c r="E384" s="61" t="s">
        <v>272</v>
      </c>
      <c r="F384" s="149">
        <v>5</v>
      </c>
      <c r="G384" s="61" t="s">
        <v>620</v>
      </c>
      <c r="H384" s="61" t="s">
        <v>621</v>
      </c>
      <c r="I384" s="61">
        <v>35.549393000000002</v>
      </c>
      <c r="J384" s="61">
        <v>139.77983900000001</v>
      </c>
      <c r="K384" s="61">
        <v>34.915987389999998</v>
      </c>
      <c r="L384" s="61">
        <v>20.963999999999999</v>
      </c>
      <c r="M384" s="61" t="s">
        <v>617</v>
      </c>
      <c r="N384" s="149">
        <v>28</v>
      </c>
      <c r="O384" s="149">
        <v>29</v>
      </c>
      <c r="P384" s="61" t="s">
        <v>565</v>
      </c>
      <c r="Q384" s="61" t="s">
        <v>559</v>
      </c>
      <c r="R384" s="61">
        <v>47.450249900000003</v>
      </c>
      <c r="S384" s="61">
        <v>-122.30881650000001</v>
      </c>
      <c r="T384" s="61"/>
      <c r="U384" s="61" t="s">
        <v>622</v>
      </c>
      <c r="V384" s="61" t="s">
        <v>569</v>
      </c>
      <c r="W384" s="61" cm="1">
        <f t="array" ref="W384">getDistance(I384,J384,R384,S384)*SA!$B$12</f>
        <v>7732.9863561656575</v>
      </c>
      <c r="Y384" s="137">
        <f>Transportation_LCIA!C$61*($W384^Transportation_LCIA!C$60)+Transportation_LCIA!C$62</f>
        <v>0.13410983014831226</v>
      </c>
      <c r="Z384" s="137">
        <f>Transportation_LCIA!D$61*($W384^Transportation_LCIA!D$60)+Transportation_LCIA!D$62</f>
        <v>1.2750636922893839</v>
      </c>
      <c r="AA384" s="137">
        <f>Transportation_LCIA!E$61*($W384^Transportation_LCIA!E$60)+Transportation_LCIA!E$62</f>
        <v>3.945830816743962E-4</v>
      </c>
      <c r="AB384" s="137">
        <f>Transportation_LCIA!F$61*($W384^Transportation_LCIA!F$60)+Transportation_LCIA!F$62</f>
        <v>0.13410983014831226</v>
      </c>
      <c r="AC384" s="137">
        <f>Transportation_LCIA!G$61*($W384^Transportation_LCIA!G$60)+Transportation_LCIA!G$62</f>
        <v>3.0022381689887842E-2</v>
      </c>
      <c r="AD384" s="137">
        <f>Transportation_LCIA!H$61*($W384^Transportation_LCIA!H$60)+Transportation_LCIA!H$62</f>
        <v>1.1479775437180469E-4</v>
      </c>
      <c r="AE384" s="137">
        <f>Transportation_LCIA!I$61*($W384^Transportation_LCIA!I$60)+Transportation_LCIA!I$62</f>
        <v>1.9537711263723941E-6</v>
      </c>
      <c r="AF384" s="137">
        <f>Transportation_LCIA!J$61*($W384^Transportation_LCIA!J$60)+Transportation_LCIA!J$62</f>
        <v>2.960025709740249E-3</v>
      </c>
      <c r="AG384" s="137">
        <f>Transportation_LCIA!K$61*($W384^Transportation_LCIA!K$60)+Transportation_LCIA!K$62</f>
        <v>5.9312865998840157E-3</v>
      </c>
      <c r="AH384" s="137">
        <f>Transportation_LCIA!L$61*($W384^Transportation_LCIA!L$60)+Transportation_LCIA!L$62</f>
        <v>9.2130525424215489E-5</v>
      </c>
      <c r="AI384" s="137">
        <f>Transportation_LCIA!M$61*($W384^Transportation_LCIA!M$60)+Transportation_LCIA!M$62</f>
        <v>1.5428727202023863E-4</v>
      </c>
      <c r="AJ384" s="137">
        <f>Transportation_LCIA!N$61*($W384^Transportation_LCIA!N$60)+Transportation_LCIA!N$62</f>
        <v>4.4397134188153039E-4</v>
      </c>
      <c r="AK384" s="137">
        <f>Transportation_LCIA!O$61*($W384^Transportation_LCIA!O$60)+Transportation_LCIA!O$62</f>
        <v>3.159140959269419E-5</v>
      </c>
      <c r="AL384" s="137">
        <f>Transportation_LCIA!P$61*($W384^Transportation_LCIA!P$60)+Transportation_LCIA!P$62</f>
        <v>1.5325457493794949E-8</v>
      </c>
      <c r="AM384" s="137">
        <f>Transportation_LCIA!Q$61*($W384^Transportation_LCIA!Q$60)+Transportation_LCIA!Q$62</f>
        <v>3.7429937539717766E-5</v>
      </c>
      <c r="AN384" s="137">
        <f>Transportation_LCIA!R$61*($W384^Transportation_LCIA!R$60)+Transportation_LCIA!R$62</f>
        <v>9.4658893049615744E-5</v>
      </c>
      <c r="AO384" s="137">
        <f>Transportation_LCIA!S$61*($W384^Transportation_LCIA!S$60)+Transportation_LCIA!S$62</f>
        <v>1.5975234452295921E-6</v>
      </c>
      <c r="AP384" s="137">
        <f>Transportation_LCIA!T$61*($W384^Transportation_LCIA!T$60)+Transportation_LCIA!T$62</f>
        <v>1.5975234452295921E-6</v>
      </c>
      <c r="AQ384" s="137">
        <f>Transportation_LCIA!U$61*($W384^Transportation_LCIA!U$60)+Transportation_LCIA!U$62</f>
        <v>1.9645456769131977E-4</v>
      </c>
      <c r="AR384" s="137">
        <f>Transportation_LCIA!V$61*($W384^Transportation_LCIA!V$60)+Transportation_LCIA!V$62</f>
        <v>9.8113228741500703E-5</v>
      </c>
      <c r="AT384" s="137">
        <f>$W384*Y384+$L384*Summary_LCIA!H$32</f>
        <v>1044.1930539645925</v>
      </c>
      <c r="AU384" s="137">
        <f>$W384*Z384+$L384*Summary_LCIA!Q$32</f>
        <v>9963.948776993424</v>
      </c>
      <c r="AV384" s="137">
        <f>$W384*AA384+$L384*Summary_LCIA!R$32</f>
        <v>3.161693625361905</v>
      </c>
      <c r="AW384" s="137">
        <f>$W384*AB384+$L384*Summary_LCIA!S$32</f>
        <v>1044.1003930845925</v>
      </c>
      <c r="AX384" s="137">
        <f>$W384*AC384+$L384*Summary_LCIA!T$32</f>
        <v>234.46661158750032</v>
      </c>
      <c r="AY384" s="137">
        <f>$W384*AD384+$L384*Summary_LCIA!U$32</f>
        <v>1.2632785642756221</v>
      </c>
      <c r="AZ384" s="137">
        <f>$W384*AE384+$L384*Summary_LCIA!V$32</f>
        <v>1.6109747067308132E-2</v>
      </c>
      <c r="BA384" s="137">
        <f>$W384*AF384+$L384*Summary_LCIA!W$32</f>
        <v>24.503458471320915</v>
      </c>
      <c r="BB384" s="137">
        <f>$W384*AG384+$L384*Summary_LCIA!X$32</f>
        <v>46.344118271411283</v>
      </c>
      <c r="BC384" s="137">
        <f>$W384*AH384+$L384*Summary_LCIA!Y$32</f>
        <v>1.0391051440918315</v>
      </c>
      <c r="BD384" s="137">
        <f>$W384*AI384+$L384*Summary_LCIA!Z$32</f>
        <v>1.1939610821385247</v>
      </c>
      <c r="BE384" s="137">
        <f>$W384*AJ384+$L384*Summary_LCIA!AA$32</f>
        <v>3.922859513298433</v>
      </c>
      <c r="BF384" s="137">
        <f>$W384*AK384+$L384*Summary_LCIA!AB$32</f>
        <v>0.24383844198034504</v>
      </c>
      <c r="BG384" s="137">
        <f>$W384*AL384+$L384*Summary_LCIA!AC$32</f>
        <v>1.1953635787751307E-4</v>
      </c>
      <c r="BH384" s="137">
        <f>$W384*AM384+$L384*Summary_LCIA!AD$32</f>
        <v>0.29806223886677025</v>
      </c>
      <c r="BI384" s="137">
        <f>$W384*AN384+$L384*Summary_LCIA!AE$32</f>
        <v>0.75057275776242283</v>
      </c>
      <c r="BJ384" s="137">
        <f>$W384*AO384+$L384*Summary_LCIA!AF$32</f>
        <v>3.007701188561519E-2</v>
      </c>
      <c r="BK384" s="137">
        <f>$W384*AP384+$L384*Summary_LCIA!AG$32</f>
        <v>1.3426250065615191E-2</v>
      </c>
      <c r="BL384" s="137">
        <f>$W384*AQ384+$L384*Summary_LCIA!AH$32</f>
        <v>1.7016427619633985</v>
      </c>
      <c r="BM384" s="137">
        <f>$W384*AR384+$L384*Summary_LCIA!AI$32</f>
        <v>0.77823727341738513</v>
      </c>
    </row>
    <row r="386" spans="22:65" x14ac:dyDescent="0.25">
      <c r="V386" s="76" t="str">
        <f>Q299</f>
        <v>O'Hare International Airport</v>
      </c>
      <c r="W386" s="61">
        <f>COUNTIF(B2:B384,6)</f>
        <v>80</v>
      </c>
      <c r="AO386" s="137" t="s">
        <v>575</v>
      </c>
      <c r="AP386" s="137">
        <f>SUM(T2:T13,L277,L362,L367:L372,L374:L375,L381:L382)</f>
        <v>7885.3320000000003</v>
      </c>
      <c r="AQ386" s="137" t="s">
        <v>292</v>
      </c>
      <c r="AS386" s="137" t="s">
        <v>581</v>
      </c>
      <c r="AT386" s="137">
        <f>SUM(AT2:AT13)+SUM($L$362,$L$367:$L$372,$L$374:$L$375,$L$381:$L$382,$L$277)*Summary_LCIA!I$34</f>
        <v>587.15759138399994</v>
      </c>
      <c r="AU386" s="137">
        <f ca="1">SUM(AU2:AU13)+SUM($L$362,$L$367:$L$372,$L$374:$L$375,$L$381:$L$382,$L$277)*Summary_LCIA!Q$34</f>
        <v>9739.0886281743587</v>
      </c>
      <c r="AV386" s="137">
        <f ca="1">SUM(AV2:AV13)+SUM($L$362,$L$367:$L$372,$L$374:$L$375,$L$381:$L$382,$L$277)*Summary_LCIA!R$34</f>
        <v>20.159639791199996</v>
      </c>
      <c r="AW386" s="137">
        <f ca="1">SUM(AW2:AW13)+SUM($L$362,$L$367:$L$372,$L$374:$L$375,$L$381:$L$382,$L$277)*Summary_LCIA!S$34</f>
        <v>579.08301141599998</v>
      </c>
      <c r="AX386" s="137">
        <f ca="1">SUM(AX2:AX13)+SUM($L$362,$L$367:$L$372,$L$374:$L$375,$L$381:$L$382,$L$277)*Summary_LCIA!T$34</f>
        <v>163.56544167599998</v>
      </c>
      <c r="AY386" s="137">
        <f ca="1">SUM(AY2:AY13)+SUM($L$362,$L$367:$L$372,$L$374:$L$375,$L$381:$L$382,$L$277)*Summary_LCIA!U$34</f>
        <v>14.505856747199999</v>
      </c>
      <c r="AZ386" s="137">
        <f ca="1">SUM(AZ2:AZ13)+SUM($L$362,$L$367:$L$372,$L$374:$L$375,$L$381:$L$382,$L$277)*Summary_LCIA!V$34</f>
        <v>0.639445227876</v>
      </c>
      <c r="BA386" s="137">
        <f ca="1">SUM(BA2:BA13)+SUM($L$362,$L$367:$L$372,$L$374:$L$375,$L$381:$L$382,$L$277)*Summary_LCIA!W$34</f>
        <v>398.59564726799999</v>
      </c>
      <c r="BB386" s="137">
        <f ca="1">SUM(BB2:BB13)+SUM($L$362,$L$367:$L$372,$L$374:$L$375,$L$381:$L$382,$L$277)*Summary_LCIA!X$34</f>
        <v>83.773767167999992</v>
      </c>
      <c r="BC386" s="137">
        <f ca="1">SUM(BC2:BC13)+SUM($L$362,$L$367:$L$372,$L$374:$L$375,$L$381:$L$382,$L$277)*Summary_LCIA!Y$34</f>
        <v>13.512304915199998</v>
      </c>
      <c r="BD386" s="137">
        <f ca="1">SUM(BD2:BD13)+SUM($L$362,$L$367:$L$372,$L$374:$L$375,$L$381:$L$382,$L$277)*Summary_LCIA!Z$34</f>
        <v>0.22477138865999996</v>
      </c>
      <c r="BE386" s="137">
        <f ca="1">SUM(BE2:BE13)+SUM($L$362,$L$367:$L$372,$L$374:$L$375,$L$381:$L$382,$L$277)*Summary_LCIA!AA$34</f>
        <v>16.264285783200002</v>
      </c>
      <c r="BF386" s="137">
        <f ca="1">SUM(BF2:BF13)+SUM($L$362,$L$367:$L$372,$L$374:$L$375,$L$381:$L$382,$L$277)*Summary_LCIA!AB$34</f>
        <v>-5.4715530214800003E-2</v>
      </c>
      <c r="BG386" s="137">
        <f ca="1">SUM(BG2:BG13)+SUM($L$362,$L$367:$L$372,$L$374:$L$375,$L$381:$L$382,$L$277)*Summary_LCIA!AC$34</f>
        <v>2.9034580957199997E-5</v>
      </c>
      <c r="BH386" s="137">
        <f ca="1">SUM(BH2:BH13)+SUM($L$362,$L$367:$L$372,$L$374:$L$375,$L$381:$L$382,$L$277)*Summary_LCIA!AD$34</f>
        <v>0.87669121175999987</v>
      </c>
      <c r="BI386" s="137">
        <f ca="1">SUM(BI2:BI13)+SUM($L$362,$L$367:$L$372,$L$374:$L$375,$L$381:$L$382,$L$277)*Summary_LCIA!AE$34</f>
        <v>2.3651264800800003</v>
      </c>
      <c r="BJ386" s="137">
        <f ca="1">SUM(BJ2:BJ13)+SUM($L$362,$L$367:$L$372,$L$374:$L$375,$L$381:$L$382,$L$277)*Summary_LCIA!AF$34</f>
        <v>1.8756050695199997</v>
      </c>
      <c r="BK386" s="137">
        <f ca="1">SUM(BK2:BK13)+SUM($L$362,$L$367:$L$372,$L$374:$L$375,$L$381:$L$382,$L$277)*Summary_LCIA!AG$34</f>
        <v>2.1590827549199998E-2</v>
      </c>
      <c r="BL386" s="137">
        <f ca="1">SUM(BL2:BL13)+SUM($L$362,$L$367:$L$372,$L$374:$L$375,$L$381:$L$382,$L$277)*Summary_LCIA!AH$34</f>
        <v>17.965151895600002</v>
      </c>
      <c r="BM386" s="137">
        <f ca="1">SUM(BM2:BM13)+SUM($L$362,$L$367:$L$372,$L$374:$L$375,$L$381:$L$382,$L$277)*Summary_LCIA!AI$34</f>
        <v>2.2138069590000002</v>
      </c>
    </row>
    <row r="387" spans="22:65" x14ac:dyDescent="0.25">
      <c r="V387" s="76" t="str">
        <f>Q375</f>
        <v>Flughafen Frankfurt/Main</v>
      </c>
      <c r="W387" s="61">
        <f>COUNTIF(B2:B384,15)</f>
        <v>37</v>
      </c>
      <c r="AO387" s="137" t="s">
        <v>574</v>
      </c>
      <c r="AP387" s="137">
        <f>SUM(T14:T205,L206:L276,L278:L361,L363:L366,L373,L376:L380,L383:L384)</f>
        <v>57000.986999999979</v>
      </c>
      <c r="AQ387" s="137" t="s">
        <v>292</v>
      </c>
      <c r="AS387" s="137" t="s">
        <v>580</v>
      </c>
      <c r="AT387" s="137">
        <f>SUM(AT14:AT205)+SUM($K$206:$K$276,$K$278:$K$361,$K$363:$K$366,$K$373,$K$376:$K$380,$K$383:$K$384)*Summary_LCIA!I$32</f>
        <v>15976.080441630244</v>
      </c>
      <c r="AU387" s="137">
        <f>SUM(AU14:AU205)+SUM($K$206:$K$276,$K$278:$K$361,$K$363:$K$366,$K$373,$K$376:$K$380,$K$383:$K$384)*Summary_LCIA!Q$32</f>
        <v>344050.93374291837</v>
      </c>
      <c r="AV387" s="137">
        <f>SUM(AV14:AV205)+SUM($K$206:$K$276,$K$278:$K$361,$K$363:$K$366,$K$373,$K$376:$K$380,$K$383:$K$384)*Summary_LCIA!R$32</f>
        <v>365.53998414824264</v>
      </c>
      <c r="AW387" s="137">
        <f>SUM(AW14:AW205)+SUM($K$206:$K$276,$K$278:$K$361,$K$363:$K$366,$K$373,$K$376:$K$380,$K$383:$K$384)*Summary_LCIA!S$32</f>
        <v>23282.209032899882</v>
      </c>
      <c r="AX387" s="137">
        <f>SUM(AX14:AX205)+SUM($K$206:$K$276,$K$278:$K$361,$K$363:$K$366,$K$373,$K$376:$K$380,$K$383:$K$384)*Summary_LCIA!T$32</f>
        <v>7629.3004136075406</v>
      </c>
      <c r="AY387" s="137">
        <f>SUM(AY14:AY205)+SUM($K$206:$K$276,$K$278:$K$361,$K$363:$K$366,$K$373,$K$376:$K$380,$K$383:$K$384)*Summary_LCIA!U$32</f>
        <v>1243.5967935338081</v>
      </c>
      <c r="AZ387" s="137">
        <f>SUM(AZ14:AZ205)+SUM($K$206:$K$276,$K$278:$K$361,$K$363:$K$366,$K$373,$K$376:$K$380,$K$383:$K$384)*Summary_LCIA!V$32</f>
        <v>3.3155870523595077</v>
      </c>
      <c r="BA387" s="137">
        <f>SUM(BA14:BA205)+SUM($K$206:$K$276,$K$278:$K$361,$K$363:$K$366,$K$373,$K$376:$K$380,$K$383:$K$384)*Summary_LCIA!W$32</f>
        <v>5343.3565253483703</v>
      </c>
      <c r="BB387" s="137">
        <f>SUM(BB14:BB205)+SUM($K$206:$K$276,$K$278:$K$361,$K$363:$K$366,$K$373,$K$376:$K$380,$K$383:$K$384)*Summary_LCIA!X$32</f>
        <v>1581.3963914647838</v>
      </c>
      <c r="BC387" s="137">
        <f>SUM(BC14:BC205)+SUM($K$206:$K$276,$K$278:$K$361,$K$363:$K$366,$K$373,$K$376:$K$380,$K$383:$K$384)*Summary_LCIA!Y$32</f>
        <v>1081.7084535471581</v>
      </c>
      <c r="BD387" s="137">
        <f>SUM(BD14:BD205)+SUM($K$206:$K$276,$K$278:$K$361,$K$363:$K$366,$K$373,$K$376:$K$380,$K$383:$K$384)*Summary_LCIA!Z$32</f>
        <v>2.8468606065662581</v>
      </c>
      <c r="BE387" s="137">
        <f>SUM(BE14:BE205)+SUM($K$206:$K$276,$K$278:$K$361,$K$363:$K$366,$K$373,$K$376:$K$380,$K$383:$K$384)*Summary_LCIA!AA$32</f>
        <v>1621.3825337599426</v>
      </c>
      <c r="BF387" s="137">
        <f>SUM(BF14:BF205)+SUM($K$206:$K$276,$K$278:$K$361,$K$363:$K$366,$K$373,$K$376:$K$380,$K$383:$K$384)*Summary_LCIA!AB$32</f>
        <v>-1.5149610821306401</v>
      </c>
      <c r="BG387" s="137">
        <f>SUM(BG14:BG205)+SUM($K$206:$K$276,$K$278:$K$361,$K$363:$K$366,$K$373,$K$376:$K$380,$K$383:$K$384)*Summary_LCIA!AC$32</f>
        <v>3.39354614575788E-3</v>
      </c>
      <c r="BH387" s="137">
        <f>SUM(BH14:BH205)+SUM($K$206:$K$276,$K$278:$K$361,$K$363:$K$366,$K$373,$K$376:$K$380,$K$383:$K$384)*Summary_LCIA!AD$32</f>
        <v>28.53455543229521</v>
      </c>
      <c r="BI387" s="137">
        <f>SUM(BI14:BI205)+SUM($K$206:$K$276,$K$278:$K$361,$K$363:$K$366,$K$373,$K$376:$K$380,$K$383:$K$384)*Summary_LCIA!AE$32</f>
        <v>61.515486583348995</v>
      </c>
      <c r="BJ387" s="137">
        <f>SUM(BJ14:BJ205)+SUM($K$206:$K$276,$K$278:$K$361,$K$363:$K$366,$K$373,$K$376:$K$380,$K$383:$K$384)*Summary_LCIA!AF$32</f>
        <v>58.689382672175498</v>
      </c>
      <c r="BK387" s="137">
        <f>SUM(BK14:BK205)+SUM($K$206:$K$276,$K$278:$K$361,$K$363:$K$366,$K$373,$K$376:$K$380,$K$383:$K$384)*Summary_LCIA!AG$32</f>
        <v>3.551894046062146</v>
      </c>
      <c r="BL387" s="137">
        <f>SUM(BL14:BL205)+SUM($K$206:$K$276,$K$278:$K$361,$K$363:$K$366,$K$373,$K$376:$K$380,$K$383:$K$384)*Summary_LCIA!AH$32</f>
        <v>604.20727097247152</v>
      </c>
      <c r="BM387" s="137">
        <f>SUM(BM14:BM205)+SUM($K$206:$K$276,$K$278:$K$361,$K$363:$K$366,$K$373,$K$376:$K$380,$K$383:$K$384)*Summary_LCIA!AI$32</f>
        <v>64.668560512248447</v>
      </c>
    </row>
    <row r="388" spans="22:65" x14ac:dyDescent="0.25">
      <c r="V388" s="76" t="str">
        <f>Q356</f>
        <v>Denver International Airport</v>
      </c>
      <c r="W388" s="61">
        <f>COUNTIF(B2:B384,16)</f>
        <v>41</v>
      </c>
      <c r="AO388" s="137" t="s">
        <v>573</v>
      </c>
      <c r="AP388" s="137">
        <f>SUM(W206:W384)</f>
        <v>199248.00663245711</v>
      </c>
      <c r="AQ388" s="137" t="s">
        <v>292</v>
      </c>
      <c r="AS388" s="137" t="s">
        <v>579</v>
      </c>
      <c r="AT388" s="137">
        <f>SUM(AT206:AT384)-SUM($L$206:$L$276,$L$278:$L$361,$L$363:$L$366,$L$373,$L$376:$L$380,$L$383:$L$384)*Summary_LCIA!I$32-SUM($L$362,$L$367:$L$372,$L$374:$L$375,$L$381:$L$382,$L$277)*Summary_LCIA!I$34</f>
        <v>47647.071495213859</v>
      </c>
      <c r="AU388" s="137">
        <f ca="1">SUM(AU206:AU384)-SUM($L$206:$L$276,$L$278:$L$361,$L$363:$L$366,$L$373,$L$376:$L$380,$L$383:$L$384)*Summary_LCIA!Q$32-SUM($L$362,$L$367:$L$372,$L$374:$L$375,$L$381:$L$382,$L$277)*Summary_LCIA!JQ$34</f>
        <v>452704.49574020959</v>
      </c>
      <c r="AV388" s="137">
        <f ca="1">SUM(AV206:AV384)-SUM($L$206:$L$276,$L$278:$L$361,$L$363:$L$366,$L$373,$L$376:$L$380,$L$383:$L$384)*Summary_LCIA!R$32-SUM($L$362,$L$367:$L$372,$L$374:$L$375,$L$381:$L$382,$L$277)*Summary_LCIA!JR$34</f>
        <v>212.41536685683087</v>
      </c>
      <c r="AW388" s="137">
        <f ca="1">SUM(AW206:AW384)-SUM($L$206:$L$276,$L$278:$L$361,$L$363:$L$366,$L$373,$L$376:$L$380,$L$383:$L$384)*Summary_LCIA!S$32-SUM($L$362,$L$367:$L$372,$L$374:$L$375,$L$381:$L$382,$L$277)*Summary_LCIA!JS$34</f>
        <v>44011.993727523863</v>
      </c>
      <c r="AX388" s="137">
        <f ca="1">SUM(AX206:AX384)-SUM($L$206:$L$276,$L$278:$L$361,$L$363:$L$366,$L$373,$L$376:$L$380,$L$383:$L$384)*Summary_LCIA!T$32-SUM($L$362,$L$367:$L$372,$L$374:$L$375,$L$381:$L$382,$L$277)*Summary_LCIA!JT$34</f>
        <v>10566.477787311473</v>
      </c>
      <c r="AY388" s="137">
        <f ca="1">SUM(AY206:AY384)-SUM($L$206:$L$276,$L$278:$L$361,$L$363:$L$366,$L$373,$L$376:$L$380,$L$383:$L$384)*Summary_LCIA!U$32-SUM($L$362,$L$367:$L$372,$L$374:$L$375,$L$381:$L$382,$L$277)*Summary_LCIA!JU$34</f>
        <v>57.885387892102671</v>
      </c>
      <c r="AZ388" s="137">
        <f ca="1">SUM(AZ206:AZ384)-SUM($L$206:$L$276,$L$278:$L$361,$L$363:$L$366,$L$373,$L$376:$L$380,$L$383:$L$384)*Summary_LCIA!V$32-SUM($L$362,$L$367:$L$372,$L$374:$L$375,$L$381:$L$382,$L$277)*Summary_LCIA!JV$34</f>
        <v>1.2487920652659139</v>
      </c>
      <c r="BA388" s="137">
        <f ca="1">SUM(BA206:BA384)-SUM($L$206:$L$276,$L$278:$L$361,$L$363:$L$366,$L$373,$L$376:$L$380,$L$383:$L$384)*Summary_LCIA!W$32-SUM($L$362,$L$367:$L$372,$L$374:$L$375,$L$381:$L$382,$L$277)*Summary_LCIA!JW$34</f>
        <v>1718.564599892411</v>
      </c>
      <c r="BB388" s="137">
        <f ca="1">SUM(BB206:BB384)-SUM($L$206:$L$276,$L$278:$L$361,$L$363:$L$366,$L$373,$L$376:$L$380,$L$383:$L$384)*Summary_LCIA!X$32-SUM($L$362,$L$367:$L$372,$L$374:$L$375,$L$381:$L$382,$L$277)*Summary_LCIA!JX$34</f>
        <v>2252.3718137302717</v>
      </c>
      <c r="BC388" s="137">
        <f ca="1">SUM(BC206:BC384)-SUM($L$206:$L$276,$L$278:$L$361,$L$363:$L$366,$L$373,$L$376:$L$380,$L$383:$L$384)*Summary_LCIA!Y$32-SUM($L$362,$L$367:$L$372,$L$374:$L$375,$L$381:$L$382,$L$277)*Summary_LCIA!JY$34</f>
        <v>50.287757750069517</v>
      </c>
      <c r="BD388" s="137">
        <f ca="1">SUM(BD206:BD384)-SUM($L$206:$L$276,$L$278:$L$361,$L$363:$L$366,$L$373,$L$376:$L$380,$L$383:$L$384)*Summary_LCIA!Z$32-SUM($L$362,$L$367:$L$372,$L$374:$L$375,$L$381:$L$382,$L$277)*Summary_LCIA!JZ$34</f>
        <v>46.112761575413316</v>
      </c>
      <c r="BE388" s="137">
        <f ca="1">SUM(BE206:BE384)-SUM($L$206:$L$276,$L$278:$L$361,$L$363:$L$366,$L$373,$L$376:$L$380,$L$383:$L$384)*Summary_LCIA!AA$32-SUM($L$362,$L$367:$L$372,$L$374:$L$375,$L$381:$L$382,$L$277)*Summary_LCIA!KA$34</f>
        <v>190.68187047884874</v>
      </c>
      <c r="BF388" s="137">
        <f ca="1">SUM(BF206:BF384)-SUM($L$206:$L$276,$L$278:$L$361,$L$363:$L$366,$L$373,$L$376:$L$380,$L$383:$L$384)*Summary_LCIA!AB$32-SUM($L$362,$L$367:$L$372,$L$374:$L$375,$L$381:$L$382,$L$277)*Summary_LCIA!KB$34</f>
        <v>11.077646271941063</v>
      </c>
      <c r="BG388" s="137">
        <f ca="1">SUM(BG206:BG384)-SUM($L$206:$L$276,$L$278:$L$361,$L$363:$L$366,$L$373,$L$376:$L$380,$L$383:$L$384)*Summary_LCIA!AC$32-SUM($L$362,$L$367:$L$372,$L$374:$L$375,$L$381:$L$382,$L$277)*Summary_LCIA!KC$34</f>
        <v>5.3826715417697596E-3</v>
      </c>
      <c r="BH388" s="137">
        <f ca="1">SUM(BH206:BH384)-SUM($L$206:$L$276,$L$278:$L$361,$L$363:$L$366,$L$373,$L$376:$L$380,$L$383:$L$384)*Summary_LCIA!AD$32-SUM($L$362,$L$367:$L$372,$L$374:$L$375,$L$381:$L$382,$L$277)*Summary_LCIA!KD$34</f>
        <v>17.662899924619722</v>
      </c>
      <c r="BI388" s="137">
        <f ca="1">SUM(BI206:BI384)-SUM($L$206:$L$276,$L$278:$L$361,$L$363:$L$366,$L$373,$L$376:$L$380,$L$383:$L$384)*Summary_LCIA!AE$32-SUM($L$362,$L$367:$L$372,$L$374:$L$375,$L$381:$L$382,$L$277)*Summary_LCIA!KE$34</f>
        <v>52.556462434987985</v>
      </c>
      <c r="BJ388" s="137">
        <f ca="1">SUM(BJ206:BJ384)-SUM($L$206:$L$276,$L$278:$L$361,$L$363:$L$366,$L$373,$L$376:$L$380,$L$383:$L$384)*Summary_LCIA!AF$32-SUM($L$362,$L$367:$L$372,$L$374:$L$375,$L$381:$L$382,$L$277)*Summary_LCIA!KF$34</f>
        <v>1.43274694148732</v>
      </c>
      <c r="BK388" s="137">
        <f ca="1">SUM(BK206:BK384)-SUM($L$206:$L$276,$L$278:$L$361,$L$363:$L$366,$L$373,$L$376:$L$380,$L$383:$L$384)*Summary_LCIA!AG$32-SUM($L$362,$L$367:$L$372,$L$374:$L$375,$L$381:$L$382,$L$277)*Summary_LCIA!KG$34</f>
        <v>0.80147416967332152</v>
      </c>
      <c r="BL388" s="137">
        <f ca="1">SUM(BL206:BL384)-SUM($L$206:$L$276,$L$278:$L$361,$L$363:$L$366,$L$373,$L$376:$L$380,$L$383:$L$384)*Summary_LCIA!AH$32-SUM($L$362,$L$367:$L$372,$L$374:$L$375,$L$381:$L$382,$L$277)*Summary_LCIA!KH$34</f>
        <v>117.41712705744204</v>
      </c>
      <c r="BM388" s="137">
        <f ca="1">SUM(BM206:BM384)-SUM($L$206:$L$276,$L$278:$L$361,$L$363:$L$366,$L$373,$L$376:$L$380,$L$383:$L$384)*Summary_LCIA!AI$32-SUM($L$362,$L$367:$L$372,$L$374:$L$375,$L$381:$L$382,$L$277)*Summary_LCIA!KI$34</f>
        <v>45.965837941254236</v>
      </c>
    </row>
    <row r="389" spans="22:65" x14ac:dyDescent="0.25">
      <c r="V389" s="76" t="str">
        <f>Q338</f>
        <v>Newark Liberty International Airport</v>
      </c>
      <c r="W389" s="61">
        <f>COUNTIF(B2:B384,43)</f>
        <v>129</v>
      </c>
    </row>
    <row r="390" spans="22:65" x14ac:dyDescent="0.25">
      <c r="V390" s="76" t="str">
        <f>Q318</f>
        <v>Seattle-Tacoma International Airport</v>
      </c>
      <c r="W390" s="61">
        <f>COUNTIF(B2:B384,29)</f>
        <v>53</v>
      </c>
      <c r="AO390" s="76" t="str">
        <f>'ACLCA_raw data'!I2</f>
        <v>total number of participants (w. location &amp; w/o duplication)</v>
      </c>
      <c r="AP390" s="76">
        <f>'ACLCA_raw data'!J2</f>
        <v>383</v>
      </c>
      <c r="AQ390" s="76" t="s">
        <v>291</v>
      </c>
      <c r="AS390" s="137" t="s">
        <v>583</v>
      </c>
      <c r="AT390" s="137">
        <f>AT386/$AP$390</f>
        <v>1.5330485414725847</v>
      </c>
      <c r="AU390" s="137">
        <f t="shared" ref="AU390:BM392" ca="1" si="84">AU386/$AP$390</f>
        <v>25.428429838575351</v>
      </c>
      <c r="AV390" s="137">
        <f t="shared" ca="1" si="84"/>
        <v>5.2636135225065266E-2</v>
      </c>
      <c r="AW390" s="137">
        <f t="shared" ca="1" si="84"/>
        <v>1.5119660872480418</v>
      </c>
      <c r="AX390" s="137">
        <f t="shared" ca="1" si="84"/>
        <v>0.42706381638642293</v>
      </c>
      <c r="AY390" s="137">
        <f t="shared" ca="1" si="84"/>
        <v>3.7874299601044388E-2</v>
      </c>
      <c r="AZ390" s="137">
        <f t="shared" ca="1" si="84"/>
        <v>1.6695697855770234E-3</v>
      </c>
      <c r="BA390" s="137">
        <f t="shared" ca="1" si="84"/>
        <v>1.0407197056605744</v>
      </c>
      <c r="BB390" s="137">
        <f t="shared" ca="1" si="84"/>
        <v>0.21873046257963444</v>
      </c>
      <c r="BC390" s="137">
        <f t="shared" ca="1" si="84"/>
        <v>3.5280169491383809E-2</v>
      </c>
      <c r="BD390" s="137">
        <f t="shared" ca="1" si="84"/>
        <v>5.8687046647519568E-4</v>
      </c>
      <c r="BE390" s="137">
        <f t="shared" ca="1" si="84"/>
        <v>4.2465498128459532E-2</v>
      </c>
      <c r="BF390" s="137">
        <f t="shared" ca="1" si="84"/>
        <v>-1.4286039220574414E-4</v>
      </c>
      <c r="BG390" s="137">
        <f t="shared" ca="1" si="84"/>
        <v>7.5808305371279364E-8</v>
      </c>
      <c r="BH390" s="137">
        <f t="shared" ca="1" si="84"/>
        <v>2.2890109967624015E-3</v>
      </c>
      <c r="BI390" s="137">
        <f t="shared" ca="1" si="84"/>
        <v>6.1752649610443871E-3</v>
      </c>
      <c r="BJ390" s="137">
        <f t="shared" ca="1" si="84"/>
        <v>4.8971411736814614E-3</v>
      </c>
      <c r="BK390" s="137">
        <f t="shared" ca="1" si="84"/>
        <v>5.6372917883028714E-5</v>
      </c>
      <c r="BL390" s="137">
        <f t="shared" ca="1" si="84"/>
        <v>4.6906401816187993E-2</v>
      </c>
      <c r="BM390" s="137">
        <f t="shared" ca="1" si="84"/>
        <v>5.7801748276762408E-3</v>
      </c>
    </row>
    <row r="391" spans="22:65" x14ac:dyDescent="0.25">
      <c r="V391" s="76" t="str">
        <f>Q336</f>
        <v>Hartsfield-Jackson Atlanta International Airport</v>
      </c>
      <c r="W391" s="61">
        <f>COUNTIF(B2:B384,1)</f>
        <v>43</v>
      </c>
      <c r="AO391" s="76" t="str">
        <f>'ACLCA_raw data'!I3</f>
        <v>total number of participants (w/o duplication)</v>
      </c>
      <c r="AP391" s="76">
        <f>'ACLCA_raw data'!J3</f>
        <v>536</v>
      </c>
      <c r="AQ391" s="76" t="s">
        <v>291</v>
      </c>
      <c r="AS391" s="137" t="s">
        <v>584</v>
      </c>
      <c r="AT391" s="137">
        <f t="shared" ref="AT391:BI391" si="85">AT387/$AP$390</f>
        <v>41.713003764047635</v>
      </c>
      <c r="AU391" s="137">
        <f t="shared" si="85"/>
        <v>898.30531003372937</v>
      </c>
      <c r="AV391" s="137">
        <f t="shared" si="85"/>
        <v>0.95441249124867533</v>
      </c>
      <c r="AW391" s="137">
        <f t="shared" si="85"/>
        <v>60.789057527153737</v>
      </c>
      <c r="AX391" s="137">
        <f t="shared" si="85"/>
        <v>19.919844421951804</v>
      </c>
      <c r="AY391" s="137">
        <f t="shared" si="85"/>
        <v>3.2469890170595512</v>
      </c>
      <c r="AZ391" s="137">
        <f t="shared" si="85"/>
        <v>8.6568852542023705E-3</v>
      </c>
      <c r="BA391" s="137">
        <f t="shared" si="85"/>
        <v>13.951322520491829</v>
      </c>
      <c r="BB391" s="137">
        <f t="shared" si="85"/>
        <v>4.1289723014746311</v>
      </c>
      <c r="BC391" s="137">
        <f t="shared" si="85"/>
        <v>2.8243040562588986</v>
      </c>
      <c r="BD391" s="137">
        <f t="shared" si="85"/>
        <v>7.4330564140111174E-3</v>
      </c>
      <c r="BE391" s="137">
        <f t="shared" si="85"/>
        <v>4.2333747617753072</v>
      </c>
      <c r="BF391" s="137">
        <f t="shared" si="85"/>
        <v>-3.9555119637875715E-3</v>
      </c>
      <c r="BG391" s="137">
        <f t="shared" si="85"/>
        <v>8.8604338009344134E-6</v>
      </c>
      <c r="BH391" s="137">
        <f t="shared" si="85"/>
        <v>7.4502755697898715E-2</v>
      </c>
      <c r="BI391" s="137">
        <f t="shared" si="85"/>
        <v>0.16061484747610705</v>
      </c>
      <c r="BJ391" s="137">
        <f t="shared" si="84"/>
        <v>0.15323598608923106</v>
      </c>
      <c r="BK391" s="137">
        <f t="shared" si="84"/>
        <v>9.2738747938959417E-3</v>
      </c>
      <c r="BL391" s="137">
        <f t="shared" si="84"/>
        <v>1.5775646761683328</v>
      </c>
      <c r="BM391" s="137">
        <f t="shared" si="84"/>
        <v>0.16884741648106644</v>
      </c>
    </row>
    <row r="392" spans="22:65" x14ac:dyDescent="0.25">
      <c r="AO392" s="76" t="s">
        <v>578</v>
      </c>
      <c r="AP392" s="61">
        <f>AP386/$AP$390</f>
        <v>20.588334203655354</v>
      </c>
      <c r="AQ392" s="76" t="s">
        <v>292</v>
      </c>
      <c r="AS392" s="137" t="s">
        <v>585</v>
      </c>
      <c r="AT392" s="137">
        <f>AT388/$AP$390*IF(SA!$B$9="-", 1,0)+IF(SA!$B$9&lt;&gt;"-", $AP$388*SA!$B$9/$AP$390,0)</f>
        <v>124.40488641048005</v>
      </c>
      <c r="AU392" s="137">
        <f t="shared" ca="1" si="84"/>
        <v>1181.9960724287457</v>
      </c>
      <c r="AV392" s="137">
        <f t="shared" ca="1" si="84"/>
        <v>0.55460931294211713</v>
      </c>
      <c r="AW392" s="137">
        <f t="shared" ca="1" si="84"/>
        <v>114.91382174288215</v>
      </c>
      <c r="AX392" s="137">
        <f t="shared" ca="1" si="84"/>
        <v>27.588714849377212</v>
      </c>
      <c r="AY392" s="137">
        <f t="shared" ca="1" si="84"/>
        <v>0.15113678300810096</v>
      </c>
      <c r="AZ392" s="137">
        <f t="shared" ca="1" si="84"/>
        <v>3.2605536952112634E-3</v>
      </c>
      <c r="BA392" s="137">
        <f t="shared" ca="1" si="84"/>
        <v>4.4871138378391935</v>
      </c>
      <c r="BB392" s="137">
        <f t="shared" ca="1" si="84"/>
        <v>5.8808663543871322</v>
      </c>
      <c r="BC392" s="137">
        <f t="shared" ca="1" si="84"/>
        <v>0.13129962859025984</v>
      </c>
      <c r="BD392" s="137">
        <f t="shared" ca="1" si="84"/>
        <v>0.12039885528828542</v>
      </c>
      <c r="BE392" s="137">
        <f t="shared" ca="1" si="84"/>
        <v>0.49786389158968336</v>
      </c>
      <c r="BF392" s="137">
        <f t="shared" ca="1" si="84"/>
        <v>2.8923358412378756E-2</v>
      </c>
      <c r="BG392" s="137">
        <f t="shared" ca="1" si="84"/>
        <v>1.4053972693915821E-5</v>
      </c>
      <c r="BH392" s="137">
        <f t="shared" ca="1" si="84"/>
        <v>4.6117232179163768E-2</v>
      </c>
      <c r="BI392" s="137">
        <f t="shared" ca="1" si="84"/>
        <v>0.1372231395169399</v>
      </c>
      <c r="BJ392" s="137">
        <f t="shared" ca="1" si="84"/>
        <v>3.7408536331261619E-3</v>
      </c>
      <c r="BK392" s="137">
        <f t="shared" ca="1" si="84"/>
        <v>2.0926218529329545E-3</v>
      </c>
      <c r="BL392" s="137">
        <f t="shared" ca="1" si="84"/>
        <v>0.30657213330924815</v>
      </c>
      <c r="BM392" s="137">
        <f t="shared" ca="1" si="84"/>
        <v>0.12001524266646015</v>
      </c>
    </row>
    <row r="393" spans="22:65" x14ac:dyDescent="0.25">
      <c r="AO393" s="76" t="s">
        <v>577</v>
      </c>
      <c r="AP393" s="61">
        <f>AP387/$AP$390</f>
        <v>148.82764229765007</v>
      </c>
      <c r="AQ393" s="76" t="s">
        <v>292</v>
      </c>
    </row>
    <row r="394" spans="22:65" x14ac:dyDescent="0.25">
      <c r="AO394" s="76" t="s">
        <v>576</v>
      </c>
      <c r="AP394" s="61">
        <f>AP388/$AP$390</f>
        <v>520.22978233017523</v>
      </c>
      <c r="AQ394" s="76" t="s">
        <v>292</v>
      </c>
      <c r="AS394" s="137" t="s">
        <v>588</v>
      </c>
      <c r="AT394" s="137">
        <f>AT386/$AP$386</f>
        <v>7.4461999999999987E-2</v>
      </c>
      <c r="AU394" s="137">
        <f t="shared" ref="AU394:BM394" ca="1" si="86">AU386/$AP$386</f>
        <v>1.2350892299999998</v>
      </c>
      <c r="AV394" s="137">
        <f t="shared" ca="1" si="86"/>
        <v>2.5565999999999996E-3</v>
      </c>
      <c r="AW394" s="137">
        <f t="shared" ca="1" si="86"/>
        <v>7.3437999999999989E-2</v>
      </c>
      <c r="AX394" s="137">
        <f t="shared" ca="1" si="86"/>
        <v>2.0742999999999998E-2</v>
      </c>
      <c r="AY394" s="137">
        <f t="shared" ca="1" si="86"/>
        <v>1.8395999999999998E-3</v>
      </c>
      <c r="AZ394" s="137">
        <f t="shared" ca="1" si="86"/>
        <v>8.1092999999999991E-5</v>
      </c>
      <c r="BA394" s="137">
        <f t="shared" ca="1" si="86"/>
        <v>5.0548999999999997E-2</v>
      </c>
      <c r="BB394" s="137">
        <f t="shared" ca="1" si="86"/>
        <v>1.0623999999999998E-2</v>
      </c>
      <c r="BC394" s="137">
        <f t="shared" ca="1" si="86"/>
        <v>1.7135999999999996E-3</v>
      </c>
      <c r="BD394" s="137">
        <f t="shared" ca="1" si="86"/>
        <v>2.8504999999999992E-5</v>
      </c>
      <c r="BE394" s="137">
        <f t="shared" ca="1" si="86"/>
        <v>2.0625999999999999E-3</v>
      </c>
      <c r="BF394" s="137">
        <f t="shared" ca="1" si="86"/>
        <v>-6.9388999999999998E-6</v>
      </c>
      <c r="BG394" s="137">
        <f t="shared" ca="1" si="86"/>
        <v>3.6820999999999995E-9</v>
      </c>
      <c r="BH394" s="137">
        <f t="shared" ca="1" si="86"/>
        <v>1.1117999999999998E-4</v>
      </c>
      <c r="BI394" s="137">
        <f t="shared" ca="1" si="86"/>
        <v>2.9994E-4</v>
      </c>
      <c r="BJ394" s="137">
        <f t="shared" ca="1" si="86"/>
        <v>2.3785999999999995E-4</v>
      </c>
      <c r="BK394" s="137">
        <f t="shared" ca="1" si="86"/>
        <v>2.7380999999999997E-6</v>
      </c>
      <c r="BL394" s="137">
        <f t="shared" ca="1" si="86"/>
        <v>2.2783E-3</v>
      </c>
      <c r="BM394" s="137">
        <f t="shared" ca="1" si="86"/>
        <v>2.8075000000000002E-4</v>
      </c>
    </row>
    <row r="395" spans="22:65" x14ac:dyDescent="0.25">
      <c r="AS395" s="137" t="s">
        <v>587</v>
      </c>
      <c r="AT395" s="137">
        <f>AT387/$AP$387</f>
        <v>0.28027725978903223</v>
      </c>
      <c r="AU395" s="137">
        <f t="shared" ref="AU395:BM395" si="87">AU387/$AP$387</f>
        <v>6.0358767777638391</v>
      </c>
      <c r="AV395" s="137">
        <f t="shared" si="87"/>
        <v>6.4128711341128663E-3</v>
      </c>
      <c r="AW395" s="137">
        <f t="shared" si="87"/>
        <v>0.40845273491316719</v>
      </c>
      <c r="AX395" s="137">
        <f t="shared" si="87"/>
        <v>0.13384505804447813</v>
      </c>
      <c r="AY395" s="137">
        <f t="shared" si="87"/>
        <v>2.181710982537563E-2</v>
      </c>
      <c r="AZ395" s="137">
        <f t="shared" si="87"/>
        <v>5.816718669028501E-5</v>
      </c>
      <c r="BA395" s="137">
        <f t="shared" si="87"/>
        <v>9.3741473728312319E-2</v>
      </c>
      <c r="BB395" s="137">
        <f t="shared" si="87"/>
        <v>2.7743315944069258E-2</v>
      </c>
      <c r="BC395" s="137">
        <f t="shared" si="87"/>
        <v>1.8977012688344477E-2</v>
      </c>
      <c r="BD395" s="137">
        <f t="shared" si="87"/>
        <v>4.9944058101419524E-5</v>
      </c>
      <c r="BE395" s="137">
        <f t="shared" si="87"/>
        <v>2.8444815065394275E-2</v>
      </c>
      <c r="BF395" s="137">
        <f t="shared" si="87"/>
        <v>-2.6577804383117799E-5</v>
      </c>
      <c r="BG395" s="137">
        <f t="shared" si="87"/>
        <v>5.9534866400784975E-8</v>
      </c>
      <c r="BH395" s="137">
        <f t="shared" si="87"/>
        <v>5.0059756741221376E-4</v>
      </c>
      <c r="BI395" s="137">
        <f t="shared" si="87"/>
        <v>1.0792003756592674E-3</v>
      </c>
      <c r="BJ395" s="137">
        <f t="shared" si="87"/>
        <v>1.0296204638031183E-3</v>
      </c>
      <c r="BK395" s="137">
        <f t="shared" si="87"/>
        <v>6.2312851636448803E-5</v>
      </c>
      <c r="BL395" s="137">
        <f t="shared" si="87"/>
        <v>1.0599944014521568E-2</v>
      </c>
      <c r="BM395" s="137">
        <f t="shared" si="87"/>
        <v>1.1345165042887498E-3</v>
      </c>
    </row>
    <row r="396" spans="22:65" x14ac:dyDescent="0.25">
      <c r="AS396" s="137" t="s">
        <v>586</v>
      </c>
      <c r="AT396" s="137">
        <f t="shared" ref="AT396:BM396" si="88">AT388/$AP$388</f>
        <v>0.23913449524795519</v>
      </c>
      <c r="AU396" s="137">
        <f t="shared" ca="1" si="88"/>
        <v>2.2720653691421417</v>
      </c>
      <c r="AV396" s="137">
        <f t="shared" ca="1" si="88"/>
        <v>1.0660852795815565E-3</v>
      </c>
      <c r="AW396" s="137">
        <f t="shared" ca="1" si="88"/>
        <v>0.22089050962858864</v>
      </c>
      <c r="AX396" s="137">
        <f t="shared" ca="1" si="88"/>
        <v>5.3031786695878616E-2</v>
      </c>
      <c r="AY396" s="137">
        <f t="shared" ca="1" si="88"/>
        <v>2.905192823277824E-4</v>
      </c>
      <c r="AZ396" s="137">
        <f t="shared" ca="1" si="88"/>
        <v>6.2675260163053902E-6</v>
      </c>
      <c r="BA396" s="137">
        <f t="shared" ca="1" si="88"/>
        <v>8.6252536672176694E-3</v>
      </c>
      <c r="BB396" s="137">
        <f t="shared" ca="1" si="88"/>
        <v>1.1304363099025177E-2</v>
      </c>
      <c r="BC396" s="137">
        <f t="shared" ca="1" si="88"/>
        <v>2.5238775835199618E-4</v>
      </c>
      <c r="BD396" s="137">
        <f t="shared" ca="1" si="88"/>
        <v>2.3143399201215216E-4</v>
      </c>
      <c r="BE396" s="137">
        <f t="shared" ca="1" si="88"/>
        <v>9.5700766949498317E-4</v>
      </c>
      <c r="BF396" s="137">
        <f t="shared" ca="1" si="88"/>
        <v>5.5597275270991524E-5</v>
      </c>
      <c r="BG396" s="137">
        <f t="shared" ca="1" si="88"/>
        <v>2.7014932960904879E-8</v>
      </c>
      <c r="BH396" s="137">
        <f t="shared" ca="1" si="88"/>
        <v>8.8647812458177294E-5</v>
      </c>
      <c r="BI396" s="137">
        <f t="shared" ca="1" si="88"/>
        <v>2.6377409402110745E-4</v>
      </c>
      <c r="BJ396" s="137">
        <f t="shared" ca="1" si="88"/>
        <v>7.1907717708325035E-6</v>
      </c>
      <c r="BK396" s="137">
        <f t="shared" ca="1" si="88"/>
        <v>4.0224952972892781E-6</v>
      </c>
      <c r="BL396" s="137">
        <f t="shared" ca="1" si="88"/>
        <v>5.8930138896714579E-4</v>
      </c>
      <c r="BM396" s="137">
        <f t="shared" ca="1" si="88"/>
        <v>2.3069660127664481E-4</v>
      </c>
    </row>
  </sheetData>
  <sortState xmlns:xlrd2="http://schemas.microsoft.com/office/spreadsheetml/2017/richdata2" ref="A2:W397">
    <sortCondition descending="1" ref="V176:V397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DD919-0BC9-4381-8981-5EC295E47910}">
  <sheetPr codeName="Sheet16"/>
  <dimension ref="B3:AD90"/>
  <sheetViews>
    <sheetView topLeftCell="A25" zoomScale="70" zoomScaleNormal="70" workbookViewId="0">
      <selection activeCell="I50" sqref="I50"/>
    </sheetView>
  </sheetViews>
  <sheetFormatPr defaultRowHeight="15" x14ac:dyDescent="0.25"/>
  <cols>
    <col min="1" max="1" width="9.140625" style="76"/>
    <col min="2" max="2" width="35.7109375" style="188" customWidth="1"/>
    <col min="3" max="3" width="72.7109375" style="76" bestFit="1" customWidth="1"/>
    <col min="4" max="4" width="21" style="188" bestFit="1" customWidth="1"/>
    <col min="5" max="5" width="24.85546875" style="188" bestFit="1" customWidth="1"/>
    <col min="6" max="6" width="26" style="188" customWidth="1"/>
    <col min="7" max="7" width="9.140625" style="76"/>
    <col min="8" max="8" width="40.5703125" style="76" bestFit="1" customWidth="1"/>
    <col min="9" max="16384" width="9.140625" style="76"/>
  </cols>
  <sheetData>
    <row r="3" spans="2:6" x14ac:dyDescent="0.25">
      <c r="B3" s="202"/>
      <c r="C3" s="134" t="s">
        <v>362</v>
      </c>
      <c r="D3" s="195" t="s">
        <v>104</v>
      </c>
      <c r="E3" s="195" t="s">
        <v>3</v>
      </c>
      <c r="F3" s="189" t="s">
        <v>1011</v>
      </c>
    </row>
    <row r="4" spans="2:6" x14ac:dyDescent="0.25">
      <c r="B4" s="252" t="s">
        <v>411</v>
      </c>
      <c r="C4" s="136" t="s">
        <v>364</v>
      </c>
      <c r="D4" s="196">
        <f>3*4+1.5+3*3+1.5+1.5</f>
        <v>25.5</v>
      </c>
      <c r="E4" s="194" t="s">
        <v>363</v>
      </c>
      <c r="F4" s="251" t="s">
        <v>994</v>
      </c>
    </row>
    <row r="5" spans="2:6" x14ac:dyDescent="0.25">
      <c r="B5" s="252"/>
      <c r="C5" s="136" t="s">
        <v>365</v>
      </c>
      <c r="D5" s="196">
        <f>0.5+2+2.5+1.5*6+0.5+1.5*6+1</f>
        <v>24.5</v>
      </c>
      <c r="E5" s="194" t="s">
        <v>363</v>
      </c>
      <c r="F5" s="251"/>
    </row>
    <row r="6" spans="2:6" x14ac:dyDescent="0.25">
      <c r="B6" s="252"/>
      <c r="C6" s="136" t="s">
        <v>366</v>
      </c>
      <c r="D6" s="196">
        <f>1+1.5*6+1.5*6+1.5+1+1.5*6+0.5+1.5*6+1.5</f>
        <v>41.5</v>
      </c>
      <c r="E6" s="194" t="s">
        <v>363</v>
      </c>
      <c r="F6" s="251"/>
    </row>
    <row r="7" spans="2:6" x14ac:dyDescent="0.25">
      <c r="B7" s="252"/>
      <c r="C7" s="136" t="s">
        <v>367</v>
      </c>
      <c r="D7" s="196">
        <f>1+1.5*6+0.5+1.5*6+2+1+1.5*6+0.5+1.5*6</f>
        <v>41</v>
      </c>
      <c r="E7" s="194" t="s">
        <v>363</v>
      </c>
      <c r="F7" s="251"/>
    </row>
    <row r="8" spans="2:6" x14ac:dyDescent="0.25">
      <c r="B8" s="252"/>
      <c r="C8" s="136" t="s">
        <v>370</v>
      </c>
      <c r="D8" s="196">
        <v>1.8</v>
      </c>
      <c r="E8" s="194" t="s">
        <v>372</v>
      </c>
      <c r="F8" s="245" t="s">
        <v>995</v>
      </c>
    </row>
    <row r="9" spans="2:6" x14ac:dyDescent="0.25">
      <c r="B9" s="252"/>
      <c r="C9" s="136" t="s">
        <v>371</v>
      </c>
      <c r="D9" s="196">
        <v>2.6</v>
      </c>
      <c r="E9" s="194" t="s">
        <v>372</v>
      </c>
      <c r="F9" s="251"/>
    </row>
    <row r="10" spans="2:6" x14ac:dyDescent="0.25">
      <c r="B10" s="252"/>
      <c r="C10" s="136" t="s">
        <v>373</v>
      </c>
      <c r="D10" s="196">
        <v>3600</v>
      </c>
      <c r="E10" s="194" t="s">
        <v>374</v>
      </c>
      <c r="F10" s="190"/>
    </row>
    <row r="11" spans="2:6" x14ac:dyDescent="0.25">
      <c r="B11" s="252"/>
      <c r="C11" s="136" t="s">
        <v>375</v>
      </c>
      <c r="D11" s="196">
        <f>1/8</f>
        <v>0.125</v>
      </c>
      <c r="E11" s="194" t="s">
        <v>376</v>
      </c>
      <c r="F11" s="190"/>
    </row>
    <row r="12" spans="2:6" x14ac:dyDescent="0.25">
      <c r="B12" s="252"/>
      <c r="C12" s="136" t="s">
        <v>377</v>
      </c>
      <c r="D12" s="197">
        <f>1/1024</f>
        <v>9.765625E-4</v>
      </c>
      <c r="E12" s="194" t="s">
        <v>378</v>
      </c>
      <c r="F12" s="190"/>
    </row>
    <row r="13" spans="2:6" x14ac:dyDescent="0.25">
      <c r="B13" s="252"/>
      <c r="C13" s="136" t="s">
        <v>379</v>
      </c>
      <c r="D13" s="196">
        <f>O35*Virtual_SA!U7</f>
        <v>0.23449895791370634</v>
      </c>
      <c r="E13" s="194" t="s">
        <v>402</v>
      </c>
      <c r="F13" s="190" t="s">
        <v>188</v>
      </c>
    </row>
    <row r="14" spans="2:6" x14ac:dyDescent="0.25">
      <c r="B14" s="252"/>
      <c r="C14" s="136" t="s">
        <v>368</v>
      </c>
      <c r="D14" s="196">
        <f>Virtual_SA!F7</f>
        <v>0.8</v>
      </c>
      <c r="E14" s="194"/>
      <c r="F14" s="251" t="s">
        <v>998</v>
      </c>
    </row>
    <row r="15" spans="2:6" x14ac:dyDescent="0.25">
      <c r="B15" s="252"/>
      <c r="C15" s="136" t="s">
        <v>404</v>
      </c>
      <c r="D15" s="196">
        <f>5.5*(Virtual_SA!E7)</f>
        <v>5.5</v>
      </c>
      <c r="E15" s="194" t="s">
        <v>363</v>
      </c>
      <c r="F15" s="251"/>
    </row>
    <row r="16" spans="2:6" x14ac:dyDescent="0.25">
      <c r="B16" s="252"/>
      <c r="C16" s="136" t="s">
        <v>403</v>
      </c>
      <c r="D16" s="196">
        <f>(9.5+13+11)*(Virtual_SA!E7)</f>
        <v>33.5</v>
      </c>
      <c r="E16" s="194" t="s">
        <v>363</v>
      </c>
      <c r="F16" s="190" t="str">
        <f>F4</f>
        <v>[11]</v>
      </c>
    </row>
    <row r="17" spans="2:7" x14ac:dyDescent="0.25">
      <c r="B17" s="252"/>
      <c r="C17" s="136" t="s">
        <v>405</v>
      </c>
      <c r="D17" s="196">
        <f>'ACLCA_raw data'!J5</f>
        <v>126</v>
      </c>
      <c r="E17" s="194" t="s">
        <v>407</v>
      </c>
      <c r="F17" s="190" t="s">
        <v>999</v>
      </c>
    </row>
    <row r="18" spans="2:7" x14ac:dyDescent="0.25">
      <c r="B18" s="252"/>
      <c r="C18" s="136" t="s">
        <v>406</v>
      </c>
      <c r="D18" s="196">
        <f>'ACLCA_raw data'!J6</f>
        <v>410</v>
      </c>
      <c r="E18" s="194" t="s">
        <v>407</v>
      </c>
      <c r="F18" s="190" t="s">
        <v>999</v>
      </c>
    </row>
    <row r="19" spans="2:7" x14ac:dyDescent="0.25">
      <c r="B19" s="252"/>
      <c r="C19" s="136" t="s">
        <v>409</v>
      </c>
      <c r="D19" s="196">
        <f>D17*D16*(D8+D9)*D10*D11*D12*D13</f>
        <v>1913.9099616019864</v>
      </c>
      <c r="E19" s="194" t="s">
        <v>105</v>
      </c>
      <c r="F19" s="190" t="s">
        <v>188</v>
      </c>
    </row>
    <row r="20" spans="2:7" x14ac:dyDescent="0.25">
      <c r="B20" s="253"/>
      <c r="C20" s="144" t="s">
        <v>410</v>
      </c>
      <c r="D20" s="198">
        <f>D18*D14*D15*3*(D8+D9)*D10*D11*D12*D13</f>
        <v>2453.9399934115022</v>
      </c>
      <c r="E20" s="199" t="s">
        <v>105</v>
      </c>
      <c r="F20" s="191" t="s">
        <v>188</v>
      </c>
    </row>
    <row r="23" spans="2:7" x14ac:dyDescent="0.25">
      <c r="B23" s="202"/>
      <c r="C23" s="134" t="s">
        <v>392</v>
      </c>
      <c r="D23" s="195" t="s">
        <v>387</v>
      </c>
      <c r="E23" s="195" t="s">
        <v>397</v>
      </c>
      <c r="F23" s="189" t="s">
        <v>398</v>
      </c>
      <c r="G23" s="76" t="s">
        <v>1012</v>
      </c>
    </row>
    <row r="24" spans="2:7" x14ac:dyDescent="0.25">
      <c r="B24" s="252" t="s">
        <v>380</v>
      </c>
      <c r="C24" s="136" t="s">
        <v>381</v>
      </c>
      <c r="D24" s="196">
        <f>56.47</f>
        <v>56.47</v>
      </c>
      <c r="E24" s="196">
        <v>0</v>
      </c>
      <c r="F24" s="192">
        <f>D24</f>
        <v>56.47</v>
      </c>
      <c r="G24" s="184">
        <f t="shared" ref="G24:G29" si="0">E24/$E$31</f>
        <v>0</v>
      </c>
    </row>
    <row r="25" spans="2:7" x14ac:dyDescent="0.25">
      <c r="B25" s="252"/>
      <c r="C25" s="136" t="s">
        <v>382</v>
      </c>
      <c r="D25" s="196">
        <v>52.54</v>
      </c>
      <c r="E25" s="196">
        <f>$D25*$D$34/SUM($D$33:$D$34)</f>
        <v>47.964691583225935</v>
      </c>
      <c r="F25" s="192">
        <f>$D25*$D$33/SUM($D$33:$D$34)</f>
        <v>4.5753084167740647</v>
      </c>
      <c r="G25" s="184">
        <f t="shared" si="0"/>
        <v>0.29146550543186223</v>
      </c>
    </row>
    <row r="26" spans="2:7" x14ac:dyDescent="0.25">
      <c r="B26" s="252"/>
      <c r="C26" s="136" t="s">
        <v>383</v>
      </c>
      <c r="D26" s="196">
        <v>77.44</v>
      </c>
      <c r="E26" s="196">
        <f>D26</f>
        <v>77.44</v>
      </c>
      <c r="F26" s="192">
        <v>0</v>
      </c>
      <c r="G26" s="184">
        <f t="shared" si="0"/>
        <v>0.47057716823799828</v>
      </c>
    </row>
    <row r="27" spans="2:7" x14ac:dyDescent="0.25">
      <c r="B27" s="252"/>
      <c r="C27" s="136" t="s">
        <v>384</v>
      </c>
      <c r="D27" s="196">
        <v>10.51</v>
      </c>
      <c r="E27" s="196">
        <f>$D27*$D$34/SUM($D$33:$D$34)</f>
        <v>9.5947641518786551</v>
      </c>
      <c r="F27" s="192">
        <f>$D27*$D$33/SUM($D$33:$D$34)</f>
        <v>0.91523584812134429</v>
      </c>
      <c r="G27" s="184">
        <f t="shared" si="0"/>
        <v>5.8304196080869279E-2</v>
      </c>
    </row>
    <row r="28" spans="2:7" x14ac:dyDescent="0.25">
      <c r="B28" s="252"/>
      <c r="C28" s="136" t="s">
        <v>385</v>
      </c>
      <c r="D28" s="196">
        <v>23.74</v>
      </c>
      <c r="E28" s="196">
        <f>D28</f>
        <v>23.74</v>
      </c>
      <c r="F28" s="192">
        <v>0</v>
      </c>
      <c r="G28" s="184">
        <f t="shared" si="0"/>
        <v>0.14426009780436569</v>
      </c>
    </row>
    <row r="29" spans="2:7" x14ac:dyDescent="0.25">
      <c r="B29" s="252"/>
      <c r="C29" s="136" t="s">
        <v>360</v>
      </c>
      <c r="D29" s="196">
        <v>6.38</v>
      </c>
      <c r="E29" s="196">
        <f>$D29*$D$34/SUM($D$33:$D$34)</f>
        <v>5.8244143947655393</v>
      </c>
      <c r="F29" s="192">
        <f>$D29*$D$33/SUM($D$33:$D$34)</f>
        <v>0.55558560523446021</v>
      </c>
      <c r="G29" s="184">
        <f t="shared" si="0"/>
        <v>3.5393032444904472E-2</v>
      </c>
    </row>
    <row r="30" spans="2:7" x14ac:dyDescent="0.25">
      <c r="B30" s="203" t="s">
        <v>386</v>
      </c>
      <c r="C30" s="136" t="s">
        <v>390</v>
      </c>
      <c r="D30" s="196">
        <v>137.93</v>
      </c>
      <c r="E30" s="196"/>
      <c r="F30" s="192"/>
    </row>
    <row r="31" spans="2:7" x14ac:dyDescent="0.25">
      <c r="B31" s="203"/>
      <c r="C31" s="136" t="s">
        <v>396</v>
      </c>
      <c r="D31" s="196">
        <f>SUM(D24:D29)</f>
        <v>227.07999999999998</v>
      </c>
      <c r="E31" s="196">
        <f>SUM(E24:E29)</f>
        <v>164.56387012987014</v>
      </c>
      <c r="F31" s="192">
        <f t="shared" ref="F31" si="1">SUM(F24:F29)</f>
        <v>62.516129870129866</v>
      </c>
    </row>
    <row r="32" spans="2:7" x14ac:dyDescent="0.25">
      <c r="B32" s="252" t="s">
        <v>389</v>
      </c>
      <c r="C32" s="136" t="s">
        <v>395</v>
      </c>
      <c r="D32" s="196" t="s">
        <v>388</v>
      </c>
      <c r="E32" s="196"/>
      <c r="F32" s="192"/>
    </row>
    <row r="33" spans="2:22" x14ac:dyDescent="0.25">
      <c r="B33" s="252"/>
      <c r="C33" s="136" t="s">
        <v>393</v>
      </c>
      <c r="D33" s="196">
        <v>43.92</v>
      </c>
      <c r="E33" s="196"/>
      <c r="F33" s="192"/>
      <c r="H33" s="133" t="s">
        <v>512</v>
      </c>
      <c r="I33" s="134"/>
      <c r="J33" s="134" t="s">
        <v>513</v>
      </c>
      <c r="K33" s="134">
        <v>2016</v>
      </c>
      <c r="L33" s="134">
        <v>2017</v>
      </c>
      <c r="M33" s="134">
        <v>2018</v>
      </c>
      <c r="N33" s="134">
        <v>2019</v>
      </c>
      <c r="O33" s="145">
        <v>2020</v>
      </c>
    </row>
    <row r="34" spans="2:22" x14ac:dyDescent="0.25">
      <c r="B34" s="252"/>
      <c r="C34" s="136" t="s">
        <v>394</v>
      </c>
      <c r="D34" s="196">
        <v>460.43</v>
      </c>
      <c r="E34" s="196"/>
      <c r="F34" s="192"/>
      <c r="H34" s="135" t="str">
        <f>H52</f>
        <v>worst</v>
      </c>
      <c r="I34" s="185">
        <v>0.05</v>
      </c>
      <c r="J34" s="136" t="str">
        <f>H34</f>
        <v>worst</v>
      </c>
      <c r="K34" s="153">
        <f>E36</f>
        <v>0.35741343989286134</v>
      </c>
      <c r="L34" s="153">
        <f t="shared" ref="L34:O36" si="2">K34*(1-$I34)</f>
        <v>0.33954276789821825</v>
      </c>
      <c r="M34" s="153">
        <f t="shared" si="2"/>
        <v>0.32256562950330731</v>
      </c>
      <c r="N34" s="153">
        <f t="shared" si="2"/>
        <v>0.30643734802814193</v>
      </c>
      <c r="O34" s="154">
        <f t="shared" si="2"/>
        <v>0.29111548062673481</v>
      </c>
    </row>
    <row r="35" spans="2:22" x14ac:dyDescent="0.25">
      <c r="B35" s="252"/>
      <c r="C35" s="136" t="s">
        <v>391</v>
      </c>
      <c r="D35" s="196">
        <f>SUM(D33:D34)</f>
        <v>504.35</v>
      </c>
      <c r="E35" s="196"/>
      <c r="F35" s="192"/>
      <c r="H35" s="135" t="str">
        <f>H53</f>
        <v>expected</v>
      </c>
      <c r="I35" s="185">
        <v>0.1</v>
      </c>
      <c r="J35" s="136" t="str">
        <f t="shared" ref="J35:J36" si="3">H35</f>
        <v>expected</v>
      </c>
      <c r="K35" s="153">
        <f>K34</f>
        <v>0.35741343989286134</v>
      </c>
      <c r="L35" s="153">
        <f t="shared" si="2"/>
        <v>0.32167209590357521</v>
      </c>
      <c r="M35" s="153">
        <f t="shared" si="2"/>
        <v>0.28950488631321769</v>
      </c>
      <c r="N35" s="153">
        <f t="shared" si="2"/>
        <v>0.26055439768189592</v>
      </c>
      <c r="O35" s="154">
        <f t="shared" si="2"/>
        <v>0.23449895791370634</v>
      </c>
    </row>
    <row r="36" spans="2:22" x14ac:dyDescent="0.25">
      <c r="B36" s="203"/>
      <c r="C36" s="136" t="s">
        <v>401</v>
      </c>
      <c r="D36" s="196">
        <f>D31/D35</f>
        <v>0.45024288688410818</v>
      </c>
      <c r="E36" s="196">
        <f>E31/D34</f>
        <v>0.35741343989286134</v>
      </c>
      <c r="F36" s="192">
        <f>F31/D33</f>
        <v>1.4234091500484942</v>
      </c>
      <c r="H36" s="143" t="str">
        <f>H54</f>
        <v>best</v>
      </c>
      <c r="I36" s="186">
        <v>0.15</v>
      </c>
      <c r="J36" s="144" t="str">
        <f t="shared" si="3"/>
        <v>best</v>
      </c>
      <c r="K36" s="157">
        <f>K34</f>
        <v>0.35741343989286134</v>
      </c>
      <c r="L36" s="157">
        <f t="shared" si="2"/>
        <v>0.30380142390893211</v>
      </c>
      <c r="M36" s="157">
        <f t="shared" si="2"/>
        <v>0.25823121032259228</v>
      </c>
      <c r="N36" s="157">
        <f t="shared" si="2"/>
        <v>0.21949652877420342</v>
      </c>
      <c r="O36" s="158">
        <f t="shared" si="2"/>
        <v>0.1865720494580729</v>
      </c>
    </row>
    <row r="37" spans="2:22" x14ac:dyDescent="0.25">
      <c r="B37" s="203"/>
      <c r="C37" s="136" t="s">
        <v>399</v>
      </c>
      <c r="D37" s="197">
        <f>1000000000</f>
        <v>1000000000</v>
      </c>
      <c r="E37" s="196"/>
      <c r="F37" s="192"/>
      <c r="H37" s="76" t="s">
        <v>4</v>
      </c>
      <c r="I37" s="76" t="s">
        <v>1002</v>
      </c>
    </row>
    <row r="38" spans="2:22" x14ac:dyDescent="0.25">
      <c r="B38" s="204"/>
      <c r="C38" s="144" t="s">
        <v>400</v>
      </c>
      <c r="D38" s="200">
        <f>1000000000</f>
        <v>1000000000</v>
      </c>
      <c r="E38" s="198"/>
      <c r="F38" s="193"/>
    </row>
    <row r="39" spans="2:22" x14ac:dyDescent="0.25">
      <c r="B39" s="194" t="s">
        <v>4</v>
      </c>
      <c r="C39" s="136" t="s">
        <v>1001</v>
      </c>
      <c r="D39" s="197"/>
      <c r="E39" s="194"/>
      <c r="F39" s="194"/>
    </row>
    <row r="42" spans="2:22" x14ac:dyDescent="0.25">
      <c r="B42" s="202"/>
      <c r="C42" s="134" t="s">
        <v>362</v>
      </c>
      <c r="D42" s="195" t="s">
        <v>104</v>
      </c>
      <c r="E42" s="195" t="s">
        <v>3</v>
      </c>
      <c r="F42" s="189" t="str">
        <f>F3</f>
        <v>Data source</v>
      </c>
    </row>
    <row r="43" spans="2:22" x14ac:dyDescent="0.25">
      <c r="B43" s="252" t="s">
        <v>412</v>
      </c>
      <c r="C43" s="136" t="s">
        <v>417</v>
      </c>
      <c r="D43" s="197">
        <v>9.5599999999999999E-6</v>
      </c>
      <c r="E43" s="194" t="s">
        <v>413</v>
      </c>
      <c r="F43" s="190" t="s">
        <v>1004</v>
      </c>
      <c r="L43" s="141"/>
      <c r="M43" s="140"/>
      <c r="N43" s="140"/>
      <c r="O43" s="140"/>
      <c r="P43" s="140"/>
      <c r="Q43" s="140"/>
      <c r="R43" s="140"/>
      <c r="S43" s="140"/>
      <c r="T43" s="140"/>
      <c r="U43" s="140"/>
      <c r="V43" s="140"/>
    </row>
    <row r="44" spans="2:22" x14ac:dyDescent="0.25">
      <c r="B44" s="252"/>
      <c r="C44" s="136" t="s">
        <v>416</v>
      </c>
      <c r="D44" s="197">
        <v>9.0099999999999995E-5</v>
      </c>
      <c r="E44" s="194" t="s">
        <v>413</v>
      </c>
      <c r="F44" s="190" t="s">
        <v>1004</v>
      </c>
      <c r="H44" s="133" t="s">
        <v>420</v>
      </c>
      <c r="I44" s="134">
        <f>I48-48.5</f>
        <v>24</v>
      </c>
      <c r="J44" s="205">
        <f>I44/$I$48</f>
        <v>0.33103448275862069</v>
      </c>
      <c r="L44" s="141"/>
      <c r="M44" s="140"/>
      <c r="N44" s="140"/>
      <c r="O44" s="140"/>
      <c r="P44" s="140"/>
      <c r="Q44" s="140"/>
      <c r="R44" s="140"/>
      <c r="S44" s="140"/>
      <c r="T44" s="140"/>
      <c r="U44" s="140"/>
      <c r="V44" s="140"/>
    </row>
    <row r="45" spans="2:22" x14ac:dyDescent="0.25">
      <c r="B45" s="252"/>
      <c r="C45" s="136" t="s">
        <v>415</v>
      </c>
      <c r="D45" s="197">
        <v>1.35E-4</v>
      </c>
      <c r="E45" s="194" t="s">
        <v>413</v>
      </c>
      <c r="F45" s="190" t="s">
        <v>1004</v>
      </c>
      <c r="H45" s="135" t="s">
        <v>361</v>
      </c>
      <c r="I45" s="136">
        <v>2</v>
      </c>
      <c r="J45" s="206">
        <f>I45/$I$48</f>
        <v>2.7586206896551724E-2</v>
      </c>
      <c r="L45" s="141"/>
      <c r="M45" s="140"/>
      <c r="N45" s="140"/>
      <c r="O45" s="140"/>
      <c r="P45" s="140"/>
      <c r="Q45" s="140"/>
      <c r="R45" s="140"/>
      <c r="S45" s="140"/>
      <c r="T45" s="140"/>
      <c r="U45" s="140"/>
      <c r="V45" s="140"/>
    </row>
    <row r="46" spans="2:22" x14ac:dyDescent="0.25">
      <c r="B46" s="252"/>
      <c r="C46" s="136" t="s">
        <v>517</v>
      </c>
      <c r="D46" s="196">
        <f>0.0882*Virtual_SA!H7</f>
        <v>8.8200000000000001E-2</v>
      </c>
      <c r="E46" s="194" t="s">
        <v>414</v>
      </c>
      <c r="F46" s="190" t="s">
        <v>1005</v>
      </c>
      <c r="H46" s="135" t="s">
        <v>422</v>
      </c>
      <c r="I46" s="136">
        <f>46.5-38.5</f>
        <v>8</v>
      </c>
      <c r="J46" s="206">
        <f>I46/$I$48</f>
        <v>0.1103448275862069</v>
      </c>
    </row>
    <row r="47" spans="2:22" x14ac:dyDescent="0.25">
      <c r="B47" s="252"/>
      <c r="C47" s="136" t="s">
        <v>518</v>
      </c>
      <c r="D47" s="196">
        <f>0.00756*Virtual_SA!H7</f>
        <v>7.5599999999999999E-3</v>
      </c>
      <c r="E47" s="194" t="s">
        <v>414</v>
      </c>
      <c r="F47" s="190" t="s">
        <v>1006</v>
      </c>
      <c r="H47" s="135" t="s">
        <v>514</v>
      </c>
      <c r="I47" s="136">
        <v>38.5</v>
      </c>
      <c r="J47" s="206">
        <f>I47/$I$48</f>
        <v>0.53103448275862064</v>
      </c>
    </row>
    <row r="48" spans="2:22" x14ac:dyDescent="0.25">
      <c r="B48" s="252"/>
      <c r="C48" s="136" t="s">
        <v>418</v>
      </c>
      <c r="D48" s="196">
        <f>0.03*Virtual_SA!H7</f>
        <v>0.03</v>
      </c>
      <c r="E48" s="194" t="s">
        <v>414</v>
      </c>
      <c r="F48" s="190" t="s">
        <v>1004</v>
      </c>
      <c r="H48" s="143" t="s">
        <v>264</v>
      </c>
      <c r="I48" s="144">
        <v>72.5</v>
      </c>
      <c r="J48" s="148"/>
    </row>
    <row r="49" spans="2:30" x14ac:dyDescent="0.25">
      <c r="B49" s="252"/>
      <c r="C49" s="136" t="str">
        <f>"Total: "&amp;C43&amp;" (conference members)"</f>
        <v>Total: Router, internet (conference members)</v>
      </c>
      <c r="D49" s="196">
        <f>$D$17*$D$16*D43</f>
        <v>4.0352760000000001E-2</v>
      </c>
      <c r="E49" s="194" t="s">
        <v>507</v>
      </c>
      <c r="F49" s="190" t="s">
        <v>1004</v>
      </c>
      <c r="H49" s="76" t="str">
        <f>H37</f>
        <v>Data source:</v>
      </c>
      <c r="I49" s="76" t="s">
        <v>1016</v>
      </c>
    </row>
    <row r="50" spans="2:30" x14ac:dyDescent="0.25">
      <c r="B50" s="252"/>
      <c r="C50" s="136" t="str">
        <f t="shared" ref="C50:C54" si="4">"Total: "&amp;C44&amp;" (conference members)"</f>
        <v>Total: Internet access equipment (conference members)</v>
      </c>
      <c r="D50" s="196">
        <f>$D$17*$D$16*D44</f>
        <v>0.38031209999999999</v>
      </c>
      <c r="E50" s="194" t="s">
        <v>507</v>
      </c>
      <c r="F50" s="190" t="s">
        <v>1004</v>
      </c>
    </row>
    <row r="51" spans="2:30" x14ac:dyDescent="0.25">
      <c r="B51" s="252"/>
      <c r="C51" s="136" t="str">
        <f t="shared" si="4"/>
        <v>Total: Computer, laptop (conference members)</v>
      </c>
      <c r="D51" s="196">
        <f t="shared" ref="D51:D54" si="5">$D$17*$D$16*D45</f>
        <v>0.56983499999999998</v>
      </c>
      <c r="E51" s="194" t="s">
        <v>507</v>
      </c>
      <c r="F51" s="190" t="s">
        <v>1004</v>
      </c>
      <c r="H51" s="133" t="s">
        <v>1013</v>
      </c>
      <c r="I51" s="134">
        <v>2010</v>
      </c>
      <c r="J51" s="134">
        <v>2011</v>
      </c>
      <c r="K51" s="134">
        <v>2012</v>
      </c>
      <c r="L51" s="134">
        <v>2013</v>
      </c>
      <c r="M51" s="134">
        <v>2014</v>
      </c>
      <c r="N51" s="134">
        <v>2015</v>
      </c>
      <c r="O51" s="134">
        <v>2016</v>
      </c>
      <c r="P51" s="134">
        <v>2017</v>
      </c>
      <c r="Q51" s="134">
        <v>2018</v>
      </c>
      <c r="R51" s="134">
        <v>2019</v>
      </c>
      <c r="S51" s="134">
        <v>2020</v>
      </c>
      <c r="T51" s="134">
        <v>2021</v>
      </c>
      <c r="U51" s="134">
        <v>2022</v>
      </c>
      <c r="V51" s="134">
        <v>2023</v>
      </c>
      <c r="W51" s="134">
        <v>2024</v>
      </c>
      <c r="X51" s="134">
        <v>2025</v>
      </c>
      <c r="Y51" s="134">
        <v>2026</v>
      </c>
      <c r="Z51" s="134">
        <v>2027</v>
      </c>
      <c r="AA51" s="134">
        <v>2028</v>
      </c>
      <c r="AB51" s="134">
        <v>2029</v>
      </c>
      <c r="AC51" s="134">
        <v>2030</v>
      </c>
      <c r="AD51" s="145"/>
    </row>
    <row r="52" spans="2:30" x14ac:dyDescent="0.25">
      <c r="B52" s="252"/>
      <c r="C52" s="136" t="str">
        <f t="shared" si="4"/>
        <v>Total: Energy consumption for router (conference members)</v>
      </c>
      <c r="D52" s="196">
        <f>$D$17*$D$16*D46</f>
        <v>372.29219999999998</v>
      </c>
      <c r="E52" s="194" t="s">
        <v>105</v>
      </c>
      <c r="F52" s="190" t="s">
        <v>1004</v>
      </c>
      <c r="H52" s="135" t="s">
        <v>503</v>
      </c>
      <c r="I52" s="136">
        <f>0.142</f>
        <v>0.14199999999999999</v>
      </c>
      <c r="J52" s="136">
        <f>I52*95%</f>
        <v>0.13489999999999999</v>
      </c>
      <c r="K52" s="136">
        <f t="shared" ref="K52:T52" si="6">J52*95%</f>
        <v>0.12815499999999999</v>
      </c>
      <c r="L52" s="136">
        <f t="shared" si="6"/>
        <v>0.12174724999999999</v>
      </c>
      <c r="M52" s="136">
        <f t="shared" si="6"/>
        <v>0.11565988749999999</v>
      </c>
      <c r="N52" s="136">
        <f>M52*95%</f>
        <v>0.10987689312499999</v>
      </c>
      <c r="O52" s="136">
        <f t="shared" si="6"/>
        <v>0.10438304846874998</v>
      </c>
      <c r="P52" s="136">
        <f t="shared" si="6"/>
        <v>9.9163896045312477E-2</v>
      </c>
      <c r="Q52" s="136">
        <f t="shared" si="6"/>
        <v>9.4205701243046849E-2</v>
      </c>
      <c r="R52" s="136">
        <f t="shared" si="6"/>
        <v>8.9495416180894502E-2</v>
      </c>
      <c r="S52" s="136">
        <f t="shared" si="6"/>
        <v>8.5020645371849779E-2</v>
      </c>
      <c r="T52" s="136">
        <f t="shared" si="6"/>
        <v>8.0769613103257282E-2</v>
      </c>
      <c r="U52" s="136">
        <f>T52*95%</f>
        <v>7.6731132448094416E-2</v>
      </c>
      <c r="V52" s="136">
        <f t="shared" ref="V52:AB52" si="7">U52*95%</f>
        <v>7.2894575825689686E-2</v>
      </c>
      <c r="W52" s="136">
        <f t="shared" si="7"/>
        <v>6.9249847034405204E-2</v>
      </c>
      <c r="X52" s="136">
        <f t="shared" si="7"/>
        <v>6.5787354682684943E-2</v>
      </c>
      <c r="Y52" s="136">
        <f t="shared" si="7"/>
        <v>6.2497986948550695E-2</v>
      </c>
      <c r="Z52" s="136">
        <f t="shared" si="7"/>
        <v>5.9373087601123156E-2</v>
      </c>
      <c r="AA52" s="136">
        <f t="shared" si="7"/>
        <v>5.6404433221066995E-2</v>
      </c>
      <c r="AB52" s="136">
        <f t="shared" si="7"/>
        <v>5.3584211560013639E-2</v>
      </c>
      <c r="AC52" s="136">
        <f>AB52*95%</f>
        <v>5.0905000982012956E-2</v>
      </c>
      <c r="AD52" s="146">
        <f>AC52*AC57</f>
        <v>7934.2172495606064</v>
      </c>
    </row>
    <row r="53" spans="2:30" x14ac:dyDescent="0.25">
      <c r="B53" s="252"/>
      <c r="C53" s="136" t="str">
        <f t="shared" si="4"/>
        <v>Total: Energy consumption for internet access equipment (ADSL, DSLAM) (conference members)</v>
      </c>
      <c r="D53" s="196">
        <f>$D$17*$D$16*D47</f>
        <v>31.91076</v>
      </c>
      <c r="E53" s="194" t="s">
        <v>105</v>
      </c>
      <c r="F53" s="190" t="s">
        <v>1004</v>
      </c>
      <c r="H53" s="135" t="s">
        <v>504</v>
      </c>
      <c r="I53" s="136">
        <f>0.14</f>
        <v>0.14000000000000001</v>
      </c>
      <c r="J53" s="136">
        <f>I53*90%</f>
        <v>0.12600000000000003</v>
      </c>
      <c r="K53" s="136">
        <f t="shared" ref="K53:T53" si="8">J53*90%</f>
        <v>0.11340000000000003</v>
      </c>
      <c r="L53" s="136">
        <f t="shared" si="8"/>
        <v>0.10206000000000003</v>
      </c>
      <c r="M53" s="136">
        <f t="shared" si="8"/>
        <v>9.1854000000000019E-2</v>
      </c>
      <c r="N53" s="136">
        <f t="shared" si="8"/>
        <v>8.2668600000000023E-2</v>
      </c>
      <c r="O53" s="136">
        <f t="shared" si="8"/>
        <v>7.4401740000000022E-2</v>
      </c>
      <c r="P53" s="136">
        <f t="shared" si="8"/>
        <v>6.6961566000000028E-2</v>
      </c>
      <c r="Q53" s="136">
        <f t="shared" si="8"/>
        <v>6.0265409400000025E-2</v>
      </c>
      <c r="R53" s="136">
        <f t="shared" si="8"/>
        <v>5.4238868460000027E-2</v>
      </c>
      <c r="S53" s="136">
        <f>R53*90%</f>
        <v>4.8814981614000025E-2</v>
      </c>
      <c r="T53" s="136">
        <f t="shared" si="8"/>
        <v>4.3933483452600022E-2</v>
      </c>
      <c r="U53" s="136">
        <f>T53*95%</f>
        <v>4.1736809279970019E-2</v>
      </c>
      <c r="V53" s="136">
        <f t="shared" ref="V53:AC53" si="9">U53*95%</f>
        <v>3.9649968815971513E-2</v>
      </c>
      <c r="W53" s="136">
        <f t="shared" si="9"/>
        <v>3.7667470375172936E-2</v>
      </c>
      <c r="X53" s="136">
        <f t="shared" si="9"/>
        <v>3.5784096856414288E-2</v>
      </c>
      <c r="Y53" s="136">
        <f t="shared" si="9"/>
        <v>3.3994892013593569E-2</v>
      </c>
      <c r="Z53" s="136">
        <f t="shared" si="9"/>
        <v>3.2295147412913887E-2</v>
      </c>
      <c r="AA53" s="136">
        <f t="shared" si="9"/>
        <v>3.0680390042268191E-2</v>
      </c>
      <c r="AB53" s="136">
        <f t="shared" si="9"/>
        <v>2.914637054015478E-2</v>
      </c>
      <c r="AC53" s="136">
        <f t="shared" si="9"/>
        <v>2.7689052013147041E-2</v>
      </c>
      <c r="AD53" s="146">
        <f>AC53*AC58</f>
        <v>2966.6521102055103</v>
      </c>
    </row>
    <row r="54" spans="2:30" x14ac:dyDescent="0.25">
      <c r="B54" s="252"/>
      <c r="C54" s="136" t="str">
        <f t="shared" si="4"/>
        <v>Total: Energy consumption for laptop, video mode (conference members)</v>
      </c>
      <c r="D54" s="196">
        <f t="shared" si="5"/>
        <v>126.63</v>
      </c>
      <c r="E54" s="194" t="s">
        <v>105</v>
      </c>
      <c r="F54" s="190" t="s">
        <v>1004</v>
      </c>
      <c r="H54" s="143" t="s">
        <v>505</v>
      </c>
      <c r="I54" s="144">
        <f>0.135</f>
        <v>0.13500000000000001</v>
      </c>
      <c r="J54" s="144">
        <f>I54*85%</f>
        <v>0.11475</v>
      </c>
      <c r="K54" s="144">
        <f t="shared" ref="K54:T54" si="10">J54*85%</f>
        <v>9.7537499999999999E-2</v>
      </c>
      <c r="L54" s="144">
        <f t="shared" si="10"/>
        <v>8.2906874999999991E-2</v>
      </c>
      <c r="M54" s="144">
        <f t="shared" si="10"/>
        <v>7.0470843749999984E-2</v>
      </c>
      <c r="N54" s="144">
        <f t="shared" si="10"/>
        <v>5.9900217187499986E-2</v>
      </c>
      <c r="O54" s="144">
        <f t="shared" si="10"/>
        <v>5.091518460937499E-2</v>
      </c>
      <c r="P54" s="144">
        <f t="shared" si="10"/>
        <v>4.3277906917968741E-2</v>
      </c>
      <c r="Q54" s="144">
        <f t="shared" si="10"/>
        <v>3.6786220880273432E-2</v>
      </c>
      <c r="R54" s="144">
        <f t="shared" si="10"/>
        <v>3.1268287748232419E-2</v>
      </c>
      <c r="S54" s="144">
        <f t="shared" si="10"/>
        <v>2.6578044585997555E-2</v>
      </c>
      <c r="T54" s="144">
        <f t="shared" si="10"/>
        <v>2.2591337898097922E-2</v>
      </c>
      <c r="U54" s="144">
        <f t="shared" ref="U54:AC54" si="11">T54*95%</f>
        <v>2.1461771003193023E-2</v>
      </c>
      <c r="V54" s="144">
        <f t="shared" si="11"/>
        <v>2.0388682453033369E-2</v>
      </c>
      <c r="W54" s="144">
        <f t="shared" si="11"/>
        <v>1.93692483303817E-2</v>
      </c>
      <c r="X54" s="144">
        <f t="shared" si="11"/>
        <v>1.8400785913862613E-2</v>
      </c>
      <c r="Y54" s="144">
        <f t="shared" si="11"/>
        <v>1.7480746618169483E-2</v>
      </c>
      <c r="Z54" s="144">
        <f t="shared" si="11"/>
        <v>1.6606709287261007E-2</v>
      </c>
      <c r="AA54" s="144">
        <f t="shared" si="11"/>
        <v>1.5776373822897958E-2</v>
      </c>
      <c r="AB54" s="144">
        <f t="shared" si="11"/>
        <v>1.4987555131753059E-2</v>
      </c>
      <c r="AC54" s="144">
        <f t="shared" si="11"/>
        <v>1.4238177375165405E-2</v>
      </c>
      <c r="AD54" s="148">
        <f>AC54*AC59</f>
        <v>1137.4187765931031</v>
      </c>
    </row>
    <row r="55" spans="2:30" x14ac:dyDescent="0.25">
      <c r="B55" s="252"/>
      <c r="C55" s="136" t="str">
        <f>"Total: "&amp;C43&amp;" (participants)"</f>
        <v>Total: Router, internet (participants)</v>
      </c>
      <c r="D55" s="196">
        <f>$D$18*$D$14*$D$15*4*D43</f>
        <v>6.8984959999999998E-2</v>
      </c>
      <c r="E55" s="194" t="str">
        <f t="shared" ref="E55:E60" si="12">E49</f>
        <v>unit</v>
      </c>
      <c r="F55" s="190" t="s">
        <v>1004</v>
      </c>
    </row>
    <row r="56" spans="2:30" x14ac:dyDescent="0.25">
      <c r="B56" s="252"/>
      <c r="C56" s="136" t="str">
        <f t="shared" ref="C56:C60" si="13">"Total: "&amp;C44&amp;" (participants)"</f>
        <v>Total: Internet access equipment (participants)</v>
      </c>
      <c r="D56" s="196">
        <f t="shared" ref="D56:D59" si="14">$D$18*$D$14*$D$15*4*D44</f>
        <v>0.65016160000000001</v>
      </c>
      <c r="E56" s="194" t="str">
        <f t="shared" si="12"/>
        <v>unit</v>
      </c>
      <c r="F56" s="190" t="s">
        <v>1004</v>
      </c>
      <c r="H56" s="133" t="s">
        <v>1014</v>
      </c>
      <c r="I56" s="134">
        <f>I51</f>
        <v>2010</v>
      </c>
      <c r="J56" s="134">
        <f t="shared" ref="J56:AC56" si="15">J51</f>
        <v>2011</v>
      </c>
      <c r="K56" s="134">
        <f t="shared" si="15"/>
        <v>2012</v>
      </c>
      <c r="L56" s="134">
        <f t="shared" si="15"/>
        <v>2013</v>
      </c>
      <c r="M56" s="134">
        <f t="shared" si="15"/>
        <v>2014</v>
      </c>
      <c r="N56" s="134">
        <f t="shared" si="15"/>
        <v>2015</v>
      </c>
      <c r="O56" s="134">
        <f t="shared" si="15"/>
        <v>2016</v>
      </c>
      <c r="P56" s="134">
        <f t="shared" si="15"/>
        <v>2017</v>
      </c>
      <c r="Q56" s="134">
        <f t="shared" si="15"/>
        <v>2018</v>
      </c>
      <c r="R56" s="134">
        <f t="shared" si="15"/>
        <v>2019</v>
      </c>
      <c r="S56" s="134">
        <f t="shared" si="15"/>
        <v>2020</v>
      </c>
      <c r="T56" s="134">
        <f t="shared" si="15"/>
        <v>2021</v>
      </c>
      <c r="U56" s="134">
        <f t="shared" si="15"/>
        <v>2022</v>
      </c>
      <c r="V56" s="134">
        <f t="shared" si="15"/>
        <v>2023</v>
      </c>
      <c r="W56" s="134">
        <f t="shared" si="15"/>
        <v>2024</v>
      </c>
      <c r="X56" s="134">
        <f t="shared" si="15"/>
        <v>2025</v>
      </c>
      <c r="Y56" s="134">
        <f t="shared" si="15"/>
        <v>2026</v>
      </c>
      <c r="Z56" s="134">
        <f t="shared" si="15"/>
        <v>2027</v>
      </c>
      <c r="AA56" s="134">
        <f t="shared" si="15"/>
        <v>2028</v>
      </c>
      <c r="AB56" s="134">
        <f t="shared" si="15"/>
        <v>2029</v>
      </c>
      <c r="AC56" s="134">
        <f t="shared" si="15"/>
        <v>2030</v>
      </c>
      <c r="AD56" s="145"/>
    </row>
    <row r="57" spans="2:30" x14ac:dyDescent="0.25">
      <c r="B57" s="252"/>
      <c r="C57" s="136" t="str">
        <f t="shared" si="13"/>
        <v>Total: Computer, laptop (participants)</v>
      </c>
      <c r="D57" s="196">
        <f t="shared" si="14"/>
        <v>0.97416000000000003</v>
      </c>
      <c r="E57" s="194" t="str">
        <f t="shared" si="12"/>
        <v>unit</v>
      </c>
      <c r="F57" s="190" t="s">
        <v>1004</v>
      </c>
      <c r="H57" s="135" t="str">
        <f>H52</f>
        <v>worst</v>
      </c>
      <c r="I57" s="136">
        <f>1400</f>
        <v>1400</v>
      </c>
      <c r="J57" s="136">
        <f>I57*126.57%</f>
        <v>1771.9799999999998</v>
      </c>
      <c r="K57" s="136">
        <f t="shared" ref="K57:AC57" si="16">J57*126.57%</f>
        <v>2242.7950859999996</v>
      </c>
      <c r="L57" s="136">
        <f t="shared" si="16"/>
        <v>2838.705740350199</v>
      </c>
      <c r="M57" s="136">
        <f t="shared" si="16"/>
        <v>3592.9498555612463</v>
      </c>
      <c r="N57" s="136">
        <f t="shared" si="16"/>
        <v>4547.5966321838687</v>
      </c>
      <c r="O57" s="136">
        <f t="shared" si="16"/>
        <v>5755.8930573551215</v>
      </c>
      <c r="P57" s="136">
        <f t="shared" si="16"/>
        <v>7285.2338426943761</v>
      </c>
      <c r="Q57" s="136">
        <f t="shared" si="16"/>
        <v>9220.9204746982705</v>
      </c>
      <c r="R57" s="136">
        <f t="shared" si="16"/>
        <v>11670.919044825599</v>
      </c>
      <c r="S57" s="136">
        <f t="shared" si="16"/>
        <v>14771.882235035759</v>
      </c>
      <c r="T57" s="136">
        <f t="shared" si="16"/>
        <v>18696.771344884757</v>
      </c>
      <c r="U57" s="136">
        <f t="shared" si="16"/>
        <v>23664.503491220636</v>
      </c>
      <c r="V57" s="136">
        <f t="shared" si="16"/>
        <v>29952.162068837955</v>
      </c>
      <c r="W57" s="136">
        <f t="shared" si="16"/>
        <v>37910.451530528197</v>
      </c>
      <c r="X57" s="136">
        <f t="shared" si="16"/>
        <v>47983.258502189528</v>
      </c>
      <c r="Y57" s="136">
        <f t="shared" si="16"/>
        <v>60732.410286221275</v>
      </c>
      <c r="Z57" s="136">
        <f t="shared" si="16"/>
        <v>76869.011699270253</v>
      </c>
      <c r="AA57" s="136">
        <f t="shared" si="16"/>
        <v>97293.10810776634</v>
      </c>
      <c r="AB57" s="136">
        <f t="shared" si="16"/>
        <v>123143.88693199983</v>
      </c>
      <c r="AC57" s="136">
        <f t="shared" si="16"/>
        <v>155863.21768983218</v>
      </c>
      <c r="AD57" s="146">
        <f>(AC57/I57)^(1/20)</f>
        <v>1.2656999999999998</v>
      </c>
    </row>
    <row r="58" spans="2:30" x14ac:dyDescent="0.25">
      <c r="B58" s="252"/>
      <c r="C58" s="136" t="str">
        <f t="shared" si="13"/>
        <v>Total: Energy consumption for router (participants)</v>
      </c>
      <c r="D58" s="196">
        <f t="shared" si="14"/>
        <v>636.45119999999997</v>
      </c>
      <c r="E58" s="194" t="str">
        <f t="shared" si="12"/>
        <v>kWh</v>
      </c>
      <c r="F58" s="190" t="s">
        <v>1004</v>
      </c>
      <c r="H58" s="135" t="str">
        <f>H53</f>
        <v>expected</v>
      </c>
      <c r="I58" s="136">
        <f>1400</f>
        <v>1400</v>
      </c>
      <c r="J58" s="136">
        <f>I58*124.22%</f>
        <v>1739.08</v>
      </c>
      <c r="K58" s="136">
        <f t="shared" ref="K58:AC58" si="17">J58*124.22%</f>
        <v>2160.2851759999999</v>
      </c>
      <c r="L58" s="136">
        <f t="shared" si="17"/>
        <v>2683.5062456271999</v>
      </c>
      <c r="M58" s="136">
        <f t="shared" si="17"/>
        <v>3333.4514583181076</v>
      </c>
      <c r="N58" s="136">
        <f t="shared" si="17"/>
        <v>4140.8134015227533</v>
      </c>
      <c r="O58" s="136">
        <f t="shared" si="17"/>
        <v>5143.7184073715644</v>
      </c>
      <c r="P58" s="136">
        <f t="shared" si="17"/>
        <v>6389.5270056369573</v>
      </c>
      <c r="Q58" s="136">
        <f t="shared" si="17"/>
        <v>7937.0704464022283</v>
      </c>
      <c r="R58" s="136">
        <f t="shared" si="17"/>
        <v>9859.4289085208475</v>
      </c>
      <c r="S58" s="136">
        <f t="shared" si="17"/>
        <v>12247.382590164596</v>
      </c>
      <c r="T58" s="136">
        <f t="shared" si="17"/>
        <v>15213.698653502461</v>
      </c>
      <c r="U58" s="136">
        <f t="shared" si="17"/>
        <v>18898.456467380754</v>
      </c>
      <c r="V58" s="136">
        <f t="shared" si="17"/>
        <v>23475.662623780372</v>
      </c>
      <c r="W58" s="136">
        <f t="shared" si="17"/>
        <v>29161.468111259979</v>
      </c>
      <c r="X58" s="136">
        <f t="shared" si="17"/>
        <v>36224.375687807144</v>
      </c>
      <c r="Y58" s="136">
        <f t="shared" si="17"/>
        <v>44997.919479394033</v>
      </c>
      <c r="Z58" s="136">
        <f t="shared" si="17"/>
        <v>55896.415577303269</v>
      </c>
      <c r="AA58" s="136">
        <f t="shared" si="17"/>
        <v>69434.527430126123</v>
      </c>
      <c r="AB58" s="136">
        <f t="shared" si="17"/>
        <v>86251.569973702673</v>
      </c>
      <c r="AC58" s="136">
        <f t="shared" si="17"/>
        <v>107141.70022133346</v>
      </c>
      <c r="AD58" s="146">
        <f t="shared" ref="AD58:AD59" si="18">(AC58/I58)^(1/20)</f>
        <v>1.2422</v>
      </c>
    </row>
    <row r="59" spans="2:30" x14ac:dyDescent="0.25">
      <c r="B59" s="252"/>
      <c r="C59" s="136" t="str">
        <f t="shared" si="13"/>
        <v>Total: Energy consumption for internet access equipment (ADSL, DSLAM) (participants)</v>
      </c>
      <c r="D59" s="196">
        <f t="shared" si="14"/>
        <v>54.552959999999999</v>
      </c>
      <c r="E59" s="194" t="str">
        <f t="shared" si="12"/>
        <v>kWh</v>
      </c>
      <c r="F59" s="190" t="s">
        <v>1004</v>
      </c>
      <c r="H59" s="143" t="str">
        <f>H54</f>
        <v>best</v>
      </c>
      <c r="I59" s="144">
        <f>1400</f>
        <v>1400</v>
      </c>
      <c r="J59" s="144">
        <f>I59*122.41%</f>
        <v>1713.74</v>
      </c>
      <c r="K59" s="144">
        <f t="shared" ref="K59:AC59" si="19">J59*122.41%</f>
        <v>2097.7891340000001</v>
      </c>
      <c r="L59" s="144">
        <f t="shared" si="19"/>
        <v>2567.9036789294</v>
      </c>
      <c r="M59" s="144">
        <f t="shared" si="19"/>
        <v>3143.3708933774783</v>
      </c>
      <c r="N59" s="144">
        <f t="shared" si="19"/>
        <v>3847.8003105833709</v>
      </c>
      <c r="O59" s="144">
        <f t="shared" si="19"/>
        <v>4710.0923601851046</v>
      </c>
      <c r="P59" s="144">
        <f t="shared" si="19"/>
        <v>5765.6240581025859</v>
      </c>
      <c r="Q59" s="144">
        <f t="shared" si="19"/>
        <v>7057.7004095233751</v>
      </c>
      <c r="R59" s="144">
        <f t="shared" si="19"/>
        <v>8639.3310712975635</v>
      </c>
      <c r="S59" s="144">
        <f t="shared" si="19"/>
        <v>10575.405164375346</v>
      </c>
      <c r="T59" s="144">
        <f t="shared" si="19"/>
        <v>12945.353461711862</v>
      </c>
      <c r="U59" s="144">
        <f t="shared" si="19"/>
        <v>15846.407172481489</v>
      </c>
      <c r="V59" s="144">
        <f t="shared" si="19"/>
        <v>19397.587019834591</v>
      </c>
      <c r="W59" s="144">
        <f t="shared" si="19"/>
        <v>23744.586270979522</v>
      </c>
      <c r="X59" s="144">
        <f t="shared" si="19"/>
        <v>29065.748054306034</v>
      </c>
      <c r="Y59" s="144">
        <f t="shared" si="19"/>
        <v>35579.382193276018</v>
      </c>
      <c r="Z59" s="144">
        <f t="shared" si="19"/>
        <v>43552.721742789174</v>
      </c>
      <c r="AA59" s="144">
        <f t="shared" si="19"/>
        <v>53312.886685348225</v>
      </c>
      <c r="AB59" s="144">
        <f t="shared" si="19"/>
        <v>65260.304591534761</v>
      </c>
      <c r="AC59" s="144">
        <f t="shared" si="19"/>
        <v>79885.138850497693</v>
      </c>
      <c r="AD59" s="148">
        <f t="shared" si="18"/>
        <v>1.2241</v>
      </c>
    </row>
    <row r="60" spans="2:30" x14ac:dyDescent="0.25">
      <c r="B60" s="253"/>
      <c r="C60" s="144" t="str">
        <f t="shared" si="13"/>
        <v>Total: Energy consumption for laptop, video mode (participants)</v>
      </c>
      <c r="D60" s="198">
        <f>$D$18*$D$14*$D$15*4*D48</f>
        <v>216.48</v>
      </c>
      <c r="E60" s="199" t="str">
        <f t="shared" si="12"/>
        <v>kWh</v>
      </c>
      <c r="F60" s="191" t="s">
        <v>1004</v>
      </c>
      <c r="H60" s="76" t="str">
        <f>H37</f>
        <v>Data source:</v>
      </c>
      <c r="I60" s="76" t="s">
        <v>1002</v>
      </c>
    </row>
    <row r="63" spans="2:30" x14ac:dyDescent="0.25">
      <c r="B63" s="202"/>
      <c r="C63" s="134" t="str">
        <f>C42</f>
        <v>Parameter</v>
      </c>
      <c r="D63" s="195" t="str">
        <f t="shared" ref="D63:E63" si="20">D42</f>
        <v>Value</v>
      </c>
      <c r="E63" s="195" t="str">
        <f t="shared" si="20"/>
        <v>Unit</v>
      </c>
      <c r="F63" s="189" t="s">
        <v>1011</v>
      </c>
    </row>
    <row r="64" spans="2:30" x14ac:dyDescent="0.25">
      <c r="B64" s="252" t="s">
        <v>419</v>
      </c>
      <c r="C64" s="136" t="s">
        <v>440</v>
      </c>
      <c r="D64" s="194">
        <v>1250</v>
      </c>
      <c r="E64" s="194" t="s">
        <v>439</v>
      </c>
      <c r="F64" s="251" t="s">
        <v>1007</v>
      </c>
    </row>
    <row r="65" spans="2:6" x14ac:dyDescent="0.25">
      <c r="B65" s="252"/>
      <c r="C65" s="136" t="s">
        <v>441</v>
      </c>
      <c r="D65" s="194">
        <v>1.3</v>
      </c>
      <c r="E65" s="194" t="s">
        <v>444</v>
      </c>
      <c r="F65" s="251"/>
    </row>
    <row r="66" spans="2:6" x14ac:dyDescent="0.25">
      <c r="B66" s="252"/>
      <c r="C66" s="136" t="s">
        <v>442</v>
      </c>
      <c r="D66" s="194">
        <v>9.7469999999999999</v>
      </c>
      <c r="E66" s="194" t="s">
        <v>443</v>
      </c>
      <c r="F66" s="251"/>
    </row>
    <row r="67" spans="2:6" x14ac:dyDescent="0.25">
      <c r="B67" s="252"/>
      <c r="C67" s="136" t="s">
        <v>445</v>
      </c>
      <c r="D67" s="194">
        <f>D66*1000000*D65</f>
        <v>12671100</v>
      </c>
      <c r="E67" s="194" t="s">
        <v>446</v>
      </c>
      <c r="F67" s="251"/>
    </row>
    <row r="68" spans="2:6" x14ac:dyDescent="0.25">
      <c r="B68" s="252"/>
      <c r="C68" s="136" t="s">
        <v>399</v>
      </c>
      <c r="D68" s="194">
        <v>1000</v>
      </c>
      <c r="E68" s="194" t="s">
        <v>447</v>
      </c>
      <c r="F68" s="251"/>
    </row>
    <row r="69" spans="2:6" x14ac:dyDescent="0.25">
      <c r="B69" s="252"/>
      <c r="C69" s="136" t="s">
        <v>449</v>
      </c>
      <c r="D69" s="197">
        <v>1000000</v>
      </c>
      <c r="E69" s="194" t="s">
        <v>448</v>
      </c>
      <c r="F69" s="251"/>
    </row>
    <row r="70" spans="2:6" x14ac:dyDescent="0.25">
      <c r="B70" s="252"/>
      <c r="C70" s="136" t="s">
        <v>506</v>
      </c>
      <c r="D70" s="194">
        <f>S53*Virtual_SA!AH7</f>
        <v>4.8814981614000025E-2</v>
      </c>
      <c r="E70" s="194" t="s">
        <v>402</v>
      </c>
      <c r="F70" s="190" t="s">
        <v>1002</v>
      </c>
    </row>
    <row r="71" spans="2:6" x14ac:dyDescent="0.25">
      <c r="B71" s="203"/>
      <c r="C71" s="136" t="str">
        <f>C19</f>
        <v>Electricity use for conference members</v>
      </c>
      <c r="D71" s="194">
        <f>D17*D16*(D8+D9)*D10*D11*D12*D70</f>
        <v>398.41319730227968</v>
      </c>
      <c r="E71" s="194" t="str">
        <f>E19</f>
        <v>kWh</v>
      </c>
      <c r="F71" s="190" t="str">
        <f>F19</f>
        <v>Calculation</v>
      </c>
    </row>
    <row r="72" spans="2:6" x14ac:dyDescent="0.25">
      <c r="B72" s="204"/>
      <c r="C72" s="144" t="str">
        <f>C20</f>
        <v>Electricity use for participants</v>
      </c>
      <c r="D72" s="199">
        <f>D18*D14*D15*4*(D8+D9)*D10*D11*D12*D70</f>
        <v>681.10628565108971</v>
      </c>
      <c r="E72" s="199" t="str">
        <f>E20</f>
        <v>kWh</v>
      </c>
      <c r="F72" s="191" t="str">
        <f>F20</f>
        <v>Calculation</v>
      </c>
    </row>
    <row r="75" spans="2:6" x14ac:dyDescent="0.25">
      <c r="B75" s="202" t="s">
        <v>420</v>
      </c>
      <c r="C75" s="134" t="s">
        <v>438</v>
      </c>
      <c r="D75" s="195" t="s">
        <v>436</v>
      </c>
      <c r="E75" s="195" t="s">
        <v>453</v>
      </c>
      <c r="F75" s="189" t="str">
        <f>F63</f>
        <v>Data source</v>
      </c>
    </row>
    <row r="76" spans="2:6" x14ac:dyDescent="0.25">
      <c r="B76" s="252" t="s">
        <v>421</v>
      </c>
      <c r="C76" s="136" t="s">
        <v>450</v>
      </c>
      <c r="D76" s="201">
        <v>11296045</v>
      </c>
      <c r="E76" s="197">
        <v>876</v>
      </c>
      <c r="F76" s="251" t="s">
        <v>1010</v>
      </c>
    </row>
    <row r="77" spans="2:6" x14ac:dyDescent="0.25">
      <c r="B77" s="252"/>
      <c r="C77" s="136" t="s">
        <v>451</v>
      </c>
      <c r="D77" s="201">
        <v>79072315</v>
      </c>
      <c r="E77" s="197">
        <v>6130</v>
      </c>
      <c r="F77" s="251"/>
    </row>
    <row r="78" spans="2:6" x14ac:dyDescent="0.25">
      <c r="B78" s="252"/>
      <c r="C78" s="136" t="s">
        <v>452</v>
      </c>
      <c r="D78" s="201">
        <v>22592090</v>
      </c>
      <c r="E78" s="197">
        <v>1750</v>
      </c>
      <c r="F78" s="251"/>
    </row>
    <row r="79" spans="2:6" x14ac:dyDescent="0.25">
      <c r="B79" s="252" t="s">
        <v>423</v>
      </c>
      <c r="C79" s="136" t="s">
        <v>424</v>
      </c>
      <c r="D79" s="201">
        <v>451842</v>
      </c>
      <c r="E79" s="197">
        <v>35</v>
      </c>
      <c r="F79" s="251"/>
    </row>
    <row r="80" spans="2:6" x14ac:dyDescent="0.25">
      <c r="B80" s="252"/>
      <c r="C80" s="136" t="s">
        <v>425</v>
      </c>
      <c r="D80" s="201">
        <v>5648023</v>
      </c>
      <c r="E80" s="197">
        <v>438</v>
      </c>
      <c r="F80" s="251"/>
    </row>
    <row r="81" spans="2:6" x14ac:dyDescent="0.25">
      <c r="B81" s="252"/>
      <c r="C81" s="136" t="s">
        <v>426</v>
      </c>
      <c r="D81" s="201">
        <v>112960</v>
      </c>
      <c r="E81" s="197">
        <v>8.76</v>
      </c>
      <c r="F81" s="251"/>
    </row>
    <row r="82" spans="2:6" x14ac:dyDescent="0.25">
      <c r="B82" s="252"/>
      <c r="C82" s="136" t="s">
        <v>427</v>
      </c>
      <c r="D82" s="201">
        <v>112960</v>
      </c>
      <c r="E82" s="197">
        <v>8.76</v>
      </c>
      <c r="F82" s="251"/>
    </row>
    <row r="83" spans="2:6" x14ac:dyDescent="0.25">
      <c r="B83" s="252"/>
      <c r="C83" s="136" t="s">
        <v>428</v>
      </c>
      <c r="D83" s="201">
        <v>564802</v>
      </c>
      <c r="E83" s="197">
        <v>43.8</v>
      </c>
      <c r="F83" s="251"/>
    </row>
    <row r="84" spans="2:6" x14ac:dyDescent="0.25">
      <c r="B84" s="252" t="s">
        <v>429</v>
      </c>
      <c r="C84" s="136" t="s">
        <v>430</v>
      </c>
      <c r="D84" s="201">
        <v>146849</v>
      </c>
      <c r="E84" s="197">
        <v>11.4</v>
      </c>
      <c r="F84" s="251"/>
    </row>
    <row r="85" spans="2:6" x14ac:dyDescent="0.25">
      <c r="B85" s="252"/>
      <c r="C85" s="136" t="s">
        <v>431</v>
      </c>
      <c r="D85" s="201">
        <v>2259209</v>
      </c>
      <c r="E85" s="197">
        <v>175</v>
      </c>
      <c r="F85" s="251"/>
    </row>
    <row r="86" spans="2:6" x14ac:dyDescent="0.25">
      <c r="B86" s="252"/>
      <c r="C86" s="136" t="s">
        <v>432</v>
      </c>
      <c r="D86" s="201">
        <v>9601638</v>
      </c>
      <c r="E86" s="197">
        <v>745</v>
      </c>
      <c r="F86" s="251"/>
    </row>
    <row r="87" spans="2:6" x14ac:dyDescent="0.25">
      <c r="B87" s="252" t="s">
        <v>433</v>
      </c>
      <c r="C87" s="136" t="s">
        <v>434</v>
      </c>
      <c r="D87" s="201">
        <v>84720</v>
      </c>
      <c r="E87" s="197">
        <v>6.57</v>
      </c>
      <c r="F87" s="251"/>
    </row>
    <row r="88" spans="2:6" x14ac:dyDescent="0.25">
      <c r="B88" s="252"/>
      <c r="C88" s="136" t="s">
        <v>435</v>
      </c>
      <c r="D88" s="201">
        <v>28240</v>
      </c>
      <c r="E88" s="197">
        <v>2.19</v>
      </c>
      <c r="F88" s="251"/>
    </row>
    <row r="89" spans="2:6" x14ac:dyDescent="0.25">
      <c r="B89" s="203"/>
      <c r="C89" s="136" t="s">
        <v>437</v>
      </c>
      <c r="D89" s="201">
        <f>SUM(D76:D88)</f>
        <v>131971693</v>
      </c>
      <c r="E89" s="197">
        <f>SUM(E76:E88)</f>
        <v>10230.48</v>
      </c>
      <c r="F89" s="251"/>
    </row>
    <row r="90" spans="2:6" x14ac:dyDescent="0.25">
      <c r="B90" s="204"/>
      <c r="C90" s="144" t="s">
        <v>454</v>
      </c>
      <c r="D90" s="199">
        <f>D89/365/24</f>
        <v>15065.261757990867</v>
      </c>
      <c r="E90" s="200">
        <f>E89/1000/365/24</f>
        <v>1.16786301369863E-3</v>
      </c>
      <c r="F90" s="254"/>
    </row>
  </sheetData>
  <mergeCells count="14">
    <mergeCell ref="F64:F69"/>
    <mergeCell ref="B64:B70"/>
    <mergeCell ref="F76:F90"/>
    <mergeCell ref="B32:B35"/>
    <mergeCell ref="B43:B60"/>
    <mergeCell ref="B76:B78"/>
    <mergeCell ref="B79:B83"/>
    <mergeCell ref="B84:B86"/>
    <mergeCell ref="B87:B88"/>
    <mergeCell ref="F14:F15"/>
    <mergeCell ref="F4:F7"/>
    <mergeCell ref="F8:F9"/>
    <mergeCell ref="B24:B29"/>
    <mergeCell ref="B4:B20"/>
  </mergeCells>
  <phoneticPr fontId="4" type="noConversion"/>
  <hyperlinks>
    <hyperlink ref="F8" r:id="rId1" display="https://support.zoom.us/hc/en-us/articles/201362023" xr:uid="{7A148DF3-1029-4CF8-8A1C-B24975F3CEEB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E418F-4F33-4CAF-8C6C-688C77B37274}">
  <sheetPr codeName="Sheet10"/>
  <dimension ref="B2:BL161"/>
  <sheetViews>
    <sheetView zoomScale="60" zoomScaleNormal="60" workbookViewId="0">
      <selection activeCell="F20" sqref="F20"/>
    </sheetView>
  </sheetViews>
  <sheetFormatPr defaultColWidth="10.7109375" defaultRowHeight="15" x14ac:dyDescent="0.25"/>
  <cols>
    <col min="1" max="1" width="10.7109375" style="16"/>
    <col min="2" max="2" width="28.7109375" style="16" customWidth="1"/>
    <col min="3" max="3" width="44.140625" style="16" bestFit="1" customWidth="1"/>
    <col min="4" max="4" width="95.42578125" style="16" bestFit="1" customWidth="1"/>
    <col min="5" max="6" width="10.7109375" style="16"/>
    <col min="7" max="7" width="18" style="16" bestFit="1" customWidth="1"/>
    <col min="8" max="16384" width="10.7109375" style="16"/>
  </cols>
  <sheetData>
    <row r="2" spans="2:64" x14ac:dyDescent="0.25">
      <c r="B2" s="23"/>
      <c r="C2" s="25" t="str">
        <f>Waste_LCIA!C2</f>
        <v>Item</v>
      </c>
      <c r="D2" s="25" t="str">
        <f>Waste_LCIA!D2</f>
        <v>Item</v>
      </c>
      <c r="E2" s="25" t="str">
        <f>Waste_LCIA!E2</f>
        <v>Value</v>
      </c>
      <c r="F2" s="25" t="str">
        <f>Waste_LCIA!F2</f>
        <v>Unit</v>
      </c>
      <c r="G2" s="25" t="str">
        <f>Waste_LCIA!G2</f>
        <v>Source</v>
      </c>
      <c r="H2" s="25" t="str">
        <f>Waste_LCIA!H2</f>
        <v>GWP</v>
      </c>
      <c r="I2" s="25" t="str">
        <f>Waste_LCIA!I2</f>
        <v>biomass</v>
      </c>
      <c r="J2" s="25" t="str">
        <f>Waste_LCIA!J2</f>
        <v>fossil</v>
      </c>
      <c r="K2" s="25" t="str">
        <f>Waste_LCIA!K2</f>
        <v>geothermal</v>
      </c>
      <c r="L2" s="25" t="str">
        <f>Waste_LCIA!L2</f>
        <v>nuclear</v>
      </c>
      <c r="M2" s="25" t="str">
        <f>Waste_LCIA!M2</f>
        <v>primary forest</v>
      </c>
      <c r="N2" s="25" t="str">
        <f>Waste_LCIA!N2</f>
        <v>solar</v>
      </c>
      <c r="O2" s="25" t="str">
        <f>Waste_LCIA!O2</f>
        <v>water</v>
      </c>
      <c r="P2" s="25" t="str">
        <f>Waste_LCIA!P2</f>
        <v>wind</v>
      </c>
      <c r="Q2" s="25" t="str">
        <f>Waste_LCIA!Q2</f>
        <v>CED</v>
      </c>
      <c r="R2" s="25" t="str">
        <f>Waste_LCIA!R2</f>
        <v>ALOP</v>
      </c>
      <c r="S2" s="25" t="str">
        <f>Waste_LCIA!S2</f>
        <v>GWP100</v>
      </c>
      <c r="T2" s="25" t="str">
        <f>Waste_LCIA!T2</f>
        <v>FDP</v>
      </c>
      <c r="U2" s="25" t="str">
        <f>Waste_LCIA!U2</f>
        <v>FETPinf</v>
      </c>
      <c r="V2" s="25" t="str">
        <f>Waste_LCIA!V2</f>
        <v>FEP</v>
      </c>
      <c r="W2" s="25" t="str">
        <f>Waste_LCIA!W2</f>
        <v>HTPinf</v>
      </c>
      <c r="X2" s="25" t="str">
        <f>Waste_LCIA!X2</f>
        <v>IRP_HE</v>
      </c>
      <c r="Y2" s="25" t="str">
        <f>Waste_LCIA!Y2</f>
        <v>METPinf</v>
      </c>
      <c r="Z2" s="25" t="str">
        <f>Waste_LCIA!Z2</f>
        <v>MEP</v>
      </c>
      <c r="AA2" s="25" t="str">
        <f>Waste_LCIA!AA2</f>
        <v>MDP</v>
      </c>
      <c r="AB2" s="25" t="str">
        <f>Waste_LCIA!AB2</f>
        <v>NLTP</v>
      </c>
      <c r="AC2" s="25" t="str">
        <f>Waste_LCIA!AC2</f>
        <v>ODPinf</v>
      </c>
      <c r="AD2" s="25" t="str">
        <f>Waste_LCIA!AD2</f>
        <v>PMFP</v>
      </c>
      <c r="AE2" s="25" t="str">
        <f>Waste_LCIA!AE2</f>
        <v>POFP</v>
      </c>
      <c r="AF2" s="25" t="str">
        <f>Waste_LCIA!AF2</f>
        <v>TAP100</v>
      </c>
      <c r="AG2" s="25" t="str">
        <f>Waste_LCIA!AG2</f>
        <v>TETPinf</v>
      </c>
      <c r="AH2" s="25" t="str">
        <f>Waste_LCIA!AH2</f>
        <v>ULOP</v>
      </c>
      <c r="AI2" s="26" t="str">
        <f>Waste_LCIA!AI2</f>
        <v>WDP</v>
      </c>
      <c r="AJ2" s="18"/>
      <c r="AK2" s="18" t="str">
        <f>Waste_LCIA!AK2</f>
        <v>GWP</v>
      </c>
      <c r="AL2" s="18" t="str">
        <f>Waste_LCIA!AL2</f>
        <v>biomass</v>
      </c>
      <c r="AM2" s="18" t="str">
        <f>Waste_LCIA!AM2</f>
        <v>fossil</v>
      </c>
      <c r="AN2" s="18" t="str">
        <f>Waste_LCIA!AN2</f>
        <v>geothermal</v>
      </c>
      <c r="AO2" s="18" t="str">
        <f>Waste_LCIA!AO2</f>
        <v>nuclear</v>
      </c>
      <c r="AP2" s="18" t="str">
        <f>Waste_LCIA!AP2</f>
        <v>primary forest</v>
      </c>
      <c r="AQ2" s="18" t="str">
        <f>Waste_LCIA!AQ2</f>
        <v>solar</v>
      </c>
      <c r="AR2" s="18" t="str">
        <f>Waste_LCIA!AR2</f>
        <v>water</v>
      </c>
      <c r="AS2" s="18" t="str">
        <f>Waste_LCIA!AS2</f>
        <v>wind</v>
      </c>
      <c r="AT2" s="18" t="str">
        <f>Waste_LCIA!AT2</f>
        <v>CED</v>
      </c>
      <c r="AU2" s="18" t="str">
        <f>Waste_LCIA!AU2</f>
        <v>ALOP</v>
      </c>
      <c r="AV2" s="18" t="str">
        <f>Waste_LCIA!AV2</f>
        <v>GWP100</v>
      </c>
      <c r="AW2" s="18" t="str">
        <f>Waste_LCIA!AW2</f>
        <v>FDP</v>
      </c>
      <c r="AX2" s="18" t="str">
        <f>Waste_LCIA!AX2</f>
        <v>FETPinf</v>
      </c>
      <c r="AY2" s="18" t="str">
        <f>Waste_LCIA!AY2</f>
        <v>FEP</v>
      </c>
      <c r="AZ2" s="18" t="str">
        <f>Waste_LCIA!AZ2</f>
        <v>HTPinf</v>
      </c>
      <c r="BA2" s="18" t="str">
        <f>Waste_LCIA!BA2</f>
        <v>IRP_HE</v>
      </c>
      <c r="BB2" s="18" t="str">
        <f>Waste_LCIA!BB2</f>
        <v>METPinf</v>
      </c>
      <c r="BC2" s="18" t="str">
        <f>Waste_LCIA!BC2</f>
        <v>MEP</v>
      </c>
      <c r="BD2" s="18" t="str">
        <f>Waste_LCIA!BD2</f>
        <v>MDP</v>
      </c>
      <c r="BE2" s="18" t="str">
        <f>Waste_LCIA!BE2</f>
        <v>NLTP</v>
      </c>
      <c r="BF2" s="18" t="str">
        <f>Waste_LCIA!BF2</f>
        <v>ODPinf</v>
      </c>
      <c r="BG2" s="18" t="str">
        <f>Waste_LCIA!BG2</f>
        <v>PMFP</v>
      </c>
      <c r="BH2" s="18" t="str">
        <f>Waste_LCIA!BH2</f>
        <v>POFP</v>
      </c>
      <c r="BI2" s="18" t="str">
        <f>Waste_LCIA!BI2</f>
        <v>TAP100</v>
      </c>
      <c r="BJ2" s="18" t="str">
        <f>Waste_LCIA!BJ2</f>
        <v>TETPinf</v>
      </c>
      <c r="BK2" s="18" t="str">
        <f>Waste_LCIA!BK2</f>
        <v>ULOP</v>
      </c>
      <c r="BL2" s="18" t="str">
        <f>Waste_LCIA!BL2</f>
        <v>WDP</v>
      </c>
    </row>
    <row r="3" spans="2:64" x14ac:dyDescent="0.25">
      <c r="B3" s="261" t="str">
        <f>'Preparation and execution'!B3</f>
        <v>Preparation - Local conference committee</v>
      </c>
      <c r="C3" s="260" t="str">
        <f>'Preparation and execution'!B5</f>
        <v>Computer usage</v>
      </c>
      <c r="D3" s="28" t="s">
        <v>246</v>
      </c>
      <c r="E3" s="28">
        <v>76.600000000000009</v>
      </c>
      <c r="F3" s="28" t="s">
        <v>248</v>
      </c>
      <c r="G3" s="27" t="s">
        <v>183</v>
      </c>
      <c r="H3" s="28">
        <v>4.9370999999999998E-2</v>
      </c>
      <c r="I3" s="28">
        <v>1.2995E-2</v>
      </c>
      <c r="J3" s="28">
        <v>0.56555</v>
      </c>
      <c r="K3" s="28">
        <v>1.3862E-3</v>
      </c>
      <c r="L3" s="28">
        <v>9.4832E-2</v>
      </c>
      <c r="M3" s="28">
        <v>2.2079E-5</v>
      </c>
      <c r="N3" s="28">
        <v>3.1329000000000001E-3</v>
      </c>
      <c r="O3" s="28">
        <v>4.4974E-2</v>
      </c>
      <c r="P3" s="28">
        <v>1.0761E-2</v>
      </c>
      <c r="Q3" s="28">
        <f>SUM(I3:P3)</f>
        <v>0.73365317899999993</v>
      </c>
      <c r="R3" s="28">
        <v>2.6530999999999998E-3</v>
      </c>
      <c r="S3" s="28">
        <v>4.8544999999999998E-2</v>
      </c>
      <c r="T3" s="28">
        <v>1.3953E-2</v>
      </c>
      <c r="U3" s="28">
        <v>7.8344E-3</v>
      </c>
      <c r="V3" s="28">
        <v>3.8828000000000002E-5</v>
      </c>
      <c r="W3" s="28">
        <v>4.3507999999999998E-2</v>
      </c>
      <c r="X3" s="28">
        <v>6.1752999999999999E-3</v>
      </c>
      <c r="Y3" s="28">
        <v>6.9353000000000001E-3</v>
      </c>
      <c r="Z3" s="28">
        <v>2.3371E-5</v>
      </c>
      <c r="AA3" s="28">
        <v>1.423E-2</v>
      </c>
      <c r="AB3" s="28">
        <v>-4.7657E-6</v>
      </c>
      <c r="AC3" s="28">
        <v>2.3464000000000001E-9</v>
      </c>
      <c r="AD3" s="28">
        <v>1.3376999999999999E-4</v>
      </c>
      <c r="AE3" s="28">
        <v>1.5634000000000001E-4</v>
      </c>
      <c r="AF3" s="28">
        <v>2.1008999999999999E-4</v>
      </c>
      <c r="AG3" s="28">
        <v>6.2122999999999998E-6</v>
      </c>
      <c r="AH3" s="28">
        <v>3.9498000000000002E-4</v>
      </c>
      <c r="AI3" s="29">
        <v>3.8084000000000002E-4</v>
      </c>
      <c r="AK3" s="16">
        <f>$E3*H3</f>
        <v>3.7818186000000003</v>
      </c>
      <c r="AL3" s="16">
        <f t="shared" ref="AL3:BL12" si="0">$E3*I3</f>
        <v>0.99541700000000011</v>
      </c>
      <c r="AM3" s="16">
        <f t="shared" si="0"/>
        <v>43.321130000000004</v>
      </c>
      <c r="AN3" s="16">
        <f t="shared" si="0"/>
        <v>0.10618292000000001</v>
      </c>
      <c r="AO3" s="16">
        <f t="shared" si="0"/>
        <v>7.2641312000000005</v>
      </c>
      <c r="AP3" s="16">
        <f t="shared" si="0"/>
        <v>1.6912514000000001E-3</v>
      </c>
      <c r="AQ3" s="16">
        <f t="shared" si="0"/>
        <v>0.23998014000000004</v>
      </c>
      <c r="AR3" s="16">
        <f t="shared" si="0"/>
        <v>3.4450084000000003</v>
      </c>
      <c r="AS3" s="16">
        <f t="shared" si="0"/>
        <v>0.82429260000000004</v>
      </c>
      <c r="AT3" s="16">
        <f t="shared" si="0"/>
        <v>56.197833511399999</v>
      </c>
      <c r="AU3" s="16">
        <f t="shared" si="0"/>
        <v>0.20322746</v>
      </c>
      <c r="AV3" s="16">
        <f t="shared" si="0"/>
        <v>3.718547</v>
      </c>
      <c r="AW3" s="16">
        <f t="shared" si="0"/>
        <v>1.0687998000000001</v>
      </c>
      <c r="AX3" s="16">
        <f t="shared" si="0"/>
        <v>0.60011504000000004</v>
      </c>
      <c r="AY3" s="16">
        <f t="shared" si="0"/>
        <v>2.9742248000000004E-3</v>
      </c>
      <c r="AZ3" s="16">
        <f t="shared" si="0"/>
        <v>3.3327128000000004</v>
      </c>
      <c r="BA3" s="16">
        <f t="shared" si="0"/>
        <v>0.47302798000000007</v>
      </c>
      <c r="BB3" s="16">
        <f t="shared" si="0"/>
        <v>0.53124398000000006</v>
      </c>
      <c r="BC3" s="16">
        <f t="shared" si="0"/>
        <v>1.7902186000000003E-3</v>
      </c>
      <c r="BD3" s="16">
        <f t="shared" si="0"/>
        <v>1.0900180000000002</v>
      </c>
      <c r="BE3" s="16">
        <f t="shared" si="0"/>
        <v>-3.6505262000000006E-4</v>
      </c>
      <c r="BF3" s="16">
        <f t="shared" si="0"/>
        <v>1.7973424000000004E-7</v>
      </c>
      <c r="BG3" s="16">
        <f t="shared" si="0"/>
        <v>1.0246781999999999E-2</v>
      </c>
      <c r="BH3" s="16">
        <f t="shared" si="0"/>
        <v>1.1975644000000002E-2</v>
      </c>
      <c r="BI3" s="16">
        <f t="shared" si="0"/>
        <v>1.6092894E-2</v>
      </c>
      <c r="BJ3" s="16">
        <f t="shared" si="0"/>
        <v>4.7586218000000006E-4</v>
      </c>
      <c r="BK3" s="16">
        <f t="shared" si="0"/>
        <v>3.0255468000000004E-2</v>
      </c>
      <c r="BL3" s="16">
        <f t="shared" si="0"/>
        <v>2.9172344000000006E-2</v>
      </c>
    </row>
    <row r="4" spans="2:64" x14ac:dyDescent="0.25">
      <c r="B4" s="261"/>
      <c r="C4" s="260"/>
      <c r="D4" s="28" t="s">
        <v>245</v>
      </c>
      <c r="E4" s="28">
        <v>76.600000000000009</v>
      </c>
      <c r="F4" s="28" t="s">
        <v>248</v>
      </c>
      <c r="G4" s="27" t="s">
        <v>183</v>
      </c>
      <c r="H4" s="28">
        <v>8.3865999999999993E-3</v>
      </c>
      <c r="I4" s="28">
        <v>2.5966000000000001E-3</v>
      </c>
      <c r="J4" s="28">
        <v>9.5912999999999998E-2</v>
      </c>
      <c r="K4" s="28">
        <v>2.5368999999999999E-4</v>
      </c>
      <c r="L4" s="28">
        <v>2.2141999999999998E-2</v>
      </c>
      <c r="M4" s="28">
        <v>3.3656999999999998E-6</v>
      </c>
      <c r="N4" s="28">
        <v>8.1296999999999999E-4</v>
      </c>
      <c r="O4" s="28">
        <v>8.0608999999999993E-3</v>
      </c>
      <c r="P4" s="28">
        <v>2.5520999999999999E-3</v>
      </c>
      <c r="Q4" s="28">
        <f t="shared" ref="Q4:Q33" si="1">SUM(I4:P4)</f>
        <v>0.13233462569999999</v>
      </c>
      <c r="R4" s="28">
        <v>5.0920999999999996E-4</v>
      </c>
      <c r="S4" s="28">
        <v>8.2448999999999995E-3</v>
      </c>
      <c r="T4" s="28">
        <v>2.3643000000000002E-3</v>
      </c>
      <c r="U4" s="28">
        <v>1.5342999999999999E-3</v>
      </c>
      <c r="V4" s="28">
        <v>7.4663E-6</v>
      </c>
      <c r="W4" s="28">
        <v>8.4353999999999991E-3</v>
      </c>
      <c r="X4" s="28">
        <v>1.3778E-3</v>
      </c>
      <c r="Y4" s="28">
        <v>1.3594E-3</v>
      </c>
      <c r="Z4" s="28">
        <v>4.5915E-6</v>
      </c>
      <c r="AA4" s="28">
        <v>2.8111E-3</v>
      </c>
      <c r="AB4" s="28">
        <v>-8.6942000000000001E-7</v>
      </c>
      <c r="AC4" s="28">
        <v>4.4128999999999998E-10</v>
      </c>
      <c r="AD4" s="28">
        <v>2.2076999999999999E-5</v>
      </c>
      <c r="AE4" s="28">
        <v>2.7239000000000001E-5</v>
      </c>
      <c r="AF4" s="28">
        <v>3.6588999999999998E-5</v>
      </c>
      <c r="AG4" s="28">
        <v>1.2160000000000001E-6</v>
      </c>
      <c r="AH4" s="28">
        <v>7.2513000000000002E-5</v>
      </c>
      <c r="AI4" s="29">
        <v>7.2601999999999994E-5</v>
      </c>
      <c r="AK4" s="16">
        <f t="shared" ref="AK4:AK37" si="2">$E4*H4</f>
        <v>0.64241356000000005</v>
      </c>
      <c r="AL4" s="16">
        <f t="shared" si="0"/>
        <v>0.19889956000000003</v>
      </c>
      <c r="AM4" s="16">
        <f t="shared" si="0"/>
        <v>7.3469358000000007</v>
      </c>
      <c r="AN4" s="16">
        <f t="shared" si="0"/>
        <v>1.9432654000000001E-2</v>
      </c>
      <c r="AO4" s="16">
        <f t="shared" si="0"/>
        <v>1.6960772000000002</v>
      </c>
      <c r="AP4" s="16">
        <f t="shared" si="0"/>
        <v>2.5781262000000002E-4</v>
      </c>
      <c r="AQ4" s="16">
        <f t="shared" si="0"/>
        <v>6.2273502000000008E-2</v>
      </c>
      <c r="AR4" s="16">
        <f t="shared" si="0"/>
        <v>0.61746493999999996</v>
      </c>
      <c r="AS4" s="16">
        <f t="shared" si="0"/>
        <v>0.19549086000000002</v>
      </c>
      <c r="AT4" s="16">
        <f t="shared" si="0"/>
        <v>10.136832328620001</v>
      </c>
      <c r="AU4" s="16">
        <f t="shared" si="0"/>
        <v>3.9005485999999999E-2</v>
      </c>
      <c r="AV4" s="16">
        <f t="shared" si="0"/>
        <v>0.63155934000000002</v>
      </c>
      <c r="AW4" s="16">
        <f t="shared" si="0"/>
        <v>0.18110538000000004</v>
      </c>
      <c r="AX4" s="16">
        <f t="shared" si="0"/>
        <v>0.11752738000000001</v>
      </c>
      <c r="AY4" s="16">
        <f t="shared" si="0"/>
        <v>5.719185800000001E-4</v>
      </c>
      <c r="AZ4" s="16">
        <f t="shared" si="0"/>
        <v>0.64615164000000003</v>
      </c>
      <c r="BA4" s="16">
        <f t="shared" si="0"/>
        <v>0.10553948</v>
      </c>
      <c r="BB4" s="16">
        <f t="shared" si="0"/>
        <v>0.10413004000000001</v>
      </c>
      <c r="BC4" s="16">
        <f t="shared" si="0"/>
        <v>3.5170890000000004E-4</v>
      </c>
      <c r="BD4" s="16">
        <f t="shared" si="0"/>
        <v>0.21533026000000002</v>
      </c>
      <c r="BE4" s="16">
        <f t="shared" si="0"/>
        <v>-6.6597572000000004E-5</v>
      </c>
      <c r="BF4" s="16">
        <f t="shared" si="0"/>
        <v>3.3802814000000002E-8</v>
      </c>
      <c r="BG4" s="16">
        <f t="shared" si="0"/>
        <v>1.6910982000000001E-3</v>
      </c>
      <c r="BH4" s="16">
        <f t="shared" si="0"/>
        <v>2.0865074000000002E-3</v>
      </c>
      <c r="BI4" s="16">
        <f t="shared" si="0"/>
        <v>2.8027174000000003E-3</v>
      </c>
      <c r="BJ4" s="16">
        <f t="shared" si="0"/>
        <v>9.3145600000000018E-5</v>
      </c>
      <c r="BK4" s="16">
        <f t="shared" si="0"/>
        <v>5.5544958000000007E-3</v>
      </c>
      <c r="BL4" s="16">
        <f t="shared" si="0"/>
        <v>5.5613132000000001E-3</v>
      </c>
    </row>
    <row r="5" spans="2:64" x14ac:dyDescent="0.25">
      <c r="B5" s="261"/>
      <c r="C5" s="260"/>
      <c r="D5" s="28" t="s">
        <v>247</v>
      </c>
      <c r="E5" s="28">
        <v>76.600000000000009</v>
      </c>
      <c r="F5" s="28" t="s">
        <v>248</v>
      </c>
      <c r="G5" s="27" t="s">
        <v>183</v>
      </c>
      <c r="H5" s="28">
        <v>7.6521999999999996E-3</v>
      </c>
      <c r="I5" s="28">
        <v>2.2372E-3</v>
      </c>
      <c r="J5" s="28">
        <v>8.6920999999999998E-2</v>
      </c>
      <c r="K5" s="28">
        <v>2.1044E-4</v>
      </c>
      <c r="L5" s="28">
        <v>1.5657999999999998E-2</v>
      </c>
      <c r="M5" s="28">
        <v>3.2731000000000001E-6</v>
      </c>
      <c r="N5" s="28">
        <v>4.7017000000000001E-4</v>
      </c>
      <c r="O5" s="28">
        <v>6.7745000000000001E-3</v>
      </c>
      <c r="P5" s="28">
        <v>1.8251000000000001E-3</v>
      </c>
      <c r="Q5" s="28">
        <f t="shared" si="1"/>
        <v>0.11409968310000002</v>
      </c>
      <c r="R5" s="28">
        <v>4.5420999999999998E-4</v>
      </c>
      <c r="S5" s="28">
        <v>7.5179000000000001E-3</v>
      </c>
      <c r="T5" s="28">
        <v>2.1410000000000001E-3</v>
      </c>
      <c r="U5" s="28">
        <v>1.4855999999999999E-3</v>
      </c>
      <c r="V5" s="28">
        <v>6.7719999999999997E-6</v>
      </c>
      <c r="W5" s="28">
        <v>7.9641999999999994E-3</v>
      </c>
      <c r="X5" s="28">
        <v>9.9999000000000008E-4</v>
      </c>
      <c r="Y5" s="28">
        <v>1.3165E-3</v>
      </c>
      <c r="Z5" s="28">
        <v>4.3646999999999999E-6</v>
      </c>
      <c r="AA5" s="28">
        <v>2.7896000000000002E-3</v>
      </c>
      <c r="AB5" s="28">
        <v>-8.2024000000000004E-7</v>
      </c>
      <c r="AC5" s="28">
        <v>4.1125999999999998E-10</v>
      </c>
      <c r="AD5" s="28">
        <v>2.0843E-5</v>
      </c>
      <c r="AE5" s="28">
        <v>2.5531E-5</v>
      </c>
      <c r="AF5" s="28">
        <v>3.3544000000000003E-5</v>
      </c>
      <c r="AG5" s="28">
        <v>1.1818000000000001E-6</v>
      </c>
      <c r="AH5" s="28">
        <v>6.8300000000000007E-5</v>
      </c>
      <c r="AI5" s="29">
        <v>6.3540000000000005E-5</v>
      </c>
      <c r="AK5" s="16">
        <f t="shared" si="2"/>
        <v>0.58615852000000002</v>
      </c>
      <c r="AL5" s="16">
        <f t="shared" si="0"/>
        <v>0.17136952000000003</v>
      </c>
      <c r="AM5" s="16">
        <f t="shared" si="0"/>
        <v>6.6581486000000005</v>
      </c>
      <c r="AN5" s="16">
        <f t="shared" si="0"/>
        <v>1.6119704000000002E-2</v>
      </c>
      <c r="AO5" s="16">
        <f t="shared" si="0"/>
        <v>1.1994028000000001</v>
      </c>
      <c r="AP5" s="16">
        <f t="shared" si="0"/>
        <v>2.5071946000000006E-4</v>
      </c>
      <c r="AQ5" s="16">
        <f t="shared" si="0"/>
        <v>3.6015022000000008E-2</v>
      </c>
      <c r="AR5" s="16">
        <f t="shared" si="0"/>
        <v>0.51892670000000007</v>
      </c>
      <c r="AS5" s="16">
        <f t="shared" si="0"/>
        <v>0.13980266000000002</v>
      </c>
      <c r="AT5" s="16">
        <f t="shared" si="0"/>
        <v>8.7400357254600021</v>
      </c>
      <c r="AU5" s="16">
        <f t="shared" si="0"/>
        <v>3.4792486000000004E-2</v>
      </c>
      <c r="AV5" s="16">
        <f t="shared" si="0"/>
        <v>0.57587114000000006</v>
      </c>
      <c r="AW5" s="16">
        <f t="shared" si="0"/>
        <v>0.16400060000000002</v>
      </c>
      <c r="AX5" s="16">
        <f t="shared" si="0"/>
        <v>0.11379696</v>
      </c>
      <c r="AY5" s="16">
        <f t="shared" si="0"/>
        <v>5.1873520000000005E-4</v>
      </c>
      <c r="AZ5" s="16">
        <f t="shared" si="0"/>
        <v>0.61005772000000003</v>
      </c>
      <c r="BA5" s="16">
        <f t="shared" si="0"/>
        <v>7.6599234000000016E-2</v>
      </c>
      <c r="BB5" s="16">
        <f t="shared" si="0"/>
        <v>0.10084390000000001</v>
      </c>
      <c r="BC5" s="16">
        <f t="shared" si="0"/>
        <v>3.3433602000000005E-4</v>
      </c>
      <c r="BD5" s="16">
        <f t="shared" si="0"/>
        <v>0.21368336000000004</v>
      </c>
      <c r="BE5" s="16">
        <f t="shared" si="0"/>
        <v>-6.2830384000000004E-5</v>
      </c>
      <c r="BF5" s="16">
        <f t="shared" si="0"/>
        <v>3.1502516000000005E-8</v>
      </c>
      <c r="BG5" s="16">
        <f t="shared" si="0"/>
        <v>1.5965738000000003E-3</v>
      </c>
      <c r="BH5" s="16">
        <f t="shared" si="0"/>
        <v>1.9556746000000003E-3</v>
      </c>
      <c r="BI5" s="16">
        <f t="shared" si="0"/>
        <v>2.5694704000000005E-3</v>
      </c>
      <c r="BJ5" s="16">
        <f t="shared" si="0"/>
        <v>9.0525880000000012E-5</v>
      </c>
      <c r="BK5" s="16">
        <f t="shared" si="0"/>
        <v>5.231780000000001E-3</v>
      </c>
      <c r="BL5" s="16">
        <f t="shared" si="0"/>
        <v>4.8671640000000011E-3</v>
      </c>
    </row>
    <row r="6" spans="2:64" x14ac:dyDescent="0.25">
      <c r="B6" s="261"/>
      <c r="C6" s="260" t="str">
        <f>'Preparation and execution'!B8</f>
        <v>Printed matter, abstract reviewing process</v>
      </c>
      <c r="D6" s="28" t="s">
        <v>249</v>
      </c>
      <c r="E6" s="28">
        <v>2.6953624999999999</v>
      </c>
      <c r="F6" s="28" t="s">
        <v>106</v>
      </c>
      <c r="G6" s="27" t="s">
        <v>183</v>
      </c>
      <c r="H6" s="28">
        <v>1.0365</v>
      </c>
      <c r="I6" s="28">
        <v>7.625</v>
      </c>
      <c r="J6" s="28">
        <v>12.349</v>
      </c>
      <c r="K6" s="28">
        <v>2.7465E-2</v>
      </c>
      <c r="L6" s="28">
        <v>2.1032000000000002</v>
      </c>
      <c r="M6" s="28">
        <v>5.3956999999999996E-4</v>
      </c>
      <c r="N6" s="28">
        <v>5.9026E-4</v>
      </c>
      <c r="O6" s="28">
        <v>0.79327999999999999</v>
      </c>
      <c r="P6" s="28">
        <v>0.24218000000000001</v>
      </c>
      <c r="Q6" s="28">
        <f t="shared" si="1"/>
        <v>23.141254830000001</v>
      </c>
      <c r="R6" s="28">
        <v>0.91071000000000002</v>
      </c>
      <c r="S6" s="28">
        <v>1.0184</v>
      </c>
      <c r="T6" s="28">
        <v>0.30756</v>
      </c>
      <c r="U6" s="28">
        <v>1.9667E-2</v>
      </c>
      <c r="V6" s="28">
        <v>4.8212999999999999E-4</v>
      </c>
      <c r="W6" s="28">
        <v>0.4113</v>
      </c>
      <c r="X6" s="28">
        <v>0.13189999999999999</v>
      </c>
      <c r="Y6" s="28">
        <v>1.6858000000000001E-2</v>
      </c>
      <c r="Z6" s="28">
        <v>1.9128000000000001E-3</v>
      </c>
      <c r="AA6" s="28">
        <v>1.4747E-2</v>
      </c>
      <c r="AB6" s="28">
        <v>-5.1042999999999999E-5</v>
      </c>
      <c r="AC6" s="28">
        <v>5.9221999999999999E-8</v>
      </c>
      <c r="AD6" s="28">
        <v>2.4834000000000002E-3</v>
      </c>
      <c r="AE6" s="28">
        <v>3.5241000000000001E-3</v>
      </c>
      <c r="AF6" s="28">
        <v>4.9585000000000002E-3</v>
      </c>
      <c r="AG6" s="28">
        <v>1.6975000000000001E-2</v>
      </c>
      <c r="AH6" s="28">
        <v>9.9515999999999997E-3</v>
      </c>
      <c r="AI6" s="29">
        <v>2.3914999999999999E-2</v>
      </c>
      <c r="AK6" s="16">
        <f t="shared" si="2"/>
        <v>2.7937432312499997</v>
      </c>
      <c r="AL6" s="16">
        <f t="shared" si="0"/>
        <v>20.5521390625</v>
      </c>
      <c r="AM6" s="16">
        <f t="shared" si="0"/>
        <v>33.285031512499998</v>
      </c>
      <c r="AN6" s="16">
        <f t="shared" si="0"/>
        <v>7.4028131062500002E-2</v>
      </c>
      <c r="AO6" s="16">
        <f t="shared" si="0"/>
        <v>5.6688864099999998</v>
      </c>
      <c r="AP6" s="16">
        <f t="shared" si="0"/>
        <v>1.4543367441249998E-3</v>
      </c>
      <c r="AQ6" s="16">
        <f t="shared" si="0"/>
        <v>1.5909646692499999E-3</v>
      </c>
      <c r="AR6" s="16">
        <f t="shared" si="0"/>
        <v>2.138177164</v>
      </c>
      <c r="AS6" s="16">
        <f t="shared" si="0"/>
        <v>0.65276289025000001</v>
      </c>
      <c r="AT6" s="16">
        <f t="shared" si="0"/>
        <v>62.374070471725872</v>
      </c>
      <c r="AU6" s="16">
        <f t="shared" si="0"/>
        <v>2.454693582375</v>
      </c>
      <c r="AV6" s="16">
        <f t="shared" si="0"/>
        <v>2.7449571699999997</v>
      </c>
      <c r="AW6" s="16">
        <f t="shared" si="0"/>
        <v>0.82898569049999993</v>
      </c>
      <c r="AX6" s="16">
        <f t="shared" si="0"/>
        <v>5.3009694287499999E-2</v>
      </c>
      <c r="AY6" s="16">
        <f t="shared" si="0"/>
        <v>1.299515122125E-3</v>
      </c>
      <c r="AZ6" s="16">
        <f t="shared" si="0"/>
        <v>1.1086025962499999</v>
      </c>
      <c r="BA6" s="16">
        <f t="shared" si="0"/>
        <v>0.35551831374999998</v>
      </c>
      <c r="BB6" s="16">
        <f t="shared" si="0"/>
        <v>4.5438421025000002E-2</v>
      </c>
      <c r="BC6" s="16">
        <f t="shared" si="0"/>
        <v>5.1556893899999999E-3</v>
      </c>
      <c r="BD6" s="16">
        <f t="shared" si="0"/>
        <v>3.9748510787499997E-2</v>
      </c>
      <c r="BE6" s="16">
        <f t="shared" si="0"/>
        <v>-1.3757938808749999E-4</v>
      </c>
      <c r="BF6" s="16">
        <f t="shared" si="0"/>
        <v>1.5962475797499998E-7</v>
      </c>
      <c r="BG6" s="16">
        <f t="shared" si="0"/>
        <v>6.6936632325E-3</v>
      </c>
      <c r="BH6" s="16">
        <f t="shared" si="0"/>
        <v>9.4987269862499991E-3</v>
      </c>
      <c r="BI6" s="16">
        <f t="shared" si="0"/>
        <v>1.3364954956249999E-2</v>
      </c>
      <c r="BJ6" s="16">
        <f t="shared" si="0"/>
        <v>4.5753778437499996E-2</v>
      </c>
      <c r="BK6" s="16">
        <f t="shared" si="0"/>
        <v>2.6823169454999997E-2</v>
      </c>
      <c r="BL6" s="16">
        <f t="shared" si="0"/>
        <v>6.4459594187499997E-2</v>
      </c>
    </row>
    <row r="7" spans="2:64" x14ac:dyDescent="0.25">
      <c r="B7" s="261"/>
      <c r="C7" s="260"/>
      <c r="D7" s="27" t="s">
        <v>250</v>
      </c>
      <c r="E7" s="28">
        <v>2.6953624999999999</v>
      </c>
      <c r="F7" s="28" t="s">
        <v>106</v>
      </c>
      <c r="G7" s="27" t="s">
        <v>183</v>
      </c>
      <c r="H7" s="28">
        <v>2.6930000000000001</v>
      </c>
      <c r="I7" s="28">
        <v>26.016999999999999</v>
      </c>
      <c r="J7" s="28">
        <v>35.506</v>
      </c>
      <c r="K7" s="28">
        <v>6.2839000000000006E-2</v>
      </c>
      <c r="L7" s="28">
        <v>3.3593000000000002</v>
      </c>
      <c r="M7" s="28">
        <v>1.7714E-3</v>
      </c>
      <c r="N7" s="28">
        <v>7.8168000000000005E-3</v>
      </c>
      <c r="O7" s="28">
        <v>1.7813000000000001</v>
      </c>
      <c r="P7" s="28">
        <v>0.40205999999999997</v>
      </c>
      <c r="Q7" s="28">
        <f t="shared" si="1"/>
        <v>67.138087200000001</v>
      </c>
      <c r="R7" s="28">
        <v>2.4487999999999999</v>
      </c>
      <c r="S7" s="28">
        <v>2.6402000000000001</v>
      </c>
      <c r="T7" s="28">
        <v>0.89026000000000005</v>
      </c>
      <c r="U7" s="28">
        <v>5.1325000000000003E-2</v>
      </c>
      <c r="V7" s="28">
        <v>1.0437999999999999E-3</v>
      </c>
      <c r="W7" s="28">
        <v>0.90612999999999999</v>
      </c>
      <c r="X7" s="28">
        <v>0.22747999999999999</v>
      </c>
      <c r="Y7" s="28">
        <v>4.471E-2</v>
      </c>
      <c r="Z7" s="28">
        <v>8.9656000000000002E-4</v>
      </c>
      <c r="AA7" s="28">
        <v>5.2897E-2</v>
      </c>
      <c r="AB7" s="28">
        <v>-1.5668999999999999E-4</v>
      </c>
      <c r="AC7" s="28">
        <v>1.3479E-7</v>
      </c>
      <c r="AD7" s="28">
        <v>7.3866000000000001E-3</v>
      </c>
      <c r="AE7" s="28">
        <v>9.3407000000000004E-3</v>
      </c>
      <c r="AF7" s="28">
        <v>1.1459E-2</v>
      </c>
      <c r="AG7" s="28">
        <v>5.2833000000000003E-3</v>
      </c>
      <c r="AH7" s="28">
        <v>3.6237999999999999E-2</v>
      </c>
      <c r="AI7" s="29">
        <v>4.2081E-2</v>
      </c>
      <c r="AK7" s="16">
        <f t="shared" si="2"/>
        <v>7.2586112125</v>
      </c>
      <c r="AL7" s="16">
        <f t="shared" si="0"/>
        <v>70.125246162499991</v>
      </c>
      <c r="AM7" s="16">
        <f t="shared" si="0"/>
        <v>95.701540925000003</v>
      </c>
      <c r="AN7" s="16">
        <f t="shared" si="0"/>
        <v>0.16937388413750001</v>
      </c>
      <c r="AO7" s="16">
        <f t="shared" si="0"/>
        <v>9.0545312462500007</v>
      </c>
      <c r="AP7" s="16">
        <f t="shared" si="0"/>
        <v>4.7745651324999994E-3</v>
      </c>
      <c r="AQ7" s="16">
        <f t="shared" si="0"/>
        <v>2.1069109589999999E-2</v>
      </c>
      <c r="AR7" s="16">
        <f t="shared" si="0"/>
        <v>4.80124922125</v>
      </c>
      <c r="AS7" s="16">
        <f t="shared" si="0"/>
        <v>1.0836974467499998</v>
      </c>
      <c r="AT7" s="16">
        <f t="shared" si="0"/>
        <v>180.96148256060999</v>
      </c>
      <c r="AU7" s="16">
        <f t="shared" si="0"/>
        <v>6.6004036899999994</v>
      </c>
      <c r="AV7" s="16">
        <f t="shared" si="0"/>
        <v>7.1162960725</v>
      </c>
      <c r="AW7" s="16">
        <f t="shared" si="0"/>
        <v>2.3995734192500002</v>
      </c>
      <c r="AX7" s="16">
        <f t="shared" si="0"/>
        <v>0.13833948031250001</v>
      </c>
      <c r="AY7" s="16">
        <f t="shared" si="0"/>
        <v>2.8134193774999997E-3</v>
      </c>
      <c r="AZ7" s="16">
        <f t="shared" si="0"/>
        <v>2.442348822125</v>
      </c>
      <c r="BA7" s="16">
        <f t="shared" si="0"/>
        <v>0.61314106149999992</v>
      </c>
      <c r="BB7" s="16">
        <f t="shared" si="0"/>
        <v>0.120509657375</v>
      </c>
      <c r="BC7" s="16">
        <f t="shared" si="0"/>
        <v>2.4165542030000001E-3</v>
      </c>
      <c r="BD7" s="16">
        <f t="shared" si="0"/>
        <v>0.14257659016249999</v>
      </c>
      <c r="BE7" s="16">
        <f t="shared" si="0"/>
        <v>-4.2233635012499995E-4</v>
      </c>
      <c r="BF7" s="16">
        <f t="shared" si="0"/>
        <v>3.63307911375E-7</v>
      </c>
      <c r="BG7" s="16">
        <f t="shared" si="0"/>
        <v>1.9909564642499999E-2</v>
      </c>
      <c r="BH7" s="16">
        <f t="shared" si="0"/>
        <v>2.5176572503750001E-2</v>
      </c>
      <c r="BI7" s="16">
        <f t="shared" si="0"/>
        <v>3.0886158887500001E-2</v>
      </c>
      <c r="BJ7" s="16">
        <f t="shared" si="0"/>
        <v>1.424040869625E-2</v>
      </c>
      <c r="BK7" s="16">
        <f t="shared" si="0"/>
        <v>9.7674546274999996E-2</v>
      </c>
      <c r="BL7" s="16">
        <f t="shared" si="0"/>
        <v>0.1134235493625</v>
      </c>
    </row>
    <row r="8" spans="2:64" x14ac:dyDescent="0.25">
      <c r="B8" s="261"/>
      <c r="C8" s="260" t="str">
        <f>'Preparation and execution'!B10</f>
        <v>Printed matter, meeting</v>
      </c>
      <c r="D8" s="28" t="str">
        <f>D6</f>
        <v>market for graphic paper, 100% recycled, GLO</v>
      </c>
      <c r="E8" s="28">
        <v>1.149</v>
      </c>
      <c r="F8" s="28" t="str">
        <f t="shared" ref="F8:AI8" si="3">F6</f>
        <v>kg</v>
      </c>
      <c r="G8" s="28" t="str">
        <f t="shared" si="3"/>
        <v>Ecoinvent v3.7.1</v>
      </c>
      <c r="H8" s="28">
        <f t="shared" si="3"/>
        <v>1.0365</v>
      </c>
      <c r="I8" s="28">
        <f t="shared" si="3"/>
        <v>7.625</v>
      </c>
      <c r="J8" s="28">
        <f t="shared" si="3"/>
        <v>12.349</v>
      </c>
      <c r="K8" s="28">
        <f t="shared" si="3"/>
        <v>2.7465E-2</v>
      </c>
      <c r="L8" s="28">
        <f t="shared" si="3"/>
        <v>2.1032000000000002</v>
      </c>
      <c r="M8" s="28">
        <f t="shared" si="3"/>
        <v>5.3956999999999996E-4</v>
      </c>
      <c r="N8" s="28">
        <f t="shared" si="3"/>
        <v>5.9026E-4</v>
      </c>
      <c r="O8" s="28">
        <f t="shared" si="3"/>
        <v>0.79327999999999999</v>
      </c>
      <c r="P8" s="28">
        <f t="shared" si="3"/>
        <v>0.24218000000000001</v>
      </c>
      <c r="Q8" s="28">
        <f t="shared" si="1"/>
        <v>23.141254830000001</v>
      </c>
      <c r="R8" s="28">
        <f t="shared" si="3"/>
        <v>0.91071000000000002</v>
      </c>
      <c r="S8" s="28">
        <f t="shared" si="3"/>
        <v>1.0184</v>
      </c>
      <c r="T8" s="28">
        <f t="shared" si="3"/>
        <v>0.30756</v>
      </c>
      <c r="U8" s="28">
        <f t="shared" si="3"/>
        <v>1.9667E-2</v>
      </c>
      <c r="V8" s="28">
        <f t="shared" si="3"/>
        <v>4.8212999999999999E-4</v>
      </c>
      <c r="W8" s="28">
        <f t="shared" si="3"/>
        <v>0.4113</v>
      </c>
      <c r="X8" s="28">
        <f t="shared" si="3"/>
        <v>0.13189999999999999</v>
      </c>
      <c r="Y8" s="28">
        <f t="shared" si="3"/>
        <v>1.6858000000000001E-2</v>
      </c>
      <c r="Z8" s="28">
        <f t="shared" si="3"/>
        <v>1.9128000000000001E-3</v>
      </c>
      <c r="AA8" s="28">
        <f t="shared" si="3"/>
        <v>1.4747E-2</v>
      </c>
      <c r="AB8" s="28">
        <f t="shared" si="3"/>
        <v>-5.1042999999999999E-5</v>
      </c>
      <c r="AC8" s="28">
        <f t="shared" si="3"/>
        <v>5.9221999999999999E-8</v>
      </c>
      <c r="AD8" s="28">
        <f t="shared" si="3"/>
        <v>2.4834000000000002E-3</v>
      </c>
      <c r="AE8" s="28">
        <f t="shared" si="3"/>
        <v>3.5241000000000001E-3</v>
      </c>
      <c r="AF8" s="28">
        <f t="shared" si="3"/>
        <v>4.9585000000000002E-3</v>
      </c>
      <c r="AG8" s="28">
        <f t="shared" si="3"/>
        <v>1.6975000000000001E-2</v>
      </c>
      <c r="AH8" s="28">
        <f t="shared" si="3"/>
        <v>9.9515999999999997E-3</v>
      </c>
      <c r="AI8" s="29">
        <f t="shared" si="3"/>
        <v>2.3914999999999999E-2</v>
      </c>
      <c r="AK8" s="16">
        <f t="shared" si="2"/>
        <v>1.1909384999999999</v>
      </c>
      <c r="AL8" s="16">
        <f t="shared" si="0"/>
        <v>8.7611249999999998</v>
      </c>
      <c r="AM8" s="16">
        <f t="shared" si="0"/>
        <v>14.189001000000001</v>
      </c>
      <c r="AN8" s="16">
        <f t="shared" si="0"/>
        <v>3.1557284999999997E-2</v>
      </c>
      <c r="AO8" s="16">
        <f t="shared" si="0"/>
        <v>2.4165768000000001</v>
      </c>
      <c r="AP8" s="16">
        <f t="shared" si="0"/>
        <v>6.1996592999999996E-4</v>
      </c>
      <c r="AQ8" s="16">
        <f t="shared" si="0"/>
        <v>6.7820873999999999E-4</v>
      </c>
      <c r="AR8" s="16">
        <f t="shared" si="0"/>
        <v>0.91147871999999996</v>
      </c>
      <c r="AS8" s="16">
        <f t="shared" si="0"/>
        <v>0.27826482000000002</v>
      </c>
      <c r="AT8" s="16">
        <f t="shared" si="0"/>
        <v>26.58930179967</v>
      </c>
      <c r="AU8" s="16">
        <f t="shared" si="0"/>
        <v>1.0464057900000001</v>
      </c>
      <c r="AV8" s="16">
        <f t="shared" si="0"/>
        <v>1.1701416</v>
      </c>
      <c r="AW8" s="16">
        <f t="shared" si="0"/>
        <v>0.35338644000000002</v>
      </c>
      <c r="AX8" s="16">
        <f t="shared" si="0"/>
        <v>2.2597383000000002E-2</v>
      </c>
      <c r="AY8" s="16">
        <f t="shared" si="0"/>
        <v>5.5396736999999998E-4</v>
      </c>
      <c r="AZ8" s="16">
        <f t="shared" si="0"/>
        <v>0.4725837</v>
      </c>
      <c r="BA8" s="16">
        <f t="shared" si="0"/>
        <v>0.1515531</v>
      </c>
      <c r="BB8" s="16">
        <f t="shared" si="0"/>
        <v>1.9369842000000002E-2</v>
      </c>
      <c r="BC8" s="16">
        <f t="shared" si="0"/>
        <v>2.1978072E-3</v>
      </c>
      <c r="BD8" s="16">
        <f t="shared" si="0"/>
        <v>1.6944303000000001E-2</v>
      </c>
      <c r="BE8" s="16">
        <f t="shared" si="0"/>
        <v>-5.8648406999999998E-5</v>
      </c>
      <c r="BF8" s="16">
        <f t="shared" si="0"/>
        <v>6.8046078000000004E-8</v>
      </c>
      <c r="BG8" s="16">
        <f t="shared" si="0"/>
        <v>2.8534266000000003E-3</v>
      </c>
      <c r="BH8" s="16">
        <f t="shared" si="0"/>
        <v>4.0491909000000001E-3</v>
      </c>
      <c r="BI8" s="16">
        <f t="shared" si="0"/>
        <v>5.6973165000000006E-3</v>
      </c>
      <c r="BJ8" s="16">
        <f t="shared" si="0"/>
        <v>1.9504275000000001E-2</v>
      </c>
      <c r="BK8" s="16">
        <f t="shared" si="0"/>
        <v>1.14343884E-2</v>
      </c>
      <c r="BL8" s="16">
        <f t="shared" si="0"/>
        <v>2.7478335E-2</v>
      </c>
    </row>
    <row r="9" spans="2:64" x14ac:dyDescent="0.25">
      <c r="B9" s="261"/>
      <c r="C9" s="260"/>
      <c r="D9" s="28" t="str">
        <f>D7</f>
        <v>operation, printer, laser, black/white, per kg printed paper, RoW</v>
      </c>
      <c r="E9" s="28">
        <v>1.149</v>
      </c>
      <c r="F9" s="28" t="str">
        <f t="shared" ref="F9:AI9" si="4">F7</f>
        <v>kg</v>
      </c>
      <c r="G9" s="28" t="str">
        <f t="shared" si="4"/>
        <v>Ecoinvent v3.7.1</v>
      </c>
      <c r="H9" s="28">
        <f t="shared" si="4"/>
        <v>2.6930000000000001</v>
      </c>
      <c r="I9" s="28">
        <f t="shared" si="4"/>
        <v>26.016999999999999</v>
      </c>
      <c r="J9" s="28">
        <f t="shared" si="4"/>
        <v>35.506</v>
      </c>
      <c r="K9" s="28">
        <f t="shared" si="4"/>
        <v>6.2839000000000006E-2</v>
      </c>
      <c r="L9" s="28">
        <f t="shared" si="4"/>
        <v>3.3593000000000002</v>
      </c>
      <c r="M9" s="28">
        <f t="shared" si="4"/>
        <v>1.7714E-3</v>
      </c>
      <c r="N9" s="28">
        <f t="shared" si="4"/>
        <v>7.8168000000000005E-3</v>
      </c>
      <c r="O9" s="28">
        <f t="shared" si="4"/>
        <v>1.7813000000000001</v>
      </c>
      <c r="P9" s="28">
        <f t="shared" si="4"/>
        <v>0.40205999999999997</v>
      </c>
      <c r="Q9" s="28">
        <f t="shared" si="1"/>
        <v>67.138087200000001</v>
      </c>
      <c r="R9" s="28">
        <f t="shared" si="4"/>
        <v>2.4487999999999999</v>
      </c>
      <c r="S9" s="28">
        <f t="shared" si="4"/>
        <v>2.6402000000000001</v>
      </c>
      <c r="T9" s="28">
        <f t="shared" si="4"/>
        <v>0.89026000000000005</v>
      </c>
      <c r="U9" s="28">
        <f t="shared" si="4"/>
        <v>5.1325000000000003E-2</v>
      </c>
      <c r="V9" s="28">
        <f t="shared" si="4"/>
        <v>1.0437999999999999E-3</v>
      </c>
      <c r="W9" s="28">
        <f t="shared" si="4"/>
        <v>0.90612999999999999</v>
      </c>
      <c r="X9" s="28">
        <f t="shared" si="4"/>
        <v>0.22747999999999999</v>
      </c>
      <c r="Y9" s="28">
        <f t="shared" si="4"/>
        <v>4.471E-2</v>
      </c>
      <c r="Z9" s="28">
        <f t="shared" si="4"/>
        <v>8.9656000000000002E-4</v>
      </c>
      <c r="AA9" s="28">
        <f t="shared" si="4"/>
        <v>5.2897E-2</v>
      </c>
      <c r="AB9" s="28">
        <f t="shared" si="4"/>
        <v>-1.5668999999999999E-4</v>
      </c>
      <c r="AC9" s="28">
        <f t="shared" si="4"/>
        <v>1.3479E-7</v>
      </c>
      <c r="AD9" s="28">
        <f t="shared" si="4"/>
        <v>7.3866000000000001E-3</v>
      </c>
      <c r="AE9" s="28">
        <f t="shared" si="4"/>
        <v>9.3407000000000004E-3</v>
      </c>
      <c r="AF9" s="28">
        <f t="shared" si="4"/>
        <v>1.1459E-2</v>
      </c>
      <c r="AG9" s="28">
        <f t="shared" si="4"/>
        <v>5.2833000000000003E-3</v>
      </c>
      <c r="AH9" s="28">
        <f t="shared" si="4"/>
        <v>3.6237999999999999E-2</v>
      </c>
      <c r="AI9" s="29">
        <f t="shared" si="4"/>
        <v>4.2081E-2</v>
      </c>
      <c r="AK9" s="16">
        <f t="shared" si="2"/>
        <v>3.0942570000000003</v>
      </c>
      <c r="AL9" s="16">
        <f t="shared" si="0"/>
        <v>29.893533000000001</v>
      </c>
      <c r="AM9" s="16">
        <f t="shared" si="0"/>
        <v>40.796393999999999</v>
      </c>
      <c r="AN9" s="16">
        <f t="shared" si="0"/>
        <v>7.220201100000001E-2</v>
      </c>
      <c r="AO9" s="16">
        <f t="shared" si="0"/>
        <v>3.8598357000000001</v>
      </c>
      <c r="AP9" s="16">
        <f t="shared" si="0"/>
        <v>2.0353386E-3</v>
      </c>
      <c r="AQ9" s="16">
        <f t="shared" si="0"/>
        <v>8.981503200000001E-3</v>
      </c>
      <c r="AR9" s="16">
        <f t="shared" si="0"/>
        <v>2.0467137000000002</v>
      </c>
      <c r="AS9" s="16">
        <f t="shared" si="0"/>
        <v>0.46196693999999999</v>
      </c>
      <c r="AT9" s="16">
        <f t="shared" si="0"/>
        <v>77.141662192799998</v>
      </c>
      <c r="AU9" s="16">
        <f t="shared" si="0"/>
        <v>2.8136711999999999</v>
      </c>
      <c r="AV9" s="16">
        <f t="shared" si="0"/>
        <v>3.0335898000000001</v>
      </c>
      <c r="AW9" s="16">
        <f t="shared" si="0"/>
        <v>1.0229087400000001</v>
      </c>
      <c r="AX9" s="16">
        <f t="shared" si="0"/>
        <v>5.8972425000000002E-2</v>
      </c>
      <c r="AY9" s="16">
        <f t="shared" si="0"/>
        <v>1.1993262E-3</v>
      </c>
      <c r="AZ9" s="16">
        <f t="shared" si="0"/>
        <v>1.0411433699999999</v>
      </c>
      <c r="BA9" s="16">
        <f t="shared" si="0"/>
        <v>0.26137452</v>
      </c>
      <c r="BB9" s="16">
        <f t="shared" si="0"/>
        <v>5.1371790000000001E-2</v>
      </c>
      <c r="BC9" s="16">
        <f t="shared" si="0"/>
        <v>1.0301474400000001E-3</v>
      </c>
      <c r="BD9" s="16">
        <f t="shared" si="0"/>
        <v>6.0778653000000002E-2</v>
      </c>
      <c r="BE9" s="16">
        <f t="shared" si="0"/>
        <v>-1.8003681E-4</v>
      </c>
      <c r="BF9" s="16">
        <f t="shared" si="0"/>
        <v>1.5487371000000002E-7</v>
      </c>
      <c r="BG9" s="16">
        <f t="shared" si="0"/>
        <v>8.4872034000000006E-3</v>
      </c>
      <c r="BH9" s="16">
        <f t="shared" si="0"/>
        <v>1.0732464300000001E-2</v>
      </c>
      <c r="BI9" s="16">
        <f t="shared" si="0"/>
        <v>1.3166391000000001E-2</v>
      </c>
      <c r="BJ9" s="16">
        <f t="shared" si="0"/>
        <v>6.0705117000000005E-3</v>
      </c>
      <c r="BK9" s="16">
        <f t="shared" si="0"/>
        <v>4.1637462E-2</v>
      </c>
      <c r="BL9" s="16">
        <f t="shared" si="0"/>
        <v>4.8351069000000003E-2</v>
      </c>
    </row>
    <row r="10" spans="2:64" x14ac:dyDescent="0.25">
      <c r="B10" s="261"/>
      <c r="C10" s="260" t="str">
        <f>'Preparation and execution'!B12</f>
        <v>Paper waste disposal</v>
      </c>
      <c r="D10" s="28" t="str">
        <f>Waste_LCIA!D4</f>
        <v>market for waste paper, unsorted, RoW (allocation, cut off, recyclable)</v>
      </c>
      <c r="E10" s="28">
        <v>2.6224268307612397</v>
      </c>
      <c r="F10" s="28" t="str">
        <f>Waste_LCIA!F4</f>
        <v>kg</v>
      </c>
      <c r="G10" s="28" t="str">
        <f>Waste_LCIA!G4</f>
        <v>Ecoinvent v3.7.1</v>
      </c>
      <c r="H10" s="28">
        <f>Waste_LCIA!H4</f>
        <v>3.2929E-2</v>
      </c>
      <c r="I10" s="28">
        <f>Waste_LCIA!I4</f>
        <v>5.3344000000000004E-4</v>
      </c>
      <c r="J10" s="28">
        <f>Waste_LCIA!J4</f>
        <v>0.47367999999999999</v>
      </c>
      <c r="K10" s="28">
        <f>Waste_LCIA!K4</f>
        <v>2.5505999999999999E-5</v>
      </c>
      <c r="L10" s="28">
        <f>Waste_LCIA!L4</f>
        <v>1.8364E-3</v>
      </c>
      <c r="M10" s="28">
        <f>Waste_LCIA!M4</f>
        <v>2.6278000000000001E-6</v>
      </c>
      <c r="N10" s="28">
        <f>Waste_LCIA!N4</f>
        <v>1.1584E-5</v>
      </c>
      <c r="O10" s="28">
        <f>Waste_LCIA!O4</f>
        <v>9.4950000000000004E-4</v>
      </c>
      <c r="P10" s="28">
        <f>Waste_LCIA!P4</f>
        <v>1.9284E-4</v>
      </c>
      <c r="Q10" s="28">
        <f t="shared" si="1"/>
        <v>0.47723189780000003</v>
      </c>
      <c r="R10" s="28">
        <f>Waste_LCIA!R4</f>
        <v>1.0676E-4</v>
      </c>
      <c r="S10" s="28">
        <f>Waste_LCIA!S4</f>
        <v>3.2579999999999998E-2</v>
      </c>
      <c r="T10" s="28">
        <f>Waste_LCIA!T4</f>
        <v>1.0869999999999999E-2</v>
      </c>
      <c r="U10" s="28">
        <f>Waste_LCIA!U4</f>
        <v>7.4305000000000001E-5</v>
      </c>
      <c r="V10" s="28">
        <f>Waste_LCIA!V4</f>
        <v>6.2307999999999999E-7</v>
      </c>
      <c r="W10" s="28">
        <f>Waste_LCIA!W4</f>
        <v>1.1161999999999999E-3</v>
      </c>
      <c r="X10" s="28">
        <f>Waste_LCIA!X4</f>
        <v>2.0184999999999999E-3</v>
      </c>
      <c r="Y10" s="28">
        <f>Waste_LCIA!Y4</f>
        <v>7.1051999999999997E-5</v>
      </c>
      <c r="Z10" s="28">
        <f>Waste_LCIA!Z4</f>
        <v>8.6507E-6</v>
      </c>
      <c r="AA10" s="28">
        <f>Waste_LCIA!AA4</f>
        <v>1.9001000000000001E-4</v>
      </c>
      <c r="AB10" s="28">
        <f>Waste_LCIA!AB4</f>
        <v>-4.1645E-7</v>
      </c>
      <c r="AC10" s="28">
        <f>Waste_LCIA!AC4</f>
        <v>5.6621000000000001E-9</v>
      </c>
      <c r="AD10" s="28">
        <f>Waste_LCIA!AD4</f>
        <v>7.682E-5</v>
      </c>
      <c r="AE10" s="28">
        <f>Waste_LCIA!AE4</f>
        <v>3.2314000000000003E-4</v>
      </c>
      <c r="AF10" s="28">
        <f>Waste_LCIA!AF4</f>
        <v>1.5758999999999999E-4</v>
      </c>
      <c r="AG10" s="28">
        <f>Waste_LCIA!AG4</f>
        <v>1.6555000000000001E-6</v>
      </c>
      <c r="AH10" s="28">
        <f>Waste_LCIA!AH4</f>
        <v>1.8761E-4</v>
      </c>
      <c r="AI10" s="29">
        <f>Waste_LCIA!AI4</f>
        <v>1.8113000000000001E-5</v>
      </c>
      <c r="AK10" s="16">
        <f t="shared" si="2"/>
        <v>8.6353893110136859E-2</v>
      </c>
      <c r="AL10" s="16">
        <f t="shared" si="0"/>
        <v>1.3989073686012758E-3</v>
      </c>
      <c r="AM10" s="16">
        <f t="shared" si="0"/>
        <v>1.242191141194984</v>
      </c>
      <c r="AN10" s="16">
        <f t="shared" si="0"/>
        <v>6.6887618745396186E-5</v>
      </c>
      <c r="AO10" s="16">
        <f t="shared" si="0"/>
        <v>4.8158246320099407E-3</v>
      </c>
      <c r="AP10" s="16">
        <f t="shared" si="0"/>
        <v>6.8912132258743855E-6</v>
      </c>
      <c r="AQ10" s="16">
        <f t="shared" si="0"/>
        <v>3.0378192407538201E-5</v>
      </c>
      <c r="AR10" s="16">
        <f t="shared" si="0"/>
        <v>2.4899942758077973E-3</v>
      </c>
      <c r="AS10" s="16">
        <f t="shared" si="0"/>
        <v>5.0570879004399746E-4</v>
      </c>
      <c r="AT10" s="16">
        <f t="shared" si="0"/>
        <v>1.2515057332858259</v>
      </c>
      <c r="AU10" s="16">
        <f t="shared" si="0"/>
        <v>2.7997028845206995E-4</v>
      </c>
      <c r="AV10" s="16">
        <f t="shared" si="0"/>
        <v>8.5438666146201186E-2</v>
      </c>
      <c r="AW10" s="16">
        <f t="shared" si="0"/>
        <v>2.8505779650374673E-2</v>
      </c>
      <c r="AX10" s="16">
        <f t="shared" si="0"/>
        <v>1.9485942565971391E-4</v>
      </c>
      <c r="AY10" s="16">
        <f t="shared" si="0"/>
        <v>1.6339817097107131E-6</v>
      </c>
      <c r="AZ10" s="16">
        <f t="shared" si="0"/>
        <v>2.9271528284956954E-3</v>
      </c>
      <c r="BA10" s="16">
        <f t="shared" si="0"/>
        <v>5.2933685578915625E-3</v>
      </c>
      <c r="BB10" s="16">
        <f t="shared" si="0"/>
        <v>1.8632867117924761E-4</v>
      </c>
      <c r="BC10" s="16">
        <f t="shared" si="0"/>
        <v>2.2685827784866258E-5</v>
      </c>
      <c r="BD10" s="16">
        <f t="shared" si="0"/>
        <v>4.9828732211294312E-4</v>
      </c>
      <c r="BE10" s="16">
        <f t="shared" si="0"/>
        <v>-1.0921096536705183E-6</v>
      </c>
      <c r="BF10" s="16">
        <f t="shared" si="0"/>
        <v>1.4848442958453217E-8</v>
      </c>
      <c r="BG10" s="16">
        <f t="shared" si="0"/>
        <v>2.0145482913907844E-4</v>
      </c>
      <c r="BH10" s="16">
        <f t="shared" si="0"/>
        <v>8.4741100609218704E-4</v>
      </c>
      <c r="BI10" s="16">
        <f t="shared" si="0"/>
        <v>4.1326824425966371E-4</v>
      </c>
      <c r="BJ10" s="16">
        <f t="shared" si="0"/>
        <v>4.3414276183252324E-6</v>
      </c>
      <c r="BK10" s="16">
        <f t="shared" si="0"/>
        <v>4.9199349771911617E-4</v>
      </c>
      <c r="BL10" s="16">
        <f t="shared" si="0"/>
        <v>4.7500017185578335E-5</v>
      </c>
    </row>
    <row r="11" spans="2:64" x14ac:dyDescent="0.25">
      <c r="B11" s="261"/>
      <c r="C11" s="260"/>
      <c r="D11" s="28" t="str">
        <f>Waste_LCIA!D5</f>
        <v>treatment of waste paperboard, municipal incineration, RoW</v>
      </c>
      <c r="E11" s="28">
        <v>0.23959522926250185</v>
      </c>
      <c r="F11" s="28" t="str">
        <f>Waste_LCIA!F5</f>
        <v>kg</v>
      </c>
      <c r="G11" s="28" t="str">
        <f>Waste_LCIA!G5</f>
        <v>Ecoinvent v3.7.1</v>
      </c>
      <c r="H11" s="28">
        <f>Waste_LCIA!H5</f>
        <v>3.1955999999999998E-2</v>
      </c>
      <c r="I11" s="28">
        <f>Waste_LCIA!I5</f>
        <v>2.8931999999999999E-3</v>
      </c>
      <c r="J11" s="28">
        <f>Waste_LCIA!J5</f>
        <v>0.23380999999999999</v>
      </c>
      <c r="K11" s="28">
        <f>Waste_LCIA!K5</f>
        <v>1.2891000000000001E-4</v>
      </c>
      <c r="L11" s="28">
        <f>Waste_LCIA!L5</f>
        <v>8.0415999999999994E-3</v>
      </c>
      <c r="M11" s="28">
        <f>Waste_LCIA!M5</f>
        <v>2.1666999999999999E-6</v>
      </c>
      <c r="N11" s="28">
        <f>Waste_LCIA!N5</f>
        <v>1.5860999999999999E-5</v>
      </c>
      <c r="O11" s="28">
        <f>Waste_LCIA!O5</f>
        <v>4.8907000000000004E-3</v>
      </c>
      <c r="P11" s="28">
        <f>Waste_LCIA!P5</f>
        <v>9.7141000000000003E-4</v>
      </c>
      <c r="Q11" s="28">
        <f t="shared" si="1"/>
        <v>0.25075384770000003</v>
      </c>
      <c r="R11" s="28">
        <f>Waste_LCIA!R5</f>
        <v>6.2199E-4</v>
      </c>
      <c r="S11" s="28">
        <f>Waste_LCIA!S5</f>
        <v>3.2674000000000002E-2</v>
      </c>
      <c r="T11" s="28">
        <f>Waste_LCIA!T5</f>
        <v>6.1008E-3</v>
      </c>
      <c r="U11" s="28">
        <f>Waste_LCIA!U5</f>
        <v>6.2211999999999996E-3</v>
      </c>
      <c r="V11" s="28">
        <f>Waste_LCIA!V5</f>
        <v>3.9647000000000003E-6</v>
      </c>
      <c r="W11" s="28">
        <f>Waste_LCIA!W5</f>
        <v>0.11655</v>
      </c>
      <c r="X11" s="28">
        <f>Waste_LCIA!X5</f>
        <v>7.4914999999999997E-4</v>
      </c>
      <c r="Y11" s="28">
        <f>Waste_LCIA!Y5</f>
        <v>5.6363999999999997E-3</v>
      </c>
      <c r="Z11" s="28">
        <f>Waste_LCIA!Z5</f>
        <v>4.2731000000000001E-5</v>
      </c>
      <c r="AA11" s="28">
        <f>Waste_LCIA!AA5</f>
        <v>1.1781000000000001E-3</v>
      </c>
      <c r="AB11" s="28">
        <f>Waste_LCIA!AB5</f>
        <v>-1.5893E-6</v>
      </c>
      <c r="AC11" s="28">
        <f>Waste_LCIA!AC5</f>
        <v>2.4143999999999999E-9</v>
      </c>
      <c r="AD11" s="28">
        <f>Waste_LCIA!AD5</f>
        <v>8.9034000000000002E-5</v>
      </c>
      <c r="AE11" s="28">
        <f>Waste_LCIA!AE5</f>
        <v>3.0777000000000002E-4</v>
      </c>
      <c r="AF11" s="28">
        <f>Waste_LCIA!AF5</f>
        <v>2.1015000000000001E-4</v>
      </c>
      <c r="AG11" s="28">
        <f>Waste_LCIA!AG5</f>
        <v>5.0900000000000004E-6</v>
      </c>
      <c r="AH11" s="28">
        <f>Waste_LCIA!AH5</f>
        <v>2.4853000000000001E-4</v>
      </c>
      <c r="AI11" s="29">
        <f>Waste_LCIA!AI5</f>
        <v>1.6280999999999999E-3</v>
      </c>
      <c r="AK11" s="16">
        <f t="shared" si="2"/>
        <v>7.6565051463125082E-3</v>
      </c>
      <c r="AL11" s="16">
        <f t="shared" si="0"/>
        <v>6.9319691730227026E-4</v>
      </c>
      <c r="AM11" s="16">
        <f t="shared" si="0"/>
        <v>5.6019760553865552E-2</v>
      </c>
      <c r="AN11" s="16">
        <f t="shared" si="0"/>
        <v>3.0886221004229113E-5</v>
      </c>
      <c r="AO11" s="16">
        <f t="shared" si="0"/>
        <v>1.9267289956373347E-3</v>
      </c>
      <c r="AP11" s="16">
        <f t="shared" si="0"/>
        <v>5.1913098324306276E-7</v>
      </c>
      <c r="AQ11" s="16">
        <f t="shared" si="0"/>
        <v>3.8002199313325418E-6</v>
      </c>
      <c r="AR11" s="16">
        <f t="shared" si="0"/>
        <v>1.1717883877541179E-3</v>
      </c>
      <c r="AS11" s="16">
        <f t="shared" si="0"/>
        <v>2.3274520165788692E-4</v>
      </c>
      <c r="AT11" s="16">
        <f t="shared" si="0"/>
        <v>6.007942562813598E-2</v>
      </c>
      <c r="AU11" s="16">
        <f t="shared" si="0"/>
        <v>1.4902583664898352E-4</v>
      </c>
      <c r="AV11" s="16">
        <f t="shared" si="0"/>
        <v>7.8285345209229851E-3</v>
      </c>
      <c r="AW11" s="16">
        <f t="shared" si="0"/>
        <v>1.4617225746846713E-3</v>
      </c>
      <c r="AX11" s="16">
        <f t="shared" si="0"/>
        <v>1.4905698402878764E-3</v>
      </c>
      <c r="AY11" s="16">
        <f t="shared" si="0"/>
        <v>9.499232054570412E-7</v>
      </c>
      <c r="AZ11" s="16">
        <f t="shared" si="0"/>
        <v>2.7924823970544591E-2</v>
      </c>
      <c r="BA11" s="16">
        <f t="shared" si="0"/>
        <v>1.7949276600200326E-4</v>
      </c>
      <c r="BB11" s="16">
        <f t="shared" si="0"/>
        <v>1.3504545502151654E-3</v>
      </c>
      <c r="BC11" s="16">
        <f t="shared" si="0"/>
        <v>1.0238143741615967E-5</v>
      </c>
      <c r="BD11" s="16">
        <f t="shared" si="0"/>
        <v>2.8226713959415346E-4</v>
      </c>
      <c r="BE11" s="16">
        <f t="shared" si="0"/>
        <v>-3.8078869786689417E-7</v>
      </c>
      <c r="BF11" s="16">
        <f t="shared" si="0"/>
        <v>5.7847872153138443E-10</v>
      </c>
      <c r="BG11" s="16">
        <f t="shared" si="0"/>
        <v>2.1332121642157591E-5</v>
      </c>
      <c r="BH11" s="16">
        <f t="shared" si="0"/>
        <v>7.3740223710120194E-5</v>
      </c>
      <c r="BI11" s="16">
        <f t="shared" si="0"/>
        <v>5.0350937429514768E-5</v>
      </c>
      <c r="BJ11" s="16">
        <f t="shared" si="0"/>
        <v>1.2195397169461345E-6</v>
      </c>
      <c r="BK11" s="16">
        <f t="shared" si="0"/>
        <v>5.9546602328609585E-5</v>
      </c>
      <c r="BL11" s="16">
        <f t="shared" si="0"/>
        <v>3.9008499276227925E-4</v>
      </c>
    </row>
    <row r="12" spans="2:64" x14ac:dyDescent="0.25">
      <c r="B12" s="261"/>
      <c r="C12" s="260"/>
      <c r="D12" s="28" t="str">
        <f>Waste_LCIA!D6</f>
        <v>treatment of waste paperboard, sanitary landfill, RoW</v>
      </c>
      <c r="E12" s="28">
        <v>0.9823404399762572</v>
      </c>
      <c r="F12" s="28" t="str">
        <f>Waste_LCIA!F6</f>
        <v>kg</v>
      </c>
      <c r="G12" s="28" t="str">
        <f>Waste_LCIA!G6</f>
        <v>Ecoinvent v3.7.1</v>
      </c>
      <c r="H12" s="28">
        <f>Waste_LCIA!H6</f>
        <v>1.5611999999999999</v>
      </c>
      <c r="I12" s="28">
        <f>Waste_LCIA!I6</f>
        <v>3.2682000000000002E-3</v>
      </c>
      <c r="J12" s="28">
        <f>Waste_LCIA!J6</f>
        <v>0.36821999999999999</v>
      </c>
      <c r="K12" s="28">
        <f>Waste_LCIA!K6</f>
        <v>3.9117999999999998E-4</v>
      </c>
      <c r="L12" s="28">
        <f>Waste_LCIA!L6</f>
        <v>2.6186000000000001E-2</v>
      </c>
      <c r="M12" s="28">
        <f>Waste_LCIA!M6</f>
        <v>6.1542999999999997E-6</v>
      </c>
      <c r="N12" s="28">
        <f>Waste_LCIA!N6</f>
        <v>1.1071E-3</v>
      </c>
      <c r="O12" s="28">
        <f>Waste_LCIA!O6</f>
        <v>1.183E-2</v>
      </c>
      <c r="P12" s="28">
        <f>Waste_LCIA!P6</f>
        <v>2.9567999999999999E-3</v>
      </c>
      <c r="Q12" s="28">
        <f t="shared" si="1"/>
        <v>0.41396543429999999</v>
      </c>
      <c r="R12" s="28">
        <f>Waste_LCIA!R6</f>
        <v>1.5227000000000001E-3</v>
      </c>
      <c r="S12" s="28">
        <f>Waste_LCIA!S6</f>
        <v>1.226</v>
      </c>
      <c r="T12" s="28">
        <f>Waste_LCIA!T6</f>
        <v>8.7205000000000008E-3</v>
      </c>
      <c r="U12" s="28">
        <f>Waste_LCIA!U6</f>
        <v>7.2683000000000001E-3</v>
      </c>
      <c r="V12" s="28">
        <f>Waste_LCIA!V6</f>
        <v>6.1979999999999998E-6</v>
      </c>
      <c r="W12" s="28">
        <f>Waste_LCIA!W6</f>
        <v>0.13544999999999999</v>
      </c>
      <c r="X12" s="28">
        <f>Waste_LCIA!X6</f>
        <v>2.5059000000000001E-3</v>
      </c>
      <c r="Y12" s="28">
        <f>Waste_LCIA!Y6</f>
        <v>6.5066999999999998E-3</v>
      </c>
      <c r="Z12" s="28">
        <f>Waste_LCIA!Z6</f>
        <v>2.1710000000000002E-3</v>
      </c>
      <c r="AA12" s="28">
        <f>Waste_LCIA!AA6</f>
        <v>4.9030000000000005E-4</v>
      </c>
      <c r="AB12" s="28">
        <f>Waste_LCIA!AB6</f>
        <v>-4.6569000000000003E-6</v>
      </c>
      <c r="AC12" s="28">
        <f>Waste_LCIA!AC6</f>
        <v>2.8231999999999999E-9</v>
      </c>
      <c r="AD12" s="28">
        <f>Waste_LCIA!AD6</f>
        <v>8.4282000000000004E-5</v>
      </c>
      <c r="AE12" s="28">
        <f>Waste_LCIA!AE6</f>
        <v>6.9477999999999999E-4</v>
      </c>
      <c r="AF12" s="28">
        <f>Waste_LCIA!AF6</f>
        <v>1.9544000000000001E-4</v>
      </c>
      <c r="AG12" s="28">
        <f>Waste_LCIA!AG6</f>
        <v>1.8816999999999999E-6</v>
      </c>
      <c r="AH12" s="28">
        <f>Waste_LCIA!AH6</f>
        <v>3.1914000000000001E-3</v>
      </c>
      <c r="AI12" s="29">
        <f>Waste_LCIA!AI6</f>
        <v>9.2818999999999993E-5</v>
      </c>
      <c r="AK12" s="16">
        <f t="shared" si="2"/>
        <v>1.5336298948909326</v>
      </c>
      <c r="AL12" s="16">
        <f t="shared" si="0"/>
        <v>3.210485025930404E-3</v>
      </c>
      <c r="AM12" s="16">
        <f t="shared" si="0"/>
        <v>0.36171739680805742</v>
      </c>
      <c r="AN12" s="16">
        <f t="shared" si="0"/>
        <v>3.8427193330991226E-4</v>
      </c>
      <c r="AO12" s="16">
        <f t="shared" si="0"/>
        <v>2.5723566761218272E-2</v>
      </c>
      <c r="AP12" s="16">
        <f t="shared" si="0"/>
        <v>6.0456177697458792E-6</v>
      </c>
      <c r="AQ12" s="16">
        <f t="shared" si="0"/>
        <v>1.0875491010977143E-3</v>
      </c>
      <c r="AR12" s="16">
        <f t="shared" si="0"/>
        <v>1.1621087404919123E-2</v>
      </c>
      <c r="AS12" s="16">
        <f t="shared" si="0"/>
        <v>2.9045842129217974E-3</v>
      </c>
      <c r="AT12" s="16">
        <f t="shared" si="0"/>
        <v>0.40665498686522439</v>
      </c>
      <c r="AU12" s="16">
        <f t="shared" si="0"/>
        <v>1.4958097879518469E-3</v>
      </c>
      <c r="AV12" s="16">
        <f t="shared" si="0"/>
        <v>1.2043493794108913</v>
      </c>
      <c r="AW12" s="16">
        <f t="shared" si="0"/>
        <v>8.5664998068129515E-3</v>
      </c>
      <c r="AX12" s="16">
        <f t="shared" ref="AX12:AX37" si="5">$E12*U12</f>
        <v>7.1399450198794305E-3</v>
      </c>
      <c r="AY12" s="16">
        <f t="shared" ref="AY12:AY37" si="6">$E12*V12</f>
        <v>6.0885460469728417E-6</v>
      </c>
      <c r="AZ12" s="16">
        <f t="shared" ref="AZ12:AZ37" si="7">$E12*W12</f>
        <v>0.13305801259478403</v>
      </c>
      <c r="BA12" s="16">
        <f t="shared" ref="BA12:BA37" si="8">$E12*X12</f>
        <v>2.461646908536503E-3</v>
      </c>
      <c r="BB12" s="16">
        <f t="shared" ref="BB12:BB37" si="9">$E12*Y12</f>
        <v>6.3917945407935125E-3</v>
      </c>
      <c r="BC12" s="16">
        <f t="shared" ref="BC12:BC37" si="10">$E12*Z12</f>
        <v>2.1326610951884544E-3</v>
      </c>
      <c r="BD12" s="16">
        <f t="shared" ref="BD12:BD37" si="11">$E12*AA12</f>
        <v>4.8164151772035893E-4</v>
      </c>
      <c r="BE12" s="16">
        <f t="shared" ref="BE12:BE37" si="12">$E12*AB12</f>
        <v>-4.5746611949254327E-6</v>
      </c>
      <c r="BF12" s="16">
        <f t="shared" ref="BF12:BF37" si="13">$E12*AC12</f>
        <v>2.7733435301409694E-9</v>
      </c>
      <c r="BG12" s="16">
        <f t="shared" ref="BG12:BG37" si="14">$E12*AD12</f>
        <v>8.279361696207891E-5</v>
      </c>
      <c r="BH12" s="16">
        <f t="shared" ref="BH12:BH37" si="15">$E12*AE12</f>
        <v>6.82510490886704E-4</v>
      </c>
      <c r="BI12" s="16">
        <f t="shared" ref="BI12:BI37" si="16">$E12*AF12</f>
        <v>1.9198861558895972E-4</v>
      </c>
      <c r="BJ12" s="16">
        <f t="shared" ref="BJ12:BJ37" si="17">$E12*AG12</f>
        <v>1.8484700059033231E-6</v>
      </c>
      <c r="BK12" s="16">
        <f t="shared" ref="BK12:BK37" si="18">$E12*AH12</f>
        <v>3.1350412801402273E-3</v>
      </c>
      <c r="BL12" s="16">
        <f t="shared" ref="BL12:BL37" si="19">$E12*AI12</f>
        <v>9.1179857298156214E-5</v>
      </c>
    </row>
    <row r="13" spans="2:64" x14ac:dyDescent="0.25">
      <c r="B13" s="261" t="str">
        <f>'Preparation and execution'!B15</f>
        <v>Preparation - Participants</v>
      </c>
      <c r="C13" s="28" t="str">
        <f>'Preparation and execution'!B17</f>
        <v>Abstract writing</v>
      </c>
      <c r="D13" s="28" t="s">
        <v>252</v>
      </c>
      <c r="E13" s="28">
        <v>270</v>
      </c>
      <c r="F13" s="28" t="s">
        <v>248</v>
      </c>
      <c r="G13" s="28" t="str">
        <f>Waste_LCIA!G7</f>
        <v>Ecoinvent v3.7.1</v>
      </c>
      <c r="H13" s="28">
        <v>1.8069999999999999E-2</v>
      </c>
      <c r="I13" s="28">
        <v>4.8162999999999999E-3</v>
      </c>
      <c r="J13" s="28">
        <v>0.20784</v>
      </c>
      <c r="K13" s="28">
        <v>6.0168000000000005E-4</v>
      </c>
      <c r="L13" s="28">
        <v>4.4062999999999998E-2</v>
      </c>
      <c r="M13" s="28">
        <v>8.1444999999999997E-6</v>
      </c>
      <c r="N13" s="28">
        <v>2.0869E-3</v>
      </c>
      <c r="O13" s="28">
        <v>1.7767000000000002E-2</v>
      </c>
      <c r="P13" s="28">
        <v>5.2592999999999997E-3</v>
      </c>
      <c r="Q13" s="28">
        <f t="shared" si="1"/>
        <v>0.28244232449999995</v>
      </c>
      <c r="R13" s="28">
        <v>9.1326000000000005E-4</v>
      </c>
      <c r="S13" s="28">
        <v>1.7791000000000001E-2</v>
      </c>
      <c r="T13" s="28">
        <v>5.1097E-3</v>
      </c>
      <c r="U13" s="28">
        <v>1.9127E-3</v>
      </c>
      <c r="V13" s="28">
        <v>1.2330999999999999E-5</v>
      </c>
      <c r="W13" s="28">
        <v>1.2024E-2</v>
      </c>
      <c r="X13" s="28">
        <v>2.7832E-3</v>
      </c>
      <c r="Y13" s="28">
        <v>1.6896000000000001E-3</v>
      </c>
      <c r="Z13" s="28">
        <v>6.6317000000000004E-6</v>
      </c>
      <c r="AA13" s="28">
        <v>2.9681E-3</v>
      </c>
      <c r="AB13" s="28">
        <v>-1.3977E-6</v>
      </c>
      <c r="AC13" s="28">
        <v>6.8769000000000003E-10</v>
      </c>
      <c r="AD13" s="28">
        <v>4.6411E-5</v>
      </c>
      <c r="AE13" s="28">
        <v>5.2475999999999997E-5</v>
      </c>
      <c r="AF13" s="28">
        <v>7.3938999999999998E-5</v>
      </c>
      <c r="AG13" s="28">
        <v>1.5994000000000001E-6</v>
      </c>
      <c r="AH13" s="28">
        <v>1.2303999999999999E-4</v>
      </c>
      <c r="AI13" s="29">
        <v>1.3265E-4</v>
      </c>
      <c r="AK13" s="16">
        <f t="shared" si="2"/>
        <v>4.8788999999999998</v>
      </c>
      <c r="AL13" s="16">
        <f t="shared" ref="AL13:AL37" si="20">$E13*I13</f>
        <v>1.3004009999999999</v>
      </c>
      <c r="AM13" s="16">
        <f t="shared" ref="AM13:AM37" si="21">$E13*J13</f>
        <v>56.116799999999998</v>
      </c>
      <c r="AN13" s="16">
        <f t="shared" ref="AN13:AN37" si="22">$E13*K13</f>
        <v>0.1624536</v>
      </c>
      <c r="AO13" s="16">
        <f t="shared" ref="AO13:AO37" si="23">$E13*L13</f>
        <v>11.89701</v>
      </c>
      <c r="AP13" s="16">
        <f t="shared" ref="AP13:AP37" si="24">$E13*M13</f>
        <v>2.1990149999999999E-3</v>
      </c>
      <c r="AQ13" s="16">
        <f t="shared" ref="AQ13:AQ37" si="25">$E13*N13</f>
        <v>0.56346300000000005</v>
      </c>
      <c r="AR13" s="16">
        <f t="shared" ref="AR13:AR37" si="26">$E13*O13</f>
        <v>4.7970900000000007</v>
      </c>
      <c r="AS13" s="16">
        <f t="shared" ref="AS13:AS37" si="27">$E13*P13</f>
        <v>1.4200109999999999</v>
      </c>
      <c r="AT13" s="16">
        <f t="shared" ref="AT13:AT37" si="28">$E13*Q13</f>
        <v>76.259427614999993</v>
      </c>
      <c r="AU13" s="16">
        <f t="shared" ref="AU13:AU37" si="29">$E13*R13</f>
        <v>0.2465802</v>
      </c>
      <c r="AV13" s="16">
        <f t="shared" ref="AV13:AV37" si="30">$E13*S13</f>
        <v>4.8035700000000006</v>
      </c>
      <c r="AW13" s="16">
        <f t="shared" ref="AW13:AW37" si="31">$E13*T13</f>
        <v>1.3796189999999999</v>
      </c>
      <c r="AX13" s="16">
        <f t="shared" si="5"/>
        <v>0.51642900000000003</v>
      </c>
      <c r="AY13" s="16">
        <f t="shared" si="6"/>
        <v>3.3293699999999999E-3</v>
      </c>
      <c r="AZ13" s="16">
        <f t="shared" si="7"/>
        <v>3.24648</v>
      </c>
      <c r="BA13" s="16">
        <f t="shared" si="8"/>
        <v>0.75146400000000002</v>
      </c>
      <c r="BB13" s="16">
        <f t="shared" si="9"/>
        <v>0.45619200000000004</v>
      </c>
      <c r="BC13" s="16">
        <f t="shared" si="10"/>
        <v>1.7905590000000002E-3</v>
      </c>
      <c r="BD13" s="16">
        <f t="shared" si="11"/>
        <v>0.80138699999999996</v>
      </c>
      <c r="BE13" s="16">
        <f t="shared" si="12"/>
        <v>-3.7737900000000001E-4</v>
      </c>
      <c r="BF13" s="16">
        <f t="shared" si="13"/>
        <v>1.856763E-7</v>
      </c>
      <c r="BG13" s="16">
        <f t="shared" si="14"/>
        <v>1.2530970000000001E-2</v>
      </c>
      <c r="BH13" s="16">
        <f t="shared" si="15"/>
        <v>1.4168519999999999E-2</v>
      </c>
      <c r="BI13" s="16">
        <f t="shared" si="16"/>
        <v>1.996353E-2</v>
      </c>
      <c r="BJ13" s="16">
        <f t="shared" si="17"/>
        <v>4.3183800000000004E-4</v>
      </c>
      <c r="BK13" s="16">
        <f t="shared" si="18"/>
        <v>3.3220799999999995E-2</v>
      </c>
      <c r="BL13" s="16">
        <f t="shared" si="19"/>
        <v>3.58155E-2</v>
      </c>
    </row>
    <row r="14" spans="2:64" x14ac:dyDescent="0.25">
      <c r="B14" s="261"/>
      <c r="C14" s="260" t="str">
        <f>'Preparation and execution'!B18</f>
        <v>Poster printing</v>
      </c>
      <c r="D14" s="28" t="s">
        <v>251</v>
      </c>
      <c r="E14" s="28">
        <v>1.7824</v>
      </c>
      <c r="F14" s="28" t="s">
        <v>106</v>
      </c>
      <c r="G14" s="28" t="str">
        <f>Waste_LCIA!G8</f>
        <v>Ecoinvent v3.7.1</v>
      </c>
      <c r="H14" s="28">
        <v>1.2813000000000001</v>
      </c>
      <c r="I14" s="28">
        <v>32.526000000000003</v>
      </c>
      <c r="J14" s="28">
        <v>17.221</v>
      </c>
      <c r="K14" s="28">
        <v>1.6347E-2</v>
      </c>
      <c r="L14" s="28">
        <v>1.0422</v>
      </c>
      <c r="M14" s="28">
        <v>1.447E-2</v>
      </c>
      <c r="N14" s="28">
        <v>5.3313999999999998E-4</v>
      </c>
      <c r="O14" s="28">
        <v>0.52107000000000003</v>
      </c>
      <c r="P14" s="28">
        <v>0.10457</v>
      </c>
      <c r="Q14" s="28">
        <f t="shared" si="1"/>
        <v>51.446190140000013</v>
      </c>
      <c r="R14" s="28">
        <v>3.5444</v>
      </c>
      <c r="S14" s="28">
        <v>1.2351000000000001</v>
      </c>
      <c r="T14" s="28">
        <v>0.43135000000000001</v>
      </c>
      <c r="U14" s="28">
        <v>2.5682E-2</v>
      </c>
      <c r="V14" s="28">
        <v>6.5112000000000004E-4</v>
      </c>
      <c r="W14" s="28">
        <v>0.52390999999999999</v>
      </c>
      <c r="X14" s="28">
        <v>6.8883E-2</v>
      </c>
      <c r="Y14" s="28">
        <v>2.2882E-2</v>
      </c>
      <c r="Z14" s="28">
        <v>8.8533000000000004E-4</v>
      </c>
      <c r="AA14" s="28">
        <v>2.3837000000000001E-2</v>
      </c>
      <c r="AB14" s="28">
        <v>-6.4288000000000005E-5</v>
      </c>
      <c r="AC14" s="28">
        <v>9.2108000000000007E-8</v>
      </c>
      <c r="AD14" s="28">
        <v>3.7599E-3</v>
      </c>
      <c r="AE14" s="28">
        <v>5.8120000000000003E-3</v>
      </c>
      <c r="AF14" s="28">
        <v>5.8840999999999997E-3</v>
      </c>
      <c r="AG14" s="28">
        <v>8.8374000000000005E-3</v>
      </c>
      <c r="AH14" s="28">
        <v>3.0762999999999999E-2</v>
      </c>
      <c r="AI14" s="29">
        <v>4.8057000000000002E-2</v>
      </c>
      <c r="AK14" s="16">
        <f t="shared" si="2"/>
        <v>2.2837891200000002</v>
      </c>
      <c r="AL14" s="16">
        <f t="shared" si="20"/>
        <v>57.974342400000005</v>
      </c>
      <c r="AM14" s="16">
        <f t="shared" si="21"/>
        <v>30.694710399999998</v>
      </c>
      <c r="AN14" s="16">
        <f t="shared" si="22"/>
        <v>2.9136892800000001E-2</v>
      </c>
      <c r="AO14" s="16">
        <f t="shared" si="23"/>
        <v>1.8576172799999999</v>
      </c>
      <c r="AP14" s="16">
        <f t="shared" si="24"/>
        <v>2.5791327999999999E-2</v>
      </c>
      <c r="AQ14" s="16">
        <f t="shared" si="25"/>
        <v>9.5026873599999998E-4</v>
      </c>
      <c r="AR14" s="16">
        <f t="shared" si="26"/>
        <v>0.92875516800000002</v>
      </c>
      <c r="AS14" s="16">
        <f t="shared" si="27"/>
        <v>0.186385568</v>
      </c>
      <c r="AT14" s="16">
        <f t="shared" si="28"/>
        <v>91.697689305536016</v>
      </c>
      <c r="AU14" s="16">
        <f t="shared" si="29"/>
        <v>6.31753856</v>
      </c>
      <c r="AV14" s="16">
        <f t="shared" si="30"/>
        <v>2.20144224</v>
      </c>
      <c r="AW14" s="16">
        <f t="shared" si="31"/>
        <v>0.76883824000000001</v>
      </c>
      <c r="AX14" s="16">
        <f t="shared" si="5"/>
        <v>4.5775596799999999E-2</v>
      </c>
      <c r="AY14" s="16">
        <f t="shared" si="6"/>
        <v>1.160556288E-3</v>
      </c>
      <c r="AZ14" s="16">
        <f t="shared" si="7"/>
        <v>0.93381718400000002</v>
      </c>
      <c r="BA14" s="16">
        <f t="shared" si="8"/>
        <v>0.1227770592</v>
      </c>
      <c r="BB14" s="16">
        <f t="shared" si="9"/>
        <v>4.0784876800000001E-2</v>
      </c>
      <c r="BC14" s="16">
        <f t="shared" si="10"/>
        <v>1.578012192E-3</v>
      </c>
      <c r="BD14" s="16">
        <f t="shared" si="11"/>
        <v>4.24870688E-2</v>
      </c>
      <c r="BE14" s="16">
        <f t="shared" si="12"/>
        <v>-1.1458693120000001E-4</v>
      </c>
      <c r="BF14" s="16">
        <f t="shared" si="13"/>
        <v>1.6417329920000001E-7</v>
      </c>
      <c r="BG14" s="16">
        <f t="shared" si="14"/>
        <v>6.7016457600000004E-3</v>
      </c>
      <c r="BH14" s="16">
        <f t="shared" si="15"/>
        <v>1.03593088E-2</v>
      </c>
      <c r="BI14" s="16">
        <f t="shared" si="16"/>
        <v>1.0487819839999999E-2</v>
      </c>
      <c r="BJ14" s="16">
        <f t="shared" si="17"/>
        <v>1.575178176E-2</v>
      </c>
      <c r="BK14" s="16">
        <f t="shared" si="18"/>
        <v>5.4831971199999996E-2</v>
      </c>
      <c r="BL14" s="16">
        <f t="shared" si="19"/>
        <v>8.5656796800000004E-2</v>
      </c>
    </row>
    <row r="15" spans="2:64" x14ac:dyDescent="0.25">
      <c r="B15" s="261"/>
      <c r="C15" s="260"/>
      <c r="D15" s="28" t="s">
        <v>253</v>
      </c>
      <c r="E15" s="28">
        <v>1.7824</v>
      </c>
      <c r="F15" s="28" t="s">
        <v>106</v>
      </c>
      <c r="G15" s="28" t="str">
        <f>Waste_LCIA!G9</f>
        <v>Ecoinvent v3.7.1</v>
      </c>
      <c r="H15" s="28">
        <v>2.8292000000000002</v>
      </c>
      <c r="I15" s="28">
        <v>26.044</v>
      </c>
      <c r="J15" s="28">
        <v>37.223999999999997</v>
      </c>
      <c r="K15" s="28">
        <v>6.7375000000000004E-2</v>
      </c>
      <c r="L15" s="28">
        <v>3.5585</v>
      </c>
      <c r="M15" s="28">
        <v>1.8458000000000001E-3</v>
      </c>
      <c r="N15" s="28">
        <v>2.0124E-2</v>
      </c>
      <c r="O15" s="28">
        <v>1.9058999999999999</v>
      </c>
      <c r="P15" s="28">
        <v>0.42792000000000002</v>
      </c>
      <c r="Q15" s="28">
        <f t="shared" si="1"/>
        <v>69.249664799999991</v>
      </c>
      <c r="R15" s="28">
        <v>2.4539</v>
      </c>
      <c r="S15" s="28">
        <v>2.7745000000000002</v>
      </c>
      <c r="T15" s="28">
        <v>0.93262</v>
      </c>
      <c r="U15" s="28">
        <v>5.5898999999999997E-2</v>
      </c>
      <c r="V15" s="28">
        <v>1.1053E-3</v>
      </c>
      <c r="W15" s="28">
        <v>0.95121999999999995</v>
      </c>
      <c r="X15" s="28">
        <v>0.2407</v>
      </c>
      <c r="Y15" s="28">
        <v>4.879E-2</v>
      </c>
      <c r="Z15" s="28">
        <v>9.1728999999999997E-4</v>
      </c>
      <c r="AA15" s="28">
        <v>5.4781999999999997E-2</v>
      </c>
      <c r="AB15" s="28">
        <v>-1.6393000000000001E-4</v>
      </c>
      <c r="AC15" s="28">
        <v>1.3701999999999999E-7</v>
      </c>
      <c r="AD15" s="28">
        <v>7.7428000000000002E-3</v>
      </c>
      <c r="AE15" s="28">
        <v>9.7249999999999993E-3</v>
      </c>
      <c r="AF15" s="28">
        <v>1.2003E-2</v>
      </c>
      <c r="AG15" s="28">
        <v>5.2541999999999997E-3</v>
      </c>
      <c r="AH15" s="28">
        <v>3.6924999999999999E-2</v>
      </c>
      <c r="AI15" s="29">
        <v>4.2930000000000003E-2</v>
      </c>
      <c r="AK15" s="16">
        <f t="shared" si="2"/>
        <v>5.0427660799999998</v>
      </c>
      <c r="AL15" s="16">
        <f t="shared" si="20"/>
        <v>46.420825600000001</v>
      </c>
      <c r="AM15" s="16">
        <f t="shared" si="21"/>
        <v>66.34805759999999</v>
      </c>
      <c r="AN15" s="16">
        <f t="shared" si="22"/>
        <v>0.12008920000000001</v>
      </c>
      <c r="AO15" s="16">
        <f t="shared" si="23"/>
        <v>6.3426704000000003</v>
      </c>
      <c r="AP15" s="16">
        <f t="shared" si="24"/>
        <v>3.2899539200000002E-3</v>
      </c>
      <c r="AQ15" s="16">
        <f t="shared" si="25"/>
        <v>3.5869017599999997E-2</v>
      </c>
      <c r="AR15" s="16">
        <f t="shared" si="26"/>
        <v>3.3970761599999997</v>
      </c>
      <c r="AS15" s="16">
        <f t="shared" si="27"/>
        <v>0.76272460800000008</v>
      </c>
      <c r="AT15" s="16">
        <f t="shared" si="28"/>
        <v>123.43060253951998</v>
      </c>
      <c r="AU15" s="16">
        <f t="shared" si="29"/>
        <v>4.3738313599999996</v>
      </c>
      <c r="AV15" s="16">
        <f t="shared" si="30"/>
        <v>4.9452688</v>
      </c>
      <c r="AW15" s="16">
        <f t="shared" si="31"/>
        <v>1.662301888</v>
      </c>
      <c r="AX15" s="16">
        <f t="shared" si="5"/>
        <v>9.963437759999999E-2</v>
      </c>
      <c r="AY15" s="16">
        <f t="shared" si="6"/>
        <v>1.97008672E-3</v>
      </c>
      <c r="AZ15" s="16">
        <f t="shared" si="7"/>
        <v>1.695454528</v>
      </c>
      <c r="BA15" s="16">
        <f t="shared" si="8"/>
        <v>0.42902368000000002</v>
      </c>
      <c r="BB15" s="16">
        <f t="shared" si="9"/>
        <v>8.6963295999999995E-2</v>
      </c>
      <c r="BC15" s="16">
        <f t="shared" si="10"/>
        <v>1.634977696E-3</v>
      </c>
      <c r="BD15" s="16">
        <f t="shared" si="11"/>
        <v>9.7643436799999997E-2</v>
      </c>
      <c r="BE15" s="16">
        <f t="shared" si="12"/>
        <v>-2.9218883200000001E-4</v>
      </c>
      <c r="BF15" s="16">
        <f t="shared" si="13"/>
        <v>2.4422444799999999E-7</v>
      </c>
      <c r="BG15" s="16">
        <f t="shared" si="14"/>
        <v>1.380076672E-2</v>
      </c>
      <c r="BH15" s="16">
        <f t="shared" si="15"/>
        <v>1.733384E-2</v>
      </c>
      <c r="BI15" s="16">
        <f t="shared" si="16"/>
        <v>2.1394147199999998E-2</v>
      </c>
      <c r="BJ15" s="16">
        <f t="shared" si="17"/>
        <v>9.3650860799999996E-3</v>
      </c>
      <c r="BK15" s="16">
        <f t="shared" si="18"/>
        <v>6.5815120000000005E-2</v>
      </c>
      <c r="BL15" s="16">
        <f t="shared" si="19"/>
        <v>7.6518432000000011E-2</v>
      </c>
    </row>
    <row r="16" spans="2:64" x14ac:dyDescent="0.25">
      <c r="B16" s="261"/>
      <c r="C16" s="28" t="str">
        <f>'Preparation and execution'!B20</f>
        <v>Slide preparation</v>
      </c>
      <c r="D16" s="28" t="str">
        <f>D13</f>
        <v>market for operation, computer, laptop, active mode, GLO</v>
      </c>
      <c r="E16" s="28">
        <v>205</v>
      </c>
      <c r="F16" s="28" t="str">
        <f>F13</f>
        <v>hour</v>
      </c>
      <c r="G16" s="28" t="str">
        <f t="shared" ref="G16:AI16" si="32">G13</f>
        <v>Ecoinvent v3.7.1</v>
      </c>
      <c r="H16" s="28">
        <f t="shared" si="32"/>
        <v>1.8069999999999999E-2</v>
      </c>
      <c r="I16" s="28">
        <f t="shared" si="32"/>
        <v>4.8162999999999999E-3</v>
      </c>
      <c r="J16" s="28">
        <f t="shared" si="32"/>
        <v>0.20784</v>
      </c>
      <c r="K16" s="28">
        <f t="shared" si="32"/>
        <v>6.0168000000000005E-4</v>
      </c>
      <c r="L16" s="28">
        <f t="shared" si="32"/>
        <v>4.4062999999999998E-2</v>
      </c>
      <c r="M16" s="28">
        <f t="shared" si="32"/>
        <v>8.1444999999999997E-6</v>
      </c>
      <c r="N16" s="28">
        <f t="shared" si="32"/>
        <v>2.0869E-3</v>
      </c>
      <c r="O16" s="28">
        <f t="shared" si="32"/>
        <v>1.7767000000000002E-2</v>
      </c>
      <c r="P16" s="28">
        <f t="shared" si="32"/>
        <v>5.2592999999999997E-3</v>
      </c>
      <c r="Q16" s="28">
        <f t="shared" si="1"/>
        <v>0.28244232449999995</v>
      </c>
      <c r="R16" s="28">
        <f t="shared" si="32"/>
        <v>9.1326000000000005E-4</v>
      </c>
      <c r="S16" s="28">
        <f t="shared" si="32"/>
        <v>1.7791000000000001E-2</v>
      </c>
      <c r="T16" s="28">
        <f t="shared" si="32"/>
        <v>5.1097E-3</v>
      </c>
      <c r="U16" s="28">
        <f t="shared" si="32"/>
        <v>1.9127E-3</v>
      </c>
      <c r="V16" s="28">
        <f t="shared" si="32"/>
        <v>1.2330999999999999E-5</v>
      </c>
      <c r="W16" s="28">
        <f t="shared" si="32"/>
        <v>1.2024E-2</v>
      </c>
      <c r="X16" s="28">
        <f t="shared" si="32"/>
        <v>2.7832E-3</v>
      </c>
      <c r="Y16" s="28">
        <f t="shared" si="32"/>
        <v>1.6896000000000001E-3</v>
      </c>
      <c r="Z16" s="28">
        <f t="shared" si="32"/>
        <v>6.6317000000000004E-6</v>
      </c>
      <c r="AA16" s="28">
        <f t="shared" si="32"/>
        <v>2.9681E-3</v>
      </c>
      <c r="AB16" s="28">
        <f t="shared" si="32"/>
        <v>-1.3977E-6</v>
      </c>
      <c r="AC16" s="28">
        <f t="shared" si="32"/>
        <v>6.8769000000000003E-10</v>
      </c>
      <c r="AD16" s="28">
        <f t="shared" si="32"/>
        <v>4.6411E-5</v>
      </c>
      <c r="AE16" s="28">
        <f t="shared" si="32"/>
        <v>5.2475999999999997E-5</v>
      </c>
      <c r="AF16" s="28">
        <f t="shared" si="32"/>
        <v>7.3938999999999998E-5</v>
      </c>
      <c r="AG16" s="28">
        <f t="shared" si="32"/>
        <v>1.5994000000000001E-6</v>
      </c>
      <c r="AH16" s="28">
        <f t="shared" si="32"/>
        <v>1.2303999999999999E-4</v>
      </c>
      <c r="AI16" s="29">
        <f t="shared" si="32"/>
        <v>1.3265E-4</v>
      </c>
      <c r="AK16" s="16">
        <f t="shared" si="2"/>
        <v>3.7043499999999998</v>
      </c>
      <c r="AL16" s="16">
        <f t="shared" si="20"/>
        <v>0.98734149999999998</v>
      </c>
      <c r="AM16" s="16">
        <f t="shared" si="21"/>
        <v>42.607199999999999</v>
      </c>
      <c r="AN16" s="16">
        <f t="shared" si="22"/>
        <v>0.12334440000000001</v>
      </c>
      <c r="AO16" s="16">
        <f t="shared" si="23"/>
        <v>9.0329149999999991</v>
      </c>
      <c r="AP16" s="16">
        <f t="shared" si="24"/>
        <v>1.6696224999999999E-3</v>
      </c>
      <c r="AQ16" s="16">
        <f t="shared" si="25"/>
        <v>0.42781449999999999</v>
      </c>
      <c r="AR16" s="16">
        <f t="shared" si="26"/>
        <v>3.6422350000000003</v>
      </c>
      <c r="AS16" s="16">
        <f t="shared" si="27"/>
        <v>1.0781565</v>
      </c>
      <c r="AT16" s="16">
        <f t="shared" si="28"/>
        <v>57.900676522499992</v>
      </c>
      <c r="AU16" s="16">
        <f t="shared" si="29"/>
        <v>0.1872183</v>
      </c>
      <c r="AV16" s="16">
        <f t="shared" si="30"/>
        <v>3.6471550000000001</v>
      </c>
      <c r="AW16" s="16">
        <f t="shared" si="31"/>
        <v>1.0474885</v>
      </c>
      <c r="AX16" s="16">
        <f t="shared" si="5"/>
        <v>0.39210349999999999</v>
      </c>
      <c r="AY16" s="16">
        <f t="shared" si="6"/>
        <v>2.5278549999999999E-3</v>
      </c>
      <c r="AZ16" s="16">
        <f t="shared" si="7"/>
        <v>2.4649199999999998</v>
      </c>
      <c r="BA16" s="16">
        <f t="shared" si="8"/>
        <v>0.57055599999999995</v>
      </c>
      <c r="BB16" s="16">
        <f t="shared" si="9"/>
        <v>0.34636800000000001</v>
      </c>
      <c r="BC16" s="16">
        <f t="shared" si="10"/>
        <v>1.3594985000000002E-3</v>
      </c>
      <c r="BD16" s="16">
        <f t="shared" si="11"/>
        <v>0.60846049999999996</v>
      </c>
      <c r="BE16" s="16">
        <f t="shared" si="12"/>
        <v>-2.8652849999999999E-4</v>
      </c>
      <c r="BF16" s="16">
        <f t="shared" si="13"/>
        <v>1.4097645E-7</v>
      </c>
      <c r="BG16" s="16">
        <f t="shared" si="14"/>
        <v>9.5142549999999992E-3</v>
      </c>
      <c r="BH16" s="16">
        <f t="shared" si="15"/>
        <v>1.0757579999999999E-2</v>
      </c>
      <c r="BI16" s="16">
        <f t="shared" si="16"/>
        <v>1.5157495E-2</v>
      </c>
      <c r="BJ16" s="16">
        <f t="shared" si="17"/>
        <v>3.2787700000000002E-4</v>
      </c>
      <c r="BK16" s="16">
        <f t="shared" si="18"/>
        <v>2.5223199999999998E-2</v>
      </c>
      <c r="BL16" s="16">
        <f t="shared" si="19"/>
        <v>2.7193249999999999E-2</v>
      </c>
    </row>
    <row r="17" spans="2:64" x14ac:dyDescent="0.25">
      <c r="B17" s="261" t="str">
        <f>'Preparation and execution'!B23</f>
        <v>Preparation - Others</v>
      </c>
      <c r="C17" s="28" t="str">
        <f>'Preparation and execution'!B25</f>
        <v>Office work - secretariat</v>
      </c>
      <c r="D17" s="28" t="str">
        <f>D13</f>
        <v>market for operation, computer, laptop, active mode, GLO</v>
      </c>
      <c r="E17" s="28">
        <v>1034.5974025974026</v>
      </c>
      <c r="F17" s="28" t="str">
        <f>F13</f>
        <v>hour</v>
      </c>
      <c r="G17" s="28" t="str">
        <f t="shared" ref="G17:AI17" si="33">G13</f>
        <v>Ecoinvent v3.7.1</v>
      </c>
      <c r="H17" s="28">
        <f t="shared" si="33"/>
        <v>1.8069999999999999E-2</v>
      </c>
      <c r="I17" s="28">
        <f t="shared" si="33"/>
        <v>4.8162999999999999E-3</v>
      </c>
      <c r="J17" s="28">
        <f t="shared" si="33"/>
        <v>0.20784</v>
      </c>
      <c r="K17" s="28">
        <f t="shared" si="33"/>
        <v>6.0168000000000005E-4</v>
      </c>
      <c r="L17" s="28">
        <f t="shared" si="33"/>
        <v>4.4062999999999998E-2</v>
      </c>
      <c r="M17" s="28">
        <f t="shared" si="33"/>
        <v>8.1444999999999997E-6</v>
      </c>
      <c r="N17" s="28">
        <f t="shared" si="33"/>
        <v>2.0869E-3</v>
      </c>
      <c r="O17" s="28">
        <f t="shared" si="33"/>
        <v>1.7767000000000002E-2</v>
      </c>
      <c r="P17" s="28">
        <f t="shared" si="33"/>
        <v>5.2592999999999997E-3</v>
      </c>
      <c r="Q17" s="28">
        <f t="shared" si="1"/>
        <v>0.28244232449999995</v>
      </c>
      <c r="R17" s="28">
        <f t="shared" si="33"/>
        <v>9.1326000000000005E-4</v>
      </c>
      <c r="S17" s="28">
        <f t="shared" si="33"/>
        <v>1.7791000000000001E-2</v>
      </c>
      <c r="T17" s="28">
        <f t="shared" si="33"/>
        <v>5.1097E-3</v>
      </c>
      <c r="U17" s="28">
        <f t="shared" si="33"/>
        <v>1.9127E-3</v>
      </c>
      <c r="V17" s="28">
        <f t="shared" si="33"/>
        <v>1.2330999999999999E-5</v>
      </c>
      <c r="W17" s="28">
        <f t="shared" si="33"/>
        <v>1.2024E-2</v>
      </c>
      <c r="X17" s="28">
        <f t="shared" si="33"/>
        <v>2.7832E-3</v>
      </c>
      <c r="Y17" s="28">
        <f t="shared" si="33"/>
        <v>1.6896000000000001E-3</v>
      </c>
      <c r="Z17" s="28">
        <f t="shared" si="33"/>
        <v>6.6317000000000004E-6</v>
      </c>
      <c r="AA17" s="28">
        <f t="shared" si="33"/>
        <v>2.9681E-3</v>
      </c>
      <c r="AB17" s="28">
        <f t="shared" si="33"/>
        <v>-1.3977E-6</v>
      </c>
      <c r="AC17" s="28">
        <f t="shared" si="33"/>
        <v>6.8769000000000003E-10</v>
      </c>
      <c r="AD17" s="28">
        <f t="shared" si="33"/>
        <v>4.6411E-5</v>
      </c>
      <c r="AE17" s="28">
        <f t="shared" si="33"/>
        <v>5.2475999999999997E-5</v>
      </c>
      <c r="AF17" s="28">
        <f t="shared" si="33"/>
        <v>7.3938999999999998E-5</v>
      </c>
      <c r="AG17" s="28">
        <f t="shared" si="33"/>
        <v>1.5994000000000001E-6</v>
      </c>
      <c r="AH17" s="28">
        <f t="shared" si="33"/>
        <v>1.2303999999999999E-4</v>
      </c>
      <c r="AI17" s="29">
        <f t="shared" si="33"/>
        <v>1.3265E-4</v>
      </c>
      <c r="AK17" s="16">
        <f t="shared" si="2"/>
        <v>18.695175064935064</v>
      </c>
      <c r="AL17" s="16">
        <f t="shared" si="20"/>
        <v>4.9829314701298699</v>
      </c>
      <c r="AM17" s="16">
        <f t="shared" si="21"/>
        <v>215.03072415584415</v>
      </c>
      <c r="AN17" s="16">
        <f t="shared" si="22"/>
        <v>0.62249656519480523</v>
      </c>
      <c r="AO17" s="16">
        <f t="shared" si="23"/>
        <v>45.587465350649346</v>
      </c>
      <c r="AP17" s="16">
        <f t="shared" si="24"/>
        <v>8.426278545454545E-3</v>
      </c>
      <c r="AQ17" s="16">
        <f t="shared" si="25"/>
        <v>2.1591013194805195</v>
      </c>
      <c r="AR17" s="16">
        <f t="shared" si="26"/>
        <v>18.381692051948054</v>
      </c>
      <c r="AS17" s="16">
        <f t="shared" si="27"/>
        <v>5.4412581194805192</v>
      </c>
      <c r="AT17" s="16">
        <f t="shared" si="28"/>
        <v>292.21409531127267</v>
      </c>
      <c r="AU17" s="16">
        <f t="shared" si="29"/>
        <v>0.94485642389610391</v>
      </c>
      <c r="AV17" s="16">
        <f t="shared" si="30"/>
        <v>18.406522389610391</v>
      </c>
      <c r="AW17" s="16">
        <f t="shared" si="31"/>
        <v>5.2864823480519485</v>
      </c>
      <c r="AX17" s="16">
        <f t="shared" si="5"/>
        <v>1.9788744519480519</v>
      </c>
      <c r="AY17" s="16">
        <f t="shared" si="6"/>
        <v>1.275762057142857E-2</v>
      </c>
      <c r="AZ17" s="16">
        <f t="shared" si="7"/>
        <v>12.43999916883117</v>
      </c>
      <c r="BA17" s="16">
        <f t="shared" si="8"/>
        <v>2.879491490909091</v>
      </c>
      <c r="BB17" s="16">
        <f t="shared" si="9"/>
        <v>1.7480557714285716</v>
      </c>
      <c r="BC17" s="16">
        <f t="shared" si="10"/>
        <v>6.8611395948051952E-3</v>
      </c>
      <c r="BD17" s="16">
        <f t="shared" si="11"/>
        <v>3.0707885506493509</v>
      </c>
      <c r="BE17" s="16">
        <f t="shared" si="12"/>
        <v>-1.4460567896103897E-3</v>
      </c>
      <c r="BF17" s="16">
        <f t="shared" si="13"/>
        <v>7.1148228779220779E-7</v>
      </c>
      <c r="BG17" s="16">
        <f t="shared" si="14"/>
        <v>4.8016700051948052E-2</v>
      </c>
      <c r="BH17" s="16">
        <f t="shared" si="15"/>
        <v>5.4291533298701296E-2</v>
      </c>
      <c r="BI17" s="16">
        <f t="shared" si="16"/>
        <v>7.6497097350649343E-2</v>
      </c>
      <c r="BJ17" s="16">
        <f t="shared" si="17"/>
        <v>1.6547350857142858E-3</v>
      </c>
      <c r="BK17" s="16">
        <f t="shared" si="18"/>
        <v>0.12729686441558441</v>
      </c>
      <c r="BL17" s="16">
        <f t="shared" si="19"/>
        <v>0.13723934545454544</v>
      </c>
    </row>
    <row r="18" spans="2:64" x14ac:dyDescent="0.25">
      <c r="B18" s="261"/>
      <c r="C18" s="28" t="str">
        <f>'Preparation and execution'!B26</f>
        <v>Website maintenance</v>
      </c>
      <c r="D18" s="28" t="str">
        <f>D13</f>
        <v>market for operation, computer, laptop, active mode, GLO</v>
      </c>
      <c r="E18" s="28">
        <v>621.7532467532468</v>
      </c>
      <c r="F18" s="28" t="str">
        <f>F13</f>
        <v>hour</v>
      </c>
      <c r="G18" s="28" t="str">
        <f t="shared" ref="G18:AI18" si="34">G13</f>
        <v>Ecoinvent v3.7.1</v>
      </c>
      <c r="H18" s="28">
        <f t="shared" si="34"/>
        <v>1.8069999999999999E-2</v>
      </c>
      <c r="I18" s="28">
        <f t="shared" si="34"/>
        <v>4.8162999999999999E-3</v>
      </c>
      <c r="J18" s="28">
        <f t="shared" si="34"/>
        <v>0.20784</v>
      </c>
      <c r="K18" s="28">
        <f t="shared" si="34"/>
        <v>6.0168000000000005E-4</v>
      </c>
      <c r="L18" s="28">
        <f t="shared" si="34"/>
        <v>4.4062999999999998E-2</v>
      </c>
      <c r="M18" s="28">
        <f t="shared" si="34"/>
        <v>8.1444999999999997E-6</v>
      </c>
      <c r="N18" s="28">
        <f t="shared" si="34"/>
        <v>2.0869E-3</v>
      </c>
      <c r="O18" s="28">
        <f t="shared" si="34"/>
        <v>1.7767000000000002E-2</v>
      </c>
      <c r="P18" s="28">
        <f t="shared" si="34"/>
        <v>5.2592999999999997E-3</v>
      </c>
      <c r="Q18" s="28">
        <f t="shared" si="1"/>
        <v>0.28244232449999995</v>
      </c>
      <c r="R18" s="28">
        <f t="shared" si="34"/>
        <v>9.1326000000000005E-4</v>
      </c>
      <c r="S18" s="28">
        <f t="shared" si="34"/>
        <v>1.7791000000000001E-2</v>
      </c>
      <c r="T18" s="28">
        <f t="shared" si="34"/>
        <v>5.1097E-3</v>
      </c>
      <c r="U18" s="28">
        <f t="shared" si="34"/>
        <v>1.9127E-3</v>
      </c>
      <c r="V18" s="28">
        <f t="shared" si="34"/>
        <v>1.2330999999999999E-5</v>
      </c>
      <c r="W18" s="28">
        <f t="shared" si="34"/>
        <v>1.2024E-2</v>
      </c>
      <c r="X18" s="28">
        <f t="shared" si="34"/>
        <v>2.7832E-3</v>
      </c>
      <c r="Y18" s="28">
        <f t="shared" si="34"/>
        <v>1.6896000000000001E-3</v>
      </c>
      <c r="Z18" s="28">
        <f t="shared" si="34"/>
        <v>6.6317000000000004E-6</v>
      </c>
      <c r="AA18" s="28">
        <f t="shared" si="34"/>
        <v>2.9681E-3</v>
      </c>
      <c r="AB18" s="28">
        <f t="shared" si="34"/>
        <v>-1.3977E-6</v>
      </c>
      <c r="AC18" s="28">
        <f t="shared" si="34"/>
        <v>6.8769000000000003E-10</v>
      </c>
      <c r="AD18" s="28">
        <f t="shared" si="34"/>
        <v>4.6411E-5</v>
      </c>
      <c r="AE18" s="28">
        <f t="shared" si="34"/>
        <v>5.2475999999999997E-5</v>
      </c>
      <c r="AF18" s="28">
        <f t="shared" si="34"/>
        <v>7.3938999999999998E-5</v>
      </c>
      <c r="AG18" s="28">
        <f t="shared" si="34"/>
        <v>1.5994000000000001E-6</v>
      </c>
      <c r="AH18" s="28">
        <f t="shared" si="34"/>
        <v>1.2303999999999999E-4</v>
      </c>
      <c r="AI18" s="29">
        <f t="shared" si="34"/>
        <v>1.3265E-4</v>
      </c>
      <c r="AK18" s="16">
        <f t="shared" si="2"/>
        <v>11.235081168831169</v>
      </c>
      <c r="AL18" s="16">
        <f t="shared" si="20"/>
        <v>2.9945501623376627</v>
      </c>
      <c r="AM18" s="16">
        <f t="shared" si="21"/>
        <v>129.2251948051948</v>
      </c>
      <c r="AN18" s="16">
        <f t="shared" si="22"/>
        <v>0.37409649350649354</v>
      </c>
      <c r="AO18" s="16">
        <f t="shared" si="23"/>
        <v>27.396313311688314</v>
      </c>
      <c r="AP18" s="16">
        <f t="shared" si="24"/>
        <v>5.0638693181818181E-3</v>
      </c>
      <c r="AQ18" s="16">
        <f t="shared" si="25"/>
        <v>1.2975368506493508</v>
      </c>
      <c r="AR18" s="16">
        <f t="shared" si="26"/>
        <v>11.046689935064936</v>
      </c>
      <c r="AS18" s="16">
        <f t="shared" si="27"/>
        <v>3.2699868506493508</v>
      </c>
      <c r="AT18" s="16">
        <f t="shared" si="28"/>
        <v>175.60943227840909</v>
      </c>
      <c r="AU18" s="16">
        <f t="shared" si="29"/>
        <v>0.56782237012987025</v>
      </c>
      <c r="AV18" s="16">
        <f t="shared" si="30"/>
        <v>11.061612012987014</v>
      </c>
      <c r="AW18" s="16">
        <f t="shared" si="31"/>
        <v>3.1769725649350651</v>
      </c>
      <c r="AX18" s="16">
        <f t="shared" si="5"/>
        <v>1.1892274350649352</v>
      </c>
      <c r="AY18" s="16">
        <f t="shared" si="6"/>
        <v>7.6668392857142855E-3</v>
      </c>
      <c r="AZ18" s="16">
        <f t="shared" si="7"/>
        <v>7.4759610389610396</v>
      </c>
      <c r="BA18" s="16">
        <f t="shared" si="8"/>
        <v>1.7304636363636365</v>
      </c>
      <c r="BB18" s="16">
        <f t="shared" si="9"/>
        <v>1.050514285714286</v>
      </c>
      <c r="BC18" s="16">
        <f t="shared" si="10"/>
        <v>4.1232810064935075E-3</v>
      </c>
      <c r="BD18" s="16">
        <f t="shared" si="11"/>
        <v>1.8454258116883118</v>
      </c>
      <c r="BE18" s="16">
        <f t="shared" si="12"/>
        <v>-8.6902451298701304E-4</v>
      </c>
      <c r="BF18" s="16">
        <f t="shared" si="13"/>
        <v>4.2757349025974029E-7</v>
      </c>
      <c r="BG18" s="16">
        <f t="shared" si="14"/>
        <v>2.8856189935064936E-2</v>
      </c>
      <c r="BH18" s="16">
        <f t="shared" si="15"/>
        <v>3.2627123376623379E-2</v>
      </c>
      <c r="BI18" s="16">
        <f t="shared" si="16"/>
        <v>4.5971813311688314E-2</v>
      </c>
      <c r="BJ18" s="16">
        <f t="shared" si="17"/>
        <v>9.9443214285714295E-4</v>
      </c>
      <c r="BK18" s="16">
        <f t="shared" si="18"/>
        <v>7.6500519480519474E-2</v>
      </c>
      <c r="BL18" s="16">
        <f t="shared" si="19"/>
        <v>8.2475568181818185E-2</v>
      </c>
    </row>
    <row r="19" spans="2:64" x14ac:dyDescent="0.25">
      <c r="B19" s="261"/>
      <c r="C19" s="260" t="str">
        <f>'Preparation and execution'!B27</f>
        <v>Conference program</v>
      </c>
      <c r="D19" s="28" t="s">
        <v>254</v>
      </c>
      <c r="E19" s="28">
        <v>147.9864125</v>
      </c>
      <c r="F19" s="28" t="s">
        <v>106</v>
      </c>
      <c r="G19" s="28" t="str">
        <f>Waste_LCIA!G13</f>
        <v>Ecoinvent v3.7.1</v>
      </c>
      <c r="H19" s="28">
        <v>1.7753000000000001</v>
      </c>
      <c r="I19" s="28">
        <v>29.658999999999999</v>
      </c>
      <c r="J19" s="28">
        <v>21.623999999999999</v>
      </c>
      <c r="K19" s="28">
        <v>4.4420000000000001E-2</v>
      </c>
      <c r="L19" s="28">
        <v>2.0592000000000001</v>
      </c>
      <c r="M19" s="28">
        <v>1.5846E-3</v>
      </c>
      <c r="N19" s="28">
        <v>1.7897E-3</v>
      </c>
      <c r="O19" s="28">
        <v>1.2532000000000001</v>
      </c>
      <c r="P19" s="28">
        <v>0.26717000000000002</v>
      </c>
      <c r="Q19" s="28">
        <f t="shared" si="1"/>
        <v>54.910364300000005</v>
      </c>
      <c r="R19" s="28">
        <v>3.1640999999999999</v>
      </c>
      <c r="S19" s="28">
        <v>1.7357</v>
      </c>
      <c r="T19" s="28">
        <v>0.53583999999999998</v>
      </c>
      <c r="U19" s="28">
        <v>3.1216000000000001E-2</v>
      </c>
      <c r="V19" s="28">
        <v>9.6701999999999997E-4</v>
      </c>
      <c r="W19" s="28">
        <v>0.75419999999999998</v>
      </c>
      <c r="X19" s="28">
        <v>0.1497</v>
      </c>
      <c r="Y19" s="28">
        <v>2.7657000000000001E-2</v>
      </c>
      <c r="Z19" s="28">
        <v>6.4493000000000005E-4</v>
      </c>
      <c r="AA19" s="28">
        <v>2.8507000000000001E-2</v>
      </c>
      <c r="AB19" s="28">
        <v>-1.2545000000000001E-4</v>
      </c>
      <c r="AC19" s="28">
        <v>9.3968999999999999E-8</v>
      </c>
      <c r="AD19" s="28">
        <v>5.4003000000000002E-3</v>
      </c>
      <c r="AE19" s="28">
        <v>6.6382000000000004E-3</v>
      </c>
      <c r="AF19" s="28">
        <v>7.8142999999999997E-3</v>
      </c>
      <c r="AG19" s="28">
        <v>3.9335999999999998E-3</v>
      </c>
      <c r="AH19" s="28">
        <v>3.4812000000000003E-2</v>
      </c>
      <c r="AI19" s="29">
        <v>3.2986000000000001E-2</v>
      </c>
      <c r="AK19" s="16">
        <f t="shared" si="2"/>
        <v>262.72027811125002</v>
      </c>
      <c r="AL19" s="16">
        <f t="shared" si="20"/>
        <v>4389.1290083374997</v>
      </c>
      <c r="AM19" s="16">
        <f t="shared" si="21"/>
        <v>3200.0581838999997</v>
      </c>
      <c r="AN19" s="16">
        <f t="shared" si="22"/>
        <v>6.5735564432500002</v>
      </c>
      <c r="AO19" s="16">
        <f t="shared" si="23"/>
        <v>304.73362062000001</v>
      </c>
      <c r="AP19" s="16">
        <f t="shared" si="24"/>
        <v>0.2344992692475</v>
      </c>
      <c r="AQ19" s="16">
        <f t="shared" si="25"/>
        <v>0.26485128245125</v>
      </c>
      <c r="AR19" s="16">
        <f t="shared" si="26"/>
        <v>185.45657214500002</v>
      </c>
      <c r="AS19" s="16">
        <f t="shared" si="27"/>
        <v>39.537529827625001</v>
      </c>
      <c r="AT19" s="16">
        <f t="shared" si="28"/>
        <v>8125.9878218250742</v>
      </c>
      <c r="AU19" s="16">
        <f t="shared" si="29"/>
        <v>468.24380779124999</v>
      </c>
      <c r="AV19" s="16">
        <f t="shared" si="30"/>
        <v>256.86001617624999</v>
      </c>
      <c r="AW19" s="16">
        <f t="shared" si="31"/>
        <v>79.297039273999999</v>
      </c>
      <c r="AX19" s="16">
        <f t="shared" si="5"/>
        <v>4.6195438525999997</v>
      </c>
      <c r="AY19" s="16">
        <f t="shared" si="6"/>
        <v>0.14310582061575</v>
      </c>
      <c r="AZ19" s="16">
        <f t="shared" si="7"/>
        <v>111.6113523075</v>
      </c>
      <c r="BA19" s="16">
        <f t="shared" si="8"/>
        <v>22.153565951249998</v>
      </c>
      <c r="BB19" s="16">
        <f t="shared" si="9"/>
        <v>4.0928602105124998</v>
      </c>
      <c r="BC19" s="16">
        <f t="shared" si="10"/>
        <v>9.5440877013625011E-2</v>
      </c>
      <c r="BD19" s="16">
        <f t="shared" si="11"/>
        <v>4.2186486611375003</v>
      </c>
      <c r="BE19" s="16">
        <f t="shared" si="12"/>
        <v>-1.8564895448125E-2</v>
      </c>
      <c r="BF19" s="16">
        <f t="shared" si="13"/>
        <v>1.39061351962125E-5</v>
      </c>
      <c r="BG19" s="16">
        <f t="shared" si="14"/>
        <v>0.79917102342375002</v>
      </c>
      <c r="BH19" s="16">
        <f t="shared" si="15"/>
        <v>0.98236340345750006</v>
      </c>
      <c r="BI19" s="16">
        <f t="shared" si="16"/>
        <v>1.1564102231987499</v>
      </c>
      <c r="BJ19" s="16">
        <f t="shared" si="17"/>
        <v>0.58211935221</v>
      </c>
      <c r="BK19" s="16">
        <f t="shared" si="18"/>
        <v>5.1517029919500006</v>
      </c>
      <c r="BL19" s="16">
        <f t="shared" si="19"/>
        <v>4.8814798027249999</v>
      </c>
    </row>
    <row r="20" spans="2:64" x14ac:dyDescent="0.25">
      <c r="B20" s="261"/>
      <c r="C20" s="260"/>
      <c r="D20" s="28" t="str">
        <f>D15</f>
        <v>operation, printer, laser, colour, per kg printed paper, RoW</v>
      </c>
      <c r="E20" s="28">
        <v>147.9864125</v>
      </c>
      <c r="F20" s="28" t="str">
        <f>F15</f>
        <v>kg</v>
      </c>
      <c r="G20" s="28" t="str">
        <f t="shared" ref="G20:AI20" si="35">G15</f>
        <v>Ecoinvent v3.7.1</v>
      </c>
      <c r="H20" s="28">
        <f t="shared" si="35"/>
        <v>2.8292000000000002</v>
      </c>
      <c r="I20" s="28">
        <f t="shared" si="35"/>
        <v>26.044</v>
      </c>
      <c r="J20" s="28">
        <f t="shared" si="35"/>
        <v>37.223999999999997</v>
      </c>
      <c r="K20" s="28">
        <f t="shared" si="35"/>
        <v>6.7375000000000004E-2</v>
      </c>
      <c r="L20" s="28">
        <f t="shared" si="35"/>
        <v>3.5585</v>
      </c>
      <c r="M20" s="28">
        <f t="shared" si="35"/>
        <v>1.8458000000000001E-3</v>
      </c>
      <c r="N20" s="28">
        <f t="shared" si="35"/>
        <v>2.0124E-2</v>
      </c>
      <c r="O20" s="28">
        <f t="shared" si="35"/>
        <v>1.9058999999999999</v>
      </c>
      <c r="P20" s="28">
        <f t="shared" si="35"/>
        <v>0.42792000000000002</v>
      </c>
      <c r="Q20" s="28">
        <f t="shared" si="1"/>
        <v>69.249664799999991</v>
      </c>
      <c r="R20" s="28">
        <f t="shared" si="35"/>
        <v>2.4539</v>
      </c>
      <c r="S20" s="28">
        <f t="shared" si="35"/>
        <v>2.7745000000000002</v>
      </c>
      <c r="T20" s="28">
        <f t="shared" si="35"/>
        <v>0.93262</v>
      </c>
      <c r="U20" s="28">
        <f t="shared" si="35"/>
        <v>5.5898999999999997E-2</v>
      </c>
      <c r="V20" s="28">
        <f t="shared" si="35"/>
        <v>1.1053E-3</v>
      </c>
      <c r="W20" s="28">
        <f t="shared" si="35"/>
        <v>0.95121999999999995</v>
      </c>
      <c r="X20" s="28">
        <f t="shared" si="35"/>
        <v>0.2407</v>
      </c>
      <c r="Y20" s="28">
        <f t="shared" si="35"/>
        <v>4.879E-2</v>
      </c>
      <c r="Z20" s="28">
        <f t="shared" si="35"/>
        <v>9.1728999999999997E-4</v>
      </c>
      <c r="AA20" s="28">
        <f t="shared" si="35"/>
        <v>5.4781999999999997E-2</v>
      </c>
      <c r="AB20" s="28">
        <f t="shared" si="35"/>
        <v>-1.6393000000000001E-4</v>
      </c>
      <c r="AC20" s="28">
        <f t="shared" si="35"/>
        <v>1.3701999999999999E-7</v>
      </c>
      <c r="AD20" s="28">
        <f t="shared" si="35"/>
        <v>7.7428000000000002E-3</v>
      </c>
      <c r="AE20" s="28">
        <f t="shared" si="35"/>
        <v>9.7249999999999993E-3</v>
      </c>
      <c r="AF20" s="28">
        <f t="shared" si="35"/>
        <v>1.2003E-2</v>
      </c>
      <c r="AG20" s="28">
        <f t="shared" si="35"/>
        <v>5.2541999999999997E-3</v>
      </c>
      <c r="AH20" s="28">
        <f t="shared" si="35"/>
        <v>3.6924999999999999E-2</v>
      </c>
      <c r="AI20" s="29">
        <f t="shared" si="35"/>
        <v>4.2930000000000003E-2</v>
      </c>
      <c r="AK20" s="16">
        <f t="shared" si="2"/>
        <v>418.68315824500002</v>
      </c>
      <c r="AL20" s="16">
        <f t="shared" si="20"/>
        <v>3854.1581271499999</v>
      </c>
      <c r="AM20" s="16">
        <f t="shared" si="21"/>
        <v>5508.6462188999994</v>
      </c>
      <c r="AN20" s="16">
        <f t="shared" si="22"/>
        <v>9.9705845421875008</v>
      </c>
      <c r="AO20" s="16">
        <f t="shared" si="23"/>
        <v>526.60964888125</v>
      </c>
      <c r="AP20" s="16">
        <f t="shared" si="24"/>
        <v>0.27315332019249999</v>
      </c>
      <c r="AQ20" s="16">
        <f t="shared" si="25"/>
        <v>2.9780785651500001</v>
      </c>
      <c r="AR20" s="16">
        <f t="shared" si="26"/>
        <v>282.04730358374997</v>
      </c>
      <c r="AS20" s="16">
        <f t="shared" si="27"/>
        <v>63.326345637000003</v>
      </c>
      <c r="AT20" s="16">
        <f t="shared" si="28"/>
        <v>10248.009460579529</v>
      </c>
      <c r="AU20" s="16">
        <f t="shared" si="29"/>
        <v>363.14385763374997</v>
      </c>
      <c r="AV20" s="16">
        <f t="shared" si="30"/>
        <v>410.58830148125003</v>
      </c>
      <c r="AW20" s="16">
        <f t="shared" si="31"/>
        <v>138.01508802575</v>
      </c>
      <c r="AX20" s="16">
        <f t="shared" si="5"/>
        <v>8.2722924723374991</v>
      </c>
      <c r="AY20" s="16">
        <f t="shared" si="6"/>
        <v>0.16356938173624999</v>
      </c>
      <c r="AZ20" s="16">
        <f t="shared" si="7"/>
        <v>140.76763529824998</v>
      </c>
      <c r="BA20" s="16">
        <f t="shared" si="8"/>
        <v>35.620329488750002</v>
      </c>
      <c r="BB20" s="16">
        <f t="shared" si="9"/>
        <v>7.2202570658749998</v>
      </c>
      <c r="BC20" s="16">
        <f t="shared" si="10"/>
        <v>0.13574645632212501</v>
      </c>
      <c r="BD20" s="16">
        <f t="shared" si="11"/>
        <v>8.106991649574999</v>
      </c>
      <c r="BE20" s="16">
        <f t="shared" si="12"/>
        <v>-2.4259412601125002E-2</v>
      </c>
      <c r="BF20" s="16">
        <f t="shared" si="13"/>
        <v>2.027709824075E-5</v>
      </c>
      <c r="BG20" s="16">
        <f t="shared" si="14"/>
        <v>1.1458291947050001</v>
      </c>
      <c r="BH20" s="16">
        <f t="shared" si="15"/>
        <v>1.4391678615624999</v>
      </c>
      <c r="BI20" s="16">
        <f t="shared" si="16"/>
        <v>1.7762809092375</v>
      </c>
      <c r="BJ20" s="16">
        <f t="shared" si="17"/>
        <v>0.7775502085574999</v>
      </c>
      <c r="BK20" s="16">
        <f t="shared" si="18"/>
        <v>5.4643982815624996</v>
      </c>
      <c r="BL20" s="16">
        <f t="shared" si="19"/>
        <v>6.3530566886250002</v>
      </c>
    </row>
    <row r="21" spans="2:64" x14ac:dyDescent="0.25">
      <c r="B21" s="261"/>
      <c r="C21" s="260" t="str">
        <f>'Preparation and execution'!B29</f>
        <v>Proceedings booklet</v>
      </c>
      <c r="D21" s="28" t="str">
        <f>D19</f>
        <v>market for paper, woodcontaining, supercalendered, RoW</v>
      </c>
      <c r="E21" s="28">
        <v>1304.9911124999999</v>
      </c>
      <c r="F21" s="28" t="str">
        <f>F19</f>
        <v>kg</v>
      </c>
      <c r="G21" s="28" t="str">
        <f t="shared" ref="G21:AI21" si="36">G19</f>
        <v>Ecoinvent v3.7.1</v>
      </c>
      <c r="H21" s="28">
        <f t="shared" si="36"/>
        <v>1.7753000000000001</v>
      </c>
      <c r="I21" s="28">
        <f t="shared" si="36"/>
        <v>29.658999999999999</v>
      </c>
      <c r="J21" s="28">
        <f t="shared" si="36"/>
        <v>21.623999999999999</v>
      </c>
      <c r="K21" s="28">
        <f t="shared" si="36"/>
        <v>4.4420000000000001E-2</v>
      </c>
      <c r="L21" s="28">
        <f t="shared" si="36"/>
        <v>2.0592000000000001</v>
      </c>
      <c r="M21" s="28">
        <f t="shared" si="36"/>
        <v>1.5846E-3</v>
      </c>
      <c r="N21" s="28">
        <f t="shared" si="36"/>
        <v>1.7897E-3</v>
      </c>
      <c r="O21" s="28">
        <f t="shared" si="36"/>
        <v>1.2532000000000001</v>
      </c>
      <c r="P21" s="28">
        <f t="shared" si="36"/>
        <v>0.26717000000000002</v>
      </c>
      <c r="Q21" s="28">
        <f t="shared" si="1"/>
        <v>54.910364300000005</v>
      </c>
      <c r="R21" s="28">
        <f t="shared" si="36"/>
        <v>3.1640999999999999</v>
      </c>
      <c r="S21" s="28">
        <f t="shared" si="36"/>
        <v>1.7357</v>
      </c>
      <c r="T21" s="28">
        <f t="shared" si="36"/>
        <v>0.53583999999999998</v>
      </c>
      <c r="U21" s="28">
        <f t="shared" si="36"/>
        <v>3.1216000000000001E-2</v>
      </c>
      <c r="V21" s="28">
        <f t="shared" si="36"/>
        <v>9.6701999999999997E-4</v>
      </c>
      <c r="W21" s="28">
        <f t="shared" si="36"/>
        <v>0.75419999999999998</v>
      </c>
      <c r="X21" s="28">
        <f t="shared" si="36"/>
        <v>0.1497</v>
      </c>
      <c r="Y21" s="28">
        <f t="shared" si="36"/>
        <v>2.7657000000000001E-2</v>
      </c>
      <c r="Z21" s="28">
        <f t="shared" si="36"/>
        <v>6.4493000000000005E-4</v>
      </c>
      <c r="AA21" s="28">
        <f t="shared" si="36"/>
        <v>2.8507000000000001E-2</v>
      </c>
      <c r="AB21" s="28">
        <f t="shared" si="36"/>
        <v>-1.2545000000000001E-4</v>
      </c>
      <c r="AC21" s="28">
        <f t="shared" si="36"/>
        <v>9.3968999999999999E-8</v>
      </c>
      <c r="AD21" s="28">
        <f t="shared" si="36"/>
        <v>5.4003000000000002E-3</v>
      </c>
      <c r="AE21" s="28">
        <f t="shared" si="36"/>
        <v>6.6382000000000004E-3</v>
      </c>
      <c r="AF21" s="28">
        <f t="shared" si="36"/>
        <v>7.8142999999999997E-3</v>
      </c>
      <c r="AG21" s="28">
        <f t="shared" si="36"/>
        <v>3.9335999999999998E-3</v>
      </c>
      <c r="AH21" s="28">
        <f t="shared" si="36"/>
        <v>3.4812000000000003E-2</v>
      </c>
      <c r="AI21" s="29">
        <f t="shared" si="36"/>
        <v>3.2986000000000001E-2</v>
      </c>
      <c r="AK21" s="16">
        <f t="shared" si="2"/>
        <v>2316.7507220212501</v>
      </c>
      <c r="AL21" s="16">
        <f t="shared" si="20"/>
        <v>38704.731405637496</v>
      </c>
      <c r="AM21" s="16">
        <f t="shared" si="21"/>
        <v>28219.127816699995</v>
      </c>
      <c r="AN21" s="16">
        <f t="shared" si="22"/>
        <v>57.967705217249993</v>
      </c>
      <c r="AO21" s="16">
        <f t="shared" si="23"/>
        <v>2687.2376988599999</v>
      </c>
      <c r="AP21" s="16">
        <f t="shared" si="24"/>
        <v>2.0678889168674996</v>
      </c>
      <c r="AQ21" s="16">
        <f t="shared" si="25"/>
        <v>2.3355425940412498</v>
      </c>
      <c r="AR21" s="16">
        <f t="shared" si="26"/>
        <v>1635.4148621849999</v>
      </c>
      <c r="AS21" s="16">
        <f t="shared" si="27"/>
        <v>348.65447552662499</v>
      </c>
      <c r="AT21" s="16">
        <f t="shared" si="28"/>
        <v>71657.537395637279</v>
      </c>
      <c r="AU21" s="16">
        <f t="shared" si="29"/>
        <v>4129.1223790612494</v>
      </c>
      <c r="AV21" s="16">
        <f t="shared" si="30"/>
        <v>2265.0730739662499</v>
      </c>
      <c r="AW21" s="16">
        <f t="shared" si="31"/>
        <v>699.26643772199986</v>
      </c>
      <c r="AX21" s="16">
        <f t="shared" si="5"/>
        <v>40.736602567799999</v>
      </c>
      <c r="AY21" s="16">
        <f t="shared" si="6"/>
        <v>1.2619525056097498</v>
      </c>
      <c r="AZ21" s="16">
        <f t="shared" si="7"/>
        <v>984.22429704749993</v>
      </c>
      <c r="BA21" s="16">
        <f t="shared" si="8"/>
        <v>195.35716954124999</v>
      </c>
      <c r="BB21" s="16">
        <f t="shared" si="9"/>
        <v>36.092139198412497</v>
      </c>
      <c r="BC21" s="16">
        <f t="shared" si="10"/>
        <v>0.84162791818462501</v>
      </c>
      <c r="BD21" s="16">
        <f t="shared" si="11"/>
        <v>37.201381644037497</v>
      </c>
      <c r="BE21" s="16">
        <f t="shared" si="12"/>
        <v>-0.16371113506312501</v>
      </c>
      <c r="BF21" s="16">
        <f t="shared" si="13"/>
        <v>1.226287098505125E-4</v>
      </c>
      <c r="BG21" s="16">
        <f t="shared" si="14"/>
        <v>7.0473435048337496</v>
      </c>
      <c r="BH21" s="16">
        <f t="shared" si="15"/>
        <v>8.6627920029974987</v>
      </c>
      <c r="BI21" s="16">
        <f t="shared" si="16"/>
        <v>10.197592050408749</v>
      </c>
      <c r="BJ21" s="16">
        <f t="shared" si="17"/>
        <v>5.1333130401299991</v>
      </c>
      <c r="BK21" s="16">
        <f t="shared" si="18"/>
        <v>45.429350608349999</v>
      </c>
      <c r="BL21" s="16">
        <f t="shared" si="19"/>
        <v>43.046436836924997</v>
      </c>
    </row>
    <row r="22" spans="2:64" x14ac:dyDescent="0.25">
      <c r="B22" s="261"/>
      <c r="C22" s="260"/>
      <c r="D22" s="28" t="str">
        <f>D20</f>
        <v>operation, printer, laser, colour, per kg printed paper, RoW</v>
      </c>
      <c r="E22" s="28">
        <v>1304.9911124999999</v>
      </c>
      <c r="F22" s="28" t="str">
        <f>F15</f>
        <v>kg</v>
      </c>
      <c r="G22" s="28" t="str">
        <f t="shared" ref="G22:AI22" si="37">G15</f>
        <v>Ecoinvent v3.7.1</v>
      </c>
      <c r="H22" s="28">
        <f t="shared" si="37"/>
        <v>2.8292000000000002</v>
      </c>
      <c r="I22" s="28">
        <f t="shared" si="37"/>
        <v>26.044</v>
      </c>
      <c r="J22" s="28">
        <f t="shared" si="37"/>
        <v>37.223999999999997</v>
      </c>
      <c r="K22" s="28">
        <f t="shared" si="37"/>
        <v>6.7375000000000004E-2</v>
      </c>
      <c r="L22" s="28">
        <f t="shared" si="37"/>
        <v>3.5585</v>
      </c>
      <c r="M22" s="28">
        <f t="shared" si="37"/>
        <v>1.8458000000000001E-3</v>
      </c>
      <c r="N22" s="28">
        <f t="shared" si="37"/>
        <v>2.0124E-2</v>
      </c>
      <c r="O22" s="28">
        <f t="shared" si="37"/>
        <v>1.9058999999999999</v>
      </c>
      <c r="P22" s="28">
        <f t="shared" si="37"/>
        <v>0.42792000000000002</v>
      </c>
      <c r="Q22" s="28">
        <f t="shared" si="1"/>
        <v>69.249664799999991</v>
      </c>
      <c r="R22" s="28">
        <f t="shared" si="37"/>
        <v>2.4539</v>
      </c>
      <c r="S22" s="28">
        <f t="shared" si="37"/>
        <v>2.7745000000000002</v>
      </c>
      <c r="T22" s="28">
        <f t="shared" si="37"/>
        <v>0.93262</v>
      </c>
      <c r="U22" s="28">
        <f t="shared" si="37"/>
        <v>5.5898999999999997E-2</v>
      </c>
      <c r="V22" s="28">
        <f t="shared" si="37"/>
        <v>1.1053E-3</v>
      </c>
      <c r="W22" s="28">
        <f t="shared" si="37"/>
        <v>0.95121999999999995</v>
      </c>
      <c r="X22" s="28">
        <f t="shared" si="37"/>
        <v>0.2407</v>
      </c>
      <c r="Y22" s="28">
        <f t="shared" si="37"/>
        <v>4.879E-2</v>
      </c>
      <c r="Z22" s="28">
        <f t="shared" si="37"/>
        <v>9.1728999999999997E-4</v>
      </c>
      <c r="AA22" s="28">
        <f t="shared" si="37"/>
        <v>5.4781999999999997E-2</v>
      </c>
      <c r="AB22" s="28">
        <f t="shared" si="37"/>
        <v>-1.6393000000000001E-4</v>
      </c>
      <c r="AC22" s="28">
        <f t="shared" si="37"/>
        <v>1.3701999999999999E-7</v>
      </c>
      <c r="AD22" s="28">
        <f t="shared" si="37"/>
        <v>7.7428000000000002E-3</v>
      </c>
      <c r="AE22" s="28">
        <f t="shared" si="37"/>
        <v>9.7249999999999993E-3</v>
      </c>
      <c r="AF22" s="28">
        <f t="shared" si="37"/>
        <v>1.2003E-2</v>
      </c>
      <c r="AG22" s="28">
        <f t="shared" si="37"/>
        <v>5.2541999999999997E-3</v>
      </c>
      <c r="AH22" s="28">
        <f t="shared" si="37"/>
        <v>3.6924999999999999E-2</v>
      </c>
      <c r="AI22" s="29">
        <f t="shared" si="37"/>
        <v>4.2930000000000003E-2</v>
      </c>
      <c r="AK22" s="16">
        <f t="shared" si="2"/>
        <v>3692.080855485</v>
      </c>
      <c r="AL22" s="16">
        <f t="shared" si="20"/>
        <v>33987.18853395</v>
      </c>
      <c r="AM22" s="16">
        <f t="shared" si="21"/>
        <v>48576.989171699992</v>
      </c>
      <c r="AN22" s="16">
        <f t="shared" si="22"/>
        <v>87.923776204687499</v>
      </c>
      <c r="AO22" s="16">
        <f t="shared" si="23"/>
        <v>4643.8108738312494</v>
      </c>
      <c r="AP22" s="16">
        <f t="shared" si="24"/>
        <v>2.4087525954525</v>
      </c>
      <c r="AQ22" s="16">
        <f t="shared" si="25"/>
        <v>26.261641147949998</v>
      </c>
      <c r="AR22" s="16">
        <f t="shared" si="26"/>
        <v>2487.1825613137498</v>
      </c>
      <c r="AS22" s="16">
        <f t="shared" si="27"/>
        <v>558.43179686099995</v>
      </c>
      <c r="AT22" s="16">
        <f t="shared" si="28"/>
        <v>90370.197107604065</v>
      </c>
      <c r="AU22" s="16">
        <f t="shared" si="29"/>
        <v>3202.3176909637496</v>
      </c>
      <c r="AV22" s="16">
        <f t="shared" si="30"/>
        <v>3620.69784163125</v>
      </c>
      <c r="AW22" s="16">
        <f t="shared" si="31"/>
        <v>1217.06081133975</v>
      </c>
      <c r="AX22" s="16">
        <f t="shared" si="5"/>
        <v>72.947698197637493</v>
      </c>
      <c r="AY22" s="16">
        <f t="shared" si="6"/>
        <v>1.44240667664625</v>
      </c>
      <c r="AZ22" s="16">
        <f t="shared" si="7"/>
        <v>1241.3336460322498</v>
      </c>
      <c r="BA22" s="16">
        <f t="shared" si="8"/>
        <v>314.11136077874994</v>
      </c>
      <c r="BB22" s="16">
        <f t="shared" si="9"/>
        <v>63.670516378874993</v>
      </c>
      <c r="BC22" s="16">
        <f t="shared" si="10"/>
        <v>1.1970552975851247</v>
      </c>
      <c r="BD22" s="16">
        <f t="shared" si="11"/>
        <v>71.490023124974996</v>
      </c>
      <c r="BE22" s="16">
        <f t="shared" si="12"/>
        <v>-0.21392719307212499</v>
      </c>
      <c r="BF22" s="16">
        <f t="shared" si="13"/>
        <v>1.7880988223474998E-4</v>
      </c>
      <c r="BG22" s="16">
        <f t="shared" si="14"/>
        <v>10.104285185864999</v>
      </c>
      <c r="BH22" s="16">
        <f t="shared" si="15"/>
        <v>12.691038569062497</v>
      </c>
      <c r="BI22" s="16">
        <f t="shared" si="16"/>
        <v>15.663808323337499</v>
      </c>
      <c r="BJ22" s="16">
        <f t="shared" si="17"/>
        <v>6.8566843032974987</v>
      </c>
      <c r="BK22" s="16">
        <f t="shared" si="18"/>
        <v>48.186796829062494</v>
      </c>
      <c r="BL22" s="16">
        <f t="shared" si="19"/>
        <v>56.023268459625001</v>
      </c>
    </row>
    <row r="23" spans="2:64" x14ac:dyDescent="0.25">
      <c r="B23" s="261"/>
      <c r="C23" s="260" t="str">
        <f>'Preparation and execution'!B31</f>
        <v>Jute bag</v>
      </c>
      <c r="D23" s="28" t="s">
        <v>255</v>
      </c>
      <c r="E23" s="28">
        <v>30.520312499999999</v>
      </c>
      <c r="F23" s="28" t="s">
        <v>106</v>
      </c>
      <c r="G23" s="28" t="str">
        <f t="shared" ref="G23:G25" si="38">G18</f>
        <v>Ecoinvent v3.7.1</v>
      </c>
      <c r="H23" s="28">
        <v>2.2885</v>
      </c>
      <c r="I23" s="28">
        <v>94.628</v>
      </c>
      <c r="J23" s="28">
        <v>26.367000000000001</v>
      </c>
      <c r="K23" s="28">
        <v>1.4883E-2</v>
      </c>
      <c r="L23" s="28">
        <v>1.2810999999999999</v>
      </c>
      <c r="M23" s="28">
        <v>7.5402999999999998E-2</v>
      </c>
      <c r="N23" s="28">
        <v>5.3589999999999999E-2</v>
      </c>
      <c r="O23" s="28">
        <v>0.67781999999999998</v>
      </c>
      <c r="P23" s="28">
        <v>0.19731000000000001</v>
      </c>
      <c r="Q23" s="28">
        <f t="shared" si="1"/>
        <v>123.29510599999999</v>
      </c>
      <c r="R23" s="28">
        <v>2.0032999999999999</v>
      </c>
      <c r="S23" s="28">
        <v>2.2254</v>
      </c>
      <c r="T23" s="28">
        <v>0.63885000000000003</v>
      </c>
      <c r="U23" s="28">
        <v>6.4198000000000005E-2</v>
      </c>
      <c r="V23" s="28">
        <v>5.5136999999999999E-3</v>
      </c>
      <c r="W23" s="28">
        <v>0.69311</v>
      </c>
      <c r="X23" s="28">
        <v>0.11967</v>
      </c>
      <c r="Y23" s="28">
        <v>5.4161000000000001E-2</v>
      </c>
      <c r="Z23" s="28">
        <v>1.6084000000000001E-2</v>
      </c>
      <c r="AA23" s="28">
        <v>5.3046000000000003E-2</v>
      </c>
      <c r="AB23" s="28">
        <v>-1.1652E-4</v>
      </c>
      <c r="AC23" s="28">
        <v>1.3927E-7</v>
      </c>
      <c r="AD23" s="28">
        <v>7.2906999999999998E-3</v>
      </c>
      <c r="AE23" s="28">
        <v>1.1916E-2</v>
      </c>
      <c r="AF23" s="28">
        <v>2.6880000000000001E-2</v>
      </c>
      <c r="AG23" s="28">
        <v>1.1068E-2</v>
      </c>
      <c r="AH23" s="28">
        <v>3.4050999999999998E-2</v>
      </c>
      <c r="AI23" s="29">
        <v>0.45628000000000002</v>
      </c>
      <c r="AK23" s="16">
        <f t="shared" si="2"/>
        <v>69.845735156250001</v>
      </c>
      <c r="AL23" s="16">
        <f t="shared" si="20"/>
        <v>2888.0761312499999</v>
      </c>
      <c r="AM23" s="16">
        <f t="shared" si="21"/>
        <v>804.72907968749996</v>
      </c>
      <c r="AN23" s="16">
        <f t="shared" si="22"/>
        <v>0.45423381093749998</v>
      </c>
      <c r="AO23" s="16">
        <f t="shared" si="23"/>
        <v>39.099572343749998</v>
      </c>
      <c r="AP23" s="16">
        <f t="shared" si="24"/>
        <v>2.3013231234374998</v>
      </c>
      <c r="AQ23" s="16">
        <f t="shared" si="25"/>
        <v>1.635583546875</v>
      </c>
      <c r="AR23" s="16">
        <f t="shared" si="26"/>
        <v>20.687278218749999</v>
      </c>
      <c r="AS23" s="16">
        <f t="shared" si="27"/>
        <v>6.0219628593749999</v>
      </c>
      <c r="AT23" s="16">
        <f t="shared" si="28"/>
        <v>3763.0051648406247</v>
      </c>
      <c r="AU23" s="16">
        <f t="shared" si="29"/>
        <v>61.141342031249991</v>
      </c>
      <c r="AV23" s="16">
        <f t="shared" si="30"/>
        <v>67.919903437499997</v>
      </c>
      <c r="AW23" s="16">
        <f t="shared" si="31"/>
        <v>19.497901640624999</v>
      </c>
      <c r="AX23" s="16">
        <f t="shared" si="5"/>
        <v>1.9593430218750001</v>
      </c>
      <c r="AY23" s="16">
        <f t="shared" si="6"/>
        <v>0.16827984703124999</v>
      </c>
      <c r="AZ23" s="16">
        <f t="shared" si="7"/>
        <v>21.153933796874998</v>
      </c>
      <c r="BA23" s="16">
        <f t="shared" si="8"/>
        <v>3.6523657968749998</v>
      </c>
      <c r="BB23" s="16">
        <f t="shared" si="9"/>
        <v>1.6530106453125</v>
      </c>
      <c r="BC23" s="16">
        <f t="shared" si="10"/>
        <v>0.49088870625000003</v>
      </c>
      <c r="BD23" s="16">
        <f t="shared" si="11"/>
        <v>1.6189804968750001</v>
      </c>
      <c r="BE23" s="16">
        <f t="shared" si="12"/>
        <v>-3.5562268125E-3</v>
      </c>
      <c r="BF23" s="16">
        <f t="shared" si="13"/>
        <v>4.2505639218749998E-6</v>
      </c>
      <c r="BG23" s="16">
        <f t="shared" si="14"/>
        <v>0.22251444234374998</v>
      </c>
      <c r="BH23" s="16">
        <f t="shared" si="15"/>
        <v>0.36368004374999996</v>
      </c>
      <c r="BI23" s="16">
        <f t="shared" si="16"/>
        <v>0.82038600000000006</v>
      </c>
      <c r="BJ23" s="16">
        <f t="shared" si="17"/>
        <v>0.33779881875000001</v>
      </c>
      <c r="BK23" s="16">
        <f t="shared" si="18"/>
        <v>1.0392471609374998</v>
      </c>
      <c r="BL23" s="16">
        <f t="shared" si="19"/>
        <v>13.925808187499999</v>
      </c>
    </row>
    <row r="24" spans="2:64" x14ac:dyDescent="0.25">
      <c r="B24" s="261"/>
      <c r="C24" s="260"/>
      <c r="D24" s="28" t="s">
        <v>256</v>
      </c>
      <c r="E24" s="28">
        <v>225.94127500000002</v>
      </c>
      <c r="F24" s="28" t="s">
        <v>218</v>
      </c>
      <c r="G24" s="28" t="str">
        <f>Waste_LCIA!G18</f>
        <v>Ecoinvent v3.7.1</v>
      </c>
      <c r="H24" s="28">
        <v>0.38016</v>
      </c>
      <c r="I24" s="28">
        <v>4.4558999999999996E-3</v>
      </c>
      <c r="J24" s="28">
        <v>5.6627999999999998</v>
      </c>
      <c r="K24" s="28">
        <v>2.5080000000000002E-4</v>
      </c>
      <c r="L24" s="28">
        <v>1.9196999999999999E-2</v>
      </c>
      <c r="M24" s="28">
        <v>1.1002000000000001E-5</v>
      </c>
      <c r="N24" s="28">
        <v>1.2878999999999999E-4</v>
      </c>
      <c r="O24" s="28">
        <v>9.5559000000000009E-3</v>
      </c>
      <c r="P24" s="28">
        <v>1.9953000000000002E-3</v>
      </c>
      <c r="Q24" s="28">
        <f t="shared" si="1"/>
        <v>5.698394691999999</v>
      </c>
      <c r="R24" s="28">
        <v>9.1737999999999997E-4</v>
      </c>
      <c r="S24" s="28">
        <v>0.37867000000000001</v>
      </c>
      <c r="T24" s="28">
        <v>0.12989999999999999</v>
      </c>
      <c r="U24" s="28">
        <v>6.6940999999999995E-4</v>
      </c>
      <c r="V24" s="28">
        <v>5.1355000000000002E-6</v>
      </c>
      <c r="W24" s="28">
        <v>4.4158999999999997E-2</v>
      </c>
      <c r="X24" s="28">
        <v>2.4163E-2</v>
      </c>
      <c r="Y24" s="28">
        <v>6.8964000000000004E-4</v>
      </c>
      <c r="Z24" s="28">
        <v>7.6124000000000005E-5</v>
      </c>
      <c r="AA24" s="28">
        <v>1.176E-3</v>
      </c>
      <c r="AB24" s="28">
        <v>-2.4428999999999999E-6</v>
      </c>
      <c r="AC24" s="28">
        <v>6.8254999999999998E-8</v>
      </c>
      <c r="AD24" s="28">
        <v>5.5294999999999997E-4</v>
      </c>
      <c r="AE24" s="28">
        <v>2.0793999999999999E-3</v>
      </c>
      <c r="AF24" s="28">
        <v>1.5200999999999999E-3</v>
      </c>
      <c r="AG24" s="28">
        <v>1.1671999999999999E-5</v>
      </c>
      <c r="AH24" s="28">
        <v>6.1618999999999997E-4</v>
      </c>
      <c r="AI24" s="29">
        <v>1.7610999999999999E-4</v>
      </c>
      <c r="AK24" s="16">
        <f t="shared" si="2"/>
        <v>85.893835104000004</v>
      </c>
      <c r="AL24" s="16">
        <f t="shared" si="20"/>
        <v>1.0067717272725001</v>
      </c>
      <c r="AM24" s="16">
        <f t="shared" si="21"/>
        <v>1279.46025207</v>
      </c>
      <c r="AN24" s="16">
        <f t="shared" si="22"/>
        <v>5.6666071770000014E-2</v>
      </c>
      <c r="AO24" s="16">
        <f t="shared" si="23"/>
        <v>4.3373946561750003</v>
      </c>
      <c r="AP24" s="16">
        <f t="shared" si="24"/>
        <v>2.4858059075500002E-3</v>
      </c>
      <c r="AQ24" s="16">
        <f t="shared" si="25"/>
        <v>2.9098976807250002E-2</v>
      </c>
      <c r="AR24" s="16">
        <f t="shared" si="26"/>
        <v>2.1590722297725002</v>
      </c>
      <c r="AS24" s="16">
        <f t="shared" si="27"/>
        <v>0.45082062600750006</v>
      </c>
      <c r="AT24" s="16">
        <f t="shared" si="28"/>
        <v>1287.5025621637121</v>
      </c>
      <c r="AU24" s="16">
        <f t="shared" si="29"/>
        <v>0.20727400685950001</v>
      </c>
      <c r="AV24" s="16">
        <f t="shared" si="30"/>
        <v>85.557182604250002</v>
      </c>
      <c r="AW24" s="16">
        <f t="shared" si="31"/>
        <v>29.3497716225</v>
      </c>
      <c r="AX24" s="16">
        <f t="shared" si="5"/>
        <v>0.15124734889774999</v>
      </c>
      <c r="AY24" s="16">
        <f t="shared" si="6"/>
        <v>1.1603214177625001E-3</v>
      </c>
      <c r="AZ24" s="16">
        <f t="shared" si="7"/>
        <v>9.9773407627249995</v>
      </c>
      <c r="BA24" s="16">
        <f t="shared" si="8"/>
        <v>5.4594190278250005</v>
      </c>
      <c r="BB24" s="16">
        <f t="shared" si="9"/>
        <v>0.15581814089100002</v>
      </c>
      <c r="BC24" s="16">
        <f t="shared" si="10"/>
        <v>1.7199553618100001E-2</v>
      </c>
      <c r="BD24" s="16">
        <f t="shared" si="11"/>
        <v>0.26570693940000001</v>
      </c>
      <c r="BE24" s="16">
        <f t="shared" si="12"/>
        <v>-5.519519406975E-4</v>
      </c>
      <c r="BF24" s="16">
        <f t="shared" si="13"/>
        <v>1.5421621725125E-5</v>
      </c>
      <c r="BG24" s="16">
        <f t="shared" si="14"/>
        <v>0.12493422801125001</v>
      </c>
      <c r="BH24" s="16">
        <f t="shared" si="15"/>
        <v>0.46982228723500002</v>
      </c>
      <c r="BI24" s="16">
        <f t="shared" si="16"/>
        <v>0.34345333212750001</v>
      </c>
      <c r="BJ24" s="16">
        <f t="shared" si="17"/>
        <v>2.6371865617999999E-3</v>
      </c>
      <c r="BK24" s="16">
        <f t="shared" si="18"/>
        <v>0.13922275424225</v>
      </c>
      <c r="BL24" s="16">
        <f t="shared" si="19"/>
        <v>3.979051794025E-2</v>
      </c>
    </row>
    <row r="25" spans="2:64" x14ac:dyDescent="0.25">
      <c r="B25" s="261"/>
      <c r="C25" s="260"/>
      <c r="D25" s="28" t="s">
        <v>217</v>
      </c>
      <c r="E25" s="28">
        <v>9.1584874999999997</v>
      </c>
      <c r="F25" s="28" t="s">
        <v>218</v>
      </c>
      <c r="G25" s="28" t="str">
        <f t="shared" si="38"/>
        <v>Ecoinvent v3.7.1</v>
      </c>
      <c r="H25" s="28">
        <v>0.13636999999999999</v>
      </c>
      <c r="I25" s="28">
        <v>6.9908000000000001E-3</v>
      </c>
      <c r="J25" s="28">
        <v>2.1494</v>
      </c>
      <c r="K25" s="28">
        <v>4.2317E-4</v>
      </c>
      <c r="L25" s="28">
        <v>2.7064999999999999E-2</v>
      </c>
      <c r="M25" s="28">
        <v>4.1281E-5</v>
      </c>
      <c r="N25" s="28">
        <v>1.0814E-4</v>
      </c>
      <c r="O25" s="28">
        <v>1.3462999999999999E-2</v>
      </c>
      <c r="P25" s="28">
        <v>3.0428E-3</v>
      </c>
      <c r="Q25" s="28">
        <f t="shared" si="1"/>
        <v>2.2005341909999996</v>
      </c>
      <c r="R25" s="28">
        <v>1.4258999999999999E-3</v>
      </c>
      <c r="S25" s="28">
        <v>0.13497999999999999</v>
      </c>
      <c r="T25" s="28">
        <v>4.9605000000000003E-2</v>
      </c>
      <c r="U25" s="28">
        <v>1.0038E-3</v>
      </c>
      <c r="V25" s="28">
        <v>1.0964999999999999E-5</v>
      </c>
      <c r="W25" s="28">
        <v>3.8466E-2</v>
      </c>
      <c r="X25" s="28">
        <v>9.5805999999999999E-3</v>
      </c>
      <c r="Y25" s="28">
        <v>1.3106000000000001E-3</v>
      </c>
      <c r="Z25" s="28">
        <v>3.1108000000000001E-5</v>
      </c>
      <c r="AA25" s="28">
        <v>2.4895999999999998E-3</v>
      </c>
      <c r="AB25" s="28">
        <v>-1.3329000000000001E-5</v>
      </c>
      <c r="AC25" s="28">
        <v>2.3712999999999999E-8</v>
      </c>
      <c r="AD25" s="28">
        <v>3.1092000000000001E-4</v>
      </c>
      <c r="AE25" s="28">
        <v>8.5815999999999996E-4</v>
      </c>
      <c r="AF25" s="28">
        <v>5.8348000000000004E-4</v>
      </c>
      <c r="AG25" s="28">
        <v>6.5215000000000005E-5</v>
      </c>
      <c r="AH25" s="28">
        <v>9.1982000000000001E-3</v>
      </c>
      <c r="AI25" s="29">
        <v>2.1341E-4</v>
      </c>
      <c r="AK25" s="16">
        <f t="shared" si="2"/>
        <v>1.2489429403749999</v>
      </c>
      <c r="AL25" s="16">
        <f t="shared" si="20"/>
        <v>6.4025154414999993E-2</v>
      </c>
      <c r="AM25" s="16">
        <f t="shared" si="21"/>
        <v>19.6852530325</v>
      </c>
      <c r="AN25" s="16">
        <f t="shared" si="22"/>
        <v>3.8755971553749999E-3</v>
      </c>
      <c r="AO25" s="16">
        <f t="shared" si="23"/>
        <v>0.24787446418749998</v>
      </c>
      <c r="AP25" s="16">
        <f t="shared" si="24"/>
        <v>3.7807152248749999E-4</v>
      </c>
      <c r="AQ25" s="16">
        <f t="shared" si="25"/>
        <v>9.9039883824999998E-4</v>
      </c>
      <c r="AR25" s="16">
        <f t="shared" si="26"/>
        <v>0.12330071721249999</v>
      </c>
      <c r="AS25" s="16">
        <f t="shared" si="27"/>
        <v>2.7867445764999998E-2</v>
      </c>
      <c r="AT25" s="16">
        <f t="shared" si="28"/>
        <v>20.153564881596107</v>
      </c>
      <c r="AU25" s="16">
        <f t="shared" si="29"/>
        <v>1.3059087326249998E-2</v>
      </c>
      <c r="AV25" s="16">
        <f t="shared" si="30"/>
        <v>1.2362126427499998</v>
      </c>
      <c r="AW25" s="16">
        <f t="shared" si="31"/>
        <v>0.45430677243750001</v>
      </c>
      <c r="AX25" s="16">
        <f t="shared" si="5"/>
        <v>9.1932897525000001E-3</v>
      </c>
      <c r="AY25" s="16">
        <f t="shared" si="6"/>
        <v>1.0042281543749999E-4</v>
      </c>
      <c r="AZ25" s="16">
        <f t="shared" si="7"/>
        <v>0.35229038017499997</v>
      </c>
      <c r="BA25" s="16">
        <f t="shared" si="8"/>
        <v>8.7743805342499995E-2</v>
      </c>
      <c r="BB25" s="16">
        <f t="shared" si="9"/>
        <v>1.20031137175E-2</v>
      </c>
      <c r="BC25" s="16">
        <f t="shared" si="10"/>
        <v>2.8490222914999999E-4</v>
      </c>
      <c r="BD25" s="16">
        <f t="shared" si="11"/>
        <v>2.2800970479999998E-2</v>
      </c>
      <c r="BE25" s="16">
        <f t="shared" si="12"/>
        <v>-1.2207347988750001E-4</v>
      </c>
      <c r="BF25" s="16">
        <f t="shared" si="13"/>
        <v>2.1717521408749998E-7</v>
      </c>
      <c r="BG25" s="16">
        <f t="shared" si="14"/>
        <v>2.8475569335000002E-3</v>
      </c>
      <c r="BH25" s="16">
        <f t="shared" si="15"/>
        <v>7.8594476329999999E-3</v>
      </c>
      <c r="BI25" s="16">
        <f t="shared" si="16"/>
        <v>5.3437942865000006E-3</v>
      </c>
      <c r="BJ25" s="16">
        <f t="shared" si="17"/>
        <v>5.9727076231250002E-4</v>
      </c>
      <c r="BK25" s="16">
        <f t="shared" si="18"/>
        <v>8.4241599722500005E-2</v>
      </c>
      <c r="BL25" s="16">
        <f t="shared" si="19"/>
        <v>1.954512817375E-3</v>
      </c>
    </row>
    <row r="26" spans="2:64" x14ac:dyDescent="0.25">
      <c r="B26" s="261" t="str">
        <f>'Preparation and execution'!H3</f>
        <v>Preparation - Permanent conference committee</v>
      </c>
      <c r="C26" s="260" t="str">
        <f>'Preparation and execution'!H5</f>
        <v>Computer usage</v>
      </c>
      <c r="D26" s="28" t="str">
        <f>'Pre &amp; Exe_LCIA'!D3</f>
        <v>market for operation, computer, laptop, 68% active work with internet access 0.2 Mbit/s, GLO</v>
      </c>
      <c r="E26" s="28">
        <v>53.620000000000005</v>
      </c>
      <c r="F26" s="28" t="str">
        <f>F3</f>
        <v>hour</v>
      </c>
      <c r="G26" s="28" t="str">
        <f t="shared" ref="G26:AI30" si="39">G3</f>
        <v>Ecoinvent v3.7.1</v>
      </c>
      <c r="H26" s="28">
        <f t="shared" si="39"/>
        <v>4.9370999999999998E-2</v>
      </c>
      <c r="I26" s="28">
        <f t="shared" si="39"/>
        <v>1.2995E-2</v>
      </c>
      <c r="J26" s="28">
        <f t="shared" si="39"/>
        <v>0.56555</v>
      </c>
      <c r="K26" s="28">
        <f t="shared" si="39"/>
        <v>1.3862E-3</v>
      </c>
      <c r="L26" s="28">
        <f t="shared" si="39"/>
        <v>9.4832E-2</v>
      </c>
      <c r="M26" s="28">
        <f t="shared" si="39"/>
        <v>2.2079E-5</v>
      </c>
      <c r="N26" s="28">
        <f t="shared" si="39"/>
        <v>3.1329000000000001E-3</v>
      </c>
      <c r="O26" s="28">
        <f t="shared" si="39"/>
        <v>4.4974E-2</v>
      </c>
      <c r="P26" s="28">
        <f t="shared" si="39"/>
        <v>1.0761E-2</v>
      </c>
      <c r="Q26" s="28">
        <f t="shared" si="1"/>
        <v>0.73365317899999993</v>
      </c>
      <c r="R26" s="28">
        <f t="shared" si="39"/>
        <v>2.6530999999999998E-3</v>
      </c>
      <c r="S26" s="28">
        <f t="shared" si="39"/>
        <v>4.8544999999999998E-2</v>
      </c>
      <c r="T26" s="28">
        <f t="shared" si="39"/>
        <v>1.3953E-2</v>
      </c>
      <c r="U26" s="28">
        <f t="shared" si="39"/>
        <v>7.8344E-3</v>
      </c>
      <c r="V26" s="28">
        <f t="shared" si="39"/>
        <v>3.8828000000000002E-5</v>
      </c>
      <c r="W26" s="28">
        <f t="shared" si="39"/>
        <v>4.3507999999999998E-2</v>
      </c>
      <c r="X26" s="28">
        <f t="shared" si="39"/>
        <v>6.1752999999999999E-3</v>
      </c>
      <c r="Y26" s="28">
        <f t="shared" si="39"/>
        <v>6.9353000000000001E-3</v>
      </c>
      <c r="Z26" s="28">
        <f t="shared" si="39"/>
        <v>2.3371E-5</v>
      </c>
      <c r="AA26" s="28">
        <f t="shared" si="39"/>
        <v>1.423E-2</v>
      </c>
      <c r="AB26" s="28">
        <f t="shared" si="39"/>
        <v>-4.7657E-6</v>
      </c>
      <c r="AC26" s="28">
        <f t="shared" si="39"/>
        <v>2.3464000000000001E-9</v>
      </c>
      <c r="AD26" s="28">
        <f t="shared" si="39"/>
        <v>1.3376999999999999E-4</v>
      </c>
      <c r="AE26" s="28">
        <f t="shared" si="39"/>
        <v>1.5634000000000001E-4</v>
      </c>
      <c r="AF26" s="28">
        <f t="shared" si="39"/>
        <v>2.1008999999999999E-4</v>
      </c>
      <c r="AG26" s="28">
        <f t="shared" si="39"/>
        <v>6.2122999999999998E-6</v>
      </c>
      <c r="AH26" s="28">
        <f t="shared" si="39"/>
        <v>3.9498000000000002E-4</v>
      </c>
      <c r="AI26" s="29">
        <f t="shared" si="39"/>
        <v>3.8084000000000002E-4</v>
      </c>
      <c r="AK26" s="16">
        <f t="shared" si="2"/>
        <v>2.6472730200000001</v>
      </c>
      <c r="AL26" s="16">
        <f t="shared" si="20"/>
        <v>0.69679190000000002</v>
      </c>
      <c r="AM26" s="16">
        <f t="shared" si="21"/>
        <v>30.324791000000001</v>
      </c>
      <c r="AN26" s="16">
        <f t="shared" si="22"/>
        <v>7.432804400000001E-2</v>
      </c>
      <c r="AO26" s="16">
        <f t="shared" si="23"/>
        <v>5.0848918400000001</v>
      </c>
      <c r="AP26" s="16">
        <f t="shared" si="24"/>
        <v>1.18387598E-3</v>
      </c>
      <c r="AQ26" s="16">
        <f t="shared" si="25"/>
        <v>0.16798609800000003</v>
      </c>
      <c r="AR26" s="16">
        <f t="shared" si="26"/>
        <v>2.41150588</v>
      </c>
      <c r="AS26" s="16">
        <f t="shared" si="27"/>
        <v>0.57700482000000008</v>
      </c>
      <c r="AT26" s="16">
        <f t="shared" si="28"/>
        <v>39.338483457979997</v>
      </c>
      <c r="AU26" s="16">
        <f t="shared" si="29"/>
        <v>0.14225922199999999</v>
      </c>
      <c r="AV26" s="16">
        <f t="shared" si="30"/>
        <v>2.6029829000000002</v>
      </c>
      <c r="AW26" s="16">
        <f t="shared" si="31"/>
        <v>0.74815986000000012</v>
      </c>
      <c r="AX26" s="16">
        <f t="shared" si="5"/>
        <v>0.42008052800000006</v>
      </c>
      <c r="AY26" s="16">
        <f t="shared" si="6"/>
        <v>2.0819573600000005E-3</v>
      </c>
      <c r="AZ26" s="16">
        <f t="shared" si="7"/>
        <v>2.3328989600000001</v>
      </c>
      <c r="BA26" s="16">
        <f t="shared" si="8"/>
        <v>0.33111958600000002</v>
      </c>
      <c r="BB26" s="16">
        <f t="shared" si="9"/>
        <v>0.37187078600000006</v>
      </c>
      <c r="BC26" s="16">
        <f t="shared" si="10"/>
        <v>1.25315302E-3</v>
      </c>
      <c r="BD26" s="16">
        <f t="shared" si="11"/>
        <v>0.76301260000000004</v>
      </c>
      <c r="BE26" s="16">
        <f t="shared" si="12"/>
        <v>-2.5553683400000003E-4</v>
      </c>
      <c r="BF26" s="16">
        <f t="shared" si="13"/>
        <v>1.2581396800000001E-7</v>
      </c>
      <c r="BG26" s="16">
        <f t="shared" si="14"/>
        <v>7.1727474000000003E-3</v>
      </c>
      <c r="BH26" s="16">
        <f t="shared" si="15"/>
        <v>8.3829508000000021E-3</v>
      </c>
      <c r="BI26" s="16">
        <f t="shared" si="16"/>
        <v>1.12650258E-2</v>
      </c>
      <c r="BJ26" s="16">
        <f t="shared" si="17"/>
        <v>3.3310352600000002E-4</v>
      </c>
      <c r="BK26" s="16">
        <f t="shared" si="18"/>
        <v>2.1178827600000002E-2</v>
      </c>
      <c r="BL26" s="16">
        <f t="shared" si="19"/>
        <v>2.0420640800000004E-2</v>
      </c>
    </row>
    <row r="27" spans="2:64" x14ac:dyDescent="0.25">
      <c r="B27" s="261"/>
      <c r="C27" s="260"/>
      <c r="D27" s="28" t="str">
        <f>'Pre &amp; Exe_LCIA'!D4</f>
        <v>market for operation, computer, laptop, 23% active work, GLO</v>
      </c>
      <c r="E27" s="28">
        <v>53.620000000000005</v>
      </c>
      <c r="F27" s="28" t="str">
        <f t="shared" ref="F27:U30" si="40">F4</f>
        <v>hour</v>
      </c>
      <c r="G27" s="28" t="str">
        <f t="shared" si="40"/>
        <v>Ecoinvent v3.7.1</v>
      </c>
      <c r="H27" s="28">
        <f t="shared" si="40"/>
        <v>8.3865999999999993E-3</v>
      </c>
      <c r="I27" s="28">
        <f t="shared" si="40"/>
        <v>2.5966000000000001E-3</v>
      </c>
      <c r="J27" s="28">
        <f t="shared" si="40"/>
        <v>9.5912999999999998E-2</v>
      </c>
      <c r="K27" s="28">
        <f t="shared" si="40"/>
        <v>2.5368999999999999E-4</v>
      </c>
      <c r="L27" s="28">
        <f t="shared" si="40"/>
        <v>2.2141999999999998E-2</v>
      </c>
      <c r="M27" s="28">
        <f t="shared" si="40"/>
        <v>3.3656999999999998E-6</v>
      </c>
      <c r="N27" s="28">
        <f t="shared" si="40"/>
        <v>8.1296999999999999E-4</v>
      </c>
      <c r="O27" s="28">
        <f t="shared" si="40"/>
        <v>8.0608999999999993E-3</v>
      </c>
      <c r="P27" s="28">
        <f t="shared" si="40"/>
        <v>2.5520999999999999E-3</v>
      </c>
      <c r="Q27" s="28">
        <f t="shared" si="1"/>
        <v>0.13233462569999999</v>
      </c>
      <c r="R27" s="28">
        <f t="shared" si="40"/>
        <v>5.0920999999999996E-4</v>
      </c>
      <c r="S27" s="28">
        <f t="shared" si="40"/>
        <v>8.2448999999999995E-3</v>
      </c>
      <c r="T27" s="28">
        <f t="shared" si="40"/>
        <v>2.3643000000000002E-3</v>
      </c>
      <c r="U27" s="28">
        <f t="shared" si="40"/>
        <v>1.5342999999999999E-3</v>
      </c>
      <c r="V27" s="28">
        <f t="shared" si="39"/>
        <v>7.4663E-6</v>
      </c>
      <c r="W27" s="28">
        <f t="shared" si="39"/>
        <v>8.4353999999999991E-3</v>
      </c>
      <c r="X27" s="28">
        <f t="shared" si="39"/>
        <v>1.3778E-3</v>
      </c>
      <c r="Y27" s="28">
        <f t="shared" si="39"/>
        <v>1.3594E-3</v>
      </c>
      <c r="Z27" s="28">
        <f t="shared" si="39"/>
        <v>4.5915E-6</v>
      </c>
      <c r="AA27" s="28">
        <f t="shared" si="39"/>
        <v>2.8111E-3</v>
      </c>
      <c r="AB27" s="28">
        <f t="shared" si="39"/>
        <v>-8.6942000000000001E-7</v>
      </c>
      <c r="AC27" s="28">
        <f t="shared" si="39"/>
        <v>4.4128999999999998E-10</v>
      </c>
      <c r="AD27" s="28">
        <f t="shared" si="39"/>
        <v>2.2076999999999999E-5</v>
      </c>
      <c r="AE27" s="28">
        <f t="shared" si="39"/>
        <v>2.7239000000000001E-5</v>
      </c>
      <c r="AF27" s="28">
        <f t="shared" si="39"/>
        <v>3.6588999999999998E-5</v>
      </c>
      <c r="AG27" s="28">
        <f t="shared" si="39"/>
        <v>1.2160000000000001E-6</v>
      </c>
      <c r="AH27" s="28">
        <f t="shared" si="39"/>
        <v>7.2513000000000002E-5</v>
      </c>
      <c r="AI27" s="29">
        <f t="shared" si="39"/>
        <v>7.2601999999999994E-5</v>
      </c>
      <c r="AK27" s="16">
        <f t="shared" si="2"/>
        <v>0.44968949200000002</v>
      </c>
      <c r="AL27" s="16">
        <f t="shared" si="20"/>
        <v>0.13922969200000002</v>
      </c>
      <c r="AM27" s="16">
        <f t="shared" si="21"/>
        <v>5.1428550600000005</v>
      </c>
      <c r="AN27" s="16">
        <f t="shared" si="22"/>
        <v>1.3602857800000001E-2</v>
      </c>
      <c r="AO27" s="16">
        <f t="shared" si="23"/>
        <v>1.18725404</v>
      </c>
      <c r="AP27" s="16">
        <f t="shared" si="24"/>
        <v>1.8046883400000001E-4</v>
      </c>
      <c r="AQ27" s="16">
        <f t="shared" si="25"/>
        <v>4.3591451400000002E-2</v>
      </c>
      <c r="AR27" s="16">
        <f t="shared" si="26"/>
        <v>0.43222545800000001</v>
      </c>
      <c r="AS27" s="16">
        <f t="shared" si="27"/>
        <v>0.13684360200000001</v>
      </c>
      <c r="AT27" s="16">
        <f t="shared" si="28"/>
        <v>7.0957826300339999</v>
      </c>
      <c r="AU27" s="16">
        <f t="shared" si="29"/>
        <v>2.7303840199999999E-2</v>
      </c>
      <c r="AV27" s="16">
        <f t="shared" si="30"/>
        <v>0.44209153800000001</v>
      </c>
      <c r="AW27" s="16">
        <f t="shared" si="31"/>
        <v>0.12677376600000001</v>
      </c>
      <c r="AX27" s="16">
        <f t="shared" si="5"/>
        <v>8.2269166000000005E-2</v>
      </c>
      <c r="AY27" s="16">
        <f t="shared" si="6"/>
        <v>4.0034300600000003E-4</v>
      </c>
      <c r="AZ27" s="16">
        <f t="shared" si="7"/>
        <v>0.45230614800000002</v>
      </c>
      <c r="BA27" s="16">
        <f t="shared" si="8"/>
        <v>7.387763600000001E-2</v>
      </c>
      <c r="BB27" s="16">
        <f t="shared" si="9"/>
        <v>7.289102800000001E-2</v>
      </c>
      <c r="BC27" s="16">
        <f t="shared" si="10"/>
        <v>2.4619623000000002E-4</v>
      </c>
      <c r="BD27" s="16">
        <f t="shared" si="11"/>
        <v>0.15073118200000002</v>
      </c>
      <c r="BE27" s="16">
        <f t="shared" si="12"/>
        <v>-4.6618300400000007E-5</v>
      </c>
      <c r="BF27" s="16">
        <f t="shared" si="13"/>
        <v>2.3661969800000001E-8</v>
      </c>
      <c r="BG27" s="16">
        <f t="shared" si="14"/>
        <v>1.1837687400000001E-3</v>
      </c>
      <c r="BH27" s="16">
        <f t="shared" si="15"/>
        <v>1.4605551800000002E-3</v>
      </c>
      <c r="BI27" s="16">
        <f t="shared" si="16"/>
        <v>1.9619021799999999E-3</v>
      </c>
      <c r="BJ27" s="16">
        <f t="shared" si="17"/>
        <v>6.5201920000000012E-5</v>
      </c>
      <c r="BK27" s="16">
        <f t="shared" si="18"/>
        <v>3.8881470600000004E-3</v>
      </c>
      <c r="BL27" s="16">
        <f t="shared" si="19"/>
        <v>3.8929192399999998E-3</v>
      </c>
    </row>
    <row r="28" spans="2:64" x14ac:dyDescent="0.25">
      <c r="B28" s="261"/>
      <c r="C28" s="260"/>
      <c r="D28" s="28" t="str">
        <f>'Pre &amp; Exe_LCIA'!D5</f>
        <v>market for operation, computer, laptop, standby/sleep mode, GLO</v>
      </c>
      <c r="E28" s="28">
        <v>53.620000000000005</v>
      </c>
      <c r="F28" s="28" t="str">
        <f t="shared" si="40"/>
        <v>hour</v>
      </c>
      <c r="G28" s="28" t="str">
        <f t="shared" si="39"/>
        <v>Ecoinvent v3.7.1</v>
      </c>
      <c r="H28" s="28">
        <f t="shared" si="39"/>
        <v>7.6521999999999996E-3</v>
      </c>
      <c r="I28" s="28">
        <f t="shared" si="39"/>
        <v>2.2372E-3</v>
      </c>
      <c r="J28" s="28">
        <f t="shared" si="39"/>
        <v>8.6920999999999998E-2</v>
      </c>
      <c r="K28" s="28">
        <f t="shared" si="39"/>
        <v>2.1044E-4</v>
      </c>
      <c r="L28" s="28">
        <f t="shared" si="39"/>
        <v>1.5657999999999998E-2</v>
      </c>
      <c r="M28" s="28">
        <f t="shared" si="39"/>
        <v>3.2731000000000001E-6</v>
      </c>
      <c r="N28" s="28">
        <f t="shared" si="39"/>
        <v>4.7017000000000001E-4</v>
      </c>
      <c r="O28" s="28">
        <f t="shared" si="39"/>
        <v>6.7745000000000001E-3</v>
      </c>
      <c r="P28" s="28">
        <f t="shared" si="39"/>
        <v>1.8251000000000001E-3</v>
      </c>
      <c r="Q28" s="28">
        <f t="shared" si="1"/>
        <v>0.11409968310000002</v>
      </c>
      <c r="R28" s="28">
        <f t="shared" si="39"/>
        <v>4.5420999999999998E-4</v>
      </c>
      <c r="S28" s="28">
        <f t="shared" si="39"/>
        <v>7.5179000000000001E-3</v>
      </c>
      <c r="T28" s="28">
        <f t="shared" si="39"/>
        <v>2.1410000000000001E-3</v>
      </c>
      <c r="U28" s="28">
        <f t="shared" si="39"/>
        <v>1.4855999999999999E-3</v>
      </c>
      <c r="V28" s="28">
        <f t="shared" si="39"/>
        <v>6.7719999999999997E-6</v>
      </c>
      <c r="W28" s="28">
        <f t="shared" si="39"/>
        <v>7.9641999999999994E-3</v>
      </c>
      <c r="X28" s="28">
        <f t="shared" si="39"/>
        <v>9.9999000000000008E-4</v>
      </c>
      <c r="Y28" s="28">
        <f t="shared" si="39"/>
        <v>1.3165E-3</v>
      </c>
      <c r="Z28" s="28">
        <f t="shared" si="39"/>
        <v>4.3646999999999999E-6</v>
      </c>
      <c r="AA28" s="28">
        <f t="shared" si="39"/>
        <v>2.7896000000000002E-3</v>
      </c>
      <c r="AB28" s="28">
        <f t="shared" si="39"/>
        <v>-8.2024000000000004E-7</v>
      </c>
      <c r="AC28" s="28">
        <f t="shared" si="39"/>
        <v>4.1125999999999998E-10</v>
      </c>
      <c r="AD28" s="28">
        <f t="shared" si="39"/>
        <v>2.0843E-5</v>
      </c>
      <c r="AE28" s="28">
        <f t="shared" si="39"/>
        <v>2.5531E-5</v>
      </c>
      <c r="AF28" s="28">
        <f t="shared" si="39"/>
        <v>3.3544000000000003E-5</v>
      </c>
      <c r="AG28" s="28">
        <f t="shared" si="39"/>
        <v>1.1818000000000001E-6</v>
      </c>
      <c r="AH28" s="28">
        <f t="shared" si="39"/>
        <v>6.8300000000000007E-5</v>
      </c>
      <c r="AI28" s="29">
        <f t="shared" si="39"/>
        <v>6.3540000000000005E-5</v>
      </c>
      <c r="AK28" s="16">
        <f t="shared" si="2"/>
        <v>0.410310964</v>
      </c>
      <c r="AL28" s="16">
        <f t="shared" si="20"/>
        <v>0.11995866400000001</v>
      </c>
      <c r="AM28" s="16">
        <f t="shared" si="21"/>
        <v>4.6607040200000007</v>
      </c>
      <c r="AN28" s="16">
        <f t="shared" si="22"/>
        <v>1.1283792800000001E-2</v>
      </c>
      <c r="AO28" s="16">
        <f t="shared" si="23"/>
        <v>0.83958195999999996</v>
      </c>
      <c r="AP28" s="16">
        <f t="shared" si="24"/>
        <v>1.7550362200000001E-4</v>
      </c>
      <c r="AQ28" s="16">
        <f t="shared" si="25"/>
        <v>2.5210515400000001E-2</v>
      </c>
      <c r="AR28" s="16">
        <f t="shared" si="26"/>
        <v>0.36324869000000004</v>
      </c>
      <c r="AS28" s="16">
        <f t="shared" si="27"/>
        <v>9.7861862000000008E-2</v>
      </c>
      <c r="AT28" s="16">
        <f t="shared" si="28"/>
        <v>6.1180250078220011</v>
      </c>
      <c r="AU28" s="16">
        <f t="shared" si="29"/>
        <v>2.4354740200000002E-2</v>
      </c>
      <c r="AV28" s="16">
        <f t="shared" si="30"/>
        <v>0.40310979800000002</v>
      </c>
      <c r="AW28" s="16">
        <f t="shared" si="31"/>
        <v>0.11480042000000001</v>
      </c>
      <c r="AX28" s="16">
        <f t="shared" si="5"/>
        <v>7.9657872000000005E-2</v>
      </c>
      <c r="AY28" s="16">
        <f t="shared" si="6"/>
        <v>3.6311464000000004E-4</v>
      </c>
      <c r="AZ28" s="16">
        <f t="shared" si="7"/>
        <v>0.42704040399999998</v>
      </c>
      <c r="BA28" s="16">
        <f t="shared" si="8"/>
        <v>5.361946380000001E-2</v>
      </c>
      <c r="BB28" s="16">
        <f t="shared" si="9"/>
        <v>7.0590730000000004E-2</v>
      </c>
      <c r="BC28" s="16">
        <f t="shared" si="10"/>
        <v>2.3403521400000002E-4</v>
      </c>
      <c r="BD28" s="16">
        <f t="shared" si="11"/>
        <v>0.14957835200000003</v>
      </c>
      <c r="BE28" s="16">
        <f t="shared" si="12"/>
        <v>-4.3981268800000004E-5</v>
      </c>
      <c r="BF28" s="16">
        <f t="shared" si="13"/>
        <v>2.2051761200000001E-8</v>
      </c>
      <c r="BG28" s="16">
        <f t="shared" si="14"/>
        <v>1.1176016600000001E-3</v>
      </c>
      <c r="BH28" s="16">
        <f t="shared" si="15"/>
        <v>1.3689722200000002E-3</v>
      </c>
      <c r="BI28" s="16">
        <f t="shared" si="16"/>
        <v>1.7986292800000003E-3</v>
      </c>
      <c r="BJ28" s="16">
        <f t="shared" si="17"/>
        <v>6.3368116000000004E-5</v>
      </c>
      <c r="BK28" s="16">
        <f t="shared" si="18"/>
        <v>3.6622460000000005E-3</v>
      </c>
      <c r="BL28" s="16">
        <f t="shared" si="19"/>
        <v>3.4070148000000006E-3</v>
      </c>
    </row>
    <row r="29" spans="2:64" x14ac:dyDescent="0.25">
      <c r="B29" s="261"/>
      <c r="C29" s="260" t="str">
        <f>'Preparation and execution'!H8</f>
        <v>Printed matter</v>
      </c>
      <c r="D29" s="28" t="str">
        <f>'Pre &amp; Exe_LCIA'!D6</f>
        <v>market for graphic paper, 100% recycled, GLO</v>
      </c>
      <c r="E29" s="28">
        <v>0.50268750000000006</v>
      </c>
      <c r="F29" s="28" t="str">
        <f t="shared" si="40"/>
        <v>kg</v>
      </c>
      <c r="G29" s="28" t="str">
        <f t="shared" si="39"/>
        <v>Ecoinvent v3.7.1</v>
      </c>
      <c r="H29" s="28">
        <f t="shared" si="39"/>
        <v>1.0365</v>
      </c>
      <c r="I29" s="28">
        <f t="shared" si="39"/>
        <v>7.625</v>
      </c>
      <c r="J29" s="28">
        <f t="shared" si="39"/>
        <v>12.349</v>
      </c>
      <c r="K29" s="28">
        <f t="shared" si="39"/>
        <v>2.7465E-2</v>
      </c>
      <c r="L29" s="28">
        <f t="shared" si="39"/>
        <v>2.1032000000000002</v>
      </c>
      <c r="M29" s="28">
        <f t="shared" si="39"/>
        <v>5.3956999999999996E-4</v>
      </c>
      <c r="N29" s="28">
        <f t="shared" si="39"/>
        <v>5.9026E-4</v>
      </c>
      <c r="O29" s="28">
        <f t="shared" si="39"/>
        <v>0.79327999999999999</v>
      </c>
      <c r="P29" s="28">
        <f t="shared" si="39"/>
        <v>0.24218000000000001</v>
      </c>
      <c r="Q29" s="28">
        <f t="shared" si="1"/>
        <v>23.141254830000001</v>
      </c>
      <c r="R29" s="28">
        <f t="shared" si="39"/>
        <v>0.91071000000000002</v>
      </c>
      <c r="S29" s="28">
        <f t="shared" si="39"/>
        <v>1.0184</v>
      </c>
      <c r="T29" s="28">
        <f t="shared" si="39"/>
        <v>0.30756</v>
      </c>
      <c r="U29" s="28">
        <f t="shared" si="39"/>
        <v>1.9667E-2</v>
      </c>
      <c r="V29" s="28">
        <f t="shared" si="39"/>
        <v>4.8212999999999999E-4</v>
      </c>
      <c r="W29" s="28">
        <f t="shared" si="39"/>
        <v>0.4113</v>
      </c>
      <c r="X29" s="28">
        <f t="shared" si="39"/>
        <v>0.13189999999999999</v>
      </c>
      <c r="Y29" s="28">
        <f t="shared" si="39"/>
        <v>1.6858000000000001E-2</v>
      </c>
      <c r="Z29" s="28">
        <f t="shared" si="39"/>
        <v>1.9128000000000001E-3</v>
      </c>
      <c r="AA29" s="28">
        <f t="shared" si="39"/>
        <v>1.4747E-2</v>
      </c>
      <c r="AB29" s="28">
        <f t="shared" si="39"/>
        <v>-5.1042999999999999E-5</v>
      </c>
      <c r="AC29" s="28">
        <f t="shared" si="39"/>
        <v>5.9221999999999999E-8</v>
      </c>
      <c r="AD29" s="28">
        <f t="shared" si="39"/>
        <v>2.4834000000000002E-3</v>
      </c>
      <c r="AE29" s="28">
        <f t="shared" si="39"/>
        <v>3.5241000000000001E-3</v>
      </c>
      <c r="AF29" s="28">
        <f t="shared" si="39"/>
        <v>4.9585000000000002E-3</v>
      </c>
      <c r="AG29" s="28">
        <f t="shared" si="39"/>
        <v>1.6975000000000001E-2</v>
      </c>
      <c r="AH29" s="28">
        <f t="shared" si="39"/>
        <v>9.9515999999999997E-3</v>
      </c>
      <c r="AI29" s="29">
        <f t="shared" si="39"/>
        <v>2.3914999999999999E-2</v>
      </c>
      <c r="AK29" s="16">
        <f t="shared" si="2"/>
        <v>0.52103559375000008</v>
      </c>
      <c r="AL29" s="16">
        <f t="shared" si="20"/>
        <v>3.8329921875000004</v>
      </c>
      <c r="AM29" s="16">
        <f t="shared" si="21"/>
        <v>6.2076879375000011</v>
      </c>
      <c r="AN29" s="16">
        <f t="shared" si="22"/>
        <v>1.3806312187500001E-2</v>
      </c>
      <c r="AO29" s="16">
        <f t="shared" si="23"/>
        <v>1.0572523500000002</v>
      </c>
      <c r="AP29" s="16">
        <f t="shared" si="24"/>
        <v>2.7123509437499999E-4</v>
      </c>
      <c r="AQ29" s="16">
        <f t="shared" si="25"/>
        <v>2.9671632375000004E-4</v>
      </c>
      <c r="AR29" s="16">
        <f t="shared" si="26"/>
        <v>0.39877194000000005</v>
      </c>
      <c r="AS29" s="16">
        <f t="shared" si="27"/>
        <v>0.12174085875000001</v>
      </c>
      <c r="AT29" s="16">
        <f t="shared" si="28"/>
        <v>11.632819537355626</v>
      </c>
      <c r="AU29" s="16">
        <f t="shared" si="29"/>
        <v>0.45780253312500008</v>
      </c>
      <c r="AV29" s="16">
        <f t="shared" si="30"/>
        <v>0.51193695000000006</v>
      </c>
      <c r="AW29" s="16">
        <f t="shared" si="31"/>
        <v>0.15460656750000001</v>
      </c>
      <c r="AX29" s="16">
        <f t="shared" si="5"/>
        <v>9.8863550625000012E-3</v>
      </c>
      <c r="AY29" s="16">
        <f t="shared" si="6"/>
        <v>2.4236072437500004E-4</v>
      </c>
      <c r="AZ29" s="16">
        <f t="shared" si="7"/>
        <v>0.20675536875000003</v>
      </c>
      <c r="BA29" s="16">
        <f t="shared" si="8"/>
        <v>6.6304481250000005E-2</v>
      </c>
      <c r="BB29" s="16">
        <f t="shared" si="9"/>
        <v>8.474305875000001E-3</v>
      </c>
      <c r="BC29" s="16">
        <f t="shared" si="10"/>
        <v>9.6154065000000021E-4</v>
      </c>
      <c r="BD29" s="16">
        <f t="shared" si="11"/>
        <v>7.4131325625000008E-3</v>
      </c>
      <c r="BE29" s="16">
        <f t="shared" si="12"/>
        <v>-2.5658678062500002E-5</v>
      </c>
      <c r="BF29" s="16">
        <f t="shared" si="13"/>
        <v>2.9770159125000003E-8</v>
      </c>
      <c r="BG29" s="16">
        <f t="shared" si="14"/>
        <v>1.2483741375000003E-3</v>
      </c>
      <c r="BH29" s="16">
        <f t="shared" si="15"/>
        <v>1.7715210187500003E-3</v>
      </c>
      <c r="BI29" s="16">
        <f t="shared" si="16"/>
        <v>2.4925759687500003E-3</v>
      </c>
      <c r="BJ29" s="16">
        <f t="shared" si="17"/>
        <v>8.5331203125000015E-3</v>
      </c>
      <c r="BK29" s="16">
        <f t="shared" si="18"/>
        <v>5.0025449250000005E-3</v>
      </c>
      <c r="BL29" s="16">
        <f t="shared" si="19"/>
        <v>1.20217715625E-2</v>
      </c>
    </row>
    <row r="30" spans="2:64" x14ac:dyDescent="0.25">
      <c r="B30" s="261"/>
      <c r="C30" s="260"/>
      <c r="D30" s="28" t="str">
        <f>'Pre &amp; Exe_LCIA'!D7</f>
        <v>operation, printer, laser, black/white, per kg printed paper, RoW</v>
      </c>
      <c r="E30" s="28">
        <v>0.50268750000000006</v>
      </c>
      <c r="F30" s="28" t="str">
        <f t="shared" si="40"/>
        <v>kg</v>
      </c>
      <c r="G30" s="28" t="str">
        <f t="shared" si="39"/>
        <v>Ecoinvent v3.7.1</v>
      </c>
      <c r="H30" s="28">
        <f t="shared" si="39"/>
        <v>2.6930000000000001</v>
      </c>
      <c r="I30" s="28">
        <f t="shared" si="39"/>
        <v>26.016999999999999</v>
      </c>
      <c r="J30" s="28">
        <f t="shared" si="39"/>
        <v>35.506</v>
      </c>
      <c r="K30" s="28">
        <f t="shared" si="39"/>
        <v>6.2839000000000006E-2</v>
      </c>
      <c r="L30" s="28">
        <f t="shared" si="39"/>
        <v>3.3593000000000002</v>
      </c>
      <c r="M30" s="28">
        <f t="shared" si="39"/>
        <v>1.7714E-3</v>
      </c>
      <c r="N30" s="28">
        <f t="shared" si="39"/>
        <v>7.8168000000000005E-3</v>
      </c>
      <c r="O30" s="28">
        <f t="shared" si="39"/>
        <v>1.7813000000000001</v>
      </c>
      <c r="P30" s="28">
        <f t="shared" si="39"/>
        <v>0.40205999999999997</v>
      </c>
      <c r="Q30" s="28">
        <f t="shared" si="1"/>
        <v>67.138087200000001</v>
      </c>
      <c r="R30" s="28">
        <f t="shared" si="39"/>
        <v>2.4487999999999999</v>
      </c>
      <c r="S30" s="28">
        <f t="shared" si="39"/>
        <v>2.6402000000000001</v>
      </c>
      <c r="T30" s="28">
        <f t="shared" si="39"/>
        <v>0.89026000000000005</v>
      </c>
      <c r="U30" s="28">
        <f t="shared" si="39"/>
        <v>5.1325000000000003E-2</v>
      </c>
      <c r="V30" s="28">
        <f t="shared" si="39"/>
        <v>1.0437999999999999E-3</v>
      </c>
      <c r="W30" s="28">
        <f t="shared" si="39"/>
        <v>0.90612999999999999</v>
      </c>
      <c r="X30" s="28">
        <f t="shared" si="39"/>
        <v>0.22747999999999999</v>
      </c>
      <c r="Y30" s="28">
        <f t="shared" si="39"/>
        <v>4.471E-2</v>
      </c>
      <c r="Z30" s="28">
        <f t="shared" si="39"/>
        <v>8.9656000000000002E-4</v>
      </c>
      <c r="AA30" s="28">
        <f t="shared" si="39"/>
        <v>5.2897E-2</v>
      </c>
      <c r="AB30" s="28">
        <f t="shared" si="39"/>
        <v>-1.5668999999999999E-4</v>
      </c>
      <c r="AC30" s="28">
        <f t="shared" si="39"/>
        <v>1.3479E-7</v>
      </c>
      <c r="AD30" s="28">
        <f t="shared" si="39"/>
        <v>7.3866000000000001E-3</v>
      </c>
      <c r="AE30" s="28">
        <f t="shared" si="39"/>
        <v>9.3407000000000004E-3</v>
      </c>
      <c r="AF30" s="28">
        <f t="shared" si="39"/>
        <v>1.1459E-2</v>
      </c>
      <c r="AG30" s="28">
        <f t="shared" si="39"/>
        <v>5.2833000000000003E-3</v>
      </c>
      <c r="AH30" s="28">
        <f t="shared" si="39"/>
        <v>3.6237999999999999E-2</v>
      </c>
      <c r="AI30" s="29">
        <f t="shared" si="39"/>
        <v>4.2081E-2</v>
      </c>
      <c r="AK30" s="16">
        <f t="shared" si="2"/>
        <v>1.3537374375000002</v>
      </c>
      <c r="AL30" s="16">
        <f t="shared" si="20"/>
        <v>13.078420687500001</v>
      </c>
      <c r="AM30" s="16">
        <f t="shared" si="21"/>
        <v>17.848422375000002</v>
      </c>
      <c r="AN30" s="16">
        <f t="shared" si="22"/>
        <v>3.1588379812500005E-2</v>
      </c>
      <c r="AO30" s="16">
        <f t="shared" si="23"/>
        <v>1.6886781187500004</v>
      </c>
      <c r="AP30" s="16">
        <f t="shared" si="24"/>
        <v>8.9046063750000009E-4</v>
      </c>
      <c r="AQ30" s="16">
        <f t="shared" si="25"/>
        <v>3.9294076500000011E-3</v>
      </c>
      <c r="AR30" s="16">
        <f t="shared" si="26"/>
        <v>0.89543724375000022</v>
      </c>
      <c r="AS30" s="16">
        <f t="shared" si="27"/>
        <v>0.20211053625</v>
      </c>
      <c r="AT30" s="16">
        <f t="shared" si="28"/>
        <v>33.749477209350005</v>
      </c>
      <c r="AU30" s="16">
        <f t="shared" si="29"/>
        <v>1.2309811500000001</v>
      </c>
      <c r="AV30" s="16">
        <f t="shared" si="30"/>
        <v>1.3271955375000002</v>
      </c>
      <c r="AW30" s="16">
        <f t="shared" si="31"/>
        <v>0.4475225737500001</v>
      </c>
      <c r="AX30" s="16">
        <f t="shared" si="5"/>
        <v>2.5800435937500005E-2</v>
      </c>
      <c r="AY30" s="16">
        <f t="shared" si="6"/>
        <v>5.247052125E-4</v>
      </c>
      <c r="AZ30" s="16">
        <f t="shared" si="7"/>
        <v>0.45550022437500004</v>
      </c>
      <c r="BA30" s="16">
        <f t="shared" si="8"/>
        <v>0.1143513525</v>
      </c>
      <c r="BB30" s="16">
        <f t="shared" si="9"/>
        <v>2.2475158125000002E-2</v>
      </c>
      <c r="BC30" s="16">
        <f t="shared" si="10"/>
        <v>4.5068950500000009E-4</v>
      </c>
      <c r="BD30" s="16">
        <f t="shared" si="11"/>
        <v>2.6590660687500003E-2</v>
      </c>
      <c r="BE30" s="16">
        <f t="shared" si="12"/>
        <v>-7.8766104375000001E-5</v>
      </c>
      <c r="BF30" s="16">
        <f t="shared" si="13"/>
        <v>6.7757248125000016E-8</v>
      </c>
      <c r="BG30" s="16">
        <f t="shared" si="14"/>
        <v>3.7131514875000005E-3</v>
      </c>
      <c r="BH30" s="16">
        <f t="shared" si="15"/>
        <v>4.6954531312500009E-3</v>
      </c>
      <c r="BI30" s="16">
        <f t="shared" si="16"/>
        <v>5.7602960625000007E-3</v>
      </c>
      <c r="BJ30" s="16">
        <f t="shared" si="17"/>
        <v>2.6558488687500005E-3</v>
      </c>
      <c r="BK30" s="16">
        <f t="shared" si="18"/>
        <v>1.8216389625000003E-2</v>
      </c>
      <c r="BL30" s="16">
        <f t="shared" si="19"/>
        <v>2.1153592687500004E-2</v>
      </c>
    </row>
    <row r="31" spans="2:64" x14ac:dyDescent="0.25">
      <c r="B31" s="261"/>
      <c r="C31" s="260" t="str">
        <f>'Preparation and execution'!H10</f>
        <v>Paper waste disposal</v>
      </c>
      <c r="D31" s="28" t="str">
        <f>D10</f>
        <v>market for waste paper, unsorted, RoW (allocation, cut off, recyclable)</v>
      </c>
      <c r="E31" s="28">
        <v>0.34290761797002517</v>
      </c>
      <c r="F31" s="28" t="str">
        <f>F10</f>
        <v>kg</v>
      </c>
      <c r="G31" s="28" t="str">
        <f t="shared" ref="G31:AI33" si="41">G10</f>
        <v>Ecoinvent v3.7.1</v>
      </c>
      <c r="H31" s="28">
        <f t="shared" si="41"/>
        <v>3.2929E-2</v>
      </c>
      <c r="I31" s="28">
        <f t="shared" si="41"/>
        <v>5.3344000000000004E-4</v>
      </c>
      <c r="J31" s="28">
        <f t="shared" si="41"/>
        <v>0.47367999999999999</v>
      </c>
      <c r="K31" s="28">
        <f t="shared" si="41"/>
        <v>2.5505999999999999E-5</v>
      </c>
      <c r="L31" s="28">
        <f t="shared" si="41"/>
        <v>1.8364E-3</v>
      </c>
      <c r="M31" s="28">
        <f t="shared" si="41"/>
        <v>2.6278000000000001E-6</v>
      </c>
      <c r="N31" s="28">
        <f t="shared" si="41"/>
        <v>1.1584E-5</v>
      </c>
      <c r="O31" s="28">
        <f t="shared" si="41"/>
        <v>9.4950000000000004E-4</v>
      </c>
      <c r="P31" s="28">
        <f t="shared" si="41"/>
        <v>1.9284E-4</v>
      </c>
      <c r="Q31" s="28">
        <f t="shared" si="1"/>
        <v>0.47723189780000003</v>
      </c>
      <c r="R31" s="28">
        <f t="shared" si="41"/>
        <v>1.0676E-4</v>
      </c>
      <c r="S31" s="28">
        <f t="shared" si="41"/>
        <v>3.2579999999999998E-2</v>
      </c>
      <c r="T31" s="28">
        <f t="shared" si="41"/>
        <v>1.0869999999999999E-2</v>
      </c>
      <c r="U31" s="28">
        <f t="shared" si="41"/>
        <v>7.4305000000000001E-5</v>
      </c>
      <c r="V31" s="28">
        <f t="shared" si="41"/>
        <v>6.2307999999999999E-7</v>
      </c>
      <c r="W31" s="28">
        <f t="shared" si="41"/>
        <v>1.1161999999999999E-3</v>
      </c>
      <c r="X31" s="28">
        <f t="shared" si="41"/>
        <v>2.0184999999999999E-3</v>
      </c>
      <c r="Y31" s="28">
        <f t="shared" si="41"/>
        <v>7.1051999999999997E-5</v>
      </c>
      <c r="Z31" s="28">
        <f t="shared" si="41"/>
        <v>8.6507E-6</v>
      </c>
      <c r="AA31" s="28">
        <f t="shared" si="41"/>
        <v>1.9001000000000001E-4</v>
      </c>
      <c r="AB31" s="28">
        <f t="shared" si="41"/>
        <v>-4.1645E-7</v>
      </c>
      <c r="AC31" s="28">
        <f t="shared" si="41"/>
        <v>5.6621000000000001E-9</v>
      </c>
      <c r="AD31" s="28">
        <f t="shared" si="41"/>
        <v>7.682E-5</v>
      </c>
      <c r="AE31" s="28">
        <f t="shared" si="41"/>
        <v>3.2314000000000003E-4</v>
      </c>
      <c r="AF31" s="28">
        <f t="shared" si="41"/>
        <v>1.5758999999999999E-4</v>
      </c>
      <c r="AG31" s="28">
        <f t="shared" si="41"/>
        <v>1.6555000000000001E-6</v>
      </c>
      <c r="AH31" s="28">
        <f t="shared" si="41"/>
        <v>1.8761E-4</v>
      </c>
      <c r="AI31" s="29">
        <f t="shared" si="41"/>
        <v>1.8113000000000001E-5</v>
      </c>
      <c r="AK31" s="16">
        <f t="shared" si="2"/>
        <v>1.129160495213496E-2</v>
      </c>
      <c r="AL31" s="16">
        <f t="shared" si="20"/>
        <v>1.8292063972993023E-4</v>
      </c>
      <c r="AM31" s="16">
        <f t="shared" si="21"/>
        <v>0.16242848048004152</v>
      </c>
      <c r="AN31" s="16">
        <f t="shared" si="22"/>
        <v>8.7462017039434619E-6</v>
      </c>
      <c r="AO31" s="16">
        <f t="shared" si="23"/>
        <v>6.2971554964015423E-4</v>
      </c>
      <c r="AP31" s="16">
        <f t="shared" si="24"/>
        <v>9.010926385016322E-7</v>
      </c>
      <c r="AQ31" s="16">
        <f t="shared" si="25"/>
        <v>3.9722418465647713E-6</v>
      </c>
      <c r="AR31" s="16">
        <f t="shared" si="26"/>
        <v>3.2559078326253893E-4</v>
      </c>
      <c r="AS31" s="16">
        <f t="shared" si="27"/>
        <v>6.6126305049339653E-5</v>
      </c>
      <c r="AT31" s="16">
        <f t="shared" si="28"/>
        <v>0.1636464532939125</v>
      </c>
      <c r="AU31" s="16">
        <f t="shared" si="29"/>
        <v>3.6608817294479889E-5</v>
      </c>
      <c r="AV31" s="16">
        <f t="shared" si="30"/>
        <v>1.1171930193463419E-2</v>
      </c>
      <c r="AW31" s="16">
        <f t="shared" si="31"/>
        <v>3.7274058073341735E-3</v>
      </c>
      <c r="AX31" s="16">
        <f t="shared" si="5"/>
        <v>2.547975055326272E-5</v>
      </c>
      <c r="AY31" s="16">
        <f t="shared" si="6"/>
        <v>2.1365887860476329E-7</v>
      </c>
      <c r="AZ31" s="16">
        <f t="shared" si="7"/>
        <v>3.8275348317814208E-4</v>
      </c>
      <c r="BA31" s="16">
        <f t="shared" si="8"/>
        <v>6.9215902687249579E-4</v>
      </c>
      <c r="BB31" s="16">
        <f t="shared" si="9"/>
        <v>2.4364272072006227E-5</v>
      </c>
      <c r="BC31" s="16">
        <f t="shared" si="10"/>
        <v>2.9663909307732966E-6</v>
      </c>
      <c r="BD31" s="16">
        <f t="shared" si="11"/>
        <v>6.5155876490484489E-5</v>
      </c>
      <c r="BE31" s="16">
        <f t="shared" si="12"/>
        <v>-1.4280387750361698E-7</v>
      </c>
      <c r="BF31" s="16">
        <f t="shared" si="13"/>
        <v>1.9415772237080797E-9</v>
      </c>
      <c r="BG31" s="16">
        <f t="shared" si="14"/>
        <v>2.6342163212457332E-5</v>
      </c>
      <c r="BH31" s="16">
        <f t="shared" si="15"/>
        <v>1.1080716767083395E-4</v>
      </c>
      <c r="BI31" s="16">
        <f t="shared" si="16"/>
        <v>5.4038811515896264E-5</v>
      </c>
      <c r="BJ31" s="16">
        <f t="shared" si="17"/>
        <v>5.6768356154937674E-7</v>
      </c>
      <c r="BK31" s="16">
        <f t="shared" si="18"/>
        <v>6.4332898207356427E-5</v>
      </c>
      <c r="BL31" s="16">
        <f t="shared" si="19"/>
        <v>6.2110856842910658E-6</v>
      </c>
    </row>
    <row r="32" spans="2:64" x14ac:dyDescent="0.25">
      <c r="B32" s="261"/>
      <c r="C32" s="260"/>
      <c r="D32" s="28" t="str">
        <f t="shared" ref="D32:D33" si="42">D11</f>
        <v>treatment of waste paperboard, municipal incineration, RoW</v>
      </c>
      <c r="E32" s="28">
        <v>3.1329388633328389E-2</v>
      </c>
      <c r="F32" s="28" t="str">
        <f t="shared" ref="F32:U33" si="43">F11</f>
        <v>kg</v>
      </c>
      <c r="G32" s="28" t="str">
        <f t="shared" si="43"/>
        <v>Ecoinvent v3.7.1</v>
      </c>
      <c r="H32" s="28">
        <f t="shared" si="43"/>
        <v>3.1955999999999998E-2</v>
      </c>
      <c r="I32" s="28">
        <f t="shared" si="43"/>
        <v>2.8931999999999999E-3</v>
      </c>
      <c r="J32" s="28">
        <f t="shared" si="43"/>
        <v>0.23380999999999999</v>
      </c>
      <c r="K32" s="28">
        <f t="shared" si="43"/>
        <v>1.2891000000000001E-4</v>
      </c>
      <c r="L32" s="28">
        <f t="shared" si="43"/>
        <v>8.0415999999999994E-3</v>
      </c>
      <c r="M32" s="28">
        <f t="shared" si="43"/>
        <v>2.1666999999999999E-6</v>
      </c>
      <c r="N32" s="28">
        <f t="shared" si="43"/>
        <v>1.5860999999999999E-5</v>
      </c>
      <c r="O32" s="28">
        <f t="shared" si="43"/>
        <v>4.8907000000000004E-3</v>
      </c>
      <c r="P32" s="28">
        <f t="shared" si="43"/>
        <v>9.7141000000000003E-4</v>
      </c>
      <c r="Q32" s="28">
        <f t="shared" si="1"/>
        <v>0.25075384770000003</v>
      </c>
      <c r="R32" s="28">
        <f t="shared" si="43"/>
        <v>6.2199E-4</v>
      </c>
      <c r="S32" s="28">
        <f t="shared" si="43"/>
        <v>3.2674000000000002E-2</v>
      </c>
      <c r="T32" s="28">
        <f t="shared" si="43"/>
        <v>6.1008E-3</v>
      </c>
      <c r="U32" s="28">
        <f t="shared" si="43"/>
        <v>6.2211999999999996E-3</v>
      </c>
      <c r="V32" s="28">
        <f t="shared" si="41"/>
        <v>3.9647000000000003E-6</v>
      </c>
      <c r="W32" s="28">
        <f t="shared" si="41"/>
        <v>0.11655</v>
      </c>
      <c r="X32" s="28">
        <f t="shared" si="41"/>
        <v>7.4914999999999997E-4</v>
      </c>
      <c r="Y32" s="28">
        <f t="shared" si="41"/>
        <v>5.6363999999999997E-3</v>
      </c>
      <c r="Z32" s="28">
        <f t="shared" si="41"/>
        <v>4.2731000000000001E-5</v>
      </c>
      <c r="AA32" s="28">
        <f t="shared" si="41"/>
        <v>1.1781000000000001E-3</v>
      </c>
      <c r="AB32" s="28">
        <f t="shared" si="41"/>
        <v>-1.5893E-6</v>
      </c>
      <c r="AC32" s="28">
        <f t="shared" si="41"/>
        <v>2.4143999999999999E-9</v>
      </c>
      <c r="AD32" s="28">
        <f t="shared" si="41"/>
        <v>8.9034000000000002E-5</v>
      </c>
      <c r="AE32" s="28">
        <f t="shared" si="41"/>
        <v>3.0777000000000002E-4</v>
      </c>
      <c r="AF32" s="28">
        <f t="shared" si="41"/>
        <v>2.1015000000000001E-4</v>
      </c>
      <c r="AG32" s="28">
        <f t="shared" si="41"/>
        <v>5.0900000000000004E-6</v>
      </c>
      <c r="AH32" s="28">
        <f t="shared" si="41"/>
        <v>2.4853000000000001E-4</v>
      </c>
      <c r="AI32" s="29">
        <f t="shared" si="41"/>
        <v>1.6280999999999999E-3</v>
      </c>
      <c r="AK32" s="16">
        <f t="shared" si="2"/>
        <v>1.001161943166642E-3</v>
      </c>
      <c r="AL32" s="16">
        <f t="shared" si="20"/>
        <v>9.0642187193945692E-5</v>
      </c>
      <c r="AM32" s="16">
        <f t="shared" si="21"/>
        <v>7.3251243563585101E-3</v>
      </c>
      <c r="AN32" s="16">
        <f t="shared" si="22"/>
        <v>4.0386714887223631E-6</v>
      </c>
      <c r="AO32" s="16">
        <f t="shared" si="23"/>
        <v>2.5193841163377356E-4</v>
      </c>
      <c r="AP32" s="16">
        <f t="shared" si="24"/>
        <v>6.7881386351832626E-8</v>
      </c>
      <c r="AQ32" s="16">
        <f t="shared" si="25"/>
        <v>4.9691543311322155E-7</v>
      </c>
      <c r="AR32" s="16">
        <f t="shared" si="26"/>
        <v>1.5322264098901916E-4</v>
      </c>
      <c r="AS32" s="16">
        <f t="shared" si="27"/>
        <v>3.0433681412301531E-5</v>
      </c>
      <c r="AT32" s="16">
        <f t="shared" si="28"/>
        <v>7.8559647458957393E-3</v>
      </c>
      <c r="AU32" s="16">
        <f t="shared" si="29"/>
        <v>1.9486566436043926E-5</v>
      </c>
      <c r="AV32" s="16">
        <f t="shared" si="30"/>
        <v>1.0236564442053719E-3</v>
      </c>
      <c r="AW32" s="16">
        <f t="shared" si="31"/>
        <v>1.9113433417420985E-4</v>
      </c>
      <c r="AX32" s="16">
        <f t="shared" si="5"/>
        <v>1.9490639256566257E-4</v>
      </c>
      <c r="AY32" s="16">
        <f t="shared" si="6"/>
        <v>1.2421162711455707E-7</v>
      </c>
      <c r="AZ32" s="16">
        <f t="shared" si="7"/>
        <v>3.651440245214424E-3</v>
      </c>
      <c r="BA32" s="16">
        <f t="shared" si="8"/>
        <v>2.3470411494657963E-5</v>
      </c>
      <c r="BB32" s="16">
        <f t="shared" si="9"/>
        <v>1.7658496609289213E-4</v>
      </c>
      <c r="BC32" s="16">
        <f t="shared" si="10"/>
        <v>1.3387361056907554E-6</v>
      </c>
      <c r="BD32" s="16">
        <f t="shared" si="11"/>
        <v>3.6909152748924175E-5</v>
      </c>
      <c r="BE32" s="16">
        <f t="shared" si="12"/>
        <v>-4.9791797354948811E-8</v>
      </c>
      <c r="BF32" s="16">
        <f t="shared" si="13"/>
        <v>7.5641675916308058E-11</v>
      </c>
      <c r="BG32" s="16">
        <f t="shared" si="14"/>
        <v>2.78938078757976E-6</v>
      </c>
      <c r="BH32" s="16">
        <f t="shared" si="15"/>
        <v>9.6422459396794785E-6</v>
      </c>
      <c r="BI32" s="16">
        <f t="shared" si="16"/>
        <v>6.5838710212939615E-6</v>
      </c>
      <c r="BJ32" s="16">
        <f t="shared" si="17"/>
        <v>1.5946658814364151E-7</v>
      </c>
      <c r="BK32" s="16">
        <f t="shared" si="18"/>
        <v>7.786292957041104E-6</v>
      </c>
      <c r="BL32" s="16">
        <f t="shared" si="19"/>
        <v>5.1007377633921951E-5</v>
      </c>
    </row>
    <row r="33" spans="2:64" x14ac:dyDescent="0.25">
      <c r="B33" s="261"/>
      <c r="C33" s="260"/>
      <c r="D33" s="28" t="str">
        <f t="shared" si="42"/>
        <v>treatment of waste paperboard, sanitary landfill, RoW</v>
      </c>
      <c r="E33" s="28">
        <v>0.12845049339664635</v>
      </c>
      <c r="F33" s="28" t="str">
        <f t="shared" si="43"/>
        <v>kg</v>
      </c>
      <c r="G33" s="28" t="str">
        <f t="shared" si="41"/>
        <v>Ecoinvent v3.7.1</v>
      </c>
      <c r="H33" s="28">
        <f t="shared" si="41"/>
        <v>1.5611999999999999</v>
      </c>
      <c r="I33" s="28">
        <f t="shared" si="41"/>
        <v>3.2682000000000002E-3</v>
      </c>
      <c r="J33" s="28">
        <f t="shared" si="41"/>
        <v>0.36821999999999999</v>
      </c>
      <c r="K33" s="28">
        <f t="shared" si="41"/>
        <v>3.9117999999999998E-4</v>
      </c>
      <c r="L33" s="28">
        <f t="shared" si="41"/>
        <v>2.6186000000000001E-2</v>
      </c>
      <c r="M33" s="28">
        <f t="shared" si="41"/>
        <v>6.1542999999999997E-6</v>
      </c>
      <c r="N33" s="28">
        <f t="shared" si="41"/>
        <v>1.1071E-3</v>
      </c>
      <c r="O33" s="28">
        <f t="shared" si="41"/>
        <v>1.183E-2</v>
      </c>
      <c r="P33" s="28">
        <f t="shared" si="41"/>
        <v>2.9567999999999999E-3</v>
      </c>
      <c r="Q33" s="28">
        <f t="shared" si="1"/>
        <v>0.41396543429999999</v>
      </c>
      <c r="R33" s="28">
        <f t="shared" si="41"/>
        <v>1.5227000000000001E-3</v>
      </c>
      <c r="S33" s="28">
        <f t="shared" si="41"/>
        <v>1.226</v>
      </c>
      <c r="T33" s="28">
        <f t="shared" si="41"/>
        <v>8.7205000000000008E-3</v>
      </c>
      <c r="U33" s="28">
        <f t="shared" si="41"/>
        <v>7.2683000000000001E-3</v>
      </c>
      <c r="V33" s="28">
        <f t="shared" si="41"/>
        <v>6.1979999999999998E-6</v>
      </c>
      <c r="W33" s="28">
        <f t="shared" si="41"/>
        <v>0.13544999999999999</v>
      </c>
      <c r="X33" s="28">
        <f t="shared" si="41"/>
        <v>2.5059000000000001E-3</v>
      </c>
      <c r="Y33" s="28">
        <f t="shared" si="41"/>
        <v>6.5066999999999998E-3</v>
      </c>
      <c r="Z33" s="28">
        <f t="shared" si="41"/>
        <v>2.1710000000000002E-3</v>
      </c>
      <c r="AA33" s="28">
        <f t="shared" si="41"/>
        <v>4.9030000000000005E-4</v>
      </c>
      <c r="AB33" s="28">
        <f t="shared" si="41"/>
        <v>-4.6569000000000003E-6</v>
      </c>
      <c r="AC33" s="28">
        <f t="shared" si="41"/>
        <v>2.8231999999999999E-9</v>
      </c>
      <c r="AD33" s="28">
        <f t="shared" si="41"/>
        <v>8.4282000000000004E-5</v>
      </c>
      <c r="AE33" s="28">
        <f t="shared" si="41"/>
        <v>6.9477999999999999E-4</v>
      </c>
      <c r="AF33" s="28">
        <f t="shared" si="41"/>
        <v>1.9544000000000001E-4</v>
      </c>
      <c r="AG33" s="28">
        <f t="shared" si="41"/>
        <v>1.8816999999999999E-6</v>
      </c>
      <c r="AH33" s="28">
        <f t="shared" si="41"/>
        <v>3.1914000000000001E-3</v>
      </c>
      <c r="AI33" s="29">
        <f t="shared" si="41"/>
        <v>9.2818999999999993E-5</v>
      </c>
      <c r="AK33" s="16">
        <f t="shared" si="2"/>
        <v>0.20053691029084428</v>
      </c>
      <c r="AL33" s="16">
        <f t="shared" si="20"/>
        <v>4.1980190251891965E-4</v>
      </c>
      <c r="AM33" s="16">
        <f t="shared" si="21"/>
        <v>4.729804067851312E-2</v>
      </c>
      <c r="AN33" s="16">
        <f t="shared" si="22"/>
        <v>5.0247264006900117E-5</v>
      </c>
      <c r="AO33" s="16">
        <f t="shared" si="23"/>
        <v>3.3636046200845814E-3</v>
      </c>
      <c r="AP33" s="16">
        <f t="shared" si="24"/>
        <v>7.9052287151098062E-7</v>
      </c>
      <c r="AQ33" s="16">
        <f t="shared" si="25"/>
        <v>1.4220754123942718E-4</v>
      </c>
      <c r="AR33" s="16">
        <f t="shared" si="26"/>
        <v>1.5195693368823264E-3</v>
      </c>
      <c r="AS33" s="16">
        <f t="shared" si="27"/>
        <v>3.7980241887520394E-4</v>
      </c>
      <c r="AT33" s="16">
        <f t="shared" si="28"/>
        <v>5.3174064284991988E-2</v>
      </c>
      <c r="AU33" s="16">
        <f t="shared" si="29"/>
        <v>1.9559156629507342E-4</v>
      </c>
      <c r="AV33" s="16">
        <f t="shared" si="30"/>
        <v>0.15748030490428844</v>
      </c>
      <c r="AW33" s="16">
        <f t="shared" si="31"/>
        <v>1.1201525276654546E-3</v>
      </c>
      <c r="AX33" s="16">
        <f t="shared" si="5"/>
        <v>9.3361672115484468E-4</v>
      </c>
      <c r="AY33" s="16">
        <f t="shared" si="6"/>
        <v>7.9613615807241408E-7</v>
      </c>
      <c r="AZ33" s="16">
        <f t="shared" si="7"/>
        <v>1.7398619330575748E-2</v>
      </c>
      <c r="BA33" s="16">
        <f t="shared" si="8"/>
        <v>3.218840914026561E-4</v>
      </c>
      <c r="BB33" s="16">
        <f t="shared" si="9"/>
        <v>8.3578882538395884E-4</v>
      </c>
      <c r="BC33" s="16">
        <f t="shared" si="10"/>
        <v>2.7886602116411924E-4</v>
      </c>
      <c r="BD33" s="16">
        <f t="shared" si="11"/>
        <v>6.2979276912375715E-5</v>
      </c>
      <c r="BE33" s="16">
        <f t="shared" si="12"/>
        <v>-5.9818110269884242E-7</v>
      </c>
      <c r="BF33" s="16">
        <f t="shared" si="13"/>
        <v>3.6264143295741198E-10</v>
      </c>
      <c r="BG33" s="16">
        <f t="shared" si="14"/>
        <v>1.0826064484456148E-5</v>
      </c>
      <c r="BH33" s="16">
        <f t="shared" si="15"/>
        <v>8.9244833802121953E-5</v>
      </c>
      <c r="BI33" s="16">
        <f t="shared" si="16"/>
        <v>2.5104364429440566E-5</v>
      </c>
      <c r="BJ33" s="16">
        <f t="shared" si="17"/>
        <v>2.4170529342446942E-7</v>
      </c>
      <c r="BK33" s="16">
        <f t="shared" si="18"/>
        <v>4.0993690462605718E-4</v>
      </c>
      <c r="BL33" s="16">
        <f t="shared" si="19"/>
        <v>1.1922646346583316E-5</v>
      </c>
    </row>
    <row r="34" spans="2:64" s="17" customFormat="1" ht="45" customHeight="1" x14ac:dyDescent="0.25">
      <c r="B34" s="258" t="str">
        <f>'Preparation and execution'!B36</f>
        <v>Execution - Conference meeting rooms</v>
      </c>
      <c r="C34" s="27" t="str">
        <f>'Preparation and execution'!C38</f>
        <v>Electricity</v>
      </c>
      <c r="D34" s="27" t="str">
        <f>'1_hub_LCIA'!D4</f>
        <v>market for electricity, low voltage, US-NPCC</v>
      </c>
      <c r="E34" s="27">
        <v>10892.52</v>
      </c>
      <c r="F34" s="27" t="s">
        <v>105</v>
      </c>
      <c r="G34" s="27" t="str">
        <f>'1_hub_LCIA'!G4</f>
        <v>Ecoinvent v3.7.1</v>
      </c>
      <c r="H34" s="27">
        <f>'1_hub_LCIA'!H4</f>
        <v>0.61436999999999997</v>
      </c>
      <c r="I34" s="27">
        <f>'1_hub_LCIA'!I4</f>
        <v>8.2399E-2</v>
      </c>
      <c r="J34" s="27">
        <f>'1_hub_LCIA'!J4</f>
        <v>6.7473999999999998</v>
      </c>
      <c r="K34" s="27">
        <f>'1_hub_LCIA'!K4</f>
        <v>4.0428000000000003E-4</v>
      </c>
      <c r="L34" s="27">
        <f>'1_hub_LCIA'!L4</f>
        <v>4.3425000000000002</v>
      </c>
      <c r="M34" s="27">
        <f>'1_hub_LCIA'!M4</f>
        <v>1.3322000000000001E-5</v>
      </c>
      <c r="N34" s="27">
        <f>'1_hub_LCIA'!N4</f>
        <v>1.5082999999999999E-2</v>
      </c>
      <c r="O34" s="27">
        <f>'1_hub_LCIA'!O4</f>
        <v>6.8917000000000006E-2</v>
      </c>
      <c r="P34" s="27">
        <f>'1_hub_LCIA'!P4</f>
        <v>0.1275</v>
      </c>
      <c r="Q34" s="27">
        <f>'1_hub_LCIA'!Q4</f>
        <v>11.384216602</v>
      </c>
      <c r="R34" s="27">
        <f>'1_hub_LCIA'!R4</f>
        <v>1.3875999999999999E-2</v>
      </c>
      <c r="S34" s="27">
        <f>'1_hub_LCIA'!S4</f>
        <v>0.60836999999999997</v>
      </c>
      <c r="T34" s="27">
        <f>'1_hub_LCIA'!T4</f>
        <v>0.16855999999999999</v>
      </c>
      <c r="U34" s="27">
        <f>'1_hub_LCIA'!U4</f>
        <v>2.7827999999999999E-2</v>
      </c>
      <c r="V34" s="27">
        <f>'1_hub_LCIA'!V4</f>
        <v>3.4965000000000002E-4</v>
      </c>
      <c r="W34" s="27">
        <f>'1_hub_LCIA'!W4</f>
        <v>0.24507000000000001</v>
      </c>
      <c r="X34" s="27">
        <f>'1_hub_LCIA'!X4</f>
        <v>0.28216999999999998</v>
      </c>
      <c r="Y34" s="27">
        <f>'1_hub_LCIA'!Y4</f>
        <v>2.3791E-2</v>
      </c>
      <c r="Z34" s="27">
        <f>'1_hub_LCIA'!Z4</f>
        <v>1.1882E-4</v>
      </c>
      <c r="AA34" s="27">
        <f>'1_hub_LCIA'!AA4</f>
        <v>1.1622E-2</v>
      </c>
      <c r="AB34" s="27">
        <f>'1_hub_LCIA'!AB4</f>
        <v>-2.4247999999999999E-5</v>
      </c>
      <c r="AC34" s="27">
        <f>'1_hub_LCIA'!AC4</f>
        <v>1.8053E-8</v>
      </c>
      <c r="AD34" s="27">
        <f>'1_hub_LCIA'!AD4</f>
        <v>1.1259E-3</v>
      </c>
      <c r="AE34" s="27">
        <f>'1_hub_LCIA'!AE4</f>
        <v>9.8528999999999999E-4</v>
      </c>
      <c r="AF34" s="27">
        <f>'1_hub_LCIA'!AF4</f>
        <v>1.8718000000000001E-3</v>
      </c>
      <c r="AG34" s="27">
        <f>'1_hub_LCIA'!AG4</f>
        <v>2.6829999999999999E-5</v>
      </c>
      <c r="AH34" s="27">
        <f>'1_hub_LCIA'!AH4</f>
        <v>2.5512999999999998E-3</v>
      </c>
      <c r="AI34" s="63">
        <f>'1_hub_LCIA'!AI4</f>
        <v>2.2418E-3</v>
      </c>
      <c r="AK34" s="16">
        <f t="shared" si="2"/>
        <v>6692.0375124000002</v>
      </c>
      <c r="AL34" s="16">
        <f t="shared" si="20"/>
        <v>897.53275547999999</v>
      </c>
      <c r="AM34" s="16">
        <f t="shared" si="21"/>
        <v>73496.189448000005</v>
      </c>
      <c r="AN34" s="16">
        <f t="shared" si="22"/>
        <v>4.4036279856</v>
      </c>
      <c r="AO34" s="16">
        <f t="shared" si="23"/>
        <v>47300.768100000001</v>
      </c>
      <c r="AP34" s="16">
        <f t="shared" si="24"/>
        <v>0.14511015144</v>
      </c>
      <c r="AQ34" s="16">
        <f t="shared" si="25"/>
        <v>164.29187916000001</v>
      </c>
      <c r="AR34" s="16">
        <f t="shared" si="26"/>
        <v>750.6798008400001</v>
      </c>
      <c r="AS34" s="16">
        <f t="shared" si="27"/>
        <v>1388.7963</v>
      </c>
      <c r="AT34" s="16">
        <f t="shared" si="28"/>
        <v>124002.80702161705</v>
      </c>
      <c r="AU34" s="16">
        <f t="shared" si="29"/>
        <v>151.14460751999999</v>
      </c>
      <c r="AV34" s="16">
        <f t="shared" si="30"/>
        <v>6626.6823924</v>
      </c>
      <c r="AW34" s="16">
        <f t="shared" si="31"/>
        <v>1836.0431712</v>
      </c>
      <c r="AX34" s="16">
        <f t="shared" si="5"/>
        <v>303.11704656000001</v>
      </c>
      <c r="AY34" s="16">
        <f t="shared" si="6"/>
        <v>3.8085696180000004</v>
      </c>
      <c r="AZ34" s="16">
        <f t="shared" si="7"/>
        <v>2669.4298764</v>
      </c>
      <c r="BA34" s="16">
        <f t="shared" si="8"/>
        <v>3073.5423683999998</v>
      </c>
      <c r="BB34" s="16">
        <f t="shared" si="9"/>
        <v>259.14394332000001</v>
      </c>
      <c r="BC34" s="16">
        <f t="shared" si="10"/>
        <v>1.2942492264000001</v>
      </c>
      <c r="BD34" s="16">
        <f t="shared" si="11"/>
        <v>126.59286744000001</v>
      </c>
      <c r="BE34" s="16">
        <f t="shared" si="12"/>
        <v>-0.26412182495999997</v>
      </c>
      <c r="BF34" s="16">
        <f t="shared" si="13"/>
        <v>1.9664266356000002E-4</v>
      </c>
      <c r="BG34" s="16">
        <f t="shared" si="14"/>
        <v>12.263888268000001</v>
      </c>
      <c r="BH34" s="16">
        <f t="shared" si="15"/>
        <v>10.732291030800001</v>
      </c>
      <c r="BI34" s="16">
        <f t="shared" si="16"/>
        <v>20.388618936</v>
      </c>
      <c r="BJ34" s="16">
        <f t="shared" si="17"/>
        <v>0.29224631159999997</v>
      </c>
      <c r="BK34" s="16">
        <f t="shared" si="18"/>
        <v>27.790086276</v>
      </c>
      <c r="BL34" s="16">
        <f t="shared" si="19"/>
        <v>24.418851335999999</v>
      </c>
    </row>
    <row r="35" spans="2:64" s="17" customFormat="1" x14ac:dyDescent="0.25">
      <c r="B35" s="258"/>
      <c r="C35" s="27" t="str">
        <f>'Preparation and execution'!C41</f>
        <v>Water</v>
      </c>
      <c r="D35" s="27" t="str">
        <f>'1_hub_LCIA'!D6</f>
        <v>market group for tap water, GLO</v>
      </c>
      <c r="E35" s="27">
        <v>33229.08</v>
      </c>
      <c r="F35" s="27" t="str">
        <f>'1_hub_LCIA'!F6</f>
        <v>kg</v>
      </c>
      <c r="G35" s="27" t="str">
        <f>'1_hub_LCIA'!G6</f>
        <v>Ecoinvent v3.7.1</v>
      </c>
      <c r="H35" s="27">
        <f>'1_hub_LCIA'!H6</f>
        <v>7.8616999999999999E-4</v>
      </c>
      <c r="I35" s="27">
        <f>'1_hub_LCIA'!I6</f>
        <v>1.9751E-4</v>
      </c>
      <c r="J35" s="27">
        <f>'1_hub_LCIA'!J6</f>
        <v>9.4672000000000003E-3</v>
      </c>
      <c r="K35" s="27">
        <f>'1_hub_LCIA'!K6</f>
        <v>3.2061999999999999E-5</v>
      </c>
      <c r="L35" s="27">
        <f>'1_hub_LCIA'!L6</f>
        <v>2.1827999999999999E-3</v>
      </c>
      <c r="M35" s="27">
        <f>'1_hub_LCIA'!M6</f>
        <v>3.3095999999999999E-7</v>
      </c>
      <c r="N35" s="27">
        <f>'1_hub_LCIA'!N6</f>
        <v>2.3504E-6</v>
      </c>
      <c r="O35" s="27">
        <f>'1_hub_LCIA'!O6</f>
        <v>6.9337999999999995E-4</v>
      </c>
      <c r="P35" s="27">
        <f>'1_hub_LCIA'!P6</f>
        <v>2.4444000000000001E-4</v>
      </c>
      <c r="Q35" s="27">
        <f>'1_hub_LCIA'!Q6</f>
        <v>1.282007336E-2</v>
      </c>
      <c r="R35" s="27">
        <f>'1_hub_LCIA'!R6</f>
        <v>3.6423E-5</v>
      </c>
      <c r="S35" s="27">
        <f>'1_hub_LCIA'!S6</f>
        <v>7.6884000000000002E-4</v>
      </c>
      <c r="T35" s="27">
        <f>'1_hub_LCIA'!T6</f>
        <v>2.3416999999999999E-4</v>
      </c>
      <c r="U35" s="27">
        <f>'1_hub_LCIA'!U6</f>
        <v>1.8153000000000001E-5</v>
      </c>
      <c r="V35" s="27">
        <f>'1_hub_LCIA'!V6</f>
        <v>4.4477999999999999E-7</v>
      </c>
      <c r="W35" s="27">
        <f>'1_hub_LCIA'!W6</f>
        <v>4.2660000000000002E-4</v>
      </c>
      <c r="X35" s="27">
        <f>'1_hub_LCIA'!X6</f>
        <v>1.4076E-4</v>
      </c>
      <c r="Y35" s="27">
        <f>'1_hub_LCIA'!Y6</f>
        <v>1.6370000000000001E-5</v>
      </c>
      <c r="Z35" s="27">
        <f>'1_hub_LCIA'!Z6</f>
        <v>2.2333999999999999E-7</v>
      </c>
      <c r="AA35" s="27">
        <f>'1_hub_LCIA'!AA6</f>
        <v>2.0411000000000002E-5</v>
      </c>
      <c r="AB35" s="27">
        <f>'1_hub_LCIA'!AB6</f>
        <v>-6.3623E-8</v>
      </c>
      <c r="AC35" s="27">
        <f>'1_hub_LCIA'!AC6</f>
        <v>1.6629E-10</v>
      </c>
      <c r="AD35" s="27">
        <f>'1_hub_LCIA'!AD6</f>
        <v>2.0271999999999998E-6</v>
      </c>
      <c r="AE35" s="27">
        <f>'1_hub_LCIA'!AE6</f>
        <v>2.4003999999999999E-6</v>
      </c>
      <c r="AF35" s="27">
        <f>'1_hub_LCIA'!AF6</f>
        <v>3.0645999999999998E-6</v>
      </c>
      <c r="AG35" s="27">
        <f>'1_hub_LCIA'!AG6</f>
        <v>7.2106999999999998E-8</v>
      </c>
      <c r="AH35" s="27">
        <f>'1_hub_LCIA'!AH6</f>
        <v>7.5768E-6</v>
      </c>
      <c r="AI35" s="63">
        <f>'1_hub_LCIA'!AI6</f>
        <v>1.0698E-5</v>
      </c>
      <c r="AK35" s="16">
        <f t="shared" si="2"/>
        <v>26.123705823600002</v>
      </c>
      <c r="AL35" s="16">
        <f t="shared" si="20"/>
        <v>6.5630755908000005</v>
      </c>
      <c r="AM35" s="16">
        <f t="shared" si="21"/>
        <v>314.58634617600001</v>
      </c>
      <c r="AN35" s="16">
        <f t="shared" si="22"/>
        <v>1.0653907629600001</v>
      </c>
      <c r="AO35" s="16">
        <f t="shared" si="23"/>
        <v>72.532435824000004</v>
      </c>
      <c r="AP35" s="16">
        <f t="shared" si="24"/>
        <v>1.09974963168E-2</v>
      </c>
      <c r="AQ35" s="16">
        <f t="shared" si="25"/>
        <v>7.8101629632E-2</v>
      </c>
      <c r="AR35" s="16">
        <f t="shared" si="26"/>
        <v>23.040379490399999</v>
      </c>
      <c r="AS35" s="16">
        <f t="shared" si="27"/>
        <v>8.1225163152000004</v>
      </c>
      <c r="AT35" s="16">
        <f t="shared" si="28"/>
        <v>425.99924328530881</v>
      </c>
      <c r="AU35" s="16">
        <f t="shared" si="29"/>
        <v>1.21030278084</v>
      </c>
      <c r="AV35" s="16">
        <f t="shared" si="30"/>
        <v>25.547845867200003</v>
      </c>
      <c r="AW35" s="16">
        <f t="shared" si="31"/>
        <v>7.7812536636000003</v>
      </c>
      <c r="AX35" s="16">
        <f t="shared" si="5"/>
        <v>0.60320748924000001</v>
      </c>
      <c r="AY35" s="16">
        <f t="shared" si="6"/>
        <v>1.47796302024E-2</v>
      </c>
      <c r="AZ35" s="16">
        <f t="shared" si="7"/>
        <v>14.175525528000001</v>
      </c>
      <c r="BA35" s="16">
        <f t="shared" si="8"/>
        <v>4.6773253008000006</v>
      </c>
      <c r="BB35" s="16">
        <f t="shared" si="9"/>
        <v>0.54396003960000006</v>
      </c>
      <c r="BC35" s="16">
        <f t="shared" si="10"/>
        <v>7.4213827271999997E-3</v>
      </c>
      <c r="BD35" s="16">
        <f t="shared" si="11"/>
        <v>0.67823875188000005</v>
      </c>
      <c r="BE35" s="16">
        <f t="shared" si="12"/>
        <v>-2.1141337568400002E-3</v>
      </c>
      <c r="BF35" s="16">
        <f t="shared" si="13"/>
        <v>5.5256637132E-6</v>
      </c>
      <c r="BG35" s="16">
        <f t="shared" si="14"/>
        <v>6.7361990976E-2</v>
      </c>
      <c r="BH35" s="16">
        <f t="shared" si="15"/>
        <v>7.9763083632000006E-2</v>
      </c>
      <c r="BI35" s="16">
        <f t="shared" si="16"/>
        <v>0.101833838568</v>
      </c>
      <c r="BJ35" s="16">
        <f t="shared" si="17"/>
        <v>2.3960492715600001E-3</v>
      </c>
      <c r="BK35" s="16">
        <f t="shared" si="18"/>
        <v>0.25177009334400002</v>
      </c>
      <c r="BL35" s="16">
        <f t="shared" si="19"/>
        <v>0.35548469784000003</v>
      </c>
    </row>
    <row r="36" spans="2:64" s="17" customFormat="1" x14ac:dyDescent="0.25">
      <c r="B36" s="258"/>
      <c r="C36" s="27" t="str">
        <f>'1_hub_LCIA'!C7</f>
        <v>Wastewater treatment</v>
      </c>
      <c r="D36" s="27" t="str">
        <f>'1_hub_LCIA'!D7</f>
        <v>treatment of wastewater, from residence, capacity 1.1E10l/year, RoW</v>
      </c>
      <c r="E36" s="27">
        <v>33.229080000000003</v>
      </c>
      <c r="F36" s="27" t="str">
        <f>'1_hub_LCIA'!F7</f>
        <v>m3</v>
      </c>
      <c r="G36" s="27" t="str">
        <f>'1_hub_LCIA'!G7</f>
        <v>Ecoinvent v3.7.1</v>
      </c>
      <c r="H36" s="27">
        <f>'1_hub_LCIA'!H7</f>
        <v>0.55149000000000004</v>
      </c>
      <c r="I36" s="27">
        <f>'1_hub_LCIA'!I7</f>
        <v>0.11234</v>
      </c>
      <c r="J36" s="27">
        <f>'1_hub_LCIA'!J7</f>
        <v>5.6473000000000004</v>
      </c>
      <c r="K36" s="27">
        <f>'1_hub_LCIA'!K7</f>
        <v>8.5579999999999996E-3</v>
      </c>
      <c r="L36" s="27">
        <f>'1_hub_LCIA'!L7</f>
        <v>0.58731</v>
      </c>
      <c r="M36" s="27">
        <f>'1_hub_LCIA'!M7</f>
        <v>4.6106000000000001E-4</v>
      </c>
      <c r="N36" s="27">
        <f>'1_hub_LCIA'!N7</f>
        <v>1.8717999999999999E-2</v>
      </c>
      <c r="O36" s="27">
        <f>'1_hub_LCIA'!O7</f>
        <v>0.30649999999999999</v>
      </c>
      <c r="P36" s="27">
        <f>'1_hub_LCIA'!P7</f>
        <v>6.4085000000000003E-2</v>
      </c>
      <c r="Q36" s="27">
        <f>'1_hub_LCIA'!Q7</f>
        <v>6.7452720600000005</v>
      </c>
      <c r="R36" s="27">
        <f>'1_hub_LCIA'!R7</f>
        <v>2.3549E-2</v>
      </c>
      <c r="S36" s="27">
        <f>'1_hub_LCIA'!S7</f>
        <v>0.54135999999999995</v>
      </c>
      <c r="T36" s="27">
        <f>'1_hub_LCIA'!T7</f>
        <v>0.13721</v>
      </c>
      <c r="U36" s="27">
        <f>'1_hub_LCIA'!U7</f>
        <v>2.3826E-2</v>
      </c>
      <c r="V36" s="27">
        <f>'1_hub_LCIA'!V7</f>
        <v>1.1169000000000001E-3</v>
      </c>
      <c r="W36" s="27">
        <f>'1_hub_LCIA'!W7</f>
        <v>0.24636</v>
      </c>
      <c r="X36" s="27">
        <f>'1_hub_LCIA'!X7</f>
        <v>4.0669999999999998E-2</v>
      </c>
      <c r="Y36" s="27">
        <f>'1_hub_LCIA'!Y7</f>
        <v>2.1378999999999999E-2</v>
      </c>
      <c r="Z36" s="27">
        <f>'1_hub_LCIA'!Z7</f>
        <v>2.0655E-2</v>
      </c>
      <c r="AA36" s="27">
        <f>'1_hub_LCIA'!AA7</f>
        <v>4.9317E-2</v>
      </c>
      <c r="AB36" s="27">
        <f>'1_hub_LCIA'!AB7</f>
        <v>-5.7655000000000003E-5</v>
      </c>
      <c r="AC36" s="27">
        <f>'1_hub_LCIA'!AC7</f>
        <v>3.0047999999999999E-8</v>
      </c>
      <c r="AD36" s="27">
        <f>'1_hub_LCIA'!AD7</f>
        <v>1.789E-3</v>
      </c>
      <c r="AE36" s="27">
        <f>'1_hub_LCIA'!AE7</f>
        <v>2.5623999999999998E-3</v>
      </c>
      <c r="AF36" s="27">
        <f>'1_hub_LCIA'!AF7</f>
        <v>3.9836999999999997E-3</v>
      </c>
      <c r="AG36" s="27">
        <f>'1_hub_LCIA'!AG7</f>
        <v>2.3662999999999999E-4</v>
      </c>
      <c r="AH36" s="27">
        <f>'1_hub_LCIA'!AH7</f>
        <v>2.6100000000000002E-2</v>
      </c>
      <c r="AI36" s="63">
        <f>'1_hub_LCIA'!AI7</f>
        <v>0.10387</v>
      </c>
      <c r="AK36" s="16">
        <f t="shared" si="2"/>
        <v>18.325505329200002</v>
      </c>
      <c r="AL36" s="16">
        <f t="shared" si="20"/>
        <v>3.7329548472000003</v>
      </c>
      <c r="AM36" s="16">
        <f t="shared" si="21"/>
        <v>187.65458348400003</v>
      </c>
      <c r="AN36" s="16">
        <f t="shared" si="22"/>
        <v>0.28437446663999999</v>
      </c>
      <c r="AO36" s="16">
        <f t="shared" si="23"/>
        <v>19.515770974800002</v>
      </c>
      <c r="AP36" s="16">
        <f t="shared" si="24"/>
        <v>1.5320599624800002E-2</v>
      </c>
      <c r="AQ36" s="16">
        <f t="shared" si="25"/>
        <v>0.62198191944000003</v>
      </c>
      <c r="AR36" s="16">
        <f t="shared" si="26"/>
        <v>10.18471302</v>
      </c>
      <c r="AS36" s="16">
        <f t="shared" si="27"/>
        <v>2.1294855918000004</v>
      </c>
      <c r="AT36" s="16">
        <f t="shared" si="28"/>
        <v>224.13918490350483</v>
      </c>
      <c r="AU36" s="16">
        <f t="shared" si="29"/>
        <v>0.78251160492000005</v>
      </c>
      <c r="AV36" s="16">
        <f t="shared" si="30"/>
        <v>17.9888947488</v>
      </c>
      <c r="AW36" s="16">
        <f t="shared" si="31"/>
        <v>4.5593620668000003</v>
      </c>
      <c r="AX36" s="16">
        <f t="shared" si="5"/>
        <v>0.79171606008000006</v>
      </c>
      <c r="AY36" s="16">
        <f t="shared" si="6"/>
        <v>3.7113559452000004E-2</v>
      </c>
      <c r="AZ36" s="16">
        <f t="shared" si="7"/>
        <v>8.1863161488000014</v>
      </c>
      <c r="BA36" s="16">
        <f t="shared" si="8"/>
        <v>1.3514266836</v>
      </c>
      <c r="BB36" s="16">
        <f t="shared" si="9"/>
        <v>0.71040450131999999</v>
      </c>
      <c r="BC36" s="16">
        <f t="shared" si="10"/>
        <v>0.68634664740000006</v>
      </c>
      <c r="BD36" s="16">
        <f t="shared" si="11"/>
        <v>1.6387585383600001</v>
      </c>
      <c r="BE36" s="16">
        <f t="shared" si="12"/>
        <v>-1.9158226074000003E-3</v>
      </c>
      <c r="BF36" s="16">
        <f t="shared" si="13"/>
        <v>9.9846739584000008E-7</v>
      </c>
      <c r="BG36" s="16">
        <f t="shared" si="14"/>
        <v>5.9446824120000005E-2</v>
      </c>
      <c r="BH36" s="16">
        <f t="shared" si="15"/>
        <v>8.5146194591999999E-2</v>
      </c>
      <c r="BI36" s="16">
        <f t="shared" si="16"/>
        <v>0.132374685996</v>
      </c>
      <c r="BJ36" s="16">
        <f t="shared" si="17"/>
        <v>7.8629972004000005E-3</v>
      </c>
      <c r="BK36" s="16">
        <f t="shared" si="18"/>
        <v>0.86727898800000014</v>
      </c>
      <c r="BL36" s="16">
        <f t="shared" si="19"/>
        <v>3.4515045396000006</v>
      </c>
    </row>
    <row r="37" spans="2:64" x14ac:dyDescent="0.25">
      <c r="B37" s="259"/>
      <c r="C37" s="30" t="str">
        <f>'Preparation and execution'!C44</f>
        <v>Waste</v>
      </c>
      <c r="D37" s="30" t="s">
        <v>185</v>
      </c>
      <c r="E37" s="30">
        <v>190.87401587084415</v>
      </c>
      <c r="F37" s="30" t="s">
        <v>357</v>
      </c>
      <c r="G37" s="30" t="str">
        <f>'1_hub_LCIA'!G3</f>
        <v>Waste_LCIA</v>
      </c>
      <c r="H37" s="30">
        <f>'1_hub_LCIA'!H3</f>
        <v>0.92137367923984315</v>
      </c>
      <c r="I37" s="30">
        <f>'1_hub_LCIA'!I3</f>
        <v>7.4150227088990864E-3</v>
      </c>
      <c r="J37" s="30">
        <f>'1_hub_LCIA'!J3</f>
        <v>1.2129314758971097</v>
      </c>
      <c r="K37" s="30">
        <f>'1_hub_LCIA'!K3</f>
        <v>3.4262562692058824E-4</v>
      </c>
      <c r="L37" s="30">
        <f>'1_hub_LCIA'!L3</f>
        <v>2.4021971009863689E-2</v>
      </c>
      <c r="M37" s="30">
        <f>'1_hub_LCIA'!M3</f>
        <v>1.7873447109388084E-5</v>
      </c>
      <c r="N37" s="30">
        <f>'1_hub_LCIA'!N3</f>
        <v>4.2672508138697792E-4</v>
      </c>
      <c r="O37" s="30">
        <f>'1_hub_LCIA'!O3</f>
        <v>1.1288628297498077E-2</v>
      </c>
      <c r="P37" s="30">
        <f>'1_hub_LCIA'!P3</f>
        <v>2.6948629762521352E-3</v>
      </c>
      <c r="Q37" s="30">
        <f>'1_hub_LCIA'!Q3</f>
        <v>1.25913918504504</v>
      </c>
      <c r="R37" s="30">
        <f>'1_hub_LCIA'!R3</f>
        <v>2.7132474415289547E-3</v>
      </c>
      <c r="S37" s="30">
        <f>'1_hub_LCIA'!S3</f>
        <v>0.78474574403342623</v>
      </c>
      <c r="T37" s="30">
        <f>'1_hub_LCIA'!T3</f>
        <v>2.8470261638007841E-2</v>
      </c>
      <c r="U37" s="30">
        <f>'1_hub_LCIA'!U3</f>
        <v>6.6251684209978234E-2</v>
      </c>
      <c r="V37" s="30">
        <f>'1_hub_LCIA'!V3</f>
        <v>5.0359345409850282E-5</v>
      </c>
      <c r="W37" s="30">
        <f>'1_hub_LCIA'!W3</f>
        <v>0.21849105035983196</v>
      </c>
      <c r="X37" s="30">
        <f>'1_hub_LCIA'!X3</f>
        <v>5.2985656210469906E-3</v>
      </c>
      <c r="Y37" s="30">
        <f>'1_hub_LCIA'!Y3</f>
        <v>5.7447430559831557E-2</v>
      </c>
      <c r="Z37" s="30">
        <f>'1_hub_LCIA'!Z3</f>
        <v>3.4569733566296012E-3</v>
      </c>
      <c r="AA37" s="30">
        <f>'1_hub_LCIA'!AA3</f>
        <v>1.9033977066202233E-3</v>
      </c>
      <c r="AB37" s="30">
        <f>'1_hub_LCIA'!AB3</f>
        <v>-7.6088010348561488E-6</v>
      </c>
      <c r="AC37" s="30">
        <f>'1_hub_LCIA'!AC3</f>
        <v>1.2305274251532301E-8</v>
      </c>
      <c r="AD37" s="30">
        <f>'1_hub_LCIA'!AD3</f>
        <v>2.3365090367886924E-4</v>
      </c>
      <c r="AE37" s="30">
        <f>'1_hub_LCIA'!AE3</f>
        <v>3.0384008492186092E-3</v>
      </c>
      <c r="AF37" s="30">
        <f>'1_hub_LCIA'!AF3</f>
        <v>5.26011269350906E-4</v>
      </c>
      <c r="AG37" s="30">
        <f>'1_hub_LCIA'!AG3</f>
        <v>3.0102712436936056E-5</v>
      </c>
      <c r="AH37" s="30">
        <f>'1_hub_LCIA'!AH3</f>
        <v>4.8592448613655088E-3</v>
      </c>
      <c r="AI37" s="31">
        <f>'1_hub_LCIA'!AI3</f>
        <v>7.5341690340503082E-4</v>
      </c>
      <c r="AK37" s="16">
        <f t="shared" si="2"/>
        <v>175.86629427420388</v>
      </c>
      <c r="AL37" s="16">
        <f t="shared" si="20"/>
        <v>1.4153351622210739</v>
      </c>
      <c r="AM37" s="16">
        <f t="shared" si="21"/>
        <v>231.51710178063132</v>
      </c>
      <c r="AN37" s="16">
        <f t="shared" si="22"/>
        <v>6.5398329350598292E-2</v>
      </c>
      <c r="AO37" s="16">
        <f t="shared" si="23"/>
        <v>4.5851700757856797</v>
      </c>
      <c r="AP37" s="16">
        <f t="shared" si="24"/>
        <v>3.4115766272240344E-3</v>
      </c>
      <c r="AQ37" s="16">
        <f t="shared" si="25"/>
        <v>8.1450729957145279E-2</v>
      </c>
      <c r="AR37" s="16">
        <f t="shared" si="26"/>
        <v>2.1547058168167084</v>
      </c>
      <c r="AS37" s="16">
        <f t="shared" si="27"/>
        <v>0.5143793184989004</v>
      </c>
      <c r="AT37" s="16">
        <f t="shared" si="28"/>
        <v>240.33695278988873</v>
      </c>
      <c r="AU37" s="16">
        <f t="shared" si="29"/>
        <v>0.51788843521592498</v>
      </c>
      <c r="AV37" s="16">
        <f t="shared" si="30"/>
        <v>149.78757160121359</v>
      </c>
      <c r="AW37" s="16">
        <f t="shared" si="31"/>
        <v>5.4342331717401944</v>
      </c>
      <c r="AX37" s="16">
        <f t="shared" si="5"/>
        <v>12.645725023365539</v>
      </c>
      <c r="AY37" s="16">
        <f t="shared" si="6"/>
        <v>9.6122904950050846E-3</v>
      </c>
      <c r="AZ37" s="16">
        <f t="shared" si="7"/>
        <v>41.704264214019972</v>
      </c>
      <c r="BA37" s="16">
        <f t="shared" si="8"/>
        <v>1.0113584984444324</v>
      </c>
      <c r="BB37" s="16">
        <f t="shared" si="9"/>
        <v>10.965221772416506</v>
      </c>
      <c r="BC37" s="16">
        <f t="shared" si="10"/>
        <v>0.65984638733840384</v>
      </c>
      <c r="BD37" s="16">
        <f t="shared" si="11"/>
        <v>0.36330916406195685</v>
      </c>
      <c r="BE37" s="16">
        <f t="shared" si="12"/>
        <v>-1.4523224094852279E-3</v>
      </c>
      <c r="BF37" s="16">
        <f t="shared" si="13"/>
        <v>2.3487571127820665E-6</v>
      </c>
      <c r="BG37" s="16">
        <f t="shared" si="14"/>
        <v>4.4597886297037564E-2</v>
      </c>
      <c r="BH37" s="16">
        <f t="shared" si="15"/>
        <v>0.5799517719157391</v>
      </c>
      <c r="BI37" s="16">
        <f t="shared" si="16"/>
        <v>0.10040188337432771</v>
      </c>
      <c r="BJ37" s="16">
        <f t="shared" si="17"/>
        <v>5.7458256114431899E-3</v>
      </c>
      <c r="BK37" s="16">
        <f t="shared" si="18"/>
        <v>0.92750358078859796</v>
      </c>
      <c r="BL37" s="16">
        <f t="shared" si="19"/>
        <v>0.1438077099778941</v>
      </c>
    </row>
    <row r="38" spans="2:64" x14ac:dyDescent="0.25">
      <c r="B38" s="62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2:64" x14ac:dyDescent="0.25">
      <c r="D39" s="16" t="s">
        <v>538</v>
      </c>
      <c r="F39" s="16" t="s">
        <v>264</v>
      </c>
      <c r="G39" s="16" t="s">
        <v>188</v>
      </c>
      <c r="H39" s="16">
        <f>SUMPRODUCT($E$3:$E$33,H3:H33)</f>
        <v>6919.6340455982254</v>
      </c>
      <c r="I39" s="16">
        <f>SUMPRODUCT($E$3:$E$33,I3:I33)</f>
        <v>84087.58551372918</v>
      </c>
      <c r="J39" s="16">
        <f t="shared" ref="J39:AI39" si="44">SUMPRODUCT($E$3:$E$33,J3:J33)</f>
        <v>88456.078285125113</v>
      </c>
      <c r="K39" s="16">
        <f t="shared" si="44"/>
        <v>165.01606609244939</v>
      </c>
      <c r="L39" s="16">
        <f t="shared" si="44"/>
        <v>8349.2444860429205</v>
      </c>
      <c r="M39" s="16">
        <f t="shared" si="44"/>
        <v>7.3487219194245492</v>
      </c>
      <c r="N39" s="16">
        <f t="shared" si="44"/>
        <v>38.603392511763815</v>
      </c>
      <c r="O39" s="16">
        <f t="shared" si="44"/>
        <v>4674.2619780180767</v>
      </c>
      <c r="P39" s="16">
        <f t="shared" si="44"/>
        <v>1033.3852807261369</v>
      </c>
      <c r="Q39" s="16">
        <f t="shared" si="44"/>
        <v>186811.52372416508</v>
      </c>
      <c r="R39" s="16">
        <f t="shared" si="44"/>
        <v>8251.9043354622245</v>
      </c>
      <c r="S39" s="16">
        <f t="shared" si="44"/>
        <v>6778.7436736997151</v>
      </c>
      <c r="T39" s="16">
        <f t="shared" si="44"/>
        <v>2203.9172548897509</v>
      </c>
      <c r="U39" s="16">
        <f t="shared" si="44"/>
        <v>134.64999720906332</v>
      </c>
      <c r="V39" s="16">
        <f t="shared" si="44"/>
        <v>3.2235406977877186</v>
      </c>
      <c r="W39" s="16">
        <f t="shared" si="44"/>
        <v>2551.3905721010192</v>
      </c>
      <c r="X39" s="16">
        <f t="shared" si="44"/>
        <v>585.61072848707727</v>
      </c>
      <c r="Y39" s="16">
        <f t="shared" si="44"/>
        <v>118.15365793776462</v>
      </c>
      <c r="Z39" s="16">
        <f t="shared" si="44"/>
        <v>2.8144620117789634</v>
      </c>
      <c r="AA39" s="16">
        <f t="shared" si="44"/>
        <v>132.26855869890323</v>
      </c>
      <c r="AB39" s="16">
        <f t="shared" si="44"/>
        <v>-0.42982913403655643</v>
      </c>
      <c r="AC39" s="16">
        <f t="shared" si="44"/>
        <v>3.5866581991770706E-4</v>
      </c>
      <c r="AD39" s="16">
        <f t="shared" si="44"/>
        <v>19.632605157059235</v>
      </c>
      <c r="AE39" s="16">
        <f t="shared" si="44"/>
        <v>24.841229110181427</v>
      </c>
      <c r="AF39" s="16">
        <f t="shared" si="44"/>
        <v>30.261346202578075</v>
      </c>
      <c r="AG39" s="16">
        <f t="shared" si="44"/>
        <v>13.817113458867468</v>
      </c>
      <c r="AH39" s="16">
        <f t="shared" si="44"/>
        <v>106.15257680353935</v>
      </c>
      <c r="AI39" s="16">
        <f t="shared" si="44"/>
        <v>125.07150111241091</v>
      </c>
    </row>
    <row r="40" spans="2:64" x14ac:dyDescent="0.25">
      <c r="D40" s="16" t="str">
        <f>D39</f>
        <v>Preparation</v>
      </c>
      <c r="E40" s="16">
        <v>1</v>
      </c>
      <c r="F40" s="16" t="s">
        <v>357</v>
      </c>
      <c r="G40" s="16" t="s">
        <v>188</v>
      </c>
      <c r="H40" s="16">
        <f>H39/'1_hub_LCIA'!$C$20</f>
        <v>18.066929622971866</v>
      </c>
      <c r="I40" s="16">
        <f>I39/'1_hub_LCIA'!$C$20</f>
        <v>219.54983162853571</v>
      </c>
      <c r="J40" s="16">
        <f>J39/'1_hub_LCIA'!$C$20</f>
        <v>230.95581797682797</v>
      </c>
      <c r="K40" s="16">
        <f>K39/'1_hub_LCIA'!$C$20</f>
        <v>0.43085134749986786</v>
      </c>
      <c r="L40" s="16">
        <f>L39/'1_hub_LCIA'!$C$20</f>
        <v>21.799593958336608</v>
      </c>
      <c r="M40" s="16">
        <f>M39/'1_hub_LCIA'!$C$20</f>
        <v>1.9187263497192034E-2</v>
      </c>
      <c r="N40" s="16">
        <f>N39/'1_hub_LCIA'!$C$20</f>
        <v>0.10079214755029717</v>
      </c>
      <c r="O40" s="16">
        <f>O39/'1_hub_LCIA'!$C$20</f>
        <v>12.204339368193411</v>
      </c>
      <c r="P40" s="16">
        <f>P39/'1_hub_LCIA'!$C$20</f>
        <v>2.6981338922353442</v>
      </c>
      <c r="Q40" s="16">
        <f>Q39/'1_hub_LCIA'!$C$20</f>
        <v>487.75854758267644</v>
      </c>
      <c r="R40" s="16">
        <f>R39/'1_hub_LCIA'!$C$20</f>
        <v>21.545442129144188</v>
      </c>
      <c r="S40" s="16">
        <f>S39/'1_hub_LCIA'!$C$20</f>
        <v>17.699069644124581</v>
      </c>
      <c r="T40" s="16">
        <f>T39/'1_hub_LCIA'!$C$20</f>
        <v>5.7543531459262427</v>
      </c>
      <c r="U40" s="16">
        <f>U39/'1_hub_LCIA'!$C$20</f>
        <v>0.35156657234742378</v>
      </c>
      <c r="V40" s="16">
        <f>V39/'1_hub_LCIA'!$C$20</f>
        <v>8.4165553467042253E-3</v>
      </c>
      <c r="W40" s="16">
        <f>W39/'1_hub_LCIA'!$C$20</f>
        <v>6.6615941830313821</v>
      </c>
      <c r="X40" s="16">
        <f>X39/'1_hub_LCIA'!$C$20</f>
        <v>1.5290097349532044</v>
      </c>
      <c r="Y40" s="16">
        <f>Y39/'1_hub_LCIA'!$C$20</f>
        <v>0.30849519043802776</v>
      </c>
      <c r="Z40" s="16">
        <f>Z39/'1_hub_LCIA'!$C$20</f>
        <v>7.3484647827126983E-3</v>
      </c>
      <c r="AA40" s="16">
        <f>AA39/'1_hub_LCIA'!$C$20</f>
        <v>0.34534871722951238</v>
      </c>
      <c r="AB40" s="16">
        <f>AB39/'1_hub_LCIA'!$C$20</f>
        <v>-1.1222692794688157E-3</v>
      </c>
      <c r="AC40" s="16">
        <f>AC39/'1_hub_LCIA'!$C$20</f>
        <v>9.3646428176947011E-7</v>
      </c>
      <c r="AD40" s="16">
        <f>AD39/'1_hub_LCIA'!$C$20</f>
        <v>5.1260065684227765E-2</v>
      </c>
      <c r="AE40" s="16">
        <f>AE39/'1_hub_LCIA'!$C$20</f>
        <v>6.4859606031805295E-2</v>
      </c>
      <c r="AF40" s="16">
        <f>AF39/'1_hub_LCIA'!$C$20</f>
        <v>7.9011347787410119E-2</v>
      </c>
      <c r="AG40" s="16">
        <f>AG39/'1_hub_LCIA'!$C$20</f>
        <v>3.6076014252917669E-2</v>
      </c>
      <c r="AH40" s="16">
        <f>AH39/'1_hub_LCIA'!$C$20</f>
        <v>0.27716077494396696</v>
      </c>
      <c r="AI40" s="16">
        <f>AI39/'1_hub_LCIA'!$C$20</f>
        <v>0.32655744415773086</v>
      </c>
    </row>
    <row r="41" spans="2:64" x14ac:dyDescent="0.25">
      <c r="D41" s="16" t="s">
        <v>539</v>
      </c>
      <c r="F41" s="16" t="str">
        <f>F39</f>
        <v>total</v>
      </c>
      <c r="G41" s="16" t="str">
        <f>G39</f>
        <v>Calculation</v>
      </c>
      <c r="H41" s="16" cm="1">
        <f t="array" ref="H41">SUMPRODUCT($E$34:$E$37*H34:H37)</f>
        <v>6912.3530178270039</v>
      </c>
      <c r="I41" s="16" cm="1">
        <f t="array" ref="I41">SUMPRODUCT($E$34:$E$37*I34:I37)</f>
        <v>909.24412108022102</v>
      </c>
      <c r="J41" s="16" cm="1">
        <f t="array" ref="J41">SUMPRODUCT($E$34:$E$37*J34:J37)</f>
        <v>74229.947479440641</v>
      </c>
      <c r="K41" s="16" cm="1">
        <f t="array" ref="K41">SUMPRODUCT($E$34:$E$37*K34:K37)</f>
        <v>5.8187915445505984</v>
      </c>
      <c r="L41" s="16" cm="1">
        <f t="array" ref="L41">SUMPRODUCT($E$34:$E$37*L34:L37)</f>
        <v>47397.401476874591</v>
      </c>
      <c r="M41" s="16" cm="1">
        <f t="array" ref="M41">SUMPRODUCT($E$34:$E$37*M34:M37)</f>
        <v>0.17483982400882403</v>
      </c>
      <c r="N41" s="16" cm="1">
        <f t="array" ref="N41">SUMPRODUCT($E$34:$E$37*N34:N37)</f>
        <v>165.07341343902914</v>
      </c>
      <c r="O41" s="16" cm="1">
        <f t="array" ref="O41">SUMPRODUCT($E$34:$E$37*O34:O37)</f>
        <v>786.05959916721679</v>
      </c>
      <c r="P41" s="16" cm="1">
        <f t="array" ref="P41">SUMPRODUCT($E$34:$E$37*P34:P37)</f>
        <v>1399.5626812254989</v>
      </c>
      <c r="Q41" s="16" cm="1">
        <f t="array" ref="Q41">SUMPRODUCT($E$34:$E$37*Q34:Q37)</f>
        <v>124893.28240259574</v>
      </c>
      <c r="R41" s="16" cm="1">
        <f t="array" ref="R41">SUMPRODUCT($E$34:$E$37*R34:R37)</f>
        <v>153.65531034097592</v>
      </c>
      <c r="S41" s="16" cm="1">
        <f t="array" ref="S41">SUMPRODUCT($E$34:$E$37*S34:S37)</f>
        <v>6820.0067046172135</v>
      </c>
      <c r="T41" s="16" cm="1">
        <f t="array" ref="T41">SUMPRODUCT($E$34:$E$37*T34:T37)</f>
        <v>1853.8180201021403</v>
      </c>
      <c r="U41" s="16" cm="1">
        <f t="array" ref="U41">SUMPRODUCT($E$34:$E$37*U34:U37)</f>
        <v>317.15769513268549</v>
      </c>
      <c r="V41" s="16" cm="1">
        <f t="array" ref="V41">SUMPRODUCT($E$34:$E$37*V34:V37)</f>
        <v>3.8700750981494054</v>
      </c>
      <c r="W41" s="16" cm="1">
        <f t="array" ref="W41">SUMPRODUCT($E$34:$E$37*W34:W37)</f>
        <v>2733.4959822908199</v>
      </c>
      <c r="X41" s="16" cm="1">
        <f t="array" ref="X41">SUMPRODUCT($E$34:$E$37*X34:X37)</f>
        <v>3080.582478882844</v>
      </c>
      <c r="Y41" s="16" cm="1">
        <f t="array" ref="Y41">SUMPRODUCT($E$34:$E$37*Y34:Y37)</f>
        <v>271.3635296333365</v>
      </c>
      <c r="Z41" s="16" cm="1">
        <f t="array" ref="Z41">SUMPRODUCT($E$34:$E$37*Z34:Z37)</f>
        <v>2.647863643865604</v>
      </c>
      <c r="AA41" s="16" cm="1">
        <f t="array" ref="AA41">SUMPRODUCT($E$34:$E$37*AA34:AA37)</f>
        <v>129.27317389430195</v>
      </c>
      <c r="AB41" s="16" cm="1">
        <f t="array" ref="AB41">SUMPRODUCT($E$34:$E$37*AB34:AB37)</f>
        <v>-0.26960410373372518</v>
      </c>
      <c r="AC41" s="16" cm="1">
        <f t="array" ref="AC41">SUMPRODUCT($E$34:$E$37*AC34:AC37)</f>
        <v>2.0551555178182206E-4</v>
      </c>
      <c r="AD41" s="16" cm="1">
        <f t="array" ref="AD41">SUMPRODUCT($E$34:$E$37*AD34:AD37)</f>
        <v>12.435294969393038</v>
      </c>
      <c r="AE41" s="16" cm="1">
        <f t="array" ref="AE41">SUMPRODUCT($E$34:$E$37*AE34:AE37)</f>
        <v>11.47715208093974</v>
      </c>
      <c r="AF41" s="16" cm="1">
        <f t="array" ref="AF41">SUMPRODUCT($E$34:$E$37*AF34:AF37)</f>
        <v>20.723229343938332</v>
      </c>
      <c r="AG41" s="16" cm="1">
        <f t="array" ref="AG41">SUMPRODUCT($E$34:$E$37*AG34:AG37)</f>
        <v>0.30825118368340321</v>
      </c>
      <c r="AH41" s="16" cm="1">
        <f t="array" ref="AH41">SUMPRODUCT($E$34:$E$37*AH34:AH37)</f>
        <v>29.836638938132598</v>
      </c>
      <c r="AI41" s="16" cm="1">
        <f t="array" ref="AI41">SUMPRODUCT($E$34:$E$37*AI34:AI37)</f>
        <v>28.369648283417899</v>
      </c>
    </row>
    <row r="42" spans="2:64" x14ac:dyDescent="0.25">
      <c r="D42" s="16" t="s">
        <v>539</v>
      </c>
      <c r="E42" s="16">
        <f>E40</f>
        <v>1</v>
      </c>
      <c r="F42" s="16" t="s">
        <v>357</v>
      </c>
      <c r="G42" s="16" t="str">
        <f t="shared" ref="G42" si="45">G40</f>
        <v>Calculation</v>
      </c>
      <c r="H42" s="16">
        <f>H41/'1_hub_LCIA'!$C$20</f>
        <v>18.04791910659792</v>
      </c>
      <c r="I42" s="16">
        <f>I41/'1_hub_LCIA'!$C$20</f>
        <v>2.3740055380684622</v>
      </c>
      <c r="J42" s="16">
        <f>J41/'1_hub_LCIA'!$C$20</f>
        <v>193.81187331446642</v>
      </c>
      <c r="K42" s="16">
        <f>K41/'1_hub_LCIA'!$C$20</f>
        <v>1.5192667218147776E-2</v>
      </c>
      <c r="L42" s="16">
        <f>L41/'1_hub_LCIA'!$C$20</f>
        <v>123.75300646703549</v>
      </c>
      <c r="M42" s="16">
        <f>M41/'1_hub_LCIA'!$C$20</f>
        <v>4.5650084597604186E-4</v>
      </c>
      <c r="N42" s="16">
        <f>N41/'1_hub_LCIA'!$C$20</f>
        <v>0.43100107947527189</v>
      </c>
      <c r="O42" s="16">
        <f>O41/'1_hub_LCIA'!$C$20</f>
        <v>2.05237493255148</v>
      </c>
      <c r="P42" s="16">
        <f>P41/'1_hub_LCIA'!$C$20</f>
        <v>3.6542106559412502</v>
      </c>
      <c r="Q42" s="16">
        <f>Q41/'1_hub_LCIA'!$C$20</f>
        <v>326.09212115560246</v>
      </c>
      <c r="R42" s="16">
        <f>R41/'1_hub_LCIA'!$C$20</f>
        <v>0.40118879984589012</v>
      </c>
      <c r="S42" s="16">
        <f>S41/'1_hub_LCIA'!$C$20</f>
        <v>17.806806017277321</v>
      </c>
      <c r="T42" s="16">
        <f>T41/'1_hub_LCIA'!$C$20</f>
        <v>4.8402559271596353</v>
      </c>
      <c r="U42" s="16">
        <f>U41/'1_hub_LCIA'!$C$20</f>
        <v>0.82808797684774282</v>
      </c>
      <c r="V42" s="16">
        <f>V41/'1_hub_LCIA'!$C$20</f>
        <v>1.0104634721016725E-2</v>
      </c>
      <c r="W42" s="16">
        <f>W41/'1_hub_LCIA'!$C$20</f>
        <v>7.1370652279133679</v>
      </c>
      <c r="X42" s="16">
        <f>X41/'1_hub_LCIA'!$C$20</f>
        <v>8.0432962895113427</v>
      </c>
      <c r="Y42" s="16">
        <f>Y41/'1_hub_LCIA'!$C$20</f>
        <v>0.70852096510009532</v>
      </c>
      <c r="Z42" s="16">
        <f>Z41/'1_hub_LCIA'!$C$20</f>
        <v>6.9134820988658065E-3</v>
      </c>
      <c r="AA42" s="16">
        <f>AA41/'1_hub_LCIA'!$C$20</f>
        <v>0.33752786917572308</v>
      </c>
      <c r="AB42" s="16">
        <f>AB41/'1_hub_LCIA'!$C$20</f>
        <v>-7.0392716379562704E-4</v>
      </c>
      <c r="AC42" s="16">
        <f>AC41/'1_hub_LCIA'!$C$20</f>
        <v>5.3659412997864764E-7</v>
      </c>
      <c r="AD42" s="16">
        <f>AD41/'1_hub_LCIA'!$C$20</f>
        <v>3.2468133079355192E-2</v>
      </c>
      <c r="AE42" s="16">
        <f>AE41/'1_hub_LCIA'!$C$20</f>
        <v>2.9966454519424909E-2</v>
      </c>
      <c r="AF42" s="16">
        <f>AF41/'1_hub_LCIA'!$C$20</f>
        <v>5.4107648417593558E-2</v>
      </c>
      <c r="AG42" s="16">
        <f>AG41/'1_hub_LCIA'!$C$20</f>
        <v>8.0483337776345487E-4</v>
      </c>
      <c r="AH42" s="16">
        <f>AH41/'1_hub_LCIA'!$C$20</f>
        <v>7.7902451535594247E-2</v>
      </c>
      <c r="AI42" s="16">
        <f>AI41/'1_hub_LCIA'!$C$20</f>
        <v>7.4072188729550653E-2</v>
      </c>
    </row>
    <row r="44" spans="2:64" x14ac:dyDescent="0.25">
      <c r="D44" s="16" t="s">
        <v>823</v>
      </c>
      <c r="F44" s="16" t="s">
        <v>357</v>
      </c>
      <c r="H44" s="16">
        <f>'Preparation and execution'!$D$38*Electricity_LCIA!G7+SUMPRODUCT($E$35:$E$37,H35:H37)/'1_hub_LCIA'!$C$20</f>
        <v>17.838221259078342</v>
      </c>
      <c r="I44" s="16">
        <f>'Preparation and execution'!$D$38*Electricity_LCIA!H7+SUMPRODUCT($E$35:$E$37,I35:I37)/'1_hub_LCIA'!$C$20</f>
        <v>2.559495896188567</v>
      </c>
      <c r="J44" s="16">
        <f>'Preparation and execution'!$D$38*Electricity_LCIA!I7+SUMPRODUCT($E$35:$E$37,J35:J37)/'1_hub_LCIA'!$C$20</f>
        <v>191.83594676616354</v>
      </c>
      <c r="K44" s="16">
        <f>'Preparation and execution'!$D$38*Electricity_LCIA!J7+SUMPRODUCT($E$35:$E$37,K35:K37)/'1_hub_LCIA'!$C$20</f>
        <v>2.1496113273500258E-2</v>
      </c>
      <c r="L44" s="16">
        <f>'Preparation and execution'!$D$38*Electricity_LCIA!K7+SUMPRODUCT($E$35:$E$37,L35:L37)/'1_hub_LCIA'!$C$20</f>
        <v>116.33640396050806</v>
      </c>
      <c r="M44" s="16">
        <f>'Preparation and execution'!$D$38*Electricity_LCIA!L7+SUMPRODUCT($E$35:$E$37,M35:M37)/'1_hub_LCIA'!$C$20</f>
        <v>5.0736871908309159E-4</v>
      </c>
      <c r="N44" s="16">
        <f>'Preparation and execution'!$D$38*Electricity_LCIA!M7+SUMPRODUCT($E$35:$E$37,N35:N37)/'1_hub_LCIA'!$C$20</f>
        <v>1.7234389095536009</v>
      </c>
      <c r="O44" s="16">
        <f>'Preparation and execution'!$D$38*Electricity_LCIA!N7+SUMPRODUCT($E$35:$E$37,O35:O37)/'1_hub_LCIA'!$C$20</f>
        <v>2.4519128988177985</v>
      </c>
      <c r="P44" s="16">
        <f>'Preparation and execution'!$D$38*Electricity_LCIA!O7+SUMPRODUCT($E$35:$E$37,P35:P37)/'1_hub_LCIA'!$C$20</f>
        <v>5.3887283854451677</v>
      </c>
      <c r="Q44" s="16">
        <f>'Preparation and execution'!$D$38*Electricity_LCIA!P7+SUMPRODUCT($E$35:$E$37,Q35:Q37)/'1_hub_LCIA'!$C$20</f>
        <v>320.31793029866935</v>
      </c>
      <c r="R44" s="16">
        <f>'Preparation and execution'!$D$38*Electricity_LCIA!Q7+SUMPRODUCT($E$35:$E$37,R35:R37)/'1_hub_LCIA'!$C$20</f>
        <v>0.42482867733936275</v>
      </c>
      <c r="S44" s="16">
        <f>'Preparation and execution'!$D$38*Electricity_LCIA!R7+SUMPRODUCT($E$35:$E$37,S35:S37)/'1_hub_LCIA'!$C$20</f>
        <v>17.597803204744682</v>
      </c>
      <c r="T44" s="16">
        <f>'Preparation and execution'!$D$38*Electricity_LCIA!S7+SUMPRODUCT($E$35:$E$37,T35:T37)/'1_hub_LCIA'!$C$20</f>
        <v>4.7718529005277812</v>
      </c>
      <c r="U44" s="16">
        <f>'Preparation and execution'!$D$38*Electricity_LCIA!T7+SUMPRODUCT($E$35:$E$37,U35:U37)/'1_hub_LCIA'!$C$20</f>
        <v>0.85344516995479269</v>
      </c>
      <c r="V44" s="16">
        <f>'Preparation and execution'!$D$38*Electricity_LCIA!U7+SUMPRODUCT($E$35:$E$37,V35:V37)/'1_hub_LCIA'!$C$20</f>
        <v>1.1386105478196882E-2</v>
      </c>
      <c r="W44" s="16">
        <f>'Preparation and execution'!$D$38*Electricity_LCIA!V7+SUMPRODUCT($E$35:$E$37,W35:W37)/'1_hub_LCIA'!$C$20</f>
        <v>7.8471593062423501</v>
      </c>
      <c r="X44" s="16">
        <f>'Preparation and execution'!$D$38*Electricity_LCIA!W7+SUMPRODUCT($E$35:$E$37,X35:X37)/'1_hub_LCIA'!$C$20</f>
        <v>7.4919742660126492</v>
      </c>
      <c r="Y44" s="16">
        <f>'Preparation and execution'!$D$38*Electricity_LCIA!X7+SUMPRODUCT($E$35:$E$37,Y35:Y37)/'1_hub_LCIA'!$C$20</f>
        <v>0.73407798076589181</v>
      </c>
      <c r="Z44" s="16">
        <f>'Preparation and execution'!$D$38*Electricity_LCIA!Y7+SUMPRODUCT($E$35:$E$37,Z35:Z37)/'1_hub_LCIA'!$C$20</f>
        <v>7.1487514419467466E-3</v>
      </c>
      <c r="AA44" s="16">
        <f>'Preparation and execution'!$D$38*Electricity_LCIA!Z7+SUMPRODUCT($E$35:$E$37,AA35:AA37)/'1_hub_LCIA'!$C$20</f>
        <v>0.34649382050731586</v>
      </c>
      <c r="AB44" s="16">
        <f>'Preparation and execution'!$D$38*Electricity_LCIA!AA7+SUMPRODUCT($E$35:$E$37,AB35:AB37)/'1_hub_LCIA'!$C$20</f>
        <v>-6.9653662510111029E-4</v>
      </c>
      <c r="AC44" s="16">
        <f>'Preparation and execution'!$D$38*Electricity_LCIA!AB7+SUMPRODUCT($E$35:$E$37,AC35:AC37)/'1_hub_LCIA'!$C$20</f>
        <v>5.210050744172901E-7</v>
      </c>
      <c r="AD44" s="16">
        <f>'Preparation and execution'!$D$38*Electricity_LCIA!AC7+SUMPRODUCT($E$35:$E$37,AD35:AD37)/'1_hub_LCIA'!$C$20</f>
        <v>3.0183205559772948E-2</v>
      </c>
      <c r="AE44" s="16">
        <f>'Preparation and execution'!$D$38*Electricity_LCIA!AD7+SUMPRODUCT($E$35:$E$37,AE35:AE37)/'1_hub_LCIA'!$C$20</f>
        <v>2.9209677257806113E-2</v>
      </c>
      <c r="AF44" s="16">
        <f>'Preparation and execution'!$D$38*Electricity_LCIA!AE7+SUMPRODUCT($E$35:$E$37,AF35:AF37)/'1_hub_LCIA'!$C$20</f>
        <v>5.1469324566940811E-2</v>
      </c>
      <c r="AG44" s="16">
        <f>'Preparation and execution'!$D$38*Electricity_LCIA!AF7+SUMPRODUCT($E$35:$E$37,AG35:AG37)/'1_hub_LCIA'!$C$20</f>
        <v>8.0875742946058288E-4</v>
      </c>
      <c r="AH44" s="16">
        <f>'Preparation and execution'!$D$38*Electricity_LCIA!AG7+SUMPRODUCT($E$35:$E$37,AH35:AH37)/'1_hub_LCIA'!$C$20</f>
        <v>7.9969022230111222E-2</v>
      </c>
      <c r="AI44" s="16">
        <f>'Preparation and execution'!$D$38*Electricity_LCIA!AH7+SUMPRODUCT($E$35:$E$37,AI35:AI37)/'1_hub_LCIA'!$C$20</f>
        <v>7.4341225189080679E-2</v>
      </c>
    </row>
    <row r="45" spans="2:64" x14ac:dyDescent="0.25">
      <c r="D45" s="16" t="s">
        <v>824</v>
      </c>
      <c r="F45" s="16" t="s">
        <v>357</v>
      </c>
      <c r="H45" s="16">
        <f>'Preparation and execution'!$D$38*Electricity_LCIA!G11+SUMPRODUCT($E$35:$E$37,H35:H37)/'1_hub_LCIA'!$C$20</f>
        <v>15.988737614169722</v>
      </c>
      <c r="I45" s="16">
        <f>'Preparation and execution'!$D$38*Electricity_LCIA!H11+SUMPRODUCT($E$35:$E$37,I35:I37)/'1_hub_LCIA'!$C$20</f>
        <v>3.2972920196350421</v>
      </c>
      <c r="J45" s="16">
        <f>'Preparation and execution'!$D$38*Electricity_LCIA!I11+SUMPRODUCT($E$35:$E$37,J35:J37)/'1_hub_LCIA'!$C$20</f>
        <v>177.78776000898341</v>
      </c>
      <c r="K45" s="16">
        <f>'Preparation and execution'!$D$38*Electricity_LCIA!J11+SUMPRODUCT($E$35:$E$37,K35:K37)/'1_hub_LCIA'!$C$20</f>
        <v>1.4726397649121428</v>
      </c>
      <c r="L45" s="16">
        <f>'Preparation and execution'!$D$38*Electricity_LCIA!K11+SUMPRODUCT($E$35:$E$37,L35:L37)/'1_hub_LCIA'!$C$20</f>
        <v>87.112974780351408</v>
      </c>
      <c r="M45" s="16">
        <f>'Preparation and execution'!$D$38*Electricity_LCIA!L11+SUMPRODUCT($E$35:$E$37,M35:M37)/'1_hub_LCIA'!$C$20</f>
        <v>5.4570687866533696E-4</v>
      </c>
      <c r="N45" s="16">
        <f>'Preparation and execution'!$D$38*Electricity_LCIA!M11+SUMPRODUCT($E$35:$E$37,N35:N37)/'1_hub_LCIA'!$C$20</f>
        <v>4.5460572274648285</v>
      </c>
      <c r="O45" s="16">
        <f>'Preparation and execution'!$D$38*Electricity_LCIA!N11+SUMPRODUCT($E$35:$E$37,O35:O37)/'1_hub_LCIA'!$C$20</f>
        <v>11.136253726598479</v>
      </c>
      <c r="P45" s="16">
        <f>'Preparation and execution'!$D$38*Electricity_LCIA!O11+SUMPRODUCT($E$35:$E$37,P35:P37)/'1_hub_LCIA'!$C$20</f>
        <v>6.8650925964112242</v>
      </c>
      <c r="Q45" s="16">
        <f>'Preparation and execution'!$D$38*Electricity_LCIA!P11+SUMPRODUCT($E$35:$E$37,Q35:Q37)/'1_hub_LCIA'!$C$20</f>
        <v>292.21861583123518</v>
      </c>
      <c r="R45" s="16">
        <f>'Preparation and execution'!$D$38*Electricity_LCIA!Q11+SUMPRODUCT($E$35:$E$37,R35:R37)/'1_hub_LCIA'!$C$20</f>
        <v>0.52472644214354036</v>
      </c>
      <c r="S45" s="16">
        <f>'Preparation and execution'!$D$38*Electricity_LCIA!R11+SUMPRODUCT($E$35:$E$37,S35:S37)/'1_hub_LCIA'!$C$20</f>
        <v>15.765502369235545</v>
      </c>
      <c r="T45" s="16">
        <f>'Preparation and execution'!$D$38*Electricity_LCIA!S11+SUMPRODUCT($E$35:$E$37,T35:T37)/'1_hub_LCIA'!$C$20</f>
        <v>4.4507883198489298</v>
      </c>
      <c r="U45" s="16">
        <f>'Preparation and execution'!$D$38*Electricity_LCIA!T11+SUMPRODUCT($E$35:$E$37,U35:U37)/'1_hub_LCIA'!$C$20</f>
        <v>0.86680350478507995</v>
      </c>
      <c r="V45" s="16">
        <f>'Preparation and execution'!$D$38*Electricity_LCIA!U11+SUMPRODUCT($E$35:$E$37,V35:V37)/'1_hub_LCIA'!$C$20</f>
        <v>1.2078277158614635E-2</v>
      </c>
      <c r="W45" s="16">
        <f>'Preparation and execution'!$D$38*Electricity_LCIA!V11+SUMPRODUCT($E$35:$E$37,W35:W37)/'1_hub_LCIA'!$C$20</f>
        <v>8.1256485386183286</v>
      </c>
      <c r="X45" s="16">
        <f>'Preparation and execution'!$D$38*Electricity_LCIA!W11+SUMPRODUCT($E$35:$E$37,X35:X37)/'1_hub_LCIA'!$C$20</f>
        <v>5.6001595746288357</v>
      </c>
      <c r="Y45" s="16">
        <f>'Preparation and execution'!$D$38*Electricity_LCIA!X11+SUMPRODUCT($E$35:$E$37,Y35:Y37)/'1_hub_LCIA'!$C$20</f>
        <v>0.74645925679722336</v>
      </c>
      <c r="Z45" s="16">
        <f>'Preparation and execution'!$D$38*Electricity_LCIA!Y11+SUMPRODUCT($E$35:$E$37,Z35:Z37)/'1_hub_LCIA'!$C$20</f>
        <v>7.1371467338527533E-3</v>
      </c>
      <c r="AA45" s="16">
        <f>'Preparation and execution'!$D$38*Electricity_LCIA!Z11+SUMPRODUCT($E$35:$E$37,AA35:AA37)/'1_hub_LCIA'!$C$20</f>
        <v>0.34460683022010963</v>
      </c>
      <c r="AB45" s="16">
        <f>'Preparation and execution'!$D$38*Electricity_LCIA!AA11+SUMPRODUCT($E$35:$E$37,AB35:AB37)/'1_hub_LCIA'!$C$20</f>
        <v>-6.0855826478779438E-4</v>
      </c>
      <c r="AC45" s="16">
        <f>'Preparation and execution'!$D$38*Electricity_LCIA!AB11+SUMPRODUCT($E$35:$E$37,AC35:AC37)/'1_hub_LCIA'!$C$20</f>
        <v>5.1664818522668946E-7</v>
      </c>
      <c r="AD45" s="16">
        <f>'Preparation and execution'!$D$38*Electricity_LCIA!AC11+SUMPRODUCT($E$35:$E$37,AD35:AD37)/'1_hub_LCIA'!$C$20</f>
        <v>3.4111460139407412E-2</v>
      </c>
      <c r="AE45" s="16">
        <f>'Preparation and execution'!$D$38*Electricity_LCIA!AD11+SUMPRODUCT($E$35:$E$37,AE35:AE37)/'1_hub_LCIA'!$C$20</f>
        <v>2.6417754387832219E-2</v>
      </c>
      <c r="AF45" s="16">
        <f>'Preparation and execution'!$D$38*Electricity_LCIA!AE11+SUMPRODUCT($E$35:$E$37,AF35:AF37)/'1_hub_LCIA'!$C$20</f>
        <v>4.1593060071901639E-2</v>
      </c>
      <c r="AG45" s="16">
        <f>'Preparation and execution'!$D$38*Electricity_LCIA!AF11+SUMPRODUCT($E$35:$E$37,AG35:AG37)/'1_hub_LCIA'!$C$20</f>
        <v>8.5433702194100049E-4</v>
      </c>
      <c r="AH45" s="16">
        <f>'Preparation and execution'!$D$38*Electricity_LCIA!AG11+SUMPRODUCT($E$35:$E$37,AH35:AH37)/'1_hub_LCIA'!$C$20</f>
        <v>7.8465311065620366E-2</v>
      </c>
      <c r="AI45" s="16">
        <f>'Preparation and execution'!$D$38*Electricity_LCIA!AH11+SUMPRODUCT($E$35:$E$37,AI35:AI37)/'1_hub_LCIA'!$C$20</f>
        <v>8.177740154417204E-2</v>
      </c>
    </row>
    <row r="46" spans="2:64" x14ac:dyDescent="0.25">
      <c r="D46" s="16" t="s">
        <v>825</v>
      </c>
      <c r="F46" s="16" t="s">
        <v>357</v>
      </c>
      <c r="H46" s="16">
        <f>'Preparation and execution'!$D$38*Electricity_LCIA!G16+SUMPRODUCT($E$35:$E$37,H35:H37)/'1_hub_LCIA'!$C$20</f>
        <v>16.843846732707583</v>
      </c>
      <c r="I46" s="16">
        <f>'Preparation and execution'!$D$38*Electricity_LCIA!H16+SUMPRODUCT($E$35:$E$37,I35:I37)/'1_hub_LCIA'!$C$20</f>
        <v>2.9537712001050158</v>
      </c>
      <c r="J46" s="16">
        <f>'Preparation and execution'!$D$38*Electricity_LCIA!I16+SUMPRODUCT($E$35:$E$37,J35:J37)/'1_hub_LCIA'!$C$20</f>
        <v>184.29197315780843</v>
      </c>
      <c r="K46" s="16">
        <f>'Preparation and execution'!$D$38*Electricity_LCIA!J16+SUMPRODUCT($E$35:$E$37,K35:K37)/'1_hub_LCIA'!$C$20</f>
        <v>0.80543320361292592</v>
      </c>
      <c r="L46" s="16">
        <f>'Preparation and execution'!$D$38*Electricity_LCIA!K16+SUMPRODUCT($E$35:$E$37,L35:L37)/'1_hub_LCIA'!$C$20</f>
        <v>100.72115835215297</v>
      </c>
      <c r="M46" s="16">
        <f>'Preparation and execution'!$D$38*Electricity_LCIA!L16+SUMPRODUCT($E$35:$E$37,M35:M37)/'1_hub_LCIA'!$C$20</f>
        <v>5.2688457380894007E-4</v>
      </c>
      <c r="N46" s="16">
        <f>'Preparation and execution'!$D$38*Electricity_LCIA!M16+SUMPRODUCT($E$35:$E$37,N35:N37)/'1_hub_LCIA'!$C$20</f>
        <v>3.2180964265248804</v>
      </c>
      <c r="O46" s="16">
        <f>'Preparation and execution'!$D$38*Electricity_LCIA!N16+SUMPRODUCT($E$35:$E$37,O35:O37)/'1_hub_LCIA'!$C$20</f>
        <v>7.1348399573034378</v>
      </c>
      <c r="P46" s="16">
        <f>'Preparation and execution'!$D$38*Electricity_LCIA!O16+SUMPRODUCT($E$35:$E$37,P35:P37)/'1_hub_LCIA'!$C$20</f>
        <v>6.1455531708237574</v>
      </c>
      <c r="Q46" s="16">
        <f>'Preparation and execution'!$D$38*Electricity_LCIA!P16+SUMPRODUCT($E$35:$E$37,Q35:Q37)/'1_hub_LCIA'!$C$20</f>
        <v>305.2713523529053</v>
      </c>
      <c r="R46" s="16">
        <f>'Preparation and execution'!$D$38*Electricity_LCIA!Q16+SUMPRODUCT($E$35:$E$37,R35:R37)/'1_hub_LCIA'!$C$20</f>
        <v>0.47824842783544619</v>
      </c>
      <c r="S46" s="16">
        <f>'Preparation and execution'!$D$38*Electricity_LCIA!R16+SUMPRODUCT($E$35:$E$37,S35:S37)/'1_hub_LCIA'!$C$20</f>
        <v>16.61269655409194</v>
      </c>
      <c r="T46" s="16">
        <f>'Preparation and execution'!$D$38*Electricity_LCIA!S16+SUMPRODUCT($E$35:$E$37,T35:T37)/'1_hub_LCIA'!$C$20</f>
        <v>4.5999869360369194</v>
      </c>
      <c r="U46" s="16">
        <f>'Preparation and execution'!$D$38*Electricity_LCIA!T16+SUMPRODUCT($E$35:$E$37,U35:U37)/'1_hub_LCIA'!$C$20</f>
        <v>0.86006522969369592</v>
      </c>
      <c r="V46" s="16">
        <f>'Preparation and execution'!$D$38*Electricity_LCIA!U16+SUMPRODUCT($E$35:$E$37,V35:V37)/'1_hub_LCIA'!$C$20</f>
        <v>1.1729893099084608E-2</v>
      </c>
      <c r="W46" s="16">
        <f>'Preparation and execution'!$D$38*Electricity_LCIA!V16+SUMPRODUCT($E$35:$E$37,W35:W37)/'1_hub_LCIA'!$C$20</f>
        <v>7.9808941365295558</v>
      </c>
      <c r="X46" s="16">
        <f>'Preparation and execution'!$D$38*Electricity_LCIA!W16+SUMPRODUCT($E$35:$E$37,X35:X37)/'1_hub_LCIA'!$C$20</f>
        <v>6.4827804947332748</v>
      </c>
      <c r="Y46" s="16">
        <f>'Preparation and execution'!$D$38*Electricity_LCIA!X16+SUMPRODUCT($E$35:$E$37,Y35:Y37)/'1_hub_LCIA'!$C$20</f>
        <v>0.74016540311576107</v>
      </c>
      <c r="Z46" s="16">
        <f>'Preparation and execution'!$D$38*Electricity_LCIA!Y16+SUMPRODUCT($E$35:$E$37,Z35:Z37)/'1_hub_LCIA'!$C$20</f>
        <v>7.1369351046099323E-3</v>
      </c>
      <c r="AA46" s="16">
        <f>'Preparation and execution'!$D$38*Electricity_LCIA!Z16+SUMPRODUCT($E$35:$E$37,AA35:AA37)/'1_hub_LCIA'!$C$20</f>
        <v>0.34526288087285112</v>
      </c>
      <c r="AB46" s="16">
        <f>'Preparation and execution'!$D$38*Electricity_LCIA!AA16+SUMPRODUCT($E$35:$E$37,AB35:AB37)/'1_hub_LCIA'!$C$20</f>
        <v>-6.4917414906977863E-4</v>
      </c>
      <c r="AC46" s="16">
        <f>'Preparation and execution'!$D$38*Electricity_LCIA!AB16+SUMPRODUCT($E$35:$E$37,AC35:AC37)/'1_hub_LCIA'!$C$20</f>
        <v>5.1901843274627179E-7</v>
      </c>
      <c r="AD46" s="16">
        <f>'Preparation and execution'!$D$38*Electricity_LCIA!AC16+SUMPRODUCT($E$35:$E$37,AD35:AD37)/'1_hub_LCIA'!$C$20</f>
        <v>3.235959326734475E-2</v>
      </c>
      <c r="AE46" s="16">
        <f>'Preparation and execution'!$D$38*Electricity_LCIA!AD16+SUMPRODUCT($E$35:$E$37,AE35:AE37)/'1_hub_LCIA'!$C$20</f>
        <v>2.7718977950234307E-2</v>
      </c>
      <c r="AF46" s="16">
        <f>'Preparation and execution'!$D$38*Electricity_LCIA!AE16+SUMPRODUCT($E$35:$E$37,AF35:AF37)/'1_hub_LCIA'!$C$20</f>
        <v>4.6195149586261947E-2</v>
      </c>
      <c r="AG46" s="16">
        <f>'Preparation and execution'!$D$38*Electricity_LCIA!AF16+SUMPRODUCT($E$35:$E$37,AG35:AG37)/'1_hub_LCIA'!$C$20</f>
        <v>8.3329261003499519E-4</v>
      </c>
      <c r="AH46" s="16">
        <f>'Preparation and execution'!$D$38*Electricity_LCIA!AG16+SUMPRODUCT($E$35:$E$37,AH35:AH37)/'1_hub_LCIA'!$C$20</f>
        <v>7.9107817446821396E-2</v>
      </c>
      <c r="AI46" s="16">
        <f>'Preparation and execution'!$D$38*Electricity_LCIA!AH16+SUMPRODUCT($E$35:$E$37,AI35:AI37)/'1_hub_LCIA'!$C$20</f>
        <v>7.8352817136861347E-2</v>
      </c>
    </row>
    <row r="47" spans="2:64" x14ac:dyDescent="0.25">
      <c r="D47" s="16" t="s">
        <v>826</v>
      </c>
      <c r="F47" s="16" t="s">
        <v>357</v>
      </c>
      <c r="H47" s="16">
        <f>'Preparation and execution'!$D$38*Electricity_LCIA!G22+SUMPRODUCT($E$35:$E$37,H35:H37)/'1_hub_LCIA'!$C$20</f>
        <v>16.363785473177558</v>
      </c>
      <c r="I47" s="16">
        <f>'Preparation and execution'!$D$38*Electricity_LCIA!H22+SUMPRODUCT($E$35:$E$37,I35:I37)/'1_hub_LCIA'!$C$20</f>
        <v>3.1466249935253816</v>
      </c>
      <c r="J47" s="16">
        <f>'Preparation and execution'!$D$38*Electricity_LCIA!I22+SUMPRODUCT($E$35:$E$37,J35:J37)/'1_hub_LCIA'!$C$20</f>
        <v>180.64048507425753</v>
      </c>
      <c r="K47" s="16">
        <f>'Preparation and execution'!$D$38*Electricity_LCIA!J22+SUMPRODUCT($E$35:$E$37,K35:K37)/'1_hub_LCIA'!$C$20</f>
        <v>1.1800053082019597</v>
      </c>
      <c r="L47" s="16">
        <f>'Preparation and execution'!$D$38*Electricity_LCIA!K22+SUMPRODUCT($E$35:$E$37,L35:L37)/'1_hub_LCIA'!$C$20</f>
        <v>93.081476346931041</v>
      </c>
      <c r="M47" s="16">
        <f>'Preparation and execution'!$D$38*Electricity_LCIA!L22+SUMPRODUCT($E$35:$E$37,M35:M37)/'1_hub_LCIA'!$C$20</f>
        <v>5.3745148179849616E-4</v>
      </c>
      <c r="N47" s="16">
        <f>'Preparation and execution'!$D$38*Electricity_LCIA!M22+SUMPRODUCT($E$35:$E$37,N35:N37)/'1_hub_LCIA'!$C$20</f>
        <v>3.9636182796841495</v>
      </c>
      <c r="O47" s="16">
        <f>'Preparation and execution'!$D$38*Electricity_LCIA!N22+SUMPRODUCT($E$35:$E$37,O35:O37)/'1_hub_LCIA'!$C$20</f>
        <v>9.3812476874339854</v>
      </c>
      <c r="P47" s="16">
        <f>'Preparation and execution'!$D$38*Electricity_LCIA!O22+SUMPRODUCT($E$35:$E$37,P35:P37)/'1_hub_LCIA'!$C$20</f>
        <v>6.5495051290483008</v>
      </c>
      <c r="Q47" s="16">
        <f>'Preparation and execution'!$D$38*Electricity_LCIA!P22+SUMPRODUCT($E$35:$E$37,Q35:Q37)/'1_hub_LCIA'!$C$20</f>
        <v>297.94350027056419</v>
      </c>
      <c r="R47" s="16">
        <f>'Preparation and execution'!$D$38*Electricity_LCIA!Q22+SUMPRODUCT($E$35:$E$37,R35:R37)/'1_hub_LCIA'!$C$20</f>
        <v>0.50434134814876219</v>
      </c>
      <c r="S47" s="16">
        <f>'Preparation and execution'!$D$38*Electricity_LCIA!R22+SUMPRODUCT($E$35:$E$37,S35:S37)/'1_hub_LCIA'!$C$20</f>
        <v>16.137078766102384</v>
      </c>
      <c r="T47" s="16">
        <f>'Preparation and execution'!$D$38*Electricity_LCIA!S22+SUMPRODUCT($E$35:$E$37,T35:T37)/'1_hub_LCIA'!$C$20</f>
        <v>4.5162263094050656</v>
      </c>
      <c r="U47" s="16">
        <f>'Preparation and execution'!$D$38*Electricity_LCIA!T22+SUMPRODUCT($E$35:$E$37,U35:U37)/'1_hub_LCIA'!$C$20</f>
        <v>0.8638481209730694</v>
      </c>
      <c r="V47" s="16">
        <f>'Preparation and execution'!$D$38*Electricity_LCIA!U22+SUMPRODUCT($E$35:$E$37,V35:V37)/'1_hub_LCIA'!$C$20</f>
        <v>1.1925477132504974E-2</v>
      </c>
      <c r="W47" s="16">
        <f>'Preparation and execution'!$D$38*Electricity_LCIA!V22+SUMPRODUCT($E$35:$E$37,W35:W37)/'1_hub_LCIA'!$C$20</f>
        <v>8.0621597657723765</v>
      </c>
      <c r="X47" s="16">
        <f>'Preparation and execution'!$D$38*Electricity_LCIA!W22+SUMPRODUCT($E$35:$E$37,X35:X37)/'1_hub_LCIA'!$C$20</f>
        <v>5.9872740132711346</v>
      </c>
      <c r="Y47" s="16">
        <f>'Preparation and execution'!$D$38*Electricity_LCIA!X22+SUMPRODUCT($E$35:$E$37,Y35:Y37)/'1_hub_LCIA'!$C$20</f>
        <v>0.74369879465623123</v>
      </c>
      <c r="Z47" s="16">
        <f>'Preparation and execution'!$D$38*Electricity_LCIA!Y22+SUMPRODUCT($E$35:$E$37,Z35:Z37)/'1_hub_LCIA'!$C$20</f>
        <v>7.1370539140094098E-3</v>
      </c>
      <c r="AA47" s="16">
        <f>'Preparation and execution'!$D$38*Electricity_LCIA!Z22+SUMPRODUCT($E$35:$E$37,AA35:AA37)/'1_hub_LCIA'!$C$20</f>
        <v>0.34489457173446991</v>
      </c>
      <c r="AB47" s="16">
        <f>'Preparation and execution'!$D$38*Electricity_LCIA!AA22+SUMPRODUCT($E$35:$E$37,AB35:AB37)/'1_hub_LCIA'!$C$20</f>
        <v>-6.2637224912199792E-4</v>
      </c>
      <c r="AC47" s="16">
        <f>'Preparation and execution'!$D$38*Electricity_LCIA!AB22+SUMPRODUCT($E$35:$E$37,AC35:AC37)/'1_hub_LCIA'!$C$20</f>
        <v>5.1768776747212041E-7</v>
      </c>
      <c r="AD47" s="16">
        <f>'Preparation and execution'!$D$38*Electricity_LCIA!AC22+SUMPRODUCT($E$35:$E$37,AD35:AD37)/'1_hub_LCIA'!$C$20</f>
        <v>3.3343097476222029E-2</v>
      </c>
      <c r="AE47" s="16">
        <f>'Preparation and execution'!$D$38*Electricity_LCIA!AD22+SUMPRODUCT($E$35:$E$37,AE35:AE37)/'1_hub_LCIA'!$C$20</f>
        <v>2.6988466476605064E-2</v>
      </c>
      <c r="AF47" s="16">
        <f>'Preparation and execution'!$D$38*Electricity_LCIA!AE22+SUMPRODUCT($E$35:$E$37,AF35:AF37)/'1_hub_LCIA'!$C$20</f>
        <v>4.3611520385217567E-2</v>
      </c>
      <c r="AG47" s="16">
        <f>'Preparation and execution'!$D$38*Electricity_LCIA!AF22+SUMPRODUCT($E$35:$E$37,AG35:AG37)/'1_hub_LCIA'!$C$20</f>
        <v>8.451070167190684E-4</v>
      </c>
      <c r="AH47" s="16">
        <f>'Preparation and execution'!$D$38*Electricity_LCIA!AG22+SUMPRODUCT($E$35:$E$37,AH35:AH37)/'1_hub_LCIA'!$C$20</f>
        <v>7.8747112110006776E-2</v>
      </c>
      <c r="AI47" s="16">
        <f>'Preparation and execution'!$D$38*Electricity_LCIA!AH22+SUMPRODUCT($E$35:$E$37,AI35:AI37)/'1_hub_LCIA'!$C$20</f>
        <v>8.027539083921123E-2</v>
      </c>
    </row>
    <row r="48" spans="2:64" x14ac:dyDescent="0.25">
      <c r="D48" s="16" t="s">
        <v>827</v>
      </c>
      <c r="F48" s="16" t="s">
        <v>357</v>
      </c>
      <c r="H48" s="16">
        <f>'Preparation and execution'!$D$38*Electricity_LCIA!G29+SUMPRODUCT($E$35:$E$37,H35:H37)/'1_hub_LCIA'!$C$20</f>
        <v>16.446873341584865</v>
      </c>
      <c r="I48" s="16">
        <f>'Preparation and execution'!$D$38*Electricity_LCIA!H29+SUMPRODUCT($E$35:$E$37,I35:I37)/'1_hub_LCIA'!$C$20</f>
        <v>4.1551466006272095</v>
      </c>
      <c r="J48" s="16">
        <f>'Preparation and execution'!$D$38*Electricity_LCIA!I29+SUMPRODUCT($E$35:$E$37,J35:J37)/'1_hub_LCIA'!$C$20</f>
        <v>184.01320917869617</v>
      </c>
      <c r="K48" s="16">
        <f>'Preparation and execution'!$D$38*Electricity_LCIA!J29+SUMPRODUCT($E$35:$E$37,K35:K37)/'1_hub_LCIA'!$C$20</f>
        <v>1.121622804437991</v>
      </c>
      <c r="L48" s="16">
        <f>'Preparation and execution'!$D$38*Electricity_LCIA!K29+SUMPRODUCT($E$35:$E$37,L35:L37)/'1_hub_LCIA'!$C$20</f>
        <v>92.229100587139911</v>
      </c>
      <c r="M48" s="16">
        <f>'Preparation and execution'!$D$38*Electricity_LCIA!L29+SUMPRODUCT($E$35:$E$37,M35:M37)/'1_hub_LCIA'!$C$20</f>
        <v>5.8323245621102885E-4</v>
      </c>
      <c r="N48" s="16">
        <f>'Preparation and execution'!$D$38*Electricity_LCIA!M29+SUMPRODUCT($E$35:$E$37,N35:N37)/'1_hub_LCIA'!$C$20</f>
        <v>3.9866774762376744</v>
      </c>
      <c r="O48" s="16">
        <f>'Preparation and execution'!$D$38*Electricity_LCIA!N29+SUMPRODUCT($E$35:$E$37,O35:O37)/'1_hub_LCIA'!$C$20</f>
        <v>9.3672455541702764</v>
      </c>
      <c r="P48" s="16">
        <f>'Preparation and execution'!$D$38*Electricity_LCIA!O29+SUMPRODUCT($E$35:$E$37,P35:P37)/'1_hub_LCIA'!$C$20</f>
        <v>6.1459752412154023</v>
      </c>
      <c r="Q48" s="16">
        <f>'Preparation and execution'!$D$38*Electricity_LCIA!P29+SUMPRODUCT($E$35:$E$37,Q35:Q37)/'1_hub_LCIA'!$C$20</f>
        <v>301.01956067498088</v>
      </c>
      <c r="R48" s="16">
        <f>'Preparation and execution'!$D$38*Electricity_LCIA!Q29+SUMPRODUCT($E$35:$E$37,R35:R37)/'1_hub_LCIA'!$C$20</f>
        <v>0.64090332235241765</v>
      </c>
      <c r="S48" s="16">
        <f>'Preparation and execution'!$D$38*Electricity_LCIA!R29+SUMPRODUCT($E$35:$E$37,S35:S37)/'1_hub_LCIA'!$C$20</f>
        <v>16.218227071063222</v>
      </c>
      <c r="T48" s="16">
        <f>'Preparation and execution'!$D$38*Electricity_LCIA!S29+SUMPRODUCT($E$35:$E$37,T35:T37)/'1_hub_LCIA'!$C$20</f>
        <v>4.6132579459585905</v>
      </c>
      <c r="U48" s="16">
        <f>'Preparation and execution'!$D$38*Electricity_LCIA!T29+SUMPRODUCT($E$35:$E$37,U35:U37)/'1_hub_LCIA'!$C$20</f>
        <v>0.86871707867541925</v>
      </c>
      <c r="V48" s="16">
        <f>'Preparation and execution'!$D$38*Electricity_LCIA!U29+SUMPRODUCT($E$35:$E$37,V35:V37)/'1_hub_LCIA'!$C$20</f>
        <v>1.2182415082374425E-2</v>
      </c>
      <c r="W48" s="16">
        <f>'Preparation and execution'!$D$38*Electricity_LCIA!V29+SUMPRODUCT($E$35:$E$37,W35:W37)/'1_hub_LCIA'!$C$20</f>
        <v>8.214348666033473</v>
      </c>
      <c r="X48" s="16">
        <f>'Preparation and execution'!$D$38*Electricity_LCIA!W29+SUMPRODUCT($E$35:$E$37,X35:X37)/'1_hub_LCIA'!$C$20</f>
        <v>5.9318999224095155</v>
      </c>
      <c r="Y48" s="16">
        <f>'Preparation and execution'!$D$38*Electricity_LCIA!X29+SUMPRODUCT($E$35:$E$37,Y35:Y37)/'1_hub_LCIA'!$C$20</f>
        <v>0.74732314964317625</v>
      </c>
      <c r="Z48" s="16">
        <f>'Preparation and execution'!$D$38*Electricity_LCIA!Y29+SUMPRODUCT($E$35:$E$37,Z35:Z37)/'1_hub_LCIA'!$C$20</f>
        <v>7.1859840800668519E-3</v>
      </c>
      <c r="AA48" s="16">
        <f>'Preparation and execution'!$D$38*Electricity_LCIA!Z29+SUMPRODUCT($E$35:$E$37,AA35:AA37)/'1_hub_LCIA'!$C$20</f>
        <v>0.3446072757553576</v>
      </c>
      <c r="AB48" s="16">
        <f>'Preparation and execution'!$D$38*Electricity_LCIA!AA29+SUMPRODUCT($E$35:$E$37,AB35:AB37)/'1_hub_LCIA'!$C$20</f>
        <v>-6.2245703387395635E-4</v>
      </c>
      <c r="AC48" s="16">
        <f>'Preparation and execution'!$D$38*Electricity_LCIA!AB29+SUMPRODUCT($E$35:$E$37,AC35:AC37)/'1_hub_LCIA'!$C$20</f>
        <v>5.401413331118069E-7</v>
      </c>
      <c r="AD48" s="16">
        <f>'Preparation and execution'!$D$38*Electricity_LCIA!AC29+SUMPRODUCT($E$35:$E$37,AD35:AD37)/'1_hub_LCIA'!$C$20</f>
        <v>3.4085062175960933E-2</v>
      </c>
      <c r="AE48" s="16">
        <f>'Preparation and execution'!$D$38*Electricity_LCIA!AD29+SUMPRODUCT($E$35:$E$37,AE35:AE37)/'1_hub_LCIA'!$C$20</f>
        <v>2.6770025742401407E-2</v>
      </c>
      <c r="AF48" s="16">
        <f>'Preparation and execution'!$D$38*Electricity_LCIA!AE29+SUMPRODUCT($E$35:$E$37,AF35:AF37)/'1_hub_LCIA'!$C$20</f>
        <v>4.2768983528820692E-2</v>
      </c>
      <c r="AG48" s="16">
        <f>'Preparation and execution'!$D$38*Electricity_LCIA!AF29+SUMPRODUCT($E$35:$E$37,AG35:AG37)/'1_hub_LCIA'!$C$20</f>
        <v>8.7135624564857234E-4</v>
      </c>
      <c r="AH48" s="16">
        <f>'Preparation and execution'!$D$38*Electricity_LCIA!AG29+SUMPRODUCT($E$35:$E$37,AH35:AH37)/'1_hub_LCIA'!$C$20</f>
        <v>7.8834763744471542E-2</v>
      </c>
      <c r="AI48" s="16">
        <f>'Preparation and execution'!$D$38*Electricity_LCIA!AH29+SUMPRODUCT($E$35:$E$37,AI35:AI37)/'1_hub_LCIA'!$C$20</f>
        <v>8.0171039058532373E-2</v>
      </c>
    </row>
    <row r="50" spans="2:35" x14ac:dyDescent="0.25">
      <c r="D50" s="16" t="s">
        <v>828</v>
      </c>
      <c r="H50" s="16">
        <f>SUMPRODUCT($E3:$E18,H3:H18)+SUMPRODUCT($E26:$E33,H26:H33)</f>
        <v>72.410518535099754</v>
      </c>
      <c r="I50" s="16">
        <f>SUMPRODUCT($E3:$E18,I3:I18)+SUMPRODUCT($E26:$E33,I26:I33)</f>
        <v>263.23151052250881</v>
      </c>
      <c r="J50" s="16">
        <f t="shared" ref="J50:AI50" si="46">SUMPRODUCT($E3:$E18,J3:J18)+SUMPRODUCT($E26:$E33,J26:J33)</f>
        <v>847.38230913511075</v>
      </c>
      <c r="K50" s="16">
        <f t="shared" si="46"/>
        <v>2.065668205211558</v>
      </c>
      <c r="L50" s="16">
        <f t="shared" si="46"/>
        <v>143.1678023863079</v>
      </c>
      <c r="M50" s="16">
        <f t="shared" si="46"/>
        <v>6.0240816797011598E-2</v>
      </c>
      <c r="N50" s="16">
        <f t="shared" si="46"/>
        <v>5.0976059996508258</v>
      </c>
      <c r="O50" s="16">
        <f t="shared" si="46"/>
        <v>61.191027624842604</v>
      </c>
      <c r="P50" s="16">
        <f t="shared" si="46"/>
        <v>16.934481942739829</v>
      </c>
      <c r="Q50" s="16">
        <f t="shared" si="46"/>
        <v>1339.1306466331691</v>
      </c>
      <c r="R50" s="16">
        <f t="shared" si="46"/>
        <v>27.714924886789056</v>
      </c>
      <c r="S50" s="16">
        <f t="shared" si="46"/>
        <v>70.811141760217367</v>
      </c>
      <c r="T50" s="16">
        <f t="shared" si="46"/>
        <v>20.97589849268806</v>
      </c>
      <c r="U50" s="16">
        <f t="shared" si="46"/>
        <v>5.9540764581630885</v>
      </c>
      <c r="V50" s="16">
        <f t="shared" si="46"/>
        <v>4.296572191526879E-2</v>
      </c>
      <c r="W50" s="16">
        <f t="shared" si="46"/>
        <v>41.970076475745003</v>
      </c>
      <c r="X50" s="16">
        <f t="shared" si="46"/>
        <v>9.1687740970349267</v>
      </c>
      <c r="Y50" s="16">
        <f t="shared" si="46"/>
        <v>5.2570531841685941</v>
      </c>
      <c r="Z50" s="16">
        <f t="shared" si="46"/>
        <v>3.6218300576214224E-2</v>
      </c>
      <c r="AA50" s="16">
        <f t="shared" si="46"/>
        <v>9.3440252124232419</v>
      </c>
      <c r="AB50" s="16">
        <f t="shared" si="46"/>
        <v>-5.1362456189714229E-3</v>
      </c>
      <c r="AC50" s="16">
        <f t="shared" si="46"/>
        <v>3.1546335343946557E-6</v>
      </c>
      <c r="AD50" s="16">
        <f t="shared" si="46"/>
        <v>0.18568002094324082</v>
      </c>
      <c r="AE50" s="16">
        <f t="shared" si="46"/>
        <v>0.22450549448342635</v>
      </c>
      <c r="AF50" s="16">
        <f t="shared" si="46"/>
        <v>0.29807156998158241</v>
      </c>
      <c r="AG50" s="16">
        <f t="shared" si="46"/>
        <v>0.12641327859835574</v>
      </c>
      <c r="AH50" s="16">
        <f t="shared" si="46"/>
        <v>0.65761657771208226</v>
      </c>
      <c r="AI50" s="16">
        <f t="shared" si="46"/>
        <v>0.79970610625327443</v>
      </c>
    </row>
    <row r="51" spans="2:35" x14ac:dyDescent="0.25">
      <c r="H51" s="16">
        <f>H50/'1_hub_LCIA'!$C$20</f>
        <v>0.1890614060968662</v>
      </c>
      <c r="I51" s="16">
        <f>I50/'1_hub_LCIA'!$C$20</f>
        <v>0.68728853922326061</v>
      </c>
      <c r="J51" s="16">
        <f>J50/'1_hub_LCIA'!$C$20</f>
        <v>2.2124864468279655</v>
      </c>
      <c r="K51" s="16">
        <f>K50/'1_hub_LCIA'!$C$20</f>
        <v>5.3933895697429717E-3</v>
      </c>
      <c r="L51" s="16">
        <f>L50/'1_hub_LCIA'!$C$20</f>
        <v>0.37380627254910676</v>
      </c>
      <c r="M51" s="16">
        <f>M50/'1_hub_LCIA'!$C$20</f>
        <v>1.5728672792953419E-4</v>
      </c>
      <c r="N51" s="16">
        <f>N50/'1_hub_LCIA'!$C$20</f>
        <v>1.3309676239297196E-2</v>
      </c>
      <c r="O51" s="16">
        <f>O50/'1_hub_LCIA'!$C$20</f>
        <v>0.1597676961484141</v>
      </c>
      <c r="P51" s="16">
        <f>P50/'1_hub_LCIA'!$C$20</f>
        <v>4.4215357552845509E-2</v>
      </c>
      <c r="Q51" s="16">
        <f>Q50/'1_hub_LCIA'!$C$20</f>
        <v>3.4964246648385617</v>
      </c>
      <c r="R51" s="16">
        <f>R50/'1_hub_LCIA'!$C$20</f>
        <v>7.2362728163940099E-2</v>
      </c>
      <c r="S51" s="16">
        <f>S50/'1_hub_LCIA'!$C$20</f>
        <v>0.18488548762458842</v>
      </c>
      <c r="T51" s="16">
        <f>T50/'1_hub_LCIA'!$C$20</f>
        <v>5.4767358988741674E-2</v>
      </c>
      <c r="U51" s="16">
        <f>U50/'1_hub_LCIA'!$C$20</f>
        <v>1.554589153567386E-2</v>
      </c>
      <c r="V51" s="16">
        <f>V50/'1_hub_LCIA'!$C$20</f>
        <v>1.121820415542266E-4</v>
      </c>
      <c r="W51" s="16">
        <f>W50/'1_hub_LCIA'!$C$20</f>
        <v>0.10958244510638382</v>
      </c>
      <c r="X51" s="16">
        <f>X50/'1_hub_LCIA'!$C$20</f>
        <v>2.393935795570477E-2</v>
      </c>
      <c r="Y51" s="16">
        <f>Y50/'1_hub_LCIA'!$C$20</f>
        <v>1.3725987426027661E-2</v>
      </c>
      <c r="Z51" s="16">
        <f>Z50/'1_hub_LCIA'!$C$20</f>
        <v>9.4564753462700324E-5</v>
      </c>
      <c r="AA51" s="16">
        <f>AA50/'1_hub_LCIA'!$C$20</f>
        <v>2.4396932669512383E-2</v>
      </c>
      <c r="AB51" s="16">
        <f>AB50/'1_hub_LCIA'!$C$20</f>
        <v>-1.3410562973815725E-5</v>
      </c>
      <c r="AC51" s="16">
        <f>AC50/'1_hub_LCIA'!$C$20</f>
        <v>8.2366410819703803E-9</v>
      </c>
      <c r="AD51" s="16">
        <f>AD50/'1_hub_LCIA'!$C$20</f>
        <v>4.8480423222778282E-4</v>
      </c>
      <c r="AE51" s="16">
        <f>AE50/'1_hub_LCIA'!$C$20</f>
        <v>5.8617622580529069E-4</v>
      </c>
      <c r="AF51" s="16">
        <f>AF50/'1_hub_LCIA'!$C$20</f>
        <v>7.7825475191013683E-4</v>
      </c>
      <c r="AG51" s="16">
        <f>AG50/'1_hub_LCIA'!$C$20</f>
        <v>3.3006077963017164E-4</v>
      </c>
      <c r="AH51" s="16">
        <f>AH50/'1_hub_LCIA'!$C$20</f>
        <v>1.7170145632169249E-3</v>
      </c>
      <c r="AI51" s="16">
        <f>AI50/'1_hub_LCIA'!$C$20</f>
        <v>2.088005499355808E-3</v>
      </c>
    </row>
    <row r="53" spans="2:35" x14ac:dyDescent="0.25">
      <c r="B53" s="255" t="s">
        <v>979</v>
      </c>
      <c r="C53" s="23" t="str">
        <f>Electricity_LCIA!B31</f>
        <v>O'Hare International Airport</v>
      </c>
      <c r="D53" s="66" t="str">
        <f>Electricity_LCIA!C31</f>
        <v>market for electricity, low voltage, US-RFC</v>
      </c>
      <c r="E53" s="66">
        <f>Electricity_LCIA!D31</f>
        <v>0.10182767624020887</v>
      </c>
      <c r="F53" s="66" t="str">
        <f>Electricity_LCIA!E31</f>
        <v>kWh</v>
      </c>
      <c r="G53" s="66" t="str">
        <f>Electricity_LCIA!F31</f>
        <v>Ecoinvent v3.7.1</v>
      </c>
      <c r="H53" s="66">
        <f>Electricity_LCIA!G31</f>
        <v>0.61436999999999997</v>
      </c>
      <c r="I53" s="66">
        <f>Electricity_LCIA!H31</f>
        <v>8.2399E-2</v>
      </c>
      <c r="J53" s="66">
        <f>Electricity_LCIA!I31</f>
        <v>6.7473999999999998</v>
      </c>
      <c r="K53" s="66">
        <f>Electricity_LCIA!J31</f>
        <v>4.0428000000000003E-4</v>
      </c>
      <c r="L53" s="66">
        <f>Electricity_LCIA!K31</f>
        <v>4.3425000000000002</v>
      </c>
      <c r="M53" s="66">
        <f>Electricity_LCIA!L31</f>
        <v>1.3322000000000001E-5</v>
      </c>
      <c r="N53" s="66">
        <f>Electricity_LCIA!M31</f>
        <v>1.5082999999999999E-2</v>
      </c>
      <c r="O53" s="66">
        <f>Electricity_LCIA!N31</f>
        <v>6.8917000000000006E-2</v>
      </c>
      <c r="P53" s="66">
        <f>Electricity_LCIA!O31</f>
        <v>0.1275</v>
      </c>
      <c r="Q53" s="66">
        <f>Electricity_LCIA!P31</f>
        <v>11.384216602</v>
      </c>
      <c r="R53" s="66">
        <f>Electricity_LCIA!Q31</f>
        <v>1.3875999999999999E-2</v>
      </c>
      <c r="S53" s="66">
        <f>Electricity_LCIA!R31</f>
        <v>0.60836999999999997</v>
      </c>
      <c r="T53" s="66">
        <f>Electricity_LCIA!S31</f>
        <v>0.16855999999999999</v>
      </c>
      <c r="U53" s="66">
        <f>Electricity_LCIA!T31</f>
        <v>2.7827999999999999E-2</v>
      </c>
      <c r="V53" s="66">
        <f>Electricity_LCIA!U31</f>
        <v>3.4965000000000002E-4</v>
      </c>
      <c r="W53" s="66">
        <f>Electricity_LCIA!V31</f>
        <v>0.24507000000000001</v>
      </c>
      <c r="X53" s="66">
        <f>Electricity_LCIA!W31</f>
        <v>0.28216999999999998</v>
      </c>
      <c r="Y53" s="66">
        <f>Electricity_LCIA!X31</f>
        <v>2.3791E-2</v>
      </c>
      <c r="Z53" s="66">
        <f>Electricity_LCIA!Y31</f>
        <v>1.1882E-4</v>
      </c>
      <c r="AA53" s="66">
        <f>Electricity_LCIA!Z31</f>
        <v>1.1622E-2</v>
      </c>
      <c r="AB53" s="66">
        <f>Electricity_LCIA!AA31</f>
        <v>-2.4247999999999999E-5</v>
      </c>
      <c r="AC53" s="66">
        <f>Electricity_LCIA!AB31</f>
        <v>1.8053E-8</v>
      </c>
      <c r="AD53" s="66">
        <f>Electricity_LCIA!AC31</f>
        <v>1.1259E-3</v>
      </c>
      <c r="AE53" s="66">
        <f>Electricity_LCIA!AD31</f>
        <v>9.8528999999999999E-4</v>
      </c>
      <c r="AF53" s="66">
        <f>Electricity_LCIA!AE31</f>
        <v>1.8718000000000001E-3</v>
      </c>
      <c r="AG53" s="66">
        <f>Electricity_LCIA!AF31</f>
        <v>2.6829999999999999E-5</v>
      </c>
      <c r="AH53" s="66">
        <f>Electricity_LCIA!AG31</f>
        <v>2.5512999999999998E-3</v>
      </c>
      <c r="AI53" s="116">
        <f>Electricity_LCIA!AH31</f>
        <v>2.2418E-3</v>
      </c>
    </row>
    <row r="54" spans="2:35" x14ac:dyDescent="0.25">
      <c r="B54" s="256"/>
      <c r="C54" s="67" t="str">
        <f>Electricity_LCIA!B34</f>
        <v>Newark Liberty International Airport</v>
      </c>
      <c r="D54" s="28" t="str">
        <f>Electricity_LCIA!C34</f>
        <v>market for electricity, low voltage, US-RFC</v>
      </c>
      <c r="E54" s="28">
        <f>Electricity_LCIA!D34</f>
        <v>0.30026109660574413</v>
      </c>
      <c r="F54" s="28" t="str">
        <f>Electricity_LCIA!E34</f>
        <v>kWh</v>
      </c>
      <c r="G54" s="28" t="str">
        <f>Electricity_LCIA!F34</f>
        <v>Ecoinvent v3.7.1</v>
      </c>
      <c r="H54" s="28">
        <f>Electricity_LCIA!G34</f>
        <v>0.61436999999999997</v>
      </c>
      <c r="I54" s="28">
        <f>Electricity_LCIA!H34</f>
        <v>8.2399E-2</v>
      </c>
      <c r="J54" s="28">
        <f>Electricity_LCIA!I34</f>
        <v>6.7473999999999998</v>
      </c>
      <c r="K54" s="28">
        <f>Electricity_LCIA!J34</f>
        <v>4.0428000000000003E-4</v>
      </c>
      <c r="L54" s="28">
        <f>Electricity_LCIA!K34</f>
        <v>4.3425000000000002</v>
      </c>
      <c r="M54" s="28">
        <f>Electricity_LCIA!L34</f>
        <v>1.3322000000000001E-5</v>
      </c>
      <c r="N54" s="28">
        <f>Electricity_LCIA!M34</f>
        <v>1.5082999999999999E-2</v>
      </c>
      <c r="O54" s="28">
        <f>Electricity_LCIA!N34</f>
        <v>6.8917000000000006E-2</v>
      </c>
      <c r="P54" s="28">
        <f>Electricity_LCIA!O34</f>
        <v>0.1275</v>
      </c>
      <c r="Q54" s="28">
        <f>Electricity_LCIA!P34</f>
        <v>11.384216602</v>
      </c>
      <c r="R54" s="28">
        <f>Electricity_LCIA!Q34</f>
        <v>1.3875999999999999E-2</v>
      </c>
      <c r="S54" s="28">
        <f>Electricity_LCIA!R34</f>
        <v>0.60836999999999997</v>
      </c>
      <c r="T54" s="28">
        <f>Electricity_LCIA!S34</f>
        <v>0.16855999999999999</v>
      </c>
      <c r="U54" s="28">
        <f>Electricity_LCIA!T34</f>
        <v>2.7827999999999999E-2</v>
      </c>
      <c r="V54" s="28">
        <f>Electricity_LCIA!U34</f>
        <v>3.4965000000000002E-4</v>
      </c>
      <c r="W54" s="28">
        <f>Electricity_LCIA!V34</f>
        <v>0.24507000000000001</v>
      </c>
      <c r="X54" s="28">
        <f>Electricity_LCIA!W34</f>
        <v>0.28216999999999998</v>
      </c>
      <c r="Y54" s="28">
        <f>Electricity_LCIA!X34</f>
        <v>2.3791E-2</v>
      </c>
      <c r="Z54" s="28">
        <f>Electricity_LCIA!Y34</f>
        <v>1.1882E-4</v>
      </c>
      <c r="AA54" s="28">
        <f>Electricity_LCIA!Z34</f>
        <v>1.1622E-2</v>
      </c>
      <c r="AB54" s="28">
        <f>Electricity_LCIA!AA34</f>
        <v>-2.4247999999999999E-5</v>
      </c>
      <c r="AC54" s="28">
        <f>Electricity_LCIA!AB34</f>
        <v>1.8053E-8</v>
      </c>
      <c r="AD54" s="28">
        <f>Electricity_LCIA!AC34</f>
        <v>1.1259E-3</v>
      </c>
      <c r="AE54" s="28">
        <f>Electricity_LCIA!AD34</f>
        <v>9.8528999999999999E-4</v>
      </c>
      <c r="AF54" s="28">
        <f>Electricity_LCIA!AE34</f>
        <v>1.8718000000000001E-3</v>
      </c>
      <c r="AG54" s="28">
        <f>Electricity_LCIA!AF34</f>
        <v>2.6829999999999999E-5</v>
      </c>
      <c r="AH54" s="28">
        <f>Electricity_LCIA!AG34</f>
        <v>2.5512999999999998E-3</v>
      </c>
      <c r="AI54" s="29">
        <f>Electricity_LCIA!AH34</f>
        <v>2.2418E-3</v>
      </c>
    </row>
    <row r="55" spans="2:35" x14ac:dyDescent="0.25">
      <c r="B55" s="256"/>
      <c r="C55" s="67" t="str">
        <f>Electricity_LCIA!B37</f>
        <v>Newark Liberty International Airport</v>
      </c>
      <c r="D55" s="28" t="str">
        <f>Electricity_LCIA!C37</f>
        <v>market for electricity, low voltage, US-RFC</v>
      </c>
      <c r="E55" s="28">
        <f>Electricity_LCIA!D37</f>
        <v>0.50130548302872058</v>
      </c>
      <c r="F55" s="28" t="str">
        <f>Electricity_LCIA!E37</f>
        <v>kWh</v>
      </c>
      <c r="G55" s="28" t="str">
        <f>Electricity_LCIA!F37</f>
        <v>Ecoinvent v3.7.1</v>
      </c>
      <c r="H55" s="28">
        <f>Electricity_LCIA!G37</f>
        <v>0.61436999999999997</v>
      </c>
      <c r="I55" s="28">
        <f>Electricity_LCIA!H37</f>
        <v>8.2399E-2</v>
      </c>
      <c r="J55" s="28">
        <f>Electricity_LCIA!I37</f>
        <v>6.7473999999999998</v>
      </c>
      <c r="K55" s="28">
        <f>Electricity_LCIA!J37</f>
        <v>4.0428000000000003E-4</v>
      </c>
      <c r="L55" s="28">
        <f>Electricity_LCIA!K37</f>
        <v>4.3425000000000002</v>
      </c>
      <c r="M55" s="28">
        <f>Electricity_LCIA!L37</f>
        <v>1.3322000000000001E-5</v>
      </c>
      <c r="N55" s="28">
        <f>Electricity_LCIA!M37</f>
        <v>1.5082999999999999E-2</v>
      </c>
      <c r="O55" s="28">
        <f>Electricity_LCIA!N37</f>
        <v>6.8917000000000006E-2</v>
      </c>
      <c r="P55" s="28">
        <f>Electricity_LCIA!O37</f>
        <v>0.1275</v>
      </c>
      <c r="Q55" s="28">
        <f>Electricity_LCIA!P37</f>
        <v>11.384216602</v>
      </c>
      <c r="R55" s="28">
        <f>Electricity_LCIA!Q37</f>
        <v>1.3875999999999999E-2</v>
      </c>
      <c r="S55" s="28">
        <f>Electricity_LCIA!R37</f>
        <v>0.60836999999999997</v>
      </c>
      <c r="T55" s="28">
        <f>Electricity_LCIA!S37</f>
        <v>0.16855999999999999</v>
      </c>
      <c r="U55" s="28">
        <f>Electricity_LCIA!T37</f>
        <v>2.7827999999999999E-2</v>
      </c>
      <c r="V55" s="28">
        <f>Electricity_LCIA!U37</f>
        <v>3.4965000000000002E-4</v>
      </c>
      <c r="W55" s="28">
        <f>Electricity_LCIA!V37</f>
        <v>0.24507000000000001</v>
      </c>
      <c r="X55" s="28">
        <f>Electricity_LCIA!W37</f>
        <v>0.28216999999999998</v>
      </c>
      <c r="Y55" s="28">
        <f>Electricity_LCIA!X37</f>
        <v>2.3791E-2</v>
      </c>
      <c r="Z55" s="28">
        <f>Electricity_LCIA!Y37</f>
        <v>1.1882E-4</v>
      </c>
      <c r="AA55" s="28">
        <f>Electricity_LCIA!Z37</f>
        <v>1.1622E-2</v>
      </c>
      <c r="AB55" s="28">
        <f>Electricity_LCIA!AA37</f>
        <v>-2.4247999999999999E-5</v>
      </c>
      <c r="AC55" s="28">
        <f>Electricity_LCIA!AB37</f>
        <v>1.8053E-8</v>
      </c>
      <c r="AD55" s="28">
        <f>Electricity_LCIA!AC37</f>
        <v>1.1259E-3</v>
      </c>
      <c r="AE55" s="28">
        <f>Electricity_LCIA!AD37</f>
        <v>9.8528999999999999E-4</v>
      </c>
      <c r="AF55" s="28">
        <f>Electricity_LCIA!AE37</f>
        <v>1.8718000000000001E-3</v>
      </c>
      <c r="AG55" s="28">
        <f>Electricity_LCIA!AF37</f>
        <v>2.6829999999999999E-5</v>
      </c>
      <c r="AH55" s="28">
        <f>Electricity_LCIA!AG37</f>
        <v>2.5512999999999998E-3</v>
      </c>
      <c r="AI55" s="29">
        <f>Electricity_LCIA!AH37</f>
        <v>2.2418E-3</v>
      </c>
    </row>
    <row r="56" spans="2:35" x14ac:dyDescent="0.25">
      <c r="B56" s="256"/>
      <c r="C56" s="67" t="str">
        <f>Electricity_LCIA!B40</f>
        <v>O'Hare International Airport</v>
      </c>
      <c r="D56" s="28" t="str">
        <f>Electricity_LCIA!C40</f>
        <v>market for electricity, low voltage, US-RFC</v>
      </c>
      <c r="E56" s="28">
        <f>Electricity_LCIA!D40</f>
        <v>0.70234986945169708</v>
      </c>
      <c r="F56" s="28" t="str">
        <f>Electricity_LCIA!E40</f>
        <v>kWh</v>
      </c>
      <c r="G56" s="28" t="str">
        <f>Electricity_LCIA!F40</f>
        <v>Ecoinvent v3.7.1</v>
      </c>
      <c r="H56" s="28">
        <f>Electricity_LCIA!G40</f>
        <v>0.61436999999999997</v>
      </c>
      <c r="I56" s="28">
        <f>Electricity_LCIA!H40</f>
        <v>8.2399E-2</v>
      </c>
      <c r="J56" s="28">
        <f>Electricity_LCIA!I40</f>
        <v>6.7473999999999998</v>
      </c>
      <c r="K56" s="28">
        <f>Electricity_LCIA!J40</f>
        <v>4.0428000000000003E-4</v>
      </c>
      <c r="L56" s="28">
        <f>Electricity_LCIA!K40</f>
        <v>4.3425000000000002</v>
      </c>
      <c r="M56" s="28">
        <f>Electricity_LCIA!L40</f>
        <v>1.3322000000000001E-5</v>
      </c>
      <c r="N56" s="28">
        <f>Electricity_LCIA!M40</f>
        <v>1.5082999999999999E-2</v>
      </c>
      <c r="O56" s="28">
        <f>Electricity_LCIA!N40</f>
        <v>6.8917000000000006E-2</v>
      </c>
      <c r="P56" s="28">
        <f>Electricity_LCIA!O40</f>
        <v>0.1275</v>
      </c>
      <c r="Q56" s="28">
        <f>Electricity_LCIA!P40</f>
        <v>11.384216602</v>
      </c>
      <c r="R56" s="28">
        <f>Electricity_LCIA!Q40</f>
        <v>1.3875999999999999E-2</v>
      </c>
      <c r="S56" s="28">
        <f>Electricity_LCIA!R40</f>
        <v>0.60836999999999997</v>
      </c>
      <c r="T56" s="28">
        <f>Electricity_LCIA!S40</f>
        <v>0.16855999999999999</v>
      </c>
      <c r="U56" s="28">
        <f>Electricity_LCIA!T40</f>
        <v>2.7827999999999999E-2</v>
      </c>
      <c r="V56" s="28">
        <f>Electricity_LCIA!U40</f>
        <v>3.4965000000000002E-4</v>
      </c>
      <c r="W56" s="28">
        <f>Electricity_LCIA!V40</f>
        <v>0.24507000000000001</v>
      </c>
      <c r="X56" s="28">
        <f>Electricity_LCIA!W40</f>
        <v>0.28216999999999998</v>
      </c>
      <c r="Y56" s="28">
        <f>Electricity_LCIA!X40</f>
        <v>2.3791E-2</v>
      </c>
      <c r="Z56" s="28">
        <f>Electricity_LCIA!Y40</f>
        <v>1.1882E-4</v>
      </c>
      <c r="AA56" s="28">
        <f>Electricity_LCIA!Z40</f>
        <v>1.1622E-2</v>
      </c>
      <c r="AB56" s="28">
        <f>Electricity_LCIA!AA40</f>
        <v>-2.4247999999999999E-5</v>
      </c>
      <c r="AC56" s="28">
        <f>Electricity_LCIA!AB40</f>
        <v>1.8053E-8</v>
      </c>
      <c r="AD56" s="28">
        <f>Electricity_LCIA!AC40</f>
        <v>1.1259E-3</v>
      </c>
      <c r="AE56" s="28">
        <f>Electricity_LCIA!AD40</f>
        <v>9.8528999999999999E-4</v>
      </c>
      <c r="AF56" s="28">
        <f>Electricity_LCIA!AE40</f>
        <v>1.8718000000000001E-3</v>
      </c>
      <c r="AG56" s="28">
        <f>Electricity_LCIA!AF40</f>
        <v>2.6829999999999999E-5</v>
      </c>
      <c r="AH56" s="28">
        <f>Electricity_LCIA!AG40</f>
        <v>2.5512999999999998E-3</v>
      </c>
      <c r="AI56" s="29">
        <f>Electricity_LCIA!AH40</f>
        <v>2.2418E-3</v>
      </c>
    </row>
    <row r="57" spans="2:35" x14ac:dyDescent="0.25">
      <c r="B57" s="256"/>
      <c r="C57" s="67" t="str">
        <f>Electricity_LCIA!B43</f>
        <v>Newark Liberty International Airport</v>
      </c>
      <c r="D57" s="28" t="str">
        <f>Electricity_LCIA!C43</f>
        <v>market for electricity, low voltage, US-RFC</v>
      </c>
      <c r="E57" s="28">
        <f>Electricity_LCIA!D43</f>
        <v>0.90078328981723232</v>
      </c>
      <c r="F57" s="28" t="str">
        <f>Electricity_LCIA!E43</f>
        <v>kWh</v>
      </c>
      <c r="G57" s="28" t="str">
        <f>Electricity_LCIA!F43</f>
        <v>Ecoinvent v3.7.1</v>
      </c>
      <c r="H57" s="28">
        <f>Electricity_LCIA!G43</f>
        <v>0.61436999999999997</v>
      </c>
      <c r="I57" s="28">
        <f>Electricity_LCIA!H43</f>
        <v>8.2399E-2</v>
      </c>
      <c r="J57" s="28">
        <f>Electricity_LCIA!I43</f>
        <v>6.7473999999999998</v>
      </c>
      <c r="K57" s="28">
        <f>Electricity_LCIA!J43</f>
        <v>4.0428000000000003E-4</v>
      </c>
      <c r="L57" s="28">
        <f>Electricity_LCIA!K43</f>
        <v>4.3425000000000002</v>
      </c>
      <c r="M57" s="28">
        <f>Electricity_LCIA!L43</f>
        <v>1.3322000000000001E-5</v>
      </c>
      <c r="N57" s="28">
        <f>Electricity_LCIA!M43</f>
        <v>1.5082999999999999E-2</v>
      </c>
      <c r="O57" s="28">
        <f>Electricity_LCIA!N43</f>
        <v>6.8917000000000006E-2</v>
      </c>
      <c r="P57" s="28">
        <f>Electricity_LCIA!O43</f>
        <v>0.1275</v>
      </c>
      <c r="Q57" s="28">
        <f>Electricity_LCIA!P43</f>
        <v>11.384216602</v>
      </c>
      <c r="R57" s="28">
        <f>Electricity_LCIA!Q43</f>
        <v>1.3875999999999999E-2</v>
      </c>
      <c r="S57" s="28">
        <f>Electricity_LCIA!R43</f>
        <v>0.60836999999999997</v>
      </c>
      <c r="T57" s="28">
        <f>Electricity_LCIA!S43</f>
        <v>0.16855999999999999</v>
      </c>
      <c r="U57" s="28">
        <f>Electricity_LCIA!T43</f>
        <v>2.7827999999999999E-2</v>
      </c>
      <c r="V57" s="28">
        <f>Electricity_LCIA!U43</f>
        <v>3.4965000000000002E-4</v>
      </c>
      <c r="W57" s="28">
        <f>Electricity_LCIA!V43</f>
        <v>0.24507000000000001</v>
      </c>
      <c r="X57" s="28">
        <f>Electricity_LCIA!W43</f>
        <v>0.28216999999999998</v>
      </c>
      <c r="Y57" s="28">
        <f>Electricity_LCIA!X43</f>
        <v>2.3791E-2</v>
      </c>
      <c r="Z57" s="28">
        <f>Electricity_LCIA!Y43</f>
        <v>1.1882E-4</v>
      </c>
      <c r="AA57" s="28">
        <f>Electricity_LCIA!Z43</f>
        <v>1.1622E-2</v>
      </c>
      <c r="AB57" s="28">
        <f>Electricity_LCIA!AA43</f>
        <v>-2.4247999999999999E-5</v>
      </c>
      <c r="AC57" s="28">
        <f>Electricity_LCIA!AB43</f>
        <v>1.8053E-8</v>
      </c>
      <c r="AD57" s="28">
        <f>Electricity_LCIA!AC43</f>
        <v>1.1259E-3</v>
      </c>
      <c r="AE57" s="28">
        <f>Electricity_LCIA!AD43</f>
        <v>9.8528999999999999E-4</v>
      </c>
      <c r="AF57" s="28">
        <f>Electricity_LCIA!AE43</f>
        <v>1.8718000000000001E-3</v>
      </c>
      <c r="AG57" s="28">
        <f>Electricity_LCIA!AF43</f>
        <v>2.6829999999999999E-5</v>
      </c>
      <c r="AH57" s="28">
        <f>Electricity_LCIA!AG43</f>
        <v>2.5512999999999998E-3</v>
      </c>
      <c r="AI57" s="29">
        <f>Electricity_LCIA!AH43</f>
        <v>2.2418E-3</v>
      </c>
    </row>
    <row r="58" spans="2:35" x14ac:dyDescent="0.25">
      <c r="B58" s="256"/>
      <c r="C58" s="67" t="str">
        <f>Electricity_LCIA!B49</f>
        <v>2_Hub_10%IP</v>
      </c>
      <c r="D58" s="28" t="str">
        <f>Electricity_LCIA!C49</f>
        <v>in-person</v>
      </c>
      <c r="E58" s="28">
        <f>Electricity_LCIA!D49</f>
        <v>1</v>
      </c>
      <c r="F58" s="28" t="str">
        <f>Electricity_LCIA!E49</f>
        <v>kWh</v>
      </c>
      <c r="G58" s="28">
        <f>Electricity_LCIA!F49</f>
        <v>0</v>
      </c>
      <c r="H58" s="28">
        <f>Electricity_LCIA!G49</f>
        <v>0.51335500000000001</v>
      </c>
      <c r="I58" s="28">
        <f>Electricity_LCIA!H49</f>
        <v>0.12297950000000001</v>
      </c>
      <c r="J58" s="28">
        <f>Electricity_LCIA!I49</f>
        <v>5.97905</v>
      </c>
      <c r="K58" s="28">
        <f>Electricity_LCIA!J49</f>
        <v>7.922214000000001E-2</v>
      </c>
      <c r="L58" s="28">
        <f>Electricity_LCIA!K49</f>
        <v>2.73495</v>
      </c>
      <c r="M58" s="28">
        <f>Electricity_LCIA!L49</f>
        <v>1.5545499999999999E-5</v>
      </c>
      <c r="N58" s="28">
        <f>Electricity_LCIA!M49</f>
        <v>0.17195650000000001</v>
      </c>
      <c r="O58" s="28">
        <f>Electricity_LCIA!N49</f>
        <v>0.54160849999999994</v>
      </c>
      <c r="P58" s="28">
        <f>Electricity_LCIA!O49</f>
        <v>0.21250000000000002</v>
      </c>
      <c r="Q58" s="28">
        <f>Electricity_LCIA!P49</f>
        <v>9.8422821855000002</v>
      </c>
      <c r="R58" s="28">
        <f>Electricity_LCIA!Q49</f>
        <v>1.9366499999999998E-2</v>
      </c>
      <c r="S58" s="28">
        <f>Electricity_LCIA!R49</f>
        <v>0.50829000000000002</v>
      </c>
      <c r="T58" s="28">
        <f>Electricity_LCIA!S49</f>
        <v>0.15093499999999999</v>
      </c>
      <c r="U58" s="28">
        <f>Electricity_LCIA!T49</f>
        <v>2.8624E-2</v>
      </c>
      <c r="V58" s="28">
        <f>Electricity_LCIA!U49</f>
        <v>3.9080500000000004E-4</v>
      </c>
      <c r="W58" s="28">
        <f>Electricity_LCIA!V49</f>
        <v>0.26217000000000001</v>
      </c>
      <c r="X58" s="28">
        <f>Electricity_LCIA!W49</f>
        <v>0.17790499999999998</v>
      </c>
      <c r="Y58" s="28">
        <f>Electricity_LCIA!X49</f>
        <v>2.4534499999999997E-2</v>
      </c>
      <c r="Z58" s="28">
        <f>Electricity_LCIA!Y49</f>
        <v>1.1884500000000002E-4</v>
      </c>
      <c r="AA58" s="28">
        <f>Electricity_LCIA!Z49</f>
        <v>1.1544499999999999E-2</v>
      </c>
      <c r="AB58" s="28">
        <f>Electricity_LCIA!AA49</f>
        <v>-1.9449999999999998E-5</v>
      </c>
      <c r="AC58" s="28">
        <f>Electricity_LCIA!AB49</f>
        <v>1.7773E-8</v>
      </c>
      <c r="AD58" s="28">
        <f>Electricity_LCIA!AC49</f>
        <v>1.33285E-3</v>
      </c>
      <c r="AE58" s="28">
        <f>Electricity_LCIA!AD49</f>
        <v>8.3157499999999987E-4</v>
      </c>
      <c r="AF58" s="28">
        <f>Electricity_LCIA!AE49</f>
        <v>1.3281499999999999E-3</v>
      </c>
      <c r="AG58" s="28">
        <f>Electricity_LCIA!AF49</f>
        <v>2.9315999999999998E-5</v>
      </c>
      <c r="AH58" s="28">
        <f>Electricity_LCIA!AG49</f>
        <v>2.4754E-3</v>
      </c>
      <c r="AI58" s="29">
        <f>Electricity_LCIA!AH49</f>
        <v>2.64635E-3</v>
      </c>
    </row>
    <row r="59" spans="2:35" x14ac:dyDescent="0.25">
      <c r="B59" s="256"/>
      <c r="C59" s="67" t="str">
        <f>Electricity_LCIA!B54</f>
        <v>2_Hub_30%IP</v>
      </c>
      <c r="D59" s="28">
        <f>Electricity_LCIA!C54</f>
        <v>0</v>
      </c>
      <c r="E59" s="28">
        <f>Electricity_LCIA!D54</f>
        <v>0</v>
      </c>
      <c r="F59" s="28">
        <f>Electricity_LCIA!E54</f>
        <v>0</v>
      </c>
      <c r="G59" s="28">
        <f>Electricity_LCIA!F54</f>
        <v>0</v>
      </c>
      <c r="H59" s="28">
        <f>Electricity_LCIA!G54</f>
        <v>0.61436999999999986</v>
      </c>
      <c r="I59" s="28">
        <f>Electricity_LCIA!H54</f>
        <v>8.2399E-2</v>
      </c>
      <c r="J59" s="28">
        <f>Electricity_LCIA!I54</f>
        <v>6.7474000000000007</v>
      </c>
      <c r="K59" s="28">
        <f>Electricity_LCIA!J54</f>
        <v>4.0428000000000003E-4</v>
      </c>
      <c r="L59" s="28">
        <f>Electricity_LCIA!K54</f>
        <v>4.3425000000000011</v>
      </c>
      <c r="M59" s="28">
        <f>Electricity_LCIA!L54</f>
        <v>1.3322000000000001E-5</v>
      </c>
      <c r="N59" s="28">
        <f>Electricity_LCIA!M54</f>
        <v>1.5083000000000001E-2</v>
      </c>
      <c r="O59" s="28">
        <f>Electricity_LCIA!N54</f>
        <v>6.8917000000000006E-2</v>
      </c>
      <c r="P59" s="28">
        <f>Electricity_LCIA!O54</f>
        <v>0.1275</v>
      </c>
      <c r="Q59" s="28">
        <f>Electricity_LCIA!P54</f>
        <v>11.384216602</v>
      </c>
      <c r="R59" s="28">
        <f>Electricity_LCIA!Q54</f>
        <v>1.3875999999999999E-2</v>
      </c>
      <c r="S59" s="28">
        <f>Electricity_LCIA!R54</f>
        <v>0.60836999999999997</v>
      </c>
      <c r="T59" s="28">
        <f>Electricity_LCIA!S54</f>
        <v>0.16855999999999996</v>
      </c>
      <c r="U59" s="28">
        <f>Electricity_LCIA!T54</f>
        <v>2.7827999999999995E-2</v>
      </c>
      <c r="V59" s="28">
        <f>Electricity_LCIA!U54</f>
        <v>3.4965000000000002E-4</v>
      </c>
      <c r="W59" s="28">
        <f>Electricity_LCIA!V54</f>
        <v>0.24506999999999998</v>
      </c>
      <c r="X59" s="28">
        <f>Electricity_LCIA!W54</f>
        <v>0.28216999999999998</v>
      </c>
      <c r="Y59" s="28">
        <f>Electricity_LCIA!X54</f>
        <v>2.3791E-2</v>
      </c>
      <c r="Z59" s="28">
        <f>Electricity_LCIA!Y54</f>
        <v>1.1882E-4</v>
      </c>
      <c r="AA59" s="28">
        <f>Electricity_LCIA!Z54</f>
        <v>1.1622E-2</v>
      </c>
      <c r="AB59" s="28">
        <f>Electricity_LCIA!AA54</f>
        <v>-2.4247999999999999E-5</v>
      </c>
      <c r="AC59" s="28">
        <f>Electricity_LCIA!AB54</f>
        <v>1.8053E-8</v>
      </c>
      <c r="AD59" s="28">
        <f>Electricity_LCIA!AC54</f>
        <v>1.1259E-3</v>
      </c>
      <c r="AE59" s="28">
        <f>Electricity_LCIA!AD54</f>
        <v>9.8528999999999999E-4</v>
      </c>
      <c r="AF59" s="28">
        <f>Electricity_LCIA!AE54</f>
        <v>1.8718000000000003E-3</v>
      </c>
      <c r="AG59" s="28">
        <f>Electricity_LCIA!AF54</f>
        <v>2.6829999999999999E-5</v>
      </c>
      <c r="AH59" s="28">
        <f>Electricity_LCIA!AG54</f>
        <v>2.5512999999999998E-3</v>
      </c>
      <c r="AI59" s="29">
        <f>Electricity_LCIA!AH54</f>
        <v>2.2418E-3</v>
      </c>
    </row>
    <row r="60" spans="2:35" x14ac:dyDescent="0.25">
      <c r="B60" s="256"/>
      <c r="C60" s="67" t="str">
        <f>Electricity_LCIA!B59</f>
        <v>2_Hub_50%IP</v>
      </c>
      <c r="D60" s="28">
        <f>Electricity_LCIA!C59</f>
        <v>0</v>
      </c>
      <c r="E60" s="28">
        <f>Electricity_LCIA!D59</f>
        <v>0</v>
      </c>
      <c r="F60" s="28">
        <f>Electricity_LCIA!E59</f>
        <v>0</v>
      </c>
      <c r="G60" s="28">
        <f>Electricity_LCIA!F59</f>
        <v>0</v>
      </c>
      <c r="H60" s="28">
        <f>Electricity_LCIA!G59</f>
        <v>0.61436999999999997</v>
      </c>
      <c r="I60" s="28">
        <f>Electricity_LCIA!H59</f>
        <v>8.2398999999999986E-2</v>
      </c>
      <c r="J60" s="28">
        <f>Electricity_LCIA!I59</f>
        <v>6.747399999999999</v>
      </c>
      <c r="K60" s="28">
        <f>Electricity_LCIA!J59</f>
        <v>4.0427999999999997E-4</v>
      </c>
      <c r="L60" s="28">
        <f>Electricity_LCIA!K59</f>
        <v>4.3424999999999994</v>
      </c>
      <c r="M60" s="28">
        <f>Electricity_LCIA!L59</f>
        <v>1.3321999999999999E-5</v>
      </c>
      <c r="N60" s="28">
        <f>Electricity_LCIA!M59</f>
        <v>1.5082999999999999E-2</v>
      </c>
      <c r="O60" s="28">
        <f>Electricity_LCIA!N59</f>
        <v>6.8916999999999992E-2</v>
      </c>
      <c r="P60" s="28">
        <f>Electricity_LCIA!O59</f>
        <v>0.1275</v>
      </c>
      <c r="Q60" s="28">
        <f>Electricity_LCIA!P59</f>
        <v>11.384216601999999</v>
      </c>
      <c r="R60" s="28">
        <f>Electricity_LCIA!Q59</f>
        <v>1.3875999999999998E-2</v>
      </c>
      <c r="S60" s="28">
        <f>Electricity_LCIA!R59</f>
        <v>0.60836999999999986</v>
      </c>
      <c r="T60" s="28">
        <f>Electricity_LCIA!S59</f>
        <v>0.16855999999999999</v>
      </c>
      <c r="U60" s="28">
        <f>Electricity_LCIA!T59</f>
        <v>2.7827999999999995E-2</v>
      </c>
      <c r="V60" s="28">
        <f>Electricity_LCIA!U59</f>
        <v>3.4965000000000002E-4</v>
      </c>
      <c r="W60" s="28">
        <f>Electricity_LCIA!V59</f>
        <v>0.24506999999999998</v>
      </c>
      <c r="X60" s="28">
        <f>Electricity_LCIA!W59</f>
        <v>0.28216999999999998</v>
      </c>
      <c r="Y60" s="28">
        <f>Electricity_LCIA!X59</f>
        <v>2.3791E-2</v>
      </c>
      <c r="Z60" s="28">
        <f>Electricity_LCIA!Y59</f>
        <v>1.1881999999999999E-4</v>
      </c>
      <c r="AA60" s="28">
        <f>Electricity_LCIA!Z59</f>
        <v>1.1622E-2</v>
      </c>
      <c r="AB60" s="28">
        <f>Electricity_LCIA!AA59</f>
        <v>-2.4247999999999996E-5</v>
      </c>
      <c r="AC60" s="28">
        <f>Electricity_LCIA!AB59</f>
        <v>1.8053E-8</v>
      </c>
      <c r="AD60" s="28">
        <f>Electricity_LCIA!AC59</f>
        <v>1.1258999999999998E-3</v>
      </c>
      <c r="AE60" s="28">
        <f>Electricity_LCIA!AD59</f>
        <v>9.8528999999999999E-4</v>
      </c>
      <c r="AF60" s="28">
        <f>Electricity_LCIA!AE59</f>
        <v>1.8717999999999996E-3</v>
      </c>
      <c r="AG60" s="28">
        <f>Electricity_LCIA!AF59</f>
        <v>2.6829999999999996E-5</v>
      </c>
      <c r="AH60" s="28">
        <f>Electricity_LCIA!AG59</f>
        <v>2.5512999999999994E-3</v>
      </c>
      <c r="AI60" s="29">
        <f>Electricity_LCIA!AH59</f>
        <v>2.2418E-3</v>
      </c>
    </row>
    <row r="61" spans="2:35" x14ac:dyDescent="0.25">
      <c r="B61" s="256"/>
      <c r="C61" s="67" t="str">
        <f>Electricity_LCIA!B64</f>
        <v>2_Hub_70%IP</v>
      </c>
      <c r="D61" s="28">
        <f>Electricity_LCIA!C64</f>
        <v>0</v>
      </c>
      <c r="E61" s="28">
        <f>Electricity_LCIA!D64</f>
        <v>0</v>
      </c>
      <c r="F61" s="28">
        <f>Electricity_LCIA!E64</f>
        <v>0</v>
      </c>
      <c r="G61" s="28">
        <f>Electricity_LCIA!F64</f>
        <v>0</v>
      </c>
      <c r="H61" s="28">
        <f>Electricity_LCIA!G64</f>
        <v>0.61436999999999997</v>
      </c>
      <c r="I61" s="28">
        <f>Electricity_LCIA!H64</f>
        <v>8.2399E-2</v>
      </c>
      <c r="J61" s="28">
        <f>Electricity_LCIA!I64</f>
        <v>6.747399999999999</v>
      </c>
      <c r="K61" s="28">
        <f>Electricity_LCIA!J64</f>
        <v>4.0427999999999997E-4</v>
      </c>
      <c r="L61" s="28">
        <f>Electricity_LCIA!K64</f>
        <v>4.3425000000000002</v>
      </c>
      <c r="M61" s="28">
        <f>Electricity_LCIA!L64</f>
        <v>1.3321999999999999E-5</v>
      </c>
      <c r="N61" s="28">
        <f>Electricity_LCIA!M64</f>
        <v>1.5082999999999996E-2</v>
      </c>
      <c r="O61" s="28">
        <f>Electricity_LCIA!N64</f>
        <v>6.8917000000000006E-2</v>
      </c>
      <c r="P61" s="28">
        <f>Electricity_LCIA!O64</f>
        <v>0.12749999999999997</v>
      </c>
      <c r="Q61" s="28">
        <f>Electricity_LCIA!P64</f>
        <v>11.384216602</v>
      </c>
      <c r="R61" s="28">
        <f>Electricity_LCIA!Q64</f>
        <v>1.3875999999999998E-2</v>
      </c>
      <c r="S61" s="28">
        <f>Electricity_LCIA!R64</f>
        <v>0.60836999999999997</v>
      </c>
      <c r="T61" s="28">
        <f>Electricity_LCIA!S64</f>
        <v>0.16855999999999999</v>
      </c>
      <c r="U61" s="28">
        <f>Electricity_LCIA!T64</f>
        <v>2.7827999999999999E-2</v>
      </c>
      <c r="V61" s="28">
        <f>Electricity_LCIA!U64</f>
        <v>3.4965000000000002E-4</v>
      </c>
      <c r="W61" s="28">
        <f>Electricity_LCIA!V64</f>
        <v>0.24506999999999998</v>
      </c>
      <c r="X61" s="28">
        <f>Electricity_LCIA!W64</f>
        <v>0.28216999999999998</v>
      </c>
      <c r="Y61" s="28">
        <f>Electricity_LCIA!X64</f>
        <v>2.3790999999999996E-2</v>
      </c>
      <c r="Z61" s="28">
        <f>Electricity_LCIA!Y64</f>
        <v>1.1882E-4</v>
      </c>
      <c r="AA61" s="28">
        <f>Electricity_LCIA!Z64</f>
        <v>1.1621999999999999E-2</v>
      </c>
      <c r="AB61" s="28">
        <f>Electricity_LCIA!AA64</f>
        <v>-2.4247999999999999E-5</v>
      </c>
      <c r="AC61" s="28">
        <f>Electricity_LCIA!AB64</f>
        <v>1.8053E-8</v>
      </c>
      <c r="AD61" s="28">
        <f>Electricity_LCIA!AC64</f>
        <v>1.1258999999999998E-3</v>
      </c>
      <c r="AE61" s="28">
        <f>Electricity_LCIA!AD64</f>
        <v>9.8528999999999999E-4</v>
      </c>
      <c r="AF61" s="28">
        <f>Electricity_LCIA!AE64</f>
        <v>1.8717999999999999E-3</v>
      </c>
      <c r="AG61" s="28">
        <f>Electricity_LCIA!AF64</f>
        <v>2.6829999999999992E-5</v>
      </c>
      <c r="AH61" s="28">
        <f>Electricity_LCIA!AG64</f>
        <v>2.5512999999999998E-3</v>
      </c>
      <c r="AI61" s="29">
        <f>Electricity_LCIA!AH64</f>
        <v>2.2417999999999995E-3</v>
      </c>
    </row>
    <row r="62" spans="2:35" x14ac:dyDescent="0.25">
      <c r="B62" s="256"/>
      <c r="C62" s="67" t="str">
        <f>Electricity_LCIA!B69</f>
        <v>2_Hub_90%IP</v>
      </c>
      <c r="D62" s="28">
        <f>Electricity_LCIA!C69</f>
        <v>0</v>
      </c>
      <c r="E62" s="28">
        <f>Electricity_LCIA!D69</f>
        <v>0</v>
      </c>
      <c r="F62" s="28">
        <f>Electricity_LCIA!E69</f>
        <v>0</v>
      </c>
      <c r="G62" s="28">
        <f>Electricity_LCIA!F69</f>
        <v>0</v>
      </c>
      <c r="H62" s="28">
        <f>Electricity_LCIA!G69</f>
        <v>0.54292750724637684</v>
      </c>
      <c r="I62" s="28">
        <f>Electricity_LCIA!H69</f>
        <v>0.11109941159420292</v>
      </c>
      <c r="J62" s="28">
        <f>Electricity_LCIA!I69</f>
        <v>6.2039872463768129</v>
      </c>
      <c r="K62" s="28">
        <f>Electricity_LCIA!J69</f>
        <v>5.6147925913043482E-2</v>
      </c>
      <c r="L62" s="28">
        <f>Electricity_LCIA!K69</f>
        <v>3.2055660869565221</v>
      </c>
      <c r="M62" s="28">
        <f>Electricity_LCIA!L69</f>
        <v>1.489456231884058E-5</v>
      </c>
      <c r="N62" s="28">
        <f>Electricity_LCIA!M69</f>
        <v>0.12603121449275362</v>
      </c>
      <c r="O62" s="28">
        <f>Electricity_LCIA!N69</f>
        <v>0.40322635072463769</v>
      </c>
      <c r="P62" s="28">
        <f>Electricity_LCIA!O69</f>
        <v>0.18761594202898552</v>
      </c>
      <c r="Q62" s="28">
        <f>Electricity_LCIA!P69</f>
        <v>10.293689072649277</v>
      </c>
      <c r="R62" s="28">
        <f>Electricity_LCIA!Q69</f>
        <v>1.7759136231884059E-2</v>
      </c>
      <c r="S62" s="28">
        <f>Electricity_LCIA!R69</f>
        <v>0.53758878260869569</v>
      </c>
      <c r="T62" s="28">
        <f>Electricity_LCIA!S69</f>
        <v>0.15609478260869566</v>
      </c>
      <c r="U62" s="28">
        <f>Electricity_LCIA!T69</f>
        <v>2.8390968115942029E-2</v>
      </c>
      <c r="V62" s="28">
        <f>Electricity_LCIA!U69</f>
        <v>3.7875672463768119E-4</v>
      </c>
      <c r="W62" s="28">
        <f>Electricity_LCIA!V69</f>
        <v>0.25716391304347824</v>
      </c>
      <c r="X62" s="28">
        <f>Electricity_LCIA!W69</f>
        <v>0.20842895652173915</v>
      </c>
      <c r="Y62" s="28">
        <f>Electricity_LCIA!X69</f>
        <v>2.4316837681159421E-2</v>
      </c>
      <c r="Z62" s="28">
        <f>Electricity_LCIA!Y69</f>
        <v>1.1883768115942032E-4</v>
      </c>
      <c r="AA62" s="28">
        <f>Electricity_LCIA!Z69</f>
        <v>1.1567188405797103E-2</v>
      </c>
      <c r="AB62" s="28">
        <f>Electricity_LCIA!AA69</f>
        <v>-2.0854631884057974E-5</v>
      </c>
      <c r="AC62" s="28">
        <f>Electricity_LCIA!AB69</f>
        <v>1.7854971014492758E-8</v>
      </c>
      <c r="AD62" s="28">
        <f>Electricity_LCIA!AC69</f>
        <v>1.2722646376811596E-3</v>
      </c>
      <c r="AE62" s="28">
        <f>Electricity_LCIA!AD69</f>
        <v>8.7657562318840582E-4</v>
      </c>
      <c r="AF62" s="28">
        <f>Electricity_LCIA!AE69</f>
        <v>1.487305507246377E-3</v>
      </c>
      <c r="AG62" s="28">
        <f>Electricity_LCIA!AF69</f>
        <v>2.8588214492753621E-5</v>
      </c>
      <c r="AH62" s="28">
        <f>Electricity_LCIA!AG69</f>
        <v>2.4976199999999999E-3</v>
      </c>
      <c r="AI62" s="29">
        <f>Electricity_LCIA!AH69</f>
        <v>2.5279165217391305E-3</v>
      </c>
    </row>
    <row r="63" spans="2:35" x14ac:dyDescent="0.25">
      <c r="B63" s="256"/>
      <c r="C63" s="67" t="str">
        <f>Electricity_LCIA!B75</f>
        <v>3_Hub_10%IP</v>
      </c>
      <c r="D63" s="28">
        <f>Electricity_LCIA!C75</f>
        <v>0</v>
      </c>
      <c r="E63" s="28">
        <f>Electricity_LCIA!D75</f>
        <v>0</v>
      </c>
      <c r="F63" s="28">
        <f>Electricity_LCIA!E75</f>
        <v>0</v>
      </c>
      <c r="G63" s="28">
        <f>Electricity_LCIA!F75</f>
        <v>0</v>
      </c>
      <c r="H63" s="28">
        <f>Electricity_LCIA!G75</f>
        <v>0.54702666666666655</v>
      </c>
      <c r="I63" s="28">
        <f>Electricity_LCIA!H75</f>
        <v>0.10945266666666664</v>
      </c>
      <c r="J63" s="28">
        <f>Electricity_LCIA!I75</f>
        <v>6.2351666666666663</v>
      </c>
      <c r="K63" s="28">
        <f>Electricity_LCIA!J75</f>
        <v>5.2949520000000007E-2</v>
      </c>
      <c r="L63" s="28">
        <f>Electricity_LCIA!K75</f>
        <v>3.2707999999999999</v>
      </c>
      <c r="M63" s="28">
        <f>Electricity_LCIA!L75</f>
        <v>1.480433333333333E-5</v>
      </c>
      <c r="N63" s="28">
        <f>Electricity_LCIA!M75</f>
        <v>0.11966533333333332</v>
      </c>
      <c r="O63" s="28">
        <f>Electricity_LCIA!N75</f>
        <v>0.38404466666666665</v>
      </c>
      <c r="P63" s="28">
        <f>Electricity_LCIA!O75</f>
        <v>0.18416666666666665</v>
      </c>
      <c r="Q63" s="28">
        <f>Electricity_LCIA!P75</f>
        <v>10.356260324333332</v>
      </c>
      <c r="R63" s="28">
        <f>Electricity_LCIA!Q75</f>
        <v>1.7536333333333331E-2</v>
      </c>
      <c r="S63" s="28">
        <f>Electricity_LCIA!R75</f>
        <v>0.54164999999999996</v>
      </c>
      <c r="T63" s="28">
        <f>Electricity_LCIA!S75</f>
        <v>0.15680999999999998</v>
      </c>
      <c r="U63" s="28">
        <f>Electricity_LCIA!T75</f>
        <v>2.8358666666666664E-2</v>
      </c>
      <c r="V63" s="28">
        <f>Electricity_LCIA!U75</f>
        <v>3.7708666666666664E-4</v>
      </c>
      <c r="W63" s="28">
        <f>Electricity_LCIA!V75</f>
        <v>0.25646999999999998</v>
      </c>
      <c r="X63" s="28">
        <f>Electricity_LCIA!W75</f>
        <v>0.21265999999999993</v>
      </c>
      <c r="Y63" s="28">
        <f>Electricity_LCIA!X75</f>
        <v>2.4286666666666665E-2</v>
      </c>
      <c r="Z63" s="28">
        <f>Electricity_LCIA!Y75</f>
        <v>1.1883666666666667E-4</v>
      </c>
      <c r="AA63" s="28">
        <f>Electricity_LCIA!Z75</f>
        <v>1.1570333333333332E-2</v>
      </c>
      <c r="AB63" s="28">
        <f>Electricity_LCIA!AA75</f>
        <v>-2.1049333333333332E-5</v>
      </c>
      <c r="AC63" s="28">
        <f>Electricity_LCIA!AB75</f>
        <v>1.7866333333333332E-8</v>
      </c>
      <c r="AD63" s="28">
        <f>Electricity_LCIA!AC75</f>
        <v>1.2638666666666665E-3</v>
      </c>
      <c r="AE63" s="28">
        <f>Electricity_LCIA!AD75</f>
        <v>8.8281333333333325E-4</v>
      </c>
      <c r="AF63" s="28">
        <f>Electricity_LCIA!AE75</f>
        <v>1.5093666666666668E-3</v>
      </c>
      <c r="AG63" s="28">
        <f>Electricity_LCIA!AF75</f>
        <v>2.8487333333333327E-5</v>
      </c>
      <c r="AH63" s="28">
        <f>Electricity_LCIA!AG75</f>
        <v>2.5006999999999998E-3</v>
      </c>
      <c r="AI63" s="29">
        <f>Electricity_LCIA!AH75</f>
        <v>2.5114999999999998E-3</v>
      </c>
    </row>
    <row r="64" spans="2:35" x14ac:dyDescent="0.25">
      <c r="B64" s="256"/>
      <c r="C64" s="67" t="str">
        <f>Electricity_LCIA!B81</f>
        <v>3_Hub_30%IP</v>
      </c>
      <c r="D64" s="28">
        <f>Electricity_LCIA!C81</f>
        <v>0</v>
      </c>
      <c r="E64" s="28">
        <f>Electricity_LCIA!D81</f>
        <v>0</v>
      </c>
      <c r="F64" s="28">
        <f>Electricity_LCIA!E81</f>
        <v>0</v>
      </c>
      <c r="G64" s="28">
        <f>Electricity_LCIA!F81</f>
        <v>0</v>
      </c>
      <c r="H64" s="28">
        <f>Electricity_LCIA!G81</f>
        <v>0.57572078260869552</v>
      </c>
      <c r="I64" s="28">
        <f>Electricity_LCIA!H81</f>
        <v>9.7925452173913047E-2</v>
      </c>
      <c r="J64" s="28">
        <f>Electricity_LCIA!I81</f>
        <v>6.4534226086956519</v>
      </c>
      <c r="K64" s="28">
        <f>Electricity_LCIA!J81</f>
        <v>3.056067860869565E-2</v>
      </c>
      <c r="L64" s="28">
        <f>Electricity_LCIA!K81</f>
        <v>3.7274373913043477</v>
      </c>
      <c r="M64" s="28">
        <f>Electricity_LCIA!L81</f>
        <v>1.4172730434782608E-5</v>
      </c>
      <c r="N64" s="28">
        <f>Electricity_LCIA!M81</f>
        <v>7.51041652173913E-2</v>
      </c>
      <c r="O64" s="28">
        <f>Electricity_LCIA!N81</f>
        <v>0.24977287826086958</v>
      </c>
      <c r="P64" s="28">
        <f>Electricity_LCIA!O81</f>
        <v>0.1600217391304348</v>
      </c>
      <c r="Q64" s="28">
        <f>Electricity_LCIA!P81</f>
        <v>10.794259086121739</v>
      </c>
      <c r="R64" s="28">
        <f>Electricity_LCIA!Q81</f>
        <v>1.5976713043478263E-2</v>
      </c>
      <c r="S64" s="28">
        <f>Electricity_LCIA!R81</f>
        <v>0.57007852173913043</v>
      </c>
      <c r="T64" s="28">
        <f>Electricity_LCIA!S81</f>
        <v>0.16181652173913041</v>
      </c>
      <c r="U64" s="28">
        <f>Electricity_LCIA!T81</f>
        <v>2.8132556521739131E-2</v>
      </c>
      <c r="V64" s="28">
        <f>Electricity_LCIA!U81</f>
        <v>3.6539626086956519E-4</v>
      </c>
      <c r="W64" s="28">
        <f>Electricity_LCIA!V81</f>
        <v>0.25161260869565216</v>
      </c>
      <c r="X64" s="28">
        <f>Electricity_LCIA!W81</f>
        <v>0.24227730434782607</v>
      </c>
      <c r="Y64" s="28">
        <f>Electricity_LCIA!X81</f>
        <v>2.4075469565217392E-2</v>
      </c>
      <c r="Z64" s="28">
        <f>Electricity_LCIA!Y81</f>
        <v>1.1882956521739129E-4</v>
      </c>
      <c r="AA64" s="28">
        <f>Electricity_LCIA!Z81</f>
        <v>1.1592347826086957E-2</v>
      </c>
      <c r="AB64" s="28">
        <f>Electricity_LCIA!AA81</f>
        <v>-2.241224347826087E-5</v>
      </c>
      <c r="AC64" s="28">
        <f>Electricity_LCIA!AB81</f>
        <v>1.7945869565217392E-8</v>
      </c>
      <c r="AD64" s="28">
        <f>Electricity_LCIA!AC81</f>
        <v>1.2050808695652174E-3</v>
      </c>
      <c r="AE64" s="28">
        <f>Electricity_LCIA!AD81</f>
        <v>9.2647730434782601E-4</v>
      </c>
      <c r="AF64" s="28">
        <f>Electricity_LCIA!AE81</f>
        <v>1.6637947826086956E-3</v>
      </c>
      <c r="AG64" s="28">
        <f>Electricity_LCIA!AF81</f>
        <v>2.7781165217391306E-5</v>
      </c>
      <c r="AH64" s="28">
        <f>Electricity_LCIA!AG81</f>
        <v>2.5222599999999997E-3</v>
      </c>
      <c r="AI64" s="29">
        <f>Electricity_LCIA!AH81</f>
        <v>2.3965843478260867E-3</v>
      </c>
    </row>
    <row r="65" spans="2:35" x14ac:dyDescent="0.25">
      <c r="B65" s="256"/>
      <c r="C65" s="67" t="str">
        <f>Electricity_LCIA!B87</f>
        <v>3_Hub_50%IP</v>
      </c>
      <c r="D65" s="28">
        <f>Electricity_LCIA!C87</f>
        <v>0</v>
      </c>
      <c r="E65" s="28">
        <f>Electricity_LCIA!D87</f>
        <v>0</v>
      </c>
      <c r="F65" s="28">
        <f>Electricity_LCIA!E87</f>
        <v>0</v>
      </c>
      <c r="G65" s="28">
        <f>Electricity_LCIA!F87</f>
        <v>0</v>
      </c>
      <c r="H65" s="28">
        <f>Electricity_LCIA!G87</f>
        <v>0.59122072916666679</v>
      </c>
      <c r="I65" s="28">
        <f>Electricity_LCIA!H87</f>
        <v>9.1698697916666683E-2</v>
      </c>
      <c r="J65" s="28">
        <f>Electricity_LCIA!I87</f>
        <v>6.5713197916666672</v>
      </c>
      <c r="K65" s="28">
        <f>Electricity_LCIA!J87</f>
        <v>1.8466706250000003E-2</v>
      </c>
      <c r="L65" s="28">
        <f>Electricity_LCIA!K87</f>
        <v>3.9741031250000005</v>
      </c>
      <c r="M65" s="28">
        <f>Electricity_LCIA!L87</f>
        <v>1.3831552083333334E-5</v>
      </c>
      <c r="N65" s="28">
        <f>Electricity_LCIA!M87</f>
        <v>5.1033177083333339E-2</v>
      </c>
      <c r="O65" s="28">
        <f>Electricity_LCIA!N87</f>
        <v>0.1772421354166667</v>
      </c>
      <c r="P65" s="28">
        <f>Electricity_LCIA!O87</f>
        <v>0.14697916666666672</v>
      </c>
      <c r="Q65" s="28">
        <f>Electricity_LCIA!P87</f>
        <v>11.030856631552087</v>
      </c>
      <c r="R65" s="28">
        <f>Electricity_LCIA!Q87</f>
        <v>1.5134239583333335E-2</v>
      </c>
      <c r="S65" s="28">
        <f>Electricity_LCIA!R87</f>
        <v>0.58543500000000015</v>
      </c>
      <c r="T65" s="28">
        <f>Electricity_LCIA!S87</f>
        <v>0.16452093750000002</v>
      </c>
      <c r="U65" s="28">
        <f>Electricity_LCIA!T87</f>
        <v>2.8010416666666673E-2</v>
      </c>
      <c r="V65" s="28">
        <f>Electricity_LCIA!U87</f>
        <v>3.5908135416666672E-4</v>
      </c>
      <c r="W65" s="28">
        <f>Electricity_LCIA!V87</f>
        <v>0.24898875000000006</v>
      </c>
      <c r="X65" s="28">
        <f>Electricity_LCIA!W87</f>
        <v>0.25827593750000005</v>
      </c>
      <c r="Y65" s="28">
        <f>Electricity_LCIA!X87</f>
        <v>2.3961385416666672E-2</v>
      </c>
      <c r="Z65" s="28">
        <f>Electricity_LCIA!Y87</f>
        <v>1.1882572916666669E-4</v>
      </c>
      <c r="AA65" s="28">
        <f>Electricity_LCIA!Z87</f>
        <v>1.1604239583333335E-2</v>
      </c>
      <c r="AB65" s="28">
        <f>Electricity_LCIA!AA87</f>
        <v>-2.3148458333333335E-5</v>
      </c>
      <c r="AC65" s="28">
        <f>Electricity_LCIA!AB87</f>
        <v>1.7988833333333335E-8</v>
      </c>
      <c r="AD65" s="28">
        <f>Electricity_LCIA!AC87</f>
        <v>1.1733260416666668E-3</v>
      </c>
      <c r="AE65" s="28">
        <f>Electricity_LCIA!AD87</f>
        <v>9.5006364583333344E-4</v>
      </c>
      <c r="AF65" s="28">
        <f>Electricity_LCIA!AE87</f>
        <v>1.7472135416666669E-3</v>
      </c>
      <c r="AG65" s="28">
        <f>Electricity_LCIA!AF87</f>
        <v>2.7399708333333333E-5</v>
      </c>
      <c r="AH65" s="28">
        <f>Electricity_LCIA!AG87</f>
        <v>2.5339062500000006E-3</v>
      </c>
      <c r="AI65" s="29">
        <f>Electricity_LCIA!AH87</f>
        <v>2.334509375E-3</v>
      </c>
    </row>
    <row r="66" spans="2:35" x14ac:dyDescent="0.25">
      <c r="B66" s="256"/>
      <c r="C66" s="67" t="str">
        <f>Electricity_LCIA!B93</f>
        <v>3_Hub_70%IP</v>
      </c>
      <c r="D66" s="28">
        <f>Electricity_LCIA!C93</f>
        <v>0</v>
      </c>
      <c r="E66" s="28">
        <f>Electricity_LCIA!D93</f>
        <v>0</v>
      </c>
      <c r="F66" s="28">
        <f>Electricity_LCIA!E93</f>
        <v>0</v>
      </c>
      <c r="G66" s="28">
        <f>Electricity_LCIA!F93</f>
        <v>0</v>
      </c>
      <c r="H66" s="28">
        <f>Electricity_LCIA!G93</f>
        <v>0.58583044609665413</v>
      </c>
      <c r="I66" s="28">
        <f>Electricity_LCIA!H93</f>
        <v>9.3864122676579911E-2</v>
      </c>
      <c r="J66" s="28">
        <f>Electricity_LCIA!I93</f>
        <v>6.5303197026022293</v>
      </c>
      <c r="K66" s="28">
        <f>Electricity_LCIA!J93</f>
        <v>2.2672522973977691E-2</v>
      </c>
      <c r="L66" s="28">
        <f>Electricity_LCIA!K93</f>
        <v>3.8883223048327133</v>
      </c>
      <c r="M66" s="28">
        <f>Electricity_LCIA!L93</f>
        <v>1.3950200743494422E-5</v>
      </c>
      <c r="N66" s="28">
        <f>Electricity_LCIA!M93</f>
        <v>5.9404137546468387E-2</v>
      </c>
      <c r="O66" s="28">
        <f>Electricity_LCIA!N93</f>
        <v>0.20246552788104086</v>
      </c>
      <c r="P66" s="28">
        <f>Electricity_LCIA!O93</f>
        <v>0.15151486988847582</v>
      </c>
      <c r="Q66" s="28">
        <f>Electricity_LCIA!P93</f>
        <v>10.94857713860223</v>
      </c>
      <c r="R66" s="28">
        <f>Electricity_LCIA!Q93</f>
        <v>1.5427219330855018E-2</v>
      </c>
      <c r="S66" s="28">
        <f>Electricity_LCIA!R93</f>
        <v>0.58009460966542736</v>
      </c>
      <c r="T66" s="28">
        <f>Electricity_LCIA!S93</f>
        <v>0.16358044609665426</v>
      </c>
      <c r="U66" s="28">
        <f>Electricity_LCIA!T93</f>
        <v>2.8052892193308546E-2</v>
      </c>
      <c r="V66" s="28">
        <f>Electricity_LCIA!U93</f>
        <v>3.6127743494423787E-4</v>
      </c>
      <c r="W66" s="28">
        <f>Electricity_LCIA!V93</f>
        <v>0.24990122676579926</v>
      </c>
      <c r="X66" s="28">
        <f>Electricity_LCIA!W93</f>
        <v>0.25271223048327129</v>
      </c>
      <c r="Y66" s="28">
        <f>Electricity_LCIA!X93</f>
        <v>2.4001059479553902E-2</v>
      </c>
      <c r="Z66" s="28">
        <f>Electricity_LCIA!Y93</f>
        <v>1.1882706319702601E-4</v>
      </c>
      <c r="AA66" s="28">
        <f>Electricity_LCIA!Z93</f>
        <v>1.1600104089219328E-2</v>
      </c>
      <c r="AB66" s="28">
        <f>Electricity_LCIA!AA93</f>
        <v>-2.2892431226765797E-5</v>
      </c>
      <c r="AC66" s="28">
        <f>Electricity_LCIA!AB93</f>
        <v>1.7973892193308547E-8</v>
      </c>
      <c r="AD66" s="28">
        <f>Electricity_LCIA!AC93</f>
        <v>1.1843691449814125E-3</v>
      </c>
      <c r="AE66" s="28">
        <f>Electricity_LCIA!AD93</f>
        <v>9.4186122676579928E-4</v>
      </c>
      <c r="AF66" s="28">
        <f>Electricity_LCIA!AE93</f>
        <v>1.7182037174721192E-3</v>
      </c>
      <c r="AG66" s="28">
        <f>Electricity_LCIA!AF93</f>
        <v>2.7532364312267653E-5</v>
      </c>
      <c r="AH66" s="28">
        <f>Electricity_LCIA!AG93</f>
        <v>2.5298561338289961E-3</v>
      </c>
      <c r="AI66" s="29">
        <f>Electricity_LCIA!AH93</f>
        <v>2.3560966542750927E-3</v>
      </c>
    </row>
    <row r="67" spans="2:35" x14ac:dyDescent="0.25">
      <c r="B67" s="256"/>
      <c r="C67" s="67" t="str">
        <f>Electricity_LCIA!B99</f>
        <v>3_Hub_90%IP</v>
      </c>
      <c r="D67" s="28">
        <f>Electricity_LCIA!C99</f>
        <v>0</v>
      </c>
      <c r="E67" s="28">
        <f>Electricity_LCIA!D99</f>
        <v>0</v>
      </c>
      <c r="F67" s="28">
        <f>Electricity_LCIA!E99</f>
        <v>0</v>
      </c>
      <c r="G67" s="28">
        <f>Electricity_LCIA!F99</f>
        <v>0</v>
      </c>
      <c r="H67" s="28">
        <f>Electricity_LCIA!G99</f>
        <v>0.57630637681159425</v>
      </c>
      <c r="I67" s="28">
        <f>Electricity_LCIA!H99</f>
        <v>9.7690202898550724E-2</v>
      </c>
      <c r="J67" s="28">
        <f>Electricity_LCIA!I99</f>
        <v>6.4578768115942031</v>
      </c>
      <c r="K67" s="28">
        <f>Electricity_LCIA!J99</f>
        <v>3.0103763478260871E-2</v>
      </c>
      <c r="L67" s="28">
        <f>Electricity_LCIA!K99</f>
        <v>3.7367565217391308</v>
      </c>
      <c r="M67" s="28">
        <f>Electricity_LCIA!L99</f>
        <v>1.4159840579710144E-5</v>
      </c>
      <c r="N67" s="28">
        <f>Electricity_LCIA!M99</f>
        <v>7.4194753623188406E-2</v>
      </c>
      <c r="O67" s="28">
        <f>Electricity_LCIA!N99</f>
        <v>0.24703263768115941</v>
      </c>
      <c r="P67" s="28">
        <f>Electricity_LCIA!O99</f>
        <v>0.1595289855072464</v>
      </c>
      <c r="Q67" s="28">
        <f>Electricity_LCIA!P99</f>
        <v>10.803197836362319</v>
      </c>
      <c r="R67" s="28">
        <f>Electricity_LCIA!Q99</f>
        <v>1.5944884057971016E-2</v>
      </c>
      <c r="S67" s="28">
        <f>Electricity_LCIA!R99</f>
        <v>0.57065869565217386</v>
      </c>
      <c r="T67" s="28">
        <f>Electricity_LCIA!S99</f>
        <v>0.1619186956521739</v>
      </c>
      <c r="U67" s="28">
        <f>Electricity_LCIA!T99</f>
        <v>2.8127942028985511E-2</v>
      </c>
      <c r="V67" s="28">
        <f>Electricity_LCIA!U99</f>
        <v>3.6515768115942033E-4</v>
      </c>
      <c r="W67" s="28">
        <f>Electricity_LCIA!V99</f>
        <v>0.25151347826086962</v>
      </c>
      <c r="X67" s="28">
        <f>Electricity_LCIA!W99</f>
        <v>0.24288173913043476</v>
      </c>
      <c r="Y67" s="28">
        <f>Electricity_LCIA!X99</f>
        <v>2.4071159420289857E-2</v>
      </c>
      <c r="Z67" s="28">
        <f>Electricity_LCIA!Y99</f>
        <v>1.1882942028985508E-4</v>
      </c>
      <c r="AA67" s="28">
        <f>Electricity_LCIA!Z99</f>
        <v>1.1592797101449276E-2</v>
      </c>
      <c r="AB67" s="28">
        <f>Electricity_LCIA!AA99</f>
        <v>-2.2440057971014493E-5</v>
      </c>
      <c r="AC67" s="28">
        <f>Electricity_LCIA!AB99</f>
        <v>1.7947492753623189E-8</v>
      </c>
      <c r="AD67" s="28">
        <f>Electricity_LCIA!AC99</f>
        <v>1.2038811594202896E-3</v>
      </c>
      <c r="AE67" s="28">
        <f>Electricity_LCIA!AD99</f>
        <v>9.2736840579710146E-4</v>
      </c>
      <c r="AF67" s="28">
        <f>Electricity_LCIA!AE99</f>
        <v>1.6669463768115942E-3</v>
      </c>
      <c r="AG67" s="28">
        <f>Electricity_LCIA!AF99</f>
        <v>2.7766753623188409E-5</v>
      </c>
      <c r="AH67" s="28">
        <f>Electricity_LCIA!AG99</f>
        <v>2.5227000000000001E-3</v>
      </c>
      <c r="AI67" s="29">
        <f>Electricity_LCIA!AH99</f>
        <v>2.394239130434783E-3</v>
      </c>
    </row>
    <row r="68" spans="2:35" x14ac:dyDescent="0.25">
      <c r="B68" s="256"/>
      <c r="C68" s="67" t="str">
        <f>Electricity_LCIA!B106</f>
        <v>4_Hub_10%IP</v>
      </c>
      <c r="D68" s="28">
        <f>Electricity_LCIA!C106</f>
        <v>0</v>
      </c>
      <c r="E68" s="28">
        <f>Electricity_LCIA!D106</f>
        <v>0</v>
      </c>
      <c r="F68" s="28">
        <f>Electricity_LCIA!E106</f>
        <v>0</v>
      </c>
      <c r="G68" s="28">
        <f>Electricity_LCIA!F106</f>
        <v>0</v>
      </c>
      <c r="H68" s="28">
        <f>Electricity_LCIA!G106</f>
        <v>0.51335500000000001</v>
      </c>
      <c r="I68" s="28">
        <f>Electricity_LCIA!H106</f>
        <v>0.12297950000000001</v>
      </c>
      <c r="J68" s="28">
        <f>Electricity_LCIA!I106</f>
        <v>5.97905</v>
      </c>
      <c r="K68" s="28">
        <f>Electricity_LCIA!J106</f>
        <v>7.922214000000001E-2</v>
      </c>
      <c r="L68" s="28">
        <f>Electricity_LCIA!K106</f>
        <v>2.73495</v>
      </c>
      <c r="M68" s="28">
        <f>Electricity_LCIA!L106</f>
        <v>1.5545499999999999E-5</v>
      </c>
      <c r="N68" s="28">
        <f>Electricity_LCIA!M106</f>
        <v>0.17195650000000001</v>
      </c>
      <c r="O68" s="28">
        <f>Electricity_LCIA!N106</f>
        <v>0.54160849999999994</v>
      </c>
      <c r="P68" s="28">
        <f>Electricity_LCIA!O106</f>
        <v>0.21250000000000002</v>
      </c>
      <c r="Q68" s="28">
        <f>Electricity_LCIA!P106</f>
        <v>9.8422821855000002</v>
      </c>
      <c r="R68" s="28">
        <f>Electricity_LCIA!Q106</f>
        <v>1.9366499999999998E-2</v>
      </c>
      <c r="S68" s="28">
        <f>Electricity_LCIA!R106</f>
        <v>0.50829000000000002</v>
      </c>
      <c r="T68" s="28">
        <f>Electricity_LCIA!S106</f>
        <v>0.15093499999999999</v>
      </c>
      <c r="U68" s="28">
        <f>Electricity_LCIA!T106</f>
        <v>2.8624E-2</v>
      </c>
      <c r="V68" s="28">
        <f>Electricity_LCIA!U106</f>
        <v>3.9080500000000004E-4</v>
      </c>
      <c r="W68" s="28">
        <f>Electricity_LCIA!V106</f>
        <v>0.26217000000000001</v>
      </c>
      <c r="X68" s="28">
        <f>Electricity_LCIA!W106</f>
        <v>0.17790499999999995</v>
      </c>
      <c r="Y68" s="28">
        <f>Electricity_LCIA!X106</f>
        <v>2.4534499999999997E-2</v>
      </c>
      <c r="Z68" s="28">
        <f>Electricity_LCIA!Y106</f>
        <v>1.1884500000000002E-4</v>
      </c>
      <c r="AA68" s="28">
        <f>Electricity_LCIA!Z106</f>
        <v>1.1544499999999999E-2</v>
      </c>
      <c r="AB68" s="28">
        <f>Electricity_LCIA!AA106</f>
        <v>-1.9449999999999998E-5</v>
      </c>
      <c r="AC68" s="28">
        <f>Electricity_LCIA!AB106</f>
        <v>1.7773E-8</v>
      </c>
      <c r="AD68" s="28">
        <f>Electricity_LCIA!AC106</f>
        <v>1.33285E-3</v>
      </c>
      <c r="AE68" s="28">
        <f>Electricity_LCIA!AD106</f>
        <v>8.3157499999999987E-4</v>
      </c>
      <c r="AF68" s="28">
        <f>Electricity_LCIA!AE106</f>
        <v>1.3281499999999999E-3</v>
      </c>
      <c r="AG68" s="28">
        <f>Electricity_LCIA!AF106</f>
        <v>2.9315999999999998E-5</v>
      </c>
      <c r="AH68" s="28">
        <f>Electricity_LCIA!AG106</f>
        <v>2.4754E-3</v>
      </c>
      <c r="AI68" s="29">
        <f>Electricity_LCIA!AH106</f>
        <v>2.64635E-3</v>
      </c>
    </row>
    <row r="69" spans="2:35" x14ac:dyDescent="0.25">
      <c r="B69" s="256"/>
      <c r="C69" s="67" t="str">
        <f>Electricity_LCIA!B113</f>
        <v>4_Hub_30%IP</v>
      </c>
      <c r="D69" s="28">
        <f>Electricity_LCIA!C113</f>
        <v>0</v>
      </c>
      <c r="E69" s="28">
        <f>Electricity_LCIA!D113</f>
        <v>0</v>
      </c>
      <c r="F69" s="28">
        <f>Electricity_LCIA!E113</f>
        <v>0</v>
      </c>
      <c r="G69" s="28">
        <f>Electricity_LCIA!F113</f>
        <v>0</v>
      </c>
      <c r="H69" s="28">
        <f>Electricity_LCIA!G113</f>
        <v>0.54058513043478251</v>
      </c>
      <c r="I69" s="28">
        <f>Electricity_LCIA!H113</f>
        <v>0.11204040869565217</v>
      </c>
      <c r="J69" s="28">
        <f>Electricity_LCIA!I113</f>
        <v>6.1861704347826088</v>
      </c>
      <c r="K69" s="28">
        <f>Electricity_LCIA!J113</f>
        <v>5.7975586434782615E-2</v>
      </c>
      <c r="L69" s="28">
        <f>Electricity_LCIA!K113</f>
        <v>3.1682895652173917</v>
      </c>
      <c r="M69" s="28">
        <f>Electricity_LCIA!L113</f>
        <v>1.4946121739130436E-5</v>
      </c>
      <c r="N69" s="28">
        <f>Electricity_LCIA!M113</f>
        <v>0.12966886086956522</v>
      </c>
      <c r="O69" s="28">
        <f>Electricity_LCIA!N113</f>
        <v>0.41418731304347828</v>
      </c>
      <c r="P69" s="28">
        <f>Electricity_LCIA!O113</f>
        <v>0.18958695652173913</v>
      </c>
      <c r="Q69" s="28">
        <f>Electricity_LCIA!P113</f>
        <v>10.257934071686957</v>
      </c>
      <c r="R69" s="28">
        <f>Electricity_LCIA!Q113</f>
        <v>1.7886452173913041E-2</v>
      </c>
      <c r="S69" s="28">
        <f>Electricity_LCIA!R113</f>
        <v>0.53526808695652173</v>
      </c>
      <c r="T69" s="28">
        <f>Electricity_LCIA!S113</f>
        <v>0.15568608695652172</v>
      </c>
      <c r="U69" s="28">
        <f>Electricity_LCIA!T113</f>
        <v>2.840942608695652E-2</v>
      </c>
      <c r="V69" s="28">
        <f>Electricity_LCIA!U113</f>
        <v>3.7971104347826089E-4</v>
      </c>
      <c r="W69" s="28">
        <f>Electricity_LCIA!V113</f>
        <v>0.2575604347826087</v>
      </c>
      <c r="X69" s="28">
        <f>Electricity_LCIA!W113</f>
        <v>0.20601121739130432</v>
      </c>
      <c r="Y69" s="28">
        <f>Electricity_LCIA!X113</f>
        <v>2.4334078260869564E-2</v>
      </c>
      <c r="Z69" s="28">
        <f>Electricity_LCIA!Y113</f>
        <v>1.1883826086956521E-4</v>
      </c>
      <c r="AA69" s="28">
        <f>Electricity_LCIA!Z113</f>
        <v>1.1565391304347826E-2</v>
      </c>
      <c r="AB69" s="28">
        <f>Electricity_LCIA!AA113</f>
        <v>-2.0743373913043477E-5</v>
      </c>
      <c r="AC69" s="28">
        <f>Electricity_LCIA!AB113</f>
        <v>1.7848478260869567E-8</v>
      </c>
      <c r="AD69" s="28">
        <f>Electricity_LCIA!AC113</f>
        <v>1.2770634782608696E-3</v>
      </c>
      <c r="AE69" s="28">
        <f>Electricity_LCIA!AD113</f>
        <v>8.7301121739130432E-4</v>
      </c>
      <c r="AF69" s="28">
        <f>Electricity_LCIA!AE113</f>
        <v>1.4746991304347827E-3</v>
      </c>
      <c r="AG69" s="28">
        <f>Electricity_LCIA!AF113</f>
        <v>2.864586086956522E-5</v>
      </c>
      <c r="AH69" s="28">
        <f>Electricity_LCIA!AG113</f>
        <v>2.4958600000000004E-3</v>
      </c>
      <c r="AI69" s="29">
        <f>Electricity_LCIA!AH113</f>
        <v>2.5372973913043474E-3</v>
      </c>
    </row>
    <row r="70" spans="2:35" x14ac:dyDescent="0.25">
      <c r="B70" s="256"/>
      <c r="C70" s="67" t="str">
        <f>Electricity_LCIA!B120</f>
        <v>4_Hub_50%IP</v>
      </c>
      <c r="D70" s="28">
        <f>Electricity_LCIA!C120</f>
        <v>0</v>
      </c>
      <c r="E70" s="28">
        <f>Electricity_LCIA!D120</f>
        <v>0</v>
      </c>
      <c r="F70" s="28">
        <f>Electricity_LCIA!E120</f>
        <v>0</v>
      </c>
      <c r="G70" s="28">
        <f>Electricity_LCIA!F120</f>
        <v>0</v>
      </c>
      <c r="H70" s="28">
        <f>Electricity_LCIA!G120</f>
        <v>0.56701921874999994</v>
      </c>
      <c r="I70" s="28">
        <f>Electricity_LCIA!H120</f>
        <v>0.10142110937500001</v>
      </c>
      <c r="J70" s="28">
        <f>Electricity_LCIA!I120</f>
        <v>6.3872359375000016</v>
      </c>
      <c r="K70" s="28">
        <f>Electricity_LCIA!J120</f>
        <v>3.7350151875000008E-2</v>
      </c>
      <c r="L70" s="28">
        <f>Electricity_LCIA!K120</f>
        <v>3.5889609375000004</v>
      </c>
      <c r="M70" s="28">
        <f>Electricity_LCIA!L120</f>
        <v>1.4364265625000004E-5</v>
      </c>
      <c r="N70" s="28">
        <f>Electricity_LCIA!M120</f>
        <v>8.8617453125000023E-2</v>
      </c>
      <c r="O70" s="28">
        <f>Electricity_LCIA!N120</f>
        <v>0.29049114062500003</v>
      </c>
      <c r="P70" s="28">
        <f>Electricity_LCIA!O120</f>
        <v>0.16734375000000001</v>
      </c>
      <c r="Q70" s="28">
        <f>Electricity_LCIA!P120</f>
        <v>10.661434844265628</v>
      </c>
      <c r="R70" s="28">
        <f>Electricity_LCIA!Q120</f>
        <v>1.6449671875000002E-2</v>
      </c>
      <c r="S70" s="28">
        <f>Electricity_LCIA!R120</f>
        <v>0.56145749999999994</v>
      </c>
      <c r="T70" s="28">
        <f>Electricity_LCIA!S120</f>
        <v>0.16029828125000001</v>
      </c>
      <c r="U70" s="28">
        <f>Electricity_LCIA!T120</f>
        <v>2.8201125000000004E-2</v>
      </c>
      <c r="V70" s="28">
        <f>Electricity_LCIA!U120</f>
        <v>3.6894140625000002E-4</v>
      </c>
      <c r="W70" s="28">
        <f>Electricity_LCIA!V120</f>
        <v>0.25308562500000004</v>
      </c>
      <c r="X70" s="28">
        <f>Electricity_LCIA!W120</f>
        <v>0.23329578125</v>
      </c>
      <c r="Y70" s="28">
        <f>Electricity_LCIA!X120</f>
        <v>2.4139515625000003E-2</v>
      </c>
      <c r="Z70" s="28">
        <f>Electricity_LCIA!Y120</f>
        <v>1.1883171875000002E-4</v>
      </c>
      <c r="AA70" s="28">
        <f>Electricity_LCIA!Z120</f>
        <v>1.1585671875000002E-2</v>
      </c>
      <c r="AB70" s="28">
        <f>Electricity_LCIA!AA120</f>
        <v>-2.1998937500000003E-5</v>
      </c>
      <c r="AC70" s="28">
        <f>Electricity_LCIA!AB120</f>
        <v>1.7921750000000003E-8</v>
      </c>
      <c r="AD70" s="28">
        <f>Electricity_LCIA!AC120</f>
        <v>1.2229078124999999E-3</v>
      </c>
      <c r="AE70" s="28">
        <f>Electricity_LCIA!AD120</f>
        <v>9.1323609375000005E-4</v>
      </c>
      <c r="AF70" s="28">
        <f>Electricity_LCIA!AE120</f>
        <v>1.6169640625000002E-3</v>
      </c>
      <c r="AG70" s="28">
        <f>Electricity_LCIA!AF120</f>
        <v>2.7995312500000004E-5</v>
      </c>
      <c r="AH70" s="28">
        <f>Electricity_LCIA!AG120</f>
        <v>2.5157218750000002E-3</v>
      </c>
      <c r="AI70" s="29">
        <f>Electricity_LCIA!AH120</f>
        <v>2.4314328125000003E-3</v>
      </c>
    </row>
    <row r="71" spans="2:35" x14ac:dyDescent="0.25">
      <c r="B71" s="256"/>
      <c r="C71" s="67" t="str">
        <f>Electricity_LCIA!B127</f>
        <v>4_Hub_70%IP</v>
      </c>
      <c r="D71" s="28">
        <f>Electricity_LCIA!C127</f>
        <v>0</v>
      </c>
      <c r="E71" s="28">
        <f>Electricity_LCIA!D127</f>
        <v>0</v>
      </c>
      <c r="F71" s="28">
        <f>Electricity_LCIA!E127</f>
        <v>0</v>
      </c>
      <c r="G71" s="28">
        <f>Electricity_LCIA!F127</f>
        <v>0</v>
      </c>
      <c r="H71" s="28">
        <f>Electricity_LCIA!G127</f>
        <v>0.57156066914498138</v>
      </c>
      <c r="I71" s="28">
        <f>Electricity_LCIA!H127</f>
        <v>9.9596684014869902E-2</v>
      </c>
      <c r="J71" s="28">
        <f>Electricity_LCIA!I127</f>
        <v>6.4217795539033462</v>
      </c>
      <c r="K71" s="28">
        <f>Electricity_LCIA!J127</f>
        <v>3.3806644460966546E-2</v>
      </c>
      <c r="L71" s="28">
        <f>Electricity_LCIA!K127</f>
        <v>3.6612334572490708</v>
      </c>
      <c r="M71" s="28">
        <f>Electricity_LCIA!L127</f>
        <v>1.4264301115241635E-5</v>
      </c>
      <c r="N71" s="28">
        <f>Electricity_LCIA!M127</f>
        <v>8.1564706319702612E-2</v>
      </c>
      <c r="O71" s="28">
        <f>Electricity_LCIA!N127</f>
        <v>0.26923979182156133</v>
      </c>
      <c r="P71" s="28">
        <f>Electricity_LCIA!O127</f>
        <v>0.16352230483271377</v>
      </c>
      <c r="Q71" s="28">
        <f>Electricity_LCIA!P127</f>
        <v>10.730757406903345</v>
      </c>
      <c r="R71" s="28">
        <f>Electricity_LCIA!Q127</f>
        <v>1.6202828996282528E-2</v>
      </c>
      <c r="S71" s="28">
        <f>Electricity_LCIA!R127</f>
        <v>0.56595691449814123</v>
      </c>
      <c r="T71" s="28">
        <f>Electricity_LCIA!S127</f>
        <v>0.16109066914498144</v>
      </c>
      <c r="U71" s="28">
        <f>Electricity_LCIA!T127</f>
        <v>2.8165338289962823E-2</v>
      </c>
      <c r="V71" s="28">
        <f>Electricity_LCIA!U127</f>
        <v>3.6709115241635693E-4</v>
      </c>
      <c r="W71" s="28">
        <f>Electricity_LCIA!V127</f>
        <v>0.25231684014869887</v>
      </c>
      <c r="X71" s="28">
        <f>Electricity_LCIA!W127</f>
        <v>0.23798334572490704</v>
      </c>
      <c r="Y71" s="28">
        <f>Electricity_LCIA!X127</f>
        <v>2.4106089219330853E-2</v>
      </c>
      <c r="Z71" s="28">
        <f>Electricity_LCIA!Y127</f>
        <v>1.1883059479553905E-4</v>
      </c>
      <c r="AA71" s="28">
        <f>Electricity_LCIA!Z127</f>
        <v>1.1589156133828998E-2</v>
      </c>
      <c r="AB71" s="28">
        <f>Electricity_LCIA!AA127</f>
        <v>-2.2214646840148699E-5</v>
      </c>
      <c r="AC71" s="28">
        <f>Electricity_LCIA!AB127</f>
        <v>1.7934338289962826E-8</v>
      </c>
      <c r="AD71" s="28">
        <f>Electricity_LCIA!AC127</f>
        <v>1.213603717472119E-3</v>
      </c>
      <c r="AE71" s="28">
        <f>Electricity_LCIA!AD127</f>
        <v>9.2014684014869892E-4</v>
      </c>
      <c r="AF71" s="28">
        <f>Electricity_LCIA!AE127</f>
        <v>1.6414055762081785E-3</v>
      </c>
      <c r="AG71" s="28">
        <f>Electricity_LCIA!AF127</f>
        <v>2.7883546468401486E-5</v>
      </c>
      <c r="AH71" s="28">
        <f>Electricity_LCIA!AG127</f>
        <v>2.519134200743494E-3</v>
      </c>
      <c r="AI71" s="29">
        <f>Electricity_LCIA!AH127</f>
        <v>2.4132449814126397E-3</v>
      </c>
    </row>
    <row r="72" spans="2:35" x14ac:dyDescent="0.25">
      <c r="B72" s="256"/>
      <c r="C72" s="67" t="str">
        <f>Electricity_LCIA!B134</f>
        <v>4_Hub_90%IP</v>
      </c>
      <c r="D72" s="28">
        <f>Electricity_LCIA!C134</f>
        <v>0</v>
      </c>
      <c r="E72" s="28">
        <f>Electricity_LCIA!D134</f>
        <v>0</v>
      </c>
      <c r="F72" s="28">
        <f>Electricity_LCIA!E134</f>
        <v>0</v>
      </c>
      <c r="G72" s="28">
        <f>Electricity_LCIA!F134</f>
        <v>0</v>
      </c>
      <c r="H72" s="28">
        <f>Electricity_LCIA!G134</f>
        <v>0.57720281159420295</v>
      </c>
      <c r="I72" s="28">
        <f>Electricity_LCIA!H134</f>
        <v>0.10057292463768115</v>
      </c>
      <c r="J72" s="28">
        <f>Electricity_LCIA!I134</f>
        <v>6.452495652173913</v>
      </c>
      <c r="K72" s="28">
        <f>Electricity_LCIA!J134</f>
        <v>2.4365756173913046E-2</v>
      </c>
      <c r="L72" s="28">
        <f>Electricity_LCIA!K134</f>
        <v>3.620363188405797</v>
      </c>
      <c r="M72" s="28">
        <f>Electricity_LCIA!L134</f>
        <v>1.5621489855072462E-5</v>
      </c>
      <c r="N72" s="28">
        <f>Electricity_LCIA!M134</f>
        <v>0.10376713913043478</v>
      </c>
      <c r="O72" s="28">
        <f>Electricity_LCIA!N134</f>
        <v>0.22420607826086961</v>
      </c>
      <c r="P72" s="28">
        <f>Electricity_LCIA!O134</f>
        <v>0.20867704347826088</v>
      </c>
      <c r="Q72" s="28">
        <f>Electricity_LCIA!P134</f>
        <v>10.734463403750725</v>
      </c>
      <c r="R72" s="28">
        <f>Electricity_LCIA!Q134</f>
        <v>1.6288255072463766E-2</v>
      </c>
      <c r="S72" s="28">
        <f>Electricity_LCIA!R134</f>
        <v>0.57150692753623178</v>
      </c>
      <c r="T72" s="28">
        <f>Electricity_LCIA!S134</f>
        <v>0.16105611594202895</v>
      </c>
      <c r="U72" s="28">
        <f>Electricity_LCIA!T134</f>
        <v>2.8880104347826088E-2</v>
      </c>
      <c r="V72" s="28">
        <f>Electricity_LCIA!U134</f>
        <v>4.0309962318840585E-4</v>
      </c>
      <c r="W72" s="28">
        <f>Electricity_LCIA!V134</f>
        <v>0.27296797101449272</v>
      </c>
      <c r="X72" s="28">
        <f>Electricity_LCIA!W134</f>
        <v>0.23308142028985504</v>
      </c>
      <c r="Y72" s="28">
        <f>Electricity_LCIA!X134</f>
        <v>2.4833678260869563E-2</v>
      </c>
      <c r="Z72" s="28">
        <f>Electricity_LCIA!Y134</f>
        <v>1.2636284057971015E-4</v>
      </c>
      <c r="AA72" s="28">
        <f>Electricity_LCIA!Z134</f>
        <v>1.1885802898550726E-2</v>
      </c>
      <c r="AB72" s="28">
        <f>Electricity_LCIA!AA134</f>
        <v>-2.2564939130434778E-5</v>
      </c>
      <c r="AC72" s="28">
        <f>Electricity_LCIA!AB134</f>
        <v>1.746930144927536E-8</v>
      </c>
      <c r="AD72" s="28">
        <f>Electricity_LCIA!AC134</f>
        <v>1.1151023188405798E-3</v>
      </c>
      <c r="AE72" s="28">
        <f>Electricity_LCIA!AD134</f>
        <v>9.1471434782608679E-4</v>
      </c>
      <c r="AF72" s="28">
        <f>Electricity_LCIA!AE134</f>
        <v>1.6234157681159422E-3</v>
      </c>
      <c r="AG72" s="28">
        <f>Electricity_LCIA!AF134</f>
        <v>2.7705084057971012E-5</v>
      </c>
      <c r="AH72" s="28">
        <f>Electricity_LCIA!AG134</f>
        <v>2.5946089855072461E-3</v>
      </c>
      <c r="AI72" s="29">
        <f>Electricity_LCIA!AH134</f>
        <v>2.3723681159420291E-3</v>
      </c>
    </row>
    <row r="73" spans="2:35" x14ac:dyDescent="0.25">
      <c r="B73" s="256"/>
      <c r="C73" s="67" t="str">
        <f>Electricity_LCIA!B142</f>
        <v>5_Hub_10%IP</v>
      </c>
      <c r="D73" s="28">
        <f>Electricity_LCIA!C142</f>
        <v>0</v>
      </c>
      <c r="E73" s="28">
        <f>Electricity_LCIA!D142</f>
        <v>0</v>
      </c>
      <c r="F73" s="28">
        <f>Electricity_LCIA!E142</f>
        <v>0</v>
      </c>
      <c r="G73" s="28">
        <f>Electricity_LCIA!F142</f>
        <v>0</v>
      </c>
      <c r="H73" s="28">
        <f>Electricity_LCIA!G142</f>
        <v>0.53406399999999998</v>
      </c>
      <c r="I73" s="28">
        <f>Electricity_LCIA!H142</f>
        <v>0.17992160000000001</v>
      </c>
      <c r="J73" s="28">
        <f>Electricity_LCIA!I142</f>
        <v>6.3082400000000005</v>
      </c>
      <c r="K73" s="28">
        <f>Electricity_LCIA!J142</f>
        <v>6.3467612000000007E-2</v>
      </c>
      <c r="L73" s="28">
        <f>Electricity_LCIA!K142</f>
        <v>2.9282999999999997</v>
      </c>
      <c r="M73" s="28">
        <f>Electricity_LCIA!L142</f>
        <v>1.8071799999999999E-5</v>
      </c>
      <c r="N73" s="28">
        <f>Electricity_LCIA!M142</f>
        <v>0.14932260000000003</v>
      </c>
      <c r="O73" s="28">
        <f>Electricity_LCIA!N142</f>
        <v>0.46817880000000001</v>
      </c>
      <c r="P73" s="28">
        <f>Electricity_LCIA!O142</f>
        <v>0.17417760000000002</v>
      </c>
      <c r="Q73" s="28">
        <f>Electricity_LCIA!P142</f>
        <v>10.2716262838</v>
      </c>
      <c r="R73" s="28">
        <f>Electricity_LCIA!Q142</f>
        <v>2.70776E-2</v>
      </c>
      <c r="S73" s="28">
        <f>Electricity_LCIA!R142</f>
        <v>0.52873400000000004</v>
      </c>
      <c r="T73" s="28">
        <f>Electricity_LCIA!S142</f>
        <v>0.159718</v>
      </c>
      <c r="U73" s="28">
        <f>Electricity_LCIA!T142</f>
        <v>2.88068E-2</v>
      </c>
      <c r="V73" s="28">
        <f>Electricity_LCIA!U142</f>
        <v>4.0058200000000008E-4</v>
      </c>
      <c r="W73" s="28">
        <f>Electricity_LCIA!V142</f>
        <v>0.26907800000000004</v>
      </c>
      <c r="X73" s="28">
        <f>Electricity_LCIA!W142</f>
        <v>0.19043999999999997</v>
      </c>
      <c r="Y73" s="28">
        <f>Electricity_LCIA!X142</f>
        <v>2.46474E-2</v>
      </c>
      <c r="Z73" s="28">
        <f>Electricity_LCIA!Y142</f>
        <v>1.2190600000000002E-4</v>
      </c>
      <c r="AA73" s="28">
        <f>Electricity_LCIA!Z142</f>
        <v>1.1538400000000001E-2</v>
      </c>
      <c r="AB73" s="28">
        <f>Electricity_LCIA!AA142</f>
        <v>-1.9941200000000001E-5</v>
      </c>
      <c r="AC73" s="28">
        <f>Electricity_LCIA!AB142</f>
        <v>1.92224E-8</v>
      </c>
      <c r="AD73" s="28">
        <f>Electricity_LCIA!AC142</f>
        <v>1.34756E-3</v>
      </c>
      <c r="AE73" s="28">
        <f>Electricity_LCIA!AD142</f>
        <v>8.4148600000000001E-4</v>
      </c>
      <c r="AF73" s="28">
        <f>Electricity_LCIA!AE142</f>
        <v>1.3588200000000002E-3</v>
      </c>
      <c r="AG73" s="28">
        <f>Electricity_LCIA!AF142</f>
        <v>3.0578599999999999E-5</v>
      </c>
      <c r="AH73" s="28">
        <f>Electricity_LCIA!AG142</f>
        <v>2.4925400000000001E-3</v>
      </c>
      <c r="AI73" s="29">
        <f>Electricity_LCIA!AH142</f>
        <v>2.5777199999999999E-3</v>
      </c>
    </row>
    <row r="74" spans="2:35" x14ac:dyDescent="0.25">
      <c r="B74" s="256"/>
      <c r="C74" s="67" t="str">
        <f>Electricity_LCIA!B150</f>
        <v>5_Hub_30%IP</v>
      </c>
      <c r="D74" s="28">
        <f>Electricity_LCIA!C150</f>
        <v>0</v>
      </c>
      <c r="E74" s="28">
        <f>Electricity_LCIA!D150</f>
        <v>0</v>
      </c>
      <c r="F74" s="28">
        <f>Electricity_LCIA!E150</f>
        <v>0</v>
      </c>
      <c r="G74" s="28">
        <f>Electricity_LCIA!F150</f>
        <v>0</v>
      </c>
      <c r="H74" s="28">
        <f>Electricity_LCIA!G150</f>
        <v>0.54102513043478262</v>
      </c>
      <c r="I74" s="28">
        <f>Electricity_LCIA!H150</f>
        <v>0.16861275652173913</v>
      </c>
      <c r="J74" s="28">
        <f>Electricity_LCIA!I150</f>
        <v>6.3387965217391304</v>
      </c>
      <c r="K74" s="28">
        <f>Electricity_LCIA!J150</f>
        <v>5.7983450782608692E-2</v>
      </c>
      <c r="L74" s="28">
        <f>Electricity_LCIA!K150</f>
        <v>3.0568460869565217</v>
      </c>
      <c r="M74" s="28">
        <f>Electricity_LCIA!L150</f>
        <v>1.7529599999999999E-5</v>
      </c>
      <c r="N74" s="28">
        <f>Electricity_LCIA!M150</f>
        <v>0.13726955652173914</v>
      </c>
      <c r="O74" s="28">
        <f>Electricity_LCIA!N150</f>
        <v>0.43254261739130434</v>
      </c>
      <c r="P74" s="28">
        <f>Electricity_LCIA!O150</f>
        <v>0.17104573913043478</v>
      </c>
      <c r="Q74" s="28">
        <f>Electricity_LCIA!P150</f>
        <v>10.363114258643478</v>
      </c>
      <c r="R74" s="28">
        <f>Electricity_LCIA!Q150</f>
        <v>2.5546626086956518E-2</v>
      </c>
      <c r="S74" s="28">
        <f>Electricity_LCIA!R150</f>
        <v>0.53564026086956507</v>
      </c>
      <c r="T74" s="28">
        <f>Electricity_LCIA!S150</f>
        <v>0.16025826086956521</v>
      </c>
      <c r="U74" s="28">
        <f>Electricity_LCIA!T150</f>
        <v>2.8706817391304353E-2</v>
      </c>
      <c r="V74" s="28">
        <f>Electricity_LCIA!U150</f>
        <v>3.9537017391304345E-4</v>
      </c>
      <c r="W74" s="28">
        <f>Electricity_LCIA!V150</f>
        <v>0.26654130434782608</v>
      </c>
      <c r="X74" s="28">
        <f>Electricity_LCIA!W150</f>
        <v>0.19877817391304345</v>
      </c>
      <c r="Y74" s="28">
        <f>Electricity_LCIA!X150</f>
        <v>2.4561556521739126E-2</v>
      </c>
      <c r="Z74" s="28">
        <f>Electricity_LCIA!Y150</f>
        <v>1.2150434782608695E-4</v>
      </c>
      <c r="AA74" s="28">
        <f>Electricity_LCIA!Z150</f>
        <v>1.1546608695652173E-2</v>
      </c>
      <c r="AB74" s="28">
        <f>Electricity_LCIA!AA150</f>
        <v>-2.033606956521739E-5</v>
      </c>
      <c r="AC74" s="28">
        <f>Electricity_LCIA!AB150</f>
        <v>1.9060130434782606E-8</v>
      </c>
      <c r="AD74" s="28">
        <f>Electricity_LCIA!AC150</f>
        <v>1.3258460869565217E-3</v>
      </c>
      <c r="AE74" s="28">
        <f>Electricity_LCIA!AD150</f>
        <v>8.5489643478260853E-4</v>
      </c>
      <c r="AF74" s="28">
        <f>Electricity_LCIA!AE150</f>
        <v>1.4068208695652174E-3</v>
      </c>
      <c r="AG74" s="28">
        <f>Electricity_LCIA!AF150</f>
        <v>3.0176121739130435E-5</v>
      </c>
      <c r="AH74" s="28">
        <f>Electricity_LCIA!AG150</f>
        <v>2.4975643478260868E-3</v>
      </c>
      <c r="AI74" s="29">
        <f>Electricity_LCIA!AH150</f>
        <v>2.547975652173913E-3</v>
      </c>
    </row>
    <row r="75" spans="2:35" x14ac:dyDescent="0.25">
      <c r="B75" s="256"/>
      <c r="C75" s="67" t="str">
        <f>Electricity_LCIA!B158</f>
        <v>5_Hub_50%IP</v>
      </c>
      <c r="D75" s="28">
        <f>Electricity_LCIA!C158</f>
        <v>0</v>
      </c>
      <c r="E75" s="28">
        <f>Electricity_LCIA!D158</f>
        <v>0</v>
      </c>
      <c r="F75" s="28">
        <f>Electricity_LCIA!E158</f>
        <v>0</v>
      </c>
      <c r="G75" s="28">
        <f>Electricity_LCIA!F158</f>
        <v>0</v>
      </c>
      <c r="H75" s="28">
        <f>Electricity_LCIA!G158</f>
        <v>0.5673222916666667</v>
      </c>
      <c r="I75" s="28">
        <f>Electricity_LCIA!H158</f>
        <v>0.14038826041666669</v>
      </c>
      <c r="J75" s="28">
        <f>Electricity_LCIA!I158</f>
        <v>6.4923651041666677</v>
      </c>
      <c r="K75" s="28">
        <f>Electricity_LCIA!J158</f>
        <v>3.7355568854166681E-2</v>
      </c>
      <c r="L75" s="28">
        <f>Electricity_LCIA!K158</f>
        <v>3.5121984375000008</v>
      </c>
      <c r="M75" s="28">
        <f>Electricity_LCIA!L158</f>
        <v>1.6143770833333332E-5</v>
      </c>
      <c r="N75" s="28">
        <f>Electricity_LCIA!M158</f>
        <v>9.385282812500001E-2</v>
      </c>
      <c r="O75" s="28">
        <f>Electricity_LCIA!N158</f>
        <v>0.3031343125</v>
      </c>
      <c r="P75" s="28">
        <f>Electricity_LCIA!O158</f>
        <v>0.15457252083333334</v>
      </c>
      <c r="Q75" s="28">
        <f>Electricity_LCIA!P158</f>
        <v>10.733883176166669</v>
      </c>
      <c r="R75" s="28">
        <f>Electricity_LCIA!Q158</f>
        <v>2.1726015625000004E-2</v>
      </c>
      <c r="S75" s="28">
        <f>Electricity_LCIA!R158</f>
        <v>0.56171385416666664</v>
      </c>
      <c r="T75" s="28">
        <f>Electricity_LCIA!S158</f>
        <v>0.16344760416666668</v>
      </c>
      <c r="U75" s="28">
        <f>Electricity_LCIA!T158</f>
        <v>2.840596875E-2</v>
      </c>
      <c r="V75" s="28">
        <f>Electricity_LCIA!U158</f>
        <v>3.7972744791666671E-4</v>
      </c>
      <c r="W75" s="28">
        <f>Electricity_LCIA!V158</f>
        <v>0.25927166666666668</v>
      </c>
      <c r="X75" s="28">
        <f>Electricity_LCIA!W158</f>
        <v>0.22831364583333336</v>
      </c>
      <c r="Y75" s="28">
        <f>Electricity_LCIA!X158</f>
        <v>2.4296203125000002E-2</v>
      </c>
      <c r="Z75" s="28">
        <f>Electricity_LCIA!Y158</f>
        <v>1.2066812500000002E-4</v>
      </c>
      <c r="AA75" s="28">
        <f>Electricity_LCIA!Z158</f>
        <v>1.1572734375000001E-2</v>
      </c>
      <c r="AB75" s="28">
        <f>Electricity_LCIA!AA158</f>
        <v>-2.1718385416666668E-5</v>
      </c>
      <c r="AC75" s="28">
        <f>Electricity_LCIA!AB158</f>
        <v>1.8756338541666665E-8</v>
      </c>
      <c r="AD75" s="28">
        <f>Electricity_LCIA!AC158</f>
        <v>1.2565093749999999E-3</v>
      </c>
      <c r="AE75" s="28">
        <f>Electricity_LCIA!AD158</f>
        <v>9.0075859375000011E-4</v>
      </c>
      <c r="AF75" s="28">
        <f>Electricity_LCIA!AE158</f>
        <v>1.5702093749999999E-3</v>
      </c>
      <c r="AG75" s="28">
        <f>Electricity_LCIA!AF158</f>
        <v>2.9049359375000003E-5</v>
      </c>
      <c r="AH75" s="28">
        <f>Electricity_LCIA!AG158</f>
        <v>2.5168958333333337E-3</v>
      </c>
      <c r="AI75" s="29">
        <f>Electricity_LCIA!AH158</f>
        <v>2.4387880208333336E-3</v>
      </c>
    </row>
    <row r="76" spans="2:35" x14ac:dyDescent="0.25">
      <c r="B76" s="256"/>
      <c r="C76" s="67" t="str">
        <f>Electricity_LCIA!B166</f>
        <v>5_Hub_70%IP</v>
      </c>
      <c r="D76" s="28">
        <f>Electricity_LCIA!C166</f>
        <v>0</v>
      </c>
      <c r="E76" s="28">
        <f>Electricity_LCIA!D166</f>
        <v>0</v>
      </c>
      <c r="F76" s="28">
        <f>Electricity_LCIA!E166</f>
        <v>0</v>
      </c>
      <c r="G76" s="28">
        <f>Electricity_LCIA!F166</f>
        <v>0</v>
      </c>
      <c r="H76" s="28">
        <f>Electricity_LCIA!G166</f>
        <v>0.57633026022304834</v>
      </c>
      <c r="I76" s="28">
        <f>Electricity_LCIA!H166</f>
        <v>0.131645687732342</v>
      </c>
      <c r="J76" s="28">
        <f>Electricity_LCIA!I166</f>
        <v>6.5474040892193317</v>
      </c>
      <c r="K76" s="28">
        <f>Electricity_LCIA!J166</f>
        <v>3.029531301115242E-2</v>
      </c>
      <c r="L76" s="28">
        <f>Electricity_LCIA!K166</f>
        <v>3.666245353159852</v>
      </c>
      <c r="M76" s="28">
        <f>Electricity_LCIA!L166</f>
        <v>1.5711356877323421E-5</v>
      </c>
      <c r="N76" s="28">
        <f>Electricity_LCIA!M166</f>
        <v>7.9115747211895918E-2</v>
      </c>
      <c r="O76" s="28">
        <f>Electricity_LCIA!N166</f>
        <v>0.25913907063197028</v>
      </c>
      <c r="P76" s="28">
        <f>Electricity_LCIA!O166</f>
        <v>0.14863332342007438</v>
      </c>
      <c r="Q76" s="28">
        <f>Electricity_LCIA!P166</f>
        <v>10.862494295743495</v>
      </c>
      <c r="R76" s="28">
        <f>Electricity_LCIA!Q166</f>
        <v>2.0542613382899633E-2</v>
      </c>
      <c r="S76" s="28">
        <f>Electricity_LCIA!R166</f>
        <v>0.57064420074349442</v>
      </c>
      <c r="T76" s="28">
        <f>Electricity_LCIA!S166</f>
        <v>0.16461342007434945</v>
      </c>
      <c r="U76" s="28">
        <f>Electricity_LCIA!T166</f>
        <v>2.8307821561338292E-2</v>
      </c>
      <c r="V76" s="28">
        <f>Electricity_LCIA!U166</f>
        <v>3.7462743494423795E-4</v>
      </c>
      <c r="W76" s="28">
        <f>Electricity_LCIA!V166</f>
        <v>0.25692918215613386</v>
      </c>
      <c r="X76" s="28">
        <f>Electricity_LCIA!W166</f>
        <v>0.23830550185873606</v>
      </c>
      <c r="Y76" s="28">
        <f>Electricity_LCIA!X166</f>
        <v>2.4209070631970264E-2</v>
      </c>
      <c r="Z76" s="28">
        <f>Electricity_LCIA!Y166</f>
        <v>1.2042516728624538E-4</v>
      </c>
      <c r="AA76" s="28">
        <f>Electricity_LCIA!Z166</f>
        <v>1.1581371747211898E-2</v>
      </c>
      <c r="AB76" s="28">
        <f>Electricity_LCIA!AA166</f>
        <v>-2.2184907063197027E-5</v>
      </c>
      <c r="AC76" s="28">
        <f>Electricity_LCIA!AB166</f>
        <v>1.8672018587360597E-8</v>
      </c>
      <c r="AD76" s="28">
        <f>Electricity_LCIA!AC166</f>
        <v>1.2335687732342008E-3</v>
      </c>
      <c r="AE76" s="28">
        <f>Electricity_LCIA!AD166</f>
        <v>9.1616208178438676E-4</v>
      </c>
      <c r="AF76" s="28">
        <f>Electricity_LCIA!AE166</f>
        <v>1.6250315985130116E-3</v>
      </c>
      <c r="AG76" s="28">
        <f>Electricity_LCIA!AF166</f>
        <v>2.8688527881040892E-5</v>
      </c>
      <c r="AH76" s="28">
        <f>Electricity_LCIA!AG166</f>
        <v>2.5235401486988851E-3</v>
      </c>
      <c r="AI76" s="29">
        <f>Electricity_LCIA!AH166</f>
        <v>2.4015892193308551E-3</v>
      </c>
    </row>
    <row r="77" spans="2:35" x14ac:dyDescent="0.25">
      <c r="B77" s="256"/>
      <c r="C77" s="67" t="str">
        <f>Electricity_LCIA!B174</f>
        <v>5_Hub_90%IP</v>
      </c>
      <c r="D77" s="28">
        <f>Electricity_LCIA!C174</f>
        <v>0</v>
      </c>
      <c r="E77" s="28">
        <f>Electricity_LCIA!D174</f>
        <v>0</v>
      </c>
      <c r="F77" s="28">
        <f>Electricity_LCIA!E174</f>
        <v>0</v>
      </c>
      <c r="G77" s="28">
        <f>Electricity_LCIA!F174</f>
        <v>0</v>
      </c>
      <c r="H77" s="28">
        <f>Electricity_LCIA!G174</f>
        <v>0.56206547826086961</v>
      </c>
      <c r="I77" s="28">
        <f>Electricity_LCIA!H174</f>
        <v>0.10604597391304349</v>
      </c>
      <c r="J77" s="28">
        <f>Electricity_LCIA!I174</f>
        <v>6.3396440579710145</v>
      </c>
      <c r="K77" s="28">
        <f>Electricity_LCIA!J174</f>
        <v>3.7121525565217396E-2</v>
      </c>
      <c r="L77" s="28">
        <f>Electricity_LCIA!K174</f>
        <v>3.4039666666666668</v>
      </c>
      <c r="M77" s="28">
        <f>Electricity_LCIA!L174</f>
        <v>1.5676927536231886E-5</v>
      </c>
      <c r="N77" s="28">
        <f>Electricity_LCIA!M174</f>
        <v>0.12146915072463768</v>
      </c>
      <c r="O77" s="28">
        <f>Electricity_LCIA!N174</f>
        <v>0.29853345797101449</v>
      </c>
      <c r="P77" s="28">
        <f>Electricity_LCIA!O174</f>
        <v>0.21205779710144931</v>
      </c>
      <c r="Q77" s="28">
        <f>Electricity_LCIA!P174</f>
        <v>10.518854306840581</v>
      </c>
      <c r="R77" s="28">
        <f>Electricity_LCIA!Q174</f>
        <v>1.7037501449275363E-2</v>
      </c>
      <c r="S77" s="28">
        <f>Electricity_LCIA!R174</f>
        <v>0.55651718840579711</v>
      </c>
      <c r="T77" s="28">
        <f>Electricity_LCIA!S174</f>
        <v>0.15860602898550727</v>
      </c>
      <c r="U77" s="28">
        <f>Electricity_LCIA!T174</f>
        <v>2.8857031884057974E-2</v>
      </c>
      <c r="V77" s="28">
        <f>Electricity_LCIA!U174</f>
        <v>4.0208420289855075E-4</v>
      </c>
      <c r="W77" s="28">
        <f>Electricity_LCIA!V174</f>
        <v>0.27147927536231886</v>
      </c>
      <c r="X77" s="28">
        <f>Electricity_LCIA!W174</f>
        <v>0.21946811594202897</v>
      </c>
      <c r="Y77" s="28">
        <f>Electricity_LCIA!X174</f>
        <v>2.4800884057971012E-2</v>
      </c>
      <c r="Z77" s="28">
        <f>Electricity_LCIA!Y174</f>
        <v>1.2495402898550728E-4</v>
      </c>
      <c r="AA77" s="28">
        <f>Electricity_LCIA!Z174</f>
        <v>1.1819379710144929E-2</v>
      </c>
      <c r="AB77" s="28">
        <f>Electricity_LCIA!AA174</f>
        <v>-2.1830515942028985E-5</v>
      </c>
      <c r="AC77" s="28">
        <f>Electricity_LCIA!AB174</f>
        <v>1.7517469565217391E-8</v>
      </c>
      <c r="AD77" s="28">
        <f>Electricity_LCIA!AC174</f>
        <v>1.1624159420289856E-3</v>
      </c>
      <c r="AE77" s="28">
        <f>Electricity_LCIA!AD174</f>
        <v>8.9430820289855084E-4</v>
      </c>
      <c r="AF77" s="28">
        <f>Electricity_LCIA!AE174</f>
        <v>1.5510151304347825E-3</v>
      </c>
      <c r="AG77" s="28">
        <f>Electricity_LCIA!AF174</f>
        <v>2.8085043478260874E-5</v>
      </c>
      <c r="AH77" s="28">
        <f>Electricity_LCIA!AG174</f>
        <v>2.569878550724638E-3</v>
      </c>
      <c r="AI77" s="29">
        <f>Electricity_LCIA!AH174</f>
        <v>2.4364185507246379E-3</v>
      </c>
    </row>
    <row r="78" spans="2:35" x14ac:dyDescent="0.25">
      <c r="B78" s="256"/>
      <c r="C78" s="67" t="str">
        <f>Electricity_LCIA!B183</f>
        <v>6_Hub_10%IP</v>
      </c>
      <c r="D78" s="28">
        <f>Electricity_LCIA!C183</f>
        <v>0</v>
      </c>
      <c r="E78" s="28">
        <f>Electricity_LCIA!D183</f>
        <v>0</v>
      </c>
      <c r="F78" s="28">
        <f>Electricity_LCIA!E183</f>
        <v>0</v>
      </c>
      <c r="G78" s="28">
        <f>Electricity_LCIA!F183</f>
        <v>0</v>
      </c>
      <c r="H78" s="28">
        <f>Electricity_LCIA!G183</f>
        <v>0.51377666666666666</v>
      </c>
      <c r="I78" s="28">
        <f>Electricity_LCIA!H183</f>
        <v>0.17719466666666669</v>
      </c>
      <c r="J78" s="28">
        <f>Electricity_LCIA!I183</f>
        <v>6.1253166666666674</v>
      </c>
      <c r="K78" s="28">
        <f>Electricity_LCIA!J183</f>
        <v>7.9229676666666679E-2</v>
      </c>
      <c r="L78" s="28">
        <f>Electricity_LCIA!K183</f>
        <v>2.6281500000000002</v>
      </c>
      <c r="M78" s="28">
        <f>Electricity_LCIA!L183</f>
        <v>1.8021333333333333E-5</v>
      </c>
      <c r="N78" s="28">
        <f>Electricity_LCIA!M183</f>
        <v>0.17924050000000002</v>
      </c>
      <c r="O78" s="28">
        <f>Electricity_LCIA!N183</f>
        <v>0.55919900000000011</v>
      </c>
      <c r="P78" s="28">
        <f>Electricity_LCIA!O183</f>
        <v>0.19473133333333334</v>
      </c>
      <c r="Q78" s="28">
        <f>Electricity_LCIA!P183</f>
        <v>9.9430798646666663</v>
      </c>
      <c r="R78" s="28">
        <f>Electricity_LCIA!Q183</f>
        <v>2.6707500000000002E-2</v>
      </c>
      <c r="S78" s="28">
        <f>Electricity_LCIA!R183</f>
        <v>0.50864666666666669</v>
      </c>
      <c r="T78" s="28">
        <f>Electricity_LCIA!S183</f>
        <v>0.15531666666666669</v>
      </c>
      <c r="U78" s="28">
        <f>Electricity_LCIA!T183</f>
        <v>2.8909000000000001E-2</v>
      </c>
      <c r="V78" s="28">
        <f>Electricity_LCIA!U183</f>
        <v>4.0581166666666676E-4</v>
      </c>
      <c r="W78" s="28">
        <f>Electricity_LCIA!V183</f>
        <v>0.27077666666666672</v>
      </c>
      <c r="X78" s="28">
        <f>Electricity_LCIA!W183</f>
        <v>0.17097333333333331</v>
      </c>
      <c r="Y78" s="28">
        <f>Electricity_LCIA!X183</f>
        <v>2.4752500000000004E-2</v>
      </c>
      <c r="Z78" s="28">
        <f>Electricity_LCIA!Y183</f>
        <v>1.2140000000000002E-4</v>
      </c>
      <c r="AA78" s="28">
        <f>Electricity_LCIA!Z183</f>
        <v>1.1526500000000002E-2</v>
      </c>
      <c r="AB78" s="28">
        <f>Electricity_LCIA!AA183</f>
        <v>-1.9059666666666666E-5</v>
      </c>
      <c r="AC78" s="28">
        <f>Electricity_LCIA!AB183</f>
        <v>1.8934166666666664E-8</v>
      </c>
      <c r="AD78" s="28">
        <f>Electricity_LCIA!AC183</f>
        <v>1.3796000000000001E-3</v>
      </c>
      <c r="AE78" s="28">
        <f>Electricity_LCIA!AD183</f>
        <v>8.1421500000000008E-4</v>
      </c>
      <c r="AF78" s="28">
        <f>Electricity_LCIA!AE183</f>
        <v>1.2631000000000003E-3</v>
      </c>
      <c r="AG78" s="28">
        <f>Electricity_LCIA!AF183</f>
        <v>3.0782499999999999E-5</v>
      </c>
      <c r="AH78" s="28">
        <f>Electricity_LCIA!AG183</f>
        <v>2.4770333333333336E-3</v>
      </c>
      <c r="AI78" s="29">
        <f>Electricity_LCIA!AH183</f>
        <v>2.6565833333333333E-3</v>
      </c>
    </row>
    <row r="79" spans="2:35" x14ac:dyDescent="0.25">
      <c r="B79" s="256"/>
      <c r="C79" s="67" t="str">
        <f>Electricity_LCIA!B192</f>
        <v>6_Hub_30%IP</v>
      </c>
      <c r="D79" s="28">
        <f>Electricity_LCIA!C192</f>
        <v>0</v>
      </c>
      <c r="E79" s="28">
        <f>Electricity_LCIA!D192</f>
        <v>0</v>
      </c>
      <c r="F79" s="28">
        <f>Electricity_LCIA!E192</f>
        <v>0</v>
      </c>
      <c r="G79" s="28">
        <f>Electricity_LCIA!F192</f>
        <v>0</v>
      </c>
      <c r="H79" s="28">
        <f>Electricity_LCIA!G192</f>
        <v>0.50417669565217405</v>
      </c>
      <c r="I79" s="28">
        <f>Electricity_LCIA!H192</f>
        <v>0.18909069565217398</v>
      </c>
      <c r="J79" s="28">
        <f>Electricity_LCIA!I192</f>
        <v>6.0734443478260882</v>
      </c>
      <c r="K79" s="28">
        <f>Electricity_LCIA!J192</f>
        <v>8.6769890434782629E-2</v>
      </c>
      <c r="L79" s="28">
        <f>Electricity_LCIA!K192</f>
        <v>2.458596521739131</v>
      </c>
      <c r="M79" s="28">
        <f>Electricity_LCIA!L192</f>
        <v>1.8600008695652178E-5</v>
      </c>
      <c r="N79" s="28">
        <f>Electricity_LCIA!M192</f>
        <v>0.19532255652173916</v>
      </c>
      <c r="O79" s="28">
        <f>Electricity_LCIA!N192</f>
        <v>0.6070133043478263</v>
      </c>
      <c r="P79" s="28">
        <f>Electricity_LCIA!O192</f>
        <v>0.20023509565217393</v>
      </c>
      <c r="Q79" s="28">
        <f>Electricity_LCIA!P192</f>
        <v>9.8104910121826112</v>
      </c>
      <c r="R79" s="28">
        <f>Electricity_LCIA!Q192</f>
        <v>2.8317869565217396E-2</v>
      </c>
      <c r="S79" s="28">
        <f>Electricity_LCIA!R192</f>
        <v>0.49912652173913052</v>
      </c>
      <c r="T79" s="28">
        <f>Electricity_LCIA!S192</f>
        <v>0.15427852173913045</v>
      </c>
      <c r="U79" s="28">
        <f>Electricity_LCIA!T192</f>
        <v>2.9027269565217399E-2</v>
      </c>
      <c r="V79" s="28">
        <f>Electricity_LCIA!U192</f>
        <v>4.1196660869565231E-4</v>
      </c>
      <c r="W79" s="28">
        <f>Electricity_LCIA!V192</f>
        <v>0.2736846086956522</v>
      </c>
      <c r="X79" s="28">
        <f>Electricity_LCIA!W192</f>
        <v>0.15997547826086958</v>
      </c>
      <c r="Y79" s="28">
        <f>Electricity_LCIA!X192</f>
        <v>2.4855843478260871E-2</v>
      </c>
      <c r="Z79" s="28">
        <f>Electricity_LCIA!Y192</f>
        <v>1.2178008695652177E-4</v>
      </c>
      <c r="AA79" s="28">
        <f>Electricity_LCIA!Z192</f>
        <v>1.1516426086956525E-2</v>
      </c>
      <c r="AB79" s="28">
        <f>Electricity_LCIA!AA192</f>
        <v>-1.8543026086956527E-5</v>
      </c>
      <c r="AC79" s="28">
        <f>Electricity_LCIA!AB192</f>
        <v>1.9079034782608696E-8</v>
      </c>
      <c r="AD79" s="28">
        <f>Electricity_LCIA!AC192</f>
        <v>1.406306086956522E-3</v>
      </c>
      <c r="AE79" s="28">
        <f>Electricity_LCIA!AD192</f>
        <v>7.9694556521739141E-4</v>
      </c>
      <c r="AF79" s="28">
        <f>Electricity_LCIA!AE192</f>
        <v>1.2014826086956525E-3</v>
      </c>
      <c r="AG79" s="28">
        <f>Electricity_LCIA!AF192</f>
        <v>3.1237078260869566E-5</v>
      </c>
      <c r="AH79" s="28">
        <f>Electricity_LCIA!AG192</f>
        <v>2.4700147826086966E-3</v>
      </c>
      <c r="AI79" s="29">
        <f>Electricity_LCIA!AH192</f>
        <v>2.6967921739130445E-3</v>
      </c>
    </row>
    <row r="80" spans="2:35" x14ac:dyDescent="0.25">
      <c r="B80" s="256"/>
      <c r="C80" s="67" t="str">
        <f>Electricity_LCIA!B201</f>
        <v>6_Hub_50%IP</v>
      </c>
      <c r="D80" s="28">
        <f>Electricity_LCIA!C201</f>
        <v>0</v>
      </c>
      <c r="E80" s="28">
        <f>Electricity_LCIA!D201</f>
        <v>0</v>
      </c>
      <c r="F80" s="28">
        <f>Electricity_LCIA!E201</f>
        <v>0</v>
      </c>
      <c r="G80" s="28">
        <f>Electricity_LCIA!F201</f>
        <v>0</v>
      </c>
      <c r="H80" s="28">
        <f>Electricity_LCIA!G201</f>
        <v>0.54625114583333345</v>
      </c>
      <c r="I80" s="28">
        <f>Electricity_LCIA!H201</f>
        <v>0.14545408333333337</v>
      </c>
      <c r="J80" s="28">
        <f>Electricity_LCIA!I201</f>
        <v>6.3231505208333347</v>
      </c>
      <c r="K80" s="28">
        <f>Electricity_LCIA!J201</f>
        <v>5.3775485312500017E-2</v>
      </c>
      <c r="L80" s="28">
        <f>Electricity_LCIA!K201</f>
        <v>3.1839671875000009</v>
      </c>
      <c r="M80" s="28">
        <f>Electricity_LCIA!L201</f>
        <v>1.6452260416666666E-5</v>
      </c>
      <c r="N80" s="28">
        <f>Electricity_LCIA!M201</f>
        <v>0.12607955729166667</v>
      </c>
      <c r="O80" s="28">
        <f>Electricity_LCIA!N201</f>
        <v>0.40051230208333338</v>
      </c>
      <c r="P80" s="28">
        <f>Electricity_LCIA!O201</f>
        <v>0.17339139583333335</v>
      </c>
      <c r="Q80" s="28">
        <f>Electricity_LCIA!P201</f>
        <v>10.406346984447918</v>
      </c>
      <c r="R80" s="28">
        <f>Electricity_LCIA!Q201</f>
        <v>2.2411057291666672E-2</v>
      </c>
      <c r="S80" s="28">
        <f>Electricity_LCIA!R201</f>
        <v>0.54084156250000015</v>
      </c>
      <c r="T80" s="28">
        <f>Electricity_LCIA!S201</f>
        <v>0.15950187500000002</v>
      </c>
      <c r="U80" s="28">
        <f>Electricity_LCIA!T201</f>
        <v>2.8553989583333338E-2</v>
      </c>
      <c r="V80" s="28">
        <f>Electricity_LCIA!U201</f>
        <v>3.8736348958333334E-4</v>
      </c>
      <c r="W80" s="28">
        <f>Electricity_LCIA!V201</f>
        <v>0.26229625000000006</v>
      </c>
      <c r="X80" s="28">
        <f>Electricity_LCIA!W201</f>
        <v>0.20702500000000001</v>
      </c>
      <c r="Y80" s="28">
        <f>Electricity_LCIA!X201</f>
        <v>2.4437473958333334E-2</v>
      </c>
      <c r="Z80" s="28">
        <f>Electricity_LCIA!Y201</f>
        <v>1.2051364583333335E-4</v>
      </c>
      <c r="AA80" s="28">
        <f>Electricity_LCIA!Z201</f>
        <v>1.1557713541666667E-2</v>
      </c>
      <c r="AB80" s="28">
        <f>Electricity_LCIA!AA201</f>
        <v>-2.0743197916666669E-5</v>
      </c>
      <c r="AC80" s="28">
        <f>Electricity_LCIA!AB201</f>
        <v>1.8625432291666668E-8</v>
      </c>
      <c r="AD80" s="28">
        <f>Electricity_LCIA!AC201</f>
        <v>1.2967020833333333E-3</v>
      </c>
      <c r="AE80" s="28">
        <f>Electricity_LCIA!AD201</f>
        <v>8.6981963541666663E-4</v>
      </c>
      <c r="AF80" s="28">
        <f>Electricity_LCIA!AE201</f>
        <v>1.4610145833333333E-3</v>
      </c>
      <c r="AG80" s="28">
        <f>Electricity_LCIA!AF201</f>
        <v>2.9475619791666671E-5</v>
      </c>
      <c r="AH80" s="28">
        <f>Electricity_LCIA!AG201</f>
        <v>2.5009812500000005E-3</v>
      </c>
      <c r="AI80" s="29">
        <f>Electricity_LCIA!AH201</f>
        <v>2.5224296875000001E-3</v>
      </c>
    </row>
    <row r="81" spans="2:35" x14ac:dyDescent="0.25">
      <c r="B81" s="256"/>
      <c r="C81" s="67" t="str">
        <f>Electricity_LCIA!B210</f>
        <v>6_Hub_70%IP</v>
      </c>
      <c r="D81" s="28">
        <f>Electricity_LCIA!C210</f>
        <v>0</v>
      </c>
      <c r="E81" s="28">
        <f>Electricity_LCIA!D210</f>
        <v>0</v>
      </c>
      <c r="F81" s="28">
        <f>Electricity_LCIA!E210</f>
        <v>0</v>
      </c>
      <c r="G81" s="28">
        <f>Electricity_LCIA!F210</f>
        <v>0</v>
      </c>
      <c r="H81" s="28">
        <f>Electricity_LCIA!G210</f>
        <v>0.56501762081784379</v>
      </c>
      <c r="I81" s="28">
        <f>Electricity_LCIA!H210</f>
        <v>0.13012509293680297</v>
      </c>
      <c r="J81" s="28">
        <f>Electricity_LCIA!I210</f>
        <v>6.4454022304832712</v>
      </c>
      <c r="K81" s="28">
        <f>Electricity_LCIA!J210</f>
        <v>3.9084568401486983E-2</v>
      </c>
      <c r="L81" s="28">
        <f>Electricity_LCIA!K210</f>
        <v>3.4988754646840148</v>
      </c>
      <c r="M81" s="28">
        <f>Electricity_LCIA!L210</f>
        <v>1.56832156133829E-5</v>
      </c>
      <c r="N81" s="28">
        <f>Electricity_LCIA!M210</f>
        <v>9.5798591078066916E-2</v>
      </c>
      <c r="O81" s="28">
        <f>Electricity_LCIA!N210</f>
        <v>0.30989382899628248</v>
      </c>
      <c r="P81" s="28">
        <f>Electricity_LCIA!O210</f>
        <v>0.16009451301115238</v>
      </c>
      <c r="Q81" s="28">
        <f>Electricity_LCIA!P210</f>
        <v>10.679289972806691</v>
      </c>
      <c r="R81" s="28">
        <f>Electricity_LCIA!Q210</f>
        <v>2.0336237918215611E-2</v>
      </c>
      <c r="S81" s="28">
        <f>Electricity_LCIA!R210</f>
        <v>0.55944308550185873</v>
      </c>
      <c r="T81" s="28">
        <f>Electricity_LCIA!S210</f>
        <v>0.16215914498141262</v>
      </c>
      <c r="U81" s="28">
        <f>Electricity_LCIA!T210</f>
        <v>2.8364810408921928E-2</v>
      </c>
      <c r="V81" s="28">
        <f>Electricity_LCIA!U210</f>
        <v>3.7754360594795537E-4</v>
      </c>
      <c r="W81" s="28">
        <f>Electricity_LCIA!V210</f>
        <v>0.2578763940520446</v>
      </c>
      <c r="X81" s="28">
        <f>Electricity_LCIA!W210</f>
        <v>0.22745048327137543</v>
      </c>
      <c r="Y81" s="28">
        <f>Electricity_LCIA!X210</f>
        <v>2.4267676579925648E-2</v>
      </c>
      <c r="Z81" s="28">
        <f>Electricity_LCIA!Y210</f>
        <v>1.2014301115241637E-4</v>
      </c>
      <c r="AA81" s="28">
        <f>Electricity_LCIA!Z210</f>
        <v>1.1574736059479554E-2</v>
      </c>
      <c r="AB81" s="28">
        <f>Electricity_LCIA!AA210</f>
        <v>-2.1693345724907057E-5</v>
      </c>
      <c r="AC81" s="28">
        <f>Electricity_LCIA!AB210</f>
        <v>1.8511293680297397E-8</v>
      </c>
      <c r="AD81" s="28">
        <f>Electricity_LCIA!AC210</f>
        <v>1.2514349442379182E-3</v>
      </c>
      <c r="AE81" s="28">
        <f>Electricity_LCIA!AD210</f>
        <v>9.0095520446096655E-4</v>
      </c>
      <c r="AF81" s="28">
        <f>Electricity_LCIA!AE210</f>
        <v>1.5716561338289961E-3</v>
      </c>
      <c r="AG81" s="28">
        <f>Electricity_LCIA!AF210</f>
        <v>2.8802226765799253E-5</v>
      </c>
      <c r="AH81" s="28">
        <f>Electricity_LCIA!AG210</f>
        <v>2.5148933085501857E-3</v>
      </c>
      <c r="AI81" s="29">
        <f>Electricity_LCIA!AH210</f>
        <v>2.4455650557620814E-3</v>
      </c>
    </row>
    <row r="82" spans="2:35" x14ac:dyDescent="0.25">
      <c r="B82" s="256"/>
      <c r="C82" s="67" t="str">
        <f>Electricity_LCIA!B219</f>
        <v>6_Hub_90%IP</v>
      </c>
      <c r="D82" s="28">
        <f>Electricity_LCIA!C219</f>
        <v>0</v>
      </c>
      <c r="E82" s="28">
        <f>Electricity_LCIA!D219</f>
        <v>0</v>
      </c>
      <c r="F82" s="28">
        <f>Electricity_LCIA!E219</f>
        <v>0</v>
      </c>
      <c r="G82" s="28">
        <f>Electricity_LCIA!F219</f>
        <v>0</v>
      </c>
      <c r="H82" s="28">
        <f>Electricity_LCIA!G219</f>
        <v>0.5578004927536232</v>
      </c>
      <c r="I82" s="28">
        <f>Electricity_LCIA!H219</f>
        <v>0.10755665797101449</v>
      </c>
      <c r="J82" s="28">
        <f>Electricity_LCIA!I219</f>
        <v>6.3079657971014491</v>
      </c>
      <c r="K82" s="28">
        <f>Electricity_LCIA!J219</f>
        <v>4.0764228521739138E-2</v>
      </c>
      <c r="L82" s="28">
        <f>Electricity_LCIA!K219</f>
        <v>3.3442599999999998</v>
      </c>
      <c r="M82" s="28">
        <f>Electricity_LCIA!L219</f>
        <v>1.5678220289855067E-5</v>
      </c>
      <c r="N82" s="28">
        <f>Electricity_LCIA!M219</f>
        <v>0.12615727246376812</v>
      </c>
      <c r="O82" s="28">
        <f>Electricity_LCIA!N219</f>
        <v>0.31965559710144925</v>
      </c>
      <c r="P82" s="28">
        <f>Electricity_LCIA!O219</f>
        <v>0.21252771014492752</v>
      </c>
      <c r="Q82" s="28">
        <f>Electricity_LCIA!P219</f>
        <v>10.458902941524636</v>
      </c>
      <c r="R82" s="28">
        <f>Electricity_LCIA!Q219</f>
        <v>1.7244811594202897E-2</v>
      </c>
      <c r="S82" s="28">
        <f>Electricity_LCIA!R219</f>
        <v>0.55229417391304347</v>
      </c>
      <c r="T82" s="28">
        <f>Electricity_LCIA!S219</f>
        <v>0.15792556521739129</v>
      </c>
      <c r="U82" s="28">
        <f>Electricity_LCIA!T219</f>
        <v>2.88431884057971E-2</v>
      </c>
      <c r="V82" s="28">
        <f>Electricity_LCIA!U219</f>
        <v>4.0142762318840582E-4</v>
      </c>
      <c r="W82" s="28">
        <f>Electricity_LCIA!V219</f>
        <v>0.27085086956521737</v>
      </c>
      <c r="X82" s="28">
        <f>Electricity_LCIA!W219</f>
        <v>0.21573626086956518</v>
      </c>
      <c r="Y82" s="28">
        <f>Electricity_LCIA!X219</f>
        <v>2.4784205797101444E-2</v>
      </c>
      <c r="Z82" s="28">
        <f>Electricity_LCIA!Y219</f>
        <v>1.2448423188405797E-4</v>
      </c>
      <c r="AA82" s="28">
        <f>Electricity_LCIA!Z219</f>
        <v>1.1797837681159423E-2</v>
      </c>
      <c r="AB82" s="28">
        <f>Electricity_LCIA!AA219</f>
        <v>-2.1622794202898553E-5</v>
      </c>
      <c r="AC82" s="28">
        <f>Electricity_LCIA!AB219</f>
        <v>1.7535689855072467E-8</v>
      </c>
      <c r="AD82" s="28">
        <f>Electricity_LCIA!AC219</f>
        <v>1.176587536231884E-3</v>
      </c>
      <c r="AE82" s="28">
        <f>Electricity_LCIA!AD219</f>
        <v>8.8869428985507244E-4</v>
      </c>
      <c r="AF82" s="28">
        <f>Electricity_LCIA!AE219</f>
        <v>1.5310837101449272E-3</v>
      </c>
      <c r="AG82" s="28">
        <f>Electricity_LCIA!AF219</f>
        <v>2.8192481159420291E-5</v>
      </c>
      <c r="AH82" s="28">
        <f>Electricity_LCIA!AG219</f>
        <v>2.5622217391304348E-3</v>
      </c>
      <c r="AI82" s="29">
        <f>Electricity_LCIA!AH219</f>
        <v>2.4546417391304348E-3</v>
      </c>
    </row>
    <row r="83" spans="2:35" x14ac:dyDescent="0.25">
      <c r="B83" s="256"/>
      <c r="C83" s="67" t="str">
        <f>Electricity_LCIA!B221</f>
        <v>Newark Liberty International Airport</v>
      </c>
      <c r="D83" s="28" t="str">
        <f>Electricity_LCIA!C221</f>
        <v>market for electricity, low voltage, US-RFC</v>
      </c>
      <c r="E83" s="28">
        <f>Electricity_LCIA!D221</f>
        <v>0.38642297650130547</v>
      </c>
      <c r="F83" s="28" t="str">
        <f>Electricity_LCIA!E221</f>
        <v>kWh</v>
      </c>
      <c r="G83" s="28" t="str">
        <f>Electricity_LCIA!F221</f>
        <v>Ecoinvent v3.7.1</v>
      </c>
      <c r="H83" s="28">
        <f>Electricity_LCIA!G221</f>
        <v>0.61436999999999997</v>
      </c>
      <c r="I83" s="28">
        <f>Electricity_LCIA!H221</f>
        <v>8.2399E-2</v>
      </c>
      <c r="J83" s="28">
        <f>Electricity_LCIA!I221</f>
        <v>6.7473999999999998</v>
      </c>
      <c r="K83" s="28">
        <f>Electricity_LCIA!J221</f>
        <v>4.0428000000000003E-4</v>
      </c>
      <c r="L83" s="28">
        <f>Electricity_LCIA!K221</f>
        <v>4.3425000000000002</v>
      </c>
      <c r="M83" s="28">
        <f>Electricity_LCIA!L221</f>
        <v>1.3322000000000001E-5</v>
      </c>
      <c r="N83" s="28">
        <f>Electricity_LCIA!M221</f>
        <v>1.5082999999999999E-2</v>
      </c>
      <c r="O83" s="28">
        <f>Electricity_LCIA!N221</f>
        <v>6.8917000000000006E-2</v>
      </c>
      <c r="P83" s="28">
        <f>Electricity_LCIA!O221</f>
        <v>0.1275</v>
      </c>
      <c r="Q83" s="28">
        <f>Electricity_LCIA!P221</f>
        <v>11.384216602</v>
      </c>
      <c r="R83" s="28">
        <f>Electricity_LCIA!Q221</f>
        <v>1.3875999999999999E-2</v>
      </c>
      <c r="S83" s="28">
        <f>Electricity_LCIA!R221</f>
        <v>0.60836999999999997</v>
      </c>
      <c r="T83" s="28">
        <f>Electricity_LCIA!S221</f>
        <v>0.16855999999999999</v>
      </c>
      <c r="U83" s="28">
        <f>Electricity_LCIA!T221</f>
        <v>2.7827999999999999E-2</v>
      </c>
      <c r="V83" s="28">
        <f>Electricity_LCIA!U221</f>
        <v>3.4965000000000002E-4</v>
      </c>
      <c r="W83" s="28">
        <f>Electricity_LCIA!V221</f>
        <v>0.24507000000000001</v>
      </c>
      <c r="X83" s="28">
        <f>Electricity_LCIA!W221</f>
        <v>0.28216999999999998</v>
      </c>
      <c r="Y83" s="28">
        <f>Electricity_LCIA!X221</f>
        <v>2.3791E-2</v>
      </c>
      <c r="Z83" s="28">
        <f>Electricity_LCIA!Y221</f>
        <v>1.1882E-4</v>
      </c>
      <c r="AA83" s="28">
        <f>Electricity_LCIA!Z221</f>
        <v>1.1622E-2</v>
      </c>
      <c r="AB83" s="28">
        <f>Electricity_LCIA!AA221</f>
        <v>-2.4247999999999999E-5</v>
      </c>
      <c r="AC83" s="28">
        <f>Electricity_LCIA!AB221</f>
        <v>1.8053E-8</v>
      </c>
      <c r="AD83" s="28">
        <f>Electricity_LCIA!AC221</f>
        <v>1.1259E-3</v>
      </c>
      <c r="AE83" s="28">
        <f>Electricity_LCIA!AD221</f>
        <v>9.8528999999999999E-4</v>
      </c>
      <c r="AF83" s="28">
        <f>Electricity_LCIA!AE221</f>
        <v>1.8718000000000001E-3</v>
      </c>
      <c r="AG83" s="28">
        <f>Electricity_LCIA!AF221</f>
        <v>2.6829999999999999E-5</v>
      </c>
      <c r="AH83" s="28">
        <f>Electricity_LCIA!AG221</f>
        <v>2.5512999999999998E-3</v>
      </c>
      <c r="AI83" s="29">
        <f>Electricity_LCIA!AH221</f>
        <v>2.2418E-3</v>
      </c>
    </row>
    <row r="84" spans="2:35" x14ac:dyDescent="0.25">
      <c r="B84" s="256"/>
      <c r="C84" s="67" t="str">
        <f>Electricity_LCIA!B227</f>
        <v>2_Hub_1000km</v>
      </c>
      <c r="D84" s="28">
        <f>Electricity_LCIA!C227</f>
        <v>0</v>
      </c>
      <c r="E84" s="28">
        <f>Electricity_LCIA!D227</f>
        <v>0</v>
      </c>
      <c r="F84" s="28">
        <f>Electricity_LCIA!E227</f>
        <v>0</v>
      </c>
      <c r="G84" s="28">
        <f>Electricity_LCIA!F227</f>
        <v>0</v>
      </c>
      <c r="H84" s="28">
        <f>Electricity_LCIA!G227</f>
        <v>0.61436999999999997</v>
      </c>
      <c r="I84" s="28">
        <f>Electricity_LCIA!H227</f>
        <v>8.2399E-2</v>
      </c>
      <c r="J84" s="28">
        <f>Electricity_LCIA!I227</f>
        <v>6.7474000000000007</v>
      </c>
      <c r="K84" s="28">
        <f>Electricity_LCIA!J227</f>
        <v>4.0428000000000003E-4</v>
      </c>
      <c r="L84" s="28">
        <f>Electricity_LCIA!K227</f>
        <v>4.3425000000000002</v>
      </c>
      <c r="M84" s="28">
        <f>Electricity_LCIA!L227</f>
        <v>1.3322000000000001E-5</v>
      </c>
      <c r="N84" s="28">
        <f>Electricity_LCIA!M227</f>
        <v>1.5083000000000001E-2</v>
      </c>
      <c r="O84" s="28">
        <f>Electricity_LCIA!N227</f>
        <v>6.8917000000000006E-2</v>
      </c>
      <c r="P84" s="28">
        <f>Electricity_LCIA!O227</f>
        <v>0.12749999999999997</v>
      </c>
      <c r="Q84" s="28">
        <f>Electricity_LCIA!P227</f>
        <v>11.384216602</v>
      </c>
      <c r="R84" s="28">
        <f>Electricity_LCIA!Q227</f>
        <v>1.3875999999999999E-2</v>
      </c>
      <c r="S84" s="28">
        <f>Electricity_LCIA!R227</f>
        <v>0.60836999999999997</v>
      </c>
      <c r="T84" s="28">
        <f>Electricity_LCIA!S227</f>
        <v>0.16855999999999999</v>
      </c>
      <c r="U84" s="28">
        <f>Electricity_LCIA!T227</f>
        <v>2.7827999999999995E-2</v>
      </c>
      <c r="V84" s="28">
        <f>Electricity_LCIA!U227</f>
        <v>3.4965000000000002E-4</v>
      </c>
      <c r="W84" s="28">
        <f>Electricity_LCIA!V227</f>
        <v>0.24507000000000004</v>
      </c>
      <c r="X84" s="28">
        <f>Electricity_LCIA!W227</f>
        <v>0.28216999999999998</v>
      </c>
      <c r="Y84" s="28">
        <f>Electricity_LCIA!X227</f>
        <v>2.3791E-2</v>
      </c>
      <c r="Z84" s="28">
        <f>Electricity_LCIA!Y227</f>
        <v>1.1882E-4</v>
      </c>
      <c r="AA84" s="28">
        <f>Electricity_LCIA!Z227</f>
        <v>1.1622E-2</v>
      </c>
      <c r="AB84" s="28">
        <f>Electricity_LCIA!AA227</f>
        <v>-2.4247999999999999E-5</v>
      </c>
      <c r="AC84" s="28">
        <f>Electricity_LCIA!AB227</f>
        <v>1.8053E-8</v>
      </c>
      <c r="AD84" s="28">
        <f>Electricity_LCIA!AC227</f>
        <v>1.1259E-3</v>
      </c>
      <c r="AE84" s="28">
        <f>Electricity_LCIA!AD227</f>
        <v>9.8528999999999999E-4</v>
      </c>
      <c r="AF84" s="28">
        <f>Electricity_LCIA!AE227</f>
        <v>1.8718000000000001E-3</v>
      </c>
      <c r="AG84" s="28">
        <f>Electricity_LCIA!AF227</f>
        <v>2.6829999999999996E-5</v>
      </c>
      <c r="AH84" s="28">
        <f>Electricity_LCIA!AG227</f>
        <v>2.5512999999999998E-3</v>
      </c>
      <c r="AI84" s="29">
        <f>Electricity_LCIA!AH227</f>
        <v>2.2418E-3</v>
      </c>
    </row>
    <row r="85" spans="2:35" x14ac:dyDescent="0.25">
      <c r="B85" s="256"/>
      <c r="C85" s="67" t="str">
        <f>Electricity_LCIA!B233</f>
        <v>3_Hub_1000km</v>
      </c>
      <c r="D85" s="28">
        <f>Electricity_LCIA!C233</f>
        <v>0</v>
      </c>
      <c r="E85" s="28">
        <f>Electricity_LCIA!D233</f>
        <v>0</v>
      </c>
      <c r="F85" s="28">
        <f>Electricity_LCIA!E233</f>
        <v>0</v>
      </c>
      <c r="G85" s="28">
        <f>Electricity_LCIA!F233</f>
        <v>0</v>
      </c>
      <c r="H85" s="28">
        <f>Electricity_LCIA!G233</f>
        <v>0.5861797674418604</v>
      </c>
      <c r="I85" s="28">
        <f>Electricity_LCIA!H233</f>
        <v>9.3723790697674406E-2</v>
      </c>
      <c r="J85" s="28">
        <f>Electricity_LCIA!I233</f>
        <v>6.5329767441860458</v>
      </c>
      <c r="K85" s="28">
        <f>Electricity_LCIA!J233</f>
        <v>2.2399961860465119E-2</v>
      </c>
      <c r="L85" s="28">
        <f>Electricity_LCIA!K233</f>
        <v>3.8938813953488367</v>
      </c>
      <c r="M85" s="28">
        <f>Electricity_LCIA!L233</f>
        <v>1.3942511627906976E-5</v>
      </c>
      <c r="N85" s="28">
        <f>Electricity_LCIA!M233</f>
        <v>5.8861651162790699E-2</v>
      </c>
      <c r="O85" s="28">
        <f>Electricity_LCIA!N233</f>
        <v>0.20083090697674419</v>
      </c>
      <c r="P85" s="28">
        <f>Electricity_LCIA!O233</f>
        <v>0.15122093023255814</v>
      </c>
      <c r="Q85" s="28">
        <f>Electricity_LCIA!P233</f>
        <v>10.953909322976743</v>
      </c>
      <c r="R85" s="28">
        <f>Electricity_LCIA!Q233</f>
        <v>1.5408232558139534E-2</v>
      </c>
      <c r="S85" s="28">
        <f>Electricity_LCIA!R233</f>
        <v>0.58044069767441853</v>
      </c>
      <c r="T85" s="28">
        <f>Electricity_LCIA!S233</f>
        <v>0.16364139534883718</v>
      </c>
      <c r="U85" s="28">
        <f>Electricity_LCIA!T233</f>
        <v>2.8050139534883715E-2</v>
      </c>
      <c r="V85" s="28">
        <f>Electricity_LCIA!U233</f>
        <v>3.6113511627906976E-4</v>
      </c>
      <c r="W85" s="28">
        <f>Electricity_LCIA!V233</f>
        <v>0.2498420930232558</v>
      </c>
      <c r="X85" s="28">
        <f>Electricity_LCIA!W233</f>
        <v>0.25307279069767441</v>
      </c>
      <c r="Y85" s="28">
        <f>Electricity_LCIA!X233</f>
        <v>2.3998488372093025E-2</v>
      </c>
      <c r="Z85" s="28">
        <f>Electricity_LCIA!Y233</f>
        <v>1.1882697674418605E-4</v>
      </c>
      <c r="AA85" s="28">
        <f>Electricity_LCIA!Z233</f>
        <v>1.1600372093023257E-2</v>
      </c>
      <c r="AB85" s="28">
        <f>Electricity_LCIA!AA233</f>
        <v>-2.2909023255813952E-5</v>
      </c>
      <c r="AC85" s="28">
        <f>Electricity_LCIA!AB233</f>
        <v>1.7974860465116276E-8</v>
      </c>
      <c r="AD85" s="28">
        <f>Electricity_LCIA!AC233</f>
        <v>1.183653488372093E-3</v>
      </c>
      <c r="AE85" s="28">
        <f>Electricity_LCIA!AD233</f>
        <v>9.4239279069767423E-4</v>
      </c>
      <c r="AF85" s="28">
        <f>Electricity_LCIA!AE233</f>
        <v>1.7200837209302327E-3</v>
      </c>
      <c r="AG85" s="28">
        <f>Electricity_LCIA!AF233</f>
        <v>2.7523767441860465E-5</v>
      </c>
      <c r="AH85" s="28">
        <f>Electricity_LCIA!AG233</f>
        <v>2.5301186046511629E-3</v>
      </c>
      <c r="AI85" s="29">
        <f>Electricity_LCIA!AH233</f>
        <v>2.3546976744186045E-3</v>
      </c>
    </row>
    <row r="86" spans="2:35" x14ac:dyDescent="0.25">
      <c r="B86" s="256"/>
      <c r="C86" s="67" t="str">
        <f>Electricity_LCIA!B240</f>
        <v>4_Hub_1000km</v>
      </c>
      <c r="D86" s="28">
        <f>Electricity_LCIA!C240</f>
        <v>0</v>
      </c>
      <c r="E86" s="28">
        <f>Electricity_LCIA!D240</f>
        <v>0</v>
      </c>
      <c r="F86" s="28">
        <f>Electricity_LCIA!E240</f>
        <v>0</v>
      </c>
      <c r="G86" s="28">
        <f>Electricity_LCIA!F240</f>
        <v>0</v>
      </c>
      <c r="H86" s="28">
        <f>Electricity_LCIA!G240</f>
        <v>0.56807145833333328</v>
      </c>
      <c r="I86" s="28">
        <f>Electricity_LCIA!H240</f>
        <v>0.10099839583333334</v>
      </c>
      <c r="J86" s="28">
        <f>Electricity_LCIA!I240</f>
        <v>6.3952395833333338</v>
      </c>
      <c r="K86" s="28">
        <f>Electricity_LCIA!J240</f>
        <v>3.6529132500000006E-2</v>
      </c>
      <c r="L86" s="28">
        <f>Electricity_LCIA!K240</f>
        <v>3.6057062500000008</v>
      </c>
      <c r="M86" s="28">
        <f>Electricity_LCIA!L240</f>
        <v>1.4341104166666666E-5</v>
      </c>
      <c r="N86" s="28">
        <f>Electricity_LCIA!M240</f>
        <v>8.6983354166666693E-2</v>
      </c>
      <c r="O86" s="28">
        <f>Electricity_LCIA!N240</f>
        <v>0.28556727083333333</v>
      </c>
      <c r="P86" s="28">
        <f>Electricity_LCIA!O240</f>
        <v>0.16645833333333335</v>
      </c>
      <c r="Q86" s="28">
        <f>Electricity_LCIA!P240</f>
        <v>10.677496661104167</v>
      </c>
      <c r="R86" s="28">
        <f>Electricity_LCIA!Q240</f>
        <v>1.6392479166666665E-2</v>
      </c>
      <c r="S86" s="28">
        <f>Electricity_LCIA!R240</f>
        <v>0.5625</v>
      </c>
      <c r="T86" s="28">
        <f>Electricity_LCIA!S240</f>
        <v>0.16048187499999997</v>
      </c>
      <c r="U86" s="28">
        <f>Electricity_LCIA!T240</f>
        <v>2.8192833333333337E-2</v>
      </c>
      <c r="V86" s="28">
        <f>Electricity_LCIA!U240</f>
        <v>3.6851270833333343E-4</v>
      </c>
      <c r="W86" s="28">
        <f>Electricity_LCIA!V240</f>
        <v>0.25290750000000001</v>
      </c>
      <c r="X86" s="28">
        <f>Electricity_LCIA!W240</f>
        <v>0.23438187499999996</v>
      </c>
      <c r="Y86" s="28">
        <f>Electricity_LCIA!X240</f>
        <v>2.413177083333333E-2</v>
      </c>
      <c r="Z86" s="28">
        <f>Electricity_LCIA!Y240</f>
        <v>1.1883145833333335E-4</v>
      </c>
      <c r="AA86" s="28">
        <f>Electricity_LCIA!Z240</f>
        <v>1.1586479166666667E-2</v>
      </c>
      <c r="AB86" s="28">
        <f>Electricity_LCIA!AA240</f>
        <v>-2.2048916666666665E-5</v>
      </c>
      <c r="AC86" s="28">
        <f>Electricity_LCIA!AB240</f>
        <v>1.7924666666666667E-8</v>
      </c>
      <c r="AD86" s="28">
        <f>Electricity_LCIA!AC240</f>
        <v>1.2207520833333334E-3</v>
      </c>
      <c r="AE86" s="28">
        <f>Electricity_LCIA!AD240</f>
        <v>9.1483729166666667E-4</v>
      </c>
      <c r="AF86" s="28">
        <f>Electricity_LCIA!AE240</f>
        <v>1.6226270833333335E-3</v>
      </c>
      <c r="AG86" s="28">
        <f>Electricity_LCIA!AF240</f>
        <v>2.7969416666666667E-5</v>
      </c>
      <c r="AH86" s="28">
        <f>Electricity_LCIA!AG240</f>
        <v>2.5165125000000004E-3</v>
      </c>
      <c r="AI86" s="29">
        <f>Electricity_LCIA!AH240</f>
        <v>2.4272187500000001E-3</v>
      </c>
    </row>
    <row r="87" spans="2:35" x14ac:dyDescent="0.25">
      <c r="B87" s="256"/>
      <c r="C87" s="67" t="str">
        <f>Electricity_LCIA!B248</f>
        <v>5_Hub_1000km</v>
      </c>
      <c r="D87" s="28">
        <f>Electricity_LCIA!C248</f>
        <v>0</v>
      </c>
      <c r="E87" s="28">
        <f>Electricity_LCIA!D248</f>
        <v>0</v>
      </c>
      <c r="F87" s="28">
        <f>Electricity_LCIA!E248</f>
        <v>0</v>
      </c>
      <c r="G87" s="28">
        <f>Electricity_LCIA!F248</f>
        <v>0</v>
      </c>
      <c r="H87" s="28">
        <f>Electricity_LCIA!G248</f>
        <v>0.56614038585209003</v>
      </c>
      <c r="I87" s="28">
        <f>Electricity_LCIA!H248</f>
        <v>0.10435976848874597</v>
      </c>
      <c r="J87" s="28">
        <f>Electricity_LCIA!I248</f>
        <v>6.3708241157556271</v>
      </c>
      <c r="K87" s="28">
        <f>Electricity_LCIA!J248</f>
        <v>3.4018491511254023E-2</v>
      </c>
      <c r="L87" s="28">
        <f>Electricity_LCIA!K248</f>
        <v>3.4707971061093246</v>
      </c>
      <c r="M87" s="28">
        <f>Electricity_LCIA!L248</f>
        <v>1.5564755627009645E-5</v>
      </c>
      <c r="N87" s="28">
        <f>Electricity_LCIA!M248</f>
        <v>0.11467111254019292</v>
      </c>
      <c r="O87" s="28">
        <f>Electricity_LCIA!N248</f>
        <v>0.2797479549839228</v>
      </c>
      <c r="P87" s="28">
        <f>Electricity_LCIA!O248</f>
        <v>0.20787176848874594</v>
      </c>
      <c r="Q87" s="28">
        <f>Electricity_LCIA!P248</f>
        <v>10.58230588263344</v>
      </c>
      <c r="R87" s="28">
        <f>Electricity_LCIA!Q248</f>
        <v>1.6810067524115756E-2</v>
      </c>
      <c r="S87" s="28">
        <f>Electricity_LCIA!R248</f>
        <v>0.56055498392282954</v>
      </c>
      <c r="T87" s="28">
        <f>Electricity_LCIA!S248</f>
        <v>0.15933247588424435</v>
      </c>
      <c r="U87" s="28">
        <f>Electricity_LCIA!T248</f>
        <v>2.8813401929260449E-2</v>
      </c>
      <c r="V87" s="28">
        <f>Electricity_LCIA!U248</f>
        <v>3.9984279742765274E-4</v>
      </c>
      <c r="W87" s="28">
        <f>Electricity_LCIA!V248</f>
        <v>0.27046163987138261</v>
      </c>
      <c r="X87" s="28">
        <f>Electricity_LCIA!W248</f>
        <v>0.22383686495176841</v>
      </c>
      <c r="Y87" s="28">
        <f>Electricity_LCIA!X248</f>
        <v>2.4759221864951768E-2</v>
      </c>
      <c r="Z87" s="28">
        <f>Electricity_LCIA!Y248</f>
        <v>1.2483871382636656E-4</v>
      </c>
      <c r="AA87" s="28">
        <f>Electricity_LCIA!Z248</f>
        <v>1.1818070739549838E-2</v>
      </c>
      <c r="AB87" s="28">
        <f>Electricity_LCIA!AA248</f>
        <v>-2.2022816720257227E-5</v>
      </c>
      <c r="AC87" s="28">
        <f>Electricity_LCIA!AB248</f>
        <v>1.7536057877813506E-8</v>
      </c>
      <c r="AD87" s="28">
        <f>Electricity_LCIA!AC248</f>
        <v>1.1553868167202572E-3</v>
      </c>
      <c r="AE87" s="28">
        <f>Electricity_LCIA!AD248</f>
        <v>9.0072170418006425E-4</v>
      </c>
      <c r="AF87" s="28">
        <f>Electricity_LCIA!AE248</f>
        <v>1.5736794533762056E-3</v>
      </c>
      <c r="AG87" s="28">
        <f>Electricity_LCIA!AF248</f>
        <v>2.7985360128617357E-5</v>
      </c>
      <c r="AH87" s="28">
        <f>Electricity_LCIA!AG248</f>
        <v>2.571859485530546E-3</v>
      </c>
      <c r="AI87" s="29">
        <f>Electricity_LCIA!AH248</f>
        <v>2.4203765273311897E-3</v>
      </c>
    </row>
    <row r="88" spans="2:35" x14ac:dyDescent="0.25">
      <c r="B88" s="256"/>
      <c r="C88" s="67" t="str">
        <f>Electricity_LCIA!B257</f>
        <v>6_Hub_1000km</v>
      </c>
      <c r="D88" s="28">
        <f>Electricity_LCIA!C257</f>
        <v>0</v>
      </c>
      <c r="E88" s="28">
        <f>Electricity_LCIA!D257</f>
        <v>0</v>
      </c>
      <c r="F88" s="28">
        <f>Electricity_LCIA!E257</f>
        <v>0</v>
      </c>
      <c r="G88" s="28">
        <f>Electricity_LCIA!F257</f>
        <v>0</v>
      </c>
      <c r="H88" s="28">
        <f>Electricity_LCIA!G257</f>
        <v>0.55597939939939933</v>
      </c>
      <c r="I88" s="28">
        <f>Electricity_LCIA!H257</f>
        <v>0.10827089489489489</v>
      </c>
      <c r="J88" s="28">
        <f>Electricity_LCIA!I257</f>
        <v>6.2941792792792786</v>
      </c>
      <c r="K88" s="28">
        <f>Electricity_LCIA!J257</f>
        <v>4.2212104684684684E-2</v>
      </c>
      <c r="L88" s="28">
        <f>Electricity_LCIA!K257</f>
        <v>3.3159780780780772</v>
      </c>
      <c r="M88" s="28">
        <f>Electricity_LCIA!L257</f>
        <v>1.5710381381381378E-5</v>
      </c>
      <c r="N88" s="28">
        <f>Electricity_LCIA!M257</f>
        <v>0.12881974774774774</v>
      </c>
      <c r="O88" s="28">
        <f>Electricity_LCIA!N257</f>
        <v>0.32827691891891886</v>
      </c>
      <c r="P88" s="28">
        <f>Electricity_LCIA!O257</f>
        <v>0.21379315315315309</v>
      </c>
      <c r="Q88" s="28">
        <f>Electricity_LCIA!P257</f>
        <v>10.431545887138135</v>
      </c>
      <c r="R88" s="28">
        <f>Electricity_LCIA!Q257</f>
        <v>1.7341696696696697E-2</v>
      </c>
      <c r="S88" s="28">
        <f>Electricity_LCIA!R257</f>
        <v>0.55049015015015013</v>
      </c>
      <c r="T88" s="28">
        <f>Electricity_LCIA!S257</f>
        <v>0.15761327327327326</v>
      </c>
      <c r="U88" s="28">
        <f>Electricity_LCIA!T257</f>
        <v>2.8853477477477473E-2</v>
      </c>
      <c r="V88" s="28">
        <f>Electricity_LCIA!U257</f>
        <v>4.0196465465465469E-4</v>
      </c>
      <c r="W88" s="28">
        <f>Electricity_LCIA!V257</f>
        <v>0.27104357357357356</v>
      </c>
      <c r="X88" s="28">
        <f>Electricity_LCIA!W257</f>
        <v>0.21391394894894888</v>
      </c>
      <c r="Y88" s="28">
        <f>Electricity_LCIA!X257</f>
        <v>2.4793495495495491E-2</v>
      </c>
      <c r="Z88" s="28">
        <f>Electricity_LCIA!Y257</f>
        <v>1.2444438438438438E-4</v>
      </c>
      <c r="AA88" s="28">
        <f>Electricity_LCIA!Z257</f>
        <v>1.1794876876876874E-2</v>
      </c>
      <c r="AB88" s="28">
        <f>Electricity_LCIA!AA257</f>
        <v>-2.1535855855855851E-5</v>
      </c>
      <c r="AC88" s="28">
        <f>Electricity_LCIA!AB257</f>
        <v>1.7533213213213208E-8</v>
      </c>
      <c r="AD88" s="28">
        <f>Electricity_LCIA!AC257</f>
        <v>1.1807834834834834E-3</v>
      </c>
      <c r="AE88" s="28">
        <f>Electricity_LCIA!AD257</f>
        <v>8.8599810810810801E-4</v>
      </c>
      <c r="AF88" s="28">
        <f>Electricity_LCIA!AE257</f>
        <v>1.5215414714714712E-3</v>
      </c>
      <c r="AG88" s="28">
        <f>Electricity_LCIA!AF257</f>
        <v>2.8237510510510504E-5</v>
      </c>
      <c r="AH88" s="28">
        <f>Electricity_LCIA!AG257</f>
        <v>2.5604723723723719E-3</v>
      </c>
      <c r="AI88" s="29">
        <f>Electricity_LCIA!AH257</f>
        <v>2.4620327327327324E-3</v>
      </c>
    </row>
    <row r="89" spans="2:35" x14ac:dyDescent="0.25">
      <c r="B89" s="256"/>
      <c r="C89" s="67" t="str">
        <f>Electricity_LCIA!B259</f>
        <v>O'Hare International Airport</v>
      </c>
      <c r="D89" s="28" t="str">
        <f>Electricity_LCIA!C259</f>
        <v>market for electricity, low voltage, US-RFC</v>
      </c>
      <c r="E89" s="28">
        <f>Electricity_LCIA!D259</f>
        <v>0.87728459530026115</v>
      </c>
      <c r="F89" s="28" t="str">
        <f>Electricity_LCIA!E259</f>
        <v>kWh</v>
      </c>
      <c r="G89" s="28" t="str">
        <f>Electricity_LCIA!F259</f>
        <v>Ecoinvent v3.7.1</v>
      </c>
      <c r="H89" s="28">
        <f>Electricity_LCIA!G259</f>
        <v>0.61436999999999997</v>
      </c>
      <c r="I89" s="28">
        <f>Electricity_LCIA!H259</f>
        <v>8.2399E-2</v>
      </c>
      <c r="J89" s="28">
        <f>Electricity_LCIA!I259</f>
        <v>6.7473999999999998</v>
      </c>
      <c r="K89" s="28">
        <f>Electricity_LCIA!J259</f>
        <v>4.0428000000000003E-4</v>
      </c>
      <c r="L89" s="28">
        <f>Electricity_LCIA!K259</f>
        <v>4.3425000000000002</v>
      </c>
      <c r="M89" s="28">
        <f>Electricity_LCIA!L259</f>
        <v>1.3322000000000001E-5</v>
      </c>
      <c r="N89" s="28">
        <f>Electricity_LCIA!M259</f>
        <v>1.5082999999999999E-2</v>
      </c>
      <c r="O89" s="28">
        <f>Electricity_LCIA!N259</f>
        <v>6.8917000000000006E-2</v>
      </c>
      <c r="P89" s="28">
        <f>Electricity_LCIA!O259</f>
        <v>0.1275</v>
      </c>
      <c r="Q89" s="28">
        <f>Electricity_LCIA!P259</f>
        <v>11.384216602</v>
      </c>
      <c r="R89" s="28">
        <f>Electricity_LCIA!Q259</f>
        <v>1.3875999999999999E-2</v>
      </c>
      <c r="S89" s="28">
        <f>Electricity_LCIA!R259</f>
        <v>0.60836999999999997</v>
      </c>
      <c r="T89" s="28">
        <f>Electricity_LCIA!S259</f>
        <v>0.16855999999999999</v>
      </c>
      <c r="U89" s="28">
        <f>Electricity_LCIA!T259</f>
        <v>2.7827999999999999E-2</v>
      </c>
      <c r="V89" s="28">
        <f>Electricity_LCIA!U259</f>
        <v>3.4965000000000002E-4</v>
      </c>
      <c r="W89" s="28">
        <f>Electricity_LCIA!V259</f>
        <v>0.24507000000000001</v>
      </c>
      <c r="X89" s="28">
        <f>Electricity_LCIA!W259</f>
        <v>0.28216999999999998</v>
      </c>
      <c r="Y89" s="28">
        <f>Electricity_LCIA!X259</f>
        <v>2.3791E-2</v>
      </c>
      <c r="Z89" s="28">
        <f>Electricity_LCIA!Y259</f>
        <v>1.1882E-4</v>
      </c>
      <c r="AA89" s="28">
        <f>Electricity_LCIA!Z259</f>
        <v>1.1622E-2</v>
      </c>
      <c r="AB89" s="28">
        <f>Electricity_LCIA!AA259</f>
        <v>-2.4247999999999999E-5</v>
      </c>
      <c r="AC89" s="28">
        <f>Electricity_LCIA!AB259</f>
        <v>1.8053E-8</v>
      </c>
      <c r="AD89" s="28">
        <f>Electricity_LCIA!AC259</f>
        <v>1.1259E-3</v>
      </c>
      <c r="AE89" s="28">
        <f>Electricity_LCIA!AD259</f>
        <v>9.8528999999999999E-4</v>
      </c>
      <c r="AF89" s="28">
        <f>Electricity_LCIA!AE259</f>
        <v>1.8718000000000001E-3</v>
      </c>
      <c r="AG89" s="28">
        <f>Electricity_LCIA!AF259</f>
        <v>2.6829999999999999E-5</v>
      </c>
      <c r="AH89" s="28">
        <f>Electricity_LCIA!AG259</f>
        <v>2.5512999999999998E-3</v>
      </c>
      <c r="AI89" s="29">
        <f>Electricity_LCIA!AH259</f>
        <v>2.2418E-3</v>
      </c>
    </row>
    <row r="90" spans="2:35" x14ac:dyDescent="0.25">
      <c r="B90" s="256"/>
      <c r="C90" s="67" t="str">
        <f>Electricity_LCIA!B265</f>
        <v>2_Hub_3000km</v>
      </c>
      <c r="D90" s="28">
        <f>Electricity_LCIA!C265</f>
        <v>0</v>
      </c>
      <c r="E90" s="28">
        <f>Electricity_LCIA!D265</f>
        <v>0</v>
      </c>
      <c r="F90" s="28">
        <f>Electricity_LCIA!E265</f>
        <v>0</v>
      </c>
      <c r="G90" s="28">
        <f>Electricity_LCIA!F265</f>
        <v>0</v>
      </c>
      <c r="H90" s="28">
        <f>Electricity_LCIA!G265</f>
        <v>0.61891129729729732</v>
      </c>
      <c r="I90" s="28">
        <f>Electricity_LCIA!H265</f>
        <v>7.8973178378378389E-2</v>
      </c>
      <c r="J90" s="28">
        <f>Electricity_LCIA!I265</f>
        <v>6.8643048648648648</v>
      </c>
      <c r="K90" s="28">
        <f>Electricity_LCIA!J265</f>
        <v>1.6642102918918916E-2</v>
      </c>
      <c r="L90" s="28">
        <f>Electricity_LCIA!K265</f>
        <v>3.9514442216216219</v>
      </c>
      <c r="M90" s="28">
        <f>Electricity_LCIA!L265</f>
        <v>1.3707394594594595E-5</v>
      </c>
      <c r="N90" s="28">
        <f>Electricity_LCIA!M265</f>
        <v>2.019274054054054E-2</v>
      </c>
      <c r="O90" s="28">
        <f>Electricity_LCIA!N265</f>
        <v>0.15304981621621622</v>
      </c>
      <c r="P90" s="28">
        <f>Electricity_LCIA!O265</f>
        <v>0.1440534054054054</v>
      </c>
      <c r="Q90" s="28">
        <f>Electricity_LCIA!P265</f>
        <v>11.228674037340541</v>
      </c>
      <c r="R90" s="28">
        <f>Electricity_LCIA!Q265</f>
        <v>1.3778778378378377E-2</v>
      </c>
      <c r="S90" s="28">
        <f>Electricity_LCIA!R265</f>
        <v>0.61297102702702699</v>
      </c>
      <c r="T90" s="28">
        <f>Electricity_LCIA!S265</f>
        <v>0.1717514054054054</v>
      </c>
      <c r="U90" s="28">
        <f>Electricity_LCIA!T265</f>
        <v>2.8309054054054057E-2</v>
      </c>
      <c r="V90" s="28">
        <f>Electricity_LCIA!U265</f>
        <v>3.7771929729729734E-4</v>
      </c>
      <c r="W90" s="28">
        <f>Electricity_LCIA!V265</f>
        <v>0.26162799999999997</v>
      </c>
      <c r="X90" s="28">
        <f>Electricity_LCIA!W265</f>
        <v>0.25681450918918919</v>
      </c>
      <c r="Y90" s="28">
        <f>Electricity_LCIA!X265</f>
        <v>2.4270491891891892E-2</v>
      </c>
      <c r="Z90" s="28">
        <f>Electricity_LCIA!Y265</f>
        <v>1.2588005405405405E-4</v>
      </c>
      <c r="AA90" s="28">
        <f>Electricity_LCIA!Z265</f>
        <v>1.1572745945945945E-2</v>
      </c>
      <c r="AB90" s="28">
        <f>Electricity_LCIA!AA265</f>
        <v>-2.531863243243243E-5</v>
      </c>
      <c r="AC90" s="28">
        <f>Electricity_LCIA!AB265</f>
        <v>1.7837237837837838E-8</v>
      </c>
      <c r="AD90" s="28">
        <f>Electricity_LCIA!AC265</f>
        <v>1.5176627027027028E-3</v>
      </c>
      <c r="AE90" s="28">
        <f>Electricity_LCIA!AD265</f>
        <v>1.0536952432432431E-3</v>
      </c>
      <c r="AF90" s="28">
        <f>Electricity_LCIA!AE265</f>
        <v>1.988181081081081E-3</v>
      </c>
      <c r="AG90" s="28">
        <f>Electricity_LCIA!AF265</f>
        <v>2.6391767567567566E-5</v>
      </c>
      <c r="AH90" s="28">
        <f>Electricity_LCIA!AG265</f>
        <v>2.4641772972972971E-3</v>
      </c>
      <c r="AI90" s="29">
        <f>Electricity_LCIA!AH265</f>
        <v>2.4929037837837838E-3</v>
      </c>
    </row>
    <row r="91" spans="2:35" x14ac:dyDescent="0.25">
      <c r="B91" s="256"/>
      <c r="C91" s="67" t="str">
        <f>Electricity_LCIA!B271</f>
        <v>3_Hub_3000km</v>
      </c>
      <c r="D91" s="28">
        <f>Electricity_LCIA!C271</f>
        <v>0</v>
      </c>
      <c r="E91" s="28">
        <f>Electricity_LCIA!D271</f>
        <v>0</v>
      </c>
      <c r="F91" s="28">
        <f>Electricity_LCIA!E271</f>
        <v>0</v>
      </c>
      <c r="G91" s="28">
        <f>Electricity_LCIA!F271</f>
        <v>0</v>
      </c>
      <c r="H91" s="28">
        <f>Electricity_LCIA!G271</f>
        <v>0.55700922252010721</v>
      </c>
      <c r="I91" s="28">
        <f>Electricity_LCIA!H271</f>
        <v>0.2980635710455764</v>
      </c>
      <c r="J91" s="28">
        <f>Electricity_LCIA!I271</f>
        <v>6.90366836461126</v>
      </c>
      <c r="K91" s="28">
        <f>Electricity_LCIA!J271</f>
        <v>6.5984474530831103E-2</v>
      </c>
      <c r="L91" s="28">
        <f>Electricity_LCIA!K271</f>
        <v>2.5647119624664878</v>
      </c>
      <c r="M91" s="28">
        <f>Electricity_LCIA!L271</f>
        <v>2.3940512064343162E-5</v>
      </c>
      <c r="N91" s="28">
        <f>Electricity_LCIA!M271</f>
        <v>0.14457707774798928</v>
      </c>
      <c r="O91" s="28">
        <f>Electricity_LCIA!N271</f>
        <v>0.51173067024128682</v>
      </c>
      <c r="P91" s="28">
        <f>Electricity_LCIA!O271</f>
        <v>0.13379194638069705</v>
      </c>
      <c r="Q91" s="28">
        <f>Electricity_LCIA!P271</f>
        <v>10.622552007536193</v>
      </c>
      <c r="R91" s="28">
        <f>Electricity_LCIA!Q271</f>
        <v>4.3439048257372652E-2</v>
      </c>
      <c r="S91" s="28">
        <f>Electricity_LCIA!R271</f>
        <v>0.55142292225201073</v>
      </c>
      <c r="T91" s="28">
        <f>Electricity_LCIA!S271</f>
        <v>0.1763158981233244</v>
      </c>
      <c r="U91" s="28">
        <f>Electricity_LCIA!T271</f>
        <v>2.9822300268096513E-2</v>
      </c>
      <c r="V91" s="28">
        <f>Electricity_LCIA!U271</f>
        <v>4.5690144772117964E-4</v>
      </c>
      <c r="W91" s="28">
        <f>Electricity_LCIA!V271</f>
        <v>0.30295723860589807</v>
      </c>
      <c r="X91" s="28">
        <f>Electricity_LCIA!W271</f>
        <v>0.16685492868632706</v>
      </c>
      <c r="Y91" s="28">
        <f>Electricity_LCIA!X271</f>
        <v>2.5511554959785521E-2</v>
      </c>
      <c r="Z91" s="28">
        <f>Electricity_LCIA!Y271</f>
        <v>1.3496297587131366E-4</v>
      </c>
      <c r="AA91" s="28">
        <f>Electricity_LCIA!Z271</f>
        <v>1.1460243967828418E-2</v>
      </c>
      <c r="AB91" s="28">
        <f>Electricity_LCIA!AA271</f>
        <v>-2.0906117962466485E-5</v>
      </c>
      <c r="AC91" s="28">
        <f>Electricity_LCIA!AB271</f>
        <v>2.1809895442359249E-8</v>
      </c>
      <c r="AD91" s="28">
        <f>Electricity_LCIA!AC271</f>
        <v>1.8112873994638068E-3</v>
      </c>
      <c r="AE91" s="28">
        <f>Electricity_LCIA!AD271</f>
        <v>8.9471924932975865E-4</v>
      </c>
      <c r="AF91" s="28">
        <f>Electricity_LCIA!AE271</f>
        <v>1.4138919571045577E-3</v>
      </c>
      <c r="AG91" s="28">
        <f>Electricity_LCIA!AF271</f>
        <v>3.3191812332439679E-5</v>
      </c>
      <c r="AH91" s="28">
        <f>Electricity_LCIA!AG271</f>
        <v>2.4230951742627346E-3</v>
      </c>
      <c r="AI91" s="29">
        <f>Electricity_LCIA!AH271</f>
        <v>2.7812206434316357E-3</v>
      </c>
    </row>
    <row r="92" spans="2:35" x14ac:dyDescent="0.25">
      <c r="B92" s="256"/>
      <c r="C92" s="67" t="str">
        <f>Electricity_LCIA!B278</f>
        <v>4_Hub_3000km</v>
      </c>
      <c r="D92" s="28">
        <f>Electricity_LCIA!C278</f>
        <v>0</v>
      </c>
      <c r="E92" s="28">
        <f>Electricity_LCIA!D278</f>
        <v>0</v>
      </c>
      <c r="F92" s="28">
        <f>Electricity_LCIA!E278</f>
        <v>0</v>
      </c>
      <c r="G92" s="28">
        <f>Electricity_LCIA!F278</f>
        <v>0</v>
      </c>
      <c r="H92" s="28">
        <f>Electricity_LCIA!G278</f>
        <v>0.53663868983957219</v>
      </c>
      <c r="I92" s="28">
        <f>Electricity_LCIA!H278</f>
        <v>0.33289710695187164</v>
      </c>
      <c r="J92" s="28">
        <f>Electricity_LCIA!I278</f>
        <v>6.7391719251336903</v>
      </c>
      <c r="K92" s="28">
        <f>Electricity_LCIA!J278</f>
        <v>5.4942861925133694E-2</v>
      </c>
      <c r="L92" s="28">
        <f>Electricity_LCIA!K278</f>
        <v>2.7986519331550808</v>
      </c>
      <c r="M92" s="28">
        <f>Electricity_LCIA!L278</f>
        <v>2.6796018716577542E-5</v>
      </c>
      <c r="N92" s="28">
        <f>Electricity_LCIA!M278</f>
        <v>0.15529123796791444</v>
      </c>
      <c r="O92" s="28">
        <f>Electricity_LCIA!N278</f>
        <v>0.45656839572192526</v>
      </c>
      <c r="P92" s="28">
        <f>Electricity_LCIA!O278</f>
        <v>0.15342277005347596</v>
      </c>
      <c r="Q92" s="28">
        <f>Electricity_LCIA!P278</f>
        <v>10.690973026927811</v>
      </c>
      <c r="R92" s="28">
        <f>Electricity_LCIA!Q278</f>
        <v>4.7569943850267388E-2</v>
      </c>
      <c r="S92" s="28">
        <f>Electricity_LCIA!R278</f>
        <v>0.53123590909090912</v>
      </c>
      <c r="T92" s="28">
        <f>Electricity_LCIA!S278</f>
        <v>0.17287529411764707</v>
      </c>
      <c r="U92" s="28">
        <f>Electricity_LCIA!T278</f>
        <v>2.9233275401069517E-2</v>
      </c>
      <c r="V92" s="28">
        <f>Electricity_LCIA!U278</f>
        <v>4.2008029411764704E-4</v>
      </c>
      <c r="W92" s="28">
        <f>Electricity_LCIA!V278</f>
        <v>0.28092683957219255</v>
      </c>
      <c r="X92" s="28">
        <f>Electricity_LCIA!W278</f>
        <v>0.18544114598930481</v>
      </c>
      <c r="Y92" s="28">
        <f>Electricity_LCIA!X278</f>
        <v>2.4989248663101604E-2</v>
      </c>
      <c r="Z92" s="28">
        <f>Electricity_LCIA!Y278</f>
        <v>1.2603758288770052E-4</v>
      </c>
      <c r="AA92" s="28">
        <f>Electricity_LCIA!Z278</f>
        <v>1.1535350267379679E-2</v>
      </c>
      <c r="AB92" s="28">
        <f>Electricity_LCIA!AA278</f>
        <v>-1.9279887165775399E-5</v>
      </c>
      <c r="AC92" s="28">
        <f>Electricity_LCIA!AB278</f>
        <v>2.200944385026738E-8</v>
      </c>
      <c r="AD92" s="28">
        <f>Electricity_LCIA!AC278</f>
        <v>1.4946914438502671E-3</v>
      </c>
      <c r="AE92" s="28">
        <f>Electricity_LCIA!AD278</f>
        <v>8.3094411764705889E-4</v>
      </c>
      <c r="AF92" s="28">
        <f>Electricity_LCIA!AE278</f>
        <v>1.2730838502673799E-3</v>
      </c>
      <c r="AG92" s="28">
        <f>Electricity_LCIA!AF278</f>
        <v>3.2994179144385032E-5</v>
      </c>
      <c r="AH92" s="28">
        <f>Electricity_LCIA!AG278</f>
        <v>2.5364430481283422E-3</v>
      </c>
      <c r="AI92" s="29">
        <f>Electricity_LCIA!AH278</f>
        <v>2.5777457219251336E-3</v>
      </c>
    </row>
    <row r="93" spans="2:35" x14ac:dyDescent="0.25">
      <c r="B93" s="256"/>
      <c r="C93" s="67" t="str">
        <f>Electricity_LCIA!B286</f>
        <v>5_Hub_3000km</v>
      </c>
      <c r="D93" s="28">
        <f>Electricity_LCIA!C286</f>
        <v>0</v>
      </c>
      <c r="E93" s="28">
        <f>Electricity_LCIA!D286</f>
        <v>0</v>
      </c>
      <c r="F93" s="28">
        <f>Electricity_LCIA!E286</f>
        <v>0</v>
      </c>
      <c r="G93" s="28">
        <f>Electricity_LCIA!F286</f>
        <v>0</v>
      </c>
      <c r="H93" s="28">
        <f>Electricity_LCIA!G286</f>
        <v>0.55327863636363628</v>
      </c>
      <c r="I93" s="28">
        <f>Electricity_LCIA!H286</f>
        <v>0.11764387165775402</v>
      </c>
      <c r="J93" s="28">
        <f>Electricity_LCIA!I286</f>
        <v>6.5157430481283409</v>
      </c>
      <c r="K93" s="28">
        <f>Electricity_LCIA!J286</f>
        <v>3.1423524812834225E-2</v>
      </c>
      <c r="L93" s="28">
        <f>Electricity_LCIA!K286</f>
        <v>3.0648931096256691</v>
      </c>
      <c r="M93" s="28">
        <f>Electricity_LCIA!L286</f>
        <v>1.711664973262032E-5</v>
      </c>
      <c r="N93" s="28">
        <f>Electricity_LCIA!M286</f>
        <v>8.9703548128342234E-2</v>
      </c>
      <c r="O93" s="28">
        <f>Electricity_LCIA!N286</f>
        <v>0.24385757219251333</v>
      </c>
      <c r="P93" s="28">
        <f>Electricity_LCIA!O286</f>
        <v>0.31432443850267378</v>
      </c>
      <c r="Q93" s="28">
        <f>Electricity_LCIA!P286</f>
        <v>10.377606229697861</v>
      </c>
      <c r="R93" s="28">
        <f>Electricity_LCIA!Q286</f>
        <v>1.8079606417112301E-2</v>
      </c>
      <c r="S93" s="28">
        <f>Electricity_LCIA!R286</f>
        <v>0.54799836898395715</v>
      </c>
      <c r="T93" s="28">
        <f>Electricity_LCIA!S286</f>
        <v>0.16610812834224598</v>
      </c>
      <c r="U93" s="28">
        <f>Electricity_LCIA!T286</f>
        <v>2.9222660427807485E-2</v>
      </c>
      <c r="V93" s="28">
        <f>Electricity_LCIA!U286</f>
        <v>4.2755451871657752E-4</v>
      </c>
      <c r="W93" s="28">
        <f>Electricity_LCIA!V286</f>
        <v>0.28473940641711232</v>
      </c>
      <c r="X93" s="28">
        <f>Electricity_LCIA!W286</f>
        <v>0.20266170748663098</v>
      </c>
      <c r="Y93" s="28">
        <f>Electricity_LCIA!X286</f>
        <v>2.5060708556149731E-2</v>
      </c>
      <c r="Z93" s="28">
        <f>Electricity_LCIA!Y286</f>
        <v>1.2738121925133687E-4</v>
      </c>
      <c r="AA93" s="28">
        <f>Electricity_LCIA!Z286</f>
        <v>1.1497323529411765E-2</v>
      </c>
      <c r="AB93" s="28">
        <f>Electricity_LCIA!AA286</f>
        <v>-1.9246127807486628E-5</v>
      </c>
      <c r="AC93" s="28">
        <f>Electricity_LCIA!AB286</f>
        <v>1.994680213903743E-8</v>
      </c>
      <c r="AD93" s="28">
        <f>Electricity_LCIA!AC286</f>
        <v>1.6071021390374331E-3</v>
      </c>
      <c r="AE93" s="28">
        <f>Electricity_LCIA!AD286</f>
        <v>8.5734197860962559E-4</v>
      </c>
      <c r="AF93" s="28">
        <f>Electricity_LCIA!AE286</f>
        <v>1.5342961497326203E-3</v>
      </c>
      <c r="AG93" s="28">
        <f>Electricity_LCIA!AF286</f>
        <v>2.8838917112299461E-5</v>
      </c>
      <c r="AH93" s="28">
        <f>Electricity_LCIA!AG286</f>
        <v>2.2140407486631016E-3</v>
      </c>
      <c r="AI93" s="29">
        <f>Electricity_LCIA!AH286</f>
        <v>2.2714505347593578E-3</v>
      </c>
    </row>
    <row r="94" spans="2:35" x14ac:dyDescent="0.25">
      <c r="B94" s="256"/>
      <c r="C94" s="67" t="str">
        <f>Electricity_LCIA!B295</f>
        <v>6_Hub_3000km</v>
      </c>
      <c r="D94" s="28">
        <f>Electricity_LCIA!C295</f>
        <v>0</v>
      </c>
      <c r="E94" s="28">
        <f>Electricity_LCIA!D295</f>
        <v>0</v>
      </c>
      <c r="F94" s="28">
        <f>Electricity_LCIA!E295</f>
        <v>0</v>
      </c>
      <c r="G94" s="28">
        <f>Electricity_LCIA!F295</f>
        <v>0</v>
      </c>
      <c r="H94" s="28">
        <f>Electricity_LCIA!G295</f>
        <v>0.55871205882352937</v>
      </c>
      <c r="I94" s="28">
        <f>Electricity_LCIA!H295</f>
        <v>0.12213716042780749</v>
      </c>
      <c r="J94" s="28">
        <f>Electricity_LCIA!I295</f>
        <v>6.4854970588235297</v>
      </c>
      <c r="K94" s="28">
        <f>Electricity_LCIA!J295</f>
        <v>3.1373845401069522E-2</v>
      </c>
      <c r="L94" s="28">
        <f>Electricity_LCIA!K295</f>
        <v>3.332119045454546</v>
      </c>
      <c r="M94" s="28">
        <f>Electricity_LCIA!L295</f>
        <v>1.7204524064171125E-5</v>
      </c>
      <c r="N94" s="28">
        <f>Electricity_LCIA!M295</f>
        <v>8.6413360962566854E-2</v>
      </c>
      <c r="O94" s="28">
        <f>Electricity_LCIA!N295</f>
        <v>0.24767509893048126</v>
      </c>
      <c r="P94" s="28">
        <f>Electricity_LCIA!O295</f>
        <v>0.25909930481283422</v>
      </c>
      <c r="Q94" s="28">
        <f>Electricity_LCIA!P295</f>
        <v>10.5643320793369</v>
      </c>
      <c r="R94" s="28">
        <f>Electricity_LCIA!Q295</f>
        <v>1.8842952673796789E-2</v>
      </c>
      <c r="S94" s="28">
        <f>Electricity_LCIA!R295</f>
        <v>0.55335505347593572</v>
      </c>
      <c r="T94" s="28">
        <f>Electricity_LCIA!S295</f>
        <v>0.16451066844919787</v>
      </c>
      <c r="U94" s="28">
        <f>Electricity_LCIA!T295</f>
        <v>2.8665E-2</v>
      </c>
      <c r="V94" s="28">
        <f>Electricity_LCIA!U295</f>
        <v>3.9468820855614975E-4</v>
      </c>
      <c r="W94" s="28">
        <f>Electricity_LCIA!V295</f>
        <v>0.26697643850267383</v>
      </c>
      <c r="X94" s="28">
        <f>Electricity_LCIA!W295</f>
        <v>0.22002273689839572</v>
      </c>
      <c r="Y94" s="28">
        <f>Electricity_LCIA!X295</f>
        <v>2.4580347593582887E-2</v>
      </c>
      <c r="Z94" s="28">
        <f>Electricity_LCIA!Y295</f>
        <v>1.2269178074866312E-4</v>
      </c>
      <c r="AA94" s="28">
        <f>Electricity_LCIA!Z295</f>
        <v>1.1553566844919786E-2</v>
      </c>
      <c r="AB94" s="28">
        <f>Electricity_LCIA!AA295</f>
        <v>-2.0529804278074864E-5</v>
      </c>
      <c r="AC94" s="28">
        <f>Electricity_LCIA!AB295</f>
        <v>1.9054302139037434E-8</v>
      </c>
      <c r="AD94" s="28">
        <f>Electricity_LCIA!AC295</f>
        <v>1.4541409090909091E-3</v>
      </c>
      <c r="AE94" s="28">
        <f>Electricity_LCIA!AD295</f>
        <v>8.9389545454545457E-4</v>
      </c>
      <c r="AF94" s="28">
        <f>Electricity_LCIA!AE295</f>
        <v>1.5940956149732622E-3</v>
      </c>
      <c r="AG94" s="28">
        <f>Electricity_LCIA!AF295</f>
        <v>2.8025775401069518E-5</v>
      </c>
      <c r="AH94" s="28">
        <f>Electricity_LCIA!AG295</f>
        <v>2.3662972994652406E-3</v>
      </c>
      <c r="AI94" s="29">
        <f>Electricity_LCIA!AH295</f>
        <v>2.3381751336898401E-3</v>
      </c>
    </row>
    <row r="95" spans="2:35" x14ac:dyDescent="0.25">
      <c r="B95" s="256"/>
      <c r="C95" s="67" t="str">
        <f>Electricity_LCIA!B297</f>
        <v>O'Hare International Airport</v>
      </c>
      <c r="D95" s="28" t="str">
        <f>Electricity_LCIA!C297</f>
        <v>market for electricity, low voltage, US-RFC</v>
      </c>
      <c r="E95" s="28">
        <f>Electricity_LCIA!D297</f>
        <v>0.8877284595300261</v>
      </c>
      <c r="F95" s="28" t="str">
        <f>Electricity_LCIA!E297</f>
        <v>kWh</v>
      </c>
      <c r="G95" s="28" t="str">
        <f>Electricity_LCIA!F297</f>
        <v>Ecoinvent v3.7.1</v>
      </c>
      <c r="H95" s="28">
        <f>Electricity_LCIA!G297</f>
        <v>0.61436999999999997</v>
      </c>
      <c r="I95" s="28">
        <f>Electricity_LCIA!H297</f>
        <v>8.2399E-2</v>
      </c>
      <c r="J95" s="28">
        <f>Electricity_LCIA!I297</f>
        <v>6.7473999999999998</v>
      </c>
      <c r="K95" s="28">
        <f>Electricity_LCIA!J297</f>
        <v>4.0428000000000003E-4</v>
      </c>
      <c r="L95" s="28">
        <f>Electricity_LCIA!K297</f>
        <v>4.3425000000000002</v>
      </c>
      <c r="M95" s="28">
        <f>Electricity_LCIA!L297</f>
        <v>1.3322000000000001E-5</v>
      </c>
      <c r="N95" s="28">
        <f>Electricity_LCIA!M297</f>
        <v>1.5082999999999999E-2</v>
      </c>
      <c r="O95" s="28">
        <f>Electricity_LCIA!N297</f>
        <v>6.8917000000000006E-2</v>
      </c>
      <c r="P95" s="28">
        <f>Electricity_LCIA!O297</f>
        <v>0.1275</v>
      </c>
      <c r="Q95" s="28">
        <f>Electricity_LCIA!P297</f>
        <v>11.384216602</v>
      </c>
      <c r="R95" s="28">
        <f>Electricity_LCIA!Q297</f>
        <v>1.3875999999999999E-2</v>
      </c>
      <c r="S95" s="28">
        <f>Electricity_LCIA!R297</f>
        <v>0.60836999999999997</v>
      </c>
      <c r="T95" s="28">
        <f>Electricity_LCIA!S297</f>
        <v>0.16855999999999999</v>
      </c>
      <c r="U95" s="28">
        <f>Electricity_LCIA!T297</f>
        <v>2.7827999999999999E-2</v>
      </c>
      <c r="V95" s="28">
        <f>Electricity_LCIA!U297</f>
        <v>3.4965000000000002E-4</v>
      </c>
      <c r="W95" s="28">
        <f>Electricity_LCIA!V297</f>
        <v>0.24507000000000001</v>
      </c>
      <c r="X95" s="28">
        <f>Electricity_LCIA!W297</f>
        <v>0.28216999999999998</v>
      </c>
      <c r="Y95" s="28">
        <f>Electricity_LCIA!X297</f>
        <v>2.3791E-2</v>
      </c>
      <c r="Z95" s="28">
        <f>Electricity_LCIA!Y297</f>
        <v>1.1882E-4</v>
      </c>
      <c r="AA95" s="28">
        <f>Electricity_LCIA!Z297</f>
        <v>1.1622E-2</v>
      </c>
      <c r="AB95" s="28">
        <f>Electricity_LCIA!AA297</f>
        <v>-2.4247999999999999E-5</v>
      </c>
      <c r="AC95" s="28">
        <f>Electricity_LCIA!AB297</f>
        <v>1.8053E-8</v>
      </c>
      <c r="AD95" s="28">
        <f>Electricity_LCIA!AC297</f>
        <v>1.1259E-3</v>
      </c>
      <c r="AE95" s="28">
        <f>Electricity_LCIA!AD297</f>
        <v>9.8528999999999999E-4</v>
      </c>
      <c r="AF95" s="28">
        <f>Electricity_LCIA!AE297</f>
        <v>1.8718000000000001E-3</v>
      </c>
      <c r="AG95" s="28">
        <f>Electricity_LCIA!AF297</f>
        <v>2.6829999999999999E-5</v>
      </c>
      <c r="AH95" s="28">
        <f>Electricity_LCIA!AG297</f>
        <v>2.5512999999999998E-3</v>
      </c>
      <c r="AI95" s="29">
        <f>Electricity_LCIA!AH297</f>
        <v>2.2418E-3</v>
      </c>
    </row>
    <row r="96" spans="2:35" x14ac:dyDescent="0.25">
      <c r="B96" s="256"/>
      <c r="C96" s="67" t="str">
        <f>Electricity_LCIA!B303</f>
        <v>2_Hub_5000km</v>
      </c>
      <c r="D96" s="28">
        <f>Electricity_LCIA!C303</f>
        <v>0</v>
      </c>
      <c r="E96" s="28">
        <f>Electricity_LCIA!D303</f>
        <v>0</v>
      </c>
      <c r="F96" s="28">
        <f>Electricity_LCIA!E303</f>
        <v>0</v>
      </c>
      <c r="G96" s="28">
        <f>Electricity_LCIA!F303</f>
        <v>0</v>
      </c>
      <c r="H96" s="28">
        <f>Electricity_LCIA!G303</f>
        <v>0.61910170212765958</v>
      </c>
      <c r="I96" s="28">
        <f>Electricity_LCIA!H303</f>
        <v>7.8829542553191481E-2</v>
      </c>
      <c r="J96" s="28">
        <f>Electricity_LCIA!I303</f>
        <v>6.8692063829787227</v>
      </c>
      <c r="K96" s="28">
        <f>Electricity_LCIA!J303</f>
        <v>1.7322912765957443E-2</v>
      </c>
      <c r="L96" s="28">
        <f>Electricity_LCIA!K303</f>
        <v>3.9350482659574468</v>
      </c>
      <c r="M96" s="28">
        <f>Electricity_LCIA!L303</f>
        <v>1.3723553191489362E-5</v>
      </c>
      <c r="N96" s="28">
        <f>Electricity_LCIA!M303</f>
        <v>2.0406978723404252E-2</v>
      </c>
      <c r="O96" s="28">
        <f>Electricity_LCIA!N303</f>
        <v>0.15657728723404257</v>
      </c>
      <c r="P96" s="28">
        <f>Electricity_LCIA!O303</f>
        <v>0.14474744680851065</v>
      </c>
      <c r="Q96" s="28">
        <f>Electricity_LCIA!P303</f>
        <v>11.222152540574468</v>
      </c>
      <c r="R96" s="28">
        <f>Electricity_LCIA!Q303</f>
        <v>1.3774702127659574E-2</v>
      </c>
      <c r="S96" s="28">
        <f>Electricity_LCIA!R303</f>
        <v>0.6131639361702127</v>
      </c>
      <c r="T96" s="28">
        <f>Electricity_LCIA!S303</f>
        <v>0.17188521276595745</v>
      </c>
      <c r="U96" s="28">
        <f>Electricity_LCIA!T303</f>
        <v>2.8329223404255317E-2</v>
      </c>
      <c r="V96" s="28">
        <f>Electricity_LCIA!U303</f>
        <v>3.7889617021276596E-4</v>
      </c>
      <c r="W96" s="28">
        <f>Electricity_LCIA!V303</f>
        <v>0.26232223404255317</v>
      </c>
      <c r="X96" s="28">
        <f>Electricity_LCIA!W303</f>
        <v>0.25575141914893618</v>
      </c>
      <c r="Y96" s="28">
        <f>Electricity_LCIA!X303</f>
        <v>2.429059574468085E-2</v>
      </c>
      <c r="Z96" s="28">
        <f>Electricity_LCIA!Y303</f>
        <v>1.2617606382978725E-4</v>
      </c>
      <c r="AA96" s="28">
        <f>Electricity_LCIA!Z303</f>
        <v>1.1570680851063829E-2</v>
      </c>
      <c r="AB96" s="28">
        <f>Electricity_LCIA!AA303</f>
        <v>-2.5363521276595745E-5</v>
      </c>
      <c r="AC96" s="28">
        <f>Electricity_LCIA!AB303</f>
        <v>1.7828191489361702E-8</v>
      </c>
      <c r="AD96" s="28">
        <f>Electricity_LCIA!AC303</f>
        <v>1.5340882978723401E-3</v>
      </c>
      <c r="AE96" s="28">
        <f>Electricity_LCIA!AD303</f>
        <v>1.0565632978723405E-3</v>
      </c>
      <c r="AF96" s="28">
        <f>Electricity_LCIA!AE303</f>
        <v>1.9930606382978721E-3</v>
      </c>
      <c r="AG96" s="28">
        <f>Electricity_LCIA!AF303</f>
        <v>2.6373393617021277E-5</v>
      </c>
      <c r="AH96" s="28">
        <f>Electricity_LCIA!AG303</f>
        <v>2.4605244680851062E-3</v>
      </c>
      <c r="AI96" s="29">
        <f>Electricity_LCIA!AH303</f>
        <v>2.503431914893617E-3</v>
      </c>
    </row>
    <row r="97" spans="2:35" x14ac:dyDescent="0.25">
      <c r="B97" s="256"/>
      <c r="C97" s="67" t="str">
        <f>Electricity_LCIA!B309</f>
        <v>3_Hub_5000km</v>
      </c>
      <c r="D97" s="28">
        <f>Electricity_LCIA!C309</f>
        <v>0</v>
      </c>
      <c r="E97" s="28">
        <f>Electricity_LCIA!D309</f>
        <v>0</v>
      </c>
      <c r="F97" s="28">
        <f>Electricity_LCIA!E309</f>
        <v>0</v>
      </c>
      <c r="G97" s="28">
        <f>Electricity_LCIA!F309</f>
        <v>0</v>
      </c>
      <c r="H97" s="28">
        <f>Electricity_LCIA!G309</f>
        <v>0.54997106100795756</v>
      </c>
      <c r="I97" s="28">
        <f>Electricity_LCIA!H309</f>
        <v>0.10679055437665784</v>
      </c>
      <c r="J97" s="28">
        <f>Electricity_LCIA!I309</f>
        <v>6.3336408488063665</v>
      </c>
      <c r="K97" s="28">
        <f>Electricity_LCIA!J309</f>
        <v>6.8924055066313009E-2</v>
      </c>
      <c r="L97" s="28">
        <f>Electricity_LCIA!K309</f>
        <v>2.8896824297082229</v>
      </c>
      <c r="M97" s="28">
        <f>Electricity_LCIA!L309</f>
        <v>1.5187846153846155E-5</v>
      </c>
      <c r="N97" s="28">
        <f>Electricity_LCIA!M309</f>
        <v>0.12632705305039788</v>
      </c>
      <c r="O97" s="28">
        <f>Electricity_LCIA!N309</f>
        <v>0.46760941379310339</v>
      </c>
      <c r="P97" s="28">
        <f>Electricity_LCIA!O309</f>
        <v>0.20050923076923077</v>
      </c>
      <c r="Q97" s="28">
        <f>Electricity_LCIA!P309</f>
        <v>10.193498773416446</v>
      </c>
      <c r="R97" s="28">
        <f>Electricity_LCIA!Q309</f>
        <v>1.7514493368700267E-2</v>
      </c>
      <c r="S97" s="28">
        <f>Electricity_LCIA!R309</f>
        <v>0.5446611405835543</v>
      </c>
      <c r="T97" s="28">
        <f>Electricity_LCIA!S309</f>
        <v>0.15953973474801061</v>
      </c>
      <c r="U97" s="28">
        <f>Electricity_LCIA!T309</f>
        <v>2.88128700265252E-2</v>
      </c>
      <c r="V97" s="28">
        <f>Electricity_LCIA!U309</f>
        <v>4.0352374005305039E-4</v>
      </c>
      <c r="W97" s="28">
        <f>Electricity_LCIA!V309</f>
        <v>0.27197631299734748</v>
      </c>
      <c r="X97" s="28">
        <f>Electricity_LCIA!W309</f>
        <v>0.18794847002652518</v>
      </c>
      <c r="Y97" s="28">
        <f>Electricity_LCIA!X309</f>
        <v>2.4738777188328911E-2</v>
      </c>
      <c r="Z97" s="28">
        <f>Electricity_LCIA!Y309</f>
        <v>1.2535835543766582E-4</v>
      </c>
      <c r="AA97" s="28">
        <f>Electricity_LCIA!Z309</f>
        <v>1.1523877984084881E-2</v>
      </c>
      <c r="AB97" s="28">
        <f>Electricity_LCIA!AA309</f>
        <v>-2.1978885941644562E-5</v>
      </c>
      <c r="AC97" s="28">
        <f>Electricity_LCIA!AB309</f>
        <v>1.7663567639257293E-8</v>
      </c>
      <c r="AD97" s="28">
        <f>Electricity_LCIA!AC309</f>
        <v>1.6283000000000003E-3</v>
      </c>
      <c r="AE97" s="28">
        <f>Electricity_LCIA!AD309</f>
        <v>9.4409657824933693E-4</v>
      </c>
      <c r="AF97" s="28">
        <f>Electricity_LCIA!AE309</f>
        <v>1.6101384615384616E-3</v>
      </c>
      <c r="AG97" s="28">
        <f>Electricity_LCIA!AF309</f>
        <v>2.8113310344827585E-5</v>
      </c>
      <c r="AH97" s="28">
        <f>Electricity_LCIA!AG309</f>
        <v>2.4192851458885939E-3</v>
      </c>
      <c r="AI97" s="29">
        <f>Electricity_LCIA!AH309</f>
        <v>2.748452519893899E-3</v>
      </c>
    </row>
    <row r="98" spans="2:35" x14ac:dyDescent="0.25">
      <c r="B98" s="256"/>
      <c r="C98" s="67" t="str">
        <f>Electricity_LCIA!B316</f>
        <v>4_Hub_5000km</v>
      </c>
      <c r="D98" s="28">
        <f>Electricity_LCIA!C316</f>
        <v>0</v>
      </c>
      <c r="E98" s="28">
        <f>Electricity_LCIA!D316</f>
        <v>0</v>
      </c>
      <c r="F98" s="28">
        <f>Electricity_LCIA!E316</f>
        <v>0</v>
      </c>
      <c r="G98" s="28">
        <f>Electricity_LCIA!F316</f>
        <v>0</v>
      </c>
      <c r="H98" s="28">
        <f>Electricity_LCIA!G316</f>
        <v>0.58417630319148928</v>
      </c>
      <c r="I98" s="28">
        <f>Electricity_LCIA!H316</f>
        <v>9.2860034574468092E-2</v>
      </c>
      <c r="J98" s="28">
        <f>Electricity_LCIA!I316</f>
        <v>6.6035534574468073</v>
      </c>
      <c r="K98" s="28">
        <f>Electricity_LCIA!J316</f>
        <v>4.4573768617021274E-2</v>
      </c>
      <c r="L98" s="28">
        <f>Electricity_LCIA!K316</f>
        <v>3.3792464042553187</v>
      </c>
      <c r="M98" s="28">
        <f>Electricity_LCIA!L316</f>
        <v>1.4492316489361702E-5</v>
      </c>
      <c r="N98" s="28">
        <f>Electricity_LCIA!M316</f>
        <v>7.4645156914893623E-2</v>
      </c>
      <c r="O98" s="28">
        <f>Electricity_LCIA!N316</f>
        <v>0.32000785904255319</v>
      </c>
      <c r="P98" s="28">
        <f>Electricity_LCIA!O316</f>
        <v>0.17413574468085108</v>
      </c>
      <c r="Q98" s="28">
        <f>Electricity_LCIA!P316</f>
        <v>10.689036917848403</v>
      </c>
      <c r="R98" s="28">
        <f>Electricity_LCIA!Q316</f>
        <v>1.5673013297872337E-2</v>
      </c>
      <c r="S98" s="28">
        <f>Electricity_LCIA!R316</f>
        <v>0.57856180851063832</v>
      </c>
      <c r="T98" s="28">
        <f>Electricity_LCIA!S316</f>
        <v>0.16579146276595744</v>
      </c>
      <c r="U98" s="28">
        <f>Electricity_LCIA!T316</f>
        <v>2.8604436170212764E-2</v>
      </c>
      <c r="V98" s="28">
        <f>Electricity_LCIA!U316</f>
        <v>3.931252925531915E-4</v>
      </c>
      <c r="W98" s="28">
        <f>Electricity_LCIA!V316</f>
        <v>0.26823446808510637</v>
      </c>
      <c r="X98" s="28">
        <f>Electricity_LCIA!W316</f>
        <v>0.21970234999999996</v>
      </c>
      <c r="Y98" s="28">
        <f>Electricity_LCIA!X316</f>
        <v>2.4547656914893613E-2</v>
      </c>
      <c r="Z98" s="28">
        <f>Electricity_LCIA!Y316</f>
        <v>1.2618470744680852E-4</v>
      </c>
      <c r="AA98" s="28">
        <f>Electricity_LCIA!Z316</f>
        <v>1.1543885638297871E-2</v>
      </c>
      <c r="AB98" s="28">
        <f>Electricity_LCIA!AA316</f>
        <v>-2.370463829787234E-5</v>
      </c>
      <c r="AC98" s="28">
        <f>Electricity_LCIA!AB316</f>
        <v>1.7731382978723404E-8</v>
      </c>
      <c r="AD98" s="28">
        <f>Electricity_LCIA!AC316</f>
        <v>1.6056401595744682E-3</v>
      </c>
      <c r="AE98" s="28">
        <f>Electricity_LCIA!AD316</f>
        <v>1.0034171542553192E-3</v>
      </c>
      <c r="AF98" s="28">
        <f>Electricity_LCIA!AE316</f>
        <v>1.8050965425531916E-3</v>
      </c>
      <c r="AG98" s="28">
        <f>Electricity_LCIA!AF316</f>
        <v>2.7232914893617021E-5</v>
      </c>
      <c r="AH98" s="28">
        <f>Electricity_LCIA!AG316</f>
        <v>2.4342824468085102E-3</v>
      </c>
      <c r="AI98" s="29">
        <f>Electricity_LCIA!AH316</f>
        <v>2.6433029255319147E-3</v>
      </c>
    </row>
    <row r="99" spans="2:35" x14ac:dyDescent="0.25">
      <c r="B99" s="256"/>
      <c r="C99" s="67" t="str">
        <f>Electricity_LCIA!B324</f>
        <v>5_Hub_5000km</v>
      </c>
      <c r="D99" s="28">
        <f>Electricity_LCIA!C324</f>
        <v>0</v>
      </c>
      <c r="E99" s="28">
        <f>Electricity_LCIA!D324</f>
        <v>0</v>
      </c>
      <c r="F99" s="28">
        <f>Electricity_LCIA!E324</f>
        <v>0</v>
      </c>
      <c r="G99" s="28">
        <f>Electricity_LCIA!F324</f>
        <v>0</v>
      </c>
      <c r="H99" s="28">
        <f>Electricity_LCIA!G324</f>
        <v>0.56448622340425525</v>
      </c>
      <c r="I99" s="28">
        <f>Electricity_LCIA!H324</f>
        <v>0.12670930585106382</v>
      </c>
      <c r="J99" s="28">
        <f>Electricity_LCIA!I324</f>
        <v>6.4439053191489348</v>
      </c>
      <c r="K99" s="28">
        <f>Electricity_LCIA!J324</f>
        <v>3.3765275851063828E-2</v>
      </c>
      <c r="L99" s="28">
        <f>Electricity_LCIA!K324</f>
        <v>3.6085617260638294</v>
      </c>
      <c r="M99" s="28">
        <f>Electricity_LCIA!L324</f>
        <v>1.7230662234042549E-5</v>
      </c>
      <c r="N99" s="28">
        <f>Electricity_LCIA!M324</f>
        <v>8.5046601063829774E-2</v>
      </c>
      <c r="O99" s="28">
        <f>Electricity_LCIA!N324</f>
        <v>0.2662202792553191</v>
      </c>
      <c r="P99" s="28">
        <f>Electricity_LCIA!O324</f>
        <v>0.19240545212765955</v>
      </c>
      <c r="Q99" s="28">
        <f>Electricity_LCIA!P324</f>
        <v>10.756631190023935</v>
      </c>
      <c r="R99" s="28">
        <f>Electricity_LCIA!Q324</f>
        <v>1.9688776595744677E-2</v>
      </c>
      <c r="S99" s="28">
        <f>Electricity_LCIA!R324</f>
        <v>0.55904606382978717</v>
      </c>
      <c r="T99" s="28">
        <f>Electricity_LCIA!S324</f>
        <v>0.1624430053191489</v>
      </c>
      <c r="U99" s="28">
        <f>Electricity_LCIA!T324</f>
        <v>2.8034696808510642E-2</v>
      </c>
      <c r="V99" s="28">
        <f>Electricity_LCIA!U324</f>
        <v>3.5752086436170212E-4</v>
      </c>
      <c r="W99" s="28">
        <f>Electricity_LCIA!V324</f>
        <v>0.24692258244680851</v>
      </c>
      <c r="X99" s="28">
        <f>Electricity_LCIA!W324</f>
        <v>0.23782876010638299</v>
      </c>
      <c r="Y99" s="28">
        <f>Electricity_LCIA!X324</f>
        <v>2.4040861702127658E-2</v>
      </c>
      <c r="Z99" s="28">
        <f>Electricity_LCIA!Y324</f>
        <v>1.1752202659574467E-4</v>
      </c>
      <c r="AA99" s="28">
        <f>Electricity_LCIA!Z324</f>
        <v>1.1616433510638298E-2</v>
      </c>
      <c r="AB99" s="28">
        <f>Electricity_LCIA!AA324</f>
        <v>-2.2116243617021273E-5</v>
      </c>
      <c r="AC99" s="28">
        <f>Electricity_LCIA!AB324</f>
        <v>1.7937159574468086E-8</v>
      </c>
      <c r="AD99" s="28">
        <f>Electricity_LCIA!AC324</f>
        <v>1.2947303191489358E-3</v>
      </c>
      <c r="AE99" s="28">
        <f>Electricity_LCIA!AD324</f>
        <v>9.4049624999999995E-4</v>
      </c>
      <c r="AF99" s="28">
        <f>Electricity_LCIA!AE324</f>
        <v>1.6664781117021279E-3</v>
      </c>
      <c r="AG99" s="28">
        <f>Electricity_LCIA!AF324</f>
        <v>2.707289361702128E-5</v>
      </c>
      <c r="AH99" s="28">
        <f>Electricity_LCIA!AG324</f>
        <v>2.5444194148936164E-3</v>
      </c>
      <c r="AI99" s="29">
        <f>Electricity_LCIA!AH324</f>
        <v>2.4437534574468086E-3</v>
      </c>
    </row>
    <row r="100" spans="2:35" x14ac:dyDescent="0.25">
      <c r="B100" s="256"/>
      <c r="C100" s="67" t="str">
        <f>Electricity_LCIA!B333</f>
        <v>6_Hub_5000km</v>
      </c>
      <c r="D100" s="28">
        <f>Electricity_LCIA!C333</f>
        <v>0</v>
      </c>
      <c r="E100" s="28">
        <f>Electricity_LCIA!D333</f>
        <v>0</v>
      </c>
      <c r="F100" s="28">
        <f>Electricity_LCIA!E333</f>
        <v>0</v>
      </c>
      <c r="G100" s="28">
        <f>Electricity_LCIA!F333</f>
        <v>0</v>
      </c>
      <c r="H100" s="28">
        <f>Electricity_LCIA!G333</f>
        <v>0.54729218085106368</v>
      </c>
      <c r="I100" s="28">
        <f>Electricity_LCIA!H333</f>
        <v>0.13361662499999999</v>
      </c>
      <c r="J100" s="28">
        <f>Electricity_LCIA!I333</f>
        <v>6.3131223404255312</v>
      </c>
      <c r="K100" s="28">
        <f>Electricity_LCIA!J333</f>
        <v>4.7181081808510633E-2</v>
      </c>
      <c r="L100" s="28">
        <f>Electricity_LCIA!K333</f>
        <v>3.3349361941489368</v>
      </c>
      <c r="M100" s="28">
        <f>Electricity_LCIA!L333</f>
        <v>1.7609130319148936E-5</v>
      </c>
      <c r="N100" s="28">
        <f>Electricity_LCIA!M333</f>
        <v>0.11174847340425532</v>
      </c>
      <c r="O100" s="28">
        <f>Electricity_LCIA!N333</f>
        <v>0.34667840691489366</v>
      </c>
      <c r="P100" s="28">
        <f>Electricity_LCIA!O333</f>
        <v>0.20687353723404256</v>
      </c>
      <c r="Q100" s="28">
        <f>Electricity_LCIA!P333</f>
        <v>10.494174268066487</v>
      </c>
      <c r="R100" s="28">
        <f>Electricity_LCIA!Q333</f>
        <v>2.0623329787234041E-2</v>
      </c>
      <c r="S100" s="28">
        <f>Electricity_LCIA!R333</f>
        <v>0.54201117021276601</v>
      </c>
      <c r="T100" s="28">
        <f>Electricity_LCIA!S333</f>
        <v>0.15944300531914893</v>
      </c>
      <c r="U100" s="28">
        <f>Electricity_LCIA!T333</f>
        <v>2.8170186170212767E-2</v>
      </c>
      <c r="V100" s="28">
        <f>Electricity_LCIA!U333</f>
        <v>3.6452597074468086E-4</v>
      </c>
      <c r="W100" s="28">
        <f>Electricity_LCIA!V333</f>
        <v>0.2498332207446809</v>
      </c>
      <c r="X100" s="28">
        <f>Electricity_LCIA!W333</f>
        <v>0.22008152606382975</v>
      </c>
      <c r="Y100" s="28">
        <f>Electricity_LCIA!X333</f>
        <v>2.4167414893617022E-2</v>
      </c>
      <c r="Z100" s="28">
        <f>Electricity_LCIA!Y333</f>
        <v>1.1752628191489364E-4</v>
      </c>
      <c r="AA100" s="28">
        <f>Electricity_LCIA!Z333</f>
        <v>1.1603242021276597E-2</v>
      </c>
      <c r="AB100" s="28">
        <f>Electricity_LCIA!AA333</f>
        <v>-2.1299562765957445E-5</v>
      </c>
      <c r="AC100" s="28">
        <f>Electricity_LCIA!AB333</f>
        <v>1.7889499999999999E-8</v>
      </c>
      <c r="AD100" s="28">
        <f>Electricity_LCIA!AC333</f>
        <v>1.3299558510638297E-3</v>
      </c>
      <c r="AE100" s="28">
        <f>Electricity_LCIA!AD333</f>
        <v>9.1433199468085114E-4</v>
      </c>
      <c r="AF100" s="28">
        <f>Electricity_LCIA!AE333</f>
        <v>1.5739419414893619E-3</v>
      </c>
      <c r="AG100" s="28">
        <f>Electricity_LCIA!AF333</f>
        <v>2.7496042553191486E-5</v>
      </c>
      <c r="AH100" s="28">
        <f>Electricity_LCIA!AG333</f>
        <v>2.5315002659574469E-3</v>
      </c>
      <c r="AI100" s="29">
        <f>Electricity_LCIA!AH333</f>
        <v>2.5126130319148938E-3</v>
      </c>
    </row>
    <row r="101" spans="2:35" x14ac:dyDescent="0.25">
      <c r="B101" s="256"/>
      <c r="C101" s="67" t="str">
        <f>Electricity_LCIA!B336</f>
        <v>1_Hub_10000km</v>
      </c>
      <c r="D101" s="28" t="str">
        <f>Electricity_LCIA!C336</f>
        <v>electricity consumption</v>
      </c>
      <c r="E101" s="28">
        <f>Electricity_LCIA!D336</f>
        <v>1</v>
      </c>
      <c r="F101" s="28" t="str">
        <f>Electricity_LCIA!E336</f>
        <v>kWh</v>
      </c>
      <c r="G101" s="28">
        <f>Electricity_LCIA!F336</f>
        <v>0</v>
      </c>
      <c r="H101" s="28">
        <f>Electricity_LCIA!G336</f>
        <v>0.34189999999999998</v>
      </c>
      <c r="I101" s="28">
        <f>Electricity_LCIA!H336</f>
        <v>0.59848000000000001</v>
      </c>
      <c r="J101" s="28">
        <f>Electricity_LCIA!I336</f>
        <v>5.4097</v>
      </c>
      <c r="K101" s="28">
        <f>Electricity_LCIA!J336</f>
        <v>4.1463999999999997E-4</v>
      </c>
      <c r="L101" s="28">
        <f>Electricity_LCIA!K336</f>
        <v>3.8357000000000001</v>
      </c>
      <c r="M101" s="28">
        <f>Electricity_LCIA!L336</f>
        <v>6.2281999999999998E-5</v>
      </c>
      <c r="N101" s="28">
        <f>Electricity_LCIA!M336</f>
        <v>0.24073</v>
      </c>
      <c r="O101" s="28">
        <f>Electricity_LCIA!N336</f>
        <v>0.10517</v>
      </c>
      <c r="P101" s="28">
        <f>Electricity_LCIA!O336</f>
        <v>0.60631000000000002</v>
      </c>
      <c r="Q101" s="28">
        <f>Electricity_LCIA!P336</f>
        <v>10.796566922</v>
      </c>
      <c r="R101" s="28">
        <f>Electricity_LCIA!Q336</f>
        <v>7.8466999999999995E-2</v>
      </c>
      <c r="S101" s="28">
        <f>Electricity_LCIA!R336</f>
        <v>0.33939999999999998</v>
      </c>
      <c r="T101" s="28">
        <f>Electricity_LCIA!S336</f>
        <v>0.14854999999999999</v>
      </c>
      <c r="U101" s="28">
        <f>Electricity_LCIA!T336</f>
        <v>2.3748999999999999E-2</v>
      </c>
      <c r="V101" s="28">
        <f>Electricity_LCIA!U336</f>
        <v>7.3054999999999998E-5</v>
      </c>
      <c r="W101" s="28">
        <f>Electricity_LCIA!V336</f>
        <v>7.6856999999999995E-2</v>
      </c>
      <c r="X101" s="28">
        <f>Electricity_LCIA!W336</f>
        <v>0.30257000000000001</v>
      </c>
      <c r="Y101" s="28">
        <f>Electricity_LCIA!X336</f>
        <v>2.0723999999999999E-2</v>
      </c>
      <c r="Z101" s="28">
        <f>Electricity_LCIA!Y336</f>
        <v>5.4033999999999998E-5</v>
      </c>
      <c r="AA101" s="28">
        <f>Electricity_LCIA!Z336</f>
        <v>1.2272E-2</v>
      </c>
      <c r="AB101" s="28">
        <f>Electricity_LCIA!AA336</f>
        <v>-9.9321999999999995E-6</v>
      </c>
      <c r="AC101" s="28">
        <f>Electricity_LCIA!AB336</f>
        <v>1.9069E-8</v>
      </c>
      <c r="AD101" s="28">
        <f>Electricity_LCIA!AC336</f>
        <v>3.0650000000000002E-4</v>
      </c>
      <c r="AE101" s="28">
        <f>Electricity_LCIA!AD336</f>
        <v>7.0107999999999998E-4</v>
      </c>
      <c r="AF101" s="28">
        <f>Electricity_LCIA!AE336</f>
        <v>8.7219000000000001E-4</v>
      </c>
      <c r="AG101" s="28">
        <f>Electricity_LCIA!AF336</f>
        <v>1.9445000000000001E-5</v>
      </c>
      <c r="AH101" s="28">
        <f>Electricity_LCIA!AG336</f>
        <v>3.4037E-3</v>
      </c>
      <c r="AI101" s="29">
        <f>Electricity_LCIA!AH336</f>
        <v>1.7122000000000001E-3</v>
      </c>
    </row>
    <row r="102" spans="2:35" x14ac:dyDescent="0.25">
      <c r="B102" s="256"/>
      <c r="C102" s="67" t="str">
        <f>Electricity_LCIA!B340</f>
        <v>2_Hub_10000km</v>
      </c>
      <c r="D102" s="28" t="str">
        <f>Electricity_LCIA!C340</f>
        <v>electricity consumption</v>
      </c>
      <c r="E102" s="28">
        <f>Electricity_LCIA!D340</f>
        <v>1</v>
      </c>
      <c r="F102" s="28" t="str">
        <f>Electricity_LCIA!E340</f>
        <v>kWh</v>
      </c>
      <c r="G102" s="28">
        <f>Electricity_LCIA!F340</f>
        <v>0</v>
      </c>
      <c r="H102" s="28">
        <f>Electricity_LCIA!G340</f>
        <v>0.60699665796344648</v>
      </c>
      <c r="I102" s="28">
        <f>Electricity_LCIA!H340</f>
        <v>8.8921164490861626E-2</v>
      </c>
      <c r="J102" s="28">
        <f>Electricity_LCIA!I340</f>
        <v>6.6779229765013053</v>
      </c>
      <c r="K102" s="28">
        <f>Electricity_LCIA!J340</f>
        <v>6.2592015665796348E-4</v>
      </c>
      <c r="L102" s="28">
        <f>Electricity_LCIA!K340</f>
        <v>4.0817193211488254</v>
      </c>
      <c r="M102" s="28">
        <f>Electricity_LCIA!L340</f>
        <v>1.511060313315927E-5</v>
      </c>
      <c r="N102" s="28">
        <f>Electricity_LCIA!M340</f>
        <v>6.0527368146214094E-2</v>
      </c>
      <c r="O102" s="28">
        <f>Electricity_LCIA!N340</f>
        <v>8.2965451697127948E-2</v>
      </c>
      <c r="P102" s="28">
        <f>Electricity_LCIA!O340</f>
        <v>0.18848866840731071</v>
      </c>
      <c r="Q102" s="28">
        <f>Electricity_LCIA!P340</f>
        <v>11.181185981151437</v>
      </c>
      <c r="R102" s="28">
        <f>Electricity_LCIA!Q340</f>
        <v>1.4707219321148825E-2</v>
      </c>
      <c r="S102" s="28">
        <f>Electricity_LCIA!R340</f>
        <v>0.6010210966057441</v>
      </c>
      <c r="T102" s="28">
        <f>Electricity_LCIA!S340</f>
        <v>0.16615483028720626</v>
      </c>
      <c r="U102" s="28">
        <f>Electricity_LCIA!T340</f>
        <v>2.8719603133159272E-2</v>
      </c>
      <c r="V102" s="28">
        <f>Electricity_LCIA!U340</f>
        <v>3.947087467362925E-4</v>
      </c>
      <c r="W102" s="28">
        <f>Electricity_LCIA!V340</f>
        <v>0.27003814621409922</v>
      </c>
      <c r="X102" s="28">
        <f>Electricity_LCIA!W340</f>
        <v>0.26278455613577023</v>
      </c>
      <c r="Y102" s="28">
        <f>Electricity_LCIA!X340</f>
        <v>2.4689629242819845E-2</v>
      </c>
      <c r="Z102" s="28">
        <f>Electricity_LCIA!Y340</f>
        <v>1.2709248041775458E-4</v>
      </c>
      <c r="AA102" s="28">
        <f>Electricity_LCIA!Z340</f>
        <v>1.1937258485639687E-2</v>
      </c>
      <c r="AB102" s="28">
        <f>Electricity_LCIA!AA340</f>
        <v>-2.3988135770234988E-5</v>
      </c>
      <c r="AC102" s="28">
        <f>Electricity_LCIA!AB340</f>
        <v>1.7504861618798959E-8</v>
      </c>
      <c r="AD102" s="28">
        <f>Electricity_LCIA!AC340</f>
        <v>1.0455579634464753E-3</v>
      </c>
      <c r="AE102" s="28">
        <f>Electricity_LCIA!AD340</f>
        <v>9.5868039164490873E-4</v>
      </c>
      <c r="AF102" s="28">
        <f>Electricity_LCIA!AE340</f>
        <v>1.7790319321148828E-3</v>
      </c>
      <c r="AG102" s="28">
        <f>Electricity_LCIA!AF340</f>
        <v>2.6967976501305483E-5</v>
      </c>
      <c r="AH102" s="28">
        <f>Electricity_LCIA!AG340</f>
        <v>2.6239642297650129E-3</v>
      </c>
      <c r="AI102" s="29">
        <f>Electricity_LCIA!AH340</f>
        <v>2.2512597911227153E-3</v>
      </c>
    </row>
    <row r="103" spans="2:35" x14ac:dyDescent="0.25">
      <c r="B103" s="256"/>
      <c r="C103" s="67" t="str">
        <f>Electricity_LCIA!B345</f>
        <v>3_Hub_10000km</v>
      </c>
      <c r="D103" s="28" t="str">
        <f>Electricity_LCIA!C345</f>
        <v>electricity consumption</v>
      </c>
      <c r="E103" s="28">
        <f>Electricity_LCIA!D345</f>
        <v>1</v>
      </c>
      <c r="F103" s="28" t="str">
        <f>Electricity_LCIA!E345</f>
        <v>kWh</v>
      </c>
      <c r="G103" s="28">
        <f>Electricity_LCIA!F345</f>
        <v>0</v>
      </c>
      <c r="H103" s="28">
        <f>Electricity_LCIA!G345</f>
        <v>0.5419655874673629</v>
      </c>
      <c r="I103" s="28">
        <f>Electricity_LCIA!H345</f>
        <v>0.11486336292428198</v>
      </c>
      <c r="J103" s="28">
        <f>Electricity_LCIA!I345</f>
        <v>6.1839642297650137</v>
      </c>
      <c r="K103" s="28">
        <f>Electricity_LCIA!J345</f>
        <v>5.1650661775456928E-2</v>
      </c>
      <c r="L103" s="28">
        <f>Electricity_LCIA!K345</f>
        <v>3.054172584856397</v>
      </c>
      <c r="M103" s="28">
        <f>Electricity_LCIA!L345</f>
        <v>1.6458639686684073E-5</v>
      </c>
      <c r="N103" s="28">
        <f>Electricity_LCIA!M345</f>
        <v>0.15977555091383813</v>
      </c>
      <c r="O103" s="28">
        <f>Electricity_LCIA!N345</f>
        <v>0.38832202088772849</v>
      </c>
      <c r="P103" s="28">
        <f>Electricity_LCIA!O345</f>
        <v>0.24040020887728458</v>
      </c>
      <c r="Q103" s="28">
        <f>Electricity_LCIA!P345</f>
        <v>10.193165078639687</v>
      </c>
      <c r="R103" s="28">
        <f>Electricity_LCIA!Q345</f>
        <v>1.8219798955613577E-2</v>
      </c>
      <c r="S103" s="28">
        <f>Electricity_LCIA!R345</f>
        <v>0.53659420365535249</v>
      </c>
      <c r="T103" s="28">
        <f>Electricity_LCIA!S345</f>
        <v>0.15486563968668407</v>
      </c>
      <c r="U103" s="28">
        <f>Electricity_LCIA!T345</f>
        <v>2.9189305483028723E-2</v>
      </c>
      <c r="V103" s="28">
        <f>Electricity_LCIA!U345</f>
        <v>4.1904671018276764E-4</v>
      </c>
      <c r="W103" s="28">
        <f>Electricity_LCIA!V345</f>
        <v>0.27983031331592689</v>
      </c>
      <c r="X103" s="28">
        <f>Electricity_LCIA!W345</f>
        <v>0.19626505221932111</v>
      </c>
      <c r="Y103" s="28">
        <f>Electricity_LCIA!X345</f>
        <v>2.5124976501305483E-2</v>
      </c>
      <c r="Z103" s="28">
        <f>Electricity_LCIA!Y345</f>
        <v>1.2668443864229768E-4</v>
      </c>
      <c r="AA103" s="28">
        <f>Electricity_LCIA!Z345</f>
        <v>1.1870908616187991E-2</v>
      </c>
      <c r="AB103" s="28">
        <f>Electricity_LCIA!AA345</f>
        <v>-2.0894663185378589E-5</v>
      </c>
      <c r="AC103" s="28">
        <f>Electricity_LCIA!AB345</f>
        <v>1.7351665796344647E-8</v>
      </c>
      <c r="AD103" s="28">
        <f>Electricity_LCIA!AC345</f>
        <v>1.1836822454308095E-3</v>
      </c>
      <c r="AE103" s="28">
        <f>Electricity_LCIA!AD345</f>
        <v>8.6051151436031335E-4</v>
      </c>
      <c r="AF103" s="28">
        <f>Electricity_LCIA!AE345</f>
        <v>1.4317652480417755E-3</v>
      </c>
      <c r="AG103" s="28">
        <f>Electricity_LCIA!AF345</f>
        <v>2.8570634464751955E-5</v>
      </c>
      <c r="AH103" s="28">
        <f>Electricity_LCIA!AG345</f>
        <v>2.5710911227154049E-3</v>
      </c>
      <c r="AI103" s="29">
        <f>Electricity_LCIA!AH345</f>
        <v>2.5127287206266318E-3</v>
      </c>
    </row>
    <row r="104" spans="2:35" x14ac:dyDescent="0.25">
      <c r="B104" s="256"/>
      <c r="C104" s="67" t="str">
        <f>Electricity_LCIA!B351</f>
        <v>4_Hub_10000km</v>
      </c>
      <c r="D104" s="28" t="str">
        <f>Electricity_LCIA!C351</f>
        <v>electricity consumption</v>
      </c>
      <c r="E104" s="28">
        <f>Electricity_LCIA!D351</f>
        <v>1</v>
      </c>
      <c r="F104" s="28" t="str">
        <f>Electricity_LCIA!E351</f>
        <v>kWh</v>
      </c>
      <c r="G104" s="28">
        <f>Electricity_LCIA!F351</f>
        <v>0</v>
      </c>
      <c r="H104" s="28">
        <f>Electricity_LCIA!G351</f>
        <v>0.57203271540469969</v>
      </c>
      <c r="I104" s="28">
        <f>Electricity_LCIA!H351</f>
        <v>0.10278457180156658</v>
      </c>
      <c r="J104" s="28">
        <f>Electricity_LCIA!I351</f>
        <v>6.4126637075718014</v>
      </c>
      <c r="K104" s="28">
        <f>Electricity_LCIA!J351</f>
        <v>2.8190515456919064E-2</v>
      </c>
      <c r="L104" s="28">
        <f>Electricity_LCIA!K351</f>
        <v>3.5326600522193212</v>
      </c>
      <c r="M104" s="28">
        <f>Electricity_LCIA!L351</f>
        <v>1.5796814621409922E-5</v>
      </c>
      <c r="N104" s="28">
        <f>Electricity_LCIA!M351</f>
        <v>0.11308213315926893</v>
      </c>
      <c r="O104" s="28">
        <f>Electricity_LCIA!N351</f>
        <v>0.24762533420365535</v>
      </c>
      <c r="P104" s="28">
        <f>Electricity_LCIA!O351</f>
        <v>0.21509994778067884</v>
      </c>
      <c r="Q104" s="28">
        <f>Electricity_LCIA!P351</f>
        <v>10.652122059007834</v>
      </c>
      <c r="R104" s="28">
        <f>Electricity_LCIA!Q351</f>
        <v>1.6585550913838117E-2</v>
      </c>
      <c r="S104" s="28">
        <f>Electricity_LCIA!R351</f>
        <v>0.56638302872062662</v>
      </c>
      <c r="T104" s="28">
        <f>Electricity_LCIA!S351</f>
        <v>0.1601117232375979</v>
      </c>
      <c r="U104" s="28">
        <f>Electricity_LCIA!T351</f>
        <v>2.8952375979112273E-2</v>
      </c>
      <c r="V104" s="28">
        <f>Electricity_LCIA!U351</f>
        <v>4.067969190600522E-4</v>
      </c>
      <c r="W104" s="28">
        <f>Electricity_LCIA!V351</f>
        <v>0.27474049608355094</v>
      </c>
      <c r="X104" s="28">
        <f>Electricity_LCIA!W351</f>
        <v>0.22729954308093991</v>
      </c>
      <c r="Y104" s="28">
        <f>Electricity_LCIA!X351</f>
        <v>2.4903673629242819E-2</v>
      </c>
      <c r="Z104" s="28">
        <f>Electricity_LCIA!Y351</f>
        <v>1.2667699738903393E-4</v>
      </c>
      <c r="AA104" s="28">
        <f>Electricity_LCIA!Z351</f>
        <v>1.1893976501305484E-2</v>
      </c>
      <c r="AB104" s="28">
        <f>Electricity_LCIA!AA351</f>
        <v>-2.2322788511749344E-5</v>
      </c>
      <c r="AC104" s="28">
        <f>Electricity_LCIA!AB351</f>
        <v>1.7435007832898173E-8</v>
      </c>
      <c r="AD104" s="28">
        <f>Electricity_LCIA!AC351</f>
        <v>1.1220835509138381E-3</v>
      </c>
      <c r="AE104" s="28">
        <f>Electricity_LCIA!AD351</f>
        <v>9.0626480417754568E-4</v>
      </c>
      <c r="AF104" s="28">
        <f>Electricity_LCIA!AE351</f>
        <v>1.5935827415143604E-3</v>
      </c>
      <c r="AG104" s="28">
        <f>Electricity_LCIA!AF351</f>
        <v>2.7830676240208873E-5</v>
      </c>
      <c r="AH104" s="28">
        <f>Electricity_LCIA!AG351</f>
        <v>2.5936827676240207E-3</v>
      </c>
      <c r="AI104" s="29">
        <f>Electricity_LCIA!AH351</f>
        <v>2.3923143603133156E-3</v>
      </c>
    </row>
    <row r="105" spans="2:35" x14ac:dyDescent="0.25">
      <c r="B105" s="256"/>
      <c r="C105" s="67" t="str">
        <f>Electricity_LCIA!B358</f>
        <v>5_Hub_10000km</v>
      </c>
      <c r="D105" s="28" t="str">
        <f>Electricity_LCIA!C358</f>
        <v>electricity consumption</v>
      </c>
      <c r="E105" s="28">
        <f>Electricity_LCIA!D358</f>
        <v>1</v>
      </c>
      <c r="F105" s="28" t="str">
        <f>Electricity_LCIA!E358</f>
        <v>kWh</v>
      </c>
      <c r="G105" s="28">
        <f>Electricity_LCIA!F358</f>
        <v>0</v>
      </c>
      <c r="H105" s="28">
        <f>Electricity_LCIA!G358</f>
        <v>0.55515292428198437</v>
      </c>
      <c r="I105" s="28">
        <f>Electricity_LCIA!H358</f>
        <v>0.10956564751958225</v>
      </c>
      <c r="J105" s="28">
        <f>Electricity_LCIA!I358</f>
        <v>6.2842710182767627</v>
      </c>
      <c r="K105" s="28">
        <f>Electricity_LCIA!J358</f>
        <v>4.1361123916449083E-2</v>
      </c>
      <c r="L105" s="28">
        <f>Electricity_LCIA!K358</f>
        <v>3.264035509138381</v>
      </c>
      <c r="M105" s="28">
        <f>Electricity_LCIA!L358</f>
        <v>1.6168365535248041E-5</v>
      </c>
      <c r="N105" s="28">
        <f>Electricity_LCIA!M358</f>
        <v>0.13929598172323762</v>
      </c>
      <c r="O105" s="28">
        <f>Electricity_LCIA!N358</f>
        <v>0.32661294778067884</v>
      </c>
      <c r="P105" s="28">
        <f>Electricity_LCIA!O358</f>
        <v>0.22930360313315923</v>
      </c>
      <c r="Q105" s="28">
        <f>Electricity_LCIA!P358</f>
        <v>10.394461999853787</v>
      </c>
      <c r="R105" s="28">
        <f>Electricity_LCIA!Q358</f>
        <v>1.7503023498694516E-2</v>
      </c>
      <c r="S105" s="28">
        <f>Electricity_LCIA!R358</f>
        <v>0.54965947780678848</v>
      </c>
      <c r="T105" s="28">
        <f>Electricity_LCIA!S358</f>
        <v>0.15716655352480416</v>
      </c>
      <c r="U105" s="28">
        <f>Electricity_LCIA!T358</f>
        <v>2.908538903394256E-2</v>
      </c>
      <c r="V105" s="28">
        <f>Electricity_LCIA!U358</f>
        <v>4.1367399477806784E-4</v>
      </c>
      <c r="W105" s="28">
        <f>Electricity_LCIA!V358</f>
        <v>0.27759793733681465</v>
      </c>
      <c r="X105" s="28">
        <f>Electricity_LCIA!W358</f>
        <v>0.20987667101827676</v>
      </c>
      <c r="Y105" s="28">
        <f>Electricity_LCIA!X358</f>
        <v>2.5027913838120107E-2</v>
      </c>
      <c r="Z105" s="28">
        <f>Electricity_LCIA!Y358</f>
        <v>1.2668117493472587E-4</v>
      </c>
      <c r="AA105" s="28">
        <f>Electricity_LCIA!Z358</f>
        <v>1.1881026109660575E-2</v>
      </c>
      <c r="AB105" s="28">
        <f>Electricity_LCIA!AA358</f>
        <v>-2.1521033942558744E-5</v>
      </c>
      <c r="AC105" s="28">
        <f>Electricity_LCIA!AB358</f>
        <v>1.7388219321148827E-8</v>
      </c>
      <c r="AD105" s="28">
        <f>Electricity_LCIA!AC358</f>
        <v>1.156665274151436E-3</v>
      </c>
      <c r="AE105" s="28">
        <f>Electricity_LCIA!AD358</f>
        <v>8.805787467362924E-4</v>
      </c>
      <c r="AF105" s="28">
        <f>Electricity_LCIA!AE358</f>
        <v>1.5027378328981724E-3</v>
      </c>
      <c r="AG105" s="28">
        <f>Electricity_LCIA!AF358</f>
        <v>2.8246091383812007E-5</v>
      </c>
      <c r="AH105" s="28">
        <f>Electricity_LCIA!AG358</f>
        <v>2.5809997389033943E-3</v>
      </c>
      <c r="AI105" s="29">
        <f>Electricity_LCIA!AH358</f>
        <v>2.459915404699739E-3</v>
      </c>
    </row>
    <row r="106" spans="2:35" x14ac:dyDescent="0.25">
      <c r="B106" s="257"/>
      <c r="C106" s="68" t="str">
        <f>Electricity_LCIA!B366</f>
        <v>6_Hub_10000km</v>
      </c>
      <c r="D106" s="30" t="str">
        <f>Electricity_LCIA!C366</f>
        <v>electricity consumption</v>
      </c>
      <c r="E106" s="30">
        <f>Electricity_LCIA!D366</f>
        <v>1</v>
      </c>
      <c r="F106" s="30" t="str">
        <f>Electricity_LCIA!E366</f>
        <v>kWh</v>
      </c>
      <c r="G106" s="30">
        <f>Electricity_LCIA!F366</f>
        <v>0</v>
      </c>
      <c r="H106" s="30">
        <f>Electricity_LCIA!G366</f>
        <v>0.55807443864229767</v>
      </c>
      <c r="I106" s="30">
        <f>Electricity_LCIA!H366</f>
        <v>0.14502702610966056</v>
      </c>
      <c r="J106" s="30">
        <f>Electricity_LCIA!I366</f>
        <v>6.4028618798955614</v>
      </c>
      <c r="K106" s="30">
        <f>Electricity_LCIA!J366</f>
        <v>3.9308293263707578E-2</v>
      </c>
      <c r="L106" s="30">
        <f>Electricity_LCIA!K366</f>
        <v>3.234064490861619</v>
      </c>
      <c r="M106" s="30">
        <f>Electricity_LCIA!L366</f>
        <v>1.7778104438642299E-5</v>
      </c>
      <c r="N106" s="30">
        <f>Electricity_LCIA!M366</f>
        <v>0.14010678328981724</v>
      </c>
      <c r="O106" s="30">
        <f>Electricity_LCIA!N366</f>
        <v>0.32612060835509138</v>
      </c>
      <c r="P106" s="30">
        <f>Electricity_LCIA!O366</f>
        <v>0.21511478851174934</v>
      </c>
      <c r="Q106" s="30">
        <f>Electricity_LCIA!P366</f>
        <v>10.502621648391644</v>
      </c>
      <c r="R106" s="30">
        <f>Electricity_LCIA!Q366</f>
        <v>2.2304780678851176E-2</v>
      </c>
      <c r="S106" s="30">
        <f>Electricity_LCIA!R366</f>
        <v>0.55251279373368145</v>
      </c>
      <c r="T106" s="30">
        <f>Electricity_LCIA!S366</f>
        <v>0.16057835509138382</v>
      </c>
      <c r="U106" s="30">
        <f>Electricity_LCIA!T366</f>
        <v>2.9256590078328981E-2</v>
      </c>
      <c r="V106" s="30">
        <f>Electricity_LCIA!U366</f>
        <v>4.2270838120104436E-4</v>
      </c>
      <c r="W106" s="30">
        <f>Electricity_LCIA!V366</f>
        <v>0.2829491644908616</v>
      </c>
      <c r="X106" s="30">
        <f>Electricity_LCIA!W366</f>
        <v>0.20792962140992163</v>
      </c>
      <c r="Y106" s="30">
        <f>Electricity_LCIA!X366</f>
        <v>2.5155352480417753E-2</v>
      </c>
      <c r="Z106" s="30">
        <f>Electricity_LCIA!Y366</f>
        <v>1.2840164490861619E-4</v>
      </c>
      <c r="AA106" s="30">
        <f>Electricity_LCIA!Z366</f>
        <v>1.1870924281984335E-2</v>
      </c>
      <c r="AB106" s="30">
        <f>Electricity_LCIA!AA366</f>
        <v>-2.1383368146214101E-5</v>
      </c>
      <c r="AC106" s="30">
        <f>Electricity_LCIA!AB366</f>
        <v>1.8177725848563967E-8</v>
      </c>
      <c r="AD106" s="30">
        <f>Electricity_LCIA!AC366</f>
        <v>1.1827540469973889E-3</v>
      </c>
      <c r="AE106" s="30">
        <f>Electricity_LCIA!AD366</f>
        <v>8.7289798955613579E-4</v>
      </c>
      <c r="AF106" s="30">
        <f>Electricity_LCIA!AE366</f>
        <v>1.4731127676240212E-3</v>
      </c>
      <c r="AG106" s="30">
        <f>Electricity_LCIA!AF366</f>
        <v>2.9169060052219323E-5</v>
      </c>
      <c r="AH106" s="30">
        <f>Electricity_LCIA!AG366</f>
        <v>2.5840817232375981E-3</v>
      </c>
      <c r="AI106" s="31">
        <f>Electricity_LCIA!AH366</f>
        <v>2.4562462140992167E-3</v>
      </c>
    </row>
    <row r="108" spans="2:35" x14ac:dyDescent="0.25">
      <c r="B108" s="255" t="s">
        <v>980</v>
      </c>
      <c r="C108" s="23" t="str">
        <f>Electricity_LCIA!B32</f>
        <v>1_Hub_10%IP</v>
      </c>
      <c r="D108" s="66" t="s">
        <v>539</v>
      </c>
      <c r="E108" s="66">
        <v>1</v>
      </c>
      <c r="F108" s="66" t="s">
        <v>357</v>
      </c>
      <c r="G108" s="66" t="str">
        <f>C108</f>
        <v>1_Hub_10%IP</v>
      </c>
      <c r="H108" s="66">
        <f>'Preparation and execution'!$D$38*H53+SUMPRODUCT($E$35:$E$37,H$35:H$37)/'1_hub_LCIA'!$C$20</f>
        <v>18.047919106597924</v>
      </c>
      <c r="I108" s="66">
        <f>'Preparation and execution'!$D$38*I53+SUMPRODUCT($E$35:$E$37,I$35:I$37)/'1_hub_LCIA'!$C$20</f>
        <v>2.3740055380684626</v>
      </c>
      <c r="J108" s="66">
        <f>'Preparation and execution'!$D$38*J53+SUMPRODUCT($E$35:$E$37,J$35:J$37)/'1_hub_LCIA'!$C$20</f>
        <v>193.81187331446642</v>
      </c>
      <c r="K108" s="66">
        <f>'Preparation and execution'!$D$38*K53+SUMPRODUCT($E$35:$E$37,K$35:K$37)/'1_hub_LCIA'!$C$20</f>
        <v>1.5192667218147778E-2</v>
      </c>
      <c r="L108" s="66">
        <f>'Preparation and execution'!$D$38*L53+SUMPRODUCT($E$35:$E$37,L$35:L$37)/'1_hub_LCIA'!$C$20</f>
        <v>123.75300646703548</v>
      </c>
      <c r="M108" s="66">
        <f>'Preparation and execution'!$D$38*M53+SUMPRODUCT($E$35:$E$37,M$35:M$37)/'1_hub_LCIA'!$C$20</f>
        <v>4.5650084597604186E-4</v>
      </c>
      <c r="N108" s="66">
        <f>'Preparation and execution'!$D$38*N53+SUMPRODUCT($E$35:$E$37,N$35:N$37)/'1_hub_LCIA'!$C$20</f>
        <v>0.43100107947527194</v>
      </c>
      <c r="O108" s="66">
        <f>'Preparation and execution'!$D$38*O53+SUMPRODUCT($E$35:$E$37,O$35:O$37)/'1_hub_LCIA'!$C$20</f>
        <v>2.05237493255148</v>
      </c>
      <c r="P108" s="66">
        <f>'Preparation and execution'!$D$38*P53+SUMPRODUCT($E$35:$E$37,P$35:P$37)/'1_hub_LCIA'!$C$20</f>
        <v>3.6542106559412506</v>
      </c>
      <c r="Q108" s="66">
        <f>'Preparation and execution'!$D$38*Q53+SUMPRODUCT($E$35:$E$37,Q$35:Q$37)/'1_hub_LCIA'!$C$20</f>
        <v>326.09212115560251</v>
      </c>
      <c r="R108" s="66">
        <f>'Preparation and execution'!$D$38*R53+SUMPRODUCT($E$35:$E$37,R$35:R$37)/'1_hub_LCIA'!$C$20</f>
        <v>0.40118879984589012</v>
      </c>
      <c r="S108" s="66">
        <f>'Preparation and execution'!$D$38*S53+SUMPRODUCT($E$35:$E$37,S$35:S$37)/'1_hub_LCIA'!$C$20</f>
        <v>17.806806017277317</v>
      </c>
      <c r="T108" s="66">
        <f>'Preparation and execution'!$D$38*T53+SUMPRODUCT($E$35:$E$37,T$35:T$37)/'1_hub_LCIA'!$C$20</f>
        <v>4.8402559271596344</v>
      </c>
      <c r="U108" s="66">
        <f>'Preparation and execution'!$D$38*U53+SUMPRODUCT($E$35:$E$37,U$35:U$37)/'1_hub_LCIA'!$C$20</f>
        <v>0.82808797684774293</v>
      </c>
      <c r="V108" s="66">
        <f>'Preparation and execution'!$D$38*V53+SUMPRODUCT($E$35:$E$37,V$35:V$37)/'1_hub_LCIA'!$C$20</f>
        <v>1.0104634721016725E-2</v>
      </c>
      <c r="W108" s="66">
        <f>'Preparation and execution'!$D$38*W53+SUMPRODUCT($E$35:$E$37,W$35:W$37)/'1_hub_LCIA'!$C$20</f>
        <v>7.1370652279133679</v>
      </c>
      <c r="X108" s="66">
        <f>'Preparation and execution'!$D$38*X53+SUMPRODUCT($E$35:$E$37,X$35:X$37)/'1_hub_LCIA'!$C$20</f>
        <v>8.0432962895113427</v>
      </c>
      <c r="Y108" s="66">
        <f>'Preparation and execution'!$D$38*Y53+SUMPRODUCT($E$35:$E$37,Y$35:Y$37)/'1_hub_LCIA'!$C$20</f>
        <v>0.70852096510009532</v>
      </c>
      <c r="Z108" s="66">
        <f>'Preparation and execution'!$D$38*Z53+SUMPRODUCT($E$35:$E$37,Z$35:Z$37)/'1_hub_LCIA'!$C$20</f>
        <v>6.9134820988658065E-3</v>
      </c>
      <c r="AA108" s="66">
        <f>'Preparation and execution'!$D$38*AA53+SUMPRODUCT($E$35:$E$37,AA$35:AA$37)/'1_hub_LCIA'!$C$20</f>
        <v>0.33752786917572319</v>
      </c>
      <c r="AB108" s="66">
        <f>'Preparation and execution'!$D$38*AB53+SUMPRODUCT($E$35:$E$37,AB$35:AB$37)/'1_hub_LCIA'!$C$20</f>
        <v>-7.0392716379562726E-4</v>
      </c>
      <c r="AC108" s="66">
        <f>'Preparation and execution'!$D$38*AC53+SUMPRODUCT($E$35:$E$37,AC$35:AC$37)/'1_hub_LCIA'!$C$20</f>
        <v>5.3659412997864774E-7</v>
      </c>
      <c r="AD108" s="66">
        <f>'Preparation and execution'!$D$38*AD53+SUMPRODUCT($E$35:$E$37,AD$35:AD$37)/'1_hub_LCIA'!$C$20</f>
        <v>3.2468133079355185E-2</v>
      </c>
      <c r="AE108" s="66">
        <f>'Preparation and execution'!$D$38*AE53+SUMPRODUCT($E$35:$E$37,AE$35:AE$37)/'1_hub_LCIA'!$C$20</f>
        <v>2.9966454519424909E-2</v>
      </c>
      <c r="AF108" s="66">
        <f>'Preparation and execution'!$D$38*AF53+SUMPRODUCT($E$35:$E$37,AF$35:AF$37)/'1_hub_LCIA'!$C$20</f>
        <v>5.4107648417593551E-2</v>
      </c>
      <c r="AG108" s="66">
        <f>'Preparation and execution'!$D$38*AG53+SUMPRODUCT($E$35:$E$37,AG$35:AG$37)/'1_hub_LCIA'!$C$20</f>
        <v>8.0483337776345487E-4</v>
      </c>
      <c r="AH108" s="66">
        <f>'Preparation and execution'!$D$38*AH53+SUMPRODUCT($E$35:$E$37,AH$35:AH$37)/'1_hub_LCIA'!$C$20</f>
        <v>7.7902451535594247E-2</v>
      </c>
      <c r="AI108" s="116">
        <f>'Preparation and execution'!$D$38*AI53+SUMPRODUCT($E$35:$E$37,AI$35:AI$37)/'1_hub_LCIA'!$C$20</f>
        <v>7.4072188729550653E-2</v>
      </c>
    </row>
    <row r="109" spans="2:35" x14ac:dyDescent="0.25">
      <c r="B109" s="256"/>
      <c r="C109" s="67" t="str">
        <f>Electricity_LCIA!B35</f>
        <v>1_Hub_30%IP</v>
      </c>
      <c r="D109" s="28" t="s">
        <v>539</v>
      </c>
      <c r="E109" s="28">
        <v>1</v>
      </c>
      <c r="F109" s="28" t="s">
        <v>357</v>
      </c>
      <c r="G109" s="28" t="str">
        <f t="shared" ref="G109:G161" si="47">C109</f>
        <v>1_Hub_30%IP</v>
      </c>
      <c r="H109" s="28">
        <f>'Preparation and execution'!$D$38*H54+SUMPRODUCT($E$35:$E$37,H$35:H$37)/'1_hub_LCIA'!$C$20</f>
        <v>18.047919106597924</v>
      </c>
      <c r="I109" s="28">
        <f>'Preparation and execution'!$D$38*I54+SUMPRODUCT($E$35:$E$37,I$35:I$37)/'1_hub_LCIA'!$C$20</f>
        <v>2.3740055380684626</v>
      </c>
      <c r="J109" s="28">
        <f>'Preparation and execution'!$D$38*J54+SUMPRODUCT($E$35:$E$37,J$35:J$37)/'1_hub_LCIA'!$C$20</f>
        <v>193.81187331446642</v>
      </c>
      <c r="K109" s="28">
        <f>'Preparation and execution'!$D$38*K54+SUMPRODUCT($E$35:$E$37,K$35:K$37)/'1_hub_LCIA'!$C$20</f>
        <v>1.5192667218147778E-2</v>
      </c>
      <c r="L109" s="28">
        <f>'Preparation and execution'!$D$38*L54+SUMPRODUCT($E$35:$E$37,L$35:L$37)/'1_hub_LCIA'!$C$20</f>
        <v>123.75300646703548</v>
      </c>
      <c r="M109" s="28">
        <f>'Preparation and execution'!$D$38*M54+SUMPRODUCT($E$35:$E$37,M$35:M$37)/'1_hub_LCIA'!$C$20</f>
        <v>4.5650084597604186E-4</v>
      </c>
      <c r="N109" s="28">
        <f>'Preparation and execution'!$D$38*N54+SUMPRODUCT($E$35:$E$37,N$35:N$37)/'1_hub_LCIA'!$C$20</f>
        <v>0.43100107947527194</v>
      </c>
      <c r="O109" s="28">
        <f>'Preparation and execution'!$D$38*O54+SUMPRODUCT($E$35:$E$37,O$35:O$37)/'1_hub_LCIA'!$C$20</f>
        <v>2.05237493255148</v>
      </c>
      <c r="P109" s="28">
        <f>'Preparation and execution'!$D$38*P54+SUMPRODUCT($E$35:$E$37,P$35:P$37)/'1_hub_LCIA'!$C$20</f>
        <v>3.6542106559412506</v>
      </c>
      <c r="Q109" s="28">
        <f>'Preparation and execution'!$D$38*Q54+SUMPRODUCT($E$35:$E$37,Q$35:Q$37)/'1_hub_LCIA'!$C$20</f>
        <v>326.09212115560251</v>
      </c>
      <c r="R109" s="28">
        <f>'Preparation and execution'!$D$38*R54+SUMPRODUCT($E$35:$E$37,R$35:R$37)/'1_hub_LCIA'!$C$20</f>
        <v>0.40118879984589012</v>
      </c>
      <c r="S109" s="28">
        <f>'Preparation and execution'!$D$38*S54+SUMPRODUCT($E$35:$E$37,S$35:S$37)/'1_hub_LCIA'!$C$20</f>
        <v>17.806806017277317</v>
      </c>
      <c r="T109" s="28">
        <f>'Preparation and execution'!$D$38*T54+SUMPRODUCT($E$35:$E$37,T$35:T$37)/'1_hub_LCIA'!$C$20</f>
        <v>4.8402559271596344</v>
      </c>
      <c r="U109" s="28">
        <f>'Preparation and execution'!$D$38*U54+SUMPRODUCT($E$35:$E$37,U$35:U$37)/'1_hub_LCIA'!$C$20</f>
        <v>0.82808797684774293</v>
      </c>
      <c r="V109" s="28">
        <f>'Preparation and execution'!$D$38*V54+SUMPRODUCT($E$35:$E$37,V$35:V$37)/'1_hub_LCIA'!$C$20</f>
        <v>1.0104634721016725E-2</v>
      </c>
      <c r="W109" s="28">
        <f>'Preparation and execution'!$D$38*W54+SUMPRODUCT($E$35:$E$37,W$35:W$37)/'1_hub_LCIA'!$C$20</f>
        <v>7.1370652279133679</v>
      </c>
      <c r="X109" s="28">
        <f>'Preparation and execution'!$D$38*X54+SUMPRODUCT($E$35:$E$37,X$35:X$37)/'1_hub_LCIA'!$C$20</f>
        <v>8.0432962895113427</v>
      </c>
      <c r="Y109" s="28">
        <f>'Preparation and execution'!$D$38*Y54+SUMPRODUCT($E$35:$E$37,Y$35:Y$37)/'1_hub_LCIA'!$C$20</f>
        <v>0.70852096510009532</v>
      </c>
      <c r="Z109" s="28">
        <f>'Preparation and execution'!$D$38*Z54+SUMPRODUCT($E$35:$E$37,Z$35:Z$37)/'1_hub_LCIA'!$C$20</f>
        <v>6.9134820988658065E-3</v>
      </c>
      <c r="AA109" s="28">
        <f>'Preparation and execution'!$D$38*AA54+SUMPRODUCT($E$35:$E$37,AA$35:AA$37)/'1_hub_LCIA'!$C$20</f>
        <v>0.33752786917572319</v>
      </c>
      <c r="AB109" s="28">
        <f>'Preparation and execution'!$D$38*AB54+SUMPRODUCT($E$35:$E$37,AB$35:AB$37)/'1_hub_LCIA'!$C$20</f>
        <v>-7.0392716379562726E-4</v>
      </c>
      <c r="AC109" s="28">
        <f>'Preparation and execution'!$D$38*AC54+SUMPRODUCT($E$35:$E$37,AC$35:AC$37)/'1_hub_LCIA'!$C$20</f>
        <v>5.3659412997864774E-7</v>
      </c>
      <c r="AD109" s="28">
        <f>'Preparation and execution'!$D$38*AD54+SUMPRODUCT($E$35:$E$37,AD$35:AD$37)/'1_hub_LCIA'!$C$20</f>
        <v>3.2468133079355185E-2</v>
      </c>
      <c r="AE109" s="28">
        <f>'Preparation and execution'!$D$38*AE54+SUMPRODUCT($E$35:$E$37,AE$35:AE$37)/'1_hub_LCIA'!$C$20</f>
        <v>2.9966454519424909E-2</v>
      </c>
      <c r="AF109" s="28">
        <f>'Preparation and execution'!$D$38*AF54+SUMPRODUCT($E$35:$E$37,AF$35:AF$37)/'1_hub_LCIA'!$C$20</f>
        <v>5.4107648417593551E-2</v>
      </c>
      <c r="AG109" s="28">
        <f>'Preparation and execution'!$D$38*AG54+SUMPRODUCT($E$35:$E$37,AG$35:AG$37)/'1_hub_LCIA'!$C$20</f>
        <v>8.0483337776345487E-4</v>
      </c>
      <c r="AH109" s="28">
        <f>'Preparation and execution'!$D$38*AH54+SUMPRODUCT($E$35:$E$37,AH$35:AH$37)/'1_hub_LCIA'!$C$20</f>
        <v>7.7902451535594247E-2</v>
      </c>
      <c r="AI109" s="29">
        <f>'Preparation and execution'!$D$38*AI54+SUMPRODUCT($E$35:$E$37,AI$35:AI$37)/'1_hub_LCIA'!$C$20</f>
        <v>7.4072188729550653E-2</v>
      </c>
    </row>
    <row r="110" spans="2:35" x14ac:dyDescent="0.25">
      <c r="B110" s="256"/>
      <c r="C110" s="67" t="str">
        <f>Electricity_LCIA!B38</f>
        <v>1_Hub_50%IP</v>
      </c>
      <c r="D110" s="28" t="s">
        <v>539</v>
      </c>
      <c r="E110" s="28">
        <v>1</v>
      </c>
      <c r="F110" s="28" t="s">
        <v>357</v>
      </c>
      <c r="G110" s="28" t="str">
        <f t="shared" si="47"/>
        <v>1_Hub_50%IP</v>
      </c>
      <c r="H110" s="28">
        <f>'Preparation and execution'!$D$38*H55+SUMPRODUCT($E$35:$E$37,H$35:H$37)/'1_hub_LCIA'!$C$20</f>
        <v>18.047919106597924</v>
      </c>
      <c r="I110" s="28">
        <f>'Preparation and execution'!$D$38*I55+SUMPRODUCT($E$35:$E$37,I$35:I$37)/'1_hub_LCIA'!$C$20</f>
        <v>2.3740055380684626</v>
      </c>
      <c r="J110" s="28">
        <f>'Preparation and execution'!$D$38*J55+SUMPRODUCT($E$35:$E$37,J$35:J$37)/'1_hub_LCIA'!$C$20</f>
        <v>193.81187331446642</v>
      </c>
      <c r="K110" s="28">
        <f>'Preparation and execution'!$D$38*K55+SUMPRODUCT($E$35:$E$37,K$35:K$37)/'1_hub_LCIA'!$C$20</f>
        <v>1.5192667218147778E-2</v>
      </c>
      <c r="L110" s="28">
        <f>'Preparation and execution'!$D$38*L55+SUMPRODUCT($E$35:$E$37,L$35:L$37)/'1_hub_LCIA'!$C$20</f>
        <v>123.75300646703548</v>
      </c>
      <c r="M110" s="28">
        <f>'Preparation and execution'!$D$38*M55+SUMPRODUCT($E$35:$E$37,M$35:M$37)/'1_hub_LCIA'!$C$20</f>
        <v>4.5650084597604186E-4</v>
      </c>
      <c r="N110" s="28">
        <f>'Preparation and execution'!$D$38*N55+SUMPRODUCT($E$35:$E$37,N$35:N$37)/'1_hub_LCIA'!$C$20</f>
        <v>0.43100107947527194</v>
      </c>
      <c r="O110" s="28">
        <f>'Preparation and execution'!$D$38*O55+SUMPRODUCT($E$35:$E$37,O$35:O$37)/'1_hub_LCIA'!$C$20</f>
        <v>2.05237493255148</v>
      </c>
      <c r="P110" s="28">
        <f>'Preparation and execution'!$D$38*P55+SUMPRODUCT($E$35:$E$37,P$35:P$37)/'1_hub_LCIA'!$C$20</f>
        <v>3.6542106559412506</v>
      </c>
      <c r="Q110" s="28">
        <f>'Preparation and execution'!$D$38*Q55+SUMPRODUCT($E$35:$E$37,Q$35:Q$37)/'1_hub_LCIA'!$C$20</f>
        <v>326.09212115560251</v>
      </c>
      <c r="R110" s="28">
        <f>'Preparation and execution'!$D$38*R55+SUMPRODUCT($E$35:$E$37,R$35:R$37)/'1_hub_LCIA'!$C$20</f>
        <v>0.40118879984589012</v>
      </c>
      <c r="S110" s="28">
        <f>'Preparation and execution'!$D$38*S55+SUMPRODUCT($E$35:$E$37,S$35:S$37)/'1_hub_LCIA'!$C$20</f>
        <v>17.806806017277317</v>
      </c>
      <c r="T110" s="28">
        <f>'Preparation and execution'!$D$38*T55+SUMPRODUCT($E$35:$E$37,T$35:T$37)/'1_hub_LCIA'!$C$20</f>
        <v>4.8402559271596344</v>
      </c>
      <c r="U110" s="28">
        <f>'Preparation and execution'!$D$38*U55+SUMPRODUCT($E$35:$E$37,U$35:U$37)/'1_hub_LCIA'!$C$20</f>
        <v>0.82808797684774293</v>
      </c>
      <c r="V110" s="28">
        <f>'Preparation and execution'!$D$38*V55+SUMPRODUCT($E$35:$E$37,V$35:V$37)/'1_hub_LCIA'!$C$20</f>
        <v>1.0104634721016725E-2</v>
      </c>
      <c r="W110" s="28">
        <f>'Preparation and execution'!$D$38*W55+SUMPRODUCT($E$35:$E$37,W$35:W$37)/'1_hub_LCIA'!$C$20</f>
        <v>7.1370652279133679</v>
      </c>
      <c r="X110" s="28">
        <f>'Preparation and execution'!$D$38*X55+SUMPRODUCT($E$35:$E$37,X$35:X$37)/'1_hub_LCIA'!$C$20</f>
        <v>8.0432962895113427</v>
      </c>
      <c r="Y110" s="28">
        <f>'Preparation and execution'!$D$38*Y55+SUMPRODUCT($E$35:$E$37,Y$35:Y$37)/'1_hub_LCIA'!$C$20</f>
        <v>0.70852096510009532</v>
      </c>
      <c r="Z110" s="28">
        <f>'Preparation and execution'!$D$38*Z55+SUMPRODUCT($E$35:$E$37,Z$35:Z$37)/'1_hub_LCIA'!$C$20</f>
        <v>6.9134820988658065E-3</v>
      </c>
      <c r="AA110" s="28">
        <f>'Preparation and execution'!$D$38*AA55+SUMPRODUCT($E$35:$E$37,AA$35:AA$37)/'1_hub_LCIA'!$C$20</f>
        <v>0.33752786917572319</v>
      </c>
      <c r="AB110" s="28">
        <f>'Preparation and execution'!$D$38*AB55+SUMPRODUCT($E$35:$E$37,AB$35:AB$37)/'1_hub_LCIA'!$C$20</f>
        <v>-7.0392716379562726E-4</v>
      </c>
      <c r="AC110" s="28">
        <f>'Preparation and execution'!$D$38*AC55+SUMPRODUCT($E$35:$E$37,AC$35:AC$37)/'1_hub_LCIA'!$C$20</f>
        <v>5.3659412997864774E-7</v>
      </c>
      <c r="AD110" s="28">
        <f>'Preparation and execution'!$D$38*AD55+SUMPRODUCT($E$35:$E$37,AD$35:AD$37)/'1_hub_LCIA'!$C$20</f>
        <v>3.2468133079355185E-2</v>
      </c>
      <c r="AE110" s="28">
        <f>'Preparation and execution'!$D$38*AE55+SUMPRODUCT($E$35:$E$37,AE$35:AE$37)/'1_hub_LCIA'!$C$20</f>
        <v>2.9966454519424909E-2</v>
      </c>
      <c r="AF110" s="28">
        <f>'Preparation and execution'!$D$38*AF55+SUMPRODUCT($E$35:$E$37,AF$35:AF$37)/'1_hub_LCIA'!$C$20</f>
        <v>5.4107648417593551E-2</v>
      </c>
      <c r="AG110" s="28">
        <f>'Preparation and execution'!$D$38*AG55+SUMPRODUCT($E$35:$E$37,AG$35:AG$37)/'1_hub_LCIA'!$C$20</f>
        <v>8.0483337776345487E-4</v>
      </c>
      <c r="AH110" s="28">
        <f>'Preparation and execution'!$D$38*AH55+SUMPRODUCT($E$35:$E$37,AH$35:AH$37)/'1_hub_LCIA'!$C$20</f>
        <v>7.7902451535594247E-2</v>
      </c>
      <c r="AI110" s="29">
        <f>'Preparation and execution'!$D$38*AI55+SUMPRODUCT($E$35:$E$37,AI$35:AI$37)/'1_hub_LCIA'!$C$20</f>
        <v>7.4072188729550653E-2</v>
      </c>
    </row>
    <row r="111" spans="2:35" x14ac:dyDescent="0.25">
      <c r="B111" s="256"/>
      <c r="C111" s="67" t="str">
        <f>Electricity_LCIA!B41</f>
        <v>1_Hub_70%IP</v>
      </c>
      <c r="D111" s="28" t="s">
        <v>539</v>
      </c>
      <c r="E111" s="28">
        <v>1</v>
      </c>
      <c r="F111" s="28" t="s">
        <v>357</v>
      </c>
      <c r="G111" s="28" t="str">
        <f t="shared" si="47"/>
        <v>1_Hub_70%IP</v>
      </c>
      <c r="H111" s="28">
        <f>'Preparation and execution'!$D$38*H56+SUMPRODUCT($E$35:$E$37,H$35:H$37)/'1_hub_LCIA'!$C$20</f>
        <v>18.047919106597924</v>
      </c>
      <c r="I111" s="28">
        <f>'Preparation and execution'!$D$38*I56+SUMPRODUCT($E$35:$E$37,I$35:I$37)/'1_hub_LCIA'!$C$20</f>
        <v>2.3740055380684626</v>
      </c>
      <c r="J111" s="28">
        <f>'Preparation and execution'!$D$38*J56+SUMPRODUCT($E$35:$E$37,J$35:J$37)/'1_hub_LCIA'!$C$20</f>
        <v>193.81187331446642</v>
      </c>
      <c r="K111" s="28">
        <f>'Preparation and execution'!$D$38*K56+SUMPRODUCT($E$35:$E$37,K$35:K$37)/'1_hub_LCIA'!$C$20</f>
        <v>1.5192667218147778E-2</v>
      </c>
      <c r="L111" s="28">
        <f>'Preparation and execution'!$D$38*L56+SUMPRODUCT($E$35:$E$37,L$35:L$37)/'1_hub_LCIA'!$C$20</f>
        <v>123.75300646703548</v>
      </c>
      <c r="M111" s="28">
        <f>'Preparation and execution'!$D$38*M56+SUMPRODUCT($E$35:$E$37,M$35:M$37)/'1_hub_LCIA'!$C$20</f>
        <v>4.5650084597604186E-4</v>
      </c>
      <c r="N111" s="28">
        <f>'Preparation and execution'!$D$38*N56+SUMPRODUCT($E$35:$E$37,N$35:N$37)/'1_hub_LCIA'!$C$20</f>
        <v>0.43100107947527194</v>
      </c>
      <c r="O111" s="28">
        <f>'Preparation and execution'!$D$38*O56+SUMPRODUCT($E$35:$E$37,O$35:O$37)/'1_hub_LCIA'!$C$20</f>
        <v>2.05237493255148</v>
      </c>
      <c r="P111" s="28">
        <f>'Preparation and execution'!$D$38*P56+SUMPRODUCT($E$35:$E$37,P$35:P$37)/'1_hub_LCIA'!$C$20</f>
        <v>3.6542106559412506</v>
      </c>
      <c r="Q111" s="28">
        <f>'Preparation and execution'!$D$38*Q56+SUMPRODUCT($E$35:$E$37,Q$35:Q$37)/'1_hub_LCIA'!$C$20</f>
        <v>326.09212115560251</v>
      </c>
      <c r="R111" s="28">
        <f>'Preparation and execution'!$D$38*R56+SUMPRODUCT($E$35:$E$37,R$35:R$37)/'1_hub_LCIA'!$C$20</f>
        <v>0.40118879984589012</v>
      </c>
      <c r="S111" s="28">
        <f>'Preparation and execution'!$D$38*S56+SUMPRODUCT($E$35:$E$37,S$35:S$37)/'1_hub_LCIA'!$C$20</f>
        <v>17.806806017277317</v>
      </c>
      <c r="T111" s="28">
        <f>'Preparation and execution'!$D$38*T56+SUMPRODUCT($E$35:$E$37,T$35:T$37)/'1_hub_LCIA'!$C$20</f>
        <v>4.8402559271596344</v>
      </c>
      <c r="U111" s="28">
        <f>'Preparation and execution'!$D$38*U56+SUMPRODUCT($E$35:$E$37,U$35:U$37)/'1_hub_LCIA'!$C$20</f>
        <v>0.82808797684774293</v>
      </c>
      <c r="V111" s="28">
        <f>'Preparation and execution'!$D$38*V56+SUMPRODUCT($E$35:$E$37,V$35:V$37)/'1_hub_LCIA'!$C$20</f>
        <v>1.0104634721016725E-2</v>
      </c>
      <c r="W111" s="28">
        <f>'Preparation and execution'!$D$38*W56+SUMPRODUCT($E$35:$E$37,W$35:W$37)/'1_hub_LCIA'!$C$20</f>
        <v>7.1370652279133679</v>
      </c>
      <c r="X111" s="28">
        <f>'Preparation and execution'!$D$38*X56+SUMPRODUCT($E$35:$E$37,X$35:X$37)/'1_hub_LCIA'!$C$20</f>
        <v>8.0432962895113427</v>
      </c>
      <c r="Y111" s="28">
        <f>'Preparation and execution'!$D$38*Y56+SUMPRODUCT($E$35:$E$37,Y$35:Y$37)/'1_hub_LCIA'!$C$20</f>
        <v>0.70852096510009532</v>
      </c>
      <c r="Z111" s="28">
        <f>'Preparation and execution'!$D$38*Z56+SUMPRODUCT($E$35:$E$37,Z$35:Z$37)/'1_hub_LCIA'!$C$20</f>
        <v>6.9134820988658065E-3</v>
      </c>
      <c r="AA111" s="28">
        <f>'Preparation and execution'!$D$38*AA56+SUMPRODUCT($E$35:$E$37,AA$35:AA$37)/'1_hub_LCIA'!$C$20</f>
        <v>0.33752786917572319</v>
      </c>
      <c r="AB111" s="28">
        <f>'Preparation and execution'!$D$38*AB56+SUMPRODUCT($E$35:$E$37,AB$35:AB$37)/'1_hub_LCIA'!$C$20</f>
        <v>-7.0392716379562726E-4</v>
      </c>
      <c r="AC111" s="28">
        <f>'Preparation and execution'!$D$38*AC56+SUMPRODUCT($E$35:$E$37,AC$35:AC$37)/'1_hub_LCIA'!$C$20</f>
        <v>5.3659412997864774E-7</v>
      </c>
      <c r="AD111" s="28">
        <f>'Preparation and execution'!$D$38*AD56+SUMPRODUCT($E$35:$E$37,AD$35:AD$37)/'1_hub_LCIA'!$C$20</f>
        <v>3.2468133079355185E-2</v>
      </c>
      <c r="AE111" s="28">
        <f>'Preparation and execution'!$D$38*AE56+SUMPRODUCT($E$35:$E$37,AE$35:AE$37)/'1_hub_LCIA'!$C$20</f>
        <v>2.9966454519424909E-2</v>
      </c>
      <c r="AF111" s="28">
        <f>'Preparation and execution'!$D$38*AF56+SUMPRODUCT($E$35:$E$37,AF$35:AF$37)/'1_hub_LCIA'!$C$20</f>
        <v>5.4107648417593551E-2</v>
      </c>
      <c r="AG111" s="28">
        <f>'Preparation and execution'!$D$38*AG56+SUMPRODUCT($E$35:$E$37,AG$35:AG$37)/'1_hub_LCIA'!$C$20</f>
        <v>8.0483337776345487E-4</v>
      </c>
      <c r="AH111" s="28">
        <f>'Preparation and execution'!$D$38*AH56+SUMPRODUCT($E$35:$E$37,AH$35:AH$37)/'1_hub_LCIA'!$C$20</f>
        <v>7.7902451535594247E-2</v>
      </c>
      <c r="AI111" s="29">
        <f>'Preparation and execution'!$D$38*AI56+SUMPRODUCT($E$35:$E$37,AI$35:AI$37)/'1_hub_LCIA'!$C$20</f>
        <v>7.4072188729550653E-2</v>
      </c>
    </row>
    <row r="112" spans="2:35" x14ac:dyDescent="0.25">
      <c r="B112" s="256"/>
      <c r="C112" s="67" t="str">
        <f>Electricity_LCIA!B44</f>
        <v>1_Hub_90%IP</v>
      </c>
      <c r="D112" s="28" t="s">
        <v>539</v>
      </c>
      <c r="E112" s="28">
        <v>1</v>
      </c>
      <c r="F112" s="28" t="s">
        <v>357</v>
      </c>
      <c r="G112" s="28" t="str">
        <f t="shared" si="47"/>
        <v>1_Hub_90%IP</v>
      </c>
      <c r="H112" s="28">
        <f>'Preparation and execution'!$D$38*H57+SUMPRODUCT($E$35:$E$37,H$35:H$37)/'1_hub_LCIA'!$C$20</f>
        <v>18.047919106597924</v>
      </c>
      <c r="I112" s="28">
        <f>'Preparation and execution'!$D$38*I57+SUMPRODUCT($E$35:$E$37,I$35:I$37)/'1_hub_LCIA'!$C$20</f>
        <v>2.3740055380684626</v>
      </c>
      <c r="J112" s="28">
        <f>'Preparation and execution'!$D$38*J57+SUMPRODUCT($E$35:$E$37,J$35:J$37)/'1_hub_LCIA'!$C$20</f>
        <v>193.81187331446642</v>
      </c>
      <c r="K112" s="28">
        <f>'Preparation and execution'!$D$38*K57+SUMPRODUCT($E$35:$E$37,K$35:K$37)/'1_hub_LCIA'!$C$20</f>
        <v>1.5192667218147778E-2</v>
      </c>
      <c r="L112" s="28">
        <f>'Preparation and execution'!$D$38*L57+SUMPRODUCT($E$35:$E$37,L$35:L$37)/'1_hub_LCIA'!$C$20</f>
        <v>123.75300646703548</v>
      </c>
      <c r="M112" s="28">
        <f>'Preparation and execution'!$D$38*M57+SUMPRODUCT($E$35:$E$37,M$35:M$37)/'1_hub_LCIA'!$C$20</f>
        <v>4.5650084597604186E-4</v>
      </c>
      <c r="N112" s="28">
        <f>'Preparation and execution'!$D$38*N57+SUMPRODUCT($E$35:$E$37,N$35:N$37)/'1_hub_LCIA'!$C$20</f>
        <v>0.43100107947527194</v>
      </c>
      <c r="O112" s="28">
        <f>'Preparation and execution'!$D$38*O57+SUMPRODUCT($E$35:$E$37,O$35:O$37)/'1_hub_LCIA'!$C$20</f>
        <v>2.05237493255148</v>
      </c>
      <c r="P112" s="28">
        <f>'Preparation and execution'!$D$38*P57+SUMPRODUCT($E$35:$E$37,P$35:P$37)/'1_hub_LCIA'!$C$20</f>
        <v>3.6542106559412506</v>
      </c>
      <c r="Q112" s="28">
        <f>'Preparation and execution'!$D$38*Q57+SUMPRODUCT($E$35:$E$37,Q$35:Q$37)/'1_hub_LCIA'!$C$20</f>
        <v>326.09212115560251</v>
      </c>
      <c r="R112" s="28">
        <f>'Preparation and execution'!$D$38*R57+SUMPRODUCT($E$35:$E$37,R$35:R$37)/'1_hub_LCIA'!$C$20</f>
        <v>0.40118879984589012</v>
      </c>
      <c r="S112" s="28">
        <f>'Preparation and execution'!$D$38*S57+SUMPRODUCT($E$35:$E$37,S$35:S$37)/'1_hub_LCIA'!$C$20</f>
        <v>17.806806017277317</v>
      </c>
      <c r="T112" s="28">
        <f>'Preparation and execution'!$D$38*T57+SUMPRODUCT($E$35:$E$37,T$35:T$37)/'1_hub_LCIA'!$C$20</f>
        <v>4.8402559271596344</v>
      </c>
      <c r="U112" s="28">
        <f>'Preparation and execution'!$D$38*U57+SUMPRODUCT($E$35:$E$37,U$35:U$37)/'1_hub_LCIA'!$C$20</f>
        <v>0.82808797684774293</v>
      </c>
      <c r="V112" s="28">
        <f>'Preparation and execution'!$D$38*V57+SUMPRODUCT($E$35:$E$37,V$35:V$37)/'1_hub_LCIA'!$C$20</f>
        <v>1.0104634721016725E-2</v>
      </c>
      <c r="W112" s="28">
        <f>'Preparation and execution'!$D$38*W57+SUMPRODUCT($E$35:$E$37,W$35:W$37)/'1_hub_LCIA'!$C$20</f>
        <v>7.1370652279133679</v>
      </c>
      <c r="X112" s="28">
        <f>'Preparation and execution'!$D$38*X57+SUMPRODUCT($E$35:$E$37,X$35:X$37)/'1_hub_LCIA'!$C$20</f>
        <v>8.0432962895113427</v>
      </c>
      <c r="Y112" s="28">
        <f>'Preparation and execution'!$D$38*Y57+SUMPRODUCT($E$35:$E$37,Y$35:Y$37)/'1_hub_LCIA'!$C$20</f>
        <v>0.70852096510009532</v>
      </c>
      <c r="Z112" s="28">
        <f>'Preparation and execution'!$D$38*Z57+SUMPRODUCT($E$35:$E$37,Z$35:Z$37)/'1_hub_LCIA'!$C$20</f>
        <v>6.9134820988658065E-3</v>
      </c>
      <c r="AA112" s="28">
        <f>'Preparation and execution'!$D$38*AA57+SUMPRODUCT($E$35:$E$37,AA$35:AA$37)/'1_hub_LCIA'!$C$20</f>
        <v>0.33752786917572319</v>
      </c>
      <c r="AB112" s="28">
        <f>'Preparation and execution'!$D$38*AB57+SUMPRODUCT($E$35:$E$37,AB$35:AB$37)/'1_hub_LCIA'!$C$20</f>
        <v>-7.0392716379562726E-4</v>
      </c>
      <c r="AC112" s="28">
        <f>'Preparation and execution'!$D$38*AC57+SUMPRODUCT($E$35:$E$37,AC$35:AC$37)/'1_hub_LCIA'!$C$20</f>
        <v>5.3659412997864774E-7</v>
      </c>
      <c r="AD112" s="28">
        <f>'Preparation and execution'!$D$38*AD57+SUMPRODUCT($E$35:$E$37,AD$35:AD$37)/'1_hub_LCIA'!$C$20</f>
        <v>3.2468133079355185E-2</v>
      </c>
      <c r="AE112" s="28">
        <f>'Preparation and execution'!$D$38*AE57+SUMPRODUCT($E$35:$E$37,AE$35:AE$37)/'1_hub_LCIA'!$C$20</f>
        <v>2.9966454519424909E-2</v>
      </c>
      <c r="AF112" s="28">
        <f>'Preparation and execution'!$D$38*AF57+SUMPRODUCT($E$35:$E$37,AF$35:AF$37)/'1_hub_LCIA'!$C$20</f>
        <v>5.4107648417593551E-2</v>
      </c>
      <c r="AG112" s="28">
        <f>'Preparation and execution'!$D$38*AG57+SUMPRODUCT($E$35:$E$37,AG$35:AG$37)/'1_hub_LCIA'!$C$20</f>
        <v>8.0483337776345487E-4</v>
      </c>
      <c r="AH112" s="28">
        <f>'Preparation and execution'!$D$38*AH57+SUMPRODUCT($E$35:$E$37,AH$35:AH$37)/'1_hub_LCIA'!$C$20</f>
        <v>7.7902451535594247E-2</v>
      </c>
      <c r="AI112" s="29">
        <f>'Preparation and execution'!$D$38*AI57+SUMPRODUCT($E$35:$E$37,AI$35:AI$37)/'1_hub_LCIA'!$C$20</f>
        <v>7.4072188729550653E-2</v>
      </c>
    </row>
    <row r="113" spans="2:35" x14ac:dyDescent="0.25">
      <c r="B113" s="256"/>
      <c r="C113" s="67" t="str">
        <f>C58</f>
        <v>2_Hub_10%IP</v>
      </c>
      <c r="D113" s="28" t="s">
        <v>539</v>
      </c>
      <c r="E113" s="28">
        <v>1</v>
      </c>
      <c r="F113" s="28" t="s">
        <v>357</v>
      </c>
      <c r="G113" s="28" t="str">
        <f t="shared" si="47"/>
        <v>2_Hub_10%IP</v>
      </c>
      <c r="H113" s="28">
        <f>'Preparation and execution'!$D$38*H58+SUMPRODUCT($E$35:$E$37,H$35:H$37)/'1_hub_LCIA'!$C$20</f>
        <v>15.175052506597922</v>
      </c>
      <c r="I113" s="28">
        <f>'Preparation and execution'!$D$38*I58+SUMPRODUCT($E$35:$E$37,I$35:I$37)/'1_hub_LCIA'!$C$20</f>
        <v>3.5281149580684628</v>
      </c>
      <c r="J113" s="28">
        <f>'Preparation and execution'!$D$38*J58+SUMPRODUCT($E$35:$E$37,J$35:J$37)/'1_hub_LCIA'!$C$20</f>
        <v>171.95999931446642</v>
      </c>
      <c r="K113" s="28">
        <f>'Preparation and execution'!$D$38*K58+SUMPRODUCT($E$35:$E$37,K$35:K$37)/'1_hub_LCIA'!$C$20</f>
        <v>2.2567726056181483</v>
      </c>
      <c r="L113" s="28">
        <f>'Preparation and execution'!$D$38*L58+SUMPRODUCT($E$35:$E$37,L$35:L$37)/'1_hub_LCIA'!$C$20</f>
        <v>78.034284467035476</v>
      </c>
      <c r="M113" s="28">
        <f>'Preparation and execution'!$D$38*M58+SUMPRODUCT($E$35:$E$37,M$35:M$37)/'1_hub_LCIA'!$C$20</f>
        <v>5.197371859760419E-4</v>
      </c>
      <c r="N113" s="28">
        <f>'Preparation and execution'!$D$38*N58+SUMPRODUCT($E$35:$E$37,N$35:N$37)/'1_hub_LCIA'!$C$20</f>
        <v>4.8924834194752718</v>
      </c>
      <c r="O113" s="28">
        <f>'Preparation and execution'!$D$38*O58+SUMPRODUCT($E$35:$E$37,O$35:O$37)/'1_hub_LCIA'!$C$20</f>
        <v>15.495721192551478</v>
      </c>
      <c r="P113" s="28">
        <f>'Preparation and execution'!$D$38*P58+SUMPRODUCT($E$35:$E$37,P$35:P$37)/'1_hub_LCIA'!$C$20</f>
        <v>6.0716106559412513</v>
      </c>
      <c r="Q113" s="28">
        <f>'Preparation and execution'!$D$38*Q58+SUMPRODUCT($E$35:$E$37,Q$35:Q$37)/'1_hub_LCIA'!$C$20</f>
        <v>282.23950635034248</v>
      </c>
      <c r="R113" s="28">
        <f>'Preparation and execution'!$D$38*R58+SUMPRODUCT($E$35:$E$37,R$35:R$37)/'1_hub_LCIA'!$C$20</f>
        <v>0.55733861984589017</v>
      </c>
      <c r="S113" s="28">
        <f>'Preparation and execution'!$D$38*S58+SUMPRODUCT($E$35:$E$37,S$35:S$37)/'1_hub_LCIA'!$C$20</f>
        <v>14.960530817277322</v>
      </c>
      <c r="T113" s="28">
        <f>'Preparation and execution'!$D$38*T58+SUMPRODUCT($E$35:$E$37,T$35:T$37)/'1_hub_LCIA'!$C$20</f>
        <v>4.3390009271596348</v>
      </c>
      <c r="U113" s="28">
        <f>'Preparation and execution'!$D$38*U58+SUMPRODUCT($E$35:$E$37,U$35:U$37)/'1_hub_LCIA'!$C$20</f>
        <v>0.85072621684774297</v>
      </c>
      <c r="V113" s="28">
        <f>'Preparation and execution'!$D$38*V58+SUMPRODUCT($E$35:$E$37,V$35:V$37)/'1_hub_LCIA'!$C$20</f>
        <v>1.1275082921016725E-2</v>
      </c>
      <c r="W113" s="28">
        <f>'Preparation and execution'!$D$38*W58+SUMPRODUCT($E$35:$E$37,W$35:W$37)/'1_hub_LCIA'!$C$20</f>
        <v>7.6233892279133686</v>
      </c>
      <c r="X113" s="28">
        <f>'Preparation and execution'!$D$38*X58+SUMPRODUCT($E$35:$E$37,X$35:X$37)/'1_hub_LCIA'!$C$20</f>
        <v>5.0779996895113433</v>
      </c>
      <c r="Y113" s="28">
        <f>'Preparation and execution'!$D$38*Y58+SUMPRODUCT($E$35:$E$37,Y$35:Y$37)/'1_hub_LCIA'!$C$20</f>
        <v>0.72966610510009533</v>
      </c>
      <c r="Z113" s="28">
        <f>'Preparation and execution'!$D$38*Z58+SUMPRODUCT($E$35:$E$37,Z$35:Z$37)/'1_hub_LCIA'!$C$20</f>
        <v>6.9141930988658069E-3</v>
      </c>
      <c r="AA113" s="28">
        <f>'Preparation and execution'!$D$38*AA58+SUMPRODUCT($E$35:$E$37,AA$35:AA$37)/'1_hub_LCIA'!$C$20</f>
        <v>0.33532376917572315</v>
      </c>
      <c r="AB113" s="28">
        <f>'Preparation and execution'!$D$38*AB58+SUMPRODUCT($E$35:$E$37,AB$35:AB$37)/'1_hub_LCIA'!$C$20</f>
        <v>-5.6747204379562724E-4</v>
      </c>
      <c r="AC113" s="28">
        <f>'Preparation and execution'!$D$38*AC58+SUMPRODUCT($E$35:$E$37,AC$35:AC$37)/'1_hub_LCIA'!$C$20</f>
        <v>5.2863092997864776E-7</v>
      </c>
      <c r="AD113" s="28">
        <f>'Preparation and execution'!$D$38*AD58+SUMPRODUCT($E$35:$E$37,AD$35:AD$37)/'1_hub_LCIA'!$C$20</f>
        <v>3.8353791079355187E-2</v>
      </c>
      <c r="AE113" s="28">
        <f>'Preparation and execution'!$D$38*AE58+SUMPRODUCT($E$35:$E$37,AE$35:AE$37)/'1_hub_LCIA'!$C$20</f>
        <v>2.5594799919424906E-2</v>
      </c>
      <c r="AF113" s="28">
        <f>'Preparation and execution'!$D$38*AF58+SUMPRODUCT($E$35:$E$37,AF$35:AF$37)/'1_hub_LCIA'!$C$20</f>
        <v>3.864624241759354E-2</v>
      </c>
      <c r="AG113" s="28">
        <f>'Preparation and execution'!$D$38*AG58+SUMPRODUCT($E$35:$E$37,AG$35:AG$37)/'1_hub_LCIA'!$C$20</f>
        <v>8.7553521776345482E-4</v>
      </c>
      <c r="AH113" s="28">
        <f>'Preparation and execution'!$D$38*AH58+SUMPRODUCT($E$35:$E$37,AH$35:AH$37)/'1_hub_LCIA'!$C$20</f>
        <v>7.5743855535594248E-2</v>
      </c>
      <c r="AI113" s="29">
        <f>'Preparation and execution'!$D$38*AI58+SUMPRODUCT($E$35:$E$37,AI$35:AI$37)/'1_hub_LCIA'!$C$20</f>
        <v>8.5577590729550651E-2</v>
      </c>
    </row>
    <row r="114" spans="2:35" x14ac:dyDescent="0.25">
      <c r="B114" s="256"/>
      <c r="C114" s="67" t="str">
        <f t="shared" ref="C114:C161" si="48">C59</f>
        <v>2_Hub_30%IP</v>
      </c>
      <c r="D114" s="28" t="s">
        <v>539</v>
      </c>
      <c r="E114" s="28">
        <v>1</v>
      </c>
      <c r="F114" s="28" t="s">
        <v>357</v>
      </c>
      <c r="G114" s="28" t="str">
        <f t="shared" si="47"/>
        <v>2_Hub_30%IP</v>
      </c>
      <c r="H114" s="28">
        <f>'Preparation and execution'!$D$38*H59+SUMPRODUCT($E$35:$E$37,H$35:H$37)/'1_hub_LCIA'!$C$20</f>
        <v>18.04791910659792</v>
      </c>
      <c r="I114" s="28">
        <f>'Preparation and execution'!$D$38*I59+SUMPRODUCT($E$35:$E$37,I$35:I$37)/'1_hub_LCIA'!$C$20</f>
        <v>2.3740055380684626</v>
      </c>
      <c r="J114" s="28">
        <f>'Preparation and execution'!$D$38*J59+SUMPRODUCT($E$35:$E$37,J$35:J$37)/'1_hub_LCIA'!$C$20</f>
        <v>193.81187331446642</v>
      </c>
      <c r="K114" s="28">
        <f>'Preparation and execution'!$D$38*K59+SUMPRODUCT($E$35:$E$37,K$35:K$37)/'1_hub_LCIA'!$C$20</f>
        <v>1.5192667218147778E-2</v>
      </c>
      <c r="L114" s="28">
        <f>'Preparation and execution'!$D$38*L59+SUMPRODUCT($E$35:$E$37,L$35:L$37)/'1_hub_LCIA'!$C$20</f>
        <v>123.7530064670355</v>
      </c>
      <c r="M114" s="28">
        <f>'Preparation and execution'!$D$38*M59+SUMPRODUCT($E$35:$E$37,M$35:M$37)/'1_hub_LCIA'!$C$20</f>
        <v>4.5650084597604186E-4</v>
      </c>
      <c r="N114" s="28">
        <f>'Preparation and execution'!$D$38*N59+SUMPRODUCT($E$35:$E$37,N$35:N$37)/'1_hub_LCIA'!$C$20</f>
        <v>0.431001079475272</v>
      </c>
      <c r="O114" s="28">
        <f>'Preparation and execution'!$D$38*O59+SUMPRODUCT($E$35:$E$37,O$35:O$37)/'1_hub_LCIA'!$C$20</f>
        <v>2.05237493255148</v>
      </c>
      <c r="P114" s="28">
        <f>'Preparation and execution'!$D$38*P59+SUMPRODUCT($E$35:$E$37,P$35:P$37)/'1_hub_LCIA'!$C$20</f>
        <v>3.6542106559412506</v>
      </c>
      <c r="Q114" s="28">
        <f>'Preparation and execution'!$D$38*Q59+SUMPRODUCT($E$35:$E$37,Q$35:Q$37)/'1_hub_LCIA'!$C$20</f>
        <v>326.09212115560251</v>
      </c>
      <c r="R114" s="28">
        <f>'Preparation and execution'!$D$38*R59+SUMPRODUCT($E$35:$E$37,R$35:R$37)/'1_hub_LCIA'!$C$20</f>
        <v>0.40118879984589012</v>
      </c>
      <c r="S114" s="28">
        <f>'Preparation and execution'!$D$38*S59+SUMPRODUCT($E$35:$E$37,S$35:S$37)/'1_hub_LCIA'!$C$20</f>
        <v>17.806806017277317</v>
      </c>
      <c r="T114" s="28">
        <f>'Preparation and execution'!$D$38*T59+SUMPRODUCT($E$35:$E$37,T$35:T$37)/'1_hub_LCIA'!$C$20</f>
        <v>4.8402559271596335</v>
      </c>
      <c r="U114" s="28">
        <f>'Preparation and execution'!$D$38*U59+SUMPRODUCT($E$35:$E$37,U$35:U$37)/'1_hub_LCIA'!$C$20</f>
        <v>0.82808797684774282</v>
      </c>
      <c r="V114" s="28">
        <f>'Preparation and execution'!$D$38*V59+SUMPRODUCT($E$35:$E$37,V$35:V$37)/'1_hub_LCIA'!$C$20</f>
        <v>1.0104634721016725E-2</v>
      </c>
      <c r="W114" s="28">
        <f>'Preparation and execution'!$D$38*W59+SUMPRODUCT($E$35:$E$37,W$35:W$37)/'1_hub_LCIA'!$C$20</f>
        <v>7.1370652279133679</v>
      </c>
      <c r="X114" s="28">
        <f>'Preparation and execution'!$D$38*X59+SUMPRODUCT($E$35:$E$37,X$35:X$37)/'1_hub_LCIA'!$C$20</f>
        <v>8.0432962895113427</v>
      </c>
      <c r="Y114" s="28">
        <f>'Preparation and execution'!$D$38*Y59+SUMPRODUCT($E$35:$E$37,Y$35:Y$37)/'1_hub_LCIA'!$C$20</f>
        <v>0.70852096510009532</v>
      </c>
      <c r="Z114" s="28">
        <f>'Preparation and execution'!$D$38*Z59+SUMPRODUCT($E$35:$E$37,Z$35:Z$37)/'1_hub_LCIA'!$C$20</f>
        <v>6.9134820988658065E-3</v>
      </c>
      <c r="AA114" s="28">
        <f>'Preparation and execution'!$D$38*AA59+SUMPRODUCT($E$35:$E$37,AA$35:AA$37)/'1_hub_LCIA'!$C$20</f>
        <v>0.33752786917572319</v>
      </c>
      <c r="AB114" s="28">
        <f>'Preparation and execution'!$D$38*AB59+SUMPRODUCT($E$35:$E$37,AB$35:AB$37)/'1_hub_LCIA'!$C$20</f>
        <v>-7.0392716379562726E-4</v>
      </c>
      <c r="AC114" s="28">
        <f>'Preparation and execution'!$D$38*AC59+SUMPRODUCT($E$35:$E$37,AC$35:AC$37)/'1_hub_LCIA'!$C$20</f>
        <v>5.3659412997864774E-7</v>
      </c>
      <c r="AD114" s="28">
        <f>'Preparation and execution'!$D$38*AD59+SUMPRODUCT($E$35:$E$37,AD$35:AD$37)/'1_hub_LCIA'!$C$20</f>
        <v>3.2468133079355185E-2</v>
      </c>
      <c r="AE114" s="28">
        <f>'Preparation and execution'!$D$38*AE59+SUMPRODUCT($E$35:$E$37,AE$35:AE$37)/'1_hub_LCIA'!$C$20</f>
        <v>2.9966454519424909E-2</v>
      </c>
      <c r="AF114" s="28">
        <f>'Preparation and execution'!$D$38*AF59+SUMPRODUCT($E$35:$E$37,AF$35:AF$37)/'1_hub_LCIA'!$C$20</f>
        <v>5.4107648417593551E-2</v>
      </c>
      <c r="AG114" s="28">
        <f>'Preparation and execution'!$D$38*AG59+SUMPRODUCT($E$35:$E$37,AG$35:AG$37)/'1_hub_LCIA'!$C$20</f>
        <v>8.0483337776345487E-4</v>
      </c>
      <c r="AH114" s="28">
        <f>'Preparation and execution'!$D$38*AH59+SUMPRODUCT($E$35:$E$37,AH$35:AH$37)/'1_hub_LCIA'!$C$20</f>
        <v>7.7902451535594247E-2</v>
      </c>
      <c r="AI114" s="29">
        <f>'Preparation and execution'!$D$38*AI59+SUMPRODUCT($E$35:$E$37,AI$35:AI$37)/'1_hub_LCIA'!$C$20</f>
        <v>7.4072188729550653E-2</v>
      </c>
    </row>
    <row r="115" spans="2:35" x14ac:dyDescent="0.25">
      <c r="B115" s="256"/>
      <c r="C115" s="67" t="str">
        <f t="shared" si="48"/>
        <v>2_Hub_50%IP</v>
      </c>
      <c r="D115" s="28" t="s">
        <v>539</v>
      </c>
      <c r="E115" s="28">
        <v>1</v>
      </c>
      <c r="F115" s="28" t="s">
        <v>357</v>
      </c>
      <c r="G115" s="28" t="str">
        <f t="shared" si="47"/>
        <v>2_Hub_50%IP</v>
      </c>
      <c r="H115" s="28">
        <f>'Preparation and execution'!$D$38*H60+SUMPRODUCT($E$35:$E$37,H$35:H$37)/'1_hub_LCIA'!$C$20</f>
        <v>18.047919106597924</v>
      </c>
      <c r="I115" s="28">
        <f>'Preparation and execution'!$D$38*I60+SUMPRODUCT($E$35:$E$37,I$35:I$37)/'1_hub_LCIA'!$C$20</f>
        <v>2.3740055380684622</v>
      </c>
      <c r="J115" s="28">
        <f>'Preparation and execution'!$D$38*J60+SUMPRODUCT($E$35:$E$37,J$35:J$37)/'1_hub_LCIA'!$C$20</f>
        <v>193.8118733144664</v>
      </c>
      <c r="K115" s="28">
        <f>'Preparation and execution'!$D$38*K60+SUMPRODUCT($E$35:$E$37,K$35:K$37)/'1_hub_LCIA'!$C$20</f>
        <v>1.5192667218147778E-2</v>
      </c>
      <c r="L115" s="28">
        <f>'Preparation and execution'!$D$38*L60+SUMPRODUCT($E$35:$E$37,L$35:L$37)/'1_hub_LCIA'!$C$20</f>
        <v>123.75300646703545</v>
      </c>
      <c r="M115" s="28">
        <f>'Preparation and execution'!$D$38*M60+SUMPRODUCT($E$35:$E$37,M$35:M$37)/'1_hub_LCIA'!$C$20</f>
        <v>4.5650084597604186E-4</v>
      </c>
      <c r="N115" s="28">
        <f>'Preparation and execution'!$D$38*N60+SUMPRODUCT($E$35:$E$37,N$35:N$37)/'1_hub_LCIA'!$C$20</f>
        <v>0.43100107947527194</v>
      </c>
      <c r="O115" s="28">
        <f>'Preparation and execution'!$D$38*O60+SUMPRODUCT($E$35:$E$37,O$35:O$37)/'1_hub_LCIA'!$C$20</f>
        <v>2.0523749325514795</v>
      </c>
      <c r="P115" s="28">
        <f>'Preparation and execution'!$D$38*P60+SUMPRODUCT($E$35:$E$37,P$35:P$37)/'1_hub_LCIA'!$C$20</f>
        <v>3.6542106559412506</v>
      </c>
      <c r="Q115" s="28">
        <f>'Preparation and execution'!$D$38*Q60+SUMPRODUCT($E$35:$E$37,Q$35:Q$37)/'1_hub_LCIA'!$C$20</f>
        <v>326.09212115560246</v>
      </c>
      <c r="R115" s="28">
        <f>'Preparation and execution'!$D$38*R60+SUMPRODUCT($E$35:$E$37,R$35:R$37)/'1_hub_LCIA'!$C$20</f>
        <v>0.40118879984589007</v>
      </c>
      <c r="S115" s="28">
        <f>'Preparation and execution'!$D$38*S60+SUMPRODUCT($E$35:$E$37,S$35:S$37)/'1_hub_LCIA'!$C$20</f>
        <v>17.806806017277314</v>
      </c>
      <c r="T115" s="28">
        <f>'Preparation and execution'!$D$38*T60+SUMPRODUCT($E$35:$E$37,T$35:T$37)/'1_hub_LCIA'!$C$20</f>
        <v>4.8402559271596344</v>
      </c>
      <c r="U115" s="28">
        <f>'Preparation and execution'!$D$38*U60+SUMPRODUCT($E$35:$E$37,U$35:U$37)/'1_hub_LCIA'!$C$20</f>
        <v>0.82808797684774282</v>
      </c>
      <c r="V115" s="28">
        <f>'Preparation and execution'!$D$38*V60+SUMPRODUCT($E$35:$E$37,V$35:V$37)/'1_hub_LCIA'!$C$20</f>
        <v>1.0104634721016725E-2</v>
      </c>
      <c r="W115" s="28">
        <f>'Preparation and execution'!$D$38*W60+SUMPRODUCT($E$35:$E$37,W$35:W$37)/'1_hub_LCIA'!$C$20</f>
        <v>7.1370652279133679</v>
      </c>
      <c r="X115" s="28">
        <f>'Preparation and execution'!$D$38*X60+SUMPRODUCT($E$35:$E$37,X$35:X$37)/'1_hub_LCIA'!$C$20</f>
        <v>8.0432962895113427</v>
      </c>
      <c r="Y115" s="28">
        <f>'Preparation and execution'!$D$38*Y60+SUMPRODUCT($E$35:$E$37,Y$35:Y$37)/'1_hub_LCIA'!$C$20</f>
        <v>0.70852096510009532</v>
      </c>
      <c r="Z115" s="28">
        <f>'Preparation and execution'!$D$38*Z60+SUMPRODUCT($E$35:$E$37,Z$35:Z$37)/'1_hub_LCIA'!$C$20</f>
        <v>6.9134820988658065E-3</v>
      </c>
      <c r="AA115" s="28">
        <f>'Preparation and execution'!$D$38*AA60+SUMPRODUCT($E$35:$E$37,AA$35:AA$37)/'1_hub_LCIA'!$C$20</f>
        <v>0.33752786917572319</v>
      </c>
      <c r="AB115" s="28">
        <f>'Preparation and execution'!$D$38*AB60+SUMPRODUCT($E$35:$E$37,AB$35:AB$37)/'1_hub_LCIA'!$C$20</f>
        <v>-7.0392716379562715E-4</v>
      </c>
      <c r="AC115" s="28">
        <f>'Preparation and execution'!$D$38*AC60+SUMPRODUCT($E$35:$E$37,AC$35:AC$37)/'1_hub_LCIA'!$C$20</f>
        <v>5.3659412997864774E-7</v>
      </c>
      <c r="AD115" s="28">
        <f>'Preparation and execution'!$D$38*AD60+SUMPRODUCT($E$35:$E$37,AD$35:AD$37)/'1_hub_LCIA'!$C$20</f>
        <v>3.2468133079355185E-2</v>
      </c>
      <c r="AE115" s="28">
        <f>'Preparation and execution'!$D$38*AE60+SUMPRODUCT($E$35:$E$37,AE$35:AE$37)/'1_hub_LCIA'!$C$20</f>
        <v>2.9966454519424909E-2</v>
      </c>
      <c r="AF115" s="28">
        <f>'Preparation and execution'!$D$38*AF60+SUMPRODUCT($E$35:$E$37,AF$35:AF$37)/'1_hub_LCIA'!$C$20</f>
        <v>5.4107648417593537E-2</v>
      </c>
      <c r="AG115" s="28">
        <f>'Preparation and execution'!$D$38*AG60+SUMPRODUCT($E$35:$E$37,AG$35:AG$37)/'1_hub_LCIA'!$C$20</f>
        <v>8.0483337776345476E-4</v>
      </c>
      <c r="AH115" s="28">
        <f>'Preparation and execution'!$D$38*AH60+SUMPRODUCT($E$35:$E$37,AH$35:AH$37)/'1_hub_LCIA'!$C$20</f>
        <v>7.7902451535594233E-2</v>
      </c>
      <c r="AI115" s="29">
        <f>'Preparation and execution'!$D$38*AI60+SUMPRODUCT($E$35:$E$37,AI$35:AI$37)/'1_hub_LCIA'!$C$20</f>
        <v>7.4072188729550653E-2</v>
      </c>
    </row>
    <row r="116" spans="2:35" x14ac:dyDescent="0.25">
      <c r="B116" s="256"/>
      <c r="C116" s="67" t="str">
        <f t="shared" si="48"/>
        <v>2_Hub_70%IP</v>
      </c>
      <c r="D116" s="28" t="s">
        <v>539</v>
      </c>
      <c r="E116" s="28">
        <v>1</v>
      </c>
      <c r="F116" s="28" t="s">
        <v>357</v>
      </c>
      <c r="G116" s="28" t="str">
        <f t="shared" si="47"/>
        <v>2_Hub_70%IP</v>
      </c>
      <c r="H116" s="28">
        <f>'Preparation and execution'!$D$38*H61+SUMPRODUCT($E$35:$E$37,H$35:H$37)/'1_hub_LCIA'!$C$20</f>
        <v>18.047919106597924</v>
      </c>
      <c r="I116" s="28">
        <f>'Preparation and execution'!$D$38*I61+SUMPRODUCT($E$35:$E$37,I$35:I$37)/'1_hub_LCIA'!$C$20</f>
        <v>2.3740055380684626</v>
      </c>
      <c r="J116" s="28">
        <f>'Preparation and execution'!$D$38*J61+SUMPRODUCT($E$35:$E$37,J$35:J$37)/'1_hub_LCIA'!$C$20</f>
        <v>193.8118733144664</v>
      </c>
      <c r="K116" s="28">
        <f>'Preparation and execution'!$D$38*K61+SUMPRODUCT($E$35:$E$37,K$35:K$37)/'1_hub_LCIA'!$C$20</f>
        <v>1.5192667218147778E-2</v>
      </c>
      <c r="L116" s="28">
        <f>'Preparation and execution'!$D$38*L61+SUMPRODUCT($E$35:$E$37,L$35:L$37)/'1_hub_LCIA'!$C$20</f>
        <v>123.75300646703548</v>
      </c>
      <c r="M116" s="28">
        <f>'Preparation and execution'!$D$38*M61+SUMPRODUCT($E$35:$E$37,M$35:M$37)/'1_hub_LCIA'!$C$20</f>
        <v>4.5650084597604186E-4</v>
      </c>
      <c r="N116" s="28">
        <f>'Preparation and execution'!$D$38*N61+SUMPRODUCT($E$35:$E$37,N$35:N$37)/'1_hub_LCIA'!$C$20</f>
        <v>0.43100107947527183</v>
      </c>
      <c r="O116" s="28">
        <f>'Preparation and execution'!$D$38*O61+SUMPRODUCT($E$35:$E$37,O$35:O$37)/'1_hub_LCIA'!$C$20</f>
        <v>2.05237493255148</v>
      </c>
      <c r="P116" s="28">
        <f>'Preparation and execution'!$D$38*P61+SUMPRODUCT($E$35:$E$37,P$35:P$37)/'1_hub_LCIA'!$C$20</f>
        <v>3.6542106559412502</v>
      </c>
      <c r="Q116" s="28">
        <f>'Preparation and execution'!$D$38*Q61+SUMPRODUCT($E$35:$E$37,Q$35:Q$37)/'1_hub_LCIA'!$C$20</f>
        <v>326.09212115560251</v>
      </c>
      <c r="R116" s="28">
        <f>'Preparation and execution'!$D$38*R61+SUMPRODUCT($E$35:$E$37,R$35:R$37)/'1_hub_LCIA'!$C$20</f>
        <v>0.40118879984589007</v>
      </c>
      <c r="S116" s="28">
        <f>'Preparation and execution'!$D$38*S61+SUMPRODUCT($E$35:$E$37,S$35:S$37)/'1_hub_LCIA'!$C$20</f>
        <v>17.806806017277317</v>
      </c>
      <c r="T116" s="28">
        <f>'Preparation and execution'!$D$38*T61+SUMPRODUCT($E$35:$E$37,T$35:T$37)/'1_hub_LCIA'!$C$20</f>
        <v>4.8402559271596344</v>
      </c>
      <c r="U116" s="28">
        <f>'Preparation and execution'!$D$38*U61+SUMPRODUCT($E$35:$E$37,U$35:U$37)/'1_hub_LCIA'!$C$20</f>
        <v>0.82808797684774293</v>
      </c>
      <c r="V116" s="28">
        <f>'Preparation and execution'!$D$38*V61+SUMPRODUCT($E$35:$E$37,V$35:V$37)/'1_hub_LCIA'!$C$20</f>
        <v>1.0104634721016725E-2</v>
      </c>
      <c r="W116" s="28">
        <f>'Preparation and execution'!$D$38*W61+SUMPRODUCT($E$35:$E$37,W$35:W$37)/'1_hub_LCIA'!$C$20</f>
        <v>7.1370652279133679</v>
      </c>
      <c r="X116" s="28">
        <f>'Preparation and execution'!$D$38*X61+SUMPRODUCT($E$35:$E$37,X$35:X$37)/'1_hub_LCIA'!$C$20</f>
        <v>8.0432962895113427</v>
      </c>
      <c r="Y116" s="28">
        <f>'Preparation and execution'!$D$38*Y61+SUMPRODUCT($E$35:$E$37,Y$35:Y$37)/'1_hub_LCIA'!$C$20</f>
        <v>0.70852096510009532</v>
      </c>
      <c r="Z116" s="28">
        <f>'Preparation and execution'!$D$38*Z61+SUMPRODUCT($E$35:$E$37,Z$35:Z$37)/'1_hub_LCIA'!$C$20</f>
        <v>6.9134820988658065E-3</v>
      </c>
      <c r="AA116" s="28">
        <f>'Preparation and execution'!$D$38*AA61+SUMPRODUCT($E$35:$E$37,AA$35:AA$37)/'1_hub_LCIA'!$C$20</f>
        <v>0.33752786917572314</v>
      </c>
      <c r="AB116" s="28">
        <f>'Preparation and execution'!$D$38*AB61+SUMPRODUCT($E$35:$E$37,AB$35:AB$37)/'1_hub_LCIA'!$C$20</f>
        <v>-7.0392716379562726E-4</v>
      </c>
      <c r="AC116" s="28">
        <f>'Preparation and execution'!$D$38*AC61+SUMPRODUCT($E$35:$E$37,AC$35:AC$37)/'1_hub_LCIA'!$C$20</f>
        <v>5.3659412997864774E-7</v>
      </c>
      <c r="AD116" s="28">
        <f>'Preparation and execution'!$D$38*AD61+SUMPRODUCT($E$35:$E$37,AD$35:AD$37)/'1_hub_LCIA'!$C$20</f>
        <v>3.2468133079355185E-2</v>
      </c>
      <c r="AE116" s="28">
        <f>'Preparation and execution'!$D$38*AE61+SUMPRODUCT($E$35:$E$37,AE$35:AE$37)/'1_hub_LCIA'!$C$20</f>
        <v>2.9966454519424909E-2</v>
      </c>
      <c r="AF116" s="28">
        <f>'Preparation and execution'!$D$38*AF61+SUMPRODUCT($E$35:$E$37,AF$35:AF$37)/'1_hub_LCIA'!$C$20</f>
        <v>5.4107648417593544E-2</v>
      </c>
      <c r="AG116" s="28">
        <f>'Preparation and execution'!$D$38*AG61+SUMPRODUCT($E$35:$E$37,AG$35:AG$37)/'1_hub_LCIA'!$C$20</f>
        <v>8.0483337776345466E-4</v>
      </c>
      <c r="AH116" s="28">
        <f>'Preparation and execution'!$D$38*AH61+SUMPRODUCT($E$35:$E$37,AH$35:AH$37)/'1_hub_LCIA'!$C$20</f>
        <v>7.7902451535594247E-2</v>
      </c>
      <c r="AI116" s="29">
        <f>'Preparation and execution'!$D$38*AI61+SUMPRODUCT($E$35:$E$37,AI$35:AI$37)/'1_hub_LCIA'!$C$20</f>
        <v>7.4072188729550625E-2</v>
      </c>
    </row>
    <row r="117" spans="2:35" x14ac:dyDescent="0.25">
      <c r="B117" s="256"/>
      <c r="C117" s="67" t="str">
        <f t="shared" si="48"/>
        <v>2_Hub_90%IP</v>
      </c>
      <c r="D117" s="28" t="s">
        <v>539</v>
      </c>
      <c r="E117" s="28">
        <v>1</v>
      </c>
      <c r="F117" s="28" t="s">
        <v>357</v>
      </c>
      <c r="G117" s="28" t="str">
        <f t="shared" si="47"/>
        <v>2_Hub_90%IP</v>
      </c>
      <c r="H117" s="28">
        <f>'Preparation and execution'!$D$38*H62+SUMPRODUCT($E$35:$E$37,H$35:H$37)/'1_hub_LCIA'!$C$20</f>
        <v>16.016094612684881</v>
      </c>
      <c r="I117" s="28">
        <f>'Preparation and execution'!$D$38*I62+SUMPRODUCT($E$35:$E$37,I$35:I$37)/'1_hub_LCIA'!$C$20</f>
        <v>3.1902452438075932</v>
      </c>
      <c r="J117" s="28">
        <f>'Preparation and execution'!$D$38*J62+SUMPRODUCT($E$35:$E$37,J$35:J$37)/'1_hub_LCIA'!$C$20</f>
        <v>178.35721460142298</v>
      </c>
      <c r="K117" s="28">
        <f>'Preparation and execution'!$D$38*K62+SUMPRODUCT($E$35:$E$37,K$35:K$37)/'1_hub_LCIA'!$C$20</f>
        <v>1.6005419569851045</v>
      </c>
      <c r="L117" s="28">
        <f>'Preparation and execution'!$D$38*L62+SUMPRODUCT($E$35:$E$37,L$35:L$37)/'1_hub_LCIA'!$C$20</f>
        <v>91.418605980078965</v>
      </c>
      <c r="M117" s="28">
        <f>'Preparation and execution'!$D$38*M62+SUMPRODUCT($E$35:$E$37,M$35:M$37)/'1_hub_LCIA'!$C$20</f>
        <v>5.0122451832386797E-4</v>
      </c>
      <c r="N117" s="28">
        <f>'Preparation and execution'!$D$38*N62+SUMPRODUCT($E$35:$E$37,N$35:N$37)/'1_hub_LCIA'!$C$20</f>
        <v>3.5863682996491848</v>
      </c>
      <c r="O117" s="28">
        <f>'Preparation and execution'!$D$38*O62+SUMPRODUCT($E$35:$E$37,O$35:O$37)/'1_hub_LCIA'!$C$20</f>
        <v>11.560132867160176</v>
      </c>
      <c r="P117" s="28">
        <f>'Preparation and execution'!$D$38*P62+SUMPRODUCT($E$35:$E$37,P$35:P$37)/'1_hub_LCIA'!$C$20</f>
        <v>5.3639080472455989</v>
      </c>
      <c r="Q117" s="28">
        <f>'Preparation and execution'!$D$38*Q62+SUMPRODUCT($E$35:$E$37,Q$35:Q$37)/'1_hub_LCIA'!$C$20</f>
        <v>295.07751822086794</v>
      </c>
      <c r="R117" s="28">
        <f>'Preparation and execution'!$D$38*R62+SUMPRODUCT($E$35:$E$37,R$35:R$37)/'1_hub_LCIA'!$C$20</f>
        <v>0.51162519428067288</v>
      </c>
      <c r="S117" s="28">
        <f>'Preparation and execution'!$D$38*S62+SUMPRODUCT($E$35:$E$37,S$35:S$37)/'1_hub_LCIA'!$C$20</f>
        <v>15.793788194668627</v>
      </c>
      <c r="T117" s="28">
        <f>'Preparation and execution'!$D$38*T62+SUMPRODUCT($E$35:$E$37,T$35:T$37)/'1_hub_LCIA'!$C$20</f>
        <v>4.4857451445509398</v>
      </c>
      <c r="U117" s="28">
        <f>'Preparation and execution'!$D$38*U62+SUMPRODUCT($E$35:$E$37,U$35:U$37)/'1_hub_LCIA'!$C$20</f>
        <v>0.84409879006513433</v>
      </c>
      <c r="V117" s="28">
        <f>'Preparation and execution'!$D$38*V62+SUMPRODUCT($E$35:$E$37,V$35:V$37)/'1_hub_LCIA'!$C$20</f>
        <v>1.0932429969712377E-2</v>
      </c>
      <c r="W117" s="28">
        <f>'Preparation and execution'!$D$38*W62+SUMPRODUCT($E$35:$E$37,W$35:W$37)/'1_hub_LCIA'!$C$20</f>
        <v>7.481016114869889</v>
      </c>
      <c r="X117" s="28">
        <f>'Preparation and execution'!$D$38*X62+SUMPRODUCT($E$35:$E$37,X$35:X$37)/'1_hub_LCIA'!$C$20</f>
        <v>5.9461010129896046</v>
      </c>
      <c r="Y117" s="28">
        <f>'Preparation and execution'!$D$38*Y62+SUMPRODUCT($E$35:$E$37,Y$35:Y$37)/'1_hub_LCIA'!$C$20</f>
        <v>0.72347578875226937</v>
      </c>
      <c r="Z117" s="28">
        <f>'Preparation and execution'!$D$38*Z62+SUMPRODUCT($E$35:$E$37,Z$35:Z$37)/'1_hub_LCIA'!$C$20</f>
        <v>6.9139849510397207E-3</v>
      </c>
      <c r="AA117" s="28">
        <f>'Preparation and execution'!$D$38*AA62+SUMPRODUCT($E$35:$E$37,AA$35:AA$37)/'1_hub_LCIA'!$C$20</f>
        <v>0.33596902743659279</v>
      </c>
      <c r="AB117" s="28">
        <f>'Preparation and execution'!$D$38*AB62+SUMPRODUCT($E$35:$E$37,AB$35:AB$37)/'1_hub_LCIA'!$C$20</f>
        <v>-6.0741977457823607E-4</v>
      </c>
      <c r="AC117" s="28">
        <f>'Preparation and execution'!$D$38*AC62+SUMPRODUCT($E$35:$E$37,AC$35:AC$37)/'1_hub_LCIA'!$C$20</f>
        <v>5.3096218563082178E-7</v>
      </c>
      <c r="AD117" s="28">
        <f>'Preparation and execution'!$D$38*AD62+SUMPRODUCT($E$35:$E$37,AD$35:AD$37)/'1_hub_LCIA'!$C$20</f>
        <v>3.6630743375007366E-2</v>
      </c>
      <c r="AE117" s="28">
        <f>'Preparation and execution'!$D$38*AE62+SUMPRODUCT($E$35:$E$37,AE$35:AE$37)/'1_hub_LCIA'!$C$20</f>
        <v>2.6874617642903172E-2</v>
      </c>
      <c r="AF117" s="28">
        <f>'Preparation and execution'!$D$38*AF62+SUMPRODUCT($E$35:$E$37,AF$35:AF$37)/'1_hub_LCIA'!$C$20</f>
        <v>4.317262504368051E-2</v>
      </c>
      <c r="AG117" s="28">
        <f>'Preparation and execution'!$D$38*AG62+SUMPRODUCT($E$35:$E$37,AG$35:AG$37)/'1_hub_LCIA'!$C$20</f>
        <v>8.5483699793736782E-4</v>
      </c>
      <c r="AH117" s="28">
        <f>'Preparation and execution'!$D$38*AH62+SUMPRODUCT($E$35:$E$37,AH$35:AH$37)/'1_hub_LCIA'!$C$20</f>
        <v>7.6375792335594245E-2</v>
      </c>
      <c r="AI117" s="29">
        <f>'Preparation and execution'!$D$38*AI62+SUMPRODUCT($E$35:$E$37,AI$35:AI$37)/'1_hub_LCIA'!$C$20</f>
        <v>8.2209342607811514E-2</v>
      </c>
    </row>
    <row r="118" spans="2:35" x14ac:dyDescent="0.25">
      <c r="B118" s="256"/>
      <c r="C118" s="67" t="str">
        <f t="shared" si="48"/>
        <v>3_Hub_10%IP</v>
      </c>
      <c r="D118" s="28" t="s">
        <v>539</v>
      </c>
      <c r="E118" s="28">
        <v>1</v>
      </c>
      <c r="F118" s="28" t="s">
        <v>357</v>
      </c>
      <c r="G118" s="28" t="str">
        <f t="shared" si="47"/>
        <v>3_Hub_10%IP</v>
      </c>
      <c r="H118" s="28">
        <f>'Preparation and execution'!$D$38*H63+SUMPRODUCT($E$35:$E$37,H$35:H$37)/'1_hub_LCIA'!$C$20</f>
        <v>16.132674706597918</v>
      </c>
      <c r="I118" s="28">
        <f>'Preparation and execution'!$D$38*I63+SUMPRODUCT($E$35:$E$37,I$35:I$37)/'1_hub_LCIA'!$C$20</f>
        <v>3.1434118180684618</v>
      </c>
      <c r="J118" s="28">
        <f>'Preparation and execution'!$D$38*J63+SUMPRODUCT($E$35:$E$37,J$35:J$37)/'1_hub_LCIA'!$C$20</f>
        <v>179.2439573144664</v>
      </c>
      <c r="K118" s="28">
        <f>'Preparation and execution'!$D$38*K63+SUMPRODUCT($E$35:$E$37,K$35:K$37)/'1_hub_LCIA'!$C$20</f>
        <v>1.509579292818148</v>
      </c>
      <c r="L118" s="28">
        <f>'Preparation and execution'!$D$38*L63+SUMPRODUCT($E$35:$E$37,L$35:L$37)/'1_hub_LCIA'!$C$20</f>
        <v>93.273858467035467</v>
      </c>
      <c r="M118" s="28">
        <f>'Preparation and execution'!$D$38*M63+SUMPRODUCT($E$35:$E$37,M$35:M$37)/'1_hub_LCIA'!$C$20</f>
        <v>4.9865840597604176E-4</v>
      </c>
      <c r="N118" s="28">
        <f>'Preparation and execution'!$D$38*N63+SUMPRODUCT($E$35:$E$37,N$35:N$37)/'1_hub_LCIA'!$C$20</f>
        <v>3.4053226394752718</v>
      </c>
      <c r="O118" s="28">
        <f>'Preparation and execution'!$D$38*O63+SUMPRODUCT($E$35:$E$37,O$35:O$37)/'1_hub_LCIA'!$C$20</f>
        <v>11.01460577255148</v>
      </c>
      <c r="P118" s="28">
        <f>'Preparation and execution'!$D$38*P63+SUMPRODUCT($E$35:$E$37,P$35:P$37)/'1_hub_LCIA'!$C$20</f>
        <v>5.2658106559412499</v>
      </c>
      <c r="Q118" s="28">
        <f>'Preparation and execution'!$D$38*Q63+SUMPRODUCT($E$35:$E$37,Q$35:Q$37)/'1_hub_LCIA'!$C$20</f>
        <v>296.85704461876247</v>
      </c>
      <c r="R118" s="28">
        <f>'Preparation and execution'!$D$38*R63+SUMPRODUCT($E$35:$E$37,R$35:R$37)/'1_hub_LCIA'!$C$20</f>
        <v>0.5052886798458901</v>
      </c>
      <c r="S118" s="28">
        <f>'Preparation and execution'!$D$38*S63+SUMPRODUCT($E$35:$E$37,S$35:S$37)/'1_hub_LCIA'!$C$20</f>
        <v>15.909289217277319</v>
      </c>
      <c r="T118" s="28">
        <f>'Preparation and execution'!$D$38*T63+SUMPRODUCT($E$35:$E$37,T$35:T$37)/'1_hub_LCIA'!$C$20</f>
        <v>4.5060859271596341</v>
      </c>
      <c r="U118" s="28">
        <f>'Preparation and execution'!$D$38*U63+SUMPRODUCT($E$35:$E$37,U$35:U$37)/'1_hub_LCIA'!$C$20</f>
        <v>0.84318013684774296</v>
      </c>
      <c r="V118" s="28">
        <f>'Preparation and execution'!$D$38*V63+SUMPRODUCT($E$35:$E$37,V$35:V$37)/'1_hub_LCIA'!$C$20</f>
        <v>1.0884933521016724E-2</v>
      </c>
      <c r="W118" s="28">
        <f>'Preparation and execution'!$D$38*W63+SUMPRODUCT($E$35:$E$37,W$35:W$37)/'1_hub_LCIA'!$C$20</f>
        <v>7.4612812279133678</v>
      </c>
      <c r="X118" s="28">
        <f>'Preparation and execution'!$D$38*X63+SUMPRODUCT($E$35:$E$37,X$35:X$37)/'1_hub_LCIA'!$C$20</f>
        <v>6.0664318895113416</v>
      </c>
      <c r="Y118" s="28">
        <f>'Preparation and execution'!$D$38*Y63+SUMPRODUCT($E$35:$E$37,Y$35:Y$37)/'1_hub_LCIA'!$C$20</f>
        <v>0.72261772510009536</v>
      </c>
      <c r="Z118" s="28">
        <f>'Preparation and execution'!$D$38*Z63+SUMPRODUCT($E$35:$E$37,Z$35:Z$37)/'1_hub_LCIA'!$C$20</f>
        <v>6.9139560988658068E-3</v>
      </c>
      <c r="AA118" s="28">
        <f>'Preparation and execution'!$D$38*AA63+SUMPRODUCT($E$35:$E$37,AA$35:AA$37)/'1_hub_LCIA'!$C$20</f>
        <v>0.33605846917572313</v>
      </c>
      <c r="AB118" s="28">
        <f>'Preparation and execution'!$D$38*AB63+SUMPRODUCT($E$35:$E$37,AB$35:AB$37)/'1_hub_LCIA'!$C$20</f>
        <v>-6.1295708379562725E-4</v>
      </c>
      <c r="AC118" s="28">
        <f>'Preparation and execution'!$D$38*AC63+SUMPRODUCT($E$35:$E$37,AC$35:AC$37)/'1_hub_LCIA'!$C$20</f>
        <v>5.3128532997864772E-7</v>
      </c>
      <c r="AD118" s="28">
        <f>'Preparation and execution'!$D$38*AD63+SUMPRODUCT($E$35:$E$37,AD$35:AD$37)/'1_hub_LCIA'!$C$20</f>
        <v>3.6391905079355184E-2</v>
      </c>
      <c r="AE118" s="28">
        <f>'Preparation and execution'!$D$38*AE63+SUMPRODUCT($E$35:$E$37,AE$35:AE$37)/'1_hub_LCIA'!$C$20</f>
        <v>2.7052018119424905E-2</v>
      </c>
      <c r="AF118" s="28">
        <f>'Preparation and execution'!$D$38*AF63+SUMPRODUCT($E$35:$E$37,AF$35:AF$37)/'1_hub_LCIA'!$C$20</f>
        <v>4.3800044417593546E-2</v>
      </c>
      <c r="AG118" s="28">
        <f>'Preparation and execution'!$D$38*AG63+SUMPRODUCT($E$35:$E$37,AG$35:AG$37)/'1_hub_LCIA'!$C$20</f>
        <v>8.519679377634547E-4</v>
      </c>
      <c r="AH118" s="28">
        <f>'Preparation and execution'!$D$38*AH63+SUMPRODUCT($E$35:$E$37,AH$35:AH$37)/'1_hub_LCIA'!$C$20</f>
        <v>7.6463387535594243E-2</v>
      </c>
      <c r="AI118" s="29">
        <f>'Preparation and execution'!$D$38*AI63+SUMPRODUCT($E$35:$E$37,AI$35:AI$37)/'1_hub_LCIA'!$C$20</f>
        <v>8.1742456729550633E-2</v>
      </c>
    </row>
    <row r="119" spans="2:35" x14ac:dyDescent="0.25">
      <c r="B119" s="256"/>
      <c r="C119" s="67" t="str">
        <f t="shared" si="48"/>
        <v>3_Hub_30%IP</v>
      </c>
      <c r="D119" s="28" t="s">
        <v>539</v>
      </c>
      <c r="E119" s="28">
        <v>1</v>
      </c>
      <c r="F119" s="28" t="s">
        <v>357</v>
      </c>
      <c r="G119" s="28" t="str">
        <f t="shared" si="47"/>
        <v>3_Hub_30%IP</v>
      </c>
      <c r="H119" s="28">
        <f>'Preparation and execution'!$D$38*H64+SUMPRODUCT($E$35:$E$37,H$35:H$37)/'1_hub_LCIA'!$C$20</f>
        <v>16.948735363989226</v>
      </c>
      <c r="I119" s="28">
        <f>'Preparation and execution'!$D$38*I64+SUMPRODUCT($E$35:$E$37,I$35:I$37)/'1_hub_LCIA'!$C$20</f>
        <v>2.8155778378945495</v>
      </c>
      <c r="J119" s="28">
        <f>'Preparation and execution'!$D$38*J64+SUMPRODUCT($E$35:$E$37,J$35:J$37)/'1_hub_LCIA'!$C$20</f>
        <v>185.45115630577075</v>
      </c>
      <c r="K119" s="28">
        <f>'Preparation and execution'!$D$38*K64+SUMPRODUCT($E$35:$E$37,K$35:K$37)/'1_hub_LCIA'!$C$20</f>
        <v>0.87284064364945202</v>
      </c>
      <c r="L119" s="28">
        <f>'Preparation and execution'!$D$38*L64+SUMPRODUCT($E$35:$E$37,L$35:L$37)/'1_hub_LCIA'!$C$20</f>
        <v>106.26062587573112</v>
      </c>
      <c r="M119" s="28">
        <f>'Preparation and execution'!$D$38*M64+SUMPRODUCT($E$35:$E$37,M$35:M$37)/'1_hub_LCIA'!$C$20</f>
        <v>4.8069561954125923E-4</v>
      </c>
      <c r="N119" s="28">
        <f>'Preparation and execution'!$D$38*N64+SUMPRODUCT($E$35:$E$37,N$35:N$37)/'1_hub_LCIA'!$C$20</f>
        <v>2.1380030182578804</v>
      </c>
      <c r="O119" s="28">
        <f>'Preparation and execution'!$D$38*O64+SUMPRODUCT($E$35:$E$37,O$35:O$37)/'1_hub_LCIA'!$C$20</f>
        <v>7.1959161102906108</v>
      </c>
      <c r="P119" s="28">
        <f>'Preparation and execution'!$D$38*P64+SUMPRODUCT($E$35:$E$37,P$35:P$37)/'1_hub_LCIA'!$C$20</f>
        <v>4.5791289168108165</v>
      </c>
      <c r="Q119" s="28">
        <f>'Preparation and execution'!$D$38*Q64+SUMPRODUCT($E$35:$E$37,Q$35:Q$37)/'1_hub_LCIA'!$C$20</f>
        <v>309.31372940402474</v>
      </c>
      <c r="R119" s="28">
        <f>'Preparation and execution'!$D$38*R64+SUMPRODUCT($E$35:$E$37,R$35:R$37)/'1_hub_LCIA'!$C$20</f>
        <v>0.46093307880241191</v>
      </c>
      <c r="S119" s="28">
        <f>'Preparation and execution'!$D$38*S64+SUMPRODUCT($E$35:$E$37,S$35:S$37)/'1_hub_LCIA'!$C$20</f>
        <v>16.717796375538189</v>
      </c>
      <c r="T119" s="28">
        <f>'Preparation and execution'!$D$38*T64+SUMPRODUCT($E$35:$E$37,T$35:T$37)/'1_hub_LCIA'!$C$20</f>
        <v>4.6484714054205041</v>
      </c>
      <c r="U119" s="28">
        <f>'Preparation and execution'!$D$38*U64+SUMPRODUCT($E$35:$E$37,U$35:U$37)/'1_hub_LCIA'!$C$20</f>
        <v>0.83674956432600389</v>
      </c>
      <c r="V119" s="28">
        <f>'Preparation and execution'!$D$38*V64+SUMPRODUCT($E$35:$E$37,V$35:V$37)/'1_hub_LCIA'!$C$20</f>
        <v>1.0552458380147157E-2</v>
      </c>
      <c r="W119" s="28">
        <f>'Preparation and execution'!$D$38*W64+SUMPRODUCT($E$35:$E$37,W$35:W$37)/'1_hub_LCIA'!$C$20</f>
        <v>7.3231370192177154</v>
      </c>
      <c r="X119" s="28">
        <f>'Preparation and execution'!$D$38*X64+SUMPRODUCT($E$35:$E$37,X$35:X$37)/'1_hub_LCIA'!$C$20</f>
        <v>6.9087480251635167</v>
      </c>
      <c r="Y119" s="28">
        <f>'Preparation and execution'!$D$38*Y64+SUMPRODUCT($E$35:$E$37,Y$35:Y$37)/'1_hub_LCIA'!$C$20</f>
        <v>0.71661127953487802</v>
      </c>
      <c r="Z119" s="28">
        <f>'Preparation and execution'!$D$38*Z64+SUMPRODUCT($E$35:$E$37,Z$35:Z$37)/'1_hub_LCIA'!$C$20</f>
        <v>6.9137541336484146E-3</v>
      </c>
      <c r="AA119" s="28">
        <f>'Preparation and execution'!$D$38*AA64+SUMPRODUCT($E$35:$E$37,AA$35:AA$37)/'1_hub_LCIA'!$C$20</f>
        <v>0.3366845613496362</v>
      </c>
      <c r="AB119" s="28">
        <f>'Preparation and execution'!$D$38*AB64+SUMPRODUCT($E$35:$E$37,AB$35:AB$37)/'1_hub_LCIA'!$C$20</f>
        <v>-6.5171824831736637E-4</v>
      </c>
      <c r="AC119" s="28">
        <f>'Preparation and execution'!$D$38*AC64+SUMPRODUCT($E$35:$E$37,AC$35:AC$37)/'1_hub_LCIA'!$C$20</f>
        <v>5.3354734041343037E-7</v>
      </c>
      <c r="AD119" s="28">
        <f>'Preparation and execution'!$D$38*AD64+SUMPRODUCT($E$35:$E$37,AD$35:AD$37)/'1_hub_LCIA'!$C$20</f>
        <v>3.472003700978997E-2</v>
      </c>
      <c r="AE119" s="28">
        <f>'Preparation and execution'!$D$38*AE64+SUMPRODUCT($E$35:$E$37,AE$35:AE$37)/'1_hub_LCIA'!$C$20</f>
        <v>2.8293821455077077E-2</v>
      </c>
      <c r="AF119" s="28">
        <f>'Preparation and execution'!$D$38*AF64+SUMPRODUCT($E$35:$E$37,AF$35:AF$37)/'1_hub_LCIA'!$C$20</f>
        <v>4.8191980034984851E-2</v>
      </c>
      <c r="AG119" s="28">
        <f>'Preparation and execution'!$D$38*AG64+SUMPRODUCT($E$35:$E$37,AG$35:AG$37)/'1_hub_LCIA'!$C$20</f>
        <v>8.3188451654606359E-4</v>
      </c>
      <c r="AH119" s="28">
        <f>'Preparation and execution'!$D$38*AH64+SUMPRODUCT($E$35:$E$37,AH$35:AH$37)/'1_hub_LCIA'!$C$20</f>
        <v>7.7076553935594247E-2</v>
      </c>
      <c r="AI119" s="29">
        <f>'Preparation and execution'!$D$38*AI64+SUMPRODUCT($E$35:$E$37,AI$35:AI$37)/'1_hub_LCIA'!$C$20</f>
        <v>7.847425558172455E-2</v>
      </c>
    </row>
    <row r="120" spans="2:35" x14ac:dyDescent="0.25">
      <c r="B120" s="256"/>
      <c r="C120" s="67" t="str">
        <f t="shared" si="48"/>
        <v>3_Hub_50%IP</v>
      </c>
      <c r="D120" s="28" t="s">
        <v>539</v>
      </c>
      <c r="E120" s="28">
        <v>1</v>
      </c>
      <c r="F120" s="28" t="s">
        <v>357</v>
      </c>
      <c r="G120" s="28" t="str">
        <f t="shared" si="47"/>
        <v>3_Hub_50%IP</v>
      </c>
      <c r="H120" s="28">
        <f>'Preparation and execution'!$D$38*H65+SUMPRODUCT($E$35:$E$37,H$35:H$37)/'1_hub_LCIA'!$C$20</f>
        <v>17.389553844097925</v>
      </c>
      <c r="I120" s="28">
        <f>'Preparation and execution'!$D$38*I65+SUMPRODUCT($E$35:$E$37,I$35:I$37)/'1_hub_LCIA'!$C$20</f>
        <v>2.6384889468184629</v>
      </c>
      <c r="J120" s="28">
        <f>'Preparation and execution'!$D$38*J65+SUMPRODUCT($E$35:$E$37,J$35:J$37)/'1_hub_LCIA'!$C$20</f>
        <v>188.80415218946644</v>
      </c>
      <c r="K120" s="28">
        <f>'Preparation and execution'!$D$38*K65+SUMPRODUCT($E$35:$E$37,K$35:K$37)/'1_hub_LCIA'!$C$20</f>
        <v>0.52888806976814784</v>
      </c>
      <c r="L120" s="28">
        <f>'Preparation and execution'!$D$38*L65+SUMPRODUCT($E$35:$E$37,L$35:L$37)/'1_hub_LCIA'!$C$20</f>
        <v>113.27579934203548</v>
      </c>
      <c r="M120" s="28">
        <f>'Preparation and execution'!$D$38*M65+SUMPRODUCT($E$35:$E$37,M$35:M$37)/'1_hub_LCIA'!$C$20</f>
        <v>4.7099250722604192E-4</v>
      </c>
      <c r="N120" s="28">
        <f>'Preparation and execution'!$D$38*N65+SUMPRODUCT($E$35:$E$37,N$35:N$37)/'1_hub_LCIA'!$C$20</f>
        <v>1.4534241157252721</v>
      </c>
      <c r="O120" s="28">
        <f>'Preparation and execution'!$D$38*O65+SUMPRODUCT($E$35:$E$37,O$35:O$37)/'1_hub_LCIA'!$C$20</f>
        <v>5.1331417838014808</v>
      </c>
      <c r="P120" s="28">
        <f>'Preparation and execution'!$D$38*P65+SUMPRODUCT($E$35:$E$37,P$35:P$37)/'1_hub_LCIA'!$C$20</f>
        <v>4.2081981559412522</v>
      </c>
      <c r="Q120" s="28">
        <f>'Preparation and execution'!$D$38*Q65+SUMPRODUCT($E$35:$E$37,Q$35:Q$37)/'1_hub_LCIA'!$C$20</f>
        <v>316.04256359606381</v>
      </c>
      <c r="R120" s="28">
        <f>'Preparation and execution'!$D$38*R65+SUMPRODUCT($E$35:$E$37,R$35:R$37)/'1_hub_LCIA'!$C$20</f>
        <v>0.43697313359589018</v>
      </c>
      <c r="S120" s="28">
        <f>'Preparation and execution'!$D$38*S65+SUMPRODUCT($E$35:$E$37,S$35:S$37)/'1_hub_LCIA'!$C$20</f>
        <v>17.154534617277324</v>
      </c>
      <c r="T120" s="28">
        <f>'Preparation and execution'!$D$38*T65+SUMPRODUCT($E$35:$E$37,T$35:T$37)/'1_hub_LCIA'!$C$20</f>
        <v>4.7253849896596352</v>
      </c>
      <c r="U120" s="28">
        <f>'Preparation and execution'!$D$38*U65+SUMPRODUCT($E$35:$E$37,U$35:U$37)/'1_hub_LCIA'!$C$20</f>
        <v>0.83327590684774322</v>
      </c>
      <c r="V120" s="28">
        <f>'Preparation and execution'!$D$38*V65+SUMPRODUCT($E$35:$E$37,V$35:V$37)/'1_hub_LCIA'!$C$20</f>
        <v>1.0372862433516726E-2</v>
      </c>
      <c r="W120" s="28">
        <f>'Preparation and execution'!$D$38*W65+SUMPRODUCT($E$35:$E$37,W$35:W$37)/'1_hub_LCIA'!$C$20</f>
        <v>7.2485144779133703</v>
      </c>
      <c r="X120" s="28">
        <f>'Preparation and execution'!$D$38*X65+SUMPRODUCT($E$35:$E$37,X$35:X$37)/'1_hub_LCIA'!$C$20</f>
        <v>7.3637491520113452</v>
      </c>
      <c r="Y120" s="28">
        <f>'Preparation and execution'!$D$38*Y65+SUMPRODUCT($E$35:$E$37,Y$35:Y$37)/'1_hub_LCIA'!$C$20</f>
        <v>0.71336672635009557</v>
      </c>
      <c r="Z120" s="28">
        <f>'Preparation and execution'!$D$38*Z65+SUMPRODUCT($E$35:$E$37,Z$35:Z$37)/'1_hub_LCIA'!$C$20</f>
        <v>6.9136450363658074E-3</v>
      </c>
      <c r="AA120" s="28">
        <f>'Preparation and execution'!$D$38*AA65+SUMPRODUCT($E$35:$E$37,AA$35:AA$37)/'1_hub_LCIA'!$C$20</f>
        <v>0.3370227629257232</v>
      </c>
      <c r="AB120" s="28">
        <f>'Preparation and execution'!$D$38*AB65+SUMPRODUCT($E$35:$E$37,AB$35:AB$37)/'1_hub_LCIA'!$C$20</f>
        <v>-6.726561987956273E-4</v>
      </c>
      <c r="AC120" s="28">
        <f>'Preparation and execution'!$D$38*AC65+SUMPRODUCT($E$35:$E$37,AC$35:AC$37)/'1_hub_LCIA'!$C$20</f>
        <v>5.3476922997864781E-7</v>
      </c>
      <c r="AD120" s="28">
        <f>'Preparation and execution'!$D$38*AD65+SUMPRODUCT($E$35:$E$37,AD$35:AD$37)/'1_hub_LCIA'!$C$20</f>
        <v>3.3816929704355195E-2</v>
      </c>
      <c r="AE120" s="28">
        <f>'Preparation and execution'!$D$38*AE65+SUMPRODUCT($E$35:$E$37,AE$35:AE$37)/'1_hub_LCIA'!$C$20</f>
        <v>2.896461700692491E-2</v>
      </c>
      <c r="AF120" s="28">
        <f>'Preparation and execution'!$D$38*AF65+SUMPRODUCT($E$35:$E$37,AF$35:AF$37)/'1_hub_LCIA'!$C$20</f>
        <v>5.0564409542593551E-2</v>
      </c>
      <c r="AG120" s="28">
        <f>'Preparation and execution'!$D$38*AG65+SUMPRODUCT($E$35:$E$37,AG$35:AG$37)/'1_hub_LCIA'!$C$20</f>
        <v>8.2103588276345491E-4</v>
      </c>
      <c r="AH120" s="28">
        <f>'Preparation and execution'!$D$38*AH65+SUMPRODUCT($E$35:$E$37,AH$35:AH$37)/'1_hub_LCIA'!$C$20</f>
        <v>7.740777328559427E-2</v>
      </c>
      <c r="AI120" s="29">
        <f>'Preparation and execution'!$D$38*AI65+SUMPRODUCT($E$35:$E$37,AI$35:AI$37)/'1_hub_LCIA'!$C$20</f>
        <v>7.6708843354550638E-2</v>
      </c>
    </row>
    <row r="121" spans="2:35" x14ac:dyDescent="0.25">
      <c r="B121" s="256"/>
      <c r="C121" s="67" t="str">
        <f t="shared" si="48"/>
        <v>3_Hub_70%IP</v>
      </c>
      <c r="D121" s="28" t="s">
        <v>539</v>
      </c>
      <c r="E121" s="28">
        <v>1</v>
      </c>
      <c r="F121" s="28" t="s">
        <v>357</v>
      </c>
      <c r="G121" s="28" t="str">
        <f t="shared" si="47"/>
        <v>3_Hub_70%IP</v>
      </c>
      <c r="H121" s="28">
        <f>'Preparation and execution'!$D$38*H66+SUMPRODUCT($E$35:$E$37,H$35:H$37)/'1_hub_LCIA'!$C$20</f>
        <v>17.236254193586767</v>
      </c>
      <c r="I121" s="28">
        <f>'Preparation and execution'!$D$38*I66+SUMPRODUCT($E$35:$E$37,I$35:I$37)/'1_hub_LCIA'!$C$20</f>
        <v>2.7000736269903949</v>
      </c>
      <c r="J121" s="28">
        <f>'Preparation and execution'!$D$38*J66+SUMPRODUCT($E$35:$E$37,J$35:J$37)/'1_hub_LCIA'!$C$20</f>
        <v>187.63810965647383</v>
      </c>
      <c r="K121" s="28">
        <f>'Preparation and execution'!$D$38*K66+SUMPRODUCT($E$35:$E$37,K$35:K$37)/'1_hub_LCIA'!$C$20</f>
        <v>0.64850149739807328</v>
      </c>
      <c r="L121" s="28">
        <f>'Preparation and execution'!$D$38*L66+SUMPRODUCT($E$35:$E$37,L$35:L$37)/'1_hub_LCIA'!$C$20</f>
        <v>110.83619281647783</v>
      </c>
      <c r="M121" s="28">
        <f>'Preparation and execution'!$D$38*M66+SUMPRODUCT($E$35:$E$37,M$35:M$37)/'1_hub_LCIA'!$C$20</f>
        <v>4.7436687512102322E-4</v>
      </c>
      <c r="N121" s="28">
        <f>'Preparation and execution'!$D$38*N66+SUMPRODUCT($E$35:$E$37,N$35:N$37)/'1_hub_LCIA'!$C$20</f>
        <v>1.6914942312968329</v>
      </c>
      <c r="O121" s="28">
        <f>'Preparation and execution'!$D$38*O66+SUMPRODUCT($E$35:$E$37,O$35:O$37)/'1_hub_LCIA'!$C$20</f>
        <v>5.8504950654882819</v>
      </c>
      <c r="P121" s="28">
        <f>'Preparation and execution'!$D$38*P66+SUMPRODUCT($E$35:$E$37,P$35:P$37)/'1_hub_LCIA'!$C$20</f>
        <v>4.3371935555695034</v>
      </c>
      <c r="Q121" s="28">
        <f>'Preparation and execution'!$D$38*Q66+SUMPRODUCT($E$35:$E$37,Q$35:Q$37)/'1_hub_LCIA'!$C$20</f>
        <v>313.70253481656994</v>
      </c>
      <c r="R121" s="28">
        <f>'Preparation and execution'!$D$38*R66+SUMPRODUCT($E$35:$E$37,R$35:R$37)/'1_hub_LCIA'!$C$20</f>
        <v>0.44530547761540684</v>
      </c>
      <c r="S121" s="28">
        <f>'Preparation and execution'!$D$38*S66+SUMPRODUCT($E$35:$E$37,S$35:S$37)/'1_hub_LCIA'!$C$20</f>
        <v>17.002653916162075</v>
      </c>
      <c r="T121" s="28">
        <f>'Preparation and execution'!$D$38*T66+SUMPRODUCT($E$35:$E$37,T$35:T$37)/'1_hub_LCIA'!$C$20</f>
        <v>4.6986374141484823</v>
      </c>
      <c r="U121" s="28">
        <f>'Preparation and execution'!$D$38*U66+SUMPRODUCT($E$35:$E$37,U$35:U$37)/'1_hub_LCIA'!$C$20</f>
        <v>0.83448391082543805</v>
      </c>
      <c r="V121" s="28">
        <f>'Preparation and execution'!$D$38*V66+SUMPRODUCT($E$35:$E$37,V$35:V$37)/'1_hub_LCIA'!$C$20</f>
        <v>1.0435318970830849E-2</v>
      </c>
      <c r="W121" s="28">
        <f>'Preparation and execution'!$D$38*W66+SUMPRODUCT($E$35:$E$37,W$35:W$37)/'1_hub_LCIA'!$C$20</f>
        <v>7.2744653171326989</v>
      </c>
      <c r="X121" s="28">
        <f>'Preparation and execution'!$D$38*X66+SUMPRODUCT($E$35:$E$37,X$35:X$37)/'1_hub_LCIA'!$C$20</f>
        <v>7.2055173244555792</v>
      </c>
      <c r="Y121" s="28">
        <f>'Preparation and execution'!$D$38*Y66+SUMPRODUCT($E$35:$E$37,Y$35:Y$37)/'1_hub_LCIA'!$C$20</f>
        <v>0.71449505669860836</v>
      </c>
      <c r="Z121" s="28">
        <f>'Preparation and execution'!$D$38*Z66+SUMPRODUCT($E$35:$E$37,Z$35:Z$37)/'1_hub_LCIA'!$C$20</f>
        <v>6.9136829761892267E-3</v>
      </c>
      <c r="AA121" s="28">
        <f>'Preparation and execution'!$D$38*AA66+SUMPRODUCT($E$35:$E$37,AA$35:AA$37)/'1_hub_LCIA'!$C$20</f>
        <v>0.33690514947312084</v>
      </c>
      <c r="AB121" s="28">
        <f>'Preparation and execution'!$D$38*AB66+SUMPRODUCT($E$35:$E$37,AB$35:AB$37)/'1_hub_LCIA'!$C$20</f>
        <v>-6.6537478788484649E-4</v>
      </c>
      <c r="AC121" s="28">
        <f>'Preparation and execution'!$D$38*AC66+SUMPRODUCT($E$35:$E$37,AC$35:AC$37)/'1_hub_LCIA'!$C$20</f>
        <v>5.3434430395634286E-7</v>
      </c>
      <c r="AD121" s="28">
        <f>'Preparation and execution'!$D$38*AD66+SUMPRODUCT($E$35:$E$37,AD$35:AD$37)/'1_hub_LCIA'!$C$20</f>
        <v>3.4130995562626561E-2</v>
      </c>
      <c r="AE121" s="28">
        <f>'Preparation and execution'!$D$38*AE66+SUMPRODUCT($E$35:$E$37,AE$35:AE$37)/'1_hub_LCIA'!$C$20</f>
        <v>2.8731340208644242E-2</v>
      </c>
      <c r="AF121" s="28">
        <f>'Preparation and execution'!$D$38*AF66+SUMPRODUCT($E$35:$E$37,AF$35:AF$37)/'1_hub_LCIA'!$C$20</f>
        <v>4.9739370142500614E-2</v>
      </c>
      <c r="AG121" s="28">
        <f>'Preparation and execution'!$D$38*AG66+SUMPRODUCT($E$35:$E$37,AG$35:AG$37)/'1_hub_LCIA'!$C$20</f>
        <v>8.2480861880434696E-4</v>
      </c>
      <c r="AH121" s="28">
        <f>'Preparation and execution'!$D$38*AH66+SUMPRODUCT($E$35:$E$37,AH$35:AH$37)/'1_hub_LCIA'!$C$20</f>
        <v>7.7292587981690905E-2</v>
      </c>
      <c r="AI121" s="29">
        <f>'Preparation and execution'!$D$38*AI66+SUMPRODUCT($E$35:$E$37,AI$35:AI$37)/'1_hub_LCIA'!$C$20</f>
        <v>7.732278557713429E-2</v>
      </c>
    </row>
    <row r="122" spans="2:35" x14ac:dyDescent="0.25">
      <c r="B122" s="256"/>
      <c r="C122" s="67" t="str">
        <f t="shared" si="48"/>
        <v>3_Hub_90%IP</v>
      </c>
      <c r="D122" s="28" t="s">
        <v>539</v>
      </c>
      <c r="E122" s="28">
        <v>1</v>
      </c>
      <c r="F122" s="28" t="s">
        <v>357</v>
      </c>
      <c r="G122" s="28" t="str">
        <f t="shared" si="47"/>
        <v>3_Hub_90%IP</v>
      </c>
      <c r="H122" s="28">
        <f>'Preparation and execution'!$D$38*H67+SUMPRODUCT($E$35:$E$37,H$35:H$37)/'1_hub_LCIA'!$C$20</f>
        <v>16.965389663119662</v>
      </c>
      <c r="I122" s="28">
        <f>'Preparation and execution'!$D$38*I67+SUMPRODUCT($E$35:$E$37,I$35:I$37)/'1_hub_LCIA'!$C$20</f>
        <v>2.8088873485032448</v>
      </c>
      <c r="J122" s="28">
        <f>'Preparation and execution'!$D$38*J67+SUMPRODUCT($E$35:$E$37,J$35:J$37)/'1_hub_LCIA'!$C$20</f>
        <v>185.57783383620554</v>
      </c>
      <c r="K122" s="28">
        <f>'Preparation and execution'!$D$38*K67+SUMPRODUCT($E$35:$E$37,K$35:K$37)/'1_hub_LCIA'!$C$20</f>
        <v>0.85984597733988699</v>
      </c>
      <c r="L122" s="28">
        <f>'Preparation and execution'!$D$38*L67+SUMPRODUCT($E$35:$E$37,L$35:L$37)/'1_hub_LCIA'!$C$20</f>
        <v>106.52566194529635</v>
      </c>
      <c r="M122" s="28">
        <f>'Preparation and execution'!$D$38*M67+SUMPRODUCT($E$35:$E$37,M$35:M$37)/'1_hub_LCIA'!$C$20</f>
        <v>4.8032903206299835E-4</v>
      </c>
      <c r="N122" s="28">
        <f>'Preparation and execution'!$D$38*N67+SUMPRODUCT($E$35:$E$37,N$35:N$37)/'1_hub_LCIA'!$C$20</f>
        <v>2.1121393525187502</v>
      </c>
      <c r="O122" s="28">
        <f>'Preparation and execution'!$D$38*O67+SUMPRODUCT($E$35:$E$37,O$35:O$37)/'1_hub_LCIA'!$C$20</f>
        <v>7.117983668203653</v>
      </c>
      <c r="P122" s="28">
        <f>'Preparation and execution'!$D$38*P67+SUMPRODUCT($E$35:$E$37,P$35:P$37)/'1_hub_LCIA'!$C$20</f>
        <v>4.565115003767338</v>
      </c>
      <c r="Q122" s="28">
        <f>'Preparation and execution'!$D$38*Q67+SUMPRODUCT($E$35:$E$37,Q$35:Q$37)/'1_hub_LCIA'!$C$20</f>
        <v>309.56794746086683</v>
      </c>
      <c r="R122" s="28">
        <f>'Preparation and execution'!$D$38*R67+SUMPRODUCT($E$35:$E$37,R$35:R$37)/'1_hub_LCIA'!$C$20</f>
        <v>0.46002786245458582</v>
      </c>
      <c r="S122" s="28">
        <f>'Preparation and execution'!$D$38*S67+SUMPRODUCT($E$35:$E$37,S$35:S$37)/'1_hub_LCIA'!$C$20</f>
        <v>16.734296521625144</v>
      </c>
      <c r="T122" s="28">
        <f>'Preparation and execution'!$D$38*T67+SUMPRODUCT($E$35:$E$37,T$35:T$37)/'1_hub_LCIA'!$C$20</f>
        <v>4.6513772315074604</v>
      </c>
      <c r="U122" s="28">
        <f>'Preparation and execution'!$D$38*U67+SUMPRODUCT($E$35:$E$37,U$35:U$37)/'1_hub_LCIA'!$C$20</f>
        <v>0.83661832815209092</v>
      </c>
      <c r="V122" s="28">
        <f>'Preparation and execution'!$D$38*V67+SUMPRODUCT($E$35:$E$37,V$35:V$37)/'1_hub_LCIA'!$C$20</f>
        <v>1.0545673173190637E-2</v>
      </c>
      <c r="W122" s="28">
        <f>'Preparation and execution'!$D$38*W67+SUMPRODUCT($E$35:$E$37,W$35:W$37)/'1_hub_LCIA'!$C$20</f>
        <v>7.3203177496525003</v>
      </c>
      <c r="X122" s="28">
        <f>'Preparation and execution'!$D$38*X67+SUMPRODUCT($E$35:$E$37,X$35:X$37)/'1_hub_LCIA'!$C$20</f>
        <v>6.9259381503809081</v>
      </c>
      <c r="Y122" s="28">
        <f>'Preparation and execution'!$D$38*Y67+SUMPRODUCT($E$35:$E$37,Y$35:Y$37)/'1_hub_LCIA'!$C$20</f>
        <v>0.71648869901313894</v>
      </c>
      <c r="Z122" s="28">
        <f>'Preparation and execution'!$D$38*Z67+SUMPRODUCT($E$35:$E$37,Z$35:Z$37)/'1_hub_LCIA'!$C$20</f>
        <v>6.9137500119092858E-3</v>
      </c>
      <c r="AA122" s="28">
        <f>'Preparation and execution'!$D$38*AA67+SUMPRODUCT($E$35:$E$37,AA$35:AA$37)/'1_hub_LCIA'!$C$20</f>
        <v>0.3366973387409406</v>
      </c>
      <c r="AB122" s="28">
        <f>'Preparation and execution'!$D$38*AB67+SUMPRODUCT($E$35:$E$37,AB$35:AB$37)/'1_hub_LCIA'!$C$20</f>
        <v>-6.5250929249127947E-4</v>
      </c>
      <c r="AC122" s="28">
        <f>'Preparation and execution'!$D$38*AC67+SUMPRODUCT($E$35:$E$37,AC$35:AC$37)/'1_hub_LCIA'!$C$20</f>
        <v>5.3359350389169128E-7</v>
      </c>
      <c r="AD122" s="28">
        <f>'Preparation and execution'!$D$38*AD67+SUMPRODUCT($E$35:$E$37,AD$35:AD$37)/'1_hub_LCIA'!$C$20</f>
        <v>3.4685917253268229E-2</v>
      </c>
      <c r="AE122" s="28">
        <f>'Preparation and execution'!$D$38*AE67+SUMPRODUCT($E$35:$E$37,AE$35:AE$37)/'1_hub_LCIA'!$C$20</f>
        <v>2.831916438029447E-2</v>
      </c>
      <c r="AF122" s="28">
        <f>'Preparation and execution'!$D$38*AF67+SUMPRODUCT($E$35:$E$37,AF$35:AF$37)/'1_hub_LCIA'!$C$20</f>
        <v>4.8281611374115282E-2</v>
      </c>
      <c r="AG122" s="28">
        <f>'Preparation and execution'!$D$38*AG67+SUMPRODUCT($E$35:$E$37,AG$35:AG$37)/'1_hub_LCIA'!$C$20</f>
        <v>8.3147465080693321E-4</v>
      </c>
      <c r="AH122" s="28">
        <f>'Preparation and execution'!$D$38*AH67+SUMPRODUCT($E$35:$E$37,AH$35:AH$37)/'1_hub_LCIA'!$C$20</f>
        <v>7.7089067535594261E-2</v>
      </c>
      <c r="AI122" s="29">
        <f>'Preparation and execution'!$D$38*AI67+SUMPRODUCT($E$35:$E$37,AI$35:AI$37)/'1_hub_LCIA'!$C$20</f>
        <v>7.8407557599115885E-2</v>
      </c>
    </row>
    <row r="123" spans="2:35" x14ac:dyDescent="0.25">
      <c r="B123" s="256"/>
      <c r="C123" s="67" t="str">
        <f t="shared" si="48"/>
        <v>4_Hub_10%IP</v>
      </c>
      <c r="D123" s="28" t="s">
        <v>539</v>
      </c>
      <c r="E123" s="28">
        <v>1</v>
      </c>
      <c r="F123" s="28" t="s">
        <v>357</v>
      </c>
      <c r="G123" s="28" t="str">
        <f t="shared" si="47"/>
        <v>4_Hub_10%IP</v>
      </c>
      <c r="H123" s="28">
        <f>'Preparation and execution'!$D$38*H68+SUMPRODUCT($E$35:$E$37,H$35:H$37)/'1_hub_LCIA'!$C$20</f>
        <v>15.175052506597922</v>
      </c>
      <c r="I123" s="28">
        <f>'Preparation and execution'!$D$38*I68+SUMPRODUCT($E$35:$E$37,I$35:I$37)/'1_hub_LCIA'!$C$20</f>
        <v>3.5281149580684628</v>
      </c>
      <c r="J123" s="28">
        <f>'Preparation and execution'!$D$38*J68+SUMPRODUCT($E$35:$E$37,J$35:J$37)/'1_hub_LCIA'!$C$20</f>
        <v>171.95999931446642</v>
      </c>
      <c r="K123" s="28">
        <f>'Preparation and execution'!$D$38*K68+SUMPRODUCT($E$35:$E$37,K$35:K$37)/'1_hub_LCIA'!$C$20</f>
        <v>2.2567726056181483</v>
      </c>
      <c r="L123" s="28">
        <f>'Preparation and execution'!$D$38*L68+SUMPRODUCT($E$35:$E$37,L$35:L$37)/'1_hub_LCIA'!$C$20</f>
        <v>78.034284467035476</v>
      </c>
      <c r="M123" s="28">
        <f>'Preparation and execution'!$D$38*M68+SUMPRODUCT($E$35:$E$37,M$35:M$37)/'1_hub_LCIA'!$C$20</f>
        <v>5.197371859760419E-4</v>
      </c>
      <c r="N123" s="28">
        <f>'Preparation and execution'!$D$38*N68+SUMPRODUCT($E$35:$E$37,N$35:N$37)/'1_hub_LCIA'!$C$20</f>
        <v>4.8924834194752718</v>
      </c>
      <c r="O123" s="28">
        <f>'Preparation and execution'!$D$38*O68+SUMPRODUCT($E$35:$E$37,O$35:O$37)/'1_hub_LCIA'!$C$20</f>
        <v>15.495721192551478</v>
      </c>
      <c r="P123" s="28">
        <f>'Preparation and execution'!$D$38*P68+SUMPRODUCT($E$35:$E$37,P$35:P$37)/'1_hub_LCIA'!$C$20</f>
        <v>6.0716106559412513</v>
      </c>
      <c r="Q123" s="28">
        <f>'Preparation and execution'!$D$38*Q68+SUMPRODUCT($E$35:$E$37,Q$35:Q$37)/'1_hub_LCIA'!$C$20</f>
        <v>282.23950635034248</v>
      </c>
      <c r="R123" s="28">
        <f>'Preparation and execution'!$D$38*R68+SUMPRODUCT($E$35:$E$37,R$35:R$37)/'1_hub_LCIA'!$C$20</f>
        <v>0.55733861984589017</v>
      </c>
      <c r="S123" s="28">
        <f>'Preparation and execution'!$D$38*S68+SUMPRODUCT($E$35:$E$37,S$35:S$37)/'1_hub_LCIA'!$C$20</f>
        <v>14.960530817277322</v>
      </c>
      <c r="T123" s="28">
        <f>'Preparation and execution'!$D$38*T68+SUMPRODUCT($E$35:$E$37,T$35:T$37)/'1_hub_LCIA'!$C$20</f>
        <v>4.3390009271596348</v>
      </c>
      <c r="U123" s="28">
        <f>'Preparation and execution'!$D$38*U68+SUMPRODUCT($E$35:$E$37,U$35:U$37)/'1_hub_LCIA'!$C$20</f>
        <v>0.85072621684774297</v>
      </c>
      <c r="V123" s="28">
        <f>'Preparation and execution'!$D$38*V68+SUMPRODUCT($E$35:$E$37,V$35:V$37)/'1_hub_LCIA'!$C$20</f>
        <v>1.1275082921016725E-2</v>
      </c>
      <c r="W123" s="28">
        <f>'Preparation and execution'!$D$38*W68+SUMPRODUCT($E$35:$E$37,W$35:W$37)/'1_hub_LCIA'!$C$20</f>
        <v>7.6233892279133686</v>
      </c>
      <c r="X123" s="28">
        <f>'Preparation and execution'!$D$38*X68+SUMPRODUCT($E$35:$E$37,X$35:X$37)/'1_hub_LCIA'!$C$20</f>
        <v>5.0779996895113424</v>
      </c>
      <c r="Y123" s="28">
        <f>'Preparation and execution'!$D$38*Y68+SUMPRODUCT($E$35:$E$37,Y$35:Y$37)/'1_hub_LCIA'!$C$20</f>
        <v>0.72966610510009533</v>
      </c>
      <c r="Z123" s="28">
        <f>'Preparation and execution'!$D$38*Z68+SUMPRODUCT($E$35:$E$37,Z$35:Z$37)/'1_hub_LCIA'!$C$20</f>
        <v>6.9141930988658069E-3</v>
      </c>
      <c r="AA123" s="28">
        <f>'Preparation and execution'!$D$38*AA68+SUMPRODUCT($E$35:$E$37,AA$35:AA$37)/'1_hub_LCIA'!$C$20</f>
        <v>0.33532376917572315</v>
      </c>
      <c r="AB123" s="28">
        <f>'Preparation and execution'!$D$38*AB68+SUMPRODUCT($E$35:$E$37,AB$35:AB$37)/'1_hub_LCIA'!$C$20</f>
        <v>-5.6747204379562724E-4</v>
      </c>
      <c r="AC123" s="28">
        <f>'Preparation and execution'!$D$38*AC68+SUMPRODUCT($E$35:$E$37,AC$35:AC$37)/'1_hub_LCIA'!$C$20</f>
        <v>5.2863092997864776E-7</v>
      </c>
      <c r="AD123" s="28">
        <f>'Preparation and execution'!$D$38*AD68+SUMPRODUCT($E$35:$E$37,AD$35:AD$37)/'1_hub_LCIA'!$C$20</f>
        <v>3.8353791079355187E-2</v>
      </c>
      <c r="AE123" s="28">
        <f>'Preparation and execution'!$D$38*AE68+SUMPRODUCT($E$35:$E$37,AE$35:AE$37)/'1_hub_LCIA'!$C$20</f>
        <v>2.5594799919424906E-2</v>
      </c>
      <c r="AF123" s="28">
        <f>'Preparation and execution'!$D$38*AF68+SUMPRODUCT($E$35:$E$37,AF$35:AF$37)/'1_hub_LCIA'!$C$20</f>
        <v>3.864624241759354E-2</v>
      </c>
      <c r="AG123" s="28">
        <f>'Preparation and execution'!$D$38*AG68+SUMPRODUCT($E$35:$E$37,AG$35:AG$37)/'1_hub_LCIA'!$C$20</f>
        <v>8.7553521776345482E-4</v>
      </c>
      <c r="AH123" s="28">
        <f>'Preparation and execution'!$D$38*AH68+SUMPRODUCT($E$35:$E$37,AH$35:AH$37)/'1_hub_LCIA'!$C$20</f>
        <v>7.5743855535594248E-2</v>
      </c>
      <c r="AI123" s="29">
        <f>'Preparation and execution'!$D$38*AI68+SUMPRODUCT($E$35:$E$37,AI$35:AI$37)/'1_hub_LCIA'!$C$20</f>
        <v>8.5577590729550651E-2</v>
      </c>
    </row>
    <row r="124" spans="2:35" x14ac:dyDescent="0.25">
      <c r="B124" s="256"/>
      <c r="C124" s="67" t="str">
        <f t="shared" si="48"/>
        <v>4_Hub_30%IP</v>
      </c>
      <c r="D124" s="28" t="s">
        <v>539</v>
      </c>
      <c r="E124" s="28">
        <v>1</v>
      </c>
      <c r="F124" s="28" t="s">
        <v>357</v>
      </c>
      <c r="G124" s="28" t="str">
        <f t="shared" si="47"/>
        <v>4_Hub_30%IP</v>
      </c>
      <c r="H124" s="28">
        <f>'Preparation and execution'!$D$38*H69+SUMPRODUCT($E$35:$E$37,H$35:H$37)/'1_hub_LCIA'!$C$20</f>
        <v>15.949477416163136</v>
      </c>
      <c r="I124" s="28">
        <f>'Preparation and execution'!$D$38*I69+SUMPRODUCT($E$35:$E$37,I$35:I$37)/'1_hub_LCIA'!$C$20</f>
        <v>3.2170072013728102</v>
      </c>
      <c r="J124" s="28">
        <f>'Preparation and execution'!$D$38*J69+SUMPRODUCT($E$35:$E$37,J$35:J$37)/'1_hub_LCIA'!$C$20</f>
        <v>177.85050447968382</v>
      </c>
      <c r="K124" s="28">
        <f>'Preparation and execution'!$D$38*K69+SUMPRODUCT($E$35:$E$37,K$35:K$37)/'1_hub_LCIA'!$C$20</f>
        <v>1.6525206222233655</v>
      </c>
      <c r="L124" s="28">
        <f>'Preparation and execution'!$D$38*L69+SUMPRODUCT($E$35:$E$37,L$35:L$37)/'1_hub_LCIA'!$C$20</f>
        <v>90.358461701818086</v>
      </c>
      <c r="M124" s="28">
        <f>'Preparation and execution'!$D$38*M69+SUMPRODUCT($E$35:$E$37,M$35:M$37)/'1_hub_LCIA'!$C$20</f>
        <v>5.0269086823691148E-4</v>
      </c>
      <c r="N124" s="28">
        <f>'Preparation and execution'!$D$38*N69+SUMPRODUCT($E$35:$E$37,N$35:N$37)/'1_hub_LCIA'!$C$20</f>
        <v>3.6898229626057071</v>
      </c>
      <c r="O124" s="28">
        <f>'Preparation and execution'!$D$38*O69+SUMPRODUCT($E$35:$E$37,O$35:O$37)/'1_hub_LCIA'!$C$20</f>
        <v>11.871862635508002</v>
      </c>
      <c r="P124" s="28">
        <f>'Preparation and execution'!$D$38*P69+SUMPRODUCT($E$35:$E$37,P$35:P$37)/'1_hub_LCIA'!$C$20</f>
        <v>5.4199636994195117</v>
      </c>
      <c r="Q124" s="28">
        <f>'Preparation and execution'!$D$38*Q69+SUMPRODUCT($E$35:$E$37,Q$35:Q$37)/'1_hub_LCIA'!$C$20</f>
        <v>294.06064599349958</v>
      </c>
      <c r="R124" s="28">
        <f>'Preparation and execution'!$D$38*R69+SUMPRODUCT($E$35:$E$37,R$35:R$37)/'1_hub_LCIA'!$C$20</f>
        <v>0.51524605967197712</v>
      </c>
      <c r="S124" s="28">
        <f>'Preparation and execution'!$D$38*S69+SUMPRODUCT($E$35:$E$37,S$35:S$37)/'1_hub_LCIA'!$C$20</f>
        <v>15.727787610320799</v>
      </c>
      <c r="T124" s="28">
        <f>'Preparation and execution'!$D$38*T69+SUMPRODUCT($E$35:$E$37,T$35:T$37)/'1_hub_LCIA'!$C$20</f>
        <v>4.4741218402031127</v>
      </c>
      <c r="U124" s="28">
        <f>'Preparation and execution'!$D$38*U69+SUMPRODUCT($E$35:$E$37,U$35:U$37)/'1_hub_LCIA'!$C$20</f>
        <v>0.84462373476078645</v>
      </c>
      <c r="V124" s="28">
        <f>'Preparation and execution'!$D$38*V69+SUMPRODUCT($E$35:$E$37,V$35:V$37)/'1_hub_LCIA'!$C$20</f>
        <v>1.0959570797538464E-2</v>
      </c>
      <c r="W124" s="28">
        <f>'Preparation and execution'!$D$38*W69+SUMPRODUCT($E$35:$E$37,W$35:W$37)/'1_hub_LCIA'!$C$20</f>
        <v>7.4922931931307595</v>
      </c>
      <c r="X124" s="28">
        <f>'Preparation and execution'!$D$38*X69+SUMPRODUCT($E$35:$E$37,X$35:X$37)/'1_hub_LCIA'!$C$20</f>
        <v>5.8773405121200382</v>
      </c>
      <c r="Y124" s="28">
        <f>'Preparation and execution'!$D$38*Y69+SUMPRODUCT($E$35:$E$37,Y$35:Y$37)/'1_hub_LCIA'!$C$20</f>
        <v>0.7239661108392258</v>
      </c>
      <c r="Z124" s="28">
        <f>'Preparation and execution'!$D$38*Z69+SUMPRODUCT($E$35:$E$37,Z$35:Z$37)/'1_hub_LCIA'!$C$20</f>
        <v>6.9140014379962412E-3</v>
      </c>
      <c r="AA124" s="28">
        <f>'Preparation and execution'!$D$38*AA69+SUMPRODUCT($E$35:$E$37,AA$35:AA$37)/'1_hub_LCIA'!$C$20</f>
        <v>0.33591791787137532</v>
      </c>
      <c r="AB124" s="28">
        <f>'Preparation and execution'!$D$38*AB69+SUMPRODUCT($E$35:$E$37,AB$35:AB$37)/'1_hub_LCIA'!$C$20</f>
        <v>-6.0425559788258377E-4</v>
      </c>
      <c r="AC124" s="28">
        <f>'Preparation and execution'!$D$38*AC69+SUMPRODUCT($E$35:$E$37,AC$35:AC$37)/'1_hub_LCIA'!$C$20</f>
        <v>5.3077753171777824E-7</v>
      </c>
      <c r="AD124" s="28">
        <f>'Preparation and execution'!$D$38*AD69+SUMPRODUCT($E$35:$E$37,AD$35:AD$37)/'1_hub_LCIA'!$C$20</f>
        <v>3.676722240109432E-2</v>
      </c>
      <c r="AE124" s="28">
        <f>'Preparation and execution'!$D$38*AE69+SUMPRODUCT($E$35:$E$37,AE$35:AE$37)/'1_hub_LCIA'!$C$20</f>
        <v>2.6773245942033605E-2</v>
      </c>
      <c r="AF124" s="28">
        <f>'Preparation and execution'!$D$38*AF69+SUMPRODUCT($E$35:$E$37,AF$35:AF$37)/'1_hub_LCIA'!$C$20</f>
        <v>4.2814099687158762E-2</v>
      </c>
      <c r="AG124" s="28">
        <f>'Preparation and execution'!$D$38*AG69+SUMPRODUCT($E$35:$E$37,AG$35:AG$37)/'1_hub_LCIA'!$C$20</f>
        <v>8.5647646089388979E-4</v>
      </c>
      <c r="AH124" s="28">
        <f>'Preparation and execution'!$D$38*AH69+SUMPRODUCT($E$35:$E$37,AH$35:AH$37)/'1_hub_LCIA'!$C$20</f>
        <v>7.6325737935594259E-2</v>
      </c>
      <c r="AI124" s="29">
        <f>'Preparation and execution'!$D$38*AI69+SUMPRODUCT($E$35:$E$37,AI$35:AI$37)/'1_hub_LCIA'!$C$20</f>
        <v>8.2476134538246287E-2</v>
      </c>
    </row>
    <row r="125" spans="2:35" x14ac:dyDescent="0.25">
      <c r="B125" s="256"/>
      <c r="C125" s="67" t="str">
        <f t="shared" si="48"/>
        <v>4_Hub_50%IP</v>
      </c>
      <c r="D125" s="28" t="s">
        <v>539</v>
      </c>
      <c r="E125" s="28">
        <v>1</v>
      </c>
      <c r="F125" s="28" t="s">
        <v>357</v>
      </c>
      <c r="G125" s="28" t="str">
        <f t="shared" si="47"/>
        <v>4_Hub_50%IP</v>
      </c>
      <c r="H125" s="28">
        <f>'Preparation and execution'!$D$38*H70+SUMPRODUCT($E$35:$E$37,H$35:H$37)/'1_hub_LCIA'!$C$20</f>
        <v>16.701262887847921</v>
      </c>
      <c r="I125" s="28">
        <f>'Preparation and execution'!$D$38*I70+SUMPRODUCT($E$35:$E$37,I$35:I$37)/'1_hub_LCIA'!$C$20</f>
        <v>2.9149943286934628</v>
      </c>
      <c r="J125" s="28">
        <f>'Preparation and execution'!$D$38*J70+SUMPRODUCT($E$35:$E$37,J$35:J$37)/'1_hub_LCIA'!$C$20</f>
        <v>183.56880737696648</v>
      </c>
      <c r="K125" s="28">
        <f>'Preparation and execution'!$D$38*K70+SUMPRODUCT($E$35:$E$37,K$35:K$37)/'1_hub_LCIA'!$C$20</f>
        <v>1.065933263343148</v>
      </c>
      <c r="L125" s="28">
        <f>'Preparation and execution'!$D$38*L70+SUMPRODUCT($E$35:$E$37,L$35:L$37)/'1_hub_LCIA'!$C$20</f>
        <v>102.32235552953549</v>
      </c>
      <c r="M125" s="28">
        <f>'Preparation and execution'!$D$38*M70+SUMPRODUCT($E$35:$E$37,M$35:M$37)/'1_hub_LCIA'!$C$20</f>
        <v>4.8614288035104202E-4</v>
      </c>
      <c r="N125" s="28">
        <f>'Preparation and execution'!$D$38*N70+SUMPRODUCT($E$35:$E$37,N$35:N$37)/'1_hub_LCIA'!$C$20</f>
        <v>2.5223209263502726</v>
      </c>
      <c r="O125" s="28">
        <f>'Preparation and execution'!$D$38*O70+SUMPRODUCT($E$35:$E$37,O$35:O$37)/'1_hub_LCIA'!$C$20</f>
        <v>8.353943491926481</v>
      </c>
      <c r="P125" s="28">
        <f>'Preparation and execution'!$D$38*P70+SUMPRODUCT($E$35:$E$37,P$35:P$37)/'1_hub_LCIA'!$C$20</f>
        <v>4.7873669059412514</v>
      </c>
      <c r="Q125" s="28">
        <f>'Preparation and execution'!$D$38*Q70+SUMPRODUCT($E$35:$E$37,Q$35:Q$37)/'1_hub_LCIA'!$C$20</f>
        <v>305.53620796563695</v>
      </c>
      <c r="R125" s="28">
        <f>'Preparation and execution'!$D$38*R70+SUMPRODUCT($E$35:$E$37,R$35:R$37)/'1_hub_LCIA'!$C$20</f>
        <v>0.47438402797089019</v>
      </c>
      <c r="S125" s="28">
        <f>'Preparation and execution'!$D$38*S70+SUMPRODUCT($E$35:$E$37,S$35:S$37)/'1_hub_LCIA'!$C$20</f>
        <v>16.472614517277318</v>
      </c>
      <c r="T125" s="28">
        <f>'Preparation and execution'!$D$38*T70+SUMPRODUCT($E$35:$E$37,T$35:T$37)/'1_hub_LCIA'!$C$20</f>
        <v>4.6052926459096355</v>
      </c>
      <c r="U125" s="28">
        <f>'Preparation and execution'!$D$38*U70+SUMPRODUCT($E$35:$E$37,U$35:U$37)/'1_hub_LCIA'!$C$20</f>
        <v>0.83869965184774309</v>
      </c>
      <c r="V125" s="28">
        <f>'Preparation and execution'!$D$38*V70+SUMPRODUCT($E$35:$E$37,V$35:V$37)/'1_hub_LCIA'!$C$20</f>
        <v>1.0653282314766725E-2</v>
      </c>
      <c r="W125" s="28">
        <f>'Preparation and execution'!$D$38*W70+SUMPRODUCT($E$35:$E$37,W$35:W$37)/'1_hub_LCIA'!$C$20</f>
        <v>7.3650296029133688</v>
      </c>
      <c r="X125" s="28">
        <f>'Preparation and execution'!$D$38*X70+SUMPRODUCT($E$35:$E$37,X$35:X$37)/'1_hub_LCIA'!$C$20</f>
        <v>6.6533135082613439</v>
      </c>
      <c r="Y125" s="28">
        <f>'Preparation and execution'!$D$38*Y70+SUMPRODUCT($E$35:$E$37,Y$35:Y$37)/'1_hub_LCIA'!$C$20</f>
        <v>0.7184327494750955</v>
      </c>
      <c r="Z125" s="28">
        <f>'Preparation and execution'!$D$38*Z70+SUMPRODUCT($E$35:$E$37,Z$35:Z$37)/'1_hub_LCIA'!$C$20</f>
        <v>6.9138153801158071E-3</v>
      </c>
      <c r="AA125" s="28">
        <f>'Preparation and execution'!$D$38*AA70+SUMPRODUCT($E$35:$E$37,AA$35:AA$37)/'1_hub_LCIA'!$C$20</f>
        <v>0.33649469730072323</v>
      </c>
      <c r="AB125" s="28">
        <f>'Preparation and execution'!$D$38*AB70+SUMPRODUCT($E$35:$E$37,AB$35:AB$37)/'1_hub_LCIA'!$C$20</f>
        <v>-6.3996382629562742E-4</v>
      </c>
      <c r="AC125" s="28">
        <f>'Preparation and execution'!$D$38*AC70+SUMPRODUCT($E$35:$E$37,AC$35:AC$37)/'1_hub_LCIA'!$C$20</f>
        <v>5.3286137997864778E-7</v>
      </c>
      <c r="AD125" s="28">
        <f>'Preparation and execution'!$D$38*AD70+SUMPRODUCT($E$35:$E$37,AD$35:AD$37)/'1_hub_LCIA'!$C$20</f>
        <v>3.5227035266855188E-2</v>
      </c>
      <c r="AE125" s="28">
        <f>'Preparation and execution'!$D$38*AE70+SUMPRODUCT($E$35:$E$37,AE$35:AE$37)/'1_hub_LCIA'!$C$20</f>
        <v>2.7917241425674907E-2</v>
      </c>
      <c r="AF125" s="28">
        <f>'Preparation and execution'!$D$38*AF70+SUMPRODUCT($E$35:$E$37,AF$35:AF$37)/'1_hub_LCIA'!$C$20</f>
        <v>4.6860114355093553E-2</v>
      </c>
      <c r="AG125" s="28">
        <f>'Preparation and execution'!$D$38*AG70+SUMPRODUCT($E$35:$E$37,AG$35:AG$37)/'1_hub_LCIA'!$C$20</f>
        <v>8.3797486526345497E-4</v>
      </c>
      <c r="AH125" s="28">
        <f>'Preparation and execution'!$D$38*AH70+SUMPRODUCT($E$35:$E$37,AH$35:AH$37)/'1_hub_LCIA'!$C$20</f>
        <v>7.6890609660594259E-2</v>
      </c>
      <c r="AI125" s="29">
        <f>'Preparation and execution'!$D$38*AI70+SUMPRODUCT($E$35:$E$37,AI$35:AI$37)/'1_hub_LCIA'!$C$20</f>
        <v>7.946534591705065E-2</v>
      </c>
    </row>
    <row r="126" spans="2:35" x14ac:dyDescent="0.25">
      <c r="B126" s="256"/>
      <c r="C126" s="67" t="str">
        <f t="shared" si="48"/>
        <v>4_Hub_70%IP</v>
      </c>
      <c r="D126" s="28" t="s">
        <v>539</v>
      </c>
      <c r="E126" s="28">
        <v>1</v>
      </c>
      <c r="F126" s="28" t="s">
        <v>357</v>
      </c>
      <c r="G126" s="28" t="str">
        <f t="shared" si="47"/>
        <v>4_Hub_70%IP</v>
      </c>
      <c r="H126" s="28">
        <f>'Preparation and execution'!$D$38*H71+SUMPRODUCT($E$35:$E$37,H$35:H$37)/'1_hub_LCIA'!$C$20</f>
        <v>16.830421737081192</v>
      </c>
      <c r="I126" s="28">
        <f>'Preparation and execution'!$D$38*I71+SUMPRODUCT($E$35:$E$37,I$35:I$37)/'1_hub_LCIA'!$C$20</f>
        <v>2.8631076714513624</v>
      </c>
      <c r="J126" s="28">
        <f>'Preparation and execution'!$D$38*J71+SUMPRODUCT($E$35:$E$37,J$35:J$37)/'1_hub_LCIA'!$C$20</f>
        <v>184.55122782747759</v>
      </c>
      <c r="K126" s="28">
        <f>'Preparation and execution'!$D$38*K71+SUMPRODUCT($E$35:$E$37,K$35:K$37)/'1_hub_LCIA'!$C$20</f>
        <v>0.96515591248803634</v>
      </c>
      <c r="L126" s="28">
        <f>'Preparation and execution'!$D$38*L71+SUMPRODUCT($E$35:$E$37,L$35:L$37)/'1_hub_LCIA'!$C$20</f>
        <v>104.37778599119905</v>
      </c>
      <c r="M126" s="28">
        <f>'Preparation and execution'!$D$38*M71+SUMPRODUCT($E$35:$E$37,M$35:M$37)/'1_hub_LCIA'!$C$20</f>
        <v>4.8329988969351398E-4</v>
      </c>
      <c r="N126" s="28">
        <f>'Preparation and execution'!$D$38*N71+SUMPRODUCT($E$35:$E$37,N$35:N$37)/'1_hub_LCIA'!$C$20</f>
        <v>2.3217408072076142</v>
      </c>
      <c r="O126" s="28">
        <f>'Preparation and execution'!$D$38*O71+SUMPRODUCT($E$35:$E$37,O$35:O$37)/'1_hub_LCIA'!$C$20</f>
        <v>7.7495551319566838</v>
      </c>
      <c r="P126" s="28">
        <f>'Preparation and execution'!$D$38*P71+SUMPRODUCT($E$35:$E$37,P$35:P$37)/'1_hub_LCIA'!$C$20</f>
        <v>4.6786850053836302</v>
      </c>
      <c r="Q126" s="28">
        <f>'Preparation and execution'!$D$38*Q71+SUMPRODUCT($E$35:$E$37,Q$35:Q$37)/'1_hub_LCIA'!$C$20</f>
        <v>307.50774164705365</v>
      </c>
      <c r="R126" s="28">
        <f>'Preparation and execution'!$D$38*R71+SUMPRODUCT($E$35:$E$37,R$35:R$37)/'1_hub_LCIA'!$C$20</f>
        <v>0.46736381650016523</v>
      </c>
      <c r="S126" s="28">
        <f>'Preparation and execution'!$D$38*S71+SUMPRODUCT($E$35:$E$37,S$35:S$37)/'1_hub_LCIA'!$C$20</f>
        <v>16.600577865604457</v>
      </c>
      <c r="T126" s="28">
        <f>'Preparation and execution'!$D$38*T71+SUMPRODUCT($E$35:$E$37,T$35:T$37)/'1_hub_LCIA'!$C$20</f>
        <v>4.6278281576429068</v>
      </c>
      <c r="U126" s="28">
        <f>'Preparation and execution'!$D$38*U71+SUMPRODUCT($E$35:$E$37,U$35:U$37)/'1_hub_LCIA'!$C$20</f>
        <v>0.83768187781428571</v>
      </c>
      <c r="V126" s="28">
        <f>'Preparation and execution'!$D$38*V71+SUMPRODUCT($E$35:$E$37,V$35:V$37)/'1_hub_LCIA'!$C$20</f>
        <v>1.0600661095737915E-2</v>
      </c>
      <c r="W126" s="28">
        <f>'Preparation and execution'!$D$38*W71+SUMPRODUCT($E$35:$E$37,W$35:W$37)/'1_hub_LCIA'!$C$20</f>
        <v>7.343165361742364</v>
      </c>
      <c r="X126" s="28">
        <f>'Preparation and execution'!$D$38*X71+SUMPRODUCT($E$35:$E$37,X$35:X$37)/'1_hub_LCIA'!$C$20</f>
        <v>6.7866278419276993</v>
      </c>
      <c r="Y126" s="28">
        <f>'Preparation and execution'!$D$38*Y71+SUMPRODUCT($E$35:$E$37,Y$35:Y$37)/'1_hub_LCIA'!$C$20</f>
        <v>0.71748210249786482</v>
      </c>
      <c r="Z126" s="28">
        <f>'Preparation and execution'!$D$38*Z71+SUMPRODUCT($E$35:$E$37,Z$35:Z$37)/'1_hub_LCIA'!$C$20</f>
        <v>6.9137834148509372E-3</v>
      </c>
      <c r="AA126" s="28">
        <f>'Preparation and execution'!$D$38*AA71+SUMPRODUCT($E$35:$E$37,AA$35:AA$37)/'1_hub_LCIA'!$C$20</f>
        <v>0.33659378962181985</v>
      </c>
      <c r="AB126" s="28">
        <f>'Preparation and execution'!$D$38*AB71+SUMPRODUCT($E$35:$E$37,AB$35:AB$37)/'1_hub_LCIA'!$C$20</f>
        <v>-6.4609859992945627E-4</v>
      </c>
      <c r="AC126" s="28">
        <f>'Preparation and execution'!$D$38*AC71+SUMPRODUCT($E$35:$E$37,AC$35:AC$37)/'1_hub_LCIA'!$C$20</f>
        <v>5.3321939094519048E-7</v>
      </c>
      <c r="AD126" s="28">
        <f>'Preparation and execution'!$D$38*AD71+SUMPRODUCT($E$35:$E$37,AD$35:AD$37)/'1_hub_LCIA'!$C$20</f>
        <v>3.4962426804262252E-2</v>
      </c>
      <c r="AE126" s="28">
        <f>'Preparation and execution'!$D$38*AE71+SUMPRODUCT($E$35:$E$37,AE$35:AE$37)/'1_hub_LCIA'!$C$20</f>
        <v>2.8113783053253905E-2</v>
      </c>
      <c r="AF126" s="28">
        <f>'Preparation and execution'!$D$38*AF71+SUMPRODUCT($E$35:$E$37,AF$35:AF$37)/'1_hub_LCIA'!$C$20</f>
        <v>4.7555231004954145E-2</v>
      </c>
      <c r="AG126" s="28">
        <f>'Preparation and execution'!$D$38*AG71+SUMPRODUCT($E$35:$E$37,AG$35:AG$37)/'1_hub_LCIA'!$C$20</f>
        <v>8.3479623932479312E-4</v>
      </c>
      <c r="AH126" s="28">
        <f>'Preparation and execution'!$D$38*AH71+SUMPRODUCT($E$35:$E$37,AH$35:AH$37)/'1_hub_LCIA'!$C$20</f>
        <v>7.6987656204739227E-2</v>
      </c>
      <c r="AI126" s="29">
        <f>'Preparation and execution'!$D$38*AI71+SUMPRODUCT($E$35:$E$37,AI$35:AI$37)/'1_hub_LCIA'!$C$20</f>
        <v>7.8948084000926122E-2</v>
      </c>
    </row>
    <row r="127" spans="2:35" x14ac:dyDescent="0.25">
      <c r="B127" s="256"/>
      <c r="C127" s="67" t="str">
        <f t="shared" si="48"/>
        <v>4_Hub_90%IP</v>
      </c>
      <c r="D127" s="28" t="s">
        <v>539</v>
      </c>
      <c r="E127" s="28">
        <v>1</v>
      </c>
      <c r="F127" s="28" t="s">
        <v>357</v>
      </c>
      <c r="G127" s="28" t="str">
        <f t="shared" si="47"/>
        <v>4_Hub_90%IP</v>
      </c>
      <c r="H127" s="28">
        <f>'Preparation and execution'!$D$38*H72+SUMPRODUCT($E$35:$E$37,H$35:H$37)/'1_hub_LCIA'!$C$20</f>
        <v>16.990884268337055</v>
      </c>
      <c r="I127" s="28">
        <f>'Preparation and execution'!$D$38*I72+SUMPRODUCT($E$35:$E$37,I$35:I$37)/'1_hub_LCIA'!$C$20</f>
        <v>2.8908719547641142</v>
      </c>
      <c r="J127" s="28">
        <f>'Preparation and execution'!$D$38*J72+SUMPRODUCT($E$35:$E$37,J$35:J$37)/'1_hub_LCIA'!$C$20</f>
        <v>185.4247936622925</v>
      </c>
      <c r="K127" s="28">
        <f>'Preparation and execution'!$D$38*K72+SUMPRODUCT($E$35:$E$37,K$35:K$37)/'1_hub_LCIA'!$C$20</f>
        <v>0.6966570496042348</v>
      </c>
      <c r="L127" s="28">
        <f>'Preparation and execution'!$D$38*L72+SUMPRODUCT($E$35:$E$37,L$35:L$37)/'1_hub_LCIA'!$C$20</f>
        <v>103.21543554529634</v>
      </c>
      <c r="M127" s="28">
        <f>'Preparation and execution'!$D$38*M72+SUMPRODUCT($E$35:$E$37,M$35:M$37)/'1_hub_LCIA'!$C$20</f>
        <v>5.218983374543027E-4</v>
      </c>
      <c r="N127" s="28">
        <f>'Preparation and execution'!$D$38*N72+SUMPRODUCT($E$35:$E$37,N$35:N$37)/'1_hub_LCIA'!$C$20</f>
        <v>2.9531779963448375</v>
      </c>
      <c r="O127" s="28">
        <f>'Preparation and execution'!$D$38*O72+SUMPRODUCT($E$35:$E$37,O$35:O$37)/'1_hub_LCIA'!$C$20</f>
        <v>6.468796318290611</v>
      </c>
      <c r="P127" s="28">
        <f>'Preparation and execution'!$D$38*P72+SUMPRODUCT($E$35:$E$37,P$35:P$37)/'1_hub_LCIA'!$C$20</f>
        <v>5.9628857724629905</v>
      </c>
      <c r="Q127" s="28">
        <f>'Preparation and execution'!$D$38*Q72+SUMPRODUCT($E$35:$E$37,Q$35:Q$37)/'1_hub_LCIA'!$C$20</f>
        <v>307.61314019739314</v>
      </c>
      <c r="R127" s="28">
        <f>'Preparation and execution'!$D$38*R72+SUMPRODUCT($E$35:$E$37,R$35:R$37)/'1_hub_LCIA'!$C$20</f>
        <v>0.46979333410675961</v>
      </c>
      <c r="S127" s="28">
        <f>'Preparation and execution'!$D$38*S72+SUMPRODUCT($E$35:$E$37,S$35:S$37)/'1_hub_LCIA'!$C$20</f>
        <v>16.758420236407751</v>
      </c>
      <c r="T127" s="28">
        <f>'Preparation and execution'!$D$38*T72+SUMPRODUCT($E$35:$E$37,T$35:T$37)/'1_hub_LCIA'!$C$20</f>
        <v>4.6268454645509385</v>
      </c>
      <c r="U127" s="28">
        <f>'Preparation and execution'!$D$38*U72+SUMPRODUCT($E$35:$E$37,U$35:U$37)/'1_hub_LCIA'!$C$20</f>
        <v>0.85800982449991692</v>
      </c>
      <c r="V127" s="28">
        <f>'Preparation and execution'!$D$38*V72+SUMPRODUCT($E$35:$E$37,V$35:V$37)/'1_hub_LCIA'!$C$20</f>
        <v>1.1624742004494986E-2</v>
      </c>
      <c r="W127" s="28">
        <f>'Preparation and execution'!$D$38*W72+SUMPRODUCT($E$35:$E$37,W$35:W$37)/'1_hub_LCIA'!$C$20</f>
        <v>7.9304835235655409</v>
      </c>
      <c r="X127" s="28">
        <f>'Preparation and execution'!$D$38*X72+SUMPRODUCT($E$35:$E$37,X$35:X$37)/'1_hub_LCIA'!$C$20</f>
        <v>6.6472170825548211</v>
      </c>
      <c r="Y127" s="28">
        <f>'Preparation and execution'!$D$38*Y72+SUMPRODUCT($E$35:$E$37,Y$35:Y$37)/'1_hub_LCIA'!$C$20</f>
        <v>0.7381747348392258</v>
      </c>
      <c r="Z127" s="28">
        <f>'Preparation and execution'!$D$38*Z72+SUMPRODUCT($E$35:$E$37,Z$35:Z$37)/'1_hub_LCIA'!$C$20</f>
        <v>7.1280004849527635E-3</v>
      </c>
      <c r="AA127" s="28">
        <f>'Preparation and execution'!$D$38*AA72+SUMPRODUCT($E$35:$E$37,AA$35:AA$37)/'1_hub_LCIA'!$C$20</f>
        <v>0.34503042361050579</v>
      </c>
      <c r="AB127" s="28">
        <f>'Preparation and execution'!$D$38*AB72+SUMPRODUCT($E$35:$E$37,AB$35:AB$37)/'1_hub_LCIA'!$C$20</f>
        <v>-6.5606091266519231E-4</v>
      </c>
      <c r="AC127" s="28">
        <f>'Preparation and execution'!$D$38*AC72+SUMPRODUCT($E$35:$E$37,AC$35:AC$37)/'1_hub_LCIA'!$C$20</f>
        <v>5.1999374319603896E-7</v>
      </c>
      <c r="AD127" s="28">
        <f>'Preparation and execution'!$D$38*AD72+SUMPRODUCT($E$35:$E$37,AD$35:AD$37)/'1_hub_LCIA'!$C$20</f>
        <v>3.2161047027181276E-2</v>
      </c>
      <c r="AE127" s="28">
        <f>'Preparation and execution'!$D$38*AE72+SUMPRODUCT($E$35:$E$37,AE$35:AE$37)/'1_hub_LCIA'!$C$20</f>
        <v>2.7959282971598817E-2</v>
      </c>
      <c r="AF127" s="28">
        <f>'Preparation and execution'!$D$38*AF72+SUMPRODUCT($E$35:$E$37,AF$35:AF$37)/'1_hub_LCIA'!$C$20</f>
        <v>4.7043600862810939E-2</v>
      </c>
      <c r="AG127" s="28">
        <f>'Preparation and execution'!$D$38*AG72+SUMPRODUCT($E$35:$E$37,AG$35:AG$37)/'1_hub_LCIA'!$C$20</f>
        <v>8.2972076837215046E-4</v>
      </c>
      <c r="AH127" s="28">
        <f>'Preparation and execution'!$D$38*AH72+SUMPRODUCT($E$35:$E$37,AH$35:AH$37)/'1_hub_LCIA'!$C$20</f>
        <v>7.9134159083420336E-2</v>
      </c>
      <c r="AI127" s="29">
        <f>'Preparation and execution'!$D$38*AI72+SUMPRODUCT($E$35:$E$37,AI$35:AI$37)/'1_hub_LCIA'!$C$20</f>
        <v>7.7785545946941953E-2</v>
      </c>
    </row>
    <row r="128" spans="2:35" x14ac:dyDescent="0.25">
      <c r="B128" s="256"/>
      <c r="C128" s="67" t="str">
        <f t="shared" si="48"/>
        <v>5_Hub_10%IP</v>
      </c>
      <c r="D128" s="28" t="s">
        <v>539</v>
      </c>
      <c r="E128" s="28">
        <v>1</v>
      </c>
      <c r="F128" s="28" t="s">
        <v>357</v>
      </c>
      <c r="G128" s="28" t="str">
        <f t="shared" si="47"/>
        <v>5_Hub_10%IP</v>
      </c>
      <c r="H128" s="28">
        <f>'Preparation and execution'!$D$38*H73+SUMPRODUCT($E$35:$E$37,H$35:H$37)/'1_hub_LCIA'!$C$20</f>
        <v>15.764016466597921</v>
      </c>
      <c r="I128" s="28">
        <f>'Preparation and execution'!$D$38*I73+SUMPRODUCT($E$35:$E$37,I$35:I$37)/'1_hub_LCIA'!$C$20</f>
        <v>5.1475482820684633</v>
      </c>
      <c r="J128" s="28">
        <f>'Preparation and execution'!$D$38*J73+SUMPRODUCT($E$35:$E$37,J$35:J$37)/'1_hub_LCIA'!$C$20</f>
        <v>181.32216291446642</v>
      </c>
      <c r="K128" s="28">
        <f>'Preparation and execution'!$D$38*K73+SUMPRODUCT($E$35:$E$37,K$35:K$37)/'1_hub_LCIA'!$C$20</f>
        <v>1.8087138292981479</v>
      </c>
      <c r="L128" s="28">
        <f>'Preparation and execution'!$D$38*L73+SUMPRODUCT($E$35:$E$37,L$35:L$37)/'1_hub_LCIA'!$C$20</f>
        <v>83.533158467035463</v>
      </c>
      <c r="M128" s="28">
        <f>'Preparation and execution'!$D$38*M73+SUMPRODUCT($E$35:$E$37,M$35:M$37)/'1_hub_LCIA'!$C$20</f>
        <v>5.9158515797604191E-4</v>
      </c>
      <c r="N128" s="28">
        <f>'Preparation and execution'!$D$38*N73+SUMPRODUCT($E$35:$E$37,N$35:N$37)/'1_hub_LCIA'!$C$20</f>
        <v>4.2487753034752727</v>
      </c>
      <c r="O128" s="28">
        <f>'Preparation and execution'!$D$38*O73+SUMPRODUCT($E$35:$E$37,O$35:O$37)/'1_hub_LCIA'!$C$20</f>
        <v>13.407380524551479</v>
      </c>
      <c r="P128" s="28">
        <f>'Preparation and execution'!$D$38*P73+SUMPRODUCT($E$35:$E$37,P$35:P$37)/'1_hub_LCIA'!$C$20</f>
        <v>4.9817215999412507</v>
      </c>
      <c r="Q128" s="28">
        <f>'Preparation and execution'!$D$38*Q73+SUMPRODUCT($E$35:$E$37,Q$35:Q$37)/'1_hub_LCIA'!$C$20</f>
        <v>294.45005250599451</v>
      </c>
      <c r="R128" s="28">
        <f>'Preparation and execution'!$D$38*R73+SUMPRODUCT($E$35:$E$37,R$35:R$37)/'1_hub_LCIA'!$C$20</f>
        <v>0.77664230384589017</v>
      </c>
      <c r="S128" s="28">
        <f>'Preparation and execution'!$D$38*S73+SUMPRODUCT($E$35:$E$37,S$35:S$37)/'1_hub_LCIA'!$C$20</f>
        <v>15.541958177277323</v>
      </c>
      <c r="T128" s="28">
        <f>'Preparation and execution'!$D$38*T73+SUMPRODUCT($E$35:$E$37,T$35:T$37)/'1_hub_LCIA'!$C$20</f>
        <v>4.5887894471596349</v>
      </c>
      <c r="U128" s="28">
        <f>'Preparation and execution'!$D$38*U73+SUMPRODUCT($E$35:$E$37,U$35:U$37)/'1_hub_LCIA'!$C$20</f>
        <v>0.85592504884774301</v>
      </c>
      <c r="V128" s="28">
        <f>'Preparation and execution'!$D$38*V73+SUMPRODUCT($E$35:$E$37,V$35:V$37)/'1_hub_LCIA'!$C$20</f>
        <v>1.1553140801016727E-2</v>
      </c>
      <c r="W128" s="28">
        <f>'Preparation and execution'!$D$38*W73+SUMPRODUCT($E$35:$E$37,W$35:W$37)/'1_hub_LCIA'!$C$20</f>
        <v>7.8198527479133695</v>
      </c>
      <c r="X128" s="28">
        <f>'Preparation and execution'!$D$38*X73+SUMPRODUCT($E$35:$E$37,X$35:X$37)/'1_hub_LCIA'!$C$20</f>
        <v>5.4344950895113424</v>
      </c>
      <c r="Y128" s="28">
        <f>'Preparation and execution'!$D$38*Y73+SUMPRODUCT($E$35:$E$37,Y$35:Y$37)/'1_hub_LCIA'!$C$20</f>
        <v>0.73287698110009536</v>
      </c>
      <c r="Z128" s="28">
        <f>'Preparation and execution'!$D$38*Z73+SUMPRODUCT($E$35:$E$37,Z$35:Z$37)/'1_hub_LCIA'!$C$20</f>
        <v>7.0012479388658075E-3</v>
      </c>
      <c r="AA128" s="28">
        <f>'Preparation and execution'!$D$38*AA73+SUMPRODUCT($E$35:$E$37,AA$35:AA$37)/'1_hub_LCIA'!$C$20</f>
        <v>0.33515028517572321</v>
      </c>
      <c r="AB128" s="28">
        <f>'Preparation and execution'!$D$38*AB73+SUMPRODUCT($E$35:$E$37,AB$35:AB$37)/'1_hub_LCIA'!$C$20</f>
        <v>-5.8144177179562733E-4</v>
      </c>
      <c r="AC128" s="28">
        <f>'Preparation and execution'!$D$38*AC73+SUMPRODUCT($E$35:$E$37,AC$35:AC$37)/'1_hub_LCIA'!$C$20</f>
        <v>5.6985186597864771E-7</v>
      </c>
      <c r="AD128" s="28">
        <f>'Preparation and execution'!$D$38*AD73+SUMPRODUCT($E$35:$E$37,AD$35:AD$37)/'1_hub_LCIA'!$C$20</f>
        <v>3.8772143479355189E-2</v>
      </c>
      <c r="AE128" s="28">
        <f>'Preparation and execution'!$D$38*AE73+SUMPRODUCT($E$35:$E$37,AE$35:AE$37)/'1_hub_LCIA'!$C$20</f>
        <v>2.587666875942491E-2</v>
      </c>
      <c r="AF128" s="28">
        <f>'Preparation and execution'!$D$38*AF73+SUMPRODUCT($E$35:$E$37,AF$35:AF$37)/'1_hub_LCIA'!$C$20</f>
        <v>3.9518497217593547E-2</v>
      </c>
      <c r="AG128" s="28">
        <f>'Preparation and execution'!$D$38*AG73+SUMPRODUCT($E$35:$E$37,AG$35:AG$37)/'1_hub_LCIA'!$C$20</f>
        <v>9.1144356176345483E-4</v>
      </c>
      <c r="AH128" s="28">
        <f>'Preparation and execution'!$D$38*AH73+SUMPRODUCT($E$35:$E$37,AH$35:AH$37)/'1_hub_LCIA'!$C$20</f>
        <v>7.6231317135594251E-2</v>
      </c>
      <c r="AI128" s="29">
        <f>'Preparation and execution'!$D$38*AI73+SUMPRODUCT($E$35:$E$37,AI$35:AI$37)/'1_hub_LCIA'!$C$20</f>
        <v>8.362575352955065E-2</v>
      </c>
    </row>
    <row r="129" spans="2:35" x14ac:dyDescent="0.25">
      <c r="B129" s="256"/>
      <c r="C129" s="67" t="str">
        <f t="shared" si="48"/>
        <v>5_Hub_30%IP</v>
      </c>
      <c r="D129" s="28" t="s">
        <v>539</v>
      </c>
      <c r="E129" s="28">
        <v>1</v>
      </c>
      <c r="F129" s="28" t="s">
        <v>357</v>
      </c>
      <c r="G129" s="28" t="str">
        <f t="shared" si="47"/>
        <v>5_Hub_30%IP</v>
      </c>
      <c r="H129" s="28">
        <f>'Preparation and execution'!$D$38*H74+SUMPRODUCT($E$35:$E$37,H$35:H$37)/'1_hub_LCIA'!$C$20</f>
        <v>15.96199101616314</v>
      </c>
      <c r="I129" s="28">
        <f>'Preparation and execution'!$D$38*I74+SUMPRODUCT($E$35:$E$37,I$35:I$37)/'1_hub_LCIA'!$C$20</f>
        <v>4.8259247735467241</v>
      </c>
      <c r="J129" s="28">
        <f>'Preparation and execution'!$D$38*J74+SUMPRODUCT($E$35:$E$37,J$35:J$37)/'1_hub_LCIA'!$C$20</f>
        <v>182.19119039272729</v>
      </c>
      <c r="K129" s="28">
        <f>'Preparation and execution'!$D$38*K74+SUMPRODUCT($E$35:$E$37,K$35:K$37)/'1_hub_LCIA'!$C$20</f>
        <v>1.6527442842755391</v>
      </c>
      <c r="L129" s="28">
        <f>'Preparation and execution'!$D$38*L74+SUMPRODUCT($E$35:$E$37,L$35:L$37)/'1_hub_LCIA'!$C$20</f>
        <v>87.189009180078955</v>
      </c>
      <c r="M129" s="28">
        <f>'Preparation and execution'!$D$38*M74+SUMPRODUCT($E$35:$E$37,M$35:M$37)/'1_hub_LCIA'!$C$20</f>
        <v>5.7616498997604189E-4</v>
      </c>
      <c r="N129" s="28">
        <f>'Preparation and execution'!$D$38*N74+SUMPRODUCT($E$35:$E$37,N$35:N$37)/'1_hub_LCIA'!$C$20</f>
        <v>3.9059867469535332</v>
      </c>
      <c r="O129" s="28">
        <f>'Preparation and execution'!$D$38*O74+SUMPRODUCT($E$35:$E$37,O$35:O$37)/'1_hub_LCIA'!$C$20</f>
        <v>12.393887491160175</v>
      </c>
      <c r="P129" s="28">
        <f>'Preparation and execution'!$D$38*P74+SUMPRODUCT($E$35:$E$37,P$35:P$37)/'1_hub_LCIA'!$C$20</f>
        <v>4.8926514768108156</v>
      </c>
      <c r="Q129" s="28">
        <f>'Preparation and execution'!$D$38*Q74+SUMPRODUCT($E$35:$E$37,Q$35:Q$37)/'1_hub_LCIA'!$C$20</f>
        <v>297.05197051054301</v>
      </c>
      <c r="R129" s="28">
        <f>'Preparation and execution'!$D$38*R74+SUMPRODUCT($E$35:$E$37,R$35:R$37)/'1_hub_LCIA'!$C$20</f>
        <v>0.73310140575893357</v>
      </c>
      <c r="S129" s="28">
        <f>'Preparation and execution'!$D$38*S74+SUMPRODUCT($E$35:$E$37,S$35:S$37)/'1_hub_LCIA'!$C$20</f>
        <v>15.738372236407752</v>
      </c>
      <c r="T129" s="28">
        <f>'Preparation and execution'!$D$38*T74+SUMPRODUCT($E$35:$E$37,T$35:T$37)/'1_hub_LCIA'!$C$20</f>
        <v>4.60415446629007</v>
      </c>
      <c r="U129" s="28">
        <f>'Preparation and execution'!$D$38*U74+SUMPRODUCT($E$35:$E$37,U$35:U$37)/'1_hub_LCIA'!$C$20</f>
        <v>0.85308154345643883</v>
      </c>
      <c r="V129" s="28">
        <f>'Preparation and execution'!$D$38*V74+SUMPRODUCT($E$35:$E$37,V$35:V$37)/'1_hub_LCIA'!$C$20</f>
        <v>1.140491646710368E-2</v>
      </c>
      <c r="W129" s="28">
        <f>'Preparation and execution'!$D$38*W74+SUMPRODUCT($E$35:$E$37,W$35:W$37)/'1_hub_LCIA'!$C$20</f>
        <v>7.7477091235655422</v>
      </c>
      <c r="X129" s="28">
        <f>'Preparation and execution'!$D$38*X74+SUMPRODUCT($E$35:$E$37,X$35:X$37)/'1_hub_LCIA'!$C$20</f>
        <v>5.6716327555982993</v>
      </c>
      <c r="Y129" s="28">
        <f>'Preparation and execution'!$D$38*Y74+SUMPRODUCT($E$35:$E$37,Y$35:Y$37)/'1_hub_LCIA'!$C$20</f>
        <v>0.73043559257835611</v>
      </c>
      <c r="Z129" s="28">
        <f>'Preparation and execution'!$D$38*Z74+SUMPRODUCT($E$35:$E$37,Z$35:Z$37)/'1_hub_LCIA'!$C$20</f>
        <v>6.9898249510397196E-3</v>
      </c>
      <c r="AA129" s="28">
        <f>'Preparation and execution'!$D$38*AA74+SUMPRODUCT($E$35:$E$37,AA$35:AA$37)/'1_hub_LCIA'!$C$20</f>
        <v>0.33538374048007097</v>
      </c>
      <c r="AB129" s="28">
        <f>'Preparation and execution'!$D$38*AB74+SUMPRODUCT($E$35:$E$37,AB$35:AB$37)/'1_hub_LCIA'!$C$20</f>
        <v>-5.9267186223040981E-4</v>
      </c>
      <c r="AC129" s="28">
        <f>'Preparation and execution'!$D$38*AC74+SUMPRODUCT($E$35:$E$37,AC$35:AC$37)/'1_hub_LCIA'!$C$20</f>
        <v>5.6523691954386502E-7</v>
      </c>
      <c r="AD129" s="28">
        <f>'Preparation and execution'!$D$38*AD74+SUMPRODUCT($E$35:$E$37,AD$35:AD$37)/'1_hub_LCIA'!$C$20</f>
        <v>3.8154599792398665E-2</v>
      </c>
      <c r="AE129" s="28">
        <f>'Preparation and execution'!$D$38*AE74+SUMPRODUCT($E$35:$E$37,AE$35:AE$37)/'1_hub_LCIA'!$C$20</f>
        <v>2.6258061524642294E-2</v>
      </c>
      <c r="AF129" s="28">
        <f>'Preparation and execution'!$D$38*AF74+SUMPRODUCT($E$35:$E$37,AF$35:AF$37)/'1_hub_LCIA'!$C$20</f>
        <v>4.0883641948028328E-2</v>
      </c>
      <c r="AG129" s="28">
        <f>'Preparation and execution'!$D$38*AG74+SUMPRODUCT($E$35:$E$37,AG$35:AG$37)/'1_hub_LCIA'!$C$20</f>
        <v>8.9999708002432444E-4</v>
      </c>
      <c r="AH129" s="28">
        <f>'Preparation and execution'!$D$38*AH74+SUMPRODUCT($E$35:$E$37,AH$35:AH$37)/'1_hub_LCIA'!$C$20</f>
        <v>7.6374209587768166E-2</v>
      </c>
      <c r="AI129" s="29">
        <f>'Preparation and execution'!$D$38*AI74+SUMPRODUCT($E$35:$E$37,AI$35:AI$37)/'1_hub_LCIA'!$C$20</f>
        <v>8.2779824277376735E-2</v>
      </c>
    </row>
    <row r="130" spans="2:35" x14ac:dyDescent="0.25">
      <c r="B130" s="256"/>
      <c r="C130" s="67" t="str">
        <f t="shared" si="48"/>
        <v>5_Hub_50%IP</v>
      </c>
      <c r="D130" s="28" t="s">
        <v>539</v>
      </c>
      <c r="E130" s="28">
        <v>1</v>
      </c>
      <c r="F130" s="28" t="s">
        <v>357</v>
      </c>
      <c r="G130" s="28" t="str">
        <f t="shared" si="47"/>
        <v>5_Hub_50%IP</v>
      </c>
      <c r="H130" s="28">
        <f>'Preparation and execution'!$D$38*H75+SUMPRODUCT($E$35:$E$37,H$35:H$37)/'1_hub_LCIA'!$C$20</f>
        <v>16.709882281597924</v>
      </c>
      <c r="I130" s="28">
        <f>'Preparation and execution'!$D$38*I75+SUMPRODUCT($E$35:$E$37,I$35:I$37)/'1_hub_LCIA'!$C$20</f>
        <v>4.0232201043184634</v>
      </c>
      <c r="J130" s="28">
        <f>'Preparation and execution'!$D$38*J75+SUMPRODUCT($E$35:$E$37,J$35:J$37)/'1_hub_LCIA'!$C$20</f>
        <v>186.55868087696643</v>
      </c>
      <c r="K130" s="28">
        <f>'Preparation and execution'!$D$38*K75+SUMPRODUCT($E$35:$E$37,K$35:K$37)/'1_hub_LCIA'!$C$20</f>
        <v>1.0660873222306482</v>
      </c>
      <c r="L130" s="28">
        <f>'Preparation and execution'!$D$38*L75+SUMPRODUCT($E$35:$E$37,L$35:L$37)/'1_hub_LCIA'!$C$20</f>
        <v>100.1392300295355</v>
      </c>
      <c r="M130" s="28">
        <f>'Preparation and execution'!$D$38*M75+SUMPRODUCT($E$35:$E$37,M$35:M$37)/'1_hub_LCIA'!$C$20</f>
        <v>5.3675200847604185E-4</v>
      </c>
      <c r="N130" s="28">
        <f>'Preparation and execution'!$D$38*N75+SUMPRODUCT($E$35:$E$37,N$35:N$37)/'1_hub_LCIA'!$C$20</f>
        <v>2.6712149913502725</v>
      </c>
      <c r="O130" s="28">
        <f>'Preparation and execution'!$D$38*O75+SUMPRODUCT($E$35:$E$37,O$35:O$37)/'1_hub_LCIA'!$C$20</f>
        <v>8.7135153000514798</v>
      </c>
      <c r="P130" s="28">
        <f>'Preparation and execution'!$D$38*P75+SUMPRODUCT($E$35:$E$37,P$35:P$37)/'1_hub_LCIA'!$C$20</f>
        <v>4.4241531484412508</v>
      </c>
      <c r="Q130" s="28">
        <f>'Preparation and execution'!$D$38*Q75+SUMPRODUCT($E$35:$E$37,Q$35:Q$37)/'1_hub_LCIA'!$C$20</f>
        <v>307.59663852490257</v>
      </c>
      <c r="R130" s="28">
        <f>'Preparation and execution'!$D$38*R75+SUMPRODUCT($E$35:$E$37,R$35:R$37)/'1_hub_LCIA'!$C$20</f>
        <v>0.62444324422089037</v>
      </c>
      <c r="S130" s="28">
        <f>'Preparation and execution'!$D$38*S75+SUMPRODUCT($E$35:$E$37,S$35:S$37)/'1_hub_LCIA'!$C$20</f>
        <v>16.479905229777319</v>
      </c>
      <c r="T130" s="28">
        <f>'Preparation and execution'!$D$38*T75+SUMPRODUCT($E$35:$E$37,T$35:T$37)/'1_hub_LCIA'!$C$20</f>
        <v>4.6948593896596353</v>
      </c>
      <c r="U130" s="28">
        <f>'Preparation and execution'!$D$38*U75+SUMPRODUCT($E$35:$E$37,U$35:U$37)/'1_hub_LCIA'!$C$20</f>
        <v>0.84452540809774301</v>
      </c>
      <c r="V130" s="28">
        <f>'Preparation and execution'!$D$38*V75+SUMPRODUCT($E$35:$E$37,V$35:V$37)/'1_hub_LCIA'!$C$20</f>
        <v>1.0960037339766726E-2</v>
      </c>
      <c r="W130" s="28">
        <f>'Preparation and execution'!$D$38*W75+SUMPRODUCT($E$35:$E$37,W$35:W$37)/'1_hub_LCIA'!$C$20</f>
        <v>7.5409606279133685</v>
      </c>
      <c r="X130" s="28">
        <f>'Preparation and execution'!$D$38*X75+SUMPRODUCT($E$35:$E$37,X$35:X$37)/'1_hub_LCIA'!$C$20</f>
        <v>6.5116215770113444</v>
      </c>
      <c r="Y130" s="28">
        <f>'Preparation and execution'!$D$38*Y75+SUMPRODUCT($E$35:$E$37,Y$35:Y$37)/'1_hub_LCIA'!$C$20</f>
        <v>0.72288894197509546</v>
      </c>
      <c r="Z130" s="28">
        <f>'Preparation and execution'!$D$38*Z75+SUMPRODUCT($E$35:$E$37,Z$35:Z$37)/'1_hub_LCIA'!$C$20</f>
        <v>6.9660427738658069E-3</v>
      </c>
      <c r="AA130" s="28">
        <f>'Preparation and execution'!$D$38*AA75+SUMPRODUCT($E$35:$E$37,AA$35:AA$37)/'1_hub_LCIA'!$C$20</f>
        <v>0.33612675480072318</v>
      </c>
      <c r="AB130" s="28">
        <f>'Preparation and execution'!$D$38*AB75+SUMPRODUCT($E$35:$E$37,AB$35:AB$37)/'1_hub_LCIA'!$C$20</f>
        <v>-6.3198492504562738E-4</v>
      </c>
      <c r="AC130" s="28">
        <f>'Preparation and execution'!$D$38*AC75+SUMPRODUCT($E$35:$E$37,AC$35:AC$37)/'1_hub_LCIA'!$C$20</f>
        <v>5.565970781036477E-7</v>
      </c>
      <c r="AD130" s="28">
        <f>'Preparation and execution'!$D$38*AD75+SUMPRODUCT($E$35:$E$37,AD$35:AD$37)/'1_hub_LCIA'!$C$20</f>
        <v>3.6182663704355182E-2</v>
      </c>
      <c r="AE130" s="28">
        <f>'Preparation and execution'!$D$38*AE75+SUMPRODUCT($E$35:$E$37,AE$35:AE$37)/'1_hub_LCIA'!$C$20</f>
        <v>2.7562381325674908E-2</v>
      </c>
      <c r="AF130" s="28">
        <f>'Preparation and execution'!$D$38*AF75+SUMPRODUCT($E$35:$E$37,AF$35:AF$37)/'1_hub_LCIA'!$C$20</f>
        <v>4.5530411042593547E-2</v>
      </c>
      <c r="AG130" s="28">
        <f>'Preparation and execution'!$D$38*AG75+SUMPRODUCT($E$35:$E$37,AG$35:AG$37)/'1_hub_LCIA'!$C$20</f>
        <v>8.6795195838845502E-4</v>
      </c>
      <c r="AH130" s="28">
        <f>'Preparation and execution'!$D$38*AH75+SUMPRODUCT($E$35:$E$37,AH$35:AH$37)/'1_hub_LCIA'!$C$20</f>
        <v>7.6923997035594258E-2</v>
      </c>
      <c r="AI130" s="29">
        <f>'Preparation and execution'!$D$38*AI75+SUMPRODUCT($E$35:$E$37,AI$35:AI$37)/'1_hub_LCIA'!$C$20</f>
        <v>7.9674528042050663E-2</v>
      </c>
    </row>
    <row r="131" spans="2:35" x14ac:dyDescent="0.25">
      <c r="B131" s="256"/>
      <c r="C131" s="67" t="str">
        <f t="shared" si="48"/>
        <v>5_Hub_70%IP</v>
      </c>
      <c r="D131" s="28" t="s">
        <v>539</v>
      </c>
      <c r="E131" s="28">
        <v>1</v>
      </c>
      <c r="F131" s="28" t="s">
        <v>357</v>
      </c>
      <c r="G131" s="28" t="str">
        <f t="shared" si="47"/>
        <v>5_Hub_70%IP</v>
      </c>
      <c r="H131" s="28">
        <f>'Preparation and execution'!$D$38*H76+SUMPRODUCT($E$35:$E$37,H$35:H$37)/'1_hub_LCIA'!$C$20</f>
        <v>16.96606890734142</v>
      </c>
      <c r="I131" s="28">
        <f>'Preparation and execution'!$D$38*I76+SUMPRODUCT($E$35:$E$37,I$35:I$37)/'1_hub_LCIA'!$C$20</f>
        <v>3.7745813371762691</v>
      </c>
      <c r="J131" s="28">
        <f>'Preparation and execution'!$D$38*J76+SUMPRODUCT($E$35:$E$37,J$35:J$37)/'1_hub_LCIA'!$C$20</f>
        <v>188.1239896118642</v>
      </c>
      <c r="K131" s="28">
        <f>'Preparation and execution'!$D$38*K76+SUMPRODUCT($E$35:$E$37,K$35:K$37)/'1_hub_LCIA'!$C$20</f>
        <v>0.86529364605532255</v>
      </c>
      <c r="L131" s="28">
        <f>'Preparation and execution'!$D$38*L76+SUMPRODUCT($E$35:$E$37,L$35:L$37)/'1_hub_LCIA'!$C$20</f>
        <v>104.52032431090166</v>
      </c>
      <c r="M131" s="28">
        <f>'Preparation and execution'!$D$38*M76+SUMPRODUCT($E$35:$E$37,M$35:M$37)/'1_hub_LCIA'!$C$20</f>
        <v>5.2445415556711999E-4</v>
      </c>
      <c r="N131" s="28">
        <f>'Preparation and execution'!$D$38*N76+SUMPRODUCT($E$35:$E$37,N$35:N$37)/'1_hub_LCIA'!$C$20</f>
        <v>2.252092410181592</v>
      </c>
      <c r="O131" s="28">
        <f>'Preparation and execution'!$D$38*O76+SUMPRODUCT($E$35:$E$37,O$35:O$37)/'1_hub_LCIA'!$C$20</f>
        <v>7.4622906213247147</v>
      </c>
      <c r="P131" s="28">
        <f>'Preparation and execution'!$D$38*P76+SUMPRODUCT($E$35:$E$37,P$35:P$37)/'1_hub_LCIA'!$C$20</f>
        <v>4.2552423740081657</v>
      </c>
      <c r="Q131" s="28">
        <f>'Preparation and execution'!$D$38*Q76+SUMPRODUCT($E$35:$E$37,Q$35:Q$37)/'1_hub_LCIA'!$C$20</f>
        <v>311.25433876566751</v>
      </c>
      <c r="R131" s="28">
        <f>'Preparation and execution'!$D$38*R76+SUMPRODUCT($E$35:$E$37,R$35:R$37)/'1_hub_LCIA'!$C$20</f>
        <v>0.59078728445555573</v>
      </c>
      <c r="S131" s="28">
        <f>'Preparation and execution'!$D$38*S76+SUMPRODUCT($E$35:$E$37,S$35:S$37)/'1_hub_LCIA'!$C$20</f>
        <v>16.733884286422299</v>
      </c>
      <c r="T131" s="28">
        <f>'Preparation and execution'!$D$38*T76+SUMPRODUCT($E$35:$E$37,T$35:T$37)/'1_hub_LCIA'!$C$20</f>
        <v>4.7280151940741337</v>
      </c>
      <c r="U131" s="28">
        <f>'Preparation and execution'!$D$38*U76+SUMPRODUCT($E$35:$E$37,U$35:U$37)/'1_hub_LCIA'!$C$20</f>
        <v>0.841734102052204</v>
      </c>
      <c r="V131" s="28">
        <f>'Preparation and execution'!$D$38*V76+SUMPRODUCT($E$35:$E$37,V$35:V$37)/'1_hub_LCIA'!$C$20</f>
        <v>1.081499297083085E-2</v>
      </c>
      <c r="W131" s="28">
        <f>'Preparation and execution'!$D$38*W76+SUMPRODUCT($E$35:$E$37,W$35:W$37)/'1_hub_LCIA'!$C$20</f>
        <v>7.4743403684338148</v>
      </c>
      <c r="X131" s="28">
        <f>'Preparation and execution'!$D$38*X76+SUMPRODUCT($E$35:$E$37,X$35:X$37)/'1_hub_LCIA'!$C$20</f>
        <v>6.7957899623737967</v>
      </c>
      <c r="Y131" s="28">
        <f>'Preparation and execution'!$D$38*Y76+SUMPRODUCT($E$35:$E$37,Y$35:Y$37)/'1_hub_LCIA'!$C$20</f>
        <v>0.72041089387332968</v>
      </c>
      <c r="Z131" s="28">
        <f>'Preparation and execution'!$D$38*Z76+SUMPRODUCT($E$35:$E$37,Z$35:Z$37)/'1_hub_LCIA'!$C$20</f>
        <v>6.9591330564866254E-3</v>
      </c>
      <c r="AA131" s="28">
        <f>'Preparation and execution'!$D$38*AA76+SUMPRODUCT($E$35:$E$37,AA$35:AA$37)/'1_hub_LCIA'!$C$20</f>
        <v>0.33637240166642957</v>
      </c>
      <c r="AB131" s="28">
        <f>'Preparation and execution'!$D$38*AB76+SUMPRODUCT($E$35:$E$37,AB$35:AB$37)/'1_hub_LCIA'!$C$20</f>
        <v>-6.4525280067295071E-4</v>
      </c>
      <c r="AC131" s="28">
        <f>'Preparation and execution'!$D$38*AC76+SUMPRODUCT($E$35:$E$37,AC$35:AC$37)/'1_hub_LCIA'!$C$20</f>
        <v>5.5419901860318313E-7</v>
      </c>
      <c r="AD131" s="28">
        <f>'Preparation and execution'!$D$38*AD76+SUMPRODUCT($E$35:$E$37,AD$35:AD$37)/'1_hub_LCIA'!$C$20</f>
        <v>3.5530232990135857E-2</v>
      </c>
      <c r="AE131" s="28">
        <f>'Preparation and execution'!$D$38*AE76+SUMPRODUCT($E$35:$E$37,AE$35:AE$37)/'1_hub_LCIA'!$C$20</f>
        <v>2.800045652537287E-2</v>
      </c>
      <c r="AF131" s="28">
        <f>'Preparation and execution'!$D$38*AF76+SUMPRODUCT($E$35:$E$37,AF$35:AF$37)/'1_hub_LCIA'!$C$20</f>
        <v>4.7089555079303597E-2</v>
      </c>
      <c r="AG131" s="28">
        <f>'Preparation and execution'!$D$38*AG76+SUMPRODUCT($E$35:$E$37,AG$35:AG$37)/'1_hub_LCIA'!$C$20</f>
        <v>8.5768991070025785E-4</v>
      </c>
      <c r="AH131" s="28">
        <f>'Preparation and execution'!$D$38*AH76+SUMPRODUCT($E$35:$E$37,AH$35:AH$37)/'1_hub_LCIA'!$C$20</f>
        <v>7.7112961364590546E-2</v>
      </c>
      <c r="AI131" s="29">
        <f>'Preparation and execution'!$D$38*AI76+SUMPRODUCT($E$35:$E$37,AI$35:AI$37)/'1_hub_LCIA'!$C$20</f>
        <v>7.8616594127320166E-2</v>
      </c>
    </row>
    <row r="132" spans="2:35" x14ac:dyDescent="0.25">
      <c r="B132" s="256"/>
      <c r="C132" s="67" t="str">
        <f t="shared" si="48"/>
        <v>5_Hub_90%IP</v>
      </c>
      <c r="D132" s="28" t="s">
        <v>539</v>
      </c>
      <c r="E132" s="28">
        <v>1</v>
      </c>
      <c r="F132" s="28" t="s">
        <v>357</v>
      </c>
      <c r="G132" s="28" t="str">
        <f t="shared" si="47"/>
        <v>5_Hub_90%IP</v>
      </c>
      <c r="H132" s="28">
        <f>'Preparation and execution'!$D$38*H77+SUMPRODUCT($E$35:$E$37,H$35:H$37)/'1_hub_LCIA'!$C$20</f>
        <v>16.560378508337052</v>
      </c>
      <c r="I132" s="28">
        <f>'Preparation and execution'!$D$38*I77+SUMPRODUCT($E$35:$E$37,I$35:I$37)/'1_hub_LCIA'!$C$20</f>
        <v>3.0465254761554195</v>
      </c>
      <c r="J132" s="28">
        <f>'Preparation and execution'!$D$38*J77+SUMPRODUCT($E$35:$E$37,J$35:J$37)/'1_hub_LCIA'!$C$20</f>
        <v>182.21529432316206</v>
      </c>
      <c r="K132" s="28">
        <f>'Preparation and execution'!$D$38*K77+SUMPRODUCT($E$35:$E$37,K$35:K$37)/'1_hub_LCIA'!$C$20</f>
        <v>1.0594311310929305</v>
      </c>
      <c r="L132" s="28">
        <f>'Preparation and execution'!$D$38*L77+SUMPRODUCT($E$35:$E$37,L$35:L$37)/'1_hub_LCIA'!$C$20</f>
        <v>97.06111846703547</v>
      </c>
      <c r="M132" s="28">
        <f>'Preparation and execution'!$D$38*M77+SUMPRODUCT($E$35:$E$37,M$35:M$37)/'1_hub_LCIA'!$C$20</f>
        <v>5.2347498510647676E-4</v>
      </c>
      <c r="N132" s="28">
        <f>'Preparation and execution'!$D$38*N77+SUMPRODUCT($E$35:$E$37,N$35:N$37)/'1_hub_LCIA'!$C$20</f>
        <v>3.4566232060839677</v>
      </c>
      <c r="O132" s="28">
        <f>'Preparation and execution'!$D$38*O77+SUMPRODUCT($E$35:$E$37,O$35:O$37)/'1_hub_LCIA'!$C$20</f>
        <v>8.5826669972471326</v>
      </c>
      <c r="P132" s="28">
        <f>'Preparation and execution'!$D$38*P77+SUMPRODUCT($E$35:$E$37,P$35:P$37)/'1_hub_LCIA'!$C$20</f>
        <v>6.0590344055064689</v>
      </c>
      <c r="Q132" s="28">
        <f>'Preparation and execution'!$D$38*Q77+SUMPRODUCT($E$35:$E$37,Q$35:Q$37)/'1_hub_LCIA'!$C$20</f>
        <v>301.48121748126857</v>
      </c>
      <c r="R132" s="28">
        <f>'Preparation and execution'!$D$38*R77+SUMPRODUCT($E$35:$E$37,R$35:R$37)/'1_hub_LCIA'!$C$20</f>
        <v>0.4911019010632815</v>
      </c>
      <c r="S132" s="28">
        <f>'Preparation and execution'!$D$38*S77+SUMPRODUCT($E$35:$E$37,S$35:S$37)/'1_hub_LCIA'!$C$20</f>
        <v>16.33211205553819</v>
      </c>
      <c r="T132" s="28">
        <f>'Preparation and execution'!$D$38*T77+SUMPRODUCT($E$35:$E$37,T$35:T$37)/'1_hub_LCIA'!$C$20</f>
        <v>4.5571649915074621</v>
      </c>
      <c r="U132" s="28">
        <f>'Preparation and execution'!$D$38*U77+SUMPRODUCT($E$35:$E$37,U$35:U$37)/'1_hub_LCIA'!$C$20</f>
        <v>0.85735364363035182</v>
      </c>
      <c r="V132" s="28">
        <f>'Preparation and execution'!$D$38*V77+SUMPRODUCT($E$35:$E$37,V$35:V$37)/'1_hub_LCIA'!$C$20</f>
        <v>1.1595863451451508E-2</v>
      </c>
      <c r="W132" s="28">
        <f>'Preparation and execution'!$D$38*W77+SUMPRODUCT($E$35:$E$37,W$35:W$37)/'1_hub_LCIA'!$C$20</f>
        <v>7.8881450192177169</v>
      </c>
      <c r="X132" s="28">
        <f>'Preparation and execution'!$D$38*X77+SUMPRODUCT($E$35:$E$37,X$35:X$37)/'1_hub_LCIA'!$C$20</f>
        <v>6.2600547069026478</v>
      </c>
      <c r="Y132" s="28">
        <f>'Preparation and execution'!$D$38*Y77+SUMPRODUCT($E$35:$E$37,Y$35:Y$37)/'1_hub_LCIA'!$C$20</f>
        <v>0.73724206770879097</v>
      </c>
      <c r="Z132" s="28">
        <f>'Preparation and execution'!$D$38*Z77+SUMPRODUCT($E$35:$E$37,Z$35:Z$37)/'1_hub_LCIA'!$C$20</f>
        <v>7.0879338832136336E-3</v>
      </c>
      <c r="AA132" s="28">
        <f>'Preparation and execution'!$D$38*AA77+SUMPRODUCT($E$35:$E$37,AA$35:AA$37)/'1_hub_LCIA'!$C$20</f>
        <v>0.34314134813224495</v>
      </c>
      <c r="AB132" s="28">
        <f>'Preparation and execution'!$D$38*AB77+SUMPRODUCT($E$35:$E$37,AB$35:AB$37)/'1_hub_LCIA'!$C$20</f>
        <v>-6.351739171869316E-4</v>
      </c>
      <c r="AC132" s="28">
        <f>'Preparation and execution'!$D$38*AC77+SUMPRODUCT($E$35:$E$37,AC$35:AC$37)/'1_hub_LCIA'!$C$20</f>
        <v>5.2136364441343036E-7</v>
      </c>
      <c r="AD132" s="28">
        <f>'Preparation and execution'!$D$38*AD77+SUMPRODUCT($E$35:$E$37,AD$35:AD$37)/'1_hub_LCIA'!$C$20</f>
        <v>3.350664647065954E-2</v>
      </c>
      <c r="AE132" s="28">
        <f>'Preparation and execution'!$D$38*AE77+SUMPRODUCT($E$35:$E$37,AE$35:AE$37)/'1_hub_LCIA'!$C$20</f>
        <v>2.7378932209859694E-2</v>
      </c>
      <c r="AF132" s="28">
        <f>'Preparation and execution'!$D$38*AF77+SUMPRODUCT($E$35:$E$37,AF$35:AF$37)/'1_hub_LCIA'!$C$20</f>
        <v>4.4984526727158761E-2</v>
      </c>
      <c r="AG132" s="28">
        <f>'Preparation and execution'!$D$38*AG77+SUMPRODUCT($E$35:$E$37,AG$35:AG$37)/'1_hub_LCIA'!$C$20</f>
        <v>8.4052681428519415E-4</v>
      </c>
      <c r="AH132" s="28">
        <f>'Preparation and execution'!$D$38*AH77+SUMPRODUCT($E$35:$E$37,AH$35:AH$37)/'1_hub_LCIA'!$C$20</f>
        <v>7.8430825518202962E-2</v>
      </c>
      <c r="AI132" s="29">
        <f>'Preparation and execution'!$D$38*AI77+SUMPRODUCT($E$35:$E$37,AI$35:AI$37)/'1_hub_LCIA'!$C$20</f>
        <v>7.9607140312159347E-2</v>
      </c>
    </row>
    <row r="133" spans="2:35" x14ac:dyDescent="0.25">
      <c r="B133" s="256"/>
      <c r="C133" s="67" t="str">
        <f t="shared" si="48"/>
        <v>6_Hub_10%IP</v>
      </c>
      <c r="D133" s="28" t="s">
        <v>539</v>
      </c>
      <c r="E133" s="28">
        <v>1</v>
      </c>
      <c r="F133" s="28" t="s">
        <v>357</v>
      </c>
      <c r="G133" s="28" t="str">
        <f t="shared" si="47"/>
        <v>6_Hub_10%IP</v>
      </c>
      <c r="H133" s="28">
        <f>'Preparation and execution'!$D$38*H78+SUMPRODUCT($E$35:$E$37,H$35:H$37)/'1_hub_LCIA'!$C$20</f>
        <v>15.187044706597922</v>
      </c>
      <c r="I133" s="28">
        <f>'Preparation and execution'!$D$38*I78+SUMPRODUCT($E$35:$E$37,I$35:I$37)/'1_hub_LCIA'!$C$20</f>
        <v>5.0699942980684636</v>
      </c>
      <c r="J133" s="28">
        <f>'Preparation and execution'!$D$38*J78+SUMPRODUCT($E$35:$E$37,J$35:J$37)/'1_hub_LCIA'!$C$20</f>
        <v>176.11982331446643</v>
      </c>
      <c r="K133" s="28">
        <f>'Preparation and execution'!$D$38*K78+SUMPRODUCT($E$35:$E$37,K$35:K$37)/'1_hub_LCIA'!$C$20</f>
        <v>2.2569869484181484</v>
      </c>
      <c r="L133" s="28">
        <f>'Preparation and execution'!$D$38*L78+SUMPRODUCT($E$35:$E$37,L$35:L$37)/'1_hub_LCIA'!$C$20</f>
        <v>74.99689246703548</v>
      </c>
      <c r="M133" s="28">
        <f>'Preparation and execution'!$D$38*M78+SUMPRODUCT($E$35:$E$37,M$35:M$37)/'1_hub_LCIA'!$C$20</f>
        <v>5.9014988597604198E-4</v>
      </c>
      <c r="N133" s="28">
        <f>'Preparation and execution'!$D$38*N78+SUMPRODUCT($E$35:$E$37,N$35:N$37)/'1_hub_LCIA'!$C$20</f>
        <v>5.0996403794752725</v>
      </c>
      <c r="O133" s="28">
        <f>'Preparation and execution'!$D$38*O78+SUMPRODUCT($E$35:$E$37,O$35:O$37)/'1_hub_LCIA'!$C$20</f>
        <v>15.995995012551484</v>
      </c>
      <c r="P133" s="28">
        <f>'Preparation and execution'!$D$38*P78+SUMPRODUCT($E$35:$E$37,P$35:P$37)/'1_hub_LCIA'!$C$20</f>
        <v>5.5662697759412509</v>
      </c>
      <c r="Q133" s="28">
        <f>'Preparation and execution'!$D$38*Q78+SUMPRODUCT($E$35:$E$37,Q$35:Q$37)/'1_hub_LCIA'!$C$20</f>
        <v>285.10619234584249</v>
      </c>
      <c r="R133" s="28">
        <f>'Preparation and execution'!$D$38*R78+SUMPRODUCT($E$35:$E$37,R$35:R$37)/'1_hub_LCIA'!$C$20</f>
        <v>0.76611665984589028</v>
      </c>
      <c r="S133" s="28">
        <f>'Preparation and execution'!$D$38*S78+SUMPRODUCT($E$35:$E$37,S$35:S$37)/'1_hub_LCIA'!$C$20</f>
        <v>14.970674417277321</v>
      </c>
      <c r="T133" s="28">
        <f>'Preparation and execution'!$D$38*T78+SUMPRODUCT($E$35:$E$37,T$35:T$37)/'1_hub_LCIA'!$C$20</f>
        <v>4.4636155271596358</v>
      </c>
      <c r="U133" s="28">
        <f>'Preparation and execution'!$D$38*U78+SUMPRODUCT($E$35:$E$37,U$35:U$37)/'1_hub_LCIA'!$C$20</f>
        <v>0.85883161684774301</v>
      </c>
      <c r="V133" s="28">
        <f>'Preparation and execution'!$D$38*V78+SUMPRODUCT($E$35:$E$37,V$35:V$37)/'1_hub_LCIA'!$C$20</f>
        <v>1.1701872521016727E-2</v>
      </c>
      <c r="W133" s="28">
        <f>'Preparation and execution'!$D$38*W78+SUMPRODUCT($E$35:$E$37,W$35:W$37)/'1_hub_LCIA'!$C$20</f>
        <v>7.8681628279133697</v>
      </c>
      <c r="X133" s="28">
        <f>'Preparation and execution'!$D$38*X78+SUMPRODUCT($E$35:$E$37,X$35:X$37)/'1_hub_LCIA'!$C$20</f>
        <v>4.880863089511343</v>
      </c>
      <c r="Y133" s="28">
        <f>'Preparation and execution'!$D$38*Y78+SUMPRODUCT($E$35:$E$37,Y$35:Y$37)/'1_hub_LCIA'!$C$20</f>
        <v>0.73586602510009547</v>
      </c>
      <c r="Z133" s="28">
        <f>'Preparation and execution'!$D$38*Z78+SUMPRODUCT($E$35:$E$37,Z$35:Z$37)/'1_hub_LCIA'!$C$20</f>
        <v>6.9868572988658079E-3</v>
      </c>
      <c r="AA133" s="28">
        <f>'Preparation and execution'!$D$38*AA78+SUMPRODUCT($E$35:$E$37,AA$35:AA$37)/'1_hub_LCIA'!$C$20</f>
        <v>0.33481184917572321</v>
      </c>
      <c r="AB133" s="28">
        <f>'Preparation and execution'!$D$38*AB78+SUMPRODUCT($E$35:$E$37,AB$35:AB$37)/'1_hub_LCIA'!$C$20</f>
        <v>-5.5637096379562722E-4</v>
      </c>
      <c r="AC133" s="28">
        <f>'Preparation and execution'!$D$38*AC78+SUMPRODUCT($E$35:$E$37,AC$35:AC$37)/'1_hub_LCIA'!$C$20</f>
        <v>5.6165450997864768E-7</v>
      </c>
      <c r="AD133" s="28">
        <f>'Preparation and execution'!$D$38*AD78+SUMPRODUCT($E$35:$E$37,AD$35:AD$37)/'1_hub_LCIA'!$C$20</f>
        <v>3.9683361079355189E-2</v>
      </c>
      <c r="AE133" s="28">
        <f>'Preparation and execution'!$D$38*AE78+SUMPRODUCT($E$35:$E$37,AE$35:AE$37)/'1_hub_LCIA'!$C$20</f>
        <v>2.510108151942491E-2</v>
      </c>
      <c r="AF133" s="28">
        <f>'Preparation and execution'!$D$38*AF78+SUMPRODUCT($E$35:$E$37,AF$35:AF$37)/'1_hub_LCIA'!$C$20</f>
        <v>3.6796220417593554E-2</v>
      </c>
      <c r="AG133" s="28">
        <f>'Preparation and execution'!$D$38*AG78+SUMPRODUCT($E$35:$E$37,AG$35:AG$37)/'1_hub_LCIA'!$C$20</f>
        <v>9.1724247776345485E-4</v>
      </c>
      <c r="AH133" s="28">
        <f>'Preparation and execution'!$D$38*AH78+SUMPRODUCT($E$35:$E$37,AH$35:AH$37)/'1_hub_LCIA'!$C$20</f>
        <v>7.5790307535594265E-2</v>
      </c>
      <c r="AI133" s="29">
        <f>'Preparation and execution'!$D$38*AI78+SUMPRODUCT($E$35:$E$37,AI$35:AI$37)/'1_hub_LCIA'!$C$20</f>
        <v>8.5868626729550646E-2</v>
      </c>
    </row>
    <row r="134" spans="2:35" x14ac:dyDescent="0.25">
      <c r="B134" s="256"/>
      <c r="C134" s="67" t="str">
        <f t="shared" si="48"/>
        <v>6_Hub_30%IP</v>
      </c>
      <c r="D134" s="28" t="s">
        <v>539</v>
      </c>
      <c r="E134" s="28">
        <v>1</v>
      </c>
      <c r="F134" s="28" t="s">
        <v>357</v>
      </c>
      <c r="G134" s="28" t="str">
        <f t="shared" si="47"/>
        <v>6_Hub_30%IP</v>
      </c>
      <c r="H134" s="28">
        <f>'Preparation and execution'!$D$38*H79+SUMPRODUCT($E$35:$E$37,H$35:H$37)/'1_hub_LCIA'!$C$20</f>
        <v>14.914021530945751</v>
      </c>
      <c r="I134" s="28">
        <f>'Preparation and execution'!$D$38*I79+SUMPRODUCT($E$35:$E$37,I$35:I$37)/'1_hub_LCIA'!$C$20</f>
        <v>5.408317362416291</v>
      </c>
      <c r="J134" s="28">
        <f>'Preparation and execution'!$D$38*J79+SUMPRODUCT($E$35:$E$37,J$35:J$37)/'1_hub_LCIA'!$C$20</f>
        <v>174.64457456664036</v>
      </c>
      <c r="K134" s="28">
        <f>'Preparation and execution'!$D$38*K79+SUMPRODUCT($E$35:$E$37,K$35:K$37)/'1_hub_LCIA'!$C$20</f>
        <v>2.471430627983366</v>
      </c>
      <c r="L134" s="28">
        <f>'Preparation and execution'!$D$38*L79+SUMPRODUCT($E$35:$E$37,L$35:L$37)/'1_hub_LCIA'!$C$20</f>
        <v>70.174791545296358</v>
      </c>
      <c r="M134" s="28">
        <f>'Preparation and execution'!$D$38*M79+SUMPRODUCT($E$35:$E$37,M$35:M$37)/'1_hub_LCIA'!$C$20</f>
        <v>6.0660741328038984E-4</v>
      </c>
      <c r="N134" s="28">
        <f>'Preparation and execution'!$D$38*N79+SUMPRODUCT($E$35:$E$37,N$35:N$37)/'1_hub_LCIA'!$C$20</f>
        <v>5.5570140669535331</v>
      </c>
      <c r="O134" s="28">
        <f>'Preparation and execution'!$D$38*O79+SUMPRODUCT($E$35:$E$37,O$35:O$37)/'1_hub_LCIA'!$C$20</f>
        <v>17.355833828203661</v>
      </c>
      <c r="P134" s="28">
        <f>'Preparation and execution'!$D$38*P79+SUMPRODUCT($E$35:$E$37,P$35:P$37)/'1_hub_LCIA'!$C$20</f>
        <v>5.7227967762890772</v>
      </c>
      <c r="Q134" s="28">
        <f>'Preparation and execution'!$D$38*Q79+SUMPRODUCT($E$35:$E$37,Q$35:Q$37)/'1_hub_LCIA'!$C$20</f>
        <v>281.33536538119597</v>
      </c>
      <c r="R134" s="28">
        <f>'Preparation and execution'!$D$38*R79+SUMPRODUCT($E$35:$E$37,R$35:R$37)/'1_hub_LCIA'!$C$20</f>
        <v>0.81191557028067296</v>
      </c>
      <c r="S134" s="28">
        <f>'Preparation and execution'!$D$38*S79+SUMPRODUCT($E$35:$E$37,S$35:S$37)/'1_hub_LCIA'!$C$20</f>
        <v>14.699921495538193</v>
      </c>
      <c r="T134" s="28">
        <f>'Preparation and execution'!$D$38*T79+SUMPRODUCT($E$35:$E$37,T$35:T$37)/'1_hub_LCIA'!$C$20</f>
        <v>4.4340906854205047</v>
      </c>
      <c r="U134" s="28">
        <f>'Preparation and execution'!$D$38*U79+SUMPRODUCT($E$35:$E$37,U$35:U$37)/'1_hub_LCIA'!$C$20</f>
        <v>0.86219520328252586</v>
      </c>
      <c r="V134" s="28">
        <f>'Preparation and execution'!$D$38*V79+SUMPRODUCT($E$35:$E$37,V$35:V$37)/'1_hub_LCIA'!$C$20</f>
        <v>1.1876919072321076E-2</v>
      </c>
      <c r="W134" s="28">
        <f>'Preparation and execution'!$D$38*W79+SUMPRODUCT($E$35:$E$37,W$35:W$37)/'1_hub_LCIA'!$C$20</f>
        <v>7.9508646992177168</v>
      </c>
      <c r="X134" s="28">
        <f>'Preparation and execution'!$D$38*X79+SUMPRODUCT($E$35:$E$37,X$35:X$37)/'1_hub_LCIA'!$C$20</f>
        <v>4.5680840912504745</v>
      </c>
      <c r="Y134" s="28">
        <f>'Preparation and execution'!$D$38*Y79+SUMPRODUCT($E$35:$E$37,Y$35:Y$37)/'1_hub_LCIA'!$C$20</f>
        <v>0.73880511362183454</v>
      </c>
      <c r="Z134" s="28">
        <f>'Preparation and execution'!$D$38*Z79+SUMPRODUCT($E$35:$E$37,Z$35:Z$37)/'1_hub_LCIA'!$C$20</f>
        <v>6.9976669719092853E-3</v>
      </c>
      <c r="AA134" s="28">
        <f>'Preparation and execution'!$D$38*AA79+SUMPRODUCT($E$35:$E$37,AA$35:AA$37)/'1_hub_LCIA'!$C$20</f>
        <v>0.33452534708876674</v>
      </c>
      <c r="AB134" s="28">
        <f>'Preparation and execution'!$D$38*AB79+SUMPRODUCT($E$35:$E$37,AB$35:AB$37)/'1_hub_LCIA'!$C$20</f>
        <v>-5.4167770570867093E-4</v>
      </c>
      <c r="AC134" s="28">
        <f>'Preparation and execution'!$D$38*AC79+SUMPRODUCT($E$35:$E$37,AC$35:AC$37)/'1_hub_LCIA'!$C$20</f>
        <v>5.6577455919603909E-7</v>
      </c>
      <c r="AD134" s="28">
        <f>'Preparation and execution'!$D$38*AD79+SUMPRODUCT($E$35:$E$37,AD$35:AD$37)/'1_hub_LCIA'!$C$20</f>
        <v>4.0442882192398673E-2</v>
      </c>
      <c r="AE134" s="28">
        <f>'Preparation and execution'!$D$38*AE79+SUMPRODUCT($E$35:$E$37,AE$35:AE$37)/'1_hub_LCIA'!$C$20</f>
        <v>2.4609938794207517E-2</v>
      </c>
      <c r="AF134" s="28">
        <f>'Preparation and execution'!$D$38*AF79+SUMPRODUCT($E$35:$E$37,AF$35:AF$37)/'1_hub_LCIA'!$C$20</f>
        <v>3.5043821808897903E-2</v>
      </c>
      <c r="AG134" s="28">
        <f>'Preparation and execution'!$D$38*AG79+SUMPRODUCT($E$35:$E$37,AG$35:AG$37)/'1_hub_LCIA'!$C$20</f>
        <v>9.3017068350258528E-4</v>
      </c>
      <c r="AH134" s="28">
        <f>'Preparation and execution'!$D$38*AH79+SUMPRODUCT($E$35:$E$37,AH$35:AH$37)/'1_hub_LCIA'!$C$20</f>
        <v>7.5590699952985577E-2</v>
      </c>
      <c r="AI134" s="29">
        <f>'Preparation and execution'!$D$38*AI79+SUMPRODUCT($E$35:$E$37,AI$35:AI$37)/'1_hub_LCIA'!$C$20</f>
        <v>8.7012166155637616E-2</v>
      </c>
    </row>
    <row r="135" spans="2:35" x14ac:dyDescent="0.25">
      <c r="B135" s="256"/>
      <c r="C135" s="67" t="str">
        <f t="shared" si="48"/>
        <v>6_Hub_50%IP</v>
      </c>
      <c r="D135" s="28" t="s">
        <v>539</v>
      </c>
      <c r="E135" s="28">
        <v>1</v>
      </c>
      <c r="F135" s="28" t="s">
        <v>357</v>
      </c>
      <c r="G135" s="28" t="str">
        <f t="shared" si="47"/>
        <v>6_Hub_50%IP</v>
      </c>
      <c r="H135" s="28">
        <f>'Preparation and execution'!$D$38*H80+SUMPRODUCT($E$35:$E$37,H$35:H$37)/'1_hub_LCIA'!$C$20</f>
        <v>16.110618894097925</v>
      </c>
      <c r="I135" s="28">
        <f>'Preparation and execution'!$D$38*I80+SUMPRODUCT($E$35:$E$37,I$35:I$37)/'1_hub_LCIA'!$C$20</f>
        <v>4.1672921080684642</v>
      </c>
      <c r="J135" s="28">
        <f>'Preparation and execution'!$D$38*J80+SUMPRODUCT($E$35:$E$37,J$35:J$37)/'1_hub_LCIA'!$C$20</f>
        <v>181.74621812696645</v>
      </c>
      <c r="K135" s="28">
        <f>'Preparation and execution'!$D$38*K80+SUMPRODUCT($E$35:$E$37,K$35:K$37)/'1_hub_LCIA'!$C$20</f>
        <v>1.5330697463056482</v>
      </c>
      <c r="L135" s="28">
        <f>'Preparation and execution'!$D$38*L80+SUMPRODUCT($E$35:$E$37,L$35:L$37)/'1_hub_LCIA'!$C$20</f>
        <v>90.804333279535498</v>
      </c>
      <c r="M135" s="28">
        <f>'Preparation and execution'!$D$38*M80+SUMPRODUCT($E$35:$E$37,M$35:M$37)/'1_hub_LCIA'!$C$20</f>
        <v>5.4552545222604192E-4</v>
      </c>
      <c r="N135" s="28">
        <f>'Preparation and execution'!$D$38*N80+SUMPRODUCT($E$35:$E$37,N$35:N$37)/'1_hub_LCIA'!$C$20</f>
        <v>3.5877431688502721</v>
      </c>
      <c r="O135" s="28">
        <f>'Preparation and execution'!$D$38*O80+SUMPRODUCT($E$35:$E$37,O$35:O$37)/'1_hub_LCIA'!$C$20</f>
        <v>11.482945323801481</v>
      </c>
      <c r="P135" s="28">
        <f>'Preparation and execution'!$D$38*P80+SUMPRODUCT($E$35:$E$37,P$35:P$37)/'1_hub_LCIA'!$C$20</f>
        <v>4.9593619534412516</v>
      </c>
      <c r="Q135" s="28">
        <f>'Preparation and execution'!$D$38*Q80+SUMPRODUCT($E$35:$E$37,Q$35:Q$37)/'1_hub_LCIA'!$C$20</f>
        <v>298.28150923242129</v>
      </c>
      <c r="R135" s="28">
        <f>'Preparation and execution'!$D$38*R80+SUMPRODUCT($E$35:$E$37,R$35:R$37)/'1_hub_LCIA'!$C$20</f>
        <v>0.64392582922089037</v>
      </c>
      <c r="S135" s="28">
        <f>'Preparation and execution'!$D$38*S80+SUMPRODUCT($E$35:$E$37,S$35:S$37)/'1_hub_LCIA'!$C$20</f>
        <v>15.886297254777325</v>
      </c>
      <c r="T135" s="28">
        <f>'Preparation and execution'!$D$38*T80+SUMPRODUCT($E$35:$E$37,T$35:T$37)/'1_hub_LCIA'!$C$20</f>
        <v>4.5826428521596352</v>
      </c>
      <c r="U135" s="28">
        <f>'Preparation and execution'!$D$38*U80+SUMPRODUCT($E$35:$E$37,U$35:U$37)/'1_hub_LCIA'!$C$20</f>
        <v>0.84873512059774314</v>
      </c>
      <c r="V135" s="28">
        <f>'Preparation and execution'!$D$38*V80+SUMPRODUCT($E$35:$E$37,V$35:V$37)/'1_hub_LCIA'!$C$20</f>
        <v>1.1177206364766724E-2</v>
      </c>
      <c r="W135" s="28">
        <f>'Preparation and execution'!$D$38*W80+SUMPRODUCT($E$35:$E$37,W$35:W$37)/'1_hub_LCIA'!$C$20</f>
        <v>7.6269797779133697</v>
      </c>
      <c r="X135" s="28">
        <f>'Preparation and execution'!$D$38*X80+SUMPRODUCT($E$35:$E$37,X$35:X$37)/'1_hub_LCIA'!$C$20</f>
        <v>5.9061724895113441</v>
      </c>
      <c r="Y135" s="28">
        <f>'Preparation and execution'!$D$38*Y80+SUMPRODUCT($E$35:$E$37,Y$35:Y$37)/'1_hub_LCIA'!$C$20</f>
        <v>0.72690668447509543</v>
      </c>
      <c r="Z135" s="28">
        <f>'Preparation and execution'!$D$38*Z80+SUMPRODUCT($E$35:$E$37,Z$35:Z$37)/'1_hub_LCIA'!$C$20</f>
        <v>6.9616493863658077E-3</v>
      </c>
      <c r="AA135" s="28">
        <f>'Preparation and execution'!$D$38*AA80+SUMPRODUCT($E$35:$E$37,AA$35:AA$37)/'1_hub_LCIA'!$C$20</f>
        <v>0.33569956230072318</v>
      </c>
      <c r="AB135" s="28">
        <f>'Preparation and execution'!$D$38*AB80+SUMPRODUCT($E$35:$E$37,AB$35:AB$37)/'1_hub_LCIA'!$C$20</f>
        <v>-6.0425059254562733E-4</v>
      </c>
      <c r="AC135" s="28">
        <f>'Preparation and execution'!$D$38*AC80+SUMPRODUCT($E$35:$E$37,AC$35:AC$37)/'1_hub_LCIA'!$C$20</f>
        <v>5.5287410435364781E-7</v>
      </c>
      <c r="AD135" s="28">
        <f>'Preparation and execution'!$D$38*AD80+SUMPRODUCT($E$35:$E$37,AD$35:AD$37)/'1_hub_LCIA'!$C$20</f>
        <v>3.732574432935519E-2</v>
      </c>
      <c r="AE135" s="28">
        <f>'Preparation and execution'!$D$38*AE80+SUMPRODUCT($E$35:$E$37,AE$35:AE$37)/'1_hub_LCIA'!$C$20</f>
        <v>2.6682477350674909E-2</v>
      </c>
      <c r="AF135" s="28">
        <f>'Preparation and execution'!$D$38*AF80+SUMPRODUCT($E$35:$E$37,AF$35:AF$37)/'1_hub_LCIA'!$C$20</f>
        <v>4.2424911167593546E-2</v>
      </c>
      <c r="AG135" s="28">
        <f>'Preparation and execution'!$D$38*AG80+SUMPRODUCT($E$35:$E$37,AG$35:AG$37)/'1_hub_LCIA'!$C$20</f>
        <v>8.8007480463845504E-4</v>
      </c>
      <c r="AH135" s="28">
        <f>'Preparation and execution'!$D$38*AH80+SUMPRODUCT($E$35:$E$37,AH$35:AH$37)/'1_hub_LCIA'!$C$20</f>
        <v>7.6471386285594259E-2</v>
      </c>
      <c r="AI135" s="29">
        <f>'Preparation and execution'!$D$38*AI80+SUMPRODUCT($E$35:$E$37,AI$35:AI$37)/'1_hub_LCIA'!$C$20</f>
        <v>8.2053297042050638E-2</v>
      </c>
    </row>
    <row r="136" spans="2:35" x14ac:dyDescent="0.25">
      <c r="B136" s="256"/>
      <c r="C136" s="67" t="str">
        <f t="shared" si="48"/>
        <v>6_Hub_70%IP</v>
      </c>
      <c r="D136" s="28" t="s">
        <v>539</v>
      </c>
      <c r="E136" s="28">
        <v>1</v>
      </c>
      <c r="F136" s="28" t="s">
        <v>357</v>
      </c>
      <c r="G136" s="28" t="str">
        <f t="shared" si="47"/>
        <v>6_Hub_70%IP</v>
      </c>
      <c r="H136" s="28">
        <f>'Preparation and execution'!$D$38*H81+SUMPRODUCT($E$35:$E$37,H$35:H$37)/'1_hub_LCIA'!$C$20</f>
        <v>16.644337442657399</v>
      </c>
      <c r="I136" s="28">
        <f>'Preparation and execution'!$D$38*I81+SUMPRODUCT($E$35:$E$37,I$35:I$37)/'1_hub_LCIA'!$C$20</f>
        <v>3.731335621191139</v>
      </c>
      <c r="J136" s="28">
        <f>'Preparation and execution'!$D$38*J81+SUMPRODUCT($E$35:$E$37,J$35:J$37)/'1_hub_LCIA'!$C$20</f>
        <v>185.22305674941066</v>
      </c>
      <c r="K136" s="28">
        <f>'Preparation and execution'!$D$38*K81+SUMPRODUCT($E$35:$E$37,K$35:K$37)/'1_hub_LCIA'!$C$20</f>
        <v>1.1152600693564376</v>
      </c>
      <c r="L136" s="28">
        <f>'Preparation and execution'!$D$38*L81+SUMPRODUCT($E$35:$E$37,L$35:L$37)/'1_hub_LCIA'!$C$20</f>
        <v>99.760324682648857</v>
      </c>
      <c r="M136" s="28">
        <f>'Preparation and execution'!$D$38*M81+SUMPRODUCT($E$35:$E$37,M$35:M$37)/'1_hub_LCIA'!$C$20</f>
        <v>5.2365381802065155E-4</v>
      </c>
      <c r="N136" s="28">
        <f>'Preparation and execution'!$D$38*N81+SUMPRODUCT($E$35:$E$37,N$35:N$37)/'1_hub_LCIA'!$C$20</f>
        <v>2.7265524897354951</v>
      </c>
      <c r="O136" s="28">
        <f>'Preparation and execution'!$D$38*O81+SUMPRODUCT($E$35:$E$37,O$35:O$37)/'1_hub_LCIA'!$C$20</f>
        <v>8.9057559492057532</v>
      </c>
      <c r="P136" s="28">
        <f>'Preparation and execution'!$D$38*P81+SUMPRODUCT($E$35:$E$37,P$35:P$37)/'1_hub_LCIA'!$C$20</f>
        <v>4.5811986059784244</v>
      </c>
      <c r="Q136" s="28">
        <f>'Preparation and execution'!$D$38*Q81+SUMPRODUCT($E$35:$E$37,Q$35:Q$37)/'1_hub_LCIA'!$C$20</f>
        <v>306.04400782134479</v>
      </c>
      <c r="R136" s="28">
        <f>'Preparation and execution'!$D$38*R81+SUMPRODUCT($E$35:$E$37,R$35:R$37)/'1_hub_LCIA'!$C$20</f>
        <v>0.58491796623994219</v>
      </c>
      <c r="S136" s="28">
        <f>'Preparation and execution'!$D$38*S81+SUMPRODUCT($E$35:$E$37,S$35:S$37)/'1_hub_LCIA'!$C$20</f>
        <v>16.415324568950183</v>
      </c>
      <c r="T136" s="28">
        <f>'Preparation and execution'!$D$38*T81+SUMPRODUCT($E$35:$E$37,T$35:T$37)/'1_hub_LCIA'!$C$20</f>
        <v>4.65821561043101</v>
      </c>
      <c r="U136" s="28">
        <f>'Preparation and execution'!$D$38*U81+SUMPRODUCT($E$35:$E$37,U$35:U$37)/'1_hub_LCIA'!$C$20</f>
        <v>0.84335486487748268</v>
      </c>
      <c r="V136" s="28">
        <f>'Preparation and execution'!$D$38*V81+SUMPRODUCT($E$35:$E$37,V$35:V$37)/'1_hub_LCIA'!$C$20</f>
        <v>1.0897928874176574E-2</v>
      </c>
      <c r="W136" s="28">
        <f>'Preparation and execution'!$D$38*W81+SUMPRODUCT($E$35:$E$37,W$35:W$37)/'1_hub_LCIA'!$C$20</f>
        <v>7.5012790747535165</v>
      </c>
      <c r="X136" s="28">
        <f>'Preparation and execution'!$D$38*X81+SUMPRODUCT($E$35:$E$37,X$35:X$37)/'1_hub_LCIA'!$C$20</f>
        <v>6.4870732337492605</v>
      </c>
      <c r="Y136" s="28">
        <f>'Preparation and execution'!$D$38*Y81+SUMPRODUCT($E$35:$E$37,Y$35:Y$37)/'1_hub_LCIA'!$C$20</f>
        <v>0.72207764703318078</v>
      </c>
      <c r="Z136" s="28">
        <f>'Preparation and execution'!$D$38*Z81+SUMPRODUCT($E$35:$E$37,Z$35:Z$37)/'1_hub_LCIA'!$C$20</f>
        <v>6.9511085360405289E-3</v>
      </c>
      <c r="AA136" s="28">
        <f>'Preparation and execution'!$D$38*AA81+SUMPRODUCT($E$35:$E$37,AA$35:AA$37)/'1_hub_LCIA'!$C$20</f>
        <v>0.33618368270732168</v>
      </c>
      <c r="AB136" s="28">
        <f>'Preparation and execution'!$D$38*AB81+SUMPRODUCT($E$35:$E$37,AB$35:AB$37)/'1_hub_LCIA'!$C$20</f>
        <v>-6.3127279621198393E-4</v>
      </c>
      <c r="AC136" s="28">
        <f>'Preparation and execution'!$D$38*AC81+SUMPRODUCT($E$35:$E$37,AC$35:AC$37)/'1_hub_LCIA'!$C$20</f>
        <v>5.4962800224630568E-7</v>
      </c>
      <c r="AD136" s="28">
        <f>'Preparation and execution'!$D$38*AD81+SUMPRODUCT($E$35:$E$37,AD$35:AD$37)/'1_hub_LCIA'!$C$20</f>
        <v>3.6038346893481579E-2</v>
      </c>
      <c r="AE136" s="28">
        <f>'Preparation and execution'!$D$38*AE81+SUMPRODUCT($E$35:$E$37,AE$35:AE$37)/'1_hub_LCIA'!$C$20</f>
        <v>2.7567972934294797E-2</v>
      </c>
      <c r="AF136" s="28">
        <f>'Preparation and execution'!$D$38*AF81+SUMPRODUCT($E$35:$E$37,AF$35:AF$37)/'1_hub_LCIA'!$C$20</f>
        <v>4.5571556863690195E-2</v>
      </c>
      <c r="AG136" s="28">
        <f>'Preparation and execution'!$D$38*AG81+SUMPRODUCT($E$35:$E$37,AG$35:AG$37)/'1_hub_LCIA'!$C$20</f>
        <v>8.609235069827856E-4</v>
      </c>
      <c r="AH136" s="28">
        <f>'Preparation and execution'!$D$38*AH81+SUMPRODUCT($E$35:$E$37,AH$35:AH$37)/'1_hub_LCIA'!$C$20</f>
        <v>7.686704523076153E-2</v>
      </c>
      <c r="AI136" s="29">
        <f>'Preparation and execution'!$D$38*AI81+SUMPRODUCT($E$35:$E$37,AI$35:AI$37)/'1_hub_LCIA'!$C$20</f>
        <v>7.9867266915424229E-2</v>
      </c>
    </row>
    <row r="137" spans="2:35" x14ac:dyDescent="0.25">
      <c r="B137" s="256"/>
      <c r="C137" s="67" t="str">
        <f t="shared" si="48"/>
        <v>6_Hub_90%IP</v>
      </c>
      <c r="D137" s="28" t="s">
        <v>539</v>
      </c>
      <c r="E137" s="28">
        <v>1</v>
      </c>
      <c r="F137" s="28" t="s">
        <v>357</v>
      </c>
      <c r="G137" s="28" t="str">
        <f t="shared" si="47"/>
        <v>6_Hub_90%IP</v>
      </c>
      <c r="H137" s="28">
        <f>'Preparation and execution'!$D$38*H82+SUMPRODUCT($E$35:$E$37,H$35:H$37)/'1_hub_LCIA'!$C$20</f>
        <v>16.439082320510966</v>
      </c>
      <c r="I137" s="28">
        <f>'Preparation and execution'!$D$38*I82+SUMPRODUCT($E$35:$E$37,I$35:I$37)/'1_hub_LCIA'!$C$20</f>
        <v>3.0894893307641147</v>
      </c>
      <c r="J137" s="28">
        <f>'Preparation and execution'!$D$38*J82+SUMPRODUCT($E$35:$E$37,J$35:J$37)/'1_hub_LCIA'!$C$20</f>
        <v>181.31436458403164</v>
      </c>
      <c r="K137" s="28">
        <f>'Preparation and execution'!$D$38*K82+SUMPRODUCT($E$35:$E$37,K$35:K$37)/'1_hub_LCIA'!$C$20</f>
        <v>1.1630296031764089</v>
      </c>
      <c r="L137" s="28">
        <f>'Preparation and execution'!$D$38*L82+SUMPRODUCT($E$35:$E$37,L$35:L$37)/'1_hub_LCIA'!$C$20</f>
        <v>95.363060867035472</v>
      </c>
      <c r="M137" s="28">
        <f>'Preparation and execution'!$D$38*M82+SUMPRODUCT($E$35:$E$37,M$35:M$37)/'1_hub_LCIA'!$C$20</f>
        <v>5.2351175101952006E-4</v>
      </c>
      <c r="N137" s="28">
        <f>'Preparation and execution'!$D$38*N82+SUMPRODUCT($E$35:$E$37,N$35:N$37)/'1_hub_LCIA'!$C$20</f>
        <v>3.5899533883448376</v>
      </c>
      <c r="O137" s="28">
        <f>'Preparation and execution'!$D$38*O82+SUMPRODUCT($E$35:$E$37,O$35:O$37)/'1_hub_LCIA'!$C$20</f>
        <v>9.1833806341166966</v>
      </c>
      <c r="P137" s="28">
        <f>'Preparation and execution'!$D$38*P82+SUMPRODUCT($E$35:$E$37,P$35:P$37)/'1_hub_LCIA'!$C$20</f>
        <v>6.0723987324629896</v>
      </c>
      <c r="Q137" s="28">
        <f>'Preparation and execution'!$D$38*Q82+SUMPRODUCT($E$35:$E$37,Q$35:Q$37)/'1_hub_LCIA'!$C$20</f>
        <v>299.77620065168315</v>
      </c>
      <c r="R137" s="28">
        <f>'Preparation and execution'!$D$38*R82+SUMPRODUCT($E$35:$E$37,R$35:R$37)/'1_hub_LCIA'!$C$20</f>
        <v>0.49699780158502055</v>
      </c>
      <c r="S137" s="28">
        <f>'Preparation and execution'!$D$38*S82+SUMPRODUCT($E$35:$E$37,S$35:S$37)/'1_hub_LCIA'!$C$20</f>
        <v>16.212009523364276</v>
      </c>
      <c r="T137" s="28">
        <f>'Preparation and execution'!$D$38*T82+SUMPRODUCT($E$35:$E$37,T$35:T$37)/'1_hub_LCIA'!$C$20</f>
        <v>4.5378126019422433</v>
      </c>
      <c r="U137" s="28">
        <f>'Preparation and execution'!$D$38*U82+SUMPRODUCT($E$35:$E$37,U$35:U$37)/'1_hub_LCIA'!$C$20</f>
        <v>0.85695993510861257</v>
      </c>
      <c r="V137" s="28">
        <f>'Preparation and execution'!$D$38*V82+SUMPRODUCT($E$35:$E$37,V$35:V$37)/'1_hub_LCIA'!$C$20</f>
        <v>1.1577190324494986E-2</v>
      </c>
      <c r="W137" s="28">
        <f>'Preparation and execution'!$D$38*W82+SUMPRODUCT($E$35:$E$37,W$35:W$37)/'1_hub_LCIA'!$C$20</f>
        <v>7.8702731583481498</v>
      </c>
      <c r="X137" s="28">
        <f>'Preparation and execution'!$D$38*X82+SUMPRODUCT($E$35:$E$37,X$35:X$37)/'1_hub_LCIA'!$C$20</f>
        <v>6.1539207486417773</v>
      </c>
      <c r="Y137" s="28">
        <f>'Preparation and execution'!$D$38*Y82+SUMPRODUCT($E$35:$E$37,Y$35:Y$37)/'1_hub_LCIA'!$C$20</f>
        <v>0.73676773796966044</v>
      </c>
      <c r="Z137" s="28">
        <f>'Preparation and execution'!$D$38*Z82+SUMPRODUCT($E$35:$E$37,Z$35:Z$37)/'1_hub_LCIA'!$C$20</f>
        <v>7.0745728536484153E-3</v>
      </c>
      <c r="AA137" s="28">
        <f>'Preparation and execution'!$D$38*AA82+SUMPRODUCT($E$35:$E$37,AA$35:AA$37)/'1_hub_LCIA'!$C$20</f>
        <v>0.34252869282789716</v>
      </c>
      <c r="AB137" s="28">
        <f>'Preparation and execution'!$D$38*AB82+SUMPRODUCT($E$35:$E$37,AB$35:AB$37)/'1_hub_LCIA'!$C$20</f>
        <v>-6.2926631092606209E-4</v>
      </c>
      <c r="AC137" s="28">
        <f>'Preparation and execution'!$D$38*AC82+SUMPRODUCT($E$35:$E$37,AC$35:AC$37)/'1_hub_LCIA'!$C$20</f>
        <v>5.2188182945690871E-7</v>
      </c>
      <c r="AD137" s="28">
        <f>'Preparation and execution'!$D$38*AD82+SUMPRODUCT($E$35:$E$37,AD$35:AD$37)/'1_hub_LCIA'!$C$20</f>
        <v>3.390968660978997E-2</v>
      </c>
      <c r="AE137" s="28">
        <f>'Preparation and execution'!$D$38*AE82+SUMPRODUCT($E$35:$E$37,AE$35:AE$37)/'1_hub_LCIA'!$C$20</f>
        <v>2.7219272522903168E-2</v>
      </c>
      <c r="AF137" s="28">
        <f>'Preparation and execution'!$D$38*AF82+SUMPRODUCT($E$35:$E$37,AF$35:AF$37)/'1_hub_LCIA'!$C$20</f>
        <v>4.4417677134115277E-2</v>
      </c>
      <c r="AG137" s="28">
        <f>'Preparation and execution'!$D$38*AG82+SUMPRODUCT($E$35:$E$37,AG$35:AG$37)/'1_hub_LCIA'!$C$20</f>
        <v>8.4358234193736791E-4</v>
      </c>
      <c r="AH137" s="28">
        <f>'Preparation and execution'!$D$38*AH82+SUMPRODUCT($E$35:$E$37,AH$35:AH$37)/'1_hub_LCIA'!$C$20</f>
        <v>7.821306579646381E-2</v>
      </c>
      <c r="AI137" s="29">
        <f>'Preparation and execution'!$D$38*AI82+SUMPRODUCT($E$35:$E$37,AI$35:AI$37)/'1_hub_LCIA'!$C$20</f>
        <v>8.0125407790420211E-2</v>
      </c>
    </row>
    <row r="138" spans="2:35" x14ac:dyDescent="0.25">
      <c r="B138" s="256"/>
      <c r="C138" s="67" t="str">
        <f>Electricity_LCIA!B222</f>
        <v>1_Hub_1000km</v>
      </c>
      <c r="D138" s="28" t="s">
        <v>539</v>
      </c>
      <c r="E138" s="28">
        <v>1</v>
      </c>
      <c r="F138" s="28" t="s">
        <v>357</v>
      </c>
      <c r="G138" s="28" t="str">
        <f t="shared" si="47"/>
        <v>1_Hub_1000km</v>
      </c>
      <c r="H138" s="28">
        <f>'Preparation and execution'!$D$38*H83+SUMPRODUCT($E$35:$E$37,H$35:H$37)/'1_hub_LCIA'!$C$20</f>
        <v>18.047919106597924</v>
      </c>
      <c r="I138" s="28">
        <f>'Preparation and execution'!$D$38*I83+SUMPRODUCT($E$35:$E$37,I$35:I$37)/'1_hub_LCIA'!$C$20</f>
        <v>2.3740055380684626</v>
      </c>
      <c r="J138" s="28">
        <f>'Preparation and execution'!$D$38*J83+SUMPRODUCT($E$35:$E$37,J$35:J$37)/'1_hub_LCIA'!$C$20</f>
        <v>193.81187331446642</v>
      </c>
      <c r="K138" s="28">
        <f>'Preparation and execution'!$D$38*K83+SUMPRODUCT($E$35:$E$37,K$35:K$37)/'1_hub_LCIA'!$C$20</f>
        <v>1.5192667218147778E-2</v>
      </c>
      <c r="L138" s="28">
        <f>'Preparation and execution'!$D$38*L83+SUMPRODUCT($E$35:$E$37,L$35:L$37)/'1_hub_LCIA'!$C$20</f>
        <v>123.75300646703548</v>
      </c>
      <c r="M138" s="28">
        <f>'Preparation and execution'!$D$38*M83+SUMPRODUCT($E$35:$E$37,M$35:M$37)/'1_hub_LCIA'!$C$20</f>
        <v>4.5650084597604186E-4</v>
      </c>
      <c r="N138" s="28">
        <f>'Preparation and execution'!$D$38*N83+SUMPRODUCT($E$35:$E$37,N$35:N$37)/'1_hub_LCIA'!$C$20</f>
        <v>0.43100107947527194</v>
      </c>
      <c r="O138" s="28">
        <f>'Preparation and execution'!$D$38*O83+SUMPRODUCT($E$35:$E$37,O$35:O$37)/'1_hub_LCIA'!$C$20</f>
        <v>2.05237493255148</v>
      </c>
      <c r="P138" s="28">
        <f>'Preparation and execution'!$D$38*P83+SUMPRODUCT($E$35:$E$37,P$35:P$37)/'1_hub_LCIA'!$C$20</f>
        <v>3.6542106559412506</v>
      </c>
      <c r="Q138" s="28">
        <f>'Preparation and execution'!$D$38*Q83+SUMPRODUCT($E$35:$E$37,Q$35:Q$37)/'1_hub_LCIA'!$C$20</f>
        <v>326.09212115560251</v>
      </c>
      <c r="R138" s="28">
        <f>'Preparation and execution'!$D$38*R83+SUMPRODUCT($E$35:$E$37,R$35:R$37)/'1_hub_LCIA'!$C$20</f>
        <v>0.40118879984589012</v>
      </c>
      <c r="S138" s="28">
        <f>'Preparation and execution'!$D$38*S83+SUMPRODUCT($E$35:$E$37,S$35:S$37)/'1_hub_LCIA'!$C$20</f>
        <v>17.806806017277317</v>
      </c>
      <c r="T138" s="28">
        <f>'Preparation and execution'!$D$38*T83+SUMPRODUCT($E$35:$E$37,T$35:T$37)/'1_hub_LCIA'!$C$20</f>
        <v>4.8402559271596344</v>
      </c>
      <c r="U138" s="28">
        <f>'Preparation and execution'!$D$38*U83+SUMPRODUCT($E$35:$E$37,U$35:U$37)/'1_hub_LCIA'!$C$20</f>
        <v>0.82808797684774293</v>
      </c>
      <c r="V138" s="28">
        <f>'Preparation and execution'!$D$38*V83+SUMPRODUCT($E$35:$E$37,V$35:V$37)/'1_hub_LCIA'!$C$20</f>
        <v>1.0104634721016725E-2</v>
      </c>
      <c r="W138" s="28">
        <f>'Preparation and execution'!$D$38*W83+SUMPRODUCT($E$35:$E$37,W$35:W$37)/'1_hub_LCIA'!$C$20</f>
        <v>7.1370652279133679</v>
      </c>
      <c r="X138" s="28">
        <f>'Preparation and execution'!$D$38*X83+SUMPRODUCT($E$35:$E$37,X$35:X$37)/'1_hub_LCIA'!$C$20</f>
        <v>8.0432962895113427</v>
      </c>
      <c r="Y138" s="28">
        <f>'Preparation and execution'!$D$38*Y83+SUMPRODUCT($E$35:$E$37,Y$35:Y$37)/'1_hub_LCIA'!$C$20</f>
        <v>0.70852096510009532</v>
      </c>
      <c r="Z138" s="28">
        <f>'Preparation and execution'!$D$38*Z83+SUMPRODUCT($E$35:$E$37,Z$35:Z$37)/'1_hub_LCIA'!$C$20</f>
        <v>6.9134820988658065E-3</v>
      </c>
      <c r="AA138" s="28">
        <f>'Preparation and execution'!$D$38*AA83+SUMPRODUCT($E$35:$E$37,AA$35:AA$37)/'1_hub_LCIA'!$C$20</f>
        <v>0.33752786917572319</v>
      </c>
      <c r="AB138" s="28">
        <f>'Preparation and execution'!$D$38*AB83+SUMPRODUCT($E$35:$E$37,AB$35:AB$37)/'1_hub_LCIA'!$C$20</f>
        <v>-7.0392716379562726E-4</v>
      </c>
      <c r="AC138" s="28">
        <f>'Preparation and execution'!$D$38*AC83+SUMPRODUCT($E$35:$E$37,AC$35:AC$37)/'1_hub_LCIA'!$C$20</f>
        <v>5.3659412997864774E-7</v>
      </c>
      <c r="AD138" s="28">
        <f>'Preparation and execution'!$D$38*AD83+SUMPRODUCT($E$35:$E$37,AD$35:AD$37)/'1_hub_LCIA'!$C$20</f>
        <v>3.2468133079355185E-2</v>
      </c>
      <c r="AE138" s="28">
        <f>'Preparation and execution'!$D$38*AE83+SUMPRODUCT($E$35:$E$37,AE$35:AE$37)/'1_hub_LCIA'!$C$20</f>
        <v>2.9966454519424909E-2</v>
      </c>
      <c r="AF138" s="28">
        <f>'Preparation and execution'!$D$38*AF83+SUMPRODUCT($E$35:$E$37,AF$35:AF$37)/'1_hub_LCIA'!$C$20</f>
        <v>5.4107648417593551E-2</v>
      </c>
      <c r="AG138" s="28">
        <f>'Preparation and execution'!$D$38*AG83+SUMPRODUCT($E$35:$E$37,AG$35:AG$37)/'1_hub_LCIA'!$C$20</f>
        <v>8.0483337776345487E-4</v>
      </c>
      <c r="AH138" s="28">
        <f>'Preparation and execution'!$D$38*AH83+SUMPRODUCT($E$35:$E$37,AH$35:AH$37)/'1_hub_LCIA'!$C$20</f>
        <v>7.7902451535594247E-2</v>
      </c>
      <c r="AI138" s="29">
        <f>'Preparation and execution'!$D$38*AI83+SUMPRODUCT($E$35:$E$37,AI$35:AI$37)/'1_hub_LCIA'!$C$20</f>
        <v>7.4072188729550653E-2</v>
      </c>
    </row>
    <row r="139" spans="2:35" x14ac:dyDescent="0.25">
      <c r="B139" s="256"/>
      <c r="C139" s="67" t="str">
        <f t="shared" si="48"/>
        <v>2_Hub_1000km</v>
      </c>
      <c r="D139" s="28" t="s">
        <v>539</v>
      </c>
      <c r="E139" s="28">
        <v>1</v>
      </c>
      <c r="F139" s="28" t="s">
        <v>357</v>
      </c>
      <c r="G139" s="28" t="str">
        <f t="shared" si="47"/>
        <v>2_Hub_1000km</v>
      </c>
      <c r="H139" s="28">
        <f>'Preparation and execution'!$D$38*H84+SUMPRODUCT($E$35:$E$37,H$35:H$37)/'1_hub_LCIA'!$C$20</f>
        <v>18.047919106597924</v>
      </c>
      <c r="I139" s="28">
        <f>'Preparation and execution'!$D$38*I84+SUMPRODUCT($E$35:$E$37,I$35:I$37)/'1_hub_LCIA'!$C$20</f>
        <v>2.3740055380684626</v>
      </c>
      <c r="J139" s="28">
        <f>'Preparation and execution'!$D$38*J84+SUMPRODUCT($E$35:$E$37,J$35:J$37)/'1_hub_LCIA'!$C$20</f>
        <v>193.81187331446642</v>
      </c>
      <c r="K139" s="28">
        <f>'Preparation and execution'!$D$38*K84+SUMPRODUCT($E$35:$E$37,K$35:K$37)/'1_hub_LCIA'!$C$20</f>
        <v>1.5192667218147778E-2</v>
      </c>
      <c r="L139" s="28">
        <f>'Preparation and execution'!$D$38*L84+SUMPRODUCT($E$35:$E$37,L$35:L$37)/'1_hub_LCIA'!$C$20</f>
        <v>123.75300646703548</v>
      </c>
      <c r="M139" s="28">
        <f>'Preparation and execution'!$D$38*M84+SUMPRODUCT($E$35:$E$37,M$35:M$37)/'1_hub_LCIA'!$C$20</f>
        <v>4.5650084597604186E-4</v>
      </c>
      <c r="N139" s="28">
        <f>'Preparation and execution'!$D$38*N84+SUMPRODUCT($E$35:$E$37,N$35:N$37)/'1_hub_LCIA'!$C$20</f>
        <v>0.431001079475272</v>
      </c>
      <c r="O139" s="28">
        <f>'Preparation and execution'!$D$38*O84+SUMPRODUCT($E$35:$E$37,O$35:O$37)/'1_hub_LCIA'!$C$20</f>
        <v>2.05237493255148</v>
      </c>
      <c r="P139" s="28">
        <f>'Preparation and execution'!$D$38*P84+SUMPRODUCT($E$35:$E$37,P$35:P$37)/'1_hub_LCIA'!$C$20</f>
        <v>3.6542106559412502</v>
      </c>
      <c r="Q139" s="28">
        <f>'Preparation and execution'!$D$38*Q84+SUMPRODUCT($E$35:$E$37,Q$35:Q$37)/'1_hub_LCIA'!$C$20</f>
        <v>326.09212115560251</v>
      </c>
      <c r="R139" s="28">
        <f>'Preparation and execution'!$D$38*R84+SUMPRODUCT($E$35:$E$37,R$35:R$37)/'1_hub_LCIA'!$C$20</f>
        <v>0.40118879984589012</v>
      </c>
      <c r="S139" s="28">
        <f>'Preparation and execution'!$D$38*S84+SUMPRODUCT($E$35:$E$37,S$35:S$37)/'1_hub_LCIA'!$C$20</f>
        <v>17.806806017277317</v>
      </c>
      <c r="T139" s="28">
        <f>'Preparation and execution'!$D$38*T84+SUMPRODUCT($E$35:$E$37,T$35:T$37)/'1_hub_LCIA'!$C$20</f>
        <v>4.8402559271596344</v>
      </c>
      <c r="U139" s="28">
        <f>'Preparation and execution'!$D$38*U84+SUMPRODUCT($E$35:$E$37,U$35:U$37)/'1_hub_LCIA'!$C$20</f>
        <v>0.82808797684774282</v>
      </c>
      <c r="V139" s="28">
        <f>'Preparation and execution'!$D$38*V84+SUMPRODUCT($E$35:$E$37,V$35:V$37)/'1_hub_LCIA'!$C$20</f>
        <v>1.0104634721016725E-2</v>
      </c>
      <c r="W139" s="28">
        <f>'Preparation and execution'!$D$38*W84+SUMPRODUCT($E$35:$E$37,W$35:W$37)/'1_hub_LCIA'!$C$20</f>
        <v>7.1370652279133688</v>
      </c>
      <c r="X139" s="28">
        <f>'Preparation and execution'!$D$38*X84+SUMPRODUCT($E$35:$E$37,X$35:X$37)/'1_hub_LCIA'!$C$20</f>
        <v>8.0432962895113427</v>
      </c>
      <c r="Y139" s="28">
        <f>'Preparation and execution'!$D$38*Y84+SUMPRODUCT($E$35:$E$37,Y$35:Y$37)/'1_hub_LCIA'!$C$20</f>
        <v>0.70852096510009532</v>
      </c>
      <c r="Z139" s="28">
        <f>'Preparation and execution'!$D$38*Z84+SUMPRODUCT($E$35:$E$37,Z$35:Z$37)/'1_hub_LCIA'!$C$20</f>
        <v>6.9134820988658065E-3</v>
      </c>
      <c r="AA139" s="28">
        <f>'Preparation and execution'!$D$38*AA84+SUMPRODUCT($E$35:$E$37,AA$35:AA$37)/'1_hub_LCIA'!$C$20</f>
        <v>0.33752786917572319</v>
      </c>
      <c r="AB139" s="28">
        <f>'Preparation and execution'!$D$38*AB84+SUMPRODUCT($E$35:$E$37,AB$35:AB$37)/'1_hub_LCIA'!$C$20</f>
        <v>-7.0392716379562726E-4</v>
      </c>
      <c r="AC139" s="28">
        <f>'Preparation and execution'!$D$38*AC84+SUMPRODUCT($E$35:$E$37,AC$35:AC$37)/'1_hub_LCIA'!$C$20</f>
        <v>5.3659412997864774E-7</v>
      </c>
      <c r="AD139" s="28">
        <f>'Preparation and execution'!$D$38*AD84+SUMPRODUCT($E$35:$E$37,AD$35:AD$37)/'1_hub_LCIA'!$C$20</f>
        <v>3.2468133079355185E-2</v>
      </c>
      <c r="AE139" s="28">
        <f>'Preparation and execution'!$D$38*AE84+SUMPRODUCT($E$35:$E$37,AE$35:AE$37)/'1_hub_LCIA'!$C$20</f>
        <v>2.9966454519424909E-2</v>
      </c>
      <c r="AF139" s="28">
        <f>'Preparation and execution'!$D$38*AF84+SUMPRODUCT($E$35:$E$37,AF$35:AF$37)/'1_hub_LCIA'!$C$20</f>
        <v>5.4107648417593551E-2</v>
      </c>
      <c r="AG139" s="28">
        <f>'Preparation and execution'!$D$38*AG84+SUMPRODUCT($E$35:$E$37,AG$35:AG$37)/'1_hub_LCIA'!$C$20</f>
        <v>8.0483337776345476E-4</v>
      </c>
      <c r="AH139" s="28">
        <f>'Preparation and execution'!$D$38*AH84+SUMPRODUCT($E$35:$E$37,AH$35:AH$37)/'1_hub_LCIA'!$C$20</f>
        <v>7.7902451535594247E-2</v>
      </c>
      <c r="AI139" s="29">
        <f>'Preparation and execution'!$D$38*AI84+SUMPRODUCT($E$35:$E$37,AI$35:AI$37)/'1_hub_LCIA'!$C$20</f>
        <v>7.4072188729550653E-2</v>
      </c>
    </row>
    <row r="140" spans="2:35" x14ac:dyDescent="0.25">
      <c r="B140" s="256"/>
      <c r="C140" s="67" t="str">
        <f t="shared" si="48"/>
        <v>3_Hub_1000km</v>
      </c>
      <c r="D140" s="28" t="s">
        <v>539</v>
      </c>
      <c r="E140" s="28">
        <v>1</v>
      </c>
      <c r="F140" s="28" t="s">
        <v>357</v>
      </c>
      <c r="G140" s="28" t="str">
        <f t="shared" si="47"/>
        <v>3_Hub_1000km</v>
      </c>
      <c r="H140" s="28">
        <f>'Preparation and execution'!$D$38*H85+SUMPRODUCT($E$35:$E$37,H$35:H$37)/'1_hub_LCIA'!$C$20</f>
        <v>17.246188892644433</v>
      </c>
      <c r="I140" s="28">
        <f>'Preparation and execution'!$D$38*I85+SUMPRODUCT($E$35:$E$37,I$35:I$37)/'1_hub_LCIA'!$C$20</f>
        <v>2.6960825855103225</v>
      </c>
      <c r="J140" s="28">
        <f>'Preparation and execution'!$D$38*J85+SUMPRODUCT($E$35:$E$37,J$35:J$37)/'1_hub_LCIA'!$C$20</f>
        <v>187.71367591911755</v>
      </c>
      <c r="K140" s="28">
        <f>'Preparation and execution'!$D$38*K85+SUMPRODUCT($E$35:$E$37,K$35:K$37)/'1_hub_LCIA'!$C$20</f>
        <v>0.64074985932977579</v>
      </c>
      <c r="L140" s="28">
        <f>'Preparation and execution'!$D$38*L85+SUMPRODUCT($E$35:$E$37,L$35:L$37)/'1_hub_LCIA'!$C$20</f>
        <v>110.99429335075639</v>
      </c>
      <c r="M140" s="28">
        <f>'Preparation and execution'!$D$38*M85+SUMPRODUCT($E$35:$E$37,M$35:M$37)/'1_hub_LCIA'!$C$20</f>
        <v>4.741481966737163E-4</v>
      </c>
      <c r="N140" s="28">
        <f>'Preparation and execution'!$D$38*N85+SUMPRODUCT($E$35:$E$37,N$35:N$37)/'1_hub_LCIA'!$C$20</f>
        <v>1.6760659185450395</v>
      </c>
      <c r="O140" s="28">
        <f>'Preparation and execution'!$D$38*O85+SUMPRODUCT($E$35:$E$37,O$35:O$37)/'1_hub_LCIA'!$C$20</f>
        <v>5.8040064469700843</v>
      </c>
      <c r="P140" s="28">
        <f>'Preparation and execution'!$D$38*P85+SUMPRODUCT($E$35:$E$37,P$35:P$37)/'1_hub_LCIA'!$C$20</f>
        <v>4.3288339117552042</v>
      </c>
      <c r="Q140" s="28">
        <f>'Preparation and execution'!$D$38*Q85+SUMPRODUCT($E$35:$E$37,Q$35:Q$37)/'1_hub_LCIA'!$C$20</f>
        <v>313.85418214018108</v>
      </c>
      <c r="R140" s="28">
        <f>'Preparation and execution'!$D$38*R85+SUMPRODUCT($E$35:$E$37,R$35:R$37)/'1_hub_LCIA'!$C$20</f>
        <v>0.44476549379937846</v>
      </c>
      <c r="S140" s="28">
        <f>'Preparation and execution'!$D$38*S85+SUMPRODUCT($E$35:$E$37,S$35:S$37)/'1_hub_LCIA'!$C$20</f>
        <v>17.012496659137781</v>
      </c>
      <c r="T140" s="28">
        <f>'Preparation and execution'!$D$38*T85+SUMPRODUCT($E$35:$E$37,T$35:T$37)/'1_hub_LCIA'!$C$20</f>
        <v>4.700370810880564</v>
      </c>
      <c r="U140" s="28">
        <f>'Preparation and execution'!$D$38*U85+SUMPRODUCT($E$35:$E$37,U$35:U$37)/'1_hub_LCIA'!$C$20</f>
        <v>0.83440562521983586</v>
      </c>
      <c r="V140" s="28">
        <f>'Preparation and execution'!$D$38*V85+SUMPRODUCT($E$35:$E$37,V$35:V$37)/'1_hub_LCIA'!$C$20</f>
        <v>1.0431271427993468E-2</v>
      </c>
      <c r="W140" s="28">
        <f>'Preparation and execution'!$D$38*W85+SUMPRODUCT($E$35:$E$37,W$35:W$37)/'1_hub_LCIA'!$C$20</f>
        <v>7.2727835534947634</v>
      </c>
      <c r="X140" s="28">
        <f>'Preparation and execution'!$D$38*X85+SUMPRODUCT($E$35:$E$37,X$35:X$37)/'1_hub_LCIA'!$C$20</f>
        <v>7.215771656953204</v>
      </c>
      <c r="Y140" s="28">
        <f>'Preparation and execution'!$D$38*Y85+SUMPRODUCT($E$35:$E$37,Y$35:Y$37)/'1_hub_LCIA'!$C$20</f>
        <v>0.71442193440242097</v>
      </c>
      <c r="Z140" s="28">
        <f>'Preparation and execution'!$D$38*Z85+SUMPRODUCT($E$35:$E$37,Z$35:Z$37)/'1_hub_LCIA'!$C$20</f>
        <v>6.9136805174704581E-3</v>
      </c>
      <c r="AA140" s="28">
        <f>'Preparation and execution'!$D$38*AA85+SUMPRODUCT($E$35:$E$37,AA$35:AA$37)/'1_hub_LCIA'!$C$20</f>
        <v>0.33691277150130461</v>
      </c>
      <c r="AB140" s="28">
        <f>'Preparation and execution'!$D$38*AB85+SUMPRODUCT($E$35:$E$37,AB$35:AB$37)/'1_hub_LCIA'!$C$20</f>
        <v>-6.6584666519097608E-4</v>
      </c>
      <c r="AC140" s="28">
        <f>'Preparation and execution'!$D$38*AC85+SUMPRODUCT($E$35:$E$37,AC$35:AC$37)/'1_hub_LCIA'!$C$20</f>
        <v>5.3437184160655462E-7</v>
      </c>
      <c r="AD140" s="28">
        <f>'Preparation and execution'!$D$38*AD85+SUMPRODUCT($E$35:$E$37,AD$35:AD$37)/'1_hub_LCIA'!$C$20</f>
        <v>3.4110642288657511E-2</v>
      </c>
      <c r="AE140" s="28">
        <f>'Preparation and execution'!$D$38*AE85+SUMPRODUCT($E$35:$E$37,AE$35:AE$37)/'1_hub_LCIA'!$C$20</f>
        <v>2.8746457886866764E-2</v>
      </c>
      <c r="AF140" s="28">
        <f>'Preparation and execution'!$D$38*AF85+SUMPRODUCT($E$35:$E$37,AF$35:AF$37)/'1_hub_LCIA'!$C$20</f>
        <v>4.9792837440849363E-2</v>
      </c>
      <c r="AG140" s="28">
        <f>'Preparation and execution'!$D$38*AG85+SUMPRODUCT($E$35:$E$37,AG$35:AG$37)/'1_hub_LCIA'!$C$20</f>
        <v>8.2456412380996647E-4</v>
      </c>
      <c r="AH140" s="28">
        <f>'Preparation and execution'!$D$38*AH85+SUMPRODUCT($E$35:$E$37,AH$35:AH$37)/'1_hub_LCIA'!$C$20</f>
        <v>7.7300052651873327E-2</v>
      </c>
      <c r="AI140" s="29">
        <f>'Preparation and execution'!$D$38*AI85+SUMPRODUCT($E$35:$E$37,AI$35:AI$37)/'1_hub_LCIA'!$C$20</f>
        <v>7.728299859001575E-2</v>
      </c>
    </row>
    <row r="141" spans="2:35" x14ac:dyDescent="0.25">
      <c r="B141" s="256"/>
      <c r="C141" s="67" t="str">
        <f t="shared" si="48"/>
        <v>4_Hub_1000km</v>
      </c>
      <c r="D141" s="28" t="s">
        <v>539</v>
      </c>
      <c r="E141" s="28">
        <v>1</v>
      </c>
      <c r="F141" s="28" t="s">
        <v>357</v>
      </c>
      <c r="G141" s="28" t="str">
        <f t="shared" si="47"/>
        <v>4_Hub_1000km</v>
      </c>
      <c r="H141" s="28">
        <f>'Preparation and execution'!$D$38*H86+SUMPRODUCT($E$35:$E$37,H$35:H$37)/'1_hub_LCIA'!$C$20</f>
        <v>16.731188581597923</v>
      </c>
      <c r="I141" s="28">
        <f>'Preparation and execution'!$D$38*I86+SUMPRODUCT($E$35:$E$37,I$35:I$37)/'1_hub_LCIA'!$C$20</f>
        <v>2.9029723555684623</v>
      </c>
      <c r="J141" s="28">
        <f>'Preparation and execution'!$D$38*J86+SUMPRODUCT($E$35:$E$37,J$35:J$37)/'1_hub_LCIA'!$C$20</f>
        <v>183.79643106446642</v>
      </c>
      <c r="K141" s="28">
        <f>'Preparation and execution'!$D$38*K86+SUMPRODUCT($E$35:$E$37,K$35:K$37)/'1_hub_LCIA'!$C$20</f>
        <v>1.042583472318148</v>
      </c>
      <c r="L141" s="28">
        <f>'Preparation and execution'!$D$38*L86+SUMPRODUCT($E$35:$E$37,L$35:L$37)/'1_hub_LCIA'!$C$20</f>
        <v>102.79859221703549</v>
      </c>
      <c r="M141" s="28">
        <f>'Preparation and execution'!$D$38*M86+SUMPRODUCT($E$35:$E$37,M$35:M$37)/'1_hub_LCIA'!$C$20</f>
        <v>4.8548416847604188E-4</v>
      </c>
      <c r="N141" s="28">
        <f>'Preparation and execution'!$D$38*N86+SUMPRODUCT($E$35:$E$37,N$35:N$37)/'1_hub_LCIA'!$C$20</f>
        <v>2.4758471519752727</v>
      </c>
      <c r="O141" s="28">
        <f>'Preparation and execution'!$D$38*O86+SUMPRODUCT($E$35:$E$37,O$35:O$37)/'1_hub_LCIA'!$C$20</f>
        <v>8.2139086350514798</v>
      </c>
      <c r="P141" s="28">
        <f>'Preparation and execution'!$D$38*P86+SUMPRODUCT($E$35:$E$37,P$35:P$37)/'1_hub_LCIA'!$C$20</f>
        <v>4.7621856559412512</v>
      </c>
      <c r="Q141" s="28">
        <f>'Preparation and execution'!$D$38*Q86+SUMPRODUCT($E$35:$E$37,Q$35:Q$37)/'1_hub_LCIA'!$C$20</f>
        <v>305.993006036525</v>
      </c>
      <c r="R141" s="28">
        <f>'Preparation and execution'!$D$38*R86+SUMPRODUCT($E$35:$E$37,R$35:R$37)/'1_hub_LCIA'!$C$20</f>
        <v>0.47275746734589008</v>
      </c>
      <c r="S141" s="28">
        <f>'Preparation and execution'!$D$38*S86+SUMPRODUCT($E$35:$E$37,S$35:S$37)/'1_hub_LCIA'!$C$20</f>
        <v>16.502263217277321</v>
      </c>
      <c r="T141" s="28">
        <f>'Preparation and execution'!$D$38*T86+SUMPRODUCT($E$35:$E$37,T$35:T$37)/'1_hub_LCIA'!$C$20</f>
        <v>4.6105140521596342</v>
      </c>
      <c r="U141" s="28">
        <f>'Preparation and execution'!$D$38*U86+SUMPRODUCT($E$35:$E$37,U$35:U$37)/'1_hub_LCIA'!$C$20</f>
        <v>0.83846383684774306</v>
      </c>
      <c r="V141" s="28">
        <f>'Preparation and execution'!$D$38*V86+SUMPRODUCT($E$35:$E$37,V$35:V$37)/'1_hub_LCIA'!$C$20</f>
        <v>1.0641090146016727E-2</v>
      </c>
      <c r="W141" s="28">
        <f>'Preparation and execution'!$D$38*W86+SUMPRODUCT($E$35:$E$37,W$35:W$37)/'1_hub_LCIA'!$C$20</f>
        <v>7.3599637279133683</v>
      </c>
      <c r="X141" s="28">
        <f>'Preparation and execution'!$D$38*X86+SUMPRODUCT($E$35:$E$37,X$35:X$37)/'1_hub_LCIA'!$C$20</f>
        <v>6.6842020145113423</v>
      </c>
      <c r="Y141" s="28">
        <f>'Preparation and execution'!$D$38*Y86+SUMPRODUCT($E$35:$E$37,Y$35:Y$37)/'1_hub_LCIA'!$C$20</f>
        <v>0.71821248760009526</v>
      </c>
      <c r="Z141" s="28">
        <f>'Preparation and execution'!$D$38*Z86+SUMPRODUCT($E$35:$E$37,Z$35:Z$37)/'1_hub_LCIA'!$C$20</f>
        <v>6.9138079738658076E-3</v>
      </c>
      <c r="AA141" s="28">
        <f>'Preparation and execution'!$D$38*AA86+SUMPRODUCT($E$35:$E$37,AA$35:AA$37)/'1_hub_LCIA'!$C$20</f>
        <v>0.33651765667572314</v>
      </c>
      <c r="AB141" s="28">
        <f>'Preparation and execution'!$D$38*AB86+SUMPRODUCT($E$35:$E$37,AB$35:AB$37)/'1_hub_LCIA'!$C$20</f>
        <v>-6.4138523379562724E-4</v>
      </c>
      <c r="AC141" s="28">
        <f>'Preparation and execution'!$D$38*AC86+SUMPRODUCT($E$35:$E$37,AC$35:AC$37)/'1_hub_LCIA'!$C$20</f>
        <v>5.3294432997864777E-7</v>
      </c>
      <c r="AD141" s="28">
        <f>'Preparation and execution'!$D$38*AD86+SUMPRODUCT($E$35:$E$37,AD$35:AD$37)/'1_hub_LCIA'!$C$20</f>
        <v>3.516572632935519E-2</v>
      </c>
      <c r="AE141" s="28">
        <f>'Preparation and execution'!$D$38*AE86+SUMPRODUCT($E$35:$E$37,AE$35:AE$37)/'1_hub_LCIA'!$C$20</f>
        <v>2.7962779494424911E-2</v>
      </c>
      <c r="AF141" s="28">
        <f>'Preparation and execution'!$D$38*AF86+SUMPRODUCT($E$35:$E$37,AF$35:AF$37)/'1_hub_LCIA'!$C$20</f>
        <v>4.7021170667593551E-2</v>
      </c>
      <c r="AG141" s="28">
        <f>'Preparation and execution'!$D$38*AG86+SUMPRODUCT($E$35:$E$37,AG$35:AG$37)/'1_hub_LCIA'!$C$20</f>
        <v>8.3723838776345494E-4</v>
      </c>
      <c r="AH141" s="28">
        <f>'Preparation and execution'!$D$38*AH86+SUMPRODUCT($E$35:$E$37,AH$35:AH$37)/'1_hub_LCIA'!$C$20</f>
        <v>7.6913095035594264E-2</v>
      </c>
      <c r="AI141" s="29">
        <f>'Preparation and execution'!$D$38*AI86+SUMPRODUCT($E$35:$E$37,AI$35:AI$37)/'1_hub_LCIA'!$C$20</f>
        <v>7.934549797955065E-2</v>
      </c>
    </row>
    <row r="142" spans="2:35" x14ac:dyDescent="0.25">
      <c r="B142" s="256"/>
      <c r="C142" s="67" t="str">
        <f t="shared" si="48"/>
        <v>5_Hub_1000km</v>
      </c>
      <c r="D142" s="28" t="s">
        <v>539</v>
      </c>
      <c r="E142" s="28">
        <v>1</v>
      </c>
      <c r="F142" s="28" t="s">
        <v>357</v>
      </c>
      <c r="G142" s="28" t="str">
        <f t="shared" si="47"/>
        <v>5_Hub_1000km</v>
      </c>
      <c r="H142" s="28">
        <f>'Preparation and execution'!$D$38*H87+SUMPRODUCT($E$35:$E$37,H$35:H$37)/'1_hub_LCIA'!$C$20</f>
        <v>16.676268880231365</v>
      </c>
      <c r="I142" s="28">
        <f>'Preparation and execution'!$D$38*I87+SUMPRODUCT($E$35:$E$37,I$35:I$37)/'1_hub_LCIA'!$C$20</f>
        <v>2.9985697938883975</v>
      </c>
      <c r="J142" s="28">
        <f>'Preparation and execution'!$D$38*J87+SUMPRODUCT($E$35:$E$37,J$35:J$37)/'1_hub_LCIA'!$C$20</f>
        <v>183.10205516655645</v>
      </c>
      <c r="K142" s="28">
        <f>'Preparation and execution'!$D$38*K87+SUMPRODUCT($E$35:$E$37,K$35:K$37)/'1_hub_LCIA'!$C$20</f>
        <v>0.97118084259821225</v>
      </c>
      <c r="L142" s="28">
        <f>'Preparation and execution'!$D$38*L87+SUMPRODUCT($E$35:$E$37,L$35:L$37)/'1_hub_LCIA'!$C$20</f>
        <v>98.961776164784666</v>
      </c>
      <c r="M142" s="28">
        <f>'Preparation and execution'!$D$38*M87+SUMPRODUCT($E$35:$E$37,M$35:M$37)/'1_hub_LCIA'!$C$20</f>
        <v>5.2028481600819622E-4</v>
      </c>
      <c r="N142" s="28">
        <f>'Preparation and execution'!$D$38*N87+SUMPRODUCT($E$35:$E$37,N$35:N$37)/'1_hub_LCIA'!$C$20</f>
        <v>3.2632870001183587</v>
      </c>
      <c r="O142" s="28">
        <f>'Preparation and execution'!$D$38*O87+SUMPRODUCT($E$35:$E$37,O$35:O$37)/'1_hub_LCIA'!$C$20</f>
        <v>8.0484072922942449</v>
      </c>
      <c r="P142" s="28">
        <f>'Preparation and execution'!$D$38*P87+SUMPRODUCT($E$35:$E$37,P$35:P$37)/'1_hub_LCIA'!$C$20</f>
        <v>5.9399837517611855</v>
      </c>
      <c r="Q142" s="28">
        <f>'Preparation and execution'!$D$38*Q87+SUMPRODUCT($E$35:$E$37,Q$35:Q$37)/'1_hub_LCIA'!$C$20</f>
        <v>303.28578029681751</v>
      </c>
      <c r="R142" s="28">
        <f>'Preparation and execution'!$D$38*R87+SUMPRODUCT($E$35:$E$37,R$35:R$37)/'1_hub_LCIA'!$C$20</f>
        <v>0.48463368023174225</v>
      </c>
      <c r="S142" s="28">
        <f>'Preparation and execution'!$D$38*S87+SUMPRODUCT($E$35:$E$37,S$35:S$37)/'1_hub_LCIA'!$C$20</f>
        <v>16.446946960042592</v>
      </c>
      <c r="T142" s="28">
        <f>'Preparation and execution'!$D$38*T87+SUMPRODUCT($E$35:$E$37,T$35:T$37)/'1_hub_LCIA'!$C$20</f>
        <v>4.5778251413075441</v>
      </c>
      <c r="U142" s="28">
        <f>'Preparation and execution'!$D$38*U87+SUMPRODUCT($E$35:$E$37,U$35:U$37)/'1_hub_LCIA'!$C$20</f>
        <v>0.85611280771591014</v>
      </c>
      <c r="V142" s="28">
        <f>'Preparation and execution'!$D$38*V87+SUMPRODUCT($E$35:$E$37,V$35:V$37)/'1_hub_LCIA'!$C$20</f>
        <v>1.1532117879859168E-2</v>
      </c>
      <c r="W142" s="28">
        <f>'Preparation and execution'!$D$38*W87+SUMPRODUCT($E$35:$E$37,W$35:W$37)/'1_hub_LCIA'!$C$20</f>
        <v>7.8592034658554892</v>
      </c>
      <c r="X142" s="28">
        <f>'Preparation and execution'!$D$38*X87+SUMPRODUCT($E$35:$E$37,X$35:X$37)/'1_hub_LCIA'!$C$20</f>
        <v>6.384301928739637</v>
      </c>
      <c r="Y142" s="28">
        <f>'Preparation and execution'!$D$38*Y87+SUMPRODUCT($E$35:$E$37,Y$35:Y$37)/'1_hub_LCIA'!$C$20</f>
        <v>0.73605719493932364</v>
      </c>
      <c r="Z142" s="28">
        <f>'Preparation and execution'!$D$38*Z87+SUMPRODUCT($E$35:$E$37,Z$35:Z$37)/'1_hub_LCIA'!$C$20</f>
        <v>7.0846543200876718E-3</v>
      </c>
      <c r="AA142" s="28">
        <f>'Preparation and execution'!$D$38*AA87+SUMPRODUCT($E$35:$E$37,AA$35:AA$37)/'1_hub_LCIA'!$C$20</f>
        <v>0.34310412100852056</v>
      </c>
      <c r="AB142" s="28">
        <f>'Preparation and execution'!$D$38*AB87+SUMPRODUCT($E$35:$E$37,AB$35:AB$37)/'1_hub_LCIA'!$C$20</f>
        <v>-6.4064295131974279E-4</v>
      </c>
      <c r="AC142" s="28">
        <f>'Preparation and execution'!$D$38*AC87+SUMPRODUCT($E$35:$E$37,AC$35:AC$37)/'1_hub_LCIA'!$C$20</f>
        <v>5.2189229602366381E-7</v>
      </c>
      <c r="AD142" s="28">
        <f>'Preparation and execution'!$D$38*AD87+SUMPRODUCT($E$35:$E$37,AD$35:AD$37)/'1_hub_LCIA'!$C$20</f>
        <v>3.3306738146879303E-2</v>
      </c>
      <c r="AE142" s="28">
        <f>'Preparation and execution'!$D$38*AE87+SUMPRODUCT($E$35:$E$37,AE$35:AE$37)/'1_hub_LCIA'!$C$20</f>
        <v>2.7561332186305937E-2</v>
      </c>
      <c r="AF142" s="28">
        <f>'Preparation and execution'!$D$38*AF87+SUMPRODUCT($E$35:$E$37,AF$35:AF$37)/'1_hub_LCIA'!$C$20</f>
        <v>4.5629100071612833E-2</v>
      </c>
      <c r="AG142" s="28">
        <f>'Preparation and execution'!$D$38*AG87+SUMPRODUCT($E$35:$E$37,AG$35:AG$37)/'1_hub_LCIA'!$C$20</f>
        <v>8.3769181982133257E-4</v>
      </c>
      <c r="AH142" s="28">
        <f>'Preparation and execution'!$D$38*AH87+SUMPRODUCT($E$35:$E$37,AH$35:AH$37)/'1_hub_LCIA'!$C$20</f>
        <v>7.848716330408298E-2</v>
      </c>
      <c r="AI142" s="29">
        <f>'Preparation and execution'!$D$38*AI87+SUMPRODUCT($E$35:$E$37,AI$35:AI$37)/'1_hub_LCIA'!$C$20</f>
        <v>7.9150905166849667E-2</v>
      </c>
    </row>
    <row r="143" spans="2:35" x14ac:dyDescent="0.25">
      <c r="B143" s="256"/>
      <c r="C143" s="67" t="str">
        <f t="shared" si="48"/>
        <v>6_Hub_1000km</v>
      </c>
      <c r="D143" s="28" t="s">
        <v>539</v>
      </c>
      <c r="E143" s="28">
        <v>1</v>
      </c>
      <c r="F143" s="28" t="s">
        <v>357</v>
      </c>
      <c r="G143" s="28" t="str">
        <f t="shared" si="47"/>
        <v>6_Hub_1000km</v>
      </c>
      <c r="H143" s="28">
        <f>'Preparation and execution'!$D$38*H88+SUMPRODUCT($E$35:$E$37,H$35:H$37)/'1_hub_LCIA'!$C$20</f>
        <v>16.387290425516838</v>
      </c>
      <c r="I143" s="28">
        <f>'Preparation and execution'!$D$38*I88+SUMPRODUCT($E$35:$E$37,I$35:I$37)/'1_hub_LCIA'!$C$20</f>
        <v>3.109802228879273</v>
      </c>
      <c r="J143" s="28">
        <f>'Preparation and execution'!$D$38*J88+SUMPRODUCT($E$35:$E$37,J$35:J$37)/'1_hub_LCIA'!$C$20</f>
        <v>180.92227601716911</v>
      </c>
      <c r="K143" s="28">
        <f>'Preparation and execution'!$D$38*K88+SUMPRODUCT($E$35:$E$37,K$35:K$37)/'1_hub_LCIA'!$C$20</f>
        <v>1.2042072012505802</v>
      </c>
      <c r="L143" s="28">
        <f>'Preparation and execution'!$D$38*L88+SUMPRODUCT($E$35:$E$37,L$35:L$37)/'1_hub_LCIA'!$C$20</f>
        <v>94.558723007575992</v>
      </c>
      <c r="M143" s="28">
        <f>'Preparation and execution'!$D$38*M88+SUMPRODUCT($E$35:$E$37,M$35:M$37)/'1_hub_LCIA'!$C$20</f>
        <v>5.2442641246252825E-4</v>
      </c>
      <c r="N143" s="28">
        <f>'Preparation and execution'!$D$38*N88+SUMPRODUCT($E$35:$E$37,N$35:N$37)/'1_hub_LCIA'!$C$20</f>
        <v>3.6656741854212176</v>
      </c>
      <c r="O143" s="28">
        <f>'Preparation and execution'!$D$38*O88+SUMPRODUCT($E$35:$E$37,O$35:O$37)/'1_hub_LCIA'!$C$20</f>
        <v>9.4285710266055318</v>
      </c>
      <c r="P143" s="28">
        <f>'Preparation and execution'!$D$38*P88+SUMPRODUCT($E$35:$E$37,P$35:P$37)/'1_hub_LCIA'!$C$20</f>
        <v>6.1083879316169245</v>
      </c>
      <c r="Q143" s="28">
        <f>'Preparation and execution'!$D$38*Q88+SUMPRODUCT($E$35:$E$37,Q$35:Q$37)/'1_hub_LCIA'!$C$20</f>
        <v>298.99816602493104</v>
      </c>
      <c r="R143" s="28">
        <f>'Preparation and execution'!$D$38*R88+SUMPRODUCT($E$35:$E$37,R$35:R$37)/'1_hub_LCIA'!$C$20</f>
        <v>0.4997532138999442</v>
      </c>
      <c r="S143" s="28">
        <f>'Preparation and execution'!$D$38*S88+SUMPRODUCT($E$35:$E$37,S$35:S$37)/'1_hub_LCIA'!$C$20</f>
        <v>16.160703087547589</v>
      </c>
      <c r="T143" s="28">
        <f>'Preparation and execution'!$D$38*T88+SUMPRODUCT($E$35:$E$37,T$35:T$37)/'1_hub_LCIA'!$C$20</f>
        <v>4.5289310190515266</v>
      </c>
      <c r="U143" s="28">
        <f>'Preparation and execution'!$D$38*U88+SUMPRODUCT($E$35:$E$37,U$35:U$37)/'1_hub_LCIA'!$C$20</f>
        <v>0.85725255630720232</v>
      </c>
      <c r="V143" s="28">
        <f>'Preparation and execution'!$D$38*V88+SUMPRODUCT($E$35:$E$37,V$35:V$37)/'1_hub_LCIA'!$C$20</f>
        <v>1.1592463499395104E-2</v>
      </c>
      <c r="W143" s="28">
        <f>'Preparation and execution'!$D$38*W88+SUMPRODUCT($E$35:$E$37,W$35:W$37)/'1_hub_LCIA'!$C$20</f>
        <v>7.8757536603457998</v>
      </c>
      <c r="X143" s="28">
        <f>'Preparation and execution'!$D$38*X88+SUMPRODUCT($E$35:$E$37,X$35:X$37)/'1_hub_LCIA'!$C$20</f>
        <v>6.1020941976194498</v>
      </c>
      <c r="Y143" s="28">
        <f>'Preparation and execution'!$D$38*Y88+SUMPRODUCT($E$35:$E$37,Y$35:Y$37)/'1_hub_LCIA'!$C$20</f>
        <v>0.7370319369919871</v>
      </c>
      <c r="Z143" s="28">
        <f>'Preparation and execution'!$D$38*Z88+SUMPRODUCT($E$35:$E$37,Z$35:Z$37)/'1_hub_LCIA'!$C$20</f>
        <v>7.0734395907576988E-3</v>
      </c>
      <c r="AA143" s="28">
        <f>'Preparation and execution'!$D$38*AA88+SUMPRODUCT($E$35:$E$37,AA$35:AA$37)/'1_hub_LCIA'!$C$20</f>
        <v>0.34244448755410145</v>
      </c>
      <c r="AB143" s="28">
        <f>'Preparation and execution'!$D$38*AB88+SUMPRODUCT($E$35:$E$37,AB$35:AB$37)/'1_hub_LCIA'!$C$20</f>
        <v>-6.2679378433616768E-4</v>
      </c>
      <c r="AC143" s="28">
        <f>'Preparation and execution'!$D$38*AC88+SUMPRODUCT($E$35:$E$37,AC$35:AC$37)/'1_hub_LCIA'!$C$20</f>
        <v>5.2181139376243136E-7</v>
      </c>
      <c r="AD143" s="28">
        <f>'Preparation and execution'!$D$38*AD88+SUMPRODUCT($E$35:$E$37,AD$35:AD$37)/'1_hub_LCIA'!$C$20</f>
        <v>3.4029019349625454E-2</v>
      </c>
      <c r="AE143" s="28">
        <f>'Preparation and execution'!$D$38*AE88+SUMPRODUCT($E$35:$E$37,AE$35:AE$37)/'1_hub_LCIA'!$C$20</f>
        <v>2.7142593114019502E-2</v>
      </c>
      <c r="AF143" s="28">
        <f>'Preparation and execution'!$D$38*AF88+SUMPRODUCT($E$35:$E$37,AF$35:AF$37)/'1_hub_LCIA'!$C$20</f>
        <v>4.4146295866242184E-2</v>
      </c>
      <c r="AG143" s="28">
        <f>'Preparation and execution'!$D$38*AG88+SUMPRODUCT($E$35:$E$37,AG$35:AG$37)/'1_hub_LCIA'!$C$20</f>
        <v>8.4486297668237358E-4</v>
      </c>
      <c r="AH143" s="28">
        <f>'Preparation and execution'!$D$38*AH88+SUMPRODUCT($E$35:$E$37,AH$35:AH$37)/'1_hub_LCIA'!$C$20</f>
        <v>7.8163313805864512E-2</v>
      </c>
      <c r="AI143" s="29">
        <f>'Preparation and execution'!$D$38*AI88+SUMPRODUCT($E$35:$E$37,AI$35:AI$37)/'1_hub_LCIA'!$C$20</f>
        <v>8.0335607648469559E-2</v>
      </c>
    </row>
    <row r="144" spans="2:35" x14ac:dyDescent="0.25">
      <c r="B144" s="256"/>
      <c r="C144" s="67" t="str">
        <f>Electricity_LCIA!B260</f>
        <v>1_Hub_3000km</v>
      </c>
      <c r="D144" s="28" t="s">
        <v>539</v>
      </c>
      <c r="E144" s="28">
        <v>1</v>
      </c>
      <c r="F144" s="28" t="s">
        <v>357</v>
      </c>
      <c r="G144" s="28" t="str">
        <f t="shared" si="47"/>
        <v>1_Hub_3000km</v>
      </c>
      <c r="H144" s="28">
        <f>'Preparation and execution'!$D$38*H89+SUMPRODUCT($E$35:$E$37,H$35:H$37)/'1_hub_LCIA'!$C$20</f>
        <v>18.047919106597924</v>
      </c>
      <c r="I144" s="28">
        <f>'Preparation and execution'!$D$38*I89+SUMPRODUCT($E$35:$E$37,I$35:I$37)/'1_hub_LCIA'!$C$20</f>
        <v>2.3740055380684626</v>
      </c>
      <c r="J144" s="28">
        <f>'Preparation and execution'!$D$38*J89+SUMPRODUCT($E$35:$E$37,J$35:J$37)/'1_hub_LCIA'!$C$20</f>
        <v>193.81187331446642</v>
      </c>
      <c r="K144" s="28">
        <f>'Preparation and execution'!$D$38*K89+SUMPRODUCT($E$35:$E$37,K$35:K$37)/'1_hub_LCIA'!$C$20</f>
        <v>1.5192667218147778E-2</v>
      </c>
      <c r="L144" s="28">
        <f>'Preparation and execution'!$D$38*L89+SUMPRODUCT($E$35:$E$37,L$35:L$37)/'1_hub_LCIA'!$C$20</f>
        <v>123.75300646703548</v>
      </c>
      <c r="M144" s="28">
        <f>'Preparation and execution'!$D$38*M89+SUMPRODUCT($E$35:$E$37,M$35:M$37)/'1_hub_LCIA'!$C$20</f>
        <v>4.5650084597604186E-4</v>
      </c>
      <c r="N144" s="28">
        <f>'Preparation and execution'!$D$38*N89+SUMPRODUCT($E$35:$E$37,N$35:N$37)/'1_hub_LCIA'!$C$20</f>
        <v>0.43100107947527194</v>
      </c>
      <c r="O144" s="28">
        <f>'Preparation and execution'!$D$38*O89+SUMPRODUCT($E$35:$E$37,O$35:O$37)/'1_hub_LCIA'!$C$20</f>
        <v>2.05237493255148</v>
      </c>
      <c r="P144" s="28">
        <f>'Preparation and execution'!$D$38*P89+SUMPRODUCT($E$35:$E$37,P$35:P$37)/'1_hub_LCIA'!$C$20</f>
        <v>3.6542106559412506</v>
      </c>
      <c r="Q144" s="28">
        <f>'Preparation and execution'!$D$38*Q89+SUMPRODUCT($E$35:$E$37,Q$35:Q$37)/'1_hub_LCIA'!$C$20</f>
        <v>326.09212115560251</v>
      </c>
      <c r="R144" s="28">
        <f>'Preparation and execution'!$D$38*R89+SUMPRODUCT($E$35:$E$37,R$35:R$37)/'1_hub_LCIA'!$C$20</f>
        <v>0.40118879984589012</v>
      </c>
      <c r="S144" s="28">
        <f>'Preparation and execution'!$D$38*S89+SUMPRODUCT($E$35:$E$37,S$35:S$37)/'1_hub_LCIA'!$C$20</f>
        <v>17.806806017277317</v>
      </c>
      <c r="T144" s="28">
        <f>'Preparation and execution'!$D$38*T89+SUMPRODUCT($E$35:$E$37,T$35:T$37)/'1_hub_LCIA'!$C$20</f>
        <v>4.8402559271596344</v>
      </c>
      <c r="U144" s="28">
        <f>'Preparation and execution'!$D$38*U89+SUMPRODUCT($E$35:$E$37,U$35:U$37)/'1_hub_LCIA'!$C$20</f>
        <v>0.82808797684774293</v>
      </c>
      <c r="V144" s="28">
        <f>'Preparation and execution'!$D$38*V89+SUMPRODUCT($E$35:$E$37,V$35:V$37)/'1_hub_LCIA'!$C$20</f>
        <v>1.0104634721016725E-2</v>
      </c>
      <c r="W144" s="28">
        <f>'Preparation and execution'!$D$38*W89+SUMPRODUCT($E$35:$E$37,W$35:W$37)/'1_hub_LCIA'!$C$20</f>
        <v>7.1370652279133679</v>
      </c>
      <c r="X144" s="28">
        <f>'Preparation and execution'!$D$38*X89+SUMPRODUCT($E$35:$E$37,X$35:X$37)/'1_hub_LCIA'!$C$20</f>
        <v>8.0432962895113427</v>
      </c>
      <c r="Y144" s="28">
        <f>'Preparation and execution'!$D$38*Y89+SUMPRODUCT($E$35:$E$37,Y$35:Y$37)/'1_hub_LCIA'!$C$20</f>
        <v>0.70852096510009532</v>
      </c>
      <c r="Z144" s="28">
        <f>'Preparation and execution'!$D$38*Z89+SUMPRODUCT($E$35:$E$37,Z$35:Z$37)/'1_hub_LCIA'!$C$20</f>
        <v>6.9134820988658065E-3</v>
      </c>
      <c r="AA144" s="28">
        <f>'Preparation and execution'!$D$38*AA89+SUMPRODUCT($E$35:$E$37,AA$35:AA$37)/'1_hub_LCIA'!$C$20</f>
        <v>0.33752786917572319</v>
      </c>
      <c r="AB144" s="28">
        <f>'Preparation and execution'!$D$38*AB89+SUMPRODUCT($E$35:$E$37,AB$35:AB$37)/'1_hub_LCIA'!$C$20</f>
        <v>-7.0392716379562726E-4</v>
      </c>
      <c r="AC144" s="28">
        <f>'Preparation and execution'!$D$38*AC89+SUMPRODUCT($E$35:$E$37,AC$35:AC$37)/'1_hub_LCIA'!$C$20</f>
        <v>5.3659412997864774E-7</v>
      </c>
      <c r="AD144" s="28">
        <f>'Preparation and execution'!$D$38*AD89+SUMPRODUCT($E$35:$E$37,AD$35:AD$37)/'1_hub_LCIA'!$C$20</f>
        <v>3.2468133079355185E-2</v>
      </c>
      <c r="AE144" s="28">
        <f>'Preparation and execution'!$D$38*AE89+SUMPRODUCT($E$35:$E$37,AE$35:AE$37)/'1_hub_LCIA'!$C$20</f>
        <v>2.9966454519424909E-2</v>
      </c>
      <c r="AF144" s="28">
        <f>'Preparation and execution'!$D$38*AF89+SUMPRODUCT($E$35:$E$37,AF$35:AF$37)/'1_hub_LCIA'!$C$20</f>
        <v>5.4107648417593551E-2</v>
      </c>
      <c r="AG144" s="28">
        <f>'Preparation and execution'!$D$38*AG89+SUMPRODUCT($E$35:$E$37,AG$35:AG$37)/'1_hub_LCIA'!$C$20</f>
        <v>8.0483337776345487E-4</v>
      </c>
      <c r="AH144" s="28">
        <f>'Preparation and execution'!$D$38*AH89+SUMPRODUCT($E$35:$E$37,AH$35:AH$37)/'1_hub_LCIA'!$C$20</f>
        <v>7.7902451535594247E-2</v>
      </c>
      <c r="AI144" s="29">
        <f>'Preparation and execution'!$D$38*AI89+SUMPRODUCT($E$35:$E$37,AI$35:AI$37)/'1_hub_LCIA'!$C$20</f>
        <v>7.4072188729550653E-2</v>
      </c>
    </row>
    <row r="145" spans="2:35" x14ac:dyDescent="0.25">
      <c r="B145" s="256"/>
      <c r="C145" s="67" t="str">
        <f t="shared" si="48"/>
        <v>2_Hub_3000km</v>
      </c>
      <c r="D145" s="28" t="s">
        <v>539</v>
      </c>
      <c r="E145" s="28">
        <v>1</v>
      </c>
      <c r="F145" s="28" t="s">
        <v>357</v>
      </c>
      <c r="G145" s="28" t="str">
        <f t="shared" si="47"/>
        <v>2_Hub_3000km</v>
      </c>
      <c r="H145" s="28">
        <f>'Preparation and execution'!$D$38*H90+SUMPRODUCT($E$35:$E$37,H$35:H$37)/'1_hub_LCIA'!$C$20</f>
        <v>18.17707360173306</v>
      </c>
      <c r="I145" s="28">
        <f>'Preparation and execution'!$D$38*I90+SUMPRODUCT($E$35:$E$37,I$35:I$37)/'1_hub_LCIA'!$C$20</f>
        <v>2.2765751711495437</v>
      </c>
      <c r="J145" s="28">
        <f>'Preparation and execution'!$D$38*J90+SUMPRODUCT($E$35:$E$37,J$35:J$37)/'1_hub_LCIA'!$C$20</f>
        <v>197.13664767122316</v>
      </c>
      <c r="K145" s="28">
        <f>'Preparation and execution'!$D$38*K90+SUMPRODUCT($E$35:$E$37,K$35:K$37)/'1_hub_LCIA'!$C$20</f>
        <v>0.47699635103220178</v>
      </c>
      <c r="L145" s="28">
        <f>'Preparation and execution'!$D$38*L90+SUMPRODUCT($E$35:$E$37,L$35:L$37)/'1_hub_LCIA'!$C$20</f>
        <v>112.63138012995439</v>
      </c>
      <c r="M145" s="28">
        <f>'Preparation and execution'!$D$38*M90+SUMPRODUCT($E$35:$E$37,M$35:M$37)/'1_hub_LCIA'!$C$20</f>
        <v>4.6746146824631213E-4</v>
      </c>
      <c r="N145" s="28">
        <f>'Preparation and execution'!$D$38*N90+SUMPRODUCT($E$35:$E$37,N$35:N$37)/'1_hub_LCIA'!$C$20</f>
        <v>0.57632210044824494</v>
      </c>
      <c r="O145" s="28">
        <f>'Preparation and execution'!$D$38*O90+SUMPRODUCT($E$35:$E$37,O$35:O$37)/'1_hub_LCIA'!$C$20</f>
        <v>4.4451122257406688</v>
      </c>
      <c r="P145" s="28">
        <f>'Preparation and execution'!$D$38*P90+SUMPRODUCT($E$35:$E$37,P$35:P$37)/'1_hub_LCIA'!$C$20</f>
        <v>4.12498950567098</v>
      </c>
      <c r="Q145" s="28">
        <f>'Preparation and execution'!$D$38*Q90+SUMPRODUCT($E$35:$E$37,Q$35:Q$37)/'1_hub_LCIA'!$C$20</f>
        <v>321.66849061668745</v>
      </c>
      <c r="R145" s="28">
        <f>'Preparation and execution'!$D$38*R90+SUMPRODUCT($E$35:$E$37,R$35:R$37)/'1_hub_LCIA'!$C$20</f>
        <v>0.39842381692697121</v>
      </c>
      <c r="S145" s="28">
        <f>'Preparation and execution'!$D$38*S90+SUMPRODUCT($E$35:$E$37,S$35:S$37)/'1_hub_LCIA'!$C$20</f>
        <v>17.937659225925966</v>
      </c>
      <c r="T145" s="28">
        <f>'Preparation and execution'!$D$38*T90+SUMPRODUCT($E$35:$E$37,T$35:T$37)/'1_hub_LCIA'!$C$20</f>
        <v>4.9310194968893644</v>
      </c>
      <c r="U145" s="28">
        <f>'Preparation and execution'!$D$38*U90+SUMPRODUCT($E$35:$E$37,U$35:U$37)/'1_hub_LCIA'!$C$20</f>
        <v>0.84176915414504039</v>
      </c>
      <c r="V145" s="28">
        <f>'Preparation and execution'!$D$38*V90+SUMPRODUCT($E$35:$E$37,V$35:V$37)/'1_hub_LCIA'!$C$20</f>
        <v>1.090292553615186E-2</v>
      </c>
      <c r="W145" s="28">
        <f>'Preparation and execution'!$D$38*W90+SUMPRODUCT($E$35:$E$37,W$35:W$37)/'1_hub_LCIA'!$C$20</f>
        <v>7.6079747479133673</v>
      </c>
      <c r="X145" s="28">
        <f>'Preparation and execution'!$D$38*X90+SUMPRODUCT($E$35:$E$37,X$35:X$37)/'1_hub_LCIA'!$C$20</f>
        <v>7.3221861308518843</v>
      </c>
      <c r="Y145" s="28">
        <f>'Preparation and execution'!$D$38*Y90+SUMPRODUCT($E$35:$E$37,Y$35:Y$37)/'1_hub_LCIA'!$C$20</f>
        <v>0.72215771450550081</v>
      </c>
      <c r="Z145" s="28">
        <f>'Preparation and execution'!$D$38*Z90+SUMPRODUCT($E$35:$E$37,Z$35:Z$37)/'1_hub_LCIA'!$C$20</f>
        <v>7.1142700361631044E-3</v>
      </c>
      <c r="AA145" s="28">
        <f>'Preparation and execution'!$D$38*AA90+SUMPRODUCT($E$35:$E$37,AA$35:AA$37)/'1_hub_LCIA'!$C$20</f>
        <v>0.33612708387842583</v>
      </c>
      <c r="AB145" s="28">
        <f>'Preparation and execution'!$D$38*AB90+SUMPRODUCT($E$35:$E$37,AB$35:AB$37)/'1_hub_LCIA'!$C$20</f>
        <v>-7.3437595017400556E-4</v>
      </c>
      <c r="AC145" s="28">
        <f>'Preparation and execution'!$D$38*AC90+SUMPRODUCT($E$35:$E$37,AC$35:AC$37)/'1_hub_LCIA'!$C$20</f>
        <v>5.3045785408675581E-7</v>
      </c>
      <c r="AD145" s="28">
        <f>'Preparation and execution'!$D$38*AD90+SUMPRODUCT($E$35:$E$37,AD$35:AD$37)/'1_hub_LCIA'!$C$20</f>
        <v>4.3609864344220053E-2</v>
      </c>
      <c r="AE145" s="28">
        <f>'Preparation and execution'!$D$38*AE90+SUMPRODUCT($E$35:$E$37,AE$35:AE$37)/'1_hub_LCIA'!$C$20</f>
        <v>3.1911899637262743E-2</v>
      </c>
      <c r="AF145" s="28">
        <f>'Preparation and execution'!$D$38*AF90+SUMPRODUCT($E$35:$E$37,AF$35:AF$37)/'1_hub_LCIA'!$C$20</f>
        <v>5.7417526363539487E-2</v>
      </c>
      <c r="AG145" s="28">
        <f>'Preparation and execution'!$D$38*AG90+SUMPRODUCT($E$35:$E$37,AG$35:AG$37)/'1_hub_LCIA'!$C$20</f>
        <v>7.9237004738507647E-4</v>
      </c>
      <c r="AH145" s="28">
        <f>'Preparation and execution'!$D$38*AH90+SUMPRODUCT($E$35:$E$37,AH$35:AH$37)/'1_hub_LCIA'!$C$20</f>
        <v>7.5424681870729385E-2</v>
      </c>
      <c r="AI145" s="29">
        <f>'Preparation and execution'!$D$38*AI90+SUMPRODUCT($E$35:$E$37,AI$35:AI$37)/'1_hub_LCIA'!$C$20</f>
        <v>8.1213580340361469E-2</v>
      </c>
    </row>
    <row r="146" spans="2:35" x14ac:dyDescent="0.25">
      <c r="B146" s="256"/>
      <c r="C146" s="67" t="str">
        <f>C91</f>
        <v>3_Hub_3000km</v>
      </c>
      <c r="D146" s="28" t="s">
        <v>539</v>
      </c>
      <c r="E146" s="28">
        <v>1</v>
      </c>
      <c r="F146" s="28" t="s">
        <v>357</v>
      </c>
      <c r="G146" s="28" t="str">
        <f t="shared" si="47"/>
        <v>3_Hub_3000km</v>
      </c>
      <c r="H146" s="28">
        <f>'Preparation and execution'!$D$38*H91+SUMPRODUCT($E$35:$E$37,H$35:H$37)/'1_hub_LCIA'!$C$20</f>
        <v>16.416578595069772</v>
      </c>
      <c r="I146" s="28">
        <f>'Preparation and execution'!$D$38*I91+SUMPRODUCT($E$35:$E$37,I$35:I$37)/'1_hub_LCIA'!$C$20</f>
        <v>8.5075059386046554</v>
      </c>
      <c r="J146" s="28">
        <f>'Preparation and execution'!$D$38*J91+SUMPRODUCT($E$35:$E$37,J$35:J$37)/'1_hub_LCIA'!$C$20</f>
        <v>198.25614560401064</v>
      </c>
      <c r="K146" s="28">
        <f>'Preparation and execution'!$D$38*K91+SUMPRODUCT($E$35:$E$37,K$35:K$37)/'1_hub_LCIA'!$C$20</f>
        <v>1.8802933996749844</v>
      </c>
      <c r="L146" s="28">
        <f>'Preparation and execution'!$D$38*L91+SUMPRODUCT($E$35:$E$37,L$35:L$37)/'1_hub_LCIA'!$C$20</f>
        <v>73.19271467958238</v>
      </c>
      <c r="M146" s="28">
        <f>'Preparation and execution'!$D$38*M91+SUMPRODUCT($E$35:$E$37,M$35:M$37)/'1_hub_LCIA'!$C$20</f>
        <v>7.5849132908596152E-4</v>
      </c>
      <c r="N146" s="28">
        <f>'Preparation and execution'!$D$38*N91+SUMPRODUCT($E$35:$E$37,N$35:N$37)/'1_hub_LCIA'!$C$20</f>
        <v>4.1138126506280868</v>
      </c>
      <c r="O146" s="28">
        <f>'Preparation and execution'!$D$38*O91+SUMPRODUCT($E$35:$E$37,O$35:O$37)/'1_hub_LCIA'!$C$20</f>
        <v>14.645995714213678</v>
      </c>
      <c r="P146" s="28">
        <f>'Preparation and execution'!$D$38*P91+SUMPRODUCT($E$35:$E$37,P$35:P$37)/'1_hub_LCIA'!$C$20</f>
        <v>3.8331536110082749</v>
      </c>
      <c r="Q146" s="28">
        <f>'Preparation and execution'!$D$38*Q91+SUMPRODUCT($E$35:$E$37,Q$35:Q$37)/'1_hub_LCIA'!$C$20</f>
        <v>304.43038008905182</v>
      </c>
      <c r="R146" s="28">
        <f>'Preparation and execution'!$D$38*R91+SUMPRODUCT($E$35:$E$37,R$35:R$37)/'1_hub_LCIA'!$C$20</f>
        <v>1.2419618922855684</v>
      </c>
      <c r="S146" s="28">
        <f>'Preparation and execution'!$D$38*S91+SUMPRODUCT($E$35:$E$37,S$35:S$37)/'1_hub_LCIA'!$C$20</f>
        <v>16.187231126124505</v>
      </c>
      <c r="T146" s="28">
        <f>'Preparation and execution'!$D$38*T91+SUMPRODUCT($E$35:$E$37,T$35:T$37)/'1_hub_LCIA'!$C$20</f>
        <v>5.0608336697869811</v>
      </c>
      <c r="U146" s="28">
        <f>'Preparation and execution'!$D$38*U91+SUMPRODUCT($E$35:$E$37,U$35:U$37)/'1_hub_LCIA'!$C$20</f>
        <v>0.88480587647240783</v>
      </c>
      <c r="V146" s="28">
        <f>'Preparation and execution'!$D$38*V91+SUMPRODUCT($E$35:$E$37,V$35:V$37)/'1_hub_LCIA'!$C$20</f>
        <v>1.3154865894207073E-2</v>
      </c>
      <c r="W146" s="28">
        <f>'Preparation and execution'!$D$38*W91+SUMPRODUCT($E$35:$E$37,W$35:W$37)/'1_hub_LCIA'!$C$20</f>
        <v>8.783378293865109</v>
      </c>
      <c r="X146" s="28">
        <f>'Preparation and execution'!$D$38*X91+SUMPRODUCT($E$35:$E$37,X$35:X$37)/'1_hub_LCIA'!$C$20</f>
        <v>4.7637356613504851</v>
      </c>
      <c r="Y146" s="28">
        <f>'Preparation and execution'!$D$38*Y91+SUMPRODUCT($E$35:$E$37,Y$35:Y$37)/'1_hub_LCIA'!$C$20</f>
        <v>0.75745354815639554</v>
      </c>
      <c r="Z146" s="28">
        <f>'Preparation and execution'!$D$38*Z91+SUMPRODUCT($E$35:$E$37,Z$35:Z$37)/'1_hub_LCIA'!$C$20</f>
        <v>7.3725883326459674E-3</v>
      </c>
      <c r="AA146" s="28">
        <f>'Preparation and execution'!$D$38*AA91+SUMPRODUCT($E$35:$E$37,AA$35:AA$37)/'1_hub_LCIA'!$C$20</f>
        <v>0.33292752762076339</v>
      </c>
      <c r="AB146" s="28">
        <f>'Preparation and execution'!$D$38*AB91+SUMPRODUCT($E$35:$E$37,AB$35:AB$37)/'1_hub_LCIA'!$C$20</f>
        <v>-6.0888403864817415E-4</v>
      </c>
      <c r="AC146" s="28">
        <f>'Preparation and execution'!$D$38*AC91+SUMPRODUCT($E$35:$E$37,AC$35:AC$37)/'1_hub_LCIA'!$C$20</f>
        <v>6.4344023635934473E-7</v>
      </c>
      <c r="AD146" s="28">
        <f>'Preparation and execution'!$D$38*AD91+SUMPRODUCT($E$35:$E$37,AD$35:AD$37)/'1_hub_LCIA'!$C$20</f>
        <v>5.1960550720105858E-2</v>
      </c>
      <c r="AE146" s="28">
        <f>'Preparation and execution'!$D$38*AE91+SUMPRODUCT($E$35:$E$37,AE$35:AE$37)/'1_hub_LCIA'!$C$20</f>
        <v>2.7390622370363243E-2</v>
      </c>
      <c r="AF146" s="28">
        <f>'Preparation and execution'!$D$38*AF91+SUMPRODUCT($E$35:$E$37,AF$35:AF$37)/'1_hub_LCIA'!$C$20</f>
        <v>4.1084743677647168E-2</v>
      </c>
      <c r="AG146" s="28">
        <f>'Preparation and execution'!$D$38*AG91+SUMPRODUCT($E$35:$E$37,AG$35:AG$37)/'1_hub_LCIA'!$C$20</f>
        <v>9.8576332049803931E-4</v>
      </c>
      <c r="AH146" s="28">
        <f>'Preparation and execution'!$D$38*AH91+SUMPRODUCT($E$35:$E$37,AH$35:AH$37)/'1_hub_LCIA'!$C$20</f>
        <v>7.4256306291626425E-2</v>
      </c>
      <c r="AI146" s="29">
        <f>'Preparation and execution'!$D$38*AI91+SUMPRODUCT($E$35:$E$37,AI$35:AI$37)/'1_hub_LCIA'!$C$20</f>
        <v>8.9413311828746372E-2</v>
      </c>
    </row>
    <row r="147" spans="2:35" x14ac:dyDescent="0.25">
      <c r="B147" s="256"/>
      <c r="C147" s="67" t="str">
        <f t="shared" si="48"/>
        <v>4_Hub_3000km</v>
      </c>
      <c r="D147" s="28" t="s">
        <v>539</v>
      </c>
      <c r="E147" s="28">
        <v>1</v>
      </c>
      <c r="F147" s="28" t="s">
        <v>357</v>
      </c>
      <c r="G147" s="28" t="str">
        <f t="shared" si="47"/>
        <v>4_Hub_3000km</v>
      </c>
      <c r="H147" s="28">
        <f>'Preparation and execution'!$D$38*H92+SUMPRODUCT($E$35:$E$37,H$35:H$37)/'1_hub_LCIA'!$C$20</f>
        <v>15.837240645635354</v>
      </c>
      <c r="I147" s="28">
        <f>'Preparation and execution'!$D$38*I92+SUMPRODUCT($E$35:$E$37,I$35:I$37)/'1_hub_LCIA'!$C$20</f>
        <v>9.498171699779693</v>
      </c>
      <c r="J147" s="28">
        <f>'Preparation and execution'!$D$38*J92+SUMPRODUCT($E$35:$E$37,J$35:J$37)/'1_hub_LCIA'!$C$20</f>
        <v>193.57786686526856</v>
      </c>
      <c r="K147" s="28">
        <f>'Preparation and execution'!$D$38*K92+SUMPRODUCT($E$35:$E$37,K$35:K$37)/'1_hub_LCIA'!$C$20</f>
        <v>1.5662699371689501</v>
      </c>
      <c r="L147" s="28">
        <f>'Preparation and execution'!$D$38*L92+SUMPRODUCT($E$35:$E$37,L$35:L$37)/'1_hub_LCIA'!$C$20</f>
        <v>79.845967445965968</v>
      </c>
      <c r="M147" s="28">
        <f>'Preparation and execution'!$D$38*M92+SUMPRODUCT($E$35:$E$37,M$35:M$37)/'1_hub_LCIA'!$C$20</f>
        <v>8.3970193827550719E-4</v>
      </c>
      <c r="N147" s="28">
        <f>'Preparation and execution'!$D$38*N92+SUMPRODUCT($E$35:$E$37,N$35:N$37)/'1_hub_LCIA'!$C$20</f>
        <v>4.4185233672827584</v>
      </c>
      <c r="O147" s="28">
        <f>'Preparation and execution'!$D$38*O92+SUMPRODUCT($E$35:$E$37,O$35:O$37)/'1_hub_LCIA'!$C$20</f>
        <v>13.077180626883035</v>
      </c>
      <c r="P147" s="28">
        <f>'Preparation and execution'!$D$38*P92+SUMPRODUCT($E$35:$E$37,P$35:P$37)/'1_hub_LCIA'!$C$20</f>
        <v>4.3914542362621072</v>
      </c>
      <c r="Q147" s="28">
        <f>'Preparation and execution'!$D$38*Q92+SUMPRODUCT($E$35:$E$37,Q$35:Q$37)/'1_hub_LCIA'!$C$20</f>
        <v>306.37627388054943</v>
      </c>
      <c r="R147" s="28">
        <f>'Preparation and execution'!$D$38*R92+SUMPRODUCT($E$35:$E$37,R$35:R$37)/'1_hub_LCIA'!$C$20</f>
        <v>1.3594445629474947</v>
      </c>
      <c r="S147" s="28">
        <f>'Preparation and execution'!$D$38*S92+SUMPRODUCT($E$35:$E$37,S$35:S$37)/'1_hub_LCIA'!$C$20</f>
        <v>15.613112471822776</v>
      </c>
      <c r="T147" s="28">
        <f>'Preparation and execution'!$D$38*T92+SUMPRODUCT($E$35:$E$37,T$35:T$37)/'1_hub_LCIA'!$C$20</f>
        <v>4.9629828918655177</v>
      </c>
      <c r="U147" s="28">
        <f>'Preparation and execution'!$D$38*U92+SUMPRODUCT($E$35:$E$37,U$35:U$37)/'1_hub_LCIA'!$C$20</f>
        <v>0.8680540092541601</v>
      </c>
      <c r="V147" s="28">
        <f>'Preparation and execution'!$D$38*V92+SUMPRODUCT($E$35:$E$37,V$35:V$37)/'1_hub_LCIA'!$C$20</f>
        <v>1.2107672285722605E-2</v>
      </c>
      <c r="W147" s="28">
        <f>'Preparation and execution'!$D$38*W92+SUMPRODUCT($E$35:$E$37,W$35:W$37)/'1_hub_LCIA'!$C$20</f>
        <v>8.1568337453465247</v>
      </c>
      <c r="X147" s="28">
        <f>'Preparation and execution'!$D$38*X92+SUMPRODUCT($E$35:$E$37,X$35:X$37)/'1_hub_LCIA'!$C$20</f>
        <v>5.2923276814471718</v>
      </c>
      <c r="Y147" s="28">
        <f>'Preparation and execution'!$D$38*Y92+SUMPRODUCT($E$35:$E$37,Y$35:Y$37)/'1_hub_LCIA'!$C$20</f>
        <v>0.74259915707870494</v>
      </c>
      <c r="Z147" s="28">
        <f>'Preparation and execution'!$D$38*Z92+SUMPRODUCT($E$35:$E$37,Z$35:Z$37)/'1_hub_LCIA'!$C$20</f>
        <v>7.1187501561920099E-3</v>
      </c>
      <c r="AA147" s="28">
        <f>'Preparation and execution'!$D$38*AA92+SUMPRODUCT($E$35:$E$37,AA$35:AA$37)/'1_hub_LCIA'!$C$20</f>
        <v>0.33506355078000122</v>
      </c>
      <c r="AB147" s="28">
        <f>'Preparation and execution'!$D$38*AB92+SUMPRODUCT($E$35:$E$37,AB$35:AB$37)/'1_hub_LCIA'!$C$20</f>
        <v>-5.6263403479027961E-4</v>
      </c>
      <c r="AC147" s="28">
        <f>'Preparation and execution'!$D$38*AC92+SUMPRODUCT($E$35:$E$37,AC$35:AC$37)/'1_hub_LCIA'!$C$20</f>
        <v>6.4911539308025203E-7</v>
      </c>
      <c r="AD147" s="28">
        <f>'Preparation and execution'!$D$38*AD92+SUMPRODUCT($E$35:$E$37,AD$35:AD$37)/'1_hub_LCIA'!$C$20</f>
        <v>4.2956561742456788E-2</v>
      </c>
      <c r="AE147" s="28">
        <f>'Preparation and execution'!$D$38*AE92+SUMPRODUCT($E$35:$E$37,AE$35:AE$37)/'1_hub_LCIA'!$C$20</f>
        <v>2.5576857625307259E-2</v>
      </c>
      <c r="AF147" s="28">
        <f>'Preparation and execution'!$D$38*AF92+SUMPRODUCT($E$35:$E$37,AF$35:AF$37)/'1_hub_LCIA'!$C$20</f>
        <v>3.7080161119197826E-2</v>
      </c>
      <c r="AG147" s="28">
        <f>'Preparation and execution'!$D$38*AG92+SUMPRODUCT($E$35:$E$37,AG$35:AG$37)/'1_hub_LCIA'!$C$20</f>
        <v>9.8014263262976523E-4</v>
      </c>
      <c r="AH147" s="28">
        <f>'Preparation and execution'!$D$38*AH92+SUMPRODUCT($E$35:$E$37,AH$35:AH$37)/'1_hub_LCIA'!$C$20</f>
        <v>7.7479919824364307E-2</v>
      </c>
      <c r="AI147" s="29">
        <f>'Preparation and execution'!$D$38*AI92+SUMPRODUCT($E$35:$E$37,AI$35:AI$37)/'1_hub_LCIA'!$C$20</f>
        <v>8.362648506110143E-2</v>
      </c>
    </row>
    <row r="148" spans="2:35" x14ac:dyDescent="0.25">
      <c r="B148" s="256"/>
      <c r="C148" s="67" t="str">
        <f t="shared" si="48"/>
        <v>5_Hub_3000km</v>
      </c>
      <c r="D148" s="28" t="s">
        <v>539</v>
      </c>
      <c r="E148" s="28">
        <v>1</v>
      </c>
      <c r="F148" s="28" t="s">
        <v>357</v>
      </c>
      <c r="G148" s="28" t="str">
        <f t="shared" si="47"/>
        <v>5_Hub_3000km</v>
      </c>
      <c r="H148" s="28">
        <f>'Preparation and execution'!$D$38*H93+SUMPRODUCT($E$35:$E$37,H$35:H$37)/'1_hub_LCIA'!$C$20</f>
        <v>16.310480724779737</v>
      </c>
      <c r="I148" s="28">
        <f>'Preparation and execution'!$D$38*I93+SUMPRODUCT($E$35:$E$37,I$35:I$37)/'1_hub_LCIA'!$C$20</f>
        <v>3.3763696880149867</v>
      </c>
      <c r="J148" s="28">
        <f>'Preparation and execution'!$D$38*J93+SUMPRODUCT($E$35:$E$37,J$35:J$37)/'1_hub_LCIA'!$C$20</f>
        <v>187.22354960323642</v>
      </c>
      <c r="K148" s="28">
        <f>'Preparation and execution'!$D$38*K93+SUMPRODUCT($E$35:$E$37,K$35:K$37)/'1_hub_LCIA'!$C$20</f>
        <v>0.89737998969515309</v>
      </c>
      <c r="L148" s="28">
        <f>'Preparation and execution'!$D$38*L93+SUMPRODUCT($E$35:$E$37,L$35:L$37)/'1_hub_LCIA'!$C$20</f>
        <v>87.417866504789501</v>
      </c>
      <c r="M148" s="28">
        <f>'Preparation and execution'!$D$38*M93+SUMPRODUCT($E$35:$E$37,M$35:M$37)/'1_hub_LCIA'!$C$20</f>
        <v>5.6442068437176384E-4</v>
      </c>
      <c r="N148" s="28">
        <f>'Preparation and execution'!$D$38*N93+SUMPRODUCT($E$35:$E$37,N$35:N$37)/'1_hub_LCIA'!$C$20</f>
        <v>2.553209468245325</v>
      </c>
      <c r="O148" s="28">
        <f>'Preparation and execution'!$D$38*O93+SUMPRODUCT($E$35:$E$37,O$35:O$37)/'1_hub_LCIA'!$C$20</f>
        <v>7.0276848057065591</v>
      </c>
      <c r="P148" s="28">
        <f>'Preparation and execution'!$D$38*P93+SUMPRODUCT($E$35:$E$37,P$35:P$37)/'1_hub_LCIA'!$C$20</f>
        <v>8.9674976869572927</v>
      </c>
      <c r="Q148" s="28">
        <f>'Preparation and execution'!$D$38*Q93+SUMPRODUCT($E$35:$E$37,Q$35:Q$37)/'1_hub_LCIA'!$C$20</f>
        <v>297.46412216732966</v>
      </c>
      <c r="R148" s="28">
        <f>'Preparation and execution'!$D$38*R93+SUMPRODUCT($E$35:$E$37,R$35:R$37)/'1_hub_LCIA'!$C$20</f>
        <v>0.52073936634856399</v>
      </c>
      <c r="S148" s="28">
        <f>'Preparation and execution'!$D$38*S93+SUMPRODUCT($E$35:$E$37,S$35:S$37)/'1_hub_LCIA'!$C$20</f>
        <v>16.08983683118106</v>
      </c>
      <c r="T148" s="28">
        <f>'Preparation and execution'!$D$38*T93+SUMPRODUCT($E$35:$E$37,T$35:T$37)/'1_hub_LCIA'!$C$20</f>
        <v>4.7705246972131103</v>
      </c>
      <c r="U148" s="28">
        <f>'Preparation and execution'!$D$38*U93+SUMPRODUCT($E$35:$E$37,U$35:U$37)/'1_hub_LCIA'!$C$20</f>
        <v>0.86775211941458785</v>
      </c>
      <c r="V148" s="28">
        <f>'Preparation and execution'!$D$38*V93+SUMPRODUCT($E$35:$E$37,V$35:V$37)/'1_hub_LCIA'!$C$20</f>
        <v>1.2320239233316189E-2</v>
      </c>
      <c r="W148" s="28">
        <f>'Preparation and execution'!$D$38*W93+SUMPRODUCT($E$35:$E$37,W$35:W$37)/'1_hub_LCIA'!$C$20</f>
        <v>8.2652631464160429</v>
      </c>
      <c r="X148" s="28">
        <f>'Preparation and execution'!$D$38*X93+SUMPRODUCT($E$35:$E$37,X$35:X$37)/'1_hub_LCIA'!$C$20</f>
        <v>5.7820804504311285</v>
      </c>
      <c r="Y148" s="28">
        <f>'Preparation and execution'!$D$38*Y93+SUMPRODUCT($E$35:$E$37,Y$35:Y$37)/'1_hub_LCIA'!$C$20</f>
        <v>0.74463147643699379</v>
      </c>
      <c r="Z148" s="28">
        <f>'Preparation and execution'!$D$38*Z93+SUMPRODUCT($E$35:$E$37,Z$35:Z$37)/'1_hub_LCIA'!$C$20</f>
        <v>7.1569631743738276E-3</v>
      </c>
      <c r="AA148" s="28">
        <f>'Preparation and execution'!$D$38*AA93+SUMPRODUCT($E$35:$E$37,AA$35:AA$37)/'1_hub_LCIA'!$C$20</f>
        <v>0.33398207035219374</v>
      </c>
      <c r="AB148" s="28">
        <f>'Preparation and execution'!$D$38*AB93+SUMPRODUCT($E$35:$E$37,AB$35:AB$37)/'1_hub_LCIA'!$C$20</f>
        <v>-5.6167391864054693E-4</v>
      </c>
      <c r="AC148" s="28">
        <f>'Preparation and execution'!$D$38*AC93+SUMPRODUCT($E$35:$E$37,AC$35:AC$37)/'1_hub_LCIA'!$C$20</f>
        <v>5.9045386281287224E-7</v>
      </c>
      <c r="AD148" s="28">
        <f>'Preparation and execution'!$D$38*AD93+SUMPRODUCT($E$35:$E$37,AD$35:AD$37)/'1_hub_LCIA'!$C$20</f>
        <v>4.6153521913579784E-2</v>
      </c>
      <c r="AE148" s="28">
        <f>'Preparation and execution'!$D$38*AE93+SUMPRODUCT($E$35:$E$37,AE$35:AE$37)/'1_hub_LCIA'!$C$20</f>
        <v>2.6327612791082658E-2</v>
      </c>
      <c r="AF148" s="28">
        <f>'Preparation and execution'!$D$38*AF93+SUMPRODUCT($E$35:$E$37,AF$35:AF$37)/'1_hub_LCIA'!$C$20</f>
        <v>4.4509038915989264E-2</v>
      </c>
      <c r="AG148" s="28">
        <f>'Preparation and execution'!$D$38*AG93+SUMPRODUCT($E$35:$E$37,AG$35:AG$37)/'1_hub_LCIA'!$C$20</f>
        <v>8.619669804372516E-4</v>
      </c>
      <c r="AH148" s="28">
        <f>'Preparation and execution'!$D$38*AH93+SUMPRODUCT($E$35:$E$37,AH$35:AH$37)/'1_hub_LCIA'!$C$20</f>
        <v>6.8310798427572858E-2</v>
      </c>
      <c r="AI148" s="29">
        <f>'Preparation and execution'!$D$38*AI93+SUMPRODUCT($E$35:$E$37,AI$35:AI$37)/'1_hub_LCIA'!$C$20</f>
        <v>7.4915449938106782E-2</v>
      </c>
    </row>
    <row r="149" spans="2:35" x14ac:dyDescent="0.25">
      <c r="B149" s="256"/>
      <c r="C149" s="67" t="str">
        <f t="shared" si="48"/>
        <v>6_Hub_3000km</v>
      </c>
      <c r="D149" s="28" t="s">
        <v>539</v>
      </c>
      <c r="E149" s="28">
        <v>1</v>
      </c>
      <c r="F149" s="28" t="s">
        <v>357</v>
      </c>
      <c r="G149" s="28" t="str">
        <f t="shared" si="47"/>
        <v>6_Hub_3000km</v>
      </c>
      <c r="H149" s="28">
        <f>'Preparation and execution'!$D$38*H94+SUMPRODUCT($E$35:$E$37,H$35:H$37)/'1_hub_LCIA'!$C$20</f>
        <v>16.465007259539096</v>
      </c>
      <c r="I149" s="28">
        <f>'Preparation and execution'!$D$38*I94+SUMPRODUCT($E$35:$E$37,I$35:I$37)/'1_hub_LCIA'!$C$20</f>
        <v>3.5041588206353076</v>
      </c>
      <c r="J149" s="28">
        <f>'Preparation and execution'!$D$38*J94+SUMPRODUCT($E$35:$E$37,J$35:J$37)/'1_hub_LCIA'!$C$20</f>
        <v>186.36335366740761</v>
      </c>
      <c r="K149" s="28">
        <f>'Preparation and execution'!$D$38*K94+SUMPRODUCT($E$35:$E$37,K$35:K$37)/'1_hub_LCIA'!$C$20</f>
        <v>0.89596710722456496</v>
      </c>
      <c r="L149" s="28">
        <f>'Preparation and execution'!$D$38*L94+SUMPRODUCT($E$35:$E$37,L$35:L$37)/'1_hub_LCIA'!$C$20</f>
        <v>95.017772119762753</v>
      </c>
      <c r="M149" s="28">
        <f>'Preparation and execution'!$D$38*M94+SUMPRODUCT($E$35:$E$37,M$35:M$37)/'1_hub_LCIA'!$C$20</f>
        <v>5.6691983036106868E-4</v>
      </c>
      <c r="N149" s="28">
        <f>'Preparation and execution'!$D$38*N94+SUMPRODUCT($E$35:$E$37,N$35:N$37)/'1_hub_LCIA'!$C$20</f>
        <v>2.4596365452506732</v>
      </c>
      <c r="O149" s="28">
        <f>'Preparation and execution'!$D$38*O94+SUMPRODUCT($E$35:$E$37,O$35:O$37)/'1_hub_LCIA'!$C$20</f>
        <v>7.1362552661343672</v>
      </c>
      <c r="P149" s="28">
        <f>'Preparation and execution'!$D$38*P94+SUMPRODUCT($E$35:$E$37,P$35:P$37)/'1_hub_LCIA'!$C$20</f>
        <v>7.3968948848182556</v>
      </c>
      <c r="Q149" s="28">
        <f>'Preparation and execution'!$D$38*Q94+SUMPRODUCT($E$35:$E$37,Q$35:Q$37)/'1_hub_LCIA'!$C$20</f>
        <v>302.77460533106392</v>
      </c>
      <c r="R149" s="28">
        <f>'Preparation and execution'!$D$38*R94+SUMPRODUCT($E$35:$E$37,R$35:R$37)/'1_hub_LCIA'!$C$20</f>
        <v>0.54244893388867088</v>
      </c>
      <c r="S149" s="28">
        <f>'Preparation and execution'!$D$38*S94+SUMPRODUCT($E$35:$E$37,S$35:S$37)/'1_hub_LCIA'!$C$20</f>
        <v>16.242180938132933</v>
      </c>
      <c r="T149" s="28">
        <f>'Preparation and execution'!$D$38*T94+SUMPRODUCT($E$35:$E$37,T$35:T$37)/'1_hub_LCIA'!$C$20</f>
        <v>4.7250929378548223</v>
      </c>
      <c r="U149" s="28">
        <f>'Preparation and execution'!$D$38*U94+SUMPRODUCT($E$35:$E$37,U$35:U$37)/'1_hub_LCIA'!$C$20</f>
        <v>0.85189225684774295</v>
      </c>
      <c r="V149" s="28">
        <f>'Preparation and execution'!$D$38*V94+SUMPRODUCT($E$35:$E$37,V$35:V$37)/'1_hub_LCIA'!$C$20</f>
        <v>1.1385521372353623E-2</v>
      </c>
      <c r="W149" s="28">
        <f>'Preparation and execution'!$D$38*W94+SUMPRODUCT($E$35:$E$37,W$35:W$37)/'1_hub_LCIA'!$C$20</f>
        <v>7.7600843389294116</v>
      </c>
      <c r="X149" s="28">
        <f>'Preparation and execution'!$D$38*X94+SUMPRODUCT($E$35:$E$37,X$35:X$37)/'1_hub_LCIA'!$C$20</f>
        <v>6.2758281269017173</v>
      </c>
      <c r="Y149" s="28">
        <f>'Preparation and execution'!$D$38*Y94+SUMPRODUCT($E$35:$E$37,Y$35:Y$37)/'1_hub_LCIA'!$C$20</f>
        <v>0.73097001066159273</v>
      </c>
      <c r="Z149" s="28">
        <f>'Preparation and execution'!$D$38*Z94+SUMPRODUCT($E$35:$E$37,Z$35:Z$37)/'1_hub_LCIA'!$C$20</f>
        <v>7.0235955433577864E-3</v>
      </c>
      <c r="AA149" s="28">
        <f>'Preparation and execution'!$D$38*AA94+SUMPRODUCT($E$35:$E$37,AA$35:AA$37)/'1_hub_LCIA'!$C$20</f>
        <v>0.3355816302452419</v>
      </c>
      <c r="AB149" s="28">
        <f>'Preparation and execution'!$D$38*AB94+SUMPRODUCT($E$35:$E$37,AB$35:AB$37)/'1_hub_LCIA'!$C$20</f>
        <v>-5.9818167746407641E-4</v>
      </c>
      <c r="AC149" s="28">
        <f>'Preparation and execution'!$D$38*AC94+SUMPRODUCT($E$35:$E$37,AC$35:AC$37)/'1_hub_LCIA'!$C$20</f>
        <v>5.6507116281287232E-7</v>
      </c>
      <c r="AD149" s="28">
        <f>'Preparation and execution'!$D$38*AD94+SUMPRODUCT($E$35:$E$37,AD$35:AD$37)/'1_hub_LCIA'!$C$20</f>
        <v>4.1803304533900645E-2</v>
      </c>
      <c r="AE149" s="28">
        <f>'Preparation and execution'!$D$38*AE94+SUMPRODUCT($E$35:$E$37,AE$35:AE$37)/'1_hub_LCIA'!$C$20</f>
        <v>2.7367193646697638E-2</v>
      </c>
      <c r="AF149" s="28">
        <f>'Preparation and execution'!$D$38*AF94+SUMPRODUCT($E$35:$E$37,AF$35:AF$37)/'1_hub_LCIA'!$C$20</f>
        <v>4.6209735707433121E-2</v>
      </c>
      <c r="AG149" s="28">
        <f>'Preparation and execution'!$D$38*AG94+SUMPRODUCT($E$35:$E$37,AG$35:AG$37)/'1_hub_LCIA'!$C$20</f>
        <v>8.3884123016987199E-4</v>
      </c>
      <c r="AH149" s="28">
        <f>'Preparation and execution'!$D$38*AH94+SUMPRODUCT($E$35:$E$37,AH$35:AH$37)/'1_hub_LCIA'!$C$20</f>
        <v>7.2640974732385691E-2</v>
      </c>
      <c r="AI149" s="29">
        <f>'Preparation and execution'!$D$38*AI94+SUMPRODUCT($E$35:$E$37,AI$35:AI$37)/'1_hub_LCIA'!$C$20</f>
        <v>7.6813097531689689E-2</v>
      </c>
    </row>
    <row r="150" spans="2:35" x14ac:dyDescent="0.25">
      <c r="B150" s="256"/>
      <c r="C150" s="67" t="str">
        <f>Electricity_LCIA!B298</f>
        <v>1_Hub_5000km</v>
      </c>
      <c r="D150" s="28" t="s">
        <v>539</v>
      </c>
      <c r="E150" s="28">
        <v>1</v>
      </c>
      <c r="F150" s="28" t="s">
        <v>357</v>
      </c>
      <c r="G150" s="28" t="str">
        <f t="shared" si="47"/>
        <v>1_Hub_5000km</v>
      </c>
      <c r="H150" s="28">
        <f>'Preparation and execution'!$D$38*H95+SUMPRODUCT($E$35:$E$37,H$35:H$37)/'1_hub_LCIA'!$C$20</f>
        <v>18.047919106597924</v>
      </c>
      <c r="I150" s="28">
        <f>'Preparation and execution'!$D$38*I95+SUMPRODUCT($E$35:$E$37,I$35:I$37)/'1_hub_LCIA'!$C$20</f>
        <v>2.3740055380684626</v>
      </c>
      <c r="J150" s="28">
        <f>'Preparation and execution'!$D$38*J95+SUMPRODUCT($E$35:$E$37,J$35:J$37)/'1_hub_LCIA'!$C$20</f>
        <v>193.81187331446642</v>
      </c>
      <c r="K150" s="28">
        <f>'Preparation and execution'!$D$38*K95+SUMPRODUCT($E$35:$E$37,K$35:K$37)/'1_hub_LCIA'!$C$20</f>
        <v>1.5192667218147778E-2</v>
      </c>
      <c r="L150" s="28">
        <f>'Preparation and execution'!$D$38*L95+SUMPRODUCT($E$35:$E$37,L$35:L$37)/'1_hub_LCIA'!$C$20</f>
        <v>123.75300646703548</v>
      </c>
      <c r="M150" s="28">
        <f>'Preparation and execution'!$D$38*M95+SUMPRODUCT($E$35:$E$37,M$35:M$37)/'1_hub_LCIA'!$C$20</f>
        <v>4.5650084597604186E-4</v>
      </c>
      <c r="N150" s="28">
        <f>'Preparation and execution'!$D$38*N95+SUMPRODUCT($E$35:$E$37,N$35:N$37)/'1_hub_LCIA'!$C$20</f>
        <v>0.43100107947527194</v>
      </c>
      <c r="O150" s="28">
        <f>'Preparation and execution'!$D$38*O95+SUMPRODUCT($E$35:$E$37,O$35:O$37)/'1_hub_LCIA'!$C$20</f>
        <v>2.05237493255148</v>
      </c>
      <c r="P150" s="28">
        <f>'Preparation and execution'!$D$38*P95+SUMPRODUCT($E$35:$E$37,P$35:P$37)/'1_hub_LCIA'!$C$20</f>
        <v>3.6542106559412506</v>
      </c>
      <c r="Q150" s="28">
        <f>'Preparation and execution'!$D$38*Q95+SUMPRODUCT($E$35:$E$37,Q$35:Q$37)/'1_hub_LCIA'!$C$20</f>
        <v>326.09212115560251</v>
      </c>
      <c r="R150" s="28">
        <f>'Preparation and execution'!$D$38*R95+SUMPRODUCT($E$35:$E$37,R$35:R$37)/'1_hub_LCIA'!$C$20</f>
        <v>0.40118879984589012</v>
      </c>
      <c r="S150" s="28">
        <f>'Preparation and execution'!$D$38*S95+SUMPRODUCT($E$35:$E$37,S$35:S$37)/'1_hub_LCIA'!$C$20</f>
        <v>17.806806017277317</v>
      </c>
      <c r="T150" s="28">
        <f>'Preparation and execution'!$D$38*T95+SUMPRODUCT($E$35:$E$37,T$35:T$37)/'1_hub_LCIA'!$C$20</f>
        <v>4.8402559271596344</v>
      </c>
      <c r="U150" s="28">
        <f>'Preparation and execution'!$D$38*U95+SUMPRODUCT($E$35:$E$37,U$35:U$37)/'1_hub_LCIA'!$C$20</f>
        <v>0.82808797684774293</v>
      </c>
      <c r="V150" s="28">
        <f>'Preparation and execution'!$D$38*V95+SUMPRODUCT($E$35:$E$37,V$35:V$37)/'1_hub_LCIA'!$C$20</f>
        <v>1.0104634721016725E-2</v>
      </c>
      <c r="W150" s="28">
        <f>'Preparation and execution'!$D$38*W95+SUMPRODUCT($E$35:$E$37,W$35:W$37)/'1_hub_LCIA'!$C$20</f>
        <v>7.1370652279133679</v>
      </c>
      <c r="X150" s="28">
        <f>'Preparation and execution'!$D$38*X95+SUMPRODUCT($E$35:$E$37,X$35:X$37)/'1_hub_LCIA'!$C$20</f>
        <v>8.0432962895113427</v>
      </c>
      <c r="Y150" s="28">
        <f>'Preparation and execution'!$D$38*Y95+SUMPRODUCT($E$35:$E$37,Y$35:Y$37)/'1_hub_LCIA'!$C$20</f>
        <v>0.70852096510009532</v>
      </c>
      <c r="Z150" s="28">
        <f>'Preparation and execution'!$D$38*Z95+SUMPRODUCT($E$35:$E$37,Z$35:Z$37)/'1_hub_LCIA'!$C$20</f>
        <v>6.9134820988658065E-3</v>
      </c>
      <c r="AA150" s="28">
        <f>'Preparation and execution'!$D$38*AA95+SUMPRODUCT($E$35:$E$37,AA$35:AA$37)/'1_hub_LCIA'!$C$20</f>
        <v>0.33752786917572319</v>
      </c>
      <c r="AB150" s="28">
        <f>'Preparation and execution'!$D$38*AB95+SUMPRODUCT($E$35:$E$37,AB$35:AB$37)/'1_hub_LCIA'!$C$20</f>
        <v>-7.0392716379562726E-4</v>
      </c>
      <c r="AC150" s="28">
        <f>'Preparation and execution'!$D$38*AC95+SUMPRODUCT($E$35:$E$37,AC$35:AC$37)/'1_hub_LCIA'!$C$20</f>
        <v>5.3659412997864774E-7</v>
      </c>
      <c r="AD150" s="28">
        <f>'Preparation and execution'!$D$38*AD95+SUMPRODUCT($E$35:$E$37,AD$35:AD$37)/'1_hub_LCIA'!$C$20</f>
        <v>3.2468133079355185E-2</v>
      </c>
      <c r="AE150" s="28">
        <f>'Preparation and execution'!$D$38*AE95+SUMPRODUCT($E$35:$E$37,AE$35:AE$37)/'1_hub_LCIA'!$C$20</f>
        <v>2.9966454519424909E-2</v>
      </c>
      <c r="AF150" s="28">
        <f>'Preparation and execution'!$D$38*AF95+SUMPRODUCT($E$35:$E$37,AF$35:AF$37)/'1_hub_LCIA'!$C$20</f>
        <v>5.4107648417593551E-2</v>
      </c>
      <c r="AG150" s="28">
        <f>'Preparation and execution'!$D$38*AG95+SUMPRODUCT($E$35:$E$37,AG$35:AG$37)/'1_hub_LCIA'!$C$20</f>
        <v>8.0483337776345487E-4</v>
      </c>
      <c r="AH150" s="28">
        <f>'Preparation and execution'!$D$38*AH95+SUMPRODUCT($E$35:$E$37,AH$35:AH$37)/'1_hub_LCIA'!$C$20</f>
        <v>7.7902451535594247E-2</v>
      </c>
      <c r="AI150" s="29">
        <f>'Preparation and execution'!$D$38*AI95+SUMPRODUCT($E$35:$E$37,AI$35:AI$37)/'1_hub_LCIA'!$C$20</f>
        <v>7.4072188729550653E-2</v>
      </c>
    </row>
    <row r="151" spans="2:35" x14ac:dyDescent="0.25">
      <c r="B151" s="256"/>
      <c r="C151" s="67" t="str">
        <f t="shared" si="48"/>
        <v>2_Hub_5000km</v>
      </c>
      <c r="D151" s="28" t="s">
        <v>539</v>
      </c>
      <c r="E151" s="28">
        <v>1</v>
      </c>
      <c r="F151" s="28" t="s">
        <v>357</v>
      </c>
      <c r="G151" s="28" t="str">
        <f t="shared" si="47"/>
        <v>2_Hub_5000km</v>
      </c>
      <c r="H151" s="28">
        <f>'Preparation and execution'!$D$38*H96+SUMPRODUCT($E$35:$E$37,H$35:H$37)/'1_hub_LCIA'!$C$20</f>
        <v>18.182488715108562</v>
      </c>
      <c r="I151" s="28">
        <f>'Preparation and execution'!$D$38*I96+SUMPRODUCT($E$35:$E$37,I$35:I$37)/'1_hub_LCIA'!$C$20</f>
        <v>2.272490168281228</v>
      </c>
      <c r="J151" s="28">
        <f>'Preparation and execution'!$D$38*J96+SUMPRODUCT($E$35:$E$37,J$35:J$37)/'1_hub_LCIA'!$C$20</f>
        <v>197.27604684638129</v>
      </c>
      <c r="K151" s="28">
        <f>'Preparation and execution'!$D$38*K96+SUMPRODUCT($E$35:$E$37,K$35:K$37)/'1_hub_LCIA'!$C$20</f>
        <v>0.4963585830819775</v>
      </c>
      <c r="L151" s="28">
        <f>'Preparation and execution'!$D$38*L96+SUMPRODUCT($E$35:$E$37,L$35:L$37)/'1_hub_LCIA'!$C$20</f>
        <v>112.16507915086525</v>
      </c>
      <c r="M151" s="28">
        <f>'Preparation and execution'!$D$38*M96+SUMPRODUCT($E$35:$E$37,M$35:M$37)/'1_hub_LCIA'!$C$20</f>
        <v>4.6792101874199932E-4</v>
      </c>
      <c r="N151" s="28">
        <f>'Preparation and execution'!$D$38*N96+SUMPRODUCT($E$35:$E$37,N$35:N$37)/'1_hub_LCIA'!$C$20</f>
        <v>0.58241503436888886</v>
      </c>
      <c r="O151" s="28">
        <f>'Preparation and execution'!$D$38*O96+SUMPRODUCT($E$35:$E$37,O$35:O$37)/'1_hub_LCIA'!$C$20</f>
        <v>4.5454335014876506</v>
      </c>
      <c r="P151" s="28">
        <f>'Preparation and execution'!$D$38*P96+SUMPRODUCT($E$35:$E$37,P$35:P$37)/'1_hub_LCIA'!$C$20</f>
        <v>4.1447280431752933</v>
      </c>
      <c r="Q151" s="28">
        <f>'Preparation and execution'!$D$38*Q96+SUMPRODUCT($E$35:$E$37,Q$35:Q$37)/'1_hub_LCIA'!$C$20</f>
        <v>321.48301924866036</v>
      </c>
      <c r="R151" s="28">
        <f>'Preparation and execution'!$D$38*R96+SUMPRODUCT($E$35:$E$37,R$35:R$37)/'1_hub_LCIA'!$C$20</f>
        <v>0.39830788835652842</v>
      </c>
      <c r="S151" s="28">
        <f>'Preparation and execution'!$D$38*S96+SUMPRODUCT($E$35:$E$37,S$35:S$37)/'1_hub_LCIA'!$C$20</f>
        <v>17.943145561958168</v>
      </c>
      <c r="T151" s="28">
        <f>'Preparation and execution'!$D$38*T96+SUMPRODUCT($E$35:$E$37,T$35:T$37)/'1_hub_LCIA'!$C$20</f>
        <v>4.9348249782234648</v>
      </c>
      <c r="U151" s="28">
        <f>'Preparation and execution'!$D$38*U96+SUMPRODUCT($E$35:$E$37,U$35:U$37)/'1_hub_LCIA'!$C$20</f>
        <v>0.84234277046476425</v>
      </c>
      <c r="V151" s="28">
        <f>'Preparation and execution'!$D$38*V96+SUMPRODUCT($E$35:$E$37,V$35:V$37)/'1_hub_LCIA'!$C$20</f>
        <v>1.0936395801867787E-2</v>
      </c>
      <c r="W151" s="28">
        <f>'Preparation and execution'!$D$38*W96+SUMPRODUCT($E$35:$E$37,W$35:W$37)/'1_hub_LCIA'!$C$20</f>
        <v>7.6277187640835802</v>
      </c>
      <c r="X151" s="28">
        <f>'Preparation and execution'!$D$38*X96+SUMPRODUCT($E$35:$E$37,X$35:X$37)/'1_hub_LCIA'!$C$20</f>
        <v>7.2919518501070888</v>
      </c>
      <c r="Y151" s="28">
        <f>'Preparation and execution'!$D$38*Y96+SUMPRODUCT($E$35:$E$37,Y$35:Y$37)/'1_hub_LCIA'!$C$20</f>
        <v>0.72272946807881877</v>
      </c>
      <c r="Z151" s="28">
        <f>'Preparation and execution'!$D$38*Z96+SUMPRODUCT($E$35:$E$37,Z$35:Z$37)/'1_hub_LCIA'!$C$20</f>
        <v>7.122688554184956E-3</v>
      </c>
      <c r="AA151" s="28">
        <f>'Preparation and execution'!$D$38*AA96+SUMPRODUCT($E$35:$E$37,AA$35:AA$37)/'1_hub_LCIA'!$C$20</f>
        <v>0.33606835257997847</v>
      </c>
      <c r="AB151" s="28">
        <f>'Preparation and execution'!$D$38*AB96+SUMPRODUCT($E$35:$E$37,AB$35:AB$37)/'1_hub_LCIA'!$C$20</f>
        <v>-7.3565258890201032E-4</v>
      </c>
      <c r="AC151" s="28">
        <f>'Preparation and execution'!$D$38*AC96+SUMPRODUCT($E$35:$E$37,AC$35:AC$37)/'1_hub_LCIA'!$C$20</f>
        <v>5.3020057593609454E-7</v>
      </c>
      <c r="AD151" s="28">
        <f>'Preparation and execution'!$D$38*AD96+SUMPRODUCT($E$35:$E$37,AD$35:AD$37)/'1_hub_LCIA'!$C$20</f>
        <v>4.4077008270844542E-2</v>
      </c>
      <c r="AE151" s="28">
        <f>'Preparation and execution'!$D$38*AE96+SUMPRODUCT($E$35:$E$37,AE$35:AE$37)/'1_hub_LCIA'!$C$20</f>
        <v>3.1993467110914268E-2</v>
      </c>
      <c r="AF151" s="28">
        <f>'Preparation and execution'!$D$38*AF96+SUMPRODUCT($E$35:$E$37,AF$35:AF$37)/'1_hub_LCIA'!$C$20</f>
        <v>5.7556300970785026E-2</v>
      </c>
      <c r="AG151" s="28">
        <f>'Preparation and execution'!$D$38*AG96+SUMPRODUCT($E$35:$E$37,AG$35:AG$37)/'1_hub_LCIA'!$C$20</f>
        <v>7.9184749223153996E-4</v>
      </c>
      <c r="AH151" s="28">
        <f>'Preparation and execution'!$D$38*AH96+SUMPRODUCT($E$35:$E$37,AH$35:AH$37)/'1_hub_LCIA'!$C$20</f>
        <v>7.5320795407934668E-2</v>
      </c>
      <c r="AI151" s="29">
        <f>'Preparation and execution'!$D$38*AI96+SUMPRODUCT($E$35:$E$37,AI$35:AI$37)/'1_hub_LCIA'!$C$20</f>
        <v>8.1513000389125123E-2</v>
      </c>
    </row>
    <row r="152" spans="2:35" x14ac:dyDescent="0.25">
      <c r="B152" s="256"/>
      <c r="C152" s="67" t="str">
        <f t="shared" si="48"/>
        <v>3_Hub_5000km</v>
      </c>
      <c r="D152" s="28" t="s">
        <v>539</v>
      </c>
      <c r="E152" s="28">
        <v>1</v>
      </c>
      <c r="F152" s="28" t="s">
        <v>357</v>
      </c>
      <c r="G152" s="28" t="str">
        <f t="shared" si="47"/>
        <v>3_Hub_5000km</v>
      </c>
      <c r="H152" s="28">
        <f>'Preparation and execution'!$D$38*H97+SUMPRODUCT($E$35:$E$37,H$35:H$37)/'1_hub_LCIA'!$C$20</f>
        <v>16.216413281664234</v>
      </c>
      <c r="I152" s="28">
        <f>'Preparation and execution'!$D$38*I97+SUMPRODUCT($E$35:$E$37,I$35:I$37)/'1_hub_LCIA'!$C$20</f>
        <v>3.0677013445406116</v>
      </c>
      <c r="J152" s="28">
        <f>'Preparation and execution'!$D$38*J97+SUMPRODUCT($E$35:$E$37,J$35:J$37)/'1_hub_LCIA'!$C$20</f>
        <v>182.04456305451947</v>
      </c>
      <c r="K152" s="28">
        <f>'Preparation and execution'!$D$38*K97+SUMPRODUCT($E$35:$E$37,K$35:K$37)/'1_hub_LCIA'!$C$20</f>
        <v>1.9638950701040898</v>
      </c>
      <c r="L152" s="28">
        <f>'Preparation and execution'!$D$38*L97+SUMPRODUCT($E$35:$E$37,L$35:L$37)/'1_hub_LCIA'!$C$20</f>
        <v>82.43487476793733</v>
      </c>
      <c r="M152" s="28">
        <f>'Preparation and execution'!$D$38*M97+SUMPRODUCT($E$35:$E$37,M$35:M$37)/'1_hub_LCIA'!$C$20</f>
        <v>5.0956551059142658E-4</v>
      </c>
      <c r="N152" s="28">
        <f>'Preparation and execution'!$D$38*N97+SUMPRODUCT($E$35:$E$37,N$35:N$37)/'1_hub_LCIA'!$C$20</f>
        <v>3.5947819482285879</v>
      </c>
      <c r="O152" s="28">
        <f>'Preparation and execution'!$D$38*O97+SUMPRODUCT($E$35:$E$37,O$35:O$37)/'1_hub_LCIA'!$C$20</f>
        <v>13.391187180827341</v>
      </c>
      <c r="P152" s="28">
        <f>'Preparation and execution'!$D$38*P97+SUMPRODUCT($E$35:$E$37,P$35:P$37)/'1_hub_LCIA'!$C$20</f>
        <v>5.7305931790181743</v>
      </c>
      <c r="Q152" s="28">
        <f>'Preparation and execution'!$D$38*Q97+SUMPRODUCT($E$35:$E$37,Q$35:Q$37)/'1_hub_LCIA'!$C$20</f>
        <v>292.22810611068621</v>
      </c>
      <c r="R152" s="28">
        <f>'Preparation and execution'!$D$38*R97+SUMPRODUCT($E$35:$E$37,R$35:R$37)/'1_hub_LCIA'!$C$20</f>
        <v>0.5046675512517258</v>
      </c>
      <c r="S152" s="28">
        <f>'Preparation and execution'!$D$38*S97+SUMPRODUCT($E$35:$E$37,S$35:S$37)/'1_hub_LCIA'!$C$20</f>
        <v>15.994926055473606</v>
      </c>
      <c r="T152" s="28">
        <f>'Preparation and execution'!$D$38*T97+SUMPRODUCT($E$35:$E$37,T$35:T$37)/'1_hub_LCIA'!$C$20</f>
        <v>4.5837195833930569</v>
      </c>
      <c r="U152" s="28">
        <f>'Preparation and execution'!$D$38*U97+SUMPRODUCT($E$35:$E$37,U$35:U$37)/'1_hub_LCIA'!$C$20</f>
        <v>0.85609768040211964</v>
      </c>
      <c r="V152" s="28">
        <f>'Preparation and execution'!$D$38*V97+SUMPRODUCT($E$35:$E$37,V$35:V$37)/'1_hub_LCIA'!$C$20</f>
        <v>1.1636803888125477E-2</v>
      </c>
      <c r="W152" s="28">
        <f>'Preparation and execution'!$D$38*W97+SUMPRODUCT($E$35:$E$37,W$35:W$37)/'1_hub_LCIA'!$C$20</f>
        <v>7.9022807695579305</v>
      </c>
      <c r="X152" s="28">
        <f>'Preparation and execution'!$D$38*X97+SUMPRODUCT($E$35:$E$37,X$35:X$37)/'1_hub_LCIA'!$C$20</f>
        <v>5.3636359770657194</v>
      </c>
      <c r="Y152" s="28">
        <f>'Preparation and execution'!$D$38*Y97+SUMPRODUCT($E$35:$E$37,Y$35:Y$37)/'1_hub_LCIA'!$C$20</f>
        <v>0.73547574833616958</v>
      </c>
      <c r="Z152" s="28">
        <f>'Preparation and execution'!$D$38*Z97+SUMPRODUCT($E$35:$E$37,Z$35:Z$37)/'1_hub_LCIA'!$C$20</f>
        <v>7.0994329275130223E-3</v>
      </c>
      <c r="AA152" s="28">
        <f>'Preparation and execution'!$D$38*AA97+SUMPRODUCT($E$35:$E$37,AA$35:AA$37)/'1_hub_LCIA'!$C$20</f>
        <v>0.33473727904309719</v>
      </c>
      <c r="AB152" s="28">
        <f>'Preparation and execution'!$D$38*AB97+SUMPRODUCT($E$35:$E$37,AB$35:AB$37)/'1_hub_LCIA'!$C$20</f>
        <v>-6.3939355997599866E-4</v>
      </c>
      <c r="AC152" s="28">
        <f>'Preparation and execution'!$D$38*AC97+SUMPRODUCT($E$35:$E$37,AC$35:AC$37)/'1_hub_LCIA'!$C$20</f>
        <v>5.2551867363912518E-7</v>
      </c>
      <c r="AD152" s="28">
        <f>'Preparation and execution'!$D$38*AD97+SUMPRODUCT($E$35:$E$37,AD$35:AD$37)/'1_hub_LCIA'!$C$20</f>
        <v>4.6756389079355198E-2</v>
      </c>
      <c r="AE152" s="28">
        <f>'Preparation and execution'!$D$38*AE97+SUMPRODUCT($E$35:$E$37,AE$35:AE$37)/'1_hub_LCIA'!$C$20</f>
        <v>2.8794913604836048E-2</v>
      </c>
      <c r="AF152" s="28">
        <f>'Preparation and execution'!$D$38*AF97+SUMPRODUCT($E$35:$E$37,AF$35:AF$37)/'1_hub_LCIA'!$C$20</f>
        <v>4.6665994263747394E-2</v>
      </c>
      <c r="AG152" s="28">
        <f>'Preparation and execution'!$D$38*AG97+SUMPRODUCT($E$35:$E$37,AG$35:AG$37)/'1_hub_LCIA'!$C$20</f>
        <v>8.4133072397035138E-4</v>
      </c>
      <c r="AH152" s="28">
        <f>'Preparation and execution'!$D$38*AH97+SUMPRODUCT($E$35:$E$37,AH$35:AH$37)/'1_hub_LCIA'!$C$20</f>
        <v>7.4147949084665862E-2</v>
      </c>
      <c r="AI152" s="29">
        <f>'Preparation and execution'!$D$38*AI97+SUMPRODUCT($E$35:$E$37,AI$35:AI$37)/'1_hub_LCIA'!$C$20</f>
        <v>8.8481386395333123E-2</v>
      </c>
    </row>
    <row r="153" spans="2:35" x14ac:dyDescent="0.25">
      <c r="B153" s="256"/>
      <c r="C153" s="67" t="str">
        <f t="shared" si="48"/>
        <v>4_Hub_5000km</v>
      </c>
      <c r="D153" s="28" t="s">
        <v>539</v>
      </c>
      <c r="E153" s="28">
        <v>1</v>
      </c>
      <c r="F153" s="28" t="s">
        <v>357</v>
      </c>
      <c r="G153" s="28" t="str">
        <f t="shared" si="47"/>
        <v>4_Hub_5000km</v>
      </c>
      <c r="H153" s="28">
        <f>'Preparation and execution'!$D$38*H98+SUMPRODUCT($E$35:$E$37,H$35:H$37)/'1_hub_LCIA'!$C$20</f>
        <v>17.189210369363877</v>
      </c>
      <c r="I153" s="28">
        <f>'Preparation and execution'!$D$38*I98+SUMPRODUCT($E$35:$E$37,I$35:I$37)/'1_hub_LCIA'!$C$20</f>
        <v>2.6715173613663348</v>
      </c>
      <c r="J153" s="28">
        <f>'Preparation and execution'!$D$38*J98+SUMPRODUCT($E$35:$E$37,J$35:J$37)/'1_hub_LCIA'!$C$20</f>
        <v>189.72087764425362</v>
      </c>
      <c r="K153" s="28">
        <f>'Preparation and execution'!$D$38*K98+SUMPRODUCT($E$35:$E$37,K$35:K$37)/'1_hub_LCIA'!$C$20</f>
        <v>1.2713729234862328</v>
      </c>
      <c r="L153" s="28">
        <f>'Preparation and execution'!$D$38*L98+SUMPRODUCT($E$35:$E$37,L$35:L$37)/'1_hub_LCIA'!$C$20</f>
        <v>96.358074204056734</v>
      </c>
      <c r="M153" s="28">
        <f>'Preparation and execution'!$D$38*M98+SUMPRODUCT($E$35:$E$37,M$35:M$37)/'1_hub_LCIA'!$C$20</f>
        <v>4.8978464693348871E-4</v>
      </c>
      <c r="N153" s="28">
        <f>'Preparation and execution'!$D$38*N98+SUMPRODUCT($E$35:$E$37,N$35:N$37)/'1_hub_LCIA'!$C$20</f>
        <v>2.1249488221348467</v>
      </c>
      <c r="O153" s="28">
        <f>'Preparation and execution'!$D$38*O98+SUMPRODUCT($E$35:$E$37,O$35:O$37)/'1_hub_LCIA'!$C$20</f>
        <v>9.1933989637216929</v>
      </c>
      <c r="P153" s="28">
        <f>'Preparation and execution'!$D$38*P98+SUMPRODUCT($E$35:$E$37,P$35:P$37)/'1_hub_LCIA'!$C$20</f>
        <v>4.9805312346646557</v>
      </c>
      <c r="Q153" s="28">
        <f>'Preparation and execution'!$D$38*Q98+SUMPRODUCT($E$35:$E$37,Q$35:Q$37)/'1_hub_LCIA'!$C$20</f>
        <v>306.32121093833109</v>
      </c>
      <c r="R153" s="28">
        <f>'Preparation and execution'!$D$38*R98+SUMPRODUCT($E$35:$E$37,R$35:R$37)/'1_hub_LCIA'!$C$20</f>
        <v>0.45229585803737943</v>
      </c>
      <c r="S153" s="28">
        <f>'Preparation and execution'!$D$38*S98+SUMPRODUCT($E$35:$E$37,S$35:S$37)/'1_hub_LCIA'!$C$20</f>
        <v>16.959061051319875</v>
      </c>
      <c r="T153" s="28">
        <f>'Preparation and execution'!$D$38*T98+SUMPRODUCT($E$35:$E$37,T$35:T$37)/'1_hub_LCIA'!$C$20</f>
        <v>4.7615187282234643</v>
      </c>
      <c r="U153" s="28">
        <f>'Preparation and execution'!$D$38*U98+SUMPRODUCT($E$35:$E$37,U$35:U$37)/'1_hub_LCIA'!$C$20</f>
        <v>0.85016982152859399</v>
      </c>
      <c r="V153" s="28">
        <f>'Preparation and execution'!$D$38*V98+SUMPRODUCT($E$35:$E$37,V$35:V$37)/'1_hub_LCIA'!$C$20</f>
        <v>1.1341072041229491E-2</v>
      </c>
      <c r="W153" s="28">
        <f>'Preparation and execution'!$D$38*W98+SUMPRODUCT($E$35:$E$37,W$35:W$37)/'1_hub_LCIA'!$C$20</f>
        <v>7.7958627002537932</v>
      </c>
      <c r="X153" s="28">
        <f>'Preparation and execution'!$D$38*X98+SUMPRODUCT($E$35:$E$37,X$35:X$37)/'1_hub_LCIA'!$C$20</f>
        <v>6.2667163235113428</v>
      </c>
      <c r="Y153" s="28">
        <f>'Preparation and execution'!$D$38*Y98+SUMPRODUCT($E$35:$E$37,Y$35:Y$37)/'1_hub_LCIA'!$C$20</f>
        <v>0.73004028775966978</v>
      </c>
      <c r="Z153" s="28">
        <f>'Preparation and execution'!$D$38*Z98+SUMPRODUCT($E$35:$E$37,Z$35:Z$37)/'1_hub_LCIA'!$C$20</f>
        <v>7.1229343786530404E-3</v>
      </c>
      <c r="AA153" s="28">
        <f>'Preparation and execution'!$D$38*AA98+SUMPRODUCT($E$35:$E$37,AA$35:AA$37)/'1_hub_LCIA'!$C$20</f>
        <v>0.3353062967289146</v>
      </c>
      <c r="AB153" s="28">
        <f>'Preparation and execution'!$D$38*AB98+SUMPRODUCT($E$35:$E$37,AB$35:AB$37)/'1_hub_LCIA'!$C$20</f>
        <v>-6.8847395698711661E-4</v>
      </c>
      <c r="AC153" s="28">
        <f>'Preparation and execution'!$D$38*AC98+SUMPRODUCT($E$35:$E$37,AC$35:AC$37)/'1_hub_LCIA'!$C$20</f>
        <v>5.2744734189354132E-7</v>
      </c>
      <c r="AD153" s="28">
        <f>'Preparation and execution'!$D$38*AD98+SUMPRODUCT($E$35:$E$37,AD$35:AD$37)/'1_hub_LCIA'!$C$20</f>
        <v>4.6111943217653065E-2</v>
      </c>
      <c r="AE153" s="28">
        <f>'Preparation and execution'!$D$38*AE98+SUMPRODUCT($E$35:$E$37,AE$35:AE$37)/'1_hub_LCIA'!$C$20</f>
        <v>3.0481990786446186E-2</v>
      </c>
      <c r="AF153" s="28">
        <f>'Preparation and execution'!$D$38*AF98+SUMPRODUCT($E$35:$E$37,AF$35:AF$37)/'1_hub_LCIA'!$C$20</f>
        <v>5.2210602087806313E-2</v>
      </c>
      <c r="AG153" s="28">
        <f>'Preparation and execution'!$D$38*AG98+SUMPRODUCT($E$35:$E$37,AG$35:AG$37)/'1_hub_LCIA'!$C$20</f>
        <v>8.1629227733792296E-4</v>
      </c>
      <c r="AH153" s="28">
        <f>'Preparation and execution'!$D$38*AH98+SUMPRODUCT($E$35:$E$37,AH$35:AH$37)/'1_hub_LCIA'!$C$20</f>
        <v>7.4574472322828281E-2</v>
      </c>
      <c r="AI153" s="29">
        <f>'Preparation and execution'!$D$38*AI98+SUMPRODUCT($E$35:$E$37,AI$35:AI$37)/'1_hub_LCIA'!$C$20</f>
        <v>8.549093193167831E-2</v>
      </c>
    </row>
    <row r="154" spans="2:35" x14ac:dyDescent="0.25">
      <c r="B154" s="256"/>
      <c r="C154" s="67" t="str">
        <f t="shared" si="48"/>
        <v>5_Hub_5000km</v>
      </c>
      <c r="D154" s="28" t="s">
        <v>539</v>
      </c>
      <c r="E154" s="28">
        <v>1</v>
      </c>
      <c r="F154" s="28" t="s">
        <v>357</v>
      </c>
      <c r="G154" s="28" t="str">
        <f t="shared" si="47"/>
        <v>5_Hub_5000km</v>
      </c>
      <c r="H154" s="28">
        <f>'Preparation and execution'!$D$38*H99+SUMPRODUCT($E$35:$E$37,H$35:H$37)/'1_hub_LCIA'!$C$20</f>
        <v>16.629224500214942</v>
      </c>
      <c r="I154" s="28">
        <f>'Preparation and execution'!$D$38*I99+SUMPRODUCT($E$35:$E$37,I$35:I$37)/'1_hub_LCIA'!$C$20</f>
        <v>3.6341906364727175</v>
      </c>
      <c r="J154" s="28">
        <f>'Preparation and execution'!$D$38*J99+SUMPRODUCT($E$35:$E$37,J$35:J$37)/'1_hub_LCIA'!$C$20</f>
        <v>185.18048459106211</v>
      </c>
      <c r="K154" s="28">
        <f>'Preparation and execution'!$D$38*K99+SUMPRODUCT($E$35:$E$37,K$35:K$37)/'1_hub_LCIA'!$C$20</f>
        <v>0.963979389222403</v>
      </c>
      <c r="L154" s="28">
        <f>'Preparation and execution'!$D$38*L99+SUMPRODUCT($E$35:$E$37,L$35:L$37)/'1_hub_LCIA'!$C$20</f>
        <v>102.87980195629078</v>
      </c>
      <c r="M154" s="28">
        <f>'Preparation and execution'!$D$38*M99+SUMPRODUCT($E$35:$E$37,M$35:M$37)/'1_hub_LCIA'!$C$20</f>
        <v>5.6766319991221204E-4</v>
      </c>
      <c r="N154" s="28">
        <f>'Preparation and execution'!$D$38*N99+SUMPRODUCT($E$35:$E$37,N$35:N$37)/'1_hub_LCIA'!$C$20</f>
        <v>2.4207658937305907</v>
      </c>
      <c r="O154" s="28">
        <f>'Preparation and execution'!$D$38*O99+SUMPRODUCT($E$35:$E$37,O$35:O$37)/'1_hub_LCIA'!$C$20</f>
        <v>7.6636801945727555</v>
      </c>
      <c r="P154" s="28">
        <f>'Preparation and execution'!$D$38*P99+SUMPRODUCT($E$35:$E$37,P$35:P$37)/'1_hub_LCIA'!$C$20</f>
        <v>5.5001217144518888</v>
      </c>
      <c r="Q154" s="28">
        <f>'Preparation and execution'!$D$38*Q99+SUMPRODUCT($E$35:$E$37,Q$35:Q$37)/'1_hub_LCIA'!$C$20</f>
        <v>308.2435920390032</v>
      </c>
      <c r="R154" s="28">
        <f>'Preparation and execution'!$D$38*R99+SUMPRODUCT($E$35:$E$37,R$35:R$37)/'1_hub_LCIA'!$C$20</f>
        <v>0.56650416622886879</v>
      </c>
      <c r="S154" s="28">
        <f>'Preparation and execution'!$D$38*S99+SUMPRODUCT($E$35:$E$37,S$35:S$37)/'1_hub_LCIA'!$C$20</f>
        <v>16.404033272596468</v>
      </c>
      <c r="T154" s="28">
        <f>'Preparation and execution'!$D$38*T99+SUMPRODUCT($E$35:$E$37,T$35:T$37)/'1_hub_LCIA'!$C$20</f>
        <v>4.6662885984362301</v>
      </c>
      <c r="U154" s="28">
        <f>'Preparation and execution'!$D$38*U99+SUMPRODUCT($E$35:$E$37,U$35:U$37)/'1_hub_LCIA'!$C$20</f>
        <v>0.83396643408178561</v>
      </c>
      <c r="V154" s="28">
        <f>'Preparation and execution'!$D$38*V99+SUMPRODUCT($E$35:$E$37,V$35:V$37)/'1_hub_LCIA'!$C$20</f>
        <v>1.0328482103463533E-2</v>
      </c>
      <c r="W154" s="28">
        <f>'Preparation and execution'!$D$38*W99+SUMPRODUCT($E$35:$E$37,W$35:W$37)/'1_hub_LCIA'!$C$20</f>
        <v>7.1897526727006023</v>
      </c>
      <c r="X154" s="28">
        <f>'Preparation and execution'!$D$38*X99+SUMPRODUCT($E$35:$E$37,X$35:X$37)/'1_hub_LCIA'!$C$20</f>
        <v>6.7822314269368755</v>
      </c>
      <c r="Y154" s="28">
        <f>'Preparation and execution'!$D$38*Y99+SUMPRODUCT($E$35:$E$37,Y$35:Y$37)/'1_hub_LCIA'!$C$20</f>
        <v>0.71562703190860599</v>
      </c>
      <c r="Z154" s="28">
        <f>'Preparation and execution'!$D$38*Z99+SUMPRODUCT($E$35:$E$37,Z$35:Z$37)/'1_hub_LCIA'!$C$20</f>
        <v>6.8765677352487856E-3</v>
      </c>
      <c r="AA154" s="28">
        <f>'Preparation and execution'!$D$38*AA99+SUMPRODUCT($E$35:$E$37,AA$35:AA$37)/'1_hub_LCIA'!$C$20</f>
        <v>0.33736955821827636</v>
      </c>
      <c r="AB154" s="28">
        <f>'Preparation and execution'!$D$38*AB99+SUMPRODUCT($E$35:$E$37,AB$35:AB$37)/'1_hub_LCIA'!$C$20</f>
        <v>-6.4330001226371226E-4</v>
      </c>
      <c r="AC154" s="28">
        <f>'Preparation and execution'!$D$38*AC99+SUMPRODUCT($E$35:$E$37,AC$35:AC$37)/'1_hub_LCIA'!$C$20</f>
        <v>5.3329962827652012E-7</v>
      </c>
      <c r="AD154" s="28">
        <f>'Preparation and execution'!$D$38*AD99+SUMPRODUCT($E$35:$E$37,AD$35:AD$37)/'1_hub_LCIA'!$C$20</f>
        <v>3.7269667355950921E-2</v>
      </c>
      <c r="AE154" s="28">
        <f>'Preparation and execution'!$D$38*AE99+SUMPRODUCT($E$35:$E$37,AE$35:AE$37)/'1_hub_LCIA'!$C$20</f>
        <v>2.8692520269424905E-2</v>
      </c>
      <c r="AF154" s="28">
        <f>'Preparation and execution'!$D$38*AF99+SUMPRODUCT($E$35:$E$37,AF$35:AF$37)/'1_hub_LCIA'!$C$20</f>
        <v>4.8268293914402065E-2</v>
      </c>
      <c r="AG154" s="28">
        <f>'Preparation and execution'!$D$38*AG99+SUMPRODUCT($E$35:$E$37,AG$35:AG$37)/'1_hub_LCIA'!$C$20</f>
        <v>8.1174127223154009E-4</v>
      </c>
      <c r="AH154" s="28">
        <f>'Preparation and execution'!$D$38*AH99+SUMPRODUCT($E$35:$E$37,AH$35:AH$37)/'1_hub_LCIA'!$C$20</f>
        <v>7.7706767695168696E-2</v>
      </c>
      <c r="AI154" s="29">
        <f>'Preparation and execution'!$D$38*AI99+SUMPRODUCT($E$35:$E$37,AI$35:AI$37)/'1_hub_LCIA'!$C$20</f>
        <v>7.9815745059337889E-2</v>
      </c>
    </row>
    <row r="155" spans="2:35" x14ac:dyDescent="0.25">
      <c r="B155" s="256"/>
      <c r="C155" s="67" t="str">
        <f t="shared" si="48"/>
        <v>6_Hub_5000km</v>
      </c>
      <c r="D155" s="28" t="s">
        <v>539</v>
      </c>
      <c r="E155" s="28">
        <v>1</v>
      </c>
      <c r="F155" s="28" t="s">
        <v>357</v>
      </c>
      <c r="G155" s="28" t="str">
        <f t="shared" si="47"/>
        <v>6_Hub_5000km</v>
      </c>
      <c r="H155" s="28">
        <f>'Preparation and execution'!$D$38*H100+SUMPRODUCT($E$35:$E$37,H$35:H$37)/'1_hub_LCIA'!$C$20</f>
        <v>16.140225930002174</v>
      </c>
      <c r="I155" s="28">
        <f>'Preparation and execution'!$D$38*I100+SUMPRODUCT($E$35:$E$37,I$35:I$37)/'1_hub_LCIA'!$C$20</f>
        <v>3.8306347930684623</v>
      </c>
      <c r="J155" s="28">
        <f>'Preparation and execution'!$D$38*J100+SUMPRODUCT($E$35:$E$37,J$35:J$37)/'1_hub_LCIA'!$C$20</f>
        <v>181.46101667616853</v>
      </c>
      <c r="K155" s="28">
        <f>'Preparation and execution'!$D$38*K100+SUMPRODUCT($E$35:$E$37,K$35:K$37)/'1_hub_LCIA'!$C$20</f>
        <v>1.3455249106521903</v>
      </c>
      <c r="L155" s="28">
        <f>'Preparation and execution'!$D$38*L100+SUMPRODUCT($E$35:$E$37,L$35:L$37)/'1_hub_LCIA'!$C$20</f>
        <v>95.097891828631234</v>
      </c>
      <c r="M155" s="28">
        <f>'Preparation and execution'!$D$38*M100+SUMPRODUCT($E$35:$E$37,M$35:M$37)/'1_hub_LCIA'!$C$20</f>
        <v>5.7842683225263762E-4</v>
      </c>
      <c r="N155" s="28">
        <f>'Preparation and execution'!$D$38*N100+SUMPRODUCT($E$35:$E$37,N$35:N$37)/'1_hub_LCIA'!$C$20</f>
        <v>3.1801671430922935</v>
      </c>
      <c r="O155" s="28">
        <f>'Preparation and execution'!$D$38*O100+SUMPRODUCT($E$35:$E$37,O$35:O$37)/'1_hub_LCIA'!$C$20</f>
        <v>9.951909345211055</v>
      </c>
      <c r="P155" s="28">
        <f>'Preparation and execution'!$D$38*P100+SUMPRODUCT($E$35:$E$37,P$35:P$37)/'1_hub_LCIA'!$C$20</f>
        <v>5.9115940548774208</v>
      </c>
      <c r="Q155" s="28">
        <f>'Preparation and execution'!$D$38*Q100+SUMPRODUCT($E$35:$E$37,Q$35:Q$37)/'1_hub_LCIA'!$C$20</f>
        <v>300.7793171785334</v>
      </c>
      <c r="R155" s="28">
        <f>'Preparation and execution'!$D$38*R100+SUMPRODUCT($E$35:$E$37,R$35:R$37)/'1_hub_LCIA'!$C$20</f>
        <v>0.59308285899482638</v>
      </c>
      <c r="S155" s="28">
        <f>'Preparation and execution'!$D$38*S100+SUMPRODUCT($E$35:$E$37,S$35:S$37)/'1_hub_LCIA'!$C$20</f>
        <v>15.919560898128386</v>
      </c>
      <c r="T155" s="28">
        <f>'Preparation and execution'!$D$38*T100+SUMPRODUCT($E$35:$E$37,T$35:T$37)/'1_hub_LCIA'!$C$20</f>
        <v>4.5809685984362307</v>
      </c>
      <c r="U155" s="28">
        <f>'Preparation and execution'!$D$38*U100+SUMPRODUCT($E$35:$E$37,U$35:U$37)/'1_hub_LCIA'!$C$20</f>
        <v>0.83781975152859411</v>
      </c>
      <c r="V155" s="28">
        <f>'Preparation and execution'!$D$38*V100+SUMPRODUCT($E$35:$E$37,V$35:V$37)/'1_hub_LCIA'!$C$20</f>
        <v>1.0527707328995448E-2</v>
      </c>
      <c r="W155" s="28">
        <f>'Preparation and execution'!$D$38*W100+SUMPRODUCT($E$35:$E$37,W$35:W$37)/'1_hub_LCIA'!$C$20</f>
        <v>7.2725312258920924</v>
      </c>
      <c r="X155" s="28">
        <f>'Preparation and execution'!$D$38*X100+SUMPRODUCT($E$35:$E$37,X$35:X$37)/'1_hub_LCIA'!$C$20</f>
        <v>6.2775000907666616</v>
      </c>
      <c r="Y155" s="28">
        <f>'Preparation and execution'!$D$38*Y100+SUMPRODUCT($E$35:$E$37,Y$35:Y$37)/'1_hub_LCIA'!$C$20</f>
        <v>0.71922620467456344</v>
      </c>
      <c r="Z155" s="28">
        <f>'Preparation and execution'!$D$38*Z100+SUMPRODUCT($E$35:$E$37,Z$35:Z$37)/'1_hub_LCIA'!$C$20</f>
        <v>6.876688756525382E-3</v>
      </c>
      <c r="AA155" s="28">
        <f>'Preparation and execution'!$D$38*AA100+SUMPRODUCT($E$35:$E$37,AA$35:AA$37)/'1_hub_LCIA'!$C$20</f>
        <v>0.33699439226082956</v>
      </c>
      <c r="AB155" s="28">
        <f>'Preparation and execution'!$D$38*AB100+SUMPRODUCT($E$35:$E$37,AB$35:AB$37)/'1_hub_LCIA'!$C$20</f>
        <v>-6.2007360885945706E-4</v>
      </c>
      <c r="AC155" s="28">
        <f>'Preparation and execution'!$D$38*AC100+SUMPRODUCT($E$35:$E$37,AC$35:AC$37)/'1_hub_LCIA'!$C$20</f>
        <v>5.3194418997864772E-7</v>
      </c>
      <c r="AD155" s="28">
        <f>'Preparation and execution'!$D$38*AD100+SUMPRODUCT($E$35:$E$37,AD$35:AD$37)/'1_hub_LCIA'!$C$20</f>
        <v>3.8271481483610509E-2</v>
      </c>
      <c r="AE155" s="28">
        <f>'Preparation and execution'!$D$38*AE100+SUMPRODUCT($E$35:$E$37,AE$35:AE$37)/'1_hub_LCIA'!$C$20</f>
        <v>2.7948408848148316E-2</v>
      </c>
      <c r="AF155" s="28">
        <f>'Preparation and execution'!$D$38*AF100+SUMPRODUCT($E$35:$E$37,AF$35:AF$37)/'1_hub_LCIA'!$C$20</f>
        <v>4.5636565233550995E-2</v>
      </c>
      <c r="AG155" s="28">
        <f>'Preparation and execution'!$D$38*AG100+SUMPRODUCT($E$35:$E$37,AG$35:AG$37)/'1_hub_LCIA'!$C$20</f>
        <v>8.2377562797622073E-4</v>
      </c>
      <c r="AH155" s="28">
        <f>'Preparation and execution'!$D$38*AH100+SUMPRODUCT($E$35:$E$37,AH$35:AH$37)/'1_hub_LCIA'!$C$20</f>
        <v>7.7339347099424041E-2</v>
      </c>
      <c r="AI155" s="29">
        <f>'Preparation and execution'!$D$38*AI100+SUMPRODUCT($E$35:$E$37,AI$35:AI$37)/'1_hub_LCIA'!$C$20</f>
        <v>8.1774111357210216E-2</v>
      </c>
    </row>
    <row r="156" spans="2:35" x14ac:dyDescent="0.25">
      <c r="B156" s="256"/>
      <c r="C156" s="67" t="str">
        <f t="shared" si="48"/>
        <v>1_Hub_10000km</v>
      </c>
      <c r="D156" s="28" t="s">
        <v>539</v>
      </c>
      <c r="E156" s="28">
        <v>1</v>
      </c>
      <c r="F156" s="28" t="s">
        <v>357</v>
      </c>
      <c r="G156" s="28" t="str">
        <f t="shared" si="47"/>
        <v>1_Hub_10000km</v>
      </c>
      <c r="H156" s="28">
        <f>'Preparation and execution'!$D$38*H101+SUMPRODUCT($E$35:$E$37,H$35:H$37)/'1_hub_LCIA'!$C$20</f>
        <v>10.29887230659792</v>
      </c>
      <c r="I156" s="28">
        <f>'Preparation and execution'!$D$38*I101+SUMPRODUCT($E$35:$E$37,I$35:I$37)/'1_hub_LCIA'!$C$20</f>
        <v>17.051349178068463</v>
      </c>
      <c r="J156" s="28">
        <f>'Preparation and execution'!$D$38*J101+SUMPRODUCT($E$35:$E$37,J$35:J$37)/'1_hub_LCIA'!$C$20</f>
        <v>155.76768531446641</v>
      </c>
      <c r="K156" s="28">
        <f>'Preparation and execution'!$D$38*K101+SUMPRODUCT($E$35:$E$37,K$35:K$37)/'1_hub_LCIA'!$C$20</f>
        <v>1.5487305618147776E-2</v>
      </c>
      <c r="L156" s="28">
        <f>'Preparation and execution'!$D$38*L101+SUMPRODUCT($E$35:$E$37,L$35:L$37)/'1_hub_LCIA'!$C$20</f>
        <v>109.33961446703547</v>
      </c>
      <c r="M156" s="28">
        <f>'Preparation and execution'!$D$38*M101+SUMPRODUCT($E$35:$E$37,M$35:M$37)/'1_hub_LCIA'!$C$20</f>
        <v>1.848923245976042E-3</v>
      </c>
      <c r="N156" s="28">
        <f>'Preparation and execution'!$D$38*N101+SUMPRODUCT($E$35:$E$37,N$35:N$37)/'1_hub_LCIA'!$C$20</f>
        <v>6.848401759475272</v>
      </c>
      <c r="O156" s="28">
        <f>'Preparation and execution'!$D$38*O101+SUMPRODUCT($E$35:$E$37,O$35:O$37)/'1_hub_LCIA'!$C$20</f>
        <v>3.0834102525514795</v>
      </c>
      <c r="P156" s="28">
        <f>'Preparation and execution'!$D$38*P101+SUMPRODUCT($E$35:$E$37,P$35:P$37)/'1_hub_LCIA'!$C$20</f>
        <v>17.271567055941251</v>
      </c>
      <c r="Q156" s="28">
        <f>'Preparation and execution'!$D$38*Q101+SUMPRODUCT($E$35:$E$37,Q$35:Q$37)/'1_hub_LCIA'!$C$20</f>
        <v>309.37936425640248</v>
      </c>
      <c r="R156" s="28">
        <f>'Preparation and execution'!$D$38*R101+SUMPRODUCT($E$35:$E$37,R$35:R$37)/'1_hub_LCIA'!$C$20</f>
        <v>2.2381568398458902</v>
      </c>
      <c r="S156" s="28">
        <f>'Preparation and execution'!$D$38*S101+SUMPRODUCT($E$35:$E$37,S$35:S$37)/'1_hub_LCIA'!$C$20</f>
        <v>10.15729921727732</v>
      </c>
      <c r="T156" s="28">
        <f>'Preparation and execution'!$D$38*T101+SUMPRODUCT($E$35:$E$37,T$35:T$37)/'1_hub_LCIA'!$C$20</f>
        <v>4.2711715271596349</v>
      </c>
      <c r="U156" s="28">
        <f>'Preparation and execution'!$D$38*U101+SUMPRODUCT($E$35:$E$37,U$35:U$37)/'1_hub_LCIA'!$C$20</f>
        <v>0.71208121684774295</v>
      </c>
      <c r="V156" s="28">
        <f>'Preparation and execution'!$D$38*V101+SUMPRODUCT($E$35:$E$37,V$35:V$37)/'1_hub_LCIA'!$C$20</f>
        <v>2.2382729210167233E-3</v>
      </c>
      <c r="W156" s="28">
        <f>'Preparation and execution'!$D$38*W101+SUMPRODUCT($E$35:$E$37,W$35:W$37)/'1_hub_LCIA'!$C$20</f>
        <v>2.3530875079133682</v>
      </c>
      <c r="X156" s="28">
        <f>'Preparation and execution'!$D$38*X101+SUMPRODUCT($E$35:$E$37,X$35:X$37)/'1_hub_LCIA'!$C$20</f>
        <v>8.6234722895113443</v>
      </c>
      <c r="Y156" s="28">
        <f>'Preparation and execution'!$D$38*Y101+SUMPRODUCT($E$35:$E$37,Y$35:Y$37)/'1_hub_LCIA'!$C$20</f>
        <v>0.62129548510009536</v>
      </c>
      <c r="Z156" s="28">
        <f>'Preparation and execution'!$D$38*Z101+SUMPRODUCT($E$35:$E$37,Z$35:Z$37)/'1_hub_LCIA'!$C$20</f>
        <v>5.0709682588658067E-3</v>
      </c>
      <c r="AA156" s="28">
        <f>'Preparation and execution'!$D$38*AA101+SUMPRODUCT($E$35:$E$37,AA$35:AA$37)/'1_hub_LCIA'!$C$20</f>
        <v>0.35601386917572314</v>
      </c>
      <c r="AB156" s="28">
        <f>'Preparation and execution'!$D$38*AB101+SUMPRODUCT($E$35:$E$37,AB$35:AB$37)/'1_hub_LCIA'!$C$20</f>
        <v>-2.9678581179562723E-4</v>
      </c>
      <c r="AC156" s="28">
        <f>'Preparation and execution'!$D$38*AC101+SUMPRODUCT($E$35:$E$37,AC$35:AC$37)/'1_hub_LCIA'!$C$20</f>
        <v>5.654891699786477E-7</v>
      </c>
      <c r="AD156" s="28">
        <f>'Preparation and execution'!$D$38*AD101+SUMPRODUCT($E$35:$E$37,AD$35:AD$37)/'1_hub_LCIA'!$C$20</f>
        <v>9.1643970793551903E-3</v>
      </c>
      <c r="AE156" s="28">
        <f>'Preparation and execution'!$D$38*AE101+SUMPRODUCT($E$35:$E$37,AE$35:AE$37)/'1_hub_LCIA'!$C$20</f>
        <v>2.188352211942491E-2</v>
      </c>
      <c r="AF156" s="28">
        <f>'Preparation and execution'!$D$38*AF101+SUMPRODUCT($E$35:$E$37,AF$35:AF$37)/'1_hub_LCIA'!$C$20</f>
        <v>2.5678740017593543E-2</v>
      </c>
      <c r="AG156" s="28">
        <f>'Preparation and execution'!$D$38*AG101+SUMPRODUCT($E$35:$E$37,AG$35:AG$37)/'1_hub_LCIA'!$C$20</f>
        <v>5.9480397776345492E-4</v>
      </c>
      <c r="AH156" s="28">
        <f>'Preparation and execution'!$D$38*AH101+SUMPRODUCT($E$35:$E$37,AH$35:AH$37)/'1_hub_LCIA'!$C$20</f>
        <v>0.10214470753559425</v>
      </c>
      <c r="AI156" s="29">
        <f>'Preparation and execution'!$D$38*AI101+SUMPRODUCT($E$35:$E$37,AI$35:AI$37)/'1_hub_LCIA'!$C$20</f>
        <v>5.9010364729550645E-2</v>
      </c>
    </row>
    <row r="157" spans="2:35" x14ac:dyDescent="0.25">
      <c r="B157" s="256"/>
      <c r="C157" s="67" t="str">
        <f t="shared" si="48"/>
        <v>2_Hub_10000km</v>
      </c>
      <c r="D157" s="28" t="s">
        <v>539</v>
      </c>
      <c r="E157" s="28">
        <v>1</v>
      </c>
      <c r="F157" s="28" t="s">
        <v>357</v>
      </c>
      <c r="G157" s="28" t="str">
        <f t="shared" si="47"/>
        <v>2_Hub_10000km</v>
      </c>
      <c r="H157" s="28">
        <f>'Preparation and execution'!$D$38*H102+SUMPRODUCT($E$35:$E$37,H$35:H$37)/'1_hub_LCIA'!$C$20</f>
        <v>17.838221259078342</v>
      </c>
      <c r="I157" s="28">
        <f>'Preparation and execution'!$D$38*I102+SUMPRODUCT($E$35:$E$37,I$35:I$37)/'1_hub_LCIA'!$C$20</f>
        <v>2.559495896188567</v>
      </c>
      <c r="J157" s="28">
        <f>'Preparation and execution'!$D$38*J102+SUMPRODUCT($E$35:$E$37,J$35:J$37)/'1_hub_LCIA'!$C$20</f>
        <v>191.83594676616354</v>
      </c>
      <c r="K157" s="28">
        <f>'Preparation and execution'!$D$38*K102+SUMPRODUCT($E$35:$E$37,K$35:K$37)/'1_hub_LCIA'!$C$20</f>
        <v>2.1496113273500258E-2</v>
      </c>
      <c r="L157" s="28">
        <f>'Preparation and execution'!$D$38*L102+SUMPRODUCT($E$35:$E$37,L$35:L$37)/'1_hub_LCIA'!$C$20</f>
        <v>116.33640396050806</v>
      </c>
      <c r="M157" s="28">
        <f>'Preparation and execution'!$D$38*M102+SUMPRODUCT($E$35:$E$37,M$35:M$37)/'1_hub_LCIA'!$C$20</f>
        <v>5.0736871908309159E-4</v>
      </c>
      <c r="N157" s="28">
        <f>'Preparation and execution'!$D$38*N102+SUMPRODUCT($E$35:$E$37,N$35:N$37)/'1_hub_LCIA'!$C$20</f>
        <v>1.7234389095536009</v>
      </c>
      <c r="O157" s="28">
        <f>'Preparation and execution'!$D$38*O102+SUMPRODUCT($E$35:$E$37,O$35:O$37)/'1_hub_LCIA'!$C$20</f>
        <v>2.4519128988177985</v>
      </c>
      <c r="P157" s="28">
        <f>'Preparation and execution'!$D$38*P102+SUMPRODUCT($E$35:$E$37,P$35:P$37)/'1_hub_LCIA'!$C$20</f>
        <v>5.3887283854451677</v>
      </c>
      <c r="Q157" s="28">
        <f>'Preparation and execution'!$D$38*Q102+SUMPRODUCT($E$35:$E$37,Q$35:Q$37)/'1_hub_LCIA'!$C$20</f>
        <v>320.31793029866935</v>
      </c>
      <c r="R157" s="28">
        <f>'Preparation and execution'!$D$38*R102+SUMPRODUCT($E$35:$E$37,R$35:R$37)/'1_hub_LCIA'!$C$20</f>
        <v>0.42482867733936275</v>
      </c>
      <c r="S157" s="28">
        <f>'Preparation and execution'!$D$38*S102+SUMPRODUCT($E$35:$E$37,S$35:S$37)/'1_hub_LCIA'!$C$20</f>
        <v>17.597803204744682</v>
      </c>
      <c r="T157" s="28">
        <f>'Preparation and execution'!$D$38*T102+SUMPRODUCT($E$35:$E$37,T$35:T$37)/'1_hub_LCIA'!$C$20</f>
        <v>4.7718529005277812</v>
      </c>
      <c r="U157" s="28">
        <f>'Preparation and execution'!$D$38*U102+SUMPRODUCT($E$35:$E$37,U$35:U$37)/'1_hub_LCIA'!$C$20</f>
        <v>0.85344516995479269</v>
      </c>
      <c r="V157" s="28">
        <f>'Preparation and execution'!$D$38*V102+SUMPRODUCT($E$35:$E$37,V$35:V$37)/'1_hub_LCIA'!$C$20</f>
        <v>1.1386105478196882E-2</v>
      </c>
      <c r="W157" s="28">
        <f>'Preparation and execution'!$D$38*W102+SUMPRODUCT($E$35:$E$37,W$35:W$37)/'1_hub_LCIA'!$C$20</f>
        <v>7.8471593062423501</v>
      </c>
      <c r="X157" s="28">
        <f>'Preparation and execution'!$D$38*X102+SUMPRODUCT($E$35:$E$37,X$35:X$37)/'1_hub_LCIA'!$C$20</f>
        <v>7.4919742660126492</v>
      </c>
      <c r="Y157" s="28">
        <f>'Preparation and execution'!$D$38*Y102+SUMPRODUCT($E$35:$E$37,Y$35:Y$37)/'1_hub_LCIA'!$C$20</f>
        <v>0.73407798076589181</v>
      </c>
      <c r="Z157" s="28">
        <f>'Preparation and execution'!$D$38*Z102+SUMPRODUCT($E$35:$E$37,Z$35:Z$37)/'1_hub_LCIA'!$C$20</f>
        <v>7.1487514419467466E-3</v>
      </c>
      <c r="AA157" s="28">
        <f>'Preparation and execution'!$D$38*AA102+SUMPRODUCT($E$35:$E$37,AA$35:AA$37)/'1_hub_LCIA'!$C$20</f>
        <v>0.34649382050731586</v>
      </c>
      <c r="AB157" s="28">
        <f>'Preparation and execution'!$D$38*AB102+SUMPRODUCT($E$35:$E$37,AB$35:AB$37)/'1_hub_LCIA'!$C$20</f>
        <v>-6.9653662510111029E-4</v>
      </c>
      <c r="AC157" s="28">
        <f>'Preparation and execution'!$D$38*AC102+SUMPRODUCT($E$35:$E$37,AC$35:AC$37)/'1_hub_LCIA'!$C$20</f>
        <v>5.210050744172901E-7</v>
      </c>
      <c r="AD157" s="28">
        <f>'Preparation and execution'!$D$38*AD102+SUMPRODUCT($E$35:$E$37,AD$35:AD$37)/'1_hub_LCIA'!$C$20</f>
        <v>3.0183205559772948E-2</v>
      </c>
      <c r="AE157" s="28">
        <f>'Preparation and execution'!$D$38*AE102+SUMPRODUCT($E$35:$E$37,AE$35:AE$37)/'1_hub_LCIA'!$C$20</f>
        <v>2.9209677257806113E-2</v>
      </c>
      <c r="AF157" s="28">
        <f>'Preparation and execution'!$D$38*AF102+SUMPRODUCT($E$35:$E$37,AF$35:AF$37)/'1_hub_LCIA'!$C$20</f>
        <v>5.1469324566940811E-2</v>
      </c>
      <c r="AG157" s="28">
        <f>'Preparation and execution'!$D$38*AG102+SUMPRODUCT($E$35:$E$37,AG$35:AG$37)/'1_hub_LCIA'!$C$20</f>
        <v>8.0875742946058288E-4</v>
      </c>
      <c r="AH157" s="28">
        <f>'Preparation and execution'!$D$38*AH102+SUMPRODUCT($E$35:$E$37,AH$35:AH$37)/'1_hub_LCIA'!$C$20</f>
        <v>7.9969022230111222E-2</v>
      </c>
      <c r="AI157" s="29">
        <f>'Preparation and execution'!$D$38*AI102+SUMPRODUCT($E$35:$E$37,AI$35:AI$37)/'1_hub_LCIA'!$C$20</f>
        <v>7.4341225189080679E-2</v>
      </c>
    </row>
    <row r="158" spans="2:35" x14ac:dyDescent="0.25">
      <c r="B158" s="256"/>
      <c r="C158" s="67" t="str">
        <f>C103</f>
        <v>3_Hub_10000km</v>
      </c>
      <c r="D158" s="28" t="s">
        <v>539</v>
      </c>
      <c r="E158" s="28">
        <v>1</v>
      </c>
      <c r="F158" s="28" t="s">
        <v>357</v>
      </c>
      <c r="G158" s="28" t="str">
        <f t="shared" si="47"/>
        <v>3_Hub_10000km</v>
      </c>
      <c r="H158" s="28">
        <f>'Preparation and execution'!$D$38*H103+SUMPRODUCT($E$35:$E$37,H$35:H$37)/'1_hub_LCIA'!$C$20</f>
        <v>15.988737614169722</v>
      </c>
      <c r="I158" s="28">
        <f>'Preparation and execution'!$D$38*I103+SUMPRODUCT($E$35:$E$37,I$35:I$37)/'1_hub_LCIA'!$C$20</f>
        <v>3.2972920196350421</v>
      </c>
      <c r="J158" s="28">
        <f>'Preparation and execution'!$D$38*J103+SUMPRODUCT($E$35:$E$37,J$35:J$37)/'1_hub_LCIA'!$C$20</f>
        <v>177.78776000898341</v>
      </c>
      <c r="K158" s="28">
        <f>'Preparation and execution'!$D$38*K103+SUMPRODUCT($E$35:$E$37,K$35:K$37)/'1_hub_LCIA'!$C$20</f>
        <v>1.4726397649121428</v>
      </c>
      <c r="L158" s="28">
        <f>'Preparation and execution'!$D$38*L103+SUMPRODUCT($E$35:$E$37,L$35:L$37)/'1_hub_LCIA'!$C$20</f>
        <v>87.112974780351408</v>
      </c>
      <c r="M158" s="28">
        <f>'Preparation and execution'!$D$38*M103+SUMPRODUCT($E$35:$E$37,M$35:M$37)/'1_hub_LCIA'!$C$20</f>
        <v>5.4570687866533696E-4</v>
      </c>
      <c r="N158" s="28">
        <f>'Preparation and execution'!$D$38*N103+SUMPRODUCT($E$35:$E$37,N$35:N$37)/'1_hub_LCIA'!$C$20</f>
        <v>4.5460572274648285</v>
      </c>
      <c r="O158" s="28">
        <f>'Preparation and execution'!$D$38*O103+SUMPRODUCT($E$35:$E$37,O$35:O$37)/'1_hub_LCIA'!$C$20</f>
        <v>11.136253726598479</v>
      </c>
      <c r="P158" s="28">
        <f>'Preparation and execution'!$D$38*P103+SUMPRODUCT($E$35:$E$37,P$35:P$37)/'1_hub_LCIA'!$C$20</f>
        <v>6.8650925964112242</v>
      </c>
      <c r="Q158" s="28">
        <f>'Preparation and execution'!$D$38*Q103+SUMPRODUCT($E$35:$E$37,Q$35:Q$37)/'1_hub_LCIA'!$C$20</f>
        <v>292.21861583123518</v>
      </c>
      <c r="R158" s="28">
        <f>'Preparation and execution'!$D$38*R103+SUMPRODUCT($E$35:$E$37,R$35:R$37)/'1_hub_LCIA'!$C$20</f>
        <v>0.52472644214354036</v>
      </c>
      <c r="S158" s="28">
        <f>'Preparation and execution'!$D$38*S103+SUMPRODUCT($E$35:$E$37,S$35:S$37)/'1_hub_LCIA'!$C$20</f>
        <v>15.765502369235545</v>
      </c>
      <c r="T158" s="28">
        <f>'Preparation and execution'!$D$38*T103+SUMPRODUCT($E$35:$E$37,T$35:T$37)/'1_hub_LCIA'!$C$20</f>
        <v>4.4507883198489298</v>
      </c>
      <c r="U158" s="28">
        <f>'Preparation and execution'!$D$38*U103+SUMPRODUCT($E$35:$E$37,U$35:U$37)/'1_hub_LCIA'!$C$20</f>
        <v>0.86680350478507995</v>
      </c>
      <c r="V158" s="28">
        <f>'Preparation and execution'!$D$38*V103+SUMPRODUCT($E$35:$E$37,V$35:V$37)/'1_hub_LCIA'!$C$20</f>
        <v>1.2078277158614635E-2</v>
      </c>
      <c r="W158" s="28">
        <f>'Preparation and execution'!$D$38*W103+SUMPRODUCT($E$35:$E$37,W$35:W$37)/'1_hub_LCIA'!$C$20</f>
        <v>8.1256485386183286</v>
      </c>
      <c r="X158" s="28">
        <f>'Preparation and execution'!$D$38*X103+SUMPRODUCT($E$35:$E$37,X$35:X$37)/'1_hub_LCIA'!$C$20</f>
        <v>5.6001595746288357</v>
      </c>
      <c r="Y158" s="28">
        <f>'Preparation and execution'!$D$38*Y103+SUMPRODUCT($E$35:$E$37,Y$35:Y$37)/'1_hub_LCIA'!$C$20</f>
        <v>0.74645925679722336</v>
      </c>
      <c r="Z158" s="28">
        <f>'Preparation and execution'!$D$38*Z103+SUMPRODUCT($E$35:$E$37,Z$35:Z$37)/'1_hub_LCIA'!$C$20</f>
        <v>7.1371467338527533E-3</v>
      </c>
      <c r="AA158" s="28">
        <f>'Preparation and execution'!$D$38*AA103+SUMPRODUCT($E$35:$E$37,AA$35:AA$37)/'1_hub_LCIA'!$C$20</f>
        <v>0.34460683022010963</v>
      </c>
      <c r="AB158" s="28">
        <f>'Preparation and execution'!$D$38*AB103+SUMPRODUCT($E$35:$E$37,AB$35:AB$37)/'1_hub_LCIA'!$C$20</f>
        <v>-6.0855826478779438E-4</v>
      </c>
      <c r="AC158" s="28">
        <f>'Preparation and execution'!$D$38*AC103+SUMPRODUCT($E$35:$E$37,AC$35:AC$37)/'1_hub_LCIA'!$C$20</f>
        <v>5.1664818522668946E-7</v>
      </c>
      <c r="AD158" s="28">
        <f>'Preparation and execution'!$D$38*AD103+SUMPRODUCT($E$35:$E$37,AD$35:AD$37)/'1_hub_LCIA'!$C$20</f>
        <v>3.4111460139407412E-2</v>
      </c>
      <c r="AE158" s="28">
        <f>'Preparation and execution'!$D$38*AE103+SUMPRODUCT($E$35:$E$37,AE$35:AE$37)/'1_hub_LCIA'!$C$20</f>
        <v>2.6417754387832219E-2</v>
      </c>
      <c r="AF158" s="28">
        <f>'Preparation and execution'!$D$38*AF103+SUMPRODUCT($E$35:$E$37,AF$35:AF$37)/'1_hub_LCIA'!$C$20</f>
        <v>4.1593060071901639E-2</v>
      </c>
      <c r="AG158" s="28">
        <f>'Preparation and execution'!$D$38*AG103+SUMPRODUCT($E$35:$E$37,AG$35:AG$37)/'1_hub_LCIA'!$C$20</f>
        <v>8.5433702194100049E-4</v>
      </c>
      <c r="AH158" s="28">
        <f>'Preparation and execution'!$D$38*AH103+SUMPRODUCT($E$35:$E$37,AH$35:AH$37)/'1_hub_LCIA'!$C$20</f>
        <v>7.8465311065620366E-2</v>
      </c>
      <c r="AI158" s="29">
        <f>'Preparation and execution'!$D$38*AI103+SUMPRODUCT($E$35:$E$37,AI$35:AI$37)/'1_hub_LCIA'!$C$20</f>
        <v>8.177740154417204E-2</v>
      </c>
    </row>
    <row r="159" spans="2:35" x14ac:dyDescent="0.25">
      <c r="B159" s="256"/>
      <c r="C159" s="67" t="str">
        <f t="shared" si="48"/>
        <v>4_Hub_10000km</v>
      </c>
      <c r="D159" s="28" t="s">
        <v>539</v>
      </c>
      <c r="E159" s="28">
        <v>1</v>
      </c>
      <c r="F159" s="28" t="s">
        <v>357</v>
      </c>
      <c r="G159" s="28" t="str">
        <f t="shared" si="47"/>
        <v>4_Hub_10000km</v>
      </c>
      <c r="H159" s="28">
        <f>'Preparation and execution'!$D$38*H104+SUMPRODUCT($E$35:$E$37,H$35:H$37)/'1_hub_LCIA'!$C$20</f>
        <v>16.843846732707583</v>
      </c>
      <c r="I159" s="28">
        <f>'Preparation and execution'!$D$38*I104+SUMPRODUCT($E$35:$E$37,I$35:I$37)/'1_hub_LCIA'!$C$20</f>
        <v>2.9537712001050158</v>
      </c>
      <c r="J159" s="28">
        <f>'Preparation and execution'!$D$38*J104+SUMPRODUCT($E$35:$E$37,J$35:J$37)/'1_hub_LCIA'!$C$20</f>
        <v>184.29197315780846</v>
      </c>
      <c r="K159" s="28">
        <f>'Preparation and execution'!$D$38*K104+SUMPRODUCT($E$35:$E$37,K$35:K$37)/'1_hub_LCIA'!$C$20</f>
        <v>0.80543320361292592</v>
      </c>
      <c r="L159" s="28">
        <f>'Preparation and execution'!$D$38*L104+SUMPRODUCT($E$35:$E$37,L$35:L$37)/'1_hub_LCIA'!$C$20</f>
        <v>100.72115835215297</v>
      </c>
      <c r="M159" s="28">
        <f>'Preparation and execution'!$D$38*M104+SUMPRODUCT($E$35:$E$37,M$35:M$37)/'1_hub_LCIA'!$C$20</f>
        <v>5.2688457380894007E-4</v>
      </c>
      <c r="N159" s="28">
        <f>'Preparation and execution'!$D$38*N104+SUMPRODUCT($E$35:$E$37,N$35:N$37)/'1_hub_LCIA'!$C$20</f>
        <v>3.2180964265248804</v>
      </c>
      <c r="O159" s="28">
        <f>'Preparation and execution'!$D$38*O104+SUMPRODUCT($E$35:$E$37,O$35:O$37)/'1_hub_LCIA'!$C$20</f>
        <v>7.1348399573034378</v>
      </c>
      <c r="P159" s="28">
        <f>'Preparation and execution'!$D$38*P104+SUMPRODUCT($E$35:$E$37,P$35:P$37)/'1_hub_LCIA'!$C$20</f>
        <v>6.1455531708237574</v>
      </c>
      <c r="Q159" s="28">
        <f>'Preparation and execution'!$D$38*Q104+SUMPRODUCT($E$35:$E$37,Q$35:Q$37)/'1_hub_LCIA'!$C$20</f>
        <v>305.2713523529053</v>
      </c>
      <c r="R159" s="28">
        <f>'Preparation and execution'!$D$38*R104+SUMPRODUCT($E$35:$E$37,R$35:R$37)/'1_hub_LCIA'!$C$20</f>
        <v>0.47824842783544619</v>
      </c>
      <c r="S159" s="28">
        <f>'Preparation and execution'!$D$38*S104+SUMPRODUCT($E$35:$E$37,S$35:S$37)/'1_hub_LCIA'!$C$20</f>
        <v>16.61269655409194</v>
      </c>
      <c r="T159" s="28">
        <f>'Preparation and execution'!$D$38*T104+SUMPRODUCT($E$35:$E$37,T$35:T$37)/'1_hub_LCIA'!$C$20</f>
        <v>4.5999869360369194</v>
      </c>
      <c r="U159" s="28">
        <f>'Preparation and execution'!$D$38*U104+SUMPRODUCT($E$35:$E$37,U$35:U$37)/'1_hub_LCIA'!$C$20</f>
        <v>0.86006522969369603</v>
      </c>
      <c r="V159" s="28">
        <f>'Preparation and execution'!$D$38*V104+SUMPRODUCT($E$35:$E$37,V$35:V$37)/'1_hub_LCIA'!$C$20</f>
        <v>1.1729893099084608E-2</v>
      </c>
      <c r="W159" s="28">
        <f>'Preparation and execution'!$D$38*W104+SUMPRODUCT($E$35:$E$37,W$35:W$37)/'1_hub_LCIA'!$C$20</f>
        <v>7.9808941365295567</v>
      </c>
      <c r="X159" s="28">
        <f>'Preparation and execution'!$D$38*X104+SUMPRODUCT($E$35:$E$37,X$35:X$37)/'1_hub_LCIA'!$C$20</f>
        <v>6.4827804947332748</v>
      </c>
      <c r="Y159" s="28">
        <f>'Preparation and execution'!$D$38*Y104+SUMPRODUCT($E$35:$E$37,Y$35:Y$37)/'1_hub_LCIA'!$C$20</f>
        <v>0.74016540311576118</v>
      </c>
      <c r="Z159" s="28">
        <f>'Preparation and execution'!$D$38*Z104+SUMPRODUCT($E$35:$E$37,Z$35:Z$37)/'1_hub_LCIA'!$C$20</f>
        <v>7.1369351046099323E-3</v>
      </c>
      <c r="AA159" s="28">
        <f>'Preparation and execution'!$D$38*AA104+SUMPRODUCT($E$35:$E$37,AA$35:AA$37)/'1_hub_LCIA'!$C$20</f>
        <v>0.34526288087285112</v>
      </c>
      <c r="AB159" s="28">
        <f>'Preparation and execution'!$D$38*AB104+SUMPRODUCT($E$35:$E$37,AB$35:AB$37)/'1_hub_LCIA'!$C$20</f>
        <v>-6.4917414906977863E-4</v>
      </c>
      <c r="AC159" s="28">
        <f>'Preparation and execution'!$D$38*AC104+SUMPRODUCT($E$35:$E$37,AC$35:AC$37)/'1_hub_LCIA'!$C$20</f>
        <v>5.1901843274627179E-7</v>
      </c>
      <c r="AD159" s="28">
        <f>'Preparation and execution'!$D$38*AD104+SUMPRODUCT($E$35:$E$37,AD$35:AD$37)/'1_hub_LCIA'!$C$20</f>
        <v>3.2359593267344743E-2</v>
      </c>
      <c r="AE159" s="28">
        <f>'Preparation and execution'!$D$38*AE104+SUMPRODUCT($E$35:$E$37,AE$35:AE$37)/'1_hub_LCIA'!$C$20</f>
        <v>2.7718977950234307E-2</v>
      </c>
      <c r="AF159" s="28">
        <f>'Preparation and execution'!$D$38*AF104+SUMPRODUCT($E$35:$E$37,AF$35:AF$37)/'1_hub_LCIA'!$C$20</f>
        <v>4.6195149586261954E-2</v>
      </c>
      <c r="AG159" s="28">
        <f>'Preparation and execution'!$D$38*AG104+SUMPRODUCT($E$35:$E$37,AG$35:AG$37)/'1_hub_LCIA'!$C$20</f>
        <v>8.3329261003499519E-4</v>
      </c>
      <c r="AH159" s="28">
        <f>'Preparation and execution'!$D$38*AH104+SUMPRODUCT($E$35:$E$37,AH$35:AH$37)/'1_hub_LCIA'!$C$20</f>
        <v>7.9107817446821396E-2</v>
      </c>
      <c r="AI159" s="29">
        <f>'Preparation and execution'!$D$38*AI104+SUMPRODUCT($E$35:$E$37,AI$35:AI$37)/'1_hub_LCIA'!$C$20</f>
        <v>7.8352817136861347E-2</v>
      </c>
    </row>
    <row r="160" spans="2:35" x14ac:dyDescent="0.25">
      <c r="B160" s="256"/>
      <c r="C160" s="67" t="str">
        <f>C105</f>
        <v>5_Hub_10000km</v>
      </c>
      <c r="D160" s="28" t="s">
        <v>539</v>
      </c>
      <c r="E160" s="28">
        <v>1</v>
      </c>
      <c r="F160" s="28" t="s">
        <v>357</v>
      </c>
      <c r="G160" s="28" t="str">
        <f t="shared" si="47"/>
        <v>5_Hub_10000km</v>
      </c>
      <c r="H160" s="28">
        <f>'Preparation and execution'!$D$38*H105+SUMPRODUCT($E$35:$E$37,H$35:H$37)/'1_hub_LCIA'!$C$20</f>
        <v>16.363785473177558</v>
      </c>
      <c r="I160" s="28">
        <f>'Preparation and execution'!$D$38*I105+SUMPRODUCT($E$35:$E$37,I$35:I$37)/'1_hub_LCIA'!$C$20</f>
        <v>3.1466249935253816</v>
      </c>
      <c r="J160" s="28">
        <f>'Preparation and execution'!$D$38*J105+SUMPRODUCT($E$35:$E$37,J$35:J$37)/'1_hub_LCIA'!$C$20</f>
        <v>180.64048507425755</v>
      </c>
      <c r="K160" s="28">
        <f>'Preparation and execution'!$D$38*K105+SUMPRODUCT($E$35:$E$37,K$35:K$37)/'1_hub_LCIA'!$C$20</f>
        <v>1.1800053082019597</v>
      </c>
      <c r="L160" s="28">
        <f>'Preparation and execution'!$D$38*L105+SUMPRODUCT($E$35:$E$37,L$35:L$37)/'1_hub_LCIA'!$C$20</f>
        <v>93.081476346931026</v>
      </c>
      <c r="M160" s="28">
        <f>'Preparation and execution'!$D$38*M105+SUMPRODUCT($E$35:$E$37,M$35:M$37)/'1_hub_LCIA'!$C$20</f>
        <v>5.3745148179849616E-4</v>
      </c>
      <c r="N160" s="28">
        <f>'Preparation and execution'!$D$38*N105+SUMPRODUCT($E$35:$E$37,N$35:N$37)/'1_hub_LCIA'!$C$20</f>
        <v>3.9636182796841499</v>
      </c>
      <c r="O160" s="28">
        <f>'Preparation and execution'!$D$38*O105+SUMPRODUCT($E$35:$E$37,O$35:O$37)/'1_hub_LCIA'!$C$20</f>
        <v>9.3812476874339854</v>
      </c>
      <c r="P160" s="28">
        <f>'Preparation and execution'!$D$38*P105+SUMPRODUCT($E$35:$E$37,P$35:P$37)/'1_hub_LCIA'!$C$20</f>
        <v>6.5495051290482991</v>
      </c>
      <c r="Q160" s="28">
        <f>'Preparation and execution'!$D$38*Q105+SUMPRODUCT($E$35:$E$37,Q$35:Q$37)/'1_hub_LCIA'!$C$20</f>
        <v>297.94350027056419</v>
      </c>
      <c r="R160" s="28">
        <f>'Preparation and execution'!$D$38*R105+SUMPRODUCT($E$35:$E$37,R$35:R$37)/'1_hub_LCIA'!$C$20</f>
        <v>0.50434134814876219</v>
      </c>
      <c r="S160" s="28">
        <f>'Preparation and execution'!$D$38*S105+SUMPRODUCT($E$35:$E$37,S$35:S$37)/'1_hub_LCIA'!$C$20</f>
        <v>16.137078766102384</v>
      </c>
      <c r="T160" s="28">
        <f>'Preparation and execution'!$D$38*T105+SUMPRODUCT($E$35:$E$37,T$35:T$37)/'1_hub_LCIA'!$C$20</f>
        <v>4.5162263094050656</v>
      </c>
      <c r="U160" s="28">
        <f>'Preparation and execution'!$D$38*U105+SUMPRODUCT($E$35:$E$37,U$35:U$37)/'1_hub_LCIA'!$C$20</f>
        <v>0.8638481209730694</v>
      </c>
      <c r="V160" s="28">
        <f>'Preparation and execution'!$D$38*V105+SUMPRODUCT($E$35:$E$37,V$35:V$37)/'1_hub_LCIA'!$C$20</f>
        <v>1.1925477132504974E-2</v>
      </c>
      <c r="W160" s="28">
        <f>'Preparation and execution'!$D$38*W105+SUMPRODUCT($E$35:$E$37,W$35:W$37)/'1_hub_LCIA'!$C$20</f>
        <v>8.0621597657723765</v>
      </c>
      <c r="X160" s="28">
        <f>'Preparation and execution'!$D$38*X105+SUMPRODUCT($E$35:$E$37,X$35:X$37)/'1_hub_LCIA'!$C$20</f>
        <v>5.9872740132711346</v>
      </c>
      <c r="Y160" s="28">
        <f>'Preparation and execution'!$D$38*Y105+SUMPRODUCT($E$35:$E$37,Y$35:Y$37)/'1_hub_LCIA'!$C$20</f>
        <v>0.74369879465623123</v>
      </c>
      <c r="Z160" s="28">
        <f>'Preparation and execution'!$D$38*Z105+SUMPRODUCT($E$35:$E$37,Z$35:Z$37)/'1_hub_LCIA'!$C$20</f>
        <v>7.1370539140094107E-3</v>
      </c>
      <c r="AA160" s="28">
        <f>'Preparation and execution'!$D$38*AA105+SUMPRODUCT($E$35:$E$37,AA$35:AA$37)/'1_hub_LCIA'!$C$20</f>
        <v>0.34489457173446991</v>
      </c>
      <c r="AB160" s="28">
        <f>'Preparation and execution'!$D$38*AB105+SUMPRODUCT($E$35:$E$37,AB$35:AB$37)/'1_hub_LCIA'!$C$20</f>
        <v>-6.2637224912199792E-4</v>
      </c>
      <c r="AC160" s="28">
        <f>'Preparation and execution'!$D$38*AC105+SUMPRODUCT($E$35:$E$37,AC$35:AC$37)/'1_hub_LCIA'!$C$20</f>
        <v>5.1768776747212041E-7</v>
      </c>
      <c r="AD160" s="28">
        <f>'Preparation and execution'!$D$38*AD105+SUMPRODUCT($E$35:$E$37,AD$35:AD$37)/'1_hub_LCIA'!$C$20</f>
        <v>3.3343097476222029E-2</v>
      </c>
      <c r="AE160" s="28">
        <f>'Preparation and execution'!$D$38*AE105+SUMPRODUCT($E$35:$E$37,AE$35:AE$37)/'1_hub_LCIA'!$C$20</f>
        <v>2.6988466476605064E-2</v>
      </c>
      <c r="AF160" s="28">
        <f>'Preparation and execution'!$D$38*AF105+SUMPRODUCT($E$35:$E$37,AF$35:AF$37)/'1_hub_LCIA'!$C$20</f>
        <v>4.3611520385217567E-2</v>
      </c>
      <c r="AG160" s="28">
        <f>'Preparation and execution'!$D$38*AG105+SUMPRODUCT($E$35:$E$37,AG$35:AG$37)/'1_hub_LCIA'!$C$20</f>
        <v>8.451070167190684E-4</v>
      </c>
      <c r="AH160" s="28">
        <f>'Preparation and execution'!$D$38*AH105+SUMPRODUCT($E$35:$E$37,AH$35:AH$37)/'1_hub_LCIA'!$C$20</f>
        <v>7.8747112110006789E-2</v>
      </c>
      <c r="AI160" s="29">
        <f>'Preparation and execution'!$D$38*AI105+SUMPRODUCT($E$35:$E$37,AI$35:AI$37)/'1_hub_LCIA'!$C$20</f>
        <v>8.027539083921123E-2</v>
      </c>
    </row>
    <row r="161" spans="2:35" x14ac:dyDescent="0.25">
      <c r="B161" s="257"/>
      <c r="C161" s="68" t="str">
        <f t="shared" si="48"/>
        <v>6_Hub_10000km</v>
      </c>
      <c r="D161" s="30" t="s">
        <v>539</v>
      </c>
      <c r="E161" s="30">
        <v>1</v>
      </c>
      <c r="F161" s="30" t="s">
        <v>357</v>
      </c>
      <c r="G161" s="30" t="str">
        <f t="shared" si="47"/>
        <v>6_Hub_10000km</v>
      </c>
      <c r="H161" s="30">
        <f>'Preparation and execution'!$D$38*H106+SUMPRODUCT($E$35:$E$37,H$35:H$37)/'1_hub_LCIA'!$C$20</f>
        <v>16.446873341584869</v>
      </c>
      <c r="I161" s="30">
        <f>'Preparation and execution'!$D$38*I106+SUMPRODUCT($E$35:$E$37,I$35:I$37)/'1_hub_LCIA'!$C$20</f>
        <v>4.1551466006272095</v>
      </c>
      <c r="J161" s="30">
        <f>'Preparation and execution'!$D$38*J106+SUMPRODUCT($E$35:$E$37,J$35:J$37)/'1_hub_LCIA'!$C$20</f>
        <v>184.01320917869617</v>
      </c>
      <c r="K161" s="30">
        <f>'Preparation and execution'!$D$38*K106+SUMPRODUCT($E$35:$E$37,K$35:K$37)/'1_hub_LCIA'!$C$20</f>
        <v>1.1216228044379912</v>
      </c>
      <c r="L161" s="30">
        <f>'Preparation and execution'!$D$38*L106+SUMPRODUCT($E$35:$E$37,L$35:L$37)/'1_hub_LCIA'!$C$20</f>
        <v>92.229100587139911</v>
      </c>
      <c r="M161" s="30">
        <f>'Preparation and execution'!$D$38*M106+SUMPRODUCT($E$35:$E$37,M$35:M$37)/'1_hub_LCIA'!$C$20</f>
        <v>5.8323245621102896E-4</v>
      </c>
      <c r="N161" s="30">
        <f>'Preparation and execution'!$D$38*N106+SUMPRODUCT($E$35:$E$37,N$35:N$37)/'1_hub_LCIA'!$C$20</f>
        <v>3.9866774762376744</v>
      </c>
      <c r="O161" s="30">
        <f>'Preparation and execution'!$D$38*O106+SUMPRODUCT($E$35:$E$37,O$35:O$37)/'1_hub_LCIA'!$C$20</f>
        <v>9.3672455541702782</v>
      </c>
      <c r="P161" s="30">
        <f>'Preparation and execution'!$D$38*P106+SUMPRODUCT($E$35:$E$37,P$35:P$37)/'1_hub_LCIA'!$C$20</f>
        <v>6.1459752412154023</v>
      </c>
      <c r="Q161" s="30">
        <f>'Preparation and execution'!$D$38*Q106+SUMPRODUCT($E$35:$E$37,Q$35:Q$37)/'1_hub_LCIA'!$C$20</f>
        <v>301.01956067498082</v>
      </c>
      <c r="R161" s="30">
        <f>'Preparation and execution'!$D$38*R106+SUMPRODUCT($E$35:$E$37,R$35:R$37)/'1_hub_LCIA'!$C$20</f>
        <v>0.64090332235241765</v>
      </c>
      <c r="S161" s="30">
        <f>'Preparation and execution'!$D$38*S106+SUMPRODUCT($E$35:$E$37,S$35:S$37)/'1_hub_LCIA'!$C$20</f>
        <v>16.218227071063222</v>
      </c>
      <c r="T161" s="30">
        <f>'Preparation and execution'!$D$38*T106+SUMPRODUCT($E$35:$E$37,T$35:T$37)/'1_hub_LCIA'!$C$20</f>
        <v>4.6132579459585905</v>
      </c>
      <c r="U161" s="30">
        <f>'Preparation and execution'!$D$38*U106+SUMPRODUCT($E$35:$E$37,U$35:U$37)/'1_hub_LCIA'!$C$20</f>
        <v>0.86871707867541925</v>
      </c>
      <c r="V161" s="30">
        <f>'Preparation and execution'!$D$38*V106+SUMPRODUCT($E$35:$E$37,V$35:V$37)/'1_hub_LCIA'!$C$20</f>
        <v>1.2182415082374425E-2</v>
      </c>
      <c r="W161" s="30">
        <f>'Preparation and execution'!$D$38*W106+SUMPRODUCT($E$35:$E$37,W$35:W$37)/'1_hub_LCIA'!$C$20</f>
        <v>8.214348666033473</v>
      </c>
      <c r="X161" s="30">
        <f>'Preparation and execution'!$D$38*X106+SUMPRODUCT($E$35:$E$37,X$35:X$37)/'1_hub_LCIA'!$C$20</f>
        <v>5.9318999224095146</v>
      </c>
      <c r="Y161" s="30">
        <f>'Preparation and execution'!$D$38*Y106+SUMPRODUCT($E$35:$E$37,Y$35:Y$37)/'1_hub_LCIA'!$C$20</f>
        <v>0.74732314964317625</v>
      </c>
      <c r="Z161" s="30">
        <f>'Preparation and execution'!$D$38*Z106+SUMPRODUCT($E$35:$E$37,Z$35:Z$37)/'1_hub_LCIA'!$C$20</f>
        <v>7.1859840800668519E-3</v>
      </c>
      <c r="AA161" s="30">
        <f>'Preparation and execution'!$D$38*AA106+SUMPRODUCT($E$35:$E$37,AA$35:AA$37)/'1_hub_LCIA'!$C$20</f>
        <v>0.34460727575535766</v>
      </c>
      <c r="AB161" s="30">
        <f>'Preparation and execution'!$D$38*AB106+SUMPRODUCT($E$35:$E$37,AB$35:AB$37)/'1_hub_LCIA'!$C$20</f>
        <v>-6.2245703387395635E-4</v>
      </c>
      <c r="AC161" s="30">
        <f>'Preparation and execution'!$D$38*AC106+SUMPRODUCT($E$35:$E$37,AC$35:AC$37)/'1_hub_LCIA'!$C$20</f>
        <v>5.401413331118069E-7</v>
      </c>
      <c r="AD161" s="30">
        <f>'Preparation and execution'!$D$38*AD106+SUMPRODUCT($E$35:$E$37,AD$35:AD$37)/'1_hub_LCIA'!$C$20</f>
        <v>3.4085062175960926E-2</v>
      </c>
      <c r="AE161" s="30">
        <f>'Preparation and execution'!$D$38*AE106+SUMPRODUCT($E$35:$E$37,AE$35:AE$37)/'1_hub_LCIA'!$C$20</f>
        <v>2.6770025742401407E-2</v>
      </c>
      <c r="AF161" s="30">
        <f>'Preparation and execution'!$D$38*AF106+SUMPRODUCT($E$35:$E$37,AF$35:AF$37)/'1_hub_LCIA'!$C$20</f>
        <v>4.2768983528820706E-2</v>
      </c>
      <c r="AG161" s="30">
        <f>'Preparation and execution'!$D$38*AG106+SUMPRODUCT($E$35:$E$37,AG$35:AG$37)/'1_hub_LCIA'!$C$20</f>
        <v>8.7135624564857244E-4</v>
      </c>
      <c r="AH161" s="30">
        <f>'Preparation and execution'!$D$38*AH106+SUMPRODUCT($E$35:$E$37,AH$35:AH$37)/'1_hub_LCIA'!$C$20</f>
        <v>7.8834763744471542E-2</v>
      </c>
      <c r="AI161" s="31">
        <f>'Preparation and execution'!$D$38*AI106+SUMPRODUCT($E$35:$E$37,AI$35:AI$37)/'1_hub_LCIA'!$C$20</f>
        <v>8.0171039058532373E-2</v>
      </c>
    </row>
  </sheetData>
  <mergeCells count="18">
    <mergeCell ref="C3:C5"/>
    <mergeCell ref="C6:C7"/>
    <mergeCell ref="C8:C9"/>
    <mergeCell ref="C10:C12"/>
    <mergeCell ref="B3:B12"/>
    <mergeCell ref="B53:B106"/>
    <mergeCell ref="B108:B161"/>
    <mergeCell ref="B34:B37"/>
    <mergeCell ref="C14:C15"/>
    <mergeCell ref="B13:B16"/>
    <mergeCell ref="C29:C30"/>
    <mergeCell ref="C31:C33"/>
    <mergeCell ref="B26:B33"/>
    <mergeCell ref="C19:C20"/>
    <mergeCell ref="C21:C22"/>
    <mergeCell ref="C23:C25"/>
    <mergeCell ref="B17:B25"/>
    <mergeCell ref="C26:C28"/>
  </mergeCells>
  <phoneticPr fontId="4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D2C9D-A45F-48A7-A0C2-99A717CB8617}">
  <sheetPr codeName="Sheet7"/>
  <dimension ref="B2:BP85"/>
  <sheetViews>
    <sheetView zoomScale="60" zoomScaleNormal="60" workbookViewId="0">
      <selection activeCell="H21" sqref="H21"/>
    </sheetView>
  </sheetViews>
  <sheetFormatPr defaultColWidth="10.7109375" defaultRowHeight="15" x14ac:dyDescent="0.25"/>
  <cols>
    <col min="2" max="2" width="13.7109375" bestFit="1" customWidth="1"/>
    <col min="3" max="3" width="44.85546875" bestFit="1" customWidth="1"/>
    <col min="4" max="4" width="94.140625" bestFit="1" customWidth="1"/>
    <col min="5" max="5" width="7" bestFit="1" customWidth="1"/>
    <col min="6" max="6" width="18.7109375" bestFit="1" customWidth="1"/>
    <col min="7" max="7" width="17.5703125" bestFit="1" customWidth="1"/>
    <col min="8" max="10" width="10.42578125" bestFit="1" customWidth="1"/>
    <col min="12" max="17" width="10.42578125" bestFit="1" customWidth="1"/>
    <col min="18" max="18" width="10.140625" bestFit="1" customWidth="1"/>
    <col min="19" max="20" width="10.42578125" bestFit="1" customWidth="1"/>
    <col min="21" max="23" width="10.140625" bestFit="1" customWidth="1"/>
    <col min="24" max="24" width="10.42578125" bestFit="1" customWidth="1"/>
    <col min="25" max="25" width="10.5703125" bestFit="1" customWidth="1"/>
    <col min="26" max="26" width="10.140625" bestFit="1" customWidth="1"/>
    <col min="27" max="27" width="10.42578125" bestFit="1" customWidth="1"/>
    <col min="28" max="28" width="10.85546875" bestFit="1" customWidth="1"/>
    <col min="29" max="29" width="10.42578125" bestFit="1" customWidth="1"/>
    <col min="30" max="34" width="10.140625" bestFit="1" customWidth="1"/>
    <col min="35" max="35" width="10.42578125" bestFit="1" customWidth="1"/>
    <col min="37" max="37" width="10.140625" bestFit="1" customWidth="1"/>
    <col min="38" max="39" width="10.42578125" bestFit="1" customWidth="1"/>
    <col min="40" max="40" width="12.7109375" bestFit="1" customWidth="1"/>
    <col min="41" max="41" width="10.42578125" bestFit="1" customWidth="1"/>
    <col min="42" max="42" width="15.140625" bestFit="1" customWidth="1"/>
    <col min="43" max="46" width="10.42578125" bestFit="1" customWidth="1"/>
    <col min="47" max="48" width="10.140625" bestFit="1" customWidth="1"/>
    <col min="49" max="49" width="10.42578125" bestFit="1" customWidth="1"/>
    <col min="50" max="52" width="10.140625" bestFit="1" customWidth="1"/>
    <col min="53" max="53" width="10.42578125" bestFit="1" customWidth="1"/>
    <col min="54" max="54" width="10.5703125" bestFit="1" customWidth="1"/>
    <col min="55" max="55" width="10.140625" bestFit="1" customWidth="1"/>
    <col min="56" max="56" width="10.42578125" bestFit="1" customWidth="1"/>
    <col min="57" max="57" width="10.85546875" bestFit="1" customWidth="1"/>
    <col min="58" max="58" width="10.42578125" bestFit="1" customWidth="1"/>
    <col min="59" max="63" width="10.140625" bestFit="1" customWidth="1"/>
    <col min="64" max="64" width="10.42578125" bestFit="1" customWidth="1"/>
  </cols>
  <sheetData>
    <row r="2" spans="2:68" ht="30" x14ac:dyDescent="0.25">
      <c r="B2" s="23"/>
      <c r="C2" s="24" t="s">
        <v>126</v>
      </c>
      <c r="D2" s="24" t="str">
        <f>Catering_LCIA!B2</f>
        <v>Item</v>
      </c>
      <c r="E2" s="24" t="str">
        <f>Catering_LCIA!C2</f>
        <v>Value</v>
      </c>
      <c r="F2" s="24" t="str">
        <f>Catering_LCIA!D2</f>
        <v>Unit</v>
      </c>
      <c r="G2" s="24" t="str">
        <f>Catering_LCIA!E2</f>
        <v>Source</v>
      </c>
      <c r="H2" s="24" t="str">
        <f>Catering_LCIA!F2</f>
        <v>GWP</v>
      </c>
      <c r="I2" s="24" t="str">
        <f>Catering_LCIA!G2</f>
        <v>biomass</v>
      </c>
      <c r="J2" s="24" t="str">
        <f>Catering_LCIA!H2</f>
        <v>fossil</v>
      </c>
      <c r="K2" s="24" t="str">
        <f>Catering_LCIA!I2</f>
        <v>geothermal</v>
      </c>
      <c r="L2" s="24" t="str">
        <f>Catering_LCIA!J2</f>
        <v>nuclear</v>
      </c>
      <c r="M2" s="24" t="str">
        <f>Catering_LCIA!K2</f>
        <v>primary forest</v>
      </c>
      <c r="N2" s="24" t="str">
        <f>Catering_LCIA!L2</f>
        <v>solar</v>
      </c>
      <c r="O2" s="24" t="str">
        <f>Catering_LCIA!M2</f>
        <v>water</v>
      </c>
      <c r="P2" s="24" t="str">
        <f>Catering_LCIA!N2</f>
        <v>wind</v>
      </c>
      <c r="Q2" s="24" t="str">
        <f>Catering_LCIA!O2</f>
        <v>CED</v>
      </c>
      <c r="R2" s="24" t="str">
        <f>Catering_LCIA!P2</f>
        <v>ALOP</v>
      </c>
      <c r="S2" s="24" t="str">
        <f>Catering_LCIA!Q2</f>
        <v>GWP100</v>
      </c>
      <c r="T2" s="24" t="str">
        <f>Catering_LCIA!R2</f>
        <v>FDP</v>
      </c>
      <c r="U2" s="24" t="str">
        <f>Catering_LCIA!S2</f>
        <v>FETPinf</v>
      </c>
      <c r="V2" s="24" t="str">
        <f>Catering_LCIA!T2</f>
        <v>FEP</v>
      </c>
      <c r="W2" s="24" t="str">
        <f>Catering_LCIA!U2</f>
        <v>HTPinf</v>
      </c>
      <c r="X2" s="24" t="str">
        <f>Catering_LCIA!V2</f>
        <v>IRP_HE</v>
      </c>
      <c r="Y2" s="24" t="str">
        <f>Catering_LCIA!W2</f>
        <v>METPinf</v>
      </c>
      <c r="Z2" s="24" t="str">
        <f>Catering_LCIA!X2</f>
        <v>MEP</v>
      </c>
      <c r="AA2" s="24" t="str">
        <f>Catering_LCIA!Y2</f>
        <v>MDP</v>
      </c>
      <c r="AB2" s="24" t="str">
        <f>Catering_LCIA!Z2</f>
        <v>NLTP</v>
      </c>
      <c r="AC2" s="24" t="str">
        <f>Catering_LCIA!AA2</f>
        <v>ODPinf</v>
      </c>
      <c r="AD2" s="24" t="str">
        <f>Catering_LCIA!AB2</f>
        <v>PMFP</v>
      </c>
      <c r="AE2" s="24" t="str">
        <f>Catering_LCIA!AC2</f>
        <v>POFP</v>
      </c>
      <c r="AF2" s="24" t="str">
        <f>Catering_LCIA!AD2</f>
        <v>TAP100</v>
      </c>
      <c r="AG2" s="24" t="str">
        <f>Catering_LCIA!AE2</f>
        <v>TETPinf</v>
      </c>
      <c r="AH2" s="24" t="str">
        <f>Catering_LCIA!AF2</f>
        <v>ULOP</v>
      </c>
      <c r="AI2" s="34" t="str">
        <f>Catering_LCIA!AG2</f>
        <v>WDP</v>
      </c>
      <c r="AJ2" s="16"/>
      <c r="AK2" s="18" t="str">
        <f>H2</f>
        <v>GWP</v>
      </c>
      <c r="AL2" s="18" t="str">
        <f t="shared" ref="AL2:BF2" si="0">I2</f>
        <v>biomass</v>
      </c>
      <c r="AM2" s="18" t="str">
        <f t="shared" si="0"/>
        <v>fossil</v>
      </c>
      <c r="AN2" s="18" t="str">
        <f t="shared" si="0"/>
        <v>geothermal</v>
      </c>
      <c r="AO2" s="18" t="str">
        <f t="shared" si="0"/>
        <v>nuclear</v>
      </c>
      <c r="AP2" s="18" t="str">
        <f t="shared" si="0"/>
        <v>primary forest</v>
      </c>
      <c r="AQ2" s="18" t="str">
        <f t="shared" si="0"/>
        <v>solar</v>
      </c>
      <c r="AR2" s="18" t="str">
        <f t="shared" si="0"/>
        <v>water</v>
      </c>
      <c r="AS2" s="18" t="str">
        <f t="shared" si="0"/>
        <v>wind</v>
      </c>
      <c r="AT2" s="18" t="str">
        <f t="shared" si="0"/>
        <v>CED</v>
      </c>
      <c r="AU2" s="18" t="str">
        <f t="shared" si="0"/>
        <v>ALOP</v>
      </c>
      <c r="AV2" s="18" t="str">
        <f t="shared" si="0"/>
        <v>GWP100</v>
      </c>
      <c r="AW2" s="18" t="str">
        <f t="shared" si="0"/>
        <v>FDP</v>
      </c>
      <c r="AX2" s="18" t="str">
        <f t="shared" si="0"/>
        <v>FETPinf</v>
      </c>
      <c r="AY2" s="18" t="str">
        <f t="shared" si="0"/>
        <v>FEP</v>
      </c>
      <c r="AZ2" s="18" t="str">
        <f t="shared" si="0"/>
        <v>HTPinf</v>
      </c>
      <c r="BA2" s="18" t="str">
        <f t="shared" si="0"/>
        <v>IRP_HE</v>
      </c>
      <c r="BB2" s="18" t="str">
        <f t="shared" si="0"/>
        <v>METPinf</v>
      </c>
      <c r="BC2" s="18" t="str">
        <f t="shared" si="0"/>
        <v>MEP</v>
      </c>
      <c r="BD2" s="18" t="str">
        <f t="shared" si="0"/>
        <v>MDP</v>
      </c>
      <c r="BE2" s="18" t="str">
        <f t="shared" si="0"/>
        <v>NLTP</v>
      </c>
      <c r="BF2" s="18" t="str">
        <f t="shared" si="0"/>
        <v>ODPinf</v>
      </c>
      <c r="BG2" s="18" t="str">
        <f>AD2</f>
        <v>PMFP</v>
      </c>
      <c r="BH2" s="18" t="str">
        <f t="shared" ref="BH2" si="1">AE2</f>
        <v>POFP</v>
      </c>
      <c r="BI2" s="18" t="str">
        <f t="shared" ref="BI2" si="2">AF2</f>
        <v>TAP100</v>
      </c>
      <c r="BJ2" s="18" t="str">
        <f t="shared" ref="BJ2" si="3">AG2</f>
        <v>TETPinf</v>
      </c>
      <c r="BK2" s="18" t="str">
        <f>AH2</f>
        <v>ULOP</v>
      </c>
      <c r="BL2" s="18" t="str">
        <f t="shared" ref="BL2" si="4">AI2</f>
        <v>WDP</v>
      </c>
      <c r="BM2" s="16"/>
      <c r="BN2" s="16"/>
      <c r="BO2" s="16"/>
      <c r="BP2" s="16"/>
    </row>
    <row r="3" spans="2:68" x14ac:dyDescent="0.25">
      <c r="B3" s="263" t="s">
        <v>107</v>
      </c>
      <c r="C3" s="260" t="s">
        <v>71</v>
      </c>
      <c r="D3" s="35" t="s">
        <v>203</v>
      </c>
      <c r="E3" s="13">
        <v>0.2687811903406237</v>
      </c>
      <c r="F3" s="28" t="s">
        <v>106</v>
      </c>
      <c r="G3" s="27" t="s">
        <v>183</v>
      </c>
      <c r="H3" s="28">
        <v>6.6719000000000001E-2</v>
      </c>
      <c r="I3" s="28">
        <v>2.8600000000000001E-3</v>
      </c>
      <c r="J3" s="28">
        <v>0.98355999999999999</v>
      </c>
      <c r="K3" s="28">
        <v>1.5838000000000001E-4</v>
      </c>
      <c r="L3" s="28">
        <v>1.061E-2</v>
      </c>
      <c r="M3" s="28">
        <v>1.7560000000000001E-5</v>
      </c>
      <c r="N3" s="28">
        <v>3.4638999999999998E-5</v>
      </c>
      <c r="O3" s="28">
        <v>5.3898000000000001E-3</v>
      </c>
      <c r="P3" s="28">
        <v>1.2139E-3</v>
      </c>
      <c r="Q3" s="28">
        <f>SUM(I3:P3)</f>
        <v>1.003844279</v>
      </c>
      <c r="R3" s="28">
        <v>6.8254999999999998E-4</v>
      </c>
      <c r="S3" s="28">
        <v>6.5978999999999996E-2</v>
      </c>
      <c r="T3" s="28">
        <v>2.2655000000000002E-2</v>
      </c>
      <c r="U3" s="28">
        <v>3.6013000000000001E-4</v>
      </c>
      <c r="V3" s="28">
        <v>4.1884000000000004E-6</v>
      </c>
      <c r="W3" s="28">
        <v>9.7911000000000005E-3</v>
      </c>
      <c r="X3" s="28">
        <v>4.3620999999999998E-3</v>
      </c>
      <c r="Y3" s="28">
        <v>4.0859000000000002E-4</v>
      </c>
      <c r="Z3" s="28">
        <v>1.9046E-5</v>
      </c>
      <c r="AA3" s="28">
        <v>1.0704E-3</v>
      </c>
      <c r="AB3" s="28">
        <v>-4.5553999999999996E-6</v>
      </c>
      <c r="AC3" s="28">
        <v>1.1072999999999999E-8</v>
      </c>
      <c r="AD3" s="28">
        <v>1.7598000000000001E-4</v>
      </c>
      <c r="AE3" s="28">
        <v>6.0132999999999996E-4</v>
      </c>
      <c r="AF3" s="28">
        <v>3.6547000000000001E-4</v>
      </c>
      <c r="AG3" s="28">
        <v>1.4525999999999999E-5</v>
      </c>
      <c r="AH3" s="28">
        <v>2.3463999999999998E-3</v>
      </c>
      <c r="AI3" s="29">
        <v>8.1285000000000005E-5</v>
      </c>
      <c r="AK3" s="16">
        <f>$E3*H3</f>
        <v>1.7932812238336072E-2</v>
      </c>
      <c r="AL3" s="16">
        <f t="shared" ref="AL3:BL12" si="5">$E3*I3</f>
        <v>7.6871420437418379E-4</v>
      </c>
      <c r="AM3" s="16">
        <f t="shared" si="5"/>
        <v>0.26436242757142386</v>
      </c>
      <c r="AN3" s="16">
        <f t="shared" si="5"/>
        <v>4.2569564926147988E-5</v>
      </c>
      <c r="AO3" s="16">
        <f t="shared" si="5"/>
        <v>2.8517684295140174E-3</v>
      </c>
      <c r="AP3" s="16">
        <f t="shared" si="5"/>
        <v>4.7197977023813525E-6</v>
      </c>
      <c r="AQ3" s="16">
        <f t="shared" si="5"/>
        <v>9.3103116522088639E-6</v>
      </c>
      <c r="AR3" s="16">
        <f t="shared" si="5"/>
        <v>1.4486768596978937E-3</v>
      </c>
      <c r="AS3" s="16">
        <f t="shared" si="5"/>
        <v>3.2627348695448311E-4</v>
      </c>
      <c r="AT3" s="16">
        <f t="shared" si="5"/>
        <v>0.26981446022624517</v>
      </c>
      <c r="AU3" s="16">
        <f t="shared" si="5"/>
        <v>1.8345660146699269E-4</v>
      </c>
      <c r="AV3" s="16">
        <f t="shared" si="5"/>
        <v>1.7733914157484008E-2</v>
      </c>
      <c r="AW3" s="16">
        <f t="shared" si="5"/>
        <v>6.0892378671668305E-3</v>
      </c>
      <c r="AX3" s="16">
        <f t="shared" si="5"/>
        <v>9.6796170077368814E-5</v>
      </c>
      <c r="AY3" s="16">
        <f t="shared" si="5"/>
        <v>1.1257631376226684E-6</v>
      </c>
      <c r="AZ3" s="16">
        <f t="shared" si="5"/>
        <v>2.6316635127440809E-3</v>
      </c>
      <c r="BA3" s="16">
        <f t="shared" si="5"/>
        <v>1.1724504303848346E-3</v>
      </c>
      <c r="BB3" s="16">
        <f t="shared" si="5"/>
        <v>1.0982130656127545E-4</v>
      </c>
      <c r="BC3" s="16">
        <f t="shared" si="5"/>
        <v>5.1192065512275188E-6</v>
      </c>
      <c r="BD3" s="16">
        <f t="shared" si="5"/>
        <v>2.8770338614060359E-4</v>
      </c>
      <c r="BE3" s="16">
        <f t="shared" si="5"/>
        <v>-1.2244058344776771E-6</v>
      </c>
      <c r="BF3" s="16">
        <f t="shared" si="5"/>
        <v>2.9762141206417261E-9</v>
      </c>
      <c r="BG3" s="16">
        <f t="shared" si="5"/>
        <v>4.7300113876142963E-5</v>
      </c>
      <c r="BH3" s="16">
        <f t="shared" si="5"/>
        <v>1.6162619318752723E-4</v>
      </c>
      <c r="BI3" s="16">
        <f t="shared" si="5"/>
        <v>9.8231461633787744E-5</v>
      </c>
      <c r="BJ3" s="16">
        <f t="shared" si="5"/>
        <v>3.9043155708878993E-6</v>
      </c>
      <c r="BK3" s="16">
        <f t="shared" si="5"/>
        <v>6.3066818501523938E-4</v>
      </c>
      <c r="BL3" s="16">
        <f t="shared" si="5"/>
        <v>2.1847879056837599E-5</v>
      </c>
    </row>
    <row r="4" spans="2:68" x14ac:dyDescent="0.25">
      <c r="B4" s="263"/>
      <c r="C4" s="260"/>
      <c r="D4" s="35" t="s">
        <v>204</v>
      </c>
      <c r="E4" s="13">
        <v>0.29549184445858595</v>
      </c>
      <c r="F4" s="28" t="s">
        <v>106</v>
      </c>
      <c r="G4" s="27" t="s">
        <v>183</v>
      </c>
      <c r="H4" s="28">
        <v>3.2929E-2</v>
      </c>
      <c r="I4" s="28">
        <v>5.3344000000000004E-4</v>
      </c>
      <c r="J4" s="28">
        <v>0.47367999999999999</v>
      </c>
      <c r="K4" s="28">
        <v>2.5505999999999999E-5</v>
      </c>
      <c r="L4" s="28">
        <v>1.8364E-3</v>
      </c>
      <c r="M4" s="28">
        <v>2.6278000000000001E-6</v>
      </c>
      <c r="N4" s="28">
        <v>1.1584E-5</v>
      </c>
      <c r="O4" s="28">
        <v>9.4950000000000004E-4</v>
      </c>
      <c r="P4" s="28">
        <v>1.9284E-4</v>
      </c>
      <c r="Q4" s="28">
        <f t="shared" ref="Q4:Q39" si="6">SUM(I4:P4)</f>
        <v>0.47723189780000003</v>
      </c>
      <c r="R4" s="28">
        <v>1.0676E-4</v>
      </c>
      <c r="S4" s="28">
        <v>3.2579999999999998E-2</v>
      </c>
      <c r="T4" s="28">
        <v>1.0869999999999999E-2</v>
      </c>
      <c r="U4" s="28">
        <v>7.4305000000000001E-5</v>
      </c>
      <c r="V4" s="28">
        <v>6.2307999999999999E-7</v>
      </c>
      <c r="W4" s="28">
        <v>1.1161999999999999E-3</v>
      </c>
      <c r="X4" s="28">
        <v>2.0184999999999999E-3</v>
      </c>
      <c r="Y4" s="28">
        <v>7.1051999999999997E-5</v>
      </c>
      <c r="Z4" s="28">
        <v>8.6507E-6</v>
      </c>
      <c r="AA4" s="28">
        <v>1.9001000000000001E-4</v>
      </c>
      <c r="AB4" s="28">
        <v>-4.1645E-7</v>
      </c>
      <c r="AC4" s="28">
        <v>5.6621000000000001E-9</v>
      </c>
      <c r="AD4" s="28">
        <v>7.682E-5</v>
      </c>
      <c r="AE4" s="28">
        <v>3.2314000000000003E-4</v>
      </c>
      <c r="AF4" s="28">
        <v>1.5758999999999999E-4</v>
      </c>
      <c r="AG4" s="28">
        <v>1.6555000000000001E-6</v>
      </c>
      <c r="AH4" s="28">
        <v>1.8761E-4</v>
      </c>
      <c r="AI4" s="29">
        <v>1.8113000000000001E-5</v>
      </c>
      <c r="AK4" s="16">
        <f t="shared" ref="AK4:AK39" si="7">$E4*H4</f>
        <v>9.7302509461767769E-3</v>
      </c>
      <c r="AL4" s="16">
        <f t="shared" si="5"/>
        <v>1.576271695079881E-4</v>
      </c>
      <c r="AM4" s="16">
        <f t="shared" si="5"/>
        <v>0.13996857688314299</v>
      </c>
      <c r="AN4" s="16">
        <f t="shared" si="5"/>
        <v>7.5368149847606929E-6</v>
      </c>
      <c r="AO4" s="16">
        <f t="shared" si="5"/>
        <v>5.426412231637472E-4</v>
      </c>
      <c r="AP4" s="16">
        <f t="shared" si="5"/>
        <v>7.7649346886827221E-7</v>
      </c>
      <c r="AQ4" s="16">
        <f t="shared" si="5"/>
        <v>3.4229775262082597E-6</v>
      </c>
      <c r="AR4" s="16">
        <f t="shared" si="5"/>
        <v>2.8056950631342737E-4</v>
      </c>
      <c r="AS4" s="16">
        <f t="shared" si="5"/>
        <v>5.6982647285393719E-5</v>
      </c>
      <c r="AT4" s="16">
        <f t="shared" si="5"/>
        <v>0.1410181337153934</v>
      </c>
      <c r="AU4" s="16">
        <f t="shared" si="5"/>
        <v>3.1546709314398639E-5</v>
      </c>
      <c r="AV4" s="16">
        <f t="shared" si="5"/>
        <v>9.62712429246073E-3</v>
      </c>
      <c r="AW4" s="16">
        <f t="shared" si="5"/>
        <v>3.2119963492648292E-3</v>
      </c>
      <c r="AX4" s="16">
        <f t="shared" si="5"/>
        <v>2.1956521502495228E-5</v>
      </c>
      <c r="AY4" s="16">
        <f t="shared" si="5"/>
        <v>1.8411505844525574E-7</v>
      </c>
      <c r="AZ4" s="16">
        <f t="shared" si="5"/>
        <v>3.2982799678467361E-4</v>
      </c>
      <c r="BA4" s="16">
        <f t="shared" si="5"/>
        <v>5.9645028803965571E-4</v>
      </c>
      <c r="BB4" s="16">
        <f t="shared" si="5"/>
        <v>2.0995286532471447E-5</v>
      </c>
      <c r="BC4" s="16">
        <f t="shared" si="5"/>
        <v>2.5562112988578897E-6</v>
      </c>
      <c r="BD4" s="16">
        <f t="shared" si="5"/>
        <v>5.6146405365575919E-5</v>
      </c>
      <c r="BE4" s="16">
        <f t="shared" si="5"/>
        <v>-1.2305757862477811E-7</v>
      </c>
      <c r="BF4" s="16">
        <f t="shared" si="5"/>
        <v>1.6731043725089595E-9</v>
      </c>
      <c r="BG4" s="16">
        <f t="shared" si="5"/>
        <v>2.2699683491308572E-5</v>
      </c>
      <c r="BH4" s="16">
        <f t="shared" si="5"/>
        <v>9.5485234618347467E-5</v>
      </c>
      <c r="BI4" s="16">
        <f t="shared" si="5"/>
        <v>4.6566559768228556E-5</v>
      </c>
      <c r="BJ4" s="16">
        <f t="shared" si="5"/>
        <v>4.8918674850118909E-7</v>
      </c>
      <c r="BK4" s="16">
        <f t="shared" si="5"/>
        <v>5.5437224938875311E-5</v>
      </c>
      <c r="BL4" s="16">
        <f t="shared" si="5"/>
        <v>5.3522437786783679E-6</v>
      </c>
    </row>
    <row r="5" spans="2:68" x14ac:dyDescent="0.25">
      <c r="B5" s="263"/>
      <c r="C5" s="260"/>
      <c r="D5" s="35" t="s">
        <v>193</v>
      </c>
      <c r="E5" s="13">
        <v>3.5167632381016181E-2</v>
      </c>
      <c r="F5" s="28" t="s">
        <v>106</v>
      </c>
      <c r="G5" s="27" t="s">
        <v>183</v>
      </c>
      <c r="H5" s="28">
        <v>3.1955999999999998E-2</v>
      </c>
      <c r="I5" s="28">
        <v>2.8931999999999999E-3</v>
      </c>
      <c r="J5" s="28">
        <v>0.23380999999999999</v>
      </c>
      <c r="K5" s="28">
        <v>1.2891000000000001E-4</v>
      </c>
      <c r="L5" s="28">
        <v>8.0415999999999994E-3</v>
      </c>
      <c r="M5" s="28">
        <v>2.1666999999999999E-6</v>
      </c>
      <c r="N5" s="28">
        <v>1.5860999999999999E-5</v>
      </c>
      <c r="O5" s="28">
        <v>4.8907000000000004E-3</v>
      </c>
      <c r="P5" s="28">
        <v>9.7141000000000003E-4</v>
      </c>
      <c r="Q5" s="28">
        <f t="shared" si="6"/>
        <v>0.25075384770000003</v>
      </c>
      <c r="R5" s="28">
        <v>6.2199E-4</v>
      </c>
      <c r="S5" s="28">
        <v>3.2674000000000002E-2</v>
      </c>
      <c r="T5" s="28">
        <v>6.1008E-3</v>
      </c>
      <c r="U5" s="28">
        <v>6.2211999999999996E-3</v>
      </c>
      <c r="V5" s="28">
        <v>3.9647000000000003E-6</v>
      </c>
      <c r="W5" s="28">
        <v>0.11655</v>
      </c>
      <c r="X5" s="28">
        <v>7.4914999999999997E-4</v>
      </c>
      <c r="Y5" s="28">
        <v>5.6363999999999997E-3</v>
      </c>
      <c r="Z5" s="28">
        <v>4.2731000000000001E-5</v>
      </c>
      <c r="AA5" s="28">
        <v>1.1781000000000001E-3</v>
      </c>
      <c r="AB5" s="28">
        <v>-1.5893E-6</v>
      </c>
      <c r="AC5" s="28">
        <v>2.4143999999999999E-9</v>
      </c>
      <c r="AD5" s="28">
        <v>8.9034000000000002E-5</v>
      </c>
      <c r="AE5" s="28">
        <v>3.0777000000000002E-4</v>
      </c>
      <c r="AF5" s="28">
        <v>2.1015000000000001E-4</v>
      </c>
      <c r="AG5" s="28">
        <v>5.0900000000000004E-6</v>
      </c>
      <c r="AH5" s="28">
        <v>2.4853000000000001E-4</v>
      </c>
      <c r="AI5" s="29">
        <v>1.6280999999999999E-3</v>
      </c>
      <c r="AK5" s="16">
        <f t="shared" si="7"/>
        <v>1.1238168603677531E-3</v>
      </c>
      <c r="AL5" s="16">
        <f t="shared" si="5"/>
        <v>1.0174699400475601E-4</v>
      </c>
      <c r="AM5" s="16">
        <f t="shared" si="5"/>
        <v>8.2225441270053923E-3</v>
      </c>
      <c r="AN5" s="16">
        <f t="shared" si="5"/>
        <v>4.5334594902367966E-6</v>
      </c>
      <c r="AO5" s="16">
        <f t="shared" si="5"/>
        <v>2.8280403255517969E-4</v>
      </c>
      <c r="AP5" s="16">
        <f t="shared" si="5"/>
        <v>7.6197709079947756E-8</v>
      </c>
      <c r="AQ5" s="16">
        <f t="shared" si="5"/>
        <v>5.5779381719529763E-7</v>
      </c>
      <c r="AR5" s="16">
        <f t="shared" si="5"/>
        <v>1.7199433968583585E-4</v>
      </c>
      <c r="AS5" s="16">
        <f t="shared" si="5"/>
        <v>3.4162189771242932E-5</v>
      </c>
      <c r="AT5" s="16">
        <f t="shared" si="5"/>
        <v>8.8184191340389215E-3</v>
      </c>
      <c r="AU5" s="16">
        <f t="shared" si="5"/>
        <v>2.1873915664668253E-5</v>
      </c>
      <c r="AV5" s="16">
        <f t="shared" si="5"/>
        <v>1.1490672204173228E-3</v>
      </c>
      <c r="AW5" s="16">
        <f t="shared" si="5"/>
        <v>2.1455069163010351E-4</v>
      </c>
      <c r="AX5" s="16">
        <f t="shared" si="5"/>
        <v>2.1878487456877786E-4</v>
      </c>
      <c r="AY5" s="16">
        <f t="shared" si="5"/>
        <v>1.3942911210101485E-7</v>
      </c>
      <c r="AZ5" s="16">
        <f t="shared" si="5"/>
        <v>4.0987875540074359E-3</v>
      </c>
      <c r="BA5" s="16">
        <f t="shared" si="5"/>
        <v>2.6345831798238272E-5</v>
      </c>
      <c r="BB5" s="16">
        <f t="shared" si="5"/>
        <v>1.982188431523596E-4</v>
      </c>
      <c r="BC5" s="16">
        <f t="shared" si="5"/>
        <v>1.5027480992732026E-6</v>
      </c>
      <c r="BD5" s="16">
        <f t="shared" si="5"/>
        <v>4.1430987708075168E-5</v>
      </c>
      <c r="BE5" s="16">
        <f t="shared" si="5"/>
        <v>-5.5891918143149014E-8</v>
      </c>
      <c r="BF5" s="16">
        <f t="shared" si="5"/>
        <v>8.4908731620725461E-11</v>
      </c>
      <c r="BG5" s="16">
        <f t="shared" si="5"/>
        <v>3.1311149814113946E-6</v>
      </c>
      <c r="BH5" s="16">
        <f t="shared" si="5"/>
        <v>1.082354221790535E-5</v>
      </c>
      <c r="BI5" s="16">
        <f t="shared" si="5"/>
        <v>7.3904779448705511E-6</v>
      </c>
      <c r="BJ5" s="16">
        <f t="shared" si="5"/>
        <v>1.7900324881937238E-7</v>
      </c>
      <c r="BK5" s="16">
        <f t="shared" si="5"/>
        <v>8.7402116756539517E-6</v>
      </c>
      <c r="BL5" s="16">
        <f t="shared" si="5"/>
        <v>5.7256422279532443E-5</v>
      </c>
    </row>
    <row r="6" spans="2:68" x14ac:dyDescent="0.25">
      <c r="B6" s="263"/>
      <c r="C6" s="260"/>
      <c r="D6" s="35" t="s">
        <v>205</v>
      </c>
      <c r="E6" s="13">
        <v>0.1441872927621663</v>
      </c>
      <c r="F6" s="28" t="s">
        <v>106</v>
      </c>
      <c r="G6" s="27" t="s">
        <v>183</v>
      </c>
      <c r="H6" s="28">
        <v>1.5611999999999999</v>
      </c>
      <c r="I6" s="28">
        <v>3.2682000000000002E-3</v>
      </c>
      <c r="J6" s="28">
        <v>0.36821999999999999</v>
      </c>
      <c r="K6" s="28">
        <v>3.9117999999999998E-4</v>
      </c>
      <c r="L6" s="28">
        <v>2.6186000000000001E-2</v>
      </c>
      <c r="M6" s="28">
        <v>6.1542999999999997E-6</v>
      </c>
      <c r="N6" s="28">
        <v>1.1071E-3</v>
      </c>
      <c r="O6" s="28">
        <v>1.183E-2</v>
      </c>
      <c r="P6" s="28">
        <v>2.9567999999999999E-3</v>
      </c>
      <c r="Q6" s="28">
        <f t="shared" si="6"/>
        <v>0.41396543429999999</v>
      </c>
      <c r="R6" s="28">
        <v>1.5227000000000001E-3</v>
      </c>
      <c r="S6" s="28">
        <v>1.226</v>
      </c>
      <c r="T6" s="28">
        <v>8.7205000000000008E-3</v>
      </c>
      <c r="U6" s="28">
        <v>7.2683000000000001E-3</v>
      </c>
      <c r="V6" s="28">
        <v>6.1979999999999998E-6</v>
      </c>
      <c r="W6" s="28">
        <v>0.13544999999999999</v>
      </c>
      <c r="X6" s="28">
        <v>2.5059000000000001E-3</v>
      </c>
      <c r="Y6" s="28">
        <v>6.5066999999999998E-3</v>
      </c>
      <c r="Z6" s="28">
        <v>2.1710000000000002E-3</v>
      </c>
      <c r="AA6" s="28">
        <v>4.9030000000000005E-4</v>
      </c>
      <c r="AB6" s="28">
        <v>-4.6569000000000003E-6</v>
      </c>
      <c r="AC6" s="28">
        <v>2.8231999999999999E-9</v>
      </c>
      <c r="AD6" s="28">
        <v>8.4282000000000004E-5</v>
      </c>
      <c r="AE6" s="28">
        <v>6.9477999999999999E-4</v>
      </c>
      <c r="AF6" s="28">
        <v>1.9544000000000001E-4</v>
      </c>
      <c r="AG6" s="28">
        <v>1.8816999999999999E-6</v>
      </c>
      <c r="AH6" s="28">
        <v>3.1914000000000001E-3</v>
      </c>
      <c r="AI6" s="29">
        <v>9.2818999999999993E-5</v>
      </c>
      <c r="AK6" s="16">
        <f t="shared" si="7"/>
        <v>0.225105201460294</v>
      </c>
      <c r="AL6" s="16">
        <f t="shared" si="5"/>
        <v>4.7123291020531192E-4</v>
      </c>
      <c r="AM6" s="16">
        <f t="shared" si="5"/>
        <v>5.3092644940884871E-2</v>
      </c>
      <c r="AN6" s="16">
        <f t="shared" si="5"/>
        <v>5.6403185182704208E-5</v>
      </c>
      <c r="AO6" s="16">
        <f t="shared" si="5"/>
        <v>3.775688448270087E-3</v>
      </c>
      <c r="AP6" s="16">
        <f t="shared" si="5"/>
        <v>8.8737185584620004E-7</v>
      </c>
      <c r="AQ6" s="16">
        <f t="shared" si="5"/>
        <v>1.5962975181699429E-4</v>
      </c>
      <c r="AR6" s="16">
        <f t="shared" si="5"/>
        <v>1.7057356733764274E-3</v>
      </c>
      <c r="AS6" s="16">
        <f t="shared" si="5"/>
        <v>4.263329872391733E-4</v>
      </c>
      <c r="AT6" s="16">
        <f t="shared" si="5"/>
        <v>5.968855526883142E-2</v>
      </c>
      <c r="AU6" s="16">
        <f t="shared" si="5"/>
        <v>2.1955399068895062E-4</v>
      </c>
      <c r="AV6" s="16">
        <f t="shared" si="5"/>
        <v>0.17677362092641588</v>
      </c>
      <c r="AW6" s="16">
        <f t="shared" si="5"/>
        <v>1.2573852865324713E-3</v>
      </c>
      <c r="AX6" s="16">
        <f t="shared" si="5"/>
        <v>1.0479964999832534E-3</v>
      </c>
      <c r="AY6" s="16">
        <f t="shared" si="5"/>
        <v>8.936728405399067E-7</v>
      </c>
      <c r="AZ6" s="16">
        <f t="shared" si="5"/>
        <v>1.9530168804635425E-2</v>
      </c>
      <c r="BA6" s="16">
        <f t="shared" si="5"/>
        <v>3.6131893693271252E-4</v>
      </c>
      <c r="BB6" s="16">
        <f t="shared" si="5"/>
        <v>9.381834578155874E-4</v>
      </c>
      <c r="BC6" s="16">
        <f t="shared" si="5"/>
        <v>3.1303061258666304E-4</v>
      </c>
      <c r="BD6" s="16">
        <f t="shared" si="5"/>
        <v>7.0695029641290141E-5</v>
      </c>
      <c r="BE6" s="16">
        <f t="shared" si="5"/>
        <v>-6.7146580366413226E-7</v>
      </c>
      <c r="BF6" s="16">
        <f t="shared" si="5"/>
        <v>4.0706956492614786E-10</v>
      </c>
      <c r="BG6" s="16">
        <f t="shared" si="5"/>
        <v>1.2152393408580901E-5</v>
      </c>
      <c r="BH6" s="16">
        <f t="shared" si="5"/>
        <v>1.0017844726529789E-4</v>
      </c>
      <c r="BI6" s="16">
        <f t="shared" si="5"/>
        <v>2.8179964497437784E-5</v>
      </c>
      <c r="BJ6" s="16">
        <f t="shared" si="5"/>
        <v>2.7131722879056833E-7</v>
      </c>
      <c r="BK6" s="16">
        <f t="shared" si="5"/>
        <v>4.601593261211775E-4</v>
      </c>
      <c r="BL6" s="16">
        <f t="shared" si="5"/>
        <v>1.3383320326891513E-5</v>
      </c>
    </row>
    <row r="7" spans="2:68" x14ac:dyDescent="0.25">
      <c r="B7" s="263"/>
      <c r="C7" s="260" t="s">
        <v>72</v>
      </c>
      <c r="D7" s="35" t="s">
        <v>206</v>
      </c>
      <c r="E7" s="13">
        <v>0.10257226111129719</v>
      </c>
      <c r="F7" s="28" t="s">
        <v>106</v>
      </c>
      <c r="G7" s="27" t="s">
        <v>183</v>
      </c>
      <c r="H7" s="28">
        <v>3.1410000000000001E-3</v>
      </c>
      <c r="I7" s="28">
        <v>2.2533000000000001E-4</v>
      </c>
      <c r="J7" s="28">
        <v>4.8034E-2</v>
      </c>
      <c r="K7" s="28">
        <v>1.2913E-5</v>
      </c>
      <c r="L7" s="28">
        <v>9.8714000000000007E-4</v>
      </c>
      <c r="M7" s="28">
        <v>1.0557999999999999E-6</v>
      </c>
      <c r="N7" s="28">
        <v>3.1918000000000001E-6</v>
      </c>
      <c r="O7" s="28">
        <v>4.4548E-4</v>
      </c>
      <c r="P7" s="28">
        <v>1.1177E-4</v>
      </c>
      <c r="Q7" s="28">
        <f t="shared" si="6"/>
        <v>4.9820880599999999E-2</v>
      </c>
      <c r="R7" s="28">
        <v>4.5185000000000002E-5</v>
      </c>
      <c r="S7" s="28">
        <v>3.1036000000000002E-3</v>
      </c>
      <c r="T7" s="28">
        <v>1.1103E-3</v>
      </c>
      <c r="U7" s="28">
        <v>2.6854000000000001E-5</v>
      </c>
      <c r="V7" s="28">
        <v>3.3176E-7</v>
      </c>
      <c r="W7" s="28">
        <v>8.4453999999999996E-4</v>
      </c>
      <c r="X7" s="28">
        <v>2.3094000000000001E-4</v>
      </c>
      <c r="Y7" s="28">
        <v>3.2085999999999997E-5</v>
      </c>
      <c r="Z7" s="28">
        <v>8.4175000000000003E-7</v>
      </c>
      <c r="AA7" s="28">
        <v>8.1181999999999996E-5</v>
      </c>
      <c r="AB7" s="28">
        <v>-3.3178999999999998E-7</v>
      </c>
      <c r="AC7" s="28">
        <v>5.1293999999999999E-10</v>
      </c>
      <c r="AD7" s="28">
        <v>8.0232999999999999E-6</v>
      </c>
      <c r="AE7" s="28">
        <v>2.2642000000000001E-5</v>
      </c>
      <c r="AF7" s="28">
        <v>1.5313999999999999E-5</v>
      </c>
      <c r="AG7" s="28">
        <v>1.28E-6</v>
      </c>
      <c r="AH7" s="28">
        <v>2.0888999999999999E-4</v>
      </c>
      <c r="AI7" s="29">
        <v>6.0657000000000002E-6</v>
      </c>
      <c r="AK7" s="16">
        <f t="shared" si="7"/>
        <v>3.2217947215058449E-4</v>
      </c>
      <c r="AL7" s="16">
        <f t="shared" si="5"/>
        <v>2.3112607596208598E-5</v>
      </c>
      <c r="AM7" s="16">
        <f t="shared" si="5"/>
        <v>4.9269559902200494E-3</v>
      </c>
      <c r="AN7" s="16">
        <f t="shared" si="5"/>
        <v>1.3245156077301807E-6</v>
      </c>
      <c r="AO7" s="16">
        <f t="shared" si="5"/>
        <v>1.0125318183340592E-4</v>
      </c>
      <c r="AP7" s="16">
        <f t="shared" si="5"/>
        <v>1.0829579328130757E-7</v>
      </c>
      <c r="AQ7" s="16">
        <f t="shared" si="5"/>
        <v>3.2739014301503839E-7</v>
      </c>
      <c r="AR7" s="16">
        <f t="shared" si="5"/>
        <v>4.569389087986067E-5</v>
      </c>
      <c r="AS7" s="16">
        <f t="shared" si="5"/>
        <v>1.1464501624409686E-5</v>
      </c>
      <c r="AT7" s="16">
        <f t="shared" si="5"/>
        <v>5.1102403736979609E-3</v>
      </c>
      <c r="AU7" s="16">
        <f t="shared" si="5"/>
        <v>4.6347276183139637E-6</v>
      </c>
      <c r="AV7" s="16">
        <f t="shared" si="5"/>
        <v>3.1834326958502196E-4</v>
      </c>
      <c r="AW7" s="16">
        <f t="shared" si="5"/>
        <v>1.1388598151187328E-4</v>
      </c>
      <c r="AX7" s="16">
        <f t="shared" si="5"/>
        <v>2.754475499882775E-6</v>
      </c>
      <c r="AY7" s="16">
        <f t="shared" si="5"/>
        <v>3.4029373346283959E-8</v>
      </c>
      <c r="AZ7" s="16">
        <f t="shared" si="5"/>
        <v>8.6626377398934932E-5</v>
      </c>
      <c r="BA7" s="16">
        <f t="shared" si="5"/>
        <v>2.3688037981042974E-5</v>
      </c>
      <c r="BB7" s="16">
        <f t="shared" si="5"/>
        <v>3.2911335700170814E-6</v>
      </c>
      <c r="BC7" s="16">
        <f t="shared" si="5"/>
        <v>8.6340200790434419E-8</v>
      </c>
      <c r="BD7" s="16">
        <f t="shared" si="5"/>
        <v>8.3270213015373282E-6</v>
      </c>
      <c r="BE7" s="16">
        <f t="shared" si="5"/>
        <v>-3.4032450514117296E-8</v>
      </c>
      <c r="BF7" s="16">
        <f t="shared" si="5"/>
        <v>5.2613415614428783E-11</v>
      </c>
      <c r="BG7" s="16">
        <f t="shared" si="5"/>
        <v>8.229680225742707E-7</v>
      </c>
      <c r="BH7" s="16">
        <f t="shared" si="5"/>
        <v>2.3224411360819912E-6</v>
      </c>
      <c r="BI7" s="16">
        <f t="shared" si="5"/>
        <v>1.5707916066584052E-6</v>
      </c>
      <c r="BJ7" s="16">
        <f t="shared" si="5"/>
        <v>1.3129249422246042E-7</v>
      </c>
      <c r="BK7" s="16">
        <f t="shared" si="5"/>
        <v>2.142631962353887E-5</v>
      </c>
      <c r="BL7" s="16">
        <f t="shared" si="5"/>
        <v>6.2217256422279545E-7</v>
      </c>
    </row>
    <row r="8" spans="2:68" x14ac:dyDescent="0.25">
      <c r="B8" s="263"/>
      <c r="C8" s="260"/>
      <c r="D8" s="35" t="s">
        <v>200</v>
      </c>
      <c r="E8" s="13">
        <v>6.3218005827779089E-2</v>
      </c>
      <c r="F8" s="28" t="s">
        <v>106</v>
      </c>
      <c r="G8" s="27" t="s">
        <v>183</v>
      </c>
      <c r="H8" s="28">
        <v>9.2717000000000008E-3</v>
      </c>
      <c r="I8" s="28">
        <v>8.2782000000000005E-4</v>
      </c>
      <c r="J8" s="28">
        <v>0.24242</v>
      </c>
      <c r="K8" s="28">
        <v>3.8235000000000002E-5</v>
      </c>
      <c r="L8" s="28">
        <v>3.1242000000000002E-3</v>
      </c>
      <c r="M8" s="28">
        <v>1.3038999999999999E-6</v>
      </c>
      <c r="N8" s="28">
        <v>1.398E-5</v>
      </c>
      <c r="O8" s="28">
        <v>1.3760000000000001E-3</v>
      </c>
      <c r="P8" s="28">
        <v>3.0329E-4</v>
      </c>
      <c r="Q8" s="28">
        <f t="shared" si="6"/>
        <v>0.24810482889999999</v>
      </c>
      <c r="R8" s="28">
        <v>1.0644999999999999E-3</v>
      </c>
      <c r="S8" s="28">
        <v>9.0874000000000007E-3</v>
      </c>
      <c r="T8" s="28">
        <v>5.6202999999999999E-3</v>
      </c>
      <c r="U8" s="28">
        <v>1.0579999999999999E-3</v>
      </c>
      <c r="V8" s="28">
        <v>9.5924999999999996E-7</v>
      </c>
      <c r="W8" s="28">
        <v>9.8768999999999992E-3</v>
      </c>
      <c r="X8" s="28">
        <v>1.0083E-3</v>
      </c>
      <c r="Y8" s="28">
        <v>9.0813999999999999E-4</v>
      </c>
      <c r="Z8" s="28">
        <v>3.5039999999999998E-6</v>
      </c>
      <c r="AA8" s="28">
        <v>3.0840000000000002E-4</v>
      </c>
      <c r="AB8" s="28">
        <v>-3.9879000000000004E-6</v>
      </c>
      <c r="AC8" s="28">
        <v>2.5267E-9</v>
      </c>
      <c r="AD8" s="28">
        <v>3.0694999999999997E-5</v>
      </c>
      <c r="AE8" s="28">
        <v>9.2924999999999995E-5</v>
      </c>
      <c r="AF8" s="28">
        <v>6.3326999999999999E-5</v>
      </c>
      <c r="AG8" s="28">
        <v>9.8121000000000009E-7</v>
      </c>
      <c r="AH8" s="28">
        <v>3.1313000000000001E-3</v>
      </c>
      <c r="AI8" s="29">
        <v>2.3983999999999999E-5</v>
      </c>
      <c r="AK8" s="16">
        <f t="shared" si="7"/>
        <v>5.8613838463341945E-4</v>
      </c>
      <c r="AL8" s="16">
        <f t="shared" si="5"/>
        <v>5.2333129584352087E-5</v>
      </c>
      <c r="AM8" s="16">
        <f t="shared" si="5"/>
        <v>1.5325308972770206E-2</v>
      </c>
      <c r="AN8" s="16">
        <f t="shared" si="5"/>
        <v>2.4171404528251337E-6</v>
      </c>
      <c r="AO8" s="16">
        <f t="shared" si="5"/>
        <v>1.9750569380714745E-4</v>
      </c>
      <c r="AP8" s="16">
        <f t="shared" si="5"/>
        <v>8.2429957798841147E-8</v>
      </c>
      <c r="AQ8" s="16">
        <f t="shared" si="5"/>
        <v>8.8378772147235167E-7</v>
      </c>
      <c r="AR8" s="16">
        <f t="shared" si="5"/>
        <v>8.6987976019024024E-5</v>
      </c>
      <c r="AS8" s="16">
        <f t="shared" si="5"/>
        <v>1.917338898750712E-5</v>
      </c>
      <c r="AT8" s="16">
        <f t="shared" si="5"/>
        <v>1.5684692519300332E-2</v>
      </c>
      <c r="AU8" s="16">
        <f t="shared" si="5"/>
        <v>6.729556720367083E-5</v>
      </c>
      <c r="AV8" s="16">
        <f t="shared" si="5"/>
        <v>5.7448730615935974E-4</v>
      </c>
      <c r="AW8" s="16">
        <f t="shared" si="5"/>
        <v>3.5530415815386682E-4</v>
      </c>
      <c r="AX8" s="16">
        <f t="shared" si="5"/>
        <v>6.688465016579027E-5</v>
      </c>
      <c r="AY8" s="16">
        <f t="shared" si="5"/>
        <v>6.0641872090297094E-8</v>
      </c>
      <c r="AZ8" s="16">
        <f t="shared" si="5"/>
        <v>6.2439792176039127E-4</v>
      </c>
      <c r="BA8" s="16">
        <f t="shared" si="5"/>
        <v>6.3742715276149658E-5</v>
      </c>
      <c r="BB8" s="16">
        <f t="shared" si="5"/>
        <v>5.7410799812439302E-5</v>
      </c>
      <c r="BC8" s="16">
        <f t="shared" si="5"/>
        <v>2.2151589242053792E-7</v>
      </c>
      <c r="BD8" s="16">
        <f t="shared" si="5"/>
        <v>1.9496432997287071E-5</v>
      </c>
      <c r="BE8" s="16">
        <f t="shared" si="5"/>
        <v>-2.5210708544060024E-7</v>
      </c>
      <c r="BF8" s="16">
        <f t="shared" si="5"/>
        <v>1.5973293532504943E-10</v>
      </c>
      <c r="BG8" s="16">
        <f t="shared" si="5"/>
        <v>1.940476688883679E-6</v>
      </c>
      <c r="BH8" s="16">
        <f t="shared" si="5"/>
        <v>5.8745331915463719E-6</v>
      </c>
      <c r="BI8" s="16">
        <f t="shared" si="5"/>
        <v>4.0034066550557659E-6</v>
      </c>
      <c r="BJ8" s="16">
        <f t="shared" si="5"/>
        <v>6.203013949827512E-8</v>
      </c>
      <c r="BK8" s="16">
        <f t="shared" si="5"/>
        <v>1.9795454164852467E-4</v>
      </c>
      <c r="BL8" s="16">
        <f t="shared" si="5"/>
        <v>1.5162206517734536E-6</v>
      </c>
    </row>
    <row r="9" spans="2:68" x14ac:dyDescent="0.25">
      <c r="B9" s="263"/>
      <c r="C9" s="260"/>
      <c r="D9" s="35" t="s">
        <v>198</v>
      </c>
      <c r="E9" s="13">
        <v>1.3732123120206318E-2</v>
      </c>
      <c r="F9" s="28" t="s">
        <v>106</v>
      </c>
      <c r="G9" s="27" t="s">
        <v>183</v>
      </c>
      <c r="H9" s="28">
        <v>1.8043E-2</v>
      </c>
      <c r="I9" s="28">
        <v>1.7369E-3</v>
      </c>
      <c r="J9" s="28">
        <v>0.36004999999999998</v>
      </c>
      <c r="K9" s="28">
        <v>8.4023000000000005E-5</v>
      </c>
      <c r="L9" s="28">
        <v>6.4540999999999999E-3</v>
      </c>
      <c r="M9" s="28">
        <v>3.6841999999999998E-6</v>
      </c>
      <c r="N9" s="28">
        <v>1.6294E-5</v>
      </c>
      <c r="O9" s="28">
        <v>2.9245999999999999E-3</v>
      </c>
      <c r="P9" s="28">
        <v>6.5519999999999999E-4</v>
      </c>
      <c r="Q9" s="28">
        <f t="shared" si="6"/>
        <v>0.37192480119999999</v>
      </c>
      <c r="R9" s="28">
        <v>1.2731999999999999E-3</v>
      </c>
      <c r="S9" s="28">
        <v>1.7396999999999999E-2</v>
      </c>
      <c r="T9" s="28">
        <v>8.3811000000000007E-3</v>
      </c>
      <c r="U9" s="28">
        <v>1.1835999999999999E-3</v>
      </c>
      <c r="V9" s="28">
        <v>2.6620000000000001E-6</v>
      </c>
      <c r="W9" s="28">
        <v>1.2708000000000001E-2</v>
      </c>
      <c r="X9" s="28">
        <v>1.4931E-3</v>
      </c>
      <c r="Y9" s="28">
        <v>1.0437999999999999E-3</v>
      </c>
      <c r="Z9" s="28">
        <v>4.8740000000000003E-6</v>
      </c>
      <c r="AA9" s="28">
        <v>1.2405000000000001E-3</v>
      </c>
      <c r="AB9" s="28">
        <v>-5.361E-6</v>
      </c>
      <c r="AC9" s="28">
        <v>3.4483000000000002E-9</v>
      </c>
      <c r="AD9" s="28">
        <v>5.274E-5</v>
      </c>
      <c r="AE9" s="28">
        <v>1.3261999999999999E-4</v>
      </c>
      <c r="AF9" s="28">
        <v>8.8823E-5</v>
      </c>
      <c r="AG9" s="28">
        <v>4.0670000000000002E-6</v>
      </c>
      <c r="AH9" s="28">
        <v>2.6573E-3</v>
      </c>
      <c r="AI9" s="29">
        <v>8.5236999999999997E-4</v>
      </c>
      <c r="AK9" s="16">
        <f t="shared" si="7"/>
        <v>2.4776869745788262E-4</v>
      </c>
      <c r="AL9" s="16">
        <f t="shared" si="5"/>
        <v>2.3851324647486353E-5</v>
      </c>
      <c r="AM9" s="16">
        <f t="shared" si="5"/>
        <v>4.9442509294302843E-3</v>
      </c>
      <c r="AN9" s="16">
        <f t="shared" si="5"/>
        <v>1.1538141809290955E-6</v>
      </c>
      <c r="AO9" s="16">
        <f t="shared" si="5"/>
        <v>8.8628495830123588E-5</v>
      </c>
      <c r="AP9" s="16">
        <f t="shared" si="5"/>
        <v>5.0591887999464111E-8</v>
      </c>
      <c r="AQ9" s="16">
        <f t="shared" si="5"/>
        <v>2.2375121412064175E-7</v>
      </c>
      <c r="AR9" s="16">
        <f t="shared" si="5"/>
        <v>4.0160967277355396E-5</v>
      </c>
      <c r="AS9" s="16">
        <f t="shared" si="5"/>
        <v>8.9972870683591796E-6</v>
      </c>
      <c r="AT9" s="16">
        <f t="shared" si="5"/>
        <v>5.1073171615366583E-3</v>
      </c>
      <c r="AU9" s="16">
        <f t="shared" si="5"/>
        <v>1.7483739156646682E-5</v>
      </c>
      <c r="AV9" s="16">
        <f t="shared" si="5"/>
        <v>2.388977459222293E-4</v>
      </c>
      <c r="AW9" s="16">
        <f t="shared" si="5"/>
        <v>1.1509029708276118E-4</v>
      </c>
      <c r="AX9" s="16">
        <f t="shared" si="5"/>
        <v>1.6253340925076197E-5</v>
      </c>
      <c r="AY9" s="16">
        <f t="shared" si="5"/>
        <v>3.6554911745989216E-8</v>
      </c>
      <c r="AZ9" s="16">
        <f t="shared" si="5"/>
        <v>1.745078206115819E-4</v>
      </c>
      <c r="BA9" s="16">
        <f t="shared" si="5"/>
        <v>2.0503433030780054E-5</v>
      </c>
      <c r="BB9" s="16">
        <f t="shared" si="5"/>
        <v>1.4333590112871354E-5</v>
      </c>
      <c r="BC9" s="16">
        <f t="shared" si="5"/>
        <v>6.69303680878856E-8</v>
      </c>
      <c r="BD9" s="16">
        <f t="shared" si="5"/>
        <v>1.7034698730615939E-5</v>
      </c>
      <c r="BE9" s="16">
        <f t="shared" si="5"/>
        <v>-7.3617912047426066E-8</v>
      </c>
      <c r="BF9" s="16">
        <f t="shared" si="5"/>
        <v>4.735248015540745E-11</v>
      </c>
      <c r="BG9" s="16">
        <f t="shared" si="5"/>
        <v>7.2423217335968123E-7</v>
      </c>
      <c r="BH9" s="16">
        <f t="shared" si="5"/>
        <v>1.8211541682017618E-6</v>
      </c>
      <c r="BI9" s="16">
        <f t="shared" si="5"/>
        <v>1.2197283719060858E-6</v>
      </c>
      <c r="BJ9" s="16">
        <f t="shared" si="5"/>
        <v>5.5848544729879099E-8</v>
      </c>
      <c r="BK9" s="16">
        <f t="shared" si="5"/>
        <v>3.649037076732425E-5</v>
      </c>
      <c r="BL9" s="16">
        <f t="shared" si="5"/>
        <v>1.1704849783970259E-5</v>
      </c>
    </row>
    <row r="10" spans="2:68" x14ac:dyDescent="0.25">
      <c r="B10" s="263"/>
      <c r="C10" s="260" t="s">
        <v>73</v>
      </c>
      <c r="D10" s="35" t="s">
        <v>207</v>
      </c>
      <c r="E10" s="13">
        <v>0.16076631945607395</v>
      </c>
      <c r="F10" s="28" t="s">
        <v>106</v>
      </c>
      <c r="G10" s="27" t="s">
        <v>183</v>
      </c>
      <c r="H10" s="28">
        <v>3.4620999999999999E-2</v>
      </c>
      <c r="I10" s="28">
        <v>2.3400000000000001E-3</v>
      </c>
      <c r="J10" s="28">
        <v>0.52183000000000002</v>
      </c>
      <c r="K10" s="28">
        <v>1.3352000000000001E-4</v>
      </c>
      <c r="L10" s="28">
        <v>8.8204000000000008E-3</v>
      </c>
      <c r="M10" s="28">
        <v>1.4997999999999999E-5</v>
      </c>
      <c r="N10" s="28">
        <v>2.3348000000000001E-5</v>
      </c>
      <c r="O10" s="28">
        <v>4.4641999999999998E-3</v>
      </c>
      <c r="P10" s="28">
        <v>1.026E-3</v>
      </c>
      <c r="Q10" s="28">
        <f t="shared" si="6"/>
        <v>0.53865246600000005</v>
      </c>
      <c r="R10" s="28">
        <v>5.7848999999999997E-4</v>
      </c>
      <c r="S10" s="28">
        <v>3.4222000000000002E-2</v>
      </c>
      <c r="T10" s="28">
        <v>1.2059E-2</v>
      </c>
      <c r="U10" s="28">
        <v>2.877E-4</v>
      </c>
      <c r="V10" s="28">
        <v>3.5810999999999999E-6</v>
      </c>
      <c r="W10" s="28">
        <v>8.7031000000000001E-3</v>
      </c>
      <c r="X10" s="28">
        <v>2.3946000000000002E-3</v>
      </c>
      <c r="Y10" s="28">
        <v>3.3932999999999999E-4</v>
      </c>
      <c r="Z10" s="28">
        <v>1.0613E-5</v>
      </c>
      <c r="AA10" s="28">
        <v>8.8515999999999996E-4</v>
      </c>
      <c r="AB10" s="28">
        <v>-4.1494999999999998E-6</v>
      </c>
      <c r="AC10" s="28">
        <v>5.5539E-9</v>
      </c>
      <c r="AD10" s="28">
        <v>1.011E-4</v>
      </c>
      <c r="AE10" s="28">
        <v>2.8634E-4</v>
      </c>
      <c r="AF10" s="28">
        <v>2.1185999999999999E-4</v>
      </c>
      <c r="AG10" s="28">
        <v>1.2911999999999999E-5</v>
      </c>
      <c r="AH10" s="28">
        <v>2.1635000000000001E-3</v>
      </c>
      <c r="AI10" s="29">
        <v>6.3628999999999997E-5</v>
      </c>
      <c r="AK10" s="16">
        <f t="shared" si="7"/>
        <v>5.5658907458887357E-3</v>
      </c>
      <c r="AL10" s="16">
        <f t="shared" si="5"/>
        <v>3.7619318752721303E-4</v>
      </c>
      <c r="AM10" s="16">
        <f t="shared" si="5"/>
        <v>8.3892688481763067E-2</v>
      </c>
      <c r="AN10" s="16">
        <f t="shared" si="5"/>
        <v>2.1465518973774994E-5</v>
      </c>
      <c r="AO10" s="16">
        <f t="shared" si="5"/>
        <v>1.4180232441303548E-3</v>
      </c>
      <c r="AP10" s="16">
        <f t="shared" si="5"/>
        <v>2.4111732592021969E-6</v>
      </c>
      <c r="AQ10" s="16">
        <f t="shared" si="5"/>
        <v>3.7535720266604145E-6</v>
      </c>
      <c r="AR10" s="16">
        <f t="shared" si="5"/>
        <v>7.1769300331580525E-4</v>
      </c>
      <c r="AS10" s="16">
        <f t="shared" si="5"/>
        <v>1.6494624376193188E-4</v>
      </c>
      <c r="AT10" s="16">
        <f t="shared" si="5"/>
        <v>8.6597174424758019E-2</v>
      </c>
      <c r="AU10" s="16">
        <f t="shared" si="5"/>
        <v>9.3001708142144207E-5</v>
      </c>
      <c r="AV10" s="16">
        <f t="shared" si="5"/>
        <v>5.5017449844257634E-3</v>
      </c>
      <c r="AW10" s="16">
        <f t="shared" si="5"/>
        <v>1.9386810463207958E-3</v>
      </c>
      <c r="AX10" s="16">
        <f t="shared" si="5"/>
        <v>4.6252470107512472E-5</v>
      </c>
      <c r="AY10" s="16">
        <f t="shared" si="5"/>
        <v>5.7572026660414644E-7</v>
      </c>
      <c r="AZ10" s="16">
        <f t="shared" si="5"/>
        <v>1.3991653548581571E-3</v>
      </c>
      <c r="BA10" s="16">
        <f t="shared" si="5"/>
        <v>3.8497102856951471E-4</v>
      </c>
      <c r="BB10" s="16">
        <f t="shared" si="5"/>
        <v>5.4552835181029568E-5</v>
      </c>
      <c r="BC10" s="16">
        <f t="shared" si="5"/>
        <v>1.7062129483873128E-6</v>
      </c>
      <c r="BD10" s="16">
        <f t="shared" si="5"/>
        <v>1.4230391532973842E-4</v>
      </c>
      <c r="BE10" s="16">
        <f t="shared" si="5"/>
        <v>-6.6709984258297878E-7</v>
      </c>
      <c r="BF10" s="16">
        <f t="shared" si="5"/>
        <v>8.9288006162708906E-10</v>
      </c>
      <c r="BG10" s="16">
        <f t="shared" si="5"/>
        <v>1.6253474897009075E-5</v>
      </c>
      <c r="BH10" s="16">
        <f t="shared" si="5"/>
        <v>4.6033827913052213E-5</v>
      </c>
      <c r="BI10" s="16">
        <f t="shared" si="5"/>
        <v>3.4059952439963825E-5</v>
      </c>
      <c r="BJ10" s="16">
        <f t="shared" si="5"/>
        <v>2.0758147168168266E-6</v>
      </c>
      <c r="BK10" s="16">
        <f t="shared" si="5"/>
        <v>3.4781793214321602E-4</v>
      </c>
      <c r="BL10" s="16">
        <f t="shared" si="5"/>
        <v>1.0229400140670528E-5</v>
      </c>
    </row>
    <row r="11" spans="2:68" x14ac:dyDescent="0.25">
      <c r="B11" s="263"/>
      <c r="C11" s="260"/>
      <c r="D11" s="35" t="s">
        <v>199</v>
      </c>
      <c r="E11" s="13">
        <v>8.8170278326690554E-2</v>
      </c>
      <c r="F11" s="28" t="s">
        <v>106</v>
      </c>
      <c r="G11" s="27" t="s">
        <v>183</v>
      </c>
      <c r="H11" s="28">
        <v>5.2664000000000001E-3</v>
      </c>
      <c r="I11" s="28">
        <v>3.7900999999999999E-4</v>
      </c>
      <c r="J11" s="28">
        <v>0.15459000000000001</v>
      </c>
      <c r="K11" s="28">
        <v>1.9216E-5</v>
      </c>
      <c r="L11" s="28">
        <v>1.5139999999999999E-3</v>
      </c>
      <c r="M11" s="28">
        <v>7.5570999999999998E-7</v>
      </c>
      <c r="N11" s="28">
        <v>5.8104000000000003E-6</v>
      </c>
      <c r="O11" s="28">
        <v>6.2739999999999996E-4</v>
      </c>
      <c r="P11" s="28">
        <v>1.5312E-4</v>
      </c>
      <c r="Q11" s="28">
        <f t="shared" si="6"/>
        <v>0.15728931211</v>
      </c>
      <c r="R11" s="28">
        <v>5.0456999999999998E-4</v>
      </c>
      <c r="S11" s="28">
        <v>5.1227E-3</v>
      </c>
      <c r="T11" s="28">
        <v>3.568E-3</v>
      </c>
      <c r="U11" s="28">
        <v>3.6755000000000003E-5</v>
      </c>
      <c r="V11" s="28">
        <v>4.9444000000000003E-7</v>
      </c>
      <c r="W11" s="28">
        <v>6.3358000000000002E-4</v>
      </c>
      <c r="X11" s="28">
        <v>6.5647999999999998E-4</v>
      </c>
      <c r="Y11" s="28">
        <v>3.4424000000000001E-5</v>
      </c>
      <c r="Z11" s="28">
        <v>1.8923000000000001E-6</v>
      </c>
      <c r="AA11" s="28">
        <v>1.2324999999999999E-4</v>
      </c>
      <c r="AB11" s="28">
        <v>-2.5596999999999998E-6</v>
      </c>
      <c r="AC11" s="28">
        <v>1.7076E-9</v>
      </c>
      <c r="AD11" s="28">
        <v>1.7550999999999998E-5</v>
      </c>
      <c r="AE11" s="28">
        <v>5.4901999999999997E-5</v>
      </c>
      <c r="AF11" s="28">
        <v>3.7626999999999997E-5</v>
      </c>
      <c r="AG11" s="28">
        <v>5.3732000000000005E-7</v>
      </c>
      <c r="AH11" s="28">
        <v>8.1107E-4</v>
      </c>
      <c r="AI11" s="29">
        <v>1.0560000000000001E-5</v>
      </c>
      <c r="AK11" s="16">
        <f t="shared" si="7"/>
        <v>4.6433995377968314E-4</v>
      </c>
      <c r="AL11" s="16">
        <f t="shared" si="5"/>
        <v>3.3417417188598983E-5</v>
      </c>
      <c r="AM11" s="16">
        <f t="shared" si="5"/>
        <v>1.3630243326523094E-2</v>
      </c>
      <c r="AN11" s="16">
        <f t="shared" si="5"/>
        <v>1.6942800683256858E-6</v>
      </c>
      <c r="AO11" s="16">
        <f t="shared" si="5"/>
        <v>1.3348980138660951E-4</v>
      </c>
      <c r="AP11" s="16">
        <f t="shared" si="5"/>
        <v>6.6631161034263314E-8</v>
      </c>
      <c r="AQ11" s="16">
        <f t="shared" si="5"/>
        <v>5.1230458518940277E-7</v>
      </c>
      <c r="AR11" s="16">
        <f t="shared" si="5"/>
        <v>5.5318032622165651E-5</v>
      </c>
      <c r="AS11" s="16">
        <f t="shared" si="5"/>
        <v>1.3500633017382857E-5</v>
      </c>
      <c r="AT11" s="16">
        <f t="shared" si="5"/>
        <v>1.3868242426552399E-2</v>
      </c>
      <c r="AU11" s="16">
        <f t="shared" si="5"/>
        <v>4.4488077335298252E-5</v>
      </c>
      <c r="AV11" s="16">
        <f t="shared" si="5"/>
        <v>4.5166988478413769E-4</v>
      </c>
      <c r="AW11" s="16">
        <f t="shared" si="5"/>
        <v>3.1459155306963189E-4</v>
      </c>
      <c r="AX11" s="16">
        <f t="shared" si="5"/>
        <v>3.2406985798975116E-6</v>
      </c>
      <c r="AY11" s="16">
        <f t="shared" si="5"/>
        <v>4.3594912415848879E-8</v>
      </c>
      <c r="AZ11" s="16">
        <f t="shared" si="5"/>
        <v>5.5862924942224599E-5</v>
      </c>
      <c r="BA11" s="16">
        <f t="shared" si="5"/>
        <v>5.7882024315905815E-5</v>
      </c>
      <c r="BB11" s="16">
        <f t="shared" si="5"/>
        <v>3.0351736611179957E-6</v>
      </c>
      <c r="BC11" s="16">
        <f t="shared" si="5"/>
        <v>1.6684461767759655E-7</v>
      </c>
      <c r="BD11" s="16">
        <f t="shared" si="5"/>
        <v>1.086698680376461E-5</v>
      </c>
      <c r="BE11" s="16">
        <f t="shared" si="5"/>
        <v>-2.2568946143282979E-7</v>
      </c>
      <c r="BF11" s="16">
        <f t="shared" si="5"/>
        <v>1.5055956727065679E-10</v>
      </c>
      <c r="BG11" s="16">
        <f t="shared" si="5"/>
        <v>1.5474765549117457E-6</v>
      </c>
      <c r="BH11" s="16">
        <f t="shared" si="5"/>
        <v>4.840724620691965E-6</v>
      </c>
      <c r="BI11" s="16">
        <f t="shared" si="5"/>
        <v>3.3175830625983851E-6</v>
      </c>
      <c r="BJ11" s="16">
        <f t="shared" si="5"/>
        <v>4.7375653950497372E-8</v>
      </c>
      <c r="BK11" s="16">
        <f t="shared" si="5"/>
        <v>7.1512267642428906E-5</v>
      </c>
      <c r="BL11" s="16">
        <f t="shared" si="5"/>
        <v>9.3107813912985234E-7</v>
      </c>
    </row>
    <row r="12" spans="2:68" x14ac:dyDescent="0.25">
      <c r="B12" s="263"/>
      <c r="C12" s="260"/>
      <c r="D12" s="106" t="s">
        <v>208</v>
      </c>
      <c r="E12" s="13">
        <v>1.9342197809558901E-2</v>
      </c>
      <c r="F12" s="28" t="s">
        <v>106</v>
      </c>
      <c r="G12" s="27" t="s">
        <v>183</v>
      </c>
      <c r="H12" s="28">
        <v>1.1181999999999999E-2</v>
      </c>
      <c r="I12" s="28">
        <v>1.0824999999999999E-3</v>
      </c>
      <c r="J12" s="28">
        <v>0.19670000000000001</v>
      </c>
      <c r="K12" s="28">
        <v>5.5383999999999997E-5</v>
      </c>
      <c r="L12" s="28">
        <v>4.0477999999999998E-3</v>
      </c>
      <c r="M12" s="28">
        <v>2.0779999999999998E-6</v>
      </c>
      <c r="N12" s="28">
        <v>9.3298E-6</v>
      </c>
      <c r="O12" s="28">
        <v>1.9997999999999999E-3</v>
      </c>
      <c r="P12" s="28">
        <v>4.2803999999999997E-4</v>
      </c>
      <c r="Q12" s="28">
        <f t="shared" si="6"/>
        <v>0.20432493179999997</v>
      </c>
      <c r="R12" s="28">
        <v>6.7849000000000002E-4</v>
      </c>
      <c r="S12" s="28">
        <v>1.0677000000000001E-2</v>
      </c>
      <c r="T12" s="28">
        <v>4.5880000000000001E-3</v>
      </c>
      <c r="U12" s="28">
        <v>1.7205999999999999</v>
      </c>
      <c r="V12" s="28">
        <v>1.3386E-5</v>
      </c>
      <c r="W12" s="28">
        <v>1.8188</v>
      </c>
      <c r="X12" s="28">
        <v>8.2355000000000004E-4</v>
      </c>
      <c r="Y12" s="28">
        <v>1.4861</v>
      </c>
      <c r="Z12" s="28">
        <v>3.2621000000000001E-6</v>
      </c>
      <c r="AA12" s="28">
        <v>1.0905999999999999E-3</v>
      </c>
      <c r="AB12" s="28">
        <v>-3.1078999999999999E-6</v>
      </c>
      <c r="AC12" s="28">
        <v>1.8196E-9</v>
      </c>
      <c r="AD12" s="28">
        <v>3.4010999999999997E-5</v>
      </c>
      <c r="AE12" s="28">
        <v>7.7980999999999998E-5</v>
      </c>
      <c r="AF12" s="28">
        <v>5.0872999999999999E-5</v>
      </c>
      <c r="AG12" s="28">
        <v>2.1492000000000001E-6</v>
      </c>
      <c r="AH12" s="28">
        <v>1.3257E-3</v>
      </c>
      <c r="AI12" s="29">
        <v>9.1306000000000004E-4</v>
      </c>
      <c r="AK12" s="16">
        <f t="shared" si="7"/>
        <v>2.1628445590648763E-4</v>
      </c>
      <c r="AL12" s="16">
        <f t="shared" si="5"/>
        <v>2.0937929128847509E-5</v>
      </c>
      <c r="AM12" s="16">
        <f t="shared" si="5"/>
        <v>3.8046103091402359E-3</v>
      </c>
      <c r="AN12" s="16">
        <f t="shared" si="5"/>
        <v>1.0712482834846101E-6</v>
      </c>
      <c r="AO12" s="16">
        <f t="shared" si="5"/>
        <v>7.8293348293532515E-5</v>
      </c>
      <c r="AP12" s="16">
        <f t="shared" si="5"/>
        <v>4.0193087048263394E-8</v>
      </c>
      <c r="AQ12" s="16">
        <f t="shared" si="5"/>
        <v>1.8045883712362264E-7</v>
      </c>
      <c r="AR12" s="16">
        <f t="shared" si="5"/>
        <v>3.8680527179555891E-5</v>
      </c>
      <c r="AS12" s="16">
        <f t="shared" si="5"/>
        <v>8.2792343504035915E-6</v>
      </c>
      <c r="AT12" s="16">
        <f t="shared" si="5"/>
        <v>3.9520932483002313E-3</v>
      </c>
      <c r="AU12" s="16">
        <f t="shared" si="5"/>
        <v>1.3123487791807619E-5</v>
      </c>
      <c r="AV12" s="16">
        <f t="shared" si="5"/>
        <v>2.065166460126604E-4</v>
      </c>
      <c r="AW12" s="16">
        <f t="shared" si="5"/>
        <v>8.8742003550256238E-5</v>
      </c>
      <c r="AX12" s="16">
        <f t="shared" ref="AX12:AX39" si="8">$E12*U12</f>
        <v>3.3280185551127044E-2</v>
      </c>
      <c r="AY12" s="16">
        <f t="shared" ref="AY12:AY39" si="9">$E12*V12</f>
        <v>2.5891465987875544E-7</v>
      </c>
      <c r="AZ12" s="16">
        <f t="shared" ref="AZ12:AZ39" si="10">$E12*W12</f>
        <v>3.5179589376025729E-2</v>
      </c>
      <c r="BA12" s="16">
        <f t="shared" ref="BA12:BA39" si="11">$E12*X12</f>
        <v>1.5929267006062235E-5</v>
      </c>
      <c r="BB12" s="16">
        <f t="shared" ref="BB12:BB39" si="12">$E12*Y12</f>
        <v>2.8744440164785483E-2</v>
      </c>
      <c r="BC12" s="16">
        <f t="shared" ref="BC12:BC39" si="13">$E12*Z12</f>
        <v>6.3096183474562094E-8</v>
      </c>
      <c r="BD12" s="16">
        <f t="shared" ref="BD12:BD39" si="14">$E12*AA12</f>
        <v>2.1094600931104938E-5</v>
      </c>
      <c r="BE12" s="16">
        <f t="shared" ref="BE12:BE39" si="15">$E12*AB12</f>
        <v>-6.0113616572328107E-8</v>
      </c>
      <c r="BF12" s="16">
        <f t="shared" ref="BF12:BF39" si="16">$E12*AC12</f>
        <v>3.5195063134273378E-11</v>
      </c>
      <c r="BG12" s="16">
        <f t="shared" ref="BG12:BG39" si="17">$E12*AD12</f>
        <v>6.5784748970090767E-7</v>
      </c>
      <c r="BH12" s="16">
        <f t="shared" ref="BH12:BH39" si="18">$E12*AE12</f>
        <v>1.5083239273872125E-6</v>
      </c>
      <c r="BI12" s="16">
        <f t="shared" ref="BI12:BI39" si="19">$E12*AF12</f>
        <v>9.8399562916568996E-7</v>
      </c>
      <c r="BJ12" s="16">
        <f t="shared" ref="BJ12:BJ39" si="20">$E12*AG12</f>
        <v>4.157025153230399E-8</v>
      </c>
      <c r="BK12" s="16">
        <f t="shared" ref="BK12:BK39" si="21">$E12*AH12</f>
        <v>2.5641951636132235E-5</v>
      </c>
      <c r="BL12" s="16">
        <f t="shared" ref="BL12:BL39" si="22">$E12*AI12</f>
        <v>1.7660587131995851E-5</v>
      </c>
    </row>
    <row r="13" spans="2:68" x14ac:dyDescent="0.25">
      <c r="B13" s="263"/>
      <c r="C13" s="260" t="s">
        <v>232</v>
      </c>
      <c r="D13" s="106" t="s">
        <v>209</v>
      </c>
      <c r="E13" s="13">
        <v>5.3588773152024656E-2</v>
      </c>
      <c r="F13" s="28" t="s">
        <v>106</v>
      </c>
      <c r="G13" s="27" t="s">
        <v>183</v>
      </c>
      <c r="H13" s="28">
        <v>3.4620999999999999E-2</v>
      </c>
      <c r="I13" s="28">
        <v>2.3400000000000001E-3</v>
      </c>
      <c r="J13" s="28">
        <v>0.52183000000000002</v>
      </c>
      <c r="K13" s="28">
        <v>1.3352000000000001E-4</v>
      </c>
      <c r="L13" s="28">
        <v>8.8204000000000008E-3</v>
      </c>
      <c r="M13" s="28">
        <v>1.4997999999999999E-5</v>
      </c>
      <c r="N13" s="28">
        <v>2.3348000000000001E-5</v>
      </c>
      <c r="O13" s="28">
        <v>4.4641999999999998E-3</v>
      </c>
      <c r="P13" s="28">
        <v>1.026E-3</v>
      </c>
      <c r="Q13" s="28">
        <f t="shared" si="6"/>
        <v>0.53865246600000005</v>
      </c>
      <c r="R13" s="28">
        <v>5.7848999999999997E-4</v>
      </c>
      <c r="S13" s="28">
        <v>3.4222000000000002E-2</v>
      </c>
      <c r="T13" s="28">
        <v>1.2059E-2</v>
      </c>
      <c r="U13" s="28">
        <v>2.877E-4</v>
      </c>
      <c r="V13" s="28">
        <v>3.5810999999999999E-6</v>
      </c>
      <c r="W13" s="28">
        <v>8.7031000000000001E-3</v>
      </c>
      <c r="X13" s="28">
        <v>2.3946000000000002E-3</v>
      </c>
      <c r="Y13" s="28">
        <v>3.3932999999999999E-4</v>
      </c>
      <c r="Z13" s="28">
        <v>1.0613E-5</v>
      </c>
      <c r="AA13" s="28">
        <v>8.8515999999999996E-4</v>
      </c>
      <c r="AB13" s="28">
        <v>-4.1494999999999998E-6</v>
      </c>
      <c r="AC13" s="28">
        <v>5.5539E-9</v>
      </c>
      <c r="AD13" s="28">
        <v>1.011E-4</v>
      </c>
      <c r="AE13" s="28">
        <v>2.8634E-4</v>
      </c>
      <c r="AF13" s="28">
        <v>2.1185999999999999E-4</v>
      </c>
      <c r="AG13" s="28">
        <v>1.2911999999999999E-5</v>
      </c>
      <c r="AH13" s="28">
        <v>2.1635000000000001E-3</v>
      </c>
      <c r="AI13" s="29">
        <v>6.3628999999999997E-5</v>
      </c>
      <c r="AK13" s="16">
        <f t="shared" si="7"/>
        <v>1.8552969152962455E-3</v>
      </c>
      <c r="AL13" s="16">
        <f t="shared" ref="AL13:AL39" si="23">$E13*I13</f>
        <v>1.2539772917573769E-4</v>
      </c>
      <c r="AM13" s="16">
        <f t="shared" ref="AM13:AM39" si="24">$E13*J13</f>
        <v>2.7964229493921026E-2</v>
      </c>
      <c r="AN13" s="16">
        <f t="shared" ref="AN13:AN39" si="25">$E13*K13</f>
        <v>7.1551729912583329E-6</v>
      </c>
      <c r="AO13" s="16">
        <f t="shared" ref="AO13:AO39" si="26">$E13*L13</f>
        <v>4.7267441471011832E-4</v>
      </c>
      <c r="AP13" s="16">
        <f t="shared" ref="AP13:AP39" si="27">$E13*M13</f>
        <v>8.0372441973406574E-7</v>
      </c>
      <c r="AQ13" s="16">
        <f t="shared" ref="AQ13:AQ39" si="28">$E13*N13</f>
        <v>1.2511906755534718E-6</v>
      </c>
      <c r="AR13" s="16">
        <f t="shared" ref="AR13:AR39" si="29">$E13*O13</f>
        <v>2.3923100110526845E-4</v>
      </c>
      <c r="AS13" s="16">
        <f t="shared" ref="AS13:AS39" si="30">$E13*P13</f>
        <v>5.4982081253977298E-5</v>
      </c>
      <c r="AT13" s="16">
        <f t="shared" ref="AT13:AT39" si="31">$E13*Q13</f>
        <v>2.8865724808252675E-2</v>
      </c>
      <c r="AU13" s="16">
        <f t="shared" ref="AU13:AU39" si="32">$E13*R13</f>
        <v>3.1000569380714745E-5</v>
      </c>
      <c r="AV13" s="16">
        <f t="shared" ref="AV13:AV39" si="33">$E13*S13</f>
        <v>1.833914994808588E-3</v>
      </c>
      <c r="AW13" s="16">
        <f t="shared" ref="AW13:AW39" si="34">$E13*T13</f>
        <v>6.4622701544026536E-4</v>
      </c>
      <c r="AX13" s="16">
        <f t="shared" si="8"/>
        <v>1.5417490035837495E-5</v>
      </c>
      <c r="AY13" s="16">
        <f t="shared" si="9"/>
        <v>1.919067555347155E-7</v>
      </c>
      <c r="AZ13" s="16">
        <f t="shared" si="10"/>
        <v>4.663884516193858E-4</v>
      </c>
      <c r="BA13" s="16">
        <f t="shared" si="11"/>
        <v>1.2832367618983826E-4</v>
      </c>
      <c r="BB13" s="16">
        <f t="shared" si="12"/>
        <v>1.8184278393676527E-5</v>
      </c>
      <c r="BC13" s="16">
        <f t="shared" si="13"/>
        <v>5.6873764946243768E-7</v>
      </c>
      <c r="BD13" s="16">
        <f t="shared" si="14"/>
        <v>4.743463844324614E-5</v>
      </c>
      <c r="BE13" s="16">
        <f t="shared" si="15"/>
        <v>-2.223666141943263E-7</v>
      </c>
      <c r="BF13" s="16">
        <f t="shared" si="16"/>
        <v>2.9762668720902972E-10</v>
      </c>
      <c r="BG13" s="16">
        <f t="shared" si="17"/>
        <v>5.4178249656696929E-6</v>
      </c>
      <c r="BH13" s="16">
        <f t="shared" si="18"/>
        <v>1.5344609304350739E-5</v>
      </c>
      <c r="BI13" s="16">
        <f t="shared" si="19"/>
        <v>1.1353317479987943E-5</v>
      </c>
      <c r="BJ13" s="16">
        <f t="shared" si="20"/>
        <v>6.9193823893894238E-7</v>
      </c>
      <c r="BK13" s="16">
        <f t="shared" si="21"/>
        <v>1.1593931071440535E-4</v>
      </c>
      <c r="BL13" s="16">
        <f t="shared" si="22"/>
        <v>3.4098000468901765E-6</v>
      </c>
    </row>
    <row r="14" spans="2:68" x14ac:dyDescent="0.25">
      <c r="B14" s="263"/>
      <c r="C14" s="260"/>
      <c r="D14" s="106" t="s">
        <v>201</v>
      </c>
      <c r="E14" s="13">
        <v>5.3588773152024663E-3</v>
      </c>
      <c r="F14" s="28" t="s">
        <v>106</v>
      </c>
      <c r="G14" s="27" t="s">
        <v>183</v>
      </c>
      <c r="H14" s="28">
        <v>1.4487999999999999E-2</v>
      </c>
      <c r="I14" s="28">
        <v>1.4021999999999999E-3</v>
      </c>
      <c r="J14" s="28">
        <v>0.27433999999999997</v>
      </c>
      <c r="K14" s="28">
        <v>6.9101000000000001E-5</v>
      </c>
      <c r="L14" s="28">
        <v>5.1897999999999996E-3</v>
      </c>
      <c r="M14" s="28">
        <v>2.8420999999999999E-6</v>
      </c>
      <c r="N14" s="28">
        <v>1.2396E-5</v>
      </c>
      <c r="O14" s="28">
        <v>2.4431000000000001E-3</v>
      </c>
      <c r="P14" s="28">
        <v>5.3609000000000003E-4</v>
      </c>
      <c r="Q14" s="28">
        <f t="shared" si="6"/>
        <v>0.28399552910000003</v>
      </c>
      <c r="R14" s="28">
        <v>9.6093000000000003E-4</v>
      </c>
      <c r="S14" s="28">
        <v>1.3917000000000001E-2</v>
      </c>
      <c r="T14" s="28">
        <v>6.3923000000000001E-3</v>
      </c>
      <c r="U14" s="28">
        <v>1.4954E-3</v>
      </c>
      <c r="V14" s="28">
        <v>2.8080999999999998E-6</v>
      </c>
      <c r="W14" s="28">
        <v>1.0895E-2</v>
      </c>
      <c r="X14" s="28">
        <v>1.1406000000000001E-3</v>
      </c>
      <c r="Y14" s="28">
        <v>1.2934000000000001E-3</v>
      </c>
      <c r="Z14" s="28">
        <v>4.1115999999999997E-6</v>
      </c>
      <c r="AA14" s="28">
        <v>1.1632000000000001E-3</v>
      </c>
      <c r="AB14" s="28">
        <v>-4.1744999999999996E-6</v>
      </c>
      <c r="AC14" s="28">
        <v>2.5924999999999999E-9</v>
      </c>
      <c r="AD14" s="28">
        <v>4.3065999999999997E-5</v>
      </c>
      <c r="AE14" s="28">
        <v>1.0456E-4</v>
      </c>
      <c r="AF14" s="28">
        <v>6.9303999999999999E-5</v>
      </c>
      <c r="AG14" s="28">
        <v>3.0651000000000001E-6</v>
      </c>
      <c r="AH14" s="28">
        <v>1.9548999999999999E-3</v>
      </c>
      <c r="AI14" s="29">
        <v>8.8692999999999997E-4</v>
      </c>
      <c r="AK14" s="16">
        <f t="shared" si="7"/>
        <v>7.763941454265333E-5</v>
      </c>
      <c r="AL14" s="16">
        <f t="shared" si="23"/>
        <v>7.5142177713768977E-6</v>
      </c>
      <c r="AM14" s="16">
        <f t="shared" si="24"/>
        <v>1.4701544026526445E-3</v>
      </c>
      <c r="AN14" s="16">
        <f t="shared" si="25"/>
        <v>3.7030378135780565E-7</v>
      </c>
      <c r="AO14" s="16">
        <f t="shared" si="26"/>
        <v>2.7811501490437757E-5</v>
      </c>
      <c r="AP14" s="16">
        <f t="shared" si="27"/>
        <v>1.5230465217536928E-8</v>
      </c>
      <c r="AQ14" s="16">
        <f t="shared" si="28"/>
        <v>6.6428643199249765E-8</v>
      </c>
      <c r="AR14" s="16">
        <f t="shared" si="29"/>
        <v>1.3092273168771146E-5</v>
      </c>
      <c r="AS14" s="16">
        <f t="shared" si="30"/>
        <v>2.8728405399068903E-6</v>
      </c>
      <c r="AT14" s="16">
        <f t="shared" si="31"/>
        <v>1.521897198512912E-3</v>
      </c>
      <c r="AU14" s="16">
        <f t="shared" si="32"/>
        <v>5.1495059784975064E-6</v>
      </c>
      <c r="AV14" s="16">
        <f t="shared" si="33"/>
        <v>7.4579495595672728E-5</v>
      </c>
      <c r="AW14" s="16">
        <f t="shared" si="34"/>
        <v>3.4255551461968724E-5</v>
      </c>
      <c r="AX14" s="16">
        <f t="shared" si="8"/>
        <v>8.0136651371537688E-6</v>
      </c>
      <c r="AY14" s="16">
        <f t="shared" si="9"/>
        <v>1.5048263388820043E-8</v>
      </c>
      <c r="AZ14" s="16">
        <f t="shared" si="10"/>
        <v>5.838496834913087E-5</v>
      </c>
      <c r="BA14" s="16">
        <f t="shared" si="11"/>
        <v>6.1123354657199332E-6</v>
      </c>
      <c r="BB14" s="16">
        <f t="shared" si="12"/>
        <v>6.9311719194828707E-6</v>
      </c>
      <c r="BC14" s="16">
        <f t="shared" si="13"/>
        <v>2.2033559969186459E-8</v>
      </c>
      <c r="BD14" s="16">
        <f t="shared" si="14"/>
        <v>6.2334460930435092E-6</v>
      </c>
      <c r="BE14" s="16">
        <f t="shared" si="15"/>
        <v>-2.2370633352312695E-8</v>
      </c>
      <c r="BF14" s="16">
        <f t="shared" si="16"/>
        <v>1.3892889439662393E-11</v>
      </c>
      <c r="BG14" s="16">
        <f t="shared" si="17"/>
        <v>2.307854104565094E-7</v>
      </c>
      <c r="BH14" s="16">
        <f t="shared" si="18"/>
        <v>5.6032421207756991E-7</v>
      </c>
      <c r="BI14" s="16">
        <f t="shared" si="19"/>
        <v>3.7139163345279172E-7</v>
      </c>
      <c r="BJ14" s="16">
        <f t="shared" si="20"/>
        <v>1.6425494858827079E-8</v>
      </c>
      <c r="BK14" s="16">
        <f t="shared" si="21"/>
        <v>1.04760692634893E-5</v>
      </c>
      <c r="BL14" s="16">
        <f t="shared" si="22"/>
        <v>4.7529490571725231E-6</v>
      </c>
    </row>
    <row r="15" spans="2:68" x14ac:dyDescent="0.25">
      <c r="B15" s="263"/>
      <c r="C15" s="260"/>
      <c r="D15" s="106" t="s">
        <v>202</v>
      </c>
      <c r="E15" s="13">
        <v>2.84690357370131E-2</v>
      </c>
      <c r="F15" s="28" t="s">
        <v>106</v>
      </c>
      <c r="G15" s="27" t="s">
        <v>183</v>
      </c>
      <c r="H15" s="28">
        <v>3.9362000000000001E-2</v>
      </c>
      <c r="I15" s="28">
        <v>1.235E-2</v>
      </c>
      <c r="J15" s="28">
        <v>0.55579999999999996</v>
      </c>
      <c r="K15" s="28">
        <v>5.9312000000000004E-4</v>
      </c>
      <c r="L15" s="28">
        <v>3.5362999999999999E-2</v>
      </c>
      <c r="M15" s="28">
        <v>1.0563E-5</v>
      </c>
      <c r="N15" s="28">
        <v>9.5573000000000001E-4</v>
      </c>
      <c r="O15" s="28">
        <v>1.7798999999999999E-2</v>
      </c>
      <c r="P15" s="28">
        <v>4.0292000000000001E-3</v>
      </c>
      <c r="Q15" s="28">
        <f t="shared" si="6"/>
        <v>0.626900613</v>
      </c>
      <c r="R15" s="28">
        <v>3.0856E-3</v>
      </c>
      <c r="S15" s="28">
        <v>3.7811999999999998E-2</v>
      </c>
      <c r="T15" s="28">
        <v>1.3289E-2</v>
      </c>
      <c r="U15" s="28">
        <v>1.7964999999999999E-3</v>
      </c>
      <c r="V15" s="28">
        <v>1.1956E-5</v>
      </c>
      <c r="W15" s="28">
        <v>1.7255E-2</v>
      </c>
      <c r="X15" s="28">
        <v>3.2507E-3</v>
      </c>
      <c r="Y15" s="28">
        <v>1.5497E-3</v>
      </c>
      <c r="Z15" s="28">
        <v>9.5208000000000004E-6</v>
      </c>
      <c r="AA15" s="28">
        <v>6.1841999999999995E-4</v>
      </c>
      <c r="AB15" s="28">
        <v>-5.8657999999999998E-6</v>
      </c>
      <c r="AC15" s="28">
        <v>3.4321000000000002E-9</v>
      </c>
      <c r="AD15" s="28">
        <v>9.9166999999999994E-5</v>
      </c>
      <c r="AE15" s="28">
        <v>2.0555000000000001E-4</v>
      </c>
      <c r="AF15" s="28">
        <v>1.9724E-4</v>
      </c>
      <c r="AG15" s="28">
        <v>2.1411999999999999E-6</v>
      </c>
      <c r="AH15" s="28">
        <v>3.4236000000000002E-3</v>
      </c>
      <c r="AI15" s="29">
        <v>1.6767999999999999E-4</v>
      </c>
      <c r="AK15" s="16">
        <f t="shared" si="7"/>
        <v>1.1205981846803097E-3</v>
      </c>
      <c r="AL15" s="16">
        <f t="shared" si="23"/>
        <v>3.5159259135211177E-4</v>
      </c>
      <c r="AM15" s="16">
        <f t="shared" si="24"/>
        <v>1.582309006263188E-2</v>
      </c>
      <c r="AN15" s="16">
        <f t="shared" si="25"/>
        <v>1.6885554476337212E-5</v>
      </c>
      <c r="AO15" s="16">
        <f t="shared" si="26"/>
        <v>1.0067505107679941E-3</v>
      </c>
      <c r="AP15" s="16">
        <f t="shared" si="27"/>
        <v>3.007184244900694E-7</v>
      </c>
      <c r="AQ15" s="16">
        <f t="shared" si="28"/>
        <v>2.7208711524935529E-5</v>
      </c>
      <c r="AR15" s="16">
        <f t="shared" si="29"/>
        <v>5.0672036708309613E-4</v>
      </c>
      <c r="AS15" s="16">
        <f t="shared" si="30"/>
        <v>1.1470743879157318E-4</v>
      </c>
      <c r="AT15" s="16">
        <f t="shared" si="31"/>
        <v>1.7847255955052418E-2</v>
      </c>
      <c r="AU15" s="16">
        <f t="shared" si="32"/>
        <v>8.7844056670127624E-5</v>
      </c>
      <c r="AV15" s="16">
        <f t="shared" si="33"/>
        <v>1.0764711792879394E-3</v>
      </c>
      <c r="AW15" s="16">
        <f t="shared" si="34"/>
        <v>3.783250159091671E-4</v>
      </c>
      <c r="AX15" s="16">
        <f t="shared" si="8"/>
        <v>5.1144622701544032E-5</v>
      </c>
      <c r="AY15" s="16">
        <f t="shared" si="9"/>
        <v>3.4037579127172866E-7</v>
      </c>
      <c r="AZ15" s="16">
        <f t="shared" si="10"/>
        <v>4.9123321164216104E-4</v>
      </c>
      <c r="BA15" s="16">
        <f t="shared" si="11"/>
        <v>9.2544294470308489E-5</v>
      </c>
      <c r="BB15" s="16">
        <f t="shared" si="12"/>
        <v>4.4118464681649198E-5</v>
      </c>
      <c r="BC15" s="16">
        <f t="shared" si="13"/>
        <v>2.7104799544495431E-7</v>
      </c>
      <c r="BD15" s="16">
        <f t="shared" si="14"/>
        <v>1.7605821080483638E-5</v>
      </c>
      <c r="BE15" s="16">
        <f t="shared" si="15"/>
        <v>-1.6699366982617144E-7</v>
      </c>
      <c r="BF15" s="16">
        <f t="shared" si="16"/>
        <v>9.7708577553002671E-11</v>
      </c>
      <c r="BG15" s="16">
        <f t="shared" si="17"/>
        <v>2.8231888669323778E-6</v>
      </c>
      <c r="BH15" s="16">
        <f t="shared" si="18"/>
        <v>5.8518102957430429E-6</v>
      </c>
      <c r="BI15" s="16">
        <f t="shared" si="19"/>
        <v>5.6152326087684636E-6</v>
      </c>
      <c r="BJ15" s="16">
        <f t="shared" si="20"/>
        <v>6.0957899320092454E-8</v>
      </c>
      <c r="BK15" s="16">
        <f t="shared" si="21"/>
        <v>9.7466590749238052E-5</v>
      </c>
      <c r="BL15" s="16">
        <f t="shared" si="22"/>
        <v>4.7736879123823565E-6</v>
      </c>
    </row>
    <row r="16" spans="2:68" x14ac:dyDescent="0.25">
      <c r="B16" s="263"/>
      <c r="C16" s="260" t="s">
        <v>75</v>
      </c>
      <c r="D16" s="95" t="s">
        <v>213</v>
      </c>
      <c r="E16" s="13">
        <v>0.29875741032253744</v>
      </c>
      <c r="F16" s="28" t="s">
        <v>106</v>
      </c>
      <c r="G16" s="27" t="s">
        <v>183</v>
      </c>
      <c r="H16" s="28">
        <v>2.7428999999999999E-2</v>
      </c>
      <c r="I16" s="28">
        <v>1.7606E-3</v>
      </c>
      <c r="J16" s="28">
        <v>0.40122000000000002</v>
      </c>
      <c r="K16" s="28">
        <v>1.5535000000000001E-4</v>
      </c>
      <c r="L16" s="28">
        <v>1.2843E-2</v>
      </c>
      <c r="M16" s="28">
        <v>1.3546999999999999E-5</v>
      </c>
      <c r="N16" s="28">
        <v>3.6757000000000001E-4</v>
      </c>
      <c r="O16" s="28">
        <v>5.4171999999999996E-3</v>
      </c>
      <c r="P16" s="28">
        <v>1.4764999999999999E-3</v>
      </c>
      <c r="Q16" s="28">
        <f t="shared" si="6"/>
        <v>0.423253767</v>
      </c>
      <c r="R16" s="28">
        <v>3.4236E-4</v>
      </c>
      <c r="S16" s="28">
        <v>2.6598E-2</v>
      </c>
      <c r="T16" s="28">
        <v>9.3039999999999998E-3</v>
      </c>
      <c r="U16" s="28">
        <v>8.3456999999999997E-4</v>
      </c>
      <c r="V16" s="28">
        <v>4.1953000000000003E-6</v>
      </c>
      <c r="W16" s="28">
        <v>5.1789000000000002E-3</v>
      </c>
      <c r="X16" s="28">
        <v>2.1556000000000001E-3</v>
      </c>
      <c r="Y16" s="28">
        <v>7.4189000000000004E-4</v>
      </c>
      <c r="Z16" s="28">
        <v>5.6551000000000003E-6</v>
      </c>
      <c r="AA16" s="28">
        <v>1.6737E-3</v>
      </c>
      <c r="AB16" s="28">
        <v>-1.6637000000000001E-6</v>
      </c>
      <c r="AC16" s="28">
        <v>4.1947E-9</v>
      </c>
      <c r="AD16" s="28">
        <v>5.4897E-5</v>
      </c>
      <c r="AE16" s="28">
        <v>1.6055999999999999E-4</v>
      </c>
      <c r="AF16" s="28">
        <v>1.0731E-4</v>
      </c>
      <c r="AG16" s="28">
        <v>3.1916000000000001E-6</v>
      </c>
      <c r="AH16" s="28">
        <v>8.5550999999999997E-4</v>
      </c>
      <c r="AI16" s="29">
        <v>6.3219000000000006E-5</v>
      </c>
      <c r="AK16" s="16">
        <f t="shared" si="7"/>
        <v>8.1946170077368784E-3</v>
      </c>
      <c r="AL16" s="16">
        <f t="shared" si="23"/>
        <v>5.2599229661385942E-4</v>
      </c>
      <c r="AM16" s="16">
        <f t="shared" si="24"/>
        <v>0.11986744816960848</v>
      </c>
      <c r="AN16" s="16">
        <f t="shared" si="25"/>
        <v>4.6411963693606191E-5</v>
      </c>
      <c r="AO16" s="16">
        <f t="shared" si="26"/>
        <v>3.8369414207723484E-3</v>
      </c>
      <c r="AP16" s="16">
        <f t="shared" si="27"/>
        <v>4.0472666376394144E-6</v>
      </c>
      <c r="AQ16" s="16">
        <f t="shared" si="28"/>
        <v>1.0981426131225509E-4</v>
      </c>
      <c r="AR16" s="16">
        <f t="shared" si="29"/>
        <v>1.6184286431992498E-3</v>
      </c>
      <c r="AS16" s="16">
        <f t="shared" si="30"/>
        <v>4.411153163412265E-4</v>
      </c>
      <c r="AT16" s="16">
        <f t="shared" si="31"/>
        <v>0.12645019933817866</v>
      </c>
      <c r="AU16" s="16">
        <f t="shared" si="32"/>
        <v>1.0228258699802391E-4</v>
      </c>
      <c r="AV16" s="16">
        <f t="shared" si="33"/>
        <v>7.9463495997588503E-3</v>
      </c>
      <c r="AW16" s="16">
        <f t="shared" si="34"/>
        <v>2.7796389456408882E-3</v>
      </c>
      <c r="AX16" s="16">
        <f t="shared" si="8"/>
        <v>2.4933397193288006E-4</v>
      </c>
      <c r="AY16" s="16">
        <f t="shared" si="9"/>
        <v>1.2533769635261414E-6</v>
      </c>
      <c r="AZ16" s="16">
        <f t="shared" si="10"/>
        <v>1.5472347523193893E-3</v>
      </c>
      <c r="BA16" s="16">
        <f t="shared" si="11"/>
        <v>6.4400147369126173E-4</v>
      </c>
      <c r="BB16" s="16">
        <f t="shared" si="12"/>
        <v>2.2164513514418731E-4</v>
      </c>
      <c r="BC16" s="16">
        <f t="shared" si="13"/>
        <v>1.6895030311149815E-6</v>
      </c>
      <c r="BD16" s="16">
        <f t="shared" si="14"/>
        <v>5.0003027765683095E-4</v>
      </c>
      <c r="BE16" s="16">
        <f t="shared" si="15"/>
        <v>-4.9704270355360556E-7</v>
      </c>
      <c r="BF16" s="16">
        <f t="shared" si="16"/>
        <v>1.2531977090799478E-9</v>
      </c>
      <c r="BG16" s="16">
        <f t="shared" si="17"/>
        <v>1.6400885554476339E-5</v>
      </c>
      <c r="BH16" s="16">
        <f t="shared" si="18"/>
        <v>4.7968489801386609E-5</v>
      </c>
      <c r="BI16" s="16">
        <f t="shared" si="19"/>
        <v>3.2059657701711492E-5</v>
      </c>
      <c r="BJ16" s="16">
        <f t="shared" si="20"/>
        <v>9.5351415078541049E-7</v>
      </c>
      <c r="BK16" s="16">
        <f t="shared" si="21"/>
        <v>2.55589952105034E-4</v>
      </c>
      <c r="BL16" s="16">
        <f t="shared" si="22"/>
        <v>1.8887144723180496E-5</v>
      </c>
    </row>
    <row r="17" spans="2:64" x14ac:dyDescent="0.25">
      <c r="B17" s="263"/>
      <c r="C17" s="260"/>
      <c r="D17" s="106" t="s">
        <v>211</v>
      </c>
      <c r="E17" s="13">
        <v>0.22632883410925411</v>
      </c>
      <c r="F17" s="28" t="s">
        <v>106</v>
      </c>
      <c r="G17" s="27" t="s">
        <v>183</v>
      </c>
      <c r="H17" s="28">
        <v>9.9915000000000004E-2</v>
      </c>
      <c r="I17" s="28">
        <v>1.1555000000000001E-3</v>
      </c>
      <c r="J17" s="28">
        <v>0.26450000000000001</v>
      </c>
      <c r="K17" s="28">
        <v>9.5084E-5</v>
      </c>
      <c r="L17" s="28">
        <v>6.8847999999999999E-3</v>
      </c>
      <c r="M17" s="28">
        <v>1.9715999999999999E-6</v>
      </c>
      <c r="N17" s="28">
        <v>8.9351999999999994E-5</v>
      </c>
      <c r="O17" s="28">
        <v>3.0322000000000001E-3</v>
      </c>
      <c r="P17" s="28">
        <v>7.3178000000000002E-4</v>
      </c>
      <c r="Q17" s="28">
        <f t="shared" si="6"/>
        <v>0.27649068760000001</v>
      </c>
      <c r="R17" s="28">
        <v>1.1275E-3</v>
      </c>
      <c r="S17" s="28">
        <v>8.8238999999999998E-2</v>
      </c>
      <c r="T17" s="28">
        <v>6.1637999999999997E-3</v>
      </c>
      <c r="U17" s="28">
        <v>5.2976000000000002E-2</v>
      </c>
      <c r="V17" s="28">
        <v>1.8184E-6</v>
      </c>
      <c r="W17" s="28">
        <v>0.33023000000000002</v>
      </c>
      <c r="X17" s="28">
        <v>1.2527E-3</v>
      </c>
      <c r="Y17" s="28">
        <v>4.5053999999999997E-2</v>
      </c>
      <c r="Z17" s="28">
        <v>6.0895999999999997E-3</v>
      </c>
      <c r="AA17" s="28">
        <v>3.5170999999999998E-4</v>
      </c>
      <c r="AB17" s="28">
        <v>-4.1250999999999997E-6</v>
      </c>
      <c r="AC17" s="28">
        <v>2.582E-9</v>
      </c>
      <c r="AD17" s="28">
        <v>3.5935000000000001E-5</v>
      </c>
      <c r="AE17" s="28">
        <v>1.2436000000000001E-4</v>
      </c>
      <c r="AF17" s="28">
        <v>7.2781000000000007E-5</v>
      </c>
      <c r="AG17" s="28">
        <v>4.0000999999999999E-5</v>
      </c>
      <c r="AH17" s="28">
        <v>3.1454E-3</v>
      </c>
      <c r="AI17" s="29">
        <v>3.6795000000000003E-5</v>
      </c>
      <c r="AK17" s="16">
        <f t="shared" si="7"/>
        <v>2.2613645460026126E-2</v>
      </c>
      <c r="AL17" s="16">
        <f t="shared" si="23"/>
        <v>2.6152296781324316E-4</v>
      </c>
      <c r="AM17" s="16">
        <f t="shared" si="24"/>
        <v>5.9863976621897713E-2</v>
      </c>
      <c r="AN17" s="16">
        <f t="shared" si="25"/>
        <v>2.1520250862444317E-5</v>
      </c>
      <c r="AO17" s="16">
        <f t="shared" si="26"/>
        <v>1.5582287570753927E-3</v>
      </c>
      <c r="AP17" s="16">
        <f t="shared" si="27"/>
        <v>4.4622992932980541E-7</v>
      </c>
      <c r="AQ17" s="16">
        <f t="shared" si="28"/>
        <v>2.0222933985330073E-5</v>
      </c>
      <c r="AR17" s="16">
        <f t="shared" si="29"/>
        <v>6.8627429078608039E-4</v>
      </c>
      <c r="AS17" s="16">
        <f t="shared" si="30"/>
        <v>1.6562291422446998E-4</v>
      </c>
      <c r="AT17" s="16">
        <f t="shared" si="31"/>
        <v>6.2577814966574011E-2</v>
      </c>
      <c r="AU17" s="16">
        <f t="shared" si="32"/>
        <v>2.55185760458184E-4</v>
      </c>
      <c r="AV17" s="16">
        <f t="shared" si="33"/>
        <v>1.9971029992966474E-2</v>
      </c>
      <c r="AW17" s="16">
        <f t="shared" si="34"/>
        <v>1.3950456676826205E-3</v>
      </c>
      <c r="AX17" s="16">
        <f t="shared" si="8"/>
        <v>1.1989996315771847E-2</v>
      </c>
      <c r="AY17" s="16">
        <f t="shared" si="9"/>
        <v>4.1155635194426768E-7</v>
      </c>
      <c r="AZ17" s="16">
        <f t="shared" si="10"/>
        <v>7.4740570887898997E-2</v>
      </c>
      <c r="BA17" s="16">
        <f t="shared" si="11"/>
        <v>2.8352213048866265E-4</v>
      </c>
      <c r="BB17" s="16">
        <f t="shared" si="12"/>
        <v>1.0197019291958334E-2</v>
      </c>
      <c r="BC17" s="16">
        <f t="shared" si="13"/>
        <v>1.3782520681917137E-3</v>
      </c>
      <c r="BD17" s="16">
        <f t="shared" si="14"/>
        <v>7.9602114244565754E-5</v>
      </c>
      <c r="BE17" s="16">
        <f t="shared" si="15"/>
        <v>-9.3362907358408412E-7</v>
      </c>
      <c r="BF17" s="16">
        <f t="shared" si="16"/>
        <v>5.8438104967009414E-10</v>
      </c>
      <c r="BG17" s="16">
        <f t="shared" si="17"/>
        <v>8.133126653716047E-6</v>
      </c>
      <c r="BH17" s="16">
        <f t="shared" si="18"/>
        <v>2.8146253809826842E-5</v>
      </c>
      <c r="BI17" s="16">
        <f t="shared" si="19"/>
        <v>1.6472438875305625E-5</v>
      </c>
      <c r="BJ17" s="16">
        <f t="shared" si="20"/>
        <v>9.0533796932042742E-6</v>
      </c>
      <c r="BK17" s="16">
        <f t="shared" si="21"/>
        <v>7.1189471480724792E-4</v>
      </c>
      <c r="BL17" s="16">
        <f t="shared" si="22"/>
        <v>8.327769451050005E-6</v>
      </c>
    </row>
    <row r="18" spans="2:64" x14ac:dyDescent="0.25">
      <c r="B18" s="263"/>
      <c r="C18" s="260"/>
      <c r="D18" s="95" t="s">
        <v>212</v>
      </c>
      <c r="E18" s="13">
        <v>4.7141373882171683E-2</v>
      </c>
      <c r="F18" s="28" t="s">
        <v>106</v>
      </c>
      <c r="G18" s="27" t="s">
        <v>183</v>
      </c>
      <c r="H18" s="28">
        <v>2.3769999999999998</v>
      </c>
      <c r="I18" s="28">
        <v>5.9690999999999998E-3</v>
      </c>
      <c r="J18" s="28">
        <v>0.46177000000000001</v>
      </c>
      <c r="K18" s="28">
        <v>2.3221E-4</v>
      </c>
      <c r="L18" s="28">
        <v>1.4441000000000001E-2</v>
      </c>
      <c r="M18" s="28">
        <v>3.9694999999999999E-6</v>
      </c>
      <c r="N18" s="28">
        <v>3.1139000000000001E-5</v>
      </c>
      <c r="O18" s="28">
        <v>9.2554000000000004E-3</v>
      </c>
      <c r="P18" s="28">
        <v>1.7403E-3</v>
      </c>
      <c r="Q18" s="28">
        <f t="shared" si="6"/>
        <v>0.4934431185</v>
      </c>
      <c r="R18" s="28">
        <v>1.2501000000000001E-3</v>
      </c>
      <c r="S18" s="28">
        <v>2.3791000000000002</v>
      </c>
      <c r="T18" s="28">
        <v>1.2158E-2</v>
      </c>
      <c r="U18" s="28">
        <v>5.135E-2</v>
      </c>
      <c r="V18" s="28">
        <v>7.1960000000000002E-6</v>
      </c>
      <c r="W18" s="28">
        <v>0.28164</v>
      </c>
      <c r="X18" s="28">
        <v>1.3653999999999999E-3</v>
      </c>
      <c r="Y18" s="28">
        <v>4.4912000000000001E-2</v>
      </c>
      <c r="Z18" s="28">
        <v>9.7535999999999996E-5</v>
      </c>
      <c r="AA18" s="28">
        <v>1.4557000000000001E-3</v>
      </c>
      <c r="AB18" s="28">
        <v>-2.2703000000000001E-6</v>
      </c>
      <c r="AC18" s="28">
        <v>4.5960000000000003E-9</v>
      </c>
      <c r="AD18" s="28">
        <v>1.7011000000000001E-4</v>
      </c>
      <c r="AE18" s="28">
        <v>6.3942000000000003E-4</v>
      </c>
      <c r="AF18" s="28">
        <v>4.1502999999999999E-4</v>
      </c>
      <c r="AG18" s="28">
        <v>8.6718999999999994E-5</v>
      </c>
      <c r="AH18" s="28">
        <v>4.4337000000000001E-4</v>
      </c>
      <c r="AI18" s="29">
        <v>2.1935000000000001E-3</v>
      </c>
      <c r="AK18" s="16">
        <f t="shared" si="7"/>
        <v>0.11205504571792207</v>
      </c>
      <c r="AL18" s="16">
        <f t="shared" si="23"/>
        <v>2.8139157484007097E-4</v>
      </c>
      <c r="AM18" s="16">
        <f t="shared" si="24"/>
        <v>2.1768472217570421E-2</v>
      </c>
      <c r="AN18" s="16">
        <f t="shared" si="25"/>
        <v>1.0946698429179086E-5</v>
      </c>
      <c r="AO18" s="16">
        <f t="shared" si="26"/>
        <v>6.807685802324413E-4</v>
      </c>
      <c r="AP18" s="16">
        <f t="shared" si="27"/>
        <v>1.8712768362528048E-7</v>
      </c>
      <c r="AQ18" s="16">
        <f t="shared" si="28"/>
        <v>1.4679352413169441E-6</v>
      </c>
      <c r="AR18" s="16">
        <f t="shared" si="29"/>
        <v>4.3631227182905184E-4</v>
      </c>
      <c r="AS18" s="16">
        <f t="shared" si="30"/>
        <v>8.204013296714338E-5</v>
      </c>
      <c r="AT18" s="16">
        <f t="shared" si="31"/>
        <v>2.3261586538793247E-2</v>
      </c>
      <c r="AU18" s="16">
        <f t="shared" si="32"/>
        <v>5.8931431490102826E-5</v>
      </c>
      <c r="AV18" s="16">
        <f t="shared" si="33"/>
        <v>0.11215404260307466</v>
      </c>
      <c r="AW18" s="16">
        <f t="shared" si="34"/>
        <v>5.7314482365944332E-4</v>
      </c>
      <c r="AX18" s="16">
        <f t="shared" si="8"/>
        <v>2.4207095488495158E-3</v>
      </c>
      <c r="AY18" s="16">
        <f t="shared" si="9"/>
        <v>3.3922932645610743E-7</v>
      </c>
      <c r="AZ18" s="16">
        <f t="shared" si="10"/>
        <v>1.3276896540174834E-2</v>
      </c>
      <c r="BA18" s="16">
        <f t="shared" si="11"/>
        <v>6.4366831898717217E-5</v>
      </c>
      <c r="BB18" s="16">
        <f t="shared" si="12"/>
        <v>2.1172133837960945E-3</v>
      </c>
      <c r="BC18" s="16">
        <f t="shared" si="13"/>
        <v>4.5979810429714971E-6</v>
      </c>
      <c r="BD18" s="16">
        <f t="shared" si="14"/>
        <v>6.8623697960277326E-5</v>
      </c>
      <c r="BE18" s="16">
        <f t="shared" si="15"/>
        <v>-1.0702506112469437E-7</v>
      </c>
      <c r="BF18" s="16">
        <f t="shared" si="16"/>
        <v>2.1666175436246108E-10</v>
      </c>
      <c r="BG18" s="16">
        <f t="shared" si="17"/>
        <v>8.0192191110962261E-6</v>
      </c>
      <c r="BH18" s="16">
        <f t="shared" si="18"/>
        <v>3.0143137287738218E-5</v>
      </c>
      <c r="BI18" s="16">
        <f t="shared" si="19"/>
        <v>1.9565084402317712E-5</v>
      </c>
      <c r="BJ18" s="16">
        <f t="shared" si="20"/>
        <v>4.0880528016880458E-6</v>
      </c>
      <c r="BK18" s="16">
        <f t="shared" si="21"/>
        <v>2.0901070938138459E-5</v>
      </c>
      <c r="BL18" s="16">
        <f t="shared" si="22"/>
        <v>1.0340460361054359E-4</v>
      </c>
    </row>
    <row r="19" spans="2:64" x14ac:dyDescent="0.25">
      <c r="B19" s="263"/>
      <c r="C19" s="260" t="s">
        <v>76</v>
      </c>
      <c r="D19" s="95" t="s">
        <v>216</v>
      </c>
      <c r="E19" s="13">
        <v>6.2457715108684732E-4</v>
      </c>
      <c r="F19" s="28" t="s">
        <v>218</v>
      </c>
      <c r="G19" s="27" t="s">
        <v>183</v>
      </c>
      <c r="H19" s="28">
        <v>5.6776E-2</v>
      </c>
      <c r="I19" s="28">
        <v>6.7980000000000002E-3</v>
      </c>
      <c r="J19" s="28">
        <v>0.76163999999999998</v>
      </c>
      <c r="K19" s="28">
        <v>2.7837000000000001E-4</v>
      </c>
      <c r="L19" s="28">
        <v>1.9703999999999999E-2</v>
      </c>
      <c r="M19" s="28">
        <v>2.2373000000000001E-5</v>
      </c>
      <c r="N19" s="28">
        <v>1.9324E-5</v>
      </c>
      <c r="O19" s="28">
        <v>9.3579000000000006E-3</v>
      </c>
      <c r="P19" s="28">
        <v>2.2211000000000002E-3</v>
      </c>
      <c r="Q19" s="28">
        <f t="shared" si="6"/>
        <v>0.80004106699999988</v>
      </c>
      <c r="R19" s="28">
        <v>1.4016E-3</v>
      </c>
      <c r="S19" s="28">
        <v>5.5599000000000003E-2</v>
      </c>
      <c r="T19" s="28">
        <v>1.7649000000000001E-2</v>
      </c>
      <c r="U19" s="28">
        <v>6.0475000000000004E-4</v>
      </c>
      <c r="V19" s="28">
        <v>6.9609999999999999E-6</v>
      </c>
      <c r="W19" s="28">
        <v>7.4047999999999996E-3</v>
      </c>
      <c r="X19" s="28">
        <v>3.8148000000000001E-3</v>
      </c>
      <c r="Y19" s="28">
        <v>5.5581999999999995E-4</v>
      </c>
      <c r="Z19" s="28">
        <v>2.8194000000000001E-5</v>
      </c>
      <c r="AA19" s="28">
        <v>3.0623999999999998E-3</v>
      </c>
      <c r="AB19" s="28">
        <v>-6.0309000000000001E-6</v>
      </c>
      <c r="AC19" s="28">
        <v>7.8290000000000002E-9</v>
      </c>
      <c r="AD19" s="28">
        <v>2.0838000000000001E-4</v>
      </c>
      <c r="AE19" s="28">
        <v>7.5715999999999999E-4</v>
      </c>
      <c r="AF19" s="28">
        <v>4.5595999999999999E-4</v>
      </c>
      <c r="AG19" s="28">
        <v>3.5808000000000001E-6</v>
      </c>
      <c r="AH19" s="28">
        <v>2.4367999999999998E-3</v>
      </c>
      <c r="AI19" s="29">
        <v>1.3276E-4</v>
      </c>
      <c r="AK19" s="16">
        <f t="shared" si="7"/>
        <v>3.5460992330106842E-5</v>
      </c>
      <c r="AL19" s="16">
        <f t="shared" si="23"/>
        <v>4.2458754730883885E-6</v>
      </c>
      <c r="AM19" s="16">
        <f t="shared" si="24"/>
        <v>4.7570294135378636E-4</v>
      </c>
      <c r="AN19" s="16">
        <f t="shared" si="25"/>
        <v>1.738635415480457E-7</v>
      </c>
      <c r="AO19" s="16">
        <f t="shared" si="26"/>
        <v>1.2306668185015239E-5</v>
      </c>
      <c r="AP19" s="16">
        <f t="shared" si="27"/>
        <v>1.3973664601266035E-8</v>
      </c>
      <c r="AQ19" s="16">
        <f t="shared" si="28"/>
        <v>1.2069328867602238E-8</v>
      </c>
      <c r="AR19" s="16">
        <f t="shared" si="29"/>
        <v>5.8447305221556089E-6</v>
      </c>
      <c r="AS19" s="16">
        <f t="shared" si="30"/>
        <v>1.3872483102789967E-6</v>
      </c>
      <c r="AT19" s="16">
        <f t="shared" si="31"/>
        <v>4.9968737037934142E-4</v>
      </c>
      <c r="AU19" s="16">
        <f t="shared" si="32"/>
        <v>8.7540733496332522E-7</v>
      </c>
      <c r="AV19" s="16">
        <f t="shared" si="33"/>
        <v>3.4725865023277627E-5</v>
      </c>
      <c r="AW19" s="16">
        <f t="shared" si="34"/>
        <v>1.1023162139531769E-5</v>
      </c>
      <c r="AX19" s="16">
        <f t="shared" si="8"/>
        <v>3.7771303211977093E-7</v>
      </c>
      <c r="AY19" s="16">
        <f t="shared" si="9"/>
        <v>4.3476815487155445E-9</v>
      </c>
      <c r="AZ19" s="16">
        <f t="shared" si="10"/>
        <v>4.6248688883678869E-6</v>
      </c>
      <c r="BA19" s="16">
        <f t="shared" si="11"/>
        <v>2.3826369159661051E-6</v>
      </c>
      <c r="BB19" s="16">
        <f t="shared" si="12"/>
        <v>3.4715247211709145E-7</v>
      </c>
      <c r="BC19" s="16">
        <f t="shared" si="13"/>
        <v>1.7609328197742576E-8</v>
      </c>
      <c r="BD19" s="16">
        <f t="shared" si="14"/>
        <v>1.9127050674883613E-6</v>
      </c>
      <c r="BE19" s="16">
        <f t="shared" si="15"/>
        <v>-3.7667623404896674E-9</v>
      </c>
      <c r="BF19" s="16">
        <f t="shared" si="16"/>
        <v>4.889814515858928E-12</v>
      </c>
      <c r="BG19" s="16">
        <f t="shared" si="17"/>
        <v>1.3014938674347725E-7</v>
      </c>
      <c r="BH19" s="16">
        <f t="shared" si="18"/>
        <v>4.7290483571691733E-7</v>
      </c>
      <c r="BI19" s="16">
        <f t="shared" si="19"/>
        <v>2.847821978095589E-7</v>
      </c>
      <c r="BJ19" s="16">
        <f t="shared" si="20"/>
        <v>2.2364858626117828E-9</v>
      </c>
      <c r="BK19" s="16">
        <f t="shared" si="21"/>
        <v>1.5219696017684295E-6</v>
      </c>
      <c r="BL19" s="16">
        <f t="shared" si="22"/>
        <v>8.2918862578289846E-8</v>
      </c>
    </row>
    <row r="20" spans="2:64" x14ac:dyDescent="0.25">
      <c r="B20" s="263"/>
      <c r="C20" s="260"/>
      <c r="D20" s="95" t="s">
        <v>217</v>
      </c>
      <c r="E20" s="13">
        <v>1.0762802692835852E-3</v>
      </c>
      <c r="F20" s="28" t="s">
        <v>218</v>
      </c>
      <c r="G20" s="27" t="s">
        <v>183</v>
      </c>
      <c r="H20" s="28">
        <v>0.13636999999999999</v>
      </c>
      <c r="I20" s="28">
        <v>6.9908000000000001E-3</v>
      </c>
      <c r="J20" s="28">
        <v>2.1494</v>
      </c>
      <c r="K20" s="28">
        <v>4.2317E-4</v>
      </c>
      <c r="L20" s="28">
        <v>2.7064999999999999E-2</v>
      </c>
      <c r="M20" s="28">
        <v>4.1281E-5</v>
      </c>
      <c r="N20" s="28">
        <v>1.0814E-4</v>
      </c>
      <c r="O20" s="28">
        <v>1.3462999999999999E-2</v>
      </c>
      <c r="P20" s="28">
        <v>3.0428E-3</v>
      </c>
      <c r="Q20" s="28">
        <f t="shared" si="6"/>
        <v>2.2005341909999996</v>
      </c>
      <c r="R20" s="28">
        <v>1.4258999999999999E-3</v>
      </c>
      <c r="S20" s="28">
        <v>0.13497999999999999</v>
      </c>
      <c r="T20" s="28">
        <v>4.9605000000000003E-2</v>
      </c>
      <c r="U20" s="28">
        <v>1.0038E-3</v>
      </c>
      <c r="V20" s="28">
        <v>1.0964999999999999E-5</v>
      </c>
      <c r="W20" s="28">
        <v>3.8466E-2</v>
      </c>
      <c r="X20" s="28">
        <v>9.5805999999999999E-3</v>
      </c>
      <c r="Y20" s="28">
        <v>1.3106000000000001E-3</v>
      </c>
      <c r="Z20" s="28">
        <v>3.1108000000000001E-5</v>
      </c>
      <c r="AA20" s="28">
        <v>2.4895999999999998E-3</v>
      </c>
      <c r="AB20" s="28">
        <v>-1.3329000000000001E-5</v>
      </c>
      <c r="AC20" s="28">
        <v>2.3712999999999999E-8</v>
      </c>
      <c r="AD20" s="28">
        <v>3.1092000000000001E-4</v>
      </c>
      <c r="AE20" s="28">
        <v>8.5815999999999996E-4</v>
      </c>
      <c r="AF20" s="28">
        <v>5.8348000000000004E-4</v>
      </c>
      <c r="AG20" s="28">
        <v>6.5215000000000005E-5</v>
      </c>
      <c r="AH20" s="28">
        <v>9.1982000000000001E-3</v>
      </c>
      <c r="AI20" s="29">
        <v>2.1341E-4</v>
      </c>
      <c r="AK20" s="16">
        <f t="shared" si="7"/>
        <v>1.467723403222025E-4</v>
      </c>
      <c r="AL20" s="16">
        <f t="shared" si="23"/>
        <v>7.5240601065076874E-6</v>
      </c>
      <c r="AM20" s="16">
        <f t="shared" si="24"/>
        <v>2.3133568107981382E-3</v>
      </c>
      <c r="AN20" s="16">
        <f t="shared" si="25"/>
        <v>4.5544952155273477E-7</v>
      </c>
      <c r="AO20" s="16">
        <f t="shared" si="26"/>
        <v>2.9129525488160234E-5</v>
      </c>
      <c r="AP20" s="16">
        <f t="shared" si="27"/>
        <v>4.4429925796295681E-8</v>
      </c>
      <c r="AQ20" s="16">
        <f t="shared" si="28"/>
        <v>1.1638894832032692E-7</v>
      </c>
      <c r="AR20" s="16">
        <f t="shared" si="29"/>
        <v>1.4489961265364907E-5</v>
      </c>
      <c r="AS20" s="16">
        <f t="shared" si="30"/>
        <v>3.2749056033760931E-6</v>
      </c>
      <c r="AT20" s="16">
        <f t="shared" si="31"/>
        <v>2.3683915316572157E-3</v>
      </c>
      <c r="AU20" s="16">
        <f t="shared" si="32"/>
        <v>1.5346680359714641E-6</v>
      </c>
      <c r="AV20" s="16">
        <f t="shared" si="33"/>
        <v>1.4527631074789832E-4</v>
      </c>
      <c r="AW20" s="16">
        <f t="shared" si="34"/>
        <v>5.3388882757812247E-5</v>
      </c>
      <c r="AX20" s="16">
        <f t="shared" si="8"/>
        <v>1.0803701343068628E-6</v>
      </c>
      <c r="AY20" s="16">
        <f t="shared" si="9"/>
        <v>1.1801413152694511E-8</v>
      </c>
      <c r="AZ20" s="16">
        <f t="shared" si="10"/>
        <v>4.1400196838262388E-5</v>
      </c>
      <c r="BA20" s="16">
        <f t="shared" si="11"/>
        <v>1.0311410747898317E-5</v>
      </c>
      <c r="BB20" s="16">
        <f t="shared" si="12"/>
        <v>1.410572920923067E-6</v>
      </c>
      <c r="BC20" s="16">
        <f t="shared" si="13"/>
        <v>3.348092661687377E-8</v>
      </c>
      <c r="BD20" s="16">
        <f t="shared" si="14"/>
        <v>2.6795073584084136E-6</v>
      </c>
      <c r="BE20" s="16">
        <f t="shared" si="15"/>
        <v>-1.4345739709280908E-8</v>
      </c>
      <c r="BF20" s="16">
        <f t="shared" si="16"/>
        <v>2.5521834025521655E-11</v>
      </c>
      <c r="BG20" s="16">
        <f t="shared" si="17"/>
        <v>3.3463706132565232E-7</v>
      </c>
      <c r="BH20" s="16">
        <f t="shared" si="18"/>
        <v>9.2362067588840148E-7</v>
      </c>
      <c r="BI20" s="16">
        <f t="shared" si="19"/>
        <v>6.2798801152158636E-7</v>
      </c>
      <c r="BJ20" s="16">
        <f t="shared" si="20"/>
        <v>7.0189617761329011E-8</v>
      </c>
      <c r="BK20" s="16">
        <f t="shared" si="21"/>
        <v>9.8998411729242734E-6</v>
      </c>
      <c r="BL20" s="16">
        <f t="shared" si="22"/>
        <v>2.2968897226780992E-7</v>
      </c>
    </row>
    <row r="21" spans="2:64" x14ac:dyDescent="0.25">
      <c r="B21" s="263"/>
      <c r="C21" s="260"/>
      <c r="D21" s="95" t="s">
        <v>214</v>
      </c>
      <c r="E21" s="13">
        <v>4.1782496566969224E-2</v>
      </c>
      <c r="F21" s="28" t="s">
        <v>106</v>
      </c>
      <c r="G21" s="27" t="s">
        <v>183</v>
      </c>
      <c r="H21" s="28">
        <v>5.4977999999999997E-3</v>
      </c>
      <c r="I21" s="28">
        <v>3.6467999999999998E-4</v>
      </c>
      <c r="J21" s="28">
        <v>7.4843999999999994E-2</v>
      </c>
      <c r="K21" s="28">
        <v>3.8926E-5</v>
      </c>
      <c r="L21" s="28">
        <v>2.6012000000000001E-3</v>
      </c>
      <c r="M21" s="28">
        <v>4.9666999999999996E-7</v>
      </c>
      <c r="N21" s="28">
        <v>2.6595999999999999E-6</v>
      </c>
      <c r="O21" s="28">
        <v>1.1164E-3</v>
      </c>
      <c r="P21" s="28">
        <v>2.9673999999999998E-4</v>
      </c>
      <c r="Q21" s="28">
        <f t="shared" si="6"/>
        <v>7.9265102269999999E-2</v>
      </c>
      <c r="R21" s="28">
        <v>9.1648000000000001E-4</v>
      </c>
      <c r="S21" s="28">
        <v>5.3619000000000002E-3</v>
      </c>
      <c r="T21" s="28">
        <v>1.7407E-3</v>
      </c>
      <c r="U21" s="28">
        <v>2.5828000000000001E-5</v>
      </c>
      <c r="V21" s="28">
        <v>6.7184000000000001E-7</v>
      </c>
      <c r="W21" s="28">
        <v>5.6389999999999999E-4</v>
      </c>
      <c r="X21" s="28">
        <v>4.1145E-4</v>
      </c>
      <c r="Y21" s="28">
        <v>2.3870999999999999E-5</v>
      </c>
      <c r="Z21" s="28">
        <v>2.2556999999999998E-6</v>
      </c>
      <c r="AA21" s="28">
        <v>8.1414000000000004E-5</v>
      </c>
      <c r="AB21" s="28">
        <v>-1.1138999999999999E-7</v>
      </c>
      <c r="AC21" s="28">
        <v>7.5592999999999999E-10</v>
      </c>
      <c r="AD21" s="28">
        <v>2.0098E-5</v>
      </c>
      <c r="AE21" s="28">
        <v>6.2830999999999995E-5</v>
      </c>
      <c r="AF21" s="28">
        <v>3.8238999999999998E-5</v>
      </c>
      <c r="AG21" s="28">
        <v>2.1196E-7</v>
      </c>
      <c r="AH21" s="28">
        <v>1.1640000000000001E-3</v>
      </c>
      <c r="AI21" s="29">
        <v>9.4027000000000006E-6</v>
      </c>
      <c r="AK21" s="16">
        <f t="shared" si="7"/>
        <v>2.2971180962588338E-4</v>
      </c>
      <c r="AL21" s="16">
        <f t="shared" si="23"/>
        <v>1.5237240848042336E-5</v>
      </c>
      <c r="AM21" s="16">
        <f t="shared" si="24"/>
        <v>3.1271691730582443E-3</v>
      </c>
      <c r="AN21" s="16">
        <f t="shared" si="25"/>
        <v>1.6264254613658441E-6</v>
      </c>
      <c r="AO21" s="16">
        <f t="shared" si="26"/>
        <v>1.0868463007000036E-4</v>
      </c>
      <c r="AP21" s="16">
        <f t="shared" si="27"/>
        <v>2.0752112569916601E-8</v>
      </c>
      <c r="AQ21" s="16">
        <f t="shared" si="28"/>
        <v>1.1112472786951135E-7</v>
      </c>
      <c r="AR21" s="16">
        <f t="shared" si="29"/>
        <v>4.6645979167364443E-5</v>
      </c>
      <c r="AS21" s="16">
        <f t="shared" si="30"/>
        <v>1.2398538031282447E-5</v>
      </c>
      <c r="AT21" s="16">
        <f t="shared" si="31"/>
        <v>3.3118938634767395E-3</v>
      </c>
      <c r="AU21" s="16">
        <f t="shared" si="32"/>
        <v>3.8292822453695953E-5</v>
      </c>
      <c r="AV21" s="16">
        <f t="shared" si="33"/>
        <v>2.2403356834243228E-4</v>
      </c>
      <c r="AW21" s="16">
        <f t="shared" si="34"/>
        <v>7.2730791774123333E-5</v>
      </c>
      <c r="AX21" s="16">
        <f t="shared" si="8"/>
        <v>1.0791583213316812E-6</v>
      </c>
      <c r="AY21" s="16">
        <f t="shared" si="9"/>
        <v>2.8071152493552605E-8</v>
      </c>
      <c r="AZ21" s="16">
        <f t="shared" si="10"/>
        <v>2.3561149814113945E-5</v>
      </c>
      <c r="BA21" s="16">
        <f t="shared" si="11"/>
        <v>1.7191408212479487E-5</v>
      </c>
      <c r="BB21" s="16">
        <f t="shared" si="12"/>
        <v>9.973899755501222E-7</v>
      </c>
      <c r="BC21" s="16">
        <f t="shared" si="13"/>
        <v>9.4248777506112467E-8</v>
      </c>
      <c r="BD21" s="16">
        <f t="shared" si="14"/>
        <v>3.4016801755032326E-6</v>
      </c>
      <c r="BE21" s="16">
        <f t="shared" si="15"/>
        <v>-4.6541522925947016E-9</v>
      </c>
      <c r="BF21" s="16">
        <f t="shared" si="16"/>
        <v>3.1584642629869047E-11</v>
      </c>
      <c r="BG21" s="16">
        <f t="shared" si="17"/>
        <v>8.397446160029474E-7</v>
      </c>
      <c r="BH21" s="16">
        <f t="shared" si="18"/>
        <v>2.625236041799243E-6</v>
      </c>
      <c r="BI21" s="16">
        <f t="shared" si="19"/>
        <v>1.597720886224336E-6</v>
      </c>
      <c r="BJ21" s="16">
        <f t="shared" si="20"/>
        <v>8.8562179723347972E-9</v>
      </c>
      <c r="BK21" s="16">
        <f t="shared" si="21"/>
        <v>4.8634826003952183E-5</v>
      </c>
      <c r="BL21" s="16">
        <f t="shared" si="22"/>
        <v>3.9286828047024157E-7</v>
      </c>
    </row>
    <row r="22" spans="2:64" x14ac:dyDescent="0.25">
      <c r="B22" s="263"/>
      <c r="C22" s="260"/>
      <c r="D22" s="95" t="s">
        <v>215</v>
      </c>
      <c r="E22" s="13">
        <v>2.0933114512509628E-2</v>
      </c>
      <c r="F22" s="28" t="s">
        <v>106</v>
      </c>
      <c r="G22" s="27" t="s">
        <v>183</v>
      </c>
      <c r="H22" s="28">
        <v>3.1594000000000002</v>
      </c>
      <c r="I22" s="28">
        <v>7.0301000000000001E-3</v>
      </c>
      <c r="J22" s="28">
        <v>0.47105000000000002</v>
      </c>
      <c r="K22" s="28">
        <v>3.2347000000000002E-4</v>
      </c>
      <c r="L22" s="28">
        <v>1.8200999999999998E-2</v>
      </c>
      <c r="M22" s="28">
        <v>5.9604999999999999E-6</v>
      </c>
      <c r="N22" s="28">
        <v>2.2376999999999999E-5</v>
      </c>
      <c r="O22" s="28">
        <v>1.1832000000000001E-2</v>
      </c>
      <c r="P22" s="28">
        <v>2.2266E-3</v>
      </c>
      <c r="Q22" s="28">
        <f t="shared" si="6"/>
        <v>0.51069150750000003</v>
      </c>
      <c r="R22" s="28">
        <v>1.5709999999999999E-3</v>
      </c>
      <c r="S22" s="28">
        <v>3.1585000000000001</v>
      </c>
      <c r="T22" s="28">
        <v>1.1906E-2</v>
      </c>
      <c r="U22" s="28">
        <v>3.7211000000000001E-2</v>
      </c>
      <c r="V22" s="28">
        <v>9.3919999999999992E-6</v>
      </c>
      <c r="W22" s="28">
        <v>0.19902</v>
      </c>
      <c r="X22" s="28">
        <v>1.8744E-3</v>
      </c>
      <c r="Y22" s="28">
        <v>3.0048999999999999E-2</v>
      </c>
      <c r="Z22" s="28">
        <v>2.4426999999999998E-5</v>
      </c>
      <c r="AA22" s="28">
        <v>1.6352999999999999E-3</v>
      </c>
      <c r="AB22" s="28">
        <v>-3.1269999999999999E-6</v>
      </c>
      <c r="AC22" s="28">
        <v>5.6958000000000001E-9</v>
      </c>
      <c r="AD22" s="28">
        <v>1.5268000000000001E-4</v>
      </c>
      <c r="AE22" s="28">
        <v>5.0772000000000002E-4</v>
      </c>
      <c r="AF22" s="28">
        <v>3.7251999999999999E-4</v>
      </c>
      <c r="AG22" s="28">
        <v>4.1909000000000001E-5</v>
      </c>
      <c r="AH22" s="28">
        <v>8.3929000000000002E-4</v>
      </c>
      <c r="AI22" s="29">
        <v>2.0709000000000001E-3</v>
      </c>
      <c r="AK22" s="16">
        <f t="shared" si="7"/>
        <v>6.6136081990822923E-2</v>
      </c>
      <c r="AL22" s="16">
        <f t="shared" si="23"/>
        <v>1.4716188833439393E-4</v>
      </c>
      <c r="AM22" s="16">
        <f t="shared" si="24"/>
        <v>9.8605435911176612E-3</v>
      </c>
      <c r="AN22" s="16">
        <f t="shared" si="25"/>
        <v>6.7712345513614892E-6</v>
      </c>
      <c r="AO22" s="16">
        <f t="shared" si="26"/>
        <v>3.8100361724218768E-4</v>
      </c>
      <c r="AP22" s="16">
        <f t="shared" si="27"/>
        <v>1.2477182905181363E-7</v>
      </c>
      <c r="AQ22" s="16">
        <f t="shared" si="28"/>
        <v>4.6842030344642792E-7</v>
      </c>
      <c r="AR22" s="16">
        <f t="shared" si="29"/>
        <v>2.4768061091201392E-4</v>
      </c>
      <c r="AS22" s="16">
        <f t="shared" si="30"/>
        <v>4.6609672773553936E-5</v>
      </c>
      <c r="AT22" s="16">
        <f t="shared" si="31"/>
        <v>1.0690363807063671E-2</v>
      </c>
      <c r="AU22" s="16">
        <f t="shared" si="32"/>
        <v>3.2885922899152622E-5</v>
      </c>
      <c r="AV22" s="16">
        <f t="shared" si="33"/>
        <v>6.611724218776166E-2</v>
      </c>
      <c r="AW22" s="16">
        <f t="shared" si="34"/>
        <v>2.4922966138593962E-4</v>
      </c>
      <c r="AX22" s="16">
        <f t="shared" si="8"/>
        <v>7.7894212412499579E-4</v>
      </c>
      <c r="AY22" s="16">
        <f t="shared" si="9"/>
        <v>1.9660381150149042E-7</v>
      </c>
      <c r="AZ22" s="16">
        <f t="shared" si="10"/>
        <v>4.1661084502796659E-3</v>
      </c>
      <c r="BA22" s="16">
        <f t="shared" si="11"/>
        <v>3.9237029842248048E-5</v>
      </c>
      <c r="BB22" s="16">
        <f t="shared" si="12"/>
        <v>6.2901915798640182E-4</v>
      </c>
      <c r="BC22" s="16">
        <f t="shared" si="13"/>
        <v>5.1133318819707268E-7</v>
      </c>
      <c r="BD22" s="16">
        <f t="shared" si="14"/>
        <v>3.423192216230699E-5</v>
      </c>
      <c r="BE22" s="16">
        <f t="shared" si="15"/>
        <v>-6.5457849080617603E-8</v>
      </c>
      <c r="BF22" s="16">
        <f t="shared" si="16"/>
        <v>1.1923083364035233E-10</v>
      </c>
      <c r="BG22" s="16">
        <f t="shared" si="17"/>
        <v>3.1960679237699703E-6</v>
      </c>
      <c r="BH22" s="16">
        <f t="shared" si="18"/>
        <v>1.0628160900291389E-5</v>
      </c>
      <c r="BI22" s="16">
        <f t="shared" si="19"/>
        <v>7.7980038182000868E-6</v>
      </c>
      <c r="BJ22" s="16">
        <f t="shared" si="20"/>
        <v>8.7728589610476604E-7</v>
      </c>
      <c r="BK22" s="16">
        <f t="shared" si="21"/>
        <v>1.7568953679204206E-5</v>
      </c>
      <c r="BL22" s="16">
        <f t="shared" si="22"/>
        <v>4.3350386843956191E-5</v>
      </c>
    </row>
    <row r="23" spans="2:64" x14ac:dyDescent="0.25">
      <c r="B23" s="263"/>
      <c r="C23" s="260" t="s">
        <v>77</v>
      </c>
      <c r="D23" s="95" t="str">
        <f>D19</f>
        <v>market for transport, freight train, US</v>
      </c>
      <c r="E23" s="13">
        <v>1.5970794118632147E-3</v>
      </c>
      <c r="F23" s="28" t="str">
        <f>F19</f>
        <v>ton*km</v>
      </c>
      <c r="G23" s="27" t="s">
        <v>183</v>
      </c>
      <c r="H23" s="28">
        <f>H19</f>
        <v>5.6776E-2</v>
      </c>
      <c r="I23" s="28">
        <f t="shared" ref="I23:AI23" si="35">I19</f>
        <v>6.7980000000000002E-3</v>
      </c>
      <c r="J23" s="28">
        <f t="shared" si="35"/>
        <v>0.76163999999999998</v>
      </c>
      <c r="K23" s="28">
        <f t="shared" si="35"/>
        <v>2.7837000000000001E-4</v>
      </c>
      <c r="L23" s="28">
        <f t="shared" si="35"/>
        <v>1.9703999999999999E-2</v>
      </c>
      <c r="M23" s="28">
        <f t="shared" si="35"/>
        <v>2.2373000000000001E-5</v>
      </c>
      <c r="N23" s="28">
        <f t="shared" si="35"/>
        <v>1.9324E-5</v>
      </c>
      <c r="O23" s="28">
        <f t="shared" si="35"/>
        <v>9.3579000000000006E-3</v>
      </c>
      <c r="P23" s="28">
        <f t="shared" si="35"/>
        <v>2.2211000000000002E-3</v>
      </c>
      <c r="Q23" s="28">
        <f t="shared" si="6"/>
        <v>0.80004106699999988</v>
      </c>
      <c r="R23" s="28">
        <f t="shared" si="35"/>
        <v>1.4016E-3</v>
      </c>
      <c r="S23" s="28">
        <f t="shared" si="35"/>
        <v>5.5599000000000003E-2</v>
      </c>
      <c r="T23" s="28">
        <f t="shared" si="35"/>
        <v>1.7649000000000001E-2</v>
      </c>
      <c r="U23" s="28">
        <f t="shared" si="35"/>
        <v>6.0475000000000004E-4</v>
      </c>
      <c r="V23" s="28">
        <f t="shared" si="35"/>
        <v>6.9609999999999999E-6</v>
      </c>
      <c r="W23" s="28">
        <f t="shared" si="35"/>
        <v>7.4047999999999996E-3</v>
      </c>
      <c r="X23" s="28">
        <f t="shared" si="35"/>
        <v>3.8148000000000001E-3</v>
      </c>
      <c r="Y23" s="28">
        <f t="shared" si="35"/>
        <v>5.5581999999999995E-4</v>
      </c>
      <c r="Z23" s="28">
        <f t="shared" si="35"/>
        <v>2.8194000000000001E-5</v>
      </c>
      <c r="AA23" s="28">
        <f t="shared" si="35"/>
        <v>3.0623999999999998E-3</v>
      </c>
      <c r="AB23" s="28">
        <f t="shared" si="35"/>
        <v>-6.0309000000000001E-6</v>
      </c>
      <c r="AC23" s="28">
        <f t="shared" si="35"/>
        <v>7.8290000000000002E-9</v>
      </c>
      <c r="AD23" s="28">
        <f t="shared" si="35"/>
        <v>2.0838000000000001E-4</v>
      </c>
      <c r="AE23" s="28">
        <f t="shared" si="35"/>
        <v>7.5715999999999999E-4</v>
      </c>
      <c r="AF23" s="28">
        <f t="shared" si="35"/>
        <v>4.5595999999999999E-4</v>
      </c>
      <c r="AG23" s="28">
        <f t="shared" si="35"/>
        <v>3.5808000000000001E-6</v>
      </c>
      <c r="AH23" s="28">
        <f t="shared" si="35"/>
        <v>2.4367999999999998E-3</v>
      </c>
      <c r="AI23" s="29">
        <f t="shared" si="35"/>
        <v>1.3276E-4</v>
      </c>
      <c r="AK23" s="16">
        <f t="shared" si="7"/>
        <v>9.0675780687945884E-5</v>
      </c>
      <c r="AL23" s="16">
        <f t="shared" si="23"/>
        <v>1.0856945841846133E-5</v>
      </c>
      <c r="AM23" s="16">
        <f t="shared" si="24"/>
        <v>1.2163995632514988E-3</v>
      </c>
      <c r="AN23" s="16">
        <f t="shared" si="25"/>
        <v>4.4457899588036309E-7</v>
      </c>
      <c r="AO23" s="16">
        <f t="shared" si="26"/>
        <v>3.1468852731352778E-5</v>
      </c>
      <c r="AP23" s="16">
        <f t="shared" si="27"/>
        <v>3.5731457681615705E-8</v>
      </c>
      <c r="AQ23" s="16">
        <f t="shared" si="28"/>
        <v>3.086196255484476E-8</v>
      </c>
      <c r="AR23" s="16">
        <f t="shared" si="29"/>
        <v>1.4945309428274778E-5</v>
      </c>
      <c r="AS23" s="16">
        <f t="shared" si="30"/>
        <v>3.5472730816893865E-6</v>
      </c>
      <c r="AT23" s="16">
        <f t="shared" si="31"/>
        <v>1.2777291167507786E-3</v>
      </c>
      <c r="AU23" s="16">
        <f t="shared" si="32"/>
        <v>2.2384665036674818E-6</v>
      </c>
      <c r="AV23" s="16">
        <f t="shared" si="33"/>
        <v>8.8796018220182885E-5</v>
      </c>
      <c r="AW23" s="16">
        <f t="shared" si="34"/>
        <v>2.8186854539973878E-5</v>
      </c>
      <c r="AX23" s="16">
        <f t="shared" si="8"/>
        <v>9.658337743242792E-7</v>
      </c>
      <c r="AY23" s="16">
        <f t="shared" si="9"/>
        <v>1.1117269785979837E-8</v>
      </c>
      <c r="AZ23" s="16">
        <f t="shared" si="10"/>
        <v>1.1826053628964732E-5</v>
      </c>
      <c r="BA23" s="16">
        <f t="shared" si="11"/>
        <v>6.0925385403757914E-6</v>
      </c>
      <c r="BB23" s="16">
        <f t="shared" si="12"/>
        <v>8.876886787018119E-7</v>
      </c>
      <c r="BC23" s="16">
        <f t="shared" si="13"/>
        <v>4.5028056938071475E-8</v>
      </c>
      <c r="BD23" s="16">
        <f t="shared" si="14"/>
        <v>4.8908959908899082E-6</v>
      </c>
      <c r="BE23" s="16">
        <f t="shared" si="15"/>
        <v>-9.6318262250058625E-9</v>
      </c>
      <c r="BF23" s="16">
        <f t="shared" si="16"/>
        <v>1.2503534715477109E-11</v>
      </c>
      <c r="BG23" s="16">
        <f t="shared" si="17"/>
        <v>3.3279940784405667E-7</v>
      </c>
      <c r="BH23" s="16">
        <f t="shared" si="18"/>
        <v>1.2092446474863516E-6</v>
      </c>
      <c r="BI23" s="16">
        <f t="shared" si="19"/>
        <v>7.2820432863315141E-7</v>
      </c>
      <c r="BJ23" s="16">
        <f t="shared" si="20"/>
        <v>5.7188219579997995E-9</v>
      </c>
      <c r="BK23" s="16">
        <f t="shared" si="21"/>
        <v>3.8917631108282813E-6</v>
      </c>
      <c r="BL23" s="16">
        <f t="shared" si="22"/>
        <v>2.1202826271896037E-7</v>
      </c>
    </row>
    <row r="24" spans="2:64" x14ac:dyDescent="0.25">
      <c r="B24" s="263"/>
      <c r="C24" s="260"/>
      <c r="D24" s="95" t="str">
        <f>D20</f>
        <v>market for transport, freight, lorry, unspecified, RoW</v>
      </c>
      <c r="E24" s="13">
        <v>2.7521100579428613E-3</v>
      </c>
      <c r="F24" s="28" t="str">
        <f>F20</f>
        <v>ton*km</v>
      </c>
      <c r="G24" s="27" t="s">
        <v>183</v>
      </c>
      <c r="H24" s="28">
        <f>H20</f>
        <v>0.13636999999999999</v>
      </c>
      <c r="I24" s="28">
        <f t="shared" ref="I24:AI24" si="36">I20</f>
        <v>6.9908000000000001E-3</v>
      </c>
      <c r="J24" s="28">
        <f t="shared" si="36"/>
        <v>2.1494</v>
      </c>
      <c r="K24" s="28">
        <f t="shared" si="36"/>
        <v>4.2317E-4</v>
      </c>
      <c r="L24" s="28">
        <f t="shared" si="36"/>
        <v>2.7064999999999999E-2</v>
      </c>
      <c r="M24" s="28">
        <f t="shared" si="36"/>
        <v>4.1281E-5</v>
      </c>
      <c r="N24" s="28">
        <f t="shared" si="36"/>
        <v>1.0814E-4</v>
      </c>
      <c r="O24" s="28">
        <f t="shared" si="36"/>
        <v>1.3462999999999999E-2</v>
      </c>
      <c r="P24" s="28">
        <f t="shared" si="36"/>
        <v>3.0428E-3</v>
      </c>
      <c r="Q24" s="28">
        <f t="shared" si="6"/>
        <v>2.2005341909999996</v>
      </c>
      <c r="R24" s="28">
        <f t="shared" si="36"/>
        <v>1.4258999999999999E-3</v>
      </c>
      <c r="S24" s="28">
        <f t="shared" si="36"/>
        <v>0.13497999999999999</v>
      </c>
      <c r="T24" s="28">
        <f t="shared" si="36"/>
        <v>4.9605000000000003E-2</v>
      </c>
      <c r="U24" s="28">
        <f t="shared" si="36"/>
        <v>1.0038E-3</v>
      </c>
      <c r="V24" s="28">
        <f t="shared" si="36"/>
        <v>1.0964999999999999E-5</v>
      </c>
      <c r="W24" s="28">
        <f t="shared" si="36"/>
        <v>3.8466E-2</v>
      </c>
      <c r="X24" s="28">
        <f t="shared" si="36"/>
        <v>9.5805999999999999E-3</v>
      </c>
      <c r="Y24" s="28">
        <f t="shared" si="36"/>
        <v>1.3106000000000001E-3</v>
      </c>
      <c r="Z24" s="28">
        <f t="shared" si="36"/>
        <v>3.1108000000000001E-5</v>
      </c>
      <c r="AA24" s="28">
        <f t="shared" si="36"/>
        <v>2.4895999999999998E-3</v>
      </c>
      <c r="AB24" s="28">
        <f t="shared" si="36"/>
        <v>-1.3329000000000001E-5</v>
      </c>
      <c r="AC24" s="28">
        <f t="shared" si="36"/>
        <v>2.3712999999999999E-8</v>
      </c>
      <c r="AD24" s="28">
        <f t="shared" si="36"/>
        <v>3.1092000000000001E-4</v>
      </c>
      <c r="AE24" s="28">
        <f t="shared" si="36"/>
        <v>8.5815999999999996E-4</v>
      </c>
      <c r="AF24" s="28">
        <f t="shared" si="36"/>
        <v>5.8348000000000004E-4</v>
      </c>
      <c r="AG24" s="28">
        <f t="shared" si="36"/>
        <v>6.5215000000000005E-5</v>
      </c>
      <c r="AH24" s="28">
        <f t="shared" si="36"/>
        <v>9.1982000000000001E-3</v>
      </c>
      <c r="AI24" s="29">
        <f t="shared" si="36"/>
        <v>2.1341E-4</v>
      </c>
      <c r="AK24" s="16">
        <f t="shared" si="7"/>
        <v>3.7530524860166799E-4</v>
      </c>
      <c r="AL24" s="16">
        <f t="shared" si="23"/>
        <v>1.9239450993066954E-5</v>
      </c>
      <c r="AM24" s="16">
        <f t="shared" si="24"/>
        <v>5.9153853585423863E-3</v>
      </c>
      <c r="AN24" s="16">
        <f t="shared" si="25"/>
        <v>1.1646104132196805E-6</v>
      </c>
      <c r="AO24" s="16">
        <f t="shared" si="26"/>
        <v>7.4485858718223539E-5</v>
      </c>
      <c r="AP24" s="16">
        <f t="shared" si="27"/>
        <v>1.1360985530193925E-7</v>
      </c>
      <c r="AQ24" s="16">
        <f t="shared" si="28"/>
        <v>2.9761318166594104E-7</v>
      </c>
      <c r="AR24" s="16">
        <f t="shared" si="29"/>
        <v>3.705165771008474E-5</v>
      </c>
      <c r="AS24" s="16">
        <f t="shared" si="30"/>
        <v>8.3741204843085379E-6</v>
      </c>
      <c r="AT24" s="16">
        <f t="shared" si="31"/>
        <v>6.0561122798982563E-3</v>
      </c>
      <c r="AU24" s="16">
        <f t="shared" si="32"/>
        <v>3.9242337316207253E-6</v>
      </c>
      <c r="AV24" s="16">
        <f t="shared" si="33"/>
        <v>3.7147981562112741E-4</v>
      </c>
      <c r="AW24" s="16">
        <f t="shared" si="34"/>
        <v>1.3651841942425566E-4</v>
      </c>
      <c r="AX24" s="16">
        <f t="shared" si="8"/>
        <v>2.7625680761630444E-6</v>
      </c>
      <c r="AY24" s="16">
        <f t="shared" si="9"/>
        <v>3.0176886785343474E-8</v>
      </c>
      <c r="AZ24" s="16">
        <f t="shared" si="10"/>
        <v>1.0586266548883011E-4</v>
      </c>
      <c r="BA24" s="16">
        <f t="shared" si="11"/>
        <v>2.6366865621127377E-5</v>
      </c>
      <c r="BB24" s="16">
        <f t="shared" si="12"/>
        <v>3.6069154419399145E-6</v>
      </c>
      <c r="BC24" s="16">
        <f t="shared" si="13"/>
        <v>8.5612639682486528E-8</v>
      </c>
      <c r="BD24" s="16">
        <f t="shared" si="14"/>
        <v>6.8516532002545474E-6</v>
      </c>
      <c r="BE24" s="16">
        <f t="shared" si="15"/>
        <v>-3.6682874962320403E-8</v>
      </c>
      <c r="BF24" s="16">
        <f t="shared" si="16"/>
        <v>6.5260785803999067E-11</v>
      </c>
      <c r="BG24" s="16">
        <f t="shared" si="17"/>
        <v>8.5568605921559451E-7</v>
      </c>
      <c r="BH24" s="16">
        <f t="shared" si="18"/>
        <v>2.3617507673242457E-6</v>
      </c>
      <c r="BI24" s="16">
        <f t="shared" si="19"/>
        <v>1.6058011766085008E-6</v>
      </c>
      <c r="BJ24" s="16">
        <f t="shared" si="20"/>
        <v>1.7947885742874373E-7</v>
      </c>
      <c r="BK24" s="16">
        <f t="shared" si="21"/>
        <v>2.5314458734970029E-5</v>
      </c>
      <c r="BL24" s="16">
        <f t="shared" si="22"/>
        <v>5.87327807465586E-7</v>
      </c>
    </row>
    <row r="25" spans="2:64" x14ac:dyDescent="0.25">
      <c r="B25" s="263"/>
      <c r="C25" s="260"/>
      <c r="D25" s="95" t="s">
        <v>219</v>
      </c>
      <c r="E25" s="13">
        <v>9.461767759654352E-2</v>
      </c>
      <c r="F25" s="28" t="str">
        <f>F21</f>
        <v>kg</v>
      </c>
      <c r="G25" s="27" t="s">
        <v>183</v>
      </c>
      <c r="H25" s="28">
        <v>1.0392999999999999</v>
      </c>
      <c r="I25" s="28">
        <v>7.7819999999999997E-5</v>
      </c>
      <c r="J25" s="28">
        <v>6.4338000000000006E-2</v>
      </c>
      <c r="K25" s="28">
        <v>5.4452E-6</v>
      </c>
      <c r="L25" s="28">
        <v>4.1599999999999997E-4</v>
      </c>
      <c r="M25" s="28">
        <v>1.6007E-7</v>
      </c>
      <c r="N25" s="28">
        <v>1.2092E-6</v>
      </c>
      <c r="O25" s="28">
        <v>1.8644000000000001E-4</v>
      </c>
      <c r="P25" s="28">
        <v>4.6164E-5</v>
      </c>
      <c r="Q25" s="28">
        <f t="shared" si="6"/>
        <v>6.5071238470000015E-2</v>
      </c>
      <c r="R25" s="28">
        <v>9.4921000000000003E-4</v>
      </c>
      <c r="S25" s="28">
        <v>0.81411999999999995</v>
      </c>
      <c r="T25" s="28">
        <v>1.4805E-3</v>
      </c>
      <c r="U25" s="28">
        <v>1.7898000000000001E-2</v>
      </c>
      <c r="V25" s="28">
        <v>1.3640999999999999E-7</v>
      </c>
      <c r="W25" s="28">
        <v>1.7240999999999999E-2</v>
      </c>
      <c r="X25" s="28">
        <v>2.7821999999999998E-4</v>
      </c>
      <c r="Y25" s="28">
        <v>1.5318E-2</v>
      </c>
      <c r="Z25" s="28">
        <v>2.1142E-6</v>
      </c>
      <c r="AA25" s="28">
        <v>7.7720999999999997E-5</v>
      </c>
      <c r="AB25" s="28">
        <v>-4.1871999999999999E-8</v>
      </c>
      <c r="AC25" s="28">
        <v>7.5492000000000002E-10</v>
      </c>
      <c r="AD25" s="28">
        <v>1.808E-5</v>
      </c>
      <c r="AE25" s="28">
        <v>4.2848000000000002E-4</v>
      </c>
      <c r="AF25" s="28">
        <v>3.5076000000000001E-5</v>
      </c>
      <c r="AG25" s="28">
        <v>1.8154E-7</v>
      </c>
      <c r="AH25" s="28">
        <v>1.4086000000000001E-3</v>
      </c>
      <c r="AI25" s="29">
        <v>3.6766999999999999E-6</v>
      </c>
      <c r="AK25" s="16">
        <f t="shared" si="7"/>
        <v>9.8336152326087667E-2</v>
      </c>
      <c r="AL25" s="16">
        <f t="shared" si="23"/>
        <v>7.3631476705630162E-6</v>
      </c>
      <c r="AM25" s="16">
        <f t="shared" si="24"/>
        <v>6.0875121412064179E-3</v>
      </c>
      <c r="AN25" s="16">
        <f t="shared" si="25"/>
        <v>5.1521217804869876E-7</v>
      </c>
      <c r="AO25" s="16">
        <f t="shared" si="26"/>
        <v>3.9360953880162103E-5</v>
      </c>
      <c r="AP25" s="16">
        <f t="shared" si="27"/>
        <v>1.5145451652878721E-8</v>
      </c>
      <c r="AQ25" s="16">
        <f t="shared" si="28"/>
        <v>1.1441169574974042E-7</v>
      </c>
      <c r="AR25" s="16">
        <f t="shared" si="29"/>
        <v>1.7640519811099574E-5</v>
      </c>
      <c r="AS25" s="16">
        <f t="shared" si="30"/>
        <v>4.3679304685668354E-6</v>
      </c>
      <c r="AT25" s="16">
        <f t="shared" si="31"/>
        <v>6.1568894623622609E-3</v>
      </c>
      <c r="AU25" s="16">
        <f t="shared" si="32"/>
        <v>8.9812045751415081E-5</v>
      </c>
      <c r="AV25" s="16">
        <f t="shared" si="33"/>
        <v>7.7030143684898009E-2</v>
      </c>
      <c r="AW25" s="16">
        <f t="shared" si="34"/>
        <v>1.4008147168168269E-4</v>
      </c>
      <c r="AX25" s="16">
        <f t="shared" si="8"/>
        <v>1.693467193622936E-3</v>
      </c>
      <c r="AY25" s="16">
        <f t="shared" si="9"/>
        <v>1.2906797400944501E-8</v>
      </c>
      <c r="AZ25" s="16">
        <f t="shared" si="10"/>
        <v>1.6313033794420069E-3</v>
      </c>
      <c r="BA25" s="16">
        <f t="shared" si="11"/>
        <v>2.6324530260910336E-5</v>
      </c>
      <c r="BB25" s="16">
        <f t="shared" si="12"/>
        <v>1.4493535854238537E-3</v>
      </c>
      <c r="BC25" s="16">
        <f t="shared" si="13"/>
        <v>2.0004069397461232E-7</v>
      </c>
      <c r="BD25" s="16">
        <f t="shared" si="14"/>
        <v>7.3537805204809583E-6</v>
      </c>
      <c r="BE25" s="16">
        <f t="shared" si="15"/>
        <v>-3.9618313963224702E-9</v>
      </c>
      <c r="BF25" s="16">
        <f t="shared" si="16"/>
        <v>7.1428777171182641E-11</v>
      </c>
      <c r="BG25" s="16">
        <f t="shared" si="17"/>
        <v>1.7106876109455068E-6</v>
      </c>
      <c r="BH25" s="16">
        <f t="shared" si="18"/>
        <v>4.054178249656697E-5</v>
      </c>
      <c r="BI25" s="16">
        <f t="shared" si="19"/>
        <v>3.3188096593763608E-6</v>
      </c>
      <c r="BJ25" s="16">
        <f t="shared" si="20"/>
        <v>1.717689319087651E-8</v>
      </c>
      <c r="BK25" s="16">
        <f t="shared" si="21"/>
        <v>1.3327846066249122E-4</v>
      </c>
      <c r="BL25" s="16">
        <f t="shared" si="22"/>
        <v>3.4788081521921155E-7</v>
      </c>
    </row>
    <row r="26" spans="2:64" x14ac:dyDescent="0.25">
      <c r="B26" s="263"/>
      <c r="C26" s="260"/>
      <c r="D26" s="95" t="s">
        <v>220</v>
      </c>
      <c r="E26" s="13">
        <v>2.6961851492112405E-2</v>
      </c>
      <c r="F26" s="28" t="str">
        <f>F22</f>
        <v>kg</v>
      </c>
      <c r="G26" s="27" t="s">
        <v>183</v>
      </c>
      <c r="H26" s="28">
        <v>0.74612000000000001</v>
      </c>
      <c r="I26" s="28">
        <v>1.0246999999999999E-2</v>
      </c>
      <c r="J26" s="28">
        <v>1.6677</v>
      </c>
      <c r="K26" s="28">
        <v>4.1080000000000001E-4</v>
      </c>
      <c r="L26" s="28">
        <v>2.6477000000000001E-2</v>
      </c>
      <c r="M26" s="28">
        <v>7.7619999999999995E-6</v>
      </c>
      <c r="N26" s="28">
        <v>1.1922E-4</v>
      </c>
      <c r="O26" s="28">
        <v>1.3308E-2</v>
      </c>
      <c r="P26" s="28">
        <v>3.2244000000000001E-3</v>
      </c>
      <c r="Q26" s="28">
        <f t="shared" si="6"/>
        <v>1.721494182</v>
      </c>
      <c r="R26" s="28">
        <v>2.0100000000000001E-3</v>
      </c>
      <c r="S26" s="28">
        <v>0.77900000000000003</v>
      </c>
      <c r="T26" s="28">
        <v>4.6254000000000003E-2</v>
      </c>
      <c r="U26" s="28">
        <v>6.0612000000000001E-3</v>
      </c>
      <c r="V26" s="28">
        <v>1.6032000000000002E-5</v>
      </c>
      <c r="W26" s="28">
        <v>2.0766E-2</v>
      </c>
      <c r="X26" s="28">
        <v>2.1733E-3</v>
      </c>
      <c r="Y26" s="28">
        <v>5.2667E-3</v>
      </c>
      <c r="Z26" s="28">
        <v>9.2458000000000004E-4</v>
      </c>
      <c r="AA26" s="28">
        <v>2.3616000000000002E-3</v>
      </c>
      <c r="AB26" s="28">
        <v>-3.9727000000000001E-6</v>
      </c>
      <c r="AC26" s="28">
        <v>1.2388999999999999E-8</v>
      </c>
      <c r="AD26" s="28">
        <v>7.9639999999999995E-4</v>
      </c>
      <c r="AE26" s="28">
        <v>3.2501000000000001E-3</v>
      </c>
      <c r="AF26" s="28">
        <v>2.0858000000000001E-3</v>
      </c>
      <c r="AG26" s="28">
        <v>5.1458000000000001E-5</v>
      </c>
      <c r="AH26" s="28">
        <v>6.3562000000000004E-4</v>
      </c>
      <c r="AI26" s="29">
        <v>2.3533999999999998E-3</v>
      </c>
      <c r="AK26" s="16">
        <f t="shared" si="7"/>
        <v>2.0116776635294906E-2</v>
      </c>
      <c r="AL26" s="16">
        <f t="shared" si="23"/>
        <v>2.7627809223967578E-4</v>
      </c>
      <c r="AM26" s="16">
        <f t="shared" si="24"/>
        <v>4.4964279733395854E-2</v>
      </c>
      <c r="AN26" s="16">
        <f t="shared" si="25"/>
        <v>1.1075928592959777E-5</v>
      </c>
      <c r="AO26" s="16">
        <f t="shared" si="26"/>
        <v>7.1386894195666012E-4</v>
      </c>
      <c r="AP26" s="16">
        <f t="shared" si="27"/>
        <v>2.0927789128177647E-7</v>
      </c>
      <c r="AQ26" s="16">
        <f t="shared" si="28"/>
        <v>3.2143919348896411E-6</v>
      </c>
      <c r="AR26" s="16">
        <f t="shared" si="29"/>
        <v>3.5880831965703192E-4</v>
      </c>
      <c r="AS26" s="16">
        <f t="shared" si="30"/>
        <v>8.6935793951167242E-5</v>
      </c>
      <c r="AT26" s="16">
        <f t="shared" si="31"/>
        <v>4.6414670479619523E-2</v>
      </c>
      <c r="AU26" s="16">
        <f t="shared" si="32"/>
        <v>5.4193321499145937E-5</v>
      </c>
      <c r="AV26" s="16">
        <f t="shared" si="33"/>
        <v>2.1003282312355563E-2</v>
      </c>
      <c r="AW26" s="16">
        <f t="shared" si="34"/>
        <v>1.2470934789161673E-3</v>
      </c>
      <c r="AX26" s="16">
        <f t="shared" si="8"/>
        <v>1.6342117426399171E-4</v>
      </c>
      <c r="AY26" s="16">
        <f t="shared" si="9"/>
        <v>4.3225240312154611E-7</v>
      </c>
      <c r="AZ26" s="16">
        <f t="shared" si="10"/>
        <v>5.5988980808520622E-4</v>
      </c>
      <c r="BA26" s="16">
        <f t="shared" si="11"/>
        <v>5.8596191847807889E-5</v>
      </c>
      <c r="BB26" s="16">
        <f t="shared" si="12"/>
        <v>1.4199998325350839E-4</v>
      </c>
      <c r="BC26" s="16">
        <f t="shared" si="13"/>
        <v>2.4928388652577287E-5</v>
      </c>
      <c r="BD26" s="16">
        <f t="shared" si="14"/>
        <v>6.3673108483772663E-5</v>
      </c>
      <c r="BE26" s="16">
        <f t="shared" si="15"/>
        <v>-1.0711134742271496E-7</v>
      </c>
      <c r="BF26" s="16">
        <f t="shared" si="16"/>
        <v>3.3403037813578054E-10</v>
      </c>
      <c r="BG26" s="16">
        <f t="shared" si="17"/>
        <v>2.1472418528318319E-5</v>
      </c>
      <c r="BH26" s="16">
        <f t="shared" si="18"/>
        <v>8.7628713534514536E-5</v>
      </c>
      <c r="BI26" s="16">
        <f t="shared" si="19"/>
        <v>5.6237029842248055E-5</v>
      </c>
      <c r="BJ26" s="16">
        <f t="shared" si="20"/>
        <v>1.3874029540811201E-6</v>
      </c>
      <c r="BK26" s="16">
        <f t="shared" si="21"/>
        <v>1.7137492045416488E-5</v>
      </c>
      <c r="BL26" s="16">
        <f t="shared" si="22"/>
        <v>6.3452021301537332E-5</v>
      </c>
    </row>
    <row r="27" spans="2:64" x14ac:dyDescent="0.25">
      <c r="B27" s="263"/>
      <c r="C27" s="260" t="s">
        <v>78</v>
      </c>
      <c r="D27" s="95" t="str">
        <f>D19</f>
        <v>market for transport, freight train, US</v>
      </c>
      <c r="E27" s="13">
        <v>1.6964865860602204E-3</v>
      </c>
      <c r="F27" s="28" t="str">
        <f>F19</f>
        <v>ton*km</v>
      </c>
      <c r="G27" s="28" t="str">
        <f t="shared" ref="G27:AI27" si="37">G19</f>
        <v>Ecoinvent v3.7.1</v>
      </c>
      <c r="H27" s="28">
        <f t="shared" si="37"/>
        <v>5.6776E-2</v>
      </c>
      <c r="I27" s="28">
        <f t="shared" si="37"/>
        <v>6.7980000000000002E-3</v>
      </c>
      <c r="J27" s="28">
        <f t="shared" si="37"/>
        <v>0.76163999999999998</v>
      </c>
      <c r="K27" s="28">
        <f t="shared" si="37"/>
        <v>2.7837000000000001E-4</v>
      </c>
      <c r="L27" s="28">
        <f t="shared" si="37"/>
        <v>1.9703999999999999E-2</v>
      </c>
      <c r="M27" s="28">
        <f t="shared" si="37"/>
        <v>2.2373000000000001E-5</v>
      </c>
      <c r="N27" s="28">
        <f t="shared" si="37"/>
        <v>1.9324E-5</v>
      </c>
      <c r="O27" s="28">
        <f t="shared" si="37"/>
        <v>9.3579000000000006E-3</v>
      </c>
      <c r="P27" s="28">
        <f t="shared" si="37"/>
        <v>2.2211000000000002E-3</v>
      </c>
      <c r="Q27" s="28">
        <f t="shared" si="6"/>
        <v>0.80004106699999988</v>
      </c>
      <c r="R27" s="28">
        <f t="shared" si="37"/>
        <v>1.4016E-3</v>
      </c>
      <c r="S27" s="28">
        <f t="shared" si="37"/>
        <v>5.5599000000000003E-2</v>
      </c>
      <c r="T27" s="28">
        <f t="shared" si="37"/>
        <v>1.7649000000000001E-2</v>
      </c>
      <c r="U27" s="28">
        <f t="shared" si="37"/>
        <v>6.0475000000000004E-4</v>
      </c>
      <c r="V27" s="28">
        <f t="shared" si="37"/>
        <v>6.9609999999999999E-6</v>
      </c>
      <c r="W27" s="28">
        <f t="shared" si="37"/>
        <v>7.4047999999999996E-3</v>
      </c>
      <c r="X27" s="28">
        <f t="shared" si="37"/>
        <v>3.8148000000000001E-3</v>
      </c>
      <c r="Y27" s="28">
        <f t="shared" si="37"/>
        <v>5.5581999999999995E-4</v>
      </c>
      <c r="Z27" s="28">
        <f t="shared" si="37"/>
        <v>2.8194000000000001E-5</v>
      </c>
      <c r="AA27" s="28">
        <f t="shared" si="37"/>
        <v>3.0623999999999998E-3</v>
      </c>
      <c r="AB27" s="28">
        <f t="shared" si="37"/>
        <v>-6.0309000000000001E-6</v>
      </c>
      <c r="AC27" s="28">
        <f t="shared" si="37"/>
        <v>7.8290000000000002E-9</v>
      </c>
      <c r="AD27" s="28">
        <f t="shared" si="37"/>
        <v>2.0838000000000001E-4</v>
      </c>
      <c r="AE27" s="28">
        <f t="shared" si="37"/>
        <v>7.5715999999999999E-4</v>
      </c>
      <c r="AF27" s="28">
        <f t="shared" si="37"/>
        <v>4.5595999999999999E-4</v>
      </c>
      <c r="AG27" s="28">
        <f t="shared" si="37"/>
        <v>3.5808000000000001E-6</v>
      </c>
      <c r="AH27" s="28">
        <f t="shared" si="37"/>
        <v>2.4367999999999998E-3</v>
      </c>
      <c r="AI27" s="29">
        <f t="shared" si="37"/>
        <v>1.3276E-4</v>
      </c>
      <c r="AK27" s="16">
        <f t="shared" si="7"/>
        <v>9.6319722410155077E-5</v>
      </c>
      <c r="AL27" s="16">
        <f t="shared" si="23"/>
        <v>1.1532715812037379E-5</v>
      </c>
      <c r="AM27" s="16">
        <f t="shared" si="24"/>
        <v>1.2921120434069063E-3</v>
      </c>
      <c r="AN27" s="16">
        <f t="shared" si="25"/>
        <v>4.7225097096158355E-7</v>
      </c>
      <c r="AO27" s="16">
        <f t="shared" si="26"/>
        <v>3.342757169173058E-5</v>
      </c>
      <c r="AP27" s="16">
        <f t="shared" si="27"/>
        <v>3.7955494389925314E-8</v>
      </c>
      <c r="AQ27" s="16">
        <f t="shared" si="28"/>
        <v>3.2782906789027701E-8</v>
      </c>
      <c r="AR27" s="16">
        <f t="shared" si="29"/>
        <v>1.5875551823692938E-5</v>
      </c>
      <c r="AS27" s="16">
        <f t="shared" si="30"/>
        <v>3.7680663562983558E-6</v>
      </c>
      <c r="AT27" s="16">
        <f t="shared" si="31"/>
        <v>1.3572589384628058E-3</v>
      </c>
      <c r="AU27" s="16">
        <f t="shared" si="32"/>
        <v>2.3777955990220048E-6</v>
      </c>
      <c r="AV27" s="16">
        <f t="shared" si="33"/>
        <v>9.4322957698362192E-5</v>
      </c>
      <c r="AW27" s="16">
        <f t="shared" si="34"/>
        <v>2.9941291757376834E-5</v>
      </c>
      <c r="AX27" s="16">
        <f t="shared" si="8"/>
        <v>1.0259502629199184E-6</v>
      </c>
      <c r="AY27" s="16">
        <f t="shared" si="9"/>
        <v>1.1809243125565195E-8</v>
      </c>
      <c r="AZ27" s="16">
        <f t="shared" si="10"/>
        <v>1.2562143872458719E-5</v>
      </c>
      <c r="BA27" s="16">
        <f t="shared" si="11"/>
        <v>6.4717570285025294E-6</v>
      </c>
      <c r="BB27" s="16">
        <f t="shared" si="12"/>
        <v>9.4294117426399166E-7</v>
      </c>
      <c r="BC27" s="16">
        <f t="shared" si="13"/>
        <v>4.7830742807381856E-8</v>
      </c>
      <c r="BD27" s="16">
        <f t="shared" si="14"/>
        <v>5.1953205211508187E-6</v>
      </c>
      <c r="BE27" s="16">
        <f t="shared" si="15"/>
        <v>-1.0231340951870584E-8</v>
      </c>
      <c r="BF27" s="16">
        <f t="shared" si="16"/>
        <v>1.3281793482265465E-11</v>
      </c>
      <c r="BG27" s="16">
        <f t="shared" si="17"/>
        <v>3.5351387480322876E-7</v>
      </c>
      <c r="BH27" s="16">
        <f t="shared" si="18"/>
        <v>1.2845117835013565E-6</v>
      </c>
      <c r="BI27" s="16">
        <f t="shared" si="19"/>
        <v>7.7353002378001808E-7</v>
      </c>
      <c r="BJ27" s="16">
        <f t="shared" si="20"/>
        <v>6.0747791673644373E-9</v>
      </c>
      <c r="BK27" s="16">
        <f t="shared" si="21"/>
        <v>4.1339985129115449E-6</v>
      </c>
      <c r="BL27" s="16">
        <f t="shared" si="22"/>
        <v>2.2522555916535486E-7</v>
      </c>
    </row>
    <row r="28" spans="2:64" x14ac:dyDescent="0.25">
      <c r="B28" s="263"/>
      <c r="C28" s="260"/>
      <c r="D28" s="95" t="str">
        <f>D20</f>
        <v>market for transport, freight, lorry, unspecified, RoW</v>
      </c>
      <c r="E28" s="13">
        <v>2.9234099206216302E-3</v>
      </c>
      <c r="F28" s="28" t="str">
        <f>F20</f>
        <v>ton*km</v>
      </c>
      <c r="G28" s="28" t="str">
        <f t="shared" ref="G28:AI28" si="38">G20</f>
        <v>Ecoinvent v3.7.1</v>
      </c>
      <c r="H28" s="28">
        <f t="shared" si="38"/>
        <v>0.13636999999999999</v>
      </c>
      <c r="I28" s="28">
        <f t="shared" si="38"/>
        <v>6.9908000000000001E-3</v>
      </c>
      <c r="J28" s="28">
        <f t="shared" si="38"/>
        <v>2.1494</v>
      </c>
      <c r="K28" s="28">
        <f t="shared" si="38"/>
        <v>4.2317E-4</v>
      </c>
      <c r="L28" s="28">
        <f t="shared" si="38"/>
        <v>2.7064999999999999E-2</v>
      </c>
      <c r="M28" s="28">
        <f t="shared" si="38"/>
        <v>4.1281E-5</v>
      </c>
      <c r="N28" s="28">
        <f t="shared" si="38"/>
        <v>1.0814E-4</v>
      </c>
      <c r="O28" s="28">
        <f t="shared" si="38"/>
        <v>1.3462999999999999E-2</v>
      </c>
      <c r="P28" s="28">
        <f t="shared" si="38"/>
        <v>3.0428E-3</v>
      </c>
      <c r="Q28" s="28">
        <f t="shared" si="6"/>
        <v>2.2005341909999996</v>
      </c>
      <c r="R28" s="28">
        <f t="shared" si="38"/>
        <v>1.4258999999999999E-3</v>
      </c>
      <c r="S28" s="28">
        <f t="shared" si="38"/>
        <v>0.13497999999999999</v>
      </c>
      <c r="T28" s="28">
        <f t="shared" si="38"/>
        <v>4.9605000000000003E-2</v>
      </c>
      <c r="U28" s="28">
        <f t="shared" si="38"/>
        <v>1.0038E-3</v>
      </c>
      <c r="V28" s="28">
        <f t="shared" si="38"/>
        <v>1.0964999999999999E-5</v>
      </c>
      <c r="W28" s="28">
        <f t="shared" si="38"/>
        <v>3.8466E-2</v>
      </c>
      <c r="X28" s="28">
        <f t="shared" si="38"/>
        <v>9.5805999999999999E-3</v>
      </c>
      <c r="Y28" s="28">
        <f t="shared" si="38"/>
        <v>1.3106000000000001E-3</v>
      </c>
      <c r="Z28" s="28">
        <f t="shared" si="38"/>
        <v>3.1108000000000001E-5</v>
      </c>
      <c r="AA28" s="28">
        <f t="shared" si="38"/>
        <v>2.4895999999999998E-3</v>
      </c>
      <c r="AB28" s="28">
        <f t="shared" si="38"/>
        <v>-1.3329000000000001E-5</v>
      </c>
      <c r="AC28" s="28">
        <f t="shared" si="38"/>
        <v>2.3712999999999999E-8</v>
      </c>
      <c r="AD28" s="28">
        <f t="shared" si="38"/>
        <v>3.1092000000000001E-4</v>
      </c>
      <c r="AE28" s="28">
        <f t="shared" si="38"/>
        <v>8.5815999999999996E-4</v>
      </c>
      <c r="AF28" s="28">
        <f t="shared" si="38"/>
        <v>5.8348000000000004E-4</v>
      </c>
      <c r="AG28" s="28">
        <f t="shared" si="38"/>
        <v>6.5215000000000005E-5</v>
      </c>
      <c r="AH28" s="28">
        <f t="shared" si="38"/>
        <v>9.1982000000000001E-3</v>
      </c>
      <c r="AI28" s="29">
        <f t="shared" si="38"/>
        <v>2.1341E-4</v>
      </c>
      <c r="AK28" s="16">
        <f t="shared" si="7"/>
        <v>3.986654108751717E-4</v>
      </c>
      <c r="AL28" s="16">
        <f t="shared" si="23"/>
        <v>2.0436974073081694E-5</v>
      </c>
      <c r="AM28" s="16">
        <f t="shared" si="24"/>
        <v>6.2835772833841315E-3</v>
      </c>
      <c r="AN28" s="16">
        <f t="shared" si="25"/>
        <v>1.2370993761094553E-6</v>
      </c>
      <c r="AO28" s="16">
        <f t="shared" si="26"/>
        <v>7.912208950162442E-5</v>
      </c>
      <c r="AP28" s="16">
        <f t="shared" si="27"/>
        <v>1.2068128493318151E-7</v>
      </c>
      <c r="AQ28" s="16">
        <f t="shared" si="28"/>
        <v>3.1613754881602309E-7</v>
      </c>
      <c r="AR28" s="16">
        <f t="shared" si="29"/>
        <v>3.9357867761329003E-5</v>
      </c>
      <c r="AS28" s="16">
        <f t="shared" si="30"/>
        <v>8.8953517064674965E-6</v>
      </c>
      <c r="AT28" s="16">
        <f t="shared" si="31"/>
        <v>6.4330634846364917E-3</v>
      </c>
      <c r="AU28" s="16">
        <f t="shared" si="32"/>
        <v>4.1684902058143823E-6</v>
      </c>
      <c r="AV28" s="16">
        <f t="shared" si="33"/>
        <v>3.9460187108550761E-4</v>
      </c>
      <c r="AW28" s="16">
        <f t="shared" si="34"/>
        <v>1.4501574911243598E-4</v>
      </c>
      <c r="AX28" s="16">
        <f t="shared" si="8"/>
        <v>2.9345188783199926E-6</v>
      </c>
      <c r="AY28" s="16">
        <f t="shared" si="9"/>
        <v>3.2055189779616174E-8</v>
      </c>
      <c r="AZ28" s="16">
        <f t="shared" si="10"/>
        <v>1.1245188600663163E-4</v>
      </c>
      <c r="BA28" s="16">
        <f t="shared" si="11"/>
        <v>2.8008021085507591E-5</v>
      </c>
      <c r="BB28" s="16">
        <f t="shared" si="12"/>
        <v>3.8314210419667092E-6</v>
      </c>
      <c r="BC28" s="16">
        <f t="shared" si="13"/>
        <v>9.0941435810697679E-8</v>
      </c>
      <c r="BD28" s="16">
        <f t="shared" si="14"/>
        <v>7.2781213383796096E-6</v>
      </c>
      <c r="BE28" s="16">
        <f t="shared" si="15"/>
        <v>-3.8966130831965708E-8</v>
      </c>
      <c r="BF28" s="16">
        <f t="shared" si="16"/>
        <v>6.9322819447700719E-11</v>
      </c>
      <c r="BG28" s="16">
        <f t="shared" si="17"/>
        <v>9.0894661251967725E-7</v>
      </c>
      <c r="BH28" s="16">
        <f t="shared" si="18"/>
        <v>2.5087534574806582E-6</v>
      </c>
      <c r="BI28" s="16">
        <f t="shared" si="19"/>
        <v>1.705751220484309E-6</v>
      </c>
      <c r="BJ28" s="16">
        <f t="shared" si="20"/>
        <v>1.9065017797333963E-7</v>
      </c>
      <c r="BK28" s="16">
        <f t="shared" si="21"/>
        <v>2.6890109131861881E-5</v>
      </c>
      <c r="BL28" s="16">
        <f t="shared" si="22"/>
        <v>6.2388491115986209E-7</v>
      </c>
    </row>
    <row r="29" spans="2:64" x14ac:dyDescent="0.25">
      <c r="B29" s="263"/>
      <c r="C29" s="260"/>
      <c r="D29" s="95" t="s">
        <v>222</v>
      </c>
      <c r="E29" s="13">
        <v>0.10173493653079681</v>
      </c>
      <c r="F29" s="28" t="str">
        <f>F25</f>
        <v>kg</v>
      </c>
      <c r="G29" s="28" t="str">
        <f>G25</f>
        <v>Ecoinvent v3.7.1</v>
      </c>
      <c r="H29" s="28">
        <v>7.6648999999999995E-2</v>
      </c>
      <c r="I29" s="28">
        <v>1.0652999999999999E-3</v>
      </c>
      <c r="J29" s="28">
        <v>0.25968000000000002</v>
      </c>
      <c r="K29" s="28">
        <v>8.1176999999999999E-5</v>
      </c>
      <c r="L29" s="28">
        <v>5.9725000000000004E-3</v>
      </c>
      <c r="M29" s="28">
        <v>1.7771999999999999E-6</v>
      </c>
      <c r="N29" s="28">
        <v>4.0358999999999998E-5</v>
      </c>
      <c r="O29" s="28">
        <v>2.6189E-3</v>
      </c>
      <c r="P29" s="28">
        <v>6.2664000000000003E-4</v>
      </c>
      <c r="Q29" s="28">
        <f t="shared" si="6"/>
        <v>0.27008665319999997</v>
      </c>
      <c r="R29" s="28">
        <v>1.1104999999999999E-3</v>
      </c>
      <c r="S29" s="28">
        <v>6.2056E-2</v>
      </c>
      <c r="T29" s="28">
        <v>6.0447000000000001E-3</v>
      </c>
      <c r="U29" s="28">
        <v>1.0552999999999999E-3</v>
      </c>
      <c r="V29" s="28">
        <v>2.3933E-6</v>
      </c>
      <c r="W29" s="28">
        <v>5.9454E-2</v>
      </c>
      <c r="X29" s="28">
        <v>1.1936E-3</v>
      </c>
      <c r="Y29" s="28">
        <v>9.2836000000000004E-4</v>
      </c>
      <c r="Z29" s="28">
        <v>9.840300000000001E-4</v>
      </c>
      <c r="AA29" s="28">
        <v>3.4519999999999999E-4</v>
      </c>
      <c r="AB29" s="28">
        <v>-4.1006000000000002E-6</v>
      </c>
      <c r="AC29" s="28">
        <v>2.5707999999999998E-9</v>
      </c>
      <c r="AD29" s="28">
        <v>3.4482E-5</v>
      </c>
      <c r="AE29" s="28">
        <v>1.2095999999999999E-4</v>
      </c>
      <c r="AF29" s="28">
        <v>6.8782000000000007E-5</v>
      </c>
      <c r="AG29" s="28">
        <v>1.3148000000000001E-6</v>
      </c>
      <c r="AH29" s="28">
        <v>3.1434000000000002E-3</v>
      </c>
      <c r="AI29" s="29">
        <v>3.4087000000000001E-5</v>
      </c>
      <c r="AK29" s="16">
        <f t="shared" si="7"/>
        <v>7.7978811501490438E-3</v>
      </c>
      <c r="AL29" s="16">
        <f t="shared" si="23"/>
        <v>1.0837822788625784E-4</v>
      </c>
      <c r="AM29" s="16">
        <f t="shared" si="24"/>
        <v>2.6418528318317317E-2</v>
      </c>
      <c r="AN29" s="16">
        <f t="shared" si="25"/>
        <v>8.2585369427604918E-6</v>
      </c>
      <c r="AO29" s="16">
        <f t="shared" si="26"/>
        <v>6.0761190843018392E-4</v>
      </c>
      <c r="AP29" s="16">
        <f t="shared" si="27"/>
        <v>1.8080332920253207E-7</v>
      </c>
      <c r="AQ29" s="16">
        <f t="shared" si="28"/>
        <v>4.1059203034464283E-6</v>
      </c>
      <c r="AR29" s="16">
        <f t="shared" si="29"/>
        <v>2.6643362528050375E-4</v>
      </c>
      <c r="AS29" s="16">
        <f t="shared" si="30"/>
        <v>6.3751180627658521E-5</v>
      </c>
      <c r="AT29" s="16">
        <f t="shared" si="31"/>
        <v>2.7477248521117326E-2</v>
      </c>
      <c r="AU29" s="16">
        <f t="shared" si="32"/>
        <v>1.1297664701744985E-4</v>
      </c>
      <c r="AV29" s="16">
        <f t="shared" si="33"/>
        <v>6.3132632213551265E-3</v>
      </c>
      <c r="AW29" s="16">
        <f t="shared" si="34"/>
        <v>6.1495717084770747E-4</v>
      </c>
      <c r="AX29" s="16">
        <f t="shared" si="8"/>
        <v>1.0736087852094986E-4</v>
      </c>
      <c r="AY29" s="16">
        <f t="shared" si="9"/>
        <v>2.4348222359915598E-7</v>
      </c>
      <c r="AZ29" s="16">
        <f t="shared" si="10"/>
        <v>6.0485489165019932E-3</v>
      </c>
      <c r="BA29" s="16">
        <f t="shared" si="11"/>
        <v>1.2143082024315906E-4</v>
      </c>
      <c r="BB29" s="16">
        <f t="shared" si="12"/>
        <v>9.444664567773053E-5</v>
      </c>
      <c r="BC29" s="16">
        <f t="shared" si="13"/>
        <v>1.001102295944E-4</v>
      </c>
      <c r="BD29" s="16">
        <f t="shared" si="14"/>
        <v>3.5118900090431054E-5</v>
      </c>
      <c r="BE29" s="16">
        <f t="shared" si="15"/>
        <v>-4.1717428073818539E-7</v>
      </c>
      <c r="BF29" s="16">
        <f t="shared" si="16"/>
        <v>2.6154017483337244E-10</v>
      </c>
      <c r="BG29" s="16">
        <f t="shared" si="17"/>
        <v>3.5080240814549356E-6</v>
      </c>
      <c r="BH29" s="16">
        <f t="shared" si="18"/>
        <v>1.2305857922765181E-5</v>
      </c>
      <c r="BI29" s="16">
        <f t="shared" si="19"/>
        <v>6.9975324044612668E-6</v>
      </c>
      <c r="BJ29" s="16">
        <f t="shared" si="20"/>
        <v>1.3376109455069164E-7</v>
      </c>
      <c r="BK29" s="16">
        <f t="shared" si="21"/>
        <v>3.197935994909067E-4</v>
      </c>
      <c r="BL29" s="16">
        <f t="shared" si="22"/>
        <v>3.467838781525271E-6</v>
      </c>
    </row>
    <row r="30" spans="2:64" x14ac:dyDescent="0.25">
      <c r="B30" s="263"/>
      <c r="C30" s="260"/>
      <c r="D30" s="95" t="s">
        <v>221</v>
      </c>
      <c r="E30" s="13">
        <v>2.3780018086210938E-2</v>
      </c>
      <c r="F30" s="28" t="str">
        <f>F26</f>
        <v>kg</v>
      </c>
      <c r="G30" s="28" t="str">
        <f>G26</f>
        <v>Ecoinvent v3.7.1</v>
      </c>
      <c r="H30" s="28">
        <v>1.4722000000000001E-2</v>
      </c>
      <c r="I30" s="28">
        <v>9.9113000000000001E-4</v>
      </c>
      <c r="J30" s="28">
        <v>0.13657</v>
      </c>
      <c r="K30" s="28">
        <v>4.3865000000000001E-5</v>
      </c>
      <c r="L30" s="28">
        <v>2.7618999999999999E-3</v>
      </c>
      <c r="M30" s="28">
        <v>9.2444000000000004E-7</v>
      </c>
      <c r="N30" s="28">
        <v>9.9814000000000007E-6</v>
      </c>
      <c r="O30" s="28">
        <v>1.668E-3</v>
      </c>
      <c r="P30" s="28">
        <v>3.3101000000000002E-4</v>
      </c>
      <c r="Q30" s="28">
        <f t="shared" si="6"/>
        <v>0.14237681084000001</v>
      </c>
      <c r="R30" s="28">
        <v>2.4059999999999999E-4</v>
      </c>
      <c r="S30" s="28">
        <v>1.4825E-2</v>
      </c>
      <c r="T30" s="28">
        <v>3.6093000000000002E-3</v>
      </c>
      <c r="U30" s="28">
        <v>8.3487999999999998E-4</v>
      </c>
      <c r="V30" s="28">
        <v>6.7143999999999996E-6</v>
      </c>
      <c r="W30" s="28">
        <v>4.0856000000000003E-2</v>
      </c>
      <c r="X30" s="28">
        <v>2.9329999999999997E-4</v>
      </c>
      <c r="Y30" s="28">
        <v>7.4627000000000005E-4</v>
      </c>
      <c r="Z30" s="28">
        <v>1.9398999999999998E-5</v>
      </c>
      <c r="AA30" s="28">
        <v>1.0078999999999999E-3</v>
      </c>
      <c r="AB30" s="28">
        <v>-1.2006E-6</v>
      </c>
      <c r="AC30" s="28">
        <v>8.3915000000000004E-10</v>
      </c>
      <c r="AD30" s="28">
        <v>5.6450000000000003E-5</v>
      </c>
      <c r="AE30" s="28">
        <v>2.0487000000000001E-4</v>
      </c>
      <c r="AF30" s="28">
        <v>1.2349E-4</v>
      </c>
      <c r="AG30" s="28">
        <v>2.1759000000000002E-6</v>
      </c>
      <c r="AH30" s="28">
        <v>1.4284000000000001E-4</v>
      </c>
      <c r="AI30" s="29">
        <v>1.5537999999999999E-3</v>
      </c>
      <c r="AK30" s="16">
        <f t="shared" si="7"/>
        <v>3.5008942626519744E-4</v>
      </c>
      <c r="AL30" s="16">
        <f t="shared" si="23"/>
        <v>2.3569089325786247E-5</v>
      </c>
      <c r="AM30" s="16">
        <f t="shared" si="24"/>
        <v>3.2476370700338275E-3</v>
      </c>
      <c r="AN30" s="16">
        <f t="shared" si="25"/>
        <v>1.0431104933516428E-6</v>
      </c>
      <c r="AO30" s="16">
        <f t="shared" si="26"/>
        <v>6.5678031952305985E-5</v>
      </c>
      <c r="AP30" s="16">
        <f t="shared" si="27"/>
        <v>2.1983199919616841E-8</v>
      </c>
      <c r="AQ30" s="16">
        <f t="shared" si="28"/>
        <v>2.3735787252570588E-7</v>
      </c>
      <c r="AR30" s="16">
        <f t="shared" si="29"/>
        <v>3.9665070167799841E-5</v>
      </c>
      <c r="AS30" s="16">
        <f t="shared" si="30"/>
        <v>7.8714237867166833E-6</v>
      </c>
      <c r="AT30" s="16">
        <f t="shared" si="31"/>
        <v>3.3857231368322337E-3</v>
      </c>
      <c r="AU30" s="16">
        <f t="shared" si="32"/>
        <v>5.7214723515423513E-6</v>
      </c>
      <c r="AV30" s="16">
        <f t="shared" si="33"/>
        <v>3.5253876812807715E-4</v>
      </c>
      <c r="AW30" s="16">
        <f t="shared" si="34"/>
        <v>8.5829219278561137E-5</v>
      </c>
      <c r="AX30" s="16">
        <f t="shared" si="8"/>
        <v>1.9853461499815788E-5</v>
      </c>
      <c r="AY30" s="16">
        <f t="shared" si="9"/>
        <v>1.596685534380547E-7</v>
      </c>
      <c r="AZ30" s="16">
        <f t="shared" si="10"/>
        <v>9.7155641893023419E-4</v>
      </c>
      <c r="BA30" s="16">
        <f t="shared" si="11"/>
        <v>6.974679304685667E-6</v>
      </c>
      <c r="BB30" s="16">
        <f t="shared" si="12"/>
        <v>1.7746314097196639E-5</v>
      </c>
      <c r="BC30" s="16">
        <f t="shared" si="13"/>
        <v>4.6130857085440594E-7</v>
      </c>
      <c r="BD30" s="16">
        <f t="shared" si="14"/>
        <v>2.3967880229092004E-5</v>
      </c>
      <c r="BE30" s="16">
        <f t="shared" si="15"/>
        <v>-2.855028971430485E-8</v>
      </c>
      <c r="BF30" s="16">
        <f t="shared" si="16"/>
        <v>1.9955002177043911E-11</v>
      </c>
      <c r="BG30" s="16">
        <f t="shared" si="17"/>
        <v>1.3423820209666076E-6</v>
      </c>
      <c r="BH30" s="16">
        <f t="shared" si="18"/>
        <v>4.8718123053220349E-6</v>
      </c>
      <c r="BI30" s="16">
        <f t="shared" si="19"/>
        <v>2.9365944334661887E-6</v>
      </c>
      <c r="BJ30" s="16">
        <f t="shared" si="20"/>
        <v>5.1742941353786385E-8</v>
      </c>
      <c r="BK30" s="16">
        <f t="shared" si="21"/>
        <v>3.3967377834343703E-6</v>
      </c>
      <c r="BL30" s="16">
        <f t="shared" si="22"/>
        <v>3.6949392102354554E-5</v>
      </c>
    </row>
    <row r="31" spans="2:64" x14ac:dyDescent="0.25">
      <c r="B31" s="263"/>
      <c r="C31" s="260" t="s">
        <v>231</v>
      </c>
      <c r="D31" s="95" t="str">
        <f>D27</f>
        <v>market for transport, freight train, US</v>
      </c>
      <c r="E31" s="13">
        <v>5.814381886994675E-4</v>
      </c>
      <c r="F31" s="28" t="str">
        <f t="shared" ref="F31:AI31" si="39">F27</f>
        <v>ton*km</v>
      </c>
      <c r="G31" s="28" t="str">
        <f t="shared" si="39"/>
        <v>Ecoinvent v3.7.1</v>
      </c>
      <c r="H31" s="28">
        <f t="shared" si="39"/>
        <v>5.6776E-2</v>
      </c>
      <c r="I31" s="28">
        <f t="shared" si="39"/>
        <v>6.7980000000000002E-3</v>
      </c>
      <c r="J31" s="28">
        <f t="shared" si="39"/>
        <v>0.76163999999999998</v>
      </c>
      <c r="K31" s="28">
        <f t="shared" si="39"/>
        <v>2.7837000000000001E-4</v>
      </c>
      <c r="L31" s="28">
        <f t="shared" si="39"/>
        <v>1.9703999999999999E-2</v>
      </c>
      <c r="M31" s="28">
        <f t="shared" si="39"/>
        <v>2.2373000000000001E-5</v>
      </c>
      <c r="N31" s="28">
        <f t="shared" si="39"/>
        <v>1.9324E-5</v>
      </c>
      <c r="O31" s="28">
        <f t="shared" si="39"/>
        <v>9.3579000000000006E-3</v>
      </c>
      <c r="P31" s="28">
        <f t="shared" si="39"/>
        <v>2.2211000000000002E-3</v>
      </c>
      <c r="Q31" s="28">
        <f t="shared" si="6"/>
        <v>0.80004106699999988</v>
      </c>
      <c r="R31" s="28">
        <f t="shared" si="39"/>
        <v>1.4016E-3</v>
      </c>
      <c r="S31" s="28">
        <f t="shared" si="39"/>
        <v>5.5599000000000003E-2</v>
      </c>
      <c r="T31" s="28">
        <f t="shared" si="39"/>
        <v>1.7649000000000001E-2</v>
      </c>
      <c r="U31" s="28">
        <f t="shared" si="39"/>
        <v>6.0475000000000004E-4</v>
      </c>
      <c r="V31" s="28">
        <f t="shared" si="39"/>
        <v>6.9609999999999999E-6</v>
      </c>
      <c r="W31" s="28">
        <f t="shared" si="39"/>
        <v>7.4047999999999996E-3</v>
      </c>
      <c r="X31" s="28">
        <f t="shared" si="39"/>
        <v>3.8148000000000001E-3</v>
      </c>
      <c r="Y31" s="28">
        <f t="shared" si="39"/>
        <v>5.5581999999999995E-4</v>
      </c>
      <c r="Z31" s="28">
        <f t="shared" si="39"/>
        <v>2.8194000000000001E-5</v>
      </c>
      <c r="AA31" s="28">
        <f t="shared" si="39"/>
        <v>3.0623999999999998E-3</v>
      </c>
      <c r="AB31" s="28">
        <f t="shared" si="39"/>
        <v>-6.0309000000000001E-6</v>
      </c>
      <c r="AC31" s="28">
        <f t="shared" si="39"/>
        <v>7.8290000000000002E-9</v>
      </c>
      <c r="AD31" s="28">
        <f t="shared" si="39"/>
        <v>2.0838000000000001E-4</v>
      </c>
      <c r="AE31" s="28">
        <f t="shared" si="39"/>
        <v>7.5715999999999999E-4</v>
      </c>
      <c r="AF31" s="28">
        <f t="shared" si="39"/>
        <v>4.5595999999999999E-4</v>
      </c>
      <c r="AG31" s="28">
        <f t="shared" si="39"/>
        <v>3.5808000000000001E-6</v>
      </c>
      <c r="AH31" s="28">
        <f t="shared" si="39"/>
        <v>2.4367999999999998E-3</v>
      </c>
      <c r="AI31" s="29">
        <f t="shared" si="39"/>
        <v>1.3276E-4</v>
      </c>
      <c r="AK31" s="16">
        <f t="shared" si="7"/>
        <v>3.3011734601600964E-5</v>
      </c>
      <c r="AL31" s="16">
        <f t="shared" si="23"/>
        <v>3.95261680677898E-6</v>
      </c>
      <c r="AM31" s="16">
        <f t="shared" si="24"/>
        <v>4.4284658204106242E-4</v>
      </c>
      <c r="AN31" s="16">
        <f t="shared" si="25"/>
        <v>1.6185494858827077E-7</v>
      </c>
      <c r="AO31" s="16">
        <f t="shared" si="26"/>
        <v>1.1456658070134308E-5</v>
      </c>
      <c r="AP31" s="16">
        <f t="shared" si="27"/>
        <v>1.3008516595773187E-8</v>
      </c>
      <c r="AQ31" s="16">
        <f t="shared" si="28"/>
        <v>1.1235711558428509E-8</v>
      </c>
      <c r="AR31" s="16">
        <f t="shared" si="29"/>
        <v>5.4410404260307473E-6</v>
      </c>
      <c r="AS31" s="16">
        <f t="shared" si="30"/>
        <v>1.2914323609203874E-6</v>
      </c>
      <c r="AT31" s="16">
        <f t="shared" si="31"/>
        <v>4.6517442888166928E-4</v>
      </c>
      <c r="AU31" s="16">
        <f t="shared" si="32"/>
        <v>8.1494376528117361E-7</v>
      </c>
      <c r="AV31" s="16">
        <f t="shared" si="33"/>
        <v>3.2327381853501697E-5</v>
      </c>
      <c r="AW31" s="16">
        <f t="shared" si="34"/>
        <v>1.0261802592356902E-5</v>
      </c>
      <c r="AX31" s="16">
        <f t="shared" si="8"/>
        <v>3.5162474461600299E-7</v>
      </c>
      <c r="AY31" s="16">
        <f t="shared" si="9"/>
        <v>4.0473912315369933E-9</v>
      </c>
      <c r="AZ31" s="16">
        <f t="shared" si="10"/>
        <v>4.3054334996818166E-6</v>
      </c>
      <c r="BA31" s="16">
        <f t="shared" si="11"/>
        <v>2.2180704022507285E-6</v>
      </c>
      <c r="BB31" s="16">
        <f t="shared" si="12"/>
        <v>3.23174974042938E-7</v>
      </c>
      <c r="BC31" s="16">
        <f t="shared" si="13"/>
        <v>1.6393068292192788E-8</v>
      </c>
      <c r="BD31" s="16">
        <f t="shared" si="14"/>
        <v>1.7805963090732491E-6</v>
      </c>
      <c r="BE31" s="16">
        <f t="shared" si="15"/>
        <v>-3.5065955722276187E-9</v>
      </c>
      <c r="BF31" s="16">
        <f t="shared" si="16"/>
        <v>4.5520795793281312E-12</v>
      </c>
      <c r="BG31" s="16">
        <f t="shared" si="17"/>
        <v>1.2116008976119504E-7</v>
      </c>
      <c r="BH31" s="16">
        <f t="shared" si="18"/>
        <v>4.4024173895568878E-7</v>
      </c>
      <c r="BI31" s="16">
        <f t="shared" si="19"/>
        <v>2.6511255651940921E-7</v>
      </c>
      <c r="BJ31" s="16">
        <f t="shared" si="20"/>
        <v>2.0820138660950532E-9</v>
      </c>
      <c r="BK31" s="16">
        <f t="shared" si="21"/>
        <v>1.4168485782228624E-6</v>
      </c>
      <c r="BL31" s="16">
        <f t="shared" si="22"/>
        <v>7.7191733931741303E-8</v>
      </c>
    </row>
    <row r="32" spans="2:64" x14ac:dyDescent="0.25">
      <c r="B32" s="263"/>
      <c r="C32" s="260"/>
      <c r="D32" s="95" t="str">
        <f>D28</f>
        <v>market for transport, freight, lorry, unspecified, RoW</v>
      </c>
      <c r="E32" s="13">
        <v>2.3594132029339856E-4</v>
      </c>
      <c r="F32" s="28" t="str">
        <f t="shared" ref="F32:AI32" si="40">F28</f>
        <v>ton*km</v>
      </c>
      <c r="G32" s="28" t="str">
        <f t="shared" si="40"/>
        <v>Ecoinvent v3.7.1</v>
      </c>
      <c r="H32" s="28">
        <f t="shared" si="40"/>
        <v>0.13636999999999999</v>
      </c>
      <c r="I32" s="28">
        <f t="shared" si="40"/>
        <v>6.9908000000000001E-3</v>
      </c>
      <c r="J32" s="28">
        <f t="shared" si="40"/>
        <v>2.1494</v>
      </c>
      <c r="K32" s="28">
        <f t="shared" si="40"/>
        <v>4.2317E-4</v>
      </c>
      <c r="L32" s="28">
        <f t="shared" si="40"/>
        <v>2.7064999999999999E-2</v>
      </c>
      <c r="M32" s="28">
        <f t="shared" si="40"/>
        <v>4.1281E-5</v>
      </c>
      <c r="N32" s="28">
        <f t="shared" si="40"/>
        <v>1.0814E-4</v>
      </c>
      <c r="O32" s="28">
        <f t="shared" si="40"/>
        <v>1.3462999999999999E-2</v>
      </c>
      <c r="P32" s="28">
        <f t="shared" si="40"/>
        <v>3.0428E-3</v>
      </c>
      <c r="Q32" s="28">
        <f t="shared" si="6"/>
        <v>2.2005341909999996</v>
      </c>
      <c r="R32" s="28">
        <f t="shared" si="40"/>
        <v>1.4258999999999999E-3</v>
      </c>
      <c r="S32" s="28">
        <f t="shared" si="40"/>
        <v>0.13497999999999999</v>
      </c>
      <c r="T32" s="28">
        <f t="shared" si="40"/>
        <v>4.9605000000000003E-2</v>
      </c>
      <c r="U32" s="28">
        <f t="shared" si="40"/>
        <v>1.0038E-3</v>
      </c>
      <c r="V32" s="28">
        <f t="shared" si="40"/>
        <v>1.0964999999999999E-5</v>
      </c>
      <c r="W32" s="28">
        <f t="shared" si="40"/>
        <v>3.8466E-2</v>
      </c>
      <c r="X32" s="28">
        <f t="shared" si="40"/>
        <v>9.5805999999999999E-3</v>
      </c>
      <c r="Y32" s="28">
        <f t="shared" si="40"/>
        <v>1.3106000000000001E-3</v>
      </c>
      <c r="Z32" s="28">
        <f t="shared" si="40"/>
        <v>3.1108000000000001E-5</v>
      </c>
      <c r="AA32" s="28">
        <f t="shared" si="40"/>
        <v>2.4895999999999998E-3</v>
      </c>
      <c r="AB32" s="28">
        <f t="shared" si="40"/>
        <v>-1.3329000000000001E-5</v>
      </c>
      <c r="AC32" s="28">
        <f t="shared" si="40"/>
        <v>2.3712999999999999E-8</v>
      </c>
      <c r="AD32" s="28">
        <f t="shared" si="40"/>
        <v>3.1092000000000001E-4</v>
      </c>
      <c r="AE32" s="28">
        <f t="shared" si="40"/>
        <v>8.5815999999999996E-4</v>
      </c>
      <c r="AF32" s="28">
        <f t="shared" si="40"/>
        <v>5.8348000000000004E-4</v>
      </c>
      <c r="AG32" s="28">
        <f t="shared" si="40"/>
        <v>6.5215000000000005E-5</v>
      </c>
      <c r="AH32" s="28">
        <f t="shared" si="40"/>
        <v>9.1982000000000001E-3</v>
      </c>
      <c r="AI32" s="29">
        <f t="shared" si="40"/>
        <v>2.1341E-4</v>
      </c>
      <c r="AK32" s="16">
        <f t="shared" si="7"/>
        <v>3.2175317848410761E-5</v>
      </c>
      <c r="AL32" s="16">
        <f t="shared" si="23"/>
        <v>1.6494185819070908E-6</v>
      </c>
      <c r="AM32" s="16">
        <f t="shared" si="24"/>
        <v>5.071322738386309E-4</v>
      </c>
      <c r="AN32" s="16">
        <f t="shared" si="25"/>
        <v>9.9843288508557472E-8</v>
      </c>
      <c r="AO32" s="16">
        <f t="shared" si="26"/>
        <v>6.385751833740832E-6</v>
      </c>
      <c r="AP32" s="16">
        <f t="shared" si="27"/>
        <v>9.7398936430317857E-9</v>
      </c>
      <c r="AQ32" s="16">
        <f t="shared" si="28"/>
        <v>2.5514694376528121E-8</v>
      </c>
      <c r="AR32" s="16">
        <f t="shared" si="29"/>
        <v>3.1764779951100244E-6</v>
      </c>
      <c r="AS32" s="16">
        <f t="shared" si="30"/>
        <v>7.1792224938875315E-7</v>
      </c>
      <c r="AT32" s="16">
        <f t="shared" si="31"/>
        <v>5.1919694237530559E-4</v>
      </c>
      <c r="AU32" s="16">
        <f t="shared" si="32"/>
        <v>3.36428728606357E-7</v>
      </c>
      <c r="AV32" s="16">
        <f t="shared" si="33"/>
        <v>3.1847359413202937E-5</v>
      </c>
      <c r="AW32" s="16">
        <f t="shared" si="34"/>
        <v>1.1703869193154036E-5</v>
      </c>
      <c r="AX32" s="16">
        <f t="shared" si="8"/>
        <v>2.3683789731051348E-7</v>
      </c>
      <c r="AY32" s="16">
        <f t="shared" si="9"/>
        <v>2.5870965770171151E-9</v>
      </c>
      <c r="AZ32" s="16">
        <f t="shared" si="10"/>
        <v>9.0757188264058682E-6</v>
      </c>
      <c r="BA32" s="16">
        <f t="shared" si="11"/>
        <v>2.2604594132029341E-6</v>
      </c>
      <c r="BB32" s="16">
        <f t="shared" si="12"/>
        <v>3.0922469437652816E-7</v>
      </c>
      <c r="BC32" s="16">
        <f t="shared" si="13"/>
        <v>7.3396625916870423E-9</v>
      </c>
      <c r="BD32" s="16">
        <f t="shared" si="14"/>
        <v>5.8739951100244497E-7</v>
      </c>
      <c r="BE32" s="16">
        <f t="shared" si="15"/>
        <v>-3.1448618581907093E-9</v>
      </c>
      <c r="BF32" s="16">
        <f t="shared" si="16"/>
        <v>5.5948765281173595E-12</v>
      </c>
      <c r="BG32" s="16">
        <f t="shared" si="17"/>
        <v>7.3358875305623488E-8</v>
      </c>
      <c r="BH32" s="16">
        <f t="shared" si="18"/>
        <v>2.0247540342298289E-7</v>
      </c>
      <c r="BI32" s="16">
        <f t="shared" si="19"/>
        <v>1.376670415647922E-7</v>
      </c>
      <c r="BJ32" s="16">
        <f t="shared" si="20"/>
        <v>1.5386913202933989E-8</v>
      </c>
      <c r="BK32" s="16">
        <f t="shared" si="21"/>
        <v>2.1702354523227385E-6</v>
      </c>
      <c r="BL32" s="16">
        <f t="shared" si="22"/>
        <v>5.0352237163814186E-8</v>
      </c>
    </row>
    <row r="33" spans="2:64" x14ac:dyDescent="0.25">
      <c r="B33" s="263"/>
      <c r="C33" s="260"/>
      <c r="D33" s="95" t="s">
        <v>223</v>
      </c>
      <c r="E33" s="13">
        <v>5.1914123991023881E-2</v>
      </c>
      <c r="F33" s="28" t="str">
        <f>F29</f>
        <v>kg</v>
      </c>
      <c r="G33" s="28" t="str">
        <f>G29</f>
        <v>Ecoinvent v3.7.1</v>
      </c>
      <c r="H33" s="28">
        <v>0.64043000000000005</v>
      </c>
      <c r="I33" s="28">
        <v>2.7238000000000002E-3</v>
      </c>
      <c r="J33" s="28">
        <v>0.33917000000000003</v>
      </c>
      <c r="K33" s="28">
        <v>3.0300999999999999E-4</v>
      </c>
      <c r="L33" s="28">
        <v>2.0362000000000002E-2</v>
      </c>
      <c r="M33" s="28">
        <v>4.9242999999999996E-6</v>
      </c>
      <c r="N33" s="28">
        <v>7.8706999999999996E-4</v>
      </c>
      <c r="O33" s="28">
        <v>8.9110999999999999E-3</v>
      </c>
      <c r="P33" s="28">
        <v>2.2732999999999998E-3</v>
      </c>
      <c r="Q33" s="28">
        <f t="shared" si="6"/>
        <v>0.37453520429999998</v>
      </c>
      <c r="R33" s="28">
        <v>1.4088E-3</v>
      </c>
      <c r="S33" s="28">
        <v>0.50793999999999995</v>
      </c>
      <c r="T33" s="28">
        <v>8.0043000000000007E-3</v>
      </c>
      <c r="U33" s="28">
        <v>0.16497000000000001</v>
      </c>
      <c r="V33" s="28">
        <v>1.6129000000000001E-5</v>
      </c>
      <c r="W33" s="28">
        <v>0.44524999999999998</v>
      </c>
      <c r="X33" s="28">
        <v>2.1302000000000001E-3</v>
      </c>
      <c r="Y33" s="28">
        <v>0.14182</v>
      </c>
      <c r="Z33" s="28">
        <v>2.8140999999999999E-3</v>
      </c>
      <c r="AA33" s="28">
        <v>4.6464E-4</v>
      </c>
      <c r="AB33" s="28">
        <v>-4.4617E-6</v>
      </c>
      <c r="AC33" s="28">
        <v>2.7904999999999998E-9</v>
      </c>
      <c r="AD33" s="28">
        <v>6.2943999999999999E-5</v>
      </c>
      <c r="AE33" s="28">
        <v>3.5084999999999999E-4</v>
      </c>
      <c r="AF33" s="28">
        <v>1.3430000000000001E-4</v>
      </c>
      <c r="AG33" s="28">
        <v>1.0294E-5</v>
      </c>
      <c r="AH33" s="28">
        <v>3.1819999999999999E-3</v>
      </c>
      <c r="AI33" s="29">
        <v>7.6062000000000005E-5</v>
      </c>
      <c r="AK33" s="16">
        <f t="shared" si="7"/>
        <v>3.3247362427571425E-2</v>
      </c>
      <c r="AL33" s="16">
        <f t="shared" si="23"/>
        <v>1.4140369092675086E-4</v>
      </c>
      <c r="AM33" s="16">
        <f t="shared" si="24"/>
        <v>1.7607713434035572E-2</v>
      </c>
      <c r="AN33" s="16">
        <f t="shared" si="25"/>
        <v>1.5730498710520146E-5</v>
      </c>
      <c r="AO33" s="16">
        <f t="shared" si="26"/>
        <v>1.0570753927052283E-3</v>
      </c>
      <c r="AP33" s="16">
        <f t="shared" si="27"/>
        <v>2.5564072076899887E-7</v>
      </c>
      <c r="AQ33" s="16">
        <f t="shared" si="28"/>
        <v>4.0860049569615162E-5</v>
      </c>
      <c r="AR33" s="16">
        <f t="shared" si="29"/>
        <v>4.6261195029641288E-4</v>
      </c>
      <c r="AS33" s="16">
        <f t="shared" si="30"/>
        <v>1.1801637806879458E-4</v>
      </c>
      <c r="AT33" s="16">
        <f t="shared" si="31"/>
        <v>1.9443667035033658E-2</v>
      </c>
      <c r="AU33" s="16">
        <f t="shared" si="32"/>
        <v>7.3136617878554445E-5</v>
      </c>
      <c r="AV33" s="16">
        <f t="shared" si="33"/>
        <v>2.6369260140000666E-2</v>
      </c>
      <c r="AW33" s="16">
        <f t="shared" si="34"/>
        <v>4.155362226613525E-4</v>
      </c>
      <c r="AX33" s="16">
        <f t="shared" si="8"/>
        <v>8.5642730347992094E-3</v>
      </c>
      <c r="AY33" s="16">
        <f t="shared" si="9"/>
        <v>8.3732290585122426E-7</v>
      </c>
      <c r="AZ33" s="16">
        <f t="shared" si="10"/>
        <v>2.3114763707003383E-2</v>
      </c>
      <c r="BA33" s="16">
        <f t="shared" si="11"/>
        <v>1.1058746692567907E-4</v>
      </c>
      <c r="BB33" s="16">
        <f t="shared" si="12"/>
        <v>7.3624610644070065E-3</v>
      </c>
      <c r="BC33" s="16">
        <f t="shared" si="13"/>
        <v>1.460915363231403E-4</v>
      </c>
      <c r="BD33" s="16">
        <f t="shared" si="14"/>
        <v>2.4121378571189335E-5</v>
      </c>
      <c r="BE33" s="16">
        <f t="shared" si="15"/>
        <v>-2.3162524701075124E-7</v>
      </c>
      <c r="BF33" s="16">
        <f t="shared" si="16"/>
        <v>1.4486636299695214E-10</v>
      </c>
      <c r="BG33" s="16">
        <f t="shared" si="17"/>
        <v>3.2676826204910069E-6</v>
      </c>
      <c r="BH33" s="16">
        <f t="shared" si="18"/>
        <v>1.8214070402250729E-5</v>
      </c>
      <c r="BI33" s="16">
        <f t="shared" si="19"/>
        <v>6.972066851994508E-6</v>
      </c>
      <c r="BJ33" s="16">
        <f t="shared" si="20"/>
        <v>5.3440399236359979E-7</v>
      </c>
      <c r="BK33" s="16">
        <f t="shared" si="21"/>
        <v>1.6519074253943799E-4</v>
      </c>
      <c r="BL33" s="16">
        <f t="shared" si="22"/>
        <v>3.9486920990052586E-6</v>
      </c>
    </row>
    <row r="34" spans="2:64" x14ac:dyDescent="0.25">
      <c r="B34" s="263"/>
      <c r="C34" s="260"/>
      <c r="D34" s="28" t="s">
        <v>224</v>
      </c>
      <c r="E34" s="13">
        <v>1.2224938875305624E-2</v>
      </c>
      <c r="F34" s="28" t="str">
        <f>F30</f>
        <v>kg</v>
      </c>
      <c r="G34" s="28" t="str">
        <f>G30</f>
        <v>Ecoinvent v3.7.1</v>
      </c>
      <c r="H34" s="28">
        <v>0.51863999999999999</v>
      </c>
      <c r="I34" s="28">
        <v>3.3668000000000001E-3</v>
      </c>
      <c r="J34" s="28">
        <v>0.31705</v>
      </c>
      <c r="K34" s="28">
        <v>1.2481999999999999E-4</v>
      </c>
      <c r="L34" s="28">
        <v>8.7819000000000005E-3</v>
      </c>
      <c r="M34" s="28">
        <v>3.7614000000000001E-6</v>
      </c>
      <c r="N34" s="28">
        <v>1.1262E-5</v>
      </c>
      <c r="O34" s="28">
        <v>5.3880000000000004E-3</v>
      </c>
      <c r="P34" s="28">
        <v>1.0765E-3</v>
      </c>
      <c r="Q34" s="28">
        <f t="shared" si="6"/>
        <v>0.33580304340000006</v>
      </c>
      <c r="R34" s="28">
        <v>1.0613E-3</v>
      </c>
      <c r="S34" s="28">
        <v>0.51951999999999998</v>
      </c>
      <c r="T34" s="28">
        <v>7.9691999999999992E-3</v>
      </c>
      <c r="U34" s="28">
        <v>0.29725000000000001</v>
      </c>
      <c r="V34" s="28">
        <v>3.9206999999999999E-5</v>
      </c>
      <c r="W34" s="28">
        <v>0.38894000000000001</v>
      </c>
      <c r="X34" s="28">
        <v>1.0204000000000001E-3</v>
      </c>
      <c r="Y34" s="28">
        <v>0.28754999999999997</v>
      </c>
      <c r="Z34" s="28">
        <v>5.1347999999999997E-5</v>
      </c>
      <c r="AA34" s="28">
        <v>1.2708000000000001E-3</v>
      </c>
      <c r="AB34" s="28">
        <v>-3.0469E-6</v>
      </c>
      <c r="AC34" s="28">
        <v>2.8759E-9</v>
      </c>
      <c r="AD34" s="28">
        <v>1.0466E-4</v>
      </c>
      <c r="AE34" s="28">
        <v>3.5346999999999999E-4</v>
      </c>
      <c r="AF34" s="28">
        <v>2.4007E-4</v>
      </c>
      <c r="AG34" s="28">
        <v>8.6168999999999994E-5</v>
      </c>
      <c r="AH34" s="28">
        <v>9.3754999999999999E-4</v>
      </c>
      <c r="AI34" s="29">
        <v>1.6168000000000001E-3</v>
      </c>
      <c r="AK34" s="16">
        <f t="shared" si="7"/>
        <v>6.340342298288509E-3</v>
      </c>
      <c r="AL34" s="16">
        <f t="shared" si="23"/>
        <v>4.1158924205378976E-5</v>
      </c>
      <c r="AM34" s="16">
        <f t="shared" si="24"/>
        <v>3.8759168704156481E-3</v>
      </c>
      <c r="AN34" s="16">
        <f t="shared" si="25"/>
        <v>1.5259168704156478E-6</v>
      </c>
      <c r="AO34" s="16">
        <f t="shared" si="26"/>
        <v>1.0735819070904647E-4</v>
      </c>
      <c r="AP34" s="16">
        <f t="shared" si="27"/>
        <v>4.5982885085574576E-8</v>
      </c>
      <c r="AQ34" s="16">
        <f t="shared" si="28"/>
        <v>1.3767726161369193E-7</v>
      </c>
      <c r="AR34" s="16">
        <f t="shared" si="29"/>
        <v>6.5867970660146713E-5</v>
      </c>
      <c r="AS34" s="16">
        <f t="shared" si="30"/>
        <v>1.3160146699266505E-5</v>
      </c>
      <c r="AT34" s="16">
        <f t="shared" si="31"/>
        <v>4.1051716797066021E-3</v>
      </c>
      <c r="AU34" s="16">
        <f t="shared" si="32"/>
        <v>1.297432762836186E-5</v>
      </c>
      <c r="AV34" s="16">
        <f t="shared" si="33"/>
        <v>6.3511002444987773E-3</v>
      </c>
      <c r="AW34" s="16">
        <f t="shared" si="34"/>
        <v>9.7422982885085567E-5</v>
      </c>
      <c r="AX34" s="16">
        <f t="shared" si="8"/>
        <v>3.6338630806845968E-3</v>
      </c>
      <c r="AY34" s="16">
        <f t="shared" si="9"/>
        <v>4.793031784841076E-7</v>
      </c>
      <c r="AZ34" s="16">
        <f t="shared" si="10"/>
        <v>4.7547677261613698E-3</v>
      </c>
      <c r="BA34" s="16">
        <f t="shared" si="11"/>
        <v>1.247432762836186E-5</v>
      </c>
      <c r="BB34" s="16">
        <f t="shared" si="12"/>
        <v>3.515281173594132E-3</v>
      </c>
      <c r="BC34" s="16">
        <f t="shared" si="13"/>
        <v>6.2772616136919315E-7</v>
      </c>
      <c r="BD34" s="16">
        <f t="shared" si="14"/>
        <v>1.553545232273839E-5</v>
      </c>
      <c r="BE34" s="16">
        <f t="shared" si="15"/>
        <v>-3.7248166259168706E-8</v>
      </c>
      <c r="BF34" s="16">
        <f t="shared" si="16"/>
        <v>3.5157701711491444E-11</v>
      </c>
      <c r="BG34" s="16">
        <f t="shared" si="17"/>
        <v>1.2794621026894867E-6</v>
      </c>
      <c r="BH34" s="16">
        <f t="shared" si="18"/>
        <v>4.3211491442542789E-6</v>
      </c>
      <c r="BI34" s="16">
        <f t="shared" si="19"/>
        <v>2.9348410757946214E-6</v>
      </c>
      <c r="BJ34" s="16">
        <f t="shared" si="20"/>
        <v>1.0534107579462102E-6</v>
      </c>
      <c r="BK34" s="16">
        <f t="shared" si="21"/>
        <v>1.1461491442542788E-5</v>
      </c>
      <c r="BL34" s="16">
        <f t="shared" si="22"/>
        <v>1.9765281173594134E-5</v>
      </c>
    </row>
    <row r="35" spans="2:64" x14ac:dyDescent="0.25">
      <c r="B35" s="263"/>
      <c r="C35" s="260" t="s">
        <v>230</v>
      </c>
      <c r="D35" s="28" t="s">
        <v>225</v>
      </c>
      <c r="E35" s="13">
        <v>0.2084100880865459</v>
      </c>
      <c r="F35" s="28" t="s">
        <v>106</v>
      </c>
      <c r="G35" s="28" t="str">
        <f t="shared" ref="G35:G38" si="41">G31</f>
        <v>Ecoinvent v3.7.1</v>
      </c>
      <c r="H35" s="28">
        <v>2.2270999999999999E-2</v>
      </c>
      <c r="I35" s="28">
        <v>1.6984999999999999E-3</v>
      </c>
      <c r="J35" s="28">
        <v>0.10712000000000001</v>
      </c>
      <c r="K35" s="28">
        <v>6.1023999999999997E-5</v>
      </c>
      <c r="L35" s="28">
        <v>6.4291000000000001E-3</v>
      </c>
      <c r="M35" s="28">
        <v>6.4362999999999995E-7</v>
      </c>
      <c r="N35" s="28">
        <v>1.9995999999999999E-6</v>
      </c>
      <c r="O35" s="28">
        <v>1.7657E-3</v>
      </c>
      <c r="P35" s="28">
        <v>5.5827000000000003E-4</v>
      </c>
      <c r="Q35" s="28">
        <f t="shared" si="6"/>
        <v>0.11763523723000002</v>
      </c>
      <c r="R35" s="28">
        <v>2.8200000000000002E-4</v>
      </c>
      <c r="S35" s="28">
        <v>2.3848000000000001E-2</v>
      </c>
      <c r="T35" s="28">
        <v>2.6584E-3</v>
      </c>
      <c r="U35" s="28">
        <v>1.2792000000000001E-4</v>
      </c>
      <c r="V35" s="28">
        <v>1.1086000000000001E-6</v>
      </c>
      <c r="W35" s="28">
        <v>1.3946E-3</v>
      </c>
      <c r="X35" s="28">
        <v>3.1328999999999998E-4</v>
      </c>
      <c r="Y35" s="28">
        <v>1.2097E-4</v>
      </c>
      <c r="Z35" s="28">
        <v>3.8994999999999997E-6</v>
      </c>
      <c r="AA35" s="28">
        <v>7.216E-5</v>
      </c>
      <c r="AB35" s="28">
        <v>-1.5337E-7</v>
      </c>
      <c r="AC35" s="28">
        <v>1.6068999999999999E-10</v>
      </c>
      <c r="AD35" s="28">
        <v>1.6650000000000002E-5</v>
      </c>
      <c r="AE35" s="28">
        <v>9.8548000000000004E-3</v>
      </c>
      <c r="AF35" s="28">
        <v>7.0860999999999998E-5</v>
      </c>
      <c r="AG35" s="28">
        <v>3.0595000000000001E-6</v>
      </c>
      <c r="AH35" s="28">
        <v>2.5265999999999998E-5</v>
      </c>
      <c r="AI35" s="29">
        <v>5.9926000000000001E-4</v>
      </c>
      <c r="AK35" s="16">
        <f t="shared" si="7"/>
        <v>4.6415010717754633E-3</v>
      </c>
      <c r="AL35" s="16">
        <f t="shared" si="23"/>
        <v>3.5398453461499822E-4</v>
      </c>
      <c r="AM35" s="16">
        <f t="shared" si="24"/>
        <v>2.2324888635830799E-2</v>
      </c>
      <c r="AN35" s="16">
        <f t="shared" si="25"/>
        <v>1.2718017215393376E-5</v>
      </c>
      <c r="AO35" s="16">
        <f t="shared" si="26"/>
        <v>1.3398892973172122E-3</v>
      </c>
      <c r="AP35" s="16">
        <f t="shared" si="27"/>
        <v>1.3413898499514352E-7</v>
      </c>
      <c r="AQ35" s="16">
        <f t="shared" si="28"/>
        <v>4.1673681213785714E-7</v>
      </c>
      <c r="AR35" s="16">
        <f t="shared" si="29"/>
        <v>3.6798969253441408E-4</v>
      </c>
      <c r="AS35" s="16">
        <f t="shared" si="30"/>
        <v>1.1634909987607599E-4</v>
      </c>
      <c r="AT35" s="16">
        <f t="shared" si="31"/>
        <v>2.4516370153186029E-2</v>
      </c>
      <c r="AU35" s="16">
        <f t="shared" si="32"/>
        <v>5.877164484040595E-5</v>
      </c>
      <c r="AV35" s="16">
        <f t="shared" si="33"/>
        <v>4.9701637806879471E-3</v>
      </c>
      <c r="AW35" s="16">
        <f t="shared" si="34"/>
        <v>5.5403737816927363E-4</v>
      </c>
      <c r="AX35" s="16">
        <f t="shared" si="8"/>
        <v>2.6659818468030953E-5</v>
      </c>
      <c r="AY35" s="16">
        <f t="shared" si="9"/>
        <v>2.310434236527448E-7</v>
      </c>
      <c r="AZ35" s="16">
        <f t="shared" si="10"/>
        <v>2.9064870884549691E-4</v>
      </c>
      <c r="BA35" s="16">
        <f t="shared" si="11"/>
        <v>6.5292796496633959E-5</v>
      </c>
      <c r="BB35" s="16">
        <f t="shared" si="12"/>
        <v>2.5211368355829457E-5</v>
      </c>
      <c r="BC35" s="16">
        <f t="shared" si="13"/>
        <v>8.1269513849348564E-7</v>
      </c>
      <c r="BD35" s="16">
        <f t="shared" si="14"/>
        <v>1.5038871956325153E-5</v>
      </c>
      <c r="BE35" s="16">
        <f t="shared" si="15"/>
        <v>-3.1963855209833544E-8</v>
      </c>
      <c r="BF35" s="16">
        <f t="shared" si="16"/>
        <v>3.3489417054627058E-11</v>
      </c>
      <c r="BG35" s="16">
        <f t="shared" si="17"/>
        <v>3.4700279666409895E-6</v>
      </c>
      <c r="BH35" s="16">
        <f t="shared" si="18"/>
        <v>2.0538397360752927E-3</v>
      </c>
      <c r="BI35" s="16">
        <f t="shared" si="19"/>
        <v>1.4768147251900729E-5</v>
      </c>
      <c r="BJ35" s="16">
        <f t="shared" si="20"/>
        <v>6.3763066450078716E-7</v>
      </c>
      <c r="BK35" s="16">
        <f t="shared" si="21"/>
        <v>5.2656892855946682E-6</v>
      </c>
      <c r="BL35" s="16">
        <f t="shared" si="22"/>
        <v>1.248918293867435E-4</v>
      </c>
    </row>
    <row r="36" spans="2:64" x14ac:dyDescent="0.25">
      <c r="B36" s="263"/>
      <c r="C36" s="260"/>
      <c r="D36" s="28" t="s">
        <v>226</v>
      </c>
      <c r="E36" s="13">
        <v>8.4737247546638986E-2</v>
      </c>
      <c r="F36" s="28" t="s">
        <v>106</v>
      </c>
      <c r="G36" s="28" t="str">
        <f t="shared" si="41"/>
        <v>Ecoinvent v3.7.1</v>
      </c>
      <c r="H36" s="28">
        <v>3.7794000000000001E-2</v>
      </c>
      <c r="I36" s="28">
        <v>2.6145000000000001E-3</v>
      </c>
      <c r="J36" s="28">
        <v>0.25758999999999999</v>
      </c>
      <c r="K36" s="28">
        <v>1.3584E-4</v>
      </c>
      <c r="L36" s="28">
        <v>7.7481E-3</v>
      </c>
      <c r="M36" s="28">
        <v>2.4727000000000001E-6</v>
      </c>
      <c r="N36" s="28">
        <v>1.7286999999999999E-5</v>
      </c>
      <c r="O36" s="28">
        <v>4.5507999999999998E-3</v>
      </c>
      <c r="P36" s="28">
        <v>9.2887000000000004E-4</v>
      </c>
      <c r="Q36" s="28">
        <f t="shared" si="6"/>
        <v>0.27358786969999999</v>
      </c>
      <c r="R36" s="28">
        <v>7.7901999999999995E-4</v>
      </c>
      <c r="S36" s="28">
        <v>3.8934999999999997E-2</v>
      </c>
      <c r="T36" s="28">
        <v>6.5189000000000002E-3</v>
      </c>
      <c r="U36" s="28">
        <v>3.0117999999999998E-3</v>
      </c>
      <c r="V36" s="28">
        <v>4.8656999999999998E-5</v>
      </c>
      <c r="W36" s="28">
        <v>4.2743000000000003E-2</v>
      </c>
      <c r="X36" s="28">
        <v>8.8615999999999999E-4</v>
      </c>
      <c r="Y36" s="28">
        <v>2.5766999999999999E-3</v>
      </c>
      <c r="Z36" s="28">
        <v>5.0881999999999998E-5</v>
      </c>
      <c r="AA36" s="28">
        <v>1.1984000000000001E-3</v>
      </c>
      <c r="AB36" s="28">
        <v>-2.4161999999999998E-6</v>
      </c>
      <c r="AC36" s="28">
        <v>2.3562999999999998E-9</v>
      </c>
      <c r="AD36" s="28">
        <v>8.3253999999999999E-5</v>
      </c>
      <c r="AE36" s="28">
        <v>2.7467000000000002E-4</v>
      </c>
      <c r="AF36" s="28">
        <v>1.8760000000000001E-4</v>
      </c>
      <c r="AG36" s="28">
        <v>7.8571999999999999E-6</v>
      </c>
      <c r="AH36" s="28">
        <v>6.9556999999999996E-4</v>
      </c>
      <c r="AI36" s="29">
        <v>1.8209999999999999E-3</v>
      </c>
      <c r="AK36" s="16">
        <f t="shared" si="7"/>
        <v>3.2025595337776738E-3</v>
      </c>
      <c r="AL36" s="16">
        <f t="shared" si="23"/>
        <v>2.2154553371068764E-4</v>
      </c>
      <c r="AM36" s="16">
        <f t="shared" si="24"/>
        <v>2.1827467595538736E-2</v>
      </c>
      <c r="AN36" s="16">
        <f t="shared" si="25"/>
        <v>1.151070770673544E-5</v>
      </c>
      <c r="AO36" s="16">
        <f t="shared" si="26"/>
        <v>6.5655266771611355E-4</v>
      </c>
      <c r="AP36" s="16">
        <f t="shared" si="27"/>
        <v>2.0952979200857423E-7</v>
      </c>
      <c r="AQ36" s="16">
        <f t="shared" si="28"/>
        <v>1.464852798338748E-6</v>
      </c>
      <c r="AR36" s="16">
        <f t="shared" si="29"/>
        <v>3.8562226613524466E-4</v>
      </c>
      <c r="AS36" s="16">
        <f t="shared" si="30"/>
        <v>7.8709887128646552E-5</v>
      </c>
      <c r="AT36" s="16">
        <f t="shared" si="31"/>
        <v>2.3183083040526509E-2</v>
      </c>
      <c r="AU36" s="16">
        <f t="shared" si="32"/>
        <v>6.6012010583782702E-5</v>
      </c>
      <c r="AV36" s="16">
        <f t="shared" si="33"/>
        <v>3.2992447332283888E-3</v>
      </c>
      <c r="AW36" s="16">
        <f t="shared" si="34"/>
        <v>5.5239364303178492E-4</v>
      </c>
      <c r="AX36" s="16">
        <f t="shared" si="8"/>
        <v>2.5521164216096728E-4</v>
      </c>
      <c r="AY36" s="16">
        <f t="shared" si="9"/>
        <v>4.123060253876813E-6</v>
      </c>
      <c r="AZ36" s="16">
        <f t="shared" si="10"/>
        <v>3.6219241718859906E-3</v>
      </c>
      <c r="BA36" s="16">
        <f t="shared" si="11"/>
        <v>7.5090759285929609E-5</v>
      </c>
      <c r="BB36" s="16">
        <f t="shared" si="12"/>
        <v>2.1834246575342466E-4</v>
      </c>
      <c r="BC36" s="16">
        <f t="shared" si="13"/>
        <v>4.3116006296680845E-6</v>
      </c>
      <c r="BD36" s="16">
        <f t="shared" si="14"/>
        <v>1.0154911745989217E-4</v>
      </c>
      <c r="BE36" s="16">
        <f t="shared" si="15"/>
        <v>-2.047421375221891E-7</v>
      </c>
      <c r="BF36" s="16">
        <f t="shared" si="16"/>
        <v>1.9966637639414543E-10</v>
      </c>
      <c r="BG36" s="16">
        <f t="shared" si="17"/>
        <v>7.0547148072478821E-6</v>
      </c>
      <c r="BH36" s="16">
        <f t="shared" si="18"/>
        <v>2.3274779783635332E-5</v>
      </c>
      <c r="BI36" s="16">
        <f t="shared" si="19"/>
        <v>1.5896707639749473E-5</v>
      </c>
      <c r="BJ36" s="16">
        <f t="shared" si="20"/>
        <v>6.6579750142345187E-7</v>
      </c>
      <c r="BK36" s="16">
        <f t="shared" si="21"/>
        <v>5.8940687276015675E-5</v>
      </c>
      <c r="BL36" s="16">
        <f t="shared" si="22"/>
        <v>1.5430652778242957E-4</v>
      </c>
    </row>
    <row r="37" spans="2:64" x14ac:dyDescent="0.25">
      <c r="B37" s="263"/>
      <c r="C37" s="260"/>
      <c r="D37" s="28" t="s">
        <v>227</v>
      </c>
      <c r="E37" s="13">
        <v>0.38357839032722646</v>
      </c>
      <c r="F37" s="28" t="s">
        <v>106</v>
      </c>
      <c r="G37" s="28" t="str">
        <f t="shared" si="41"/>
        <v>Ecoinvent v3.7.1</v>
      </c>
      <c r="H37" s="28">
        <v>0.63666</v>
      </c>
      <c r="I37" s="28">
        <v>0</v>
      </c>
      <c r="J37" s="28">
        <v>0</v>
      </c>
      <c r="K37" s="28">
        <v>0</v>
      </c>
      <c r="L37" s="28">
        <v>0</v>
      </c>
      <c r="M37" s="28">
        <v>0</v>
      </c>
      <c r="N37" s="28">
        <v>0</v>
      </c>
      <c r="O37" s="28">
        <v>0</v>
      </c>
      <c r="P37" s="28">
        <v>0</v>
      </c>
      <c r="Q37" s="28">
        <f t="shared" si="6"/>
        <v>0</v>
      </c>
      <c r="R37" s="28">
        <v>1.4285999999999999E-3</v>
      </c>
      <c r="S37" s="28">
        <v>0.49815999999999999</v>
      </c>
      <c r="T37" s="28">
        <v>0</v>
      </c>
      <c r="U37" s="28">
        <v>3.5815E-3</v>
      </c>
      <c r="V37" s="28">
        <v>9.2708999999999996E-5</v>
      </c>
      <c r="W37" s="28">
        <v>4.2217999999999999E-2</v>
      </c>
      <c r="X37" s="28">
        <v>0</v>
      </c>
      <c r="Y37" s="28">
        <v>2.996E-3</v>
      </c>
      <c r="Z37" s="28">
        <v>3.8180000000000002E-3</v>
      </c>
      <c r="AA37" s="28">
        <v>0</v>
      </c>
      <c r="AB37" s="28">
        <v>0</v>
      </c>
      <c r="AC37" s="28">
        <v>0</v>
      </c>
      <c r="AD37" s="28">
        <v>1.0857E-5</v>
      </c>
      <c r="AE37" s="28">
        <v>2.3137E-4</v>
      </c>
      <c r="AF37" s="28">
        <v>5.3486000000000003E-5</v>
      </c>
      <c r="AG37" s="28">
        <v>3.6125000000000001E-6</v>
      </c>
      <c r="AH37" s="28">
        <v>2.1427999999999998E-3</v>
      </c>
      <c r="AI37" s="29">
        <v>0</v>
      </c>
      <c r="AK37" s="16">
        <f t="shared" si="7"/>
        <v>0.244209017985732</v>
      </c>
      <c r="AL37" s="16">
        <f t="shared" si="23"/>
        <v>0</v>
      </c>
      <c r="AM37" s="16">
        <f t="shared" si="24"/>
        <v>0</v>
      </c>
      <c r="AN37" s="16">
        <f t="shared" si="25"/>
        <v>0</v>
      </c>
      <c r="AO37" s="16">
        <f t="shared" si="26"/>
        <v>0</v>
      </c>
      <c r="AP37" s="16">
        <f t="shared" si="27"/>
        <v>0</v>
      </c>
      <c r="AQ37" s="16">
        <f t="shared" si="28"/>
        <v>0</v>
      </c>
      <c r="AR37" s="16">
        <f t="shared" si="29"/>
        <v>0</v>
      </c>
      <c r="AS37" s="16">
        <f t="shared" si="30"/>
        <v>0</v>
      </c>
      <c r="AT37" s="16">
        <f t="shared" si="31"/>
        <v>0</v>
      </c>
      <c r="AU37" s="16">
        <f t="shared" si="32"/>
        <v>5.4798008842147565E-4</v>
      </c>
      <c r="AV37" s="16">
        <f t="shared" si="33"/>
        <v>0.19108341092541112</v>
      </c>
      <c r="AW37" s="16">
        <f t="shared" si="34"/>
        <v>0</v>
      </c>
      <c r="AX37" s="16">
        <f t="shared" si="8"/>
        <v>1.3737860049569616E-3</v>
      </c>
      <c r="AY37" s="16">
        <f t="shared" si="9"/>
        <v>3.5561168988846835E-5</v>
      </c>
      <c r="AZ37" s="16">
        <f t="shared" si="10"/>
        <v>1.6193912482834846E-2</v>
      </c>
      <c r="BA37" s="16">
        <f t="shared" si="11"/>
        <v>0</v>
      </c>
      <c r="BB37" s="16">
        <f t="shared" si="12"/>
        <v>1.1492008574203706E-3</v>
      </c>
      <c r="BC37" s="16">
        <f t="shared" si="13"/>
        <v>1.4645022942693508E-3</v>
      </c>
      <c r="BD37" s="16">
        <f t="shared" si="14"/>
        <v>0</v>
      </c>
      <c r="BE37" s="16">
        <f t="shared" si="15"/>
        <v>0</v>
      </c>
      <c r="BF37" s="16">
        <f t="shared" si="16"/>
        <v>0</v>
      </c>
      <c r="BG37" s="16">
        <f t="shared" si="17"/>
        <v>4.1645105837826979E-6</v>
      </c>
      <c r="BH37" s="16">
        <f t="shared" si="18"/>
        <v>8.8748532170010382E-5</v>
      </c>
      <c r="BI37" s="16">
        <f t="shared" si="19"/>
        <v>2.0516073785042036E-5</v>
      </c>
      <c r="BJ37" s="16">
        <f t="shared" si="20"/>
        <v>1.3856769350571057E-6</v>
      </c>
      <c r="BK37" s="16">
        <f t="shared" si="21"/>
        <v>8.2193177479318081E-4</v>
      </c>
      <c r="BL37" s="16">
        <f t="shared" si="22"/>
        <v>0</v>
      </c>
    </row>
    <row r="38" spans="2:64" x14ac:dyDescent="0.25">
      <c r="B38" s="263"/>
      <c r="C38" s="260"/>
      <c r="D38" s="28" t="s">
        <v>228</v>
      </c>
      <c r="E38" s="13">
        <v>0.14829018320661824</v>
      </c>
      <c r="F38" s="28" t="s">
        <v>106</v>
      </c>
      <c r="G38" s="28" t="str">
        <f t="shared" si="41"/>
        <v>Ecoinvent v3.7.1</v>
      </c>
      <c r="H38" s="28">
        <v>0.12883</v>
      </c>
      <c r="I38" s="28">
        <v>1.5289000000000001E-2</v>
      </c>
      <c r="J38" s="28">
        <v>0.42668</v>
      </c>
      <c r="K38" s="28">
        <v>1.1479E-4</v>
      </c>
      <c r="L38" s="28">
        <v>7.4073000000000003E-3</v>
      </c>
      <c r="M38" s="28">
        <v>3.4344000000000001E-6</v>
      </c>
      <c r="N38" s="28">
        <v>2.2028999999999999E-4</v>
      </c>
      <c r="O38" s="28">
        <v>3.6105999999999998E-3</v>
      </c>
      <c r="P38" s="28">
        <v>8.7571999999999997E-4</v>
      </c>
      <c r="Q38" s="28">
        <f t="shared" si="6"/>
        <v>0.45420113440000004</v>
      </c>
      <c r="R38" s="28">
        <v>2.2753000000000001E-3</v>
      </c>
      <c r="S38" s="28">
        <v>0.10562000000000001</v>
      </c>
      <c r="T38" s="28">
        <v>9.8312E-3</v>
      </c>
      <c r="U38" s="28">
        <v>4.5489E-4</v>
      </c>
      <c r="V38" s="28">
        <v>1.2595000000000001E-5</v>
      </c>
      <c r="W38" s="28">
        <v>1.2187999999999999E-2</v>
      </c>
      <c r="X38" s="28">
        <v>1.1638E-3</v>
      </c>
      <c r="Y38" s="28">
        <v>4.2063000000000002E-4</v>
      </c>
      <c r="Z38" s="28">
        <v>1.0983E-5</v>
      </c>
      <c r="AA38" s="28">
        <v>6.7619000000000002E-4</v>
      </c>
      <c r="AB38" s="28">
        <v>-6.0843000000000003E-6</v>
      </c>
      <c r="AC38" s="28">
        <v>2.1655E-9</v>
      </c>
      <c r="AD38" s="28">
        <v>6.3520000000000002E-5</v>
      </c>
      <c r="AE38" s="28">
        <v>2.2101999999999999E-4</v>
      </c>
      <c r="AF38" s="28">
        <v>1.6668999999999999E-4</v>
      </c>
      <c r="AG38" s="28">
        <v>1.9628999999999999E-6</v>
      </c>
      <c r="AH38" s="28">
        <v>4.0889000000000002E-4</v>
      </c>
      <c r="AI38" s="29">
        <v>7.6280999999999997E-5</v>
      </c>
      <c r="AK38" s="16">
        <f t="shared" si="7"/>
        <v>1.9104224302508629E-2</v>
      </c>
      <c r="AL38" s="16">
        <f t="shared" si="23"/>
        <v>2.2672086110459865E-3</v>
      </c>
      <c r="AM38" s="16">
        <f t="shared" si="24"/>
        <v>6.3272455370599875E-2</v>
      </c>
      <c r="AN38" s="16">
        <f t="shared" si="25"/>
        <v>1.7022230130287708E-5</v>
      </c>
      <c r="AO38" s="16">
        <f t="shared" si="26"/>
        <v>1.0984298740663834E-3</v>
      </c>
      <c r="AP38" s="16">
        <f t="shared" si="27"/>
        <v>5.0928780520480966E-7</v>
      </c>
      <c r="AQ38" s="16">
        <f t="shared" si="28"/>
        <v>3.2666844458585932E-5</v>
      </c>
      <c r="AR38" s="16">
        <f t="shared" si="29"/>
        <v>5.3541653548581578E-4</v>
      </c>
      <c r="AS38" s="16">
        <f t="shared" si="30"/>
        <v>1.2986067923769973E-4</v>
      </c>
      <c r="AT38" s="16">
        <f t="shared" si="31"/>
        <v>6.7353569432829843E-2</v>
      </c>
      <c r="AU38" s="16">
        <f t="shared" si="32"/>
        <v>3.3740465385001848E-4</v>
      </c>
      <c r="AV38" s="16">
        <f t="shared" si="33"/>
        <v>1.5662409150283021E-2</v>
      </c>
      <c r="AW38" s="16">
        <f t="shared" si="34"/>
        <v>1.4578704491409052E-3</v>
      </c>
      <c r="AX38" s="16">
        <f t="shared" si="8"/>
        <v>6.7455721438858574E-5</v>
      </c>
      <c r="AY38" s="16">
        <f t="shared" si="9"/>
        <v>1.8677148574873568E-6</v>
      </c>
      <c r="AZ38" s="16">
        <f t="shared" si="10"/>
        <v>1.807360752922263E-3</v>
      </c>
      <c r="BA38" s="16">
        <f t="shared" si="11"/>
        <v>1.725801152158623E-4</v>
      </c>
      <c r="BB38" s="16">
        <f t="shared" si="12"/>
        <v>6.2375299762199829E-5</v>
      </c>
      <c r="BC38" s="16">
        <f t="shared" si="13"/>
        <v>1.6286710821582881E-6</v>
      </c>
      <c r="BD38" s="16">
        <f t="shared" si="14"/>
        <v>1.0027233898248319E-4</v>
      </c>
      <c r="BE38" s="16">
        <f t="shared" si="15"/>
        <v>-9.0224196168402747E-7</v>
      </c>
      <c r="BF38" s="16">
        <f t="shared" si="16"/>
        <v>3.2112239173393178E-10</v>
      </c>
      <c r="BG38" s="16">
        <f t="shared" si="17"/>
        <v>9.4193924372843908E-6</v>
      </c>
      <c r="BH38" s="16">
        <f t="shared" si="18"/>
        <v>3.2775096292326764E-5</v>
      </c>
      <c r="BI38" s="16">
        <f t="shared" si="19"/>
        <v>2.4718490638711194E-5</v>
      </c>
      <c r="BJ38" s="16">
        <f t="shared" si="20"/>
        <v>2.9107880061627092E-7</v>
      </c>
      <c r="BK38" s="16">
        <f t="shared" si="21"/>
        <v>6.0634373011354134E-5</v>
      </c>
      <c r="BL38" s="16">
        <f t="shared" si="22"/>
        <v>1.1311723465184045E-5</v>
      </c>
    </row>
    <row r="39" spans="2:64" x14ac:dyDescent="0.25">
      <c r="B39" s="264"/>
      <c r="C39" s="262"/>
      <c r="D39" s="30" t="s">
        <v>229</v>
      </c>
      <c r="E39" s="14">
        <v>7.2271393643031784E-3</v>
      </c>
      <c r="F39" s="30" t="str">
        <f>F32</f>
        <v>ton*km</v>
      </c>
      <c r="G39" s="30" t="str">
        <f>G32</f>
        <v>Ecoinvent v3.7.1</v>
      </c>
      <c r="H39" s="30">
        <v>1.2787999999999999</v>
      </c>
      <c r="I39" s="30">
        <v>2.0715999999999998E-2</v>
      </c>
      <c r="J39" s="30">
        <v>18.395</v>
      </c>
      <c r="K39" s="30">
        <v>9.9054000000000004E-4</v>
      </c>
      <c r="L39" s="30">
        <v>7.1315000000000003E-2</v>
      </c>
      <c r="M39" s="30">
        <v>1.0205E-4</v>
      </c>
      <c r="N39" s="30">
        <v>4.4985000000000001E-4</v>
      </c>
      <c r="O39" s="30">
        <v>3.6873999999999997E-2</v>
      </c>
      <c r="P39" s="30">
        <v>7.4888000000000003E-3</v>
      </c>
      <c r="Q39" s="30">
        <f t="shared" si="6"/>
        <v>18.532936239999998</v>
      </c>
      <c r="R39" s="30">
        <v>4.1459000000000001E-3</v>
      </c>
      <c r="S39" s="30">
        <v>1.2653000000000001</v>
      </c>
      <c r="T39" s="30">
        <v>0.42215000000000003</v>
      </c>
      <c r="U39" s="30">
        <v>2.8855999999999999E-3</v>
      </c>
      <c r="V39" s="30">
        <v>2.4196999999999999E-5</v>
      </c>
      <c r="W39" s="30">
        <v>4.3348999999999999E-2</v>
      </c>
      <c r="X39" s="30">
        <v>7.8387999999999999E-2</v>
      </c>
      <c r="Y39" s="30">
        <v>2.7593000000000001E-3</v>
      </c>
      <c r="Z39" s="30">
        <v>3.3595000000000001E-4</v>
      </c>
      <c r="AA39" s="30">
        <v>7.3787999999999996E-3</v>
      </c>
      <c r="AB39" s="30">
        <v>-1.6172999999999999E-5</v>
      </c>
      <c r="AC39" s="30">
        <v>2.1988999999999999E-7</v>
      </c>
      <c r="AD39" s="30">
        <v>2.9832999999999999E-3</v>
      </c>
      <c r="AE39" s="30">
        <v>1.2548999999999999E-2</v>
      </c>
      <c r="AF39" s="30">
        <v>6.1199000000000002E-3</v>
      </c>
      <c r="AG39" s="30">
        <v>6.4292E-5</v>
      </c>
      <c r="AH39" s="30">
        <v>7.2857E-3</v>
      </c>
      <c r="AI39" s="31">
        <v>7.0341999999999996E-4</v>
      </c>
      <c r="AK39" s="16">
        <f t="shared" si="7"/>
        <v>9.2420658190709038E-3</v>
      </c>
      <c r="AL39" s="16">
        <f t="shared" si="23"/>
        <v>1.4971741907090464E-4</v>
      </c>
      <c r="AM39" s="16">
        <f t="shared" si="24"/>
        <v>0.13294322860635696</v>
      </c>
      <c r="AN39" s="16">
        <f t="shared" si="25"/>
        <v>7.1587706259168704E-6</v>
      </c>
      <c r="AO39" s="16">
        <f t="shared" si="26"/>
        <v>5.1540344376528114E-4</v>
      </c>
      <c r="AP39" s="16">
        <f t="shared" si="27"/>
        <v>7.3752957212713938E-7</v>
      </c>
      <c r="AQ39" s="16">
        <f t="shared" si="28"/>
        <v>3.2511286430317848E-6</v>
      </c>
      <c r="AR39" s="16">
        <f t="shared" si="29"/>
        <v>2.664935369193154E-4</v>
      </c>
      <c r="AS39" s="16">
        <f t="shared" si="30"/>
        <v>5.4122601271393644E-5</v>
      </c>
      <c r="AT39" s="16">
        <f t="shared" si="31"/>
        <v>0.13394011303622491</v>
      </c>
      <c r="AU39" s="16">
        <f t="shared" si="32"/>
        <v>2.9962997090464548E-5</v>
      </c>
      <c r="AV39" s="16">
        <f t="shared" si="33"/>
        <v>9.1444994376528119E-3</v>
      </c>
      <c r="AW39" s="16">
        <f t="shared" si="34"/>
        <v>3.0509368826405871E-3</v>
      </c>
      <c r="AX39" s="16">
        <f t="shared" si="8"/>
        <v>2.0854633349633251E-5</v>
      </c>
      <c r="AY39" s="16">
        <f t="shared" si="9"/>
        <v>1.74875091198044E-7</v>
      </c>
      <c r="AZ39" s="16">
        <f t="shared" si="10"/>
        <v>3.1328926430317848E-4</v>
      </c>
      <c r="BA39" s="16">
        <f t="shared" si="11"/>
        <v>5.6652100048899757E-4</v>
      </c>
      <c r="BB39" s="16">
        <f t="shared" si="12"/>
        <v>1.9941845647921762E-5</v>
      </c>
      <c r="BC39" s="16">
        <f t="shared" si="13"/>
        <v>2.4279574694376527E-6</v>
      </c>
      <c r="BD39" s="16">
        <f t="shared" si="14"/>
        <v>5.3327615941320293E-5</v>
      </c>
      <c r="BE39" s="16">
        <f t="shared" si="15"/>
        <v>-1.168845249388753E-7</v>
      </c>
      <c r="BF39" s="16">
        <f t="shared" si="16"/>
        <v>1.5891756748166258E-9</v>
      </c>
      <c r="BG39" s="16">
        <f t="shared" si="17"/>
        <v>2.1560724865525673E-5</v>
      </c>
      <c r="BH39" s="16">
        <f t="shared" si="18"/>
        <v>9.0693371882640575E-5</v>
      </c>
      <c r="BI39" s="16">
        <f t="shared" si="19"/>
        <v>4.4229370195599022E-5</v>
      </c>
      <c r="BJ39" s="16">
        <f t="shared" si="20"/>
        <v>4.6464724400977993E-7</v>
      </c>
      <c r="BK39" s="16">
        <f t="shared" si="21"/>
        <v>5.2654769266503668E-5</v>
      </c>
      <c r="BL39" s="16">
        <f t="shared" si="22"/>
        <v>5.0837143716381418E-6</v>
      </c>
    </row>
    <row r="40" spans="2:64" x14ac:dyDescent="0.25">
      <c r="B40" s="36"/>
      <c r="C40" s="36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</row>
    <row r="41" spans="2:64" x14ac:dyDescent="0.25">
      <c r="B41" s="16"/>
      <c r="C41" s="19"/>
      <c r="D41" s="16" t="s">
        <v>234</v>
      </c>
      <c r="E41">
        <v>1</v>
      </c>
      <c r="F41" s="16" t="s">
        <v>233</v>
      </c>
      <c r="G41" s="16" t="s">
        <v>188</v>
      </c>
      <c r="H41" s="16">
        <f>SUMPRODUCT($E$3:$E$39,H3:H39)</f>
        <v>0.92137367923984315</v>
      </c>
      <c r="I41" s="16">
        <f t="shared" ref="I41:AI41" si="42">SUMPRODUCT($E$3:$E$39,I3:I39)</f>
        <v>7.4150227088990864E-3</v>
      </c>
      <c r="J41" s="16">
        <f t="shared" si="42"/>
        <v>1.2129314758971097</v>
      </c>
      <c r="K41" s="16">
        <f t="shared" si="42"/>
        <v>3.4262562692058824E-4</v>
      </c>
      <c r="L41" s="16">
        <f t="shared" si="42"/>
        <v>2.4021971009863689E-2</v>
      </c>
      <c r="M41" s="16">
        <f t="shared" si="42"/>
        <v>1.7873447109388084E-5</v>
      </c>
      <c r="N41" s="16">
        <f t="shared" si="42"/>
        <v>4.2672508138697792E-4</v>
      </c>
      <c r="O41" s="16">
        <f t="shared" si="42"/>
        <v>1.1288628297498077E-2</v>
      </c>
      <c r="P41" s="16">
        <f t="shared" si="42"/>
        <v>2.6948629762521352E-3</v>
      </c>
      <c r="Q41" s="16">
        <f t="shared" si="42"/>
        <v>1.25913918504504</v>
      </c>
      <c r="R41" s="16">
        <f t="shared" si="42"/>
        <v>2.7132474415289547E-3</v>
      </c>
      <c r="S41" s="16">
        <f t="shared" si="42"/>
        <v>0.78474574403342623</v>
      </c>
      <c r="T41" s="16">
        <f t="shared" si="42"/>
        <v>2.8470261638007841E-2</v>
      </c>
      <c r="U41" s="16">
        <f t="shared" si="42"/>
        <v>6.6251684209978234E-2</v>
      </c>
      <c r="V41" s="16">
        <f t="shared" si="42"/>
        <v>5.0359345409850282E-5</v>
      </c>
      <c r="W41" s="16">
        <f t="shared" si="42"/>
        <v>0.21849105035983196</v>
      </c>
      <c r="X41" s="16">
        <f t="shared" si="42"/>
        <v>5.2985656210469906E-3</v>
      </c>
      <c r="Y41" s="16">
        <f t="shared" si="42"/>
        <v>5.7447430559831557E-2</v>
      </c>
      <c r="Z41" s="16">
        <f t="shared" si="42"/>
        <v>3.4569733566296012E-3</v>
      </c>
      <c r="AA41" s="16">
        <f t="shared" si="42"/>
        <v>1.9033977066202233E-3</v>
      </c>
      <c r="AB41" s="16">
        <f t="shared" si="42"/>
        <v>-7.6088010348561488E-6</v>
      </c>
      <c r="AC41" s="16">
        <f t="shared" si="42"/>
        <v>1.2305274251532301E-8</v>
      </c>
      <c r="AD41" s="16">
        <f t="shared" si="42"/>
        <v>2.3365090367886924E-4</v>
      </c>
      <c r="AE41" s="16">
        <f t="shared" si="42"/>
        <v>3.0384008492186092E-3</v>
      </c>
      <c r="AF41" s="16">
        <f t="shared" si="42"/>
        <v>5.26011269350906E-4</v>
      </c>
      <c r="AG41" s="16">
        <f t="shared" si="42"/>
        <v>3.0102712436936056E-5</v>
      </c>
      <c r="AH41" s="16">
        <f t="shared" si="42"/>
        <v>4.8592448613655088E-3</v>
      </c>
      <c r="AI41" s="16">
        <f t="shared" si="42"/>
        <v>7.5341690340503082E-4</v>
      </c>
      <c r="AK41" s="16">
        <f>SUM(AK3:AK39)</f>
        <v>0.92137367923984315</v>
      </c>
      <c r="AL41" s="16">
        <f t="shared" ref="AL41:BL41" si="43">SUM(AL3:AL39)</f>
        <v>7.4150227088990864E-3</v>
      </c>
      <c r="AM41" s="16">
        <f t="shared" si="43"/>
        <v>1.2129314758971097</v>
      </c>
      <c r="AN41" s="16">
        <f t="shared" si="43"/>
        <v>3.4262562692058824E-4</v>
      </c>
      <c r="AO41" s="16">
        <f t="shared" si="43"/>
        <v>2.4021971009863689E-2</v>
      </c>
      <c r="AP41" s="16">
        <f t="shared" si="43"/>
        <v>1.7873447109388084E-5</v>
      </c>
      <c r="AQ41" s="16">
        <f t="shared" si="43"/>
        <v>4.2672508138697792E-4</v>
      </c>
      <c r="AR41" s="16">
        <f t="shared" si="43"/>
        <v>1.1288628297498077E-2</v>
      </c>
      <c r="AS41" s="16">
        <f t="shared" si="43"/>
        <v>2.6948629762521352E-3</v>
      </c>
      <c r="AT41" s="16">
        <f t="shared" si="43"/>
        <v>1.25913918504504</v>
      </c>
      <c r="AU41" s="16">
        <f t="shared" si="43"/>
        <v>2.7132474415289547E-3</v>
      </c>
      <c r="AV41" s="16">
        <f t="shared" si="43"/>
        <v>0.78474574403342623</v>
      </c>
      <c r="AW41" s="16">
        <f t="shared" si="43"/>
        <v>2.8470261638007841E-2</v>
      </c>
      <c r="AX41" s="16">
        <f t="shared" si="43"/>
        <v>6.6251684209978234E-2</v>
      </c>
      <c r="AY41" s="16">
        <f t="shared" si="43"/>
        <v>5.0359345409850282E-5</v>
      </c>
      <c r="AZ41" s="16">
        <f t="shared" si="43"/>
        <v>0.21849105035983196</v>
      </c>
      <c r="BA41" s="16">
        <f t="shared" si="43"/>
        <v>5.2985656210469906E-3</v>
      </c>
      <c r="BB41" s="16">
        <f t="shared" si="43"/>
        <v>5.7447430559831557E-2</v>
      </c>
      <c r="BC41" s="16">
        <f t="shared" si="43"/>
        <v>3.4569733566296012E-3</v>
      </c>
      <c r="BD41" s="16">
        <f t="shared" si="43"/>
        <v>1.9033977066202233E-3</v>
      </c>
      <c r="BE41" s="16">
        <f t="shared" si="43"/>
        <v>-7.6088010348561488E-6</v>
      </c>
      <c r="BF41" s="16">
        <f t="shared" si="43"/>
        <v>1.2305274251532301E-8</v>
      </c>
      <c r="BG41" s="16">
        <f t="shared" si="43"/>
        <v>2.3365090367886924E-4</v>
      </c>
      <c r="BH41" s="16">
        <f t="shared" si="43"/>
        <v>3.0384008492186092E-3</v>
      </c>
      <c r="BI41" s="16">
        <f t="shared" si="43"/>
        <v>5.26011269350906E-4</v>
      </c>
      <c r="BJ41" s="16">
        <f t="shared" si="43"/>
        <v>3.0102712436936056E-5</v>
      </c>
      <c r="BK41" s="16">
        <f t="shared" si="43"/>
        <v>4.8592448613655088E-3</v>
      </c>
      <c r="BL41" s="16">
        <f t="shared" si="43"/>
        <v>7.5341690340503082E-4</v>
      </c>
    </row>
    <row r="42" spans="2:64" x14ac:dyDescent="0.25">
      <c r="C42" s="19"/>
    </row>
    <row r="50" spans="5:11" x14ac:dyDescent="0.25">
      <c r="E50" s="16"/>
      <c r="F50" s="16"/>
      <c r="G50" s="16"/>
      <c r="H50" s="16"/>
      <c r="I50" s="16"/>
      <c r="J50" s="16"/>
      <c r="K50" s="16"/>
    </row>
    <row r="51" spans="5:11" x14ac:dyDescent="0.25">
      <c r="E51" s="16"/>
      <c r="F51" s="16"/>
      <c r="G51" s="16"/>
      <c r="H51" s="16"/>
      <c r="I51" s="16"/>
      <c r="J51" s="16"/>
      <c r="K51" s="16"/>
    </row>
    <row r="52" spans="5:11" x14ac:dyDescent="0.25">
      <c r="E52" s="16"/>
      <c r="F52" s="16"/>
      <c r="G52" s="16"/>
      <c r="H52" s="16"/>
      <c r="I52" s="16"/>
      <c r="J52" s="16"/>
      <c r="K52" s="16"/>
    </row>
    <row r="53" spans="5:11" x14ac:dyDescent="0.25">
      <c r="E53" s="16"/>
      <c r="G53" s="16"/>
      <c r="H53" s="16"/>
      <c r="I53" s="16"/>
      <c r="J53" s="16"/>
      <c r="K53" s="16"/>
    </row>
    <row r="54" spans="5:11" x14ac:dyDescent="0.25">
      <c r="E54" s="16"/>
      <c r="G54" s="16"/>
      <c r="H54" s="16"/>
      <c r="I54" s="16"/>
      <c r="J54" s="16"/>
      <c r="K54" s="16"/>
    </row>
    <row r="55" spans="5:11" x14ac:dyDescent="0.25">
      <c r="E55" s="16"/>
      <c r="G55" s="16"/>
      <c r="H55" s="16"/>
      <c r="I55" s="16"/>
      <c r="J55" s="16"/>
      <c r="K55" s="16"/>
    </row>
    <row r="56" spans="5:11" x14ac:dyDescent="0.25">
      <c r="E56" s="16"/>
      <c r="G56" s="16"/>
      <c r="H56" s="16"/>
      <c r="I56" s="16"/>
      <c r="K56" s="16"/>
    </row>
    <row r="57" spans="5:11" x14ac:dyDescent="0.25">
      <c r="E57" s="16"/>
      <c r="G57" s="16"/>
      <c r="H57" s="16"/>
      <c r="I57" s="16"/>
      <c r="J57" s="16"/>
      <c r="K57" s="16"/>
    </row>
    <row r="58" spans="5:11" x14ac:dyDescent="0.25">
      <c r="E58" s="16"/>
      <c r="G58" s="16"/>
      <c r="H58" s="16"/>
      <c r="I58" s="16"/>
      <c r="J58" s="16"/>
      <c r="K58" s="16"/>
    </row>
    <row r="59" spans="5:11" x14ac:dyDescent="0.25">
      <c r="E59" s="16"/>
      <c r="G59" s="16"/>
      <c r="H59" s="16"/>
      <c r="I59" s="16"/>
      <c r="K59" s="16"/>
    </row>
    <row r="60" spans="5:11" x14ac:dyDescent="0.25">
      <c r="E60" s="16"/>
      <c r="G60" s="16"/>
      <c r="H60" s="16"/>
      <c r="I60" s="16"/>
      <c r="K60" s="16"/>
    </row>
    <row r="61" spans="5:11" x14ac:dyDescent="0.25">
      <c r="E61" s="16"/>
      <c r="G61" s="16"/>
      <c r="H61" s="16"/>
      <c r="I61" s="16"/>
      <c r="J61" s="16"/>
      <c r="K61" s="16"/>
    </row>
    <row r="62" spans="5:11" x14ac:dyDescent="0.25">
      <c r="E62" s="16"/>
      <c r="G62" s="16"/>
      <c r="H62" s="16"/>
      <c r="I62" s="16"/>
      <c r="J62" s="16"/>
      <c r="K62" s="16"/>
    </row>
    <row r="63" spans="5:11" x14ac:dyDescent="0.25">
      <c r="E63" s="16"/>
      <c r="G63" s="16"/>
      <c r="H63" s="16"/>
      <c r="I63" s="16"/>
      <c r="K63" s="16"/>
    </row>
    <row r="64" spans="5:11" x14ac:dyDescent="0.25">
      <c r="E64" s="16"/>
      <c r="G64" s="16"/>
      <c r="H64" s="16"/>
      <c r="I64" s="16"/>
      <c r="K64" s="16"/>
    </row>
    <row r="65" spans="5:11" x14ac:dyDescent="0.25">
      <c r="E65" s="16"/>
      <c r="G65" s="16"/>
      <c r="H65" s="16"/>
      <c r="I65" s="16"/>
      <c r="K65" s="16"/>
    </row>
    <row r="66" spans="5:11" x14ac:dyDescent="0.25">
      <c r="E66" s="16"/>
      <c r="G66" s="16"/>
      <c r="H66" s="16"/>
      <c r="I66" s="16"/>
      <c r="J66" s="16"/>
      <c r="K66" s="16"/>
    </row>
    <row r="67" spans="5:11" x14ac:dyDescent="0.25">
      <c r="E67" s="16"/>
      <c r="G67" s="16"/>
      <c r="H67" s="16"/>
      <c r="I67" s="16"/>
      <c r="K67" s="16"/>
    </row>
    <row r="68" spans="5:11" x14ac:dyDescent="0.25">
      <c r="E68" s="16"/>
      <c r="G68" s="16"/>
      <c r="H68" s="16"/>
      <c r="I68" s="16"/>
      <c r="K68" s="16"/>
    </row>
    <row r="69" spans="5:11" x14ac:dyDescent="0.25">
      <c r="E69" s="16"/>
      <c r="G69" s="16"/>
      <c r="H69" s="16"/>
      <c r="I69" s="16"/>
      <c r="K69" s="16"/>
    </row>
    <row r="70" spans="5:11" x14ac:dyDescent="0.25">
      <c r="E70" s="16"/>
      <c r="G70" s="16"/>
      <c r="H70" s="16"/>
      <c r="I70" s="16"/>
      <c r="K70" s="16"/>
    </row>
    <row r="71" spans="5:11" x14ac:dyDescent="0.25">
      <c r="E71" s="16"/>
      <c r="G71" s="16"/>
      <c r="H71" s="16"/>
      <c r="I71" s="16"/>
      <c r="K71" s="16"/>
    </row>
    <row r="72" spans="5:11" x14ac:dyDescent="0.25">
      <c r="E72" s="16"/>
      <c r="G72" s="16"/>
      <c r="H72" s="16"/>
      <c r="I72" s="16"/>
      <c r="K72" s="16"/>
    </row>
    <row r="73" spans="5:11" x14ac:dyDescent="0.25">
      <c r="E73" s="16"/>
      <c r="G73" s="16"/>
      <c r="H73" s="16"/>
      <c r="I73" s="16"/>
      <c r="K73" s="16"/>
    </row>
    <row r="74" spans="5:11" x14ac:dyDescent="0.25">
      <c r="E74" s="16"/>
      <c r="G74" s="16"/>
      <c r="H74" s="16"/>
      <c r="I74" s="16"/>
      <c r="K74" s="16"/>
    </row>
    <row r="75" spans="5:11" x14ac:dyDescent="0.25">
      <c r="E75" s="16"/>
      <c r="G75" s="16"/>
      <c r="H75" s="16"/>
      <c r="I75" s="16"/>
      <c r="K75" s="16"/>
    </row>
    <row r="76" spans="5:11" x14ac:dyDescent="0.25">
      <c r="E76" s="16"/>
      <c r="G76" s="16"/>
      <c r="H76" s="16"/>
      <c r="I76" s="16"/>
      <c r="K76" s="16"/>
    </row>
    <row r="77" spans="5:11" x14ac:dyDescent="0.25">
      <c r="E77" s="16"/>
      <c r="G77" s="16"/>
      <c r="H77" s="16"/>
      <c r="I77" s="16"/>
      <c r="K77" s="16"/>
    </row>
    <row r="78" spans="5:11" x14ac:dyDescent="0.25">
      <c r="E78" s="16"/>
      <c r="G78" s="16"/>
      <c r="H78" s="16"/>
      <c r="I78" s="16"/>
      <c r="K78" s="16"/>
    </row>
    <row r="79" spans="5:11" x14ac:dyDescent="0.25">
      <c r="E79" s="16"/>
      <c r="G79" s="16"/>
      <c r="H79" s="16"/>
      <c r="I79" s="16"/>
      <c r="K79" s="16"/>
    </row>
    <row r="80" spans="5:11" x14ac:dyDescent="0.25">
      <c r="E80" s="16"/>
      <c r="G80" s="16"/>
      <c r="H80" s="16"/>
      <c r="I80" s="16"/>
      <c r="K80" s="16"/>
    </row>
    <row r="81" spans="5:11" x14ac:dyDescent="0.25">
      <c r="E81" s="16"/>
      <c r="G81" s="16"/>
      <c r="H81" s="16"/>
      <c r="I81" s="16"/>
      <c r="K81" s="16"/>
    </row>
    <row r="82" spans="5:11" x14ac:dyDescent="0.25">
      <c r="E82" s="16"/>
      <c r="G82" s="16"/>
      <c r="H82" s="16"/>
      <c r="I82" s="16"/>
      <c r="K82" s="16"/>
    </row>
    <row r="83" spans="5:11" x14ac:dyDescent="0.25">
      <c r="E83" s="16"/>
      <c r="G83" s="16"/>
      <c r="H83" s="16"/>
      <c r="I83" s="16"/>
      <c r="K83" s="16"/>
    </row>
    <row r="84" spans="5:11" x14ac:dyDescent="0.25">
      <c r="E84" s="16"/>
      <c r="G84" s="16"/>
      <c r="H84" s="16"/>
      <c r="I84" s="16"/>
      <c r="K84" s="16"/>
    </row>
    <row r="85" spans="5:11" x14ac:dyDescent="0.25">
      <c r="E85" s="16"/>
      <c r="G85" s="16"/>
      <c r="H85" s="16"/>
      <c r="I85" s="16"/>
      <c r="K85" s="16"/>
    </row>
  </sheetData>
  <mergeCells count="11">
    <mergeCell ref="C35:C39"/>
    <mergeCell ref="B3:B39"/>
    <mergeCell ref="C13:C15"/>
    <mergeCell ref="C16:C18"/>
    <mergeCell ref="C19:C22"/>
    <mergeCell ref="C23:C26"/>
    <mergeCell ref="C27:C30"/>
    <mergeCell ref="C31:C34"/>
    <mergeCell ref="C10:C12"/>
    <mergeCell ref="C3:C6"/>
    <mergeCell ref="C7:C9"/>
  </mergeCells>
  <phoneticPr fontId="4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6384D-E315-47A1-8DD0-9FAA353C3E8A}">
  <sheetPr codeName="Sheet5"/>
  <dimension ref="B2:BJ23"/>
  <sheetViews>
    <sheetView zoomScale="80" zoomScaleNormal="80" workbookViewId="0">
      <selection activeCell="F19" sqref="F19"/>
    </sheetView>
  </sheetViews>
  <sheetFormatPr defaultColWidth="10.7109375" defaultRowHeight="15" x14ac:dyDescent="0.25"/>
  <cols>
    <col min="1" max="1" width="10.7109375" style="57"/>
    <col min="2" max="2" width="26" style="57" bestFit="1" customWidth="1"/>
    <col min="3" max="3" width="10.7109375" style="57"/>
    <col min="4" max="4" width="19.140625" style="57" bestFit="1" customWidth="1"/>
    <col min="5" max="16384" width="10.7109375" style="57"/>
  </cols>
  <sheetData>
    <row r="2" spans="2:62" ht="30" x14ac:dyDescent="0.25">
      <c r="B2" s="163" t="s">
        <v>126</v>
      </c>
      <c r="C2" s="164" t="s">
        <v>104</v>
      </c>
      <c r="D2" s="164" t="s">
        <v>3</v>
      </c>
      <c r="E2" s="164" t="s">
        <v>6</v>
      </c>
      <c r="F2" s="164" t="s">
        <v>0</v>
      </c>
      <c r="G2" s="164" t="s">
        <v>182</v>
      </c>
      <c r="H2" s="164" t="s">
        <v>157</v>
      </c>
      <c r="I2" s="164" t="s">
        <v>158</v>
      </c>
      <c r="J2" s="164" t="s">
        <v>159</v>
      </c>
      <c r="K2" s="164" t="s">
        <v>160</v>
      </c>
      <c r="L2" s="164" t="s">
        <v>161</v>
      </c>
      <c r="M2" s="164" t="s">
        <v>162</v>
      </c>
      <c r="N2" s="164" t="s">
        <v>163</v>
      </c>
      <c r="O2" s="164" t="s">
        <v>156</v>
      </c>
      <c r="P2" s="94" t="s">
        <v>164</v>
      </c>
      <c r="Q2" s="94" t="s">
        <v>165</v>
      </c>
      <c r="R2" s="94" t="s">
        <v>166</v>
      </c>
      <c r="S2" s="94" t="s">
        <v>167</v>
      </c>
      <c r="T2" s="94" t="s">
        <v>168</v>
      </c>
      <c r="U2" s="94" t="s">
        <v>169</v>
      </c>
      <c r="V2" s="94" t="s">
        <v>170</v>
      </c>
      <c r="W2" s="94" t="s">
        <v>171</v>
      </c>
      <c r="X2" s="94" t="s">
        <v>172</v>
      </c>
      <c r="Y2" s="94" t="s">
        <v>173</v>
      </c>
      <c r="Z2" s="94" t="s">
        <v>174</v>
      </c>
      <c r="AA2" s="94" t="s">
        <v>175</v>
      </c>
      <c r="AB2" s="94" t="s">
        <v>176</v>
      </c>
      <c r="AC2" s="94" t="s">
        <v>177</v>
      </c>
      <c r="AD2" s="94" t="s">
        <v>178</v>
      </c>
      <c r="AE2" s="94" t="s">
        <v>179</v>
      </c>
      <c r="AF2" s="94" t="s">
        <v>180</v>
      </c>
      <c r="AG2" s="160" t="s">
        <v>181</v>
      </c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</row>
    <row r="3" spans="2:62" x14ac:dyDescent="0.25">
      <c r="B3" s="166" t="s">
        <v>822</v>
      </c>
      <c r="C3" s="32">
        <v>1</v>
      </c>
      <c r="D3" s="95" t="s">
        <v>233</v>
      </c>
      <c r="E3" s="167" t="s">
        <v>155</v>
      </c>
      <c r="F3" s="168">
        <f>[2]Overall!C88</f>
        <v>10.428370631309383</v>
      </c>
      <c r="G3" s="95">
        <f>[2]Overall!D88</f>
        <v>62.104294215579998</v>
      </c>
      <c r="H3" s="95">
        <f>[2]Overall!E88</f>
        <v>69.336231042399987</v>
      </c>
      <c r="I3" s="95">
        <f>[2]Overall!F88</f>
        <v>3.3720109778899998E-2</v>
      </c>
      <c r="J3" s="95">
        <f>[2]Overall!G88</f>
        <v>19.499339737250004</v>
      </c>
      <c r="K3" s="95">
        <f>[2]Overall!H88</f>
        <v>2.8935299601267803</v>
      </c>
      <c r="L3" s="95">
        <f>[2]Overall!I88</f>
        <v>0.11692352638789999</v>
      </c>
      <c r="M3" s="95">
        <f>[2]Overall!J88</f>
        <v>1.31463079706</v>
      </c>
      <c r="N3" s="95">
        <f>[2]Overall!K88</f>
        <v>0.756772556554</v>
      </c>
      <c r="O3" s="95">
        <f>[2]Overall!L88</f>
        <v>156.0554419451376</v>
      </c>
      <c r="P3" s="95">
        <f>[2]Overall!M88</f>
        <v>24.138561918490005</v>
      </c>
      <c r="Q3" s="95">
        <f>[2]Overall!N88</f>
        <v>9.683576983909381</v>
      </c>
      <c r="R3" s="95">
        <f>[2]Overall!O88</f>
        <v>1.9893684359824522</v>
      </c>
      <c r="S3" s="95">
        <f>[2]Overall!P88</f>
        <v>0.225533617016</v>
      </c>
      <c r="T3" s="95">
        <f>[2]Overall!Q88</f>
        <v>4.9753860151500011E-3</v>
      </c>
      <c r="U3" s="95">
        <f>[2]Overall!R88</f>
        <v>6.1653082091359988</v>
      </c>
      <c r="V3" s="95">
        <f>[2]Overall!S88</f>
        <v>1.32373223994</v>
      </c>
      <c r="W3" s="95">
        <f>[2]Overall!T88</f>
        <v>0.18417307254799997</v>
      </c>
      <c r="X3" s="95">
        <f>[2]Overall!U88</f>
        <v>3.5189357424600005E-2</v>
      </c>
      <c r="Y3" s="95">
        <f>[2]Overall!V88</f>
        <v>0.19329724760600001</v>
      </c>
      <c r="Z3" s="95">
        <f>[2]Overall!W88</f>
        <v>-3.0799867240499998E-4</v>
      </c>
      <c r="AA3" s="95">
        <f>[2]Overall!X88</f>
        <v>3.9938687050999997E-7</v>
      </c>
      <c r="AB3" s="95">
        <f>[2]Overall!Y88</f>
        <v>2.1027100225400001E-2</v>
      </c>
      <c r="AC3" s="95">
        <f>[2]Overall!Z88</f>
        <v>2.8749398828196472E-2</v>
      </c>
      <c r="AD3" s="95">
        <f>[2]Overall!AA88</f>
        <v>6.9450288544414027E-2</v>
      </c>
      <c r="AE3" s="95">
        <f>[2]Overall!AB88</f>
        <v>8.4992137105759993E-2</v>
      </c>
      <c r="AF3" s="95">
        <f>[2]Overall!AC88</f>
        <v>0.10428865149399999</v>
      </c>
      <c r="AG3" s="161">
        <f>[2]Overall!AD88</f>
        <v>0.47030169780112907</v>
      </c>
    </row>
    <row r="4" spans="2:62" x14ac:dyDescent="0.25">
      <c r="B4" s="131" t="s">
        <v>821</v>
      </c>
      <c r="C4" s="32">
        <v>1</v>
      </c>
      <c r="D4" s="95" t="s">
        <v>233</v>
      </c>
      <c r="E4" s="167" t="s">
        <v>155</v>
      </c>
      <c r="F4" s="168">
        <f>[2]Overall!C87</f>
        <v>9.6794273427052406</v>
      </c>
      <c r="G4" s="95">
        <f>[2]Overall!D87</f>
        <v>60.152525856925706</v>
      </c>
      <c r="H4" s="95">
        <f>[2]Overall!E87</f>
        <v>65.170783905129497</v>
      </c>
      <c r="I4" s="95">
        <f>[2]Overall!F87</f>
        <v>0.17021048142831097</v>
      </c>
      <c r="J4" s="95">
        <f>[2]Overall!G87</f>
        <v>13.831983523437255</v>
      </c>
      <c r="K4" s="95">
        <f>[2]Overall!H87</f>
        <v>2.7513111366050733</v>
      </c>
      <c r="L4" s="95">
        <f>[2]Overall!I87</f>
        <v>0.48273093505301795</v>
      </c>
      <c r="M4" s="95">
        <f>[2]Overall!J87</f>
        <v>3.7552394572179648</v>
      </c>
      <c r="N4" s="95">
        <f>[2]Overall!K87</f>
        <v>1.4508201722497076</v>
      </c>
      <c r="O4" s="95">
        <f>[2]Overall!L87</f>
        <v>147.76560546804657</v>
      </c>
      <c r="P4" s="95">
        <f>[2]Overall!M87</f>
        <v>22.965819389455245</v>
      </c>
      <c r="Q4" s="95">
        <f>[2]Overall!N87</f>
        <v>8.9602593368420482</v>
      </c>
      <c r="R4" s="95">
        <f>[2]Overall!O87</f>
        <v>1.8847798215898797</v>
      </c>
      <c r="S4" s="95">
        <f>[2]Overall!P87</f>
        <v>0.22369947471090595</v>
      </c>
      <c r="T4" s="95">
        <f>[2]Overall!Q87</f>
        <v>5.1038010948363452E-3</v>
      </c>
      <c r="U4" s="95">
        <f>[2]Overall!R87</f>
        <v>6.0081390949560829</v>
      </c>
      <c r="V4" s="95">
        <f>[2]Overall!S87</f>
        <v>0.99630367053847002</v>
      </c>
      <c r="W4" s="95">
        <f>[2]Overall!T87</f>
        <v>0.18391214308903395</v>
      </c>
      <c r="X4" s="95">
        <f>[2]Overall!U87</f>
        <v>3.3753177011850134E-2</v>
      </c>
      <c r="Y4" s="95">
        <f>[2]Overall!V87</f>
        <v>0.18810498250054578</v>
      </c>
      <c r="Z4" s="95">
        <f>[2]Overall!W87</f>
        <v>-4.2439374211490063E-4</v>
      </c>
      <c r="AA4" s="95">
        <f>[2]Overall!X87</f>
        <v>3.9453787992107048E-7</v>
      </c>
      <c r="AB4" s="95">
        <f>[2]Overall!Y87</f>
        <v>2.1370082337150653E-2</v>
      </c>
      <c r="AC4" s="95">
        <f>[2]Overall!Z87</f>
        <v>2.7548164166154888E-2</v>
      </c>
      <c r="AD4" s="95">
        <f>[2]Overall!AA87</f>
        <v>6.5447530509147173E-2</v>
      </c>
      <c r="AE4" s="95">
        <f>[2]Overall!AB87</f>
        <v>8.3650080056170931E-2</v>
      </c>
      <c r="AF4" s="95">
        <f>[2]Overall!AC87</f>
        <v>0.10067122016749086</v>
      </c>
      <c r="AG4" s="161">
        <f>[2]Overall!AD87</f>
        <v>0.48521207771854202</v>
      </c>
    </row>
    <row r="5" spans="2:62" x14ac:dyDescent="0.25">
      <c r="B5" s="131" t="s">
        <v>816</v>
      </c>
      <c r="C5" s="32">
        <v>1</v>
      </c>
      <c r="D5" s="95" t="s">
        <v>233</v>
      </c>
      <c r="E5" s="167" t="s">
        <v>155</v>
      </c>
      <c r="F5" s="168">
        <f>[2]Overall!C89</f>
        <v>10.308911202808734</v>
      </c>
      <c r="G5" s="95">
        <f>[2]Overall!D89</f>
        <v>61.630575229070182</v>
      </c>
      <c r="H5" s="95">
        <f>[2]Overall!E89</f>
        <v>69.147047260314878</v>
      </c>
      <c r="I5" s="95">
        <f>[2]Overall!F89</f>
        <v>3.4982882541865795E-2</v>
      </c>
      <c r="J5" s="95">
        <f>[2]Overall!G89</f>
        <v>18.482034830329845</v>
      </c>
      <c r="K5" s="95">
        <f>[2]Overall!H89</f>
        <v>2.837600308294284</v>
      </c>
      <c r="L5" s="95">
        <f>[2]Overall!I89</f>
        <v>0.30012940982461117</v>
      </c>
      <c r="M5" s="95">
        <f>[2]Overall!J89</f>
        <v>1.3835162154708356</v>
      </c>
      <c r="N5" s="95">
        <f>[2]Overall!K89</f>
        <v>1.003566634738752</v>
      </c>
      <c r="O5" s="95">
        <f>[2]Overall!L89</f>
        <v>154.81945277058526</v>
      </c>
      <c r="P5" s="95">
        <f>[2]Overall!M89</f>
        <v>23.854109981194522</v>
      </c>
      <c r="Q5" s="95">
        <f>[2]Overall!N89</f>
        <v>9.5756336521306658</v>
      </c>
      <c r="R5" s="95">
        <f>[2]Overall!O89</f>
        <v>1.9775658660145146</v>
      </c>
      <c r="S5" s="95">
        <f>[2]Overall!P89</f>
        <v>0.22950641128693733</v>
      </c>
      <c r="T5" s="95">
        <f>[2]Overall!Q89</f>
        <v>5.0850207588398711E-3</v>
      </c>
      <c r="U5" s="95">
        <f>[2]Overall!R89</f>
        <v>6.032810949479547</v>
      </c>
      <c r="V5" s="95">
        <f>[2]Overall!S89</f>
        <v>1.2475685963649243</v>
      </c>
      <c r="W5" s="95">
        <f>[2]Overall!T89</f>
        <v>0.18812998000764231</v>
      </c>
      <c r="X5" s="95">
        <f>[2]Overall!U89</f>
        <v>3.4498052169978338E-2</v>
      </c>
      <c r="Y5" s="95">
        <f>[2]Overall!V89</f>
        <v>0.19636790110466582</v>
      </c>
      <c r="Z5" s="95">
        <f>[2]Overall!W89</f>
        <v>-3.100528405796867E-4</v>
      </c>
      <c r="AA5" s="95">
        <f>[2]Overall!X89</f>
        <v>3.9576537478365535E-7</v>
      </c>
      <c r="AB5" s="95">
        <f>[2]Overall!Y89</f>
        <v>2.0637948449698695E-2</v>
      </c>
      <c r="AC5" s="95">
        <f>[2]Overall!Z89</f>
        <v>2.8435899105157546E-2</v>
      </c>
      <c r="AD5" s="95">
        <f>[2]Overall!AA89</f>
        <v>6.867328178557526E-2</v>
      </c>
      <c r="AE5" s="95">
        <f>[2]Overall!AB89</f>
        <v>8.3949146674351452E-2</v>
      </c>
      <c r="AF5" s="95">
        <f>[2]Overall!AC89</f>
        <v>0.10586740365392949</v>
      </c>
      <c r="AG5" s="161">
        <f>[2]Overall!AD89</f>
        <v>0.46434664282681726</v>
      </c>
    </row>
    <row r="6" spans="2:62" x14ac:dyDescent="0.25">
      <c r="B6" s="131" t="s">
        <v>817</v>
      </c>
      <c r="C6" s="32">
        <v>1</v>
      </c>
      <c r="D6" s="95" t="s">
        <v>233</v>
      </c>
      <c r="E6" s="167" t="s">
        <v>155</v>
      </c>
      <c r="F6" s="168">
        <f>[2]Overall!C90</f>
        <v>10.053400564945139</v>
      </c>
      <c r="G6" s="95">
        <f>[2]Overall!D90</f>
        <v>61.759975184058902</v>
      </c>
      <c r="H6" s="95">
        <f>[2]Overall!E90</f>
        <v>67.166662308656399</v>
      </c>
      <c r="I6" s="95">
        <f>[2]Overall!F90</f>
        <v>0.23906255608699326</v>
      </c>
      <c r="J6" s="95">
        <f>[2]Overall!G90</f>
        <v>14.370523894981435</v>
      </c>
      <c r="K6" s="95">
        <f>[2]Overall!H90</f>
        <v>2.8404742546069097</v>
      </c>
      <c r="L6" s="95">
        <f>[2]Overall!I90</f>
        <v>0.69704888905655071</v>
      </c>
      <c r="M6" s="95">
        <f>[2]Overall!J90</f>
        <v>2.6042916403551697</v>
      </c>
      <c r="N6" s="95">
        <f>[2]Overall!K90</f>
        <v>1.2110671861286213</v>
      </c>
      <c r="O6" s="95">
        <f>[2]Overall!L90</f>
        <v>150.88910591393102</v>
      </c>
      <c r="P6" s="95">
        <f>[2]Overall!M90</f>
        <v>23.882918085095461</v>
      </c>
      <c r="Q6" s="95">
        <f>[2]Overall!N90</f>
        <v>9.3219541684420069</v>
      </c>
      <c r="R6" s="95">
        <f>[2]Overall!O90</f>
        <v>1.9325209954645675</v>
      </c>
      <c r="S6" s="95">
        <f>[2]Overall!P90</f>
        <v>0.23136438059727155</v>
      </c>
      <c r="T6" s="95">
        <f>[2]Overall!Q90</f>
        <v>5.185993137920915E-3</v>
      </c>
      <c r="U6" s="95">
        <f>[2]Overall!R90</f>
        <v>6.0838960201695684</v>
      </c>
      <c r="V6" s="95">
        <f>[2]Overall!S90</f>
        <v>0.98141990726928974</v>
      </c>
      <c r="W6" s="95">
        <f>[2]Overall!T90</f>
        <v>0.1898527849139765</v>
      </c>
      <c r="X6" s="95">
        <f>[2]Overall!U90</f>
        <v>3.4533568473455616E-2</v>
      </c>
      <c r="Y6" s="95">
        <f>[2]Overall!V90</f>
        <v>0.19600970062398171</v>
      </c>
      <c r="Z6" s="95">
        <f>[2]Overall!W90</f>
        <v>-2.9752030279955611E-4</v>
      </c>
      <c r="AA6" s="95">
        <f>[2]Overall!X90</f>
        <v>3.952258705810966E-7</v>
      </c>
      <c r="AB6" s="95">
        <f>[2]Overall!Y90</f>
        <v>2.1193921661199478E-2</v>
      </c>
      <c r="AC6" s="95">
        <f>[2]Overall!Z90</f>
        <v>2.8053842123691906E-2</v>
      </c>
      <c r="AD6" s="95">
        <f>[2]Overall!AA90</f>
        <v>6.7305032202477605E-2</v>
      </c>
      <c r="AE6" s="95">
        <f>[2]Overall!AB90</f>
        <v>8.4009072297867457E-2</v>
      </c>
      <c r="AF6" s="95">
        <f>[2]Overall!AC90</f>
        <v>0.10558985505953263</v>
      </c>
      <c r="AG6" s="161">
        <f>[2]Overall!AD90</f>
        <v>0.46569984644938689</v>
      </c>
    </row>
    <row r="7" spans="2:62" x14ac:dyDescent="0.25">
      <c r="B7" s="131" t="s">
        <v>818</v>
      </c>
      <c r="C7" s="32">
        <v>1</v>
      </c>
      <c r="D7" s="95" t="s">
        <v>233</v>
      </c>
      <c r="E7" s="167" t="s">
        <v>155</v>
      </c>
      <c r="F7" s="168">
        <f>[2]Overall!C91</f>
        <v>10.173669076694488</v>
      </c>
      <c r="G7" s="95">
        <f>[2]Overall!D91</f>
        <v>61.711660019568036</v>
      </c>
      <c r="H7" s="95">
        <f>[2]Overall!E91</f>
        <v>68.081460219883553</v>
      </c>
      <c r="I7" s="95">
        <f>[2]Overall!F91</f>
        <v>0.1452219708128418</v>
      </c>
      <c r="J7" s="95">
        <f>[2]Overall!G91</f>
        <v>16.284473764433134</v>
      </c>
      <c r="K7" s="95">
        <f>[2]Overall!H91</f>
        <v>2.840471607306648</v>
      </c>
      <c r="L7" s="95">
        <f>[2]Overall!I91</f>
        <v>0.51027521803827391</v>
      </c>
      <c r="M7" s="95">
        <f>[2]Overall!J91</f>
        <v>2.0415048936188773</v>
      </c>
      <c r="N7" s="95">
        <f>[2]Overall!K91</f>
        <v>1.1098661417421984</v>
      </c>
      <c r="O7" s="95">
        <f>[2]Overall!L91</f>
        <v>152.72493383540359</v>
      </c>
      <c r="P7" s="95">
        <f>[2]Overall!M91</f>
        <v>23.876381092928359</v>
      </c>
      <c r="Q7" s="95">
        <f>[2]Overall!N91</f>
        <v>9.4411094687031039</v>
      </c>
      <c r="R7" s="95">
        <f>[2]Overall!O91</f>
        <v>1.9535053296682228</v>
      </c>
      <c r="S7" s="95">
        <f>[2]Overall!P91</f>
        <v>0.23041666258160573</v>
      </c>
      <c r="T7" s="95">
        <f>[2]Overall!Q91</f>
        <v>5.136993973430053E-3</v>
      </c>
      <c r="U7" s="95">
        <f>[2]Overall!R91</f>
        <v>6.063536751240064</v>
      </c>
      <c r="V7" s="95">
        <f>[2]Overall!S91</f>
        <v>1.1055578707157649</v>
      </c>
      <c r="W7" s="95">
        <f>[2]Overall!T91</f>
        <v>0.18896757342572582</v>
      </c>
      <c r="X7" s="95">
        <f>[2]Overall!U91</f>
        <v>3.4533538708442557E-2</v>
      </c>
      <c r="Y7" s="95">
        <f>[2]Overall!V91</f>
        <v>0.19610197216445169</v>
      </c>
      <c r="Z7" s="95">
        <f>[2]Overall!W91</f>
        <v>-3.0323280410503913E-4</v>
      </c>
      <c r="AA7" s="95">
        <f>[2]Overall!X91</f>
        <v>3.9555923872731073E-7</v>
      </c>
      <c r="AB7" s="95">
        <f>[2]Overall!Y91</f>
        <v>2.0947526883131597E-2</v>
      </c>
      <c r="AC7" s="95">
        <f>[2]Overall!Z91</f>
        <v>2.8236855282960837E-2</v>
      </c>
      <c r="AD7" s="95">
        <f>[2]Overall!AA91</f>
        <v>6.7952302176367954E-2</v>
      </c>
      <c r="AE7" s="95">
        <f>[2]Overall!AB91</f>
        <v>8.4006112464969293E-2</v>
      </c>
      <c r="AF7" s="95">
        <f>[2]Overall!AC91</f>
        <v>0.1056802216391671</v>
      </c>
      <c r="AG7" s="161">
        <f>[2]Overall!AD91</f>
        <v>0.46521818900813361</v>
      </c>
    </row>
    <row r="8" spans="2:62" x14ac:dyDescent="0.25">
      <c r="B8" s="131" t="s">
        <v>819</v>
      </c>
      <c r="C8" s="32">
        <v>1</v>
      </c>
      <c r="D8" s="95" t="s">
        <v>233</v>
      </c>
      <c r="E8" s="167" t="s">
        <v>155</v>
      </c>
      <c r="F8" s="168">
        <f>[2]Overall!C92</f>
        <v>10.106149912203627</v>
      </c>
      <c r="G8" s="95">
        <f>[2]Overall!D92</f>
        <v>61.738784322440097</v>
      </c>
      <c r="H8" s="95">
        <f>[2]Overall!E92</f>
        <v>67.567889462703391</v>
      </c>
      <c r="I8" s="95">
        <f>[2]Overall!F92</f>
        <v>0.19790440465096187</v>
      </c>
      <c r="J8" s="95">
        <f>[2]Overall!G92</f>
        <v>15.209975592109373</v>
      </c>
      <c r="K8" s="95">
        <f>[2]Overall!H92</f>
        <v>2.8404730935103037</v>
      </c>
      <c r="L8" s="95">
        <f>[2]Overall!I92</f>
        <v>0.61513061229414856</v>
      </c>
      <c r="M8" s="95">
        <f>[2]Overall!J92</f>
        <v>2.3574553479269715</v>
      </c>
      <c r="N8" s="95">
        <f>[2]Overall!K92</f>
        <v>1.1666807631521201</v>
      </c>
      <c r="O8" s="95">
        <f>[2]Overall!L92</f>
        <v>151.6942935987874</v>
      </c>
      <c r="P8" s="95">
        <f>[2]Overall!M92</f>
        <v>23.880050983267786</v>
      </c>
      <c r="Q8" s="95">
        <f>[2]Overall!N92</f>
        <v>9.3742152650477486</v>
      </c>
      <c r="R8" s="95">
        <f>[2]Overall!O92</f>
        <v>1.9417246508170478</v>
      </c>
      <c r="S8" s="95">
        <f>[2]Overall!P92</f>
        <v>0.23094871480092688</v>
      </c>
      <c r="T8" s="95">
        <f>[2]Overall!Q92</f>
        <v>5.1645022763021162E-3</v>
      </c>
      <c r="U8" s="95">
        <f>[2]Overall!R92</f>
        <v>6.0749665162531183</v>
      </c>
      <c r="V8" s="95">
        <f>[2]Overall!S92</f>
        <v>1.0358663824651122</v>
      </c>
      <c r="W8" s="95">
        <f>[2]Overall!T92</f>
        <v>0.189464534261235</v>
      </c>
      <c r="X8" s="95">
        <f>[2]Overall!U92</f>
        <v>3.4533555418625329E-2</v>
      </c>
      <c r="Y8" s="95">
        <f>[2]Overall!V92</f>
        <v>0.19605017059787205</v>
      </c>
      <c r="Z8" s="95">
        <f>[2]Overall!W92</f>
        <v>-3.0002578582827673E-4</v>
      </c>
      <c r="AA8" s="95">
        <f>[2]Overall!X92</f>
        <v>3.9537208468031332E-7</v>
      </c>
      <c r="AB8" s="95">
        <f>[2]Overall!Y92</f>
        <v>2.1085853776081985E-2</v>
      </c>
      <c r="AC8" s="95">
        <f>[2]Overall!Z92</f>
        <v>2.8134111053195826E-2</v>
      </c>
      <c r="AD8" s="95">
        <f>[2]Overall!AA92</f>
        <v>6.7588922541903199E-2</v>
      </c>
      <c r="AE8" s="95">
        <f>[2]Overall!AB92</f>
        <v>8.4007774125543708E-2</v>
      </c>
      <c r="AF8" s="95">
        <f>[2]Overall!AC92</f>
        <v>0.10562948952428459</v>
      </c>
      <c r="AG8" s="161">
        <f>[2]Overall!AD92</f>
        <v>0.46548859318567931</v>
      </c>
    </row>
    <row r="9" spans="2:62" x14ac:dyDescent="0.25">
      <c r="B9" s="132" t="s">
        <v>820</v>
      </c>
      <c r="C9" s="33">
        <v>1</v>
      </c>
      <c r="D9" s="96" t="s">
        <v>233</v>
      </c>
      <c r="E9" s="169" t="s">
        <v>155</v>
      </c>
      <c r="F9" s="170">
        <f>[2]Overall!C93</f>
        <v>10.117835969644878</v>
      </c>
      <c r="G9" s="96">
        <f>[2]Overall!D93</f>
        <v>61.880629836800416</v>
      </c>
      <c r="H9" s="96">
        <f>[2]Overall!E93</f>
        <v>68.042252909178586</v>
      </c>
      <c r="I9" s="96">
        <f>[2]Overall!F93</f>
        <v>0.18969308203999583</v>
      </c>
      <c r="J9" s="96">
        <f>[2]Overall!G93</f>
        <v>15.090091519002325</v>
      </c>
      <c r="K9" s="96">
        <f>[2]Overall!H93</f>
        <v>2.8404795324659169</v>
      </c>
      <c r="L9" s="96">
        <f>[2]Overall!I93</f>
        <v>0.61837381856046714</v>
      </c>
      <c r="M9" s="96">
        <f>[2]Overall!J93</f>
        <v>2.3554859902246212</v>
      </c>
      <c r="N9" s="96">
        <f>[2]Overall!K93</f>
        <v>1.1099255046664804</v>
      </c>
      <c r="O9" s="96">
        <f>[2]Overall!L93</f>
        <v>152.12693219293882</v>
      </c>
      <c r="P9" s="96">
        <f>[2]Overall!M93</f>
        <v>23.899258011988412</v>
      </c>
      <c r="Q9" s="96">
        <f>[2]Overall!N93</f>
        <v>9.3856285287553209</v>
      </c>
      <c r="R9" s="96">
        <f>[2]Overall!O93</f>
        <v>1.955371857083366</v>
      </c>
      <c r="S9" s="96">
        <f>[2]Overall!P93</f>
        <v>0.23163351897847256</v>
      </c>
      <c r="T9" s="96">
        <f>[2]Overall!Q93</f>
        <v>5.2006398219940214E-3</v>
      </c>
      <c r="U9" s="96">
        <f>[2]Overall!R93</f>
        <v>6.0963714248693064</v>
      </c>
      <c r="V9" s="96">
        <f>[2]Overall!S93</f>
        <v>1.0280781840316919</v>
      </c>
      <c r="W9" s="96">
        <f>[2]Overall!T93</f>
        <v>0.18997428883042555</v>
      </c>
      <c r="X9" s="96">
        <f>[2]Overall!U93</f>
        <v>3.4540437298520889E-2</v>
      </c>
      <c r="Y9" s="96">
        <f>[2]Overall!V93</f>
        <v>0.1960097632871671</v>
      </c>
      <c r="Z9" s="96">
        <f>[2]Overall!W93</f>
        <v>-2.9947512264289817E-4</v>
      </c>
      <c r="AA9" s="96">
        <f>[2]Overall!X93</f>
        <v>3.9853011078997388E-7</v>
      </c>
      <c r="AB9" s="96">
        <f>[2]Overall!Y93</f>
        <v>2.1190208867465796E-2</v>
      </c>
      <c r="AC9" s="96">
        <f>[2]Overall!Z93</f>
        <v>2.8103388024475196E-2</v>
      </c>
      <c r="AD9" s="96">
        <f>[2]Overall!AA93</f>
        <v>6.7470422280806602E-2</v>
      </c>
      <c r="AE9" s="96">
        <f>[2]Overall!AB93</f>
        <v>8.4011466000217347E-2</v>
      </c>
      <c r="AF9" s="96">
        <f>[2]Overall!AC93</f>
        <v>0.10564181746162141</v>
      </c>
      <c r="AG9" s="162">
        <f>[2]Overall!AD93</f>
        <v>0.46547391642327723</v>
      </c>
    </row>
    <row r="10" spans="2:62" x14ac:dyDescent="0.25">
      <c r="D10" s="171"/>
      <c r="E10" s="171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</row>
    <row r="12" spans="2:62" x14ac:dyDescent="0.25">
      <c r="O12" s="70"/>
    </row>
    <row r="13" spans="2:62" x14ac:dyDescent="0.25">
      <c r="H13" s="70"/>
    </row>
    <row r="14" spans="2:62" x14ac:dyDescent="0.25">
      <c r="H14" s="70"/>
    </row>
    <row r="15" spans="2:62" x14ac:dyDescent="0.25">
      <c r="O15" s="70"/>
    </row>
    <row r="18" spans="6:15" x14ac:dyDescent="0.25">
      <c r="O18" s="70"/>
    </row>
    <row r="22" spans="6:15" x14ac:dyDescent="0.25">
      <c r="F22" s="70"/>
      <c r="O22" s="70"/>
    </row>
    <row r="23" spans="6:15" x14ac:dyDescent="0.25">
      <c r="F23" s="70"/>
    </row>
  </sheetData>
  <phoneticPr fontId="4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92C5-6B5B-4FB1-B4C1-B933338C8A8B}">
  <sheetPr codeName="Sheet13"/>
  <dimension ref="B2:KR449"/>
  <sheetViews>
    <sheetView zoomScale="60" zoomScaleNormal="60" workbookViewId="0">
      <selection activeCell="C59" sqref="C59"/>
    </sheetView>
  </sheetViews>
  <sheetFormatPr defaultRowHeight="15" x14ac:dyDescent="0.25"/>
  <cols>
    <col min="2" max="2" width="17.28515625" bestFit="1" customWidth="1"/>
    <col min="3" max="22" width="10.7109375" customWidth="1"/>
    <col min="23" max="24" width="10.140625" customWidth="1"/>
    <col min="33" max="33" width="14.140625" bestFit="1" customWidth="1"/>
    <col min="38" max="38" width="12.140625" customWidth="1"/>
  </cols>
  <sheetData>
    <row r="2" spans="2:304" x14ac:dyDescent="0.25">
      <c r="B2" s="265" t="s">
        <v>983</v>
      </c>
      <c r="C2" s="268" t="s">
        <v>297</v>
      </c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 t="s">
        <v>298</v>
      </c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 t="s">
        <v>299</v>
      </c>
      <c r="Z2" s="268"/>
      <c r="AA2" s="268"/>
      <c r="AB2" s="268"/>
      <c r="AC2" s="268"/>
      <c r="AD2" s="268"/>
      <c r="AE2" s="268"/>
      <c r="AF2" s="268"/>
      <c r="AG2" s="268"/>
      <c r="AH2" s="268"/>
      <c r="AI2" s="268" t="s">
        <v>300</v>
      </c>
      <c r="AJ2" s="268"/>
      <c r="AK2" s="268"/>
      <c r="AL2" s="268"/>
      <c r="AM2" s="268"/>
      <c r="AN2" s="268"/>
      <c r="AO2" s="268"/>
      <c r="AP2" s="268"/>
      <c r="AQ2" s="268"/>
      <c r="AR2" s="268"/>
      <c r="AS2" s="268"/>
      <c r="AT2" s="268" t="s">
        <v>301</v>
      </c>
      <c r="AU2" s="268"/>
      <c r="AV2" s="268"/>
      <c r="AW2" s="268"/>
      <c r="AX2" s="268"/>
      <c r="AY2" s="268"/>
      <c r="AZ2" s="268"/>
      <c r="BA2" s="268"/>
      <c r="BB2" s="268"/>
      <c r="BC2" s="268"/>
      <c r="BD2" s="268"/>
      <c r="BE2" s="268"/>
      <c r="BF2" s="268"/>
      <c r="BG2" s="268"/>
      <c r="BH2" s="268"/>
      <c r="BI2" s="268"/>
      <c r="BJ2" s="268"/>
      <c r="BK2" s="268"/>
      <c r="BL2" s="268"/>
      <c r="BM2" s="268"/>
      <c r="BN2" s="268"/>
      <c r="BO2" s="268"/>
      <c r="BP2" s="268"/>
      <c r="BQ2" s="268" t="s">
        <v>302</v>
      </c>
      <c r="BR2" s="268"/>
      <c r="BS2" s="268"/>
      <c r="BT2" s="268"/>
      <c r="BU2" s="268"/>
      <c r="BV2" s="268"/>
      <c r="BW2" s="268"/>
      <c r="BX2" s="268"/>
      <c r="BY2" s="268"/>
      <c r="BZ2" s="268"/>
      <c r="CA2" s="268"/>
      <c r="CB2" s="268"/>
      <c r="CC2" s="268"/>
      <c r="CD2" s="268"/>
      <c r="CE2" s="268"/>
      <c r="CF2" s="268"/>
      <c r="CG2" s="268"/>
      <c r="CH2" s="268"/>
      <c r="CI2" s="268"/>
      <c r="CJ2" s="268"/>
      <c r="CK2" s="268"/>
      <c r="CL2" s="268"/>
      <c r="CM2" s="268"/>
      <c r="CN2" s="268" t="s">
        <v>303</v>
      </c>
      <c r="CO2" s="268"/>
      <c r="CP2" s="268"/>
      <c r="CQ2" s="268"/>
      <c r="CR2" s="268"/>
      <c r="CS2" s="268"/>
      <c r="CT2" s="268"/>
      <c r="CU2" s="268"/>
      <c r="CV2" s="268"/>
      <c r="CW2" s="268"/>
      <c r="CX2" s="268"/>
      <c r="CY2" s="268"/>
      <c r="CZ2" s="268"/>
      <c r="DA2" s="268"/>
      <c r="DB2" s="268"/>
      <c r="DC2" s="268"/>
      <c r="DD2" s="268"/>
      <c r="DE2" s="268"/>
      <c r="DF2" s="268"/>
      <c r="DG2" s="268"/>
      <c r="DH2" s="268"/>
      <c r="DI2" s="268"/>
      <c r="DJ2" s="268"/>
      <c r="DK2" s="268"/>
      <c r="DL2" s="268" t="s">
        <v>304</v>
      </c>
      <c r="DM2" s="268"/>
      <c r="DN2" s="268"/>
      <c r="DO2" s="268"/>
      <c r="DP2" s="268"/>
      <c r="DQ2" s="268"/>
      <c r="DR2" s="268"/>
      <c r="DS2" s="268"/>
      <c r="DT2" s="268"/>
      <c r="DU2" s="268"/>
      <c r="DV2" s="268"/>
      <c r="DW2" s="268" t="s">
        <v>305</v>
      </c>
      <c r="DX2" s="268"/>
      <c r="DY2" s="268"/>
      <c r="DZ2" s="268"/>
      <c r="EA2" s="268"/>
      <c r="EB2" s="268"/>
      <c r="EC2" s="268"/>
      <c r="ED2" s="268"/>
      <c r="EE2" s="268"/>
      <c r="EF2" s="268"/>
      <c r="EG2" s="268"/>
      <c r="EH2" s="268" t="s">
        <v>306</v>
      </c>
      <c r="EI2" s="268"/>
      <c r="EJ2" s="268"/>
      <c r="EK2" s="268"/>
      <c r="EL2" s="268"/>
      <c r="EM2" s="268"/>
      <c r="EN2" s="268"/>
      <c r="EO2" s="268"/>
      <c r="EP2" s="268"/>
      <c r="EQ2" s="268"/>
      <c r="ER2" s="268"/>
      <c r="ES2" s="268"/>
      <c r="ET2" s="268"/>
      <c r="EU2" s="268"/>
      <c r="EV2" s="268"/>
      <c r="EW2" s="268"/>
      <c r="EX2" s="268" t="s">
        <v>307</v>
      </c>
      <c r="EY2" s="268"/>
      <c r="EZ2" s="268"/>
      <c r="FA2" s="268"/>
      <c r="FB2" s="268"/>
      <c r="FC2" s="268"/>
      <c r="FD2" s="268"/>
      <c r="FE2" s="268"/>
      <c r="FF2" s="268"/>
      <c r="FG2" s="268"/>
      <c r="FH2" s="268"/>
      <c r="FI2" s="268"/>
      <c r="FJ2" s="268"/>
      <c r="FK2" s="268"/>
      <c r="FL2" s="268"/>
      <c r="FM2" s="268"/>
      <c r="FN2" s="268"/>
      <c r="FO2" s="268"/>
      <c r="FP2" s="268"/>
      <c r="FQ2" s="268"/>
      <c r="FR2" s="268"/>
      <c r="FS2" s="268"/>
      <c r="FT2" s="268"/>
      <c r="FU2" s="268" t="s">
        <v>308</v>
      </c>
      <c r="FV2" s="268"/>
      <c r="FW2" s="268"/>
      <c r="FX2" s="268"/>
      <c r="FY2" s="268"/>
      <c r="FZ2" s="268"/>
      <c r="GA2" s="268"/>
      <c r="GB2" s="268"/>
      <c r="GC2" s="268"/>
      <c r="GD2" s="268"/>
      <c r="GE2" s="268"/>
      <c r="GF2" s="268" t="s">
        <v>309</v>
      </c>
      <c r="GG2" s="268"/>
      <c r="GH2" s="268"/>
      <c r="GI2" s="268"/>
      <c r="GJ2" s="268"/>
      <c r="GK2" s="268"/>
      <c r="GL2" s="268"/>
      <c r="GM2" s="268"/>
      <c r="GN2" s="268"/>
      <c r="GO2" s="268"/>
      <c r="GP2" s="268"/>
      <c r="GQ2" s="268" t="s">
        <v>310</v>
      </c>
      <c r="GR2" s="268"/>
      <c r="GS2" s="268"/>
      <c r="GT2" s="268"/>
      <c r="GU2" s="268"/>
      <c r="GV2" s="268"/>
      <c r="GW2" s="268"/>
      <c r="GX2" s="268"/>
      <c r="GY2" s="268"/>
      <c r="GZ2" s="268"/>
      <c r="HA2" s="268"/>
      <c r="HB2" s="268"/>
      <c r="HC2" s="268"/>
      <c r="HD2" s="268"/>
      <c r="HE2" s="268"/>
      <c r="HF2" s="268"/>
      <c r="HG2" s="268" t="s">
        <v>311</v>
      </c>
      <c r="HH2" s="268"/>
      <c r="HI2" s="268"/>
      <c r="HJ2" s="268"/>
      <c r="HK2" s="268"/>
      <c r="HL2" s="268"/>
      <c r="HM2" s="268"/>
      <c r="HN2" s="268"/>
      <c r="HO2" s="268"/>
      <c r="HP2" s="268"/>
      <c r="HQ2" s="268"/>
      <c r="HR2" s="268"/>
      <c r="HS2" s="268"/>
      <c r="HT2" s="268"/>
      <c r="HU2" s="268"/>
      <c r="HV2" s="268"/>
      <c r="HW2" s="268"/>
      <c r="HX2" s="268"/>
      <c r="HY2" s="268"/>
      <c r="HZ2" s="268"/>
      <c r="IA2" s="268"/>
      <c r="IB2" s="268"/>
      <c r="IC2" s="268"/>
      <c r="ID2" s="268"/>
      <c r="IE2" s="268"/>
      <c r="IF2" s="268"/>
      <c r="IG2" s="268" t="s">
        <v>312</v>
      </c>
      <c r="IH2" s="268"/>
      <c r="II2" s="268"/>
      <c r="IJ2" s="268"/>
      <c r="IK2" s="268"/>
      <c r="IL2" s="268"/>
      <c r="IM2" s="268"/>
      <c r="IN2" s="268"/>
      <c r="IO2" s="268"/>
      <c r="IP2" s="268"/>
      <c r="IQ2" s="268"/>
      <c r="IR2" s="268"/>
      <c r="IS2" s="268"/>
      <c r="IT2" s="268"/>
      <c r="IU2" s="268"/>
      <c r="IV2" s="268"/>
      <c r="IW2" s="268"/>
      <c r="IX2" s="268"/>
      <c r="IY2" s="268"/>
      <c r="IZ2" s="268" t="s">
        <v>313</v>
      </c>
      <c r="JA2" s="268"/>
      <c r="JB2" s="268"/>
      <c r="JC2" s="268"/>
      <c r="JD2" s="268"/>
      <c r="JE2" s="268"/>
      <c r="JF2" s="268"/>
      <c r="JG2" s="268"/>
      <c r="JH2" s="268"/>
      <c r="JI2" s="268"/>
      <c r="JJ2" s="268"/>
      <c r="JK2" s="268"/>
      <c r="JL2" s="268"/>
      <c r="JM2" s="268"/>
      <c r="JN2" s="268"/>
      <c r="JO2" s="268"/>
      <c r="JP2" s="268"/>
      <c r="JQ2" s="268"/>
      <c r="JR2" s="268"/>
      <c r="JS2" s="268"/>
      <c r="JT2" s="268"/>
      <c r="JU2" s="268"/>
      <c r="JV2" s="268"/>
      <c r="JW2" s="268" t="s">
        <v>314</v>
      </c>
      <c r="JX2" s="268"/>
      <c r="JY2" s="268"/>
      <c r="JZ2" s="268"/>
      <c r="KA2" s="268"/>
      <c r="KB2" s="268"/>
      <c r="KC2" s="268"/>
      <c r="KD2" s="268"/>
      <c r="KE2" s="268"/>
      <c r="KF2" s="268"/>
      <c r="KG2" s="268"/>
      <c r="KH2" s="268" t="s">
        <v>315</v>
      </c>
      <c r="KI2" s="268"/>
      <c r="KJ2" s="268"/>
      <c r="KK2" s="268"/>
      <c r="KL2" s="268"/>
      <c r="KM2" s="268"/>
      <c r="KN2" s="268"/>
      <c r="KO2" s="268"/>
      <c r="KP2" s="268"/>
      <c r="KQ2" s="268"/>
      <c r="KR2" s="268"/>
    </row>
    <row r="3" spans="2:304" x14ac:dyDescent="0.25">
      <c r="B3" s="266"/>
      <c r="C3" s="268" t="s">
        <v>316</v>
      </c>
      <c r="D3" s="268"/>
      <c r="E3" s="268"/>
      <c r="F3" s="268"/>
      <c r="G3" s="268"/>
      <c r="H3" s="268"/>
      <c r="I3" s="268"/>
      <c r="J3" s="120" t="s">
        <v>317</v>
      </c>
      <c r="K3" s="268" t="s">
        <v>318</v>
      </c>
      <c r="L3" s="268"/>
      <c r="M3" s="268"/>
      <c r="N3" s="268" t="s">
        <v>316</v>
      </c>
      <c r="O3" s="268"/>
      <c r="P3" s="268"/>
      <c r="Q3" s="268"/>
      <c r="R3" s="268"/>
      <c r="S3" s="268"/>
      <c r="T3" s="268"/>
      <c r="U3" s="120" t="s">
        <v>317</v>
      </c>
      <c r="V3" s="268" t="s">
        <v>318</v>
      </c>
      <c r="W3" s="268"/>
      <c r="X3" s="268"/>
      <c r="Y3" s="268" t="s">
        <v>316</v>
      </c>
      <c r="Z3" s="268"/>
      <c r="AA3" s="268"/>
      <c r="AB3" s="268"/>
      <c r="AC3" s="268"/>
      <c r="AD3" s="268"/>
      <c r="AE3" s="120" t="s">
        <v>317</v>
      </c>
      <c r="AF3" s="268" t="s">
        <v>318</v>
      </c>
      <c r="AG3" s="268"/>
      <c r="AH3" s="268"/>
      <c r="AI3" s="268" t="s">
        <v>316</v>
      </c>
      <c r="AJ3" s="268"/>
      <c r="AK3" s="268"/>
      <c r="AL3" s="268"/>
      <c r="AM3" s="268"/>
      <c r="AN3" s="268"/>
      <c r="AO3" s="268"/>
      <c r="AP3" s="120" t="s">
        <v>317</v>
      </c>
      <c r="AQ3" s="268" t="s">
        <v>318</v>
      </c>
      <c r="AR3" s="268"/>
      <c r="AS3" s="268"/>
      <c r="AT3" s="268" t="s">
        <v>316</v>
      </c>
      <c r="AU3" s="268"/>
      <c r="AV3" s="268"/>
      <c r="AW3" s="268"/>
      <c r="AX3" s="268"/>
      <c r="AY3" s="268"/>
      <c r="AZ3" s="268"/>
      <c r="BA3" s="120" t="s">
        <v>317</v>
      </c>
      <c r="BB3" s="268" t="s">
        <v>318</v>
      </c>
      <c r="BC3" s="268"/>
      <c r="BD3" s="268"/>
      <c r="BE3" s="268" t="s">
        <v>319</v>
      </c>
      <c r="BF3" s="268"/>
      <c r="BG3" s="268"/>
      <c r="BH3" s="268"/>
      <c r="BI3" s="268"/>
      <c r="BJ3" s="268"/>
      <c r="BK3" s="268"/>
      <c r="BL3" s="268"/>
      <c r="BM3" s="268"/>
      <c r="BN3" s="268"/>
      <c r="BO3" s="268"/>
      <c r="BP3" s="268"/>
      <c r="BQ3" s="268" t="s">
        <v>316</v>
      </c>
      <c r="BR3" s="268"/>
      <c r="BS3" s="268"/>
      <c r="BT3" s="268"/>
      <c r="BU3" s="268"/>
      <c r="BV3" s="268"/>
      <c r="BW3" s="268"/>
      <c r="BX3" s="120" t="s">
        <v>317</v>
      </c>
      <c r="BY3" s="268" t="s">
        <v>320</v>
      </c>
      <c r="BZ3" s="268"/>
      <c r="CA3" s="268"/>
      <c r="CB3" s="268"/>
      <c r="CC3" s="268"/>
      <c r="CD3" s="268" t="s">
        <v>321</v>
      </c>
      <c r="CE3" s="268"/>
      <c r="CF3" s="268"/>
      <c r="CG3" s="268"/>
      <c r="CH3" s="268"/>
      <c r="CI3" s="268" t="s">
        <v>318</v>
      </c>
      <c r="CJ3" s="268"/>
      <c r="CK3" s="268"/>
      <c r="CL3" s="268" t="s">
        <v>319</v>
      </c>
      <c r="CM3" s="268"/>
      <c r="CN3" s="268" t="s">
        <v>316</v>
      </c>
      <c r="CO3" s="268"/>
      <c r="CP3" s="268"/>
      <c r="CQ3" s="268"/>
      <c r="CR3" s="268"/>
      <c r="CS3" s="268"/>
      <c r="CT3" s="268"/>
      <c r="CU3" s="120" t="s">
        <v>317</v>
      </c>
      <c r="CV3" s="268" t="s">
        <v>318</v>
      </c>
      <c r="CW3" s="268"/>
      <c r="CX3" s="268"/>
      <c r="CY3" s="268" t="s">
        <v>319</v>
      </c>
      <c r="CZ3" s="268"/>
      <c r="DA3" s="268"/>
      <c r="DB3" s="268"/>
      <c r="DC3" s="268"/>
      <c r="DD3" s="268"/>
      <c r="DE3" s="268"/>
      <c r="DF3" s="268"/>
      <c r="DG3" s="268"/>
      <c r="DH3" s="268"/>
      <c r="DI3" s="268"/>
      <c r="DJ3" s="268"/>
      <c r="DK3" s="268"/>
      <c r="DL3" s="268" t="s">
        <v>316</v>
      </c>
      <c r="DM3" s="268"/>
      <c r="DN3" s="268"/>
      <c r="DO3" s="268"/>
      <c r="DP3" s="268"/>
      <c r="DQ3" s="268"/>
      <c r="DR3" s="268"/>
      <c r="DS3" s="120" t="s">
        <v>317</v>
      </c>
      <c r="DT3" s="268" t="s">
        <v>318</v>
      </c>
      <c r="DU3" s="268"/>
      <c r="DV3" s="268"/>
      <c r="DW3" s="268" t="s">
        <v>316</v>
      </c>
      <c r="DX3" s="268"/>
      <c r="DY3" s="268"/>
      <c r="DZ3" s="268"/>
      <c r="EA3" s="268"/>
      <c r="EB3" s="268"/>
      <c r="EC3" s="268"/>
      <c r="ED3" s="120" t="s">
        <v>317</v>
      </c>
      <c r="EE3" s="268" t="s">
        <v>318</v>
      </c>
      <c r="EF3" s="268"/>
      <c r="EG3" s="268"/>
      <c r="EH3" s="268" t="s">
        <v>316</v>
      </c>
      <c r="EI3" s="268"/>
      <c r="EJ3" s="268"/>
      <c r="EK3" s="268"/>
      <c r="EL3" s="268"/>
      <c r="EM3" s="268"/>
      <c r="EN3" s="268"/>
      <c r="EO3" s="120" t="s">
        <v>317</v>
      </c>
      <c r="EP3" s="120" t="s">
        <v>320</v>
      </c>
      <c r="EQ3" s="120" t="s">
        <v>321</v>
      </c>
      <c r="ER3" s="268" t="s">
        <v>318</v>
      </c>
      <c r="ES3" s="268"/>
      <c r="ET3" s="268"/>
      <c r="EU3" s="268" t="s">
        <v>319</v>
      </c>
      <c r="EV3" s="268"/>
      <c r="EW3" s="268"/>
      <c r="EX3" s="268" t="s">
        <v>316</v>
      </c>
      <c r="EY3" s="268"/>
      <c r="EZ3" s="268"/>
      <c r="FA3" s="268"/>
      <c r="FB3" s="268"/>
      <c r="FC3" s="268"/>
      <c r="FD3" s="268"/>
      <c r="FE3" s="120" t="s">
        <v>317</v>
      </c>
      <c r="FF3" s="268" t="s">
        <v>318</v>
      </c>
      <c r="FG3" s="268"/>
      <c r="FH3" s="268"/>
      <c r="FI3" s="268" t="s">
        <v>319</v>
      </c>
      <c r="FJ3" s="268"/>
      <c r="FK3" s="268"/>
      <c r="FL3" s="268"/>
      <c r="FM3" s="268"/>
      <c r="FN3" s="268"/>
      <c r="FO3" s="268"/>
      <c r="FP3" s="268"/>
      <c r="FQ3" s="268"/>
      <c r="FR3" s="268"/>
      <c r="FS3" s="268"/>
      <c r="FT3" s="268"/>
      <c r="FU3" s="268" t="s">
        <v>316</v>
      </c>
      <c r="FV3" s="268"/>
      <c r="FW3" s="268"/>
      <c r="FX3" s="268"/>
      <c r="FY3" s="268"/>
      <c r="FZ3" s="268"/>
      <c r="GA3" s="268"/>
      <c r="GB3" s="120" t="s">
        <v>317</v>
      </c>
      <c r="GC3" s="268" t="s">
        <v>318</v>
      </c>
      <c r="GD3" s="268"/>
      <c r="GE3" s="268"/>
      <c r="GF3" s="268" t="s">
        <v>316</v>
      </c>
      <c r="GG3" s="268"/>
      <c r="GH3" s="268"/>
      <c r="GI3" s="268"/>
      <c r="GJ3" s="268"/>
      <c r="GK3" s="268"/>
      <c r="GL3" s="268"/>
      <c r="GM3" s="120" t="s">
        <v>317</v>
      </c>
      <c r="GN3" s="268" t="s">
        <v>318</v>
      </c>
      <c r="GO3" s="268"/>
      <c r="GP3" s="268"/>
      <c r="GQ3" s="268" t="s">
        <v>316</v>
      </c>
      <c r="GR3" s="268"/>
      <c r="GS3" s="268"/>
      <c r="GT3" s="268"/>
      <c r="GU3" s="268"/>
      <c r="GV3" s="268"/>
      <c r="GW3" s="268"/>
      <c r="GX3" s="120" t="s">
        <v>317</v>
      </c>
      <c r="GY3" s="268" t="s">
        <v>318</v>
      </c>
      <c r="GZ3" s="268"/>
      <c r="HA3" s="268"/>
      <c r="HB3" s="268" t="s">
        <v>319</v>
      </c>
      <c r="HC3" s="268"/>
      <c r="HD3" s="268"/>
      <c r="HE3" s="268"/>
      <c r="HF3" s="268"/>
      <c r="HG3" s="268" t="s">
        <v>316</v>
      </c>
      <c r="HH3" s="268"/>
      <c r="HI3" s="268"/>
      <c r="HJ3" s="268"/>
      <c r="HK3" s="268"/>
      <c r="HL3" s="268"/>
      <c r="HM3" s="268"/>
      <c r="HN3" s="268"/>
      <c r="HO3" s="120" t="s">
        <v>317</v>
      </c>
      <c r="HP3" s="268" t="s">
        <v>318</v>
      </c>
      <c r="HQ3" s="268"/>
      <c r="HR3" s="268"/>
      <c r="HS3" s="268" t="s">
        <v>319</v>
      </c>
      <c r="HT3" s="268"/>
      <c r="HU3" s="268"/>
      <c r="HV3" s="268"/>
      <c r="HW3" s="268"/>
      <c r="HX3" s="268"/>
      <c r="HY3" s="268"/>
      <c r="HZ3" s="268"/>
      <c r="IA3" s="268"/>
      <c r="IB3" s="268"/>
      <c r="IC3" s="268"/>
      <c r="ID3" s="268"/>
      <c r="IE3" s="268"/>
      <c r="IF3" s="268"/>
      <c r="IG3" s="268" t="s">
        <v>316</v>
      </c>
      <c r="IH3" s="268"/>
      <c r="II3" s="268"/>
      <c r="IJ3" s="268"/>
      <c r="IK3" s="268"/>
      <c r="IL3" s="268"/>
      <c r="IM3" s="268"/>
      <c r="IN3" s="120" t="s">
        <v>317</v>
      </c>
      <c r="IO3" s="268" t="s">
        <v>320</v>
      </c>
      <c r="IP3" s="268"/>
      <c r="IQ3" s="268" t="s">
        <v>321</v>
      </c>
      <c r="IR3" s="268"/>
      <c r="IS3" s="268" t="s">
        <v>318</v>
      </c>
      <c r="IT3" s="268"/>
      <c r="IU3" s="268"/>
      <c r="IV3" s="268" t="s">
        <v>319</v>
      </c>
      <c r="IW3" s="268"/>
      <c r="IX3" s="268"/>
      <c r="IY3" s="268"/>
      <c r="IZ3" s="268" t="s">
        <v>316</v>
      </c>
      <c r="JA3" s="268"/>
      <c r="JB3" s="268"/>
      <c r="JC3" s="268"/>
      <c r="JD3" s="268"/>
      <c r="JE3" s="268"/>
      <c r="JF3" s="268"/>
      <c r="JG3" s="120" t="s">
        <v>317</v>
      </c>
      <c r="JH3" s="268" t="s">
        <v>318</v>
      </c>
      <c r="JI3" s="268"/>
      <c r="JJ3" s="268"/>
      <c r="JK3" s="268" t="s">
        <v>319</v>
      </c>
      <c r="JL3" s="268"/>
      <c r="JM3" s="268"/>
      <c r="JN3" s="268"/>
      <c r="JO3" s="268"/>
      <c r="JP3" s="268"/>
      <c r="JQ3" s="268"/>
      <c r="JR3" s="268"/>
      <c r="JS3" s="268"/>
      <c r="JT3" s="268"/>
      <c r="JU3" s="268"/>
      <c r="JV3" s="268"/>
      <c r="JW3" s="268" t="s">
        <v>316</v>
      </c>
      <c r="JX3" s="268"/>
      <c r="JY3" s="268"/>
      <c r="JZ3" s="268"/>
      <c r="KA3" s="268"/>
      <c r="KB3" s="268"/>
      <c r="KC3" s="268"/>
      <c r="KD3" s="120" t="s">
        <v>317</v>
      </c>
      <c r="KE3" s="268" t="s">
        <v>318</v>
      </c>
      <c r="KF3" s="268"/>
      <c r="KG3" s="268"/>
      <c r="KH3" s="268" t="s">
        <v>316</v>
      </c>
      <c r="KI3" s="268"/>
      <c r="KJ3" s="268"/>
      <c r="KK3" s="268"/>
      <c r="KL3" s="268"/>
      <c r="KM3" s="268"/>
      <c r="KN3" s="268"/>
      <c r="KO3" s="120" t="s">
        <v>317</v>
      </c>
      <c r="KP3" s="268" t="s">
        <v>318</v>
      </c>
      <c r="KQ3" s="268"/>
      <c r="KR3" s="268"/>
    </row>
    <row r="4" spans="2:304" x14ac:dyDescent="0.25">
      <c r="B4" s="267"/>
      <c r="C4" s="120" t="s">
        <v>322</v>
      </c>
      <c r="D4" s="120" t="s">
        <v>323</v>
      </c>
      <c r="E4" s="120" t="s">
        <v>324</v>
      </c>
      <c r="F4" s="120" t="s">
        <v>325</v>
      </c>
      <c r="G4" s="120" t="s">
        <v>326</v>
      </c>
      <c r="H4" s="120" t="s">
        <v>327</v>
      </c>
      <c r="I4" s="120" t="s">
        <v>328</v>
      </c>
      <c r="J4" s="120" t="s">
        <v>329</v>
      </c>
      <c r="K4" s="120" t="s">
        <v>320</v>
      </c>
      <c r="L4" s="120" t="s">
        <v>321</v>
      </c>
      <c r="M4" s="120" t="s">
        <v>319</v>
      </c>
      <c r="N4" s="120" t="s">
        <v>322</v>
      </c>
      <c r="O4" s="120" t="s">
        <v>323</v>
      </c>
      <c r="P4" s="120" t="s">
        <v>324</v>
      </c>
      <c r="Q4" s="120" t="s">
        <v>325</v>
      </c>
      <c r="R4" s="120" t="s">
        <v>326</v>
      </c>
      <c r="S4" s="120" t="s">
        <v>327</v>
      </c>
      <c r="T4" s="120" t="s">
        <v>328</v>
      </c>
      <c r="U4" s="120" t="s">
        <v>329</v>
      </c>
      <c r="V4" s="120" t="s">
        <v>320</v>
      </c>
      <c r="W4" s="120" t="s">
        <v>321</v>
      </c>
      <c r="X4" s="120" t="s">
        <v>319</v>
      </c>
      <c r="Y4" s="120" t="s">
        <v>322</v>
      </c>
      <c r="Z4" s="120" t="s">
        <v>324</v>
      </c>
      <c r="AA4" s="120" t="s">
        <v>325</v>
      </c>
      <c r="AB4" s="120" t="s">
        <v>326</v>
      </c>
      <c r="AC4" s="120" t="s">
        <v>327</v>
      </c>
      <c r="AD4" s="120" t="s">
        <v>328</v>
      </c>
      <c r="AE4" s="120" t="s">
        <v>329</v>
      </c>
      <c r="AF4" s="120" t="s">
        <v>320</v>
      </c>
      <c r="AG4" s="120" t="s">
        <v>321</v>
      </c>
      <c r="AH4" s="120" t="s">
        <v>319</v>
      </c>
      <c r="AI4" s="120" t="s">
        <v>322</v>
      </c>
      <c r="AJ4" s="120" t="s">
        <v>323</v>
      </c>
      <c r="AK4" s="120" t="s">
        <v>324</v>
      </c>
      <c r="AL4" s="120" t="s">
        <v>325</v>
      </c>
      <c r="AM4" s="120" t="s">
        <v>326</v>
      </c>
      <c r="AN4" s="120" t="s">
        <v>327</v>
      </c>
      <c r="AO4" s="120" t="s">
        <v>328</v>
      </c>
      <c r="AP4" s="120" t="s">
        <v>329</v>
      </c>
      <c r="AQ4" s="120" t="s">
        <v>320</v>
      </c>
      <c r="AR4" s="120" t="s">
        <v>321</v>
      </c>
      <c r="AS4" s="120" t="s">
        <v>319</v>
      </c>
      <c r="AT4" s="120" t="s">
        <v>322</v>
      </c>
      <c r="AU4" s="120" t="s">
        <v>323</v>
      </c>
      <c r="AV4" s="120" t="s">
        <v>324</v>
      </c>
      <c r="AW4" s="120" t="s">
        <v>325</v>
      </c>
      <c r="AX4" s="120" t="s">
        <v>326</v>
      </c>
      <c r="AY4" s="120" t="s">
        <v>327</v>
      </c>
      <c r="AZ4" s="120" t="s">
        <v>328</v>
      </c>
      <c r="BA4" s="120" t="s">
        <v>329</v>
      </c>
      <c r="BB4" s="120" t="s">
        <v>320</v>
      </c>
      <c r="BC4" s="120" t="s">
        <v>321</v>
      </c>
      <c r="BD4" s="120" t="s">
        <v>319</v>
      </c>
      <c r="BE4" s="120" t="s">
        <v>330</v>
      </c>
      <c r="BF4" s="120" t="s">
        <v>331</v>
      </c>
      <c r="BG4" s="120" t="s">
        <v>332</v>
      </c>
      <c r="BH4" s="120" t="s">
        <v>333</v>
      </c>
      <c r="BI4" s="120" t="s">
        <v>334</v>
      </c>
      <c r="BJ4" s="120" t="s">
        <v>335</v>
      </c>
      <c r="BK4" s="120" t="s">
        <v>336</v>
      </c>
      <c r="BL4" s="120" t="s">
        <v>337</v>
      </c>
      <c r="BM4" s="120" t="s">
        <v>338</v>
      </c>
      <c r="BN4" s="120" t="s">
        <v>339</v>
      </c>
      <c r="BO4" s="120" t="s">
        <v>340</v>
      </c>
      <c r="BP4" s="120" t="s">
        <v>341</v>
      </c>
      <c r="BQ4" s="120" t="s">
        <v>322</v>
      </c>
      <c r="BR4" s="120" t="s">
        <v>323</v>
      </c>
      <c r="BS4" s="120" t="s">
        <v>324</v>
      </c>
      <c r="BT4" s="120" t="s">
        <v>325</v>
      </c>
      <c r="BU4" s="120" t="s">
        <v>326</v>
      </c>
      <c r="BV4" s="120" t="s">
        <v>327</v>
      </c>
      <c r="BW4" s="120" t="s">
        <v>328</v>
      </c>
      <c r="BX4" s="120" t="s">
        <v>329</v>
      </c>
      <c r="BY4" s="120" t="s">
        <v>342</v>
      </c>
      <c r="BZ4" s="120" t="s">
        <v>274</v>
      </c>
      <c r="CA4" s="120" t="s">
        <v>343</v>
      </c>
      <c r="CB4" s="120" t="s">
        <v>344</v>
      </c>
      <c r="CC4" s="120" t="s">
        <v>345</v>
      </c>
      <c r="CD4" s="120" t="s">
        <v>342</v>
      </c>
      <c r="CE4" s="120" t="s">
        <v>274</v>
      </c>
      <c r="CF4" s="120" t="s">
        <v>343</v>
      </c>
      <c r="CG4" s="120" t="s">
        <v>344</v>
      </c>
      <c r="CH4" s="120" t="s">
        <v>345</v>
      </c>
      <c r="CI4" s="120" t="s">
        <v>320</v>
      </c>
      <c r="CJ4" s="120" t="s">
        <v>321</v>
      </c>
      <c r="CK4" s="120" t="s">
        <v>319</v>
      </c>
      <c r="CL4" s="120" t="s">
        <v>274</v>
      </c>
      <c r="CM4" s="120" t="s">
        <v>343</v>
      </c>
      <c r="CN4" s="120" t="s">
        <v>322</v>
      </c>
      <c r="CO4" s="120" t="s">
        <v>323</v>
      </c>
      <c r="CP4" s="120" t="s">
        <v>324</v>
      </c>
      <c r="CQ4" s="120" t="s">
        <v>325</v>
      </c>
      <c r="CR4" s="120" t="s">
        <v>326</v>
      </c>
      <c r="CS4" s="120" t="s">
        <v>327</v>
      </c>
      <c r="CT4" s="120" t="s">
        <v>328</v>
      </c>
      <c r="CU4" s="120" t="s">
        <v>329</v>
      </c>
      <c r="CV4" s="120" t="s">
        <v>320</v>
      </c>
      <c r="CW4" s="120" t="s">
        <v>321</v>
      </c>
      <c r="CX4" s="120" t="s">
        <v>319</v>
      </c>
      <c r="CY4" s="120" t="s">
        <v>330</v>
      </c>
      <c r="CZ4" s="120" t="s">
        <v>331</v>
      </c>
      <c r="DA4" s="120" t="s">
        <v>332</v>
      </c>
      <c r="DB4" s="120" t="s">
        <v>333</v>
      </c>
      <c r="DC4" s="120" t="s">
        <v>346</v>
      </c>
      <c r="DD4" s="120" t="s">
        <v>334</v>
      </c>
      <c r="DE4" s="120" t="s">
        <v>335</v>
      </c>
      <c r="DF4" s="120" t="s">
        <v>336</v>
      </c>
      <c r="DG4" s="120" t="s">
        <v>337</v>
      </c>
      <c r="DH4" s="120" t="s">
        <v>338</v>
      </c>
      <c r="DI4" s="120" t="s">
        <v>339</v>
      </c>
      <c r="DJ4" s="120" t="s">
        <v>340</v>
      </c>
      <c r="DK4" s="120" t="s">
        <v>341</v>
      </c>
      <c r="DL4" s="120" t="s">
        <v>322</v>
      </c>
      <c r="DM4" s="120" t="s">
        <v>323</v>
      </c>
      <c r="DN4" s="120" t="s">
        <v>324</v>
      </c>
      <c r="DO4" s="120" t="s">
        <v>325</v>
      </c>
      <c r="DP4" s="120" t="s">
        <v>326</v>
      </c>
      <c r="DQ4" s="120" t="s">
        <v>327</v>
      </c>
      <c r="DR4" s="120" t="s">
        <v>328</v>
      </c>
      <c r="DS4" s="120" t="s">
        <v>329</v>
      </c>
      <c r="DT4" s="120" t="s">
        <v>320</v>
      </c>
      <c r="DU4" s="120" t="s">
        <v>321</v>
      </c>
      <c r="DV4" s="120" t="s">
        <v>319</v>
      </c>
      <c r="DW4" s="120" t="s">
        <v>322</v>
      </c>
      <c r="DX4" s="120" t="s">
        <v>323</v>
      </c>
      <c r="DY4" s="120" t="s">
        <v>324</v>
      </c>
      <c r="DZ4" s="120" t="s">
        <v>325</v>
      </c>
      <c r="EA4" s="120" t="s">
        <v>326</v>
      </c>
      <c r="EB4" s="120" t="s">
        <v>327</v>
      </c>
      <c r="EC4" s="120" t="s">
        <v>328</v>
      </c>
      <c r="ED4" s="120" t="s">
        <v>329</v>
      </c>
      <c r="EE4" s="120" t="s">
        <v>320</v>
      </c>
      <c r="EF4" s="120" t="s">
        <v>321</v>
      </c>
      <c r="EG4" s="120" t="s">
        <v>319</v>
      </c>
      <c r="EH4" s="120" t="s">
        <v>322</v>
      </c>
      <c r="EI4" s="120" t="s">
        <v>323</v>
      </c>
      <c r="EJ4" s="120" t="s">
        <v>324</v>
      </c>
      <c r="EK4" s="120" t="s">
        <v>325</v>
      </c>
      <c r="EL4" s="120" t="s">
        <v>326</v>
      </c>
      <c r="EM4" s="120" t="s">
        <v>327</v>
      </c>
      <c r="EN4" s="120" t="s">
        <v>328</v>
      </c>
      <c r="EO4" s="120" t="s">
        <v>329</v>
      </c>
      <c r="EP4" s="120" t="s">
        <v>345</v>
      </c>
      <c r="EQ4" s="120" t="s">
        <v>345</v>
      </c>
      <c r="ER4" s="120" t="s">
        <v>320</v>
      </c>
      <c r="ES4" s="120" t="s">
        <v>321</v>
      </c>
      <c r="ET4" s="120" t="s">
        <v>319</v>
      </c>
      <c r="EU4" s="120" t="s">
        <v>333</v>
      </c>
      <c r="EV4" s="120" t="s">
        <v>345</v>
      </c>
      <c r="EW4" s="120" t="s">
        <v>339</v>
      </c>
      <c r="EX4" s="120" t="s">
        <v>322</v>
      </c>
      <c r="EY4" s="120" t="s">
        <v>323</v>
      </c>
      <c r="EZ4" s="120" t="s">
        <v>324</v>
      </c>
      <c r="FA4" s="120" t="s">
        <v>325</v>
      </c>
      <c r="FB4" s="120" t="s">
        <v>326</v>
      </c>
      <c r="FC4" s="120" t="s">
        <v>327</v>
      </c>
      <c r="FD4" s="120" t="s">
        <v>328</v>
      </c>
      <c r="FE4" s="120" t="s">
        <v>329</v>
      </c>
      <c r="FF4" s="120" t="s">
        <v>320</v>
      </c>
      <c r="FG4" s="120" t="s">
        <v>321</v>
      </c>
      <c r="FH4" s="120" t="s">
        <v>319</v>
      </c>
      <c r="FI4" s="120" t="s">
        <v>330</v>
      </c>
      <c r="FJ4" s="120" t="s">
        <v>331</v>
      </c>
      <c r="FK4" s="120" t="s">
        <v>332</v>
      </c>
      <c r="FL4" s="120" t="s">
        <v>333</v>
      </c>
      <c r="FM4" s="120" t="s">
        <v>334</v>
      </c>
      <c r="FN4" s="120" t="s">
        <v>335</v>
      </c>
      <c r="FO4" s="120" t="s">
        <v>336</v>
      </c>
      <c r="FP4" s="120" t="s">
        <v>337</v>
      </c>
      <c r="FQ4" s="120" t="s">
        <v>338</v>
      </c>
      <c r="FR4" s="120" t="s">
        <v>339</v>
      </c>
      <c r="FS4" s="120" t="s">
        <v>340</v>
      </c>
      <c r="FT4" s="120" t="s">
        <v>341</v>
      </c>
      <c r="FU4" s="120" t="s">
        <v>322</v>
      </c>
      <c r="FV4" s="120" t="s">
        <v>323</v>
      </c>
      <c r="FW4" s="120" t="s">
        <v>324</v>
      </c>
      <c r="FX4" s="120" t="s">
        <v>325</v>
      </c>
      <c r="FY4" s="120" t="s">
        <v>326</v>
      </c>
      <c r="FZ4" s="120" t="s">
        <v>327</v>
      </c>
      <c r="GA4" s="120" t="s">
        <v>328</v>
      </c>
      <c r="GB4" s="120" t="s">
        <v>329</v>
      </c>
      <c r="GC4" s="120" t="s">
        <v>320</v>
      </c>
      <c r="GD4" s="120" t="s">
        <v>321</v>
      </c>
      <c r="GE4" s="120" t="s">
        <v>319</v>
      </c>
      <c r="GF4" s="120" t="s">
        <v>322</v>
      </c>
      <c r="GG4" s="120" t="s">
        <v>323</v>
      </c>
      <c r="GH4" s="120" t="s">
        <v>324</v>
      </c>
      <c r="GI4" s="120" t="s">
        <v>325</v>
      </c>
      <c r="GJ4" s="120" t="s">
        <v>326</v>
      </c>
      <c r="GK4" s="120" t="s">
        <v>327</v>
      </c>
      <c r="GL4" s="120" t="s">
        <v>328</v>
      </c>
      <c r="GM4" s="120" t="s">
        <v>329</v>
      </c>
      <c r="GN4" s="120" t="s">
        <v>320</v>
      </c>
      <c r="GO4" s="120" t="s">
        <v>321</v>
      </c>
      <c r="GP4" s="120" t="s">
        <v>319</v>
      </c>
      <c r="GQ4" s="120" t="s">
        <v>322</v>
      </c>
      <c r="GR4" s="120" t="s">
        <v>323</v>
      </c>
      <c r="GS4" s="120" t="s">
        <v>324</v>
      </c>
      <c r="GT4" s="120" t="s">
        <v>325</v>
      </c>
      <c r="GU4" s="120" t="s">
        <v>326</v>
      </c>
      <c r="GV4" s="120" t="s">
        <v>327</v>
      </c>
      <c r="GW4" s="120" t="s">
        <v>328</v>
      </c>
      <c r="GX4" s="120" t="s">
        <v>329</v>
      </c>
      <c r="GY4" s="120" t="s">
        <v>320</v>
      </c>
      <c r="GZ4" s="120" t="s">
        <v>321</v>
      </c>
      <c r="HA4" s="120" t="s">
        <v>319</v>
      </c>
      <c r="HB4" s="120" t="s">
        <v>333</v>
      </c>
      <c r="HC4" s="120" t="s">
        <v>345</v>
      </c>
      <c r="HD4" s="120" t="s">
        <v>347</v>
      </c>
      <c r="HE4" s="120" t="s">
        <v>348</v>
      </c>
      <c r="HF4" s="120" t="s">
        <v>339</v>
      </c>
      <c r="HG4" s="120" t="s">
        <v>322</v>
      </c>
      <c r="HH4" s="120" t="s">
        <v>323</v>
      </c>
      <c r="HI4" s="120" t="s">
        <v>324</v>
      </c>
      <c r="HJ4" s="120" t="s">
        <v>325</v>
      </c>
      <c r="HK4" s="120" t="s">
        <v>349</v>
      </c>
      <c r="HL4" s="120" t="s">
        <v>326</v>
      </c>
      <c r="HM4" s="120" t="s">
        <v>327</v>
      </c>
      <c r="HN4" s="120" t="s">
        <v>328</v>
      </c>
      <c r="HO4" s="120" t="s">
        <v>329</v>
      </c>
      <c r="HP4" s="120" t="s">
        <v>320</v>
      </c>
      <c r="HQ4" s="120" t="s">
        <v>321</v>
      </c>
      <c r="HR4" s="120" t="s">
        <v>319</v>
      </c>
      <c r="HS4" s="120" t="s">
        <v>330</v>
      </c>
      <c r="HT4" s="120" t="s">
        <v>332</v>
      </c>
      <c r="HU4" s="120" t="s">
        <v>333</v>
      </c>
      <c r="HV4" s="120" t="s">
        <v>346</v>
      </c>
      <c r="HW4" s="120" t="s">
        <v>274</v>
      </c>
      <c r="HX4" s="120" t="s">
        <v>334</v>
      </c>
      <c r="HY4" s="120" t="s">
        <v>335</v>
      </c>
      <c r="HZ4" s="120" t="s">
        <v>350</v>
      </c>
      <c r="IA4" s="120" t="s">
        <v>345</v>
      </c>
      <c r="IB4" s="120" t="s">
        <v>351</v>
      </c>
      <c r="IC4" s="120" t="s">
        <v>348</v>
      </c>
      <c r="ID4" s="120" t="s">
        <v>338</v>
      </c>
      <c r="IE4" s="120" t="s">
        <v>339</v>
      </c>
      <c r="IF4" s="120" t="s">
        <v>340</v>
      </c>
      <c r="IG4" s="120" t="s">
        <v>322</v>
      </c>
      <c r="IH4" s="120" t="s">
        <v>323</v>
      </c>
      <c r="II4" s="120" t="s">
        <v>324</v>
      </c>
      <c r="IJ4" s="120" t="s">
        <v>325</v>
      </c>
      <c r="IK4" s="120" t="s">
        <v>326</v>
      </c>
      <c r="IL4" s="120" t="s">
        <v>327</v>
      </c>
      <c r="IM4" s="120" t="s">
        <v>328</v>
      </c>
      <c r="IN4" s="120" t="s">
        <v>329</v>
      </c>
      <c r="IO4" s="120" t="s">
        <v>345</v>
      </c>
      <c r="IP4" s="120" t="s">
        <v>348</v>
      </c>
      <c r="IQ4" s="120" t="s">
        <v>345</v>
      </c>
      <c r="IR4" s="120" t="s">
        <v>348</v>
      </c>
      <c r="IS4" s="120" t="s">
        <v>320</v>
      </c>
      <c r="IT4" s="120" t="s">
        <v>321</v>
      </c>
      <c r="IU4" s="120" t="s">
        <v>319</v>
      </c>
      <c r="IV4" s="120" t="s">
        <v>333</v>
      </c>
      <c r="IW4" s="120" t="s">
        <v>345</v>
      </c>
      <c r="IX4" s="120" t="s">
        <v>348</v>
      </c>
      <c r="IY4" s="120" t="s">
        <v>339</v>
      </c>
      <c r="IZ4" s="120" t="s">
        <v>322</v>
      </c>
      <c r="JA4" s="120" t="s">
        <v>323</v>
      </c>
      <c r="JB4" s="120" t="s">
        <v>324</v>
      </c>
      <c r="JC4" s="120" t="s">
        <v>325</v>
      </c>
      <c r="JD4" s="120" t="s">
        <v>326</v>
      </c>
      <c r="JE4" s="120" t="s">
        <v>327</v>
      </c>
      <c r="JF4" s="120" t="s">
        <v>328</v>
      </c>
      <c r="JG4" s="120" t="s">
        <v>329</v>
      </c>
      <c r="JH4" s="120" t="s">
        <v>320</v>
      </c>
      <c r="JI4" s="120" t="s">
        <v>321</v>
      </c>
      <c r="JJ4" s="120" t="s">
        <v>319</v>
      </c>
      <c r="JK4" s="120" t="s">
        <v>330</v>
      </c>
      <c r="JL4" s="120" t="s">
        <v>331</v>
      </c>
      <c r="JM4" s="120" t="s">
        <v>332</v>
      </c>
      <c r="JN4" s="120" t="s">
        <v>333</v>
      </c>
      <c r="JO4" s="120" t="s">
        <v>334</v>
      </c>
      <c r="JP4" s="120" t="s">
        <v>335</v>
      </c>
      <c r="JQ4" s="120" t="s">
        <v>336</v>
      </c>
      <c r="JR4" s="120" t="s">
        <v>337</v>
      </c>
      <c r="JS4" s="120" t="s">
        <v>338</v>
      </c>
      <c r="JT4" s="120" t="s">
        <v>339</v>
      </c>
      <c r="JU4" s="120" t="s">
        <v>340</v>
      </c>
      <c r="JV4" s="120" t="s">
        <v>341</v>
      </c>
      <c r="JW4" s="120" t="s">
        <v>322</v>
      </c>
      <c r="JX4" s="120" t="s">
        <v>323</v>
      </c>
      <c r="JY4" s="120" t="s">
        <v>324</v>
      </c>
      <c r="JZ4" s="120" t="s">
        <v>325</v>
      </c>
      <c r="KA4" s="120" t="s">
        <v>326</v>
      </c>
      <c r="KB4" s="120" t="s">
        <v>327</v>
      </c>
      <c r="KC4" s="120" t="s">
        <v>328</v>
      </c>
      <c r="KD4" s="120" t="s">
        <v>329</v>
      </c>
      <c r="KE4" s="120" t="s">
        <v>320</v>
      </c>
      <c r="KF4" s="120" t="s">
        <v>321</v>
      </c>
      <c r="KG4" s="120" t="s">
        <v>319</v>
      </c>
      <c r="KH4" s="120" t="s">
        <v>322</v>
      </c>
      <c r="KI4" s="120" t="s">
        <v>323</v>
      </c>
      <c r="KJ4" s="120" t="s">
        <v>324</v>
      </c>
      <c r="KK4" s="120" t="s">
        <v>325</v>
      </c>
      <c r="KL4" s="120" t="s">
        <v>326</v>
      </c>
      <c r="KM4" s="120" t="s">
        <v>327</v>
      </c>
      <c r="KN4" s="120" t="s">
        <v>328</v>
      </c>
      <c r="KO4" s="120" t="s">
        <v>329</v>
      </c>
      <c r="KP4" s="120" t="s">
        <v>320</v>
      </c>
      <c r="KQ4" s="120" t="s">
        <v>321</v>
      </c>
      <c r="KR4" s="120" t="s">
        <v>319</v>
      </c>
    </row>
    <row r="5" spans="2:304" x14ac:dyDescent="0.25">
      <c r="B5" s="5">
        <v>100</v>
      </c>
      <c r="C5" s="126">
        <v>1.168134998568273E-5</v>
      </c>
      <c r="D5" s="126">
        <v>2.1976050457285789E-7</v>
      </c>
      <c r="E5" s="126">
        <v>1.209792624501326E-5</v>
      </c>
      <c r="F5" s="126">
        <v>2.369513700749242E-7</v>
      </c>
      <c r="G5" s="126">
        <v>4.1639486481145508E-7</v>
      </c>
      <c r="H5" s="126">
        <v>6.8083651745028697E-7</v>
      </c>
      <c r="I5" s="126">
        <v>5.6202223922366514E-3</v>
      </c>
      <c r="J5" s="126">
        <v>3.5593165665299362E-4</v>
      </c>
      <c r="K5" s="126">
        <v>2.6233227136900582E-4</v>
      </c>
      <c r="L5" s="126">
        <v>5.9793171576185528E-4</v>
      </c>
      <c r="M5" s="126">
        <v>4.1779556431944138E-4</v>
      </c>
      <c r="N5" s="126">
        <v>4.1604866540403719E-3</v>
      </c>
      <c r="O5" s="126">
        <v>4.3598603425947771E-5</v>
      </c>
      <c r="P5" s="126">
        <v>2.6342298468511071E-3</v>
      </c>
      <c r="Q5" s="126">
        <v>1.8610971404670309E-3</v>
      </c>
      <c r="R5" s="126">
        <v>7.9173446351146333E-5</v>
      </c>
      <c r="S5" s="126">
        <v>2.5168564734140972E-4</v>
      </c>
      <c r="T5" s="126">
        <v>0.92893634008003412</v>
      </c>
      <c r="U5" s="126">
        <v>3.1201655388908138</v>
      </c>
      <c r="V5" s="126">
        <v>2.2996552780988528</v>
      </c>
      <c r="W5" s="126">
        <v>5.2415847235214086</v>
      </c>
      <c r="X5" s="126">
        <v>9.4640918473987284E-6</v>
      </c>
      <c r="Y5" s="126">
        <v>7.6356684546869749E-5</v>
      </c>
      <c r="Z5" s="126">
        <v>9.4431684715681494E-7</v>
      </c>
      <c r="AA5" s="126">
        <v>3.644138708430436E-5</v>
      </c>
      <c r="AB5" s="126">
        <v>4.3510839789632069E-5</v>
      </c>
      <c r="AC5" s="126">
        <v>1.759373668853362E-6</v>
      </c>
      <c r="AD5" s="126">
        <v>5.1370327090341846E-6</v>
      </c>
      <c r="AE5" s="126">
        <v>1.6143636182631659E-2</v>
      </c>
      <c r="AF5" s="126">
        <v>7.3711206252142336E-2</v>
      </c>
      <c r="AG5" s="126">
        <v>5.4327362570971607E-2</v>
      </c>
      <c r="AH5" s="126">
        <v>0.12382789561252359</v>
      </c>
      <c r="AI5" s="126">
        <v>1.6130197335612899E-8</v>
      </c>
      <c r="AJ5" s="126">
        <v>1.091326993920954E-7</v>
      </c>
      <c r="AK5" s="126">
        <v>1.0564837422498711E-8</v>
      </c>
      <c r="AL5" s="126">
        <v>1.2203233294020549E-7</v>
      </c>
      <c r="AM5" s="126">
        <v>5.5039194762502128E-9</v>
      </c>
      <c r="AN5" s="126">
        <v>2.6211292623906438E-9</v>
      </c>
      <c r="AO5" s="126">
        <v>1.029920030489487E-8</v>
      </c>
      <c r="AP5" s="126">
        <v>3.0666957568639217E-5</v>
      </c>
      <c r="AQ5" s="126">
        <v>3.5605107909780639E-6</v>
      </c>
      <c r="AR5" s="126">
        <v>2.6242028928091292E-6</v>
      </c>
      <c r="AS5" s="126">
        <v>5.9813233424012996E-6</v>
      </c>
      <c r="AT5" s="126">
        <v>1.5495289406524231E-5</v>
      </c>
      <c r="AU5" s="126">
        <v>5.7241174327201581E-6</v>
      </c>
      <c r="AV5" s="126">
        <v>5.6359242069240054E-7</v>
      </c>
      <c r="AW5" s="126">
        <v>6.7365040716464478E-6</v>
      </c>
      <c r="AX5" s="126">
        <v>1.949140598132453E-7</v>
      </c>
      <c r="AY5" s="126">
        <v>5.1148361461932323E-7</v>
      </c>
      <c r="AZ5" s="126">
        <v>2.5332282964452869E-7</v>
      </c>
      <c r="BA5" s="126">
        <v>8.6610619332783915E-4</v>
      </c>
      <c r="BB5" s="126">
        <v>2.2648074275681879E-4</v>
      </c>
      <c r="BC5" s="126">
        <v>1.6692307795105501E-4</v>
      </c>
      <c r="BD5" s="126">
        <v>3.8046635238075591E-4</v>
      </c>
      <c r="BE5" s="126">
        <v>1.4828888873506429E-9</v>
      </c>
      <c r="BF5" s="126">
        <v>9.5679188812755077E-7</v>
      </c>
      <c r="BG5" s="126">
        <v>9.3584906950248382E-12</v>
      </c>
      <c r="BH5" s="126">
        <v>2.584195017584984E-6</v>
      </c>
      <c r="BI5" s="126">
        <v>9.5580755828626497E-13</v>
      </c>
      <c r="BJ5" s="126">
        <v>6.5745114819470483E-8</v>
      </c>
      <c r="BK5" s="126">
        <v>9.856476932277151E-11</v>
      </c>
      <c r="BL5" s="126">
        <v>1.044125291903075E-11</v>
      </c>
      <c r="BM5" s="126">
        <v>3.7958532865093592E-12</v>
      </c>
      <c r="BN5" s="126">
        <v>3.1404667853845191E-7</v>
      </c>
      <c r="BO5" s="126">
        <v>1.6960695837299539E-12</v>
      </c>
      <c r="BP5" s="126">
        <v>1.125951991656776E-12</v>
      </c>
      <c r="BQ5" s="126">
        <v>3.7261176994921711E-5</v>
      </c>
      <c r="BR5" s="126">
        <v>2.209742130978458E-4</v>
      </c>
      <c r="BS5" s="126">
        <v>3.627974830928469E-6</v>
      </c>
      <c r="BT5" s="126">
        <v>1.269982150612105E-4</v>
      </c>
      <c r="BU5" s="126">
        <v>1.0034004048306429E-4</v>
      </c>
      <c r="BV5" s="126">
        <v>6.3621059410486094E-6</v>
      </c>
      <c r="BW5" s="126">
        <v>1.8703441350251149E-5</v>
      </c>
      <c r="BX5" s="126">
        <v>4.8206205860810238E-2</v>
      </c>
      <c r="BY5" s="126">
        <v>0.1117303627497083</v>
      </c>
      <c r="BZ5" s="126">
        <v>5.1055148002620773E-4</v>
      </c>
      <c r="CA5" s="126">
        <v>0.17734978214239419</v>
      </c>
      <c r="CB5" s="126">
        <v>1.3849886200843551E-2</v>
      </c>
      <c r="CC5" s="126">
        <v>4.7884744552284201E-3</v>
      </c>
      <c r="CD5" s="126">
        <v>8.2347257937623569E-2</v>
      </c>
      <c r="CE5" s="126">
        <v>1.8352286930697599E-4</v>
      </c>
      <c r="CF5" s="126">
        <v>0.13070993323432309</v>
      </c>
      <c r="CG5" s="126">
        <v>1.020782464810656E-2</v>
      </c>
      <c r="CH5" s="126">
        <v>2.6524392494523459E-3</v>
      </c>
      <c r="CI5" s="126">
        <v>2.689433292017869E-2</v>
      </c>
      <c r="CJ5" s="126">
        <v>1.9821927356079599E-2</v>
      </c>
      <c r="CK5" s="126">
        <v>4.5179950495133188E-2</v>
      </c>
      <c r="CL5" s="126">
        <v>1.9944412426735839E-3</v>
      </c>
      <c r="CM5" s="126">
        <v>0.29792578164702921</v>
      </c>
      <c r="CN5" s="126">
        <v>1.785274661895092E-5</v>
      </c>
      <c r="CO5" s="126">
        <v>8.5756795884548502E-5</v>
      </c>
      <c r="CP5" s="126">
        <v>1.7430521966287118E-5</v>
      </c>
      <c r="CQ5" s="126">
        <v>8.8742558684661913E-5</v>
      </c>
      <c r="CR5" s="126">
        <v>4.6465894000628289E-6</v>
      </c>
      <c r="CS5" s="126">
        <v>3.9046520097557227E-6</v>
      </c>
      <c r="CT5" s="126">
        <v>8.3983128355050762E-6</v>
      </c>
      <c r="CU5" s="126">
        <v>2.8014089283734792E-2</v>
      </c>
      <c r="CV5" s="126">
        <v>5.8661328539535819E-3</v>
      </c>
      <c r="CW5" s="126">
        <v>4.3235152787499311E-3</v>
      </c>
      <c r="CX5" s="126">
        <v>9.8545516159891551E-3</v>
      </c>
      <c r="CY5" s="126">
        <v>1.922211504491559E-5</v>
      </c>
      <c r="CZ5" s="126">
        <v>1.2085673173424049E-2</v>
      </c>
      <c r="DA5" s="126">
        <v>3.9900337069248809E-7</v>
      </c>
      <c r="DB5" s="126">
        <v>5.4607571352328146E-3</v>
      </c>
      <c r="DC5" s="126">
        <v>1.469078777022357E-6</v>
      </c>
      <c r="DD5" s="126">
        <v>3.5698220810541219E-9</v>
      </c>
      <c r="DE5" s="126">
        <v>4.6932223341372898E-4</v>
      </c>
      <c r="DF5" s="126">
        <v>1.3745427014400109E-7</v>
      </c>
      <c r="DG5" s="126">
        <v>1.456093094150547E-8</v>
      </c>
      <c r="DH5" s="126">
        <v>1.1478232847936841E-6</v>
      </c>
      <c r="DI5" s="126">
        <v>1.3311902788695941E-5</v>
      </c>
      <c r="DJ5" s="126">
        <v>1.182857017453506E-7</v>
      </c>
      <c r="DK5" s="126">
        <v>1.334664672133868E-7</v>
      </c>
      <c r="DL5" s="126">
        <v>1.501870835752691E-6</v>
      </c>
      <c r="DM5" s="126">
        <v>5.6347333166143167E-5</v>
      </c>
      <c r="DN5" s="126">
        <v>3.0181409165032108E-7</v>
      </c>
      <c r="DO5" s="126">
        <v>6.2546735103551375E-5</v>
      </c>
      <c r="DP5" s="126">
        <v>3.34983511685128E-6</v>
      </c>
      <c r="DQ5" s="126">
        <v>3.9418891115084501E-7</v>
      </c>
      <c r="DR5" s="126">
        <v>2.4047411956233769E-6</v>
      </c>
      <c r="DS5" s="126">
        <v>1.476022736690479E-2</v>
      </c>
      <c r="DT5" s="126">
        <v>1.407679094550684E-2</v>
      </c>
      <c r="DU5" s="126">
        <v>1.037501574613146E-2</v>
      </c>
      <c r="DV5" s="126">
        <v>2.364768518096089E-2</v>
      </c>
      <c r="DW5" s="126">
        <v>7.727791183427837E-6</v>
      </c>
      <c r="DX5" s="126">
        <v>3.9730464852358316E-6</v>
      </c>
      <c r="DY5" s="126">
        <v>1.276533561928817E-5</v>
      </c>
      <c r="DZ5" s="126">
        <v>3.350717590082457E-6</v>
      </c>
      <c r="EA5" s="126">
        <v>7.0219025419014517E-7</v>
      </c>
      <c r="EB5" s="126">
        <v>1.8200651483535479E-5</v>
      </c>
      <c r="EC5" s="126">
        <v>3.921660694255433E-7</v>
      </c>
      <c r="ED5" s="126">
        <v>2.2772911053630168E-3</v>
      </c>
      <c r="EE5" s="126">
        <v>9.7761327114438213E-4</v>
      </c>
      <c r="EF5" s="126">
        <v>7.2053020613959654E-4</v>
      </c>
      <c r="EG5" s="126">
        <v>1.6422983728497311E-3</v>
      </c>
      <c r="EH5" s="126">
        <v>3.913068206647811E-8</v>
      </c>
      <c r="EI5" s="126">
        <v>2.3758099968715631E-7</v>
      </c>
      <c r="EJ5" s="126">
        <v>9.3922120471475582E-9</v>
      </c>
      <c r="EK5" s="126">
        <v>1.1101884980869629E-7</v>
      </c>
      <c r="EL5" s="126">
        <v>2.308689267857276E-8</v>
      </c>
      <c r="EM5" s="126">
        <v>7.1788586455255606E-9</v>
      </c>
      <c r="EN5" s="126">
        <v>1.8591474732217102E-8</v>
      </c>
      <c r="EO5" s="126">
        <v>4.2759419794654633E-5</v>
      </c>
      <c r="EP5" s="126">
        <v>2.6995892218606589E-4</v>
      </c>
      <c r="EQ5" s="126">
        <v>1.495360678314438E-4</v>
      </c>
      <c r="ER5" s="126">
        <v>3.997564655969168E-5</v>
      </c>
      <c r="ES5" s="126">
        <v>2.9463246568350161E-5</v>
      </c>
      <c r="ET5" s="126">
        <v>6.7155327404410349E-5</v>
      </c>
      <c r="EU5" s="126">
        <v>2.8501687019954831E-10</v>
      </c>
      <c r="EV5" s="126">
        <v>4.1184905073961232E-4</v>
      </c>
      <c r="EW5" s="126">
        <v>1.111203741484625E-9</v>
      </c>
      <c r="EX5" s="126">
        <v>1.3379719322127299E-5</v>
      </c>
      <c r="EY5" s="126">
        <v>5.2242580446737867E-6</v>
      </c>
      <c r="EZ5" s="126">
        <v>5.7124489594723307E-7</v>
      </c>
      <c r="FA5" s="126">
        <v>6.0278609784886864E-6</v>
      </c>
      <c r="FB5" s="126">
        <v>1.9310379376072619E-7</v>
      </c>
      <c r="FC5" s="126">
        <v>5.2309509814101756E-7</v>
      </c>
      <c r="FD5" s="126">
        <v>2.4746464099607122E-7</v>
      </c>
      <c r="FE5" s="126">
        <v>8.2566893793655004E-4</v>
      </c>
      <c r="FF5" s="126">
        <v>1.721892181530633E-4</v>
      </c>
      <c r="FG5" s="126">
        <v>1.269086012975363E-4</v>
      </c>
      <c r="FH5" s="126">
        <v>2.892616959506056E-4</v>
      </c>
      <c r="FI5" s="126">
        <v>5.9670517885239523E-9</v>
      </c>
      <c r="FJ5" s="126">
        <v>5.8901828618260337E-6</v>
      </c>
      <c r="FK5" s="126">
        <v>2.445723327796492E-10</v>
      </c>
      <c r="FL5" s="126">
        <v>9.7809137474505397E-5</v>
      </c>
      <c r="FM5" s="126">
        <v>8.5328097424855586E-12</v>
      </c>
      <c r="FN5" s="126">
        <v>1.731804791616707E-8</v>
      </c>
      <c r="FO5" s="126">
        <v>7.2414932563668867E-11</v>
      </c>
      <c r="FP5" s="126">
        <v>7.671124593573612E-12</v>
      </c>
      <c r="FQ5" s="126">
        <v>6.1493502976962372E-11</v>
      </c>
      <c r="FR5" s="126">
        <v>4.6833104891493799E-7</v>
      </c>
      <c r="FS5" s="126">
        <v>1.309540560233636E-11</v>
      </c>
      <c r="FT5" s="126">
        <v>1.6694352969382241E-11</v>
      </c>
      <c r="FU5" s="126">
        <v>4.3484274483723684E-9</v>
      </c>
      <c r="FV5" s="126">
        <v>3.5072941261847917E-8</v>
      </c>
      <c r="FW5" s="126">
        <v>6.0608527354468094E-10</v>
      </c>
      <c r="FX5" s="126">
        <v>1.166762428769546E-8</v>
      </c>
      <c r="FY5" s="126">
        <v>2.6966712992530401E-8</v>
      </c>
      <c r="FZ5" s="126">
        <v>5.7224143723572233E-10</v>
      </c>
      <c r="GA5" s="126">
        <v>3.4114495441492549E-9</v>
      </c>
      <c r="GB5" s="126">
        <v>1.9829552551582681E-5</v>
      </c>
      <c r="GC5" s="126">
        <v>7.7576720007590594E-5</v>
      </c>
      <c r="GD5" s="126">
        <v>5.7176361766520843E-5</v>
      </c>
      <c r="GE5" s="126">
        <v>1.303215952565246E-4</v>
      </c>
      <c r="GF5" s="126">
        <v>2.8585105296503048E-12</v>
      </c>
      <c r="GG5" s="126">
        <v>2.4491195689147461E-11</v>
      </c>
      <c r="GH5" s="126">
        <v>2.2827353655194522E-13</v>
      </c>
      <c r="GI5" s="126">
        <v>1.335985079252982E-11</v>
      </c>
      <c r="GJ5" s="126">
        <v>1.5969682576217309E-11</v>
      </c>
      <c r="GK5" s="126">
        <v>3.390950990991433E-13</v>
      </c>
      <c r="GL5" s="126">
        <v>2.09722114509525E-12</v>
      </c>
      <c r="GM5" s="126">
        <v>6.5820644238937593E-9</v>
      </c>
      <c r="GN5" s="126">
        <v>3.7647834532488898E-8</v>
      </c>
      <c r="GO5" s="126">
        <v>2.7747579515414939E-8</v>
      </c>
      <c r="GP5" s="126">
        <v>6.3244822077390778E-8</v>
      </c>
      <c r="GQ5" s="126">
        <v>1.270680475066144E-7</v>
      </c>
      <c r="GR5" s="126">
        <v>2.8009229244323981E-7</v>
      </c>
      <c r="GS5" s="126">
        <v>1.8338264765679259E-7</v>
      </c>
      <c r="GT5" s="126">
        <v>1.8731881302620089E-7</v>
      </c>
      <c r="GU5" s="126">
        <v>4.3416885560740633E-8</v>
      </c>
      <c r="GV5" s="126">
        <v>3.5513970919961862E-8</v>
      </c>
      <c r="GW5" s="126">
        <v>5.7075692917839477E-8</v>
      </c>
      <c r="GX5" s="126">
        <v>6.9407027147329721E-5</v>
      </c>
      <c r="GY5" s="126">
        <v>8.1480473765685319E-5</v>
      </c>
      <c r="GZ5" s="126">
        <v>6.0053544987188057E-5</v>
      </c>
      <c r="HA5" s="126">
        <v>1.368795345093543E-4</v>
      </c>
      <c r="HB5" s="126">
        <v>4.5261557975164568E-6</v>
      </c>
      <c r="HC5" s="126">
        <v>2.329223423206033E-4</v>
      </c>
      <c r="HD5" s="126">
        <v>6.8260649381253112E-6</v>
      </c>
      <c r="HE5" s="126">
        <v>1.5889395122669819E-5</v>
      </c>
      <c r="HF5" s="126">
        <v>3.2893961358883852E-7</v>
      </c>
      <c r="HG5" s="126">
        <v>1.2825728723792641E-7</v>
      </c>
      <c r="HH5" s="126">
        <v>4.3777846662087328E-7</v>
      </c>
      <c r="HI5" s="126">
        <v>9.0712272240423293E-8</v>
      </c>
      <c r="HJ5" s="126">
        <v>2.7140887922863508E-7</v>
      </c>
      <c r="HK5" s="126">
        <v>1.2254494782146799E-6</v>
      </c>
      <c r="HL5" s="126">
        <v>9.7887144774792989E-8</v>
      </c>
      <c r="HM5" s="126">
        <v>2.5320220419572849E-8</v>
      </c>
      <c r="HN5" s="126">
        <v>6.4641648215700246E-8</v>
      </c>
      <c r="HO5" s="126">
        <v>1.9975113862263371E-4</v>
      </c>
      <c r="HP5" s="126">
        <v>1.897769443107057E-4</v>
      </c>
      <c r="HQ5" s="126">
        <v>1.398712812528305E-4</v>
      </c>
      <c r="HR5" s="126">
        <v>3.1880742216298718E-4</v>
      </c>
      <c r="HS5" s="126">
        <v>4.252546260691865E-6</v>
      </c>
      <c r="HT5" s="126">
        <v>1.0846977684008331E-7</v>
      </c>
      <c r="HU5" s="126">
        <v>1.323515598833083E-8</v>
      </c>
      <c r="HV5" s="126">
        <v>4.2343018390354048E-7</v>
      </c>
      <c r="HW5" s="126">
        <v>4.6461687512059539E-5</v>
      </c>
      <c r="HX5" s="126">
        <v>5.4483091265619637E-8</v>
      </c>
      <c r="HY5" s="126">
        <v>3.615328502235995E-6</v>
      </c>
      <c r="HZ5" s="126">
        <v>9.9177398897669578E-5</v>
      </c>
      <c r="IA5" s="126">
        <v>1.0587379196391061E-3</v>
      </c>
      <c r="IB5" s="126">
        <v>2.6510433562399442E-7</v>
      </c>
      <c r="IC5" s="126">
        <v>6.4416466713541333E-6</v>
      </c>
      <c r="ID5" s="126">
        <v>8.7140747739978592E-8</v>
      </c>
      <c r="IE5" s="126">
        <v>1.8305052135734279E-10</v>
      </c>
      <c r="IF5" s="126">
        <v>1.5530433789361849E-7</v>
      </c>
      <c r="IG5" s="126">
        <v>2.0345992947466721E-7</v>
      </c>
      <c r="IH5" s="126">
        <v>9.128925671011925E-7</v>
      </c>
      <c r="II5" s="126">
        <v>8.5129094129729307E-7</v>
      </c>
      <c r="IJ5" s="126">
        <v>5.6835443651935341E-7</v>
      </c>
      <c r="IK5" s="126">
        <v>1.10516479552057E-7</v>
      </c>
      <c r="IL5" s="126">
        <v>3.519219683346766E-8</v>
      </c>
      <c r="IM5" s="126">
        <v>9.1402530654609419E-8</v>
      </c>
      <c r="IN5" s="126">
        <v>1.937558974685228E-4</v>
      </c>
      <c r="IO5" s="126">
        <v>3.8862981085911822E-4</v>
      </c>
      <c r="IP5" s="126">
        <v>4.7292688208015763E-5</v>
      </c>
      <c r="IQ5" s="126">
        <v>2.1527043183961069E-4</v>
      </c>
      <c r="IR5" s="126">
        <v>3.4856003267886341E-5</v>
      </c>
      <c r="IS5" s="126">
        <v>2.6692438691632708E-4</v>
      </c>
      <c r="IT5" s="126">
        <v>1.9673125274104639E-4</v>
      </c>
      <c r="IU5" s="126">
        <v>4.4840787174814628E-4</v>
      </c>
      <c r="IV5" s="126">
        <v>1.6323359781985739E-7</v>
      </c>
      <c r="IW5" s="126">
        <v>5.9289323499789944E-4</v>
      </c>
      <c r="IX5" s="126">
        <v>7.9446975613349139E-5</v>
      </c>
      <c r="IY5" s="126">
        <v>2.2576231976641831E-9</v>
      </c>
      <c r="IZ5" s="126">
        <v>2.1515338122274399E-9</v>
      </c>
      <c r="JA5" s="126">
        <v>1.6443768546777711E-8</v>
      </c>
      <c r="JB5" s="126">
        <v>2.6095380481337141E-9</v>
      </c>
      <c r="JC5" s="126">
        <v>6.4940373320331884E-9</v>
      </c>
      <c r="JD5" s="126">
        <v>8.9023601822222247E-10</v>
      </c>
      <c r="JE5" s="126">
        <v>9.9179391742028054E-10</v>
      </c>
      <c r="JF5" s="126">
        <v>1.9952130205166872E-9</v>
      </c>
      <c r="JG5" s="126">
        <v>2.4300794698045511E-6</v>
      </c>
      <c r="JH5" s="126">
        <v>3.432047133742322E-6</v>
      </c>
      <c r="JI5" s="126">
        <v>2.529521337063507E-6</v>
      </c>
      <c r="JJ5" s="126">
        <v>5.7655164773803073E-6</v>
      </c>
      <c r="JK5" s="126">
        <v>2.1915104729561949E-9</v>
      </c>
      <c r="JL5" s="126">
        <v>2.185604666295626E-6</v>
      </c>
      <c r="JM5" s="126">
        <v>2.8090720390521989E-11</v>
      </c>
      <c r="JN5" s="126">
        <v>1.285255554330903E-5</v>
      </c>
      <c r="JO5" s="126">
        <v>9.4034532633918527E-13</v>
      </c>
      <c r="JP5" s="126">
        <v>2.103096943205222E-7</v>
      </c>
      <c r="JQ5" s="126">
        <v>7.3755949833366433E-10</v>
      </c>
      <c r="JR5" s="126">
        <v>7.8131824564175653E-11</v>
      </c>
      <c r="JS5" s="126">
        <v>4.0864728297178619E-12</v>
      </c>
      <c r="JT5" s="126">
        <v>1.8023389649638859E-7</v>
      </c>
      <c r="JU5" s="126">
        <v>1.9495652285199421E-12</v>
      </c>
      <c r="JV5" s="126">
        <v>1.0838405019374719E-12</v>
      </c>
      <c r="JW5" s="126">
        <v>4.0494976158475361E-7</v>
      </c>
      <c r="JX5" s="126">
        <v>8.7389300457603772E-7</v>
      </c>
      <c r="JY5" s="126">
        <v>8.9450389848874627E-8</v>
      </c>
      <c r="JZ5" s="126">
        <v>7.7473911339402678E-7</v>
      </c>
      <c r="KA5" s="126">
        <v>7.8954550842679956E-8</v>
      </c>
      <c r="KB5" s="126">
        <v>1.1726825197801221E-7</v>
      </c>
      <c r="KC5" s="126">
        <v>2.1605096021001189E-7</v>
      </c>
      <c r="KD5" s="126">
        <v>3.279286676391113E-3</v>
      </c>
      <c r="KE5" s="126">
        <v>3.7695931185235498E-4</v>
      </c>
      <c r="KF5" s="126">
        <v>2.778302818631684E-4</v>
      </c>
      <c r="KG5" s="126">
        <v>6.3325619931590103E-4</v>
      </c>
      <c r="KH5" s="126">
        <v>2.368246076158967E-7</v>
      </c>
      <c r="KI5" s="126">
        <v>8.7296126070670693E-7</v>
      </c>
      <c r="KJ5" s="126">
        <v>9.0253378498384699E-8</v>
      </c>
      <c r="KK5" s="126">
        <v>7.6023184743276253E-7</v>
      </c>
      <c r="KL5" s="126">
        <v>5.1610812288098581E-8</v>
      </c>
      <c r="KM5" s="126">
        <v>3.4648267946719827E-8</v>
      </c>
      <c r="KN5" s="126">
        <v>1.3619369040751721E-7</v>
      </c>
      <c r="KO5" s="126">
        <v>8.7374272826118199E-4</v>
      </c>
      <c r="KP5" s="126">
        <v>2.1202524529291561E-4</v>
      </c>
      <c r="KQ5" s="126">
        <v>1.562689441796055E-4</v>
      </c>
      <c r="KR5" s="127">
        <v>3.5618247585777091E-4</v>
      </c>
    </row>
    <row r="6" spans="2:304" x14ac:dyDescent="0.25">
      <c r="B6" s="5">
        <v>200</v>
      </c>
      <c r="C6" s="126">
        <v>1.102691415820594E-5</v>
      </c>
      <c r="D6" s="126">
        <v>2.0744712654153889E-7</v>
      </c>
      <c r="E6" s="126">
        <v>1.141989866782349E-5</v>
      </c>
      <c r="F6" s="126">
        <v>2.2367144423392129E-7</v>
      </c>
      <c r="G6" s="126">
        <v>3.9305654766669478E-7</v>
      </c>
      <c r="H6" s="126">
        <v>6.4268183700901664E-7</v>
      </c>
      <c r="I6" s="126">
        <v>2.8101111961183248E-3</v>
      </c>
      <c r="J6" s="126">
        <v>1.6402608492242589E-4</v>
      </c>
      <c r="K6" s="126">
        <v>2.4426721269757201E-4</v>
      </c>
      <c r="L6" s="126">
        <v>2.9092419454808388E-4</v>
      </c>
      <c r="M6" s="126">
        <v>3.9437479095306928E-4</v>
      </c>
      <c r="N6" s="126">
        <v>3.9273995939419918E-3</v>
      </c>
      <c r="O6" s="126">
        <v>4.1155734600793283E-5</v>
      </c>
      <c r="P6" s="126">
        <v>2.486594587332339E-3</v>
      </c>
      <c r="Q6" s="126">
        <v>1.7567920587935649E-3</v>
      </c>
      <c r="R6" s="126">
        <v>7.4735891624760876E-5</v>
      </c>
      <c r="S6" s="126">
        <v>2.3758096112109849E-4</v>
      </c>
      <c r="T6" s="126">
        <v>0.464468170040017</v>
      </c>
      <c r="U6" s="126">
        <v>1.437884290671809</v>
      </c>
      <c r="V6" s="126">
        <v>2.1412934901795468</v>
      </c>
      <c r="W6" s="126">
        <v>2.550297590257526</v>
      </c>
      <c r="X6" s="126">
        <v>8.9335540217099435E-6</v>
      </c>
      <c r="Y6" s="126">
        <v>7.2078878463149848E-5</v>
      </c>
      <c r="Z6" s="126">
        <v>8.9140592786772041E-7</v>
      </c>
      <c r="AA6" s="126">
        <v>3.4399031651331689E-5</v>
      </c>
      <c r="AB6" s="126">
        <v>4.1072277288375518E-5</v>
      </c>
      <c r="AC6" s="126">
        <v>1.6607633733627279E-6</v>
      </c>
      <c r="AD6" s="126">
        <v>4.8491488537974323E-6</v>
      </c>
      <c r="AE6" s="126">
        <v>8.0718180913158279E-3</v>
      </c>
      <c r="AF6" s="126">
        <v>3.3968769988435531E-2</v>
      </c>
      <c r="AG6" s="126">
        <v>5.0586202601642677E-2</v>
      </c>
      <c r="AH6" s="126">
        <v>6.0248569935376237E-2</v>
      </c>
      <c r="AI6" s="126">
        <v>1.5225971134055141E-8</v>
      </c>
      <c r="AJ6" s="126">
        <v>1.030186502009508E-7</v>
      </c>
      <c r="AK6" s="126">
        <v>9.9728801129926078E-9</v>
      </c>
      <c r="AL6" s="126">
        <v>1.1519303789355499E-7</v>
      </c>
      <c r="AM6" s="126">
        <v>5.1954526273084141E-9</v>
      </c>
      <c r="AN6" s="126">
        <v>2.4742188387215551E-9</v>
      </c>
      <c r="AO6" s="126">
        <v>9.722024013139058E-9</v>
      </c>
      <c r="AP6" s="126">
        <v>1.5333478784319608E-5</v>
      </c>
      <c r="AQ6" s="126">
        <v>1.64081119072124E-6</v>
      </c>
      <c r="AR6" s="126">
        <v>2.443491694080323E-6</v>
      </c>
      <c r="AS6" s="126">
        <v>2.9102180564257022E-6</v>
      </c>
      <c r="AT6" s="126">
        <v>1.4626654857883899E-5</v>
      </c>
      <c r="AU6" s="126">
        <v>5.4034295384915036E-6</v>
      </c>
      <c r="AV6" s="126">
        <v>5.320138322419405E-7</v>
      </c>
      <c r="AW6" s="126">
        <v>6.3589570902941521E-6</v>
      </c>
      <c r="AX6" s="126">
        <v>1.8399011259626901E-7</v>
      </c>
      <c r="AY6" s="126">
        <v>4.8281571349681721E-7</v>
      </c>
      <c r="AZ6" s="126">
        <v>2.391263942803355E-7</v>
      </c>
      <c r="BA6" s="126">
        <v>4.3305309666391952E-4</v>
      </c>
      <c r="BB6" s="126">
        <v>1.043704566602832E-4</v>
      </c>
      <c r="BC6" s="126">
        <v>1.554282085586407E-4</v>
      </c>
      <c r="BD6" s="126">
        <v>1.8511623351169309E-4</v>
      </c>
      <c r="BE6" s="126">
        <v>6.8287100585349888E-10</v>
      </c>
      <c r="BF6" s="126">
        <v>4.4060311551833269E-7</v>
      </c>
      <c r="BG6" s="126">
        <v>4.3095892036313871E-12</v>
      </c>
      <c r="BH6" s="126">
        <v>1.2980700366607749E-6</v>
      </c>
      <c r="BI6" s="126">
        <v>4.4015020186878539E-13</v>
      </c>
      <c r="BJ6" s="126">
        <v>3.0275655853038681E-8</v>
      </c>
      <c r="BK6" s="126">
        <v>4.5389167974537567E-11</v>
      </c>
      <c r="BL6" s="126">
        <v>4.8081978869077068E-12</v>
      </c>
      <c r="BM6" s="126">
        <v>1.7479921539548161E-12</v>
      </c>
      <c r="BN6" s="126">
        <v>1.577491562167664E-7</v>
      </c>
      <c r="BO6" s="126">
        <v>7.810414308312601E-13</v>
      </c>
      <c r="BP6" s="126">
        <v>5.1850181598425448E-13</v>
      </c>
      <c r="BQ6" s="126">
        <v>3.5172390860526353E-5</v>
      </c>
      <c r="BR6" s="126">
        <v>2.0859435613123099E-4</v>
      </c>
      <c r="BS6" s="126">
        <v>3.4246961495832401E-6</v>
      </c>
      <c r="BT6" s="126">
        <v>1.198806074380964E-4</v>
      </c>
      <c r="BU6" s="126">
        <v>9.4716488713446047E-5</v>
      </c>
      <c r="BV6" s="126">
        <v>6.005519300077454E-6</v>
      </c>
      <c r="BW6" s="126">
        <v>1.7655283959188499E-5</v>
      </c>
      <c r="BX6" s="126">
        <v>2.4103102930405119E-2</v>
      </c>
      <c r="BY6" s="126">
        <v>5.1489296565850898E-2</v>
      </c>
      <c r="BZ6" s="126">
        <v>2.5151565598381691E-4</v>
      </c>
      <c r="CA6" s="126">
        <v>8.172904216801731E-2</v>
      </c>
      <c r="CB6" s="126">
        <v>6.3825275969075319E-3</v>
      </c>
      <c r="CC6" s="126">
        <v>2.5642159204688811E-3</v>
      </c>
      <c r="CD6" s="126">
        <v>7.6676542711757875E-2</v>
      </c>
      <c r="CE6" s="126">
        <v>1.5844109041231411E-4</v>
      </c>
      <c r="CF6" s="126">
        <v>0.1217087979551712</v>
      </c>
      <c r="CG6" s="126">
        <v>9.5048791475931677E-3</v>
      </c>
      <c r="CH6" s="126">
        <v>2.564613529330532E-3</v>
      </c>
      <c r="CI6" s="126">
        <v>1.239387408520951E-2</v>
      </c>
      <c r="CJ6" s="126">
        <v>1.845692457239698E-2</v>
      </c>
      <c r="CK6" s="126">
        <v>2.1982344072134671E-2</v>
      </c>
      <c r="CL6" s="126">
        <v>9.3673738845243871E-4</v>
      </c>
      <c r="CM6" s="126">
        <v>0.14495605334703399</v>
      </c>
      <c r="CN6" s="126">
        <v>1.6851957792456771E-5</v>
      </c>
      <c r="CO6" s="126">
        <v>8.0952358063128145E-5</v>
      </c>
      <c r="CP6" s="126">
        <v>1.6453874198430601E-5</v>
      </c>
      <c r="CQ6" s="126">
        <v>8.3768987112146798E-5</v>
      </c>
      <c r="CR6" s="126">
        <v>4.3861715656906839E-6</v>
      </c>
      <c r="CS6" s="126">
        <v>3.6858020318990859E-6</v>
      </c>
      <c r="CT6" s="126">
        <v>7.9276639583200855E-6</v>
      </c>
      <c r="CU6" s="126">
        <v>1.4007044641867391E-2</v>
      </c>
      <c r="CV6" s="126">
        <v>2.703324606518195E-3</v>
      </c>
      <c r="CW6" s="126">
        <v>4.0257838682381322E-3</v>
      </c>
      <c r="CX6" s="126">
        <v>4.7947406299752226E-3</v>
      </c>
      <c r="CY6" s="126">
        <v>8.8517927049846177E-6</v>
      </c>
      <c r="CZ6" s="126">
        <v>5.5654581935973661E-3</v>
      </c>
      <c r="DA6" s="126">
        <v>1.8374123291729311E-7</v>
      </c>
      <c r="DB6" s="126">
        <v>2.7429993349927738E-3</v>
      </c>
      <c r="DC6" s="126">
        <v>6.7651144218215719E-7</v>
      </c>
      <c r="DD6" s="126">
        <v>1.643906135696227E-9</v>
      </c>
      <c r="DE6" s="126">
        <v>2.1612310605936499E-4</v>
      </c>
      <c r="DF6" s="126">
        <v>6.3297819284219067E-8</v>
      </c>
      <c r="DG6" s="126">
        <v>6.7053099783406809E-9</v>
      </c>
      <c r="DH6" s="126">
        <v>5.285731414005894E-7</v>
      </c>
      <c r="DI6" s="126">
        <v>6.6867175361617028E-6</v>
      </c>
      <c r="DJ6" s="126">
        <v>5.4470662421110877E-8</v>
      </c>
      <c r="DK6" s="126">
        <v>6.1461417658950314E-8</v>
      </c>
      <c r="DL6" s="126">
        <v>1.417678997749277E-6</v>
      </c>
      <c r="DM6" s="126">
        <v>5.3190530771566188E-5</v>
      </c>
      <c r="DN6" s="126">
        <v>2.8490317759461792E-7</v>
      </c>
      <c r="DO6" s="126">
        <v>5.9041306949625242E-5</v>
      </c>
      <c r="DP6" s="126">
        <v>3.1620938013344891E-6</v>
      </c>
      <c r="DQ6" s="126">
        <v>3.7209520490989081E-7</v>
      </c>
      <c r="DR6" s="126">
        <v>2.269977372721254E-6</v>
      </c>
      <c r="DS6" s="126">
        <v>7.3801136834523969E-3</v>
      </c>
      <c r="DT6" s="126">
        <v>6.487090608279341E-3</v>
      </c>
      <c r="DU6" s="126">
        <v>9.6605582103017375E-3</v>
      </c>
      <c r="DV6" s="126">
        <v>1.150580172090713E-2</v>
      </c>
      <c r="DW6" s="126">
        <v>7.2945868572293711E-6</v>
      </c>
      <c r="DX6" s="126">
        <v>3.750460571162899E-6</v>
      </c>
      <c r="DY6" s="126">
        <v>1.2050082423621961E-5</v>
      </c>
      <c r="DZ6" s="126">
        <v>3.1629268164044291E-6</v>
      </c>
      <c r="EA6" s="126">
        <v>6.628360419778609E-7</v>
      </c>
      <c r="EB6" s="126">
        <v>1.718053185080096E-5</v>
      </c>
      <c r="EC6" s="126">
        <v>3.7018873613725759E-7</v>
      </c>
      <c r="ED6" s="126">
        <v>1.138645552681509E-3</v>
      </c>
      <c r="EE6" s="126">
        <v>4.5051929053434021E-4</v>
      </c>
      <c r="EF6" s="126">
        <v>6.7091213825749905E-4</v>
      </c>
      <c r="EG6" s="126">
        <v>7.9906169673600157E-4</v>
      </c>
      <c r="EH6" s="126">
        <v>3.6937095263220857E-8</v>
      </c>
      <c r="EI6" s="126">
        <v>2.242707642851187E-7</v>
      </c>
      <c r="EJ6" s="126">
        <v>8.8659579883865377E-9</v>
      </c>
      <c r="EK6" s="126">
        <v>1.047968047876156E-7</v>
      </c>
      <c r="EL6" s="126">
        <v>2.1792989112732679E-8</v>
      </c>
      <c r="EM6" s="126">
        <v>6.7764942218371398E-9</v>
      </c>
      <c r="EN6" s="126">
        <v>1.7549592049431229E-8</v>
      </c>
      <c r="EO6" s="126">
        <v>2.137970989732731E-5</v>
      </c>
      <c r="EP6" s="126">
        <v>1.445623178351297E-4</v>
      </c>
      <c r="EQ6" s="126">
        <v>1.4458473375501119E-4</v>
      </c>
      <c r="ER6" s="126">
        <v>1.8422213014397582E-5</v>
      </c>
      <c r="ES6" s="126">
        <v>2.7434310993132741E-5</v>
      </c>
      <c r="ET6" s="126">
        <v>3.2674482754017702E-5</v>
      </c>
      <c r="EU6" s="126">
        <v>1.4316715906937171E-10</v>
      </c>
      <c r="EV6" s="126">
        <v>2.083307094972185E-4</v>
      </c>
      <c r="EW6" s="126">
        <v>5.5817005745740004E-10</v>
      </c>
      <c r="EX6" s="126">
        <v>1.262967934872629E-5</v>
      </c>
      <c r="EY6" s="126">
        <v>4.9315742674897471E-6</v>
      </c>
      <c r="EZ6" s="126">
        <v>5.3923753244972277E-7</v>
      </c>
      <c r="FA6" s="126">
        <v>5.6900298583356659E-6</v>
      </c>
      <c r="FB6" s="126">
        <v>1.8228130280003731E-7</v>
      </c>
      <c r="FC6" s="126">
        <v>4.9377639051763597E-7</v>
      </c>
      <c r="FD6" s="126">
        <v>2.335965037036143E-7</v>
      </c>
      <c r="FE6" s="126">
        <v>4.1283446896827502E-4</v>
      </c>
      <c r="FF6" s="126">
        <v>7.9350973119639588E-5</v>
      </c>
      <c r="FG6" s="126">
        <v>1.1816925971220489E-4</v>
      </c>
      <c r="FH6" s="126">
        <v>1.4074052887597501E-4</v>
      </c>
      <c r="FI6" s="126">
        <v>2.7478300576446109E-9</v>
      </c>
      <c r="FJ6" s="126">
        <v>2.7124319845270951E-6</v>
      </c>
      <c r="FK6" s="126">
        <v>1.126256700147653E-10</v>
      </c>
      <c r="FL6" s="126">
        <v>4.9130622806455712E-5</v>
      </c>
      <c r="FM6" s="126">
        <v>3.9293662182341922E-12</v>
      </c>
      <c r="FN6" s="126">
        <v>7.9749690938410435E-9</v>
      </c>
      <c r="FO6" s="126">
        <v>3.3347143818027612E-11</v>
      </c>
      <c r="FP6" s="126">
        <v>3.5325535495648468E-12</v>
      </c>
      <c r="FQ6" s="126">
        <v>2.8317785912577921E-11</v>
      </c>
      <c r="FR6" s="126">
        <v>2.3524791964134361E-7</v>
      </c>
      <c r="FS6" s="126">
        <v>6.0304449929885618E-12</v>
      </c>
      <c r="FT6" s="126">
        <v>7.6877632398606311E-12</v>
      </c>
      <c r="FU6" s="126">
        <v>4.1046634104885861E-9</v>
      </c>
      <c r="FV6" s="126">
        <v>3.3108015173264443E-8</v>
      </c>
      <c r="FW6" s="126">
        <v>5.7212577246473678E-10</v>
      </c>
      <c r="FX6" s="126">
        <v>1.101371295883382E-8</v>
      </c>
      <c r="FY6" s="126">
        <v>2.545536512143274E-8</v>
      </c>
      <c r="FZ6" s="126">
        <v>5.4016814989672519E-10</v>
      </c>
      <c r="GA6" s="126">
        <v>3.2202688952528239E-9</v>
      </c>
      <c r="GB6" s="126">
        <v>9.9147762757913388E-6</v>
      </c>
      <c r="GC6" s="126">
        <v>3.5750137494439948E-5</v>
      </c>
      <c r="GD6" s="126">
        <v>5.3239010389425421E-5</v>
      </c>
      <c r="GE6" s="126">
        <v>6.340808512543616E-5</v>
      </c>
      <c r="GF6" s="126">
        <v>2.6982682173859751E-12</v>
      </c>
      <c r="GG6" s="126">
        <v>2.3119101202091789E-11</v>
      </c>
      <c r="GH6" s="126">
        <v>2.1548316570904271E-13</v>
      </c>
      <c r="GI6" s="126">
        <v>1.2611098727008701E-11</v>
      </c>
      <c r="GJ6" s="126">
        <v>1.5074662639217311E-11</v>
      </c>
      <c r="GK6" s="126">
        <v>3.2008931964844539E-13</v>
      </c>
      <c r="GL6" s="126">
        <v>1.9796910177374332E-12</v>
      </c>
      <c r="GM6" s="126">
        <v>3.2910322119468788E-9</v>
      </c>
      <c r="GN6" s="126">
        <v>1.7349473666490539E-8</v>
      </c>
      <c r="GO6" s="126">
        <v>2.5836790387869311E-8</v>
      </c>
      <c r="GP6" s="126">
        <v>3.0771822997811908E-8</v>
      </c>
      <c r="GQ6" s="126">
        <v>1.1994487005592131E-7</v>
      </c>
      <c r="GR6" s="126">
        <v>2.644004048275424E-7</v>
      </c>
      <c r="GS6" s="126">
        <v>1.7310755355209349E-7</v>
      </c>
      <c r="GT6" s="126">
        <v>1.768205409764295E-7</v>
      </c>
      <c r="GU6" s="126">
        <v>4.0983588718812143E-8</v>
      </c>
      <c r="GV6" s="126">
        <v>3.352346530511678E-8</v>
      </c>
      <c r="GW6" s="126">
        <v>5.3877120619749932E-8</v>
      </c>
      <c r="GX6" s="126">
        <v>3.4703513573664861E-5</v>
      </c>
      <c r="GY6" s="126">
        <v>3.7549127366435923E-5</v>
      </c>
      <c r="GZ6" s="126">
        <v>5.5918061358126183E-5</v>
      </c>
      <c r="HA6" s="126">
        <v>6.6598856152849938E-5</v>
      </c>
      <c r="HB6" s="126">
        <v>2.2735386385448579E-6</v>
      </c>
      <c r="HC6" s="126">
        <v>1.178219950884012E-4</v>
      </c>
      <c r="HD6" s="126">
        <v>3.238182660021385E-6</v>
      </c>
      <c r="HE6" s="126">
        <v>7.7309984839315599E-6</v>
      </c>
      <c r="HF6" s="126">
        <v>1.6523004392659121E-7</v>
      </c>
      <c r="HG6" s="126">
        <v>1.2106744341591679E-7</v>
      </c>
      <c r="HH6" s="126">
        <v>4.1325237045855499E-7</v>
      </c>
      <c r="HI6" s="126">
        <v>8.5629582326021749E-8</v>
      </c>
      <c r="HJ6" s="126">
        <v>2.5619778427861951E-7</v>
      </c>
      <c r="HK6" s="126">
        <v>1.1567692330342411E-6</v>
      </c>
      <c r="HL6" s="126">
        <v>9.2401065403377186E-8</v>
      </c>
      <c r="HM6" s="126">
        <v>2.3901059463794011E-8</v>
      </c>
      <c r="HN6" s="126">
        <v>6.1019073092815249E-8</v>
      </c>
      <c r="HO6" s="126">
        <v>9.9875569311316841E-5</v>
      </c>
      <c r="HP6" s="126">
        <v>8.7456028712203335E-5</v>
      </c>
      <c r="HQ6" s="126">
        <v>1.3023928710626691E-4</v>
      </c>
      <c r="HR6" s="126">
        <v>1.551160275727172E-4</v>
      </c>
      <c r="HS6" s="126">
        <v>1.9582994836959251E-6</v>
      </c>
      <c r="HT6" s="126">
        <v>4.9950381362118562E-8</v>
      </c>
      <c r="HU6" s="126">
        <v>6.6481667606646457E-9</v>
      </c>
      <c r="HV6" s="126">
        <v>1.949897914641788E-7</v>
      </c>
      <c r="HW6" s="126">
        <v>2.1821851098905962E-5</v>
      </c>
      <c r="HX6" s="126">
        <v>2.5089510342432029E-8</v>
      </c>
      <c r="HY6" s="126">
        <v>1.664860451304028E-6</v>
      </c>
      <c r="HZ6" s="126">
        <v>4.5671278394961161E-5</v>
      </c>
      <c r="IA6" s="126">
        <v>5.3555452312909651E-4</v>
      </c>
      <c r="IB6" s="126">
        <v>1.220806652325782E-7</v>
      </c>
      <c r="IC6" s="126">
        <v>3.1341885745675788E-6</v>
      </c>
      <c r="ID6" s="126">
        <v>4.0128353717093233E-8</v>
      </c>
      <c r="IE6" s="126">
        <v>9.194832253455728E-11</v>
      </c>
      <c r="IF6" s="126">
        <v>7.1517774651659801E-8</v>
      </c>
      <c r="IG6" s="126">
        <v>1.9205437780222101E-7</v>
      </c>
      <c r="IH6" s="126">
        <v>8.6174868362192699E-7</v>
      </c>
      <c r="II6" s="126">
        <v>8.0359234688786978E-7</v>
      </c>
      <c r="IJ6" s="126">
        <v>5.3650104497325107E-7</v>
      </c>
      <c r="IK6" s="126">
        <v>1.0432258984297461E-7</v>
      </c>
      <c r="IL6" s="126">
        <v>3.3219726180900431E-8</v>
      </c>
      <c r="IM6" s="126">
        <v>8.6280252017572747E-8</v>
      </c>
      <c r="IN6" s="126">
        <v>9.6877948734261374E-5</v>
      </c>
      <c r="IO6" s="126">
        <v>2.0811027760327149E-4</v>
      </c>
      <c r="IP6" s="126">
        <v>2.1794160562213761E-5</v>
      </c>
      <c r="IQ6" s="126">
        <v>2.0814254730798531E-4</v>
      </c>
      <c r="IR6" s="126">
        <v>3.2455697007134267E-5</v>
      </c>
      <c r="IS6" s="126">
        <v>1.2300833976925139E-4</v>
      </c>
      <c r="IT6" s="126">
        <v>1.8318369488731759E-4</v>
      </c>
      <c r="IU6" s="126">
        <v>2.1817323864671331E-4</v>
      </c>
      <c r="IV6" s="126">
        <v>8.1994060380284116E-8</v>
      </c>
      <c r="IW6" s="126">
        <v>2.9991053295229402E-4</v>
      </c>
      <c r="IX6" s="126">
        <v>3.8654992419657798E-5</v>
      </c>
      <c r="IY6" s="126">
        <v>1.1340293619546031E-9</v>
      </c>
      <c r="IZ6" s="126">
        <v>2.0309231832267509E-9</v>
      </c>
      <c r="JA6" s="126">
        <v>1.5522523032437599E-8</v>
      </c>
      <c r="JB6" s="126">
        <v>2.4633232925012801E-9</v>
      </c>
      <c r="JC6" s="126">
        <v>6.1300793850889029E-9</v>
      </c>
      <c r="JD6" s="126">
        <v>8.4034279203305726E-10</v>
      </c>
      <c r="JE6" s="126">
        <v>9.3620533325875505E-10</v>
      </c>
      <c r="JF6" s="126">
        <v>1.8833995186569911E-9</v>
      </c>
      <c r="JG6" s="126">
        <v>1.2150397349022749E-6</v>
      </c>
      <c r="JH6" s="126">
        <v>1.5816105257696021E-6</v>
      </c>
      <c r="JI6" s="126">
        <v>2.355330220102458E-6</v>
      </c>
      <c r="JJ6" s="126">
        <v>2.805217039203888E-6</v>
      </c>
      <c r="JK6" s="126">
        <v>1.009191567737609E-9</v>
      </c>
      <c r="JL6" s="126">
        <v>1.0064719791320831E-6</v>
      </c>
      <c r="JM6" s="126">
        <v>1.2935789462458861E-11</v>
      </c>
      <c r="JN6" s="126">
        <v>6.4559822814297922E-6</v>
      </c>
      <c r="JO6" s="126">
        <v>4.3302983077122719E-13</v>
      </c>
      <c r="JP6" s="126">
        <v>9.6847711731734973E-8</v>
      </c>
      <c r="JQ6" s="126">
        <v>3.3964683518361448E-10</v>
      </c>
      <c r="JR6" s="126">
        <v>3.597971207890122E-11</v>
      </c>
      <c r="JS6" s="126">
        <v>1.881822584946407E-12</v>
      </c>
      <c r="JT6" s="126">
        <v>9.0533500390083337E-8</v>
      </c>
      <c r="JU6" s="126">
        <v>8.977763826372172E-13</v>
      </c>
      <c r="JV6" s="126">
        <v>4.9910944041668484E-13</v>
      </c>
      <c r="JW6" s="126">
        <v>3.8224909790898661E-7</v>
      </c>
      <c r="JX6" s="126">
        <v>8.2493403217328857E-7</v>
      </c>
      <c r="JY6" s="126">
        <v>8.4438404335832206E-8</v>
      </c>
      <c r="JZ6" s="126">
        <v>7.3131890456069638E-7</v>
      </c>
      <c r="KA6" s="126">
        <v>7.4529547603960833E-8</v>
      </c>
      <c r="KB6" s="126">
        <v>1.106955396634313E-7</v>
      </c>
      <c r="KC6" s="126">
        <v>2.039432733651379E-7</v>
      </c>
      <c r="KD6" s="126">
        <v>1.6396433381955561E-3</v>
      </c>
      <c r="KE6" s="126">
        <v>1.737163833069064E-4</v>
      </c>
      <c r="KF6" s="126">
        <v>2.5869797947289478E-4</v>
      </c>
      <c r="KG6" s="126">
        <v>3.0811135263802351E-4</v>
      </c>
      <c r="KH6" s="126">
        <v>2.235486996450045E-7</v>
      </c>
      <c r="KI6" s="126">
        <v>8.2405448831259301E-7</v>
      </c>
      <c r="KJ6" s="126">
        <v>8.5196400811632554E-8</v>
      </c>
      <c r="KK6" s="126">
        <v>7.1762469748176898E-7</v>
      </c>
      <c r="KL6" s="126">
        <v>4.8718287296311668E-8</v>
      </c>
      <c r="KM6" s="126">
        <v>3.2706283704855247E-8</v>
      </c>
      <c r="KN6" s="126">
        <v>1.2856127557307711E-7</v>
      </c>
      <c r="KO6" s="126">
        <v>4.3687136413059089E-4</v>
      </c>
      <c r="KP6" s="126">
        <v>9.7708844493198766E-5</v>
      </c>
      <c r="KQ6" s="126">
        <v>1.4550775330363951E-4</v>
      </c>
      <c r="KR6" s="127">
        <v>1.7330089234191931E-4</v>
      </c>
    </row>
    <row r="7" spans="2:304" x14ac:dyDescent="0.25">
      <c r="B7" s="5">
        <v>300</v>
      </c>
      <c r="C7" s="126">
        <v>1.05230498925576E-5</v>
      </c>
      <c r="D7" s="126">
        <v>1.979668302974951E-7</v>
      </c>
      <c r="E7" s="126">
        <v>1.0897877153597429E-5</v>
      </c>
      <c r="F7" s="126">
        <v>2.1344707102322841E-7</v>
      </c>
      <c r="G7" s="126">
        <v>3.7508813759317789E-7</v>
      </c>
      <c r="H7" s="126">
        <v>6.1330602235874593E-7</v>
      </c>
      <c r="I7" s="126">
        <v>1.8734074640788839E-3</v>
      </c>
      <c r="J7" s="126">
        <v>1.023603788745081E-4</v>
      </c>
      <c r="K7" s="126">
        <v>2.3077729616004141E-4</v>
      </c>
      <c r="L7" s="126">
        <v>1.8987128784054641E-4</v>
      </c>
      <c r="M7" s="126">
        <v>3.7634299896454492E-4</v>
      </c>
      <c r="N7" s="126">
        <v>3.7479408365854272E-3</v>
      </c>
      <c r="O7" s="126">
        <v>3.9274924957095282E-5</v>
      </c>
      <c r="P7" s="126">
        <v>2.3729284411166162E-3</v>
      </c>
      <c r="Q7" s="126">
        <v>1.6764863330259879E-3</v>
      </c>
      <c r="R7" s="126">
        <v>7.1319372663569653E-5</v>
      </c>
      <c r="S7" s="126">
        <v>2.2672156868703381E-4</v>
      </c>
      <c r="T7" s="126">
        <v>0.30964544669334482</v>
      </c>
      <c r="U7" s="126">
        <v>0.89731082004717577</v>
      </c>
      <c r="V7" s="126">
        <v>2.02303828046115</v>
      </c>
      <c r="W7" s="126">
        <v>1.664448323354575</v>
      </c>
      <c r="X7" s="126">
        <v>8.5250898106775281E-6</v>
      </c>
      <c r="Y7" s="126">
        <v>6.8785303248495284E-5</v>
      </c>
      <c r="Z7" s="126">
        <v>8.5066883784015324E-7</v>
      </c>
      <c r="AA7" s="126">
        <v>3.282659785722684E-5</v>
      </c>
      <c r="AB7" s="126">
        <v>3.9194798949342507E-5</v>
      </c>
      <c r="AC7" s="126">
        <v>1.584842294055423E-6</v>
      </c>
      <c r="AD7" s="126">
        <v>4.6275031035399412E-6</v>
      </c>
      <c r="AE7" s="126">
        <v>5.3812120608772189E-3</v>
      </c>
      <c r="AF7" s="126">
        <v>2.1198190321751031E-2</v>
      </c>
      <c r="AG7" s="126">
        <v>4.7792525777354121E-2</v>
      </c>
      <c r="AH7" s="126">
        <v>3.9321148871619187E-2</v>
      </c>
      <c r="AI7" s="126">
        <v>1.452980203143816E-8</v>
      </c>
      <c r="AJ7" s="126">
        <v>9.831131179359069E-8</v>
      </c>
      <c r="AK7" s="126">
        <v>9.5171212916788252E-9</v>
      </c>
      <c r="AL7" s="126">
        <v>1.099273831081124E-7</v>
      </c>
      <c r="AM7" s="126">
        <v>4.9579603231744899E-9</v>
      </c>
      <c r="AN7" s="126">
        <v>2.3611109946475031E-9</v>
      </c>
      <c r="AO7" s="126">
        <v>9.2776480264695487E-9</v>
      </c>
      <c r="AP7" s="126">
        <v>1.022231918954641E-5</v>
      </c>
      <c r="AQ7" s="126">
        <v>1.023947229022693E-6</v>
      </c>
      <c r="AR7" s="126">
        <v>2.3085472672402631E-6</v>
      </c>
      <c r="AS7" s="126">
        <v>1.8993499359127091E-6</v>
      </c>
      <c r="AT7" s="126">
        <v>1.395788797943327E-5</v>
      </c>
      <c r="AU7" s="126">
        <v>5.156525008599207E-6</v>
      </c>
      <c r="AV7" s="126">
        <v>5.0770089612338358E-7</v>
      </c>
      <c r="AW7" s="126">
        <v>6.0682791687354497E-6</v>
      </c>
      <c r="AX7" s="126">
        <v>1.7557963541307389E-7</v>
      </c>
      <c r="AY7" s="126">
        <v>4.6074400197961069E-7</v>
      </c>
      <c r="AZ7" s="126">
        <v>2.281963629151141E-7</v>
      </c>
      <c r="BA7" s="126">
        <v>2.8870206444261309E-4</v>
      </c>
      <c r="BB7" s="126">
        <v>6.5132320216656982E-5</v>
      </c>
      <c r="BC7" s="126">
        <v>1.4684452048246031E-4</v>
      </c>
      <c r="BD7" s="126">
        <v>1.208158630864481E-4</v>
      </c>
      <c r="BE7" s="126">
        <v>4.2587779242643802E-10</v>
      </c>
      <c r="BF7" s="126">
        <v>2.7478555492558462E-7</v>
      </c>
      <c r="BG7" s="126">
        <v>2.6877086841356869E-12</v>
      </c>
      <c r="BH7" s="126">
        <v>8.683704408781712E-7</v>
      </c>
      <c r="BI7" s="126">
        <v>2.7450329106972502E-13</v>
      </c>
      <c r="BJ7" s="126">
        <v>1.8881647631640509E-8</v>
      </c>
      <c r="BK7" s="126">
        <v>2.830733143685378E-11</v>
      </c>
      <c r="BL7" s="126">
        <v>2.9986678025235909E-12</v>
      </c>
      <c r="BM7" s="126">
        <v>1.090148842846773E-12</v>
      </c>
      <c r="BN7" s="126">
        <v>1.055295172550933E-7</v>
      </c>
      <c r="BO7" s="126">
        <v>4.8710287032732554E-13</v>
      </c>
      <c r="BP7" s="126">
        <v>3.2336789573746511E-13</v>
      </c>
      <c r="BQ7" s="126">
        <v>3.356422205692865E-5</v>
      </c>
      <c r="BR7" s="126">
        <v>1.9906283710763951E-4</v>
      </c>
      <c r="BS7" s="126">
        <v>3.2681881536174142E-6</v>
      </c>
      <c r="BT7" s="126">
        <v>1.144006764823603E-4</v>
      </c>
      <c r="BU7" s="126">
        <v>9.0386849169473384E-5</v>
      </c>
      <c r="BV7" s="126">
        <v>5.7309795827548526E-6</v>
      </c>
      <c r="BW7" s="126">
        <v>1.6848293129018598E-5</v>
      </c>
      <c r="BX7" s="126">
        <v>1.606873528693676E-2</v>
      </c>
      <c r="BY7" s="126">
        <v>3.213182908182146E-2</v>
      </c>
      <c r="BZ7" s="126">
        <v>1.6576141342681451E-4</v>
      </c>
      <c r="CA7" s="126">
        <v>5.1002903304478507E-2</v>
      </c>
      <c r="CB7" s="126">
        <v>3.9830140042050287E-3</v>
      </c>
      <c r="CC7" s="126">
        <v>1.797493936101475E-3</v>
      </c>
      <c r="CD7" s="126">
        <v>7.2441988542060354E-2</v>
      </c>
      <c r="CE7" s="126">
        <v>1.3974200600492729E-4</v>
      </c>
      <c r="CF7" s="126">
        <v>0.1149872834000958</v>
      </c>
      <c r="CG7" s="126">
        <v>8.9799610782243348E-3</v>
      </c>
      <c r="CH7" s="126">
        <v>2.501590004195431E-3</v>
      </c>
      <c r="CI7" s="126">
        <v>7.7343896105609112E-3</v>
      </c>
      <c r="CJ7" s="126">
        <v>1.7437621288622258E-2</v>
      </c>
      <c r="CK7" s="126">
        <v>1.434674756155547E-2</v>
      </c>
      <c r="CL7" s="126">
        <v>5.9406052672892002E-4</v>
      </c>
      <c r="CM7" s="126">
        <v>9.4605378162581757E-2</v>
      </c>
      <c r="CN7" s="126">
        <v>1.6081444553568911E-5</v>
      </c>
      <c r="CO7" s="126">
        <v>7.7253317709429092E-5</v>
      </c>
      <c r="CP7" s="126">
        <v>1.5701935117066101E-5</v>
      </c>
      <c r="CQ7" s="126">
        <v>7.9939775070127784E-5</v>
      </c>
      <c r="CR7" s="126">
        <v>4.1856727706507141E-6</v>
      </c>
      <c r="CS7" s="126">
        <v>3.5173071861774858E-6</v>
      </c>
      <c r="CT7" s="126">
        <v>7.5653048972128794E-6</v>
      </c>
      <c r="CU7" s="126">
        <v>9.3380297612449328E-3</v>
      </c>
      <c r="CV7" s="126">
        <v>1.687008082128224E-3</v>
      </c>
      <c r="CW7" s="126">
        <v>3.803455673713279E-3</v>
      </c>
      <c r="CX7" s="126">
        <v>3.1292810819291291E-3</v>
      </c>
      <c r="CY7" s="126">
        <v>5.5204890878381423E-6</v>
      </c>
      <c r="CZ7" s="126">
        <v>3.4709412264225408E-3</v>
      </c>
      <c r="DA7" s="126">
        <v>1.145916429643642E-7</v>
      </c>
      <c r="DB7" s="126">
        <v>1.834985381823953E-3</v>
      </c>
      <c r="DC7" s="126">
        <v>4.2191160042307912E-7</v>
      </c>
      <c r="DD7" s="126">
        <v>1.0252355730893289E-9</v>
      </c>
      <c r="DE7" s="126">
        <v>1.3478685163674251E-4</v>
      </c>
      <c r="DF7" s="126">
        <v>3.9476210507177047E-8</v>
      </c>
      <c r="DG7" s="126">
        <v>4.1818156429750758E-9</v>
      </c>
      <c r="DH7" s="126">
        <v>3.296487327783688E-7</v>
      </c>
      <c r="DI7" s="126">
        <v>4.4732161523746519E-6</v>
      </c>
      <c r="DJ7" s="126">
        <v>3.3971073705674107E-8</v>
      </c>
      <c r="DK7" s="126">
        <v>3.83309155044884E-8</v>
      </c>
      <c r="DL7" s="126">
        <v>1.3528592035323669E-6</v>
      </c>
      <c r="DM7" s="126">
        <v>5.0760040487326879E-5</v>
      </c>
      <c r="DN7" s="126">
        <v>2.7188315379628601E-7</v>
      </c>
      <c r="DO7" s="126">
        <v>5.6342436026841183E-5</v>
      </c>
      <c r="DP7" s="126">
        <v>3.0175495245145539E-6</v>
      </c>
      <c r="DQ7" s="126">
        <v>3.5508503355439462E-7</v>
      </c>
      <c r="DR7" s="126">
        <v>2.1662208469857479E-6</v>
      </c>
      <c r="DS7" s="126">
        <v>4.9200757889682652E-3</v>
      </c>
      <c r="DT7" s="126">
        <v>4.0482649620685448E-3</v>
      </c>
      <c r="DU7" s="126">
        <v>9.1270436115812106E-3</v>
      </c>
      <c r="DV7" s="126">
        <v>7.5092461587121058E-3</v>
      </c>
      <c r="DW7" s="126">
        <v>6.9610602833479393E-6</v>
      </c>
      <c r="DX7" s="126">
        <v>3.5790868727356049E-6</v>
      </c>
      <c r="DY7" s="126">
        <v>1.149939583159434E-5</v>
      </c>
      <c r="DZ7" s="126">
        <v>3.018344461156581E-6</v>
      </c>
      <c r="EA7" s="126">
        <v>6.3253676486677584E-7</v>
      </c>
      <c r="EB7" s="126">
        <v>1.6395131268088652E-5</v>
      </c>
      <c r="EC7" s="126">
        <v>3.5326808415649608E-7</v>
      </c>
      <c r="ED7" s="126">
        <v>7.5909703512100574E-4</v>
      </c>
      <c r="EE7" s="126">
        <v>2.8114629018414551E-4</v>
      </c>
      <c r="EF7" s="126">
        <v>6.3386030207711341E-4</v>
      </c>
      <c r="EG7" s="126">
        <v>5.2150655141967124E-4</v>
      </c>
      <c r="EH7" s="126">
        <v>3.5248239804592003E-8</v>
      </c>
      <c r="EI7" s="126">
        <v>2.1402292682745429E-7</v>
      </c>
      <c r="EJ7" s="126">
        <v>8.4607853083960981E-9</v>
      </c>
      <c r="EK7" s="126">
        <v>1.000063781548974E-7</v>
      </c>
      <c r="EL7" s="126">
        <v>2.079679733318608E-8</v>
      </c>
      <c r="EM7" s="126">
        <v>6.4667097194249299E-9</v>
      </c>
      <c r="EN7" s="126">
        <v>1.6747432203696051E-8</v>
      </c>
      <c r="EO7" s="126">
        <v>1.425313993155154E-5</v>
      </c>
      <c r="EP7" s="126">
        <v>1.013369769773151E-4</v>
      </c>
      <c r="EQ7" s="126">
        <v>1.4103166835246711E-4</v>
      </c>
      <c r="ER7" s="126">
        <v>1.1496370865356271E-5</v>
      </c>
      <c r="ES7" s="126">
        <v>2.591922199909642E-5</v>
      </c>
      <c r="ET7" s="126">
        <v>2.1324957622263609E-5</v>
      </c>
      <c r="EU7" s="126">
        <v>9.5774592686969657E-11</v>
      </c>
      <c r="EV7" s="126">
        <v>1.401088248443175E-4</v>
      </c>
      <c r="EW7" s="126">
        <v>3.7339925057213451E-10</v>
      </c>
      <c r="EX7" s="126">
        <v>1.2052219135441269E-5</v>
      </c>
      <c r="EY7" s="126">
        <v>4.7062307116110801E-6</v>
      </c>
      <c r="EZ7" s="126">
        <v>5.1459447453536334E-7</v>
      </c>
      <c r="FA7" s="126">
        <v>5.4299296517542341E-6</v>
      </c>
      <c r="FB7" s="126">
        <v>1.7394893799798499E-7</v>
      </c>
      <c r="FC7" s="126">
        <v>4.7120361639108578E-7</v>
      </c>
      <c r="FD7" s="126">
        <v>2.229192335512724E-7</v>
      </c>
      <c r="FE7" s="126">
        <v>2.7522297931218342E-4</v>
      </c>
      <c r="FF7" s="126">
        <v>4.9518926678208543E-5</v>
      </c>
      <c r="FG7" s="126">
        <v>1.1164323670152331E-4</v>
      </c>
      <c r="FH7" s="126">
        <v>9.1854118597978204E-5</v>
      </c>
      <c r="FI7" s="126">
        <v>1.71370550057262E-9</v>
      </c>
      <c r="FJ7" s="126">
        <v>1.6916292731824101E-6</v>
      </c>
      <c r="FK7" s="126">
        <v>7.0239871378046127E-11</v>
      </c>
      <c r="FL7" s="126">
        <v>3.2866932740248089E-5</v>
      </c>
      <c r="FM7" s="126">
        <v>2.450581538174636E-12</v>
      </c>
      <c r="FN7" s="126">
        <v>4.9736513400094243E-9</v>
      </c>
      <c r="FO7" s="126">
        <v>2.0797223096464001E-11</v>
      </c>
      <c r="FP7" s="126">
        <v>2.2031028753234549E-12</v>
      </c>
      <c r="FQ7" s="126">
        <v>1.7660606470535369E-11</v>
      </c>
      <c r="FR7" s="126">
        <v>1.5737389657351069E-7</v>
      </c>
      <c r="FS7" s="126">
        <v>3.7609362954145221E-12</v>
      </c>
      <c r="FT7" s="126">
        <v>4.7945363837974707E-12</v>
      </c>
      <c r="FU7" s="126">
        <v>3.9169880354425038E-9</v>
      </c>
      <c r="FV7" s="126">
        <v>3.1595176176514251E-8</v>
      </c>
      <c r="FW7" s="126">
        <v>5.4597972791717829E-10</v>
      </c>
      <c r="FX7" s="126">
        <v>1.0510258831677591E-8</v>
      </c>
      <c r="FY7" s="126">
        <v>2.4291760379185029E-8</v>
      </c>
      <c r="FZ7" s="126">
        <v>5.1547459655531708E-10</v>
      </c>
      <c r="GA7" s="126">
        <v>3.0730762771585741E-9</v>
      </c>
      <c r="GB7" s="126">
        <v>6.609850850527562E-6</v>
      </c>
      <c r="GC7" s="126">
        <v>2.230985163413062E-5</v>
      </c>
      <c r="GD7" s="126">
        <v>5.0298829434467437E-5</v>
      </c>
      <c r="GE7" s="126">
        <v>4.1383202249545779E-5</v>
      </c>
      <c r="GF7" s="126">
        <v>2.574896713067536E-12</v>
      </c>
      <c r="GG7" s="126">
        <v>2.20626960480739E-11</v>
      </c>
      <c r="GH7" s="126">
        <v>2.0563562392534369E-13</v>
      </c>
      <c r="GI7" s="126">
        <v>1.203462558613256E-11</v>
      </c>
      <c r="GJ7" s="126">
        <v>1.438557612047755E-11</v>
      </c>
      <c r="GK7" s="126">
        <v>3.0545657484432272E-13</v>
      </c>
      <c r="GL7" s="126">
        <v>1.889202951865666E-12</v>
      </c>
      <c r="GM7" s="126">
        <v>2.1940214746312531E-9</v>
      </c>
      <c r="GN7" s="126">
        <v>1.082692852551569E-8</v>
      </c>
      <c r="GO7" s="126">
        <v>2.440992616781718E-8</v>
      </c>
      <c r="GP7" s="126">
        <v>2.008318926815903E-8</v>
      </c>
      <c r="GQ7" s="126">
        <v>1.144606935909091E-7</v>
      </c>
      <c r="GR7" s="126">
        <v>2.5231888193689662E-7</v>
      </c>
      <c r="GS7" s="126">
        <v>1.6519656959625211E-7</v>
      </c>
      <c r="GT7" s="126">
        <v>1.687377961788016E-7</v>
      </c>
      <c r="GU7" s="126">
        <v>3.9110164473665989E-8</v>
      </c>
      <c r="GV7" s="126">
        <v>3.199095458811315E-8</v>
      </c>
      <c r="GW7" s="126">
        <v>5.1414495697001643E-8</v>
      </c>
      <c r="GX7" s="126">
        <v>2.313567571577657E-5</v>
      </c>
      <c r="GY7" s="126">
        <v>2.3432510173325771E-5</v>
      </c>
      <c r="GZ7" s="126">
        <v>5.2829926964929591E-5</v>
      </c>
      <c r="HA7" s="126">
        <v>4.3465654708064907E-5</v>
      </c>
      <c r="HB7" s="126">
        <v>1.5209300686005211E-6</v>
      </c>
      <c r="HC7" s="126">
        <v>7.9238924076477734E-5</v>
      </c>
      <c r="HD7" s="126">
        <v>2.070644294665206E-6</v>
      </c>
      <c r="HE7" s="126">
        <v>5.0456256063059504E-6</v>
      </c>
      <c r="HF7" s="126">
        <v>1.105340097518555E-7</v>
      </c>
      <c r="HG7" s="126">
        <v>1.155319401171828E-7</v>
      </c>
      <c r="HH7" s="126">
        <v>3.9436919977443577E-7</v>
      </c>
      <c r="HI7" s="126">
        <v>8.1716325867673687E-8</v>
      </c>
      <c r="HJ7" s="126">
        <v>2.4448658095005462E-7</v>
      </c>
      <c r="HK7" s="126">
        <v>1.1038914935548109E-6</v>
      </c>
      <c r="HL7" s="126">
        <v>8.8177267497544611E-8</v>
      </c>
      <c r="HM7" s="126">
        <v>2.2808432867986369E-8</v>
      </c>
      <c r="HN7" s="126">
        <v>5.823000254797471E-8</v>
      </c>
      <c r="HO7" s="126">
        <v>6.6583712874211223E-5</v>
      </c>
      <c r="HP7" s="126">
        <v>5.4576881708020662E-5</v>
      </c>
      <c r="HQ7" s="126">
        <v>1.230466839993314E-4</v>
      </c>
      <c r="HR7" s="126">
        <v>1.012362686633602E-4</v>
      </c>
      <c r="HS7" s="126">
        <v>1.2213086423018769E-6</v>
      </c>
      <c r="HT7" s="126">
        <v>3.1151942196655462E-8</v>
      </c>
      <c r="HU7" s="126">
        <v>4.4474268243961011E-9</v>
      </c>
      <c r="HV7" s="126">
        <v>1.216068936209693E-7</v>
      </c>
      <c r="HW7" s="126">
        <v>1.383899107457729E-5</v>
      </c>
      <c r="HX7" s="126">
        <v>1.5647279340289029E-8</v>
      </c>
      <c r="HY7" s="126">
        <v>1.0383031353628489E-6</v>
      </c>
      <c r="HZ7" s="126">
        <v>2.8483268680640888E-5</v>
      </c>
      <c r="IA7" s="126">
        <v>3.6017692762035339E-4</v>
      </c>
      <c r="IB7" s="126">
        <v>7.6136551625739834E-8</v>
      </c>
      <c r="IC7" s="126">
        <v>2.0455238944488349E-6</v>
      </c>
      <c r="ID7" s="126">
        <v>2.502635854003153E-8</v>
      </c>
      <c r="IE7" s="126">
        <v>6.151070675873533E-11</v>
      </c>
      <c r="IF7" s="126">
        <v>4.4602644542389949E-8</v>
      </c>
      <c r="IG7" s="126">
        <v>1.8327317608634551E-7</v>
      </c>
      <c r="IH7" s="126">
        <v>8.2237190409712609E-7</v>
      </c>
      <c r="II7" s="126">
        <v>7.66868321662975E-7</v>
      </c>
      <c r="IJ7" s="126">
        <v>5.1197673910791881E-7</v>
      </c>
      <c r="IK7" s="126">
        <v>9.9553840320594355E-8</v>
      </c>
      <c r="IL7" s="126">
        <v>3.1701100766588467E-8</v>
      </c>
      <c r="IM7" s="126">
        <v>8.2336539055273333E-8</v>
      </c>
      <c r="IN7" s="126">
        <v>6.4585299156174258E-5</v>
      </c>
      <c r="IO7" s="126">
        <v>1.4588356582852561E-4</v>
      </c>
      <c r="IP7" s="126">
        <v>1.3600628435548641E-5</v>
      </c>
      <c r="IQ7" s="126">
        <v>2.0302759454339739E-4</v>
      </c>
      <c r="IR7" s="126">
        <v>3.0663290496702791E-5</v>
      </c>
      <c r="IS7" s="126">
        <v>7.6763279873805619E-5</v>
      </c>
      <c r="IT7" s="126">
        <v>1.7306718056770689E-4</v>
      </c>
      <c r="IU7" s="126">
        <v>1.423904734308636E-4</v>
      </c>
      <c r="IV7" s="126">
        <v>5.4851599952942832E-8</v>
      </c>
      <c r="IW7" s="126">
        <v>2.0169907946739789E-4</v>
      </c>
      <c r="IX7" s="126">
        <v>2.5228128031529741E-5</v>
      </c>
      <c r="IY7" s="126">
        <v>7.5863208393789945E-10</v>
      </c>
      <c r="IZ7" s="126">
        <v>1.9380643463418789E-9</v>
      </c>
      <c r="JA7" s="126">
        <v>1.481323623138563E-8</v>
      </c>
      <c r="JB7" s="126">
        <v>2.350749862600869E-9</v>
      </c>
      <c r="JC7" s="126">
        <v>5.8498638231114187E-9</v>
      </c>
      <c r="JD7" s="126">
        <v>8.0192940242899132E-10</v>
      </c>
      <c r="JE7" s="126">
        <v>8.934071113721889E-10</v>
      </c>
      <c r="JF7" s="126">
        <v>1.7973127615923129E-9</v>
      </c>
      <c r="JG7" s="126">
        <v>8.100264899348506E-7</v>
      </c>
      <c r="JH7" s="126">
        <v>9.8700308994299428E-7</v>
      </c>
      <c r="JI7" s="126">
        <v>2.225254604400222E-6</v>
      </c>
      <c r="JJ7" s="126">
        <v>1.8308211619637349E-6</v>
      </c>
      <c r="JK7" s="126">
        <v>6.2939013857571114E-10</v>
      </c>
      <c r="JL7" s="126">
        <v>6.2769406652403378E-7</v>
      </c>
      <c r="JM7" s="126">
        <v>8.0675052845188499E-12</v>
      </c>
      <c r="JN7" s="126">
        <v>4.3188610950827402E-6</v>
      </c>
      <c r="JO7" s="126">
        <v>2.700626131111127E-13</v>
      </c>
      <c r="JP7" s="126">
        <v>6.0399826703201898E-8</v>
      </c>
      <c r="JQ7" s="126">
        <v>2.1182356857509641E-10</v>
      </c>
      <c r="JR7" s="126">
        <v>2.2439010767183341E-11</v>
      </c>
      <c r="JS7" s="126">
        <v>1.173613227485504E-12</v>
      </c>
      <c r="JT7" s="126">
        <v>6.0564232612762792E-8</v>
      </c>
      <c r="JU7" s="126">
        <v>5.5990557687732967E-13</v>
      </c>
      <c r="JV7" s="126">
        <v>3.1127368220277999E-13</v>
      </c>
      <c r="JW7" s="126">
        <v>3.6477172263193391E-7</v>
      </c>
      <c r="JX7" s="126">
        <v>7.8723946283450444E-7</v>
      </c>
      <c r="JY7" s="126">
        <v>8.0579584496658639E-8</v>
      </c>
      <c r="JZ7" s="126">
        <v>6.9788916818163585E-7</v>
      </c>
      <c r="KA7" s="126">
        <v>7.1122684861437152E-8</v>
      </c>
      <c r="KB7" s="126">
        <v>1.056351409452589E-7</v>
      </c>
      <c r="KC7" s="126">
        <v>1.94621398290178E-7</v>
      </c>
      <c r="KD7" s="126">
        <v>1.093095558797038E-3</v>
      </c>
      <c r="KE7" s="126">
        <v>1.084076037077507E-4</v>
      </c>
      <c r="KF7" s="126">
        <v>2.4441110849673188E-4</v>
      </c>
      <c r="KG7" s="126">
        <v>2.0108846366163999E-4</v>
      </c>
      <c r="KH7" s="126">
        <v>2.133274995486131E-7</v>
      </c>
      <c r="KI7" s="126">
        <v>7.8640010888688105E-7</v>
      </c>
      <c r="KJ7" s="126">
        <v>8.1302940670313887E-8</v>
      </c>
      <c r="KK7" s="126">
        <v>6.8482094482843184E-7</v>
      </c>
      <c r="KL7" s="126">
        <v>4.6491297824279142E-8</v>
      </c>
      <c r="KM7" s="126">
        <v>3.1211130091263839E-8</v>
      </c>
      <c r="KN7" s="126">
        <v>1.226849741359414E-7</v>
      </c>
      <c r="KO7" s="126">
        <v>2.9124757608706072E-4</v>
      </c>
      <c r="KP7" s="126">
        <v>6.0975145181599061E-5</v>
      </c>
      <c r="KQ7" s="126">
        <v>1.3747193291680781E-4</v>
      </c>
      <c r="KR7" s="127">
        <v>1.1310459641897389E-4</v>
      </c>
    </row>
    <row r="8" spans="2:304" x14ac:dyDescent="0.25">
      <c r="B8" s="5">
        <v>400</v>
      </c>
      <c r="C8" s="126">
        <v>1.002118499869052E-5</v>
      </c>
      <c r="D8" s="126">
        <v>1.8852415142638751E-7</v>
      </c>
      <c r="E8" s="126">
        <v>1.0377926866007739E-5</v>
      </c>
      <c r="F8" s="126">
        <v>2.0326326509483531E-7</v>
      </c>
      <c r="G8" s="126">
        <v>3.5719101970124309E-7</v>
      </c>
      <c r="H8" s="126">
        <v>5.8404676435278981E-7</v>
      </c>
      <c r="I8" s="126">
        <v>1.4050555980591631E-3</v>
      </c>
      <c r="J8" s="126">
        <v>7.1545689581473338E-5</v>
      </c>
      <c r="K8" s="126">
        <v>2.1734044850298711E-4</v>
      </c>
      <c r="L8" s="126">
        <v>1.3935434074284939E-4</v>
      </c>
      <c r="M8" s="126">
        <v>3.5838274760551929E-4</v>
      </c>
      <c r="N8" s="126">
        <v>3.5691941852459361E-3</v>
      </c>
      <c r="O8" s="126">
        <v>3.7401578278263338E-5</v>
      </c>
      <c r="P8" s="126">
        <v>2.2597132884773648E-3</v>
      </c>
      <c r="Q8" s="126">
        <v>1.596499236574887E-3</v>
      </c>
      <c r="R8" s="126">
        <v>6.7916409219486725E-5</v>
      </c>
      <c r="S8" s="126">
        <v>2.1590526388667311E-4</v>
      </c>
      <c r="T8" s="126">
        <v>0.23223408502000861</v>
      </c>
      <c r="U8" s="126">
        <v>0.6271833115027734</v>
      </c>
      <c r="V8" s="126">
        <v>1.905248282782634</v>
      </c>
      <c r="W8" s="126">
        <v>1.2216070235769789</v>
      </c>
      <c r="X8" s="126">
        <v>8.1182461699580118E-6</v>
      </c>
      <c r="Y8" s="126">
        <v>6.550479719113674E-5</v>
      </c>
      <c r="Z8" s="126">
        <v>8.1009339068412303E-7</v>
      </c>
      <c r="AA8" s="126">
        <v>3.1260403014332893E-5</v>
      </c>
      <c r="AB8" s="126">
        <v>3.7324769887856582E-5</v>
      </c>
      <c r="AC8" s="126">
        <v>1.5092224422551559E-6</v>
      </c>
      <c r="AD8" s="126">
        <v>4.4067367939101967E-6</v>
      </c>
      <c r="AE8" s="126">
        <v>4.0359090456579139E-3</v>
      </c>
      <c r="AF8" s="126">
        <v>1.4816662082780711E-2</v>
      </c>
      <c r="AG8" s="126">
        <v>4.5009839184255267E-2</v>
      </c>
      <c r="AH8" s="126">
        <v>2.8859407025551231E-2</v>
      </c>
      <c r="AI8" s="126">
        <v>1.38363949602305E-8</v>
      </c>
      <c r="AJ8" s="126">
        <v>9.3622652463550002E-8</v>
      </c>
      <c r="AK8" s="126">
        <v>9.0631709000922353E-9</v>
      </c>
      <c r="AL8" s="126">
        <v>1.04682620880069E-7</v>
      </c>
      <c r="AM8" s="126">
        <v>4.7214103181084227E-9</v>
      </c>
      <c r="AN8" s="126">
        <v>2.2484519217738569E-9</v>
      </c>
      <c r="AO8" s="126">
        <v>8.8350352240533756E-9</v>
      </c>
      <c r="AP8" s="126">
        <v>7.6667393921598042E-6</v>
      </c>
      <c r="AQ8" s="126">
        <v>7.156969464257408E-7</v>
      </c>
      <c r="AR8" s="126">
        <v>2.174133707262056E-6</v>
      </c>
      <c r="AS8" s="126">
        <v>1.3940109701123891E-6</v>
      </c>
      <c r="AT8" s="126">
        <v>1.3291774414835351E-5</v>
      </c>
      <c r="AU8" s="126">
        <v>4.9106002146861909E-6</v>
      </c>
      <c r="AV8" s="126">
        <v>4.8348443260036644E-7</v>
      </c>
      <c r="AW8" s="126">
        <v>5.7787545710098282E-6</v>
      </c>
      <c r="AX8" s="126">
        <v>1.6720252851039749E-7</v>
      </c>
      <c r="AY8" s="126">
        <v>4.3875986306670652E-7</v>
      </c>
      <c r="AZ8" s="126">
        <v>2.1730969946303321E-7</v>
      </c>
      <c r="BA8" s="126">
        <v>2.1652654833195979E-4</v>
      </c>
      <c r="BB8" s="126">
        <v>4.5524809649787007E-5</v>
      </c>
      <c r="BC8" s="126">
        <v>1.3829460034808251E-4</v>
      </c>
      <c r="BD8" s="126">
        <v>8.8671726742746608E-5</v>
      </c>
      <c r="BE8" s="126">
        <v>2.9745767612397292E-10</v>
      </c>
      <c r="BF8" s="126">
        <v>1.9192612786708529E-7</v>
      </c>
      <c r="BG8" s="126">
        <v>1.8772511543002351E-12</v>
      </c>
      <c r="BH8" s="126">
        <v>6.5351174395312732E-7</v>
      </c>
      <c r="BI8" s="126">
        <v>1.917291375815594E-13</v>
      </c>
      <c r="BJ8" s="126">
        <v>1.318803478613106E-8</v>
      </c>
      <c r="BK8" s="126">
        <v>1.977149726834959E-11</v>
      </c>
      <c r="BL8" s="126">
        <v>2.0944413469968728E-12</v>
      </c>
      <c r="BM8" s="126">
        <v>7.6142298510197231E-13</v>
      </c>
      <c r="BN8" s="126">
        <v>7.9418616310988849E-8</v>
      </c>
      <c r="BO8" s="126">
        <v>3.4022107585749468E-13</v>
      </c>
      <c r="BP8" s="126">
        <v>2.2585901388204969E-13</v>
      </c>
      <c r="BQ8" s="126">
        <v>3.1962433618001467E-5</v>
      </c>
      <c r="BR8" s="126">
        <v>1.8956913987747039E-4</v>
      </c>
      <c r="BS8" s="126">
        <v>3.112301174073459E-6</v>
      </c>
      <c r="BT8" s="126">
        <v>1.0894248826835359E-4</v>
      </c>
      <c r="BU8" s="126">
        <v>8.6074388351865453E-5</v>
      </c>
      <c r="BV8" s="126">
        <v>5.4575291401815921E-6</v>
      </c>
      <c r="BW8" s="126">
        <v>1.6044504257476138E-5</v>
      </c>
      <c r="BX8" s="126">
        <v>1.2051551465202559E-2</v>
      </c>
      <c r="BY8" s="126">
        <v>2.2458797206838101E-2</v>
      </c>
      <c r="BZ8" s="126">
        <v>1.228885506923446E-4</v>
      </c>
      <c r="CA8" s="126">
        <v>3.5648884455298582E-2</v>
      </c>
      <c r="CB8" s="126">
        <v>2.7839639842731391E-3</v>
      </c>
      <c r="CC8" s="126">
        <v>1.4139423670598351E-3</v>
      </c>
      <c r="CD8" s="126">
        <v>6.8224092978996828E-2</v>
      </c>
      <c r="CE8" s="126">
        <v>1.21117325340361E-4</v>
      </c>
      <c r="CF8" s="126">
        <v>0.1082922110777728</v>
      </c>
      <c r="CG8" s="126">
        <v>8.4571080198827288E-3</v>
      </c>
      <c r="CH8" s="126">
        <v>2.4388875445607739E-3</v>
      </c>
      <c r="CI8" s="126">
        <v>5.406019831733673E-3</v>
      </c>
      <c r="CJ8" s="126">
        <v>1.6422327909874398E-2</v>
      </c>
      <c r="CK8" s="126">
        <v>1.052966760263214E-2</v>
      </c>
      <c r="CL8" s="126">
        <v>4.2279853484412049E-4</v>
      </c>
      <c r="CM8" s="126">
        <v>6.9434777155002167E-2</v>
      </c>
      <c r="CN8" s="126">
        <v>1.5313988304368049E-5</v>
      </c>
      <c r="CO8" s="126">
        <v>7.3568955429578699E-5</v>
      </c>
      <c r="CP8" s="126">
        <v>1.4952979694874361E-5</v>
      </c>
      <c r="CQ8" s="126">
        <v>7.6125756206477124E-5</v>
      </c>
      <c r="CR8" s="126">
        <v>3.9859694953997407E-6</v>
      </c>
      <c r="CS8" s="126">
        <v>3.349480867336544E-6</v>
      </c>
      <c r="CT8" s="126">
        <v>7.2043835955926011E-6</v>
      </c>
      <c r="CU8" s="126">
        <v>7.003522320933697E-3</v>
      </c>
      <c r="CV8" s="126">
        <v>1.179149177567585E-3</v>
      </c>
      <c r="CW8" s="126">
        <v>3.58200211086972E-3</v>
      </c>
      <c r="CX8" s="126">
        <v>2.2967079811325791E-3</v>
      </c>
      <c r="CY8" s="126">
        <v>3.8558287948760028E-6</v>
      </c>
      <c r="CZ8" s="126">
        <v>2.4243061460123552E-3</v>
      </c>
      <c r="DA8" s="126">
        <v>8.0037429390228143E-8</v>
      </c>
      <c r="DB8" s="126">
        <v>1.3809596003654251E-3</v>
      </c>
      <c r="DC8" s="126">
        <v>2.9468745760353378E-7</v>
      </c>
      <c r="DD8" s="126">
        <v>7.1608442827894543E-10</v>
      </c>
      <c r="DE8" s="126">
        <v>9.414293300970817E-5</v>
      </c>
      <c r="DF8" s="126">
        <v>2.7572496190555549E-8</v>
      </c>
      <c r="DG8" s="126">
        <v>2.9208195655398581E-9</v>
      </c>
      <c r="DH8" s="126">
        <v>2.302457355196842E-7</v>
      </c>
      <c r="DI8" s="126">
        <v>3.3664196190986939E-6</v>
      </c>
      <c r="DJ8" s="126">
        <v>2.3727380699711571E-8</v>
      </c>
      <c r="DK8" s="126">
        <v>2.6772548824910709E-8</v>
      </c>
      <c r="DL8" s="126">
        <v>1.2882965800328881E-6</v>
      </c>
      <c r="DM8" s="126">
        <v>4.8339194573645708E-5</v>
      </c>
      <c r="DN8" s="126">
        <v>2.5891479284458391E-7</v>
      </c>
      <c r="DO8" s="126">
        <v>5.3654273423908059E-5</v>
      </c>
      <c r="DP8" s="126">
        <v>2.873578756540761E-6</v>
      </c>
      <c r="DQ8" s="126">
        <v>3.3814235243426468E-7</v>
      </c>
      <c r="DR8" s="126">
        <v>2.0628760038745188E-6</v>
      </c>
      <c r="DS8" s="126">
        <v>3.690056841726198E-3</v>
      </c>
      <c r="DT8" s="126">
        <v>2.8295704989017212E-3</v>
      </c>
      <c r="DU8" s="126">
        <v>8.5956278414481765E-3</v>
      </c>
      <c r="DV8" s="126">
        <v>5.5113443418675452E-3</v>
      </c>
      <c r="DW8" s="126">
        <v>6.6288569668036116E-6</v>
      </c>
      <c r="DX8" s="126">
        <v>3.408393198195784E-6</v>
      </c>
      <c r="DY8" s="126">
        <v>1.0950894338256691E-5</v>
      </c>
      <c r="DZ8" s="126">
        <v>2.8743357658387919E-6</v>
      </c>
      <c r="EA8" s="126">
        <v>6.0235770630627763E-7</v>
      </c>
      <c r="EB8" s="126">
        <v>1.561284687210229E-5</v>
      </c>
      <c r="EC8" s="126">
        <v>3.3641456952794E-7</v>
      </c>
      <c r="ED8" s="126">
        <v>5.693227763407543E-4</v>
      </c>
      <c r="EE8" s="126">
        <v>1.965096790932952E-4</v>
      </c>
      <c r="EF8" s="126">
        <v>5.9695422658102956E-4</v>
      </c>
      <c r="EG8" s="126">
        <v>3.8275508894845042E-4</v>
      </c>
      <c r="EH8" s="126">
        <v>3.3566084832676802E-8</v>
      </c>
      <c r="EI8" s="126">
        <v>2.0381575356931459E-7</v>
      </c>
      <c r="EJ8" s="126">
        <v>8.0572203346855522E-9</v>
      </c>
      <c r="EK8" s="126">
        <v>9.523495851513051E-8</v>
      </c>
      <c r="EL8" s="126">
        <v>1.9804558147340139E-8</v>
      </c>
      <c r="EM8" s="126">
        <v>6.15815433037929E-9</v>
      </c>
      <c r="EN8" s="126">
        <v>1.5948455148325519E-8</v>
      </c>
      <c r="EO8" s="126">
        <v>1.068985494866366E-5</v>
      </c>
      <c r="EP8" s="126">
        <v>7.9713562432793603E-5</v>
      </c>
      <c r="EQ8" s="126">
        <v>1.3749670359915089E-4</v>
      </c>
      <c r="ER8" s="126">
        <v>8.0354898085582759E-6</v>
      </c>
      <c r="ES8" s="126">
        <v>2.441009331448914E-5</v>
      </c>
      <c r="ET8" s="126">
        <v>1.5651262729704528E-5</v>
      </c>
      <c r="EU8" s="126">
        <v>7.2077328000669584E-11</v>
      </c>
      <c r="EV8" s="126">
        <v>1.0599484171712029E-4</v>
      </c>
      <c r="EW8" s="126">
        <v>2.8101002054539252E-10</v>
      </c>
      <c r="EX8" s="126">
        <v>1.1477049979373151E-5</v>
      </c>
      <c r="EY8" s="126">
        <v>4.4817813361246859E-6</v>
      </c>
      <c r="EZ8" s="126">
        <v>4.9004919912441869E-7</v>
      </c>
      <c r="FA8" s="126">
        <v>5.1708614456963768E-6</v>
      </c>
      <c r="FB8" s="126">
        <v>1.6564963354967631E-7</v>
      </c>
      <c r="FC8" s="126">
        <v>4.4872040290486268E-7</v>
      </c>
      <c r="FD8" s="126">
        <v>2.1228432841226591E-7</v>
      </c>
      <c r="FE8" s="126">
        <v>2.0641723448413751E-4</v>
      </c>
      <c r="FF8" s="126">
        <v>3.461169053379857E-5</v>
      </c>
      <c r="FG8" s="126">
        <v>1.051428868470969E-4</v>
      </c>
      <c r="FH8" s="126">
        <v>6.741551230476929E-5</v>
      </c>
      <c r="FI8" s="126">
        <v>1.196951014648765E-9</v>
      </c>
      <c r="FJ8" s="126">
        <v>1.1815317449144521E-6</v>
      </c>
      <c r="FK8" s="126">
        <v>4.9059587596168361E-11</v>
      </c>
      <c r="FL8" s="126">
        <v>2.473475088782194E-5</v>
      </c>
      <c r="FM8" s="126">
        <v>1.711629332590301E-12</v>
      </c>
      <c r="FN8" s="126">
        <v>3.4738857628195622E-9</v>
      </c>
      <c r="FO8" s="126">
        <v>1.4525997993073171E-11</v>
      </c>
      <c r="FP8" s="126">
        <v>1.538773234528315E-12</v>
      </c>
      <c r="FQ8" s="126">
        <v>1.2335188709085599E-11</v>
      </c>
      <c r="FR8" s="126">
        <v>1.1843527227671141E-7</v>
      </c>
      <c r="FS8" s="126">
        <v>2.6268574270514811E-12</v>
      </c>
      <c r="FT8" s="126">
        <v>3.3487840751676791E-12</v>
      </c>
      <c r="FU8" s="126">
        <v>3.7300572571886183E-9</v>
      </c>
      <c r="FV8" s="126">
        <v>3.0088340240123538E-8</v>
      </c>
      <c r="FW8" s="126">
        <v>5.1993742965383204E-10</v>
      </c>
      <c r="FX8" s="126">
        <v>1.0008802261269391E-8</v>
      </c>
      <c r="FY8" s="126">
        <v>2.3132772475651199E-8</v>
      </c>
      <c r="FZ8" s="126">
        <v>4.9087901834256626E-10</v>
      </c>
      <c r="GA8" s="126">
        <v>2.9264676863615149E-9</v>
      </c>
      <c r="GB8" s="126">
        <v>4.9573881378956694E-6</v>
      </c>
      <c r="GC8" s="126">
        <v>1.559366756136292E-5</v>
      </c>
      <c r="GD8" s="126">
        <v>4.7370215053049257E-5</v>
      </c>
      <c r="GE8" s="126">
        <v>3.0372832737915109E-5</v>
      </c>
      <c r="GF8" s="126">
        <v>2.4520146817358501E-12</v>
      </c>
      <c r="GG8" s="126">
        <v>2.1010482790164778E-11</v>
      </c>
      <c r="GH8" s="126">
        <v>1.9582715672773839E-13</v>
      </c>
      <c r="GI8" s="126">
        <v>1.146043971980737E-11</v>
      </c>
      <c r="GJ8" s="126">
        <v>1.369922369279244E-11</v>
      </c>
      <c r="GK8" s="126">
        <v>2.90881887503011E-13</v>
      </c>
      <c r="GL8" s="126">
        <v>1.7990739223451989E-12</v>
      </c>
      <c r="GM8" s="126">
        <v>1.64551610597344E-9</v>
      </c>
      <c r="GN8" s="126">
        <v>7.5675771809814629E-9</v>
      </c>
      <c r="GO8" s="126">
        <v>2.2988675183883981E-8</v>
      </c>
      <c r="GP8" s="126">
        <v>1.4739877905228599E-8</v>
      </c>
      <c r="GQ8" s="126">
        <v>1.089982754423657E-7</v>
      </c>
      <c r="GR8" s="126">
        <v>2.4028529944923E-7</v>
      </c>
      <c r="GS8" s="126">
        <v>1.5731697605544611E-7</v>
      </c>
      <c r="GT8" s="126">
        <v>1.6068712131672939E-7</v>
      </c>
      <c r="GU8" s="126">
        <v>3.7244173420624079E-8</v>
      </c>
      <c r="GV8" s="126">
        <v>3.0464524321848713E-8</v>
      </c>
      <c r="GW8" s="126">
        <v>4.8961641917645273E-8</v>
      </c>
      <c r="GX8" s="126">
        <v>1.735175678683243E-5</v>
      </c>
      <c r="GY8" s="126">
        <v>1.6378359648617882E-5</v>
      </c>
      <c r="GZ8" s="126">
        <v>4.9753941189150423E-5</v>
      </c>
      <c r="HA8" s="126">
        <v>3.1901230173808458E-5</v>
      </c>
      <c r="HB8" s="126">
        <v>1.144610197183489E-6</v>
      </c>
      <c r="HC8" s="126">
        <v>5.9945668837445907E-5</v>
      </c>
      <c r="HD8" s="126">
        <v>1.4870924415493469E-6</v>
      </c>
      <c r="HE8" s="126">
        <v>3.7031917866825841E-6</v>
      </c>
      <c r="HF8" s="126">
        <v>8.3184859915333507E-8</v>
      </c>
      <c r="HG8" s="126">
        <v>1.100183987726924E-7</v>
      </c>
      <c r="HH8" s="126">
        <v>3.7556095894976549E-7</v>
      </c>
      <c r="HI8" s="126">
        <v>7.7818597028273322E-8</v>
      </c>
      <c r="HJ8" s="126">
        <v>2.3282184420498701E-7</v>
      </c>
      <c r="HK8" s="126">
        <v>1.0512235572721779E-6</v>
      </c>
      <c r="HL8" s="126">
        <v>8.3970228369829127E-8</v>
      </c>
      <c r="HM8" s="126">
        <v>2.1720141421106831E-8</v>
      </c>
      <c r="HN8" s="126">
        <v>5.5451998409541401E-8</v>
      </c>
      <c r="HO8" s="126">
        <v>4.993778465565842E-5</v>
      </c>
      <c r="HP8" s="126">
        <v>3.8146992810508992E-5</v>
      </c>
      <c r="HQ8" s="126">
        <v>1.1588237635245551E-4</v>
      </c>
      <c r="HR8" s="126">
        <v>7.4301457789111244E-5</v>
      </c>
      <c r="HS8" s="126">
        <v>8.5303257655068167E-7</v>
      </c>
      <c r="HT8" s="126">
        <v>2.1758317704796819E-8</v>
      </c>
      <c r="HU8" s="126">
        <v>3.3470112791676412E-9</v>
      </c>
      <c r="HV8" s="126">
        <v>8.4937286086212463E-8</v>
      </c>
      <c r="HW8" s="126">
        <v>9.849341753558553E-6</v>
      </c>
      <c r="HX8" s="126">
        <v>1.0928974154445919E-8</v>
      </c>
      <c r="HY8" s="126">
        <v>7.2521096330429142E-7</v>
      </c>
      <c r="HZ8" s="126">
        <v>1.9894379533107009E-5</v>
      </c>
      <c r="IA8" s="126">
        <v>2.7248031289748138E-4</v>
      </c>
      <c r="IB8" s="126">
        <v>5.3178169443186113E-8</v>
      </c>
      <c r="IC8" s="126">
        <v>1.5012939675743711E-6</v>
      </c>
      <c r="ID8" s="126">
        <v>1.747985584796096E-8</v>
      </c>
      <c r="IE8" s="126">
        <v>4.6291268510981212E-11</v>
      </c>
      <c r="IF8" s="126">
        <v>3.1153090315612652E-8</v>
      </c>
      <c r="IG8" s="126">
        <v>1.7452681354224561E-7</v>
      </c>
      <c r="IH8" s="126">
        <v>7.8315137463248181E-7</v>
      </c>
      <c r="II8" s="126">
        <v>7.3029001565581813E-7</v>
      </c>
      <c r="IJ8" s="126">
        <v>4.8754973841902593E-7</v>
      </c>
      <c r="IK8" s="126">
        <v>9.4804011782816819E-8</v>
      </c>
      <c r="IL8" s="126">
        <v>3.0188500711134041E-8</v>
      </c>
      <c r="IM8" s="126">
        <v>7.8408473861537915E-8</v>
      </c>
      <c r="IN8" s="126">
        <v>4.8438974367130687E-5</v>
      </c>
      <c r="IO8" s="126">
        <v>1.147547428338417E-4</v>
      </c>
      <c r="IP8" s="126">
        <v>9.5062758014246402E-6</v>
      </c>
      <c r="IQ8" s="126">
        <v>1.9793869926870049E-4</v>
      </c>
      <c r="IR8" s="126">
        <v>2.887793525866606E-5</v>
      </c>
      <c r="IS8" s="126">
        <v>5.3654371481374123E-5</v>
      </c>
      <c r="IT8" s="126">
        <v>1.6299046427707369E-4</v>
      </c>
      <c r="IU8" s="126">
        <v>1.045062198645015E-4</v>
      </c>
      <c r="IV8" s="126">
        <v>4.1279807621752099E-8</v>
      </c>
      <c r="IW8" s="126">
        <v>1.5258897522258961E-4</v>
      </c>
      <c r="IX8" s="126">
        <v>1.8515958933412919E-5</v>
      </c>
      <c r="IY8" s="126">
        <v>5.7092567049113452E-10</v>
      </c>
      <c r="IZ8" s="126">
        <v>1.845573924290624E-9</v>
      </c>
      <c r="JA8" s="126">
        <v>1.4106763934380719E-8</v>
      </c>
      <c r="JB8" s="126">
        <v>2.2386231188151408E-9</v>
      </c>
      <c r="JC8" s="126">
        <v>5.5707600734253384E-9</v>
      </c>
      <c r="JD8" s="126">
        <v>7.6366842576878572E-10</v>
      </c>
      <c r="JE8" s="126">
        <v>8.5077869742041765E-10</v>
      </c>
      <c r="JF8" s="126">
        <v>1.711567577472686E-9</v>
      </c>
      <c r="JG8" s="126">
        <v>6.0751986745113766E-7</v>
      </c>
      <c r="JH8" s="126">
        <v>6.8987451458723252E-7</v>
      </c>
      <c r="JI8" s="126">
        <v>2.0956907018196629E-6</v>
      </c>
      <c r="JJ8" s="126">
        <v>1.3437148867804271E-6</v>
      </c>
      <c r="JK8" s="126">
        <v>4.396024665418878E-10</v>
      </c>
      <c r="JL8" s="126">
        <v>4.384178480769394E-7</v>
      </c>
      <c r="JM8" s="126">
        <v>5.6348121718245303E-12</v>
      </c>
      <c r="JN8" s="126">
        <v>3.250256242352693E-6</v>
      </c>
      <c r="JO8" s="126">
        <v>1.8862750862853561E-13</v>
      </c>
      <c r="JP8" s="126">
        <v>4.2186732385753508E-8</v>
      </c>
      <c r="JQ8" s="126">
        <v>1.4794997955907849E-10</v>
      </c>
      <c r="JR8" s="126">
        <v>1.567269035167728E-11</v>
      </c>
      <c r="JS8" s="126">
        <v>8.1971933730958921E-13</v>
      </c>
      <c r="JT8" s="126">
        <v>4.5578978063697513E-8</v>
      </c>
      <c r="JU8" s="126">
        <v>3.9107073546047658E-13</v>
      </c>
      <c r="JV8" s="126">
        <v>2.1741170919092291E-13</v>
      </c>
      <c r="JW8" s="126">
        <v>3.473636883516111E-7</v>
      </c>
      <c r="JX8" s="126">
        <v>7.4969446841773901E-7</v>
      </c>
      <c r="JY8" s="126">
        <v>7.6736076274469093E-8</v>
      </c>
      <c r="JZ8" s="126">
        <v>6.6459207108764037E-7</v>
      </c>
      <c r="KA8" s="126">
        <v>6.7729339540449792E-8</v>
      </c>
      <c r="KB8" s="126">
        <v>1.005948200671858E-7</v>
      </c>
      <c r="KC8" s="126">
        <v>1.8533651032486581E-7</v>
      </c>
      <c r="KD8" s="126">
        <v>8.1982166909777803E-4</v>
      </c>
      <c r="KE8" s="126">
        <v>7.5772450712154358E-5</v>
      </c>
      <c r="KF8" s="126">
        <v>2.3018044159315199E-4</v>
      </c>
      <c r="KG8" s="126">
        <v>1.475870870381074E-4</v>
      </c>
      <c r="KH8" s="126">
        <v>2.03146851777226E-7</v>
      </c>
      <c r="KI8" s="126">
        <v>7.4889514490655216E-7</v>
      </c>
      <c r="KJ8" s="126">
        <v>7.7424929597081096E-8</v>
      </c>
      <c r="KK8" s="126">
        <v>6.5214734774228333E-7</v>
      </c>
      <c r="KL8" s="126">
        <v>4.4273144386371083E-8</v>
      </c>
      <c r="KM8" s="126">
        <v>2.9721908708875819E-8</v>
      </c>
      <c r="KN8" s="126">
        <v>1.1683198854500939E-7</v>
      </c>
      <c r="KO8" s="126">
        <v>2.184356820652955E-4</v>
      </c>
      <c r="KP8" s="126">
        <v>4.2619115494837232E-5</v>
      </c>
      <c r="KQ8" s="126">
        <v>1.2946772517861269E-4</v>
      </c>
      <c r="KR8" s="127">
        <v>8.301211124764022E-5</v>
      </c>
    </row>
    <row r="9" spans="2:304" x14ac:dyDescent="0.25">
      <c r="B9" s="5">
        <v>500</v>
      </c>
      <c r="C9" s="126">
        <v>9.8158444702973499E-6</v>
      </c>
      <c r="D9" s="126">
        <v>1.8466066118417541E-7</v>
      </c>
      <c r="E9" s="126">
        <v>1.0165191449628069E-5</v>
      </c>
      <c r="F9" s="126">
        <v>1.990966048463155E-7</v>
      </c>
      <c r="G9" s="126">
        <v>3.4986851961459479E-7</v>
      </c>
      <c r="H9" s="126">
        <v>5.720754124578851E-7</v>
      </c>
      <c r="I9" s="126">
        <v>1.12404447844733E-3</v>
      </c>
      <c r="J9" s="126">
        <v>5.5623028642668992E-5</v>
      </c>
      <c r="K9" s="126">
        <v>2.1225437245354009E-4</v>
      </c>
      <c r="L9" s="126">
        <v>1.104554289096698E-4</v>
      </c>
      <c r="M9" s="126">
        <v>3.5103449222333318E-4</v>
      </c>
      <c r="N9" s="126">
        <v>3.496059099920997E-3</v>
      </c>
      <c r="O9" s="126">
        <v>3.6635094877446527E-5</v>
      </c>
      <c r="P9" s="126">
        <v>2.213391797342419E-3</v>
      </c>
      <c r="Q9" s="126">
        <v>1.5637728612373409E-3</v>
      </c>
      <c r="R9" s="126">
        <v>6.6524106823949184E-5</v>
      </c>
      <c r="S9" s="126">
        <v>2.1147979995517809E-4</v>
      </c>
      <c r="T9" s="126">
        <v>0.1857872680160069</v>
      </c>
      <c r="U9" s="126">
        <v>0.48760219524051368</v>
      </c>
      <c r="V9" s="126">
        <v>1.8606627593512799</v>
      </c>
      <c r="W9" s="126">
        <v>0.96827358967778743</v>
      </c>
      <c r="X9" s="126">
        <v>7.9517902049014322E-6</v>
      </c>
      <c r="Y9" s="126">
        <v>6.4162561749991508E-5</v>
      </c>
      <c r="Z9" s="126">
        <v>7.9349186835126334E-7</v>
      </c>
      <c r="AA9" s="126">
        <v>3.0619601153102523E-5</v>
      </c>
      <c r="AB9" s="126">
        <v>3.6559655567252102E-5</v>
      </c>
      <c r="AC9" s="126">
        <v>1.478283026495409E-6</v>
      </c>
      <c r="AD9" s="126">
        <v>4.3164108130333342E-6</v>
      </c>
      <c r="AE9" s="126">
        <v>3.2287272365263309E-3</v>
      </c>
      <c r="AF9" s="126">
        <v>1.151917920199445E-2</v>
      </c>
      <c r="AG9" s="126">
        <v>4.3956544840559483E-2</v>
      </c>
      <c r="AH9" s="126">
        <v>2.2874624242729701E-2</v>
      </c>
      <c r="AI9" s="126">
        <v>1.355269446288268E-8</v>
      </c>
      <c r="AJ9" s="126">
        <v>9.1704264076453303E-8</v>
      </c>
      <c r="AK9" s="126">
        <v>8.8774362232825161E-9</v>
      </c>
      <c r="AL9" s="126">
        <v>1.025367490476533E-7</v>
      </c>
      <c r="AM9" s="126">
        <v>4.6246269043408861E-9</v>
      </c>
      <c r="AN9" s="126">
        <v>2.202358127462386E-9</v>
      </c>
      <c r="AO9" s="126">
        <v>8.6539413080752105E-9</v>
      </c>
      <c r="AP9" s="126">
        <v>6.133391513727844E-6</v>
      </c>
      <c r="AQ9" s="126">
        <v>5.5641691321147387E-7</v>
      </c>
      <c r="AR9" s="126">
        <v>2.1232558819287331E-6</v>
      </c>
      <c r="AS9" s="126">
        <v>1.1049248899442681E-6</v>
      </c>
      <c r="AT9" s="126">
        <v>1.301924077995702E-5</v>
      </c>
      <c r="AU9" s="126">
        <v>4.8099788567386992E-6</v>
      </c>
      <c r="AV9" s="126">
        <v>4.735762199205584E-7</v>
      </c>
      <c r="AW9" s="126">
        <v>5.6602968312616001E-6</v>
      </c>
      <c r="AX9" s="126">
        <v>1.6377507137164091E-7</v>
      </c>
      <c r="AY9" s="126">
        <v>4.2976518246692269E-7</v>
      </c>
      <c r="AZ9" s="126">
        <v>2.128554484659733E-7</v>
      </c>
      <c r="BA9" s="126">
        <v>1.732212386655679E-4</v>
      </c>
      <c r="BB9" s="126">
        <v>3.5393156539759912E-5</v>
      </c>
      <c r="BC9" s="126">
        <v>1.350583097291802E-4</v>
      </c>
      <c r="BD9" s="126">
        <v>7.0283233068458824E-5</v>
      </c>
      <c r="BE9" s="126">
        <v>2.3119071068374399E-10</v>
      </c>
      <c r="BF9" s="126">
        <v>1.4916925037696649E-7</v>
      </c>
      <c r="BG9" s="126">
        <v>1.45904127855584E-12</v>
      </c>
      <c r="BH9" s="126">
        <v>5.2286167040921737E-7</v>
      </c>
      <c r="BI9" s="126">
        <v>1.490161949824511E-13</v>
      </c>
      <c r="BJ9" s="126">
        <v>1.025003354987748E-8</v>
      </c>
      <c r="BK9" s="126">
        <v>1.536685299822721E-11</v>
      </c>
      <c r="BL9" s="126">
        <v>1.627845806364124E-12</v>
      </c>
      <c r="BM9" s="126">
        <v>5.9179484973759807E-13</v>
      </c>
      <c r="BN9" s="126">
        <v>6.3541245846273094E-8</v>
      </c>
      <c r="BO9" s="126">
        <v>2.644274574904876E-13</v>
      </c>
      <c r="BP9" s="126">
        <v>1.755426960700329E-13</v>
      </c>
      <c r="BQ9" s="126">
        <v>3.1307078061880307E-5</v>
      </c>
      <c r="BR9" s="126">
        <v>1.8568474622995609E-4</v>
      </c>
      <c r="BS9" s="126">
        <v>3.048519716229034E-6</v>
      </c>
      <c r="BT9" s="126">
        <v>1.067092941147971E-4</v>
      </c>
      <c r="BU9" s="126">
        <v>8.4309963618286329E-5</v>
      </c>
      <c r="BV9" s="126">
        <v>5.3456485065775034E-6</v>
      </c>
      <c r="BW9" s="126">
        <v>1.5715636060323478E-5</v>
      </c>
      <c r="BX9" s="126">
        <v>9.6412411721620538E-3</v>
      </c>
      <c r="BY9" s="126">
        <v>1.7460530435076491E-2</v>
      </c>
      <c r="BZ9" s="126">
        <v>9.7783924099862328E-5</v>
      </c>
      <c r="CA9" s="126">
        <v>2.7715127674724581E-2</v>
      </c>
      <c r="CB9" s="126">
        <v>2.164386654544311E-3</v>
      </c>
      <c r="CC9" s="126">
        <v>1.150367169098969E-3</v>
      </c>
      <c r="CD9" s="126">
        <v>6.6627547971490272E-2</v>
      </c>
      <c r="CE9" s="126">
        <v>1.142406393347204E-4</v>
      </c>
      <c r="CF9" s="126">
        <v>0.10575801265315921</v>
      </c>
      <c r="CG9" s="126">
        <v>8.2591992525197604E-3</v>
      </c>
      <c r="CH9" s="126">
        <v>2.4152785960570421E-3</v>
      </c>
      <c r="CI9" s="126">
        <v>4.2028974450086841E-3</v>
      </c>
      <c r="CJ9" s="126">
        <v>1.603802204672795E-2</v>
      </c>
      <c r="CK9" s="126">
        <v>8.3460547057603359E-3</v>
      </c>
      <c r="CL9" s="126">
        <v>3.3109052066642678E-4</v>
      </c>
      <c r="CM9" s="126">
        <v>5.5035588800640869E-2</v>
      </c>
      <c r="CN9" s="126">
        <v>1.499999133400001E-5</v>
      </c>
      <c r="CO9" s="126">
        <v>7.2061480197536072E-5</v>
      </c>
      <c r="CP9" s="126">
        <v>1.464654314175346E-5</v>
      </c>
      <c r="CQ9" s="126">
        <v>7.4565266847388792E-5</v>
      </c>
      <c r="CR9" s="126">
        <v>3.9042617621280833E-6</v>
      </c>
      <c r="CS9" s="126">
        <v>3.280815720150557E-6</v>
      </c>
      <c r="CT9" s="126">
        <v>7.0567135519030483E-6</v>
      </c>
      <c r="CU9" s="126">
        <v>5.6028178567469576E-3</v>
      </c>
      <c r="CV9" s="126">
        <v>9.1672676385532012E-4</v>
      </c>
      <c r="CW9" s="126">
        <v>3.498178159687837E-3</v>
      </c>
      <c r="CX9" s="126">
        <v>1.8204231298713811E-3</v>
      </c>
      <c r="CY9" s="126">
        <v>2.9968357548476942E-6</v>
      </c>
      <c r="CZ9" s="126">
        <v>1.8842245946595489E-3</v>
      </c>
      <c r="DA9" s="126">
        <v>6.2206867228360536E-8</v>
      </c>
      <c r="DB9" s="126">
        <v>1.1048781450307031E-3</v>
      </c>
      <c r="DC9" s="126">
        <v>2.2903763512480161E-7</v>
      </c>
      <c r="DD9" s="126">
        <v>5.5655691218513912E-10</v>
      </c>
      <c r="DE9" s="126">
        <v>7.3169978505680512E-5</v>
      </c>
      <c r="DF9" s="126">
        <v>2.142996506555495E-8</v>
      </c>
      <c r="DG9" s="126">
        <v>2.270125104113235E-9</v>
      </c>
      <c r="DH9" s="126">
        <v>1.7895209774412851E-7</v>
      </c>
      <c r="DI9" s="126">
        <v>2.693404979523293E-6</v>
      </c>
      <c r="DJ9" s="126">
        <v>1.844145291563772E-8</v>
      </c>
      <c r="DK9" s="126">
        <v>2.080822598404575E-8</v>
      </c>
      <c r="DL9" s="126">
        <v>1.261881434936398E-6</v>
      </c>
      <c r="DM9" s="126">
        <v>4.7348693374720658E-5</v>
      </c>
      <c r="DN9" s="126">
        <v>2.5360876299031351E-7</v>
      </c>
      <c r="DO9" s="126">
        <v>5.2554423295384792E-5</v>
      </c>
      <c r="DP9" s="126">
        <v>2.8146737381141251E-6</v>
      </c>
      <c r="DQ9" s="126">
        <v>3.3121035451597899E-7</v>
      </c>
      <c r="DR9" s="126">
        <v>2.0205927209848308E-6</v>
      </c>
      <c r="DS9" s="126">
        <v>2.9520454733809589E-3</v>
      </c>
      <c r="DT9" s="126">
        <v>2.199842951092575E-3</v>
      </c>
      <c r="DU9" s="126">
        <v>8.3944779073449154E-3</v>
      </c>
      <c r="DV9" s="126">
        <v>4.3684172298098876E-3</v>
      </c>
      <c r="DW9" s="126">
        <v>6.4929393362549642E-6</v>
      </c>
      <c r="DX9" s="126">
        <v>3.3385530285570969E-6</v>
      </c>
      <c r="DY9" s="126">
        <v>1.072647389610516E-5</v>
      </c>
      <c r="DZ9" s="126">
        <v>2.815415229603031E-6</v>
      </c>
      <c r="EA9" s="126">
        <v>5.9001007473062159E-7</v>
      </c>
      <c r="EB9" s="126">
        <v>1.5292779831588741E-5</v>
      </c>
      <c r="EC9" s="126">
        <v>3.295189963646253E-7</v>
      </c>
      <c r="ED9" s="126">
        <v>4.5545822107260348E-4</v>
      </c>
      <c r="EE9" s="126">
        <v>1.527759893392442E-4</v>
      </c>
      <c r="EF9" s="126">
        <v>5.8298464744680704E-4</v>
      </c>
      <c r="EG9" s="126">
        <v>3.0338041349694552E-4</v>
      </c>
      <c r="EH9" s="126">
        <v>3.2877848121566668E-8</v>
      </c>
      <c r="EI9" s="126">
        <v>1.996394376407849E-7</v>
      </c>
      <c r="EJ9" s="126">
        <v>7.8921009486181091E-9</v>
      </c>
      <c r="EK9" s="126">
        <v>9.3282752760050806E-8</v>
      </c>
      <c r="EL9" s="126">
        <v>1.9398587766349149E-8</v>
      </c>
      <c r="EM9" s="126">
        <v>6.0319107152528163E-9</v>
      </c>
      <c r="EN9" s="126">
        <v>1.5621555693669211E-8</v>
      </c>
      <c r="EO9" s="126">
        <v>8.5518839589309263E-6</v>
      </c>
      <c r="EP9" s="126">
        <v>6.485403315644913E-5</v>
      </c>
      <c r="EQ9" s="126">
        <v>1.361657063574187E-4</v>
      </c>
      <c r="ER9" s="126">
        <v>6.2471727143021468E-6</v>
      </c>
      <c r="ES9" s="126">
        <v>2.3838862364029949E-5</v>
      </c>
      <c r="ET9" s="126">
        <v>1.2405547818403E-5</v>
      </c>
      <c r="EU9" s="126">
        <v>5.7667627958903503E-11</v>
      </c>
      <c r="EV9" s="126">
        <v>8.4996265272432002E-5</v>
      </c>
      <c r="EW9" s="126">
        <v>2.2483049479005359E-10</v>
      </c>
      <c r="EX9" s="126">
        <v>1.124172533038815E-5</v>
      </c>
      <c r="EY9" s="126">
        <v>4.3899467529069583E-6</v>
      </c>
      <c r="EZ9" s="126">
        <v>4.800064524275301E-7</v>
      </c>
      <c r="FA9" s="126">
        <v>5.0648648071678408E-6</v>
      </c>
      <c r="FB9" s="126">
        <v>1.6225400894937631E-7</v>
      </c>
      <c r="FC9" s="126">
        <v>4.3952152889089691E-7</v>
      </c>
      <c r="FD9" s="126">
        <v>2.0793308369642029E-7</v>
      </c>
      <c r="FE9" s="126">
        <v>1.6513378758730999E-4</v>
      </c>
      <c r="FF9" s="126">
        <v>2.69087776663376E-5</v>
      </c>
      <c r="FG9" s="126">
        <v>1.0268239354156579E-4</v>
      </c>
      <c r="FH9" s="126">
        <v>5.3435072686607397E-5</v>
      </c>
      <c r="FI9" s="126">
        <v>9.3029690588635189E-10</v>
      </c>
      <c r="FJ9" s="126">
        <v>9.1831272085859584E-7</v>
      </c>
      <c r="FK9" s="126">
        <v>3.8130200771360243E-11</v>
      </c>
      <c r="FL9" s="126">
        <v>1.9789779274861891E-5</v>
      </c>
      <c r="FM9" s="126">
        <v>1.3303167874233991E-12</v>
      </c>
      <c r="FN9" s="126">
        <v>2.699981171932313E-9</v>
      </c>
      <c r="FO9" s="126">
        <v>1.1289932815024071E-11</v>
      </c>
      <c r="FP9" s="126">
        <v>1.195968347532826E-12</v>
      </c>
      <c r="FQ9" s="126">
        <v>9.5871825403334799E-12</v>
      </c>
      <c r="FR9" s="126">
        <v>9.4757691611450716E-8</v>
      </c>
      <c r="FS9" s="126">
        <v>2.041652560396267E-12</v>
      </c>
      <c r="FT9" s="126">
        <v>2.6027501626227819E-12</v>
      </c>
      <c r="FU9" s="126">
        <v>3.65357641792074E-9</v>
      </c>
      <c r="FV9" s="126">
        <v>2.9471810789346241E-8</v>
      </c>
      <c r="FW9" s="126">
        <v>5.0928217317433121E-10</v>
      </c>
      <c r="FX9" s="126">
        <v>9.8036334694669474E-9</v>
      </c>
      <c r="FY9" s="126">
        <v>2.2658577576403769E-8</v>
      </c>
      <c r="FZ9" s="126">
        <v>4.8081588277618569E-10</v>
      </c>
      <c r="GA9" s="126">
        <v>2.866483149812761E-9</v>
      </c>
      <c r="GB9" s="126">
        <v>3.9659105103165369E-6</v>
      </c>
      <c r="GC9" s="126">
        <v>1.212326028980719E-5</v>
      </c>
      <c r="GD9" s="126">
        <v>4.6261684552178611E-5</v>
      </c>
      <c r="GE9" s="126">
        <v>2.407419998103086E-5</v>
      </c>
      <c r="GF9" s="126">
        <v>2.4017387401548179E-12</v>
      </c>
      <c r="GG9" s="126">
        <v>2.0579964479357039E-11</v>
      </c>
      <c r="GH9" s="126">
        <v>1.9181400348740581E-13</v>
      </c>
      <c r="GI9" s="126">
        <v>1.122551405043568E-11</v>
      </c>
      <c r="GJ9" s="126">
        <v>1.3418405558882661E-11</v>
      </c>
      <c r="GK9" s="126">
        <v>2.849187402541615E-13</v>
      </c>
      <c r="GL9" s="126">
        <v>1.762197856379475E-12</v>
      </c>
      <c r="GM9" s="126">
        <v>1.3164128847787521E-9</v>
      </c>
      <c r="GN9" s="126">
        <v>5.8833951389063118E-9</v>
      </c>
      <c r="GO9" s="126">
        <v>2.2450707442183739E-8</v>
      </c>
      <c r="GP9" s="126">
        <v>1.1683163419376521E-8</v>
      </c>
      <c r="GQ9" s="126">
        <v>1.067633822464187E-7</v>
      </c>
      <c r="GR9" s="126">
        <v>2.3536169906060699E-7</v>
      </c>
      <c r="GS9" s="126">
        <v>1.5409302518588409E-7</v>
      </c>
      <c r="GT9" s="126">
        <v>1.573932224387047E-7</v>
      </c>
      <c r="GU9" s="126">
        <v>3.6480711233748891E-8</v>
      </c>
      <c r="GV9" s="126">
        <v>2.9839994393372278E-8</v>
      </c>
      <c r="GW9" s="126">
        <v>4.7958062956981078E-8</v>
      </c>
      <c r="GX9" s="126">
        <v>1.3881405429465949E-5</v>
      </c>
      <c r="GY9" s="126">
        <v>1.2733317313513079E-5</v>
      </c>
      <c r="GZ9" s="126">
        <v>4.8589628101592532E-5</v>
      </c>
      <c r="HA9" s="126">
        <v>2.5285642648881189E-5</v>
      </c>
      <c r="HB9" s="126">
        <v>9.1577971659176134E-7</v>
      </c>
      <c r="HC9" s="126">
        <v>4.8069867249190339E-5</v>
      </c>
      <c r="HD9" s="126">
        <v>1.168716325299799E-6</v>
      </c>
      <c r="HE9" s="126">
        <v>2.9352342147105752E-6</v>
      </c>
      <c r="HF9" s="126">
        <v>6.6554541996429077E-8</v>
      </c>
      <c r="HG9" s="126">
        <v>1.077625890376468E-7</v>
      </c>
      <c r="HH9" s="126">
        <v>3.6786547325973298E-7</v>
      </c>
      <c r="HI9" s="126">
        <v>7.6223833768464842E-8</v>
      </c>
      <c r="HJ9" s="126">
        <v>2.2804926750361701E-7</v>
      </c>
      <c r="HK9" s="126">
        <v>1.029674698424762E-6</v>
      </c>
      <c r="HL9" s="126">
        <v>8.2248936465733896E-8</v>
      </c>
      <c r="HM9" s="126">
        <v>2.1274873402971619E-8</v>
      </c>
      <c r="HN9" s="126">
        <v>5.4315384996449477E-8</v>
      </c>
      <c r="HO9" s="126">
        <v>3.9950227724526738E-5</v>
      </c>
      <c r="HP9" s="126">
        <v>2.965729013366139E-5</v>
      </c>
      <c r="HQ9" s="126">
        <v>1.131705636964182E-4</v>
      </c>
      <c r="HR9" s="126">
        <v>5.889303013427033E-5</v>
      </c>
      <c r="HS9" s="126">
        <v>6.6299585937376796E-7</v>
      </c>
      <c r="HT9" s="126">
        <v>1.691104762967354E-8</v>
      </c>
      <c r="HU9" s="126">
        <v>2.6778767550803229E-9</v>
      </c>
      <c r="HV9" s="126">
        <v>6.601514464615455E-8</v>
      </c>
      <c r="HW9" s="126">
        <v>7.7129493615903109E-6</v>
      </c>
      <c r="HX9" s="126">
        <v>8.494244349606468E-9</v>
      </c>
      <c r="HY9" s="126">
        <v>5.6365006804692258E-7</v>
      </c>
      <c r="HZ9" s="126">
        <v>1.5462359046336101E-5</v>
      </c>
      <c r="IA9" s="126">
        <v>2.1849939658722881E-4</v>
      </c>
      <c r="IB9" s="126">
        <v>4.1331253842538259E-8</v>
      </c>
      <c r="IC9" s="126">
        <v>1.189959816774835E-6</v>
      </c>
      <c r="ID9" s="126">
        <v>1.3585732066643041E-8</v>
      </c>
      <c r="IE9" s="126">
        <v>3.7036717707018347E-11</v>
      </c>
      <c r="IF9" s="126">
        <v>2.4212881122565851E-8</v>
      </c>
      <c r="IG9" s="126">
        <v>1.709483276761814E-7</v>
      </c>
      <c r="IH9" s="126">
        <v>7.6710409907576019E-7</v>
      </c>
      <c r="II9" s="126">
        <v>7.1532393132060837E-7</v>
      </c>
      <c r="IJ9" s="126">
        <v>4.7755553649917097E-7</v>
      </c>
      <c r="IK9" s="126">
        <v>9.2860639933942062E-8</v>
      </c>
      <c r="IL9" s="126">
        <v>2.9569629331730511E-8</v>
      </c>
      <c r="IM9" s="126">
        <v>7.6801315857368342E-8</v>
      </c>
      <c r="IN9" s="126">
        <v>3.8751179493704563E-5</v>
      </c>
      <c r="IO9" s="126">
        <v>9.3363132564553986E-5</v>
      </c>
      <c r="IP9" s="126">
        <v>7.3906307737021003E-6</v>
      </c>
      <c r="IQ9" s="126">
        <v>1.9602261069448461E-4</v>
      </c>
      <c r="IR9" s="126">
        <v>2.82021480470195E-5</v>
      </c>
      <c r="IS9" s="126">
        <v>4.1713465327835548E-5</v>
      </c>
      <c r="IT9" s="126">
        <v>1.591762552683144E-4</v>
      </c>
      <c r="IU9" s="126">
        <v>8.2834013474776403E-5</v>
      </c>
      <c r="IV9" s="126">
        <v>3.3027148122419233E-8</v>
      </c>
      <c r="IW9" s="126">
        <v>1.223596620888481E-4</v>
      </c>
      <c r="IX9" s="126">
        <v>1.4676171073552879E-5</v>
      </c>
      <c r="IY9" s="126">
        <v>4.5678620547316099E-10</v>
      </c>
      <c r="IZ9" s="126">
        <v>1.8077324025851239E-9</v>
      </c>
      <c r="JA9" s="126">
        <v>1.381770726487687E-8</v>
      </c>
      <c r="JB9" s="126">
        <v>2.1927462456925479E-9</v>
      </c>
      <c r="JC9" s="126">
        <v>5.4565659786824773E-9</v>
      </c>
      <c r="JD9" s="126">
        <v>7.4801411227925295E-10</v>
      </c>
      <c r="JE9" s="126">
        <v>8.333375336117915E-10</v>
      </c>
      <c r="JF9" s="126">
        <v>1.6764851508376521E-9</v>
      </c>
      <c r="JG9" s="126">
        <v>4.8601589396091042E-7</v>
      </c>
      <c r="JH9" s="126">
        <v>5.3634132411339011E-7</v>
      </c>
      <c r="JI9" s="126">
        <v>2.046648554538794E-6</v>
      </c>
      <c r="JJ9" s="126">
        <v>1.0650590671267361E-6</v>
      </c>
      <c r="JK9" s="126">
        <v>3.4166879800334399E-10</v>
      </c>
      <c r="JL9" s="126">
        <v>3.4074809134278088E-7</v>
      </c>
      <c r="JM9" s="126">
        <v>4.3795011321569766E-12</v>
      </c>
      <c r="JN9" s="126">
        <v>2.6004649860682621E-6</v>
      </c>
      <c r="JO9" s="126">
        <v>1.4660553924875821E-13</v>
      </c>
      <c r="JP9" s="126">
        <v>3.2788465402625228E-8</v>
      </c>
      <c r="JQ9" s="126">
        <v>1.149900564493193E-10</v>
      </c>
      <c r="JR9" s="126">
        <v>1.2181159095241739E-11</v>
      </c>
      <c r="JS9" s="126">
        <v>6.3710406901515441E-13</v>
      </c>
      <c r="JT9" s="126">
        <v>3.6466828372160439E-8</v>
      </c>
      <c r="JU9" s="126">
        <v>3.0394895441475601E-13</v>
      </c>
      <c r="JV9" s="126">
        <v>1.6897726122411681E-13</v>
      </c>
      <c r="JW9" s="126">
        <v>3.4024136700785228E-7</v>
      </c>
      <c r="JX9" s="126">
        <v>7.3433274639599711E-7</v>
      </c>
      <c r="JY9" s="126">
        <v>7.5163497484595489E-8</v>
      </c>
      <c r="JZ9" s="126">
        <v>6.5096870750155201E-7</v>
      </c>
      <c r="KA9" s="126">
        <v>6.6340966945972239E-8</v>
      </c>
      <c r="KB9" s="126">
        <v>9.8532602547623223E-8</v>
      </c>
      <c r="KC9" s="126">
        <v>1.8153762174351861E-7</v>
      </c>
      <c r="KD9" s="126">
        <v>6.5585733527822243E-4</v>
      </c>
      <c r="KE9" s="126">
        <v>5.8909114175045633E-5</v>
      </c>
      <c r="KF9" s="126">
        <v>2.2479389141760121E-4</v>
      </c>
      <c r="KG9" s="126">
        <v>1.16980891398314E-4</v>
      </c>
      <c r="KH9" s="126">
        <v>1.989815426017149E-7</v>
      </c>
      <c r="KI9" s="126">
        <v>7.3354980153785032E-7</v>
      </c>
      <c r="KJ9" s="126">
        <v>7.5838233899267092E-8</v>
      </c>
      <c r="KK9" s="126">
        <v>6.3877908649376078E-7</v>
      </c>
      <c r="KL9" s="126">
        <v>4.3365596479445533E-8</v>
      </c>
      <c r="KM9" s="126">
        <v>2.911260257548497E-8</v>
      </c>
      <c r="KN9" s="126">
        <v>1.144372541969753E-7</v>
      </c>
      <c r="KO9" s="126">
        <v>1.7474854565223641E-4</v>
      </c>
      <c r="KP9" s="126">
        <v>3.3134131430727207E-5</v>
      </c>
      <c r="KQ9" s="126">
        <v>1.2643799601065131E-4</v>
      </c>
      <c r="KR9" s="127">
        <v>6.5797292740777535E-5</v>
      </c>
    </row>
    <row r="10" spans="2:304" x14ac:dyDescent="0.25">
      <c r="B10" s="5">
        <v>600</v>
      </c>
      <c r="C10" s="126">
        <v>9.6113155283697047E-6</v>
      </c>
      <c r="D10" s="126">
        <v>1.8081244050296041E-7</v>
      </c>
      <c r="E10" s="126">
        <v>9.9532967685988372E-6</v>
      </c>
      <c r="F10" s="126">
        <v>1.9494641133673269E-7</v>
      </c>
      <c r="G10" s="126">
        <v>3.4257495775759253E-7</v>
      </c>
      <c r="H10" s="126">
        <v>5.6015137248278712E-7</v>
      </c>
      <c r="I10" s="126">
        <v>9.3670373203944197E-4</v>
      </c>
      <c r="J10" s="126">
        <v>4.5012581007636068E-5</v>
      </c>
      <c r="K10" s="126">
        <v>2.0718822358280071E-4</v>
      </c>
      <c r="L10" s="126">
        <v>9.1192210524105666E-5</v>
      </c>
      <c r="M10" s="126">
        <v>3.4371527563037771E-4</v>
      </c>
      <c r="N10" s="126">
        <v>3.4232130731948131E-3</v>
      </c>
      <c r="O10" s="126">
        <v>3.5871640826856643E-5</v>
      </c>
      <c r="P10" s="126">
        <v>2.1672533698258618E-3</v>
      </c>
      <c r="Q10" s="126">
        <v>1.5311758213019859E-3</v>
      </c>
      <c r="R10" s="126">
        <v>6.5137306752205719E-5</v>
      </c>
      <c r="S10" s="126">
        <v>2.0707182587750009E-4</v>
      </c>
      <c r="T10" s="126">
        <v>0.1548227233466723</v>
      </c>
      <c r="U10" s="126">
        <v>0.39458896518856751</v>
      </c>
      <c r="V10" s="126">
        <v>1.816251921411169</v>
      </c>
      <c r="W10" s="126">
        <v>0.79940850265530206</v>
      </c>
      <c r="X10" s="126">
        <v>7.7859920394767424E-6</v>
      </c>
      <c r="Y10" s="126">
        <v>6.2825631350798324E-5</v>
      </c>
      <c r="Z10" s="126">
        <v>7.7695595973605612E-7</v>
      </c>
      <c r="AA10" s="126">
        <v>2.998133175584329E-5</v>
      </c>
      <c r="AB10" s="126">
        <v>3.5797564996371143E-5</v>
      </c>
      <c r="AC10" s="126">
        <v>1.447465882078477E-6</v>
      </c>
      <c r="AD10" s="126">
        <v>4.2264418090126558E-6</v>
      </c>
      <c r="AE10" s="126">
        <v>2.690606030438609E-3</v>
      </c>
      <c r="AF10" s="126">
        <v>9.3218222672164838E-3</v>
      </c>
      <c r="AG10" s="126">
        <v>4.2907377290174388E-2</v>
      </c>
      <c r="AH10" s="126">
        <v>1.8885332936498168E-2</v>
      </c>
      <c r="AI10" s="126">
        <v>1.3270115091369299E-8</v>
      </c>
      <c r="AJ10" s="126">
        <v>8.9793457914174938E-8</v>
      </c>
      <c r="AK10" s="126">
        <v>8.6924356202762756E-9</v>
      </c>
      <c r="AL10" s="126">
        <v>1.003993577510022E-7</v>
      </c>
      <c r="AM10" s="126">
        <v>4.5282259808924299E-9</v>
      </c>
      <c r="AN10" s="126">
        <v>2.156446493996154E-9</v>
      </c>
      <c r="AO10" s="126">
        <v>8.4735630924544932E-9</v>
      </c>
      <c r="AP10" s="126">
        <v>5.1111595947732039E-6</v>
      </c>
      <c r="AQ10" s="126">
        <v>4.502768366111124E-7</v>
      </c>
      <c r="AR10" s="126">
        <v>2.0725773952422998E-6</v>
      </c>
      <c r="AS10" s="126">
        <v>9.1222807400009001E-7</v>
      </c>
      <c r="AT10" s="126">
        <v>1.274778414177652E-5</v>
      </c>
      <c r="AU10" s="126">
        <v>4.7097551939412694E-6</v>
      </c>
      <c r="AV10" s="126">
        <v>4.6370716718380748E-7</v>
      </c>
      <c r="AW10" s="126">
        <v>5.5423072392766096E-6</v>
      </c>
      <c r="AX10" s="126">
        <v>1.6036115962381021E-7</v>
      </c>
      <c r="AY10" s="126">
        <v>4.2080604848778878E-7</v>
      </c>
      <c r="AZ10" s="126">
        <v>2.084188010919481E-7</v>
      </c>
      <c r="BA10" s="126">
        <v>1.443510322213066E-4</v>
      </c>
      <c r="BB10" s="126">
        <v>2.8641686091860451E-5</v>
      </c>
      <c r="BC10" s="126">
        <v>1.318346988541287E-4</v>
      </c>
      <c r="BD10" s="126">
        <v>5.802596983743716E-5</v>
      </c>
      <c r="BE10" s="126">
        <v>1.870323432116426E-10</v>
      </c>
      <c r="BF10" s="126">
        <v>1.2067731784218869E-7</v>
      </c>
      <c r="BG10" s="126">
        <v>1.1803584499302849E-12</v>
      </c>
      <c r="BH10" s="126">
        <v>4.3576144916738742E-7</v>
      </c>
      <c r="BI10" s="126">
        <v>1.2055353922644519E-13</v>
      </c>
      <c r="BJ10" s="126">
        <v>8.292235461814732E-9</v>
      </c>
      <c r="BK10" s="126">
        <v>1.2431726873015789E-11</v>
      </c>
      <c r="BL10" s="126">
        <v>1.316920187446397E-12</v>
      </c>
      <c r="BM10" s="126">
        <v>4.7875962192747372E-13</v>
      </c>
      <c r="BN10" s="126">
        <v>5.2956311274839782E-8</v>
      </c>
      <c r="BO10" s="126">
        <v>2.1392080691520149E-13</v>
      </c>
      <c r="BP10" s="126">
        <v>1.420133734594844E-13</v>
      </c>
      <c r="BQ10" s="126">
        <v>3.0654312335708642E-5</v>
      </c>
      <c r="BR10" s="126">
        <v>1.818157052326749E-4</v>
      </c>
      <c r="BS10" s="126">
        <v>2.984990339999933E-6</v>
      </c>
      <c r="BT10" s="126">
        <v>1.044849255968646E-4</v>
      </c>
      <c r="BU10" s="126">
        <v>8.2552511932599073E-5</v>
      </c>
      <c r="BV10" s="126">
        <v>5.2342100207958621E-6</v>
      </c>
      <c r="BW10" s="126">
        <v>1.5388067581524048E-5</v>
      </c>
      <c r="BX10" s="126">
        <v>8.0343676434683764E-3</v>
      </c>
      <c r="BY10" s="126">
        <v>1.412981532175034E-2</v>
      </c>
      <c r="BZ10" s="126">
        <v>8.1048877006097221E-5</v>
      </c>
      <c r="CA10" s="126">
        <v>2.2428278288492601E-2</v>
      </c>
      <c r="CB10" s="126">
        <v>1.7515164153199059E-3</v>
      </c>
      <c r="CC10" s="126">
        <v>9.7460539552843392E-4</v>
      </c>
      <c r="CD10" s="126">
        <v>6.5037258210818086E-2</v>
      </c>
      <c r="CE10" s="126">
        <v>1.0739121087884861E-4</v>
      </c>
      <c r="CF10" s="126">
        <v>0.10323374319177479</v>
      </c>
      <c r="CG10" s="126">
        <v>8.0620658894306786E-3</v>
      </c>
      <c r="CH10" s="126">
        <v>2.3917902499396991E-3</v>
      </c>
      <c r="CI10" s="126">
        <v>3.4011679393724289E-3</v>
      </c>
      <c r="CJ10" s="126">
        <v>1.565522188887156E-2</v>
      </c>
      <c r="CK10" s="126">
        <v>6.8905185130902109E-3</v>
      </c>
      <c r="CL10" s="126">
        <v>2.6997186298118243E-4</v>
      </c>
      <c r="CM10" s="126">
        <v>4.5437486577862743E-2</v>
      </c>
      <c r="CN10" s="126">
        <v>1.468723521487724E-5</v>
      </c>
      <c r="CO10" s="126">
        <v>7.0559963100037126E-5</v>
      </c>
      <c r="CP10" s="126">
        <v>1.434131770897876E-5</v>
      </c>
      <c r="CQ10" s="126">
        <v>7.3010944578813625E-5</v>
      </c>
      <c r="CR10" s="126">
        <v>3.8228769397329272E-6</v>
      </c>
      <c r="CS10" s="126">
        <v>3.2124219349003059E-6</v>
      </c>
      <c r="CT10" s="126">
        <v>6.909627114252834E-6</v>
      </c>
      <c r="CU10" s="126">
        <v>4.6690148806224664E-3</v>
      </c>
      <c r="CV10" s="126">
        <v>7.4185528416644757E-4</v>
      </c>
      <c r="CW10" s="126">
        <v>3.4146826296382639E-3</v>
      </c>
      <c r="CX10" s="126">
        <v>1.502944770944157E-3</v>
      </c>
      <c r="CY10" s="126">
        <v>2.4244279183705442E-6</v>
      </c>
      <c r="CZ10" s="126">
        <v>1.524330046046208E-3</v>
      </c>
      <c r="DA10" s="126">
        <v>5.0325102144720822E-8</v>
      </c>
      <c r="DB10" s="126">
        <v>9.2082347756556172E-4</v>
      </c>
      <c r="DC10" s="126">
        <v>1.852905136715517E-7</v>
      </c>
      <c r="DD10" s="126">
        <v>4.5025244103677301E-10</v>
      </c>
      <c r="DE10" s="126">
        <v>5.9194215077693871E-5</v>
      </c>
      <c r="DF10" s="126">
        <v>1.7336761965770319E-8</v>
      </c>
      <c r="DG10" s="126">
        <v>1.8365213498402139E-9</v>
      </c>
      <c r="DH10" s="126">
        <v>1.44771517861461E-7</v>
      </c>
      <c r="DI10" s="126">
        <v>2.244727666025215E-6</v>
      </c>
      <c r="DJ10" s="126">
        <v>1.4919065235666119E-8</v>
      </c>
      <c r="DK10" s="126">
        <v>1.6833775678839509E-8</v>
      </c>
      <c r="DL10" s="126">
        <v>1.235570677043544E-6</v>
      </c>
      <c r="DM10" s="126">
        <v>4.6362107025793448E-5</v>
      </c>
      <c r="DN10" s="126">
        <v>2.4832370400472198E-7</v>
      </c>
      <c r="DO10" s="126">
        <v>5.1458919800341613E-5</v>
      </c>
      <c r="DP10" s="126">
        <v>2.7560015137005981E-6</v>
      </c>
      <c r="DQ10" s="126">
        <v>3.2430575157827248E-7</v>
      </c>
      <c r="DR10" s="126">
        <v>1.9784765456454659E-6</v>
      </c>
      <c r="DS10" s="126">
        <v>2.460037894484133E-3</v>
      </c>
      <c r="DT10" s="126">
        <v>1.78020887133377E-3</v>
      </c>
      <c r="DU10" s="126">
        <v>8.1941160760236262E-3</v>
      </c>
      <c r="DV10" s="126">
        <v>3.606573507615785E-3</v>
      </c>
      <c r="DW10" s="126">
        <v>6.3575588241406842E-6</v>
      </c>
      <c r="DX10" s="126">
        <v>3.2689888947154952E-6</v>
      </c>
      <c r="DY10" s="126">
        <v>1.050294042439115E-5</v>
      </c>
      <c r="DZ10" s="126">
        <v>2.7567275487071241E-6</v>
      </c>
      <c r="EA10" s="126">
        <v>5.7771124128428724E-7</v>
      </c>
      <c r="EB10" s="126">
        <v>1.497397768331293E-5</v>
      </c>
      <c r="EC10" s="126">
        <v>3.2265067516143909E-7</v>
      </c>
      <c r="ED10" s="126">
        <v>3.7954851756050282E-4</v>
      </c>
      <c r="EE10" s="126">
        <v>1.2363299453419519E-4</v>
      </c>
      <c r="EF10" s="126">
        <v>5.6906980093890988E-4</v>
      </c>
      <c r="EG10" s="126">
        <v>2.5047144182590452E-4</v>
      </c>
      <c r="EH10" s="126">
        <v>3.2192331179946741E-8</v>
      </c>
      <c r="EI10" s="126">
        <v>1.9547962815406611E-7</v>
      </c>
      <c r="EJ10" s="126">
        <v>7.7276341591354371E-9</v>
      </c>
      <c r="EK10" s="126">
        <v>9.1338262167860057E-8</v>
      </c>
      <c r="EL10" s="126">
        <v>1.8994221789816711E-8</v>
      </c>
      <c r="EM10" s="126">
        <v>5.90616600988157E-9</v>
      </c>
      <c r="EN10" s="126">
        <v>1.5295948176708771E-8</v>
      </c>
      <c r="EO10" s="126">
        <v>7.1265699657757711E-6</v>
      </c>
      <c r="EP10" s="126">
        <v>5.4945144762400123E-5</v>
      </c>
      <c r="EQ10" s="126">
        <v>1.3484150829370191E-4</v>
      </c>
      <c r="ER10" s="126">
        <v>5.0554846568621901E-6</v>
      </c>
      <c r="ES10" s="126">
        <v>2.326986948888115E-5</v>
      </c>
      <c r="ET10" s="126">
        <v>1.0242043686669601E-5</v>
      </c>
      <c r="EU10" s="126">
        <v>4.8061142270669963E-11</v>
      </c>
      <c r="EV10" s="126">
        <v>7.0996705557664223E-5</v>
      </c>
      <c r="EW10" s="126">
        <v>1.8737740356843599E-10</v>
      </c>
      <c r="EX10" s="126">
        <v>1.100733063586543E-5</v>
      </c>
      <c r="EY10" s="126">
        <v>4.298475136052422E-6</v>
      </c>
      <c r="EZ10" s="126">
        <v>4.700033973886124E-7</v>
      </c>
      <c r="FA10" s="126">
        <v>4.9592870698385293E-6</v>
      </c>
      <c r="FB10" s="126">
        <v>1.5887180393706439E-7</v>
      </c>
      <c r="FC10" s="126">
        <v>4.3035900846184752E-7</v>
      </c>
      <c r="FD10" s="126">
        <v>2.0359903551300179E-7</v>
      </c>
      <c r="FE10" s="126">
        <v>1.3761148965609171E-4</v>
      </c>
      <c r="FF10" s="126">
        <v>2.1775756625976679E-5</v>
      </c>
      <c r="FG10" s="126">
        <v>1.002315404162702E-4</v>
      </c>
      <c r="FH10" s="126">
        <v>4.4116096835702003E-5</v>
      </c>
      <c r="FI10" s="126">
        <v>7.5260640739359823E-10</v>
      </c>
      <c r="FJ10" s="126">
        <v>7.4291126229786136E-7</v>
      </c>
      <c r="FK10" s="126">
        <v>3.0847177074086348E-11</v>
      </c>
      <c r="FL10" s="126">
        <v>1.6493125014819459E-5</v>
      </c>
      <c r="FM10" s="126">
        <v>1.076221259274079E-12</v>
      </c>
      <c r="FN10" s="126">
        <v>2.1842737890742642E-9</v>
      </c>
      <c r="FO10" s="126">
        <v>9.1335136209911903E-12</v>
      </c>
      <c r="FP10" s="126">
        <v>9.6753319894021003E-13</v>
      </c>
      <c r="FQ10" s="126">
        <v>7.7559916082320115E-12</v>
      </c>
      <c r="FR10" s="126">
        <v>7.8972606624702868E-8</v>
      </c>
      <c r="FS10" s="126">
        <v>1.651689152500996E-12</v>
      </c>
      <c r="FT10" s="126">
        <v>2.105614982230992E-12</v>
      </c>
      <c r="FU10" s="126">
        <v>3.5773978151506639E-9</v>
      </c>
      <c r="FV10" s="126">
        <v>2.8857718105249931E-8</v>
      </c>
      <c r="FW10" s="126">
        <v>4.9866902915753972E-10</v>
      </c>
      <c r="FX10" s="126">
        <v>9.5992755095373087E-9</v>
      </c>
      <c r="FY10" s="126">
        <v>2.2186256706509691E-8</v>
      </c>
      <c r="FZ10" s="126">
        <v>4.7079251632206656E-10</v>
      </c>
      <c r="GA10" s="126">
        <v>2.8067356778501749E-9</v>
      </c>
      <c r="GB10" s="126">
        <v>3.304925425263781E-6</v>
      </c>
      <c r="GC10" s="126">
        <v>9.8106710329863681E-6</v>
      </c>
      <c r="GD10" s="126">
        <v>4.5157497259152069E-5</v>
      </c>
      <c r="GE10" s="126">
        <v>1.987570492949662E-5</v>
      </c>
      <c r="GF10" s="126">
        <v>2.3516614787223392E-12</v>
      </c>
      <c r="GG10" s="126">
        <v>2.0151147746104149E-11</v>
      </c>
      <c r="GH10" s="126">
        <v>1.87816711316819E-13</v>
      </c>
      <c r="GI10" s="126">
        <v>1.0991516812814221E-11</v>
      </c>
      <c r="GJ10" s="126">
        <v>1.3138697224818349E-11</v>
      </c>
      <c r="GK10" s="126">
        <v>2.7897915912650802E-13</v>
      </c>
      <c r="GL10" s="126">
        <v>1.7254675281291809E-12</v>
      </c>
      <c r="GM10" s="126">
        <v>1.097010737315627E-9</v>
      </c>
      <c r="GN10" s="126">
        <v>4.7610999751782909E-9</v>
      </c>
      <c r="GO10" s="126">
        <v>2.191484745098183E-8</v>
      </c>
      <c r="GP10" s="126">
        <v>9.6456417637797304E-9</v>
      </c>
      <c r="GQ10" s="126">
        <v>1.045373208872949E-7</v>
      </c>
      <c r="GR10" s="126">
        <v>2.3045755867565851E-7</v>
      </c>
      <c r="GS10" s="126">
        <v>1.5088181624431171E-7</v>
      </c>
      <c r="GT10" s="126">
        <v>1.5411234112623011E-7</v>
      </c>
      <c r="GU10" s="126">
        <v>3.5720266267325997E-8</v>
      </c>
      <c r="GV10" s="126">
        <v>2.921793258237995E-8</v>
      </c>
      <c r="GW10" s="126">
        <v>4.6958450235695997E-8</v>
      </c>
      <c r="GX10" s="126">
        <v>1.156783785788829E-5</v>
      </c>
      <c r="GY10" s="126">
        <v>1.030435578674631E-5</v>
      </c>
      <c r="GZ10" s="126">
        <v>4.7429876777315731E-5</v>
      </c>
      <c r="HA10" s="126">
        <v>2.087587428192235E-5</v>
      </c>
      <c r="HB10" s="126">
        <v>7.6322576123776693E-7</v>
      </c>
      <c r="HC10" s="126">
        <v>4.0152378464488757E-5</v>
      </c>
      <c r="HD10" s="126">
        <v>9.5652334428388674E-7</v>
      </c>
      <c r="HE10" s="126">
        <v>2.42333485667986E-6</v>
      </c>
      <c r="HF10" s="126">
        <v>5.5467641463061092E-8</v>
      </c>
      <c r="HG10" s="126">
        <v>1.055156937972714E-7</v>
      </c>
      <c r="HH10" s="126">
        <v>3.6020040315341693E-7</v>
      </c>
      <c r="HI10" s="126">
        <v>7.4635373445468705E-8</v>
      </c>
      <c r="HJ10" s="126">
        <v>2.2329555213720391E-7</v>
      </c>
      <c r="HK10" s="126">
        <v>1.008211001172452E-6</v>
      </c>
      <c r="HL10" s="126">
        <v>8.0534447147577695E-8</v>
      </c>
      <c r="HM10" s="126">
        <v>2.0831365066367351E-8</v>
      </c>
      <c r="HN10" s="126">
        <v>5.3183263587529139E-8</v>
      </c>
      <c r="HO10" s="126">
        <v>3.3291856437105611E-5</v>
      </c>
      <c r="HP10" s="126">
        <v>2.3999972802350151E-5</v>
      </c>
      <c r="HQ10" s="126">
        <v>1.104693758865085E-4</v>
      </c>
      <c r="HR10" s="126">
        <v>4.8622196803010327E-5</v>
      </c>
      <c r="HS10" s="126">
        <v>5.3636094958815138E-7</v>
      </c>
      <c r="HT10" s="126">
        <v>1.368096863346882E-8</v>
      </c>
      <c r="HU10" s="126">
        <v>2.2317861903554279E-9</v>
      </c>
      <c r="HV10" s="126">
        <v>5.3405983060044313E-8</v>
      </c>
      <c r="HW10" s="126">
        <v>6.289154108178019E-6</v>
      </c>
      <c r="HX10" s="126">
        <v>6.87181161430062E-9</v>
      </c>
      <c r="HY10" s="126">
        <v>4.5599061306183171E-7</v>
      </c>
      <c r="HZ10" s="126">
        <v>1.2508990213398541E-5</v>
      </c>
      <c r="IA10" s="126">
        <v>1.825108112022217E-4</v>
      </c>
      <c r="IB10" s="126">
        <v>3.3436815807165112E-8</v>
      </c>
      <c r="IC10" s="126">
        <v>9.8243305000557765E-7</v>
      </c>
      <c r="ID10" s="126">
        <v>1.0990801881290431E-8</v>
      </c>
      <c r="IE10" s="126">
        <v>3.0867004972428832E-11</v>
      </c>
      <c r="IF10" s="126">
        <v>1.958812869373623E-8</v>
      </c>
      <c r="IG10" s="126">
        <v>1.673839832479721E-7</v>
      </c>
      <c r="IH10" s="126">
        <v>7.511202486585E-7</v>
      </c>
      <c r="II10" s="126">
        <v>7.0041699700864623E-7</v>
      </c>
      <c r="IJ10" s="126">
        <v>4.6760083189949142E-7</v>
      </c>
      <c r="IK10" s="126">
        <v>9.0924948336151946E-8</v>
      </c>
      <c r="IL10" s="126">
        <v>2.8953203707449769E-8</v>
      </c>
      <c r="IM10" s="126">
        <v>7.5200509494289761E-8</v>
      </c>
      <c r="IN10" s="126">
        <v>3.2292649578087122E-5</v>
      </c>
      <c r="IO10" s="126">
        <v>7.9098408912452626E-5</v>
      </c>
      <c r="IP10" s="126">
        <v>5.9808198873679996E-6</v>
      </c>
      <c r="IQ10" s="126">
        <v>1.9411631014003359E-4</v>
      </c>
      <c r="IR10" s="126">
        <v>2.7529008562675261E-5</v>
      </c>
      <c r="IS10" s="126">
        <v>3.375635564975452E-5</v>
      </c>
      <c r="IT10" s="126">
        <v>1.553769902800155E-4</v>
      </c>
      <c r="IU10" s="126">
        <v>6.8387917822725679E-5</v>
      </c>
      <c r="IV10" s="126">
        <v>2.7525364244863279E-8</v>
      </c>
      <c r="IW10" s="126">
        <v>1.0220605427324411E-4</v>
      </c>
      <c r="IX10" s="126">
        <v>1.21166742833993E-5</v>
      </c>
      <c r="IY10" s="126">
        <v>3.8069307834492908E-10</v>
      </c>
      <c r="IZ10" s="126">
        <v>1.7700404227662101E-9</v>
      </c>
      <c r="JA10" s="126">
        <v>1.3529793060928041E-8</v>
      </c>
      <c r="JB10" s="126">
        <v>2.1470506904117468E-9</v>
      </c>
      <c r="JC10" s="126">
        <v>5.3428231816778842E-9</v>
      </c>
      <c r="JD10" s="126">
        <v>7.3242166500344936E-10</v>
      </c>
      <c r="JE10" s="126">
        <v>8.1596529659013919E-10</v>
      </c>
      <c r="JF10" s="126">
        <v>1.6415413732850419E-9</v>
      </c>
      <c r="JG10" s="126">
        <v>4.050132449674253E-7</v>
      </c>
      <c r="JH10" s="126">
        <v>4.3403079423253701E-7</v>
      </c>
      <c r="JI10" s="126">
        <v>1.9977985537424768E-6</v>
      </c>
      <c r="JJ10" s="126">
        <v>8.7931477545986045E-7</v>
      </c>
      <c r="JK10" s="126">
        <v>2.7640866583210929E-10</v>
      </c>
      <c r="JL10" s="126">
        <v>2.7566382226347512E-7</v>
      </c>
      <c r="JM10" s="126">
        <v>3.5429985729652542E-12</v>
      </c>
      <c r="JN10" s="126">
        <v>2.167269958708718E-6</v>
      </c>
      <c r="JO10" s="126">
        <v>1.186033278377606E-13</v>
      </c>
      <c r="JP10" s="126">
        <v>2.652573518194818E-8</v>
      </c>
      <c r="JQ10" s="126">
        <v>9.3026527621206584E-11</v>
      </c>
      <c r="JR10" s="126">
        <v>9.854504804020658E-12</v>
      </c>
      <c r="JS10" s="126">
        <v>5.1541459569206493E-13</v>
      </c>
      <c r="JT10" s="126">
        <v>3.0392049900223292E-8</v>
      </c>
      <c r="JU10" s="126">
        <v>2.458935475404456E-13</v>
      </c>
      <c r="JV10" s="126">
        <v>1.36701961640191E-13</v>
      </c>
      <c r="JW10" s="126">
        <v>3.3314719160861712E-7</v>
      </c>
      <c r="JX10" s="126">
        <v>7.190317399367285E-7</v>
      </c>
      <c r="JY10" s="126">
        <v>7.3597133952493843E-8</v>
      </c>
      <c r="JZ10" s="126">
        <v>6.3739918376758457E-7</v>
      </c>
      <c r="KA10" s="126">
        <v>6.4958081232520981E-8</v>
      </c>
      <c r="KB10" s="126">
        <v>9.6478534829829818E-8</v>
      </c>
      <c r="KC10" s="126">
        <v>1.7775374673068831E-7</v>
      </c>
      <c r="KD10" s="126">
        <v>5.465477793985188E-4</v>
      </c>
      <c r="KE10" s="126">
        <v>4.7671824756737797E-5</v>
      </c>
      <c r="KF10" s="126">
        <v>2.1942844567441079E-4</v>
      </c>
      <c r="KG10" s="126">
        <v>9.6579644667503446E-5</v>
      </c>
      <c r="KH10" s="126">
        <v>1.9483269386870829E-7</v>
      </c>
      <c r="KI10" s="126">
        <v>7.1826510899674838E-7</v>
      </c>
      <c r="KJ10" s="126">
        <v>7.4257809253072928E-8</v>
      </c>
      <c r="KK10" s="126">
        <v>6.2546365692694338E-7</v>
      </c>
      <c r="KL10" s="126">
        <v>4.2461635223114189E-8</v>
      </c>
      <c r="KM10" s="126">
        <v>2.850570439574441E-8</v>
      </c>
      <c r="KN10" s="126">
        <v>1.120519840665524E-7</v>
      </c>
      <c r="KO10" s="126">
        <v>1.456237880435303E-4</v>
      </c>
      <c r="KP10" s="126">
        <v>2.6813584436845299E-5</v>
      </c>
      <c r="KQ10" s="126">
        <v>1.2342013728150719E-4</v>
      </c>
      <c r="KR10" s="127">
        <v>5.4322369038466601E-5</v>
      </c>
    </row>
    <row r="11" spans="2:304" x14ac:dyDescent="0.25">
      <c r="B11" s="5">
        <v>700</v>
      </c>
      <c r="C11" s="126">
        <v>9.4714844628591604E-6</v>
      </c>
      <c r="D11" s="126">
        <v>1.7818154579981199E-7</v>
      </c>
      <c r="E11" s="126">
        <v>9.8084354018027907E-6</v>
      </c>
      <c r="F11" s="126">
        <v>1.9210914000294539E-7</v>
      </c>
      <c r="G11" s="126">
        <v>3.375887611713131E-7</v>
      </c>
      <c r="H11" s="126">
        <v>5.5199946735579189E-7</v>
      </c>
      <c r="I11" s="126">
        <v>8.0288891317666447E-4</v>
      </c>
      <c r="J11" s="126">
        <v>3.7848502518812973E-5</v>
      </c>
      <c r="K11" s="126">
        <v>2.040129773428029E-4</v>
      </c>
      <c r="L11" s="126">
        <v>7.7666038385073262E-5</v>
      </c>
      <c r="M11" s="126">
        <v>3.387116253939531E-4</v>
      </c>
      <c r="N11" s="126">
        <v>3.373410158070285E-3</v>
      </c>
      <c r="O11" s="126">
        <v>3.5349693832600623E-5</v>
      </c>
      <c r="P11" s="126">
        <v>2.1357109278947839E-3</v>
      </c>
      <c r="Q11" s="126">
        <v>1.5088909213903669E-3</v>
      </c>
      <c r="R11" s="126">
        <v>6.4189229815428858E-5</v>
      </c>
      <c r="S11" s="126">
        <v>2.040583013876019E-4</v>
      </c>
      <c r="T11" s="126">
        <v>0.13270519144000489</v>
      </c>
      <c r="U11" s="126">
        <v>0.33178727165860039</v>
      </c>
      <c r="V11" s="126">
        <v>1.7884171005674789</v>
      </c>
      <c r="W11" s="126">
        <v>0.68083546934273143</v>
      </c>
      <c r="X11" s="126">
        <v>7.6726471180510736E-6</v>
      </c>
      <c r="Y11" s="126">
        <v>6.1911607152214461E-5</v>
      </c>
      <c r="Z11" s="126">
        <v>7.6565093385750939E-7</v>
      </c>
      <c r="AA11" s="126">
        <v>2.95449801833453E-5</v>
      </c>
      <c r="AB11" s="126">
        <v>3.5276563330902399E-5</v>
      </c>
      <c r="AC11" s="126">
        <v>1.426397939788654E-6</v>
      </c>
      <c r="AD11" s="126">
        <v>4.1649342338385987E-6</v>
      </c>
      <c r="AE11" s="126">
        <v>2.3062337403759511E-3</v>
      </c>
      <c r="AF11" s="126">
        <v>7.8381866949779437E-3</v>
      </c>
      <c r="AG11" s="126">
        <v>4.224980377536338E-2</v>
      </c>
      <c r="AH11" s="126">
        <v>1.6084147805291289E-2</v>
      </c>
      <c r="AI11" s="126">
        <v>1.3076934807506341E-8</v>
      </c>
      <c r="AJ11" s="126">
        <v>8.8487089929589049E-8</v>
      </c>
      <c r="AK11" s="126">
        <v>8.5659571392202757E-9</v>
      </c>
      <c r="AL11" s="126">
        <v>9.8938134547536634E-8</v>
      </c>
      <c r="AM11" s="126">
        <v>4.462321686063913E-9</v>
      </c>
      <c r="AN11" s="126">
        <v>2.1250593014901972E-9</v>
      </c>
      <c r="AO11" s="126">
        <v>8.3502469928953156E-9</v>
      </c>
      <c r="AP11" s="126">
        <v>4.380993938377032E-6</v>
      </c>
      <c r="AQ11" s="126">
        <v>3.7861201475533509E-7</v>
      </c>
      <c r="AR11" s="126">
        <v>2.0408142792333561E-6</v>
      </c>
      <c r="AS11" s="126">
        <v>7.7692096949995809E-7</v>
      </c>
      <c r="AT11" s="126">
        <v>1.256220771367653E-5</v>
      </c>
      <c r="AU11" s="126">
        <v>4.6412349081262076E-6</v>
      </c>
      <c r="AV11" s="126">
        <v>4.5696003890788651E-7</v>
      </c>
      <c r="AW11" s="126">
        <v>5.461643895205713E-6</v>
      </c>
      <c r="AX11" s="126">
        <v>1.5802724581573479E-7</v>
      </c>
      <c r="AY11" s="126">
        <v>4.1468119424803369E-7</v>
      </c>
      <c r="AZ11" s="126">
        <v>2.0538567401836261E-7</v>
      </c>
      <c r="BA11" s="126">
        <v>1.237294561896913E-4</v>
      </c>
      <c r="BB11" s="126">
        <v>2.4083154174316959E-5</v>
      </c>
      <c r="BC11" s="126">
        <v>1.2981427691798281E-4</v>
      </c>
      <c r="BD11" s="126">
        <v>4.9419212176397629E-5</v>
      </c>
      <c r="BE11" s="126">
        <v>1.5723395486761729E-10</v>
      </c>
      <c r="BF11" s="126">
        <v>1.014507534533418E-7</v>
      </c>
      <c r="BG11" s="126">
        <v>9.9230124554914998E-13</v>
      </c>
      <c r="BH11" s="126">
        <v>3.7336366153352921E-7</v>
      </c>
      <c r="BI11" s="126">
        <v>1.0134671833652331E-13</v>
      </c>
      <c r="BJ11" s="126">
        <v>6.971099015434149E-9</v>
      </c>
      <c r="BK11" s="126">
        <v>1.045108075598655E-11</v>
      </c>
      <c r="BL11" s="126">
        <v>1.1071054435435681E-12</v>
      </c>
      <c r="BM11" s="126">
        <v>4.0248262628911541E-13</v>
      </c>
      <c r="BN11" s="126">
        <v>4.5373362688833373E-8</v>
      </c>
      <c r="BO11" s="126">
        <v>1.7983852971460181E-13</v>
      </c>
      <c r="BP11" s="126">
        <v>1.193875279674415E-13</v>
      </c>
      <c r="BQ11" s="126">
        <v>3.0208060836165322E-5</v>
      </c>
      <c r="BR11" s="126">
        <v>1.7917054352570641E-4</v>
      </c>
      <c r="BS11" s="126">
        <v>2.9415575139587052E-6</v>
      </c>
      <c r="BT11" s="126">
        <v>1.0296424059334931E-4</v>
      </c>
      <c r="BU11" s="126">
        <v>8.1351033669765476E-5</v>
      </c>
      <c r="BV11" s="126">
        <v>5.158025817757795E-6</v>
      </c>
      <c r="BW11" s="126">
        <v>1.5164124424058649E-5</v>
      </c>
      <c r="BX11" s="126">
        <v>6.8866008372586076E-3</v>
      </c>
      <c r="BY11" s="126">
        <v>1.188094877670358E-2</v>
      </c>
      <c r="BZ11" s="126">
        <v>6.920282010900289E-5</v>
      </c>
      <c r="CA11" s="126">
        <v>1.885864885191044E-2</v>
      </c>
      <c r="CB11" s="126">
        <v>1.4727500586759041E-3</v>
      </c>
      <c r="CC11" s="126">
        <v>8.4439016410596296E-4</v>
      </c>
      <c r="CD11" s="126">
        <v>6.4040532626845892E-2</v>
      </c>
      <c r="CE11" s="126">
        <v>1.031793254014836E-4</v>
      </c>
      <c r="CF11" s="126">
        <v>0.1016516390902316</v>
      </c>
      <c r="CG11" s="126">
        <v>7.9385111191408158E-3</v>
      </c>
      <c r="CH11" s="126">
        <v>2.378215625787646E-3</v>
      </c>
      <c r="CI11" s="126">
        <v>2.8598474124024421E-3</v>
      </c>
      <c r="CJ11" s="126">
        <v>1.541529906131228E-2</v>
      </c>
      <c r="CK11" s="126">
        <v>5.8684757421168E-3</v>
      </c>
      <c r="CL11" s="126">
        <v>2.281040950596213E-4</v>
      </c>
      <c r="CM11" s="126">
        <v>3.8697928116216321E-2</v>
      </c>
      <c r="CN11" s="126">
        <v>1.4473425142512659E-5</v>
      </c>
      <c r="CO11" s="126">
        <v>6.953341529879805E-5</v>
      </c>
      <c r="CP11" s="126">
        <v>1.4132645691214021E-5</v>
      </c>
      <c r="CQ11" s="126">
        <v>7.1948335327964746E-5</v>
      </c>
      <c r="CR11" s="126">
        <v>3.7672383717832688E-6</v>
      </c>
      <c r="CS11" s="126">
        <v>3.165664964132982E-6</v>
      </c>
      <c r="CT11" s="126">
        <v>6.8090710369756449E-6</v>
      </c>
      <c r="CU11" s="126">
        <v>4.0020127548192558E-3</v>
      </c>
      <c r="CV11" s="126">
        <v>6.237836392142289E-4</v>
      </c>
      <c r="CW11" s="126">
        <v>3.3623511892067019E-3</v>
      </c>
      <c r="CX11" s="126">
        <v>1.2800190454856711E-3</v>
      </c>
      <c r="CY11" s="126">
        <v>2.0381629366932719E-6</v>
      </c>
      <c r="CZ11" s="126">
        <v>1.2814705733283319E-3</v>
      </c>
      <c r="DA11" s="126">
        <v>4.2307200447071051E-8</v>
      </c>
      <c r="DB11" s="126">
        <v>7.8896842725950352E-4</v>
      </c>
      <c r="DC11" s="126">
        <v>1.557696371941777E-7</v>
      </c>
      <c r="DD11" s="126">
        <v>3.7851735929853091E-10</v>
      </c>
      <c r="DE11" s="126">
        <v>4.97632678603656E-5</v>
      </c>
      <c r="DF11" s="126">
        <v>1.457463642841662E-8</v>
      </c>
      <c r="DG11" s="126">
        <v>1.543922557322662E-9</v>
      </c>
      <c r="DH11" s="126">
        <v>1.217062134149009E-7</v>
      </c>
      <c r="DI11" s="126">
        <v>1.9232994156186838E-6</v>
      </c>
      <c r="DJ11" s="126">
        <v>1.2542130872580239E-8</v>
      </c>
      <c r="DK11" s="126">
        <v>1.41517859599924E-8</v>
      </c>
      <c r="DL11" s="126">
        <v>1.2175838025906419E-6</v>
      </c>
      <c r="DM11" s="126">
        <v>4.5687603852362588E-5</v>
      </c>
      <c r="DN11" s="126">
        <v>2.4471049290201858E-7</v>
      </c>
      <c r="DO11" s="126">
        <v>5.0709981068840782E-5</v>
      </c>
      <c r="DP11" s="126">
        <v>2.7158903670676369E-6</v>
      </c>
      <c r="DQ11" s="126">
        <v>3.1958546425191578E-7</v>
      </c>
      <c r="DR11" s="126">
        <v>1.9496836980539298E-6</v>
      </c>
      <c r="DS11" s="126">
        <v>2.1086039095578281E-3</v>
      </c>
      <c r="DT11" s="126">
        <v>1.4968757276828709E-3</v>
      </c>
      <c r="DU11" s="126">
        <v>8.0685378177105943E-3</v>
      </c>
      <c r="DV11" s="126">
        <v>3.0716250310330222E-3</v>
      </c>
      <c r="DW11" s="126">
        <v>6.2650083820483083E-6</v>
      </c>
      <c r="DX11" s="126">
        <v>3.2214297235551091E-6</v>
      </c>
      <c r="DY11" s="126">
        <v>1.0350118360526789E-5</v>
      </c>
      <c r="DZ11" s="126">
        <v>2.7166058352814882E-6</v>
      </c>
      <c r="EA11" s="126">
        <v>5.6930316886652249E-7</v>
      </c>
      <c r="EB11" s="126">
        <v>1.4756030648023819E-5</v>
      </c>
      <c r="EC11" s="126">
        <v>3.1795512709660281E-7</v>
      </c>
      <c r="ED11" s="126">
        <v>3.2532730076614532E-4</v>
      </c>
      <c r="EE11" s="126">
        <v>1.039559074437892E-4</v>
      </c>
      <c r="EF11" s="126">
        <v>5.6034856806919792E-4</v>
      </c>
      <c r="EG11" s="126">
        <v>2.1332002485095061E-4</v>
      </c>
      <c r="EH11" s="126">
        <v>3.1723689903459473E-8</v>
      </c>
      <c r="EI11" s="126">
        <v>1.9263567566809199E-7</v>
      </c>
      <c r="EJ11" s="126">
        <v>7.6151939325637214E-9</v>
      </c>
      <c r="EK11" s="126">
        <v>9.0008915137823237E-8</v>
      </c>
      <c r="EL11" s="126">
        <v>1.8717777814150199E-8</v>
      </c>
      <c r="EM11" s="126">
        <v>5.8202014519663099E-9</v>
      </c>
      <c r="EN11" s="126">
        <v>1.507334563659307E-8</v>
      </c>
      <c r="EO11" s="126">
        <v>6.1084885420935194E-6</v>
      </c>
      <c r="EP11" s="126">
        <v>4.7604025193799941E-5</v>
      </c>
      <c r="EQ11" s="126">
        <v>1.3407621426541941E-4</v>
      </c>
      <c r="ER11" s="126">
        <v>4.2508676349087608E-6</v>
      </c>
      <c r="ES11" s="126">
        <v>2.291324899992619E-5</v>
      </c>
      <c r="ET11" s="126">
        <v>8.7228827280177335E-6</v>
      </c>
      <c r="EU11" s="126">
        <v>4.1179145355669903E-11</v>
      </c>
      <c r="EV11" s="126">
        <v>6.0926719603683342E-5</v>
      </c>
      <c r="EW11" s="126">
        <v>1.6054635768866189E-10</v>
      </c>
      <c r="EX11" s="126">
        <v>1.0847090936196751E-5</v>
      </c>
      <c r="EY11" s="126">
        <v>4.2359383941703524E-6</v>
      </c>
      <c r="EZ11" s="126">
        <v>4.6316465639705329E-7</v>
      </c>
      <c r="FA11" s="126">
        <v>4.8871090649048023E-6</v>
      </c>
      <c r="FB11" s="126">
        <v>1.565595663741009E-7</v>
      </c>
      <c r="FC11" s="126">
        <v>4.240951103856039E-7</v>
      </c>
      <c r="FD11" s="126">
        <v>2.0063605067893229E-7</v>
      </c>
      <c r="FE11" s="126">
        <v>1.179527054195072E-4</v>
      </c>
      <c r="FF11" s="126">
        <v>1.8309987142650632E-5</v>
      </c>
      <c r="FG11" s="126">
        <v>9.8695450109917603E-5</v>
      </c>
      <c r="FH11" s="126">
        <v>3.7572534436321517E-5</v>
      </c>
      <c r="FI11" s="126">
        <v>6.3269956340812371E-10</v>
      </c>
      <c r="FJ11" s="126">
        <v>6.2454907564031344E-7</v>
      </c>
      <c r="FK11" s="126">
        <v>2.5932539589223049E-11</v>
      </c>
      <c r="FL11" s="126">
        <v>1.4131432593289839E-5</v>
      </c>
      <c r="FM11" s="126">
        <v>9.0475562585143974E-13</v>
      </c>
      <c r="FN11" s="126">
        <v>1.8362706812382139E-9</v>
      </c>
      <c r="FO11" s="126">
        <v>7.6783450452146073E-12</v>
      </c>
      <c r="FP11" s="126">
        <v>8.1338359117486636E-13</v>
      </c>
      <c r="FQ11" s="126">
        <v>6.520290619726597E-12</v>
      </c>
      <c r="FR11" s="126">
        <v>6.766431869222086E-8</v>
      </c>
      <c r="FS11" s="126">
        <v>1.3885388383425559E-12</v>
      </c>
      <c r="FT11" s="126">
        <v>1.770144328354294E-12</v>
      </c>
      <c r="FU11" s="126">
        <v>3.525319689176385E-9</v>
      </c>
      <c r="FV11" s="126">
        <v>2.8437879066676151E-8</v>
      </c>
      <c r="FW11" s="126">
        <v>4.914131915404748E-10</v>
      </c>
      <c r="FX11" s="126">
        <v>9.4595666067594462E-9</v>
      </c>
      <c r="FY11" s="126">
        <v>2.186335550650404E-8</v>
      </c>
      <c r="FZ11" s="126">
        <v>4.6394010640542572E-10</v>
      </c>
      <c r="GA11" s="126">
        <v>2.765889142277168E-9</v>
      </c>
      <c r="GB11" s="126">
        <v>2.8327932216546689E-6</v>
      </c>
      <c r="GC11" s="126">
        <v>8.249231636822567E-6</v>
      </c>
      <c r="GD11" s="126">
        <v>4.4465439714083492E-5</v>
      </c>
      <c r="GE11" s="126">
        <v>1.6927621922012989E-5</v>
      </c>
      <c r="GF11" s="126">
        <v>2.3174270633550879E-12</v>
      </c>
      <c r="GG11" s="126">
        <v>1.9857977008728919E-11</v>
      </c>
      <c r="GH11" s="126">
        <v>1.8508390161859441E-13</v>
      </c>
      <c r="GI11" s="126">
        <v>1.083154507825394E-11</v>
      </c>
      <c r="GJ11" s="126">
        <v>1.294747519234453E-11</v>
      </c>
      <c r="GK11" s="126">
        <v>2.7491860274496418E-13</v>
      </c>
      <c r="GL11" s="126">
        <v>1.700356730798318E-12</v>
      </c>
      <c r="GM11" s="126">
        <v>9.4029491769910827E-10</v>
      </c>
      <c r="GN11" s="126">
        <v>4.0033364088205958E-9</v>
      </c>
      <c r="GO11" s="126">
        <v>2.1578993241869191E-8</v>
      </c>
      <c r="GP11" s="126">
        <v>8.2149426926804899E-9</v>
      </c>
      <c r="GQ11" s="126">
        <v>1.030155142424968E-7</v>
      </c>
      <c r="GR11" s="126">
        <v>2.2710472670489889E-7</v>
      </c>
      <c r="GS11" s="126">
        <v>1.4868642432296841E-7</v>
      </c>
      <c r="GT11" s="126">
        <v>1.5186937330413959E-7</v>
      </c>
      <c r="GU11" s="126">
        <v>3.5200389615990913E-8</v>
      </c>
      <c r="GV11" s="126">
        <v>2.8792664031946411E-8</v>
      </c>
      <c r="GW11" s="126">
        <v>4.6275062048079128E-8</v>
      </c>
      <c r="GX11" s="126">
        <v>9.9152895924756735E-6</v>
      </c>
      <c r="GY11" s="126">
        <v>8.6643428841205839E-6</v>
      </c>
      <c r="GZ11" s="126">
        <v>4.6702994065082129E-5</v>
      </c>
      <c r="HA11" s="126">
        <v>1.7779440195422831E-5</v>
      </c>
      <c r="HB11" s="126">
        <v>6.539375278307072E-7</v>
      </c>
      <c r="HC11" s="126">
        <v>3.4457270727018859E-5</v>
      </c>
      <c r="HD11" s="126">
        <v>8.1010526789921296E-7</v>
      </c>
      <c r="HE11" s="126">
        <v>2.0638913613802409E-6</v>
      </c>
      <c r="HF11" s="126">
        <v>4.7525089135001437E-8</v>
      </c>
      <c r="HG11" s="126">
        <v>1.0397964444582231E-7</v>
      </c>
      <c r="HH11" s="126">
        <v>3.5495999604976889E-7</v>
      </c>
      <c r="HI11" s="126">
        <v>7.3549398342655102E-8</v>
      </c>
      <c r="HJ11" s="126">
        <v>2.2004568431610931E-7</v>
      </c>
      <c r="HK11" s="126">
        <v>9.9353738829381031E-7</v>
      </c>
      <c r="HL11" s="126">
        <v>7.9362340019739635E-8</v>
      </c>
      <c r="HM11" s="126">
        <v>2.052816344865027E-8</v>
      </c>
      <c r="HN11" s="126">
        <v>5.2409285444464192E-8</v>
      </c>
      <c r="HO11" s="126">
        <v>2.853587694609053E-5</v>
      </c>
      <c r="HP11" s="126">
        <v>2.0180203194904451E-5</v>
      </c>
      <c r="HQ11" s="126">
        <v>1.087763864667775E-4</v>
      </c>
      <c r="HR11" s="126">
        <v>4.1410262801678272E-5</v>
      </c>
      <c r="HS11" s="126">
        <v>4.5090678912611749E-7</v>
      </c>
      <c r="HT11" s="126">
        <v>1.150128777924348E-8</v>
      </c>
      <c r="HU11" s="126">
        <v>1.912211062688541E-9</v>
      </c>
      <c r="HV11" s="126">
        <v>4.4897228899736993E-8</v>
      </c>
      <c r="HW11" s="126">
        <v>5.3138197095615126E-6</v>
      </c>
      <c r="HX11" s="126">
        <v>5.7769814192514468E-9</v>
      </c>
      <c r="HY11" s="126">
        <v>3.8334122666927842E-7</v>
      </c>
      <c r="HZ11" s="126">
        <v>1.051603398186702E-5</v>
      </c>
      <c r="IA11" s="126">
        <v>1.566239578500857E-4</v>
      </c>
      <c r="IB11" s="126">
        <v>2.810959151728943E-8</v>
      </c>
      <c r="IC11" s="126">
        <v>8.3671271407326584E-7</v>
      </c>
      <c r="ID11" s="126">
        <v>9.2397240778071363E-9</v>
      </c>
      <c r="IE11" s="126">
        <v>2.6447080206612709E-11</v>
      </c>
      <c r="IF11" s="126">
        <v>1.6467310099191672E-8</v>
      </c>
      <c r="IG11" s="126">
        <v>1.6494728355280631E-7</v>
      </c>
      <c r="IH11" s="126">
        <v>7.4019250995442292E-7</v>
      </c>
      <c r="II11" s="126">
        <v>6.9022564423281255E-7</v>
      </c>
      <c r="IJ11" s="126">
        <v>4.6079531838987418E-7</v>
      </c>
      <c r="IK11" s="126">
        <v>8.9601616720702781E-8</v>
      </c>
      <c r="IL11" s="126">
        <v>2.8531788299759371E-8</v>
      </c>
      <c r="IM11" s="126">
        <v>7.4106113498825182E-8</v>
      </c>
      <c r="IN11" s="126">
        <v>2.767941392407468E-5</v>
      </c>
      <c r="IO11" s="126">
        <v>6.8530216217295556E-5</v>
      </c>
      <c r="IP11" s="126">
        <v>5.0289285703813092E-6</v>
      </c>
      <c r="IQ11" s="126">
        <v>1.9301460151320009E-4</v>
      </c>
      <c r="IR11" s="126">
        <v>2.7107113542905871E-5</v>
      </c>
      <c r="IS11" s="126">
        <v>2.8383787004325311E-5</v>
      </c>
      <c r="IT11" s="126">
        <v>1.529957728747144E-4</v>
      </c>
      <c r="IU11" s="126">
        <v>5.8244214282874898E-5</v>
      </c>
      <c r="IV11" s="126">
        <v>2.3583937494109511E-8</v>
      </c>
      <c r="IW11" s="126">
        <v>8.770941639604801E-5</v>
      </c>
      <c r="IX11" s="126">
        <v>1.031945680690121E-5</v>
      </c>
      <c r="IY11" s="126">
        <v>3.261806704629689E-10</v>
      </c>
      <c r="IZ11" s="126">
        <v>1.744272981491999E-9</v>
      </c>
      <c r="JA11" s="126">
        <v>1.3332953681941629E-8</v>
      </c>
      <c r="JB11" s="126">
        <v>2.1158102277915729E-9</v>
      </c>
      <c r="JC11" s="126">
        <v>5.2650631503394019E-9</v>
      </c>
      <c r="JD11" s="126">
        <v>7.2176192020430262E-10</v>
      </c>
      <c r="JE11" s="126">
        <v>8.0408887864350376E-10</v>
      </c>
      <c r="JF11" s="126">
        <v>1.6176519566122861E-9</v>
      </c>
      <c r="JG11" s="126">
        <v>3.4715420997207878E-7</v>
      </c>
      <c r="JH11" s="126">
        <v>3.6495164776189522E-7</v>
      </c>
      <c r="JI11" s="126">
        <v>1.967181454776383E-6</v>
      </c>
      <c r="JJ11" s="126">
        <v>7.4888956755111383E-7</v>
      </c>
      <c r="JK11" s="126">
        <v>2.323706528088816E-10</v>
      </c>
      <c r="JL11" s="126">
        <v>2.3174448163514489E-7</v>
      </c>
      <c r="JM11" s="126">
        <v>2.978520547838607E-12</v>
      </c>
      <c r="JN11" s="126">
        <v>1.8569330739587309E-6</v>
      </c>
      <c r="JO11" s="126">
        <v>9.9707218363532533E-14</v>
      </c>
      <c r="JP11" s="126">
        <v>2.2299599096294609E-8</v>
      </c>
      <c r="JQ11" s="126">
        <v>7.8205366201259875E-11</v>
      </c>
      <c r="JR11" s="126">
        <v>8.2844625027069698E-12</v>
      </c>
      <c r="JS11" s="126">
        <v>4.3329765210089152E-13</v>
      </c>
      <c r="JT11" s="126">
        <v>2.6040135156376139E-8</v>
      </c>
      <c r="JU11" s="126">
        <v>2.067173113904278E-13</v>
      </c>
      <c r="JV11" s="126">
        <v>1.1492234055814869E-13</v>
      </c>
      <c r="JW11" s="126">
        <v>3.2829738671996502E-7</v>
      </c>
      <c r="JX11" s="126">
        <v>7.0857084371139066E-7</v>
      </c>
      <c r="JY11" s="126">
        <v>7.2526265657458893E-8</v>
      </c>
      <c r="JZ11" s="126">
        <v>6.2812240652463551E-7</v>
      </c>
      <c r="KA11" s="126">
        <v>6.4012674233155865E-8</v>
      </c>
      <c r="KB11" s="126">
        <v>9.5074284664649515E-8</v>
      </c>
      <c r="KC11" s="126">
        <v>1.7516688940872221E-7</v>
      </c>
      <c r="KD11" s="126">
        <v>4.6846952519873032E-4</v>
      </c>
      <c r="KE11" s="126">
        <v>4.008450835280281E-5</v>
      </c>
      <c r="KF11" s="126">
        <v>2.160656129080119E-4</v>
      </c>
      <c r="KG11" s="126">
        <v>8.2254376189074441E-5</v>
      </c>
      <c r="KH11" s="126">
        <v>1.9199640836189911E-7</v>
      </c>
      <c r="KI11" s="126">
        <v>7.0781536616876535E-7</v>
      </c>
      <c r="KJ11" s="126">
        <v>7.3177327863142735E-8</v>
      </c>
      <c r="KK11" s="126">
        <v>6.1636059064346448E-7</v>
      </c>
      <c r="KL11" s="126">
        <v>4.1843643952702037E-8</v>
      </c>
      <c r="KM11" s="126">
        <v>2.8090802364148381E-8</v>
      </c>
      <c r="KN11" s="126">
        <v>1.104212871009207E-7</v>
      </c>
      <c r="KO11" s="126">
        <v>1.2482038975159741E-4</v>
      </c>
      <c r="KP11" s="126">
        <v>2.2546008146570862E-5</v>
      </c>
      <c r="KQ11" s="126">
        <v>1.215286720231718E-4</v>
      </c>
      <c r="KR11" s="127">
        <v>4.6264951520112732E-5</v>
      </c>
    </row>
    <row r="12" spans="2:304" x14ac:dyDescent="0.25">
      <c r="B12" s="5">
        <v>800</v>
      </c>
      <c r="C12" s="126">
        <v>9.3322038889658809E-6</v>
      </c>
      <c r="D12" s="126">
        <v>1.7556100817301309E-7</v>
      </c>
      <c r="E12" s="126">
        <v>9.6641442769850032E-6</v>
      </c>
      <c r="F12" s="126">
        <v>1.8928303749390419E-7</v>
      </c>
      <c r="G12" s="126">
        <v>3.3262219227072161E-7</v>
      </c>
      <c r="H12" s="126">
        <v>5.4387965251221012E-7</v>
      </c>
      <c r="I12" s="126">
        <v>7.0252779902958142E-4</v>
      </c>
      <c r="J12" s="126">
        <v>3.2477667050176909E-5</v>
      </c>
      <c r="K12" s="126">
        <v>2.0085011919259609E-4</v>
      </c>
      <c r="L12" s="126">
        <v>6.7522811774879164E-5</v>
      </c>
      <c r="M12" s="126">
        <v>3.3372767072092148E-4</v>
      </c>
      <c r="N12" s="126">
        <v>3.323803308728359E-3</v>
      </c>
      <c r="O12" s="126">
        <v>3.4829801593657819E-5</v>
      </c>
      <c r="P12" s="126">
        <v>2.1042926517429181E-3</v>
      </c>
      <c r="Q12" s="126">
        <v>1.4866937452500471E-3</v>
      </c>
      <c r="R12" s="126">
        <v>6.3244884892783593E-5</v>
      </c>
      <c r="S12" s="126">
        <v>2.0105663975104239E-4</v>
      </c>
      <c r="T12" s="126">
        <v>0.11611704251000431</v>
      </c>
      <c r="U12" s="126">
        <v>0.28470549224658109</v>
      </c>
      <c r="V12" s="126">
        <v>1.760690876107774</v>
      </c>
      <c r="W12" s="126">
        <v>0.59191798889186242</v>
      </c>
      <c r="X12" s="126">
        <v>7.5597483493298767E-6</v>
      </c>
      <c r="Y12" s="126">
        <v>6.1001181314677608E-5</v>
      </c>
      <c r="Z12" s="126">
        <v>7.5439041261687777E-7</v>
      </c>
      <c r="AA12" s="126">
        <v>2.9110346294377591E-5</v>
      </c>
      <c r="AB12" s="126">
        <v>3.4757612571254612E-5</v>
      </c>
      <c r="AC12" s="126">
        <v>1.405412929437474E-6</v>
      </c>
      <c r="AD12" s="126">
        <v>4.1036687855647753E-6</v>
      </c>
      <c r="AE12" s="126">
        <v>2.017954522828957E-3</v>
      </c>
      <c r="AF12" s="126">
        <v>6.7259204675293458E-3</v>
      </c>
      <c r="AG12" s="126">
        <v>4.15947957559911E-2</v>
      </c>
      <c r="AH12" s="126">
        <v>1.398354940458439E-2</v>
      </c>
      <c r="AI12" s="126">
        <v>1.2884514927418089E-8</v>
      </c>
      <c r="AJ12" s="126">
        <v>8.7185864898194234E-8</v>
      </c>
      <c r="AK12" s="126">
        <v>8.4399765675953474E-9</v>
      </c>
      <c r="AL12" s="126">
        <v>9.7482663400873055E-8</v>
      </c>
      <c r="AM12" s="126">
        <v>4.3966768213118221E-9</v>
      </c>
      <c r="AN12" s="126">
        <v>2.093795661663816E-9</v>
      </c>
      <c r="AO12" s="126">
        <v>8.2274163318345837E-9</v>
      </c>
      <c r="AP12" s="126">
        <v>3.8333696960799021E-6</v>
      </c>
      <c r="AQ12" s="126">
        <v>3.2488563980327549E-7</v>
      </c>
      <c r="AR12" s="126">
        <v>2.009175085686928E-6</v>
      </c>
      <c r="AS12" s="126">
        <v>6.7545467077131914E-7</v>
      </c>
      <c r="AT12" s="126">
        <v>1.237736175875735E-5</v>
      </c>
      <c r="AU12" s="126">
        <v>4.5729843752649416E-6</v>
      </c>
      <c r="AV12" s="126">
        <v>4.5023947213691999E-7</v>
      </c>
      <c r="AW12" s="126">
        <v>5.3812980797203413E-6</v>
      </c>
      <c r="AX12" s="126">
        <v>1.5570251938215729E-7</v>
      </c>
      <c r="AY12" s="126">
        <v>4.0858044991085091E-7</v>
      </c>
      <c r="AZ12" s="126">
        <v>2.023644869644294E-7</v>
      </c>
      <c r="BA12" s="126">
        <v>1.0826327416597989E-4</v>
      </c>
      <c r="BB12" s="126">
        <v>2.066566999322527E-5</v>
      </c>
      <c r="BC12" s="126">
        <v>1.278017375731285E-4</v>
      </c>
      <c r="BD12" s="126">
        <v>4.2965036343234418E-5</v>
      </c>
      <c r="BE12" s="126">
        <v>1.3489451515450189E-10</v>
      </c>
      <c r="BF12" s="126">
        <v>8.7036863977495496E-8</v>
      </c>
      <c r="BG12" s="126">
        <v>8.5131735973190657E-13</v>
      </c>
      <c r="BH12" s="126">
        <v>3.2656582418734218E-7</v>
      </c>
      <c r="BI12" s="126">
        <v>8.6947630218498235E-14</v>
      </c>
      <c r="BJ12" s="126">
        <v>5.9806612890864217E-9</v>
      </c>
      <c r="BK12" s="126">
        <v>8.9662177399402737E-12</v>
      </c>
      <c r="BL12" s="126">
        <v>9.4981023191613434E-13</v>
      </c>
      <c r="BM12" s="126">
        <v>3.4529881735811062E-13</v>
      </c>
      <c r="BN12" s="126">
        <v>3.9686212422950077E-8</v>
      </c>
      <c r="BO12" s="126">
        <v>1.542875176427672E-13</v>
      </c>
      <c r="BP12" s="126">
        <v>1.024252443759573E-13</v>
      </c>
      <c r="BQ12" s="126">
        <v>2.9763565889195261E-5</v>
      </c>
      <c r="BR12" s="126">
        <v>1.765357953798494E-4</v>
      </c>
      <c r="BS12" s="126">
        <v>2.8982956704713751E-6</v>
      </c>
      <c r="BT12" s="126">
        <v>1.014495417160449E-4</v>
      </c>
      <c r="BU12" s="126">
        <v>8.0154284986367653E-5</v>
      </c>
      <c r="BV12" s="126">
        <v>5.0821415065442344E-6</v>
      </c>
      <c r="BW12" s="126">
        <v>1.494106282731796E-5</v>
      </c>
      <c r="BX12" s="126">
        <v>6.0257757326012814E-3</v>
      </c>
      <c r="BY12" s="126">
        <v>1.019499682429189E-2</v>
      </c>
      <c r="BZ12" s="126">
        <v>6.0319024808829012E-5</v>
      </c>
      <c r="CA12" s="126">
        <v>1.6182534641733162E-2</v>
      </c>
      <c r="CB12" s="126">
        <v>1.263761806814519E-3</v>
      </c>
      <c r="CC12" s="126">
        <v>7.4670684955480831E-4</v>
      </c>
      <c r="CD12" s="126">
        <v>6.3047695728801492E-2</v>
      </c>
      <c r="CE12" s="126">
        <v>9.8984085188844449E-5</v>
      </c>
      <c r="CF12" s="126">
        <v>0.1000757075060341</v>
      </c>
      <c r="CG12" s="126">
        <v>7.8154383928131128E-3</v>
      </c>
      <c r="CH12" s="126">
        <v>2.3647125743799392E-3</v>
      </c>
      <c r="CI12" s="126">
        <v>2.4540250179818598E-3</v>
      </c>
      <c r="CJ12" s="126">
        <v>1.517631228258387E-2</v>
      </c>
      <c r="CK12" s="126">
        <v>5.1020496368790443E-3</v>
      </c>
      <c r="CL12" s="126">
        <v>1.96712987688911E-4</v>
      </c>
      <c r="CM12" s="126">
        <v>3.3643958076556638E-2</v>
      </c>
      <c r="CN12" s="126">
        <v>1.426045667770163E-5</v>
      </c>
      <c r="CO12" s="126">
        <v>6.8510908845289832E-5</v>
      </c>
      <c r="CP12" s="126">
        <v>1.3924795155212651E-5</v>
      </c>
      <c r="CQ12" s="126">
        <v>7.0889909003279839E-5</v>
      </c>
      <c r="CR12" s="126">
        <v>3.711818823215774E-6</v>
      </c>
      <c r="CS12" s="126">
        <v>3.1190920477064881E-6</v>
      </c>
      <c r="CT12" s="126">
        <v>6.7089108025067928E-6</v>
      </c>
      <c r="CU12" s="126">
        <v>3.5017611604668489E-3</v>
      </c>
      <c r="CV12" s="126">
        <v>5.3526654946724629E-4</v>
      </c>
      <c r="CW12" s="126">
        <v>3.3102239176911702E-3</v>
      </c>
      <c r="CX12" s="126">
        <v>1.1128478659882389E-3</v>
      </c>
      <c r="CY12" s="126">
        <v>1.7485854208945969E-6</v>
      </c>
      <c r="CZ12" s="126">
        <v>1.099402184659352E-3</v>
      </c>
      <c r="DA12" s="126">
        <v>3.6296290409589243E-8</v>
      </c>
      <c r="DB12" s="126">
        <v>6.9007820323899725E-4</v>
      </c>
      <c r="DC12" s="126">
        <v>1.336382442905803E-7</v>
      </c>
      <c r="DD12" s="126">
        <v>3.247385601405367E-10</v>
      </c>
      <c r="DE12" s="126">
        <v>4.2693017134313641E-5</v>
      </c>
      <c r="DF12" s="126">
        <v>1.2503909093113989E-8</v>
      </c>
      <c r="DG12" s="126">
        <v>1.324565289406854E-9</v>
      </c>
      <c r="DH12" s="126">
        <v>1.044144736004363E-7</v>
      </c>
      <c r="DI12" s="126">
        <v>1.6822308208592101E-6</v>
      </c>
      <c r="DJ12" s="126">
        <v>1.076017603876129E-8</v>
      </c>
      <c r="DK12" s="126">
        <v>1.214113534291254E-8</v>
      </c>
      <c r="DL12" s="126">
        <v>1.1996677287751329E-6</v>
      </c>
      <c r="DM12" s="126">
        <v>4.5015756085592893E-5</v>
      </c>
      <c r="DN12" s="126">
        <v>2.4111150597302012E-7</v>
      </c>
      <c r="DO12" s="126">
        <v>4.9963990509881001E-5</v>
      </c>
      <c r="DP12" s="126">
        <v>2.6759371166364869E-6</v>
      </c>
      <c r="DQ12" s="126">
        <v>3.148837578848924E-7</v>
      </c>
      <c r="DR12" s="126">
        <v>1.9210041945979168E-6</v>
      </c>
      <c r="DS12" s="126">
        <v>1.845028420863099E-3</v>
      </c>
      <c r="DT12" s="126">
        <v>1.2844638034228951E-3</v>
      </c>
      <c r="DU12" s="126">
        <v>7.9434494976959435E-3</v>
      </c>
      <c r="DV12" s="126">
        <v>2.670469141030779E-3</v>
      </c>
      <c r="DW12" s="126">
        <v>6.1728222406190784E-6</v>
      </c>
      <c r="DX12" s="126">
        <v>3.174057784931015E-6</v>
      </c>
      <c r="DY12" s="126">
        <v>1.01978979132081E-5</v>
      </c>
      <c r="DZ12" s="126">
        <v>2.6766420596534928E-6</v>
      </c>
      <c r="EA12" s="126">
        <v>5.609281945476843E-7</v>
      </c>
      <c r="EB12" s="126">
        <v>1.453894154038181E-5</v>
      </c>
      <c r="EC12" s="126">
        <v>3.1327806323464112E-7</v>
      </c>
      <c r="ED12" s="126">
        <v>2.8466138817037721E-4</v>
      </c>
      <c r="EE12" s="126">
        <v>8.9204198981986007E-5</v>
      </c>
      <c r="EF12" s="126">
        <v>5.5166136072308666E-4</v>
      </c>
      <c r="EG12" s="126">
        <v>1.8546031425482879E-4</v>
      </c>
      <c r="EH12" s="126">
        <v>3.1256893311059498E-8</v>
      </c>
      <c r="EI12" s="126">
        <v>1.8980291934941961E-7</v>
      </c>
      <c r="EJ12" s="126">
        <v>7.5031963508496501E-9</v>
      </c>
      <c r="EK12" s="126">
        <v>8.8684801038394279E-8</v>
      </c>
      <c r="EL12" s="126">
        <v>1.8442422051048908E-8</v>
      </c>
      <c r="EM12" s="126">
        <v>5.7345752853065567E-9</v>
      </c>
      <c r="EN12" s="126">
        <v>1.4851619379811089E-8</v>
      </c>
      <c r="EO12" s="126">
        <v>5.3449274743318283E-6</v>
      </c>
      <c r="EP12" s="126">
        <v>4.2096951373452239E-5</v>
      </c>
      <c r="EQ12" s="126">
        <v>1.333149552802604E-4</v>
      </c>
      <c r="ER12" s="126">
        <v>3.647654584281543E-6</v>
      </c>
      <c r="ES12" s="126">
        <v>2.255801985082474E-5</v>
      </c>
      <c r="ET12" s="126">
        <v>7.5836695269303866E-6</v>
      </c>
      <c r="EU12" s="126">
        <v>3.6017703188281663E-11</v>
      </c>
      <c r="EV12" s="126">
        <v>5.337405408481497E-5</v>
      </c>
      <c r="EW12" s="126">
        <v>1.4042328973186761E-10</v>
      </c>
      <c r="EX12" s="126">
        <v>1.0687481978289331E-5</v>
      </c>
      <c r="EY12" s="126">
        <v>4.1736478490261204E-6</v>
      </c>
      <c r="EZ12" s="126">
        <v>4.5635283756338163E-7</v>
      </c>
      <c r="FA12" s="126">
        <v>4.8152151862997894E-6</v>
      </c>
      <c r="FB12" s="126">
        <v>1.5425643085781351E-7</v>
      </c>
      <c r="FC12" s="126">
        <v>4.1785586954468851E-7</v>
      </c>
      <c r="FD12" s="126">
        <v>1.9768472974693161E-7</v>
      </c>
      <c r="FE12" s="126">
        <v>1.032086172420688E-4</v>
      </c>
      <c r="FF12" s="126">
        <v>1.5711735644400799E-5</v>
      </c>
      <c r="FG12" s="126">
        <v>9.7165352795353297E-5</v>
      </c>
      <c r="FH12" s="126">
        <v>3.2665541121980198E-5</v>
      </c>
      <c r="FI12" s="126">
        <v>5.4280706044862983E-10</v>
      </c>
      <c r="FJ12" s="126">
        <v>5.3581458090182324E-7</v>
      </c>
      <c r="FK12" s="126">
        <v>2.2248103822567469E-11</v>
      </c>
      <c r="FL12" s="126">
        <v>1.236018232953059E-5</v>
      </c>
      <c r="FM12" s="126">
        <v>7.7621021070878774E-13</v>
      </c>
      <c r="FN12" s="126">
        <v>1.575377563172052E-9</v>
      </c>
      <c r="FO12" s="126">
        <v>6.5874252783234688E-12</v>
      </c>
      <c r="FP12" s="126">
        <v>6.9781976222409883E-13</v>
      </c>
      <c r="FQ12" s="126">
        <v>5.5939026749579327E-12</v>
      </c>
      <c r="FR12" s="126">
        <v>5.9183193969763793E-8</v>
      </c>
      <c r="FS12" s="126">
        <v>1.1912586855465699E-12</v>
      </c>
      <c r="FT12" s="126">
        <v>1.5186466166034379E-12</v>
      </c>
      <c r="FU12" s="126">
        <v>3.4734465551545892E-9</v>
      </c>
      <c r="FV12" s="126">
        <v>2.8019692864476681E-8</v>
      </c>
      <c r="FW12" s="126">
        <v>4.8418591807084171E-10</v>
      </c>
      <c r="FX12" s="126">
        <v>9.3204076634556827E-9</v>
      </c>
      <c r="FY12" s="126">
        <v>2.154172539639037E-8</v>
      </c>
      <c r="FZ12" s="126">
        <v>4.5711467034465282E-10</v>
      </c>
      <c r="GA12" s="126">
        <v>2.725203400639145E-9</v>
      </c>
      <c r="GB12" s="126">
        <v>2.4786940689478351E-6</v>
      </c>
      <c r="GC12" s="126">
        <v>7.0786366881315573E-6</v>
      </c>
      <c r="GD12" s="126">
        <v>4.3776082202448789E-5</v>
      </c>
      <c r="GE12" s="126">
        <v>1.471686534556237E-5</v>
      </c>
      <c r="GF12" s="126">
        <v>2.2833274028300481E-12</v>
      </c>
      <c r="GG12" s="126">
        <v>1.9565960435721699E-11</v>
      </c>
      <c r="GH12" s="126">
        <v>1.8236185020676519E-13</v>
      </c>
      <c r="GI12" s="126">
        <v>1.0672203067134759E-11</v>
      </c>
      <c r="GJ12" s="126">
        <v>1.275700589907575E-11</v>
      </c>
      <c r="GK12" s="126">
        <v>2.708740303550252E-13</v>
      </c>
      <c r="GL12" s="126">
        <v>1.6753447830726131E-12</v>
      </c>
      <c r="GM12" s="126">
        <v>8.2275805298671992E-10</v>
      </c>
      <c r="GN12" s="126">
        <v>3.43524890874874E-9</v>
      </c>
      <c r="GO12" s="126">
        <v>2.1244449353841799E-8</v>
      </c>
      <c r="GP12" s="126">
        <v>7.1420667348714846E-9</v>
      </c>
      <c r="GQ12" s="126">
        <v>1.014996977924223E-7</v>
      </c>
      <c r="GR12" s="126">
        <v>2.237650942752231E-7</v>
      </c>
      <c r="GS12" s="126">
        <v>1.4649967502868229E-7</v>
      </c>
      <c r="GT12" s="126">
        <v>1.4963523485068149E-7</v>
      </c>
      <c r="GU12" s="126">
        <v>3.4682559441895853E-8</v>
      </c>
      <c r="GV12" s="126">
        <v>2.8369069510463859E-8</v>
      </c>
      <c r="GW12" s="126">
        <v>4.5594364043956842E-8</v>
      </c>
      <c r="GX12" s="126">
        <v>8.6758783934162151E-6</v>
      </c>
      <c r="GY12" s="126">
        <v>7.4348421911584576E-6</v>
      </c>
      <c r="GZ12" s="126">
        <v>4.5978947255208848E-5</v>
      </c>
      <c r="HA12" s="126">
        <v>1.5457435691852999E-5</v>
      </c>
      <c r="HB12" s="126">
        <v>5.7197223443205982E-7</v>
      </c>
      <c r="HC12" s="126">
        <v>3.0185840356450628E-5</v>
      </c>
      <c r="HD12" s="126">
        <v>7.0032007653454764E-7</v>
      </c>
      <c r="HE12" s="126">
        <v>1.7943460097549389E-6</v>
      </c>
      <c r="HF12" s="126">
        <v>4.156823896359529E-8</v>
      </c>
      <c r="HG12" s="126">
        <v>1.024496413517945E-7</v>
      </c>
      <c r="HH12" s="126">
        <v>3.4974021955614379E-7</v>
      </c>
      <c r="HI12" s="126">
        <v>7.2467698411721183E-8</v>
      </c>
      <c r="HJ12" s="126">
        <v>2.1680860949218419E-7</v>
      </c>
      <c r="HK12" s="126">
        <v>9.7892153760685056E-7</v>
      </c>
      <c r="HL12" s="126">
        <v>7.8194846852836053E-8</v>
      </c>
      <c r="HM12" s="126">
        <v>2.0226155355085249E-8</v>
      </c>
      <c r="HN12" s="126">
        <v>5.163835409568594E-8</v>
      </c>
      <c r="HO12" s="126">
        <v>2.496889232782921E-5</v>
      </c>
      <c r="HP12" s="126">
        <v>1.7316561468799119E-5</v>
      </c>
      <c r="HQ12" s="126">
        <v>1.0709000217413319E-4</v>
      </c>
      <c r="HR12" s="126">
        <v>3.6002060087609603E-5</v>
      </c>
      <c r="HS12" s="126">
        <v>3.8684298661985672E-7</v>
      </c>
      <c r="HT12" s="126">
        <v>9.8672111817453376E-9</v>
      </c>
      <c r="HU12" s="126">
        <v>1.672532295034176E-9</v>
      </c>
      <c r="HV12" s="126">
        <v>3.8518333558123083E-8</v>
      </c>
      <c r="HW12" s="126">
        <v>4.5825453104419242E-6</v>
      </c>
      <c r="HX12" s="126">
        <v>4.9562023562749448E-9</v>
      </c>
      <c r="HY12" s="126">
        <v>3.2887698622210362E-7</v>
      </c>
      <c r="HZ12" s="126">
        <v>9.0219422442888428E-6</v>
      </c>
      <c r="IA12" s="126">
        <v>1.3720836525659379E-4</v>
      </c>
      <c r="IB12" s="126">
        <v>2.4115845128106242E-8</v>
      </c>
      <c r="IC12" s="126">
        <v>7.2743757152244234E-7</v>
      </c>
      <c r="ID12" s="126">
        <v>7.9269652610800034E-9</v>
      </c>
      <c r="IE12" s="126">
        <v>2.313217228893503E-11</v>
      </c>
      <c r="IF12" s="126">
        <v>1.412767554033035E-8</v>
      </c>
      <c r="IG12" s="126">
        <v>1.6252017529010431E-7</v>
      </c>
      <c r="IH12" s="126">
        <v>7.2930779193770374E-7</v>
      </c>
      <c r="II12" s="126">
        <v>6.8007441188394843E-7</v>
      </c>
      <c r="IJ12" s="126">
        <v>4.5401659455905547E-7</v>
      </c>
      <c r="IK12" s="126">
        <v>8.8283494356380923E-8</v>
      </c>
      <c r="IL12" s="126">
        <v>2.811203175349231E-8</v>
      </c>
      <c r="IM12" s="126">
        <v>7.3016025634664153E-8</v>
      </c>
      <c r="IN12" s="126">
        <v>2.421948718356534E-5</v>
      </c>
      <c r="IO12" s="126">
        <v>6.0602295036332273E-5</v>
      </c>
      <c r="IP12" s="126">
        <v>4.3153055070938087E-6</v>
      </c>
      <c r="IQ12" s="126">
        <v>1.9191870168880671E-4</v>
      </c>
      <c r="IR12" s="126">
        <v>2.6686864530069808E-5</v>
      </c>
      <c r="IS12" s="126">
        <v>2.4356027916597391E-5</v>
      </c>
      <c r="IT12" s="126">
        <v>1.5062384568906829E-4</v>
      </c>
      <c r="IU12" s="126">
        <v>5.0637488402577553E-5</v>
      </c>
      <c r="IV12" s="126">
        <v>2.0627899227560459E-8</v>
      </c>
      <c r="IW12" s="126">
        <v>7.6836684543692504E-5</v>
      </c>
      <c r="IX12" s="126">
        <v>8.9717300487746961E-6</v>
      </c>
      <c r="IY12" s="126">
        <v>2.8529680431729312E-10</v>
      </c>
      <c r="IZ12" s="126">
        <v>1.7186069670260401E-9</v>
      </c>
      <c r="JA12" s="126">
        <v>1.3136889226808401E-8</v>
      </c>
      <c r="JB12" s="126">
        <v>2.0846927498944892E-9</v>
      </c>
      <c r="JC12" s="126">
        <v>5.1876092187919167E-9</v>
      </c>
      <c r="JD12" s="126">
        <v>7.111441371379245E-10</v>
      </c>
      <c r="JE12" s="126">
        <v>7.9225921107955353E-10</v>
      </c>
      <c r="JF12" s="126">
        <v>1.5938565815334489E-9</v>
      </c>
      <c r="JG12" s="126">
        <v>3.0375993372556888E-7</v>
      </c>
      <c r="JH12" s="126">
        <v>3.1316372687486708E-7</v>
      </c>
      <c r="JI12" s="126">
        <v>1.9366838071354658E-6</v>
      </c>
      <c r="JJ12" s="126">
        <v>6.5108418507468323E-7</v>
      </c>
      <c r="JK12" s="126">
        <v>1.9935596336796631E-10</v>
      </c>
      <c r="JL12" s="126">
        <v>1.988187592405595E-7</v>
      </c>
      <c r="JM12" s="126">
        <v>2.5553391775598649E-12</v>
      </c>
      <c r="JN12" s="126">
        <v>1.6241829139647269E-6</v>
      </c>
      <c r="JO12" s="126">
        <v>8.5541066298771745E-14</v>
      </c>
      <c r="JP12" s="126">
        <v>1.9131323308144099E-8</v>
      </c>
      <c r="JQ12" s="126">
        <v>6.7094146353294565E-11</v>
      </c>
      <c r="JR12" s="126">
        <v>7.1074235041343392E-12</v>
      </c>
      <c r="JS12" s="126">
        <v>3.7173571493992728E-13</v>
      </c>
      <c r="JT12" s="126">
        <v>2.2776234206520629E-8</v>
      </c>
      <c r="JU12" s="126">
        <v>1.7734742871191539E-13</v>
      </c>
      <c r="JV12" s="126">
        <v>9.8594459708852194E-14</v>
      </c>
      <c r="JW12" s="126">
        <v>3.2346667182264218E-7</v>
      </c>
      <c r="JX12" s="126">
        <v>6.9815113029232061E-7</v>
      </c>
      <c r="JY12" s="126">
        <v>7.145961306314295E-8</v>
      </c>
      <c r="JZ12" s="126">
        <v>6.1888214700841977E-7</v>
      </c>
      <c r="KA12" s="126">
        <v>6.3070988797168878E-8</v>
      </c>
      <c r="KB12" s="126">
        <v>9.3675562195859082E-8</v>
      </c>
      <c r="KC12" s="126">
        <v>1.7259021534862171E-7</v>
      </c>
      <c r="KD12" s="126">
        <v>4.0991083454888913E-4</v>
      </c>
      <c r="KE12" s="126">
        <v>3.4396375801268943E-5</v>
      </c>
      <c r="KF12" s="126">
        <v>2.1271590009235469E-4</v>
      </c>
      <c r="KG12" s="126">
        <v>7.1511910180581769E-5</v>
      </c>
      <c r="KH12" s="126">
        <v>1.891712871528246E-7</v>
      </c>
      <c r="KI12" s="126">
        <v>6.9740676223798212E-7</v>
      </c>
      <c r="KJ12" s="126">
        <v>7.2101100017923466E-8</v>
      </c>
      <c r="KK12" s="126">
        <v>6.0729335827927368E-7</v>
      </c>
      <c r="KL12" s="126">
        <v>4.1228085384482212E-8</v>
      </c>
      <c r="KM12" s="126">
        <v>2.7677533554694009E-8</v>
      </c>
      <c r="KN12" s="126">
        <v>1.0879700943568241E-7</v>
      </c>
      <c r="KO12" s="126">
        <v>1.092178410326478E-4</v>
      </c>
      <c r="KP12" s="126">
        <v>1.9346650386787071E-5</v>
      </c>
      <c r="KQ12" s="126">
        <v>1.196445862370679E-4</v>
      </c>
      <c r="KR12" s="127">
        <v>4.0222723834294032E-5</v>
      </c>
    </row>
    <row r="13" spans="2:304" x14ac:dyDescent="0.25">
      <c r="B13" s="5">
        <v>900</v>
      </c>
      <c r="C13" s="126">
        <v>9.1934705622847012E-6</v>
      </c>
      <c r="D13" s="126">
        <v>1.729507665834441E-7</v>
      </c>
      <c r="E13" s="126">
        <v>9.5204200336505836E-6</v>
      </c>
      <c r="F13" s="126">
        <v>1.864680379905712E-7</v>
      </c>
      <c r="G13" s="126">
        <v>3.2767513538967302E-7</v>
      </c>
      <c r="H13" s="126">
        <v>5.3579173883728636E-7</v>
      </c>
      <c r="I13" s="126">
        <v>6.2446915469296124E-4</v>
      </c>
      <c r="J13" s="126">
        <v>2.8302315372090619E-5</v>
      </c>
      <c r="K13" s="126">
        <v>1.9769957613430001E-4</v>
      </c>
      <c r="L13" s="126">
        <v>5.9634874871934689E-5</v>
      </c>
      <c r="M13" s="126">
        <v>3.2876329554999348E-4</v>
      </c>
      <c r="N13" s="126">
        <v>3.2743913696258471E-3</v>
      </c>
      <c r="O13" s="126">
        <v>3.4311952000389318E-5</v>
      </c>
      <c r="P13" s="126">
        <v>2.0729978096484989E-3</v>
      </c>
      <c r="Q13" s="126">
        <v>1.4645837759157791E-3</v>
      </c>
      <c r="R13" s="126">
        <v>6.2304249991473925E-5</v>
      </c>
      <c r="S13" s="126">
        <v>1.9806677105754461E-4</v>
      </c>
      <c r="T13" s="126">
        <v>0.10321514889778161</v>
      </c>
      <c r="U13" s="126">
        <v>0.2481035542756187</v>
      </c>
      <c r="V13" s="126">
        <v>1.733072608118561</v>
      </c>
      <c r="W13" s="126">
        <v>0.52277081291727079</v>
      </c>
      <c r="X13" s="126">
        <v>7.4472931042409506E-6</v>
      </c>
      <c r="Y13" s="126">
        <v>6.0094332630705597E-5</v>
      </c>
      <c r="Z13" s="126">
        <v>7.4317413372740978E-7</v>
      </c>
      <c r="AA13" s="126">
        <v>2.8677419966453639E-5</v>
      </c>
      <c r="AB13" s="126">
        <v>3.4240700631227877E-5</v>
      </c>
      <c r="AC13" s="126">
        <v>1.3845103623062051E-6</v>
      </c>
      <c r="AD13" s="126">
        <v>4.042644037286694E-6</v>
      </c>
      <c r="AE13" s="126">
        <v>1.793737353625739E-3</v>
      </c>
      <c r="AF13" s="126">
        <v>5.861231410049135E-3</v>
      </c>
      <c r="AG13" s="126">
        <v>4.0942338114655981E-2</v>
      </c>
      <c r="AH13" s="126">
        <v>1.235000730994661E-2</v>
      </c>
      <c r="AI13" s="126">
        <v>1.269285097022524E-8</v>
      </c>
      <c r="AJ13" s="126">
        <v>8.5889752509222136E-8</v>
      </c>
      <c r="AK13" s="126">
        <v>8.3144909709871614E-9</v>
      </c>
      <c r="AL13" s="126">
        <v>9.6032910413546447E-8</v>
      </c>
      <c r="AM13" s="126">
        <v>4.3312898577879119E-9</v>
      </c>
      <c r="AN13" s="126">
        <v>2.0626548464198552E-9</v>
      </c>
      <c r="AO13" s="126">
        <v>8.1050682484816321E-9</v>
      </c>
      <c r="AP13" s="126">
        <v>3.4074397298488022E-6</v>
      </c>
      <c r="AQ13" s="126">
        <v>2.8311811385250509E-7</v>
      </c>
      <c r="AR13" s="126">
        <v>1.9776590843792949E-6</v>
      </c>
      <c r="AS13" s="126">
        <v>5.9654883607938355E-7</v>
      </c>
      <c r="AT13" s="126">
        <v>1.219324197251358E-5</v>
      </c>
      <c r="AU13" s="126">
        <v>4.5050020055278536E-6</v>
      </c>
      <c r="AV13" s="126">
        <v>4.4354531033147423E-7</v>
      </c>
      <c r="AW13" s="126">
        <v>5.3012679215917351E-6</v>
      </c>
      <c r="AX13" s="126">
        <v>1.533869261809302E-7</v>
      </c>
      <c r="AY13" s="126">
        <v>4.025036733963472E-7</v>
      </c>
      <c r="AZ13" s="126">
        <v>1.99355169565114E-7</v>
      </c>
      <c r="BA13" s="126">
        <v>9.623402148087101E-5</v>
      </c>
      <c r="BB13" s="126">
        <v>1.8008876949818519E-5</v>
      </c>
      <c r="BC13" s="126">
        <v>1.2579703437072171E-4</v>
      </c>
      <c r="BD13" s="126">
        <v>3.7945910409349163E-5</v>
      </c>
      <c r="BE13" s="126">
        <v>1.1752765926058839E-10</v>
      </c>
      <c r="BF13" s="126">
        <v>7.5831393084989058E-8</v>
      </c>
      <c r="BG13" s="126">
        <v>7.4171537956780832E-13</v>
      </c>
      <c r="BH13" s="126">
        <v>2.9016795106289118E-7</v>
      </c>
      <c r="BI13" s="126">
        <v>7.5753665955644473E-14</v>
      </c>
      <c r="BJ13" s="126">
        <v>5.2106872213106647E-9</v>
      </c>
      <c r="BK13" s="126">
        <v>7.8118735608129671E-12</v>
      </c>
      <c r="BL13" s="126">
        <v>8.2752769959237131E-13</v>
      </c>
      <c r="BM13" s="126">
        <v>3.0084367515695682E-13</v>
      </c>
      <c r="BN13" s="126">
        <v>3.5262927383386722E-8</v>
      </c>
      <c r="BO13" s="126">
        <v>1.3442396006892369E-13</v>
      </c>
      <c r="BP13" s="126">
        <v>8.923863181565473E-14</v>
      </c>
      <c r="BQ13" s="126">
        <v>2.9320817143850249E-5</v>
      </c>
      <c r="BR13" s="126">
        <v>1.73911399421215E-4</v>
      </c>
      <c r="BS13" s="126">
        <v>2.8552038018573789E-6</v>
      </c>
      <c r="BT13" s="126">
        <v>9.9940793688091089E-5</v>
      </c>
      <c r="BU13" s="126">
        <v>7.8962238010505328E-5</v>
      </c>
      <c r="BV13" s="126">
        <v>5.0065553198897072E-6</v>
      </c>
      <c r="BW13" s="126">
        <v>1.4718877596080159E-5</v>
      </c>
      <c r="BX13" s="126">
        <v>5.3562450956455834E-3</v>
      </c>
      <c r="BY13" s="126">
        <v>8.8843176393010037E-3</v>
      </c>
      <c r="BZ13" s="126">
        <v>5.3410066671426252E-5</v>
      </c>
      <c r="CA13" s="126">
        <v>1.4102091490953971E-2</v>
      </c>
      <c r="CB13" s="126">
        <v>1.1012918418048549E-3</v>
      </c>
      <c r="CC13" s="126">
        <v>6.707115955557133E-4</v>
      </c>
      <c r="CD13" s="126">
        <v>6.2058724602269813E-2</v>
      </c>
      <c r="CE13" s="126">
        <v>9.480539221038808E-5</v>
      </c>
      <c r="CF13" s="126">
        <v>9.8505912067094956E-2</v>
      </c>
      <c r="CG13" s="126">
        <v>7.6928448699622384E-3</v>
      </c>
      <c r="CH13" s="126">
        <v>2.3512806765056621E-3</v>
      </c>
      <c r="CI13" s="126">
        <v>2.1385338387334878E-3</v>
      </c>
      <c r="CJ13" s="126">
        <v>1.493825603693843E-2</v>
      </c>
      <c r="CK13" s="126">
        <v>4.5060340896360147E-3</v>
      </c>
      <c r="CL13" s="126">
        <v>1.723062701551604E-4</v>
      </c>
      <c r="CM13" s="126">
        <v>2.97137100082903E-2</v>
      </c>
      <c r="CN13" s="126">
        <v>1.4048324861050211E-5</v>
      </c>
      <c r="CO13" s="126">
        <v>6.7492419921221625E-5</v>
      </c>
      <c r="CP13" s="126">
        <v>1.371776125959645E-5</v>
      </c>
      <c r="CQ13" s="126">
        <v>6.9835640954342889E-5</v>
      </c>
      <c r="CR13" s="126">
        <v>3.6566170033265971E-6</v>
      </c>
      <c r="CS13" s="126">
        <v>3.0727021009867822E-6</v>
      </c>
      <c r="CT13" s="126">
        <v>6.6091440780617724E-6</v>
      </c>
      <c r="CU13" s="126">
        <v>3.1126765870816441E-3</v>
      </c>
      <c r="CV13" s="126">
        <v>4.664523060645832E-4</v>
      </c>
      <c r="CW13" s="126">
        <v>3.258299612008846E-3</v>
      </c>
      <c r="CX13" s="126">
        <v>9.8284626328902524E-4</v>
      </c>
      <c r="CY13" s="126">
        <v>1.5234655856804431E-6</v>
      </c>
      <c r="CZ13" s="126">
        <v>9.5786078925080777E-4</v>
      </c>
      <c r="DA13" s="126">
        <v>3.1623361734958508E-8</v>
      </c>
      <c r="DB13" s="126">
        <v>6.1316452450379372E-4</v>
      </c>
      <c r="DC13" s="126">
        <v>1.164331256207182E-7</v>
      </c>
      <c r="DD13" s="126">
        <v>2.8293049903698767E-10</v>
      </c>
      <c r="DE13" s="126">
        <v>3.7196548687168218E-5</v>
      </c>
      <c r="DF13" s="126">
        <v>1.089410938752829E-8</v>
      </c>
      <c r="DG13" s="126">
        <v>1.154035227322695E-9</v>
      </c>
      <c r="DH13" s="126">
        <v>9.0971739254340828E-8</v>
      </c>
      <c r="DI13" s="126">
        <v>1.494735316282011E-6</v>
      </c>
      <c r="DJ13" s="126">
        <v>9.3748703476975316E-9</v>
      </c>
      <c r="DK13" s="126">
        <v>1.057803975271285E-8</v>
      </c>
      <c r="DL13" s="126">
        <v>1.181822038385632E-6</v>
      </c>
      <c r="DM13" s="126">
        <v>4.4346548075445683E-5</v>
      </c>
      <c r="DN13" s="126">
        <v>2.3752665938798481E-7</v>
      </c>
      <c r="DO13" s="126">
        <v>4.9220930749576877E-5</v>
      </c>
      <c r="DP13" s="126">
        <v>2.6361408319085178E-6</v>
      </c>
      <c r="DQ13" s="126">
        <v>3.1020052297942631E-7</v>
      </c>
      <c r="DR13" s="126">
        <v>1.892437367316719E-6</v>
      </c>
      <c r="DS13" s="126">
        <v>1.6400252629894219E-3</v>
      </c>
      <c r="DT13" s="126">
        <v>1.1193322350507859E-3</v>
      </c>
      <c r="DU13" s="126">
        <v>7.8188482289762874E-3</v>
      </c>
      <c r="DV13" s="126">
        <v>2.3585080195665238E-3</v>
      </c>
      <c r="DW13" s="126">
        <v>6.080998253115483E-6</v>
      </c>
      <c r="DX13" s="126">
        <v>3.1268719753600921E-6</v>
      </c>
      <c r="DY13" s="126">
        <v>1.0046275536825971E-5</v>
      </c>
      <c r="DZ13" s="126">
        <v>2.6368352910793798E-6</v>
      </c>
      <c r="EA13" s="126">
        <v>5.5258612327725608E-7</v>
      </c>
      <c r="EB13" s="126">
        <v>1.432270530461084E-5</v>
      </c>
      <c r="EC13" s="126">
        <v>3.0861937464427822E-7</v>
      </c>
      <c r="ED13" s="126">
        <v>2.5303234504033532E-4</v>
      </c>
      <c r="EE13" s="126">
        <v>7.7736044531842111E-5</v>
      </c>
      <c r="EF13" s="126">
        <v>5.4300797840226434E-4</v>
      </c>
      <c r="EG13" s="126">
        <v>1.6379505449462149E-4</v>
      </c>
      <c r="EH13" s="126">
        <v>3.0791930532460501E-8</v>
      </c>
      <c r="EI13" s="126">
        <v>1.869812932117525E-7</v>
      </c>
      <c r="EJ13" s="126">
        <v>7.391638805278998E-9</v>
      </c>
      <c r="EK13" s="126">
        <v>8.7365889031372443E-8</v>
      </c>
      <c r="EL13" s="126">
        <v>1.816814808756375E-8</v>
      </c>
      <c r="EM13" s="126">
        <v>5.6492855157593167E-9</v>
      </c>
      <c r="EN13" s="126">
        <v>1.4630764242241769E-8</v>
      </c>
      <c r="EO13" s="126">
        <v>4.7510466438505132E-6</v>
      </c>
      <c r="EP13" s="126">
        <v>3.7812581256691667E-5</v>
      </c>
      <c r="EQ13" s="126">
        <v>1.3255770770444959E-4</v>
      </c>
      <c r="ER13" s="126">
        <v>3.1787095499590691E-6</v>
      </c>
      <c r="ES13" s="126">
        <v>2.2204173842987572E-5</v>
      </c>
      <c r="ET13" s="126">
        <v>6.6977540096582716E-6</v>
      </c>
      <c r="EU13" s="126">
        <v>3.2003297228492239E-11</v>
      </c>
      <c r="EV13" s="126">
        <v>4.7499603111705692E-5</v>
      </c>
      <c r="EW13" s="126">
        <v>1.24772205923274E-10</v>
      </c>
      <c r="EX13" s="126">
        <v>1.05285000453314E-5</v>
      </c>
      <c r="EY13" s="126">
        <v>4.1116020496222133E-6</v>
      </c>
      <c r="EZ13" s="126">
        <v>4.4956778222266582E-7</v>
      </c>
      <c r="FA13" s="126">
        <v>4.7436037596376807E-6</v>
      </c>
      <c r="FB13" s="126">
        <v>1.5196234374890031E-7</v>
      </c>
      <c r="FC13" s="126">
        <v>4.1164114063377091E-7</v>
      </c>
      <c r="FD13" s="126">
        <v>1.947450039791838E-7</v>
      </c>
      <c r="FE13" s="126">
        <v>9.1740993104061144E-5</v>
      </c>
      <c r="FF13" s="126">
        <v>1.36918238789669E-5</v>
      </c>
      <c r="FG13" s="126">
        <v>9.5641213158359901E-5</v>
      </c>
      <c r="FH13" s="126">
        <v>2.8849590327013781E-5</v>
      </c>
      <c r="FI13" s="126">
        <v>4.7292392260412168E-10</v>
      </c>
      <c r="FJ13" s="126">
        <v>4.6683168772648611E-7</v>
      </c>
      <c r="FK13" s="126">
        <v>1.9383794518904571E-11</v>
      </c>
      <c r="FL13" s="126">
        <v>1.098256007115475E-5</v>
      </c>
      <c r="FM13" s="126">
        <v>6.7627799476108055E-13</v>
      </c>
      <c r="FN13" s="126">
        <v>1.372557204023518E-9</v>
      </c>
      <c r="FO13" s="126">
        <v>5.7393356773319752E-12</v>
      </c>
      <c r="FP13" s="126">
        <v>6.0797953439439526E-13</v>
      </c>
      <c r="FQ13" s="126">
        <v>4.8737214105756547E-12</v>
      </c>
      <c r="FR13" s="126">
        <v>5.2586844242808079E-8</v>
      </c>
      <c r="FS13" s="126">
        <v>1.037891544463368E-12</v>
      </c>
      <c r="FT13" s="126">
        <v>1.323130319120582E-12</v>
      </c>
      <c r="FU13" s="126">
        <v>3.4217772051162611E-9</v>
      </c>
      <c r="FV13" s="126">
        <v>2.76031497574117E-8</v>
      </c>
      <c r="FW13" s="126">
        <v>4.7698704040669283E-10</v>
      </c>
      <c r="FX13" s="126">
        <v>9.1817954386580163E-9</v>
      </c>
      <c r="FY13" s="126">
        <v>2.1221358885504631E-8</v>
      </c>
      <c r="FZ13" s="126">
        <v>4.5031604918254981E-10</v>
      </c>
      <c r="GA13" s="126">
        <v>2.6846775053438001E-9</v>
      </c>
      <c r="GB13" s="126">
        <v>2.20328361684252E-6</v>
      </c>
      <c r="GC13" s="126">
        <v>6.1686021856936034E-6</v>
      </c>
      <c r="GD13" s="126">
        <v>4.3089408814069708E-5</v>
      </c>
      <c r="GE13" s="126">
        <v>1.2997658129459531E-5</v>
      </c>
      <c r="GF13" s="126">
        <v>2.2493617030688548E-12</v>
      </c>
      <c r="GG13" s="126">
        <v>1.9275091224841129E-11</v>
      </c>
      <c r="GH13" s="126">
        <v>1.7965049367769271E-13</v>
      </c>
      <c r="GI13" s="126">
        <v>1.051348706843138E-11</v>
      </c>
      <c r="GJ13" s="126">
        <v>1.2567284909042131E-11</v>
      </c>
      <c r="GK13" s="126">
        <v>2.6684534776287101E-13</v>
      </c>
      <c r="GL13" s="126">
        <v>1.650431102410655E-12</v>
      </c>
      <c r="GM13" s="126">
        <v>7.3134049154375093E-10</v>
      </c>
      <c r="GN13" s="126">
        <v>2.9936108971998152E-9</v>
      </c>
      <c r="GO13" s="126">
        <v>2.091120806572045E-8</v>
      </c>
      <c r="GP13" s="126">
        <v>6.3077387458489078E-9</v>
      </c>
      <c r="GQ13" s="126">
        <v>9.9989836238272735E-8</v>
      </c>
      <c r="GR13" s="126">
        <v>2.2043858359314999E-7</v>
      </c>
      <c r="GS13" s="126">
        <v>1.443215174263897E-7</v>
      </c>
      <c r="GT13" s="126">
        <v>1.474098737334744E-7</v>
      </c>
      <c r="GU13" s="126">
        <v>3.4166763684939003E-8</v>
      </c>
      <c r="GV13" s="126">
        <v>2.7947139152863239E-8</v>
      </c>
      <c r="GW13" s="126">
        <v>4.491634036951482E-8</v>
      </c>
      <c r="GX13" s="126">
        <v>7.7118919052588562E-6</v>
      </c>
      <c r="GY13" s="126">
        <v>6.4790136591644648E-6</v>
      </c>
      <c r="GZ13" s="126">
        <v>4.5257719636898328E-5</v>
      </c>
      <c r="HA13" s="126">
        <v>1.3651715903033131E-5</v>
      </c>
      <c r="HB13" s="126">
        <v>5.0822222975421626E-7</v>
      </c>
      <c r="HC13" s="126">
        <v>2.686352875212147E-5</v>
      </c>
      <c r="HD13" s="126">
        <v>6.1495666095449046E-7</v>
      </c>
      <c r="HE13" s="126">
        <v>1.5847325596042171E-6</v>
      </c>
      <c r="HF13" s="126">
        <v>3.6935189894333719E-8</v>
      </c>
      <c r="HG13" s="126">
        <v>1.0092564888602549E-7</v>
      </c>
      <c r="HH13" s="126">
        <v>3.4454095208293739E-7</v>
      </c>
      <c r="HI13" s="126">
        <v>7.1390248457069492E-8</v>
      </c>
      <c r="HJ13" s="126">
        <v>2.1358425227497461E-7</v>
      </c>
      <c r="HK13" s="126">
        <v>9.6436310871300887E-7</v>
      </c>
      <c r="HL13" s="126">
        <v>7.7031940456318465E-8</v>
      </c>
      <c r="HM13" s="126">
        <v>1.9925333752222692E-8</v>
      </c>
      <c r="HN13" s="126">
        <v>5.0870451585798093E-8</v>
      </c>
      <c r="HO13" s="126">
        <v>2.2194570958070409E-5</v>
      </c>
      <c r="HP13" s="126">
        <v>1.509033216865482E-5</v>
      </c>
      <c r="HQ13" s="126">
        <v>1.054101840872985E-4</v>
      </c>
      <c r="HR13" s="126">
        <v>3.1796340999757123E-5</v>
      </c>
      <c r="HS13" s="126">
        <v>3.3703928337437342E-7</v>
      </c>
      <c r="HT13" s="126">
        <v>8.5968672003220163E-9</v>
      </c>
      <c r="HU13" s="126">
        <v>1.486117753884036E-9</v>
      </c>
      <c r="HV13" s="126">
        <v>3.3559330217792978E-8</v>
      </c>
      <c r="HW13" s="126">
        <v>4.013976400521015E-6</v>
      </c>
      <c r="HX13" s="126">
        <v>4.3181222623587106E-9</v>
      </c>
      <c r="HY13" s="126">
        <v>2.8653605791349731E-7</v>
      </c>
      <c r="HZ13" s="126">
        <v>7.8604235855262748E-6</v>
      </c>
      <c r="IA13" s="126">
        <v>1.221069488732794E-4</v>
      </c>
      <c r="IB13" s="126">
        <v>2.1011075317305209E-8</v>
      </c>
      <c r="IC13" s="126">
        <v>6.4245914578564319E-7</v>
      </c>
      <c r="ID13" s="126">
        <v>6.9064162461685278E-9</v>
      </c>
      <c r="IE13" s="126">
        <v>2.0553942083245819E-11</v>
      </c>
      <c r="IF13" s="126">
        <v>1.230882524856738E-8</v>
      </c>
      <c r="IG13" s="126">
        <v>1.6010260193982691E-7</v>
      </c>
      <c r="IH13" s="126">
        <v>7.1846584105944927E-7</v>
      </c>
      <c r="II13" s="126">
        <v>6.699630635135189E-7</v>
      </c>
      <c r="IJ13" s="126">
        <v>4.4726450253269068E-7</v>
      </c>
      <c r="IK13" s="126">
        <v>8.6970550544531304E-8</v>
      </c>
      <c r="IL13" s="126">
        <v>2.7693924292961881E-8</v>
      </c>
      <c r="IM13" s="126">
        <v>7.1930220513087296E-8</v>
      </c>
      <c r="IN13" s="126">
        <v>2.1528433052058082E-5</v>
      </c>
      <c r="IO13" s="126">
        <v>5.4434564276985443E-5</v>
      </c>
      <c r="IP13" s="126">
        <v>3.7605264107864961E-6</v>
      </c>
      <c r="IQ13" s="126">
        <v>1.908285766439378E-4</v>
      </c>
      <c r="IR13" s="126">
        <v>2.6268251824930208E-5</v>
      </c>
      <c r="IS13" s="126">
        <v>2.1224799867613271E-5</v>
      </c>
      <c r="IT13" s="126">
        <v>1.4826115397966231E-4</v>
      </c>
      <c r="IU13" s="126">
        <v>4.4722075478500907E-5</v>
      </c>
      <c r="IV13" s="126">
        <v>1.832878645059705E-8</v>
      </c>
      <c r="IW13" s="126">
        <v>6.8379891369036474E-5</v>
      </c>
      <c r="IX13" s="126">
        <v>7.9236627980210843E-6</v>
      </c>
      <c r="IY13" s="126">
        <v>2.5349863035897028E-10</v>
      </c>
      <c r="IZ13" s="126">
        <v>1.6930417816841791E-9</v>
      </c>
      <c r="JA13" s="126">
        <v>1.294159512839803E-8</v>
      </c>
      <c r="JB13" s="126">
        <v>2.0536975319137121E-9</v>
      </c>
      <c r="JC13" s="126">
        <v>5.1104595831577384E-9</v>
      </c>
      <c r="JD13" s="126">
        <v>7.0056806851948864E-10</v>
      </c>
      <c r="JE13" s="126">
        <v>7.8047601839782367E-10</v>
      </c>
      <c r="JF13" s="126">
        <v>1.570154693841737E-9</v>
      </c>
      <c r="JG13" s="126">
        <v>2.7000882997828352E-7</v>
      </c>
      <c r="JH13" s="126">
        <v>2.7290317827996409E-7</v>
      </c>
      <c r="JI13" s="126">
        <v>1.9063049069425599E-6</v>
      </c>
      <c r="JJ13" s="126">
        <v>5.7502528238122668E-7</v>
      </c>
      <c r="JK13" s="126">
        <v>1.736900844889151E-10</v>
      </c>
      <c r="JL13" s="126">
        <v>1.7322204403571961E-7</v>
      </c>
      <c r="JM13" s="126">
        <v>2.2263546565116178E-12</v>
      </c>
      <c r="JN13" s="126">
        <v>1.443157224027633E-6</v>
      </c>
      <c r="JO13" s="126">
        <v>7.4528188354329065E-14</v>
      </c>
      <c r="JP13" s="126">
        <v>1.6668280825469911E-8</v>
      </c>
      <c r="JQ13" s="126">
        <v>5.8456196713566411E-11</v>
      </c>
      <c r="JR13" s="126">
        <v>6.1923841466095812E-12</v>
      </c>
      <c r="JS13" s="126">
        <v>3.2387698146571648E-13</v>
      </c>
      <c r="JT13" s="126">
        <v>2.0237675602096239E-8</v>
      </c>
      <c r="JU13" s="126">
        <v>1.5451505111835849E-13</v>
      </c>
      <c r="JV13" s="126">
        <v>8.5901036825712014E-14</v>
      </c>
      <c r="JW13" s="126">
        <v>3.1865493442385181E-7</v>
      </c>
      <c r="JX13" s="126">
        <v>6.8777235696245367E-7</v>
      </c>
      <c r="JY13" s="126">
        <v>7.0397151324440112E-8</v>
      </c>
      <c r="JZ13" s="126">
        <v>6.0967819001620114E-7</v>
      </c>
      <c r="KA13" s="126">
        <v>6.213300299300261E-8</v>
      </c>
      <c r="KB13" s="126">
        <v>9.2282334848689333E-8</v>
      </c>
      <c r="KC13" s="126">
        <v>1.7002366453829361E-7</v>
      </c>
      <c r="KD13" s="126">
        <v>3.6436518626567911E-4</v>
      </c>
      <c r="KE13" s="126">
        <v>2.997435357904369E-5</v>
      </c>
      <c r="KF13" s="126">
        <v>2.09379229917006E-4</v>
      </c>
      <c r="KG13" s="126">
        <v>6.3157971408095407E-5</v>
      </c>
      <c r="KH13" s="126">
        <v>1.8635726445292301E-7</v>
      </c>
      <c r="KI13" s="126">
        <v>6.8703905474611919E-7</v>
      </c>
      <c r="KJ13" s="126">
        <v>7.1029100649276707E-8</v>
      </c>
      <c r="KK13" s="126">
        <v>5.9826174866138238E-7</v>
      </c>
      <c r="KL13" s="126">
        <v>4.0614945182289348E-8</v>
      </c>
      <c r="KM13" s="126">
        <v>2.7265888342787151E-8</v>
      </c>
      <c r="KN13" s="126">
        <v>1.071791132405569E-7</v>
      </c>
      <c r="KO13" s="126">
        <v>9.7082525362353532E-5</v>
      </c>
      <c r="KP13" s="126">
        <v>1.685943143004922E-5</v>
      </c>
      <c r="KQ13" s="126">
        <v>1.177678364390234E-4</v>
      </c>
      <c r="KR13" s="127">
        <v>3.5523951681154677E-5</v>
      </c>
    </row>
    <row r="14" spans="2:304" x14ac:dyDescent="0.25">
      <c r="B14" s="5">
        <v>1000</v>
      </c>
      <c r="C14" s="126">
        <v>9.0552812638556683E-6</v>
      </c>
      <c r="D14" s="126">
        <v>1.7035076047068839E-7</v>
      </c>
      <c r="E14" s="126">
        <v>9.3772593376578754E-6</v>
      </c>
      <c r="F14" s="126">
        <v>1.8366407619006549E-7</v>
      </c>
      <c r="G14" s="126">
        <v>3.2274747576907008E-7</v>
      </c>
      <c r="H14" s="126">
        <v>5.277355386993428E-7</v>
      </c>
      <c r="I14" s="126">
        <v>5.6202223922366499E-4</v>
      </c>
      <c r="J14" s="126">
        <v>2.4963792028256272E-5</v>
      </c>
      <c r="K14" s="126">
        <v>1.945612757424687E-4</v>
      </c>
      <c r="L14" s="126">
        <v>5.3325634234867358E-5</v>
      </c>
      <c r="M14" s="126">
        <v>3.2381838472998818E-4</v>
      </c>
      <c r="N14" s="126">
        <v>3.2251731942822561E-3</v>
      </c>
      <c r="O14" s="126">
        <v>3.3796133038126752E-5</v>
      </c>
      <c r="P14" s="126">
        <v>2.0418256756279752E-3</v>
      </c>
      <c r="Q14" s="126">
        <v>1.4425605004763939E-3</v>
      </c>
      <c r="R14" s="126">
        <v>6.1367303291170197E-5</v>
      </c>
      <c r="S14" s="126">
        <v>1.950886259450825E-4</v>
      </c>
      <c r="T14" s="126">
        <v>9.2893634008003434E-2</v>
      </c>
      <c r="U14" s="126">
        <v>0.21883741485388711</v>
      </c>
      <c r="V14" s="126">
        <v>1.705561661704412</v>
      </c>
      <c r="W14" s="126">
        <v>0.46746279283986802</v>
      </c>
      <c r="X14" s="126">
        <v>7.3352787743282856E-6</v>
      </c>
      <c r="Y14" s="126">
        <v>5.9191040059142272E-5</v>
      </c>
      <c r="Z14" s="126">
        <v>7.3200183695935315E-7</v>
      </c>
      <c r="AA14" s="126">
        <v>2.8246191156468201E-5</v>
      </c>
      <c r="AB14" s="126">
        <v>3.3725815519403161E-5</v>
      </c>
      <c r="AC14" s="126">
        <v>1.363689753508625E-6</v>
      </c>
      <c r="AD14" s="126">
        <v>3.9818585732899524E-6</v>
      </c>
      <c r="AE14" s="126">
        <v>1.614363618263165E-3</v>
      </c>
      <c r="AF14" s="126">
        <v>5.1698442345193101E-3</v>
      </c>
      <c r="AG14" s="126">
        <v>4.0292415852503878E-2</v>
      </c>
      <c r="AH14" s="126">
        <v>1.1043403277401489E-2</v>
      </c>
      <c r="AI14" s="126">
        <v>1.250193849018581E-8</v>
      </c>
      <c r="AJ14" s="126">
        <v>8.4598722689625572E-8</v>
      </c>
      <c r="AK14" s="126">
        <v>8.1894974379947046E-9</v>
      </c>
      <c r="AL14" s="126">
        <v>9.4588841953918082E-8</v>
      </c>
      <c r="AM14" s="126">
        <v>4.2661592786332749E-9</v>
      </c>
      <c r="AN14" s="126">
        <v>2.0316361333708571E-9</v>
      </c>
      <c r="AO14" s="126">
        <v>7.98319990448074E-9</v>
      </c>
      <c r="AP14" s="126">
        <v>3.066695756863922E-6</v>
      </c>
      <c r="AQ14" s="126">
        <v>2.4972167897668541E-7</v>
      </c>
      <c r="AR14" s="126">
        <v>1.9462655508129899E-6</v>
      </c>
      <c r="AS14" s="126">
        <v>5.3343526089925735E-7</v>
      </c>
      <c r="AT14" s="126">
        <v>1.2009844084194091E-5</v>
      </c>
      <c r="AU14" s="126">
        <v>4.4372862215540423E-6</v>
      </c>
      <c r="AV14" s="126">
        <v>4.3687739817978371E-7</v>
      </c>
      <c r="AW14" s="126">
        <v>5.2215515642654434E-6</v>
      </c>
      <c r="AX14" s="126">
        <v>1.5108041249449319E-7</v>
      </c>
      <c r="AY14" s="126">
        <v>3.964507237388128E-7</v>
      </c>
      <c r="AZ14" s="126">
        <v>1.963576520071997E-7</v>
      </c>
      <c r="BA14" s="126">
        <v>8.6610619332783936E-5</v>
      </c>
      <c r="BB14" s="126">
        <v>1.5884561136685521E-5</v>
      </c>
      <c r="BC14" s="126">
        <v>1.2380012122615989E-4</v>
      </c>
      <c r="BD14" s="126">
        <v>3.3931315250403789E-5</v>
      </c>
      <c r="BE14" s="126">
        <v>1.036415686414787E-10</v>
      </c>
      <c r="BF14" s="126">
        <v>6.6871787199095981E-8</v>
      </c>
      <c r="BG14" s="126">
        <v>6.5408045947271994E-13</v>
      </c>
      <c r="BH14" s="126">
        <v>2.6105005053922371E-7</v>
      </c>
      <c r="BI14" s="126">
        <v>6.6803260418767212E-14</v>
      </c>
      <c r="BJ14" s="126">
        <v>4.5950357904209894E-9</v>
      </c>
      <c r="BK14" s="126">
        <v>6.8888896829396862E-12</v>
      </c>
      <c r="BL14" s="126">
        <v>7.2975373720175437E-13</v>
      </c>
      <c r="BM14" s="126">
        <v>2.652984885761979E-13</v>
      </c>
      <c r="BN14" s="126">
        <v>3.1724347716122842E-8</v>
      </c>
      <c r="BO14" s="126">
        <v>1.185415710064869E-13</v>
      </c>
      <c r="BP14" s="126">
        <v>7.869495602506025E-14</v>
      </c>
      <c r="BQ14" s="126">
        <v>2.8879804330350292E-5</v>
      </c>
      <c r="BR14" s="126">
        <v>1.7129729475725701E-4</v>
      </c>
      <c r="BS14" s="126">
        <v>2.8122809083389469E-6</v>
      </c>
      <c r="BT14" s="126">
        <v>9.8437961509271284E-5</v>
      </c>
      <c r="BU14" s="126">
        <v>7.777486508885166E-5</v>
      </c>
      <c r="BV14" s="126">
        <v>4.9312655043875446E-6</v>
      </c>
      <c r="BW14" s="126">
        <v>1.4497563575865439E-5</v>
      </c>
      <c r="BX14" s="126">
        <v>4.820620586081026E-3</v>
      </c>
      <c r="BY14" s="126">
        <v>7.8363261521815098E-3</v>
      </c>
      <c r="BZ14" s="126">
        <v>4.7883491063830402E-5</v>
      </c>
      <c r="CA14" s="126">
        <v>1.243861293997065E-2</v>
      </c>
      <c r="CB14" s="126">
        <v>9.7138427605905566E-4</v>
      </c>
      <c r="CC14" s="126">
        <v>6.0989808749818914E-4</v>
      </c>
      <c r="CD14" s="126">
        <v>6.1073596512525863E-2</v>
      </c>
      <c r="CE14" s="126">
        <v>9.0643149204214338E-5</v>
      </c>
      <c r="CF14" s="126">
        <v>9.6942216686548954E-2</v>
      </c>
      <c r="CG14" s="126">
        <v>7.5707277323773248E-3</v>
      </c>
      <c r="CH14" s="126">
        <v>2.3379195162402532E-3</v>
      </c>
      <c r="CI14" s="126">
        <v>1.886273730388013E-3</v>
      </c>
      <c r="CJ14" s="126">
        <v>1.470112485188139E-2</v>
      </c>
      <c r="CK14" s="126">
        <v>4.0293054396406116E-3</v>
      </c>
      <c r="CL14" s="126">
        <v>1.52788580386327E-4</v>
      </c>
      <c r="CM14" s="126">
        <v>2.6570064066761861E-2</v>
      </c>
      <c r="CN14" s="126">
        <v>1.383702477205413E-5</v>
      </c>
      <c r="CO14" s="126">
        <v>6.6477924895104562E-5</v>
      </c>
      <c r="CP14" s="126">
        <v>1.351153920095605E-5</v>
      </c>
      <c r="CQ14" s="126">
        <v>6.8785506724048111E-5</v>
      </c>
      <c r="CR14" s="126">
        <v>3.601631631533682E-6</v>
      </c>
      <c r="CS14" s="126">
        <v>3.0264940478454662E-6</v>
      </c>
      <c r="CT14" s="126">
        <v>6.5097685491502688E-6</v>
      </c>
      <c r="CU14" s="126">
        <v>2.8014089283734788E-3</v>
      </c>
      <c r="CV14" s="126">
        <v>4.114298850326413E-4</v>
      </c>
      <c r="CW14" s="126">
        <v>3.2065770785112279E-3</v>
      </c>
      <c r="CX14" s="126">
        <v>8.7886325674043232E-4</v>
      </c>
      <c r="CY14" s="126">
        <v>1.343465564315705E-6</v>
      </c>
      <c r="CZ14" s="126">
        <v>8.4468793542206088E-4</v>
      </c>
      <c r="DA14" s="126">
        <v>2.7887008336979911E-8</v>
      </c>
      <c r="DB14" s="126">
        <v>5.5163442249306664E-4</v>
      </c>
      <c r="DC14" s="126">
        <v>1.0267635592000291E-7</v>
      </c>
      <c r="DD14" s="126">
        <v>2.4950185009721428E-10</v>
      </c>
      <c r="DE14" s="126">
        <v>3.2801714099946052E-5</v>
      </c>
      <c r="DF14" s="126">
        <v>9.6069550000179318E-9</v>
      </c>
      <c r="DG14" s="126">
        <v>1.017683783172515E-9</v>
      </c>
      <c r="DH14" s="126">
        <v>8.0223275143587458E-8</v>
      </c>
      <c r="DI14" s="126">
        <v>1.344740962704076E-6</v>
      </c>
      <c r="DJ14" s="126">
        <v>8.2672155948120222E-9</v>
      </c>
      <c r="DK14" s="126">
        <v>9.3282287752987054E-9</v>
      </c>
      <c r="DL14" s="126">
        <v>1.1640463174823689E-6</v>
      </c>
      <c r="DM14" s="126">
        <v>4.3679964294622423E-5</v>
      </c>
      <c r="DN14" s="126">
        <v>2.339558699746102E-7</v>
      </c>
      <c r="DO14" s="126">
        <v>4.8480784550290317E-5</v>
      </c>
      <c r="DP14" s="126">
        <v>2.5965005896821351E-6</v>
      </c>
      <c r="DQ14" s="126">
        <v>3.05535650896417E-7</v>
      </c>
      <c r="DR14" s="126">
        <v>1.863982553487914E-6</v>
      </c>
      <c r="DS14" s="126">
        <v>1.476022736690479E-3</v>
      </c>
      <c r="DT14" s="126">
        <v>9.8729650768735106E-4</v>
      </c>
      <c r="DU14" s="126">
        <v>7.694731147187518E-3</v>
      </c>
      <c r="DV14" s="126">
        <v>2.1089829778547101E-3</v>
      </c>
      <c r="DW14" s="126">
        <v>5.9895342896339154E-6</v>
      </c>
      <c r="DX14" s="126">
        <v>3.0798712000136119E-6</v>
      </c>
      <c r="DY14" s="126">
        <v>9.8952477135779445E-6</v>
      </c>
      <c r="DZ14" s="126">
        <v>2.5971846061143479E-6</v>
      </c>
      <c r="EA14" s="126">
        <v>5.4427676153432162E-7</v>
      </c>
      <c r="EB14" s="126">
        <v>1.4107316924581959E-5</v>
      </c>
      <c r="EC14" s="126">
        <v>3.03978953248501E-7</v>
      </c>
      <c r="ED14" s="126">
        <v>2.2772911053630171E-4</v>
      </c>
      <c r="EE14" s="126">
        <v>6.8566349546999236E-5</v>
      </c>
      <c r="EF14" s="126">
        <v>5.3438822218068412E-4</v>
      </c>
      <c r="EG14" s="126">
        <v>1.464658923862514E-4</v>
      </c>
      <c r="EH14" s="126">
        <v>3.0328790782616799E-8</v>
      </c>
      <c r="EI14" s="126">
        <v>1.841707317863115E-7</v>
      </c>
      <c r="EJ14" s="126">
        <v>7.2805187075965484E-9</v>
      </c>
      <c r="EK14" s="126">
        <v>8.6052148520392402E-8</v>
      </c>
      <c r="EL14" s="126">
        <v>1.7894949561036461E-8</v>
      </c>
      <c r="EM14" s="126">
        <v>5.5643301648195573E-9</v>
      </c>
      <c r="EN14" s="126">
        <v>1.441077510026218E-8</v>
      </c>
      <c r="EO14" s="126">
        <v>4.2759419794654632E-6</v>
      </c>
      <c r="EP14" s="126">
        <v>3.4384109570550083E-5</v>
      </c>
      <c r="EQ14" s="126">
        <v>1.318044480894867E-4</v>
      </c>
      <c r="ER14" s="126">
        <v>2.803750968080204E-6</v>
      </c>
      <c r="ES14" s="126">
        <v>2.1851702842117031E-5</v>
      </c>
      <c r="ET14" s="126">
        <v>5.9891461377449891E-6</v>
      </c>
      <c r="EU14" s="126">
        <v>2.879181635434626E-11</v>
      </c>
      <c r="EV14" s="126">
        <v>4.2799903144234327E-5</v>
      </c>
      <c r="EW14" s="126">
        <v>1.122515100060153E-10</v>
      </c>
      <c r="EX14" s="126">
        <v>1.0370141449656989E-5</v>
      </c>
      <c r="EY14" s="126">
        <v>4.0497995563409954E-6</v>
      </c>
      <c r="EZ14" s="126">
        <v>4.428093329543131E-7</v>
      </c>
      <c r="FA14" s="126">
        <v>4.6722731236633201E-6</v>
      </c>
      <c r="FB14" s="126">
        <v>1.4967725182870351E-7</v>
      </c>
      <c r="FC14" s="126">
        <v>4.0545077948699761E-7</v>
      </c>
      <c r="FD14" s="126">
        <v>1.9181680517692979E-7</v>
      </c>
      <c r="FE14" s="126">
        <v>8.2566893793655009E-5</v>
      </c>
      <c r="FF14" s="126">
        <v>1.2076744934412589E-5</v>
      </c>
      <c r="FG14" s="126">
        <v>9.4122996161646611E-5</v>
      </c>
      <c r="FH14" s="126">
        <v>2.5797366136976929E-5</v>
      </c>
      <c r="FI14" s="126">
        <v>4.1704716570671071E-10</v>
      </c>
      <c r="FJ14" s="126">
        <v>4.1167474326170632E-7</v>
      </c>
      <c r="FK14" s="126">
        <v>1.7093566581614622E-11</v>
      </c>
      <c r="FL14" s="126">
        <v>9.8804773274344518E-6</v>
      </c>
      <c r="FM14" s="126">
        <v>5.9637476852880859E-13</v>
      </c>
      <c r="FN14" s="126">
        <v>1.210387269282652E-9</v>
      </c>
      <c r="FO14" s="126">
        <v>5.061225073180177E-12</v>
      </c>
      <c r="FP14" s="126">
        <v>5.3614560284210542E-13</v>
      </c>
      <c r="FQ14" s="126">
        <v>4.2978830227778407E-12</v>
      </c>
      <c r="FR14" s="126">
        <v>4.7309836586012087E-8</v>
      </c>
      <c r="FS14" s="126">
        <v>9.1526312832885839E-13</v>
      </c>
      <c r="FT14" s="126">
        <v>1.1668005230482719E-12</v>
      </c>
      <c r="FU14" s="126">
        <v>3.37031044056482E-9</v>
      </c>
      <c r="FV14" s="126">
        <v>2.7188240080639931E-8</v>
      </c>
      <c r="FW14" s="126">
        <v>4.6981639152631189E-10</v>
      </c>
      <c r="FX14" s="126">
        <v>9.0437267168143521E-9</v>
      </c>
      <c r="FY14" s="126">
        <v>2.0902248541925079E-8</v>
      </c>
      <c r="FZ14" s="126">
        <v>4.4354408520845272E-10</v>
      </c>
      <c r="GA14" s="126">
        <v>2.644310516230046E-9</v>
      </c>
      <c r="GB14" s="126">
        <v>1.982955255158268E-6</v>
      </c>
      <c r="GC14" s="126">
        <v>5.4409577465367376E-6</v>
      </c>
      <c r="GD14" s="126">
        <v>4.2405403763532257E-5</v>
      </c>
      <c r="GE14" s="126">
        <v>1.1622534042535551E-5</v>
      </c>
      <c r="GF14" s="126">
        <v>2.2155291762200069E-12</v>
      </c>
      <c r="GG14" s="126">
        <v>1.8985362627194489E-11</v>
      </c>
      <c r="GH14" s="126">
        <v>1.769497691249848E-13</v>
      </c>
      <c r="GI14" s="126">
        <v>1.035539340022062E-11</v>
      </c>
      <c r="GJ14" s="126">
        <v>1.237830782106093E-11</v>
      </c>
      <c r="GK14" s="126">
        <v>2.6283246151334489E-13</v>
      </c>
      <c r="GL14" s="126">
        <v>1.625615110839451E-12</v>
      </c>
      <c r="GM14" s="126">
        <v>6.5820644238937583E-10</v>
      </c>
      <c r="GN14" s="126">
        <v>2.6404864361349118E-9</v>
      </c>
      <c r="GO14" s="126">
        <v>2.0579261716873761E-8</v>
      </c>
      <c r="GP14" s="126">
        <v>5.6403936443662947E-9</v>
      </c>
      <c r="GQ14" s="126">
        <v>9.8485894558049445E-8</v>
      </c>
      <c r="GR14" s="126">
        <v>2.1712511747531681E-7</v>
      </c>
      <c r="GS14" s="126">
        <v>1.421519009804878E-7</v>
      </c>
      <c r="GT14" s="126">
        <v>1.4519323832817811E-7</v>
      </c>
      <c r="GU14" s="126">
        <v>3.3652990379594772E-8</v>
      </c>
      <c r="GV14" s="126">
        <v>2.752686317143682E-8</v>
      </c>
      <c r="GW14" s="126">
        <v>4.4240975295267759E-8</v>
      </c>
      <c r="GX14" s="126">
        <v>6.9407027147329721E-6</v>
      </c>
      <c r="GY14" s="126">
        <v>5.714753277574903E-6</v>
      </c>
      <c r="GZ14" s="126">
        <v>4.4539294630395603E-5</v>
      </c>
      <c r="HA14" s="126">
        <v>1.2207393919863341E-5</v>
      </c>
      <c r="HB14" s="126">
        <v>4.5722292305720498E-7</v>
      </c>
      <c r="HC14" s="126">
        <v>2.4205600749952571E-5</v>
      </c>
      <c r="HD14" s="126">
        <v>5.4668835665837393E-7</v>
      </c>
      <c r="HE14" s="126">
        <v>1.417071266978936E-6</v>
      </c>
      <c r="HF14" s="126">
        <v>3.3228801296880097E-8</v>
      </c>
      <c r="HG14" s="126">
        <v>9.940763169874286E-8</v>
      </c>
      <c r="HH14" s="126">
        <v>3.3936207299414858E-7</v>
      </c>
      <c r="HI14" s="126">
        <v>7.031702348070046E-8</v>
      </c>
      <c r="HJ14" s="126">
        <v>2.1037253786524359E-7</v>
      </c>
      <c r="HK14" s="126">
        <v>9.4986176388315202E-7</v>
      </c>
      <c r="HL14" s="126">
        <v>7.5873593852868568E-8</v>
      </c>
      <c r="HM14" s="126">
        <v>1.9625691661768998E-8</v>
      </c>
      <c r="HN14" s="126">
        <v>5.0105560100214332E-8</v>
      </c>
      <c r="HO14" s="126">
        <v>1.9975113862263369E-5</v>
      </c>
      <c r="HP14" s="126">
        <v>1.331028606469018E-5</v>
      </c>
      <c r="HQ14" s="126">
        <v>1.037368935902088E-4</v>
      </c>
      <c r="HR14" s="126">
        <v>2.8432356968994459E-5</v>
      </c>
      <c r="HS14" s="126">
        <v>2.9721752515523592E-7</v>
      </c>
      <c r="HT14" s="126">
        <v>7.5811328756444042E-9</v>
      </c>
      <c r="HU14" s="126">
        <v>1.3369881592284471E-9</v>
      </c>
      <c r="HV14" s="126">
        <v>2.9594238886136011E-8</v>
      </c>
      <c r="HW14" s="126">
        <v>3.559300281919874E-6</v>
      </c>
      <c r="HX14" s="126">
        <v>3.8079298522836894E-9</v>
      </c>
      <c r="HY14" s="126">
        <v>2.5268134229470802E-7</v>
      </c>
      <c r="HZ14" s="126">
        <v>6.93170317941174E-6</v>
      </c>
      <c r="IA14" s="126">
        <v>1.100254579543299E-4</v>
      </c>
      <c r="IB14" s="126">
        <v>1.8528581352753411E-8</v>
      </c>
      <c r="IC14" s="126">
        <v>5.7448835147808102E-7</v>
      </c>
      <c r="ID14" s="126">
        <v>6.0904115422425852E-9</v>
      </c>
      <c r="IE14" s="126">
        <v>1.8491386109173211E-11</v>
      </c>
      <c r="IF14" s="126">
        <v>1.085451939863514E-8</v>
      </c>
      <c r="IG14" s="126">
        <v>1.576945074251432E-7</v>
      </c>
      <c r="IH14" s="126">
        <v>7.0766640575929899E-7</v>
      </c>
      <c r="II14" s="126">
        <v>6.5989136452734994E-7</v>
      </c>
      <c r="IJ14" s="126">
        <v>4.4053888567449628E-7</v>
      </c>
      <c r="IK14" s="126">
        <v>8.5662754827239837E-8</v>
      </c>
      <c r="IL14" s="126">
        <v>2.7277456219141839E-8</v>
      </c>
      <c r="IM14" s="126">
        <v>7.0848672944479061E-8</v>
      </c>
      <c r="IN14" s="126">
        <v>1.9375589746852281E-5</v>
      </c>
      <c r="IO14" s="126">
        <v>4.9498975217244347E-5</v>
      </c>
      <c r="IP14" s="126">
        <v>3.3169367202548728E-6</v>
      </c>
      <c r="IQ14" s="126">
        <v>1.8974419262239741E-4</v>
      </c>
      <c r="IR14" s="126">
        <v>2.5851265804309519E-5</v>
      </c>
      <c r="IS14" s="126">
        <v>1.8721135807106238E-5</v>
      </c>
      <c r="IT14" s="126">
        <v>1.4590764343236771E-4</v>
      </c>
      <c r="IU14" s="126">
        <v>3.9990576727327348E-5</v>
      </c>
      <c r="IV14" s="126">
        <v>1.6489521367623231E-8</v>
      </c>
      <c r="IW14" s="126">
        <v>6.1614256454424737E-5</v>
      </c>
      <c r="IX14" s="126">
        <v>7.0853563348946787E-6</v>
      </c>
      <c r="IY14" s="126">
        <v>2.28060438874899E-10</v>
      </c>
      <c r="IZ14" s="126">
        <v>1.667576832469074E-9</v>
      </c>
      <c r="JA14" s="126">
        <v>1.27470668553993E-8</v>
      </c>
      <c r="JB14" s="126">
        <v>2.0228238547267969E-9</v>
      </c>
      <c r="JC14" s="126">
        <v>5.0336124537053071E-9</v>
      </c>
      <c r="JD14" s="126">
        <v>6.9003346900339366E-10</v>
      </c>
      <c r="JE14" s="126">
        <v>7.6873902725830934E-10</v>
      </c>
      <c r="JF14" s="126">
        <v>1.546545743676565E-9</v>
      </c>
      <c r="JG14" s="126">
        <v>2.4300794698045521E-7</v>
      </c>
      <c r="JH14" s="126">
        <v>2.4071169078800119E-7</v>
      </c>
      <c r="JI14" s="126">
        <v>1.876044055840159E-6</v>
      </c>
      <c r="JJ14" s="126">
        <v>5.1418885257850158E-7</v>
      </c>
      <c r="JK14" s="126">
        <v>1.5316830886581559E-10</v>
      </c>
      <c r="JL14" s="126">
        <v>1.527555698992174E-7</v>
      </c>
      <c r="JM14" s="126">
        <v>1.9633071078138809E-12</v>
      </c>
      <c r="JN14" s="126">
        <v>1.298338651420554E-6</v>
      </c>
      <c r="JO14" s="126">
        <v>6.5722574773983064E-14</v>
      </c>
      <c r="JP14" s="126">
        <v>1.4698895501648781E-8</v>
      </c>
      <c r="JQ14" s="126">
        <v>5.1549514634242547E-11</v>
      </c>
      <c r="JR14" s="126">
        <v>5.4607422511695923E-12</v>
      </c>
      <c r="JS14" s="126">
        <v>2.8561037097637948E-13</v>
      </c>
      <c r="JT14" s="126">
        <v>1.8206856475264512E-8</v>
      </c>
      <c r="JU14" s="126">
        <v>1.362588700282775E-13</v>
      </c>
      <c r="JV14" s="126">
        <v>7.5751702799197522E-14</v>
      </c>
      <c r="JW14" s="126">
        <v>3.13862062912923E-7</v>
      </c>
      <c r="JX14" s="126">
        <v>6.7743428290830617E-7</v>
      </c>
      <c r="JY14" s="126">
        <v>6.9338855791093528E-8</v>
      </c>
      <c r="JZ14" s="126">
        <v>6.0051032203287787E-7</v>
      </c>
      <c r="KA14" s="126">
        <v>6.119869506108833E-8</v>
      </c>
      <c r="KB14" s="126">
        <v>9.0894570303820656E-8</v>
      </c>
      <c r="KC14" s="126">
        <v>1.6746717743627219E-7</v>
      </c>
      <c r="KD14" s="126">
        <v>3.2792866763911121E-4</v>
      </c>
      <c r="KE14" s="126">
        <v>2.6438597658570051E-5</v>
      </c>
      <c r="KF14" s="126">
        <v>2.060555256777845E-4</v>
      </c>
      <c r="KG14" s="126">
        <v>5.6475994785885323E-5</v>
      </c>
      <c r="KH14" s="126">
        <v>1.8355427498952111E-7</v>
      </c>
      <c r="KI14" s="126">
        <v>6.7671200313644742E-7</v>
      </c>
      <c r="KJ14" s="126">
        <v>6.9961304885662379E-8</v>
      </c>
      <c r="KK14" s="126">
        <v>5.8926555227283534E-7</v>
      </c>
      <c r="KL14" s="126">
        <v>4.0004209122383333E-8</v>
      </c>
      <c r="KM14" s="126">
        <v>2.6855857179309218E-8</v>
      </c>
      <c r="KN14" s="126">
        <v>1.055675609819368E-7</v>
      </c>
      <c r="KO14" s="126">
        <v>8.7374272826118177E-5</v>
      </c>
      <c r="KP14" s="126">
        <v>1.487070348843008E-5</v>
      </c>
      <c r="KQ14" s="126">
        <v>1.158983794858601E-4</v>
      </c>
      <c r="KR14" s="127">
        <v>3.1765594511507337E-5</v>
      </c>
    </row>
    <row r="15" spans="2:304" x14ac:dyDescent="0.25">
      <c r="B15" s="5">
        <v>1200</v>
      </c>
      <c r="C15" s="126">
        <v>8.910686964947656E-6</v>
      </c>
      <c r="D15" s="126">
        <v>1.6763029796437231E-7</v>
      </c>
      <c r="E15" s="126">
        <v>9.2274719883116274E-6</v>
      </c>
      <c r="F15" s="126">
        <v>1.807303239974437E-7</v>
      </c>
      <c r="G15" s="126">
        <v>3.1759177513346932E-7</v>
      </c>
      <c r="H15" s="126">
        <v>5.1930633587688636E-7</v>
      </c>
      <c r="I15" s="126">
        <v>4.6835186601972088E-4</v>
      </c>
      <c r="J15" s="126">
        <v>2.038779845997807E-5</v>
      </c>
      <c r="K15" s="126">
        <v>1.9147419420275659E-4</v>
      </c>
      <c r="L15" s="126">
        <v>4.4102634482701247E-5</v>
      </c>
      <c r="M15" s="126">
        <v>3.1864477110927141E-4</v>
      </c>
      <c r="N15" s="126">
        <v>3.17367378269075E-3</v>
      </c>
      <c r="O15" s="126">
        <v>3.3256416558231622E-5</v>
      </c>
      <c r="P15" s="126">
        <v>2.009210639105394E-3</v>
      </c>
      <c r="Q15" s="126">
        <v>1.419517806885717E-3</v>
      </c>
      <c r="R15" s="126">
        <v>6.038699680285618E-5</v>
      </c>
      <c r="S15" s="126">
        <v>1.9197259248540999E-4</v>
      </c>
      <c r="T15" s="126">
        <v>7.7411361673336176E-2</v>
      </c>
      <c r="U15" s="126">
        <v>0.17872337281505971</v>
      </c>
      <c r="V15" s="126">
        <v>1.678499709624814</v>
      </c>
      <c r="W15" s="126">
        <v>0.38661219847994333</v>
      </c>
      <c r="X15" s="126">
        <v>7.2180837663602746E-6</v>
      </c>
      <c r="Y15" s="126">
        <v>5.8245880357350342E-5</v>
      </c>
      <c r="Z15" s="126">
        <v>7.2031193580188122E-7</v>
      </c>
      <c r="AA15" s="126">
        <v>2.7795001533774929E-5</v>
      </c>
      <c r="AB15" s="126">
        <v>3.3187097293822581E-5</v>
      </c>
      <c r="AC15" s="126">
        <v>1.341905613718924E-6</v>
      </c>
      <c r="AD15" s="126">
        <v>3.9182587376462886E-6</v>
      </c>
      <c r="AE15" s="126">
        <v>1.3453030152193041E-3</v>
      </c>
      <c r="AF15" s="126">
        <v>4.222184762777869E-3</v>
      </c>
      <c r="AG15" s="126">
        <v>3.9653100692310803E-2</v>
      </c>
      <c r="AH15" s="126">
        <v>9.1333780681008021E-3</v>
      </c>
      <c r="AI15" s="126">
        <v>1.230219628187321E-8</v>
      </c>
      <c r="AJ15" s="126">
        <v>8.3247854324592427E-8</v>
      </c>
      <c r="AK15" s="126">
        <v>8.0587130454620358E-9</v>
      </c>
      <c r="AL15" s="126">
        <v>9.3077930140152724E-8</v>
      </c>
      <c r="AM15" s="126">
        <v>4.1980139211012327E-9</v>
      </c>
      <c r="AN15" s="126">
        <v>1.999181943979693E-9</v>
      </c>
      <c r="AO15" s="126">
        <v>7.855689046802039E-9</v>
      </c>
      <c r="AP15" s="126">
        <v>2.555579797386602E-6</v>
      </c>
      <c r="AQ15" s="126">
        <v>2.039463898874514E-7</v>
      </c>
      <c r="AR15" s="126">
        <v>1.915384377617738E-6</v>
      </c>
      <c r="AS15" s="126">
        <v>4.4117431830265511E-7</v>
      </c>
      <c r="AT15" s="126">
        <v>1.181796401849466E-5</v>
      </c>
      <c r="AU15" s="126">
        <v>4.3664318470112226E-6</v>
      </c>
      <c r="AV15" s="126">
        <v>4.2990056650423871E-7</v>
      </c>
      <c r="AW15" s="126">
        <v>5.1381452788974798E-6</v>
      </c>
      <c r="AX15" s="126">
        <v>1.4866713440216089E-7</v>
      </c>
      <c r="AY15" s="126">
        <v>3.9011765717185041E-7</v>
      </c>
      <c r="AZ15" s="126">
        <v>1.9322134915636411E-7</v>
      </c>
      <c r="BA15" s="126">
        <v>7.2175516110653271E-5</v>
      </c>
      <c r="BB15" s="126">
        <v>1.297283804933884E-5</v>
      </c>
      <c r="BC15" s="126">
        <v>1.218357988429265E-4</v>
      </c>
      <c r="BD15" s="126">
        <v>2.8062683463170011E-5</v>
      </c>
      <c r="BE15" s="126">
        <v>8.462638673282393E-11</v>
      </c>
      <c r="BF15" s="126">
        <v>5.4602780118741087E-8</v>
      </c>
      <c r="BG15" s="126">
        <v>5.3407591767930199E-13</v>
      </c>
      <c r="BH15" s="126">
        <v>2.169960618194597E-7</v>
      </c>
      <c r="BI15" s="126">
        <v>5.4546838587934019E-14</v>
      </c>
      <c r="BJ15" s="126">
        <v>3.7519817884811686E-9</v>
      </c>
      <c r="BK15" s="126">
        <v>5.6249824805779159E-12</v>
      </c>
      <c r="BL15" s="126">
        <v>5.9586524333767899E-13</v>
      </c>
      <c r="BM15" s="126">
        <v>2.1662401255327859E-13</v>
      </c>
      <c r="BN15" s="126">
        <v>2.6370646180570161E-8</v>
      </c>
      <c r="BO15" s="126">
        <v>9.6792697550636837E-14</v>
      </c>
      <c r="BP15" s="126">
        <v>6.4256758397256E-14</v>
      </c>
      <c r="BQ15" s="126">
        <v>2.841839461400042E-5</v>
      </c>
      <c r="BR15" s="126">
        <v>1.6856202773257281E-4</v>
      </c>
      <c r="BS15" s="126">
        <v>2.767369428359488E-6</v>
      </c>
      <c r="BT15" s="126">
        <v>9.6865565908532304E-5</v>
      </c>
      <c r="BU15" s="126">
        <v>7.6532530791810575E-5</v>
      </c>
      <c r="BV15" s="126">
        <v>4.8524914453969831E-6</v>
      </c>
      <c r="BW15" s="126">
        <v>1.426600269953407E-5</v>
      </c>
      <c r="BX15" s="126">
        <v>4.0171838217341882E-3</v>
      </c>
      <c r="BY15" s="126">
        <v>6.3998843816322742E-3</v>
      </c>
      <c r="BZ15" s="126">
        <v>3.9695970051112122E-5</v>
      </c>
      <c r="CA15" s="126">
        <v>1.015854663751155E-2</v>
      </c>
      <c r="CB15" s="126">
        <v>7.9332455706899465E-4</v>
      </c>
      <c r="CC15" s="126">
        <v>5.1216109222835637E-4</v>
      </c>
      <c r="CD15" s="126">
        <v>6.0104546640059812E-2</v>
      </c>
      <c r="CE15" s="126">
        <v>8.6833718676569699E-5</v>
      </c>
      <c r="CF15" s="126">
        <v>9.5404042285809204E-2</v>
      </c>
      <c r="CG15" s="126">
        <v>7.4506036496656E-3</v>
      </c>
      <c r="CH15" s="126">
        <v>2.3228156815091462E-3</v>
      </c>
      <c r="CI15" s="126">
        <v>1.540509895771153E-3</v>
      </c>
      <c r="CJ15" s="126">
        <v>1.4467863782996771E-2</v>
      </c>
      <c r="CK15" s="126">
        <v>3.3324120298495641E-3</v>
      </c>
      <c r="CL15" s="126">
        <v>1.253916037433613E-4</v>
      </c>
      <c r="CM15" s="126">
        <v>2.1974606588949109E-2</v>
      </c>
      <c r="CN15" s="126">
        <v>1.361595202508645E-5</v>
      </c>
      <c r="CO15" s="126">
        <v>6.5416408564139225E-5</v>
      </c>
      <c r="CP15" s="126">
        <v>1.3295763024217779E-5</v>
      </c>
      <c r="CQ15" s="126">
        <v>6.7686763652684249E-5</v>
      </c>
      <c r="CR15" s="126">
        <v>3.5441010849226308E-6</v>
      </c>
      <c r="CS15" s="126">
        <v>2.9781475898323179E-6</v>
      </c>
      <c r="CT15" s="126">
        <v>6.4057919256253991E-6</v>
      </c>
      <c r="CU15" s="126">
        <v>2.3345074403112332E-3</v>
      </c>
      <c r="CV15" s="126">
        <v>3.3601263650021501E-4</v>
      </c>
      <c r="CW15" s="126">
        <v>3.1556986862568588E-3</v>
      </c>
      <c r="CX15" s="126">
        <v>7.2685839612491828E-4</v>
      </c>
      <c r="CY15" s="126">
        <v>1.0969791165676269E-6</v>
      </c>
      <c r="CZ15" s="126">
        <v>6.8971253107809392E-4</v>
      </c>
      <c r="DA15" s="126">
        <v>2.2770561867739261E-8</v>
      </c>
      <c r="DB15" s="126">
        <v>4.5854232549578353E-4</v>
      </c>
      <c r="DC15" s="126">
        <v>8.3838262124736755E-8</v>
      </c>
      <c r="DD15" s="126">
        <v>2.0372564242119381E-10</v>
      </c>
      <c r="DE15" s="126">
        <v>2.678356372991125E-5</v>
      </c>
      <c r="DF15" s="126">
        <v>7.844363323254918E-9</v>
      </c>
      <c r="DG15" s="126">
        <v>8.3096853662737545E-10</v>
      </c>
      <c r="DH15" s="126">
        <v>6.5504661768091043E-8</v>
      </c>
      <c r="DI15" s="126">
        <v>1.1178066905995439E-6</v>
      </c>
      <c r="DJ15" s="126">
        <v>6.7504259633167784E-9</v>
      </c>
      <c r="DK15" s="126">
        <v>7.6167746062126498E-9</v>
      </c>
      <c r="DL15" s="126">
        <v>1.145448467059844E-6</v>
      </c>
      <c r="DM15" s="126">
        <v>4.2982484710115418E-5</v>
      </c>
      <c r="DN15" s="126">
        <v>2.302196484829073E-7</v>
      </c>
      <c r="DO15" s="126">
        <v>4.7706378303163067E-5</v>
      </c>
      <c r="DP15" s="126">
        <v>2.5550254713239811E-6</v>
      </c>
      <c r="DQ15" s="126">
        <v>3.0065489901517689E-7</v>
      </c>
      <c r="DR15" s="126">
        <v>1.83421027959559E-6</v>
      </c>
      <c r="DS15" s="126">
        <v>1.2300189472420661E-3</v>
      </c>
      <c r="DT15" s="126">
        <v>8.0631989708079257E-4</v>
      </c>
      <c r="DU15" s="126">
        <v>7.5726397269556094E-3</v>
      </c>
      <c r="DV15" s="126">
        <v>1.7442212687598701E-3</v>
      </c>
      <c r="DW15" s="126">
        <v>5.893840105350838E-6</v>
      </c>
      <c r="DX15" s="126">
        <v>3.0306919637296441E-6</v>
      </c>
      <c r="DY15" s="126">
        <v>9.7372228810434757E-6</v>
      </c>
      <c r="DZ15" s="126">
        <v>2.555698561641794E-6</v>
      </c>
      <c r="EA15" s="126">
        <v>5.3558277425238849E-7</v>
      </c>
      <c r="EB15" s="126">
        <v>1.388196085429396E-5</v>
      </c>
      <c r="EC15" s="126">
        <v>2.9912367998605451E-7</v>
      </c>
      <c r="ED15" s="126">
        <v>1.8977425878025141E-4</v>
      </c>
      <c r="EE15" s="126">
        <v>5.599777926840363E-5</v>
      </c>
      <c r="EF15" s="126">
        <v>5.259091452963551E-4</v>
      </c>
      <c r="EG15" s="126">
        <v>1.211337063079859E-4</v>
      </c>
      <c r="EH15" s="126">
        <v>2.9844230756095602E-8</v>
      </c>
      <c r="EI15" s="126">
        <v>1.8122990233374531E-7</v>
      </c>
      <c r="EJ15" s="126">
        <v>7.1642504965488024E-9</v>
      </c>
      <c r="EK15" s="126">
        <v>8.4677597303635827E-8</v>
      </c>
      <c r="EL15" s="126">
        <v>1.7609105161845311E-8</v>
      </c>
      <c r="EM15" s="126">
        <v>5.4754432711293958E-9</v>
      </c>
      <c r="EN15" s="126">
        <v>1.418060044412988E-8</v>
      </c>
      <c r="EO15" s="126">
        <v>3.5632849828878851E-6</v>
      </c>
      <c r="EP15" s="126">
        <v>2.887400940243922E-5</v>
      </c>
      <c r="EQ15" s="126">
        <v>1.309529420445011E-4</v>
      </c>
      <c r="ER15" s="126">
        <v>2.289808760002733E-6</v>
      </c>
      <c r="ES15" s="126">
        <v>2.1504984368989501E-5</v>
      </c>
      <c r="ET15" s="126">
        <v>4.9532861027603343E-6</v>
      </c>
      <c r="EU15" s="126">
        <v>2.3932999624466689E-11</v>
      </c>
      <c r="EV15" s="126">
        <v>3.5645513096047429E-5</v>
      </c>
      <c r="EW15" s="126">
        <v>9.3308296835334685E-11</v>
      </c>
      <c r="EX15" s="126">
        <v>1.020445874730691E-5</v>
      </c>
      <c r="EY15" s="126">
        <v>3.9851325503690809E-6</v>
      </c>
      <c r="EZ15" s="126">
        <v>4.3573776964329179E-7</v>
      </c>
      <c r="FA15" s="126">
        <v>4.5976407197364331E-6</v>
      </c>
      <c r="FB15" s="126">
        <v>1.4728638707797429E-7</v>
      </c>
      <c r="FC15" s="126">
        <v>3.9897394233583219E-7</v>
      </c>
      <c r="FD15" s="126">
        <v>1.8875303054546031E-7</v>
      </c>
      <c r="FE15" s="126">
        <v>6.8805744828045841E-5</v>
      </c>
      <c r="FF15" s="126">
        <v>9.8630144609710324E-6</v>
      </c>
      <c r="FG15" s="126">
        <v>9.2629557332135572E-5</v>
      </c>
      <c r="FH15" s="126">
        <v>2.1335551384995891E-5</v>
      </c>
      <c r="FI15" s="126">
        <v>3.4053126745902408E-10</v>
      </c>
      <c r="FJ15" s="126">
        <v>3.3614453012648088E-7</v>
      </c>
      <c r="FK15" s="126">
        <v>1.3957399470162329E-11</v>
      </c>
      <c r="FL15" s="126">
        <v>8.2130789268994577E-6</v>
      </c>
      <c r="FM15" s="126">
        <v>4.8695764297933266E-13</v>
      </c>
      <c r="FN15" s="126">
        <v>9.8831678326098408E-10</v>
      </c>
      <c r="FO15" s="126">
        <v>4.1326401898123476E-12</v>
      </c>
      <c r="FP15" s="126">
        <v>4.3777854612564171E-13</v>
      </c>
      <c r="FQ15" s="126">
        <v>3.509347794913444E-12</v>
      </c>
      <c r="FR15" s="126">
        <v>3.9325976774497138E-8</v>
      </c>
      <c r="FS15" s="126">
        <v>7.4733940513355435E-13</v>
      </c>
      <c r="FT15" s="126">
        <v>9.5272712629039618E-13</v>
      </c>
      <c r="FU15" s="126">
        <v>3.3164633311244802E-9</v>
      </c>
      <c r="FV15" s="126">
        <v>2.675409956104121E-8</v>
      </c>
      <c r="FW15" s="126">
        <v>4.6231353169481712E-10</v>
      </c>
      <c r="FX15" s="126">
        <v>8.8992670400212181E-9</v>
      </c>
      <c r="FY15" s="126">
        <v>2.0568367149533791E-8</v>
      </c>
      <c r="FZ15" s="126">
        <v>4.3645872995795212E-10</v>
      </c>
      <c r="GA15" s="126">
        <v>2.6020745324230949E-9</v>
      </c>
      <c r="GB15" s="126">
        <v>1.6524627126318901E-6</v>
      </c>
      <c r="GC15" s="126">
        <v>4.4436017508913649E-6</v>
      </c>
      <c r="GD15" s="126">
        <v>4.1732562065497158E-5</v>
      </c>
      <c r="GE15" s="126">
        <v>9.6123445692754751E-6</v>
      </c>
      <c r="GF15" s="126">
        <v>2.180131890384167E-12</v>
      </c>
      <c r="GG15" s="126">
        <v>1.8682205263154242E-11</v>
      </c>
      <c r="GH15" s="126">
        <v>1.7412392196659381E-13</v>
      </c>
      <c r="GI15" s="126">
        <v>1.018998185799872E-11</v>
      </c>
      <c r="GJ15" s="126">
        <v>1.218058332063438E-11</v>
      </c>
      <c r="GK15" s="126">
        <v>2.5863386790497699E-13</v>
      </c>
      <c r="GL15" s="126">
        <v>1.59965013695445E-12</v>
      </c>
      <c r="GM15" s="126">
        <v>5.4850536865781338E-10</v>
      </c>
      <c r="GN15" s="126">
        <v>2.1564714701712982E-9</v>
      </c>
      <c r="GO15" s="126">
        <v>2.0252732921744172E-8</v>
      </c>
      <c r="GP15" s="126">
        <v>4.6648525199047127E-9</v>
      </c>
      <c r="GQ15" s="126">
        <v>9.6912395369734796E-8</v>
      </c>
      <c r="GR15" s="126">
        <v>2.1365807396536231E-7</v>
      </c>
      <c r="GS15" s="126">
        <v>1.3988176778149029E-7</v>
      </c>
      <c r="GT15" s="126">
        <v>1.428739988223624E-7</v>
      </c>
      <c r="GU15" s="126">
        <v>3.3115435424034228E-8</v>
      </c>
      <c r="GV15" s="126">
        <v>2.7087137761932391E-8</v>
      </c>
      <c r="GW15" s="126">
        <v>4.3534340766264478E-8</v>
      </c>
      <c r="GX15" s="126">
        <v>5.7839189289441417E-6</v>
      </c>
      <c r="GY15" s="126">
        <v>4.6672091299197774E-6</v>
      </c>
      <c r="GZ15" s="126">
        <v>4.3832594729705773E-5</v>
      </c>
      <c r="HA15" s="126">
        <v>1.009604929709509E-5</v>
      </c>
      <c r="HB15" s="126">
        <v>3.8006341493539688E-7</v>
      </c>
      <c r="HC15" s="126">
        <v>2.015941614686487E-5</v>
      </c>
      <c r="HD15" s="126">
        <v>4.4971185541332341E-7</v>
      </c>
      <c r="HE15" s="126">
        <v>1.171979972579834E-6</v>
      </c>
      <c r="HF15" s="126">
        <v>2.7621212888142809E-8</v>
      </c>
      <c r="HG15" s="126">
        <v>9.781940600924518E-8</v>
      </c>
      <c r="HH15" s="126">
        <v>3.3394315561425198E-7</v>
      </c>
      <c r="HI15" s="126">
        <v>6.9194076771179203E-8</v>
      </c>
      <c r="HJ15" s="126">
        <v>2.070121589221623E-7</v>
      </c>
      <c r="HK15" s="126">
        <v>9.346891776578737E-7</v>
      </c>
      <c r="HL15" s="126">
        <v>7.4661629450545283E-8</v>
      </c>
      <c r="HM15" s="126">
        <v>1.931218280865224E-8</v>
      </c>
      <c r="HN15" s="126">
        <v>4.9305254080160398E-8</v>
      </c>
      <c r="HO15" s="126">
        <v>1.6645928218552809E-5</v>
      </c>
      <c r="HP15" s="126">
        <v>1.087044105416356E-5</v>
      </c>
      <c r="HQ15" s="126">
        <v>1.0209091214828349E-4</v>
      </c>
      <c r="HR15" s="126">
        <v>2.351480418146339E-5</v>
      </c>
      <c r="HS15" s="126">
        <v>2.4268684425810078E-7</v>
      </c>
      <c r="HT15" s="126">
        <v>6.1902177919708683E-9</v>
      </c>
      <c r="HU15" s="126">
        <v>1.111362225950728E-9</v>
      </c>
      <c r="HV15" s="126">
        <v>2.4164565784269211E-8</v>
      </c>
      <c r="HW15" s="126">
        <v>2.921071518732892E-6</v>
      </c>
      <c r="HX15" s="126">
        <v>3.109287386642901E-9</v>
      </c>
      <c r="HY15" s="126">
        <v>2.0632174325063581E-7</v>
      </c>
      <c r="HZ15" s="126">
        <v>5.6599407623477062E-6</v>
      </c>
      <c r="IA15" s="126">
        <v>9.163370975847665E-5</v>
      </c>
      <c r="IB15" s="126">
        <v>1.512913115661096E-8</v>
      </c>
      <c r="IC15" s="126">
        <v>4.7512701591085441E-7</v>
      </c>
      <c r="ID15" s="126">
        <v>4.9730000101469031E-9</v>
      </c>
      <c r="IE15" s="126">
        <v>1.537083771861116E-11</v>
      </c>
      <c r="IF15" s="126">
        <v>8.8630360158810286E-9</v>
      </c>
      <c r="IG15" s="126">
        <v>1.551750382103016E-7</v>
      </c>
      <c r="IH15" s="126">
        <v>6.9636642237723118E-7</v>
      </c>
      <c r="II15" s="126">
        <v>6.4935305104710353E-7</v>
      </c>
      <c r="IJ15" s="126">
        <v>4.3350195200410742E-7</v>
      </c>
      <c r="IK15" s="126">
        <v>8.4294423578071822E-8</v>
      </c>
      <c r="IL15" s="126">
        <v>2.6841714938651619E-8</v>
      </c>
      <c r="IM15" s="126">
        <v>6.9717049640460637E-8</v>
      </c>
      <c r="IN15" s="126">
        <v>1.6146324789043561E-5</v>
      </c>
      <c r="IO15" s="126">
        <v>4.1566697340272408E-5</v>
      </c>
      <c r="IP15" s="126">
        <v>2.7089246126712651E-6</v>
      </c>
      <c r="IQ15" s="126">
        <v>1.8851837415146701E-4</v>
      </c>
      <c r="IR15" s="126">
        <v>2.5441085434953321E-5</v>
      </c>
      <c r="IS15" s="126">
        <v>1.528945375546864E-5</v>
      </c>
      <c r="IT15" s="126">
        <v>1.4359254351937599E-4</v>
      </c>
      <c r="IU15" s="126">
        <v>3.3073958021572588E-5</v>
      </c>
      <c r="IV15" s="126">
        <v>1.3706801399467419E-8</v>
      </c>
      <c r="IW15" s="126">
        <v>5.1314877464746937E-5</v>
      </c>
      <c r="IX15" s="126">
        <v>5.8598998628991714E-6</v>
      </c>
      <c r="IY15" s="126">
        <v>1.895736736708078E-10</v>
      </c>
      <c r="IZ15" s="126">
        <v>1.640934125875229E-9</v>
      </c>
      <c r="JA15" s="126">
        <v>1.254352230041712E-8</v>
      </c>
      <c r="JB15" s="126">
        <v>1.990519822514313E-9</v>
      </c>
      <c r="JC15" s="126">
        <v>4.9532082076534853E-9</v>
      </c>
      <c r="JD15" s="126">
        <v>6.7901124165951059E-10</v>
      </c>
      <c r="JE15" s="126">
        <v>7.5645887454138258E-10</v>
      </c>
      <c r="JF15" s="126">
        <v>1.521843697307307E-9</v>
      </c>
      <c r="JG15" s="126">
        <v>2.025066224837126E-7</v>
      </c>
      <c r="JH15" s="126">
        <v>1.9658797963031749E-7</v>
      </c>
      <c r="JI15" s="126">
        <v>1.8462770790850491E-6</v>
      </c>
      <c r="JJ15" s="126">
        <v>4.2525669587857678E-7</v>
      </c>
      <c r="JK15" s="126">
        <v>1.2506642567452941E-10</v>
      </c>
      <c r="JL15" s="126">
        <v>1.247294134712869E-7</v>
      </c>
      <c r="JM15" s="126">
        <v>1.603097952409825E-12</v>
      </c>
      <c r="JN15" s="126">
        <v>1.079235088000555E-6</v>
      </c>
      <c r="JO15" s="126">
        <v>5.36644267855637E-14</v>
      </c>
      <c r="JP15" s="126">
        <v>1.2002080233616909E-8</v>
      </c>
      <c r="JQ15" s="126">
        <v>4.2091705636977613E-11</v>
      </c>
      <c r="JR15" s="126">
        <v>4.4588555623907949E-12</v>
      </c>
      <c r="JS15" s="126">
        <v>2.332092614615997E-13</v>
      </c>
      <c r="JT15" s="126">
        <v>1.513432441435557E-8</v>
      </c>
      <c r="JU15" s="126">
        <v>1.112593960351418E-13</v>
      </c>
      <c r="JV15" s="126">
        <v>6.1853505114085218E-14</v>
      </c>
      <c r="JW15" s="126">
        <v>3.0884752044009039E-7</v>
      </c>
      <c r="JX15" s="126">
        <v>6.6661704462059435E-7</v>
      </c>
      <c r="JY15" s="126">
        <v>6.8231530194839496E-8</v>
      </c>
      <c r="JZ15" s="126">
        <v>5.9091808978745583E-7</v>
      </c>
      <c r="KA15" s="126">
        <v>6.0221139680931886E-8</v>
      </c>
      <c r="KB15" s="126">
        <v>8.94425831340639E-8</v>
      </c>
      <c r="KC15" s="126">
        <v>1.6479232478527651E-7</v>
      </c>
      <c r="KD15" s="126">
        <v>2.732738896992594E-4</v>
      </c>
      <c r="KE15" s="126">
        <v>2.159226450922429E-5</v>
      </c>
      <c r="KF15" s="126">
        <v>2.0278606618720461E-4</v>
      </c>
      <c r="KG15" s="126">
        <v>4.670812060328488E-5</v>
      </c>
      <c r="KH15" s="126">
        <v>1.8062164688065571E-7</v>
      </c>
      <c r="KI15" s="126">
        <v>6.6590629817764973E-7</v>
      </c>
      <c r="KJ15" s="126">
        <v>6.8844038920376891E-8</v>
      </c>
      <c r="KK15" s="126">
        <v>5.7985293799421118E-7</v>
      </c>
      <c r="KL15" s="126">
        <v>3.9365203179242638E-8</v>
      </c>
      <c r="KM15" s="126">
        <v>2.6426850694908269E-8</v>
      </c>
      <c r="KN15" s="126">
        <v>1.038813937300933E-7</v>
      </c>
      <c r="KO15" s="126">
        <v>7.2811894021765152E-5</v>
      </c>
      <c r="KP15" s="126">
        <v>1.2144825807595171E-5</v>
      </c>
      <c r="KQ15" s="126">
        <v>1.1405943313629501E-4</v>
      </c>
      <c r="KR15" s="127">
        <v>2.627153758165131E-5</v>
      </c>
    </row>
    <row r="16" spans="2:304" x14ac:dyDescent="0.25">
      <c r="B16" s="5">
        <v>1400</v>
      </c>
      <c r="C16" s="126">
        <v>8.7672178643962209E-6</v>
      </c>
      <c r="D16" s="126">
        <v>1.6493100480666849E-7</v>
      </c>
      <c r="E16" s="126">
        <v>9.0788501411974483E-6</v>
      </c>
      <c r="F16" s="126">
        <v>1.7781939946512671E-7</v>
      </c>
      <c r="G16" s="126">
        <v>3.1247619061044219E-7</v>
      </c>
      <c r="H16" s="126">
        <v>5.1094272223619389E-7</v>
      </c>
      <c r="I16" s="126">
        <v>4.0144445658833218E-4</v>
      </c>
      <c r="J16" s="126">
        <v>1.7121694075438109E-5</v>
      </c>
      <c r="K16" s="126">
        <v>1.8841093328560531E-4</v>
      </c>
      <c r="L16" s="126">
        <v>3.751669126913251E-5</v>
      </c>
      <c r="M16" s="126">
        <v>3.1351141131101892E-4</v>
      </c>
      <c r="N16" s="126">
        <v>3.1225751272405651E-3</v>
      </c>
      <c r="O16" s="126">
        <v>3.2720899895936717E-5</v>
      </c>
      <c r="P16" s="126">
        <v>1.9768493816771878E-3</v>
      </c>
      <c r="Q16" s="126">
        <v>1.3966544095502329E-3</v>
      </c>
      <c r="R16" s="126">
        <v>5.9414318004398758E-5</v>
      </c>
      <c r="S16" s="126">
        <v>1.8888080545677909E-4</v>
      </c>
      <c r="T16" s="126">
        <v>6.6352595720002433E-2</v>
      </c>
      <c r="U16" s="126">
        <v>0.15009207195553251</v>
      </c>
      <c r="V16" s="126">
        <v>1.651646573716071</v>
      </c>
      <c r="W16" s="126">
        <v>0.32887855025852941</v>
      </c>
      <c r="X16" s="126">
        <v>7.1018006059692749E-6</v>
      </c>
      <c r="Y16" s="126">
        <v>5.7308075662990888E-5</v>
      </c>
      <c r="Z16" s="126">
        <v>7.0871299990942362E-7</v>
      </c>
      <c r="AA16" s="126">
        <v>2.7347322638220029E-5</v>
      </c>
      <c r="AB16" s="126">
        <v>3.2652570859452067E-5</v>
      </c>
      <c r="AC16" s="126">
        <v>1.320290974655872E-6</v>
      </c>
      <c r="AD16" s="126">
        <v>3.8551537840535232E-6</v>
      </c>
      <c r="AE16" s="126">
        <v>1.1531168701879751E-3</v>
      </c>
      <c r="AF16" s="126">
        <v>3.5457950979929701E-3</v>
      </c>
      <c r="AG16" s="126">
        <v>3.9018718633149367E-2</v>
      </c>
      <c r="AH16" s="126">
        <v>7.7694706732226136E-3</v>
      </c>
      <c r="AI16" s="126">
        <v>1.2104008187953659E-8</v>
      </c>
      <c r="AJ16" s="126">
        <v>8.1907498095070647E-8</v>
      </c>
      <c r="AK16" s="126">
        <v>7.9289463550267763E-9</v>
      </c>
      <c r="AL16" s="126">
        <v>9.1578774800476089E-8</v>
      </c>
      <c r="AM16" s="126">
        <v>4.1303988057201807E-9</v>
      </c>
      <c r="AN16" s="126">
        <v>1.9669802781555698E-9</v>
      </c>
      <c r="AO16" s="126">
        <v>7.7291703746238365E-9</v>
      </c>
      <c r="AP16" s="126">
        <v>2.190496969188516E-6</v>
      </c>
      <c r="AQ16" s="126">
        <v>1.7127438758518719E-7</v>
      </c>
      <c r="AR16" s="126">
        <v>1.8847414905712179E-6</v>
      </c>
      <c r="AS16" s="126">
        <v>3.7529278896304483E-7</v>
      </c>
      <c r="AT16" s="126">
        <v>1.16275768949949E-5</v>
      </c>
      <c r="AU16" s="126">
        <v>4.2961288443163552E-6</v>
      </c>
      <c r="AV16" s="126">
        <v>4.2297802522292158E-7</v>
      </c>
      <c r="AW16" s="126">
        <v>5.055387981659617E-6</v>
      </c>
      <c r="AX16" s="126">
        <v>1.4627263413729869E-7</v>
      </c>
      <c r="AY16" s="126">
        <v>3.8383386771178261E-7</v>
      </c>
      <c r="AZ16" s="126">
        <v>1.901094504564409E-7</v>
      </c>
      <c r="BA16" s="126">
        <v>6.1864728094845634E-5</v>
      </c>
      <c r="BB16" s="126">
        <v>1.0894602710881499E-5</v>
      </c>
      <c r="BC16" s="126">
        <v>1.198866336175059E-4</v>
      </c>
      <c r="BD16" s="126">
        <v>2.387202134339834E-5</v>
      </c>
      <c r="BE16" s="126">
        <v>7.1054457583773822E-11</v>
      </c>
      <c r="BF16" s="126">
        <v>4.5845877571707147E-8</v>
      </c>
      <c r="BG16" s="126">
        <v>4.4842366641138958E-13</v>
      </c>
      <c r="BH16" s="126">
        <v>1.8553256617177311E-7</v>
      </c>
      <c r="BI16" s="126">
        <v>4.5798918583443138E-14</v>
      </c>
      <c r="BJ16" s="126">
        <v>3.150258952457058E-9</v>
      </c>
      <c r="BK16" s="126">
        <v>4.7228791367595337E-12</v>
      </c>
      <c r="BL16" s="126">
        <v>5.003034366437514E-13</v>
      </c>
      <c r="BM16" s="126">
        <v>1.8188300701920211E-13</v>
      </c>
      <c r="BN16" s="126">
        <v>2.2547015906490029E-8</v>
      </c>
      <c r="BO16" s="126">
        <v>8.1269618496128845E-14</v>
      </c>
      <c r="BP16" s="126">
        <v>5.3951613919407029E-14</v>
      </c>
      <c r="BQ16" s="126">
        <v>2.7960574942475481E-5</v>
      </c>
      <c r="BR16" s="126">
        <v>1.6584804590366901E-4</v>
      </c>
      <c r="BS16" s="126">
        <v>2.722807428210823E-6</v>
      </c>
      <c r="BT16" s="126">
        <v>9.5305405190047106E-5</v>
      </c>
      <c r="BU16" s="126">
        <v>7.5299863154887949E-5</v>
      </c>
      <c r="BV16" s="126">
        <v>4.774330321338396E-6</v>
      </c>
      <c r="BW16" s="126">
        <v>1.403624364108833E-5</v>
      </c>
      <c r="BX16" s="126">
        <v>3.4433004186293029E-3</v>
      </c>
      <c r="BY16" s="126">
        <v>5.3746275419891418E-3</v>
      </c>
      <c r="BZ16" s="126">
        <v>3.3848941686733913E-5</v>
      </c>
      <c r="CA16" s="126">
        <v>8.5311548285541914E-3</v>
      </c>
      <c r="CB16" s="126">
        <v>6.6623486105801431E-4</v>
      </c>
      <c r="CC16" s="126">
        <v>4.4233231634333741E-4</v>
      </c>
      <c r="CD16" s="126">
        <v>5.9142974181849772E-2</v>
      </c>
      <c r="CE16" s="126">
        <v>8.3054044094490274E-5</v>
      </c>
      <c r="CF16" s="126">
        <v>9.3877736796586911E-2</v>
      </c>
      <c r="CG16" s="126">
        <v>7.3314064720575401E-3</v>
      </c>
      <c r="CH16" s="126">
        <v>2.3078621513831542E-3</v>
      </c>
      <c r="CI16" s="126">
        <v>1.2937217918529049E-3</v>
      </c>
      <c r="CJ16" s="126">
        <v>1.423640260951773E-2</v>
      </c>
      <c r="CK16" s="126">
        <v>2.8347756267133508E-3</v>
      </c>
      <c r="CL16" s="126">
        <v>1.058335425468524E-4</v>
      </c>
      <c r="CM16" s="126">
        <v>1.8693090508329409E-2</v>
      </c>
      <c r="CN16" s="126">
        <v>1.339659935691872E-5</v>
      </c>
      <c r="CO16" s="126">
        <v>6.4363152700150152E-5</v>
      </c>
      <c r="CP16" s="126">
        <v>1.308166591532074E-5</v>
      </c>
      <c r="CQ16" s="126">
        <v>6.6596569951529099E-5</v>
      </c>
      <c r="CR16" s="126">
        <v>3.4870181861321731E-6</v>
      </c>
      <c r="CS16" s="126">
        <v>2.930177311913646E-6</v>
      </c>
      <c r="CT16" s="126">
        <v>6.3026243633846444E-6</v>
      </c>
      <c r="CU16" s="126">
        <v>2.0010063774096279E-3</v>
      </c>
      <c r="CV16" s="126">
        <v>2.8218375706095031E-4</v>
      </c>
      <c r="CW16" s="126">
        <v>3.1052128832369501E-3</v>
      </c>
      <c r="CX16" s="126">
        <v>6.1831503636118276E-4</v>
      </c>
      <c r="CY16" s="126">
        <v>9.2105144881729417E-7</v>
      </c>
      <c r="CZ16" s="126">
        <v>5.7910011524533328E-4</v>
      </c>
      <c r="DA16" s="126">
        <v>1.9118740428042221E-8</v>
      </c>
      <c r="DB16" s="126">
        <v>3.920556605234018E-4</v>
      </c>
      <c r="DC16" s="126">
        <v>7.0392728155378857E-8</v>
      </c>
      <c r="DD16" s="126">
        <v>1.7105325170342381E-10</v>
      </c>
      <c r="DE16" s="126">
        <v>2.2488158572063001E-5</v>
      </c>
      <c r="DF16" s="126">
        <v>6.586328047861938E-9</v>
      </c>
      <c r="DG16" s="126">
        <v>6.9770207150999349E-10</v>
      </c>
      <c r="DH16" s="126">
        <v>5.4999372949136338E-8</v>
      </c>
      <c r="DI16" s="126">
        <v>9.557295282319843E-7</v>
      </c>
      <c r="DJ16" s="126">
        <v>5.6678298736133134E-9</v>
      </c>
      <c r="DK16" s="126">
        <v>6.3952383082411618E-9</v>
      </c>
      <c r="DL16" s="126">
        <v>1.12699531908787E-6</v>
      </c>
      <c r="DM16" s="126">
        <v>4.2290432745425821E-5</v>
      </c>
      <c r="DN16" s="126">
        <v>2.2651250049435611E-7</v>
      </c>
      <c r="DO16" s="126">
        <v>4.6937997746546348E-5</v>
      </c>
      <c r="DP16" s="126">
        <v>2.5138730727631461E-6</v>
      </c>
      <c r="DQ16" s="126">
        <v>2.9581212389126842E-7</v>
      </c>
      <c r="DR16" s="126">
        <v>1.804669669257339E-6</v>
      </c>
      <c r="DS16" s="126">
        <v>1.054301954778914E-3</v>
      </c>
      <c r="DT16" s="126">
        <v>6.7714827728245625E-4</v>
      </c>
      <c r="DU16" s="126">
        <v>7.4514903918619906E-3</v>
      </c>
      <c r="DV16" s="126">
        <v>1.4837528780913471E-3</v>
      </c>
      <c r="DW16" s="126">
        <v>5.7988904793180257E-6</v>
      </c>
      <c r="DX16" s="126">
        <v>2.9818954285359848E-6</v>
      </c>
      <c r="DY16" s="126">
        <v>9.5804277227873995E-6</v>
      </c>
      <c r="DZ16" s="126">
        <v>2.514535321983154E-6</v>
      </c>
      <c r="EA16" s="126">
        <v>5.2695643528406048E-7</v>
      </c>
      <c r="EB16" s="126">
        <v>1.3658358262363961E-5</v>
      </c>
      <c r="EC16" s="126">
        <v>2.9430618650032413E-7</v>
      </c>
      <c r="ED16" s="126">
        <v>1.626636503830726E-4</v>
      </c>
      <c r="EE16" s="126">
        <v>4.7026992513175379E-5</v>
      </c>
      <c r="EF16" s="126">
        <v>5.1749549489575413E-4</v>
      </c>
      <c r="EG16" s="126">
        <v>1.030445440538256E-4</v>
      </c>
      <c r="EH16" s="126">
        <v>2.936344089772201E-8</v>
      </c>
      <c r="EI16" s="126">
        <v>1.7831195771475829E-7</v>
      </c>
      <c r="EJ16" s="126">
        <v>7.0488870295607529E-9</v>
      </c>
      <c r="EK16" s="126">
        <v>8.3313741532911389E-8</v>
      </c>
      <c r="EL16" s="126">
        <v>1.732548493102842E-8</v>
      </c>
      <c r="EM16" s="126">
        <v>5.3872479995650388E-9</v>
      </c>
      <c r="EN16" s="126">
        <v>1.395221681944819E-8</v>
      </c>
      <c r="EO16" s="126">
        <v>3.0542442710467589E-6</v>
      </c>
      <c r="EP16" s="126">
        <v>2.4937285660515681E-5</v>
      </c>
      <c r="EQ16" s="126">
        <v>1.3010990969391991E-4</v>
      </c>
      <c r="ER16" s="126">
        <v>1.9229837472146192E-6</v>
      </c>
      <c r="ES16" s="126">
        <v>2.1160941254376789E-5</v>
      </c>
      <c r="ET16" s="126">
        <v>4.2136010164615924E-6</v>
      </c>
      <c r="EU16" s="126">
        <v>2.046281761652316E-11</v>
      </c>
      <c r="EV16" s="126">
        <v>3.0535450544253027E-5</v>
      </c>
      <c r="EW16" s="126">
        <v>7.9778995120107313E-11</v>
      </c>
      <c r="EX16" s="126">
        <v>1.0040065155929291E-5</v>
      </c>
      <c r="EY16" s="126">
        <v>3.9209687676182368E-6</v>
      </c>
      <c r="EZ16" s="126">
        <v>4.287212338831441E-7</v>
      </c>
      <c r="FA16" s="126">
        <v>4.5235890339659273E-6</v>
      </c>
      <c r="FB16" s="126">
        <v>1.4491412575547649E-7</v>
      </c>
      <c r="FC16" s="126">
        <v>3.9254750095948821E-7</v>
      </c>
      <c r="FD16" s="126">
        <v>1.8571309570945189E-7</v>
      </c>
      <c r="FE16" s="126">
        <v>5.8976352709753581E-5</v>
      </c>
      <c r="FF16" s="126">
        <v>8.2829696690335867E-6</v>
      </c>
      <c r="FG16" s="126">
        <v>9.1147642215949799E-5</v>
      </c>
      <c r="FH16" s="126">
        <v>1.8149466664663E-5</v>
      </c>
      <c r="FI16" s="126">
        <v>2.8591867659441268E-10</v>
      </c>
      <c r="FJ16" s="126">
        <v>2.8223546385485728E-7</v>
      </c>
      <c r="FK16" s="126">
        <v>1.17189860781868E-11</v>
      </c>
      <c r="FL16" s="126">
        <v>7.0222178075598559E-6</v>
      </c>
      <c r="FM16" s="126">
        <v>4.0886207196853302E-13</v>
      </c>
      <c r="FN16" s="126">
        <v>8.2981580664649956E-10</v>
      </c>
      <c r="FO16" s="126">
        <v>3.46987038619068E-12</v>
      </c>
      <c r="FP16" s="126">
        <v>3.6756987181989908E-13</v>
      </c>
      <c r="FQ16" s="126">
        <v>2.9465372840791418E-12</v>
      </c>
      <c r="FR16" s="126">
        <v>3.3623879286134097E-8</v>
      </c>
      <c r="FS16" s="126">
        <v>6.2748523265976735E-13</v>
      </c>
      <c r="FT16" s="126">
        <v>7.999340049242294E-13</v>
      </c>
      <c r="FU16" s="126">
        <v>3.2630351845488862E-9</v>
      </c>
      <c r="FV16" s="126">
        <v>2.632333741944817E-8</v>
      </c>
      <c r="FW16" s="126">
        <v>4.5486905555910749E-10</v>
      </c>
      <c r="FX16" s="126">
        <v>8.7559314105957738E-9</v>
      </c>
      <c r="FY16" s="126">
        <v>2.023708370356305E-8</v>
      </c>
      <c r="FZ16" s="126">
        <v>4.2942850531509211E-10</v>
      </c>
      <c r="GA16" s="126">
        <v>2.560167194595753E-9</v>
      </c>
      <c r="GB16" s="126">
        <v>1.4163966108273351E-6</v>
      </c>
      <c r="GC16" s="126">
        <v>3.731741311902535E-6</v>
      </c>
      <c r="GD16" s="126">
        <v>4.1064912166877098E-5</v>
      </c>
      <c r="GE16" s="126">
        <v>8.1769120554347124E-6</v>
      </c>
      <c r="GF16" s="126">
        <v>2.1450100167001061E-12</v>
      </c>
      <c r="GG16" s="126">
        <v>1.8381406997435149E-11</v>
      </c>
      <c r="GH16" s="126">
        <v>1.7132006421018239E-13</v>
      </c>
      <c r="GI16" s="126">
        <v>1.0025857390569931E-11</v>
      </c>
      <c r="GJ16" s="126">
        <v>1.198439732361006E-11</v>
      </c>
      <c r="GK16" s="126">
        <v>2.544679432325597E-13</v>
      </c>
      <c r="GL16" s="126">
        <v>1.573887201319982E-12</v>
      </c>
      <c r="GM16" s="126">
        <v>4.7014745884955413E-10</v>
      </c>
      <c r="GN16" s="126">
        <v>1.8110069543390481E-9</v>
      </c>
      <c r="GO16" s="126">
        <v>1.9928723696986788E-8</v>
      </c>
      <c r="GP16" s="126">
        <v>3.9682398536519518E-9</v>
      </c>
      <c r="GQ16" s="126">
        <v>9.5351138950520722E-8</v>
      </c>
      <c r="GR16" s="126">
        <v>2.102180101613094E-7</v>
      </c>
      <c r="GS16" s="126">
        <v>1.376292996820759E-7</v>
      </c>
      <c r="GT16" s="126">
        <v>1.4057280542546391E-7</v>
      </c>
      <c r="GU16" s="126">
        <v>3.2582063208226418E-8</v>
      </c>
      <c r="GV16" s="126">
        <v>2.665083382222926E-8</v>
      </c>
      <c r="GW16" s="126">
        <v>4.2833204690856393E-8</v>
      </c>
      <c r="GX16" s="126">
        <v>4.9576447962378359E-6</v>
      </c>
      <c r="GY16" s="126">
        <v>3.919527018350957E-6</v>
      </c>
      <c r="GZ16" s="126">
        <v>4.3131347886015403E-5</v>
      </c>
      <c r="HA16" s="126">
        <v>8.5883840945063562E-6</v>
      </c>
      <c r="HB16" s="126">
        <v>3.2495585445066389E-7</v>
      </c>
      <c r="HC16" s="126">
        <v>1.726940647746958E-5</v>
      </c>
      <c r="HD16" s="126">
        <v>3.8047662107628988E-7</v>
      </c>
      <c r="HE16" s="126">
        <v>9.9696561828030221E-7</v>
      </c>
      <c r="HF16" s="126">
        <v>2.361625582024468E-8</v>
      </c>
      <c r="HG16" s="126">
        <v>9.6243537669875503E-8</v>
      </c>
      <c r="HH16" s="126">
        <v>3.2856640695730221E-7</v>
      </c>
      <c r="HI16" s="126">
        <v>6.8079868300215524E-8</v>
      </c>
      <c r="HJ16" s="126">
        <v>2.0367792724168929E-7</v>
      </c>
      <c r="HK16" s="126">
        <v>9.1963465002158173E-7</v>
      </c>
      <c r="HL16" s="126">
        <v>7.3459095398797415E-8</v>
      </c>
      <c r="HM16" s="126">
        <v>1.900111334395879E-8</v>
      </c>
      <c r="HN16" s="126">
        <v>4.8511175388849377E-8</v>
      </c>
      <c r="HO16" s="126">
        <v>1.426793847304526E-5</v>
      </c>
      <c r="HP16" s="126">
        <v>9.1290075561533486E-6</v>
      </c>
      <c r="HQ16" s="126">
        <v>1.0045763147313939E-4</v>
      </c>
      <c r="HR16" s="126">
        <v>2.000328685752548E-5</v>
      </c>
      <c r="HS16" s="126">
        <v>2.0376602082656039E-7</v>
      </c>
      <c r="HT16" s="126">
        <v>5.1974636306807028E-9</v>
      </c>
      <c r="HU16" s="126">
        <v>9.5021948323912679E-10</v>
      </c>
      <c r="HV16" s="126">
        <v>2.0289181420698169E-8</v>
      </c>
      <c r="HW16" s="126">
        <v>2.4654549238635442E-6</v>
      </c>
      <c r="HX16" s="126">
        <v>2.610637088413861E-9</v>
      </c>
      <c r="HY16" s="126">
        <v>1.7323296204616541E-7</v>
      </c>
      <c r="HZ16" s="126">
        <v>4.752230825042706E-6</v>
      </c>
      <c r="IA16" s="126">
        <v>7.8497302170316279E-5</v>
      </c>
      <c r="IB16" s="126">
        <v>1.270280163618323E-8</v>
      </c>
      <c r="IC16" s="126">
        <v>4.0417525065427089E-7</v>
      </c>
      <c r="ID16" s="126">
        <v>4.1754567514973857E-9</v>
      </c>
      <c r="IE16" s="126">
        <v>1.314213236052411E-11</v>
      </c>
      <c r="IF16" s="126">
        <v>7.4416311762700929E-9</v>
      </c>
      <c r="IG16" s="126">
        <v>1.5267517197974011E-7</v>
      </c>
      <c r="IH16" s="126">
        <v>6.8515437277143864E-7</v>
      </c>
      <c r="II16" s="126">
        <v>6.3889674172289039E-7</v>
      </c>
      <c r="IJ16" s="126">
        <v>4.2651977303720688E-7</v>
      </c>
      <c r="IK16" s="126">
        <v>8.2936739377082938E-8</v>
      </c>
      <c r="IL16" s="126">
        <v>2.6409364127759341E-8</v>
      </c>
      <c r="IM16" s="126">
        <v>6.8594231706076675E-8</v>
      </c>
      <c r="IN16" s="126">
        <v>1.383970696203734E-5</v>
      </c>
      <c r="IO16" s="126">
        <v>3.589943436989404E-5</v>
      </c>
      <c r="IP16" s="126">
        <v>2.2749574373570442E-6</v>
      </c>
      <c r="IQ16" s="126">
        <v>1.8730475431515451E-4</v>
      </c>
      <c r="IR16" s="126">
        <v>2.503407011274039E-5</v>
      </c>
      <c r="IS16" s="126">
        <v>1.284009895897184E-5</v>
      </c>
      <c r="IT16" s="126">
        <v>1.4129530744331521E-4</v>
      </c>
      <c r="IU16" s="126">
        <v>2.8134951272135169E-5</v>
      </c>
      <c r="IV16" s="126">
        <v>1.1719374150512749E-8</v>
      </c>
      <c r="IW16" s="126">
        <v>4.395848921537712E-5</v>
      </c>
      <c r="IX16" s="126">
        <v>4.9848280914015119E-6</v>
      </c>
      <c r="IY16" s="126">
        <v>1.620863063589532E-10</v>
      </c>
      <c r="IZ16" s="126">
        <v>1.6144987155465909E-9</v>
      </c>
      <c r="JA16" s="126">
        <v>1.2341561680628001E-8</v>
      </c>
      <c r="JB16" s="126">
        <v>1.9584671649551848E-9</v>
      </c>
      <c r="JC16" s="126">
        <v>4.8734295907262214E-9</v>
      </c>
      <c r="JD16" s="126">
        <v>6.6807477877188985E-10</v>
      </c>
      <c r="JE16" s="126">
        <v>7.4427427275412241E-10</v>
      </c>
      <c r="JF16" s="126">
        <v>1.4973338621166599E-9</v>
      </c>
      <c r="JG16" s="126">
        <v>1.7357710498603931E-7</v>
      </c>
      <c r="JH16" s="126">
        <v>1.6509478709759501E-7</v>
      </c>
      <c r="JI16" s="126">
        <v>1.816739791085787E-6</v>
      </c>
      <c r="JJ16" s="126">
        <v>3.6175218003509081E-7</v>
      </c>
      <c r="JK16" s="126">
        <v>1.05008938480393E-10</v>
      </c>
      <c r="JL16" s="126">
        <v>1.047259756217574E-7</v>
      </c>
      <c r="JM16" s="126">
        <v>1.3460016406653731E-12</v>
      </c>
      <c r="JN16" s="126">
        <v>9.2275064211052888E-7</v>
      </c>
      <c r="JO16" s="126">
        <v>4.5058023100954672E-14</v>
      </c>
      <c r="JP16" s="126">
        <v>1.007725059330984E-8</v>
      </c>
      <c r="JQ16" s="126">
        <v>3.5341272451942111E-11</v>
      </c>
      <c r="JR16" s="126">
        <v>3.7437672129804533E-12</v>
      </c>
      <c r="JS16" s="126">
        <v>1.958084020299028E-13</v>
      </c>
      <c r="JT16" s="126">
        <v>1.2939912468124339E-8</v>
      </c>
      <c r="JU16" s="126">
        <v>9.3416227656589276E-14</v>
      </c>
      <c r="JV16" s="126">
        <v>5.1933781141684562E-14</v>
      </c>
      <c r="JW16" s="126">
        <v>3.0387199412061592E-7</v>
      </c>
      <c r="JX16" s="126">
        <v>6.5588398350194089E-7</v>
      </c>
      <c r="JY16" s="126">
        <v>6.7132821281050345E-8</v>
      </c>
      <c r="JZ16" s="126">
        <v>5.8140049514087889E-7</v>
      </c>
      <c r="KA16" s="126">
        <v>5.9251190704003182E-8</v>
      </c>
      <c r="KB16" s="126">
        <v>8.8001893765493511E-8</v>
      </c>
      <c r="KC16" s="126">
        <v>1.621382856560826E-7</v>
      </c>
      <c r="KD16" s="126">
        <v>2.3423476259936511E-4</v>
      </c>
      <c r="KE16" s="126">
        <v>1.8133205900019261E-5</v>
      </c>
      <c r="KF16" s="126">
        <v>1.9954183458889151E-4</v>
      </c>
      <c r="KG16" s="126">
        <v>3.9733094428229207E-5</v>
      </c>
      <c r="KH16" s="126">
        <v>1.7771183638050669E-7</v>
      </c>
      <c r="KI16" s="126">
        <v>6.5518468063829492E-7</v>
      </c>
      <c r="KJ16" s="126">
        <v>6.7735466988792315E-8</v>
      </c>
      <c r="KK16" s="126">
        <v>5.7051356369879768E-7</v>
      </c>
      <c r="KL16" s="126">
        <v>3.8731169370639928E-8</v>
      </c>
      <c r="KM16" s="126">
        <v>2.6001182277171671E-8</v>
      </c>
      <c r="KN16" s="126">
        <v>1.022083468566172E-7</v>
      </c>
      <c r="KO16" s="126">
        <v>6.2410194875798706E-5</v>
      </c>
      <c r="KP16" s="126">
        <v>1.019923718028325E-5</v>
      </c>
      <c r="KQ16" s="126">
        <v>1.1223467651458101E-4</v>
      </c>
      <c r="KR16" s="127">
        <v>2.2348351207972E-5</v>
      </c>
    </row>
    <row r="17" spans="2:304" x14ac:dyDescent="0.25">
      <c r="B17" s="5">
        <v>1600</v>
      </c>
      <c r="C17" s="126">
        <v>8.6248608790652633E-6</v>
      </c>
      <c r="D17" s="126">
        <v>1.6225263486043159E-7</v>
      </c>
      <c r="E17" s="126">
        <v>8.9313802457901784E-6</v>
      </c>
      <c r="F17" s="126">
        <v>1.7493103719097559E-7</v>
      </c>
      <c r="G17" s="126">
        <v>3.074002558037216E-7</v>
      </c>
      <c r="H17" s="126">
        <v>5.0264393520162411E-7</v>
      </c>
      <c r="I17" s="126">
        <v>3.5126389951479071E-4</v>
      </c>
      <c r="J17" s="126">
        <v>1.4674245561177611E-5</v>
      </c>
      <c r="K17" s="126">
        <v>1.853712160685571E-4</v>
      </c>
      <c r="L17" s="126">
        <v>3.2578888994783291E-5</v>
      </c>
      <c r="M17" s="126">
        <v>3.0841783735724741E-4</v>
      </c>
      <c r="N17" s="126">
        <v>3.07187256817806E-3</v>
      </c>
      <c r="O17" s="126">
        <v>3.2189534219738772E-5</v>
      </c>
      <c r="P17" s="126">
        <v>1.944738952821336E-3</v>
      </c>
      <c r="Q17" s="126">
        <v>1.373968223910725E-3</v>
      </c>
      <c r="R17" s="126">
        <v>5.8449178215069759E-5</v>
      </c>
      <c r="S17" s="126">
        <v>1.8581298295694269E-4</v>
      </c>
      <c r="T17" s="126">
        <v>5.8058521255002139E-2</v>
      </c>
      <c r="U17" s="126">
        <v>0.12863726632173611</v>
      </c>
      <c r="V17" s="126">
        <v>1.6249998264225209</v>
      </c>
      <c r="W17" s="126">
        <v>0.28559282333230213</v>
      </c>
      <c r="X17" s="126">
        <v>6.9864186923088564E-6</v>
      </c>
      <c r="Y17" s="126">
        <v>5.6377540456419573E-5</v>
      </c>
      <c r="Z17" s="126">
        <v>6.9720397162399083E-7</v>
      </c>
      <c r="AA17" s="126">
        <v>2.6903113652896339E-5</v>
      </c>
      <c r="AB17" s="126">
        <v>3.2122187481102063E-5</v>
      </c>
      <c r="AC17" s="126">
        <v>1.298843865677225E-6</v>
      </c>
      <c r="AD17" s="126">
        <v>3.792537958742703E-6</v>
      </c>
      <c r="AE17" s="126">
        <v>1.008977261414478E-3</v>
      </c>
      <c r="AF17" s="126">
        <v>3.038943912227172E-3</v>
      </c>
      <c r="AG17" s="126">
        <v>3.838921232612124E-2</v>
      </c>
      <c r="AH17" s="126">
        <v>6.7468828952782153E-3</v>
      </c>
      <c r="AI17" s="126">
        <v>1.1907356140793451E-8</v>
      </c>
      <c r="AJ17" s="126">
        <v>8.057753177221159E-8</v>
      </c>
      <c r="AK17" s="126">
        <v>7.8001855338123425E-9</v>
      </c>
      <c r="AL17" s="126">
        <v>9.0091239250123789E-8</v>
      </c>
      <c r="AM17" s="126">
        <v>4.0633077677146206E-9</v>
      </c>
      <c r="AN17" s="126">
        <v>1.9350282000195752E-9</v>
      </c>
      <c r="AO17" s="126">
        <v>7.6036323522557307E-9</v>
      </c>
      <c r="AP17" s="126">
        <v>1.916684848039951E-6</v>
      </c>
      <c r="AQ17" s="126">
        <v>1.467916907457673E-7</v>
      </c>
      <c r="AR17" s="126">
        <v>1.8543341195197199E-6</v>
      </c>
      <c r="AS17" s="126">
        <v>3.2589819886993413E-7</v>
      </c>
      <c r="AT17" s="126">
        <v>1.143866535722932E-5</v>
      </c>
      <c r="AU17" s="126">
        <v>4.2263708024460938E-6</v>
      </c>
      <c r="AV17" s="126">
        <v>4.1610914309852258E-7</v>
      </c>
      <c r="AW17" s="126">
        <v>4.9732721271952348E-6</v>
      </c>
      <c r="AX17" s="126">
        <v>1.4389669338250079E-7</v>
      </c>
      <c r="AY17" s="126">
        <v>3.7759878245517388E-7</v>
      </c>
      <c r="AZ17" s="126">
        <v>1.87021672171446E-7</v>
      </c>
      <c r="BA17" s="126">
        <v>5.4131637082989947E-5</v>
      </c>
      <c r="BB17" s="126">
        <v>9.3372813908810422E-6</v>
      </c>
      <c r="BC17" s="126">
        <v>1.17952449343026E-4</v>
      </c>
      <c r="BD17" s="126">
        <v>2.0730077923144499E-5</v>
      </c>
      <c r="BE17" s="126">
        <v>6.088445695329836E-11</v>
      </c>
      <c r="BF17" s="126">
        <v>3.9283972960645113E-8</v>
      </c>
      <c r="BG17" s="126">
        <v>3.8424093750044592E-13</v>
      </c>
      <c r="BH17" s="126">
        <v>1.6193809167309779E-7</v>
      </c>
      <c r="BI17" s="126">
        <v>3.9243744892958523E-14</v>
      </c>
      <c r="BJ17" s="126">
        <v>2.699363463979483E-9</v>
      </c>
      <c r="BK17" s="126">
        <v>4.0468962616004939E-12</v>
      </c>
      <c r="BL17" s="126">
        <v>4.2869507393309111E-13</v>
      </c>
      <c r="BM17" s="126">
        <v>1.558501531569337E-13</v>
      </c>
      <c r="BN17" s="126">
        <v>1.9679675671814591E-8</v>
      </c>
      <c r="BO17" s="126">
        <v>6.9637541470550508E-14</v>
      </c>
      <c r="BP17" s="126">
        <v>4.6229548347716282E-14</v>
      </c>
      <c r="BQ17" s="126">
        <v>2.7506303579069879E-5</v>
      </c>
      <c r="BR17" s="126">
        <v>1.6315510177897059E-4</v>
      </c>
      <c r="BS17" s="126">
        <v>2.6785908444723139E-6</v>
      </c>
      <c r="BT17" s="126">
        <v>9.3757337106915384E-5</v>
      </c>
      <c r="BU17" s="126">
        <v>7.4076749790207122E-5</v>
      </c>
      <c r="BV17" s="126">
        <v>4.6967750061333559E-6</v>
      </c>
      <c r="BW17" s="126">
        <v>1.380826545160963E-5</v>
      </c>
      <c r="BX17" s="126">
        <v>3.0128878663006398E-3</v>
      </c>
      <c r="BY17" s="126">
        <v>4.6063534772708961E-3</v>
      </c>
      <c r="BZ17" s="126">
        <v>2.9464709038284399E-5</v>
      </c>
      <c r="CA17" s="126">
        <v>7.3116721861442788E-3</v>
      </c>
      <c r="CB17" s="126">
        <v>5.7100046169787557E-4</v>
      </c>
      <c r="CC17" s="126">
        <v>3.8994634940595633E-4</v>
      </c>
      <c r="CD17" s="126">
        <v>5.8188792210530887E-2</v>
      </c>
      <c r="CE17" s="126">
        <v>7.9303779721009001E-5</v>
      </c>
      <c r="CF17" s="126">
        <v>9.2363162238937924E-2</v>
      </c>
      <c r="CG17" s="126">
        <v>7.2131254239808521E-3</v>
      </c>
      <c r="CH17" s="126">
        <v>2.293057187467504E-3</v>
      </c>
      <c r="CI17" s="126">
        <v>1.1087916404679979E-3</v>
      </c>
      <c r="CJ17" s="126">
        <v>1.400672040707684E-2</v>
      </c>
      <c r="CK17" s="126">
        <v>2.4616733870611121E-3</v>
      </c>
      <c r="CL17" s="126">
        <v>9.1174690250218953E-5</v>
      </c>
      <c r="CM17" s="126">
        <v>1.6232778136003E-2</v>
      </c>
      <c r="CN17" s="126">
        <v>1.317894677046847E-5</v>
      </c>
      <c r="CO17" s="126">
        <v>6.3318061255348876E-5</v>
      </c>
      <c r="CP17" s="126">
        <v>1.286922835165358E-5</v>
      </c>
      <c r="CQ17" s="126">
        <v>6.5514826222698314E-5</v>
      </c>
      <c r="CR17" s="126">
        <v>3.4303777306565709E-6</v>
      </c>
      <c r="CS17" s="126">
        <v>2.8825788405602001E-6</v>
      </c>
      <c r="CT17" s="126">
        <v>6.2002564558397314E-6</v>
      </c>
      <c r="CU17" s="126">
        <v>1.750880580233424E-3</v>
      </c>
      <c r="CV17" s="126">
        <v>2.418471984281214E-4</v>
      </c>
      <c r="CW17" s="126">
        <v>3.055115105474408E-3</v>
      </c>
      <c r="CX17" s="126">
        <v>5.3693479493993103E-4</v>
      </c>
      <c r="CY17" s="126">
        <v>7.8922166454051811E-7</v>
      </c>
      <c r="CZ17" s="126">
        <v>4.9621371590547175E-4</v>
      </c>
      <c r="DA17" s="126">
        <v>1.6382281525612251E-8</v>
      </c>
      <c r="DB17" s="126">
        <v>3.4219731233607381E-4</v>
      </c>
      <c r="DC17" s="126">
        <v>6.0317440593830822E-8</v>
      </c>
      <c r="DD17" s="126">
        <v>1.4657049512489869E-10</v>
      </c>
      <c r="DE17" s="126">
        <v>1.926943611230999E-5</v>
      </c>
      <c r="DF17" s="126">
        <v>5.643630841007491E-9</v>
      </c>
      <c r="DG17" s="126">
        <v>5.9784006909036507E-10</v>
      </c>
      <c r="DH17" s="126">
        <v>4.7127331124194987E-8</v>
      </c>
      <c r="DI17" s="126">
        <v>8.3418786874443632E-7</v>
      </c>
      <c r="DJ17" s="126">
        <v>4.8565964154313427E-9</v>
      </c>
      <c r="DK17" s="126">
        <v>5.479891278278397E-9</v>
      </c>
      <c r="DL17" s="126">
        <v>1.108685191302334E-6</v>
      </c>
      <c r="DM17" s="126">
        <v>4.1603745291424138E-5</v>
      </c>
      <c r="DN17" s="126">
        <v>2.2283408796978429E-7</v>
      </c>
      <c r="DO17" s="126">
        <v>4.6175572823713922E-5</v>
      </c>
      <c r="DP17" s="126">
        <v>2.4730396419495561E-6</v>
      </c>
      <c r="DQ17" s="126">
        <v>2.9100688400090652E-7</v>
      </c>
      <c r="DR17" s="126">
        <v>1.7753580290261851E-6</v>
      </c>
      <c r="DS17" s="126">
        <v>9.2251421043154961E-4</v>
      </c>
      <c r="DT17" s="126">
        <v>5.8035379316966865E-4</v>
      </c>
      <c r="DU17" s="126">
        <v>7.3312721898615941E-3</v>
      </c>
      <c r="DV17" s="126">
        <v>1.2884670442886289E-3</v>
      </c>
      <c r="DW17" s="126">
        <v>5.7046767555409164E-6</v>
      </c>
      <c r="DX17" s="126">
        <v>2.933477144612368E-6</v>
      </c>
      <c r="DY17" s="126">
        <v>9.4248479413212839E-6</v>
      </c>
      <c r="DZ17" s="126">
        <v>2.4736911340999261E-6</v>
      </c>
      <c r="EA17" s="126">
        <v>5.1839695812704707E-7</v>
      </c>
      <c r="EB17" s="126">
        <v>1.3436488762575339E-5</v>
      </c>
      <c r="EC17" s="126">
        <v>2.8952603354299622E-7</v>
      </c>
      <c r="ED17" s="126">
        <v>1.423306940851886E-4</v>
      </c>
      <c r="EE17" s="126">
        <v>4.0304752152531297E-5</v>
      </c>
      <c r="EF17" s="126">
        <v>5.0914651037480289E-4</v>
      </c>
      <c r="EG17" s="126">
        <v>8.9482218412201256E-5</v>
      </c>
      <c r="EH17" s="126">
        <v>2.8886377376734661E-8</v>
      </c>
      <c r="EI17" s="126">
        <v>1.7541663183814029E-7</v>
      </c>
      <c r="EJ17" s="126">
        <v>6.9344177871249539E-9</v>
      </c>
      <c r="EK17" s="126">
        <v>8.1960456859327578E-8</v>
      </c>
      <c r="EL17" s="126">
        <v>1.7044063009648189E-8</v>
      </c>
      <c r="EM17" s="126">
        <v>5.2997363092183049E-9</v>
      </c>
      <c r="EN17" s="126">
        <v>1.3725603402707471E-8</v>
      </c>
      <c r="EO17" s="126">
        <v>2.6724637371659142E-6</v>
      </c>
      <c r="EP17" s="126">
        <v>2.1983931872306811E-5</v>
      </c>
      <c r="EQ17" s="126">
        <v>1.292752530325883E-4</v>
      </c>
      <c r="ER17" s="126">
        <v>1.648104188315184E-6</v>
      </c>
      <c r="ES17" s="126">
        <v>2.0819542396369069E-5</v>
      </c>
      <c r="ET17" s="126">
        <v>3.6590230945166818E-6</v>
      </c>
      <c r="EU17" s="126">
        <v>1.786052822665347E-11</v>
      </c>
      <c r="EV17" s="126">
        <v>2.6703090479758429E-5</v>
      </c>
      <c r="EW17" s="126">
        <v>6.9633372145493927E-11</v>
      </c>
      <c r="EX17" s="126">
        <v>9.8769456887349154E-6</v>
      </c>
      <c r="EY17" s="126">
        <v>3.8573023569086597E-6</v>
      </c>
      <c r="EZ17" s="126">
        <v>4.2175908586560071E-7</v>
      </c>
      <c r="FA17" s="126">
        <v>4.4501113147251018E-6</v>
      </c>
      <c r="FB17" s="126">
        <v>1.4256025157142959E-7</v>
      </c>
      <c r="FC17" s="126">
        <v>3.8617086944871962E-7</v>
      </c>
      <c r="FD17" s="126">
        <v>1.8269672349442511E-7</v>
      </c>
      <c r="FE17" s="126">
        <v>5.1604308621034377E-5</v>
      </c>
      <c r="FF17" s="126">
        <v>7.0989663968794394E-6</v>
      </c>
      <c r="FG17" s="126">
        <v>8.9677116846186971E-5</v>
      </c>
      <c r="FH17" s="126">
        <v>1.5760703830219399E-5</v>
      </c>
      <c r="FI17" s="126">
        <v>2.4499523251911888E-10</v>
      </c>
      <c r="FJ17" s="126">
        <v>2.4183919946275962E-7</v>
      </c>
      <c r="FK17" s="126">
        <v>1.0041651532963779E-11</v>
      </c>
      <c r="FL17" s="126">
        <v>6.1291910877589941E-6</v>
      </c>
      <c r="FM17" s="126">
        <v>3.5034187148995512E-13</v>
      </c>
      <c r="FN17" s="126">
        <v>7.1104455351111562E-10</v>
      </c>
      <c r="FO17" s="126">
        <v>2.9732299064819959E-12</v>
      </c>
      <c r="FP17" s="126">
        <v>3.1495964615492408E-13</v>
      </c>
      <c r="FQ17" s="126">
        <v>2.5248003897245231E-12</v>
      </c>
      <c r="FR17" s="126">
        <v>2.934787654045586E-8</v>
      </c>
      <c r="FS17" s="126">
        <v>5.3767360694063041E-13</v>
      </c>
      <c r="FT17" s="126">
        <v>6.8543987972016176E-13</v>
      </c>
      <c r="FU17" s="126">
        <v>3.210021130110625E-9</v>
      </c>
      <c r="FV17" s="126">
        <v>2.5895914374094171E-8</v>
      </c>
      <c r="FW17" s="126">
        <v>4.474822842888375E-10</v>
      </c>
      <c r="FX17" s="126">
        <v>8.6137067599812098E-9</v>
      </c>
      <c r="FY17" s="126">
        <v>1.9908367999404619E-8</v>
      </c>
      <c r="FZ17" s="126">
        <v>4.2245277032271212E-10</v>
      </c>
      <c r="GA17" s="126">
        <v>2.518584681730406E-9</v>
      </c>
      <c r="GB17" s="126">
        <v>1.2393470344739169E-6</v>
      </c>
      <c r="GC17" s="126">
        <v>3.1983101754052152E-6</v>
      </c>
      <c r="GD17" s="126">
        <v>4.0402393711321171E-5</v>
      </c>
      <c r="GE17" s="126">
        <v>7.100698413489716E-6</v>
      </c>
      <c r="GF17" s="126">
        <v>2.110160353314796E-12</v>
      </c>
      <c r="GG17" s="126">
        <v>1.8082940399847471E-11</v>
      </c>
      <c r="GH17" s="126">
        <v>1.685379401838006E-13</v>
      </c>
      <c r="GI17" s="126">
        <v>9.8630050339651636E-12</v>
      </c>
      <c r="GJ17" s="126">
        <v>1.178973194282443E-11</v>
      </c>
      <c r="GK17" s="126">
        <v>2.5033430768187849E-13</v>
      </c>
      <c r="GL17" s="126">
        <v>1.548323954929026E-12</v>
      </c>
      <c r="GM17" s="126">
        <v>4.1137902649335991E-10</v>
      </c>
      <c r="GN17" s="126">
        <v>1.5521338393199589E-9</v>
      </c>
      <c r="GO17" s="126">
        <v>1.9607204751779391E-8</v>
      </c>
      <c r="GP17" s="126">
        <v>3.4459554220648978E-9</v>
      </c>
      <c r="GQ17" s="126">
        <v>9.3801982969914303E-8</v>
      </c>
      <c r="GR17" s="126">
        <v>2.0680461235921241E-7</v>
      </c>
      <c r="GS17" s="126">
        <v>1.3539429128918941E-7</v>
      </c>
      <c r="GT17" s="126">
        <v>1.3828944832728571E-7</v>
      </c>
      <c r="GU17" s="126">
        <v>3.2052825102217047E-8</v>
      </c>
      <c r="GV17" s="126">
        <v>2.6217911573778558E-8</v>
      </c>
      <c r="GW17" s="126">
        <v>4.2137503141019597E-8</v>
      </c>
      <c r="GX17" s="126">
        <v>4.3379391967081084E-6</v>
      </c>
      <c r="GY17" s="126">
        <v>3.3592529861552579E-6</v>
      </c>
      <c r="GZ17" s="126">
        <v>4.2435490705769512E-5</v>
      </c>
      <c r="HA17" s="126">
        <v>7.4580140890434826E-6</v>
      </c>
      <c r="HB17" s="126">
        <v>2.8363069639764088E-7</v>
      </c>
      <c r="HC17" s="126">
        <v>1.5102004898578031E-5</v>
      </c>
      <c r="HD17" s="126">
        <v>3.28579337856619E-7</v>
      </c>
      <c r="HE17" s="126">
        <v>8.6574883607707602E-7</v>
      </c>
      <c r="HF17" s="126">
        <v>2.0612938628000018E-8</v>
      </c>
      <c r="HG17" s="126">
        <v>9.4679883018058753E-8</v>
      </c>
      <c r="HH17" s="126">
        <v>3.2323133671051209E-7</v>
      </c>
      <c r="HI17" s="126">
        <v>6.6974296467843537E-8</v>
      </c>
      <c r="HJ17" s="126">
        <v>2.0036953882686081E-7</v>
      </c>
      <c r="HK17" s="126">
        <v>9.0469680838498702E-7</v>
      </c>
      <c r="HL17" s="126">
        <v>7.2265882057163304E-8</v>
      </c>
      <c r="HM17" s="126">
        <v>1.869245490697316E-8</v>
      </c>
      <c r="HN17" s="126">
        <v>4.7723251623956968E-8</v>
      </c>
      <c r="HO17" s="126">
        <v>1.248444616391461E-5</v>
      </c>
      <c r="HP17" s="126">
        <v>7.8240679934244368E-6</v>
      </c>
      <c r="HQ17" s="126">
        <v>9.8836903914246079E-5</v>
      </c>
      <c r="HR17" s="126">
        <v>1.737053135595448E-5</v>
      </c>
      <c r="HS17" s="126">
        <v>1.7460105875739901E-7</v>
      </c>
      <c r="HT17" s="126">
        <v>4.4535524051602564E-9</v>
      </c>
      <c r="HU17" s="126">
        <v>8.2937854502522406E-10</v>
      </c>
      <c r="HV17" s="126">
        <v>1.738519769171505E-8</v>
      </c>
      <c r="HW17" s="126">
        <v>2.123968295870119E-6</v>
      </c>
      <c r="HX17" s="126">
        <v>2.236978057006937E-9</v>
      </c>
      <c r="HY17" s="126">
        <v>1.484381873241379E-7</v>
      </c>
      <c r="HZ17" s="126">
        <v>4.0720467014938719E-6</v>
      </c>
      <c r="IA17" s="126">
        <v>6.86454768117183E-5</v>
      </c>
      <c r="IB17" s="126">
        <v>1.0884653863859759E-8</v>
      </c>
      <c r="IC17" s="126">
        <v>3.5097925786916681E-7</v>
      </c>
      <c r="ID17" s="126">
        <v>3.5778250254699088E-9</v>
      </c>
      <c r="IE17" s="126">
        <v>1.147082627536213E-11</v>
      </c>
      <c r="IF17" s="126">
        <v>6.3765144864157891E-9</v>
      </c>
      <c r="IG17" s="126">
        <v>1.501946808354732E-7</v>
      </c>
      <c r="IH17" s="126">
        <v>6.7402923450036161E-7</v>
      </c>
      <c r="II17" s="126">
        <v>6.285214830880135E-7</v>
      </c>
      <c r="IJ17" s="126">
        <v>4.1959171217699831E-7</v>
      </c>
      <c r="IK17" s="126">
        <v>8.1589578438071645E-8</v>
      </c>
      <c r="IL17" s="126">
        <v>2.598036436832944E-8</v>
      </c>
      <c r="IM17" s="126">
        <v>6.7480116765291757E-8</v>
      </c>
      <c r="IN17" s="126">
        <v>1.210974359178267E-5</v>
      </c>
      <c r="IO17" s="126">
        <v>3.1647819661932678E-5</v>
      </c>
      <c r="IP17" s="126">
        <v>1.949765040277805E-6</v>
      </c>
      <c r="IQ17" s="126">
        <v>1.8610319202634821E-4</v>
      </c>
      <c r="IR17" s="126">
        <v>2.4630183042971601E-5</v>
      </c>
      <c r="IS17" s="126">
        <v>1.1004680046472131E-5</v>
      </c>
      <c r="IT17" s="126">
        <v>1.3901572753129111E-4</v>
      </c>
      <c r="IU17" s="126">
        <v>2.44319374486705E-5</v>
      </c>
      <c r="IV17" s="126">
        <v>1.022900251258314E-8</v>
      </c>
      <c r="IW17" s="126">
        <v>3.8441467014562262E-5</v>
      </c>
      <c r="IX17" s="126">
        <v>4.32874418038538E-6</v>
      </c>
      <c r="IY17" s="126">
        <v>1.4147353038715921E-10</v>
      </c>
      <c r="IZ17" s="126">
        <v>1.5882681915235041E-9</v>
      </c>
      <c r="JA17" s="126">
        <v>1.2141166578977209E-8</v>
      </c>
      <c r="JB17" s="126">
        <v>1.9266629593029101E-9</v>
      </c>
      <c r="JC17" s="126">
        <v>4.7942693291466308E-9</v>
      </c>
      <c r="JD17" s="126">
        <v>6.5722308321380771E-10</v>
      </c>
      <c r="JE17" s="126">
        <v>7.3218411100631387E-10</v>
      </c>
      <c r="JF17" s="126">
        <v>1.4730140033525071E-9</v>
      </c>
      <c r="JG17" s="126">
        <v>1.5187996686278439E-7</v>
      </c>
      <c r="JH17" s="126">
        <v>1.414954289024379E-7</v>
      </c>
      <c r="JI17" s="126">
        <v>1.787429521636143E-6</v>
      </c>
      <c r="JJ17" s="126">
        <v>3.1413975268871278E-7</v>
      </c>
      <c r="JK17" s="126">
        <v>8.997904441228265E-11</v>
      </c>
      <c r="JL17" s="126">
        <v>8.9736582927604373E-8</v>
      </c>
      <c r="JM17" s="126">
        <v>1.15334887746965E-12</v>
      </c>
      <c r="JN17" s="126">
        <v>8.0540296055172337E-7</v>
      </c>
      <c r="JO17" s="126">
        <v>3.8608893367935091E-14</v>
      </c>
      <c r="JP17" s="126">
        <v>8.6348971559083133E-9</v>
      </c>
      <c r="JQ17" s="126">
        <v>3.0282897195649951E-11</v>
      </c>
      <c r="JR17" s="126">
        <v>3.2079223219483002E-12</v>
      </c>
      <c r="JS17" s="126">
        <v>1.6778241104488131E-13</v>
      </c>
      <c r="JT17" s="126">
        <v>1.129432301154569E-8</v>
      </c>
      <c r="JU17" s="126">
        <v>8.0045612958894249E-14</v>
      </c>
      <c r="JV17" s="126">
        <v>4.4500526893517062E-14</v>
      </c>
      <c r="JW17" s="126">
        <v>2.9893503036525869E-7</v>
      </c>
      <c r="JX17" s="126">
        <v>6.4523412079037648E-7</v>
      </c>
      <c r="JY17" s="126">
        <v>6.604262886309942E-8</v>
      </c>
      <c r="JZ17" s="126">
        <v>5.7195667033104984E-7</v>
      </c>
      <c r="KA17" s="126">
        <v>5.8288759695672513E-8</v>
      </c>
      <c r="KB17" s="126">
        <v>8.6572370848086717E-8</v>
      </c>
      <c r="KC17" s="126">
        <v>1.5950481805932121E-7</v>
      </c>
      <c r="KD17" s="126">
        <v>2.0495541727444451E-4</v>
      </c>
      <c r="KE17" s="126">
        <v>1.5541167539606831E-5</v>
      </c>
      <c r="KF17" s="126">
        <v>1.963225376004211E-4</v>
      </c>
      <c r="KG17" s="126">
        <v>3.4503577714529432E-5</v>
      </c>
      <c r="KH17" s="126">
        <v>1.7482457821889979E-7</v>
      </c>
      <c r="KI17" s="126">
        <v>6.4454617279996885E-7</v>
      </c>
      <c r="KJ17" s="126">
        <v>6.6635488004915012E-8</v>
      </c>
      <c r="KK17" s="126">
        <v>5.6124657787365297E-7</v>
      </c>
      <c r="KL17" s="126">
        <v>3.8102049888848798E-8</v>
      </c>
      <c r="KM17" s="126">
        <v>2.5578813117208641E-8</v>
      </c>
      <c r="KN17" s="126">
        <v>1.0054826781682539E-7</v>
      </c>
      <c r="KO17" s="126">
        <v>5.4608920516323867E-5</v>
      </c>
      <c r="KP17" s="126">
        <v>8.7413143968547111E-6</v>
      </c>
      <c r="KQ17" s="126">
        <v>1.104239446605327E-4</v>
      </c>
      <c r="KR17" s="127">
        <v>1.940694737704641E-5</v>
      </c>
    </row>
    <row r="18" spans="2:304" x14ac:dyDescent="0.25">
      <c r="B18" s="5">
        <v>1800</v>
      </c>
      <c r="C18" s="126">
        <v>8.4836031278661805E-6</v>
      </c>
      <c r="D18" s="126">
        <v>1.595949457895848E-7</v>
      </c>
      <c r="E18" s="126">
        <v>8.7850489608111538E-6</v>
      </c>
      <c r="F18" s="126">
        <v>1.720649758711774E-7</v>
      </c>
      <c r="G18" s="126">
        <v>3.0236351151899481E-7</v>
      </c>
      <c r="H18" s="126">
        <v>4.9440922397339616E-7</v>
      </c>
      <c r="I18" s="126">
        <v>3.1223457734648062E-4</v>
      </c>
      <c r="J18" s="126">
        <v>1.2772545861887689E-5</v>
      </c>
      <c r="K18" s="126">
        <v>1.823547699052257E-4</v>
      </c>
      <c r="L18" s="126">
        <v>2.873983037058836E-5</v>
      </c>
      <c r="M18" s="126">
        <v>3.0336358849605529E-4</v>
      </c>
      <c r="N18" s="126">
        <v>3.021561517711816E-3</v>
      </c>
      <c r="O18" s="126">
        <v>3.1662271452234019E-5</v>
      </c>
      <c r="P18" s="126">
        <v>1.912876447577621E-3</v>
      </c>
      <c r="Q18" s="126">
        <v>1.3514571975976339E-3</v>
      </c>
      <c r="R18" s="126">
        <v>5.7491490123522743E-5</v>
      </c>
      <c r="S18" s="126">
        <v>1.8276884743685071E-4</v>
      </c>
      <c r="T18" s="126">
        <v>5.1607574448890789E-2</v>
      </c>
      <c r="U18" s="126">
        <v>0.1119666000403487</v>
      </c>
      <c r="V18" s="126">
        <v>1.5985570776733651</v>
      </c>
      <c r="W18" s="126">
        <v>0.25193889512137962</v>
      </c>
      <c r="X18" s="126">
        <v>6.8719275882210222E-6</v>
      </c>
      <c r="Y18" s="126">
        <v>5.5454190538702141E-5</v>
      </c>
      <c r="Z18" s="126">
        <v>6.8578380962089007E-7</v>
      </c>
      <c r="AA18" s="126">
        <v>2.6462334391189209E-5</v>
      </c>
      <c r="AB18" s="126">
        <v>3.1595899176149152E-5</v>
      </c>
      <c r="AC18" s="126">
        <v>1.2775623465708149E-6</v>
      </c>
      <c r="AD18" s="126">
        <v>3.730405596795847E-6</v>
      </c>
      <c r="AE18" s="126">
        <v>8.9686867681286952E-4</v>
      </c>
      <c r="AF18" s="126">
        <v>2.6451138717015609E-3</v>
      </c>
      <c r="AG18" s="126">
        <v>3.7764525307875552E-2</v>
      </c>
      <c r="AH18" s="126">
        <v>5.951838013001887E-3</v>
      </c>
      <c r="AI18" s="126">
        <v>1.171222235174252E-8</v>
      </c>
      <c r="AJ18" s="126">
        <v>7.9257835014789941E-8</v>
      </c>
      <c r="AK18" s="126">
        <v>7.6724189316759703E-9</v>
      </c>
      <c r="AL18" s="126">
        <v>8.8615188915010448E-8</v>
      </c>
      <c r="AM18" s="126">
        <v>3.996734737505187E-9</v>
      </c>
      <c r="AN18" s="126">
        <v>1.9033228190277751E-9</v>
      </c>
      <c r="AO18" s="126">
        <v>7.4790636221439814E-9</v>
      </c>
      <c r="AP18" s="126">
        <v>1.7037198649244011E-6</v>
      </c>
      <c r="AQ18" s="126">
        <v>1.2776831315639281E-7</v>
      </c>
      <c r="AR18" s="126">
        <v>1.8241595370845961E-6</v>
      </c>
      <c r="AS18" s="126">
        <v>2.8749473179094459E-7</v>
      </c>
      <c r="AT18" s="126">
        <v>1.125121231673489E-5</v>
      </c>
      <c r="AU18" s="126">
        <v>4.1571514093848003E-6</v>
      </c>
      <c r="AV18" s="126">
        <v>4.092932986418599E-7</v>
      </c>
      <c r="AW18" s="126">
        <v>4.8917902866627067E-6</v>
      </c>
      <c r="AX18" s="126">
        <v>1.415390971916076E-7</v>
      </c>
      <c r="AY18" s="126">
        <v>3.7141183734519558E-7</v>
      </c>
      <c r="AZ18" s="126">
        <v>1.8395773494690869E-7</v>
      </c>
      <c r="BA18" s="126">
        <v>4.8117010740435512E-5</v>
      </c>
      <c r="BB18" s="126">
        <v>8.1272222338909715E-6</v>
      </c>
      <c r="BC18" s="126">
        <v>1.160330725334963E-4</v>
      </c>
      <c r="BD18" s="126">
        <v>1.8287269500677291E-5</v>
      </c>
      <c r="BE18" s="126">
        <v>5.2982317250816181E-11</v>
      </c>
      <c r="BF18" s="126">
        <v>3.4185341322233261E-8</v>
      </c>
      <c r="BG18" s="126">
        <v>3.343706465581831E-13</v>
      </c>
      <c r="BH18" s="126">
        <v>1.4358959887432869E-7</v>
      </c>
      <c r="BI18" s="126">
        <v>3.4150343154985148E-14</v>
      </c>
      <c r="BJ18" s="126">
        <v>2.3490154874528121E-9</v>
      </c>
      <c r="BK18" s="126">
        <v>3.5216542892495812E-12</v>
      </c>
      <c r="BL18" s="126">
        <v>3.7305503018639148E-13</v>
      </c>
      <c r="BM18" s="126">
        <v>1.35622499734256E-13</v>
      </c>
      <c r="BN18" s="126">
        <v>1.744985819270453E-8</v>
      </c>
      <c r="BO18" s="126">
        <v>6.0599361238435326E-14</v>
      </c>
      <c r="BP18" s="126">
        <v>4.0229465967539861E-14</v>
      </c>
      <c r="BQ18" s="126">
        <v>2.7055539431537508E-5</v>
      </c>
      <c r="BR18" s="126">
        <v>1.6048295168900271E-4</v>
      </c>
      <c r="BS18" s="126">
        <v>2.6347156764742839E-6</v>
      </c>
      <c r="BT18" s="126">
        <v>9.2221221608805996E-5</v>
      </c>
      <c r="BU18" s="126">
        <v>7.286308004537904E-5</v>
      </c>
      <c r="BV18" s="126">
        <v>4.6198184837422529E-6</v>
      </c>
      <c r="BW18" s="126">
        <v>1.358204750567717E-5</v>
      </c>
      <c r="BX18" s="126">
        <v>2.6781225478227921E-3</v>
      </c>
      <c r="BY18" s="126">
        <v>4.0093944301059772E-3</v>
      </c>
      <c r="BZ18" s="126">
        <v>2.6055662866118231E-5</v>
      </c>
      <c r="CA18" s="126">
        <v>6.3641181430253591E-3</v>
      </c>
      <c r="CB18" s="126">
        <v>4.9700207985503369E-4</v>
      </c>
      <c r="CC18" s="126">
        <v>3.4918907214640568E-4</v>
      </c>
      <c r="CD18" s="126">
        <v>5.7241915141018937E-2</v>
      </c>
      <c r="CE18" s="126">
        <v>7.5582585157192079E-5</v>
      </c>
      <c r="CF18" s="126">
        <v>9.0860182763522118E-2</v>
      </c>
      <c r="CG18" s="126">
        <v>7.095749896253209E-3</v>
      </c>
      <c r="CH18" s="126">
        <v>2.278399078203821E-3</v>
      </c>
      <c r="CI18" s="126">
        <v>9.650984795172452E-4</v>
      </c>
      <c r="CJ18" s="126">
        <v>1.377879657440825E-2</v>
      </c>
      <c r="CK18" s="126">
        <v>2.1715926403523662E-3</v>
      </c>
      <c r="CL18" s="126">
        <v>7.9781878102969014E-5</v>
      </c>
      <c r="CM18" s="126">
        <v>1.43199264440793E-2</v>
      </c>
      <c r="CN18" s="126">
        <v>1.2962974577429601E-5</v>
      </c>
      <c r="CO18" s="126">
        <v>6.2281039665246926E-5</v>
      </c>
      <c r="CP18" s="126">
        <v>1.265843111209045E-5</v>
      </c>
      <c r="CQ18" s="126">
        <v>6.4441434603204379E-5</v>
      </c>
      <c r="CR18" s="126">
        <v>3.374174594357789E-6</v>
      </c>
      <c r="CS18" s="126">
        <v>2.8353478697774802E-6</v>
      </c>
      <c r="CT18" s="126">
        <v>6.0986789416609994E-6</v>
      </c>
      <c r="CU18" s="126">
        <v>1.5563382935408221E-3</v>
      </c>
      <c r="CV18" s="126">
        <v>2.105051616189759E-4</v>
      </c>
      <c r="CW18" s="126">
        <v>3.0054008594663549E-3</v>
      </c>
      <c r="CX18" s="126">
        <v>4.7366301929790272E-4</v>
      </c>
      <c r="CY18" s="126">
        <v>6.8678928423353029E-7</v>
      </c>
      <c r="CZ18" s="126">
        <v>4.3181058249877369E-4</v>
      </c>
      <c r="DA18" s="126">
        <v>1.4256039716774821E-8</v>
      </c>
      <c r="DB18" s="126">
        <v>3.034244402076834E-4</v>
      </c>
      <c r="DC18" s="126">
        <v>5.2488893404468678E-8</v>
      </c>
      <c r="DD18" s="126">
        <v>1.275472745673028E-10</v>
      </c>
      <c r="DE18" s="126">
        <v>1.6768473184996288E-5</v>
      </c>
      <c r="DF18" s="126">
        <v>4.9111505394296882E-9</v>
      </c>
      <c r="DG18" s="126">
        <v>5.2024681080415138E-10</v>
      </c>
      <c r="DH18" s="126">
        <v>4.1010716533793623E-8</v>
      </c>
      <c r="DI18" s="126">
        <v>7.3966971094512096E-7</v>
      </c>
      <c r="DJ18" s="126">
        <v>4.2262640861965996E-9</v>
      </c>
      <c r="DK18" s="126">
        <v>4.7686621990588747E-9</v>
      </c>
      <c r="DL18" s="126">
        <v>1.090516427415084E-6</v>
      </c>
      <c r="DM18" s="126">
        <v>4.0922360213597468E-5</v>
      </c>
      <c r="DN18" s="126">
        <v>2.1918407809032169E-7</v>
      </c>
      <c r="DO18" s="126">
        <v>4.5419034559751687E-5</v>
      </c>
      <c r="DP18" s="126">
        <v>2.432521484772101E-6</v>
      </c>
      <c r="DQ18" s="126">
        <v>2.8623874463818712E-7</v>
      </c>
      <c r="DR18" s="126">
        <v>1.746272707047949E-6</v>
      </c>
      <c r="DS18" s="126">
        <v>8.2001263149471075E-4</v>
      </c>
      <c r="DT18" s="126">
        <v>5.0514320538501422E-4</v>
      </c>
      <c r="DU18" s="126">
        <v>7.2119743380242964E-3</v>
      </c>
      <c r="DV18" s="126">
        <v>1.136635577010563E-3</v>
      </c>
      <c r="DW18" s="126">
        <v>5.6111904116827829E-6</v>
      </c>
      <c r="DX18" s="126">
        <v>2.885432730858674E-6</v>
      </c>
      <c r="DY18" s="126">
        <v>9.2704694599512357E-6</v>
      </c>
      <c r="DZ18" s="126">
        <v>2.4331623029078288E-6</v>
      </c>
      <c r="EA18" s="126">
        <v>5.0990356842418415E-7</v>
      </c>
      <c r="EB18" s="126">
        <v>1.3216332283509459E-5</v>
      </c>
      <c r="EC18" s="126">
        <v>2.8478278864872622E-7</v>
      </c>
      <c r="ED18" s="126">
        <v>1.2651617252016769E-4</v>
      </c>
      <c r="EE18" s="126">
        <v>3.5081482940572398E-5</v>
      </c>
      <c r="EF18" s="126">
        <v>5.0086144287421713E-4</v>
      </c>
      <c r="EG18" s="126">
        <v>7.8937737218798303E-5</v>
      </c>
      <c r="EH18" s="126">
        <v>2.8412997039166148E-8</v>
      </c>
      <c r="EI18" s="126">
        <v>1.7254366272202179E-7</v>
      </c>
      <c r="EJ18" s="126">
        <v>6.8208324121855523E-9</v>
      </c>
      <c r="EK18" s="126">
        <v>8.0617620854181984E-8</v>
      </c>
      <c r="EL18" s="126">
        <v>1.6764813938079339E-8</v>
      </c>
      <c r="EM18" s="126">
        <v>5.2129002833463609E-9</v>
      </c>
      <c r="EN18" s="126">
        <v>1.3500739691959341E-8</v>
      </c>
      <c r="EO18" s="126">
        <v>2.375523321925257E-6</v>
      </c>
      <c r="EP18" s="126">
        <v>1.9686166531152438E-5</v>
      </c>
      <c r="EQ18" s="126">
        <v>1.284488755683023E-4</v>
      </c>
      <c r="ER18" s="126">
        <v>1.434519154164649E-6</v>
      </c>
      <c r="ES18" s="126">
        <v>2.0480757173313628E-5</v>
      </c>
      <c r="ET18" s="126">
        <v>3.2278480421881021E-6</v>
      </c>
      <c r="EU18" s="126">
        <v>1.5836830342090801E-11</v>
      </c>
      <c r="EV18" s="126">
        <v>2.372253014990572E-5</v>
      </c>
      <c r="EW18" s="126">
        <v>6.1743521066201134E-11</v>
      </c>
      <c r="EX18" s="126">
        <v>9.7150855903466364E-6</v>
      </c>
      <c r="EY18" s="126">
        <v>3.7941275574224011E-6</v>
      </c>
      <c r="EZ18" s="126">
        <v>4.1485069566288027E-7</v>
      </c>
      <c r="FA18" s="126">
        <v>4.3772009146455237E-6</v>
      </c>
      <c r="FB18" s="126">
        <v>1.402245515759879E-7</v>
      </c>
      <c r="FC18" s="126">
        <v>3.7984347094171978E-7</v>
      </c>
      <c r="FD18" s="126">
        <v>1.7970364100608961E-7</v>
      </c>
      <c r="FE18" s="126">
        <v>4.5870496552030572E-5</v>
      </c>
      <c r="FF18" s="126">
        <v>6.1789802752125834E-6</v>
      </c>
      <c r="FG18" s="126">
        <v>8.8217849324581787E-5</v>
      </c>
      <c r="FH18" s="126">
        <v>1.390348070721866E-5</v>
      </c>
      <c r="FI18" s="126">
        <v>2.1319751844419211E-10</v>
      </c>
      <c r="FJ18" s="126">
        <v>2.1045110653681509E-7</v>
      </c>
      <c r="FK18" s="126">
        <v>8.7383544747497758E-12</v>
      </c>
      <c r="FL18" s="126">
        <v>5.4347194080318433E-6</v>
      </c>
      <c r="FM18" s="126">
        <v>3.0487139200337692E-13</v>
      </c>
      <c r="FN18" s="126">
        <v>6.1875871506545491E-10</v>
      </c>
      <c r="FO18" s="126">
        <v>2.5873378451629581E-12</v>
      </c>
      <c r="FP18" s="126">
        <v>2.740812466675529E-13</v>
      </c>
      <c r="FQ18" s="126">
        <v>2.1971087820469659E-12</v>
      </c>
      <c r="FR18" s="126">
        <v>2.6022597751517431E-8</v>
      </c>
      <c r="FS18" s="126">
        <v>4.6788953842011875E-13</v>
      </c>
      <c r="FT18" s="126">
        <v>5.964773894521308E-13</v>
      </c>
      <c r="FU18" s="126">
        <v>3.1574163722915399E-9</v>
      </c>
      <c r="FV18" s="126">
        <v>2.547179174985481E-8</v>
      </c>
      <c r="FW18" s="126">
        <v>4.4015254953676388E-10</v>
      </c>
      <c r="FX18" s="126">
        <v>8.4725802214246787E-9</v>
      </c>
      <c r="FY18" s="126">
        <v>1.9582190298868211E-8</v>
      </c>
      <c r="FZ18" s="126">
        <v>4.1553089392112401E-10</v>
      </c>
      <c r="GA18" s="126">
        <v>2.4773232318144339E-9</v>
      </c>
      <c r="GB18" s="126">
        <v>1.10164180842126E-6</v>
      </c>
      <c r="GC18" s="126">
        <v>2.783827163420243E-6</v>
      </c>
      <c r="GD18" s="126">
        <v>3.974494727446526E-5</v>
      </c>
      <c r="GE18" s="126">
        <v>6.2639603194902587E-6</v>
      </c>
      <c r="GF18" s="126">
        <v>2.075579747815251E-12</v>
      </c>
      <c r="GG18" s="126">
        <v>1.77867784638156E-11</v>
      </c>
      <c r="GH18" s="126">
        <v>1.657772981638123E-13</v>
      </c>
      <c r="GI18" s="126">
        <v>9.7014100552881551E-12</v>
      </c>
      <c r="GJ18" s="126">
        <v>1.159656956732654E-11</v>
      </c>
      <c r="GK18" s="126">
        <v>2.4623258730369898E-13</v>
      </c>
      <c r="GL18" s="126">
        <v>1.522958085048443E-12</v>
      </c>
      <c r="GM18" s="126">
        <v>3.6567024577187552E-10</v>
      </c>
      <c r="GN18" s="126">
        <v>1.3509860226784339E-9</v>
      </c>
      <c r="GO18" s="126">
        <v>1.9288147247591229E-8</v>
      </c>
      <c r="GP18" s="126">
        <v>3.0398880179926521E-9</v>
      </c>
      <c r="GQ18" s="126">
        <v>9.2264787295158022E-8</v>
      </c>
      <c r="GR18" s="126">
        <v>2.0341757169976619E-7</v>
      </c>
      <c r="GS18" s="126">
        <v>1.33176540381638E-7</v>
      </c>
      <c r="GT18" s="126">
        <v>1.3602372095750869E-7</v>
      </c>
      <c r="GU18" s="126">
        <v>3.1527673226993052E-8</v>
      </c>
      <c r="GV18" s="126">
        <v>2.578833185228016E-8</v>
      </c>
      <c r="GW18" s="126">
        <v>4.1447173175920808E-8</v>
      </c>
      <c r="GX18" s="126">
        <v>3.8559459526294281E-6</v>
      </c>
      <c r="GY18" s="126">
        <v>2.923912691011828E-6</v>
      </c>
      <c r="GZ18" s="126">
        <v>4.1744960774298579E-5</v>
      </c>
      <c r="HA18" s="126">
        <v>6.5791703288251918E-6</v>
      </c>
      <c r="HB18" s="126">
        <v>2.5149374988558981E-7</v>
      </c>
      <c r="HC18" s="126">
        <v>1.341634095881558E-5</v>
      </c>
      <c r="HD18" s="126">
        <v>2.882403905434767E-7</v>
      </c>
      <c r="HE18" s="126">
        <v>7.6372998415197319E-7</v>
      </c>
      <c r="HF18" s="126">
        <v>1.8277377228765871E-8</v>
      </c>
      <c r="HG18" s="126">
        <v>9.312830060952405E-8</v>
      </c>
      <c r="HH18" s="126">
        <v>3.1793746213316963E-7</v>
      </c>
      <c r="HI18" s="126">
        <v>6.5877261243094454E-8</v>
      </c>
      <c r="HJ18" s="126">
        <v>1.970866943750182E-7</v>
      </c>
      <c r="HK18" s="126">
        <v>8.8987430135425162E-7</v>
      </c>
      <c r="HL18" s="126">
        <v>7.1081881478243622E-8</v>
      </c>
      <c r="HM18" s="126">
        <v>1.8386179574917721E-8</v>
      </c>
      <c r="HN18" s="126">
        <v>4.694141150121141E-8</v>
      </c>
      <c r="HO18" s="126">
        <v>1.1097285479035199E-5</v>
      </c>
      <c r="HP18" s="126">
        <v>6.8101127826922887E-6</v>
      </c>
      <c r="HQ18" s="126">
        <v>9.7228584101004866E-5</v>
      </c>
      <c r="HR18" s="126">
        <v>1.532360801797314E-5</v>
      </c>
      <c r="HS18" s="126">
        <v>1.5193974210049621E-7</v>
      </c>
      <c r="HT18" s="126">
        <v>3.8755297831649142E-9</v>
      </c>
      <c r="HU18" s="126">
        <v>7.3540531054022736E-10</v>
      </c>
      <c r="HV18" s="126">
        <v>1.51287882819978E-8</v>
      </c>
      <c r="HW18" s="126">
        <v>1.8585660034668851E-6</v>
      </c>
      <c r="HX18" s="126">
        <v>1.9466431780486399E-9</v>
      </c>
      <c r="HY18" s="126">
        <v>1.291725273779107E-7</v>
      </c>
      <c r="HZ18" s="126">
        <v>3.543540339709133E-6</v>
      </c>
      <c r="IA18" s="126">
        <v>6.0983367994616247E-5</v>
      </c>
      <c r="IB18" s="126">
        <v>9.4719442470128721E-9</v>
      </c>
      <c r="IC18" s="126">
        <v>3.0962026384546677E-7</v>
      </c>
      <c r="ID18" s="126">
        <v>3.11346228243613E-9</v>
      </c>
      <c r="IE18" s="126">
        <v>1.0171117410481269E-11</v>
      </c>
      <c r="IF18" s="126">
        <v>5.5489136555436697E-9</v>
      </c>
      <c r="IG18" s="126">
        <v>1.4773334039850471E-7</v>
      </c>
      <c r="IH18" s="126">
        <v>6.629900009123667E-7</v>
      </c>
      <c r="II18" s="126">
        <v>6.182263364000581E-7</v>
      </c>
      <c r="IJ18" s="126">
        <v>4.1271714265697941E-7</v>
      </c>
      <c r="IK18" s="126">
        <v>8.025281888633636E-8</v>
      </c>
      <c r="IL18" s="126">
        <v>2.5554676850909631E-8</v>
      </c>
      <c r="IM18" s="126">
        <v>6.6374604022983647E-8</v>
      </c>
      <c r="IN18" s="126">
        <v>1.0764216526029041E-5</v>
      </c>
      <c r="IO18" s="126">
        <v>2.8339982666954672E-5</v>
      </c>
      <c r="IP18" s="126">
        <v>1.697086270064233E-6</v>
      </c>
      <c r="IQ18" s="126">
        <v>1.8491354837596219E-4</v>
      </c>
      <c r="IR18" s="126">
        <v>2.4229387999109649E-5</v>
      </c>
      <c r="IS18" s="126">
        <v>9.5785354008813432E-6</v>
      </c>
      <c r="IT18" s="126">
        <v>1.3675359931717069E-4</v>
      </c>
      <c r="IU18" s="126">
        <v>2.155290617835528E-5</v>
      </c>
      <c r="IV18" s="126">
        <v>9.0699992354566991E-9</v>
      </c>
      <c r="IW18" s="126">
        <v>3.4150686076985103E-5</v>
      </c>
      <c r="IX18" s="126">
        <v>3.8186499207598656E-6</v>
      </c>
      <c r="IY18" s="126">
        <v>1.2544378700371001E-10</v>
      </c>
      <c r="IZ18" s="126">
        <v>1.562240181058672E-9</v>
      </c>
      <c r="JA18" s="126">
        <v>1.194231886283113E-8</v>
      </c>
      <c r="JB18" s="126">
        <v>1.895104327946634E-9</v>
      </c>
      <c r="JC18" s="126">
        <v>4.7157202614591109E-9</v>
      </c>
      <c r="JD18" s="126">
        <v>6.4645517325611867E-10</v>
      </c>
      <c r="JE18" s="126">
        <v>7.2018729556178283E-10</v>
      </c>
      <c r="JF18" s="126">
        <v>1.448881920772264E-9</v>
      </c>
      <c r="JG18" s="126">
        <v>1.3500441498914181E-7</v>
      </c>
      <c r="JH18" s="126">
        <v>1.2315841706269121E-7</v>
      </c>
      <c r="JI18" s="126">
        <v>1.7583436417616179E-6</v>
      </c>
      <c r="JJ18" s="126">
        <v>2.7712188731720881E-7</v>
      </c>
      <c r="JK18" s="126">
        <v>7.8300743991748389E-11</v>
      </c>
      <c r="JL18" s="126">
        <v>7.8089752264727899E-8</v>
      </c>
      <c r="JM18" s="126">
        <v>1.0036567482251531E-12</v>
      </c>
      <c r="JN18" s="126">
        <v>7.1414629407437212E-7</v>
      </c>
      <c r="JO18" s="126">
        <v>3.3597888299029097E-14</v>
      </c>
      <c r="JP18" s="126">
        <v>7.5141815551909069E-9</v>
      </c>
      <c r="JQ18" s="126">
        <v>2.6352515089622731E-11</v>
      </c>
      <c r="JR18" s="126">
        <v>2.7915682530954462E-12</v>
      </c>
      <c r="JS18" s="126">
        <v>1.460060804331323E-13</v>
      </c>
      <c r="JT18" s="126">
        <v>1.0014612955046701E-8</v>
      </c>
      <c r="JU18" s="126">
        <v>6.9656580528469167E-14</v>
      </c>
      <c r="JV18" s="126">
        <v>3.8724852311666027E-14</v>
      </c>
      <c r="JW18" s="126">
        <v>2.9403618258868242E-7</v>
      </c>
      <c r="JX18" s="126">
        <v>6.3466649283929883E-7</v>
      </c>
      <c r="JY18" s="126">
        <v>6.4960854301531085E-8</v>
      </c>
      <c r="JZ18" s="126">
        <v>5.625857609958085E-7</v>
      </c>
      <c r="KA18" s="126">
        <v>5.7333759586913088E-8</v>
      </c>
      <c r="KB18" s="126">
        <v>8.5153885060089287E-8</v>
      </c>
      <c r="KC18" s="126">
        <v>1.568916837424758E-7</v>
      </c>
      <c r="KD18" s="126">
        <v>1.8218259313283961E-4</v>
      </c>
      <c r="KE18" s="126">
        <v>1.3527119627332911E-5</v>
      </c>
      <c r="KF18" s="126">
        <v>1.931278864680615E-4</v>
      </c>
      <c r="KG18" s="126">
        <v>3.043771599617082E-5</v>
      </c>
      <c r="KH18" s="126">
        <v>1.719596112217162E-7</v>
      </c>
      <c r="KI18" s="126">
        <v>6.3398981204350793E-7</v>
      </c>
      <c r="KJ18" s="126">
        <v>6.5544002443811213E-8</v>
      </c>
      <c r="KK18" s="126">
        <v>5.5205114215485211E-7</v>
      </c>
      <c r="KL18" s="126">
        <v>3.7477787818806687E-8</v>
      </c>
      <c r="KM18" s="126">
        <v>2.5159705005403888E-8</v>
      </c>
      <c r="KN18" s="126">
        <v>9.8901006421663075E-8</v>
      </c>
      <c r="KO18" s="126">
        <v>4.8541262681176759E-5</v>
      </c>
      <c r="KP18" s="126">
        <v>7.6084892106743574E-6</v>
      </c>
      <c r="KQ18" s="126">
        <v>1.086270751611817E-4</v>
      </c>
      <c r="KR18" s="127">
        <v>1.7120055128846131E-5</v>
      </c>
    </row>
    <row r="19" spans="2:304" x14ac:dyDescent="0.25">
      <c r="B19" s="5">
        <v>2000</v>
      </c>
      <c r="C19" s="126">
        <v>8.3434319278725065E-6</v>
      </c>
      <c r="D19" s="126">
        <v>1.5695769898602799E-7</v>
      </c>
      <c r="E19" s="126">
        <v>8.6398431502047667E-6</v>
      </c>
      <c r="F19" s="126">
        <v>1.6922095822144129E-7</v>
      </c>
      <c r="G19" s="126">
        <v>2.973655056254248E-7</v>
      </c>
      <c r="H19" s="126">
        <v>4.8623784930115661E-7</v>
      </c>
      <c r="I19" s="126">
        <v>2.8101111961183249E-4</v>
      </c>
      <c r="J19" s="126">
        <v>1.125285104543316E-5</v>
      </c>
      <c r="K19" s="126">
        <v>1.7936132634307751E-4</v>
      </c>
      <c r="L19" s="126">
        <v>2.5669877258033459E-5</v>
      </c>
      <c r="M19" s="126">
        <v>2.9834821106268641E-4</v>
      </c>
      <c r="N19" s="126">
        <v>2.971637458628809E-3</v>
      </c>
      <c r="O19" s="126">
        <v>3.1139064255617382E-5</v>
      </c>
      <c r="P19" s="126">
        <v>1.881259005671558E-3</v>
      </c>
      <c r="Q19" s="126">
        <v>1.329119309812103E-3</v>
      </c>
      <c r="R19" s="126">
        <v>5.6541167761462741E-5</v>
      </c>
      <c r="S19" s="126">
        <v>1.7974812561694339E-4</v>
      </c>
      <c r="T19" s="126">
        <v>4.644681700400171E-2</v>
      </c>
      <c r="U19" s="126">
        <v>9.8644662226440763E-2</v>
      </c>
      <c r="V19" s="126">
        <v>1.572315974161925</v>
      </c>
      <c r="W19" s="126">
        <v>0.22502709413722891</v>
      </c>
      <c r="X19" s="126">
        <v>6.75831701708896E-6</v>
      </c>
      <c r="Y19" s="126">
        <v>5.4537943006217333E-5</v>
      </c>
      <c r="Z19" s="126">
        <v>6.7445148859464525E-7</v>
      </c>
      <c r="AA19" s="126">
        <v>2.602494528465712E-5</v>
      </c>
      <c r="AB19" s="126">
        <v>3.1073658700065703E-5</v>
      </c>
      <c r="AC19" s="126">
        <v>1.2564445069694481E-6</v>
      </c>
      <c r="AD19" s="126">
        <v>3.6687511204374562E-6</v>
      </c>
      <c r="AE19" s="126">
        <v>8.0718180913158261E-4</v>
      </c>
      <c r="AF19" s="126">
        <v>2.3303946384943832E-3</v>
      </c>
      <c r="AG19" s="126">
        <v>3.7144601983581958E-2</v>
      </c>
      <c r="AH19" s="126">
        <v>5.316070042285655E-3</v>
      </c>
      <c r="AI19" s="126">
        <v>1.1518589305770381E-8</v>
      </c>
      <c r="AJ19" s="126">
        <v>7.7948289332904853E-8</v>
      </c>
      <c r="AK19" s="126">
        <v>7.5456350776948511E-9</v>
      </c>
      <c r="AL19" s="126">
        <v>8.7150491291144974E-8</v>
      </c>
      <c r="AM19" s="126">
        <v>3.930673738878201E-9</v>
      </c>
      <c r="AN19" s="126">
        <v>1.87186128909952E-9</v>
      </c>
      <c r="AO19" s="126">
        <v>7.3554530014462087E-9</v>
      </c>
      <c r="AP19" s="126">
        <v>1.533347878431961E-6</v>
      </c>
      <c r="AQ19" s="126">
        <v>1.1256626610089589E-7</v>
      </c>
      <c r="AR19" s="126">
        <v>1.794215057839797E-6</v>
      </c>
      <c r="AS19" s="126">
        <v>2.5678490033668621E-7</v>
      </c>
      <c r="AT19" s="126">
        <v>1.106520094789809E-5</v>
      </c>
      <c r="AU19" s="126">
        <v>4.0884644502206194E-6</v>
      </c>
      <c r="AV19" s="126">
        <v>4.0252987992443008E-7</v>
      </c>
      <c r="AW19" s="126">
        <v>4.8109351454950347E-6</v>
      </c>
      <c r="AX19" s="126">
        <v>1.3919963392488199E-7</v>
      </c>
      <c r="AY19" s="126">
        <v>3.6527247700152432E-7</v>
      </c>
      <c r="AZ19" s="126">
        <v>1.8091736372562131E-7</v>
      </c>
      <c r="BA19" s="126">
        <v>4.3305309666391968E-5</v>
      </c>
      <c r="BB19" s="126">
        <v>7.1602343182028244E-6</v>
      </c>
      <c r="BC19" s="126">
        <v>1.1412833237149129E-4</v>
      </c>
      <c r="BD19" s="126">
        <v>1.6333846004441629E-5</v>
      </c>
      <c r="BE19" s="126">
        <v>4.6667599186194513E-11</v>
      </c>
      <c r="BF19" s="126">
        <v>3.0110948494177769E-8</v>
      </c>
      <c r="BG19" s="126">
        <v>2.9451855093007798E-13</v>
      </c>
      <c r="BH19" s="126">
        <v>1.289132645545478E-7</v>
      </c>
      <c r="BI19" s="126">
        <v>3.0080129567479201E-14</v>
      </c>
      <c r="BJ19" s="126">
        <v>2.069047177569725E-9</v>
      </c>
      <c r="BK19" s="126">
        <v>3.1019255642252178E-12</v>
      </c>
      <c r="BL19" s="126">
        <v>3.2859223929368138E-13</v>
      </c>
      <c r="BM19" s="126">
        <v>1.1945827924793991E-13</v>
      </c>
      <c r="BN19" s="126">
        <v>1.5666303153366059E-8</v>
      </c>
      <c r="BO19" s="126">
        <v>5.337681610445231E-14</v>
      </c>
      <c r="BP19" s="126">
        <v>3.5434710309998403E-14</v>
      </c>
      <c r="BQ19" s="126">
        <v>2.660824203970065E-5</v>
      </c>
      <c r="BR19" s="126">
        <v>1.5783135571289139E-4</v>
      </c>
      <c r="BS19" s="126">
        <v>2.5911779850913512E-6</v>
      </c>
      <c r="BT19" s="126">
        <v>9.0696920799720747E-5</v>
      </c>
      <c r="BU19" s="126">
        <v>7.1658744970132021E-5</v>
      </c>
      <c r="BV19" s="126">
        <v>4.5434538460484717E-6</v>
      </c>
      <c r="BW19" s="126">
        <v>1.335756949514754E-5</v>
      </c>
      <c r="BX19" s="126">
        <v>2.410310293040513E-3</v>
      </c>
      <c r="BY19" s="126">
        <v>3.5323498405751791E-3</v>
      </c>
      <c r="BZ19" s="126">
        <v>2.332923777407921E-5</v>
      </c>
      <c r="CA19" s="126">
        <v>5.6069045088494914E-3</v>
      </c>
      <c r="CB19" s="126">
        <v>4.3786815976366741E-4</v>
      </c>
      <c r="CC19" s="126">
        <v>3.1657201091940941E-4</v>
      </c>
      <c r="CD19" s="126">
        <v>5.630225870470127E-2</v>
      </c>
      <c r="CE19" s="126">
        <v>7.1890125239513778E-5</v>
      </c>
      <c r="CF19" s="126">
        <v>8.936866461063693E-2</v>
      </c>
      <c r="CG19" s="126">
        <v>6.9792694428829549E-3</v>
      </c>
      <c r="CH19" s="126">
        <v>2.2638861383541299E-3</v>
      </c>
      <c r="CI19" s="126">
        <v>8.502697544885971E-4</v>
      </c>
      <c r="CJ19" s="126">
        <v>1.355261082713524E-2</v>
      </c>
      <c r="CK19" s="126">
        <v>1.9396258020138359E-3</v>
      </c>
      <c r="CL19" s="126">
        <v>7.0675206225784113E-5</v>
      </c>
      <c r="CM19" s="126">
        <v>1.2790289732877651E-2</v>
      </c>
      <c r="CN19" s="126">
        <v>1.274866339233554E-5</v>
      </c>
      <c r="CO19" s="126">
        <v>6.125199482013202E-5</v>
      </c>
      <c r="CP19" s="126">
        <v>1.244925527119372E-5</v>
      </c>
      <c r="CQ19" s="126">
        <v>6.3376298735443336E-5</v>
      </c>
      <c r="CR19" s="126">
        <v>3.318403731920164E-6</v>
      </c>
      <c r="CS19" s="126">
        <v>2.7884801598071951E-6</v>
      </c>
      <c r="CT19" s="126">
        <v>5.9978827019842646E-6</v>
      </c>
      <c r="CU19" s="126">
        <v>1.400704464186739E-3</v>
      </c>
      <c r="CV19" s="126">
        <v>1.8545897220548959E-4</v>
      </c>
      <c r="CW19" s="126">
        <v>2.9560657208290721E-3</v>
      </c>
      <c r="CX19" s="126">
        <v>4.2306692176895331E-4</v>
      </c>
      <c r="CY19" s="126">
        <v>6.0493403658161192E-7</v>
      </c>
      <c r="CZ19" s="126">
        <v>3.8034507499286433E-4</v>
      </c>
      <c r="DA19" s="126">
        <v>1.255692807548989E-8</v>
      </c>
      <c r="DB19" s="126">
        <v>2.7241134065039739E-4</v>
      </c>
      <c r="DC19" s="126">
        <v>4.6232984218360378E-8</v>
      </c>
      <c r="DD19" s="126">
        <v>1.123455342030217E-10</v>
      </c>
      <c r="DE19" s="126">
        <v>1.4769916290842319E-5</v>
      </c>
      <c r="DF19" s="126">
        <v>4.325814562354896E-9</v>
      </c>
      <c r="DG19" s="126">
        <v>4.582408779265624E-10</v>
      </c>
      <c r="DH19" s="126">
        <v>3.6122838300808862E-8</v>
      </c>
      <c r="DI19" s="126">
        <v>6.6406785642954967E-7</v>
      </c>
      <c r="DJ19" s="126">
        <v>3.722556085206546E-9</v>
      </c>
      <c r="DK19" s="126">
        <v>4.2003083940073613E-9</v>
      </c>
      <c r="DL19" s="126">
        <v>1.072487396614484E-6</v>
      </c>
      <c r="DM19" s="126">
        <v>4.0246216333307747E-5</v>
      </c>
      <c r="DN19" s="126">
        <v>2.1556214315701651E-7</v>
      </c>
      <c r="DO19" s="126">
        <v>4.4668315040756639E-5</v>
      </c>
      <c r="DP19" s="126">
        <v>2.3923149639445651E-6</v>
      </c>
      <c r="DQ19" s="126">
        <v>2.8150727778399343E-7</v>
      </c>
      <c r="DR19" s="126">
        <v>1.717411092261484E-6</v>
      </c>
      <c r="DS19" s="126">
        <v>7.3801136834523973E-4</v>
      </c>
      <c r="DT19" s="126">
        <v>4.4504058222031862E-4</v>
      </c>
      <c r="DU19" s="126">
        <v>7.0935862192832476E-3</v>
      </c>
      <c r="DV19" s="126">
        <v>1.0152215713435291E-3</v>
      </c>
      <c r="DW19" s="126">
        <v>5.51842305649488E-6</v>
      </c>
      <c r="DX19" s="126">
        <v>2.837757873573452E-6</v>
      </c>
      <c r="DY19" s="126">
        <v>9.1172784185321554E-6</v>
      </c>
      <c r="DZ19" s="126">
        <v>2.392945190162448E-6</v>
      </c>
      <c r="EA19" s="126">
        <v>5.014755037299054E-7</v>
      </c>
      <c r="EB19" s="126">
        <v>1.2997869062492759E-5</v>
      </c>
      <c r="EC19" s="126">
        <v>2.8007602600471209E-7</v>
      </c>
      <c r="ED19" s="126">
        <v>1.138645552681509E-4</v>
      </c>
      <c r="EE19" s="126">
        <v>3.0907440556633262E-5</v>
      </c>
      <c r="EF19" s="126">
        <v>4.9263955505368304E-4</v>
      </c>
      <c r="EG19" s="126">
        <v>7.0505705820280006E-5</v>
      </c>
      <c r="EH19" s="126">
        <v>2.7943257394830191E-8</v>
      </c>
      <c r="EI19" s="126">
        <v>1.6969279241485159E-7</v>
      </c>
      <c r="EJ19" s="126">
        <v>6.7081207070144544E-9</v>
      </c>
      <c r="EK19" s="126">
        <v>7.9285112972039348E-8</v>
      </c>
      <c r="EL19" s="126">
        <v>1.6487712648330889E-8</v>
      </c>
      <c r="EM19" s="126">
        <v>5.126732126984276E-9</v>
      </c>
      <c r="EN19" s="126">
        <v>1.327760550063343E-8</v>
      </c>
      <c r="EO19" s="126">
        <v>2.137970989732732E-6</v>
      </c>
      <c r="EP19" s="126">
        <v>1.7847320615601482E-5</v>
      </c>
      <c r="EQ19" s="126">
        <v>1.276306822927183E-4</v>
      </c>
      <c r="ER19" s="126">
        <v>1.2638381210909069E-6</v>
      </c>
      <c r="ES19" s="126">
        <v>2.014455543458073E-5</v>
      </c>
      <c r="ET19" s="126">
        <v>2.883053309018397E-6</v>
      </c>
      <c r="EU19" s="126">
        <v>1.421814334464612E-11</v>
      </c>
      <c r="EV19" s="126">
        <v>2.1338227929732341E-5</v>
      </c>
      <c r="EW19" s="126">
        <v>5.5432697967927218E-11</v>
      </c>
      <c r="EX19" s="126">
        <v>9.5544703323500238E-6</v>
      </c>
      <c r="EY19" s="126">
        <v>3.7314386969656842E-6</v>
      </c>
      <c r="EZ19" s="126">
        <v>4.0799544303769571E-7</v>
      </c>
      <c r="FA19" s="126">
        <v>4.3048512886123146E-6</v>
      </c>
      <c r="FB19" s="126">
        <v>1.3790681609502041E-7</v>
      </c>
      <c r="FC19" s="126">
        <v>3.7356473745015709E-7</v>
      </c>
      <c r="FD19" s="126">
        <v>1.7673357954804239E-7</v>
      </c>
      <c r="FE19" s="126">
        <v>4.1283446896827498E-5</v>
      </c>
      <c r="FF19" s="126">
        <v>5.4437968280945859E-6</v>
      </c>
      <c r="FG19" s="126">
        <v>8.6769709781730917E-5</v>
      </c>
      <c r="FH19" s="126">
        <v>1.2418328104642631E-5</v>
      </c>
      <c r="FI19" s="126">
        <v>1.877874893833866E-10</v>
      </c>
      <c r="FJ19" s="126">
        <v>1.8536841185059081E-7</v>
      </c>
      <c r="FK19" s="126">
        <v>7.6968702962053779E-12</v>
      </c>
      <c r="FL19" s="126">
        <v>4.8792351696763522E-6</v>
      </c>
      <c r="FM19" s="126">
        <v>2.6853525105912831E-13</v>
      </c>
      <c r="FN19" s="126">
        <v>5.4501172080014512E-10</v>
      </c>
      <c r="FO19" s="126">
        <v>2.2789657206552628E-12</v>
      </c>
      <c r="FP19" s="126">
        <v>2.414147064198476E-13</v>
      </c>
      <c r="FQ19" s="126">
        <v>1.935245515590315E-12</v>
      </c>
      <c r="FR19" s="126">
        <v>2.336282052904114E-8</v>
      </c>
      <c r="FS19" s="126">
        <v>4.1212404452883288E-13</v>
      </c>
      <c r="FT19" s="126">
        <v>5.2538613161692118E-13</v>
      </c>
      <c r="FU19" s="126">
        <v>3.1052161893366668E-9</v>
      </c>
      <c r="FV19" s="126">
        <v>2.5050931466582201E-8</v>
      </c>
      <c r="FW19" s="126">
        <v>4.328791932371624E-10</v>
      </c>
      <c r="FX19" s="126">
        <v>8.3325391260969606E-9</v>
      </c>
      <c r="FY19" s="126">
        <v>1.9258521321213121E-8</v>
      </c>
      <c r="FZ19" s="126">
        <v>4.0866225475780449E-10</v>
      </c>
      <c r="GA19" s="126">
        <v>2.4363791407056319E-9</v>
      </c>
      <c r="GB19" s="126">
        <v>9.9147762757913422E-7</v>
      </c>
      <c r="GC19" s="126">
        <v>2.452603634775204E-6</v>
      </c>
      <c r="GD19" s="126">
        <v>3.9092514346012123E-5</v>
      </c>
      <c r="GE19" s="126">
        <v>5.5948518302690037E-6</v>
      </c>
      <c r="GF19" s="126">
        <v>2.0412650962779399E-12</v>
      </c>
      <c r="GG19" s="126">
        <v>1.7492894598231969E-11</v>
      </c>
      <c r="GH19" s="126">
        <v>1.6303789029897169E-13</v>
      </c>
      <c r="GI19" s="126">
        <v>9.5410579482723527E-12</v>
      </c>
      <c r="GJ19" s="126">
        <v>1.140489285706703E-11</v>
      </c>
      <c r="GK19" s="126">
        <v>2.4216241390099468E-13</v>
      </c>
      <c r="GL19" s="126">
        <v>1.4977873145214811E-12</v>
      </c>
      <c r="GM19" s="126">
        <v>3.2910322119468792E-10</v>
      </c>
      <c r="GN19" s="126">
        <v>1.190243874795984E-9</v>
      </c>
      <c r="GO19" s="126">
        <v>1.8971522789486431E-8</v>
      </c>
      <c r="GP19" s="126">
        <v>2.7151709419932992E-9</v>
      </c>
      <c r="GQ19" s="126">
        <v>9.0739413948973672E-8</v>
      </c>
      <c r="GR19" s="126">
        <v>2.0005658407514511E-7</v>
      </c>
      <c r="GS19" s="126">
        <v>1.3097584784909819E-7</v>
      </c>
      <c r="GT19" s="126">
        <v>1.337754199233949E-7</v>
      </c>
      <c r="GU19" s="126">
        <v>3.1006560440043238E-8</v>
      </c>
      <c r="GV19" s="126">
        <v>2.5362056095871841E-8</v>
      </c>
      <c r="GW19" s="126">
        <v>4.0762152822935098E-8</v>
      </c>
      <c r="GX19" s="126">
        <v>3.4703513573664861E-6</v>
      </c>
      <c r="GY19" s="126">
        <v>2.5760215964450671E-6</v>
      </c>
      <c r="GZ19" s="126">
        <v>4.1059696636996889E-5</v>
      </c>
      <c r="HA19" s="126">
        <v>5.8763914965021032E-6</v>
      </c>
      <c r="HB19" s="126">
        <v>2.2578850116568311E-7</v>
      </c>
      <c r="HC19" s="126">
        <v>1.2067892402419321E-5</v>
      </c>
      <c r="HD19" s="126">
        <v>2.559920141350916E-7</v>
      </c>
      <c r="HE19" s="126">
        <v>6.8214928365696865E-7</v>
      </c>
      <c r="HF19" s="126">
        <v>1.6409241230051309E-8</v>
      </c>
      <c r="HG19" s="126">
        <v>9.1588651175653118E-8</v>
      </c>
      <c r="HH19" s="126">
        <v>3.1268430791102478E-7</v>
      </c>
      <c r="HI19" s="126">
        <v>6.4788664133825803E-8</v>
      </c>
      <c r="HJ19" s="126">
        <v>1.9382909918754471E-7</v>
      </c>
      <c r="HK19" s="126">
        <v>8.7516579832343797E-7</v>
      </c>
      <c r="HL19" s="126">
        <v>6.9906987375146642E-8</v>
      </c>
      <c r="HM19" s="126">
        <v>1.808225985453207E-8</v>
      </c>
      <c r="HN19" s="126">
        <v>4.6165584832895012E-8</v>
      </c>
      <c r="HO19" s="126">
        <v>9.9875569311316827E-6</v>
      </c>
      <c r="HP19" s="126">
        <v>5.9998363345011991E-6</v>
      </c>
      <c r="HQ19" s="126">
        <v>9.5632528898910598E-5</v>
      </c>
      <c r="HR19" s="126">
        <v>1.3686759173573201E-5</v>
      </c>
      <c r="HS19" s="126">
        <v>1.338307449112277E-7</v>
      </c>
      <c r="HT19" s="126">
        <v>3.4136232578222891E-9</v>
      </c>
      <c r="HU19" s="126">
        <v>6.602393216201187E-10</v>
      </c>
      <c r="HV19" s="126">
        <v>1.3325657763342599E-8</v>
      </c>
      <c r="HW19" s="126">
        <v>1.646420699820116E-6</v>
      </c>
      <c r="HX19" s="126">
        <v>1.7146322293632611E-9</v>
      </c>
      <c r="HY19" s="126">
        <v>1.137770502656948E-7</v>
      </c>
      <c r="HZ19" s="126">
        <v>3.1212029930447839E-6</v>
      </c>
      <c r="IA19" s="126">
        <v>5.4854056374633247E-5</v>
      </c>
      <c r="IB19" s="126">
        <v>8.3430268560769487E-9</v>
      </c>
      <c r="IC19" s="126">
        <v>2.7654700688802481E-7</v>
      </c>
      <c r="ID19" s="126">
        <v>2.7423830669096599E-9</v>
      </c>
      <c r="IE19" s="126">
        <v>9.1315245660677035E-12</v>
      </c>
      <c r="IF19" s="126">
        <v>4.8875654415905553E-9</v>
      </c>
      <c r="IG19" s="126">
        <v>1.4529092974116731E-7</v>
      </c>
      <c r="IH19" s="126">
        <v>6.5203568084210799E-7</v>
      </c>
      <c r="II19" s="126">
        <v>6.080103773577505E-7</v>
      </c>
      <c r="IJ19" s="126">
        <v>4.0589544735192271E-7</v>
      </c>
      <c r="IK19" s="126">
        <v>7.8926340721920759E-8</v>
      </c>
      <c r="IL19" s="126">
        <v>2.5132263363027172E-8</v>
      </c>
      <c r="IM19" s="126">
        <v>6.5277594234544661E-8</v>
      </c>
      <c r="IN19" s="126">
        <v>9.6877948734261391E-6</v>
      </c>
      <c r="IO19" s="126">
        <v>2.569280088621294E-5</v>
      </c>
      <c r="IP19" s="126">
        <v>1.49516447589546E-6</v>
      </c>
      <c r="IQ19" s="126">
        <v>1.8373568659105989E-4</v>
      </c>
      <c r="IR19" s="126">
        <v>2.3831649311854629E-5</v>
      </c>
      <c r="IS19" s="126">
        <v>8.4388682777136064E-6</v>
      </c>
      <c r="IT19" s="126">
        <v>1.3450872147992339E-4</v>
      </c>
      <c r="IU19" s="126">
        <v>1.9250651413673081E-5</v>
      </c>
      <c r="IV19" s="126">
        <v>8.1429519973331185E-9</v>
      </c>
      <c r="IW19" s="126">
        <v>3.0718271569794633E-5</v>
      </c>
      <c r="IX19" s="126">
        <v>3.410746418284843E-6</v>
      </c>
      <c r="IY19" s="126">
        <v>1.126221413494371E-10</v>
      </c>
      <c r="IZ19" s="126">
        <v>1.536412347901675E-9</v>
      </c>
      <c r="JA19" s="126">
        <v>1.174500067850782E-8</v>
      </c>
      <c r="JB19" s="126">
        <v>1.8637884375432301E-9</v>
      </c>
      <c r="JC19" s="126">
        <v>4.6377753363695982E-9</v>
      </c>
      <c r="JD19" s="126">
        <v>6.3577008227118693E-10</v>
      </c>
      <c r="JE19" s="126">
        <v>7.0828274950856001E-10</v>
      </c>
      <c r="JF19" s="126">
        <v>1.4249354479793101E-9</v>
      </c>
      <c r="JG19" s="126">
        <v>1.2150397349022761E-7</v>
      </c>
      <c r="JH19" s="126">
        <v>1.0850486169191759E-7</v>
      </c>
      <c r="JI19" s="126">
        <v>1.7294795629266569E-6</v>
      </c>
      <c r="JJ19" s="126">
        <v>2.4752007027248491E-7</v>
      </c>
      <c r="JK19" s="126">
        <v>6.8968439400061385E-11</v>
      </c>
      <c r="JL19" s="126">
        <v>6.8782595621973846E-8</v>
      </c>
      <c r="JM19" s="126">
        <v>8.8403552812172508E-13</v>
      </c>
      <c r="JN19" s="126">
        <v>6.4115319535946357E-7</v>
      </c>
      <c r="JO19" s="126">
        <v>2.9593519123422338E-14</v>
      </c>
      <c r="JP19" s="126">
        <v>6.6186009507212946E-9</v>
      </c>
      <c r="JQ19" s="126">
        <v>2.3211687895562859E-11</v>
      </c>
      <c r="JR19" s="126">
        <v>2.458853491313262E-12</v>
      </c>
      <c r="JS19" s="126">
        <v>1.2860428883447879E-13</v>
      </c>
      <c r="JT19" s="126">
        <v>8.9910164761672618E-9</v>
      </c>
      <c r="JU19" s="126">
        <v>6.1354549179222855E-14</v>
      </c>
      <c r="JV19" s="126">
        <v>3.4109424285387089E-14</v>
      </c>
      <c r="JW19" s="126">
        <v>2.8917501107478989E-7</v>
      </c>
      <c r="JX19" s="126">
        <v>6.2418015082680568E-7</v>
      </c>
      <c r="JY19" s="126">
        <v>6.3887400474309602E-8</v>
      </c>
      <c r="JZ19" s="126">
        <v>5.5328692591527348E-7</v>
      </c>
      <c r="KA19" s="126">
        <v>5.6386104648042898E-8</v>
      </c>
      <c r="KB19" s="126">
        <v>8.3746309069016149E-8</v>
      </c>
      <c r="KC19" s="126">
        <v>1.5429864811802871E-7</v>
      </c>
      <c r="KD19" s="126">
        <v>1.6396433381955561E-4</v>
      </c>
      <c r="KE19" s="126">
        <v>1.191764460164059E-5</v>
      </c>
      <c r="KF19" s="126">
        <v>1.8995759687969729E-4</v>
      </c>
      <c r="KG19" s="126">
        <v>2.7186396842348211E-5</v>
      </c>
      <c r="KH19" s="126">
        <v>1.6911667823213789E-7</v>
      </c>
      <c r="KI19" s="126">
        <v>6.2351465055864304E-7</v>
      </c>
      <c r="KJ19" s="126">
        <v>6.4460912311588848E-8</v>
      </c>
      <c r="KK19" s="126">
        <v>5.429264310746563E-7</v>
      </c>
      <c r="KL19" s="126">
        <v>3.6858327120950607E-8</v>
      </c>
      <c r="KM19" s="126">
        <v>2.4743820319894829E-8</v>
      </c>
      <c r="KN19" s="126">
        <v>9.726641479240889E-8</v>
      </c>
      <c r="KO19" s="126">
        <v>4.3687136413059102E-5</v>
      </c>
      <c r="KP19" s="126">
        <v>6.703220853093912E-6</v>
      </c>
      <c r="KQ19" s="126">
        <v>1.0684390810179949E-4</v>
      </c>
      <c r="KR19" s="127">
        <v>1.5291312027296751E-5</v>
      </c>
    </row>
    <row r="20" spans="2:304" x14ac:dyDescent="0.25">
      <c r="B20" s="5">
        <v>3000</v>
      </c>
      <c r="C20" s="126">
        <v>7.155808871450939E-6</v>
      </c>
      <c r="D20" s="126">
        <v>1.346070238865088E-7</v>
      </c>
      <c r="E20" s="126">
        <v>7.4085319688395429E-6</v>
      </c>
      <c r="F20" s="126">
        <v>1.4510435629279869E-7</v>
      </c>
      <c r="G20" s="126">
        <v>2.5497752285172967E-7</v>
      </c>
      <c r="H20" s="126">
        <v>4.1695775134891118E-7</v>
      </c>
      <c r="I20" s="126">
        <v>1.8734074640788841E-4</v>
      </c>
      <c r="J20" s="126">
        <v>6.5138101509318379E-6</v>
      </c>
      <c r="K20" s="126">
        <v>1.6235984917103351E-4</v>
      </c>
      <c r="L20" s="126">
        <v>1.5840459998395729E-5</v>
      </c>
      <c r="M20" s="126">
        <v>2.5579683423693461E-4</v>
      </c>
      <c r="N20" s="126">
        <v>2.5486478313743711E-3</v>
      </c>
      <c r="O20" s="126">
        <v>2.6704881589991591E-5</v>
      </c>
      <c r="P20" s="126">
        <v>1.6131505217030131E-3</v>
      </c>
      <c r="Q20" s="126">
        <v>1.1396992660580351E-3</v>
      </c>
      <c r="R20" s="126">
        <v>4.8481503813430928E-5</v>
      </c>
      <c r="S20" s="126">
        <v>1.541372691865517E-4</v>
      </c>
      <c r="T20" s="126">
        <v>3.096454466933447E-2</v>
      </c>
      <c r="U20" s="126">
        <v>5.7101315884440187E-2</v>
      </c>
      <c r="V20" s="126">
        <v>1.4232777467637709</v>
      </c>
      <c r="W20" s="126">
        <v>0.13886052696728321</v>
      </c>
      <c r="X20" s="126">
        <v>5.7944242118405961E-6</v>
      </c>
      <c r="Y20" s="126">
        <v>4.677488829157247E-5</v>
      </c>
      <c r="Z20" s="126">
        <v>5.7841003163299662E-7</v>
      </c>
      <c r="AA20" s="126">
        <v>2.231598835496367E-5</v>
      </c>
      <c r="AB20" s="126">
        <v>2.6645182078657259E-5</v>
      </c>
      <c r="AC20" s="126">
        <v>1.0773445538477459E-6</v>
      </c>
      <c r="AD20" s="126">
        <v>3.1460204499402409E-6</v>
      </c>
      <c r="AE20" s="126">
        <v>5.3812120608772178E-4</v>
      </c>
      <c r="AF20" s="126">
        <v>1.348969091531906E-3</v>
      </c>
      <c r="AG20" s="126">
        <v>3.3623703049769499E-2</v>
      </c>
      <c r="AH20" s="126">
        <v>3.280459583309552E-3</v>
      </c>
      <c r="AI20" s="126">
        <v>9.8757712298546243E-9</v>
      </c>
      <c r="AJ20" s="126">
        <v>6.6852952735128785E-8</v>
      </c>
      <c r="AK20" s="126">
        <v>6.4711415094876253E-9</v>
      </c>
      <c r="AL20" s="126">
        <v>7.473019933414153E-8</v>
      </c>
      <c r="AM20" s="126">
        <v>3.3704919808488698E-9</v>
      </c>
      <c r="AN20" s="126">
        <v>1.60503671605357E-9</v>
      </c>
      <c r="AO20" s="126">
        <v>6.3074340017822947E-9</v>
      </c>
      <c r="AP20" s="126">
        <v>1.022231918954641E-6</v>
      </c>
      <c r="AQ20" s="126">
        <v>6.5159956691871859E-8</v>
      </c>
      <c r="AR20" s="126">
        <v>1.6241432426411679E-6</v>
      </c>
      <c r="AS20" s="126">
        <v>1.5845774800899561E-7</v>
      </c>
      <c r="AT20" s="126">
        <v>9.487046570804307E-6</v>
      </c>
      <c r="AU20" s="126">
        <v>3.5065031316148771E-6</v>
      </c>
      <c r="AV20" s="126">
        <v>3.4520988465079718E-7</v>
      </c>
      <c r="AW20" s="126">
        <v>4.1253025322073066E-6</v>
      </c>
      <c r="AX20" s="126">
        <v>1.193615347008711E-7</v>
      </c>
      <c r="AY20" s="126">
        <v>3.132046911624066E-7</v>
      </c>
      <c r="AZ20" s="126">
        <v>1.5513991201513139E-7</v>
      </c>
      <c r="BA20" s="126">
        <v>2.887020644426131E-5</v>
      </c>
      <c r="BB20" s="126">
        <v>4.1447635622874892E-6</v>
      </c>
      <c r="BC20" s="126">
        <v>1.0331022415910041E-4</v>
      </c>
      <c r="BD20" s="126">
        <v>1.0079348321478301E-5</v>
      </c>
      <c r="BE20" s="126">
        <v>2.697750870213791E-11</v>
      </c>
      <c r="BF20" s="126">
        <v>1.7406475338275769E-8</v>
      </c>
      <c r="BG20" s="126">
        <v>1.7025467101861939E-13</v>
      </c>
      <c r="BH20" s="126">
        <v>8.1076191663880438E-8</v>
      </c>
      <c r="BI20" s="126">
        <v>1.7388678341390759E-14</v>
      </c>
      <c r="BJ20" s="126">
        <v>1.1960705221456519E-9</v>
      </c>
      <c r="BK20" s="126">
        <v>1.793157054593012E-12</v>
      </c>
      <c r="BL20" s="126">
        <v>1.8995172516093489E-13</v>
      </c>
      <c r="BM20" s="126">
        <v>6.9056193285357945E-14</v>
      </c>
      <c r="BN20" s="126">
        <v>9.8528588312128964E-9</v>
      </c>
      <c r="BO20" s="126">
        <v>3.0855990092757108E-14</v>
      </c>
      <c r="BP20" s="126">
        <v>2.0484044522769421E-14</v>
      </c>
      <c r="BQ20" s="126">
        <v>2.2813289391353041E-5</v>
      </c>
      <c r="BR20" s="126">
        <v>1.3536528195675309E-4</v>
      </c>
      <c r="BS20" s="126">
        <v>2.222195911297321E-6</v>
      </c>
      <c r="BT20" s="126">
        <v>7.777120782616456E-5</v>
      </c>
      <c r="BU20" s="126">
        <v>6.1446266295420035E-5</v>
      </c>
      <c r="BV20" s="126">
        <v>3.8958069612683191E-6</v>
      </c>
      <c r="BW20" s="126">
        <v>1.145435746762275E-5</v>
      </c>
      <c r="BX20" s="126">
        <v>1.606873528693675E-3</v>
      </c>
      <c r="BY20" s="126">
        <v>2.0447279299059952E-3</v>
      </c>
      <c r="BZ20" s="126">
        <v>1.4587391013582271E-5</v>
      </c>
      <c r="CA20" s="126">
        <v>3.2455998887396748E-3</v>
      </c>
      <c r="CB20" s="126">
        <v>2.5346391535422422E-4</v>
      </c>
      <c r="CC20" s="126">
        <v>2.1521189744937351E-4</v>
      </c>
      <c r="CD20" s="126">
        <v>5.0965424700700229E-2</v>
      </c>
      <c r="CE20" s="126">
        <v>5.7050257797685527E-5</v>
      </c>
      <c r="CF20" s="126">
        <v>8.0897499524921007E-2</v>
      </c>
      <c r="CG20" s="126">
        <v>6.3177113833349533E-3</v>
      </c>
      <c r="CH20" s="126">
        <v>2.1812812785529322E-3</v>
      </c>
      <c r="CI20" s="126">
        <v>4.9218600117042132E-4</v>
      </c>
      <c r="CJ20" s="126">
        <v>1.226797267075583E-2</v>
      </c>
      <c r="CK20" s="126">
        <v>1.196911252041186E-3</v>
      </c>
      <c r="CL20" s="126">
        <v>4.1873552727435887E-5</v>
      </c>
      <c r="CM20" s="126">
        <v>7.8926782605473512E-3</v>
      </c>
      <c r="CN20" s="126">
        <v>1.093040821292721E-5</v>
      </c>
      <c r="CO20" s="126">
        <v>5.2533246716346341E-5</v>
      </c>
      <c r="CP20" s="126">
        <v>1.0676489350216519E-5</v>
      </c>
      <c r="CQ20" s="126">
        <v>5.4344196657913763E-5</v>
      </c>
      <c r="CR20" s="126">
        <v>2.8454799127764621E-6</v>
      </c>
      <c r="CS20" s="126">
        <v>2.3909960981299621E-6</v>
      </c>
      <c r="CT20" s="126">
        <v>5.14329291285787E-6</v>
      </c>
      <c r="CU20" s="126">
        <v>9.3380297612449326E-4</v>
      </c>
      <c r="CV20" s="126">
        <v>1.073545300525216E-4</v>
      </c>
      <c r="CW20" s="126">
        <v>2.6758632663958001E-3</v>
      </c>
      <c r="CX20" s="126">
        <v>2.6106765465067598E-4</v>
      </c>
      <c r="CY20" s="126">
        <v>3.4969901003451688E-7</v>
      </c>
      <c r="CZ20" s="126">
        <v>2.198691007418139E-4</v>
      </c>
      <c r="DA20" s="126">
        <v>7.2588828504882671E-9</v>
      </c>
      <c r="DB20" s="126">
        <v>1.7132506993988061E-4</v>
      </c>
      <c r="DC20" s="126">
        <v>2.6726267304549951E-8</v>
      </c>
      <c r="DD20" s="126">
        <v>6.4944545965656596E-11</v>
      </c>
      <c r="DE20" s="126">
        <v>8.538162726084098E-6</v>
      </c>
      <c r="DF20" s="126">
        <v>2.500661198582092E-9</v>
      </c>
      <c r="DG20" s="126">
        <v>2.6489866434007932E-10</v>
      </c>
      <c r="DH20" s="126">
        <v>2.088181513596855E-8</v>
      </c>
      <c r="DI20" s="126">
        <v>4.1764587214314729E-7</v>
      </c>
      <c r="DJ20" s="126">
        <v>2.151929659125638E-9</v>
      </c>
      <c r="DK20" s="126">
        <v>2.428108016109045E-9</v>
      </c>
      <c r="DL20" s="126">
        <v>9.1952581125199037E-7</v>
      </c>
      <c r="DM20" s="126">
        <v>3.4517478463284233E-5</v>
      </c>
      <c r="DN20" s="126">
        <v>1.8486623300680841E-7</v>
      </c>
      <c r="DO20" s="126">
        <v>3.8302389779587438E-5</v>
      </c>
      <c r="DP20" s="126">
        <v>2.0513731073343001E-6</v>
      </c>
      <c r="DQ20" s="126">
        <v>2.4137980699251408E-7</v>
      </c>
      <c r="DR20" s="126">
        <v>1.472711077922504E-6</v>
      </c>
      <c r="DS20" s="126">
        <v>4.9200757889682634E-4</v>
      </c>
      <c r="DT20" s="126">
        <v>2.5761559007037732E-4</v>
      </c>
      <c r="DU20" s="126">
        <v>6.4211924171523084E-3</v>
      </c>
      <c r="DV20" s="126">
        <v>6.2647657130276491E-4</v>
      </c>
      <c r="DW20" s="126">
        <v>4.7313678966049058E-6</v>
      </c>
      <c r="DX20" s="126">
        <v>2.4338249706226832E-6</v>
      </c>
      <c r="DY20" s="126">
        <v>7.8189838522833837E-6</v>
      </c>
      <c r="DZ20" s="126">
        <v>2.0519135165757199E-6</v>
      </c>
      <c r="EA20" s="126">
        <v>4.3000749393058892E-7</v>
      </c>
      <c r="EB20" s="126">
        <v>1.114508708377297E-5</v>
      </c>
      <c r="EC20" s="126">
        <v>2.4017025860390209E-7</v>
      </c>
      <c r="ED20" s="126">
        <v>7.5909703512100552E-5</v>
      </c>
      <c r="EE20" s="126">
        <v>1.789103927744831E-5</v>
      </c>
      <c r="EF20" s="126">
        <v>4.4594275413200338E-4</v>
      </c>
      <c r="EG20" s="126">
        <v>4.3507914022272293E-5</v>
      </c>
      <c r="EH20" s="126">
        <v>2.3957900583367479E-8</v>
      </c>
      <c r="EI20" s="126">
        <v>1.455383348100389E-7</v>
      </c>
      <c r="EJ20" s="126">
        <v>5.7528886450040164E-9</v>
      </c>
      <c r="EK20" s="126">
        <v>6.7985758988285213E-8</v>
      </c>
      <c r="EL20" s="126">
        <v>1.4137958771312241E-8</v>
      </c>
      <c r="EM20" s="126">
        <v>4.3959418067455369E-9</v>
      </c>
      <c r="EN20" s="126">
        <v>1.138578689585546E-8</v>
      </c>
      <c r="EO20" s="126">
        <v>1.425313993155154E-6</v>
      </c>
      <c r="EP20" s="126">
        <v>1.213296059533424E-5</v>
      </c>
      <c r="EQ20" s="126">
        <v>1.2297368367494071E-4</v>
      </c>
      <c r="ER20" s="126">
        <v>7.3158362703446558E-7</v>
      </c>
      <c r="ES20" s="126">
        <v>1.823507357277235E-5</v>
      </c>
      <c r="ET20" s="126">
        <v>1.779084884422505E-6</v>
      </c>
      <c r="EU20" s="126">
        <v>8.9420814754658827E-12</v>
      </c>
      <c r="EV20" s="126">
        <v>1.371936637984582E-5</v>
      </c>
      <c r="EW20" s="126">
        <v>3.4862758773686751E-11</v>
      </c>
      <c r="EX20" s="126">
        <v>8.191781191248152E-6</v>
      </c>
      <c r="EY20" s="126">
        <v>3.2002972352206842E-6</v>
      </c>
      <c r="EZ20" s="126">
        <v>3.4989715510196538E-7</v>
      </c>
      <c r="FA20" s="126">
        <v>3.6913434466722422E-6</v>
      </c>
      <c r="FB20" s="126">
        <v>1.182529633928158E-7</v>
      </c>
      <c r="FC20" s="126">
        <v>3.2031493087762479E-7</v>
      </c>
      <c r="FD20" s="126">
        <v>1.5155224140224171E-7</v>
      </c>
      <c r="FE20" s="126">
        <v>2.752229793121834E-5</v>
      </c>
      <c r="FF20" s="126">
        <v>3.151188876071013E-6</v>
      </c>
      <c r="FG20" s="126">
        <v>7.8544897498300124E-5</v>
      </c>
      <c r="FH20" s="126">
        <v>7.6631464814263378E-6</v>
      </c>
      <c r="FI20" s="126">
        <v>1.085558013983202E-10</v>
      </c>
      <c r="FJ20" s="126">
        <v>1.0715739127236569E-7</v>
      </c>
      <c r="FK20" s="126">
        <v>4.4493907633836663E-12</v>
      </c>
      <c r="FL20" s="126">
        <v>3.0686509038209789E-6</v>
      </c>
      <c r="FM20" s="126">
        <v>1.5523447442327979E-13</v>
      </c>
      <c r="FN20" s="126">
        <v>3.1505925072168258E-10</v>
      </c>
      <c r="FO20" s="126">
        <v>1.317421509496907E-12</v>
      </c>
      <c r="FP20" s="126">
        <v>1.3955636950599301E-13</v>
      </c>
      <c r="FQ20" s="126">
        <v>1.1187226973347819E-12</v>
      </c>
      <c r="FR20" s="126">
        <v>1.4693356200128569E-8</v>
      </c>
      <c r="FS20" s="126">
        <v>2.38240051824821E-13</v>
      </c>
      <c r="FT20" s="126">
        <v>3.037144319097185E-13</v>
      </c>
      <c r="FU20" s="126">
        <v>2.6623403171226141E-9</v>
      </c>
      <c r="FV20" s="126">
        <v>2.1485124967321191E-8</v>
      </c>
      <c r="FW20" s="126">
        <v>3.7123747532278947E-10</v>
      </c>
      <c r="FX20" s="126">
        <v>7.1450235176818687E-9</v>
      </c>
      <c r="FY20" s="126">
        <v>1.6513884384278881E-8</v>
      </c>
      <c r="FZ20" s="126">
        <v>3.5040947060081059E-10</v>
      </c>
      <c r="GA20" s="126">
        <v>2.0892391849011012E-9</v>
      </c>
      <c r="GB20" s="126">
        <v>6.6098508505275597E-7</v>
      </c>
      <c r="GC20" s="126">
        <v>1.419710825986151E-6</v>
      </c>
      <c r="GD20" s="126">
        <v>3.5386974786273133E-5</v>
      </c>
      <c r="GE20" s="126">
        <v>3.4524912497036522E-6</v>
      </c>
      <c r="GF20" s="126">
        <v>1.7501333344899429E-12</v>
      </c>
      <c r="GG20" s="126">
        <v>1.5002916238246709E-11</v>
      </c>
      <c r="GH20" s="126">
        <v>1.398213998781497E-13</v>
      </c>
      <c r="GI20" s="126">
        <v>8.1813097295233938E-12</v>
      </c>
      <c r="GJ20" s="126">
        <v>9.779519357451333E-12</v>
      </c>
      <c r="GK20" s="126">
        <v>2.0764335895115201E-13</v>
      </c>
      <c r="GL20" s="126">
        <v>1.284379715728386E-12</v>
      </c>
      <c r="GM20" s="126">
        <v>2.1940214746312531E-10</v>
      </c>
      <c r="GN20" s="126">
        <v>6.8898296106718591E-10</v>
      </c>
      <c r="GO20" s="126">
        <v>1.7173231495590592E-8</v>
      </c>
      <c r="GP20" s="126">
        <v>1.6754874307780861E-9</v>
      </c>
      <c r="GQ20" s="126">
        <v>7.7797868289497932E-8</v>
      </c>
      <c r="GR20" s="126">
        <v>1.715800753805789E-7</v>
      </c>
      <c r="GS20" s="126">
        <v>1.1232497159345271E-7</v>
      </c>
      <c r="GT20" s="126">
        <v>1.147103550281369E-7</v>
      </c>
      <c r="GU20" s="126">
        <v>2.6587646357720221E-8</v>
      </c>
      <c r="GV20" s="126">
        <v>2.1746820379018109E-8</v>
      </c>
      <c r="GW20" s="126">
        <v>3.495428339365038E-8</v>
      </c>
      <c r="GX20" s="126">
        <v>2.3135675715776569E-6</v>
      </c>
      <c r="GY20" s="126">
        <v>1.4911523805119021E-6</v>
      </c>
      <c r="GZ20" s="126">
        <v>3.7167689874459383E-5</v>
      </c>
      <c r="HA20" s="126">
        <v>3.626224757507294E-6</v>
      </c>
      <c r="HB20" s="126">
        <v>1.420030115540457E-7</v>
      </c>
      <c r="HC20" s="126">
        <v>7.7590246878305421E-6</v>
      </c>
      <c r="HD20" s="126">
        <v>1.5347785994601461E-7</v>
      </c>
      <c r="HE20" s="126">
        <v>4.2094309951466069E-7</v>
      </c>
      <c r="HF20" s="126">
        <v>1.032010779979549E-8</v>
      </c>
      <c r="HG20" s="126">
        <v>7.8525984584638425E-8</v>
      </c>
      <c r="HH20" s="126">
        <v>2.6817611312180402E-7</v>
      </c>
      <c r="HI20" s="126">
        <v>5.556280014918675E-8</v>
      </c>
      <c r="HJ20" s="126">
        <v>1.6620545684191749E-7</v>
      </c>
      <c r="HK20" s="126">
        <v>7.5044114600164982E-7</v>
      </c>
      <c r="HL20" s="126">
        <v>5.9944161231880906E-8</v>
      </c>
      <c r="HM20" s="126">
        <v>1.550472310355173E-8</v>
      </c>
      <c r="HN20" s="126">
        <v>3.9587824085058361E-8</v>
      </c>
      <c r="HO20" s="126">
        <v>6.6583712874211221E-6</v>
      </c>
      <c r="HP20" s="126">
        <v>3.4730571534104211E-6</v>
      </c>
      <c r="HQ20" s="126">
        <v>8.6567619031608986E-5</v>
      </c>
      <c r="HR20" s="126">
        <v>8.4458744783757199E-6</v>
      </c>
      <c r="HS20" s="126">
        <v>7.736459874551036E-8</v>
      </c>
      <c r="HT20" s="126">
        <v>1.9733402290167508E-9</v>
      </c>
      <c r="HU20" s="126">
        <v>4.1523802820967899E-10</v>
      </c>
      <c r="HV20" s="126">
        <v>7.7032685086897416E-9</v>
      </c>
      <c r="HW20" s="126">
        <v>9.7546915908832442E-7</v>
      </c>
      <c r="HX20" s="126">
        <v>9.9119215039598256E-10</v>
      </c>
      <c r="HY20" s="126">
        <v>6.5772002395482193E-8</v>
      </c>
      <c r="HZ20" s="126">
        <v>1.804300618444472E-6</v>
      </c>
      <c r="IA20" s="126">
        <v>3.5268294035593367E-5</v>
      </c>
      <c r="IB20" s="126">
        <v>4.8229195324939619E-9</v>
      </c>
      <c r="IC20" s="126">
        <v>1.7065260791138881E-7</v>
      </c>
      <c r="ID20" s="126">
        <v>1.5853110920670831E-9</v>
      </c>
      <c r="IE20" s="126">
        <v>5.7430027736879591E-12</v>
      </c>
      <c r="IF20" s="126">
        <v>2.8253965269921879E-9</v>
      </c>
      <c r="IG20" s="126">
        <v>1.2456907228889899E-7</v>
      </c>
      <c r="IH20" s="126">
        <v>5.5922344064263891E-7</v>
      </c>
      <c r="II20" s="126">
        <v>5.2143009178240676E-7</v>
      </c>
      <c r="IJ20" s="126">
        <v>3.4804907281700798E-7</v>
      </c>
      <c r="IK20" s="126">
        <v>6.7678117328786671E-8</v>
      </c>
      <c r="IL20" s="126">
        <v>2.1549783464239341E-8</v>
      </c>
      <c r="IM20" s="126">
        <v>5.5976717864767942E-8</v>
      </c>
      <c r="IN20" s="126">
        <v>6.4585299156174246E-6</v>
      </c>
      <c r="IO20" s="126">
        <v>1.746647283647089E-5</v>
      </c>
      <c r="IP20" s="126">
        <v>8.6548848670010996E-7</v>
      </c>
      <c r="IQ20" s="126">
        <v>1.770315240564699E-4</v>
      </c>
      <c r="IR20" s="126">
        <v>2.1572669968121409E-5</v>
      </c>
      <c r="IS20" s="126">
        <v>4.8849118883570544E-6</v>
      </c>
      <c r="IT20" s="126">
        <v>1.2175877697233471E-4</v>
      </c>
      <c r="IU20" s="126">
        <v>1.1879261073050789E-5</v>
      </c>
      <c r="IV20" s="126">
        <v>5.1212692435246174E-9</v>
      </c>
      <c r="IW20" s="126">
        <v>1.975024465993229E-5</v>
      </c>
      <c r="IX20" s="126">
        <v>2.104715497573303E-6</v>
      </c>
      <c r="IY20" s="126">
        <v>7.0830370708515812E-11</v>
      </c>
      <c r="IZ20" s="126">
        <v>1.3172843010384549E-9</v>
      </c>
      <c r="JA20" s="126">
        <v>1.0073190597947881E-8</v>
      </c>
      <c r="JB20" s="126">
        <v>1.598386166161323E-9</v>
      </c>
      <c r="JC20" s="126">
        <v>3.9768206721409529E-9</v>
      </c>
      <c r="JD20" s="126">
        <v>5.4516301944974583E-10</v>
      </c>
      <c r="JE20" s="126">
        <v>6.0732054502579757E-10</v>
      </c>
      <c r="JF20" s="126">
        <v>1.221907922348556E-9</v>
      </c>
      <c r="JG20" s="126">
        <v>8.1002648993485031E-8</v>
      </c>
      <c r="JH20" s="126">
        <v>6.2808977623595793E-8</v>
      </c>
      <c r="JI20" s="126">
        <v>1.5655439592593901E-6</v>
      </c>
      <c r="JJ20" s="126">
        <v>1.527405734175984E-7</v>
      </c>
      <c r="JK20" s="126">
        <v>3.9869132043082252E-11</v>
      </c>
      <c r="JL20" s="126">
        <v>3.9761701781927741E-8</v>
      </c>
      <c r="JM20" s="126">
        <v>5.1104141838884996E-13</v>
      </c>
      <c r="JN20" s="126">
        <v>4.0323437260312089E-7</v>
      </c>
      <c r="JO20" s="126">
        <v>1.710737927084373E-14</v>
      </c>
      <c r="JP20" s="126">
        <v>3.8260671775987849E-9</v>
      </c>
      <c r="JQ20" s="126">
        <v>1.3418182041172201E-11</v>
      </c>
      <c r="JR20" s="126">
        <v>1.4214074671906691E-12</v>
      </c>
      <c r="JS20" s="126">
        <v>7.4343299459781313E-14</v>
      </c>
      <c r="JT20" s="126">
        <v>5.6546343589522227E-9</v>
      </c>
      <c r="JU20" s="126">
        <v>3.5467746107504653E-14</v>
      </c>
      <c r="JV20" s="126">
        <v>1.9717925152918599E-14</v>
      </c>
      <c r="JW20" s="126">
        <v>2.4793194539322979E-7</v>
      </c>
      <c r="JX20" s="126">
        <v>5.3533293005591254E-7</v>
      </c>
      <c r="JY20" s="126">
        <v>5.4789875853479913E-8</v>
      </c>
      <c r="JZ20" s="126">
        <v>4.7443498768691299E-7</v>
      </c>
      <c r="KA20" s="126">
        <v>4.8350213264399043E-8</v>
      </c>
      <c r="KB20" s="126">
        <v>7.1808686718663467E-8</v>
      </c>
      <c r="KC20" s="126">
        <v>1.3231388187475911E-7</v>
      </c>
      <c r="KD20" s="126">
        <v>1.093095558797037E-4</v>
      </c>
      <c r="KE20" s="126">
        <v>6.8986316505868436E-6</v>
      </c>
      <c r="KF20" s="126">
        <v>1.7195171003188761E-4</v>
      </c>
      <c r="KG20" s="126">
        <v>1.677627934691262E-5</v>
      </c>
      <c r="KH20" s="126">
        <v>1.449967162677502E-7</v>
      </c>
      <c r="KI20" s="126">
        <v>5.3476215860789935E-7</v>
      </c>
      <c r="KJ20" s="126">
        <v>5.5281719975039807E-8</v>
      </c>
      <c r="KK20" s="126">
        <v>4.6555102348695071E-7</v>
      </c>
      <c r="KL20" s="126">
        <v>3.1605445845048273E-8</v>
      </c>
      <c r="KM20" s="126">
        <v>2.121671105660228E-8</v>
      </c>
      <c r="KN20" s="126">
        <v>8.3407710140011127E-8</v>
      </c>
      <c r="KO20" s="126">
        <v>2.912475760870606E-5</v>
      </c>
      <c r="KP20" s="126">
        <v>3.8802173654063792E-6</v>
      </c>
      <c r="KQ20" s="126">
        <v>9.6716283035679326E-5</v>
      </c>
      <c r="KR20" s="127">
        <v>9.4360177127679089E-6</v>
      </c>
    </row>
    <row r="21" spans="2:304" x14ac:dyDescent="0.25">
      <c r="B21" s="5">
        <v>4000</v>
      </c>
      <c r="C21" s="126">
        <v>6.1217650834573936E-6</v>
      </c>
      <c r="D21" s="126">
        <v>1.1514862780797389E-7</v>
      </c>
      <c r="E21" s="126">
        <v>6.336778266959716E-6</v>
      </c>
      <c r="F21" s="126">
        <v>1.2411286544551599E-7</v>
      </c>
      <c r="G21" s="126">
        <v>2.1808424949564531E-7</v>
      </c>
      <c r="H21" s="126">
        <v>3.566516256806027E-7</v>
      </c>
      <c r="I21" s="126">
        <v>1.405055598059163E-4</v>
      </c>
      <c r="J21" s="126">
        <v>4.2325517666462663E-6</v>
      </c>
      <c r="K21" s="126">
        <v>1.47543996512192E-4</v>
      </c>
      <c r="L21" s="126">
        <v>1.1039626616651141E-5</v>
      </c>
      <c r="M21" s="126">
        <v>2.1876646045944709E-4</v>
      </c>
      <c r="N21" s="126">
        <v>2.180357746331683E-3</v>
      </c>
      <c r="O21" s="126">
        <v>2.2844502330388101E-5</v>
      </c>
      <c r="P21" s="126">
        <v>1.3797844445103419E-3</v>
      </c>
      <c r="Q21" s="126">
        <v>9.7482491408587904E-4</v>
      </c>
      <c r="R21" s="126">
        <v>4.1466605586723101E-5</v>
      </c>
      <c r="S21" s="126">
        <v>1.3184383179232599E-4</v>
      </c>
      <c r="T21" s="126">
        <v>2.3223408502000858E-2</v>
      </c>
      <c r="U21" s="126">
        <v>3.7103364977553052E-2</v>
      </c>
      <c r="V21" s="126">
        <v>1.2933991253168751</v>
      </c>
      <c r="W21" s="126">
        <v>9.6775495766251524E-2</v>
      </c>
      <c r="X21" s="126">
        <v>4.9555956351310317E-6</v>
      </c>
      <c r="Y21" s="126">
        <v>4.0015724716793347E-5</v>
      </c>
      <c r="Z21" s="126">
        <v>4.9479677605131099E-7</v>
      </c>
      <c r="AA21" s="126">
        <v>1.9087650644991449E-5</v>
      </c>
      <c r="AB21" s="126">
        <v>2.279056247923127E-5</v>
      </c>
      <c r="AC21" s="126">
        <v>9.2146113840290133E-7</v>
      </c>
      <c r="AD21" s="126">
        <v>2.6909999976393011E-6</v>
      </c>
      <c r="AE21" s="126">
        <v>4.0359090456579131E-4</v>
      </c>
      <c r="AF21" s="126">
        <v>8.7653483586680708E-4</v>
      </c>
      <c r="AG21" s="126">
        <v>3.0555433198734799E-2</v>
      </c>
      <c r="AH21" s="126">
        <v>2.286237201092656E-3</v>
      </c>
      <c r="AI21" s="126">
        <v>8.446107328526835E-9</v>
      </c>
      <c r="AJ21" s="126">
        <v>5.7192426339491702E-8</v>
      </c>
      <c r="AK21" s="126">
        <v>5.5356922963914091E-9</v>
      </c>
      <c r="AL21" s="126">
        <v>6.3919370938522296E-8</v>
      </c>
      <c r="AM21" s="126">
        <v>2.8829004751599409E-9</v>
      </c>
      <c r="AN21" s="126">
        <v>1.3728003304708689E-9</v>
      </c>
      <c r="AO21" s="126">
        <v>5.395166736512667E-9</v>
      </c>
      <c r="AP21" s="126">
        <v>7.666739392159805E-7</v>
      </c>
      <c r="AQ21" s="126">
        <v>4.2339718754517703E-8</v>
      </c>
      <c r="AR21" s="126">
        <v>1.4759350057976119E-6</v>
      </c>
      <c r="AS21" s="126">
        <v>1.104333064009423E-7</v>
      </c>
      <c r="AT21" s="126">
        <v>8.1136563112676687E-6</v>
      </c>
      <c r="AU21" s="126">
        <v>2.9997990194784838E-6</v>
      </c>
      <c r="AV21" s="126">
        <v>2.9530735748829158E-7</v>
      </c>
      <c r="AW21" s="126">
        <v>3.5285165186133139E-6</v>
      </c>
      <c r="AX21" s="126">
        <v>1.020941236650848E-7</v>
      </c>
      <c r="AY21" s="126">
        <v>2.6788639738408789E-7</v>
      </c>
      <c r="AZ21" s="126">
        <v>1.3270145871887449E-7</v>
      </c>
      <c r="BA21" s="126">
        <v>2.1652654833195981E-5</v>
      </c>
      <c r="BB21" s="126">
        <v>2.6931896895062818E-6</v>
      </c>
      <c r="BC21" s="126">
        <v>9.3882837603199439E-5</v>
      </c>
      <c r="BD21" s="126">
        <v>7.024558757735515E-6</v>
      </c>
      <c r="BE21" s="126">
        <v>1.750411600805014E-11</v>
      </c>
      <c r="BF21" s="126">
        <v>1.129403697341403E-8</v>
      </c>
      <c r="BG21" s="126">
        <v>1.104682250269653E-13</v>
      </c>
      <c r="BH21" s="126">
        <v>5.7630655773475403E-8</v>
      </c>
      <c r="BI21" s="126">
        <v>1.128250367592726E-14</v>
      </c>
      <c r="BJ21" s="126">
        <v>7.7605971895979753E-10</v>
      </c>
      <c r="BK21" s="126">
        <v>1.1634757574629519E-12</v>
      </c>
      <c r="BL21" s="126">
        <v>1.232483377276305E-13</v>
      </c>
      <c r="BM21" s="126">
        <v>4.4806495057676991E-14</v>
      </c>
      <c r="BN21" s="126">
        <v>7.0036184980213527E-9</v>
      </c>
      <c r="BO21" s="126">
        <v>2.0020657610951621E-14</v>
      </c>
      <c r="BP21" s="126">
        <v>1.3290905390690811E-14</v>
      </c>
      <c r="BQ21" s="126">
        <v>1.9510728451629679E-5</v>
      </c>
      <c r="BR21" s="126">
        <v>1.1580444244414131E-4</v>
      </c>
      <c r="BS21" s="126">
        <v>1.9009617961847161E-6</v>
      </c>
      <c r="BT21" s="126">
        <v>6.6520452583704149E-5</v>
      </c>
      <c r="BU21" s="126">
        <v>5.2557155248076417E-5</v>
      </c>
      <c r="BV21" s="126">
        <v>3.3321138578248941E-6</v>
      </c>
      <c r="BW21" s="126">
        <v>9.7976718234358664E-6</v>
      </c>
      <c r="BX21" s="126">
        <v>1.2051551465202569E-3</v>
      </c>
      <c r="BY21" s="126">
        <v>1.3286233849805419E-3</v>
      </c>
      <c r="BZ21" s="126">
        <v>1.030490582355612E-5</v>
      </c>
      <c r="CA21" s="126">
        <v>2.1089260079056229E-3</v>
      </c>
      <c r="CB21" s="126">
        <v>1.6469621078313339E-4</v>
      </c>
      <c r="CC21" s="126">
        <v>1.6450299485153659E-4</v>
      </c>
      <c r="CD21" s="126">
        <v>4.6314667748844553E-2</v>
      </c>
      <c r="CE21" s="126">
        <v>4.416239787727483E-5</v>
      </c>
      <c r="CF21" s="126">
        <v>7.3515345633086593E-2</v>
      </c>
      <c r="CG21" s="126">
        <v>5.7411999402629714E-3</v>
      </c>
      <c r="CH21" s="126">
        <v>2.1130476697883809E-3</v>
      </c>
      <c r="CI21" s="126">
        <v>3.1981323994750052E-4</v>
      </c>
      <c r="CJ21" s="126">
        <v>1.114848114350551E-2</v>
      </c>
      <c r="CK21" s="126">
        <v>8.3415843461246266E-4</v>
      </c>
      <c r="CL21" s="126">
        <v>2.7938200102312259E-5</v>
      </c>
      <c r="CM21" s="126">
        <v>5.5006120498271079E-3</v>
      </c>
      <c r="CN21" s="126">
        <v>9.3480700152218317E-6</v>
      </c>
      <c r="CO21" s="126">
        <v>4.4941976685799032E-5</v>
      </c>
      <c r="CP21" s="126">
        <v>9.1331274029237097E-6</v>
      </c>
      <c r="CQ21" s="126">
        <v>4.6482505004455537E-5</v>
      </c>
      <c r="CR21" s="126">
        <v>2.4338391662736771E-6</v>
      </c>
      <c r="CS21" s="126">
        <v>2.0450374753656531E-6</v>
      </c>
      <c r="CT21" s="126">
        <v>4.3993996341065312E-6</v>
      </c>
      <c r="CU21" s="126">
        <v>7.003522320933697E-4</v>
      </c>
      <c r="CV21" s="126">
        <v>6.9756961793901521E-5</v>
      </c>
      <c r="CW21" s="126">
        <v>2.4316822321527628E-3</v>
      </c>
      <c r="CX21" s="126">
        <v>1.8194480648416639E-4</v>
      </c>
      <c r="CY21" s="126">
        <v>2.268990849796069E-7</v>
      </c>
      <c r="CZ21" s="126">
        <v>1.4266011382723279E-4</v>
      </c>
      <c r="DA21" s="126">
        <v>4.7098614057080526E-9</v>
      </c>
      <c r="DB21" s="126">
        <v>1.217814493804172E-4</v>
      </c>
      <c r="DC21" s="126">
        <v>1.7341100206331298E-8</v>
      </c>
      <c r="DD21" s="126">
        <v>4.2138744774224311E-11</v>
      </c>
      <c r="DE21" s="126">
        <v>5.5399109358126524E-6</v>
      </c>
      <c r="DF21" s="126">
        <v>1.622534219591191E-9</v>
      </c>
      <c r="DG21" s="126">
        <v>1.7187693356574329E-10</v>
      </c>
      <c r="DH21" s="126">
        <v>1.354897949295858E-8</v>
      </c>
      <c r="DI21" s="126">
        <v>2.9687143659237149E-7</v>
      </c>
      <c r="DJ21" s="126">
        <v>1.3962620152097859E-9</v>
      </c>
      <c r="DK21" s="126">
        <v>1.5754581027497279E-9</v>
      </c>
      <c r="DL21" s="126">
        <v>7.8641085464870017E-7</v>
      </c>
      <c r="DM21" s="126">
        <v>2.9529560979271999E-5</v>
      </c>
      <c r="DN21" s="126">
        <v>1.581425132518415E-7</v>
      </c>
      <c r="DO21" s="126">
        <v>3.2761382706961303E-5</v>
      </c>
      <c r="DP21" s="126">
        <v>1.754611652977421E-6</v>
      </c>
      <c r="DQ21" s="126">
        <v>2.0645401783896521E-7</v>
      </c>
      <c r="DR21" s="126">
        <v>1.2597074845105051E-6</v>
      </c>
      <c r="DS21" s="126">
        <v>3.6900568417261992E-4</v>
      </c>
      <c r="DT21" s="126">
        <v>1.6739378268677539E-4</v>
      </c>
      <c r="DU21" s="126">
        <v>5.8352381850417514E-3</v>
      </c>
      <c r="DV21" s="126">
        <v>4.3660773941935923E-4</v>
      </c>
      <c r="DW21" s="126">
        <v>4.0464324390855236E-6</v>
      </c>
      <c r="DX21" s="126">
        <v>2.082127260811484E-6</v>
      </c>
      <c r="DY21" s="126">
        <v>6.6886945082616612E-6</v>
      </c>
      <c r="DZ21" s="126">
        <v>1.7550738840308471E-6</v>
      </c>
      <c r="EA21" s="126">
        <v>3.6780055126035801E-7</v>
      </c>
      <c r="EB21" s="126">
        <v>9.5324792752089818E-6</v>
      </c>
      <c r="EC21" s="126">
        <v>2.0543355506427401E-7</v>
      </c>
      <c r="ED21" s="126">
        <v>5.6932277634075428E-5</v>
      </c>
      <c r="EE21" s="126">
        <v>1.162526204268768E-5</v>
      </c>
      <c r="EF21" s="126">
        <v>4.052490593963194E-4</v>
      </c>
      <c r="EG21" s="126">
        <v>3.032179152145144E-5</v>
      </c>
      <c r="EH21" s="126">
        <v>2.0489640250230471E-8</v>
      </c>
      <c r="EI21" s="126">
        <v>1.2450744735500119E-7</v>
      </c>
      <c r="EJ21" s="126">
        <v>4.9212679567361024E-9</v>
      </c>
      <c r="EK21" s="126">
        <v>5.8150613621123147E-8</v>
      </c>
      <c r="EL21" s="126">
        <v>1.2092693972036271E-8</v>
      </c>
      <c r="EM21" s="126">
        <v>3.7598830635283513E-9</v>
      </c>
      <c r="EN21" s="126">
        <v>9.7390188644357383E-9</v>
      </c>
      <c r="EO21" s="126">
        <v>1.068985494866366E-6</v>
      </c>
      <c r="EP21" s="126">
        <v>9.2741543474272067E-6</v>
      </c>
      <c r="EQ21" s="126">
        <v>1.19126890369229E-4</v>
      </c>
      <c r="ER21" s="126">
        <v>4.7536933089940352E-7</v>
      </c>
      <c r="ES21" s="126">
        <v>1.6571065108507711E-5</v>
      </c>
      <c r="ET21" s="126">
        <v>1.2398903090782409E-6</v>
      </c>
      <c r="EU21" s="126">
        <v>6.3562188706074742E-12</v>
      </c>
      <c r="EV21" s="126">
        <v>9.9617514415863098E-6</v>
      </c>
      <c r="EW21" s="126">
        <v>2.478117939393959E-11</v>
      </c>
      <c r="EX21" s="126">
        <v>7.0058997462325578E-6</v>
      </c>
      <c r="EY21" s="126">
        <v>2.7378411334352461E-6</v>
      </c>
      <c r="EZ21" s="126">
        <v>2.9931704988793903E-7</v>
      </c>
      <c r="FA21" s="126">
        <v>3.157336031907654E-6</v>
      </c>
      <c r="FB21" s="126">
        <v>1.011459235895763E-7</v>
      </c>
      <c r="FC21" s="126">
        <v>2.7396784046457932E-7</v>
      </c>
      <c r="FD21" s="126">
        <v>1.296326860378196E-7</v>
      </c>
      <c r="FE21" s="126">
        <v>2.0641723448413749E-5</v>
      </c>
      <c r="FF21" s="126">
        <v>2.0475834780880758E-6</v>
      </c>
      <c r="FG21" s="126">
        <v>7.1377425771883683E-5</v>
      </c>
      <c r="FH21" s="126">
        <v>5.3406451499652486E-6</v>
      </c>
      <c r="FI21" s="126">
        <v>7.0435463926751111E-11</v>
      </c>
      <c r="FJ21" s="126">
        <v>6.9528121890561561E-8</v>
      </c>
      <c r="FK21" s="126">
        <v>2.886947518923661E-12</v>
      </c>
      <c r="FL21" s="126">
        <v>2.1812613579611089E-6</v>
      </c>
      <c r="FM21" s="126">
        <v>1.0072263652967261E-13</v>
      </c>
      <c r="FN21" s="126">
        <v>2.0442339230309929E-10</v>
      </c>
      <c r="FO21" s="126">
        <v>8.5479851568706672E-13</v>
      </c>
      <c r="FP21" s="126">
        <v>9.0549799146830599E-14</v>
      </c>
      <c r="FQ21" s="126">
        <v>7.2587324357582665E-13</v>
      </c>
      <c r="FR21" s="126">
        <v>1.044434544776374E-8</v>
      </c>
      <c r="FS21" s="126">
        <v>1.545801153183452E-13</v>
      </c>
      <c r="FT21" s="126">
        <v>1.970626345696755E-13</v>
      </c>
      <c r="FU21" s="126">
        <v>2.2769271928358328E-9</v>
      </c>
      <c r="FV21" s="126">
        <v>1.8380436118607049E-8</v>
      </c>
      <c r="FW21" s="126">
        <v>3.1757247608681599E-10</v>
      </c>
      <c r="FX21" s="126">
        <v>6.1113902098548334E-9</v>
      </c>
      <c r="FY21" s="126">
        <v>1.412490681143341E-8</v>
      </c>
      <c r="FZ21" s="126">
        <v>2.9970793330117171E-10</v>
      </c>
      <c r="GA21" s="126">
        <v>1.787064874846439E-9</v>
      </c>
      <c r="GB21" s="126">
        <v>4.9573881378956711E-7</v>
      </c>
      <c r="GC21" s="126">
        <v>9.2250148920826238E-7</v>
      </c>
      <c r="GD21" s="126">
        <v>3.2157800780800492E-5</v>
      </c>
      <c r="GE21" s="126">
        <v>2.4061305225885902E-6</v>
      </c>
      <c r="GF21" s="126">
        <v>1.4967756581530501E-12</v>
      </c>
      <c r="GG21" s="126">
        <v>1.283493318886143E-11</v>
      </c>
      <c r="GH21" s="126">
        <v>1.196092289190908E-13</v>
      </c>
      <c r="GI21" s="126">
        <v>6.9977622972220973E-12</v>
      </c>
      <c r="GJ21" s="126">
        <v>8.3647672691782162E-12</v>
      </c>
      <c r="GK21" s="126">
        <v>1.775989726198318E-13</v>
      </c>
      <c r="GL21" s="126">
        <v>1.0986151765347569E-12</v>
      </c>
      <c r="GM21" s="126">
        <v>1.6455161059734401E-10</v>
      </c>
      <c r="GN21" s="126">
        <v>4.4768821649444621E-10</v>
      </c>
      <c r="GO21" s="126">
        <v>1.5606119498296131E-8</v>
      </c>
      <c r="GP21" s="126">
        <v>1.1676905619253149E-9</v>
      </c>
      <c r="GQ21" s="126">
        <v>6.6535476593190248E-8</v>
      </c>
      <c r="GR21" s="126">
        <v>1.4678604939721339E-7</v>
      </c>
      <c r="GS21" s="126">
        <v>9.6087603559683713E-8</v>
      </c>
      <c r="GT21" s="126">
        <v>9.8115805910653364E-8</v>
      </c>
      <c r="GU21" s="126">
        <v>2.274135015112887E-8</v>
      </c>
      <c r="GV21" s="126">
        <v>1.8600223848094372E-8</v>
      </c>
      <c r="GW21" s="126">
        <v>2.989871745162474E-8</v>
      </c>
      <c r="GX21" s="126">
        <v>1.735175678683243E-6</v>
      </c>
      <c r="GY21" s="126">
        <v>9.6892287251748643E-7</v>
      </c>
      <c r="GZ21" s="126">
        <v>3.3776019953225253E-5</v>
      </c>
      <c r="HA21" s="126">
        <v>2.5272099014164471E-6</v>
      </c>
      <c r="HB21" s="126">
        <v>1.0093871591299619E-7</v>
      </c>
      <c r="HC21" s="126">
        <v>5.6338954168354454E-6</v>
      </c>
      <c r="HD21" s="126">
        <v>1.037431530174432E-7</v>
      </c>
      <c r="HE21" s="126">
        <v>2.9336612163371442E-7</v>
      </c>
      <c r="HF21" s="126">
        <v>7.3357488548655711E-9</v>
      </c>
      <c r="HG21" s="126">
        <v>6.7158187289223306E-8</v>
      </c>
      <c r="HH21" s="126">
        <v>2.294235627332373E-7</v>
      </c>
      <c r="HI21" s="126">
        <v>4.7530804928440233E-8</v>
      </c>
      <c r="HJ21" s="126">
        <v>1.4216137977075461E-7</v>
      </c>
      <c r="HK21" s="126">
        <v>6.4187873719339181E-7</v>
      </c>
      <c r="HL21" s="126">
        <v>5.1272351894138011E-8</v>
      </c>
      <c r="HM21" s="126">
        <v>1.326130971804182E-8</v>
      </c>
      <c r="HN21" s="126">
        <v>3.3862092193793798E-8</v>
      </c>
      <c r="HO21" s="126">
        <v>4.9937784655658422E-6</v>
      </c>
      <c r="HP21" s="126">
        <v>2.2567274528607239E-6</v>
      </c>
      <c r="HQ21" s="126">
        <v>7.866804844720946E-5</v>
      </c>
      <c r="HR21" s="126">
        <v>5.8861485526186799E-6</v>
      </c>
      <c r="HS21" s="126">
        <v>5.0197330165270093E-8</v>
      </c>
      <c r="HT21" s="126">
        <v>1.280384210133921E-9</v>
      </c>
      <c r="HU21" s="126">
        <v>2.9515989067441268E-10</v>
      </c>
      <c r="HV21" s="126">
        <v>4.998197077177461E-9</v>
      </c>
      <c r="HW21" s="126">
        <v>6.5083688354887549E-7</v>
      </c>
      <c r="HX21" s="126">
        <v>6.4312703132666518E-10</v>
      </c>
      <c r="HY21" s="126">
        <v>4.2675578696558883E-8</v>
      </c>
      <c r="HZ21" s="126">
        <v>1.1707059393851269E-6</v>
      </c>
      <c r="IA21" s="126">
        <v>2.5608615531070208E-5</v>
      </c>
      <c r="IB21" s="126">
        <v>3.1293082767678571E-9</v>
      </c>
      <c r="IC21" s="126">
        <v>1.1893221147315521E-7</v>
      </c>
      <c r="ID21" s="126">
        <v>1.028614961703157E-9</v>
      </c>
      <c r="IE21" s="126">
        <v>4.0822467010864072E-12</v>
      </c>
      <c r="IF21" s="126">
        <v>1.833235501827579E-9</v>
      </c>
      <c r="IG21" s="126">
        <v>1.065358572894511E-7</v>
      </c>
      <c r="IH21" s="126">
        <v>4.7841335539791565E-7</v>
      </c>
      <c r="II21" s="126">
        <v>4.4605368897505079E-7</v>
      </c>
      <c r="IJ21" s="126">
        <v>2.9769862770906861E-7</v>
      </c>
      <c r="IK21" s="126">
        <v>5.7887476876877293E-8</v>
      </c>
      <c r="IL21" s="126">
        <v>1.8431696649297121E-8</v>
      </c>
      <c r="IM21" s="126">
        <v>4.7880600281796521E-8</v>
      </c>
      <c r="IN21" s="126">
        <v>4.8438974367130704E-6</v>
      </c>
      <c r="IO21" s="126">
        <v>1.335096769809572E-5</v>
      </c>
      <c r="IP21" s="126">
        <v>5.6237789684992734E-7</v>
      </c>
      <c r="IQ21" s="126">
        <v>1.7149372392485411E-4</v>
      </c>
      <c r="IR21" s="126">
        <v>1.9604093862920509E-5</v>
      </c>
      <c r="IS21" s="126">
        <v>3.1741242013354092E-6</v>
      </c>
      <c r="IT21" s="126">
        <v>1.106479012924582E-4</v>
      </c>
      <c r="IU21" s="126">
        <v>8.2789645465776178E-6</v>
      </c>
      <c r="IV21" s="126">
        <v>3.640305481052093E-9</v>
      </c>
      <c r="IW21" s="126">
        <v>1.4340824697399319E-5</v>
      </c>
      <c r="IX21" s="126">
        <v>1.466830608168572E-6</v>
      </c>
      <c r="IY21" s="126">
        <v>5.0347711564117121E-11</v>
      </c>
      <c r="IZ21" s="126">
        <v>1.126587922077456E-9</v>
      </c>
      <c r="JA21" s="126">
        <v>8.6175731617919942E-9</v>
      </c>
      <c r="JB21" s="126">
        <v>1.367328155891065E-9</v>
      </c>
      <c r="JC21" s="126">
        <v>3.401514755259434E-9</v>
      </c>
      <c r="JD21" s="126">
        <v>4.6629712716761144E-10</v>
      </c>
      <c r="JE21" s="126">
        <v>5.1944596442822827E-10</v>
      </c>
      <c r="JF21" s="126">
        <v>1.0451789072820129E-9</v>
      </c>
      <c r="JG21" s="126">
        <v>6.0751986745113803E-8</v>
      </c>
      <c r="JH21" s="126">
        <v>4.0812096613525948E-8</v>
      </c>
      <c r="JI21" s="126">
        <v>1.42268309341261E-6</v>
      </c>
      <c r="JJ21" s="126">
        <v>1.064488594342745E-7</v>
      </c>
      <c r="JK21" s="126">
        <v>2.5868730879774521E-11</v>
      </c>
      <c r="JL21" s="126">
        <v>2.5799027162235251E-8</v>
      </c>
      <c r="JM21" s="126">
        <v>3.3158466705741712E-13</v>
      </c>
      <c r="JN21" s="126">
        <v>2.8662744076417502E-7</v>
      </c>
      <c r="JO21" s="126">
        <v>1.1099985043103559E-14</v>
      </c>
      <c r="JP21" s="126">
        <v>2.4825096543989869E-9</v>
      </c>
      <c r="JQ21" s="126">
        <v>8.7062811782941977E-12</v>
      </c>
      <c r="JR21" s="126">
        <v>9.2226647279179314E-13</v>
      </c>
      <c r="JS21" s="126">
        <v>4.8236986739933428E-14</v>
      </c>
      <c r="JT21" s="126">
        <v>4.0194325803640632E-9</v>
      </c>
      <c r="JU21" s="126">
        <v>2.3012957902692381E-14</v>
      </c>
      <c r="JV21" s="126">
        <v>1.279381507967609E-14</v>
      </c>
      <c r="JW21" s="126">
        <v>2.1204013056026399E-7</v>
      </c>
      <c r="JX21" s="126">
        <v>4.5797512176659522E-7</v>
      </c>
      <c r="JY21" s="126">
        <v>4.6869612299108163E-8</v>
      </c>
      <c r="JZ21" s="126">
        <v>4.0580095107973831E-7</v>
      </c>
      <c r="KA21" s="126">
        <v>4.135563994396891E-8</v>
      </c>
      <c r="KB21" s="126">
        <v>6.1418525739675425E-8</v>
      </c>
      <c r="KC21" s="126">
        <v>1.131768408623621E-7</v>
      </c>
      <c r="KD21" s="126">
        <v>8.1982166909777803E-5</v>
      </c>
      <c r="KE21" s="126">
        <v>4.4826015655301432E-6</v>
      </c>
      <c r="KF21" s="126">
        <v>1.5626056956042429E-4</v>
      </c>
      <c r="KG21" s="126">
        <v>1.1691823345111711E-5</v>
      </c>
      <c r="KH21" s="126">
        <v>1.2400629777441681E-7</v>
      </c>
      <c r="KI21" s="126">
        <v>4.574868291383471E-7</v>
      </c>
      <c r="KJ21" s="126">
        <v>4.7290356878832241E-8</v>
      </c>
      <c r="KK21" s="126">
        <v>3.982021836716266E-7</v>
      </c>
      <c r="KL21" s="126">
        <v>2.7033250742636019E-8</v>
      </c>
      <c r="KM21" s="126">
        <v>1.8146817240183569E-8</v>
      </c>
      <c r="KN21" s="126">
        <v>7.1344147745172111E-8</v>
      </c>
      <c r="KO21" s="126">
        <v>2.1843568206529551E-5</v>
      </c>
      <c r="KP21" s="126">
        <v>2.521292528394132E-6</v>
      </c>
      <c r="KQ21" s="126">
        <v>8.7890614580801954E-5</v>
      </c>
      <c r="KR21" s="127">
        <v>6.5762050033656957E-6</v>
      </c>
    </row>
    <row r="22" spans="2:304" x14ac:dyDescent="0.25">
      <c r="B22" s="5">
        <v>5000</v>
      </c>
      <c r="C22" s="126">
        <v>4.8201433899048857E-6</v>
      </c>
      <c r="D22" s="126">
        <v>9.0658572530398374E-8</v>
      </c>
      <c r="E22" s="126">
        <v>4.9882830088652682E-6</v>
      </c>
      <c r="F22" s="126">
        <v>9.7701082758650461E-8</v>
      </c>
      <c r="G22" s="126">
        <v>1.7166811926362951E-7</v>
      </c>
      <c r="H22" s="126">
        <v>2.8076715392298559E-7</v>
      </c>
      <c r="I22" s="126">
        <v>1.1240444784473299E-4</v>
      </c>
      <c r="J22" s="126">
        <v>2.8174213873609208E-6</v>
      </c>
      <c r="K22" s="126">
        <v>1.3500787092557331E-4</v>
      </c>
      <c r="L22" s="126">
        <v>8.1682332431389248E-6</v>
      </c>
      <c r="M22" s="126">
        <v>1.7218709468593181E-4</v>
      </c>
      <c r="N22" s="126">
        <v>1.7167658077910171E-3</v>
      </c>
      <c r="O22" s="126">
        <v>1.7985884945968289E-5</v>
      </c>
      <c r="P22" s="126">
        <v>1.086160034403378E-3</v>
      </c>
      <c r="Q22" s="126">
        <v>7.6737773529295041E-4</v>
      </c>
      <c r="R22" s="126">
        <v>3.2641028454746807E-5</v>
      </c>
      <c r="S22" s="126">
        <v>1.037915286212181E-4</v>
      </c>
      <c r="T22" s="126">
        <v>1.8578726801600678E-2</v>
      </c>
      <c r="U22" s="126">
        <v>2.4698059183726601E-2</v>
      </c>
      <c r="V22" s="126">
        <v>1.183505031000029</v>
      </c>
      <c r="W22" s="126">
        <v>7.1604307744145335E-2</v>
      </c>
      <c r="X22" s="126">
        <v>3.900459024017862E-6</v>
      </c>
      <c r="Y22" s="126">
        <v>3.1507502878070452E-5</v>
      </c>
      <c r="Z22" s="126">
        <v>3.8956234445330247E-7</v>
      </c>
      <c r="AA22" s="126">
        <v>1.5025711707165271E-5</v>
      </c>
      <c r="AB22" s="126">
        <v>1.7940627048668419E-5</v>
      </c>
      <c r="AC22" s="126">
        <v>7.2534124298282997E-7</v>
      </c>
      <c r="AD22" s="126">
        <v>2.1184381512410968E-6</v>
      </c>
      <c r="AE22" s="126">
        <v>3.2287272365263302E-4</v>
      </c>
      <c r="AF22" s="126">
        <v>5.8347023958429684E-4</v>
      </c>
      <c r="AG22" s="126">
        <v>2.7959280478273379E-2</v>
      </c>
      <c r="AH22" s="126">
        <v>1.6915897028164911E-3</v>
      </c>
      <c r="AI22" s="126">
        <v>6.6477771741165933E-9</v>
      </c>
      <c r="AJ22" s="126">
        <v>4.50320605274238E-8</v>
      </c>
      <c r="AK22" s="126">
        <v>4.3583494750392069E-9</v>
      </c>
      <c r="AL22" s="126">
        <v>5.03170378633061E-8</v>
      </c>
      <c r="AM22" s="126">
        <v>2.2694061320516402E-9</v>
      </c>
      <c r="AN22" s="126">
        <v>1.0806193083702211E-9</v>
      </c>
      <c r="AO22" s="126">
        <v>4.2472415670612461E-9</v>
      </c>
      <c r="AP22" s="126">
        <v>6.1333915137278423E-7</v>
      </c>
      <c r="AQ22" s="126">
        <v>2.8183666906062431E-8</v>
      </c>
      <c r="AR22" s="126">
        <v>1.350531688632913E-6</v>
      </c>
      <c r="AS22" s="126">
        <v>8.1709738546171805E-8</v>
      </c>
      <c r="AT22" s="126">
        <v>6.3861110363228148E-6</v>
      </c>
      <c r="AU22" s="126">
        <v>2.3619758709551931E-6</v>
      </c>
      <c r="AV22" s="126">
        <v>2.3250076008077809E-7</v>
      </c>
      <c r="AW22" s="126">
        <v>2.777632142830843E-6</v>
      </c>
      <c r="AX22" s="126">
        <v>8.0368029451008934E-8</v>
      </c>
      <c r="AY22" s="126">
        <v>2.108705884152074E-7</v>
      </c>
      <c r="AZ22" s="126">
        <v>1.0446667897511089E-7</v>
      </c>
      <c r="BA22" s="126">
        <v>1.732212386655678E-5</v>
      </c>
      <c r="BB22" s="126">
        <v>1.7927365451804679E-6</v>
      </c>
      <c r="BC22" s="126">
        <v>8.5906050540063441E-5</v>
      </c>
      <c r="BD22" s="126">
        <v>5.1974796209840973E-6</v>
      </c>
      <c r="BE22" s="126">
        <v>1.162954567720474E-11</v>
      </c>
      <c r="BF22" s="126">
        <v>7.5036368186366362E-9</v>
      </c>
      <c r="BG22" s="126">
        <v>7.3393895574982251E-14</v>
      </c>
      <c r="BH22" s="126">
        <v>4.4585585154896567E-8</v>
      </c>
      <c r="BI22" s="126">
        <v>7.4959875637312594E-15</v>
      </c>
      <c r="BJ22" s="126">
        <v>5.1560572056368895E-10</v>
      </c>
      <c r="BK22" s="126">
        <v>7.7300242091139842E-13</v>
      </c>
      <c r="BL22" s="126">
        <v>8.1884727229663917E-14</v>
      </c>
      <c r="BM22" s="126">
        <v>2.9768951243196233E-14</v>
      </c>
      <c r="BN22" s="126">
        <v>5.4183042817232379E-9</v>
      </c>
      <c r="BO22" s="126">
        <v>1.330153097418629E-14</v>
      </c>
      <c r="BP22" s="126">
        <v>8.8303488883559135E-15</v>
      </c>
      <c r="BQ22" s="126">
        <v>1.535653884163388E-5</v>
      </c>
      <c r="BR22" s="126">
        <v>9.1181874861081223E-5</v>
      </c>
      <c r="BS22" s="126">
        <v>1.496661194819676E-6</v>
      </c>
      <c r="BT22" s="126">
        <v>5.2364597495143587E-5</v>
      </c>
      <c r="BU22" s="126">
        <v>4.1372753388775047E-5</v>
      </c>
      <c r="BV22" s="126">
        <v>2.6229208228836259E-6</v>
      </c>
      <c r="BW22" s="126">
        <v>7.713029283654627E-6</v>
      </c>
      <c r="BX22" s="126">
        <v>9.6412411721620496E-4</v>
      </c>
      <c r="BY22" s="126">
        <v>8.8440309509748964E-4</v>
      </c>
      <c r="BZ22" s="126">
        <v>7.7920821173224931E-6</v>
      </c>
      <c r="CA22" s="126">
        <v>1.4038144366626819E-3</v>
      </c>
      <c r="CB22" s="126">
        <v>1.0963104243578561E-4</v>
      </c>
      <c r="CC22" s="126">
        <v>1.4170919072313949E-4</v>
      </c>
      <c r="CD22" s="126">
        <v>4.237953522307198E-2</v>
      </c>
      <c r="CE22" s="126">
        <v>3.2666044885056367E-5</v>
      </c>
      <c r="CF22" s="126">
        <v>6.7269103528685675E-2</v>
      </c>
      <c r="CG22" s="126">
        <v>5.2533973818236013E-3</v>
      </c>
      <c r="CH22" s="126">
        <v>2.1476063757307241E-3</v>
      </c>
      <c r="CI22" s="126">
        <v>2.1288544402216231E-4</v>
      </c>
      <c r="CJ22" s="126">
        <v>1.0201246670949481E-2</v>
      </c>
      <c r="CK22" s="126">
        <v>6.1719484655117307E-4</v>
      </c>
      <c r="CL22" s="126">
        <v>1.9331369085490599E-5</v>
      </c>
      <c r="CM22" s="126">
        <v>4.0699098931873193E-3</v>
      </c>
      <c r="CN22" s="126">
        <v>7.3576955693356726E-6</v>
      </c>
      <c r="CO22" s="126">
        <v>3.5386325495680271E-5</v>
      </c>
      <c r="CP22" s="126">
        <v>7.190674425301229E-6</v>
      </c>
      <c r="CQ22" s="126">
        <v>3.6590816366763422E-5</v>
      </c>
      <c r="CR22" s="126">
        <v>1.9159071136725598E-6</v>
      </c>
      <c r="CS22" s="126">
        <v>1.609780339623621E-6</v>
      </c>
      <c r="CT22" s="126">
        <v>3.4633430084070261E-6</v>
      </c>
      <c r="CU22" s="126">
        <v>5.602817856746957E-4</v>
      </c>
      <c r="CV22" s="126">
        <v>4.6434105691088663E-5</v>
      </c>
      <c r="CW22" s="126">
        <v>2.2250735285143379E-3</v>
      </c>
      <c r="CX22" s="126">
        <v>1.3462118496823531E-4</v>
      </c>
      <c r="CY22" s="126">
        <v>1.5074930214543519E-7</v>
      </c>
      <c r="CZ22" s="126">
        <v>9.4781846844027885E-5</v>
      </c>
      <c r="DA22" s="126">
        <v>3.1291810482045549E-9</v>
      </c>
      <c r="DB22" s="126">
        <v>9.4215432893552891E-5</v>
      </c>
      <c r="DC22" s="126">
        <v>1.152123968125774E-8</v>
      </c>
      <c r="DD22" s="126">
        <v>2.799657911504035E-11</v>
      </c>
      <c r="DE22" s="126">
        <v>3.6806571712637939E-6</v>
      </c>
      <c r="DF22" s="126">
        <v>1.077996573379841E-9</v>
      </c>
      <c r="DG22" s="126">
        <v>1.1419298695293269E-10</v>
      </c>
      <c r="DH22" s="126">
        <v>9.0017955968605265E-9</v>
      </c>
      <c r="DI22" s="126">
        <v>2.2967267227137191E-7</v>
      </c>
      <c r="DJ22" s="126">
        <v>9.2766295714648841E-10</v>
      </c>
      <c r="DK22" s="126">
        <v>1.046719113357882E-9</v>
      </c>
      <c r="DL22" s="126">
        <v>6.1896965378996596E-7</v>
      </c>
      <c r="DM22" s="126">
        <v>2.325092783218064E-5</v>
      </c>
      <c r="DN22" s="126">
        <v>1.2450842689754351E-7</v>
      </c>
      <c r="DO22" s="126">
        <v>2.5789611348114161E-5</v>
      </c>
      <c r="DP22" s="126">
        <v>1.381222306821157E-6</v>
      </c>
      <c r="DQ22" s="126">
        <v>1.62513216973712E-7</v>
      </c>
      <c r="DR22" s="126">
        <v>9.9168056370571024E-7</v>
      </c>
      <c r="DS22" s="126">
        <v>2.9520454733809588E-4</v>
      </c>
      <c r="DT22" s="126">
        <v>1.11426593094374E-4</v>
      </c>
      <c r="DU22" s="126">
        <v>5.339445198239528E-3</v>
      </c>
      <c r="DV22" s="126">
        <v>3.2304660068465128E-4</v>
      </c>
      <c r="DW22" s="126">
        <v>3.184873239095994E-6</v>
      </c>
      <c r="DX22" s="126">
        <v>1.639421280679578E-6</v>
      </c>
      <c r="DY22" s="126">
        <v>5.2661287221081874E-6</v>
      </c>
      <c r="DZ22" s="126">
        <v>1.381586173002493E-6</v>
      </c>
      <c r="EA22" s="126">
        <v>2.8953091984763092E-7</v>
      </c>
      <c r="EB22" s="126">
        <v>7.5036266620773409E-6</v>
      </c>
      <c r="EC22" s="126">
        <v>1.6172362726682559E-7</v>
      </c>
      <c r="ED22" s="126">
        <v>4.5545822107260318E-5</v>
      </c>
      <c r="EE22" s="126">
        <v>7.7384196859323872E-6</v>
      </c>
      <c r="EF22" s="126">
        <v>3.708169359447117E-4</v>
      </c>
      <c r="EG22" s="126">
        <v>2.2435130652288299E-5</v>
      </c>
      <c r="EH22" s="126">
        <v>1.6127022480674591E-8</v>
      </c>
      <c r="EI22" s="126">
        <v>9.8034429805855258E-8</v>
      </c>
      <c r="EJ22" s="126">
        <v>3.8746022118588332E-9</v>
      </c>
      <c r="EK22" s="126">
        <v>4.5775898360494403E-8</v>
      </c>
      <c r="EL22" s="126">
        <v>9.5193136529073138E-9</v>
      </c>
      <c r="EM22" s="126">
        <v>2.9596454382184699E-9</v>
      </c>
      <c r="EN22" s="126">
        <v>7.6668558662863438E-9</v>
      </c>
      <c r="EO22" s="126">
        <v>8.551883958930924E-7</v>
      </c>
      <c r="EP22" s="126">
        <v>7.9891123465654029E-6</v>
      </c>
      <c r="EQ22" s="126">
        <v>1.210752000230799E-4</v>
      </c>
      <c r="ER22" s="126">
        <v>3.1643221243639012E-7</v>
      </c>
      <c r="ES22" s="126">
        <v>1.5163098954580731E-5</v>
      </c>
      <c r="ET22" s="126">
        <v>9.1739635697306966E-7</v>
      </c>
      <c r="EU22" s="126">
        <v>4.9174477353260196E-12</v>
      </c>
      <c r="EV22" s="126">
        <v>7.8760396270083826E-6</v>
      </c>
      <c r="EW22" s="126">
        <v>1.9171799613909409E-11</v>
      </c>
      <c r="EX22" s="126">
        <v>5.5142160294187698E-6</v>
      </c>
      <c r="EY22" s="126">
        <v>2.1557159842018051E-6</v>
      </c>
      <c r="EZ22" s="126">
        <v>2.356576625654888E-7</v>
      </c>
      <c r="FA22" s="126">
        <v>2.4854405531849992E-6</v>
      </c>
      <c r="FB22" s="126">
        <v>7.9621610667456825E-8</v>
      </c>
      <c r="FC22" s="126">
        <v>2.1565768284523231E-7</v>
      </c>
      <c r="FD22" s="126">
        <v>1.0205084652221751E-7</v>
      </c>
      <c r="FE22" s="126">
        <v>1.6513378758730999E-5</v>
      </c>
      <c r="FF22" s="126">
        <v>1.3629852159240801E-6</v>
      </c>
      <c r="FG22" s="126">
        <v>6.5312818639922548E-5</v>
      </c>
      <c r="FH22" s="126">
        <v>3.9515498819459183E-6</v>
      </c>
      <c r="FI22" s="126">
        <v>4.6796561714658427E-11</v>
      </c>
      <c r="FJ22" s="126">
        <v>4.6193737153223332E-8</v>
      </c>
      <c r="FK22" s="126">
        <v>1.918056750550816E-12</v>
      </c>
      <c r="FL22" s="126">
        <v>1.6875187817179261E-6</v>
      </c>
      <c r="FM22" s="126">
        <v>6.6919156642827171E-14</v>
      </c>
      <c r="FN22" s="126">
        <v>1.3581670058818421E-10</v>
      </c>
      <c r="FO22" s="126">
        <v>5.6792014597572124E-13</v>
      </c>
      <c r="FP22" s="126">
        <v>6.0160207760569412E-14</v>
      </c>
      <c r="FQ22" s="126">
        <v>4.8226234096047994E-13</v>
      </c>
      <c r="FR22" s="126">
        <v>8.0802004957012925E-9</v>
      </c>
      <c r="FS22" s="126">
        <v>1.027015311812489E-13</v>
      </c>
      <c r="FT22" s="126">
        <v>1.3092650688249139E-13</v>
      </c>
      <c r="FU22" s="126">
        <v>1.7921279035296751E-9</v>
      </c>
      <c r="FV22" s="126">
        <v>1.447235175686228E-8</v>
      </c>
      <c r="FW22" s="126">
        <v>2.5003048586030212E-10</v>
      </c>
      <c r="FX22" s="126">
        <v>4.8108585562030063E-9</v>
      </c>
      <c r="FY22" s="126">
        <v>1.111906235013075E-8</v>
      </c>
      <c r="FZ22" s="126">
        <v>2.3591936307729002E-10</v>
      </c>
      <c r="GA22" s="126">
        <v>1.406832557762431E-9</v>
      </c>
      <c r="GB22" s="126">
        <v>3.9659105103165371E-7</v>
      </c>
      <c r="GC22" s="126">
        <v>6.1406819546759565E-7</v>
      </c>
      <c r="GD22" s="126">
        <v>2.9425502356552041E-5</v>
      </c>
      <c r="GE22" s="126">
        <v>1.780298918107915E-6</v>
      </c>
      <c r="GF22" s="126">
        <v>1.178084846428147E-12</v>
      </c>
      <c r="GG22" s="126">
        <v>1.0105944531805029E-11</v>
      </c>
      <c r="GH22" s="126">
        <v>9.4170483501979772E-14</v>
      </c>
      <c r="GI22" s="126">
        <v>5.5086066289106094E-12</v>
      </c>
      <c r="GJ22" s="126">
        <v>6.5847067206871678E-12</v>
      </c>
      <c r="GK22" s="126">
        <v>1.397995576631871E-13</v>
      </c>
      <c r="GL22" s="126">
        <v>8.6486373301575025E-13</v>
      </c>
      <c r="GM22" s="126">
        <v>1.3164128847787521E-10</v>
      </c>
      <c r="GN22" s="126">
        <v>2.9800612622402748E-10</v>
      </c>
      <c r="GO22" s="126">
        <v>1.428014027463959E-8</v>
      </c>
      <c r="GP22" s="126">
        <v>8.6397567570190764E-10</v>
      </c>
      <c r="GQ22" s="126">
        <v>5.2368861223354458E-8</v>
      </c>
      <c r="GR22" s="126">
        <v>1.155761118054269E-7</v>
      </c>
      <c r="GS22" s="126">
        <v>7.5651487494187172E-8</v>
      </c>
      <c r="GT22" s="126">
        <v>7.7236315822686159E-8</v>
      </c>
      <c r="GU22" s="126">
        <v>1.7901887327984191E-8</v>
      </c>
      <c r="GV22" s="126">
        <v>1.464143079231693E-8</v>
      </c>
      <c r="GW22" s="126">
        <v>2.3537192039488688E-8</v>
      </c>
      <c r="GX22" s="126">
        <v>1.388140542946594E-6</v>
      </c>
      <c r="GY22" s="126">
        <v>6.4496884485762554E-7</v>
      </c>
      <c r="GZ22" s="126">
        <v>3.0906228989451382E-5</v>
      </c>
      <c r="HA22" s="126">
        <v>1.8698856986706361E-6</v>
      </c>
      <c r="HB22" s="126">
        <v>7.8090586570006191E-8</v>
      </c>
      <c r="HC22" s="126">
        <v>4.4543154702875171E-6</v>
      </c>
      <c r="HD22" s="126">
        <v>7.3205550024070555E-8</v>
      </c>
      <c r="HE22" s="126">
        <v>2.1706192791946489E-7</v>
      </c>
      <c r="HF22" s="126">
        <v>5.6752547902478993E-9</v>
      </c>
      <c r="HG22" s="126">
        <v>5.2858985465226807E-8</v>
      </c>
      <c r="HH22" s="126">
        <v>1.8064307504797099E-7</v>
      </c>
      <c r="HI22" s="126">
        <v>3.7421852158057733E-8</v>
      </c>
      <c r="HJ22" s="126">
        <v>1.1190879108470559E-7</v>
      </c>
      <c r="HK22" s="126">
        <v>5.0528402030230702E-7</v>
      </c>
      <c r="HL22" s="126">
        <v>4.0361362036547893E-8</v>
      </c>
      <c r="HM22" s="126">
        <v>1.0438828588188289E-8</v>
      </c>
      <c r="HN22" s="126">
        <v>2.6657282812005179E-8</v>
      </c>
      <c r="HO22" s="126">
        <v>3.9950227724526729E-6</v>
      </c>
      <c r="HP22" s="126">
        <v>1.502203054251673E-6</v>
      </c>
      <c r="HQ22" s="126">
        <v>7.1983991092785483E-5</v>
      </c>
      <c r="HR22" s="126">
        <v>4.355168517115921E-6</v>
      </c>
      <c r="HS22" s="126">
        <v>3.335056416229527E-8</v>
      </c>
      <c r="HT22" s="126">
        <v>8.5067344018143198E-10</v>
      </c>
      <c r="HU22" s="126">
        <v>2.2834854581041989E-10</v>
      </c>
      <c r="HV22" s="126">
        <v>3.3207481541049392E-9</v>
      </c>
      <c r="HW22" s="126">
        <v>4.5033566816254838E-7</v>
      </c>
      <c r="HX22" s="126">
        <v>4.2728745030325738E-10</v>
      </c>
      <c r="HY22" s="126">
        <v>2.8353194949745259E-8</v>
      </c>
      <c r="HZ22" s="126">
        <v>7.7780586776330532E-7</v>
      </c>
      <c r="IA22" s="126">
        <v>2.02468885013069E-5</v>
      </c>
      <c r="IB22" s="126">
        <v>2.079078570321843E-9</v>
      </c>
      <c r="IC22" s="126">
        <v>8.7998078886290102E-8</v>
      </c>
      <c r="ID22" s="126">
        <v>6.8340066777253943E-10</v>
      </c>
      <c r="IE22" s="126">
        <v>3.1582038321756131E-12</v>
      </c>
      <c r="IF22" s="126">
        <v>1.217983908640373E-9</v>
      </c>
      <c r="IG22" s="126">
        <v>8.3852431986237138E-8</v>
      </c>
      <c r="IH22" s="126">
        <v>3.7669216986044598E-7</v>
      </c>
      <c r="II22" s="126">
        <v>3.5118604089519232E-7</v>
      </c>
      <c r="IJ22" s="126">
        <v>2.343470047084567E-7</v>
      </c>
      <c r="IK22" s="126">
        <v>4.5568758313134123E-8</v>
      </c>
      <c r="IL22" s="126">
        <v>1.4508772210465189E-8</v>
      </c>
      <c r="IM22" s="126">
        <v>3.7693084515148643E-8</v>
      </c>
      <c r="IN22" s="126">
        <v>3.8751179493704543E-6</v>
      </c>
      <c r="IO22" s="126">
        <v>1.150103576883452E-5</v>
      </c>
      <c r="IP22" s="126">
        <v>3.7434965653715847E-7</v>
      </c>
      <c r="IQ22" s="126">
        <v>1.7429848846510219E-4</v>
      </c>
      <c r="IR22" s="126">
        <v>1.7938427552970879E-5</v>
      </c>
      <c r="IS22" s="126">
        <v>2.112873250943908E-6</v>
      </c>
      <c r="IT22" s="126">
        <v>1.012466649203404E-4</v>
      </c>
      <c r="IU22" s="126">
        <v>6.1256159991974192E-6</v>
      </c>
      <c r="IV22" s="126">
        <v>2.8162988575602161E-9</v>
      </c>
      <c r="IW22" s="126">
        <v>1.1338257560731861E-5</v>
      </c>
      <c r="IX22" s="126">
        <v>1.085309639597325E-6</v>
      </c>
      <c r="IY22" s="126">
        <v>3.8951182338086102E-11</v>
      </c>
      <c r="IZ22" s="126">
        <v>8.8671682488887287E-10</v>
      </c>
      <c r="JA22" s="126">
        <v>6.7852878616789424E-9</v>
      </c>
      <c r="JB22" s="126">
        <v>1.0765218930826189E-9</v>
      </c>
      <c r="JC22" s="126">
        <v>2.6776569327880199E-9</v>
      </c>
      <c r="JD22" s="126">
        <v>3.6706697607850349E-10</v>
      </c>
      <c r="JE22" s="126">
        <v>4.0888928007731561E-10</v>
      </c>
      <c r="JF22" s="126">
        <v>8.2279705462693173E-10</v>
      </c>
      <c r="JG22" s="126">
        <v>4.8601589396091021E-8</v>
      </c>
      <c r="JH22" s="126">
        <v>2.7166796817017649E-8</v>
      </c>
      <c r="JI22" s="126">
        <v>1.30180434300201E-6</v>
      </c>
      <c r="JJ22" s="126">
        <v>7.8761641359662745E-8</v>
      </c>
      <c r="JK22" s="126">
        <v>1.718690548207619E-11</v>
      </c>
      <c r="JL22" s="126">
        <v>1.714059645415137E-8</v>
      </c>
      <c r="JM22" s="126">
        <v>2.2030127145011011E-13</v>
      </c>
      <c r="JN22" s="126">
        <v>2.2174747096671001E-7</v>
      </c>
      <c r="JO22" s="126">
        <v>7.374723929249597E-15</v>
      </c>
      <c r="JP22" s="126">
        <v>1.649352682391975E-9</v>
      </c>
      <c r="JQ22" s="126">
        <v>5.784371857160124E-12</v>
      </c>
      <c r="JR22" s="126">
        <v>6.1274285682061437E-13</v>
      </c>
      <c r="JS22" s="126">
        <v>3.2048132855099272E-14</v>
      </c>
      <c r="JT22" s="126">
        <v>3.109608092793362E-9</v>
      </c>
      <c r="JU22" s="126">
        <v>1.5289586301244279E-14</v>
      </c>
      <c r="JV22" s="126">
        <v>8.5000868974492737E-15</v>
      </c>
      <c r="JW22" s="126">
        <v>1.6689292298883041E-7</v>
      </c>
      <c r="JX22" s="126">
        <v>3.6059955353226402E-7</v>
      </c>
      <c r="JY22" s="126">
        <v>3.6901283384604093E-8</v>
      </c>
      <c r="JZ22" s="126">
        <v>3.194446616203957E-7</v>
      </c>
      <c r="KA22" s="126">
        <v>3.2554971526915397E-8</v>
      </c>
      <c r="KB22" s="126">
        <v>4.8346466221465603E-8</v>
      </c>
      <c r="KC22" s="126">
        <v>8.9096297930174549E-8</v>
      </c>
      <c r="KD22" s="126">
        <v>6.5585733527822226E-5</v>
      </c>
      <c r="KE22" s="126">
        <v>2.9838684127304301E-6</v>
      </c>
      <c r="KF22" s="126">
        <v>1.4298383739542439E-4</v>
      </c>
      <c r="KG22" s="126">
        <v>8.6507944006370334E-6</v>
      </c>
      <c r="KH22" s="126">
        <v>9.7603097347243696E-8</v>
      </c>
      <c r="KI22" s="126">
        <v>3.6021508263991468E-7</v>
      </c>
      <c r="KJ22" s="126">
        <v>3.7232543111478982E-8</v>
      </c>
      <c r="KK22" s="126">
        <v>3.1346294650376628E-7</v>
      </c>
      <c r="KL22" s="126">
        <v>2.1280451938329259E-8</v>
      </c>
      <c r="KM22" s="126">
        <v>1.428452533113963E-8</v>
      </c>
      <c r="KN22" s="126">
        <v>5.6164312368539978E-8</v>
      </c>
      <c r="KO22" s="126">
        <v>1.7474854565223641E-5</v>
      </c>
      <c r="KP22" s="126">
        <v>1.678312253442213E-6</v>
      </c>
      <c r="KQ22" s="126">
        <v>8.0422958774291456E-5</v>
      </c>
      <c r="KR22" s="127">
        <v>4.865742129463696E-6</v>
      </c>
    </row>
    <row r="23" spans="2:304" x14ac:dyDescent="0.25">
      <c r="B23" s="5">
        <v>6000</v>
      </c>
      <c r="C23" s="126">
        <v>3.8430171081379267E-6</v>
      </c>
      <c r="D23" s="126">
        <v>7.2217463312408557E-8</v>
      </c>
      <c r="E23" s="126">
        <v>3.9665421949456983E-6</v>
      </c>
      <c r="F23" s="126">
        <v>7.7689150067334504E-8</v>
      </c>
      <c r="G23" s="126">
        <v>1.3644367197138379E-7</v>
      </c>
      <c r="H23" s="126">
        <v>2.2337298886864071E-7</v>
      </c>
      <c r="I23" s="126">
        <v>9.3670373203944164E-5</v>
      </c>
      <c r="J23" s="126">
        <v>1.9958013494754732E-6</v>
      </c>
      <c r="K23" s="126">
        <v>1.281586537673618E-4</v>
      </c>
      <c r="L23" s="126">
        <v>6.5273728203904674E-6</v>
      </c>
      <c r="M23" s="126">
        <v>1.3669197083250839E-4</v>
      </c>
      <c r="N23" s="126">
        <v>1.3687477397093151E-3</v>
      </c>
      <c r="O23" s="126">
        <v>1.432732669369065E-5</v>
      </c>
      <c r="P23" s="126">
        <v>8.6368387665011759E-4</v>
      </c>
      <c r="Q23" s="126">
        <v>6.1019716826246552E-4</v>
      </c>
      <c r="R23" s="126">
        <v>2.5943441323829171E-5</v>
      </c>
      <c r="S23" s="126">
        <v>8.2574559179831873E-5</v>
      </c>
      <c r="T23" s="126">
        <v>1.548227233466724E-2</v>
      </c>
      <c r="U23" s="126">
        <v>1.7495579493161609E-2</v>
      </c>
      <c r="V23" s="126">
        <v>1.12346347261101</v>
      </c>
      <c r="W23" s="126">
        <v>5.7220208860294379E-2</v>
      </c>
      <c r="X23" s="126">
        <v>3.0964076147340019E-6</v>
      </c>
      <c r="Y23" s="126">
        <v>2.512038808818901E-5</v>
      </c>
      <c r="Z23" s="126">
        <v>3.1032039809604332E-7</v>
      </c>
      <c r="AA23" s="126">
        <v>1.194802287473228E-5</v>
      </c>
      <c r="AB23" s="126">
        <v>1.426588147983114E-5</v>
      </c>
      <c r="AC23" s="126">
        <v>5.7650903993932764E-7</v>
      </c>
      <c r="AD23" s="126">
        <v>1.6853889600842711E-6</v>
      </c>
      <c r="AE23" s="126">
        <v>2.6906060304386089E-4</v>
      </c>
      <c r="AF23" s="126">
        <v>4.1331790010719539E-4</v>
      </c>
      <c r="AG23" s="126">
        <v>2.6540850706215081E-2</v>
      </c>
      <c r="AH23" s="126">
        <v>1.3517778350283279E-3</v>
      </c>
      <c r="AI23" s="126">
        <v>5.277386004118484E-9</v>
      </c>
      <c r="AJ23" s="126">
        <v>3.5903284409347669E-8</v>
      </c>
      <c r="AK23" s="126">
        <v>3.4718056387967271E-9</v>
      </c>
      <c r="AL23" s="126">
        <v>4.0010691745993243E-8</v>
      </c>
      <c r="AM23" s="126">
        <v>1.8045678571671569E-9</v>
      </c>
      <c r="AN23" s="126">
        <v>8.5888787661721799E-10</v>
      </c>
      <c r="AO23" s="126">
        <v>3.3790243268335922E-9</v>
      </c>
      <c r="AP23" s="126">
        <v>5.1111595947732037E-7</v>
      </c>
      <c r="AQ23" s="126">
        <v>1.9964709821761902E-8</v>
      </c>
      <c r="AR23" s="126">
        <v>1.2820165365082469E-6</v>
      </c>
      <c r="AS23" s="126">
        <v>6.5295628892024047E-8</v>
      </c>
      <c r="AT23" s="126">
        <v>5.0696604475638386E-6</v>
      </c>
      <c r="AU23" s="126">
        <v>1.8831625839390031E-6</v>
      </c>
      <c r="AV23" s="126">
        <v>1.8520714194579559E-7</v>
      </c>
      <c r="AW23" s="126">
        <v>2.2086948709596671E-6</v>
      </c>
      <c r="AX23" s="126">
        <v>6.3906394119082274E-8</v>
      </c>
      <c r="AY23" s="126">
        <v>1.6760221710096539E-7</v>
      </c>
      <c r="AZ23" s="126">
        <v>8.3111695915299676E-8</v>
      </c>
      <c r="BA23" s="126">
        <v>1.443510322213065E-5</v>
      </c>
      <c r="BB23" s="126">
        <v>1.269936414970087E-6</v>
      </c>
      <c r="BC23" s="126">
        <v>8.1547866151854311E-5</v>
      </c>
      <c r="BD23" s="126">
        <v>4.153393543339583E-6</v>
      </c>
      <c r="BE23" s="126">
        <v>8.1803227041373748E-12</v>
      </c>
      <c r="BF23" s="126">
        <v>5.2781233765565631E-9</v>
      </c>
      <c r="BG23" s="126">
        <v>5.1625898651378773E-14</v>
      </c>
      <c r="BH23" s="126">
        <v>3.7669425736505197E-8</v>
      </c>
      <c r="BI23" s="126">
        <v>5.2727548184650103E-15</v>
      </c>
      <c r="BJ23" s="126">
        <v>3.6268153001266059E-10</v>
      </c>
      <c r="BK23" s="126">
        <v>5.4373808720474062E-13</v>
      </c>
      <c r="BL23" s="126">
        <v>5.7598299497512623E-14</v>
      </c>
      <c r="BM23" s="126">
        <v>2.0939736732650319E-14</v>
      </c>
      <c r="BN23" s="126">
        <v>4.577811641342698E-9</v>
      </c>
      <c r="BO23" s="126">
        <v>9.3564315583406589E-15</v>
      </c>
      <c r="BP23" s="126">
        <v>6.2113568983065E-15</v>
      </c>
      <c r="BQ23" s="126">
        <v>1.21908994588571E-5</v>
      </c>
      <c r="BR23" s="126">
        <v>7.2697734631114606E-5</v>
      </c>
      <c r="BS23" s="126">
        <v>1.19222123083566E-6</v>
      </c>
      <c r="BT23" s="126">
        <v>4.1638853512660603E-5</v>
      </c>
      <c r="BU23" s="126">
        <v>3.2898448573588392E-5</v>
      </c>
      <c r="BV23" s="126">
        <v>2.0847257481445948E-6</v>
      </c>
      <c r="BW23" s="126">
        <v>6.1363388852596033E-6</v>
      </c>
      <c r="BX23" s="126">
        <v>8.0343676434683749E-4</v>
      </c>
      <c r="BY23" s="126">
        <v>6.2649019483328433E-4</v>
      </c>
      <c r="BZ23" s="126">
        <v>6.348644254455538E-6</v>
      </c>
      <c r="CA23" s="126">
        <v>9.9442888068775265E-4</v>
      </c>
      <c r="CB23" s="126">
        <v>7.7660389757986179E-5</v>
      </c>
      <c r="CC23" s="126">
        <v>1.2971004380797789E-4</v>
      </c>
      <c r="CD23" s="126">
        <v>4.0229546452900312E-2</v>
      </c>
      <c r="CE23" s="126">
        <v>2.3395278745432419E-5</v>
      </c>
      <c r="CF23" s="126">
        <v>6.3856422941111601E-2</v>
      </c>
      <c r="CG23" s="126">
        <v>4.9868825690484418E-3</v>
      </c>
      <c r="CH23" s="126">
        <v>2.25183141625066E-3</v>
      </c>
      <c r="CI23" s="126">
        <v>1.5080351784405919E-4</v>
      </c>
      <c r="CJ23" s="126">
        <v>9.6837171872623147E-3</v>
      </c>
      <c r="CK23" s="126">
        <v>4.9321080169290575E-4</v>
      </c>
      <c r="CL23" s="126">
        <v>1.43178365271262E-5</v>
      </c>
      <c r="CM23" s="126">
        <v>3.2523338247970319E-3</v>
      </c>
      <c r="CN23" s="126">
        <v>5.8409598581854701E-6</v>
      </c>
      <c r="CO23" s="126">
        <v>2.8212906395865539E-5</v>
      </c>
      <c r="CP23" s="126">
        <v>5.7279995923887333E-6</v>
      </c>
      <c r="CQ23" s="126">
        <v>2.9095986897361879E-5</v>
      </c>
      <c r="CR23" s="126">
        <v>1.5234753911261269E-6</v>
      </c>
      <c r="CS23" s="126">
        <v>1.2794707692246691E-6</v>
      </c>
      <c r="CT23" s="126">
        <v>2.7553695952532618E-6</v>
      </c>
      <c r="CU23" s="126">
        <v>4.6690148806224658E-4</v>
      </c>
      <c r="CV23" s="126">
        <v>3.2892932244959102E-5</v>
      </c>
      <c r="CW23" s="126">
        <v>2.1121911336931939E-3</v>
      </c>
      <c r="CX23" s="126">
        <v>1.075780572926854E-4</v>
      </c>
      <c r="CY23" s="126">
        <v>1.0603835895243441E-7</v>
      </c>
      <c r="CZ23" s="126">
        <v>6.6670375125053508E-5</v>
      </c>
      <c r="DA23" s="126">
        <v>2.2010929163908551E-9</v>
      </c>
      <c r="DB23" s="126">
        <v>7.9600643129085642E-5</v>
      </c>
      <c r="DC23" s="126">
        <v>8.104139281109409E-9</v>
      </c>
      <c r="DD23" s="126">
        <v>1.9693081955419609E-11</v>
      </c>
      <c r="DE23" s="126">
        <v>2.5890061360580509E-6</v>
      </c>
      <c r="DF23" s="126">
        <v>7.5827420324470633E-10</v>
      </c>
      <c r="DG23" s="126">
        <v>8.0324159163197853E-11</v>
      </c>
      <c r="DH23" s="126">
        <v>6.3319405638272654E-9</v>
      </c>
      <c r="DI23" s="126">
        <v>1.9404562352998481E-7</v>
      </c>
      <c r="DJ23" s="126">
        <v>6.5252751616285217E-10</v>
      </c>
      <c r="DK23" s="126">
        <v>7.3627283220009226E-10</v>
      </c>
      <c r="DL23" s="126">
        <v>4.9137353769973689E-7</v>
      </c>
      <c r="DM23" s="126">
        <v>1.8537563348486541E-5</v>
      </c>
      <c r="DN23" s="126">
        <v>9.9181825839405106E-8</v>
      </c>
      <c r="DO23" s="126">
        <v>2.0507172793072001E-5</v>
      </c>
      <c r="DP23" s="126">
        <v>1.0983090876900019E-6</v>
      </c>
      <c r="DQ23" s="126">
        <v>1.2916725693093419E-7</v>
      </c>
      <c r="DR23" s="126">
        <v>7.889621290197087E-7</v>
      </c>
      <c r="DS23" s="126">
        <v>2.4600378944841323E-4</v>
      </c>
      <c r="DT23" s="126">
        <v>7.8932227128975657E-5</v>
      </c>
      <c r="DU23" s="126">
        <v>5.068564549456667E-3</v>
      </c>
      <c r="DV23" s="126">
        <v>2.5815198198456509E-4</v>
      </c>
      <c r="DW23" s="126">
        <v>2.5283346623497879E-6</v>
      </c>
      <c r="DX23" s="126">
        <v>1.3070822835462011E-6</v>
      </c>
      <c r="DY23" s="126">
        <v>4.1949310161457711E-6</v>
      </c>
      <c r="DZ23" s="126">
        <v>1.098598423832121E-6</v>
      </c>
      <c r="EA23" s="126">
        <v>2.3022683522086569E-7</v>
      </c>
      <c r="EB23" s="126">
        <v>5.9639633687833074E-6</v>
      </c>
      <c r="EC23" s="126">
        <v>1.2866423115567789E-7</v>
      </c>
      <c r="ED23" s="126">
        <v>3.7954851756050283E-5</v>
      </c>
      <c r="EE23" s="126">
        <v>5.4817318138051578E-6</v>
      </c>
      <c r="EF23" s="126">
        <v>3.5200465705448282E-4</v>
      </c>
      <c r="EG23" s="126">
        <v>1.792829093912849E-5</v>
      </c>
      <c r="EH23" s="126">
        <v>1.2802553469901179E-8</v>
      </c>
      <c r="EI23" s="126">
        <v>7.8161158383689208E-8</v>
      </c>
      <c r="EJ23" s="126">
        <v>3.086458734956025E-9</v>
      </c>
      <c r="EK23" s="126">
        <v>3.6399705476965408E-8</v>
      </c>
      <c r="EL23" s="126">
        <v>7.56949018411224E-9</v>
      </c>
      <c r="EM23" s="126">
        <v>2.3523581026930951E-9</v>
      </c>
      <c r="EN23" s="126">
        <v>6.0996041956788478E-9</v>
      </c>
      <c r="EO23" s="126">
        <v>7.1265699657757719E-7</v>
      </c>
      <c r="EP23" s="126">
        <v>7.3126387016381747E-6</v>
      </c>
      <c r="EQ23" s="126">
        <v>1.269510754958705E-4</v>
      </c>
      <c r="ER23" s="126">
        <v>2.241538448707585E-7</v>
      </c>
      <c r="ES23" s="126">
        <v>1.4393844859842609E-5</v>
      </c>
      <c r="ET23" s="126">
        <v>7.3310688710574573E-7</v>
      </c>
      <c r="EU23" s="126">
        <v>4.1546484505130626E-12</v>
      </c>
      <c r="EV23" s="126">
        <v>6.7083247410723718E-6</v>
      </c>
      <c r="EW23" s="126">
        <v>1.619785137466129E-11</v>
      </c>
      <c r="EX23" s="126">
        <v>4.3775002884640963E-6</v>
      </c>
      <c r="EY23" s="126">
        <v>1.7187151371730041E-6</v>
      </c>
      <c r="EZ23" s="126">
        <v>1.877218902261527E-7</v>
      </c>
      <c r="FA23" s="126">
        <v>1.9763523460310052E-6</v>
      </c>
      <c r="FB23" s="126">
        <v>6.3312862919108723E-8</v>
      </c>
      <c r="FC23" s="126">
        <v>1.714070513643576E-7</v>
      </c>
      <c r="FD23" s="126">
        <v>8.1189705724963221E-8</v>
      </c>
      <c r="FE23" s="126">
        <v>1.376114896560917E-5</v>
      </c>
      <c r="FF23" s="126">
        <v>9.6550971944046085E-7</v>
      </c>
      <c r="FG23" s="126">
        <v>6.1999369764587575E-5</v>
      </c>
      <c r="FH23" s="126">
        <v>3.157750094795165E-6</v>
      </c>
      <c r="FI23" s="126">
        <v>3.2917105009556828E-11</v>
      </c>
      <c r="FJ23" s="126">
        <v>3.2493076332449317E-8</v>
      </c>
      <c r="FK23" s="126">
        <v>1.3491776480288459E-12</v>
      </c>
      <c r="FL23" s="126">
        <v>1.425749223791445E-6</v>
      </c>
      <c r="FM23" s="126">
        <v>4.7071623670149897E-14</v>
      </c>
      <c r="FN23" s="126">
        <v>9.55346436357266E-11</v>
      </c>
      <c r="FO23" s="126">
        <v>3.994810436606257E-13</v>
      </c>
      <c r="FP23" s="126">
        <v>4.2317117998172523E-14</v>
      </c>
      <c r="FQ23" s="126">
        <v>3.3922748481413569E-13</v>
      </c>
      <c r="FR23" s="126">
        <v>6.826791920560103E-9</v>
      </c>
      <c r="FS23" s="126">
        <v>7.2241296832594758E-14</v>
      </c>
      <c r="FT23" s="126">
        <v>9.2095031801982223E-14</v>
      </c>
      <c r="FU23" s="126">
        <v>1.4226937016634471E-9</v>
      </c>
      <c r="FV23" s="126">
        <v>1.153855620002815E-8</v>
      </c>
      <c r="FW23" s="126">
        <v>1.9917109806185819E-10</v>
      </c>
      <c r="FX23" s="126">
        <v>3.8254592658798696E-9</v>
      </c>
      <c r="FY23" s="126">
        <v>8.8415653044630475E-9</v>
      </c>
      <c r="FZ23" s="126">
        <v>1.875112532571179E-10</v>
      </c>
      <c r="GA23" s="126">
        <v>1.1192491317959049E-9</v>
      </c>
      <c r="GB23" s="126">
        <v>3.3049254252637798E-7</v>
      </c>
      <c r="GC23" s="126">
        <v>4.349928408587033E-7</v>
      </c>
      <c r="GD23" s="126">
        <v>2.7932688239509969E-5</v>
      </c>
      <c r="GE23" s="126">
        <v>1.4226668637295809E-6</v>
      </c>
      <c r="GF23" s="126">
        <v>9.3523117838710762E-13</v>
      </c>
      <c r="GG23" s="126">
        <v>8.0572951026641646E-12</v>
      </c>
      <c r="GH23" s="126">
        <v>7.5015006828346734E-14</v>
      </c>
      <c r="GI23" s="126">
        <v>4.3802888869976044E-12</v>
      </c>
      <c r="GJ23" s="126">
        <v>5.235973380525896E-12</v>
      </c>
      <c r="GK23" s="126">
        <v>1.111141956314409E-13</v>
      </c>
      <c r="GL23" s="126">
        <v>6.8806907898068955E-13</v>
      </c>
      <c r="GM23" s="126">
        <v>1.0970107373156269E-10</v>
      </c>
      <c r="GN23" s="126">
        <v>2.1110119754822521E-10</v>
      </c>
      <c r="GO23" s="126">
        <v>1.355568042559384E-8</v>
      </c>
      <c r="GP23" s="126">
        <v>6.9041752055649568E-10</v>
      </c>
      <c r="GQ23" s="126">
        <v>4.1573399353368113E-8</v>
      </c>
      <c r="GR23" s="126">
        <v>9.2146838596243888E-8</v>
      </c>
      <c r="GS23" s="126">
        <v>6.0263010658023539E-8</v>
      </c>
      <c r="GT23" s="126">
        <v>6.1416143620633814E-8</v>
      </c>
      <c r="GU23" s="126">
        <v>1.423507674472663E-8</v>
      </c>
      <c r="GV23" s="126">
        <v>1.1637167045272451E-8</v>
      </c>
      <c r="GW23" s="126">
        <v>1.8725740749852511E-8</v>
      </c>
      <c r="GX23" s="126">
        <v>1.1567837857888289E-6</v>
      </c>
      <c r="GY23" s="126">
        <v>4.5688220324835191E-7</v>
      </c>
      <c r="GZ23" s="126">
        <v>2.9338294672445081E-5</v>
      </c>
      <c r="HA23" s="126">
        <v>1.494257169626218E-6</v>
      </c>
      <c r="HB23" s="126">
        <v>6.5977098681095071E-8</v>
      </c>
      <c r="HC23" s="126">
        <v>3.793911164616765E-6</v>
      </c>
      <c r="HD23" s="126">
        <v>5.5479175489780268E-8</v>
      </c>
      <c r="HE23" s="126">
        <v>1.73457824091915E-7</v>
      </c>
      <c r="HF23" s="126">
        <v>4.7949037365837972E-9</v>
      </c>
      <c r="HG23" s="126">
        <v>4.1962488028663561E-8</v>
      </c>
      <c r="HH23" s="126">
        <v>1.4402360505082289E-7</v>
      </c>
      <c r="HI23" s="126">
        <v>2.9809770437326737E-8</v>
      </c>
      <c r="HJ23" s="126">
        <v>8.8986719685702778E-8</v>
      </c>
      <c r="HK23" s="126">
        <v>4.0178762580209352E-7</v>
      </c>
      <c r="HL23" s="126">
        <v>3.2094218647763708E-8</v>
      </c>
      <c r="HM23" s="126">
        <v>8.2968935045240482E-9</v>
      </c>
      <c r="HN23" s="126">
        <v>2.1208025417629739E-8</v>
      </c>
      <c r="HO23" s="126">
        <v>3.3291856437105611E-6</v>
      </c>
      <c r="HP23" s="126">
        <v>1.064128673229809E-6</v>
      </c>
      <c r="HQ23" s="126">
        <v>6.8332100402789729E-5</v>
      </c>
      <c r="HR23" s="126">
        <v>3.4802885471862888E-6</v>
      </c>
      <c r="HS23" s="126">
        <v>2.3459074394227608E-8</v>
      </c>
      <c r="HT23" s="126">
        <v>5.9837102887336347E-10</v>
      </c>
      <c r="HU23" s="126">
        <v>1.929268968560322E-10</v>
      </c>
      <c r="HV23" s="126">
        <v>2.3358428695943521E-9</v>
      </c>
      <c r="HW23" s="126">
        <v>3.335424640940214E-7</v>
      </c>
      <c r="HX23" s="126">
        <v>3.005583911794361E-10</v>
      </c>
      <c r="HY23" s="126">
        <v>1.994388292255312E-8</v>
      </c>
      <c r="HZ23" s="126">
        <v>5.4711668622109592E-7</v>
      </c>
      <c r="IA23" s="126">
        <v>1.7245050748258021E-5</v>
      </c>
      <c r="IB23" s="126">
        <v>1.462441738719326E-9</v>
      </c>
      <c r="IC23" s="126">
        <v>7.0320739496738678E-8</v>
      </c>
      <c r="ID23" s="126">
        <v>4.8070991648874573E-10</v>
      </c>
      <c r="IE23" s="126">
        <v>2.6683001760226949E-12</v>
      </c>
      <c r="IF23" s="126">
        <v>8.5674221279261696E-10</v>
      </c>
      <c r="IG23" s="126">
        <v>6.6566859776594516E-8</v>
      </c>
      <c r="IH23" s="126">
        <v>3.0033016368499729E-7</v>
      </c>
      <c r="II23" s="126">
        <v>2.7975032383920018E-7</v>
      </c>
      <c r="IJ23" s="126">
        <v>1.863461397004185E-7</v>
      </c>
      <c r="IK23" s="126">
        <v>3.6234993543689492E-8</v>
      </c>
      <c r="IL23" s="126">
        <v>1.1531728574203921E-8</v>
      </c>
      <c r="IM23" s="126">
        <v>2.9987898620564889E-8</v>
      </c>
      <c r="IN23" s="126">
        <v>3.2292649578087132E-6</v>
      </c>
      <c r="IO23" s="126">
        <v>1.05271919612272E-5</v>
      </c>
      <c r="IP23" s="126">
        <v>2.6518107183881367E-7</v>
      </c>
      <c r="IQ23" s="126">
        <v>1.827573323333868E-4</v>
      </c>
      <c r="IR23" s="126">
        <v>1.7028377825316091E-5</v>
      </c>
      <c r="IS23" s="126">
        <v>1.496714444073426E-6</v>
      </c>
      <c r="IT23" s="126">
        <v>9.6110220727643113E-5</v>
      </c>
      <c r="IU23" s="126">
        <v>4.895082962389175E-6</v>
      </c>
      <c r="IV23" s="126">
        <v>2.3794318342599549E-9</v>
      </c>
      <c r="IW23" s="126">
        <v>9.6572284190244931E-6</v>
      </c>
      <c r="IX23" s="126">
        <v>8.6728912045957484E-7</v>
      </c>
      <c r="IY23" s="126">
        <v>3.2909036975428509E-11</v>
      </c>
      <c r="IZ23" s="126">
        <v>7.0392656653790016E-10</v>
      </c>
      <c r="JA23" s="126">
        <v>5.4097928685452101E-9</v>
      </c>
      <c r="JB23" s="126">
        <v>8.5754361831177877E-10</v>
      </c>
      <c r="JC23" s="126">
        <v>2.1291973989079301E-9</v>
      </c>
      <c r="JD23" s="126">
        <v>2.9188132397438169E-10</v>
      </c>
      <c r="JE23" s="126">
        <v>3.2498960810427301E-10</v>
      </c>
      <c r="JF23" s="126">
        <v>6.5460163254974517E-10</v>
      </c>
      <c r="JG23" s="126">
        <v>4.0501324496742522E-8</v>
      </c>
      <c r="JH23" s="126">
        <v>1.9244380692061562E-8</v>
      </c>
      <c r="JI23" s="126">
        <v>1.2357612258000579E-6</v>
      </c>
      <c r="JJ23" s="126">
        <v>6.2939754754461591E-8</v>
      </c>
      <c r="JK23" s="126">
        <v>1.208941750875723E-11</v>
      </c>
      <c r="JL23" s="126">
        <v>1.2056844570099639E-8</v>
      </c>
      <c r="JM23" s="126">
        <v>1.549618128803898E-13</v>
      </c>
      <c r="JN23" s="126">
        <v>1.873497871749016E-7</v>
      </c>
      <c r="JO23" s="126">
        <v>5.187456729643273E-15</v>
      </c>
      <c r="JP23" s="126">
        <v>1.1601689634599731E-9</v>
      </c>
      <c r="JQ23" s="126">
        <v>4.0687884076545221E-12</v>
      </c>
      <c r="JR23" s="126">
        <v>4.3100768331472028E-13</v>
      </c>
      <c r="JS23" s="126">
        <v>2.2542932711213891E-14</v>
      </c>
      <c r="JT23" s="126">
        <v>2.6272426550905238E-9</v>
      </c>
      <c r="JU23" s="126">
        <v>1.075484980342169E-14</v>
      </c>
      <c r="JV23" s="126">
        <v>5.9790472668975494E-15</v>
      </c>
      <c r="JW23" s="126">
        <v>1.324891543292017E-7</v>
      </c>
      <c r="JX23" s="126">
        <v>2.874997985150674E-7</v>
      </c>
      <c r="JY23" s="126">
        <v>2.939509198774197E-8</v>
      </c>
      <c r="JZ23" s="126">
        <v>2.5401340040562108E-7</v>
      </c>
      <c r="KA23" s="126">
        <v>2.5886796716880809E-8</v>
      </c>
      <c r="KB23" s="126">
        <v>3.8426292583580617E-8</v>
      </c>
      <c r="KC23" s="126">
        <v>7.0883314118905123E-8</v>
      </c>
      <c r="KD23" s="126">
        <v>5.4654777939851869E-5</v>
      </c>
      <c r="KE23" s="126">
        <v>2.1137088798643898E-6</v>
      </c>
      <c r="KF23" s="126">
        <v>1.3572998363325719E-4</v>
      </c>
      <c r="KG23" s="126">
        <v>6.9129955725658046E-6</v>
      </c>
      <c r="KH23" s="126">
        <v>7.7482924954897692E-8</v>
      </c>
      <c r="KI23" s="126">
        <v>2.8719326651023661E-7</v>
      </c>
      <c r="KJ23" s="126">
        <v>2.9658969263820251E-8</v>
      </c>
      <c r="KK23" s="126">
        <v>2.4925690897037418E-7</v>
      </c>
      <c r="KL23" s="126">
        <v>1.692161619356446E-8</v>
      </c>
      <c r="KM23" s="126">
        <v>1.1353494736875529E-8</v>
      </c>
      <c r="KN23" s="126">
        <v>4.4683254954224429E-8</v>
      </c>
      <c r="KO23" s="126">
        <v>1.456237880435303E-5</v>
      </c>
      <c r="KP23" s="126">
        <v>1.1888806819198389E-6</v>
      </c>
      <c r="KQ23" s="126">
        <v>7.6342942510242129E-5</v>
      </c>
      <c r="KR23" s="127">
        <v>3.8882965240455223E-6</v>
      </c>
    </row>
    <row r="24" spans="2:304" x14ac:dyDescent="0.25">
      <c r="B24" s="5">
        <v>7000</v>
      </c>
      <c r="C24" s="126">
        <v>3.7706934822950932E-6</v>
      </c>
      <c r="D24" s="126">
        <v>7.0854621594516448E-8</v>
      </c>
      <c r="E24" s="126">
        <v>3.8912683297320992E-6</v>
      </c>
      <c r="F24" s="126">
        <v>7.6214827515521171E-8</v>
      </c>
      <c r="G24" s="126">
        <v>1.3385066098495761E-7</v>
      </c>
      <c r="H24" s="126">
        <v>2.1914083638879199E-7</v>
      </c>
      <c r="I24" s="126">
        <v>8.0288891317666444E-5</v>
      </c>
      <c r="J24" s="126">
        <v>1.6883417227031241E-6</v>
      </c>
      <c r="K24" s="126">
        <v>1.2782507953623061E-4</v>
      </c>
      <c r="L24" s="126">
        <v>5.5809650372179337E-6</v>
      </c>
      <c r="M24" s="126">
        <v>1.340844565127932E-4</v>
      </c>
      <c r="N24" s="126">
        <v>1.3429886039536261E-3</v>
      </c>
      <c r="O24" s="126">
        <v>1.405695055987987E-5</v>
      </c>
      <c r="P24" s="126">
        <v>8.4729357483990099E-4</v>
      </c>
      <c r="Q24" s="126">
        <v>5.9861733445758724E-4</v>
      </c>
      <c r="R24" s="126">
        <v>2.5450405425524551E-5</v>
      </c>
      <c r="S24" s="126">
        <v>8.101005432552807E-5</v>
      </c>
      <c r="T24" s="126">
        <v>1.327051914400049E-2</v>
      </c>
      <c r="U24" s="126">
        <v>1.480032911538871E-2</v>
      </c>
      <c r="V24" s="126">
        <v>1.1205392965755749</v>
      </c>
      <c r="W24" s="126">
        <v>4.8923815730891197E-2</v>
      </c>
      <c r="X24" s="126">
        <v>3.037341034993286E-6</v>
      </c>
      <c r="Y24" s="126">
        <v>2.464763517088617E-5</v>
      </c>
      <c r="Z24" s="126">
        <v>3.0446423027956021E-7</v>
      </c>
      <c r="AA24" s="126">
        <v>1.1721282853010691E-5</v>
      </c>
      <c r="AB24" s="126">
        <v>1.3995154991396361E-5</v>
      </c>
      <c r="AC24" s="126">
        <v>5.6555291238326029E-7</v>
      </c>
      <c r="AD24" s="126">
        <v>1.653456616325712E-6</v>
      </c>
      <c r="AE24" s="126">
        <v>2.3062337403759509E-4</v>
      </c>
      <c r="AF24" s="126">
        <v>3.4964494621391969E-4</v>
      </c>
      <c r="AG24" s="126">
        <v>2.6471769582095558E-2</v>
      </c>
      <c r="AH24" s="126">
        <v>1.1557827387785021E-3</v>
      </c>
      <c r="AI24" s="126">
        <v>5.176715427108038E-9</v>
      </c>
      <c r="AJ24" s="126">
        <v>3.5227602871877577E-8</v>
      </c>
      <c r="AK24" s="126">
        <v>3.4062879462062639E-9</v>
      </c>
      <c r="AL24" s="126">
        <v>3.9251400839815962E-8</v>
      </c>
      <c r="AM24" s="126">
        <v>1.770322211722547E-9</v>
      </c>
      <c r="AN24" s="126">
        <v>8.4256534829473344E-10</v>
      </c>
      <c r="AO24" s="126">
        <v>3.3150033981765131E-9</v>
      </c>
      <c r="AP24" s="126">
        <v>4.380993938377032E-7</v>
      </c>
      <c r="AQ24" s="126">
        <v>1.6889081963292708E-8</v>
      </c>
      <c r="AR24" s="126">
        <v>1.2786796749862821E-6</v>
      </c>
      <c r="AS24" s="126">
        <v>5.5828375666114352E-8</v>
      </c>
      <c r="AT24" s="126">
        <v>4.9729524102694323E-6</v>
      </c>
      <c r="AU24" s="126">
        <v>1.847722422656968E-6</v>
      </c>
      <c r="AV24" s="126">
        <v>1.817120313739469E-7</v>
      </c>
      <c r="AW24" s="126">
        <v>2.1667800262804801E-6</v>
      </c>
      <c r="AX24" s="126">
        <v>6.2693629685784023E-8</v>
      </c>
      <c r="AY24" s="126">
        <v>1.6441706102877079E-7</v>
      </c>
      <c r="AZ24" s="126">
        <v>8.1537014161011059E-8</v>
      </c>
      <c r="BA24" s="126">
        <v>1.2372945618969129E-5</v>
      </c>
      <c r="BB24" s="126">
        <v>1.0742986195181819E-6</v>
      </c>
      <c r="BC24" s="126">
        <v>8.1335611528757462E-5</v>
      </c>
      <c r="BD24" s="126">
        <v>3.551190469582876E-6</v>
      </c>
      <c r="BE24" s="126">
        <v>6.9158302985073483E-12</v>
      </c>
      <c r="BF24" s="126">
        <v>4.4622452216245602E-9</v>
      </c>
      <c r="BG24" s="126">
        <v>4.3645705284741489E-14</v>
      </c>
      <c r="BH24" s="126">
        <v>3.2381946573021979E-8</v>
      </c>
      <c r="BI24" s="126">
        <v>4.4577074216187072E-15</v>
      </c>
      <c r="BJ24" s="126">
        <v>3.0661919061395592E-10</v>
      </c>
      <c r="BK24" s="126">
        <v>4.5968862198357578E-13</v>
      </c>
      <c r="BL24" s="126">
        <v>4.8694899117365413E-14</v>
      </c>
      <c r="BM24" s="126">
        <v>1.7702928212147E-14</v>
      </c>
      <c r="BN24" s="126">
        <v>3.935245868313313E-9</v>
      </c>
      <c r="BO24" s="126">
        <v>7.9101408919711372E-15</v>
      </c>
      <c r="BP24" s="126">
        <v>5.2512229636983996E-15</v>
      </c>
      <c r="BQ24" s="126">
        <v>1.1958347797515349E-5</v>
      </c>
      <c r="BR24" s="126">
        <v>7.1329600269196607E-5</v>
      </c>
      <c r="BS24" s="126">
        <v>1.169722395293477E-6</v>
      </c>
      <c r="BT24" s="126">
        <v>4.084866465472921E-5</v>
      </c>
      <c r="BU24" s="126">
        <v>3.2274128129746819E-5</v>
      </c>
      <c r="BV24" s="126">
        <v>2.045107078472922E-6</v>
      </c>
      <c r="BW24" s="126">
        <v>6.0200762970121236E-6</v>
      </c>
      <c r="BX24" s="126">
        <v>6.8866008372586089E-4</v>
      </c>
      <c r="BY24" s="126">
        <v>5.2997720189314039E-4</v>
      </c>
      <c r="BZ24" s="126">
        <v>5.4376918108502968E-6</v>
      </c>
      <c r="CA24" s="126">
        <v>8.4123365379863571E-4</v>
      </c>
      <c r="CB24" s="126">
        <v>6.5696563502281582E-5</v>
      </c>
      <c r="CC24" s="126">
        <v>1.122902131976511E-4</v>
      </c>
      <c r="CD24" s="126">
        <v>4.0124837187798648E-2</v>
      </c>
      <c r="CE24" s="126">
        <v>2.2791824498880271E-5</v>
      </c>
      <c r="CF24" s="126">
        <v>6.3690217758410564E-2</v>
      </c>
      <c r="CG24" s="126">
        <v>4.9739026633700539E-3</v>
      </c>
      <c r="CH24" s="126">
        <v>2.2664032767307461E-3</v>
      </c>
      <c r="CI24" s="126">
        <v>1.2757175015110851E-4</v>
      </c>
      <c r="CJ24" s="126">
        <v>9.6585121900165053E-3</v>
      </c>
      <c r="CK24" s="126">
        <v>4.2169986546925539E-4</v>
      </c>
      <c r="CL24" s="126">
        <v>1.216034938012521E-5</v>
      </c>
      <c r="CM24" s="126">
        <v>2.7807759705397559E-3</v>
      </c>
      <c r="CN24" s="126">
        <v>5.7295386358683066E-6</v>
      </c>
      <c r="CO24" s="126">
        <v>2.7681953858133509E-5</v>
      </c>
      <c r="CP24" s="126">
        <v>5.6199044524250562E-6</v>
      </c>
      <c r="CQ24" s="126">
        <v>2.8543826529886279E-5</v>
      </c>
      <c r="CR24" s="126">
        <v>1.4945640936756701E-6</v>
      </c>
      <c r="CS24" s="126">
        <v>1.2551553743553011E-6</v>
      </c>
      <c r="CT24" s="126">
        <v>2.7031647860482048E-6</v>
      </c>
      <c r="CU24" s="126">
        <v>4.0020127548192572E-4</v>
      </c>
      <c r="CV24" s="126">
        <v>2.782567007773931E-5</v>
      </c>
      <c r="CW24" s="126">
        <v>2.1066934750278441E-3</v>
      </c>
      <c r="CX24" s="126">
        <v>9.1980248875441113E-5</v>
      </c>
      <c r="CY24" s="126">
        <v>8.9647233021301165E-8</v>
      </c>
      <c r="CZ24" s="126">
        <v>5.6364647356874599E-5</v>
      </c>
      <c r="DA24" s="126">
        <v>1.860853859065207E-9</v>
      </c>
      <c r="DB24" s="126">
        <v>6.8427477260060289E-5</v>
      </c>
      <c r="DC24" s="126">
        <v>6.8514231013846313E-9</v>
      </c>
      <c r="DD24" s="126">
        <v>1.6648981530450798E-11</v>
      </c>
      <c r="DE24" s="126">
        <v>2.1888045026857961E-6</v>
      </c>
      <c r="DF24" s="126">
        <v>6.4106236399070084E-10</v>
      </c>
      <c r="DG24" s="126">
        <v>6.7907852510611641E-11</v>
      </c>
      <c r="DH24" s="126">
        <v>5.3531661202899993E-9</v>
      </c>
      <c r="DI24" s="126">
        <v>1.668083569372636E-7</v>
      </c>
      <c r="DJ24" s="126">
        <v>5.5166166252078379E-10</v>
      </c>
      <c r="DK24" s="126">
        <v>6.224618657882181E-10</v>
      </c>
      <c r="DL24" s="126">
        <v>4.8200017415776899E-7</v>
      </c>
      <c r="DM24" s="126">
        <v>1.8188695842064381E-5</v>
      </c>
      <c r="DN24" s="126">
        <v>9.7310129940507103E-8</v>
      </c>
      <c r="DO24" s="126">
        <v>2.011800407007074E-5</v>
      </c>
      <c r="DP24" s="126">
        <v>1.077466256285109E-6</v>
      </c>
      <c r="DQ24" s="126">
        <v>1.2671252882614759E-7</v>
      </c>
      <c r="DR24" s="126">
        <v>7.7401400101305425E-7</v>
      </c>
      <c r="DS24" s="126">
        <v>2.108603909557828E-4</v>
      </c>
      <c r="DT24" s="126">
        <v>6.67724632828578E-5</v>
      </c>
      <c r="DU24" s="126">
        <v>5.0553719754648022E-3</v>
      </c>
      <c r="DV24" s="126">
        <v>2.2072236800137109E-4</v>
      </c>
      <c r="DW24" s="126">
        <v>2.48010455200053E-6</v>
      </c>
      <c r="DX24" s="126">
        <v>1.2824836602871969E-6</v>
      </c>
      <c r="DY24" s="126">
        <v>4.1157669645402533E-6</v>
      </c>
      <c r="DZ24" s="126">
        <v>1.077750101637343E-6</v>
      </c>
      <c r="EA24" s="126">
        <v>2.2585777448452681E-7</v>
      </c>
      <c r="EB24" s="126">
        <v>5.8506226596506633E-6</v>
      </c>
      <c r="EC24" s="126">
        <v>1.26226484999747E-7</v>
      </c>
      <c r="ED24" s="126">
        <v>3.2532730076614533E-5</v>
      </c>
      <c r="EE24" s="126">
        <v>4.6372533701055391E-6</v>
      </c>
      <c r="EF24" s="126">
        <v>3.5108845140328508E-4</v>
      </c>
      <c r="EG24" s="126">
        <v>1.5328857054983071E-5</v>
      </c>
      <c r="EH24" s="126">
        <v>1.255833399381658E-8</v>
      </c>
      <c r="EI24" s="126">
        <v>7.6690205167682477E-8</v>
      </c>
      <c r="EJ24" s="126">
        <v>3.0282130623497441E-9</v>
      </c>
      <c r="EK24" s="126">
        <v>3.5708940980024181E-8</v>
      </c>
      <c r="EL24" s="126">
        <v>7.4258424537085229E-9</v>
      </c>
      <c r="EM24" s="126">
        <v>2.3076532782321179E-9</v>
      </c>
      <c r="EN24" s="126">
        <v>5.984037603882835E-9</v>
      </c>
      <c r="EO24" s="126">
        <v>6.1084885420935184E-7</v>
      </c>
      <c r="EP24" s="126">
        <v>6.3305641933168496E-6</v>
      </c>
      <c r="EQ24" s="126">
        <v>1.2777259052873329E-4</v>
      </c>
      <c r="ER24" s="126">
        <v>1.8962222302289111E-7</v>
      </c>
      <c r="ES24" s="126">
        <v>1.435638023618278E-5</v>
      </c>
      <c r="ET24" s="126">
        <v>6.2681327052437167E-7</v>
      </c>
      <c r="EU24" s="126">
        <v>3.571480093571614E-12</v>
      </c>
      <c r="EV24" s="126">
        <v>5.7685742651770098E-6</v>
      </c>
      <c r="EW24" s="126">
        <v>1.392423557186659E-11</v>
      </c>
      <c r="EX24" s="126">
        <v>4.2939957884030507E-6</v>
      </c>
      <c r="EY24" s="126">
        <v>1.6863697931337881E-6</v>
      </c>
      <c r="EZ24" s="126">
        <v>1.8417932293526019E-7</v>
      </c>
      <c r="FA24" s="126">
        <v>1.938846711955239E-6</v>
      </c>
      <c r="FB24" s="126">
        <v>6.2111362046199105E-8</v>
      </c>
      <c r="FC24" s="126">
        <v>1.68149587233431E-7</v>
      </c>
      <c r="FD24" s="126">
        <v>7.9651439096744564E-8</v>
      </c>
      <c r="FE24" s="126">
        <v>1.1795270541950719E-5</v>
      </c>
      <c r="FF24" s="126">
        <v>8.1676983705574463E-7</v>
      </c>
      <c r="FG24" s="126">
        <v>6.1837996408267972E-5</v>
      </c>
      <c r="FH24" s="126">
        <v>2.699905974463582E-6</v>
      </c>
      <c r="FI24" s="126">
        <v>2.7828866952779582E-11</v>
      </c>
      <c r="FJ24" s="126">
        <v>2.747038374365297E-8</v>
      </c>
      <c r="FK24" s="126">
        <v>1.1406253748777131E-12</v>
      </c>
      <c r="FL24" s="126">
        <v>1.225623547178222E-6</v>
      </c>
      <c r="FM24" s="126">
        <v>3.9795426376976048E-14</v>
      </c>
      <c r="FN24" s="126">
        <v>8.0767154330016896E-11</v>
      </c>
      <c r="FO24" s="126">
        <v>3.377304161511986E-13</v>
      </c>
      <c r="FP24" s="126">
        <v>3.5775844249492973E-14</v>
      </c>
      <c r="FQ24" s="126">
        <v>2.8679060715639409E-13</v>
      </c>
      <c r="FR24" s="126">
        <v>5.8685474204742893E-9</v>
      </c>
      <c r="FS24" s="126">
        <v>6.1074441960207755E-14</v>
      </c>
      <c r="FT24" s="126">
        <v>7.7859242957518376E-14</v>
      </c>
      <c r="FU24" s="126">
        <v>1.395554622630037E-9</v>
      </c>
      <c r="FV24" s="126">
        <v>1.1321406445578661E-8</v>
      </c>
      <c r="FW24" s="126">
        <v>1.954124686530287E-10</v>
      </c>
      <c r="FX24" s="126">
        <v>3.7528627596516293E-9</v>
      </c>
      <c r="FY24" s="126">
        <v>8.6737771498700017E-9</v>
      </c>
      <c r="FZ24" s="126">
        <v>1.8394774068999621E-10</v>
      </c>
      <c r="GA24" s="126">
        <v>1.0980431972167509E-9</v>
      </c>
      <c r="GB24" s="126">
        <v>2.8327932216546699E-7</v>
      </c>
      <c r="GC24" s="126">
        <v>3.6798079252322618E-7</v>
      </c>
      <c r="GD24" s="126">
        <v>2.7859984409304061E-5</v>
      </c>
      <c r="GE24" s="126">
        <v>1.216393523789609E-6</v>
      </c>
      <c r="GF24" s="126">
        <v>9.1739085700585697E-13</v>
      </c>
      <c r="GG24" s="126">
        <v>7.9056609100719993E-12</v>
      </c>
      <c r="GH24" s="126">
        <v>7.3599371660833617E-14</v>
      </c>
      <c r="GI24" s="126">
        <v>4.2971632679895358E-12</v>
      </c>
      <c r="GJ24" s="126">
        <v>5.1366092656023448E-12</v>
      </c>
      <c r="GK24" s="126">
        <v>1.090025525932745E-13</v>
      </c>
      <c r="GL24" s="126">
        <v>6.7503252843953275E-13</v>
      </c>
      <c r="GM24" s="126">
        <v>9.4029491769910822E-11</v>
      </c>
      <c r="GN24" s="126">
        <v>1.7858037806564931E-10</v>
      </c>
      <c r="GO24" s="126">
        <v>1.3520397395205309E-8</v>
      </c>
      <c r="GP24" s="126">
        <v>5.9031346137786536E-10</v>
      </c>
      <c r="GQ24" s="126">
        <v>4.0780351791957377E-8</v>
      </c>
      <c r="GR24" s="126">
        <v>9.0412681997481376E-8</v>
      </c>
      <c r="GS24" s="126">
        <v>5.9125765714716022E-8</v>
      </c>
      <c r="GT24" s="126">
        <v>6.0250637169516407E-8</v>
      </c>
      <c r="GU24" s="126">
        <v>1.3964934843916099E-8</v>
      </c>
      <c r="GV24" s="126">
        <v>1.141601129973082E-8</v>
      </c>
      <c r="GW24" s="126">
        <v>1.8370952149167691E-8</v>
      </c>
      <c r="GX24" s="126">
        <v>9.9152895924756726E-7</v>
      </c>
      <c r="GY24" s="126">
        <v>3.8649802812662192E-7</v>
      </c>
      <c r="GZ24" s="126">
        <v>2.9261932298150599E-5</v>
      </c>
      <c r="HA24" s="126">
        <v>1.277603907386017E-6</v>
      </c>
      <c r="HB24" s="126">
        <v>5.6716205324674808E-8</v>
      </c>
      <c r="HC24" s="126">
        <v>3.262432746372602E-6</v>
      </c>
      <c r="HD24" s="126">
        <v>4.7214844951099117E-8</v>
      </c>
      <c r="HE24" s="126">
        <v>1.483080664158772E-7</v>
      </c>
      <c r="HF24" s="126">
        <v>4.1218657727072922E-9</v>
      </c>
      <c r="HG24" s="126">
        <v>4.1162018273496371E-8</v>
      </c>
      <c r="HH24" s="126">
        <v>1.4131315411315359E-7</v>
      </c>
      <c r="HI24" s="126">
        <v>2.9247219540502369E-8</v>
      </c>
      <c r="HJ24" s="126">
        <v>8.7298000893814675E-8</v>
      </c>
      <c r="HK24" s="126">
        <v>3.9416282160168519E-7</v>
      </c>
      <c r="HL24" s="126">
        <v>3.1485160236206683E-8</v>
      </c>
      <c r="HM24" s="126">
        <v>8.1392171850612363E-9</v>
      </c>
      <c r="HN24" s="126">
        <v>2.08062060310579E-8</v>
      </c>
      <c r="HO24" s="126">
        <v>2.8535876946090528E-6</v>
      </c>
      <c r="HP24" s="126">
        <v>9.0019622334195878E-7</v>
      </c>
      <c r="HQ24" s="126">
        <v>6.8154244072503865E-5</v>
      </c>
      <c r="HR24" s="126">
        <v>2.9756793790912589E-6</v>
      </c>
      <c r="HS24" s="126">
        <v>1.98328334148091E-8</v>
      </c>
      <c r="HT24" s="126">
        <v>5.0587643526543973E-10</v>
      </c>
      <c r="HU24" s="126">
        <v>1.6584666063641869E-10</v>
      </c>
      <c r="HV24" s="126">
        <v>1.9747745248218968E-9</v>
      </c>
      <c r="HW24" s="126">
        <v>2.832825258765029E-7</v>
      </c>
      <c r="HX24" s="126">
        <v>2.5409893255389219E-10</v>
      </c>
      <c r="HY24" s="126">
        <v>1.6861010923824171E-8</v>
      </c>
      <c r="HZ24" s="126">
        <v>4.6254495216243331E-7</v>
      </c>
      <c r="IA24" s="126">
        <v>1.48292397562391E-5</v>
      </c>
      <c r="IB24" s="126">
        <v>1.2363814019153409E-9</v>
      </c>
      <c r="IC24" s="126">
        <v>6.0124891790234537E-8</v>
      </c>
      <c r="ID24" s="126">
        <v>4.0640306280442662E-10</v>
      </c>
      <c r="IE24" s="126">
        <v>2.2937634978867689E-12</v>
      </c>
      <c r="IF24" s="126">
        <v>7.2430943026003322E-10</v>
      </c>
      <c r="IG24" s="126">
        <v>6.5297040934794155E-8</v>
      </c>
      <c r="IH24" s="126">
        <v>2.9467810287536042E-7</v>
      </c>
      <c r="II24" s="126">
        <v>2.7447105488630712E-7</v>
      </c>
      <c r="IJ24" s="126">
        <v>1.8280981170654071E-7</v>
      </c>
      <c r="IK24" s="126">
        <v>3.5547354818076313E-8</v>
      </c>
      <c r="IL24" s="126">
        <v>1.131257660875647E-8</v>
      </c>
      <c r="IM24" s="126">
        <v>2.9419730731711021E-8</v>
      </c>
      <c r="IN24" s="126">
        <v>2.7679413924074682E-6</v>
      </c>
      <c r="IO24" s="126">
        <v>9.1134086073455965E-6</v>
      </c>
      <c r="IP24" s="126">
        <v>2.2432905415853649E-7</v>
      </c>
      <c r="IQ24" s="126">
        <v>1.8393997608249531E-4</v>
      </c>
      <c r="IR24" s="126">
        <v>1.698405632273387E-5</v>
      </c>
      <c r="IS24" s="126">
        <v>1.266140762739589E-6</v>
      </c>
      <c r="IT24" s="126">
        <v>9.5860062880001655E-5</v>
      </c>
      <c r="IU24" s="126">
        <v>4.1853418854878484E-6</v>
      </c>
      <c r="IV24" s="126">
        <v>2.045442239287558E-9</v>
      </c>
      <c r="IW24" s="126">
        <v>8.3043742634938947E-6</v>
      </c>
      <c r="IX24" s="126">
        <v>7.4154033207938604E-7</v>
      </c>
      <c r="IY24" s="126">
        <v>2.828975107192058E-11</v>
      </c>
      <c r="IZ24" s="126">
        <v>6.9049857518554344E-10</v>
      </c>
      <c r="JA24" s="126">
        <v>5.3079833203953009E-9</v>
      </c>
      <c r="JB24" s="126">
        <v>8.4136060433783529E-10</v>
      </c>
      <c r="JC24" s="126">
        <v>2.0887911936688259E-9</v>
      </c>
      <c r="JD24" s="126">
        <v>2.8634223366362928E-10</v>
      </c>
      <c r="JE24" s="126">
        <v>3.18813421168572E-10</v>
      </c>
      <c r="JF24" s="126">
        <v>6.4219917540154641E-10</v>
      </c>
      <c r="JG24" s="126">
        <v>3.4715420997207877E-8</v>
      </c>
      <c r="JH24" s="126">
        <v>1.6279721856350638E-8</v>
      </c>
      <c r="JI24" s="126">
        <v>1.2325447586428249E-6</v>
      </c>
      <c r="JJ24" s="126">
        <v>5.3814081162704101E-8</v>
      </c>
      <c r="JK24" s="126">
        <v>1.0220667682960939E-11</v>
      </c>
      <c r="JL24" s="126">
        <v>1.019312987448515E-8</v>
      </c>
      <c r="JM24" s="126">
        <v>1.3100823021094511E-13</v>
      </c>
      <c r="JN24" s="126">
        <v>1.6105238346878889E-7</v>
      </c>
      <c r="JO24" s="126">
        <v>4.3855944680144587E-15</v>
      </c>
      <c r="JP24" s="126">
        <v>9.8083315281897878E-10</v>
      </c>
      <c r="JQ24" s="126">
        <v>3.439846831169615E-12</v>
      </c>
      <c r="JR24" s="126">
        <v>3.6438359883742831E-13</v>
      </c>
      <c r="JS24" s="126">
        <v>1.905830644258389E-14</v>
      </c>
      <c r="JT24" s="126">
        <v>2.258469027019435E-9</v>
      </c>
      <c r="JU24" s="126">
        <v>9.09239560900941E-15</v>
      </c>
      <c r="JV24" s="126">
        <v>5.054823096307816E-15</v>
      </c>
      <c r="JW24" s="126">
        <v>1.299618122694134E-7</v>
      </c>
      <c r="JX24" s="126">
        <v>2.8208919864715039E-7</v>
      </c>
      <c r="JY24" s="126">
        <v>2.884036663704846E-8</v>
      </c>
      <c r="JZ24" s="126">
        <v>2.4919293726043011E-7</v>
      </c>
      <c r="KA24" s="126">
        <v>2.539553779384167E-8</v>
      </c>
      <c r="KB24" s="126">
        <v>3.7696029337237117E-8</v>
      </c>
      <c r="KC24" s="126">
        <v>6.954031828423583E-8</v>
      </c>
      <c r="KD24" s="126">
        <v>4.684695251987302E-5</v>
      </c>
      <c r="KE24" s="126">
        <v>1.7880852182312801E-6</v>
      </c>
      <c r="KF24" s="126">
        <v>1.3537670257418729E-4</v>
      </c>
      <c r="KG24" s="126">
        <v>5.9106761103656709E-6</v>
      </c>
      <c r="KH24" s="126">
        <v>7.6004872987961942E-8</v>
      </c>
      <c r="KI24" s="126">
        <v>2.8178843541862282E-7</v>
      </c>
      <c r="KJ24" s="126">
        <v>2.9099264190165719E-8</v>
      </c>
      <c r="KK24" s="126">
        <v>2.4452671071525358E-7</v>
      </c>
      <c r="KL24" s="126">
        <v>1.6600491295870518E-8</v>
      </c>
      <c r="KM24" s="126">
        <v>1.113772997357288E-8</v>
      </c>
      <c r="KN24" s="126">
        <v>4.3836660434358642E-8</v>
      </c>
      <c r="KO24" s="126">
        <v>1.2482038975159741E-5</v>
      </c>
      <c r="KP24" s="126">
        <v>1.0057297832414729E-6</v>
      </c>
      <c r="KQ24" s="126">
        <v>7.6144235379654036E-5</v>
      </c>
      <c r="KR24" s="127">
        <v>3.324530029485272E-6</v>
      </c>
    </row>
    <row r="25" spans="2:304" x14ac:dyDescent="0.25">
      <c r="B25" s="5">
        <v>8000</v>
      </c>
      <c r="C25" s="126">
        <v>3.698821049089099E-6</v>
      </c>
      <c r="D25" s="126">
        <v>6.9503731559384239E-8</v>
      </c>
      <c r="E25" s="126">
        <v>3.8170401471432427E-6</v>
      </c>
      <c r="F25" s="126">
        <v>7.4760985823450096E-8</v>
      </c>
      <c r="G25" s="126">
        <v>1.3129704320013921E-7</v>
      </c>
      <c r="H25" s="126">
        <v>2.1496122774231979E-7</v>
      </c>
      <c r="I25" s="126">
        <v>7.0252779902958137E-5</v>
      </c>
      <c r="J25" s="126">
        <v>1.4581394610881221E-6</v>
      </c>
      <c r="K25" s="126">
        <v>1.275212127015038E-4</v>
      </c>
      <c r="L25" s="126">
        <v>4.8722983514676388E-6</v>
      </c>
      <c r="M25" s="126">
        <v>1.3152547886141641E-4</v>
      </c>
      <c r="N25" s="126">
        <v>1.3173901671707669E-3</v>
      </c>
      <c r="O25" s="126">
        <v>1.378894553764774E-5</v>
      </c>
      <c r="P25" s="126">
        <v>8.3113096233152352E-4</v>
      </c>
      <c r="Q25" s="126">
        <v>5.8719836433325468E-4</v>
      </c>
      <c r="R25" s="126">
        <v>2.4964859762565419E-5</v>
      </c>
      <c r="S25" s="126">
        <v>7.9464973412770009E-5</v>
      </c>
      <c r="T25" s="126">
        <v>1.1611704251000429E-2</v>
      </c>
      <c r="U25" s="126">
        <v>1.278233169863712E-2</v>
      </c>
      <c r="V25" s="126">
        <v>1.1178755413056951</v>
      </c>
      <c r="W25" s="126">
        <v>4.2711506906689727E-2</v>
      </c>
      <c r="X25" s="126">
        <v>2.9793739295561542E-6</v>
      </c>
      <c r="Y25" s="126">
        <v>2.4177831533750699E-5</v>
      </c>
      <c r="Z25" s="126">
        <v>2.9865941916797718E-7</v>
      </c>
      <c r="AA25" s="126">
        <v>1.14976926376711E-5</v>
      </c>
      <c r="AB25" s="126">
        <v>1.3728189356535549E-5</v>
      </c>
      <c r="AC25" s="126">
        <v>5.5476323107208578E-7</v>
      </c>
      <c r="AD25" s="126">
        <v>1.6219207251424701E-6</v>
      </c>
      <c r="AE25" s="126">
        <v>2.0179545228289571E-4</v>
      </c>
      <c r="AF25" s="126">
        <v>3.0197150647221112E-4</v>
      </c>
      <c r="AG25" s="126">
        <v>2.640884067282586E-2</v>
      </c>
      <c r="AH25" s="126">
        <v>1.009022327724959E-3</v>
      </c>
      <c r="AI25" s="126">
        <v>5.0779187475373292E-9</v>
      </c>
      <c r="AJ25" s="126">
        <v>3.4556136589533342E-8</v>
      </c>
      <c r="AK25" s="126">
        <v>3.341344822670098E-9</v>
      </c>
      <c r="AL25" s="126">
        <v>3.8502657781891988E-8</v>
      </c>
      <c r="AM25" s="126">
        <v>1.736552296816192E-9</v>
      </c>
      <c r="AN25" s="126">
        <v>8.2649079294742021E-10</v>
      </c>
      <c r="AO25" s="126">
        <v>3.2517773144651159E-9</v>
      </c>
      <c r="AP25" s="126">
        <v>3.833369696079903E-7</v>
      </c>
      <c r="AQ25" s="126">
        <v>1.458628697086288E-8</v>
      </c>
      <c r="AR25" s="126">
        <v>1.27563998710283E-6</v>
      </c>
      <c r="AS25" s="126">
        <v>4.8739331085062847E-8</v>
      </c>
      <c r="AT25" s="126">
        <v>4.878044511097496E-6</v>
      </c>
      <c r="AU25" s="126">
        <v>1.8125033556526671E-6</v>
      </c>
      <c r="AV25" s="126">
        <v>1.782475717956928E-7</v>
      </c>
      <c r="AW25" s="126">
        <v>2.125447450422957E-6</v>
      </c>
      <c r="AX25" s="126">
        <v>6.1497712622980252E-8</v>
      </c>
      <c r="AY25" s="126">
        <v>1.612802940671356E-7</v>
      </c>
      <c r="AZ25" s="126">
        <v>7.9981882698474026E-8</v>
      </c>
      <c r="BA25" s="126">
        <v>1.082632741659799E-5</v>
      </c>
      <c r="BB25" s="126">
        <v>9.2781999582640382E-7</v>
      </c>
      <c r="BC25" s="126">
        <v>8.1142259841314891E-5</v>
      </c>
      <c r="BD25" s="126">
        <v>3.10026301102244E-6</v>
      </c>
      <c r="BE25" s="126">
        <v>5.9717610132567804E-12</v>
      </c>
      <c r="BF25" s="126">
        <v>3.8531110715992141E-9</v>
      </c>
      <c r="BG25" s="126">
        <v>3.7687697617653773E-14</v>
      </c>
      <c r="BH25" s="126">
        <v>2.8423780158578471E-8</v>
      </c>
      <c r="BI25" s="126">
        <v>3.8491935126485846E-15</v>
      </c>
      <c r="BJ25" s="126">
        <v>2.6476308103574748E-10</v>
      </c>
      <c r="BK25" s="126">
        <v>3.9693734044569442E-13</v>
      </c>
      <c r="BL25" s="126">
        <v>4.2047625662882431E-14</v>
      </c>
      <c r="BM25" s="126">
        <v>1.528632887728815E-14</v>
      </c>
      <c r="BN25" s="126">
        <v>3.4542260508847879E-9</v>
      </c>
      <c r="BO25" s="126">
        <v>6.8303411282642231E-15</v>
      </c>
      <c r="BP25" s="126">
        <v>4.5343875309253657E-15</v>
      </c>
      <c r="BQ25" s="126">
        <v>1.173012488818571E-5</v>
      </c>
      <c r="BR25" s="126">
        <v>6.9970001045597632E-5</v>
      </c>
      <c r="BS25" s="126">
        <v>1.1474208672899E-6</v>
      </c>
      <c r="BT25" s="126">
        <v>4.006945287040311E-5</v>
      </c>
      <c r="BU25" s="126">
        <v>3.1658480563783179E-5</v>
      </c>
      <c r="BV25" s="126">
        <v>2.0060902983612908E-6</v>
      </c>
      <c r="BW25" s="126">
        <v>5.9052571544093594E-6</v>
      </c>
      <c r="BX25" s="126">
        <v>6.0257757326012825E-4</v>
      </c>
      <c r="BY25" s="126">
        <v>4.5771565187938102E-4</v>
      </c>
      <c r="BZ25" s="126">
        <v>4.756495728444427E-6</v>
      </c>
      <c r="CA25" s="126">
        <v>7.2653278076092206E-4</v>
      </c>
      <c r="CB25" s="126">
        <v>5.6738965092264132E-5</v>
      </c>
      <c r="CC25" s="126">
        <v>9.9244660159031445E-5</v>
      </c>
      <c r="CD25" s="126">
        <v>4.0029453197138271E-2</v>
      </c>
      <c r="CE25" s="126">
        <v>2.2201004743797511E-5</v>
      </c>
      <c r="CF25" s="126">
        <v>6.3538814598632185E-2</v>
      </c>
      <c r="CG25" s="126">
        <v>4.9620787254271992E-3</v>
      </c>
      <c r="CH25" s="126">
        <v>2.2814449477709321E-3</v>
      </c>
      <c r="CI25" s="126">
        <v>1.10177578693952E-4</v>
      </c>
      <c r="CJ25" s="126">
        <v>9.635551895072831E-3</v>
      </c>
      <c r="CK25" s="126">
        <v>3.6815273803689761E-4</v>
      </c>
      <c r="CL25" s="126">
        <v>1.0547259650680171E-5</v>
      </c>
      <c r="CM25" s="126">
        <v>2.427675174369418E-3</v>
      </c>
      <c r="CN25" s="126">
        <v>5.6201914251385658E-6</v>
      </c>
      <c r="CO25" s="126">
        <v>2.7154313680266509E-5</v>
      </c>
      <c r="CP25" s="126">
        <v>5.5127572720107353E-6</v>
      </c>
      <c r="CQ25" s="126">
        <v>2.7999336613512181E-5</v>
      </c>
      <c r="CR25" s="126">
        <v>1.4660544235538611E-6</v>
      </c>
      <c r="CS25" s="126">
        <v>1.2312093806405271E-6</v>
      </c>
      <c r="CT25" s="126">
        <v>2.651608120030187E-6</v>
      </c>
      <c r="CU25" s="126">
        <v>3.5017611604668491E-4</v>
      </c>
      <c r="CV25" s="126">
        <v>2.4031691585877559E-5</v>
      </c>
      <c r="CW25" s="126">
        <v>2.1016854259007169E-3</v>
      </c>
      <c r="CX25" s="126">
        <v>8.0300666994824376E-5</v>
      </c>
      <c r="CY25" s="126">
        <v>7.7409628055578176E-8</v>
      </c>
      <c r="CZ25" s="126">
        <v>4.8670397073895208E-5</v>
      </c>
      <c r="DA25" s="126">
        <v>1.6068315792713609E-9</v>
      </c>
      <c r="DB25" s="126">
        <v>6.0063330845788988E-5</v>
      </c>
      <c r="DC25" s="126">
        <v>5.9161459394691703E-9</v>
      </c>
      <c r="DD25" s="126">
        <v>1.437625793662932E-11</v>
      </c>
      <c r="DE25" s="126">
        <v>1.8900141989013239E-6</v>
      </c>
      <c r="DF25" s="126">
        <v>5.5355207341066205E-10</v>
      </c>
      <c r="DG25" s="126">
        <v>5.8637845312182972E-11</v>
      </c>
      <c r="DH25" s="126">
        <v>4.6224136972639979E-9</v>
      </c>
      <c r="DI25" s="126">
        <v>1.4641874772743149E-7</v>
      </c>
      <c r="DJ25" s="126">
        <v>4.7635527531841029E-10</v>
      </c>
      <c r="DK25" s="126">
        <v>5.3749066497812142E-10</v>
      </c>
      <c r="DL25" s="126">
        <v>4.7280128783113648E-7</v>
      </c>
      <c r="DM25" s="126">
        <v>1.784200475376695E-5</v>
      </c>
      <c r="DN25" s="126">
        <v>9.5454848211584219E-8</v>
      </c>
      <c r="DO25" s="126">
        <v>1.9734241565689711E-5</v>
      </c>
      <c r="DP25" s="126">
        <v>1.056912967427137E-6</v>
      </c>
      <c r="DQ25" s="126">
        <v>1.242950931199008E-7</v>
      </c>
      <c r="DR25" s="126">
        <v>7.5925145987998515E-7</v>
      </c>
      <c r="DS25" s="126">
        <v>1.8450284208630991E-4</v>
      </c>
      <c r="DT25" s="126">
        <v>5.7668161793045369E-5</v>
      </c>
      <c r="DU25" s="126">
        <v>5.0433543034545478E-3</v>
      </c>
      <c r="DV25" s="126">
        <v>1.9269520998131971E-4</v>
      </c>
      <c r="DW25" s="126">
        <v>2.4327722042645951E-6</v>
      </c>
      <c r="DX25" s="126">
        <v>1.258038496116583E-6</v>
      </c>
      <c r="DY25" s="126">
        <v>4.0372971561607522E-6</v>
      </c>
      <c r="DZ25" s="126">
        <v>1.0571913982659399E-6</v>
      </c>
      <c r="EA25" s="126">
        <v>2.215494074681858E-7</v>
      </c>
      <c r="EB25" s="126">
        <v>5.7390038303822407E-6</v>
      </c>
      <c r="EC25" s="126">
        <v>1.238190044187076E-7</v>
      </c>
      <c r="ED25" s="126">
        <v>2.8466138817037711E-5</v>
      </c>
      <c r="EE25" s="126">
        <v>4.0049724762999008E-6</v>
      </c>
      <c r="EF25" s="126">
        <v>3.5025384103711812E-4</v>
      </c>
      <c r="EG25" s="126">
        <v>1.33824104721695E-5</v>
      </c>
      <c r="EH25" s="126">
        <v>1.231866045622323E-8</v>
      </c>
      <c r="EI25" s="126">
        <v>7.5228428527828615E-8</v>
      </c>
      <c r="EJ25" s="126">
        <v>2.9704781855255338E-9</v>
      </c>
      <c r="EK25" s="126">
        <v>3.5027772382405929E-8</v>
      </c>
      <c r="EL25" s="126">
        <v>7.2841902357624262E-9</v>
      </c>
      <c r="EM25" s="126">
        <v>2.263627612545264E-9</v>
      </c>
      <c r="EN25" s="126">
        <v>5.869905816662538E-9</v>
      </c>
      <c r="EO25" s="126">
        <v>5.344927474331829E-7</v>
      </c>
      <c r="EP25" s="126">
        <v>5.595097507516411E-6</v>
      </c>
      <c r="EQ25" s="126">
        <v>1.2862059198302789E-4</v>
      </c>
      <c r="ER25" s="126">
        <v>1.6376758470805669E-7</v>
      </c>
      <c r="ES25" s="126">
        <v>1.432225213052206E-5</v>
      </c>
      <c r="ET25" s="126">
        <v>5.4722099928730963E-7</v>
      </c>
      <c r="EU25" s="126">
        <v>3.134924727008008E-12</v>
      </c>
      <c r="EV25" s="126">
        <v>5.0648672182535338E-6</v>
      </c>
      <c r="EW25" s="126">
        <v>1.222222419144888E-11</v>
      </c>
      <c r="EX25" s="126">
        <v>4.2120456538132058E-6</v>
      </c>
      <c r="EY25" s="126">
        <v>1.6542262362823189E-6</v>
      </c>
      <c r="EZ25" s="126">
        <v>1.8066782281809791E-7</v>
      </c>
      <c r="FA25" s="126">
        <v>1.9018620952308711E-6</v>
      </c>
      <c r="FB25" s="126">
        <v>6.0926552073681679E-8</v>
      </c>
      <c r="FC25" s="126">
        <v>1.649416107220754E-7</v>
      </c>
      <c r="FD25" s="126">
        <v>7.813227065220113E-8</v>
      </c>
      <c r="FE25" s="126">
        <v>1.032086172420688E-5</v>
      </c>
      <c r="FF25" s="126">
        <v>7.0540478507555952E-7</v>
      </c>
      <c r="FG25" s="126">
        <v>6.1690994612512387E-5</v>
      </c>
      <c r="FH25" s="126">
        <v>2.3570739721125498E-6</v>
      </c>
      <c r="FI25" s="126">
        <v>2.4029991416589199E-11</v>
      </c>
      <c r="FJ25" s="126">
        <v>2.3720444414575011E-8</v>
      </c>
      <c r="FK25" s="126">
        <v>9.84920370583234E-13</v>
      </c>
      <c r="FL25" s="126">
        <v>1.0758109980699609E-6</v>
      </c>
      <c r="FM25" s="126">
        <v>3.4363021740829478E-14</v>
      </c>
      <c r="FN25" s="126">
        <v>6.9741755511410173E-11</v>
      </c>
      <c r="FO25" s="126">
        <v>2.9162743379683672E-13</v>
      </c>
      <c r="FP25" s="126">
        <v>3.0892133140076878E-14</v>
      </c>
      <c r="FQ25" s="126">
        <v>2.476412651835581E-13</v>
      </c>
      <c r="FR25" s="126">
        <v>5.151212925189726E-9</v>
      </c>
      <c r="FS25" s="126">
        <v>5.2737274658408867E-14</v>
      </c>
      <c r="FT25" s="126">
        <v>6.7230811350888354E-14</v>
      </c>
      <c r="FU25" s="126">
        <v>1.368920714543568E-9</v>
      </c>
      <c r="FV25" s="126">
        <v>1.110561138496755E-8</v>
      </c>
      <c r="FW25" s="126">
        <v>1.916868012130886E-10</v>
      </c>
      <c r="FX25" s="126">
        <v>3.681274742956435E-9</v>
      </c>
      <c r="FY25" s="126">
        <v>8.5083198594805927E-9</v>
      </c>
      <c r="FZ25" s="126">
        <v>1.8043836525138009E-10</v>
      </c>
      <c r="GA25" s="126">
        <v>1.0771005426348139E-9</v>
      </c>
      <c r="GB25" s="126">
        <v>2.4786940689478361E-7</v>
      </c>
      <c r="GC25" s="126">
        <v>3.1780729415460092E-7</v>
      </c>
      <c r="GD25" s="126">
        <v>2.779375542428244E-5</v>
      </c>
      <c r="GE25" s="126">
        <v>1.06193680146228E-6</v>
      </c>
      <c r="GF25" s="126">
        <v>8.9988261808159767E-13</v>
      </c>
      <c r="GG25" s="126">
        <v>7.7549726909482986E-12</v>
      </c>
      <c r="GH25" s="126">
        <v>7.21961511576236E-14</v>
      </c>
      <c r="GI25" s="126">
        <v>4.2151924058844253E-12</v>
      </c>
      <c r="GJ25" s="126">
        <v>5.0386254880402876E-12</v>
      </c>
      <c r="GK25" s="126">
        <v>1.069229897816715E-13</v>
      </c>
      <c r="GL25" s="126">
        <v>6.6215783178778558E-13</v>
      </c>
      <c r="GM25" s="126">
        <v>8.2275805298671966E-11</v>
      </c>
      <c r="GN25" s="126">
        <v>1.542312748254854E-10</v>
      </c>
      <c r="GO25" s="126">
        <v>1.348825659485819E-8</v>
      </c>
      <c r="GP25" s="126">
        <v>5.1535590808042125E-10</v>
      </c>
      <c r="GQ25" s="126">
        <v>4.0002066138534552E-8</v>
      </c>
      <c r="GR25" s="126">
        <v>8.868934397535085E-8</v>
      </c>
      <c r="GS25" s="126">
        <v>5.7998494043142352E-8</v>
      </c>
      <c r="GT25" s="126">
        <v>5.9101321594760927E-8</v>
      </c>
      <c r="GU25" s="126">
        <v>1.369854567575841E-8</v>
      </c>
      <c r="GV25" s="126">
        <v>1.1198215367516801E-8</v>
      </c>
      <c r="GW25" s="126">
        <v>1.8020568388149451E-8</v>
      </c>
      <c r="GX25" s="126">
        <v>8.6758783934162162E-7</v>
      </c>
      <c r="GY25" s="126">
        <v>3.3379973903735102E-7</v>
      </c>
      <c r="GZ25" s="126">
        <v>2.9192370591029511E-5</v>
      </c>
      <c r="HA25" s="126">
        <v>1.115374737213647E-6</v>
      </c>
      <c r="HB25" s="126">
        <v>4.978357147066685E-8</v>
      </c>
      <c r="HC25" s="126">
        <v>2.8644493265187069E-6</v>
      </c>
      <c r="HD25" s="126">
        <v>4.10339955659228E-8</v>
      </c>
      <c r="HE25" s="126">
        <v>1.294760198766601E-7</v>
      </c>
      <c r="HF25" s="126">
        <v>3.6180347065425851E-9</v>
      </c>
      <c r="HG25" s="126">
        <v>4.0376448584161117E-8</v>
      </c>
      <c r="HH25" s="126">
        <v>1.3861961238725751E-7</v>
      </c>
      <c r="HI25" s="126">
        <v>2.8689602033789911E-8</v>
      </c>
      <c r="HJ25" s="126">
        <v>8.5632741291829237E-8</v>
      </c>
      <c r="HK25" s="126">
        <v>3.8664393896179211E-7</v>
      </c>
      <c r="HL25" s="126">
        <v>3.0884562686817573E-8</v>
      </c>
      <c r="HM25" s="126">
        <v>7.9839362951102493E-9</v>
      </c>
      <c r="HN25" s="126">
        <v>2.0409375389810341E-8</v>
      </c>
      <c r="HO25" s="126">
        <v>2.496889232782922E-6</v>
      </c>
      <c r="HP25" s="126">
        <v>7.7745613836744289E-7</v>
      </c>
      <c r="HQ25" s="126">
        <v>6.7992227240637639E-5</v>
      </c>
      <c r="HR25" s="126">
        <v>2.5978298800577921E-6</v>
      </c>
      <c r="HS25" s="126">
        <v>1.712548403545062E-8</v>
      </c>
      <c r="HT25" s="126">
        <v>4.3682002615835178E-10</v>
      </c>
      <c r="HU25" s="126">
        <v>1.4557460316148041E-10</v>
      </c>
      <c r="HV25" s="126">
        <v>1.7052011112890041E-9</v>
      </c>
      <c r="HW25" s="126">
        <v>2.4570464725325492E-7</v>
      </c>
      <c r="HX25" s="126">
        <v>2.1941232796346431E-10</v>
      </c>
      <c r="HY25" s="126">
        <v>1.4559340505172849E-8</v>
      </c>
      <c r="HZ25" s="126">
        <v>3.994037450561564E-7</v>
      </c>
      <c r="IA25" s="126">
        <v>1.302022421144867E-5</v>
      </c>
      <c r="IB25" s="126">
        <v>1.0676048876192989E-9</v>
      </c>
      <c r="IC25" s="126">
        <v>5.2490278328387948E-8</v>
      </c>
      <c r="ID25" s="126">
        <v>3.5092560961202798E-10</v>
      </c>
      <c r="IE25" s="126">
        <v>2.0133882085403328E-12</v>
      </c>
      <c r="IF25" s="126">
        <v>6.2543519245229432E-10</v>
      </c>
      <c r="IG25" s="126">
        <v>6.4050858694146197E-8</v>
      </c>
      <c r="IH25" s="126">
        <v>2.8906130257970562E-7</v>
      </c>
      <c r="II25" s="126">
        <v>2.6923808342115672E-7</v>
      </c>
      <c r="IJ25" s="126">
        <v>1.793226093517955E-7</v>
      </c>
      <c r="IK25" s="126">
        <v>3.4869268569480677E-8</v>
      </c>
      <c r="IL25" s="126">
        <v>1.1096754015071349E-8</v>
      </c>
      <c r="IM25" s="126">
        <v>2.885861687009836E-8</v>
      </c>
      <c r="IN25" s="126">
        <v>2.4219487183565352E-6</v>
      </c>
      <c r="IO25" s="126">
        <v>8.0546390853706677E-6</v>
      </c>
      <c r="IP25" s="126">
        <v>1.93742186692777E-7</v>
      </c>
      <c r="IQ25" s="126">
        <v>1.8516074938430751E-4</v>
      </c>
      <c r="IR25" s="126">
        <v>1.6943682026223831E-5</v>
      </c>
      <c r="IS25" s="126">
        <v>1.093504818732389E-6</v>
      </c>
      <c r="IT25" s="126">
        <v>9.5632183546855593E-5</v>
      </c>
      <c r="IU25" s="126">
        <v>3.6538903635841941E-6</v>
      </c>
      <c r="IV25" s="126">
        <v>1.795420185919796E-9</v>
      </c>
      <c r="IW25" s="126">
        <v>7.2913255584112571E-6</v>
      </c>
      <c r="IX25" s="126">
        <v>6.4738009938330036E-7</v>
      </c>
      <c r="IY25" s="126">
        <v>2.483178901539826E-11</v>
      </c>
      <c r="IZ25" s="126">
        <v>6.7732053450758641E-10</v>
      </c>
      <c r="JA25" s="126">
        <v>5.2068089135004084E-9</v>
      </c>
      <c r="JB25" s="126">
        <v>8.2531951018229519E-10</v>
      </c>
      <c r="JC25" s="126">
        <v>2.0489462996714179E-9</v>
      </c>
      <c r="JD25" s="126">
        <v>2.8088009078314902E-10</v>
      </c>
      <c r="JE25" s="126">
        <v>3.1273106329044122E-10</v>
      </c>
      <c r="JF25" s="126">
        <v>6.2995069962451904E-10</v>
      </c>
      <c r="JG25" s="126">
        <v>3.0375993372556901E-8</v>
      </c>
      <c r="JH25" s="126">
        <v>1.406001198399438E-8</v>
      </c>
      <c r="JI25" s="126">
        <v>1.2296147430635129E-6</v>
      </c>
      <c r="JJ25" s="126">
        <v>4.6980810162088491E-8</v>
      </c>
      <c r="JK25" s="126">
        <v>8.8254601637250928E-12</v>
      </c>
      <c r="JL25" s="126">
        <v>8.8016815802266902E-9</v>
      </c>
      <c r="JM25" s="126">
        <v>1.131244994989274E-13</v>
      </c>
      <c r="JN25" s="126">
        <v>1.4136634841914421E-7</v>
      </c>
      <c r="JO25" s="126">
        <v>3.7869245732728809E-15</v>
      </c>
      <c r="JP25" s="126">
        <v>8.4694114221087881E-10</v>
      </c>
      <c r="JQ25" s="126">
        <v>2.970279418301114E-12</v>
      </c>
      <c r="JR25" s="126">
        <v>3.1464209679707938E-13</v>
      </c>
      <c r="JS25" s="126">
        <v>1.6456686522943549E-14</v>
      </c>
      <c r="JT25" s="126">
        <v>1.98240791282265E-9</v>
      </c>
      <c r="JU25" s="126">
        <v>7.8512082819791837E-15</v>
      </c>
      <c r="JV25" s="126">
        <v>4.3647978723015291E-15</v>
      </c>
      <c r="JW25" s="126">
        <v>1.2748151453931719E-7</v>
      </c>
      <c r="JX25" s="126">
        <v>2.7671235293346499E-7</v>
      </c>
      <c r="JY25" s="126">
        <v>2.829050604894868E-8</v>
      </c>
      <c r="JZ25" s="126">
        <v>2.444394385861061E-7</v>
      </c>
      <c r="KA25" s="126">
        <v>2.491110329676517E-8</v>
      </c>
      <c r="KB25" s="126">
        <v>3.697686030045945E-8</v>
      </c>
      <c r="KC25" s="126">
        <v>6.8213996269732073E-8</v>
      </c>
      <c r="KD25" s="126">
        <v>4.0991083454888888E-5</v>
      </c>
      <c r="KE25" s="126">
        <v>1.544283116048929E-6</v>
      </c>
      <c r="KF25" s="126">
        <v>1.3505488395880899E-4</v>
      </c>
      <c r="KG25" s="126">
        <v>5.1601429639039053E-6</v>
      </c>
      <c r="KH25" s="126">
        <v>7.4554333705257126E-8</v>
      </c>
      <c r="KI25" s="126">
        <v>2.764173224925943E-7</v>
      </c>
      <c r="KJ25" s="126">
        <v>2.8544467549670828E-8</v>
      </c>
      <c r="KK25" s="126">
        <v>2.3986222299742157E-7</v>
      </c>
      <c r="KL25" s="126">
        <v>1.6283827371781931E-8</v>
      </c>
      <c r="KM25" s="126">
        <v>1.092524312342414E-8</v>
      </c>
      <c r="KN25" s="126">
        <v>4.3000576717589173E-8</v>
      </c>
      <c r="KO25" s="126">
        <v>1.092178410326477E-5</v>
      </c>
      <c r="KP25" s="126">
        <v>8.686003931645194E-7</v>
      </c>
      <c r="KQ25" s="126">
        <v>7.5963224674466495E-5</v>
      </c>
      <c r="KR25" s="127">
        <v>2.90238374081275E-6</v>
      </c>
    </row>
    <row r="26" spans="2:304" x14ac:dyDescent="0.25">
      <c r="B26" s="5">
        <v>9000</v>
      </c>
      <c r="C26" s="126">
        <v>3.6269486158831041E-6</v>
      </c>
      <c r="D26" s="126">
        <v>6.8152841524252031E-8</v>
      </c>
      <c r="E26" s="126">
        <v>3.7428119645543871E-6</v>
      </c>
      <c r="F26" s="126">
        <v>7.3307144131379008E-8</v>
      </c>
      <c r="G26" s="126">
        <v>1.287434254153207E-7</v>
      </c>
      <c r="H26" s="126">
        <v>2.1078161909584761E-7</v>
      </c>
      <c r="I26" s="126">
        <v>6.2446915469296146E-5</v>
      </c>
      <c r="J26" s="126">
        <v>1.2790932576097881E-6</v>
      </c>
      <c r="K26" s="126">
        <v>1.27217345866777E-4</v>
      </c>
      <c r="L26" s="126">
        <v>4.3211131514396321E-6</v>
      </c>
      <c r="M26" s="126">
        <v>1.2896650121003959E-4</v>
      </c>
      <c r="N26" s="126">
        <v>1.291791730387908E-3</v>
      </c>
      <c r="O26" s="126">
        <v>1.352094051541561E-5</v>
      </c>
      <c r="P26" s="126">
        <v>8.1496834982314626E-4</v>
      </c>
      <c r="Q26" s="126">
        <v>5.7577939420892224E-4</v>
      </c>
      <c r="R26" s="126">
        <v>2.447931409960629E-5</v>
      </c>
      <c r="S26" s="126">
        <v>7.7919892500011962E-5</v>
      </c>
      <c r="T26" s="126">
        <v>1.032151488977816E-2</v>
      </c>
      <c r="U26" s="126">
        <v>1.1212778152274771E-2</v>
      </c>
      <c r="V26" s="126">
        <v>1.1152117860358151</v>
      </c>
      <c r="W26" s="126">
        <v>3.7879711154533049E-2</v>
      </c>
      <c r="X26" s="126">
        <v>2.921406824119022E-6</v>
      </c>
      <c r="Y26" s="126">
        <v>2.3708027896615232E-5</v>
      </c>
      <c r="Z26" s="126">
        <v>2.9285460805639431E-7</v>
      </c>
      <c r="AA26" s="126">
        <v>1.127410242233152E-5</v>
      </c>
      <c r="AB26" s="126">
        <v>1.346122372167474E-5</v>
      </c>
      <c r="AC26" s="126">
        <v>5.4397354976091138E-7</v>
      </c>
      <c r="AD26" s="126">
        <v>1.590384833959228E-6</v>
      </c>
      <c r="AE26" s="126">
        <v>1.7937373536257401E-4</v>
      </c>
      <c r="AF26" s="126">
        <v>2.6489216445088208E-4</v>
      </c>
      <c r="AG26" s="126">
        <v>2.6345911763556148E-2</v>
      </c>
      <c r="AH26" s="126">
        <v>8.9487534134998024E-4</v>
      </c>
      <c r="AI26" s="126">
        <v>4.9791220679666196E-9</v>
      </c>
      <c r="AJ26" s="126">
        <v>3.3884670307189107E-8</v>
      </c>
      <c r="AK26" s="126">
        <v>3.2764016991339321E-9</v>
      </c>
      <c r="AL26" s="126">
        <v>3.7753914723968047E-8</v>
      </c>
      <c r="AM26" s="126">
        <v>1.702782381909836E-9</v>
      </c>
      <c r="AN26" s="126">
        <v>8.1041623760010707E-10</v>
      </c>
      <c r="AO26" s="126">
        <v>3.18855123075372E-9</v>
      </c>
      <c r="AP26" s="126">
        <v>3.4074397298488028E-7</v>
      </c>
      <c r="AQ26" s="126">
        <v>1.2795224198973011E-8</v>
      </c>
      <c r="AR26" s="126">
        <v>1.272600299219378E-6</v>
      </c>
      <c r="AS26" s="126">
        <v>4.322562974424502E-8</v>
      </c>
      <c r="AT26" s="126">
        <v>4.7831366119255588E-6</v>
      </c>
      <c r="AU26" s="126">
        <v>1.7772842886483659E-6</v>
      </c>
      <c r="AV26" s="126">
        <v>1.7478311221743859E-7</v>
      </c>
      <c r="AW26" s="126">
        <v>2.0841148745654318E-6</v>
      </c>
      <c r="AX26" s="126">
        <v>6.0301795560176495E-8</v>
      </c>
      <c r="AY26" s="126">
        <v>1.5814352710550041E-7</v>
      </c>
      <c r="AZ26" s="126">
        <v>7.8426751235937019E-8</v>
      </c>
      <c r="BA26" s="126">
        <v>9.6234021480871027E-6</v>
      </c>
      <c r="BB26" s="126">
        <v>8.1389217739946524E-7</v>
      </c>
      <c r="BC26" s="126">
        <v>8.0948908153872292E-5</v>
      </c>
      <c r="BD26" s="126">
        <v>2.7495416543643231E-6</v>
      </c>
      <c r="BE26" s="126">
        <v>5.2374849025063363E-12</v>
      </c>
      <c r="BF26" s="126">
        <v>3.3793400660239452E-9</v>
      </c>
      <c r="BG26" s="126">
        <v>3.3053691654363301E-14</v>
      </c>
      <c r="BH26" s="126">
        <v>2.5345206280677968E-8</v>
      </c>
      <c r="BI26" s="126">
        <v>3.3759049167829351E-15</v>
      </c>
      <c r="BJ26" s="126">
        <v>2.3220832914158541E-10</v>
      </c>
      <c r="BK26" s="126">
        <v>3.4813078813845328E-13</v>
      </c>
      <c r="BL26" s="126">
        <v>3.6877524087173428E-14</v>
      </c>
      <c r="BM26" s="126">
        <v>1.3406751616842371E-14</v>
      </c>
      <c r="BN26" s="126">
        <v>3.0800995262181558E-9</v>
      </c>
      <c r="BO26" s="126">
        <v>5.9904968676032911E-15</v>
      </c>
      <c r="BP26" s="126">
        <v>3.9768488609907842E-15</v>
      </c>
      <c r="BQ26" s="126">
        <v>1.150190197885607E-5</v>
      </c>
      <c r="BR26" s="126">
        <v>6.8610401821998657E-5</v>
      </c>
      <c r="BS26" s="126">
        <v>1.125119339286324E-6</v>
      </c>
      <c r="BT26" s="126">
        <v>3.9290241086077017E-5</v>
      </c>
      <c r="BU26" s="126">
        <v>3.1042832997819531E-5</v>
      </c>
      <c r="BV26" s="126">
        <v>1.9670735182496601E-6</v>
      </c>
      <c r="BW26" s="126">
        <v>5.7904380118065918E-6</v>
      </c>
      <c r="BX26" s="126">
        <v>5.3562450956455847E-4</v>
      </c>
      <c r="BY26" s="126">
        <v>4.0151222409090119E-4</v>
      </c>
      <c r="BZ26" s="126">
        <v>4.2266765532398616E-6</v>
      </c>
      <c r="CA26" s="126">
        <v>6.3732099062047815E-4</v>
      </c>
      <c r="CB26" s="126">
        <v>4.9771944106694991E-5</v>
      </c>
      <c r="CC26" s="126">
        <v>8.909811890677171E-5</v>
      </c>
      <c r="CD26" s="126">
        <v>3.9934069206477893E-2</v>
      </c>
      <c r="CE26" s="126">
        <v>2.1610184988714751E-5</v>
      </c>
      <c r="CF26" s="126">
        <v>6.3387411438853791E-2</v>
      </c>
      <c r="CG26" s="126">
        <v>4.9502547874843436E-3</v>
      </c>
      <c r="CH26" s="126">
        <v>2.2964866188111169E-3</v>
      </c>
      <c r="CI26" s="126">
        <v>9.6648778671719199E-5</v>
      </c>
      <c r="CJ26" s="126">
        <v>9.6125916001291566E-3</v>
      </c>
      <c r="CK26" s="126">
        <v>3.2650497225617491E-4</v>
      </c>
      <c r="CL26" s="126">
        <v>9.2926343055562593E-6</v>
      </c>
      <c r="CM26" s="126">
        <v>2.153041221792489E-3</v>
      </c>
      <c r="CN26" s="126">
        <v>5.5108442144088259E-6</v>
      </c>
      <c r="CO26" s="126">
        <v>2.662667350239951E-5</v>
      </c>
      <c r="CP26" s="126">
        <v>5.4056100915964144E-6</v>
      </c>
      <c r="CQ26" s="126">
        <v>2.7454846697138069E-5</v>
      </c>
      <c r="CR26" s="126">
        <v>1.4375447534320521E-6</v>
      </c>
      <c r="CS26" s="126">
        <v>1.207263386925753E-6</v>
      </c>
      <c r="CT26" s="126">
        <v>2.6000514540121678E-6</v>
      </c>
      <c r="CU26" s="126">
        <v>3.1126765870816451E-4</v>
      </c>
      <c r="CV26" s="126">
        <v>2.108081942554064E-5</v>
      </c>
      <c r="CW26" s="126">
        <v>2.096677376773591E-3</v>
      </c>
      <c r="CX26" s="126">
        <v>7.121654775434468E-5</v>
      </c>
      <c r="CY26" s="126">
        <v>6.7891490860015871E-8</v>
      </c>
      <c r="CZ26" s="126">
        <v>4.2685980187133461E-5</v>
      </c>
      <c r="DA26" s="126">
        <v>1.40925869498726E-9</v>
      </c>
      <c r="DB26" s="126">
        <v>5.3557883634689063E-5</v>
      </c>
      <c r="DC26" s="126">
        <v>5.1887081468682551E-9</v>
      </c>
      <c r="DD26" s="126">
        <v>1.260858403032371E-11</v>
      </c>
      <c r="DE26" s="126">
        <v>1.657621740402291E-6</v>
      </c>
      <c r="DF26" s="126">
        <v>4.8548851407063213E-10</v>
      </c>
      <c r="DG26" s="126">
        <v>5.1427839713405122E-11</v>
      </c>
      <c r="DH26" s="126">
        <v>4.0540507015771099E-9</v>
      </c>
      <c r="DI26" s="126">
        <v>1.3056016278645101E-7</v>
      </c>
      <c r="DJ26" s="126">
        <v>4.1778364082767548E-10</v>
      </c>
      <c r="DK26" s="126">
        <v>4.7140195323693511E-10</v>
      </c>
      <c r="DL26" s="126">
        <v>4.6360240150450412E-7</v>
      </c>
      <c r="DM26" s="126">
        <v>1.7495313665469521E-5</v>
      </c>
      <c r="DN26" s="126">
        <v>9.3599566482661348E-8</v>
      </c>
      <c r="DO26" s="126">
        <v>1.9350479061308681E-5</v>
      </c>
      <c r="DP26" s="126">
        <v>1.0363596785691651E-6</v>
      </c>
      <c r="DQ26" s="126">
        <v>1.2187765741365399E-7</v>
      </c>
      <c r="DR26" s="126">
        <v>7.4448891874691605E-7</v>
      </c>
      <c r="DS26" s="126">
        <v>1.640025262989422E-4</v>
      </c>
      <c r="DT26" s="126">
        <v>5.0587038412080173E-5</v>
      </c>
      <c r="DU26" s="126">
        <v>5.0313366314442944E-3</v>
      </c>
      <c r="DV26" s="126">
        <v>1.7089630929905761E-4</v>
      </c>
      <c r="DW26" s="126">
        <v>2.385439856528661E-6</v>
      </c>
      <c r="DX26" s="126">
        <v>1.2335933319459681E-6</v>
      </c>
      <c r="DY26" s="126">
        <v>3.9588273477812518E-6</v>
      </c>
      <c r="DZ26" s="126">
        <v>1.0366326948945379E-6</v>
      </c>
      <c r="EA26" s="126">
        <v>2.1724104045184479E-7</v>
      </c>
      <c r="EB26" s="126">
        <v>5.6273850011138173E-6</v>
      </c>
      <c r="EC26" s="126">
        <v>1.214115238376683E-7</v>
      </c>
      <c r="ED26" s="126">
        <v>2.530323450403353E-5</v>
      </c>
      <c r="EE26" s="126">
        <v>3.5131984477844038E-6</v>
      </c>
      <c r="EF26" s="126">
        <v>3.4941923067095132E-4</v>
      </c>
      <c r="EG26" s="126">
        <v>1.1868507574425609E-5</v>
      </c>
      <c r="EH26" s="126">
        <v>1.207898691862988E-8</v>
      </c>
      <c r="EI26" s="126">
        <v>7.3766651887974714E-8</v>
      </c>
      <c r="EJ26" s="126">
        <v>2.912743308701324E-9</v>
      </c>
      <c r="EK26" s="126">
        <v>3.4346603784787678E-8</v>
      </c>
      <c r="EL26" s="126">
        <v>7.1425380178163303E-9</v>
      </c>
      <c r="EM26" s="126">
        <v>2.2196019468584109E-9</v>
      </c>
      <c r="EN26" s="126">
        <v>5.755774029442241E-9</v>
      </c>
      <c r="EO26" s="126">
        <v>4.7510466438505148E-7</v>
      </c>
      <c r="EP26" s="126">
        <v>5.0230678630049554E-6</v>
      </c>
      <c r="EQ26" s="126">
        <v>1.2946859343732241E-4</v>
      </c>
      <c r="ER26" s="126">
        <v>1.4365842157429659E-7</v>
      </c>
      <c r="ES26" s="126">
        <v>1.428812402486133E-5</v>
      </c>
      <c r="ET26" s="126">
        <v>4.8531589943626157E-7</v>
      </c>
      <c r="EU26" s="126">
        <v>2.7953816641252038E-12</v>
      </c>
      <c r="EV26" s="126">
        <v>4.5175395150908297E-6</v>
      </c>
      <c r="EW26" s="126">
        <v>1.08984375622351E-11</v>
      </c>
      <c r="EX26" s="126">
        <v>4.1300955192233601E-6</v>
      </c>
      <c r="EY26" s="126">
        <v>1.622082679430851E-6</v>
      </c>
      <c r="EZ26" s="126">
        <v>1.7715632270093549E-7</v>
      </c>
      <c r="FA26" s="126">
        <v>1.8648774785065019E-6</v>
      </c>
      <c r="FB26" s="126">
        <v>5.9741742101164252E-8</v>
      </c>
      <c r="FC26" s="126">
        <v>1.6173363421071981E-7</v>
      </c>
      <c r="FD26" s="126">
        <v>7.6613102207657709E-8</v>
      </c>
      <c r="FE26" s="126">
        <v>9.1740993104061144E-6</v>
      </c>
      <c r="FF26" s="126">
        <v>6.1878752242430459E-7</v>
      </c>
      <c r="FG26" s="126">
        <v>6.1543992816756775E-5</v>
      </c>
      <c r="FH26" s="126">
        <v>2.0904268591728591E-6</v>
      </c>
      <c r="FI26" s="126">
        <v>2.107531044399669E-11</v>
      </c>
      <c r="FJ26" s="126">
        <v>2.080382493640326E-8</v>
      </c>
      <c r="FK26" s="126">
        <v>8.638164783541948E-13</v>
      </c>
      <c r="FL26" s="126">
        <v>9.5929012654131318E-7</v>
      </c>
      <c r="FM26" s="126">
        <v>3.0137818134937712E-14</v>
      </c>
      <c r="FN26" s="126">
        <v>6.1166445319160495E-11</v>
      </c>
      <c r="FO26" s="126">
        <v>2.557695586323331E-13</v>
      </c>
      <c r="FP26" s="126">
        <v>2.709369116608661E-14</v>
      </c>
      <c r="FQ26" s="126">
        <v>2.1719177698246349E-13</v>
      </c>
      <c r="FR26" s="126">
        <v>4.5932860955239557E-9</v>
      </c>
      <c r="FS26" s="126">
        <v>4.6252811201454202E-14</v>
      </c>
      <c r="FT26" s="126">
        <v>5.8964253434620562E-14</v>
      </c>
      <c r="FU26" s="126">
        <v>1.342286806457099E-9</v>
      </c>
      <c r="FV26" s="126">
        <v>1.088981632435645E-8</v>
      </c>
      <c r="FW26" s="126">
        <v>1.879611337731486E-10</v>
      </c>
      <c r="FX26" s="126">
        <v>3.6096867262612419E-9</v>
      </c>
      <c r="FY26" s="126">
        <v>8.342862569091182E-9</v>
      </c>
      <c r="FZ26" s="126">
        <v>1.76928989812764E-10</v>
      </c>
      <c r="GA26" s="126">
        <v>1.056157888052878E-9</v>
      </c>
      <c r="GB26" s="126">
        <v>2.2032836168425211E-7</v>
      </c>
      <c r="GC26" s="126">
        <v>2.7878346209011448E-7</v>
      </c>
      <c r="GD26" s="126">
        <v>2.772752643926081E-5</v>
      </c>
      <c r="GE26" s="126">
        <v>9.4180379520769029E-7</v>
      </c>
      <c r="GF26" s="126">
        <v>8.8237437915733838E-13</v>
      </c>
      <c r="GG26" s="126">
        <v>7.6042844718245996E-12</v>
      </c>
      <c r="GH26" s="126">
        <v>7.0792930654413609E-14</v>
      </c>
      <c r="GI26" s="126">
        <v>4.1332215437793147E-12</v>
      </c>
      <c r="GJ26" s="126">
        <v>4.9406417104782337E-12</v>
      </c>
      <c r="GK26" s="126">
        <v>1.048434269700686E-13</v>
      </c>
      <c r="GL26" s="126">
        <v>6.492831351360383E-13</v>
      </c>
      <c r="GM26" s="126">
        <v>7.3134049154375104E-11</v>
      </c>
      <c r="GN26" s="126">
        <v>1.3529308341646911E-10</v>
      </c>
      <c r="GO26" s="126">
        <v>1.345611579451106E-8</v>
      </c>
      <c r="GP26" s="126">
        <v>4.570555888490755E-10</v>
      </c>
      <c r="GQ26" s="126">
        <v>3.9223780485111727E-8</v>
      </c>
      <c r="GR26" s="126">
        <v>8.6966005953220363E-8</v>
      </c>
      <c r="GS26" s="126">
        <v>5.6871222371568669E-8</v>
      </c>
      <c r="GT26" s="126">
        <v>5.7952006020005473E-8</v>
      </c>
      <c r="GU26" s="126">
        <v>1.343215650760073E-8</v>
      </c>
      <c r="GV26" s="126">
        <v>1.0980419435302791E-8</v>
      </c>
      <c r="GW26" s="126">
        <v>1.7670184627131211E-8</v>
      </c>
      <c r="GX26" s="126">
        <v>7.7118919052588579E-7</v>
      </c>
      <c r="GY26" s="126">
        <v>2.9281218085680708E-7</v>
      </c>
      <c r="GZ26" s="126">
        <v>2.9122808883908429E-5</v>
      </c>
      <c r="HA26" s="126">
        <v>9.891964937462486E-7</v>
      </c>
      <c r="HB26" s="126">
        <v>4.439152291754955E-8</v>
      </c>
      <c r="HC26" s="126">
        <v>2.5549066666323458E-6</v>
      </c>
      <c r="HD26" s="126">
        <v>3.6226668266341223E-8</v>
      </c>
      <c r="HE26" s="126">
        <v>1.148288725683801E-7</v>
      </c>
      <c r="HF26" s="126">
        <v>3.2261660995255919E-9</v>
      </c>
      <c r="HG26" s="126">
        <v>3.9590878894825863E-8</v>
      </c>
      <c r="HH26" s="126">
        <v>1.3592607066136151E-7</v>
      </c>
      <c r="HI26" s="126">
        <v>2.813198452707746E-8</v>
      </c>
      <c r="HJ26" s="126">
        <v>8.3967481689843813E-8</v>
      </c>
      <c r="HK26" s="126">
        <v>3.7912505632189888E-7</v>
      </c>
      <c r="HL26" s="126">
        <v>3.0283965137428469E-8</v>
      </c>
      <c r="HM26" s="126">
        <v>7.8286554051592623E-9</v>
      </c>
      <c r="HN26" s="126">
        <v>2.0012544748562779E-8</v>
      </c>
      <c r="HO26" s="126">
        <v>2.2194570958070411E-6</v>
      </c>
      <c r="HP26" s="126">
        <v>6.8199162783170843E-7</v>
      </c>
      <c r="HQ26" s="126">
        <v>6.7830210408771399E-5</v>
      </c>
      <c r="HR26" s="126">
        <v>2.3039469363650942E-6</v>
      </c>
      <c r="HS26" s="126">
        <v>1.5019767851505139E-8</v>
      </c>
      <c r="HT26" s="126">
        <v>3.831094857417276E-10</v>
      </c>
      <c r="HU26" s="126">
        <v>1.298074473476396E-10</v>
      </c>
      <c r="HV26" s="126">
        <v>1.4955329007634201E-9</v>
      </c>
      <c r="HW26" s="126">
        <v>2.1647740832406201E-7</v>
      </c>
      <c r="HX26" s="126">
        <v>1.924338577264647E-10</v>
      </c>
      <c r="HY26" s="126">
        <v>1.276915240177738E-8</v>
      </c>
      <c r="HZ26" s="126">
        <v>3.5029391730682981E-7</v>
      </c>
      <c r="IA26" s="126">
        <v>1.161321212105612E-5</v>
      </c>
      <c r="IB26" s="126">
        <v>9.3633426538904505E-10</v>
      </c>
      <c r="IC26" s="126">
        <v>4.6552245635840622E-8</v>
      </c>
      <c r="ID26" s="126">
        <v>3.077764793512735E-10</v>
      </c>
      <c r="IE26" s="126">
        <v>1.7953185390486621E-12</v>
      </c>
      <c r="IF26" s="126">
        <v>5.4853300749071973E-10</v>
      </c>
      <c r="IG26" s="126">
        <v>6.2804676453498225E-8</v>
      </c>
      <c r="IH26" s="126">
        <v>2.8344450228405089E-7</v>
      </c>
      <c r="II26" s="126">
        <v>2.6400511195600622E-7</v>
      </c>
      <c r="IJ26" s="126">
        <v>1.7583540699705019E-7</v>
      </c>
      <c r="IK26" s="126">
        <v>3.4191182320885048E-8</v>
      </c>
      <c r="IL26" s="126">
        <v>1.088093142138622E-8</v>
      </c>
      <c r="IM26" s="126">
        <v>2.8297503008485699E-8</v>
      </c>
      <c r="IN26" s="126">
        <v>2.1528433052058081E-6</v>
      </c>
      <c r="IO26" s="126">
        <v>7.231151679390168E-6</v>
      </c>
      <c r="IP26" s="126">
        <v>1.6995240088607519E-7</v>
      </c>
      <c r="IQ26" s="126">
        <v>1.863815226861197E-4</v>
      </c>
      <c r="IR26" s="126">
        <v>1.6903307729713789E-5</v>
      </c>
      <c r="IS26" s="126">
        <v>9.5923241783790005E-7</v>
      </c>
      <c r="IT26" s="126">
        <v>9.5404304213709504E-5</v>
      </c>
      <c r="IU26" s="126">
        <v>3.2405391798813501E-6</v>
      </c>
      <c r="IV26" s="126">
        <v>1.600958588855981E-9</v>
      </c>
      <c r="IW26" s="126">
        <v>6.5033987877914263E-6</v>
      </c>
      <c r="IX26" s="126">
        <v>5.7414436284190038E-7</v>
      </c>
      <c r="IY26" s="126">
        <v>2.214226297143645E-11</v>
      </c>
      <c r="IZ26" s="126">
        <v>6.6414249382962928E-10</v>
      </c>
      <c r="JA26" s="126">
        <v>5.1056345066055158E-9</v>
      </c>
      <c r="JB26" s="126">
        <v>8.092784160267553E-10</v>
      </c>
      <c r="JC26" s="126">
        <v>2.0091014056740111E-9</v>
      </c>
      <c r="JD26" s="126">
        <v>2.754179479026687E-10</v>
      </c>
      <c r="JE26" s="126">
        <v>3.0664870541231039E-10</v>
      </c>
      <c r="JF26" s="126">
        <v>6.1770222384749187E-10</v>
      </c>
      <c r="JG26" s="126">
        <v>2.700088299782835E-8</v>
      </c>
      <c r="JH26" s="126">
        <v>1.233357097216174E-8</v>
      </c>
      <c r="JI26" s="126">
        <v>1.226684727484202E-6</v>
      </c>
      <c r="JJ26" s="126">
        <v>4.1666043828276363E-8</v>
      </c>
      <c r="JK26" s="126">
        <v>7.7402987598749938E-12</v>
      </c>
      <c r="JL26" s="126">
        <v>7.7194440180256622E-9</v>
      </c>
      <c r="JM26" s="126">
        <v>9.9214931167358043E-14</v>
      </c>
      <c r="JN26" s="126">
        <v>1.260549878249759E-7</v>
      </c>
      <c r="JO26" s="126">
        <v>3.321292432918321E-15</v>
      </c>
      <c r="JP26" s="126">
        <v>7.4280291173791205E-10</v>
      </c>
      <c r="JQ26" s="126">
        <v>2.6050603194033921E-12</v>
      </c>
      <c r="JR26" s="126">
        <v>2.75954261876808E-13</v>
      </c>
      <c r="JS26" s="126">
        <v>1.44332043632233E-14</v>
      </c>
      <c r="JT26" s="126">
        <v>1.7676937128918161E-9</v>
      </c>
      <c r="JU26" s="126">
        <v>6.8858403609556756E-15</v>
      </c>
      <c r="JV26" s="126">
        <v>3.8281115869633071E-15</v>
      </c>
      <c r="JW26" s="126">
        <v>1.2500121680922101E-7</v>
      </c>
      <c r="JX26" s="126">
        <v>2.7133550721977959E-7</v>
      </c>
      <c r="JY26" s="126">
        <v>2.7740645460848911E-8</v>
      </c>
      <c r="JZ26" s="126">
        <v>2.3968593991178198E-7</v>
      </c>
      <c r="KA26" s="126">
        <v>2.442666879968867E-8</v>
      </c>
      <c r="KB26" s="126">
        <v>3.625769126368179E-8</v>
      </c>
      <c r="KC26" s="126">
        <v>6.6887674255228304E-8</v>
      </c>
      <c r="KD26" s="126">
        <v>3.6436518626567908E-5</v>
      </c>
      <c r="KE26" s="126">
        <v>1.354659258795989E-6</v>
      </c>
      <c r="KF26" s="126">
        <v>1.347330653434307E-4</v>
      </c>
      <c r="KG26" s="126">
        <v>4.5763949611003088E-6</v>
      </c>
      <c r="KH26" s="126">
        <v>7.3103794422552336E-8</v>
      </c>
      <c r="KI26" s="126">
        <v>2.7104620956656577E-7</v>
      </c>
      <c r="KJ26" s="126">
        <v>2.7989670909175941E-8</v>
      </c>
      <c r="KK26" s="126">
        <v>2.3519773527958951E-7</v>
      </c>
      <c r="KL26" s="126">
        <v>1.5967163447693351E-8</v>
      </c>
      <c r="KM26" s="126">
        <v>1.0712756273275391E-8</v>
      </c>
      <c r="KN26" s="126">
        <v>4.2164493000819697E-8</v>
      </c>
      <c r="KO26" s="126">
        <v>9.7082525362353528E-6</v>
      </c>
      <c r="KP26" s="126">
        <v>7.6194420088244432E-7</v>
      </c>
      <c r="KQ26" s="126">
        <v>7.5782213969278941E-5</v>
      </c>
      <c r="KR26" s="127">
        <v>2.5740477385118989E-6</v>
      </c>
    </row>
    <row r="27" spans="2:304" x14ac:dyDescent="0.25">
      <c r="B27" s="5">
        <v>10000</v>
      </c>
      <c r="C27" s="126">
        <v>3.5550761826771099E-6</v>
      </c>
      <c r="D27" s="126">
        <v>6.6801951489119836E-8</v>
      </c>
      <c r="E27" s="126">
        <v>3.6685837819655302E-6</v>
      </c>
      <c r="F27" s="126">
        <v>7.1853302439307946E-8</v>
      </c>
      <c r="G27" s="126">
        <v>1.261898076305023E-7</v>
      </c>
      <c r="H27" s="126">
        <v>2.0660201044937541E-7</v>
      </c>
      <c r="I27" s="126">
        <v>5.6202223922366497E-5</v>
      </c>
      <c r="J27" s="126">
        <v>1.1358562948271199E-6</v>
      </c>
      <c r="K27" s="126">
        <v>1.269134790320502E-4</v>
      </c>
      <c r="L27" s="126">
        <v>3.8801649914172267E-6</v>
      </c>
      <c r="M27" s="126">
        <v>1.2640752355866269E-4</v>
      </c>
      <c r="N27" s="126">
        <v>1.266193293605049E-3</v>
      </c>
      <c r="O27" s="126">
        <v>1.325293549318347E-5</v>
      </c>
      <c r="P27" s="126">
        <v>7.9880573731476879E-4</v>
      </c>
      <c r="Q27" s="126">
        <v>5.6436042408458957E-4</v>
      </c>
      <c r="R27" s="126">
        <v>2.3993768436647161E-5</v>
      </c>
      <c r="S27" s="126">
        <v>7.6374811587253901E-5</v>
      </c>
      <c r="T27" s="126">
        <v>9.2893634008003427E-3</v>
      </c>
      <c r="U27" s="126">
        <v>9.9571353151848892E-3</v>
      </c>
      <c r="V27" s="126">
        <v>1.1125480307659359</v>
      </c>
      <c r="W27" s="126">
        <v>3.4014274552807693E-2</v>
      </c>
      <c r="X27" s="126">
        <v>2.8634397186818889E-6</v>
      </c>
      <c r="Y27" s="126">
        <v>2.3238224259479761E-5</v>
      </c>
      <c r="Z27" s="126">
        <v>2.8704979694481127E-7</v>
      </c>
      <c r="AA27" s="126">
        <v>1.105051220699193E-5</v>
      </c>
      <c r="AB27" s="126">
        <v>1.319425808681392E-5</v>
      </c>
      <c r="AC27" s="126">
        <v>5.3318386844973677E-7</v>
      </c>
      <c r="AD27" s="126">
        <v>1.558848942775986E-6</v>
      </c>
      <c r="AE27" s="126">
        <v>1.6143636182631651E-4</v>
      </c>
      <c r="AF27" s="126">
        <v>2.3522869083381911E-4</v>
      </c>
      <c r="AG27" s="126">
        <v>2.628298285428644E-2</v>
      </c>
      <c r="AH27" s="126">
        <v>8.0355775224999731E-4</v>
      </c>
      <c r="AI27" s="126">
        <v>4.8803253883959092E-9</v>
      </c>
      <c r="AJ27" s="126">
        <v>3.3213204024844872E-8</v>
      </c>
      <c r="AK27" s="126">
        <v>3.211458575597767E-9</v>
      </c>
      <c r="AL27" s="126">
        <v>3.7005171666044093E-8</v>
      </c>
      <c r="AM27" s="126">
        <v>1.669012467003481E-9</v>
      </c>
      <c r="AN27" s="126">
        <v>7.9434168225279373E-10</v>
      </c>
      <c r="AO27" s="126">
        <v>3.1253251470423219E-9</v>
      </c>
      <c r="AP27" s="126">
        <v>3.0666957568639222E-7</v>
      </c>
      <c r="AQ27" s="126">
        <v>1.136237398146111E-8</v>
      </c>
      <c r="AR27" s="126">
        <v>1.2695606113359259E-6</v>
      </c>
      <c r="AS27" s="126">
        <v>3.8814668671590759E-8</v>
      </c>
      <c r="AT27" s="126">
        <v>4.6882287127536224E-6</v>
      </c>
      <c r="AU27" s="126">
        <v>1.742065221644065E-6</v>
      </c>
      <c r="AV27" s="126">
        <v>1.7131865263918449E-7</v>
      </c>
      <c r="AW27" s="126">
        <v>2.042782298707907E-6</v>
      </c>
      <c r="AX27" s="126">
        <v>5.9105878497372718E-8</v>
      </c>
      <c r="AY27" s="126">
        <v>1.5500676014386519E-7</v>
      </c>
      <c r="AZ27" s="126">
        <v>7.6871619773399985E-8</v>
      </c>
      <c r="BA27" s="126">
        <v>8.6610619332783899E-6</v>
      </c>
      <c r="BB27" s="126">
        <v>7.2274992265791412E-7</v>
      </c>
      <c r="BC27" s="126">
        <v>8.075555646642972E-5</v>
      </c>
      <c r="BD27" s="126">
        <v>2.4689645690378299E-6</v>
      </c>
      <c r="BE27" s="126">
        <v>4.6500640139059816E-12</v>
      </c>
      <c r="BF27" s="126">
        <v>3.000323261563729E-9</v>
      </c>
      <c r="BG27" s="126">
        <v>2.9346486883730937E-14</v>
      </c>
      <c r="BH27" s="126">
        <v>2.2882347178357571E-8</v>
      </c>
      <c r="BI27" s="126">
        <v>2.9972740400904141E-15</v>
      </c>
      <c r="BJ27" s="126">
        <v>2.061645276262557E-10</v>
      </c>
      <c r="BK27" s="126">
        <v>3.0908554629266041E-13</v>
      </c>
      <c r="BL27" s="126">
        <v>3.2741442826606227E-14</v>
      </c>
      <c r="BM27" s="126">
        <v>1.1903089808485751E-14</v>
      </c>
      <c r="BN27" s="126">
        <v>2.7807983064848512E-9</v>
      </c>
      <c r="BO27" s="126">
        <v>5.3186214590745433E-15</v>
      </c>
      <c r="BP27" s="126">
        <v>3.5308179250431192E-15</v>
      </c>
      <c r="BQ27" s="126">
        <v>1.127367906952643E-5</v>
      </c>
      <c r="BR27" s="126">
        <v>6.7250802598399682E-5</v>
      </c>
      <c r="BS27" s="126">
        <v>1.102817811282747E-6</v>
      </c>
      <c r="BT27" s="126">
        <v>3.8511029301750897E-5</v>
      </c>
      <c r="BU27" s="126">
        <v>3.042718543185588E-5</v>
      </c>
      <c r="BV27" s="126">
        <v>1.9280567381380302E-6</v>
      </c>
      <c r="BW27" s="126">
        <v>5.6756188692038242E-6</v>
      </c>
      <c r="BX27" s="126">
        <v>4.8206205860810248E-4</v>
      </c>
      <c r="BY27" s="126">
        <v>3.5654948186011751E-4</v>
      </c>
      <c r="BZ27" s="126">
        <v>3.802821213076208E-6</v>
      </c>
      <c r="CA27" s="126">
        <v>5.6595155850812297E-4</v>
      </c>
      <c r="CB27" s="126">
        <v>4.4198327318239671E-5</v>
      </c>
      <c r="CC27" s="126">
        <v>8.0980885904963917E-5</v>
      </c>
      <c r="CD27" s="126">
        <v>3.9838685215817508E-2</v>
      </c>
      <c r="CE27" s="126">
        <v>2.101936523363199E-5</v>
      </c>
      <c r="CF27" s="126">
        <v>6.3236008279075412E-2</v>
      </c>
      <c r="CG27" s="126">
        <v>4.9384308495414872E-3</v>
      </c>
      <c r="CH27" s="126">
        <v>2.3115282898513029E-3</v>
      </c>
      <c r="CI27" s="126">
        <v>8.5825738653932899E-5</v>
      </c>
      <c r="CJ27" s="126">
        <v>9.5896313051854823E-3</v>
      </c>
      <c r="CK27" s="126">
        <v>2.9318675963159658E-4</v>
      </c>
      <c r="CL27" s="126">
        <v>8.2889340294571251E-6</v>
      </c>
      <c r="CM27" s="126">
        <v>1.9333340597309449E-3</v>
      </c>
      <c r="CN27" s="126">
        <v>5.4014970036790834E-6</v>
      </c>
      <c r="CO27" s="126">
        <v>2.6099033324532511E-5</v>
      </c>
      <c r="CP27" s="126">
        <v>5.2984629111820926E-6</v>
      </c>
      <c r="CQ27" s="126">
        <v>2.6910356780763961E-5</v>
      </c>
      <c r="CR27" s="126">
        <v>1.409035083310242E-6</v>
      </c>
      <c r="CS27" s="126">
        <v>1.183317393210979E-6</v>
      </c>
      <c r="CT27" s="126">
        <v>2.5484947879941491E-6</v>
      </c>
      <c r="CU27" s="126">
        <v>2.801408928373479E-4</v>
      </c>
      <c r="CV27" s="126">
        <v>1.872012169727111E-5</v>
      </c>
      <c r="CW27" s="126">
        <v>2.0916693276464642E-3</v>
      </c>
      <c r="CX27" s="126">
        <v>6.3949252361960939E-5</v>
      </c>
      <c r="CY27" s="126">
        <v>6.0276981103566019E-8</v>
      </c>
      <c r="CZ27" s="126">
        <v>3.789844667772408E-5</v>
      </c>
      <c r="DA27" s="126">
        <v>1.251200387559979E-9</v>
      </c>
      <c r="DB27" s="126">
        <v>4.8353525865809132E-5</v>
      </c>
      <c r="DC27" s="126">
        <v>4.6067579127875233E-9</v>
      </c>
      <c r="DD27" s="126">
        <v>1.119444490527924E-11</v>
      </c>
      <c r="DE27" s="126">
        <v>1.471707773603065E-6</v>
      </c>
      <c r="DF27" s="126">
        <v>4.310376665986081E-10</v>
      </c>
      <c r="DG27" s="126">
        <v>4.5659835234382837E-11</v>
      </c>
      <c r="DH27" s="126">
        <v>3.5993603050275971E-9</v>
      </c>
      <c r="DI27" s="126">
        <v>1.178732948336665E-7</v>
      </c>
      <c r="DJ27" s="126">
        <v>3.7092633323508752E-10</v>
      </c>
      <c r="DK27" s="126">
        <v>4.1853098384398609E-10</v>
      </c>
      <c r="DL27" s="126">
        <v>4.5440351517787161E-7</v>
      </c>
      <c r="DM27" s="126">
        <v>1.714862257717209E-5</v>
      </c>
      <c r="DN27" s="126">
        <v>9.1744284753738451E-8</v>
      </c>
      <c r="DO27" s="126">
        <v>1.8966716556927649E-5</v>
      </c>
      <c r="DP27" s="126">
        <v>1.0158063897111931E-6</v>
      </c>
      <c r="DQ27" s="126">
        <v>1.1946022170740729E-7</v>
      </c>
      <c r="DR27" s="126">
        <v>7.2972637761384694E-7</v>
      </c>
      <c r="DS27" s="126">
        <v>1.4760227366904789E-4</v>
      </c>
      <c r="DT27" s="126">
        <v>4.4922139707307993E-5</v>
      </c>
      <c r="DU27" s="126">
        <v>5.0193189594340392E-3</v>
      </c>
      <c r="DV27" s="126">
        <v>1.5345718875324791E-4</v>
      </c>
      <c r="DW27" s="126">
        <v>2.3381075087927261E-6</v>
      </c>
      <c r="DX27" s="126">
        <v>1.2091481677753529E-6</v>
      </c>
      <c r="DY27" s="126">
        <v>3.8803575394017507E-6</v>
      </c>
      <c r="DZ27" s="126">
        <v>1.0160739915231351E-6</v>
      </c>
      <c r="EA27" s="126">
        <v>2.1293267343550371E-7</v>
      </c>
      <c r="EB27" s="126">
        <v>5.5157661718453931E-6</v>
      </c>
      <c r="EC27" s="126">
        <v>1.19004043256629E-7</v>
      </c>
      <c r="ED27" s="126">
        <v>2.2772911053630169E-5</v>
      </c>
      <c r="EE27" s="126">
        <v>3.1197792249720069E-6</v>
      </c>
      <c r="EF27" s="126">
        <v>3.4858462030478441E-4</v>
      </c>
      <c r="EG27" s="126">
        <v>1.06573852562305E-5</v>
      </c>
      <c r="EH27" s="126">
        <v>1.183931338103653E-8</v>
      </c>
      <c r="EI27" s="126">
        <v>7.2304875248120826E-8</v>
      </c>
      <c r="EJ27" s="126">
        <v>2.855008431877113E-9</v>
      </c>
      <c r="EK27" s="126">
        <v>3.3665435187169433E-8</v>
      </c>
      <c r="EL27" s="126">
        <v>7.0008857998702312E-9</v>
      </c>
      <c r="EM27" s="126">
        <v>2.1755762811715578E-9</v>
      </c>
      <c r="EN27" s="126">
        <v>5.6416422422219432E-9</v>
      </c>
      <c r="EO27" s="126">
        <v>4.2759419794654631E-7</v>
      </c>
      <c r="EP27" s="126">
        <v>4.5654441473957928E-6</v>
      </c>
      <c r="EQ27" s="126">
        <v>1.303165948916169E-4</v>
      </c>
      <c r="ER27" s="126">
        <v>1.2757109106728849E-7</v>
      </c>
      <c r="ES27" s="126">
        <v>1.4253995919200611E-5</v>
      </c>
      <c r="ET27" s="126">
        <v>4.35791819555423E-7</v>
      </c>
      <c r="EU27" s="126">
        <v>2.5237472138189609E-12</v>
      </c>
      <c r="EV27" s="126">
        <v>4.0796773525606656E-6</v>
      </c>
      <c r="EW27" s="126">
        <v>9.8394082588640733E-12</v>
      </c>
      <c r="EX27" s="126">
        <v>4.0481453846335143E-6</v>
      </c>
      <c r="EY27" s="126">
        <v>1.589939122579382E-6</v>
      </c>
      <c r="EZ27" s="126">
        <v>1.736448225837731E-7</v>
      </c>
      <c r="FA27" s="126">
        <v>1.827892861782133E-6</v>
      </c>
      <c r="FB27" s="126">
        <v>5.8556932128646832E-8</v>
      </c>
      <c r="FC27" s="126">
        <v>1.5852565769936411E-7</v>
      </c>
      <c r="FD27" s="126">
        <v>7.5093933763114262E-8</v>
      </c>
      <c r="FE27" s="126">
        <v>8.2566893793655013E-6</v>
      </c>
      <c r="FF27" s="126">
        <v>5.4949371230330031E-7</v>
      </c>
      <c r="FG27" s="126">
        <v>6.139699102100119E-5</v>
      </c>
      <c r="FH27" s="126">
        <v>1.8771091688211051E-6</v>
      </c>
      <c r="FI27" s="126">
        <v>1.8711565665922661E-11</v>
      </c>
      <c r="FJ27" s="126">
        <v>1.847052935386587E-8</v>
      </c>
      <c r="FK27" s="126">
        <v>7.6693336457096315E-13</v>
      </c>
      <c r="FL27" s="126">
        <v>8.6607342931839473E-7</v>
      </c>
      <c r="FM27" s="126">
        <v>2.67576552502243E-14</v>
      </c>
      <c r="FN27" s="126">
        <v>5.4306197165360758E-11</v>
      </c>
      <c r="FO27" s="126">
        <v>2.2708325850073009E-13</v>
      </c>
      <c r="FP27" s="126">
        <v>2.405493758689437E-14</v>
      </c>
      <c r="FQ27" s="126">
        <v>1.9283218642158771E-13</v>
      </c>
      <c r="FR27" s="126">
        <v>4.1469446317913381E-9</v>
      </c>
      <c r="FS27" s="126">
        <v>4.1065240435890452E-14</v>
      </c>
      <c r="FT27" s="126">
        <v>5.2351007101606301E-14</v>
      </c>
      <c r="FU27" s="126">
        <v>1.3156528983706289E-9</v>
      </c>
      <c r="FV27" s="126">
        <v>1.0674021263745341E-8</v>
      </c>
      <c r="FW27" s="126">
        <v>1.842354663332086E-10</v>
      </c>
      <c r="FX27" s="126">
        <v>3.5380987095660481E-9</v>
      </c>
      <c r="FY27" s="126">
        <v>8.1774052787017713E-9</v>
      </c>
      <c r="FZ27" s="126">
        <v>1.7341961437414791E-10</v>
      </c>
      <c r="GA27" s="126">
        <v>1.035215233470941E-9</v>
      </c>
      <c r="GB27" s="126">
        <v>1.9829552551582691E-7</v>
      </c>
      <c r="GC27" s="126">
        <v>2.4756439643852541E-7</v>
      </c>
      <c r="GD27" s="126">
        <v>2.7661297454239179E-5</v>
      </c>
      <c r="GE27" s="126">
        <v>8.4569739020401854E-7</v>
      </c>
      <c r="GF27" s="126">
        <v>8.6486614023307898E-13</v>
      </c>
      <c r="GG27" s="126">
        <v>7.4535962527008989E-12</v>
      </c>
      <c r="GH27" s="126">
        <v>6.9389710151203605E-14</v>
      </c>
      <c r="GI27" s="126">
        <v>4.0512506816742042E-12</v>
      </c>
      <c r="GJ27" s="126">
        <v>4.8426579329161781E-12</v>
      </c>
      <c r="GK27" s="126">
        <v>1.027638641584656E-13</v>
      </c>
      <c r="GL27" s="126">
        <v>6.3640843848429103E-13</v>
      </c>
      <c r="GM27" s="126">
        <v>6.5820644238937591E-11</v>
      </c>
      <c r="GN27" s="126">
        <v>1.20142530289256E-10</v>
      </c>
      <c r="GO27" s="126">
        <v>1.342397499416393E-8</v>
      </c>
      <c r="GP27" s="126">
        <v>4.1041533346399908E-10</v>
      </c>
      <c r="GQ27" s="126">
        <v>3.8445494831688889E-8</v>
      </c>
      <c r="GR27" s="126">
        <v>8.5242667931089851E-8</v>
      </c>
      <c r="GS27" s="126">
        <v>5.5743950699994979E-8</v>
      </c>
      <c r="GT27" s="126">
        <v>5.6802690445249999E-8</v>
      </c>
      <c r="GU27" s="126">
        <v>1.3165767339443039E-8</v>
      </c>
      <c r="GV27" s="126">
        <v>1.0762623503088779E-8</v>
      </c>
      <c r="GW27" s="126">
        <v>1.7319800866112961E-8</v>
      </c>
      <c r="GX27" s="126">
        <v>6.9407027147329713E-7</v>
      </c>
      <c r="GY27" s="126">
        <v>2.6002213431237181E-7</v>
      </c>
      <c r="GZ27" s="126">
        <v>2.905324717678734E-5</v>
      </c>
      <c r="HA27" s="126">
        <v>8.8825389897232943E-7</v>
      </c>
      <c r="HB27" s="126">
        <v>4.0077884075055688E-8</v>
      </c>
      <c r="HC27" s="126">
        <v>2.3072725387232561E-6</v>
      </c>
      <c r="HD27" s="126">
        <v>3.2380806426675948E-8</v>
      </c>
      <c r="HE27" s="126">
        <v>1.031111547217561E-7</v>
      </c>
      <c r="HF27" s="126">
        <v>2.9126712139119971E-9</v>
      </c>
      <c r="HG27" s="126">
        <v>3.8805309205490588E-8</v>
      </c>
      <c r="HH27" s="126">
        <v>1.3323252893546551E-7</v>
      </c>
      <c r="HI27" s="126">
        <v>2.7574367020365008E-8</v>
      </c>
      <c r="HJ27" s="126">
        <v>8.2302222087858363E-8</v>
      </c>
      <c r="HK27" s="126">
        <v>3.7160617368200569E-7</v>
      </c>
      <c r="HL27" s="126">
        <v>2.9683367588039359E-8</v>
      </c>
      <c r="HM27" s="126">
        <v>7.673374515208272E-9</v>
      </c>
      <c r="HN27" s="126">
        <v>1.961571410731521E-8</v>
      </c>
      <c r="HO27" s="126">
        <v>1.9975113862263369E-6</v>
      </c>
      <c r="HP27" s="126">
        <v>6.0562001940312083E-7</v>
      </c>
      <c r="HQ27" s="126">
        <v>6.766819357690516E-5</v>
      </c>
      <c r="HR27" s="126">
        <v>2.0688405814109361E-6</v>
      </c>
      <c r="HS27" s="126">
        <v>1.3335194904348751E-8</v>
      </c>
      <c r="HT27" s="126">
        <v>3.4014105340842858E-10</v>
      </c>
      <c r="HU27" s="126">
        <v>1.1719372269656691E-10</v>
      </c>
      <c r="HV27" s="126">
        <v>1.327798332342953E-9</v>
      </c>
      <c r="HW27" s="126">
        <v>1.9309561718070769E-7</v>
      </c>
      <c r="HX27" s="126">
        <v>1.7085108153686509E-10</v>
      </c>
      <c r="HY27" s="126">
        <v>1.1337001919061001E-8</v>
      </c>
      <c r="HZ27" s="126">
        <v>3.1100605510736869E-7</v>
      </c>
      <c r="IA27" s="126">
        <v>1.048760244874207E-5</v>
      </c>
      <c r="IB27" s="126">
        <v>8.3131776760484123E-10</v>
      </c>
      <c r="IC27" s="126">
        <v>4.1801819481802748E-8</v>
      </c>
      <c r="ID27" s="126">
        <v>2.7325717514266981E-10</v>
      </c>
      <c r="IE27" s="126">
        <v>1.6208628034553231E-12</v>
      </c>
      <c r="IF27" s="126">
        <v>4.8701125952146008E-10</v>
      </c>
      <c r="IG27" s="126">
        <v>6.1558494212850267E-8</v>
      </c>
      <c r="IH27" s="126">
        <v>2.7782770198839609E-7</v>
      </c>
      <c r="II27" s="126">
        <v>2.5877214049085582E-7</v>
      </c>
      <c r="IJ27" s="126">
        <v>1.723482046423049E-7</v>
      </c>
      <c r="IK27" s="126">
        <v>3.3513096072289419E-8</v>
      </c>
      <c r="IL27" s="126">
        <v>1.0665108827701101E-8</v>
      </c>
      <c r="IM27" s="126">
        <v>2.7736389146873031E-8</v>
      </c>
      <c r="IN27" s="126">
        <v>1.937558974685228E-6</v>
      </c>
      <c r="IO27" s="126">
        <v>6.5723617546057674E-6</v>
      </c>
      <c r="IP27" s="126">
        <v>1.509205722407136E-7</v>
      </c>
      <c r="IQ27" s="126">
        <v>1.8760229598793179E-4</v>
      </c>
      <c r="IR27" s="126">
        <v>1.686293343320375E-5</v>
      </c>
      <c r="IS27" s="126">
        <v>8.518144971223086E-7</v>
      </c>
      <c r="IT27" s="126">
        <v>9.517642488056347E-5</v>
      </c>
      <c r="IU27" s="126">
        <v>2.909858232919076E-6</v>
      </c>
      <c r="IV27" s="126">
        <v>1.4453893112049289E-9</v>
      </c>
      <c r="IW27" s="126">
        <v>5.8730573712955613E-6</v>
      </c>
      <c r="IX27" s="126">
        <v>5.1555577360878033E-7</v>
      </c>
      <c r="IY27" s="126">
        <v>1.9990642136267E-11</v>
      </c>
      <c r="IZ27" s="126">
        <v>6.5096445315167215E-10</v>
      </c>
      <c r="JA27" s="126">
        <v>5.0044600997106232E-9</v>
      </c>
      <c r="JB27" s="126">
        <v>7.9323732187121541E-10</v>
      </c>
      <c r="JC27" s="126">
        <v>1.9692565116766031E-9</v>
      </c>
      <c r="JD27" s="126">
        <v>2.6995580502218829E-10</v>
      </c>
      <c r="JE27" s="126">
        <v>3.0056634753417961E-10</v>
      </c>
      <c r="JF27" s="126">
        <v>6.054537480704646E-10</v>
      </c>
      <c r="JG27" s="126">
        <v>2.4300794698045511E-8</v>
      </c>
      <c r="JH27" s="126">
        <v>1.095241816269563E-8</v>
      </c>
      <c r="JI27" s="126">
        <v>1.2237547119048899E-6</v>
      </c>
      <c r="JJ27" s="126">
        <v>3.7414230761226651E-8</v>
      </c>
      <c r="JK27" s="126">
        <v>6.8721696367949121E-12</v>
      </c>
      <c r="JL27" s="126">
        <v>6.8536539682648397E-9</v>
      </c>
      <c r="JM27" s="126">
        <v>8.8087276502102536E-14</v>
      </c>
      <c r="JN27" s="126">
        <v>1.1380589934964139E-7</v>
      </c>
      <c r="JO27" s="126">
        <v>2.9487867206346719E-15</v>
      </c>
      <c r="JP27" s="126">
        <v>6.5949232735953878E-10</v>
      </c>
      <c r="JQ27" s="126">
        <v>2.3128850402852139E-12</v>
      </c>
      <c r="JR27" s="126">
        <v>2.4500399394059091E-13</v>
      </c>
      <c r="JS27" s="126">
        <v>1.281441863544709E-14</v>
      </c>
      <c r="JT27" s="126">
        <v>1.5959223529471499E-9</v>
      </c>
      <c r="JU27" s="126">
        <v>6.1135460241368663E-15</v>
      </c>
      <c r="JV27" s="126">
        <v>3.3987625586927281E-15</v>
      </c>
      <c r="JW27" s="126">
        <v>1.2252091907912491E-7</v>
      </c>
      <c r="JX27" s="126">
        <v>2.6595866150609419E-7</v>
      </c>
      <c r="JY27" s="126">
        <v>2.7190784872749131E-8</v>
      </c>
      <c r="JZ27" s="126">
        <v>2.34932441237458E-7</v>
      </c>
      <c r="KA27" s="126">
        <v>2.3942234302612161E-8</v>
      </c>
      <c r="KB27" s="126">
        <v>3.5538522226904117E-8</v>
      </c>
      <c r="KC27" s="126">
        <v>6.5561352240724547E-8</v>
      </c>
      <c r="KD27" s="126">
        <v>3.2792866763911113E-5</v>
      </c>
      <c r="KE27" s="126">
        <v>1.2029601729936371E-6</v>
      </c>
      <c r="KF27" s="126">
        <v>1.344112467280524E-4</v>
      </c>
      <c r="KG27" s="126">
        <v>4.1093965588574324E-6</v>
      </c>
      <c r="KH27" s="126">
        <v>7.165325513984752E-8</v>
      </c>
      <c r="KI27" s="126">
        <v>2.6567509664053731E-7</v>
      </c>
      <c r="KJ27" s="126">
        <v>2.7434874268681051E-8</v>
      </c>
      <c r="KK27" s="126">
        <v>2.305332475617575E-7</v>
      </c>
      <c r="KL27" s="126">
        <v>1.565049952360477E-8</v>
      </c>
      <c r="KM27" s="126">
        <v>1.0500269423126649E-8</v>
      </c>
      <c r="KN27" s="126">
        <v>4.1328409284050228E-8</v>
      </c>
      <c r="KO27" s="126">
        <v>8.7374272826118204E-6</v>
      </c>
      <c r="KP27" s="126">
        <v>6.766192470567844E-7</v>
      </c>
      <c r="KQ27" s="126">
        <v>7.56012032640914E-5</v>
      </c>
      <c r="KR27" s="127">
        <v>2.311378936671218E-6</v>
      </c>
    </row>
    <row r="28" spans="2:304" x14ac:dyDescent="0.25">
      <c r="B28" s="5">
        <v>11000</v>
      </c>
      <c r="C28" s="126">
        <v>3.483203749471115E-6</v>
      </c>
      <c r="D28" s="126">
        <v>6.5451061453987615E-8</v>
      </c>
      <c r="E28" s="126">
        <v>3.5943555993766741E-6</v>
      </c>
      <c r="F28" s="126">
        <v>7.039946074723687E-8</v>
      </c>
      <c r="G28" s="126">
        <v>1.2363618984568379E-7</v>
      </c>
      <c r="H28" s="126">
        <v>2.024224018029032E-7</v>
      </c>
      <c r="I28" s="126">
        <v>5.1092930838515003E-5</v>
      </c>
      <c r="J28" s="126">
        <v>1.018662416186755E-6</v>
      </c>
      <c r="K28" s="126">
        <v>1.266096121973234E-4</v>
      </c>
      <c r="L28" s="126">
        <v>3.5193892241261668E-6</v>
      </c>
      <c r="M28" s="126">
        <v>1.2384854590728579E-4</v>
      </c>
      <c r="N28" s="126">
        <v>1.24059485682219E-3</v>
      </c>
      <c r="O28" s="126">
        <v>1.2984930470951341E-5</v>
      </c>
      <c r="P28" s="126">
        <v>7.8264312480639121E-4</v>
      </c>
      <c r="Q28" s="126">
        <v>5.5294145396025702E-4</v>
      </c>
      <c r="R28" s="126">
        <v>2.3508222773688029E-5</v>
      </c>
      <c r="S28" s="126">
        <v>7.4829730674495827E-5</v>
      </c>
      <c r="T28" s="126">
        <v>8.4448758189093996E-3</v>
      </c>
      <c r="U28" s="126">
        <v>8.9297911757477144E-3</v>
      </c>
      <c r="V28" s="126">
        <v>1.1098842754960561</v>
      </c>
      <c r="W28" s="126">
        <v>3.0851644605941489E-2</v>
      </c>
      <c r="X28" s="126">
        <v>2.8054726132447579E-6</v>
      </c>
      <c r="Y28" s="126">
        <v>2.276842062234429E-5</v>
      </c>
      <c r="Z28" s="126">
        <v>2.812449858332283E-7</v>
      </c>
      <c r="AA28" s="126">
        <v>1.082692199165235E-5</v>
      </c>
      <c r="AB28" s="126">
        <v>1.29272924519531E-5</v>
      </c>
      <c r="AC28" s="126">
        <v>5.2239418713856226E-7</v>
      </c>
      <c r="AD28" s="126">
        <v>1.5273130515927431E-6</v>
      </c>
      <c r="AE28" s="126">
        <v>1.4676032893301501E-4</v>
      </c>
      <c r="AF28" s="126">
        <v>2.109585760562219E-4</v>
      </c>
      <c r="AG28" s="126">
        <v>2.6220053945016721E-2</v>
      </c>
      <c r="AH28" s="126">
        <v>7.2884336116819308E-4</v>
      </c>
      <c r="AI28" s="126">
        <v>4.7815287088251988E-9</v>
      </c>
      <c r="AJ28" s="126">
        <v>3.2541737742500631E-8</v>
      </c>
      <c r="AK28" s="126">
        <v>3.1465154520615998E-9</v>
      </c>
      <c r="AL28" s="126">
        <v>3.6256428608120139E-8</v>
      </c>
      <c r="AM28" s="126">
        <v>1.635242552097125E-9</v>
      </c>
      <c r="AN28" s="126">
        <v>7.7826712690548039E-10</v>
      </c>
      <c r="AO28" s="126">
        <v>3.0620990633309252E-9</v>
      </c>
      <c r="AP28" s="126">
        <v>2.7879052335126558E-7</v>
      </c>
      <c r="AQ28" s="126">
        <v>1.019004198531501E-8</v>
      </c>
      <c r="AR28" s="126">
        <v>1.266520923452473E-6</v>
      </c>
      <c r="AS28" s="126">
        <v>3.5205700521237263E-8</v>
      </c>
      <c r="AT28" s="126">
        <v>4.5933208135816852E-6</v>
      </c>
      <c r="AU28" s="126">
        <v>1.706846154639764E-6</v>
      </c>
      <c r="AV28" s="126">
        <v>1.6785419306093031E-7</v>
      </c>
      <c r="AW28" s="126">
        <v>2.0014497228503831E-6</v>
      </c>
      <c r="AX28" s="126">
        <v>5.7909961434568961E-8</v>
      </c>
      <c r="AY28" s="126">
        <v>1.5186999318223E-7</v>
      </c>
      <c r="AZ28" s="126">
        <v>7.5316488310862965E-8</v>
      </c>
      <c r="BA28" s="126">
        <v>7.8736926666167187E-6</v>
      </c>
      <c r="BB28" s="126">
        <v>6.4817898696028178E-7</v>
      </c>
      <c r="BC28" s="126">
        <v>8.0562204778987108E-5</v>
      </c>
      <c r="BD28" s="126">
        <v>2.2394014992252448E-6</v>
      </c>
      <c r="BE28" s="126">
        <v>4.1694469232329653E-12</v>
      </c>
      <c r="BF28" s="126">
        <v>2.6902186033690072E-9</v>
      </c>
      <c r="BG28" s="126">
        <v>2.6313319344122621E-14</v>
      </c>
      <c r="BH28" s="126">
        <v>2.0867280640095421E-8</v>
      </c>
      <c r="BI28" s="126">
        <v>2.6874851409783519E-15</v>
      </c>
      <c r="BJ28" s="126">
        <v>1.8485596275007681E-10</v>
      </c>
      <c r="BK28" s="126">
        <v>2.7713943932792072E-13</v>
      </c>
      <c r="BL28" s="126">
        <v>2.9357376340687612E-14</v>
      </c>
      <c r="BM28" s="126">
        <v>1.0672821056193971E-14</v>
      </c>
      <c r="BN28" s="126">
        <v>2.5359154903394191E-9</v>
      </c>
      <c r="BO28" s="126">
        <v>4.7689052157328396E-15</v>
      </c>
      <c r="BP28" s="126">
        <v>3.1658835229041179E-15</v>
      </c>
      <c r="BQ28" s="126">
        <v>1.1045456160196781E-5</v>
      </c>
      <c r="BR28" s="126">
        <v>6.5891203374800693E-5</v>
      </c>
      <c r="BS28" s="126">
        <v>1.0805162832791699E-6</v>
      </c>
      <c r="BT28" s="126">
        <v>3.7731817517424811E-5</v>
      </c>
      <c r="BU28" s="126">
        <v>2.9811537865892239E-5</v>
      </c>
      <c r="BV28" s="126">
        <v>1.889039958026399E-6</v>
      </c>
      <c r="BW28" s="126">
        <v>5.5607997266010591E-6</v>
      </c>
      <c r="BX28" s="126">
        <v>4.3823823509827502E-4</v>
      </c>
      <c r="BY28" s="126">
        <v>3.1976178367129447E-4</v>
      </c>
      <c r="BZ28" s="126">
        <v>3.456030480215038E-6</v>
      </c>
      <c r="CA28" s="126">
        <v>5.0755838677983252E-4</v>
      </c>
      <c r="CB28" s="126">
        <v>3.9638095400412602E-5</v>
      </c>
      <c r="CC28" s="126">
        <v>7.4339513448939379E-5</v>
      </c>
      <c r="CD28" s="126">
        <v>3.9743301225157117E-2</v>
      </c>
      <c r="CE28" s="126">
        <v>2.042854547854923E-5</v>
      </c>
      <c r="CF28" s="126">
        <v>6.3084605119297033E-2</v>
      </c>
      <c r="CG28" s="126">
        <v>4.9266069115986334E-3</v>
      </c>
      <c r="CH28" s="126">
        <v>2.3265699608914889E-3</v>
      </c>
      <c r="CI28" s="126">
        <v>7.6970524093925989E-5</v>
      </c>
      <c r="CJ28" s="126">
        <v>9.5666710102418062E-3</v>
      </c>
      <c r="CK28" s="126">
        <v>2.6592640384785082E-4</v>
      </c>
      <c r="CL28" s="126">
        <v>7.4677247126487438E-6</v>
      </c>
      <c r="CM28" s="126">
        <v>1.753573654407863E-3</v>
      </c>
      <c r="CN28" s="126">
        <v>5.2921497929493434E-6</v>
      </c>
      <c r="CO28" s="126">
        <v>2.5571393146665511E-5</v>
      </c>
      <c r="CP28" s="126">
        <v>5.19131573076777E-6</v>
      </c>
      <c r="CQ28" s="126">
        <v>2.636586686438985E-5</v>
      </c>
      <c r="CR28" s="126">
        <v>1.380525413188433E-6</v>
      </c>
      <c r="CS28" s="126">
        <v>1.159371399496205E-6</v>
      </c>
      <c r="CT28" s="126">
        <v>2.49693812197613E-6</v>
      </c>
      <c r="CU28" s="126">
        <v>2.5467353894304348E-4</v>
      </c>
      <c r="CV28" s="126">
        <v>1.678864173777786E-5</v>
      </c>
      <c r="CW28" s="126">
        <v>2.086661278519337E-3</v>
      </c>
      <c r="CX28" s="126">
        <v>5.8003283404556042E-5</v>
      </c>
      <c r="CY28" s="126">
        <v>5.4046927666470663E-8</v>
      </c>
      <c r="CZ28" s="126">
        <v>3.3981373806389107E-5</v>
      </c>
      <c r="DA28" s="126">
        <v>1.1218799542103849E-9</v>
      </c>
      <c r="DB28" s="126">
        <v>4.4095414963998273E-5</v>
      </c>
      <c r="DC28" s="126">
        <v>4.1306168121760161E-9</v>
      </c>
      <c r="DD28" s="126">
        <v>1.0037421984788291E-11</v>
      </c>
      <c r="DE28" s="126">
        <v>1.3195963462218781E-6</v>
      </c>
      <c r="DF28" s="126">
        <v>3.8648697321240649E-10</v>
      </c>
      <c r="DG28" s="126">
        <v>4.0940558842455513E-11</v>
      </c>
      <c r="DH28" s="126">
        <v>3.2273408896689058E-9</v>
      </c>
      <c r="DI28" s="126">
        <v>1.074931301450247E-7</v>
      </c>
      <c r="DJ28" s="126">
        <v>3.3258853611387922E-10</v>
      </c>
      <c r="DK28" s="126">
        <v>3.7527291797702778E-10</v>
      </c>
      <c r="DL28" s="126">
        <v>4.452046288512391E-7</v>
      </c>
      <c r="DM28" s="126">
        <v>1.6801931488874651E-5</v>
      </c>
      <c r="DN28" s="126">
        <v>8.9889003024815553E-8</v>
      </c>
      <c r="DO28" s="126">
        <v>1.858295405254662E-5</v>
      </c>
      <c r="DP28" s="126">
        <v>9.9525310085322046E-7</v>
      </c>
      <c r="DQ28" s="126">
        <v>1.170427860011605E-7</v>
      </c>
      <c r="DR28" s="126">
        <v>7.1496383648077774E-7</v>
      </c>
      <c r="DS28" s="126">
        <v>1.3418388515367991E-4</v>
      </c>
      <c r="DT28" s="126">
        <v>4.028722258522166E-5</v>
      </c>
      <c r="DU28" s="126">
        <v>5.0073012874237849E-3</v>
      </c>
      <c r="DV28" s="126">
        <v>1.391888173975854E-4</v>
      </c>
      <c r="DW28" s="126">
        <v>2.2907751610567912E-6</v>
      </c>
      <c r="DX28" s="126">
        <v>1.184703003604738E-6</v>
      </c>
      <c r="DY28" s="126">
        <v>3.8018877310222491E-6</v>
      </c>
      <c r="DZ28" s="126">
        <v>9.9551528815173263E-7</v>
      </c>
      <c r="EA28" s="126">
        <v>2.086243064191627E-7</v>
      </c>
      <c r="EB28" s="126">
        <v>5.4041473425769688E-6</v>
      </c>
      <c r="EC28" s="126">
        <v>1.165965626755896E-7</v>
      </c>
      <c r="ED28" s="126">
        <v>2.0702646412391051E-5</v>
      </c>
      <c r="EE28" s="126">
        <v>2.7978907699436822E-6</v>
      </c>
      <c r="EF28" s="126">
        <v>3.4775000993861739E-4</v>
      </c>
      <c r="EG28" s="126">
        <v>9.6664669958890385E-6</v>
      </c>
      <c r="EH28" s="126">
        <v>1.1599639843443181E-8</v>
      </c>
      <c r="EI28" s="126">
        <v>7.0843098608266938E-8</v>
      </c>
      <c r="EJ28" s="126">
        <v>2.7972735550529019E-9</v>
      </c>
      <c r="EK28" s="126">
        <v>3.2984266589551182E-8</v>
      </c>
      <c r="EL28" s="126">
        <v>6.8592335819241337E-9</v>
      </c>
      <c r="EM28" s="126">
        <v>2.1315506154847039E-9</v>
      </c>
      <c r="EN28" s="126">
        <v>5.5275104550016462E-9</v>
      </c>
      <c r="EO28" s="126">
        <v>3.8872199813322377E-7</v>
      </c>
      <c r="EP28" s="126">
        <v>4.1910247437155673E-6</v>
      </c>
      <c r="EQ28" s="126">
        <v>1.311645963459115E-4</v>
      </c>
      <c r="ER28" s="126">
        <v>1.144087297433728E-7</v>
      </c>
      <c r="ES28" s="126">
        <v>1.4219867813539879E-5</v>
      </c>
      <c r="ET28" s="126">
        <v>3.9527211783473691E-7</v>
      </c>
      <c r="EU28" s="126">
        <v>2.301500845386579E-12</v>
      </c>
      <c r="EV28" s="126">
        <v>3.7214264923087139E-6</v>
      </c>
      <c r="EW28" s="126">
        <v>8.9729297379241442E-12</v>
      </c>
      <c r="EX28" s="126">
        <v>3.9661952500436694E-6</v>
      </c>
      <c r="EY28" s="126">
        <v>1.5577955657279131E-6</v>
      </c>
      <c r="EZ28" s="126">
        <v>1.7013332246661071E-7</v>
      </c>
      <c r="FA28" s="126">
        <v>1.7909082450577641E-6</v>
      </c>
      <c r="FB28" s="126">
        <v>5.7372122156129393E-8</v>
      </c>
      <c r="FC28" s="126">
        <v>1.5531768118800849E-7</v>
      </c>
      <c r="FD28" s="126">
        <v>7.3574765318570842E-8</v>
      </c>
      <c r="FE28" s="126">
        <v>7.5060812539686352E-6</v>
      </c>
      <c r="FF28" s="126">
        <v>4.9279877674975161E-7</v>
      </c>
      <c r="FG28" s="126">
        <v>6.1249989225245591E-5</v>
      </c>
      <c r="FH28" s="126">
        <v>1.702576513078762E-6</v>
      </c>
      <c r="FI28" s="126">
        <v>1.6777592665680291E-11</v>
      </c>
      <c r="FJ28" s="126">
        <v>1.6561469331789809E-8</v>
      </c>
      <c r="FK28" s="126">
        <v>6.8766536238468311E-13</v>
      </c>
      <c r="FL28" s="126">
        <v>7.8980522249964349E-7</v>
      </c>
      <c r="FM28" s="126">
        <v>2.3992067435458781E-14</v>
      </c>
      <c r="FN28" s="126">
        <v>4.8693266857706421E-11</v>
      </c>
      <c r="FO28" s="126">
        <v>2.0361264930214589E-13</v>
      </c>
      <c r="FP28" s="126">
        <v>2.1568684658464369E-14</v>
      </c>
      <c r="FQ28" s="126">
        <v>1.7290161232632569E-13</v>
      </c>
      <c r="FR28" s="126">
        <v>3.7817561614646534E-9</v>
      </c>
      <c r="FS28" s="126">
        <v>3.6820864354974663E-14</v>
      </c>
      <c r="FT28" s="126">
        <v>4.6940169192776452E-14</v>
      </c>
      <c r="FU28" s="126">
        <v>1.2890189902841599E-9</v>
      </c>
      <c r="FV28" s="126">
        <v>1.045822620313424E-8</v>
      </c>
      <c r="FW28" s="126">
        <v>1.805097988932686E-10</v>
      </c>
      <c r="FX28" s="126">
        <v>3.4665106928708538E-9</v>
      </c>
      <c r="FY28" s="126">
        <v>8.0119479883123606E-9</v>
      </c>
      <c r="FZ28" s="126">
        <v>1.6991023893553179E-10</v>
      </c>
      <c r="GA28" s="126">
        <v>1.014272578889005E-9</v>
      </c>
      <c r="GB28" s="126">
        <v>1.802686595598425E-7</v>
      </c>
      <c r="GC28" s="126">
        <v>2.2202152454177061E-7</v>
      </c>
      <c r="GD28" s="126">
        <v>2.7595068469217549E-5</v>
      </c>
      <c r="GE28" s="126">
        <v>7.670648770191962E-7</v>
      </c>
      <c r="GF28" s="126">
        <v>8.4735790130881959E-13</v>
      </c>
      <c r="GG28" s="126">
        <v>7.3029080335771982E-12</v>
      </c>
      <c r="GH28" s="126">
        <v>6.79864896479936E-14</v>
      </c>
      <c r="GI28" s="126">
        <v>3.9692798195690929E-12</v>
      </c>
      <c r="GJ28" s="126">
        <v>4.744674155354121E-12</v>
      </c>
      <c r="GK28" s="126">
        <v>1.006843013468627E-13</v>
      </c>
      <c r="GL28" s="126">
        <v>6.2353374183254385E-13</v>
      </c>
      <c r="GM28" s="126">
        <v>5.9836949308125075E-11</v>
      </c>
      <c r="GN28" s="126">
        <v>1.077466231851726E-10</v>
      </c>
      <c r="GO28" s="126">
        <v>1.33918341938168E-8</v>
      </c>
      <c r="GP28" s="126">
        <v>3.7225512451257288E-10</v>
      </c>
      <c r="GQ28" s="126">
        <v>3.7667209178266057E-8</v>
      </c>
      <c r="GR28" s="126">
        <v>8.3519329908959351E-8</v>
      </c>
      <c r="GS28" s="126">
        <v>5.4616679028421303E-8</v>
      </c>
      <c r="GT28" s="126">
        <v>5.5653374870494518E-8</v>
      </c>
      <c r="GU28" s="126">
        <v>1.289937817128535E-8</v>
      </c>
      <c r="GV28" s="126">
        <v>1.054482757087476E-8</v>
      </c>
      <c r="GW28" s="126">
        <v>1.6969417105094721E-8</v>
      </c>
      <c r="GX28" s="126">
        <v>6.3097297406663373E-7</v>
      </c>
      <c r="GY28" s="126">
        <v>2.3319391441237939E-7</v>
      </c>
      <c r="GZ28" s="126">
        <v>2.8983685469666241E-5</v>
      </c>
      <c r="HA28" s="126">
        <v>8.0566450324821364E-7</v>
      </c>
      <c r="HB28" s="126">
        <v>3.6548543203924349E-8</v>
      </c>
      <c r="HC28" s="126">
        <v>2.1046627977067279E-6</v>
      </c>
      <c r="HD28" s="126">
        <v>2.9234192194222541E-8</v>
      </c>
      <c r="HE28" s="126">
        <v>9.3523931029063684E-8</v>
      </c>
      <c r="HF28" s="126">
        <v>2.6561753984099641E-9</v>
      </c>
      <c r="HG28" s="126">
        <v>3.8019739516155321E-8</v>
      </c>
      <c r="HH28" s="126">
        <v>1.3053898720956941E-7</v>
      </c>
      <c r="HI28" s="126">
        <v>2.7016749513652551E-8</v>
      </c>
      <c r="HJ28" s="126">
        <v>8.0636962485872912E-8</v>
      </c>
      <c r="HK28" s="126">
        <v>3.6408729104211262E-7</v>
      </c>
      <c r="HL28" s="126">
        <v>2.9082770038650252E-8</v>
      </c>
      <c r="HM28" s="126">
        <v>7.518093625257285E-9</v>
      </c>
      <c r="HN28" s="126">
        <v>1.9218883466067641E-8</v>
      </c>
      <c r="HO28" s="126">
        <v>1.8159194420239429E-6</v>
      </c>
      <c r="HP28" s="126">
        <v>5.4313415796154911E-7</v>
      </c>
      <c r="HQ28" s="126">
        <v>6.750617674503892E-5</v>
      </c>
      <c r="HR28" s="126">
        <v>1.8764808364484431E-6</v>
      </c>
      <c r="HS28" s="126">
        <v>1.1956907947584439E-8</v>
      </c>
      <c r="HT28" s="126">
        <v>3.0498506331754729E-10</v>
      </c>
      <c r="HU28" s="126">
        <v>1.068734025275074E-10</v>
      </c>
      <c r="HV28" s="126">
        <v>1.1905609581807529E-9</v>
      </c>
      <c r="HW28" s="126">
        <v>1.739650607906905E-7</v>
      </c>
      <c r="HX28" s="126">
        <v>1.531924464726472E-10</v>
      </c>
      <c r="HY28" s="126">
        <v>1.016524243320214E-8</v>
      </c>
      <c r="HZ28" s="126">
        <v>2.7886144058053688E-7</v>
      </c>
      <c r="IA28" s="126">
        <v>9.5666490804851281E-6</v>
      </c>
      <c r="IB28" s="126">
        <v>7.4539517850867438E-10</v>
      </c>
      <c r="IC28" s="126">
        <v>3.7915107173953578E-8</v>
      </c>
      <c r="ID28" s="126">
        <v>2.4501410806290319E-10</v>
      </c>
      <c r="IE28" s="126">
        <v>1.47812629251532E-12</v>
      </c>
      <c r="IF28" s="126">
        <v>4.3667528391024742E-10</v>
      </c>
      <c r="IG28" s="126">
        <v>6.0312311972202296E-8</v>
      </c>
      <c r="IH28" s="126">
        <v>2.7221090169274141E-7</v>
      </c>
      <c r="II28" s="126">
        <v>2.5353916902570542E-7</v>
      </c>
      <c r="IJ28" s="126">
        <v>1.6886100228755961E-7</v>
      </c>
      <c r="IK28" s="126">
        <v>3.2835009823693777E-8</v>
      </c>
      <c r="IL28" s="126">
        <v>1.044928623401598E-8</v>
      </c>
      <c r="IM28" s="126">
        <v>2.717527528526037E-8</v>
      </c>
      <c r="IN28" s="126">
        <v>1.7614172497138429E-6</v>
      </c>
      <c r="IO28" s="126">
        <v>6.0333518161458043E-6</v>
      </c>
      <c r="IP28" s="126">
        <v>1.35349076076327E-7</v>
      </c>
      <c r="IQ28" s="126">
        <v>1.8882306928974399E-4</v>
      </c>
      <c r="IR28" s="126">
        <v>1.6822559136693711E-5</v>
      </c>
      <c r="IS28" s="126">
        <v>7.639271074459157E-7</v>
      </c>
      <c r="IT28" s="126">
        <v>9.4948545547417381E-5</v>
      </c>
      <c r="IU28" s="126">
        <v>2.6393010944953959E-6</v>
      </c>
      <c r="IV28" s="126">
        <v>1.318105356763159E-9</v>
      </c>
      <c r="IW28" s="126">
        <v>5.3573234850716707E-6</v>
      </c>
      <c r="IX28" s="126">
        <v>4.6761965514531842E-7</v>
      </c>
      <c r="IY28" s="126">
        <v>1.8230225089310179E-11</v>
      </c>
      <c r="IZ28" s="126">
        <v>6.3778641247371501E-10</v>
      </c>
      <c r="JA28" s="126">
        <v>4.903285692815729E-9</v>
      </c>
      <c r="JB28" s="126">
        <v>7.7719622771567541E-10</v>
      </c>
      <c r="JC28" s="126">
        <v>1.9294116176791959E-9</v>
      </c>
      <c r="JD28" s="126">
        <v>2.6449366214170792E-10</v>
      </c>
      <c r="JE28" s="126">
        <v>2.9448398965604868E-10</v>
      </c>
      <c r="JF28" s="126">
        <v>5.9320527229343712E-10</v>
      </c>
      <c r="JG28" s="126">
        <v>2.2091631543677731E-8</v>
      </c>
      <c r="JH28" s="126">
        <v>9.8223840458597189E-9</v>
      </c>
      <c r="JI28" s="126">
        <v>1.2208246963255779E-6</v>
      </c>
      <c r="JJ28" s="126">
        <v>3.3935474615458697E-8</v>
      </c>
      <c r="JK28" s="126">
        <v>6.1618821724566632E-12</v>
      </c>
      <c r="JL28" s="126">
        <v>6.1452802911878024E-9</v>
      </c>
      <c r="JM28" s="126">
        <v>7.8982831775984433E-14</v>
      </c>
      <c r="JN28" s="126">
        <v>1.037839178698222E-7</v>
      </c>
      <c r="JO28" s="126">
        <v>2.644009319675324E-15</v>
      </c>
      <c r="JP28" s="126">
        <v>5.9132912195905142E-10</v>
      </c>
      <c r="JQ28" s="126">
        <v>2.0738325391885229E-12</v>
      </c>
      <c r="JR28" s="126">
        <v>2.196810474473223E-13</v>
      </c>
      <c r="JS28" s="126">
        <v>1.148995758544837E-14</v>
      </c>
      <c r="JT28" s="126">
        <v>1.455382149356059E-9</v>
      </c>
      <c r="JU28" s="126">
        <v>5.4816688394669343E-15</v>
      </c>
      <c r="JV28" s="126">
        <v>3.04747699010771E-15</v>
      </c>
      <c r="JW28" s="126">
        <v>1.2004062134902859E-7</v>
      </c>
      <c r="JX28" s="126">
        <v>2.6058181579240879E-7</v>
      </c>
      <c r="JY28" s="126">
        <v>2.6640924284649348E-8</v>
      </c>
      <c r="JZ28" s="126">
        <v>2.3017894256313399E-7</v>
      </c>
      <c r="KA28" s="126">
        <v>2.3457799805535661E-8</v>
      </c>
      <c r="KB28" s="126">
        <v>3.4819353190126457E-8</v>
      </c>
      <c r="KC28" s="126">
        <v>6.423503022622079E-8</v>
      </c>
      <c r="KD28" s="126">
        <v>2.9811697058101008E-5</v>
      </c>
      <c r="KE28" s="126">
        <v>1.0788427391553491E-6</v>
      </c>
      <c r="KF28" s="126">
        <v>1.3408942811267411E-4</v>
      </c>
      <c r="KG28" s="126">
        <v>3.7273069570223519E-6</v>
      </c>
      <c r="KH28" s="126">
        <v>7.0202715857142731E-8</v>
      </c>
      <c r="KI28" s="126">
        <v>2.6030398371450878E-7</v>
      </c>
      <c r="KJ28" s="126">
        <v>2.6880077628186161E-8</v>
      </c>
      <c r="KK28" s="126">
        <v>2.2586875984392539E-7</v>
      </c>
      <c r="KL28" s="126">
        <v>1.5333835599516179E-8</v>
      </c>
      <c r="KM28" s="126">
        <v>1.02877825729779E-8</v>
      </c>
      <c r="KN28" s="126">
        <v>4.0492325567280759E-8</v>
      </c>
      <c r="KO28" s="126">
        <v>7.9431157114652881E-6</v>
      </c>
      <c r="KP28" s="126">
        <v>6.0680792119942617E-7</v>
      </c>
      <c r="KQ28" s="126">
        <v>7.5420192558903833E-5</v>
      </c>
      <c r="KR28" s="127">
        <v>2.09646809880157E-6</v>
      </c>
    </row>
    <row r="29" spans="2:304" x14ac:dyDescent="0.25">
      <c r="B29" s="6">
        <v>12000</v>
      </c>
      <c r="C29" s="128">
        <v>3.41133131626512E-6</v>
      </c>
      <c r="D29" s="128">
        <v>6.410017141885542E-8</v>
      </c>
      <c r="E29" s="128">
        <v>3.520127416787818E-6</v>
      </c>
      <c r="F29" s="128">
        <v>6.8945619055165795E-8</v>
      </c>
      <c r="G29" s="128">
        <v>1.2108257206086539E-7</v>
      </c>
      <c r="H29" s="128">
        <v>1.98242793156431E-7</v>
      </c>
      <c r="I29" s="128">
        <v>4.6835186601972103E-5</v>
      </c>
      <c r="J29" s="128">
        <v>9.2100085065311859E-7</v>
      </c>
      <c r="K29" s="128">
        <v>1.263057453625966E-4</v>
      </c>
      <c r="L29" s="128">
        <v>3.2187427513836169E-6</v>
      </c>
      <c r="M29" s="128">
        <v>1.21289568255909E-4</v>
      </c>
      <c r="N29" s="128">
        <v>1.214996420039332E-3</v>
      </c>
      <c r="O29" s="128">
        <v>1.2716925448719211E-5</v>
      </c>
      <c r="P29" s="128">
        <v>7.6648051229801385E-4</v>
      </c>
      <c r="Q29" s="128">
        <v>5.4152248383592446E-4</v>
      </c>
      <c r="R29" s="128">
        <v>2.30226771107289E-5</v>
      </c>
      <c r="S29" s="128">
        <v>7.3284649761737753E-5</v>
      </c>
      <c r="T29" s="128">
        <v>7.7411361673336183E-3</v>
      </c>
      <c r="U29" s="128">
        <v>8.0736710595500707E-3</v>
      </c>
      <c r="V29" s="128">
        <v>1.107220520226176</v>
      </c>
      <c r="W29" s="128">
        <v>2.8216119650219661E-2</v>
      </c>
      <c r="X29" s="128">
        <v>2.7475055078076261E-6</v>
      </c>
      <c r="Y29" s="128">
        <v>2.229861698520883E-5</v>
      </c>
      <c r="Z29" s="128">
        <v>2.7544017472164542E-7</v>
      </c>
      <c r="AA29" s="128">
        <v>1.0603331776312761E-5</v>
      </c>
      <c r="AB29" s="128">
        <v>1.266032681709229E-5</v>
      </c>
      <c r="AC29" s="128">
        <v>5.1160450582738775E-7</v>
      </c>
      <c r="AD29" s="128">
        <v>1.4957771604095009E-6</v>
      </c>
      <c r="AE29" s="128">
        <v>1.3453030152193039E-4</v>
      </c>
      <c r="AF29" s="128">
        <v>1.907334804082243E-4</v>
      </c>
      <c r="AG29" s="128">
        <v>2.615712503574703E-2</v>
      </c>
      <c r="AH29" s="128">
        <v>6.6658136860002308E-4</v>
      </c>
      <c r="AI29" s="128">
        <v>4.68273202925449E-9</v>
      </c>
      <c r="AJ29" s="128">
        <v>3.1870271460156403E-8</v>
      </c>
      <c r="AK29" s="128">
        <v>3.0815723285254339E-9</v>
      </c>
      <c r="AL29" s="128">
        <v>3.5507685550196178E-8</v>
      </c>
      <c r="AM29" s="128">
        <v>1.60147263719077E-9</v>
      </c>
      <c r="AN29" s="128">
        <v>7.6219257155816715E-10</v>
      </c>
      <c r="AO29" s="128">
        <v>2.9988729796195288E-9</v>
      </c>
      <c r="AP29" s="128">
        <v>2.5555797973866018E-7</v>
      </c>
      <c r="AQ29" s="128">
        <v>9.2130986551932669E-9</v>
      </c>
      <c r="AR29" s="128">
        <v>1.2634812355690209E-6</v>
      </c>
      <c r="AS29" s="128">
        <v>3.2198227062609351E-8</v>
      </c>
      <c r="AT29" s="128">
        <v>4.4984129144097497E-6</v>
      </c>
      <c r="AU29" s="128">
        <v>1.6716270876354639E-6</v>
      </c>
      <c r="AV29" s="128">
        <v>1.6438973348267621E-7</v>
      </c>
      <c r="AW29" s="128">
        <v>1.960117146992858E-6</v>
      </c>
      <c r="AX29" s="128">
        <v>5.6714044371765197E-8</v>
      </c>
      <c r="AY29" s="128">
        <v>1.4873322622059489E-7</v>
      </c>
      <c r="AZ29" s="128">
        <v>7.3761356848325945E-8</v>
      </c>
      <c r="BA29" s="128">
        <v>7.2175516110653283E-6</v>
      </c>
      <c r="BB29" s="128">
        <v>5.8603654054558787E-7</v>
      </c>
      <c r="BC29" s="128">
        <v>8.036885309154455E-5</v>
      </c>
      <c r="BD29" s="128">
        <v>2.0480989410480909E-6</v>
      </c>
      <c r="BE29" s="128">
        <v>3.7689326810054513E-12</v>
      </c>
      <c r="BF29" s="128">
        <v>2.431798054873407E-9</v>
      </c>
      <c r="BG29" s="128">
        <v>2.3785679727782381E-14</v>
      </c>
      <c r="BH29" s="128">
        <v>1.9188058524876961E-8</v>
      </c>
      <c r="BI29" s="128">
        <v>2.4293277250516329E-15</v>
      </c>
      <c r="BJ29" s="128">
        <v>1.6709882535326109E-10</v>
      </c>
      <c r="BK29" s="128">
        <v>2.505176835239712E-13</v>
      </c>
      <c r="BL29" s="128">
        <v>2.6537320935755429E-14</v>
      </c>
      <c r="BM29" s="128">
        <v>9.6475970959508201E-15</v>
      </c>
      <c r="BN29" s="128">
        <v>2.3318464768848928E-9</v>
      </c>
      <c r="BO29" s="128">
        <v>4.3108083462814231E-15</v>
      </c>
      <c r="BP29" s="128">
        <v>2.8617715211216191E-15</v>
      </c>
      <c r="BQ29" s="128">
        <v>1.0817233250867139E-5</v>
      </c>
      <c r="BR29" s="128">
        <v>6.4531604151201732E-5</v>
      </c>
      <c r="BS29" s="128">
        <v>1.058214755275594E-6</v>
      </c>
      <c r="BT29" s="128">
        <v>3.6952605733098698E-5</v>
      </c>
      <c r="BU29" s="128">
        <v>2.9195890299928589E-5</v>
      </c>
      <c r="BV29" s="128">
        <v>1.850023177914768E-6</v>
      </c>
      <c r="BW29" s="128">
        <v>5.4459805839982923E-6</v>
      </c>
      <c r="BX29" s="128">
        <v>4.0171838217341869E-4</v>
      </c>
      <c r="BY29" s="128">
        <v>2.8910536851394202E-4</v>
      </c>
      <c r="BZ29" s="128">
        <v>3.167038202830729E-6</v>
      </c>
      <c r="CA29" s="128">
        <v>4.5889741033959032E-4</v>
      </c>
      <c r="CB29" s="128">
        <v>3.5837902135556703E-5</v>
      </c>
      <c r="CC29" s="128">
        <v>6.8805036402252241E-5</v>
      </c>
      <c r="CD29" s="128">
        <v>3.9647917234496753E-2</v>
      </c>
      <c r="CE29" s="128">
        <v>1.9837725723466459E-5</v>
      </c>
      <c r="CF29" s="128">
        <v>6.2933201959518639E-2</v>
      </c>
      <c r="CG29" s="128">
        <v>4.9147829736557761E-3</v>
      </c>
      <c r="CH29" s="128">
        <v>2.3416116319316749E-3</v>
      </c>
      <c r="CI29" s="128">
        <v>6.9591178627253537E-5</v>
      </c>
      <c r="CJ29" s="128">
        <v>9.5437107152981301E-3</v>
      </c>
      <c r="CK29" s="128">
        <v>2.4320944069472931E-4</v>
      </c>
      <c r="CL29" s="128">
        <v>6.7833836153084247E-6</v>
      </c>
      <c r="CM29" s="128">
        <v>1.6037733166386289E-3</v>
      </c>
      <c r="CN29" s="128">
        <v>5.1828025822196026E-6</v>
      </c>
      <c r="CO29" s="128">
        <v>2.5043752968798508E-5</v>
      </c>
      <c r="CP29" s="128">
        <v>5.0841685503534491E-6</v>
      </c>
      <c r="CQ29" s="128">
        <v>2.5821376948015749E-5</v>
      </c>
      <c r="CR29" s="128">
        <v>1.352015743066624E-6</v>
      </c>
      <c r="CS29" s="128">
        <v>1.135425405781431E-6</v>
      </c>
      <c r="CT29" s="128">
        <v>2.4453814559581108E-6</v>
      </c>
      <c r="CU29" s="128">
        <v>2.3345074403112329E-4</v>
      </c>
      <c r="CV29" s="128">
        <v>1.5179075104866811E-5</v>
      </c>
      <c r="CW29" s="128">
        <v>2.0816532293922098E-3</v>
      </c>
      <c r="CX29" s="128">
        <v>5.3048309273385301E-5</v>
      </c>
      <c r="CY29" s="128">
        <v>4.8855216468891207E-8</v>
      </c>
      <c r="CZ29" s="128">
        <v>3.071714641360998E-5</v>
      </c>
      <c r="DA29" s="128">
        <v>1.0141129264190561E-9</v>
      </c>
      <c r="DB29" s="128">
        <v>4.0546989212489233E-5</v>
      </c>
      <c r="DC29" s="128">
        <v>3.7338325616664273E-9</v>
      </c>
      <c r="DD29" s="128">
        <v>9.0732362177125102E-12</v>
      </c>
      <c r="DE29" s="128">
        <v>1.1928368234042239E-6</v>
      </c>
      <c r="DF29" s="128">
        <v>3.4936139539057213E-10</v>
      </c>
      <c r="DG29" s="128">
        <v>3.7007828515849408E-11</v>
      </c>
      <c r="DH29" s="128">
        <v>2.9173247102033302E-9</v>
      </c>
      <c r="DI29" s="128">
        <v>9.8842992904489857E-8</v>
      </c>
      <c r="DJ29" s="128">
        <v>3.0064037184620571E-10</v>
      </c>
      <c r="DK29" s="128">
        <v>3.3922452975456249E-10</v>
      </c>
      <c r="DL29" s="128">
        <v>4.3600574252460669E-7</v>
      </c>
      <c r="DM29" s="128">
        <v>1.645524040057722E-5</v>
      </c>
      <c r="DN29" s="128">
        <v>8.8033721295892683E-8</v>
      </c>
      <c r="DO29" s="128">
        <v>1.81991915481656E-5</v>
      </c>
      <c r="DP29" s="128">
        <v>9.7469981199524848E-7</v>
      </c>
      <c r="DQ29" s="128">
        <v>1.1462535029491371E-7</v>
      </c>
      <c r="DR29" s="128">
        <v>7.0020129534770874E-7</v>
      </c>
      <c r="DS29" s="128">
        <v>1.2300189472420661E-4</v>
      </c>
      <c r="DT29" s="128">
        <v>3.6424791650149733E-5</v>
      </c>
      <c r="DU29" s="128">
        <v>4.9952836154135306E-3</v>
      </c>
      <c r="DV29" s="128">
        <v>1.2729850793453341E-4</v>
      </c>
      <c r="DW29" s="128">
        <v>2.2434428133208558E-6</v>
      </c>
      <c r="DX29" s="128">
        <v>1.160257839434123E-6</v>
      </c>
      <c r="DY29" s="128">
        <v>3.7234179226427491E-6</v>
      </c>
      <c r="DZ29" s="128">
        <v>9.749565847803302E-7</v>
      </c>
      <c r="EA29" s="128">
        <v>2.0431593940282169E-7</v>
      </c>
      <c r="EB29" s="128">
        <v>5.2925285133085446E-6</v>
      </c>
      <c r="EC29" s="128">
        <v>1.141890820945503E-7</v>
      </c>
      <c r="ED29" s="128">
        <v>1.8977425878025141E-5</v>
      </c>
      <c r="EE29" s="128">
        <v>2.5296503907534099E-6</v>
      </c>
      <c r="EF29" s="128">
        <v>3.4691539957245043E-4</v>
      </c>
      <c r="EG29" s="128">
        <v>8.8407017789378283E-6</v>
      </c>
      <c r="EH29" s="128">
        <v>1.1359966305849829E-8</v>
      </c>
      <c r="EI29" s="128">
        <v>6.9381321968413051E-8</v>
      </c>
      <c r="EJ29" s="128">
        <v>2.7395386782286921E-9</v>
      </c>
      <c r="EK29" s="128">
        <v>3.2303097991932917E-8</v>
      </c>
      <c r="EL29" s="128">
        <v>6.717581363978037E-9</v>
      </c>
      <c r="EM29" s="128">
        <v>2.0875249497978509E-9</v>
      </c>
      <c r="EN29" s="128">
        <v>5.4133786677813501E-9</v>
      </c>
      <c r="EO29" s="128">
        <v>3.5632849828878849E-7</v>
      </c>
      <c r="EP29" s="128">
        <v>3.8790085739820459E-6</v>
      </c>
      <c r="EQ29" s="128">
        <v>1.3201259780020599E-4</v>
      </c>
      <c r="ER29" s="128">
        <v>1.034400953067764E-7</v>
      </c>
      <c r="ES29" s="128">
        <v>1.418573970787915E-5</v>
      </c>
      <c r="ET29" s="128">
        <v>3.6150569973416509E-7</v>
      </c>
      <c r="EU29" s="128">
        <v>2.116295538359595E-12</v>
      </c>
      <c r="EV29" s="128">
        <v>3.422884108765422E-6</v>
      </c>
      <c r="EW29" s="128">
        <v>8.2508643038075369E-12</v>
      </c>
      <c r="EX29" s="128">
        <v>3.8842451154538228E-6</v>
      </c>
      <c r="EY29" s="128">
        <v>1.5256520088764441E-6</v>
      </c>
      <c r="EZ29" s="128">
        <v>1.666218223494484E-7</v>
      </c>
      <c r="FA29" s="128">
        <v>1.7539236283333949E-6</v>
      </c>
      <c r="FB29" s="128">
        <v>5.6187312183611973E-8</v>
      </c>
      <c r="FC29" s="128">
        <v>1.5210970467665289E-7</v>
      </c>
      <c r="FD29" s="128">
        <v>7.2055596874027395E-8</v>
      </c>
      <c r="FE29" s="128">
        <v>6.8805744828045858E-6</v>
      </c>
      <c r="FF29" s="128">
        <v>4.4555299712179432E-7</v>
      </c>
      <c r="FG29" s="128">
        <v>6.1102987429490006E-5</v>
      </c>
      <c r="FH29" s="128">
        <v>1.5571326332934751E-6</v>
      </c>
      <c r="FI29" s="128">
        <v>1.516594849881164E-11</v>
      </c>
      <c r="FJ29" s="128">
        <v>1.4970585980059772E-8</v>
      </c>
      <c r="FK29" s="128">
        <v>6.2160869389611629E-13</v>
      </c>
      <c r="FL29" s="128">
        <v>7.2624838348401759E-7</v>
      </c>
      <c r="FM29" s="128">
        <v>2.1687410923154181E-14</v>
      </c>
      <c r="FN29" s="128">
        <v>4.4015824934661153E-11</v>
      </c>
      <c r="FO29" s="128">
        <v>1.8405380830332581E-13</v>
      </c>
      <c r="FP29" s="128">
        <v>1.949680721810603E-14</v>
      </c>
      <c r="FQ29" s="128">
        <v>1.562928005802741E-13</v>
      </c>
      <c r="FR29" s="128">
        <v>3.4774324361924142E-9</v>
      </c>
      <c r="FS29" s="128">
        <v>3.3283884287544829E-14</v>
      </c>
      <c r="FT29" s="128">
        <v>4.2431137602084927E-14</v>
      </c>
      <c r="FU29" s="128">
        <v>1.2623850821976909E-9</v>
      </c>
      <c r="FV29" s="128">
        <v>1.024243114252314E-8</v>
      </c>
      <c r="FW29" s="128">
        <v>1.767841314533286E-10</v>
      </c>
      <c r="FX29" s="128">
        <v>3.3949226761756599E-9</v>
      </c>
      <c r="FY29" s="128">
        <v>7.84649069792295E-9</v>
      </c>
      <c r="FZ29" s="128">
        <v>1.664008634969156E-10</v>
      </c>
      <c r="GA29" s="128">
        <v>9.9332992430706863E-10</v>
      </c>
      <c r="GB29" s="128">
        <v>1.6524627126318899E-7</v>
      </c>
      <c r="GC29" s="128">
        <v>2.0073579796114169E-7</v>
      </c>
      <c r="GD29" s="128">
        <v>2.7528839484195922E-5</v>
      </c>
      <c r="GE29" s="128">
        <v>7.0153778269851082E-7</v>
      </c>
      <c r="GF29" s="128">
        <v>8.2984966238456039E-13</v>
      </c>
      <c r="GG29" s="128">
        <v>7.1522198144534984E-12</v>
      </c>
      <c r="GH29" s="128">
        <v>6.6583269144783596E-14</v>
      </c>
      <c r="GI29" s="128">
        <v>3.8873089574639824E-12</v>
      </c>
      <c r="GJ29" s="128">
        <v>4.6466903777920662E-12</v>
      </c>
      <c r="GK29" s="128">
        <v>9.8604738535259728E-14</v>
      </c>
      <c r="GL29" s="128">
        <v>6.1065904518079658E-13</v>
      </c>
      <c r="GM29" s="128">
        <v>5.4850536865781341E-11</v>
      </c>
      <c r="GN29" s="128">
        <v>9.7416700598436422E-11</v>
      </c>
      <c r="GO29" s="128">
        <v>1.335969339346968E-8</v>
      </c>
      <c r="GP29" s="128">
        <v>3.4045495038638441E-10</v>
      </c>
      <c r="GQ29" s="128">
        <v>3.6888923524843219E-8</v>
      </c>
      <c r="GR29" s="128">
        <v>8.1795991886828839E-8</v>
      </c>
      <c r="GS29" s="128">
        <v>5.3489407356847613E-8</v>
      </c>
      <c r="GT29" s="128">
        <v>5.4504059295739057E-8</v>
      </c>
      <c r="GU29" s="128">
        <v>1.263298900312767E-8</v>
      </c>
      <c r="GV29" s="128">
        <v>1.032703163866075E-8</v>
      </c>
      <c r="GW29" s="128">
        <v>1.6619033344076472E-8</v>
      </c>
      <c r="GX29" s="128">
        <v>5.7839189289441434E-7</v>
      </c>
      <c r="GY29" s="128">
        <v>2.1083706449571901E-7</v>
      </c>
      <c r="GZ29" s="128">
        <v>2.8914123762545159E-5</v>
      </c>
      <c r="HA29" s="128">
        <v>7.3684000681145073E-7</v>
      </c>
      <c r="HB29" s="128">
        <v>3.3607425811314909E-8</v>
      </c>
      <c r="HC29" s="128">
        <v>1.9358213468596219E-6</v>
      </c>
      <c r="HD29" s="128">
        <v>2.6612013667178049E-8</v>
      </c>
      <c r="HE29" s="128">
        <v>8.5534577951820074E-8</v>
      </c>
      <c r="HF29" s="128">
        <v>2.4424288854916039E-9</v>
      </c>
      <c r="HG29" s="128">
        <v>3.723416982682006E-8</v>
      </c>
      <c r="HH29" s="128">
        <v>1.2784544548367341E-7</v>
      </c>
      <c r="HI29" s="128">
        <v>2.6459132006940109E-8</v>
      </c>
      <c r="HJ29" s="128">
        <v>7.8971702883887488E-8</v>
      </c>
      <c r="HK29" s="128">
        <v>3.5656840840221949E-7</v>
      </c>
      <c r="HL29" s="128">
        <v>2.8482172489261141E-8</v>
      </c>
      <c r="HM29" s="128">
        <v>7.362812735306298E-9</v>
      </c>
      <c r="HN29" s="128">
        <v>1.8822052824820079E-8</v>
      </c>
      <c r="HO29" s="128">
        <v>1.664592821855281E-6</v>
      </c>
      <c r="HP29" s="128">
        <v>4.9106260676023932E-7</v>
      </c>
      <c r="HQ29" s="128">
        <v>6.7344159913172681E-5</v>
      </c>
      <c r="HR29" s="128">
        <v>1.7161810489796989E-6</v>
      </c>
      <c r="HS29" s="128">
        <v>1.080833548361417E-8</v>
      </c>
      <c r="HT29" s="128">
        <v>2.7568840490847958E-10</v>
      </c>
      <c r="HU29" s="128">
        <v>9.8273135719957811E-11</v>
      </c>
      <c r="HV29" s="128">
        <v>1.0761964797122529E-9</v>
      </c>
      <c r="HW29" s="128">
        <v>1.5802293046567621E-7</v>
      </c>
      <c r="HX29" s="128">
        <v>1.384769172524656E-10</v>
      </c>
      <c r="HY29" s="128">
        <v>9.1887761949864271E-9</v>
      </c>
      <c r="HZ29" s="128">
        <v>2.520742618081769E-7</v>
      </c>
      <c r="IA29" s="128">
        <v>8.7991879402710068E-6</v>
      </c>
      <c r="IB29" s="128">
        <v>6.737930209285358E-10</v>
      </c>
      <c r="IC29" s="128">
        <v>3.4676180250745949E-8</v>
      </c>
      <c r="ID29" s="128">
        <v>2.214782188297645E-10</v>
      </c>
      <c r="IE29" s="128">
        <v>1.359179200065316E-12</v>
      </c>
      <c r="IF29" s="128">
        <v>3.9472863756757039E-10</v>
      </c>
      <c r="IG29" s="128">
        <v>5.9066129731554337E-8</v>
      </c>
      <c r="IH29" s="128">
        <v>2.6659410139708662E-7</v>
      </c>
      <c r="II29" s="128">
        <v>2.4830619756055492E-7</v>
      </c>
      <c r="IJ29" s="128">
        <v>1.653737999328143E-7</v>
      </c>
      <c r="IK29" s="128">
        <v>3.2156923575098148E-8</v>
      </c>
      <c r="IL29" s="128">
        <v>1.023346364033086E-8</v>
      </c>
      <c r="IM29" s="128">
        <v>2.6614161423647708E-8</v>
      </c>
      <c r="IN29" s="128">
        <v>1.6146324789043559E-6</v>
      </c>
      <c r="IO29" s="128">
        <v>5.5841768674291678E-6</v>
      </c>
      <c r="IP29" s="128">
        <v>1.2237282927267139E-7</v>
      </c>
      <c r="IQ29" s="128">
        <v>1.9004384259155619E-4</v>
      </c>
      <c r="IR29" s="128">
        <v>1.6782184840183679E-5</v>
      </c>
      <c r="IS29" s="128">
        <v>6.9068761604892174E-7</v>
      </c>
      <c r="IT29" s="128">
        <v>9.4720666214271332E-5</v>
      </c>
      <c r="IU29" s="128">
        <v>2.413836812475663E-6</v>
      </c>
      <c r="IV29" s="128">
        <v>1.2120353947283499E-9</v>
      </c>
      <c r="IW29" s="128">
        <v>4.9275452465517647E-6</v>
      </c>
      <c r="IX29" s="128">
        <v>4.276728897591002E-7</v>
      </c>
      <c r="IY29" s="128">
        <v>1.6763210883512831E-11</v>
      </c>
      <c r="IZ29" s="128">
        <v>6.2460837179575788E-10</v>
      </c>
      <c r="JA29" s="128">
        <v>4.8021112859208364E-9</v>
      </c>
      <c r="JB29" s="128">
        <v>7.6115513356013552E-10</v>
      </c>
      <c r="JC29" s="128">
        <v>1.8895667236817879E-9</v>
      </c>
      <c r="JD29" s="128">
        <v>2.5903151926122761E-10</v>
      </c>
      <c r="JE29" s="128">
        <v>2.884016317779179E-10</v>
      </c>
      <c r="JF29" s="128">
        <v>5.8095679651640996E-10</v>
      </c>
      <c r="JG29" s="128">
        <v>2.0250662248371261E-8</v>
      </c>
      <c r="JH29" s="128">
        <v>8.8806889484964581E-9</v>
      </c>
      <c r="JI29" s="128">
        <v>1.2178946807462669E-6</v>
      </c>
      <c r="JJ29" s="128">
        <v>3.1036511160652082E-8</v>
      </c>
      <c r="JK29" s="128">
        <v>5.5699759521747909E-12</v>
      </c>
      <c r="JL29" s="128">
        <v>5.5549688936236062E-9</v>
      </c>
      <c r="JM29" s="128">
        <v>7.1395794504219359E-14</v>
      </c>
      <c r="JN29" s="128">
        <v>9.5432266636639548E-8</v>
      </c>
      <c r="JO29" s="128">
        <v>2.3900281522091989E-15</v>
      </c>
      <c r="JP29" s="128">
        <v>5.3452645079197872E-10</v>
      </c>
      <c r="JQ29" s="128">
        <v>1.8746221216079471E-12</v>
      </c>
      <c r="JR29" s="128">
        <v>1.9857859203626511E-13</v>
      </c>
      <c r="JS29" s="128">
        <v>1.0386240043782779E-14</v>
      </c>
      <c r="JT29" s="128">
        <v>1.3382653130301499E-9</v>
      </c>
      <c r="JU29" s="128">
        <v>4.9551045189086563E-15</v>
      </c>
      <c r="JV29" s="128">
        <v>2.754739016286861E-15</v>
      </c>
      <c r="JW29" s="128">
        <v>1.175603236189325E-7</v>
      </c>
      <c r="JX29" s="128">
        <v>2.5520497007872339E-7</v>
      </c>
      <c r="JY29" s="128">
        <v>2.6091063696549569E-8</v>
      </c>
      <c r="JZ29" s="128">
        <v>2.254254438888099E-7</v>
      </c>
      <c r="KA29" s="128">
        <v>2.2973365308459171E-8</v>
      </c>
      <c r="KB29" s="128">
        <v>3.410018415334879E-8</v>
      </c>
      <c r="KC29" s="128">
        <v>6.2908708211717034E-8</v>
      </c>
      <c r="KD29" s="128">
        <v>2.7327388969925931E-5</v>
      </c>
      <c r="KE29" s="128">
        <v>9.7541154429010874E-7</v>
      </c>
      <c r="KF29" s="128">
        <v>1.3376760949729581E-4</v>
      </c>
      <c r="KG29" s="128">
        <v>3.408898955493117E-6</v>
      </c>
      <c r="KH29" s="128">
        <v>6.8752176574437915E-8</v>
      </c>
      <c r="KI29" s="128">
        <v>2.5493287078848031E-7</v>
      </c>
      <c r="KJ29" s="128">
        <v>2.6325280987691271E-8</v>
      </c>
      <c r="KK29" s="128">
        <v>2.212042721260933E-7</v>
      </c>
      <c r="KL29" s="128">
        <v>1.5017171675427599E-8</v>
      </c>
      <c r="KM29" s="128">
        <v>1.007529572282916E-8</v>
      </c>
      <c r="KN29" s="128">
        <v>3.965624185051129E-8</v>
      </c>
      <c r="KO29" s="128">
        <v>7.281189402176515E-6</v>
      </c>
      <c r="KP29" s="128">
        <v>5.4863181631829447E-7</v>
      </c>
      <c r="KQ29" s="128">
        <v>7.5239181853716265E-5</v>
      </c>
      <c r="KR29" s="129">
        <v>1.9173757339101971E-6</v>
      </c>
    </row>
    <row r="30" spans="2:304" x14ac:dyDescent="0.25">
      <c r="B30" t="s">
        <v>4</v>
      </c>
      <c r="C30" t="s">
        <v>982</v>
      </c>
    </row>
    <row r="31" spans="2:304" x14ac:dyDescent="0.25"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</row>
    <row r="32" spans="2:304" x14ac:dyDescent="0.25">
      <c r="B32" s="23" t="str">
        <f>B2</f>
        <v>Distance (km)</v>
      </c>
      <c r="C32" s="66" t="str">
        <f>F32</f>
        <v>Global Warming Potential (kg CO2 eq per passenger km)</v>
      </c>
      <c r="D32" s="66" t="str">
        <f>N2</f>
        <v>Cumulative Energy Demand, Non-Renewable (MJ per passenger km)</v>
      </c>
      <c r="E32" s="66" t="str">
        <f>C2</f>
        <v>Agricultural Land Occupation Potential (m2yr per passenger km)</v>
      </c>
      <c r="F32" s="66" t="str">
        <f>BQ2</f>
        <v>Global Warming Potential (kg CO2 eq per passenger km)</v>
      </c>
      <c r="G32" s="66" t="str">
        <f>Y2</f>
        <v>Fossil Depletion Potential (kg oil eq per passenger km)</v>
      </c>
      <c r="H32" s="66" t="str">
        <f>AT2</f>
        <v>Freshwater Ecotoxicity Potential (kg 14-DCB eq per passenger km)</v>
      </c>
      <c r="I32" s="66" t="str">
        <f>AI2</f>
        <v>Freshwater Eutrophication Potential (kg P eq per passenger km)</v>
      </c>
      <c r="J32" s="66" t="str">
        <f>CN2</f>
        <v>Human Toxicity Potential (kg 1,4 DB eq per passenger km)</v>
      </c>
      <c r="K32" s="66" t="str">
        <f>DL2</f>
        <v>Ionising Radiation Potential (kg U235 eq per passenger km)</v>
      </c>
      <c r="L32" s="66" t="str">
        <f>EX2</f>
        <v>Marine Ecotoxicity Potential (kg 14-DCB eq per passenger km)</v>
      </c>
      <c r="M32" s="66" t="str">
        <f>EH2</f>
        <v>Marine Eutrophication Potential (kg N eq per passenger km)</v>
      </c>
      <c r="N32" s="66" t="str">
        <f>DW2</f>
        <v>Metal Depletion Potential (kg Fe eq per passenger km)</v>
      </c>
      <c r="O32" s="66" t="str">
        <f>FU2</f>
        <v>Natural Land Transformation Potential (m2 per passenger km)</v>
      </c>
      <c r="P32" s="66" t="str">
        <f>GF2</f>
        <v>Ozone Depletion Potential (kg CFC11 eq per passenger km)</v>
      </c>
      <c r="Q32" s="66" t="str">
        <f>GQ2</f>
        <v>Particulate Matter Formation Potential (kg PM10 eq per passenger km)</v>
      </c>
      <c r="R32" s="66" t="str">
        <f>HG2</f>
        <v>Photochemical Oxidant Formation Potential (kg NMVOC per passenger km)</v>
      </c>
      <c r="S32" s="66" t="str">
        <f>IG2</f>
        <v>Terrestrial Acidification Potential (kg SO2 eq per passenger km)</v>
      </c>
      <c r="T32" s="66" t="str">
        <f>IZ2</f>
        <v>Terrestrial Ecotoxicity Potential (kg 14-DCB eq per passenger km)</v>
      </c>
      <c r="U32" s="66" t="str">
        <f>JW2</f>
        <v>Urban Land Occupation Potential (m2yr per passenger km)</v>
      </c>
      <c r="V32" s="116" t="str">
        <f>KH2</f>
        <v>Water Depletion Potential (m3 H2O per passenger km)</v>
      </c>
    </row>
    <row r="33" spans="2:22" x14ac:dyDescent="0.25">
      <c r="B33" s="67">
        <f t="shared" ref="B33:B57" si="0">B5</f>
        <v>100</v>
      </c>
      <c r="C33" s="28">
        <f>F33</f>
        <v>0.97486694165667687</v>
      </c>
      <c r="D33" s="28">
        <f>SUM(N5:X5)</f>
        <v>11.599381616021434</v>
      </c>
      <c r="E33" s="28">
        <f t="shared" ref="E33:E57" si="1">SUM(C5:M5)</f>
        <v>7.2795468198275535E-3</v>
      </c>
      <c r="F33" s="28">
        <f>SUM(BQ5:CM5)</f>
        <v>0.97486694165667687</v>
      </c>
      <c r="G33" s="28">
        <f t="shared" ref="G33:G57" si="2">SUM(Y5:AH5)</f>
        <v>0.26817425025291508</v>
      </c>
      <c r="H33" s="28">
        <f t="shared" ref="H33:H57" si="3">SUM(AT5:BP5)</f>
        <v>1.6733779777782824E-3</v>
      </c>
      <c r="I33" s="28">
        <f>SUM(AI5:AS5)</f>
        <v>4.3109278910961652E-5</v>
      </c>
      <c r="J33" s="28">
        <f t="shared" ref="J33:J57" si="4">SUM(CN5:DK5)</f>
        <v>6.6336731012356071E-2</v>
      </c>
      <c r="K33" s="28">
        <f t="shared" ref="K33:K57" si="5">SUM(DL5:DV5)</f>
        <v>6.2986565757924703E-2</v>
      </c>
      <c r="L33" s="28">
        <f t="shared" ref="L33:L57" si="6">SUM(EX5:FT5)</f>
        <v>1.5443865610713021E-3</v>
      </c>
      <c r="M33" s="28">
        <f t="shared" ref="M33:M57" si="7">SUM(EH5:EW5)</f>
        <v>1.0111450572745063E-3</v>
      </c>
      <c r="N33" s="28">
        <f t="shared" ref="N33:N57" si="8">SUM(DW5:EG5)</f>
        <v>5.6648448541819114E-3</v>
      </c>
      <c r="O33" s="28">
        <f t="shared" ref="O33:O57" si="9">SUM(FU5:GE5)</f>
        <v>2.8498687506446413E-4</v>
      </c>
      <c r="P33" s="28">
        <f t="shared" ref="P33:P57" si="10">SUM(GF5:GP5)</f>
        <v>1.3528164437855667E-7</v>
      </c>
      <c r="Q33" s="28">
        <f t="shared" ref="Q33:Q57" si="11">SUM(GQ5:HF5)</f>
        <v>6.0922734655209252E-4</v>
      </c>
      <c r="R33" s="28">
        <f t="shared" ref="R33:R57" si="12">SUM(HG5:IF5)</f>
        <v>2.0703421199090039E-3</v>
      </c>
      <c r="S33" s="28">
        <f t="shared" ref="S33:S57" si="13">SUM(IZ5:JV5)</f>
        <v>2.9620487691847709E-5</v>
      </c>
      <c r="T33" s="28">
        <f t="shared" ref="T33:T57" si="14">SUM(IZ5:JV5)</f>
        <v>2.9620487691847709E-5</v>
      </c>
      <c r="U33" s="28">
        <f t="shared" ref="U33:U57" si="15">SUM(JW5:KG5)</f>
        <v>4.569887775454971E-3</v>
      </c>
      <c r="V33" s="29">
        <f t="shared" ref="V33:V57" si="16">SUM(KH5:KR5)</f>
        <v>1.6004021174563703E-3</v>
      </c>
    </row>
    <row r="34" spans="2:22" x14ac:dyDescent="0.25">
      <c r="B34" s="67">
        <f t="shared" si="0"/>
        <v>200</v>
      </c>
      <c r="C34" s="28">
        <f t="shared" ref="C34:C57" si="17">F34</f>
        <v>0.57634435807967854</v>
      </c>
      <c r="D34" s="28">
        <f t="shared" ref="D34:D57" si="18">SUM(N6:X6)</f>
        <v>6.6024767335303354</v>
      </c>
      <c r="E34" s="28">
        <f t="shared" si="1"/>
        <v>3.9276171490209566E-3</v>
      </c>
      <c r="F34" s="28">
        <f t="shared" ref="F34:F57" si="19">SUM(BQ6:CM6)</f>
        <v>0.57634435807967854</v>
      </c>
      <c r="G34" s="28">
        <f t="shared" si="2"/>
        <v>0.15303031212232815</v>
      </c>
      <c r="H34" s="28">
        <f t="shared" si="3"/>
        <v>9.0772242176371696E-4</v>
      </c>
      <c r="I34" s="28">
        <f t="shared" ref="I34:I57" si="20">SUM(AI6:AS6)</f>
        <v>2.2588801960367598E-5</v>
      </c>
      <c r="J34" s="28">
        <f t="shared" si="4"/>
        <v>3.4286616111143649E-2</v>
      </c>
      <c r="K34" s="28">
        <f t="shared" si="5"/>
        <v>3.5153302809216108E-2</v>
      </c>
      <c r="L34" s="28">
        <f t="shared" si="6"/>
        <v>8.2788462686062057E-4</v>
      </c>
      <c r="M34" s="28">
        <f t="shared" si="7"/>
        <v>5.9781016878115967E-4</v>
      </c>
      <c r="N34" s="28">
        <f t="shared" si="8"/>
        <v>3.1036102915066848E-3</v>
      </c>
      <c r="O34" s="28">
        <f t="shared" si="9"/>
        <v>1.6239002360457451E-4</v>
      </c>
      <c r="P34" s="28">
        <f t="shared" si="10"/>
        <v>7.7305137658407429E-8</v>
      </c>
      <c r="Q34" s="28">
        <f t="shared" si="11"/>
        <v>3.2686216090995818E-4</v>
      </c>
      <c r="R34" s="28">
        <f t="shared" si="12"/>
        <v>1.0852126480383618E-3</v>
      </c>
      <c r="S34" s="28">
        <f t="shared" si="13"/>
        <v>1.563824125484182E-5</v>
      </c>
      <c r="T34" s="28">
        <f t="shared" si="14"/>
        <v>1.563824125484182E-5</v>
      </c>
      <c r="U34" s="28">
        <f t="shared" si="15"/>
        <v>2.3825811624129923E-3</v>
      </c>
      <c r="V34" s="29">
        <f t="shared" si="16"/>
        <v>8.5544926440217365E-4</v>
      </c>
    </row>
    <row r="35" spans="2:22" x14ac:dyDescent="0.25">
      <c r="B35" s="67">
        <f t="shared" si="0"/>
        <v>300</v>
      </c>
      <c r="C35" s="28">
        <f t="shared" si="17"/>
        <v>0.43938176125328199</v>
      </c>
      <c r="D35" s="28">
        <f t="shared" si="18"/>
        <v>4.9025860671230923</v>
      </c>
      <c r="E35" s="28">
        <f t="shared" si="1"/>
        <v>2.7955801610259523E-3</v>
      </c>
      <c r="F35" s="28">
        <f t="shared" si="19"/>
        <v>0.43938176125328199</v>
      </c>
      <c r="G35" s="28">
        <f t="shared" si="2"/>
        <v>0.11384094674589207</v>
      </c>
      <c r="H35" s="28">
        <f t="shared" si="3"/>
        <v>6.4931771048869116E-4</v>
      </c>
      <c r="I35" s="28">
        <f t="shared" si="20"/>
        <v>1.5703045959291188E-5</v>
      </c>
      <c r="J35" s="28">
        <f t="shared" si="4"/>
        <v>2.3613709658670348E-2</v>
      </c>
      <c r="K35" s="28">
        <f t="shared" si="5"/>
        <v>2.5718896595606677E-2</v>
      </c>
      <c r="L35" s="28">
        <f t="shared" si="6"/>
        <v>5.8653305222487848E-4</v>
      </c>
      <c r="M35" s="28">
        <f t="shared" si="7"/>
        <v>4.5587337903556252E-4</v>
      </c>
      <c r="N35" s="28">
        <f t="shared" si="8"/>
        <v>2.2380490023678821E-3</v>
      </c>
      <c r="O35" s="28">
        <f t="shared" si="9"/>
        <v>1.2067618288269584E-4</v>
      </c>
      <c r="P35" s="28">
        <f t="shared" si="10"/>
        <v>5.7567523525741538E-8</v>
      </c>
      <c r="Q35" s="28">
        <f t="shared" si="11"/>
        <v>2.3167365517395979E-4</v>
      </c>
      <c r="R35" s="28">
        <f t="shared" si="12"/>
        <v>7.5467576214318353E-4</v>
      </c>
      <c r="S35" s="28">
        <f t="shared" si="13"/>
        <v>1.0949943165781674E-5</v>
      </c>
      <c r="T35" s="28">
        <f t="shared" si="14"/>
        <v>1.0949943165781674E-5</v>
      </c>
      <c r="U35" s="28">
        <f t="shared" si="15"/>
        <v>1.6493045938254024E-3</v>
      </c>
      <c r="V35" s="29">
        <f t="shared" si="16"/>
        <v>6.0476548950042723E-4</v>
      </c>
    </row>
    <row r="36" spans="2:22" x14ac:dyDescent="0.25">
      <c r="B36" s="67">
        <f t="shared" si="0"/>
        <v>400</v>
      </c>
      <c r="C36" s="28">
        <f t="shared" si="17"/>
        <v>0.36467019879469204</v>
      </c>
      <c r="D36" s="28">
        <f t="shared" si="18"/>
        <v>3.9940274510902474</v>
      </c>
      <c r="E36" s="28">
        <f t="shared" si="1"/>
        <v>2.2134109615572655E-3</v>
      </c>
      <c r="F36" s="28">
        <f t="shared" si="19"/>
        <v>0.36467019879469204</v>
      </c>
      <c r="G36" s="28">
        <f t="shared" si="2"/>
        <v>9.2862633360965299E-2</v>
      </c>
      <c r="H36" s="28">
        <f t="shared" si="3"/>
        <v>5.1524393803976313E-4</v>
      </c>
      <c r="I36" s="28">
        <f t="shared" si="20"/>
        <v>1.2187590752627867E-5</v>
      </c>
      <c r="J36" s="28">
        <f t="shared" si="4"/>
        <v>1.8163200711850888E-2</v>
      </c>
      <c r="K36" s="28">
        <f t="shared" si="5"/>
        <v>2.0735414800426923E-2</v>
      </c>
      <c r="L36" s="28">
        <f t="shared" si="6"/>
        <v>4.6207319438359664E-4</v>
      </c>
      <c r="M36" s="28">
        <f t="shared" si="7"/>
        <v>3.8237474682270681E-4</v>
      </c>
      <c r="N36" s="28">
        <f t="shared" si="8"/>
        <v>1.7859558703805609E-3</v>
      </c>
      <c r="O36" s="28">
        <f t="shared" si="9"/>
        <v>9.8365000746591548E-5</v>
      </c>
      <c r="P36" s="28">
        <f t="shared" si="10"/>
        <v>4.699255431991856E-8</v>
      </c>
      <c r="Q36" s="28">
        <f t="shared" si="11"/>
        <v>1.8253299393310973E-4</v>
      </c>
      <c r="R36" s="28">
        <f t="shared" si="12"/>
        <v>5.858035980198387E-4</v>
      </c>
      <c r="S36" s="28">
        <f t="shared" si="13"/>
        <v>8.5409379840470311E-6</v>
      </c>
      <c r="T36" s="28">
        <f t="shared" si="14"/>
        <v>8.5409379840470311E-6</v>
      </c>
      <c r="U36" s="28">
        <f t="shared" si="15"/>
        <v>1.2755536954152558E-3</v>
      </c>
      <c r="V36" s="29">
        <f t="shared" si="16"/>
        <v>4.75407075302049E-4</v>
      </c>
    </row>
    <row r="37" spans="2:22" x14ac:dyDescent="0.25">
      <c r="B37" s="67">
        <f t="shared" si="0"/>
        <v>500</v>
      </c>
      <c r="C37" s="28">
        <f t="shared" si="17"/>
        <v>0.32578949054737955</v>
      </c>
      <c r="D37" s="28">
        <f t="shared" si="18"/>
        <v>3.5099216268359501</v>
      </c>
      <c r="E37" s="28">
        <f t="shared" si="1"/>
        <v>1.8746985377945705E-3</v>
      </c>
      <c r="F37" s="28">
        <f t="shared" si="19"/>
        <v>0.32578949054737955</v>
      </c>
      <c r="G37" s="28">
        <f t="shared" si="2"/>
        <v>8.1717005525988193E-2</v>
      </c>
      <c r="H37" s="28">
        <f t="shared" si="3"/>
        <v>4.3947149941856356E-4</v>
      </c>
      <c r="I37" s="28">
        <f t="shared" si="20"/>
        <v>1.0150141268962468E-5</v>
      </c>
      <c r="J37" s="28">
        <f t="shared" si="4"/>
        <v>1.5097157644572737E-2</v>
      </c>
      <c r="K37" s="28">
        <f t="shared" si="5"/>
        <v>1.8021368645309982E-2</v>
      </c>
      <c r="L37" s="28">
        <f t="shared" si="6"/>
        <v>3.9095282958966158E-4</v>
      </c>
      <c r="M37" s="28">
        <f t="shared" si="7"/>
        <v>3.3743449833373485E-4</v>
      </c>
      <c r="N37" s="28">
        <f t="shared" si="8"/>
        <v>1.5341849617488044E-3</v>
      </c>
      <c r="O37" s="28">
        <f t="shared" si="9"/>
        <v>8.6494499512792107E-5</v>
      </c>
      <c r="P37" s="28">
        <f t="shared" si="10"/>
        <v>4.1383543438674279E-8</v>
      </c>
      <c r="Q37" s="28">
        <f t="shared" si="11"/>
        <v>1.5441403563875734E-4</v>
      </c>
      <c r="R37" s="28">
        <f t="shared" si="12"/>
        <v>4.8790310270221683E-4</v>
      </c>
      <c r="S37" s="28">
        <f t="shared" si="13"/>
        <v>7.1715402757647288E-6</v>
      </c>
      <c r="T37" s="28">
        <f t="shared" si="14"/>
        <v>7.1715402757647288E-6</v>
      </c>
      <c r="U37" s="28">
        <f t="shared" si="15"/>
        <v>1.0586883497788104E-3</v>
      </c>
      <c r="V37" s="29">
        <f t="shared" si="16"/>
        <v>4.0195202995217693E-4</v>
      </c>
    </row>
    <row r="38" spans="2:22" x14ac:dyDescent="0.25">
      <c r="B38" s="67">
        <f t="shared" si="0"/>
        <v>600</v>
      </c>
      <c r="C38" s="28">
        <f t="shared" si="17"/>
        <v>0.29830936219962612</v>
      </c>
      <c r="D38" s="28">
        <f t="shared" si="18"/>
        <v>3.1725096216315296</v>
      </c>
      <c r="E38" s="28">
        <f t="shared" si="1"/>
        <v>1.6446551202634109E-3</v>
      </c>
      <c r="F38" s="28">
        <f t="shared" si="19"/>
        <v>0.29830936219962612</v>
      </c>
      <c r="G38" s="28">
        <f t="shared" si="2"/>
        <v>7.394019391608149E-2</v>
      </c>
      <c r="H38" s="28">
        <f t="shared" si="3"/>
        <v>3.8772441698645696E-4</v>
      </c>
      <c r="I38" s="28">
        <f t="shared" si="20"/>
        <v>8.7735555025708705E-6</v>
      </c>
      <c r="J38" s="28">
        <f t="shared" si="4"/>
        <v>1.3024490609747134E-2</v>
      </c>
      <c r="K38" s="28">
        <f t="shared" si="5"/>
        <v>1.6145300054475422E-2</v>
      </c>
      <c r="L38" s="28">
        <f t="shared" si="6"/>
        <v>3.425808089227769E-4</v>
      </c>
      <c r="M38" s="28">
        <f t="shared" si="7"/>
        <v>3.0684449604213821E-4</v>
      </c>
      <c r="N38" s="28">
        <f t="shared" si="8"/>
        <v>1.3614833101512256E-3</v>
      </c>
      <c r="O38" s="28">
        <f t="shared" si="9"/>
        <v>7.8216795492258611E-5</v>
      </c>
      <c r="P38" s="28">
        <f t="shared" si="10"/>
        <v>3.746742521391651E-8</v>
      </c>
      <c r="Q38" s="28">
        <f t="shared" si="11"/>
        <v>1.3528076045804492E-4</v>
      </c>
      <c r="R38" s="28">
        <f t="shared" si="12"/>
        <v>4.2173378632782103E-4</v>
      </c>
      <c r="S38" s="28">
        <f t="shared" si="13"/>
        <v>6.2423724194575898E-6</v>
      </c>
      <c r="T38" s="28">
        <f t="shared" si="14"/>
        <v>6.2423724194575898E-6</v>
      </c>
      <c r="U38" s="28">
        <f t="shared" si="15"/>
        <v>9.1233006010922938E-4</v>
      </c>
      <c r="V38" s="29">
        <f t="shared" si="16"/>
        <v>3.5197571739308025E-4</v>
      </c>
    </row>
    <row r="39" spans="2:22" x14ac:dyDescent="0.25">
      <c r="B39" s="67">
        <f t="shared" si="0"/>
        <v>700</v>
      </c>
      <c r="C39" s="28">
        <f t="shared" si="17"/>
        <v>0.27961123130965915</v>
      </c>
      <c r="D39" s="28">
        <f t="shared" si="18"/>
        <v>2.9410743148883247</v>
      </c>
      <c r="E39" s="28">
        <f t="shared" si="1"/>
        <v>1.4816678555962986E-3</v>
      </c>
      <c r="F39" s="28">
        <f t="shared" si="19"/>
        <v>0.27961123130965915</v>
      </c>
      <c r="G39" s="28">
        <f t="shared" si="2"/>
        <v>6.8611462149782504E-2</v>
      </c>
      <c r="H39" s="28">
        <f t="shared" si="3"/>
        <v>3.5147356959257605E-4</v>
      </c>
      <c r="I39" s="28">
        <f t="shared" si="20"/>
        <v>7.8013469462699841E-6</v>
      </c>
      <c r="J39" s="28">
        <f t="shared" si="4"/>
        <v>1.1576523129403986E-2</v>
      </c>
      <c r="K39" s="28">
        <f t="shared" si="5"/>
        <v>1.4848487524730385E-2</v>
      </c>
      <c r="L39" s="28">
        <f t="shared" si="6"/>
        <v>3.0857143085336915E-4</v>
      </c>
      <c r="M39" s="28">
        <f t="shared" si="7"/>
        <v>2.8496424349289655E-4</v>
      </c>
      <c r="N39" s="28">
        <f t="shared" si="8"/>
        <v>1.2411482523754817E-3</v>
      </c>
      <c r="O39" s="28">
        <f t="shared" si="9"/>
        <v>7.2542093857883065E-5</v>
      </c>
      <c r="P39" s="28">
        <f t="shared" si="10"/>
        <v>3.4785682044647228E-8</v>
      </c>
      <c r="Q39" s="28">
        <f t="shared" si="11"/>
        <v>1.2183574086463574E-4</v>
      </c>
      <c r="R39" s="28">
        <f t="shared" si="12"/>
        <v>3.7504380436313006E-4</v>
      </c>
      <c r="S39" s="28">
        <f t="shared" si="13"/>
        <v>5.5911184663516258E-6</v>
      </c>
      <c r="T39" s="28">
        <f t="shared" si="14"/>
        <v>5.5911184663516258E-6</v>
      </c>
      <c r="U39" s="28">
        <f t="shared" si="15"/>
        <v>8.0894579339953936E-4</v>
      </c>
      <c r="V39" s="29">
        <f t="shared" si="16"/>
        <v>3.1692972686790785E-4</v>
      </c>
    </row>
    <row r="40" spans="2:22" x14ac:dyDescent="0.25">
      <c r="B40" s="67">
        <f t="shared" si="0"/>
        <v>800</v>
      </c>
      <c r="C40" s="28">
        <f t="shared" si="17"/>
        <v>0.26486051585668813</v>
      </c>
      <c r="D40" s="28">
        <f t="shared" si="18"/>
        <v>2.7606528805365298</v>
      </c>
      <c r="E40" s="28">
        <f t="shared" si="1"/>
        <v>1.3573437618245557E-3</v>
      </c>
      <c r="F40" s="28">
        <f t="shared" si="19"/>
        <v>0.26486051585668813</v>
      </c>
      <c r="G40" s="28">
        <f t="shared" si="2"/>
        <v>6.4453352763241725E-2</v>
      </c>
      <c r="H40" s="28">
        <f t="shared" si="3"/>
        <v>3.237036651304016E-4</v>
      </c>
      <c r="I40" s="28">
        <f t="shared" si="20"/>
        <v>7.0635960009503154E-6</v>
      </c>
      <c r="J40" s="28">
        <f t="shared" si="4"/>
        <v>1.0477141009775459E-2</v>
      </c>
      <c r="K40" s="28">
        <f t="shared" si="5"/>
        <v>1.3844743213912058E-2</v>
      </c>
      <c r="L40" s="28">
        <f t="shared" si="6"/>
        <v>2.8261107858752391E-4</v>
      </c>
      <c r="M40" s="28">
        <f t="shared" si="7"/>
        <v>2.6827668504265494E-4</v>
      </c>
      <c r="N40" s="28">
        <f t="shared" si="8"/>
        <v>1.1486218299268545E-3</v>
      </c>
      <c r="O40" s="28">
        <f t="shared" si="9"/>
        <v>6.8116300081559085E-5</v>
      </c>
      <c r="P40" s="28">
        <f t="shared" si="10"/>
        <v>3.2691930127917139E-8</v>
      </c>
      <c r="Q40" s="28">
        <f t="shared" si="11"/>
        <v>1.1157119614271561E-4</v>
      </c>
      <c r="R40" s="28">
        <f t="shared" si="12"/>
        <v>3.3960518137427528E-4</v>
      </c>
      <c r="S40" s="28">
        <f t="shared" si="13"/>
        <v>5.0951027877138808E-6</v>
      </c>
      <c r="T40" s="28">
        <f t="shared" si="14"/>
        <v>5.0951027877138808E-6</v>
      </c>
      <c r="U40" s="28">
        <f t="shared" si="15"/>
        <v>7.3057631695162264E-4</v>
      </c>
      <c r="V40" s="29">
        <f t="shared" si="16"/>
        <v>2.9017547662685966E-4</v>
      </c>
    </row>
    <row r="41" spans="2:22" x14ac:dyDescent="0.25">
      <c r="B41" s="67">
        <f t="shared" si="0"/>
        <v>900</v>
      </c>
      <c r="C41" s="28">
        <f t="shared" si="17"/>
        <v>0.25274519146671054</v>
      </c>
      <c r="D41" s="28">
        <f t="shared" si="18"/>
        <v>2.614276227430576</v>
      </c>
      <c r="E41" s="28">
        <f t="shared" si="1"/>
        <v>1.2588059928960163E-3</v>
      </c>
      <c r="F41" s="28">
        <f t="shared" si="19"/>
        <v>0.25274519146671054</v>
      </c>
      <c r="G41" s="28">
        <f t="shared" si="2"/>
        <v>6.1076496970039168E-2</v>
      </c>
      <c r="H41" s="28">
        <f t="shared" si="3"/>
        <v>3.0159074665765581E-4</v>
      </c>
      <c r="I41" s="28">
        <f t="shared" si="20"/>
        <v>6.4821947819766561E-6</v>
      </c>
      <c r="J41" s="28">
        <f t="shared" si="4"/>
        <v>9.6102187541782392E-3</v>
      </c>
      <c r="K41" s="28">
        <f t="shared" si="5"/>
        <v>1.303653935282802E-2</v>
      </c>
      <c r="L41" s="28">
        <f t="shared" si="6"/>
        <v>2.6201910031995921E-4</v>
      </c>
      <c r="M41" s="28">
        <f t="shared" si="7"/>
        <v>2.5505271184423191E-4</v>
      </c>
      <c r="N41" s="28">
        <f t="shared" si="8"/>
        <v>1.0746463143279765E-3</v>
      </c>
      <c r="O41" s="28">
        <f t="shared" si="9"/>
        <v>6.4523992807946984E-5</v>
      </c>
      <c r="P41" s="28">
        <f t="shared" si="10"/>
        <v>3.0990600352162161E-8</v>
      </c>
      <c r="Q41" s="28">
        <f t="shared" si="11"/>
        <v>1.0342790655088212E-4</v>
      </c>
      <c r="R41" s="28">
        <f t="shared" si="12"/>
        <v>3.1166965080457791E-4</v>
      </c>
      <c r="S41" s="28">
        <f t="shared" si="13"/>
        <v>4.7026186187201289E-6</v>
      </c>
      <c r="T41" s="28">
        <f t="shared" si="14"/>
        <v>4.7026186187201289E-6</v>
      </c>
      <c r="U41" s="28">
        <f t="shared" si="15"/>
        <v>6.6888768280493115E-4</v>
      </c>
      <c r="V41" s="29">
        <f t="shared" si="16"/>
        <v>2.689514920278562E-4</v>
      </c>
    </row>
    <row r="42" spans="2:22" x14ac:dyDescent="0.25">
      <c r="B42" s="67">
        <f t="shared" si="0"/>
        <v>1000</v>
      </c>
      <c r="C42" s="28">
        <f t="shared" si="17"/>
        <v>0.24247801683448342</v>
      </c>
      <c r="D42" s="28">
        <f t="shared" si="18"/>
        <v>2.491762650117606</v>
      </c>
      <c r="E42" s="28">
        <f t="shared" si="1"/>
        <v>1.1783283644118882E-3</v>
      </c>
      <c r="F42" s="28">
        <f t="shared" si="19"/>
        <v>0.24247801683448342</v>
      </c>
      <c r="G42" s="28">
        <f t="shared" si="2"/>
        <v>5.8247267579586613E-2</v>
      </c>
      <c r="H42" s="28">
        <f t="shared" si="3"/>
        <v>2.8344041866734264E-4</v>
      </c>
      <c r="I42" s="28">
        <f t="shared" si="20"/>
        <v>6.0102782434410634E-6</v>
      </c>
      <c r="J42" s="28">
        <f t="shared" si="4"/>
        <v>8.9060805732449691E-3</v>
      </c>
      <c r="K42" s="28">
        <f t="shared" si="5"/>
        <v>1.2365358139246493E-2</v>
      </c>
      <c r="L42" s="28">
        <f t="shared" si="6"/>
        <v>2.4518708833477532E-4</v>
      </c>
      <c r="M42" s="28">
        <f t="shared" si="7"/>
        <v>2.4425484601962817E-4</v>
      </c>
      <c r="N42" s="28">
        <f t="shared" si="8"/>
        <v>1.0136669850989411E-3</v>
      </c>
      <c r="O42" s="28">
        <f t="shared" si="9"/>
        <v>6.1515913004535726E-5</v>
      </c>
      <c r="P42" s="28">
        <f t="shared" si="10"/>
        <v>2.9564348230130518E-8</v>
      </c>
      <c r="Q42" s="28">
        <f t="shared" si="11"/>
        <v>9.6770333620699111E-5</v>
      </c>
      <c r="R42" s="28">
        <f t="shared" si="12"/>
        <v>2.8898823728973615E-4</v>
      </c>
      <c r="S42" s="28">
        <f t="shared" si="13"/>
        <v>4.3826416229364184E-6</v>
      </c>
      <c r="T42" s="28">
        <f t="shared" si="14"/>
        <v>4.3826416229364184E-6</v>
      </c>
      <c r="U42" s="28">
        <f t="shared" si="15"/>
        <v>6.188794917277975E-4</v>
      </c>
      <c r="V42" s="29">
        <f t="shared" si="16"/>
        <v>2.516008710744838E-4</v>
      </c>
    </row>
    <row r="43" spans="2:22" x14ac:dyDescent="0.25">
      <c r="B43" s="67">
        <f t="shared" si="0"/>
        <v>1200</v>
      </c>
      <c r="C43" s="28">
        <f t="shared" si="17"/>
        <v>0.22912268671987698</v>
      </c>
      <c r="D43" s="28">
        <f t="shared" si="18"/>
        <v>2.3281418789114481</v>
      </c>
      <c r="E43" s="28">
        <f t="shared" si="1"/>
        <v>1.0622846819606597E-3</v>
      </c>
      <c r="F43" s="28">
        <f t="shared" si="19"/>
        <v>0.22912268671987698</v>
      </c>
      <c r="G43" s="28">
        <f t="shared" si="2"/>
        <v>5.4479174993880893E-2</v>
      </c>
      <c r="H43" s="28">
        <f t="shared" si="3"/>
        <v>2.5783309760116446E-4</v>
      </c>
      <c r="I43" s="28">
        <f t="shared" si="20"/>
        <v>5.3268244618984107E-6</v>
      </c>
      <c r="J43" s="28">
        <f t="shared" si="4"/>
        <v>7.9034686529145214E-3</v>
      </c>
      <c r="K43" s="28">
        <f t="shared" si="5"/>
        <v>1.1449954261817094E-2</v>
      </c>
      <c r="L43" s="28">
        <f t="shared" si="6"/>
        <v>2.2118175365920466E-4</v>
      </c>
      <c r="M43" s="28">
        <f t="shared" si="7"/>
        <v>2.2812412712869176E-4</v>
      </c>
      <c r="N43" s="28">
        <f t="shared" si="8"/>
        <v>9.287490104732942E-4</v>
      </c>
      <c r="O43" s="28">
        <f t="shared" si="9"/>
        <v>5.7504010142171686E-5</v>
      </c>
      <c r="P43" s="28">
        <f t="shared" si="10"/>
        <v>2.7667827590736991E-8</v>
      </c>
      <c r="Q43" s="28">
        <f t="shared" si="11"/>
        <v>8.726562783823752E-5</v>
      </c>
      <c r="R43" s="28">
        <f t="shared" si="12"/>
        <v>2.5611043625796339E-4</v>
      </c>
      <c r="S43" s="28">
        <f t="shared" si="13"/>
        <v>3.925988461538855E-6</v>
      </c>
      <c r="T43" s="28">
        <f t="shared" si="14"/>
        <v>3.925988461538855E-6</v>
      </c>
      <c r="U43" s="28">
        <f t="shared" si="15"/>
        <v>5.4630941123161639E-4</v>
      </c>
      <c r="V43" s="29">
        <f t="shared" si="16"/>
        <v>2.2695258891688378E-4</v>
      </c>
    </row>
    <row r="44" spans="2:22" x14ac:dyDescent="0.25">
      <c r="B44" s="67">
        <f t="shared" si="0"/>
        <v>1400</v>
      </c>
      <c r="C44" s="28">
        <f t="shared" si="17"/>
        <v>0.21878430390377454</v>
      </c>
      <c r="D44" s="28">
        <f t="shared" si="18"/>
        <v>2.2037539883925663</v>
      </c>
      <c r="E44" s="28">
        <f t="shared" si="1"/>
        <v>9.7701742385223906E-4</v>
      </c>
      <c r="F44" s="28">
        <f t="shared" si="19"/>
        <v>0.21878430390377454</v>
      </c>
      <c r="G44" s="28">
        <f t="shared" si="2"/>
        <v>5.1610293401472204E-2</v>
      </c>
      <c r="H44" s="28">
        <f t="shared" si="3"/>
        <v>2.3889742627270012E-4</v>
      </c>
      <c r="I44" s="28">
        <f t="shared" si="20"/>
        <v>4.8291514132049931E-6</v>
      </c>
      <c r="J44" s="28">
        <f t="shared" si="4"/>
        <v>7.1725606061649929E-3</v>
      </c>
      <c r="K44" s="28">
        <f t="shared" si="5"/>
        <v>1.0761889795192174E-2</v>
      </c>
      <c r="L44" s="28">
        <f t="shared" si="6"/>
        <v>2.0353216339764999E-4</v>
      </c>
      <c r="M44" s="28">
        <f t="shared" si="7"/>
        <v>2.162692194065261E-4</v>
      </c>
      <c r="N44" s="28">
        <f t="shared" si="8"/>
        <v>8.6558605168260058E-4</v>
      </c>
      <c r="O44" s="28">
        <f t="shared" si="9"/>
        <v>5.4451985997515308E-5</v>
      </c>
      <c r="P44" s="28">
        <f t="shared" si="10"/>
        <v>2.6222654310764422E-8</v>
      </c>
      <c r="Q44" s="28">
        <f t="shared" si="11"/>
        <v>8.0278161978148294E-5</v>
      </c>
      <c r="R44" s="28">
        <f t="shared" si="12"/>
        <v>2.3216458082025459E-4</v>
      </c>
      <c r="S44" s="28">
        <f t="shared" si="13"/>
        <v>3.5915011102599513E-6</v>
      </c>
      <c r="T44" s="28">
        <f t="shared" si="14"/>
        <v>3.5915011102599513E-6</v>
      </c>
      <c r="U44" s="28">
        <f t="shared" si="15"/>
        <v>4.935605781806752E-4</v>
      </c>
      <c r="V44" s="29">
        <f t="shared" si="16"/>
        <v>2.0883054602484577E-4</v>
      </c>
    </row>
    <row r="45" spans="2:22" x14ac:dyDescent="0.25">
      <c r="B45" s="67">
        <f t="shared" si="0"/>
        <v>1600</v>
      </c>
      <c r="C45" s="28">
        <f t="shared" si="17"/>
        <v>0.21033958327491267</v>
      </c>
      <c r="D45" s="28">
        <f t="shared" si="18"/>
        <v>2.1039624551905556</v>
      </c>
      <c r="E45" s="28">
        <f t="shared" si="1"/>
        <v>9.1100955648446837E-4</v>
      </c>
      <c r="F45" s="28">
        <f t="shared" si="19"/>
        <v>0.21033958327491267</v>
      </c>
      <c r="G45" s="28">
        <f t="shared" si="2"/>
        <v>4.9305207822427567E-2</v>
      </c>
      <c r="H45" s="28">
        <f t="shared" si="3"/>
        <v>2.2413804747703953E-4</v>
      </c>
      <c r="I45" s="28">
        <f t="shared" si="20"/>
        <v>4.4476871381923039E-6</v>
      </c>
      <c r="J45" s="28">
        <f t="shared" si="4"/>
        <v>6.6116163801725938E-3</v>
      </c>
      <c r="K45" s="28">
        <f t="shared" si="5"/>
        <v>1.0216257479700827E-2</v>
      </c>
      <c r="L45" s="28">
        <f t="shared" si="6"/>
        <v>1.8985999361671409E-4</v>
      </c>
      <c r="M45" s="28">
        <f t="shared" si="7"/>
        <v>2.0709076358150369E-4</v>
      </c>
      <c r="N45" s="28">
        <f t="shared" si="8"/>
        <v>8.1604527975454391E-4</v>
      </c>
      <c r="O45" s="28">
        <f t="shared" si="9"/>
        <v>5.200176586468995E-5</v>
      </c>
      <c r="P45" s="28">
        <f t="shared" si="10"/>
        <v>2.5060486073590352E-8</v>
      </c>
      <c r="Q45" s="28">
        <f t="shared" si="11"/>
        <v>7.4865972259976341E-5</v>
      </c>
      <c r="R45" s="28">
        <f t="shared" si="12"/>
        <v>2.1380584876346987E-4</v>
      </c>
      <c r="S45" s="28">
        <f t="shared" si="13"/>
        <v>3.3334511761436338E-6</v>
      </c>
      <c r="T45" s="28">
        <f t="shared" si="14"/>
        <v>3.3334511761436338E-6</v>
      </c>
      <c r="U45" s="28">
        <f t="shared" si="15"/>
        <v>4.5320923452795472E-4</v>
      </c>
      <c r="V45" s="29">
        <f t="shared" si="16"/>
        <v>1.94792608898478E-4</v>
      </c>
    </row>
    <row r="46" spans="2:22" x14ac:dyDescent="0.25">
      <c r="B46" s="67">
        <f t="shared" si="0"/>
        <v>1800</v>
      </c>
      <c r="C46" s="28">
        <f t="shared" si="17"/>
        <v>0.20316436679087774</v>
      </c>
      <c r="D46" s="28">
        <f t="shared" si="18"/>
        <v>2.0206348369834721</v>
      </c>
      <c r="E46" s="28">
        <f t="shared" si="1"/>
        <v>8.5786239672606805E-4</v>
      </c>
      <c r="F46" s="28">
        <f t="shared" si="19"/>
        <v>0.20316436679087774</v>
      </c>
      <c r="G46" s="28">
        <f t="shared" si="2"/>
        <v>4.7377552045250897E-2</v>
      </c>
      <c r="H46" s="28">
        <f t="shared" si="3"/>
        <v>2.1216856228528362E-4</v>
      </c>
      <c r="I46" s="28">
        <f t="shared" si="20"/>
        <v>4.1437792333482301E-6</v>
      </c>
      <c r="J46" s="28">
        <f t="shared" si="4"/>
        <v>6.1641116796950206E-3</v>
      </c>
      <c r="K46" s="28">
        <f t="shared" si="5"/>
        <v>9.7658818801298966E-3</v>
      </c>
      <c r="L46" s="28">
        <f t="shared" si="6"/>
        <v>1.7884388351531918E-4</v>
      </c>
      <c r="M46" s="28">
        <f t="shared" si="7"/>
        <v>1.9970017108824446E-4</v>
      </c>
      <c r="N46" s="28">
        <f t="shared" si="8"/>
        <v>7.7560810909973847E-4</v>
      </c>
      <c r="O46" s="28">
        <f t="shared" si="9"/>
        <v>4.9954393551114735E-5</v>
      </c>
      <c r="P46" s="28">
        <f t="shared" si="10"/>
        <v>2.4087786839838949E-8</v>
      </c>
      <c r="Q46" s="28">
        <f t="shared" si="11"/>
        <v>7.0505718005979681E-5</v>
      </c>
      <c r="R46" s="28">
        <f t="shared" si="12"/>
        <v>1.9917594160194724E-4</v>
      </c>
      <c r="S46" s="28">
        <f t="shared" si="13"/>
        <v>3.1264328464723672E-6</v>
      </c>
      <c r="T46" s="28">
        <f t="shared" si="14"/>
        <v>3.1264328464723672E-6</v>
      </c>
      <c r="U46" s="28">
        <f t="shared" si="15"/>
        <v>4.2113094384351965E-4</v>
      </c>
      <c r="V46" s="29">
        <f t="shared" si="16"/>
        <v>1.8348196524898869E-4</v>
      </c>
    </row>
    <row r="47" spans="2:22" x14ac:dyDescent="0.25">
      <c r="B47" s="67">
        <f t="shared" si="0"/>
        <v>2000</v>
      </c>
      <c r="C47" s="28">
        <f t="shared" si="17"/>
        <v>0.196884061860327</v>
      </c>
      <c r="D47" s="28">
        <f t="shared" si="18"/>
        <v>1.9488907499783601</v>
      </c>
      <c r="E47" s="28">
        <f t="shared" si="1"/>
        <v>8.137364424112743E-4</v>
      </c>
      <c r="F47" s="28">
        <f t="shared" si="19"/>
        <v>0.196884061860327</v>
      </c>
      <c r="G47" s="28">
        <f t="shared" si="2"/>
        <v>4.5715484667600517E-2</v>
      </c>
      <c r="H47" s="28">
        <f t="shared" si="3"/>
        <v>2.0215705245308304E-4</v>
      </c>
      <c r="I47" s="28">
        <f t="shared" si="20"/>
        <v>3.8942350957462791E-6</v>
      </c>
      <c r="J47" s="28">
        <f t="shared" si="4"/>
        <v>5.7961301236462322E-3</v>
      </c>
      <c r="K47" s="28">
        <f t="shared" si="5"/>
        <v>9.3824535554401615E-3</v>
      </c>
      <c r="L47" s="28">
        <f t="shared" si="6"/>
        <v>1.6969095506516244E-4</v>
      </c>
      <c r="M47" s="28">
        <f t="shared" si="7"/>
        <v>1.9356423967708088E-4</v>
      </c>
      <c r="N47" s="28">
        <f t="shared" si="8"/>
        <v>7.4156308182973753E-4</v>
      </c>
      <c r="O47" s="28">
        <f t="shared" si="9"/>
        <v>4.819047256732739E-5</v>
      </c>
      <c r="P47" s="28">
        <f t="shared" si="10"/>
        <v>2.324842392558897E-8</v>
      </c>
      <c r="Q47" s="28">
        <f t="shared" si="11"/>
        <v>6.6883370565073123E-5</v>
      </c>
      <c r="R47" s="28">
        <f t="shared" si="12"/>
        <v>1.8715982381993515E-4</v>
      </c>
      <c r="S47" s="28">
        <f t="shared" si="13"/>
        <v>2.9552016185477909E-6</v>
      </c>
      <c r="T47" s="28">
        <f t="shared" si="14"/>
        <v>2.9552016185477909E-6</v>
      </c>
      <c r="U47" s="28">
        <f t="shared" si="15"/>
        <v>3.9485093269336799E-4</v>
      </c>
      <c r="V47" s="29">
        <f t="shared" si="16"/>
        <v>1.7408446462965953E-4</v>
      </c>
    </row>
    <row r="48" spans="2:22" x14ac:dyDescent="0.25">
      <c r="B48" s="67">
        <f t="shared" si="0"/>
        <v>3000</v>
      </c>
      <c r="C48" s="28">
        <f t="shared" si="17"/>
        <v>0.17000602183951546</v>
      </c>
      <c r="D48" s="28">
        <f t="shared" si="18"/>
        <v>1.6557407499827659</v>
      </c>
      <c r="E48" s="28">
        <f t="shared" si="1"/>
        <v>6.4336768745985461E-4</v>
      </c>
      <c r="F48" s="28">
        <f t="shared" si="19"/>
        <v>0.17000602183951546</v>
      </c>
      <c r="G48" s="28">
        <f t="shared" si="2"/>
        <v>3.8891790764459297E-2</v>
      </c>
      <c r="H48" s="28">
        <f t="shared" si="3"/>
        <v>1.6456587160929581E-4</v>
      </c>
      <c r="I48" s="28">
        <f t="shared" si="20"/>
        <v>3.0392058938039738E-6</v>
      </c>
      <c r="J48" s="28">
        <f t="shared" si="4"/>
        <v>4.5175144928819898E-3</v>
      </c>
      <c r="K48" s="28">
        <f t="shared" si="5"/>
        <v>7.8749818817016575E-3</v>
      </c>
      <c r="L48" s="28">
        <f t="shared" si="6"/>
        <v>1.3609590293955741E-4</v>
      </c>
      <c r="M48" s="28">
        <f t="shared" si="7"/>
        <v>1.7127026510284612E-4</v>
      </c>
      <c r="N48" s="28">
        <f t="shared" si="8"/>
        <v>6.1210276601621867E-4</v>
      </c>
      <c r="O48" s="28">
        <f t="shared" si="9"/>
        <v>4.0970779206332916E-5</v>
      </c>
      <c r="P48" s="28">
        <f t="shared" si="10"/>
        <v>1.9793449758033258E-8</v>
      </c>
      <c r="Q48" s="28">
        <f t="shared" si="11"/>
        <v>5.3644105371123343E-5</v>
      </c>
      <c r="R48" s="28">
        <f t="shared" si="12"/>
        <v>1.4496104559118511E-4</v>
      </c>
      <c r="S48" s="28">
        <f t="shared" si="13"/>
        <v>2.3339683748391016E-6</v>
      </c>
      <c r="T48" s="28">
        <f t="shared" si="14"/>
        <v>2.3339683748391016E-6</v>
      </c>
      <c r="U48" s="28">
        <f t="shared" si="15"/>
        <v>3.0650113942993812E-4</v>
      </c>
      <c r="V48" s="29">
        <f t="shared" si="16"/>
        <v>1.4049409720793898E-4</v>
      </c>
    </row>
    <row r="49" spans="2:23" x14ac:dyDescent="0.25">
      <c r="B49" s="67">
        <f t="shared" si="0"/>
        <v>4000</v>
      </c>
      <c r="C49" s="28">
        <f t="shared" si="17"/>
        <v>0.15081105863492428</v>
      </c>
      <c r="D49" s="28">
        <f t="shared" si="18"/>
        <v>1.4552374722029529</v>
      </c>
      <c r="E49" s="28">
        <f t="shared" si="1"/>
        <v>5.3536073587969965E-4</v>
      </c>
      <c r="F49" s="28">
        <f t="shared" si="19"/>
        <v>0.15081105863492428</v>
      </c>
      <c r="G49" s="28">
        <f t="shared" si="2"/>
        <v>3.420779733601316E-2</v>
      </c>
      <c r="H49" s="28">
        <f t="shared" si="3"/>
        <v>1.4076992543192576E-4</v>
      </c>
      <c r="I49" s="28">
        <f t="shared" si="20"/>
        <v>2.5401264346141281E-6</v>
      </c>
      <c r="J49" s="28">
        <f t="shared" si="4"/>
        <v>3.7730658407845023E-3</v>
      </c>
      <c r="K49" s="28">
        <f t="shared" si="5"/>
        <v>6.8747016615299666E-3</v>
      </c>
      <c r="L49" s="28">
        <f t="shared" si="6"/>
        <v>1.1537403195459623E-4</v>
      </c>
      <c r="M49" s="28">
        <f t="shared" si="7"/>
        <v>1.5795179810407565E-4</v>
      </c>
      <c r="N49" s="28">
        <f t="shared" si="8"/>
        <v>5.2880643206825709E-4</v>
      </c>
      <c r="O49" s="28">
        <f t="shared" si="9"/>
        <v>3.6025469612003881E-5</v>
      </c>
      <c r="P49" s="28">
        <f t="shared" si="10"/>
        <v>1.7417139949104726E-8</v>
      </c>
      <c r="Q49" s="28">
        <f t="shared" si="11"/>
        <v>4.5625372789008489E-5</v>
      </c>
      <c r="R49" s="28">
        <f t="shared" si="12"/>
        <v>1.2068642692751122E-4</v>
      </c>
      <c r="S49" s="28">
        <f t="shared" si="13"/>
        <v>1.9662042963675384E-6</v>
      </c>
      <c r="T49" s="28">
        <f t="shared" si="14"/>
        <v>1.9662042963675384E-6</v>
      </c>
      <c r="U49" s="28">
        <f t="shared" si="15"/>
        <v>2.5575579820309567E-4</v>
      </c>
      <c r="V49" s="29">
        <f t="shared" si="16"/>
        <v>1.1997519020228254E-4</v>
      </c>
    </row>
    <row r="50" spans="2:23" x14ac:dyDescent="0.25">
      <c r="B50" s="67">
        <f t="shared" si="0"/>
        <v>5000</v>
      </c>
      <c r="C50" s="28">
        <f t="shared" si="17"/>
        <v>0.13592645911813328</v>
      </c>
      <c r="D50" s="28">
        <f t="shared" si="18"/>
        <v>1.3021147472080348</v>
      </c>
      <c r="E50" s="28">
        <f t="shared" si="1"/>
        <v>4.4103428941398375E-4</v>
      </c>
      <c r="F50" s="28">
        <f t="shared" si="19"/>
        <v>0.13592645911813328</v>
      </c>
      <c r="G50" s="28">
        <f t="shared" si="2"/>
        <v>3.0624920327699381E-2</v>
      </c>
      <c r="H50" s="28">
        <f t="shared" si="3"/>
        <v>1.224303514290151E-4</v>
      </c>
      <c r="I50" s="28">
        <f t="shared" si="20"/>
        <v>2.1877167375053003E-6</v>
      </c>
      <c r="J50" s="28">
        <f t="shared" si="4"/>
        <v>3.2530103528349398E-3</v>
      </c>
      <c r="K50" s="28">
        <f t="shared" si="5"/>
        <v>6.1214423727051319E-3</v>
      </c>
      <c r="L50" s="28">
        <f t="shared" si="6"/>
        <v>9.9671071527505302E-5</v>
      </c>
      <c r="M50" s="28">
        <f t="shared" si="7"/>
        <v>1.5437644977360062E-4</v>
      </c>
      <c r="N50" s="28">
        <f t="shared" si="8"/>
        <v>4.6596319901427079E-4</v>
      </c>
      <c r="O50" s="28">
        <f t="shared" si="9"/>
        <v>3.2250547704132635E-5</v>
      </c>
      <c r="P50" s="28">
        <f t="shared" si="10"/>
        <v>1.5598239541545411E-8</v>
      </c>
      <c r="Q50" s="28">
        <f t="shared" si="11"/>
        <v>4.0014486152022976E-5</v>
      </c>
      <c r="R50" s="28">
        <f t="shared" si="12"/>
        <v>1.044355021882728E-4</v>
      </c>
      <c r="S50" s="28">
        <f t="shared" si="13"/>
        <v>1.7130302031280467E-6</v>
      </c>
      <c r="T50" s="28">
        <f t="shared" si="14"/>
        <v>1.7130302031280467E-6</v>
      </c>
      <c r="U50" s="28">
        <f t="shared" si="15"/>
        <v>2.2125806989381873E-4</v>
      </c>
      <c r="V50" s="29">
        <f t="shared" si="16"/>
        <v>1.0534211068166141E-4</v>
      </c>
    </row>
    <row r="51" spans="2:23" x14ac:dyDescent="0.25">
      <c r="B51" s="67">
        <f t="shared" si="0"/>
        <v>6000</v>
      </c>
      <c r="C51" s="28">
        <f t="shared" si="17"/>
        <v>0.12774937596590863</v>
      </c>
      <c r="D51" s="28">
        <f t="shared" si="18"/>
        <v>1.2166301038185672</v>
      </c>
      <c r="E51" s="28">
        <f t="shared" si="1"/>
        <v>3.7536345455098364E-4</v>
      </c>
      <c r="F51" s="28">
        <f t="shared" si="19"/>
        <v>0.12774937596590863</v>
      </c>
      <c r="G51" s="28">
        <f t="shared" si="2"/>
        <v>2.8628913555235336E-2</v>
      </c>
      <c r="H51" s="28">
        <f t="shared" si="3"/>
        <v>1.1111554160118797E-4</v>
      </c>
      <c r="I51" s="28">
        <f t="shared" si="20"/>
        <v>1.9690984825582275E-6</v>
      </c>
      <c r="J51" s="28">
        <f t="shared" si="4"/>
        <v>2.9431787724297242E-3</v>
      </c>
      <c r="K51" s="28">
        <f t="shared" si="5"/>
        <v>5.6933042779973592E-3</v>
      </c>
      <c r="L51" s="28">
        <f t="shared" si="6"/>
        <v>8.9925177711739385E-5</v>
      </c>
      <c r="M51" s="28">
        <f t="shared" si="7"/>
        <v>1.5718229320802558E-4</v>
      </c>
      <c r="N51" s="28">
        <f t="shared" si="8"/>
        <v>4.2882133238450048E-4</v>
      </c>
      <c r="O51" s="28">
        <f t="shared" si="9"/>
        <v>3.0147974692579781E-5</v>
      </c>
      <c r="P51" s="28">
        <f t="shared" si="10"/>
        <v>1.4586383204260139E-8</v>
      </c>
      <c r="Q51" s="28">
        <f t="shared" si="11"/>
        <v>3.6839835374492749E-5</v>
      </c>
      <c r="R51" s="28">
        <f t="shared" si="12"/>
        <v>9.5219536470232222E-5</v>
      </c>
      <c r="S51" s="28">
        <f t="shared" si="13"/>
        <v>1.5720294507635058E-6</v>
      </c>
      <c r="T51" s="28">
        <f t="shared" si="14"/>
        <v>1.5720294507635058E-6</v>
      </c>
      <c r="U51" s="28">
        <f t="shared" si="15"/>
        <v>2.0025005987419625E-4</v>
      </c>
      <c r="V51" s="29">
        <f t="shared" si="16"/>
        <v>9.6699048956144521E-5</v>
      </c>
    </row>
    <row r="52" spans="2:23" x14ac:dyDescent="0.25">
      <c r="B52" s="67">
        <f t="shared" si="0"/>
        <v>7000</v>
      </c>
      <c r="C52" s="28">
        <f t="shared" si="17"/>
        <v>0.12648781389091604</v>
      </c>
      <c r="D52" s="28">
        <f t="shared" si="18"/>
        <v>1.2004464148304521</v>
      </c>
      <c r="E52" s="28">
        <f t="shared" si="1"/>
        <v>3.5762975688512227E-4</v>
      </c>
      <c r="F52" s="28">
        <f t="shared" si="19"/>
        <v>0.12648781389091604</v>
      </c>
      <c r="G52" s="28">
        <f t="shared" si="2"/>
        <v>2.8260708187899854E-2</v>
      </c>
      <c r="H52" s="28">
        <f t="shared" si="3"/>
        <v>1.0785295439231913E-4</v>
      </c>
      <c r="I52" s="28">
        <f t="shared" si="20"/>
        <v>1.878486424496594E-6</v>
      </c>
      <c r="J52" s="28">
        <f t="shared" si="4"/>
        <v>2.8269821270887289E-3</v>
      </c>
      <c r="K52" s="28">
        <f t="shared" si="5"/>
        <v>5.5945914007071718E-3</v>
      </c>
      <c r="L52" s="28">
        <f t="shared" si="6"/>
        <v>8.6822319820556692E-5</v>
      </c>
      <c r="M52" s="28">
        <f t="shared" si="7"/>
        <v>1.557991142934219E-4</v>
      </c>
      <c r="N52" s="28">
        <f t="shared" si="8"/>
        <v>4.1874610410258848E-4</v>
      </c>
      <c r="O52" s="28">
        <f t="shared" si="9"/>
        <v>2.975425905216665E-5</v>
      </c>
      <c r="P52" s="28">
        <f t="shared" si="10"/>
        <v>1.4402435185172098E-8</v>
      </c>
      <c r="Q52" s="28">
        <f t="shared" si="11"/>
        <v>3.5730678256714246E-5</v>
      </c>
      <c r="R52" s="28">
        <f t="shared" si="12"/>
        <v>9.1314477122039794E-5</v>
      </c>
      <c r="S52" s="28">
        <f t="shared" si="13"/>
        <v>1.5220289802034843E-6</v>
      </c>
      <c r="T52" s="28">
        <f t="shared" si="14"/>
        <v>1.5220289802034843E-6</v>
      </c>
      <c r="U52" s="28">
        <f t="shared" si="15"/>
        <v>1.9074513262288661E-4</v>
      </c>
      <c r="V52" s="29">
        <f t="shared" si="16"/>
        <v>9.365952833255634E-5</v>
      </c>
    </row>
    <row r="53" spans="2:23" x14ac:dyDescent="0.25">
      <c r="B53" s="67">
        <f t="shared" si="0"/>
        <v>8000</v>
      </c>
      <c r="C53" s="28">
        <f t="shared" si="17"/>
        <v>0.12549615007410436</v>
      </c>
      <c r="D53" s="28">
        <f t="shared" si="18"/>
        <v>1.1878380018085004</v>
      </c>
      <c r="E53" s="28">
        <f t="shared" si="1"/>
        <v>3.4363629346299178E-4</v>
      </c>
      <c r="F53" s="28">
        <f t="shared" si="19"/>
        <v>0.12549615007410436</v>
      </c>
      <c r="G53" s="28">
        <f t="shared" si="2"/>
        <v>2.7973509016209267E-2</v>
      </c>
      <c r="H53" s="28">
        <f t="shared" si="3"/>
        <v>1.0532967540241514E-4</v>
      </c>
      <c r="I53" s="28">
        <f t="shared" si="20"/>
        <v>1.8095954531126074E-6</v>
      </c>
      <c r="J53" s="28">
        <f t="shared" si="4"/>
        <v>2.738690727740958E-3</v>
      </c>
      <c r="K53" s="28">
        <f t="shared" si="5"/>
        <v>5.5183054792911487E-3</v>
      </c>
      <c r="L53" s="28">
        <f t="shared" si="6"/>
        <v>8.443191547206879E-5</v>
      </c>
      <c r="M53" s="28">
        <f t="shared" si="7"/>
        <v>1.5498926859111429E-4</v>
      </c>
      <c r="N53" s="28">
        <f t="shared" si="8"/>
        <v>4.1097703429970222E-4</v>
      </c>
      <c r="O53" s="28">
        <f t="shared" si="9"/>
        <v>2.9447482279205153E-5</v>
      </c>
      <c r="P53" s="28">
        <f t="shared" si="10"/>
        <v>1.425886953323845E-8</v>
      </c>
      <c r="Q53" s="28">
        <f t="shared" si="11"/>
        <v>3.4886202409943838E-5</v>
      </c>
      <c r="R53" s="28">
        <f t="shared" si="12"/>
        <v>8.8357703403249934E-5</v>
      </c>
      <c r="S53" s="28">
        <f t="shared" si="13"/>
        <v>1.4840231507139126E-6</v>
      </c>
      <c r="T53" s="28">
        <f t="shared" si="14"/>
        <v>1.4840231507139126E-6</v>
      </c>
      <c r="U53" s="28">
        <f t="shared" si="15"/>
        <v>1.8355741926562552E-4</v>
      </c>
      <c r="V53" s="29">
        <f t="shared" si="16"/>
        <v>9.1345580905666276E-5</v>
      </c>
    </row>
    <row r="54" spans="2:23" x14ac:dyDescent="0.25">
      <c r="B54" s="67">
        <f t="shared" si="0"/>
        <v>9000</v>
      </c>
      <c r="C54" s="28">
        <f t="shared" si="17"/>
        <v>0.12466479391636769</v>
      </c>
      <c r="D54" s="28">
        <f t="shared" si="18"/>
        <v>1.17742717126076</v>
      </c>
      <c r="E54" s="28">
        <f t="shared" si="1"/>
        <v>3.3208171456576644E-4</v>
      </c>
      <c r="F54" s="28">
        <f t="shared" si="19"/>
        <v>0.12466479391636769</v>
      </c>
      <c r="G54" s="28">
        <f t="shared" si="2"/>
        <v>2.7735923571751982E-2</v>
      </c>
      <c r="H54" s="28">
        <f t="shared" si="3"/>
        <v>1.0328397763148058E-4</v>
      </c>
      <c r="I54" s="28">
        <f t="shared" si="20"/>
        <v>1.7549609847959976E-6</v>
      </c>
      <c r="J54" s="28">
        <f t="shared" si="4"/>
        <v>2.6685972647054997E-3</v>
      </c>
      <c r="K54" s="28">
        <f t="shared" si="5"/>
        <v>5.4561282264038698E-3</v>
      </c>
      <c r="L54" s="28">
        <f t="shared" si="6"/>
        <v>8.2504377965696618E-5</v>
      </c>
      <c r="M54" s="28">
        <f t="shared" si="7"/>
        <v>1.5453964041938856E-4</v>
      </c>
      <c r="N54" s="28">
        <f t="shared" si="8"/>
        <v>4.0468470199374866E-4</v>
      </c>
      <c r="O54" s="28">
        <f t="shared" si="9"/>
        <v>2.9194047758680672E-5</v>
      </c>
      <c r="P54" s="28">
        <f t="shared" si="10"/>
        <v>1.413998395752898E-8</v>
      </c>
      <c r="Q54" s="28">
        <f t="shared" si="11"/>
        <v>3.4212682420921452E-5</v>
      </c>
      <c r="R54" s="28">
        <f t="shared" si="12"/>
        <v>8.6018792641499883E-5</v>
      </c>
      <c r="S54" s="28">
        <f t="shared" si="13"/>
        <v>1.4537688284461193E-6</v>
      </c>
      <c r="T54" s="28">
        <f t="shared" si="14"/>
        <v>1.4537688284461193E-6</v>
      </c>
      <c r="U54" s="28">
        <f t="shared" si="15"/>
        <v>1.7789197353361514E-4</v>
      </c>
      <c r="V54" s="29">
        <f t="shared" si="16"/>
        <v>8.9502640267808306E-5</v>
      </c>
    </row>
    <row r="55" spans="2:23" x14ac:dyDescent="0.25">
      <c r="B55" s="67">
        <f t="shared" si="0"/>
        <v>10000</v>
      </c>
      <c r="C55" s="28">
        <f t="shared" si="17"/>
        <v>0.12394565311998355</v>
      </c>
      <c r="D55" s="28">
        <f t="shared" si="18"/>
        <v>1.1685546484449689</v>
      </c>
      <c r="E55" s="28">
        <f t="shared" si="1"/>
        <v>3.2223435483597464E-4</v>
      </c>
      <c r="F55" s="28">
        <f t="shared" si="19"/>
        <v>0.12394565311998355</v>
      </c>
      <c r="G55" s="28">
        <f t="shared" si="2"/>
        <v>2.7533067736358031E-2</v>
      </c>
      <c r="H55" s="28">
        <f t="shared" si="3"/>
        <v>1.015725867138246E-4</v>
      </c>
      <c r="I55" s="28">
        <f t="shared" si="20"/>
        <v>1.7103060686265513E-6</v>
      </c>
      <c r="J55" s="28">
        <f t="shared" si="4"/>
        <v>2.6112423570886596E-3</v>
      </c>
      <c r="K55" s="28">
        <f t="shared" si="5"/>
        <v>5.4038270414867064E-3</v>
      </c>
      <c r="L55" s="28">
        <f t="shared" si="6"/>
        <v>8.0900847248805552E-5</v>
      </c>
      <c r="M55" s="28">
        <f t="shared" si="7"/>
        <v>1.5434216451907015E-4</v>
      </c>
      <c r="N55" s="28">
        <f t="shared" si="8"/>
        <v>3.9942608593564758E-4</v>
      </c>
      <c r="O55" s="28">
        <f t="shared" si="9"/>
        <v>2.8977952814862112E-5</v>
      </c>
      <c r="P55" s="28">
        <f t="shared" si="10"/>
        <v>1.4038374435176441E-8</v>
      </c>
      <c r="Q55" s="28">
        <f t="shared" si="11"/>
        <v>3.3658831532322662E-5</v>
      </c>
      <c r="R55" s="28">
        <f t="shared" si="12"/>
        <v>8.4112385949677732E-5</v>
      </c>
      <c r="S55" s="28">
        <f t="shared" si="13"/>
        <v>1.4289405612335688E-6</v>
      </c>
      <c r="T55" s="28">
        <f t="shared" si="14"/>
        <v>1.4289405612335688E-6</v>
      </c>
      <c r="U55" s="28">
        <f t="shared" si="15"/>
        <v>1.7329211513928027E-4</v>
      </c>
      <c r="V55" s="29">
        <f t="shared" si="16"/>
        <v>8.7989404382272826E-5</v>
      </c>
    </row>
    <row r="56" spans="2:23" x14ac:dyDescent="0.25">
      <c r="B56" s="67">
        <f t="shared" si="0"/>
        <v>11000</v>
      </c>
      <c r="C56" s="28">
        <f t="shared" si="17"/>
        <v>0.12330812349549211</v>
      </c>
      <c r="D56" s="28">
        <f t="shared" si="18"/>
        <v>1.160800894888776</v>
      </c>
      <c r="E56" s="28">
        <f t="shared" si="1"/>
        <v>3.1362860904613469E-4</v>
      </c>
      <c r="F56" s="28">
        <f t="shared" si="19"/>
        <v>0.12330812349549211</v>
      </c>
      <c r="G56" s="28">
        <f t="shared" si="2"/>
        <v>2.7355469798464666E-2</v>
      </c>
      <c r="H56" s="28">
        <f t="shared" si="3"/>
        <v>1.0010432805309846E-4</v>
      </c>
      <c r="I56" s="28">
        <f t="shared" si="20"/>
        <v>1.672909008564132E-6</v>
      </c>
      <c r="J56" s="28">
        <f t="shared" si="4"/>
        <v>2.5631518534126319E-3</v>
      </c>
      <c r="K56" s="28">
        <f t="shared" si="5"/>
        <v>5.3587084514569042E-3</v>
      </c>
      <c r="L56" s="28">
        <f t="shared" si="6"/>
        <v>7.953295783335523E-5</v>
      </c>
      <c r="M56" s="28">
        <f t="shared" si="7"/>
        <v>1.5432807208886628E-4</v>
      </c>
      <c r="N56" s="28">
        <f t="shared" si="8"/>
        <v>3.9491926351234837E-4</v>
      </c>
      <c r="O56" s="28">
        <f t="shared" si="9"/>
        <v>2.8789013926829679E-5</v>
      </c>
      <c r="P56" s="28">
        <f t="shared" si="10"/>
        <v>1.3949329315265308E-8</v>
      </c>
      <c r="Q56" s="28">
        <f t="shared" si="11"/>
        <v>3.3192012716759215E-5</v>
      </c>
      <c r="R56" s="28">
        <f t="shared" si="12"/>
        <v>8.2520527672348568E-5</v>
      </c>
      <c r="S56" s="28">
        <f t="shared" si="13"/>
        <v>1.4080585158793785E-6</v>
      </c>
      <c r="T56" s="28">
        <f t="shared" si="14"/>
        <v>1.4080585158793785E-6</v>
      </c>
      <c r="U56" s="28">
        <f t="shared" si="15"/>
        <v>1.6946722935416391E-4</v>
      </c>
      <c r="V56" s="29">
        <f t="shared" si="16"/>
        <v>8.6715953771153662E-5</v>
      </c>
    </row>
    <row r="57" spans="2:23" x14ac:dyDescent="0.25">
      <c r="B57" s="68">
        <f t="shared" si="0"/>
        <v>12000</v>
      </c>
      <c r="C57" s="30">
        <f t="shared" si="17"/>
        <v>0.12273180224992024</v>
      </c>
      <c r="D57" s="30">
        <f t="shared" si="18"/>
        <v>1.1538862182772818</v>
      </c>
      <c r="E57" s="30">
        <f t="shared" si="1"/>
        <v>3.0595407371125871E-4</v>
      </c>
      <c r="F57" s="30">
        <f t="shared" si="19"/>
        <v>0.12273180224992024</v>
      </c>
      <c r="G57" s="30">
        <f t="shared" si="2"/>
        <v>2.7196815283696777E-2</v>
      </c>
      <c r="H57" s="30">
        <f t="shared" si="3"/>
        <v>9.8818418585069846E-5</v>
      </c>
      <c r="I57" s="30">
        <f t="shared" si="20"/>
        <v>1.6409553405819847E-6</v>
      </c>
      <c r="J57" s="30">
        <f t="shared" si="4"/>
        <v>2.5220096526922149E-3</v>
      </c>
      <c r="K57" s="30">
        <f t="shared" si="5"/>
        <v>5.3189768075926217E-3</v>
      </c>
      <c r="L57" s="30">
        <f t="shared" si="6"/>
        <v>7.8341799393985497E-5</v>
      </c>
      <c r="M57" s="30">
        <f t="shared" si="7"/>
        <v>1.5445151726124813E-4</v>
      </c>
      <c r="N57" s="30">
        <f t="shared" si="8"/>
        <v>3.9097628631515081E-4</v>
      </c>
      <c r="O57" s="30">
        <f t="shared" si="9"/>
        <v>2.8620442080636842E-5</v>
      </c>
      <c r="P57" s="30">
        <f t="shared" si="10"/>
        <v>1.3869707497185237E-8</v>
      </c>
      <c r="Q57" s="30">
        <f t="shared" si="11"/>
        <v>3.2790467955972288E-5</v>
      </c>
      <c r="R57" s="30">
        <f t="shared" si="12"/>
        <v>8.1164580705889175E-5</v>
      </c>
      <c r="S57" s="30">
        <f t="shared" si="13"/>
        <v>1.3901361369189582E-6</v>
      </c>
      <c r="T57" s="30">
        <f t="shared" si="14"/>
        <v>1.3901361369189582E-6</v>
      </c>
      <c r="U57" s="30">
        <f t="shared" si="15"/>
        <v>1.6622357302596152E-4</v>
      </c>
      <c r="V57" s="31">
        <f t="shared" si="16"/>
        <v>8.5622342115846748E-5</v>
      </c>
    </row>
    <row r="59" spans="2:23" x14ac:dyDescent="0.25">
      <c r="B59" s="3"/>
      <c r="C59" s="66" t="str">
        <f>C32</f>
        <v>Global Warming Potential (kg CO2 eq per passenger km)</v>
      </c>
      <c r="D59" s="15" t="str">
        <f t="shared" ref="D59:V59" si="21">D32</f>
        <v>Cumulative Energy Demand, Non-Renewable (MJ per passenger km)</v>
      </c>
      <c r="E59" s="15" t="str">
        <f t="shared" si="21"/>
        <v>Agricultural Land Occupation Potential (m2yr per passenger km)</v>
      </c>
      <c r="F59" s="15" t="str">
        <f t="shared" si="21"/>
        <v>Global Warming Potential (kg CO2 eq per passenger km)</v>
      </c>
      <c r="G59" s="15" t="str">
        <f t="shared" si="21"/>
        <v>Fossil Depletion Potential (kg oil eq per passenger km)</v>
      </c>
      <c r="H59" s="15" t="str">
        <f t="shared" si="21"/>
        <v>Freshwater Ecotoxicity Potential (kg 14-DCB eq per passenger km)</v>
      </c>
      <c r="I59" s="15" t="str">
        <f t="shared" si="21"/>
        <v>Freshwater Eutrophication Potential (kg P eq per passenger km)</v>
      </c>
      <c r="J59" s="15" t="str">
        <f t="shared" si="21"/>
        <v>Human Toxicity Potential (kg 1,4 DB eq per passenger km)</v>
      </c>
      <c r="K59" s="15" t="str">
        <f t="shared" si="21"/>
        <v>Ionising Radiation Potential (kg U235 eq per passenger km)</v>
      </c>
      <c r="L59" s="15" t="str">
        <f t="shared" si="21"/>
        <v>Marine Ecotoxicity Potential (kg 14-DCB eq per passenger km)</v>
      </c>
      <c r="M59" s="15" t="str">
        <f t="shared" si="21"/>
        <v>Marine Eutrophication Potential (kg N eq per passenger km)</v>
      </c>
      <c r="N59" s="15" t="str">
        <f t="shared" si="21"/>
        <v>Metal Depletion Potential (kg Fe eq per passenger km)</v>
      </c>
      <c r="O59" s="15" t="str">
        <f t="shared" si="21"/>
        <v>Natural Land Transformation Potential (m2 per passenger km)</v>
      </c>
      <c r="P59" s="15" t="str">
        <f t="shared" si="21"/>
        <v>Ozone Depletion Potential (kg CFC11 eq per passenger km)</v>
      </c>
      <c r="Q59" s="15" t="str">
        <f t="shared" si="21"/>
        <v>Particulate Matter Formation Potential (kg PM10 eq per passenger km)</v>
      </c>
      <c r="R59" s="15" t="str">
        <f t="shared" si="21"/>
        <v>Photochemical Oxidant Formation Potential (kg NMVOC per passenger km)</v>
      </c>
      <c r="S59" s="15" t="str">
        <f t="shared" si="21"/>
        <v>Terrestrial Acidification Potential (kg SO2 eq per passenger km)</v>
      </c>
      <c r="T59" s="15" t="str">
        <f t="shared" si="21"/>
        <v>Terrestrial Ecotoxicity Potential (kg 14-DCB eq per passenger km)</v>
      </c>
      <c r="U59" s="15" t="str">
        <f t="shared" si="21"/>
        <v>Urban Land Occupation Potential (m2yr per passenger km)</v>
      </c>
      <c r="V59" s="4" t="str">
        <f t="shared" si="21"/>
        <v>Water Depletion Potential (m3 H2O per passenger km)</v>
      </c>
    </row>
    <row r="60" spans="2:23" x14ac:dyDescent="0.25">
      <c r="B60" s="5" t="s">
        <v>352</v>
      </c>
      <c r="C60" s="28">
        <v>-0.83881099999999997</v>
      </c>
      <c r="D60" s="28">
        <v>-0.88222599999999995</v>
      </c>
      <c r="E60" s="28">
        <v>-0.89442699999999997</v>
      </c>
      <c r="F60" s="28">
        <v>-0.83881099999999997</v>
      </c>
      <c r="G60" s="28">
        <v>-0.87969399999999998</v>
      </c>
      <c r="H60" s="28">
        <v>-0.91852900000000004</v>
      </c>
      <c r="I60" s="28">
        <v>-0.95734799999999998</v>
      </c>
      <c r="J60" s="28">
        <v>-0.98270900000000005</v>
      </c>
      <c r="K60" s="28">
        <v>-0.90162600000000004</v>
      </c>
      <c r="L60" s="28">
        <v>-0.92958300000000005</v>
      </c>
      <c r="M60" s="28">
        <v>-0.91984200000000005</v>
      </c>
      <c r="N60" s="28">
        <v>-0.91544400000000004</v>
      </c>
      <c r="O60" s="28">
        <v>-0.88088699999999998</v>
      </c>
      <c r="P60" s="28">
        <v>-0.87765800000000005</v>
      </c>
      <c r="Q60" s="28">
        <v>-0.93553500000000001</v>
      </c>
      <c r="R60" s="28">
        <v>-0.95828599999999997</v>
      </c>
      <c r="S60" s="28">
        <v>-0.95654799999999995</v>
      </c>
      <c r="T60" s="28">
        <v>-0.95654799999999995</v>
      </c>
      <c r="U60" s="28">
        <v>-0.96564899999999998</v>
      </c>
      <c r="V60" s="29">
        <v>-0.94321200000000005</v>
      </c>
      <c r="W60" s="16"/>
    </row>
    <row r="61" spans="2:23" x14ac:dyDescent="0.25">
      <c r="B61" s="5" t="s">
        <v>353</v>
      </c>
      <c r="C61" s="28">
        <v>40.607170000000004</v>
      </c>
      <c r="D61" s="28">
        <v>608.02093500000001</v>
      </c>
      <c r="E61" s="28">
        <v>0.42896200000000001</v>
      </c>
      <c r="F61" s="28">
        <v>40.607170000000004</v>
      </c>
      <c r="G61" s="28">
        <v>13.863068999999999</v>
      </c>
      <c r="H61" s="28">
        <v>0.108471</v>
      </c>
      <c r="I61" s="28">
        <v>3.4250000000000001E-3</v>
      </c>
      <c r="J61" s="28">
        <v>5.9198380000000004</v>
      </c>
      <c r="K61" s="28">
        <v>3.6734969999999998</v>
      </c>
      <c r="L61" s="28">
        <v>0.106349</v>
      </c>
      <c r="M61" s="28">
        <v>6.0323000000000002E-2</v>
      </c>
      <c r="N61" s="28">
        <v>0.35821599999999998</v>
      </c>
      <c r="O61" s="28">
        <v>1.4833000000000001E-2</v>
      </c>
      <c r="P61" s="28">
        <v>6.9999999999999999E-6</v>
      </c>
      <c r="Q61" s="28">
        <v>4.3050999999999999E-2</v>
      </c>
      <c r="R61" s="28">
        <v>0.16514400000000001</v>
      </c>
      <c r="S61" s="28">
        <v>2.32E-3</v>
      </c>
      <c r="T61" s="28">
        <v>2.32E-3</v>
      </c>
      <c r="U61" s="28">
        <v>0.37814199999999998</v>
      </c>
      <c r="V61" s="29">
        <v>0.117131</v>
      </c>
      <c r="W61" s="16"/>
    </row>
    <row r="62" spans="2:23" x14ac:dyDescent="0.25">
      <c r="B62" s="5" t="s">
        <v>354</v>
      </c>
      <c r="C62" s="28">
        <v>0.111876</v>
      </c>
      <c r="D62" s="28">
        <v>1.0493710000000001</v>
      </c>
      <c r="E62" s="28">
        <v>2.5183310000000001E-4</v>
      </c>
      <c r="F62" s="28">
        <v>0.111876</v>
      </c>
      <c r="G62" s="28">
        <v>2.4758530000000001E-2</v>
      </c>
      <c r="H62" s="28">
        <v>8.5707070000000003E-5</v>
      </c>
      <c r="I62" s="28">
        <v>1.304899E-6</v>
      </c>
      <c r="J62" s="28">
        <v>2.0663169999999998E-3</v>
      </c>
      <c r="K62" s="28">
        <v>4.7851279999999996E-3</v>
      </c>
      <c r="L62" s="28">
        <v>6.6296509999999999E-5</v>
      </c>
      <c r="M62" s="28">
        <v>1.382984E-4</v>
      </c>
      <c r="N62" s="28">
        <v>3.4521140000000003E-4</v>
      </c>
      <c r="O62" s="28">
        <v>2.601911E-5</v>
      </c>
      <c r="P62" s="28">
        <v>1.261864E-8</v>
      </c>
      <c r="Q62" s="28">
        <v>2.751481E-5</v>
      </c>
      <c r="R62" s="28">
        <v>6.3633730000000002E-5</v>
      </c>
      <c r="S62" s="28">
        <v>1.1548360000000001E-6</v>
      </c>
      <c r="T62" s="28">
        <v>1.1548360000000001E-6</v>
      </c>
      <c r="U62" s="28">
        <v>1.2994619999999999E-4</v>
      </c>
      <c r="V62" s="29">
        <v>7.2928570000000003E-5</v>
      </c>
      <c r="W62" s="16"/>
    </row>
    <row r="63" spans="2:23" x14ac:dyDescent="0.25">
      <c r="B63" s="6" t="s">
        <v>355</v>
      </c>
      <c r="C63" s="30">
        <v>0.99718600000000002</v>
      </c>
      <c r="D63" s="30">
        <v>0.99817800000000001</v>
      </c>
      <c r="E63" s="30">
        <v>0.99879700000000005</v>
      </c>
      <c r="F63" s="30">
        <v>0.99718600000000002</v>
      </c>
      <c r="G63" s="30">
        <v>0.99810200000000004</v>
      </c>
      <c r="H63" s="30">
        <v>0.99916899999999997</v>
      </c>
      <c r="I63" s="30">
        <v>0.99975899999999995</v>
      </c>
      <c r="J63" s="30">
        <v>0.99974499999999999</v>
      </c>
      <c r="K63" s="30">
        <v>0.99871399999999999</v>
      </c>
      <c r="L63" s="30">
        <v>0.99938400000000005</v>
      </c>
      <c r="M63" s="30">
        <v>0.99969399999999997</v>
      </c>
      <c r="N63" s="30">
        <v>0.99906799999999996</v>
      </c>
      <c r="O63" s="30">
        <v>0.99817100000000003</v>
      </c>
      <c r="P63" s="30">
        <v>0.99805900000000003</v>
      </c>
      <c r="Q63" s="30">
        <v>0.99954699999999996</v>
      </c>
      <c r="R63" s="30">
        <v>0.99978299999999998</v>
      </c>
      <c r="S63" s="30">
        <v>0.999614</v>
      </c>
      <c r="T63" s="30">
        <v>0.999614</v>
      </c>
      <c r="U63" s="30">
        <v>0.999834</v>
      </c>
      <c r="V63" s="31">
        <v>0.999556</v>
      </c>
      <c r="W63" s="16"/>
    </row>
    <row r="66" spans="2:38" x14ac:dyDescent="0.25">
      <c r="B66" s="3" t="s">
        <v>983</v>
      </c>
      <c r="C66" s="37" t="e">
        <f>Summary_LCIA!#REF!</f>
        <v>#REF!</v>
      </c>
      <c r="D66" s="37" t="e">
        <f>Summary_LCIA!#REF!</f>
        <v>#REF!</v>
      </c>
      <c r="E66" s="37" t="e">
        <f>Summary_LCIA!#REF!</f>
        <v>#REF!</v>
      </c>
      <c r="F66" s="37" t="e">
        <f>Summary_LCIA!#REF!</f>
        <v>#REF!</v>
      </c>
      <c r="G66" s="37" t="e">
        <f>Summary_LCIA!#REF!</f>
        <v>#REF!</v>
      </c>
      <c r="H66" s="37" t="e">
        <f>Summary_LCIA!#REF!</f>
        <v>#REF!</v>
      </c>
      <c r="I66" s="37" t="e">
        <f>Summary_LCIA!#REF!</f>
        <v>#REF!</v>
      </c>
      <c r="J66" s="37" t="e">
        <f>Summary_LCIA!#REF!</f>
        <v>#REF!</v>
      </c>
      <c r="K66" s="37" t="e">
        <f>Summary_LCIA!#REF!</f>
        <v>#REF!</v>
      </c>
      <c r="L66" s="37" t="e">
        <f>Summary_LCIA!#REF!</f>
        <v>#REF!</v>
      </c>
      <c r="M66" s="37" t="e">
        <f>Summary_LCIA!#REF!</f>
        <v>#REF!</v>
      </c>
      <c r="N66" s="37" t="e">
        <f>Summary_LCIA!#REF!</f>
        <v>#REF!</v>
      </c>
      <c r="O66" s="37" t="e">
        <f>Summary_LCIA!#REF!</f>
        <v>#REF!</v>
      </c>
      <c r="P66" s="37" t="e">
        <f>Summary_LCIA!#REF!</f>
        <v>#REF!</v>
      </c>
      <c r="Q66" s="37" t="e">
        <f>Summary_LCIA!#REF!</f>
        <v>#REF!</v>
      </c>
      <c r="R66" s="37" t="e">
        <f>Summary_LCIA!#REF!</f>
        <v>#REF!</v>
      </c>
      <c r="S66" s="37" t="e">
        <f>Summary_LCIA!#REF!</f>
        <v>#REF!</v>
      </c>
      <c r="T66" s="37" t="e">
        <f>Summary_LCIA!#REF!</f>
        <v>#REF!</v>
      </c>
      <c r="U66" s="37" t="e">
        <f>Summary_LCIA!#REF!</f>
        <v>#REF!</v>
      </c>
      <c r="V66" s="38" t="e">
        <f>Summary_LCIA!#REF!</f>
        <v>#REF!</v>
      </c>
    </row>
    <row r="67" spans="2:38" x14ac:dyDescent="0.25">
      <c r="B67" s="5">
        <f>Transport_1_hub!T2</f>
        <v>27.763999999999999</v>
      </c>
      <c r="C67" s="8">
        <f>Transport_1_hub!AT2</f>
        <v>9.4342071999999995</v>
      </c>
      <c r="D67" s="8">
        <f>Transport_1_hub!AU2</f>
        <v>137.599784221812</v>
      </c>
      <c r="E67" s="8">
        <f>Transport_1_hub!AV2</f>
        <v>0.14619411839999999</v>
      </c>
      <c r="F67" s="8">
        <f>Transport_1_hub!AW2</f>
        <v>9.3114903200000008</v>
      </c>
      <c r="G67" s="8">
        <f>Transport_1_hub!AX2</f>
        <v>3.0512636</v>
      </c>
      <c r="H67" s="8">
        <f>Transport_1_hub!AY2</f>
        <v>0.49736429599999998</v>
      </c>
      <c r="I67" s="8">
        <f>Transport_1_hub!AZ2</f>
        <v>1.326036404E-3</v>
      </c>
      <c r="J67" s="8">
        <f>Transport_1_hub!BA2</f>
        <v>2.1370228440000001</v>
      </c>
      <c r="K67" s="8">
        <f>Transport_1_hub!BB2</f>
        <v>0.63246392000000007</v>
      </c>
      <c r="L67" s="8">
        <f>Transport_1_hub!BC2</f>
        <v>0.43261864799999999</v>
      </c>
      <c r="M67" s="8">
        <f>Transport_1_hub!BD2</f>
        <v>1.1385738759999999E-3</v>
      </c>
      <c r="N67" s="8">
        <f>Transport_1_hub!BE2</f>
        <v>0.64845598399999993</v>
      </c>
      <c r="O67" s="8">
        <f>Transport_1_hub!BF2</f>
        <v>-6.0589377199999999E-4</v>
      </c>
      <c r="P67" s="8">
        <f>Transport_1_hub!BG2</f>
        <v>1.357215376E-6</v>
      </c>
      <c r="Q67" s="8">
        <f>Transport_1_hub!BH2</f>
        <v>1.1412114559999999E-2</v>
      </c>
      <c r="R67" s="8">
        <f>Transport_1_hub!BI2</f>
        <v>2.4602513319999998E-2</v>
      </c>
      <c r="S67" s="8">
        <f>Transport_1_hub!BJ2</f>
        <v>2.3472240880000002E-2</v>
      </c>
      <c r="T67" s="8">
        <f>Transport_1_hub!BK2</f>
        <v>1.42054506E-3</v>
      </c>
      <c r="U67" s="8">
        <f>Transport_1_hub!BL2</f>
        <v>0.2416467504</v>
      </c>
      <c r="V67" s="9">
        <f>Transport_1_hub!BM2</f>
        <v>2.58635542E-2</v>
      </c>
      <c r="X67" s="22"/>
      <c r="Y67" s="22"/>
      <c r="Z67" s="22"/>
      <c r="AA67" s="22"/>
      <c r="AG67" s="42"/>
      <c r="AL67" s="42"/>
    </row>
    <row r="68" spans="2:38" x14ac:dyDescent="0.25">
      <c r="B68" s="5">
        <f>Transport_1_hub!T3</f>
        <v>27.763999999999999</v>
      </c>
      <c r="C68" s="8">
        <f>Transport_1_hub!AT3</f>
        <v>9.4342071999999995</v>
      </c>
      <c r="D68" s="8">
        <f>Transport_1_hub!AU3</f>
        <v>137.599784221812</v>
      </c>
      <c r="E68" s="8">
        <f>Transport_1_hub!AV3</f>
        <v>0.14619411839999999</v>
      </c>
      <c r="F68" s="8">
        <f>Transport_1_hub!AW3</f>
        <v>9.3114903200000008</v>
      </c>
      <c r="G68" s="8">
        <f>Transport_1_hub!AX3</f>
        <v>3.0512636</v>
      </c>
      <c r="H68" s="8">
        <f>Transport_1_hub!AY3</f>
        <v>0.49736429599999998</v>
      </c>
      <c r="I68" s="8">
        <f>Transport_1_hub!AZ3</f>
        <v>1.326036404E-3</v>
      </c>
      <c r="J68" s="8">
        <f>Transport_1_hub!BA3</f>
        <v>2.1370228440000001</v>
      </c>
      <c r="K68" s="8">
        <f>Transport_1_hub!BB3</f>
        <v>0.63246392000000007</v>
      </c>
      <c r="L68" s="8">
        <f>Transport_1_hub!BC3</f>
        <v>0.43261864799999999</v>
      </c>
      <c r="M68" s="8">
        <f>Transport_1_hub!BD3</f>
        <v>1.1385738759999999E-3</v>
      </c>
      <c r="N68" s="8">
        <f>Transport_1_hub!BE3</f>
        <v>0.64845598399999993</v>
      </c>
      <c r="O68" s="8">
        <f>Transport_1_hub!BF3</f>
        <v>-6.0589377199999999E-4</v>
      </c>
      <c r="P68" s="8">
        <f>Transport_1_hub!BG3</f>
        <v>1.357215376E-6</v>
      </c>
      <c r="Q68" s="8">
        <f>Transport_1_hub!BH3</f>
        <v>1.1412114559999999E-2</v>
      </c>
      <c r="R68" s="8">
        <f>Transport_1_hub!BI3</f>
        <v>2.4602513319999998E-2</v>
      </c>
      <c r="S68" s="8">
        <f>Transport_1_hub!BJ3</f>
        <v>2.3472240880000002E-2</v>
      </c>
      <c r="T68" s="8">
        <f>Transport_1_hub!BK3</f>
        <v>1.42054506E-3</v>
      </c>
      <c r="U68" s="8">
        <f>Transport_1_hub!BL3</f>
        <v>0.2416467504</v>
      </c>
      <c r="V68" s="9">
        <f>Transport_1_hub!BM3</f>
        <v>2.58635542E-2</v>
      </c>
      <c r="X68" s="22"/>
      <c r="Y68" s="22"/>
      <c r="Z68" s="22"/>
      <c r="AA68" s="22"/>
      <c r="AG68" s="42"/>
      <c r="AL68" s="42"/>
    </row>
    <row r="69" spans="2:38" x14ac:dyDescent="0.25">
      <c r="B69" s="5">
        <f>Transport_1_hub!T4</f>
        <v>27.763999999999999</v>
      </c>
      <c r="C69" s="8">
        <f>Transport_1_hub!AT4</f>
        <v>9.4342071999999995</v>
      </c>
      <c r="D69" s="8">
        <f>Transport_1_hub!AU4</f>
        <v>137.599784221812</v>
      </c>
      <c r="E69" s="8">
        <f>Transport_1_hub!AV4</f>
        <v>0.14619411839999999</v>
      </c>
      <c r="F69" s="8">
        <f>Transport_1_hub!AW4</f>
        <v>9.3114903200000008</v>
      </c>
      <c r="G69" s="8">
        <f>Transport_1_hub!AX4</f>
        <v>3.0512636</v>
      </c>
      <c r="H69" s="8">
        <f>Transport_1_hub!AY4</f>
        <v>0.49736429599999998</v>
      </c>
      <c r="I69" s="8">
        <f>Transport_1_hub!AZ4</f>
        <v>1.326036404E-3</v>
      </c>
      <c r="J69" s="8">
        <f>Transport_1_hub!BA4</f>
        <v>2.1370228440000001</v>
      </c>
      <c r="K69" s="8">
        <f>Transport_1_hub!BB4</f>
        <v>0.63246392000000007</v>
      </c>
      <c r="L69" s="8">
        <f>Transport_1_hub!BC4</f>
        <v>0.43261864799999999</v>
      </c>
      <c r="M69" s="8">
        <f>Transport_1_hub!BD4</f>
        <v>1.1385738759999999E-3</v>
      </c>
      <c r="N69" s="8">
        <f>Transport_1_hub!BE4</f>
        <v>0.64845598399999993</v>
      </c>
      <c r="O69" s="8">
        <f>Transport_1_hub!BF4</f>
        <v>-6.0589377199999999E-4</v>
      </c>
      <c r="P69" s="8">
        <f>Transport_1_hub!BG4</f>
        <v>1.357215376E-6</v>
      </c>
      <c r="Q69" s="8">
        <f>Transport_1_hub!BH4</f>
        <v>1.1412114559999999E-2</v>
      </c>
      <c r="R69" s="8">
        <f>Transport_1_hub!BI4</f>
        <v>2.4602513319999998E-2</v>
      </c>
      <c r="S69" s="8">
        <f>Transport_1_hub!BJ4</f>
        <v>2.3472240880000002E-2</v>
      </c>
      <c r="T69" s="8">
        <f>Transport_1_hub!BK4</f>
        <v>1.42054506E-3</v>
      </c>
      <c r="U69" s="8">
        <f>Transport_1_hub!BL4</f>
        <v>0.2416467504</v>
      </c>
      <c r="V69" s="9">
        <f>Transport_1_hub!BM4</f>
        <v>2.58635542E-2</v>
      </c>
      <c r="X69" s="22"/>
      <c r="Y69" s="22"/>
      <c r="Z69" s="22"/>
      <c r="AA69" s="22"/>
      <c r="AG69" s="42"/>
      <c r="AL69" s="42"/>
    </row>
    <row r="70" spans="2:38" x14ac:dyDescent="0.25">
      <c r="B70" s="5">
        <f>Transport_1_hub!T5</f>
        <v>42.158000000000001</v>
      </c>
      <c r="C70" s="8">
        <f>Transport_1_hub!AT5</f>
        <v>14.3252884</v>
      </c>
      <c r="D70" s="8">
        <f>Transport_1_hub!AU5</f>
        <v>208.93717415441398</v>
      </c>
      <c r="E70" s="8">
        <f>Transport_1_hub!AV5</f>
        <v>0.2219871648</v>
      </c>
      <c r="F70" s="8">
        <f>Transport_1_hub!AW5</f>
        <v>14.138950040000001</v>
      </c>
      <c r="G70" s="8">
        <f>Transport_1_hub!AX5</f>
        <v>4.6331642000000004</v>
      </c>
      <c r="H70" s="8">
        <f>Transport_1_hub!AY5</f>
        <v>0.75521841199999995</v>
      </c>
      <c r="I70" s="8">
        <f>Transport_1_hub!AZ5</f>
        <v>2.0135082380000001E-3</v>
      </c>
      <c r="J70" s="8">
        <f>Transport_1_hub!BA5</f>
        <v>3.2449434180000001</v>
      </c>
      <c r="K70" s="8">
        <f>Transport_1_hub!BB5</f>
        <v>0.96035924000000006</v>
      </c>
      <c r="L70" s="8">
        <f>Transport_1_hub!BC5</f>
        <v>0.65690595600000001</v>
      </c>
      <c r="M70" s="8">
        <f>Transport_1_hub!BD5</f>
        <v>1.7288574220000001E-3</v>
      </c>
      <c r="N70" s="8">
        <f>Transport_1_hub!BE5</f>
        <v>0.984642248</v>
      </c>
      <c r="O70" s="8">
        <f>Transport_1_hub!BF5</f>
        <v>-9.2001403400000011E-4</v>
      </c>
      <c r="P70" s="8">
        <f>Transport_1_hub!BG5</f>
        <v>2.0608516720000001E-6</v>
      </c>
      <c r="Q70" s="8">
        <f>Transport_1_hub!BH5</f>
        <v>1.732862432E-2</v>
      </c>
      <c r="R70" s="8">
        <f>Transport_1_hub!BI5</f>
        <v>3.7357468540000001E-2</v>
      </c>
      <c r="S70" s="8">
        <f>Transport_1_hub!BJ5</f>
        <v>3.5641216360000005E-2</v>
      </c>
      <c r="T70" s="8">
        <f>Transport_1_hub!BK5</f>
        <v>2.1570140700000002E-3</v>
      </c>
      <c r="U70" s="8">
        <f>Transport_1_hub!BL5</f>
        <v>0.36692636880000001</v>
      </c>
      <c r="V70" s="9">
        <f>Transport_1_hub!BM5</f>
        <v>3.9272284900000003E-2</v>
      </c>
      <c r="X70" s="22"/>
      <c r="Y70" s="22"/>
      <c r="Z70" s="22"/>
      <c r="AA70" s="22"/>
      <c r="AG70" s="42"/>
      <c r="AL70" s="42"/>
    </row>
    <row r="71" spans="2:38" x14ac:dyDescent="0.25">
      <c r="B71" s="5">
        <f>Transport_1_hub!T6</f>
        <v>42.777999999999999</v>
      </c>
      <c r="C71" s="8">
        <f>Transport_1_hub!AT6</f>
        <v>14.535964399999999</v>
      </c>
      <c r="D71" s="8">
        <f>Transport_1_hub!AU6</f>
        <v>212.00992542287398</v>
      </c>
      <c r="E71" s="8">
        <f>Transport_1_hub!AV6</f>
        <v>0.22525183679999997</v>
      </c>
      <c r="F71" s="8">
        <f>Transport_1_hub!AW6</f>
        <v>14.34688564</v>
      </c>
      <c r="G71" s="8">
        <f>Transport_1_hub!AX6</f>
        <v>4.7013021999999998</v>
      </c>
      <c r="H71" s="8">
        <f>Transport_1_hub!AY6</f>
        <v>0.76632509199999999</v>
      </c>
      <c r="I71" s="8">
        <f>Transport_1_hub!AZ6</f>
        <v>2.043120058E-3</v>
      </c>
      <c r="J71" s="8">
        <f>Transport_1_hub!BA6</f>
        <v>3.2926654379999998</v>
      </c>
      <c r="K71" s="8">
        <f>Transport_1_hub!BB6</f>
        <v>0.97448284000000007</v>
      </c>
      <c r="L71" s="8">
        <f>Transport_1_hub!BC6</f>
        <v>0.66656679600000002</v>
      </c>
      <c r="M71" s="8">
        <f>Transport_1_hub!BD6</f>
        <v>1.7542830019999999E-3</v>
      </c>
      <c r="N71" s="8">
        <f>Transport_1_hub!BE6</f>
        <v>0.99912296799999989</v>
      </c>
      <c r="O71" s="8">
        <f>Transport_1_hub!BF6</f>
        <v>-9.3354429400000004E-4</v>
      </c>
      <c r="P71" s="8">
        <f>Transport_1_hub!BG6</f>
        <v>2.0911597520000001E-6</v>
      </c>
      <c r="Q71" s="8">
        <f>Transport_1_hub!BH6</f>
        <v>1.758346912E-2</v>
      </c>
      <c r="R71" s="8">
        <f>Transport_1_hub!BI6</f>
        <v>3.7906869139999994E-2</v>
      </c>
      <c r="S71" s="8">
        <f>Transport_1_hub!BJ6</f>
        <v>3.616537676E-2</v>
      </c>
      <c r="T71" s="8">
        <f>Transport_1_hub!BK6</f>
        <v>2.18873637E-3</v>
      </c>
      <c r="U71" s="8">
        <f>Transport_1_hub!BL6</f>
        <v>0.37232260080000001</v>
      </c>
      <c r="V71" s="9">
        <f>Transport_1_hub!BM6</f>
        <v>3.98498459E-2</v>
      </c>
      <c r="X71" s="22"/>
      <c r="Y71" s="22"/>
      <c r="Z71" s="22"/>
      <c r="AA71" s="22"/>
      <c r="AG71" s="42"/>
      <c r="AL71" s="42"/>
    </row>
    <row r="72" spans="2:38" x14ac:dyDescent="0.25">
      <c r="B72" s="5">
        <f>Transport_1_hub!T7</f>
        <v>42.777999999999999</v>
      </c>
      <c r="C72" s="8">
        <f>Transport_1_hub!AT7</f>
        <v>14.535964399999999</v>
      </c>
      <c r="D72" s="8">
        <f>Transport_1_hub!AU7</f>
        <v>212.00992542287398</v>
      </c>
      <c r="E72" s="8">
        <f>Transport_1_hub!AV7</f>
        <v>0.22525183679999997</v>
      </c>
      <c r="F72" s="8">
        <f>Transport_1_hub!AW7</f>
        <v>14.34688564</v>
      </c>
      <c r="G72" s="8">
        <f>Transport_1_hub!AX7</f>
        <v>4.7013021999999998</v>
      </c>
      <c r="H72" s="8">
        <f>Transport_1_hub!AY7</f>
        <v>0.76632509199999999</v>
      </c>
      <c r="I72" s="8">
        <f>Transport_1_hub!AZ7</f>
        <v>2.043120058E-3</v>
      </c>
      <c r="J72" s="8">
        <f>Transport_1_hub!BA7</f>
        <v>3.2926654379999998</v>
      </c>
      <c r="K72" s="8">
        <f>Transport_1_hub!BB7</f>
        <v>0.97448284000000007</v>
      </c>
      <c r="L72" s="8">
        <f>Transport_1_hub!BC7</f>
        <v>0.66656679600000002</v>
      </c>
      <c r="M72" s="8">
        <f>Transport_1_hub!BD7</f>
        <v>1.7542830019999999E-3</v>
      </c>
      <c r="N72" s="8">
        <f>Transport_1_hub!BE7</f>
        <v>0.99912296799999989</v>
      </c>
      <c r="O72" s="8">
        <f>Transport_1_hub!BF7</f>
        <v>-9.3354429400000004E-4</v>
      </c>
      <c r="P72" s="8">
        <f>Transport_1_hub!BG7</f>
        <v>2.0911597520000001E-6</v>
      </c>
      <c r="Q72" s="8">
        <f>Transport_1_hub!BH7</f>
        <v>1.758346912E-2</v>
      </c>
      <c r="R72" s="8">
        <f>Transport_1_hub!BI7</f>
        <v>3.7906869139999994E-2</v>
      </c>
      <c r="S72" s="8">
        <f>Transport_1_hub!BJ7</f>
        <v>3.616537676E-2</v>
      </c>
      <c r="T72" s="8">
        <f>Transport_1_hub!BK7</f>
        <v>2.18873637E-3</v>
      </c>
      <c r="U72" s="8">
        <f>Transport_1_hub!BL7</f>
        <v>0.37232260080000001</v>
      </c>
      <c r="V72" s="9">
        <f>Transport_1_hub!BM7</f>
        <v>3.98498459E-2</v>
      </c>
      <c r="X72" s="22"/>
      <c r="Y72" s="22"/>
      <c r="Z72" s="22"/>
      <c r="AA72" s="22"/>
      <c r="AG72" s="42"/>
      <c r="AL72" s="42"/>
    </row>
    <row r="73" spans="2:38" x14ac:dyDescent="0.25">
      <c r="B73" s="5">
        <f>Transport_1_hub!T8</f>
        <v>42.777999999999999</v>
      </c>
      <c r="C73" s="8">
        <f>Transport_1_hub!AT8</f>
        <v>14.535964399999999</v>
      </c>
      <c r="D73" s="8">
        <f>Transport_1_hub!AU8</f>
        <v>212.00992542287398</v>
      </c>
      <c r="E73" s="8">
        <f>Transport_1_hub!AV8</f>
        <v>0.22525183679999997</v>
      </c>
      <c r="F73" s="8">
        <f>Transport_1_hub!AW8</f>
        <v>14.34688564</v>
      </c>
      <c r="G73" s="8">
        <f>Transport_1_hub!AX8</f>
        <v>4.7013021999999998</v>
      </c>
      <c r="H73" s="8">
        <f>Transport_1_hub!AY8</f>
        <v>0.76632509199999999</v>
      </c>
      <c r="I73" s="8">
        <f>Transport_1_hub!AZ8</f>
        <v>2.043120058E-3</v>
      </c>
      <c r="J73" s="8">
        <f>Transport_1_hub!BA8</f>
        <v>3.2926654379999998</v>
      </c>
      <c r="K73" s="8">
        <f>Transport_1_hub!BB8</f>
        <v>0.97448284000000007</v>
      </c>
      <c r="L73" s="8">
        <f>Transport_1_hub!BC8</f>
        <v>0.66656679600000002</v>
      </c>
      <c r="M73" s="8">
        <f>Transport_1_hub!BD8</f>
        <v>1.7542830019999999E-3</v>
      </c>
      <c r="N73" s="8">
        <f>Transport_1_hub!BE8</f>
        <v>0.99912296799999989</v>
      </c>
      <c r="O73" s="8">
        <f>Transport_1_hub!BF8</f>
        <v>-9.3354429400000004E-4</v>
      </c>
      <c r="P73" s="8">
        <f>Transport_1_hub!BG8</f>
        <v>2.0911597520000001E-6</v>
      </c>
      <c r="Q73" s="8">
        <f>Transport_1_hub!BH8</f>
        <v>1.758346912E-2</v>
      </c>
      <c r="R73" s="8">
        <f>Transport_1_hub!BI8</f>
        <v>3.7906869139999994E-2</v>
      </c>
      <c r="S73" s="8">
        <f>Transport_1_hub!BJ8</f>
        <v>3.616537676E-2</v>
      </c>
      <c r="T73" s="8">
        <f>Transport_1_hub!BK8</f>
        <v>2.18873637E-3</v>
      </c>
      <c r="U73" s="8">
        <f>Transport_1_hub!BL8</f>
        <v>0.37232260080000001</v>
      </c>
      <c r="V73" s="9">
        <f>Transport_1_hub!BM8</f>
        <v>3.98498459E-2</v>
      </c>
      <c r="X73" s="22"/>
      <c r="Y73" s="22"/>
      <c r="Z73" s="22"/>
      <c r="AA73" s="22"/>
      <c r="AG73" s="42"/>
      <c r="AL73" s="42"/>
    </row>
    <row r="74" spans="2:38" x14ac:dyDescent="0.25">
      <c r="B74" s="5">
        <f>Transport_1_hub!T9</f>
        <v>42.777999999999999</v>
      </c>
      <c r="C74" s="8">
        <f>Transport_1_hub!AT9</f>
        <v>14.535964399999999</v>
      </c>
      <c r="D74" s="8">
        <f>Transport_1_hub!AU9</f>
        <v>212.00992542287398</v>
      </c>
      <c r="E74" s="8">
        <f>Transport_1_hub!AV9</f>
        <v>0.22525183679999997</v>
      </c>
      <c r="F74" s="8">
        <f>Transport_1_hub!AW9</f>
        <v>14.34688564</v>
      </c>
      <c r="G74" s="8">
        <f>Transport_1_hub!AX9</f>
        <v>4.7013021999999998</v>
      </c>
      <c r="H74" s="8">
        <f>Transport_1_hub!AY9</f>
        <v>0.76632509199999999</v>
      </c>
      <c r="I74" s="8">
        <f>Transport_1_hub!AZ9</f>
        <v>2.043120058E-3</v>
      </c>
      <c r="J74" s="8">
        <f>Transport_1_hub!BA9</f>
        <v>3.2926654379999998</v>
      </c>
      <c r="K74" s="8">
        <f>Transport_1_hub!BB9</f>
        <v>0.97448284000000007</v>
      </c>
      <c r="L74" s="8">
        <f>Transport_1_hub!BC9</f>
        <v>0.66656679600000002</v>
      </c>
      <c r="M74" s="8">
        <f>Transport_1_hub!BD9</f>
        <v>1.7542830019999999E-3</v>
      </c>
      <c r="N74" s="8">
        <f>Transport_1_hub!BE9</f>
        <v>0.99912296799999989</v>
      </c>
      <c r="O74" s="8">
        <f>Transport_1_hub!BF9</f>
        <v>-9.3354429400000004E-4</v>
      </c>
      <c r="P74" s="8">
        <f>Transport_1_hub!BG9</f>
        <v>2.0911597520000001E-6</v>
      </c>
      <c r="Q74" s="8">
        <f>Transport_1_hub!BH9</f>
        <v>1.758346912E-2</v>
      </c>
      <c r="R74" s="8">
        <f>Transport_1_hub!BI9</f>
        <v>3.7906869139999994E-2</v>
      </c>
      <c r="S74" s="8">
        <f>Transport_1_hub!BJ9</f>
        <v>3.616537676E-2</v>
      </c>
      <c r="T74" s="8">
        <f>Transport_1_hub!BK9</f>
        <v>2.18873637E-3</v>
      </c>
      <c r="U74" s="8">
        <f>Transport_1_hub!BL9</f>
        <v>0.37232260080000001</v>
      </c>
      <c r="V74" s="9">
        <f>Transport_1_hub!BM9</f>
        <v>3.98498459E-2</v>
      </c>
      <c r="X74" s="22"/>
      <c r="Y74" s="22"/>
      <c r="Z74" s="22"/>
      <c r="AA74" s="22"/>
      <c r="AG74" s="42"/>
      <c r="AL74" s="42"/>
    </row>
    <row r="75" spans="2:38" x14ac:dyDescent="0.25">
      <c r="B75" s="5">
        <f>Transport_1_hub!T10</f>
        <v>42.777999999999999</v>
      </c>
      <c r="C75" s="8">
        <f>Transport_1_hub!AT10</f>
        <v>14.535964399999999</v>
      </c>
      <c r="D75" s="8">
        <f>Transport_1_hub!AU10</f>
        <v>212.00992542287398</v>
      </c>
      <c r="E75" s="8">
        <f>Transport_1_hub!AV10</f>
        <v>0.22525183679999997</v>
      </c>
      <c r="F75" s="8">
        <f>Transport_1_hub!AW10</f>
        <v>14.34688564</v>
      </c>
      <c r="G75" s="8">
        <f>Transport_1_hub!AX10</f>
        <v>4.7013021999999998</v>
      </c>
      <c r="H75" s="8">
        <f>Transport_1_hub!AY10</f>
        <v>0.76632509199999999</v>
      </c>
      <c r="I75" s="8">
        <f>Transport_1_hub!AZ10</f>
        <v>2.043120058E-3</v>
      </c>
      <c r="J75" s="8">
        <f>Transport_1_hub!BA10</f>
        <v>3.2926654379999998</v>
      </c>
      <c r="K75" s="8">
        <f>Transport_1_hub!BB10</f>
        <v>0.97448284000000007</v>
      </c>
      <c r="L75" s="8">
        <f>Transport_1_hub!BC10</f>
        <v>0.66656679600000002</v>
      </c>
      <c r="M75" s="8">
        <f>Transport_1_hub!BD10</f>
        <v>1.7542830019999999E-3</v>
      </c>
      <c r="N75" s="8">
        <f>Transport_1_hub!BE10</f>
        <v>0.99912296799999989</v>
      </c>
      <c r="O75" s="8">
        <f>Transport_1_hub!BF10</f>
        <v>-9.3354429400000004E-4</v>
      </c>
      <c r="P75" s="8">
        <f>Transport_1_hub!BG10</f>
        <v>2.0911597520000001E-6</v>
      </c>
      <c r="Q75" s="8">
        <f>Transport_1_hub!BH10</f>
        <v>1.758346912E-2</v>
      </c>
      <c r="R75" s="8">
        <f>Transport_1_hub!BI10</f>
        <v>3.7906869139999994E-2</v>
      </c>
      <c r="S75" s="8">
        <f>Transport_1_hub!BJ10</f>
        <v>3.616537676E-2</v>
      </c>
      <c r="T75" s="8">
        <f>Transport_1_hub!BK10</f>
        <v>2.18873637E-3</v>
      </c>
      <c r="U75" s="8">
        <f>Transport_1_hub!BL10</f>
        <v>0.37232260080000001</v>
      </c>
      <c r="V75" s="9">
        <f>Transport_1_hub!BM10</f>
        <v>3.98498459E-2</v>
      </c>
      <c r="X75" s="22"/>
      <c r="Y75" s="22"/>
      <c r="Z75" s="22"/>
      <c r="AA75" s="22"/>
      <c r="AG75" s="42"/>
      <c r="AL75" s="42"/>
    </row>
    <row r="76" spans="2:38" x14ac:dyDescent="0.25">
      <c r="B76" s="5">
        <f>Transport_1_hub!T11</f>
        <v>42.777999999999999</v>
      </c>
      <c r="C76" s="8">
        <f>Transport_1_hub!AT11</f>
        <v>14.535964399999999</v>
      </c>
      <c r="D76" s="8">
        <f>Transport_1_hub!AU11</f>
        <v>212.00992542287398</v>
      </c>
      <c r="E76" s="8">
        <f>Transport_1_hub!AV11</f>
        <v>0.22525183679999997</v>
      </c>
      <c r="F76" s="8">
        <f>Transport_1_hub!AW11</f>
        <v>14.34688564</v>
      </c>
      <c r="G76" s="8">
        <f>Transport_1_hub!AX11</f>
        <v>4.7013021999999998</v>
      </c>
      <c r="H76" s="8">
        <f>Transport_1_hub!AY11</f>
        <v>0.76632509199999999</v>
      </c>
      <c r="I76" s="8">
        <f>Transport_1_hub!AZ11</f>
        <v>2.043120058E-3</v>
      </c>
      <c r="J76" s="8">
        <f>Transport_1_hub!BA11</f>
        <v>3.2926654379999998</v>
      </c>
      <c r="K76" s="8">
        <f>Transport_1_hub!BB11</f>
        <v>0.97448284000000007</v>
      </c>
      <c r="L76" s="8">
        <f>Transport_1_hub!BC11</f>
        <v>0.66656679600000002</v>
      </c>
      <c r="M76" s="8">
        <f>Transport_1_hub!BD11</f>
        <v>1.7542830019999999E-3</v>
      </c>
      <c r="N76" s="8">
        <f>Transport_1_hub!BE11</f>
        <v>0.99912296799999989</v>
      </c>
      <c r="O76" s="8">
        <f>Transport_1_hub!BF11</f>
        <v>-9.3354429400000004E-4</v>
      </c>
      <c r="P76" s="8">
        <f>Transport_1_hub!BG11</f>
        <v>2.0911597520000001E-6</v>
      </c>
      <c r="Q76" s="8">
        <f>Transport_1_hub!BH11</f>
        <v>1.758346912E-2</v>
      </c>
      <c r="R76" s="8">
        <f>Transport_1_hub!BI11</f>
        <v>3.7906869139999994E-2</v>
      </c>
      <c r="S76" s="8">
        <f>Transport_1_hub!BJ11</f>
        <v>3.616537676E-2</v>
      </c>
      <c r="T76" s="8">
        <f>Transport_1_hub!BK11</f>
        <v>2.18873637E-3</v>
      </c>
      <c r="U76" s="8">
        <f>Transport_1_hub!BL11</f>
        <v>0.37232260080000001</v>
      </c>
      <c r="V76" s="9">
        <f>Transport_1_hub!BM11</f>
        <v>3.98498459E-2</v>
      </c>
      <c r="X76" s="22"/>
      <c r="Y76" s="22"/>
      <c r="Z76" s="22"/>
      <c r="AA76" s="22"/>
      <c r="AG76" s="42"/>
      <c r="AL76" s="42"/>
    </row>
    <row r="77" spans="2:38" x14ac:dyDescent="0.25">
      <c r="B77" s="5">
        <f>Transport_1_hub!T12</f>
        <v>44.277999999999999</v>
      </c>
      <c r="C77" s="8">
        <f>Transport_1_hub!AT12</f>
        <v>15.0456644</v>
      </c>
      <c r="D77" s="8">
        <f>Transport_1_hub!AU12</f>
        <v>219.44400107237399</v>
      </c>
      <c r="E77" s="8">
        <f>Transport_1_hub!AV12</f>
        <v>0.23315023679999997</v>
      </c>
      <c r="F77" s="8">
        <f>Transport_1_hub!AW12</f>
        <v>14.849955639999999</v>
      </c>
      <c r="G77" s="8">
        <f>Transport_1_hub!AX12</f>
        <v>4.8661522000000001</v>
      </c>
      <c r="H77" s="8">
        <f>Transport_1_hub!AY12</f>
        <v>0.79319609199999996</v>
      </c>
      <c r="I77" s="8">
        <f>Transport_1_hub!AZ12</f>
        <v>2.1147615580000001E-3</v>
      </c>
      <c r="J77" s="8">
        <f>Transport_1_hub!BA12</f>
        <v>3.4081219379999999</v>
      </c>
      <c r="K77" s="8">
        <f>Transport_1_hub!BB12</f>
        <v>1.0086528400000001</v>
      </c>
      <c r="L77" s="8">
        <f>Transport_1_hub!BC12</f>
        <v>0.68993979599999999</v>
      </c>
      <c r="M77" s="8">
        <f>Transport_1_hub!BD12</f>
        <v>1.8157965019999999E-3</v>
      </c>
      <c r="N77" s="8">
        <f>Transport_1_hub!BE12</f>
        <v>1.0341569679999998</v>
      </c>
      <c r="O77" s="8">
        <f>Transport_1_hub!BF12</f>
        <v>-9.6627879399999997E-4</v>
      </c>
      <c r="P77" s="8">
        <f>Transport_1_hub!BG12</f>
        <v>2.1644857520000002E-6</v>
      </c>
      <c r="Q77" s="8">
        <f>Transport_1_hub!BH12</f>
        <v>1.8200029119999999E-2</v>
      </c>
      <c r="R77" s="8">
        <f>Transport_1_hub!BI12</f>
        <v>3.9236064139999999E-2</v>
      </c>
      <c r="S77" s="8">
        <f>Transport_1_hub!BJ12</f>
        <v>3.7433506759999999E-2</v>
      </c>
      <c r="T77" s="8">
        <f>Transport_1_hub!BK12</f>
        <v>2.26548387E-3</v>
      </c>
      <c r="U77" s="8">
        <f>Transport_1_hub!BL12</f>
        <v>0.38537800080000001</v>
      </c>
      <c r="V77" s="9">
        <f>Transport_1_hub!BM12</f>
        <v>4.1247170899999998E-2</v>
      </c>
      <c r="X77" s="22"/>
      <c r="Y77" s="22"/>
      <c r="Z77" s="22"/>
      <c r="AA77" s="22"/>
      <c r="AG77" s="42"/>
      <c r="AL77" s="42"/>
    </row>
    <row r="78" spans="2:38" x14ac:dyDescent="0.25">
      <c r="B78" s="5">
        <f>Transport_1_hub!T13</f>
        <v>44.277999999999999</v>
      </c>
      <c r="C78" s="8">
        <f>Transport_1_hub!AT13</f>
        <v>15.0456644</v>
      </c>
      <c r="D78" s="8">
        <f>Transport_1_hub!AU13</f>
        <v>219.44400107237399</v>
      </c>
      <c r="E78" s="8">
        <f>Transport_1_hub!AV13</f>
        <v>0.23315023679999997</v>
      </c>
      <c r="F78" s="8">
        <f>Transport_1_hub!AW13</f>
        <v>14.849955639999999</v>
      </c>
      <c r="G78" s="8">
        <f>Transport_1_hub!AX13</f>
        <v>4.8661522000000001</v>
      </c>
      <c r="H78" s="8">
        <f>Transport_1_hub!AY13</f>
        <v>0.79319609199999996</v>
      </c>
      <c r="I78" s="8">
        <f>Transport_1_hub!AZ13</f>
        <v>2.1147615580000001E-3</v>
      </c>
      <c r="J78" s="8">
        <f>Transport_1_hub!BA13</f>
        <v>3.4081219379999999</v>
      </c>
      <c r="K78" s="8">
        <f>Transport_1_hub!BB13</f>
        <v>1.0086528400000001</v>
      </c>
      <c r="L78" s="8">
        <f>Transport_1_hub!BC13</f>
        <v>0.68993979599999999</v>
      </c>
      <c r="M78" s="8">
        <f>Transport_1_hub!BD13</f>
        <v>1.8157965019999999E-3</v>
      </c>
      <c r="N78" s="8">
        <f>Transport_1_hub!BE13</f>
        <v>1.0341569679999998</v>
      </c>
      <c r="O78" s="8">
        <f>Transport_1_hub!BF13</f>
        <v>-9.6627879399999997E-4</v>
      </c>
      <c r="P78" s="8">
        <f>Transport_1_hub!BG13</f>
        <v>2.1644857520000002E-6</v>
      </c>
      <c r="Q78" s="8">
        <f>Transport_1_hub!BH13</f>
        <v>1.8200029119999999E-2</v>
      </c>
      <c r="R78" s="8">
        <f>Transport_1_hub!BI13</f>
        <v>3.9236064139999999E-2</v>
      </c>
      <c r="S78" s="8">
        <f>Transport_1_hub!BJ13</f>
        <v>3.7433506759999999E-2</v>
      </c>
      <c r="T78" s="8">
        <f>Transport_1_hub!BK13</f>
        <v>2.26548387E-3</v>
      </c>
      <c r="U78" s="8">
        <f>Transport_1_hub!BL13</f>
        <v>0.38537800080000001</v>
      </c>
      <c r="V78" s="9">
        <f>Transport_1_hub!BM13</f>
        <v>4.1247170899999998E-2</v>
      </c>
      <c r="X78" s="22"/>
      <c r="Y78" s="22"/>
      <c r="Z78" s="22"/>
      <c r="AA78" s="22"/>
      <c r="AG78" s="42"/>
      <c r="AL78" s="42"/>
    </row>
    <row r="79" spans="2:38" x14ac:dyDescent="0.25">
      <c r="B79" s="5">
        <f>Transport_1_hub!T14</f>
        <v>125.387</v>
      </c>
      <c r="C79" s="8">
        <f>Transport_1_hub!AT14</f>
        <v>42.606502599999999</v>
      </c>
      <c r="D79" s="8">
        <f>Transport_1_hub!AU14</f>
        <v>621.424295642571</v>
      </c>
      <c r="E79" s="8">
        <f>Transport_1_hub!AV14</f>
        <v>0.66023778719999993</v>
      </c>
      <c r="F79" s="8">
        <f>Transport_1_hub!AW14</f>
        <v>42.052292059999999</v>
      </c>
      <c r="G79" s="8">
        <f>Transport_1_hub!AX14</f>
        <v>13.780031299999999</v>
      </c>
      <c r="H79" s="8">
        <f>Transport_1_hub!AY14</f>
        <v>2.246182718</v>
      </c>
      <c r="I79" s="8">
        <f>Transport_1_hub!AZ14</f>
        <v>5.9886085069999996E-3</v>
      </c>
      <c r="J79" s="8">
        <f>Transport_1_hub!BA14</f>
        <v>9.6511627769999997</v>
      </c>
      <c r="K79" s="8">
        <f>Transport_1_hub!BB14</f>
        <v>2.85631586</v>
      </c>
      <c r="L79" s="8">
        <f>Transport_1_hub!BC14</f>
        <v>1.9537802340000001</v>
      </c>
      <c r="M79" s="8">
        <f>Transport_1_hub!BD14</f>
        <v>5.1419954830000001E-3</v>
      </c>
      <c r="N79" s="8">
        <f>Transport_1_hub!BE14</f>
        <v>2.928538772</v>
      </c>
      <c r="O79" s="8">
        <f>Transport_1_hub!BF14</f>
        <v>-2.7363205010000002E-3</v>
      </c>
      <c r="P79" s="8">
        <f>Transport_1_hub!BG14</f>
        <v>6.1294181080000002E-6</v>
      </c>
      <c r="Q79" s="8">
        <f>Transport_1_hub!BH14</f>
        <v>5.1539072479999996E-2</v>
      </c>
      <c r="R79" s="8">
        <f>Transport_1_hub!BI14</f>
        <v>0.11110918231</v>
      </c>
      <c r="S79" s="8">
        <f>Transport_1_hub!BJ14</f>
        <v>0.10600467754000001</v>
      </c>
      <c r="T79" s="8">
        <f>Transport_1_hub!BK14</f>
        <v>6.4154258550000003E-3</v>
      </c>
      <c r="U79" s="8">
        <f>Transport_1_hub!BL14</f>
        <v>1.0913182932000001</v>
      </c>
      <c r="V79" s="9">
        <f>Transport_1_hub!BM14</f>
        <v>0.11680425984999999</v>
      </c>
      <c r="X79" s="22"/>
      <c r="Y79" s="22"/>
      <c r="Z79" s="22"/>
      <c r="AA79" s="22"/>
      <c r="AG79" s="42"/>
      <c r="AL79" s="42"/>
    </row>
    <row r="80" spans="2:38" x14ac:dyDescent="0.25">
      <c r="B80" s="5">
        <f>Transport_1_hub!T15</f>
        <v>126.72499999999999</v>
      </c>
      <c r="C80" s="8">
        <f>Transport_1_hub!AT15</f>
        <v>43.061154999999999</v>
      </c>
      <c r="D80" s="8">
        <f>Transport_1_hub!AU15</f>
        <v>628.05549112192489</v>
      </c>
      <c r="E80" s="8">
        <f>Transport_1_hub!AV15</f>
        <v>0.66728315999999988</v>
      </c>
      <c r="F80" s="8">
        <f>Transport_1_hub!AW15</f>
        <v>42.501030499999999</v>
      </c>
      <c r="G80" s="8">
        <f>Transport_1_hub!AX15</f>
        <v>13.927077499999999</v>
      </c>
      <c r="H80" s="8">
        <f>Transport_1_hub!AY15</f>
        <v>2.2701516499999999</v>
      </c>
      <c r="I80" s="8">
        <f>Transport_1_hub!AZ15</f>
        <v>6.0525127249999996E-3</v>
      </c>
      <c r="J80" s="8">
        <f>Transport_1_hub!BA15</f>
        <v>9.7541499749999989</v>
      </c>
      <c r="K80" s="8">
        <f>Transport_1_hub!BB15</f>
        <v>2.8867955000000003</v>
      </c>
      <c r="L80" s="8">
        <f>Transport_1_hub!BC15</f>
        <v>1.97462895</v>
      </c>
      <c r="M80" s="8">
        <f>Transport_1_hub!BD15</f>
        <v>5.1968655249999994E-3</v>
      </c>
      <c r="N80" s="8">
        <f>Transport_1_hub!BE15</f>
        <v>2.9597890999999996</v>
      </c>
      <c r="O80" s="8">
        <f>Transport_1_hub!BF15</f>
        <v>-2.765519675E-3</v>
      </c>
      <c r="P80" s="8">
        <f>Transport_1_hub!BG15</f>
        <v>6.1948249000000005E-6</v>
      </c>
      <c r="Q80" s="8">
        <f>Transport_1_hub!BH15</f>
        <v>5.2089043999999994E-2</v>
      </c>
      <c r="R80" s="8">
        <f>Transport_1_hub!BI15</f>
        <v>0.11229482424999999</v>
      </c>
      <c r="S80" s="8">
        <f>Transport_1_hub!BJ15</f>
        <v>0.1071358495</v>
      </c>
      <c r="T80" s="8">
        <f>Transport_1_hub!BK15</f>
        <v>6.4838846250000002E-3</v>
      </c>
      <c r="U80" s="8">
        <f>Transport_1_hub!BL15</f>
        <v>1.10296371</v>
      </c>
      <c r="V80" s="9">
        <f>Transport_1_hub!BM15</f>
        <v>0.11805067374999999</v>
      </c>
      <c r="X80" s="22"/>
      <c r="Y80" s="22"/>
      <c r="Z80" s="22"/>
      <c r="AA80" s="22"/>
      <c r="AG80" s="42"/>
      <c r="AH80" s="41"/>
      <c r="AL80" s="42"/>
    </row>
    <row r="81" spans="2:38" x14ac:dyDescent="0.25">
      <c r="B81" s="5">
        <f>Transport_1_hub!T16</f>
        <v>212.905</v>
      </c>
      <c r="C81" s="8">
        <f>Transport_1_hub!AT16</f>
        <v>72.345118999999997</v>
      </c>
      <c r="D81" s="8">
        <f>Transport_1_hub!AU16</f>
        <v>1055.1679174378648</v>
      </c>
      <c r="E81" s="8">
        <f>Transport_1_hub!AV16</f>
        <v>1.121072568</v>
      </c>
      <c r="F81" s="8">
        <f>Transport_1_hub!AW16</f>
        <v>71.404078900000002</v>
      </c>
      <c r="G81" s="8">
        <f>Transport_1_hub!AX16</f>
        <v>23.398259499999998</v>
      </c>
      <c r="H81" s="8">
        <f>Transport_1_hub!AY16</f>
        <v>3.8139801699999998</v>
      </c>
      <c r="I81" s="8">
        <f>Transport_1_hub!AZ16</f>
        <v>1.0168555705E-2</v>
      </c>
      <c r="J81" s="8">
        <f>Transport_1_hub!BA16</f>
        <v>16.387510755000001</v>
      </c>
      <c r="K81" s="8">
        <f>Transport_1_hub!BB16</f>
        <v>4.8499759000000005</v>
      </c>
      <c r="L81" s="8">
        <f>Transport_1_hub!BC16</f>
        <v>3.3174857100000001</v>
      </c>
      <c r="M81" s="8">
        <f>Transport_1_hub!BD16</f>
        <v>8.7310211450000001E-3</v>
      </c>
      <c r="N81" s="8">
        <f>Transport_1_hub!BE16</f>
        <v>4.9726091800000001</v>
      </c>
      <c r="O81" s="8">
        <f>Transport_1_hub!BF16</f>
        <v>-4.6462258150000001E-3</v>
      </c>
      <c r="P81" s="8">
        <f>Transport_1_hub!BG16</f>
        <v>1.0407648020000001E-5</v>
      </c>
      <c r="Q81" s="8">
        <f>Transport_1_hub!BH16</f>
        <v>8.7512471199999997E-2</v>
      </c>
      <c r="R81" s="8">
        <f>Transport_1_hub!BI16</f>
        <v>0.18866150764999998</v>
      </c>
      <c r="S81" s="8">
        <f>Transport_1_hub!BJ16</f>
        <v>0.1799941451</v>
      </c>
      <c r="T81" s="8">
        <f>Transport_1_hub!BK16</f>
        <v>1.0893284325E-2</v>
      </c>
      <c r="U81" s="8">
        <f>Transport_1_hub!BL16</f>
        <v>1.8530399580000001</v>
      </c>
      <c r="V81" s="9">
        <f>Transport_1_hub!BM16</f>
        <v>0.19833165275</v>
      </c>
      <c r="X81" s="22"/>
      <c r="Y81" s="22"/>
      <c r="Z81" s="22"/>
      <c r="AA81" s="22"/>
      <c r="AG81" s="42"/>
      <c r="AL81" s="42"/>
    </row>
    <row r="82" spans="2:38" x14ac:dyDescent="0.25">
      <c r="B82" s="5">
        <f>Transport_1_hub!T17</f>
        <v>212.905</v>
      </c>
      <c r="C82" s="8">
        <f>Transport_1_hub!AT17</f>
        <v>72.345118999999997</v>
      </c>
      <c r="D82" s="8">
        <f>Transport_1_hub!AU17</f>
        <v>1055.1679174378648</v>
      </c>
      <c r="E82" s="8">
        <f>Transport_1_hub!AV17</f>
        <v>1.121072568</v>
      </c>
      <c r="F82" s="8">
        <f>Transport_1_hub!AW17</f>
        <v>71.404078900000002</v>
      </c>
      <c r="G82" s="8">
        <f>Transport_1_hub!AX17</f>
        <v>23.398259499999998</v>
      </c>
      <c r="H82" s="8">
        <f>Transport_1_hub!AY17</f>
        <v>3.8139801699999998</v>
      </c>
      <c r="I82" s="8">
        <f>Transport_1_hub!AZ17</f>
        <v>1.0168555705E-2</v>
      </c>
      <c r="J82" s="8">
        <f>Transport_1_hub!BA17</f>
        <v>16.387510755000001</v>
      </c>
      <c r="K82" s="8">
        <f>Transport_1_hub!BB17</f>
        <v>4.8499759000000005</v>
      </c>
      <c r="L82" s="8">
        <f>Transport_1_hub!BC17</f>
        <v>3.3174857100000001</v>
      </c>
      <c r="M82" s="8">
        <f>Transport_1_hub!BD17</f>
        <v>8.7310211450000001E-3</v>
      </c>
      <c r="N82" s="8">
        <f>Transport_1_hub!BE17</f>
        <v>4.9726091800000001</v>
      </c>
      <c r="O82" s="8">
        <f>Transport_1_hub!BF17</f>
        <v>-4.6462258150000001E-3</v>
      </c>
      <c r="P82" s="8">
        <f>Transport_1_hub!BG17</f>
        <v>1.0407648020000001E-5</v>
      </c>
      <c r="Q82" s="8">
        <f>Transport_1_hub!BH17</f>
        <v>8.7512471199999997E-2</v>
      </c>
      <c r="R82" s="8">
        <f>Transport_1_hub!BI17</f>
        <v>0.18866150764999998</v>
      </c>
      <c r="S82" s="8">
        <f>Transport_1_hub!BJ17</f>
        <v>0.1799941451</v>
      </c>
      <c r="T82" s="8">
        <f>Transport_1_hub!BK17</f>
        <v>1.0893284325E-2</v>
      </c>
      <c r="U82" s="8">
        <f>Transport_1_hub!BL17</f>
        <v>1.8530399580000001</v>
      </c>
      <c r="V82" s="9">
        <f>Transport_1_hub!BM17</f>
        <v>0.19833165275</v>
      </c>
      <c r="X82" s="22"/>
      <c r="Y82" s="22"/>
      <c r="Z82" s="22"/>
      <c r="AA82" s="22"/>
      <c r="AG82" s="42"/>
      <c r="AH82" s="41"/>
      <c r="AL82" s="42"/>
    </row>
    <row r="83" spans="2:38" x14ac:dyDescent="0.25">
      <c r="B83" s="5">
        <f>Transport_1_hub!T18</f>
        <v>212.905</v>
      </c>
      <c r="C83" s="8">
        <f>Transport_1_hub!AT18</f>
        <v>72.345118999999997</v>
      </c>
      <c r="D83" s="8">
        <f>Transport_1_hub!AU18</f>
        <v>1055.1679174378648</v>
      </c>
      <c r="E83" s="8">
        <f>Transport_1_hub!AV18</f>
        <v>1.121072568</v>
      </c>
      <c r="F83" s="8">
        <f>Transport_1_hub!AW18</f>
        <v>71.404078900000002</v>
      </c>
      <c r="G83" s="8">
        <f>Transport_1_hub!AX18</f>
        <v>23.398259499999998</v>
      </c>
      <c r="H83" s="8">
        <f>Transport_1_hub!AY18</f>
        <v>3.8139801699999998</v>
      </c>
      <c r="I83" s="8">
        <f>Transport_1_hub!AZ18</f>
        <v>1.0168555705E-2</v>
      </c>
      <c r="J83" s="8">
        <f>Transport_1_hub!BA18</f>
        <v>16.387510755000001</v>
      </c>
      <c r="K83" s="8">
        <f>Transport_1_hub!BB18</f>
        <v>4.8499759000000005</v>
      </c>
      <c r="L83" s="8">
        <f>Transport_1_hub!BC18</f>
        <v>3.3174857100000001</v>
      </c>
      <c r="M83" s="8">
        <f>Transport_1_hub!BD18</f>
        <v>8.7310211450000001E-3</v>
      </c>
      <c r="N83" s="8">
        <f>Transport_1_hub!BE18</f>
        <v>4.9726091800000001</v>
      </c>
      <c r="O83" s="8">
        <f>Transport_1_hub!BF18</f>
        <v>-4.6462258150000001E-3</v>
      </c>
      <c r="P83" s="8">
        <f>Transport_1_hub!BG18</f>
        <v>1.0407648020000001E-5</v>
      </c>
      <c r="Q83" s="8">
        <f>Transport_1_hub!BH18</f>
        <v>8.7512471199999997E-2</v>
      </c>
      <c r="R83" s="8">
        <f>Transport_1_hub!BI18</f>
        <v>0.18866150764999998</v>
      </c>
      <c r="S83" s="8">
        <f>Transport_1_hub!BJ18</f>
        <v>0.1799941451</v>
      </c>
      <c r="T83" s="8">
        <f>Transport_1_hub!BK18</f>
        <v>1.0893284325E-2</v>
      </c>
      <c r="U83" s="8">
        <f>Transport_1_hub!BL18</f>
        <v>1.8530399580000001</v>
      </c>
      <c r="V83" s="9">
        <f>Transport_1_hub!BM18</f>
        <v>0.19833165275</v>
      </c>
      <c r="X83" s="22"/>
      <c r="Y83" s="22"/>
      <c r="Z83" s="22"/>
      <c r="AA83" s="22"/>
      <c r="AG83" s="42"/>
      <c r="AH83" s="41"/>
      <c r="AL83" s="42"/>
    </row>
    <row r="84" spans="2:38" x14ac:dyDescent="0.25">
      <c r="B84" s="5">
        <f>Transport_1_hub!T19</f>
        <v>212.905</v>
      </c>
      <c r="C84" s="8">
        <f>Transport_1_hub!AT19</f>
        <v>72.345118999999997</v>
      </c>
      <c r="D84" s="8">
        <f>Transport_1_hub!AU19</f>
        <v>1055.1679174378648</v>
      </c>
      <c r="E84" s="8">
        <f>Transport_1_hub!AV19</f>
        <v>1.121072568</v>
      </c>
      <c r="F84" s="8">
        <f>Transport_1_hub!AW19</f>
        <v>71.404078900000002</v>
      </c>
      <c r="G84" s="8">
        <f>Transport_1_hub!AX19</f>
        <v>23.398259499999998</v>
      </c>
      <c r="H84" s="8">
        <f>Transport_1_hub!AY19</f>
        <v>3.8139801699999998</v>
      </c>
      <c r="I84" s="8">
        <f>Transport_1_hub!AZ19</f>
        <v>1.0168555705E-2</v>
      </c>
      <c r="J84" s="8">
        <f>Transport_1_hub!BA19</f>
        <v>16.387510755000001</v>
      </c>
      <c r="K84" s="8">
        <f>Transport_1_hub!BB19</f>
        <v>4.8499759000000005</v>
      </c>
      <c r="L84" s="8">
        <f>Transport_1_hub!BC19</f>
        <v>3.3174857100000001</v>
      </c>
      <c r="M84" s="8">
        <f>Transport_1_hub!BD19</f>
        <v>8.7310211450000001E-3</v>
      </c>
      <c r="N84" s="8">
        <f>Transport_1_hub!BE19</f>
        <v>4.9726091800000001</v>
      </c>
      <c r="O84" s="8">
        <f>Transport_1_hub!BF19</f>
        <v>-4.6462258150000001E-3</v>
      </c>
      <c r="P84" s="8">
        <f>Transport_1_hub!BG19</f>
        <v>1.0407648020000001E-5</v>
      </c>
      <c r="Q84" s="8">
        <f>Transport_1_hub!BH19</f>
        <v>8.7512471199999997E-2</v>
      </c>
      <c r="R84" s="8">
        <f>Transport_1_hub!BI19</f>
        <v>0.18866150764999998</v>
      </c>
      <c r="S84" s="8">
        <f>Transport_1_hub!BJ19</f>
        <v>0.1799941451</v>
      </c>
      <c r="T84" s="8">
        <f>Transport_1_hub!BK19</f>
        <v>1.0893284325E-2</v>
      </c>
      <c r="U84" s="8">
        <f>Transport_1_hub!BL19</f>
        <v>1.8530399580000001</v>
      </c>
      <c r="V84" s="9">
        <f>Transport_1_hub!BM19</f>
        <v>0.19833165275</v>
      </c>
      <c r="X84" s="22"/>
      <c r="Y84" s="22"/>
      <c r="Z84" s="22"/>
      <c r="AA84" s="22"/>
      <c r="AG84" s="42"/>
      <c r="AL84" s="42"/>
    </row>
    <row r="85" spans="2:38" x14ac:dyDescent="0.25">
      <c r="B85" s="5">
        <f>Transport_1_hub!T20</f>
        <v>212.905</v>
      </c>
      <c r="C85" s="8">
        <f>Transport_1_hub!AT20</f>
        <v>72.345118999999997</v>
      </c>
      <c r="D85" s="8">
        <f>Transport_1_hub!AU20</f>
        <v>1055.1679174378648</v>
      </c>
      <c r="E85" s="8">
        <f>Transport_1_hub!AV20</f>
        <v>1.121072568</v>
      </c>
      <c r="F85" s="8">
        <f>Transport_1_hub!AW20</f>
        <v>71.404078900000002</v>
      </c>
      <c r="G85" s="8">
        <f>Transport_1_hub!AX20</f>
        <v>23.398259499999998</v>
      </c>
      <c r="H85" s="8">
        <f>Transport_1_hub!AY20</f>
        <v>3.8139801699999998</v>
      </c>
      <c r="I85" s="8">
        <f>Transport_1_hub!AZ20</f>
        <v>1.0168555705E-2</v>
      </c>
      <c r="J85" s="8">
        <f>Transport_1_hub!BA20</f>
        <v>16.387510755000001</v>
      </c>
      <c r="K85" s="8">
        <f>Transport_1_hub!BB20</f>
        <v>4.8499759000000005</v>
      </c>
      <c r="L85" s="8">
        <f>Transport_1_hub!BC20</f>
        <v>3.3174857100000001</v>
      </c>
      <c r="M85" s="8">
        <f>Transport_1_hub!BD20</f>
        <v>8.7310211450000001E-3</v>
      </c>
      <c r="N85" s="8">
        <f>Transport_1_hub!BE20</f>
        <v>4.9726091800000001</v>
      </c>
      <c r="O85" s="8">
        <f>Transport_1_hub!BF20</f>
        <v>-4.6462258150000001E-3</v>
      </c>
      <c r="P85" s="8">
        <f>Transport_1_hub!BG20</f>
        <v>1.0407648020000001E-5</v>
      </c>
      <c r="Q85" s="8">
        <f>Transport_1_hub!BH20</f>
        <v>8.7512471199999997E-2</v>
      </c>
      <c r="R85" s="8">
        <f>Transport_1_hub!BI20</f>
        <v>0.18866150764999998</v>
      </c>
      <c r="S85" s="8">
        <f>Transport_1_hub!BJ20</f>
        <v>0.1799941451</v>
      </c>
      <c r="T85" s="8">
        <f>Transport_1_hub!BK20</f>
        <v>1.0893284325E-2</v>
      </c>
      <c r="U85" s="8">
        <f>Transport_1_hub!BL20</f>
        <v>1.8530399580000001</v>
      </c>
      <c r="V85" s="9">
        <f>Transport_1_hub!BM20</f>
        <v>0.19833165275</v>
      </c>
      <c r="X85" s="22"/>
      <c r="Y85" s="22"/>
      <c r="Z85" s="22"/>
      <c r="AA85" s="22"/>
      <c r="AG85" s="42"/>
      <c r="AH85" s="41"/>
      <c r="AL85" s="42"/>
    </row>
    <row r="86" spans="2:38" x14ac:dyDescent="0.25">
      <c r="B86" s="5">
        <f>Transport_1_hub!T21</f>
        <v>215.036</v>
      </c>
      <c r="C86" s="8">
        <f>Transport_1_hub!AT21</f>
        <v>73.069232799999995</v>
      </c>
      <c r="D86" s="8">
        <f>Transport_1_hub!AU21</f>
        <v>1065.729260910588</v>
      </c>
      <c r="E86" s="8">
        <f>Transport_1_hub!AV21</f>
        <v>1.1322935615999998</v>
      </c>
      <c r="F86" s="8">
        <f>Transport_1_hub!AW21</f>
        <v>72.118773680000004</v>
      </c>
      <c r="G86" s="8">
        <f>Transport_1_hub!AX21</f>
        <v>23.632456399999999</v>
      </c>
      <c r="H86" s="8">
        <f>Transport_1_hub!AY21</f>
        <v>3.8521549039999998</v>
      </c>
      <c r="I86" s="8">
        <f>Transport_1_hub!AZ21</f>
        <v>1.0270334395999999E-2</v>
      </c>
      <c r="J86" s="8">
        <f>Transport_1_hub!BA21</f>
        <v>16.551535955999999</v>
      </c>
      <c r="K86" s="8">
        <f>Transport_1_hub!BB21</f>
        <v>4.8985200799999999</v>
      </c>
      <c r="L86" s="8">
        <f>Transport_1_hub!BC21</f>
        <v>3.3506909519999999</v>
      </c>
      <c r="M86" s="8">
        <f>Transport_1_hub!BD21</f>
        <v>8.8184113240000004E-3</v>
      </c>
      <c r="N86" s="8">
        <f>Transport_1_hub!BE21</f>
        <v>5.0223808160000001</v>
      </c>
      <c r="O86" s="8">
        <f>Transport_1_hub!BF21</f>
        <v>-4.6927306280000001E-3</v>
      </c>
      <c r="P86" s="8">
        <f>Transport_1_hub!BG21</f>
        <v>1.0511819824000001E-5</v>
      </c>
      <c r="Q86" s="8">
        <f>Transport_1_hub!BH21</f>
        <v>8.8388397440000002E-2</v>
      </c>
      <c r="R86" s="8">
        <f>Transport_1_hub!BI21</f>
        <v>0.19054985067999999</v>
      </c>
      <c r="S86" s="8">
        <f>Transport_1_hub!BJ21</f>
        <v>0.18179573512000002</v>
      </c>
      <c r="T86" s="8">
        <f>Transport_1_hub!BK21</f>
        <v>1.1002316940000001E-2</v>
      </c>
      <c r="U86" s="8">
        <f>Transport_1_hub!BL21</f>
        <v>1.8715873296000001</v>
      </c>
      <c r="V86" s="9">
        <f>Transport_1_hub!BM21</f>
        <v>0.20031678579999998</v>
      </c>
      <c r="X86" s="22"/>
      <c r="Y86" s="22"/>
      <c r="Z86" s="22"/>
      <c r="AA86" s="22"/>
      <c r="AG86" s="42"/>
      <c r="AH86" s="41"/>
      <c r="AL86" s="42"/>
    </row>
    <row r="87" spans="2:38" x14ac:dyDescent="0.25">
      <c r="B87" s="5">
        <f>Transport_1_hub!T22</f>
        <v>215.036</v>
      </c>
      <c r="C87" s="8">
        <f>Transport_1_hub!AT22</f>
        <v>73.069232799999995</v>
      </c>
      <c r="D87" s="8">
        <f>Transport_1_hub!AU22</f>
        <v>1065.729260910588</v>
      </c>
      <c r="E87" s="8">
        <f>Transport_1_hub!AV22</f>
        <v>1.1322935615999998</v>
      </c>
      <c r="F87" s="8">
        <f>Transport_1_hub!AW22</f>
        <v>72.118773680000004</v>
      </c>
      <c r="G87" s="8">
        <f>Transport_1_hub!AX22</f>
        <v>23.632456399999999</v>
      </c>
      <c r="H87" s="8">
        <f>Transport_1_hub!AY22</f>
        <v>3.8521549039999998</v>
      </c>
      <c r="I87" s="8">
        <f>Transport_1_hub!AZ22</f>
        <v>1.0270334395999999E-2</v>
      </c>
      <c r="J87" s="8">
        <f>Transport_1_hub!BA22</f>
        <v>16.551535955999999</v>
      </c>
      <c r="K87" s="8">
        <f>Transport_1_hub!BB22</f>
        <v>4.8985200799999999</v>
      </c>
      <c r="L87" s="8">
        <f>Transport_1_hub!BC22</f>
        <v>3.3506909519999999</v>
      </c>
      <c r="M87" s="8">
        <f>Transport_1_hub!BD22</f>
        <v>8.8184113240000004E-3</v>
      </c>
      <c r="N87" s="8">
        <f>Transport_1_hub!BE22</f>
        <v>5.0223808160000001</v>
      </c>
      <c r="O87" s="8">
        <f>Transport_1_hub!BF22</f>
        <v>-4.6927306280000001E-3</v>
      </c>
      <c r="P87" s="8">
        <f>Transport_1_hub!BG22</f>
        <v>1.0511819824000001E-5</v>
      </c>
      <c r="Q87" s="8">
        <f>Transport_1_hub!BH22</f>
        <v>8.8388397440000002E-2</v>
      </c>
      <c r="R87" s="8">
        <f>Transport_1_hub!BI22</f>
        <v>0.19054985067999999</v>
      </c>
      <c r="S87" s="8">
        <f>Transport_1_hub!BJ22</f>
        <v>0.18179573512000002</v>
      </c>
      <c r="T87" s="8">
        <f>Transport_1_hub!BK22</f>
        <v>1.1002316940000001E-2</v>
      </c>
      <c r="U87" s="8">
        <f>Transport_1_hub!BL22</f>
        <v>1.8715873296000001</v>
      </c>
      <c r="V87" s="9">
        <f>Transport_1_hub!BM22</f>
        <v>0.20031678579999998</v>
      </c>
      <c r="X87" s="22"/>
      <c r="Y87" s="22"/>
      <c r="Z87" s="22"/>
      <c r="AA87" s="22"/>
      <c r="AG87" s="42"/>
      <c r="AL87" s="42"/>
    </row>
    <row r="88" spans="2:38" x14ac:dyDescent="0.25">
      <c r="B88" s="5">
        <f>Transport_1_hub!T23</f>
        <v>215.036</v>
      </c>
      <c r="C88" s="8">
        <f>Transport_1_hub!AT23</f>
        <v>73.069232799999995</v>
      </c>
      <c r="D88" s="8">
        <f>Transport_1_hub!AU23</f>
        <v>1065.729260910588</v>
      </c>
      <c r="E88" s="8">
        <f>Transport_1_hub!AV23</f>
        <v>1.1322935615999998</v>
      </c>
      <c r="F88" s="8">
        <f>Transport_1_hub!AW23</f>
        <v>72.118773680000004</v>
      </c>
      <c r="G88" s="8">
        <f>Transport_1_hub!AX23</f>
        <v>23.632456399999999</v>
      </c>
      <c r="H88" s="8">
        <f>Transport_1_hub!AY23</f>
        <v>3.8521549039999998</v>
      </c>
      <c r="I88" s="8">
        <f>Transport_1_hub!AZ23</f>
        <v>1.0270334395999999E-2</v>
      </c>
      <c r="J88" s="8">
        <f>Transport_1_hub!BA23</f>
        <v>16.551535955999999</v>
      </c>
      <c r="K88" s="8">
        <f>Transport_1_hub!BB23</f>
        <v>4.8985200799999999</v>
      </c>
      <c r="L88" s="8">
        <f>Transport_1_hub!BC23</f>
        <v>3.3506909519999999</v>
      </c>
      <c r="M88" s="8">
        <f>Transport_1_hub!BD23</f>
        <v>8.8184113240000004E-3</v>
      </c>
      <c r="N88" s="8">
        <f>Transport_1_hub!BE23</f>
        <v>5.0223808160000001</v>
      </c>
      <c r="O88" s="8">
        <f>Transport_1_hub!BF23</f>
        <v>-4.6927306280000001E-3</v>
      </c>
      <c r="P88" s="8">
        <f>Transport_1_hub!BG23</f>
        <v>1.0511819824000001E-5</v>
      </c>
      <c r="Q88" s="8">
        <f>Transport_1_hub!BH23</f>
        <v>8.8388397440000002E-2</v>
      </c>
      <c r="R88" s="8">
        <f>Transport_1_hub!BI23</f>
        <v>0.19054985067999999</v>
      </c>
      <c r="S88" s="8">
        <f>Transport_1_hub!BJ23</f>
        <v>0.18179573512000002</v>
      </c>
      <c r="T88" s="8">
        <f>Transport_1_hub!BK23</f>
        <v>1.1002316940000001E-2</v>
      </c>
      <c r="U88" s="8">
        <f>Transport_1_hub!BL23</f>
        <v>1.8715873296000001</v>
      </c>
      <c r="V88" s="9">
        <f>Transport_1_hub!BM23</f>
        <v>0.20031678579999998</v>
      </c>
      <c r="X88" s="22"/>
      <c r="Y88" s="22"/>
      <c r="Z88" s="22"/>
      <c r="AA88" s="22"/>
      <c r="AG88" s="42"/>
      <c r="AL88" s="42"/>
    </row>
    <row r="89" spans="2:38" x14ac:dyDescent="0.25">
      <c r="B89" s="5">
        <f>Transport_1_hub!T24</f>
        <v>215.036</v>
      </c>
      <c r="C89" s="8">
        <f>Transport_1_hub!AT24</f>
        <v>73.069232799999995</v>
      </c>
      <c r="D89" s="8">
        <f>Transport_1_hub!AU24</f>
        <v>1065.729260910588</v>
      </c>
      <c r="E89" s="8">
        <f>Transport_1_hub!AV24</f>
        <v>1.1322935615999998</v>
      </c>
      <c r="F89" s="8">
        <f>Transport_1_hub!AW24</f>
        <v>72.118773680000004</v>
      </c>
      <c r="G89" s="8">
        <f>Transport_1_hub!AX24</f>
        <v>23.632456399999999</v>
      </c>
      <c r="H89" s="8">
        <f>Transport_1_hub!AY24</f>
        <v>3.8521549039999998</v>
      </c>
      <c r="I89" s="8">
        <f>Transport_1_hub!AZ24</f>
        <v>1.0270334395999999E-2</v>
      </c>
      <c r="J89" s="8">
        <f>Transport_1_hub!BA24</f>
        <v>16.551535955999999</v>
      </c>
      <c r="K89" s="8">
        <f>Transport_1_hub!BB24</f>
        <v>4.8985200799999999</v>
      </c>
      <c r="L89" s="8">
        <f>Transport_1_hub!BC24</f>
        <v>3.3506909519999999</v>
      </c>
      <c r="M89" s="8">
        <f>Transport_1_hub!BD24</f>
        <v>8.8184113240000004E-3</v>
      </c>
      <c r="N89" s="8">
        <f>Transport_1_hub!BE24</f>
        <v>5.0223808160000001</v>
      </c>
      <c r="O89" s="8">
        <f>Transport_1_hub!BF24</f>
        <v>-4.6927306280000001E-3</v>
      </c>
      <c r="P89" s="8">
        <f>Transport_1_hub!BG24</f>
        <v>1.0511819824000001E-5</v>
      </c>
      <c r="Q89" s="8">
        <f>Transport_1_hub!BH24</f>
        <v>8.8388397440000002E-2</v>
      </c>
      <c r="R89" s="8">
        <f>Transport_1_hub!BI24</f>
        <v>0.19054985067999999</v>
      </c>
      <c r="S89" s="8">
        <f>Transport_1_hub!BJ24</f>
        <v>0.18179573512000002</v>
      </c>
      <c r="T89" s="8">
        <f>Transport_1_hub!BK24</f>
        <v>1.1002316940000001E-2</v>
      </c>
      <c r="U89" s="8">
        <f>Transport_1_hub!BL24</f>
        <v>1.8715873296000001</v>
      </c>
      <c r="V89" s="9">
        <f>Transport_1_hub!BM24</f>
        <v>0.20031678579999998</v>
      </c>
      <c r="X89" s="22"/>
      <c r="Y89" s="22"/>
      <c r="Z89" s="22"/>
      <c r="AA89" s="22"/>
      <c r="AG89" s="42"/>
      <c r="AL89" s="42"/>
    </row>
    <row r="90" spans="2:38" x14ac:dyDescent="0.25">
      <c r="B90" s="5">
        <f>Transport_1_hub!T25</f>
        <v>215.036</v>
      </c>
      <c r="C90" s="8">
        <f>Transport_1_hub!AT25</f>
        <v>73.069232799999995</v>
      </c>
      <c r="D90" s="8">
        <f>Transport_1_hub!AU25</f>
        <v>1065.729260910588</v>
      </c>
      <c r="E90" s="8">
        <f>Transport_1_hub!AV25</f>
        <v>1.1322935615999998</v>
      </c>
      <c r="F90" s="8">
        <f>Transport_1_hub!AW25</f>
        <v>72.118773680000004</v>
      </c>
      <c r="G90" s="8">
        <f>Transport_1_hub!AX25</f>
        <v>23.632456399999999</v>
      </c>
      <c r="H90" s="8">
        <f>Transport_1_hub!AY25</f>
        <v>3.8521549039999998</v>
      </c>
      <c r="I90" s="8">
        <f>Transport_1_hub!AZ25</f>
        <v>1.0270334395999999E-2</v>
      </c>
      <c r="J90" s="8">
        <f>Transport_1_hub!BA25</f>
        <v>16.551535955999999</v>
      </c>
      <c r="K90" s="8">
        <f>Transport_1_hub!BB25</f>
        <v>4.8985200799999999</v>
      </c>
      <c r="L90" s="8">
        <f>Transport_1_hub!BC25</f>
        <v>3.3506909519999999</v>
      </c>
      <c r="M90" s="8">
        <f>Transport_1_hub!BD25</f>
        <v>8.8184113240000004E-3</v>
      </c>
      <c r="N90" s="8">
        <f>Transport_1_hub!BE25</f>
        <v>5.0223808160000001</v>
      </c>
      <c r="O90" s="8">
        <f>Transport_1_hub!BF25</f>
        <v>-4.6927306280000001E-3</v>
      </c>
      <c r="P90" s="8">
        <f>Transport_1_hub!BG25</f>
        <v>1.0511819824000001E-5</v>
      </c>
      <c r="Q90" s="8">
        <f>Transport_1_hub!BH25</f>
        <v>8.8388397440000002E-2</v>
      </c>
      <c r="R90" s="8">
        <f>Transport_1_hub!BI25</f>
        <v>0.19054985067999999</v>
      </c>
      <c r="S90" s="8">
        <f>Transport_1_hub!BJ25</f>
        <v>0.18179573512000002</v>
      </c>
      <c r="T90" s="8">
        <f>Transport_1_hub!BK25</f>
        <v>1.1002316940000001E-2</v>
      </c>
      <c r="U90" s="8">
        <f>Transport_1_hub!BL25</f>
        <v>1.8715873296000001</v>
      </c>
      <c r="V90" s="9">
        <f>Transport_1_hub!BM25</f>
        <v>0.20031678579999998</v>
      </c>
      <c r="X90" s="22"/>
      <c r="Y90" s="22"/>
      <c r="Z90" s="22"/>
      <c r="AA90" s="22"/>
      <c r="AG90" s="42"/>
      <c r="AL90" s="42"/>
    </row>
    <row r="91" spans="2:38" x14ac:dyDescent="0.25">
      <c r="B91" s="5">
        <f>Transport_1_hub!T26</f>
        <v>215.036</v>
      </c>
      <c r="C91" s="8">
        <f>Transport_1_hub!AT26</f>
        <v>73.069232799999995</v>
      </c>
      <c r="D91" s="8">
        <f>Transport_1_hub!AU26</f>
        <v>1065.729260910588</v>
      </c>
      <c r="E91" s="8">
        <f>Transport_1_hub!AV26</f>
        <v>1.1322935615999998</v>
      </c>
      <c r="F91" s="8">
        <f>Transport_1_hub!AW26</f>
        <v>72.118773680000004</v>
      </c>
      <c r="G91" s="8">
        <f>Transport_1_hub!AX26</f>
        <v>23.632456399999999</v>
      </c>
      <c r="H91" s="8">
        <f>Transport_1_hub!AY26</f>
        <v>3.8521549039999998</v>
      </c>
      <c r="I91" s="8">
        <f>Transport_1_hub!AZ26</f>
        <v>1.0270334395999999E-2</v>
      </c>
      <c r="J91" s="8">
        <f>Transport_1_hub!BA26</f>
        <v>16.551535955999999</v>
      </c>
      <c r="K91" s="8">
        <f>Transport_1_hub!BB26</f>
        <v>4.8985200799999999</v>
      </c>
      <c r="L91" s="8">
        <f>Transport_1_hub!BC26</f>
        <v>3.3506909519999999</v>
      </c>
      <c r="M91" s="8">
        <f>Transport_1_hub!BD26</f>
        <v>8.8184113240000004E-3</v>
      </c>
      <c r="N91" s="8">
        <f>Transport_1_hub!BE26</f>
        <v>5.0223808160000001</v>
      </c>
      <c r="O91" s="8">
        <f>Transport_1_hub!BF26</f>
        <v>-4.6927306280000001E-3</v>
      </c>
      <c r="P91" s="8">
        <f>Transport_1_hub!BG26</f>
        <v>1.0511819824000001E-5</v>
      </c>
      <c r="Q91" s="8">
        <f>Transport_1_hub!BH26</f>
        <v>8.8388397440000002E-2</v>
      </c>
      <c r="R91" s="8">
        <f>Transport_1_hub!BI26</f>
        <v>0.19054985067999999</v>
      </c>
      <c r="S91" s="8">
        <f>Transport_1_hub!BJ26</f>
        <v>0.18179573512000002</v>
      </c>
      <c r="T91" s="8">
        <f>Transport_1_hub!BK26</f>
        <v>1.1002316940000001E-2</v>
      </c>
      <c r="U91" s="8">
        <f>Transport_1_hub!BL26</f>
        <v>1.8715873296000001</v>
      </c>
      <c r="V91" s="9">
        <f>Transport_1_hub!BM26</f>
        <v>0.20031678579999998</v>
      </c>
      <c r="X91" s="22"/>
      <c r="Y91" s="22"/>
      <c r="Z91" s="22"/>
      <c r="AA91" s="22"/>
      <c r="AG91" s="42"/>
      <c r="AL91" s="42"/>
    </row>
    <row r="92" spans="2:38" x14ac:dyDescent="0.25">
      <c r="B92" s="5">
        <f>Transport_1_hub!T27</f>
        <v>215.036</v>
      </c>
      <c r="C92" s="8">
        <f>Transport_1_hub!AT27</f>
        <v>73.069232799999995</v>
      </c>
      <c r="D92" s="8">
        <f>Transport_1_hub!AU27</f>
        <v>1065.729260910588</v>
      </c>
      <c r="E92" s="8">
        <f>Transport_1_hub!AV27</f>
        <v>1.1322935615999998</v>
      </c>
      <c r="F92" s="8">
        <f>Transport_1_hub!AW27</f>
        <v>72.118773680000004</v>
      </c>
      <c r="G92" s="8">
        <f>Transport_1_hub!AX27</f>
        <v>23.632456399999999</v>
      </c>
      <c r="H92" s="8">
        <f>Transport_1_hub!AY27</f>
        <v>3.8521549039999998</v>
      </c>
      <c r="I92" s="8">
        <f>Transport_1_hub!AZ27</f>
        <v>1.0270334395999999E-2</v>
      </c>
      <c r="J92" s="8">
        <f>Transport_1_hub!BA27</f>
        <v>16.551535955999999</v>
      </c>
      <c r="K92" s="8">
        <f>Transport_1_hub!BB27</f>
        <v>4.8985200799999999</v>
      </c>
      <c r="L92" s="8">
        <f>Transport_1_hub!BC27</f>
        <v>3.3506909519999999</v>
      </c>
      <c r="M92" s="8">
        <f>Transport_1_hub!BD27</f>
        <v>8.8184113240000004E-3</v>
      </c>
      <c r="N92" s="8">
        <f>Transport_1_hub!BE27</f>
        <v>5.0223808160000001</v>
      </c>
      <c r="O92" s="8">
        <f>Transport_1_hub!BF27</f>
        <v>-4.6927306280000001E-3</v>
      </c>
      <c r="P92" s="8">
        <f>Transport_1_hub!BG27</f>
        <v>1.0511819824000001E-5</v>
      </c>
      <c r="Q92" s="8">
        <f>Transport_1_hub!BH27</f>
        <v>8.8388397440000002E-2</v>
      </c>
      <c r="R92" s="8">
        <f>Transport_1_hub!BI27</f>
        <v>0.19054985067999999</v>
      </c>
      <c r="S92" s="8">
        <f>Transport_1_hub!BJ27</f>
        <v>0.18179573512000002</v>
      </c>
      <c r="T92" s="8">
        <f>Transport_1_hub!BK27</f>
        <v>1.1002316940000001E-2</v>
      </c>
      <c r="U92" s="8">
        <f>Transport_1_hub!BL27</f>
        <v>1.8715873296000001</v>
      </c>
      <c r="V92" s="9">
        <f>Transport_1_hub!BM27</f>
        <v>0.20031678579999998</v>
      </c>
      <c r="X92" s="22"/>
      <c r="Y92" s="22"/>
      <c r="Z92" s="22"/>
      <c r="AA92" s="22"/>
      <c r="AG92" s="42"/>
      <c r="AL92" s="42"/>
    </row>
    <row r="93" spans="2:38" x14ac:dyDescent="0.25">
      <c r="B93" s="5">
        <f>Transport_1_hub!T28</f>
        <v>215.036</v>
      </c>
      <c r="C93" s="8">
        <f>Transport_1_hub!AT28</f>
        <v>73.069232799999995</v>
      </c>
      <c r="D93" s="8">
        <f>Transport_1_hub!AU28</f>
        <v>1065.729260910588</v>
      </c>
      <c r="E93" s="8">
        <f>Transport_1_hub!AV28</f>
        <v>1.1322935615999998</v>
      </c>
      <c r="F93" s="8">
        <f>Transport_1_hub!AW28</f>
        <v>72.118773680000004</v>
      </c>
      <c r="G93" s="8">
        <f>Transport_1_hub!AX28</f>
        <v>23.632456399999999</v>
      </c>
      <c r="H93" s="8">
        <f>Transport_1_hub!AY28</f>
        <v>3.8521549039999998</v>
      </c>
      <c r="I93" s="8">
        <f>Transport_1_hub!AZ28</f>
        <v>1.0270334395999999E-2</v>
      </c>
      <c r="J93" s="8">
        <f>Transport_1_hub!BA28</f>
        <v>16.551535955999999</v>
      </c>
      <c r="K93" s="8">
        <f>Transport_1_hub!BB28</f>
        <v>4.8985200799999999</v>
      </c>
      <c r="L93" s="8">
        <f>Transport_1_hub!BC28</f>
        <v>3.3506909519999999</v>
      </c>
      <c r="M93" s="8">
        <f>Transport_1_hub!BD28</f>
        <v>8.8184113240000004E-3</v>
      </c>
      <c r="N93" s="8">
        <f>Transport_1_hub!BE28</f>
        <v>5.0223808160000001</v>
      </c>
      <c r="O93" s="8">
        <f>Transport_1_hub!BF28</f>
        <v>-4.6927306280000001E-3</v>
      </c>
      <c r="P93" s="8">
        <f>Transport_1_hub!BG28</f>
        <v>1.0511819824000001E-5</v>
      </c>
      <c r="Q93" s="8">
        <f>Transport_1_hub!BH28</f>
        <v>8.8388397440000002E-2</v>
      </c>
      <c r="R93" s="8">
        <f>Transport_1_hub!BI28</f>
        <v>0.19054985067999999</v>
      </c>
      <c r="S93" s="8">
        <f>Transport_1_hub!BJ28</f>
        <v>0.18179573512000002</v>
      </c>
      <c r="T93" s="8">
        <f>Transport_1_hub!BK28</f>
        <v>1.1002316940000001E-2</v>
      </c>
      <c r="U93" s="8">
        <f>Transport_1_hub!BL28</f>
        <v>1.8715873296000001</v>
      </c>
      <c r="V93" s="9">
        <f>Transport_1_hub!BM28</f>
        <v>0.20031678579999998</v>
      </c>
      <c r="X93" s="22"/>
      <c r="Y93" s="22"/>
      <c r="Z93" s="22"/>
      <c r="AA93" s="22"/>
      <c r="AG93" s="42"/>
      <c r="AH93" s="41"/>
      <c r="AL93" s="42"/>
    </row>
    <row r="94" spans="2:38" x14ac:dyDescent="0.25">
      <c r="B94" s="5">
        <f>Transport_1_hub!T29</f>
        <v>215.036</v>
      </c>
      <c r="C94" s="8">
        <f>Transport_1_hub!AT29</f>
        <v>73.069232799999995</v>
      </c>
      <c r="D94" s="8">
        <f>Transport_1_hub!AU29</f>
        <v>1065.729260910588</v>
      </c>
      <c r="E94" s="8">
        <f>Transport_1_hub!AV29</f>
        <v>1.1322935615999998</v>
      </c>
      <c r="F94" s="8">
        <f>Transport_1_hub!AW29</f>
        <v>72.118773680000004</v>
      </c>
      <c r="G94" s="8">
        <f>Transport_1_hub!AX29</f>
        <v>23.632456399999999</v>
      </c>
      <c r="H94" s="8">
        <f>Transport_1_hub!AY29</f>
        <v>3.8521549039999998</v>
      </c>
      <c r="I94" s="8">
        <f>Transport_1_hub!AZ29</f>
        <v>1.0270334395999999E-2</v>
      </c>
      <c r="J94" s="8">
        <f>Transport_1_hub!BA29</f>
        <v>16.551535955999999</v>
      </c>
      <c r="K94" s="8">
        <f>Transport_1_hub!BB29</f>
        <v>4.8985200799999999</v>
      </c>
      <c r="L94" s="8">
        <f>Transport_1_hub!BC29</f>
        <v>3.3506909519999999</v>
      </c>
      <c r="M94" s="8">
        <f>Transport_1_hub!BD29</f>
        <v>8.8184113240000004E-3</v>
      </c>
      <c r="N94" s="8">
        <f>Transport_1_hub!BE29</f>
        <v>5.0223808160000001</v>
      </c>
      <c r="O94" s="8">
        <f>Transport_1_hub!BF29</f>
        <v>-4.6927306280000001E-3</v>
      </c>
      <c r="P94" s="8">
        <f>Transport_1_hub!BG29</f>
        <v>1.0511819824000001E-5</v>
      </c>
      <c r="Q94" s="8">
        <f>Transport_1_hub!BH29</f>
        <v>8.8388397440000002E-2</v>
      </c>
      <c r="R94" s="8">
        <f>Transport_1_hub!BI29</f>
        <v>0.19054985067999999</v>
      </c>
      <c r="S94" s="8">
        <f>Transport_1_hub!BJ29</f>
        <v>0.18179573512000002</v>
      </c>
      <c r="T94" s="8">
        <f>Transport_1_hub!BK29</f>
        <v>1.1002316940000001E-2</v>
      </c>
      <c r="U94" s="8">
        <f>Transport_1_hub!BL29</f>
        <v>1.8715873296000001</v>
      </c>
      <c r="V94" s="9">
        <f>Transport_1_hub!BM29</f>
        <v>0.20031678579999998</v>
      </c>
      <c r="X94" s="22"/>
      <c r="Y94" s="22"/>
      <c r="Z94" s="22"/>
      <c r="AA94" s="22"/>
      <c r="AG94" s="42"/>
      <c r="AH94" s="41"/>
      <c r="AL94" s="42"/>
    </row>
    <row r="95" spans="2:38" x14ac:dyDescent="0.25">
      <c r="B95" s="5">
        <f>Transport_1_hub!T30</f>
        <v>216.43100000000001</v>
      </c>
      <c r="C95" s="8">
        <f>Transport_1_hub!AT30</f>
        <v>73.543253800000002</v>
      </c>
      <c r="D95" s="8">
        <f>Transport_1_hub!AU30</f>
        <v>1072.642951264623</v>
      </c>
      <c r="E95" s="8">
        <f>Transport_1_hub!AV30</f>
        <v>1.1396390735999999</v>
      </c>
      <c r="F95" s="8">
        <f>Transport_1_hub!AW30</f>
        <v>72.586628780000012</v>
      </c>
      <c r="G95" s="8">
        <f>Transport_1_hub!AX30</f>
        <v>23.785766900000002</v>
      </c>
      <c r="H95" s="8">
        <f>Transport_1_hub!AY30</f>
        <v>3.8771449339999999</v>
      </c>
      <c r="I95" s="8">
        <f>Transport_1_hub!AZ30</f>
        <v>1.0336960991E-2</v>
      </c>
      <c r="J95" s="8">
        <f>Transport_1_hub!BA30</f>
        <v>16.658910501000001</v>
      </c>
      <c r="K95" s="8">
        <f>Transport_1_hub!BB30</f>
        <v>4.9302981800000003</v>
      </c>
      <c r="L95" s="8">
        <f>Transport_1_hub!BC30</f>
        <v>3.3724278420000005</v>
      </c>
      <c r="M95" s="8">
        <f>Transport_1_hub!BD30</f>
        <v>8.8756188790000013E-3</v>
      </c>
      <c r="N95" s="8">
        <f>Transport_1_hub!BE30</f>
        <v>5.0549624360000003</v>
      </c>
      <c r="O95" s="8">
        <f>Transport_1_hub!BF30</f>
        <v>-4.7231737130000008E-3</v>
      </c>
      <c r="P95" s="8">
        <f>Transport_1_hub!BG30</f>
        <v>1.0580013004000001E-5</v>
      </c>
      <c r="Q95" s="8">
        <f>Transport_1_hub!BH30</f>
        <v>8.8961798240000001E-2</v>
      </c>
      <c r="R95" s="8">
        <f>Transport_1_hub!BI30</f>
        <v>0.19178600202999999</v>
      </c>
      <c r="S95" s="8">
        <f>Transport_1_hub!BJ30</f>
        <v>0.18297509602000003</v>
      </c>
      <c r="T95" s="8">
        <f>Transport_1_hub!BK30</f>
        <v>1.1073692115E-2</v>
      </c>
      <c r="U95" s="8">
        <f>Transport_1_hub!BL30</f>
        <v>1.8837288516000001</v>
      </c>
      <c r="V95" s="9">
        <f>Transport_1_hub!BM30</f>
        <v>0.20161629805</v>
      </c>
      <c r="X95" s="22"/>
      <c r="Y95" s="22"/>
      <c r="Z95" s="22"/>
      <c r="AA95" s="22"/>
      <c r="AG95" s="42"/>
      <c r="AH95" s="41"/>
      <c r="AL95" s="42"/>
    </row>
    <row r="96" spans="2:38" x14ac:dyDescent="0.25">
      <c r="B96" s="5">
        <f>Transport_1_hub!T31</f>
        <v>216.43100000000001</v>
      </c>
      <c r="C96" s="8">
        <f>Transport_1_hub!AT31</f>
        <v>73.543253800000002</v>
      </c>
      <c r="D96" s="8">
        <f>Transport_1_hub!AU31</f>
        <v>1072.642951264623</v>
      </c>
      <c r="E96" s="8">
        <f>Transport_1_hub!AV31</f>
        <v>1.1396390735999999</v>
      </c>
      <c r="F96" s="8">
        <f>Transport_1_hub!AW31</f>
        <v>72.586628780000012</v>
      </c>
      <c r="G96" s="8">
        <f>Transport_1_hub!AX31</f>
        <v>23.785766900000002</v>
      </c>
      <c r="H96" s="8">
        <f>Transport_1_hub!AY31</f>
        <v>3.8771449339999999</v>
      </c>
      <c r="I96" s="8">
        <f>Transport_1_hub!AZ31</f>
        <v>1.0336960991E-2</v>
      </c>
      <c r="J96" s="8">
        <f>Transport_1_hub!BA31</f>
        <v>16.658910501000001</v>
      </c>
      <c r="K96" s="8">
        <f>Transport_1_hub!BB31</f>
        <v>4.9302981800000003</v>
      </c>
      <c r="L96" s="8">
        <f>Transport_1_hub!BC31</f>
        <v>3.3724278420000005</v>
      </c>
      <c r="M96" s="8">
        <f>Transport_1_hub!BD31</f>
        <v>8.8756188790000013E-3</v>
      </c>
      <c r="N96" s="8">
        <f>Transport_1_hub!BE31</f>
        <v>5.0549624360000003</v>
      </c>
      <c r="O96" s="8">
        <f>Transport_1_hub!BF31</f>
        <v>-4.7231737130000008E-3</v>
      </c>
      <c r="P96" s="8">
        <f>Transport_1_hub!BG31</f>
        <v>1.0580013004000001E-5</v>
      </c>
      <c r="Q96" s="8">
        <f>Transport_1_hub!BH31</f>
        <v>8.8961798240000001E-2</v>
      </c>
      <c r="R96" s="8">
        <f>Transport_1_hub!BI31</f>
        <v>0.19178600202999999</v>
      </c>
      <c r="S96" s="8">
        <f>Transport_1_hub!BJ31</f>
        <v>0.18297509602000003</v>
      </c>
      <c r="T96" s="8">
        <f>Transport_1_hub!BK31</f>
        <v>1.1073692115E-2</v>
      </c>
      <c r="U96" s="8">
        <f>Transport_1_hub!BL31</f>
        <v>1.8837288516000001</v>
      </c>
      <c r="V96" s="9">
        <f>Transport_1_hub!BM31</f>
        <v>0.20161629805</v>
      </c>
      <c r="X96" s="22"/>
      <c r="Y96" s="22"/>
      <c r="Z96" s="22"/>
      <c r="AA96" s="22"/>
      <c r="AG96" s="42"/>
      <c r="AH96" s="41"/>
      <c r="AL96" s="42"/>
    </row>
    <row r="97" spans="2:38" x14ac:dyDescent="0.25">
      <c r="B97" s="5">
        <f>Transport_1_hub!T32</f>
        <v>216.43100000000001</v>
      </c>
      <c r="C97" s="8">
        <f>Transport_1_hub!AT32</f>
        <v>73.543253800000002</v>
      </c>
      <c r="D97" s="8">
        <f>Transport_1_hub!AU32</f>
        <v>1072.642951264623</v>
      </c>
      <c r="E97" s="8">
        <f>Transport_1_hub!AV32</f>
        <v>1.1396390735999999</v>
      </c>
      <c r="F97" s="8">
        <f>Transport_1_hub!AW32</f>
        <v>72.586628780000012</v>
      </c>
      <c r="G97" s="8">
        <f>Transport_1_hub!AX32</f>
        <v>23.785766900000002</v>
      </c>
      <c r="H97" s="8">
        <f>Transport_1_hub!AY32</f>
        <v>3.8771449339999999</v>
      </c>
      <c r="I97" s="8">
        <f>Transport_1_hub!AZ32</f>
        <v>1.0336960991E-2</v>
      </c>
      <c r="J97" s="8">
        <f>Transport_1_hub!BA32</f>
        <v>16.658910501000001</v>
      </c>
      <c r="K97" s="8">
        <f>Transport_1_hub!BB32</f>
        <v>4.9302981800000003</v>
      </c>
      <c r="L97" s="8">
        <f>Transport_1_hub!BC32</f>
        <v>3.3724278420000005</v>
      </c>
      <c r="M97" s="8">
        <f>Transport_1_hub!BD32</f>
        <v>8.8756188790000013E-3</v>
      </c>
      <c r="N97" s="8">
        <f>Transport_1_hub!BE32</f>
        <v>5.0549624360000003</v>
      </c>
      <c r="O97" s="8">
        <f>Transport_1_hub!BF32</f>
        <v>-4.7231737130000008E-3</v>
      </c>
      <c r="P97" s="8">
        <f>Transport_1_hub!BG32</f>
        <v>1.0580013004000001E-5</v>
      </c>
      <c r="Q97" s="8">
        <f>Transport_1_hub!BH32</f>
        <v>8.8961798240000001E-2</v>
      </c>
      <c r="R97" s="8">
        <f>Transport_1_hub!BI32</f>
        <v>0.19178600202999999</v>
      </c>
      <c r="S97" s="8">
        <f>Transport_1_hub!BJ32</f>
        <v>0.18297509602000003</v>
      </c>
      <c r="T97" s="8">
        <f>Transport_1_hub!BK32</f>
        <v>1.1073692115E-2</v>
      </c>
      <c r="U97" s="8">
        <f>Transport_1_hub!BL32</f>
        <v>1.8837288516000001</v>
      </c>
      <c r="V97" s="9">
        <f>Transport_1_hub!BM32</f>
        <v>0.20161629805</v>
      </c>
      <c r="X97" s="22"/>
      <c r="Y97" s="22"/>
      <c r="Z97" s="22"/>
      <c r="AA97" s="22"/>
      <c r="AG97" s="42"/>
      <c r="AH97" s="41"/>
      <c r="AL97" s="42"/>
    </row>
    <row r="98" spans="2:38" x14ac:dyDescent="0.25">
      <c r="B98" s="5">
        <f>Transport_1_hub!T33</f>
        <v>216.43100000000001</v>
      </c>
      <c r="C98" s="8">
        <f>Transport_1_hub!AT33</f>
        <v>73.543253800000002</v>
      </c>
      <c r="D98" s="8">
        <f>Transport_1_hub!AU33</f>
        <v>1072.642951264623</v>
      </c>
      <c r="E98" s="8">
        <f>Transport_1_hub!AV33</f>
        <v>1.1396390735999999</v>
      </c>
      <c r="F98" s="8">
        <f>Transport_1_hub!AW33</f>
        <v>72.586628780000012</v>
      </c>
      <c r="G98" s="8">
        <f>Transport_1_hub!AX33</f>
        <v>23.785766900000002</v>
      </c>
      <c r="H98" s="8">
        <f>Transport_1_hub!AY33</f>
        <v>3.8771449339999999</v>
      </c>
      <c r="I98" s="8">
        <f>Transport_1_hub!AZ33</f>
        <v>1.0336960991E-2</v>
      </c>
      <c r="J98" s="8">
        <f>Transport_1_hub!BA33</f>
        <v>16.658910501000001</v>
      </c>
      <c r="K98" s="8">
        <f>Transport_1_hub!BB33</f>
        <v>4.9302981800000003</v>
      </c>
      <c r="L98" s="8">
        <f>Transport_1_hub!BC33</f>
        <v>3.3724278420000005</v>
      </c>
      <c r="M98" s="8">
        <f>Transport_1_hub!BD33</f>
        <v>8.8756188790000013E-3</v>
      </c>
      <c r="N98" s="8">
        <f>Transport_1_hub!BE33</f>
        <v>5.0549624360000003</v>
      </c>
      <c r="O98" s="8">
        <f>Transport_1_hub!BF33</f>
        <v>-4.7231737130000008E-3</v>
      </c>
      <c r="P98" s="8">
        <f>Transport_1_hub!BG33</f>
        <v>1.0580013004000001E-5</v>
      </c>
      <c r="Q98" s="8">
        <f>Transport_1_hub!BH33</f>
        <v>8.8961798240000001E-2</v>
      </c>
      <c r="R98" s="8">
        <f>Transport_1_hub!BI33</f>
        <v>0.19178600202999999</v>
      </c>
      <c r="S98" s="8">
        <f>Transport_1_hub!BJ33</f>
        <v>0.18297509602000003</v>
      </c>
      <c r="T98" s="8">
        <f>Transport_1_hub!BK33</f>
        <v>1.1073692115E-2</v>
      </c>
      <c r="U98" s="8">
        <f>Transport_1_hub!BL33</f>
        <v>1.8837288516000001</v>
      </c>
      <c r="V98" s="9">
        <f>Transport_1_hub!BM33</f>
        <v>0.20161629805</v>
      </c>
      <c r="X98" s="22"/>
      <c r="Y98" s="22"/>
      <c r="Z98" s="22"/>
      <c r="AA98" s="22"/>
      <c r="AG98" s="42"/>
      <c r="AH98" s="41"/>
      <c r="AL98" s="42"/>
    </row>
    <row r="99" spans="2:38" x14ac:dyDescent="0.25">
      <c r="B99" s="5">
        <f>Transport_1_hub!T34</f>
        <v>216.43100000000001</v>
      </c>
      <c r="C99" s="8">
        <f>Transport_1_hub!AT34</f>
        <v>73.543253800000002</v>
      </c>
      <c r="D99" s="8">
        <f>Transport_1_hub!AU34</f>
        <v>1072.642951264623</v>
      </c>
      <c r="E99" s="8">
        <f>Transport_1_hub!AV34</f>
        <v>1.1396390735999999</v>
      </c>
      <c r="F99" s="8">
        <f>Transport_1_hub!AW34</f>
        <v>72.586628780000012</v>
      </c>
      <c r="G99" s="8">
        <f>Transport_1_hub!AX34</f>
        <v>23.785766900000002</v>
      </c>
      <c r="H99" s="8">
        <f>Transport_1_hub!AY34</f>
        <v>3.8771449339999999</v>
      </c>
      <c r="I99" s="8">
        <f>Transport_1_hub!AZ34</f>
        <v>1.0336960991E-2</v>
      </c>
      <c r="J99" s="8">
        <f>Transport_1_hub!BA34</f>
        <v>16.658910501000001</v>
      </c>
      <c r="K99" s="8">
        <f>Transport_1_hub!BB34</f>
        <v>4.9302981800000003</v>
      </c>
      <c r="L99" s="8">
        <f>Transport_1_hub!BC34</f>
        <v>3.3724278420000005</v>
      </c>
      <c r="M99" s="8">
        <f>Transport_1_hub!BD34</f>
        <v>8.8756188790000013E-3</v>
      </c>
      <c r="N99" s="8">
        <f>Transport_1_hub!BE34</f>
        <v>5.0549624360000003</v>
      </c>
      <c r="O99" s="8">
        <f>Transport_1_hub!BF34</f>
        <v>-4.7231737130000008E-3</v>
      </c>
      <c r="P99" s="8">
        <f>Transport_1_hub!BG34</f>
        <v>1.0580013004000001E-5</v>
      </c>
      <c r="Q99" s="8">
        <f>Transport_1_hub!BH34</f>
        <v>8.8961798240000001E-2</v>
      </c>
      <c r="R99" s="8">
        <f>Transport_1_hub!BI34</f>
        <v>0.19178600202999999</v>
      </c>
      <c r="S99" s="8">
        <f>Transport_1_hub!BJ34</f>
        <v>0.18297509602000003</v>
      </c>
      <c r="T99" s="8">
        <f>Transport_1_hub!BK34</f>
        <v>1.1073692115E-2</v>
      </c>
      <c r="U99" s="8">
        <f>Transport_1_hub!BL34</f>
        <v>1.8837288516000001</v>
      </c>
      <c r="V99" s="9">
        <f>Transport_1_hub!BM34</f>
        <v>0.20161629805</v>
      </c>
      <c r="X99" s="22"/>
      <c r="Y99" s="22"/>
      <c r="Z99" s="22"/>
      <c r="AA99" s="22"/>
      <c r="AG99" s="42"/>
      <c r="AH99" s="41"/>
      <c r="AL99" s="42"/>
    </row>
    <row r="100" spans="2:38" x14ac:dyDescent="0.25">
      <c r="B100" s="5">
        <f>Transport_1_hub!T35</f>
        <v>234.452</v>
      </c>
      <c r="C100" s="8">
        <f>Transport_1_hub!AT35</f>
        <v>79.666789600000001</v>
      </c>
      <c r="D100" s="8">
        <f>Transport_1_hub!AU35</f>
        <v>1161.955936117716</v>
      </c>
      <c r="E100" s="8">
        <f>Transport_1_hub!AV35</f>
        <v>1.2345304511999999</v>
      </c>
      <c r="F100" s="8">
        <f>Transport_1_hub!AW35</f>
        <v>78.630511760000005</v>
      </c>
      <c r="G100" s="8">
        <f>Transport_1_hub!AX35</f>
        <v>25.766274799999998</v>
      </c>
      <c r="H100" s="8">
        <f>Transport_1_hub!AY35</f>
        <v>4.1999731279999999</v>
      </c>
      <c r="I100" s="8">
        <f>Transport_1_hub!AZ35</f>
        <v>1.1197661971999999E-2</v>
      </c>
      <c r="J100" s="8">
        <f>Transport_1_hub!BA35</f>
        <v>18.046004891999999</v>
      </c>
      <c r="K100" s="8">
        <f>Transport_1_hub!BB35</f>
        <v>5.3408165600000004</v>
      </c>
      <c r="L100" s="8">
        <f>Transport_1_hub!BC35</f>
        <v>3.6532310639999999</v>
      </c>
      <c r="M100" s="8">
        <f>Transport_1_hub!BD35</f>
        <v>9.6146420679999994E-3</v>
      </c>
      <c r="N100" s="8">
        <f>Transport_1_hub!BE35</f>
        <v>5.4758609119999999</v>
      </c>
      <c r="O100" s="8">
        <f>Transport_1_hub!BF35</f>
        <v>-5.1164459960000002E-3</v>
      </c>
      <c r="P100" s="8">
        <f>Transport_1_hub!BG35</f>
        <v>1.1460951568000001E-5</v>
      </c>
      <c r="Q100" s="8">
        <f>Transport_1_hub!BH35</f>
        <v>9.6369150079999993E-2</v>
      </c>
      <c r="R100" s="8">
        <f>Transport_1_hub!BI35</f>
        <v>0.20775495075999997</v>
      </c>
      <c r="S100" s="8">
        <f>Transport_1_hub!BJ35</f>
        <v>0.19821040984000002</v>
      </c>
      <c r="T100" s="8">
        <f>Transport_1_hub!BK35</f>
        <v>1.1995736580000001E-2</v>
      </c>
      <c r="U100" s="8">
        <f>Transport_1_hub!BL35</f>
        <v>2.0405764272</v>
      </c>
      <c r="V100" s="9">
        <f>Transport_1_hub!BM35</f>
        <v>0.2184037606</v>
      </c>
      <c r="X100" s="22"/>
      <c r="Y100" s="22"/>
      <c r="Z100" s="22"/>
      <c r="AA100" s="22"/>
      <c r="AG100" s="42"/>
      <c r="AH100" s="41"/>
      <c r="AL100" s="42"/>
    </row>
    <row r="101" spans="2:38" x14ac:dyDescent="0.25">
      <c r="B101" s="5">
        <f>Transport_1_hub!T36</f>
        <v>383.76</v>
      </c>
      <c r="C101" s="8">
        <f>Transport_1_hub!AT36</f>
        <v>130.40164799999999</v>
      </c>
      <c r="D101" s="8">
        <f>Transport_1_hub!AU36</f>
        <v>1901.9339141680798</v>
      </c>
      <c r="E101" s="8">
        <f>Transport_1_hub!AV36</f>
        <v>2.0207266559999999</v>
      </c>
      <c r="F101" s="8">
        <f>Transport_1_hub!AW36</f>
        <v>128.70542879999999</v>
      </c>
      <c r="G101" s="8">
        <f>Transport_1_hub!AX36</f>
        <v>42.175224</v>
      </c>
      <c r="H101" s="8">
        <f>Transport_1_hub!AY36</f>
        <v>6.8746766399999997</v>
      </c>
      <c r="I101" s="8">
        <f>Transport_1_hub!AZ36</f>
        <v>1.8328761359999998E-2</v>
      </c>
      <c r="J101" s="8">
        <f>Transport_1_hub!BA36</f>
        <v>29.538390959999997</v>
      </c>
      <c r="K101" s="8">
        <f>Transport_1_hub!BB36</f>
        <v>8.7420527999999997</v>
      </c>
      <c r="L101" s="8">
        <f>Transport_1_hub!BC36</f>
        <v>5.9797483199999997</v>
      </c>
      <c r="M101" s="8">
        <f>Transport_1_hub!BD36</f>
        <v>1.5737613840000001E-2</v>
      </c>
      <c r="N101" s="8">
        <f>Transport_1_hub!BE36</f>
        <v>8.9630985599999988</v>
      </c>
      <c r="O101" s="8">
        <f>Transport_1_hub!BF36</f>
        <v>-8.3747944799999995E-3</v>
      </c>
      <c r="P101" s="8">
        <f>Transport_1_hub!BG36</f>
        <v>1.8759723840000001E-5</v>
      </c>
      <c r="Q101" s="8">
        <f>Transport_1_hub!BH36</f>
        <v>0.15774071039999998</v>
      </c>
      <c r="R101" s="8">
        <f>Transport_1_hub!BI36</f>
        <v>0.34006124879999999</v>
      </c>
      <c r="S101" s="8">
        <f>Transport_1_hub!BJ36</f>
        <v>0.32443837920000002</v>
      </c>
      <c r="T101" s="8">
        <f>Transport_1_hub!BK36</f>
        <v>1.9635080400000001E-2</v>
      </c>
      <c r="U101" s="8">
        <f>Transport_1_hub!BL36</f>
        <v>3.3400935359999999</v>
      </c>
      <c r="V101" s="9">
        <f>Transport_1_hub!BM36</f>
        <v>0.35749162799999995</v>
      </c>
      <c r="X101" s="22"/>
      <c r="Y101" s="22"/>
      <c r="Z101" s="22"/>
      <c r="AA101" s="22"/>
      <c r="AG101" s="42"/>
      <c r="AH101" s="41"/>
      <c r="AL101" s="42"/>
    </row>
    <row r="102" spans="2:38" x14ac:dyDescent="0.25">
      <c r="B102" s="5">
        <f>Transport_1_hub!T37</f>
        <v>414.488</v>
      </c>
      <c r="C102" s="8">
        <f>Transport_1_hub!AT37</f>
        <v>140.8430224</v>
      </c>
      <c r="D102" s="8">
        <f>Transport_1_hub!AU37</f>
        <v>2054.223431873304</v>
      </c>
      <c r="E102" s="8">
        <f>Transport_1_hub!AV37</f>
        <v>2.1825280127999998</v>
      </c>
      <c r="F102" s="8">
        <f>Transport_1_hub!AW37</f>
        <v>139.01098544000001</v>
      </c>
      <c r="G102" s="8">
        <f>Transport_1_hub!AX37</f>
        <v>45.552231200000001</v>
      </c>
      <c r="H102" s="8">
        <f>Transport_1_hub!AY37</f>
        <v>7.4251380319999996</v>
      </c>
      <c r="I102" s="8">
        <f>Transport_1_hub!AZ37</f>
        <v>1.9796361368E-2</v>
      </c>
      <c r="J102" s="8">
        <f>Transport_1_hub!BA37</f>
        <v>31.903555848</v>
      </c>
      <c r="K102" s="8">
        <f>Transport_1_hub!BB37</f>
        <v>9.4420366400000013</v>
      </c>
      <c r="L102" s="8">
        <f>Transport_1_hub!BC37</f>
        <v>6.4585520160000005</v>
      </c>
      <c r="M102" s="8">
        <f>Transport_1_hub!BD37</f>
        <v>1.6997738392E-2</v>
      </c>
      <c r="N102" s="8">
        <f>Transport_1_hub!BE37</f>
        <v>9.6807817279999995</v>
      </c>
      <c r="O102" s="8">
        <f>Transport_1_hub!BF37</f>
        <v>-9.0453716240000009E-3</v>
      </c>
      <c r="P102" s="8">
        <f>Transport_1_hub!BG37</f>
        <v>2.0261831392000002E-5</v>
      </c>
      <c r="Q102" s="8">
        <f>Transport_1_hub!BH37</f>
        <v>0.17037114751999999</v>
      </c>
      <c r="R102" s="8">
        <f>Transport_1_hub!BI37</f>
        <v>0.36729025143999999</v>
      </c>
      <c r="S102" s="8">
        <f>Transport_1_hub!BJ37</f>
        <v>0.35041644496000002</v>
      </c>
      <c r="T102" s="8">
        <f>Transport_1_hub!BK37</f>
        <v>2.1207278520000001E-2</v>
      </c>
      <c r="U102" s="8">
        <f>Transport_1_hub!BL37</f>
        <v>3.6075377568000002</v>
      </c>
      <c r="V102" s="9">
        <f>Transport_1_hub!BM37</f>
        <v>0.3861162964</v>
      </c>
      <c r="X102" s="22"/>
      <c r="Y102" s="22"/>
      <c r="Z102" s="22"/>
      <c r="AA102" s="22"/>
      <c r="AG102" s="42"/>
      <c r="AH102" s="41"/>
      <c r="AL102" s="42"/>
    </row>
    <row r="103" spans="2:38" x14ac:dyDescent="0.25">
      <c r="B103" s="5">
        <f>Transport_1_hub!T38</f>
        <v>415.20499999999998</v>
      </c>
      <c r="C103" s="8">
        <f>Transport_1_hub!AT38</f>
        <v>141.086659</v>
      </c>
      <c r="D103" s="8">
        <f>Transport_1_hub!AU38</f>
        <v>2057.7769200337648</v>
      </c>
      <c r="E103" s="8">
        <f>Transport_1_hub!AV38</f>
        <v>2.1863034479999999</v>
      </c>
      <c r="F103" s="8">
        <f>Transport_1_hub!AW38</f>
        <v>139.2514529</v>
      </c>
      <c r="G103" s="8">
        <f>Transport_1_hub!AX38</f>
        <v>45.631029499999997</v>
      </c>
      <c r="H103" s="8">
        <f>Transport_1_hub!AY38</f>
        <v>7.4379823699999994</v>
      </c>
      <c r="I103" s="8">
        <f>Transport_1_hub!AZ38</f>
        <v>1.9830606004999998E-2</v>
      </c>
      <c r="J103" s="8">
        <f>Transport_1_hub!BA38</f>
        <v>31.958744054999997</v>
      </c>
      <c r="K103" s="8">
        <f>Transport_1_hub!BB38</f>
        <v>9.458369900000001</v>
      </c>
      <c r="L103" s="8">
        <f>Transport_1_hub!BC38</f>
        <v>6.4697243100000001</v>
      </c>
      <c r="M103" s="8">
        <f>Transport_1_hub!BD38</f>
        <v>1.7027141845E-2</v>
      </c>
      <c r="N103" s="8">
        <f>Transport_1_hub!BE38</f>
        <v>9.6975279799999985</v>
      </c>
      <c r="O103" s="8">
        <f>Transport_1_hub!BF38</f>
        <v>-9.0610187150000007E-3</v>
      </c>
      <c r="P103" s="8">
        <f>Transport_1_hub!BG38</f>
        <v>2.029688122E-5</v>
      </c>
      <c r="Q103" s="8">
        <f>Transport_1_hub!BH38</f>
        <v>0.17066586319999999</v>
      </c>
      <c r="R103" s="8">
        <f>Transport_1_hub!BI38</f>
        <v>0.36792560664999996</v>
      </c>
      <c r="S103" s="8">
        <f>Transport_1_hub!BJ38</f>
        <v>0.35102261109999999</v>
      </c>
      <c r="T103" s="8">
        <f>Transport_1_hub!BK38</f>
        <v>2.1243963825E-2</v>
      </c>
      <c r="U103" s="8">
        <f>Transport_1_hub!BL38</f>
        <v>3.6137782380000001</v>
      </c>
      <c r="V103" s="9">
        <f>Transport_1_hub!BM38</f>
        <v>0.38678421774999999</v>
      </c>
      <c r="X103" s="22"/>
      <c r="Y103" s="22"/>
      <c r="Z103" s="22"/>
      <c r="AA103" s="22"/>
      <c r="AG103" s="42"/>
      <c r="AH103" s="41"/>
      <c r="AL103" s="42"/>
    </row>
    <row r="104" spans="2:38" x14ac:dyDescent="0.25">
      <c r="B104" s="5">
        <f>Transport_1_hub!T39</f>
        <v>419.88799999999998</v>
      </c>
      <c r="C104" s="8">
        <f>Transport_1_hub!AT39</f>
        <v>142.67794239999998</v>
      </c>
      <c r="D104" s="8">
        <f>Transport_1_hub!AU39</f>
        <v>2080.986104211504</v>
      </c>
      <c r="E104" s="8">
        <f>Transport_1_hub!AV39</f>
        <v>2.2109622527999999</v>
      </c>
      <c r="F104" s="8">
        <f>Transport_1_hub!AW39</f>
        <v>140.82203744</v>
      </c>
      <c r="G104" s="8">
        <f>Transport_1_hub!AX39</f>
        <v>46.145691199999995</v>
      </c>
      <c r="H104" s="8">
        <f>Transport_1_hub!AY39</f>
        <v>7.5218736319999993</v>
      </c>
      <c r="I104" s="8">
        <f>Transport_1_hub!AZ39</f>
        <v>2.0054270767999999E-2</v>
      </c>
      <c r="J104" s="8">
        <f>Transport_1_hub!BA39</f>
        <v>32.319199247999997</v>
      </c>
      <c r="K104" s="8">
        <f>Transport_1_hub!BB39</f>
        <v>9.5650486400000005</v>
      </c>
      <c r="L104" s="8">
        <f>Transport_1_hub!BC39</f>
        <v>6.542694816</v>
      </c>
      <c r="M104" s="8">
        <f>Transport_1_hub!BD39</f>
        <v>1.7219186992E-2</v>
      </c>
      <c r="N104" s="8">
        <f>Transport_1_hub!BE39</f>
        <v>9.8069041279999993</v>
      </c>
      <c r="O104" s="8">
        <f>Transport_1_hub!BF39</f>
        <v>-9.163215823999999E-3</v>
      </c>
      <c r="P104" s="8">
        <f>Transport_1_hub!BG39</f>
        <v>2.0525804992E-5</v>
      </c>
      <c r="Q104" s="8">
        <f>Transport_1_hub!BH39</f>
        <v>0.17259076352</v>
      </c>
      <c r="R104" s="8">
        <f>Transport_1_hub!BI39</f>
        <v>0.37207535343999998</v>
      </c>
      <c r="S104" s="8">
        <f>Transport_1_hub!BJ39</f>
        <v>0.35498171295999997</v>
      </c>
      <c r="T104" s="8">
        <f>Transport_1_hub!BK39</f>
        <v>2.1483569519999999E-2</v>
      </c>
      <c r="U104" s="8">
        <f>Transport_1_hub!BL39</f>
        <v>3.6545371968000002</v>
      </c>
      <c r="V104" s="9">
        <f>Transport_1_hub!BM39</f>
        <v>0.39114666639999995</v>
      </c>
      <c r="X104" s="22"/>
      <c r="Y104" s="22"/>
      <c r="Z104" s="22"/>
      <c r="AA104" s="22"/>
      <c r="AG104" s="42"/>
      <c r="AL104" s="42"/>
    </row>
    <row r="105" spans="2:38" x14ac:dyDescent="0.25">
      <c r="B105" s="5">
        <f>Transport_1_hub!T40</f>
        <v>419.88799999999998</v>
      </c>
      <c r="C105" s="8">
        <f>Transport_1_hub!AT40</f>
        <v>142.67794239999998</v>
      </c>
      <c r="D105" s="8">
        <f>Transport_1_hub!AU40</f>
        <v>2080.986104211504</v>
      </c>
      <c r="E105" s="8">
        <f>Transport_1_hub!AV40</f>
        <v>2.2109622527999999</v>
      </c>
      <c r="F105" s="8">
        <f>Transport_1_hub!AW40</f>
        <v>140.82203744</v>
      </c>
      <c r="G105" s="8">
        <f>Transport_1_hub!AX40</f>
        <v>46.145691199999995</v>
      </c>
      <c r="H105" s="8">
        <f>Transport_1_hub!AY40</f>
        <v>7.5218736319999993</v>
      </c>
      <c r="I105" s="8">
        <f>Transport_1_hub!AZ40</f>
        <v>2.0054270767999999E-2</v>
      </c>
      <c r="J105" s="8">
        <f>Transport_1_hub!BA40</f>
        <v>32.319199247999997</v>
      </c>
      <c r="K105" s="8">
        <f>Transport_1_hub!BB40</f>
        <v>9.5650486400000005</v>
      </c>
      <c r="L105" s="8">
        <f>Transport_1_hub!BC40</f>
        <v>6.542694816</v>
      </c>
      <c r="M105" s="8">
        <f>Transport_1_hub!BD40</f>
        <v>1.7219186992E-2</v>
      </c>
      <c r="N105" s="8">
        <f>Transport_1_hub!BE40</f>
        <v>9.8069041279999993</v>
      </c>
      <c r="O105" s="8">
        <f>Transport_1_hub!BF40</f>
        <v>-9.163215823999999E-3</v>
      </c>
      <c r="P105" s="8">
        <f>Transport_1_hub!BG40</f>
        <v>2.0525804992E-5</v>
      </c>
      <c r="Q105" s="8">
        <f>Transport_1_hub!BH40</f>
        <v>0.17259076352</v>
      </c>
      <c r="R105" s="8">
        <f>Transport_1_hub!BI40</f>
        <v>0.37207535343999998</v>
      </c>
      <c r="S105" s="8">
        <f>Transport_1_hub!BJ40</f>
        <v>0.35498171295999997</v>
      </c>
      <c r="T105" s="8">
        <f>Transport_1_hub!BK40</f>
        <v>2.1483569519999999E-2</v>
      </c>
      <c r="U105" s="8">
        <f>Transport_1_hub!BL40</f>
        <v>3.6545371968000002</v>
      </c>
      <c r="V105" s="9">
        <f>Transport_1_hub!BM40</f>
        <v>0.39114666639999995</v>
      </c>
      <c r="X105" s="22"/>
      <c r="Y105" s="22"/>
      <c r="Z105" s="22"/>
      <c r="AA105" s="22"/>
      <c r="AG105" s="42"/>
      <c r="AL105" s="42"/>
    </row>
    <row r="106" spans="2:38" x14ac:dyDescent="0.25">
      <c r="B106" s="5">
        <f>Transport_1_hub!T41</f>
        <v>471.61799999999999</v>
      </c>
      <c r="C106" s="8">
        <f>Transport_1_hub!AT41</f>
        <v>160.25579639999998</v>
      </c>
      <c r="D106" s="8">
        <f>Transport_1_hub!AU41</f>
        <v>2337.3625931105939</v>
      </c>
      <c r="E106" s="8">
        <f>Transport_1_hub!AV41</f>
        <v>2.4833517407999999</v>
      </c>
      <c r="F106" s="8">
        <f>Transport_1_hub!AW41</f>
        <v>158.17124484000001</v>
      </c>
      <c r="G106" s="8">
        <f>Transport_1_hub!AX41</f>
        <v>51.830818199999996</v>
      </c>
      <c r="H106" s="8">
        <f>Transport_1_hub!AY41</f>
        <v>8.4485648519999987</v>
      </c>
      <c r="I106" s="8">
        <f>Transport_1_hub!AZ41</f>
        <v>2.2524947298E-2</v>
      </c>
      <c r="J106" s="8">
        <f>Transport_1_hub!BA41</f>
        <v>36.300909077999997</v>
      </c>
      <c r="K106" s="8">
        <f>Transport_1_hub!BB41</f>
        <v>10.74345804</v>
      </c>
      <c r="L106" s="8">
        <f>Transport_1_hub!BC41</f>
        <v>7.348751676</v>
      </c>
      <c r="M106" s="8">
        <f>Transport_1_hub!BD41</f>
        <v>1.9340582562000001E-2</v>
      </c>
      <c r="N106" s="8">
        <f>Transport_1_hub!BE41</f>
        <v>11.015110007999999</v>
      </c>
      <c r="O106" s="8">
        <f>Transport_1_hub!BF41</f>
        <v>-1.0292119614000001E-2</v>
      </c>
      <c r="P106" s="8">
        <f>Transport_1_hub!BG41</f>
        <v>2.3054574312000002E-5</v>
      </c>
      <c r="Q106" s="8">
        <f>Transport_1_hub!BH41</f>
        <v>0.19385386271999999</v>
      </c>
      <c r="R106" s="8">
        <f>Transport_1_hub!BI41</f>
        <v>0.41791485833999997</v>
      </c>
      <c r="S106" s="8">
        <f>Transport_1_hub!BJ41</f>
        <v>0.39871528956000002</v>
      </c>
      <c r="T106" s="8">
        <f>Transport_1_hub!BK41</f>
        <v>2.413033497E-2</v>
      </c>
      <c r="U106" s="8">
        <f>Transport_1_hub!BL41</f>
        <v>4.1047744248000004</v>
      </c>
      <c r="V106" s="9">
        <f>Transport_1_hub!BM41</f>
        <v>0.43933574789999996</v>
      </c>
      <c r="X106" s="22"/>
      <c r="Y106" s="22"/>
      <c r="Z106" s="22"/>
      <c r="AA106" s="22"/>
      <c r="AG106" s="42"/>
      <c r="AL106" s="42"/>
    </row>
    <row r="107" spans="2:38" x14ac:dyDescent="0.25">
      <c r="B107" s="5">
        <f>Transport_1_hub!T42</f>
        <v>473.60599999999999</v>
      </c>
      <c r="C107" s="8">
        <f>Transport_1_hub!AT42</f>
        <v>160.93131879999999</v>
      </c>
      <c r="D107" s="8">
        <f>Transport_1_hub!AU42</f>
        <v>2347.215221371398</v>
      </c>
      <c r="E107" s="8">
        <f>Transport_1_hub!AV42</f>
        <v>2.4938197536</v>
      </c>
      <c r="F107" s="8">
        <f>Transport_1_hub!AW42</f>
        <v>158.83798028000001</v>
      </c>
      <c r="G107" s="8">
        <f>Transport_1_hub!AX42</f>
        <v>52.049299399999995</v>
      </c>
      <c r="H107" s="8">
        <f>Transport_1_hub!AY42</f>
        <v>8.4841778839999993</v>
      </c>
      <c r="I107" s="8">
        <f>Transport_1_hub!AZ42</f>
        <v>2.2619896165999999E-2</v>
      </c>
      <c r="J107" s="8">
        <f>Transport_1_hub!BA42</f>
        <v>36.453927426</v>
      </c>
      <c r="K107" s="8">
        <f>Transport_1_hub!BB42</f>
        <v>10.788744680000001</v>
      </c>
      <c r="L107" s="8">
        <f>Transport_1_hub!BC42</f>
        <v>7.3797286920000005</v>
      </c>
      <c r="M107" s="8">
        <f>Transport_1_hub!BD42</f>
        <v>1.9422108454000001E-2</v>
      </c>
      <c r="N107" s="8">
        <f>Transport_1_hub!BE42</f>
        <v>11.061541735999999</v>
      </c>
      <c r="O107" s="8">
        <f>Transport_1_hub!BF42</f>
        <v>-1.0335503738000001E-2</v>
      </c>
      <c r="P107" s="8">
        <f>Transport_1_hub!BG42</f>
        <v>2.3151755704E-5</v>
      </c>
      <c r="Q107" s="8">
        <f>Transport_1_hub!BH42</f>
        <v>0.19467101024</v>
      </c>
      <c r="R107" s="8">
        <f>Transport_1_hub!BI42</f>
        <v>0.41967648477999997</v>
      </c>
      <c r="S107" s="8">
        <f>Transport_1_hub!BJ42</f>
        <v>0.40039598452000003</v>
      </c>
      <c r="T107" s="8">
        <f>Transport_1_hub!BK42</f>
        <v>2.423205099E-2</v>
      </c>
      <c r="U107" s="8">
        <f>Transport_1_hub!BL42</f>
        <v>4.1220771815999999</v>
      </c>
      <c r="V107" s="9">
        <f>Transport_1_hub!BM42</f>
        <v>0.44118766929999997</v>
      </c>
      <c r="X107" s="22"/>
      <c r="Y107" s="22"/>
      <c r="Z107" s="22"/>
      <c r="AA107" s="22"/>
      <c r="AG107" s="42"/>
      <c r="AL107" s="42"/>
    </row>
    <row r="108" spans="2:38" x14ac:dyDescent="0.25">
      <c r="B108" s="5">
        <f>Transport_1_hub!T43</f>
        <v>482.85399999999998</v>
      </c>
      <c r="C108" s="8">
        <f>Transport_1_hub!AT43</f>
        <v>164.07378919999999</v>
      </c>
      <c r="D108" s="8">
        <f>Transport_1_hub!AU43</f>
        <v>2393.0487757757819</v>
      </c>
      <c r="E108" s="8">
        <f>Transport_1_hub!AV43</f>
        <v>2.5425160223999996</v>
      </c>
      <c r="F108" s="8">
        <f>Transport_1_hub!AW43</f>
        <v>161.93957452000001</v>
      </c>
      <c r="G108" s="8">
        <f>Transport_1_hub!AX43</f>
        <v>53.065654599999995</v>
      </c>
      <c r="H108" s="8">
        <f>Transport_1_hub!AY43</f>
        <v>8.649846556</v>
      </c>
      <c r="I108" s="8">
        <f>Transport_1_hub!AZ43</f>
        <v>2.3061589893999999E-2</v>
      </c>
      <c r="J108" s="8">
        <f>Transport_1_hub!BA43</f>
        <v>37.165755233999995</v>
      </c>
      <c r="K108" s="8">
        <f>Transport_1_hub!BB43</f>
        <v>10.999414120000001</v>
      </c>
      <c r="L108" s="8">
        <f>Transport_1_hub!BC43</f>
        <v>7.523831028</v>
      </c>
      <c r="M108" s="8">
        <f>Transport_1_hub!BD43</f>
        <v>1.9801359686000001E-2</v>
      </c>
      <c r="N108" s="8">
        <f>Transport_1_hub!BE43</f>
        <v>11.277538023999998</v>
      </c>
      <c r="O108" s="8">
        <f>Transport_1_hub!BF43</f>
        <v>-1.0537322842000001E-2</v>
      </c>
      <c r="P108" s="8">
        <f>Transport_1_hub!BG43</f>
        <v>2.3603834936000001E-5</v>
      </c>
      <c r="Q108" s="8">
        <f>Transport_1_hub!BH43</f>
        <v>0.19847230816</v>
      </c>
      <c r="R108" s="8">
        <f>Transport_1_hub!BI43</f>
        <v>0.42787141501999998</v>
      </c>
      <c r="S108" s="8">
        <f>Transport_1_hub!BJ43</f>
        <v>0.40821442868000002</v>
      </c>
      <c r="T108" s="8">
        <f>Transport_1_hub!BK43</f>
        <v>2.470522491E-2</v>
      </c>
      <c r="U108" s="8">
        <f>Transport_1_hub!BL43</f>
        <v>4.2025680744000002</v>
      </c>
      <c r="V108" s="9">
        <f>Transport_1_hub!BM43</f>
        <v>0.44980264369999995</v>
      </c>
      <c r="X108" s="22"/>
      <c r="Y108" s="22"/>
      <c r="Z108" s="22"/>
      <c r="AA108" s="22"/>
      <c r="AG108" s="42"/>
      <c r="AL108" s="42"/>
    </row>
    <row r="109" spans="2:38" x14ac:dyDescent="0.25">
      <c r="B109" s="5">
        <f>Transport_1_hub!T44</f>
        <v>493.8</v>
      </c>
      <c r="C109" s="8">
        <f>Transport_1_hub!AT44</f>
        <v>167.79324</v>
      </c>
      <c r="D109" s="8">
        <f>Transport_1_hub!AU44</f>
        <v>2447.2977038153999</v>
      </c>
      <c r="E109" s="8">
        <f>Transport_1_hub!AV44</f>
        <v>2.6001532799999998</v>
      </c>
      <c r="F109" s="8">
        <f>Transport_1_hub!AW44</f>
        <v>165.61064400000001</v>
      </c>
      <c r="G109" s="8">
        <f>Transport_1_hub!AX44</f>
        <v>54.268619999999999</v>
      </c>
      <c r="H109" s="8">
        <f>Transport_1_hub!AY44</f>
        <v>8.8459331999999993</v>
      </c>
      <c r="I109" s="8">
        <f>Transport_1_hub!AZ44</f>
        <v>2.3584381799999998E-2</v>
      </c>
      <c r="J109" s="8">
        <f>Transport_1_hub!BA44</f>
        <v>38.008279799999997</v>
      </c>
      <c r="K109" s="8">
        <f>Transport_1_hub!BB44</f>
        <v>11.248764000000001</v>
      </c>
      <c r="L109" s="8">
        <f>Transport_1_hub!BC44</f>
        <v>7.6943916000000003</v>
      </c>
      <c r="M109" s="8">
        <f>Transport_1_hub!BD44</f>
        <v>2.02502442E-2</v>
      </c>
      <c r="N109" s="8">
        <f>Transport_1_hub!BE44</f>
        <v>11.5331928</v>
      </c>
      <c r="O109" s="8">
        <f>Transport_1_hub!BF44</f>
        <v>-1.0776197400000001E-2</v>
      </c>
      <c r="P109" s="8">
        <f>Transport_1_hub!BG44</f>
        <v>2.4138919200000002E-5</v>
      </c>
      <c r="Q109" s="8">
        <f>Transport_1_hub!BH44</f>
        <v>0.202971552</v>
      </c>
      <c r="R109" s="8">
        <f>Transport_1_hub!BI44</f>
        <v>0.43757099399999999</v>
      </c>
      <c r="S109" s="8">
        <f>Transport_1_hub!BJ44</f>
        <v>0.41746839600000002</v>
      </c>
      <c r="T109" s="8">
        <f>Transport_1_hub!BK44</f>
        <v>2.5265277000000003E-2</v>
      </c>
      <c r="U109" s="8">
        <f>Transport_1_hub!BL44</f>
        <v>4.2978376800000007</v>
      </c>
      <c r="V109" s="9">
        <f>Transport_1_hub!BM44</f>
        <v>0.45999939000000001</v>
      </c>
      <c r="X109" s="22"/>
      <c r="Y109" s="22"/>
      <c r="Z109" s="22"/>
      <c r="AA109" s="22"/>
      <c r="AG109" s="42"/>
      <c r="AL109" s="42"/>
    </row>
    <row r="110" spans="2:38" x14ac:dyDescent="0.25">
      <c r="B110" s="5">
        <f>Transport_1_hub!T45</f>
        <v>493.8</v>
      </c>
      <c r="C110" s="8">
        <f>Transport_1_hub!AT45</f>
        <v>167.79324</v>
      </c>
      <c r="D110" s="8">
        <f>Transport_1_hub!AU45</f>
        <v>2447.2977038153999</v>
      </c>
      <c r="E110" s="8">
        <f>Transport_1_hub!AV45</f>
        <v>2.6001532799999998</v>
      </c>
      <c r="F110" s="8">
        <f>Transport_1_hub!AW45</f>
        <v>165.61064400000001</v>
      </c>
      <c r="G110" s="8">
        <f>Transport_1_hub!AX45</f>
        <v>54.268619999999999</v>
      </c>
      <c r="H110" s="8">
        <f>Transport_1_hub!AY45</f>
        <v>8.8459331999999993</v>
      </c>
      <c r="I110" s="8">
        <f>Transport_1_hub!AZ45</f>
        <v>2.3584381799999998E-2</v>
      </c>
      <c r="J110" s="8">
        <f>Transport_1_hub!BA45</f>
        <v>38.008279799999997</v>
      </c>
      <c r="K110" s="8">
        <f>Transport_1_hub!BB45</f>
        <v>11.248764000000001</v>
      </c>
      <c r="L110" s="8">
        <f>Transport_1_hub!BC45</f>
        <v>7.6943916000000003</v>
      </c>
      <c r="M110" s="8">
        <f>Transport_1_hub!BD45</f>
        <v>2.02502442E-2</v>
      </c>
      <c r="N110" s="8">
        <f>Transport_1_hub!BE45</f>
        <v>11.5331928</v>
      </c>
      <c r="O110" s="8">
        <f>Transport_1_hub!BF45</f>
        <v>-1.0776197400000001E-2</v>
      </c>
      <c r="P110" s="8">
        <f>Transport_1_hub!BG45</f>
        <v>2.4138919200000002E-5</v>
      </c>
      <c r="Q110" s="8">
        <f>Transport_1_hub!BH45</f>
        <v>0.202971552</v>
      </c>
      <c r="R110" s="8">
        <f>Transport_1_hub!BI45</f>
        <v>0.43757099399999999</v>
      </c>
      <c r="S110" s="8">
        <f>Transport_1_hub!BJ45</f>
        <v>0.41746839600000002</v>
      </c>
      <c r="T110" s="8">
        <f>Transport_1_hub!BK45</f>
        <v>2.5265277000000003E-2</v>
      </c>
      <c r="U110" s="8">
        <f>Transport_1_hub!BL45</f>
        <v>4.2978376800000007</v>
      </c>
      <c r="V110" s="9">
        <f>Transport_1_hub!BM45</f>
        <v>0.45999939000000001</v>
      </c>
      <c r="X110" s="22"/>
      <c r="Y110" s="22"/>
      <c r="Z110" s="22"/>
      <c r="AA110" s="22"/>
      <c r="AG110" s="42"/>
      <c r="AL110" s="42"/>
    </row>
    <row r="111" spans="2:38" x14ac:dyDescent="0.25">
      <c r="B111" s="5">
        <f>Transport_1_hub!T46</f>
        <v>493.8</v>
      </c>
      <c r="C111" s="8">
        <f>Transport_1_hub!AT46</f>
        <v>167.79324</v>
      </c>
      <c r="D111" s="8">
        <f>Transport_1_hub!AU46</f>
        <v>2447.2977038153999</v>
      </c>
      <c r="E111" s="8">
        <f>Transport_1_hub!AV46</f>
        <v>2.6001532799999998</v>
      </c>
      <c r="F111" s="8">
        <f>Transport_1_hub!AW46</f>
        <v>165.61064400000001</v>
      </c>
      <c r="G111" s="8">
        <f>Transport_1_hub!AX46</f>
        <v>54.268619999999999</v>
      </c>
      <c r="H111" s="8">
        <f>Transport_1_hub!AY46</f>
        <v>8.8459331999999993</v>
      </c>
      <c r="I111" s="8">
        <f>Transport_1_hub!AZ46</f>
        <v>2.3584381799999998E-2</v>
      </c>
      <c r="J111" s="8">
        <f>Transport_1_hub!BA46</f>
        <v>38.008279799999997</v>
      </c>
      <c r="K111" s="8">
        <f>Transport_1_hub!BB46</f>
        <v>11.248764000000001</v>
      </c>
      <c r="L111" s="8">
        <f>Transport_1_hub!BC46</f>
        <v>7.6943916000000003</v>
      </c>
      <c r="M111" s="8">
        <f>Transport_1_hub!BD46</f>
        <v>2.02502442E-2</v>
      </c>
      <c r="N111" s="8">
        <f>Transport_1_hub!BE46</f>
        <v>11.5331928</v>
      </c>
      <c r="O111" s="8">
        <f>Transport_1_hub!BF46</f>
        <v>-1.0776197400000001E-2</v>
      </c>
      <c r="P111" s="8">
        <f>Transport_1_hub!BG46</f>
        <v>2.4138919200000002E-5</v>
      </c>
      <c r="Q111" s="8">
        <f>Transport_1_hub!BH46</f>
        <v>0.202971552</v>
      </c>
      <c r="R111" s="8">
        <f>Transport_1_hub!BI46</f>
        <v>0.43757099399999999</v>
      </c>
      <c r="S111" s="8">
        <f>Transport_1_hub!BJ46</f>
        <v>0.41746839600000002</v>
      </c>
      <c r="T111" s="8">
        <f>Transport_1_hub!BK46</f>
        <v>2.5265277000000003E-2</v>
      </c>
      <c r="U111" s="8">
        <f>Transport_1_hub!BL46</f>
        <v>4.2978376800000007</v>
      </c>
      <c r="V111" s="9">
        <f>Transport_1_hub!BM46</f>
        <v>0.45999939000000001</v>
      </c>
      <c r="X111" s="22"/>
      <c r="Y111" s="22"/>
      <c r="Z111" s="22"/>
      <c r="AA111" s="22"/>
      <c r="AG111" s="42"/>
      <c r="AL111" s="42"/>
    </row>
    <row r="112" spans="2:38" x14ac:dyDescent="0.25">
      <c r="B112" s="5">
        <f>Transport_1_hub!T47</f>
        <v>493.8</v>
      </c>
      <c r="C112" s="8">
        <f>Transport_1_hub!AT47</f>
        <v>167.79324</v>
      </c>
      <c r="D112" s="8">
        <f>Transport_1_hub!AU47</f>
        <v>2447.2977038153999</v>
      </c>
      <c r="E112" s="8">
        <f>Transport_1_hub!AV47</f>
        <v>2.6001532799999998</v>
      </c>
      <c r="F112" s="8">
        <f>Transport_1_hub!AW47</f>
        <v>165.61064400000001</v>
      </c>
      <c r="G112" s="8">
        <f>Transport_1_hub!AX47</f>
        <v>54.268619999999999</v>
      </c>
      <c r="H112" s="8">
        <f>Transport_1_hub!AY47</f>
        <v>8.8459331999999993</v>
      </c>
      <c r="I112" s="8">
        <f>Transport_1_hub!AZ47</f>
        <v>2.3584381799999998E-2</v>
      </c>
      <c r="J112" s="8">
        <f>Transport_1_hub!BA47</f>
        <v>38.008279799999997</v>
      </c>
      <c r="K112" s="8">
        <f>Transport_1_hub!BB47</f>
        <v>11.248764000000001</v>
      </c>
      <c r="L112" s="8">
        <f>Transport_1_hub!BC47</f>
        <v>7.6943916000000003</v>
      </c>
      <c r="M112" s="8">
        <f>Transport_1_hub!BD47</f>
        <v>2.02502442E-2</v>
      </c>
      <c r="N112" s="8">
        <f>Transport_1_hub!BE47</f>
        <v>11.5331928</v>
      </c>
      <c r="O112" s="8">
        <f>Transport_1_hub!BF47</f>
        <v>-1.0776197400000001E-2</v>
      </c>
      <c r="P112" s="8">
        <f>Transport_1_hub!BG47</f>
        <v>2.4138919200000002E-5</v>
      </c>
      <c r="Q112" s="8">
        <f>Transport_1_hub!BH47</f>
        <v>0.202971552</v>
      </c>
      <c r="R112" s="8">
        <f>Transport_1_hub!BI47</f>
        <v>0.43757099399999999</v>
      </c>
      <c r="S112" s="8">
        <f>Transport_1_hub!BJ47</f>
        <v>0.41746839600000002</v>
      </c>
      <c r="T112" s="8">
        <f>Transport_1_hub!BK47</f>
        <v>2.5265277000000003E-2</v>
      </c>
      <c r="U112" s="8">
        <f>Transport_1_hub!BL47</f>
        <v>4.2978376800000007</v>
      </c>
      <c r="V112" s="9">
        <f>Transport_1_hub!BM47</f>
        <v>0.45999939000000001</v>
      </c>
      <c r="X112" s="22"/>
      <c r="Y112" s="22"/>
      <c r="Z112" s="22"/>
      <c r="AA112" s="22"/>
      <c r="AG112" s="42"/>
      <c r="AL112" s="42"/>
    </row>
    <row r="113" spans="2:38" x14ac:dyDescent="0.25">
      <c r="B113" s="5">
        <f>Transport_1_hub!T48</f>
        <v>497.61799999999999</v>
      </c>
      <c r="C113" s="8">
        <f>Transport_1_hub!AT48</f>
        <v>169.09059639999998</v>
      </c>
      <c r="D113" s="8">
        <f>Transport_1_hub!AU48</f>
        <v>2466.2199043685937</v>
      </c>
      <c r="E113" s="8">
        <f>Transport_1_hub!AV48</f>
        <v>2.6202573407999998</v>
      </c>
      <c r="F113" s="8">
        <f>Transport_1_hub!AW48</f>
        <v>166.89112484</v>
      </c>
      <c r="G113" s="8">
        <f>Transport_1_hub!AX48</f>
        <v>54.688218200000001</v>
      </c>
      <c r="H113" s="8">
        <f>Transport_1_hub!AY48</f>
        <v>8.9143288519999988</v>
      </c>
      <c r="I113" s="8">
        <f>Transport_1_hub!AZ48</f>
        <v>2.3766733297999998E-2</v>
      </c>
      <c r="J113" s="8">
        <f>Transport_1_hub!BA48</f>
        <v>38.302155077999998</v>
      </c>
      <c r="K113" s="8">
        <f>Transport_1_hub!BB48</f>
        <v>11.335738040000001</v>
      </c>
      <c r="L113" s="8">
        <f>Transport_1_hub!BC48</f>
        <v>7.7538836760000001</v>
      </c>
      <c r="M113" s="8">
        <f>Transport_1_hub!BD48</f>
        <v>2.0406816562E-2</v>
      </c>
      <c r="N113" s="8">
        <f>Transport_1_hub!BE48</f>
        <v>11.622366007999998</v>
      </c>
      <c r="O113" s="8">
        <f>Transport_1_hub!BF48</f>
        <v>-1.0859517614000001E-2</v>
      </c>
      <c r="P113" s="8">
        <f>Transport_1_hub!BG48</f>
        <v>2.4325558312E-5</v>
      </c>
      <c r="Q113" s="8">
        <f>Transport_1_hub!BH48</f>
        <v>0.20454090272</v>
      </c>
      <c r="R113" s="8">
        <f>Transport_1_hub!BI48</f>
        <v>0.44095423833999997</v>
      </c>
      <c r="S113" s="8">
        <f>Transport_1_hub!BJ48</f>
        <v>0.42069620956000003</v>
      </c>
      <c r="T113" s="8">
        <f>Transport_1_hub!BK48</f>
        <v>2.5460624970000002E-2</v>
      </c>
      <c r="U113" s="8">
        <f>Transport_1_hub!BL48</f>
        <v>4.3310680248000004</v>
      </c>
      <c r="V113" s="9">
        <f>Transport_1_hub!BM48</f>
        <v>0.46355604789999999</v>
      </c>
      <c r="X113" s="22"/>
      <c r="Y113" s="22"/>
      <c r="Z113" s="22"/>
      <c r="AA113" s="22"/>
      <c r="AG113" s="42"/>
      <c r="AL113" s="42"/>
    </row>
    <row r="114" spans="2:38" x14ac:dyDescent="0.25">
      <c r="B114" s="40">
        <f>Transport_1_hub!W49+Transport_1_hub!L49</f>
        <v>466.29696592631058</v>
      </c>
      <c r="C114" s="8">
        <f>Transport_1_hub!AT49</f>
        <v>178.07071298960244</v>
      </c>
      <c r="D114" s="8">
        <f>Transport_1_hub!AU49</f>
        <v>2058.9686799827209</v>
      </c>
      <c r="E114" s="8">
        <f>Transport_1_hub!AV49</f>
        <v>1.3648983187547303</v>
      </c>
      <c r="F114" s="8">
        <f>Transport_1_hub!AW49</f>
        <v>177.67849544960245</v>
      </c>
      <c r="G114" s="8">
        <f>Transport_1_hub!AX49</f>
        <v>47.406531350933129</v>
      </c>
      <c r="H114" s="8">
        <f>Transport_1_hub!AY49</f>
        <v>1.7978931338477184</v>
      </c>
      <c r="I114" s="8">
        <f>Transport_1_hub!AZ49</f>
        <v>9.1422225351315556E-3</v>
      </c>
      <c r="J114" s="8">
        <f>Transport_1_hub!BA49</f>
        <v>14.169800213711611</v>
      </c>
      <c r="K114" s="8">
        <f>Transport_1_hub!BB49</f>
        <v>10.413591769884208</v>
      </c>
      <c r="L114" s="8">
        <f>Transport_1_hub!BC49</f>
        <v>1.5692399540825497</v>
      </c>
      <c r="M114" s="8">
        <f>Transport_1_hub!BD49</f>
        <v>0.15291689555651991</v>
      </c>
      <c r="N114" s="8">
        <f>Transport_1_hub!BE49</f>
        <v>2.794501768459785</v>
      </c>
      <c r="O114" s="8">
        <f>Transport_1_hub!BF49</f>
        <v>3.7960596933460017E-2</v>
      </c>
      <c r="P114" s="8">
        <f>Transport_1_hub!BG49</f>
        <v>2.3568885354160562E-5</v>
      </c>
      <c r="Q114" s="8">
        <f>Transport_1_hub!BH49</f>
        <v>0.1099744675431976</v>
      </c>
      <c r="R114" s="8">
        <f>Transport_1_hub!BI49</f>
        <v>0.3141818429045265</v>
      </c>
      <c r="S114" s="8">
        <f>Transport_1_hub!BJ49</f>
        <v>7.8458417232339595E-2</v>
      </c>
      <c r="T114" s="8">
        <f>Transport_1_hub!BK49</f>
        <v>7.9786112973395905E-3</v>
      </c>
      <c r="U114" s="8">
        <f>Transport_1_hub!BL49</f>
        <v>1.2850296337528984</v>
      </c>
      <c r="V114" s="9">
        <f>Transport_1_hub!BM49</f>
        <v>0.27426202424186319</v>
      </c>
      <c r="X114" s="22"/>
      <c r="Y114" s="22"/>
      <c r="Z114" s="22"/>
      <c r="AA114" s="22"/>
      <c r="AG114" s="42"/>
      <c r="AL114" s="42"/>
    </row>
    <row r="115" spans="2:38" x14ac:dyDescent="0.25">
      <c r="B115" s="40">
        <f>Transport_1_hub!W50+Transport_1_hub!L50</f>
        <v>904.48849072627524</v>
      </c>
      <c r="C115" s="8">
        <f>Transport_1_hub!AT50</f>
        <v>270.69636269980072</v>
      </c>
      <c r="D115" s="8">
        <f>Transport_1_hub!AU50</f>
        <v>3176.3570746854425</v>
      </c>
      <c r="E115" s="8">
        <f>Transport_1_hub!AV50</f>
        <v>2.2596851890161647</v>
      </c>
      <c r="F115" s="8">
        <f>Transport_1_hub!AW50</f>
        <v>269.6566858798007</v>
      </c>
      <c r="G115" s="8">
        <f>Transport_1_hub!AX50</f>
        <v>72.745530337286453</v>
      </c>
      <c r="H115" s="8">
        <f>Transport_1_hub!AY50</f>
        <v>4.4554068706421042</v>
      </c>
      <c r="I115" s="8">
        <f>Transport_1_hub!AZ50</f>
        <v>1.662812903891563E-2</v>
      </c>
      <c r="J115" s="8">
        <f>Transport_1_hub!BA50</f>
        <v>26.112830417793898</v>
      </c>
      <c r="K115" s="8">
        <f>Transport_1_hub!BB50</f>
        <v>15.527855794124061</v>
      </c>
      <c r="L115" s="8">
        <f>Transport_1_hub!BC50</f>
        <v>3.8777363518432217</v>
      </c>
      <c r="M115" s="8">
        <f>Transport_1_hub!BD50</f>
        <v>0.20382437162619033</v>
      </c>
      <c r="N115" s="8">
        <f>Transport_1_hub!BE50</f>
        <v>6.3458243974927697</v>
      </c>
      <c r="O115" s="8">
        <f>Transport_1_hub!BF50</f>
        <v>4.4475978267893776E-2</v>
      </c>
      <c r="P115" s="8">
        <f>Transport_1_hub!BG50</f>
        <v>3.5460067252743457E-5</v>
      </c>
      <c r="Q115" s="8">
        <f>Transport_1_hub!BH50</f>
        <v>0.18058405753101719</v>
      </c>
      <c r="R115" s="8">
        <f>Transport_1_hub!BI50</f>
        <v>0.46765999167539324</v>
      </c>
      <c r="S115" s="8">
        <f>Transport_1_hub!BJ50</f>
        <v>0.20271141308065474</v>
      </c>
      <c r="T115" s="8">
        <f>Transport_1_hub!BK50</f>
        <v>1.5885957725654713E-2</v>
      </c>
      <c r="U115" s="8">
        <f>Transport_1_hub!BL50</f>
        <v>2.6070814033525864</v>
      </c>
      <c r="V115" s="9">
        <f>Transport_1_hub!BM50</f>
        <v>0.43741413270919982</v>
      </c>
      <c r="X115" s="22"/>
      <c r="Y115" s="22"/>
      <c r="Z115" s="22"/>
      <c r="AA115" s="22"/>
      <c r="AG115" s="42"/>
      <c r="AL115" s="42"/>
    </row>
    <row r="116" spans="2:38" x14ac:dyDescent="0.25">
      <c r="B116" s="40">
        <f>Transport_1_hub!W51+Transport_1_hub!L51</f>
        <v>904.48849072627524</v>
      </c>
      <c r="C116" s="8">
        <f>Transport_1_hub!AT51</f>
        <v>270.69636269980072</v>
      </c>
      <c r="D116" s="8">
        <f>Transport_1_hub!AU51</f>
        <v>3176.3570746854425</v>
      </c>
      <c r="E116" s="8">
        <f>Transport_1_hub!AV51</f>
        <v>2.2596851890161647</v>
      </c>
      <c r="F116" s="8">
        <f>Transport_1_hub!AW51</f>
        <v>269.6566858798007</v>
      </c>
      <c r="G116" s="8">
        <f>Transport_1_hub!AX51</f>
        <v>72.745530337286453</v>
      </c>
      <c r="H116" s="8">
        <f>Transport_1_hub!AY51</f>
        <v>4.4554068706421042</v>
      </c>
      <c r="I116" s="8">
        <f>Transport_1_hub!AZ51</f>
        <v>1.662812903891563E-2</v>
      </c>
      <c r="J116" s="8">
        <f>Transport_1_hub!BA51</f>
        <v>26.112830417793898</v>
      </c>
      <c r="K116" s="8">
        <f>Transport_1_hub!BB51</f>
        <v>15.527855794124061</v>
      </c>
      <c r="L116" s="8">
        <f>Transport_1_hub!BC51</f>
        <v>3.8777363518432217</v>
      </c>
      <c r="M116" s="8">
        <f>Transport_1_hub!BD51</f>
        <v>0.20382437162619033</v>
      </c>
      <c r="N116" s="8">
        <f>Transport_1_hub!BE51</f>
        <v>6.3458243974927697</v>
      </c>
      <c r="O116" s="8">
        <f>Transport_1_hub!BF51</f>
        <v>4.4475978267893776E-2</v>
      </c>
      <c r="P116" s="8">
        <f>Transport_1_hub!BG51</f>
        <v>3.5460067252743457E-5</v>
      </c>
      <c r="Q116" s="8">
        <f>Transport_1_hub!BH51</f>
        <v>0.18058405753101719</v>
      </c>
      <c r="R116" s="8">
        <f>Transport_1_hub!BI51</f>
        <v>0.46765999167539324</v>
      </c>
      <c r="S116" s="8">
        <f>Transport_1_hub!BJ51</f>
        <v>0.20271141308065474</v>
      </c>
      <c r="T116" s="8">
        <f>Transport_1_hub!BK51</f>
        <v>1.5885957725654713E-2</v>
      </c>
      <c r="U116" s="8">
        <f>Transport_1_hub!BL51</f>
        <v>2.6070814033525864</v>
      </c>
      <c r="V116" s="9">
        <f>Transport_1_hub!BM51</f>
        <v>0.43741413270919982</v>
      </c>
      <c r="X116" s="22"/>
      <c r="Y116" s="22"/>
      <c r="Z116" s="22"/>
      <c r="AA116" s="22"/>
      <c r="AG116" s="42"/>
      <c r="AL116" s="42"/>
    </row>
    <row r="117" spans="2:38" x14ac:dyDescent="0.25">
      <c r="B117" s="40">
        <f>Transport_1_hub!W52+Transport_1_hub!L52</f>
        <v>512.48698474711432</v>
      </c>
      <c r="C117" s="8">
        <f>Transport_1_hub!AT52</f>
        <v>184.76002370119718</v>
      </c>
      <c r="D117" s="8">
        <f>Transport_1_hub!AU52</f>
        <v>2115.3650898926744</v>
      </c>
      <c r="E117" s="8">
        <f>Transport_1_hub!AV52</f>
        <v>1.3744694305757523</v>
      </c>
      <c r="F117" s="8">
        <f>Transport_1_hub!AW52</f>
        <v>184.37873682119718</v>
      </c>
      <c r="G117" s="8">
        <f>Transport_1_hub!AX52</f>
        <v>48.755451724397183</v>
      </c>
      <c r="H117" s="8">
        <f>Transport_1_hub!AY52</f>
        <v>1.7595085376818256</v>
      </c>
      <c r="I117" s="8">
        <f>Transport_1_hub!AZ52</f>
        <v>9.110479509190899E-3</v>
      </c>
      <c r="J117" s="8">
        <f>Transport_1_hub!BA52</f>
        <v>14.093768816905282</v>
      </c>
      <c r="K117" s="8">
        <f>Transport_1_hub!BB52</f>
        <v>10.669125677556393</v>
      </c>
      <c r="L117" s="8">
        <f>Transport_1_hub!BC52</f>
        <v>1.5353165425340383</v>
      </c>
      <c r="M117" s="8">
        <f>Transport_1_hub!BD52</f>
        <v>0.1604933257931212</v>
      </c>
      <c r="N117" s="8">
        <f>Transport_1_hub!BE52</f>
        <v>2.7596373204583657</v>
      </c>
      <c r="O117" s="8">
        <f>Transport_1_hub!BF52</f>
        <v>3.9718156920695934E-2</v>
      </c>
      <c r="P117" s="8">
        <f>Transport_1_hub!BG52</f>
        <v>2.4278225449490579E-5</v>
      </c>
      <c r="Q117" s="8">
        <f>Transport_1_hub!BH52</f>
        <v>0.11079208728544615</v>
      </c>
      <c r="R117" s="8">
        <f>Transport_1_hub!BI52</f>
        <v>0.31615946403315737</v>
      </c>
      <c r="S117" s="8">
        <f>Transport_1_hub!BJ52</f>
        <v>7.6439749036891061E-2</v>
      </c>
      <c r="T117" s="8">
        <f>Transport_1_hub!BK52</f>
        <v>7.9241357168910627E-3</v>
      </c>
      <c r="U117" s="8">
        <f>Transport_1_hub!BL52</f>
        <v>1.271764034749145</v>
      </c>
      <c r="V117" s="9">
        <f>Transport_1_hub!BM52</f>
        <v>0.27664063757390833</v>
      </c>
      <c r="X117" s="22"/>
      <c r="Y117" s="22"/>
      <c r="Z117" s="22"/>
      <c r="AA117" s="22"/>
      <c r="AG117" s="42"/>
      <c r="AL117" s="42"/>
    </row>
    <row r="118" spans="2:38" x14ac:dyDescent="0.25">
      <c r="B118" s="40">
        <f>Transport_1_hub!W53+Transport_1_hub!L53</f>
        <v>512.12898474711437</v>
      </c>
      <c r="C118" s="8">
        <f>Transport_1_hub!AT53</f>
        <v>184.63837530119719</v>
      </c>
      <c r="D118" s="8">
        <f>Transport_1_hub!AU53</f>
        <v>2113.5908238376605</v>
      </c>
      <c r="E118" s="8">
        <f>Transport_1_hub!AV53</f>
        <v>1.3725843457757523</v>
      </c>
      <c r="F118" s="8">
        <f>Transport_1_hub!AW53</f>
        <v>184.2586707811972</v>
      </c>
      <c r="G118" s="8">
        <f>Transport_1_hub!AX53</f>
        <v>48.716107524397188</v>
      </c>
      <c r="H118" s="8">
        <f>Transport_1_hub!AY53</f>
        <v>1.7530953256818258</v>
      </c>
      <c r="I118" s="8">
        <f>Transport_1_hub!AZ53</f>
        <v>9.0933810711909015E-3</v>
      </c>
      <c r="J118" s="8">
        <f>Transport_1_hub!BA53</f>
        <v>14.066213198905285</v>
      </c>
      <c r="K118" s="8">
        <f>Transport_1_hub!BB53</f>
        <v>10.660970437556394</v>
      </c>
      <c r="L118" s="8">
        <f>Transport_1_hub!BC53</f>
        <v>1.5297381865340385</v>
      </c>
      <c r="M118" s="8">
        <f>Transport_1_hub!BD53</f>
        <v>0.16047864457112118</v>
      </c>
      <c r="N118" s="8">
        <f>Transport_1_hub!BE53</f>
        <v>2.7512758724583657</v>
      </c>
      <c r="O118" s="8">
        <f>Transport_1_hub!BF53</f>
        <v>3.9725969554695935E-2</v>
      </c>
      <c r="P118" s="8">
        <f>Transport_1_hub!BG53</f>
        <v>2.4260724977490579E-5</v>
      </c>
      <c r="Q118" s="8">
        <f>Transport_1_hub!BH53</f>
        <v>0.11064493496544614</v>
      </c>
      <c r="R118" s="8">
        <f>Transport_1_hub!BI53</f>
        <v>0.31584222949315738</v>
      </c>
      <c r="S118" s="8">
        <f>Transport_1_hub!BJ53</f>
        <v>7.6137088676891063E-2</v>
      </c>
      <c r="T118" s="8">
        <f>Transport_1_hub!BK53</f>
        <v>7.9058186468910635E-3</v>
      </c>
      <c r="U118" s="8">
        <f>Transport_1_hub!BL53</f>
        <v>1.2686481459491452</v>
      </c>
      <c r="V118" s="9">
        <f>Transport_1_hub!BM53</f>
        <v>0.27630714267390838</v>
      </c>
      <c r="X118" s="22"/>
      <c r="Y118" s="22"/>
      <c r="Z118" s="22"/>
      <c r="AA118" s="22"/>
      <c r="AG118" s="42"/>
      <c r="AL118" s="42"/>
    </row>
    <row r="119" spans="2:38" x14ac:dyDescent="0.25">
      <c r="B119" s="40">
        <f>Transport_1_hub!W54+Transport_1_hub!L54</f>
        <v>948.7314907262753</v>
      </c>
      <c r="C119" s="8">
        <f>Transport_1_hub!AT54</f>
        <v>285.73013409980069</v>
      </c>
      <c r="D119" s="8">
        <f>Transport_1_hub!AU54</f>
        <v>3395.6276139926613</v>
      </c>
      <c r="E119" s="8">
        <f>Transport_1_hub!AV54</f>
        <v>2.4926511298161644</v>
      </c>
      <c r="F119" s="8">
        <f>Transport_1_hub!AW54</f>
        <v>284.49490321980068</v>
      </c>
      <c r="G119" s="8">
        <f>Transport_1_hub!AX54</f>
        <v>77.607836037286447</v>
      </c>
      <c r="H119" s="8">
        <f>Transport_1_hub!AY54</f>
        <v>5.247975972642104</v>
      </c>
      <c r="I119" s="8">
        <f>Transport_1_hub!AZ54</f>
        <v>1.8741218961915627E-2</v>
      </c>
      <c r="J119" s="8">
        <f>Transport_1_hub!BA54</f>
        <v>29.518258370793895</v>
      </c>
      <c r="K119" s="8">
        <f>Transport_1_hub!BB54</f>
        <v>16.535711334124059</v>
      </c>
      <c r="L119" s="8">
        <f>Transport_1_hub!BC54</f>
        <v>4.5671307778432224</v>
      </c>
      <c r="M119" s="8">
        <f>Transport_1_hub!BD54</f>
        <v>0.20563873281319034</v>
      </c>
      <c r="N119" s="8">
        <f>Transport_1_hub!BE54</f>
        <v>7.3791639054927689</v>
      </c>
      <c r="O119" s="8">
        <f>Transport_1_hub!BF54</f>
        <v>4.3510463278893782E-2</v>
      </c>
      <c r="P119" s="8">
        <f>Transport_1_hub!BG54</f>
        <v>3.7622842064743461E-5</v>
      </c>
      <c r="Q119" s="8">
        <f>Transport_1_hub!BH54</f>
        <v>0.19876970025101717</v>
      </c>
      <c r="R119" s="8">
        <f>Transport_1_hub!BI54</f>
        <v>0.50686504126539322</v>
      </c>
      <c r="S119" s="8">
        <f>Transport_1_hub!BJ54</f>
        <v>0.24011533014065473</v>
      </c>
      <c r="T119" s="8">
        <f>Transport_1_hub!BK54</f>
        <v>1.8149650820654711E-2</v>
      </c>
      <c r="U119" s="8">
        <f>Transport_1_hub!BL54</f>
        <v>2.9921547781525866</v>
      </c>
      <c r="V119" s="9">
        <f>Transport_1_hub!BM54</f>
        <v>0.47862869935919983</v>
      </c>
      <c r="X119" s="22"/>
      <c r="Y119" s="22"/>
      <c r="Z119" s="22"/>
      <c r="AA119" s="22"/>
      <c r="AG119" s="42"/>
      <c r="AL119" s="42"/>
    </row>
    <row r="120" spans="2:38" x14ac:dyDescent="0.25">
      <c r="B120" s="40">
        <f>Transport_1_hub!W55+Transport_1_hub!L55</f>
        <v>496.64996592631053</v>
      </c>
      <c r="C120" s="8">
        <f>Transport_1_hub!AT55</f>
        <v>188.38466238960245</v>
      </c>
      <c r="D120" s="8">
        <f>Transport_1_hub!AU55</f>
        <v>2209.39967877557</v>
      </c>
      <c r="E120" s="8">
        <f>Transport_1_hub!AV55</f>
        <v>1.5247250755547304</v>
      </c>
      <c r="F120" s="8">
        <f>Transport_1_hub!AW55</f>
        <v>187.85828458960248</v>
      </c>
      <c r="G120" s="8">
        <f>Transport_1_hub!AX55</f>
        <v>50.74232605093313</v>
      </c>
      <c r="H120" s="8">
        <f>Transport_1_hub!AY55</f>
        <v>2.3416367758477188</v>
      </c>
      <c r="I120" s="8">
        <f>Transport_1_hub!AZ55</f>
        <v>1.0591912168131556E-2</v>
      </c>
      <c r="J120" s="8">
        <f>Transport_1_hub!BA55</f>
        <v>16.506100976711611</v>
      </c>
      <c r="K120" s="8">
        <f>Transport_1_hub!BB55</f>
        <v>11.105033109884207</v>
      </c>
      <c r="L120" s="8">
        <f>Transport_1_hub!BC55</f>
        <v>2.04220040008255</v>
      </c>
      <c r="M120" s="8">
        <f>Transport_1_hub!BD55</f>
        <v>0.1541616417335199</v>
      </c>
      <c r="N120" s="8">
        <f>Transport_1_hub!BE55</f>
        <v>3.5034264364597849</v>
      </c>
      <c r="O120" s="8">
        <f>Transport_1_hub!BF55</f>
        <v>3.7298203414460017E-2</v>
      </c>
      <c r="P120" s="8">
        <f>Transport_1_hub!BG55</f>
        <v>2.5052661406160563E-5</v>
      </c>
      <c r="Q120" s="8">
        <f>Transport_1_hub!BH55</f>
        <v>0.1224507646631976</v>
      </c>
      <c r="R120" s="8">
        <f>Transport_1_hub!BI55</f>
        <v>0.34107854679452648</v>
      </c>
      <c r="S120" s="8">
        <f>Transport_1_hub!BJ55</f>
        <v>0.1041194504923396</v>
      </c>
      <c r="T120" s="8">
        <f>Transport_1_hub!BK55</f>
        <v>9.5316225423395916E-3</v>
      </c>
      <c r="U120" s="8">
        <f>Transport_1_hub!BL55</f>
        <v>1.5492100045528985</v>
      </c>
      <c r="V120" s="9">
        <f>Transport_1_hub!BM55</f>
        <v>0.30253736139186316</v>
      </c>
      <c r="X120" s="22"/>
      <c r="Y120" s="22"/>
      <c r="Z120" s="22"/>
      <c r="AA120" s="22"/>
      <c r="AG120" s="42"/>
      <c r="AL120" s="42"/>
    </row>
    <row r="121" spans="2:38" x14ac:dyDescent="0.25">
      <c r="B121" s="40">
        <f>Transport_1_hub!W56+Transport_1_hub!L56</f>
        <v>553.87058865603012</v>
      </c>
      <c r="C121" s="8">
        <f>Transport_1_hub!AT56</f>
        <v>183.27488338315391</v>
      </c>
      <c r="D121" s="8">
        <f>Transport_1_hub!AU56</f>
        <v>2026.8861728473939</v>
      </c>
      <c r="E121" s="8">
        <f>Transport_1_hub!AV56</f>
        <v>1.1975541806186389</v>
      </c>
      <c r="F121" s="8">
        <f>Transport_1_hub!AW56</f>
        <v>183.07215124315391</v>
      </c>
      <c r="G121" s="8">
        <f>Transport_1_hub!AX56</f>
        <v>46.95356346527376</v>
      </c>
      <c r="H121" s="8">
        <f>Transport_1_hub!AY56</f>
        <v>1.0454044763900505</v>
      </c>
      <c r="I121" s="8">
        <f>Transport_1_hub!AZ56</f>
        <v>7.3211155136305561E-3</v>
      </c>
      <c r="J121" s="8">
        <f>Transport_1_hub!BA56</f>
        <v>11.17333615834179</v>
      </c>
      <c r="K121" s="8">
        <f>Transport_1_hub!BB56</f>
        <v>10.256289081249118</v>
      </c>
      <c r="L121" s="8">
        <f>Transport_1_hub!BC56</f>
        <v>0.91329811932425597</v>
      </c>
      <c r="M121" s="8">
        <f>Transport_1_hub!BD56</f>
        <v>0.17153553658282725</v>
      </c>
      <c r="N121" s="8">
        <f>Transport_1_hub!BE56</f>
        <v>1.853293938792258</v>
      </c>
      <c r="O121" s="8">
        <f>Transport_1_hub!BF56</f>
        <v>4.3372215227325789E-2</v>
      </c>
      <c r="P121" s="8">
        <f>Transport_1_hub!BG56</f>
        <v>2.3654132525353234E-5</v>
      </c>
      <c r="Q121" s="8">
        <f>Transport_1_hub!BH56</f>
        <v>9.7161296700022534E-2</v>
      </c>
      <c r="R121" s="8">
        <f>Transport_1_hub!BI56</f>
        <v>0.28712879289358739</v>
      </c>
      <c r="S121" s="8">
        <f>Transport_1_hub!BJ56</f>
        <v>4.2404868307946812E-2</v>
      </c>
      <c r="T121" s="8">
        <f>Transport_1_hub!BK56</f>
        <v>5.9747742229468142E-3</v>
      </c>
      <c r="U121" s="8">
        <f>Transport_1_hub!BL56</f>
        <v>0.9336074171001898</v>
      </c>
      <c r="V121" s="9">
        <f>Transport_1_hub!BM56</f>
        <v>0.24662783900999335</v>
      </c>
      <c r="X121" s="22"/>
      <c r="Y121" s="22"/>
      <c r="Z121" s="22"/>
      <c r="AA121" s="22"/>
      <c r="AG121" s="42"/>
      <c r="AL121" s="42"/>
    </row>
    <row r="122" spans="2:38" x14ac:dyDescent="0.25">
      <c r="B122" s="40">
        <f>Transport_1_hub!W57+Transport_1_hub!L57</f>
        <v>618.02983602944539</v>
      </c>
      <c r="C122" s="8">
        <f>Transport_1_hub!AT57</f>
        <v>199.28398526659544</v>
      </c>
      <c r="D122" s="8">
        <f>Transport_1_hub!AU57</f>
        <v>2236.5387816660323</v>
      </c>
      <c r="E122" s="8">
        <f>Transport_1_hub!AV57</f>
        <v>1.3903963403057955</v>
      </c>
      <c r="F122" s="8">
        <f>Transport_1_hub!AW57</f>
        <v>198.92991674659544</v>
      </c>
      <c r="G122" s="8">
        <f>Transport_1_hub!AX57</f>
        <v>51.659879622563714</v>
      </c>
      <c r="H122" s="8">
        <f>Transport_1_hub!AY57</f>
        <v>1.6621684527645681</v>
      </c>
      <c r="I122" s="8">
        <f>Transport_1_hub!AZ57</f>
        <v>9.0063655396973707E-3</v>
      </c>
      <c r="J122" s="8">
        <f>Transport_1_hub!BA57</f>
        <v>13.877098401351088</v>
      </c>
      <c r="K122" s="8">
        <f>Transport_1_hub!BB57</f>
        <v>11.217706616385227</v>
      </c>
      <c r="L122" s="8">
        <f>Transport_1_hub!BC57</f>
        <v>1.4494597689021571</v>
      </c>
      <c r="M122" s="8">
        <f>Transport_1_hub!BD57</f>
        <v>0.17753458618326642</v>
      </c>
      <c r="N122" s="8">
        <f>Transport_1_hub!BE57</f>
        <v>2.6662515605554202</v>
      </c>
      <c r="O122" s="8">
        <f>Transport_1_hub!BF57</f>
        <v>4.3616616626330505E-2</v>
      </c>
      <c r="P122" s="8">
        <f>Transport_1_hub!BG57</f>
        <v>2.5810826457301509E-5</v>
      </c>
      <c r="Q122" s="8">
        <f>Transport_1_hub!BH57</f>
        <v>0.11229591373641229</v>
      </c>
      <c r="R122" s="8">
        <f>Transport_1_hub!BI57</f>
        <v>0.31988479088292299</v>
      </c>
      <c r="S122" s="8">
        <f>Transport_1_hub!BJ57</f>
        <v>7.139332892297344E-2</v>
      </c>
      <c r="T122" s="8">
        <f>Transport_1_hub!BK57</f>
        <v>7.7687378929734404E-3</v>
      </c>
      <c r="U122" s="8">
        <f>Transport_1_hub!BL57</f>
        <v>1.2364196851478182</v>
      </c>
      <c r="V122" s="9">
        <f>Transport_1_hub!BM57</f>
        <v>0.28124835459641073</v>
      </c>
      <c r="X122" s="22"/>
      <c r="Y122" s="22"/>
      <c r="Z122" s="22"/>
      <c r="AA122" s="22"/>
      <c r="AG122" s="42"/>
      <c r="AL122" s="42"/>
    </row>
    <row r="123" spans="2:38" x14ac:dyDescent="0.25">
      <c r="B123" s="40">
        <f>Transport_1_hub!W58+Transport_1_hub!L58</f>
        <v>568.75658865603009</v>
      </c>
      <c r="C123" s="8">
        <f>Transport_1_hub!AT58</f>
        <v>188.3331461831539</v>
      </c>
      <c r="D123" s="8">
        <f>Transport_1_hub!AU58</f>
        <v>2100.661939593032</v>
      </c>
      <c r="E123" s="8">
        <f>Transport_1_hub!AV58</f>
        <v>1.275937902218639</v>
      </c>
      <c r="F123" s="8">
        <f>Transport_1_hub!AW58</f>
        <v>188.06461792315389</v>
      </c>
      <c r="G123" s="8">
        <f>Transport_1_hub!AX58</f>
        <v>48.589534865273762</v>
      </c>
      <c r="H123" s="8">
        <f>Transport_1_hub!AY58</f>
        <v>1.3120722803900504</v>
      </c>
      <c r="I123" s="8">
        <f>Transport_1_hub!AZ58</f>
        <v>8.0320857596305559E-3</v>
      </c>
      <c r="J123" s="8">
        <f>Transport_1_hub!BA58</f>
        <v>12.319126464341792</v>
      </c>
      <c r="K123" s="8">
        <f>Transport_1_hub!BB58</f>
        <v>10.595392161249118</v>
      </c>
      <c r="L123" s="8">
        <f>Transport_1_hub!BC58</f>
        <v>1.145251771324256</v>
      </c>
      <c r="M123" s="8">
        <f>Transport_1_hub!BD58</f>
        <v>0.17214599655682725</v>
      </c>
      <c r="N123" s="8">
        <f>Transport_1_hub!BE58</f>
        <v>2.2009713547922578</v>
      </c>
      <c r="O123" s="8">
        <f>Transport_1_hub!BF58</f>
        <v>4.3047358049325787E-2</v>
      </c>
      <c r="P123" s="8">
        <f>Transport_1_hub!BG58</f>
        <v>2.4381819749353236E-5</v>
      </c>
      <c r="Q123" s="8">
        <f>Transport_1_hub!BH58</f>
        <v>0.10328003814002254</v>
      </c>
      <c r="R123" s="8">
        <f>Transport_1_hub!BI58</f>
        <v>0.30031972407358742</v>
      </c>
      <c r="S123" s="8">
        <f>Transport_1_hub!BJ58</f>
        <v>5.4989790427946821E-2</v>
      </c>
      <c r="T123" s="8">
        <f>Transport_1_hub!BK58</f>
        <v>6.7364164129468142E-3</v>
      </c>
      <c r="U123" s="8">
        <f>Transport_1_hub!BL58</f>
        <v>1.0631692067001899</v>
      </c>
      <c r="V123" s="9">
        <f>Transport_1_hub!BM58</f>
        <v>0.26049489230999334</v>
      </c>
      <c r="X123" s="22"/>
      <c r="Y123" s="22"/>
      <c r="Z123" s="22"/>
      <c r="AA123" s="22"/>
      <c r="AG123" s="42"/>
      <c r="AL123" s="42"/>
    </row>
    <row r="124" spans="2:38" x14ac:dyDescent="0.25">
      <c r="B124" s="40">
        <f>Transport_1_hub!W59+Transport_1_hub!L59</f>
        <v>494.86882211216721</v>
      </c>
      <c r="C124" s="8">
        <f>Transport_1_hub!AT59</f>
        <v>169.27589358146486</v>
      </c>
      <c r="D124" s="8">
        <f>Transport_1_hub!AU59</f>
        <v>1848.1723973689211</v>
      </c>
      <c r="E124" s="8">
        <f>Transport_1_hub!AV59</f>
        <v>1.0394372399806531</v>
      </c>
      <c r="F124" s="8">
        <f>Transport_1_hub!AW59</f>
        <v>169.19453022146487</v>
      </c>
      <c r="G124" s="8">
        <f>Transport_1_hub!AX59</f>
        <v>42.929503342987566</v>
      </c>
      <c r="H124" s="8">
        <f>Transport_1_hub!AY59</f>
        <v>0.54986184596984433</v>
      </c>
      <c r="I124" s="8">
        <f>Transport_1_hub!AZ59</f>
        <v>5.9562878979002899E-3</v>
      </c>
      <c r="J124" s="8">
        <f>Transport_1_hub!BA59</f>
        <v>8.9873082141034182</v>
      </c>
      <c r="K124" s="8">
        <f>Transport_1_hub!BB59</f>
        <v>9.4372126338827318</v>
      </c>
      <c r="L124" s="8">
        <f>Transport_1_hub!BC59</f>
        <v>0.48259804588519861</v>
      </c>
      <c r="M124" s="8">
        <f>Transport_1_hub!BD59</f>
        <v>0.16553772010190138</v>
      </c>
      <c r="N124" s="8">
        <f>Transport_1_hub!BE59</f>
        <v>1.1977932555613007</v>
      </c>
      <c r="O124" s="8">
        <f>Transport_1_hub!BF59</f>
        <v>4.2913757268463505E-2</v>
      </c>
      <c r="P124" s="8">
        <f>Transport_1_hub!BG59</f>
        <v>2.179660974033746E-5</v>
      </c>
      <c r="Q124" s="8">
        <f>Transport_1_hub!BH59</f>
        <v>8.4741365219561285E-2</v>
      </c>
      <c r="R124" s="8">
        <f>Transport_1_hub!BI59</f>
        <v>0.26021747193961059</v>
      </c>
      <c r="S124" s="8">
        <f>Transport_1_hub!BJ59</f>
        <v>1.914559426431307E-2</v>
      </c>
      <c r="T124" s="8">
        <f>Transport_1_hub!BK59</f>
        <v>4.5249482243130681E-3</v>
      </c>
      <c r="U124" s="8">
        <f>Transport_1_hub!BL59</f>
        <v>0.6894861490266323</v>
      </c>
      <c r="V124" s="9">
        <f>Transport_1_hub!BM59</f>
        <v>0.21814175291430385</v>
      </c>
      <c r="X124" s="22"/>
      <c r="Y124" s="22"/>
      <c r="Z124" s="22"/>
      <c r="AA124" s="22"/>
      <c r="AG124" s="42"/>
      <c r="AL124" s="42"/>
    </row>
    <row r="125" spans="2:38" x14ac:dyDescent="0.25">
      <c r="B125" s="40">
        <f>Transport_1_hub!W60+Transport_1_hub!L60</f>
        <v>494.86882211216721</v>
      </c>
      <c r="C125" s="8">
        <f>Transport_1_hub!AT60</f>
        <v>169.27589358146486</v>
      </c>
      <c r="D125" s="8">
        <f>Transport_1_hub!AU60</f>
        <v>1848.1723973689211</v>
      </c>
      <c r="E125" s="8">
        <f>Transport_1_hub!AV60</f>
        <v>1.0394372399806531</v>
      </c>
      <c r="F125" s="8">
        <f>Transport_1_hub!AW60</f>
        <v>169.19453022146487</v>
      </c>
      <c r="G125" s="8">
        <f>Transport_1_hub!AX60</f>
        <v>42.929503342987566</v>
      </c>
      <c r="H125" s="8">
        <f>Transport_1_hub!AY60</f>
        <v>0.54986184596984433</v>
      </c>
      <c r="I125" s="8">
        <f>Transport_1_hub!AZ60</f>
        <v>5.9562878979002899E-3</v>
      </c>
      <c r="J125" s="8">
        <f>Transport_1_hub!BA60</f>
        <v>8.9873082141034182</v>
      </c>
      <c r="K125" s="8">
        <f>Transport_1_hub!BB60</f>
        <v>9.4372126338827318</v>
      </c>
      <c r="L125" s="8">
        <f>Transport_1_hub!BC60</f>
        <v>0.48259804588519861</v>
      </c>
      <c r="M125" s="8">
        <f>Transport_1_hub!BD60</f>
        <v>0.16553772010190138</v>
      </c>
      <c r="N125" s="8">
        <f>Transport_1_hub!BE60</f>
        <v>1.1977932555613007</v>
      </c>
      <c r="O125" s="8">
        <f>Transport_1_hub!BF60</f>
        <v>4.2913757268463505E-2</v>
      </c>
      <c r="P125" s="8">
        <f>Transport_1_hub!BG60</f>
        <v>2.179660974033746E-5</v>
      </c>
      <c r="Q125" s="8">
        <f>Transport_1_hub!BH60</f>
        <v>8.4741365219561285E-2</v>
      </c>
      <c r="R125" s="8">
        <f>Transport_1_hub!BI60</f>
        <v>0.26021747193961059</v>
      </c>
      <c r="S125" s="8">
        <f>Transport_1_hub!BJ60</f>
        <v>1.914559426431307E-2</v>
      </c>
      <c r="T125" s="8">
        <f>Transport_1_hub!BK60</f>
        <v>4.5249482243130681E-3</v>
      </c>
      <c r="U125" s="8">
        <f>Transport_1_hub!BL60</f>
        <v>0.6894861490266323</v>
      </c>
      <c r="V125" s="9">
        <f>Transport_1_hub!BM60</f>
        <v>0.21814175291430385</v>
      </c>
      <c r="X125" s="22"/>
      <c r="Y125" s="22"/>
      <c r="Z125" s="22"/>
      <c r="AA125" s="22"/>
      <c r="AG125" s="42"/>
      <c r="AL125" s="42"/>
    </row>
    <row r="126" spans="2:38" x14ac:dyDescent="0.25">
      <c r="B126" s="40">
        <f>Transport_1_hub!W61+Transport_1_hub!L61</f>
        <v>566.81983602944536</v>
      </c>
      <c r="C126" s="8">
        <f>Transport_1_hub!AT61</f>
        <v>181.88282726659546</v>
      </c>
      <c r="D126" s="8">
        <f>Transport_1_hub!AU61</f>
        <v>1982.7394389921024</v>
      </c>
      <c r="E126" s="8">
        <f>Transport_1_hub!AV61</f>
        <v>1.1207449643057954</v>
      </c>
      <c r="F126" s="8">
        <f>Transport_1_hub!AW61</f>
        <v>181.75510694659545</v>
      </c>
      <c r="G126" s="8">
        <f>Transport_1_hub!AX61</f>
        <v>46.031900622563718</v>
      </c>
      <c r="H126" s="8">
        <f>Transport_1_hub!AY61</f>
        <v>0.74479251276456837</v>
      </c>
      <c r="I126" s="8">
        <f>Transport_1_hub!AZ61</f>
        <v>6.560524729697371E-3</v>
      </c>
      <c r="J126" s="8">
        <f>Transport_1_hub!BA61</f>
        <v>9.9354134913510883</v>
      </c>
      <c r="K126" s="8">
        <f>Transport_1_hub!BB61</f>
        <v>10.051142816385228</v>
      </c>
      <c r="L126" s="8">
        <f>Transport_1_hub!BC61</f>
        <v>0.65150554890215717</v>
      </c>
      <c r="M126" s="8">
        <f>Transport_1_hub!BD61</f>
        <v>0.17543451529326642</v>
      </c>
      <c r="N126" s="8">
        <f>Transport_1_hub!BE61</f>
        <v>1.4701908005554205</v>
      </c>
      <c r="O126" s="8">
        <f>Transport_1_hub!BF61</f>
        <v>4.4734172456330504E-2</v>
      </c>
      <c r="P126" s="8">
        <f>Transport_1_hub!BG61</f>
        <v>2.3307476817301509E-5</v>
      </c>
      <c r="Q126" s="8">
        <f>Transport_1_hub!BH61</f>
        <v>9.1246555336412294E-2</v>
      </c>
      <c r="R126" s="8">
        <f>Transport_1_hub!BI61</f>
        <v>0.274506073582923</v>
      </c>
      <c r="S126" s="8">
        <f>Transport_1_hub!BJ61</f>
        <v>2.8099370722973444E-2</v>
      </c>
      <c r="T126" s="8">
        <f>Transport_1_hub!BK61</f>
        <v>5.1485782429734409E-3</v>
      </c>
      <c r="U126" s="8">
        <f>Transport_1_hub!BL61</f>
        <v>0.79070832914781819</v>
      </c>
      <c r="V126" s="9">
        <f>Transport_1_hub!BM61</f>
        <v>0.23354367909641072</v>
      </c>
      <c r="X126" s="22"/>
      <c r="Y126" s="22"/>
      <c r="Z126" s="22"/>
      <c r="AA126" s="22"/>
      <c r="AG126" s="42"/>
      <c r="AL126" s="42"/>
    </row>
    <row r="127" spans="2:38" x14ac:dyDescent="0.25">
      <c r="B127" s="40">
        <f>Transport_1_hub!W62+Transport_1_hub!L62</f>
        <v>556.25583602944539</v>
      </c>
      <c r="C127" s="8">
        <f>Transport_1_hub!AT62</f>
        <v>178.29318006659545</v>
      </c>
      <c r="D127" s="8">
        <f>Transport_1_hub!AU62</f>
        <v>1930.3837222178904</v>
      </c>
      <c r="E127" s="8">
        <f>Transport_1_hub!AV62</f>
        <v>1.0651191659057955</v>
      </c>
      <c r="F127" s="8">
        <f>Transport_1_hub!AW62</f>
        <v>178.21215262659544</v>
      </c>
      <c r="G127" s="8">
        <f>Transport_1_hub!AX62</f>
        <v>44.870917022563717</v>
      </c>
      <c r="H127" s="8">
        <f>Transport_1_hub!AY62</f>
        <v>0.55554901676456836</v>
      </c>
      <c r="I127" s="8">
        <f>Transport_1_hub!AZ62</f>
        <v>6.0559775256973708E-3</v>
      </c>
      <c r="J127" s="8">
        <f>Transport_1_hub!BA62</f>
        <v>9.1222918473510894</v>
      </c>
      <c r="K127" s="8">
        <f>Transport_1_hub!BB62</f>
        <v>9.8104948963852276</v>
      </c>
      <c r="L127" s="8">
        <f>Transport_1_hub!BC62</f>
        <v>0.4868973009021571</v>
      </c>
      <c r="M127" s="8">
        <f>Transport_1_hub!BD62</f>
        <v>0.17500129621726643</v>
      </c>
      <c r="N127" s="8">
        <f>Transport_1_hub!BE62</f>
        <v>1.2234580165554205</v>
      </c>
      <c r="O127" s="8">
        <f>Transport_1_hub!BF62</f>
        <v>4.4964710628330504E-2</v>
      </c>
      <c r="P127" s="8">
        <f>Transport_1_hub!BG62</f>
        <v>2.2791066241301509E-5</v>
      </c>
      <c r="Q127" s="8">
        <f>Transport_1_hub!BH62</f>
        <v>8.6904328776412285E-2</v>
      </c>
      <c r="R127" s="8">
        <f>Transport_1_hub!BI62</f>
        <v>0.26514499626292298</v>
      </c>
      <c r="S127" s="8">
        <f>Transport_1_hub!BJ62</f>
        <v>1.9168353842973444E-2</v>
      </c>
      <c r="T127" s="8">
        <f>Transport_1_hub!BK62</f>
        <v>4.6080711829734403E-3</v>
      </c>
      <c r="U127" s="8">
        <f>Transport_1_hub!BL62</f>
        <v>0.69876349874781818</v>
      </c>
      <c r="V127" s="9">
        <f>Transport_1_hub!BM62</f>
        <v>0.22370278489641071</v>
      </c>
      <c r="X127" s="22"/>
      <c r="Y127" s="22"/>
      <c r="Z127" s="22"/>
      <c r="AA127" s="22"/>
      <c r="AG127" s="42"/>
      <c r="AL127" s="42"/>
    </row>
    <row r="128" spans="2:38" x14ac:dyDescent="0.25">
      <c r="B128" s="40">
        <f>Transport_1_hub!W63+Transport_1_hub!L63</f>
        <v>557.37183602944538</v>
      </c>
      <c r="C128" s="8">
        <f>Transport_1_hub!AT63</f>
        <v>178.67239686659545</v>
      </c>
      <c r="D128" s="8">
        <f>Transport_1_hub!AU63</f>
        <v>1935.9146745011185</v>
      </c>
      <c r="E128" s="8">
        <f>Transport_1_hub!AV63</f>
        <v>1.0709955755057954</v>
      </c>
      <c r="F128" s="8">
        <f>Transport_1_hub!AW63</f>
        <v>178.58643670659544</v>
      </c>
      <c r="G128" s="8">
        <f>Transport_1_hub!AX63</f>
        <v>44.993565422563719</v>
      </c>
      <c r="H128" s="8">
        <f>Transport_1_hub!AY63</f>
        <v>0.57554104076456836</v>
      </c>
      <c r="I128" s="8">
        <f>Transport_1_hub!AZ63</f>
        <v>6.1092788016973709E-3</v>
      </c>
      <c r="J128" s="8">
        <f>Transport_1_hub!BA63</f>
        <v>9.2081914833510901</v>
      </c>
      <c r="K128" s="8">
        <f>Transport_1_hub!BB63</f>
        <v>9.8359173763852272</v>
      </c>
      <c r="L128" s="8">
        <f>Transport_1_hub!BC63</f>
        <v>0.50428681290215716</v>
      </c>
      <c r="M128" s="8">
        <f>Transport_1_hub!BD63</f>
        <v>0.17504706226126643</v>
      </c>
      <c r="N128" s="8">
        <f>Transport_1_hub!BE63</f>
        <v>1.2495233125554206</v>
      </c>
      <c r="O128" s="8">
        <f>Transport_1_hub!BF63</f>
        <v>4.49403561603305E-2</v>
      </c>
      <c r="P128" s="8">
        <f>Transport_1_hub!BG63</f>
        <v>2.284562078530151E-5</v>
      </c>
      <c r="Q128" s="8">
        <f>Transport_1_hub!BH63</f>
        <v>8.7363049416412292E-2</v>
      </c>
      <c r="R128" s="8">
        <f>Transport_1_hub!BI63</f>
        <v>0.26613391734292302</v>
      </c>
      <c r="S128" s="8">
        <f>Transport_1_hub!BJ63</f>
        <v>2.0111842562973443E-2</v>
      </c>
      <c r="T128" s="8">
        <f>Transport_1_hub!BK63</f>
        <v>4.6651713229734406E-3</v>
      </c>
      <c r="U128" s="8">
        <f>Transport_1_hub!BL63</f>
        <v>0.70847671634781817</v>
      </c>
      <c r="V128" s="9">
        <f>Transport_1_hub!BM63</f>
        <v>0.22474239469641072</v>
      </c>
      <c r="X128" s="22"/>
      <c r="Y128" s="22"/>
      <c r="Z128" s="22"/>
      <c r="AA128" s="22"/>
      <c r="AG128" s="42"/>
      <c r="AL128" s="42"/>
    </row>
    <row r="129" spans="2:38" x14ac:dyDescent="0.25">
      <c r="B129" s="40">
        <f>Transport_1_hub!W64+Transport_1_hub!L64</f>
        <v>559.08498474711439</v>
      </c>
      <c r="C129" s="8">
        <f>Transport_1_hub!AT64</f>
        <v>200.59402410119719</v>
      </c>
      <c r="D129" s="8">
        <f>Transport_1_hub!AU64</f>
        <v>2346.3071279696082</v>
      </c>
      <c r="E129" s="8">
        <f>Transport_1_hub!AV64</f>
        <v>1.6198358593757523</v>
      </c>
      <c r="F129" s="8">
        <f>Transport_1_hub!AW64</f>
        <v>200.00677406119718</v>
      </c>
      <c r="G129" s="8">
        <f>Transport_1_hub!AX64</f>
        <v>53.876571924397183</v>
      </c>
      <c r="H129" s="8">
        <f>Transport_1_hub!AY64</f>
        <v>2.5942651096818254</v>
      </c>
      <c r="I129" s="8">
        <f>Transport_1_hub!AZ64</f>
        <v>1.1336046587190899E-2</v>
      </c>
      <c r="J129" s="8">
        <f>Transport_1_hub!BA64</f>
        <v>17.680463474905284</v>
      </c>
      <c r="K129" s="8">
        <f>Transport_1_hub!BB64</f>
        <v>11.730628117556392</v>
      </c>
      <c r="L129" s="8">
        <f>Transport_1_hub!BC64</f>
        <v>2.2614065785340385</v>
      </c>
      <c r="M129" s="8">
        <f>Transport_1_hub!BD64</f>
        <v>0.16240426317512119</v>
      </c>
      <c r="N129" s="8">
        <f>Transport_1_hub!BE64</f>
        <v>3.8479802084583654</v>
      </c>
      <c r="O129" s="8">
        <f>Transport_1_hub!BF64</f>
        <v>3.8701248766695936E-2</v>
      </c>
      <c r="P129" s="8">
        <f>Transport_1_hub!BG64</f>
        <v>2.6556122081490578E-5</v>
      </c>
      <c r="Q129" s="8">
        <f>Transport_1_hub!BH64</f>
        <v>0.12994572920544614</v>
      </c>
      <c r="R129" s="8">
        <f>Transport_1_hub!BI64</f>
        <v>0.35745134977315735</v>
      </c>
      <c r="S129" s="8">
        <f>Transport_1_hub!BJ64</f>
        <v>0.11583463019689107</v>
      </c>
      <c r="T129" s="8">
        <f>Transport_1_hub!BK64</f>
        <v>1.0308322386891063E-2</v>
      </c>
      <c r="U129" s="8">
        <f>Transport_1_hub!BL64</f>
        <v>1.6773343875491451</v>
      </c>
      <c r="V129" s="9">
        <f>Transport_1_hub!BM64</f>
        <v>0.32004900447390838</v>
      </c>
      <c r="X129" s="22"/>
      <c r="Y129" s="22"/>
      <c r="Z129" s="22"/>
      <c r="AA129" s="22"/>
      <c r="AG129" s="42"/>
      <c r="AL129" s="42"/>
    </row>
    <row r="130" spans="2:38" x14ac:dyDescent="0.25">
      <c r="B130" s="40">
        <f>Transport_1_hub!W65+Transport_1_hub!L65</f>
        <v>603.97837633975132</v>
      </c>
      <c r="C130" s="8">
        <f>Transport_1_hub!AT65</f>
        <v>217.77132685526664</v>
      </c>
      <c r="D130" s="8">
        <f>Transport_1_hub!AU65</f>
        <v>2605.4516617747531</v>
      </c>
      <c r="E130" s="8">
        <f>Transport_1_hub!AV65</f>
        <v>1.9057457034312602</v>
      </c>
      <c r="F130" s="8">
        <f>Transport_1_hub!AW65</f>
        <v>216.94014585526662</v>
      </c>
      <c r="G130" s="8">
        <f>Transport_1_hub!AX65</f>
        <v>59.602492989379527</v>
      </c>
      <c r="H130" s="8">
        <f>Transport_1_hub!AY65</f>
        <v>3.5816671166825516</v>
      </c>
      <c r="I130" s="8">
        <f>Transport_1_hub!AZ65</f>
        <v>1.3953825505692444E-2</v>
      </c>
      <c r="J130" s="8">
        <f>Transport_1_hub!BA65</f>
        <v>21.904288802681094</v>
      </c>
      <c r="K130" s="8">
        <f>Transport_1_hub!BB65</f>
        <v>12.922539528021312</v>
      </c>
      <c r="L130" s="8">
        <f>Transport_1_hub!BC65</f>
        <v>3.1203832905425113</v>
      </c>
      <c r="M130" s="8">
        <f>Transport_1_hub!BD65</f>
        <v>0.16305184571097442</v>
      </c>
      <c r="N130" s="8">
        <f>Transport_1_hub!BE65</f>
        <v>5.1321628988637533</v>
      </c>
      <c r="O130" s="8">
        <f>Transport_1_hub!BF65</f>
        <v>3.7140298440517916E-2</v>
      </c>
      <c r="P130" s="8">
        <f>Transport_1_hub!BG65</f>
        <v>2.908017417753413E-5</v>
      </c>
      <c r="Q130" s="8">
        <f>Transport_1_hub!BH65</f>
        <v>0.15224677633468015</v>
      </c>
      <c r="R130" s="8">
        <f>Transport_1_hub!BI65</f>
        <v>0.40548329378211784</v>
      </c>
      <c r="S130" s="8">
        <f>Transport_1_hub!BJ65</f>
        <v>0.16247657576926733</v>
      </c>
      <c r="T130" s="8">
        <f>Transport_1_hub!BK65</f>
        <v>1.3116923019267292E-2</v>
      </c>
      <c r="U130" s="8">
        <f>Transport_1_hub!BL65</f>
        <v>2.155940065700062</v>
      </c>
      <c r="V130" s="9">
        <f>Transport_1_hub!BM65</f>
        <v>0.37047940663746748</v>
      </c>
      <c r="X130" s="22"/>
      <c r="Y130" s="22"/>
      <c r="Z130" s="22"/>
      <c r="AA130" s="22"/>
      <c r="AG130" s="42"/>
      <c r="AL130" s="42"/>
    </row>
    <row r="131" spans="2:38" x14ac:dyDescent="0.25">
      <c r="B131" s="40">
        <f>Transport_1_hub!W66+Transport_1_hub!L66</f>
        <v>603.97837633975132</v>
      </c>
      <c r="C131" s="8">
        <f>Transport_1_hub!AT66</f>
        <v>217.77132685526664</v>
      </c>
      <c r="D131" s="8">
        <f>Transport_1_hub!AU66</f>
        <v>2605.4516617747531</v>
      </c>
      <c r="E131" s="8">
        <f>Transport_1_hub!AV66</f>
        <v>1.9057457034312602</v>
      </c>
      <c r="F131" s="8">
        <f>Transport_1_hub!AW66</f>
        <v>216.94014585526662</v>
      </c>
      <c r="G131" s="8">
        <f>Transport_1_hub!AX66</f>
        <v>59.602492989379527</v>
      </c>
      <c r="H131" s="8">
        <f>Transport_1_hub!AY66</f>
        <v>3.5816671166825516</v>
      </c>
      <c r="I131" s="8">
        <f>Transport_1_hub!AZ66</f>
        <v>1.3953825505692444E-2</v>
      </c>
      <c r="J131" s="8">
        <f>Transport_1_hub!BA66</f>
        <v>21.904288802681094</v>
      </c>
      <c r="K131" s="8">
        <f>Transport_1_hub!BB66</f>
        <v>12.922539528021312</v>
      </c>
      <c r="L131" s="8">
        <f>Transport_1_hub!BC66</f>
        <v>3.1203832905425113</v>
      </c>
      <c r="M131" s="8">
        <f>Transport_1_hub!BD66</f>
        <v>0.16305184571097442</v>
      </c>
      <c r="N131" s="8">
        <f>Transport_1_hub!BE66</f>
        <v>5.1321628988637533</v>
      </c>
      <c r="O131" s="8">
        <f>Transport_1_hub!BF66</f>
        <v>3.7140298440517916E-2</v>
      </c>
      <c r="P131" s="8">
        <f>Transport_1_hub!BG66</f>
        <v>2.908017417753413E-5</v>
      </c>
      <c r="Q131" s="8">
        <f>Transport_1_hub!BH66</f>
        <v>0.15224677633468015</v>
      </c>
      <c r="R131" s="8">
        <f>Transport_1_hub!BI66</f>
        <v>0.40548329378211784</v>
      </c>
      <c r="S131" s="8">
        <f>Transport_1_hub!BJ66</f>
        <v>0.16247657576926733</v>
      </c>
      <c r="T131" s="8">
        <f>Transport_1_hub!BK66</f>
        <v>1.3116923019267292E-2</v>
      </c>
      <c r="U131" s="8">
        <f>Transport_1_hub!BL66</f>
        <v>2.155940065700062</v>
      </c>
      <c r="V131" s="9">
        <f>Transport_1_hub!BM66</f>
        <v>0.37047940663746748</v>
      </c>
      <c r="X131" s="22"/>
      <c r="Y131" s="22"/>
      <c r="Z131" s="22"/>
      <c r="AA131" s="22"/>
      <c r="AG131" s="42"/>
      <c r="AL131" s="42"/>
    </row>
    <row r="132" spans="2:38" x14ac:dyDescent="0.25">
      <c r="B132" s="40">
        <f>Transport_1_hub!W67+Transport_1_hub!L67</f>
        <v>592.95700792204912</v>
      </c>
      <c r="C132" s="8">
        <f>Transport_1_hub!AT67</f>
        <v>182.65505570592649</v>
      </c>
      <c r="D132" s="8">
        <f>Transport_1_hub!AU67</f>
        <v>1961.3832896714302</v>
      </c>
      <c r="E132" s="8">
        <f>Transport_1_hub!AV67</f>
        <v>1.0568970262431161</v>
      </c>
      <c r="F132" s="8">
        <f>Transport_1_hub!AW67</f>
        <v>182.59520890592651</v>
      </c>
      <c r="G132" s="8">
        <f>Transport_1_hub!AX67</f>
        <v>45.636821933238032</v>
      </c>
      <c r="H132" s="8">
        <f>Transport_1_hub!AY67</f>
        <v>0.47436071466228463</v>
      </c>
      <c r="I132" s="8">
        <f>Transport_1_hub!AZ67</f>
        <v>5.8954672894771789E-3</v>
      </c>
      <c r="J132" s="8">
        <f>Transport_1_hub!BA67</f>
        <v>8.8476697586214996</v>
      </c>
      <c r="K132" s="8">
        <f>Transport_1_hub!BB67</f>
        <v>9.9499098666724546</v>
      </c>
      <c r="L132" s="8">
        <f>Transport_1_hub!BC67</f>
        <v>0.41584788474006346</v>
      </c>
      <c r="M132" s="8">
        <f>Transport_1_hub!BD67</f>
        <v>0.18113975223525519</v>
      </c>
      <c r="N132" s="8">
        <f>Transport_1_hub!BE67</f>
        <v>1.1297021276851655</v>
      </c>
      <c r="O132" s="8">
        <f>Transport_1_hub!BF67</f>
        <v>4.6427768480472018E-2</v>
      </c>
      <c r="P132" s="8">
        <f>Transport_1_hub!BG67</f>
        <v>2.3218361034948127E-5</v>
      </c>
      <c r="Q132" s="8">
        <f>Transport_1_hub!BH67</f>
        <v>8.6386332346471972E-2</v>
      </c>
      <c r="R132" s="8">
        <f>Transport_1_hub!BI67</f>
        <v>0.26420544637636806</v>
      </c>
      <c r="S132" s="8">
        <f>Transport_1_hub!BJ67</f>
        <v>1.5174878969208275E-2</v>
      </c>
      <c r="T132" s="8">
        <f>Transport_1_hub!BK67</f>
        <v>4.4206662692082756E-3</v>
      </c>
      <c r="U132" s="8">
        <f>Transport_1_hub!BL67</f>
        <v>0.66364715059463841</v>
      </c>
      <c r="V132" s="9">
        <f>Transport_1_hub!BM67</f>
        <v>0.22297267958327946</v>
      </c>
      <c r="X132" s="22"/>
      <c r="Y132" s="22"/>
      <c r="Z132" s="22"/>
      <c r="AA132" s="22"/>
      <c r="AG132" s="42"/>
      <c r="AL132" s="42"/>
    </row>
    <row r="133" spans="2:38" x14ac:dyDescent="0.25">
      <c r="B133" s="40">
        <f>Transport_1_hub!W68+Transport_1_hub!L68</f>
        <v>592.95700792204912</v>
      </c>
      <c r="C133" s="8">
        <f>Transport_1_hub!AT68</f>
        <v>182.65505570592649</v>
      </c>
      <c r="D133" s="8">
        <f>Transport_1_hub!AU68</f>
        <v>1961.3832896714302</v>
      </c>
      <c r="E133" s="8">
        <f>Transport_1_hub!AV68</f>
        <v>1.0568970262431161</v>
      </c>
      <c r="F133" s="8">
        <f>Transport_1_hub!AW68</f>
        <v>182.59520890592651</v>
      </c>
      <c r="G133" s="8">
        <f>Transport_1_hub!AX68</f>
        <v>45.636821933238032</v>
      </c>
      <c r="H133" s="8">
        <f>Transport_1_hub!AY68</f>
        <v>0.47436071466228463</v>
      </c>
      <c r="I133" s="8">
        <f>Transport_1_hub!AZ68</f>
        <v>5.8954672894771789E-3</v>
      </c>
      <c r="J133" s="8">
        <f>Transport_1_hub!BA68</f>
        <v>8.8476697586214996</v>
      </c>
      <c r="K133" s="8">
        <f>Transport_1_hub!BB68</f>
        <v>9.9499098666724546</v>
      </c>
      <c r="L133" s="8">
        <f>Transport_1_hub!BC68</f>
        <v>0.41584788474006346</v>
      </c>
      <c r="M133" s="8">
        <f>Transport_1_hub!BD68</f>
        <v>0.18113975223525519</v>
      </c>
      <c r="N133" s="8">
        <f>Transport_1_hub!BE68</f>
        <v>1.1297021276851655</v>
      </c>
      <c r="O133" s="8">
        <f>Transport_1_hub!BF68</f>
        <v>4.6427768480472018E-2</v>
      </c>
      <c r="P133" s="8">
        <f>Transport_1_hub!BG68</f>
        <v>2.3218361034948127E-5</v>
      </c>
      <c r="Q133" s="8">
        <f>Transport_1_hub!BH68</f>
        <v>8.6386332346471972E-2</v>
      </c>
      <c r="R133" s="8">
        <f>Transport_1_hub!BI68</f>
        <v>0.26420544637636806</v>
      </c>
      <c r="S133" s="8">
        <f>Transport_1_hub!BJ68</f>
        <v>1.5174878969208275E-2</v>
      </c>
      <c r="T133" s="8">
        <f>Transport_1_hub!BK68</f>
        <v>4.4206662692082756E-3</v>
      </c>
      <c r="U133" s="8">
        <f>Transport_1_hub!BL68</f>
        <v>0.66364715059463841</v>
      </c>
      <c r="V133" s="9">
        <f>Transport_1_hub!BM68</f>
        <v>0.22297267958327946</v>
      </c>
      <c r="X133" s="22"/>
      <c r="Y133" s="22"/>
      <c r="AG133" s="42"/>
      <c r="AL133" s="42"/>
    </row>
    <row r="134" spans="2:38" x14ac:dyDescent="0.25">
      <c r="B134" s="40">
        <f>Transport_1_hub!W69+Transport_1_hub!L69</f>
        <v>691.96076858093534</v>
      </c>
      <c r="C134" s="8">
        <f>Transport_1_hub!AT69</f>
        <v>199.52456852799122</v>
      </c>
      <c r="D134" s="8">
        <f>Transport_1_hub!AU69</f>
        <v>2142.2742859597438</v>
      </c>
      <c r="E134" s="8">
        <f>Transport_1_hub!AV69</f>
        <v>1.166104268865984</v>
      </c>
      <c r="F134" s="8">
        <f>Transport_1_hub!AW69</f>
        <v>199.40115770799122</v>
      </c>
      <c r="G134" s="8">
        <f>Transport_1_hub!AX69</f>
        <v>49.805234437147334</v>
      </c>
      <c r="H134" s="8">
        <f>Transport_1_hub!AY69</f>
        <v>0.74126891236141601</v>
      </c>
      <c r="I134" s="8">
        <f>Transport_1_hub!AZ69</f>
        <v>6.7189404114780214E-3</v>
      </c>
      <c r="J134" s="8">
        <f>Transport_1_hub!BA69</f>
        <v>10.145041787981082</v>
      </c>
      <c r="K134" s="8">
        <f>Transport_1_hub!BB69</f>
        <v>10.775174022563094</v>
      </c>
      <c r="L134" s="8">
        <f>Transport_1_hub!BC69</f>
        <v>0.64714834480138506</v>
      </c>
      <c r="M134" s="8">
        <f>Transport_1_hub!BD69</f>
        <v>0.19453636424375126</v>
      </c>
      <c r="N134" s="8">
        <f>Transport_1_hub!BE69</f>
        <v>1.5019093225699471</v>
      </c>
      <c r="O134" s="8">
        <f>Transport_1_hub!BF69</f>
        <v>4.8833807116451702E-2</v>
      </c>
      <c r="P134" s="8">
        <f>Transport_1_hub!BG69</f>
        <v>2.5245568461130181E-5</v>
      </c>
      <c r="Q134" s="8">
        <f>Transport_1_hub!BH69</f>
        <v>9.5198530609355819E-2</v>
      </c>
      <c r="R134" s="8">
        <f>Transport_1_hub!BI69</f>
        <v>0.28356173072087087</v>
      </c>
      <c r="S134" s="8">
        <f>Transport_1_hub!BJ69</f>
        <v>2.7448761303597968E-2</v>
      </c>
      <c r="T134" s="8">
        <f>Transport_1_hub!BK69</f>
        <v>5.2723674485979661E-3</v>
      </c>
      <c r="U134" s="8">
        <f>Transport_1_hub!BL69</f>
        <v>0.80201844676342149</v>
      </c>
      <c r="V134" s="9">
        <f>Transport_1_hub!BM69</f>
        <v>0.24384710922285774</v>
      </c>
      <c r="X134" s="22"/>
      <c r="Y134" s="22"/>
      <c r="AG134" s="42"/>
      <c r="AL134" s="42"/>
    </row>
    <row r="135" spans="2:38" x14ac:dyDescent="0.25">
      <c r="B135" s="40">
        <f>Transport_1_hub!W70+Transport_1_hub!L70</f>
        <v>691.96076858093534</v>
      </c>
      <c r="C135" s="8">
        <f>Transport_1_hub!AT70</f>
        <v>199.52456852799122</v>
      </c>
      <c r="D135" s="8">
        <f>Transport_1_hub!AU70</f>
        <v>2142.2742859597438</v>
      </c>
      <c r="E135" s="8">
        <f>Transport_1_hub!AV70</f>
        <v>1.166104268865984</v>
      </c>
      <c r="F135" s="8">
        <f>Transport_1_hub!AW70</f>
        <v>199.40115770799122</v>
      </c>
      <c r="G135" s="8">
        <f>Transport_1_hub!AX70</f>
        <v>49.805234437147334</v>
      </c>
      <c r="H135" s="8">
        <f>Transport_1_hub!AY70</f>
        <v>0.74126891236141601</v>
      </c>
      <c r="I135" s="8">
        <f>Transport_1_hub!AZ70</f>
        <v>6.7189404114780214E-3</v>
      </c>
      <c r="J135" s="8">
        <f>Transport_1_hub!BA70</f>
        <v>10.145041787981082</v>
      </c>
      <c r="K135" s="8">
        <f>Transport_1_hub!BB70</f>
        <v>10.775174022563094</v>
      </c>
      <c r="L135" s="8">
        <f>Transport_1_hub!BC70</f>
        <v>0.64714834480138506</v>
      </c>
      <c r="M135" s="8">
        <f>Transport_1_hub!BD70</f>
        <v>0.19453636424375126</v>
      </c>
      <c r="N135" s="8">
        <f>Transport_1_hub!BE70</f>
        <v>1.5019093225699471</v>
      </c>
      <c r="O135" s="8">
        <f>Transport_1_hub!BF70</f>
        <v>4.8833807116451702E-2</v>
      </c>
      <c r="P135" s="8">
        <f>Transport_1_hub!BG70</f>
        <v>2.5245568461130181E-5</v>
      </c>
      <c r="Q135" s="8">
        <f>Transport_1_hub!BH70</f>
        <v>9.5198530609355819E-2</v>
      </c>
      <c r="R135" s="8">
        <f>Transport_1_hub!BI70</f>
        <v>0.28356173072087087</v>
      </c>
      <c r="S135" s="8">
        <f>Transport_1_hub!BJ70</f>
        <v>2.7448761303597968E-2</v>
      </c>
      <c r="T135" s="8">
        <f>Transport_1_hub!BK70</f>
        <v>5.2723674485979661E-3</v>
      </c>
      <c r="U135" s="8">
        <f>Transport_1_hub!BL70</f>
        <v>0.80201844676342149</v>
      </c>
      <c r="V135" s="9">
        <f>Transport_1_hub!BM70</f>
        <v>0.24384710922285774</v>
      </c>
      <c r="X135" s="22"/>
      <c r="Y135" s="22"/>
      <c r="AG135" s="42"/>
      <c r="AL135" s="42"/>
    </row>
    <row r="136" spans="2:38" x14ac:dyDescent="0.25">
      <c r="B136" s="40">
        <f>Transport_1_hub!W71+Transport_1_hub!L71</f>
        <v>691.96076858093534</v>
      </c>
      <c r="C136" s="8">
        <f>Transport_1_hub!AT71</f>
        <v>199.52456852799122</v>
      </c>
      <c r="D136" s="8">
        <f>Transport_1_hub!AU71</f>
        <v>2142.2742859597438</v>
      </c>
      <c r="E136" s="8">
        <f>Transport_1_hub!AV71</f>
        <v>1.166104268865984</v>
      </c>
      <c r="F136" s="8">
        <f>Transport_1_hub!AW71</f>
        <v>199.40115770799122</v>
      </c>
      <c r="G136" s="8">
        <f>Transport_1_hub!AX71</f>
        <v>49.805234437147334</v>
      </c>
      <c r="H136" s="8">
        <f>Transport_1_hub!AY71</f>
        <v>0.74126891236141601</v>
      </c>
      <c r="I136" s="8">
        <f>Transport_1_hub!AZ71</f>
        <v>6.7189404114780214E-3</v>
      </c>
      <c r="J136" s="8">
        <f>Transport_1_hub!BA71</f>
        <v>10.145041787981082</v>
      </c>
      <c r="K136" s="8">
        <f>Transport_1_hub!BB71</f>
        <v>10.775174022563094</v>
      </c>
      <c r="L136" s="8">
        <f>Transport_1_hub!BC71</f>
        <v>0.64714834480138506</v>
      </c>
      <c r="M136" s="8">
        <f>Transport_1_hub!BD71</f>
        <v>0.19453636424375126</v>
      </c>
      <c r="N136" s="8">
        <f>Transport_1_hub!BE71</f>
        <v>1.5019093225699471</v>
      </c>
      <c r="O136" s="8">
        <f>Transport_1_hub!BF71</f>
        <v>4.8833807116451702E-2</v>
      </c>
      <c r="P136" s="8">
        <f>Transport_1_hub!BG71</f>
        <v>2.5245568461130181E-5</v>
      </c>
      <c r="Q136" s="8">
        <f>Transport_1_hub!BH71</f>
        <v>9.5198530609355819E-2</v>
      </c>
      <c r="R136" s="8">
        <f>Transport_1_hub!BI71</f>
        <v>0.28356173072087087</v>
      </c>
      <c r="S136" s="8">
        <f>Transport_1_hub!BJ71</f>
        <v>2.7448761303597968E-2</v>
      </c>
      <c r="T136" s="8">
        <f>Transport_1_hub!BK71</f>
        <v>5.2723674485979661E-3</v>
      </c>
      <c r="U136" s="8">
        <f>Transport_1_hub!BL71</f>
        <v>0.80201844676342149</v>
      </c>
      <c r="V136" s="9">
        <f>Transport_1_hub!BM71</f>
        <v>0.24384710922285774</v>
      </c>
      <c r="X136" s="22"/>
      <c r="Y136" s="22"/>
      <c r="AG136" s="42"/>
      <c r="AL136" s="42"/>
    </row>
    <row r="137" spans="2:38" x14ac:dyDescent="0.25">
      <c r="B137" s="40">
        <f>Transport_1_hub!W72+Transport_1_hub!L72</f>
        <v>691.96076858093534</v>
      </c>
      <c r="C137" s="8">
        <f>Transport_1_hub!AT72</f>
        <v>199.52456852799122</v>
      </c>
      <c r="D137" s="8">
        <f>Transport_1_hub!AU72</f>
        <v>2142.2742859597438</v>
      </c>
      <c r="E137" s="8">
        <f>Transport_1_hub!AV72</f>
        <v>1.166104268865984</v>
      </c>
      <c r="F137" s="8">
        <f>Transport_1_hub!AW72</f>
        <v>199.40115770799122</v>
      </c>
      <c r="G137" s="8">
        <f>Transport_1_hub!AX72</f>
        <v>49.805234437147334</v>
      </c>
      <c r="H137" s="8">
        <f>Transport_1_hub!AY72</f>
        <v>0.74126891236141601</v>
      </c>
      <c r="I137" s="8">
        <f>Transport_1_hub!AZ72</f>
        <v>6.7189404114780214E-3</v>
      </c>
      <c r="J137" s="8">
        <f>Transport_1_hub!BA72</f>
        <v>10.145041787981082</v>
      </c>
      <c r="K137" s="8">
        <f>Transport_1_hub!BB72</f>
        <v>10.775174022563094</v>
      </c>
      <c r="L137" s="8">
        <f>Transport_1_hub!BC72</f>
        <v>0.64714834480138506</v>
      </c>
      <c r="M137" s="8">
        <f>Transport_1_hub!BD72</f>
        <v>0.19453636424375126</v>
      </c>
      <c r="N137" s="8">
        <f>Transport_1_hub!BE72</f>
        <v>1.5019093225699471</v>
      </c>
      <c r="O137" s="8">
        <f>Transport_1_hub!BF72</f>
        <v>4.8833807116451702E-2</v>
      </c>
      <c r="P137" s="8">
        <f>Transport_1_hub!BG72</f>
        <v>2.5245568461130181E-5</v>
      </c>
      <c r="Q137" s="8">
        <f>Transport_1_hub!BH72</f>
        <v>9.5198530609355819E-2</v>
      </c>
      <c r="R137" s="8">
        <f>Transport_1_hub!BI72</f>
        <v>0.28356173072087087</v>
      </c>
      <c r="S137" s="8">
        <f>Transport_1_hub!BJ72</f>
        <v>2.7448761303597968E-2</v>
      </c>
      <c r="T137" s="8">
        <f>Transport_1_hub!BK72</f>
        <v>5.2723674485979661E-3</v>
      </c>
      <c r="U137" s="8">
        <f>Transport_1_hub!BL72</f>
        <v>0.80201844676342149</v>
      </c>
      <c r="V137" s="9">
        <f>Transport_1_hub!BM72</f>
        <v>0.24384710922285774</v>
      </c>
      <c r="X137" s="22"/>
      <c r="Y137" s="22"/>
      <c r="AG137" s="42"/>
      <c r="AL137" s="42"/>
    </row>
    <row r="138" spans="2:38" x14ac:dyDescent="0.25">
      <c r="B138" s="40">
        <f>Transport_1_hub!W73+Transport_1_hub!L73</f>
        <v>691.96076858093534</v>
      </c>
      <c r="C138" s="8">
        <f>Transport_1_hub!AT73</f>
        <v>199.52456852799122</v>
      </c>
      <c r="D138" s="8">
        <f>Transport_1_hub!AU73</f>
        <v>2142.2742859597438</v>
      </c>
      <c r="E138" s="8">
        <f>Transport_1_hub!AV73</f>
        <v>1.166104268865984</v>
      </c>
      <c r="F138" s="8">
        <f>Transport_1_hub!AW73</f>
        <v>199.40115770799122</v>
      </c>
      <c r="G138" s="8">
        <f>Transport_1_hub!AX73</f>
        <v>49.805234437147334</v>
      </c>
      <c r="H138" s="8">
        <f>Transport_1_hub!AY73</f>
        <v>0.74126891236141601</v>
      </c>
      <c r="I138" s="8">
        <f>Transport_1_hub!AZ73</f>
        <v>6.7189404114780214E-3</v>
      </c>
      <c r="J138" s="8">
        <f>Transport_1_hub!BA73</f>
        <v>10.145041787981082</v>
      </c>
      <c r="K138" s="8">
        <f>Transport_1_hub!BB73</f>
        <v>10.775174022563094</v>
      </c>
      <c r="L138" s="8">
        <f>Transport_1_hub!BC73</f>
        <v>0.64714834480138506</v>
      </c>
      <c r="M138" s="8">
        <f>Transport_1_hub!BD73</f>
        <v>0.19453636424375126</v>
      </c>
      <c r="N138" s="8">
        <f>Transport_1_hub!BE73</f>
        <v>1.5019093225699471</v>
      </c>
      <c r="O138" s="8">
        <f>Transport_1_hub!BF73</f>
        <v>4.8833807116451702E-2</v>
      </c>
      <c r="P138" s="8">
        <f>Transport_1_hub!BG73</f>
        <v>2.5245568461130181E-5</v>
      </c>
      <c r="Q138" s="8">
        <f>Transport_1_hub!BH73</f>
        <v>9.5198530609355819E-2</v>
      </c>
      <c r="R138" s="8">
        <f>Transport_1_hub!BI73</f>
        <v>0.28356173072087087</v>
      </c>
      <c r="S138" s="8">
        <f>Transport_1_hub!BJ73</f>
        <v>2.7448761303597968E-2</v>
      </c>
      <c r="T138" s="8">
        <f>Transport_1_hub!BK73</f>
        <v>5.2723674485979661E-3</v>
      </c>
      <c r="U138" s="8">
        <f>Transport_1_hub!BL73</f>
        <v>0.80201844676342149</v>
      </c>
      <c r="V138" s="9">
        <f>Transport_1_hub!BM73</f>
        <v>0.24384710922285774</v>
      </c>
      <c r="X138" s="22"/>
      <c r="Y138" s="22"/>
      <c r="AG138" s="42"/>
      <c r="AL138" s="42"/>
    </row>
    <row r="139" spans="2:38" x14ac:dyDescent="0.25">
      <c r="B139" s="40">
        <f>Transport_1_hub!W74+Transport_1_hub!L74</f>
        <v>691.96076858093534</v>
      </c>
      <c r="C139" s="8">
        <f>Transport_1_hub!AT74</f>
        <v>199.52456852799122</v>
      </c>
      <c r="D139" s="8">
        <f>Transport_1_hub!AU74</f>
        <v>2142.2742859597438</v>
      </c>
      <c r="E139" s="8">
        <f>Transport_1_hub!AV74</f>
        <v>1.166104268865984</v>
      </c>
      <c r="F139" s="8">
        <f>Transport_1_hub!AW74</f>
        <v>199.40115770799122</v>
      </c>
      <c r="G139" s="8">
        <f>Transport_1_hub!AX74</f>
        <v>49.805234437147334</v>
      </c>
      <c r="H139" s="8">
        <f>Transport_1_hub!AY74</f>
        <v>0.74126891236141601</v>
      </c>
      <c r="I139" s="8">
        <f>Transport_1_hub!AZ74</f>
        <v>6.7189404114780214E-3</v>
      </c>
      <c r="J139" s="8">
        <f>Transport_1_hub!BA74</f>
        <v>10.145041787981082</v>
      </c>
      <c r="K139" s="8">
        <f>Transport_1_hub!BB74</f>
        <v>10.775174022563094</v>
      </c>
      <c r="L139" s="8">
        <f>Transport_1_hub!BC74</f>
        <v>0.64714834480138506</v>
      </c>
      <c r="M139" s="8">
        <f>Transport_1_hub!BD74</f>
        <v>0.19453636424375126</v>
      </c>
      <c r="N139" s="8">
        <f>Transport_1_hub!BE74</f>
        <v>1.5019093225699471</v>
      </c>
      <c r="O139" s="8">
        <f>Transport_1_hub!BF74</f>
        <v>4.8833807116451702E-2</v>
      </c>
      <c r="P139" s="8">
        <f>Transport_1_hub!BG74</f>
        <v>2.5245568461130181E-5</v>
      </c>
      <c r="Q139" s="8">
        <f>Transport_1_hub!BH74</f>
        <v>9.5198530609355819E-2</v>
      </c>
      <c r="R139" s="8">
        <f>Transport_1_hub!BI74</f>
        <v>0.28356173072087087</v>
      </c>
      <c r="S139" s="8">
        <f>Transport_1_hub!BJ74</f>
        <v>2.7448761303597968E-2</v>
      </c>
      <c r="T139" s="8">
        <f>Transport_1_hub!BK74</f>
        <v>5.2723674485979661E-3</v>
      </c>
      <c r="U139" s="8">
        <f>Transport_1_hub!BL74</f>
        <v>0.80201844676342149</v>
      </c>
      <c r="V139" s="9">
        <f>Transport_1_hub!BM74</f>
        <v>0.24384710922285774</v>
      </c>
      <c r="X139" s="22"/>
      <c r="Y139" s="22"/>
      <c r="AG139" s="42"/>
      <c r="AL139" s="42"/>
    </row>
    <row r="140" spans="2:38" x14ac:dyDescent="0.25">
      <c r="B140" s="40">
        <f>Transport_1_hub!W75+Transport_1_hub!L75</f>
        <v>691.96076858093534</v>
      </c>
      <c r="C140" s="8">
        <f>Transport_1_hub!AT75</f>
        <v>199.52456852799122</v>
      </c>
      <c r="D140" s="8">
        <f>Transport_1_hub!AU75</f>
        <v>2142.2742859597438</v>
      </c>
      <c r="E140" s="8">
        <f>Transport_1_hub!AV75</f>
        <v>1.166104268865984</v>
      </c>
      <c r="F140" s="8">
        <f>Transport_1_hub!AW75</f>
        <v>199.40115770799122</v>
      </c>
      <c r="G140" s="8">
        <f>Transport_1_hub!AX75</f>
        <v>49.805234437147334</v>
      </c>
      <c r="H140" s="8">
        <f>Transport_1_hub!AY75</f>
        <v>0.74126891236141601</v>
      </c>
      <c r="I140" s="8">
        <f>Transport_1_hub!AZ75</f>
        <v>6.7189404114780214E-3</v>
      </c>
      <c r="J140" s="8">
        <f>Transport_1_hub!BA75</f>
        <v>10.145041787981082</v>
      </c>
      <c r="K140" s="8">
        <f>Transport_1_hub!BB75</f>
        <v>10.775174022563094</v>
      </c>
      <c r="L140" s="8">
        <f>Transport_1_hub!BC75</f>
        <v>0.64714834480138506</v>
      </c>
      <c r="M140" s="8">
        <f>Transport_1_hub!BD75</f>
        <v>0.19453636424375126</v>
      </c>
      <c r="N140" s="8">
        <f>Transport_1_hub!BE75</f>
        <v>1.5019093225699471</v>
      </c>
      <c r="O140" s="8">
        <f>Transport_1_hub!BF75</f>
        <v>4.8833807116451702E-2</v>
      </c>
      <c r="P140" s="8">
        <f>Transport_1_hub!BG75</f>
        <v>2.5245568461130181E-5</v>
      </c>
      <c r="Q140" s="8">
        <f>Transport_1_hub!BH75</f>
        <v>9.5198530609355819E-2</v>
      </c>
      <c r="R140" s="8">
        <f>Transport_1_hub!BI75</f>
        <v>0.28356173072087087</v>
      </c>
      <c r="S140" s="8">
        <f>Transport_1_hub!BJ75</f>
        <v>2.7448761303597968E-2</v>
      </c>
      <c r="T140" s="8">
        <f>Transport_1_hub!BK75</f>
        <v>5.2723674485979661E-3</v>
      </c>
      <c r="U140" s="8">
        <f>Transport_1_hub!BL75</f>
        <v>0.80201844676342149</v>
      </c>
      <c r="V140" s="9">
        <f>Transport_1_hub!BM75</f>
        <v>0.24384710922285774</v>
      </c>
      <c r="X140" s="22"/>
      <c r="Y140" s="22"/>
      <c r="AG140" s="42"/>
      <c r="AL140" s="42"/>
    </row>
    <row r="141" spans="2:38" x14ac:dyDescent="0.25">
      <c r="B141" s="40">
        <f>Transport_1_hub!W76+Transport_1_hub!L76</f>
        <v>691.96076858093534</v>
      </c>
      <c r="C141" s="8">
        <f>Transport_1_hub!AT76</f>
        <v>199.52456852799122</v>
      </c>
      <c r="D141" s="8">
        <f>Transport_1_hub!AU76</f>
        <v>2142.2742859597438</v>
      </c>
      <c r="E141" s="8">
        <f>Transport_1_hub!AV76</f>
        <v>1.166104268865984</v>
      </c>
      <c r="F141" s="8">
        <f>Transport_1_hub!AW76</f>
        <v>199.40115770799122</v>
      </c>
      <c r="G141" s="8">
        <f>Transport_1_hub!AX76</f>
        <v>49.805234437147334</v>
      </c>
      <c r="H141" s="8">
        <f>Transport_1_hub!AY76</f>
        <v>0.74126891236141601</v>
      </c>
      <c r="I141" s="8">
        <f>Transport_1_hub!AZ76</f>
        <v>6.7189404114780214E-3</v>
      </c>
      <c r="J141" s="8">
        <f>Transport_1_hub!BA76</f>
        <v>10.145041787981082</v>
      </c>
      <c r="K141" s="8">
        <f>Transport_1_hub!BB76</f>
        <v>10.775174022563094</v>
      </c>
      <c r="L141" s="8">
        <f>Transport_1_hub!BC76</f>
        <v>0.64714834480138506</v>
      </c>
      <c r="M141" s="8">
        <f>Transport_1_hub!BD76</f>
        <v>0.19453636424375126</v>
      </c>
      <c r="N141" s="8">
        <f>Transport_1_hub!BE76</f>
        <v>1.5019093225699471</v>
      </c>
      <c r="O141" s="8">
        <f>Transport_1_hub!BF76</f>
        <v>4.8833807116451702E-2</v>
      </c>
      <c r="P141" s="8">
        <f>Transport_1_hub!BG76</f>
        <v>2.5245568461130181E-5</v>
      </c>
      <c r="Q141" s="8">
        <f>Transport_1_hub!BH76</f>
        <v>9.5198530609355819E-2</v>
      </c>
      <c r="R141" s="8">
        <f>Transport_1_hub!BI76</f>
        <v>0.28356173072087087</v>
      </c>
      <c r="S141" s="8">
        <f>Transport_1_hub!BJ76</f>
        <v>2.7448761303597968E-2</v>
      </c>
      <c r="T141" s="8">
        <f>Transport_1_hub!BK76</f>
        <v>5.2723674485979661E-3</v>
      </c>
      <c r="U141" s="8">
        <f>Transport_1_hub!BL76</f>
        <v>0.80201844676342149</v>
      </c>
      <c r="V141" s="9">
        <f>Transport_1_hub!BM76</f>
        <v>0.24384710922285774</v>
      </c>
      <c r="X141" s="22"/>
      <c r="Y141" s="22"/>
      <c r="AG141" s="42"/>
      <c r="AL141" s="42"/>
    </row>
    <row r="142" spans="2:38" x14ac:dyDescent="0.25">
      <c r="B142" s="40">
        <f>Transport_1_hub!W77+Transport_1_hub!L77</f>
        <v>691.96076858093534</v>
      </c>
      <c r="C142" s="8">
        <f>Transport_1_hub!AT77</f>
        <v>199.52456852799122</v>
      </c>
      <c r="D142" s="8">
        <f>Transport_1_hub!AU77</f>
        <v>2142.2742859597438</v>
      </c>
      <c r="E142" s="8">
        <f>Transport_1_hub!AV77</f>
        <v>1.166104268865984</v>
      </c>
      <c r="F142" s="8">
        <f>Transport_1_hub!AW77</f>
        <v>199.40115770799122</v>
      </c>
      <c r="G142" s="8">
        <f>Transport_1_hub!AX77</f>
        <v>49.805234437147334</v>
      </c>
      <c r="H142" s="8">
        <f>Transport_1_hub!AY77</f>
        <v>0.74126891236141601</v>
      </c>
      <c r="I142" s="8">
        <f>Transport_1_hub!AZ77</f>
        <v>6.7189404114780214E-3</v>
      </c>
      <c r="J142" s="8">
        <f>Transport_1_hub!BA77</f>
        <v>10.145041787981082</v>
      </c>
      <c r="K142" s="8">
        <f>Transport_1_hub!BB77</f>
        <v>10.775174022563094</v>
      </c>
      <c r="L142" s="8">
        <f>Transport_1_hub!BC77</f>
        <v>0.64714834480138506</v>
      </c>
      <c r="M142" s="8">
        <f>Transport_1_hub!BD77</f>
        <v>0.19453636424375126</v>
      </c>
      <c r="N142" s="8">
        <f>Transport_1_hub!BE77</f>
        <v>1.5019093225699471</v>
      </c>
      <c r="O142" s="8">
        <f>Transport_1_hub!BF77</f>
        <v>4.8833807116451702E-2</v>
      </c>
      <c r="P142" s="8">
        <f>Transport_1_hub!BG77</f>
        <v>2.5245568461130181E-5</v>
      </c>
      <c r="Q142" s="8">
        <f>Transport_1_hub!BH77</f>
        <v>9.5198530609355819E-2</v>
      </c>
      <c r="R142" s="8">
        <f>Transport_1_hub!BI77</f>
        <v>0.28356173072087087</v>
      </c>
      <c r="S142" s="8">
        <f>Transport_1_hub!BJ77</f>
        <v>2.7448761303597968E-2</v>
      </c>
      <c r="T142" s="8">
        <f>Transport_1_hub!BK77</f>
        <v>5.2723674485979661E-3</v>
      </c>
      <c r="U142" s="8">
        <f>Transport_1_hub!BL77</f>
        <v>0.80201844676342149</v>
      </c>
      <c r="V142" s="9">
        <f>Transport_1_hub!BM77</f>
        <v>0.24384710922285774</v>
      </c>
      <c r="X142" s="22"/>
      <c r="Y142" s="22"/>
      <c r="AG142" s="42"/>
      <c r="AL142" s="42"/>
    </row>
    <row r="143" spans="2:38" x14ac:dyDescent="0.25">
      <c r="B143" s="40">
        <f>Transport_1_hub!W78+Transport_1_hub!L78</f>
        <v>691.96076858093534</v>
      </c>
      <c r="C143" s="8">
        <f>Transport_1_hub!AT78</f>
        <v>199.52456852799122</v>
      </c>
      <c r="D143" s="8">
        <f>Transport_1_hub!AU78</f>
        <v>2142.2742859597438</v>
      </c>
      <c r="E143" s="8">
        <f>Transport_1_hub!AV78</f>
        <v>1.166104268865984</v>
      </c>
      <c r="F143" s="8">
        <f>Transport_1_hub!AW78</f>
        <v>199.40115770799122</v>
      </c>
      <c r="G143" s="8">
        <f>Transport_1_hub!AX78</f>
        <v>49.805234437147334</v>
      </c>
      <c r="H143" s="8">
        <f>Transport_1_hub!AY78</f>
        <v>0.74126891236141601</v>
      </c>
      <c r="I143" s="8">
        <f>Transport_1_hub!AZ78</f>
        <v>6.7189404114780214E-3</v>
      </c>
      <c r="J143" s="8">
        <f>Transport_1_hub!BA78</f>
        <v>10.145041787981082</v>
      </c>
      <c r="K143" s="8">
        <f>Transport_1_hub!BB78</f>
        <v>10.775174022563094</v>
      </c>
      <c r="L143" s="8">
        <f>Transport_1_hub!BC78</f>
        <v>0.64714834480138506</v>
      </c>
      <c r="M143" s="8">
        <f>Transport_1_hub!BD78</f>
        <v>0.19453636424375126</v>
      </c>
      <c r="N143" s="8">
        <f>Transport_1_hub!BE78</f>
        <v>1.5019093225699471</v>
      </c>
      <c r="O143" s="8">
        <f>Transport_1_hub!BF78</f>
        <v>4.8833807116451702E-2</v>
      </c>
      <c r="P143" s="8">
        <f>Transport_1_hub!BG78</f>
        <v>2.5245568461130181E-5</v>
      </c>
      <c r="Q143" s="8">
        <f>Transport_1_hub!BH78</f>
        <v>9.5198530609355819E-2</v>
      </c>
      <c r="R143" s="8">
        <f>Transport_1_hub!BI78</f>
        <v>0.28356173072087087</v>
      </c>
      <c r="S143" s="8">
        <f>Transport_1_hub!BJ78</f>
        <v>2.7448761303597968E-2</v>
      </c>
      <c r="T143" s="8">
        <f>Transport_1_hub!BK78</f>
        <v>5.2723674485979661E-3</v>
      </c>
      <c r="U143" s="8">
        <f>Transport_1_hub!BL78</f>
        <v>0.80201844676342149</v>
      </c>
      <c r="V143" s="9">
        <f>Transport_1_hub!BM78</f>
        <v>0.24384710922285774</v>
      </c>
      <c r="X143" s="22"/>
      <c r="Y143" s="22"/>
      <c r="AG143" s="42"/>
      <c r="AL143" s="42"/>
    </row>
    <row r="144" spans="2:38" x14ac:dyDescent="0.25">
      <c r="B144" s="40">
        <f>Transport_1_hub!W79+Transport_1_hub!L79</f>
        <v>695.48376858093525</v>
      </c>
      <c r="C144" s="8">
        <f>Transport_1_hub!AT79</f>
        <v>200.72168392799122</v>
      </c>
      <c r="D144" s="8">
        <f>Transport_1_hub!AU79</f>
        <v>2159.7344516352027</v>
      </c>
      <c r="E144" s="8">
        <f>Transport_1_hub!AV79</f>
        <v>1.1846549776659838</v>
      </c>
      <c r="F144" s="8">
        <f>Transport_1_hub!AW79</f>
        <v>200.58270144799121</v>
      </c>
      <c r="G144" s="8">
        <f>Transport_1_hub!AX79</f>
        <v>50.192412137147329</v>
      </c>
      <c r="H144" s="8">
        <f>Transport_1_hub!AY79</f>
        <v>0.80437993436141619</v>
      </c>
      <c r="I144" s="8">
        <f>Transport_1_hub!AZ79</f>
        <v>6.8872024144780207E-3</v>
      </c>
      <c r="J144" s="8">
        <f>Transport_1_hub!BA79</f>
        <v>10.416210620981081</v>
      </c>
      <c r="K144" s="8">
        <f>Transport_1_hub!BB79</f>
        <v>10.855427962563093</v>
      </c>
      <c r="L144" s="8">
        <f>Transport_1_hub!BC79</f>
        <v>0.70204373080138516</v>
      </c>
      <c r="M144" s="8">
        <f>Transport_1_hub!BD79</f>
        <v>0.19468083895075128</v>
      </c>
      <c r="N144" s="8">
        <f>Transport_1_hub!BE79</f>
        <v>1.584192510569947</v>
      </c>
      <c r="O144" s="8">
        <f>Transport_1_hub!BF79</f>
        <v>4.87569246874517E-2</v>
      </c>
      <c r="P144" s="8">
        <f>Transport_1_hub!BG79</f>
        <v>2.5417786793130184E-5</v>
      </c>
      <c r="Q144" s="8">
        <f>Transport_1_hub!BH79</f>
        <v>9.6646624529355823E-2</v>
      </c>
      <c r="R144" s="8">
        <f>Transport_1_hub!BI79</f>
        <v>0.28668356671087086</v>
      </c>
      <c r="S144" s="8">
        <f>Transport_1_hub!BJ79</f>
        <v>3.042717596359797E-2</v>
      </c>
      <c r="T144" s="8">
        <f>Transport_1_hub!BK79</f>
        <v>5.4526217435979657E-3</v>
      </c>
      <c r="U144" s="8">
        <f>Transport_1_hub!BL79</f>
        <v>0.8326812295634215</v>
      </c>
      <c r="V144" s="9">
        <f>Transport_1_hub!BM79</f>
        <v>0.24712895987285774</v>
      </c>
      <c r="X144" s="22"/>
      <c r="Y144" s="22"/>
      <c r="AG144" s="42"/>
      <c r="AL144" s="42"/>
    </row>
    <row r="145" spans="2:38" x14ac:dyDescent="0.25">
      <c r="B145" s="40">
        <f>Transport_1_hub!W80+Transport_1_hub!L80</f>
        <v>695.48376858093525</v>
      </c>
      <c r="C145" s="8">
        <f>Transport_1_hub!AT80</f>
        <v>200.72168392799122</v>
      </c>
      <c r="D145" s="8">
        <f>Transport_1_hub!AU80</f>
        <v>2159.7344516352027</v>
      </c>
      <c r="E145" s="8">
        <f>Transport_1_hub!AV80</f>
        <v>1.1846549776659838</v>
      </c>
      <c r="F145" s="8">
        <f>Transport_1_hub!AW80</f>
        <v>200.58270144799121</v>
      </c>
      <c r="G145" s="8">
        <f>Transport_1_hub!AX80</f>
        <v>50.192412137147329</v>
      </c>
      <c r="H145" s="8">
        <f>Transport_1_hub!AY80</f>
        <v>0.80437993436141619</v>
      </c>
      <c r="I145" s="8">
        <f>Transport_1_hub!AZ80</f>
        <v>6.8872024144780207E-3</v>
      </c>
      <c r="J145" s="8">
        <f>Transport_1_hub!BA80</f>
        <v>10.416210620981081</v>
      </c>
      <c r="K145" s="8">
        <f>Transport_1_hub!BB80</f>
        <v>10.855427962563093</v>
      </c>
      <c r="L145" s="8">
        <f>Transport_1_hub!BC80</f>
        <v>0.70204373080138516</v>
      </c>
      <c r="M145" s="8">
        <f>Transport_1_hub!BD80</f>
        <v>0.19468083895075128</v>
      </c>
      <c r="N145" s="8">
        <f>Transport_1_hub!BE80</f>
        <v>1.584192510569947</v>
      </c>
      <c r="O145" s="8">
        <f>Transport_1_hub!BF80</f>
        <v>4.87569246874517E-2</v>
      </c>
      <c r="P145" s="8">
        <f>Transport_1_hub!BG80</f>
        <v>2.5417786793130184E-5</v>
      </c>
      <c r="Q145" s="8">
        <f>Transport_1_hub!BH80</f>
        <v>9.6646624529355823E-2</v>
      </c>
      <c r="R145" s="8">
        <f>Transport_1_hub!BI80</f>
        <v>0.28668356671087086</v>
      </c>
      <c r="S145" s="8">
        <f>Transport_1_hub!BJ80</f>
        <v>3.042717596359797E-2</v>
      </c>
      <c r="T145" s="8">
        <f>Transport_1_hub!BK80</f>
        <v>5.4526217435979657E-3</v>
      </c>
      <c r="U145" s="8">
        <f>Transport_1_hub!BL80</f>
        <v>0.8326812295634215</v>
      </c>
      <c r="V145" s="9">
        <f>Transport_1_hub!BM80</f>
        <v>0.24712895987285774</v>
      </c>
      <c r="X145" s="22"/>
      <c r="Y145" s="22"/>
      <c r="AG145" s="42"/>
      <c r="AL145" s="42"/>
    </row>
    <row r="146" spans="2:38" x14ac:dyDescent="0.25">
      <c r="B146" s="40">
        <f>Transport_1_hub!W81+Transport_1_hub!L81</f>
        <v>696.80076858093526</v>
      </c>
      <c r="C146" s="8">
        <f>Transport_1_hub!AT81</f>
        <v>201.16920052799122</v>
      </c>
      <c r="D146" s="8">
        <f>Transport_1_hub!AU81</f>
        <v>2166.2615700554638</v>
      </c>
      <c r="E146" s="8">
        <f>Transport_1_hub!AV81</f>
        <v>1.1915897728659839</v>
      </c>
      <c r="F146" s="8">
        <f>Transport_1_hub!AW81</f>
        <v>201.02439690799122</v>
      </c>
      <c r="G146" s="8">
        <f>Transport_1_hub!AX81</f>
        <v>50.337150437147329</v>
      </c>
      <c r="H146" s="8">
        <f>Transport_1_hub!AY81</f>
        <v>0.82797267236141625</v>
      </c>
      <c r="I146" s="8">
        <f>Transport_1_hub!AZ81</f>
        <v>6.9501036514780217E-3</v>
      </c>
      <c r="J146" s="8">
        <f>Transport_1_hub!BA81</f>
        <v>10.517581427981082</v>
      </c>
      <c r="K146" s="8">
        <f>Transport_1_hub!BB81</f>
        <v>10.885429222563094</v>
      </c>
      <c r="L146" s="8">
        <f>Transport_1_hub!BC81</f>
        <v>0.72256522480138519</v>
      </c>
      <c r="M146" s="8">
        <f>Transport_1_hub!BD81</f>
        <v>0.19473484780375128</v>
      </c>
      <c r="N146" s="8">
        <f>Transport_1_hub!BE81</f>
        <v>1.6149523625699471</v>
      </c>
      <c r="O146" s="8">
        <f>Transport_1_hub!BF81</f>
        <v>4.8728183796451698E-2</v>
      </c>
      <c r="P146" s="8">
        <f>Transport_1_hub!BG81</f>
        <v>2.5482167021130183E-5</v>
      </c>
      <c r="Q146" s="8">
        <f>Transport_1_hub!BH81</f>
        <v>9.7187964209355826E-2</v>
      </c>
      <c r="R146" s="8">
        <f>Transport_1_hub!BI81</f>
        <v>0.28785059992087086</v>
      </c>
      <c r="S146" s="8">
        <f>Transport_1_hub!BJ81</f>
        <v>3.1540594103597969E-2</v>
      </c>
      <c r="T146" s="8">
        <f>Transport_1_hub!BK81</f>
        <v>5.5200060485979668E-3</v>
      </c>
      <c r="U146" s="8">
        <f>Transport_1_hub!BL81</f>
        <v>0.84414387076342146</v>
      </c>
      <c r="V146" s="9">
        <f>Transport_1_hub!BM81</f>
        <v>0.24835581122285774</v>
      </c>
      <c r="X146" s="22"/>
      <c r="Y146" s="22"/>
      <c r="AG146" s="42"/>
      <c r="AL146" s="42"/>
    </row>
    <row r="147" spans="2:38" x14ac:dyDescent="0.25">
      <c r="B147" s="40">
        <f>Transport_1_hub!W82+Transport_1_hub!L82</f>
        <v>744.00813040358901</v>
      </c>
      <c r="C147" s="8">
        <f>Transport_1_hub!AT82</f>
        <v>216.37660123418758</v>
      </c>
      <c r="D147" s="8">
        <f>Transport_1_hub!AU82</f>
        <v>2384.8954838109739</v>
      </c>
      <c r="E147" s="8">
        <f>Transport_1_hub!AV82</f>
        <v>1.4198188605286757</v>
      </c>
      <c r="F147" s="8">
        <f>Transport_1_hub!AW82</f>
        <v>216.04157407418757</v>
      </c>
      <c r="G147" s="8">
        <f>Transport_1_hub!AX82</f>
        <v>55.192996171965085</v>
      </c>
      <c r="H147" s="8">
        <f>Transport_1_hub!AY82</f>
        <v>1.5993888865341699</v>
      </c>
      <c r="I147" s="8">
        <f>Transport_1_hub!AZ82</f>
        <v>9.0122425492913227E-3</v>
      </c>
      <c r="J147" s="8">
        <f>Transport_1_hub!BA82</f>
        <v>13.839516730856072</v>
      </c>
      <c r="K147" s="8">
        <f>Transport_1_hub!BB82</f>
        <v>11.890056676164734</v>
      </c>
      <c r="L147" s="8">
        <f>Transport_1_hub!BC82</f>
        <v>1.3935183457794944</v>
      </c>
      <c r="M147" s="8">
        <f>Transport_1_hub!BD82</f>
        <v>0.19712748413776401</v>
      </c>
      <c r="N147" s="8">
        <f>Transport_1_hub!BE82</f>
        <v>2.6218927832249141</v>
      </c>
      <c r="O147" s="8">
        <f>Transport_1_hub!BF82</f>
        <v>4.792149193503098E-2</v>
      </c>
      <c r="P147" s="8">
        <f>Transport_1_hub!BG82</f>
        <v>2.7650489721457666E-5</v>
      </c>
      <c r="Q147" s="8">
        <f>Transport_1_hub!BH82</f>
        <v>0.11501906026980332</v>
      </c>
      <c r="R147" s="8">
        <f>Transport_1_hub!BI82</f>
        <v>0.32630891715046645</v>
      </c>
      <c r="S147" s="8">
        <f>Transport_1_hub!BJ82</f>
        <v>6.7930587883307678E-2</v>
      </c>
      <c r="T147" s="8">
        <f>Transport_1_hub!BK82</f>
        <v>7.7276473933076762E-3</v>
      </c>
      <c r="U147" s="8">
        <f>Transport_1_hub!BL82</f>
        <v>1.219364299636571</v>
      </c>
      <c r="V147" s="9">
        <f>Transport_1_hub!BM82</f>
        <v>0.28881130805107974</v>
      </c>
      <c r="X147" s="22"/>
      <c r="Y147" s="22"/>
      <c r="AG147" s="42"/>
      <c r="AL147" s="42"/>
    </row>
    <row r="148" spans="2:38" x14ac:dyDescent="0.25">
      <c r="B148" s="40">
        <f>Transport_1_hub!W83+Transport_1_hub!L83</f>
        <v>709.35876858093525</v>
      </c>
      <c r="C148" s="8">
        <f>Transport_1_hub!AT83</f>
        <v>205.43640892799124</v>
      </c>
      <c r="D148" s="8">
        <f>Transport_1_hub!AU83</f>
        <v>2228.4996513930778</v>
      </c>
      <c r="E148" s="8">
        <f>Transport_1_hub!AV83</f>
        <v>1.2577151776659838</v>
      </c>
      <c r="F148" s="8">
        <f>Transport_1_hub!AW83</f>
        <v>205.23609894799122</v>
      </c>
      <c r="G148" s="8">
        <f>Transport_1_hub!AX83</f>
        <v>51.717274637147334</v>
      </c>
      <c r="H148" s="8">
        <f>Transport_1_hub!AY83</f>
        <v>1.0529366843614161</v>
      </c>
      <c r="I148" s="8">
        <f>Transport_1_hub!AZ83</f>
        <v>7.549886289478021E-3</v>
      </c>
      <c r="J148" s="8">
        <f>Transport_1_hub!BA83</f>
        <v>11.484183245981082</v>
      </c>
      <c r="K148" s="8">
        <f>Transport_1_hub!BB83</f>
        <v>11.171500462563094</v>
      </c>
      <c r="L148" s="8">
        <f>Transport_1_hub!BC83</f>
        <v>0.91824398080138514</v>
      </c>
      <c r="M148" s="8">
        <f>Transport_1_hub!BD83</f>
        <v>0.19524983882575125</v>
      </c>
      <c r="N148" s="8">
        <f>Transport_1_hub!BE83</f>
        <v>1.9082570105699472</v>
      </c>
      <c r="O148" s="8">
        <f>Transport_1_hub!BF83</f>
        <v>4.8454130562451701E-2</v>
      </c>
      <c r="P148" s="8">
        <f>Transport_1_hub!BG83</f>
        <v>2.6096052293130183E-5</v>
      </c>
      <c r="Q148" s="8">
        <f>Transport_1_hub!BH83</f>
        <v>0.10234980452935583</v>
      </c>
      <c r="R148" s="8">
        <f>Transport_1_hub!BI83</f>
        <v>0.29897862046087087</v>
      </c>
      <c r="S148" s="8">
        <f>Transport_1_hub!BJ83</f>
        <v>4.2157378463597975E-2</v>
      </c>
      <c r="T148" s="8">
        <f>Transport_1_hub!BK83</f>
        <v>6.1625361185979662E-3</v>
      </c>
      <c r="U148" s="8">
        <f>Transport_1_hub!BL83</f>
        <v>0.95344367956342158</v>
      </c>
      <c r="V148" s="9">
        <f>Transport_1_hub!BM83</f>
        <v>0.26005421612285773</v>
      </c>
      <c r="X148" s="22"/>
      <c r="Y148" s="22"/>
      <c r="AG148" s="42"/>
      <c r="AL148" s="42"/>
    </row>
    <row r="149" spans="2:38" x14ac:dyDescent="0.25">
      <c r="B149" s="40">
        <f>Transport_1_hub!W84+Transport_1_hub!L84</f>
        <v>705.5057685809353</v>
      </c>
      <c r="C149" s="8">
        <f>Transport_1_hub!AT84</f>
        <v>204.12715952799124</v>
      </c>
      <c r="D149" s="8">
        <f>Transport_1_hub!AU84</f>
        <v>2209.403989074729</v>
      </c>
      <c r="E149" s="8">
        <f>Transport_1_hub!AV84</f>
        <v>1.2374268208659838</v>
      </c>
      <c r="F149" s="8">
        <f>Transport_1_hub!AW84</f>
        <v>203.94387980799124</v>
      </c>
      <c r="G149" s="8">
        <f>Transport_1_hub!AX84</f>
        <v>51.293829937147329</v>
      </c>
      <c r="H149" s="8">
        <f>Transport_1_hub!AY84</f>
        <v>0.98391404236141611</v>
      </c>
      <c r="I149" s="8">
        <f>Transport_1_hub!AZ84</f>
        <v>7.3658631564780209E-3</v>
      </c>
      <c r="J149" s="8">
        <f>Transport_1_hub!BA84</f>
        <v>11.18761398298108</v>
      </c>
      <c r="K149" s="8">
        <f>Transport_1_hub!BB84</f>
        <v>11.083729122563094</v>
      </c>
      <c r="L149" s="8">
        <f>Transport_1_hub!BC84</f>
        <v>0.85820653480138509</v>
      </c>
      <c r="M149" s="8">
        <f>Transport_1_hub!BD84</f>
        <v>0.19509183114875125</v>
      </c>
      <c r="N149" s="8">
        <f>Transport_1_hub!BE84</f>
        <v>1.818266342569947</v>
      </c>
      <c r="O149" s="8">
        <f>Transport_1_hub!BF84</f>
        <v>4.8538214581451702E-2</v>
      </c>
      <c r="P149" s="8">
        <f>Transport_1_hub!BG84</f>
        <v>2.5907702241130183E-5</v>
      </c>
      <c r="Q149" s="8">
        <f>Transport_1_hub!BH84</f>
        <v>0.10076606740935583</v>
      </c>
      <c r="R149" s="8">
        <f>Transport_1_hub!BI84</f>
        <v>0.2955643615708709</v>
      </c>
      <c r="S149" s="8">
        <f>Transport_1_hub!BJ84</f>
        <v>3.8899975203597968E-2</v>
      </c>
      <c r="T149" s="8">
        <f>Transport_1_hub!BK84</f>
        <v>5.9653973735979658E-3</v>
      </c>
      <c r="U149" s="8">
        <f>Transport_1_hub!BL84</f>
        <v>0.91990870876342146</v>
      </c>
      <c r="V149" s="9">
        <f>Transport_1_hub!BM84</f>
        <v>0.25646495397285773</v>
      </c>
      <c r="X149" s="22"/>
      <c r="Y149" s="22"/>
      <c r="AG149" s="42"/>
      <c r="AL149" s="42"/>
    </row>
    <row r="150" spans="2:38" x14ac:dyDescent="0.25">
      <c r="B150" s="40">
        <f>Transport_1_hub!W85+Transport_1_hub!L85</f>
        <v>705.5057685809353</v>
      </c>
      <c r="C150" s="8">
        <f>Transport_1_hub!AT85</f>
        <v>204.12715952799124</v>
      </c>
      <c r="D150" s="8">
        <f>Transport_1_hub!AU85</f>
        <v>2209.403989074729</v>
      </c>
      <c r="E150" s="8">
        <f>Transport_1_hub!AV85</f>
        <v>1.2374268208659838</v>
      </c>
      <c r="F150" s="8">
        <f>Transport_1_hub!AW85</f>
        <v>203.94387980799124</v>
      </c>
      <c r="G150" s="8">
        <f>Transport_1_hub!AX85</f>
        <v>51.293829937147329</v>
      </c>
      <c r="H150" s="8">
        <f>Transport_1_hub!AY85</f>
        <v>0.98391404236141611</v>
      </c>
      <c r="I150" s="8">
        <f>Transport_1_hub!AZ85</f>
        <v>7.3658631564780209E-3</v>
      </c>
      <c r="J150" s="8">
        <f>Transport_1_hub!BA85</f>
        <v>11.18761398298108</v>
      </c>
      <c r="K150" s="8">
        <f>Transport_1_hub!BB85</f>
        <v>11.083729122563094</v>
      </c>
      <c r="L150" s="8">
        <f>Transport_1_hub!BC85</f>
        <v>0.85820653480138509</v>
      </c>
      <c r="M150" s="8">
        <f>Transport_1_hub!BD85</f>
        <v>0.19509183114875125</v>
      </c>
      <c r="N150" s="8">
        <f>Transport_1_hub!BE85</f>
        <v>1.818266342569947</v>
      </c>
      <c r="O150" s="8">
        <f>Transport_1_hub!BF85</f>
        <v>4.8538214581451702E-2</v>
      </c>
      <c r="P150" s="8">
        <f>Transport_1_hub!BG85</f>
        <v>2.5907702241130183E-5</v>
      </c>
      <c r="Q150" s="8">
        <f>Transport_1_hub!BH85</f>
        <v>0.10076606740935583</v>
      </c>
      <c r="R150" s="8">
        <f>Transport_1_hub!BI85</f>
        <v>0.2955643615708709</v>
      </c>
      <c r="S150" s="8">
        <f>Transport_1_hub!BJ85</f>
        <v>3.8899975203597968E-2</v>
      </c>
      <c r="T150" s="8">
        <f>Transport_1_hub!BK85</f>
        <v>5.9653973735979658E-3</v>
      </c>
      <c r="U150" s="8">
        <f>Transport_1_hub!BL85</f>
        <v>0.91990870876342146</v>
      </c>
      <c r="V150" s="9">
        <f>Transport_1_hub!BM85</f>
        <v>0.25646495397285773</v>
      </c>
      <c r="X150" s="22"/>
      <c r="Y150" s="22"/>
      <c r="AG150" s="42"/>
      <c r="AL150" s="42"/>
    </row>
    <row r="151" spans="2:38" x14ac:dyDescent="0.25">
      <c r="B151" s="40">
        <f>Transport_1_hub!W86+Transport_1_hub!L86</f>
        <v>705.5057685809353</v>
      </c>
      <c r="C151" s="8">
        <f>Transport_1_hub!AT86</f>
        <v>204.12715952799124</v>
      </c>
      <c r="D151" s="8">
        <f>Transport_1_hub!AU86</f>
        <v>2209.403989074729</v>
      </c>
      <c r="E151" s="8">
        <f>Transport_1_hub!AV86</f>
        <v>1.2374268208659838</v>
      </c>
      <c r="F151" s="8">
        <f>Transport_1_hub!AW86</f>
        <v>203.94387980799124</v>
      </c>
      <c r="G151" s="8">
        <f>Transport_1_hub!AX86</f>
        <v>51.293829937147329</v>
      </c>
      <c r="H151" s="8">
        <f>Transport_1_hub!AY86</f>
        <v>0.98391404236141611</v>
      </c>
      <c r="I151" s="8">
        <f>Transport_1_hub!AZ86</f>
        <v>7.3658631564780209E-3</v>
      </c>
      <c r="J151" s="8">
        <f>Transport_1_hub!BA86</f>
        <v>11.18761398298108</v>
      </c>
      <c r="K151" s="8">
        <f>Transport_1_hub!BB86</f>
        <v>11.083729122563094</v>
      </c>
      <c r="L151" s="8">
        <f>Transport_1_hub!BC86</f>
        <v>0.85820653480138509</v>
      </c>
      <c r="M151" s="8">
        <f>Transport_1_hub!BD86</f>
        <v>0.19509183114875125</v>
      </c>
      <c r="N151" s="8">
        <f>Transport_1_hub!BE86</f>
        <v>1.818266342569947</v>
      </c>
      <c r="O151" s="8">
        <f>Transport_1_hub!BF86</f>
        <v>4.8538214581451702E-2</v>
      </c>
      <c r="P151" s="8">
        <f>Transport_1_hub!BG86</f>
        <v>2.5907702241130183E-5</v>
      </c>
      <c r="Q151" s="8">
        <f>Transport_1_hub!BH86</f>
        <v>0.10076606740935583</v>
      </c>
      <c r="R151" s="8">
        <f>Transport_1_hub!BI86</f>
        <v>0.2955643615708709</v>
      </c>
      <c r="S151" s="8">
        <f>Transport_1_hub!BJ86</f>
        <v>3.8899975203597968E-2</v>
      </c>
      <c r="T151" s="8">
        <f>Transport_1_hub!BK86</f>
        <v>5.9653973735979658E-3</v>
      </c>
      <c r="U151" s="8">
        <f>Transport_1_hub!BL86</f>
        <v>0.91990870876342146</v>
      </c>
      <c r="V151" s="9">
        <f>Transport_1_hub!BM86</f>
        <v>0.25646495397285773</v>
      </c>
      <c r="X151" s="22"/>
      <c r="Y151" s="22"/>
      <c r="AG151" s="42"/>
      <c r="AL151" s="42"/>
    </row>
    <row r="152" spans="2:38" x14ac:dyDescent="0.25">
      <c r="B152" s="40">
        <f>Transport_1_hub!W87+Transport_1_hub!L87</f>
        <v>735.05276858093532</v>
      </c>
      <c r="C152" s="8">
        <f>Transport_1_hub!AT87</f>
        <v>214.16723012799122</v>
      </c>
      <c r="D152" s="8">
        <f>Transport_1_hub!AU87</f>
        <v>2355.8404112185799</v>
      </c>
      <c r="E152" s="8">
        <f>Transport_1_hub!AV87</f>
        <v>1.3930095040659838</v>
      </c>
      <c r="F152" s="8">
        <f>Transport_1_hub!AW87</f>
        <v>213.85335266799123</v>
      </c>
      <c r="G152" s="8">
        <f>Transport_1_hub!AX87</f>
        <v>54.54104523714733</v>
      </c>
      <c r="H152" s="8">
        <f>Transport_1_hub!AY87</f>
        <v>1.5132190003614161</v>
      </c>
      <c r="I152" s="8">
        <f>Transport_1_hub!AZ87</f>
        <v>8.7770574234780213E-3</v>
      </c>
      <c r="J152" s="8">
        <f>Transport_1_hub!BA87</f>
        <v>13.461876119981081</v>
      </c>
      <c r="K152" s="8">
        <f>Transport_1_hub!BB87</f>
        <v>11.756809782563094</v>
      </c>
      <c r="L152" s="8">
        <f>Transport_1_hub!BC87</f>
        <v>1.318607888801385</v>
      </c>
      <c r="M152" s="8">
        <f>Transport_1_hub!BD87</f>
        <v>0.19630352407175128</v>
      </c>
      <c r="N152" s="8">
        <f>Transport_1_hub!BE87</f>
        <v>2.5083660745699472</v>
      </c>
      <c r="O152" s="8">
        <f>Transport_1_hub!BF87</f>
        <v>4.7893410400451697E-2</v>
      </c>
      <c r="P152" s="8">
        <f>Transport_1_hub!BG87</f>
        <v>2.7352077789130184E-5</v>
      </c>
      <c r="Q152" s="8">
        <f>Transport_1_hub!BH87</f>
        <v>0.11291106628935582</v>
      </c>
      <c r="R152" s="8">
        <f>Transport_1_hub!BI87</f>
        <v>0.32174684468087089</v>
      </c>
      <c r="S152" s="8">
        <f>Transport_1_hub!BJ87</f>
        <v>6.3879599943597973E-2</v>
      </c>
      <c r="T152" s="8">
        <f>Transport_1_hub!BK87</f>
        <v>7.4771696285979667E-3</v>
      </c>
      <c r="U152" s="8">
        <f>Transport_1_hub!BL87</f>
        <v>1.1770739779634216</v>
      </c>
      <c r="V152" s="9">
        <f>Transport_1_hub!BM87</f>
        <v>0.28398946182285778</v>
      </c>
      <c r="X152" s="22"/>
      <c r="Y152" s="22"/>
      <c r="AG152" s="42"/>
      <c r="AL152" s="42"/>
    </row>
    <row r="153" spans="2:38" x14ac:dyDescent="0.25">
      <c r="B153" s="40">
        <f>Transport_1_hub!W88+Transport_1_hub!L88</f>
        <v>769.89349072627522</v>
      </c>
      <c r="C153" s="8">
        <f>Transport_1_hub!AT88</f>
        <v>224.9609816998007</v>
      </c>
      <c r="D153" s="8">
        <f>Transport_1_hub!AU88</f>
        <v>2509.2974666558075</v>
      </c>
      <c r="E153" s="8">
        <f>Transport_1_hub!AV88</f>
        <v>1.5509617570161645</v>
      </c>
      <c r="F153" s="8">
        <f>Transport_1_hub!AW88</f>
        <v>224.51621477980069</v>
      </c>
      <c r="G153" s="8">
        <f>Transport_1_hub!AX88</f>
        <v>57.953539837286442</v>
      </c>
      <c r="H153" s="8">
        <f>Transport_1_hub!AY88</f>
        <v>2.0442720406421042</v>
      </c>
      <c r="I153" s="8">
        <f>Transport_1_hub!AZ88</f>
        <v>1.0199737243915629E-2</v>
      </c>
      <c r="J153" s="8">
        <f>Transport_1_hub!BA88</f>
        <v>15.752918672793896</v>
      </c>
      <c r="K153" s="8">
        <f>Transport_1_hub!BB88</f>
        <v>12.461781694124062</v>
      </c>
      <c r="L153" s="8">
        <f>Transport_1_hub!BC88</f>
        <v>1.7804770618432217</v>
      </c>
      <c r="M153" s="8">
        <f>Transport_1_hub!BD88</f>
        <v>0.19830476527119031</v>
      </c>
      <c r="N153" s="8">
        <f>Transport_1_hub!BE88</f>
        <v>3.2022235774927696</v>
      </c>
      <c r="O153" s="8">
        <f>Transport_1_hub!BF88</f>
        <v>4.7413244952893778E-2</v>
      </c>
      <c r="P153" s="8">
        <f>Transport_1_hub!BG88</f>
        <v>2.8880525272743461E-5</v>
      </c>
      <c r="Q153" s="8">
        <f>Transport_1_hub!BH88</f>
        <v>0.12526012873101716</v>
      </c>
      <c r="R153" s="8">
        <f>Transport_1_hub!BI88</f>
        <v>0.34839132432539327</v>
      </c>
      <c r="S153" s="8">
        <f>Transport_1_hub!BJ88</f>
        <v>8.8922108180654713E-2</v>
      </c>
      <c r="T153" s="8">
        <f>Transport_1_hub!BK88</f>
        <v>8.9994045506547101E-3</v>
      </c>
      <c r="U153" s="8">
        <f>Transport_1_hub!BL88</f>
        <v>1.4356203613525864</v>
      </c>
      <c r="V153" s="9">
        <f>Transport_1_hub!BM88</f>
        <v>0.31203216045919985</v>
      </c>
      <c r="X153" s="22"/>
      <c r="Y153" s="22"/>
      <c r="AG153" s="42"/>
      <c r="AL153" s="42"/>
    </row>
    <row r="154" spans="2:38" x14ac:dyDescent="0.25">
      <c r="B154" s="40">
        <f>Transport_1_hub!W89+Transport_1_hub!L89</f>
        <v>769.89349072627522</v>
      </c>
      <c r="C154" s="8">
        <f>Transport_1_hub!AT89</f>
        <v>224.9609816998007</v>
      </c>
      <c r="D154" s="8">
        <f>Transport_1_hub!AU89</f>
        <v>2509.2974666558075</v>
      </c>
      <c r="E154" s="8">
        <f>Transport_1_hub!AV89</f>
        <v>1.5509617570161645</v>
      </c>
      <c r="F154" s="8">
        <f>Transport_1_hub!AW89</f>
        <v>224.51621477980069</v>
      </c>
      <c r="G154" s="8">
        <f>Transport_1_hub!AX89</f>
        <v>57.953539837286442</v>
      </c>
      <c r="H154" s="8">
        <f>Transport_1_hub!AY89</f>
        <v>2.0442720406421042</v>
      </c>
      <c r="I154" s="8">
        <f>Transport_1_hub!AZ89</f>
        <v>1.0199737243915629E-2</v>
      </c>
      <c r="J154" s="8">
        <f>Transport_1_hub!BA89</f>
        <v>15.752918672793896</v>
      </c>
      <c r="K154" s="8">
        <f>Transport_1_hub!BB89</f>
        <v>12.461781694124062</v>
      </c>
      <c r="L154" s="8">
        <f>Transport_1_hub!BC89</f>
        <v>1.7804770618432217</v>
      </c>
      <c r="M154" s="8">
        <f>Transport_1_hub!BD89</f>
        <v>0.19830476527119031</v>
      </c>
      <c r="N154" s="8">
        <f>Transport_1_hub!BE89</f>
        <v>3.2022235774927696</v>
      </c>
      <c r="O154" s="8">
        <f>Transport_1_hub!BF89</f>
        <v>4.7413244952893778E-2</v>
      </c>
      <c r="P154" s="8">
        <f>Transport_1_hub!BG89</f>
        <v>2.8880525272743461E-5</v>
      </c>
      <c r="Q154" s="8">
        <f>Transport_1_hub!BH89</f>
        <v>0.12526012873101716</v>
      </c>
      <c r="R154" s="8">
        <f>Transport_1_hub!BI89</f>
        <v>0.34839132432539327</v>
      </c>
      <c r="S154" s="8">
        <f>Transport_1_hub!BJ89</f>
        <v>8.8922108180654713E-2</v>
      </c>
      <c r="T154" s="8">
        <f>Transport_1_hub!BK89</f>
        <v>8.9994045506547101E-3</v>
      </c>
      <c r="U154" s="8">
        <f>Transport_1_hub!BL89</f>
        <v>1.4356203613525864</v>
      </c>
      <c r="V154" s="9">
        <f>Transport_1_hub!BM89</f>
        <v>0.31203216045919985</v>
      </c>
      <c r="X154" s="22"/>
      <c r="Y154" s="22"/>
      <c r="AG154" s="42"/>
      <c r="AL154" s="42"/>
    </row>
    <row r="155" spans="2:38" x14ac:dyDescent="0.25">
      <c r="B155" s="40">
        <f>Transport_1_hub!W90+Transport_1_hub!L90</f>
        <v>769.89349072627522</v>
      </c>
      <c r="C155" s="8">
        <f>Transport_1_hub!AT90</f>
        <v>224.9609816998007</v>
      </c>
      <c r="D155" s="8">
        <f>Transport_1_hub!AU90</f>
        <v>2509.2974666558075</v>
      </c>
      <c r="E155" s="8">
        <f>Transport_1_hub!AV90</f>
        <v>1.5509617570161645</v>
      </c>
      <c r="F155" s="8">
        <f>Transport_1_hub!AW90</f>
        <v>224.51621477980069</v>
      </c>
      <c r="G155" s="8">
        <f>Transport_1_hub!AX90</f>
        <v>57.953539837286442</v>
      </c>
      <c r="H155" s="8">
        <f>Transport_1_hub!AY90</f>
        <v>2.0442720406421042</v>
      </c>
      <c r="I155" s="8">
        <f>Transport_1_hub!AZ90</f>
        <v>1.0199737243915629E-2</v>
      </c>
      <c r="J155" s="8">
        <f>Transport_1_hub!BA90</f>
        <v>15.752918672793896</v>
      </c>
      <c r="K155" s="8">
        <f>Transport_1_hub!BB90</f>
        <v>12.461781694124062</v>
      </c>
      <c r="L155" s="8">
        <f>Transport_1_hub!BC90</f>
        <v>1.7804770618432217</v>
      </c>
      <c r="M155" s="8">
        <f>Transport_1_hub!BD90</f>
        <v>0.19830476527119031</v>
      </c>
      <c r="N155" s="8">
        <f>Transport_1_hub!BE90</f>
        <v>3.2022235774927696</v>
      </c>
      <c r="O155" s="8">
        <f>Transport_1_hub!BF90</f>
        <v>4.7413244952893778E-2</v>
      </c>
      <c r="P155" s="8">
        <f>Transport_1_hub!BG90</f>
        <v>2.8880525272743461E-5</v>
      </c>
      <c r="Q155" s="8">
        <f>Transport_1_hub!BH90</f>
        <v>0.12526012873101716</v>
      </c>
      <c r="R155" s="8">
        <f>Transport_1_hub!BI90</f>
        <v>0.34839132432539327</v>
      </c>
      <c r="S155" s="8">
        <f>Transport_1_hub!BJ90</f>
        <v>8.8922108180654713E-2</v>
      </c>
      <c r="T155" s="8">
        <f>Transport_1_hub!BK90</f>
        <v>8.9994045506547101E-3</v>
      </c>
      <c r="U155" s="8">
        <f>Transport_1_hub!BL90</f>
        <v>1.4356203613525864</v>
      </c>
      <c r="V155" s="9">
        <f>Transport_1_hub!BM90</f>
        <v>0.31203216045919985</v>
      </c>
      <c r="X155" s="22"/>
      <c r="Y155" s="22"/>
      <c r="AG155" s="42"/>
      <c r="AL155" s="42"/>
    </row>
    <row r="156" spans="2:38" x14ac:dyDescent="0.25">
      <c r="B156" s="40">
        <f>Transport_1_hub!W91+Transport_1_hub!L91</f>
        <v>769.89349072627522</v>
      </c>
      <c r="C156" s="8">
        <f>Transport_1_hub!AT91</f>
        <v>224.9609816998007</v>
      </c>
      <c r="D156" s="8">
        <f>Transport_1_hub!AU91</f>
        <v>2509.2974666558075</v>
      </c>
      <c r="E156" s="8">
        <f>Transport_1_hub!AV91</f>
        <v>1.5509617570161645</v>
      </c>
      <c r="F156" s="8">
        <f>Transport_1_hub!AW91</f>
        <v>224.51621477980069</v>
      </c>
      <c r="G156" s="8">
        <f>Transport_1_hub!AX91</f>
        <v>57.953539837286442</v>
      </c>
      <c r="H156" s="8">
        <f>Transport_1_hub!AY91</f>
        <v>2.0442720406421042</v>
      </c>
      <c r="I156" s="8">
        <f>Transport_1_hub!AZ91</f>
        <v>1.0199737243915629E-2</v>
      </c>
      <c r="J156" s="8">
        <f>Transport_1_hub!BA91</f>
        <v>15.752918672793896</v>
      </c>
      <c r="K156" s="8">
        <f>Transport_1_hub!BB91</f>
        <v>12.461781694124062</v>
      </c>
      <c r="L156" s="8">
        <f>Transport_1_hub!BC91</f>
        <v>1.7804770618432217</v>
      </c>
      <c r="M156" s="8">
        <f>Transport_1_hub!BD91</f>
        <v>0.19830476527119031</v>
      </c>
      <c r="N156" s="8">
        <f>Transport_1_hub!BE91</f>
        <v>3.2022235774927696</v>
      </c>
      <c r="O156" s="8">
        <f>Transport_1_hub!BF91</f>
        <v>4.7413244952893778E-2</v>
      </c>
      <c r="P156" s="8">
        <f>Transport_1_hub!BG91</f>
        <v>2.8880525272743461E-5</v>
      </c>
      <c r="Q156" s="8">
        <f>Transport_1_hub!BH91</f>
        <v>0.12526012873101716</v>
      </c>
      <c r="R156" s="8">
        <f>Transport_1_hub!BI91</f>
        <v>0.34839132432539327</v>
      </c>
      <c r="S156" s="8">
        <f>Transport_1_hub!BJ91</f>
        <v>8.8922108180654713E-2</v>
      </c>
      <c r="T156" s="8">
        <f>Transport_1_hub!BK91</f>
        <v>8.9994045506547101E-3</v>
      </c>
      <c r="U156" s="8">
        <f>Transport_1_hub!BL91</f>
        <v>1.4356203613525864</v>
      </c>
      <c r="V156" s="9">
        <f>Transport_1_hub!BM91</f>
        <v>0.31203216045919985</v>
      </c>
      <c r="X156" s="22"/>
      <c r="Y156" s="22"/>
      <c r="AG156" s="42"/>
      <c r="AL156" s="42"/>
    </row>
    <row r="157" spans="2:38" x14ac:dyDescent="0.25">
      <c r="B157" s="40">
        <f>Transport_1_hub!W92+Transport_1_hub!L92</f>
        <v>769.89349072627522</v>
      </c>
      <c r="C157" s="8">
        <f>Transport_1_hub!AT92</f>
        <v>224.9609816998007</v>
      </c>
      <c r="D157" s="8">
        <f>Transport_1_hub!AU92</f>
        <v>2509.2974666558075</v>
      </c>
      <c r="E157" s="8">
        <f>Transport_1_hub!AV92</f>
        <v>1.5509617570161645</v>
      </c>
      <c r="F157" s="8">
        <f>Transport_1_hub!AW92</f>
        <v>224.51621477980069</v>
      </c>
      <c r="G157" s="8">
        <f>Transport_1_hub!AX92</f>
        <v>57.953539837286442</v>
      </c>
      <c r="H157" s="8">
        <f>Transport_1_hub!AY92</f>
        <v>2.0442720406421042</v>
      </c>
      <c r="I157" s="8">
        <f>Transport_1_hub!AZ92</f>
        <v>1.0199737243915629E-2</v>
      </c>
      <c r="J157" s="8">
        <f>Transport_1_hub!BA92</f>
        <v>15.752918672793896</v>
      </c>
      <c r="K157" s="8">
        <f>Transport_1_hub!BB92</f>
        <v>12.461781694124062</v>
      </c>
      <c r="L157" s="8">
        <f>Transport_1_hub!BC92</f>
        <v>1.7804770618432217</v>
      </c>
      <c r="M157" s="8">
        <f>Transport_1_hub!BD92</f>
        <v>0.19830476527119031</v>
      </c>
      <c r="N157" s="8">
        <f>Transport_1_hub!BE92</f>
        <v>3.2022235774927696</v>
      </c>
      <c r="O157" s="8">
        <f>Transport_1_hub!BF92</f>
        <v>4.7413244952893778E-2</v>
      </c>
      <c r="P157" s="8">
        <f>Transport_1_hub!BG92</f>
        <v>2.8880525272743461E-5</v>
      </c>
      <c r="Q157" s="8">
        <f>Transport_1_hub!BH92</f>
        <v>0.12526012873101716</v>
      </c>
      <c r="R157" s="8">
        <f>Transport_1_hub!BI92</f>
        <v>0.34839132432539327</v>
      </c>
      <c r="S157" s="8">
        <f>Transport_1_hub!BJ92</f>
        <v>8.8922108180654713E-2</v>
      </c>
      <c r="T157" s="8">
        <f>Transport_1_hub!BK92</f>
        <v>8.9994045506547101E-3</v>
      </c>
      <c r="U157" s="8">
        <f>Transport_1_hub!BL92</f>
        <v>1.4356203613525864</v>
      </c>
      <c r="V157" s="9">
        <f>Transport_1_hub!BM92</f>
        <v>0.31203216045919985</v>
      </c>
      <c r="X157" s="22"/>
      <c r="Y157" s="22"/>
      <c r="AG157" s="42"/>
      <c r="AL157" s="42"/>
    </row>
    <row r="158" spans="2:38" x14ac:dyDescent="0.25">
      <c r="B158" s="40">
        <f>Transport_1_hub!W93+Transport_1_hub!L93</f>
        <v>769.89349072627522</v>
      </c>
      <c r="C158" s="8">
        <f>Transport_1_hub!AT93</f>
        <v>224.9609816998007</v>
      </c>
      <c r="D158" s="8">
        <f>Transport_1_hub!AU93</f>
        <v>2509.2974666558075</v>
      </c>
      <c r="E158" s="8">
        <f>Transport_1_hub!AV93</f>
        <v>1.5509617570161645</v>
      </c>
      <c r="F158" s="8">
        <f>Transport_1_hub!AW93</f>
        <v>224.51621477980069</v>
      </c>
      <c r="G158" s="8">
        <f>Transport_1_hub!AX93</f>
        <v>57.953539837286442</v>
      </c>
      <c r="H158" s="8">
        <f>Transport_1_hub!AY93</f>
        <v>2.0442720406421042</v>
      </c>
      <c r="I158" s="8">
        <f>Transport_1_hub!AZ93</f>
        <v>1.0199737243915629E-2</v>
      </c>
      <c r="J158" s="8">
        <f>Transport_1_hub!BA93</f>
        <v>15.752918672793896</v>
      </c>
      <c r="K158" s="8">
        <f>Transport_1_hub!BB93</f>
        <v>12.461781694124062</v>
      </c>
      <c r="L158" s="8">
        <f>Transport_1_hub!BC93</f>
        <v>1.7804770618432217</v>
      </c>
      <c r="M158" s="8">
        <f>Transport_1_hub!BD93</f>
        <v>0.19830476527119031</v>
      </c>
      <c r="N158" s="8">
        <f>Transport_1_hub!BE93</f>
        <v>3.2022235774927696</v>
      </c>
      <c r="O158" s="8">
        <f>Transport_1_hub!BF93</f>
        <v>4.7413244952893778E-2</v>
      </c>
      <c r="P158" s="8">
        <f>Transport_1_hub!BG93</f>
        <v>2.8880525272743461E-5</v>
      </c>
      <c r="Q158" s="8">
        <f>Transport_1_hub!BH93</f>
        <v>0.12526012873101716</v>
      </c>
      <c r="R158" s="8">
        <f>Transport_1_hub!BI93</f>
        <v>0.34839132432539327</v>
      </c>
      <c r="S158" s="8">
        <f>Transport_1_hub!BJ93</f>
        <v>8.8922108180654713E-2</v>
      </c>
      <c r="T158" s="8">
        <f>Transport_1_hub!BK93</f>
        <v>8.9994045506547101E-3</v>
      </c>
      <c r="U158" s="8">
        <f>Transport_1_hub!BL93</f>
        <v>1.4356203613525864</v>
      </c>
      <c r="V158" s="9">
        <f>Transport_1_hub!BM93</f>
        <v>0.31203216045919985</v>
      </c>
      <c r="X158" s="22"/>
      <c r="Y158" s="22"/>
      <c r="AG158" s="42"/>
      <c r="AL158" s="42"/>
    </row>
    <row r="159" spans="2:38" x14ac:dyDescent="0.25">
      <c r="B159" s="40">
        <f>Transport_1_hub!W94+Transport_1_hub!L94</f>
        <v>709.59136301445756</v>
      </c>
      <c r="C159" s="8">
        <f>Transport_1_hub!AT94</f>
        <v>208.82092355780841</v>
      </c>
      <c r="D159" s="8">
        <f>Transport_1_hub!AU94</f>
        <v>2290.4886397139471</v>
      </c>
      <c r="E159" s="8">
        <f>Transport_1_hub!AV94</f>
        <v>1.339730947708871</v>
      </c>
      <c r="F159" s="8">
        <f>Transport_1_hub!AW94</f>
        <v>208.54636199780842</v>
      </c>
      <c r="G159" s="8">
        <f>Transport_1_hub!AX94</f>
        <v>53.061381087106881</v>
      </c>
      <c r="H159" s="8">
        <f>Transport_1_hub!AY94</f>
        <v>1.3520754033672187</v>
      </c>
      <c r="I159" s="8">
        <f>Transport_1_hub!AZ94</f>
        <v>8.3257390035499351E-3</v>
      </c>
      <c r="J159" s="8">
        <f>Transport_1_hub!BA94</f>
        <v>12.740094669885281</v>
      </c>
      <c r="K159" s="8">
        <f>Transport_1_hub!BB94</f>
        <v>11.457628676088893</v>
      </c>
      <c r="L159" s="8">
        <f>Transport_1_hub!BC94</f>
        <v>1.1786089842357061</v>
      </c>
      <c r="M159" s="8">
        <f>Transport_1_hub!BD94</f>
        <v>0.19344218493726698</v>
      </c>
      <c r="N159" s="8">
        <f>Transport_1_hub!BE94</f>
        <v>2.2935712991777515</v>
      </c>
      <c r="O159" s="8">
        <f>Transport_1_hub!BF94</f>
        <v>4.7559832468120004E-2</v>
      </c>
      <c r="P159" s="8">
        <f>Transport_1_hub!BG94</f>
        <v>2.6660369866896708E-5</v>
      </c>
      <c r="Q159" s="8">
        <f>Transport_1_hub!BH94</f>
        <v>0.10869253283112591</v>
      </c>
      <c r="R159" s="8">
        <f>Transport_1_hub!BI94</f>
        <v>0.31258242340467579</v>
      </c>
      <c r="S159" s="8">
        <f>Transport_1_hub!BJ94</f>
        <v>5.6337081595666492E-2</v>
      </c>
      <c r="T159" s="8">
        <f>Transport_1_hub!BK94</f>
        <v>6.9995495056664834E-3</v>
      </c>
      <c r="U159" s="8">
        <f>Transport_1_hub!BL94</f>
        <v>1.0970926428182062</v>
      </c>
      <c r="V159" s="9">
        <f>Transport_1_hub!BM94</f>
        <v>0.27425227993424162</v>
      </c>
      <c r="X159" s="22"/>
      <c r="Y159" s="22"/>
      <c r="AG159" s="42"/>
      <c r="AL159" s="42"/>
    </row>
    <row r="160" spans="2:38" x14ac:dyDescent="0.25">
      <c r="B160" s="40">
        <f>Transport_1_hub!W95+Transport_1_hub!L95</f>
        <v>722.2067800341257</v>
      </c>
      <c r="C160" s="8">
        <f>Transport_1_hub!AT95</f>
        <v>198.61837198447344</v>
      </c>
      <c r="D160" s="8">
        <f>Transport_1_hub!AU95</f>
        <v>2087.0129425584641</v>
      </c>
      <c r="E160" s="8">
        <f>Transport_1_hub!AV95</f>
        <v>1.0533511386602976</v>
      </c>
      <c r="F160" s="8">
        <f>Transport_1_hub!AW95</f>
        <v>198.60748994447343</v>
      </c>
      <c r="G160" s="8">
        <f>Transport_1_hub!AX95</f>
        <v>48.681497277196399</v>
      </c>
      <c r="H160" s="8">
        <f>Transport_1_hub!AY95</f>
        <v>0.29118341844248263</v>
      </c>
      <c r="I160" s="8">
        <f>Transport_1_hub!AZ95</f>
        <v>5.5912353422377789E-3</v>
      </c>
      <c r="J160" s="8">
        <f>Transport_1_hub!BA95</f>
        <v>8.3097738581542799</v>
      </c>
      <c r="K160" s="8">
        <f>Transport_1_hub!BB95</f>
        <v>10.517159995223192</v>
      </c>
      <c r="L160" s="8">
        <f>Transport_1_hub!BC95</f>
        <v>0.25509526863766019</v>
      </c>
      <c r="M160" s="8">
        <f>Transport_1_hub!BD95</f>
        <v>0.2018541070307403</v>
      </c>
      <c r="N160" s="8">
        <f>Transport_1_hub!BE95</f>
        <v>0.93076016805889017</v>
      </c>
      <c r="O160" s="8">
        <f>Transport_1_hub!BF95</f>
        <v>5.1148909516472781E-2</v>
      </c>
      <c r="P160" s="8">
        <f>Transport_1_hub!BG95</f>
        <v>2.4857477089675311E-5</v>
      </c>
      <c r="Q160" s="8">
        <f>Transport_1_hub!BH95</f>
        <v>8.6607343926426106E-2</v>
      </c>
      <c r="R160" s="8">
        <f>Transport_1_hub!BI95</f>
        <v>0.26527540181752485</v>
      </c>
      <c r="S160" s="8">
        <f>Transport_1_hub!BJ95</f>
        <v>6.0003326110677855E-3</v>
      </c>
      <c r="T160" s="8">
        <f>Transport_1_hub!BK95</f>
        <v>4.0448768010677844E-3</v>
      </c>
      <c r="U160" s="8">
        <f>Transport_1_hub!BL95</f>
        <v>0.58898202752713902</v>
      </c>
      <c r="V160" s="9">
        <f>Transport_1_hub!BM95</f>
        <v>0.22497001136580538</v>
      </c>
      <c r="X160" s="22"/>
      <c r="Y160" s="22"/>
      <c r="AG160" s="42"/>
      <c r="AL160" s="42"/>
    </row>
    <row r="161" spans="2:38" x14ac:dyDescent="0.25">
      <c r="B161" s="40">
        <f>Transport_1_hub!W96+Transport_1_hub!L96</f>
        <v>723.91578003412576</v>
      </c>
      <c r="C161" s="8">
        <f>Transport_1_hub!AT96</f>
        <v>199.19909018447345</v>
      </c>
      <c r="D161" s="8">
        <f>Transport_1_hub!AU96</f>
        <v>2095.4828327484615</v>
      </c>
      <c r="E161" s="8">
        <f>Transport_1_hub!AV96</f>
        <v>1.0623500490602975</v>
      </c>
      <c r="F161" s="8">
        <f>Transport_1_hub!AW96</f>
        <v>199.18065436447344</v>
      </c>
      <c r="G161" s="8">
        <f>Transport_1_hub!AX96</f>
        <v>48.869316377196398</v>
      </c>
      <c r="H161" s="8">
        <f>Transport_1_hub!AY96</f>
        <v>0.32179844444248262</v>
      </c>
      <c r="I161" s="8">
        <f>Transport_1_hub!AZ96</f>
        <v>5.6728588912377791E-3</v>
      </c>
      <c r="J161" s="8">
        <f>Transport_1_hub!BA96</f>
        <v>8.4413172971542814</v>
      </c>
      <c r="K161" s="8">
        <f>Transport_1_hub!BB96</f>
        <v>10.556091015223192</v>
      </c>
      <c r="L161" s="8">
        <f>Transport_1_hub!BC96</f>
        <v>0.2817249066376602</v>
      </c>
      <c r="M161" s="8">
        <f>Transport_1_hub!BD96</f>
        <v>0.20192419141174028</v>
      </c>
      <c r="N161" s="8">
        <f>Transport_1_hub!BE96</f>
        <v>0.9706755720588901</v>
      </c>
      <c r="O161" s="8">
        <f>Transport_1_hub!BF96</f>
        <v>5.1111614009472783E-2</v>
      </c>
      <c r="P161" s="8">
        <f>Transport_1_hub!BG96</f>
        <v>2.4941019845675312E-5</v>
      </c>
      <c r="Q161" s="8">
        <f>Transport_1_hub!BH96</f>
        <v>8.7309811286426106E-2</v>
      </c>
      <c r="R161" s="8">
        <f>Transport_1_hub!BI96</f>
        <v>0.26678979798752489</v>
      </c>
      <c r="S161" s="8">
        <f>Transport_1_hub!BJ96</f>
        <v>7.4451553910677851E-3</v>
      </c>
      <c r="T161" s="8">
        <f>Transport_1_hub!BK96</f>
        <v>4.1323177860677846E-3</v>
      </c>
      <c r="U161" s="8">
        <f>Transport_1_hub!BL96</f>
        <v>0.60385647992713898</v>
      </c>
      <c r="V161" s="9">
        <f>Transport_1_hub!BM96</f>
        <v>0.22656203031580538</v>
      </c>
      <c r="X161" s="22"/>
      <c r="Y161" s="22"/>
      <c r="AG161" s="42"/>
      <c r="AL161" s="42"/>
    </row>
    <row r="162" spans="2:38" x14ac:dyDescent="0.25">
      <c r="B162" s="40">
        <f>Transport_1_hub!W97+Transport_1_hub!L97</f>
        <v>725.16878003412569</v>
      </c>
      <c r="C162" s="8">
        <f>Transport_1_hub!AT97</f>
        <v>199.62485958447343</v>
      </c>
      <c r="D162" s="8">
        <f>Transport_1_hub!AU97</f>
        <v>2101.6927639410105</v>
      </c>
      <c r="E162" s="8">
        <f>Transport_1_hub!AV97</f>
        <v>1.0689478458602975</v>
      </c>
      <c r="F162" s="8">
        <f>Transport_1_hub!AW97</f>
        <v>199.60088550447344</v>
      </c>
      <c r="G162" s="8">
        <f>Transport_1_hub!AX97</f>
        <v>49.007021077196399</v>
      </c>
      <c r="H162" s="8">
        <f>Transport_1_hub!AY97</f>
        <v>0.34424468644248263</v>
      </c>
      <c r="I162" s="8">
        <f>Transport_1_hub!AZ97</f>
        <v>5.732703424237779E-3</v>
      </c>
      <c r="J162" s="8">
        <f>Transport_1_hub!BA97</f>
        <v>8.5377619601542811</v>
      </c>
      <c r="K162" s="8">
        <f>Transport_1_hub!BB97</f>
        <v>10.584634355223193</v>
      </c>
      <c r="L162" s="8">
        <f>Transport_1_hub!BC97</f>
        <v>0.30124915263766017</v>
      </c>
      <c r="M162" s="8">
        <f>Transport_1_hub!BD97</f>
        <v>0.20197557568874031</v>
      </c>
      <c r="N162" s="8">
        <f>Transport_1_hub!BE97</f>
        <v>0.99994064005889016</v>
      </c>
      <c r="O162" s="8">
        <f>Transport_1_hub!BF97</f>
        <v>5.1084269790472779E-2</v>
      </c>
      <c r="P162" s="8">
        <f>Transport_1_hub!BG97</f>
        <v>2.5002271497675309E-5</v>
      </c>
      <c r="Q162" s="8">
        <f>Transport_1_hub!BH97</f>
        <v>8.7824844406426114E-2</v>
      </c>
      <c r="R162" s="8">
        <f>Transport_1_hub!BI97</f>
        <v>0.26790011887752485</v>
      </c>
      <c r="S162" s="8">
        <f>Transport_1_hub!BJ97</f>
        <v>8.5044666510677852E-3</v>
      </c>
      <c r="T162" s="8">
        <f>Transport_1_hub!BK97</f>
        <v>4.1964275310677843E-3</v>
      </c>
      <c r="U162" s="8">
        <f>Transport_1_hub!BL97</f>
        <v>0.61476209072713905</v>
      </c>
      <c r="V162" s="9">
        <f>Transport_1_hub!BM97</f>
        <v>0.22772926246580538</v>
      </c>
      <c r="X162" s="22"/>
      <c r="Y162" s="22"/>
      <c r="AG162" s="42"/>
      <c r="AL162" s="42"/>
    </row>
    <row r="163" spans="2:38" x14ac:dyDescent="0.25">
      <c r="B163" s="40">
        <f>Transport_1_hub!W98+Transport_1_hub!L98</f>
        <v>725.16878003412569</v>
      </c>
      <c r="C163" s="8">
        <f>Transport_1_hub!AT98</f>
        <v>199.62485958447343</v>
      </c>
      <c r="D163" s="8">
        <f>Transport_1_hub!AU98</f>
        <v>2101.6927639410105</v>
      </c>
      <c r="E163" s="8">
        <f>Transport_1_hub!AV98</f>
        <v>1.0689478458602975</v>
      </c>
      <c r="F163" s="8">
        <f>Transport_1_hub!AW98</f>
        <v>199.60088550447344</v>
      </c>
      <c r="G163" s="8">
        <f>Transport_1_hub!AX98</f>
        <v>49.007021077196399</v>
      </c>
      <c r="H163" s="8">
        <f>Transport_1_hub!AY98</f>
        <v>0.34424468644248263</v>
      </c>
      <c r="I163" s="8">
        <f>Transport_1_hub!AZ98</f>
        <v>5.732703424237779E-3</v>
      </c>
      <c r="J163" s="8">
        <f>Transport_1_hub!BA98</f>
        <v>8.5377619601542811</v>
      </c>
      <c r="K163" s="8">
        <f>Transport_1_hub!BB98</f>
        <v>10.584634355223193</v>
      </c>
      <c r="L163" s="8">
        <f>Transport_1_hub!BC98</f>
        <v>0.30124915263766017</v>
      </c>
      <c r="M163" s="8">
        <f>Transport_1_hub!BD98</f>
        <v>0.20197557568874031</v>
      </c>
      <c r="N163" s="8">
        <f>Transport_1_hub!BE98</f>
        <v>0.99994064005889016</v>
      </c>
      <c r="O163" s="8">
        <f>Transport_1_hub!BF98</f>
        <v>5.1084269790472779E-2</v>
      </c>
      <c r="P163" s="8">
        <f>Transport_1_hub!BG98</f>
        <v>2.5002271497675309E-5</v>
      </c>
      <c r="Q163" s="8">
        <f>Transport_1_hub!BH98</f>
        <v>8.7824844406426114E-2</v>
      </c>
      <c r="R163" s="8">
        <f>Transport_1_hub!BI98</f>
        <v>0.26790011887752485</v>
      </c>
      <c r="S163" s="8">
        <f>Transport_1_hub!BJ98</f>
        <v>8.5044666510677852E-3</v>
      </c>
      <c r="T163" s="8">
        <f>Transport_1_hub!BK98</f>
        <v>4.1964275310677843E-3</v>
      </c>
      <c r="U163" s="8">
        <f>Transport_1_hub!BL98</f>
        <v>0.61476209072713905</v>
      </c>
      <c r="V163" s="9">
        <f>Transport_1_hub!BM98</f>
        <v>0.22772926246580538</v>
      </c>
      <c r="X163" s="22"/>
      <c r="Y163" s="22"/>
      <c r="AG163" s="42"/>
      <c r="AL163" s="42"/>
    </row>
    <row r="164" spans="2:38" x14ac:dyDescent="0.25">
      <c r="B164" s="40">
        <f>Transport_1_hub!W99+Transport_1_hub!L99</f>
        <v>725.16878003412569</v>
      </c>
      <c r="C164" s="8">
        <f>Transport_1_hub!AT99</f>
        <v>199.62485958447343</v>
      </c>
      <c r="D164" s="8">
        <f>Transport_1_hub!AU99</f>
        <v>2101.6927639410105</v>
      </c>
      <c r="E164" s="8">
        <f>Transport_1_hub!AV99</f>
        <v>1.0689478458602975</v>
      </c>
      <c r="F164" s="8">
        <f>Transport_1_hub!AW99</f>
        <v>199.60088550447344</v>
      </c>
      <c r="G164" s="8">
        <f>Transport_1_hub!AX99</f>
        <v>49.007021077196399</v>
      </c>
      <c r="H164" s="8">
        <f>Transport_1_hub!AY99</f>
        <v>0.34424468644248263</v>
      </c>
      <c r="I164" s="8">
        <f>Transport_1_hub!AZ99</f>
        <v>5.732703424237779E-3</v>
      </c>
      <c r="J164" s="8">
        <f>Transport_1_hub!BA99</f>
        <v>8.5377619601542811</v>
      </c>
      <c r="K164" s="8">
        <f>Transport_1_hub!BB99</f>
        <v>10.584634355223193</v>
      </c>
      <c r="L164" s="8">
        <f>Transport_1_hub!BC99</f>
        <v>0.30124915263766017</v>
      </c>
      <c r="M164" s="8">
        <f>Transport_1_hub!BD99</f>
        <v>0.20197557568874031</v>
      </c>
      <c r="N164" s="8">
        <f>Transport_1_hub!BE99</f>
        <v>0.99994064005889016</v>
      </c>
      <c r="O164" s="8">
        <f>Transport_1_hub!BF99</f>
        <v>5.1084269790472779E-2</v>
      </c>
      <c r="P164" s="8">
        <f>Transport_1_hub!BG99</f>
        <v>2.5002271497675309E-5</v>
      </c>
      <c r="Q164" s="8">
        <f>Transport_1_hub!BH99</f>
        <v>8.7824844406426114E-2</v>
      </c>
      <c r="R164" s="8">
        <f>Transport_1_hub!BI99</f>
        <v>0.26790011887752485</v>
      </c>
      <c r="S164" s="8">
        <f>Transport_1_hub!BJ99</f>
        <v>8.5044666510677852E-3</v>
      </c>
      <c r="T164" s="8">
        <f>Transport_1_hub!BK99</f>
        <v>4.1964275310677843E-3</v>
      </c>
      <c r="U164" s="8">
        <f>Transport_1_hub!BL99</f>
        <v>0.61476209072713905</v>
      </c>
      <c r="V164" s="9">
        <f>Transport_1_hub!BM99</f>
        <v>0.22772926246580538</v>
      </c>
      <c r="X164" s="22"/>
      <c r="Y164" s="22"/>
      <c r="AG164" s="42"/>
      <c r="AL164" s="42"/>
    </row>
    <row r="165" spans="2:38" x14ac:dyDescent="0.25">
      <c r="B165" s="40">
        <f>Transport_1_hub!W100+Transport_1_hub!L100</f>
        <v>788.15976858093529</v>
      </c>
      <c r="C165" s="8">
        <f>Transport_1_hub!AT100</f>
        <v>232.21298872799122</v>
      </c>
      <c r="D165" s="8">
        <f>Transport_1_hub!AU100</f>
        <v>2619.0413815639108</v>
      </c>
      <c r="E165" s="8">
        <f>Transport_1_hub!AV100</f>
        <v>1.6726497232659838</v>
      </c>
      <c r="F165" s="8">
        <f>Transport_1_hub!AW100</f>
        <v>231.66437832799124</v>
      </c>
      <c r="G165" s="8">
        <f>Transport_1_hub!AX100</f>
        <v>60.377504537147331</v>
      </c>
      <c r="H165" s="8">
        <f>Transport_1_hub!AY100</f>
        <v>2.4645777983614163</v>
      </c>
      <c r="I165" s="8">
        <f>Transport_1_hub!AZ100</f>
        <v>1.1313500850478022E-2</v>
      </c>
      <c r="J165" s="8">
        <f>Transport_1_hub!BA100</f>
        <v>17.54957501698108</v>
      </c>
      <c r="K165" s="8">
        <f>Transport_1_hub!BB100</f>
        <v>12.966587242563094</v>
      </c>
      <c r="L165" s="8">
        <f>Transport_1_hub!BC100</f>
        <v>2.1461211628013852</v>
      </c>
      <c r="M165" s="8">
        <f>Transport_1_hub!BD100</f>
        <v>0.19848138903475127</v>
      </c>
      <c r="N165" s="8">
        <f>Transport_1_hub!BE100</f>
        <v>3.7487331665699473</v>
      </c>
      <c r="O165" s="8">
        <f>Transport_1_hub!BF100</f>
        <v>4.6734456339451697E-2</v>
      </c>
      <c r="P165" s="8">
        <f>Transport_1_hub!BG100</f>
        <v>2.9948160377130184E-5</v>
      </c>
      <c r="Q165" s="8">
        <f>Transport_1_hub!BH100</f>
        <v>0.13474016756935583</v>
      </c>
      <c r="R165" s="8">
        <f>Transport_1_hub!BI100</f>
        <v>0.36880655059087086</v>
      </c>
      <c r="S165" s="8">
        <f>Transport_1_hub!BJ100</f>
        <v>0.10877731988359798</v>
      </c>
      <c r="T165" s="8">
        <f>Transport_1_hub!BK100</f>
        <v>1.0194389283597966E-2</v>
      </c>
      <c r="U165" s="8">
        <f>Transport_1_hub!BL100</f>
        <v>1.6392960631634217</v>
      </c>
      <c r="V165" s="9">
        <f>Transport_1_hub!BM100</f>
        <v>0.33346128767285776</v>
      </c>
      <c r="X165" s="22"/>
      <c r="Y165" s="22"/>
      <c r="AG165" s="42"/>
      <c r="AL165" s="42"/>
    </row>
    <row r="166" spans="2:38" x14ac:dyDescent="0.25">
      <c r="B166" s="40">
        <f>Transport_1_hub!W101+Transport_1_hub!L101</f>
        <v>782.97873098463629</v>
      </c>
      <c r="C166" s="8">
        <f>Transport_1_hub!AT101</f>
        <v>210.69181087949934</v>
      </c>
      <c r="D166" s="8">
        <f>Transport_1_hub!AU101</f>
        <v>2231.4879715148054</v>
      </c>
      <c r="E166" s="8">
        <f>Transport_1_hub!AV101</f>
        <v>1.1659807782839211</v>
      </c>
      <c r="F166" s="8">
        <f>Transport_1_hub!AW101</f>
        <v>210.59972017949934</v>
      </c>
      <c r="G166" s="8">
        <f>Transport_1_hub!AX101</f>
        <v>51.961807032042678</v>
      </c>
      <c r="H166" s="8">
        <f>Transport_1_hub!AY101</f>
        <v>0.62481778307606906</v>
      </c>
      <c r="I166" s="8">
        <f>Transport_1_hub!AZ101</f>
        <v>6.5351581917215736E-3</v>
      </c>
      <c r="J166" s="8">
        <f>Transport_1_hub!BA101</f>
        <v>9.8181397644628277</v>
      </c>
      <c r="K166" s="8">
        <f>Transport_1_hub!BB101</f>
        <v>11.178203991525589</v>
      </c>
      <c r="L166" s="8">
        <f>Transport_1_hub!BC101</f>
        <v>0.54487686061748186</v>
      </c>
      <c r="M166" s="8">
        <f>Transport_1_hub!BD101</f>
        <v>0.20894131842577168</v>
      </c>
      <c r="N166" s="8">
        <f>Transport_1_hub!BE101</f>
        <v>1.3775477985607738</v>
      </c>
      <c r="O166" s="8">
        <f>Transport_1_hub!BF101</f>
        <v>5.2073308144276333E-2</v>
      </c>
      <c r="P166" s="8">
        <f>Transport_1_hub!BG101</f>
        <v>2.6400650935528181E-5</v>
      </c>
      <c r="Q166" s="8">
        <f>Transport_1_hub!BH101</f>
        <v>9.5569192849405987E-2</v>
      </c>
      <c r="R166" s="8">
        <f>Transport_1_hub!BI101</f>
        <v>0.28477371205130186</v>
      </c>
      <c r="S166" s="8">
        <f>Transport_1_hub!BJ101</f>
        <v>2.1589887217973367E-2</v>
      </c>
      <c r="T166" s="8">
        <f>Transport_1_hub!BK101</f>
        <v>5.0415842929733643E-3</v>
      </c>
      <c r="U166" s="8">
        <f>Transport_1_hub!BL101</f>
        <v>0.75533579863569322</v>
      </c>
      <c r="V166" s="9">
        <f>Transport_1_hub!BM101</f>
        <v>0.24573155890530901</v>
      </c>
      <c r="X166" s="22"/>
      <c r="Y166" s="22"/>
      <c r="AG166" s="42"/>
      <c r="AL166" s="42"/>
    </row>
    <row r="167" spans="2:38" x14ac:dyDescent="0.25">
      <c r="B167" s="40">
        <f>Transport_1_hub!W102+Transport_1_hub!L102</f>
        <v>782.97873098463629</v>
      </c>
      <c r="C167" s="8">
        <f>Transport_1_hub!AT102</f>
        <v>210.69181087949934</v>
      </c>
      <c r="D167" s="8">
        <f>Transport_1_hub!AU102</f>
        <v>2231.4879715148054</v>
      </c>
      <c r="E167" s="8">
        <f>Transport_1_hub!AV102</f>
        <v>1.1659807782839211</v>
      </c>
      <c r="F167" s="8">
        <f>Transport_1_hub!AW102</f>
        <v>210.59972017949934</v>
      </c>
      <c r="G167" s="8">
        <f>Transport_1_hub!AX102</f>
        <v>51.961807032042678</v>
      </c>
      <c r="H167" s="8">
        <f>Transport_1_hub!AY102</f>
        <v>0.62481778307606906</v>
      </c>
      <c r="I167" s="8">
        <f>Transport_1_hub!AZ102</f>
        <v>6.5351581917215736E-3</v>
      </c>
      <c r="J167" s="8">
        <f>Transport_1_hub!BA102</f>
        <v>9.8181397644628277</v>
      </c>
      <c r="K167" s="8">
        <f>Transport_1_hub!BB102</f>
        <v>11.178203991525589</v>
      </c>
      <c r="L167" s="8">
        <f>Transport_1_hub!BC102</f>
        <v>0.54487686061748186</v>
      </c>
      <c r="M167" s="8">
        <f>Transport_1_hub!BD102</f>
        <v>0.20894131842577168</v>
      </c>
      <c r="N167" s="8">
        <f>Transport_1_hub!BE102</f>
        <v>1.3775477985607738</v>
      </c>
      <c r="O167" s="8">
        <f>Transport_1_hub!BF102</f>
        <v>5.2073308144276333E-2</v>
      </c>
      <c r="P167" s="8">
        <f>Transport_1_hub!BG102</f>
        <v>2.6400650935528181E-5</v>
      </c>
      <c r="Q167" s="8">
        <f>Transport_1_hub!BH102</f>
        <v>9.5569192849405987E-2</v>
      </c>
      <c r="R167" s="8">
        <f>Transport_1_hub!BI102</f>
        <v>0.28477371205130186</v>
      </c>
      <c r="S167" s="8">
        <f>Transport_1_hub!BJ102</f>
        <v>2.1589887217973367E-2</v>
      </c>
      <c r="T167" s="8">
        <f>Transport_1_hub!BK102</f>
        <v>5.0415842929733643E-3</v>
      </c>
      <c r="U167" s="8">
        <f>Transport_1_hub!BL102</f>
        <v>0.75533579863569322</v>
      </c>
      <c r="V167" s="9">
        <f>Transport_1_hub!BM102</f>
        <v>0.24573155890530901</v>
      </c>
      <c r="X167" s="22"/>
      <c r="Y167" s="22"/>
      <c r="AG167" s="42"/>
      <c r="AL167" s="42"/>
    </row>
    <row r="168" spans="2:38" x14ac:dyDescent="0.25">
      <c r="B168" s="40">
        <f>Transport_1_hub!W103+Transport_1_hub!L103</f>
        <v>782.97873098463629</v>
      </c>
      <c r="C168" s="8">
        <f>Transport_1_hub!AT103</f>
        <v>210.69181087949934</v>
      </c>
      <c r="D168" s="8">
        <f>Transport_1_hub!AU103</f>
        <v>2231.4879715148054</v>
      </c>
      <c r="E168" s="8">
        <f>Transport_1_hub!AV103</f>
        <v>1.1659807782839211</v>
      </c>
      <c r="F168" s="8">
        <f>Transport_1_hub!AW103</f>
        <v>210.59972017949934</v>
      </c>
      <c r="G168" s="8">
        <f>Transport_1_hub!AX103</f>
        <v>51.961807032042678</v>
      </c>
      <c r="H168" s="8">
        <f>Transport_1_hub!AY103</f>
        <v>0.62481778307606906</v>
      </c>
      <c r="I168" s="8">
        <f>Transport_1_hub!AZ103</f>
        <v>6.5351581917215736E-3</v>
      </c>
      <c r="J168" s="8">
        <f>Transport_1_hub!BA103</f>
        <v>9.8181397644628277</v>
      </c>
      <c r="K168" s="8">
        <f>Transport_1_hub!BB103</f>
        <v>11.178203991525589</v>
      </c>
      <c r="L168" s="8">
        <f>Transport_1_hub!BC103</f>
        <v>0.54487686061748186</v>
      </c>
      <c r="M168" s="8">
        <f>Transport_1_hub!BD103</f>
        <v>0.20894131842577168</v>
      </c>
      <c r="N168" s="8">
        <f>Transport_1_hub!BE103</f>
        <v>1.3775477985607738</v>
      </c>
      <c r="O168" s="8">
        <f>Transport_1_hub!BF103</f>
        <v>5.2073308144276333E-2</v>
      </c>
      <c r="P168" s="8">
        <f>Transport_1_hub!BG103</f>
        <v>2.6400650935528181E-5</v>
      </c>
      <c r="Q168" s="8">
        <f>Transport_1_hub!BH103</f>
        <v>9.5569192849405987E-2</v>
      </c>
      <c r="R168" s="8">
        <f>Transport_1_hub!BI103</f>
        <v>0.28477371205130186</v>
      </c>
      <c r="S168" s="8">
        <f>Transport_1_hub!BJ103</f>
        <v>2.1589887217973367E-2</v>
      </c>
      <c r="T168" s="8">
        <f>Transport_1_hub!BK103</f>
        <v>5.0415842929733643E-3</v>
      </c>
      <c r="U168" s="8">
        <f>Transport_1_hub!BL103</f>
        <v>0.75533579863569322</v>
      </c>
      <c r="V168" s="9">
        <f>Transport_1_hub!BM103</f>
        <v>0.24573155890530901</v>
      </c>
      <c r="X168" s="22"/>
      <c r="Y168" s="22"/>
      <c r="AG168" s="42"/>
      <c r="AL168" s="42"/>
    </row>
    <row r="169" spans="2:38" x14ac:dyDescent="0.25">
      <c r="B169" s="40">
        <f>Transport_1_hub!W104+Transport_1_hub!L104</f>
        <v>920.6133155462885</v>
      </c>
      <c r="C169" s="8">
        <f>Transport_1_hub!AT104</f>
        <v>278.05696062541796</v>
      </c>
      <c r="D169" s="8">
        <f>Transport_1_hub!AU104</f>
        <v>3290.8697479933994</v>
      </c>
      <c r="E169" s="8">
        <f>Transport_1_hub!AV104</f>
        <v>2.3905184301646072</v>
      </c>
      <c r="F169" s="8">
        <f>Transport_1_hub!AW104</f>
        <v>276.90440142541797</v>
      </c>
      <c r="G169" s="8">
        <f>Transport_1_hub!AX104</f>
        <v>75.267547428366285</v>
      </c>
      <c r="H169" s="8">
        <f>Transport_1_hub!AY104</f>
        <v>4.9118930737010595</v>
      </c>
      <c r="I169" s="8">
        <f>Transport_1_hub!AZ104</f>
        <v>1.7832882175452244E-2</v>
      </c>
      <c r="J169" s="8">
        <f>Transport_1_hub!BA104</f>
        <v>28.057517599538965</v>
      </c>
      <c r="K169" s="8">
        <f>Transport_1_hub!BB104</f>
        <v>16.054883805654139</v>
      </c>
      <c r="L169" s="8">
        <f>Transport_1_hub!BC104</f>
        <v>4.2748932666656341</v>
      </c>
      <c r="M169" s="8">
        <f>Transport_1_hub!BD104</f>
        <v>0.20345440764658124</v>
      </c>
      <c r="N169" s="8">
        <f>Transport_1_hub!BE104</f>
        <v>6.9383200295540108</v>
      </c>
      <c r="O169" s="8">
        <f>Transport_1_hub!BF104</f>
        <v>4.3619411873962295E-2</v>
      </c>
      <c r="P169" s="8">
        <f>Transport_1_hub!BG104</f>
        <v>3.6562853233784732E-5</v>
      </c>
      <c r="Q169" s="8">
        <f>Transport_1_hub!BH104</f>
        <v>0.19076280430104797</v>
      </c>
      <c r="R169" s="8">
        <f>Transport_1_hub!BI104</f>
        <v>0.48956382773578611</v>
      </c>
      <c r="S169" s="8">
        <f>Transport_1_hub!BJ104</f>
        <v>0.22428982855741145</v>
      </c>
      <c r="T169" s="8">
        <f>Transport_1_hub!BK104</f>
        <v>1.7179894757411451E-2</v>
      </c>
      <c r="U169" s="8">
        <f>Transport_1_hub!BL104</f>
        <v>2.8279092661211256</v>
      </c>
      <c r="V169" s="9">
        <f>Transport_1_hub!BM104</f>
        <v>0.46038213425943553</v>
      </c>
      <c r="X169" s="22"/>
      <c r="Y169" s="22"/>
      <c r="AG169" s="42"/>
      <c r="AL169" s="42"/>
    </row>
    <row r="170" spans="2:38" x14ac:dyDescent="0.25">
      <c r="B170" s="40">
        <f>Transport_1_hub!W105+Transport_1_hub!L105</f>
        <v>920.6133155462885</v>
      </c>
      <c r="C170" s="8">
        <f>Transport_1_hub!AT105</f>
        <v>278.05696062541796</v>
      </c>
      <c r="D170" s="8">
        <f>Transport_1_hub!AU105</f>
        <v>3290.8697479933994</v>
      </c>
      <c r="E170" s="8">
        <f>Transport_1_hub!AV105</f>
        <v>2.3905184301646072</v>
      </c>
      <c r="F170" s="8">
        <f>Transport_1_hub!AW105</f>
        <v>276.90440142541797</v>
      </c>
      <c r="G170" s="8">
        <f>Transport_1_hub!AX105</f>
        <v>75.267547428366285</v>
      </c>
      <c r="H170" s="8">
        <f>Transport_1_hub!AY105</f>
        <v>4.9118930737010595</v>
      </c>
      <c r="I170" s="8">
        <f>Transport_1_hub!AZ105</f>
        <v>1.7832882175452244E-2</v>
      </c>
      <c r="J170" s="8">
        <f>Transport_1_hub!BA105</f>
        <v>28.057517599538965</v>
      </c>
      <c r="K170" s="8">
        <f>Transport_1_hub!BB105</f>
        <v>16.054883805654139</v>
      </c>
      <c r="L170" s="8">
        <f>Transport_1_hub!BC105</f>
        <v>4.2748932666656341</v>
      </c>
      <c r="M170" s="8">
        <f>Transport_1_hub!BD105</f>
        <v>0.20345440764658124</v>
      </c>
      <c r="N170" s="8">
        <f>Transport_1_hub!BE105</f>
        <v>6.9383200295540108</v>
      </c>
      <c r="O170" s="8">
        <f>Transport_1_hub!BF105</f>
        <v>4.3619411873962295E-2</v>
      </c>
      <c r="P170" s="8">
        <f>Transport_1_hub!BG105</f>
        <v>3.6562853233784732E-5</v>
      </c>
      <c r="Q170" s="8">
        <f>Transport_1_hub!BH105</f>
        <v>0.19076280430104797</v>
      </c>
      <c r="R170" s="8">
        <f>Transport_1_hub!BI105</f>
        <v>0.48956382773578611</v>
      </c>
      <c r="S170" s="8">
        <f>Transport_1_hub!BJ105</f>
        <v>0.22428982855741145</v>
      </c>
      <c r="T170" s="8">
        <f>Transport_1_hub!BK105</f>
        <v>1.7179894757411451E-2</v>
      </c>
      <c r="U170" s="8">
        <f>Transport_1_hub!BL105</f>
        <v>2.8279092661211256</v>
      </c>
      <c r="V170" s="9">
        <f>Transport_1_hub!BM105</f>
        <v>0.46038213425943553</v>
      </c>
      <c r="X170" s="22"/>
      <c r="Y170" s="22"/>
      <c r="AG170" s="42"/>
      <c r="AL170" s="42"/>
    </row>
    <row r="171" spans="2:38" x14ac:dyDescent="0.25">
      <c r="B171" s="40">
        <f>Transport_1_hub!W106+Transport_1_hub!L106</f>
        <v>909.14776858093524</v>
      </c>
      <c r="C171" s="8">
        <f>Transport_1_hub!AT106</f>
        <v>273.32471112799124</v>
      </c>
      <c r="D171" s="8">
        <f>Transport_1_hub!AU106</f>
        <v>3218.6640113517151</v>
      </c>
      <c r="E171" s="8">
        <f>Transport_1_hub!AV106</f>
        <v>2.3097241360659835</v>
      </c>
      <c r="F171" s="8">
        <f>Transport_1_hub!AW106</f>
        <v>272.24133376799125</v>
      </c>
      <c r="G171" s="8">
        <f>Transport_1_hub!AX106</f>
        <v>73.674085737147323</v>
      </c>
      <c r="H171" s="8">
        <f>Transport_1_hub!AY106</f>
        <v>4.6319568303614158</v>
      </c>
      <c r="I171" s="8">
        <f>Transport_1_hub!AZ106</f>
        <v>1.7092008718478022E-2</v>
      </c>
      <c r="J171" s="8">
        <f>Transport_1_hub!BA106</f>
        <v>26.862142364981082</v>
      </c>
      <c r="K171" s="8">
        <f>Transport_1_hub!BB106</f>
        <v>15.722693882563094</v>
      </c>
      <c r="L171" s="8">
        <f>Transport_1_hub!BC106</f>
        <v>4.031356178801385</v>
      </c>
      <c r="M171" s="8">
        <f>Transport_1_hub!BD106</f>
        <v>0.20344298592675128</v>
      </c>
      <c r="N171" s="8">
        <f>Transport_1_hub!BE106</f>
        <v>6.5745288945699469</v>
      </c>
      <c r="O171" s="8">
        <f>Transport_1_hub!BF106</f>
        <v>4.4094135215451698E-2</v>
      </c>
      <c r="P171" s="8">
        <f>Transport_1_hub!BG106</f>
        <v>3.5862537769130187E-5</v>
      </c>
      <c r="Q171" s="8">
        <f>Transport_1_hub!BH106</f>
        <v>0.18447107508935584</v>
      </c>
      <c r="R171" s="8">
        <f>Transport_1_hub!BI106</f>
        <v>0.47601764703087091</v>
      </c>
      <c r="S171" s="8">
        <f>Transport_1_hub!BJ106</f>
        <v>0.21106299484359797</v>
      </c>
      <c r="T171" s="8">
        <f>Transport_1_hub!BK106</f>
        <v>1.6384740303597968E-2</v>
      </c>
      <c r="U171" s="8">
        <f>Transport_1_hub!BL106</f>
        <v>2.6923272199634214</v>
      </c>
      <c r="V171" s="9">
        <f>Transport_1_hub!BM106</f>
        <v>0.44616765907285771</v>
      </c>
      <c r="X171" s="22"/>
      <c r="Y171" s="22"/>
      <c r="AG171" s="42"/>
      <c r="AL171" s="42"/>
    </row>
    <row r="172" spans="2:38" x14ac:dyDescent="0.25">
      <c r="B172" s="40">
        <f>Transport_1_hub!W107+Transport_1_hub!L107</f>
        <v>909.14776858093524</v>
      </c>
      <c r="C172" s="8">
        <f>Transport_1_hub!AT107</f>
        <v>273.32471112799124</v>
      </c>
      <c r="D172" s="8">
        <f>Transport_1_hub!AU107</f>
        <v>3218.6640113517151</v>
      </c>
      <c r="E172" s="8">
        <f>Transport_1_hub!AV107</f>
        <v>2.3097241360659835</v>
      </c>
      <c r="F172" s="8">
        <f>Transport_1_hub!AW107</f>
        <v>272.24133376799125</v>
      </c>
      <c r="G172" s="8">
        <f>Transport_1_hub!AX107</f>
        <v>73.674085737147323</v>
      </c>
      <c r="H172" s="8">
        <f>Transport_1_hub!AY107</f>
        <v>4.6319568303614158</v>
      </c>
      <c r="I172" s="8">
        <f>Transport_1_hub!AZ107</f>
        <v>1.7092008718478022E-2</v>
      </c>
      <c r="J172" s="8">
        <f>Transport_1_hub!BA107</f>
        <v>26.862142364981082</v>
      </c>
      <c r="K172" s="8">
        <f>Transport_1_hub!BB107</f>
        <v>15.722693882563094</v>
      </c>
      <c r="L172" s="8">
        <f>Transport_1_hub!BC107</f>
        <v>4.031356178801385</v>
      </c>
      <c r="M172" s="8">
        <f>Transport_1_hub!BD107</f>
        <v>0.20344298592675128</v>
      </c>
      <c r="N172" s="8">
        <f>Transport_1_hub!BE107</f>
        <v>6.5745288945699469</v>
      </c>
      <c r="O172" s="8">
        <f>Transport_1_hub!BF107</f>
        <v>4.4094135215451698E-2</v>
      </c>
      <c r="P172" s="8">
        <f>Transport_1_hub!BG107</f>
        <v>3.5862537769130187E-5</v>
      </c>
      <c r="Q172" s="8">
        <f>Transport_1_hub!BH107</f>
        <v>0.18447107508935584</v>
      </c>
      <c r="R172" s="8">
        <f>Transport_1_hub!BI107</f>
        <v>0.47601764703087091</v>
      </c>
      <c r="S172" s="8">
        <f>Transport_1_hub!BJ107</f>
        <v>0.21106299484359797</v>
      </c>
      <c r="T172" s="8">
        <f>Transport_1_hub!BK107</f>
        <v>1.6384740303597968E-2</v>
      </c>
      <c r="U172" s="8">
        <f>Transport_1_hub!BL107</f>
        <v>2.6923272199634214</v>
      </c>
      <c r="V172" s="9">
        <f>Transport_1_hub!BM107</f>
        <v>0.44616765907285771</v>
      </c>
      <c r="X172" s="22"/>
      <c r="Y172" s="22"/>
      <c r="AG172" s="42"/>
      <c r="AL172" s="42"/>
    </row>
    <row r="173" spans="2:38" x14ac:dyDescent="0.25">
      <c r="B173" s="40">
        <f>Transport_1_hub!W108+Transport_1_hub!L108</f>
        <v>909.14776858093524</v>
      </c>
      <c r="C173" s="8">
        <f>Transport_1_hub!AT108</f>
        <v>273.32471112799124</v>
      </c>
      <c r="D173" s="8">
        <f>Transport_1_hub!AU108</f>
        <v>3218.6640113517151</v>
      </c>
      <c r="E173" s="8">
        <f>Transport_1_hub!AV108</f>
        <v>2.3097241360659835</v>
      </c>
      <c r="F173" s="8">
        <f>Transport_1_hub!AW108</f>
        <v>272.24133376799125</v>
      </c>
      <c r="G173" s="8">
        <f>Transport_1_hub!AX108</f>
        <v>73.674085737147323</v>
      </c>
      <c r="H173" s="8">
        <f>Transport_1_hub!AY108</f>
        <v>4.6319568303614158</v>
      </c>
      <c r="I173" s="8">
        <f>Transport_1_hub!AZ108</f>
        <v>1.7092008718478022E-2</v>
      </c>
      <c r="J173" s="8">
        <f>Transport_1_hub!BA108</f>
        <v>26.862142364981082</v>
      </c>
      <c r="K173" s="8">
        <f>Transport_1_hub!BB108</f>
        <v>15.722693882563094</v>
      </c>
      <c r="L173" s="8">
        <f>Transport_1_hub!BC108</f>
        <v>4.031356178801385</v>
      </c>
      <c r="M173" s="8">
        <f>Transport_1_hub!BD108</f>
        <v>0.20344298592675128</v>
      </c>
      <c r="N173" s="8">
        <f>Transport_1_hub!BE108</f>
        <v>6.5745288945699469</v>
      </c>
      <c r="O173" s="8">
        <f>Transport_1_hub!BF108</f>
        <v>4.4094135215451698E-2</v>
      </c>
      <c r="P173" s="8">
        <f>Transport_1_hub!BG108</f>
        <v>3.5862537769130187E-5</v>
      </c>
      <c r="Q173" s="8">
        <f>Transport_1_hub!BH108</f>
        <v>0.18447107508935584</v>
      </c>
      <c r="R173" s="8">
        <f>Transport_1_hub!BI108</f>
        <v>0.47601764703087091</v>
      </c>
      <c r="S173" s="8">
        <f>Transport_1_hub!BJ108</f>
        <v>0.21106299484359797</v>
      </c>
      <c r="T173" s="8">
        <f>Transport_1_hub!BK108</f>
        <v>1.6384740303597968E-2</v>
      </c>
      <c r="U173" s="8">
        <f>Transport_1_hub!BL108</f>
        <v>2.6923272199634214</v>
      </c>
      <c r="V173" s="9">
        <f>Transport_1_hub!BM108</f>
        <v>0.44616765907285771</v>
      </c>
      <c r="X173" s="22"/>
      <c r="Y173" s="22"/>
      <c r="AG173" s="42"/>
      <c r="AL173" s="42"/>
    </row>
    <row r="174" spans="2:38" x14ac:dyDescent="0.25">
      <c r="B174" s="40">
        <f>Transport_1_hub!W109+Transport_1_hub!L109</f>
        <v>863.7857309846363</v>
      </c>
      <c r="C174" s="8">
        <f>Transport_1_hub!AT109</f>
        <v>238.15002947949932</v>
      </c>
      <c r="D174" s="8">
        <f>Transport_1_hub!AU109</f>
        <v>2631.9715388542363</v>
      </c>
      <c r="E174" s="8">
        <f>Transport_1_hub!AV109</f>
        <v>1.5914781174839212</v>
      </c>
      <c r="F174" s="8">
        <f>Transport_1_hub!AW109</f>
        <v>237.70077183949934</v>
      </c>
      <c r="G174" s="8">
        <f>Transport_1_hub!AX109</f>
        <v>60.842496332042678</v>
      </c>
      <c r="H174" s="8">
        <f>Transport_1_hub!AY109</f>
        <v>2.072394381076069</v>
      </c>
      <c r="I174" s="8">
        <f>Transport_1_hub!AZ109</f>
        <v>1.0394581318721573E-2</v>
      </c>
      <c r="J174" s="8">
        <f>Transport_1_hub!BA109</f>
        <v>16.037935361462829</v>
      </c>
      <c r="K174" s="8">
        <f>Transport_1_hub!BB109</f>
        <v>13.018987451525588</v>
      </c>
      <c r="L174" s="8">
        <f>Transport_1_hub!BC109</f>
        <v>1.8040115346174819</v>
      </c>
      <c r="M174" s="8">
        <f>Transport_1_hub!BD109</f>
        <v>0.21225513268877166</v>
      </c>
      <c r="N174" s="8">
        <f>Transport_1_hub!BE109</f>
        <v>3.2648760905607737</v>
      </c>
      <c r="O174" s="8">
        <f>Transport_1_hub!BF109</f>
        <v>5.0309856983276335E-2</v>
      </c>
      <c r="P174" s="8">
        <f>Transport_1_hub!BG109</f>
        <v>3.035082032352818E-5</v>
      </c>
      <c r="Q174" s="8">
        <f>Transport_1_hub!BH109</f>
        <v>0.128784102129406</v>
      </c>
      <c r="R174" s="8">
        <f>Transport_1_hub!BI109</f>
        <v>0.35637921896130181</v>
      </c>
      <c r="S174" s="8">
        <f>Transport_1_hub!BJ109</f>
        <v>8.9905741157973368E-2</v>
      </c>
      <c r="T174" s="8">
        <f>Transport_1_hub!BK109</f>
        <v>9.1760744479733626E-3</v>
      </c>
      <c r="U174" s="8">
        <f>Transport_1_hub!BL109</f>
        <v>1.4586476038356933</v>
      </c>
      <c r="V174" s="9">
        <f>Transport_1_hub!BM109</f>
        <v>0.321007319755309</v>
      </c>
      <c r="X174" s="22"/>
      <c r="Y174" s="22"/>
      <c r="AG174" s="42"/>
      <c r="AL174" s="42"/>
    </row>
    <row r="175" spans="2:38" x14ac:dyDescent="0.25">
      <c r="B175" s="40">
        <f>Transport_1_hub!W110+Transport_1_hub!L110</f>
        <v>863.7857309846363</v>
      </c>
      <c r="C175" s="8">
        <f>Transport_1_hub!AT110</f>
        <v>238.15002947949932</v>
      </c>
      <c r="D175" s="8">
        <f>Transport_1_hub!AU110</f>
        <v>2631.9715388542363</v>
      </c>
      <c r="E175" s="8">
        <f>Transport_1_hub!AV110</f>
        <v>1.5914781174839212</v>
      </c>
      <c r="F175" s="8">
        <f>Transport_1_hub!AW110</f>
        <v>237.70077183949934</v>
      </c>
      <c r="G175" s="8">
        <f>Transport_1_hub!AX110</f>
        <v>60.842496332042678</v>
      </c>
      <c r="H175" s="8">
        <f>Transport_1_hub!AY110</f>
        <v>2.072394381076069</v>
      </c>
      <c r="I175" s="8">
        <f>Transport_1_hub!AZ110</f>
        <v>1.0394581318721573E-2</v>
      </c>
      <c r="J175" s="8">
        <f>Transport_1_hub!BA110</f>
        <v>16.037935361462829</v>
      </c>
      <c r="K175" s="8">
        <f>Transport_1_hub!BB110</f>
        <v>13.018987451525588</v>
      </c>
      <c r="L175" s="8">
        <f>Transport_1_hub!BC110</f>
        <v>1.8040115346174819</v>
      </c>
      <c r="M175" s="8">
        <f>Transport_1_hub!BD110</f>
        <v>0.21225513268877166</v>
      </c>
      <c r="N175" s="8">
        <f>Transport_1_hub!BE110</f>
        <v>3.2648760905607737</v>
      </c>
      <c r="O175" s="8">
        <f>Transport_1_hub!BF110</f>
        <v>5.0309856983276335E-2</v>
      </c>
      <c r="P175" s="8">
        <f>Transport_1_hub!BG110</f>
        <v>3.035082032352818E-5</v>
      </c>
      <c r="Q175" s="8">
        <f>Transport_1_hub!BH110</f>
        <v>0.128784102129406</v>
      </c>
      <c r="R175" s="8">
        <f>Transport_1_hub!BI110</f>
        <v>0.35637921896130181</v>
      </c>
      <c r="S175" s="8">
        <f>Transport_1_hub!BJ110</f>
        <v>8.9905741157973368E-2</v>
      </c>
      <c r="T175" s="8">
        <f>Transport_1_hub!BK110</f>
        <v>9.1760744479733626E-3</v>
      </c>
      <c r="U175" s="8">
        <f>Transport_1_hub!BL110</f>
        <v>1.4586476038356933</v>
      </c>
      <c r="V175" s="9">
        <f>Transport_1_hub!BM110</f>
        <v>0.321007319755309</v>
      </c>
      <c r="X175" s="22"/>
      <c r="Y175" s="22"/>
      <c r="AG175" s="42"/>
      <c r="AL175" s="42"/>
    </row>
    <row r="176" spans="2:38" x14ac:dyDescent="0.25">
      <c r="B176" s="40">
        <f>Transport_1_hub!W111+Transport_1_hub!L111</f>
        <v>872.01973098463623</v>
      </c>
      <c r="C176" s="8">
        <f>Transport_1_hub!AT111</f>
        <v>240.94794267949933</v>
      </c>
      <c r="D176" s="8">
        <f>Transport_1_hub!AU111</f>
        <v>2672.779658119558</v>
      </c>
      <c r="E176" s="8">
        <f>Transport_1_hub!AV111</f>
        <v>1.6348350678839212</v>
      </c>
      <c r="F176" s="8">
        <f>Transport_1_hub!AW111</f>
        <v>240.46229075949935</v>
      </c>
      <c r="G176" s="8">
        <f>Transport_1_hub!AX111</f>
        <v>61.747412932042678</v>
      </c>
      <c r="H176" s="8">
        <f>Transport_1_hub!AY111</f>
        <v>2.219898257076069</v>
      </c>
      <c r="I176" s="8">
        <f>Transport_1_hub!AZ111</f>
        <v>1.0787845392721575E-2</v>
      </c>
      <c r="J176" s="8">
        <f>Transport_1_hub!BA111</f>
        <v>16.671714575462829</v>
      </c>
      <c r="K176" s="8">
        <f>Transport_1_hub!BB111</f>
        <v>13.206557971525587</v>
      </c>
      <c r="L176" s="8">
        <f>Transport_1_hub!BC111</f>
        <v>1.932313722617482</v>
      </c>
      <c r="M176" s="8">
        <f>Transport_1_hub!BD111</f>
        <v>0.21259280079477166</v>
      </c>
      <c r="N176" s="8">
        <f>Transport_1_hub!BE111</f>
        <v>3.4571893945607739</v>
      </c>
      <c r="O176" s="8">
        <f>Transport_1_hub!BF111</f>
        <v>5.0130166401276335E-2</v>
      </c>
      <c r="P176" s="8">
        <f>Transport_1_hub!BG111</f>
        <v>3.075333117952818E-5</v>
      </c>
      <c r="Q176" s="8">
        <f>Transport_1_hub!BH111</f>
        <v>0.13216860548940598</v>
      </c>
      <c r="R176" s="8">
        <f>Transport_1_hub!BI111</f>
        <v>0.36367561338130183</v>
      </c>
      <c r="S176" s="8">
        <f>Transport_1_hub!BJ111</f>
        <v>9.686692943797337E-2</v>
      </c>
      <c r="T176" s="8">
        <f>Transport_1_hub!BK111</f>
        <v>9.5973670579733647E-3</v>
      </c>
      <c r="U176" s="8">
        <f>Transport_1_hub!BL111</f>
        <v>1.5303130462356933</v>
      </c>
      <c r="V176" s="9">
        <f>Transport_1_hub!BM111</f>
        <v>0.32867770245530903</v>
      </c>
      <c r="X176" s="22"/>
      <c r="Y176" s="22"/>
      <c r="AG176" s="42"/>
      <c r="AL176" s="42"/>
    </row>
    <row r="177" spans="2:38" x14ac:dyDescent="0.25">
      <c r="B177" s="40">
        <f>Transport_1_hub!W112+Transport_1_hub!L112</f>
        <v>867.59731554628854</v>
      </c>
      <c r="C177" s="8">
        <f>Transport_1_hub!AT112</f>
        <v>260.04212382541795</v>
      </c>
      <c r="D177" s="8">
        <f>Transport_1_hub!AU112</f>
        <v>3028.1197782374711</v>
      </c>
      <c r="E177" s="8">
        <f>Transport_1_hub!AV112</f>
        <v>2.1113573805646073</v>
      </c>
      <c r="F177" s="8">
        <f>Transport_1_hub!AW112</f>
        <v>259.12389534541796</v>
      </c>
      <c r="G177" s="8">
        <f>Transport_1_hub!AX112</f>
        <v>69.441089028366292</v>
      </c>
      <c r="H177" s="8">
        <f>Transport_1_hub!AY112</f>
        <v>3.96216444970106</v>
      </c>
      <c r="I177" s="8">
        <f>Transport_1_hub!AZ112</f>
        <v>1.5300784999452248E-2</v>
      </c>
      <c r="J177" s="8">
        <f>Transport_1_hub!BA112</f>
        <v>23.976823063538966</v>
      </c>
      <c r="K177" s="8">
        <f>Transport_1_hub!BB112</f>
        <v>14.847179325654139</v>
      </c>
      <c r="L177" s="8">
        <f>Transport_1_hub!BC112</f>
        <v>3.448797954665634</v>
      </c>
      <c r="M177" s="8">
        <f>Transport_1_hub!BD112</f>
        <v>0.20128027450258124</v>
      </c>
      <c r="N177" s="8">
        <f>Transport_1_hub!BE112</f>
        <v>5.7000783335540115</v>
      </c>
      <c r="O177" s="8">
        <f>Transport_1_hub!BF112</f>
        <v>4.4776380041962292E-2</v>
      </c>
      <c r="P177" s="8">
        <f>Transport_1_hub!BG112</f>
        <v>3.397121908978473E-5</v>
      </c>
      <c r="Q177" s="8">
        <f>Transport_1_hub!BH112</f>
        <v>0.168971107661048</v>
      </c>
      <c r="R177" s="8">
        <f>Transport_1_hub!BI112</f>
        <v>0.44258475965578609</v>
      </c>
      <c r="S177" s="8">
        <f>Transport_1_hub!BJ112</f>
        <v>0.17946904183741144</v>
      </c>
      <c r="T177" s="8">
        <f>Transport_1_hub!BK112</f>
        <v>1.446733111741145E-2</v>
      </c>
      <c r="U177" s="8">
        <f>Transport_1_hub!BL112</f>
        <v>2.3664792085211253</v>
      </c>
      <c r="V177" s="9">
        <f>Transport_1_hub!BM112</f>
        <v>0.41099507945943559</v>
      </c>
      <c r="X177" s="22"/>
      <c r="Y177" s="22"/>
      <c r="AG177" s="42"/>
      <c r="AL177" s="42"/>
    </row>
    <row r="178" spans="2:38" x14ac:dyDescent="0.25">
      <c r="B178" s="40">
        <f>Transport_1_hub!W113+Transport_1_hub!L113</f>
        <v>867.59731554628854</v>
      </c>
      <c r="C178" s="8">
        <f>Transport_1_hub!AT113</f>
        <v>260.04212382541795</v>
      </c>
      <c r="D178" s="8">
        <f>Transport_1_hub!AU113</f>
        <v>3028.1197782374711</v>
      </c>
      <c r="E178" s="8">
        <f>Transport_1_hub!AV113</f>
        <v>2.1113573805646073</v>
      </c>
      <c r="F178" s="8">
        <f>Transport_1_hub!AW113</f>
        <v>259.12389534541796</v>
      </c>
      <c r="G178" s="8">
        <f>Transport_1_hub!AX113</f>
        <v>69.441089028366292</v>
      </c>
      <c r="H178" s="8">
        <f>Transport_1_hub!AY113</f>
        <v>3.96216444970106</v>
      </c>
      <c r="I178" s="8">
        <f>Transport_1_hub!AZ113</f>
        <v>1.5300784999452248E-2</v>
      </c>
      <c r="J178" s="8">
        <f>Transport_1_hub!BA113</f>
        <v>23.976823063538966</v>
      </c>
      <c r="K178" s="8">
        <f>Transport_1_hub!BB113</f>
        <v>14.847179325654139</v>
      </c>
      <c r="L178" s="8">
        <f>Transport_1_hub!BC113</f>
        <v>3.448797954665634</v>
      </c>
      <c r="M178" s="8">
        <f>Transport_1_hub!BD113</f>
        <v>0.20128027450258124</v>
      </c>
      <c r="N178" s="8">
        <f>Transport_1_hub!BE113</f>
        <v>5.7000783335540115</v>
      </c>
      <c r="O178" s="8">
        <f>Transport_1_hub!BF113</f>
        <v>4.4776380041962292E-2</v>
      </c>
      <c r="P178" s="8">
        <f>Transport_1_hub!BG113</f>
        <v>3.397121908978473E-5</v>
      </c>
      <c r="Q178" s="8">
        <f>Transport_1_hub!BH113</f>
        <v>0.168971107661048</v>
      </c>
      <c r="R178" s="8">
        <f>Transport_1_hub!BI113</f>
        <v>0.44258475965578609</v>
      </c>
      <c r="S178" s="8">
        <f>Transport_1_hub!BJ113</f>
        <v>0.17946904183741144</v>
      </c>
      <c r="T178" s="8">
        <f>Transport_1_hub!BK113</f>
        <v>1.446733111741145E-2</v>
      </c>
      <c r="U178" s="8">
        <f>Transport_1_hub!BL113</f>
        <v>2.3664792085211253</v>
      </c>
      <c r="V178" s="9">
        <f>Transport_1_hub!BM113</f>
        <v>0.41099507945943559</v>
      </c>
      <c r="X178" s="22"/>
      <c r="Y178" s="22"/>
      <c r="AG178" s="42"/>
      <c r="AL178" s="42"/>
    </row>
    <row r="179" spans="2:38" x14ac:dyDescent="0.25">
      <c r="B179" s="40">
        <f>Transport_1_hub!W114+Transport_1_hub!L114</f>
        <v>934.92783602944542</v>
      </c>
      <c r="C179" s="8">
        <f>Transport_1_hub!AT114</f>
        <v>306.96592566659547</v>
      </c>
      <c r="D179" s="8">
        <f>Transport_1_hub!AU114</f>
        <v>3807.1012517828667</v>
      </c>
      <c r="E179" s="8">
        <f>Transport_1_hub!AV114</f>
        <v>3.0590544491057954</v>
      </c>
      <c r="F179" s="8">
        <f>Transport_1_hub!AW114</f>
        <v>305.21116798659546</v>
      </c>
      <c r="G179" s="8">
        <f>Transport_1_hub!AX114</f>
        <v>86.486969822563708</v>
      </c>
      <c r="H179" s="8">
        <f>Transport_1_hub!AY114</f>
        <v>7.3390792247645686</v>
      </c>
      <c r="I179" s="8">
        <f>Transport_1_hub!AZ114</f>
        <v>2.4141730917697373E-2</v>
      </c>
      <c r="J179" s="8">
        <f>Transport_1_hub!BA114</f>
        <v>38.269054359351088</v>
      </c>
      <c r="K179" s="8">
        <f>Transport_1_hub!BB114</f>
        <v>18.436643056385229</v>
      </c>
      <c r="L179" s="8">
        <f>Transport_1_hub!BC114</f>
        <v>6.3873644049021578</v>
      </c>
      <c r="M179" s="8">
        <f>Transport_1_hub!BD114</f>
        <v>0.19053025626526643</v>
      </c>
      <c r="N179" s="8">
        <f>Transport_1_hub!BE114</f>
        <v>10.06772124855542</v>
      </c>
      <c r="O179" s="8">
        <f>Transport_1_hub!BF114</f>
        <v>3.6700951572330498E-2</v>
      </c>
      <c r="P179" s="8">
        <f>Transport_1_hub!BG114</f>
        <v>4.1302068289301513E-5</v>
      </c>
      <c r="Q179" s="8">
        <f>Transport_1_hub!BH114</f>
        <v>0.24255366765641229</v>
      </c>
      <c r="R179" s="8">
        <f>Transport_1_hub!BI114</f>
        <v>0.60069761562292301</v>
      </c>
      <c r="S179" s="8">
        <f>Transport_1_hub!BJ114</f>
        <v>0.33930523608297347</v>
      </c>
      <c r="T179" s="8">
        <f>Transport_1_hub!BK114</f>
        <v>2.3982824062973442E-2</v>
      </c>
      <c r="U179" s="8">
        <f>Transport_1_hub!BL114</f>
        <v>3.9945731179478186</v>
      </c>
      <c r="V179" s="9">
        <f>Transport_1_hub!BM114</f>
        <v>0.57645468649641074</v>
      </c>
      <c r="X179" s="22"/>
      <c r="Y179" s="22"/>
      <c r="AG179" s="42"/>
      <c r="AL179" s="42"/>
    </row>
    <row r="180" spans="2:38" x14ac:dyDescent="0.25">
      <c r="B180" s="40">
        <f>Transport_1_hub!W115+Transport_1_hub!L115</f>
        <v>934.92783602944542</v>
      </c>
      <c r="C180" s="8">
        <f>Transport_1_hub!AT115</f>
        <v>306.96592566659547</v>
      </c>
      <c r="D180" s="8">
        <f>Transport_1_hub!AU115</f>
        <v>3807.1012517828667</v>
      </c>
      <c r="E180" s="8">
        <f>Transport_1_hub!AV115</f>
        <v>3.0590544491057954</v>
      </c>
      <c r="F180" s="8">
        <f>Transport_1_hub!AW115</f>
        <v>305.21116798659546</v>
      </c>
      <c r="G180" s="8">
        <f>Transport_1_hub!AX115</f>
        <v>86.486969822563708</v>
      </c>
      <c r="H180" s="8">
        <f>Transport_1_hub!AY115</f>
        <v>7.3390792247645686</v>
      </c>
      <c r="I180" s="8">
        <f>Transport_1_hub!AZ115</f>
        <v>2.4141730917697373E-2</v>
      </c>
      <c r="J180" s="8">
        <f>Transport_1_hub!BA115</f>
        <v>38.269054359351088</v>
      </c>
      <c r="K180" s="8">
        <f>Transport_1_hub!BB115</f>
        <v>18.436643056385229</v>
      </c>
      <c r="L180" s="8">
        <f>Transport_1_hub!BC115</f>
        <v>6.3873644049021578</v>
      </c>
      <c r="M180" s="8">
        <f>Transport_1_hub!BD115</f>
        <v>0.19053025626526643</v>
      </c>
      <c r="N180" s="8">
        <f>Transport_1_hub!BE115</f>
        <v>10.06772124855542</v>
      </c>
      <c r="O180" s="8">
        <f>Transport_1_hub!BF115</f>
        <v>3.6700951572330498E-2</v>
      </c>
      <c r="P180" s="8">
        <f>Transport_1_hub!BG115</f>
        <v>4.1302068289301513E-5</v>
      </c>
      <c r="Q180" s="8">
        <f>Transport_1_hub!BH115</f>
        <v>0.24255366765641229</v>
      </c>
      <c r="R180" s="8">
        <f>Transport_1_hub!BI115</f>
        <v>0.60069761562292301</v>
      </c>
      <c r="S180" s="8">
        <f>Transport_1_hub!BJ115</f>
        <v>0.33930523608297347</v>
      </c>
      <c r="T180" s="8">
        <f>Transport_1_hub!BK115</f>
        <v>2.3982824062973442E-2</v>
      </c>
      <c r="U180" s="8">
        <f>Transport_1_hub!BL115</f>
        <v>3.9945731179478186</v>
      </c>
      <c r="V180" s="9">
        <f>Transport_1_hub!BM115</f>
        <v>0.57645468649641074</v>
      </c>
      <c r="X180" s="22"/>
      <c r="Y180" s="22"/>
      <c r="AG180" s="42"/>
      <c r="AL180" s="42"/>
    </row>
    <row r="181" spans="2:38" x14ac:dyDescent="0.25">
      <c r="B181" s="40">
        <f>Transport_1_hub!W116+Transport_1_hub!L116</f>
        <v>934.92783602944542</v>
      </c>
      <c r="C181" s="8">
        <f>Transport_1_hub!AT116</f>
        <v>306.96592566659547</v>
      </c>
      <c r="D181" s="8">
        <f>Transport_1_hub!AU116</f>
        <v>3807.1012517828667</v>
      </c>
      <c r="E181" s="8">
        <f>Transport_1_hub!AV116</f>
        <v>3.0590544491057954</v>
      </c>
      <c r="F181" s="8">
        <f>Transport_1_hub!AW116</f>
        <v>305.21116798659546</v>
      </c>
      <c r="G181" s="8">
        <f>Transport_1_hub!AX116</f>
        <v>86.486969822563708</v>
      </c>
      <c r="H181" s="8">
        <f>Transport_1_hub!AY116</f>
        <v>7.3390792247645686</v>
      </c>
      <c r="I181" s="8">
        <f>Transport_1_hub!AZ116</f>
        <v>2.4141730917697373E-2</v>
      </c>
      <c r="J181" s="8">
        <f>Transport_1_hub!BA116</f>
        <v>38.269054359351088</v>
      </c>
      <c r="K181" s="8">
        <f>Transport_1_hub!BB116</f>
        <v>18.436643056385229</v>
      </c>
      <c r="L181" s="8">
        <f>Transport_1_hub!BC116</f>
        <v>6.3873644049021578</v>
      </c>
      <c r="M181" s="8">
        <f>Transport_1_hub!BD116</f>
        <v>0.19053025626526643</v>
      </c>
      <c r="N181" s="8">
        <f>Transport_1_hub!BE116</f>
        <v>10.06772124855542</v>
      </c>
      <c r="O181" s="8">
        <f>Transport_1_hub!BF116</f>
        <v>3.6700951572330498E-2</v>
      </c>
      <c r="P181" s="8">
        <f>Transport_1_hub!BG116</f>
        <v>4.1302068289301513E-5</v>
      </c>
      <c r="Q181" s="8">
        <f>Transport_1_hub!BH116</f>
        <v>0.24255366765641229</v>
      </c>
      <c r="R181" s="8">
        <f>Transport_1_hub!BI116</f>
        <v>0.60069761562292301</v>
      </c>
      <c r="S181" s="8">
        <f>Transport_1_hub!BJ116</f>
        <v>0.33930523608297347</v>
      </c>
      <c r="T181" s="8">
        <f>Transport_1_hub!BK116</f>
        <v>2.3982824062973442E-2</v>
      </c>
      <c r="U181" s="8">
        <f>Transport_1_hub!BL116</f>
        <v>3.9945731179478186</v>
      </c>
      <c r="V181" s="9">
        <f>Transport_1_hub!BM116</f>
        <v>0.57645468649641074</v>
      </c>
      <c r="X181" s="22"/>
      <c r="Y181" s="22"/>
      <c r="AG181" s="42"/>
      <c r="AL181" s="42"/>
    </row>
    <row r="182" spans="2:38" x14ac:dyDescent="0.25">
      <c r="B182" s="40">
        <f>Transport_1_hub!W117+Transport_1_hub!L117</f>
        <v>1202.0163433162984</v>
      </c>
      <c r="C182" s="8">
        <f>Transport_1_hub!AT117</f>
        <v>311.26360705279848</v>
      </c>
      <c r="D182" s="8">
        <f>Transport_1_hub!AU117</f>
        <v>3550.1415374735752</v>
      </c>
      <c r="E182" s="8">
        <f>Transport_1_hub!AV117</f>
        <v>2.3731676498729657</v>
      </c>
      <c r="F182" s="8">
        <f>Transport_1_hub!AW117</f>
        <v>310.21961631279845</v>
      </c>
      <c r="G182" s="8">
        <f>Transport_1_hub!AX117</f>
        <v>81.563092739002627</v>
      </c>
      <c r="H182" s="8">
        <f>Transport_1_hub!AY117</f>
        <v>4.5038979820834797</v>
      </c>
      <c r="I182" s="8">
        <f>Transport_1_hub!AZ117</f>
        <v>1.7132989455213785E-2</v>
      </c>
      <c r="J182" s="8">
        <f>Transport_1_hub!BA117</f>
        <v>26.84287315561081</v>
      </c>
      <c r="K182" s="8">
        <f>Transport_1_hub!BB117</f>
        <v>17.225107302240239</v>
      </c>
      <c r="L182" s="8">
        <f>Transport_1_hub!BC117</f>
        <v>3.917004434602255</v>
      </c>
      <c r="M182" s="8">
        <f>Transport_1_hub!BD117</f>
        <v>0.24790915571867558</v>
      </c>
      <c r="N182" s="8">
        <f>Transport_1_hub!BE117</f>
        <v>6.4905536147210912</v>
      </c>
      <c r="O182" s="8">
        <f>Transport_1_hub!BF117</f>
        <v>5.3608487752580619E-2</v>
      </c>
      <c r="P182" s="8">
        <f>Transport_1_hub!BG117</f>
        <v>3.9961998323521167E-5</v>
      </c>
      <c r="Q182" s="8">
        <f>Transport_1_hub!BH117</f>
        <v>0.19071164232230053</v>
      </c>
      <c r="R182" s="8">
        <f>Transport_1_hub!BI117</f>
        <v>0.49073565454454249</v>
      </c>
      <c r="S182" s="8">
        <f>Transport_1_hub!BJ117</f>
        <v>0.20392846128963826</v>
      </c>
      <c r="T182" s="8">
        <f>Transport_1_hub!BK117</f>
        <v>1.6327813054638242E-2</v>
      </c>
      <c r="U182" s="8">
        <f>Transport_1_hub!BL117</f>
        <v>2.6601072784340358</v>
      </c>
      <c r="V182" s="9">
        <f>Transport_1_hub!BM117</f>
        <v>0.46351773524081458</v>
      </c>
      <c r="X182" s="22"/>
      <c r="Y182" s="22"/>
      <c r="AG182" s="42"/>
      <c r="AL182" s="42"/>
    </row>
    <row r="183" spans="2:38" x14ac:dyDescent="0.25">
      <c r="B183" s="40">
        <f>Transport_1_hub!W118+Transport_1_hub!L118</f>
        <v>1202.0163433162984</v>
      </c>
      <c r="C183" s="8">
        <f>Transport_1_hub!AT118</f>
        <v>311.26360705279848</v>
      </c>
      <c r="D183" s="8">
        <f>Transport_1_hub!AU118</f>
        <v>3550.1415374735752</v>
      </c>
      <c r="E183" s="8">
        <f>Transport_1_hub!AV118</f>
        <v>2.3731676498729657</v>
      </c>
      <c r="F183" s="8">
        <f>Transport_1_hub!AW118</f>
        <v>310.21961631279845</v>
      </c>
      <c r="G183" s="8">
        <f>Transport_1_hub!AX118</f>
        <v>81.563092739002627</v>
      </c>
      <c r="H183" s="8">
        <f>Transport_1_hub!AY118</f>
        <v>4.5038979820834797</v>
      </c>
      <c r="I183" s="8">
        <f>Transport_1_hub!AZ118</f>
        <v>1.7132989455213785E-2</v>
      </c>
      <c r="J183" s="8">
        <f>Transport_1_hub!BA118</f>
        <v>26.84287315561081</v>
      </c>
      <c r="K183" s="8">
        <f>Transport_1_hub!BB118</f>
        <v>17.225107302240239</v>
      </c>
      <c r="L183" s="8">
        <f>Transport_1_hub!BC118</f>
        <v>3.917004434602255</v>
      </c>
      <c r="M183" s="8">
        <f>Transport_1_hub!BD118</f>
        <v>0.24790915571867558</v>
      </c>
      <c r="N183" s="8">
        <f>Transport_1_hub!BE118</f>
        <v>6.4905536147210912</v>
      </c>
      <c r="O183" s="8">
        <f>Transport_1_hub!BF118</f>
        <v>5.3608487752580619E-2</v>
      </c>
      <c r="P183" s="8">
        <f>Transport_1_hub!BG118</f>
        <v>3.9961998323521167E-5</v>
      </c>
      <c r="Q183" s="8">
        <f>Transport_1_hub!BH118</f>
        <v>0.19071164232230053</v>
      </c>
      <c r="R183" s="8">
        <f>Transport_1_hub!BI118</f>
        <v>0.49073565454454249</v>
      </c>
      <c r="S183" s="8">
        <f>Transport_1_hub!BJ118</f>
        <v>0.20392846128963826</v>
      </c>
      <c r="T183" s="8">
        <f>Transport_1_hub!BK118</f>
        <v>1.6327813054638242E-2</v>
      </c>
      <c r="U183" s="8">
        <f>Transport_1_hub!BL118</f>
        <v>2.6601072784340358</v>
      </c>
      <c r="V183" s="9">
        <f>Transport_1_hub!BM118</f>
        <v>0.46351773524081458</v>
      </c>
      <c r="X183" s="22"/>
      <c r="Y183" s="22"/>
      <c r="AG183" s="42"/>
      <c r="AL183" s="42"/>
    </row>
    <row r="184" spans="2:38" x14ac:dyDescent="0.25">
      <c r="B184" s="40">
        <f>Transport_1_hub!W119+Transport_1_hub!L119</f>
        <v>899.9892879169704</v>
      </c>
      <c r="C184" s="8">
        <f>Transport_1_hub!AT119</f>
        <v>234.35505641264498</v>
      </c>
      <c r="D184" s="8">
        <f>Transport_1_hub!AU119</f>
        <v>2518.5199781623933</v>
      </c>
      <c r="E184" s="8">
        <f>Transport_1_hub!AV119</f>
        <v>1.3953721593477566</v>
      </c>
      <c r="F184" s="8">
        <f>Transport_1_hub!AW119</f>
        <v>234.09468747264498</v>
      </c>
      <c r="G184" s="8">
        <f>Transport_1_hub!AX119</f>
        <v>58.467711285981686</v>
      </c>
      <c r="H184" s="8">
        <f>Transport_1_hub!AY119</f>
        <v>1.3151067327455106</v>
      </c>
      <c r="I184" s="8">
        <f>Transport_1_hub!AZ119</f>
        <v>8.4756693891273188E-3</v>
      </c>
      <c r="J184" s="8">
        <f>Transport_1_hub!BA119</f>
        <v>12.923015998925212</v>
      </c>
      <c r="K184" s="8">
        <f>Transport_1_hub!BB119</f>
        <v>12.491963279433749</v>
      </c>
      <c r="L184" s="8">
        <f>Transport_1_hub!BC119</f>
        <v>1.1445299016700514</v>
      </c>
      <c r="M184" s="8">
        <f>Transport_1_hub!BD119</f>
        <v>0.22223409421671814</v>
      </c>
      <c r="N184" s="8">
        <f>Transport_1_hub!BE119</f>
        <v>2.299261671417911</v>
      </c>
      <c r="O184" s="8">
        <f>Transport_1_hub!BF119</f>
        <v>5.3682477240782449E-2</v>
      </c>
      <c r="P184" s="8">
        <f>Transport_1_hub!BG119</f>
        <v>2.9449093490326133E-5</v>
      </c>
      <c r="Q184" s="8">
        <f>Transport_1_hub!BH119</f>
        <v>0.11381116279652105</v>
      </c>
      <c r="R184" s="8">
        <f>Transport_1_hub!BI119</f>
        <v>0.32443090208245845</v>
      </c>
      <c r="S184" s="8">
        <f>Transport_1_hub!BJ119</f>
        <v>5.3881162702700103E-2</v>
      </c>
      <c r="T184" s="8">
        <f>Transport_1_hub!BK119</f>
        <v>7.0939834177001036E-3</v>
      </c>
      <c r="U184" s="8">
        <f>Transport_1_hub!BL119</f>
        <v>1.0985676921468261</v>
      </c>
      <c r="V184" s="9">
        <f>Transport_1_hub!BM119</f>
        <v>0.28791267055497943</v>
      </c>
      <c r="X184" s="22"/>
      <c r="Y184" s="22"/>
      <c r="AG184" s="42"/>
      <c r="AL184" s="42"/>
    </row>
    <row r="185" spans="2:38" x14ac:dyDescent="0.25">
      <c r="B185" s="40">
        <f>Transport_1_hub!W120+Transport_1_hub!L120</f>
        <v>899.9892879169704</v>
      </c>
      <c r="C185" s="8">
        <f>Transport_1_hub!AT120</f>
        <v>234.35505641264498</v>
      </c>
      <c r="D185" s="8">
        <f>Transport_1_hub!AU120</f>
        <v>2518.5199781623933</v>
      </c>
      <c r="E185" s="8">
        <f>Transport_1_hub!AV120</f>
        <v>1.3953721593477566</v>
      </c>
      <c r="F185" s="8">
        <f>Transport_1_hub!AW120</f>
        <v>234.09468747264498</v>
      </c>
      <c r="G185" s="8">
        <f>Transport_1_hub!AX120</f>
        <v>58.467711285981686</v>
      </c>
      <c r="H185" s="8">
        <f>Transport_1_hub!AY120</f>
        <v>1.3151067327455106</v>
      </c>
      <c r="I185" s="8">
        <f>Transport_1_hub!AZ120</f>
        <v>8.4756693891273188E-3</v>
      </c>
      <c r="J185" s="8">
        <f>Transport_1_hub!BA120</f>
        <v>12.923015998925212</v>
      </c>
      <c r="K185" s="8">
        <f>Transport_1_hub!BB120</f>
        <v>12.491963279433749</v>
      </c>
      <c r="L185" s="8">
        <f>Transport_1_hub!BC120</f>
        <v>1.1445299016700514</v>
      </c>
      <c r="M185" s="8">
        <f>Transport_1_hub!BD120</f>
        <v>0.22223409421671814</v>
      </c>
      <c r="N185" s="8">
        <f>Transport_1_hub!BE120</f>
        <v>2.299261671417911</v>
      </c>
      <c r="O185" s="8">
        <f>Transport_1_hub!BF120</f>
        <v>5.3682477240782449E-2</v>
      </c>
      <c r="P185" s="8">
        <f>Transport_1_hub!BG120</f>
        <v>2.9449093490326133E-5</v>
      </c>
      <c r="Q185" s="8">
        <f>Transport_1_hub!BH120</f>
        <v>0.11381116279652105</v>
      </c>
      <c r="R185" s="8">
        <f>Transport_1_hub!BI120</f>
        <v>0.32443090208245845</v>
      </c>
      <c r="S185" s="8">
        <f>Transport_1_hub!BJ120</f>
        <v>5.3881162702700103E-2</v>
      </c>
      <c r="T185" s="8">
        <f>Transport_1_hub!BK120</f>
        <v>7.0939834177001036E-3</v>
      </c>
      <c r="U185" s="8">
        <f>Transport_1_hub!BL120</f>
        <v>1.0985676921468261</v>
      </c>
      <c r="V185" s="9">
        <f>Transport_1_hub!BM120</f>
        <v>0.28791267055497943</v>
      </c>
      <c r="X185" s="22"/>
      <c r="Y185" s="22"/>
      <c r="AG185" s="42"/>
      <c r="AL185" s="42"/>
    </row>
    <row r="186" spans="2:38" x14ac:dyDescent="0.25">
      <c r="B186" s="40">
        <f>Transport_1_hub!W121+Transport_1_hub!L121</f>
        <v>899.9892879169704</v>
      </c>
      <c r="C186" s="8">
        <f>Transport_1_hub!AT121</f>
        <v>234.35505641264498</v>
      </c>
      <c r="D186" s="8">
        <f>Transport_1_hub!AU121</f>
        <v>2518.5199781623933</v>
      </c>
      <c r="E186" s="8">
        <f>Transport_1_hub!AV121</f>
        <v>1.3953721593477566</v>
      </c>
      <c r="F186" s="8">
        <f>Transport_1_hub!AW121</f>
        <v>234.09468747264498</v>
      </c>
      <c r="G186" s="8">
        <f>Transport_1_hub!AX121</f>
        <v>58.467711285981686</v>
      </c>
      <c r="H186" s="8">
        <f>Transport_1_hub!AY121</f>
        <v>1.3151067327455106</v>
      </c>
      <c r="I186" s="8">
        <f>Transport_1_hub!AZ121</f>
        <v>8.4756693891273188E-3</v>
      </c>
      <c r="J186" s="8">
        <f>Transport_1_hub!BA121</f>
        <v>12.923015998925212</v>
      </c>
      <c r="K186" s="8">
        <f>Transport_1_hub!BB121</f>
        <v>12.491963279433749</v>
      </c>
      <c r="L186" s="8">
        <f>Transport_1_hub!BC121</f>
        <v>1.1445299016700514</v>
      </c>
      <c r="M186" s="8">
        <f>Transport_1_hub!BD121</f>
        <v>0.22223409421671814</v>
      </c>
      <c r="N186" s="8">
        <f>Transport_1_hub!BE121</f>
        <v>2.299261671417911</v>
      </c>
      <c r="O186" s="8">
        <f>Transport_1_hub!BF121</f>
        <v>5.3682477240782449E-2</v>
      </c>
      <c r="P186" s="8">
        <f>Transport_1_hub!BG121</f>
        <v>2.9449093490326133E-5</v>
      </c>
      <c r="Q186" s="8">
        <f>Transport_1_hub!BH121</f>
        <v>0.11381116279652105</v>
      </c>
      <c r="R186" s="8">
        <f>Transport_1_hub!BI121</f>
        <v>0.32443090208245845</v>
      </c>
      <c r="S186" s="8">
        <f>Transport_1_hub!BJ121</f>
        <v>5.3881162702700103E-2</v>
      </c>
      <c r="T186" s="8">
        <f>Transport_1_hub!BK121</f>
        <v>7.0939834177001036E-3</v>
      </c>
      <c r="U186" s="8">
        <f>Transport_1_hub!BL121</f>
        <v>1.0985676921468261</v>
      </c>
      <c r="V186" s="9">
        <f>Transport_1_hub!BM121</f>
        <v>0.28791267055497943</v>
      </c>
      <c r="X186" s="22"/>
      <c r="Y186" s="22"/>
      <c r="AG186" s="42"/>
      <c r="AL186" s="42"/>
    </row>
    <row r="187" spans="2:38" x14ac:dyDescent="0.25">
      <c r="B187" s="40">
        <f>Transport_1_hub!W122+Transport_1_hub!L122</f>
        <v>951.3264482833481</v>
      </c>
      <c r="C187" s="8">
        <f>Transport_1_hub!AT122</f>
        <v>243.44515306890324</v>
      </c>
      <c r="D187" s="8">
        <f>Transport_1_hub!AU122</f>
        <v>2621.4999370589808</v>
      </c>
      <c r="E187" s="8">
        <f>Transport_1_hub!AV122</f>
        <v>1.4660688418661012</v>
      </c>
      <c r="F187" s="8">
        <f>Transport_1_hub!AW122</f>
        <v>243.13770670890324</v>
      </c>
      <c r="G187" s="8">
        <f>Transport_1_hub!AX122</f>
        <v>60.823236350509781</v>
      </c>
      <c r="H187" s="8">
        <f>Transport_1_hub!AY122</f>
        <v>1.5101198607546484</v>
      </c>
      <c r="I187" s="8">
        <f>Transport_1_hub!AZ122</f>
        <v>9.046669694398192E-3</v>
      </c>
      <c r="J187" s="8">
        <f>Transport_1_hub!BA122</f>
        <v>13.832339511553826</v>
      </c>
      <c r="K187" s="8">
        <f>Transport_1_hub!BB122</f>
        <v>12.962471555889589</v>
      </c>
      <c r="L187" s="8">
        <f>Transport_1_hub!BC122</f>
        <v>1.3137605133432961</v>
      </c>
      <c r="M187" s="8">
        <f>Transport_1_hub!BD122</f>
        <v>0.22869036713979729</v>
      </c>
      <c r="N187" s="8">
        <f>Transport_1_hub!BE122</f>
        <v>2.564605595760828</v>
      </c>
      <c r="O187" s="8">
        <f>Transport_1_hub!BF122</f>
        <v>5.469534197385726E-2</v>
      </c>
      <c r="P187" s="8">
        <f>Transport_1_hub!BG122</f>
        <v>3.0575645623338033E-5</v>
      </c>
      <c r="Q187" s="8">
        <f>Transport_1_hub!BH122</f>
        <v>0.11951130988438138</v>
      </c>
      <c r="R187" s="8">
        <f>Transport_1_hub!BI122</f>
        <v>0.33688949378209571</v>
      </c>
      <c r="S187" s="8">
        <f>Transport_1_hub!BJ122</f>
        <v>6.2939104649782321E-2</v>
      </c>
      <c r="T187" s="8">
        <f>Transport_1_hub!BK122</f>
        <v>7.6923153597823106E-3</v>
      </c>
      <c r="U187" s="8">
        <f>Transport_1_hub!BL122</f>
        <v>1.1973307239630289</v>
      </c>
      <c r="V187" s="9">
        <f>Transport_1_hub!BM122</f>
        <v>0.30126302211419848</v>
      </c>
      <c r="X187" s="22"/>
      <c r="Y187" s="22"/>
      <c r="AG187" s="42"/>
      <c r="AL187" s="42"/>
    </row>
    <row r="188" spans="2:38" x14ac:dyDescent="0.25">
      <c r="B188" s="40">
        <f>Transport_1_hub!W123+Transport_1_hub!L123</f>
        <v>951.3264482833481</v>
      </c>
      <c r="C188" s="8">
        <f>Transport_1_hub!AT123</f>
        <v>243.44515306890324</v>
      </c>
      <c r="D188" s="8">
        <f>Transport_1_hub!AU123</f>
        <v>2621.4999370589808</v>
      </c>
      <c r="E188" s="8">
        <f>Transport_1_hub!AV123</f>
        <v>1.4660688418661012</v>
      </c>
      <c r="F188" s="8">
        <f>Transport_1_hub!AW123</f>
        <v>243.13770670890324</v>
      </c>
      <c r="G188" s="8">
        <f>Transport_1_hub!AX123</f>
        <v>60.823236350509781</v>
      </c>
      <c r="H188" s="8">
        <f>Transport_1_hub!AY123</f>
        <v>1.5101198607546484</v>
      </c>
      <c r="I188" s="8">
        <f>Transport_1_hub!AZ123</f>
        <v>9.046669694398192E-3</v>
      </c>
      <c r="J188" s="8">
        <f>Transport_1_hub!BA123</f>
        <v>13.832339511553826</v>
      </c>
      <c r="K188" s="8">
        <f>Transport_1_hub!BB123</f>
        <v>12.962471555889589</v>
      </c>
      <c r="L188" s="8">
        <f>Transport_1_hub!BC123</f>
        <v>1.3137605133432961</v>
      </c>
      <c r="M188" s="8">
        <f>Transport_1_hub!BD123</f>
        <v>0.22869036713979729</v>
      </c>
      <c r="N188" s="8">
        <f>Transport_1_hub!BE123</f>
        <v>2.564605595760828</v>
      </c>
      <c r="O188" s="8">
        <f>Transport_1_hub!BF123</f>
        <v>5.469534197385726E-2</v>
      </c>
      <c r="P188" s="8">
        <f>Transport_1_hub!BG123</f>
        <v>3.0575645623338033E-5</v>
      </c>
      <c r="Q188" s="8">
        <f>Transport_1_hub!BH123</f>
        <v>0.11951130988438138</v>
      </c>
      <c r="R188" s="8">
        <f>Transport_1_hub!BI123</f>
        <v>0.33688949378209571</v>
      </c>
      <c r="S188" s="8">
        <f>Transport_1_hub!BJ123</f>
        <v>6.2939104649782321E-2</v>
      </c>
      <c r="T188" s="8">
        <f>Transport_1_hub!BK123</f>
        <v>7.6923153597823106E-3</v>
      </c>
      <c r="U188" s="8">
        <f>Transport_1_hub!BL123</f>
        <v>1.1973307239630289</v>
      </c>
      <c r="V188" s="9">
        <f>Transport_1_hub!BM123</f>
        <v>0.30126302211419848</v>
      </c>
      <c r="X188" s="22"/>
      <c r="Y188" s="22"/>
      <c r="AG188" s="42"/>
      <c r="AL188" s="42"/>
    </row>
    <row r="189" spans="2:38" x14ac:dyDescent="0.25">
      <c r="B189" s="40">
        <f>Transport_1_hub!W124+Transport_1_hub!L124</f>
        <v>1165.7163433162984</v>
      </c>
      <c r="C189" s="8">
        <f>Transport_1_hub!AT124</f>
        <v>298.92886705279847</v>
      </c>
      <c r="D189" s="8">
        <f>Transport_1_hub!AU124</f>
        <v>3370.2369067556747</v>
      </c>
      <c r="E189" s="8">
        <f>Transport_1_hub!AV124</f>
        <v>2.1820263698729656</v>
      </c>
      <c r="F189" s="8">
        <f>Transport_1_hub!AW124</f>
        <v>298.04532231279848</v>
      </c>
      <c r="G189" s="8">
        <f>Transport_1_hub!AX124</f>
        <v>77.573722739002619</v>
      </c>
      <c r="H189" s="8">
        <f>Transport_1_hub!AY124</f>
        <v>3.853619782083479</v>
      </c>
      <c r="I189" s="8">
        <f>Transport_1_hub!AZ124</f>
        <v>1.5399265155213785E-2</v>
      </c>
      <c r="J189" s="8">
        <f>Transport_1_hub!BA124</f>
        <v>24.048825855610808</v>
      </c>
      <c r="K189" s="8">
        <f>Transport_1_hub!BB124</f>
        <v>16.398193302240241</v>
      </c>
      <c r="L189" s="8">
        <f>Transport_1_hub!BC124</f>
        <v>3.3513778346022547</v>
      </c>
      <c r="M189" s="8">
        <f>Transport_1_hub!BD124</f>
        <v>0.24642052901867559</v>
      </c>
      <c r="N189" s="8">
        <f>Transport_1_hub!BE124</f>
        <v>5.6427308147210908</v>
      </c>
      <c r="O189" s="8">
        <f>Transport_1_hub!BF124</f>
        <v>5.4400662652580617E-2</v>
      </c>
      <c r="P189" s="8">
        <f>Transport_1_hub!BG124</f>
        <v>3.8187509123521166E-5</v>
      </c>
      <c r="Q189" s="8">
        <f>Transport_1_hub!BH124</f>
        <v>0.17579089032230052</v>
      </c>
      <c r="R189" s="8">
        <f>Transport_1_hub!BI124</f>
        <v>0.45856913554454248</v>
      </c>
      <c r="S189" s="8">
        <f>Transport_1_hub!BJ124</f>
        <v>0.17323971528963825</v>
      </c>
      <c r="T189" s="8">
        <f>Transport_1_hub!BK124</f>
        <v>1.4470523554638241E-2</v>
      </c>
      <c r="U189" s="8">
        <f>Transport_1_hub!BL124</f>
        <v>2.3441665984340352</v>
      </c>
      <c r="V189" s="9">
        <f>Transport_1_hub!BM124</f>
        <v>0.42970247024081454</v>
      </c>
      <c r="X189" s="22"/>
      <c r="Y189" s="22"/>
      <c r="AG189" s="42"/>
      <c r="AL189" s="42"/>
    </row>
    <row r="190" spans="2:38" x14ac:dyDescent="0.25">
      <c r="B190" s="40">
        <f>Transport_1_hub!W125+Transport_1_hub!L125</f>
        <v>1000.4533951511557</v>
      </c>
      <c r="C190" s="8">
        <f>Transport_1_hub!AT125</f>
        <v>246.56788187534974</v>
      </c>
      <c r="D190" s="8">
        <f>Transport_1_hub!AU125</f>
        <v>2619.6556169695491</v>
      </c>
      <c r="E190" s="8">
        <f>Transport_1_hub!AV125</f>
        <v>1.4018503131045206</v>
      </c>
      <c r="F190" s="8">
        <f>Transport_1_hub!AW125</f>
        <v>246.33385171534974</v>
      </c>
      <c r="G190" s="8">
        <f>Transport_1_hub!AX125</f>
        <v>60.897691710136826</v>
      </c>
      <c r="H190" s="8">
        <f>Transport_1_hub!AY125</f>
        <v>1.2193098257508519</v>
      </c>
      <c r="I190" s="8">
        <f>Transport_1_hub!AZ125</f>
        <v>8.3531883601153309E-3</v>
      </c>
      <c r="J190" s="8">
        <f>Transport_1_hub!BA125</f>
        <v>12.697965441422756</v>
      </c>
      <c r="K190" s="8">
        <f>Transport_1_hub!BB125</f>
        <v>12.949470359050489</v>
      </c>
      <c r="L190" s="8">
        <f>Transport_1_hub!BC125</f>
        <v>1.0601719089844333</v>
      </c>
      <c r="M190" s="8">
        <f>Transport_1_hub!BD125</f>
        <v>0.23770103678503182</v>
      </c>
      <c r="N190" s="8">
        <f>Transport_1_hub!BE125</f>
        <v>2.2032317736647458</v>
      </c>
      <c r="O190" s="8">
        <f>Transport_1_hub!BF125</f>
        <v>5.7054410855126199E-2</v>
      </c>
      <c r="P190" s="8">
        <f>Transport_1_hub!BG125</f>
        <v>3.0734992402478108E-5</v>
      </c>
      <c r="Q190" s="8">
        <f>Transport_1_hub!BH125</f>
        <v>0.11480237015229289</v>
      </c>
      <c r="R190" s="8">
        <f>Transport_1_hub!BI125</f>
        <v>0.32701223527134526</v>
      </c>
      <c r="S190" s="8">
        <f>Transport_1_hub!BJ125</f>
        <v>4.8982341623799205E-2</v>
      </c>
      <c r="T190" s="8">
        <f>Transport_1_hub!BK125</f>
        <v>6.9281278837991997E-3</v>
      </c>
      <c r="U190" s="8">
        <f>Transport_1_hub!BL125</f>
        <v>1.0624866631256338</v>
      </c>
      <c r="V190" s="9">
        <f>Transport_1_hub!BM125</f>
        <v>0.29128848575558813</v>
      </c>
      <c r="X190" s="22"/>
      <c r="Y190" s="22"/>
      <c r="AG190" s="42"/>
      <c r="AL190" s="42"/>
    </row>
    <row r="191" spans="2:38" x14ac:dyDescent="0.25">
      <c r="B191" s="40">
        <f>Transport_1_hub!W126+Transport_1_hub!L126</f>
        <v>973.32939515115572</v>
      </c>
      <c r="C191" s="8">
        <f>Transport_1_hub!AT126</f>
        <v>237.35114667534975</v>
      </c>
      <c r="D191" s="8">
        <f>Transport_1_hub!AU126</f>
        <v>2485.2277050248572</v>
      </c>
      <c r="E191" s="8">
        <f>Transport_1_hub!AV126</f>
        <v>1.2590261787045205</v>
      </c>
      <c r="F191" s="8">
        <f>Transport_1_hub!AW126</f>
        <v>237.23700459534976</v>
      </c>
      <c r="G191" s="8">
        <f>Transport_1_hub!AX126</f>
        <v>57.916764110136825</v>
      </c>
      <c r="H191" s="8">
        <f>Transport_1_hub!AY126</f>
        <v>0.73341048975085199</v>
      </c>
      <c r="I191" s="8">
        <f>Transport_1_hub!AZ126</f>
        <v>7.057718996115331E-3</v>
      </c>
      <c r="J191" s="8">
        <f>Transport_1_hub!BA126</f>
        <v>10.610204037422756</v>
      </c>
      <c r="K191" s="8">
        <f>Transport_1_hub!BB126</f>
        <v>12.331585639050489</v>
      </c>
      <c r="L191" s="8">
        <f>Transport_1_hub!BC126</f>
        <v>0.63752574098443338</v>
      </c>
      <c r="M191" s="8">
        <f>Transport_1_hub!BD126</f>
        <v>0.23658870866903184</v>
      </c>
      <c r="N191" s="8">
        <f>Transport_1_hub!BE126</f>
        <v>1.5697236296647459</v>
      </c>
      <c r="O191" s="8">
        <f>Transport_1_hub!BF126</f>
        <v>5.7646337907126199E-2</v>
      </c>
      <c r="P191" s="8">
        <f>Transport_1_hub!BG126</f>
        <v>2.9409062786478107E-5</v>
      </c>
      <c r="Q191" s="8">
        <f>Transport_1_hub!BH126</f>
        <v>0.1036533211922929</v>
      </c>
      <c r="R191" s="8">
        <f>Transport_1_hub!BI126</f>
        <v>0.30297684515134532</v>
      </c>
      <c r="S191" s="8">
        <f>Transport_1_hub!BJ126</f>
        <v>2.6051169543799203E-2</v>
      </c>
      <c r="T191" s="8">
        <f>Transport_1_hub!BK126</f>
        <v>5.5403284237992003E-3</v>
      </c>
      <c r="U191" s="8">
        <f>Transport_1_hub!BL126</f>
        <v>0.82641021672563375</v>
      </c>
      <c r="V191" s="9">
        <f>Transport_1_hub!BM126</f>
        <v>0.26602112355558816</v>
      </c>
      <c r="X191" s="22"/>
      <c r="Y191" s="22"/>
      <c r="AG191" s="42"/>
      <c r="AL191" s="42"/>
    </row>
    <row r="192" spans="2:38" x14ac:dyDescent="0.25">
      <c r="B192" s="40">
        <f>Transport_1_hub!W127+Transport_1_hub!L127</f>
        <v>1005.5466766004537</v>
      </c>
      <c r="C192" s="8">
        <f>Transport_1_hub!AT127</f>
        <v>240.50215983541923</v>
      </c>
      <c r="D192" s="8">
        <f>Transport_1_hub!AU127</f>
        <v>2504.3083232582476</v>
      </c>
      <c r="E192" s="8">
        <f>Transport_1_hub!AV127</f>
        <v>1.2438457345742611</v>
      </c>
      <c r="F192" s="8">
        <f>Transport_1_hub!AW127</f>
        <v>240.41176199541923</v>
      </c>
      <c r="G192" s="8">
        <f>Transport_1_hub!AX127</f>
        <v>58.405380964870488</v>
      </c>
      <c r="H192" s="8">
        <f>Transport_1_hub!AY127</f>
        <v>0.64100003880675716</v>
      </c>
      <c r="I192" s="8">
        <f>Transport_1_hub!AZ127</f>
        <v>6.8578165821317413E-3</v>
      </c>
      <c r="J192" s="8">
        <f>Transport_1_hub!BA127</f>
        <v>10.278872077394881</v>
      </c>
      <c r="K192" s="8">
        <f>Transport_1_hub!BB127</f>
        <v>12.416725990650542</v>
      </c>
      <c r="L192" s="8">
        <f>Transport_1_hub!BC127</f>
        <v>0.55678400684456175</v>
      </c>
      <c r="M192" s="8">
        <f>Transport_1_hub!BD127</f>
        <v>0.24189331623325352</v>
      </c>
      <c r="N192" s="8">
        <f>Transport_1_hub!BE127</f>
        <v>1.4593386113673297</v>
      </c>
      <c r="O192" s="8">
        <f>Transport_1_hub!BF127</f>
        <v>5.8897476647080858E-2</v>
      </c>
      <c r="P192" s="8">
        <f>Transport_1_hub!BG127</f>
        <v>2.9698029433065925E-5</v>
      </c>
      <c r="Q192" s="8">
        <f>Transport_1_hub!BH127</f>
        <v>0.10264764453450152</v>
      </c>
      <c r="R192" s="8">
        <f>Transport_1_hub!BI127</f>
        <v>0.30096550163973723</v>
      </c>
      <c r="S192" s="8">
        <f>Transport_1_hub!BJ127</f>
        <v>2.1558269769165177E-2</v>
      </c>
      <c r="T192" s="8">
        <f>Transport_1_hub!BK127</f>
        <v>5.3141665091651748E-3</v>
      </c>
      <c r="U192" s="8">
        <f>Transport_1_hub!BL127</f>
        <v>0.78517900275244212</v>
      </c>
      <c r="V192" s="9">
        <f>Transport_1_hub!BM127</f>
        <v>0.26414050901837233</v>
      </c>
      <c r="X192" s="22"/>
      <c r="Y192" s="22"/>
      <c r="AG192" s="42"/>
      <c r="AL192" s="42"/>
    </row>
    <row r="193" spans="2:38" x14ac:dyDescent="0.25">
      <c r="B193" s="40">
        <f>Transport_1_hub!W128+Transport_1_hub!L128</f>
        <v>959.54839515115577</v>
      </c>
      <c r="C193" s="8">
        <f>Transport_1_hub!AT128</f>
        <v>232.66836287534974</v>
      </c>
      <c r="D193" s="8">
        <f>Transport_1_hub!AU128</f>
        <v>2416.9283740076839</v>
      </c>
      <c r="E193" s="8">
        <f>Transport_1_hub!AV128</f>
        <v>1.1864609451045205</v>
      </c>
      <c r="F193" s="8">
        <f>Transport_1_hub!AW128</f>
        <v>232.61513281534974</v>
      </c>
      <c r="G193" s="8">
        <f>Transport_1_hub!AX128</f>
        <v>56.402232210136823</v>
      </c>
      <c r="H193" s="8">
        <f>Transport_1_hub!AY128</f>
        <v>0.48653765575085195</v>
      </c>
      <c r="I193" s="8">
        <f>Transport_1_hub!AZ128</f>
        <v>6.3995246551153311E-3</v>
      </c>
      <c r="J193" s="8">
        <f>Transport_1_hub!BA128</f>
        <v>9.5494666864227558</v>
      </c>
      <c r="K193" s="8">
        <f>Transport_1_hub!BB128</f>
        <v>12.017654459050489</v>
      </c>
      <c r="L193" s="8">
        <f>Transport_1_hub!BC128</f>
        <v>0.42279019898443332</v>
      </c>
      <c r="M193" s="8">
        <f>Transport_1_hub!BD128</f>
        <v>0.23602356364003182</v>
      </c>
      <c r="N193" s="8">
        <f>Transport_1_hub!BE128</f>
        <v>1.2478545936647458</v>
      </c>
      <c r="O193" s="8">
        <f>Transport_1_hub!BF128</f>
        <v>5.7947080670126203E-2</v>
      </c>
      <c r="P193" s="8">
        <f>Transport_1_hub!BG128</f>
        <v>2.8735392382478108E-5</v>
      </c>
      <c r="Q193" s="8">
        <f>Transport_1_hub!BH128</f>
        <v>9.7988778952292896E-2</v>
      </c>
      <c r="R193" s="8">
        <f>Transport_1_hub!BI128</f>
        <v>0.29076508762134529</v>
      </c>
      <c r="S193" s="8">
        <f>Transport_1_hub!BJ128</f>
        <v>1.4400436523799201E-2</v>
      </c>
      <c r="T193" s="8">
        <f>Transport_1_hub!BK128</f>
        <v>4.8352235587992001E-3</v>
      </c>
      <c r="U193" s="8">
        <f>Transport_1_hub!BL128</f>
        <v>0.70646590512563379</v>
      </c>
      <c r="V193" s="9">
        <f>Transport_1_hub!BM128</f>
        <v>0.25318343300558815</v>
      </c>
      <c r="X193" s="22"/>
      <c r="Y193" s="22"/>
      <c r="AG193" s="42"/>
      <c r="AL193" s="42"/>
    </row>
    <row r="194" spans="2:38" x14ac:dyDescent="0.25">
      <c r="B194" s="40">
        <f>Transport_1_hub!W129+Transport_1_hub!L129</f>
        <v>1019.0706766004537</v>
      </c>
      <c r="C194" s="8">
        <f>Transport_1_hub!AT129</f>
        <v>245.09761503541924</v>
      </c>
      <c r="D194" s="8">
        <f>Transport_1_hub!AU129</f>
        <v>2571.3339493141393</v>
      </c>
      <c r="E194" s="8">
        <f>Transport_1_hub!AV129</f>
        <v>1.3150577089742612</v>
      </c>
      <c r="F194" s="8">
        <f>Transport_1_hub!AW129</f>
        <v>244.94744111541925</v>
      </c>
      <c r="G194" s="8">
        <f>Transport_1_hub!AX129</f>
        <v>59.891668564870493</v>
      </c>
      <c r="H194" s="8">
        <f>Transport_1_hub!AY129</f>
        <v>0.88326897480675715</v>
      </c>
      <c r="I194" s="8">
        <f>Transport_1_hub!AZ129</f>
        <v>7.5037363461317409E-3</v>
      </c>
      <c r="J194" s="8">
        <f>Transport_1_hub!BA129</f>
        <v>11.319827881394881</v>
      </c>
      <c r="K194" s="8">
        <f>Transport_1_hub!BB129</f>
        <v>12.724802710650541</v>
      </c>
      <c r="L194" s="8">
        <f>Transport_1_hub!BC129</f>
        <v>0.76751497484456177</v>
      </c>
      <c r="M194" s="8">
        <f>Transport_1_hub!BD129</f>
        <v>0.24244792194925352</v>
      </c>
      <c r="N194" s="8">
        <f>Transport_1_hub!BE129</f>
        <v>1.7752051553673294</v>
      </c>
      <c r="O194" s="8">
        <f>Transport_1_hub!BF129</f>
        <v>5.8602342395080859E-2</v>
      </c>
      <c r="P194" s="8">
        <f>Transport_1_hub!BG129</f>
        <v>3.0359136649065925E-5</v>
      </c>
      <c r="Q194" s="8">
        <f>Transport_1_hub!BH129</f>
        <v>0.10820654949450152</v>
      </c>
      <c r="R194" s="8">
        <f>Transport_1_hub!BI129</f>
        <v>0.31294952375973722</v>
      </c>
      <c r="S194" s="8">
        <f>Transport_1_hub!BJ129</f>
        <v>3.299172984916518E-2</v>
      </c>
      <c r="T194" s="8">
        <f>Transport_1_hub!BK129</f>
        <v>6.0061219691651749E-3</v>
      </c>
      <c r="U194" s="8">
        <f>Transport_1_hub!BL129</f>
        <v>0.90288648915244218</v>
      </c>
      <c r="V194" s="9">
        <f>Transport_1_hub!BM129</f>
        <v>0.27673879121837236</v>
      </c>
      <c r="X194" s="22"/>
      <c r="Y194" s="22"/>
      <c r="AG194" s="42"/>
      <c r="AL194" s="42"/>
    </row>
    <row r="195" spans="2:38" x14ac:dyDescent="0.25">
      <c r="B195" s="40">
        <f>Transport_1_hub!W130+Transport_1_hub!L130</f>
        <v>1019.0706766004537</v>
      </c>
      <c r="C195" s="8">
        <f>Transport_1_hub!AT130</f>
        <v>245.09761503541924</v>
      </c>
      <c r="D195" s="8">
        <f>Transport_1_hub!AU130</f>
        <v>2571.3339493141393</v>
      </c>
      <c r="E195" s="8">
        <f>Transport_1_hub!AV130</f>
        <v>1.3150577089742612</v>
      </c>
      <c r="F195" s="8">
        <f>Transport_1_hub!AW130</f>
        <v>244.94744111541925</v>
      </c>
      <c r="G195" s="8">
        <f>Transport_1_hub!AX130</f>
        <v>59.891668564870493</v>
      </c>
      <c r="H195" s="8">
        <f>Transport_1_hub!AY130</f>
        <v>0.88326897480675715</v>
      </c>
      <c r="I195" s="8">
        <f>Transport_1_hub!AZ130</f>
        <v>7.5037363461317409E-3</v>
      </c>
      <c r="J195" s="8">
        <f>Transport_1_hub!BA130</f>
        <v>11.319827881394881</v>
      </c>
      <c r="K195" s="8">
        <f>Transport_1_hub!BB130</f>
        <v>12.724802710650541</v>
      </c>
      <c r="L195" s="8">
        <f>Transport_1_hub!BC130</f>
        <v>0.76751497484456177</v>
      </c>
      <c r="M195" s="8">
        <f>Transport_1_hub!BD130</f>
        <v>0.24244792194925352</v>
      </c>
      <c r="N195" s="8">
        <f>Transport_1_hub!BE130</f>
        <v>1.7752051553673294</v>
      </c>
      <c r="O195" s="8">
        <f>Transport_1_hub!BF130</f>
        <v>5.8602342395080859E-2</v>
      </c>
      <c r="P195" s="8">
        <f>Transport_1_hub!BG130</f>
        <v>3.0359136649065925E-5</v>
      </c>
      <c r="Q195" s="8">
        <f>Transport_1_hub!BH130</f>
        <v>0.10820654949450152</v>
      </c>
      <c r="R195" s="8">
        <f>Transport_1_hub!BI130</f>
        <v>0.31294952375973722</v>
      </c>
      <c r="S195" s="8">
        <f>Transport_1_hub!BJ130</f>
        <v>3.299172984916518E-2</v>
      </c>
      <c r="T195" s="8">
        <f>Transport_1_hub!BK130</f>
        <v>6.0061219691651749E-3</v>
      </c>
      <c r="U195" s="8">
        <f>Transport_1_hub!BL130</f>
        <v>0.90288648915244218</v>
      </c>
      <c r="V195" s="9">
        <f>Transport_1_hub!BM130</f>
        <v>0.27673879121837236</v>
      </c>
      <c r="X195" s="22"/>
      <c r="Y195" s="22"/>
      <c r="AG195" s="42"/>
      <c r="AL195" s="42"/>
    </row>
    <row r="196" spans="2:38" x14ac:dyDescent="0.25">
      <c r="B196" s="40">
        <f>Transport_1_hub!W131+Transport_1_hub!L131</f>
        <v>1032.4472088037758</v>
      </c>
      <c r="C196" s="8">
        <f>Transport_1_hub!AT131</f>
        <v>246.4170685917708</v>
      </c>
      <c r="D196" s="8">
        <f>Transport_1_hub!AU131</f>
        <v>2579.5256620609234</v>
      </c>
      <c r="E196" s="8">
        <f>Transport_1_hub!AV131</f>
        <v>1.3091535513508179</v>
      </c>
      <c r="F196" s="8">
        <f>Transport_1_hub!AW131</f>
        <v>246.27636231177081</v>
      </c>
      <c r="G196" s="8">
        <f>Transport_1_hub!AX131</f>
        <v>60.100273490554642</v>
      </c>
      <c r="H196" s="8">
        <f>Transport_1_hub!AY131</f>
        <v>0.84646958807086836</v>
      </c>
      <c r="I196" s="8">
        <f>Transport_1_hub!AZ131</f>
        <v>7.4247471628479103E-3</v>
      </c>
      <c r="J196" s="8">
        <f>Transport_1_hub!BA131</f>
        <v>11.188824904267548</v>
      </c>
      <c r="K196" s="8">
        <f>Transport_1_hub!BB131</f>
        <v>12.76140260737443</v>
      </c>
      <c r="L196" s="8">
        <f>Transport_1_hub!BC131</f>
        <v>0.73535744530285008</v>
      </c>
      <c r="M196" s="8">
        <f>Transport_1_hub!BD131</f>
        <v>0.24463767848540263</v>
      </c>
      <c r="N196" s="8">
        <f>Transport_1_hub!BE131</f>
        <v>1.7313823073540391</v>
      </c>
      <c r="O196" s="8">
        <f>Transport_1_hub!BF131</f>
        <v>5.91156901180485E-2</v>
      </c>
      <c r="P196" s="8">
        <f>Transport_1_hub!BG131</f>
        <v>3.0481387921906242E-5</v>
      </c>
      <c r="Q196" s="8">
        <f>Transport_1_hub!BH131</f>
        <v>0.10782077352026187</v>
      </c>
      <c r="R196" s="8">
        <f>Transport_1_hub!BI131</f>
        <v>0.3121825274016044</v>
      </c>
      <c r="S196" s="8">
        <f>Transport_1_hub!BJ131</f>
        <v>3.1200888198984682E-2</v>
      </c>
      <c r="T196" s="8">
        <f>Transport_1_hub!BK131</f>
        <v>5.9165745289846807E-3</v>
      </c>
      <c r="U196" s="8">
        <f>Transport_1_hub!BL131</f>
        <v>0.88651729620148934</v>
      </c>
      <c r="V196" s="9">
        <f>Transport_1_hub!BM131</f>
        <v>0.27602900244462703</v>
      </c>
      <c r="X196" s="22"/>
      <c r="Y196" s="22"/>
      <c r="AG196" s="42"/>
      <c r="AL196" s="42"/>
    </row>
    <row r="197" spans="2:38" x14ac:dyDescent="0.25">
      <c r="B197" s="40">
        <f>Transport_1_hub!W132+Transport_1_hub!L132</f>
        <v>1015.1136766004537</v>
      </c>
      <c r="C197" s="8">
        <f>Transport_1_hub!AT132</f>
        <v>243.75302643541923</v>
      </c>
      <c r="D197" s="8">
        <f>Transport_1_hub!AU132</f>
        <v>2551.7228577507585</v>
      </c>
      <c r="E197" s="8">
        <f>Transport_1_hub!AV132</f>
        <v>1.2942217297742611</v>
      </c>
      <c r="F197" s="8">
        <f>Transport_1_hub!AW132</f>
        <v>243.62034245541923</v>
      </c>
      <c r="G197" s="8">
        <f>Transport_1_hub!AX132</f>
        <v>59.456794264870489</v>
      </c>
      <c r="H197" s="8">
        <f>Transport_1_hub!AY132</f>
        <v>0.81238327680675715</v>
      </c>
      <c r="I197" s="8">
        <f>Transport_1_hub!AZ132</f>
        <v>7.3147460691317407E-3</v>
      </c>
      <c r="J197" s="8">
        <f>Transport_1_hub!BA132</f>
        <v>11.015253634394881</v>
      </c>
      <c r="K197" s="8">
        <f>Transport_1_hub!BB132</f>
        <v>12.634662250650541</v>
      </c>
      <c r="L197" s="8">
        <f>Transport_1_hub!BC132</f>
        <v>0.70585700084456171</v>
      </c>
      <c r="M197" s="8">
        <f>Transport_1_hub!BD132</f>
        <v>0.24228564933625352</v>
      </c>
      <c r="N197" s="8">
        <f>Transport_1_hub!BE132</f>
        <v>1.6827854633673294</v>
      </c>
      <c r="O197" s="8">
        <f>Transport_1_hub!BF132</f>
        <v>5.8688696006080864E-2</v>
      </c>
      <c r="P197" s="8">
        <f>Transport_1_hub!BG132</f>
        <v>3.0165702661065922E-5</v>
      </c>
      <c r="Q197" s="8">
        <f>Transport_1_hub!BH132</f>
        <v>0.10658006421450153</v>
      </c>
      <c r="R197" s="8">
        <f>Transport_1_hub!BI132</f>
        <v>0.30944310734973723</v>
      </c>
      <c r="S197" s="8">
        <f>Transport_1_hub!BJ132</f>
        <v>2.9646402909165176E-2</v>
      </c>
      <c r="T197" s="8">
        <f>Transport_1_hub!BK132</f>
        <v>5.8036620641651751E-3</v>
      </c>
      <c r="U197" s="8">
        <f>Transport_1_hub!BL132</f>
        <v>0.86844634395244213</v>
      </c>
      <c r="V197" s="9">
        <f>Transport_1_hub!BM132</f>
        <v>0.27305264786837236</v>
      </c>
      <c r="X197" s="22"/>
      <c r="Y197" s="22"/>
      <c r="AG197" s="42"/>
      <c r="AL197" s="42"/>
    </row>
    <row r="198" spans="2:38" x14ac:dyDescent="0.25">
      <c r="B198" s="40">
        <f>Transport_1_hub!W133+Transport_1_hub!L133</f>
        <v>992.72567660045365</v>
      </c>
      <c r="C198" s="8">
        <f>Transport_1_hub!AT133</f>
        <v>236.14558403541923</v>
      </c>
      <c r="D198" s="8">
        <f>Transport_1_hub!AU133</f>
        <v>2440.7668006567546</v>
      </c>
      <c r="E198" s="8">
        <f>Transport_1_hub!AV133</f>
        <v>1.1763354769742611</v>
      </c>
      <c r="F198" s="8">
        <f>Transport_1_hub!AW133</f>
        <v>236.11185501541925</v>
      </c>
      <c r="G198" s="8">
        <f>Transport_1_hub!AX133</f>
        <v>56.99635306487049</v>
      </c>
      <c r="H198" s="8">
        <f>Transport_1_hub!AY133</f>
        <v>0.41132464480675712</v>
      </c>
      <c r="I198" s="8">
        <f>Transport_1_hub!AZ133</f>
        <v>6.245472801131741E-3</v>
      </c>
      <c r="J198" s="8">
        <f>Transport_1_hub!BA133</f>
        <v>9.2920268863948809</v>
      </c>
      <c r="K198" s="8">
        <f>Transport_1_hub!BB133</f>
        <v>12.124663610650542</v>
      </c>
      <c r="L198" s="8">
        <f>Transport_1_hub!BC133</f>
        <v>0.35700718484456173</v>
      </c>
      <c r="M198" s="8">
        <f>Transport_1_hub!BD133</f>
        <v>0.24136753984425352</v>
      </c>
      <c r="N198" s="8">
        <f>Transport_1_hub!BE133</f>
        <v>1.1598913353673297</v>
      </c>
      <c r="O198" s="8">
        <f>Transport_1_hub!BF133</f>
        <v>5.9177269330080863E-2</v>
      </c>
      <c r="P198" s="8">
        <f>Transport_1_hub!BG133</f>
        <v>2.9071287669065923E-5</v>
      </c>
      <c r="Q198" s="8">
        <f>Transport_1_hub!BH133</f>
        <v>9.7377700694501523E-2</v>
      </c>
      <c r="R198" s="8">
        <f>Transport_1_hub!BI133</f>
        <v>0.28960442890973725</v>
      </c>
      <c r="S198" s="8">
        <f>Transport_1_hub!BJ133</f>
        <v>1.0719139949165176E-2</v>
      </c>
      <c r="T198" s="8">
        <f>Transport_1_hub!BK133</f>
        <v>4.6581800441651746E-3</v>
      </c>
      <c r="U198" s="8">
        <f>Transport_1_hub!BL133</f>
        <v>0.67359014715244214</v>
      </c>
      <c r="V198" s="9">
        <f>Transport_1_hub!BM133</f>
        <v>0.25219710646837235</v>
      </c>
      <c r="X198" s="22"/>
      <c r="Y198" s="22"/>
      <c r="AG198" s="42"/>
      <c r="AL198" s="42"/>
    </row>
    <row r="199" spans="2:38" x14ac:dyDescent="0.25">
      <c r="B199" s="40">
        <f>Transport_1_hub!W134+Transport_1_hub!L134</f>
        <v>992.72567660045365</v>
      </c>
      <c r="C199" s="8">
        <f>Transport_1_hub!AT134</f>
        <v>236.14558403541923</v>
      </c>
      <c r="D199" s="8">
        <f>Transport_1_hub!AU134</f>
        <v>2440.7668006567546</v>
      </c>
      <c r="E199" s="8">
        <f>Transport_1_hub!AV134</f>
        <v>1.1763354769742611</v>
      </c>
      <c r="F199" s="8">
        <f>Transport_1_hub!AW134</f>
        <v>236.11185501541925</v>
      </c>
      <c r="G199" s="8">
        <f>Transport_1_hub!AX134</f>
        <v>56.99635306487049</v>
      </c>
      <c r="H199" s="8">
        <f>Transport_1_hub!AY134</f>
        <v>0.41132464480675712</v>
      </c>
      <c r="I199" s="8">
        <f>Transport_1_hub!AZ134</f>
        <v>6.245472801131741E-3</v>
      </c>
      <c r="J199" s="8">
        <f>Transport_1_hub!BA134</f>
        <v>9.2920268863948809</v>
      </c>
      <c r="K199" s="8">
        <f>Transport_1_hub!BB134</f>
        <v>12.124663610650542</v>
      </c>
      <c r="L199" s="8">
        <f>Transport_1_hub!BC134</f>
        <v>0.35700718484456173</v>
      </c>
      <c r="M199" s="8">
        <f>Transport_1_hub!BD134</f>
        <v>0.24136753984425352</v>
      </c>
      <c r="N199" s="8">
        <f>Transport_1_hub!BE134</f>
        <v>1.1598913353673297</v>
      </c>
      <c r="O199" s="8">
        <f>Transport_1_hub!BF134</f>
        <v>5.9177269330080863E-2</v>
      </c>
      <c r="P199" s="8">
        <f>Transport_1_hub!BG134</f>
        <v>2.9071287669065923E-5</v>
      </c>
      <c r="Q199" s="8">
        <f>Transport_1_hub!BH134</f>
        <v>9.7377700694501523E-2</v>
      </c>
      <c r="R199" s="8">
        <f>Transport_1_hub!BI134</f>
        <v>0.28960442890973725</v>
      </c>
      <c r="S199" s="8">
        <f>Transport_1_hub!BJ134</f>
        <v>1.0719139949165176E-2</v>
      </c>
      <c r="T199" s="8">
        <f>Transport_1_hub!BK134</f>
        <v>4.6581800441651746E-3</v>
      </c>
      <c r="U199" s="8">
        <f>Transport_1_hub!BL134</f>
        <v>0.67359014715244214</v>
      </c>
      <c r="V199" s="9">
        <f>Transport_1_hub!BM134</f>
        <v>0.25219710646837235</v>
      </c>
      <c r="X199" s="22"/>
      <c r="Y199" s="22"/>
      <c r="AG199" s="42"/>
      <c r="AL199" s="42"/>
    </row>
    <row r="200" spans="2:38" x14ac:dyDescent="0.25">
      <c r="B200" s="40">
        <f>Transport_1_hub!W135+Transport_1_hub!L135</f>
        <v>992.79467660045373</v>
      </c>
      <c r="C200" s="8">
        <f>Transport_1_hub!AT135</f>
        <v>236.16903023541923</v>
      </c>
      <c r="D200" s="8">
        <f>Transport_1_hub!AU135</f>
        <v>2441.1087681366316</v>
      </c>
      <c r="E200" s="8">
        <f>Transport_1_hub!AV135</f>
        <v>1.1766988033742611</v>
      </c>
      <c r="F200" s="8">
        <f>Transport_1_hub!AW135</f>
        <v>236.13499623541924</v>
      </c>
      <c r="G200" s="8">
        <f>Transport_1_hub!AX135</f>
        <v>57.003936164870488</v>
      </c>
      <c r="H200" s="8">
        <f>Transport_1_hub!AY135</f>
        <v>0.41256071080675716</v>
      </c>
      <c r="I200" s="8">
        <f>Transport_1_hub!AZ135</f>
        <v>6.2487683101317415E-3</v>
      </c>
      <c r="J200" s="8">
        <f>Transport_1_hub!BA135</f>
        <v>9.2973378853948816</v>
      </c>
      <c r="K200" s="8">
        <f>Transport_1_hub!BB135</f>
        <v>12.126235430650542</v>
      </c>
      <c r="L200" s="8">
        <f>Transport_1_hub!BC135</f>
        <v>0.3580823428445617</v>
      </c>
      <c r="M200" s="8">
        <f>Transport_1_hub!BD135</f>
        <v>0.2413703694652535</v>
      </c>
      <c r="N200" s="8">
        <f>Transport_1_hub!BE135</f>
        <v>1.1615028993673295</v>
      </c>
      <c r="O200" s="8">
        <f>Transport_1_hub!BF135</f>
        <v>5.9175763543080864E-2</v>
      </c>
      <c r="P200" s="8">
        <f>Transport_1_hub!BG135</f>
        <v>2.9074660665065925E-5</v>
      </c>
      <c r="Q200" s="8">
        <f>Transport_1_hub!BH135</f>
        <v>9.7406062454501521E-2</v>
      </c>
      <c r="R200" s="8">
        <f>Transport_1_hub!BI135</f>
        <v>0.28966557187973724</v>
      </c>
      <c r="S200" s="8">
        <f>Transport_1_hub!BJ135</f>
        <v>1.0777473929165175E-2</v>
      </c>
      <c r="T200" s="8">
        <f>Transport_1_hub!BK135</f>
        <v>4.6617104291651751E-3</v>
      </c>
      <c r="U200" s="8">
        <f>Transport_1_hub!BL135</f>
        <v>0.67419069555244215</v>
      </c>
      <c r="V200" s="9">
        <f>Transport_1_hub!BM135</f>
        <v>0.25226138341837234</v>
      </c>
      <c r="X200" s="22"/>
      <c r="Y200" s="22"/>
      <c r="AG200" s="42"/>
      <c r="AL200" s="42"/>
    </row>
    <row r="201" spans="2:38" x14ac:dyDescent="0.25">
      <c r="B201" s="40">
        <f>Transport_1_hub!W136+Transport_1_hub!L136</f>
        <v>993.50067660045363</v>
      </c>
      <c r="C201" s="8">
        <f>Transport_1_hub!AT136</f>
        <v>236.40892903541925</v>
      </c>
      <c r="D201" s="8">
        <f>Transport_1_hub!AU136</f>
        <v>2444.6077397423296</v>
      </c>
      <c r="E201" s="8">
        <f>Transport_1_hub!AV136</f>
        <v>1.1804163169742612</v>
      </c>
      <c r="F201" s="8">
        <f>Transport_1_hub!AW136</f>
        <v>236.37177451541925</v>
      </c>
      <c r="G201" s="8">
        <f>Transport_1_hub!AX136</f>
        <v>57.081525564870489</v>
      </c>
      <c r="H201" s="8">
        <f>Transport_1_hub!AY136</f>
        <v>0.42520799480675719</v>
      </c>
      <c r="I201" s="8">
        <f>Transport_1_hub!AZ136</f>
        <v>6.2824875761317411E-3</v>
      </c>
      <c r="J201" s="8">
        <f>Transport_1_hub!BA136</f>
        <v>9.3516794113948816</v>
      </c>
      <c r="K201" s="8">
        <f>Transport_1_hub!BB136</f>
        <v>12.142318110650542</v>
      </c>
      <c r="L201" s="8">
        <f>Transport_1_hub!BC136</f>
        <v>0.36908323484456174</v>
      </c>
      <c r="M201" s="8">
        <f>Transport_1_hub!BD136</f>
        <v>0.24139932181925353</v>
      </c>
      <c r="N201" s="8">
        <f>Transport_1_hub!BE136</f>
        <v>1.1779922353673296</v>
      </c>
      <c r="O201" s="8">
        <f>Transport_1_hub!BF136</f>
        <v>5.9160356505080863E-2</v>
      </c>
      <c r="P201" s="8">
        <f>Transport_1_hub!BG136</f>
        <v>2.9109172769065925E-5</v>
      </c>
      <c r="Q201" s="8">
        <f>Transport_1_hub!BH136</f>
        <v>9.7696256694501521E-2</v>
      </c>
      <c r="R201" s="8">
        <f>Transport_1_hub!BI136</f>
        <v>0.29029117965973722</v>
      </c>
      <c r="S201" s="8">
        <f>Transport_1_hub!BJ136</f>
        <v>1.1374340449165176E-2</v>
      </c>
      <c r="T201" s="8">
        <f>Transport_1_hub!BK136</f>
        <v>4.6978329191651753E-3</v>
      </c>
      <c r="U201" s="8">
        <f>Transport_1_hub!BL136</f>
        <v>0.68033543715244216</v>
      </c>
      <c r="V201" s="9">
        <f>Transport_1_hub!BM136</f>
        <v>0.25291905771837236</v>
      </c>
      <c r="X201" s="22"/>
      <c r="Y201" s="22"/>
      <c r="AG201" s="42"/>
      <c r="AL201" s="42"/>
    </row>
    <row r="202" spans="2:38" x14ac:dyDescent="0.25">
      <c r="B202" s="40">
        <f>Transport_1_hub!W137+Transport_1_hub!L137</f>
        <v>993.50067660045363</v>
      </c>
      <c r="C202" s="8">
        <f>Transport_1_hub!AT137</f>
        <v>236.40892903541925</v>
      </c>
      <c r="D202" s="8">
        <f>Transport_1_hub!AU137</f>
        <v>2444.6077397423296</v>
      </c>
      <c r="E202" s="8">
        <f>Transport_1_hub!AV137</f>
        <v>1.1804163169742612</v>
      </c>
      <c r="F202" s="8">
        <f>Transport_1_hub!AW137</f>
        <v>236.37177451541925</v>
      </c>
      <c r="G202" s="8">
        <f>Transport_1_hub!AX137</f>
        <v>57.081525564870489</v>
      </c>
      <c r="H202" s="8">
        <f>Transport_1_hub!AY137</f>
        <v>0.42520799480675719</v>
      </c>
      <c r="I202" s="8">
        <f>Transport_1_hub!AZ137</f>
        <v>6.2824875761317411E-3</v>
      </c>
      <c r="J202" s="8">
        <f>Transport_1_hub!BA137</f>
        <v>9.3516794113948816</v>
      </c>
      <c r="K202" s="8">
        <f>Transport_1_hub!BB137</f>
        <v>12.142318110650542</v>
      </c>
      <c r="L202" s="8">
        <f>Transport_1_hub!BC137</f>
        <v>0.36908323484456174</v>
      </c>
      <c r="M202" s="8">
        <f>Transport_1_hub!BD137</f>
        <v>0.24139932181925353</v>
      </c>
      <c r="N202" s="8">
        <f>Transport_1_hub!BE137</f>
        <v>1.1779922353673296</v>
      </c>
      <c r="O202" s="8">
        <f>Transport_1_hub!BF137</f>
        <v>5.9160356505080863E-2</v>
      </c>
      <c r="P202" s="8">
        <f>Transport_1_hub!BG137</f>
        <v>2.9109172769065925E-5</v>
      </c>
      <c r="Q202" s="8">
        <f>Transport_1_hub!BH137</f>
        <v>9.7696256694501521E-2</v>
      </c>
      <c r="R202" s="8">
        <f>Transport_1_hub!BI137</f>
        <v>0.29029117965973722</v>
      </c>
      <c r="S202" s="8">
        <f>Transport_1_hub!BJ137</f>
        <v>1.1374340449165176E-2</v>
      </c>
      <c r="T202" s="8">
        <f>Transport_1_hub!BK137</f>
        <v>4.6978329191651753E-3</v>
      </c>
      <c r="U202" s="8">
        <f>Transport_1_hub!BL137</f>
        <v>0.68033543715244216</v>
      </c>
      <c r="V202" s="9">
        <f>Transport_1_hub!BM137</f>
        <v>0.25291905771837236</v>
      </c>
      <c r="X202" s="22"/>
      <c r="Y202" s="22"/>
      <c r="AG202" s="42"/>
      <c r="AL202" s="42"/>
    </row>
    <row r="203" spans="2:38" x14ac:dyDescent="0.25">
      <c r="B203" s="40">
        <f>Transport_1_hub!W138+Transport_1_hub!L138</f>
        <v>993.50067660045363</v>
      </c>
      <c r="C203" s="8">
        <f>Transport_1_hub!AT138</f>
        <v>236.40892903541925</v>
      </c>
      <c r="D203" s="8">
        <f>Transport_1_hub!AU138</f>
        <v>2444.6077397423296</v>
      </c>
      <c r="E203" s="8">
        <f>Transport_1_hub!AV138</f>
        <v>1.1804163169742612</v>
      </c>
      <c r="F203" s="8">
        <f>Transport_1_hub!AW138</f>
        <v>236.37177451541925</v>
      </c>
      <c r="G203" s="8">
        <f>Transport_1_hub!AX138</f>
        <v>57.081525564870489</v>
      </c>
      <c r="H203" s="8">
        <f>Transport_1_hub!AY138</f>
        <v>0.42520799480675719</v>
      </c>
      <c r="I203" s="8">
        <f>Transport_1_hub!AZ138</f>
        <v>6.2824875761317411E-3</v>
      </c>
      <c r="J203" s="8">
        <f>Transport_1_hub!BA138</f>
        <v>9.3516794113948816</v>
      </c>
      <c r="K203" s="8">
        <f>Transport_1_hub!BB138</f>
        <v>12.142318110650542</v>
      </c>
      <c r="L203" s="8">
        <f>Transport_1_hub!BC138</f>
        <v>0.36908323484456174</v>
      </c>
      <c r="M203" s="8">
        <f>Transport_1_hub!BD138</f>
        <v>0.24139932181925353</v>
      </c>
      <c r="N203" s="8">
        <f>Transport_1_hub!BE138</f>
        <v>1.1779922353673296</v>
      </c>
      <c r="O203" s="8">
        <f>Transport_1_hub!BF138</f>
        <v>5.9160356505080863E-2</v>
      </c>
      <c r="P203" s="8">
        <f>Transport_1_hub!BG138</f>
        <v>2.9109172769065925E-5</v>
      </c>
      <c r="Q203" s="8">
        <f>Transport_1_hub!BH138</f>
        <v>9.7696256694501521E-2</v>
      </c>
      <c r="R203" s="8">
        <f>Transport_1_hub!BI138</f>
        <v>0.29029117965973722</v>
      </c>
      <c r="S203" s="8">
        <f>Transport_1_hub!BJ138</f>
        <v>1.1374340449165176E-2</v>
      </c>
      <c r="T203" s="8">
        <f>Transport_1_hub!BK138</f>
        <v>4.6978329191651753E-3</v>
      </c>
      <c r="U203" s="8">
        <f>Transport_1_hub!BL138</f>
        <v>0.68033543715244216</v>
      </c>
      <c r="V203" s="9">
        <f>Transport_1_hub!BM138</f>
        <v>0.25291905771837236</v>
      </c>
      <c r="X203" s="22"/>
      <c r="Y203" s="22"/>
      <c r="AG203" s="42"/>
      <c r="AL203" s="42"/>
    </row>
    <row r="204" spans="2:38" x14ac:dyDescent="0.25">
      <c r="B204" s="40">
        <f>Transport_1_hub!W139+Transport_1_hub!L139</f>
        <v>993.50067660045363</v>
      </c>
      <c r="C204" s="8">
        <f>Transport_1_hub!AT139</f>
        <v>236.40892903541925</v>
      </c>
      <c r="D204" s="8">
        <f>Transport_1_hub!AU139</f>
        <v>2444.6077397423296</v>
      </c>
      <c r="E204" s="8">
        <f>Transport_1_hub!AV139</f>
        <v>1.1804163169742612</v>
      </c>
      <c r="F204" s="8">
        <f>Transport_1_hub!AW139</f>
        <v>236.37177451541925</v>
      </c>
      <c r="G204" s="8">
        <f>Transport_1_hub!AX139</f>
        <v>57.081525564870489</v>
      </c>
      <c r="H204" s="8">
        <f>Transport_1_hub!AY139</f>
        <v>0.42520799480675719</v>
      </c>
      <c r="I204" s="8">
        <f>Transport_1_hub!AZ139</f>
        <v>6.2824875761317411E-3</v>
      </c>
      <c r="J204" s="8">
        <f>Transport_1_hub!BA139</f>
        <v>9.3516794113948816</v>
      </c>
      <c r="K204" s="8">
        <f>Transport_1_hub!BB139</f>
        <v>12.142318110650542</v>
      </c>
      <c r="L204" s="8">
        <f>Transport_1_hub!BC139</f>
        <v>0.36908323484456174</v>
      </c>
      <c r="M204" s="8">
        <f>Transport_1_hub!BD139</f>
        <v>0.24139932181925353</v>
      </c>
      <c r="N204" s="8">
        <f>Transport_1_hub!BE139</f>
        <v>1.1779922353673296</v>
      </c>
      <c r="O204" s="8">
        <f>Transport_1_hub!BF139</f>
        <v>5.9160356505080863E-2</v>
      </c>
      <c r="P204" s="8">
        <f>Transport_1_hub!BG139</f>
        <v>2.9109172769065925E-5</v>
      </c>
      <c r="Q204" s="8">
        <f>Transport_1_hub!BH139</f>
        <v>9.7696256694501521E-2</v>
      </c>
      <c r="R204" s="8">
        <f>Transport_1_hub!BI139</f>
        <v>0.29029117965973722</v>
      </c>
      <c r="S204" s="8">
        <f>Transport_1_hub!BJ139</f>
        <v>1.1374340449165176E-2</v>
      </c>
      <c r="T204" s="8">
        <f>Transport_1_hub!BK139</f>
        <v>4.6978329191651753E-3</v>
      </c>
      <c r="U204" s="8">
        <f>Transport_1_hub!BL139</f>
        <v>0.68033543715244216</v>
      </c>
      <c r="V204" s="9">
        <f>Transport_1_hub!BM139</f>
        <v>0.25291905771837236</v>
      </c>
      <c r="X204" s="22"/>
      <c r="Y204" s="22"/>
      <c r="AG204" s="42"/>
      <c r="AL204" s="42"/>
    </row>
    <row r="205" spans="2:38" x14ac:dyDescent="0.25">
      <c r="B205" s="40">
        <f>Transport_1_hub!W140+Transport_1_hub!L140</f>
        <v>993.50067660045363</v>
      </c>
      <c r="C205" s="8">
        <f>Transport_1_hub!AT140</f>
        <v>236.40892903541925</v>
      </c>
      <c r="D205" s="8">
        <f>Transport_1_hub!AU140</f>
        <v>2444.6077397423296</v>
      </c>
      <c r="E205" s="8">
        <f>Transport_1_hub!AV140</f>
        <v>1.1804163169742612</v>
      </c>
      <c r="F205" s="8">
        <f>Transport_1_hub!AW140</f>
        <v>236.37177451541925</v>
      </c>
      <c r="G205" s="8">
        <f>Transport_1_hub!AX140</f>
        <v>57.081525564870489</v>
      </c>
      <c r="H205" s="8">
        <f>Transport_1_hub!AY140</f>
        <v>0.42520799480675719</v>
      </c>
      <c r="I205" s="8">
        <f>Transport_1_hub!AZ140</f>
        <v>6.2824875761317411E-3</v>
      </c>
      <c r="J205" s="8">
        <f>Transport_1_hub!BA140</f>
        <v>9.3516794113948816</v>
      </c>
      <c r="K205" s="8">
        <f>Transport_1_hub!BB140</f>
        <v>12.142318110650542</v>
      </c>
      <c r="L205" s="8">
        <f>Transport_1_hub!BC140</f>
        <v>0.36908323484456174</v>
      </c>
      <c r="M205" s="8">
        <f>Transport_1_hub!BD140</f>
        <v>0.24139932181925353</v>
      </c>
      <c r="N205" s="8">
        <f>Transport_1_hub!BE140</f>
        <v>1.1779922353673296</v>
      </c>
      <c r="O205" s="8">
        <f>Transport_1_hub!BF140</f>
        <v>5.9160356505080863E-2</v>
      </c>
      <c r="P205" s="8">
        <f>Transport_1_hub!BG140</f>
        <v>2.9109172769065925E-5</v>
      </c>
      <c r="Q205" s="8">
        <f>Transport_1_hub!BH140</f>
        <v>9.7696256694501521E-2</v>
      </c>
      <c r="R205" s="8">
        <f>Transport_1_hub!BI140</f>
        <v>0.29029117965973722</v>
      </c>
      <c r="S205" s="8">
        <f>Transport_1_hub!BJ140</f>
        <v>1.1374340449165176E-2</v>
      </c>
      <c r="T205" s="8">
        <f>Transport_1_hub!BK140</f>
        <v>4.6978329191651753E-3</v>
      </c>
      <c r="U205" s="8">
        <f>Transport_1_hub!BL140</f>
        <v>0.68033543715244216</v>
      </c>
      <c r="V205" s="9">
        <f>Transport_1_hub!BM140</f>
        <v>0.25291905771837236</v>
      </c>
      <c r="X205" s="22"/>
      <c r="Y205" s="22"/>
      <c r="AG205" s="42"/>
      <c r="AL205" s="42"/>
    </row>
    <row r="206" spans="2:38" x14ac:dyDescent="0.25">
      <c r="B206" s="40">
        <f>Transport_1_hub!W141+Transport_1_hub!L141</f>
        <v>993.50067660045363</v>
      </c>
      <c r="C206" s="8">
        <f>Transport_1_hub!AT141</f>
        <v>236.40892903541925</v>
      </c>
      <c r="D206" s="8">
        <f>Transport_1_hub!AU141</f>
        <v>2444.6077397423296</v>
      </c>
      <c r="E206" s="8">
        <f>Transport_1_hub!AV141</f>
        <v>1.1804163169742612</v>
      </c>
      <c r="F206" s="8">
        <f>Transport_1_hub!AW141</f>
        <v>236.37177451541925</v>
      </c>
      <c r="G206" s="8">
        <f>Transport_1_hub!AX141</f>
        <v>57.081525564870489</v>
      </c>
      <c r="H206" s="8">
        <f>Transport_1_hub!AY141</f>
        <v>0.42520799480675719</v>
      </c>
      <c r="I206" s="8">
        <f>Transport_1_hub!AZ141</f>
        <v>6.2824875761317411E-3</v>
      </c>
      <c r="J206" s="8">
        <f>Transport_1_hub!BA141</f>
        <v>9.3516794113948816</v>
      </c>
      <c r="K206" s="8">
        <f>Transport_1_hub!BB141</f>
        <v>12.142318110650542</v>
      </c>
      <c r="L206" s="8">
        <f>Transport_1_hub!BC141</f>
        <v>0.36908323484456174</v>
      </c>
      <c r="M206" s="8">
        <f>Transport_1_hub!BD141</f>
        <v>0.24139932181925353</v>
      </c>
      <c r="N206" s="8">
        <f>Transport_1_hub!BE141</f>
        <v>1.1779922353673296</v>
      </c>
      <c r="O206" s="8">
        <f>Transport_1_hub!BF141</f>
        <v>5.9160356505080863E-2</v>
      </c>
      <c r="P206" s="8">
        <f>Transport_1_hub!BG141</f>
        <v>2.9109172769065925E-5</v>
      </c>
      <c r="Q206" s="8">
        <f>Transport_1_hub!BH141</f>
        <v>9.7696256694501521E-2</v>
      </c>
      <c r="R206" s="8">
        <f>Transport_1_hub!BI141</f>
        <v>0.29029117965973722</v>
      </c>
      <c r="S206" s="8">
        <f>Transport_1_hub!BJ141</f>
        <v>1.1374340449165176E-2</v>
      </c>
      <c r="T206" s="8">
        <f>Transport_1_hub!BK141</f>
        <v>4.6978329191651753E-3</v>
      </c>
      <c r="U206" s="8">
        <f>Transport_1_hub!BL141</f>
        <v>0.68033543715244216</v>
      </c>
      <c r="V206" s="9">
        <f>Transport_1_hub!BM141</f>
        <v>0.25291905771837236</v>
      </c>
      <c r="X206" s="22"/>
      <c r="Y206" s="22"/>
      <c r="AG206" s="42"/>
      <c r="AL206" s="42"/>
    </row>
    <row r="207" spans="2:38" x14ac:dyDescent="0.25">
      <c r="B207" s="40">
        <f>Transport_1_hub!W142+Transport_1_hub!L142</f>
        <v>1033.973063479905</v>
      </c>
      <c r="C207" s="8">
        <f>Transport_1_hub!AT142</f>
        <v>251.90910606716184</v>
      </c>
      <c r="D207" s="8">
        <f>Transport_1_hub!AU142</f>
        <v>2676.6851929408922</v>
      </c>
      <c r="E207" s="8">
        <f>Transport_1_hub!AV142</f>
        <v>1.4349176048108725</v>
      </c>
      <c r="F207" s="8">
        <f>Transport_1_hub!AW142</f>
        <v>251.65586658716185</v>
      </c>
      <c r="G207" s="8">
        <f>Transport_1_hub!AX142</f>
        <v>62.213184858914353</v>
      </c>
      <c r="H207" s="8">
        <f>Transport_1_hub!AY142</f>
        <v>1.3001334519925387</v>
      </c>
      <c r="I207" s="8">
        <f>Transport_1_hub!AZ142</f>
        <v>8.6047644313738472E-3</v>
      </c>
      <c r="J207" s="8">
        <f>Transport_1_hub!BA142</f>
        <v>13.096259036207687</v>
      </c>
      <c r="K207" s="8">
        <f>Transport_1_hub!BB142</f>
        <v>13.209611388346294</v>
      </c>
      <c r="L207" s="8">
        <f>Transport_1_hub!BC142</f>
        <v>1.1301937634026307</v>
      </c>
      <c r="M207" s="8">
        <f>Transport_1_hub!BD142</f>
        <v>0.24216824283190147</v>
      </c>
      <c r="N207" s="8">
        <f>Transport_1_hub!BE142</f>
        <v>2.3164499139968511</v>
      </c>
      <c r="O207" s="8">
        <f>Transport_1_hub!BF142</f>
        <v>5.7840072090052902E-2</v>
      </c>
      <c r="P207" s="8">
        <f>Transport_1_hub!BG142</f>
        <v>3.1375753714741908E-5</v>
      </c>
      <c r="Q207" s="8">
        <f>Transport_1_hub!BH142</f>
        <v>0.11752250423290315</v>
      </c>
      <c r="R207" s="8">
        <f>Transport_1_hub!BI142</f>
        <v>0.33299800798947432</v>
      </c>
      <c r="S207" s="8">
        <f>Transport_1_hub!BJ142</f>
        <v>5.2694348056931704E-2</v>
      </c>
      <c r="T207" s="8">
        <f>Transport_1_hub!BK142</f>
        <v>7.1883020869317011E-3</v>
      </c>
      <c r="U207" s="8">
        <f>Transport_1_hub!BL142</f>
        <v>1.1046022589330022</v>
      </c>
      <c r="V207" s="9">
        <f>Transport_1_hub!BM142</f>
        <v>0.29776254650303075</v>
      </c>
      <c r="X207" s="22"/>
      <c r="Y207" s="22"/>
      <c r="AG207" s="42"/>
      <c r="AL207" s="42"/>
    </row>
    <row r="208" spans="2:38" x14ac:dyDescent="0.25">
      <c r="B208" s="40">
        <f>Transport_1_hub!W143+Transport_1_hub!L143</f>
        <v>993.88967660045364</v>
      </c>
      <c r="C208" s="8">
        <f>Transport_1_hub!AT143</f>
        <v>236.54111123541924</v>
      </c>
      <c r="D208" s="8">
        <f>Transport_1_hub!AU143</f>
        <v>2446.5356433607667</v>
      </c>
      <c r="E208" s="8">
        <f>Transport_1_hub!AV143</f>
        <v>1.1824646353742612</v>
      </c>
      <c r="F208" s="8">
        <f>Transport_1_hub!AW143</f>
        <v>236.50223733541924</v>
      </c>
      <c r="G208" s="8">
        <f>Transport_1_hub!AX143</f>
        <v>57.124276664870493</v>
      </c>
      <c r="H208" s="8">
        <f>Transport_1_hub!AY143</f>
        <v>0.43217654080675716</v>
      </c>
      <c r="I208" s="8">
        <f>Transport_1_hub!AZ143</f>
        <v>6.3010666051317409E-3</v>
      </c>
      <c r="J208" s="8">
        <f>Transport_1_hub!BA143</f>
        <v>9.3816211303948815</v>
      </c>
      <c r="K208" s="8">
        <f>Transport_1_hub!BB143</f>
        <v>12.151179530650541</v>
      </c>
      <c r="L208" s="8">
        <f>Transport_1_hub!BC143</f>
        <v>0.37514463284456168</v>
      </c>
      <c r="M208" s="8">
        <f>Transport_1_hub!BD143</f>
        <v>0.2414152743202535</v>
      </c>
      <c r="N208" s="8">
        <f>Transport_1_hub!BE143</f>
        <v>1.1870777193673296</v>
      </c>
      <c r="O208" s="8">
        <f>Transport_1_hub!BF143</f>
        <v>5.915186735808086E-2</v>
      </c>
      <c r="P208" s="8">
        <f>Transport_1_hub!BG143</f>
        <v>2.9128188645065924E-5</v>
      </c>
      <c r="Q208" s="8">
        <f>Transport_1_hub!BH143</f>
        <v>9.7856151254501519E-2</v>
      </c>
      <c r="R208" s="8">
        <f>Transport_1_hub!BI143</f>
        <v>0.29063588422973724</v>
      </c>
      <c r="S208" s="8">
        <f>Transport_1_hub!BJ143</f>
        <v>1.1703208829165175E-2</v>
      </c>
      <c r="T208" s="8">
        <f>Transport_1_hub!BK143</f>
        <v>4.7177361041651749E-3</v>
      </c>
      <c r="U208" s="8">
        <f>Transport_1_hub!BL143</f>
        <v>0.68372113755244213</v>
      </c>
      <c r="V208" s="9">
        <f>Transport_1_hub!BM143</f>
        <v>0.25328143066837233</v>
      </c>
      <c r="X208" s="22"/>
      <c r="Y208" s="22"/>
      <c r="AG208" s="42"/>
      <c r="AL208" s="42"/>
    </row>
    <row r="209" spans="2:38" x14ac:dyDescent="0.25">
      <c r="B209" s="40">
        <f>Transport_1_hub!W144+Transport_1_hub!L144</f>
        <v>992.16067660045371</v>
      </c>
      <c r="C209" s="8">
        <f>Transport_1_hub!AT144</f>
        <v>235.95359703541925</v>
      </c>
      <c r="D209" s="8">
        <f>Transport_1_hub!AU144</f>
        <v>2437.9666321621094</v>
      </c>
      <c r="E209" s="8">
        <f>Transport_1_hub!AV144</f>
        <v>1.1733604129742612</v>
      </c>
      <c r="F209" s="8">
        <f>Transport_1_hub!AW144</f>
        <v>235.92236531541923</v>
      </c>
      <c r="G209" s="8">
        <f>Transport_1_hub!AX144</f>
        <v>56.934259564870487</v>
      </c>
      <c r="H209" s="8">
        <f>Transport_1_hub!AY144</f>
        <v>0.40120323480675713</v>
      </c>
      <c r="I209" s="8">
        <f>Transport_1_hub!AZ144</f>
        <v>6.2184878361317411E-3</v>
      </c>
      <c r="J209" s="8">
        <f>Transport_1_hub!BA144</f>
        <v>9.2485382713948816</v>
      </c>
      <c r="K209" s="8">
        <f>Transport_1_hub!BB144</f>
        <v>12.111792910650541</v>
      </c>
      <c r="L209" s="8">
        <f>Transport_1_hub!BC144</f>
        <v>0.34820335484456172</v>
      </c>
      <c r="M209" s="8">
        <f>Transport_1_hub!BD144</f>
        <v>0.24134436975925352</v>
      </c>
      <c r="N209" s="8">
        <f>Transport_1_hub!BE144</f>
        <v>1.1466951953673297</v>
      </c>
      <c r="O209" s="8">
        <f>Transport_1_hub!BF144</f>
        <v>5.9189599325080861E-2</v>
      </c>
      <c r="P209" s="8">
        <f>Transport_1_hub!BG144</f>
        <v>2.9043668209065923E-5</v>
      </c>
      <c r="Q209" s="8">
        <f>Transport_1_hub!BH144</f>
        <v>9.7145463094501519E-2</v>
      </c>
      <c r="R209" s="8">
        <f>Transport_1_hub!BI144</f>
        <v>0.28910376545973726</v>
      </c>
      <c r="S209" s="8">
        <f>Transport_1_hub!BJ144</f>
        <v>1.0241477649165175E-2</v>
      </c>
      <c r="T209" s="8">
        <f>Transport_1_hub!BK144</f>
        <v>4.6292718191651748E-3</v>
      </c>
      <c r="U209" s="8">
        <f>Transport_1_hub!BL144</f>
        <v>0.66867261315244209</v>
      </c>
      <c r="V209" s="9">
        <f>Transport_1_hub!BM144</f>
        <v>0.25167078071837234</v>
      </c>
      <c r="X209" s="22"/>
      <c r="Y209" s="22"/>
      <c r="AG209" s="42"/>
      <c r="AL209" s="42"/>
    </row>
    <row r="210" spans="2:38" x14ac:dyDescent="0.25">
      <c r="B210" s="40">
        <f>Transport_1_hub!W145+Transport_1_hub!L145</f>
        <v>992.16067660045371</v>
      </c>
      <c r="C210" s="8">
        <f>Transport_1_hub!AT145</f>
        <v>235.95359703541925</v>
      </c>
      <c r="D210" s="8">
        <f>Transport_1_hub!AU145</f>
        <v>2437.9666321621094</v>
      </c>
      <c r="E210" s="8">
        <f>Transport_1_hub!AV145</f>
        <v>1.1733604129742612</v>
      </c>
      <c r="F210" s="8">
        <f>Transport_1_hub!AW145</f>
        <v>235.92236531541923</v>
      </c>
      <c r="G210" s="8">
        <f>Transport_1_hub!AX145</f>
        <v>56.934259564870487</v>
      </c>
      <c r="H210" s="8">
        <f>Transport_1_hub!AY145</f>
        <v>0.40120323480675713</v>
      </c>
      <c r="I210" s="8">
        <f>Transport_1_hub!AZ145</f>
        <v>6.2184878361317411E-3</v>
      </c>
      <c r="J210" s="8">
        <f>Transport_1_hub!BA145</f>
        <v>9.2485382713948816</v>
      </c>
      <c r="K210" s="8">
        <f>Transport_1_hub!BB145</f>
        <v>12.111792910650541</v>
      </c>
      <c r="L210" s="8">
        <f>Transport_1_hub!BC145</f>
        <v>0.34820335484456172</v>
      </c>
      <c r="M210" s="8">
        <f>Transport_1_hub!BD145</f>
        <v>0.24134436975925352</v>
      </c>
      <c r="N210" s="8">
        <f>Transport_1_hub!BE145</f>
        <v>1.1466951953673297</v>
      </c>
      <c r="O210" s="8">
        <f>Transport_1_hub!BF145</f>
        <v>5.9189599325080861E-2</v>
      </c>
      <c r="P210" s="8">
        <f>Transport_1_hub!BG145</f>
        <v>2.9043668209065923E-5</v>
      </c>
      <c r="Q210" s="8">
        <f>Transport_1_hub!BH145</f>
        <v>9.7145463094501519E-2</v>
      </c>
      <c r="R210" s="8">
        <f>Transport_1_hub!BI145</f>
        <v>0.28910376545973726</v>
      </c>
      <c r="S210" s="8">
        <f>Transport_1_hub!BJ145</f>
        <v>1.0241477649165175E-2</v>
      </c>
      <c r="T210" s="8">
        <f>Transport_1_hub!BK145</f>
        <v>4.6292718191651748E-3</v>
      </c>
      <c r="U210" s="8">
        <f>Transport_1_hub!BL145</f>
        <v>0.66867261315244209</v>
      </c>
      <c r="V210" s="9">
        <f>Transport_1_hub!BM145</f>
        <v>0.25167078071837234</v>
      </c>
      <c r="X210" s="22"/>
      <c r="Y210" s="22"/>
      <c r="AG210" s="42"/>
      <c r="AL210" s="42"/>
    </row>
    <row r="211" spans="2:38" x14ac:dyDescent="0.25">
      <c r="B211" s="40">
        <f>Transport_1_hub!W146+Transport_1_hub!L146</f>
        <v>993.7286766004537</v>
      </c>
      <c r="C211" s="8">
        <f>Transport_1_hub!AT146</f>
        <v>236.48640343541925</v>
      </c>
      <c r="D211" s="8">
        <f>Transport_1_hub!AU146</f>
        <v>2445.7377192410536</v>
      </c>
      <c r="E211" s="8">
        <f>Transport_1_hub!AV146</f>
        <v>1.1816168737742612</v>
      </c>
      <c r="F211" s="8">
        <f>Transport_1_hub!AW146</f>
        <v>236.44824115541923</v>
      </c>
      <c r="G211" s="8">
        <f>Transport_1_hub!AX146</f>
        <v>57.106582764870488</v>
      </c>
      <c r="H211" s="8">
        <f>Transport_1_hub!AY146</f>
        <v>0.42929238680675719</v>
      </c>
      <c r="I211" s="8">
        <f>Transport_1_hub!AZ146</f>
        <v>6.2933770841317408E-3</v>
      </c>
      <c r="J211" s="8">
        <f>Transport_1_hub!BA146</f>
        <v>9.3692287993948806</v>
      </c>
      <c r="K211" s="8">
        <f>Transport_1_hub!BB146</f>
        <v>12.147511950650541</v>
      </c>
      <c r="L211" s="8">
        <f>Transport_1_hub!BC146</f>
        <v>0.3726359308445617</v>
      </c>
      <c r="M211" s="8">
        <f>Transport_1_hub!BD146</f>
        <v>0.24140867187125351</v>
      </c>
      <c r="N211" s="8">
        <f>Transport_1_hub!BE146</f>
        <v>1.1833174033673295</v>
      </c>
      <c r="O211" s="8">
        <f>Transport_1_hub!BF146</f>
        <v>5.915538086108086E-2</v>
      </c>
      <c r="P211" s="8">
        <f>Transport_1_hub!BG146</f>
        <v>2.9120318321065923E-5</v>
      </c>
      <c r="Q211" s="8">
        <f>Transport_1_hub!BH146</f>
        <v>9.7789973814501524E-2</v>
      </c>
      <c r="R211" s="8">
        <f>Transport_1_hub!BI146</f>
        <v>0.29049321729973726</v>
      </c>
      <c r="S211" s="8">
        <f>Transport_1_hub!BJ146</f>
        <v>1.1567096209165175E-2</v>
      </c>
      <c r="T211" s="8">
        <f>Transport_1_hub!BK146</f>
        <v>4.7094985391651746E-3</v>
      </c>
      <c r="U211" s="8">
        <f>Transport_1_hub!BL146</f>
        <v>0.6823198579524421</v>
      </c>
      <c r="V211" s="9">
        <f>Transport_1_hub!BM146</f>
        <v>0.25313145111837237</v>
      </c>
      <c r="X211" s="22"/>
      <c r="Y211" s="22"/>
      <c r="AG211" s="42"/>
      <c r="AL211" s="42"/>
    </row>
    <row r="212" spans="2:38" x14ac:dyDescent="0.25">
      <c r="B212" s="40">
        <f>Transport_1_hub!W147+Transport_1_hub!L147</f>
        <v>994.21967660045368</v>
      </c>
      <c r="C212" s="8">
        <f>Transport_1_hub!AT147</f>
        <v>236.65324523541923</v>
      </c>
      <c r="D212" s="8">
        <f>Transport_1_hub!AU147</f>
        <v>2448.1711400036565</v>
      </c>
      <c r="E212" s="8">
        <f>Transport_1_hub!AV147</f>
        <v>1.1842022833742611</v>
      </c>
      <c r="F212" s="8">
        <f>Transport_1_hub!AW147</f>
        <v>236.61291273541923</v>
      </c>
      <c r="G212" s="8">
        <f>Transport_1_hub!AX147</f>
        <v>57.160543664870488</v>
      </c>
      <c r="H212" s="8">
        <f>Transport_1_hub!AY147</f>
        <v>0.43808816080675717</v>
      </c>
      <c r="I212" s="8">
        <f>Transport_1_hub!AZ147</f>
        <v>6.3168277351317408E-3</v>
      </c>
      <c r="J212" s="8">
        <f>Transport_1_hub!BA147</f>
        <v>9.407021560394881</v>
      </c>
      <c r="K212" s="8">
        <f>Transport_1_hub!BB147</f>
        <v>12.158696930650542</v>
      </c>
      <c r="L212" s="8">
        <f>Transport_1_hub!BC147</f>
        <v>0.38028669284456174</v>
      </c>
      <c r="M212" s="8">
        <f>Transport_1_hub!BD147</f>
        <v>0.24142880729025351</v>
      </c>
      <c r="N212" s="8">
        <f>Transport_1_hub!BE147</f>
        <v>1.1947851993673295</v>
      </c>
      <c r="O212" s="8">
        <f>Transport_1_hub!BF147</f>
        <v>5.9144665768080862E-2</v>
      </c>
      <c r="P212" s="8">
        <f>Transport_1_hub!BG147</f>
        <v>2.9144320365065924E-5</v>
      </c>
      <c r="Q212" s="8">
        <f>Transport_1_hub!BH147</f>
        <v>9.7991794454501527E-2</v>
      </c>
      <c r="R212" s="8">
        <f>Transport_1_hub!BI147</f>
        <v>0.29092830712973722</v>
      </c>
      <c r="S212" s="8">
        <f>Transport_1_hub!BJ147</f>
        <v>1.1982197429165176E-2</v>
      </c>
      <c r="T212" s="8">
        <f>Transport_1_hub!BK147</f>
        <v>4.7346205541651748E-3</v>
      </c>
      <c r="U212" s="8">
        <f>Transport_1_hub!BL147</f>
        <v>0.68659332555244212</v>
      </c>
      <c r="V212" s="9">
        <f>Transport_1_hub!BM147</f>
        <v>0.25358884216837235</v>
      </c>
      <c r="X212" s="22"/>
      <c r="Y212" s="22"/>
      <c r="AG212" s="42"/>
      <c r="AL212" s="42"/>
    </row>
    <row r="213" spans="2:38" x14ac:dyDescent="0.25">
      <c r="B213" s="40">
        <f>Transport_1_hub!W148+Transport_1_hub!L148</f>
        <v>995.74567660045363</v>
      </c>
      <c r="C213" s="8">
        <f>Transport_1_hub!AT148</f>
        <v>237.17178003541923</v>
      </c>
      <c r="D213" s="8">
        <f>Transport_1_hub!AU148</f>
        <v>2455.7340729644147</v>
      </c>
      <c r="E213" s="8">
        <f>Transport_1_hub!AV148</f>
        <v>1.1922375889742611</v>
      </c>
      <c r="F213" s="8">
        <f>Transport_1_hub!AW148</f>
        <v>237.12470261541924</v>
      </c>
      <c r="G213" s="8">
        <f>Transport_1_hub!AX148</f>
        <v>57.328251064870493</v>
      </c>
      <c r="H213" s="8">
        <f>Transport_1_hub!AY148</f>
        <v>0.46542492480675712</v>
      </c>
      <c r="I213" s="8">
        <f>Transport_1_hub!AZ148</f>
        <v>6.3897110211317415E-3</v>
      </c>
      <c r="J213" s="8">
        <f>Transport_1_hub!BA148</f>
        <v>9.5244793063948805</v>
      </c>
      <c r="K213" s="8">
        <f>Transport_1_hub!BB148</f>
        <v>12.193459210650541</v>
      </c>
      <c r="L213" s="8">
        <f>Transport_1_hub!BC148</f>
        <v>0.40406482484456174</v>
      </c>
      <c r="M213" s="8">
        <f>Transport_1_hub!BD148</f>
        <v>0.24149138702425352</v>
      </c>
      <c r="N213" s="8">
        <f>Transport_1_hub!BE148</f>
        <v>1.2304264553673296</v>
      </c>
      <c r="O213" s="8">
        <f>Transport_1_hub!BF148</f>
        <v>5.9111363870080862E-2</v>
      </c>
      <c r="P213" s="8">
        <f>Transport_1_hub!BG148</f>
        <v>2.9218917349065922E-5</v>
      </c>
      <c r="Q213" s="8">
        <f>Transport_1_hub!BH148</f>
        <v>9.8619041494501528E-2</v>
      </c>
      <c r="R213" s="8">
        <f>Transport_1_hub!BI148</f>
        <v>0.29228054150973726</v>
      </c>
      <c r="S213" s="8">
        <f>Transport_1_hub!BJ148</f>
        <v>1.3272308349165176E-2</v>
      </c>
      <c r="T213" s="8">
        <f>Transport_1_hub!BK148</f>
        <v>4.8126983441651745E-3</v>
      </c>
      <c r="U213" s="8">
        <f>Transport_1_hub!BL148</f>
        <v>0.6998750191524421</v>
      </c>
      <c r="V213" s="9">
        <f>Transport_1_hub!BM148</f>
        <v>0.25501038746837235</v>
      </c>
      <c r="X213" s="22"/>
      <c r="Y213" s="22"/>
      <c r="AG213" s="42"/>
      <c r="AL213" s="42"/>
    </row>
    <row r="214" spans="2:38" x14ac:dyDescent="0.25">
      <c r="B214" s="40">
        <f>Transport_1_hub!W149+Transport_1_hub!L149</f>
        <v>995.74567660045363</v>
      </c>
      <c r="C214" s="8">
        <f>Transport_1_hub!AT149</f>
        <v>237.17178003541923</v>
      </c>
      <c r="D214" s="8">
        <f>Transport_1_hub!AU149</f>
        <v>2455.7340729644147</v>
      </c>
      <c r="E214" s="8">
        <f>Transport_1_hub!AV149</f>
        <v>1.1922375889742611</v>
      </c>
      <c r="F214" s="8">
        <f>Transport_1_hub!AW149</f>
        <v>237.12470261541924</v>
      </c>
      <c r="G214" s="8">
        <f>Transport_1_hub!AX149</f>
        <v>57.328251064870493</v>
      </c>
      <c r="H214" s="8">
        <f>Transport_1_hub!AY149</f>
        <v>0.46542492480675712</v>
      </c>
      <c r="I214" s="8">
        <f>Transport_1_hub!AZ149</f>
        <v>6.3897110211317415E-3</v>
      </c>
      <c r="J214" s="8">
        <f>Transport_1_hub!BA149</f>
        <v>9.5244793063948805</v>
      </c>
      <c r="K214" s="8">
        <f>Transport_1_hub!BB149</f>
        <v>12.193459210650541</v>
      </c>
      <c r="L214" s="8">
        <f>Transport_1_hub!BC149</f>
        <v>0.40406482484456174</v>
      </c>
      <c r="M214" s="8">
        <f>Transport_1_hub!BD149</f>
        <v>0.24149138702425352</v>
      </c>
      <c r="N214" s="8">
        <f>Transport_1_hub!BE149</f>
        <v>1.2304264553673296</v>
      </c>
      <c r="O214" s="8">
        <f>Transport_1_hub!BF149</f>
        <v>5.9111363870080862E-2</v>
      </c>
      <c r="P214" s="8">
        <f>Transport_1_hub!BG149</f>
        <v>2.9218917349065922E-5</v>
      </c>
      <c r="Q214" s="8">
        <f>Transport_1_hub!BH149</f>
        <v>9.8619041494501528E-2</v>
      </c>
      <c r="R214" s="8">
        <f>Transport_1_hub!BI149</f>
        <v>0.29228054150973726</v>
      </c>
      <c r="S214" s="8">
        <f>Transport_1_hub!BJ149</f>
        <v>1.3272308349165176E-2</v>
      </c>
      <c r="T214" s="8">
        <f>Transport_1_hub!BK149</f>
        <v>4.8126983441651745E-3</v>
      </c>
      <c r="U214" s="8">
        <f>Transport_1_hub!BL149</f>
        <v>0.6998750191524421</v>
      </c>
      <c r="V214" s="9">
        <f>Transport_1_hub!BM149</f>
        <v>0.25501038746837235</v>
      </c>
      <c r="X214" s="22"/>
      <c r="Y214" s="22"/>
      <c r="AG214" s="42"/>
      <c r="AL214" s="42"/>
    </row>
    <row r="215" spans="2:38" x14ac:dyDescent="0.25">
      <c r="B215" s="40">
        <f>Transport_1_hub!W150+Transport_1_hub!L150</f>
        <v>1022.9862088037758</v>
      </c>
      <c r="C215" s="8">
        <f>Transport_1_hub!AT150</f>
        <v>243.2022207917708</v>
      </c>
      <c r="D215" s="8">
        <f>Transport_1_hub!AU150</f>
        <v>2532.6364689143102</v>
      </c>
      <c r="E215" s="8">
        <f>Transport_1_hub!AV150</f>
        <v>1.259335709750818</v>
      </c>
      <c r="F215" s="8">
        <f>Transport_1_hub!AW150</f>
        <v>243.1033321317708</v>
      </c>
      <c r="G215" s="8">
        <f>Transport_1_hub!AX150</f>
        <v>59.060509590554645</v>
      </c>
      <c r="H215" s="8">
        <f>Transport_1_hub!AY150</f>
        <v>0.67698523407086841</v>
      </c>
      <c r="I215" s="8">
        <f>Transport_1_hub!AZ150</f>
        <v>6.9728803418479101E-3</v>
      </c>
      <c r="J215" s="8">
        <f>Transport_1_hub!BA150</f>
        <v>10.460602273267549</v>
      </c>
      <c r="K215" s="8">
        <f>Transport_1_hub!BB150</f>
        <v>12.545881027374429</v>
      </c>
      <c r="L215" s="8">
        <f>Transport_1_hub!BC150</f>
        <v>0.58793614330285004</v>
      </c>
      <c r="M215" s="8">
        <f>Transport_1_hub!BD150</f>
        <v>0.24424969233640265</v>
      </c>
      <c r="N215" s="8">
        <f>Transport_1_hub!BE150</f>
        <v>1.5104111913540392</v>
      </c>
      <c r="O215" s="8">
        <f>Transport_1_hub!BF150</f>
        <v>5.9322157521048503E-2</v>
      </c>
      <c r="P215" s="8">
        <f>Transport_1_hub!BG150</f>
        <v>3.001889639790624E-5</v>
      </c>
      <c r="Q215" s="8">
        <f>Transport_1_hub!BH150</f>
        <v>0.10393192408026186</v>
      </c>
      <c r="R215" s="8">
        <f>Transport_1_hub!BI150</f>
        <v>0.3037988514716044</v>
      </c>
      <c r="S215" s="8">
        <f>Transport_1_hub!BJ150</f>
        <v>2.3202369578984684E-2</v>
      </c>
      <c r="T215" s="8">
        <f>Transport_1_hub!BK150</f>
        <v>5.4325024639846802E-3</v>
      </c>
      <c r="U215" s="8">
        <f>Transport_1_hub!BL150</f>
        <v>0.80417253660148935</v>
      </c>
      <c r="V215" s="9">
        <f>Transport_1_hub!BM150</f>
        <v>0.26721560789462701</v>
      </c>
      <c r="X215" s="22"/>
      <c r="Y215" s="22"/>
      <c r="AG215" s="42"/>
      <c r="AL215" s="42"/>
    </row>
    <row r="216" spans="2:38" x14ac:dyDescent="0.25">
      <c r="B216" s="40">
        <f>Transport_1_hub!W151+Transport_1_hub!L151</f>
        <v>1022.9862088037758</v>
      </c>
      <c r="C216" s="8">
        <f>Transport_1_hub!AT151</f>
        <v>243.2022207917708</v>
      </c>
      <c r="D216" s="8">
        <f>Transport_1_hub!AU151</f>
        <v>2532.6364689143102</v>
      </c>
      <c r="E216" s="8">
        <f>Transport_1_hub!AV151</f>
        <v>1.259335709750818</v>
      </c>
      <c r="F216" s="8">
        <f>Transport_1_hub!AW151</f>
        <v>243.1033321317708</v>
      </c>
      <c r="G216" s="8">
        <f>Transport_1_hub!AX151</f>
        <v>59.060509590554645</v>
      </c>
      <c r="H216" s="8">
        <f>Transport_1_hub!AY151</f>
        <v>0.67698523407086841</v>
      </c>
      <c r="I216" s="8">
        <f>Transport_1_hub!AZ151</f>
        <v>6.9728803418479101E-3</v>
      </c>
      <c r="J216" s="8">
        <f>Transport_1_hub!BA151</f>
        <v>10.460602273267549</v>
      </c>
      <c r="K216" s="8">
        <f>Transport_1_hub!BB151</f>
        <v>12.545881027374429</v>
      </c>
      <c r="L216" s="8">
        <f>Transport_1_hub!BC151</f>
        <v>0.58793614330285004</v>
      </c>
      <c r="M216" s="8">
        <f>Transport_1_hub!BD151</f>
        <v>0.24424969233640265</v>
      </c>
      <c r="N216" s="8">
        <f>Transport_1_hub!BE151</f>
        <v>1.5104111913540392</v>
      </c>
      <c r="O216" s="8">
        <f>Transport_1_hub!BF151</f>
        <v>5.9322157521048503E-2</v>
      </c>
      <c r="P216" s="8">
        <f>Transport_1_hub!BG151</f>
        <v>3.001889639790624E-5</v>
      </c>
      <c r="Q216" s="8">
        <f>Transport_1_hub!BH151</f>
        <v>0.10393192408026186</v>
      </c>
      <c r="R216" s="8">
        <f>Transport_1_hub!BI151</f>
        <v>0.3037988514716044</v>
      </c>
      <c r="S216" s="8">
        <f>Transport_1_hub!BJ151</f>
        <v>2.3202369578984684E-2</v>
      </c>
      <c r="T216" s="8">
        <f>Transport_1_hub!BK151</f>
        <v>5.4325024639846802E-3</v>
      </c>
      <c r="U216" s="8">
        <f>Transport_1_hub!BL151</f>
        <v>0.80417253660148935</v>
      </c>
      <c r="V216" s="9">
        <f>Transport_1_hub!BM151</f>
        <v>0.26721560789462701</v>
      </c>
      <c r="X216" s="22"/>
      <c r="Y216" s="22"/>
      <c r="AG216" s="42"/>
      <c r="AL216" s="42"/>
    </row>
    <row r="217" spans="2:38" x14ac:dyDescent="0.25">
      <c r="B217" s="40">
        <f>Transport_1_hub!W152+Transport_1_hub!L152</f>
        <v>1022.9862088037758</v>
      </c>
      <c r="C217" s="8">
        <f>Transport_1_hub!AT152</f>
        <v>243.2022207917708</v>
      </c>
      <c r="D217" s="8">
        <f>Transport_1_hub!AU152</f>
        <v>2532.6364689143102</v>
      </c>
      <c r="E217" s="8">
        <f>Transport_1_hub!AV152</f>
        <v>1.259335709750818</v>
      </c>
      <c r="F217" s="8">
        <f>Transport_1_hub!AW152</f>
        <v>243.1033321317708</v>
      </c>
      <c r="G217" s="8">
        <f>Transport_1_hub!AX152</f>
        <v>59.060509590554645</v>
      </c>
      <c r="H217" s="8">
        <f>Transport_1_hub!AY152</f>
        <v>0.67698523407086841</v>
      </c>
      <c r="I217" s="8">
        <f>Transport_1_hub!AZ152</f>
        <v>6.9728803418479101E-3</v>
      </c>
      <c r="J217" s="8">
        <f>Transport_1_hub!BA152</f>
        <v>10.460602273267549</v>
      </c>
      <c r="K217" s="8">
        <f>Transport_1_hub!BB152</f>
        <v>12.545881027374429</v>
      </c>
      <c r="L217" s="8">
        <f>Transport_1_hub!BC152</f>
        <v>0.58793614330285004</v>
      </c>
      <c r="M217" s="8">
        <f>Transport_1_hub!BD152</f>
        <v>0.24424969233640265</v>
      </c>
      <c r="N217" s="8">
        <f>Transport_1_hub!BE152</f>
        <v>1.5104111913540392</v>
      </c>
      <c r="O217" s="8">
        <f>Transport_1_hub!BF152</f>
        <v>5.9322157521048503E-2</v>
      </c>
      <c r="P217" s="8">
        <f>Transport_1_hub!BG152</f>
        <v>3.001889639790624E-5</v>
      </c>
      <c r="Q217" s="8">
        <f>Transport_1_hub!BH152</f>
        <v>0.10393192408026186</v>
      </c>
      <c r="R217" s="8">
        <f>Transport_1_hub!BI152</f>
        <v>0.3037988514716044</v>
      </c>
      <c r="S217" s="8">
        <f>Transport_1_hub!BJ152</f>
        <v>2.3202369578984684E-2</v>
      </c>
      <c r="T217" s="8">
        <f>Transport_1_hub!BK152</f>
        <v>5.4325024639846802E-3</v>
      </c>
      <c r="U217" s="8">
        <f>Transport_1_hub!BL152</f>
        <v>0.80417253660148935</v>
      </c>
      <c r="V217" s="9">
        <f>Transport_1_hub!BM152</f>
        <v>0.26721560789462701</v>
      </c>
      <c r="X217" s="22"/>
      <c r="Y217" s="22"/>
      <c r="AG217" s="42"/>
      <c r="AL217" s="42"/>
    </row>
    <row r="218" spans="2:38" x14ac:dyDescent="0.25">
      <c r="B218" s="40">
        <f>Transport_1_hub!W153+Transport_1_hub!L153</f>
        <v>1022.9862088037758</v>
      </c>
      <c r="C218" s="8">
        <f>Transport_1_hub!AT153</f>
        <v>243.2022207917708</v>
      </c>
      <c r="D218" s="8">
        <f>Transport_1_hub!AU153</f>
        <v>2532.6364689143102</v>
      </c>
      <c r="E218" s="8">
        <f>Transport_1_hub!AV153</f>
        <v>1.259335709750818</v>
      </c>
      <c r="F218" s="8">
        <f>Transport_1_hub!AW153</f>
        <v>243.1033321317708</v>
      </c>
      <c r="G218" s="8">
        <f>Transport_1_hub!AX153</f>
        <v>59.060509590554645</v>
      </c>
      <c r="H218" s="8">
        <f>Transport_1_hub!AY153</f>
        <v>0.67698523407086841</v>
      </c>
      <c r="I218" s="8">
        <f>Transport_1_hub!AZ153</f>
        <v>6.9728803418479101E-3</v>
      </c>
      <c r="J218" s="8">
        <f>Transport_1_hub!BA153</f>
        <v>10.460602273267549</v>
      </c>
      <c r="K218" s="8">
        <f>Transport_1_hub!BB153</f>
        <v>12.545881027374429</v>
      </c>
      <c r="L218" s="8">
        <f>Transport_1_hub!BC153</f>
        <v>0.58793614330285004</v>
      </c>
      <c r="M218" s="8">
        <f>Transport_1_hub!BD153</f>
        <v>0.24424969233640265</v>
      </c>
      <c r="N218" s="8">
        <f>Transport_1_hub!BE153</f>
        <v>1.5104111913540392</v>
      </c>
      <c r="O218" s="8">
        <f>Transport_1_hub!BF153</f>
        <v>5.9322157521048503E-2</v>
      </c>
      <c r="P218" s="8">
        <f>Transport_1_hub!BG153</f>
        <v>3.001889639790624E-5</v>
      </c>
      <c r="Q218" s="8">
        <f>Transport_1_hub!BH153</f>
        <v>0.10393192408026186</v>
      </c>
      <c r="R218" s="8">
        <f>Transport_1_hub!BI153</f>
        <v>0.3037988514716044</v>
      </c>
      <c r="S218" s="8">
        <f>Transport_1_hub!BJ153</f>
        <v>2.3202369578984684E-2</v>
      </c>
      <c r="T218" s="8">
        <f>Transport_1_hub!BK153</f>
        <v>5.4325024639846802E-3</v>
      </c>
      <c r="U218" s="8">
        <f>Transport_1_hub!BL153</f>
        <v>0.80417253660148935</v>
      </c>
      <c r="V218" s="9">
        <f>Transport_1_hub!BM153</f>
        <v>0.26721560789462701</v>
      </c>
      <c r="X218" s="22"/>
      <c r="Y218" s="22"/>
      <c r="AG218" s="42"/>
      <c r="AL218" s="42"/>
    </row>
    <row r="219" spans="2:38" x14ac:dyDescent="0.25">
      <c r="B219" s="40">
        <f>Transport_1_hub!W154+Transport_1_hub!L154</f>
        <v>1022.9862088037758</v>
      </c>
      <c r="C219" s="8">
        <f>Transport_1_hub!AT154</f>
        <v>243.2022207917708</v>
      </c>
      <c r="D219" s="8">
        <f>Transport_1_hub!AU154</f>
        <v>2532.6364689143102</v>
      </c>
      <c r="E219" s="8">
        <f>Transport_1_hub!AV154</f>
        <v>1.259335709750818</v>
      </c>
      <c r="F219" s="8">
        <f>Transport_1_hub!AW154</f>
        <v>243.1033321317708</v>
      </c>
      <c r="G219" s="8">
        <f>Transport_1_hub!AX154</f>
        <v>59.060509590554645</v>
      </c>
      <c r="H219" s="8">
        <f>Transport_1_hub!AY154</f>
        <v>0.67698523407086841</v>
      </c>
      <c r="I219" s="8">
        <f>Transport_1_hub!AZ154</f>
        <v>6.9728803418479101E-3</v>
      </c>
      <c r="J219" s="8">
        <f>Transport_1_hub!BA154</f>
        <v>10.460602273267549</v>
      </c>
      <c r="K219" s="8">
        <f>Transport_1_hub!BB154</f>
        <v>12.545881027374429</v>
      </c>
      <c r="L219" s="8">
        <f>Transport_1_hub!BC154</f>
        <v>0.58793614330285004</v>
      </c>
      <c r="M219" s="8">
        <f>Transport_1_hub!BD154</f>
        <v>0.24424969233640265</v>
      </c>
      <c r="N219" s="8">
        <f>Transport_1_hub!BE154</f>
        <v>1.5104111913540392</v>
      </c>
      <c r="O219" s="8">
        <f>Transport_1_hub!BF154</f>
        <v>5.9322157521048503E-2</v>
      </c>
      <c r="P219" s="8">
        <f>Transport_1_hub!BG154</f>
        <v>3.001889639790624E-5</v>
      </c>
      <c r="Q219" s="8">
        <f>Transport_1_hub!BH154</f>
        <v>0.10393192408026186</v>
      </c>
      <c r="R219" s="8">
        <f>Transport_1_hub!BI154</f>
        <v>0.3037988514716044</v>
      </c>
      <c r="S219" s="8">
        <f>Transport_1_hub!BJ154</f>
        <v>2.3202369578984684E-2</v>
      </c>
      <c r="T219" s="8">
        <f>Transport_1_hub!BK154</f>
        <v>5.4325024639846802E-3</v>
      </c>
      <c r="U219" s="8">
        <f>Transport_1_hub!BL154</f>
        <v>0.80417253660148935</v>
      </c>
      <c r="V219" s="9">
        <f>Transport_1_hub!BM154</f>
        <v>0.26721560789462701</v>
      </c>
      <c r="X219" s="22"/>
      <c r="Y219" s="22"/>
      <c r="AG219" s="42"/>
      <c r="AL219" s="42"/>
    </row>
    <row r="220" spans="2:38" x14ac:dyDescent="0.25">
      <c r="B220" s="40">
        <f>Transport_1_hub!W155+Transport_1_hub!L155</f>
        <v>1022.9862088037758</v>
      </c>
      <c r="C220" s="8">
        <f>Transport_1_hub!AT155</f>
        <v>243.2022207917708</v>
      </c>
      <c r="D220" s="8">
        <f>Transport_1_hub!AU155</f>
        <v>2532.6364689143102</v>
      </c>
      <c r="E220" s="8">
        <f>Transport_1_hub!AV155</f>
        <v>1.259335709750818</v>
      </c>
      <c r="F220" s="8">
        <f>Transport_1_hub!AW155</f>
        <v>243.1033321317708</v>
      </c>
      <c r="G220" s="8">
        <f>Transport_1_hub!AX155</f>
        <v>59.060509590554645</v>
      </c>
      <c r="H220" s="8">
        <f>Transport_1_hub!AY155</f>
        <v>0.67698523407086841</v>
      </c>
      <c r="I220" s="8">
        <f>Transport_1_hub!AZ155</f>
        <v>6.9728803418479101E-3</v>
      </c>
      <c r="J220" s="8">
        <f>Transport_1_hub!BA155</f>
        <v>10.460602273267549</v>
      </c>
      <c r="K220" s="8">
        <f>Transport_1_hub!BB155</f>
        <v>12.545881027374429</v>
      </c>
      <c r="L220" s="8">
        <f>Transport_1_hub!BC155</f>
        <v>0.58793614330285004</v>
      </c>
      <c r="M220" s="8">
        <f>Transport_1_hub!BD155</f>
        <v>0.24424969233640265</v>
      </c>
      <c r="N220" s="8">
        <f>Transport_1_hub!BE155</f>
        <v>1.5104111913540392</v>
      </c>
      <c r="O220" s="8">
        <f>Transport_1_hub!BF155</f>
        <v>5.9322157521048503E-2</v>
      </c>
      <c r="P220" s="8">
        <f>Transport_1_hub!BG155</f>
        <v>3.001889639790624E-5</v>
      </c>
      <c r="Q220" s="8">
        <f>Transport_1_hub!BH155</f>
        <v>0.10393192408026186</v>
      </c>
      <c r="R220" s="8">
        <f>Transport_1_hub!BI155</f>
        <v>0.3037988514716044</v>
      </c>
      <c r="S220" s="8">
        <f>Transport_1_hub!BJ155</f>
        <v>2.3202369578984684E-2</v>
      </c>
      <c r="T220" s="8">
        <f>Transport_1_hub!BK155</f>
        <v>5.4325024639846802E-3</v>
      </c>
      <c r="U220" s="8">
        <f>Transport_1_hub!BL155</f>
        <v>0.80417253660148935</v>
      </c>
      <c r="V220" s="9">
        <f>Transport_1_hub!BM155</f>
        <v>0.26721560789462701</v>
      </c>
      <c r="X220" s="22"/>
      <c r="Y220" s="22"/>
      <c r="AG220" s="42"/>
      <c r="AL220" s="42"/>
    </row>
    <row r="221" spans="2:38" x14ac:dyDescent="0.25">
      <c r="B221" s="40">
        <f>Transport_1_hub!W156+Transport_1_hub!L156</f>
        <v>1022.9862088037758</v>
      </c>
      <c r="C221" s="8">
        <f>Transport_1_hub!AT156</f>
        <v>243.2022207917708</v>
      </c>
      <c r="D221" s="8">
        <f>Transport_1_hub!AU156</f>
        <v>2532.6364689143102</v>
      </c>
      <c r="E221" s="8">
        <f>Transport_1_hub!AV156</f>
        <v>1.259335709750818</v>
      </c>
      <c r="F221" s="8">
        <f>Transport_1_hub!AW156</f>
        <v>243.1033321317708</v>
      </c>
      <c r="G221" s="8">
        <f>Transport_1_hub!AX156</f>
        <v>59.060509590554645</v>
      </c>
      <c r="H221" s="8">
        <f>Transport_1_hub!AY156</f>
        <v>0.67698523407086841</v>
      </c>
      <c r="I221" s="8">
        <f>Transport_1_hub!AZ156</f>
        <v>6.9728803418479101E-3</v>
      </c>
      <c r="J221" s="8">
        <f>Transport_1_hub!BA156</f>
        <v>10.460602273267549</v>
      </c>
      <c r="K221" s="8">
        <f>Transport_1_hub!BB156</f>
        <v>12.545881027374429</v>
      </c>
      <c r="L221" s="8">
        <f>Transport_1_hub!BC156</f>
        <v>0.58793614330285004</v>
      </c>
      <c r="M221" s="8">
        <f>Transport_1_hub!BD156</f>
        <v>0.24424969233640265</v>
      </c>
      <c r="N221" s="8">
        <f>Transport_1_hub!BE156</f>
        <v>1.5104111913540392</v>
      </c>
      <c r="O221" s="8">
        <f>Transport_1_hub!BF156</f>
        <v>5.9322157521048503E-2</v>
      </c>
      <c r="P221" s="8">
        <f>Transport_1_hub!BG156</f>
        <v>3.001889639790624E-5</v>
      </c>
      <c r="Q221" s="8">
        <f>Transport_1_hub!BH156</f>
        <v>0.10393192408026186</v>
      </c>
      <c r="R221" s="8">
        <f>Transport_1_hub!BI156</f>
        <v>0.3037988514716044</v>
      </c>
      <c r="S221" s="8">
        <f>Transport_1_hub!BJ156</f>
        <v>2.3202369578984684E-2</v>
      </c>
      <c r="T221" s="8">
        <f>Transport_1_hub!BK156</f>
        <v>5.4325024639846802E-3</v>
      </c>
      <c r="U221" s="8">
        <f>Transport_1_hub!BL156</f>
        <v>0.80417253660148935</v>
      </c>
      <c r="V221" s="9">
        <f>Transport_1_hub!BM156</f>
        <v>0.26721560789462701</v>
      </c>
      <c r="X221" s="22"/>
      <c r="Y221" s="22"/>
      <c r="AG221" s="42"/>
      <c r="AL221" s="42"/>
    </row>
    <row r="222" spans="2:38" x14ac:dyDescent="0.25">
      <c r="B222" s="40">
        <f>Transport_1_hub!W157+Transport_1_hub!L157</f>
        <v>1022.9862088037758</v>
      </c>
      <c r="C222" s="8">
        <f>Transport_1_hub!AT157</f>
        <v>243.2022207917708</v>
      </c>
      <c r="D222" s="8">
        <f>Transport_1_hub!AU157</f>
        <v>2532.6364689143102</v>
      </c>
      <c r="E222" s="8">
        <f>Transport_1_hub!AV157</f>
        <v>1.259335709750818</v>
      </c>
      <c r="F222" s="8">
        <f>Transport_1_hub!AW157</f>
        <v>243.1033321317708</v>
      </c>
      <c r="G222" s="8">
        <f>Transport_1_hub!AX157</f>
        <v>59.060509590554645</v>
      </c>
      <c r="H222" s="8">
        <f>Transport_1_hub!AY157</f>
        <v>0.67698523407086841</v>
      </c>
      <c r="I222" s="8">
        <f>Transport_1_hub!AZ157</f>
        <v>6.9728803418479101E-3</v>
      </c>
      <c r="J222" s="8">
        <f>Transport_1_hub!BA157</f>
        <v>10.460602273267549</v>
      </c>
      <c r="K222" s="8">
        <f>Transport_1_hub!BB157</f>
        <v>12.545881027374429</v>
      </c>
      <c r="L222" s="8">
        <f>Transport_1_hub!BC157</f>
        <v>0.58793614330285004</v>
      </c>
      <c r="M222" s="8">
        <f>Transport_1_hub!BD157</f>
        <v>0.24424969233640265</v>
      </c>
      <c r="N222" s="8">
        <f>Transport_1_hub!BE157</f>
        <v>1.5104111913540392</v>
      </c>
      <c r="O222" s="8">
        <f>Transport_1_hub!BF157</f>
        <v>5.9322157521048503E-2</v>
      </c>
      <c r="P222" s="8">
        <f>Transport_1_hub!BG157</f>
        <v>3.001889639790624E-5</v>
      </c>
      <c r="Q222" s="8">
        <f>Transport_1_hub!BH157</f>
        <v>0.10393192408026186</v>
      </c>
      <c r="R222" s="8">
        <f>Transport_1_hub!BI157</f>
        <v>0.3037988514716044</v>
      </c>
      <c r="S222" s="8">
        <f>Transport_1_hub!BJ157</f>
        <v>2.3202369578984684E-2</v>
      </c>
      <c r="T222" s="8">
        <f>Transport_1_hub!BK157</f>
        <v>5.4325024639846802E-3</v>
      </c>
      <c r="U222" s="8">
        <f>Transport_1_hub!BL157</f>
        <v>0.80417253660148935</v>
      </c>
      <c r="V222" s="9">
        <f>Transport_1_hub!BM157</f>
        <v>0.26721560789462701</v>
      </c>
      <c r="X222" s="22"/>
      <c r="Y222" s="22"/>
      <c r="AG222" s="42"/>
      <c r="AL222" s="42"/>
    </row>
    <row r="223" spans="2:38" x14ac:dyDescent="0.25">
      <c r="B223" s="40">
        <f>Transport_1_hub!W158+Transport_1_hub!L158</f>
        <v>993.0986766004537</v>
      </c>
      <c r="C223" s="8">
        <f>Transport_1_hub!AT158</f>
        <v>236.27232943541924</v>
      </c>
      <c r="D223" s="8">
        <f>Transport_1_hub!AU158</f>
        <v>2442.6154074682636</v>
      </c>
      <c r="E223" s="8">
        <f>Transport_1_hub!AV158</f>
        <v>1.1782995457742611</v>
      </c>
      <c r="F223" s="8">
        <f>Transport_1_hub!AW158</f>
        <v>236.23695175541923</v>
      </c>
      <c r="G223" s="8">
        <f>Transport_1_hub!AX158</f>
        <v>57.037345764870487</v>
      </c>
      <c r="H223" s="8">
        <f>Transport_1_hub!AY158</f>
        <v>0.41800656680675718</v>
      </c>
      <c r="I223" s="8">
        <f>Transport_1_hub!AZ158</f>
        <v>6.2632876541317412E-3</v>
      </c>
      <c r="J223" s="8">
        <f>Transport_1_hub!BA158</f>
        <v>9.3207370693948821</v>
      </c>
      <c r="K223" s="8">
        <f>Transport_1_hub!BB158</f>
        <v>12.133160550650542</v>
      </c>
      <c r="L223" s="8">
        <f>Transport_1_hub!BC158</f>
        <v>0.36281927084456167</v>
      </c>
      <c r="M223" s="8">
        <f>Transport_1_hub!BD158</f>
        <v>0.2413828362012535</v>
      </c>
      <c r="N223" s="8">
        <f>Transport_1_hub!BE158</f>
        <v>1.1686031233673295</v>
      </c>
      <c r="O223" s="8">
        <f>Transport_1_hub!BF158</f>
        <v>5.916912935108086E-2</v>
      </c>
      <c r="P223" s="8">
        <f>Transport_1_hub!BG158</f>
        <v>2.9089521401065924E-5</v>
      </c>
      <c r="Q223" s="8">
        <f>Transport_1_hub!BH158</f>
        <v>9.753101861450153E-2</v>
      </c>
      <c r="R223" s="8">
        <f>Transport_1_hub!BI158</f>
        <v>0.28993495539973724</v>
      </c>
      <c r="S223" s="8">
        <f>Transport_1_hub!BJ158</f>
        <v>1.1034481609165175E-2</v>
      </c>
      <c r="T223" s="8">
        <f>Transport_1_hub!BK158</f>
        <v>4.6772645891651745E-3</v>
      </c>
      <c r="U223" s="8">
        <f>Transport_1_hub!BL158</f>
        <v>0.67683658995244211</v>
      </c>
      <c r="V223" s="9">
        <f>Transport_1_hub!BM158</f>
        <v>0.25254457461837237</v>
      </c>
      <c r="X223" s="22"/>
      <c r="Y223" s="22"/>
      <c r="AG223" s="42"/>
      <c r="AL223" s="42"/>
    </row>
    <row r="224" spans="2:38" x14ac:dyDescent="0.25">
      <c r="B224" s="40">
        <f>Transport_1_hub!W159+Transport_1_hub!L159</f>
        <v>1122.1693433162984</v>
      </c>
      <c r="C224" s="8">
        <f>Transport_1_hub!AT159</f>
        <v>284.13159645279848</v>
      </c>
      <c r="D224" s="8">
        <f>Transport_1_hub!AU159</f>
        <v>3154.4157785498237</v>
      </c>
      <c r="E224" s="8">
        <f>Transport_1_hub!AV159</f>
        <v>1.9527252866729659</v>
      </c>
      <c r="F224" s="8">
        <f>Transport_1_hub!AW159</f>
        <v>283.44052945279844</v>
      </c>
      <c r="G224" s="8">
        <f>Transport_1_hub!AX159</f>
        <v>72.787907439002623</v>
      </c>
      <c r="H224" s="8">
        <f>Transport_1_hub!AY159</f>
        <v>3.0735188240834792</v>
      </c>
      <c r="I224" s="8">
        <f>Transport_1_hub!AZ159</f>
        <v>1.3319416888213784E-2</v>
      </c>
      <c r="J224" s="8">
        <f>Transport_1_hub!BA159</f>
        <v>20.696969718610809</v>
      </c>
      <c r="K224" s="8">
        <f>Transport_1_hub!BB159</f>
        <v>15.40619264224024</v>
      </c>
      <c r="L224" s="8">
        <f>Transport_1_hub!BC159</f>
        <v>2.6728284806022549</v>
      </c>
      <c r="M224" s="8">
        <f>Transport_1_hub!BD159</f>
        <v>0.24463471009567558</v>
      </c>
      <c r="N224" s="8">
        <f>Transport_1_hub!BE159</f>
        <v>4.6256470827210912</v>
      </c>
      <c r="O224" s="8">
        <f>Transport_1_hub!BF159</f>
        <v>5.5350988833580618E-2</v>
      </c>
      <c r="P224" s="8">
        <f>Transport_1_hub!BG159</f>
        <v>3.6058757575521168E-5</v>
      </c>
      <c r="Q224" s="8">
        <f>Transport_1_hub!BH159</f>
        <v>0.15789133144230053</v>
      </c>
      <c r="R224" s="8">
        <f>Transport_1_hub!BI159</f>
        <v>0.41998083243454243</v>
      </c>
      <c r="S224" s="8">
        <f>Transport_1_hub!BJ159</f>
        <v>0.13642421054963824</v>
      </c>
      <c r="T224" s="8">
        <f>Transport_1_hub!BK159</f>
        <v>1.2242441299638241E-2</v>
      </c>
      <c r="U224" s="8">
        <f>Transport_1_hub!BL159</f>
        <v>1.9651509292340354</v>
      </c>
      <c r="V224" s="9">
        <f>Transport_1_hub!BM159</f>
        <v>0.38913626239081456</v>
      </c>
      <c r="X224" s="22"/>
      <c r="Y224" s="22"/>
      <c r="AG224" s="42"/>
      <c r="AL224" s="42"/>
    </row>
    <row r="225" spans="2:38" x14ac:dyDescent="0.25">
      <c r="B225" s="40">
        <f>Transport_1_hub!W160+Transport_1_hub!L160</f>
        <v>1000.8810634799049</v>
      </c>
      <c r="C225" s="8">
        <f>Transport_1_hub!AT160</f>
        <v>240.66444446716184</v>
      </c>
      <c r="D225" s="8">
        <f>Transport_1_hub!AU160</f>
        <v>2512.6795720120563</v>
      </c>
      <c r="E225" s="8">
        <f>Transport_1_hub!AV160</f>
        <v>1.2606683696108725</v>
      </c>
      <c r="F225" s="8">
        <f>Transport_1_hub!AW160</f>
        <v>240.55747162716185</v>
      </c>
      <c r="G225" s="8">
        <f>Transport_1_hub!AX160</f>
        <v>58.576374058914354</v>
      </c>
      <c r="H225" s="8">
        <f>Transport_1_hub!AY160</f>
        <v>0.7073233639925387</v>
      </c>
      <c r="I225" s="8">
        <f>Transport_1_hub!AZ160</f>
        <v>7.0242574193738472E-3</v>
      </c>
      <c r="J225" s="8">
        <f>Transport_1_hub!BA160</f>
        <v>10.549134704207688</v>
      </c>
      <c r="K225" s="8">
        <f>Transport_1_hub!BB160</f>
        <v>12.455775628346295</v>
      </c>
      <c r="L225" s="8">
        <f>Transport_1_hub!BC160</f>
        <v>0.61455421940263066</v>
      </c>
      <c r="M225" s="8">
        <f>Transport_1_hub!BD160</f>
        <v>0.24081117300390148</v>
      </c>
      <c r="N225" s="8">
        <f>Transport_1_hub!BE160</f>
        <v>1.5435531619968514</v>
      </c>
      <c r="O225" s="8">
        <f>Transport_1_hub!BF160</f>
        <v>5.8562238806052908E-2</v>
      </c>
      <c r="P225" s="8">
        <f>Transport_1_hub!BG160</f>
        <v>2.9758084386741906E-5</v>
      </c>
      <c r="Q225" s="8">
        <f>Transport_1_hub!BH160</f>
        <v>0.10392036855290315</v>
      </c>
      <c r="R225" s="8">
        <f>Transport_1_hub!BI160</f>
        <v>0.30367419402947432</v>
      </c>
      <c r="S225" s="8">
        <f>Transport_1_hub!BJ160</f>
        <v>2.4717709416931705E-2</v>
      </c>
      <c r="T225" s="8">
        <f>Transport_1_hub!BK160</f>
        <v>5.4951499069317011E-3</v>
      </c>
      <c r="U225" s="8">
        <f>Transport_1_hub!BL160</f>
        <v>0.81658272773300222</v>
      </c>
      <c r="V225" s="9">
        <f>Transport_1_hub!BM160</f>
        <v>0.26693569390303074</v>
      </c>
      <c r="X225" s="22"/>
      <c r="Y225" s="22"/>
      <c r="AG225" s="42"/>
      <c r="AL225" s="42"/>
    </row>
    <row r="226" spans="2:38" x14ac:dyDescent="0.25">
      <c r="B226" s="40">
        <f>Transport_1_hub!W161+Transport_1_hub!L161</f>
        <v>1000.8810634799049</v>
      </c>
      <c r="C226" s="8">
        <f>Transport_1_hub!AT161</f>
        <v>240.66444446716184</v>
      </c>
      <c r="D226" s="8">
        <f>Transport_1_hub!AU161</f>
        <v>2512.6795720120563</v>
      </c>
      <c r="E226" s="8">
        <f>Transport_1_hub!AV161</f>
        <v>1.2606683696108725</v>
      </c>
      <c r="F226" s="8">
        <f>Transport_1_hub!AW161</f>
        <v>240.55747162716185</v>
      </c>
      <c r="G226" s="8">
        <f>Transport_1_hub!AX161</f>
        <v>58.576374058914354</v>
      </c>
      <c r="H226" s="8">
        <f>Transport_1_hub!AY161</f>
        <v>0.7073233639925387</v>
      </c>
      <c r="I226" s="8">
        <f>Transport_1_hub!AZ161</f>
        <v>7.0242574193738472E-3</v>
      </c>
      <c r="J226" s="8">
        <f>Transport_1_hub!BA161</f>
        <v>10.549134704207688</v>
      </c>
      <c r="K226" s="8">
        <f>Transport_1_hub!BB161</f>
        <v>12.455775628346295</v>
      </c>
      <c r="L226" s="8">
        <f>Transport_1_hub!BC161</f>
        <v>0.61455421940263066</v>
      </c>
      <c r="M226" s="8">
        <f>Transport_1_hub!BD161</f>
        <v>0.24081117300390148</v>
      </c>
      <c r="N226" s="8">
        <f>Transport_1_hub!BE161</f>
        <v>1.5435531619968514</v>
      </c>
      <c r="O226" s="8">
        <f>Transport_1_hub!BF161</f>
        <v>5.8562238806052908E-2</v>
      </c>
      <c r="P226" s="8">
        <f>Transport_1_hub!BG161</f>
        <v>2.9758084386741906E-5</v>
      </c>
      <c r="Q226" s="8">
        <f>Transport_1_hub!BH161</f>
        <v>0.10392036855290315</v>
      </c>
      <c r="R226" s="8">
        <f>Transport_1_hub!BI161</f>
        <v>0.30367419402947432</v>
      </c>
      <c r="S226" s="8">
        <f>Transport_1_hub!BJ161</f>
        <v>2.4717709416931705E-2</v>
      </c>
      <c r="T226" s="8">
        <f>Transport_1_hub!BK161</f>
        <v>5.4951499069317011E-3</v>
      </c>
      <c r="U226" s="8">
        <f>Transport_1_hub!BL161</f>
        <v>0.81658272773300222</v>
      </c>
      <c r="V226" s="9">
        <f>Transport_1_hub!BM161</f>
        <v>0.26693569390303074</v>
      </c>
      <c r="X226" s="22"/>
      <c r="Y226" s="22"/>
      <c r="AG226" s="42"/>
      <c r="AL226" s="42"/>
    </row>
    <row r="227" spans="2:38" x14ac:dyDescent="0.25">
      <c r="B227" s="40">
        <f>Transport_1_hub!W162+Transport_1_hub!L162</f>
        <v>994.8820634799049</v>
      </c>
      <c r="C227" s="8">
        <f>Transport_1_hub!AT162</f>
        <v>238.62598426716184</v>
      </c>
      <c r="D227" s="8">
        <f>Transport_1_hub!AU162</f>
        <v>2482.9482254644895</v>
      </c>
      <c r="E227" s="8">
        <f>Transport_1_hub!AV162</f>
        <v>1.2290800352108726</v>
      </c>
      <c r="F227" s="8">
        <f>Transport_1_hub!AW162</f>
        <v>238.54552700716187</v>
      </c>
      <c r="G227" s="8">
        <f>Transport_1_hub!AX162</f>
        <v>57.917083958914354</v>
      </c>
      <c r="H227" s="8">
        <f>Transport_1_hub!AY162</f>
        <v>0.59985727799253863</v>
      </c>
      <c r="I227" s="8">
        <f>Transport_1_hub!AZ162</f>
        <v>6.7377391803738465E-3</v>
      </c>
      <c r="J227" s="8">
        <f>Transport_1_hub!BA162</f>
        <v>10.087385675207688</v>
      </c>
      <c r="K227" s="8">
        <f>Transport_1_hub!BB162</f>
        <v>12.319118408346295</v>
      </c>
      <c r="L227" s="8">
        <f>Transport_1_hub!BC162</f>
        <v>0.52107780140263071</v>
      </c>
      <c r="M227" s="8">
        <f>Transport_1_hub!BD162</f>
        <v>0.24056516001290146</v>
      </c>
      <c r="N227" s="8">
        <f>Transport_1_hub!BE162</f>
        <v>1.4034405179968514</v>
      </c>
      <c r="O227" s="8">
        <f>Transport_1_hub!BF162</f>
        <v>5.8693154983052907E-2</v>
      </c>
      <c r="P227" s="8">
        <f>Transport_1_hub!BG162</f>
        <v>2.9464829270741907E-5</v>
      </c>
      <c r="Q227" s="8">
        <f>Transport_1_hub!BH162</f>
        <v>0.10145453959290315</v>
      </c>
      <c r="R227" s="8">
        <f>Transport_1_hub!BI162</f>
        <v>0.29835830015947434</v>
      </c>
      <c r="S227" s="8">
        <f>Transport_1_hub!BJ162</f>
        <v>1.9646034836931701E-2</v>
      </c>
      <c r="T227" s="8">
        <f>Transport_1_hub!BK162</f>
        <v>5.1882110719317009E-3</v>
      </c>
      <c r="U227" s="8">
        <f>Transport_1_hub!BL162</f>
        <v>0.76436983133300218</v>
      </c>
      <c r="V227" s="9">
        <f>Transport_1_hub!BM162</f>
        <v>0.26134732545303074</v>
      </c>
      <c r="X227" s="22"/>
      <c r="Y227" s="22"/>
      <c r="AG227" s="42"/>
      <c r="AL227" s="42"/>
    </row>
    <row r="228" spans="2:38" x14ac:dyDescent="0.25">
      <c r="B228" s="40">
        <f>Transport_1_hub!W163+Transport_1_hub!L163</f>
        <v>991.36606347990494</v>
      </c>
      <c r="C228" s="8">
        <f>Transport_1_hub!AT163</f>
        <v>237.43124746716185</v>
      </c>
      <c r="D228" s="8">
        <f>Transport_1_hub!AU163</f>
        <v>2465.5227521420616</v>
      </c>
      <c r="E228" s="8">
        <f>Transport_1_hub!AV163</f>
        <v>1.2105661856108725</v>
      </c>
      <c r="F228" s="8">
        <f>Transport_1_hub!AW163</f>
        <v>237.36633092716184</v>
      </c>
      <c r="G228" s="8">
        <f>Transport_1_hub!AX163</f>
        <v>57.530675558914353</v>
      </c>
      <c r="H228" s="8">
        <f>Transport_1_hub!AY163</f>
        <v>0.53687165399253867</v>
      </c>
      <c r="I228" s="8">
        <f>Transport_1_hub!AZ163</f>
        <v>6.5698115043738466E-3</v>
      </c>
      <c r="J228" s="8">
        <f>Transport_1_hub!BA163</f>
        <v>9.8167556392076882</v>
      </c>
      <c r="K228" s="8">
        <f>Transport_1_hub!BB163</f>
        <v>12.239023928346295</v>
      </c>
      <c r="L228" s="8">
        <f>Transport_1_hub!BC163</f>
        <v>0.46629148940263065</v>
      </c>
      <c r="M228" s="8">
        <f>Transport_1_hub!BD163</f>
        <v>0.24042097236890148</v>
      </c>
      <c r="N228" s="8">
        <f>Transport_1_hub!BE163</f>
        <v>1.3213208219968515</v>
      </c>
      <c r="O228" s="8">
        <f>Transport_1_hub!BF163</f>
        <v>5.8769884651052907E-2</v>
      </c>
      <c r="P228" s="8">
        <f>Transport_1_hub!BG163</f>
        <v>2.9292953126741906E-5</v>
      </c>
      <c r="Q228" s="8">
        <f>Transport_1_hub!BH163</f>
        <v>0.10000932295290316</v>
      </c>
      <c r="R228" s="8">
        <f>Transport_1_hub!BI163</f>
        <v>0.29524266707947433</v>
      </c>
      <c r="S228" s="8">
        <f>Transport_1_hub!BJ163</f>
        <v>1.6673538116931702E-2</v>
      </c>
      <c r="T228" s="8">
        <f>Transport_1_hub!BK163</f>
        <v>5.0083149319317009E-3</v>
      </c>
      <c r="U228" s="8">
        <f>Transport_1_hub!BL163</f>
        <v>0.73376797373300218</v>
      </c>
      <c r="V228" s="9">
        <f>Transport_1_hub!BM163</f>
        <v>0.25807199565303074</v>
      </c>
      <c r="X228" s="22"/>
      <c r="Y228" s="22"/>
      <c r="AG228" s="42"/>
      <c r="AL228" s="42"/>
    </row>
    <row r="229" spans="2:38" x14ac:dyDescent="0.25">
      <c r="B229" s="40">
        <f>Transport_1_hub!W164+Transport_1_hub!L164</f>
        <v>991.36606347990494</v>
      </c>
      <c r="C229" s="8">
        <f>Transport_1_hub!AT164</f>
        <v>237.43124746716185</v>
      </c>
      <c r="D229" s="8">
        <f>Transport_1_hub!AU164</f>
        <v>2465.5227521420616</v>
      </c>
      <c r="E229" s="8">
        <f>Transport_1_hub!AV164</f>
        <v>1.2105661856108725</v>
      </c>
      <c r="F229" s="8">
        <f>Transport_1_hub!AW164</f>
        <v>237.36633092716184</v>
      </c>
      <c r="G229" s="8">
        <f>Transport_1_hub!AX164</f>
        <v>57.530675558914353</v>
      </c>
      <c r="H229" s="8">
        <f>Transport_1_hub!AY164</f>
        <v>0.53687165399253867</v>
      </c>
      <c r="I229" s="8">
        <f>Transport_1_hub!AZ164</f>
        <v>6.5698115043738466E-3</v>
      </c>
      <c r="J229" s="8">
        <f>Transport_1_hub!BA164</f>
        <v>9.8167556392076882</v>
      </c>
      <c r="K229" s="8">
        <f>Transport_1_hub!BB164</f>
        <v>12.239023928346295</v>
      </c>
      <c r="L229" s="8">
        <f>Transport_1_hub!BC164</f>
        <v>0.46629148940263065</v>
      </c>
      <c r="M229" s="8">
        <f>Transport_1_hub!BD164</f>
        <v>0.24042097236890148</v>
      </c>
      <c r="N229" s="8">
        <f>Transport_1_hub!BE164</f>
        <v>1.3213208219968515</v>
      </c>
      <c r="O229" s="8">
        <f>Transport_1_hub!BF164</f>
        <v>5.8769884651052907E-2</v>
      </c>
      <c r="P229" s="8">
        <f>Transport_1_hub!BG164</f>
        <v>2.9292953126741906E-5</v>
      </c>
      <c r="Q229" s="8">
        <f>Transport_1_hub!BH164</f>
        <v>0.10000932295290316</v>
      </c>
      <c r="R229" s="8">
        <f>Transport_1_hub!BI164</f>
        <v>0.29524266707947433</v>
      </c>
      <c r="S229" s="8">
        <f>Transport_1_hub!BJ164</f>
        <v>1.6673538116931702E-2</v>
      </c>
      <c r="T229" s="8">
        <f>Transport_1_hub!BK164</f>
        <v>5.0083149319317009E-3</v>
      </c>
      <c r="U229" s="8">
        <f>Transport_1_hub!BL164</f>
        <v>0.73376797373300218</v>
      </c>
      <c r="V229" s="9">
        <f>Transport_1_hub!BM164</f>
        <v>0.25807199565303074</v>
      </c>
      <c r="X229" s="22"/>
      <c r="Y229" s="22"/>
      <c r="AG229" s="42"/>
      <c r="AL229" s="42"/>
    </row>
    <row r="230" spans="2:38" x14ac:dyDescent="0.25">
      <c r="B230" s="40">
        <f>Transport_1_hub!W165+Transport_1_hub!L165</f>
        <v>991.36606347990494</v>
      </c>
      <c r="C230" s="8">
        <f>Transport_1_hub!AT165</f>
        <v>237.43124746716185</v>
      </c>
      <c r="D230" s="8">
        <f>Transport_1_hub!AU165</f>
        <v>2465.5227521420616</v>
      </c>
      <c r="E230" s="8">
        <f>Transport_1_hub!AV165</f>
        <v>1.2105661856108725</v>
      </c>
      <c r="F230" s="8">
        <f>Transport_1_hub!AW165</f>
        <v>237.36633092716184</v>
      </c>
      <c r="G230" s="8">
        <f>Transport_1_hub!AX165</f>
        <v>57.530675558914353</v>
      </c>
      <c r="H230" s="8">
        <f>Transport_1_hub!AY165</f>
        <v>0.53687165399253867</v>
      </c>
      <c r="I230" s="8">
        <f>Transport_1_hub!AZ165</f>
        <v>6.5698115043738466E-3</v>
      </c>
      <c r="J230" s="8">
        <f>Transport_1_hub!BA165</f>
        <v>9.8167556392076882</v>
      </c>
      <c r="K230" s="8">
        <f>Transport_1_hub!BB165</f>
        <v>12.239023928346295</v>
      </c>
      <c r="L230" s="8">
        <f>Transport_1_hub!BC165</f>
        <v>0.46629148940263065</v>
      </c>
      <c r="M230" s="8">
        <f>Transport_1_hub!BD165</f>
        <v>0.24042097236890148</v>
      </c>
      <c r="N230" s="8">
        <f>Transport_1_hub!BE165</f>
        <v>1.3213208219968515</v>
      </c>
      <c r="O230" s="8">
        <f>Transport_1_hub!BF165</f>
        <v>5.8769884651052907E-2</v>
      </c>
      <c r="P230" s="8">
        <f>Transport_1_hub!BG165</f>
        <v>2.9292953126741906E-5</v>
      </c>
      <c r="Q230" s="8">
        <f>Transport_1_hub!BH165</f>
        <v>0.10000932295290316</v>
      </c>
      <c r="R230" s="8">
        <f>Transport_1_hub!BI165</f>
        <v>0.29524266707947433</v>
      </c>
      <c r="S230" s="8">
        <f>Transport_1_hub!BJ165</f>
        <v>1.6673538116931702E-2</v>
      </c>
      <c r="T230" s="8">
        <f>Transport_1_hub!BK165</f>
        <v>5.0083149319317009E-3</v>
      </c>
      <c r="U230" s="8">
        <f>Transport_1_hub!BL165</f>
        <v>0.73376797373300218</v>
      </c>
      <c r="V230" s="9">
        <f>Transport_1_hub!BM165</f>
        <v>0.25807199565303074</v>
      </c>
      <c r="X230" s="22"/>
      <c r="Y230" s="22"/>
      <c r="AG230" s="42"/>
      <c r="AL230" s="42"/>
    </row>
    <row r="231" spans="2:38" x14ac:dyDescent="0.25">
      <c r="B231" s="40">
        <f>Transport_1_hub!W166+Transport_1_hub!L166</f>
        <v>1003.562063479905</v>
      </c>
      <c r="C231" s="8">
        <f>Transport_1_hub!AT166</f>
        <v>241.57544826716185</v>
      </c>
      <c r="D231" s="8">
        <f>Transport_1_hub!AU166</f>
        <v>2525.9667432229294</v>
      </c>
      <c r="E231" s="8">
        <f>Transport_1_hub!AV166</f>
        <v>1.2747854432108725</v>
      </c>
      <c r="F231" s="8">
        <f>Transport_1_hub!AW166</f>
        <v>241.45662540716185</v>
      </c>
      <c r="G231" s="8">
        <f>Transport_1_hub!AX166</f>
        <v>58.871015958914349</v>
      </c>
      <c r="H231" s="8">
        <f>Transport_1_hub!AY166</f>
        <v>0.75535079799253868</v>
      </c>
      <c r="I231" s="8">
        <f>Transport_1_hub!AZ166</f>
        <v>7.1523046603738467E-3</v>
      </c>
      <c r="J231" s="8">
        <f>Transport_1_hub!BA166</f>
        <v>10.755493955207688</v>
      </c>
      <c r="K231" s="8">
        <f>Transport_1_hub!BB166</f>
        <v>12.516848808346296</v>
      </c>
      <c r="L231" s="8">
        <f>Transport_1_hub!BC166</f>
        <v>0.65632956140263066</v>
      </c>
      <c r="M231" s="8">
        <f>Transport_1_hub!BD166</f>
        <v>0.24092111813290146</v>
      </c>
      <c r="N231" s="8">
        <f>Transport_1_hub!BE166</f>
        <v>1.6061705979968512</v>
      </c>
      <c r="O231" s="8">
        <f>Transport_1_hub!BF166</f>
        <v>5.8503731343052909E-2</v>
      </c>
      <c r="P231" s="8">
        <f>Transport_1_hub!BG166</f>
        <v>2.9889142390741906E-5</v>
      </c>
      <c r="Q231" s="8">
        <f>Transport_1_hub!BH166</f>
        <v>0.10502236679290315</v>
      </c>
      <c r="R231" s="8">
        <f>Transport_1_hub!BI166</f>
        <v>0.30604990855947434</v>
      </c>
      <c r="S231" s="8">
        <f>Transport_1_hub!BJ166</f>
        <v>2.6984280436931702E-2</v>
      </c>
      <c r="T231" s="8">
        <f>Transport_1_hub!BK166</f>
        <v>5.632323271931701E-3</v>
      </c>
      <c r="U231" s="8">
        <f>Transport_1_hub!BL166</f>
        <v>0.83991707933300219</v>
      </c>
      <c r="V231" s="9">
        <f>Transport_1_hub!BM166</f>
        <v>0.26943317945303075</v>
      </c>
      <c r="X231" s="22"/>
      <c r="Y231" s="22"/>
      <c r="AG231" s="42"/>
      <c r="AL231" s="42"/>
    </row>
    <row r="232" spans="2:38" x14ac:dyDescent="0.25">
      <c r="B232" s="40">
        <f>Transport_1_hub!W167+Transport_1_hub!L167</f>
        <v>1256.3564072648171</v>
      </c>
      <c r="C232" s="8">
        <f>Transport_1_hub!AT167</f>
        <v>289.71117915965129</v>
      </c>
      <c r="D232" s="8">
        <f>Transport_1_hub!AU167</f>
        <v>3100.6060806060809</v>
      </c>
      <c r="E232" s="8">
        <f>Transport_1_hub!AV167</f>
        <v>1.7160778633812988</v>
      </c>
      <c r="F232" s="8">
        <f>Transport_1_hub!AW167</f>
        <v>289.2735903196513</v>
      </c>
      <c r="G232" s="8">
        <f>Transport_1_hub!AX167</f>
        <v>71.924849492720199</v>
      </c>
      <c r="H232" s="8">
        <f>Transport_1_hub!AY167</f>
        <v>2.0654222042458303</v>
      </c>
      <c r="I232" s="8">
        <f>Transport_1_hub!AZ167</f>
        <v>1.086592130331337E-2</v>
      </c>
      <c r="J232" s="8">
        <f>Transport_1_hub!BA167</f>
        <v>16.6994969409931</v>
      </c>
      <c r="K232" s="8">
        <f>Transport_1_hub!BB167</f>
        <v>15.146025481748779</v>
      </c>
      <c r="L232" s="8">
        <f>Transport_1_hub!BC167</f>
        <v>1.7941423440234958</v>
      </c>
      <c r="M232" s="8">
        <f>Transport_1_hub!BD167</f>
        <v>0.2703006142729974</v>
      </c>
      <c r="N232" s="8">
        <f>Transport_1_hub!BE167</f>
        <v>3.3622210145905642</v>
      </c>
      <c r="O232" s="8">
        <f>Transport_1_hub!BF167</f>
        <v>6.231870658650164E-2</v>
      </c>
      <c r="P232" s="8">
        <f>Transport_1_hub!BG167</f>
        <v>3.6035466661701377E-5</v>
      </c>
      <c r="Q232" s="8">
        <f>Transport_1_hub!BH167</f>
        <v>0.14037563257777788</v>
      </c>
      <c r="R232" s="8">
        <f>Transport_1_hub!BI167</f>
        <v>0.38301750960056102</v>
      </c>
      <c r="S232" s="8">
        <f>Transport_1_hub!BJ167</f>
        <v>8.8186937993117998E-2</v>
      </c>
      <c r="T232" s="8">
        <f>Transport_1_hub!BK167</f>
        <v>9.5541044831179874E-3</v>
      </c>
      <c r="U232" s="8">
        <f>Transport_1_hub!BL167</f>
        <v>1.4938911944550151</v>
      </c>
      <c r="V232" s="9">
        <f>Transport_1_hub!BM167</f>
        <v>0.35146918547403838</v>
      </c>
      <c r="X232" s="22"/>
      <c r="Y232" s="22"/>
      <c r="AG232" s="42"/>
      <c r="AL232" s="42"/>
    </row>
    <row r="233" spans="2:38" x14ac:dyDescent="0.25">
      <c r="B233" s="40">
        <f>Transport_1_hub!W168+Transport_1_hub!L168</f>
        <v>1177.4693433162984</v>
      </c>
      <c r="C233" s="8">
        <f>Transport_1_hub!AT168</f>
        <v>302.92253645279845</v>
      </c>
      <c r="D233" s="8">
        <f>Transport_1_hub!AU168</f>
        <v>3428.485367494724</v>
      </c>
      <c r="E233" s="8">
        <f>Transport_1_hub!AV168</f>
        <v>2.243912966672966</v>
      </c>
      <c r="F233" s="8">
        <f>Transport_1_hub!AW168</f>
        <v>301.98704345279845</v>
      </c>
      <c r="G233" s="8">
        <f>Transport_1_hub!AX168</f>
        <v>78.865377439002629</v>
      </c>
      <c r="H233" s="8">
        <f>Transport_1_hub!AY168</f>
        <v>4.0641630240834798</v>
      </c>
      <c r="I233" s="8">
        <f>Transport_1_hub!AZ168</f>
        <v>1.5960600188213783E-2</v>
      </c>
      <c r="J233" s="8">
        <f>Transport_1_hub!BA168</f>
        <v>24.953466018610811</v>
      </c>
      <c r="K233" s="8">
        <f>Transport_1_hub!BB168</f>
        <v>16.66592664224024</v>
      </c>
      <c r="L233" s="8">
        <f>Transport_1_hub!BC168</f>
        <v>3.5345130806022547</v>
      </c>
      <c r="M233" s="8">
        <f>Transport_1_hub!BD168</f>
        <v>0.24690250779567557</v>
      </c>
      <c r="N233" s="8">
        <f>Transport_1_hub!BE168</f>
        <v>5.9172338827210913</v>
      </c>
      <c r="O233" s="8">
        <f>Transport_1_hub!BF168</f>
        <v>5.4144176933580618E-2</v>
      </c>
      <c r="P233" s="8">
        <f>Transport_1_hub!BG168</f>
        <v>3.8762042775521168E-5</v>
      </c>
      <c r="Q233" s="8">
        <f>Transport_1_hub!BH168</f>
        <v>0.18062184344230053</v>
      </c>
      <c r="R233" s="8">
        <f>Transport_1_hub!BI168</f>
        <v>0.46898382143454242</v>
      </c>
      <c r="S233" s="8">
        <f>Transport_1_hub!BJ168</f>
        <v>0.18317593654963826</v>
      </c>
      <c r="T233" s="8">
        <f>Transport_1_hub!BK168</f>
        <v>1.5071865799638241E-2</v>
      </c>
      <c r="U233" s="8">
        <f>Transport_1_hub!BL168</f>
        <v>2.4464600092340358</v>
      </c>
      <c r="V233" s="9">
        <f>Transport_1_hub!BM168</f>
        <v>0.4406509773908146</v>
      </c>
      <c r="X233" s="22"/>
      <c r="Y233" s="22"/>
      <c r="AG233" s="42"/>
      <c r="AL233" s="42"/>
    </row>
    <row r="234" spans="2:38" x14ac:dyDescent="0.25">
      <c r="B234" s="40">
        <f>Transport_1_hub!W169+Transport_1_hub!L169</f>
        <v>1276.8994072648172</v>
      </c>
      <c r="C234" s="8">
        <f>Transport_1_hub!AT169</f>
        <v>296.69169055965131</v>
      </c>
      <c r="D234" s="8">
        <f>Transport_1_hub!AU169</f>
        <v>3202.4182246512</v>
      </c>
      <c r="E234" s="8">
        <f>Transport_1_hub!AV169</f>
        <v>1.8242490841812988</v>
      </c>
      <c r="F234" s="8">
        <f>Transport_1_hub!AW169</f>
        <v>296.16330165965127</v>
      </c>
      <c r="G234" s="8">
        <f>Transport_1_hub!AX169</f>
        <v>74.182525192720206</v>
      </c>
      <c r="H234" s="8">
        <f>Transport_1_hub!AY169</f>
        <v>2.4334295062458304</v>
      </c>
      <c r="I234" s="8">
        <f>Transport_1_hub!AZ169</f>
        <v>1.184707552631337E-2</v>
      </c>
      <c r="J234" s="8">
        <f>Transport_1_hub!BA169</f>
        <v>18.2807121939931</v>
      </c>
      <c r="K234" s="8">
        <f>Transport_1_hub!BB169</f>
        <v>15.61399502174878</v>
      </c>
      <c r="L234" s="8">
        <f>Transport_1_hub!BC169</f>
        <v>2.1142433700234959</v>
      </c>
      <c r="M234" s="8">
        <f>Transport_1_hub!BD169</f>
        <v>0.27114306215999739</v>
      </c>
      <c r="N234" s="8">
        <f>Transport_1_hub!BE169</f>
        <v>3.8420233225905642</v>
      </c>
      <c r="O234" s="8">
        <f>Transport_1_hub!BF169</f>
        <v>6.1870396697501641E-2</v>
      </c>
      <c r="P234" s="8">
        <f>Transport_1_hub!BG169</f>
        <v>3.703969067370138E-5</v>
      </c>
      <c r="Q234" s="8">
        <f>Transport_1_hub!BH169</f>
        <v>0.14881962729777787</v>
      </c>
      <c r="R234" s="8">
        <f>Transport_1_hub!BI169</f>
        <v>0.40122127819056103</v>
      </c>
      <c r="S234" s="8">
        <f>Transport_1_hub!BJ169</f>
        <v>0.105554401053118</v>
      </c>
      <c r="T234" s="8">
        <f>Transport_1_hub!BK169</f>
        <v>1.0605187078117988E-2</v>
      </c>
      <c r="U234" s="8">
        <f>Transport_1_hub!BL169</f>
        <v>1.6726892492550154</v>
      </c>
      <c r="V234" s="9">
        <f>Transport_1_hub!BM169</f>
        <v>0.3706060171240384</v>
      </c>
      <c r="X234" s="22"/>
      <c r="Y234" s="22"/>
      <c r="AG234" s="42"/>
      <c r="AL234" s="42"/>
    </row>
    <row r="235" spans="2:38" x14ac:dyDescent="0.25">
      <c r="B235" s="40">
        <f>Transport_1_hub!W170+Transport_1_hub!L170</f>
        <v>1221.0274072648172</v>
      </c>
      <c r="C235" s="8">
        <f>Transport_1_hub!AT170</f>
        <v>277.7063849596513</v>
      </c>
      <c r="D235" s="8">
        <f>Transport_1_hub!AU170</f>
        <v>2925.5137748586239</v>
      </c>
      <c r="E235" s="8">
        <f>Transport_1_hub!AV170</f>
        <v>1.5300494809812988</v>
      </c>
      <c r="F235" s="8">
        <f>Transport_1_hub!AW170</f>
        <v>277.4249502996513</v>
      </c>
      <c r="G235" s="8">
        <f>Transport_1_hub!AX170</f>
        <v>68.04219239272021</v>
      </c>
      <c r="H235" s="8">
        <f>Transport_1_hub!AY170</f>
        <v>1.4325384982458305</v>
      </c>
      <c r="I235" s="8">
        <f>Transport_1_hub!AZ170</f>
        <v>9.1785729343133692E-3</v>
      </c>
      <c r="J235" s="8">
        <f>Transport_1_hub!BA170</f>
        <v>13.9801884819931</v>
      </c>
      <c r="K235" s="8">
        <f>Transport_1_hub!BB170</f>
        <v>14.34123086174878</v>
      </c>
      <c r="L235" s="8">
        <f>Transport_1_hub!BC170</f>
        <v>1.2436458660234959</v>
      </c>
      <c r="M235" s="8">
        <f>Transport_1_hub!BD170</f>
        <v>0.26885180731199743</v>
      </c>
      <c r="N235" s="8">
        <f>Transport_1_hub!BE170</f>
        <v>2.5370768905905647</v>
      </c>
      <c r="O235" s="8">
        <f>Transport_1_hub!BF170</f>
        <v>6.3089691353501648E-2</v>
      </c>
      <c r="P235" s="8">
        <f>Transport_1_hub!BG170</f>
        <v>3.4308443825701381E-5</v>
      </c>
      <c r="Q235" s="8">
        <f>Transport_1_hub!BH170</f>
        <v>0.12585400041777789</v>
      </c>
      <c r="R235" s="8">
        <f>Transport_1_hub!BI170</f>
        <v>0.351711422830561</v>
      </c>
      <c r="S235" s="8">
        <f>Transport_1_hub!BJ170</f>
        <v>5.8319094813117991E-2</v>
      </c>
      <c r="T235" s="8">
        <f>Transport_1_hub!BK170</f>
        <v>7.7464961981179876E-3</v>
      </c>
      <c r="U235" s="8">
        <f>Transport_1_hub!BL170</f>
        <v>1.1864017100550153</v>
      </c>
      <c r="V235" s="9">
        <f>Transport_1_hub!BM170</f>
        <v>0.31855845552403839</v>
      </c>
      <c r="X235" s="22"/>
      <c r="Y235" s="22"/>
      <c r="AG235" s="42"/>
      <c r="AL235" s="42"/>
    </row>
    <row r="236" spans="2:38" x14ac:dyDescent="0.25">
      <c r="B236" s="40">
        <f>Transport_1_hub!W171+Transport_1_hub!L171</f>
        <v>1223.8554072648171</v>
      </c>
      <c r="C236" s="8">
        <f>Transport_1_hub!AT171</f>
        <v>278.66733935965129</v>
      </c>
      <c r="D236" s="8">
        <f>Transport_1_hub!AU171</f>
        <v>2939.5294854831482</v>
      </c>
      <c r="E236" s="8">
        <f>Transport_1_hub!AV171</f>
        <v>1.5449405977812987</v>
      </c>
      <c r="F236" s="8">
        <f>Transport_1_hub!AW171</f>
        <v>278.37340493965127</v>
      </c>
      <c r="G236" s="8">
        <f>Transport_1_hub!AX171</f>
        <v>68.352989592720206</v>
      </c>
      <c r="H236" s="8">
        <f>Transport_1_hub!AY171</f>
        <v>1.4831992902458306</v>
      </c>
      <c r="I236" s="8">
        <f>Transport_1_hub!AZ171</f>
        <v>9.3136410423133708E-3</v>
      </c>
      <c r="J236" s="8">
        <f>Transport_1_hub!BA171</f>
        <v>14.197862469993101</v>
      </c>
      <c r="K236" s="8">
        <f>Transport_1_hub!BB171</f>
        <v>14.40565270174878</v>
      </c>
      <c r="L236" s="8">
        <f>Transport_1_hub!BC171</f>
        <v>1.2877117620234961</v>
      </c>
      <c r="M236" s="8">
        <f>Transport_1_hub!BD171</f>
        <v>0.26896778076399741</v>
      </c>
      <c r="N236" s="8">
        <f>Transport_1_hub!BE171</f>
        <v>2.6031276585905649</v>
      </c>
      <c r="O236" s="8">
        <f>Transport_1_hub!BF171</f>
        <v>6.3027975909501641E-2</v>
      </c>
      <c r="P236" s="8">
        <f>Transport_1_hub!BG171</f>
        <v>3.4446687777701377E-5</v>
      </c>
      <c r="Q236" s="8">
        <f>Transport_1_hub!BH171</f>
        <v>0.12701642153777787</v>
      </c>
      <c r="R236" s="8">
        <f>Transport_1_hub!BI171</f>
        <v>0.35421739847056105</v>
      </c>
      <c r="S236" s="8">
        <f>Transport_1_hub!BJ171</f>
        <v>6.0709942573117993E-2</v>
      </c>
      <c r="T236" s="8">
        <f>Transport_1_hub!BK171</f>
        <v>7.8911908181179893E-3</v>
      </c>
      <c r="U236" s="8">
        <f>Transport_1_hub!BL171</f>
        <v>1.211015490855015</v>
      </c>
      <c r="V236" s="9">
        <f>Transport_1_hub!BM171</f>
        <v>0.32119287892403842</v>
      </c>
      <c r="X236" s="22"/>
      <c r="Y236" s="22"/>
      <c r="AG236" s="42"/>
      <c r="AL236" s="42"/>
    </row>
    <row r="237" spans="2:38" x14ac:dyDescent="0.25">
      <c r="B237" s="40">
        <f>Transport_1_hub!W172+Transport_1_hub!L172</f>
        <v>1124.3674299338913</v>
      </c>
      <c r="C237" s="8">
        <f>Transport_1_hub!AT172</f>
        <v>258.75559992391931</v>
      </c>
      <c r="D237" s="8">
        <f>Transport_1_hub!AU172</f>
        <v>2695.4712744880717</v>
      </c>
      <c r="E237" s="8">
        <f>Transport_1_hub!AV172</f>
        <v>1.3474326604400075</v>
      </c>
      <c r="F237" s="8">
        <f>Transport_1_hub!AW172</f>
        <v>258.60875868391929</v>
      </c>
      <c r="G237" s="8">
        <f>Transport_1_hub!AX172</f>
        <v>62.827650808324719</v>
      </c>
      <c r="H237" s="8">
        <f>Transport_1_hub!AY172</f>
        <v>0.88044205422928734</v>
      </c>
      <c r="I237" s="8">
        <f>Transport_1_hub!AZ172</f>
        <v>7.6261949620012055E-3</v>
      </c>
      <c r="J237" s="8">
        <f>Transport_1_hub!BA172</f>
        <v>11.492727211068225</v>
      </c>
      <c r="K237" s="8">
        <f>Transport_1_hub!BB172</f>
        <v>13.288252511712216</v>
      </c>
      <c r="L237" s="8">
        <f>Transport_1_hub!BC172</f>
        <v>0.76404550715069486</v>
      </c>
      <c r="M237" s="8">
        <f>Transport_1_hub!BD172</f>
        <v>0.25794624423931617</v>
      </c>
      <c r="N237" s="8">
        <f>Transport_1_hub!BE172</f>
        <v>1.7997756060491827</v>
      </c>
      <c r="O237" s="8">
        <f>Transport_1_hub!BF172</f>
        <v>6.1791230476340712E-2</v>
      </c>
      <c r="P237" s="8">
        <f>Transport_1_hub!BG172</f>
        <v>3.1865263812176606E-5</v>
      </c>
      <c r="Q237" s="8">
        <f>Transport_1_hub!BH172</f>
        <v>0.11125856628160935</v>
      </c>
      <c r="R237" s="8">
        <f>Transport_1_hub!BI172</f>
        <v>0.31997077748203939</v>
      </c>
      <c r="S237" s="8">
        <f>Transport_1_hub!BJ172</f>
        <v>3.2490691732255335E-2</v>
      </c>
      <c r="T237" s="8">
        <f>Transport_1_hub!BK172</f>
        <v>6.1039521222553319E-3</v>
      </c>
      <c r="U237" s="8">
        <f>Transport_1_hub!BL172</f>
        <v>0.9117907618881842</v>
      </c>
      <c r="V237" s="9">
        <f>Transport_1_hub!BM172</f>
        <v>0.2847793850586276</v>
      </c>
      <c r="X237" s="22"/>
      <c r="Y237" s="22"/>
      <c r="AG237" s="42"/>
      <c r="AL237" s="42"/>
    </row>
    <row r="238" spans="2:38" x14ac:dyDescent="0.25">
      <c r="B238" s="40">
        <f>Transport_1_hub!W173+Transport_1_hub!L173</f>
        <v>1067.8488160300603</v>
      </c>
      <c r="C238" s="8">
        <f>Transport_1_hub!AT173</f>
        <v>247.36938404675541</v>
      </c>
      <c r="D238" s="8">
        <f>Transport_1_hub!AU173</f>
        <v>2555.7448265710332</v>
      </c>
      <c r="E238" s="8">
        <f>Transport_1_hub!AV173</f>
        <v>1.2339827668363519</v>
      </c>
      <c r="F238" s="8">
        <f>Transport_1_hub!AW173</f>
        <v>247.30710182675543</v>
      </c>
      <c r="G238" s="8">
        <f>Transport_1_hub!AX173</f>
        <v>59.664872751925365</v>
      </c>
      <c r="H238" s="8">
        <f>Transport_1_hub!AY173</f>
        <v>0.53398094428573439</v>
      </c>
      <c r="I238" s="8">
        <f>Transport_1_hub!AZ173</f>
        <v>6.6568334937314524E-3</v>
      </c>
      <c r="J238" s="8">
        <f>Transport_1_hub!BA173</f>
        <v>9.9389139091978898</v>
      </c>
      <c r="K238" s="8">
        <f>Transport_1_hub!BB173</f>
        <v>12.648513969297936</v>
      </c>
      <c r="L238" s="8">
        <f>Transport_1_hub!BC173</f>
        <v>0.46304083012837094</v>
      </c>
      <c r="M238" s="8">
        <f>Transport_1_hub!BD173</f>
        <v>0.25169611793458829</v>
      </c>
      <c r="N238" s="8">
        <f>Transport_1_hub!BE173</f>
        <v>1.3381402532959057</v>
      </c>
      <c r="O238" s="8">
        <f>Transport_1_hub!BF173</f>
        <v>6.1094506950816106E-2</v>
      </c>
      <c r="P238" s="8">
        <f>Transport_1_hub!BG173</f>
        <v>3.0388169551012334E-5</v>
      </c>
      <c r="Q238" s="8">
        <f>Transport_1_hub!BH173</f>
        <v>0.10221452430673963</v>
      </c>
      <c r="R238" s="8">
        <f>Transport_1_hub!BI173</f>
        <v>0.30031778567172407</v>
      </c>
      <c r="S238" s="8">
        <f>Transport_1_hub!BJ173</f>
        <v>1.6269025610310406E-2</v>
      </c>
      <c r="T238" s="8">
        <f>Transport_1_hub!BK173</f>
        <v>5.0771784053104075E-3</v>
      </c>
      <c r="U238" s="8">
        <f>Transport_1_hub!BL173</f>
        <v>0.73984826254921932</v>
      </c>
      <c r="V238" s="9">
        <f>Transport_1_hub!BM173</f>
        <v>0.26388660331266761</v>
      </c>
      <c r="X238" s="22"/>
      <c r="Y238" s="22"/>
      <c r="AG238" s="42"/>
      <c r="AL238" s="42"/>
    </row>
    <row r="239" spans="2:38" x14ac:dyDescent="0.25">
      <c r="B239" s="40">
        <f>Transport_1_hub!W174+Transport_1_hub!L174</f>
        <v>1067.8488160300603</v>
      </c>
      <c r="C239" s="8">
        <f>Transport_1_hub!AT174</f>
        <v>247.36938404675541</v>
      </c>
      <c r="D239" s="8">
        <f>Transport_1_hub!AU174</f>
        <v>2555.7448265710332</v>
      </c>
      <c r="E239" s="8">
        <f>Transport_1_hub!AV174</f>
        <v>1.2339827668363519</v>
      </c>
      <c r="F239" s="8">
        <f>Transport_1_hub!AW174</f>
        <v>247.30710182675543</v>
      </c>
      <c r="G239" s="8">
        <f>Transport_1_hub!AX174</f>
        <v>59.664872751925365</v>
      </c>
      <c r="H239" s="8">
        <f>Transport_1_hub!AY174</f>
        <v>0.53398094428573439</v>
      </c>
      <c r="I239" s="8">
        <f>Transport_1_hub!AZ174</f>
        <v>6.6568334937314524E-3</v>
      </c>
      <c r="J239" s="8">
        <f>Transport_1_hub!BA174</f>
        <v>9.9389139091978898</v>
      </c>
      <c r="K239" s="8">
        <f>Transport_1_hub!BB174</f>
        <v>12.648513969297936</v>
      </c>
      <c r="L239" s="8">
        <f>Transport_1_hub!BC174</f>
        <v>0.46304083012837094</v>
      </c>
      <c r="M239" s="8">
        <f>Transport_1_hub!BD174</f>
        <v>0.25169611793458829</v>
      </c>
      <c r="N239" s="8">
        <f>Transport_1_hub!BE174</f>
        <v>1.3381402532959057</v>
      </c>
      <c r="O239" s="8">
        <f>Transport_1_hub!BF174</f>
        <v>6.1094506950816106E-2</v>
      </c>
      <c r="P239" s="8">
        <f>Transport_1_hub!BG174</f>
        <v>3.0388169551012334E-5</v>
      </c>
      <c r="Q239" s="8">
        <f>Transport_1_hub!BH174</f>
        <v>0.10221452430673963</v>
      </c>
      <c r="R239" s="8">
        <f>Transport_1_hub!BI174</f>
        <v>0.30031778567172407</v>
      </c>
      <c r="S239" s="8">
        <f>Transport_1_hub!BJ174</f>
        <v>1.6269025610310406E-2</v>
      </c>
      <c r="T239" s="8">
        <f>Transport_1_hub!BK174</f>
        <v>5.0771784053104075E-3</v>
      </c>
      <c r="U239" s="8">
        <f>Transport_1_hub!BL174</f>
        <v>0.73984826254921932</v>
      </c>
      <c r="V239" s="9">
        <f>Transport_1_hub!BM174</f>
        <v>0.26388660331266761</v>
      </c>
      <c r="X239" s="22"/>
      <c r="Y239" s="22"/>
      <c r="AG239" s="42"/>
      <c r="AL239" s="42"/>
    </row>
    <row r="240" spans="2:38" x14ac:dyDescent="0.25">
      <c r="B240" s="40">
        <f>Transport_1_hub!W175+Transport_1_hub!L175</f>
        <v>1067.8688160300605</v>
      </c>
      <c r="C240" s="8">
        <f>Transport_1_hub!AT175</f>
        <v>247.37618004675542</v>
      </c>
      <c r="D240" s="8">
        <f>Transport_1_hub!AU175</f>
        <v>2555.8439475796931</v>
      </c>
      <c r="E240" s="8">
        <f>Transport_1_hub!AV175</f>
        <v>1.234088078836352</v>
      </c>
      <c r="F240" s="8">
        <f>Transport_1_hub!AW175</f>
        <v>247.31380942675543</v>
      </c>
      <c r="G240" s="8">
        <f>Transport_1_hub!AX175</f>
        <v>59.667070751925365</v>
      </c>
      <c r="H240" s="8">
        <f>Transport_1_hub!AY175</f>
        <v>0.53433922428573433</v>
      </c>
      <c r="I240" s="8">
        <f>Transport_1_hub!AZ175</f>
        <v>6.657788713731452E-3</v>
      </c>
      <c r="J240" s="8">
        <f>Transport_1_hub!BA175</f>
        <v>9.94045332919789</v>
      </c>
      <c r="K240" s="8">
        <f>Transport_1_hub!BB175</f>
        <v>12.648969569297936</v>
      </c>
      <c r="L240" s="8">
        <f>Transport_1_hub!BC175</f>
        <v>0.46335247012837089</v>
      </c>
      <c r="M240" s="8">
        <f>Transport_1_hub!BD175</f>
        <v>0.25169693811458832</v>
      </c>
      <c r="N240" s="8">
        <f>Transport_1_hub!BE175</f>
        <v>1.3386073732959056</v>
      </c>
      <c r="O240" s="8">
        <f>Transport_1_hub!BF175</f>
        <v>6.1094070490816103E-2</v>
      </c>
      <c r="P240" s="8">
        <f>Transport_1_hub!BG175</f>
        <v>3.0389147231012335E-5</v>
      </c>
      <c r="Q240" s="8">
        <f>Transport_1_hub!BH175</f>
        <v>0.10222274510673963</v>
      </c>
      <c r="R240" s="8">
        <f>Transport_1_hub!BI175</f>
        <v>0.30033550827172406</v>
      </c>
      <c r="S240" s="8">
        <f>Transport_1_hub!BJ175</f>
        <v>1.6285934010310407E-2</v>
      </c>
      <c r="T240" s="8">
        <f>Transport_1_hub!BK175</f>
        <v>5.0782017053104074E-3</v>
      </c>
      <c r="U240" s="8">
        <f>Transport_1_hub!BL175</f>
        <v>0.7400223345492194</v>
      </c>
      <c r="V240" s="9">
        <f>Transport_1_hub!BM175</f>
        <v>0.26390523431266766</v>
      </c>
      <c r="X240" s="22"/>
      <c r="Y240" s="22"/>
      <c r="AG240" s="42"/>
      <c r="AL240" s="42"/>
    </row>
    <row r="241" spans="2:38" x14ac:dyDescent="0.25">
      <c r="B241" s="40">
        <f>Transport_1_hub!W176+Transport_1_hub!L176</f>
        <v>1106.9394299338915</v>
      </c>
      <c r="C241" s="8">
        <f>Transport_1_hub!AT176</f>
        <v>252.8335655239193</v>
      </c>
      <c r="D241" s="8">
        <f>Transport_1_hub!AU176</f>
        <v>2609.097227541748</v>
      </c>
      <c r="E241" s="8">
        <f>Transport_1_hub!AV176</f>
        <v>1.2556637836400075</v>
      </c>
      <c r="F241" s="8">
        <f>Transport_1_hub!AW176</f>
        <v>252.7637560439193</v>
      </c>
      <c r="G241" s="8">
        <f>Transport_1_hub!AX176</f>
        <v>60.912313608324716</v>
      </c>
      <c r="H241" s="8">
        <f>Transport_1_hub!AY176</f>
        <v>0.56823686222928727</v>
      </c>
      <c r="I241" s="8">
        <f>Transport_1_hub!AZ176</f>
        <v>6.7938162540012049E-3</v>
      </c>
      <c r="J241" s="8">
        <f>Transport_1_hub!BA176</f>
        <v>10.151276623068224</v>
      </c>
      <c r="K241" s="8">
        <f>Transport_1_hub!BB176</f>
        <v>12.891242671712217</v>
      </c>
      <c r="L241" s="8">
        <f>Transport_1_hub!BC176</f>
        <v>0.49248241115069485</v>
      </c>
      <c r="M241" s="8">
        <f>Transport_1_hub!BD176</f>
        <v>0.25723153938731619</v>
      </c>
      <c r="N241" s="8">
        <f>Transport_1_hub!BE176</f>
        <v>1.3927272380491829</v>
      </c>
      <c r="O241" s="8">
        <f>Transport_1_hub!BF176</f>
        <v>6.2171561720340718E-2</v>
      </c>
      <c r="P241" s="8">
        <f>Transport_1_hub!BG176</f>
        <v>3.1013313460176607E-5</v>
      </c>
      <c r="Q241" s="8">
        <f>Transport_1_hub!BH176</f>
        <v>0.10409496116160935</v>
      </c>
      <c r="R241" s="8">
        <f>Transport_1_hub!BI176</f>
        <v>0.30452730384203941</v>
      </c>
      <c r="S241" s="8">
        <f>Transport_1_hub!BJ176</f>
        <v>1.7756711972255333E-2</v>
      </c>
      <c r="T241" s="8">
        <f>Transport_1_hub!BK176</f>
        <v>5.2122485022553311E-3</v>
      </c>
      <c r="U241" s="8">
        <f>Transport_1_hub!BL176</f>
        <v>0.76010442108818421</v>
      </c>
      <c r="V241" s="9">
        <f>Transport_1_hub!BM176</f>
        <v>0.26854433165862757</v>
      </c>
      <c r="X241" s="22"/>
      <c r="Y241" s="22"/>
      <c r="AG241" s="42"/>
      <c r="AL241" s="42"/>
    </row>
    <row r="242" spans="2:38" x14ac:dyDescent="0.25">
      <c r="B242" s="40">
        <f>Transport_1_hub!W177+Transport_1_hub!L177</f>
        <v>977.70634331629844</v>
      </c>
      <c r="C242" s="8">
        <f>Transport_1_hub!AT177</f>
        <v>235.04306905279847</v>
      </c>
      <c r="D242" s="8">
        <f>Transport_1_hub!AU177</f>
        <v>2438.449864847345</v>
      </c>
      <c r="E242" s="8">
        <f>Transport_1_hub!AV177</f>
        <v>1.192040913872966</v>
      </c>
      <c r="F242" s="8">
        <f>Transport_1_hub!AW177</f>
        <v>234.99052851279845</v>
      </c>
      <c r="G242" s="8">
        <f>Transport_1_hub!AX177</f>
        <v>56.911423739002622</v>
      </c>
      <c r="H242" s="8">
        <f>Transport_1_hub!AY177</f>
        <v>0.48560864208347948</v>
      </c>
      <c r="I242" s="8">
        <f>Transport_1_hub!AZ177</f>
        <v>6.4197195452137847E-3</v>
      </c>
      <c r="J242" s="8">
        <f>Transport_1_hub!BA177</f>
        <v>9.5775081456108104</v>
      </c>
      <c r="K242" s="8">
        <f>Transport_1_hub!BB177</f>
        <v>12.115325502240241</v>
      </c>
      <c r="L242" s="8">
        <f>Transport_1_hub!BC177</f>
        <v>0.42180601460225475</v>
      </c>
      <c r="M242" s="8">
        <f>Transport_1_hub!BD177</f>
        <v>0.23871042692867558</v>
      </c>
      <c r="N242" s="8">
        <f>Transport_1_hub!BE177</f>
        <v>1.2515692547210915</v>
      </c>
      <c r="O242" s="8">
        <f>Transport_1_hub!BF177</f>
        <v>5.850360488258062E-2</v>
      </c>
      <c r="P242" s="8">
        <f>Transport_1_hub!BG177</f>
        <v>2.8996828283521165E-5</v>
      </c>
      <c r="Q242" s="8">
        <f>Transport_1_hub!BH177</f>
        <v>9.8511259922300531E-2</v>
      </c>
      <c r="R242" s="8">
        <f>Transport_1_hub!BI177</f>
        <v>0.29196783424454248</v>
      </c>
      <c r="S242" s="8">
        <f>Transport_1_hub!BJ177</f>
        <v>1.4292301089638242E-2</v>
      </c>
      <c r="T242" s="8">
        <f>Transport_1_hub!BK177</f>
        <v>4.8509919046382409E-3</v>
      </c>
      <c r="U242" s="8">
        <f>Transport_1_hub!BL177</f>
        <v>0.7078027624340355</v>
      </c>
      <c r="V242" s="9">
        <f>Transport_1_hub!BM177</f>
        <v>0.25456175474081455</v>
      </c>
      <c r="X242" s="22"/>
      <c r="Y242" s="22"/>
      <c r="AG242" s="42"/>
      <c r="AL242" s="42"/>
    </row>
    <row r="243" spans="2:38" x14ac:dyDescent="0.25">
      <c r="B243" s="40">
        <f>Transport_1_hub!W178+Transport_1_hub!L178</f>
        <v>978.03234331629835</v>
      </c>
      <c r="C243" s="8">
        <f>Transport_1_hub!AT178</f>
        <v>235.15384385279847</v>
      </c>
      <c r="D243" s="8">
        <f>Transport_1_hub!AU178</f>
        <v>2440.065537288503</v>
      </c>
      <c r="E243" s="8">
        <f>Transport_1_hub!AV178</f>
        <v>1.1937574994729661</v>
      </c>
      <c r="F243" s="8">
        <f>Transport_1_hub!AW178</f>
        <v>235.09986239279846</v>
      </c>
      <c r="G243" s="8">
        <f>Transport_1_hub!AX178</f>
        <v>56.947251139002624</v>
      </c>
      <c r="H243" s="8">
        <f>Transport_1_hub!AY178</f>
        <v>0.49144860608347946</v>
      </c>
      <c r="I243" s="8">
        <f>Transport_1_hub!AZ178</f>
        <v>6.4352896312137847E-3</v>
      </c>
      <c r="J243" s="8">
        <f>Transport_1_hub!BA178</f>
        <v>9.6026006916108102</v>
      </c>
      <c r="K243" s="8">
        <f>Transport_1_hub!BB178</f>
        <v>12.122751782240242</v>
      </c>
      <c r="L243" s="8">
        <f>Transport_1_hub!BC178</f>
        <v>0.42688574660225476</v>
      </c>
      <c r="M243" s="8">
        <f>Transport_1_hub!BD178</f>
        <v>0.23872379586267559</v>
      </c>
      <c r="N243" s="8">
        <f>Transport_1_hub!BE178</f>
        <v>1.2591833107210915</v>
      </c>
      <c r="O243" s="8">
        <f>Transport_1_hub!BF178</f>
        <v>5.8496490584580618E-2</v>
      </c>
      <c r="P243" s="8">
        <f>Transport_1_hub!BG178</f>
        <v>2.9012764467521166E-5</v>
      </c>
      <c r="Q243" s="8">
        <f>Transport_1_hub!BH178</f>
        <v>9.864525896230053E-2</v>
      </c>
      <c r="R243" s="8">
        <f>Transport_1_hub!BI178</f>
        <v>0.29225671262454245</v>
      </c>
      <c r="S243" s="8">
        <f>Transport_1_hub!BJ178</f>
        <v>1.4567908009638241E-2</v>
      </c>
      <c r="T243" s="8">
        <f>Transport_1_hub!BK178</f>
        <v>4.8676716946382415E-3</v>
      </c>
      <c r="U243" s="8">
        <f>Transport_1_hub!BL178</f>
        <v>0.71064013603403553</v>
      </c>
      <c r="V243" s="9">
        <f>Transport_1_hub!BM178</f>
        <v>0.25486544004081457</v>
      </c>
      <c r="X243" s="22"/>
      <c r="Y243" s="22"/>
      <c r="AG243" s="42"/>
      <c r="AL243" s="42"/>
    </row>
    <row r="244" spans="2:38" x14ac:dyDescent="0.25">
      <c r="B244" s="40">
        <f>Transport_1_hub!W179+Transport_1_hub!L179</f>
        <v>1164.8794072648172</v>
      </c>
      <c r="C244" s="8">
        <f>Transport_1_hub!AT179</f>
        <v>258.62729455965126</v>
      </c>
      <c r="D244" s="8">
        <f>Transport_1_hub!AU179</f>
        <v>2647.2414551465399</v>
      </c>
      <c r="E244" s="8">
        <f>Transport_1_hub!AV179</f>
        <v>1.2343965721812988</v>
      </c>
      <c r="F244" s="8">
        <f>Transport_1_hub!AW179</f>
        <v>258.59403405965128</v>
      </c>
      <c r="G244" s="8">
        <f>Transport_1_hub!AX179</f>
        <v>61.871527192720201</v>
      </c>
      <c r="H244" s="8">
        <f>Transport_1_hub!AY179</f>
        <v>0.42670322624583057</v>
      </c>
      <c r="I244" s="8">
        <f>Transport_1_hub!AZ179</f>
        <v>6.4968883063133698E-3</v>
      </c>
      <c r="J244" s="8">
        <f>Transport_1_hub!BA179</f>
        <v>9.6584207739931003</v>
      </c>
      <c r="K244" s="8">
        <f>Transport_1_hub!BB179</f>
        <v>13.06217942174878</v>
      </c>
      <c r="L244" s="8">
        <f>Transport_1_hub!BC179</f>
        <v>0.36874773002349598</v>
      </c>
      <c r="M244" s="8">
        <f>Transport_1_hub!BD179</f>
        <v>0.26654923397999741</v>
      </c>
      <c r="N244" s="8">
        <f>Transport_1_hub!BE179</f>
        <v>1.2256842025905645</v>
      </c>
      <c r="O244" s="8">
        <f>Transport_1_hub!BF179</f>
        <v>6.4315009157501643E-2</v>
      </c>
      <c r="P244" s="8">
        <f>Transport_1_hub!BG179</f>
        <v>3.1563704993701379E-5</v>
      </c>
      <c r="Q244" s="8">
        <f>Transport_1_hub!BH179</f>
        <v>0.10277492649777788</v>
      </c>
      <c r="R244" s="8">
        <f>Transport_1_hub!BI179</f>
        <v>0.30195699559056105</v>
      </c>
      <c r="S244" s="8">
        <f>Transport_1_hub!BJ179</f>
        <v>1.0850452653117989E-2</v>
      </c>
      <c r="T244" s="8">
        <f>Transport_1_hub!BK179</f>
        <v>4.8736837781179878E-3</v>
      </c>
      <c r="U244" s="8">
        <f>Transport_1_hub!BL179</f>
        <v>0.6977119772550151</v>
      </c>
      <c r="V244" s="9">
        <f>Transport_1_hub!BM179</f>
        <v>0.26625378612403838</v>
      </c>
      <c r="X244" s="22"/>
      <c r="Y244" s="22"/>
      <c r="AG244" s="42"/>
      <c r="AL244" s="42"/>
    </row>
    <row r="245" spans="2:38" x14ac:dyDescent="0.25">
      <c r="B245" s="40">
        <f>Transport_1_hub!W180+Transport_1_hub!L180</f>
        <v>1108.3150634799049</v>
      </c>
      <c r="C245" s="8">
        <f>Transport_1_hub!AT180</f>
        <v>277.17051766716185</v>
      </c>
      <c r="D245" s="8">
        <f>Transport_1_hub!AU180</f>
        <v>3045.1278942309782</v>
      </c>
      <c r="E245" s="8">
        <f>Transport_1_hub!AV180</f>
        <v>1.8263728400108725</v>
      </c>
      <c r="F245" s="8">
        <f>Transport_1_hub!AW180</f>
        <v>276.58868654716184</v>
      </c>
      <c r="G245" s="8">
        <f>Transport_1_hub!AX180</f>
        <v>70.383370658914345</v>
      </c>
      <c r="H245" s="8">
        <f>Transport_1_hub!AY180</f>
        <v>2.6318960399925384</v>
      </c>
      <c r="I245" s="8">
        <f>Transport_1_hub!AZ180</f>
        <v>1.2155412693373845E-2</v>
      </c>
      <c r="J245" s="8">
        <f>Transport_1_hub!BA180</f>
        <v>18.81843711820769</v>
      </c>
      <c r="K245" s="8">
        <f>Transport_1_hub!BB180</f>
        <v>14.903122148346295</v>
      </c>
      <c r="L245" s="8">
        <f>Transport_1_hub!BC180</f>
        <v>2.2885908074026307</v>
      </c>
      <c r="M245" s="8">
        <f>Transport_1_hub!BD180</f>
        <v>0.24521693390990146</v>
      </c>
      <c r="N245" s="8">
        <f>Transport_1_hub!BE180</f>
        <v>4.052781665996851</v>
      </c>
      <c r="O245" s="8">
        <f>Transport_1_hub!BF180</f>
        <v>5.6217706624052906E-2</v>
      </c>
      <c r="P245" s="8">
        <f>Transport_1_hub!BG180</f>
        <v>3.5009888042741905E-5</v>
      </c>
      <c r="Q245" s="8">
        <f>Transport_1_hub!BH180</f>
        <v>0.14808003991290314</v>
      </c>
      <c r="R245" s="8">
        <f>Transport_1_hub!BI180</f>
        <v>0.39887468444947433</v>
      </c>
      <c r="S245" s="8">
        <f>Transport_1_hub!BJ180</f>
        <v>0.1155445616969317</v>
      </c>
      <c r="T245" s="8">
        <f>Transport_1_hub!BK180</f>
        <v>1.0992010516931702E-2</v>
      </c>
      <c r="U245" s="8">
        <f>Transport_1_hub!BL180</f>
        <v>1.7516452901330024</v>
      </c>
      <c r="V245" s="9">
        <f>Transport_1_hub!BM180</f>
        <v>0.36701583660303072</v>
      </c>
      <c r="X245" s="22"/>
      <c r="Y245" s="22"/>
      <c r="AG245" s="42"/>
      <c r="AL245" s="42"/>
    </row>
    <row r="246" spans="2:38" x14ac:dyDescent="0.25">
      <c r="B246" s="40">
        <f>Transport_1_hub!W181+Transport_1_hub!L181</f>
        <v>1108.3150634799049</v>
      </c>
      <c r="C246" s="8">
        <f>Transport_1_hub!AT181</f>
        <v>277.17051766716185</v>
      </c>
      <c r="D246" s="8">
        <f>Transport_1_hub!AU181</f>
        <v>3045.1278942309782</v>
      </c>
      <c r="E246" s="8">
        <f>Transport_1_hub!AV181</f>
        <v>1.8263728400108725</v>
      </c>
      <c r="F246" s="8">
        <f>Transport_1_hub!AW181</f>
        <v>276.58868654716184</v>
      </c>
      <c r="G246" s="8">
        <f>Transport_1_hub!AX181</f>
        <v>70.383370658914345</v>
      </c>
      <c r="H246" s="8">
        <f>Transport_1_hub!AY181</f>
        <v>2.6318960399925384</v>
      </c>
      <c r="I246" s="8">
        <f>Transport_1_hub!AZ181</f>
        <v>1.2155412693373845E-2</v>
      </c>
      <c r="J246" s="8">
        <f>Transport_1_hub!BA181</f>
        <v>18.81843711820769</v>
      </c>
      <c r="K246" s="8">
        <f>Transport_1_hub!BB181</f>
        <v>14.903122148346295</v>
      </c>
      <c r="L246" s="8">
        <f>Transport_1_hub!BC181</f>
        <v>2.2885908074026307</v>
      </c>
      <c r="M246" s="8">
        <f>Transport_1_hub!BD181</f>
        <v>0.24521693390990146</v>
      </c>
      <c r="N246" s="8">
        <f>Transport_1_hub!BE181</f>
        <v>4.052781665996851</v>
      </c>
      <c r="O246" s="8">
        <f>Transport_1_hub!BF181</f>
        <v>5.6217706624052906E-2</v>
      </c>
      <c r="P246" s="8">
        <f>Transport_1_hub!BG181</f>
        <v>3.5009888042741905E-5</v>
      </c>
      <c r="Q246" s="8">
        <f>Transport_1_hub!BH181</f>
        <v>0.14808003991290314</v>
      </c>
      <c r="R246" s="8">
        <f>Transport_1_hub!BI181</f>
        <v>0.39887468444947433</v>
      </c>
      <c r="S246" s="8">
        <f>Transport_1_hub!BJ181</f>
        <v>0.1155445616969317</v>
      </c>
      <c r="T246" s="8">
        <f>Transport_1_hub!BK181</f>
        <v>1.0992010516931702E-2</v>
      </c>
      <c r="U246" s="8">
        <f>Transport_1_hub!BL181</f>
        <v>1.7516452901330024</v>
      </c>
      <c r="V246" s="9">
        <f>Transport_1_hub!BM181</f>
        <v>0.36701583660303072</v>
      </c>
      <c r="X246" s="22"/>
      <c r="Y246" s="22"/>
      <c r="AG246" s="42"/>
      <c r="AL246" s="42"/>
    </row>
    <row r="247" spans="2:38" x14ac:dyDescent="0.25">
      <c r="B247" s="40">
        <f>Transport_1_hub!W182+Transport_1_hub!L182</f>
        <v>1164.4214072648172</v>
      </c>
      <c r="C247" s="8">
        <f>Transport_1_hub!AT182</f>
        <v>258.47166615965131</v>
      </c>
      <c r="D247" s="8">
        <f>Transport_1_hub!AU182</f>
        <v>2644.9715840482258</v>
      </c>
      <c r="E247" s="8">
        <f>Transport_1_hub!AV182</f>
        <v>1.2319849273812988</v>
      </c>
      <c r="F247" s="8">
        <f>Transport_1_hub!AW182</f>
        <v>258.44043001965127</v>
      </c>
      <c r="G247" s="8">
        <f>Transport_1_hub!AX182</f>
        <v>61.821192992720206</v>
      </c>
      <c r="H247" s="8">
        <f>Transport_1_hub!AY182</f>
        <v>0.41849861424583057</v>
      </c>
      <c r="I247" s="8">
        <f>Transport_1_hub!AZ182</f>
        <v>6.4750137683133703E-3</v>
      </c>
      <c r="J247" s="8">
        <f>Transport_1_hub!BA182</f>
        <v>9.6231680559931014</v>
      </c>
      <c r="K247" s="8">
        <f>Transport_1_hub!BB182</f>
        <v>13.051746181748779</v>
      </c>
      <c r="L247" s="8">
        <f>Transport_1_hub!BC182</f>
        <v>0.36161117402349596</v>
      </c>
      <c r="M247" s="8">
        <f>Transport_1_hub!BD182</f>
        <v>0.2665304518579974</v>
      </c>
      <c r="N247" s="8">
        <f>Transport_1_hub!BE182</f>
        <v>1.2149871545905646</v>
      </c>
      <c r="O247" s="8">
        <f>Transport_1_hub!BF182</f>
        <v>6.4325004091501645E-2</v>
      </c>
      <c r="P247" s="8">
        <f>Transport_1_hub!BG182</f>
        <v>3.1541316121701382E-5</v>
      </c>
      <c r="Q247" s="8">
        <f>Transport_1_hub!BH182</f>
        <v>0.10258667017777788</v>
      </c>
      <c r="R247" s="8">
        <f>Transport_1_hub!BI182</f>
        <v>0.30155114805056105</v>
      </c>
      <c r="S247" s="8">
        <f>Transport_1_hub!BJ182</f>
        <v>1.0463250293117989E-2</v>
      </c>
      <c r="T247" s="8">
        <f>Transport_1_hub!BK182</f>
        <v>4.8502502081179876E-3</v>
      </c>
      <c r="U247" s="8">
        <f>Transport_1_hub!BL182</f>
        <v>0.69372572845501512</v>
      </c>
      <c r="V247" s="9">
        <f>Transport_1_hub!BM182</f>
        <v>0.26582713622403842</v>
      </c>
      <c r="X247" s="22"/>
      <c r="Y247" s="22"/>
      <c r="AG247" s="42"/>
      <c r="AL247" s="42"/>
    </row>
    <row r="248" spans="2:38" x14ac:dyDescent="0.25">
      <c r="B248" s="40">
        <f>Transport_1_hub!W183+Transport_1_hub!L183</f>
        <v>1164.4214072648172</v>
      </c>
      <c r="C248" s="8">
        <f>Transport_1_hub!AT183</f>
        <v>258.47166615965131</v>
      </c>
      <c r="D248" s="8">
        <f>Transport_1_hub!AU183</f>
        <v>2644.9715840482258</v>
      </c>
      <c r="E248" s="8">
        <f>Transport_1_hub!AV183</f>
        <v>1.2319849273812988</v>
      </c>
      <c r="F248" s="8">
        <f>Transport_1_hub!AW183</f>
        <v>258.44043001965127</v>
      </c>
      <c r="G248" s="8">
        <f>Transport_1_hub!AX183</f>
        <v>61.821192992720206</v>
      </c>
      <c r="H248" s="8">
        <f>Transport_1_hub!AY183</f>
        <v>0.41849861424583057</v>
      </c>
      <c r="I248" s="8">
        <f>Transport_1_hub!AZ183</f>
        <v>6.4750137683133703E-3</v>
      </c>
      <c r="J248" s="8">
        <f>Transport_1_hub!BA183</f>
        <v>9.6231680559931014</v>
      </c>
      <c r="K248" s="8">
        <f>Transport_1_hub!BB183</f>
        <v>13.051746181748779</v>
      </c>
      <c r="L248" s="8">
        <f>Transport_1_hub!BC183</f>
        <v>0.36161117402349596</v>
      </c>
      <c r="M248" s="8">
        <f>Transport_1_hub!BD183</f>
        <v>0.2665304518579974</v>
      </c>
      <c r="N248" s="8">
        <f>Transport_1_hub!BE183</f>
        <v>1.2149871545905646</v>
      </c>
      <c r="O248" s="8">
        <f>Transport_1_hub!BF183</f>
        <v>6.4325004091501645E-2</v>
      </c>
      <c r="P248" s="8">
        <f>Transport_1_hub!BG183</f>
        <v>3.1541316121701382E-5</v>
      </c>
      <c r="Q248" s="8">
        <f>Transport_1_hub!BH183</f>
        <v>0.10258667017777788</v>
      </c>
      <c r="R248" s="8">
        <f>Transport_1_hub!BI183</f>
        <v>0.30155114805056105</v>
      </c>
      <c r="S248" s="8">
        <f>Transport_1_hub!BJ183</f>
        <v>1.0463250293117989E-2</v>
      </c>
      <c r="T248" s="8">
        <f>Transport_1_hub!BK183</f>
        <v>4.8502502081179876E-3</v>
      </c>
      <c r="U248" s="8">
        <f>Transport_1_hub!BL183</f>
        <v>0.69372572845501512</v>
      </c>
      <c r="V248" s="9">
        <f>Transport_1_hub!BM183</f>
        <v>0.26582713622403842</v>
      </c>
      <c r="X248" s="22"/>
      <c r="Y248" s="22"/>
      <c r="AG248" s="42"/>
      <c r="AL248" s="42"/>
    </row>
    <row r="249" spans="2:38" x14ac:dyDescent="0.25">
      <c r="B249" s="40">
        <f>Transport_1_hub!W184+Transport_1_hub!L184</f>
        <v>1164.4214072648172</v>
      </c>
      <c r="C249" s="8">
        <f>Transport_1_hub!AT184</f>
        <v>258.47166615965131</v>
      </c>
      <c r="D249" s="8">
        <f>Transport_1_hub!AU184</f>
        <v>2644.9715840482258</v>
      </c>
      <c r="E249" s="8">
        <f>Transport_1_hub!AV184</f>
        <v>1.2319849273812988</v>
      </c>
      <c r="F249" s="8">
        <f>Transport_1_hub!AW184</f>
        <v>258.44043001965127</v>
      </c>
      <c r="G249" s="8">
        <f>Transport_1_hub!AX184</f>
        <v>61.821192992720206</v>
      </c>
      <c r="H249" s="8">
        <f>Transport_1_hub!AY184</f>
        <v>0.41849861424583057</v>
      </c>
      <c r="I249" s="8">
        <f>Transport_1_hub!AZ184</f>
        <v>6.4750137683133703E-3</v>
      </c>
      <c r="J249" s="8">
        <f>Transport_1_hub!BA184</f>
        <v>9.6231680559931014</v>
      </c>
      <c r="K249" s="8">
        <f>Transport_1_hub!BB184</f>
        <v>13.051746181748779</v>
      </c>
      <c r="L249" s="8">
        <f>Transport_1_hub!BC184</f>
        <v>0.36161117402349596</v>
      </c>
      <c r="M249" s="8">
        <f>Transport_1_hub!BD184</f>
        <v>0.2665304518579974</v>
      </c>
      <c r="N249" s="8">
        <f>Transport_1_hub!BE184</f>
        <v>1.2149871545905646</v>
      </c>
      <c r="O249" s="8">
        <f>Transport_1_hub!BF184</f>
        <v>6.4325004091501645E-2</v>
      </c>
      <c r="P249" s="8">
        <f>Transport_1_hub!BG184</f>
        <v>3.1541316121701382E-5</v>
      </c>
      <c r="Q249" s="8">
        <f>Transport_1_hub!BH184</f>
        <v>0.10258667017777788</v>
      </c>
      <c r="R249" s="8">
        <f>Transport_1_hub!BI184</f>
        <v>0.30155114805056105</v>
      </c>
      <c r="S249" s="8">
        <f>Transport_1_hub!BJ184</f>
        <v>1.0463250293117989E-2</v>
      </c>
      <c r="T249" s="8">
        <f>Transport_1_hub!BK184</f>
        <v>4.8502502081179876E-3</v>
      </c>
      <c r="U249" s="8">
        <f>Transport_1_hub!BL184</f>
        <v>0.69372572845501512</v>
      </c>
      <c r="V249" s="9">
        <f>Transport_1_hub!BM184</f>
        <v>0.26582713622403842</v>
      </c>
      <c r="X249" s="22"/>
      <c r="Y249" s="22"/>
      <c r="AG249" s="42"/>
      <c r="AL249" s="42"/>
    </row>
    <row r="250" spans="2:38" x14ac:dyDescent="0.25">
      <c r="B250" s="40">
        <f>Transport_1_hub!W185+Transport_1_hub!L185</f>
        <v>1179.0694072648171</v>
      </c>
      <c r="C250" s="8">
        <f>Transport_1_hub!AT185</f>
        <v>263.4490565596513</v>
      </c>
      <c r="D250" s="8">
        <f>Transport_1_hub!AU185</f>
        <v>2717.5678107908097</v>
      </c>
      <c r="E250" s="8">
        <f>Transport_1_hub!AV185</f>
        <v>1.3091154361812987</v>
      </c>
      <c r="F250" s="8">
        <f>Transport_1_hub!AW185</f>
        <v>263.35307625965129</v>
      </c>
      <c r="G250" s="8">
        <f>Transport_1_hub!AX185</f>
        <v>63.431008192720206</v>
      </c>
      <c r="H250" s="8">
        <f>Transport_1_hub!AY185</f>
        <v>0.68090288624583062</v>
      </c>
      <c r="I250" s="8">
        <f>Transport_1_hub!AZ185</f>
        <v>7.1746168963133699E-3</v>
      </c>
      <c r="J250" s="8">
        <f>Transport_1_hub!BA185</f>
        <v>10.750639263993101</v>
      </c>
      <c r="K250" s="8">
        <f>Transport_1_hub!BB185</f>
        <v>13.38542762174878</v>
      </c>
      <c r="L250" s="8">
        <f>Transport_1_hub!BC185</f>
        <v>0.58985631002349592</v>
      </c>
      <c r="M250" s="8">
        <f>Transport_1_hub!BD185</f>
        <v>0.2671311516899974</v>
      </c>
      <c r="N250" s="8">
        <f>Transport_1_hub!BE185</f>
        <v>1.5571058425905646</v>
      </c>
      <c r="O250" s="8">
        <f>Transport_1_hub!BF185</f>
        <v>6.4005340787501641E-2</v>
      </c>
      <c r="P250" s="8">
        <f>Transport_1_hub!BG185</f>
        <v>3.2257368953701378E-5</v>
      </c>
      <c r="Q250" s="8">
        <f>Transport_1_hub!BH185</f>
        <v>0.10860758409777788</v>
      </c>
      <c r="R250" s="8">
        <f>Transport_1_hub!BI185</f>
        <v>0.31453118029056104</v>
      </c>
      <c r="S250" s="8">
        <f>Transport_1_hub!BJ185</f>
        <v>2.2846962453117989E-2</v>
      </c>
      <c r="T250" s="8">
        <f>Transport_1_hub!BK185</f>
        <v>5.5997151281179883E-3</v>
      </c>
      <c r="U250" s="8">
        <f>Transport_1_hub!BL185</f>
        <v>0.82121606125501512</v>
      </c>
      <c r="V250" s="9">
        <f>Transport_1_hub!BM185</f>
        <v>0.2794724806240384</v>
      </c>
      <c r="X250" s="22"/>
      <c r="Y250" s="22"/>
      <c r="AG250" s="42"/>
      <c r="AL250" s="42"/>
    </row>
    <row r="251" spans="2:38" x14ac:dyDescent="0.25">
      <c r="B251" s="40">
        <f>Transport_1_hub!W186+Transport_1_hub!L186</f>
        <v>1179.0694072648171</v>
      </c>
      <c r="C251" s="8">
        <f>Transport_1_hub!AT186</f>
        <v>263.4490565596513</v>
      </c>
      <c r="D251" s="8">
        <f>Transport_1_hub!AU186</f>
        <v>2717.5678107908097</v>
      </c>
      <c r="E251" s="8">
        <f>Transport_1_hub!AV186</f>
        <v>1.3091154361812987</v>
      </c>
      <c r="F251" s="8">
        <f>Transport_1_hub!AW186</f>
        <v>263.35307625965129</v>
      </c>
      <c r="G251" s="8">
        <f>Transport_1_hub!AX186</f>
        <v>63.431008192720206</v>
      </c>
      <c r="H251" s="8">
        <f>Transport_1_hub!AY186</f>
        <v>0.68090288624583062</v>
      </c>
      <c r="I251" s="8">
        <f>Transport_1_hub!AZ186</f>
        <v>7.1746168963133699E-3</v>
      </c>
      <c r="J251" s="8">
        <f>Transport_1_hub!BA186</f>
        <v>10.750639263993101</v>
      </c>
      <c r="K251" s="8">
        <f>Transport_1_hub!BB186</f>
        <v>13.38542762174878</v>
      </c>
      <c r="L251" s="8">
        <f>Transport_1_hub!BC186</f>
        <v>0.58985631002349592</v>
      </c>
      <c r="M251" s="8">
        <f>Transport_1_hub!BD186</f>
        <v>0.2671311516899974</v>
      </c>
      <c r="N251" s="8">
        <f>Transport_1_hub!BE186</f>
        <v>1.5571058425905646</v>
      </c>
      <c r="O251" s="8">
        <f>Transport_1_hub!BF186</f>
        <v>6.4005340787501641E-2</v>
      </c>
      <c r="P251" s="8">
        <f>Transport_1_hub!BG186</f>
        <v>3.2257368953701378E-5</v>
      </c>
      <c r="Q251" s="8">
        <f>Transport_1_hub!BH186</f>
        <v>0.10860758409777788</v>
      </c>
      <c r="R251" s="8">
        <f>Transport_1_hub!BI186</f>
        <v>0.31453118029056104</v>
      </c>
      <c r="S251" s="8">
        <f>Transport_1_hub!BJ186</f>
        <v>2.2846962453117989E-2</v>
      </c>
      <c r="T251" s="8">
        <f>Transport_1_hub!BK186</f>
        <v>5.5997151281179883E-3</v>
      </c>
      <c r="U251" s="8">
        <f>Transport_1_hub!BL186</f>
        <v>0.82121606125501512</v>
      </c>
      <c r="V251" s="9">
        <f>Transport_1_hub!BM186</f>
        <v>0.2794724806240384</v>
      </c>
      <c r="X251" s="22"/>
      <c r="Y251" s="22"/>
      <c r="AG251" s="42"/>
      <c r="AL251" s="42"/>
    </row>
    <row r="252" spans="2:38" x14ac:dyDescent="0.25">
      <c r="B252" s="40">
        <f>Transport_1_hub!W187+Transport_1_hub!L187</f>
        <v>1179.070407264817</v>
      </c>
      <c r="C252" s="8">
        <f>Transport_1_hub!AT187</f>
        <v>263.4493963596513</v>
      </c>
      <c r="D252" s="8">
        <f>Transport_1_hub!AU187</f>
        <v>2717.5727668412428</v>
      </c>
      <c r="E252" s="8">
        <f>Transport_1_hub!AV187</f>
        <v>1.3091207017812987</v>
      </c>
      <c r="F252" s="8">
        <f>Transport_1_hub!AW187</f>
        <v>263.35341163965131</v>
      </c>
      <c r="G252" s="8">
        <f>Transport_1_hub!AX187</f>
        <v>63.431118092720205</v>
      </c>
      <c r="H252" s="8">
        <f>Transport_1_hub!AY187</f>
        <v>0.68092080024583068</v>
      </c>
      <c r="I252" s="8">
        <f>Transport_1_hub!AZ187</f>
        <v>7.1746646573133703E-3</v>
      </c>
      <c r="J252" s="8">
        <f>Transport_1_hub!BA187</f>
        <v>10.750716234993101</v>
      </c>
      <c r="K252" s="8">
        <f>Transport_1_hub!BB187</f>
        <v>13.385450401748781</v>
      </c>
      <c r="L252" s="8">
        <f>Transport_1_hub!BC187</f>
        <v>0.58987189202349599</v>
      </c>
      <c r="M252" s="8">
        <f>Transport_1_hub!BD187</f>
        <v>0.26713119269899743</v>
      </c>
      <c r="N252" s="8">
        <f>Transport_1_hub!BE187</f>
        <v>1.5571291985905646</v>
      </c>
      <c r="O252" s="8">
        <f>Transport_1_hub!BF187</f>
        <v>6.4005318964501637E-2</v>
      </c>
      <c r="P252" s="8">
        <f>Transport_1_hub!BG187</f>
        <v>3.2257417837701382E-5</v>
      </c>
      <c r="Q252" s="8">
        <f>Transport_1_hub!BH187</f>
        <v>0.10860799513777787</v>
      </c>
      <c r="R252" s="8">
        <f>Transport_1_hub!BI187</f>
        <v>0.31453206642056103</v>
      </c>
      <c r="S252" s="8">
        <f>Transport_1_hub!BJ187</f>
        <v>2.2847807873117992E-2</v>
      </c>
      <c r="T252" s="8">
        <f>Transport_1_hub!BK187</f>
        <v>5.5997662931179882E-3</v>
      </c>
      <c r="U252" s="8">
        <f>Transport_1_hub!BL187</f>
        <v>0.82122476485501505</v>
      </c>
      <c r="V252" s="9">
        <f>Transport_1_hub!BM187</f>
        <v>0.27947341217403843</v>
      </c>
      <c r="X252" s="22"/>
      <c r="Y252" s="22"/>
      <c r="AG252" s="42"/>
      <c r="AL252" s="42"/>
    </row>
    <row r="253" spans="2:38" x14ac:dyDescent="0.25">
      <c r="B253" s="40">
        <f>Transport_1_hub!W188+Transport_1_hub!L188</f>
        <v>1208.2683270224029</v>
      </c>
      <c r="C253" s="8">
        <f>Transport_1_hub!AT188</f>
        <v>266.23386645565358</v>
      </c>
      <c r="D253" s="8">
        <f>Transport_1_hub!AU188</f>
        <v>2734.5807571776145</v>
      </c>
      <c r="E253" s="8">
        <f>Transport_1_hub!AV188</f>
        <v>1.2956366475898251</v>
      </c>
      <c r="F253" s="8">
        <f>Transport_1_hub!AW188</f>
        <v>266.15868225565362</v>
      </c>
      <c r="G253" s="8">
        <f>Transport_1_hub!AX188</f>
        <v>63.866047515744981</v>
      </c>
      <c r="H253" s="8">
        <f>Transport_1_hub!AY188</f>
        <v>0.59997716935344947</v>
      </c>
      <c r="I253" s="8">
        <f>Transport_1_hub!AZ188</f>
        <v>6.9998446065068776E-3</v>
      </c>
      <c r="J253" s="8">
        <f>Transport_1_hub!BA188</f>
        <v>10.46188665440831</v>
      </c>
      <c r="K253" s="8">
        <f>Transport_1_hub!BB188</f>
        <v>13.461396507880405</v>
      </c>
      <c r="L253" s="8">
        <f>Transport_1_hub!BC188</f>
        <v>0.51914640127239342</v>
      </c>
      <c r="M253" s="8">
        <f>Transport_1_hub!BD188</f>
        <v>0.27187309470067045</v>
      </c>
      <c r="N253" s="8">
        <f>Transport_1_hub!BE188</f>
        <v>1.4605097199086818</v>
      </c>
      <c r="O253" s="8">
        <f>Transport_1_hub!BF188</f>
        <v>6.5108562591435562E-2</v>
      </c>
      <c r="P253" s="8">
        <f>Transport_1_hub!BG188</f>
        <v>3.2513903537078095E-5</v>
      </c>
      <c r="Q253" s="8">
        <f>Transport_1_hub!BH188</f>
        <v>0.10773288608997358</v>
      </c>
      <c r="R253" s="8">
        <f>Transport_1_hub!BI188</f>
        <v>0.31278648407221721</v>
      </c>
      <c r="S253" s="8">
        <f>Transport_1_hub!BJ188</f>
        <v>1.8912371971224709E-2</v>
      </c>
      <c r="T253" s="8">
        <f>Transport_1_hub!BK188</f>
        <v>5.4020944212247058E-3</v>
      </c>
      <c r="U253" s="8">
        <f>Transport_1_hub!BL188</f>
        <v>0.78514943383614233</v>
      </c>
      <c r="V253" s="9">
        <f>Transport_1_hub!BM188</f>
        <v>0.27784901597945483</v>
      </c>
      <c r="X253" s="22"/>
      <c r="Y253" s="22"/>
      <c r="AG253" s="42"/>
      <c r="AL253" s="42"/>
    </row>
    <row r="254" spans="2:38" x14ac:dyDescent="0.25">
      <c r="B254" s="40">
        <f>Transport_1_hub!W189+Transport_1_hub!L189</f>
        <v>1148.722063479905</v>
      </c>
      <c r="C254" s="8">
        <f>Transport_1_hub!AT189</f>
        <v>290.90081626716187</v>
      </c>
      <c r="D254" s="8">
        <f>Transport_1_hub!AU189</f>
        <v>3245.3870240772094</v>
      </c>
      <c r="E254" s="8">
        <f>Transport_1_hub!AV189</f>
        <v>2.0391399392108722</v>
      </c>
      <c r="F254" s="8">
        <f>Transport_1_hub!AW189</f>
        <v>290.14038620716184</v>
      </c>
      <c r="G254" s="8">
        <f>Transport_1_hub!AX189</f>
        <v>74.82409995891436</v>
      </c>
      <c r="H254" s="8">
        <f>Transport_1_hub!AY189</f>
        <v>3.3557470379925389</v>
      </c>
      <c r="I254" s="8">
        <f>Transport_1_hub!AZ189</f>
        <v>1.4085291420373847E-2</v>
      </c>
      <c r="J254" s="8">
        <f>Transport_1_hub!BA189</f>
        <v>21.928604315207689</v>
      </c>
      <c r="K254" s="8">
        <f>Transport_1_hub!BB189</f>
        <v>15.823593608346297</v>
      </c>
      <c r="L254" s="8">
        <f>Transport_1_hub!BC189</f>
        <v>2.9182126814026312</v>
      </c>
      <c r="M254" s="8">
        <f>Transport_1_hub!BD189</f>
        <v>0.24687398457290147</v>
      </c>
      <c r="N254" s="8">
        <f>Transport_1_hub!BE189</f>
        <v>4.9965275579968509</v>
      </c>
      <c r="O254" s="8">
        <f>Transport_1_hub!BF189</f>
        <v>5.5335904663052903E-2</v>
      </c>
      <c r="P254" s="8">
        <f>Transport_1_hub!BG189</f>
        <v>3.6985143830741905E-5</v>
      </c>
      <c r="Q254" s="8">
        <f>Transport_1_hub!BH189</f>
        <v>0.16468893319290318</v>
      </c>
      <c r="R254" s="8">
        <f>Transport_1_hub!BI189</f>
        <v>0.43468053935947437</v>
      </c>
      <c r="S254" s="8">
        <f>Transport_1_hub!BJ189</f>
        <v>0.14970544763693172</v>
      </c>
      <c r="T254" s="8">
        <f>Transport_1_hub!BK189</f>
        <v>1.3059434671931701E-2</v>
      </c>
      <c r="U254" s="8">
        <f>Transport_1_hub!BL189</f>
        <v>2.1033316553330024</v>
      </c>
      <c r="V254" s="9">
        <f>Transport_1_hub!BM189</f>
        <v>0.40465697745303075</v>
      </c>
      <c r="X254" s="22"/>
      <c r="Y254" s="22"/>
      <c r="AG254" s="42"/>
      <c r="AL254" s="42"/>
    </row>
    <row r="255" spans="2:38" x14ac:dyDescent="0.25">
      <c r="B255" s="40">
        <f>Transport_1_hub!W190+Transport_1_hub!L190</f>
        <v>1148.722063479905</v>
      </c>
      <c r="C255" s="8">
        <f>Transport_1_hub!AT190</f>
        <v>290.90081626716187</v>
      </c>
      <c r="D255" s="8">
        <f>Transport_1_hub!AU190</f>
        <v>3245.3870240772094</v>
      </c>
      <c r="E255" s="8">
        <f>Transport_1_hub!AV190</f>
        <v>2.0391399392108722</v>
      </c>
      <c r="F255" s="8">
        <f>Transport_1_hub!AW190</f>
        <v>290.14038620716184</v>
      </c>
      <c r="G255" s="8">
        <f>Transport_1_hub!AX190</f>
        <v>74.82409995891436</v>
      </c>
      <c r="H255" s="8">
        <f>Transport_1_hub!AY190</f>
        <v>3.3557470379925389</v>
      </c>
      <c r="I255" s="8">
        <f>Transport_1_hub!AZ190</f>
        <v>1.4085291420373847E-2</v>
      </c>
      <c r="J255" s="8">
        <f>Transport_1_hub!BA190</f>
        <v>21.928604315207689</v>
      </c>
      <c r="K255" s="8">
        <f>Transport_1_hub!BB190</f>
        <v>15.823593608346297</v>
      </c>
      <c r="L255" s="8">
        <f>Transport_1_hub!BC190</f>
        <v>2.9182126814026312</v>
      </c>
      <c r="M255" s="8">
        <f>Transport_1_hub!BD190</f>
        <v>0.24687398457290147</v>
      </c>
      <c r="N255" s="8">
        <f>Transport_1_hub!BE190</f>
        <v>4.9965275579968509</v>
      </c>
      <c r="O255" s="8">
        <f>Transport_1_hub!BF190</f>
        <v>5.5335904663052903E-2</v>
      </c>
      <c r="P255" s="8">
        <f>Transport_1_hub!BG190</f>
        <v>3.6985143830741905E-5</v>
      </c>
      <c r="Q255" s="8">
        <f>Transport_1_hub!BH190</f>
        <v>0.16468893319290318</v>
      </c>
      <c r="R255" s="8">
        <f>Transport_1_hub!BI190</f>
        <v>0.43468053935947437</v>
      </c>
      <c r="S255" s="8">
        <f>Transport_1_hub!BJ190</f>
        <v>0.14970544763693172</v>
      </c>
      <c r="T255" s="8">
        <f>Transport_1_hub!BK190</f>
        <v>1.3059434671931701E-2</v>
      </c>
      <c r="U255" s="8">
        <f>Transport_1_hub!BL190</f>
        <v>2.1033316553330024</v>
      </c>
      <c r="V255" s="9">
        <f>Transport_1_hub!BM190</f>
        <v>0.40465697745303075</v>
      </c>
      <c r="X255" s="22"/>
      <c r="Y255" s="22"/>
      <c r="AG255" s="42"/>
      <c r="AL255" s="42"/>
    </row>
    <row r="256" spans="2:38" x14ac:dyDescent="0.25">
      <c r="B256" s="40">
        <f>Transport_1_hub!W191+Transport_1_hub!L191</f>
        <v>1060.4039131701484</v>
      </c>
      <c r="C256" s="8">
        <f>Transport_1_hub!AT191</f>
        <v>247.49784815612722</v>
      </c>
      <c r="D256" s="8">
        <f>Transport_1_hub!AU191</f>
        <v>2566.6200238373472</v>
      </c>
      <c r="E256" s="8">
        <f>Transport_1_hub!AV191</f>
        <v>1.2574784230705272</v>
      </c>
      <c r="F256" s="8">
        <f>Transport_1_hub!AW191</f>
        <v>247.41218855612723</v>
      </c>
      <c r="G256" s="8">
        <f>Transport_1_hub!AX191</f>
        <v>59.884050875982361</v>
      </c>
      <c r="H256" s="8">
        <f>Transport_1_hub!AY191</f>
        <v>0.62744737216490609</v>
      </c>
      <c r="I256" s="8">
        <f>Transport_1_hub!AZ191</f>
        <v>6.8904356615739548E-3</v>
      </c>
      <c r="J256" s="8">
        <f>Transport_1_hub!BA191</f>
        <v>10.318297760589008</v>
      </c>
      <c r="K256" s="8">
        <f>Transport_1_hub!BB191</f>
        <v>12.699356051858242</v>
      </c>
      <c r="L256" s="8">
        <f>Transport_1_hub!BC191</f>
        <v>0.54446124332035817</v>
      </c>
      <c r="M256" s="8">
        <f>Transport_1_hub!BD191</f>
        <v>0.25004928278676197</v>
      </c>
      <c r="N256" s="8">
        <f>Transport_1_hub!BE191</f>
        <v>1.4566112463571181</v>
      </c>
      <c r="O256" s="8">
        <f>Transport_1_hub!BF191</f>
        <v>6.0598581299747954E-2</v>
      </c>
      <c r="P256" s="8">
        <f>Transport_1_hub!BG191</f>
        <v>3.0461653432879879E-5</v>
      </c>
      <c r="Q256" s="8">
        <f>Transport_1_hub!BH191</f>
        <v>0.10398531692593979</v>
      </c>
      <c r="R256" s="8">
        <f>Transport_1_hub!BI191</f>
        <v>0.30408228204093096</v>
      </c>
      <c r="S256" s="8">
        <f>Transport_1_hub!BJ191</f>
        <v>2.0724088417992073E-2</v>
      </c>
      <c r="T256" s="8">
        <f>Transport_1_hub!BK191</f>
        <v>5.3314265179920722E-3</v>
      </c>
      <c r="U256" s="8">
        <f>Transport_1_hub!BL191</f>
        <v>0.784026343027735</v>
      </c>
      <c r="V256" s="9">
        <f>Transport_1_hub!BM191</f>
        <v>0.26776487532591531</v>
      </c>
      <c r="X256" s="22"/>
      <c r="Y256" s="22"/>
      <c r="AG256" s="42"/>
      <c r="AL256" s="42"/>
    </row>
    <row r="257" spans="2:38" x14ac:dyDescent="0.25">
      <c r="B257" s="40">
        <f>Transport_1_hub!W192+Transport_1_hub!L192</f>
        <v>1060.4039131701484</v>
      </c>
      <c r="C257" s="8">
        <f>Transport_1_hub!AT192</f>
        <v>247.49784815612722</v>
      </c>
      <c r="D257" s="8">
        <f>Transport_1_hub!AU192</f>
        <v>2566.6200238373472</v>
      </c>
      <c r="E257" s="8">
        <f>Transport_1_hub!AV192</f>
        <v>1.2574784230705272</v>
      </c>
      <c r="F257" s="8">
        <f>Transport_1_hub!AW192</f>
        <v>247.41218855612723</v>
      </c>
      <c r="G257" s="8">
        <f>Transport_1_hub!AX192</f>
        <v>59.884050875982361</v>
      </c>
      <c r="H257" s="8">
        <f>Transport_1_hub!AY192</f>
        <v>0.62744737216490609</v>
      </c>
      <c r="I257" s="8">
        <f>Transport_1_hub!AZ192</f>
        <v>6.8904356615739548E-3</v>
      </c>
      <c r="J257" s="8">
        <f>Transport_1_hub!BA192</f>
        <v>10.318297760589008</v>
      </c>
      <c r="K257" s="8">
        <f>Transport_1_hub!BB192</f>
        <v>12.699356051858242</v>
      </c>
      <c r="L257" s="8">
        <f>Transport_1_hub!BC192</f>
        <v>0.54446124332035817</v>
      </c>
      <c r="M257" s="8">
        <f>Transport_1_hub!BD192</f>
        <v>0.25004928278676197</v>
      </c>
      <c r="N257" s="8">
        <f>Transport_1_hub!BE192</f>
        <v>1.4566112463571181</v>
      </c>
      <c r="O257" s="8">
        <f>Transport_1_hub!BF192</f>
        <v>6.0598581299747954E-2</v>
      </c>
      <c r="P257" s="8">
        <f>Transport_1_hub!BG192</f>
        <v>3.0461653432879879E-5</v>
      </c>
      <c r="Q257" s="8">
        <f>Transport_1_hub!BH192</f>
        <v>0.10398531692593979</v>
      </c>
      <c r="R257" s="8">
        <f>Transport_1_hub!BI192</f>
        <v>0.30408228204093096</v>
      </c>
      <c r="S257" s="8">
        <f>Transport_1_hub!BJ192</f>
        <v>2.0724088417992073E-2</v>
      </c>
      <c r="T257" s="8">
        <f>Transport_1_hub!BK192</f>
        <v>5.3314265179920722E-3</v>
      </c>
      <c r="U257" s="8">
        <f>Transport_1_hub!BL192</f>
        <v>0.784026343027735</v>
      </c>
      <c r="V257" s="9">
        <f>Transport_1_hub!BM192</f>
        <v>0.26776487532591531</v>
      </c>
      <c r="X257" s="22"/>
      <c r="Y257" s="22"/>
      <c r="AG257" s="42"/>
      <c r="AL257" s="42"/>
    </row>
    <row r="258" spans="2:38" x14ac:dyDescent="0.25">
      <c r="B258" s="40">
        <f>Transport_1_hub!W193+Transport_1_hub!L193</f>
        <v>1064.6859131701483</v>
      </c>
      <c r="C258" s="8">
        <f>Transport_1_hub!AT193</f>
        <v>248.95287175612722</v>
      </c>
      <c r="D258" s="8">
        <f>Transport_1_hub!AU193</f>
        <v>2587.8418317914529</v>
      </c>
      <c r="E258" s="8">
        <f>Transport_1_hub!AV193</f>
        <v>1.2800257222705271</v>
      </c>
      <c r="F258" s="8">
        <f>Transport_1_hub!AW193</f>
        <v>248.84828571612724</v>
      </c>
      <c r="G258" s="8">
        <f>Transport_1_hub!AX193</f>
        <v>60.354642675982355</v>
      </c>
      <c r="H258" s="8">
        <f>Transport_1_hub!AY193</f>
        <v>0.70415512016490611</v>
      </c>
      <c r="I258" s="8">
        <f>Transport_1_hub!AZ193</f>
        <v>7.0949482635739546E-3</v>
      </c>
      <c r="J258" s="8">
        <f>Transport_1_hub!BA193</f>
        <v>10.647887582589009</v>
      </c>
      <c r="K258" s="8">
        <f>Transport_1_hub!BB193</f>
        <v>12.796900011858243</v>
      </c>
      <c r="L258" s="8">
        <f>Transport_1_hub!BC193</f>
        <v>0.61118336732035816</v>
      </c>
      <c r="M258" s="8">
        <f>Transport_1_hub!BD193</f>
        <v>0.250224883324762</v>
      </c>
      <c r="N258" s="8">
        <f>Transport_1_hub!BE193</f>
        <v>1.5566216383571181</v>
      </c>
      <c r="O258" s="8">
        <f>Transport_1_hub!BF193</f>
        <v>6.0505135213747958E-2</v>
      </c>
      <c r="P258" s="8">
        <f>Transport_1_hub!BG193</f>
        <v>3.0670974720879879E-5</v>
      </c>
      <c r="Q258" s="8">
        <f>Transport_1_hub!BH193</f>
        <v>0.10574539020593979</v>
      </c>
      <c r="R258" s="8">
        <f>Transport_1_hub!BI193</f>
        <v>0.30787669070093093</v>
      </c>
      <c r="S258" s="8">
        <f>Transport_1_hub!BJ193</f>
        <v>2.4344176857992075E-2</v>
      </c>
      <c r="T258" s="8">
        <f>Transport_1_hub!BK193</f>
        <v>5.5505150479920719E-3</v>
      </c>
      <c r="U258" s="8">
        <f>Transport_1_hub!BL193</f>
        <v>0.82129515822773502</v>
      </c>
      <c r="V258" s="9">
        <f>Transport_1_hub!BM193</f>
        <v>0.27175377242591531</v>
      </c>
      <c r="X258" s="22"/>
      <c r="Y258" s="22"/>
      <c r="AG258" s="42"/>
      <c r="AL258" s="42"/>
    </row>
    <row r="259" spans="2:38" x14ac:dyDescent="0.25">
      <c r="B259" s="40">
        <f>Transport_1_hub!W194+Transport_1_hub!L194</f>
        <v>1064.6859131701483</v>
      </c>
      <c r="C259" s="8">
        <f>Transport_1_hub!AT194</f>
        <v>248.95287175612722</v>
      </c>
      <c r="D259" s="8">
        <f>Transport_1_hub!AU194</f>
        <v>2587.8418317914529</v>
      </c>
      <c r="E259" s="8">
        <f>Transport_1_hub!AV194</f>
        <v>1.2800257222705271</v>
      </c>
      <c r="F259" s="8">
        <f>Transport_1_hub!AW194</f>
        <v>248.84828571612724</v>
      </c>
      <c r="G259" s="8">
        <f>Transport_1_hub!AX194</f>
        <v>60.354642675982355</v>
      </c>
      <c r="H259" s="8">
        <f>Transport_1_hub!AY194</f>
        <v>0.70415512016490611</v>
      </c>
      <c r="I259" s="8">
        <f>Transport_1_hub!AZ194</f>
        <v>7.0949482635739546E-3</v>
      </c>
      <c r="J259" s="8">
        <f>Transport_1_hub!BA194</f>
        <v>10.647887582589009</v>
      </c>
      <c r="K259" s="8">
        <f>Transport_1_hub!BB194</f>
        <v>12.796900011858243</v>
      </c>
      <c r="L259" s="8">
        <f>Transport_1_hub!BC194</f>
        <v>0.61118336732035816</v>
      </c>
      <c r="M259" s="8">
        <f>Transport_1_hub!BD194</f>
        <v>0.250224883324762</v>
      </c>
      <c r="N259" s="8">
        <f>Transport_1_hub!BE194</f>
        <v>1.5566216383571181</v>
      </c>
      <c r="O259" s="8">
        <f>Transport_1_hub!BF194</f>
        <v>6.0505135213747958E-2</v>
      </c>
      <c r="P259" s="8">
        <f>Transport_1_hub!BG194</f>
        <v>3.0670974720879879E-5</v>
      </c>
      <c r="Q259" s="8">
        <f>Transport_1_hub!BH194</f>
        <v>0.10574539020593979</v>
      </c>
      <c r="R259" s="8">
        <f>Transport_1_hub!BI194</f>
        <v>0.30787669070093093</v>
      </c>
      <c r="S259" s="8">
        <f>Transport_1_hub!BJ194</f>
        <v>2.4344176857992075E-2</v>
      </c>
      <c r="T259" s="8">
        <f>Transport_1_hub!BK194</f>
        <v>5.5505150479920719E-3</v>
      </c>
      <c r="U259" s="8">
        <f>Transport_1_hub!BL194</f>
        <v>0.82129515822773502</v>
      </c>
      <c r="V259" s="9">
        <f>Transport_1_hub!BM194</f>
        <v>0.27175377242591531</v>
      </c>
      <c r="X259" s="22"/>
      <c r="Y259" s="22"/>
      <c r="AG259" s="42"/>
      <c r="AL259" s="42"/>
    </row>
    <row r="260" spans="2:38" x14ac:dyDescent="0.25">
      <c r="B260" s="40">
        <f>Transport_1_hub!W195+Transport_1_hub!L195</f>
        <v>1064.6859131701483</v>
      </c>
      <c r="C260" s="8">
        <f>Transport_1_hub!AT195</f>
        <v>248.95287175612722</v>
      </c>
      <c r="D260" s="8">
        <f>Transport_1_hub!AU195</f>
        <v>2587.8418317914529</v>
      </c>
      <c r="E260" s="8">
        <f>Transport_1_hub!AV195</f>
        <v>1.2800257222705271</v>
      </c>
      <c r="F260" s="8">
        <f>Transport_1_hub!AW195</f>
        <v>248.84828571612724</v>
      </c>
      <c r="G260" s="8">
        <f>Transport_1_hub!AX195</f>
        <v>60.354642675982355</v>
      </c>
      <c r="H260" s="8">
        <f>Transport_1_hub!AY195</f>
        <v>0.70415512016490611</v>
      </c>
      <c r="I260" s="8">
        <f>Transport_1_hub!AZ195</f>
        <v>7.0949482635739546E-3</v>
      </c>
      <c r="J260" s="8">
        <f>Transport_1_hub!BA195</f>
        <v>10.647887582589009</v>
      </c>
      <c r="K260" s="8">
        <f>Transport_1_hub!BB195</f>
        <v>12.796900011858243</v>
      </c>
      <c r="L260" s="8">
        <f>Transport_1_hub!BC195</f>
        <v>0.61118336732035816</v>
      </c>
      <c r="M260" s="8">
        <f>Transport_1_hub!BD195</f>
        <v>0.250224883324762</v>
      </c>
      <c r="N260" s="8">
        <f>Transport_1_hub!BE195</f>
        <v>1.5566216383571181</v>
      </c>
      <c r="O260" s="8">
        <f>Transport_1_hub!BF195</f>
        <v>6.0505135213747958E-2</v>
      </c>
      <c r="P260" s="8">
        <f>Transport_1_hub!BG195</f>
        <v>3.0670974720879879E-5</v>
      </c>
      <c r="Q260" s="8">
        <f>Transport_1_hub!BH195</f>
        <v>0.10574539020593979</v>
      </c>
      <c r="R260" s="8">
        <f>Transport_1_hub!BI195</f>
        <v>0.30787669070093093</v>
      </c>
      <c r="S260" s="8">
        <f>Transport_1_hub!BJ195</f>
        <v>2.4344176857992075E-2</v>
      </c>
      <c r="T260" s="8">
        <f>Transport_1_hub!BK195</f>
        <v>5.5505150479920719E-3</v>
      </c>
      <c r="U260" s="8">
        <f>Transport_1_hub!BL195</f>
        <v>0.82129515822773502</v>
      </c>
      <c r="V260" s="9">
        <f>Transport_1_hub!BM195</f>
        <v>0.27175377242591531</v>
      </c>
      <c r="X260" s="22"/>
      <c r="Y260" s="22"/>
      <c r="AG260" s="42"/>
      <c r="AL260" s="42"/>
    </row>
    <row r="261" spans="2:38" x14ac:dyDescent="0.25">
      <c r="B261" s="40">
        <f>Transport_1_hub!W196+Transport_1_hub!L196</f>
        <v>1223.0199634467888</v>
      </c>
      <c r="C261" s="8">
        <f>Transport_1_hub!AT196</f>
        <v>268.67324064470711</v>
      </c>
      <c r="D261" s="8">
        <f>Transport_1_hub!AU196</f>
        <v>2761.6816225602784</v>
      </c>
      <c r="E261" s="8">
        <f>Transport_1_hub!AV196</f>
        <v>1.3130824155747995</v>
      </c>
      <c r="F261" s="8">
        <f>Transport_1_hub!AW196</f>
        <v>268.58681196470712</v>
      </c>
      <c r="G261" s="8">
        <f>Transport_1_hub!AX196</f>
        <v>64.487768159716978</v>
      </c>
      <c r="H261" s="8">
        <f>Transport_1_hub!AY196</f>
        <v>0.64675717983043546</v>
      </c>
      <c r="I261" s="8">
        <f>Transport_1_hub!AZ196</f>
        <v>7.1392934482911322E-3</v>
      </c>
      <c r="J261" s="8">
        <f>Transport_1_hub!BA196</f>
        <v>10.684105407910979</v>
      </c>
      <c r="K261" s="8">
        <f>Transport_1_hub!BB196</f>
        <v>13.585163163104365</v>
      </c>
      <c r="L261" s="8">
        <f>Transport_1_hub!BC196</f>
        <v>0.55972210374797826</v>
      </c>
      <c r="M261" s="8">
        <f>Transport_1_hub!BD196</f>
        <v>0.2737527310713721</v>
      </c>
      <c r="N261" s="8">
        <f>Transport_1_hub!BE196</f>
        <v>1.5247039161631215</v>
      </c>
      <c r="O261" s="8">
        <f>Transport_1_hub!BF196</f>
        <v>6.5412580573010137E-2</v>
      </c>
      <c r="P261" s="8">
        <f>Transport_1_hub!BG196</f>
        <v>3.2813089805430364E-5</v>
      </c>
      <c r="Q261" s="8">
        <f>Transport_1_hub!BH196</f>
        <v>0.1091591469003335</v>
      </c>
      <c r="R261" s="8">
        <f>Transport_1_hub!BI196</f>
        <v>0.31591201347930781</v>
      </c>
      <c r="S261" s="8">
        <f>Transport_1_hub!BJ196</f>
        <v>2.1078616768996115E-2</v>
      </c>
      <c r="T261" s="8">
        <f>Transport_1_hub!BK196</f>
        <v>5.5477544989961164E-3</v>
      </c>
      <c r="U261" s="8">
        <f>Transport_1_hub!BL196</f>
        <v>0.80904667270102104</v>
      </c>
      <c r="V261" s="9">
        <f>Transport_1_hub!BM196</f>
        <v>0.28121058945771371</v>
      </c>
      <c r="X261" s="22"/>
      <c r="Y261" s="22"/>
      <c r="AG261" s="42"/>
      <c r="AL261" s="42"/>
    </row>
    <row r="262" spans="2:38" x14ac:dyDescent="0.25">
      <c r="B262" s="40">
        <f>Transport_1_hub!W197+Transport_1_hub!L197</f>
        <v>1223.0199634467888</v>
      </c>
      <c r="C262" s="8">
        <f>Transport_1_hub!AT197</f>
        <v>268.67324064470711</v>
      </c>
      <c r="D262" s="8">
        <f>Transport_1_hub!AU197</f>
        <v>2761.6816225602784</v>
      </c>
      <c r="E262" s="8">
        <f>Transport_1_hub!AV197</f>
        <v>1.3130824155747995</v>
      </c>
      <c r="F262" s="8">
        <f>Transport_1_hub!AW197</f>
        <v>268.58681196470712</v>
      </c>
      <c r="G262" s="8">
        <f>Transport_1_hub!AX197</f>
        <v>64.487768159716978</v>
      </c>
      <c r="H262" s="8">
        <f>Transport_1_hub!AY197</f>
        <v>0.64675717983043546</v>
      </c>
      <c r="I262" s="8">
        <f>Transport_1_hub!AZ197</f>
        <v>7.1392934482911322E-3</v>
      </c>
      <c r="J262" s="8">
        <f>Transport_1_hub!BA197</f>
        <v>10.684105407910979</v>
      </c>
      <c r="K262" s="8">
        <f>Transport_1_hub!BB197</f>
        <v>13.585163163104365</v>
      </c>
      <c r="L262" s="8">
        <f>Transport_1_hub!BC197</f>
        <v>0.55972210374797826</v>
      </c>
      <c r="M262" s="8">
        <f>Transport_1_hub!BD197</f>
        <v>0.2737527310713721</v>
      </c>
      <c r="N262" s="8">
        <f>Transport_1_hub!BE197</f>
        <v>1.5247039161631215</v>
      </c>
      <c r="O262" s="8">
        <f>Transport_1_hub!BF197</f>
        <v>6.5412580573010137E-2</v>
      </c>
      <c r="P262" s="8">
        <f>Transport_1_hub!BG197</f>
        <v>3.2813089805430364E-5</v>
      </c>
      <c r="Q262" s="8">
        <f>Transport_1_hub!BH197</f>
        <v>0.1091591469003335</v>
      </c>
      <c r="R262" s="8">
        <f>Transport_1_hub!BI197</f>
        <v>0.31591201347930781</v>
      </c>
      <c r="S262" s="8">
        <f>Transport_1_hub!BJ197</f>
        <v>2.1078616768996115E-2</v>
      </c>
      <c r="T262" s="8">
        <f>Transport_1_hub!BK197</f>
        <v>5.5477544989961164E-3</v>
      </c>
      <c r="U262" s="8">
        <f>Transport_1_hub!BL197</f>
        <v>0.80904667270102104</v>
      </c>
      <c r="V262" s="9">
        <f>Transport_1_hub!BM197</f>
        <v>0.28121058945771371</v>
      </c>
      <c r="X262" s="22"/>
      <c r="Y262" s="22"/>
      <c r="AG262" s="42"/>
      <c r="AL262" s="42"/>
    </row>
    <row r="263" spans="2:38" x14ac:dyDescent="0.25">
      <c r="B263" s="40">
        <f>Transport_1_hub!W198+Transport_1_hub!L198</f>
        <v>1223.0199634467888</v>
      </c>
      <c r="C263" s="8">
        <f>Transport_1_hub!AT198</f>
        <v>268.67324064470711</v>
      </c>
      <c r="D263" s="8">
        <f>Transport_1_hub!AU198</f>
        <v>2761.6816225602784</v>
      </c>
      <c r="E263" s="8">
        <f>Transport_1_hub!AV198</f>
        <v>1.3130824155747995</v>
      </c>
      <c r="F263" s="8">
        <f>Transport_1_hub!AW198</f>
        <v>268.58681196470712</v>
      </c>
      <c r="G263" s="8">
        <f>Transport_1_hub!AX198</f>
        <v>64.487768159716978</v>
      </c>
      <c r="H263" s="8">
        <f>Transport_1_hub!AY198</f>
        <v>0.64675717983043546</v>
      </c>
      <c r="I263" s="8">
        <f>Transport_1_hub!AZ198</f>
        <v>7.1392934482911322E-3</v>
      </c>
      <c r="J263" s="8">
        <f>Transport_1_hub!BA198</f>
        <v>10.684105407910979</v>
      </c>
      <c r="K263" s="8">
        <f>Transport_1_hub!BB198</f>
        <v>13.585163163104365</v>
      </c>
      <c r="L263" s="8">
        <f>Transport_1_hub!BC198</f>
        <v>0.55972210374797826</v>
      </c>
      <c r="M263" s="8">
        <f>Transport_1_hub!BD198</f>
        <v>0.2737527310713721</v>
      </c>
      <c r="N263" s="8">
        <f>Transport_1_hub!BE198</f>
        <v>1.5247039161631215</v>
      </c>
      <c r="O263" s="8">
        <f>Transport_1_hub!BF198</f>
        <v>6.5412580573010137E-2</v>
      </c>
      <c r="P263" s="8">
        <f>Transport_1_hub!BG198</f>
        <v>3.2813089805430364E-5</v>
      </c>
      <c r="Q263" s="8">
        <f>Transport_1_hub!BH198</f>
        <v>0.1091591469003335</v>
      </c>
      <c r="R263" s="8">
        <f>Transport_1_hub!BI198</f>
        <v>0.31591201347930781</v>
      </c>
      <c r="S263" s="8">
        <f>Transport_1_hub!BJ198</f>
        <v>2.1078616768996115E-2</v>
      </c>
      <c r="T263" s="8">
        <f>Transport_1_hub!BK198</f>
        <v>5.5477544989961164E-3</v>
      </c>
      <c r="U263" s="8">
        <f>Transport_1_hub!BL198</f>
        <v>0.80904667270102104</v>
      </c>
      <c r="V263" s="9">
        <f>Transport_1_hub!BM198</f>
        <v>0.28121058945771371</v>
      </c>
      <c r="X263" s="22"/>
      <c r="Y263" s="22"/>
      <c r="AG263" s="42"/>
      <c r="AL263" s="42"/>
    </row>
    <row r="264" spans="2:38" x14ac:dyDescent="0.25">
      <c r="B264" s="40">
        <f>Transport_1_hub!W199+Transport_1_hub!L199</f>
        <v>1223.0199634467888</v>
      </c>
      <c r="C264" s="8">
        <f>Transport_1_hub!AT199</f>
        <v>268.67324064470711</v>
      </c>
      <c r="D264" s="8">
        <f>Transport_1_hub!AU199</f>
        <v>2761.6816225602784</v>
      </c>
      <c r="E264" s="8">
        <f>Transport_1_hub!AV199</f>
        <v>1.3130824155747995</v>
      </c>
      <c r="F264" s="8">
        <f>Transport_1_hub!AW199</f>
        <v>268.58681196470712</v>
      </c>
      <c r="G264" s="8">
        <f>Transport_1_hub!AX199</f>
        <v>64.487768159716978</v>
      </c>
      <c r="H264" s="8">
        <f>Transport_1_hub!AY199</f>
        <v>0.64675717983043546</v>
      </c>
      <c r="I264" s="8">
        <f>Transport_1_hub!AZ199</f>
        <v>7.1392934482911322E-3</v>
      </c>
      <c r="J264" s="8">
        <f>Transport_1_hub!BA199</f>
        <v>10.684105407910979</v>
      </c>
      <c r="K264" s="8">
        <f>Transport_1_hub!BB199</f>
        <v>13.585163163104365</v>
      </c>
      <c r="L264" s="8">
        <f>Transport_1_hub!BC199</f>
        <v>0.55972210374797826</v>
      </c>
      <c r="M264" s="8">
        <f>Transport_1_hub!BD199</f>
        <v>0.2737527310713721</v>
      </c>
      <c r="N264" s="8">
        <f>Transport_1_hub!BE199</f>
        <v>1.5247039161631215</v>
      </c>
      <c r="O264" s="8">
        <f>Transport_1_hub!BF199</f>
        <v>6.5412580573010137E-2</v>
      </c>
      <c r="P264" s="8">
        <f>Transport_1_hub!BG199</f>
        <v>3.2813089805430364E-5</v>
      </c>
      <c r="Q264" s="8">
        <f>Transport_1_hub!BH199</f>
        <v>0.1091591469003335</v>
      </c>
      <c r="R264" s="8">
        <f>Transport_1_hub!BI199</f>
        <v>0.31591201347930781</v>
      </c>
      <c r="S264" s="8">
        <f>Transport_1_hub!BJ199</f>
        <v>2.1078616768996115E-2</v>
      </c>
      <c r="T264" s="8">
        <f>Transport_1_hub!BK199</f>
        <v>5.5477544989961164E-3</v>
      </c>
      <c r="U264" s="8">
        <f>Transport_1_hub!BL199</f>
        <v>0.80904667270102104</v>
      </c>
      <c r="V264" s="9">
        <f>Transport_1_hub!BM199</f>
        <v>0.28121058945771371</v>
      </c>
      <c r="X264" s="22"/>
      <c r="Y264" s="22"/>
      <c r="AG264" s="42"/>
      <c r="AL264" s="42"/>
    </row>
    <row r="265" spans="2:38" x14ac:dyDescent="0.25">
      <c r="B265" s="40">
        <f>Transport_1_hub!W200+Transport_1_hub!L200</f>
        <v>1223.0199634467888</v>
      </c>
      <c r="C265" s="8">
        <f>Transport_1_hub!AT200</f>
        <v>268.67324064470711</v>
      </c>
      <c r="D265" s="8">
        <f>Transport_1_hub!AU200</f>
        <v>2761.6816225602784</v>
      </c>
      <c r="E265" s="8">
        <f>Transport_1_hub!AV200</f>
        <v>1.3130824155747995</v>
      </c>
      <c r="F265" s="8">
        <f>Transport_1_hub!AW200</f>
        <v>268.58681196470712</v>
      </c>
      <c r="G265" s="8">
        <f>Transport_1_hub!AX200</f>
        <v>64.487768159716978</v>
      </c>
      <c r="H265" s="8">
        <f>Transport_1_hub!AY200</f>
        <v>0.64675717983043546</v>
      </c>
      <c r="I265" s="8">
        <f>Transport_1_hub!AZ200</f>
        <v>7.1392934482911322E-3</v>
      </c>
      <c r="J265" s="8">
        <f>Transport_1_hub!BA200</f>
        <v>10.684105407910979</v>
      </c>
      <c r="K265" s="8">
        <f>Transport_1_hub!BB200</f>
        <v>13.585163163104365</v>
      </c>
      <c r="L265" s="8">
        <f>Transport_1_hub!BC200</f>
        <v>0.55972210374797826</v>
      </c>
      <c r="M265" s="8">
        <f>Transport_1_hub!BD200</f>
        <v>0.2737527310713721</v>
      </c>
      <c r="N265" s="8">
        <f>Transport_1_hub!BE200</f>
        <v>1.5247039161631215</v>
      </c>
      <c r="O265" s="8">
        <f>Transport_1_hub!BF200</f>
        <v>6.5412580573010137E-2</v>
      </c>
      <c r="P265" s="8">
        <f>Transport_1_hub!BG200</f>
        <v>3.2813089805430364E-5</v>
      </c>
      <c r="Q265" s="8">
        <f>Transport_1_hub!BH200</f>
        <v>0.1091591469003335</v>
      </c>
      <c r="R265" s="8">
        <f>Transport_1_hub!BI200</f>
        <v>0.31591201347930781</v>
      </c>
      <c r="S265" s="8">
        <f>Transport_1_hub!BJ200</f>
        <v>2.1078616768996115E-2</v>
      </c>
      <c r="T265" s="8">
        <f>Transport_1_hub!BK200</f>
        <v>5.5477544989961164E-3</v>
      </c>
      <c r="U265" s="8">
        <f>Transport_1_hub!BL200</f>
        <v>0.80904667270102104</v>
      </c>
      <c r="V265" s="9">
        <f>Transport_1_hub!BM200</f>
        <v>0.28121058945771371</v>
      </c>
      <c r="X265" s="22"/>
      <c r="Y265" s="22"/>
      <c r="AG265" s="42"/>
      <c r="AL265" s="42"/>
    </row>
    <row r="266" spans="2:38" x14ac:dyDescent="0.25">
      <c r="B266" s="40">
        <f>Transport_1_hub!W201+Transport_1_hub!L201</f>
        <v>1223.0199634467888</v>
      </c>
      <c r="C266" s="8">
        <f>Transport_1_hub!AT201</f>
        <v>268.67324064470711</v>
      </c>
      <c r="D266" s="8">
        <f>Transport_1_hub!AU201</f>
        <v>2761.6816225602784</v>
      </c>
      <c r="E266" s="8">
        <f>Transport_1_hub!AV201</f>
        <v>1.3130824155747995</v>
      </c>
      <c r="F266" s="8">
        <f>Transport_1_hub!AW201</f>
        <v>268.58681196470712</v>
      </c>
      <c r="G266" s="8">
        <f>Transport_1_hub!AX201</f>
        <v>64.487768159716978</v>
      </c>
      <c r="H266" s="8">
        <f>Transport_1_hub!AY201</f>
        <v>0.64675717983043546</v>
      </c>
      <c r="I266" s="8">
        <f>Transport_1_hub!AZ201</f>
        <v>7.1392934482911322E-3</v>
      </c>
      <c r="J266" s="8">
        <f>Transport_1_hub!BA201</f>
        <v>10.684105407910979</v>
      </c>
      <c r="K266" s="8">
        <f>Transport_1_hub!BB201</f>
        <v>13.585163163104365</v>
      </c>
      <c r="L266" s="8">
        <f>Transport_1_hub!BC201</f>
        <v>0.55972210374797826</v>
      </c>
      <c r="M266" s="8">
        <f>Transport_1_hub!BD201</f>
        <v>0.2737527310713721</v>
      </c>
      <c r="N266" s="8">
        <f>Transport_1_hub!BE201</f>
        <v>1.5247039161631215</v>
      </c>
      <c r="O266" s="8">
        <f>Transport_1_hub!BF201</f>
        <v>6.5412580573010137E-2</v>
      </c>
      <c r="P266" s="8">
        <f>Transport_1_hub!BG201</f>
        <v>3.2813089805430364E-5</v>
      </c>
      <c r="Q266" s="8">
        <f>Transport_1_hub!BH201</f>
        <v>0.1091591469003335</v>
      </c>
      <c r="R266" s="8">
        <f>Transport_1_hub!BI201</f>
        <v>0.31591201347930781</v>
      </c>
      <c r="S266" s="8">
        <f>Transport_1_hub!BJ201</f>
        <v>2.1078616768996115E-2</v>
      </c>
      <c r="T266" s="8">
        <f>Transport_1_hub!BK201</f>
        <v>5.5477544989961164E-3</v>
      </c>
      <c r="U266" s="8">
        <f>Transport_1_hub!BL201</f>
        <v>0.80904667270102104</v>
      </c>
      <c r="V266" s="9">
        <f>Transport_1_hub!BM201</f>
        <v>0.28121058945771371</v>
      </c>
      <c r="X266" s="22"/>
      <c r="Y266" s="22"/>
      <c r="AG266" s="42"/>
      <c r="AL266" s="42"/>
    </row>
    <row r="267" spans="2:38" x14ac:dyDescent="0.25">
      <c r="B267" s="40">
        <f>Transport_1_hub!W202+Transport_1_hub!L202</f>
        <v>1223.0199634467888</v>
      </c>
      <c r="C267" s="8">
        <f>Transport_1_hub!AT202</f>
        <v>268.67324064470711</v>
      </c>
      <c r="D267" s="8">
        <f>Transport_1_hub!AU202</f>
        <v>2761.6816225602784</v>
      </c>
      <c r="E267" s="8">
        <f>Transport_1_hub!AV202</f>
        <v>1.3130824155747995</v>
      </c>
      <c r="F267" s="8">
        <f>Transport_1_hub!AW202</f>
        <v>268.58681196470712</v>
      </c>
      <c r="G267" s="8">
        <f>Transport_1_hub!AX202</f>
        <v>64.487768159716978</v>
      </c>
      <c r="H267" s="8">
        <f>Transport_1_hub!AY202</f>
        <v>0.64675717983043546</v>
      </c>
      <c r="I267" s="8">
        <f>Transport_1_hub!AZ202</f>
        <v>7.1392934482911322E-3</v>
      </c>
      <c r="J267" s="8">
        <f>Transport_1_hub!BA202</f>
        <v>10.684105407910979</v>
      </c>
      <c r="K267" s="8">
        <f>Transport_1_hub!BB202</f>
        <v>13.585163163104365</v>
      </c>
      <c r="L267" s="8">
        <f>Transport_1_hub!BC202</f>
        <v>0.55972210374797826</v>
      </c>
      <c r="M267" s="8">
        <f>Transport_1_hub!BD202</f>
        <v>0.2737527310713721</v>
      </c>
      <c r="N267" s="8">
        <f>Transport_1_hub!BE202</f>
        <v>1.5247039161631215</v>
      </c>
      <c r="O267" s="8">
        <f>Transport_1_hub!BF202</f>
        <v>6.5412580573010137E-2</v>
      </c>
      <c r="P267" s="8">
        <f>Transport_1_hub!BG202</f>
        <v>3.2813089805430364E-5</v>
      </c>
      <c r="Q267" s="8">
        <f>Transport_1_hub!BH202</f>
        <v>0.1091591469003335</v>
      </c>
      <c r="R267" s="8">
        <f>Transport_1_hub!BI202</f>
        <v>0.31591201347930781</v>
      </c>
      <c r="S267" s="8">
        <f>Transport_1_hub!BJ202</f>
        <v>2.1078616768996115E-2</v>
      </c>
      <c r="T267" s="8">
        <f>Transport_1_hub!BK202</f>
        <v>5.5477544989961164E-3</v>
      </c>
      <c r="U267" s="8">
        <f>Transport_1_hub!BL202</f>
        <v>0.80904667270102104</v>
      </c>
      <c r="V267" s="9">
        <f>Transport_1_hub!BM202</f>
        <v>0.28121058945771371</v>
      </c>
      <c r="X267" s="22"/>
      <c r="Y267" s="22"/>
      <c r="AG267" s="42"/>
      <c r="AL267" s="42"/>
    </row>
    <row r="268" spans="2:38" x14ac:dyDescent="0.25">
      <c r="B268" s="40">
        <f>Transport_1_hub!W203+Transport_1_hub!L203</f>
        <v>1223.0199634467888</v>
      </c>
      <c r="C268" s="8">
        <f>Transport_1_hub!AT203</f>
        <v>268.67324064470711</v>
      </c>
      <c r="D268" s="8">
        <f>Transport_1_hub!AU203</f>
        <v>2761.6816225602784</v>
      </c>
      <c r="E268" s="8">
        <f>Transport_1_hub!AV203</f>
        <v>1.3130824155747995</v>
      </c>
      <c r="F268" s="8">
        <f>Transport_1_hub!AW203</f>
        <v>268.58681196470712</v>
      </c>
      <c r="G268" s="8">
        <f>Transport_1_hub!AX203</f>
        <v>64.487768159716978</v>
      </c>
      <c r="H268" s="8">
        <f>Transport_1_hub!AY203</f>
        <v>0.64675717983043546</v>
      </c>
      <c r="I268" s="8">
        <f>Transport_1_hub!AZ203</f>
        <v>7.1392934482911322E-3</v>
      </c>
      <c r="J268" s="8">
        <f>Transport_1_hub!BA203</f>
        <v>10.684105407910979</v>
      </c>
      <c r="K268" s="8">
        <f>Transport_1_hub!BB203</f>
        <v>13.585163163104365</v>
      </c>
      <c r="L268" s="8">
        <f>Transport_1_hub!BC203</f>
        <v>0.55972210374797826</v>
      </c>
      <c r="M268" s="8">
        <f>Transport_1_hub!BD203</f>
        <v>0.2737527310713721</v>
      </c>
      <c r="N268" s="8">
        <f>Transport_1_hub!BE203</f>
        <v>1.5247039161631215</v>
      </c>
      <c r="O268" s="8">
        <f>Transport_1_hub!BF203</f>
        <v>6.5412580573010137E-2</v>
      </c>
      <c r="P268" s="8">
        <f>Transport_1_hub!BG203</f>
        <v>3.2813089805430364E-5</v>
      </c>
      <c r="Q268" s="8">
        <f>Transport_1_hub!BH203</f>
        <v>0.1091591469003335</v>
      </c>
      <c r="R268" s="8">
        <f>Transport_1_hub!BI203</f>
        <v>0.31591201347930781</v>
      </c>
      <c r="S268" s="8">
        <f>Transport_1_hub!BJ203</f>
        <v>2.1078616768996115E-2</v>
      </c>
      <c r="T268" s="8">
        <f>Transport_1_hub!BK203</f>
        <v>5.5477544989961164E-3</v>
      </c>
      <c r="U268" s="8">
        <f>Transport_1_hub!BL203</f>
        <v>0.80904667270102104</v>
      </c>
      <c r="V268" s="9">
        <f>Transport_1_hub!BM203</f>
        <v>0.28121058945771371</v>
      </c>
      <c r="X268" s="22"/>
      <c r="Y268" s="22"/>
      <c r="AG268" s="42"/>
      <c r="AL268" s="42"/>
    </row>
    <row r="269" spans="2:38" x14ac:dyDescent="0.25">
      <c r="B269" s="40">
        <f>Transport_1_hub!W204+Transport_1_hub!L204</f>
        <v>1217.5829634467887</v>
      </c>
      <c r="C269" s="8">
        <f>Transport_1_hub!AT204</f>
        <v>266.8257480447071</v>
      </c>
      <c r="D269" s="8">
        <f>Transport_1_hub!AU204</f>
        <v>2734.7355763560572</v>
      </c>
      <c r="E269" s="8">
        <f>Transport_1_hub!AV204</f>
        <v>1.2844533483747995</v>
      </c>
      <c r="F269" s="8">
        <f>Transport_1_hub!AW204</f>
        <v>266.76335090470712</v>
      </c>
      <c r="G269" s="8">
        <f>Transport_1_hub!AX204</f>
        <v>63.89024185971698</v>
      </c>
      <c r="H269" s="8">
        <f>Transport_1_hub!AY204</f>
        <v>0.54935876183043542</v>
      </c>
      <c r="I269" s="8">
        <f>Transport_1_hub!AZ204</f>
        <v>6.8796168912911319E-3</v>
      </c>
      <c r="J269" s="8">
        <f>Transport_1_hub!BA204</f>
        <v>10.265614080910979</v>
      </c>
      <c r="K269" s="8">
        <f>Transport_1_hub!BB204</f>
        <v>13.461308303104365</v>
      </c>
      <c r="L269" s="8">
        <f>Transport_1_hub!BC204</f>
        <v>0.47500276974797828</v>
      </c>
      <c r="M269" s="8">
        <f>Transport_1_hub!BD204</f>
        <v>0.27352976513837207</v>
      </c>
      <c r="N269" s="8">
        <f>Transport_1_hub!BE204</f>
        <v>1.3977173441631217</v>
      </c>
      <c r="O269" s="8">
        <f>Transport_1_hub!BF204</f>
        <v>6.5531232224010125E-2</v>
      </c>
      <c r="P269" s="8">
        <f>Transport_1_hub!BG204</f>
        <v>3.2547307497430363E-5</v>
      </c>
      <c r="Q269" s="8">
        <f>Transport_1_hub!BH204</f>
        <v>0.10692432242033351</v>
      </c>
      <c r="R269" s="8">
        <f>Transport_1_hub!BI204</f>
        <v>0.3110941246693078</v>
      </c>
      <c r="S269" s="8">
        <f>Transport_1_hub!BJ204</f>
        <v>1.6482068228996116E-2</v>
      </c>
      <c r="T269" s="8">
        <f>Transport_1_hub!BK204</f>
        <v>5.2695703939961164E-3</v>
      </c>
      <c r="U269" s="8">
        <f>Transport_1_hub!BL204</f>
        <v>0.76172519950102113</v>
      </c>
      <c r="V269" s="9">
        <f>Transport_1_hub!BM204</f>
        <v>0.27614575210771375</v>
      </c>
      <c r="X269" s="22"/>
      <c r="Y269" s="22"/>
      <c r="AG269" s="42"/>
      <c r="AL269" s="42"/>
    </row>
    <row r="270" spans="2:38" x14ac:dyDescent="0.25">
      <c r="B270" s="40">
        <f>Transport_1_hub!W205+Transport_1_hub!L205</f>
        <v>1217.5829634467887</v>
      </c>
      <c r="C270" s="8">
        <f>Transport_1_hub!AT205</f>
        <v>266.8257480447071</v>
      </c>
      <c r="D270" s="8">
        <f>Transport_1_hub!AU205</f>
        <v>2734.7355763560572</v>
      </c>
      <c r="E270" s="8">
        <f>Transport_1_hub!AV205</f>
        <v>1.2844533483747995</v>
      </c>
      <c r="F270" s="8">
        <f>Transport_1_hub!AW205</f>
        <v>266.76335090470712</v>
      </c>
      <c r="G270" s="8">
        <f>Transport_1_hub!AX205</f>
        <v>63.89024185971698</v>
      </c>
      <c r="H270" s="8">
        <f>Transport_1_hub!AY205</f>
        <v>0.54935876183043542</v>
      </c>
      <c r="I270" s="8">
        <f>Transport_1_hub!AZ205</f>
        <v>6.8796168912911319E-3</v>
      </c>
      <c r="J270" s="8">
        <f>Transport_1_hub!BA205</f>
        <v>10.265614080910979</v>
      </c>
      <c r="K270" s="8">
        <f>Transport_1_hub!BB205</f>
        <v>13.461308303104365</v>
      </c>
      <c r="L270" s="8">
        <f>Transport_1_hub!BC205</f>
        <v>0.47500276974797828</v>
      </c>
      <c r="M270" s="8">
        <f>Transport_1_hub!BD205</f>
        <v>0.27352976513837207</v>
      </c>
      <c r="N270" s="8">
        <f>Transport_1_hub!BE205</f>
        <v>1.3977173441631217</v>
      </c>
      <c r="O270" s="8">
        <f>Transport_1_hub!BF205</f>
        <v>6.5531232224010125E-2</v>
      </c>
      <c r="P270" s="8">
        <f>Transport_1_hub!BG205</f>
        <v>3.2547307497430363E-5</v>
      </c>
      <c r="Q270" s="8">
        <f>Transport_1_hub!BH205</f>
        <v>0.10692432242033351</v>
      </c>
      <c r="R270" s="8">
        <f>Transport_1_hub!BI205</f>
        <v>0.3110941246693078</v>
      </c>
      <c r="S270" s="8">
        <f>Transport_1_hub!BJ205</f>
        <v>1.6482068228996116E-2</v>
      </c>
      <c r="T270" s="8">
        <f>Transport_1_hub!BK205</f>
        <v>5.2695703939961164E-3</v>
      </c>
      <c r="U270" s="8">
        <f>Transport_1_hub!BL205</f>
        <v>0.76172519950102113</v>
      </c>
      <c r="V270" s="9">
        <f>Transport_1_hub!BM205</f>
        <v>0.27614575210771375</v>
      </c>
      <c r="X270" s="22"/>
      <c r="Y270" s="22"/>
      <c r="AG270" s="42"/>
      <c r="AL270" s="42"/>
    </row>
    <row r="271" spans="2:38" x14ac:dyDescent="0.25">
      <c r="B271" s="40">
        <f>Transport_1_hub!W206+Transport_1_hub!L206</f>
        <v>1217.5829634467887</v>
      </c>
      <c r="C271" s="8">
        <f>Transport_1_hub!AT206</f>
        <v>266.8257480447071</v>
      </c>
      <c r="D271" s="8">
        <f>Transport_1_hub!AU206</f>
        <v>2734.7355763560572</v>
      </c>
      <c r="E271" s="8">
        <f>Transport_1_hub!AV206</f>
        <v>1.2844533483747995</v>
      </c>
      <c r="F271" s="8">
        <f>Transport_1_hub!AW206</f>
        <v>266.76335090470712</v>
      </c>
      <c r="G271" s="8">
        <f>Transport_1_hub!AX206</f>
        <v>63.89024185971698</v>
      </c>
      <c r="H271" s="8">
        <f>Transport_1_hub!AY206</f>
        <v>0.54935876183043542</v>
      </c>
      <c r="I271" s="8">
        <f>Transport_1_hub!AZ206</f>
        <v>6.8796168912911319E-3</v>
      </c>
      <c r="J271" s="8">
        <f>Transport_1_hub!BA206</f>
        <v>10.265614080910979</v>
      </c>
      <c r="K271" s="8">
        <f>Transport_1_hub!BB206</f>
        <v>13.461308303104365</v>
      </c>
      <c r="L271" s="8">
        <f>Transport_1_hub!BC206</f>
        <v>0.47500276974797828</v>
      </c>
      <c r="M271" s="8">
        <f>Transport_1_hub!BD206</f>
        <v>0.27352976513837207</v>
      </c>
      <c r="N271" s="8">
        <f>Transport_1_hub!BE206</f>
        <v>1.3977173441631217</v>
      </c>
      <c r="O271" s="8">
        <f>Transport_1_hub!BF206</f>
        <v>6.5531232224010125E-2</v>
      </c>
      <c r="P271" s="8">
        <f>Transport_1_hub!BG206</f>
        <v>3.2547307497430363E-5</v>
      </c>
      <c r="Q271" s="8">
        <f>Transport_1_hub!BH206</f>
        <v>0.10692432242033351</v>
      </c>
      <c r="R271" s="8">
        <f>Transport_1_hub!BI206</f>
        <v>0.3110941246693078</v>
      </c>
      <c r="S271" s="8">
        <f>Transport_1_hub!BJ206</f>
        <v>1.6482068228996116E-2</v>
      </c>
      <c r="T271" s="8">
        <f>Transport_1_hub!BK206</f>
        <v>5.2695703939961164E-3</v>
      </c>
      <c r="U271" s="8">
        <f>Transport_1_hub!BL206</f>
        <v>0.76172519950102113</v>
      </c>
      <c r="V271" s="9">
        <f>Transport_1_hub!BM206</f>
        <v>0.27614575210771375</v>
      </c>
      <c r="X271" s="22"/>
      <c r="Y271" s="22"/>
      <c r="AG271" s="42"/>
      <c r="AL271" s="42"/>
    </row>
    <row r="272" spans="2:38" x14ac:dyDescent="0.25">
      <c r="B272" s="40">
        <f>Transport_1_hub!W207+Transport_1_hub!L207</f>
        <v>1217.5829634467887</v>
      </c>
      <c r="C272" s="8">
        <f>Transport_1_hub!AT207</f>
        <v>266.8257480447071</v>
      </c>
      <c r="D272" s="8">
        <f>Transport_1_hub!AU207</f>
        <v>2734.7355763560572</v>
      </c>
      <c r="E272" s="8">
        <f>Transport_1_hub!AV207</f>
        <v>1.2844533483747995</v>
      </c>
      <c r="F272" s="8">
        <f>Transport_1_hub!AW207</f>
        <v>266.76335090470712</v>
      </c>
      <c r="G272" s="8">
        <f>Transport_1_hub!AX207</f>
        <v>63.89024185971698</v>
      </c>
      <c r="H272" s="8">
        <f>Transport_1_hub!AY207</f>
        <v>0.54935876183043542</v>
      </c>
      <c r="I272" s="8">
        <f>Transport_1_hub!AZ207</f>
        <v>6.8796168912911319E-3</v>
      </c>
      <c r="J272" s="8">
        <f>Transport_1_hub!BA207</f>
        <v>10.265614080910979</v>
      </c>
      <c r="K272" s="8">
        <f>Transport_1_hub!BB207</f>
        <v>13.461308303104365</v>
      </c>
      <c r="L272" s="8">
        <f>Transport_1_hub!BC207</f>
        <v>0.47500276974797828</v>
      </c>
      <c r="M272" s="8">
        <f>Transport_1_hub!BD207</f>
        <v>0.27352976513837207</v>
      </c>
      <c r="N272" s="8">
        <f>Transport_1_hub!BE207</f>
        <v>1.3977173441631217</v>
      </c>
      <c r="O272" s="8">
        <f>Transport_1_hub!BF207</f>
        <v>6.5531232224010125E-2</v>
      </c>
      <c r="P272" s="8">
        <f>Transport_1_hub!BG207</f>
        <v>3.2547307497430363E-5</v>
      </c>
      <c r="Q272" s="8">
        <f>Transport_1_hub!BH207</f>
        <v>0.10692432242033351</v>
      </c>
      <c r="R272" s="8">
        <f>Transport_1_hub!BI207</f>
        <v>0.3110941246693078</v>
      </c>
      <c r="S272" s="8">
        <f>Transport_1_hub!BJ207</f>
        <v>1.6482068228996116E-2</v>
      </c>
      <c r="T272" s="8">
        <f>Transport_1_hub!BK207</f>
        <v>5.2695703939961164E-3</v>
      </c>
      <c r="U272" s="8">
        <f>Transport_1_hub!BL207</f>
        <v>0.76172519950102113</v>
      </c>
      <c r="V272" s="9">
        <f>Transport_1_hub!BM207</f>
        <v>0.27614575210771375</v>
      </c>
      <c r="X272" s="22"/>
      <c r="Y272" s="22"/>
      <c r="AG272" s="42"/>
      <c r="AL272" s="42"/>
    </row>
    <row r="273" spans="2:38" x14ac:dyDescent="0.25">
      <c r="B273" s="40">
        <f>Transport_1_hub!W208+Transport_1_hub!L208</f>
        <v>1217.5829634467887</v>
      </c>
      <c r="C273" s="8">
        <f>Transport_1_hub!AT208</f>
        <v>266.8257480447071</v>
      </c>
      <c r="D273" s="8">
        <f>Transport_1_hub!AU208</f>
        <v>2734.7355763560572</v>
      </c>
      <c r="E273" s="8">
        <f>Transport_1_hub!AV208</f>
        <v>1.2844533483747995</v>
      </c>
      <c r="F273" s="8">
        <f>Transport_1_hub!AW208</f>
        <v>266.76335090470712</v>
      </c>
      <c r="G273" s="8">
        <f>Transport_1_hub!AX208</f>
        <v>63.89024185971698</v>
      </c>
      <c r="H273" s="8">
        <f>Transport_1_hub!AY208</f>
        <v>0.54935876183043542</v>
      </c>
      <c r="I273" s="8">
        <f>Transport_1_hub!AZ208</f>
        <v>6.8796168912911319E-3</v>
      </c>
      <c r="J273" s="8">
        <f>Transport_1_hub!BA208</f>
        <v>10.265614080910979</v>
      </c>
      <c r="K273" s="8">
        <f>Transport_1_hub!BB208</f>
        <v>13.461308303104365</v>
      </c>
      <c r="L273" s="8">
        <f>Transport_1_hub!BC208</f>
        <v>0.47500276974797828</v>
      </c>
      <c r="M273" s="8">
        <f>Transport_1_hub!BD208</f>
        <v>0.27352976513837207</v>
      </c>
      <c r="N273" s="8">
        <f>Transport_1_hub!BE208</f>
        <v>1.3977173441631217</v>
      </c>
      <c r="O273" s="8">
        <f>Transport_1_hub!BF208</f>
        <v>6.5531232224010125E-2</v>
      </c>
      <c r="P273" s="8">
        <f>Transport_1_hub!BG208</f>
        <v>3.2547307497430363E-5</v>
      </c>
      <c r="Q273" s="8">
        <f>Transport_1_hub!BH208</f>
        <v>0.10692432242033351</v>
      </c>
      <c r="R273" s="8">
        <f>Transport_1_hub!BI208</f>
        <v>0.3110941246693078</v>
      </c>
      <c r="S273" s="8">
        <f>Transport_1_hub!BJ208</f>
        <v>1.6482068228996116E-2</v>
      </c>
      <c r="T273" s="8">
        <f>Transport_1_hub!BK208</f>
        <v>5.2695703939961164E-3</v>
      </c>
      <c r="U273" s="8">
        <f>Transport_1_hub!BL208</f>
        <v>0.76172519950102113</v>
      </c>
      <c r="V273" s="9">
        <f>Transport_1_hub!BM208</f>
        <v>0.27614575210771375</v>
      </c>
      <c r="X273" s="22"/>
      <c r="Y273" s="22"/>
      <c r="AG273" s="42"/>
      <c r="AL273" s="42"/>
    </row>
    <row r="274" spans="2:38" x14ac:dyDescent="0.25">
      <c r="B274" s="40">
        <f>Transport_1_hub!W209+Transport_1_hub!L209</f>
        <v>1224.8099634467887</v>
      </c>
      <c r="C274" s="8">
        <f>Transport_1_hub!AT209</f>
        <v>269.28148264470713</v>
      </c>
      <c r="D274" s="8">
        <f>Transport_1_hub!AU209</f>
        <v>2770.5529528353482</v>
      </c>
      <c r="E274" s="8">
        <f>Transport_1_hub!AV209</f>
        <v>1.3225078395747996</v>
      </c>
      <c r="F274" s="8">
        <f>Transport_1_hub!AW209</f>
        <v>269.1871421647071</v>
      </c>
      <c r="G274" s="8">
        <f>Transport_1_hub!AX209</f>
        <v>64.684489159716975</v>
      </c>
      <c r="H274" s="8">
        <f>Transport_1_hub!AY209</f>
        <v>0.67882323983043547</v>
      </c>
      <c r="I274" s="8">
        <f>Transport_1_hub!AZ209</f>
        <v>7.2247856382911327E-3</v>
      </c>
      <c r="J274" s="8">
        <f>Transport_1_hub!BA209</f>
        <v>10.821883497910978</v>
      </c>
      <c r="K274" s="8">
        <f>Transport_1_hub!BB209</f>
        <v>13.625939363104365</v>
      </c>
      <c r="L274" s="8">
        <f>Transport_1_hub!BC209</f>
        <v>0.58761388374797829</v>
      </c>
      <c r="M274" s="8">
        <f>Transport_1_hub!BD209</f>
        <v>0.27382613718137211</v>
      </c>
      <c r="N274" s="8">
        <f>Transport_1_hub!BE209</f>
        <v>1.5665111561631215</v>
      </c>
      <c r="O274" s="8">
        <f>Transport_1_hub!BF209</f>
        <v>6.5373517403010131E-2</v>
      </c>
      <c r="P274" s="8">
        <f>Transport_1_hub!BG209</f>
        <v>3.2900592165430366E-5</v>
      </c>
      <c r="Q274" s="8">
        <f>Transport_1_hub!BH209</f>
        <v>0.1098949085003335</v>
      </c>
      <c r="R274" s="8">
        <f>Transport_1_hub!BI209</f>
        <v>0.31749818617930781</v>
      </c>
      <c r="S274" s="8">
        <f>Transport_1_hub!BJ209</f>
        <v>2.259191856899612E-2</v>
      </c>
      <c r="T274" s="8">
        <f>Transport_1_hub!BK209</f>
        <v>5.6393398489961166E-3</v>
      </c>
      <c r="U274" s="8">
        <f>Transport_1_hub!BL209</f>
        <v>0.82462611670102115</v>
      </c>
      <c r="V274" s="9">
        <f>Transport_1_hub!BM209</f>
        <v>0.28287806395771375</v>
      </c>
      <c r="X274" s="22"/>
      <c r="Y274" s="22"/>
      <c r="AG274" s="42"/>
      <c r="AL274" s="42"/>
    </row>
    <row r="275" spans="2:38" x14ac:dyDescent="0.25">
      <c r="B275" s="40">
        <f>Transport_1_hub!W210+Transport_1_hub!L210</f>
        <v>1308.3162894344653</v>
      </c>
      <c r="C275" s="8">
        <f>Transport_1_hub!AT210</f>
        <v>278.98894268741037</v>
      </c>
      <c r="D275" s="8">
        <f>Transport_1_hub!AU210</f>
        <v>2851.1132937010179</v>
      </c>
      <c r="E275" s="8">
        <f>Transport_1_hub!AV210</f>
        <v>1.3262034214795424</v>
      </c>
      <c r="F275" s="8">
        <f>Transport_1_hub!AW210</f>
        <v>278.9158845074104</v>
      </c>
      <c r="G275" s="8">
        <f>Transport_1_hub!AX210</f>
        <v>66.620481978825651</v>
      </c>
      <c r="H275" s="8">
        <f>Transport_1_hub!AY210</f>
        <v>0.60125575326741509</v>
      </c>
      <c r="I275" s="8">
        <f>Transport_1_hub!AZ210</f>
        <v>7.1240886777508595E-3</v>
      </c>
      <c r="J275" s="8">
        <f>Transport_1_hub!BA210</f>
        <v>10.641968145358065</v>
      </c>
      <c r="K275" s="8">
        <f>Transport_1_hub!BB210</f>
        <v>13.990485015477047</v>
      </c>
      <c r="L275" s="8">
        <f>Transport_1_hub!BC210</f>
        <v>0.51931808560174475</v>
      </c>
      <c r="M275" s="8">
        <f>Transport_1_hub!BD210</f>
        <v>0.28644975979863785</v>
      </c>
      <c r="N275" s="8">
        <f>Transport_1_hub!BE210</f>
        <v>1.4884609664078998</v>
      </c>
      <c r="O275" s="8">
        <f>Transport_1_hub!BF210</f>
        <v>6.806912228717267E-2</v>
      </c>
      <c r="P275" s="8">
        <f>Transport_1_hub!BG210</f>
        <v>3.3924783280898512E-5</v>
      </c>
      <c r="Q275" s="8">
        <f>Transport_1_hub!BH210</f>
        <v>0.11065709682322497</v>
      </c>
      <c r="R275" s="8">
        <f>Transport_1_hub!BI210</f>
        <v>0.31950850497325645</v>
      </c>
      <c r="S275" s="8">
        <f>Transport_1_hub!BJ210</f>
        <v>1.8632949411223749E-2</v>
      </c>
      <c r="T275" s="8">
        <f>Transport_1_hub!BK210</f>
        <v>5.5047085162237466E-3</v>
      </c>
      <c r="U275" s="8">
        <f>Transport_1_hub!BL210</f>
        <v>0.79537047441622732</v>
      </c>
      <c r="V275" s="9">
        <f>Transport_1_hub!BM210</f>
        <v>0.28553994735198207</v>
      </c>
      <c r="X275" s="22"/>
      <c r="Y275" s="22"/>
      <c r="AG275" s="42"/>
      <c r="AL275" s="42"/>
    </row>
    <row r="276" spans="2:38" x14ac:dyDescent="0.25">
      <c r="B276" s="40">
        <f>Transport_1_hub!W211+Transport_1_hub!L211</f>
        <v>1692.2296218678962</v>
      </c>
      <c r="C276" s="8">
        <f>Transport_1_hub!AT211</f>
        <v>397.12933839870368</v>
      </c>
      <c r="D276" s="8">
        <f>Transport_1_hub!AU211</f>
        <v>4534.3869925331028</v>
      </c>
      <c r="E276" s="8">
        <f>Transport_1_hub!AV211</f>
        <v>3.0609720268016698</v>
      </c>
      <c r="F276" s="8">
        <f>Transport_1_hub!AW211</f>
        <v>395.61593481870375</v>
      </c>
      <c r="G276" s="8">
        <f>Transport_1_hub!AX211</f>
        <v>104.04467191442924</v>
      </c>
      <c r="H276" s="8">
        <f>Transport_1_hub!AY211</f>
        <v>6.4445631642322354</v>
      </c>
      <c r="I276" s="8">
        <f>Transport_1_hub!AZ211</f>
        <v>2.2772429876151457E-2</v>
      </c>
      <c r="J276" s="8">
        <f>Transport_1_hub!BA211</f>
        <v>35.84953800264212</v>
      </c>
      <c r="K276" s="8">
        <f>Transport_1_hub!BB211</f>
        <v>21.72375476216947</v>
      </c>
      <c r="L276" s="8">
        <f>Transport_1_hub!BC211</f>
        <v>5.6014184375220477</v>
      </c>
      <c r="M276" s="8">
        <f>Transport_1_hub!BD211</f>
        <v>0.30821872561803837</v>
      </c>
      <c r="N276" s="8">
        <f>Transport_1_hub!BE211</f>
        <v>9.1219621742264998</v>
      </c>
      <c r="O276" s="8">
        <f>Transport_1_hub!BF211</f>
        <v>6.2650661282699457E-2</v>
      </c>
      <c r="P276" s="8">
        <f>Transport_1_hub!BG211</f>
        <v>5.0677708135760855E-5</v>
      </c>
      <c r="Q276" s="8">
        <f>Transport_1_hub!BH211</f>
        <v>0.24639360378046687</v>
      </c>
      <c r="R276" s="8">
        <f>Transport_1_hub!BI211</f>
        <v>0.61237380832907262</v>
      </c>
      <c r="S276" s="8">
        <f>Transport_1_hub!BJ211</f>
        <v>0.29420304989631052</v>
      </c>
      <c r="T276" s="8">
        <f>Transport_1_hub!BK211</f>
        <v>2.2250932151310507E-2</v>
      </c>
      <c r="U276" s="8">
        <f>Transport_1_hub!BL211</f>
        <v>3.6398858805838099</v>
      </c>
      <c r="V276" s="9">
        <f>Transport_1_hub!BM211</f>
        <v>0.59377683738856701</v>
      </c>
      <c r="X276" s="22"/>
      <c r="Y276" s="22"/>
      <c r="AG276" s="42"/>
      <c r="AL276" s="42"/>
    </row>
    <row r="277" spans="2:38" x14ac:dyDescent="0.25">
      <c r="B277" s="40">
        <f>Transport_1_hub!W212+Transport_1_hub!L212</f>
        <v>1371.0939634467886</v>
      </c>
      <c r="C277" s="8">
        <f>Transport_1_hub!AT212</f>
        <v>318.98878584470708</v>
      </c>
      <c r="D277" s="8">
        <f>Transport_1_hub!AU212</f>
        <v>3495.5438343763199</v>
      </c>
      <c r="E277" s="8">
        <f>Transport_1_hub!AV212</f>
        <v>2.0927808699747996</v>
      </c>
      <c r="F277" s="8">
        <f>Transport_1_hub!AW212</f>
        <v>318.24787008470713</v>
      </c>
      <c r="G277" s="8">
        <f>Transport_1_hub!AX212</f>
        <v>80.761100759716982</v>
      </c>
      <c r="H277" s="8">
        <f>Transport_1_hub!AY212</f>
        <v>3.2993548158304353</v>
      </c>
      <c r="I277" s="8">
        <f>Transport_1_hub!AZ212</f>
        <v>1.4211455762291131E-2</v>
      </c>
      <c r="J277" s="8">
        <f>Transport_1_hub!BA212</f>
        <v>22.081509261910977</v>
      </c>
      <c r="K277" s="8">
        <f>Transport_1_hub!BB212</f>
        <v>16.958288883104366</v>
      </c>
      <c r="L277" s="8">
        <f>Transport_1_hub!BC212</f>
        <v>2.8670111717479783</v>
      </c>
      <c r="M277" s="8">
        <f>Transport_1_hub!BD212</f>
        <v>0.27982509773737207</v>
      </c>
      <c r="N277" s="8">
        <f>Transport_1_hub!BE212</f>
        <v>4.9831202601631208</v>
      </c>
      <c r="O277" s="8">
        <f>Transport_1_hub!BF212</f>
        <v>6.2181161671010135E-2</v>
      </c>
      <c r="P277" s="8">
        <f>Transport_1_hub!BG212</f>
        <v>4.0051539221430365E-5</v>
      </c>
      <c r="Q277" s="8">
        <f>Transport_1_hub!BH212</f>
        <v>0.1700234838603335</v>
      </c>
      <c r="R277" s="8">
        <f>Transport_1_hub!BI212</f>
        <v>0.44712482709930779</v>
      </c>
      <c r="S277" s="8">
        <f>Transport_1_hub!BJ212</f>
        <v>0.14626333784899609</v>
      </c>
      <c r="T277" s="8">
        <f>Transport_1_hub!BK212</f>
        <v>1.3123960708996116E-2</v>
      </c>
      <c r="U277" s="8">
        <f>Transport_1_hub!BL212</f>
        <v>2.0978235391010212</v>
      </c>
      <c r="V277" s="9">
        <f>Transport_1_hub!BM212</f>
        <v>0.41914892415771371</v>
      </c>
      <c r="X277" s="22"/>
      <c r="Y277" s="22"/>
      <c r="AG277" s="42"/>
      <c r="AL277" s="42"/>
    </row>
    <row r="278" spans="2:38" x14ac:dyDescent="0.25">
      <c r="B278" s="40">
        <f>Transport_1_hub!W213+Transport_1_hub!L213</f>
        <v>1375.0369634467886</v>
      </c>
      <c r="C278" s="8">
        <f>Transport_1_hub!AT213</f>
        <v>320.32861724470712</v>
      </c>
      <c r="D278" s="8">
        <f>Transport_1_hub!AU213</f>
        <v>3515.0855412336391</v>
      </c>
      <c r="E278" s="8">
        <f>Transport_1_hub!AV213</f>
        <v>2.1135431307747994</v>
      </c>
      <c r="F278" s="8">
        <f>Transport_1_hub!AW213</f>
        <v>319.57027342470712</v>
      </c>
      <c r="G278" s="8">
        <f>Transport_1_hub!AX213</f>
        <v>81.194436459716982</v>
      </c>
      <c r="H278" s="8">
        <f>Transport_1_hub!AY213</f>
        <v>3.3699897178304354</v>
      </c>
      <c r="I278" s="8">
        <f>Transport_1_hub!AZ213</f>
        <v>1.4399777385291131E-2</v>
      </c>
      <c r="J278" s="8">
        <f>Transport_1_hub!BA213</f>
        <v>22.385005914910977</v>
      </c>
      <c r="K278" s="8">
        <f>Transport_1_hub!BB213</f>
        <v>17.048110423104365</v>
      </c>
      <c r="L278" s="8">
        <f>Transport_1_hub!BC213</f>
        <v>2.9284509977479782</v>
      </c>
      <c r="M278" s="8">
        <f>Transport_1_hub!BD213</f>
        <v>0.27998679622437211</v>
      </c>
      <c r="N278" s="8">
        <f>Transport_1_hub!BE213</f>
        <v>5.0752129681631217</v>
      </c>
      <c r="O278" s="8">
        <f>Transport_1_hub!BF213</f>
        <v>6.2095113582010128E-2</v>
      </c>
      <c r="P278" s="8">
        <f>Transport_1_hub!BG213</f>
        <v>4.0244288833430368E-5</v>
      </c>
      <c r="Q278" s="8">
        <f>Transport_1_hub!BH213</f>
        <v>0.17164421458033349</v>
      </c>
      <c r="R278" s="8">
        <f>Transport_1_hub!BI213</f>
        <v>0.45061883768930777</v>
      </c>
      <c r="S278" s="8">
        <f>Transport_1_hub!BJ213</f>
        <v>0.14959682890899612</v>
      </c>
      <c r="T278" s="8">
        <f>Transport_1_hub!BK213</f>
        <v>1.3325704303996117E-2</v>
      </c>
      <c r="U278" s="8">
        <f>Transport_1_hub!BL213</f>
        <v>2.132141833901021</v>
      </c>
      <c r="V278" s="9">
        <f>Transport_1_hub!BM213</f>
        <v>0.42282202580771372</v>
      </c>
      <c r="X278" s="22"/>
      <c r="Y278" s="22"/>
      <c r="AG278" s="42"/>
      <c r="AL278" s="42"/>
    </row>
    <row r="279" spans="2:38" x14ac:dyDescent="0.25">
      <c r="B279" s="40">
        <f>Transport_1_hub!W214+Transport_1_hub!L214</f>
        <v>1483.5110754672544</v>
      </c>
      <c r="C279" s="8">
        <f>Transport_1_hub!AT214</f>
        <v>316.66554395450828</v>
      </c>
      <c r="D279" s="8">
        <f>Transport_1_hub!AU214</f>
        <v>3330.1560323918134</v>
      </c>
      <c r="E279" s="8">
        <f>Transport_1_hub!AV214</f>
        <v>1.7401487394707815</v>
      </c>
      <c r="F279" s="8">
        <f>Transport_1_hub!AW214</f>
        <v>316.2730037545083</v>
      </c>
      <c r="G279" s="8">
        <f>Transport_1_hub!AX214</f>
        <v>77.41623021161115</v>
      </c>
      <c r="H279" s="8">
        <f>Transport_1_hub!AY214</f>
        <v>1.9061361082412891</v>
      </c>
      <c r="I279" s="8">
        <f>Transport_1_hub!AZ214</f>
        <v>1.0725818001640297E-2</v>
      </c>
      <c r="J279" s="8">
        <f>Transport_1_hub!BA214</f>
        <v>16.427048284296337</v>
      </c>
      <c r="K279" s="8">
        <f>Transport_1_hub!BB214</f>
        <v>16.185760569150638</v>
      </c>
      <c r="L279" s="8">
        <f>Transport_1_hub!BC214</f>
        <v>1.6533766775114012</v>
      </c>
      <c r="M279" s="8">
        <f>Transport_1_hub!BD214</f>
        <v>0.30430695424329163</v>
      </c>
      <c r="N279" s="8">
        <f>Transport_1_hub!BE214</f>
        <v>3.2164517441235239</v>
      </c>
      <c r="O279" s="8">
        <f>Transport_1_hub!BF214</f>
        <v>6.9488823740146893E-2</v>
      </c>
      <c r="P279" s="8">
        <f>Transport_1_hub!BG214</f>
        <v>3.8915242349985142E-5</v>
      </c>
      <c r="Q279" s="8">
        <f>Transport_1_hub!BH214</f>
        <v>0.14353756695755598</v>
      </c>
      <c r="R279" s="8">
        <f>Transport_1_hub!BI214</f>
        <v>0.39082075574626018</v>
      </c>
      <c r="S279" s="8">
        <f>Transport_1_hub!BJ214</f>
        <v>7.9870167687818919E-2</v>
      </c>
      <c r="T279" s="8">
        <f>Transport_1_hub!BK214</f>
        <v>9.3323811378189132E-3</v>
      </c>
      <c r="U279" s="8">
        <f>Transport_1_hub!BL214</f>
        <v>1.4391238167272102</v>
      </c>
      <c r="V279" s="9">
        <f>Transport_1_hub!BM214</f>
        <v>0.36114617716817721</v>
      </c>
      <c r="X279" s="22"/>
      <c r="Y279" s="22"/>
      <c r="AG279" s="42"/>
      <c r="AL279" s="42"/>
    </row>
    <row r="280" spans="2:38" x14ac:dyDescent="0.25">
      <c r="B280" s="40">
        <f>Transport_1_hub!W215+Transport_1_hub!L215</f>
        <v>1408.9470754672545</v>
      </c>
      <c r="C280" s="8">
        <f>Transport_1_hub!AT215</f>
        <v>291.32869675450826</v>
      </c>
      <c r="D280" s="8">
        <f>Transport_1_hub!AU215</f>
        <v>2960.6130879056013</v>
      </c>
      <c r="E280" s="8">
        <f>Transport_1_hub!AV215</f>
        <v>1.3475245410707815</v>
      </c>
      <c r="F280" s="8">
        <f>Transport_1_hub!AW215</f>
        <v>291.26572943450827</v>
      </c>
      <c r="G280" s="8">
        <f>Transport_1_hub!AX215</f>
        <v>69.221646611611163</v>
      </c>
      <c r="H280" s="8">
        <f>Transport_1_hub!AY215</f>
        <v>0.57039661224128912</v>
      </c>
      <c r="I280" s="8">
        <f>Transport_1_hub!AZ215</f>
        <v>7.1645667976402965E-3</v>
      </c>
      <c r="J280" s="8">
        <f>Transport_1_hub!BA215</f>
        <v>10.687782640296337</v>
      </c>
      <c r="K280" s="8">
        <f>Transport_1_hub!BB215</f>
        <v>14.487192649150636</v>
      </c>
      <c r="L280" s="8">
        <f>Transport_1_hub!BC215</f>
        <v>0.49152042951140107</v>
      </c>
      <c r="M280" s="8">
        <f>Transport_1_hub!BD215</f>
        <v>0.30124915916729161</v>
      </c>
      <c r="N280" s="8">
        <f>Transport_1_hub!BE215</f>
        <v>1.474934960123524</v>
      </c>
      <c r="O280" s="8">
        <f>Transport_1_hub!BF215</f>
        <v>7.1116033912146895E-2</v>
      </c>
      <c r="P280" s="8">
        <f>Transport_1_hub!BG215</f>
        <v>3.5270255773985141E-5</v>
      </c>
      <c r="Q280" s="8">
        <f>Transport_1_hub!BH215</f>
        <v>0.11288878039755598</v>
      </c>
      <c r="R280" s="8">
        <f>Transport_1_hub!BI215</f>
        <v>0.32474735842626018</v>
      </c>
      <c r="S280" s="8">
        <f>Transport_1_hub!BJ215</f>
        <v>1.6832270807818912E-2</v>
      </c>
      <c r="T280" s="8">
        <f>Transport_1_hub!BK215</f>
        <v>5.5173140778189134E-3</v>
      </c>
      <c r="U280" s="8">
        <f>Transport_1_hub!BL215</f>
        <v>0.79014858632721019</v>
      </c>
      <c r="V280" s="9">
        <f>Transport_1_hub!BM215</f>
        <v>0.29168608296817722</v>
      </c>
      <c r="X280" s="22"/>
      <c r="Y280" s="22"/>
      <c r="AG280" s="42"/>
      <c r="AL280" s="42"/>
    </row>
    <row r="281" spans="2:38" x14ac:dyDescent="0.25">
      <c r="B281" s="40">
        <f>Transport_1_hub!W216+Transport_1_hub!L216</f>
        <v>1403.3870754672544</v>
      </c>
      <c r="C281" s="8">
        <f>Transport_1_hub!AT216</f>
        <v>289.43940875450829</v>
      </c>
      <c r="D281" s="8">
        <f>Transport_1_hub!AU216</f>
        <v>2933.0574474981213</v>
      </c>
      <c r="E281" s="8">
        <f>Transport_1_hub!AV216</f>
        <v>1.3182478050707815</v>
      </c>
      <c r="F281" s="8">
        <f>Transport_1_hub!AW216</f>
        <v>289.40101663450827</v>
      </c>
      <c r="G281" s="8">
        <f>Transport_1_hub!AX216</f>
        <v>68.610602611611156</v>
      </c>
      <c r="H281" s="8">
        <f>Transport_1_hub!AY216</f>
        <v>0.47079477224128907</v>
      </c>
      <c r="I281" s="8">
        <f>Transport_1_hub!AZ216</f>
        <v>6.899015637640297E-3</v>
      </c>
      <c r="J281" s="8">
        <f>Transport_1_hub!BA216</f>
        <v>10.259823880296338</v>
      </c>
      <c r="K281" s="8">
        <f>Transport_1_hub!BB216</f>
        <v>14.360535849150637</v>
      </c>
      <c r="L281" s="8">
        <f>Transport_1_hub!BC216</f>
        <v>0.40488450951140109</v>
      </c>
      <c r="M281" s="8">
        <f>Transport_1_hub!BD216</f>
        <v>0.30102114912729161</v>
      </c>
      <c r="N281" s="8">
        <f>Transport_1_hub!BE216</f>
        <v>1.345075600123524</v>
      </c>
      <c r="O281" s="8">
        <f>Transport_1_hub!BF216</f>
        <v>7.1237369792146885E-2</v>
      </c>
      <c r="P281" s="8">
        <f>Transport_1_hub!BG216</f>
        <v>3.4998460733985143E-5</v>
      </c>
      <c r="Q281" s="8">
        <f>Transport_1_hub!BH216</f>
        <v>0.11060339799755597</v>
      </c>
      <c r="R281" s="8">
        <f>Transport_1_hub!BI216</f>
        <v>0.31982047562626015</v>
      </c>
      <c r="S281" s="8">
        <f>Transport_1_hub!BJ216</f>
        <v>1.2131735607818914E-2</v>
      </c>
      <c r="T281" s="8">
        <f>Transport_1_hub!BK216</f>
        <v>5.2328366778189132E-3</v>
      </c>
      <c r="U281" s="8">
        <f>Transport_1_hub!BL216</f>
        <v>0.7417565703272101</v>
      </c>
      <c r="V281" s="9">
        <f>Transport_1_hub!BM216</f>
        <v>0.28650666496817723</v>
      </c>
      <c r="X281" s="22"/>
      <c r="Y281" s="22"/>
      <c r="AG281" s="42"/>
      <c r="AL281" s="42"/>
    </row>
    <row r="282" spans="2:38" x14ac:dyDescent="0.25">
      <c r="B282" s="40">
        <f>Transport_1_hub!W217+Transport_1_hub!L217</f>
        <v>1403.3870754672544</v>
      </c>
      <c r="C282" s="8">
        <f>Transport_1_hub!AT217</f>
        <v>289.43940875450829</v>
      </c>
      <c r="D282" s="8">
        <f>Transport_1_hub!AU217</f>
        <v>2933.0574474981213</v>
      </c>
      <c r="E282" s="8">
        <f>Transport_1_hub!AV217</f>
        <v>1.3182478050707815</v>
      </c>
      <c r="F282" s="8">
        <f>Transport_1_hub!AW217</f>
        <v>289.40101663450827</v>
      </c>
      <c r="G282" s="8">
        <f>Transport_1_hub!AX217</f>
        <v>68.610602611611156</v>
      </c>
      <c r="H282" s="8">
        <f>Transport_1_hub!AY217</f>
        <v>0.47079477224128907</v>
      </c>
      <c r="I282" s="8">
        <f>Transport_1_hub!AZ217</f>
        <v>6.899015637640297E-3</v>
      </c>
      <c r="J282" s="8">
        <f>Transport_1_hub!BA217</f>
        <v>10.259823880296338</v>
      </c>
      <c r="K282" s="8">
        <f>Transport_1_hub!BB217</f>
        <v>14.360535849150637</v>
      </c>
      <c r="L282" s="8">
        <f>Transport_1_hub!BC217</f>
        <v>0.40488450951140109</v>
      </c>
      <c r="M282" s="8">
        <f>Transport_1_hub!BD217</f>
        <v>0.30102114912729161</v>
      </c>
      <c r="N282" s="8">
        <f>Transport_1_hub!BE217</f>
        <v>1.345075600123524</v>
      </c>
      <c r="O282" s="8">
        <f>Transport_1_hub!BF217</f>
        <v>7.1237369792146885E-2</v>
      </c>
      <c r="P282" s="8">
        <f>Transport_1_hub!BG217</f>
        <v>3.4998460733985143E-5</v>
      </c>
      <c r="Q282" s="8">
        <f>Transport_1_hub!BH217</f>
        <v>0.11060339799755597</v>
      </c>
      <c r="R282" s="8">
        <f>Transport_1_hub!BI217</f>
        <v>0.31982047562626015</v>
      </c>
      <c r="S282" s="8">
        <f>Transport_1_hub!BJ217</f>
        <v>1.2131735607818914E-2</v>
      </c>
      <c r="T282" s="8">
        <f>Transport_1_hub!BK217</f>
        <v>5.2328366778189132E-3</v>
      </c>
      <c r="U282" s="8">
        <f>Transport_1_hub!BL217</f>
        <v>0.7417565703272101</v>
      </c>
      <c r="V282" s="9">
        <f>Transport_1_hub!BM217</f>
        <v>0.28650666496817723</v>
      </c>
      <c r="X282" s="22"/>
      <c r="Y282" s="22"/>
      <c r="AG282" s="42"/>
      <c r="AL282" s="42"/>
    </row>
    <row r="283" spans="2:38" x14ac:dyDescent="0.25">
      <c r="B283" s="40">
        <f>Transport_1_hub!W218+Transport_1_hub!L218</f>
        <v>1403.3870754672544</v>
      </c>
      <c r="C283" s="8">
        <f>Transport_1_hub!AT218</f>
        <v>289.43940875450829</v>
      </c>
      <c r="D283" s="8">
        <f>Transport_1_hub!AU218</f>
        <v>2933.0574474981213</v>
      </c>
      <c r="E283" s="8">
        <f>Transport_1_hub!AV218</f>
        <v>1.3182478050707815</v>
      </c>
      <c r="F283" s="8">
        <f>Transport_1_hub!AW218</f>
        <v>289.40101663450827</v>
      </c>
      <c r="G283" s="8">
        <f>Transport_1_hub!AX218</f>
        <v>68.610602611611156</v>
      </c>
      <c r="H283" s="8">
        <f>Transport_1_hub!AY218</f>
        <v>0.47079477224128907</v>
      </c>
      <c r="I283" s="8">
        <f>Transport_1_hub!AZ218</f>
        <v>6.899015637640297E-3</v>
      </c>
      <c r="J283" s="8">
        <f>Transport_1_hub!BA218</f>
        <v>10.259823880296338</v>
      </c>
      <c r="K283" s="8">
        <f>Transport_1_hub!BB218</f>
        <v>14.360535849150637</v>
      </c>
      <c r="L283" s="8">
        <f>Transport_1_hub!BC218</f>
        <v>0.40488450951140109</v>
      </c>
      <c r="M283" s="8">
        <f>Transport_1_hub!BD218</f>
        <v>0.30102114912729161</v>
      </c>
      <c r="N283" s="8">
        <f>Transport_1_hub!BE218</f>
        <v>1.345075600123524</v>
      </c>
      <c r="O283" s="8">
        <f>Transport_1_hub!BF218</f>
        <v>7.1237369792146885E-2</v>
      </c>
      <c r="P283" s="8">
        <f>Transport_1_hub!BG218</f>
        <v>3.4998460733985143E-5</v>
      </c>
      <c r="Q283" s="8">
        <f>Transport_1_hub!BH218</f>
        <v>0.11060339799755597</v>
      </c>
      <c r="R283" s="8">
        <f>Transport_1_hub!BI218</f>
        <v>0.31982047562626015</v>
      </c>
      <c r="S283" s="8">
        <f>Transport_1_hub!BJ218</f>
        <v>1.2131735607818914E-2</v>
      </c>
      <c r="T283" s="8">
        <f>Transport_1_hub!BK218</f>
        <v>5.2328366778189132E-3</v>
      </c>
      <c r="U283" s="8">
        <f>Transport_1_hub!BL218</f>
        <v>0.7417565703272101</v>
      </c>
      <c r="V283" s="9">
        <f>Transport_1_hub!BM218</f>
        <v>0.28650666496817723</v>
      </c>
      <c r="X283" s="22"/>
      <c r="Y283" s="22"/>
      <c r="AG283" s="42"/>
      <c r="AL283" s="42"/>
    </row>
    <row r="284" spans="2:38" x14ac:dyDescent="0.25">
      <c r="B284" s="40">
        <f>Transport_1_hub!W219+Transport_1_hub!L219</f>
        <v>1405.3610754672545</v>
      </c>
      <c r="C284" s="8">
        <f>Transport_1_hub!AT219</f>
        <v>290.1101739545083</v>
      </c>
      <c r="D284" s="8">
        <f>Transport_1_hub!AU219</f>
        <v>2942.8406910528633</v>
      </c>
      <c r="E284" s="8">
        <f>Transport_1_hub!AV219</f>
        <v>1.3286420994707815</v>
      </c>
      <c r="F284" s="8">
        <f>Transport_1_hub!AW219</f>
        <v>290.0630567545083</v>
      </c>
      <c r="G284" s="8">
        <f>Transport_1_hub!AX219</f>
        <v>68.827545211611152</v>
      </c>
      <c r="H284" s="8">
        <f>Transport_1_hub!AY219</f>
        <v>0.50615700824128906</v>
      </c>
      <c r="I284" s="8">
        <f>Transport_1_hub!AZ219</f>
        <v>6.9932958516402965E-3</v>
      </c>
      <c r="J284" s="8">
        <f>Transport_1_hub!BA219</f>
        <v>10.411764634296338</v>
      </c>
      <c r="K284" s="8">
        <f>Transport_1_hub!BB219</f>
        <v>14.405503569150637</v>
      </c>
      <c r="L284" s="8">
        <f>Transport_1_hub!BC219</f>
        <v>0.43564337751140103</v>
      </c>
      <c r="M284" s="8">
        <f>Transport_1_hub!BD219</f>
        <v>0.30110210089329159</v>
      </c>
      <c r="N284" s="8">
        <f>Transport_1_hub!BE219</f>
        <v>1.391180344123524</v>
      </c>
      <c r="O284" s="8">
        <f>Transport_1_hub!BF219</f>
        <v>7.1194291190146891E-2</v>
      </c>
      <c r="P284" s="8">
        <f>Transport_1_hub!BG219</f>
        <v>3.5094957749985141E-5</v>
      </c>
      <c r="Q284" s="8">
        <f>Transport_1_hub!BH219</f>
        <v>0.11141479095755598</v>
      </c>
      <c r="R284" s="8">
        <f>Transport_1_hub!BI219</f>
        <v>0.32156969624626019</v>
      </c>
      <c r="S284" s="8">
        <f>Transport_1_hub!BJ219</f>
        <v>1.3800594687818914E-2</v>
      </c>
      <c r="T284" s="8">
        <f>Transport_1_hub!BK219</f>
        <v>5.3338363878189139E-3</v>
      </c>
      <c r="U284" s="8">
        <f>Transport_1_hub!BL219</f>
        <v>0.75893747672721013</v>
      </c>
      <c r="V284" s="9">
        <f>Transport_1_hub!BM219</f>
        <v>0.28834554466817724</v>
      </c>
      <c r="X284" s="22"/>
      <c r="Y284" s="22"/>
      <c r="AG284" s="42"/>
      <c r="AL284" s="42"/>
    </row>
    <row r="285" spans="2:38" x14ac:dyDescent="0.25">
      <c r="B285" s="40">
        <f>Transport_1_hub!W220+Transport_1_hub!L220</f>
        <v>1405.3920754672545</v>
      </c>
      <c r="C285" s="8">
        <f>Transport_1_hub!AT220</f>
        <v>290.12070775450826</v>
      </c>
      <c r="D285" s="8">
        <f>Transport_1_hub!AU220</f>
        <v>2942.9943286162866</v>
      </c>
      <c r="E285" s="8">
        <f>Transport_1_hub!AV220</f>
        <v>1.3288053330707814</v>
      </c>
      <c r="F285" s="8">
        <f>Transport_1_hub!AW220</f>
        <v>290.0734535345083</v>
      </c>
      <c r="G285" s="8">
        <f>Transport_1_hub!AX220</f>
        <v>68.830952111611154</v>
      </c>
      <c r="H285" s="8">
        <f>Transport_1_hub!AY220</f>
        <v>0.50671234224128914</v>
      </c>
      <c r="I285" s="8">
        <f>Transport_1_hub!AZ220</f>
        <v>6.9947764426402971E-3</v>
      </c>
      <c r="J285" s="8">
        <f>Transport_1_hub!BA220</f>
        <v>10.414150735296337</v>
      </c>
      <c r="K285" s="8">
        <f>Transport_1_hub!BB220</f>
        <v>14.406209749150637</v>
      </c>
      <c r="L285" s="8">
        <f>Transport_1_hub!BC220</f>
        <v>0.43612641951140108</v>
      </c>
      <c r="M285" s="8">
        <f>Transport_1_hub!BD220</f>
        <v>0.30110337217229161</v>
      </c>
      <c r="N285" s="8">
        <f>Transport_1_hub!BE220</f>
        <v>1.391904380123524</v>
      </c>
      <c r="O285" s="8">
        <f>Transport_1_hub!BF220</f>
        <v>7.1193614677146883E-2</v>
      </c>
      <c r="P285" s="8">
        <f>Transport_1_hub!BG220</f>
        <v>3.509647315398514E-5</v>
      </c>
      <c r="Q285" s="8">
        <f>Transport_1_hub!BH220</f>
        <v>0.11142753319755598</v>
      </c>
      <c r="R285" s="8">
        <f>Transport_1_hub!BI220</f>
        <v>0.32159716627626017</v>
      </c>
      <c r="S285" s="8">
        <f>Transport_1_hub!BJ220</f>
        <v>1.3826802707818914E-2</v>
      </c>
      <c r="T285" s="8">
        <f>Transport_1_hub!BK220</f>
        <v>5.3354225028189135E-3</v>
      </c>
      <c r="U285" s="8">
        <f>Transport_1_hub!BL220</f>
        <v>0.75920728832721018</v>
      </c>
      <c r="V285" s="9">
        <f>Transport_1_hub!BM220</f>
        <v>0.2883744227181772</v>
      </c>
      <c r="X285" s="22"/>
      <c r="Y285" s="22"/>
      <c r="AG285" s="42"/>
      <c r="AL285" s="42"/>
    </row>
    <row r="286" spans="2:38" x14ac:dyDescent="0.25">
      <c r="B286" s="40">
        <f>Transport_1_hub!W221+Transport_1_hub!L221</f>
        <v>1405.3920754672545</v>
      </c>
      <c r="C286" s="8">
        <f>Transport_1_hub!AT221</f>
        <v>290.12070775450826</v>
      </c>
      <c r="D286" s="8">
        <f>Transport_1_hub!AU221</f>
        <v>2942.9943286162866</v>
      </c>
      <c r="E286" s="8">
        <f>Transport_1_hub!AV221</f>
        <v>1.3288053330707814</v>
      </c>
      <c r="F286" s="8">
        <f>Transport_1_hub!AW221</f>
        <v>290.0734535345083</v>
      </c>
      <c r="G286" s="8">
        <f>Transport_1_hub!AX221</f>
        <v>68.830952111611154</v>
      </c>
      <c r="H286" s="8">
        <f>Transport_1_hub!AY221</f>
        <v>0.50671234224128914</v>
      </c>
      <c r="I286" s="8">
        <f>Transport_1_hub!AZ221</f>
        <v>6.9947764426402971E-3</v>
      </c>
      <c r="J286" s="8">
        <f>Transport_1_hub!BA221</f>
        <v>10.414150735296337</v>
      </c>
      <c r="K286" s="8">
        <f>Transport_1_hub!BB221</f>
        <v>14.406209749150637</v>
      </c>
      <c r="L286" s="8">
        <f>Transport_1_hub!BC221</f>
        <v>0.43612641951140108</v>
      </c>
      <c r="M286" s="8">
        <f>Transport_1_hub!BD221</f>
        <v>0.30110337217229161</v>
      </c>
      <c r="N286" s="8">
        <f>Transport_1_hub!BE221</f>
        <v>1.391904380123524</v>
      </c>
      <c r="O286" s="8">
        <f>Transport_1_hub!BF221</f>
        <v>7.1193614677146883E-2</v>
      </c>
      <c r="P286" s="8">
        <f>Transport_1_hub!BG221</f>
        <v>3.509647315398514E-5</v>
      </c>
      <c r="Q286" s="8">
        <f>Transport_1_hub!BH221</f>
        <v>0.11142753319755598</v>
      </c>
      <c r="R286" s="8">
        <f>Transport_1_hub!BI221</f>
        <v>0.32159716627626017</v>
      </c>
      <c r="S286" s="8">
        <f>Transport_1_hub!BJ221</f>
        <v>1.3826802707818914E-2</v>
      </c>
      <c r="T286" s="8">
        <f>Transport_1_hub!BK221</f>
        <v>5.3354225028189135E-3</v>
      </c>
      <c r="U286" s="8">
        <f>Transport_1_hub!BL221</f>
        <v>0.75920728832721018</v>
      </c>
      <c r="V286" s="9">
        <f>Transport_1_hub!BM221</f>
        <v>0.2883744227181772</v>
      </c>
      <c r="X286" s="22"/>
      <c r="Y286" s="22"/>
      <c r="AG286" s="42"/>
      <c r="AL286" s="42"/>
    </row>
    <row r="287" spans="2:38" x14ac:dyDescent="0.25">
      <c r="B287" s="40">
        <f>Transport_1_hub!W222+Transport_1_hub!L222</f>
        <v>1400.0490754672544</v>
      </c>
      <c r="C287" s="8">
        <f>Transport_1_hub!AT222</f>
        <v>288.30515635450826</v>
      </c>
      <c r="D287" s="8">
        <f>Transport_1_hub!AU222</f>
        <v>2916.5141511527677</v>
      </c>
      <c r="E287" s="8">
        <f>Transport_1_hub!AV222</f>
        <v>1.3006712322707814</v>
      </c>
      <c r="F287" s="8">
        <f>Transport_1_hub!AW222</f>
        <v>288.28151819450829</v>
      </c>
      <c r="G287" s="8">
        <f>Transport_1_hub!AX222</f>
        <v>68.243756411611159</v>
      </c>
      <c r="H287" s="8">
        <f>Transport_1_hub!AY222</f>
        <v>0.41099784024128905</v>
      </c>
      <c r="I287" s="8">
        <f>Transport_1_hub!AZ222</f>
        <v>6.7395894196402972E-3</v>
      </c>
      <c r="J287" s="8">
        <f>Transport_1_hub!BA222</f>
        <v>10.002894682296338</v>
      </c>
      <c r="K287" s="8">
        <f>Transport_1_hub!BB222</f>
        <v>14.284496209150637</v>
      </c>
      <c r="L287" s="8">
        <f>Transport_1_hub!BC222</f>
        <v>0.35287179351140108</v>
      </c>
      <c r="M287" s="8">
        <f>Transport_1_hub!BD222</f>
        <v>0.30088426108529159</v>
      </c>
      <c r="N287" s="8">
        <f>Transport_1_hub!BE222</f>
        <v>1.2671132721235241</v>
      </c>
      <c r="O287" s="8">
        <f>Transport_1_hub!BF222</f>
        <v>7.1310214966146881E-2</v>
      </c>
      <c r="P287" s="8">
        <f>Transport_1_hub!BG222</f>
        <v>3.4835285941985145E-5</v>
      </c>
      <c r="Q287" s="8">
        <f>Transport_1_hub!BH222</f>
        <v>0.10923134647755597</v>
      </c>
      <c r="R287" s="8">
        <f>Transport_1_hub!BI222</f>
        <v>0.31686257368626014</v>
      </c>
      <c r="S287" s="8">
        <f>Transport_1_hub!BJ222</f>
        <v>9.3097236478189137E-3</v>
      </c>
      <c r="T287" s="8">
        <f>Transport_1_hub!BK222</f>
        <v>5.0620479078189139E-3</v>
      </c>
      <c r="U287" s="8">
        <f>Transport_1_hub!BL222</f>
        <v>0.71270395352721017</v>
      </c>
      <c r="V287" s="9">
        <f>Transport_1_hub!BM222</f>
        <v>0.2833971510681772</v>
      </c>
      <c r="X287" s="22"/>
      <c r="Y287" s="22"/>
      <c r="AG287" s="42"/>
      <c r="AL287" s="42"/>
    </row>
    <row r="288" spans="2:38" x14ac:dyDescent="0.25">
      <c r="B288" s="40">
        <f>Transport_1_hub!W223+Transport_1_hub!L223</f>
        <v>1400.0490754672544</v>
      </c>
      <c r="C288" s="8">
        <f>Transport_1_hub!AT223</f>
        <v>288.30515635450826</v>
      </c>
      <c r="D288" s="8">
        <f>Transport_1_hub!AU223</f>
        <v>2916.5141511527677</v>
      </c>
      <c r="E288" s="8">
        <f>Transport_1_hub!AV223</f>
        <v>1.3006712322707814</v>
      </c>
      <c r="F288" s="8">
        <f>Transport_1_hub!AW223</f>
        <v>288.28151819450829</v>
      </c>
      <c r="G288" s="8">
        <f>Transport_1_hub!AX223</f>
        <v>68.243756411611159</v>
      </c>
      <c r="H288" s="8">
        <f>Transport_1_hub!AY223</f>
        <v>0.41099784024128905</v>
      </c>
      <c r="I288" s="8">
        <f>Transport_1_hub!AZ223</f>
        <v>6.7395894196402972E-3</v>
      </c>
      <c r="J288" s="8">
        <f>Transport_1_hub!BA223</f>
        <v>10.002894682296338</v>
      </c>
      <c r="K288" s="8">
        <f>Transport_1_hub!BB223</f>
        <v>14.284496209150637</v>
      </c>
      <c r="L288" s="8">
        <f>Transport_1_hub!BC223</f>
        <v>0.35287179351140108</v>
      </c>
      <c r="M288" s="8">
        <f>Transport_1_hub!BD223</f>
        <v>0.30088426108529159</v>
      </c>
      <c r="N288" s="8">
        <f>Transport_1_hub!BE223</f>
        <v>1.2671132721235241</v>
      </c>
      <c r="O288" s="8">
        <f>Transport_1_hub!BF223</f>
        <v>7.1310214966146881E-2</v>
      </c>
      <c r="P288" s="8">
        <f>Transport_1_hub!BG223</f>
        <v>3.4835285941985145E-5</v>
      </c>
      <c r="Q288" s="8">
        <f>Transport_1_hub!BH223</f>
        <v>0.10923134647755597</v>
      </c>
      <c r="R288" s="8">
        <f>Transport_1_hub!BI223</f>
        <v>0.31686257368626014</v>
      </c>
      <c r="S288" s="8">
        <f>Transport_1_hub!BJ223</f>
        <v>9.3097236478189137E-3</v>
      </c>
      <c r="T288" s="8">
        <f>Transport_1_hub!BK223</f>
        <v>5.0620479078189139E-3</v>
      </c>
      <c r="U288" s="8">
        <f>Transport_1_hub!BL223</f>
        <v>0.71270395352721017</v>
      </c>
      <c r="V288" s="9">
        <f>Transport_1_hub!BM223</f>
        <v>0.2833971510681772</v>
      </c>
      <c r="X288" s="22"/>
      <c r="Y288" s="22"/>
      <c r="AG288" s="42"/>
      <c r="AL288" s="42"/>
    </row>
    <row r="289" spans="2:38" x14ac:dyDescent="0.25">
      <c r="B289" s="40">
        <f>Transport_1_hub!W224+Transport_1_hub!L224</f>
        <v>1400.0490754672544</v>
      </c>
      <c r="C289" s="8">
        <f>Transport_1_hub!AT224</f>
        <v>288.30515635450826</v>
      </c>
      <c r="D289" s="8">
        <f>Transport_1_hub!AU224</f>
        <v>2916.5141511527677</v>
      </c>
      <c r="E289" s="8">
        <f>Transport_1_hub!AV224</f>
        <v>1.3006712322707814</v>
      </c>
      <c r="F289" s="8">
        <f>Transport_1_hub!AW224</f>
        <v>288.28151819450829</v>
      </c>
      <c r="G289" s="8">
        <f>Transport_1_hub!AX224</f>
        <v>68.243756411611159</v>
      </c>
      <c r="H289" s="8">
        <f>Transport_1_hub!AY224</f>
        <v>0.41099784024128905</v>
      </c>
      <c r="I289" s="8">
        <f>Transport_1_hub!AZ224</f>
        <v>6.7395894196402972E-3</v>
      </c>
      <c r="J289" s="8">
        <f>Transport_1_hub!BA224</f>
        <v>10.002894682296338</v>
      </c>
      <c r="K289" s="8">
        <f>Transport_1_hub!BB224</f>
        <v>14.284496209150637</v>
      </c>
      <c r="L289" s="8">
        <f>Transport_1_hub!BC224</f>
        <v>0.35287179351140108</v>
      </c>
      <c r="M289" s="8">
        <f>Transport_1_hub!BD224</f>
        <v>0.30088426108529159</v>
      </c>
      <c r="N289" s="8">
        <f>Transport_1_hub!BE224</f>
        <v>1.2671132721235241</v>
      </c>
      <c r="O289" s="8">
        <f>Transport_1_hub!BF224</f>
        <v>7.1310214966146881E-2</v>
      </c>
      <c r="P289" s="8">
        <f>Transport_1_hub!BG224</f>
        <v>3.4835285941985145E-5</v>
      </c>
      <c r="Q289" s="8">
        <f>Transport_1_hub!BH224</f>
        <v>0.10923134647755597</v>
      </c>
      <c r="R289" s="8">
        <f>Transport_1_hub!BI224</f>
        <v>0.31686257368626014</v>
      </c>
      <c r="S289" s="8">
        <f>Transport_1_hub!BJ224</f>
        <v>9.3097236478189137E-3</v>
      </c>
      <c r="T289" s="8">
        <f>Transport_1_hub!BK224</f>
        <v>5.0620479078189139E-3</v>
      </c>
      <c r="U289" s="8">
        <f>Transport_1_hub!BL224</f>
        <v>0.71270395352721017</v>
      </c>
      <c r="V289" s="9">
        <f>Transport_1_hub!BM224</f>
        <v>0.2833971510681772</v>
      </c>
      <c r="X289" s="22"/>
      <c r="Y289" s="22"/>
      <c r="AG289" s="42"/>
      <c r="AL289" s="42"/>
    </row>
    <row r="290" spans="2:38" x14ac:dyDescent="0.25">
      <c r="B290" s="40">
        <f>Transport_1_hub!W225+Transport_1_hub!L225</f>
        <v>1400.0490754672544</v>
      </c>
      <c r="C290" s="8">
        <f>Transport_1_hub!AT225</f>
        <v>288.30515635450826</v>
      </c>
      <c r="D290" s="8">
        <f>Transport_1_hub!AU225</f>
        <v>2916.5141511527677</v>
      </c>
      <c r="E290" s="8">
        <f>Transport_1_hub!AV225</f>
        <v>1.3006712322707814</v>
      </c>
      <c r="F290" s="8">
        <f>Transport_1_hub!AW225</f>
        <v>288.28151819450829</v>
      </c>
      <c r="G290" s="8">
        <f>Transport_1_hub!AX225</f>
        <v>68.243756411611159</v>
      </c>
      <c r="H290" s="8">
        <f>Transport_1_hub!AY225</f>
        <v>0.41099784024128905</v>
      </c>
      <c r="I290" s="8">
        <f>Transport_1_hub!AZ225</f>
        <v>6.7395894196402972E-3</v>
      </c>
      <c r="J290" s="8">
        <f>Transport_1_hub!BA225</f>
        <v>10.002894682296338</v>
      </c>
      <c r="K290" s="8">
        <f>Transport_1_hub!BB225</f>
        <v>14.284496209150637</v>
      </c>
      <c r="L290" s="8">
        <f>Transport_1_hub!BC225</f>
        <v>0.35287179351140108</v>
      </c>
      <c r="M290" s="8">
        <f>Transport_1_hub!BD225</f>
        <v>0.30088426108529159</v>
      </c>
      <c r="N290" s="8">
        <f>Transport_1_hub!BE225</f>
        <v>1.2671132721235241</v>
      </c>
      <c r="O290" s="8">
        <f>Transport_1_hub!BF225</f>
        <v>7.1310214966146881E-2</v>
      </c>
      <c r="P290" s="8">
        <f>Transport_1_hub!BG225</f>
        <v>3.4835285941985145E-5</v>
      </c>
      <c r="Q290" s="8">
        <f>Transport_1_hub!BH225</f>
        <v>0.10923134647755597</v>
      </c>
      <c r="R290" s="8">
        <f>Transport_1_hub!BI225</f>
        <v>0.31686257368626014</v>
      </c>
      <c r="S290" s="8">
        <f>Transport_1_hub!BJ225</f>
        <v>9.3097236478189137E-3</v>
      </c>
      <c r="T290" s="8">
        <f>Transport_1_hub!BK225</f>
        <v>5.0620479078189139E-3</v>
      </c>
      <c r="U290" s="8">
        <f>Transport_1_hub!BL225</f>
        <v>0.71270395352721017</v>
      </c>
      <c r="V290" s="9">
        <f>Transport_1_hub!BM225</f>
        <v>0.2833971510681772</v>
      </c>
      <c r="X290" s="22"/>
      <c r="Y290" s="22"/>
      <c r="AG290" s="42"/>
      <c r="AL290" s="42"/>
    </row>
    <row r="291" spans="2:38" x14ac:dyDescent="0.25">
      <c r="B291" s="40">
        <f>Transport_1_hub!W226+Transport_1_hub!L226</f>
        <v>1400.0490754672544</v>
      </c>
      <c r="C291" s="8">
        <f>Transport_1_hub!AT226</f>
        <v>288.30515635450826</v>
      </c>
      <c r="D291" s="8">
        <f>Transport_1_hub!AU226</f>
        <v>2916.5141511527677</v>
      </c>
      <c r="E291" s="8">
        <f>Transport_1_hub!AV226</f>
        <v>1.3006712322707814</v>
      </c>
      <c r="F291" s="8">
        <f>Transport_1_hub!AW226</f>
        <v>288.28151819450829</v>
      </c>
      <c r="G291" s="8">
        <f>Transport_1_hub!AX226</f>
        <v>68.243756411611159</v>
      </c>
      <c r="H291" s="8">
        <f>Transport_1_hub!AY226</f>
        <v>0.41099784024128905</v>
      </c>
      <c r="I291" s="8">
        <f>Transport_1_hub!AZ226</f>
        <v>6.7395894196402972E-3</v>
      </c>
      <c r="J291" s="8">
        <f>Transport_1_hub!BA226</f>
        <v>10.002894682296338</v>
      </c>
      <c r="K291" s="8">
        <f>Transport_1_hub!BB226</f>
        <v>14.284496209150637</v>
      </c>
      <c r="L291" s="8">
        <f>Transport_1_hub!BC226</f>
        <v>0.35287179351140108</v>
      </c>
      <c r="M291" s="8">
        <f>Transport_1_hub!BD226</f>
        <v>0.30088426108529159</v>
      </c>
      <c r="N291" s="8">
        <f>Transport_1_hub!BE226</f>
        <v>1.2671132721235241</v>
      </c>
      <c r="O291" s="8">
        <f>Transport_1_hub!BF226</f>
        <v>7.1310214966146881E-2</v>
      </c>
      <c r="P291" s="8">
        <f>Transport_1_hub!BG226</f>
        <v>3.4835285941985145E-5</v>
      </c>
      <c r="Q291" s="8">
        <f>Transport_1_hub!BH226</f>
        <v>0.10923134647755597</v>
      </c>
      <c r="R291" s="8">
        <f>Transport_1_hub!BI226</f>
        <v>0.31686257368626014</v>
      </c>
      <c r="S291" s="8">
        <f>Transport_1_hub!BJ226</f>
        <v>9.3097236478189137E-3</v>
      </c>
      <c r="T291" s="8">
        <f>Transport_1_hub!BK226</f>
        <v>5.0620479078189139E-3</v>
      </c>
      <c r="U291" s="8">
        <f>Transport_1_hub!BL226</f>
        <v>0.71270395352721017</v>
      </c>
      <c r="V291" s="9">
        <f>Transport_1_hub!BM226</f>
        <v>0.2833971510681772</v>
      </c>
      <c r="X291" s="22"/>
      <c r="Y291" s="22"/>
      <c r="AG291" s="42"/>
      <c r="AL291" s="42"/>
    </row>
    <row r="292" spans="2:38" x14ac:dyDescent="0.25">
      <c r="B292" s="40">
        <f>Transport_1_hub!W227+Transport_1_hub!L227</f>
        <v>1400.0490754672544</v>
      </c>
      <c r="C292" s="8">
        <f>Transport_1_hub!AT227</f>
        <v>288.30515635450826</v>
      </c>
      <c r="D292" s="8">
        <f>Transport_1_hub!AU227</f>
        <v>2916.5141511527677</v>
      </c>
      <c r="E292" s="8">
        <f>Transport_1_hub!AV227</f>
        <v>1.3006712322707814</v>
      </c>
      <c r="F292" s="8">
        <f>Transport_1_hub!AW227</f>
        <v>288.28151819450829</v>
      </c>
      <c r="G292" s="8">
        <f>Transport_1_hub!AX227</f>
        <v>68.243756411611159</v>
      </c>
      <c r="H292" s="8">
        <f>Transport_1_hub!AY227</f>
        <v>0.41099784024128905</v>
      </c>
      <c r="I292" s="8">
        <f>Transport_1_hub!AZ227</f>
        <v>6.7395894196402972E-3</v>
      </c>
      <c r="J292" s="8">
        <f>Transport_1_hub!BA227</f>
        <v>10.002894682296338</v>
      </c>
      <c r="K292" s="8">
        <f>Transport_1_hub!BB227</f>
        <v>14.284496209150637</v>
      </c>
      <c r="L292" s="8">
        <f>Transport_1_hub!BC227</f>
        <v>0.35287179351140108</v>
      </c>
      <c r="M292" s="8">
        <f>Transport_1_hub!BD227</f>
        <v>0.30088426108529159</v>
      </c>
      <c r="N292" s="8">
        <f>Transport_1_hub!BE227</f>
        <v>1.2671132721235241</v>
      </c>
      <c r="O292" s="8">
        <f>Transport_1_hub!BF227</f>
        <v>7.1310214966146881E-2</v>
      </c>
      <c r="P292" s="8">
        <f>Transport_1_hub!BG227</f>
        <v>3.4835285941985145E-5</v>
      </c>
      <c r="Q292" s="8">
        <f>Transport_1_hub!BH227</f>
        <v>0.10923134647755597</v>
      </c>
      <c r="R292" s="8">
        <f>Transport_1_hub!BI227</f>
        <v>0.31686257368626014</v>
      </c>
      <c r="S292" s="8">
        <f>Transport_1_hub!BJ227</f>
        <v>9.3097236478189137E-3</v>
      </c>
      <c r="T292" s="8">
        <f>Transport_1_hub!BK227</f>
        <v>5.0620479078189139E-3</v>
      </c>
      <c r="U292" s="8">
        <f>Transport_1_hub!BL227</f>
        <v>0.71270395352721017</v>
      </c>
      <c r="V292" s="9">
        <f>Transport_1_hub!BM227</f>
        <v>0.2833971510681772</v>
      </c>
      <c r="X292" s="22"/>
      <c r="Y292" s="22"/>
      <c r="AG292" s="42"/>
      <c r="AL292" s="42"/>
    </row>
    <row r="293" spans="2:38" x14ac:dyDescent="0.25">
      <c r="B293" s="40">
        <f>Transport_1_hub!W228+Transport_1_hub!L228</f>
        <v>1400.0520754672546</v>
      </c>
      <c r="C293" s="8">
        <f>Transport_1_hub!AT228</f>
        <v>288.30617575450827</v>
      </c>
      <c r="D293" s="8">
        <f>Transport_1_hub!AU228</f>
        <v>2916.5290193040664</v>
      </c>
      <c r="E293" s="8">
        <f>Transport_1_hub!AV228</f>
        <v>1.3006870290707815</v>
      </c>
      <c r="F293" s="8">
        <f>Transport_1_hub!AW228</f>
        <v>288.28252433450825</v>
      </c>
      <c r="G293" s="8">
        <f>Transport_1_hub!AX228</f>
        <v>68.244086111611153</v>
      </c>
      <c r="H293" s="8">
        <f>Transport_1_hub!AY228</f>
        <v>0.41105158224128907</v>
      </c>
      <c r="I293" s="8">
        <f>Transport_1_hub!AZ228</f>
        <v>6.7397327026402967E-3</v>
      </c>
      <c r="J293" s="8">
        <f>Transport_1_hub!BA228</f>
        <v>10.003125595296337</v>
      </c>
      <c r="K293" s="8">
        <f>Transport_1_hub!BB228</f>
        <v>14.284564549150637</v>
      </c>
      <c r="L293" s="8">
        <f>Transport_1_hub!BC228</f>
        <v>0.35291853951140106</v>
      </c>
      <c r="M293" s="8">
        <f>Transport_1_hub!BD228</f>
        <v>0.30088438411229163</v>
      </c>
      <c r="N293" s="8">
        <f>Transport_1_hub!BE228</f>
        <v>1.267183340123524</v>
      </c>
      <c r="O293" s="8">
        <f>Transport_1_hub!BF228</f>
        <v>7.1310149497146882E-2</v>
      </c>
      <c r="P293" s="8">
        <f>Transport_1_hub!BG228</f>
        <v>3.4835432593985144E-5</v>
      </c>
      <c r="Q293" s="8">
        <f>Transport_1_hub!BH228</f>
        <v>0.10923257959755597</v>
      </c>
      <c r="R293" s="8">
        <f>Transport_1_hub!BI228</f>
        <v>0.31686523207626016</v>
      </c>
      <c r="S293" s="8">
        <f>Transport_1_hub!BJ228</f>
        <v>9.3122599078189136E-3</v>
      </c>
      <c r="T293" s="8">
        <f>Transport_1_hub!BK228</f>
        <v>5.0622014028189133E-3</v>
      </c>
      <c r="U293" s="8">
        <f>Transport_1_hub!BL228</f>
        <v>0.71273006432721009</v>
      </c>
      <c r="V293" s="9">
        <f>Transport_1_hub!BM228</f>
        <v>0.28339994571817723</v>
      </c>
      <c r="X293" s="22"/>
      <c r="Y293" s="22"/>
      <c r="AG293" s="42"/>
      <c r="AL293" s="42"/>
    </row>
    <row r="294" spans="2:38" x14ac:dyDescent="0.25">
      <c r="B294" s="40">
        <f>Transport_1_hub!W229+Transport_1_hub!L229</f>
        <v>1401.2300754672544</v>
      </c>
      <c r="C294" s="8">
        <f>Transport_1_hub!AT229</f>
        <v>288.70646015450825</v>
      </c>
      <c r="D294" s="8">
        <f>Transport_1_hub!AU229</f>
        <v>2922.3672467141405</v>
      </c>
      <c r="E294" s="8">
        <f>Transport_1_hub!AV229</f>
        <v>1.3068899058707815</v>
      </c>
      <c r="F294" s="8">
        <f>Transport_1_hub!AW229</f>
        <v>288.67760197450826</v>
      </c>
      <c r="G294" s="8">
        <f>Transport_1_hub!AX229</f>
        <v>68.37354831161116</v>
      </c>
      <c r="H294" s="8">
        <f>Transport_1_hub!AY229</f>
        <v>0.43215427424128905</v>
      </c>
      <c r="I294" s="8">
        <f>Transport_1_hub!AZ229</f>
        <v>6.7959951606402971E-3</v>
      </c>
      <c r="J294" s="8">
        <f>Transport_1_hub!BA229</f>
        <v>10.093797433296338</v>
      </c>
      <c r="K294" s="8">
        <f>Transport_1_hub!BB229</f>
        <v>14.311399389150637</v>
      </c>
      <c r="L294" s="8">
        <f>Transport_1_hub!BC229</f>
        <v>0.37127413551140109</v>
      </c>
      <c r="M294" s="8">
        <f>Transport_1_hub!BD229</f>
        <v>0.30093269271429163</v>
      </c>
      <c r="N294" s="8">
        <f>Transport_1_hub!BE229</f>
        <v>1.2946967081235239</v>
      </c>
      <c r="O294" s="8">
        <f>Transport_1_hub!BF229</f>
        <v>7.1284442003146889E-2</v>
      </c>
      <c r="P294" s="8">
        <f>Transport_1_hub!BG229</f>
        <v>3.4893017945985145E-5</v>
      </c>
      <c r="Q294" s="8">
        <f>Transport_1_hub!BH229</f>
        <v>0.10971678471755597</v>
      </c>
      <c r="R294" s="8">
        <f>Transport_1_hub!BI229</f>
        <v>0.31790909321626015</v>
      </c>
      <c r="S294" s="8">
        <f>Transport_1_hub!BJ229</f>
        <v>1.0308164667818913E-2</v>
      </c>
      <c r="T294" s="8">
        <f>Transport_1_hub!BK229</f>
        <v>5.1224737728189137E-3</v>
      </c>
      <c r="U294" s="8">
        <f>Transport_1_hub!BL229</f>
        <v>0.72298290512721008</v>
      </c>
      <c r="V294" s="9">
        <f>Transport_1_hub!BM229</f>
        <v>0.28449731161817721</v>
      </c>
      <c r="X294" s="22"/>
      <c r="Y294" s="22"/>
      <c r="AG294" s="42"/>
      <c r="AL294" s="42"/>
    </row>
    <row r="295" spans="2:38" x14ac:dyDescent="0.25">
      <c r="B295" s="40">
        <f>Transport_1_hub!W230+Transport_1_hub!L230</f>
        <v>1544.1620991616144</v>
      </c>
      <c r="C295" s="8">
        <f>Transport_1_hub!AT230</f>
        <v>329.86354931701794</v>
      </c>
      <c r="D295" s="8">
        <f>Transport_1_hub!AU230</f>
        <v>3498.9621707964616</v>
      </c>
      <c r="E295" s="8">
        <f>Transport_1_hub!AV230</f>
        <v>1.8874634218995636</v>
      </c>
      <c r="F295" s="8">
        <f>Transport_1_hub!AW230</f>
        <v>329.3567211770179</v>
      </c>
      <c r="G295" s="8">
        <f>Transport_1_hub!AX230</f>
        <v>81.217708388292294</v>
      </c>
      <c r="H295" s="8">
        <f>Transport_1_hub!AY230</f>
        <v>2.3727136864616378</v>
      </c>
      <c r="I295" s="8">
        <f>Transport_1_hub!AZ230</f>
        <v>1.2011081519540267E-2</v>
      </c>
      <c r="J295" s="8">
        <f>Transport_1_hub!BA230</f>
        <v>18.492042185773414</v>
      </c>
      <c r="K295" s="8">
        <f>Transport_1_hub!BB230</f>
        <v>16.95945226427034</v>
      </c>
      <c r="L295" s="8">
        <f>Transport_1_hub!BC230</f>
        <v>2.0588946946266637</v>
      </c>
      <c r="M295" s="8">
        <f>Transport_1_hub!BD230</f>
        <v>0.31039237804117237</v>
      </c>
      <c r="N295" s="8">
        <f>Transport_1_hub!BE230</f>
        <v>3.8337572542094258</v>
      </c>
      <c r="O295" s="8">
        <f>Transport_1_hub!BF230</f>
        <v>6.9933140662539944E-2</v>
      </c>
      <c r="P295" s="8">
        <f>Transport_1_hub!BG230</f>
        <v>4.0669539009452814E-5</v>
      </c>
      <c r="Q295" s="8">
        <f>Transport_1_hub!BH230</f>
        <v>0.15523232899117095</v>
      </c>
      <c r="R295" s="8">
        <f>Transport_1_hub!BI230</f>
        <v>0.41617721250700768</v>
      </c>
      <c r="S295" s="8">
        <f>Transport_1_hub!BJ230</f>
        <v>0.10177377830494871</v>
      </c>
      <c r="T295" s="8">
        <f>Transport_1_hub!BK230</f>
        <v>1.0698940219948711E-2</v>
      </c>
      <c r="U295" s="8">
        <f>Transport_1_hub!BL230</f>
        <v>1.669104788080471</v>
      </c>
      <c r="V295" s="9">
        <f>Transport_1_hub!BM230</f>
        <v>0.38801817990628873</v>
      </c>
      <c r="X295" s="22"/>
      <c r="Y295" s="22"/>
      <c r="AG295" s="42"/>
      <c r="AL295" s="42"/>
    </row>
    <row r="296" spans="2:38" x14ac:dyDescent="0.25">
      <c r="B296" s="40">
        <f>Transport_1_hub!W231+Transport_1_hub!L231</f>
        <v>1472.5790991616145</v>
      </c>
      <c r="C296" s="8">
        <f>Transport_1_hub!AT231</f>
        <v>305.53964591701794</v>
      </c>
      <c r="D296" s="8">
        <f>Transport_1_hub!AU231</f>
        <v>3144.1932126510228</v>
      </c>
      <c r="E296" s="8">
        <f>Transport_1_hub!AV231</f>
        <v>1.5105359770995637</v>
      </c>
      <c r="F296" s="8">
        <f>Transport_1_hub!AW231</f>
        <v>305.34921463701795</v>
      </c>
      <c r="G296" s="8">
        <f>Transport_1_hub!AX231</f>
        <v>73.350736688292287</v>
      </c>
      <c r="H296" s="8">
        <f>Transport_1_hub!AY231</f>
        <v>1.0903758244616382</v>
      </c>
      <c r="I296" s="8">
        <f>Transport_1_hub!AZ231</f>
        <v>8.5922058565402679E-3</v>
      </c>
      <c r="J296" s="8">
        <f>Transport_1_hub!BA231</f>
        <v>12.982227092773416</v>
      </c>
      <c r="K296" s="8">
        <f>Transport_1_hub!BB231</f>
        <v>15.32879152427034</v>
      </c>
      <c r="L296" s="8">
        <f>Transport_1_hub!BC231</f>
        <v>0.94348838862666395</v>
      </c>
      <c r="M296" s="8">
        <f>Transport_1_hub!BD231</f>
        <v>0.30745683079417235</v>
      </c>
      <c r="N296" s="8">
        <f>Transport_1_hub!BE231</f>
        <v>2.1618647062094256</v>
      </c>
      <c r="O296" s="8">
        <f>Transport_1_hub!BF231</f>
        <v>7.1495296471539946E-2</v>
      </c>
      <c r="P296" s="8">
        <f>Transport_1_hub!BG231</f>
        <v>3.7170275637452815E-5</v>
      </c>
      <c r="Q296" s="8">
        <f>Transport_1_hub!BH231</f>
        <v>0.12580885267117098</v>
      </c>
      <c r="R296" s="8">
        <f>Transport_1_hub!BI231</f>
        <v>0.35274536871700768</v>
      </c>
      <c r="S296" s="8">
        <f>Transport_1_hub!BJ231</f>
        <v>4.1256078444948711E-2</v>
      </c>
      <c r="T296" s="8">
        <f>Transport_1_hub!BK231</f>
        <v>7.0363960249487109E-3</v>
      </c>
      <c r="U296" s="8">
        <f>Transport_1_hub!BL231</f>
        <v>1.0460749892804708</v>
      </c>
      <c r="V296" s="9">
        <f>Transport_1_hub!BM231</f>
        <v>0.32133503625628873</v>
      </c>
      <c r="X296" s="22"/>
      <c r="Y296" s="22"/>
      <c r="AG296" s="42"/>
      <c r="AL296" s="42"/>
    </row>
    <row r="297" spans="2:38" x14ac:dyDescent="0.25">
      <c r="B297" s="40">
        <f>Transport_1_hub!W232+Transport_1_hub!L232</f>
        <v>1472.5790991616145</v>
      </c>
      <c r="C297" s="8">
        <f>Transport_1_hub!AT232</f>
        <v>305.53964591701794</v>
      </c>
      <c r="D297" s="8">
        <f>Transport_1_hub!AU232</f>
        <v>3144.1932126510228</v>
      </c>
      <c r="E297" s="8">
        <f>Transport_1_hub!AV232</f>
        <v>1.5105359770995637</v>
      </c>
      <c r="F297" s="8">
        <f>Transport_1_hub!AW232</f>
        <v>305.34921463701795</v>
      </c>
      <c r="G297" s="8">
        <f>Transport_1_hub!AX232</f>
        <v>73.350736688292287</v>
      </c>
      <c r="H297" s="8">
        <f>Transport_1_hub!AY232</f>
        <v>1.0903758244616382</v>
      </c>
      <c r="I297" s="8">
        <f>Transport_1_hub!AZ232</f>
        <v>8.5922058565402679E-3</v>
      </c>
      <c r="J297" s="8">
        <f>Transport_1_hub!BA232</f>
        <v>12.982227092773416</v>
      </c>
      <c r="K297" s="8">
        <f>Transport_1_hub!BB232</f>
        <v>15.32879152427034</v>
      </c>
      <c r="L297" s="8">
        <f>Transport_1_hub!BC232</f>
        <v>0.94348838862666395</v>
      </c>
      <c r="M297" s="8">
        <f>Transport_1_hub!BD232</f>
        <v>0.30745683079417235</v>
      </c>
      <c r="N297" s="8">
        <f>Transport_1_hub!BE232</f>
        <v>2.1618647062094256</v>
      </c>
      <c r="O297" s="8">
        <f>Transport_1_hub!BF232</f>
        <v>7.1495296471539946E-2</v>
      </c>
      <c r="P297" s="8">
        <f>Transport_1_hub!BG232</f>
        <v>3.7170275637452815E-5</v>
      </c>
      <c r="Q297" s="8">
        <f>Transport_1_hub!BH232</f>
        <v>0.12580885267117098</v>
      </c>
      <c r="R297" s="8">
        <f>Transport_1_hub!BI232</f>
        <v>0.35274536871700768</v>
      </c>
      <c r="S297" s="8">
        <f>Transport_1_hub!BJ232</f>
        <v>4.1256078444948711E-2</v>
      </c>
      <c r="T297" s="8">
        <f>Transport_1_hub!BK232</f>
        <v>7.0363960249487109E-3</v>
      </c>
      <c r="U297" s="8">
        <f>Transport_1_hub!BL232</f>
        <v>1.0460749892804708</v>
      </c>
      <c r="V297" s="9">
        <f>Transport_1_hub!BM232</f>
        <v>0.32133503625628873</v>
      </c>
      <c r="X297" s="22"/>
      <c r="Y297" s="22"/>
      <c r="AG297" s="42"/>
      <c r="AL297" s="42"/>
    </row>
    <row r="298" spans="2:38" x14ac:dyDescent="0.25">
      <c r="B298" s="40">
        <f>Transport_1_hub!W233+Transport_1_hub!L233</f>
        <v>1542.9020991616144</v>
      </c>
      <c r="C298" s="8">
        <f>Transport_1_hub!AT233</f>
        <v>329.43540131701792</v>
      </c>
      <c r="D298" s="8">
        <f>Transport_1_hub!AU233</f>
        <v>3492.7175472508816</v>
      </c>
      <c r="E298" s="8">
        <f>Transport_1_hub!AV233</f>
        <v>1.8808287658995635</v>
      </c>
      <c r="F298" s="8">
        <f>Transport_1_hub!AW233</f>
        <v>328.93414237701791</v>
      </c>
      <c r="G298" s="8">
        <f>Transport_1_hub!AX233</f>
        <v>81.079234388292292</v>
      </c>
      <c r="H298" s="8">
        <f>Transport_1_hub!AY233</f>
        <v>2.3501420464616376</v>
      </c>
      <c r="I298" s="8">
        <f>Transport_1_hub!AZ233</f>
        <v>1.1950902659540266E-2</v>
      </c>
      <c r="J298" s="8">
        <f>Transport_1_hub!BA233</f>
        <v>18.395058725773417</v>
      </c>
      <c r="K298" s="8">
        <f>Transport_1_hub!BB233</f>
        <v>16.930749464270338</v>
      </c>
      <c r="L298" s="8">
        <f>Transport_1_hub!BC233</f>
        <v>2.0392613746266637</v>
      </c>
      <c r="M298" s="8">
        <f>Transport_1_hub!BD233</f>
        <v>0.31034070670117236</v>
      </c>
      <c r="N298" s="8">
        <f>Transport_1_hub!BE233</f>
        <v>3.8043286942094254</v>
      </c>
      <c r="O298" s="8">
        <f>Transport_1_hub!BF233</f>
        <v>6.9960637642539944E-2</v>
      </c>
      <c r="P298" s="8">
        <f>Transport_1_hub!BG233</f>
        <v>4.0607945169452815E-5</v>
      </c>
      <c r="Q298" s="8">
        <f>Transport_1_hub!BH233</f>
        <v>0.15471441859117097</v>
      </c>
      <c r="R298" s="8">
        <f>Transport_1_hub!BI233</f>
        <v>0.41506068870700769</v>
      </c>
      <c r="S298" s="8">
        <f>Transport_1_hub!BJ233</f>
        <v>0.10070854910494871</v>
      </c>
      <c r="T298" s="8">
        <f>Transport_1_hub!BK233</f>
        <v>1.0634472319948711E-2</v>
      </c>
      <c r="U298" s="8">
        <f>Transport_1_hub!BL233</f>
        <v>1.6581382520804708</v>
      </c>
      <c r="V298" s="9">
        <f>Transport_1_hub!BM233</f>
        <v>0.38684442690628873</v>
      </c>
      <c r="X298" s="22"/>
      <c r="Y298" s="22"/>
      <c r="AG298" s="42"/>
      <c r="AL298" s="42"/>
    </row>
    <row r="299" spans="2:38" x14ac:dyDescent="0.25">
      <c r="B299" s="40">
        <f>Transport_1_hub!W234+Transport_1_hub!L234</f>
        <v>1542.9020991616144</v>
      </c>
      <c r="C299" s="8">
        <f>Transport_1_hub!AT234</f>
        <v>329.43540131701792</v>
      </c>
      <c r="D299" s="8">
        <f>Transport_1_hub!AU234</f>
        <v>3492.7175472508816</v>
      </c>
      <c r="E299" s="8">
        <f>Transport_1_hub!AV234</f>
        <v>1.8808287658995635</v>
      </c>
      <c r="F299" s="8">
        <f>Transport_1_hub!AW234</f>
        <v>328.93414237701791</v>
      </c>
      <c r="G299" s="8">
        <f>Transport_1_hub!AX234</f>
        <v>81.079234388292292</v>
      </c>
      <c r="H299" s="8">
        <f>Transport_1_hub!AY234</f>
        <v>2.3501420464616376</v>
      </c>
      <c r="I299" s="8">
        <f>Transport_1_hub!AZ234</f>
        <v>1.1950902659540266E-2</v>
      </c>
      <c r="J299" s="8">
        <f>Transport_1_hub!BA234</f>
        <v>18.395058725773417</v>
      </c>
      <c r="K299" s="8">
        <f>Transport_1_hub!BB234</f>
        <v>16.930749464270338</v>
      </c>
      <c r="L299" s="8">
        <f>Transport_1_hub!BC234</f>
        <v>2.0392613746266637</v>
      </c>
      <c r="M299" s="8">
        <f>Transport_1_hub!BD234</f>
        <v>0.31034070670117236</v>
      </c>
      <c r="N299" s="8">
        <f>Transport_1_hub!BE234</f>
        <v>3.8043286942094254</v>
      </c>
      <c r="O299" s="8">
        <f>Transport_1_hub!BF234</f>
        <v>6.9960637642539944E-2</v>
      </c>
      <c r="P299" s="8">
        <f>Transport_1_hub!BG234</f>
        <v>4.0607945169452815E-5</v>
      </c>
      <c r="Q299" s="8">
        <f>Transport_1_hub!BH234</f>
        <v>0.15471441859117097</v>
      </c>
      <c r="R299" s="8">
        <f>Transport_1_hub!BI234</f>
        <v>0.41506068870700769</v>
      </c>
      <c r="S299" s="8">
        <f>Transport_1_hub!BJ234</f>
        <v>0.10070854910494871</v>
      </c>
      <c r="T299" s="8">
        <f>Transport_1_hub!BK234</f>
        <v>1.0634472319948711E-2</v>
      </c>
      <c r="U299" s="8">
        <f>Transport_1_hub!BL234</f>
        <v>1.6581382520804708</v>
      </c>
      <c r="V299" s="9">
        <f>Transport_1_hub!BM234</f>
        <v>0.38684442690628873</v>
      </c>
      <c r="X299" s="22"/>
      <c r="Y299" s="22"/>
      <c r="AG299" s="42"/>
      <c r="AL299" s="42"/>
    </row>
    <row r="300" spans="2:38" x14ac:dyDescent="0.25">
      <c r="B300" s="40">
        <f>Transport_1_hub!W235+Transport_1_hub!L235</f>
        <v>1542.9020991616144</v>
      </c>
      <c r="C300" s="8">
        <f>Transport_1_hub!AT235</f>
        <v>329.43540131701792</v>
      </c>
      <c r="D300" s="8">
        <f>Transport_1_hub!AU235</f>
        <v>3492.7175472508816</v>
      </c>
      <c r="E300" s="8">
        <f>Transport_1_hub!AV235</f>
        <v>1.8808287658995635</v>
      </c>
      <c r="F300" s="8">
        <f>Transport_1_hub!AW235</f>
        <v>328.93414237701791</v>
      </c>
      <c r="G300" s="8">
        <f>Transport_1_hub!AX235</f>
        <v>81.079234388292292</v>
      </c>
      <c r="H300" s="8">
        <f>Transport_1_hub!AY235</f>
        <v>2.3501420464616376</v>
      </c>
      <c r="I300" s="8">
        <f>Transport_1_hub!AZ235</f>
        <v>1.1950902659540266E-2</v>
      </c>
      <c r="J300" s="8">
        <f>Transport_1_hub!BA235</f>
        <v>18.395058725773417</v>
      </c>
      <c r="K300" s="8">
        <f>Transport_1_hub!BB235</f>
        <v>16.930749464270338</v>
      </c>
      <c r="L300" s="8">
        <f>Transport_1_hub!BC235</f>
        <v>2.0392613746266637</v>
      </c>
      <c r="M300" s="8">
        <f>Transport_1_hub!BD235</f>
        <v>0.31034070670117236</v>
      </c>
      <c r="N300" s="8">
        <f>Transport_1_hub!BE235</f>
        <v>3.8043286942094254</v>
      </c>
      <c r="O300" s="8">
        <f>Transport_1_hub!BF235</f>
        <v>6.9960637642539944E-2</v>
      </c>
      <c r="P300" s="8">
        <f>Transport_1_hub!BG235</f>
        <v>4.0607945169452815E-5</v>
      </c>
      <c r="Q300" s="8">
        <f>Transport_1_hub!BH235</f>
        <v>0.15471441859117097</v>
      </c>
      <c r="R300" s="8">
        <f>Transport_1_hub!BI235</f>
        <v>0.41506068870700769</v>
      </c>
      <c r="S300" s="8">
        <f>Transport_1_hub!BJ235</f>
        <v>0.10070854910494871</v>
      </c>
      <c r="T300" s="8">
        <f>Transport_1_hub!BK235</f>
        <v>1.0634472319948711E-2</v>
      </c>
      <c r="U300" s="8">
        <f>Transport_1_hub!BL235</f>
        <v>1.6581382520804708</v>
      </c>
      <c r="V300" s="9">
        <f>Transport_1_hub!BM235</f>
        <v>0.38684442690628873</v>
      </c>
      <c r="X300" s="22"/>
      <c r="Y300" s="22"/>
      <c r="AG300" s="42"/>
      <c r="AL300" s="42"/>
    </row>
    <row r="301" spans="2:38" x14ac:dyDescent="0.25">
      <c r="B301" s="40">
        <f>Transport_1_hub!W236+Transport_1_hub!L236</f>
        <v>1487.7590991616144</v>
      </c>
      <c r="C301" s="8">
        <f>Transport_1_hub!AT236</f>
        <v>310.69780991701793</v>
      </c>
      <c r="D301" s="8">
        <f>Transport_1_hub!AU236</f>
        <v>3219.4260582239626</v>
      </c>
      <c r="E301" s="8">
        <f>Transport_1_hub!AV236</f>
        <v>1.5904677850995637</v>
      </c>
      <c r="F301" s="8">
        <f>Transport_1_hub!AW236</f>
        <v>310.44028303701793</v>
      </c>
      <c r="G301" s="8">
        <f>Transport_1_hub!AX236</f>
        <v>75.019018688292292</v>
      </c>
      <c r="H301" s="8">
        <f>Transport_1_hub!AY236</f>
        <v>1.3623103444616382</v>
      </c>
      <c r="I301" s="8">
        <f>Transport_1_hub!AZ236</f>
        <v>9.3172178365402668E-3</v>
      </c>
      <c r="J301" s="8">
        <f>Transport_1_hub!BA236</f>
        <v>14.150646872773416</v>
      </c>
      <c r="K301" s="8">
        <f>Transport_1_hub!BB236</f>
        <v>15.67459192427034</v>
      </c>
      <c r="L301" s="8">
        <f>Transport_1_hub!BC236</f>
        <v>1.1800231486266639</v>
      </c>
      <c r="M301" s="8">
        <f>Transport_1_hub!BD236</f>
        <v>0.30807934741417237</v>
      </c>
      <c r="N301" s="8">
        <f>Transport_1_hub!BE236</f>
        <v>2.5164087862094258</v>
      </c>
      <c r="O301" s="8">
        <f>Transport_1_hub!BF236</f>
        <v>7.1164023331539941E-2</v>
      </c>
      <c r="P301" s="8">
        <f>Transport_1_hub!BG236</f>
        <v>3.7912334757452815E-5</v>
      </c>
      <c r="Q301" s="8">
        <f>Transport_1_hub!BH236</f>
        <v>0.13204843987117096</v>
      </c>
      <c r="R301" s="8">
        <f>Transport_1_hub!BI236</f>
        <v>0.36619682211700766</v>
      </c>
      <c r="S301" s="8">
        <f>Transport_1_hub!BJ236</f>
        <v>5.4089554044948716E-2</v>
      </c>
      <c r="T301" s="8">
        <f>Transport_1_hub!BK236</f>
        <v>7.8130807249487105E-3</v>
      </c>
      <c r="U301" s="8">
        <f>Transport_1_hub!BL236</f>
        <v>1.1781956372804709</v>
      </c>
      <c r="V301" s="9">
        <f>Transport_1_hub!BM236</f>
        <v>0.33547596525628876</v>
      </c>
      <c r="X301" s="22"/>
      <c r="Y301" s="22"/>
      <c r="AG301" s="42"/>
      <c r="AL301" s="42"/>
    </row>
    <row r="302" spans="2:38" x14ac:dyDescent="0.25">
      <c r="B302" s="40">
        <f>Transport_1_hub!W237+Transport_1_hub!L237</f>
        <v>1488.1130991616144</v>
      </c>
      <c r="C302" s="8">
        <f>Transport_1_hub!AT237</f>
        <v>310.81809911701794</v>
      </c>
      <c r="D302" s="8">
        <f>Transport_1_hub!AU237</f>
        <v>3221.1805000772447</v>
      </c>
      <c r="E302" s="8">
        <f>Transport_1_hub!AV237</f>
        <v>1.5923318074995636</v>
      </c>
      <c r="F302" s="8">
        <f>Transport_1_hub!AW237</f>
        <v>310.55900755701794</v>
      </c>
      <c r="G302" s="8">
        <f>Transport_1_hub!AX237</f>
        <v>75.057923288292287</v>
      </c>
      <c r="H302" s="8">
        <f>Transport_1_hub!AY237</f>
        <v>1.3686519004616382</v>
      </c>
      <c r="I302" s="8">
        <f>Transport_1_hub!AZ237</f>
        <v>9.3341252305402661E-3</v>
      </c>
      <c r="J302" s="8">
        <f>Transport_1_hub!BA237</f>
        <v>14.177894606773416</v>
      </c>
      <c r="K302" s="8">
        <f>Transport_1_hub!BB237</f>
        <v>15.68265604427034</v>
      </c>
      <c r="L302" s="8">
        <f>Transport_1_hub!BC237</f>
        <v>1.1855391766266639</v>
      </c>
      <c r="M302" s="8">
        <f>Transport_1_hub!BD237</f>
        <v>0.30809386460017235</v>
      </c>
      <c r="N302" s="8">
        <f>Transport_1_hub!BE237</f>
        <v>2.5246768102094257</v>
      </c>
      <c r="O302" s="8">
        <f>Transport_1_hub!BF237</f>
        <v>7.1156297989539943E-2</v>
      </c>
      <c r="P302" s="8">
        <f>Transport_1_hub!BG237</f>
        <v>3.7929639693452813E-5</v>
      </c>
      <c r="Q302" s="8">
        <f>Transport_1_hub!BH237</f>
        <v>0.13219394803117096</v>
      </c>
      <c r="R302" s="8">
        <f>Transport_1_hub!BI237</f>
        <v>0.36651051213700769</v>
      </c>
      <c r="S302" s="8">
        <f>Transport_1_hub!BJ237</f>
        <v>5.438883272494871E-2</v>
      </c>
      <c r="T302" s="8">
        <f>Transport_1_hub!BK237</f>
        <v>7.8311931349487104E-3</v>
      </c>
      <c r="U302" s="8">
        <f>Transport_1_hub!BL237</f>
        <v>1.181276711680471</v>
      </c>
      <c r="V302" s="9">
        <f>Transport_1_hub!BM237</f>
        <v>0.33580573395628877</v>
      </c>
      <c r="X302" s="22"/>
      <c r="Y302" s="22"/>
      <c r="AG302" s="42"/>
      <c r="AL302" s="42"/>
    </row>
    <row r="303" spans="2:38" x14ac:dyDescent="0.25">
      <c r="B303" s="40">
        <f>Transport_1_hub!W238+Transport_1_hub!L238</f>
        <v>1488.1130991616144</v>
      </c>
      <c r="C303" s="8">
        <f>Transport_1_hub!AT238</f>
        <v>310.81809911701794</v>
      </c>
      <c r="D303" s="8">
        <f>Transport_1_hub!AU238</f>
        <v>3221.1805000772447</v>
      </c>
      <c r="E303" s="8">
        <f>Transport_1_hub!AV238</f>
        <v>1.5923318074995636</v>
      </c>
      <c r="F303" s="8">
        <f>Transport_1_hub!AW238</f>
        <v>310.55900755701794</v>
      </c>
      <c r="G303" s="8">
        <f>Transport_1_hub!AX238</f>
        <v>75.057923288292287</v>
      </c>
      <c r="H303" s="8">
        <f>Transport_1_hub!AY238</f>
        <v>1.3686519004616382</v>
      </c>
      <c r="I303" s="8">
        <f>Transport_1_hub!AZ238</f>
        <v>9.3341252305402661E-3</v>
      </c>
      <c r="J303" s="8">
        <f>Transport_1_hub!BA238</f>
        <v>14.177894606773416</v>
      </c>
      <c r="K303" s="8">
        <f>Transport_1_hub!BB238</f>
        <v>15.68265604427034</v>
      </c>
      <c r="L303" s="8">
        <f>Transport_1_hub!BC238</f>
        <v>1.1855391766266639</v>
      </c>
      <c r="M303" s="8">
        <f>Transport_1_hub!BD238</f>
        <v>0.30809386460017235</v>
      </c>
      <c r="N303" s="8">
        <f>Transport_1_hub!BE238</f>
        <v>2.5246768102094257</v>
      </c>
      <c r="O303" s="8">
        <f>Transport_1_hub!BF238</f>
        <v>7.1156297989539943E-2</v>
      </c>
      <c r="P303" s="8">
        <f>Transport_1_hub!BG238</f>
        <v>3.7929639693452813E-5</v>
      </c>
      <c r="Q303" s="8">
        <f>Transport_1_hub!BH238</f>
        <v>0.13219394803117096</v>
      </c>
      <c r="R303" s="8">
        <f>Transport_1_hub!BI238</f>
        <v>0.36651051213700769</v>
      </c>
      <c r="S303" s="8">
        <f>Transport_1_hub!BJ238</f>
        <v>5.438883272494871E-2</v>
      </c>
      <c r="T303" s="8">
        <f>Transport_1_hub!BK238</f>
        <v>7.8311931349487104E-3</v>
      </c>
      <c r="U303" s="8">
        <f>Transport_1_hub!BL238</f>
        <v>1.181276711680471</v>
      </c>
      <c r="V303" s="9">
        <f>Transport_1_hub!BM238</f>
        <v>0.33580573395628877</v>
      </c>
      <c r="X303" s="22"/>
      <c r="Y303" s="22"/>
      <c r="AG303" s="42"/>
      <c r="AL303" s="42"/>
    </row>
    <row r="304" spans="2:38" x14ac:dyDescent="0.25">
      <c r="B304" s="40">
        <f>Transport_1_hub!W239+Transport_1_hub!L239</f>
        <v>1488.4730991616145</v>
      </c>
      <c r="C304" s="8">
        <f>Transport_1_hub!AT239</f>
        <v>310.94042711701792</v>
      </c>
      <c r="D304" s="8">
        <f>Transport_1_hub!AU239</f>
        <v>3222.9646782331247</v>
      </c>
      <c r="E304" s="8">
        <f>Transport_1_hub!AV239</f>
        <v>1.5942274234995635</v>
      </c>
      <c r="F304" s="8">
        <f>Transport_1_hub!AW239</f>
        <v>310.67974435701791</v>
      </c>
      <c r="G304" s="8">
        <f>Transport_1_hub!AX239</f>
        <v>75.097487288292285</v>
      </c>
      <c r="H304" s="8">
        <f>Transport_1_hub!AY239</f>
        <v>1.3751009404616381</v>
      </c>
      <c r="I304" s="8">
        <f>Transport_1_hub!AZ239</f>
        <v>9.3513191905402679E-3</v>
      </c>
      <c r="J304" s="8">
        <f>Transport_1_hub!BA239</f>
        <v>14.205604166773416</v>
      </c>
      <c r="K304" s="8">
        <f>Transport_1_hub!BB239</f>
        <v>15.690856844270339</v>
      </c>
      <c r="L304" s="8">
        <f>Transport_1_hub!BC239</f>
        <v>1.191148696626664</v>
      </c>
      <c r="M304" s="8">
        <f>Transport_1_hub!BD239</f>
        <v>0.30810862784017234</v>
      </c>
      <c r="N304" s="8">
        <f>Transport_1_hub!BE239</f>
        <v>2.5330849702094258</v>
      </c>
      <c r="O304" s="8">
        <f>Transport_1_hub!BF239</f>
        <v>7.1148441709539947E-2</v>
      </c>
      <c r="P304" s="8">
        <f>Transport_1_hub!BG239</f>
        <v>3.7947237933452815E-5</v>
      </c>
      <c r="Q304" s="8">
        <f>Transport_1_hub!BH239</f>
        <v>0.13234192243117096</v>
      </c>
      <c r="R304" s="8">
        <f>Transport_1_hub!BI239</f>
        <v>0.36682951893700766</v>
      </c>
      <c r="S304" s="8">
        <f>Transport_1_hub!BJ239</f>
        <v>5.4693183924948714E-2</v>
      </c>
      <c r="T304" s="8">
        <f>Transport_1_hub!BK239</f>
        <v>7.8496125349487109E-3</v>
      </c>
      <c r="U304" s="8">
        <f>Transport_1_hub!BL239</f>
        <v>1.1844100076804709</v>
      </c>
      <c r="V304" s="9">
        <f>Transport_1_hub!BM239</f>
        <v>0.33614109195628872</v>
      </c>
      <c r="X304" s="22"/>
      <c r="Y304" s="22"/>
      <c r="AG304" s="42"/>
      <c r="AL304" s="42"/>
    </row>
    <row r="305" spans="2:38" x14ac:dyDescent="0.25">
      <c r="B305" s="40">
        <f>Transport_1_hub!W240+Transport_1_hub!L240</f>
        <v>1488.4730991616145</v>
      </c>
      <c r="C305" s="8">
        <f>Transport_1_hub!AT240</f>
        <v>310.94042711701792</v>
      </c>
      <c r="D305" s="8">
        <f>Transport_1_hub!AU240</f>
        <v>3222.9646782331247</v>
      </c>
      <c r="E305" s="8">
        <f>Transport_1_hub!AV240</f>
        <v>1.5942274234995635</v>
      </c>
      <c r="F305" s="8">
        <f>Transport_1_hub!AW240</f>
        <v>310.67974435701791</v>
      </c>
      <c r="G305" s="8">
        <f>Transport_1_hub!AX240</f>
        <v>75.097487288292285</v>
      </c>
      <c r="H305" s="8">
        <f>Transport_1_hub!AY240</f>
        <v>1.3751009404616381</v>
      </c>
      <c r="I305" s="8">
        <f>Transport_1_hub!AZ240</f>
        <v>9.3513191905402679E-3</v>
      </c>
      <c r="J305" s="8">
        <f>Transport_1_hub!BA240</f>
        <v>14.205604166773416</v>
      </c>
      <c r="K305" s="8">
        <f>Transport_1_hub!BB240</f>
        <v>15.690856844270339</v>
      </c>
      <c r="L305" s="8">
        <f>Transport_1_hub!BC240</f>
        <v>1.191148696626664</v>
      </c>
      <c r="M305" s="8">
        <f>Transport_1_hub!BD240</f>
        <v>0.30810862784017234</v>
      </c>
      <c r="N305" s="8">
        <f>Transport_1_hub!BE240</f>
        <v>2.5330849702094258</v>
      </c>
      <c r="O305" s="8">
        <f>Transport_1_hub!BF240</f>
        <v>7.1148441709539947E-2</v>
      </c>
      <c r="P305" s="8">
        <f>Transport_1_hub!BG240</f>
        <v>3.7947237933452815E-5</v>
      </c>
      <c r="Q305" s="8">
        <f>Transport_1_hub!BH240</f>
        <v>0.13234192243117096</v>
      </c>
      <c r="R305" s="8">
        <f>Transport_1_hub!BI240</f>
        <v>0.36682951893700766</v>
      </c>
      <c r="S305" s="8">
        <f>Transport_1_hub!BJ240</f>
        <v>5.4693183924948714E-2</v>
      </c>
      <c r="T305" s="8">
        <f>Transport_1_hub!BK240</f>
        <v>7.8496125349487109E-3</v>
      </c>
      <c r="U305" s="8">
        <f>Transport_1_hub!BL240</f>
        <v>1.1844100076804709</v>
      </c>
      <c r="V305" s="9">
        <f>Transport_1_hub!BM240</f>
        <v>0.33614109195628872</v>
      </c>
      <c r="X305" s="22"/>
      <c r="Y305" s="22"/>
      <c r="AG305" s="42"/>
      <c r="AL305" s="42"/>
    </row>
    <row r="306" spans="2:38" x14ac:dyDescent="0.25">
      <c r="B306" s="40">
        <f>Transport_1_hub!W241+Transport_1_hub!L241</f>
        <v>1488.4730991616145</v>
      </c>
      <c r="C306" s="8">
        <f>Transport_1_hub!AT241</f>
        <v>310.94042711701792</v>
      </c>
      <c r="D306" s="8">
        <f>Transport_1_hub!AU241</f>
        <v>3222.9646782331247</v>
      </c>
      <c r="E306" s="8">
        <f>Transport_1_hub!AV241</f>
        <v>1.5942274234995635</v>
      </c>
      <c r="F306" s="8">
        <f>Transport_1_hub!AW241</f>
        <v>310.67974435701791</v>
      </c>
      <c r="G306" s="8">
        <f>Transport_1_hub!AX241</f>
        <v>75.097487288292285</v>
      </c>
      <c r="H306" s="8">
        <f>Transport_1_hub!AY241</f>
        <v>1.3751009404616381</v>
      </c>
      <c r="I306" s="8">
        <f>Transport_1_hub!AZ241</f>
        <v>9.3513191905402679E-3</v>
      </c>
      <c r="J306" s="8">
        <f>Transport_1_hub!BA241</f>
        <v>14.205604166773416</v>
      </c>
      <c r="K306" s="8">
        <f>Transport_1_hub!BB241</f>
        <v>15.690856844270339</v>
      </c>
      <c r="L306" s="8">
        <f>Transport_1_hub!BC241</f>
        <v>1.191148696626664</v>
      </c>
      <c r="M306" s="8">
        <f>Transport_1_hub!BD241</f>
        <v>0.30810862784017234</v>
      </c>
      <c r="N306" s="8">
        <f>Transport_1_hub!BE241</f>
        <v>2.5330849702094258</v>
      </c>
      <c r="O306" s="8">
        <f>Transport_1_hub!BF241</f>
        <v>7.1148441709539947E-2</v>
      </c>
      <c r="P306" s="8">
        <f>Transport_1_hub!BG241</f>
        <v>3.7947237933452815E-5</v>
      </c>
      <c r="Q306" s="8">
        <f>Transport_1_hub!BH241</f>
        <v>0.13234192243117096</v>
      </c>
      <c r="R306" s="8">
        <f>Transport_1_hub!BI241</f>
        <v>0.36682951893700766</v>
      </c>
      <c r="S306" s="8">
        <f>Transport_1_hub!BJ241</f>
        <v>5.4693183924948714E-2</v>
      </c>
      <c r="T306" s="8">
        <f>Transport_1_hub!BK241</f>
        <v>7.8496125349487109E-3</v>
      </c>
      <c r="U306" s="8">
        <f>Transport_1_hub!BL241</f>
        <v>1.1844100076804709</v>
      </c>
      <c r="V306" s="9">
        <f>Transport_1_hub!BM241</f>
        <v>0.33614109195628872</v>
      </c>
      <c r="X306" s="22"/>
      <c r="Y306" s="22"/>
      <c r="AG306" s="42"/>
      <c r="AL306" s="42"/>
    </row>
    <row r="307" spans="2:38" x14ac:dyDescent="0.25">
      <c r="B307" s="40">
        <f>Transport_1_hub!W242+Transport_1_hub!L242</f>
        <v>1412.0240754672545</v>
      </c>
      <c r="C307" s="8">
        <f>Transport_1_hub!AT242</f>
        <v>292.37426135450829</v>
      </c>
      <c r="D307" s="8">
        <f>Transport_1_hub!AU242</f>
        <v>2975.8628550879425</v>
      </c>
      <c r="E307" s="8">
        <f>Transport_1_hub!AV242</f>
        <v>1.3637267922707814</v>
      </c>
      <c r="F307" s="8">
        <f>Transport_1_hub!AW242</f>
        <v>292.29769369450827</v>
      </c>
      <c r="G307" s="8">
        <f>Transport_1_hub!AX242</f>
        <v>69.559808911611157</v>
      </c>
      <c r="H307" s="8">
        <f>Transport_1_hub!AY242</f>
        <v>0.62551799024128907</v>
      </c>
      <c r="I307" s="8">
        <f>Transport_1_hub!AZ242</f>
        <v>7.311527394640297E-3</v>
      </c>
      <c r="J307" s="8">
        <f>Transport_1_hub!BA242</f>
        <v>10.924622407296336</v>
      </c>
      <c r="K307" s="8">
        <f>Transport_1_hub!BB242</f>
        <v>14.557286709150636</v>
      </c>
      <c r="L307" s="8">
        <f>Transport_1_hub!BC242</f>
        <v>0.53946624351140104</v>
      </c>
      <c r="M307" s="8">
        <f>Transport_1_hub!BD242</f>
        <v>0.30137534386029158</v>
      </c>
      <c r="N307" s="8">
        <f>Transport_1_hub!BE242</f>
        <v>1.5468013721235239</v>
      </c>
      <c r="O307" s="8">
        <f>Transport_1_hub!BF242</f>
        <v>7.1048884541146884E-2</v>
      </c>
      <c r="P307" s="8">
        <f>Transport_1_hub!BG242</f>
        <v>3.5420671841985144E-5</v>
      </c>
      <c r="Q307" s="8">
        <f>Transport_1_hub!BH242</f>
        <v>0.11415355047755597</v>
      </c>
      <c r="R307" s="8">
        <f>Transport_1_hub!BI242</f>
        <v>0.32747398043626019</v>
      </c>
      <c r="S307" s="8">
        <f>Transport_1_hub!BJ242</f>
        <v>1.9433628147818915E-2</v>
      </c>
      <c r="T307" s="8">
        <f>Transport_1_hub!BK242</f>
        <v>5.6747487828189133E-3</v>
      </c>
      <c r="U307" s="8">
        <f>Transport_1_hub!BL242</f>
        <v>0.81692956352721013</v>
      </c>
      <c r="V307" s="9">
        <f>Transport_1_hub!BM242</f>
        <v>0.29455246231817722</v>
      </c>
      <c r="X307" s="22"/>
      <c r="Y307" s="22"/>
      <c r="AG307" s="42"/>
      <c r="AL307" s="42"/>
    </row>
    <row r="308" spans="2:38" x14ac:dyDescent="0.25">
      <c r="B308" s="40">
        <f>Transport_1_hub!W243+Transport_1_hub!L243</f>
        <v>1500.1960991616145</v>
      </c>
      <c r="C308" s="8">
        <f>Transport_1_hub!AT243</f>
        <v>314.92390251701795</v>
      </c>
      <c r="D308" s="8">
        <f>Transport_1_hub!AU243</f>
        <v>3281.0644574591838</v>
      </c>
      <c r="E308" s="8">
        <f>Transport_1_hub!AV243</f>
        <v>1.6559560522995636</v>
      </c>
      <c r="F308" s="8">
        <f>Transport_1_hub!AW243</f>
        <v>314.61140409701795</v>
      </c>
      <c r="G308" s="8">
        <f>Transport_1_hub!AX243</f>
        <v>76.385844988292291</v>
      </c>
      <c r="H308" s="8">
        <f>Transport_1_hub!AY243</f>
        <v>1.585106762461638</v>
      </c>
      <c r="I308" s="8">
        <f>Transport_1_hub!AZ243</f>
        <v>9.9112213935402659E-3</v>
      </c>
      <c r="J308" s="8">
        <f>Transport_1_hub!BA243</f>
        <v>15.107935199773415</v>
      </c>
      <c r="K308" s="8">
        <f>Transport_1_hub!BB243</f>
        <v>15.957906784270339</v>
      </c>
      <c r="L308" s="8">
        <f>Transport_1_hub!BC243</f>
        <v>1.3738164826266637</v>
      </c>
      <c r="M308" s="8">
        <f>Transport_1_hub!BD243</f>
        <v>0.30858937634717232</v>
      </c>
      <c r="N308" s="8">
        <f>Transport_1_hub!BE243</f>
        <v>2.8068873582094254</v>
      </c>
      <c r="O308" s="8">
        <f>Transport_1_hub!BF243</f>
        <v>7.0892610680539939E-2</v>
      </c>
      <c r="P308" s="8">
        <f>Transport_1_hub!BG243</f>
        <v>3.8520305065452816E-5</v>
      </c>
      <c r="Q308" s="8">
        <f>Transport_1_hub!BH243</f>
        <v>0.13716054435117098</v>
      </c>
      <c r="R308" s="8">
        <f>Transport_1_hub!BI243</f>
        <v>0.37721762092700767</v>
      </c>
      <c r="S308" s="8">
        <f>Transport_1_hub!BJ243</f>
        <v>6.4604042584948715E-2</v>
      </c>
      <c r="T308" s="8">
        <f>Transport_1_hub!BK243</f>
        <v>8.4494198299487101E-3</v>
      </c>
      <c r="U308" s="8">
        <f>Transport_1_hub!BL243</f>
        <v>1.2864423104804708</v>
      </c>
      <c r="V308" s="9">
        <f>Transport_1_hub!BM243</f>
        <v>0.34706165260628874</v>
      </c>
      <c r="X308" s="22"/>
      <c r="Y308" s="22"/>
      <c r="AG308" s="42"/>
      <c r="AL308" s="42"/>
    </row>
    <row r="309" spans="2:38" x14ac:dyDescent="0.25">
      <c r="B309" s="40">
        <f>Transport_1_hub!W244+Transport_1_hub!L244</f>
        <v>1500.1960991616145</v>
      </c>
      <c r="C309" s="8">
        <f>Transport_1_hub!AT244</f>
        <v>314.92390251701795</v>
      </c>
      <c r="D309" s="8">
        <f>Transport_1_hub!AU244</f>
        <v>3281.0644574591838</v>
      </c>
      <c r="E309" s="8">
        <f>Transport_1_hub!AV244</f>
        <v>1.6559560522995636</v>
      </c>
      <c r="F309" s="8">
        <f>Transport_1_hub!AW244</f>
        <v>314.61140409701795</v>
      </c>
      <c r="G309" s="8">
        <f>Transport_1_hub!AX244</f>
        <v>76.385844988292291</v>
      </c>
      <c r="H309" s="8">
        <f>Transport_1_hub!AY244</f>
        <v>1.585106762461638</v>
      </c>
      <c r="I309" s="8">
        <f>Transport_1_hub!AZ244</f>
        <v>9.9112213935402659E-3</v>
      </c>
      <c r="J309" s="8">
        <f>Transport_1_hub!BA244</f>
        <v>15.107935199773415</v>
      </c>
      <c r="K309" s="8">
        <f>Transport_1_hub!BB244</f>
        <v>15.957906784270339</v>
      </c>
      <c r="L309" s="8">
        <f>Transport_1_hub!BC244</f>
        <v>1.3738164826266637</v>
      </c>
      <c r="M309" s="8">
        <f>Transport_1_hub!BD244</f>
        <v>0.30858937634717232</v>
      </c>
      <c r="N309" s="8">
        <f>Transport_1_hub!BE244</f>
        <v>2.8068873582094254</v>
      </c>
      <c r="O309" s="8">
        <f>Transport_1_hub!BF244</f>
        <v>7.0892610680539939E-2</v>
      </c>
      <c r="P309" s="8">
        <f>Transport_1_hub!BG244</f>
        <v>3.8520305065452816E-5</v>
      </c>
      <c r="Q309" s="8">
        <f>Transport_1_hub!BH244</f>
        <v>0.13716054435117098</v>
      </c>
      <c r="R309" s="8">
        <f>Transport_1_hub!BI244</f>
        <v>0.37721762092700767</v>
      </c>
      <c r="S309" s="8">
        <f>Transport_1_hub!BJ244</f>
        <v>6.4604042584948715E-2</v>
      </c>
      <c r="T309" s="8">
        <f>Transport_1_hub!BK244</f>
        <v>8.4494198299487101E-3</v>
      </c>
      <c r="U309" s="8">
        <f>Transport_1_hub!BL244</f>
        <v>1.2864423104804708</v>
      </c>
      <c r="V309" s="9">
        <f>Transport_1_hub!BM244</f>
        <v>0.34706165260628874</v>
      </c>
      <c r="X309" s="22"/>
      <c r="Y309" s="22"/>
      <c r="AG309" s="42"/>
      <c r="AL309" s="42"/>
    </row>
    <row r="310" spans="2:38" x14ac:dyDescent="0.25">
      <c r="B310" s="40">
        <f>Transport_1_hub!W245+Transport_1_hub!L245</f>
        <v>1500.1960991616145</v>
      </c>
      <c r="C310" s="8">
        <f>Transport_1_hub!AT245</f>
        <v>314.92390251701795</v>
      </c>
      <c r="D310" s="8">
        <f>Transport_1_hub!AU245</f>
        <v>3281.0644574591838</v>
      </c>
      <c r="E310" s="8">
        <f>Transport_1_hub!AV245</f>
        <v>1.6559560522995636</v>
      </c>
      <c r="F310" s="8">
        <f>Transport_1_hub!AW245</f>
        <v>314.61140409701795</v>
      </c>
      <c r="G310" s="8">
        <f>Transport_1_hub!AX245</f>
        <v>76.385844988292291</v>
      </c>
      <c r="H310" s="8">
        <f>Transport_1_hub!AY245</f>
        <v>1.585106762461638</v>
      </c>
      <c r="I310" s="8">
        <f>Transport_1_hub!AZ245</f>
        <v>9.9112213935402659E-3</v>
      </c>
      <c r="J310" s="8">
        <f>Transport_1_hub!BA245</f>
        <v>15.107935199773415</v>
      </c>
      <c r="K310" s="8">
        <f>Transport_1_hub!BB245</f>
        <v>15.957906784270339</v>
      </c>
      <c r="L310" s="8">
        <f>Transport_1_hub!BC245</f>
        <v>1.3738164826266637</v>
      </c>
      <c r="M310" s="8">
        <f>Transport_1_hub!BD245</f>
        <v>0.30858937634717232</v>
      </c>
      <c r="N310" s="8">
        <f>Transport_1_hub!BE245</f>
        <v>2.8068873582094254</v>
      </c>
      <c r="O310" s="8">
        <f>Transport_1_hub!BF245</f>
        <v>7.0892610680539939E-2</v>
      </c>
      <c r="P310" s="8">
        <f>Transport_1_hub!BG245</f>
        <v>3.8520305065452816E-5</v>
      </c>
      <c r="Q310" s="8">
        <f>Transport_1_hub!BH245</f>
        <v>0.13716054435117098</v>
      </c>
      <c r="R310" s="8">
        <f>Transport_1_hub!BI245</f>
        <v>0.37721762092700767</v>
      </c>
      <c r="S310" s="8">
        <f>Transport_1_hub!BJ245</f>
        <v>6.4604042584948715E-2</v>
      </c>
      <c r="T310" s="8">
        <f>Transport_1_hub!BK245</f>
        <v>8.4494198299487101E-3</v>
      </c>
      <c r="U310" s="8">
        <f>Transport_1_hub!BL245</f>
        <v>1.2864423104804708</v>
      </c>
      <c r="V310" s="9">
        <f>Transport_1_hub!BM245</f>
        <v>0.34706165260628874</v>
      </c>
      <c r="X310" s="22"/>
      <c r="Y310" s="22"/>
      <c r="AG310" s="42"/>
      <c r="AL310" s="42"/>
    </row>
    <row r="311" spans="2:38" x14ac:dyDescent="0.25">
      <c r="B311" s="40">
        <f>Transport_1_hub!W246+Transport_1_hub!L246</f>
        <v>1500.1960991616145</v>
      </c>
      <c r="C311" s="8">
        <f>Transport_1_hub!AT246</f>
        <v>314.92390251701795</v>
      </c>
      <c r="D311" s="8">
        <f>Transport_1_hub!AU246</f>
        <v>3281.0644574591838</v>
      </c>
      <c r="E311" s="8">
        <f>Transport_1_hub!AV246</f>
        <v>1.6559560522995636</v>
      </c>
      <c r="F311" s="8">
        <f>Transport_1_hub!AW246</f>
        <v>314.61140409701795</v>
      </c>
      <c r="G311" s="8">
        <f>Transport_1_hub!AX246</f>
        <v>76.385844988292291</v>
      </c>
      <c r="H311" s="8">
        <f>Transport_1_hub!AY246</f>
        <v>1.585106762461638</v>
      </c>
      <c r="I311" s="8">
        <f>Transport_1_hub!AZ246</f>
        <v>9.9112213935402659E-3</v>
      </c>
      <c r="J311" s="8">
        <f>Transport_1_hub!BA246</f>
        <v>15.107935199773415</v>
      </c>
      <c r="K311" s="8">
        <f>Transport_1_hub!BB246</f>
        <v>15.957906784270339</v>
      </c>
      <c r="L311" s="8">
        <f>Transport_1_hub!BC246</f>
        <v>1.3738164826266637</v>
      </c>
      <c r="M311" s="8">
        <f>Transport_1_hub!BD246</f>
        <v>0.30858937634717232</v>
      </c>
      <c r="N311" s="8">
        <f>Transport_1_hub!BE246</f>
        <v>2.8068873582094254</v>
      </c>
      <c r="O311" s="8">
        <f>Transport_1_hub!BF246</f>
        <v>7.0892610680539939E-2</v>
      </c>
      <c r="P311" s="8">
        <f>Transport_1_hub!BG246</f>
        <v>3.8520305065452816E-5</v>
      </c>
      <c r="Q311" s="8">
        <f>Transport_1_hub!BH246</f>
        <v>0.13716054435117098</v>
      </c>
      <c r="R311" s="8">
        <f>Transport_1_hub!BI246</f>
        <v>0.37721762092700767</v>
      </c>
      <c r="S311" s="8">
        <f>Transport_1_hub!BJ246</f>
        <v>6.4604042584948715E-2</v>
      </c>
      <c r="T311" s="8">
        <f>Transport_1_hub!BK246</f>
        <v>8.4494198299487101E-3</v>
      </c>
      <c r="U311" s="8">
        <f>Transport_1_hub!BL246</f>
        <v>1.2864423104804708</v>
      </c>
      <c r="V311" s="9">
        <f>Transport_1_hub!BM246</f>
        <v>0.34706165260628874</v>
      </c>
      <c r="X311" s="22"/>
      <c r="Y311" s="22"/>
      <c r="AG311" s="42"/>
      <c r="AL311" s="42"/>
    </row>
    <row r="312" spans="2:38" x14ac:dyDescent="0.25">
      <c r="B312" s="40">
        <f>Transport_1_hub!W247+Transport_1_hub!L247</f>
        <v>1500.1960991616145</v>
      </c>
      <c r="C312" s="8">
        <f>Transport_1_hub!AT247</f>
        <v>314.92390251701795</v>
      </c>
      <c r="D312" s="8">
        <f>Transport_1_hub!AU247</f>
        <v>3281.0644574591838</v>
      </c>
      <c r="E312" s="8">
        <f>Transport_1_hub!AV247</f>
        <v>1.6559560522995636</v>
      </c>
      <c r="F312" s="8">
        <f>Transport_1_hub!AW247</f>
        <v>314.61140409701795</v>
      </c>
      <c r="G312" s="8">
        <f>Transport_1_hub!AX247</f>
        <v>76.385844988292291</v>
      </c>
      <c r="H312" s="8">
        <f>Transport_1_hub!AY247</f>
        <v>1.585106762461638</v>
      </c>
      <c r="I312" s="8">
        <f>Transport_1_hub!AZ247</f>
        <v>9.9112213935402659E-3</v>
      </c>
      <c r="J312" s="8">
        <f>Transport_1_hub!BA247</f>
        <v>15.107935199773415</v>
      </c>
      <c r="K312" s="8">
        <f>Transport_1_hub!BB247</f>
        <v>15.957906784270339</v>
      </c>
      <c r="L312" s="8">
        <f>Transport_1_hub!BC247</f>
        <v>1.3738164826266637</v>
      </c>
      <c r="M312" s="8">
        <f>Transport_1_hub!BD247</f>
        <v>0.30858937634717232</v>
      </c>
      <c r="N312" s="8">
        <f>Transport_1_hub!BE247</f>
        <v>2.8068873582094254</v>
      </c>
      <c r="O312" s="8">
        <f>Transport_1_hub!BF247</f>
        <v>7.0892610680539939E-2</v>
      </c>
      <c r="P312" s="8">
        <f>Transport_1_hub!BG247</f>
        <v>3.8520305065452816E-5</v>
      </c>
      <c r="Q312" s="8">
        <f>Transport_1_hub!BH247</f>
        <v>0.13716054435117098</v>
      </c>
      <c r="R312" s="8">
        <f>Transport_1_hub!BI247</f>
        <v>0.37721762092700767</v>
      </c>
      <c r="S312" s="8">
        <f>Transport_1_hub!BJ247</f>
        <v>6.4604042584948715E-2</v>
      </c>
      <c r="T312" s="8">
        <f>Transport_1_hub!BK247</f>
        <v>8.4494198299487101E-3</v>
      </c>
      <c r="U312" s="8">
        <f>Transport_1_hub!BL247</f>
        <v>1.2864423104804708</v>
      </c>
      <c r="V312" s="9">
        <f>Transport_1_hub!BM247</f>
        <v>0.34706165260628874</v>
      </c>
      <c r="X312" s="22"/>
      <c r="Y312" s="22"/>
      <c r="AG312" s="42"/>
      <c r="AL312" s="42"/>
    </row>
    <row r="313" spans="2:38" x14ac:dyDescent="0.25">
      <c r="B313" s="40">
        <f>Transport_1_hub!W248+Transport_1_hub!L248</f>
        <v>1500.1960991616145</v>
      </c>
      <c r="C313" s="8">
        <f>Transport_1_hub!AT248</f>
        <v>314.92390251701795</v>
      </c>
      <c r="D313" s="8">
        <f>Transport_1_hub!AU248</f>
        <v>3281.0644574591838</v>
      </c>
      <c r="E313" s="8">
        <f>Transport_1_hub!AV248</f>
        <v>1.6559560522995636</v>
      </c>
      <c r="F313" s="8">
        <f>Transport_1_hub!AW248</f>
        <v>314.61140409701795</v>
      </c>
      <c r="G313" s="8">
        <f>Transport_1_hub!AX248</f>
        <v>76.385844988292291</v>
      </c>
      <c r="H313" s="8">
        <f>Transport_1_hub!AY248</f>
        <v>1.585106762461638</v>
      </c>
      <c r="I313" s="8">
        <f>Transport_1_hub!AZ248</f>
        <v>9.9112213935402659E-3</v>
      </c>
      <c r="J313" s="8">
        <f>Transport_1_hub!BA248</f>
        <v>15.107935199773415</v>
      </c>
      <c r="K313" s="8">
        <f>Transport_1_hub!BB248</f>
        <v>15.957906784270339</v>
      </c>
      <c r="L313" s="8">
        <f>Transport_1_hub!BC248</f>
        <v>1.3738164826266637</v>
      </c>
      <c r="M313" s="8">
        <f>Transport_1_hub!BD248</f>
        <v>0.30858937634717232</v>
      </c>
      <c r="N313" s="8">
        <f>Transport_1_hub!BE248</f>
        <v>2.8068873582094254</v>
      </c>
      <c r="O313" s="8">
        <f>Transport_1_hub!BF248</f>
        <v>7.0892610680539939E-2</v>
      </c>
      <c r="P313" s="8">
        <f>Transport_1_hub!BG248</f>
        <v>3.8520305065452816E-5</v>
      </c>
      <c r="Q313" s="8">
        <f>Transport_1_hub!BH248</f>
        <v>0.13716054435117098</v>
      </c>
      <c r="R313" s="8">
        <f>Transport_1_hub!BI248</f>
        <v>0.37721762092700767</v>
      </c>
      <c r="S313" s="8">
        <f>Transport_1_hub!BJ248</f>
        <v>6.4604042584948715E-2</v>
      </c>
      <c r="T313" s="8">
        <f>Transport_1_hub!BK248</f>
        <v>8.4494198299487101E-3</v>
      </c>
      <c r="U313" s="8">
        <f>Transport_1_hub!BL248</f>
        <v>1.2864423104804708</v>
      </c>
      <c r="V313" s="9">
        <f>Transport_1_hub!BM248</f>
        <v>0.34706165260628874</v>
      </c>
      <c r="X313" s="22"/>
      <c r="Y313" s="22"/>
      <c r="AG313" s="42"/>
      <c r="AL313" s="42"/>
    </row>
    <row r="314" spans="2:38" x14ac:dyDescent="0.25">
      <c r="B314" s="40">
        <f>Transport_1_hub!W249+Transport_1_hub!L249</f>
        <v>1500.1960991616145</v>
      </c>
      <c r="C314" s="8">
        <f>Transport_1_hub!AT249</f>
        <v>314.92390251701795</v>
      </c>
      <c r="D314" s="8">
        <f>Transport_1_hub!AU249</f>
        <v>3281.0644574591838</v>
      </c>
      <c r="E314" s="8">
        <f>Transport_1_hub!AV249</f>
        <v>1.6559560522995636</v>
      </c>
      <c r="F314" s="8">
        <f>Transport_1_hub!AW249</f>
        <v>314.61140409701795</v>
      </c>
      <c r="G314" s="8">
        <f>Transport_1_hub!AX249</f>
        <v>76.385844988292291</v>
      </c>
      <c r="H314" s="8">
        <f>Transport_1_hub!AY249</f>
        <v>1.585106762461638</v>
      </c>
      <c r="I314" s="8">
        <f>Transport_1_hub!AZ249</f>
        <v>9.9112213935402659E-3</v>
      </c>
      <c r="J314" s="8">
        <f>Transport_1_hub!BA249</f>
        <v>15.107935199773415</v>
      </c>
      <c r="K314" s="8">
        <f>Transport_1_hub!BB249</f>
        <v>15.957906784270339</v>
      </c>
      <c r="L314" s="8">
        <f>Transport_1_hub!BC249</f>
        <v>1.3738164826266637</v>
      </c>
      <c r="M314" s="8">
        <f>Transport_1_hub!BD249</f>
        <v>0.30858937634717232</v>
      </c>
      <c r="N314" s="8">
        <f>Transport_1_hub!BE249</f>
        <v>2.8068873582094254</v>
      </c>
      <c r="O314" s="8">
        <f>Transport_1_hub!BF249</f>
        <v>7.0892610680539939E-2</v>
      </c>
      <c r="P314" s="8">
        <f>Transport_1_hub!BG249</f>
        <v>3.8520305065452816E-5</v>
      </c>
      <c r="Q314" s="8">
        <f>Transport_1_hub!BH249</f>
        <v>0.13716054435117098</v>
      </c>
      <c r="R314" s="8">
        <f>Transport_1_hub!BI249</f>
        <v>0.37721762092700767</v>
      </c>
      <c r="S314" s="8">
        <f>Transport_1_hub!BJ249</f>
        <v>6.4604042584948715E-2</v>
      </c>
      <c r="T314" s="8">
        <f>Transport_1_hub!BK249</f>
        <v>8.4494198299487101E-3</v>
      </c>
      <c r="U314" s="8">
        <f>Transport_1_hub!BL249</f>
        <v>1.2864423104804708</v>
      </c>
      <c r="V314" s="9">
        <f>Transport_1_hub!BM249</f>
        <v>0.34706165260628874</v>
      </c>
      <c r="X314" s="22"/>
      <c r="Y314" s="22"/>
      <c r="AG314" s="42"/>
      <c r="AL314" s="42"/>
    </row>
    <row r="315" spans="2:38" x14ac:dyDescent="0.25">
      <c r="B315" s="40">
        <f>Transport_1_hub!W250+Transport_1_hub!L250</f>
        <v>1484.6460991616145</v>
      </c>
      <c r="C315" s="8">
        <f>Transport_1_hub!AT250</f>
        <v>309.64001251701791</v>
      </c>
      <c r="D315" s="8">
        <f>Transport_1_hub!AU250</f>
        <v>3203.9978732260338</v>
      </c>
      <c r="E315" s="8">
        <f>Transport_1_hub!AV250</f>
        <v>1.5740759722995636</v>
      </c>
      <c r="F315" s="8">
        <f>Transport_1_hub!AW250</f>
        <v>309.39624509701792</v>
      </c>
      <c r="G315" s="8">
        <f>Transport_1_hub!AX250</f>
        <v>74.676899988292291</v>
      </c>
      <c r="H315" s="8">
        <f>Transport_1_hub!AY250</f>
        <v>1.306544062461638</v>
      </c>
      <c r="I315" s="8">
        <f>Transport_1_hub!AZ250</f>
        <v>9.1685378435402663E-3</v>
      </c>
      <c r="J315" s="8">
        <f>Transport_1_hub!BA250</f>
        <v>13.911036149773416</v>
      </c>
      <c r="K315" s="8">
        <f>Transport_1_hub!BB250</f>
        <v>15.603677784270339</v>
      </c>
      <c r="L315" s="8">
        <f>Transport_1_hub!BC250</f>
        <v>1.1315163826266641</v>
      </c>
      <c r="M315" s="8">
        <f>Transport_1_hub!BD250</f>
        <v>0.30795168639717235</v>
      </c>
      <c r="N315" s="8">
        <f>Transport_1_hub!BE250</f>
        <v>2.4437015582094257</v>
      </c>
      <c r="O315" s="8">
        <f>Transport_1_hub!BF250</f>
        <v>7.1231958330539941E-2</v>
      </c>
      <c r="P315" s="8">
        <f>Transport_1_hub!BG250</f>
        <v>3.7760158865452814E-5</v>
      </c>
      <c r="Q315" s="8">
        <f>Transport_1_hub!BH250</f>
        <v>0.13076887235117096</v>
      </c>
      <c r="R315" s="8">
        <f>Transport_1_hub!BI250</f>
        <v>0.36343829942700767</v>
      </c>
      <c r="S315" s="8">
        <f>Transport_1_hub!BJ250</f>
        <v>5.1457761584948712E-2</v>
      </c>
      <c r="T315" s="8">
        <f>Transport_1_hub!BK250</f>
        <v>7.653804079948711E-3</v>
      </c>
      <c r="U315" s="8">
        <f>Transport_1_hub!BL250</f>
        <v>1.1511013304804709</v>
      </c>
      <c r="V315" s="9">
        <f>Transport_1_hub!BM250</f>
        <v>0.33257605010628877</v>
      </c>
      <c r="X315" s="22"/>
      <c r="Y315" s="22"/>
      <c r="AG315" s="42"/>
      <c r="AL315" s="42"/>
    </row>
    <row r="316" spans="2:38" x14ac:dyDescent="0.25">
      <c r="B316" s="40">
        <f>Transport_1_hub!W251+Transport_1_hub!L251</f>
        <v>1486.7540754672546</v>
      </c>
      <c r="C316" s="8">
        <f>Transport_1_hub!AT251</f>
        <v>317.7675153545083</v>
      </c>
      <c r="D316" s="8">
        <f>Transport_1_hub!AU251</f>
        <v>3346.2285039460326</v>
      </c>
      <c r="E316" s="8">
        <f>Transport_1_hub!AV251</f>
        <v>1.7572250802707814</v>
      </c>
      <c r="F316" s="8">
        <f>Transport_1_hub!AW251</f>
        <v>317.36064109450825</v>
      </c>
      <c r="G316" s="8">
        <f>Transport_1_hub!AX251</f>
        <v>77.772635911611161</v>
      </c>
      <c r="H316" s="8">
        <f>Transport_1_hub!AY251</f>
        <v>1.9642312102412889</v>
      </c>
      <c r="I316" s="8">
        <f>Transport_1_hub!AZ251</f>
        <v>1.0880706924640297E-2</v>
      </c>
      <c r="J316" s="8">
        <f>Transport_1_hub!BA251</f>
        <v>16.676665237296337</v>
      </c>
      <c r="K316" s="8">
        <f>Transport_1_hub!BB251</f>
        <v>16.259636109150637</v>
      </c>
      <c r="L316" s="8">
        <f>Transport_1_hub!BC251</f>
        <v>1.7039091035114011</v>
      </c>
      <c r="M316" s="8">
        <f>Transport_1_hub!BD251</f>
        <v>0.3044399464302916</v>
      </c>
      <c r="N316" s="8">
        <f>Transport_1_hub!BE251</f>
        <v>3.2921952521235234</v>
      </c>
      <c r="O316" s="8">
        <f>Transport_1_hub!BF251</f>
        <v>6.9418051751146889E-2</v>
      </c>
      <c r="P316" s="8">
        <f>Transport_1_hub!BG251</f>
        <v>3.9073773161985142E-5</v>
      </c>
      <c r="Q316" s="8">
        <f>Transport_1_hub!BH251</f>
        <v>0.14487056967755596</v>
      </c>
      <c r="R316" s="8">
        <f>Transport_1_hub!BI251</f>
        <v>0.39369447533626017</v>
      </c>
      <c r="S316" s="8">
        <f>Transport_1_hub!BJ251</f>
        <v>8.2611864747818911E-2</v>
      </c>
      <c r="T316" s="8">
        <f>Transport_1_hub!BK251</f>
        <v>9.4983092328189134E-3</v>
      </c>
      <c r="U316" s="8">
        <f>Transport_1_hub!BL251</f>
        <v>1.4673495915272101</v>
      </c>
      <c r="V316" s="9">
        <f>Transport_1_hub!BM251</f>
        <v>0.36416719381817719</v>
      </c>
      <c r="X316" s="22"/>
      <c r="Y316" s="22"/>
      <c r="AG316" s="42"/>
      <c r="AL316" s="42"/>
    </row>
    <row r="317" spans="2:38" x14ac:dyDescent="0.25">
      <c r="B317" s="40">
        <f>Transport_1_hub!W252+Transport_1_hub!L252</f>
        <v>1486.7540754672546</v>
      </c>
      <c r="C317" s="8">
        <f>Transport_1_hub!AT252</f>
        <v>317.7675153545083</v>
      </c>
      <c r="D317" s="8">
        <f>Transport_1_hub!AU252</f>
        <v>3346.2285039460326</v>
      </c>
      <c r="E317" s="8">
        <f>Transport_1_hub!AV252</f>
        <v>1.7572250802707814</v>
      </c>
      <c r="F317" s="8">
        <f>Transport_1_hub!AW252</f>
        <v>317.36064109450825</v>
      </c>
      <c r="G317" s="8">
        <f>Transport_1_hub!AX252</f>
        <v>77.772635911611161</v>
      </c>
      <c r="H317" s="8">
        <f>Transport_1_hub!AY252</f>
        <v>1.9642312102412889</v>
      </c>
      <c r="I317" s="8">
        <f>Transport_1_hub!AZ252</f>
        <v>1.0880706924640297E-2</v>
      </c>
      <c r="J317" s="8">
        <f>Transport_1_hub!BA252</f>
        <v>16.676665237296337</v>
      </c>
      <c r="K317" s="8">
        <f>Transport_1_hub!BB252</f>
        <v>16.259636109150637</v>
      </c>
      <c r="L317" s="8">
        <f>Transport_1_hub!BC252</f>
        <v>1.7039091035114011</v>
      </c>
      <c r="M317" s="8">
        <f>Transport_1_hub!BD252</f>
        <v>0.3044399464302916</v>
      </c>
      <c r="N317" s="8">
        <f>Transport_1_hub!BE252</f>
        <v>3.2921952521235234</v>
      </c>
      <c r="O317" s="8">
        <f>Transport_1_hub!BF252</f>
        <v>6.9418051751146889E-2</v>
      </c>
      <c r="P317" s="8">
        <f>Transport_1_hub!BG252</f>
        <v>3.9073773161985142E-5</v>
      </c>
      <c r="Q317" s="8">
        <f>Transport_1_hub!BH252</f>
        <v>0.14487056967755596</v>
      </c>
      <c r="R317" s="8">
        <f>Transport_1_hub!BI252</f>
        <v>0.39369447533626017</v>
      </c>
      <c r="S317" s="8">
        <f>Transport_1_hub!BJ252</f>
        <v>8.2611864747818911E-2</v>
      </c>
      <c r="T317" s="8">
        <f>Transport_1_hub!BK252</f>
        <v>9.4983092328189134E-3</v>
      </c>
      <c r="U317" s="8">
        <f>Transport_1_hub!BL252</f>
        <v>1.4673495915272101</v>
      </c>
      <c r="V317" s="9">
        <f>Transport_1_hub!BM252</f>
        <v>0.36416719381817719</v>
      </c>
      <c r="X317" s="22"/>
      <c r="Y317" s="22"/>
      <c r="AG317" s="42"/>
      <c r="AL317" s="42"/>
    </row>
    <row r="318" spans="2:38" x14ac:dyDescent="0.25">
      <c r="B318" s="40">
        <f>Transport_1_hub!W253+Transport_1_hub!L253</f>
        <v>1486.7540754672546</v>
      </c>
      <c r="C318" s="8">
        <f>Transport_1_hub!AT253</f>
        <v>317.7675153545083</v>
      </c>
      <c r="D318" s="8">
        <f>Transport_1_hub!AU253</f>
        <v>3346.2285039460326</v>
      </c>
      <c r="E318" s="8">
        <f>Transport_1_hub!AV253</f>
        <v>1.7572250802707814</v>
      </c>
      <c r="F318" s="8">
        <f>Transport_1_hub!AW253</f>
        <v>317.36064109450825</v>
      </c>
      <c r="G318" s="8">
        <f>Transport_1_hub!AX253</f>
        <v>77.772635911611161</v>
      </c>
      <c r="H318" s="8">
        <f>Transport_1_hub!AY253</f>
        <v>1.9642312102412889</v>
      </c>
      <c r="I318" s="8">
        <f>Transport_1_hub!AZ253</f>
        <v>1.0880706924640297E-2</v>
      </c>
      <c r="J318" s="8">
        <f>Transport_1_hub!BA253</f>
        <v>16.676665237296337</v>
      </c>
      <c r="K318" s="8">
        <f>Transport_1_hub!BB253</f>
        <v>16.259636109150637</v>
      </c>
      <c r="L318" s="8">
        <f>Transport_1_hub!BC253</f>
        <v>1.7039091035114011</v>
      </c>
      <c r="M318" s="8">
        <f>Transport_1_hub!BD253</f>
        <v>0.3044399464302916</v>
      </c>
      <c r="N318" s="8">
        <f>Transport_1_hub!BE253</f>
        <v>3.2921952521235234</v>
      </c>
      <c r="O318" s="8">
        <f>Transport_1_hub!BF253</f>
        <v>6.9418051751146889E-2</v>
      </c>
      <c r="P318" s="8">
        <f>Transport_1_hub!BG253</f>
        <v>3.9073773161985142E-5</v>
      </c>
      <c r="Q318" s="8">
        <f>Transport_1_hub!BH253</f>
        <v>0.14487056967755596</v>
      </c>
      <c r="R318" s="8">
        <f>Transport_1_hub!BI253</f>
        <v>0.39369447533626017</v>
      </c>
      <c r="S318" s="8">
        <f>Transport_1_hub!BJ253</f>
        <v>8.2611864747818911E-2</v>
      </c>
      <c r="T318" s="8">
        <f>Transport_1_hub!BK253</f>
        <v>9.4983092328189134E-3</v>
      </c>
      <c r="U318" s="8">
        <f>Transport_1_hub!BL253</f>
        <v>1.4673495915272101</v>
      </c>
      <c r="V318" s="9">
        <f>Transport_1_hub!BM253</f>
        <v>0.36416719381817719</v>
      </c>
      <c r="X318" s="22"/>
      <c r="Y318" s="22"/>
      <c r="AG318" s="42"/>
      <c r="AL318" s="42"/>
    </row>
    <row r="319" spans="2:38" x14ac:dyDescent="0.25">
      <c r="B319" s="40">
        <f>Transport_1_hub!W254+Transport_1_hub!L254</f>
        <v>1486.7540754672546</v>
      </c>
      <c r="C319" s="8">
        <f>Transport_1_hub!AT254</f>
        <v>317.7675153545083</v>
      </c>
      <c r="D319" s="8">
        <f>Transport_1_hub!AU254</f>
        <v>3346.2285039460326</v>
      </c>
      <c r="E319" s="8">
        <f>Transport_1_hub!AV254</f>
        <v>1.7572250802707814</v>
      </c>
      <c r="F319" s="8">
        <f>Transport_1_hub!AW254</f>
        <v>317.36064109450825</v>
      </c>
      <c r="G319" s="8">
        <f>Transport_1_hub!AX254</f>
        <v>77.772635911611161</v>
      </c>
      <c r="H319" s="8">
        <f>Transport_1_hub!AY254</f>
        <v>1.9642312102412889</v>
      </c>
      <c r="I319" s="8">
        <f>Transport_1_hub!AZ254</f>
        <v>1.0880706924640297E-2</v>
      </c>
      <c r="J319" s="8">
        <f>Transport_1_hub!BA254</f>
        <v>16.676665237296337</v>
      </c>
      <c r="K319" s="8">
        <f>Transport_1_hub!BB254</f>
        <v>16.259636109150637</v>
      </c>
      <c r="L319" s="8">
        <f>Transport_1_hub!BC254</f>
        <v>1.7039091035114011</v>
      </c>
      <c r="M319" s="8">
        <f>Transport_1_hub!BD254</f>
        <v>0.3044399464302916</v>
      </c>
      <c r="N319" s="8">
        <f>Transport_1_hub!BE254</f>
        <v>3.2921952521235234</v>
      </c>
      <c r="O319" s="8">
        <f>Transport_1_hub!BF254</f>
        <v>6.9418051751146889E-2</v>
      </c>
      <c r="P319" s="8">
        <f>Transport_1_hub!BG254</f>
        <v>3.9073773161985142E-5</v>
      </c>
      <c r="Q319" s="8">
        <f>Transport_1_hub!BH254</f>
        <v>0.14487056967755596</v>
      </c>
      <c r="R319" s="8">
        <f>Transport_1_hub!BI254</f>
        <v>0.39369447533626017</v>
      </c>
      <c r="S319" s="8">
        <f>Transport_1_hub!BJ254</f>
        <v>8.2611864747818911E-2</v>
      </c>
      <c r="T319" s="8">
        <f>Transport_1_hub!BK254</f>
        <v>9.4983092328189134E-3</v>
      </c>
      <c r="U319" s="8">
        <f>Transport_1_hub!BL254</f>
        <v>1.4673495915272101</v>
      </c>
      <c r="V319" s="9">
        <f>Transport_1_hub!BM254</f>
        <v>0.36416719381817719</v>
      </c>
      <c r="X319" s="22"/>
      <c r="Y319" s="22"/>
      <c r="AG319" s="42"/>
      <c r="AL319" s="42"/>
    </row>
    <row r="320" spans="2:38" x14ac:dyDescent="0.25">
      <c r="B320" s="40">
        <f>Transport_1_hub!W255+Transport_1_hub!L255</f>
        <v>1486.7540754672546</v>
      </c>
      <c r="C320" s="8">
        <f>Transport_1_hub!AT255</f>
        <v>317.7675153545083</v>
      </c>
      <c r="D320" s="8">
        <f>Transport_1_hub!AU255</f>
        <v>3346.2285039460326</v>
      </c>
      <c r="E320" s="8">
        <f>Transport_1_hub!AV255</f>
        <v>1.7572250802707814</v>
      </c>
      <c r="F320" s="8">
        <f>Transport_1_hub!AW255</f>
        <v>317.36064109450825</v>
      </c>
      <c r="G320" s="8">
        <f>Transport_1_hub!AX255</f>
        <v>77.772635911611161</v>
      </c>
      <c r="H320" s="8">
        <f>Transport_1_hub!AY255</f>
        <v>1.9642312102412889</v>
      </c>
      <c r="I320" s="8">
        <f>Transport_1_hub!AZ255</f>
        <v>1.0880706924640297E-2</v>
      </c>
      <c r="J320" s="8">
        <f>Transport_1_hub!BA255</f>
        <v>16.676665237296337</v>
      </c>
      <c r="K320" s="8">
        <f>Transport_1_hub!BB255</f>
        <v>16.259636109150637</v>
      </c>
      <c r="L320" s="8">
        <f>Transport_1_hub!BC255</f>
        <v>1.7039091035114011</v>
      </c>
      <c r="M320" s="8">
        <f>Transport_1_hub!BD255</f>
        <v>0.3044399464302916</v>
      </c>
      <c r="N320" s="8">
        <f>Transport_1_hub!BE255</f>
        <v>3.2921952521235234</v>
      </c>
      <c r="O320" s="8">
        <f>Transport_1_hub!BF255</f>
        <v>6.9418051751146889E-2</v>
      </c>
      <c r="P320" s="8">
        <f>Transport_1_hub!BG255</f>
        <v>3.9073773161985142E-5</v>
      </c>
      <c r="Q320" s="8">
        <f>Transport_1_hub!BH255</f>
        <v>0.14487056967755596</v>
      </c>
      <c r="R320" s="8">
        <f>Transport_1_hub!BI255</f>
        <v>0.39369447533626017</v>
      </c>
      <c r="S320" s="8">
        <f>Transport_1_hub!BJ255</f>
        <v>8.2611864747818911E-2</v>
      </c>
      <c r="T320" s="8">
        <f>Transport_1_hub!BK255</f>
        <v>9.4983092328189134E-3</v>
      </c>
      <c r="U320" s="8">
        <f>Transport_1_hub!BL255</f>
        <v>1.4673495915272101</v>
      </c>
      <c r="V320" s="9">
        <f>Transport_1_hub!BM255</f>
        <v>0.36416719381817719</v>
      </c>
      <c r="X320" s="22"/>
      <c r="Y320" s="22"/>
      <c r="AG320" s="42"/>
      <c r="AL320" s="42"/>
    </row>
    <row r="321" spans="2:38" x14ac:dyDescent="0.25">
      <c r="B321" s="40">
        <f>Transport_1_hub!W256+Transport_1_hub!L256</f>
        <v>1486.7540754672546</v>
      </c>
      <c r="C321" s="8">
        <f>Transport_1_hub!AT256</f>
        <v>317.7675153545083</v>
      </c>
      <c r="D321" s="8">
        <f>Transport_1_hub!AU256</f>
        <v>3346.2285039460326</v>
      </c>
      <c r="E321" s="8">
        <f>Transport_1_hub!AV256</f>
        <v>1.7572250802707814</v>
      </c>
      <c r="F321" s="8">
        <f>Transport_1_hub!AW256</f>
        <v>317.36064109450825</v>
      </c>
      <c r="G321" s="8">
        <f>Transport_1_hub!AX256</f>
        <v>77.772635911611161</v>
      </c>
      <c r="H321" s="8">
        <f>Transport_1_hub!AY256</f>
        <v>1.9642312102412889</v>
      </c>
      <c r="I321" s="8">
        <f>Transport_1_hub!AZ256</f>
        <v>1.0880706924640297E-2</v>
      </c>
      <c r="J321" s="8">
        <f>Transport_1_hub!BA256</f>
        <v>16.676665237296337</v>
      </c>
      <c r="K321" s="8">
        <f>Transport_1_hub!BB256</f>
        <v>16.259636109150637</v>
      </c>
      <c r="L321" s="8">
        <f>Transport_1_hub!BC256</f>
        <v>1.7039091035114011</v>
      </c>
      <c r="M321" s="8">
        <f>Transport_1_hub!BD256</f>
        <v>0.3044399464302916</v>
      </c>
      <c r="N321" s="8">
        <f>Transport_1_hub!BE256</f>
        <v>3.2921952521235234</v>
      </c>
      <c r="O321" s="8">
        <f>Transport_1_hub!BF256</f>
        <v>6.9418051751146889E-2</v>
      </c>
      <c r="P321" s="8">
        <f>Transport_1_hub!BG256</f>
        <v>3.9073773161985142E-5</v>
      </c>
      <c r="Q321" s="8">
        <f>Transport_1_hub!BH256</f>
        <v>0.14487056967755596</v>
      </c>
      <c r="R321" s="8">
        <f>Transport_1_hub!BI256</f>
        <v>0.39369447533626017</v>
      </c>
      <c r="S321" s="8">
        <f>Transport_1_hub!BJ256</f>
        <v>8.2611864747818911E-2</v>
      </c>
      <c r="T321" s="8">
        <f>Transport_1_hub!BK256</f>
        <v>9.4983092328189134E-3</v>
      </c>
      <c r="U321" s="8">
        <f>Transport_1_hub!BL256</f>
        <v>1.4673495915272101</v>
      </c>
      <c r="V321" s="9">
        <f>Transport_1_hub!BM256</f>
        <v>0.36416719381817719</v>
      </c>
      <c r="X321" s="22"/>
      <c r="Y321" s="22"/>
      <c r="AG321" s="42"/>
      <c r="AL321" s="42"/>
    </row>
    <row r="322" spans="2:38" x14ac:dyDescent="0.25">
      <c r="B322" s="40">
        <f>Transport_1_hub!W257+Transport_1_hub!L257</f>
        <v>1498.7680754672544</v>
      </c>
      <c r="C322" s="8">
        <f>Transport_1_hub!AT257</f>
        <v>321.84987255450829</v>
      </c>
      <c r="D322" s="8">
        <f>Transport_1_hub!AU257</f>
        <v>3405.7704938480942</v>
      </c>
      <c r="E322" s="8">
        <f>Transport_1_hub!AV257</f>
        <v>1.8204859986707813</v>
      </c>
      <c r="F322" s="8">
        <f>Transport_1_hub!AW257</f>
        <v>321.38989641450826</v>
      </c>
      <c r="G322" s="8">
        <f>Transport_1_hub!AX257</f>
        <v>79.09297451161116</v>
      </c>
      <c r="H322" s="8">
        <f>Transport_1_hub!AY257</f>
        <v>2.1794500062412889</v>
      </c>
      <c r="I322" s="8">
        <f>Transport_1_hub!AZ257</f>
        <v>1.1454507578640296E-2</v>
      </c>
      <c r="J322" s="8">
        <f>Transport_1_hub!BA257</f>
        <v>17.601394831296336</v>
      </c>
      <c r="K322" s="8">
        <f>Transport_1_hub!BB257</f>
        <v>16.533315029150636</v>
      </c>
      <c r="L322" s="8">
        <f>Transport_1_hub!BC257</f>
        <v>1.891111251511401</v>
      </c>
      <c r="M322" s="8">
        <f>Transport_1_hub!BD257</f>
        <v>0.30493262855629161</v>
      </c>
      <c r="N322" s="8">
        <f>Transport_1_hub!BE257</f>
        <v>3.5727942361235234</v>
      </c>
      <c r="O322" s="8">
        <f>Transport_1_hub!BF257</f>
        <v>6.915587022914689E-2</v>
      </c>
      <c r="P322" s="8">
        <f>Transport_1_hub!BG257</f>
        <v>3.9661065537985139E-5</v>
      </c>
      <c r="Q322" s="8">
        <f>Transport_1_hub!BH257</f>
        <v>0.14980880423755596</v>
      </c>
      <c r="R322" s="8">
        <f>Transport_1_hub!BI257</f>
        <v>0.40434044115626017</v>
      </c>
      <c r="S322" s="8">
        <f>Transport_1_hub!BJ257</f>
        <v>9.276874062781891E-2</v>
      </c>
      <c r="T322" s="8">
        <f>Transport_1_hub!BK257</f>
        <v>1.0113005542818913E-2</v>
      </c>
      <c r="U322" s="8">
        <f>Transport_1_hub!BL257</f>
        <v>1.5719146419272101</v>
      </c>
      <c r="V322" s="9">
        <f>Transport_1_hub!BM257</f>
        <v>0.37535883551817723</v>
      </c>
      <c r="X322" s="22"/>
      <c r="Y322" s="22"/>
      <c r="AG322" s="42"/>
      <c r="AL322" s="42"/>
    </row>
    <row r="323" spans="2:38" x14ac:dyDescent="0.25">
      <c r="B323" s="40">
        <f>Transport_1_hub!W258+Transport_1_hub!L258</f>
        <v>1502.2590754672544</v>
      </c>
      <c r="C323" s="8">
        <f>Transport_1_hub!AT258</f>
        <v>323.0361143545083</v>
      </c>
      <c r="D323" s="8">
        <f>Transport_1_hub!AU258</f>
        <v>3423.0720659096974</v>
      </c>
      <c r="E323" s="8">
        <f>Transport_1_hub!AV258</f>
        <v>1.8388682082707815</v>
      </c>
      <c r="F323" s="8">
        <f>Transport_1_hub!AW258</f>
        <v>322.56070799450828</v>
      </c>
      <c r="G323" s="8">
        <f>Transport_1_hub!AX258</f>
        <v>79.476635411611156</v>
      </c>
      <c r="H323" s="8">
        <f>Transport_1_hub!AY258</f>
        <v>2.2419877802412893</v>
      </c>
      <c r="I323" s="8">
        <f>Transport_1_hub!AZ258</f>
        <v>1.1621241229640297E-2</v>
      </c>
      <c r="J323" s="8">
        <f>Transport_1_hub!BA258</f>
        <v>17.870100592296339</v>
      </c>
      <c r="K323" s="8">
        <f>Transport_1_hub!BB258</f>
        <v>16.612840009150638</v>
      </c>
      <c r="L323" s="8">
        <f>Transport_1_hub!BC258</f>
        <v>1.9455080135114011</v>
      </c>
      <c r="M323" s="8">
        <f>Transport_1_hub!BD258</f>
        <v>0.30507579097529158</v>
      </c>
      <c r="N323" s="8">
        <f>Transport_1_hub!BE258</f>
        <v>3.6543300321235241</v>
      </c>
      <c r="O323" s="8">
        <f>Transport_1_hub!BF258</f>
        <v>6.9079686136146887E-2</v>
      </c>
      <c r="P323" s="8">
        <f>Transport_1_hub!BG258</f>
        <v>3.9831719581985142E-5</v>
      </c>
      <c r="Q323" s="8">
        <f>Transport_1_hub!BH258</f>
        <v>0.15124374487755599</v>
      </c>
      <c r="R323" s="8">
        <f>Transport_1_hub!BI258</f>
        <v>0.40743392098626019</v>
      </c>
      <c r="S323" s="8">
        <f>Transport_1_hub!BJ258</f>
        <v>9.5720101847818928E-2</v>
      </c>
      <c r="T323" s="8">
        <f>Transport_1_hub!BK258</f>
        <v>1.0291622557818913E-2</v>
      </c>
      <c r="U323" s="8">
        <f>Transport_1_hub!BL258</f>
        <v>1.6022989095272102</v>
      </c>
      <c r="V323" s="9">
        <f>Transport_1_hub!BM258</f>
        <v>0.37861087656817721</v>
      </c>
      <c r="X323" s="22"/>
      <c r="Y323" s="22"/>
      <c r="AG323" s="42"/>
      <c r="AL323" s="42"/>
    </row>
    <row r="324" spans="2:38" x14ac:dyDescent="0.25">
      <c r="B324" s="40">
        <f>Transport_1_hub!W259+Transport_1_hub!L259</f>
        <v>1643.8226068471743</v>
      </c>
      <c r="C324" s="8">
        <f>Transport_1_hub!AT259</f>
        <v>350.6765500246533</v>
      </c>
      <c r="D324" s="8">
        <f>Transport_1_hub!AU259</f>
        <v>3761.0415078406795</v>
      </c>
      <c r="E324" s="8">
        <f>Transport_1_hub!AV259</f>
        <v>2.1097054885934927</v>
      </c>
      <c r="F324" s="8">
        <f>Transport_1_hub!AW259</f>
        <v>349.99953420465329</v>
      </c>
      <c r="G324" s="8">
        <f>Transport_1_hub!AX259</f>
        <v>87.131308328774722</v>
      </c>
      <c r="H324" s="8">
        <f>Transport_1_hub!AY259</f>
        <v>3.0683861508137356</v>
      </c>
      <c r="I324" s="8">
        <f>Transport_1_hub!AZ259</f>
        <v>1.3938224281412021E-2</v>
      </c>
      <c r="J324" s="8">
        <f>Transport_1_hub!BA259</f>
        <v>21.586966093410098</v>
      </c>
      <c r="K324" s="8">
        <f>Transport_1_hub!BB259</f>
        <v>18.160216027093366</v>
      </c>
      <c r="L324" s="8">
        <f>Transport_1_hub!BC259</f>
        <v>2.66344252229728</v>
      </c>
      <c r="M324" s="8">
        <f>Transport_1_hub!BD259</f>
        <v>0.32079248423748064</v>
      </c>
      <c r="N324" s="8">
        <f>Transport_1_hub!BE259</f>
        <v>4.7565181262296381</v>
      </c>
      <c r="O324" s="8">
        <f>Transport_1_hub!BF259</f>
        <v>7.0860395468966997E-2</v>
      </c>
      <c r="P324" s="8">
        <f>Transport_1_hub!BG259</f>
        <v>4.3410964749460596E-5</v>
      </c>
      <c r="Q324" s="8">
        <f>Transport_1_hub!BH259</f>
        <v>0.1729276848130134</v>
      </c>
      <c r="R324" s="8">
        <f>Transport_1_hub!BI259</f>
        <v>0.45457946353869583</v>
      </c>
      <c r="S324" s="8">
        <f>Transport_1_hub!BJ259</f>
        <v>0.13440225165782854</v>
      </c>
      <c r="T324" s="8">
        <f>Transport_1_hub!BK259</f>
        <v>1.2745419052828551E-2</v>
      </c>
      <c r="U324" s="8">
        <f>Transport_1_hub!BL259</f>
        <v>2.0128741694756807</v>
      </c>
      <c r="V324" s="9">
        <f>Transport_1_hub!BM259</f>
        <v>0.42876809462622495</v>
      </c>
      <c r="X324" s="22"/>
      <c r="Y324" s="22"/>
      <c r="AG324" s="42"/>
      <c r="AL324" s="42"/>
    </row>
    <row r="325" spans="2:38" x14ac:dyDescent="0.25">
      <c r="B325" s="40">
        <f>Transport_1_hub!W260+Transport_1_hub!L260</f>
        <v>1643.8226068471743</v>
      </c>
      <c r="C325" s="8">
        <f>Transport_1_hub!AT260</f>
        <v>350.6765500246533</v>
      </c>
      <c r="D325" s="8">
        <f>Transport_1_hub!AU260</f>
        <v>3761.0415078406795</v>
      </c>
      <c r="E325" s="8">
        <f>Transport_1_hub!AV260</f>
        <v>2.1097054885934927</v>
      </c>
      <c r="F325" s="8">
        <f>Transport_1_hub!AW260</f>
        <v>349.99953420465329</v>
      </c>
      <c r="G325" s="8">
        <f>Transport_1_hub!AX260</f>
        <v>87.131308328774722</v>
      </c>
      <c r="H325" s="8">
        <f>Transport_1_hub!AY260</f>
        <v>3.0683861508137356</v>
      </c>
      <c r="I325" s="8">
        <f>Transport_1_hub!AZ260</f>
        <v>1.3938224281412021E-2</v>
      </c>
      <c r="J325" s="8">
        <f>Transport_1_hub!BA260</f>
        <v>21.586966093410098</v>
      </c>
      <c r="K325" s="8">
        <f>Transport_1_hub!BB260</f>
        <v>18.160216027093366</v>
      </c>
      <c r="L325" s="8">
        <f>Transport_1_hub!BC260</f>
        <v>2.66344252229728</v>
      </c>
      <c r="M325" s="8">
        <f>Transport_1_hub!BD260</f>
        <v>0.32079248423748064</v>
      </c>
      <c r="N325" s="8">
        <f>Transport_1_hub!BE260</f>
        <v>4.7565181262296381</v>
      </c>
      <c r="O325" s="8">
        <f>Transport_1_hub!BF260</f>
        <v>7.0860395468966997E-2</v>
      </c>
      <c r="P325" s="8">
        <f>Transport_1_hub!BG260</f>
        <v>4.3410964749460596E-5</v>
      </c>
      <c r="Q325" s="8">
        <f>Transport_1_hub!BH260</f>
        <v>0.1729276848130134</v>
      </c>
      <c r="R325" s="8">
        <f>Transport_1_hub!BI260</f>
        <v>0.45457946353869583</v>
      </c>
      <c r="S325" s="8">
        <f>Transport_1_hub!BJ260</f>
        <v>0.13440225165782854</v>
      </c>
      <c r="T325" s="8">
        <f>Transport_1_hub!BK260</f>
        <v>1.2745419052828551E-2</v>
      </c>
      <c r="U325" s="8">
        <f>Transport_1_hub!BL260</f>
        <v>2.0128741694756807</v>
      </c>
      <c r="V325" s="9">
        <f>Transport_1_hub!BM260</f>
        <v>0.42876809462622495</v>
      </c>
      <c r="X325" s="22"/>
      <c r="Y325" s="22"/>
      <c r="AG325" s="42"/>
      <c r="AL325" s="42"/>
    </row>
    <row r="326" spans="2:38" x14ac:dyDescent="0.25">
      <c r="B326" s="40">
        <f>Transport_1_hub!W261+Transport_1_hub!L261</f>
        <v>1597.5330991616145</v>
      </c>
      <c r="C326" s="8">
        <f>Transport_1_hub!AT261</f>
        <v>347.99901511701796</v>
      </c>
      <c r="D326" s="8">
        <f>Transport_1_hub!AU261</f>
        <v>3763.471538456105</v>
      </c>
      <c r="E326" s="8">
        <f>Transport_1_hub!AV261</f>
        <v>2.1684937594995635</v>
      </c>
      <c r="F326" s="8">
        <f>Transport_1_hub!AW261</f>
        <v>347.25628715701794</v>
      </c>
      <c r="G326" s="8">
        <f>Transport_1_hub!AX261</f>
        <v>87.083181288292295</v>
      </c>
      <c r="H326" s="8">
        <f>Transport_1_hub!AY261</f>
        <v>3.3288017804616379</v>
      </c>
      <c r="I326" s="8">
        <f>Transport_1_hub!AZ261</f>
        <v>1.4560133850540266E-2</v>
      </c>
      <c r="J326" s="8">
        <f>Transport_1_hub!BA261</f>
        <v>22.600061426773415</v>
      </c>
      <c r="K326" s="8">
        <f>Transport_1_hub!BB261</f>
        <v>18.175243644270338</v>
      </c>
      <c r="L326" s="8">
        <f>Transport_1_hub!BC261</f>
        <v>2.8905216166266641</v>
      </c>
      <c r="M326" s="8">
        <f>Transport_1_hub!BD261</f>
        <v>0.31258106938017233</v>
      </c>
      <c r="N326" s="8">
        <f>Transport_1_hub!BE261</f>
        <v>5.0802903302094258</v>
      </c>
      <c r="O326" s="8">
        <f>Transport_1_hub!BF261</f>
        <v>6.8768425329539945E-2</v>
      </c>
      <c r="P326" s="8">
        <f>Transport_1_hub!BG261</f>
        <v>4.3278526973452818E-5</v>
      </c>
      <c r="Q326" s="8">
        <f>Transport_1_hub!BH261</f>
        <v>0.17716994483117099</v>
      </c>
      <c r="R326" s="8">
        <f>Transport_1_hub!BI261</f>
        <v>0.46347085673700772</v>
      </c>
      <c r="S326" s="8">
        <f>Transport_1_hub!BJ261</f>
        <v>0.14689468912494874</v>
      </c>
      <c r="T326" s="8">
        <f>Transport_1_hub!BK261</f>
        <v>1.3429667434948712E-2</v>
      </c>
      <c r="U326" s="8">
        <f>Transport_1_hub!BL261</f>
        <v>2.133624623680471</v>
      </c>
      <c r="V326" s="9">
        <f>Transport_1_hub!BM261</f>
        <v>0.43773593495628871</v>
      </c>
      <c r="X326" s="22"/>
      <c r="Y326" s="22"/>
      <c r="AG326" s="42"/>
      <c r="AL326" s="42"/>
    </row>
    <row r="327" spans="2:38" x14ac:dyDescent="0.25">
      <c r="B327" s="40">
        <f>Transport_1_hub!W262+Transport_1_hub!L262</f>
        <v>1597.5330991616145</v>
      </c>
      <c r="C327" s="8">
        <f>Transport_1_hub!AT262</f>
        <v>347.99901511701796</v>
      </c>
      <c r="D327" s="8">
        <f>Transport_1_hub!AU262</f>
        <v>3763.471538456105</v>
      </c>
      <c r="E327" s="8">
        <f>Transport_1_hub!AV262</f>
        <v>2.1684937594995635</v>
      </c>
      <c r="F327" s="8">
        <f>Transport_1_hub!AW262</f>
        <v>347.25628715701794</v>
      </c>
      <c r="G327" s="8">
        <f>Transport_1_hub!AX262</f>
        <v>87.083181288292295</v>
      </c>
      <c r="H327" s="8">
        <f>Transport_1_hub!AY262</f>
        <v>3.3288017804616379</v>
      </c>
      <c r="I327" s="8">
        <f>Transport_1_hub!AZ262</f>
        <v>1.4560133850540266E-2</v>
      </c>
      <c r="J327" s="8">
        <f>Transport_1_hub!BA262</f>
        <v>22.600061426773415</v>
      </c>
      <c r="K327" s="8">
        <f>Transport_1_hub!BB262</f>
        <v>18.175243644270338</v>
      </c>
      <c r="L327" s="8">
        <f>Transport_1_hub!BC262</f>
        <v>2.8905216166266641</v>
      </c>
      <c r="M327" s="8">
        <f>Transport_1_hub!BD262</f>
        <v>0.31258106938017233</v>
      </c>
      <c r="N327" s="8">
        <f>Transport_1_hub!BE262</f>
        <v>5.0802903302094258</v>
      </c>
      <c r="O327" s="8">
        <f>Transport_1_hub!BF262</f>
        <v>6.8768425329539945E-2</v>
      </c>
      <c r="P327" s="8">
        <f>Transport_1_hub!BG262</f>
        <v>4.3278526973452818E-5</v>
      </c>
      <c r="Q327" s="8">
        <f>Transport_1_hub!BH262</f>
        <v>0.17716994483117099</v>
      </c>
      <c r="R327" s="8">
        <f>Transport_1_hub!BI262</f>
        <v>0.46347085673700772</v>
      </c>
      <c r="S327" s="8">
        <f>Transport_1_hub!BJ262</f>
        <v>0.14689468912494874</v>
      </c>
      <c r="T327" s="8">
        <f>Transport_1_hub!BK262</f>
        <v>1.3429667434948712E-2</v>
      </c>
      <c r="U327" s="8">
        <f>Transport_1_hub!BL262</f>
        <v>2.133624623680471</v>
      </c>
      <c r="V327" s="9">
        <f>Transport_1_hub!BM262</f>
        <v>0.43773593495628871</v>
      </c>
      <c r="X327" s="22"/>
      <c r="Y327" s="22"/>
      <c r="AG327" s="42"/>
      <c r="AL327" s="42"/>
    </row>
    <row r="328" spans="2:38" x14ac:dyDescent="0.25">
      <c r="B328" s="40">
        <f>Transport_1_hub!W263+Transport_1_hub!L263</f>
        <v>1742.7405220458497</v>
      </c>
      <c r="C328" s="8">
        <f>Transport_1_hub!AT263</f>
        <v>366.18374023747458</v>
      </c>
      <c r="D328" s="8">
        <f>Transport_1_hub!AU263</f>
        <v>3930.1333499499297</v>
      </c>
      <c r="E328" s="8">
        <f>Transport_1_hub!AV263</f>
        <v>2.2117963611084792</v>
      </c>
      <c r="F328" s="8">
        <f>Transport_1_hub!AW263</f>
        <v>365.44346537747458</v>
      </c>
      <c r="G328" s="8">
        <f>Transport_1_hub!AX263</f>
        <v>91.021424216135628</v>
      </c>
      <c r="H328" s="8">
        <f>Transport_1_hub!AY263</f>
        <v>3.3329094191505284</v>
      </c>
      <c r="I328" s="8">
        <f>Transport_1_hub!AZ263</f>
        <v>1.4743208546412119E-2</v>
      </c>
      <c r="J328" s="8">
        <f>Transport_1_hub!BA263</f>
        <v>22.869812584928233</v>
      </c>
      <c r="K328" s="8">
        <f>Transport_1_hub!BB263</f>
        <v>18.932142206996996</v>
      </c>
      <c r="L328" s="8">
        <f>Transport_1_hub!BC263</f>
        <v>2.8927541248926638</v>
      </c>
      <c r="M328" s="8">
        <f>Transport_1_hub!BD263</f>
        <v>0.33356082405099857</v>
      </c>
      <c r="N328" s="8">
        <f>Transport_1_hub!BE263</f>
        <v>5.1231050704838967</v>
      </c>
      <c r="O328" s="8">
        <f>Transport_1_hub!BF263</f>
        <v>7.2983097748638523E-2</v>
      </c>
      <c r="P328" s="8">
        <f>Transport_1_hub!BG263</f>
        <v>4.5294177959720301E-5</v>
      </c>
      <c r="Q328" s="8">
        <f>Transport_1_hub!BH263</f>
        <v>0.18138423428558875</v>
      </c>
      <c r="R328" s="8">
        <f>Transport_1_hub!BI263</f>
        <v>0.47316196329202026</v>
      </c>
      <c r="S328" s="8">
        <f>Transport_1_hub!BJ263</f>
        <v>0.1466072626819219</v>
      </c>
      <c r="T328" s="8">
        <f>Transport_1_hub!BK263</f>
        <v>1.3583052516921891E-2</v>
      </c>
      <c r="U328" s="8">
        <f>Transport_1_hub!BL263</f>
        <v>2.1493568738945084</v>
      </c>
      <c r="V328" s="9">
        <f>Transport_1_hub!BM263</f>
        <v>0.44882755683480602</v>
      </c>
      <c r="X328" s="22"/>
      <c r="Y328" s="22"/>
      <c r="AG328" s="42"/>
      <c r="AL328" s="42"/>
    </row>
    <row r="329" spans="2:38" x14ac:dyDescent="0.25">
      <c r="B329" s="40">
        <f>Transport_1_hub!W264+Transport_1_hub!L264</f>
        <v>1511.2186068471742</v>
      </c>
      <c r="C329" s="8">
        <f>Transport_1_hub!AT264</f>
        <v>305.61771082465327</v>
      </c>
      <c r="D329" s="8">
        <f>Transport_1_hub!AU264</f>
        <v>3103.8493962231473</v>
      </c>
      <c r="E329" s="8">
        <f>Transport_1_hub!AV264</f>
        <v>1.4114658661934927</v>
      </c>
      <c r="F329" s="8">
        <f>Transport_1_hub!AW264</f>
        <v>305.52680468465326</v>
      </c>
      <c r="G329" s="8">
        <f>Transport_1_hub!AX264</f>
        <v>72.558128728774733</v>
      </c>
      <c r="H329" s="8">
        <f>Transport_1_hub!AY264</f>
        <v>0.6929180948137359</v>
      </c>
      <c r="I329" s="8">
        <f>Transport_1_hub!AZ264</f>
        <v>7.6049246374120232E-3</v>
      </c>
      <c r="J329" s="8">
        <f>Transport_1_hub!BA264</f>
        <v>11.380303609410099</v>
      </c>
      <c r="K329" s="8">
        <f>Transport_1_hub!BB264</f>
        <v>15.139496907093365</v>
      </c>
      <c r="L329" s="8">
        <f>Transport_1_hub!BC264</f>
        <v>0.59720699429727986</v>
      </c>
      <c r="M329" s="8">
        <f>Transport_1_hub!BD264</f>
        <v>0.31535452680148063</v>
      </c>
      <c r="N329" s="8">
        <f>Transport_1_hub!BE264</f>
        <v>1.6594191022296387</v>
      </c>
      <c r="O329" s="8">
        <f>Transport_1_hub!BF264</f>
        <v>7.3754212560966995E-2</v>
      </c>
      <c r="P329" s="8">
        <f>Transport_1_hub!BG264</f>
        <v>3.6928750813460594E-5</v>
      </c>
      <c r="Q329" s="8">
        <f>Transport_1_hub!BH264</f>
        <v>0.11842213665301339</v>
      </c>
      <c r="R329" s="8">
        <f>Transport_1_hub!BI264</f>
        <v>0.33707508101869588</v>
      </c>
      <c r="S329" s="8">
        <f>Transport_1_hub!BJ264</f>
        <v>2.2296177977828551E-2</v>
      </c>
      <c r="T329" s="8">
        <f>Transport_1_hub!BK264</f>
        <v>5.9607353928285509E-3</v>
      </c>
      <c r="U329" s="8">
        <f>Transport_1_hub!BL264</f>
        <v>0.85874199507568061</v>
      </c>
      <c r="V329" s="9">
        <f>Transport_1_hub!BM264</f>
        <v>0.30524083842622496</v>
      </c>
      <c r="X329" s="22"/>
      <c r="Y329" s="22"/>
      <c r="AG329" s="42"/>
      <c r="AL329" s="42"/>
    </row>
    <row r="330" spans="2:38" x14ac:dyDescent="0.25">
      <c r="B330" s="40">
        <f>Transport_1_hub!W265+Transport_1_hub!L265</f>
        <v>1543.6139893303537</v>
      </c>
      <c r="C330" s="8">
        <f>Transport_1_hub!AT265</f>
        <v>309.66956997534891</v>
      </c>
      <c r="D330" s="8">
        <f>Transport_1_hub!AU265</f>
        <v>3140.9539732147446</v>
      </c>
      <c r="E330" s="8">
        <f>Transport_1_hub!AV265</f>
        <v>1.4210344703446369</v>
      </c>
      <c r="F330" s="8">
        <f>Transport_1_hub!AW265</f>
        <v>309.57928705534891</v>
      </c>
      <c r="G330" s="8">
        <f>Transport_1_hub!AX265</f>
        <v>73.435038477872496</v>
      </c>
      <c r="H330" s="8">
        <f>Transport_1_hub!AY265</f>
        <v>0.693527182919629</v>
      </c>
      <c r="I330" s="8">
        <f>Transport_1_hub!AZ265</f>
        <v>7.6449567271128739E-3</v>
      </c>
      <c r="J330" s="8">
        <f>Transport_1_hub!BA265</f>
        <v>11.439189469268308</v>
      </c>
      <c r="K330" s="8">
        <f>Transport_1_hub!BB265</f>
        <v>15.308004261966573</v>
      </c>
      <c r="L330" s="8">
        <f>Transport_1_hub!BC265</f>
        <v>0.59743768620536519</v>
      </c>
      <c r="M330" s="8">
        <f>Transport_1_hub!BD265</f>
        <v>0.3200361780206295</v>
      </c>
      <c r="N330" s="8">
        <f>Transport_1_hub!BE265</f>
        <v>1.6685720914291324</v>
      </c>
      <c r="O330" s="8">
        <f>Transport_1_hub!BF265</f>
        <v>7.4695065356919527E-2</v>
      </c>
      <c r="P330" s="8">
        <f>Transport_1_hub!BG265</f>
        <v>3.737768994549183E-5</v>
      </c>
      <c r="Q330" s="8">
        <f>Transport_1_hub!BH265</f>
        <v>0.11935545793760127</v>
      </c>
      <c r="R330" s="8">
        <f>Transport_1_hub!BI265</f>
        <v>0.33922238955799944</v>
      </c>
      <c r="S330" s="8">
        <f>Transport_1_hub!BJ265</f>
        <v>2.2217539430102906E-2</v>
      </c>
      <c r="T330" s="8">
        <f>Transport_1_hub!BK265</f>
        <v>5.9940868001029067E-3</v>
      </c>
      <c r="U330" s="8">
        <f>Transport_1_hub!BL265</f>
        <v>0.86210339521575341</v>
      </c>
      <c r="V330" s="9">
        <f>Transport_1_hub!BM265</f>
        <v>0.30769994252054567</v>
      </c>
      <c r="X330" s="22"/>
      <c r="Y330" s="22"/>
      <c r="AG330" s="42"/>
      <c r="AL330" s="42"/>
    </row>
    <row r="331" spans="2:38" x14ac:dyDescent="0.25">
      <c r="B331" s="40">
        <f>Transport_1_hub!W266+Transport_1_hub!L266</f>
        <v>1562.0616068471743</v>
      </c>
      <c r="C331" s="8">
        <f>Transport_1_hub!AT266</f>
        <v>322.89416222465326</v>
      </c>
      <c r="D331" s="8">
        <f>Transport_1_hub!AU266</f>
        <v>3355.8298683881662</v>
      </c>
      <c r="E331" s="8">
        <f>Transport_1_hub!AV266</f>
        <v>1.6791847669934925</v>
      </c>
      <c r="F331" s="8">
        <f>Transport_1_hub!AW266</f>
        <v>322.57853002465328</v>
      </c>
      <c r="G331" s="8">
        <f>Transport_1_hub!AX266</f>
        <v>78.145774428774729</v>
      </c>
      <c r="H331" s="8">
        <f>Transport_1_hub!AY266</f>
        <v>1.6037195968137357</v>
      </c>
      <c r="I331" s="8">
        <f>Transport_1_hub!AZ266</f>
        <v>1.0033237160412023E-2</v>
      </c>
      <c r="J331" s="8">
        <f>Transport_1_hub!BA266</f>
        <v>15.293740162410099</v>
      </c>
      <c r="K331" s="8">
        <f>Transport_1_hub!BB266</f>
        <v>16.297700447093366</v>
      </c>
      <c r="L331" s="8">
        <f>Transport_1_hub!BC266</f>
        <v>1.3894426202972796</v>
      </c>
      <c r="M331" s="8">
        <f>Transport_1_hub!BD266</f>
        <v>0.31743954738848068</v>
      </c>
      <c r="N331" s="8">
        <f>Transport_1_hub!BE266</f>
        <v>2.8469082102296381</v>
      </c>
      <c r="O331" s="8">
        <f>Transport_1_hub!BF266</f>
        <v>7.2644665771966987E-2</v>
      </c>
      <c r="P331" s="8">
        <f>Transport_1_hub!BG266</f>
        <v>3.9414160025460594E-5</v>
      </c>
      <c r="Q331" s="8">
        <f>Transport_1_hub!BH266</f>
        <v>0.13932064337301339</v>
      </c>
      <c r="R331" s="8">
        <f>Transport_1_hub!BI266</f>
        <v>0.38212858860869586</v>
      </c>
      <c r="S331" s="8">
        <f>Transport_1_hub!BJ266</f>
        <v>6.5279867037828551E-2</v>
      </c>
      <c r="T331" s="8">
        <f>Transport_1_hub!BK266</f>
        <v>8.5621174878285512E-3</v>
      </c>
      <c r="U331" s="8">
        <f>Transport_1_hub!BL266</f>
        <v>1.3012591298756806</v>
      </c>
      <c r="V331" s="9">
        <f>Transport_1_hub!BM266</f>
        <v>0.35260363507622494</v>
      </c>
      <c r="X331" s="22"/>
      <c r="Y331" s="22"/>
      <c r="AG331" s="42"/>
      <c r="AL331" s="42"/>
    </row>
    <row r="332" spans="2:38" x14ac:dyDescent="0.25">
      <c r="B332" s="40">
        <f>Transport_1_hub!W267+Transport_1_hub!L267</f>
        <v>1597.4189540390801</v>
      </c>
      <c r="C332" s="8">
        <f>Transport_1_hub!AT267</f>
        <v>312.95491370932513</v>
      </c>
      <c r="D332" s="8">
        <f>Transport_1_hub!AU267</f>
        <v>3141.7104858403063</v>
      </c>
      <c r="E332" s="8">
        <f>Transport_1_hub!AV267</f>
        <v>1.357698908765</v>
      </c>
      <c r="F332" s="8">
        <f>Transport_1_hub!AW267</f>
        <v>312.93630992932509</v>
      </c>
      <c r="G332" s="8">
        <f>Transport_1_hub!AX267</f>
        <v>73.567945114106649</v>
      </c>
      <c r="H332" s="8">
        <f>Transport_1_hub!AY267</f>
        <v>0.40974015636773387</v>
      </c>
      <c r="I332" s="8">
        <f>Transport_1_hub!AZ267</f>
        <v>6.9707718064825073E-3</v>
      </c>
      <c r="J332" s="8">
        <f>Transport_1_hub!BA267</f>
        <v>10.340862494716266</v>
      </c>
      <c r="K332" s="8">
        <f>Transport_1_hub!BB267</f>
        <v>15.307118876368262</v>
      </c>
      <c r="L332" s="8">
        <f>Transport_1_hub!BC267</f>
        <v>0.34995141463356882</v>
      </c>
      <c r="M332" s="8">
        <f>Transport_1_hub!BD267</f>
        <v>0.32944682066657527</v>
      </c>
      <c r="N332" s="8">
        <f>Transport_1_hub!BE267</f>
        <v>1.3165148833451978</v>
      </c>
      <c r="O332" s="8">
        <f>Transport_1_hub!BF267</f>
        <v>7.7061486968682411E-2</v>
      </c>
      <c r="P332" s="8">
        <f>Transport_1_hub!BG267</f>
        <v>3.7563130094681114E-5</v>
      </c>
      <c r="Q332" s="8">
        <f>Transport_1_hub!BH267</f>
        <v>0.11481661694884679</v>
      </c>
      <c r="R332" s="8">
        <f>Transport_1_hub!BI267</f>
        <v>0.32972850639778928</v>
      </c>
      <c r="S332" s="8">
        <f>Transport_1_hub!BJ267</f>
        <v>8.5944631367376179E-3</v>
      </c>
      <c r="T332" s="8">
        <f>Transport_1_hub!BK267</f>
        <v>5.2514438417376186E-3</v>
      </c>
      <c r="U332" s="8">
        <f>Transport_1_hub!BL267</f>
        <v>0.7308077296939548</v>
      </c>
      <c r="V332" s="9">
        <f>Transport_1_hub!BM267</f>
        <v>0.29815344492109752</v>
      </c>
      <c r="X332" s="22"/>
      <c r="Y332" s="22"/>
      <c r="AG332" s="42"/>
      <c r="AL332" s="42"/>
    </row>
    <row r="333" spans="2:38" x14ac:dyDescent="0.25">
      <c r="B333" s="40">
        <f>Transport_1_hub!W268+Transport_1_hub!L268</f>
        <v>1590.8525220458498</v>
      </c>
      <c r="C333" s="8">
        <f>Transport_1_hub!AT268</f>
        <v>314.57219783747456</v>
      </c>
      <c r="D333" s="8">
        <f>Transport_1_hub!AU268</f>
        <v>3177.3687617824257</v>
      </c>
      <c r="E333" s="8">
        <f>Transport_1_hub!AV268</f>
        <v>1.4120149083084792</v>
      </c>
      <c r="F333" s="8">
        <f>Transport_1_hub!AW268</f>
        <v>314.50326793747456</v>
      </c>
      <c r="G333" s="8">
        <f>Transport_1_hub!AX268</f>
        <v>74.328933016135636</v>
      </c>
      <c r="H333" s="8">
        <f>Transport_1_hub!AY268</f>
        <v>0.61198778715052848</v>
      </c>
      <c r="I333" s="8">
        <f>Transport_1_hub!AZ268</f>
        <v>7.4888857784121193E-3</v>
      </c>
      <c r="J333" s="8">
        <f>Transport_1_hub!BA268</f>
        <v>11.178841336928235</v>
      </c>
      <c r="K333" s="8">
        <f>Transport_1_hub!BB268</f>
        <v>15.472133566996996</v>
      </c>
      <c r="L333" s="8">
        <f>Transport_1_hub!BC268</f>
        <v>0.52603530889266381</v>
      </c>
      <c r="M333" s="8">
        <f>Transport_1_hub!BD268</f>
        <v>0.3273320490589986</v>
      </c>
      <c r="N333" s="8">
        <f>Transport_1_hub!BE268</f>
        <v>1.5756089424838973</v>
      </c>
      <c r="O333" s="8">
        <f>Transport_1_hub!BF268</f>
        <v>7.6297749572638518E-2</v>
      </c>
      <c r="P333" s="8">
        <f>Transport_1_hub!BG268</f>
        <v>3.7869284967720298E-5</v>
      </c>
      <c r="Q333" s="8">
        <f>Transport_1_hub!BH268</f>
        <v>0.11895219076558876</v>
      </c>
      <c r="R333" s="8">
        <f>Transport_1_hub!BI268</f>
        <v>0.33856944985202025</v>
      </c>
      <c r="S333" s="8">
        <f>Transport_1_hub!BJ268</f>
        <v>1.8198109721921891E-2</v>
      </c>
      <c r="T333" s="8">
        <f>Transport_1_hub!BK268</f>
        <v>5.8117029969218907E-3</v>
      </c>
      <c r="U333" s="8">
        <f>Transport_1_hub!BL268</f>
        <v>0.82738447709450813</v>
      </c>
      <c r="V333" s="9">
        <f>Transport_1_hub!BM268</f>
        <v>0.30733629043480604</v>
      </c>
      <c r="X333" s="22"/>
      <c r="Y333" s="22"/>
      <c r="AG333" s="42"/>
      <c r="AL333" s="42"/>
    </row>
    <row r="334" spans="2:38" x14ac:dyDescent="0.25">
      <c r="B334" s="40">
        <f>Transport_1_hub!W269+Transport_1_hub!L269</f>
        <v>1797.8822437478434</v>
      </c>
      <c r="C334" s="8">
        <f>Transport_1_hub!AT269</f>
        <v>418.59054780473861</v>
      </c>
      <c r="D334" s="8">
        <f>Transport_1_hub!AU269</f>
        <v>4801.08407511306</v>
      </c>
      <c r="E334" s="8">
        <f>Transport_1_hub!AV269</f>
        <v>3.2817664443492047</v>
      </c>
      <c r="F334" s="8">
        <f>Transport_1_hub!AW269</f>
        <v>416.91015662473865</v>
      </c>
      <c r="G334" s="8">
        <f>Transport_1_hub!AX269</f>
        <v>110.07243682291707</v>
      </c>
      <c r="H334" s="8">
        <f>Transport_1_hub!AY269</f>
        <v>7.1279527507802838</v>
      </c>
      <c r="I334" s="8">
        <f>Transport_1_hub!AZ269</f>
        <v>2.4675163688838663E-2</v>
      </c>
      <c r="J334" s="8">
        <f>Transport_1_hub!BA269</f>
        <v>38.903439341841199</v>
      </c>
      <c r="K334" s="8">
        <f>Transport_1_hub!BB269</f>
        <v>22.945275488447713</v>
      </c>
      <c r="L334" s="8">
        <f>Transport_1_hub!BC269</f>
        <v>6.1952174866335463</v>
      </c>
      <c r="M334" s="8">
        <f>Transport_1_hub!BD269</f>
        <v>0.31957828529654064</v>
      </c>
      <c r="N334" s="8">
        <f>Transport_1_hub!BE269</f>
        <v>10.030521264182079</v>
      </c>
      <c r="O334" s="8">
        <f>Transport_1_hub!BF269</f>
        <v>6.3797305558780076E-2</v>
      </c>
      <c r="P334" s="8">
        <f>Transport_1_hub!BG269</f>
        <v>5.3482785492925397E-5</v>
      </c>
      <c r="Q334" s="8">
        <f>Transport_1_hub!BH269</f>
        <v>0.26400722058565029</v>
      </c>
      <c r="R334" s="8">
        <f>Transport_1_hub!BI269</f>
        <v>0.65062775429160924</v>
      </c>
      <c r="S334" s="8">
        <f>Transport_1_hub!BJ269</f>
        <v>0.32622817092302725</v>
      </c>
      <c r="T334" s="8">
        <f>Transport_1_hub!BK269</f>
        <v>2.4269099278027253E-2</v>
      </c>
      <c r="U334" s="8">
        <f>Transport_1_hub!BL269</f>
        <v>3.9783446500995194</v>
      </c>
      <c r="V334" s="9">
        <f>Transport_1_hub!BM269</f>
        <v>0.63441270572046105</v>
      </c>
      <c r="X334" s="22"/>
      <c r="Y334" s="22"/>
      <c r="AG334" s="42"/>
      <c r="AL334" s="42"/>
    </row>
    <row r="335" spans="2:38" x14ac:dyDescent="0.25">
      <c r="B335" s="40">
        <f>Transport_1_hub!W270+Transport_1_hub!L270</f>
        <v>1907.7762047865863</v>
      </c>
      <c r="C335" s="8">
        <f>Transport_1_hub!AT270</f>
        <v>374.04717173078069</v>
      </c>
      <c r="D335" s="8">
        <f>Transport_1_hub!AU270</f>
        <v>3895.0462810583981</v>
      </c>
      <c r="E335" s="8">
        <f>Transport_1_hub!AV270</f>
        <v>1.9699354677517402</v>
      </c>
      <c r="F335" s="8">
        <f>Transport_1_hub!AW270</f>
        <v>373.56839291078069</v>
      </c>
      <c r="G335" s="8">
        <f>Transport_1_hub!AX270</f>
        <v>90.612766530106782</v>
      </c>
      <c r="H335" s="8">
        <f>Transport_1_hub!AY270</f>
        <v>2.2944505937703692</v>
      </c>
      <c r="I335" s="8">
        <f>Transport_1_hub!AZ270</f>
        <v>1.2236812821809117E-2</v>
      </c>
      <c r="J335" s="8">
        <f>Transport_1_hub!BA270</f>
        <v>18.794805201693482</v>
      </c>
      <c r="K335" s="8">
        <f>Transport_1_hub!BB270</f>
        <v>18.757109852788087</v>
      </c>
      <c r="L335" s="8">
        <f>Transport_1_hub!BC270</f>
        <v>1.9874367203616934</v>
      </c>
      <c r="M335" s="8">
        <f>Transport_1_hub!BD270</f>
        <v>0.36330792422954367</v>
      </c>
      <c r="N335" s="8">
        <f>Transport_1_hub!BE270</f>
        <v>3.8262666058791566</v>
      </c>
      <c r="O335" s="8">
        <f>Transport_1_hub!BF270</f>
        <v>8.0677181533668305E-2</v>
      </c>
      <c r="P335" s="8">
        <f>Transport_1_hub!BG270</f>
        <v>4.5513952341999866E-5</v>
      </c>
      <c r="Q335" s="8">
        <f>Transport_1_hub!BH270</f>
        <v>0.16383118893542625</v>
      </c>
      <c r="R335" s="8">
        <f>Transport_1_hub!BI270</f>
        <v>0.43625292762420276</v>
      </c>
      <c r="S335" s="8">
        <f>Transport_1_hub!BJ270</f>
        <v>9.686796083267056E-2</v>
      </c>
      <c r="T335" s="8">
        <f>Transport_1_hub!BK270</f>
        <v>1.0833464977670557E-2</v>
      </c>
      <c r="U335" s="8">
        <f>Transport_1_hub!BL270</f>
        <v>1.6657990472451778</v>
      </c>
      <c r="V335" s="9">
        <f>Transport_1_hub!BM270</f>
        <v>0.41141521500002187</v>
      </c>
      <c r="X335" s="22"/>
      <c r="Y335" s="22"/>
      <c r="AG335" s="42"/>
      <c r="AL335" s="42"/>
    </row>
    <row r="336" spans="2:38" x14ac:dyDescent="0.25">
      <c r="B336" s="40">
        <f>Transport_1_hub!W271+Transport_1_hub!L271</f>
        <v>1806.9092047865863</v>
      </c>
      <c r="C336" s="8">
        <f>Transport_1_hub!AT271</f>
        <v>339.77256513078066</v>
      </c>
      <c r="D336" s="8">
        <f>Transport_1_hub!AU271</f>
        <v>3395.144342032987</v>
      </c>
      <c r="E336" s="8">
        <f>Transport_1_hub!AV271</f>
        <v>1.4388101925517403</v>
      </c>
      <c r="F336" s="8">
        <f>Transport_1_hub!AW271</f>
        <v>339.73961845078065</v>
      </c>
      <c r="G336" s="8">
        <f>Transport_1_hub!AX271</f>
        <v>79.527483230106782</v>
      </c>
      <c r="H336" s="8">
        <f>Transport_1_hub!AY271</f>
        <v>0.48751915577036936</v>
      </c>
      <c r="I336" s="8">
        <f>Transport_1_hub!AZ271</f>
        <v>7.4193040348091172E-3</v>
      </c>
      <c r="J336" s="8">
        <f>Transport_1_hub!BA271</f>
        <v>11.030971344693482</v>
      </c>
      <c r="K336" s="8">
        <f>Transport_1_hub!BB271</f>
        <v>16.459359592788086</v>
      </c>
      <c r="L336" s="8">
        <f>Transport_1_hub!BC271</f>
        <v>0.41572712636169329</v>
      </c>
      <c r="M336" s="8">
        <f>Transport_1_hub!BD271</f>
        <v>0.35917146942654365</v>
      </c>
      <c r="N336" s="8">
        <f>Transport_1_hub!BE271</f>
        <v>1.4704169538791567</v>
      </c>
      <c r="O336" s="8">
        <f>Transport_1_hub!BF271</f>
        <v>8.2878402074668303E-2</v>
      </c>
      <c r="P336" s="8">
        <f>Transport_1_hub!BG271</f>
        <v>4.0583169913999863E-5</v>
      </c>
      <c r="Q336" s="8">
        <f>Transport_1_hub!BH271</f>
        <v>0.12237081725542624</v>
      </c>
      <c r="R336" s="8">
        <f>Transport_1_hub!BI271</f>
        <v>0.34687165291420274</v>
      </c>
      <c r="S336" s="8">
        <f>Transport_1_hub!BJ271</f>
        <v>1.1592981692670557E-2</v>
      </c>
      <c r="T336" s="8">
        <f>Transport_1_hub!BK271</f>
        <v>5.6726049226705566E-3</v>
      </c>
      <c r="U336" s="8">
        <f>Transport_1_hub!BL271</f>
        <v>0.78789302604517775</v>
      </c>
      <c r="V336" s="9">
        <f>Transport_1_hub!BM271</f>
        <v>0.31745256115002185</v>
      </c>
      <c r="X336" s="22"/>
      <c r="Y336" s="22"/>
      <c r="AG336" s="42"/>
      <c r="AL336" s="42"/>
    </row>
    <row r="337" spans="2:38" x14ac:dyDescent="0.25">
      <c r="B337" s="40">
        <f>Transport_1_hub!W272+Transport_1_hub!L272</f>
        <v>1971.9084580989129</v>
      </c>
      <c r="C337" s="8">
        <f>Transport_1_hub!AT272</f>
        <v>372.82579279957832</v>
      </c>
      <c r="D337" s="8">
        <f>Transport_1_hub!AU272</f>
        <v>3806.7229483476885</v>
      </c>
      <c r="E337" s="8">
        <f>Transport_1_hub!AV272</f>
        <v>1.7793062314765911</v>
      </c>
      <c r="F337" s="8">
        <f>Transport_1_hub!AW272</f>
        <v>372.53438661957836</v>
      </c>
      <c r="G337" s="8">
        <f>Transport_1_hub!AX272</f>
        <v>88.828419038975966</v>
      </c>
      <c r="H337" s="8">
        <f>Transport_1_hub!AY272</f>
        <v>1.5451083825058958</v>
      </c>
      <c r="I337" s="8">
        <f>Transport_1_hub!AZ272</f>
        <v>1.0362712474282644E-2</v>
      </c>
      <c r="J337" s="8">
        <f>Transport_1_hub!BA272</f>
        <v>15.758668302747246</v>
      </c>
      <c r="K337" s="8">
        <f>Transport_1_hub!BB272</f>
        <v>18.344720459686936</v>
      </c>
      <c r="L337" s="8">
        <f>Transport_1_hub!BC272</f>
        <v>1.33467835117145</v>
      </c>
      <c r="M337" s="8">
        <f>Transport_1_hub!BD272</f>
        <v>0.37680989952626343</v>
      </c>
      <c r="N337" s="8">
        <f>Transport_1_hub!BE272</f>
        <v>2.8762235819449469</v>
      </c>
      <c r="O337" s="8">
        <f>Transport_1_hub!BF272</f>
        <v>8.4622948834492256E-2</v>
      </c>
      <c r="P337" s="8">
        <f>Transport_1_hub!BG272</f>
        <v>4.490950522546399E-5</v>
      </c>
      <c r="Q337" s="8">
        <f>Transport_1_hub!BH272</f>
        <v>0.1495966231458965</v>
      </c>
      <c r="R337" s="8">
        <f>Transport_1_hub!BI272</f>
        <v>0.40600890284987678</v>
      </c>
      <c r="S337" s="8">
        <f>Transport_1_hub!BJ272</f>
        <v>6.115997397389885E-2</v>
      </c>
      <c r="T337" s="8">
        <f>Transport_1_hub!BK272</f>
        <v>8.7955360788988472E-3</v>
      </c>
      <c r="U337" s="8">
        <f>Transport_1_hub!BL272</f>
        <v>1.3116458438330509</v>
      </c>
      <c r="V337" s="9">
        <f>Transport_1_hub!BM272</f>
        <v>0.38028008424785043</v>
      </c>
      <c r="X337" s="22"/>
      <c r="Y337" s="22"/>
      <c r="AG337" s="42"/>
      <c r="AL337" s="42"/>
    </row>
    <row r="338" spans="2:38" x14ac:dyDescent="0.25">
      <c r="B338" s="40">
        <f>Transport_1_hub!W273+Transport_1_hub!L273</f>
        <v>2093.9678119954597</v>
      </c>
      <c r="C338" s="8">
        <f>Transport_1_hub!AT273</f>
        <v>413.53545708429073</v>
      </c>
      <c r="D338" s="8">
        <f>Transport_1_hub!AU273</f>
        <v>4398.1439034477498</v>
      </c>
      <c r="E338" s="8">
        <f>Transport_1_hub!AV273</f>
        <v>2.4044530606604684</v>
      </c>
      <c r="F338" s="8">
        <f>Transport_1_hub!AW273</f>
        <v>412.72020134429079</v>
      </c>
      <c r="G338" s="8">
        <f>Transport_1_hub!AX273</f>
        <v>101.94890772089484</v>
      </c>
      <c r="H338" s="8">
        <f>Transport_1_hub!AY273</f>
        <v>3.6685737086956585</v>
      </c>
      <c r="I338" s="8">
        <f>Transport_1_hub!AZ273</f>
        <v>1.6028246037406806E-2</v>
      </c>
      <c r="J338" s="8">
        <f>Transport_1_hub!BA273</f>
        <v>24.888651362186472</v>
      </c>
      <c r="K338" s="8">
        <f>Transport_1_hub!BB273</f>
        <v>21.062916678392988</v>
      </c>
      <c r="L338" s="8">
        <f>Transport_1_hub!BC273</f>
        <v>3.1816842692243346</v>
      </c>
      <c r="M338" s="8">
        <f>Transport_1_hub!BD273</f>
        <v>0.38217641291422794</v>
      </c>
      <c r="N338" s="8">
        <f>Transport_1_hub!BE273</f>
        <v>5.6456589996793003</v>
      </c>
      <c r="O338" s="8">
        <f>Transport_1_hub!BF273</f>
        <v>8.2136738108943286E-2</v>
      </c>
      <c r="P338" s="8">
        <f>Transport_1_hub!BG273</f>
        <v>5.0751831803125703E-5</v>
      </c>
      <c r="Q338" s="8">
        <f>Transport_1_hub!BH273</f>
        <v>0.19841808521208032</v>
      </c>
      <c r="R338" s="8">
        <f>Transport_1_hub!BI273</f>
        <v>0.51127413186936421</v>
      </c>
      <c r="S338" s="8">
        <f>Transport_1_hub!BJ273</f>
        <v>0.16136181104784561</v>
      </c>
      <c r="T338" s="8">
        <f>Transport_1_hub!BK273</f>
        <v>1.4863859062845606E-2</v>
      </c>
      <c r="U338" s="8">
        <f>Transport_1_hub!BL273</f>
        <v>2.3436705499745187</v>
      </c>
      <c r="V338" s="9">
        <f>Transport_1_hub!BM273</f>
        <v>0.4909627544334183</v>
      </c>
      <c r="X338" s="22"/>
      <c r="Y338" s="22"/>
      <c r="AG338" s="42"/>
      <c r="AL338" s="42"/>
    </row>
    <row r="339" spans="2:38" x14ac:dyDescent="0.25">
      <c r="B339" s="40">
        <f>Transport_1_hub!W274+Transport_1_hub!L274</f>
        <v>2244.2998809488863</v>
      </c>
      <c r="C339" s="8">
        <f>Transport_1_hub!AT274</f>
        <v>395.26440349289396</v>
      </c>
      <c r="D339" s="8">
        <f>Transport_1_hub!AU274</f>
        <v>3922.2768327773788</v>
      </c>
      <c r="E339" s="8">
        <f>Transport_1_hub!AV274</f>
        <v>1.6098849781212246</v>
      </c>
      <c r="F339" s="8">
        <f>Transport_1_hub!AW274</f>
        <v>395.19681727289395</v>
      </c>
      <c r="G339" s="8">
        <f>Transport_1_hub!AX274</f>
        <v>91.91498662340318</v>
      </c>
      <c r="H339" s="8">
        <f>Transport_1_hub!AY274</f>
        <v>0.66824152160525663</v>
      </c>
      <c r="I339" s="8">
        <f>Transport_1_hub!AZ274</f>
        <v>8.397380995743076E-3</v>
      </c>
      <c r="J339" s="8">
        <f>Transport_1_hub!BA274</f>
        <v>12.546777964464422</v>
      </c>
      <c r="K339" s="8">
        <f>Transport_1_hub!BB274</f>
        <v>18.85678296390477</v>
      </c>
      <c r="L339" s="8">
        <f>Transport_1_hub!BC274</f>
        <v>0.56905938613750184</v>
      </c>
      <c r="M339" s="8">
        <f>Transport_1_hub!BD274</f>
        <v>0.42080336428037252</v>
      </c>
      <c r="N339" s="8">
        <f>Transport_1_hub!BE274</f>
        <v>1.8140766442261549</v>
      </c>
      <c r="O339" s="8">
        <f>Transport_1_hub!BF274</f>
        <v>9.4819446889369205E-2</v>
      </c>
      <c r="P339" s="8">
        <f>Transport_1_hub!BG274</f>
        <v>4.6851360231995352E-5</v>
      </c>
      <c r="Q339" s="8">
        <f>Transport_1_hub!BH274</f>
        <v>0.1383810923108662</v>
      </c>
      <c r="R339" s="8">
        <f>Transport_1_hub!BI274</f>
        <v>0.38317538976419141</v>
      </c>
      <c r="S339" s="8">
        <f>Transport_1_hub!BJ274</f>
        <v>1.8744630091716626E-2</v>
      </c>
      <c r="T339" s="8">
        <f>Transport_1_hub!BK274</f>
        <v>6.5996768867166242E-3</v>
      </c>
      <c r="U339" s="8">
        <f>Transport_1_hub!BL274</f>
        <v>0.91553254177993759</v>
      </c>
      <c r="V339" s="9">
        <f>Transport_1_hub!BM274</f>
        <v>0.35827258771081277</v>
      </c>
      <c r="X339" s="22"/>
      <c r="Y339" s="22"/>
      <c r="AG339" s="42"/>
      <c r="AL339" s="42"/>
    </row>
    <row r="340" spans="2:38" x14ac:dyDescent="0.25">
      <c r="B340" s="40">
        <f>Transport_1_hub!W275+Transport_1_hub!L275</f>
        <v>2244.2998809488863</v>
      </c>
      <c r="C340" s="8">
        <f>Transport_1_hub!AT275</f>
        <v>395.26440349289396</v>
      </c>
      <c r="D340" s="8">
        <f>Transport_1_hub!AU275</f>
        <v>3922.2768327773788</v>
      </c>
      <c r="E340" s="8">
        <f>Transport_1_hub!AV275</f>
        <v>1.6098849781212246</v>
      </c>
      <c r="F340" s="8">
        <f>Transport_1_hub!AW275</f>
        <v>395.19681727289395</v>
      </c>
      <c r="G340" s="8">
        <f>Transport_1_hub!AX275</f>
        <v>91.91498662340318</v>
      </c>
      <c r="H340" s="8">
        <f>Transport_1_hub!AY275</f>
        <v>0.66824152160525663</v>
      </c>
      <c r="I340" s="8">
        <f>Transport_1_hub!AZ275</f>
        <v>8.397380995743076E-3</v>
      </c>
      <c r="J340" s="8">
        <f>Transport_1_hub!BA275</f>
        <v>12.546777964464422</v>
      </c>
      <c r="K340" s="8">
        <f>Transport_1_hub!BB275</f>
        <v>18.85678296390477</v>
      </c>
      <c r="L340" s="8">
        <f>Transport_1_hub!BC275</f>
        <v>0.56905938613750184</v>
      </c>
      <c r="M340" s="8">
        <f>Transport_1_hub!BD275</f>
        <v>0.42080336428037252</v>
      </c>
      <c r="N340" s="8">
        <f>Transport_1_hub!BE275</f>
        <v>1.8140766442261549</v>
      </c>
      <c r="O340" s="8">
        <f>Transport_1_hub!BF275</f>
        <v>9.4819446889369205E-2</v>
      </c>
      <c r="P340" s="8">
        <f>Transport_1_hub!BG275</f>
        <v>4.6851360231995352E-5</v>
      </c>
      <c r="Q340" s="8">
        <f>Transport_1_hub!BH275</f>
        <v>0.1383810923108662</v>
      </c>
      <c r="R340" s="8">
        <f>Transport_1_hub!BI275</f>
        <v>0.38317538976419141</v>
      </c>
      <c r="S340" s="8">
        <f>Transport_1_hub!BJ275</f>
        <v>1.8744630091716626E-2</v>
      </c>
      <c r="T340" s="8">
        <f>Transport_1_hub!BK275</f>
        <v>6.5996768867166242E-3</v>
      </c>
      <c r="U340" s="8">
        <f>Transport_1_hub!BL275</f>
        <v>0.91553254177993759</v>
      </c>
      <c r="V340" s="9">
        <f>Transport_1_hub!BM275</f>
        <v>0.35827258771081277</v>
      </c>
      <c r="X340" s="22"/>
      <c r="Y340" s="22"/>
      <c r="AG340" s="42"/>
      <c r="AL340" s="42"/>
    </row>
    <row r="341" spans="2:38" x14ac:dyDescent="0.25">
      <c r="B341" s="40">
        <f>Transport_1_hub!W276+Transport_1_hub!L276</f>
        <v>2244.2998809488863</v>
      </c>
      <c r="C341" s="8">
        <f>Transport_1_hub!AT276</f>
        <v>395.26440349289396</v>
      </c>
      <c r="D341" s="8">
        <f>Transport_1_hub!AU276</f>
        <v>3922.2768327773788</v>
      </c>
      <c r="E341" s="8">
        <f>Transport_1_hub!AV276</f>
        <v>1.6098849781212246</v>
      </c>
      <c r="F341" s="8">
        <f>Transport_1_hub!AW276</f>
        <v>395.19681727289395</v>
      </c>
      <c r="G341" s="8">
        <f>Transport_1_hub!AX276</f>
        <v>91.91498662340318</v>
      </c>
      <c r="H341" s="8">
        <f>Transport_1_hub!AY276</f>
        <v>0.66824152160525663</v>
      </c>
      <c r="I341" s="8">
        <f>Transport_1_hub!AZ276</f>
        <v>8.397380995743076E-3</v>
      </c>
      <c r="J341" s="8">
        <f>Transport_1_hub!BA276</f>
        <v>12.546777964464422</v>
      </c>
      <c r="K341" s="8">
        <f>Transport_1_hub!BB276</f>
        <v>18.85678296390477</v>
      </c>
      <c r="L341" s="8">
        <f>Transport_1_hub!BC276</f>
        <v>0.56905938613750184</v>
      </c>
      <c r="M341" s="8">
        <f>Transport_1_hub!BD276</f>
        <v>0.42080336428037252</v>
      </c>
      <c r="N341" s="8">
        <f>Transport_1_hub!BE276</f>
        <v>1.8140766442261549</v>
      </c>
      <c r="O341" s="8">
        <f>Transport_1_hub!BF276</f>
        <v>9.4819446889369205E-2</v>
      </c>
      <c r="P341" s="8">
        <f>Transport_1_hub!BG276</f>
        <v>4.6851360231995352E-5</v>
      </c>
      <c r="Q341" s="8">
        <f>Transport_1_hub!BH276</f>
        <v>0.1383810923108662</v>
      </c>
      <c r="R341" s="8">
        <f>Transport_1_hub!BI276</f>
        <v>0.38317538976419141</v>
      </c>
      <c r="S341" s="8">
        <f>Transport_1_hub!BJ276</f>
        <v>1.8744630091716626E-2</v>
      </c>
      <c r="T341" s="8">
        <f>Transport_1_hub!BK276</f>
        <v>6.5996768867166242E-3</v>
      </c>
      <c r="U341" s="8">
        <f>Transport_1_hub!BL276</f>
        <v>0.91553254177993759</v>
      </c>
      <c r="V341" s="9">
        <f>Transport_1_hub!BM276</f>
        <v>0.35827258771081277</v>
      </c>
      <c r="X341" s="22"/>
      <c r="Y341" s="22"/>
      <c r="AG341" s="42"/>
      <c r="AL341" s="42"/>
    </row>
    <row r="342" spans="2:38" x14ac:dyDescent="0.25">
      <c r="B342" s="40">
        <f>Transport_1_hub!W277+Transport_1_hub!L277</f>
        <v>2244.2998809488863</v>
      </c>
      <c r="C342" s="8">
        <f>Transport_1_hub!AT277</f>
        <v>395.26440349289396</v>
      </c>
      <c r="D342" s="8">
        <f>Transport_1_hub!AU277</f>
        <v>3922.2768327773788</v>
      </c>
      <c r="E342" s="8">
        <f>Transport_1_hub!AV277</f>
        <v>1.6098849781212246</v>
      </c>
      <c r="F342" s="8">
        <f>Transport_1_hub!AW277</f>
        <v>395.19681727289395</v>
      </c>
      <c r="G342" s="8">
        <f>Transport_1_hub!AX277</f>
        <v>91.91498662340318</v>
      </c>
      <c r="H342" s="8">
        <f>Transport_1_hub!AY277</f>
        <v>0.66824152160525663</v>
      </c>
      <c r="I342" s="8">
        <f>Transport_1_hub!AZ277</f>
        <v>8.397380995743076E-3</v>
      </c>
      <c r="J342" s="8">
        <f>Transport_1_hub!BA277</f>
        <v>12.546777964464422</v>
      </c>
      <c r="K342" s="8">
        <f>Transport_1_hub!BB277</f>
        <v>18.85678296390477</v>
      </c>
      <c r="L342" s="8">
        <f>Transport_1_hub!BC277</f>
        <v>0.56905938613750184</v>
      </c>
      <c r="M342" s="8">
        <f>Transport_1_hub!BD277</f>
        <v>0.42080336428037252</v>
      </c>
      <c r="N342" s="8">
        <f>Transport_1_hub!BE277</f>
        <v>1.8140766442261549</v>
      </c>
      <c r="O342" s="8">
        <f>Transport_1_hub!BF277</f>
        <v>9.4819446889369205E-2</v>
      </c>
      <c r="P342" s="8">
        <f>Transport_1_hub!BG277</f>
        <v>4.6851360231995352E-5</v>
      </c>
      <c r="Q342" s="8">
        <f>Transport_1_hub!BH277</f>
        <v>0.1383810923108662</v>
      </c>
      <c r="R342" s="8">
        <f>Transport_1_hub!BI277</f>
        <v>0.38317538976419141</v>
      </c>
      <c r="S342" s="8">
        <f>Transport_1_hub!BJ277</f>
        <v>1.8744630091716626E-2</v>
      </c>
      <c r="T342" s="8">
        <f>Transport_1_hub!BK277</f>
        <v>6.5996768867166242E-3</v>
      </c>
      <c r="U342" s="8">
        <f>Transport_1_hub!BL277</f>
        <v>0.91553254177993759</v>
      </c>
      <c r="V342" s="9">
        <f>Transport_1_hub!BM277</f>
        <v>0.35827258771081277</v>
      </c>
      <c r="X342" s="22"/>
      <c r="Y342" s="22"/>
      <c r="AG342" s="42"/>
      <c r="AL342" s="42"/>
    </row>
    <row r="343" spans="2:38" x14ac:dyDescent="0.25">
      <c r="B343" s="40">
        <f>Transport_1_hub!W278+Transport_1_hub!L278</f>
        <v>2244.2998809488863</v>
      </c>
      <c r="C343" s="8">
        <f>Transport_1_hub!AT278</f>
        <v>395.26440349289396</v>
      </c>
      <c r="D343" s="8">
        <f>Transport_1_hub!AU278</f>
        <v>3922.2768327773788</v>
      </c>
      <c r="E343" s="8">
        <f>Transport_1_hub!AV278</f>
        <v>1.6098849781212246</v>
      </c>
      <c r="F343" s="8">
        <f>Transport_1_hub!AW278</f>
        <v>395.19681727289395</v>
      </c>
      <c r="G343" s="8">
        <f>Transport_1_hub!AX278</f>
        <v>91.91498662340318</v>
      </c>
      <c r="H343" s="8">
        <f>Transport_1_hub!AY278</f>
        <v>0.66824152160525663</v>
      </c>
      <c r="I343" s="8">
        <f>Transport_1_hub!AZ278</f>
        <v>8.397380995743076E-3</v>
      </c>
      <c r="J343" s="8">
        <f>Transport_1_hub!BA278</f>
        <v>12.546777964464422</v>
      </c>
      <c r="K343" s="8">
        <f>Transport_1_hub!BB278</f>
        <v>18.85678296390477</v>
      </c>
      <c r="L343" s="8">
        <f>Transport_1_hub!BC278</f>
        <v>0.56905938613750184</v>
      </c>
      <c r="M343" s="8">
        <f>Transport_1_hub!BD278</f>
        <v>0.42080336428037252</v>
      </c>
      <c r="N343" s="8">
        <f>Transport_1_hub!BE278</f>
        <v>1.8140766442261549</v>
      </c>
      <c r="O343" s="8">
        <f>Transport_1_hub!BF278</f>
        <v>9.4819446889369205E-2</v>
      </c>
      <c r="P343" s="8">
        <f>Transport_1_hub!BG278</f>
        <v>4.6851360231995352E-5</v>
      </c>
      <c r="Q343" s="8">
        <f>Transport_1_hub!BH278</f>
        <v>0.1383810923108662</v>
      </c>
      <c r="R343" s="8">
        <f>Transport_1_hub!BI278</f>
        <v>0.38317538976419141</v>
      </c>
      <c r="S343" s="8">
        <f>Transport_1_hub!BJ278</f>
        <v>1.8744630091716626E-2</v>
      </c>
      <c r="T343" s="8">
        <f>Transport_1_hub!BK278</f>
        <v>6.5996768867166242E-3</v>
      </c>
      <c r="U343" s="8">
        <f>Transport_1_hub!BL278</f>
        <v>0.91553254177993759</v>
      </c>
      <c r="V343" s="9">
        <f>Transport_1_hub!BM278</f>
        <v>0.35827258771081277</v>
      </c>
      <c r="X343" s="22"/>
      <c r="Y343" s="22"/>
      <c r="AG343" s="42"/>
      <c r="AL343" s="42"/>
    </row>
    <row r="344" spans="2:38" x14ac:dyDescent="0.25">
      <c r="B344" s="40">
        <f>Transport_1_hub!W279+Transport_1_hub!L279</f>
        <v>2244.2998809488863</v>
      </c>
      <c r="C344" s="8">
        <f>Transport_1_hub!AT279</f>
        <v>395.26440349289396</v>
      </c>
      <c r="D344" s="8">
        <f>Transport_1_hub!AU279</f>
        <v>3922.2768327773788</v>
      </c>
      <c r="E344" s="8">
        <f>Transport_1_hub!AV279</f>
        <v>1.6098849781212246</v>
      </c>
      <c r="F344" s="8">
        <f>Transport_1_hub!AW279</f>
        <v>395.19681727289395</v>
      </c>
      <c r="G344" s="8">
        <f>Transport_1_hub!AX279</f>
        <v>91.91498662340318</v>
      </c>
      <c r="H344" s="8">
        <f>Transport_1_hub!AY279</f>
        <v>0.66824152160525663</v>
      </c>
      <c r="I344" s="8">
        <f>Transport_1_hub!AZ279</f>
        <v>8.397380995743076E-3</v>
      </c>
      <c r="J344" s="8">
        <f>Transport_1_hub!BA279</f>
        <v>12.546777964464422</v>
      </c>
      <c r="K344" s="8">
        <f>Transport_1_hub!BB279</f>
        <v>18.85678296390477</v>
      </c>
      <c r="L344" s="8">
        <f>Transport_1_hub!BC279</f>
        <v>0.56905938613750184</v>
      </c>
      <c r="M344" s="8">
        <f>Transport_1_hub!BD279</f>
        <v>0.42080336428037252</v>
      </c>
      <c r="N344" s="8">
        <f>Transport_1_hub!BE279</f>
        <v>1.8140766442261549</v>
      </c>
      <c r="O344" s="8">
        <f>Transport_1_hub!BF279</f>
        <v>9.4819446889369205E-2</v>
      </c>
      <c r="P344" s="8">
        <f>Transport_1_hub!BG279</f>
        <v>4.6851360231995352E-5</v>
      </c>
      <c r="Q344" s="8">
        <f>Transport_1_hub!BH279</f>
        <v>0.1383810923108662</v>
      </c>
      <c r="R344" s="8">
        <f>Transport_1_hub!BI279</f>
        <v>0.38317538976419141</v>
      </c>
      <c r="S344" s="8">
        <f>Transport_1_hub!BJ279</f>
        <v>1.8744630091716626E-2</v>
      </c>
      <c r="T344" s="8">
        <f>Transport_1_hub!BK279</f>
        <v>6.5996768867166242E-3</v>
      </c>
      <c r="U344" s="8">
        <f>Transport_1_hub!BL279</f>
        <v>0.91553254177993759</v>
      </c>
      <c r="V344" s="9">
        <f>Transport_1_hub!BM279</f>
        <v>0.35827258771081277</v>
      </c>
      <c r="X344" s="22"/>
      <c r="Y344" s="22"/>
      <c r="AG344" s="42"/>
      <c r="AL344" s="42"/>
    </row>
    <row r="345" spans="2:38" x14ac:dyDescent="0.25">
      <c r="B345" s="40">
        <f>Transport_1_hub!W280+Transport_1_hub!L280</f>
        <v>2244.2998809488863</v>
      </c>
      <c r="C345" s="8">
        <f>Transport_1_hub!AT280</f>
        <v>395.26440349289396</v>
      </c>
      <c r="D345" s="8">
        <f>Transport_1_hub!AU280</f>
        <v>3922.2768327773788</v>
      </c>
      <c r="E345" s="8">
        <f>Transport_1_hub!AV280</f>
        <v>1.6098849781212246</v>
      </c>
      <c r="F345" s="8">
        <f>Transport_1_hub!AW280</f>
        <v>395.19681727289395</v>
      </c>
      <c r="G345" s="8">
        <f>Transport_1_hub!AX280</f>
        <v>91.91498662340318</v>
      </c>
      <c r="H345" s="8">
        <f>Transport_1_hub!AY280</f>
        <v>0.66824152160525663</v>
      </c>
      <c r="I345" s="8">
        <f>Transport_1_hub!AZ280</f>
        <v>8.397380995743076E-3</v>
      </c>
      <c r="J345" s="8">
        <f>Transport_1_hub!BA280</f>
        <v>12.546777964464422</v>
      </c>
      <c r="K345" s="8">
        <f>Transport_1_hub!BB280</f>
        <v>18.85678296390477</v>
      </c>
      <c r="L345" s="8">
        <f>Transport_1_hub!BC280</f>
        <v>0.56905938613750184</v>
      </c>
      <c r="M345" s="8">
        <f>Transport_1_hub!BD280</f>
        <v>0.42080336428037252</v>
      </c>
      <c r="N345" s="8">
        <f>Transport_1_hub!BE280</f>
        <v>1.8140766442261549</v>
      </c>
      <c r="O345" s="8">
        <f>Transport_1_hub!BF280</f>
        <v>9.4819446889369205E-2</v>
      </c>
      <c r="P345" s="8">
        <f>Transport_1_hub!BG280</f>
        <v>4.6851360231995352E-5</v>
      </c>
      <c r="Q345" s="8">
        <f>Transport_1_hub!BH280</f>
        <v>0.1383810923108662</v>
      </c>
      <c r="R345" s="8">
        <f>Transport_1_hub!BI280</f>
        <v>0.38317538976419141</v>
      </c>
      <c r="S345" s="8">
        <f>Transport_1_hub!BJ280</f>
        <v>1.8744630091716626E-2</v>
      </c>
      <c r="T345" s="8">
        <f>Transport_1_hub!BK280</f>
        <v>6.5996768867166242E-3</v>
      </c>
      <c r="U345" s="8">
        <f>Transport_1_hub!BL280</f>
        <v>0.91553254177993759</v>
      </c>
      <c r="V345" s="9">
        <f>Transport_1_hub!BM280</f>
        <v>0.35827258771081277</v>
      </c>
      <c r="X345" s="22"/>
      <c r="Y345" s="22"/>
      <c r="AG345" s="42"/>
      <c r="AL345" s="42"/>
    </row>
    <row r="346" spans="2:38" x14ac:dyDescent="0.25">
      <c r="B346" s="40">
        <f>Transport_1_hub!W281+Transport_1_hub!L281</f>
        <v>2244.2998809488863</v>
      </c>
      <c r="C346" s="8">
        <f>Transport_1_hub!AT281</f>
        <v>395.26440349289396</v>
      </c>
      <c r="D346" s="8">
        <f>Transport_1_hub!AU281</f>
        <v>3922.2768327773788</v>
      </c>
      <c r="E346" s="8">
        <f>Transport_1_hub!AV281</f>
        <v>1.6098849781212246</v>
      </c>
      <c r="F346" s="8">
        <f>Transport_1_hub!AW281</f>
        <v>395.19681727289395</v>
      </c>
      <c r="G346" s="8">
        <f>Transport_1_hub!AX281</f>
        <v>91.91498662340318</v>
      </c>
      <c r="H346" s="8">
        <f>Transport_1_hub!AY281</f>
        <v>0.66824152160525663</v>
      </c>
      <c r="I346" s="8">
        <f>Transport_1_hub!AZ281</f>
        <v>8.397380995743076E-3</v>
      </c>
      <c r="J346" s="8">
        <f>Transport_1_hub!BA281</f>
        <v>12.546777964464422</v>
      </c>
      <c r="K346" s="8">
        <f>Transport_1_hub!BB281</f>
        <v>18.85678296390477</v>
      </c>
      <c r="L346" s="8">
        <f>Transport_1_hub!BC281</f>
        <v>0.56905938613750184</v>
      </c>
      <c r="M346" s="8">
        <f>Transport_1_hub!BD281</f>
        <v>0.42080336428037252</v>
      </c>
      <c r="N346" s="8">
        <f>Transport_1_hub!BE281</f>
        <v>1.8140766442261549</v>
      </c>
      <c r="O346" s="8">
        <f>Transport_1_hub!BF281</f>
        <v>9.4819446889369205E-2</v>
      </c>
      <c r="P346" s="8">
        <f>Transport_1_hub!BG281</f>
        <v>4.6851360231995352E-5</v>
      </c>
      <c r="Q346" s="8">
        <f>Transport_1_hub!BH281</f>
        <v>0.1383810923108662</v>
      </c>
      <c r="R346" s="8">
        <f>Transport_1_hub!BI281</f>
        <v>0.38317538976419141</v>
      </c>
      <c r="S346" s="8">
        <f>Transport_1_hub!BJ281</f>
        <v>1.8744630091716626E-2</v>
      </c>
      <c r="T346" s="8">
        <f>Transport_1_hub!BK281</f>
        <v>6.5996768867166242E-3</v>
      </c>
      <c r="U346" s="8">
        <f>Transport_1_hub!BL281</f>
        <v>0.91553254177993759</v>
      </c>
      <c r="V346" s="9">
        <f>Transport_1_hub!BM281</f>
        <v>0.35827258771081277</v>
      </c>
      <c r="X346" s="22"/>
      <c r="Y346" s="22"/>
      <c r="AG346" s="42"/>
      <c r="AL346" s="42"/>
    </row>
    <row r="347" spans="2:38" x14ac:dyDescent="0.25">
      <c r="B347" s="40">
        <f>Transport_1_hub!W282+Transport_1_hub!L282</f>
        <v>2244.2998809488863</v>
      </c>
      <c r="C347" s="8">
        <f>Transport_1_hub!AT282</f>
        <v>395.26440349289396</v>
      </c>
      <c r="D347" s="8">
        <f>Transport_1_hub!AU282</f>
        <v>3922.2768327773788</v>
      </c>
      <c r="E347" s="8">
        <f>Transport_1_hub!AV282</f>
        <v>1.6098849781212246</v>
      </c>
      <c r="F347" s="8">
        <f>Transport_1_hub!AW282</f>
        <v>395.19681727289395</v>
      </c>
      <c r="G347" s="8">
        <f>Transport_1_hub!AX282</f>
        <v>91.91498662340318</v>
      </c>
      <c r="H347" s="8">
        <f>Transport_1_hub!AY282</f>
        <v>0.66824152160525663</v>
      </c>
      <c r="I347" s="8">
        <f>Transport_1_hub!AZ282</f>
        <v>8.397380995743076E-3</v>
      </c>
      <c r="J347" s="8">
        <f>Transport_1_hub!BA282</f>
        <v>12.546777964464422</v>
      </c>
      <c r="K347" s="8">
        <f>Transport_1_hub!BB282</f>
        <v>18.85678296390477</v>
      </c>
      <c r="L347" s="8">
        <f>Transport_1_hub!BC282</f>
        <v>0.56905938613750184</v>
      </c>
      <c r="M347" s="8">
        <f>Transport_1_hub!BD282</f>
        <v>0.42080336428037252</v>
      </c>
      <c r="N347" s="8">
        <f>Transport_1_hub!BE282</f>
        <v>1.8140766442261549</v>
      </c>
      <c r="O347" s="8">
        <f>Transport_1_hub!BF282</f>
        <v>9.4819446889369205E-2</v>
      </c>
      <c r="P347" s="8">
        <f>Transport_1_hub!BG282</f>
        <v>4.6851360231995352E-5</v>
      </c>
      <c r="Q347" s="8">
        <f>Transport_1_hub!BH282</f>
        <v>0.1383810923108662</v>
      </c>
      <c r="R347" s="8">
        <f>Transport_1_hub!BI282</f>
        <v>0.38317538976419141</v>
      </c>
      <c r="S347" s="8">
        <f>Transport_1_hub!BJ282</f>
        <v>1.8744630091716626E-2</v>
      </c>
      <c r="T347" s="8">
        <f>Transport_1_hub!BK282</f>
        <v>6.5996768867166242E-3</v>
      </c>
      <c r="U347" s="8">
        <f>Transport_1_hub!BL282</f>
        <v>0.91553254177993759</v>
      </c>
      <c r="V347" s="9">
        <f>Transport_1_hub!BM282</f>
        <v>0.35827258771081277</v>
      </c>
      <c r="X347" s="22"/>
      <c r="Y347" s="22"/>
      <c r="AG347" s="42"/>
      <c r="AL347" s="42"/>
    </row>
    <row r="348" spans="2:38" x14ac:dyDescent="0.25">
      <c r="B348" s="40">
        <f>Transport_1_hub!W283+Transport_1_hub!L283</f>
        <v>2244.2998809488863</v>
      </c>
      <c r="C348" s="8">
        <f>Transport_1_hub!AT283</f>
        <v>395.26440349289396</v>
      </c>
      <c r="D348" s="8">
        <f>Transport_1_hub!AU283</f>
        <v>3922.2768327773788</v>
      </c>
      <c r="E348" s="8">
        <f>Transport_1_hub!AV283</f>
        <v>1.6098849781212246</v>
      </c>
      <c r="F348" s="8">
        <f>Transport_1_hub!AW283</f>
        <v>395.19681727289395</v>
      </c>
      <c r="G348" s="8">
        <f>Transport_1_hub!AX283</f>
        <v>91.91498662340318</v>
      </c>
      <c r="H348" s="8">
        <f>Transport_1_hub!AY283</f>
        <v>0.66824152160525663</v>
      </c>
      <c r="I348" s="8">
        <f>Transport_1_hub!AZ283</f>
        <v>8.397380995743076E-3</v>
      </c>
      <c r="J348" s="8">
        <f>Transport_1_hub!BA283</f>
        <v>12.546777964464422</v>
      </c>
      <c r="K348" s="8">
        <f>Transport_1_hub!BB283</f>
        <v>18.85678296390477</v>
      </c>
      <c r="L348" s="8">
        <f>Transport_1_hub!BC283</f>
        <v>0.56905938613750184</v>
      </c>
      <c r="M348" s="8">
        <f>Transport_1_hub!BD283</f>
        <v>0.42080336428037252</v>
      </c>
      <c r="N348" s="8">
        <f>Transport_1_hub!BE283</f>
        <v>1.8140766442261549</v>
      </c>
      <c r="O348" s="8">
        <f>Transport_1_hub!BF283</f>
        <v>9.4819446889369205E-2</v>
      </c>
      <c r="P348" s="8">
        <f>Transport_1_hub!BG283</f>
        <v>4.6851360231995352E-5</v>
      </c>
      <c r="Q348" s="8">
        <f>Transport_1_hub!BH283</f>
        <v>0.1383810923108662</v>
      </c>
      <c r="R348" s="8">
        <f>Transport_1_hub!BI283</f>
        <v>0.38317538976419141</v>
      </c>
      <c r="S348" s="8">
        <f>Transport_1_hub!BJ283</f>
        <v>1.8744630091716626E-2</v>
      </c>
      <c r="T348" s="8">
        <f>Transport_1_hub!BK283</f>
        <v>6.5996768867166242E-3</v>
      </c>
      <c r="U348" s="8">
        <f>Transport_1_hub!BL283</f>
        <v>0.91553254177993759</v>
      </c>
      <c r="V348" s="9">
        <f>Transport_1_hub!BM283</f>
        <v>0.35827258771081277</v>
      </c>
      <c r="X348" s="22"/>
      <c r="Y348" s="22"/>
      <c r="AG348" s="42"/>
      <c r="AL348" s="42"/>
    </row>
    <row r="349" spans="2:38" x14ac:dyDescent="0.25">
      <c r="B349" s="40">
        <f>Transport_1_hub!W284+Transport_1_hub!L284</f>
        <v>2068.30881199546</v>
      </c>
      <c r="C349" s="8">
        <f>Transport_1_hub!AT284</f>
        <v>404.81652888429073</v>
      </c>
      <c r="D349" s="8">
        <f>Transport_1_hub!AU284</f>
        <v>4270.9766053874027</v>
      </c>
      <c r="E349" s="8">
        <f>Transport_1_hub!AV284</f>
        <v>2.2693430302604685</v>
      </c>
      <c r="F349" s="8">
        <f>Transport_1_hub!AW284</f>
        <v>404.11468592429077</v>
      </c>
      <c r="G349" s="8">
        <f>Transport_1_hub!AX284</f>
        <v>99.128983620894843</v>
      </c>
      <c r="H349" s="8">
        <f>Transport_1_hub!AY284</f>
        <v>3.2089183826956584</v>
      </c>
      <c r="I349" s="8">
        <f>Transport_1_hub!AZ284</f>
        <v>1.4802746538406807E-2</v>
      </c>
      <c r="J349" s="8">
        <f>Transport_1_hub!BA284</f>
        <v>22.913652473186474</v>
      </c>
      <c r="K349" s="8">
        <f>Transport_1_hub!BB284</f>
        <v>20.478404658392989</v>
      </c>
      <c r="L349" s="8">
        <f>Transport_1_hub!BC284</f>
        <v>2.7818657312243347</v>
      </c>
      <c r="M349" s="8">
        <f>Transport_1_hub!BD284</f>
        <v>0.38112416298322793</v>
      </c>
      <c r="N349" s="8">
        <f>Transport_1_hub!BE284</f>
        <v>5.0463673956793009</v>
      </c>
      <c r="O349" s="8">
        <f>Transport_1_hub!BF284</f>
        <v>8.2696694465943285E-2</v>
      </c>
      <c r="P349" s="8">
        <f>Transport_1_hub!BG284</f>
        <v>4.9497517247125709E-5</v>
      </c>
      <c r="Q349" s="8">
        <f>Transport_1_hub!BH284</f>
        <v>0.18787120985208033</v>
      </c>
      <c r="R349" s="8">
        <f>Transport_1_hub!BI284</f>
        <v>0.48853692219936423</v>
      </c>
      <c r="S349" s="8">
        <f>Transport_1_hub!BJ284</f>
        <v>0.13966917926784561</v>
      </c>
      <c r="T349" s="8">
        <f>Transport_1_hub!BK284</f>
        <v>1.3551016327845606E-2</v>
      </c>
      <c r="U349" s="8">
        <f>Transport_1_hub!BL284</f>
        <v>2.1203448775745191</v>
      </c>
      <c r="V349" s="9">
        <f>Transport_1_hub!BM284</f>
        <v>0.46706011298341826</v>
      </c>
      <c r="X349" s="22"/>
      <c r="Y349" s="22"/>
      <c r="AG349" s="42"/>
      <c r="AL349" s="42"/>
    </row>
    <row r="350" spans="2:38" x14ac:dyDescent="0.25">
      <c r="B350" s="40">
        <f>Transport_1_hub!W285+Transport_1_hub!L285</f>
        <v>2068.30881199546</v>
      </c>
      <c r="C350" s="8">
        <f>Transport_1_hub!AT285</f>
        <v>404.81652888429073</v>
      </c>
      <c r="D350" s="8">
        <f>Transport_1_hub!AU285</f>
        <v>4270.9766053874027</v>
      </c>
      <c r="E350" s="8">
        <f>Transport_1_hub!AV285</f>
        <v>2.2693430302604685</v>
      </c>
      <c r="F350" s="8">
        <f>Transport_1_hub!AW285</f>
        <v>404.11468592429077</v>
      </c>
      <c r="G350" s="8">
        <f>Transport_1_hub!AX285</f>
        <v>99.128983620894843</v>
      </c>
      <c r="H350" s="8">
        <f>Transport_1_hub!AY285</f>
        <v>3.2089183826956584</v>
      </c>
      <c r="I350" s="8">
        <f>Transport_1_hub!AZ285</f>
        <v>1.4802746538406807E-2</v>
      </c>
      <c r="J350" s="8">
        <f>Transport_1_hub!BA285</f>
        <v>22.913652473186474</v>
      </c>
      <c r="K350" s="8">
        <f>Transport_1_hub!BB285</f>
        <v>20.478404658392989</v>
      </c>
      <c r="L350" s="8">
        <f>Transport_1_hub!BC285</f>
        <v>2.7818657312243347</v>
      </c>
      <c r="M350" s="8">
        <f>Transport_1_hub!BD285</f>
        <v>0.38112416298322793</v>
      </c>
      <c r="N350" s="8">
        <f>Transport_1_hub!BE285</f>
        <v>5.0463673956793009</v>
      </c>
      <c r="O350" s="8">
        <f>Transport_1_hub!BF285</f>
        <v>8.2696694465943285E-2</v>
      </c>
      <c r="P350" s="8">
        <f>Transport_1_hub!BG285</f>
        <v>4.9497517247125709E-5</v>
      </c>
      <c r="Q350" s="8">
        <f>Transport_1_hub!BH285</f>
        <v>0.18787120985208033</v>
      </c>
      <c r="R350" s="8">
        <f>Transport_1_hub!BI285</f>
        <v>0.48853692219936423</v>
      </c>
      <c r="S350" s="8">
        <f>Transport_1_hub!BJ285</f>
        <v>0.13966917926784561</v>
      </c>
      <c r="T350" s="8">
        <f>Transport_1_hub!BK285</f>
        <v>1.3551016327845606E-2</v>
      </c>
      <c r="U350" s="8">
        <f>Transport_1_hub!BL285</f>
        <v>2.1203448775745191</v>
      </c>
      <c r="V350" s="9">
        <f>Transport_1_hub!BM285</f>
        <v>0.46706011298341826</v>
      </c>
      <c r="X350" s="22"/>
      <c r="Y350" s="22"/>
      <c r="AG350" s="42"/>
      <c r="AL350" s="42"/>
    </row>
    <row r="351" spans="2:38" x14ac:dyDescent="0.25">
      <c r="B351" s="40">
        <f>Transport_1_hub!W286+Transport_1_hub!L286</f>
        <v>2313.7682069229409</v>
      </c>
      <c r="C351" s="8">
        <f>Transport_1_hub!AT286</f>
        <v>406.71336629334877</v>
      </c>
      <c r="D351" s="8">
        <f>Transport_1_hub!AU286</f>
        <v>4052.9674558296033</v>
      </c>
      <c r="E351" s="8">
        <f>Transport_1_hub!AV286</f>
        <v>1.6984377609770684</v>
      </c>
      <c r="F351" s="8">
        <f>Transport_1_hub!AW286</f>
        <v>406.58536751334873</v>
      </c>
      <c r="G351" s="8">
        <f>Transport_1_hub!AX286</f>
        <v>94.903042283705005</v>
      </c>
      <c r="H351" s="8">
        <f>Transport_1_hub!AY286</f>
        <v>0.9182824514152037</v>
      </c>
      <c r="I351" s="8">
        <f>Transport_1_hub!AZ286</f>
        <v>9.1280129858443033E-3</v>
      </c>
      <c r="J351" s="8">
        <f>Transport_1_hub!BA286</f>
        <v>13.717011164120276</v>
      </c>
      <c r="K351" s="8">
        <f>Transport_1_hub!BB286</f>
        <v>19.454250250069151</v>
      </c>
      <c r="L351" s="8">
        <f>Transport_1_hub!BC286</f>
        <v>0.78605246082585178</v>
      </c>
      <c r="M351" s="8">
        <f>Transport_1_hub!BD286</f>
        <v>0.42930298644236065</v>
      </c>
      <c r="N351" s="8">
        <f>Transport_1_hub!BE286</f>
        <v>2.1540081303717677</v>
      </c>
      <c r="O351" s="8">
        <f>Transport_1_hub!BF286</f>
        <v>9.6082636297574783E-2</v>
      </c>
      <c r="P351" s="8">
        <f>Transport_1_hub!BG286</f>
        <v>4.8278092537461811E-5</v>
      </c>
      <c r="Q351" s="8">
        <f>Transport_1_hub!BH286</f>
        <v>0.14564740687489272</v>
      </c>
      <c r="R351" s="8">
        <f>Transport_1_hub!BI286</f>
        <v>0.39907285630589079</v>
      </c>
      <c r="S351" s="8">
        <f>Transport_1_hub!BJ286</f>
        <v>3.036775712298119E-2</v>
      </c>
      <c r="T351" s="8">
        <f>Transport_1_hub!BK286</f>
        <v>7.3669265779811909E-3</v>
      </c>
      <c r="U351" s="8">
        <f>Transport_1_hub!BL286</f>
        <v>1.0421631173448591</v>
      </c>
      <c r="V351" s="9">
        <f>Transport_1_hub!BM286</f>
        <v>0.37532943380156836</v>
      </c>
      <c r="X351" s="22"/>
      <c r="Y351" s="22"/>
      <c r="AG351" s="42"/>
      <c r="AL351" s="42"/>
    </row>
    <row r="352" spans="2:38" x14ac:dyDescent="0.25">
      <c r="B352" s="40">
        <f>Transport_1_hub!W287+Transport_1_hub!L287</f>
        <v>2313.7682069229409</v>
      </c>
      <c r="C352" s="8">
        <f>Transport_1_hub!AT287</f>
        <v>406.71336629334877</v>
      </c>
      <c r="D352" s="8">
        <f>Transport_1_hub!AU287</f>
        <v>4052.9674558296033</v>
      </c>
      <c r="E352" s="8">
        <f>Transport_1_hub!AV287</f>
        <v>1.6984377609770684</v>
      </c>
      <c r="F352" s="8">
        <f>Transport_1_hub!AW287</f>
        <v>406.58536751334873</v>
      </c>
      <c r="G352" s="8">
        <f>Transport_1_hub!AX287</f>
        <v>94.903042283705005</v>
      </c>
      <c r="H352" s="8">
        <f>Transport_1_hub!AY287</f>
        <v>0.9182824514152037</v>
      </c>
      <c r="I352" s="8">
        <f>Transport_1_hub!AZ287</f>
        <v>9.1280129858443033E-3</v>
      </c>
      <c r="J352" s="8">
        <f>Transport_1_hub!BA287</f>
        <v>13.717011164120276</v>
      </c>
      <c r="K352" s="8">
        <f>Transport_1_hub!BB287</f>
        <v>19.454250250069151</v>
      </c>
      <c r="L352" s="8">
        <f>Transport_1_hub!BC287</f>
        <v>0.78605246082585178</v>
      </c>
      <c r="M352" s="8">
        <f>Transport_1_hub!BD287</f>
        <v>0.42930298644236065</v>
      </c>
      <c r="N352" s="8">
        <f>Transport_1_hub!BE287</f>
        <v>2.1540081303717677</v>
      </c>
      <c r="O352" s="8">
        <f>Transport_1_hub!BF287</f>
        <v>9.6082636297574783E-2</v>
      </c>
      <c r="P352" s="8">
        <f>Transport_1_hub!BG287</f>
        <v>4.8278092537461811E-5</v>
      </c>
      <c r="Q352" s="8">
        <f>Transport_1_hub!BH287</f>
        <v>0.14564740687489272</v>
      </c>
      <c r="R352" s="8">
        <f>Transport_1_hub!BI287</f>
        <v>0.39907285630589079</v>
      </c>
      <c r="S352" s="8">
        <f>Transport_1_hub!BJ287</f>
        <v>3.036775712298119E-2</v>
      </c>
      <c r="T352" s="8">
        <f>Transport_1_hub!BK287</f>
        <v>7.3669265779811909E-3</v>
      </c>
      <c r="U352" s="8">
        <f>Transport_1_hub!BL287</f>
        <v>1.0421631173448591</v>
      </c>
      <c r="V352" s="9">
        <f>Transport_1_hub!BM287</f>
        <v>0.37532943380156836</v>
      </c>
      <c r="X352" s="22"/>
      <c r="Y352" s="22"/>
      <c r="AG352" s="42"/>
      <c r="AL352" s="42"/>
    </row>
    <row r="353" spans="2:38" x14ac:dyDescent="0.25">
      <c r="B353" s="40">
        <f>Transport_1_hub!W288+Transport_1_hub!L288</f>
        <v>2326.3803894753578</v>
      </c>
      <c r="C353" s="8">
        <f>Transport_1_hub!AT288</f>
        <v>403.90661807321379</v>
      </c>
      <c r="D353" s="8">
        <f>Transport_1_hub!AU288</f>
        <v>3990.9045319236634</v>
      </c>
      <c r="E353" s="8">
        <f>Transport_1_hub!AV288</f>
        <v>1.6031943961230692</v>
      </c>
      <c r="F353" s="8">
        <f>Transport_1_hub!AW288</f>
        <v>403.86666127321377</v>
      </c>
      <c r="G353" s="8">
        <f>Transport_1_hub!AX288</f>
        <v>93.579207150685249</v>
      </c>
      <c r="H353" s="8">
        <f>Transport_1_hub!AY288</f>
        <v>0.56447638042448234</v>
      </c>
      <c r="I353" s="8">
        <f>Transport_1_hub!AZ288</f>
        <v>8.22198475480556E-3</v>
      </c>
      <c r="J353" s="8">
        <f>Transport_1_hub!BA288</f>
        <v>12.252699938154818</v>
      </c>
      <c r="K353" s="8">
        <f>Transport_1_hub!BB288</f>
        <v>19.167102425823977</v>
      </c>
      <c r="L353" s="8">
        <f>Transport_1_hub!BC288</f>
        <v>0.47801391629650797</v>
      </c>
      <c r="M353" s="8">
        <f>Transport_1_hub!BD288</f>
        <v>0.43311228122807388</v>
      </c>
      <c r="N353" s="8">
        <f>Transport_1_hub!BE288</f>
        <v>1.7008341186541955</v>
      </c>
      <c r="O353" s="8">
        <f>Transport_1_hub!BF288</f>
        <v>9.7426568756571144E-2</v>
      </c>
      <c r="P353" s="8">
        <f>Transport_1_hub!BG288</f>
        <v>4.774608575312136E-5</v>
      </c>
      <c r="Q353" s="8">
        <f>Transport_1_hub!BH288</f>
        <v>0.13841961679143408</v>
      </c>
      <c r="R353" s="8">
        <f>Transport_1_hub!BI288</f>
        <v>0.3836266250402377</v>
      </c>
      <c r="S353" s="8">
        <f>Transport_1_hub!BJ288</f>
        <v>1.3567399385058812E-2</v>
      </c>
      <c r="T353" s="8">
        <f>Transport_1_hub!BK288</f>
        <v>6.3873341850588126E-3</v>
      </c>
      <c r="U353" s="8">
        <f>Transport_1_hub!BL288</f>
        <v>0.87326299547981723</v>
      </c>
      <c r="V353" s="9">
        <f>Transport_1_hub!BM288</f>
        <v>0.35929229782039035</v>
      </c>
      <c r="X353" s="22"/>
      <c r="Y353" s="22"/>
      <c r="AG353" s="42"/>
      <c r="AL353" s="42"/>
    </row>
    <row r="354" spans="2:38" x14ac:dyDescent="0.25">
      <c r="B354" s="40">
        <f>Transport_1_hub!W289+Transport_1_hub!L289</f>
        <v>2497.700389475358</v>
      </c>
      <c r="C354" s="8">
        <f>Transport_1_hub!AT289</f>
        <v>462.1211540732138</v>
      </c>
      <c r="D354" s="8">
        <f>Transport_1_hub!AU289</f>
        <v>4839.9750921052237</v>
      </c>
      <c r="E354" s="8">
        <f>Transport_1_hub!AV289</f>
        <v>2.5052969881230691</v>
      </c>
      <c r="F354" s="8">
        <f>Transport_1_hub!AW289</f>
        <v>461.32396287321376</v>
      </c>
      <c r="G354" s="8">
        <f>Transport_1_hub!AX289</f>
        <v>112.40727515068525</v>
      </c>
      <c r="H354" s="8">
        <f>Transport_1_hub!AY289</f>
        <v>3.6335028604244823</v>
      </c>
      <c r="I354" s="8">
        <f>Transport_1_hub!AZ289</f>
        <v>1.640439927480556E-2</v>
      </c>
      <c r="J354" s="8">
        <f>Transport_1_hub!BA289</f>
        <v>25.439371658154819</v>
      </c>
      <c r="K354" s="8">
        <f>Transport_1_hub!BB289</f>
        <v>23.06977202582398</v>
      </c>
      <c r="L354" s="8">
        <f>Transport_1_hub!BC289</f>
        <v>3.1475221562965081</v>
      </c>
      <c r="M354" s="8">
        <f>Transport_1_hub!BD289</f>
        <v>0.44013794310807391</v>
      </c>
      <c r="N354" s="8">
        <f>Transport_1_hub!BE289</f>
        <v>5.7021840386541962</v>
      </c>
      <c r="O354" s="8">
        <f>Transport_1_hub!BF289</f>
        <v>9.3687852396571139E-2</v>
      </c>
      <c r="P354" s="8">
        <f>Transport_1_hub!BG289</f>
        <v>5.6120892633121361E-5</v>
      </c>
      <c r="Q354" s="8">
        <f>Transport_1_hub!BH289</f>
        <v>0.20883898959143407</v>
      </c>
      <c r="R354" s="8">
        <f>Transport_1_hub!BI289</f>
        <v>0.53543841664023772</v>
      </c>
      <c r="S354" s="8">
        <f>Transport_1_hub!BJ289</f>
        <v>0.15840475378505883</v>
      </c>
      <c r="T354" s="8">
        <f>Transport_1_hub!BK289</f>
        <v>1.5152921985058816E-2</v>
      </c>
      <c r="U354" s="8">
        <f>Transport_1_hub!BL289</f>
        <v>2.3643637474798176</v>
      </c>
      <c r="V354" s="9">
        <f>Transport_1_hub!BM289</f>
        <v>0.51888544382039037</v>
      </c>
      <c r="X354" s="22"/>
      <c r="Y354" s="22"/>
      <c r="AG354" s="42"/>
      <c r="AL354" s="42"/>
    </row>
    <row r="355" spans="2:38" x14ac:dyDescent="0.25">
      <c r="B355" s="40">
        <f>Transport_1_hub!W290+Transport_1_hub!L290</f>
        <v>2327.2993894753577</v>
      </c>
      <c r="C355" s="8">
        <f>Transport_1_hub!AT290</f>
        <v>404.21889427321378</v>
      </c>
      <c r="D355" s="8">
        <f>Transport_1_hub!AU290</f>
        <v>3995.4591422715903</v>
      </c>
      <c r="E355" s="8">
        <f>Transport_1_hub!AV290</f>
        <v>1.6080334825230693</v>
      </c>
      <c r="F355" s="8">
        <f>Transport_1_hub!AW290</f>
        <v>404.17487549321379</v>
      </c>
      <c r="G355" s="8">
        <f>Transport_1_hub!AX290</f>
        <v>93.680205250685262</v>
      </c>
      <c r="H355" s="8">
        <f>Transport_1_hub!AY290</f>
        <v>0.58093934642448231</v>
      </c>
      <c r="I355" s="8">
        <f>Transport_1_hub!AZ290</f>
        <v>8.2658771138055601E-3</v>
      </c>
      <c r="J355" s="8">
        <f>Transport_1_hub!BA290</f>
        <v>12.323436287154818</v>
      </c>
      <c r="K355" s="8">
        <f>Transport_1_hub!BB290</f>
        <v>19.188037245823978</v>
      </c>
      <c r="L355" s="8">
        <f>Transport_1_hub!BC290</f>
        <v>0.49233377429650799</v>
      </c>
      <c r="M355" s="8">
        <f>Transport_1_hub!BD290</f>
        <v>0.43314996849907389</v>
      </c>
      <c r="N355" s="8">
        <f>Transport_1_hub!BE290</f>
        <v>1.7222982826541955</v>
      </c>
      <c r="O355" s="8">
        <f>Transport_1_hub!BF290</f>
        <v>9.7406513419571142E-2</v>
      </c>
      <c r="P355" s="8">
        <f>Transport_1_hub!BG290</f>
        <v>4.7791010149121361E-5</v>
      </c>
      <c r="Q355" s="8">
        <f>Transport_1_hub!BH290</f>
        <v>0.13879736255143407</v>
      </c>
      <c r="R355" s="8">
        <f>Transport_1_hub!BI290</f>
        <v>0.38444097851023767</v>
      </c>
      <c r="S355" s="8">
        <f>Transport_1_hub!BJ290</f>
        <v>1.4344340365058814E-2</v>
      </c>
      <c r="T355" s="8">
        <f>Transport_1_hub!BK290</f>
        <v>6.4343548200588132E-3</v>
      </c>
      <c r="U355" s="8">
        <f>Transport_1_hub!BL290</f>
        <v>0.88126160387981722</v>
      </c>
      <c r="V355" s="9">
        <f>Transport_1_hub!BM290</f>
        <v>0.36014839227039036</v>
      </c>
      <c r="X355" s="22"/>
      <c r="Y355" s="22"/>
      <c r="AG355" s="42"/>
      <c r="AL355" s="42"/>
    </row>
    <row r="356" spans="2:38" x14ac:dyDescent="0.25">
      <c r="B356" s="40">
        <f>Transport_1_hub!W291+Transport_1_hub!L291</f>
        <v>2327.2993894753577</v>
      </c>
      <c r="C356" s="8">
        <f>Transport_1_hub!AT291</f>
        <v>404.21889427321378</v>
      </c>
      <c r="D356" s="8">
        <f>Transport_1_hub!AU291</f>
        <v>3995.4591422715903</v>
      </c>
      <c r="E356" s="8">
        <f>Transport_1_hub!AV291</f>
        <v>1.6080334825230693</v>
      </c>
      <c r="F356" s="8">
        <f>Transport_1_hub!AW291</f>
        <v>404.17487549321379</v>
      </c>
      <c r="G356" s="8">
        <f>Transport_1_hub!AX291</f>
        <v>93.680205250685262</v>
      </c>
      <c r="H356" s="8">
        <f>Transport_1_hub!AY291</f>
        <v>0.58093934642448231</v>
      </c>
      <c r="I356" s="8">
        <f>Transport_1_hub!AZ291</f>
        <v>8.2658771138055601E-3</v>
      </c>
      <c r="J356" s="8">
        <f>Transport_1_hub!BA291</f>
        <v>12.323436287154818</v>
      </c>
      <c r="K356" s="8">
        <f>Transport_1_hub!BB291</f>
        <v>19.188037245823978</v>
      </c>
      <c r="L356" s="8">
        <f>Transport_1_hub!BC291</f>
        <v>0.49233377429650799</v>
      </c>
      <c r="M356" s="8">
        <f>Transport_1_hub!BD291</f>
        <v>0.43314996849907389</v>
      </c>
      <c r="N356" s="8">
        <f>Transport_1_hub!BE291</f>
        <v>1.7222982826541955</v>
      </c>
      <c r="O356" s="8">
        <f>Transport_1_hub!BF291</f>
        <v>9.7406513419571142E-2</v>
      </c>
      <c r="P356" s="8">
        <f>Transport_1_hub!BG291</f>
        <v>4.7791010149121361E-5</v>
      </c>
      <c r="Q356" s="8">
        <f>Transport_1_hub!BH291</f>
        <v>0.13879736255143407</v>
      </c>
      <c r="R356" s="8">
        <f>Transport_1_hub!BI291</f>
        <v>0.38444097851023767</v>
      </c>
      <c r="S356" s="8">
        <f>Transport_1_hub!BJ291</f>
        <v>1.4344340365058814E-2</v>
      </c>
      <c r="T356" s="8">
        <f>Transport_1_hub!BK291</f>
        <v>6.4343548200588132E-3</v>
      </c>
      <c r="U356" s="8">
        <f>Transport_1_hub!BL291</f>
        <v>0.88126160387981722</v>
      </c>
      <c r="V356" s="9">
        <f>Transport_1_hub!BM291</f>
        <v>0.36014839227039036</v>
      </c>
      <c r="X356" s="22"/>
      <c r="Y356" s="22"/>
      <c r="AG356" s="42"/>
      <c r="AL356" s="42"/>
    </row>
    <row r="357" spans="2:38" x14ac:dyDescent="0.25">
      <c r="B357" s="40">
        <f>Transport_1_hub!W292+Transport_1_hub!L292</f>
        <v>3146.619881568221</v>
      </c>
      <c r="C357" s="8">
        <f>Transport_1_hub!AT292</f>
        <v>577.30238699432255</v>
      </c>
      <c r="D357" s="8">
        <f>Transport_1_hub!AU292</f>
        <v>6209.8962826189454</v>
      </c>
      <c r="E357" s="8">
        <f>Transport_1_hub!AV292</f>
        <v>3.5288030331285531</v>
      </c>
      <c r="F357" s="8">
        <f>Transport_1_hub!AW292</f>
        <v>575.76420931432256</v>
      </c>
      <c r="G357" s="8">
        <f>Transport_1_hub!AX292</f>
        <v>143.55555645687105</v>
      </c>
      <c r="H357" s="8">
        <f>Transport_1_hub!AY292</f>
        <v>6.6810854930931818</v>
      </c>
      <c r="I357" s="8">
        <f>Transport_1_hub!AZ292</f>
        <v>2.5077777531491471E-2</v>
      </c>
      <c r="J357" s="8">
        <f>Transport_1_hub!BA292</f>
        <v>39.359686760887826</v>
      </c>
      <c r="K357" s="8">
        <f>Transport_1_hub!BB292</f>
        <v>29.339172541605102</v>
      </c>
      <c r="L357" s="8">
        <f>Transport_1_hub!BC292</f>
        <v>5.7941127569246422</v>
      </c>
      <c r="M357" s="8">
        <f>Transport_1_hub!BD292</f>
        <v>0.51528341709221492</v>
      </c>
      <c r="N357" s="8">
        <f>Transport_1_hub!BE292</f>
        <v>9.7949126743240278</v>
      </c>
      <c r="O357" s="8">
        <f>Transport_1_hub!BF292</f>
        <v>0.10340026297497407</v>
      </c>
      <c r="P357" s="8">
        <f>Transport_1_hub!BG292</f>
        <v>7.0810895044854104E-5</v>
      </c>
      <c r="Q357" s="8">
        <f>Transport_1_hub!BH292</f>
        <v>0.29185786056511942</v>
      </c>
      <c r="R357" s="8">
        <f>Transport_1_hub!BI292</f>
        <v>0.71642118860146664</v>
      </c>
      <c r="S357" s="8">
        <f>Transport_1_hub!BJ292</f>
        <v>0.30071688571113236</v>
      </c>
      <c r="T357" s="8">
        <f>Transport_1_hub!BK292</f>
        <v>2.4312968691132374E-2</v>
      </c>
      <c r="U357" s="8">
        <f>Transport_1_hub!BL292</f>
        <v>3.889219036748119</v>
      </c>
      <c r="V357" s="9">
        <f>Transport_1_hub!BM292</f>
        <v>0.71211238345853367</v>
      </c>
      <c r="X357" s="22"/>
      <c r="Y357" s="22"/>
      <c r="AG357" s="42"/>
      <c r="AL357" s="42"/>
    </row>
    <row r="358" spans="2:38" x14ac:dyDescent="0.25">
      <c r="B358" s="40">
        <f>Transport_1_hub!W293+Transport_1_hub!L293</f>
        <v>2770.4254913131203</v>
      </c>
      <c r="C358" s="8">
        <f>Transport_1_hub!AT293</f>
        <v>463.31283559593805</v>
      </c>
      <c r="D358" s="8">
        <f>Transport_1_hub!AU293</f>
        <v>4587.7256041331884</v>
      </c>
      <c r="E358" s="8">
        <f>Transport_1_hub!AV293</f>
        <v>1.8617806559273025</v>
      </c>
      <c r="F358" s="8">
        <f>Transport_1_hub!AW293</f>
        <v>463.15863947593806</v>
      </c>
      <c r="G358" s="8">
        <f>Transport_1_hub!AX293</f>
        <v>107.48355809544823</v>
      </c>
      <c r="H358" s="8">
        <f>Transport_1_hub!AY293</f>
        <v>1.0660993075345755</v>
      </c>
      <c r="I358" s="8">
        <f>Transport_1_hub!AZ293</f>
        <v>1.0035970895662778E-2</v>
      </c>
      <c r="J358" s="8">
        <f>Transport_1_hub!BA293</f>
        <v>15.125669219884271</v>
      </c>
      <c r="K358" s="8">
        <f>Transport_1_hub!BB293</f>
        <v>21.88655090835109</v>
      </c>
      <c r="L358" s="8">
        <f>Transport_1_hub!BC293</f>
        <v>0.91062803855791363</v>
      </c>
      <c r="M358" s="8">
        <f>Transport_1_hub!BD293</f>
        <v>0.49351133294351868</v>
      </c>
      <c r="N358" s="8">
        <f>Transport_1_hub!BE293</f>
        <v>2.4586044088286214</v>
      </c>
      <c r="O358" s="8">
        <f>Transport_1_hub!BF293</f>
        <v>0.10848872210928109</v>
      </c>
      <c r="P358" s="8">
        <f>Transport_1_hub!BG293</f>
        <v>5.4657016491928064E-5</v>
      </c>
      <c r="Q358" s="8">
        <f>Transport_1_hub!BH293</f>
        <v>0.16131284978067431</v>
      </c>
      <c r="R358" s="8">
        <f>Transport_1_hub!BI293</f>
        <v>0.43472558043788123</v>
      </c>
      <c r="S358" s="8">
        <f>Transport_1_hub!BJ293</f>
        <v>3.5924580439667606E-2</v>
      </c>
      <c r="T358" s="8">
        <f>Transport_1_hub!BK293</f>
        <v>8.2162005096676032E-3</v>
      </c>
      <c r="U358" s="8">
        <f>Transport_1_hub!BL293</f>
        <v>1.155379903148865</v>
      </c>
      <c r="V358" s="9">
        <f>Transport_1_hub!BM293</f>
        <v>0.41558941508611519</v>
      </c>
      <c r="X358" s="22"/>
      <c r="Y358" s="22"/>
      <c r="AG358" s="42"/>
      <c r="AL358" s="42"/>
    </row>
    <row r="359" spans="2:38" x14ac:dyDescent="0.25">
      <c r="B359" s="40">
        <f>Transport_1_hub!W294+Transport_1_hub!L294</f>
        <v>2825.1007009183854</v>
      </c>
      <c r="C359" s="8">
        <f>Transport_1_hub!AT294</f>
        <v>472.67312970290146</v>
      </c>
      <c r="D359" s="8">
        <f>Transport_1_hub!AU294</f>
        <v>4697.3371943405291</v>
      </c>
      <c r="E359" s="8">
        <f>Transport_1_hub!AV294</f>
        <v>1.9406219993117999</v>
      </c>
      <c r="F359" s="8">
        <f>Transport_1_hub!AW294</f>
        <v>472.46297196290146</v>
      </c>
      <c r="G359" s="8">
        <f>Transport_1_hub!AX294</f>
        <v>109.9811417607324</v>
      </c>
      <c r="H359" s="8">
        <f>Transport_1_hub!AY294</f>
        <v>1.2967662058718621</v>
      </c>
      <c r="I359" s="8">
        <f>Transport_1_hub!AZ294</f>
        <v>1.0698618816214674E-2</v>
      </c>
      <c r="J359" s="8">
        <f>Transport_1_hub!BA294</f>
        <v>16.188802915932001</v>
      </c>
      <c r="K359" s="8">
        <f>Transport_1_hub!BB294</f>
        <v>22.388019027134931</v>
      </c>
      <c r="L359" s="8">
        <f>Transport_1_hub!BC294</f>
        <v>1.1108965288542552</v>
      </c>
      <c r="M359" s="8">
        <f>Transport_1_hub!BD294</f>
        <v>0.4999801182400419</v>
      </c>
      <c r="N359" s="8">
        <f>Transport_1_hub!BE294</f>
        <v>2.7697205601132771</v>
      </c>
      <c r="O359" s="8">
        <f>Transport_1_hub!BF294</f>
        <v>0.10937477944732341</v>
      </c>
      <c r="P359" s="8">
        <f>Transport_1_hub!BG294</f>
        <v>5.5840503290211929E-5</v>
      </c>
      <c r="Q359" s="8">
        <f>Transport_1_hub!BH294</f>
        <v>0.16774353043333676</v>
      </c>
      <c r="R359" s="8">
        <f>Transport_1_hub!BI294</f>
        <v>0.44876450823209196</v>
      </c>
      <c r="S359" s="8">
        <f>Transport_1_hub!BJ294</f>
        <v>4.6679130421492548E-2</v>
      </c>
      <c r="T359" s="8">
        <f>Transport_1_hub!BK294</f>
        <v>8.9146879364925494E-3</v>
      </c>
      <c r="U359" s="8">
        <f>Transport_1_hub!BL294</f>
        <v>1.2712956737327863</v>
      </c>
      <c r="V359" s="9">
        <f>Transport_1_hub!BM294</f>
        <v>0.43060678438473249</v>
      </c>
      <c r="X359" s="22"/>
      <c r="Y359" s="22"/>
      <c r="AG359" s="42"/>
      <c r="AL359" s="42"/>
    </row>
    <row r="360" spans="2:38" x14ac:dyDescent="0.25">
      <c r="B360" s="40">
        <f>Transport_1_hub!W295+Transport_1_hub!L295</f>
        <v>2836.7023460095529</v>
      </c>
      <c r="C360" s="8">
        <f>Transport_1_hub!AT295</f>
        <v>469.92258169417426</v>
      </c>
      <c r="D360" s="8">
        <f>Transport_1_hub!AU295</f>
        <v>4637.7088113637692</v>
      </c>
      <c r="E360" s="8">
        <f>Transport_1_hub!AV295</f>
        <v>1.849981278775469</v>
      </c>
      <c r="F360" s="8">
        <f>Transport_1_hub!AW295</f>
        <v>469.79591333417426</v>
      </c>
      <c r="G360" s="8">
        <f>Transport_1_hub!AX295</f>
        <v>108.70744369756808</v>
      </c>
      <c r="H360" s="8">
        <f>Transport_1_hub!AY295</f>
        <v>0.96118608559661678</v>
      </c>
      <c r="I360" s="8">
        <f>Transport_1_hub!AZ295</f>
        <v>9.8384857336105622E-3</v>
      </c>
      <c r="J360" s="8">
        <f>Transport_1_hub!BA295</f>
        <v>14.799182912759946</v>
      </c>
      <c r="K360" s="8">
        <f>Transport_1_hub!BB295</f>
        <v>22.112240995535824</v>
      </c>
      <c r="L360" s="8">
        <f>Transport_1_hub!BC295</f>
        <v>0.81873250992035407</v>
      </c>
      <c r="M360" s="8">
        <f>Transport_1_hub!BD295</f>
        <v>0.50352202802980717</v>
      </c>
      <c r="N360" s="8">
        <f>Transport_1_hub!BE295</f>
        <v>2.3397216441987148</v>
      </c>
      <c r="O360" s="8">
        <f>Transport_1_hub!BF295</f>
        <v>0.11062996840131159</v>
      </c>
      <c r="P360" s="8">
        <f>Transport_1_hub!BG295</f>
        <v>5.5326566975684919E-5</v>
      </c>
      <c r="Q360" s="8">
        <f>Transport_1_hub!BH295</f>
        <v>0.16086887456815413</v>
      </c>
      <c r="R360" s="8">
        <f>Transport_1_hub!BI295</f>
        <v>0.43407135071158576</v>
      </c>
      <c r="S360" s="8">
        <f>Transport_1_hub!BJ295</f>
        <v>3.0746757432071555E-2</v>
      </c>
      <c r="T360" s="8">
        <f>Transport_1_hub!BK295</f>
        <v>7.9849976420715545E-3</v>
      </c>
      <c r="U360" s="8">
        <f>Transport_1_hub!BL295</f>
        <v>1.1110417684927965</v>
      </c>
      <c r="V360" s="9">
        <f>Transport_1_hub!BM295</f>
        <v>0.41534833572863938</v>
      </c>
      <c r="X360" s="22"/>
      <c r="Y360" s="22"/>
      <c r="AG360" s="42"/>
      <c r="AL360" s="42"/>
    </row>
    <row r="361" spans="2:38" x14ac:dyDescent="0.25">
      <c r="B361" s="40">
        <f>Transport_1_hub!W296+Transport_1_hub!L296</f>
        <v>2884.8958095408989</v>
      </c>
      <c r="C361" s="8">
        <f>Transport_1_hub!AT296</f>
        <v>473.44550450163774</v>
      </c>
      <c r="D361" s="8">
        <f>Transport_1_hub!AU296</f>
        <v>4651.6817276673492</v>
      </c>
      <c r="E361" s="8">
        <f>Transport_1_hub!AV296</f>
        <v>1.8124732753950945</v>
      </c>
      <c r="F361" s="8">
        <f>Transport_1_hub!AW296</f>
        <v>473.36450800163777</v>
      </c>
      <c r="G361" s="8">
        <f>Transport_1_hub!AX296</f>
        <v>109.11041486852744</v>
      </c>
      <c r="H361" s="8">
        <f>Transport_1_hub!AY296</f>
        <v>0.78144526309861073</v>
      </c>
      <c r="I361" s="8">
        <f>Transport_1_hub!AZ296</f>
        <v>9.4255723787649986E-3</v>
      </c>
      <c r="J361" s="8">
        <f>Transport_1_hub!BA296</f>
        <v>14.127198470453227</v>
      </c>
      <c r="K361" s="8">
        <f>Transport_1_hub!BB296</f>
        <v>22.173208411007334</v>
      </c>
      <c r="L361" s="8">
        <f>Transport_1_hub!BC296</f>
        <v>0.66187420869625035</v>
      </c>
      <c r="M361" s="8">
        <f>Transport_1_hub!BD296</f>
        <v>0.51138105287093139</v>
      </c>
      <c r="N361" s="8">
        <f>Transport_1_hub!BE296</f>
        <v>2.1198119050436302</v>
      </c>
      <c r="O361" s="8">
        <f>Transport_1_hub!BF296</f>
        <v>0.11247222974954801</v>
      </c>
      <c r="P361" s="8">
        <f>Transport_1_hub!BG296</f>
        <v>5.5606699950290331E-5</v>
      </c>
      <c r="Q361" s="8">
        <f>Transport_1_hub!BH296</f>
        <v>0.15832752092884811</v>
      </c>
      <c r="R361" s="8">
        <f>Transport_1_hub!BI296</f>
        <v>0.4288372148826024</v>
      </c>
      <c r="S361" s="8">
        <f>Transport_1_hub!BJ296</f>
        <v>2.2081558646287983E-2</v>
      </c>
      <c r="T361" s="8">
        <f>Transport_1_hub!BK296</f>
        <v>7.5268357712879822E-3</v>
      </c>
      <c r="U361" s="8">
        <f>Transport_1_hub!BL296</f>
        <v>1.0290648608589321</v>
      </c>
      <c r="V361" s="9">
        <f>Transport_1_hub!BM296</f>
        <v>0.41020639316619928</v>
      </c>
      <c r="X361" s="22"/>
      <c r="Y361" s="22"/>
      <c r="AG361" s="42"/>
      <c r="AL361" s="42"/>
    </row>
    <row r="362" spans="2:38" x14ac:dyDescent="0.25">
      <c r="B362" s="40">
        <f>Transport_1_hub!W297+Transport_1_hub!L297</f>
        <v>2780.4767134525746</v>
      </c>
      <c r="C362" s="8">
        <f>Transport_1_hub!AT297</f>
        <v>459.4158467142168</v>
      </c>
      <c r="D362" s="8">
        <f>Transport_1_hub!AU297</f>
        <v>4509.5374334006101</v>
      </c>
      <c r="E362" s="8">
        <f>Transport_1_hub!AV297</f>
        <v>1.7488669087322817</v>
      </c>
      <c r="F362" s="8">
        <f>Transport_1_hub!AW297</f>
        <v>459.36453935421679</v>
      </c>
      <c r="G362" s="8">
        <f>Transport_1_hub!AX297</f>
        <v>105.80286172718999</v>
      </c>
      <c r="H362" s="8">
        <f>Transport_1_hub!AY297</f>
        <v>0.65215779837497334</v>
      </c>
      <c r="I362" s="8">
        <f>Transport_1_hub!AZ297</f>
        <v>8.9701616466592252E-3</v>
      </c>
      <c r="J362" s="8">
        <f>Transport_1_hub!BA297</f>
        <v>13.404228547347186</v>
      </c>
      <c r="K362" s="8">
        <f>Transport_1_hub!BB297</f>
        <v>21.525301254001342</v>
      </c>
      <c r="L362" s="8">
        <f>Transport_1_hub!BC297</f>
        <v>0.55027825988324752</v>
      </c>
      <c r="M362" s="8">
        <f>Transport_1_hub!BD297</f>
        <v>0.49727658691654275</v>
      </c>
      <c r="N362" s="8">
        <f>Transport_1_hub!BE297</f>
        <v>1.9271456805336471</v>
      </c>
      <c r="O362" s="8">
        <f>Transport_1_hub!BF297</f>
        <v>0.10991887473353418</v>
      </c>
      <c r="P362" s="8">
        <f>Transport_1_hub!BG297</f>
        <v>5.3966994214853523E-5</v>
      </c>
      <c r="Q362" s="8">
        <f>Transport_1_hub!BH297</f>
        <v>0.1527177088503236</v>
      </c>
      <c r="R362" s="8">
        <f>Transport_1_hub!BI297</f>
        <v>0.41633519425822463</v>
      </c>
      <c r="S362" s="8">
        <f>Transport_1_hub!BJ297</f>
        <v>1.6285105763120492E-2</v>
      </c>
      <c r="T362" s="8">
        <f>Transport_1_hub!BK297</f>
        <v>7.0653937231204885E-3</v>
      </c>
      <c r="U362" s="8">
        <f>Transport_1_hub!BL297</f>
        <v>0.95731499874431236</v>
      </c>
      <c r="V362" s="9">
        <f>Transport_1_hub!BM297</f>
        <v>0.39646174874981921</v>
      </c>
      <c r="X362" s="22"/>
      <c r="Y362" s="22"/>
      <c r="AG362" s="42"/>
      <c r="AL362" s="42"/>
    </row>
    <row r="363" spans="2:38" x14ac:dyDescent="0.25">
      <c r="B363" s="40">
        <f>Transport_1_hub!W298+Transport_1_hub!L298</f>
        <v>2790.9437134525742</v>
      </c>
      <c r="C363" s="8">
        <f>Transport_1_hub!AT298</f>
        <v>462.97253331421678</v>
      </c>
      <c r="D363" s="8">
        <f>Transport_1_hub!AU298</f>
        <v>4561.412413282821</v>
      </c>
      <c r="E363" s="8">
        <f>Transport_1_hub!AV298</f>
        <v>1.8039819439322817</v>
      </c>
      <c r="F363" s="8">
        <f>Transport_1_hub!AW298</f>
        <v>462.87496181421676</v>
      </c>
      <c r="G363" s="8">
        <f>Transport_1_hub!AX298</f>
        <v>106.95318502718999</v>
      </c>
      <c r="H363" s="8">
        <f>Transport_1_hub!AY298</f>
        <v>0.83966363637497321</v>
      </c>
      <c r="I363" s="8">
        <f>Transport_1_hub!AZ298</f>
        <v>9.4700760336592256E-3</v>
      </c>
      <c r="J363" s="8">
        <f>Transport_1_hub!BA298</f>
        <v>14.209884004347186</v>
      </c>
      <c r="K363" s="8">
        <f>Transport_1_hub!BB298</f>
        <v>21.763739514001344</v>
      </c>
      <c r="L363" s="8">
        <f>Transport_1_hub!BC298</f>
        <v>0.71337505388324751</v>
      </c>
      <c r="M363" s="8">
        <f>Transport_1_hub!BD298</f>
        <v>0.49770582811954273</v>
      </c>
      <c r="N363" s="8">
        <f>Transport_1_hub!BE298</f>
        <v>2.1716129325336468</v>
      </c>
      <c r="O363" s="8">
        <f>Transport_1_hub!BF298</f>
        <v>0.10969045339253418</v>
      </c>
      <c r="P363" s="8">
        <f>Transport_1_hub!BG298</f>
        <v>5.4478663042853521E-5</v>
      </c>
      <c r="Q363" s="8">
        <f>Transport_1_hub!BH298</f>
        <v>0.15702006453032358</v>
      </c>
      <c r="R363" s="8">
        <f>Transport_1_hub!BI298</f>
        <v>0.4256103169682246</v>
      </c>
      <c r="S363" s="8">
        <f>Transport_1_hub!BJ298</f>
        <v>2.513411690312049E-2</v>
      </c>
      <c r="T363" s="8">
        <f>Transport_1_hub!BK298</f>
        <v>7.6009377781204885E-3</v>
      </c>
      <c r="U363" s="8">
        <f>Transport_1_hub!BL298</f>
        <v>1.0484155799443124</v>
      </c>
      <c r="V363" s="9">
        <f>Transport_1_hub!BM298</f>
        <v>0.40621228259981923</v>
      </c>
      <c r="X363" s="22"/>
      <c r="Y363" s="22"/>
      <c r="AG363" s="42"/>
      <c r="AL363" s="42"/>
    </row>
    <row r="364" spans="2:38" x14ac:dyDescent="0.25">
      <c r="B364" s="40">
        <f>Transport_1_hub!W299+Transport_1_hub!L299</f>
        <v>2790.9437134525742</v>
      </c>
      <c r="C364" s="8">
        <f>Transport_1_hub!AT299</f>
        <v>462.97253331421678</v>
      </c>
      <c r="D364" s="8">
        <f>Transport_1_hub!AU299</f>
        <v>4561.412413282821</v>
      </c>
      <c r="E364" s="8">
        <f>Transport_1_hub!AV299</f>
        <v>1.8039819439322817</v>
      </c>
      <c r="F364" s="8">
        <f>Transport_1_hub!AW299</f>
        <v>462.87496181421676</v>
      </c>
      <c r="G364" s="8">
        <f>Transport_1_hub!AX299</f>
        <v>106.95318502718999</v>
      </c>
      <c r="H364" s="8">
        <f>Transport_1_hub!AY299</f>
        <v>0.83966363637497321</v>
      </c>
      <c r="I364" s="8">
        <f>Transport_1_hub!AZ299</f>
        <v>9.4700760336592256E-3</v>
      </c>
      <c r="J364" s="8">
        <f>Transport_1_hub!BA299</f>
        <v>14.209884004347186</v>
      </c>
      <c r="K364" s="8">
        <f>Transport_1_hub!BB299</f>
        <v>21.763739514001344</v>
      </c>
      <c r="L364" s="8">
        <f>Transport_1_hub!BC299</f>
        <v>0.71337505388324751</v>
      </c>
      <c r="M364" s="8">
        <f>Transport_1_hub!BD299</f>
        <v>0.49770582811954273</v>
      </c>
      <c r="N364" s="8">
        <f>Transport_1_hub!BE299</f>
        <v>2.1716129325336468</v>
      </c>
      <c r="O364" s="8">
        <f>Transport_1_hub!BF299</f>
        <v>0.10969045339253418</v>
      </c>
      <c r="P364" s="8">
        <f>Transport_1_hub!BG299</f>
        <v>5.4478663042853521E-5</v>
      </c>
      <c r="Q364" s="8">
        <f>Transport_1_hub!BH299</f>
        <v>0.15702006453032358</v>
      </c>
      <c r="R364" s="8">
        <f>Transport_1_hub!BI299</f>
        <v>0.4256103169682246</v>
      </c>
      <c r="S364" s="8">
        <f>Transport_1_hub!BJ299</f>
        <v>2.513411690312049E-2</v>
      </c>
      <c r="T364" s="8">
        <f>Transport_1_hub!BK299</f>
        <v>7.6009377781204885E-3</v>
      </c>
      <c r="U364" s="8">
        <f>Transport_1_hub!BL299</f>
        <v>1.0484155799443124</v>
      </c>
      <c r="V364" s="9">
        <f>Transport_1_hub!BM299</f>
        <v>0.40621228259981923</v>
      </c>
      <c r="X364" s="22"/>
      <c r="Y364" s="22"/>
      <c r="AG364" s="42"/>
      <c r="AL364" s="42"/>
    </row>
    <row r="365" spans="2:38" x14ac:dyDescent="0.25">
      <c r="B365" s="40">
        <f>Transport_1_hub!W300+Transport_1_hub!L300</f>
        <v>2790.9437134525742</v>
      </c>
      <c r="C365" s="8">
        <f>Transport_1_hub!AT300</f>
        <v>462.97253331421678</v>
      </c>
      <c r="D365" s="8">
        <f>Transport_1_hub!AU300</f>
        <v>4561.412413282821</v>
      </c>
      <c r="E365" s="8">
        <f>Transport_1_hub!AV300</f>
        <v>1.8039819439322817</v>
      </c>
      <c r="F365" s="8">
        <f>Transport_1_hub!AW300</f>
        <v>462.87496181421676</v>
      </c>
      <c r="G365" s="8">
        <f>Transport_1_hub!AX300</f>
        <v>106.95318502718999</v>
      </c>
      <c r="H365" s="8">
        <f>Transport_1_hub!AY300</f>
        <v>0.83966363637497321</v>
      </c>
      <c r="I365" s="8">
        <f>Transport_1_hub!AZ300</f>
        <v>9.4700760336592256E-3</v>
      </c>
      <c r="J365" s="8">
        <f>Transport_1_hub!BA300</f>
        <v>14.209884004347186</v>
      </c>
      <c r="K365" s="8">
        <f>Transport_1_hub!BB300</f>
        <v>21.763739514001344</v>
      </c>
      <c r="L365" s="8">
        <f>Transport_1_hub!BC300</f>
        <v>0.71337505388324751</v>
      </c>
      <c r="M365" s="8">
        <f>Transport_1_hub!BD300</f>
        <v>0.49770582811954273</v>
      </c>
      <c r="N365" s="8">
        <f>Transport_1_hub!BE300</f>
        <v>2.1716129325336468</v>
      </c>
      <c r="O365" s="8">
        <f>Transport_1_hub!BF300</f>
        <v>0.10969045339253418</v>
      </c>
      <c r="P365" s="8">
        <f>Transport_1_hub!BG300</f>
        <v>5.4478663042853521E-5</v>
      </c>
      <c r="Q365" s="8">
        <f>Transport_1_hub!BH300</f>
        <v>0.15702006453032358</v>
      </c>
      <c r="R365" s="8">
        <f>Transport_1_hub!BI300</f>
        <v>0.4256103169682246</v>
      </c>
      <c r="S365" s="8">
        <f>Transport_1_hub!BJ300</f>
        <v>2.513411690312049E-2</v>
      </c>
      <c r="T365" s="8">
        <f>Transport_1_hub!BK300</f>
        <v>7.6009377781204885E-3</v>
      </c>
      <c r="U365" s="8">
        <f>Transport_1_hub!BL300</f>
        <v>1.0484155799443124</v>
      </c>
      <c r="V365" s="9">
        <f>Transport_1_hub!BM300</f>
        <v>0.40621228259981923</v>
      </c>
      <c r="X365" s="22"/>
      <c r="Y365" s="22"/>
      <c r="AG365" s="42"/>
      <c r="AL365" s="42"/>
    </row>
    <row r="366" spans="2:38" x14ac:dyDescent="0.25">
      <c r="B366" s="40">
        <f>Transport_1_hub!W301+Transport_1_hub!L301</f>
        <v>2790.9437134525742</v>
      </c>
      <c r="C366" s="8">
        <f>Transport_1_hub!AT301</f>
        <v>462.97253331421678</v>
      </c>
      <c r="D366" s="8">
        <f>Transport_1_hub!AU301</f>
        <v>4561.412413282821</v>
      </c>
      <c r="E366" s="8">
        <f>Transport_1_hub!AV301</f>
        <v>1.8039819439322817</v>
      </c>
      <c r="F366" s="8">
        <f>Transport_1_hub!AW301</f>
        <v>462.87496181421676</v>
      </c>
      <c r="G366" s="8">
        <f>Transport_1_hub!AX301</f>
        <v>106.95318502718999</v>
      </c>
      <c r="H366" s="8">
        <f>Transport_1_hub!AY301</f>
        <v>0.83966363637497321</v>
      </c>
      <c r="I366" s="8">
        <f>Transport_1_hub!AZ301</f>
        <v>9.4700760336592256E-3</v>
      </c>
      <c r="J366" s="8">
        <f>Transport_1_hub!BA301</f>
        <v>14.209884004347186</v>
      </c>
      <c r="K366" s="8">
        <f>Transport_1_hub!BB301</f>
        <v>21.763739514001344</v>
      </c>
      <c r="L366" s="8">
        <f>Transport_1_hub!BC301</f>
        <v>0.71337505388324751</v>
      </c>
      <c r="M366" s="8">
        <f>Transport_1_hub!BD301</f>
        <v>0.49770582811954273</v>
      </c>
      <c r="N366" s="8">
        <f>Transport_1_hub!BE301</f>
        <v>2.1716129325336468</v>
      </c>
      <c r="O366" s="8">
        <f>Transport_1_hub!BF301</f>
        <v>0.10969045339253418</v>
      </c>
      <c r="P366" s="8">
        <f>Transport_1_hub!BG301</f>
        <v>5.4478663042853521E-5</v>
      </c>
      <c r="Q366" s="8">
        <f>Transport_1_hub!BH301</f>
        <v>0.15702006453032358</v>
      </c>
      <c r="R366" s="8">
        <f>Transport_1_hub!BI301</f>
        <v>0.4256103169682246</v>
      </c>
      <c r="S366" s="8">
        <f>Transport_1_hub!BJ301</f>
        <v>2.513411690312049E-2</v>
      </c>
      <c r="T366" s="8">
        <f>Transport_1_hub!BK301</f>
        <v>7.6009377781204885E-3</v>
      </c>
      <c r="U366" s="8">
        <f>Transport_1_hub!BL301</f>
        <v>1.0484155799443124</v>
      </c>
      <c r="V366" s="9">
        <f>Transport_1_hub!BM301</f>
        <v>0.40621228259981923</v>
      </c>
      <c r="X366" s="22"/>
      <c r="Y366" s="22"/>
      <c r="AG366" s="42"/>
      <c r="AL366" s="42"/>
    </row>
    <row r="367" spans="2:38" x14ac:dyDescent="0.25">
      <c r="B367" s="40">
        <f>Transport_1_hub!W302+Transport_1_hub!L302</f>
        <v>2790.9437134525742</v>
      </c>
      <c r="C367" s="8">
        <f>Transport_1_hub!AT302</f>
        <v>462.97253331421678</v>
      </c>
      <c r="D367" s="8">
        <f>Transport_1_hub!AU302</f>
        <v>4561.412413282821</v>
      </c>
      <c r="E367" s="8">
        <f>Transport_1_hub!AV302</f>
        <v>1.8039819439322817</v>
      </c>
      <c r="F367" s="8">
        <f>Transport_1_hub!AW302</f>
        <v>462.87496181421676</v>
      </c>
      <c r="G367" s="8">
        <f>Transport_1_hub!AX302</f>
        <v>106.95318502718999</v>
      </c>
      <c r="H367" s="8">
        <f>Transport_1_hub!AY302</f>
        <v>0.83966363637497321</v>
      </c>
      <c r="I367" s="8">
        <f>Transport_1_hub!AZ302</f>
        <v>9.4700760336592256E-3</v>
      </c>
      <c r="J367" s="8">
        <f>Transport_1_hub!BA302</f>
        <v>14.209884004347186</v>
      </c>
      <c r="K367" s="8">
        <f>Transport_1_hub!BB302</f>
        <v>21.763739514001344</v>
      </c>
      <c r="L367" s="8">
        <f>Transport_1_hub!BC302</f>
        <v>0.71337505388324751</v>
      </c>
      <c r="M367" s="8">
        <f>Transport_1_hub!BD302</f>
        <v>0.49770582811954273</v>
      </c>
      <c r="N367" s="8">
        <f>Transport_1_hub!BE302</f>
        <v>2.1716129325336468</v>
      </c>
      <c r="O367" s="8">
        <f>Transport_1_hub!BF302</f>
        <v>0.10969045339253418</v>
      </c>
      <c r="P367" s="8">
        <f>Transport_1_hub!BG302</f>
        <v>5.4478663042853521E-5</v>
      </c>
      <c r="Q367" s="8">
        <f>Transport_1_hub!BH302</f>
        <v>0.15702006453032358</v>
      </c>
      <c r="R367" s="8">
        <f>Transport_1_hub!BI302</f>
        <v>0.4256103169682246</v>
      </c>
      <c r="S367" s="8">
        <f>Transport_1_hub!BJ302</f>
        <v>2.513411690312049E-2</v>
      </c>
      <c r="T367" s="8">
        <f>Transport_1_hub!BK302</f>
        <v>7.6009377781204885E-3</v>
      </c>
      <c r="U367" s="8">
        <f>Transport_1_hub!BL302</f>
        <v>1.0484155799443124</v>
      </c>
      <c r="V367" s="9">
        <f>Transport_1_hub!BM302</f>
        <v>0.40621228259981923</v>
      </c>
      <c r="X367" s="22"/>
      <c r="Y367" s="22"/>
      <c r="AG367" s="42"/>
      <c r="AL367" s="42"/>
    </row>
    <row r="368" spans="2:38" x14ac:dyDescent="0.25">
      <c r="B368" s="40">
        <f>Transport_1_hub!W303+Transport_1_hub!L303</f>
        <v>2806.1717134525743</v>
      </c>
      <c r="C368" s="8">
        <f>Transport_1_hub!AT303</f>
        <v>468.14700771421678</v>
      </c>
      <c r="D368" s="8">
        <f>Transport_1_hub!AU303</f>
        <v>4636.8831492765448</v>
      </c>
      <c r="E368" s="8">
        <f>Transport_1_hub!AV303</f>
        <v>1.8841665007322816</v>
      </c>
      <c r="F368" s="8">
        <f>Transport_1_hub!AW303</f>
        <v>467.98212845421676</v>
      </c>
      <c r="G368" s="8">
        <f>Transport_1_hub!AX303</f>
        <v>108.62674222718999</v>
      </c>
      <c r="H368" s="8">
        <f>Transport_1_hub!AY303</f>
        <v>1.1124580283749732</v>
      </c>
      <c r="I368" s="8">
        <f>Transport_1_hub!AZ303</f>
        <v>1.0197380541659225E-2</v>
      </c>
      <c r="J368" s="8">
        <f>Transport_1_hub!BA303</f>
        <v>15.381998392347185</v>
      </c>
      <c r="K368" s="8">
        <f>Transport_1_hub!BB303</f>
        <v>22.110633354001344</v>
      </c>
      <c r="L368" s="8">
        <f>Transport_1_hub!BC303</f>
        <v>0.95065774988324747</v>
      </c>
      <c r="M368" s="8">
        <f>Transport_1_hub!BD303</f>
        <v>0.49833031317154275</v>
      </c>
      <c r="N368" s="8">
        <f>Transport_1_hub!BE303</f>
        <v>2.5272781005336471</v>
      </c>
      <c r="O368" s="8">
        <f>Transport_1_hub!BF303</f>
        <v>0.10935813274853418</v>
      </c>
      <c r="P368" s="8">
        <f>Transport_1_hub!BG303</f>
        <v>5.5223068594853521E-5</v>
      </c>
      <c r="Q368" s="8">
        <f>Transport_1_hub!BH303</f>
        <v>0.1632793816503236</v>
      </c>
      <c r="R368" s="8">
        <f>Transport_1_hub!BI303</f>
        <v>0.43910430460822464</v>
      </c>
      <c r="S368" s="8">
        <f>Transport_1_hub!BJ303</f>
        <v>3.8008172663120489E-2</v>
      </c>
      <c r="T368" s="8">
        <f>Transport_1_hub!BK303</f>
        <v>8.3800783981204888E-3</v>
      </c>
      <c r="U368" s="8">
        <f>Transport_1_hub!BL303</f>
        <v>1.1809540007443124</v>
      </c>
      <c r="V368" s="9">
        <f>Transport_1_hub!BM303</f>
        <v>0.42039792599981923</v>
      </c>
      <c r="X368" s="22"/>
      <c r="Y368" s="22"/>
      <c r="AG368" s="42"/>
      <c r="AL368" s="42"/>
    </row>
    <row r="369" spans="2:38" x14ac:dyDescent="0.25">
      <c r="B369" s="40">
        <f>Transport_1_hub!W304+Transport_1_hub!L304</f>
        <v>2806.1717134525743</v>
      </c>
      <c r="C369" s="8">
        <f>Transport_1_hub!AT304</f>
        <v>468.14700771421678</v>
      </c>
      <c r="D369" s="8">
        <f>Transport_1_hub!AU304</f>
        <v>4636.8831492765448</v>
      </c>
      <c r="E369" s="8">
        <f>Transport_1_hub!AV304</f>
        <v>1.8841665007322816</v>
      </c>
      <c r="F369" s="8">
        <f>Transport_1_hub!AW304</f>
        <v>467.98212845421676</v>
      </c>
      <c r="G369" s="8">
        <f>Transport_1_hub!AX304</f>
        <v>108.62674222718999</v>
      </c>
      <c r="H369" s="8">
        <f>Transport_1_hub!AY304</f>
        <v>1.1124580283749732</v>
      </c>
      <c r="I369" s="8">
        <f>Transport_1_hub!AZ304</f>
        <v>1.0197380541659225E-2</v>
      </c>
      <c r="J369" s="8">
        <f>Transport_1_hub!BA304</f>
        <v>15.381998392347185</v>
      </c>
      <c r="K369" s="8">
        <f>Transport_1_hub!BB304</f>
        <v>22.110633354001344</v>
      </c>
      <c r="L369" s="8">
        <f>Transport_1_hub!BC304</f>
        <v>0.95065774988324747</v>
      </c>
      <c r="M369" s="8">
        <f>Transport_1_hub!BD304</f>
        <v>0.49833031317154275</v>
      </c>
      <c r="N369" s="8">
        <f>Transport_1_hub!BE304</f>
        <v>2.5272781005336471</v>
      </c>
      <c r="O369" s="8">
        <f>Transport_1_hub!BF304</f>
        <v>0.10935813274853418</v>
      </c>
      <c r="P369" s="8">
        <f>Transport_1_hub!BG304</f>
        <v>5.5223068594853521E-5</v>
      </c>
      <c r="Q369" s="8">
        <f>Transport_1_hub!BH304</f>
        <v>0.1632793816503236</v>
      </c>
      <c r="R369" s="8">
        <f>Transport_1_hub!BI304</f>
        <v>0.43910430460822464</v>
      </c>
      <c r="S369" s="8">
        <f>Transport_1_hub!BJ304</f>
        <v>3.8008172663120489E-2</v>
      </c>
      <c r="T369" s="8">
        <f>Transport_1_hub!BK304</f>
        <v>8.3800783981204888E-3</v>
      </c>
      <c r="U369" s="8">
        <f>Transport_1_hub!BL304</f>
        <v>1.1809540007443124</v>
      </c>
      <c r="V369" s="9">
        <f>Transport_1_hub!BM304</f>
        <v>0.42039792599981923</v>
      </c>
      <c r="X369" s="22"/>
      <c r="Y369" s="22"/>
      <c r="AG369" s="42"/>
      <c r="AL369" s="42"/>
    </row>
    <row r="370" spans="2:38" x14ac:dyDescent="0.25">
      <c r="B370" s="40">
        <f>Transport_1_hub!W305+Transport_1_hub!L305</f>
        <v>2806.1717134525743</v>
      </c>
      <c r="C370" s="8">
        <f>Transport_1_hub!AT305</f>
        <v>468.14700771421678</v>
      </c>
      <c r="D370" s="8">
        <f>Transport_1_hub!AU305</f>
        <v>4636.8831492765448</v>
      </c>
      <c r="E370" s="8">
        <f>Transport_1_hub!AV305</f>
        <v>1.8841665007322816</v>
      </c>
      <c r="F370" s="8">
        <f>Transport_1_hub!AW305</f>
        <v>467.98212845421676</v>
      </c>
      <c r="G370" s="8">
        <f>Transport_1_hub!AX305</f>
        <v>108.62674222718999</v>
      </c>
      <c r="H370" s="8">
        <f>Transport_1_hub!AY305</f>
        <v>1.1124580283749732</v>
      </c>
      <c r="I370" s="8">
        <f>Transport_1_hub!AZ305</f>
        <v>1.0197380541659225E-2</v>
      </c>
      <c r="J370" s="8">
        <f>Transport_1_hub!BA305</f>
        <v>15.381998392347185</v>
      </c>
      <c r="K370" s="8">
        <f>Transport_1_hub!BB305</f>
        <v>22.110633354001344</v>
      </c>
      <c r="L370" s="8">
        <f>Transport_1_hub!BC305</f>
        <v>0.95065774988324747</v>
      </c>
      <c r="M370" s="8">
        <f>Transport_1_hub!BD305</f>
        <v>0.49833031317154275</v>
      </c>
      <c r="N370" s="8">
        <f>Transport_1_hub!BE305</f>
        <v>2.5272781005336471</v>
      </c>
      <c r="O370" s="8">
        <f>Transport_1_hub!BF305</f>
        <v>0.10935813274853418</v>
      </c>
      <c r="P370" s="8">
        <f>Transport_1_hub!BG305</f>
        <v>5.5223068594853521E-5</v>
      </c>
      <c r="Q370" s="8">
        <f>Transport_1_hub!BH305</f>
        <v>0.1632793816503236</v>
      </c>
      <c r="R370" s="8">
        <f>Transport_1_hub!BI305</f>
        <v>0.43910430460822464</v>
      </c>
      <c r="S370" s="8">
        <f>Transport_1_hub!BJ305</f>
        <v>3.8008172663120489E-2</v>
      </c>
      <c r="T370" s="8">
        <f>Transport_1_hub!BK305</f>
        <v>8.3800783981204888E-3</v>
      </c>
      <c r="U370" s="8">
        <f>Transport_1_hub!BL305</f>
        <v>1.1809540007443124</v>
      </c>
      <c r="V370" s="9">
        <f>Transport_1_hub!BM305</f>
        <v>0.42039792599981923</v>
      </c>
      <c r="X370" s="22"/>
      <c r="Y370" s="22"/>
      <c r="AG370" s="42"/>
      <c r="AL370" s="42"/>
    </row>
    <row r="371" spans="2:38" x14ac:dyDescent="0.25">
      <c r="B371" s="40">
        <f>Transport_1_hub!W306+Transport_1_hub!L306</f>
        <v>2796.7597134525745</v>
      </c>
      <c r="C371" s="8">
        <f>Transport_1_hub!AT306</f>
        <v>464.94881011421677</v>
      </c>
      <c r="D371" s="8">
        <f>Transport_1_hub!AU306</f>
        <v>4590.2368026011491</v>
      </c>
      <c r="E371" s="8">
        <f>Transport_1_hub!AV306</f>
        <v>1.8346066735322817</v>
      </c>
      <c r="F371" s="8">
        <f>Transport_1_hub!AW306</f>
        <v>464.82553189421679</v>
      </c>
      <c r="G371" s="8">
        <f>Transport_1_hub!AX306</f>
        <v>107.59236342718999</v>
      </c>
      <c r="H371" s="8">
        <f>Transport_1_hub!AY306</f>
        <v>0.94385146037497325</v>
      </c>
      <c r="I371" s="8">
        <f>Transport_1_hub!AZ306</f>
        <v>9.747854009659225E-3</v>
      </c>
      <c r="J371" s="8">
        <f>Transport_1_hub!BA306</f>
        <v>14.657547340347186</v>
      </c>
      <c r="K371" s="8">
        <f>Transport_1_hub!BB306</f>
        <v>21.896227994001343</v>
      </c>
      <c r="L371" s="8">
        <f>Transport_1_hub!BC306</f>
        <v>0.80399996588324751</v>
      </c>
      <c r="M371" s="8">
        <f>Transport_1_hub!BD306</f>
        <v>0.49794433646354275</v>
      </c>
      <c r="N371" s="8">
        <f>Transport_1_hub!BE306</f>
        <v>2.3074514285336472</v>
      </c>
      <c r="O371" s="8">
        <f>Transport_1_hub!BF306</f>
        <v>0.10956353082453418</v>
      </c>
      <c r="P371" s="8">
        <f>Transport_1_hub!BG306</f>
        <v>5.4762972386853521E-5</v>
      </c>
      <c r="Q371" s="8">
        <f>Transport_1_hub!BH306</f>
        <v>0.15941067317032359</v>
      </c>
      <c r="R371" s="8">
        <f>Transport_1_hub!BI306</f>
        <v>0.43076404904822463</v>
      </c>
      <c r="S371" s="8">
        <f>Transport_1_hub!BJ306</f>
        <v>3.0051079623120487E-2</v>
      </c>
      <c r="T371" s="8">
        <f>Transport_1_hub!BK306</f>
        <v>7.898513418120489E-3</v>
      </c>
      <c r="U371" s="8">
        <f>Transport_1_hub!BL306</f>
        <v>1.0990357175443124</v>
      </c>
      <c r="V371" s="9">
        <f>Transport_1_hub!BM306</f>
        <v>0.41163017739981922</v>
      </c>
      <c r="X371" s="22"/>
      <c r="Y371" s="22"/>
      <c r="AG371" s="42"/>
      <c r="AL371" s="42"/>
    </row>
    <row r="372" spans="2:38" x14ac:dyDescent="0.25">
      <c r="B372" s="40">
        <f>Transport_1_hub!W307+Transport_1_hub!L307</f>
        <v>2796.7597134525745</v>
      </c>
      <c r="C372" s="8">
        <f>Transport_1_hub!AT307</f>
        <v>464.94881011421677</v>
      </c>
      <c r="D372" s="8">
        <f>Transport_1_hub!AU307</f>
        <v>4590.2368026011491</v>
      </c>
      <c r="E372" s="8">
        <f>Transport_1_hub!AV307</f>
        <v>1.8346066735322817</v>
      </c>
      <c r="F372" s="8">
        <f>Transport_1_hub!AW307</f>
        <v>464.82553189421679</v>
      </c>
      <c r="G372" s="8">
        <f>Transport_1_hub!AX307</f>
        <v>107.59236342718999</v>
      </c>
      <c r="H372" s="8">
        <f>Transport_1_hub!AY307</f>
        <v>0.94385146037497325</v>
      </c>
      <c r="I372" s="8">
        <f>Transport_1_hub!AZ307</f>
        <v>9.747854009659225E-3</v>
      </c>
      <c r="J372" s="8">
        <f>Transport_1_hub!BA307</f>
        <v>14.657547340347186</v>
      </c>
      <c r="K372" s="8">
        <f>Transport_1_hub!BB307</f>
        <v>21.896227994001343</v>
      </c>
      <c r="L372" s="8">
        <f>Transport_1_hub!BC307</f>
        <v>0.80399996588324751</v>
      </c>
      <c r="M372" s="8">
        <f>Transport_1_hub!BD307</f>
        <v>0.49794433646354275</v>
      </c>
      <c r="N372" s="8">
        <f>Transport_1_hub!BE307</f>
        <v>2.3074514285336472</v>
      </c>
      <c r="O372" s="8">
        <f>Transport_1_hub!BF307</f>
        <v>0.10956353082453418</v>
      </c>
      <c r="P372" s="8">
        <f>Transport_1_hub!BG307</f>
        <v>5.4762972386853521E-5</v>
      </c>
      <c r="Q372" s="8">
        <f>Transport_1_hub!BH307</f>
        <v>0.15941067317032359</v>
      </c>
      <c r="R372" s="8">
        <f>Transport_1_hub!BI307</f>
        <v>0.43076404904822463</v>
      </c>
      <c r="S372" s="8">
        <f>Transport_1_hub!BJ307</f>
        <v>3.0051079623120487E-2</v>
      </c>
      <c r="T372" s="8">
        <f>Transport_1_hub!BK307</f>
        <v>7.898513418120489E-3</v>
      </c>
      <c r="U372" s="8">
        <f>Transport_1_hub!BL307</f>
        <v>1.0990357175443124</v>
      </c>
      <c r="V372" s="9">
        <f>Transport_1_hub!BM307</f>
        <v>0.41163017739981922</v>
      </c>
      <c r="X372" s="22"/>
      <c r="Y372" s="22"/>
      <c r="AG372" s="42"/>
      <c r="AL372" s="42"/>
    </row>
    <row r="373" spans="2:38" x14ac:dyDescent="0.25">
      <c r="B373" s="40">
        <f>Transport_1_hub!W308+Transport_1_hub!L308</f>
        <v>2796.7597134525745</v>
      </c>
      <c r="C373" s="8">
        <f>Transport_1_hub!AT308</f>
        <v>464.94881011421677</v>
      </c>
      <c r="D373" s="8">
        <f>Transport_1_hub!AU308</f>
        <v>4590.2368026011491</v>
      </c>
      <c r="E373" s="8">
        <f>Transport_1_hub!AV308</f>
        <v>1.8346066735322817</v>
      </c>
      <c r="F373" s="8">
        <f>Transport_1_hub!AW308</f>
        <v>464.82553189421679</v>
      </c>
      <c r="G373" s="8">
        <f>Transport_1_hub!AX308</f>
        <v>107.59236342718999</v>
      </c>
      <c r="H373" s="8">
        <f>Transport_1_hub!AY308</f>
        <v>0.94385146037497325</v>
      </c>
      <c r="I373" s="8">
        <f>Transport_1_hub!AZ308</f>
        <v>9.747854009659225E-3</v>
      </c>
      <c r="J373" s="8">
        <f>Transport_1_hub!BA308</f>
        <v>14.657547340347186</v>
      </c>
      <c r="K373" s="8">
        <f>Transport_1_hub!BB308</f>
        <v>21.896227994001343</v>
      </c>
      <c r="L373" s="8">
        <f>Transport_1_hub!BC308</f>
        <v>0.80399996588324751</v>
      </c>
      <c r="M373" s="8">
        <f>Transport_1_hub!BD308</f>
        <v>0.49794433646354275</v>
      </c>
      <c r="N373" s="8">
        <f>Transport_1_hub!BE308</f>
        <v>2.3074514285336472</v>
      </c>
      <c r="O373" s="8">
        <f>Transport_1_hub!BF308</f>
        <v>0.10956353082453418</v>
      </c>
      <c r="P373" s="8">
        <f>Transport_1_hub!BG308</f>
        <v>5.4762972386853521E-5</v>
      </c>
      <c r="Q373" s="8">
        <f>Transport_1_hub!BH308</f>
        <v>0.15941067317032359</v>
      </c>
      <c r="R373" s="8">
        <f>Transport_1_hub!BI308</f>
        <v>0.43076404904822463</v>
      </c>
      <c r="S373" s="8">
        <f>Transport_1_hub!BJ308</f>
        <v>3.0051079623120487E-2</v>
      </c>
      <c r="T373" s="8">
        <f>Transport_1_hub!BK308</f>
        <v>7.898513418120489E-3</v>
      </c>
      <c r="U373" s="8">
        <f>Transport_1_hub!BL308</f>
        <v>1.0990357175443124</v>
      </c>
      <c r="V373" s="9">
        <f>Transport_1_hub!BM308</f>
        <v>0.41163017739981922</v>
      </c>
      <c r="X373" s="22"/>
      <c r="Y373" s="22"/>
      <c r="AG373" s="42"/>
      <c r="AL373" s="42"/>
    </row>
    <row r="374" spans="2:38" x14ac:dyDescent="0.25">
      <c r="B374" s="40">
        <f>Transport_1_hub!W309+Transport_1_hub!L309</f>
        <v>2902.8478095408991</v>
      </c>
      <c r="C374" s="8">
        <f>Transport_1_hub!AT309</f>
        <v>479.54559410163773</v>
      </c>
      <c r="D374" s="8">
        <f>Transport_1_hub!AU309</f>
        <v>4740.6527450405647</v>
      </c>
      <c r="E374" s="8">
        <f>Transport_1_hub!AV309</f>
        <v>1.9070013265950945</v>
      </c>
      <c r="F374" s="8">
        <f>Transport_1_hub!AW309</f>
        <v>479.38524976163774</v>
      </c>
      <c r="G374" s="8">
        <f>Transport_1_hub!AX309</f>
        <v>111.08333966852744</v>
      </c>
      <c r="H374" s="8">
        <f>Transport_1_hub!AY309</f>
        <v>1.1030373910986109</v>
      </c>
      <c r="I374" s="8">
        <f>Transport_1_hub!AZ309</f>
        <v>1.0282977850764999E-2</v>
      </c>
      <c r="J374" s="8">
        <f>Transport_1_hub!BA309</f>
        <v>15.508981862453226</v>
      </c>
      <c r="K374" s="8">
        <f>Transport_1_hub!BB309</f>
        <v>22.582154971007334</v>
      </c>
      <c r="L374" s="8">
        <f>Transport_1_hub!BC309</f>
        <v>0.9416022726962503</v>
      </c>
      <c r="M374" s="8">
        <f>Transport_1_hub!BD309</f>
        <v>0.51211724643893142</v>
      </c>
      <c r="N374" s="8">
        <f>Transport_1_hub!BE309</f>
        <v>2.5390988170436302</v>
      </c>
      <c r="O374" s="8">
        <f>Transport_1_hub!BF309</f>
        <v>0.11208046325354802</v>
      </c>
      <c r="P374" s="8">
        <f>Transport_1_hub!BG309</f>
        <v>5.6484265518290334E-5</v>
      </c>
      <c r="Q374" s="8">
        <f>Transport_1_hub!BH309</f>
        <v>0.16570651100884812</v>
      </c>
      <c r="R374" s="8">
        <f>Transport_1_hub!BI309</f>
        <v>0.44474502064260241</v>
      </c>
      <c r="S374" s="8">
        <f>Transport_1_hub!BJ309</f>
        <v>3.7258538486287983E-2</v>
      </c>
      <c r="T374" s="8">
        <f>Transport_1_hub!BK309</f>
        <v>8.4453498512879824E-3</v>
      </c>
      <c r="U374" s="8">
        <f>Transport_1_hub!BL309</f>
        <v>1.1853118880589322</v>
      </c>
      <c r="V374" s="9">
        <f>Transport_1_hub!BM309</f>
        <v>0.4269295787661993</v>
      </c>
      <c r="X374" s="22"/>
      <c r="Y374" s="22"/>
      <c r="AG374" s="42"/>
      <c r="AL374" s="42"/>
    </row>
    <row r="375" spans="2:38" x14ac:dyDescent="0.25">
      <c r="B375" s="40">
        <f>Transport_1_hub!W310+Transport_1_hub!L310</f>
        <v>2900.6408095408992</v>
      </c>
      <c r="C375" s="8">
        <f>Transport_1_hub!AT310</f>
        <v>478.79565550163773</v>
      </c>
      <c r="D375" s="8">
        <f>Transport_1_hub!AU310</f>
        <v>4729.7147417349333</v>
      </c>
      <c r="E375" s="8">
        <f>Transport_1_hub!AV310</f>
        <v>1.8953801473950946</v>
      </c>
      <c r="F375" s="8">
        <f>Transport_1_hub!AW310</f>
        <v>478.64506610163772</v>
      </c>
      <c r="G375" s="8">
        <f>Transport_1_hub!AX310</f>
        <v>110.84079036852744</v>
      </c>
      <c r="H375" s="8">
        <f>Transport_1_hub!AY310</f>
        <v>1.0635011930986107</v>
      </c>
      <c r="I375" s="8">
        <f>Transport_1_hub!AZ310</f>
        <v>1.0177569323764998E-2</v>
      </c>
      <c r="J375" s="8">
        <f>Transport_1_hub!BA310</f>
        <v>15.339106865453227</v>
      </c>
      <c r="K375" s="8">
        <f>Transport_1_hub!BB310</f>
        <v>22.531879511007332</v>
      </c>
      <c r="L375" s="8">
        <f>Transport_1_hub!BC310</f>
        <v>0.90721279869625038</v>
      </c>
      <c r="M375" s="8">
        <f>Transport_1_hub!BD310</f>
        <v>0.51202673957593148</v>
      </c>
      <c r="N375" s="8">
        <f>Transport_1_hub!BE310</f>
        <v>2.4875521250436301</v>
      </c>
      <c r="O375" s="8">
        <f>Transport_1_hub!BF310</f>
        <v>0.11212862661454802</v>
      </c>
      <c r="P375" s="8">
        <f>Transport_1_hub!BG310</f>
        <v>5.6376378530290334E-5</v>
      </c>
      <c r="Q375" s="8">
        <f>Transport_1_hub!BH310</f>
        <v>0.16479934572884813</v>
      </c>
      <c r="R375" s="8">
        <f>Transport_1_hub!BI310</f>
        <v>0.44278933173260243</v>
      </c>
      <c r="S375" s="8">
        <f>Transport_1_hub!BJ310</f>
        <v>3.5392696546287981E-2</v>
      </c>
      <c r="T375" s="8">
        <f>Transport_1_hub!BK310</f>
        <v>8.3324286962879815E-3</v>
      </c>
      <c r="U375" s="8">
        <f>Transport_1_hub!BL310</f>
        <v>1.1661030428589323</v>
      </c>
      <c r="V375" s="9">
        <f>Transport_1_hub!BM310</f>
        <v>0.4248736479161993</v>
      </c>
      <c r="X375" s="22"/>
      <c r="Y375" s="22"/>
      <c r="AG375" s="42"/>
      <c r="AL375" s="42"/>
    </row>
    <row r="376" spans="2:38" x14ac:dyDescent="0.25">
      <c r="B376" s="40">
        <f>Transport_1_hub!W311+Transport_1_hub!L311</f>
        <v>2933.7461476573594</v>
      </c>
      <c r="C376" s="8">
        <f>Transport_1_hub!AT311</f>
        <v>506.69360406843282</v>
      </c>
      <c r="D376" s="8">
        <f>Transport_1_hub!AU311</f>
        <v>5185.0836845970634</v>
      </c>
      <c r="E376" s="8">
        <f>Transport_1_hub!AV311</f>
        <v>2.4470175609084923</v>
      </c>
      <c r="F376" s="8">
        <f>Transport_1_hub!AW311</f>
        <v>506.06157942843282</v>
      </c>
      <c r="G376" s="8">
        <f>Transport_1_hub!AX311</f>
        <v>120.81790427618733</v>
      </c>
      <c r="H376" s="8">
        <f>Transport_1_hub!AY311</f>
        <v>3.0077792642833576</v>
      </c>
      <c r="I376" s="8">
        <f>Transport_1_hub!AZ311</f>
        <v>1.5275364158121757E-2</v>
      </c>
      <c r="J376" s="8">
        <f>Transport_1_hub!BA311</f>
        <v>23.563132976242411</v>
      </c>
      <c r="K376" s="8">
        <f>Transport_1_hub!BB311</f>
        <v>24.629160686633373</v>
      </c>
      <c r="L376" s="8">
        <f>Transport_1_hub!BC311</f>
        <v>2.5990577310121394</v>
      </c>
      <c r="M376" s="8">
        <f>Transport_1_hub!BD311</f>
        <v>0.50576311869459689</v>
      </c>
      <c r="N376" s="8">
        <f>Transport_1_hub!BE311</f>
        <v>5.0037717622441811</v>
      </c>
      <c r="O376" s="8">
        <f>Transport_1_hub!BF311</f>
        <v>0.10765689434385398</v>
      </c>
      <c r="P376" s="8">
        <f>Transport_1_hub!BG311</f>
        <v>6.0683523556745688E-5</v>
      </c>
      <c r="Q376" s="8">
        <f>Transport_1_hub!BH311</f>
        <v>0.20736039247636587</v>
      </c>
      <c r="R376" s="8">
        <f>Transport_1_hub!BI311</f>
        <v>0.53422665055892293</v>
      </c>
      <c r="S376" s="8">
        <f>Transport_1_hub!BJ311</f>
        <v>0.12738616131357791</v>
      </c>
      <c r="T376" s="8">
        <f>Transport_1_hub!BK311</f>
        <v>1.3814050353577908E-2</v>
      </c>
      <c r="U376" s="8">
        <f>Transport_1_hub!BL311</f>
        <v>2.1038069995232531</v>
      </c>
      <c r="V376" s="9">
        <f>Transport_1_hub!BM311</f>
        <v>0.52053074521809151</v>
      </c>
      <c r="X376" s="22"/>
      <c r="Y376" s="22"/>
      <c r="AG376" s="42"/>
      <c r="AL376" s="42"/>
    </row>
    <row r="377" spans="2:38" x14ac:dyDescent="0.25">
      <c r="B377" s="40">
        <f>Transport_1_hub!W312+Transport_1_hub!L312</f>
        <v>2951.1881476573594</v>
      </c>
      <c r="C377" s="8">
        <f>Transport_1_hub!AT312</f>
        <v>512.62039566843282</v>
      </c>
      <c r="D377" s="8">
        <f>Transport_1_hub!AU312</f>
        <v>5271.5271162494491</v>
      </c>
      <c r="E377" s="8">
        <f>Transport_1_hub!AV312</f>
        <v>2.538860156108492</v>
      </c>
      <c r="F377" s="8">
        <f>Transport_1_hub!AW312</f>
        <v>511.91127738843284</v>
      </c>
      <c r="G377" s="8">
        <f>Transport_1_hub!AX312</f>
        <v>122.73478007618733</v>
      </c>
      <c r="H377" s="8">
        <f>Transport_1_hub!AY312</f>
        <v>3.3202352522833576</v>
      </c>
      <c r="I377" s="8">
        <f>Transport_1_hub!AZ312</f>
        <v>1.6108411520121758E-2</v>
      </c>
      <c r="J377" s="8">
        <f>Transport_1_hub!BA312</f>
        <v>24.90566115824241</v>
      </c>
      <c r="K377" s="8">
        <f>Transport_1_hub!BB312</f>
        <v>25.02648944663337</v>
      </c>
      <c r="L377" s="8">
        <f>Transport_1_hub!BC312</f>
        <v>2.8708389750121399</v>
      </c>
      <c r="M377" s="8">
        <f>Transport_1_hub!BD312</f>
        <v>0.50647839767259695</v>
      </c>
      <c r="N377" s="8">
        <f>Transport_1_hub!BE312</f>
        <v>5.41114711424418</v>
      </c>
      <c r="O377" s="8">
        <f>Transport_1_hub!BF312</f>
        <v>0.10727625757785397</v>
      </c>
      <c r="P377" s="8">
        <f>Transport_1_hub!BG312</f>
        <v>6.1536158284745691E-5</v>
      </c>
      <c r="Q377" s="8">
        <f>Transport_1_hub!BH312</f>
        <v>0.21452975215636588</v>
      </c>
      <c r="R377" s="8">
        <f>Transport_1_hub!BI312</f>
        <v>0.54968253001892298</v>
      </c>
      <c r="S377" s="8">
        <f>Transport_1_hub!BJ312</f>
        <v>0.1421319769535779</v>
      </c>
      <c r="T377" s="8">
        <f>Transport_1_hub!BK312</f>
        <v>1.4706470283577909E-2</v>
      </c>
      <c r="U377" s="8">
        <f>Transport_1_hub!BL312</f>
        <v>2.2556151907232529</v>
      </c>
      <c r="V377" s="9">
        <f>Transport_1_hub!BM312</f>
        <v>0.53677884031809153</v>
      </c>
      <c r="X377" s="22"/>
      <c r="Y377" s="22"/>
      <c r="AG377" s="42"/>
      <c r="AL377" s="42"/>
    </row>
    <row r="378" spans="2:38" x14ac:dyDescent="0.25">
      <c r="B378" s="40">
        <f>Transport_1_hub!W313+Transport_1_hub!L313</f>
        <v>2951.1881476573594</v>
      </c>
      <c r="C378" s="8">
        <f>Transport_1_hub!AT313</f>
        <v>512.62039566843282</v>
      </c>
      <c r="D378" s="8">
        <f>Transport_1_hub!AU313</f>
        <v>5271.5271162494491</v>
      </c>
      <c r="E378" s="8">
        <f>Transport_1_hub!AV313</f>
        <v>2.538860156108492</v>
      </c>
      <c r="F378" s="8">
        <f>Transport_1_hub!AW313</f>
        <v>511.91127738843284</v>
      </c>
      <c r="G378" s="8">
        <f>Transport_1_hub!AX313</f>
        <v>122.73478007618733</v>
      </c>
      <c r="H378" s="8">
        <f>Transport_1_hub!AY313</f>
        <v>3.3202352522833576</v>
      </c>
      <c r="I378" s="8">
        <f>Transport_1_hub!AZ313</f>
        <v>1.6108411520121758E-2</v>
      </c>
      <c r="J378" s="8">
        <f>Transport_1_hub!BA313</f>
        <v>24.90566115824241</v>
      </c>
      <c r="K378" s="8">
        <f>Transport_1_hub!BB313</f>
        <v>25.02648944663337</v>
      </c>
      <c r="L378" s="8">
        <f>Transport_1_hub!BC313</f>
        <v>2.8708389750121399</v>
      </c>
      <c r="M378" s="8">
        <f>Transport_1_hub!BD313</f>
        <v>0.50647839767259695</v>
      </c>
      <c r="N378" s="8">
        <f>Transport_1_hub!BE313</f>
        <v>5.41114711424418</v>
      </c>
      <c r="O378" s="8">
        <f>Transport_1_hub!BF313</f>
        <v>0.10727625757785397</v>
      </c>
      <c r="P378" s="8">
        <f>Transport_1_hub!BG313</f>
        <v>6.1536158284745691E-5</v>
      </c>
      <c r="Q378" s="8">
        <f>Transport_1_hub!BH313</f>
        <v>0.21452975215636588</v>
      </c>
      <c r="R378" s="8">
        <f>Transport_1_hub!BI313</f>
        <v>0.54968253001892298</v>
      </c>
      <c r="S378" s="8">
        <f>Transport_1_hub!BJ313</f>
        <v>0.1421319769535779</v>
      </c>
      <c r="T378" s="8">
        <f>Transport_1_hub!BK313</f>
        <v>1.4706470283577909E-2</v>
      </c>
      <c r="U378" s="8">
        <f>Transport_1_hub!BL313</f>
        <v>2.2556151907232529</v>
      </c>
      <c r="V378" s="9">
        <f>Transport_1_hub!BM313</f>
        <v>0.53677884031809153</v>
      </c>
      <c r="X378" s="22"/>
      <c r="Y378" s="22"/>
      <c r="AG378" s="42"/>
      <c r="AL378" s="42"/>
    </row>
    <row r="379" spans="2:38" x14ac:dyDescent="0.25">
      <c r="B379" s="40">
        <f>Transport_1_hub!W314+Transport_1_hub!L314</f>
        <v>2951.1881476573594</v>
      </c>
      <c r="C379" s="8">
        <f>Transport_1_hub!AT314</f>
        <v>512.62039566843282</v>
      </c>
      <c r="D379" s="8">
        <f>Transport_1_hub!AU314</f>
        <v>5271.5271162494491</v>
      </c>
      <c r="E379" s="8">
        <f>Transport_1_hub!AV314</f>
        <v>2.538860156108492</v>
      </c>
      <c r="F379" s="8">
        <f>Transport_1_hub!AW314</f>
        <v>511.91127738843284</v>
      </c>
      <c r="G379" s="8">
        <f>Transport_1_hub!AX314</f>
        <v>122.73478007618733</v>
      </c>
      <c r="H379" s="8">
        <f>Transport_1_hub!AY314</f>
        <v>3.3202352522833576</v>
      </c>
      <c r="I379" s="8">
        <f>Transport_1_hub!AZ314</f>
        <v>1.6108411520121758E-2</v>
      </c>
      <c r="J379" s="8">
        <f>Transport_1_hub!BA314</f>
        <v>24.90566115824241</v>
      </c>
      <c r="K379" s="8">
        <f>Transport_1_hub!BB314</f>
        <v>25.02648944663337</v>
      </c>
      <c r="L379" s="8">
        <f>Transport_1_hub!BC314</f>
        <v>2.8708389750121399</v>
      </c>
      <c r="M379" s="8">
        <f>Transport_1_hub!BD314</f>
        <v>0.50647839767259695</v>
      </c>
      <c r="N379" s="8">
        <f>Transport_1_hub!BE314</f>
        <v>5.41114711424418</v>
      </c>
      <c r="O379" s="8">
        <f>Transport_1_hub!BF314</f>
        <v>0.10727625757785397</v>
      </c>
      <c r="P379" s="8">
        <f>Transport_1_hub!BG314</f>
        <v>6.1536158284745691E-5</v>
      </c>
      <c r="Q379" s="8">
        <f>Transport_1_hub!BH314</f>
        <v>0.21452975215636588</v>
      </c>
      <c r="R379" s="8">
        <f>Transport_1_hub!BI314</f>
        <v>0.54968253001892298</v>
      </c>
      <c r="S379" s="8">
        <f>Transport_1_hub!BJ314</f>
        <v>0.1421319769535779</v>
      </c>
      <c r="T379" s="8">
        <f>Transport_1_hub!BK314</f>
        <v>1.4706470283577909E-2</v>
      </c>
      <c r="U379" s="8">
        <f>Transport_1_hub!BL314</f>
        <v>2.2556151907232529</v>
      </c>
      <c r="V379" s="9">
        <f>Transport_1_hub!BM314</f>
        <v>0.53677884031809153</v>
      </c>
      <c r="X379" s="22"/>
      <c r="Y379" s="22"/>
      <c r="AG379" s="42"/>
      <c r="AL379" s="42"/>
    </row>
    <row r="380" spans="2:38" x14ac:dyDescent="0.25">
      <c r="B380" s="40">
        <f>Transport_1_hub!W315+Transport_1_hub!L315</f>
        <v>2951.1881476573594</v>
      </c>
      <c r="C380" s="8">
        <f>Transport_1_hub!AT315</f>
        <v>512.62039566843282</v>
      </c>
      <c r="D380" s="8">
        <f>Transport_1_hub!AU315</f>
        <v>5271.5271162494491</v>
      </c>
      <c r="E380" s="8">
        <f>Transport_1_hub!AV315</f>
        <v>2.538860156108492</v>
      </c>
      <c r="F380" s="8">
        <f>Transport_1_hub!AW315</f>
        <v>511.91127738843284</v>
      </c>
      <c r="G380" s="8">
        <f>Transport_1_hub!AX315</f>
        <v>122.73478007618733</v>
      </c>
      <c r="H380" s="8">
        <f>Transport_1_hub!AY315</f>
        <v>3.3202352522833576</v>
      </c>
      <c r="I380" s="8">
        <f>Transport_1_hub!AZ315</f>
        <v>1.6108411520121758E-2</v>
      </c>
      <c r="J380" s="8">
        <f>Transport_1_hub!BA315</f>
        <v>24.90566115824241</v>
      </c>
      <c r="K380" s="8">
        <f>Transport_1_hub!BB315</f>
        <v>25.02648944663337</v>
      </c>
      <c r="L380" s="8">
        <f>Transport_1_hub!BC315</f>
        <v>2.8708389750121399</v>
      </c>
      <c r="M380" s="8">
        <f>Transport_1_hub!BD315</f>
        <v>0.50647839767259695</v>
      </c>
      <c r="N380" s="8">
        <f>Transport_1_hub!BE315</f>
        <v>5.41114711424418</v>
      </c>
      <c r="O380" s="8">
        <f>Transport_1_hub!BF315</f>
        <v>0.10727625757785397</v>
      </c>
      <c r="P380" s="8">
        <f>Transport_1_hub!BG315</f>
        <v>6.1536158284745691E-5</v>
      </c>
      <c r="Q380" s="8">
        <f>Transport_1_hub!BH315</f>
        <v>0.21452975215636588</v>
      </c>
      <c r="R380" s="8">
        <f>Transport_1_hub!BI315</f>
        <v>0.54968253001892298</v>
      </c>
      <c r="S380" s="8">
        <f>Transport_1_hub!BJ315</f>
        <v>0.1421319769535779</v>
      </c>
      <c r="T380" s="8">
        <f>Transport_1_hub!BK315</f>
        <v>1.4706470283577909E-2</v>
      </c>
      <c r="U380" s="8">
        <f>Transport_1_hub!BL315</f>
        <v>2.2556151907232529</v>
      </c>
      <c r="V380" s="9">
        <f>Transport_1_hub!BM315</f>
        <v>0.53677884031809153</v>
      </c>
      <c r="X380" s="22"/>
      <c r="Y380" s="22"/>
      <c r="AG380" s="42"/>
      <c r="AL380" s="42"/>
    </row>
    <row r="381" spans="2:38" x14ac:dyDescent="0.25">
      <c r="B381" s="40">
        <f>Transport_1_hub!W316+Transport_1_hub!L316</f>
        <v>2978.7979870823374</v>
      </c>
      <c r="C381" s="8">
        <f>Transport_1_hub!AT316</f>
        <v>486.03329498727965</v>
      </c>
      <c r="D381" s="8">
        <f>Transport_1_hub!AU316</f>
        <v>4779.1895532577882</v>
      </c>
      <c r="E381" s="8">
        <f>Transport_1_hub!AV316</f>
        <v>1.8693734763214882</v>
      </c>
      <c r="F381" s="8">
        <f>Transport_1_hub!AW316</f>
        <v>485.9257829072796</v>
      </c>
      <c r="G381" s="8">
        <f>Transport_1_hub!AX316</f>
        <v>112.07756397783174</v>
      </c>
      <c r="H381" s="8">
        <f>Transport_1_hub!AY316</f>
        <v>0.89695647493897801</v>
      </c>
      <c r="I381" s="8">
        <f>Transport_1_hub!AZ316</f>
        <v>9.8329956451663047E-3</v>
      </c>
      <c r="J381" s="8">
        <f>Transport_1_hub!BA316</f>
        <v>14.774132209007663</v>
      </c>
      <c r="K381" s="8">
        <f>Transport_1_hub!BB316</f>
        <v>22.754414989157429</v>
      </c>
      <c r="L381" s="8">
        <f>Transport_1_hub!BC316</f>
        <v>0.76157494067667808</v>
      </c>
      <c r="M381" s="8">
        <f>Transport_1_hub!BD316</f>
        <v>0.52406072924180414</v>
      </c>
      <c r="N381" s="8">
        <f>Transport_1_hub!BE316</f>
        <v>2.2920655013335254</v>
      </c>
      <c r="O381" s="8">
        <f>Transport_1_hub!BF316</f>
        <v>0.11476646776441272</v>
      </c>
      <c r="P381" s="8">
        <f>Transport_1_hub!BG316</f>
        <v>5.7077805132835255E-5</v>
      </c>
      <c r="Q381" s="8">
        <f>Transport_1_hub!BH316</f>
        <v>0.1633521657546288</v>
      </c>
      <c r="R381" s="8">
        <f>Transport_1_hub!BI316</f>
        <v>0.44003692110992793</v>
      </c>
      <c r="S381" s="8">
        <f>Transport_1_hub!BJ316</f>
        <v>2.7259053027013508E-2</v>
      </c>
      <c r="T381" s="8">
        <f>Transport_1_hub!BK316</f>
        <v>7.9395944070135022E-3</v>
      </c>
      <c r="U381" s="8">
        <f>Transport_1_hub!BL316</f>
        <v>1.0932164416563963</v>
      </c>
      <c r="V381" s="9">
        <f>Transport_1_hub!BM316</f>
        <v>0.42252142717437408</v>
      </c>
      <c r="X381" s="22"/>
      <c r="Y381" s="22"/>
      <c r="AG381" s="42"/>
      <c r="AL381" s="42"/>
    </row>
    <row r="382" spans="2:38" x14ac:dyDescent="0.25">
      <c r="B382" s="40">
        <f>Transport_1_hub!W317+Transport_1_hub!L317</f>
        <v>2978.7979870823374</v>
      </c>
      <c r="C382" s="8">
        <f>Transport_1_hub!AT317</f>
        <v>486.03329498727965</v>
      </c>
      <c r="D382" s="8">
        <f>Transport_1_hub!AU317</f>
        <v>4779.1895532577882</v>
      </c>
      <c r="E382" s="8">
        <f>Transport_1_hub!AV317</f>
        <v>1.8693734763214882</v>
      </c>
      <c r="F382" s="8">
        <f>Transport_1_hub!AW317</f>
        <v>485.9257829072796</v>
      </c>
      <c r="G382" s="8">
        <f>Transport_1_hub!AX317</f>
        <v>112.07756397783174</v>
      </c>
      <c r="H382" s="8">
        <f>Transport_1_hub!AY317</f>
        <v>0.89695647493897801</v>
      </c>
      <c r="I382" s="8">
        <f>Transport_1_hub!AZ317</f>
        <v>9.8329956451663047E-3</v>
      </c>
      <c r="J382" s="8">
        <f>Transport_1_hub!BA317</f>
        <v>14.774132209007663</v>
      </c>
      <c r="K382" s="8">
        <f>Transport_1_hub!BB317</f>
        <v>22.754414989157429</v>
      </c>
      <c r="L382" s="8">
        <f>Transport_1_hub!BC317</f>
        <v>0.76157494067667808</v>
      </c>
      <c r="M382" s="8">
        <f>Transport_1_hub!BD317</f>
        <v>0.52406072924180414</v>
      </c>
      <c r="N382" s="8">
        <f>Transport_1_hub!BE317</f>
        <v>2.2920655013335254</v>
      </c>
      <c r="O382" s="8">
        <f>Transport_1_hub!BF317</f>
        <v>0.11476646776441272</v>
      </c>
      <c r="P382" s="8">
        <f>Transport_1_hub!BG317</f>
        <v>5.7077805132835255E-5</v>
      </c>
      <c r="Q382" s="8">
        <f>Transport_1_hub!BH317</f>
        <v>0.1633521657546288</v>
      </c>
      <c r="R382" s="8">
        <f>Transport_1_hub!BI317</f>
        <v>0.44003692110992793</v>
      </c>
      <c r="S382" s="8">
        <f>Transport_1_hub!BJ317</f>
        <v>2.7259053027013508E-2</v>
      </c>
      <c r="T382" s="8">
        <f>Transport_1_hub!BK317</f>
        <v>7.9395944070135022E-3</v>
      </c>
      <c r="U382" s="8">
        <f>Transport_1_hub!BL317</f>
        <v>1.0932164416563963</v>
      </c>
      <c r="V382" s="9">
        <f>Transport_1_hub!BM317</f>
        <v>0.42252142717437408</v>
      </c>
      <c r="X382" s="22"/>
      <c r="Y382" s="22"/>
      <c r="AG382" s="42"/>
      <c r="AL382" s="42"/>
    </row>
    <row r="383" spans="2:38" x14ac:dyDescent="0.25">
      <c r="B383" s="40">
        <f>Transport_1_hub!W318+Transport_1_hub!L318</f>
        <v>2992.3059870823372</v>
      </c>
      <c r="C383" s="8">
        <f>Transport_1_hub!AT318</f>
        <v>490.62331338727961</v>
      </c>
      <c r="D383" s="8">
        <f>Transport_1_hub!AU318</f>
        <v>4846.1358825067528</v>
      </c>
      <c r="E383" s="8">
        <f>Transport_1_hub!AV318</f>
        <v>1.9405012011214882</v>
      </c>
      <c r="F383" s="8">
        <f>Transport_1_hub!AW318</f>
        <v>490.45609594727961</v>
      </c>
      <c r="G383" s="8">
        <f>Transport_1_hub!AX318</f>
        <v>113.56209317783174</v>
      </c>
      <c r="H383" s="8">
        <f>Transport_1_hub!AY318</f>
        <v>1.138938786938978</v>
      </c>
      <c r="I383" s="8">
        <f>Transport_1_hub!AZ318</f>
        <v>1.0478151233166304E-2</v>
      </c>
      <c r="J383" s="8">
        <f>Transport_1_hub!BA318</f>
        <v>15.813856477007661</v>
      </c>
      <c r="K383" s="8">
        <f>Transport_1_hub!BB318</f>
        <v>23.062127229157429</v>
      </c>
      <c r="L383" s="8">
        <f>Transport_1_hub!BC318</f>
        <v>0.9720565966766781</v>
      </c>
      <c r="M383" s="8">
        <f>Transport_1_hub!BD318</f>
        <v>0.52461467881380419</v>
      </c>
      <c r="N383" s="8">
        <f>Transport_1_hub!BE318</f>
        <v>2.6075583493335257</v>
      </c>
      <c r="O383" s="8">
        <f>Transport_1_hub!BF318</f>
        <v>0.11447168268041272</v>
      </c>
      <c r="P383" s="8">
        <f>Transport_1_hub!BG318</f>
        <v>5.7738130204835258E-5</v>
      </c>
      <c r="Q383" s="8">
        <f>Transport_1_hub!BH318</f>
        <v>0.16890449407462882</v>
      </c>
      <c r="R383" s="8">
        <f>Transport_1_hub!BI318</f>
        <v>0.45200676514992788</v>
      </c>
      <c r="S383" s="8">
        <f>Transport_1_hub!BJ318</f>
        <v>3.8678986387013503E-2</v>
      </c>
      <c r="T383" s="8">
        <f>Transport_1_hub!BK318</f>
        <v>8.6307312270135026E-3</v>
      </c>
      <c r="U383" s="8">
        <f>Transport_1_hub!BL318</f>
        <v>1.2107846704563963</v>
      </c>
      <c r="V383" s="9">
        <f>Transport_1_hub!BM318</f>
        <v>0.43510480457437406</v>
      </c>
      <c r="X383" s="22"/>
      <c r="Y383" s="22"/>
      <c r="AG383" s="42"/>
      <c r="AL383" s="42"/>
    </row>
    <row r="384" spans="2:38" x14ac:dyDescent="0.25">
      <c r="B384" s="40">
        <f>Transport_1_hub!W319+Transport_1_hub!L319</f>
        <v>2975.3909870823372</v>
      </c>
      <c r="C384" s="8">
        <f>Transport_1_hub!AT319</f>
        <v>484.87559638727964</v>
      </c>
      <c r="D384" s="8">
        <f>Transport_1_hub!AU319</f>
        <v>4762.3042894325572</v>
      </c>
      <c r="E384" s="8">
        <f>Transport_1_hub!AV319</f>
        <v>1.8514335771214883</v>
      </c>
      <c r="F384" s="8">
        <f>Transport_1_hub!AW319</f>
        <v>484.78314324727961</v>
      </c>
      <c r="G384" s="8">
        <f>Transport_1_hub!AX319</f>
        <v>111.70313467783174</v>
      </c>
      <c r="H384" s="8">
        <f>Transport_1_hub!AY319</f>
        <v>0.83592347693897795</v>
      </c>
      <c r="I384" s="8">
        <f>Transport_1_hub!AZ319</f>
        <v>9.6702739181663052E-3</v>
      </c>
      <c r="J384" s="8">
        <f>Transport_1_hub!BA319</f>
        <v>14.511892012007662</v>
      </c>
      <c r="K384" s="8">
        <f>Transport_1_hub!BB319</f>
        <v>22.676803529157429</v>
      </c>
      <c r="L384" s="8">
        <f>Transport_1_hub!BC319</f>
        <v>0.70848706667667805</v>
      </c>
      <c r="M384" s="8">
        <f>Transport_1_hub!BD319</f>
        <v>0.52392101157880411</v>
      </c>
      <c r="N384" s="8">
        <f>Transport_1_hub!BE319</f>
        <v>2.2124916093335254</v>
      </c>
      <c r="O384" s="8">
        <f>Transport_1_hub!BF319</f>
        <v>0.11484081872541273</v>
      </c>
      <c r="P384" s="8">
        <f>Transport_1_hub!BG319</f>
        <v>5.6911257344835259E-5</v>
      </c>
      <c r="Q384" s="8">
        <f>Transport_1_hub!BH319</f>
        <v>0.16195175247462881</v>
      </c>
      <c r="R384" s="8">
        <f>Transport_1_hub!BI319</f>
        <v>0.43701787619992793</v>
      </c>
      <c r="S384" s="8">
        <f>Transport_1_hub!BJ319</f>
        <v>2.4378707087013507E-2</v>
      </c>
      <c r="T384" s="8">
        <f>Transport_1_hub!BK319</f>
        <v>7.7652752520135024E-3</v>
      </c>
      <c r="U384" s="8">
        <f>Transport_1_hub!BL319</f>
        <v>1.0635632764563963</v>
      </c>
      <c r="V384" s="9">
        <f>Transport_1_hub!BM319</f>
        <v>0.41934763632437411</v>
      </c>
      <c r="X384" s="22"/>
      <c r="Y384" s="22"/>
      <c r="AG384" s="42"/>
      <c r="AL384" s="42"/>
    </row>
    <row r="385" spans="2:38" x14ac:dyDescent="0.25">
      <c r="B385" s="40">
        <f>Transport_1_hub!W320+Transport_1_hub!L320</f>
        <v>2975.3909870823372</v>
      </c>
      <c r="C385" s="8">
        <f>Transport_1_hub!AT320</f>
        <v>484.87559638727964</v>
      </c>
      <c r="D385" s="8">
        <f>Transport_1_hub!AU320</f>
        <v>4762.3042894325572</v>
      </c>
      <c r="E385" s="8">
        <f>Transport_1_hub!AV320</f>
        <v>1.8514335771214883</v>
      </c>
      <c r="F385" s="8">
        <f>Transport_1_hub!AW320</f>
        <v>484.78314324727961</v>
      </c>
      <c r="G385" s="8">
        <f>Transport_1_hub!AX320</f>
        <v>111.70313467783174</v>
      </c>
      <c r="H385" s="8">
        <f>Transport_1_hub!AY320</f>
        <v>0.83592347693897795</v>
      </c>
      <c r="I385" s="8">
        <f>Transport_1_hub!AZ320</f>
        <v>9.6702739181663052E-3</v>
      </c>
      <c r="J385" s="8">
        <f>Transport_1_hub!BA320</f>
        <v>14.511892012007662</v>
      </c>
      <c r="K385" s="8">
        <f>Transport_1_hub!BB320</f>
        <v>22.676803529157429</v>
      </c>
      <c r="L385" s="8">
        <f>Transport_1_hub!BC320</f>
        <v>0.70848706667667805</v>
      </c>
      <c r="M385" s="8">
        <f>Transport_1_hub!BD320</f>
        <v>0.52392101157880411</v>
      </c>
      <c r="N385" s="8">
        <f>Transport_1_hub!BE320</f>
        <v>2.2124916093335254</v>
      </c>
      <c r="O385" s="8">
        <f>Transport_1_hub!BF320</f>
        <v>0.11484081872541273</v>
      </c>
      <c r="P385" s="8">
        <f>Transport_1_hub!BG320</f>
        <v>5.6911257344835259E-5</v>
      </c>
      <c r="Q385" s="8">
        <f>Transport_1_hub!BH320</f>
        <v>0.16195175247462881</v>
      </c>
      <c r="R385" s="8">
        <f>Transport_1_hub!BI320</f>
        <v>0.43701787619992793</v>
      </c>
      <c r="S385" s="8">
        <f>Transport_1_hub!BJ320</f>
        <v>2.4378707087013507E-2</v>
      </c>
      <c r="T385" s="8">
        <f>Transport_1_hub!BK320</f>
        <v>7.7652752520135024E-3</v>
      </c>
      <c r="U385" s="8">
        <f>Transport_1_hub!BL320</f>
        <v>1.0635632764563963</v>
      </c>
      <c r="V385" s="9">
        <f>Transport_1_hub!BM320</f>
        <v>0.41934763632437411</v>
      </c>
      <c r="X385" s="22"/>
      <c r="Y385" s="22"/>
      <c r="AG385" s="42"/>
      <c r="AL385" s="42"/>
    </row>
    <row r="386" spans="2:38" x14ac:dyDescent="0.25">
      <c r="B386" s="40">
        <f>Transport_1_hub!W321+Transport_1_hub!L321</f>
        <v>2981.3529870823372</v>
      </c>
      <c r="C386" s="8">
        <f>Transport_1_hub!AT321</f>
        <v>486.90148398727962</v>
      </c>
      <c r="D386" s="8">
        <f>Transport_1_hub!AU321</f>
        <v>4791.8522621141037</v>
      </c>
      <c r="E386" s="8">
        <f>Transport_1_hub!AV321</f>
        <v>1.8828270843214883</v>
      </c>
      <c r="F386" s="8">
        <f>Transport_1_hub!AW321</f>
        <v>486.78267880727964</v>
      </c>
      <c r="G386" s="8">
        <f>Transport_1_hub!AX321</f>
        <v>112.35835847783174</v>
      </c>
      <c r="H386" s="8">
        <f>Transport_1_hub!AY321</f>
        <v>0.94272674493897801</v>
      </c>
      <c r="I386" s="8">
        <f>Transport_1_hub!AZ321</f>
        <v>9.9550250001663038E-3</v>
      </c>
      <c r="J386" s="8">
        <f>Transport_1_hub!BA321</f>
        <v>14.970793114007662</v>
      </c>
      <c r="K386" s="8">
        <f>Transport_1_hub!BB321</f>
        <v>22.812617889157426</v>
      </c>
      <c r="L386" s="8">
        <f>Transport_1_hub!BC321</f>
        <v>0.80138695067667798</v>
      </c>
      <c r="M386" s="8">
        <f>Transport_1_hub!BD321</f>
        <v>0.52416550723680411</v>
      </c>
      <c r="N386" s="8">
        <f>Transport_1_hub!BE321</f>
        <v>2.3517400813335256</v>
      </c>
      <c r="O386" s="8">
        <f>Transport_1_hub!BF321</f>
        <v>0.11471070999941273</v>
      </c>
      <c r="P386" s="8">
        <f>Transport_1_hub!BG321</f>
        <v>5.7202703752835255E-5</v>
      </c>
      <c r="Q386" s="8">
        <f>Transport_1_hub!BH321</f>
        <v>0.16440237295462881</v>
      </c>
      <c r="R386" s="8">
        <f>Transport_1_hub!BI321</f>
        <v>0.44230098325992789</v>
      </c>
      <c r="S386" s="8">
        <f>Transport_1_hub!BJ321</f>
        <v>2.9419101127013507E-2</v>
      </c>
      <c r="T386" s="8">
        <f>Transport_1_hub!BK321</f>
        <v>8.0703209820135024E-3</v>
      </c>
      <c r="U386" s="8">
        <f>Transport_1_hub!BL321</f>
        <v>1.1154541396563964</v>
      </c>
      <c r="V386" s="9">
        <f>Transport_1_hub!BM321</f>
        <v>0.42490153742437409</v>
      </c>
      <c r="X386" s="22"/>
      <c r="Y386" s="22"/>
      <c r="AG386" s="42"/>
      <c r="AL386" s="42"/>
    </row>
    <row r="387" spans="2:38" x14ac:dyDescent="0.25">
      <c r="B387" s="40">
        <f>Transport_1_hub!W322+Transport_1_hub!L322</f>
        <v>2981.3529870823372</v>
      </c>
      <c r="C387" s="8">
        <f>Transport_1_hub!AT322</f>
        <v>486.90148398727962</v>
      </c>
      <c r="D387" s="8">
        <f>Transport_1_hub!AU322</f>
        <v>4791.8522621141037</v>
      </c>
      <c r="E387" s="8">
        <f>Transport_1_hub!AV322</f>
        <v>1.8828270843214883</v>
      </c>
      <c r="F387" s="8">
        <f>Transport_1_hub!AW322</f>
        <v>486.78267880727964</v>
      </c>
      <c r="G387" s="8">
        <f>Transport_1_hub!AX322</f>
        <v>112.35835847783174</v>
      </c>
      <c r="H387" s="8">
        <f>Transport_1_hub!AY322</f>
        <v>0.94272674493897801</v>
      </c>
      <c r="I387" s="8">
        <f>Transport_1_hub!AZ322</f>
        <v>9.9550250001663038E-3</v>
      </c>
      <c r="J387" s="8">
        <f>Transport_1_hub!BA322</f>
        <v>14.970793114007662</v>
      </c>
      <c r="K387" s="8">
        <f>Transport_1_hub!BB322</f>
        <v>22.812617889157426</v>
      </c>
      <c r="L387" s="8">
        <f>Transport_1_hub!BC322</f>
        <v>0.80138695067667798</v>
      </c>
      <c r="M387" s="8">
        <f>Transport_1_hub!BD322</f>
        <v>0.52416550723680411</v>
      </c>
      <c r="N387" s="8">
        <f>Transport_1_hub!BE322</f>
        <v>2.3517400813335256</v>
      </c>
      <c r="O387" s="8">
        <f>Transport_1_hub!BF322</f>
        <v>0.11471070999941273</v>
      </c>
      <c r="P387" s="8">
        <f>Transport_1_hub!BG322</f>
        <v>5.7202703752835255E-5</v>
      </c>
      <c r="Q387" s="8">
        <f>Transport_1_hub!BH322</f>
        <v>0.16440237295462881</v>
      </c>
      <c r="R387" s="8">
        <f>Transport_1_hub!BI322</f>
        <v>0.44230098325992789</v>
      </c>
      <c r="S387" s="8">
        <f>Transport_1_hub!BJ322</f>
        <v>2.9419101127013507E-2</v>
      </c>
      <c r="T387" s="8">
        <f>Transport_1_hub!BK322</f>
        <v>8.0703209820135024E-3</v>
      </c>
      <c r="U387" s="8">
        <f>Transport_1_hub!BL322</f>
        <v>1.1154541396563964</v>
      </c>
      <c r="V387" s="9">
        <f>Transport_1_hub!BM322</f>
        <v>0.42490153742437409</v>
      </c>
      <c r="X387" s="22"/>
      <c r="Y387" s="22"/>
      <c r="AG387" s="42"/>
      <c r="AL387" s="42"/>
    </row>
    <row r="388" spans="2:38" x14ac:dyDescent="0.25">
      <c r="B388" s="40">
        <f>Transport_1_hub!W323+Transport_1_hub!L323</f>
        <v>2981.3529870823372</v>
      </c>
      <c r="C388" s="8">
        <f>Transport_1_hub!AT323</f>
        <v>486.90148398727962</v>
      </c>
      <c r="D388" s="8">
        <f>Transport_1_hub!AU323</f>
        <v>4791.8522621141037</v>
      </c>
      <c r="E388" s="8">
        <f>Transport_1_hub!AV323</f>
        <v>1.8828270843214883</v>
      </c>
      <c r="F388" s="8">
        <f>Transport_1_hub!AW323</f>
        <v>486.78267880727964</v>
      </c>
      <c r="G388" s="8">
        <f>Transport_1_hub!AX323</f>
        <v>112.35835847783174</v>
      </c>
      <c r="H388" s="8">
        <f>Transport_1_hub!AY323</f>
        <v>0.94272674493897801</v>
      </c>
      <c r="I388" s="8">
        <f>Transport_1_hub!AZ323</f>
        <v>9.9550250001663038E-3</v>
      </c>
      <c r="J388" s="8">
        <f>Transport_1_hub!BA323</f>
        <v>14.970793114007662</v>
      </c>
      <c r="K388" s="8">
        <f>Transport_1_hub!BB323</f>
        <v>22.812617889157426</v>
      </c>
      <c r="L388" s="8">
        <f>Transport_1_hub!BC323</f>
        <v>0.80138695067667798</v>
      </c>
      <c r="M388" s="8">
        <f>Transport_1_hub!BD323</f>
        <v>0.52416550723680411</v>
      </c>
      <c r="N388" s="8">
        <f>Transport_1_hub!BE323</f>
        <v>2.3517400813335256</v>
      </c>
      <c r="O388" s="8">
        <f>Transport_1_hub!BF323</f>
        <v>0.11471070999941273</v>
      </c>
      <c r="P388" s="8">
        <f>Transport_1_hub!BG323</f>
        <v>5.7202703752835255E-5</v>
      </c>
      <c r="Q388" s="8">
        <f>Transport_1_hub!BH323</f>
        <v>0.16440237295462881</v>
      </c>
      <c r="R388" s="8">
        <f>Transport_1_hub!BI323</f>
        <v>0.44230098325992789</v>
      </c>
      <c r="S388" s="8">
        <f>Transport_1_hub!BJ323</f>
        <v>2.9419101127013507E-2</v>
      </c>
      <c r="T388" s="8">
        <f>Transport_1_hub!BK323</f>
        <v>8.0703209820135024E-3</v>
      </c>
      <c r="U388" s="8">
        <f>Transport_1_hub!BL323</f>
        <v>1.1154541396563964</v>
      </c>
      <c r="V388" s="9">
        <f>Transport_1_hub!BM323</f>
        <v>0.42490153742437409</v>
      </c>
      <c r="X388" s="22"/>
      <c r="Y388" s="22"/>
      <c r="AG388" s="42"/>
      <c r="AL388" s="42"/>
    </row>
    <row r="389" spans="2:38" x14ac:dyDescent="0.25">
      <c r="B389" s="40">
        <f>Transport_1_hub!W324+Transport_1_hub!L324</f>
        <v>2981.3529870823372</v>
      </c>
      <c r="C389" s="8">
        <f>Transport_1_hub!AT324</f>
        <v>486.90148398727962</v>
      </c>
      <c r="D389" s="8">
        <f>Transport_1_hub!AU324</f>
        <v>4791.8522621141037</v>
      </c>
      <c r="E389" s="8">
        <f>Transport_1_hub!AV324</f>
        <v>1.8828270843214883</v>
      </c>
      <c r="F389" s="8">
        <f>Transport_1_hub!AW324</f>
        <v>486.78267880727964</v>
      </c>
      <c r="G389" s="8">
        <f>Transport_1_hub!AX324</f>
        <v>112.35835847783174</v>
      </c>
      <c r="H389" s="8">
        <f>Transport_1_hub!AY324</f>
        <v>0.94272674493897801</v>
      </c>
      <c r="I389" s="8">
        <f>Transport_1_hub!AZ324</f>
        <v>9.9550250001663038E-3</v>
      </c>
      <c r="J389" s="8">
        <f>Transport_1_hub!BA324</f>
        <v>14.970793114007662</v>
      </c>
      <c r="K389" s="8">
        <f>Transport_1_hub!BB324</f>
        <v>22.812617889157426</v>
      </c>
      <c r="L389" s="8">
        <f>Transport_1_hub!BC324</f>
        <v>0.80138695067667798</v>
      </c>
      <c r="M389" s="8">
        <f>Transport_1_hub!BD324</f>
        <v>0.52416550723680411</v>
      </c>
      <c r="N389" s="8">
        <f>Transport_1_hub!BE324</f>
        <v>2.3517400813335256</v>
      </c>
      <c r="O389" s="8">
        <f>Transport_1_hub!BF324</f>
        <v>0.11471070999941273</v>
      </c>
      <c r="P389" s="8">
        <f>Transport_1_hub!BG324</f>
        <v>5.7202703752835255E-5</v>
      </c>
      <c r="Q389" s="8">
        <f>Transport_1_hub!BH324</f>
        <v>0.16440237295462881</v>
      </c>
      <c r="R389" s="8">
        <f>Transport_1_hub!BI324</f>
        <v>0.44230098325992789</v>
      </c>
      <c r="S389" s="8">
        <f>Transport_1_hub!BJ324</f>
        <v>2.9419101127013507E-2</v>
      </c>
      <c r="T389" s="8">
        <f>Transport_1_hub!BK324</f>
        <v>8.0703209820135024E-3</v>
      </c>
      <c r="U389" s="8">
        <f>Transport_1_hub!BL324</f>
        <v>1.1154541396563964</v>
      </c>
      <c r="V389" s="9">
        <f>Transport_1_hub!BM324</f>
        <v>0.42490153742437409</v>
      </c>
      <c r="X389" s="22"/>
      <c r="Y389" s="22"/>
      <c r="AG389" s="42"/>
      <c r="AL389" s="42"/>
    </row>
    <row r="390" spans="2:38" x14ac:dyDescent="0.25">
      <c r="B390" s="40">
        <f>Transport_1_hub!W325+Transport_1_hub!L325</f>
        <v>2981.3529870823372</v>
      </c>
      <c r="C390" s="8">
        <f>Transport_1_hub!AT325</f>
        <v>486.90148398727962</v>
      </c>
      <c r="D390" s="8">
        <f>Transport_1_hub!AU325</f>
        <v>4791.8522621141037</v>
      </c>
      <c r="E390" s="8">
        <f>Transport_1_hub!AV325</f>
        <v>1.8828270843214883</v>
      </c>
      <c r="F390" s="8">
        <f>Transport_1_hub!AW325</f>
        <v>486.78267880727964</v>
      </c>
      <c r="G390" s="8">
        <f>Transport_1_hub!AX325</f>
        <v>112.35835847783174</v>
      </c>
      <c r="H390" s="8">
        <f>Transport_1_hub!AY325</f>
        <v>0.94272674493897801</v>
      </c>
      <c r="I390" s="8">
        <f>Transport_1_hub!AZ325</f>
        <v>9.9550250001663038E-3</v>
      </c>
      <c r="J390" s="8">
        <f>Transport_1_hub!BA325</f>
        <v>14.970793114007662</v>
      </c>
      <c r="K390" s="8">
        <f>Transport_1_hub!BB325</f>
        <v>22.812617889157426</v>
      </c>
      <c r="L390" s="8">
        <f>Transport_1_hub!BC325</f>
        <v>0.80138695067667798</v>
      </c>
      <c r="M390" s="8">
        <f>Transport_1_hub!BD325</f>
        <v>0.52416550723680411</v>
      </c>
      <c r="N390" s="8">
        <f>Transport_1_hub!BE325</f>
        <v>2.3517400813335256</v>
      </c>
      <c r="O390" s="8">
        <f>Transport_1_hub!BF325</f>
        <v>0.11471070999941273</v>
      </c>
      <c r="P390" s="8">
        <f>Transport_1_hub!BG325</f>
        <v>5.7202703752835255E-5</v>
      </c>
      <c r="Q390" s="8">
        <f>Transport_1_hub!BH325</f>
        <v>0.16440237295462881</v>
      </c>
      <c r="R390" s="8">
        <f>Transport_1_hub!BI325</f>
        <v>0.44230098325992789</v>
      </c>
      <c r="S390" s="8">
        <f>Transport_1_hub!BJ325</f>
        <v>2.9419101127013507E-2</v>
      </c>
      <c r="T390" s="8">
        <f>Transport_1_hub!BK325</f>
        <v>8.0703209820135024E-3</v>
      </c>
      <c r="U390" s="8">
        <f>Transport_1_hub!BL325</f>
        <v>1.1154541396563964</v>
      </c>
      <c r="V390" s="9">
        <f>Transport_1_hub!BM325</f>
        <v>0.42490153742437409</v>
      </c>
      <c r="X390" s="22"/>
      <c r="Y390" s="22"/>
      <c r="AG390" s="42"/>
      <c r="AL390" s="42"/>
    </row>
    <row r="391" spans="2:38" x14ac:dyDescent="0.25">
      <c r="B391" s="40">
        <f>Transport_1_hub!W326+Transport_1_hub!L326</f>
        <v>2981.3529870823372</v>
      </c>
      <c r="C391" s="8">
        <f>Transport_1_hub!AT326</f>
        <v>486.90148398727962</v>
      </c>
      <c r="D391" s="8">
        <f>Transport_1_hub!AU326</f>
        <v>4791.8522621141037</v>
      </c>
      <c r="E391" s="8">
        <f>Transport_1_hub!AV326</f>
        <v>1.8828270843214883</v>
      </c>
      <c r="F391" s="8">
        <f>Transport_1_hub!AW326</f>
        <v>486.78267880727964</v>
      </c>
      <c r="G391" s="8">
        <f>Transport_1_hub!AX326</f>
        <v>112.35835847783174</v>
      </c>
      <c r="H391" s="8">
        <f>Transport_1_hub!AY326</f>
        <v>0.94272674493897801</v>
      </c>
      <c r="I391" s="8">
        <f>Transport_1_hub!AZ326</f>
        <v>9.9550250001663038E-3</v>
      </c>
      <c r="J391" s="8">
        <f>Transport_1_hub!BA326</f>
        <v>14.970793114007662</v>
      </c>
      <c r="K391" s="8">
        <f>Transport_1_hub!BB326</f>
        <v>22.812617889157426</v>
      </c>
      <c r="L391" s="8">
        <f>Transport_1_hub!BC326</f>
        <v>0.80138695067667798</v>
      </c>
      <c r="M391" s="8">
        <f>Transport_1_hub!BD326</f>
        <v>0.52416550723680411</v>
      </c>
      <c r="N391" s="8">
        <f>Transport_1_hub!BE326</f>
        <v>2.3517400813335256</v>
      </c>
      <c r="O391" s="8">
        <f>Transport_1_hub!BF326</f>
        <v>0.11471070999941273</v>
      </c>
      <c r="P391" s="8">
        <f>Transport_1_hub!BG326</f>
        <v>5.7202703752835255E-5</v>
      </c>
      <c r="Q391" s="8">
        <f>Transport_1_hub!BH326</f>
        <v>0.16440237295462881</v>
      </c>
      <c r="R391" s="8">
        <f>Transport_1_hub!BI326</f>
        <v>0.44230098325992789</v>
      </c>
      <c r="S391" s="8">
        <f>Transport_1_hub!BJ326</f>
        <v>2.9419101127013507E-2</v>
      </c>
      <c r="T391" s="8">
        <f>Transport_1_hub!BK326</f>
        <v>8.0703209820135024E-3</v>
      </c>
      <c r="U391" s="8">
        <f>Transport_1_hub!BL326</f>
        <v>1.1154541396563964</v>
      </c>
      <c r="V391" s="9">
        <f>Transport_1_hub!BM326</f>
        <v>0.42490153742437409</v>
      </c>
      <c r="X391" s="22"/>
      <c r="Y391" s="22"/>
      <c r="AG391" s="42"/>
      <c r="AL391" s="42"/>
    </row>
    <row r="392" spans="2:38" x14ac:dyDescent="0.25">
      <c r="B392" s="40">
        <f>Transport_1_hub!W327+Transport_1_hub!L327</f>
        <v>2824.1798815682209</v>
      </c>
      <c r="C392" s="8">
        <f>Transport_1_hub!AT327</f>
        <v>467.73727499432255</v>
      </c>
      <c r="D392" s="8">
        <f>Transport_1_hub!AU327</f>
        <v>4611.8673810024256</v>
      </c>
      <c r="E392" s="8">
        <f>Transport_1_hub!AV327</f>
        <v>1.8309629691285529</v>
      </c>
      <c r="F392" s="8">
        <f>Transport_1_hub!AW327</f>
        <v>467.62428211432257</v>
      </c>
      <c r="G392" s="8">
        <f>Transport_1_hub!AX327</f>
        <v>108.11940045687103</v>
      </c>
      <c r="H392" s="8">
        <f>Transport_1_hub!AY327</f>
        <v>0.90489533309318171</v>
      </c>
      <c r="I392" s="8">
        <f>Transport_1_hub!AZ327</f>
        <v>9.6777206914914725E-3</v>
      </c>
      <c r="J392" s="8">
        <f>Transport_1_hub!BA327</f>
        <v>14.541157520887827</v>
      </c>
      <c r="K392" s="8">
        <f>Transport_1_hub!BB327</f>
        <v>21.993989341605101</v>
      </c>
      <c r="L392" s="8">
        <f>Transport_1_hub!BC327</f>
        <v>0.76985267692464188</v>
      </c>
      <c r="M392" s="8">
        <f>Transport_1_hub!BD327</f>
        <v>0.50206047513221497</v>
      </c>
      <c r="N392" s="8">
        <f>Transport_1_hub!BE327</f>
        <v>2.2640040343240275</v>
      </c>
      <c r="O392" s="8">
        <f>Transport_1_hub!BF327</f>
        <v>0.11043687109497406</v>
      </c>
      <c r="P392" s="8">
        <f>Transport_1_hub!BG327</f>
        <v>5.5048738084854098E-5</v>
      </c>
      <c r="Q392" s="8">
        <f>Transport_1_hub!BH327</f>
        <v>0.15932212296511944</v>
      </c>
      <c r="R392" s="8">
        <f>Transport_1_hub!BI327</f>
        <v>0.43069743140146671</v>
      </c>
      <c r="S392" s="8">
        <f>Transport_1_hub!BJ327</f>
        <v>2.8119660911132376E-2</v>
      </c>
      <c r="T392" s="8">
        <f>Transport_1_hub!BK327</f>
        <v>7.8153260911323717E-3</v>
      </c>
      <c r="U392" s="8">
        <f>Transport_1_hub!BL327</f>
        <v>1.0828302527481188</v>
      </c>
      <c r="V392" s="9">
        <f>Transport_1_hub!BM327</f>
        <v>0.41174340145853372</v>
      </c>
      <c r="X392" s="22"/>
      <c r="Y392" s="22"/>
      <c r="AG392" s="42"/>
      <c r="AL392" s="42"/>
    </row>
    <row r="393" spans="2:38" x14ac:dyDescent="0.25">
      <c r="B393" s="40">
        <f>Transport_1_hub!W328+Transport_1_hub!L328</f>
        <v>2824.1798815682209</v>
      </c>
      <c r="C393" s="8">
        <f>Transport_1_hub!AT328</f>
        <v>467.73727499432255</v>
      </c>
      <c r="D393" s="8">
        <f>Transport_1_hub!AU328</f>
        <v>4611.8673810024256</v>
      </c>
      <c r="E393" s="8">
        <f>Transport_1_hub!AV328</f>
        <v>1.8309629691285529</v>
      </c>
      <c r="F393" s="8">
        <f>Transport_1_hub!AW328</f>
        <v>467.62428211432257</v>
      </c>
      <c r="G393" s="8">
        <f>Transport_1_hub!AX328</f>
        <v>108.11940045687103</v>
      </c>
      <c r="H393" s="8">
        <f>Transport_1_hub!AY328</f>
        <v>0.90489533309318171</v>
      </c>
      <c r="I393" s="8">
        <f>Transport_1_hub!AZ328</f>
        <v>9.6777206914914725E-3</v>
      </c>
      <c r="J393" s="8">
        <f>Transport_1_hub!BA328</f>
        <v>14.541157520887827</v>
      </c>
      <c r="K393" s="8">
        <f>Transport_1_hub!BB328</f>
        <v>21.993989341605101</v>
      </c>
      <c r="L393" s="8">
        <f>Transport_1_hub!BC328</f>
        <v>0.76985267692464188</v>
      </c>
      <c r="M393" s="8">
        <f>Transport_1_hub!BD328</f>
        <v>0.50206047513221497</v>
      </c>
      <c r="N393" s="8">
        <f>Transport_1_hub!BE328</f>
        <v>2.2640040343240275</v>
      </c>
      <c r="O393" s="8">
        <f>Transport_1_hub!BF328</f>
        <v>0.11043687109497406</v>
      </c>
      <c r="P393" s="8">
        <f>Transport_1_hub!BG328</f>
        <v>5.5048738084854098E-5</v>
      </c>
      <c r="Q393" s="8">
        <f>Transport_1_hub!BH328</f>
        <v>0.15932212296511944</v>
      </c>
      <c r="R393" s="8">
        <f>Transport_1_hub!BI328</f>
        <v>0.43069743140146671</v>
      </c>
      <c r="S393" s="8">
        <f>Transport_1_hub!BJ328</f>
        <v>2.8119660911132376E-2</v>
      </c>
      <c r="T393" s="8">
        <f>Transport_1_hub!BK328</f>
        <v>7.8153260911323717E-3</v>
      </c>
      <c r="U393" s="8">
        <f>Transport_1_hub!BL328</f>
        <v>1.0828302527481188</v>
      </c>
      <c r="V393" s="9">
        <f>Transport_1_hub!BM328</f>
        <v>0.41174340145853372</v>
      </c>
      <c r="X393" s="22"/>
      <c r="Y393" s="22"/>
      <c r="AG393" s="42"/>
      <c r="AL393" s="42"/>
    </row>
    <row r="394" spans="2:38" x14ac:dyDescent="0.25">
      <c r="B394" s="40">
        <f>Transport_1_hub!W329+Transport_1_hub!L329</f>
        <v>2824.1798815682209</v>
      </c>
      <c r="C394" s="8">
        <f>Transport_1_hub!AT329</f>
        <v>467.73727499432255</v>
      </c>
      <c r="D394" s="8">
        <f>Transport_1_hub!AU329</f>
        <v>4611.8673810024256</v>
      </c>
      <c r="E394" s="8">
        <f>Transport_1_hub!AV329</f>
        <v>1.8309629691285529</v>
      </c>
      <c r="F394" s="8">
        <f>Transport_1_hub!AW329</f>
        <v>467.62428211432257</v>
      </c>
      <c r="G394" s="8">
        <f>Transport_1_hub!AX329</f>
        <v>108.11940045687103</v>
      </c>
      <c r="H394" s="8">
        <f>Transport_1_hub!AY329</f>
        <v>0.90489533309318171</v>
      </c>
      <c r="I394" s="8">
        <f>Transport_1_hub!AZ329</f>
        <v>9.6777206914914725E-3</v>
      </c>
      <c r="J394" s="8">
        <f>Transport_1_hub!BA329</f>
        <v>14.541157520887827</v>
      </c>
      <c r="K394" s="8">
        <f>Transport_1_hub!BB329</f>
        <v>21.993989341605101</v>
      </c>
      <c r="L394" s="8">
        <f>Transport_1_hub!BC329</f>
        <v>0.76985267692464188</v>
      </c>
      <c r="M394" s="8">
        <f>Transport_1_hub!BD329</f>
        <v>0.50206047513221497</v>
      </c>
      <c r="N394" s="8">
        <f>Transport_1_hub!BE329</f>
        <v>2.2640040343240275</v>
      </c>
      <c r="O394" s="8">
        <f>Transport_1_hub!BF329</f>
        <v>0.11043687109497406</v>
      </c>
      <c r="P394" s="8">
        <f>Transport_1_hub!BG329</f>
        <v>5.5048738084854098E-5</v>
      </c>
      <c r="Q394" s="8">
        <f>Transport_1_hub!BH329</f>
        <v>0.15932212296511944</v>
      </c>
      <c r="R394" s="8">
        <f>Transport_1_hub!BI329</f>
        <v>0.43069743140146671</v>
      </c>
      <c r="S394" s="8">
        <f>Transport_1_hub!BJ329</f>
        <v>2.8119660911132376E-2</v>
      </c>
      <c r="T394" s="8">
        <f>Transport_1_hub!BK329</f>
        <v>7.8153260911323717E-3</v>
      </c>
      <c r="U394" s="8">
        <f>Transport_1_hub!BL329</f>
        <v>1.0828302527481188</v>
      </c>
      <c r="V394" s="9">
        <f>Transport_1_hub!BM329</f>
        <v>0.41174340145853372</v>
      </c>
      <c r="X394" s="22"/>
      <c r="Y394" s="22"/>
      <c r="AG394" s="42"/>
      <c r="AL394" s="42"/>
    </row>
    <row r="395" spans="2:38" x14ac:dyDescent="0.25">
      <c r="B395" s="40">
        <f>Transport_1_hub!W330+Transport_1_hub!L330</f>
        <v>2824.1798815682209</v>
      </c>
      <c r="C395" s="8">
        <f>Transport_1_hub!AT330</f>
        <v>467.73727499432255</v>
      </c>
      <c r="D395" s="8">
        <f>Transport_1_hub!AU330</f>
        <v>4611.8673810024256</v>
      </c>
      <c r="E395" s="8">
        <f>Transport_1_hub!AV330</f>
        <v>1.8309629691285529</v>
      </c>
      <c r="F395" s="8">
        <f>Transport_1_hub!AW330</f>
        <v>467.62428211432257</v>
      </c>
      <c r="G395" s="8">
        <f>Transport_1_hub!AX330</f>
        <v>108.11940045687103</v>
      </c>
      <c r="H395" s="8">
        <f>Transport_1_hub!AY330</f>
        <v>0.90489533309318171</v>
      </c>
      <c r="I395" s="8">
        <f>Transport_1_hub!AZ330</f>
        <v>9.6777206914914725E-3</v>
      </c>
      <c r="J395" s="8">
        <f>Transport_1_hub!BA330</f>
        <v>14.541157520887827</v>
      </c>
      <c r="K395" s="8">
        <f>Transport_1_hub!BB330</f>
        <v>21.993989341605101</v>
      </c>
      <c r="L395" s="8">
        <f>Transport_1_hub!BC330</f>
        <v>0.76985267692464188</v>
      </c>
      <c r="M395" s="8">
        <f>Transport_1_hub!BD330</f>
        <v>0.50206047513221497</v>
      </c>
      <c r="N395" s="8">
        <f>Transport_1_hub!BE330</f>
        <v>2.2640040343240275</v>
      </c>
      <c r="O395" s="8">
        <f>Transport_1_hub!BF330</f>
        <v>0.11043687109497406</v>
      </c>
      <c r="P395" s="8">
        <f>Transport_1_hub!BG330</f>
        <v>5.5048738084854098E-5</v>
      </c>
      <c r="Q395" s="8">
        <f>Transport_1_hub!BH330</f>
        <v>0.15932212296511944</v>
      </c>
      <c r="R395" s="8">
        <f>Transport_1_hub!BI330</f>
        <v>0.43069743140146671</v>
      </c>
      <c r="S395" s="8">
        <f>Transport_1_hub!BJ330</f>
        <v>2.8119660911132376E-2</v>
      </c>
      <c r="T395" s="8">
        <f>Transport_1_hub!BK330</f>
        <v>7.8153260911323717E-3</v>
      </c>
      <c r="U395" s="8">
        <f>Transport_1_hub!BL330</f>
        <v>1.0828302527481188</v>
      </c>
      <c r="V395" s="9">
        <f>Transport_1_hub!BM330</f>
        <v>0.41174340145853372</v>
      </c>
      <c r="X395" s="22"/>
      <c r="Y395" s="22"/>
      <c r="AG395" s="42"/>
      <c r="AL395" s="42"/>
    </row>
    <row r="396" spans="2:38" x14ac:dyDescent="0.25">
      <c r="B396" s="40">
        <f>Transport_1_hub!W331+Transport_1_hub!L331</f>
        <v>2989.3229870823375</v>
      </c>
      <c r="C396" s="8">
        <f>Transport_1_hub!AT331</f>
        <v>489.60968998727964</v>
      </c>
      <c r="D396" s="8">
        <f>Transport_1_hub!AU331</f>
        <v>4831.3519840651134</v>
      </c>
      <c r="E396" s="8">
        <f>Transport_1_hub!AV331</f>
        <v>1.9247939163214882</v>
      </c>
      <c r="F396" s="8">
        <f>Transport_1_hub!AW331</f>
        <v>489.4556574072796</v>
      </c>
      <c r="G396" s="8">
        <f>Transport_1_hub!AX331</f>
        <v>113.23426147783175</v>
      </c>
      <c r="H396" s="8">
        <f>Transport_1_hub!AY331</f>
        <v>1.0855013249389778</v>
      </c>
      <c r="I396" s="8">
        <f>Transport_1_hub!AZ331</f>
        <v>1.0335680170166305E-2</v>
      </c>
      <c r="J396" s="8">
        <f>Transport_1_hub!BA331</f>
        <v>15.584251984007661</v>
      </c>
      <c r="K396" s="8">
        <f>Transport_1_hub!BB331</f>
        <v>22.994174489157427</v>
      </c>
      <c r="L396" s="8">
        <f>Transport_1_hub!BC331</f>
        <v>0.92557549067667799</v>
      </c>
      <c r="M396" s="8">
        <f>Transport_1_hub!BD331</f>
        <v>0.52449234896680419</v>
      </c>
      <c r="N396" s="8">
        <f>Transport_1_hub!BE331</f>
        <v>2.5378874013335255</v>
      </c>
      <c r="O396" s="8">
        <f>Transport_1_hub!BF331</f>
        <v>0.11453678068941273</v>
      </c>
      <c r="P396" s="8">
        <f>Transport_1_hub!BG331</f>
        <v>5.7592309232835261E-5</v>
      </c>
      <c r="Q396" s="8">
        <f>Transport_1_hub!BH331</f>
        <v>0.1676783617546288</v>
      </c>
      <c r="R396" s="8">
        <f>Transport_1_hub!BI331</f>
        <v>0.4493634393599279</v>
      </c>
      <c r="S396" s="8">
        <f>Transport_1_hub!BJ331</f>
        <v>3.6157098527013501E-2</v>
      </c>
      <c r="T396" s="8">
        <f>Transport_1_hub!BK331</f>
        <v>8.4781060320135021E-3</v>
      </c>
      <c r="U396" s="8">
        <f>Transport_1_hub!BL331</f>
        <v>1.1848218316563961</v>
      </c>
      <c r="V396" s="9">
        <f>Transport_1_hub!BM331</f>
        <v>0.43232599092437407</v>
      </c>
      <c r="X396" s="22"/>
      <c r="Y396" s="22"/>
      <c r="AG396" s="42"/>
      <c r="AL396" s="42"/>
    </row>
    <row r="397" spans="2:38" x14ac:dyDescent="0.25">
      <c r="B397" s="40">
        <f>Transport_1_hub!W332+Transport_1_hub!L332</f>
        <v>2952.1098815682212</v>
      </c>
      <c r="C397" s="8">
        <f>Transport_1_hub!AT332</f>
        <v>511.20788899432256</v>
      </c>
      <c r="D397" s="8">
        <f>Transport_1_hub!AU332</f>
        <v>5245.8949128961158</v>
      </c>
      <c r="E397" s="8">
        <f>Transport_1_hub!AV332</f>
        <v>2.5045911771285527</v>
      </c>
      <c r="F397" s="8">
        <f>Transport_1_hub!AW332</f>
        <v>510.52944551432256</v>
      </c>
      <c r="G397" s="8">
        <f>Transport_1_hub!AX332</f>
        <v>122.17890745687104</v>
      </c>
      <c r="H397" s="8">
        <f>Transport_1_hub!AY332</f>
        <v>3.1966333530931816</v>
      </c>
      <c r="I397" s="8">
        <f>Transport_1_hub!AZ332</f>
        <v>1.5787785421491472E-2</v>
      </c>
      <c r="J397" s="8">
        <f>Transport_1_hub!BA332</f>
        <v>24.388057550887826</v>
      </c>
      <c r="K397" s="8">
        <f>Transport_1_hub!BB332</f>
        <v>24.908234741605099</v>
      </c>
      <c r="L397" s="8">
        <f>Transport_1_hub!BC332</f>
        <v>2.7632579369246422</v>
      </c>
      <c r="M397" s="8">
        <f>Transport_1_hub!BD332</f>
        <v>0.50730675650221491</v>
      </c>
      <c r="N397" s="8">
        <f>Transport_1_hub!BE332</f>
        <v>5.2519371143240274</v>
      </c>
      <c r="O397" s="8">
        <f>Transport_1_hub!BF332</f>
        <v>0.10764505470497407</v>
      </c>
      <c r="P397" s="8">
        <f>Transport_1_hub!BG332</f>
        <v>6.1302468204854095E-5</v>
      </c>
      <c r="Q397" s="8">
        <f>Transport_1_hub!BH332</f>
        <v>0.21190647016511943</v>
      </c>
      <c r="R397" s="8">
        <f>Transport_1_hub!BI332</f>
        <v>0.54406004230146665</v>
      </c>
      <c r="S397" s="8">
        <f>Transport_1_hub!BJ332</f>
        <v>0.13627424151113238</v>
      </c>
      <c r="T397" s="8">
        <f>Transport_1_hub!BK332</f>
        <v>1.4360864541132373E-2</v>
      </c>
      <c r="U397" s="8">
        <f>Transport_1_hub!BL332</f>
        <v>2.1962818007481193</v>
      </c>
      <c r="V397" s="9">
        <f>Transport_1_hub!BM332</f>
        <v>0.53091659295853377</v>
      </c>
      <c r="X397" s="22"/>
      <c r="Y397" s="22"/>
      <c r="AG397" s="42"/>
      <c r="AL397" s="42"/>
    </row>
    <row r="398" spans="2:38" x14ac:dyDescent="0.25">
      <c r="B398" s="40">
        <f>Transport_1_hub!W333+Transport_1_hub!L333</f>
        <v>2952.1098815682212</v>
      </c>
      <c r="C398" s="8">
        <f>Transport_1_hub!AT333</f>
        <v>511.20788899432256</v>
      </c>
      <c r="D398" s="8">
        <f>Transport_1_hub!AU333</f>
        <v>5245.8949128961158</v>
      </c>
      <c r="E398" s="8">
        <f>Transport_1_hub!AV333</f>
        <v>2.5045911771285527</v>
      </c>
      <c r="F398" s="8">
        <f>Transport_1_hub!AW333</f>
        <v>510.52944551432256</v>
      </c>
      <c r="G398" s="8">
        <f>Transport_1_hub!AX333</f>
        <v>122.17890745687104</v>
      </c>
      <c r="H398" s="8">
        <f>Transport_1_hub!AY333</f>
        <v>3.1966333530931816</v>
      </c>
      <c r="I398" s="8">
        <f>Transport_1_hub!AZ333</f>
        <v>1.5787785421491472E-2</v>
      </c>
      <c r="J398" s="8">
        <f>Transport_1_hub!BA333</f>
        <v>24.388057550887826</v>
      </c>
      <c r="K398" s="8">
        <f>Transport_1_hub!BB333</f>
        <v>24.908234741605099</v>
      </c>
      <c r="L398" s="8">
        <f>Transport_1_hub!BC333</f>
        <v>2.7632579369246422</v>
      </c>
      <c r="M398" s="8">
        <f>Transport_1_hub!BD333</f>
        <v>0.50730675650221491</v>
      </c>
      <c r="N398" s="8">
        <f>Transport_1_hub!BE333</f>
        <v>5.2519371143240274</v>
      </c>
      <c r="O398" s="8">
        <f>Transport_1_hub!BF333</f>
        <v>0.10764505470497407</v>
      </c>
      <c r="P398" s="8">
        <f>Transport_1_hub!BG333</f>
        <v>6.1302468204854095E-5</v>
      </c>
      <c r="Q398" s="8">
        <f>Transport_1_hub!BH333</f>
        <v>0.21190647016511943</v>
      </c>
      <c r="R398" s="8">
        <f>Transport_1_hub!BI333</f>
        <v>0.54406004230146665</v>
      </c>
      <c r="S398" s="8">
        <f>Transport_1_hub!BJ333</f>
        <v>0.13627424151113238</v>
      </c>
      <c r="T398" s="8">
        <f>Transport_1_hub!BK333</f>
        <v>1.4360864541132373E-2</v>
      </c>
      <c r="U398" s="8">
        <f>Transport_1_hub!BL333</f>
        <v>2.1962818007481193</v>
      </c>
      <c r="V398" s="9">
        <f>Transport_1_hub!BM333</f>
        <v>0.53091659295853377</v>
      </c>
      <c r="X398" s="22"/>
      <c r="Y398" s="22"/>
      <c r="AG398" s="42"/>
      <c r="AL398" s="42"/>
    </row>
    <row r="399" spans="2:38" x14ac:dyDescent="0.25">
      <c r="B399" s="40">
        <f>Transport_1_hub!W334+Transport_1_hub!L334</f>
        <v>2954.4578815682212</v>
      </c>
      <c r="C399" s="8">
        <f>Transport_1_hub!AT334</f>
        <v>512.00573939432252</v>
      </c>
      <c r="D399" s="8">
        <f>Transport_1_hub!AU334</f>
        <v>5257.5317193127994</v>
      </c>
      <c r="E399" s="8">
        <f>Transport_1_hub!AV334</f>
        <v>2.5169548059285529</v>
      </c>
      <c r="F399" s="8">
        <f>Transport_1_hub!AW334</f>
        <v>511.31691775432256</v>
      </c>
      <c r="G399" s="8">
        <f>Transport_1_hub!AX334</f>
        <v>122.43695265687104</v>
      </c>
      <c r="H399" s="8">
        <f>Transport_1_hub!AY334</f>
        <v>3.2386954250931819</v>
      </c>
      <c r="I399" s="8">
        <f>Transport_1_hub!AZ334</f>
        <v>1.5899928249491473E-2</v>
      </c>
      <c r="J399" s="8">
        <f>Transport_1_hub!BA334</f>
        <v>24.568785458887827</v>
      </c>
      <c r="K399" s="8">
        <f>Transport_1_hub!BB334</f>
        <v>24.961722181605101</v>
      </c>
      <c r="L399" s="8">
        <f>Transport_1_hub!BC334</f>
        <v>2.7998444729246423</v>
      </c>
      <c r="M399" s="8">
        <f>Transport_1_hub!BD334</f>
        <v>0.5074030456342149</v>
      </c>
      <c r="N399" s="8">
        <f>Transport_1_hub!BE334</f>
        <v>5.3067770023240275</v>
      </c>
      <c r="O399" s="8">
        <f>Transport_1_hub!BF334</f>
        <v>0.10759381430097407</v>
      </c>
      <c r="P399" s="8">
        <f>Transport_1_hub!BG334</f>
        <v>6.1417247836854092E-5</v>
      </c>
      <c r="Q399" s="8">
        <f>Transport_1_hub!BH334</f>
        <v>0.21287159208511947</v>
      </c>
      <c r="R399" s="8">
        <f>Transport_1_hub!BI334</f>
        <v>0.54614067554146672</v>
      </c>
      <c r="S399" s="8">
        <f>Transport_1_hub!BJ334</f>
        <v>0.13825928767113238</v>
      </c>
      <c r="T399" s="8">
        <f>Transport_1_hub!BK334</f>
        <v>1.4480999961132373E-2</v>
      </c>
      <c r="U399" s="8">
        <f>Transport_1_hub!BL334</f>
        <v>2.2167178535481193</v>
      </c>
      <c r="V399" s="9">
        <f>Transport_1_hub!BM334</f>
        <v>0.53310387235853374</v>
      </c>
      <c r="X399" s="22"/>
      <c r="Y399" s="22"/>
      <c r="AG399" s="42"/>
      <c r="AL399" s="42"/>
    </row>
    <row r="400" spans="2:38" x14ac:dyDescent="0.25">
      <c r="B400" s="40">
        <f>Transport_1_hub!W335+Transport_1_hub!L335</f>
        <v>2954.4578815682212</v>
      </c>
      <c r="C400" s="8">
        <f>Transport_1_hub!AT335</f>
        <v>512.00573939432252</v>
      </c>
      <c r="D400" s="8">
        <f>Transport_1_hub!AU335</f>
        <v>5257.5317193127994</v>
      </c>
      <c r="E400" s="8">
        <f>Transport_1_hub!AV335</f>
        <v>2.5169548059285529</v>
      </c>
      <c r="F400" s="8">
        <f>Transport_1_hub!AW335</f>
        <v>511.31691775432256</v>
      </c>
      <c r="G400" s="8">
        <f>Transport_1_hub!AX335</f>
        <v>122.43695265687104</v>
      </c>
      <c r="H400" s="8">
        <f>Transport_1_hub!AY335</f>
        <v>3.2386954250931819</v>
      </c>
      <c r="I400" s="8">
        <f>Transport_1_hub!AZ335</f>
        <v>1.5899928249491473E-2</v>
      </c>
      <c r="J400" s="8">
        <f>Transport_1_hub!BA335</f>
        <v>24.568785458887827</v>
      </c>
      <c r="K400" s="8">
        <f>Transport_1_hub!BB335</f>
        <v>24.961722181605101</v>
      </c>
      <c r="L400" s="8">
        <f>Transport_1_hub!BC335</f>
        <v>2.7998444729246423</v>
      </c>
      <c r="M400" s="8">
        <f>Transport_1_hub!BD335</f>
        <v>0.5074030456342149</v>
      </c>
      <c r="N400" s="8">
        <f>Transport_1_hub!BE335</f>
        <v>5.3067770023240275</v>
      </c>
      <c r="O400" s="8">
        <f>Transport_1_hub!BF335</f>
        <v>0.10759381430097407</v>
      </c>
      <c r="P400" s="8">
        <f>Transport_1_hub!BG335</f>
        <v>6.1417247836854092E-5</v>
      </c>
      <c r="Q400" s="8">
        <f>Transport_1_hub!BH335</f>
        <v>0.21287159208511947</v>
      </c>
      <c r="R400" s="8">
        <f>Transport_1_hub!BI335</f>
        <v>0.54614067554146672</v>
      </c>
      <c r="S400" s="8">
        <f>Transport_1_hub!BJ335</f>
        <v>0.13825928767113238</v>
      </c>
      <c r="T400" s="8">
        <f>Transport_1_hub!BK335</f>
        <v>1.4480999961132373E-2</v>
      </c>
      <c r="U400" s="8">
        <f>Transport_1_hub!BL335</f>
        <v>2.2167178535481193</v>
      </c>
      <c r="V400" s="9">
        <f>Transport_1_hub!BM335</f>
        <v>0.53310387235853374</v>
      </c>
      <c r="X400" s="22"/>
      <c r="Y400" s="22"/>
      <c r="AG400" s="42"/>
      <c r="AL400" s="42"/>
    </row>
    <row r="401" spans="2:38" x14ac:dyDescent="0.25">
      <c r="B401" s="40">
        <f>Transport_1_hub!W336+Transport_1_hub!L336</f>
        <v>3079.9301476573592</v>
      </c>
      <c r="C401" s="8">
        <f>Transport_1_hub!AT336</f>
        <v>556.36692726843285</v>
      </c>
      <c r="D401" s="8">
        <f>Transport_1_hub!AU336</f>
        <v>5909.5789610947359</v>
      </c>
      <c r="E401" s="8">
        <f>Transport_1_hub!AV336</f>
        <v>3.2167640313084922</v>
      </c>
      <c r="F401" s="8">
        <f>Transport_1_hub!AW336</f>
        <v>555.08876934843283</v>
      </c>
      <c r="G401" s="8">
        <f>Transport_1_hub!AX336</f>
        <v>136.88352587618732</v>
      </c>
      <c r="H401" s="8">
        <f>Transport_1_hub!AY336</f>
        <v>5.6265194402833565</v>
      </c>
      <c r="I401" s="8">
        <f>Transport_1_hub!AZ336</f>
        <v>2.2257258182121757E-2</v>
      </c>
      <c r="J401" s="8">
        <f>Transport_1_hub!BA336</f>
        <v>34.815061640242412</v>
      </c>
      <c r="K401" s="8">
        <f>Transport_1_hub!BB336</f>
        <v>27.959232206633374</v>
      </c>
      <c r="L401" s="8">
        <f>Transport_1_hub!BC336</f>
        <v>4.8768968190121402</v>
      </c>
      <c r="M401" s="8">
        <f>Transport_1_hub!BD336</f>
        <v>0.51175797835059689</v>
      </c>
      <c r="N401" s="8">
        <f>Transport_1_hub!BE336</f>
        <v>8.4180452662441798</v>
      </c>
      <c r="O401" s="8">
        <f>Transport_1_hub!BF336</f>
        <v>0.10446672091185398</v>
      </c>
      <c r="P401" s="8">
        <f>Transport_1_hub!BG336</f>
        <v>6.7829582212745683E-5</v>
      </c>
      <c r="Q401" s="8">
        <f>Transport_1_hub!BH336</f>
        <v>0.26744786383636587</v>
      </c>
      <c r="R401" s="8">
        <f>Transport_1_hub!BI336</f>
        <v>0.66376467847892295</v>
      </c>
      <c r="S401" s="8">
        <f>Transport_1_hub!BJ336</f>
        <v>0.25097303859357789</v>
      </c>
      <c r="T401" s="8">
        <f>Transport_1_hub!BK336</f>
        <v>2.1293554713577908E-2</v>
      </c>
      <c r="U401" s="8">
        <f>Transport_1_hub!BL336</f>
        <v>3.3761340619232527</v>
      </c>
      <c r="V401" s="9">
        <f>Transport_1_hub!BM336</f>
        <v>0.65670845041809156</v>
      </c>
      <c r="X401" s="22"/>
      <c r="Y401" s="22"/>
      <c r="AG401" s="42"/>
      <c r="AL401" s="42"/>
    </row>
    <row r="402" spans="2:38" x14ac:dyDescent="0.25">
      <c r="B402" s="40">
        <f>Transport_1_hub!W337+Transport_1_hub!L337</f>
        <v>2998.2888691467051</v>
      </c>
      <c r="C402" s="8">
        <f>Transport_1_hub!AT337</f>
        <v>494.98044607651423</v>
      </c>
      <c r="D402" s="8">
        <f>Transport_1_hub!AU337</f>
        <v>4916.4237729501046</v>
      </c>
      <c r="E402" s="8">
        <f>Transport_1_hub!AV337</f>
        <v>2.0246234989175491</v>
      </c>
      <c r="F402" s="8">
        <f>Transport_1_hub!AW337</f>
        <v>494.74006437651423</v>
      </c>
      <c r="G402" s="8">
        <f>Transport_1_hub!AX337</f>
        <v>115.10393760686912</v>
      </c>
      <c r="H402" s="8">
        <f>Transport_1_hub!AY337</f>
        <v>1.4345025691286211</v>
      </c>
      <c r="I402" s="8">
        <f>Transport_1_hub!AZ337</f>
        <v>1.1254209977996728E-2</v>
      </c>
      <c r="J402" s="8">
        <f>Transport_1_hub!BA337</f>
        <v>17.065695012154752</v>
      </c>
      <c r="K402" s="8">
        <f>Transport_1_hub!BB337</f>
        <v>23.385782926305303</v>
      </c>
      <c r="L402" s="8">
        <f>Transport_1_hub!BC337</f>
        <v>1.2292375705815293</v>
      </c>
      <c r="M402" s="8">
        <f>Transport_1_hub!BD337</f>
        <v>0.52379879038757937</v>
      </c>
      <c r="N402" s="8">
        <f>Transport_1_hub!BE337</f>
        <v>2.9903079624690383</v>
      </c>
      <c r="O402" s="8">
        <f>Transport_1_hub!BF337</f>
        <v>0.11381902117461228</v>
      </c>
      <c r="P402" s="8">
        <f>Transport_1_hub!BG337</f>
        <v>5.8405769334805599E-5</v>
      </c>
      <c r="Q402" s="8">
        <f>Transport_1_hub!BH337</f>
        <v>0.1754009565152683</v>
      </c>
      <c r="R402" s="8">
        <f>Transport_1_hub!BI337</f>
        <v>0.46596780359417472</v>
      </c>
      <c r="S402" s="8">
        <f>Transport_1_hub!BJ337</f>
        <v>5.2660505635320889E-2</v>
      </c>
      <c r="T402" s="8">
        <f>Transport_1_hub!BK337</f>
        <v>9.4649474603208869E-3</v>
      </c>
      <c r="U402" s="8">
        <f>Transport_1_hub!BL337</f>
        <v>1.3534205570314068</v>
      </c>
      <c r="V402" s="9">
        <f>Transport_1_hub!BM337</f>
        <v>0.44971636116342678</v>
      </c>
      <c r="X402" s="22"/>
      <c r="Y402" s="22"/>
      <c r="AG402" s="42"/>
      <c r="AL402" s="42"/>
    </row>
    <row r="403" spans="2:38" x14ac:dyDescent="0.25">
      <c r="B403" s="40">
        <f>Transport_1_hub!W338+Transport_1_hub!L338</f>
        <v>2854.4175962750655</v>
      </c>
      <c r="C403" s="8">
        <f>Transport_1_hub!AT338</f>
        <v>469.24455996771906</v>
      </c>
      <c r="D403" s="8">
        <f>Transport_1_hub!AU338</f>
        <v>4608.3161960260513</v>
      </c>
      <c r="E403" s="8">
        <f>Transport_1_hub!AV338</f>
        <v>1.7914635567056614</v>
      </c>
      <c r="F403" s="8">
        <f>Transport_1_hub!AW338</f>
        <v>469.17441014771902</v>
      </c>
      <c r="G403" s="8">
        <f>Transport_1_hub!AX338</f>
        <v>108.1042108423691</v>
      </c>
      <c r="H403" s="8">
        <f>Transport_1_hub!AY338</f>
        <v>0.73491642932788248</v>
      </c>
      <c r="I403" s="8">
        <f>Transport_1_hub!AZ338</f>
        <v>9.2697831182757921E-3</v>
      </c>
      <c r="J403" s="8">
        <f>Transport_1_hub!BA338</f>
        <v>13.879250805685297</v>
      </c>
      <c r="K403" s="8">
        <f>Transport_1_hub!BB338</f>
        <v>21.975441384967059</v>
      </c>
      <c r="L403" s="8">
        <f>Transport_1_hub!BC338</f>
        <v>0.62164924222732998</v>
      </c>
      <c r="M403" s="8">
        <f>Transport_1_hub!BD338</f>
        <v>0.50731482602505662</v>
      </c>
      <c r="N403" s="8">
        <f>Transport_1_hub!BE338</f>
        <v>2.0522388909488529</v>
      </c>
      <c r="O403" s="8">
        <f>Transport_1_hub!BF338</f>
        <v>0.11175184148363304</v>
      </c>
      <c r="P403" s="8">
        <f>Transport_1_hub!BG338</f>
        <v>5.5110842415883706E-5</v>
      </c>
      <c r="Q403" s="8">
        <f>Transport_1_hub!BH338</f>
        <v>0.15650221227942762</v>
      </c>
      <c r="R403" s="8">
        <f>Transport_1_hub!BI338</f>
        <v>0.42478505215484885</v>
      </c>
      <c r="S403" s="8">
        <f>Transport_1_hub!BJ338</f>
        <v>1.997313521254078E-2</v>
      </c>
      <c r="T403" s="8">
        <f>Transport_1_hub!BK338</f>
        <v>7.3675141075407787E-3</v>
      </c>
      <c r="U403" s="8">
        <f>Transport_1_hub!BL338</f>
        <v>1.0038968655237477</v>
      </c>
      <c r="V403" s="9">
        <f>Transport_1_hub!BM338</f>
        <v>0.40577393301378512</v>
      </c>
      <c r="X403" s="22"/>
      <c r="Y403" s="22"/>
      <c r="AG403" s="42"/>
      <c r="AL403" s="42"/>
    </row>
    <row r="404" spans="2:38" x14ac:dyDescent="0.25">
      <c r="B404" s="40">
        <f>Transport_1_hub!W339+Transport_1_hub!L339</f>
        <v>2854.4175962750655</v>
      </c>
      <c r="C404" s="8">
        <f>Transport_1_hub!AT339</f>
        <v>469.24455996771906</v>
      </c>
      <c r="D404" s="8">
        <f>Transport_1_hub!AU339</f>
        <v>4608.3161960260513</v>
      </c>
      <c r="E404" s="8">
        <f>Transport_1_hub!AV339</f>
        <v>1.7914635567056614</v>
      </c>
      <c r="F404" s="8">
        <f>Transport_1_hub!AW339</f>
        <v>469.17441014771902</v>
      </c>
      <c r="G404" s="8">
        <f>Transport_1_hub!AX339</f>
        <v>108.1042108423691</v>
      </c>
      <c r="H404" s="8">
        <f>Transport_1_hub!AY339</f>
        <v>0.73491642932788248</v>
      </c>
      <c r="I404" s="8">
        <f>Transport_1_hub!AZ339</f>
        <v>9.2697831182757921E-3</v>
      </c>
      <c r="J404" s="8">
        <f>Transport_1_hub!BA339</f>
        <v>13.879250805685297</v>
      </c>
      <c r="K404" s="8">
        <f>Transport_1_hub!BB339</f>
        <v>21.975441384967059</v>
      </c>
      <c r="L404" s="8">
        <f>Transport_1_hub!BC339</f>
        <v>0.62164924222732998</v>
      </c>
      <c r="M404" s="8">
        <f>Transport_1_hub!BD339</f>
        <v>0.50731482602505662</v>
      </c>
      <c r="N404" s="8">
        <f>Transport_1_hub!BE339</f>
        <v>2.0522388909488529</v>
      </c>
      <c r="O404" s="8">
        <f>Transport_1_hub!BF339</f>
        <v>0.11175184148363304</v>
      </c>
      <c r="P404" s="8">
        <f>Transport_1_hub!BG339</f>
        <v>5.5110842415883706E-5</v>
      </c>
      <c r="Q404" s="8">
        <f>Transport_1_hub!BH339</f>
        <v>0.15650221227942762</v>
      </c>
      <c r="R404" s="8">
        <f>Transport_1_hub!BI339</f>
        <v>0.42478505215484885</v>
      </c>
      <c r="S404" s="8">
        <f>Transport_1_hub!BJ339</f>
        <v>1.997313521254078E-2</v>
      </c>
      <c r="T404" s="8">
        <f>Transport_1_hub!BK339</f>
        <v>7.3675141075407787E-3</v>
      </c>
      <c r="U404" s="8">
        <f>Transport_1_hub!BL339</f>
        <v>1.0038968655237477</v>
      </c>
      <c r="V404" s="9">
        <f>Transport_1_hub!BM339</f>
        <v>0.40577393301378512</v>
      </c>
      <c r="X404" s="22"/>
      <c r="Y404" s="22"/>
      <c r="AG404" s="42"/>
      <c r="AL404" s="42"/>
    </row>
    <row r="405" spans="2:38" x14ac:dyDescent="0.25">
      <c r="B405" s="40">
        <f>Transport_1_hub!W340+Transport_1_hub!L340</f>
        <v>3617.073879021822</v>
      </c>
      <c r="C405" s="8">
        <f>Transport_1_hub!AT340</f>
        <v>561.61394661594591</v>
      </c>
      <c r="D405" s="8">
        <f>Transport_1_hub!AU340</f>
        <v>5475.8253740801738</v>
      </c>
      <c r="E405" s="8">
        <f>Transport_1_hub!AV340</f>
        <v>2.0386793882144585</v>
      </c>
      <c r="F405" s="8">
        <f>Transport_1_hub!AW340</f>
        <v>561.51729005594598</v>
      </c>
      <c r="G405" s="8">
        <f>Transport_1_hub!AX340</f>
        <v>128.537555552719</v>
      </c>
      <c r="H405" s="8">
        <f>Transport_1_hub!AY340</f>
        <v>0.911227798442376</v>
      </c>
      <c r="I405" s="8">
        <f>Transport_1_hub!AZ340</f>
        <v>1.0592272399324219E-2</v>
      </c>
      <c r="J405" s="8">
        <f>Transport_1_hub!BA340</f>
        <v>15.932154116206881</v>
      </c>
      <c r="K405" s="8">
        <f>Transport_1_hub!BB340</f>
        <v>25.921647647723191</v>
      </c>
      <c r="L405" s="8">
        <f>Transport_1_hub!BC340</f>
        <v>0.76838204505380658</v>
      </c>
      <c r="M405" s="8">
        <f>Transport_1_hub!BD340</f>
        <v>0.6143873668022386</v>
      </c>
      <c r="N405" s="8">
        <f>Transport_1_hub!BE340</f>
        <v>2.4676732997372093</v>
      </c>
      <c r="O405" s="8">
        <f>Transport_1_hub!BF340</f>
        <v>0.13240027108178665</v>
      </c>
      <c r="P405" s="8">
        <f>Transport_1_hub!BG340</f>
        <v>6.5495143240820269E-5</v>
      </c>
      <c r="Q405" s="8">
        <f>Transport_1_hub!BH340</f>
        <v>0.18088988106308973</v>
      </c>
      <c r="R405" s="8">
        <f>Transport_1_hub!BI340</f>
        <v>0.4805275698356779</v>
      </c>
      <c r="S405" s="8">
        <f>Transport_1_hub!BJ340</f>
        <v>2.5950762571971767E-2</v>
      </c>
      <c r="T405" s="8">
        <f>Transport_1_hub!BK340</f>
        <v>8.581994231971769E-3</v>
      </c>
      <c r="U405" s="8">
        <f>Transport_1_hub!BL340</f>
        <v>1.1584673615856094</v>
      </c>
      <c r="V405" s="9">
        <f>Transport_1_hub!BM340</f>
        <v>0.46902805668233216</v>
      </c>
      <c r="X405" s="22"/>
      <c r="Y405" s="22"/>
      <c r="AG405" s="42"/>
      <c r="AL405" s="42"/>
    </row>
    <row r="406" spans="2:38" x14ac:dyDescent="0.25">
      <c r="B406" s="40">
        <f>Transport_1_hub!W341+Transport_1_hub!L341</f>
        <v>10169.316638067958</v>
      </c>
      <c r="C406" s="8">
        <f>Transport_1_hub!AT341</f>
        <v>1321.2638921698101</v>
      </c>
      <c r="D406" s="8">
        <f>Transport_1_hub!AU341</f>
        <v>12540.643457211345</v>
      </c>
      <c r="E406" s="8">
        <f>Transport_1_hub!AV341</f>
        <v>3.7831818735653062</v>
      </c>
      <c r="F406" s="8">
        <f>Transport_1_hub!AW341</f>
        <v>1321.1879477298103</v>
      </c>
      <c r="G406" s="8">
        <f>Transport_1_hub!AX341</f>
        <v>295.30052304811289</v>
      </c>
      <c r="H406" s="8">
        <f>Transport_1_hub!AY341</f>
        <v>1.4079102034109559</v>
      </c>
      <c r="I406" s="8">
        <f>Transport_1_hub!AZ341</f>
        <v>1.9144451300174573E-2</v>
      </c>
      <c r="J406" s="8">
        <f>Transport_1_hub!BA341</f>
        <v>29.243684259553376</v>
      </c>
      <c r="K406" s="8">
        <f>Transport_1_hub!BB341</f>
        <v>58.074428923666339</v>
      </c>
      <c r="L406" s="8">
        <f>Transport_1_hub!BC341</f>
        <v>1.1444210535285324</v>
      </c>
      <c r="M406" s="8">
        <f>Transport_1_hub!BD341</f>
        <v>1.5310975961782463</v>
      </c>
      <c r="N406" s="8">
        <f>Transport_1_hub!BE341</f>
        <v>4.6874254390172698</v>
      </c>
      <c r="O406" s="8">
        <f>Transport_1_hub!BF341</f>
        <v>0.30828500325220093</v>
      </c>
      <c r="P406" s="8">
        <f>Transport_1_hub!BG341</f>
        <v>1.5058660648671973E-4</v>
      </c>
      <c r="Q406" s="8">
        <f>Transport_1_hub!BH341</f>
        <v>0.36442732789140886</v>
      </c>
      <c r="R406" s="8">
        <f>Transport_1_hub!BI341</f>
        <v>0.90390040612717071</v>
      </c>
      <c r="S406" s="8">
        <f>Transport_1_hub!BJ341</f>
        <v>2.9714081183328446E-2</v>
      </c>
      <c r="T406" s="8">
        <f>Transport_1_hub!BK341</f>
        <v>1.6067191773328448E-2</v>
      </c>
      <c r="U406" s="8">
        <f>Transport_1_hub!BL341</f>
        <v>1.9879161863177719</v>
      </c>
      <c r="V406" s="9">
        <f>Transport_1_hub!BM341</f>
        <v>0.95417286497756737</v>
      </c>
      <c r="AG406" s="42"/>
      <c r="AL406" s="42"/>
    </row>
    <row r="407" spans="2:38" x14ac:dyDescent="0.25">
      <c r="B407" s="40">
        <f>Transport_1_hub!W342+Transport_1_hub!L342</f>
        <v>6562.0697786039227</v>
      </c>
      <c r="C407" s="8">
        <f>Transport_1_hub!AT342</f>
        <v>893.32439637529922</v>
      </c>
      <c r="D407" s="8">
        <f ca="1">Transport_1_hub!AU342</f>
        <v>8628.59540888427</v>
      </c>
      <c r="E407" s="8">
        <f ca="1">Transport_1_hub!AV342</f>
        <v>3.1916269497643359</v>
      </c>
      <c r="F407" s="8">
        <f ca="1">Transport_1_hub!AW342</f>
        <v>893.12105045529916</v>
      </c>
      <c r="G407" s="8">
        <f ca="1">Transport_1_hub!AX342</f>
        <v>201.43166355940463</v>
      </c>
      <c r="H407" s="8">
        <f ca="1">Transport_1_hub!AY342</f>
        <v>1.1321175413260165</v>
      </c>
      <c r="I407" s="8">
        <f ca="1">Transport_1_hub!AZ342</f>
        <v>2.9383336048871014E-2</v>
      </c>
      <c r="J407" s="8">
        <f ca="1">Transport_1_hub!BA342</f>
        <v>30.074791516498536</v>
      </c>
      <c r="K407" s="8">
        <f ca="1">Transport_1_hub!BB342</f>
        <v>41.254723521786076</v>
      </c>
      <c r="L407" s="8">
        <f ca="1">Transport_1_hub!BC342</f>
        <v>0.95921466250628296</v>
      </c>
      <c r="M407" s="8">
        <f ca="1">Transport_1_hub!BD342</f>
        <v>1.0074459105886058</v>
      </c>
      <c r="N407" s="8">
        <f ca="1">Transport_1_hub!BE342</f>
        <v>3.3575656896581889</v>
      </c>
      <c r="O407" s="8">
        <f ca="1">Transport_1_hub!BF342</f>
        <v>0.20629600992045843</v>
      </c>
      <c r="P407" s="8">
        <f ca="1">Transport_1_hub!BG342</f>
        <v>1.0146831183323271E-4</v>
      </c>
      <c r="Q407" s="8">
        <f ca="1">Transport_1_hub!BH342</f>
        <v>0.27288447642661867</v>
      </c>
      <c r="R407" s="8">
        <f ca="1">Transport_1_hub!BI342</f>
        <v>0.70246902461911276</v>
      </c>
      <c r="S407" s="8">
        <f ca="1">Transport_1_hub!BJ342</f>
        <v>5.7977450396745921E-2</v>
      </c>
      <c r="T407" s="8">
        <f ca="1">Transport_1_hub!BK342</f>
        <v>1.128694349474592E-2</v>
      </c>
      <c r="U407" s="8">
        <f ca="1">Transport_1_hub!BL342</f>
        <v>1.7902123118504267</v>
      </c>
      <c r="V407" s="9">
        <f ca="1">Transport_1_hub!BM342</f>
        <v>0.71244033463564505</v>
      </c>
      <c r="AG407" s="42"/>
      <c r="AL407" s="42"/>
    </row>
    <row r="408" spans="2:38" x14ac:dyDescent="0.25">
      <c r="B408" s="40">
        <f>Transport_1_hub!W343+Transport_1_hub!L343</f>
        <v>7736.6213952421067</v>
      </c>
      <c r="C408" s="8">
        <f>Transport_1_hub!AT343</f>
        <v>1137.4561537519164</v>
      </c>
      <c r="D408" s="8">
        <f>Transport_1_hub!AU343</f>
        <v>11593.324155744647</v>
      </c>
      <c r="E408" s="8">
        <f>Transport_1_hub!AV343</f>
        <v>5.280417852743037</v>
      </c>
      <c r="F408" s="8">
        <f>Transport_1_hub!AW343</f>
        <v>1135.4858061519164</v>
      </c>
      <c r="G408" s="8">
        <f>Transport_1_hub!AX343</f>
        <v>269.91972748148089</v>
      </c>
      <c r="H408" s="8">
        <f>Transport_1_hub!AY343</f>
        <v>8.8344609675929604</v>
      </c>
      <c r="I408" s="8">
        <f>Transport_1_hub!AZ343</f>
        <v>3.5809844906485977E-2</v>
      </c>
      <c r="J408" s="8">
        <f>Transport_1_hub!BA343</f>
        <v>56.28132711037432</v>
      </c>
      <c r="K408" s="8">
        <f>Transport_1_hub!BB343</f>
        <v>53.854520103652177</v>
      </c>
      <c r="L408" s="8">
        <f>Transport_1_hub!BC343</f>
        <v>7.6284488628221139</v>
      </c>
      <c r="M408" s="8">
        <f>Transport_1_hub!BD343</f>
        <v>1.1496522813437673</v>
      </c>
      <c r="N408" s="8">
        <f>Transport_1_hub!BE343</f>
        <v>13.688435977379669</v>
      </c>
      <c r="O408" s="8">
        <f>Transport_1_hub!BF343</f>
        <v>0.22276233098521292</v>
      </c>
      <c r="P408" s="8">
        <f>Transport_1_hub!BG343</f>
        <v>1.3457356462811924E-4</v>
      </c>
      <c r="Q408" s="8">
        <f>Transport_1_hub!BH343</f>
        <v>0.46022261371757095</v>
      </c>
      <c r="R408" s="8">
        <f>Transport_1_hub!BI343</f>
        <v>1.0982911227157981</v>
      </c>
      <c r="S408" s="8">
        <f>Transport_1_hub!BJ343</f>
        <v>0.38870560310654467</v>
      </c>
      <c r="T408" s="8">
        <f>Transport_1_hub!BK343</f>
        <v>3.4642609206544689E-2</v>
      </c>
      <c r="U408" s="8">
        <f>Transport_1_hub!BL343</f>
        <v>5.3405771277253553</v>
      </c>
      <c r="V408" s="9">
        <f>Transport_1_hub!BM343</f>
        <v>1.1410795582878697</v>
      </c>
      <c r="AG408" s="42"/>
      <c r="AL408" s="42"/>
    </row>
    <row r="409" spans="2:38" x14ac:dyDescent="0.25">
      <c r="B409" s="40">
        <f>Transport_1_hub!W344+Transport_1_hub!L344</f>
        <v>6781.6767438753277</v>
      </c>
      <c r="C409" s="8">
        <f>Transport_1_hub!AT344</f>
        <v>920.84846907208134</v>
      </c>
      <c r="D409" s="8">
        <f ca="1">Transport_1_hub!AU344</f>
        <v>8858.2401794139023</v>
      </c>
      <c r="E409" s="8">
        <f ca="1">Transport_1_hub!AV344</f>
        <v>3.1382889086398511</v>
      </c>
      <c r="F409" s="8">
        <f ca="1">Transport_1_hub!AW344</f>
        <v>920.69549576008126</v>
      </c>
      <c r="G409" s="8">
        <f ca="1">Transport_1_hub!AX344</f>
        <v>207.26474612371209</v>
      </c>
      <c r="H409" s="8">
        <f ca="1">Transport_1_hub!AY344</f>
        <v>1.0654094885759773</v>
      </c>
      <c r="I409" s="8">
        <f ca="1">Transport_1_hub!AZ344</f>
        <v>2.5753753616945929E-2</v>
      </c>
      <c r="J409" s="8">
        <f ca="1">Transport_1_hub!BA344</f>
        <v>28.148538132032396</v>
      </c>
      <c r="K409" s="8">
        <f ca="1">Transport_1_hub!BB344</f>
        <v>42.053805768268177</v>
      </c>
      <c r="L409" s="8">
        <f ca="1">Transport_1_hub!BC344</f>
        <v>0.89331460239871274</v>
      </c>
      <c r="M409" s="8">
        <f ca="1">Transport_1_hub!BD344</f>
        <v>1.0436225155370384</v>
      </c>
      <c r="N409" s="8">
        <f ca="1">Transport_1_hub!BE344</f>
        <v>3.351527379423723</v>
      </c>
      <c r="O409" s="8">
        <f ca="1">Transport_1_hub!BF344</f>
        <v>0.21383924959733555</v>
      </c>
      <c r="P409" s="8">
        <f ca="1">Transport_1_hub!BG344</f>
        <v>1.0478277447882963E-4</v>
      </c>
      <c r="Q409" s="8">
        <f ca="1">Transport_1_hub!BH344</f>
        <v>0.27501347527494557</v>
      </c>
      <c r="R409" s="8">
        <f ca="1">Transport_1_hub!BI344</f>
        <v>0.70523011579362016</v>
      </c>
      <c r="S409" s="8">
        <f ca="1">Transport_1_hub!BJ344</f>
        <v>4.6593167781467854E-2</v>
      </c>
      <c r="T409" s="8">
        <f ca="1">Transport_1_hub!BK344</f>
        <v>1.1468777384267857E-2</v>
      </c>
      <c r="U409" s="8">
        <f ca="1">Transport_1_hub!BL344</f>
        <v>1.7137941581328082</v>
      </c>
      <c r="V409" s="9">
        <f ca="1">Transport_1_hub!BM344</f>
        <v>0.71868586945480784</v>
      </c>
      <c r="AG409" s="42"/>
      <c r="AL409" s="42"/>
    </row>
    <row r="410" spans="2:38" x14ac:dyDescent="0.25">
      <c r="B410" s="40">
        <f>Transport_1_hub!W345+Transport_1_hub!L345</f>
        <v>8457.794030248102</v>
      </c>
      <c r="C410" s="8">
        <f>Transport_1_hub!AT345</f>
        <v>1128.5843010309575</v>
      </c>
      <c r="D410" s="8">
        <f>Transport_1_hub!AU345</f>
        <v>10776.142273313448</v>
      </c>
      <c r="E410" s="8">
        <f>Transport_1_hub!AV345</f>
        <v>3.4207559456863548</v>
      </c>
      <c r="F410" s="8">
        <f>Transport_1_hub!AW345</f>
        <v>1128.4283324909575</v>
      </c>
      <c r="G410" s="8">
        <f>Transport_1_hub!AX345</f>
        <v>253.53265631142534</v>
      </c>
      <c r="H410" s="8">
        <f>Transport_1_hub!AY345</f>
        <v>1.5805284416805725</v>
      </c>
      <c r="I410" s="8">
        <f>Transport_1_hub!AZ345</f>
        <v>1.7711895647344756E-2</v>
      </c>
      <c r="J410" s="8">
        <f>Transport_1_hub!BA345</f>
        <v>27.040896611478349</v>
      </c>
      <c r="K410" s="8">
        <f>Transport_1_hub!BB345</f>
        <v>50.044626686910497</v>
      </c>
      <c r="L410" s="8">
        <f>Transport_1_hub!BC345</f>
        <v>1.3092041033206554</v>
      </c>
      <c r="M410" s="8">
        <f>Transport_1_hub!BD345</f>
        <v>1.2907574760861145</v>
      </c>
      <c r="N410" s="8">
        <f>Transport_1_hub!BE345</f>
        <v>4.5009534728264304</v>
      </c>
      <c r="O410" s="8">
        <f>Transport_1_hub!BF345</f>
        <v>0.26190721424806296</v>
      </c>
      <c r="P410" s="8">
        <f>Transport_1_hub!BG345</f>
        <v>1.2915721054470377E-4</v>
      </c>
      <c r="Q410" s="8">
        <f>Transport_1_hub!BH345</f>
        <v>0.32334493258166308</v>
      </c>
      <c r="R410" s="8">
        <f>Transport_1_hub!BI345</f>
        <v>0.80799789398712585</v>
      </c>
      <c r="S410" s="8">
        <f>Transport_1_hub!BJ345</f>
        <v>4.2994974463675131E-2</v>
      </c>
      <c r="T410" s="8">
        <f>Transport_1_hub!BK345</f>
        <v>1.4968098278675134E-2</v>
      </c>
      <c r="U410" s="8">
        <f>Transport_1_hub!BL345</f>
        <v>1.9174162134449826</v>
      </c>
      <c r="V410" s="9">
        <f>Transport_1_hub!BM345</f>
        <v>0.84281254353920831</v>
      </c>
      <c r="AG410" s="42"/>
      <c r="AL410" s="42"/>
    </row>
    <row r="411" spans="2:38" x14ac:dyDescent="0.25">
      <c r="B411" s="40">
        <f>Transport_1_hub!W346+Transport_1_hub!L346</f>
        <v>7129.9070264010015</v>
      </c>
      <c r="C411" s="8">
        <f>Transport_1_hub!AT346</f>
        <v>970.9493328366691</v>
      </c>
      <c r="D411" s="8">
        <f>Transport_1_hub!AU346</f>
        <v>9272.6392448377846</v>
      </c>
      <c r="E411" s="8">
        <f>Transport_1_hub!AV346</f>
        <v>2.9699736924887272</v>
      </c>
      <c r="F411" s="8">
        <f>Transport_1_hub!AW346</f>
        <v>970.87860841666918</v>
      </c>
      <c r="G411" s="8">
        <f>Transport_1_hub!AX346</f>
        <v>218.18707201673945</v>
      </c>
      <c r="H411" s="8">
        <f>Transport_1_hub!AY346</f>
        <v>1.1197876905302635</v>
      </c>
      <c r="I411" s="8">
        <f>Transport_1_hub!AZ346</f>
        <v>1.5047045404453554E-2</v>
      </c>
      <c r="J411" s="8">
        <f>Transport_1_hub!BA346</f>
        <v>22.832270966233398</v>
      </c>
      <c r="K411" s="8">
        <f>Transport_1_hub!BB346</f>
        <v>43.196224843705863</v>
      </c>
      <c r="L411" s="8">
        <f>Transport_1_hub!BC346</f>
        <v>0.91955841175278064</v>
      </c>
      <c r="M411" s="8">
        <f>Transport_1_hub!BD346</f>
        <v>1.1073154954509818</v>
      </c>
      <c r="N411" s="8">
        <f>Transport_1_hub!BE346</f>
        <v>3.5878605884515524</v>
      </c>
      <c r="O411" s="8">
        <f>Transport_1_hub!BF346</f>
        <v>0.2274126653989943</v>
      </c>
      <c r="P411" s="8">
        <f>Transport_1_hub!BG346</f>
        <v>1.1126919625704915E-4</v>
      </c>
      <c r="Q411" s="8">
        <f>Transport_1_hub!BH346</f>
        <v>0.27857703503084091</v>
      </c>
      <c r="R411" s="8">
        <f>Transport_1_hub!BI346</f>
        <v>0.70594685956642222</v>
      </c>
      <c r="S411" s="8">
        <f>Transport_1_hub!BJ346</f>
        <v>2.5153866483379542E-2</v>
      </c>
      <c r="T411" s="8">
        <f>Transport_1_hub!BK346</f>
        <v>1.2444992228379538E-2</v>
      </c>
      <c r="U411" s="8">
        <f>Transport_1_hub!BL346</f>
        <v>1.5765275701363453</v>
      </c>
      <c r="V411" s="9">
        <f>Transport_1_hub!BM346</f>
        <v>0.72754467620202012</v>
      </c>
      <c r="AG411" s="42"/>
      <c r="AL411" s="42"/>
    </row>
    <row r="412" spans="2:38" x14ac:dyDescent="0.25">
      <c r="B412" s="40">
        <f>Transport_1_hub!W347+Transport_1_hub!L347</f>
        <v>7419.7913952421068</v>
      </c>
      <c r="C412" s="8">
        <f>Transport_1_hub!AT347</f>
        <v>995.5819846519164</v>
      </c>
      <c r="D412" s="8">
        <f ca="1">Transport_1_hub!AU347</f>
        <v>9543.2807499304072</v>
      </c>
      <c r="E412" s="8">
        <f ca="1">Transport_1_hub!AV347</f>
        <v>3.2627922547430366</v>
      </c>
      <c r="F412" s="8">
        <f ca="1">Transport_1_hub!AW347</f>
        <v>995.44993985191638</v>
      </c>
      <c r="G412" s="8">
        <f ca="1">Transport_1_hub!AX347</f>
        <v>223.60331533148087</v>
      </c>
      <c r="H412" s="8">
        <f ca="1">Transport_1_hub!AY347</f>
        <v>1.0859744675929601</v>
      </c>
      <c r="I412" s="8">
        <f ca="1">Transport_1_hub!AZ347</f>
        <v>2.497588867648598E-2</v>
      </c>
      <c r="J412" s="8">
        <f ca="1">Transport_1_hub!BA347</f>
        <v>28.487488280374322</v>
      </c>
      <c r="K412" s="8">
        <f ca="1">Transport_1_hub!BB347</f>
        <v>45.069616503652178</v>
      </c>
      <c r="L412" s="8">
        <f ca="1">Transport_1_hub!BC347</f>
        <v>0.9032736228221141</v>
      </c>
      <c r="M412" s="8">
        <f ca="1">Transport_1_hub!BD347</f>
        <v>1.1350470090737672</v>
      </c>
      <c r="N412" s="8">
        <f ca="1">Transport_1_hub!BE347</f>
        <v>3.5427705673796703</v>
      </c>
      <c r="O412" s="8">
        <f ca="1">Transport_1_hub!BF347</f>
        <v>0.23159581677021293</v>
      </c>
      <c r="P412" s="8">
        <f ca="1">Transport_1_hub!BG347</f>
        <v>1.1325686190311923E-4</v>
      </c>
      <c r="Q412" s="8">
        <f ca="1">Transport_1_hub!BH347</f>
        <v>0.29132586351757095</v>
      </c>
      <c r="R412" s="8">
        <f ca="1">Transport_1_hub!BI347</f>
        <v>0.74194935431579823</v>
      </c>
      <c r="S412" s="8">
        <f ca="1">Transport_1_hub!BJ347</f>
        <v>4.2506322506544687E-2</v>
      </c>
      <c r="T412" s="8">
        <f ca="1">Transport_1_hub!BK347</f>
        <v>1.2187353501544689E-2</v>
      </c>
      <c r="U412" s="8">
        <f ca="1">Transport_1_hub!BL347</f>
        <v>1.754473104725355</v>
      </c>
      <c r="V412" s="9">
        <f ca="1">Transport_1_hub!BM347</f>
        <v>0.76201591178786954</v>
      </c>
      <c r="AG412" s="42"/>
      <c r="AL412" s="42"/>
    </row>
    <row r="413" spans="2:38" x14ac:dyDescent="0.25">
      <c r="B413" s="40">
        <f>Transport_1_hub!W348+Transport_1_hub!L348</f>
        <v>7419.7913952421068</v>
      </c>
      <c r="C413" s="8">
        <f>Transport_1_hub!AT348</f>
        <v>995.5819846519164</v>
      </c>
      <c r="D413" s="8">
        <f ca="1">Transport_1_hub!AU348</f>
        <v>9543.2807499304072</v>
      </c>
      <c r="E413" s="8">
        <f ca="1">Transport_1_hub!AV348</f>
        <v>3.2627922547430366</v>
      </c>
      <c r="F413" s="8">
        <f ca="1">Transport_1_hub!AW348</f>
        <v>995.44993985191638</v>
      </c>
      <c r="G413" s="8">
        <f ca="1">Transport_1_hub!AX348</f>
        <v>223.60331533148087</v>
      </c>
      <c r="H413" s="8">
        <f ca="1">Transport_1_hub!AY348</f>
        <v>1.0859744675929601</v>
      </c>
      <c r="I413" s="8">
        <f ca="1">Transport_1_hub!AZ348</f>
        <v>2.497588867648598E-2</v>
      </c>
      <c r="J413" s="8">
        <f ca="1">Transport_1_hub!BA348</f>
        <v>28.487488280374322</v>
      </c>
      <c r="K413" s="8">
        <f ca="1">Transport_1_hub!BB348</f>
        <v>45.069616503652178</v>
      </c>
      <c r="L413" s="8">
        <f ca="1">Transport_1_hub!BC348</f>
        <v>0.9032736228221141</v>
      </c>
      <c r="M413" s="8">
        <f ca="1">Transport_1_hub!BD348</f>
        <v>1.1350470090737672</v>
      </c>
      <c r="N413" s="8">
        <f ca="1">Transport_1_hub!BE348</f>
        <v>3.5427705673796703</v>
      </c>
      <c r="O413" s="8">
        <f ca="1">Transport_1_hub!BF348</f>
        <v>0.23159581677021293</v>
      </c>
      <c r="P413" s="8">
        <f ca="1">Transport_1_hub!BG348</f>
        <v>1.1325686190311923E-4</v>
      </c>
      <c r="Q413" s="8">
        <f ca="1">Transport_1_hub!BH348</f>
        <v>0.29132586351757095</v>
      </c>
      <c r="R413" s="8">
        <f ca="1">Transport_1_hub!BI348</f>
        <v>0.74194935431579823</v>
      </c>
      <c r="S413" s="8">
        <f ca="1">Transport_1_hub!BJ348</f>
        <v>4.2506322506544687E-2</v>
      </c>
      <c r="T413" s="8">
        <f ca="1">Transport_1_hub!BK348</f>
        <v>1.2187353501544689E-2</v>
      </c>
      <c r="U413" s="8">
        <f ca="1">Transport_1_hub!BL348</f>
        <v>1.754473104725355</v>
      </c>
      <c r="V413" s="9">
        <f ca="1">Transport_1_hub!BM348</f>
        <v>0.76201591178786954</v>
      </c>
      <c r="AG413" s="42"/>
      <c r="AL413" s="42"/>
    </row>
    <row r="414" spans="2:38" x14ac:dyDescent="0.25">
      <c r="B414" s="40">
        <f>Transport_1_hub!W349+Transport_1_hub!L349</f>
        <v>6829.990743875328</v>
      </c>
      <c r="C414" s="8">
        <f>Transport_1_hub!AT349</f>
        <v>924.44602614008124</v>
      </c>
      <c r="D414" s="8">
        <f ca="1">Transport_1_hub!AU349</f>
        <v>8917.9122804721228</v>
      </c>
      <c r="E414" s="8">
        <f ca="1">Transport_1_hub!AV349</f>
        <v>3.2618084810398509</v>
      </c>
      <c r="F414" s="8">
        <f ca="1">Transport_1_hub!AW349</f>
        <v>924.24357929208134</v>
      </c>
      <c r="G414" s="8">
        <f ca="1">Transport_1_hub!AX349</f>
        <v>208.26692342571209</v>
      </c>
      <c r="H414" s="8">
        <f ca="1">Transport_1_hub!AY349</f>
        <v>1.1542879229759773</v>
      </c>
      <c r="I414" s="8">
        <f ca="1">Transport_1_hub!AZ349</f>
        <v>2.9671680818945931E-2</v>
      </c>
      <c r="J414" s="8">
        <f ca="1">Transport_1_hub!BA349</f>
        <v>30.590762518032399</v>
      </c>
      <c r="K414" s="8">
        <f ca="1">Transport_1_hub!BB349</f>
        <v>42.567093704268174</v>
      </c>
      <c r="L414" s="8">
        <f ca="1">Transport_1_hub!BC349</f>
        <v>0.97610547279871274</v>
      </c>
      <c r="M414" s="8">
        <f ca="1">Transport_1_hub!BD349</f>
        <v>1.0449997061070384</v>
      </c>
      <c r="N414" s="8">
        <f ca="1">Transport_1_hub!BE349</f>
        <v>3.4511798358237229</v>
      </c>
      <c r="O414" s="8">
        <f ca="1">Transport_1_hub!BF349</f>
        <v>0.21350400358273555</v>
      </c>
      <c r="P414" s="8">
        <f ca="1">Transport_1_hub!BG349</f>
        <v>1.0496067145822965E-4</v>
      </c>
      <c r="Q414" s="8">
        <f ca="1">Transport_1_hub!BH349</f>
        <v>0.28038502579494556</v>
      </c>
      <c r="R414" s="8">
        <f ca="1">Transport_1_hub!BI349</f>
        <v>0.71972141695362013</v>
      </c>
      <c r="S414" s="8">
        <f ca="1">Transport_1_hub!BJ349</f>
        <v>5.8085135821467855E-2</v>
      </c>
      <c r="T414" s="8">
        <f ca="1">Transport_1_hub!BK349</f>
        <v>1.1601065947667856E-2</v>
      </c>
      <c r="U414" s="8">
        <f ca="1">Transport_1_hub!BL349</f>
        <v>1.8238679443328083</v>
      </c>
      <c r="V414" s="9">
        <f ca="1">Transport_1_hub!BM349</f>
        <v>0.73225002495480784</v>
      </c>
      <c r="AG414" s="42"/>
      <c r="AL414" s="42"/>
    </row>
    <row r="415" spans="2:38" x14ac:dyDescent="0.25">
      <c r="B415" s="40">
        <f>Transport_1_hub!W350+Transport_1_hub!L350</f>
        <v>8469.7960302481024</v>
      </c>
      <c r="C415" s="8">
        <f>Transport_1_hub!AT350</f>
        <v>1132.6625806309573</v>
      </c>
      <c r="D415" s="8">
        <f>Transport_1_hub!AU350</f>
        <v>10835.624790610314</v>
      </c>
      <c r="E415" s="8">
        <f>Transport_1_hub!AV350</f>
        <v>3.483953676886355</v>
      </c>
      <c r="F415" s="8">
        <f>Transport_1_hub!AW350</f>
        <v>1132.4535632509574</v>
      </c>
      <c r="G415" s="8">
        <f>Transport_1_hub!AX350</f>
        <v>254.85167611142535</v>
      </c>
      <c r="H415" s="8">
        <f>Transport_1_hub!AY350</f>
        <v>1.7955322696805724</v>
      </c>
      <c r="I415" s="8">
        <f>Transport_1_hub!AZ350</f>
        <v>1.8285123169344757E-2</v>
      </c>
      <c r="J415" s="8">
        <f>Transport_1_hub!BA350</f>
        <v>27.96470255347835</v>
      </c>
      <c r="K415" s="8">
        <f>Transport_1_hub!BB350</f>
        <v>50.318032246910498</v>
      </c>
      <c r="L415" s="8">
        <f>Transport_1_hub!BC350</f>
        <v>1.4962192673206554</v>
      </c>
      <c r="M415" s="8">
        <f>Transport_1_hub!BD350</f>
        <v>1.2912496661041146</v>
      </c>
      <c r="N415" s="8">
        <f>Transport_1_hub!BE350</f>
        <v>4.781272184826431</v>
      </c>
      <c r="O415" s="8">
        <f>Transport_1_hub!BF350</f>
        <v>0.26164529460206298</v>
      </c>
      <c r="P415" s="8">
        <f>Transport_1_hub!BG350</f>
        <v>1.2974391631270375E-4</v>
      </c>
      <c r="Q415" s="8">
        <f>Transport_1_hub!BH350</f>
        <v>0.32827823466166312</v>
      </c>
      <c r="R415" s="8">
        <f>Transport_1_hub!BI350</f>
        <v>0.81863322624712587</v>
      </c>
      <c r="S415" s="8">
        <f>Transport_1_hub!BJ350</f>
        <v>5.3141705303675138E-2</v>
      </c>
      <c r="T415" s="8">
        <f>Transport_1_hub!BK350</f>
        <v>1.5582180608675134E-2</v>
      </c>
      <c r="U415" s="8">
        <f>Transport_1_hub!BL350</f>
        <v>2.0218768206449829</v>
      </c>
      <c r="V415" s="9">
        <f>Transport_1_hub!BM350</f>
        <v>0.85399300663920841</v>
      </c>
      <c r="AG415" s="42"/>
      <c r="AL415" s="42"/>
    </row>
    <row r="416" spans="2:38" x14ac:dyDescent="0.25">
      <c r="B416" s="40">
        <f>Transport_1_hub!W351+Transport_1_hub!L351</f>
        <v>9925.7641283772828</v>
      </c>
      <c r="C416" s="8">
        <f>Transport_1_hub!AT351</f>
        <v>1295.238962221059</v>
      </c>
      <c r="D416" s="8">
        <f>Transport_1_hub!AU351</f>
        <v>12313.151081201777</v>
      </c>
      <c r="E416" s="8">
        <f>Transport_1_hub!AV351</f>
        <v>3.761718047878408</v>
      </c>
      <c r="F416" s="8">
        <f>Transport_1_hub!AW351</f>
        <v>1295.1252135210591</v>
      </c>
      <c r="G416" s="8">
        <f>Transport_1_hub!AX351</f>
        <v>289.87168530638388</v>
      </c>
      <c r="H416" s="8">
        <f>Transport_1_hub!AY351</f>
        <v>1.539050699265069</v>
      </c>
      <c r="I416" s="8">
        <f>Transport_1_hub!AZ351</f>
        <v>1.9218537278838647E-2</v>
      </c>
      <c r="J416" s="8">
        <f>Transport_1_hub!BA351</f>
        <v>29.378068851991959</v>
      </c>
      <c r="K416" s="8">
        <f>Transport_1_hub!BB351</f>
        <v>57.040416615564354</v>
      </c>
      <c r="L416" s="8">
        <f>Transport_1_hub!BC351</f>
        <v>1.2606199123401329</v>
      </c>
      <c r="M416" s="8">
        <f>Transport_1_hub!BD351</f>
        <v>1.496328095039984</v>
      </c>
      <c r="N416" s="8">
        <f>Transport_1_hub!BE351</f>
        <v>4.7984997175959263</v>
      </c>
      <c r="O416" s="8">
        <f>Transport_1_hub!BF351</f>
        <v>0.30140566964080207</v>
      </c>
      <c r="P416" s="8">
        <f>Transport_1_hub!BG351</f>
        <v>1.4775700895338435E-4</v>
      </c>
      <c r="Q416" s="8">
        <f>Transport_1_hub!BH351</f>
        <v>0.36087992803010777</v>
      </c>
      <c r="R416" s="8">
        <f>Transport_1_hub!BI351</f>
        <v>0.89518266016042447</v>
      </c>
      <c r="S416" s="8">
        <f>Transport_1_hub!BJ351</f>
        <v>3.6650035002693572E-2</v>
      </c>
      <c r="T416" s="8">
        <f>Transport_1_hub!BK351</f>
        <v>1.6209882577693572E-2</v>
      </c>
      <c r="U416" s="8">
        <f>Transport_1_hub!BL351</f>
        <v>2.0291496847951769</v>
      </c>
      <c r="V416" s="9">
        <f>Transport_1_hub!BM351</f>
        <v>0.94347247900972997</v>
      </c>
      <c r="AG416" s="42"/>
      <c r="AL416" s="42"/>
    </row>
    <row r="417" spans="2:38" x14ac:dyDescent="0.25">
      <c r="B417" s="40">
        <f>Transport_1_hub!W352+Transport_1_hub!L352</f>
        <v>7160.0000264010014</v>
      </c>
      <c r="C417" s="8">
        <f>Transport_1_hub!AT352</f>
        <v>981.17493423666917</v>
      </c>
      <c r="D417" s="8">
        <f>Transport_1_hub!AU352</f>
        <v>9421.7816705180539</v>
      </c>
      <c r="E417" s="8">
        <f>Transport_1_hub!AV352</f>
        <v>3.1284313932887269</v>
      </c>
      <c r="F417" s="8">
        <f>Transport_1_hub!AW352</f>
        <v>980.9711987566692</v>
      </c>
      <c r="G417" s="8">
        <f>Transport_1_hub!AX352</f>
        <v>221.49429271673944</v>
      </c>
      <c r="H417" s="8">
        <f>Transport_1_hub!AY352</f>
        <v>1.6588736925302636</v>
      </c>
      <c r="I417" s="8">
        <f>Transport_1_hub!AZ352</f>
        <v>1.6484317177453554E-2</v>
      </c>
      <c r="J417" s="8">
        <f>Transport_1_hub!BA352</f>
        <v>25.148559269233399</v>
      </c>
      <c r="K417" s="8">
        <f>Transport_1_hub!BB352</f>
        <v>43.88174338370586</v>
      </c>
      <c r="L417" s="8">
        <f>Transport_1_hub!BC352</f>
        <v>1.3884675377527806</v>
      </c>
      <c r="M417" s="8">
        <f>Transport_1_hub!BD352</f>
        <v>1.1085495792879818</v>
      </c>
      <c r="N417" s="8">
        <f>Transport_1_hub!BE352</f>
        <v>4.2907126964515525</v>
      </c>
      <c r="O417" s="8">
        <f>Transport_1_hub!BF352</f>
        <v>0.22675594585999428</v>
      </c>
      <c r="P417" s="8">
        <f>Transport_1_hub!BG352</f>
        <v>1.1274026246904916E-4</v>
      </c>
      <c r="Q417" s="8">
        <f>Transport_1_hub!BH352</f>
        <v>0.29094646175084093</v>
      </c>
      <c r="R417" s="8">
        <f>Transport_1_hub!BI352</f>
        <v>0.7326131696564222</v>
      </c>
      <c r="S417" s="8">
        <f>Transport_1_hub!BJ352</f>
        <v>5.0595090543379538E-2</v>
      </c>
      <c r="T417" s="8">
        <f>Transport_1_hub!BK352</f>
        <v>1.3984700573379538E-2</v>
      </c>
      <c r="U417" s="8">
        <f>Transport_1_hub!BL352</f>
        <v>1.8384450049363452</v>
      </c>
      <c r="V417" s="9">
        <f>Transport_1_hub!BM352</f>
        <v>0.75557781035202021</v>
      </c>
      <c r="AG417" s="42"/>
      <c r="AL417" s="42"/>
    </row>
    <row r="418" spans="2:38" x14ac:dyDescent="0.25">
      <c r="B418" s="40">
        <f>Transport_1_hub!W353+Transport_1_hub!L353</f>
        <v>6561.9687786039231</v>
      </c>
      <c r="C418" s="8">
        <f>Transport_1_hub!AT353</f>
        <v>893.31687571329917</v>
      </c>
      <c r="D418" s="8">
        <f ca="1">Transport_1_hub!AU353</f>
        <v>8628.4706648720403</v>
      </c>
      <c r="E418" s="8">
        <f ca="1">Transport_1_hub!AV353</f>
        <v>3.1913687331643361</v>
      </c>
      <c r="F418" s="8">
        <f ca="1">Transport_1_hub!AW353</f>
        <v>893.11363321729914</v>
      </c>
      <c r="G418" s="8">
        <f ca="1">Transport_1_hub!AX353</f>
        <v>201.4295685164046</v>
      </c>
      <c r="H418" s="8">
        <f ca="1">Transport_1_hub!AY353</f>
        <v>1.1319317417260166</v>
      </c>
      <c r="I418" s="8">
        <f ca="1">Transport_1_hub!AZ353</f>
        <v>2.9375145655871016E-2</v>
      </c>
      <c r="J418" s="8">
        <f ca="1">Transport_1_hub!BA353</f>
        <v>30.069686067498537</v>
      </c>
      <c r="K418" s="8">
        <f ca="1">Transport_1_hub!BB353</f>
        <v>41.253650497786076</v>
      </c>
      <c r="L418" s="8">
        <f ca="1">Transport_1_hub!BC353</f>
        <v>0.9590415889062831</v>
      </c>
      <c r="M418" s="8">
        <f ca="1">Transport_1_hub!BD353</f>
        <v>1.0074430315836058</v>
      </c>
      <c r="N418" s="8">
        <f ca="1">Transport_1_hub!BE353</f>
        <v>3.3573573670581891</v>
      </c>
      <c r="O418" s="8">
        <f ca="1">Transport_1_hub!BF353</f>
        <v>0.20629671074935843</v>
      </c>
      <c r="P418" s="8">
        <f ca="1">Transport_1_hub!BG353</f>
        <v>1.0146793994113271E-4</v>
      </c>
      <c r="Q418" s="8">
        <f ca="1">Transport_1_hub!BH353</f>
        <v>0.27287324724661866</v>
      </c>
      <c r="R418" s="8">
        <f ca="1">Transport_1_hub!BI353</f>
        <v>0.70243873067911267</v>
      </c>
      <c r="S418" s="8">
        <f ca="1">Transport_1_hub!BJ353</f>
        <v>5.7953426536745921E-2</v>
      </c>
      <c r="T418" s="8">
        <f ca="1">Transport_1_hub!BK353</f>
        <v>1.128666694664592E-2</v>
      </c>
      <c r="U418" s="8">
        <f ca="1">Transport_1_hub!BL353</f>
        <v>1.7899822035504267</v>
      </c>
      <c r="V418" s="9">
        <f ca="1">Transport_1_hub!BM353</f>
        <v>0.71241197888564511</v>
      </c>
      <c r="AG418" s="42"/>
      <c r="AL418" s="42"/>
    </row>
    <row r="419" spans="2:38" x14ac:dyDescent="0.25">
      <c r="B419" s="40">
        <f>Transport_1_hub!W354+Transport_1_hub!L354</f>
        <v>6561.9687786039231</v>
      </c>
      <c r="C419" s="8">
        <f>Transport_1_hub!AT354</f>
        <v>893.31687571329917</v>
      </c>
      <c r="D419" s="8">
        <f ca="1">Transport_1_hub!AU354</f>
        <v>8628.4706648720403</v>
      </c>
      <c r="E419" s="8">
        <f ca="1">Transport_1_hub!AV354</f>
        <v>3.1913687331643361</v>
      </c>
      <c r="F419" s="8">
        <f ca="1">Transport_1_hub!AW354</f>
        <v>893.11363321729914</v>
      </c>
      <c r="G419" s="8">
        <f ca="1">Transport_1_hub!AX354</f>
        <v>201.4295685164046</v>
      </c>
      <c r="H419" s="8">
        <f ca="1">Transport_1_hub!AY354</f>
        <v>1.1319317417260166</v>
      </c>
      <c r="I419" s="8">
        <f ca="1">Transport_1_hub!AZ354</f>
        <v>2.9375145655871016E-2</v>
      </c>
      <c r="J419" s="8">
        <f ca="1">Transport_1_hub!BA354</f>
        <v>30.069686067498537</v>
      </c>
      <c r="K419" s="8">
        <f ca="1">Transport_1_hub!BB354</f>
        <v>41.253650497786076</v>
      </c>
      <c r="L419" s="8">
        <f ca="1">Transport_1_hub!BC354</f>
        <v>0.9590415889062831</v>
      </c>
      <c r="M419" s="8">
        <f ca="1">Transport_1_hub!BD354</f>
        <v>1.0074430315836058</v>
      </c>
      <c r="N419" s="8">
        <f ca="1">Transport_1_hub!BE354</f>
        <v>3.3573573670581891</v>
      </c>
      <c r="O419" s="8">
        <f ca="1">Transport_1_hub!BF354</f>
        <v>0.20629671074935843</v>
      </c>
      <c r="P419" s="8">
        <f ca="1">Transport_1_hub!BG354</f>
        <v>1.0146793994113271E-4</v>
      </c>
      <c r="Q419" s="8">
        <f ca="1">Transport_1_hub!BH354</f>
        <v>0.27287324724661866</v>
      </c>
      <c r="R419" s="8">
        <f ca="1">Transport_1_hub!BI354</f>
        <v>0.70243873067911267</v>
      </c>
      <c r="S419" s="8">
        <f ca="1">Transport_1_hub!BJ354</f>
        <v>5.7953426536745921E-2</v>
      </c>
      <c r="T419" s="8">
        <f ca="1">Transport_1_hub!BK354</f>
        <v>1.128666694664592E-2</v>
      </c>
      <c r="U419" s="8">
        <f ca="1">Transport_1_hub!BL354</f>
        <v>1.7899822035504267</v>
      </c>
      <c r="V419" s="9">
        <f ca="1">Transport_1_hub!BM354</f>
        <v>0.71241197888564511</v>
      </c>
      <c r="AG419" s="42"/>
      <c r="AL419" s="42"/>
    </row>
    <row r="420" spans="2:38" x14ac:dyDescent="0.25">
      <c r="B420" s="40">
        <f>Transport_1_hub!W355+Transport_1_hub!L355</f>
        <v>7519.7782967838621</v>
      </c>
      <c r="C420" s="8">
        <f>Transport_1_hub!AT355</f>
        <v>1012.4313267567946</v>
      </c>
      <c r="D420" s="8">
        <f ca="1">Transport_1_hub!AU355</f>
        <v>9630.6254801832383</v>
      </c>
      <c r="E420" s="8">
        <f ca="1">Transport_1_hub!AV355</f>
        <v>2.9950391825360385</v>
      </c>
      <c r="F420" s="8">
        <f ca="1">Transport_1_hub!AW355</f>
        <v>1012.4310226287946</v>
      </c>
      <c r="G420" s="8">
        <f ca="1">Transport_1_hub!AX355</f>
        <v>226.74587932556787</v>
      </c>
      <c r="H420" s="8">
        <f ca="1">Transport_1_hub!AY355</f>
        <v>0.86946438736140019</v>
      </c>
      <c r="I420" s="8">
        <f ca="1">Transport_1_hub!AZ355</f>
        <v>1.4847979116883316E-2</v>
      </c>
      <c r="J420" s="8">
        <f ca="1">Transport_1_hub!BA355</f>
        <v>22.460337434908293</v>
      </c>
      <c r="K420" s="8">
        <f ca="1">Transport_1_hub!BB355</f>
        <v>44.823686490264471</v>
      </c>
      <c r="L420" s="8">
        <f ca="1">Transport_1_hub!BC355</f>
        <v>0.69840492187829806</v>
      </c>
      <c r="M420" s="8">
        <f ca="1">Transport_1_hub!BD355</f>
        <v>1.16330525421613</v>
      </c>
      <c r="N420" s="8">
        <f ca="1">Transport_1_hub!BE355</f>
        <v>3.3583266774178591</v>
      </c>
      <c r="O420" s="8">
        <f ca="1">Transport_1_hub!BF355</f>
        <v>0.23859520274651991</v>
      </c>
      <c r="P420" s="8">
        <f ca="1">Transport_1_hub!BG355</f>
        <v>1.1574692826341192E-4</v>
      </c>
      <c r="Q420" s="8">
        <f ca="1">Transport_1_hub!BH355</f>
        <v>0.2834654032240288</v>
      </c>
      <c r="R420" s="8">
        <f ca="1">Transport_1_hub!BI355</f>
        <v>0.7182188499486043</v>
      </c>
      <c r="S420" s="8">
        <f ca="1">Transport_1_hub!BJ355</f>
        <v>1.2173545958672097E-2</v>
      </c>
      <c r="T420" s="8">
        <f ca="1">Transport_1_hub!BK355</f>
        <v>1.2103714754372098E-2</v>
      </c>
      <c r="U420" s="8">
        <f ca="1">Transport_1_hub!BL355</f>
        <v>1.4916185731806335</v>
      </c>
      <c r="V420" s="9">
        <f ca="1">Transport_1_hub!BM355</f>
        <v>0.74291162273331535</v>
      </c>
      <c r="AG420" s="42"/>
      <c r="AL420" s="42"/>
    </row>
    <row r="421" spans="2:38" x14ac:dyDescent="0.25">
      <c r="B421" s="40">
        <f>Transport_1_hub!W356+Transport_1_hub!L356</f>
        <v>6521.7977786039228</v>
      </c>
      <c r="C421" s="8">
        <f>Transport_1_hub!AT356</f>
        <v>890.32566271129917</v>
      </c>
      <c r="D421" s="8">
        <f ca="1">Transport_1_hub!AU356</f>
        <v>8578.8558954137097</v>
      </c>
      <c r="E421" s="8">
        <f ca="1">Transport_1_hub!AV356</f>
        <v>3.0886675545643358</v>
      </c>
      <c r="F421" s="8">
        <f ca="1">Transport_1_hub!AW356</f>
        <v>890.16355531929912</v>
      </c>
      <c r="G421" s="8">
        <f ca="1">Transport_1_hub!AX356</f>
        <v>200.59630146340461</v>
      </c>
      <c r="H421" s="8">
        <f ca="1">Transport_1_hub!AY356</f>
        <v>1.0580331701260164</v>
      </c>
      <c r="I421" s="8">
        <f ca="1">Transport_1_hub!AZ356</f>
        <v>2.6117558752871015E-2</v>
      </c>
      <c r="J421" s="8">
        <f ca="1">Transport_1_hub!BA356</f>
        <v>28.039082188498536</v>
      </c>
      <c r="K421" s="8">
        <f ca="1">Transport_1_hub!BB356</f>
        <v>40.826873793786078</v>
      </c>
      <c r="L421" s="8">
        <f ca="1">Transport_1_hub!BC356</f>
        <v>0.89020456330628295</v>
      </c>
      <c r="M421" s="8">
        <f ca="1">Transport_1_hub!BD356</f>
        <v>1.0062979572286057</v>
      </c>
      <c r="N421" s="8">
        <f ca="1">Transport_1_hub!BE356</f>
        <v>3.2745006624581889</v>
      </c>
      <c r="O421" s="8">
        <f ca="1">Transport_1_hub!BF356</f>
        <v>0.20657545330125843</v>
      </c>
      <c r="P421" s="8">
        <f ca="1">Transport_1_hub!BG356</f>
        <v>1.0132002630203271E-4</v>
      </c>
      <c r="Q421" s="8">
        <f ca="1">Transport_1_hub!BH356</f>
        <v>0.26840703546661865</v>
      </c>
      <c r="R421" s="8">
        <f ca="1">Transport_1_hub!BI356</f>
        <v>0.69038984093911271</v>
      </c>
      <c r="S421" s="8">
        <f ca="1">Transport_1_hub!BJ356</f>
        <v>4.8398352476745919E-2</v>
      </c>
      <c r="T421" s="8">
        <f ca="1">Transport_1_hub!BK356</f>
        <v>1.117667473154592E-2</v>
      </c>
      <c r="U421" s="8">
        <f ca="1">Transport_1_hub!BL356</f>
        <v>1.6984606142504268</v>
      </c>
      <c r="V421" s="9">
        <f ca="1">Transport_1_hub!BM356</f>
        <v>0.70113397063564509</v>
      </c>
      <c r="AG421" s="42"/>
      <c r="AL421" s="42"/>
    </row>
    <row r="422" spans="2:38" x14ac:dyDescent="0.25">
      <c r="B422" s="40">
        <f>Transport_1_hub!W357+Transport_1_hub!L357</f>
        <v>6521.7977786039228</v>
      </c>
      <c r="C422" s="8">
        <f>Transport_1_hub!AT357</f>
        <v>890.32566271129917</v>
      </c>
      <c r="D422" s="8">
        <f ca="1">Transport_1_hub!AU357</f>
        <v>8578.8558954137097</v>
      </c>
      <c r="E422" s="8">
        <f ca="1">Transport_1_hub!AV357</f>
        <v>3.0886675545643358</v>
      </c>
      <c r="F422" s="8">
        <f ca="1">Transport_1_hub!AW357</f>
        <v>890.16355531929912</v>
      </c>
      <c r="G422" s="8">
        <f ca="1">Transport_1_hub!AX357</f>
        <v>200.59630146340461</v>
      </c>
      <c r="H422" s="8">
        <f ca="1">Transport_1_hub!AY357</f>
        <v>1.0580331701260164</v>
      </c>
      <c r="I422" s="8">
        <f ca="1">Transport_1_hub!AZ357</f>
        <v>2.6117558752871015E-2</v>
      </c>
      <c r="J422" s="8">
        <f ca="1">Transport_1_hub!BA357</f>
        <v>28.039082188498536</v>
      </c>
      <c r="K422" s="8">
        <f ca="1">Transport_1_hub!BB357</f>
        <v>40.826873793786078</v>
      </c>
      <c r="L422" s="8">
        <f ca="1">Transport_1_hub!BC357</f>
        <v>0.89020456330628295</v>
      </c>
      <c r="M422" s="8">
        <f ca="1">Transport_1_hub!BD357</f>
        <v>1.0062979572286057</v>
      </c>
      <c r="N422" s="8">
        <f ca="1">Transport_1_hub!BE357</f>
        <v>3.2745006624581889</v>
      </c>
      <c r="O422" s="8">
        <f ca="1">Transport_1_hub!BF357</f>
        <v>0.20657545330125843</v>
      </c>
      <c r="P422" s="8">
        <f ca="1">Transport_1_hub!BG357</f>
        <v>1.0132002630203271E-4</v>
      </c>
      <c r="Q422" s="8">
        <f ca="1">Transport_1_hub!BH357</f>
        <v>0.26840703546661865</v>
      </c>
      <c r="R422" s="8">
        <f ca="1">Transport_1_hub!BI357</f>
        <v>0.69038984093911271</v>
      </c>
      <c r="S422" s="8">
        <f ca="1">Transport_1_hub!BJ357</f>
        <v>4.8398352476745919E-2</v>
      </c>
      <c r="T422" s="8">
        <f ca="1">Transport_1_hub!BK357</f>
        <v>1.117667473154592E-2</v>
      </c>
      <c r="U422" s="8">
        <f ca="1">Transport_1_hub!BL357</f>
        <v>1.6984606142504268</v>
      </c>
      <c r="V422" s="9">
        <f ca="1">Transport_1_hub!BM357</f>
        <v>0.70113397063564509</v>
      </c>
      <c r="AG422" s="42"/>
      <c r="AL422" s="42"/>
    </row>
    <row r="423" spans="2:38" x14ac:dyDescent="0.25">
      <c r="B423" s="40">
        <f>Transport_1_hub!W358+Transport_1_hub!L358</f>
        <v>10473.8791797834</v>
      </c>
      <c r="C423" s="8">
        <f>Transport_1_hub!AT358</f>
        <v>1356.1039162499048</v>
      </c>
      <c r="D423" s="8">
        <f>Transport_1_hub!AU358</f>
        <v>12864.953192678879</v>
      </c>
      <c r="E423" s="8">
        <f>Transport_1_hub!AV358</f>
        <v>3.8614056237023968</v>
      </c>
      <c r="F423" s="8">
        <f>Transport_1_hub!AW358</f>
        <v>1356.0297619099049</v>
      </c>
      <c r="G423" s="8">
        <f>Transport_1_hub!AX358</f>
        <v>302.95659444459432</v>
      </c>
      <c r="H423" s="8">
        <f>Transport_1_hub!AY358</f>
        <v>1.4273481878829026</v>
      </c>
      <c r="I423" s="8">
        <f>Transport_1_hub!AZ358</f>
        <v>1.9529472255893E-2</v>
      </c>
      <c r="J423" s="8">
        <f>Transport_1_hub!BA358</f>
        <v>29.84622506592936</v>
      </c>
      <c r="K423" s="8">
        <f>Transport_1_hub!BB358</f>
        <v>59.55105700177004</v>
      </c>
      <c r="L423" s="8">
        <f>Transport_1_hub!BC358</f>
        <v>1.1587534880781127</v>
      </c>
      <c r="M423" s="8">
        <f>Transport_1_hub!BD358</f>
        <v>1.5735576728832095</v>
      </c>
      <c r="N423" s="8">
        <f>Transport_1_hub!BE358</f>
        <v>4.785202766171599</v>
      </c>
      <c r="O423" s="8">
        <f>Transport_1_hub!BF358</f>
        <v>0.31638602118589471</v>
      </c>
      <c r="P423" s="8">
        <f>Transport_1_hub!BG358</f>
        <v>1.5449358664249271E-4</v>
      </c>
      <c r="Q423" s="8">
        <f>Transport_1_hub!BH358</f>
        <v>0.37280100518091841</v>
      </c>
      <c r="R423" s="8">
        <f>Transport_1_hub!BI358</f>
        <v>0.92324752088490758</v>
      </c>
      <c r="S423" s="8">
        <f>Transport_1_hub!BJ358</f>
        <v>2.9728331408168815E-2</v>
      </c>
      <c r="T423" s="8">
        <f>Transport_1_hub!BK358</f>
        <v>1.6403115273168813E-2</v>
      </c>
      <c r="U423" s="8">
        <f>Transport_1_hub!BL358</f>
        <v>2.0245486790953517</v>
      </c>
      <c r="V423" s="9">
        <f>Transport_1_hub!BM358</f>
        <v>0.97636914806630437</v>
      </c>
      <c r="AG423" s="42"/>
      <c r="AL423" s="42"/>
    </row>
    <row r="424" spans="2:38" x14ac:dyDescent="0.25">
      <c r="B424" s="40">
        <f>Transport_1_hub!W359+Transport_1_hub!L359</f>
        <v>7581.0121639902645</v>
      </c>
      <c r="C424" s="8">
        <f>Transport_1_hub!AT359</f>
        <v>995.23916238462164</v>
      </c>
      <c r="D424" s="8">
        <f ca="1">Transport_1_hub!AU359</f>
        <v>9789.4632484304984</v>
      </c>
      <c r="E424" s="8">
        <f ca="1">Transport_1_hub!AV359</f>
        <v>4.3600957195237378</v>
      </c>
      <c r="F424" s="8">
        <f ca="1">Transport_1_hub!AW359</f>
        <v>994.63547547262169</v>
      </c>
      <c r="G424" s="8">
        <f ca="1">Transport_1_hub!AX359</f>
        <v>225.542039239357</v>
      </c>
      <c r="H424" s="8">
        <f ca="1">Transport_1_hub!AY359</f>
        <v>1.9068508173847158</v>
      </c>
      <c r="I424" s="8">
        <f ca="1">Transport_1_hub!AZ359</f>
        <v>6.1926764711504274E-2</v>
      </c>
      <c r="J424" s="8">
        <f ca="1">Transport_1_hub!BA359</f>
        <v>51.146160118215292</v>
      </c>
      <c r="K424" s="8">
        <f ca="1">Transport_1_hub!BB359</f>
        <v>48.494121787108369</v>
      </c>
      <c r="L424" s="8">
        <f ca="1">Transport_1_hub!BC359</f>
        <v>1.6721037083072523</v>
      </c>
      <c r="M424" s="8">
        <f ca="1">Transport_1_hub!BD359</f>
        <v>1.1063611731745631</v>
      </c>
      <c r="N424" s="8">
        <f ca="1">Transport_1_hub!BE359</f>
        <v>4.3867450900636396</v>
      </c>
      <c r="O424" s="8">
        <f ca="1">Transport_1_hub!BF359</f>
        <v>0.22039741145876612</v>
      </c>
      <c r="P424" s="8">
        <f ca="1">Transport_1_hub!BG359</f>
        <v>1.1106885967122462E-4</v>
      </c>
      <c r="Q424" s="8">
        <f ca="1">Transport_1_hub!BH359</f>
        <v>0.33409083098528508</v>
      </c>
      <c r="R424" s="8">
        <f ca="1">Transport_1_hub!BI359</f>
        <v>0.86063005388332081</v>
      </c>
      <c r="S424" s="8">
        <f ca="1">Transport_1_hub!BJ359</f>
        <v>0.15170984904856605</v>
      </c>
      <c r="T424" s="8">
        <f ca="1">Transport_1_hub!BK359</f>
        <v>1.3096554366366047E-2</v>
      </c>
      <c r="U424" s="8">
        <f ca="1">Transport_1_hub!BL359</f>
        <v>2.7641904058918296</v>
      </c>
      <c r="V424" s="9">
        <f ca="1">Transport_1_hub!BM359</f>
        <v>0.86903196406540806</v>
      </c>
      <c r="AG424" s="42"/>
      <c r="AL424" s="42"/>
    </row>
    <row r="425" spans="2:38" x14ac:dyDescent="0.25">
      <c r="B425" s="40">
        <f>Transport_1_hub!W360+Transport_1_hub!L360</f>
        <v>6550.3882720429374</v>
      </c>
      <c r="C425" s="8">
        <f>Transport_1_hub!AT360</f>
        <v>883.90706193851622</v>
      </c>
      <c r="D425" s="8">
        <f ca="1">Transport_1_hub!AU360</f>
        <v>8645.6765246584982</v>
      </c>
      <c r="E425" s="8">
        <f ca="1">Transport_1_hub!AV360</f>
        <v>3.6305358459079944</v>
      </c>
      <c r="F425" s="8">
        <f ca="1">Transport_1_hub!AW360</f>
        <v>883.50574507451631</v>
      </c>
      <c r="G425" s="8">
        <f ca="1">Transport_1_hub!AX360</f>
        <v>200.2097782813658</v>
      </c>
      <c r="H425" s="8">
        <f ca="1">Transport_1_hub!AY360</f>
        <v>1.4696082916113062</v>
      </c>
      <c r="I425" s="8">
        <f ca="1">Transport_1_hub!AZ360</f>
        <v>4.4786660636872186E-2</v>
      </c>
      <c r="J425" s="8">
        <f ca="1">Transport_1_hub!BA360</f>
        <v>39.419960407559671</v>
      </c>
      <c r="K425" s="8">
        <f ca="1">Transport_1_hub!BB360</f>
        <v>42.299695518208459</v>
      </c>
      <c r="L425" s="8">
        <f ca="1">Transport_1_hub!BC360</f>
        <v>1.276461180173422</v>
      </c>
      <c r="M425" s="8">
        <f ca="1">Transport_1_hub!BD360</f>
        <v>0.98428480445055244</v>
      </c>
      <c r="N425" s="8">
        <f ca="1">Transport_1_hub!BE360</f>
        <v>3.6834802992956961</v>
      </c>
      <c r="O425" s="8">
        <f ca="1">Transport_1_hub!BF360</f>
        <v>0.19945635922577129</v>
      </c>
      <c r="P425" s="8">
        <f ca="1">Transport_1_hub!BG360</f>
        <v>9.9511476163620133E-5</v>
      </c>
      <c r="Q425" s="8">
        <f ca="1">Transport_1_hub!BH360</f>
        <v>0.28857846412056803</v>
      </c>
      <c r="R425" s="8">
        <f ca="1">Transport_1_hub!BI360</f>
        <v>0.74708615744694939</v>
      </c>
      <c r="S425" s="8">
        <f ca="1">Transport_1_hub!BJ360</f>
        <v>0.10372157960849009</v>
      </c>
      <c r="T425" s="8">
        <f ca="1">Transport_1_hub!BK360</f>
        <v>1.157472065759008E-2</v>
      </c>
      <c r="U425" s="8">
        <f ca="1">Transport_1_hub!BL360</f>
        <v>2.2034633687257843</v>
      </c>
      <c r="V425" s="9">
        <f ca="1">Transport_1_hub!BM360</f>
        <v>0.75140889024140123</v>
      </c>
      <c r="AG425" s="42"/>
      <c r="AL425" s="42"/>
    </row>
    <row r="426" spans="2:38" x14ac:dyDescent="0.25">
      <c r="B426" s="40">
        <f>Transport_1_hub!W361+Transport_1_hub!L361</f>
        <v>12967.941515537303</v>
      </c>
      <c r="C426" s="8">
        <f>Transport_1_hub!AT361</f>
        <v>1651.5176930336404</v>
      </c>
      <c r="D426" s="8">
        <f>Transport_1_hub!AU361</f>
        <v>15701.674462358322</v>
      </c>
      <c r="E426" s="8">
        <f>Transport_1_hub!AV361</f>
        <v>4.7385858146109987</v>
      </c>
      <c r="F426" s="8">
        <f>Transport_1_hub!AW361</f>
        <v>1651.2465171936403</v>
      </c>
      <c r="G426" s="8">
        <f>Transport_1_hub!AX361</f>
        <v>369.5834686134753</v>
      </c>
      <c r="H426" s="8">
        <f>Transport_1_hub!AY361</f>
        <v>2.4397903687440232</v>
      </c>
      <c r="I426" s="8">
        <f>Transport_1_hub!AZ361</f>
        <v>2.4900582330772608E-2</v>
      </c>
      <c r="J426" s="8">
        <f>Transport_1_hub!BA361</f>
        <v>38.36395164660383</v>
      </c>
      <c r="K426" s="8">
        <f>Transport_1_hub!BB361</f>
        <v>72.478585172329474</v>
      </c>
      <c r="L426" s="8">
        <f>Transport_1_hub!BC361</f>
        <v>2.0187603049277225</v>
      </c>
      <c r="M426" s="8">
        <f>Transport_1_hub!BD361</f>
        <v>1.9163008356603739</v>
      </c>
      <c r="N426" s="8">
        <f>Transport_1_hub!BE361</f>
        <v>6.6859539584909333</v>
      </c>
      <c r="O426" s="8">
        <f>Transport_1_hub!BF361</f>
        <v>0.38028062826603026</v>
      </c>
      <c r="P426" s="8">
        <f>Transport_1_hub!BG361</f>
        <v>1.8814826651925292E-4</v>
      </c>
      <c r="Q426" s="8">
        <f>Transport_1_hub!BH361</f>
        <v>0.45958819172848786</v>
      </c>
      <c r="R426" s="8">
        <f>Transport_1_hub!BI361</f>
        <v>1.1207590832723398</v>
      </c>
      <c r="S426" s="8">
        <f>Transport_1_hub!BJ361</f>
        <v>7.0273547975260447E-2</v>
      </c>
      <c r="T426" s="8">
        <f>Transport_1_hub!BK361</f>
        <v>2.1544415215260446E-2</v>
      </c>
      <c r="U426" s="8">
        <f>Transport_1_hub!BL361</f>
        <v>2.734583716188026</v>
      </c>
      <c r="V426" s="9">
        <f>Transport_1_hub!BM361</f>
        <v>1.1989126055090951</v>
      </c>
      <c r="AG426" s="42"/>
      <c r="AL426" s="42"/>
    </row>
    <row r="427" spans="2:38" x14ac:dyDescent="0.25">
      <c r="B427" s="40">
        <f>Transport_1_hub!W362+Transport_1_hub!L362</f>
        <v>10942.545727469516</v>
      </c>
      <c r="C427" s="8">
        <f>Transport_1_hub!AT362</f>
        <v>1410.2596414304514</v>
      </c>
      <c r="D427" s="8">
        <f>Transport_1_hub!AU362</f>
        <v>13373.766183992722</v>
      </c>
      <c r="E427" s="8">
        <f>Transport_1_hub!AV362</f>
        <v>3.9945587712719606</v>
      </c>
      <c r="F427" s="8">
        <f>Transport_1_hub!AW362</f>
        <v>1410.1767929504513</v>
      </c>
      <c r="G427" s="8">
        <f>Transport_1_hub!AX362</f>
        <v>314.9498716911948</v>
      </c>
      <c r="H427" s="8">
        <f>Transport_1_hub!AY362</f>
        <v>1.503406085575109</v>
      </c>
      <c r="I427" s="8">
        <f>Transport_1_hub!AZ362</f>
        <v>2.0241888293094441E-2</v>
      </c>
      <c r="J427" s="8">
        <f>Transport_1_hub!BA362</f>
        <v>30.967223144770465</v>
      </c>
      <c r="K427" s="8">
        <f>Transport_1_hub!BB362</f>
        <v>61.868383817687672</v>
      </c>
      <c r="L427" s="8">
        <f>Transport_1_hub!BC362</f>
        <v>1.2209722155908445</v>
      </c>
      <c r="M427" s="8">
        <f>Transport_1_hub!BD362</f>
        <v>1.6386262460086845</v>
      </c>
      <c r="N427" s="8">
        <f>Transport_1_hub!BE362</f>
        <v>4.9951518130128303</v>
      </c>
      <c r="O427" s="8">
        <f>Transport_1_hub!BF362</f>
        <v>0.32871911451808383</v>
      </c>
      <c r="P427" s="8">
        <f>Transport_1_hub!BG362</f>
        <v>1.6059518384085598E-4</v>
      </c>
      <c r="Q427" s="8">
        <f>Transport_1_hub!BH362</f>
        <v>0.38667103403437031</v>
      </c>
      <c r="R427" s="8">
        <f>Transport_1_hub!BI362</f>
        <v>0.95513128235600742</v>
      </c>
      <c r="S427" s="8">
        <f>Transport_1_hub!BJ362</f>
        <v>3.1936820742836013E-2</v>
      </c>
      <c r="T427" s="8">
        <f>Transport_1_hub!BK362</f>
        <v>1.7049305022836012E-2</v>
      </c>
      <c r="U427" s="8">
        <f>Transport_1_hub!BL362</f>
        <v>2.1030945047880412</v>
      </c>
      <c r="V427" s="9">
        <f>Transport_1_hub!BM362</f>
        <v>1.0127290863192049</v>
      </c>
      <c r="AG427" s="42"/>
      <c r="AL427" s="42"/>
    </row>
    <row r="428" spans="2:38" x14ac:dyDescent="0.25">
      <c r="B428" s="40">
        <f>Transport_1_hub!W363+Transport_1_hub!L363</f>
        <v>7533.0131639902647</v>
      </c>
      <c r="C428" s="8">
        <f>Transport_1_hub!AT363</f>
        <v>991.66506084662171</v>
      </c>
      <c r="D428" s="8">
        <f ca="1">Transport_1_hub!AU363</f>
        <v>9730.1802004797282</v>
      </c>
      <c r="E428" s="8">
        <f ca="1">Transport_1_hub!AV363</f>
        <v>4.2373814761237378</v>
      </c>
      <c r="F428" s="8">
        <f ca="1">Transport_1_hub!AW363</f>
        <v>991.11052491062173</v>
      </c>
      <c r="G428" s="8">
        <f ca="1">Transport_1_hub!AX363</f>
        <v>224.54639598235698</v>
      </c>
      <c r="H428" s="8">
        <f ca="1">Transport_1_hub!AY363</f>
        <v>1.8185518569847159</v>
      </c>
      <c r="I428" s="8">
        <f ca="1">Transport_1_hub!AZ363</f>
        <v>5.8034381804504272E-2</v>
      </c>
      <c r="J428" s="8">
        <f ca="1">Transport_1_hub!BA363</f>
        <v>48.719858667215291</v>
      </c>
      <c r="K428" s="8">
        <f ca="1">Transport_1_hub!BB363</f>
        <v>47.984180411108369</v>
      </c>
      <c r="L428" s="8">
        <f ca="1">Transport_1_hub!BC363</f>
        <v>1.5898526219072524</v>
      </c>
      <c r="M428" s="8">
        <f ca="1">Transport_1_hub!BD363</f>
        <v>1.1049929616795631</v>
      </c>
      <c r="N428" s="8">
        <f ca="1">Transport_1_hub!BE363</f>
        <v>4.2877423526636393</v>
      </c>
      <c r="O428" s="8">
        <f ca="1">Transport_1_hub!BF363</f>
        <v>0.22073047171986612</v>
      </c>
      <c r="P428" s="8">
        <f ca="1">Transport_1_hub!BG363</f>
        <v>1.1089212255332462E-4</v>
      </c>
      <c r="Q428" s="8">
        <f ca="1">Transport_1_hub!BH363</f>
        <v>0.32875430216528506</v>
      </c>
      <c r="R428" s="8">
        <f ca="1">Transport_1_hub!BI363</f>
        <v>0.84623323382332083</v>
      </c>
      <c r="S428" s="8">
        <f ca="1">Transport_1_hub!BJ363</f>
        <v>0.14029280690856605</v>
      </c>
      <c r="T428" s="8">
        <f ca="1">Transport_1_hub!BK363</f>
        <v>1.2965128304466046E-2</v>
      </c>
      <c r="U428" s="8">
        <f ca="1">Transport_1_hub!BL363</f>
        <v>2.6548342841918293</v>
      </c>
      <c r="V428" s="9">
        <f ca="1">Transport_1_hub!BM363</f>
        <v>0.85555624481540804</v>
      </c>
      <c r="AG428" s="42"/>
      <c r="AL428" s="42"/>
    </row>
    <row r="429" spans="2:38" x14ac:dyDescent="0.25">
      <c r="B429" s="40">
        <f>Transport_1_hub!W364+Transport_1_hub!L364</f>
        <v>7533.0131639902647</v>
      </c>
      <c r="C429" s="8">
        <f>Transport_1_hub!AT364</f>
        <v>991.66506084662171</v>
      </c>
      <c r="D429" s="8">
        <f ca="1">Transport_1_hub!AU364</f>
        <v>9730.1802004797282</v>
      </c>
      <c r="E429" s="8">
        <f ca="1">Transport_1_hub!AV364</f>
        <v>4.2373814761237378</v>
      </c>
      <c r="F429" s="8">
        <f ca="1">Transport_1_hub!AW364</f>
        <v>991.11052491062173</v>
      </c>
      <c r="G429" s="8">
        <f ca="1">Transport_1_hub!AX364</f>
        <v>224.54639598235698</v>
      </c>
      <c r="H429" s="8">
        <f ca="1">Transport_1_hub!AY364</f>
        <v>1.8185518569847159</v>
      </c>
      <c r="I429" s="8">
        <f ca="1">Transport_1_hub!AZ364</f>
        <v>5.8034381804504272E-2</v>
      </c>
      <c r="J429" s="8">
        <f ca="1">Transport_1_hub!BA364</f>
        <v>48.719858667215291</v>
      </c>
      <c r="K429" s="8">
        <f ca="1">Transport_1_hub!BB364</f>
        <v>47.984180411108369</v>
      </c>
      <c r="L429" s="8">
        <f ca="1">Transport_1_hub!BC364</f>
        <v>1.5898526219072524</v>
      </c>
      <c r="M429" s="8">
        <f ca="1">Transport_1_hub!BD364</f>
        <v>1.1049929616795631</v>
      </c>
      <c r="N429" s="8">
        <f ca="1">Transport_1_hub!BE364</f>
        <v>4.2877423526636393</v>
      </c>
      <c r="O429" s="8">
        <f ca="1">Transport_1_hub!BF364</f>
        <v>0.22073047171986612</v>
      </c>
      <c r="P429" s="8">
        <f ca="1">Transport_1_hub!BG364</f>
        <v>1.1089212255332462E-4</v>
      </c>
      <c r="Q429" s="8">
        <f ca="1">Transport_1_hub!BH364</f>
        <v>0.32875430216528506</v>
      </c>
      <c r="R429" s="8">
        <f ca="1">Transport_1_hub!BI364</f>
        <v>0.84623323382332083</v>
      </c>
      <c r="S429" s="8">
        <f ca="1">Transport_1_hub!BJ364</f>
        <v>0.14029280690856605</v>
      </c>
      <c r="T429" s="8">
        <f ca="1">Transport_1_hub!BK364</f>
        <v>1.2965128304466046E-2</v>
      </c>
      <c r="U429" s="8">
        <f ca="1">Transport_1_hub!BL364</f>
        <v>2.6548342841918293</v>
      </c>
      <c r="V429" s="9">
        <f ca="1">Transport_1_hub!BM364</f>
        <v>0.85555624481540804</v>
      </c>
      <c r="AG429" s="42"/>
      <c r="AL429" s="42"/>
    </row>
    <row r="430" spans="2:38" x14ac:dyDescent="0.25">
      <c r="B430" s="40">
        <f>Transport_1_hub!W365+Transport_1_hub!L365</f>
        <v>7533.0131639902647</v>
      </c>
      <c r="C430" s="8">
        <f>Transport_1_hub!AT365</f>
        <v>991.66506084662171</v>
      </c>
      <c r="D430" s="8">
        <f ca="1">Transport_1_hub!AU365</f>
        <v>9730.1802004797282</v>
      </c>
      <c r="E430" s="8">
        <f ca="1">Transport_1_hub!AV365</f>
        <v>4.2373814761237378</v>
      </c>
      <c r="F430" s="8">
        <f ca="1">Transport_1_hub!AW365</f>
        <v>991.11052491062173</v>
      </c>
      <c r="G430" s="8">
        <f ca="1">Transport_1_hub!AX365</f>
        <v>224.54639598235698</v>
      </c>
      <c r="H430" s="8">
        <f ca="1">Transport_1_hub!AY365</f>
        <v>1.8185518569847159</v>
      </c>
      <c r="I430" s="8">
        <f ca="1">Transport_1_hub!AZ365</f>
        <v>5.8034381804504272E-2</v>
      </c>
      <c r="J430" s="8">
        <f ca="1">Transport_1_hub!BA365</f>
        <v>48.719858667215291</v>
      </c>
      <c r="K430" s="8">
        <f ca="1">Transport_1_hub!BB365</f>
        <v>47.984180411108369</v>
      </c>
      <c r="L430" s="8">
        <f ca="1">Transport_1_hub!BC365</f>
        <v>1.5898526219072524</v>
      </c>
      <c r="M430" s="8">
        <f ca="1">Transport_1_hub!BD365</f>
        <v>1.1049929616795631</v>
      </c>
      <c r="N430" s="8">
        <f ca="1">Transport_1_hub!BE365</f>
        <v>4.2877423526636393</v>
      </c>
      <c r="O430" s="8">
        <f ca="1">Transport_1_hub!BF365</f>
        <v>0.22073047171986612</v>
      </c>
      <c r="P430" s="8">
        <f ca="1">Transport_1_hub!BG365</f>
        <v>1.1089212255332462E-4</v>
      </c>
      <c r="Q430" s="8">
        <f ca="1">Transport_1_hub!BH365</f>
        <v>0.32875430216528506</v>
      </c>
      <c r="R430" s="8">
        <f ca="1">Transport_1_hub!BI365</f>
        <v>0.84623323382332083</v>
      </c>
      <c r="S430" s="8">
        <f ca="1">Transport_1_hub!BJ365</f>
        <v>0.14029280690856605</v>
      </c>
      <c r="T430" s="8">
        <f ca="1">Transport_1_hub!BK365</f>
        <v>1.2965128304466046E-2</v>
      </c>
      <c r="U430" s="8">
        <f ca="1">Transport_1_hub!BL365</f>
        <v>2.6548342841918293</v>
      </c>
      <c r="V430" s="9">
        <f ca="1">Transport_1_hub!BM365</f>
        <v>0.85555624481540804</v>
      </c>
      <c r="AG430" s="42"/>
      <c r="AL430" s="42"/>
    </row>
    <row r="431" spans="2:38" x14ac:dyDescent="0.25">
      <c r="B431" s="40">
        <f>Transport_1_hub!W366+Transport_1_hub!L366</f>
        <v>6392.8297786039229</v>
      </c>
      <c r="C431" s="8">
        <f>Transport_1_hub!AT366</f>
        <v>880.72244749529921</v>
      </c>
      <c r="D431" s="8">
        <f ca="1">Transport_1_hub!AU366</f>
        <v>8419.5689075990704</v>
      </c>
      <c r="E431" s="8">
        <f ca="1">Transport_1_hub!AV366</f>
        <v>2.7589479657643357</v>
      </c>
      <c r="F431" s="8">
        <f ca="1">Transport_1_hub!AW366</f>
        <v>880.6924033352991</v>
      </c>
      <c r="G431" s="8">
        <f ca="1">Transport_1_hub!AX366</f>
        <v>197.92111823940462</v>
      </c>
      <c r="H431" s="8">
        <f ca="1">Transport_1_hub!AY366</f>
        <v>0.82078363732601656</v>
      </c>
      <c r="I431" s="8">
        <f ca="1">Transport_1_hub!AZ366</f>
        <v>1.5659156728871016E-2</v>
      </c>
      <c r="J431" s="8">
        <f ca="1">Transport_1_hub!BA366</f>
        <v>21.519878756498535</v>
      </c>
      <c r="K431" s="8">
        <f ca="1">Transport_1_hub!BB366</f>
        <v>39.456717761786081</v>
      </c>
      <c r="L431" s="8">
        <f ca="1">Transport_1_hub!BC366</f>
        <v>0.66920499850628301</v>
      </c>
      <c r="M431" s="8">
        <f ca="1">Transport_1_hub!BD366</f>
        <v>1.0026217243886058</v>
      </c>
      <c r="N431" s="8">
        <f ca="1">Transport_1_hub!BE366</f>
        <v>3.008491265658189</v>
      </c>
      <c r="O431" s="8">
        <f ca="1">Transport_1_hub!BF366</f>
        <v>0.20747034935645842</v>
      </c>
      <c r="P431" s="8">
        <f ca="1">Transport_1_hub!BG366</f>
        <v>1.0084515322923272E-4</v>
      </c>
      <c r="Q431" s="8">
        <f ca="1">Transport_1_hub!BH366</f>
        <v>0.25406837322661868</v>
      </c>
      <c r="R431" s="8">
        <f ca="1">Transport_1_hub!BI366</f>
        <v>0.65170717901911268</v>
      </c>
      <c r="S431" s="8">
        <f ca="1">Transport_1_hub!BJ366</f>
        <v>1.7722023996745922E-2</v>
      </c>
      <c r="T431" s="8">
        <f ca="1">Transport_1_hub!BK366</f>
        <v>1.0823547450745921E-2</v>
      </c>
      <c r="U431" s="8">
        <f ca="1">Transport_1_hub!BL366</f>
        <v>1.4046328198504268</v>
      </c>
      <c r="V431" s="9">
        <f ca="1">Transport_1_hub!BM366</f>
        <v>0.66492620463564511</v>
      </c>
      <c r="AG431" s="42"/>
      <c r="AL431" s="42"/>
    </row>
    <row r="432" spans="2:38" x14ac:dyDescent="0.25">
      <c r="B432" s="40">
        <f>Transport_1_hub!W367+Transport_1_hub!L367</f>
        <v>6697.5947786039233</v>
      </c>
      <c r="C432" s="8">
        <f>Transport_1_hub!AT367</f>
        <v>903.41585892529918</v>
      </c>
      <c r="D432" s="8">
        <f ca="1">Transport_1_hub!AU367</f>
        <v>8795.9808767800205</v>
      </c>
      <c r="E432" s="8">
        <f ca="1">Transport_1_hub!AV367</f>
        <v>3.538110164764336</v>
      </c>
      <c r="F432" s="8">
        <f ca="1">Transport_1_hub!AW367</f>
        <v>903.0737354052992</v>
      </c>
      <c r="G432" s="8">
        <f ca="1">Transport_1_hub!AX367</f>
        <v>204.24285863440463</v>
      </c>
      <c r="H432" s="8">
        <f ca="1">Transport_1_hub!AY367</f>
        <v>1.3814293313260166</v>
      </c>
      <c r="I432" s="8">
        <f ca="1">Transport_1_hub!AZ367</f>
        <v>4.0373464873871015E-2</v>
      </c>
      <c r="J432" s="8">
        <f ca="1">Transport_1_hub!BA367</f>
        <v>36.925444741498538</v>
      </c>
      <c r="K432" s="8">
        <f ca="1">Transport_1_hub!BB367</f>
        <v>42.694541121786081</v>
      </c>
      <c r="L432" s="8">
        <f ca="1">Transport_1_hub!BC367</f>
        <v>1.191450302506283</v>
      </c>
      <c r="M432" s="8">
        <f ca="1">Transport_1_hub!BD367</f>
        <v>1.0113090507136058</v>
      </c>
      <c r="N432" s="8">
        <f ca="1">Transport_1_hub!BE367</f>
        <v>3.6370995546581888</v>
      </c>
      <c r="O432" s="8">
        <f ca="1">Transport_1_hub!BF367</f>
        <v>0.20535561549795842</v>
      </c>
      <c r="P432" s="8">
        <f ca="1">Transport_1_hub!BG367</f>
        <v>1.0196732843573271E-4</v>
      </c>
      <c r="Q432" s="8">
        <f ca="1">Transport_1_hub!BH367</f>
        <v>0.28795214592661866</v>
      </c>
      <c r="R432" s="8">
        <f ca="1">Transport_1_hub!BI367</f>
        <v>0.74311839311911276</v>
      </c>
      <c r="S432" s="8">
        <f ca="1">Transport_1_hub!BJ367</f>
        <v>9.0213426896745927E-2</v>
      </c>
      <c r="T432" s="8">
        <f ca="1">Transport_1_hub!BK367</f>
        <v>1.1658024497245921E-2</v>
      </c>
      <c r="U432" s="8">
        <f ca="1">Transport_1_hub!BL367</f>
        <v>2.0989789193504267</v>
      </c>
      <c r="V432" s="9">
        <f ca="1">Transport_1_hub!BM367</f>
        <v>0.7504889783856451</v>
      </c>
      <c r="AG432" s="42"/>
      <c r="AL432" s="42"/>
    </row>
    <row r="433" spans="2:38" x14ac:dyDescent="0.25">
      <c r="B433" s="40">
        <f>Transport_1_hub!W368+Transport_1_hub!L368</f>
        <v>8093.7392400638464</v>
      </c>
      <c r="C433" s="8">
        <f>Transport_1_hub!AT368</f>
        <v>1152.6497029605089</v>
      </c>
      <c r="D433" s="8">
        <f>Transport_1_hub!AU368</f>
        <v>11526.829677442731</v>
      </c>
      <c r="E433" s="8">
        <f>Transport_1_hub!AV368</f>
        <v>4.7948364027026305</v>
      </c>
      <c r="F433" s="8">
        <f>Transport_1_hub!AW368</f>
        <v>1151.1931582605089</v>
      </c>
      <c r="G433" s="8">
        <f>Transport_1_hub!AX368</f>
        <v>269.17120782857813</v>
      </c>
      <c r="H433" s="8">
        <f>Transport_1_hub!AY368</f>
        <v>6.7937689026694494</v>
      </c>
      <c r="I433" s="8">
        <f>Transport_1_hub!AZ368</f>
        <v>3.0889005095228749E-2</v>
      </c>
      <c r="J433" s="8">
        <f>Transport_1_hub!BA368</f>
        <v>48.319464415781752</v>
      </c>
      <c r="K433" s="8">
        <f>Transport_1_hub!BB368</f>
        <v>53.526260717462414</v>
      </c>
      <c r="L433" s="8">
        <f>Transport_1_hub!BC368</f>
        <v>5.8493847866955591</v>
      </c>
      <c r="M433" s="8">
        <f>Transport_1_hub!BD368</f>
        <v>1.2109725895412247</v>
      </c>
      <c r="N433" s="8">
        <f>Transport_1_hub!BE368</f>
        <v>11.140880770838807</v>
      </c>
      <c r="O433" s="8">
        <f>Transport_1_hub!BF368</f>
        <v>0.23793744220317767</v>
      </c>
      <c r="P433" s="8">
        <f>Transport_1_hub!BG368</f>
        <v>1.3502478964717943E-4</v>
      </c>
      <c r="Q433" s="8">
        <f>Transport_1_hub!BH368</f>
        <v>0.42577613307493262</v>
      </c>
      <c r="R433" s="8">
        <f>Transport_1_hub!BI368</f>
        <v>1.0260336121193521</v>
      </c>
      <c r="S433" s="8">
        <f>Transport_1_hub!BJ368</f>
        <v>0.29098575758184159</v>
      </c>
      <c r="T433" s="8">
        <f>Transport_1_hub!BK368</f>
        <v>2.9250936156841545E-2</v>
      </c>
      <c r="U433" s="8">
        <f>Transport_1_hub!BL368</f>
        <v>4.391449145579621</v>
      </c>
      <c r="V433" s="9">
        <f>Transport_1_hub!BM368</f>
        <v>1.0680078267106388</v>
      </c>
      <c r="AG433" s="42"/>
      <c r="AL433" s="42"/>
    </row>
    <row r="434" spans="2:38" x14ac:dyDescent="0.25">
      <c r="B434" s="40">
        <f>Transport_1_hub!W369+Transport_1_hub!L369</f>
        <v>13124.277310286849</v>
      </c>
      <c r="C434" s="8">
        <f>Transport_1_hub!AT369</f>
        <v>1689.5603876360467</v>
      </c>
      <c r="D434" s="8">
        <f>Transport_1_hub!AU369</f>
        <v>16216.465656841894</v>
      </c>
      <c r="E434" s="8">
        <f>Transport_1_hub!AV369</f>
        <v>5.2272739969069999</v>
      </c>
      <c r="F434" s="8">
        <f>Transport_1_hub!AW369</f>
        <v>1688.8936659960468</v>
      </c>
      <c r="G434" s="8">
        <f>Transport_1_hub!AX369</f>
        <v>381.10033716841355</v>
      </c>
      <c r="H434" s="8">
        <f>Transport_1_hub!AY369</f>
        <v>4.0487421185078398</v>
      </c>
      <c r="I434" s="8">
        <f>Transport_1_hub!AZ369</f>
        <v>2.9263071346179587E-2</v>
      </c>
      <c r="J434" s="8">
        <f>Transport_1_hub!BA369</f>
        <v>45.390833868976813</v>
      </c>
      <c r="K434" s="8">
        <f>Transport_1_hub!BB369</f>
        <v>74.841771194513839</v>
      </c>
      <c r="L434" s="8">
        <f>Transport_1_hub!BC369</f>
        <v>3.4177004809581915</v>
      </c>
      <c r="M434" s="8">
        <f>Transport_1_hub!BD369</f>
        <v>1.9292687524563144</v>
      </c>
      <c r="N434" s="8">
        <f>Transport_1_hub!BE369</f>
        <v>8.7995067611783266</v>
      </c>
      <c r="O434" s="8">
        <f>Transport_1_hub!BF369</f>
        <v>0.38009514726139143</v>
      </c>
      <c r="P434" s="8">
        <f>Transport_1_hub!BG369</f>
        <v>1.9338048756748589E-4</v>
      </c>
      <c r="Q434" s="8">
        <f>Transport_1_hub!BH369</f>
        <v>0.49823780577406918</v>
      </c>
      <c r="R434" s="8">
        <f>Transport_1_hub!BI369</f>
        <v>1.2043653256607312</v>
      </c>
      <c r="S434" s="8">
        <f>Transport_1_hub!BJ369</f>
        <v>0.1460081655015405</v>
      </c>
      <c r="T434" s="8">
        <f>Transport_1_hub!BK369</f>
        <v>2.6201152791540484E-2</v>
      </c>
      <c r="U434" s="8">
        <f>Transport_1_hub!BL369</f>
        <v>3.5222481303505706</v>
      </c>
      <c r="V434" s="9">
        <f>Transport_1_hub!BM369</f>
        <v>1.2872108103057462</v>
      </c>
      <c r="AG434" s="42"/>
      <c r="AL434" s="42"/>
    </row>
    <row r="435" spans="2:38" x14ac:dyDescent="0.25">
      <c r="B435" s="40">
        <f>Transport_1_hub!W370+Transport_1_hub!L370</f>
        <v>8838.164030248101</v>
      </c>
      <c r="C435" s="8">
        <f>Transport_1_hub!AT370</f>
        <v>1257.8340270309575</v>
      </c>
      <c r="D435" s="8">
        <f>Transport_1_hub!AU370</f>
        <v>12661.275176513658</v>
      </c>
      <c r="E435" s="8">
        <f>Transport_1_hub!AV370</f>
        <v>5.4236322176863547</v>
      </c>
      <c r="F435" s="8">
        <f>Transport_1_hub!AW370</f>
        <v>1255.9968230909574</v>
      </c>
      <c r="G435" s="8">
        <f>Transport_1_hub!AX370</f>
        <v>295.33531931142534</v>
      </c>
      <c r="H435" s="8">
        <f>Transport_1_hub!AY370</f>
        <v>8.3944766216805728</v>
      </c>
      <c r="I435" s="8">
        <f>Transport_1_hub!AZ370</f>
        <v>3.5878747217344756E-2</v>
      </c>
      <c r="J435" s="8">
        <f>Transport_1_hub!BA370</f>
        <v>56.318355881478347</v>
      </c>
      <c r="K435" s="8">
        <f>Transport_1_hub!BB370</f>
        <v>58.709455286910497</v>
      </c>
      <c r="L435" s="8">
        <f>Transport_1_hub!BC370</f>
        <v>7.2361294433206549</v>
      </c>
      <c r="M435" s="8">
        <f>Transport_1_hub!BD370</f>
        <v>1.3063560694161145</v>
      </c>
      <c r="N435" s="8">
        <f>Transport_1_hub!BE370</f>
        <v>13.38487519282643</v>
      </c>
      <c r="O435" s="8">
        <f>Transport_1_hub!BF370</f>
        <v>0.25360639973806298</v>
      </c>
      <c r="P435" s="8">
        <f>Transport_1_hub!BG370</f>
        <v>1.4775121762470377E-4</v>
      </c>
      <c r="Q435" s="8">
        <f>Transport_1_hub!BH370</f>
        <v>0.47969221738166312</v>
      </c>
      <c r="R435" s="8">
        <f>Transport_1_hub!BI370</f>
        <v>1.1450551620871259</v>
      </c>
      <c r="S435" s="8">
        <f>Transport_1_hub!BJ370</f>
        <v>0.36456737986367516</v>
      </c>
      <c r="T435" s="8">
        <f>Transport_1_hub!BK370</f>
        <v>3.4429729328675135E-2</v>
      </c>
      <c r="U435" s="8">
        <f>Transport_1_hub!BL370</f>
        <v>5.2280045454449828</v>
      </c>
      <c r="V435" s="9">
        <f>Transport_1_hub!BM370</f>
        <v>1.1971462170392084</v>
      </c>
      <c r="AG435" s="42"/>
      <c r="AL435" s="42"/>
    </row>
    <row r="436" spans="2:38" x14ac:dyDescent="0.25">
      <c r="B436" s="40">
        <f>Transport_1_hub!W371+Transport_1_hub!L371</f>
        <v>6660.847743875328</v>
      </c>
      <c r="C436" s="8">
        <f>Transport_1_hub!AT371</f>
        <v>911.85130007408134</v>
      </c>
      <c r="D436" s="8">
        <f ca="1">Transport_1_hub!AU371</f>
        <v>8709.0055828422319</v>
      </c>
      <c r="E436" s="8">
        <f ca="1">Transport_1_hub!AV371</f>
        <v>2.8293774872398512</v>
      </c>
      <c r="F436" s="8">
        <f ca="1">Transport_1_hub!AW371</f>
        <v>911.82205565808124</v>
      </c>
      <c r="G436" s="8">
        <f ca="1">Transport_1_hub!AX371</f>
        <v>204.75839017671208</v>
      </c>
      <c r="H436" s="8">
        <f ca="1">Transport_1_hub!AY371</f>
        <v>0.84313246017597721</v>
      </c>
      <c r="I436" s="8">
        <f ca="1">Transport_1_hub!AZ371</f>
        <v>1.5955367519945932E-2</v>
      </c>
      <c r="J436" s="8">
        <f ca="1">Transport_1_hub!BA371</f>
        <v>22.040753011032397</v>
      </c>
      <c r="K436" s="8">
        <f ca="1">Transport_1_hub!BB371</f>
        <v>40.77011847226818</v>
      </c>
      <c r="L436" s="8">
        <f ca="1">Transport_1_hub!BC371</f>
        <v>0.68626202799871272</v>
      </c>
      <c r="M436" s="8">
        <f ca="1">Transport_1_hub!BD371</f>
        <v>1.0401782848920385</v>
      </c>
      <c r="N436" s="8">
        <f ca="1">Transport_1_hub!BE371</f>
        <v>3.1023054840237232</v>
      </c>
      <c r="O436" s="8">
        <f ca="1">Transport_1_hub!BF371</f>
        <v>0.21467766994543555</v>
      </c>
      <c r="P436" s="8">
        <f ca="1">Transport_1_hub!BG371</f>
        <v>1.0433787001792963E-4</v>
      </c>
      <c r="Q436" s="8">
        <f ca="1">Transport_1_hub!BH371</f>
        <v>0.2615797070549456</v>
      </c>
      <c r="R436" s="8">
        <f ca="1">Transport_1_hub!BI371</f>
        <v>0.66898866553362013</v>
      </c>
      <c r="S436" s="8">
        <f ca="1">Transport_1_hub!BJ371</f>
        <v>1.7852781841467855E-2</v>
      </c>
      <c r="T436" s="8">
        <f ca="1">Transport_1_hub!BK371</f>
        <v>1.1137935499367856E-2</v>
      </c>
      <c r="U436" s="8">
        <f ca="1">Transport_1_hub!BL371</f>
        <v>1.4385094474328082</v>
      </c>
      <c r="V436" s="9">
        <f ca="1">Transport_1_hub!BM371</f>
        <v>0.68476312770480785</v>
      </c>
      <c r="AG436" s="42"/>
      <c r="AL436" s="42"/>
    </row>
    <row r="437" spans="2:38" x14ac:dyDescent="0.25">
      <c r="B437" s="40">
        <f>Transport_1_hub!W372+Transport_1_hub!L372</f>
        <v>8223.6712400638462</v>
      </c>
      <c r="C437" s="8">
        <f>Transport_1_hub!AT372</f>
        <v>1196.8005965605089</v>
      </c>
      <c r="D437" s="8">
        <f>Transport_1_hub!AU372</f>
        <v>12170.779222303287</v>
      </c>
      <c r="E437" s="8">
        <f>Transport_1_hub!AV372</f>
        <v>5.4790063419026307</v>
      </c>
      <c r="F437" s="8">
        <f>Transport_1_hub!AW372</f>
        <v>1194.7697524205089</v>
      </c>
      <c r="G437" s="8">
        <f>Transport_1_hub!AX372</f>
        <v>283.45073462857812</v>
      </c>
      <c r="H437" s="8">
        <f>Transport_1_hub!AY372</f>
        <v>9.121370750669449</v>
      </c>
      <c r="I437" s="8">
        <f>Transport_1_hub!AZ372</f>
        <v>3.7094687347228747E-2</v>
      </c>
      <c r="J437" s="8">
        <f>Transport_1_hub!BA372</f>
        <v>58.32046038778175</v>
      </c>
      <c r="K437" s="8">
        <f>Transport_1_hub!BB372</f>
        <v>56.486111677462418</v>
      </c>
      <c r="L437" s="8">
        <f>Transport_1_hub!BC372</f>
        <v>7.8739852106955581</v>
      </c>
      <c r="M437" s="8">
        <f>Transport_1_hub!BD372</f>
        <v>1.2163009709292247</v>
      </c>
      <c r="N437" s="8">
        <f>Transport_1_hub!BE372</f>
        <v>14.175572562838806</v>
      </c>
      <c r="O437" s="8">
        <f>Transport_1_hub!BF372</f>
        <v>0.23510193616717767</v>
      </c>
      <c r="P437" s="8">
        <f>Transport_1_hub!BG372</f>
        <v>1.4137638553517941E-4</v>
      </c>
      <c r="Q437" s="8">
        <f>Transport_1_hub!BH372</f>
        <v>0.47918338235493263</v>
      </c>
      <c r="R437" s="8">
        <f>Transport_1_hub!BI372</f>
        <v>1.1411702552793521</v>
      </c>
      <c r="S437" s="8">
        <f>Transport_1_hub!BJ372</f>
        <v>0.40083286902184156</v>
      </c>
      <c r="T437" s="8">
        <f>Transport_1_hub!BK372</f>
        <v>3.5898906936841543E-2</v>
      </c>
      <c r="U437" s="8">
        <f>Transport_1_hub!BL372</f>
        <v>5.5223253007796202</v>
      </c>
      <c r="V437" s="9">
        <f>Transport_1_hub!BM372</f>
        <v>1.1890459813106389</v>
      </c>
      <c r="AG437" s="42"/>
      <c r="AL437" s="42"/>
    </row>
    <row r="438" spans="2:38" x14ac:dyDescent="0.25">
      <c r="B438" s="40">
        <f>Transport_1_hub!W373+Transport_1_hub!L373</f>
        <v>6725.7053997416178</v>
      </c>
      <c r="C438" s="8">
        <f>Transport_1_hub!AT373</f>
        <v>918.83545437727639</v>
      </c>
      <c r="D438" s="8">
        <f ca="1">Transport_1_hub!AU373</f>
        <v>8781.0383149036788</v>
      </c>
      <c r="E438" s="8">
        <f ca="1">Transport_1_hub!AV373</f>
        <v>2.8763557556810868</v>
      </c>
      <c r="F438" s="8">
        <f ca="1">Transport_1_hub!AW373</f>
        <v>918.79299216927643</v>
      </c>
      <c r="G438" s="8">
        <f ca="1">Transport_1_hub!AX373</f>
        <v>206.34986489982762</v>
      </c>
      <c r="H438" s="8">
        <f ca="1">Transport_1_hub!AY373</f>
        <v>0.87147173437518766</v>
      </c>
      <c r="I438" s="8">
        <f ca="1">Transport_1_hub!AZ373</f>
        <v>1.7071564214062911E-2</v>
      </c>
      <c r="J438" s="8">
        <f ca="1">Transport_1_hub!BA373</f>
        <v>22.801513918459733</v>
      </c>
      <c r="K438" s="8">
        <f ca="1">Transport_1_hub!BB373</f>
        <v>41.162542337218198</v>
      </c>
      <c r="L438" s="8">
        <f ca="1">Transport_1_hub!BC373</f>
        <v>0.71193386627635424</v>
      </c>
      <c r="M438" s="8">
        <f ca="1">Transport_1_hub!BD373</f>
        <v>1.0478071875337154</v>
      </c>
      <c r="N438" s="8">
        <f ca="1">Transport_1_hub!BE373</f>
        <v>3.1473606474878624</v>
      </c>
      <c r="O438" s="8">
        <f ca="1">Transport_1_hub!BF373</f>
        <v>0.21597912546708387</v>
      </c>
      <c r="P438" s="8">
        <f ca="1">Transport_1_hub!BG373</f>
        <v>1.0506055057124337E-4</v>
      </c>
      <c r="Q438" s="8">
        <f ca="1">Transport_1_hub!BH373</f>
        <v>0.26448239817427543</v>
      </c>
      <c r="R438" s="8">
        <f ca="1">Transport_1_hub!BI373</f>
        <v>0.67624364041984975</v>
      </c>
      <c r="S438" s="8">
        <f ca="1">Transport_1_hub!BJ373</f>
        <v>2.0984225120314552E-2</v>
      </c>
      <c r="T438" s="8">
        <f ca="1">Transport_1_hub!BK373</f>
        <v>1.1234425293014551E-2</v>
      </c>
      <c r="U438" s="8">
        <f ca="1">Transport_1_hub!BL373</f>
        <v>1.4748055411132241</v>
      </c>
      <c r="V438" s="9">
        <f ca="1">Transport_1_hub!BM373</f>
        <v>0.69226122328867556</v>
      </c>
      <c r="AG438" s="42"/>
      <c r="AL438" s="42"/>
    </row>
    <row r="439" spans="2:38" x14ac:dyDescent="0.25">
      <c r="B439" s="40">
        <f>Transport_1_hub!W374+Transport_1_hub!L374</f>
        <v>8451.6940302481016</v>
      </c>
      <c r="C439" s="8">
        <f>Transport_1_hub!AT374</f>
        <v>1126.5115210309575</v>
      </c>
      <c r="D439" s="8">
        <f>Transport_1_hub!AU374</f>
        <v>10745.910365672149</v>
      </c>
      <c r="E439" s="8">
        <f>Transport_1_hub!AV374</f>
        <v>3.3886357856863549</v>
      </c>
      <c r="F439" s="8">
        <f>Transport_1_hub!AW374</f>
        <v>1126.3825144909574</v>
      </c>
      <c r="G439" s="8">
        <f>Transport_1_hub!AX374</f>
        <v>252.86226631142534</v>
      </c>
      <c r="H439" s="8">
        <f>Transport_1_hub!AY374</f>
        <v>1.4712530416805725</v>
      </c>
      <c r="I439" s="8">
        <f>Transport_1_hub!AZ374</f>
        <v>1.7420553547344758E-2</v>
      </c>
      <c r="J439" s="8">
        <f>Transport_1_hub!BA374</f>
        <v>26.571373511478349</v>
      </c>
      <c r="K439" s="8">
        <f>Transport_1_hub!BB374</f>
        <v>49.905668686910495</v>
      </c>
      <c r="L439" s="8">
        <f>Transport_1_hub!BC374</f>
        <v>1.2141539033206554</v>
      </c>
      <c r="M439" s="8">
        <f>Transport_1_hub!BD374</f>
        <v>1.2905073211861144</v>
      </c>
      <c r="N439" s="8">
        <f>Transport_1_hub!BE374</f>
        <v>4.358481872826431</v>
      </c>
      <c r="O439" s="8">
        <f>Transport_1_hub!BF374</f>
        <v>0.26204033454806297</v>
      </c>
      <c r="P439" s="8">
        <f>Transport_1_hub!BG374</f>
        <v>1.2885901814470378E-4</v>
      </c>
      <c r="Q439" s="8">
        <f>Transport_1_hub!BH374</f>
        <v>0.32083758858166311</v>
      </c>
      <c r="R439" s="8">
        <f>Transport_1_hub!BI374</f>
        <v>0.80259250098712587</v>
      </c>
      <c r="S439" s="8">
        <f>Transport_1_hub!BJ374</f>
        <v>3.7837912463675141E-2</v>
      </c>
      <c r="T439" s="8">
        <f>Transport_1_hub!BK374</f>
        <v>1.4655991778675133E-2</v>
      </c>
      <c r="U439" s="8">
        <f>Transport_1_hub!BL374</f>
        <v>1.8643242534449826</v>
      </c>
      <c r="V439" s="9">
        <f>Transport_1_hub!BM374</f>
        <v>0.83713008853920834</v>
      </c>
      <c r="AG439" s="42"/>
      <c r="AL439" s="42"/>
    </row>
    <row r="440" spans="2:38" x14ac:dyDescent="0.25">
      <c r="B440" s="40">
        <f>Transport_1_hub!W375+Transport_1_hub!L375</f>
        <v>6796.3710244955973</v>
      </c>
      <c r="C440" s="8">
        <f>Transport_1_hub!AT375</f>
        <v>936.31556790541254</v>
      </c>
      <c r="D440" s="8">
        <f>Transport_1_hub!AU375</f>
        <v>8981.9511887967728</v>
      </c>
      <c r="E440" s="8">
        <f>Transport_1_hub!AV375</f>
        <v>2.9694580895904754</v>
      </c>
      <c r="F440" s="8">
        <f>Transport_1_hub!AW375</f>
        <v>936.16610560541255</v>
      </c>
      <c r="G440" s="8">
        <f>Transport_1_hub!AX375</f>
        <v>211.20110499588333</v>
      </c>
      <c r="H440" s="8">
        <f>Transport_1_hub!AY375</f>
        <v>1.4078743966491367</v>
      </c>
      <c r="I440" s="8">
        <f>Transport_1_hub!AZ375</f>
        <v>1.5428593749934185E-2</v>
      </c>
      <c r="J440" s="8">
        <f>Transport_1_hub!BA375</f>
        <v>23.471390575480182</v>
      </c>
      <c r="K440" s="8">
        <f>Transport_1_hub!BB375</f>
        <v>41.877080238233482</v>
      </c>
      <c r="L440" s="8">
        <f>Transport_1_hub!BC375</f>
        <v>1.1731357909856865</v>
      </c>
      <c r="M440" s="8">
        <f>Transport_1_hub!BD375</f>
        <v>1.0589572529594813</v>
      </c>
      <c r="N440" s="8">
        <f>Transport_1_hub!BE375</f>
        <v>3.8793934687648828</v>
      </c>
      <c r="O440" s="8">
        <f>Transport_1_hub!BF375</f>
        <v>0.21762547114708392</v>
      </c>
      <c r="P440" s="8">
        <f>Transport_1_hub!BG375</f>
        <v>1.0757846330664928E-4</v>
      </c>
      <c r="Q440" s="8">
        <f>Transport_1_hub!BH375</f>
        <v>0.27598336877418339</v>
      </c>
      <c r="R440" s="8">
        <f>Transport_1_hub!BI375</f>
        <v>0.69887005713352224</v>
      </c>
      <c r="S440" s="8">
        <f>Transport_1_hub!BJ375</f>
        <v>3.9800928036176908E-2</v>
      </c>
      <c r="T440" s="8">
        <f>Transport_1_hub!BK375</f>
        <v>1.2943195211176909E-2</v>
      </c>
      <c r="U440" s="8">
        <f>Transport_1_hub!BL375</f>
        <v>1.6850253967637869</v>
      </c>
      <c r="V440" s="9">
        <f>Transport_1_hub!BM375</f>
        <v>0.71795912864987255</v>
      </c>
      <c r="AG440" s="42"/>
      <c r="AL440" s="42"/>
    </row>
    <row r="441" spans="2:38" x14ac:dyDescent="0.25">
      <c r="B441" s="40">
        <f>Transport_1_hub!W376+Transport_1_hub!L376</f>
        <v>6757.6507786039228</v>
      </c>
      <c r="C441" s="8">
        <f>Transport_1_hub!AT376</f>
        <v>907.8877487972992</v>
      </c>
      <c r="D441" s="8">
        <f ca="1">Transport_1_hub!AU376</f>
        <v>8870.1553955769014</v>
      </c>
      <c r="E441" s="8">
        <f ca="1">Transport_1_hub!AV376</f>
        <v>3.6916493343643362</v>
      </c>
      <c r="F441" s="8">
        <f ca="1">Transport_1_hub!AW376</f>
        <v>907.48412793329919</v>
      </c>
      <c r="G441" s="8">
        <f ca="1">Transport_1_hub!AX376</f>
        <v>205.4886002424046</v>
      </c>
      <c r="H441" s="8">
        <f ca="1">Transport_1_hub!AY376</f>
        <v>1.4919083489260165</v>
      </c>
      <c r="I441" s="8">
        <f ca="1">Transport_1_hub!AZ376</f>
        <v>4.5243586081871012E-2</v>
      </c>
      <c r="J441" s="8">
        <f ca="1">Transport_1_hub!BA376</f>
        <v>39.961215485498535</v>
      </c>
      <c r="K441" s="8">
        <f ca="1">Transport_1_hub!BB376</f>
        <v>43.332576065786078</v>
      </c>
      <c r="L441" s="8">
        <f ca="1">Transport_1_hub!BC376</f>
        <v>1.2943622641062831</v>
      </c>
      <c r="M441" s="8">
        <f ca="1">Transport_1_hub!BD376</f>
        <v>1.0130209469936058</v>
      </c>
      <c r="N441" s="8">
        <f ca="1">Transport_1_hub!BE376</f>
        <v>3.7609710602581892</v>
      </c>
      <c r="O441" s="8">
        <f ca="1">Transport_1_hub!BF376</f>
        <v>0.20493889291955841</v>
      </c>
      <c r="P441" s="8">
        <f ca="1">Transport_1_hub!BG376</f>
        <v>1.0218846063333271E-4</v>
      </c>
      <c r="Q441" s="8">
        <f ca="1">Transport_1_hub!BH376</f>
        <v>0.29462917200661864</v>
      </c>
      <c r="R441" s="8">
        <f ca="1">Transport_1_hub!BI376</f>
        <v>0.76113158975911266</v>
      </c>
      <c r="S441" s="8">
        <f ca="1">Transport_1_hub!BJ376</f>
        <v>0.10449834705674592</v>
      </c>
      <c r="T441" s="8">
        <f ca="1">Transport_1_hub!BK376</f>
        <v>1.1822463830845922E-2</v>
      </c>
      <c r="U441" s="8">
        <f ca="1">Transport_1_hub!BL376</f>
        <v>2.2358045041504266</v>
      </c>
      <c r="V441" s="9">
        <f ca="1">Transport_1_hub!BM376</f>
        <v>0.76734970038564509</v>
      </c>
      <c r="AG441" s="42"/>
      <c r="AL441" s="42"/>
    </row>
    <row r="442" spans="2:38" x14ac:dyDescent="0.25">
      <c r="B442" s="40">
        <f>Transport_1_hub!W377+Transport_1_hub!L377</f>
        <v>6987.2042596288902</v>
      </c>
      <c r="C442" s="8">
        <f>Transport_1_hub!AT377</f>
        <v>946.33188603974838</v>
      </c>
      <c r="D442" s="8">
        <f ca="1">Transport_1_hub!AU377</f>
        <v>9073.8112383989865</v>
      </c>
      <c r="E442" s="8">
        <f ca="1">Transport_1_hub!AV377</f>
        <v>3.1016144288418404</v>
      </c>
      <c r="F442" s="8">
        <f ca="1">Transport_1_hub!AW377</f>
        <v>946.22006011974838</v>
      </c>
      <c r="G442" s="8">
        <f ca="1">Transport_1_hub!AX377</f>
        <v>212.68992964874076</v>
      </c>
      <c r="H442" s="8">
        <f ca="1">Transport_1_hub!AY377</f>
        <v>1.013207375065569</v>
      </c>
      <c r="I442" s="8">
        <f ca="1">Transport_1_hub!AZ377</f>
        <v>2.2823561620777259E-2</v>
      </c>
      <c r="J442" s="8">
        <f ca="1">Transport_1_hub!BA377</f>
        <v>26.629380425986461</v>
      </c>
      <c r="K442" s="8">
        <f ca="1">Transport_1_hub!BB377</f>
        <v>42.833956572689011</v>
      </c>
      <c r="L442" s="8">
        <f ca="1">Transport_1_hub!BC377</f>
        <v>0.84125365404363339</v>
      </c>
      <c r="M442" s="8">
        <f ca="1">Transport_1_hub!BD377</f>
        <v>1.0768151160805028</v>
      </c>
      <c r="N442" s="8">
        <f ca="1">Transport_1_hub!BE377</f>
        <v>3.3557904059405073</v>
      </c>
      <c r="O442" s="8">
        <f ca="1">Transport_1_hub!BF377</f>
        <v>0.22069497272787467</v>
      </c>
      <c r="P442" s="8">
        <f ca="1">Transport_1_hub!BG377</f>
        <v>1.0782697701942044E-4</v>
      </c>
      <c r="Q442" s="8">
        <f ca="1">Transport_1_hub!BH377</f>
        <v>0.27748485239255549</v>
      </c>
      <c r="R442" s="8">
        <f ca="1">Transport_1_hub!BI377</f>
        <v>0.70917511965474034</v>
      </c>
      <c r="S442" s="8">
        <f ca="1">Transport_1_hub!BJ377</f>
        <v>3.7324374189606241E-2</v>
      </c>
      <c r="T442" s="8">
        <f ca="1">Transport_1_hub!BK377</f>
        <v>1.1647887100106242E-2</v>
      </c>
      <c r="U442" s="8">
        <f ca="1">Transport_1_hub!BL377</f>
        <v>1.6548140834059415</v>
      </c>
      <c r="V442" s="9">
        <f ca="1">Transport_1_hub!BM377</f>
        <v>0.72572305306215024</v>
      </c>
      <c r="AG442" s="42"/>
      <c r="AL442" s="42"/>
    </row>
    <row r="443" spans="2:38" x14ac:dyDescent="0.25">
      <c r="B443" s="40">
        <f>Transport_1_hub!W378+Transport_1_hub!L378</f>
        <v>6677.4897438753278</v>
      </c>
      <c r="C443" s="8">
        <f>Transport_1_hub!AT378</f>
        <v>913.09049667808131</v>
      </c>
      <c r="D443" s="8">
        <f ca="1">Transport_1_hub!AU378</f>
        <v>8729.5599378078914</v>
      </c>
      <c r="E443" s="8">
        <f ca="1">Transport_1_hub!AV378</f>
        <v>2.8719244244398512</v>
      </c>
      <c r="F443" s="8">
        <f ca="1">Transport_1_hub!AW378</f>
        <v>913.04421085408126</v>
      </c>
      <c r="G443" s="8">
        <f ca="1">Transport_1_hub!AX378</f>
        <v>205.1035951827121</v>
      </c>
      <c r="H443" s="8">
        <f ca="1">Transport_1_hub!AY378</f>
        <v>0.87374708337597717</v>
      </c>
      <c r="I443" s="8">
        <f ca="1">Transport_1_hub!AZ378</f>
        <v>1.7304917225945932E-2</v>
      </c>
      <c r="J443" s="8">
        <f ca="1">Transport_1_hub!BA378</f>
        <v>22.881989469032398</v>
      </c>
      <c r="K443" s="8">
        <f ca="1">Transport_1_hub!BB378</f>
        <v>40.946923080268178</v>
      </c>
      <c r="L443" s="8">
        <f ca="1">Transport_1_hub!BC378</f>
        <v>0.71477975919871273</v>
      </c>
      <c r="M443" s="8">
        <f ca="1">Transport_1_hub!BD378</f>
        <v>1.0406526651020385</v>
      </c>
      <c r="N443" s="8">
        <f ca="1">Transport_1_hub!BE378</f>
        <v>3.1366312732237231</v>
      </c>
      <c r="O443" s="8">
        <f ca="1">Transport_1_hub!BF378</f>
        <v>0.21456219277163555</v>
      </c>
      <c r="P443" s="8">
        <f ca="1">Transport_1_hub!BG378</f>
        <v>1.0439914752612965E-4</v>
      </c>
      <c r="Q443" s="8">
        <f ca="1">Transport_1_hub!BH378</f>
        <v>0.26342996461494556</v>
      </c>
      <c r="R443" s="8">
        <f ca="1">Transport_1_hub!BI378</f>
        <v>0.67398026701362013</v>
      </c>
      <c r="S443" s="8">
        <f ca="1">Transport_1_hub!BJ378</f>
        <v>2.1811247961467856E-2</v>
      </c>
      <c r="T443" s="8">
        <f ca="1">Transport_1_hub!BK378</f>
        <v>1.1183502959567855E-2</v>
      </c>
      <c r="U443" s="8">
        <f ca="1">Transport_1_hub!BL378</f>
        <v>1.4764249160328082</v>
      </c>
      <c r="V443" s="9">
        <f ca="1">Transport_1_hub!BM378</f>
        <v>0.68943536920480786</v>
      </c>
      <c r="AG443" s="42"/>
      <c r="AL443" s="42"/>
    </row>
    <row r="444" spans="2:38" x14ac:dyDescent="0.25">
      <c r="B444" s="40">
        <f>Transport_1_hub!W379+Transport_1_hub!L379</f>
        <v>4980.199387865332</v>
      </c>
      <c r="C444" s="8">
        <f>Transport_1_hub!AT379</f>
        <v>720.1833401602745</v>
      </c>
      <c r="D444" s="8">
        <f>Transport_1_hub!AU379</f>
        <v>6932.8202276428865</v>
      </c>
      <c r="E444" s="8">
        <f>Transport_1_hub!AV379</f>
        <v>2.3719796441010432</v>
      </c>
      <c r="F444" s="8">
        <f>Transport_1_hub!AW379</f>
        <v>720.12664482027446</v>
      </c>
      <c r="G444" s="8">
        <f>Transport_1_hub!AX379</f>
        <v>162.98904220011619</v>
      </c>
      <c r="H444" s="8">
        <f>Transport_1_hub!AY379</f>
        <v>0.8725123426061504</v>
      </c>
      <c r="I444" s="8">
        <f>Transport_1_hub!AZ379</f>
        <v>1.2018433151059512E-2</v>
      </c>
      <c r="J444" s="8">
        <f>Transport_1_hub!BA379</f>
        <v>18.109821522239525</v>
      </c>
      <c r="K444" s="8">
        <f>Transport_1_hub!BB379</f>
        <v>32.547309874260385</v>
      </c>
      <c r="L444" s="8">
        <f>Transport_1_hub!BC379</f>
        <v>0.72283355347439338</v>
      </c>
      <c r="M444" s="8">
        <f>Transport_1_hub!BD379</f>
        <v>0.80683771379037694</v>
      </c>
      <c r="N444" s="8">
        <f>Transport_1_hub!BE379</f>
        <v>2.7500368011099208</v>
      </c>
      <c r="O444" s="8">
        <f>Transport_1_hub!BF379</f>
        <v>0.16984431779468234</v>
      </c>
      <c r="P444" s="8">
        <f>Transport_1_hub!BG379</f>
        <v>8.3137005891811724E-5</v>
      </c>
      <c r="Q444" s="8">
        <f>Transport_1_hub!BH379</f>
        <v>0.21646549285370492</v>
      </c>
      <c r="R444" s="8">
        <f>Transport_1_hub!BI379</f>
        <v>0.56298708601219005</v>
      </c>
      <c r="S444" s="8">
        <f>Transport_1_hub!BJ379</f>
        <v>1.9938790878343247E-2</v>
      </c>
      <c r="T444" s="8">
        <f>Transport_1_hub!BK379</f>
        <v>9.7508819933432456E-3</v>
      </c>
      <c r="U444" s="8">
        <f>Transport_1_hub!BL379</f>
        <v>1.2636801972787413</v>
      </c>
      <c r="V444" s="9">
        <f>Transport_1_hub!BM379</f>
        <v>0.56413095456536377</v>
      </c>
      <c r="AG444" s="42"/>
      <c r="AL444" s="42"/>
    </row>
    <row r="445" spans="2:38" x14ac:dyDescent="0.25">
      <c r="B445" s="40">
        <f>Transport_1_hub!W380+Transport_1_hub!L380</f>
        <v>8178.5082400638466</v>
      </c>
      <c r="C445" s="8">
        <f>Transport_1_hub!AT380</f>
        <v>1181.4542091605088</v>
      </c>
      <c r="D445" s="8">
        <f>Transport_1_hub!AU380</f>
        <v>11946.949116597707</v>
      </c>
      <c r="E445" s="8">
        <f>Transport_1_hub!AV380</f>
        <v>5.2411960491026308</v>
      </c>
      <c r="F445" s="8">
        <f>Transport_1_hub!AW380</f>
        <v>1179.6229854805088</v>
      </c>
      <c r="G445" s="8">
        <f>Transport_1_hub!AX380</f>
        <v>278.48732092857813</v>
      </c>
      <c r="H445" s="8">
        <f>Transport_1_hub!AY380</f>
        <v>8.3123207686694496</v>
      </c>
      <c r="I445" s="8">
        <f>Transport_1_hub!AZ380</f>
        <v>3.493765730422875E-2</v>
      </c>
      <c r="J445" s="8">
        <f>Transport_1_hub!BA380</f>
        <v>54.844219114781751</v>
      </c>
      <c r="K445" s="8">
        <f>Transport_1_hub!BB380</f>
        <v>55.457298537462414</v>
      </c>
      <c r="L445" s="8">
        <f>Transport_1_hub!BC380</f>
        <v>7.1702553446955584</v>
      </c>
      <c r="M445" s="8">
        <f>Transport_1_hub!BD380</f>
        <v>1.2144488814622245</v>
      </c>
      <c r="N445" s="8">
        <f>Transport_1_hub!BE380</f>
        <v>13.120745534838807</v>
      </c>
      <c r="O445" s="8">
        <f>Transport_1_hub!BF380</f>
        <v>0.23608752831617766</v>
      </c>
      <c r="P445" s="8">
        <f>Transport_1_hub!BG380</f>
        <v>1.3916863744317941E-4</v>
      </c>
      <c r="Q445" s="8">
        <f>Transport_1_hub!BH380</f>
        <v>0.46061958283493259</v>
      </c>
      <c r="R445" s="8">
        <f>Transport_1_hub!BI380</f>
        <v>1.101149966089352</v>
      </c>
      <c r="S445" s="8">
        <f>Transport_1_hub!BJ380</f>
        <v>0.36265116556184157</v>
      </c>
      <c r="T445" s="8">
        <f>Transport_1_hub!BK380</f>
        <v>3.3588142041841546E-2</v>
      </c>
      <c r="U445" s="8">
        <f>Transport_1_hub!BL380</f>
        <v>5.1292446139796208</v>
      </c>
      <c r="V445" s="9">
        <f>Transport_1_hub!BM380</f>
        <v>1.1469743886606389</v>
      </c>
      <c r="AG445" s="42"/>
      <c r="AL445" s="42"/>
    </row>
    <row r="446" spans="2:38" x14ac:dyDescent="0.25">
      <c r="B446" s="40">
        <f>Transport_1_hub!W381+Transport_1_hub!L381</f>
        <v>7522.4561639902649</v>
      </c>
      <c r="C446" s="8">
        <f>Transport_1_hub!AT381</f>
        <v>990.87896551262168</v>
      </c>
      <c r="D446" s="8">
        <f ca="1">Transport_1_hub!AU381</f>
        <v>9717.1413634786186</v>
      </c>
      <c r="E446" s="8">
        <f ca="1">Transport_1_hub!AV381</f>
        <v>4.2103914499237378</v>
      </c>
      <c r="F446" s="8">
        <f ca="1">Transport_1_hub!AW381</f>
        <v>990.33523994462166</v>
      </c>
      <c r="G446" s="8">
        <f ca="1">Transport_1_hub!AX381</f>
        <v>224.32741213135699</v>
      </c>
      <c r="H446" s="8">
        <f ca="1">Transport_1_hub!AY381</f>
        <v>1.7991311997847159</v>
      </c>
      <c r="I446" s="8">
        <f ca="1">Transport_1_hub!AZ381</f>
        <v>5.717828300350427E-2</v>
      </c>
      <c r="J446" s="8">
        <f ca="1">Transport_1_hub!BA381</f>
        <v>48.186212874215286</v>
      </c>
      <c r="K446" s="8">
        <f ca="1">Transport_1_hub!BB381</f>
        <v>47.872022843108368</v>
      </c>
      <c r="L446" s="8">
        <f ca="1">Transport_1_hub!BC381</f>
        <v>1.5717621467072522</v>
      </c>
      <c r="M446" s="8">
        <f ca="1">Transport_1_hub!BD381</f>
        <v>1.104692034394563</v>
      </c>
      <c r="N446" s="8">
        <f ca="1">Transport_1_hub!BE381</f>
        <v>4.2659674844636397</v>
      </c>
      <c r="O446" s="8">
        <f ca="1">Transport_1_hub!BF381</f>
        <v>0.22080372568716611</v>
      </c>
      <c r="P446" s="8">
        <f ca="1">Transport_1_hub!BG381</f>
        <v>1.1085325062362461E-4</v>
      </c>
      <c r="Q446" s="8">
        <f ca="1">Transport_1_hub!BH381</f>
        <v>0.32758057490528508</v>
      </c>
      <c r="R446" s="8">
        <f ca="1">Transport_1_hub!BI381</f>
        <v>0.84306676724332075</v>
      </c>
      <c r="S446" s="8">
        <f ca="1">Transport_1_hub!BJ381</f>
        <v>0.13778171888856605</v>
      </c>
      <c r="T446" s="8">
        <f ca="1">Transport_1_hub!BK381</f>
        <v>1.2936222182766046E-2</v>
      </c>
      <c r="U446" s="8">
        <f ca="1">Transport_1_hub!BL381</f>
        <v>2.6307822710918294</v>
      </c>
      <c r="V446" s="9">
        <f ca="1">Transport_1_hub!BM381</f>
        <v>0.85259236706540809</v>
      </c>
      <c r="AG446" s="42"/>
      <c r="AL446" s="42"/>
    </row>
    <row r="447" spans="2:38" x14ac:dyDescent="0.25">
      <c r="B447" s="40">
        <f>Transport_1_hub!W382+Transport_1_hub!L382</f>
        <v>7522.4561639902649</v>
      </c>
      <c r="C447" s="8">
        <f>Transport_1_hub!AT382</f>
        <v>990.87896551262168</v>
      </c>
      <c r="D447" s="8">
        <f ca="1">Transport_1_hub!AU382</f>
        <v>9717.1413634786186</v>
      </c>
      <c r="E447" s="8">
        <f ca="1">Transport_1_hub!AV382</f>
        <v>4.2103914499237378</v>
      </c>
      <c r="F447" s="8">
        <f ca="1">Transport_1_hub!AW382</f>
        <v>990.33523994462166</v>
      </c>
      <c r="G447" s="8">
        <f ca="1">Transport_1_hub!AX382</f>
        <v>224.32741213135699</v>
      </c>
      <c r="H447" s="8">
        <f ca="1">Transport_1_hub!AY382</f>
        <v>1.7991311997847159</v>
      </c>
      <c r="I447" s="8">
        <f ca="1">Transport_1_hub!AZ382</f>
        <v>5.717828300350427E-2</v>
      </c>
      <c r="J447" s="8">
        <f ca="1">Transport_1_hub!BA382</f>
        <v>48.186212874215286</v>
      </c>
      <c r="K447" s="8">
        <f ca="1">Transport_1_hub!BB382</f>
        <v>47.872022843108368</v>
      </c>
      <c r="L447" s="8">
        <f ca="1">Transport_1_hub!BC382</f>
        <v>1.5717621467072522</v>
      </c>
      <c r="M447" s="8">
        <f ca="1">Transport_1_hub!BD382</f>
        <v>1.104692034394563</v>
      </c>
      <c r="N447" s="8">
        <f ca="1">Transport_1_hub!BE382</f>
        <v>4.2659674844636397</v>
      </c>
      <c r="O447" s="8">
        <f ca="1">Transport_1_hub!BF382</f>
        <v>0.22080372568716611</v>
      </c>
      <c r="P447" s="8">
        <f ca="1">Transport_1_hub!BG382</f>
        <v>1.1085325062362461E-4</v>
      </c>
      <c r="Q447" s="8">
        <f ca="1">Transport_1_hub!BH382</f>
        <v>0.32758057490528508</v>
      </c>
      <c r="R447" s="8">
        <f ca="1">Transport_1_hub!BI382</f>
        <v>0.84306676724332075</v>
      </c>
      <c r="S447" s="8">
        <f ca="1">Transport_1_hub!BJ382</f>
        <v>0.13778171888856605</v>
      </c>
      <c r="T447" s="8">
        <f ca="1">Transport_1_hub!BK382</f>
        <v>1.2936222182766046E-2</v>
      </c>
      <c r="U447" s="8">
        <f ca="1">Transport_1_hub!BL382</f>
        <v>2.6307822710918294</v>
      </c>
      <c r="V447" s="9">
        <f ca="1">Transport_1_hub!BM382</f>
        <v>0.85259236706540809</v>
      </c>
      <c r="AG447" s="42"/>
      <c r="AL447" s="42"/>
    </row>
    <row r="448" spans="2:38" x14ac:dyDescent="0.25">
      <c r="B448" s="40">
        <f>Transport_1_hub!W383+Transport_1_hub!L383</f>
        <v>7678.7783952421069</v>
      </c>
      <c r="C448" s="8">
        <f>Transport_1_hub!AT383</f>
        <v>1014.8666746459164</v>
      </c>
      <c r="D448" s="8">
        <f ca="1">Transport_1_hub!AU383</f>
        <v>9863.1528043404178</v>
      </c>
      <c r="E448" s="8">
        <f ca="1">Transport_1_hub!AV383</f>
        <v>3.9249184189430366</v>
      </c>
      <c r="F448" s="8">
        <f ca="1">Transport_1_hub!AW383</f>
        <v>1014.4694271579165</v>
      </c>
      <c r="G448" s="8">
        <f ca="1">Transport_1_hub!AX383</f>
        <v>228.97548267248087</v>
      </c>
      <c r="H448" s="8">
        <f ca="1">Transport_1_hub!AY383</f>
        <v>1.5624069527929603</v>
      </c>
      <c r="I448" s="8">
        <f ca="1">Transport_1_hub!AZ383</f>
        <v>4.5977921467485985E-2</v>
      </c>
      <c r="J448" s="8">
        <f ca="1">Transport_1_hub!BA383</f>
        <v>41.579022143374317</v>
      </c>
      <c r="K448" s="8">
        <f ca="1">Transport_1_hub!BB383</f>
        <v>47.821094391652181</v>
      </c>
      <c r="L448" s="8">
        <f ca="1">Transport_1_hub!BC383</f>
        <v>1.3470737460221143</v>
      </c>
      <c r="M448" s="8">
        <f ca="1">Transport_1_hub!BD383</f>
        <v>1.1424294335087672</v>
      </c>
      <c r="N448" s="8">
        <f ca="1">Transport_1_hub!BE383</f>
        <v>4.0769571535796709</v>
      </c>
      <c r="O448" s="8">
        <f ca="1">Transport_1_hub!BF383</f>
        <v>0.22979873187591293</v>
      </c>
      <c r="P448" s="8">
        <f ca="1">Transport_1_hub!BG383</f>
        <v>1.1421047793581924E-4</v>
      </c>
      <c r="Q448" s="8">
        <f ca="1">Transport_1_hub!BH383</f>
        <v>0.32012003817757095</v>
      </c>
      <c r="R448" s="8">
        <f ca="1">Transport_1_hub!BI383</f>
        <v>0.8196299150957983</v>
      </c>
      <c r="S448" s="8">
        <f ca="1">Transport_1_hub!BJ383</f>
        <v>0.10410897032654469</v>
      </c>
      <c r="T448" s="8">
        <f ca="1">Transport_1_hub!BK383</f>
        <v>1.289648580624469E-2</v>
      </c>
      <c r="U448" s="8">
        <f ca="1">Transport_1_hub!BL383</f>
        <v>2.3445231868253549</v>
      </c>
      <c r="V448" s="9">
        <f ca="1">Transport_1_hub!BM383</f>
        <v>0.83472651203786963</v>
      </c>
      <c r="AG448" s="42"/>
      <c r="AL448" s="42"/>
    </row>
    <row r="449" spans="2:38" x14ac:dyDescent="0.25">
      <c r="B449" s="130">
        <f>Transport_1_hub!W384+Transport_1_hub!L384</f>
        <v>10173.098638067957</v>
      </c>
      <c r="C449" s="10">
        <f>Transport_1_hub!AT384</f>
        <v>1322.5490157698102</v>
      </c>
      <c r="D449" s="10">
        <f>Transport_1_hub!AU384</f>
        <v>12559.38723994895</v>
      </c>
      <c r="E449" s="10">
        <f>Transport_1_hub!AV384</f>
        <v>3.8030963727653062</v>
      </c>
      <c r="F449" s="10">
        <f>Transport_1_hub!AW384</f>
        <v>1322.4563548898102</v>
      </c>
      <c r="G449" s="10">
        <f>Transport_1_hub!AX384</f>
        <v>295.7161648481129</v>
      </c>
      <c r="H449" s="10">
        <f>Transport_1_hub!AY384</f>
        <v>1.4756609514109558</v>
      </c>
      <c r="I449" s="10">
        <f>Transport_1_hub!AZ384</f>
        <v>1.9325083402174571E-2</v>
      </c>
      <c r="J449" s="10">
        <f>Transport_1_hub!BA384</f>
        <v>29.534788581553379</v>
      </c>
      <c r="K449" s="10">
        <f>Transport_1_hub!BB384</f>
        <v>58.160582883666336</v>
      </c>
      <c r="L449" s="10">
        <f>Transport_1_hub!BC384</f>
        <v>1.2033521775285325</v>
      </c>
      <c r="M449" s="10">
        <f>Transport_1_hub!BD384</f>
        <v>1.5312526922162462</v>
      </c>
      <c r="N449" s="10">
        <f>Transport_1_hub!BE384</f>
        <v>4.7757578310172697</v>
      </c>
      <c r="O449" s="10">
        <f>Transport_1_hub!BF384</f>
        <v>0.30820246866620093</v>
      </c>
      <c r="P449" s="10">
        <f>Transport_1_hub!BG384</f>
        <v>1.5077148577471975E-4</v>
      </c>
      <c r="Q449" s="10">
        <f>Transport_1_hub!BH384</f>
        <v>0.3659818811714089</v>
      </c>
      <c r="R449" s="10">
        <f>Transport_1_hub!BI384</f>
        <v>0.90725174978717071</v>
      </c>
      <c r="S449" s="10">
        <f>Transport_1_hub!BJ384</f>
        <v>3.2911459623328448E-2</v>
      </c>
      <c r="T449" s="10">
        <f>Transport_1_hub!BK384</f>
        <v>1.626069780332845E-2</v>
      </c>
      <c r="U449" s="10">
        <f>Transport_1_hub!BL384</f>
        <v>2.0208332015177719</v>
      </c>
      <c r="V449" s="12">
        <f>Transport_1_hub!BM384</f>
        <v>0.95769598707756731</v>
      </c>
      <c r="AG449" s="42"/>
      <c r="AL449" s="42"/>
    </row>
  </sheetData>
  <sortState xmlns:xlrd2="http://schemas.microsoft.com/office/spreadsheetml/2017/richdata2" ref="AI67:AN449">
    <sortCondition ref="AI67:AI449"/>
  </sortState>
  <mergeCells count="71">
    <mergeCell ref="HS3:IF3"/>
    <mergeCell ref="FF3:FH3"/>
    <mergeCell ref="FI3:FT3"/>
    <mergeCell ref="FU3:GA3"/>
    <mergeCell ref="GC3:GE3"/>
    <mergeCell ref="GF3:GL3"/>
    <mergeCell ref="GQ3:GW3"/>
    <mergeCell ref="GY3:HA3"/>
    <mergeCell ref="HB3:HF3"/>
    <mergeCell ref="HG3:HN3"/>
    <mergeCell ref="HP3:HR3"/>
    <mergeCell ref="KH3:KN3"/>
    <mergeCell ref="KP3:KR3"/>
    <mergeCell ref="IG3:IM3"/>
    <mergeCell ref="IO3:IP3"/>
    <mergeCell ref="IQ3:IR3"/>
    <mergeCell ref="IS3:IU3"/>
    <mergeCell ref="IV3:IY3"/>
    <mergeCell ref="IZ3:JF3"/>
    <mergeCell ref="JH3:JJ3"/>
    <mergeCell ref="JK3:JV3"/>
    <mergeCell ref="JW3:KC3"/>
    <mergeCell ref="KE3:KG3"/>
    <mergeCell ref="CN3:CT3"/>
    <mergeCell ref="CV3:CX3"/>
    <mergeCell ref="CY3:DK3"/>
    <mergeCell ref="DL3:DR3"/>
    <mergeCell ref="GN3:GP3"/>
    <mergeCell ref="DW3:EC3"/>
    <mergeCell ref="EE3:EG3"/>
    <mergeCell ref="EH3:EN3"/>
    <mergeCell ref="ER3:ET3"/>
    <mergeCell ref="EU3:EW3"/>
    <mergeCell ref="EX3:FD3"/>
    <mergeCell ref="BQ3:BW3"/>
    <mergeCell ref="BY3:CC3"/>
    <mergeCell ref="CD3:CH3"/>
    <mergeCell ref="CI3:CK3"/>
    <mergeCell ref="CL3:CM3"/>
    <mergeCell ref="KH2:KR2"/>
    <mergeCell ref="C3:I3"/>
    <mergeCell ref="K3:M3"/>
    <mergeCell ref="N3:T3"/>
    <mergeCell ref="V3:X3"/>
    <mergeCell ref="Y3:AD3"/>
    <mergeCell ref="AF3:AH3"/>
    <mergeCell ref="AI3:AO3"/>
    <mergeCell ref="AQ3:AS3"/>
    <mergeCell ref="AT3:AZ3"/>
    <mergeCell ref="GF2:GP2"/>
    <mergeCell ref="GQ2:HF2"/>
    <mergeCell ref="HG2:IF2"/>
    <mergeCell ref="IG2:IY2"/>
    <mergeCell ref="IZ2:JV2"/>
    <mergeCell ref="JW2:KG2"/>
    <mergeCell ref="B2:B4"/>
    <mergeCell ref="FU2:GE2"/>
    <mergeCell ref="C2:M2"/>
    <mergeCell ref="N2:X2"/>
    <mergeCell ref="Y2:AH2"/>
    <mergeCell ref="AI2:AS2"/>
    <mergeCell ref="AT2:BP2"/>
    <mergeCell ref="BQ2:CM2"/>
    <mergeCell ref="CN2:DK2"/>
    <mergeCell ref="DL2:DV2"/>
    <mergeCell ref="DW2:EG2"/>
    <mergeCell ref="EH2:EW2"/>
    <mergeCell ref="EX2:FT2"/>
    <mergeCell ref="DT3:DV3"/>
    <mergeCell ref="BB3:BD3"/>
    <mergeCell ref="BE3:BP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9EEB2-024F-4BF1-A616-14B80CE3E076}">
  <sheetPr codeName="Sheet27"/>
  <dimension ref="A2:AP366"/>
  <sheetViews>
    <sheetView zoomScale="60" zoomScaleNormal="60" workbookViewId="0">
      <selection activeCell="B3" sqref="B3"/>
    </sheetView>
  </sheetViews>
  <sheetFormatPr defaultRowHeight="15" x14ac:dyDescent="0.25"/>
  <cols>
    <col min="2" max="2" width="46" bestFit="1" customWidth="1"/>
    <col min="3" max="3" width="46" customWidth="1"/>
    <col min="4" max="4" width="13.5703125" bestFit="1" customWidth="1"/>
    <col min="5" max="5" width="5.42578125" bestFit="1" customWidth="1"/>
    <col min="6" max="6" width="16.85546875" bestFit="1" customWidth="1"/>
    <col min="21" max="21" width="14.7109375" bestFit="1" customWidth="1"/>
  </cols>
  <sheetData>
    <row r="2" spans="1:35" x14ac:dyDescent="0.25">
      <c r="B2" t="s">
        <v>990</v>
      </c>
    </row>
    <row r="3" spans="1:35" x14ac:dyDescent="0.25">
      <c r="A3">
        <f>'ACLCA_raw data'!J44</f>
        <v>383</v>
      </c>
      <c r="C3" t="str">
        <f>'ACLCA_raw data'!L18</f>
        <v>market for electricity, low voltage, US-RFC</v>
      </c>
      <c r="E3" t="str">
        <f>'ACLCA_raw data'!N18</f>
        <v>kWh</v>
      </c>
      <c r="F3" t="str">
        <f>'ACLCA_raw data'!O18</f>
        <v>Ecoinvent v3.7.1</v>
      </c>
      <c r="G3">
        <f>'ACLCA_raw data'!P18</f>
        <v>0.61436999999999997</v>
      </c>
      <c r="H3">
        <f>'ACLCA_raw data'!Q18</f>
        <v>8.2399E-2</v>
      </c>
      <c r="I3">
        <f>'ACLCA_raw data'!R18</f>
        <v>6.7473999999999998</v>
      </c>
      <c r="J3">
        <f>'ACLCA_raw data'!S18</f>
        <v>4.0428000000000003E-4</v>
      </c>
      <c r="K3">
        <f>'ACLCA_raw data'!T18</f>
        <v>4.3425000000000002</v>
      </c>
      <c r="L3">
        <f>'ACLCA_raw data'!U18</f>
        <v>1.3322000000000001E-5</v>
      </c>
      <c r="M3">
        <f>'ACLCA_raw data'!V18</f>
        <v>1.5082999999999999E-2</v>
      </c>
      <c r="N3">
        <f>'ACLCA_raw data'!W18</f>
        <v>6.8917000000000006E-2</v>
      </c>
      <c r="O3">
        <f>'ACLCA_raw data'!X18</f>
        <v>0.1275</v>
      </c>
      <c r="P3">
        <f>'ACLCA_raw data'!Y18</f>
        <v>11.384216602</v>
      </c>
      <c r="Q3">
        <f>'ACLCA_raw data'!Z18</f>
        <v>1.3875999999999999E-2</v>
      </c>
      <c r="R3">
        <f>'ACLCA_raw data'!AA18</f>
        <v>0.60836999999999997</v>
      </c>
      <c r="S3">
        <f>'ACLCA_raw data'!AB18</f>
        <v>0.16855999999999999</v>
      </c>
      <c r="T3">
        <f>'ACLCA_raw data'!AC18</f>
        <v>2.7827999999999999E-2</v>
      </c>
      <c r="U3">
        <f>'ACLCA_raw data'!AD18</f>
        <v>3.4965000000000002E-4</v>
      </c>
      <c r="V3">
        <f>'ACLCA_raw data'!AE18</f>
        <v>0.24507000000000001</v>
      </c>
      <c r="W3">
        <f>'ACLCA_raw data'!AF18</f>
        <v>0.28216999999999998</v>
      </c>
      <c r="X3">
        <f>'ACLCA_raw data'!AG18</f>
        <v>2.3791E-2</v>
      </c>
      <c r="Y3">
        <f>'ACLCA_raw data'!AH18</f>
        <v>1.1882E-4</v>
      </c>
      <c r="Z3">
        <f>'ACLCA_raw data'!AI18</f>
        <v>1.1622E-2</v>
      </c>
      <c r="AA3">
        <f>'ACLCA_raw data'!AJ18</f>
        <v>-2.4247999999999999E-5</v>
      </c>
      <c r="AB3">
        <f>'ACLCA_raw data'!AK18</f>
        <v>1.8053E-8</v>
      </c>
      <c r="AC3">
        <f>'ACLCA_raw data'!AL18</f>
        <v>1.1259E-3</v>
      </c>
      <c r="AD3">
        <f>'ACLCA_raw data'!AM18</f>
        <v>9.8528999999999999E-4</v>
      </c>
      <c r="AE3">
        <f>'ACLCA_raw data'!AN18</f>
        <v>1.8718000000000001E-3</v>
      </c>
      <c r="AF3">
        <f>'ACLCA_raw data'!AO18</f>
        <v>2.6829999999999999E-5</v>
      </c>
      <c r="AG3">
        <f>'ACLCA_raw data'!AP18</f>
        <v>2.5512999999999998E-3</v>
      </c>
      <c r="AH3">
        <f>'ACLCA_raw data'!AQ18</f>
        <v>2.2418E-3</v>
      </c>
    </row>
    <row r="4" spans="1:35" x14ac:dyDescent="0.25">
      <c r="G4" s="22" t="str">
        <f>Summary_LCIA!H2</f>
        <v>GWP</v>
      </c>
      <c r="H4" s="22" t="str">
        <f>Summary_LCIA!I2</f>
        <v>biomass</v>
      </c>
      <c r="I4" s="22" t="str">
        <f>Summary_LCIA!J2</f>
        <v>fossil</v>
      </c>
      <c r="J4" s="22" t="str">
        <f>Summary_LCIA!K2</f>
        <v>geothermal</v>
      </c>
      <c r="K4" s="22" t="str">
        <f>Summary_LCIA!L2</f>
        <v>nuclear</v>
      </c>
      <c r="L4" s="22" t="str">
        <f>Summary_LCIA!M2</f>
        <v>primary forest</v>
      </c>
      <c r="M4" s="22" t="str">
        <f>Summary_LCIA!N2</f>
        <v>solar</v>
      </c>
      <c r="N4" s="22" t="str">
        <f>Summary_LCIA!O2</f>
        <v>water</v>
      </c>
      <c r="O4" s="22" t="str">
        <f>Summary_LCIA!P2</f>
        <v>wind</v>
      </c>
      <c r="P4" s="22" t="str">
        <f>Summary_LCIA!Q2</f>
        <v>CED</v>
      </c>
      <c r="Q4" s="22" t="str">
        <f>Summary_LCIA!R2</f>
        <v>ALOP</v>
      </c>
      <c r="R4" s="22" t="str">
        <f>Summary_LCIA!S2</f>
        <v>GWP100</v>
      </c>
      <c r="S4" s="22" t="str">
        <f>Summary_LCIA!T2</f>
        <v>FDP</v>
      </c>
      <c r="T4" s="22" t="str">
        <f>Summary_LCIA!U2</f>
        <v>FETPinf</v>
      </c>
      <c r="U4" s="46" t="str">
        <f>Summary_LCIA!V2</f>
        <v>FEP</v>
      </c>
      <c r="V4" s="22" t="str">
        <f>Summary_LCIA!W2</f>
        <v>HTPinf</v>
      </c>
      <c r="W4" s="22" t="str">
        <f>Summary_LCIA!X2</f>
        <v>IRP_HE</v>
      </c>
      <c r="X4" s="22" t="str">
        <f>Summary_LCIA!Y2</f>
        <v>METPinf</v>
      </c>
      <c r="Y4" s="22" t="str">
        <f>Summary_LCIA!Z2</f>
        <v>MEP</v>
      </c>
      <c r="Z4" s="22" t="str">
        <f>Summary_LCIA!AA2</f>
        <v>MDP</v>
      </c>
      <c r="AA4" s="22" t="str">
        <f>Summary_LCIA!AB2</f>
        <v>NLTP</v>
      </c>
      <c r="AB4" s="22" t="str">
        <f>Summary_LCIA!AC2</f>
        <v>ODPinf</v>
      </c>
      <c r="AC4" s="22" t="str">
        <f>Summary_LCIA!AD2</f>
        <v>PMFP</v>
      </c>
      <c r="AD4" s="22" t="str">
        <f>Summary_LCIA!AE2</f>
        <v>POFP</v>
      </c>
      <c r="AE4" s="22" t="str">
        <f>Summary_LCIA!AF2</f>
        <v>TAP100</v>
      </c>
      <c r="AF4" s="22" t="str">
        <f>Summary_LCIA!AG2</f>
        <v>TETPinf</v>
      </c>
      <c r="AG4" s="22" t="str">
        <f>Summary_LCIA!AH2</f>
        <v>ULOP</v>
      </c>
      <c r="AH4" s="22" t="str">
        <f>Summary_LCIA!AI2</f>
        <v>WDP</v>
      </c>
      <c r="AI4" s="22"/>
    </row>
    <row r="5" spans="1:35" x14ac:dyDescent="0.25">
      <c r="B5" t="str">
        <f>Conference_hub_summary!G22</f>
        <v>Flughafen, Frankfurt/Main</v>
      </c>
      <c r="C5" t="str">
        <f>'ACLCA_raw data'!L31</f>
        <v>market for electricity, low voltage, DE</v>
      </c>
      <c r="D5">
        <f>Transport_2_Hubs!W387/Transport_2_Hubs!AP390</f>
        <v>0.10182767624020887</v>
      </c>
      <c r="E5" t="str">
        <f>'ACLCA_raw data'!N31</f>
        <v>kWh</v>
      </c>
      <c r="F5" t="str">
        <f>'ACLCA_raw data'!O31</f>
        <v>Ecoinvent v3.7.1</v>
      </c>
      <c r="G5">
        <f>'ACLCA_raw data'!P31</f>
        <v>0.54196</v>
      </c>
      <c r="H5">
        <f>'ACLCA_raw data'!Q31</f>
        <v>0.14645</v>
      </c>
      <c r="I5">
        <f>'ACLCA_raw data'!R31</f>
        <v>6.0651000000000002</v>
      </c>
      <c r="J5">
        <f>'ACLCA_raw data'!S31</f>
        <v>2.5809000000000001E-3</v>
      </c>
      <c r="K5">
        <f>'ACLCA_raw data'!T31</f>
        <v>1.7815000000000001</v>
      </c>
      <c r="L5">
        <f>'ACLCA_raw data'!U31</f>
        <v>3.0886999999999998E-5</v>
      </c>
      <c r="M5">
        <f>'ACLCA_raw data'!V31</f>
        <v>0.46137</v>
      </c>
      <c r="N5">
        <f>'ACLCA_raw data'!W31</f>
        <v>0.20688000000000001</v>
      </c>
      <c r="O5">
        <f>'ACLCA_raw data'!X31</f>
        <v>0.72643999999999997</v>
      </c>
      <c r="P5">
        <f>'ACLCA_raw data'!Y31</f>
        <v>9.3903517870000002</v>
      </c>
      <c r="Q5">
        <f>'ACLCA_raw data'!Z31</f>
        <v>2.2039E-2</v>
      </c>
      <c r="R5">
        <f>'ACLCA_raw data'!AA31</f>
        <v>0.53620000000000001</v>
      </c>
      <c r="S5">
        <f>'ACLCA_raw data'!AB31</f>
        <v>0.14494000000000001</v>
      </c>
      <c r="T5">
        <f>'ACLCA_raw data'!AC31</f>
        <v>3.6583999999999998E-2</v>
      </c>
      <c r="U5">
        <f>'ACLCA_raw data'!AD31</f>
        <v>7.9215000000000004E-4</v>
      </c>
      <c r="V5">
        <f>'ACLCA_raw data'!AE31</f>
        <v>0.49026999999999998</v>
      </c>
      <c r="W5">
        <f>'ACLCA_raw data'!AF31</f>
        <v>9.1795000000000002E-2</v>
      </c>
      <c r="X5">
        <f>'ACLCA_raw data'!AG31</f>
        <v>3.2615999999999999E-2</v>
      </c>
      <c r="Y5">
        <f>'ACLCA_raw data'!AH31</f>
        <v>2.0006000000000001E-4</v>
      </c>
      <c r="Z5">
        <f>'ACLCA_raw data'!AI31</f>
        <v>1.4718E-2</v>
      </c>
      <c r="AA5">
        <f>'ACLCA_raw data'!AJ31</f>
        <v>-2.1696E-5</v>
      </c>
      <c r="AB5">
        <f>'ACLCA_raw data'!AK31</f>
        <v>1.267E-8</v>
      </c>
      <c r="AC5">
        <f>'ACLCA_raw data'!AL31</f>
        <v>3.369E-4</v>
      </c>
      <c r="AD5">
        <f>'ACLCA_raw data'!AM31</f>
        <v>7.2397E-4</v>
      </c>
      <c r="AE5">
        <f>'ACLCA_raw data'!AN31</f>
        <v>9.6077000000000001E-4</v>
      </c>
      <c r="AF5">
        <f>'ACLCA_raw data'!AO31</f>
        <v>2.8184999999999999E-5</v>
      </c>
      <c r="AG5">
        <f>'ACLCA_raw data'!AP31</f>
        <v>3.2648999999999998E-3</v>
      </c>
      <c r="AH5">
        <f>'ACLCA_raw data'!AQ31</f>
        <v>2.3346999999999999E-3</v>
      </c>
    </row>
    <row r="6" spans="1:35" x14ac:dyDescent="0.25">
      <c r="B6" t="str">
        <f>Conference_hub_summary!H22</f>
        <v>Chicago O'Hare International Airport</v>
      </c>
      <c r="C6" t="str">
        <f>'ACLCA_raw data'!L18</f>
        <v>market for electricity, low voltage, US-RFC</v>
      </c>
      <c r="D6">
        <f>Transport_2_Hubs!W386/Transport_2_Hubs!AP390</f>
        <v>0.89817232375979117</v>
      </c>
      <c r="E6" t="str">
        <f>'ACLCA_raw data'!N18</f>
        <v>kWh</v>
      </c>
      <c r="F6" t="str">
        <f>'ACLCA_raw data'!O18</f>
        <v>Ecoinvent v3.7.1</v>
      </c>
      <c r="G6">
        <f>'ACLCA_raw data'!P18</f>
        <v>0.61436999999999997</v>
      </c>
      <c r="H6">
        <f>'ACLCA_raw data'!Q18</f>
        <v>8.2399E-2</v>
      </c>
      <c r="I6">
        <f>'ACLCA_raw data'!R18</f>
        <v>6.7473999999999998</v>
      </c>
      <c r="J6">
        <f>'ACLCA_raw data'!S18</f>
        <v>4.0428000000000003E-4</v>
      </c>
      <c r="K6">
        <f>'ACLCA_raw data'!T18</f>
        <v>4.3425000000000002</v>
      </c>
      <c r="L6">
        <f>'ACLCA_raw data'!U18</f>
        <v>1.3322000000000001E-5</v>
      </c>
      <c r="M6">
        <f>'ACLCA_raw data'!V18</f>
        <v>1.5082999999999999E-2</v>
      </c>
      <c r="N6">
        <f>'ACLCA_raw data'!W18</f>
        <v>6.8917000000000006E-2</v>
      </c>
      <c r="O6">
        <f>'ACLCA_raw data'!X18</f>
        <v>0.1275</v>
      </c>
      <c r="P6">
        <f>'ACLCA_raw data'!Y18</f>
        <v>11.384216602</v>
      </c>
      <c r="Q6">
        <f>'ACLCA_raw data'!Z18</f>
        <v>1.3875999999999999E-2</v>
      </c>
      <c r="R6">
        <f>'ACLCA_raw data'!AA18</f>
        <v>0.60836999999999997</v>
      </c>
      <c r="S6">
        <f>'ACLCA_raw data'!AB18</f>
        <v>0.16855999999999999</v>
      </c>
      <c r="T6">
        <f>'ACLCA_raw data'!AC18</f>
        <v>2.7827999999999999E-2</v>
      </c>
      <c r="U6">
        <f>'ACLCA_raw data'!AD18</f>
        <v>3.4965000000000002E-4</v>
      </c>
      <c r="V6">
        <f>'ACLCA_raw data'!AE18</f>
        <v>0.24507000000000001</v>
      </c>
      <c r="W6">
        <f>'ACLCA_raw data'!AF18</f>
        <v>0.28216999999999998</v>
      </c>
      <c r="X6">
        <f>'ACLCA_raw data'!AG18</f>
        <v>2.3791E-2</v>
      </c>
      <c r="Y6">
        <f>'ACLCA_raw data'!AH18</f>
        <v>1.1882E-4</v>
      </c>
      <c r="Z6">
        <f>'ACLCA_raw data'!AI18</f>
        <v>1.1622E-2</v>
      </c>
      <c r="AA6">
        <f>'ACLCA_raw data'!AJ18</f>
        <v>-2.4247999999999999E-5</v>
      </c>
      <c r="AB6">
        <f>'ACLCA_raw data'!AK18</f>
        <v>1.8053E-8</v>
      </c>
      <c r="AC6">
        <f>'ACLCA_raw data'!AL18</f>
        <v>1.1259E-3</v>
      </c>
      <c r="AD6">
        <f>'ACLCA_raw data'!AM18</f>
        <v>9.8528999999999999E-4</v>
      </c>
      <c r="AE6">
        <f>'ACLCA_raw data'!AN18</f>
        <v>1.8718000000000001E-3</v>
      </c>
      <c r="AF6">
        <f>'ACLCA_raw data'!AO18</f>
        <v>2.6829999999999999E-5</v>
      </c>
      <c r="AG6">
        <f>'ACLCA_raw data'!AP18</f>
        <v>2.5512999999999998E-3</v>
      </c>
      <c r="AH6">
        <f>'ACLCA_raw data'!AQ18</f>
        <v>2.2418E-3</v>
      </c>
    </row>
    <row r="7" spans="1:35" x14ac:dyDescent="0.25">
      <c r="B7" s="58" t="s">
        <v>807</v>
      </c>
      <c r="C7" s="58" t="s">
        <v>806</v>
      </c>
      <c r="D7" s="58">
        <f>SUM(D5:D6)</f>
        <v>1</v>
      </c>
      <c r="E7" s="58" t="str">
        <f>E6</f>
        <v>kWh</v>
      </c>
      <c r="F7" s="58"/>
      <c r="G7" s="58">
        <f>SUMPRODUCT($D5:$D6,G5:G6)</f>
        <v>0.60699665796344648</v>
      </c>
      <c r="H7" s="58">
        <f t="shared" ref="H7:AH7" si="0">SUMPRODUCT($D5:$D6,H5:H6)</f>
        <v>8.8921164490861626E-2</v>
      </c>
      <c r="I7" s="58">
        <f t="shared" si="0"/>
        <v>6.6779229765013053</v>
      </c>
      <c r="J7" s="58">
        <f t="shared" si="0"/>
        <v>6.2592015665796348E-4</v>
      </c>
      <c r="K7" s="58">
        <f t="shared" si="0"/>
        <v>4.0817193211488254</v>
      </c>
      <c r="L7" s="58">
        <f t="shared" si="0"/>
        <v>1.511060313315927E-5</v>
      </c>
      <c r="M7" s="58">
        <f t="shared" si="0"/>
        <v>6.0527368146214094E-2</v>
      </c>
      <c r="N7" s="58">
        <f t="shared" si="0"/>
        <v>8.2965451697127948E-2</v>
      </c>
      <c r="O7" s="58">
        <f t="shared" si="0"/>
        <v>0.18848866840731071</v>
      </c>
      <c r="P7" s="58">
        <f t="shared" si="0"/>
        <v>11.181185981151437</v>
      </c>
      <c r="Q7" s="58">
        <f t="shared" si="0"/>
        <v>1.4707219321148825E-2</v>
      </c>
      <c r="R7" s="58">
        <f t="shared" si="0"/>
        <v>0.6010210966057441</v>
      </c>
      <c r="S7" s="58">
        <f t="shared" si="0"/>
        <v>0.16615483028720626</v>
      </c>
      <c r="T7" s="58">
        <f t="shared" si="0"/>
        <v>2.8719603133159272E-2</v>
      </c>
      <c r="U7" s="64">
        <f t="shared" si="0"/>
        <v>3.947087467362925E-4</v>
      </c>
      <c r="V7" s="58">
        <f t="shared" si="0"/>
        <v>0.27003814621409922</v>
      </c>
      <c r="W7" s="58">
        <f t="shared" si="0"/>
        <v>0.26278455613577023</v>
      </c>
      <c r="X7" s="58">
        <f t="shared" si="0"/>
        <v>2.4689629242819845E-2</v>
      </c>
      <c r="Y7" s="58">
        <f t="shared" si="0"/>
        <v>1.2709248041775458E-4</v>
      </c>
      <c r="Z7" s="58">
        <f t="shared" si="0"/>
        <v>1.1937258485639687E-2</v>
      </c>
      <c r="AA7" s="58">
        <f t="shared" si="0"/>
        <v>-2.3988135770234988E-5</v>
      </c>
      <c r="AB7" s="58">
        <f t="shared" si="0"/>
        <v>1.7504861618798959E-8</v>
      </c>
      <c r="AC7" s="58">
        <f t="shared" si="0"/>
        <v>1.0455579634464753E-3</v>
      </c>
      <c r="AD7" s="58">
        <f t="shared" si="0"/>
        <v>9.5868039164490873E-4</v>
      </c>
      <c r="AE7" s="58">
        <f t="shared" si="0"/>
        <v>1.7790319321148828E-3</v>
      </c>
      <c r="AF7" s="58">
        <f t="shared" si="0"/>
        <v>2.6967976501305483E-5</v>
      </c>
      <c r="AG7" s="58">
        <f t="shared" si="0"/>
        <v>2.6239642297650129E-3</v>
      </c>
      <c r="AH7" s="58">
        <f t="shared" si="0"/>
        <v>2.2512597911227153E-3</v>
      </c>
    </row>
    <row r="8" spans="1:35" x14ac:dyDescent="0.25">
      <c r="B8" t="str">
        <f>Conference_hub_summary!G23</f>
        <v>Flughafen, Frankfurt/Main</v>
      </c>
      <c r="C8" t="str">
        <f>C5</f>
        <v>market for electricity, low voltage, DE</v>
      </c>
      <c r="D8">
        <f>Transport_3_Hubs!W386/Transport_3_Hubs!AP390</f>
        <v>9.6605744125326368E-2</v>
      </c>
      <c r="E8" t="str">
        <f t="shared" ref="E8:AH8" si="1">E5</f>
        <v>kWh</v>
      </c>
      <c r="F8" t="str">
        <f t="shared" si="1"/>
        <v>Ecoinvent v3.7.1</v>
      </c>
      <c r="G8">
        <f t="shared" si="1"/>
        <v>0.54196</v>
      </c>
      <c r="H8">
        <f t="shared" si="1"/>
        <v>0.14645</v>
      </c>
      <c r="I8">
        <f t="shared" si="1"/>
        <v>6.0651000000000002</v>
      </c>
      <c r="J8">
        <f t="shared" si="1"/>
        <v>2.5809000000000001E-3</v>
      </c>
      <c r="K8">
        <f t="shared" si="1"/>
        <v>1.7815000000000001</v>
      </c>
      <c r="L8">
        <f t="shared" si="1"/>
        <v>3.0886999999999998E-5</v>
      </c>
      <c r="M8">
        <f t="shared" si="1"/>
        <v>0.46137</v>
      </c>
      <c r="N8">
        <f t="shared" si="1"/>
        <v>0.20688000000000001</v>
      </c>
      <c r="O8">
        <f t="shared" si="1"/>
        <v>0.72643999999999997</v>
      </c>
      <c r="P8">
        <f t="shared" si="1"/>
        <v>9.3903517870000002</v>
      </c>
      <c r="Q8">
        <f t="shared" si="1"/>
        <v>2.2039E-2</v>
      </c>
      <c r="R8">
        <f t="shared" si="1"/>
        <v>0.53620000000000001</v>
      </c>
      <c r="S8">
        <f t="shared" si="1"/>
        <v>0.14494000000000001</v>
      </c>
      <c r="T8">
        <f t="shared" si="1"/>
        <v>3.6583999999999998E-2</v>
      </c>
      <c r="U8">
        <f t="shared" si="1"/>
        <v>7.9215000000000004E-4</v>
      </c>
      <c r="V8">
        <f t="shared" si="1"/>
        <v>0.49026999999999998</v>
      </c>
      <c r="W8">
        <f t="shared" si="1"/>
        <v>9.1795000000000002E-2</v>
      </c>
      <c r="X8">
        <f t="shared" si="1"/>
        <v>3.2615999999999999E-2</v>
      </c>
      <c r="Y8">
        <f t="shared" si="1"/>
        <v>2.0006000000000001E-4</v>
      </c>
      <c r="Z8">
        <f t="shared" si="1"/>
        <v>1.4718E-2</v>
      </c>
      <c r="AA8">
        <f t="shared" si="1"/>
        <v>-2.1696E-5</v>
      </c>
      <c r="AB8">
        <f t="shared" si="1"/>
        <v>1.267E-8</v>
      </c>
      <c r="AC8">
        <f t="shared" si="1"/>
        <v>3.369E-4</v>
      </c>
      <c r="AD8">
        <f t="shared" si="1"/>
        <v>7.2397E-4</v>
      </c>
      <c r="AE8">
        <f t="shared" si="1"/>
        <v>9.6077000000000001E-4</v>
      </c>
      <c r="AF8">
        <f t="shared" si="1"/>
        <v>2.8184999999999999E-5</v>
      </c>
      <c r="AG8">
        <f t="shared" si="1"/>
        <v>3.2648999999999998E-3</v>
      </c>
      <c r="AH8">
        <f t="shared" si="1"/>
        <v>2.3346999999999999E-3</v>
      </c>
    </row>
    <row r="9" spans="1:35" x14ac:dyDescent="0.25">
      <c r="B9" t="str">
        <f>Conference_hub_summary!H23</f>
        <v>Newark Liberty International Airport</v>
      </c>
      <c r="C9" t="str">
        <f>C6</f>
        <v>market for electricity, low voltage, US-RFC</v>
      </c>
      <c r="D9">
        <f>Transport_3_Hubs!W388/Transport_3_Hubs!AP390</f>
        <v>0.57963446475195823</v>
      </c>
      <c r="E9" t="str">
        <f t="shared" ref="E9:AH9" si="2">E6</f>
        <v>kWh</v>
      </c>
      <c r="F9" t="str">
        <f t="shared" si="2"/>
        <v>Ecoinvent v3.7.1</v>
      </c>
      <c r="G9">
        <f t="shared" si="2"/>
        <v>0.61436999999999997</v>
      </c>
      <c r="H9">
        <f t="shared" si="2"/>
        <v>8.2399E-2</v>
      </c>
      <c r="I9">
        <f t="shared" si="2"/>
        <v>6.7473999999999998</v>
      </c>
      <c r="J9">
        <f t="shared" si="2"/>
        <v>4.0428000000000003E-4</v>
      </c>
      <c r="K9">
        <f t="shared" si="2"/>
        <v>4.3425000000000002</v>
      </c>
      <c r="L9">
        <f t="shared" si="2"/>
        <v>1.3322000000000001E-5</v>
      </c>
      <c r="M9">
        <f t="shared" si="2"/>
        <v>1.5082999999999999E-2</v>
      </c>
      <c r="N9">
        <f t="shared" si="2"/>
        <v>6.8917000000000006E-2</v>
      </c>
      <c r="O9">
        <f t="shared" si="2"/>
        <v>0.1275</v>
      </c>
      <c r="P9">
        <f t="shared" si="2"/>
        <v>11.384216602</v>
      </c>
      <c r="Q9">
        <f t="shared" si="2"/>
        <v>1.3875999999999999E-2</v>
      </c>
      <c r="R9">
        <f t="shared" si="2"/>
        <v>0.60836999999999997</v>
      </c>
      <c r="S9">
        <f t="shared" si="2"/>
        <v>0.16855999999999999</v>
      </c>
      <c r="T9">
        <f t="shared" si="2"/>
        <v>2.7827999999999999E-2</v>
      </c>
      <c r="U9">
        <f t="shared" si="2"/>
        <v>3.4965000000000002E-4</v>
      </c>
      <c r="V9">
        <f t="shared" si="2"/>
        <v>0.24507000000000001</v>
      </c>
      <c r="W9">
        <f t="shared" si="2"/>
        <v>0.28216999999999998</v>
      </c>
      <c r="X9">
        <f t="shared" si="2"/>
        <v>2.3791E-2</v>
      </c>
      <c r="Y9">
        <f t="shared" si="2"/>
        <v>1.1882E-4</v>
      </c>
      <c r="Z9">
        <f t="shared" si="2"/>
        <v>1.1622E-2</v>
      </c>
      <c r="AA9">
        <f t="shared" si="2"/>
        <v>-2.4247999999999999E-5</v>
      </c>
      <c r="AB9">
        <f t="shared" si="2"/>
        <v>1.8053E-8</v>
      </c>
      <c r="AC9">
        <f t="shared" si="2"/>
        <v>1.1259E-3</v>
      </c>
      <c r="AD9">
        <f t="shared" si="2"/>
        <v>9.8528999999999999E-4</v>
      </c>
      <c r="AE9">
        <f t="shared" si="2"/>
        <v>1.8718000000000001E-3</v>
      </c>
      <c r="AF9">
        <f t="shared" si="2"/>
        <v>2.6829999999999999E-5</v>
      </c>
      <c r="AG9">
        <f t="shared" si="2"/>
        <v>2.5512999999999998E-3</v>
      </c>
      <c r="AH9">
        <f t="shared" si="2"/>
        <v>2.2418E-3</v>
      </c>
    </row>
    <row r="10" spans="1:35" x14ac:dyDescent="0.25">
      <c r="B10" t="str">
        <f>Conference_hub_summary!I23</f>
        <v>Denver International Airport</v>
      </c>
      <c r="C10" t="str">
        <f>'ACLCA_raw data'!L15</f>
        <v>market for electricity, low voltage, US-WECC</v>
      </c>
      <c r="D10">
        <f>Transport_3_Hubs!W387/Transport_3_Hubs!AP390</f>
        <v>0.32375979112271541</v>
      </c>
      <c r="E10" t="str">
        <f>'ACLCA_raw data'!N15</f>
        <v>kWh</v>
      </c>
      <c r="F10" t="str">
        <f>'ACLCA_raw data'!O15</f>
        <v>Ecoinvent v3.7.1</v>
      </c>
      <c r="G10">
        <f>'ACLCA_raw data'!P15</f>
        <v>0.41233999999999998</v>
      </c>
      <c r="H10">
        <f>'ACLCA_raw data'!Q15</f>
        <v>0.16356000000000001</v>
      </c>
      <c r="I10">
        <f>'ACLCA_raw data'!R15</f>
        <v>5.2107000000000001</v>
      </c>
      <c r="J10">
        <f>'ACLCA_raw data'!S15</f>
        <v>0.15804000000000001</v>
      </c>
      <c r="K10">
        <f>'ACLCA_raw data'!T15</f>
        <v>1.1274</v>
      </c>
      <c r="L10">
        <f>'ACLCA_raw data'!U15</f>
        <v>1.7768999999999999E-5</v>
      </c>
      <c r="M10">
        <f>'ACLCA_raw data'!V15</f>
        <v>0.32883000000000001</v>
      </c>
      <c r="N10">
        <f>'ACLCA_raw data'!W15</f>
        <v>1.0143</v>
      </c>
      <c r="O10">
        <f>'ACLCA_raw data'!X15</f>
        <v>0.29749999999999999</v>
      </c>
      <c r="P10">
        <f>'ACLCA_raw data'!Y15</f>
        <v>8.300347769</v>
      </c>
      <c r="Q10">
        <f>'ACLCA_raw data'!Z15</f>
        <v>2.4857000000000001E-2</v>
      </c>
      <c r="R10">
        <f>'ACLCA_raw data'!AA15</f>
        <v>0.40821000000000002</v>
      </c>
      <c r="S10">
        <f>'ACLCA_raw data'!AB15</f>
        <v>0.13331000000000001</v>
      </c>
      <c r="T10">
        <f>'ACLCA_raw data'!AC15</f>
        <v>2.9420000000000002E-2</v>
      </c>
      <c r="U10">
        <f>'ACLCA_raw data'!AD15</f>
        <v>4.3196E-4</v>
      </c>
      <c r="V10">
        <f>'ACLCA_raw data'!AE15</f>
        <v>0.27927000000000002</v>
      </c>
      <c r="W10">
        <f>'ACLCA_raw data'!AF15</f>
        <v>7.3639999999999997E-2</v>
      </c>
      <c r="X10">
        <f>'ACLCA_raw data'!AG15</f>
        <v>2.5277999999999998E-2</v>
      </c>
      <c r="Y10">
        <f>'ACLCA_raw data'!AH15</f>
        <v>1.1887000000000001E-4</v>
      </c>
      <c r="Z10">
        <f>'ACLCA_raw data'!AI15</f>
        <v>1.1467E-2</v>
      </c>
      <c r="AA10">
        <f>'ACLCA_raw data'!AJ15</f>
        <v>-1.4652E-5</v>
      </c>
      <c r="AB10">
        <f>'ACLCA_raw data'!AK15</f>
        <v>1.7493E-8</v>
      </c>
      <c r="AC10">
        <f>'ACLCA_raw data'!AL15</f>
        <v>1.5398E-3</v>
      </c>
      <c r="AD10">
        <f>'ACLCA_raw data'!AM15</f>
        <v>6.7785999999999996E-4</v>
      </c>
      <c r="AE10">
        <f>'ACLCA_raw data'!AN15</f>
        <v>7.8450000000000004E-4</v>
      </c>
      <c r="AF10">
        <f>'ACLCA_raw data'!AO15</f>
        <v>3.1801999999999998E-5</v>
      </c>
      <c r="AG10">
        <f>'ACLCA_raw data'!AP15</f>
        <v>2.3995000000000002E-3</v>
      </c>
      <c r="AH10">
        <f>'ACLCA_raw data'!AQ15</f>
        <v>3.0509000000000001E-3</v>
      </c>
    </row>
    <row r="11" spans="1:35" x14ac:dyDescent="0.25">
      <c r="B11" s="58" t="s">
        <v>808</v>
      </c>
      <c r="C11" s="58" t="s">
        <v>806</v>
      </c>
      <c r="D11" s="58">
        <f>SUM(D8:D10)</f>
        <v>1</v>
      </c>
      <c r="E11" s="58" t="s">
        <v>105</v>
      </c>
      <c r="F11" s="58"/>
      <c r="G11" s="58">
        <f>SUMPRODUCT($D8:$D10,G8:G10)</f>
        <v>0.5419655874673629</v>
      </c>
      <c r="H11" s="58">
        <f t="shared" ref="H11:AH11" si="3">SUMPRODUCT($D8:$D10,H8:H10)</f>
        <v>0.11486336292428198</v>
      </c>
      <c r="I11" s="58">
        <f t="shared" si="3"/>
        <v>6.1839642297650137</v>
      </c>
      <c r="J11" s="58">
        <f t="shared" si="3"/>
        <v>5.1650661775456928E-2</v>
      </c>
      <c r="K11" s="58">
        <f t="shared" si="3"/>
        <v>3.054172584856397</v>
      </c>
      <c r="L11" s="58">
        <f t="shared" si="3"/>
        <v>1.6458639686684073E-5</v>
      </c>
      <c r="M11" s="58">
        <f t="shared" si="3"/>
        <v>0.15977555091383813</v>
      </c>
      <c r="N11" s="58">
        <f t="shared" si="3"/>
        <v>0.38832202088772849</v>
      </c>
      <c r="O11" s="58">
        <f t="shared" si="3"/>
        <v>0.24040020887728458</v>
      </c>
      <c r="P11" s="58">
        <f t="shared" si="3"/>
        <v>10.193165078639687</v>
      </c>
      <c r="Q11" s="58">
        <f t="shared" si="3"/>
        <v>1.8219798955613577E-2</v>
      </c>
      <c r="R11" s="58">
        <f t="shared" si="3"/>
        <v>0.53659420365535249</v>
      </c>
      <c r="S11" s="58">
        <f t="shared" si="3"/>
        <v>0.15486563968668407</v>
      </c>
      <c r="T11" s="58">
        <f t="shared" si="3"/>
        <v>2.9189305483028723E-2</v>
      </c>
      <c r="U11" s="65">
        <f t="shared" si="3"/>
        <v>4.1904671018276764E-4</v>
      </c>
      <c r="V11" s="58">
        <f t="shared" si="3"/>
        <v>0.27983031331592689</v>
      </c>
      <c r="W11" s="58">
        <f t="shared" si="3"/>
        <v>0.19626505221932111</v>
      </c>
      <c r="X11" s="58">
        <f t="shared" si="3"/>
        <v>2.5124976501305483E-2</v>
      </c>
      <c r="Y11" s="58">
        <f t="shared" si="3"/>
        <v>1.2668443864229768E-4</v>
      </c>
      <c r="Z11" s="58">
        <f t="shared" si="3"/>
        <v>1.1870908616187991E-2</v>
      </c>
      <c r="AA11" s="58">
        <f t="shared" si="3"/>
        <v>-2.0894663185378589E-5</v>
      </c>
      <c r="AB11" s="58">
        <f t="shared" si="3"/>
        <v>1.7351665796344647E-8</v>
      </c>
      <c r="AC11" s="58">
        <f t="shared" si="3"/>
        <v>1.1836822454308095E-3</v>
      </c>
      <c r="AD11" s="58">
        <f t="shared" si="3"/>
        <v>8.6051151436031335E-4</v>
      </c>
      <c r="AE11" s="58">
        <f t="shared" si="3"/>
        <v>1.4317652480417755E-3</v>
      </c>
      <c r="AF11" s="58">
        <f t="shared" si="3"/>
        <v>2.8570634464751955E-5</v>
      </c>
      <c r="AG11" s="58">
        <f t="shared" si="3"/>
        <v>2.5710911227154049E-3</v>
      </c>
      <c r="AH11" s="58">
        <f t="shared" si="3"/>
        <v>2.5127287206266318E-3</v>
      </c>
    </row>
    <row r="12" spans="1:35" x14ac:dyDescent="0.25">
      <c r="B12" t="str">
        <f>Conference_hub_summary!G24</f>
        <v>Flughafen, Frankfurt/Main</v>
      </c>
      <c r="C12" t="str">
        <f>C5</f>
        <v>market for electricity, low voltage, DE</v>
      </c>
      <c r="D12">
        <f>Transport_4_Hubs!W386/Transport_4_Hubs!AP390</f>
        <v>9.6605744125326368E-2</v>
      </c>
      <c r="E12" t="str">
        <f t="shared" ref="E12:AH12" si="4">E5</f>
        <v>kWh</v>
      </c>
      <c r="F12" t="str">
        <f t="shared" si="4"/>
        <v>Ecoinvent v3.7.1</v>
      </c>
      <c r="G12">
        <f t="shared" si="4"/>
        <v>0.54196</v>
      </c>
      <c r="H12">
        <f t="shared" si="4"/>
        <v>0.14645</v>
      </c>
      <c r="I12">
        <f t="shared" si="4"/>
        <v>6.0651000000000002</v>
      </c>
      <c r="J12">
        <f t="shared" si="4"/>
        <v>2.5809000000000001E-3</v>
      </c>
      <c r="K12">
        <f t="shared" si="4"/>
        <v>1.7815000000000001</v>
      </c>
      <c r="L12">
        <f t="shared" si="4"/>
        <v>3.0886999999999998E-5</v>
      </c>
      <c r="M12">
        <f t="shared" si="4"/>
        <v>0.46137</v>
      </c>
      <c r="N12">
        <f t="shared" si="4"/>
        <v>0.20688000000000001</v>
      </c>
      <c r="O12">
        <f t="shared" si="4"/>
        <v>0.72643999999999997</v>
      </c>
      <c r="P12">
        <f t="shared" si="4"/>
        <v>9.3903517870000002</v>
      </c>
      <c r="Q12">
        <f t="shared" si="4"/>
        <v>2.2039E-2</v>
      </c>
      <c r="R12">
        <f t="shared" si="4"/>
        <v>0.53620000000000001</v>
      </c>
      <c r="S12">
        <f t="shared" si="4"/>
        <v>0.14494000000000001</v>
      </c>
      <c r="T12">
        <f t="shared" si="4"/>
        <v>3.6583999999999998E-2</v>
      </c>
      <c r="U12">
        <f t="shared" si="4"/>
        <v>7.9215000000000004E-4</v>
      </c>
      <c r="V12">
        <f t="shared" si="4"/>
        <v>0.49026999999999998</v>
      </c>
      <c r="W12">
        <f t="shared" si="4"/>
        <v>9.1795000000000002E-2</v>
      </c>
      <c r="X12">
        <f t="shared" si="4"/>
        <v>3.2615999999999999E-2</v>
      </c>
      <c r="Y12">
        <f t="shared" si="4"/>
        <v>2.0006000000000001E-4</v>
      </c>
      <c r="Z12">
        <f t="shared" si="4"/>
        <v>1.4718E-2</v>
      </c>
      <c r="AA12">
        <f t="shared" si="4"/>
        <v>-2.1696E-5</v>
      </c>
      <c r="AB12">
        <f t="shared" si="4"/>
        <v>1.267E-8</v>
      </c>
      <c r="AC12">
        <f t="shared" si="4"/>
        <v>3.369E-4</v>
      </c>
      <c r="AD12">
        <f t="shared" si="4"/>
        <v>7.2397E-4</v>
      </c>
      <c r="AE12">
        <f t="shared" si="4"/>
        <v>9.6077000000000001E-4</v>
      </c>
      <c r="AF12">
        <f t="shared" si="4"/>
        <v>2.8184999999999999E-5</v>
      </c>
      <c r="AG12">
        <f t="shared" si="4"/>
        <v>3.2648999999999998E-3</v>
      </c>
      <c r="AH12">
        <f t="shared" si="4"/>
        <v>2.3346999999999999E-3</v>
      </c>
    </row>
    <row r="13" spans="1:35" x14ac:dyDescent="0.25">
      <c r="B13" t="str">
        <f>Conference_hub_summary!H24</f>
        <v>Newark Liberty International Airport</v>
      </c>
      <c r="C13" t="str">
        <f>C9</f>
        <v>market for electricity, low voltage, US-RFC</v>
      </c>
      <c r="D13">
        <f>Transport_4_Hubs!W388/Transport_4_Hubs!AP390</f>
        <v>0.38642297650130547</v>
      </c>
      <c r="E13" t="str">
        <f t="shared" ref="E13:AH13" si="5">E9</f>
        <v>kWh</v>
      </c>
      <c r="F13" t="str">
        <f t="shared" si="5"/>
        <v>Ecoinvent v3.7.1</v>
      </c>
      <c r="G13">
        <f t="shared" si="5"/>
        <v>0.61436999999999997</v>
      </c>
      <c r="H13">
        <f t="shared" si="5"/>
        <v>8.2399E-2</v>
      </c>
      <c r="I13">
        <f t="shared" si="5"/>
        <v>6.7473999999999998</v>
      </c>
      <c r="J13">
        <f t="shared" si="5"/>
        <v>4.0428000000000003E-4</v>
      </c>
      <c r="K13">
        <f t="shared" si="5"/>
        <v>4.3425000000000002</v>
      </c>
      <c r="L13">
        <f t="shared" si="5"/>
        <v>1.3322000000000001E-5</v>
      </c>
      <c r="M13">
        <f t="shared" si="5"/>
        <v>1.5082999999999999E-2</v>
      </c>
      <c r="N13">
        <f t="shared" si="5"/>
        <v>6.8917000000000006E-2</v>
      </c>
      <c r="O13">
        <f t="shared" si="5"/>
        <v>0.1275</v>
      </c>
      <c r="P13">
        <f t="shared" si="5"/>
        <v>11.384216602</v>
      </c>
      <c r="Q13">
        <f t="shared" si="5"/>
        <v>1.3875999999999999E-2</v>
      </c>
      <c r="R13">
        <f t="shared" si="5"/>
        <v>0.60836999999999997</v>
      </c>
      <c r="S13">
        <f t="shared" si="5"/>
        <v>0.16855999999999999</v>
      </c>
      <c r="T13">
        <f t="shared" si="5"/>
        <v>2.7827999999999999E-2</v>
      </c>
      <c r="U13">
        <f t="shared" si="5"/>
        <v>3.4965000000000002E-4</v>
      </c>
      <c r="V13">
        <f t="shared" si="5"/>
        <v>0.24507000000000001</v>
      </c>
      <c r="W13">
        <f t="shared" si="5"/>
        <v>0.28216999999999998</v>
      </c>
      <c r="X13">
        <f t="shared" si="5"/>
        <v>2.3791E-2</v>
      </c>
      <c r="Y13">
        <f t="shared" si="5"/>
        <v>1.1882E-4</v>
      </c>
      <c r="Z13">
        <f t="shared" si="5"/>
        <v>1.1622E-2</v>
      </c>
      <c r="AA13">
        <f t="shared" si="5"/>
        <v>-2.4247999999999999E-5</v>
      </c>
      <c r="AB13">
        <f t="shared" si="5"/>
        <v>1.8053E-8</v>
      </c>
      <c r="AC13">
        <f t="shared" si="5"/>
        <v>1.1259E-3</v>
      </c>
      <c r="AD13">
        <f t="shared" si="5"/>
        <v>9.8528999999999999E-4</v>
      </c>
      <c r="AE13">
        <f t="shared" si="5"/>
        <v>1.8718000000000001E-3</v>
      </c>
      <c r="AF13">
        <f t="shared" si="5"/>
        <v>2.6829999999999999E-5</v>
      </c>
      <c r="AG13">
        <f t="shared" si="5"/>
        <v>2.5512999999999998E-3</v>
      </c>
      <c r="AH13">
        <f t="shared" si="5"/>
        <v>2.2418E-3</v>
      </c>
    </row>
    <row r="14" spans="1:35" x14ac:dyDescent="0.25">
      <c r="B14" t="str">
        <f>Conference_hub_summary!I24</f>
        <v>Chicago O'Hare International Airport</v>
      </c>
      <c r="C14" t="str">
        <f>C6</f>
        <v>market for electricity, low voltage, US-RFC</v>
      </c>
      <c r="D14">
        <f>Transport_4_Hubs!W389/Transport_4_Hubs!AP390</f>
        <v>0.34203655352480417</v>
      </c>
      <c r="E14" t="str">
        <f t="shared" ref="E14:AH14" si="6">E6</f>
        <v>kWh</v>
      </c>
      <c r="F14" t="str">
        <f t="shared" si="6"/>
        <v>Ecoinvent v3.7.1</v>
      </c>
      <c r="G14">
        <f t="shared" si="6"/>
        <v>0.61436999999999997</v>
      </c>
      <c r="H14">
        <f t="shared" si="6"/>
        <v>8.2399E-2</v>
      </c>
      <c r="I14">
        <f t="shared" si="6"/>
        <v>6.7473999999999998</v>
      </c>
      <c r="J14">
        <f t="shared" si="6"/>
        <v>4.0428000000000003E-4</v>
      </c>
      <c r="K14">
        <f t="shared" si="6"/>
        <v>4.3425000000000002</v>
      </c>
      <c r="L14">
        <f t="shared" si="6"/>
        <v>1.3322000000000001E-5</v>
      </c>
      <c r="M14">
        <f t="shared" si="6"/>
        <v>1.5082999999999999E-2</v>
      </c>
      <c r="N14">
        <f t="shared" si="6"/>
        <v>6.8917000000000006E-2</v>
      </c>
      <c r="O14">
        <f t="shared" si="6"/>
        <v>0.1275</v>
      </c>
      <c r="P14">
        <f t="shared" si="6"/>
        <v>11.384216602</v>
      </c>
      <c r="Q14">
        <f t="shared" si="6"/>
        <v>1.3875999999999999E-2</v>
      </c>
      <c r="R14">
        <f t="shared" si="6"/>
        <v>0.60836999999999997</v>
      </c>
      <c r="S14">
        <f t="shared" si="6"/>
        <v>0.16855999999999999</v>
      </c>
      <c r="T14">
        <f t="shared" si="6"/>
        <v>2.7827999999999999E-2</v>
      </c>
      <c r="U14">
        <f t="shared" si="6"/>
        <v>3.4965000000000002E-4</v>
      </c>
      <c r="V14">
        <f t="shared" si="6"/>
        <v>0.24507000000000001</v>
      </c>
      <c r="W14">
        <f t="shared" si="6"/>
        <v>0.28216999999999998</v>
      </c>
      <c r="X14">
        <f t="shared" si="6"/>
        <v>2.3791E-2</v>
      </c>
      <c r="Y14">
        <f t="shared" si="6"/>
        <v>1.1882E-4</v>
      </c>
      <c r="Z14">
        <f t="shared" si="6"/>
        <v>1.1622E-2</v>
      </c>
      <c r="AA14">
        <f t="shared" si="6"/>
        <v>-2.4247999999999999E-5</v>
      </c>
      <c r="AB14">
        <f t="shared" si="6"/>
        <v>1.8053E-8</v>
      </c>
      <c r="AC14">
        <f t="shared" si="6"/>
        <v>1.1259E-3</v>
      </c>
      <c r="AD14">
        <f t="shared" si="6"/>
        <v>9.8528999999999999E-4</v>
      </c>
      <c r="AE14">
        <f t="shared" si="6"/>
        <v>1.8718000000000001E-3</v>
      </c>
      <c r="AF14">
        <f t="shared" si="6"/>
        <v>2.6829999999999999E-5</v>
      </c>
      <c r="AG14">
        <f t="shared" si="6"/>
        <v>2.5512999999999998E-3</v>
      </c>
      <c r="AH14">
        <f t="shared" si="6"/>
        <v>2.2418E-3</v>
      </c>
    </row>
    <row r="15" spans="1:35" x14ac:dyDescent="0.25">
      <c r="B15" t="str">
        <f>Conference_hub_summary!J24</f>
        <v>Seattle-Tacoma International Airport</v>
      </c>
      <c r="C15" t="str">
        <f>'ACLCA_raw data'!L15</f>
        <v>market for electricity, low voltage, US-WECC</v>
      </c>
      <c r="D15">
        <f>Transport_4_Hubs!W387/Transport_4_Hubs!AP390</f>
        <v>0.17493472584856398</v>
      </c>
      <c r="E15" t="str">
        <f>'ACLCA_raw data'!N15</f>
        <v>kWh</v>
      </c>
      <c r="F15" t="str">
        <f>'ACLCA_raw data'!O15</f>
        <v>Ecoinvent v3.7.1</v>
      </c>
      <c r="G15">
        <f>'ACLCA_raw data'!P15</f>
        <v>0.41233999999999998</v>
      </c>
      <c r="H15">
        <f>'ACLCA_raw data'!Q15</f>
        <v>0.16356000000000001</v>
      </c>
      <c r="I15">
        <f>'ACLCA_raw data'!R15</f>
        <v>5.2107000000000001</v>
      </c>
      <c r="J15">
        <f>'ACLCA_raw data'!S15</f>
        <v>0.15804000000000001</v>
      </c>
      <c r="K15">
        <f>'ACLCA_raw data'!T15</f>
        <v>1.1274</v>
      </c>
      <c r="L15">
        <f>'ACLCA_raw data'!U15</f>
        <v>1.7768999999999999E-5</v>
      </c>
      <c r="M15">
        <f>'ACLCA_raw data'!V15</f>
        <v>0.32883000000000001</v>
      </c>
      <c r="N15">
        <f>'ACLCA_raw data'!W15</f>
        <v>1.0143</v>
      </c>
      <c r="O15">
        <f>'ACLCA_raw data'!X15</f>
        <v>0.29749999999999999</v>
      </c>
      <c r="P15">
        <f>'ACLCA_raw data'!Y15</f>
        <v>8.300347769</v>
      </c>
      <c r="Q15">
        <f>'ACLCA_raw data'!Z15</f>
        <v>2.4857000000000001E-2</v>
      </c>
      <c r="R15">
        <f>'ACLCA_raw data'!AA15</f>
        <v>0.40821000000000002</v>
      </c>
      <c r="S15">
        <f>'ACLCA_raw data'!AB15</f>
        <v>0.13331000000000001</v>
      </c>
      <c r="T15">
        <f>'ACLCA_raw data'!AC15</f>
        <v>2.9420000000000002E-2</v>
      </c>
      <c r="U15">
        <f>'ACLCA_raw data'!AD15</f>
        <v>4.3196E-4</v>
      </c>
      <c r="V15">
        <f>'ACLCA_raw data'!AE15</f>
        <v>0.27927000000000002</v>
      </c>
      <c r="W15">
        <f>'ACLCA_raw data'!AF15</f>
        <v>7.3639999999999997E-2</v>
      </c>
      <c r="X15">
        <f>'ACLCA_raw data'!AG15</f>
        <v>2.5277999999999998E-2</v>
      </c>
      <c r="Y15">
        <f>'ACLCA_raw data'!AH15</f>
        <v>1.1887000000000001E-4</v>
      </c>
      <c r="Z15">
        <f>'ACLCA_raw data'!AI15</f>
        <v>1.1467E-2</v>
      </c>
      <c r="AA15">
        <f>'ACLCA_raw data'!AJ15</f>
        <v>-1.4652E-5</v>
      </c>
      <c r="AB15">
        <f>'ACLCA_raw data'!AK15</f>
        <v>1.7493E-8</v>
      </c>
      <c r="AC15">
        <f>'ACLCA_raw data'!AL15</f>
        <v>1.5398E-3</v>
      </c>
      <c r="AD15">
        <f>'ACLCA_raw data'!AM15</f>
        <v>6.7785999999999996E-4</v>
      </c>
      <c r="AE15">
        <f>'ACLCA_raw data'!AN15</f>
        <v>7.8450000000000004E-4</v>
      </c>
      <c r="AF15">
        <f>'ACLCA_raw data'!AO15</f>
        <v>3.1801999999999998E-5</v>
      </c>
      <c r="AG15">
        <f>'ACLCA_raw data'!AP15</f>
        <v>2.3995000000000002E-3</v>
      </c>
      <c r="AH15">
        <f>'ACLCA_raw data'!AQ15</f>
        <v>3.0509000000000001E-3</v>
      </c>
    </row>
    <row r="16" spans="1:35" x14ac:dyDescent="0.25">
      <c r="B16" s="58" t="s">
        <v>809</v>
      </c>
      <c r="C16" s="58" t="s">
        <v>806</v>
      </c>
      <c r="D16" s="58">
        <f>SUM(D12:D15)</f>
        <v>0.99999999999999989</v>
      </c>
      <c r="E16" s="58" t="s">
        <v>105</v>
      </c>
      <c r="F16" s="58"/>
      <c r="G16" s="58">
        <f>SUMPRODUCT($D12:$D15,G12:G15)</f>
        <v>0.57203271540469969</v>
      </c>
      <c r="H16" s="58">
        <f>SUMPRODUCT($D12:$D15,H12:H15)</f>
        <v>0.10278457180156658</v>
      </c>
      <c r="I16" s="58">
        <f t="shared" ref="I16:AH16" si="7">SUMPRODUCT($D12:$D15,I12:I15)</f>
        <v>6.4126637075718005</v>
      </c>
      <c r="J16" s="58">
        <f t="shared" si="7"/>
        <v>2.8190515456919064E-2</v>
      </c>
      <c r="K16" s="58">
        <f t="shared" si="7"/>
        <v>3.5326600522193212</v>
      </c>
      <c r="L16" s="58">
        <f t="shared" si="7"/>
        <v>1.5796814621409922E-5</v>
      </c>
      <c r="M16" s="58">
        <f t="shared" si="7"/>
        <v>0.11308213315926893</v>
      </c>
      <c r="N16" s="58">
        <f t="shared" si="7"/>
        <v>0.24762533420365535</v>
      </c>
      <c r="O16" s="58">
        <f t="shared" si="7"/>
        <v>0.21509994778067884</v>
      </c>
      <c r="P16" s="58">
        <f t="shared" si="7"/>
        <v>10.652122059007834</v>
      </c>
      <c r="Q16" s="58">
        <f t="shared" si="7"/>
        <v>1.6585550913838117E-2</v>
      </c>
      <c r="R16" s="58">
        <f t="shared" si="7"/>
        <v>0.56638302872062662</v>
      </c>
      <c r="S16" s="58">
        <f t="shared" si="7"/>
        <v>0.1601117232375979</v>
      </c>
      <c r="T16" s="58">
        <f t="shared" si="7"/>
        <v>2.8952375979112269E-2</v>
      </c>
      <c r="U16" s="64">
        <f t="shared" si="7"/>
        <v>4.067969190600522E-4</v>
      </c>
      <c r="V16" s="58">
        <f t="shared" si="7"/>
        <v>0.27474049608355089</v>
      </c>
      <c r="W16" s="58">
        <f t="shared" si="7"/>
        <v>0.22729954308093991</v>
      </c>
      <c r="X16" s="58">
        <f t="shared" si="7"/>
        <v>2.4903673629242815E-2</v>
      </c>
      <c r="Y16" s="58">
        <f t="shared" si="7"/>
        <v>1.2667699738903396E-4</v>
      </c>
      <c r="Z16" s="58">
        <f t="shared" si="7"/>
        <v>1.1893976501305484E-2</v>
      </c>
      <c r="AA16" s="58">
        <f t="shared" si="7"/>
        <v>-2.2322788511749344E-5</v>
      </c>
      <c r="AB16" s="58">
        <f t="shared" si="7"/>
        <v>1.7435007832898173E-8</v>
      </c>
      <c r="AC16" s="58">
        <f t="shared" si="7"/>
        <v>1.1220835509138383E-3</v>
      </c>
      <c r="AD16" s="58">
        <f t="shared" si="7"/>
        <v>9.0626480417754578E-4</v>
      </c>
      <c r="AE16" s="58">
        <f t="shared" si="7"/>
        <v>1.5935827415143602E-3</v>
      </c>
      <c r="AF16" s="58">
        <f t="shared" si="7"/>
        <v>2.7830676240208873E-5</v>
      </c>
      <c r="AG16" s="58">
        <f t="shared" si="7"/>
        <v>2.5936827676240207E-3</v>
      </c>
      <c r="AH16" s="58">
        <f t="shared" si="7"/>
        <v>2.3923143603133156E-3</v>
      </c>
    </row>
    <row r="17" spans="2:34" x14ac:dyDescent="0.25">
      <c r="B17" t="str">
        <f>Conference_hub_summary!G25</f>
        <v>Flughafen, Frankfurt/Main</v>
      </c>
      <c r="C17" t="str">
        <f>C5</f>
        <v>market for electricity, low voltage, DE</v>
      </c>
      <c r="D17">
        <f>Transport_5_Hubs!W387/Transport_5_Hubs!AP390</f>
        <v>9.6605744125326368E-2</v>
      </c>
      <c r="E17" t="str">
        <f t="shared" ref="E17:AH17" si="8">E5</f>
        <v>kWh</v>
      </c>
      <c r="F17" t="str">
        <f t="shared" si="8"/>
        <v>Ecoinvent v3.7.1</v>
      </c>
      <c r="G17">
        <f t="shared" si="8"/>
        <v>0.54196</v>
      </c>
      <c r="H17">
        <f t="shared" si="8"/>
        <v>0.14645</v>
      </c>
      <c r="I17">
        <f t="shared" si="8"/>
        <v>6.0651000000000002</v>
      </c>
      <c r="J17">
        <f t="shared" si="8"/>
        <v>2.5809000000000001E-3</v>
      </c>
      <c r="K17">
        <f t="shared" si="8"/>
        <v>1.7815000000000001</v>
      </c>
      <c r="L17">
        <f t="shared" si="8"/>
        <v>3.0886999999999998E-5</v>
      </c>
      <c r="M17">
        <f t="shared" si="8"/>
        <v>0.46137</v>
      </c>
      <c r="N17">
        <f t="shared" si="8"/>
        <v>0.20688000000000001</v>
      </c>
      <c r="O17">
        <f t="shared" si="8"/>
        <v>0.72643999999999997</v>
      </c>
      <c r="P17">
        <f t="shared" si="8"/>
        <v>9.3903517870000002</v>
      </c>
      <c r="Q17">
        <f t="shared" si="8"/>
        <v>2.2039E-2</v>
      </c>
      <c r="R17">
        <f t="shared" si="8"/>
        <v>0.53620000000000001</v>
      </c>
      <c r="S17">
        <f t="shared" si="8"/>
        <v>0.14494000000000001</v>
      </c>
      <c r="T17">
        <f t="shared" si="8"/>
        <v>3.6583999999999998E-2</v>
      </c>
      <c r="U17">
        <f t="shared" si="8"/>
        <v>7.9215000000000004E-4</v>
      </c>
      <c r="V17">
        <f t="shared" si="8"/>
        <v>0.49026999999999998</v>
      </c>
      <c r="W17">
        <f t="shared" si="8"/>
        <v>9.1795000000000002E-2</v>
      </c>
      <c r="X17">
        <f t="shared" si="8"/>
        <v>3.2615999999999999E-2</v>
      </c>
      <c r="Y17">
        <f t="shared" si="8"/>
        <v>2.0006000000000001E-4</v>
      </c>
      <c r="Z17">
        <f t="shared" si="8"/>
        <v>1.4718E-2</v>
      </c>
      <c r="AA17">
        <f t="shared" si="8"/>
        <v>-2.1696E-5</v>
      </c>
      <c r="AB17">
        <f t="shared" si="8"/>
        <v>1.267E-8</v>
      </c>
      <c r="AC17">
        <f t="shared" si="8"/>
        <v>3.369E-4</v>
      </c>
      <c r="AD17">
        <f t="shared" si="8"/>
        <v>7.2397E-4</v>
      </c>
      <c r="AE17">
        <f t="shared" si="8"/>
        <v>9.6077000000000001E-4</v>
      </c>
      <c r="AF17">
        <f t="shared" si="8"/>
        <v>2.8184999999999999E-5</v>
      </c>
      <c r="AG17">
        <f t="shared" si="8"/>
        <v>3.2648999999999998E-3</v>
      </c>
      <c r="AH17">
        <f t="shared" si="8"/>
        <v>2.3346999999999999E-3</v>
      </c>
    </row>
    <row r="18" spans="2:34" x14ac:dyDescent="0.25">
      <c r="B18" t="str">
        <f>Conference_hub_summary!H25</f>
        <v>Chicago O'Hare International Airport</v>
      </c>
      <c r="C18" t="str">
        <f>C6</f>
        <v>market for electricity, low voltage, US-RFC</v>
      </c>
      <c r="D18">
        <f>Transport_5_Hubs!W386/Transport_5_Hubs!AP390</f>
        <v>0.25848563968668409</v>
      </c>
      <c r="E18" t="str">
        <f t="shared" ref="E18:AH18" si="9">E6</f>
        <v>kWh</v>
      </c>
      <c r="F18" t="str">
        <f t="shared" si="9"/>
        <v>Ecoinvent v3.7.1</v>
      </c>
      <c r="G18">
        <f t="shared" si="9"/>
        <v>0.61436999999999997</v>
      </c>
      <c r="H18">
        <f t="shared" si="9"/>
        <v>8.2399E-2</v>
      </c>
      <c r="I18">
        <f t="shared" si="9"/>
        <v>6.7473999999999998</v>
      </c>
      <c r="J18">
        <f t="shared" si="9"/>
        <v>4.0428000000000003E-4</v>
      </c>
      <c r="K18">
        <f t="shared" si="9"/>
        <v>4.3425000000000002</v>
      </c>
      <c r="L18">
        <f t="shared" si="9"/>
        <v>1.3322000000000001E-5</v>
      </c>
      <c r="M18">
        <f t="shared" si="9"/>
        <v>1.5082999999999999E-2</v>
      </c>
      <c r="N18">
        <f t="shared" si="9"/>
        <v>6.8917000000000006E-2</v>
      </c>
      <c r="O18">
        <f t="shared" si="9"/>
        <v>0.1275</v>
      </c>
      <c r="P18">
        <f t="shared" si="9"/>
        <v>11.384216602</v>
      </c>
      <c r="Q18">
        <f t="shared" si="9"/>
        <v>1.3875999999999999E-2</v>
      </c>
      <c r="R18">
        <f t="shared" si="9"/>
        <v>0.60836999999999997</v>
      </c>
      <c r="S18">
        <f t="shared" si="9"/>
        <v>0.16855999999999999</v>
      </c>
      <c r="T18">
        <f t="shared" si="9"/>
        <v>2.7827999999999999E-2</v>
      </c>
      <c r="U18">
        <f t="shared" si="9"/>
        <v>3.4965000000000002E-4</v>
      </c>
      <c r="V18">
        <f t="shared" si="9"/>
        <v>0.24507000000000001</v>
      </c>
      <c r="W18">
        <f t="shared" si="9"/>
        <v>0.28216999999999998</v>
      </c>
      <c r="X18">
        <f t="shared" si="9"/>
        <v>2.3791E-2</v>
      </c>
      <c r="Y18">
        <f t="shared" si="9"/>
        <v>1.1882E-4</v>
      </c>
      <c r="Z18">
        <f t="shared" si="9"/>
        <v>1.1622E-2</v>
      </c>
      <c r="AA18">
        <f t="shared" si="9"/>
        <v>-2.4247999999999999E-5</v>
      </c>
      <c r="AB18">
        <f t="shared" si="9"/>
        <v>1.8053E-8</v>
      </c>
      <c r="AC18">
        <f t="shared" si="9"/>
        <v>1.1259E-3</v>
      </c>
      <c r="AD18">
        <f t="shared" si="9"/>
        <v>9.8528999999999999E-4</v>
      </c>
      <c r="AE18">
        <f t="shared" si="9"/>
        <v>1.8718000000000001E-3</v>
      </c>
      <c r="AF18">
        <f t="shared" si="9"/>
        <v>2.6829999999999999E-5</v>
      </c>
      <c r="AG18">
        <f t="shared" si="9"/>
        <v>2.5512999999999998E-3</v>
      </c>
      <c r="AH18">
        <f t="shared" si="9"/>
        <v>2.2418E-3</v>
      </c>
    </row>
    <row r="19" spans="2:34" x14ac:dyDescent="0.25">
      <c r="B19" t="str">
        <f>Conference_hub_summary!I25</f>
        <v>Denver International Airport</v>
      </c>
      <c r="C19" t="str">
        <f>C10</f>
        <v>market for electricity, low voltage, US-WECC</v>
      </c>
      <c r="D19">
        <f>Transport_5_Hubs!W388/Transport_5_Hubs!AP390</f>
        <v>0.12010443864229765</v>
      </c>
      <c r="E19" t="str">
        <f t="shared" ref="E19:AH19" si="10">E10</f>
        <v>kWh</v>
      </c>
      <c r="F19" t="str">
        <f t="shared" si="10"/>
        <v>Ecoinvent v3.7.1</v>
      </c>
      <c r="G19">
        <f t="shared" si="10"/>
        <v>0.41233999999999998</v>
      </c>
      <c r="H19">
        <f t="shared" si="10"/>
        <v>0.16356000000000001</v>
      </c>
      <c r="I19">
        <f t="shared" si="10"/>
        <v>5.2107000000000001</v>
      </c>
      <c r="J19">
        <f t="shared" si="10"/>
        <v>0.15804000000000001</v>
      </c>
      <c r="K19">
        <f t="shared" si="10"/>
        <v>1.1274</v>
      </c>
      <c r="L19">
        <f t="shared" si="10"/>
        <v>1.7768999999999999E-5</v>
      </c>
      <c r="M19">
        <f t="shared" si="10"/>
        <v>0.32883000000000001</v>
      </c>
      <c r="N19">
        <f t="shared" si="10"/>
        <v>1.0143</v>
      </c>
      <c r="O19">
        <f t="shared" si="10"/>
        <v>0.29749999999999999</v>
      </c>
      <c r="P19">
        <f t="shared" si="10"/>
        <v>8.300347769</v>
      </c>
      <c r="Q19">
        <f t="shared" si="10"/>
        <v>2.4857000000000001E-2</v>
      </c>
      <c r="R19">
        <f t="shared" si="10"/>
        <v>0.40821000000000002</v>
      </c>
      <c r="S19">
        <f t="shared" si="10"/>
        <v>0.13331000000000001</v>
      </c>
      <c r="T19">
        <f t="shared" si="10"/>
        <v>2.9420000000000002E-2</v>
      </c>
      <c r="U19">
        <f t="shared" si="10"/>
        <v>4.3196E-4</v>
      </c>
      <c r="V19">
        <f t="shared" si="10"/>
        <v>0.27927000000000002</v>
      </c>
      <c r="W19">
        <f t="shared" si="10"/>
        <v>7.3639999999999997E-2</v>
      </c>
      <c r="X19">
        <f t="shared" si="10"/>
        <v>2.5277999999999998E-2</v>
      </c>
      <c r="Y19">
        <f t="shared" si="10"/>
        <v>1.1887000000000001E-4</v>
      </c>
      <c r="Z19">
        <f t="shared" si="10"/>
        <v>1.1467E-2</v>
      </c>
      <c r="AA19">
        <f t="shared" si="10"/>
        <v>-1.4652E-5</v>
      </c>
      <c r="AB19">
        <f t="shared" si="10"/>
        <v>1.7493E-8</v>
      </c>
      <c r="AC19">
        <f t="shared" si="10"/>
        <v>1.5398E-3</v>
      </c>
      <c r="AD19">
        <f t="shared" si="10"/>
        <v>6.7785999999999996E-4</v>
      </c>
      <c r="AE19">
        <f t="shared" si="10"/>
        <v>7.8450000000000004E-4</v>
      </c>
      <c r="AF19">
        <f t="shared" si="10"/>
        <v>3.1801999999999998E-5</v>
      </c>
      <c r="AG19">
        <f t="shared" si="10"/>
        <v>2.3995000000000002E-3</v>
      </c>
      <c r="AH19">
        <f t="shared" si="10"/>
        <v>3.0509000000000001E-3</v>
      </c>
    </row>
    <row r="20" spans="2:34" x14ac:dyDescent="0.25">
      <c r="B20" t="str">
        <f>Conference_hub_summary!J25</f>
        <v>Seattle-Tacoma International Airport</v>
      </c>
      <c r="C20" t="str">
        <f>C15</f>
        <v>market for electricity, low voltage, US-WECC</v>
      </c>
      <c r="D20">
        <f>Transport_5_Hubs!W390/Transport_5_Hubs!AP390</f>
        <v>0.13838120104438642</v>
      </c>
      <c r="E20" t="str">
        <f t="shared" ref="E20:AH20" si="11">E15</f>
        <v>kWh</v>
      </c>
      <c r="F20" t="str">
        <f t="shared" si="11"/>
        <v>Ecoinvent v3.7.1</v>
      </c>
      <c r="G20">
        <f t="shared" si="11"/>
        <v>0.41233999999999998</v>
      </c>
      <c r="H20">
        <f t="shared" si="11"/>
        <v>0.16356000000000001</v>
      </c>
      <c r="I20">
        <f t="shared" si="11"/>
        <v>5.2107000000000001</v>
      </c>
      <c r="J20">
        <f t="shared" si="11"/>
        <v>0.15804000000000001</v>
      </c>
      <c r="K20">
        <f t="shared" si="11"/>
        <v>1.1274</v>
      </c>
      <c r="L20">
        <f t="shared" si="11"/>
        <v>1.7768999999999999E-5</v>
      </c>
      <c r="M20">
        <f t="shared" si="11"/>
        <v>0.32883000000000001</v>
      </c>
      <c r="N20">
        <f t="shared" si="11"/>
        <v>1.0143</v>
      </c>
      <c r="O20">
        <f t="shared" si="11"/>
        <v>0.29749999999999999</v>
      </c>
      <c r="P20">
        <f t="shared" si="11"/>
        <v>8.300347769</v>
      </c>
      <c r="Q20">
        <f t="shared" si="11"/>
        <v>2.4857000000000001E-2</v>
      </c>
      <c r="R20">
        <f t="shared" si="11"/>
        <v>0.40821000000000002</v>
      </c>
      <c r="S20">
        <f t="shared" si="11"/>
        <v>0.13331000000000001</v>
      </c>
      <c r="T20">
        <f t="shared" si="11"/>
        <v>2.9420000000000002E-2</v>
      </c>
      <c r="U20">
        <f t="shared" si="11"/>
        <v>4.3196E-4</v>
      </c>
      <c r="V20">
        <f t="shared" si="11"/>
        <v>0.27927000000000002</v>
      </c>
      <c r="W20">
        <f t="shared" si="11"/>
        <v>7.3639999999999997E-2</v>
      </c>
      <c r="X20">
        <f t="shared" si="11"/>
        <v>2.5277999999999998E-2</v>
      </c>
      <c r="Y20">
        <f t="shared" si="11"/>
        <v>1.1887000000000001E-4</v>
      </c>
      <c r="Z20">
        <f t="shared" si="11"/>
        <v>1.1467E-2</v>
      </c>
      <c r="AA20">
        <f t="shared" si="11"/>
        <v>-1.4652E-5</v>
      </c>
      <c r="AB20">
        <f t="shared" si="11"/>
        <v>1.7493E-8</v>
      </c>
      <c r="AC20">
        <f t="shared" si="11"/>
        <v>1.5398E-3</v>
      </c>
      <c r="AD20">
        <f t="shared" si="11"/>
        <v>6.7785999999999996E-4</v>
      </c>
      <c r="AE20">
        <f t="shared" si="11"/>
        <v>7.8450000000000004E-4</v>
      </c>
      <c r="AF20">
        <f t="shared" si="11"/>
        <v>3.1801999999999998E-5</v>
      </c>
      <c r="AG20">
        <f t="shared" si="11"/>
        <v>2.3995000000000002E-3</v>
      </c>
      <c r="AH20">
        <f t="shared" si="11"/>
        <v>3.0509000000000001E-3</v>
      </c>
    </row>
    <row r="21" spans="2:34" x14ac:dyDescent="0.25">
      <c r="B21" t="str">
        <f>Conference_hub_summary!K25</f>
        <v>Newark Liberty International Airport</v>
      </c>
      <c r="C21" t="str">
        <f>C9</f>
        <v>market for electricity, low voltage, US-RFC</v>
      </c>
      <c r="D21">
        <f>Transport_5_Hubs!W389/Transport_5_Hubs!AP390</f>
        <v>0.38642297650130547</v>
      </c>
      <c r="E21" t="str">
        <f t="shared" ref="E21:AH21" si="12">E9</f>
        <v>kWh</v>
      </c>
      <c r="F21" t="str">
        <f t="shared" si="12"/>
        <v>Ecoinvent v3.7.1</v>
      </c>
      <c r="G21">
        <f t="shared" si="12"/>
        <v>0.61436999999999997</v>
      </c>
      <c r="H21">
        <f t="shared" si="12"/>
        <v>8.2399E-2</v>
      </c>
      <c r="I21">
        <f t="shared" si="12"/>
        <v>6.7473999999999998</v>
      </c>
      <c r="J21">
        <f t="shared" si="12"/>
        <v>4.0428000000000003E-4</v>
      </c>
      <c r="K21">
        <f t="shared" si="12"/>
        <v>4.3425000000000002</v>
      </c>
      <c r="L21">
        <f t="shared" si="12"/>
        <v>1.3322000000000001E-5</v>
      </c>
      <c r="M21">
        <f t="shared" si="12"/>
        <v>1.5082999999999999E-2</v>
      </c>
      <c r="N21">
        <f t="shared" si="12"/>
        <v>6.8917000000000006E-2</v>
      </c>
      <c r="O21">
        <f t="shared" si="12"/>
        <v>0.1275</v>
      </c>
      <c r="P21">
        <f t="shared" si="12"/>
        <v>11.384216602</v>
      </c>
      <c r="Q21">
        <f t="shared" si="12"/>
        <v>1.3875999999999999E-2</v>
      </c>
      <c r="R21">
        <f t="shared" si="12"/>
        <v>0.60836999999999997</v>
      </c>
      <c r="S21">
        <f t="shared" si="12"/>
        <v>0.16855999999999999</v>
      </c>
      <c r="T21">
        <f t="shared" si="12"/>
        <v>2.7827999999999999E-2</v>
      </c>
      <c r="U21">
        <f t="shared" si="12"/>
        <v>3.4965000000000002E-4</v>
      </c>
      <c r="V21">
        <f t="shared" si="12"/>
        <v>0.24507000000000001</v>
      </c>
      <c r="W21">
        <f t="shared" si="12"/>
        <v>0.28216999999999998</v>
      </c>
      <c r="X21">
        <f t="shared" si="12"/>
        <v>2.3791E-2</v>
      </c>
      <c r="Y21">
        <f t="shared" si="12"/>
        <v>1.1882E-4</v>
      </c>
      <c r="Z21">
        <f t="shared" si="12"/>
        <v>1.1622E-2</v>
      </c>
      <c r="AA21">
        <f t="shared" si="12"/>
        <v>-2.4247999999999999E-5</v>
      </c>
      <c r="AB21">
        <f t="shared" si="12"/>
        <v>1.8053E-8</v>
      </c>
      <c r="AC21">
        <f t="shared" si="12"/>
        <v>1.1259E-3</v>
      </c>
      <c r="AD21">
        <f t="shared" si="12"/>
        <v>9.8528999999999999E-4</v>
      </c>
      <c r="AE21">
        <f t="shared" si="12"/>
        <v>1.8718000000000001E-3</v>
      </c>
      <c r="AF21">
        <f t="shared" si="12"/>
        <v>2.6829999999999999E-5</v>
      </c>
      <c r="AG21">
        <f t="shared" si="12"/>
        <v>2.5512999999999998E-3</v>
      </c>
      <c r="AH21">
        <f t="shared" si="12"/>
        <v>2.2418E-3</v>
      </c>
    </row>
    <row r="22" spans="2:34" x14ac:dyDescent="0.25">
      <c r="B22" s="58" t="s">
        <v>810</v>
      </c>
      <c r="C22" s="58" t="s">
        <v>806</v>
      </c>
      <c r="D22" s="58">
        <f>SUM(D17:D21)</f>
        <v>1</v>
      </c>
      <c r="E22" s="58" t="s">
        <v>105</v>
      </c>
      <c r="F22" s="58"/>
      <c r="G22" s="58">
        <f>SUMPRODUCT($D17:$D21,G17:G21)</f>
        <v>0.55515292428198437</v>
      </c>
      <c r="H22" s="58">
        <f t="shared" ref="H22:AH22" si="13">SUMPRODUCT($D17:$D21,H17:H21)</f>
        <v>0.10956564751958225</v>
      </c>
      <c r="I22" s="58">
        <f t="shared" si="13"/>
        <v>6.2842710182767618</v>
      </c>
      <c r="J22" s="58">
        <f t="shared" si="13"/>
        <v>4.1361123916449083E-2</v>
      </c>
      <c r="K22" s="58">
        <f t="shared" si="13"/>
        <v>3.2640355091383815</v>
      </c>
      <c r="L22" s="58">
        <f t="shared" si="13"/>
        <v>1.6168365535248041E-5</v>
      </c>
      <c r="M22" s="58">
        <f t="shared" si="13"/>
        <v>0.13929598172323759</v>
      </c>
      <c r="N22" s="58">
        <f t="shared" si="13"/>
        <v>0.32661294778067884</v>
      </c>
      <c r="O22" s="58">
        <f t="shared" si="13"/>
        <v>0.22930360313315928</v>
      </c>
      <c r="P22" s="58">
        <f t="shared" si="13"/>
        <v>10.394461999853787</v>
      </c>
      <c r="Q22" s="58">
        <f t="shared" si="13"/>
        <v>1.7503023498694516E-2</v>
      </c>
      <c r="R22" s="58">
        <f t="shared" si="13"/>
        <v>0.54965947780678848</v>
      </c>
      <c r="S22" s="58">
        <f t="shared" si="13"/>
        <v>0.15716655352480419</v>
      </c>
      <c r="T22" s="58">
        <f t="shared" si="13"/>
        <v>2.908538903394256E-2</v>
      </c>
      <c r="U22" s="64">
        <f t="shared" si="13"/>
        <v>4.136739947780679E-4</v>
      </c>
      <c r="V22" s="58">
        <f t="shared" si="13"/>
        <v>0.27759793733681465</v>
      </c>
      <c r="W22" s="58">
        <f t="shared" si="13"/>
        <v>0.20987667101827676</v>
      </c>
      <c r="X22" s="58">
        <f t="shared" si="13"/>
        <v>2.5027913838120107E-2</v>
      </c>
      <c r="Y22" s="58">
        <f t="shared" si="13"/>
        <v>1.2668117493472585E-4</v>
      </c>
      <c r="Z22" s="58">
        <f t="shared" si="13"/>
        <v>1.1881026109660575E-2</v>
      </c>
      <c r="AA22" s="58">
        <f t="shared" si="13"/>
        <v>-2.1521033942558744E-5</v>
      </c>
      <c r="AB22" s="58">
        <f t="shared" si="13"/>
        <v>1.7388219321148827E-8</v>
      </c>
      <c r="AC22" s="58">
        <f t="shared" si="13"/>
        <v>1.156665274151436E-3</v>
      </c>
      <c r="AD22" s="58">
        <f t="shared" si="13"/>
        <v>8.8057874673629251E-4</v>
      </c>
      <c r="AE22" s="58">
        <f t="shared" si="13"/>
        <v>1.5027378328981724E-3</v>
      </c>
      <c r="AF22" s="58">
        <f t="shared" si="13"/>
        <v>2.824609138381201E-5</v>
      </c>
      <c r="AG22" s="58">
        <f t="shared" si="13"/>
        <v>2.5809997389033938E-3</v>
      </c>
      <c r="AH22" s="58">
        <f t="shared" si="13"/>
        <v>2.459915404699739E-3</v>
      </c>
    </row>
    <row r="23" spans="2:34" x14ac:dyDescent="0.25">
      <c r="B23" t="str">
        <f>Conference_hub_summary!G26</f>
        <v>Flughafen, Frankfurt/Main</v>
      </c>
      <c r="C23" t="str">
        <f>C5</f>
        <v>market for electricity, low voltage, DE</v>
      </c>
      <c r="D23">
        <f>Transport_6_Hubs!W387/Transport_6_Hubs!AP390</f>
        <v>9.6605744125326368E-2</v>
      </c>
      <c r="E23" t="str">
        <f t="shared" ref="E23:AH23" si="14">E5</f>
        <v>kWh</v>
      </c>
      <c r="F23" t="str">
        <f t="shared" si="14"/>
        <v>Ecoinvent v3.7.1</v>
      </c>
      <c r="G23">
        <f>G5</f>
        <v>0.54196</v>
      </c>
      <c r="H23">
        <f t="shared" si="14"/>
        <v>0.14645</v>
      </c>
      <c r="I23">
        <f t="shared" si="14"/>
        <v>6.0651000000000002</v>
      </c>
      <c r="J23">
        <f t="shared" si="14"/>
        <v>2.5809000000000001E-3</v>
      </c>
      <c r="K23">
        <f t="shared" si="14"/>
        <v>1.7815000000000001</v>
      </c>
      <c r="L23">
        <f t="shared" si="14"/>
        <v>3.0886999999999998E-5</v>
      </c>
      <c r="M23">
        <f t="shared" si="14"/>
        <v>0.46137</v>
      </c>
      <c r="N23">
        <f t="shared" si="14"/>
        <v>0.20688000000000001</v>
      </c>
      <c r="O23">
        <f t="shared" si="14"/>
        <v>0.72643999999999997</v>
      </c>
      <c r="P23">
        <f t="shared" si="14"/>
        <v>9.3903517870000002</v>
      </c>
      <c r="Q23">
        <f t="shared" si="14"/>
        <v>2.2039E-2</v>
      </c>
      <c r="R23">
        <f t="shared" si="14"/>
        <v>0.53620000000000001</v>
      </c>
      <c r="S23">
        <f t="shared" si="14"/>
        <v>0.14494000000000001</v>
      </c>
      <c r="T23">
        <f t="shared" si="14"/>
        <v>3.6583999999999998E-2</v>
      </c>
      <c r="U23">
        <f t="shared" si="14"/>
        <v>7.9215000000000004E-4</v>
      </c>
      <c r="V23">
        <f t="shared" si="14"/>
        <v>0.49026999999999998</v>
      </c>
      <c r="W23">
        <f t="shared" si="14"/>
        <v>9.1795000000000002E-2</v>
      </c>
      <c r="X23">
        <f t="shared" si="14"/>
        <v>3.2615999999999999E-2</v>
      </c>
      <c r="Y23">
        <f t="shared" si="14"/>
        <v>2.0006000000000001E-4</v>
      </c>
      <c r="Z23">
        <f t="shared" si="14"/>
        <v>1.4718E-2</v>
      </c>
      <c r="AA23">
        <f t="shared" si="14"/>
        <v>-2.1696E-5</v>
      </c>
      <c r="AB23">
        <f t="shared" si="14"/>
        <v>1.267E-8</v>
      </c>
      <c r="AC23">
        <f t="shared" si="14"/>
        <v>3.369E-4</v>
      </c>
      <c r="AD23">
        <f t="shared" si="14"/>
        <v>7.2397E-4</v>
      </c>
      <c r="AE23">
        <f t="shared" si="14"/>
        <v>9.6077000000000001E-4</v>
      </c>
      <c r="AF23">
        <f t="shared" si="14"/>
        <v>2.8184999999999999E-5</v>
      </c>
      <c r="AG23">
        <f t="shared" si="14"/>
        <v>3.2648999999999998E-3</v>
      </c>
      <c r="AH23">
        <f t="shared" si="14"/>
        <v>2.3346999999999999E-3</v>
      </c>
    </row>
    <row r="24" spans="2:34" x14ac:dyDescent="0.25">
      <c r="B24" t="str">
        <f>Conference_hub_summary!H26</f>
        <v>Chicago O'Hare International Airport</v>
      </c>
      <c r="C24" t="str">
        <f>C6</f>
        <v>market for electricity, low voltage, US-RFC</v>
      </c>
      <c r="D24">
        <f>Transport_6_Hubs!W386/Transport_6_Hubs!AP390</f>
        <v>0.20887728459530025</v>
      </c>
      <c r="E24" t="str">
        <f t="shared" ref="E24:AH24" si="15">E6</f>
        <v>kWh</v>
      </c>
      <c r="F24" t="str">
        <f t="shared" si="15"/>
        <v>Ecoinvent v3.7.1</v>
      </c>
      <c r="G24">
        <f t="shared" si="15"/>
        <v>0.61436999999999997</v>
      </c>
      <c r="H24">
        <f t="shared" si="15"/>
        <v>8.2399E-2</v>
      </c>
      <c r="I24">
        <f t="shared" si="15"/>
        <v>6.7473999999999998</v>
      </c>
      <c r="J24">
        <f t="shared" si="15"/>
        <v>4.0428000000000003E-4</v>
      </c>
      <c r="K24">
        <f t="shared" si="15"/>
        <v>4.3425000000000002</v>
      </c>
      <c r="L24">
        <f t="shared" si="15"/>
        <v>1.3322000000000001E-5</v>
      </c>
      <c r="M24">
        <f t="shared" si="15"/>
        <v>1.5082999999999999E-2</v>
      </c>
      <c r="N24">
        <f t="shared" si="15"/>
        <v>6.8917000000000006E-2</v>
      </c>
      <c r="O24">
        <f t="shared" si="15"/>
        <v>0.1275</v>
      </c>
      <c r="P24">
        <f t="shared" si="15"/>
        <v>11.384216602</v>
      </c>
      <c r="Q24">
        <f t="shared" si="15"/>
        <v>1.3875999999999999E-2</v>
      </c>
      <c r="R24">
        <f t="shared" si="15"/>
        <v>0.60836999999999997</v>
      </c>
      <c r="S24">
        <f t="shared" si="15"/>
        <v>0.16855999999999999</v>
      </c>
      <c r="T24">
        <f t="shared" si="15"/>
        <v>2.7827999999999999E-2</v>
      </c>
      <c r="U24">
        <f t="shared" si="15"/>
        <v>3.4965000000000002E-4</v>
      </c>
      <c r="V24">
        <f t="shared" si="15"/>
        <v>0.24507000000000001</v>
      </c>
      <c r="W24">
        <f t="shared" si="15"/>
        <v>0.28216999999999998</v>
      </c>
      <c r="X24">
        <f t="shared" si="15"/>
        <v>2.3791E-2</v>
      </c>
      <c r="Y24">
        <f t="shared" si="15"/>
        <v>1.1882E-4</v>
      </c>
      <c r="Z24">
        <f t="shared" si="15"/>
        <v>1.1622E-2</v>
      </c>
      <c r="AA24">
        <f t="shared" si="15"/>
        <v>-2.4247999999999999E-5</v>
      </c>
      <c r="AB24">
        <f t="shared" si="15"/>
        <v>1.8053E-8</v>
      </c>
      <c r="AC24">
        <f t="shared" si="15"/>
        <v>1.1259E-3</v>
      </c>
      <c r="AD24">
        <f t="shared" si="15"/>
        <v>9.8528999999999999E-4</v>
      </c>
      <c r="AE24">
        <f t="shared" si="15"/>
        <v>1.8718000000000001E-3</v>
      </c>
      <c r="AF24">
        <f t="shared" si="15"/>
        <v>2.6829999999999999E-5</v>
      </c>
      <c r="AG24">
        <f t="shared" si="15"/>
        <v>2.5512999999999998E-3</v>
      </c>
      <c r="AH24">
        <f t="shared" si="15"/>
        <v>2.2418E-3</v>
      </c>
    </row>
    <row r="25" spans="2:34" x14ac:dyDescent="0.25">
      <c r="B25" t="str">
        <f>Conference_hub_summary!I26</f>
        <v>Denver International Airport</v>
      </c>
      <c r="C25" t="str">
        <f>C10</f>
        <v>market for electricity, low voltage, US-WECC</v>
      </c>
      <c r="D25">
        <f>Transport_6_Hubs!W388/Transport_6_Hubs!AP390</f>
        <v>0.10704960835509138</v>
      </c>
      <c r="E25" t="str">
        <f t="shared" ref="E25:AH25" si="16">E10</f>
        <v>kWh</v>
      </c>
      <c r="F25" t="str">
        <f t="shared" si="16"/>
        <v>Ecoinvent v3.7.1</v>
      </c>
      <c r="G25">
        <f t="shared" si="16"/>
        <v>0.41233999999999998</v>
      </c>
      <c r="H25">
        <f t="shared" si="16"/>
        <v>0.16356000000000001</v>
      </c>
      <c r="I25">
        <f t="shared" si="16"/>
        <v>5.2107000000000001</v>
      </c>
      <c r="J25">
        <f t="shared" si="16"/>
        <v>0.15804000000000001</v>
      </c>
      <c r="K25">
        <f t="shared" si="16"/>
        <v>1.1274</v>
      </c>
      <c r="L25">
        <f t="shared" si="16"/>
        <v>1.7768999999999999E-5</v>
      </c>
      <c r="M25">
        <f t="shared" si="16"/>
        <v>0.32883000000000001</v>
      </c>
      <c r="N25">
        <f t="shared" si="16"/>
        <v>1.0143</v>
      </c>
      <c r="O25">
        <f t="shared" si="16"/>
        <v>0.29749999999999999</v>
      </c>
      <c r="P25">
        <f t="shared" si="16"/>
        <v>8.300347769</v>
      </c>
      <c r="Q25">
        <f t="shared" si="16"/>
        <v>2.4857000000000001E-2</v>
      </c>
      <c r="R25">
        <f t="shared" si="16"/>
        <v>0.40821000000000002</v>
      </c>
      <c r="S25">
        <f t="shared" si="16"/>
        <v>0.13331000000000001</v>
      </c>
      <c r="T25">
        <f t="shared" si="16"/>
        <v>2.9420000000000002E-2</v>
      </c>
      <c r="U25">
        <f t="shared" si="16"/>
        <v>4.3196E-4</v>
      </c>
      <c r="V25">
        <f t="shared" si="16"/>
        <v>0.27927000000000002</v>
      </c>
      <c r="W25">
        <f t="shared" si="16"/>
        <v>7.3639999999999997E-2</v>
      </c>
      <c r="X25">
        <f t="shared" si="16"/>
        <v>2.5277999999999998E-2</v>
      </c>
      <c r="Y25">
        <f t="shared" si="16"/>
        <v>1.1887000000000001E-4</v>
      </c>
      <c r="Z25">
        <f t="shared" si="16"/>
        <v>1.1467E-2</v>
      </c>
      <c r="AA25">
        <f t="shared" si="16"/>
        <v>-1.4652E-5</v>
      </c>
      <c r="AB25">
        <f t="shared" si="16"/>
        <v>1.7493E-8</v>
      </c>
      <c r="AC25">
        <f t="shared" si="16"/>
        <v>1.5398E-3</v>
      </c>
      <c r="AD25">
        <f t="shared" si="16"/>
        <v>6.7785999999999996E-4</v>
      </c>
      <c r="AE25">
        <f t="shared" si="16"/>
        <v>7.8450000000000004E-4</v>
      </c>
      <c r="AF25">
        <f t="shared" si="16"/>
        <v>3.1801999999999998E-5</v>
      </c>
      <c r="AG25">
        <f t="shared" si="16"/>
        <v>2.3995000000000002E-3</v>
      </c>
      <c r="AH25">
        <f t="shared" si="16"/>
        <v>3.0509000000000001E-3</v>
      </c>
    </row>
    <row r="26" spans="2:34" x14ac:dyDescent="0.25">
      <c r="B26" t="str">
        <f>Conference_hub_summary!J26</f>
        <v>Seattle-Tacoma International Airport</v>
      </c>
      <c r="C26" t="str">
        <f>C15</f>
        <v>market for electricity, low voltage, US-WECC</v>
      </c>
      <c r="D26">
        <f>Transport_6_Hubs!W390/Transport_6_Hubs!AP390</f>
        <v>0.13838120104438642</v>
      </c>
      <c r="E26" t="str">
        <f t="shared" ref="E26:AH26" si="17">E15</f>
        <v>kWh</v>
      </c>
      <c r="F26" t="str">
        <f t="shared" si="17"/>
        <v>Ecoinvent v3.7.1</v>
      </c>
      <c r="G26">
        <f t="shared" si="17"/>
        <v>0.41233999999999998</v>
      </c>
      <c r="H26">
        <f t="shared" si="17"/>
        <v>0.16356000000000001</v>
      </c>
      <c r="I26">
        <f t="shared" si="17"/>
        <v>5.2107000000000001</v>
      </c>
      <c r="J26">
        <f t="shared" si="17"/>
        <v>0.15804000000000001</v>
      </c>
      <c r="K26">
        <f t="shared" si="17"/>
        <v>1.1274</v>
      </c>
      <c r="L26">
        <f t="shared" si="17"/>
        <v>1.7768999999999999E-5</v>
      </c>
      <c r="M26">
        <f t="shared" si="17"/>
        <v>0.32883000000000001</v>
      </c>
      <c r="N26">
        <f t="shared" si="17"/>
        <v>1.0143</v>
      </c>
      <c r="O26">
        <f t="shared" si="17"/>
        <v>0.29749999999999999</v>
      </c>
      <c r="P26">
        <f t="shared" si="17"/>
        <v>8.300347769</v>
      </c>
      <c r="Q26">
        <f t="shared" si="17"/>
        <v>2.4857000000000001E-2</v>
      </c>
      <c r="R26">
        <f t="shared" si="17"/>
        <v>0.40821000000000002</v>
      </c>
      <c r="S26">
        <f t="shared" si="17"/>
        <v>0.13331000000000001</v>
      </c>
      <c r="T26">
        <f t="shared" si="17"/>
        <v>2.9420000000000002E-2</v>
      </c>
      <c r="U26">
        <f t="shared" si="17"/>
        <v>4.3196E-4</v>
      </c>
      <c r="V26">
        <f t="shared" si="17"/>
        <v>0.27927000000000002</v>
      </c>
      <c r="W26">
        <f t="shared" si="17"/>
        <v>7.3639999999999997E-2</v>
      </c>
      <c r="X26">
        <f t="shared" si="17"/>
        <v>2.5277999999999998E-2</v>
      </c>
      <c r="Y26">
        <f t="shared" si="17"/>
        <v>1.1887000000000001E-4</v>
      </c>
      <c r="Z26">
        <f t="shared" si="17"/>
        <v>1.1467E-2</v>
      </c>
      <c r="AA26">
        <f t="shared" si="17"/>
        <v>-1.4652E-5</v>
      </c>
      <c r="AB26">
        <f t="shared" si="17"/>
        <v>1.7493E-8</v>
      </c>
      <c r="AC26">
        <f t="shared" si="17"/>
        <v>1.5398E-3</v>
      </c>
      <c r="AD26">
        <f t="shared" si="17"/>
        <v>6.7785999999999996E-4</v>
      </c>
      <c r="AE26">
        <f t="shared" si="17"/>
        <v>7.8450000000000004E-4</v>
      </c>
      <c r="AF26">
        <f t="shared" si="17"/>
        <v>3.1801999999999998E-5</v>
      </c>
      <c r="AG26">
        <f t="shared" si="17"/>
        <v>2.3995000000000002E-3</v>
      </c>
      <c r="AH26">
        <f t="shared" si="17"/>
        <v>3.0509000000000001E-3</v>
      </c>
    </row>
    <row r="27" spans="2:34" x14ac:dyDescent="0.25">
      <c r="B27" t="str">
        <f>Conference_hub_summary!K26</f>
        <v>Newark Liberty International Airport</v>
      </c>
      <c r="C27" t="str">
        <f>C13</f>
        <v>market for electricity, low voltage, US-RFC</v>
      </c>
      <c r="D27">
        <f>Transport_6_Hubs!W389/Transport_6_Hubs!AP390</f>
        <v>0.33681462140992169</v>
      </c>
      <c r="E27" t="str">
        <f t="shared" ref="E27:AH27" si="18">E13</f>
        <v>kWh</v>
      </c>
      <c r="F27" t="str">
        <f t="shared" si="18"/>
        <v>Ecoinvent v3.7.1</v>
      </c>
      <c r="G27">
        <f t="shared" si="18"/>
        <v>0.61436999999999997</v>
      </c>
      <c r="H27">
        <f t="shared" si="18"/>
        <v>8.2399E-2</v>
      </c>
      <c r="I27">
        <f t="shared" si="18"/>
        <v>6.7473999999999998</v>
      </c>
      <c r="J27">
        <f t="shared" si="18"/>
        <v>4.0428000000000003E-4</v>
      </c>
      <c r="K27">
        <f t="shared" si="18"/>
        <v>4.3425000000000002</v>
      </c>
      <c r="L27">
        <f t="shared" si="18"/>
        <v>1.3322000000000001E-5</v>
      </c>
      <c r="M27">
        <f t="shared" si="18"/>
        <v>1.5082999999999999E-2</v>
      </c>
      <c r="N27">
        <f t="shared" si="18"/>
        <v>6.8917000000000006E-2</v>
      </c>
      <c r="O27">
        <f t="shared" si="18"/>
        <v>0.1275</v>
      </c>
      <c r="P27">
        <f t="shared" si="18"/>
        <v>11.384216602</v>
      </c>
      <c r="Q27">
        <f t="shared" si="18"/>
        <v>1.3875999999999999E-2</v>
      </c>
      <c r="R27">
        <f t="shared" si="18"/>
        <v>0.60836999999999997</v>
      </c>
      <c r="S27">
        <f t="shared" si="18"/>
        <v>0.16855999999999999</v>
      </c>
      <c r="T27">
        <f t="shared" si="18"/>
        <v>2.7827999999999999E-2</v>
      </c>
      <c r="U27">
        <f t="shared" si="18"/>
        <v>3.4965000000000002E-4</v>
      </c>
      <c r="V27">
        <f t="shared" si="18"/>
        <v>0.24507000000000001</v>
      </c>
      <c r="W27">
        <f t="shared" si="18"/>
        <v>0.28216999999999998</v>
      </c>
      <c r="X27">
        <f t="shared" si="18"/>
        <v>2.3791E-2</v>
      </c>
      <c r="Y27">
        <f t="shared" si="18"/>
        <v>1.1882E-4</v>
      </c>
      <c r="Z27">
        <f t="shared" si="18"/>
        <v>1.1622E-2</v>
      </c>
      <c r="AA27">
        <f t="shared" si="18"/>
        <v>-2.4247999999999999E-5</v>
      </c>
      <c r="AB27">
        <f t="shared" si="18"/>
        <v>1.8053E-8</v>
      </c>
      <c r="AC27">
        <f t="shared" si="18"/>
        <v>1.1259E-3</v>
      </c>
      <c r="AD27">
        <f t="shared" si="18"/>
        <v>9.8528999999999999E-4</v>
      </c>
      <c r="AE27">
        <f t="shared" si="18"/>
        <v>1.8718000000000001E-3</v>
      </c>
      <c r="AF27">
        <f t="shared" si="18"/>
        <v>2.6829999999999999E-5</v>
      </c>
      <c r="AG27">
        <f t="shared" si="18"/>
        <v>2.5512999999999998E-3</v>
      </c>
      <c r="AH27">
        <f t="shared" si="18"/>
        <v>2.2418E-3</v>
      </c>
    </row>
    <row r="28" spans="2:34" x14ac:dyDescent="0.25">
      <c r="B28" t="str">
        <f>Conference_hub_summary!L26</f>
        <v>Hartsfield-Jackson Atlanta International Airport</v>
      </c>
      <c r="C28" t="str">
        <f>'ACLCA_raw data'!L12</f>
        <v>market for electricity, low voltage, US-SERC</v>
      </c>
      <c r="D28">
        <f>Transport_6_Hubs!W391/Transport_6_Hubs!AP390</f>
        <v>0.1122715404699739</v>
      </c>
      <c r="E28" t="str">
        <f>'ACLCA_raw data'!N12</f>
        <v>kWh</v>
      </c>
      <c r="F28" t="str">
        <f>'ACLCA_raw data'!O12</f>
        <v>Ecoinvent v3.7.1</v>
      </c>
      <c r="G28">
        <f>'ACLCA_raw data'!P12</f>
        <v>0.6169</v>
      </c>
      <c r="H28">
        <f>'ACLCA_raw data'!Q12</f>
        <v>0.40769</v>
      </c>
      <c r="I28">
        <f>'ACLCA_raw data'!R12</f>
        <v>7.625</v>
      </c>
      <c r="J28">
        <f>'ACLCA_raw data'!S12</f>
        <v>4.4949999999999998E-4</v>
      </c>
      <c r="K28">
        <f>'ACLCA_raw data'!T12</f>
        <v>3.7017000000000002</v>
      </c>
      <c r="L28">
        <f>'ACLCA_raw data'!U12</f>
        <v>2.8177000000000001E-5</v>
      </c>
      <c r="M28">
        <f>'ACLCA_raw data'!V12</f>
        <v>5.8786999999999999E-2</v>
      </c>
      <c r="N28">
        <f>'ACLCA_raw data'!W12</f>
        <v>0.17446</v>
      </c>
      <c r="O28">
        <f>'ACLCA_raw data'!X12</f>
        <v>2.0888E-2</v>
      </c>
      <c r="P28">
        <f>'ACLCA_raw data'!Y12</f>
        <v>11.989002677000002</v>
      </c>
      <c r="Q28">
        <f>'ACLCA_raw data'!Z12</f>
        <v>5.7922000000000001E-2</v>
      </c>
      <c r="R28">
        <f>'ACLCA_raw data'!AA12</f>
        <v>0.61051</v>
      </c>
      <c r="S28">
        <f>'ACLCA_raw data'!AB12</f>
        <v>0.19485</v>
      </c>
      <c r="T28">
        <f>'ACLCA_raw data'!AC12</f>
        <v>2.9537999999999998E-2</v>
      </c>
      <c r="U28">
        <f>'ACLCA_raw data'!AD12</f>
        <v>4.3969000000000001E-4</v>
      </c>
      <c r="V28">
        <f>'ACLCA_raw data'!AE12</f>
        <v>0.29670999999999997</v>
      </c>
      <c r="W28">
        <f>'ACLCA_raw data'!AF12</f>
        <v>0.24057999999999999</v>
      </c>
      <c r="X28">
        <f>'ACLCA_raw data'!AG12</f>
        <v>2.5099E-2</v>
      </c>
      <c r="Y28">
        <f>'ACLCA_raw data'!AH12</f>
        <v>1.3415000000000001E-4</v>
      </c>
      <c r="Z28">
        <f>'ACLCA_raw data'!AI12</f>
        <v>1.1514E-2</v>
      </c>
      <c r="AA28">
        <f>'ACLCA_raw data'!AJ12</f>
        <v>-2.1906E-5</v>
      </c>
      <c r="AB28">
        <f>'ACLCA_raw data'!AK12</f>
        <v>2.5019999999999998E-8</v>
      </c>
      <c r="AC28">
        <f>'ACLCA_raw data'!AL12</f>
        <v>1.4063999999999999E-3</v>
      </c>
      <c r="AD28">
        <f>'ACLCA_raw data'!AM12</f>
        <v>8.8113000000000004E-4</v>
      </c>
      <c r="AE28">
        <f>'ACLCA_raw data'!AN12</f>
        <v>1.4815E-3</v>
      </c>
      <c r="AF28">
        <f>'ACLCA_raw data'!AO12</f>
        <v>3.5629000000000001E-5</v>
      </c>
      <c r="AG28">
        <f>'ACLCA_raw data'!AP12</f>
        <v>2.5611000000000002E-3</v>
      </c>
      <c r="AH28">
        <f>'ACLCA_raw data'!AQ12</f>
        <v>2.3032E-3</v>
      </c>
    </row>
    <row r="29" spans="2:34" x14ac:dyDescent="0.25">
      <c r="B29" s="58" t="s">
        <v>805</v>
      </c>
      <c r="C29" s="58" t="s">
        <v>806</v>
      </c>
      <c r="D29" s="58">
        <f>SUM(D23:D28)</f>
        <v>1</v>
      </c>
      <c r="E29" s="58" t="s">
        <v>105</v>
      </c>
      <c r="F29" s="58"/>
      <c r="G29" s="58">
        <f>SUMPRODUCT($D23:$D28,G23:G28)</f>
        <v>0.55807443864229755</v>
      </c>
      <c r="H29" s="58">
        <f t="shared" ref="H29:AH29" si="19">SUMPRODUCT($D23:$D28,H23:H28)</f>
        <v>0.14502702610966056</v>
      </c>
      <c r="I29" s="58">
        <f t="shared" si="19"/>
        <v>6.4028618798955614</v>
      </c>
      <c r="J29" s="58">
        <f t="shared" si="19"/>
        <v>3.9308293263707571E-2</v>
      </c>
      <c r="K29" s="58">
        <f t="shared" si="19"/>
        <v>3.234064490861619</v>
      </c>
      <c r="L29" s="58">
        <f t="shared" si="19"/>
        <v>1.7778104438642296E-5</v>
      </c>
      <c r="M29" s="58">
        <f t="shared" si="19"/>
        <v>0.14010678328981724</v>
      </c>
      <c r="N29" s="58">
        <f t="shared" si="19"/>
        <v>0.32612060835509132</v>
      </c>
      <c r="O29" s="58">
        <f t="shared" si="19"/>
        <v>0.21511478851174934</v>
      </c>
      <c r="P29" s="58">
        <f t="shared" si="19"/>
        <v>10.502621648391646</v>
      </c>
      <c r="Q29" s="58">
        <f t="shared" si="19"/>
        <v>2.2304780678851176E-2</v>
      </c>
      <c r="R29" s="58">
        <f t="shared" si="19"/>
        <v>0.55251279373368145</v>
      </c>
      <c r="S29" s="58">
        <f t="shared" si="19"/>
        <v>0.1605783550913838</v>
      </c>
      <c r="T29" s="58">
        <f t="shared" si="19"/>
        <v>2.9256590078328981E-2</v>
      </c>
      <c r="U29" s="65">
        <f t="shared" si="19"/>
        <v>4.2270838120104436E-4</v>
      </c>
      <c r="V29" s="58">
        <f t="shared" si="19"/>
        <v>0.28294916449086166</v>
      </c>
      <c r="W29" s="58">
        <f t="shared" si="19"/>
        <v>0.20792962140992166</v>
      </c>
      <c r="X29" s="58">
        <f t="shared" si="19"/>
        <v>2.5155352480417753E-2</v>
      </c>
      <c r="Y29" s="58">
        <f t="shared" si="19"/>
        <v>1.2840164490861619E-4</v>
      </c>
      <c r="Z29" s="58">
        <f t="shared" si="19"/>
        <v>1.1870924281984333E-2</v>
      </c>
      <c r="AA29" s="58">
        <f t="shared" si="19"/>
        <v>-2.1383368146214101E-5</v>
      </c>
      <c r="AB29" s="58">
        <f t="shared" si="19"/>
        <v>1.8177725848563967E-8</v>
      </c>
      <c r="AC29" s="58">
        <f t="shared" si="19"/>
        <v>1.1827540469973891E-3</v>
      </c>
      <c r="AD29" s="58">
        <f t="shared" si="19"/>
        <v>8.7289798955613579E-4</v>
      </c>
      <c r="AE29" s="58">
        <f t="shared" si="19"/>
        <v>1.4731127676240207E-3</v>
      </c>
      <c r="AF29" s="58">
        <f t="shared" si="19"/>
        <v>2.9169060052219319E-5</v>
      </c>
      <c r="AG29" s="58">
        <f t="shared" si="19"/>
        <v>2.5840817232375981E-3</v>
      </c>
      <c r="AH29" s="58">
        <f t="shared" si="19"/>
        <v>2.4562462140992167E-3</v>
      </c>
    </row>
    <row r="30" spans="2:34" x14ac:dyDescent="0.25">
      <c r="B30" t="s">
        <v>593</v>
      </c>
      <c r="C30" t="str">
        <f>'[3]LCIA-Elec'!BJ68</f>
        <v>1_Hub_10%IP</v>
      </c>
      <c r="D30">
        <f>'[3]LCIA-Elec'!$D$68/$A$3</f>
        <v>0.89817232375979117</v>
      </c>
      <c r="E30" t="s">
        <v>105</v>
      </c>
      <c r="F30" t="s">
        <v>829</v>
      </c>
      <c r="G30">
        <f>'[3]LCIA-Elec'!BK68</f>
        <v>0.47303342662790704</v>
      </c>
      <c r="H30">
        <f>'[3]LCIA-Elec'!BL68</f>
        <v>0.19799295546511628</v>
      </c>
      <c r="I30">
        <f>'[3]LCIA-Elec'!BM68</f>
        <v>5.7341833988372111</v>
      </c>
      <c r="J30">
        <f>'[3]LCIA-Elec'!BN68</f>
        <v>3.8640313666627908E-2</v>
      </c>
      <c r="K30">
        <f>'[3]LCIA-Elec'!BO68</f>
        <v>2.9615773776162793</v>
      </c>
      <c r="L30">
        <f>'[3]LCIA-Elec'!BP68</f>
        <v>9.667524716279066E-5</v>
      </c>
      <c r="M30">
        <f>'[3]LCIA-Elec'!BQ68</f>
        <v>0.11685273488081396</v>
      </c>
      <c r="N30">
        <f>'[3]LCIA-Elec'!BR68</f>
        <v>0.74223828525581403</v>
      </c>
      <c r="O30">
        <f>'[3]LCIA-Elec'!BS68</f>
        <v>0.27661813422093029</v>
      </c>
      <c r="P30">
        <f>'[3]LCIA-Elec'!BT68</f>
        <v>10.068199875189949</v>
      </c>
      <c r="Q30">
        <f>'[3]LCIA-Elec'!BU68</f>
        <v>3.7140901753488366E-2</v>
      </c>
      <c r="R30">
        <f>'[3]LCIA-Elec'!BV68</f>
        <v>0.46843290616279071</v>
      </c>
      <c r="S30">
        <f>'[3]LCIA-Elec'!BW68</f>
        <v>0.14633769139534886</v>
      </c>
      <c r="T30">
        <f>'[3]LCIA-Elec'!BX68</f>
        <v>2.7479579906976744E-2</v>
      </c>
      <c r="U30">
        <f>'[3]LCIA-Elec'!BY68</f>
        <v>3.8570178279069756E-4</v>
      </c>
      <c r="V30">
        <f>'[3]LCIA-Elec'!BZ68</f>
        <v>0.25905337627906966</v>
      </c>
      <c r="W30">
        <f>'[3]LCIA-Elec'!CA68</f>
        <v>0.20412856536046509</v>
      </c>
      <c r="X30">
        <f>'[3]LCIA-Elec'!CB68</f>
        <v>2.3652207500000012E-2</v>
      </c>
      <c r="Y30">
        <f>'[3]LCIA-Elec'!CC68</f>
        <v>1.1813706040697677E-4</v>
      </c>
      <c r="Z30">
        <f>'[3]LCIA-Elec'!CD68</f>
        <v>1.1269089139534887E-2</v>
      </c>
      <c r="AA30">
        <f>'[3]LCIA-Elec'!CE68</f>
        <v>-5.6933820104651166E-5</v>
      </c>
      <c r="AB30">
        <f>'[3]LCIA-Elec'!CF68</f>
        <v>1.9076044023255815E-8</v>
      </c>
      <c r="AC30">
        <f>'[3]LCIA-Elec'!CG68</f>
        <v>1.1960793337209301E-3</v>
      </c>
      <c r="AD30">
        <f>'[3]LCIA-Elec'!CH68</f>
        <v>7.9437214976744172E-4</v>
      </c>
      <c r="AE30">
        <f>'[3]LCIA-Elec'!CI68</f>
        <v>1.2897530232558135E-3</v>
      </c>
      <c r="AF30">
        <f>'[3]LCIA-Elec'!CJ68</f>
        <v>2.6317616930232556E-5</v>
      </c>
      <c r="AG30">
        <f>'[3]LCIA-Elec'!CK68</f>
        <v>2.1380853260465115E-3</v>
      </c>
      <c r="AH30">
        <f>'[3]LCIA-Elec'!CL68</f>
        <v>5.3393367093023253E-3</v>
      </c>
    </row>
    <row r="31" spans="2:34" x14ac:dyDescent="0.25">
      <c r="B31" t="str">
        <f>'[3]1_Hub_10%IP'!$Y$386</f>
        <v>O'Hare International Airport</v>
      </c>
      <c r="C31" t="str">
        <f>C6</f>
        <v>market for electricity, low voltage, US-RFC</v>
      </c>
      <c r="D31">
        <f>'[3]1_Hub_10%IP'!$Z$386/A3</f>
        <v>0.10182767624020887</v>
      </c>
      <c r="E31" t="str">
        <f t="shared" ref="E31:AH31" si="20">E6</f>
        <v>kWh</v>
      </c>
      <c r="F31" t="str">
        <f t="shared" si="20"/>
        <v>Ecoinvent v3.7.1</v>
      </c>
      <c r="G31">
        <f t="shared" si="20"/>
        <v>0.61436999999999997</v>
      </c>
      <c r="H31">
        <f t="shared" si="20"/>
        <v>8.2399E-2</v>
      </c>
      <c r="I31">
        <f t="shared" si="20"/>
        <v>6.7473999999999998</v>
      </c>
      <c r="J31">
        <f t="shared" si="20"/>
        <v>4.0428000000000003E-4</v>
      </c>
      <c r="K31">
        <f t="shared" si="20"/>
        <v>4.3425000000000002</v>
      </c>
      <c r="L31">
        <f t="shared" si="20"/>
        <v>1.3322000000000001E-5</v>
      </c>
      <c r="M31">
        <f t="shared" si="20"/>
        <v>1.5082999999999999E-2</v>
      </c>
      <c r="N31">
        <f t="shared" si="20"/>
        <v>6.8917000000000006E-2</v>
      </c>
      <c r="O31">
        <f t="shared" si="20"/>
        <v>0.1275</v>
      </c>
      <c r="P31">
        <f t="shared" si="20"/>
        <v>11.384216602</v>
      </c>
      <c r="Q31">
        <f t="shared" si="20"/>
        <v>1.3875999999999999E-2</v>
      </c>
      <c r="R31">
        <f t="shared" si="20"/>
        <v>0.60836999999999997</v>
      </c>
      <c r="S31">
        <f t="shared" si="20"/>
        <v>0.16855999999999999</v>
      </c>
      <c r="T31">
        <f t="shared" si="20"/>
        <v>2.7827999999999999E-2</v>
      </c>
      <c r="U31">
        <f t="shared" si="20"/>
        <v>3.4965000000000002E-4</v>
      </c>
      <c r="V31">
        <f t="shared" si="20"/>
        <v>0.24507000000000001</v>
      </c>
      <c r="W31">
        <f t="shared" si="20"/>
        <v>0.28216999999999998</v>
      </c>
      <c r="X31">
        <f t="shared" si="20"/>
        <v>2.3791E-2</v>
      </c>
      <c r="Y31">
        <f t="shared" si="20"/>
        <v>1.1882E-4</v>
      </c>
      <c r="Z31">
        <f t="shared" si="20"/>
        <v>1.1622E-2</v>
      </c>
      <c r="AA31">
        <f t="shared" si="20"/>
        <v>-2.4247999999999999E-5</v>
      </c>
      <c r="AB31">
        <f t="shared" si="20"/>
        <v>1.8053E-8</v>
      </c>
      <c r="AC31">
        <f t="shared" si="20"/>
        <v>1.1259E-3</v>
      </c>
      <c r="AD31">
        <f t="shared" si="20"/>
        <v>9.8528999999999999E-4</v>
      </c>
      <c r="AE31">
        <f t="shared" si="20"/>
        <v>1.8718000000000001E-3</v>
      </c>
      <c r="AF31">
        <f t="shared" si="20"/>
        <v>2.6829999999999999E-5</v>
      </c>
      <c r="AG31">
        <f t="shared" si="20"/>
        <v>2.5512999999999998E-3</v>
      </c>
      <c r="AH31">
        <f t="shared" si="20"/>
        <v>2.2418E-3</v>
      </c>
    </row>
    <row r="32" spans="2:34" x14ac:dyDescent="0.25">
      <c r="B32" s="59" t="str">
        <f>C30</f>
        <v>1_Hub_10%IP</v>
      </c>
      <c r="C32" s="59" t="s">
        <v>806</v>
      </c>
      <c r="D32" s="59">
        <f>SUM(D30:D31)</f>
        <v>1</v>
      </c>
      <c r="E32" s="59" t="s">
        <v>105</v>
      </c>
      <c r="F32" s="59"/>
      <c r="G32" s="59">
        <f>SUMPRODUCT($D30:$D31,G30:G31)</f>
        <v>0.48742540146214108</v>
      </c>
      <c r="H32" s="59">
        <f t="shared" ref="H32:AH32" si="21">SUMPRODUCT($D30:$D31,H30:H31)</f>
        <v>0.1862222915926893</v>
      </c>
      <c r="I32" s="59">
        <f t="shared" si="21"/>
        <v>5.8373568908616207</v>
      </c>
      <c r="J32" s="59">
        <f t="shared" si="21"/>
        <v>3.4746827209712797E-2</v>
      </c>
      <c r="K32" s="59">
        <f t="shared" si="21"/>
        <v>3.102193519321149</v>
      </c>
      <c r="L32" s="59">
        <f t="shared" si="21"/>
        <v>8.8187579697127907E-5</v>
      </c>
      <c r="M32" s="59">
        <f t="shared" si="21"/>
        <v>0.10648975926631854</v>
      </c>
      <c r="N32" s="59">
        <f t="shared" si="21"/>
        <v>0.67367554341514368</v>
      </c>
      <c r="O32" s="59">
        <f t="shared" si="21"/>
        <v>0.26143378112793741</v>
      </c>
      <c r="P32" s="59">
        <f t="shared" si="21"/>
        <v>10.202206800374263</v>
      </c>
      <c r="Q32" s="59">
        <f t="shared" si="21"/>
        <v>3.4771890869973884E-2</v>
      </c>
      <c r="R32" s="59">
        <f t="shared" si="21"/>
        <v>0.48268237524804181</v>
      </c>
      <c r="S32" s="59">
        <f t="shared" si="21"/>
        <v>0.14860053744125329</v>
      </c>
      <c r="T32" s="59">
        <f t="shared" si="21"/>
        <v>2.7515058715404703E-2</v>
      </c>
      <c r="U32" s="59">
        <f t="shared" si="21"/>
        <v>3.8203071352480413E-4</v>
      </c>
      <c r="V32" s="59">
        <f t="shared" si="21"/>
        <v>0.25762948156657955</v>
      </c>
      <c r="W32" s="59">
        <f t="shared" si="21"/>
        <v>0.21207534330026107</v>
      </c>
      <c r="X32" s="59">
        <f t="shared" si="21"/>
        <v>2.3666340417754582E-2</v>
      </c>
      <c r="Y32" s="59">
        <f t="shared" si="21"/>
        <v>1.1820660255874675E-4</v>
      </c>
      <c r="Z32" s="59">
        <f t="shared" si="21"/>
        <v>1.1305025232375981E-2</v>
      </c>
      <c r="AA32" s="59">
        <f t="shared" si="21"/>
        <v>-5.3605498997389042E-5</v>
      </c>
      <c r="AB32" s="59">
        <f t="shared" si="21"/>
        <v>1.8971869827676243E-8</v>
      </c>
      <c r="AC32" s="59">
        <f t="shared" si="21"/>
        <v>1.1889331352480418E-3</v>
      </c>
      <c r="AD32" s="59">
        <f t="shared" si="21"/>
        <v>8.1381287080939944E-4</v>
      </c>
      <c r="AE32" s="59">
        <f t="shared" si="21"/>
        <v>1.349021514360313E-3</v>
      </c>
      <c r="AF32" s="59">
        <f t="shared" si="21"/>
        <v>2.63697917075718E-5</v>
      </c>
      <c r="AG32" s="59">
        <f t="shared" si="21"/>
        <v>2.180162016083551E-3</v>
      </c>
      <c r="AH32" s="59">
        <f t="shared" si="21"/>
        <v>5.0239217441253262E-3</v>
      </c>
    </row>
    <row r="33" spans="2:34" x14ac:dyDescent="0.25">
      <c r="B33" t="s">
        <v>593</v>
      </c>
      <c r="C33" t="str">
        <f>'[3]LCIA-Elec'!BJ69</f>
        <v>1_Hub_30%IP</v>
      </c>
      <c r="D33">
        <f>'[3]LCIA-Elec'!$E$68/$A$3</f>
        <v>0.69973890339425593</v>
      </c>
      <c r="E33" t="s">
        <v>105</v>
      </c>
      <c r="F33" t="s">
        <v>829</v>
      </c>
      <c r="G33">
        <f>'[3]LCIA-Elec'!BK69</f>
        <v>0.53002960731343307</v>
      </c>
      <c r="H33">
        <f>'[3]LCIA-Elec'!BL69</f>
        <v>0.20240243164179106</v>
      </c>
      <c r="I33">
        <f>'[3]LCIA-Elec'!BM69</f>
        <v>6.3828682432835819</v>
      </c>
      <c r="J33">
        <f>'[3]LCIA-Elec'!BN69</f>
        <v>4.9533073855671642E-2</v>
      </c>
      <c r="K33">
        <f>'[3]LCIA-Elec'!BO69</f>
        <v>2.2952584250000001</v>
      </c>
      <c r="L33">
        <f>'[3]LCIA-Elec'!BP69</f>
        <v>1.2035095755223878E-4</v>
      </c>
      <c r="M33">
        <f>'[3]LCIA-Elec'!BQ69</f>
        <v>0.14155164183955224</v>
      </c>
      <c r="N33">
        <f>'[3]LCIA-Elec'!BR69</f>
        <v>0.62731256391044754</v>
      </c>
      <c r="O33">
        <f>'[3]LCIA-Elec'!BS69</f>
        <v>0.364582881238806</v>
      </c>
      <c r="P33">
        <f>'[3]LCIA-Elec'!BT69</f>
        <v>10.0636296117274</v>
      </c>
      <c r="Q33">
        <f>'[3]LCIA-Elec'!BU69</f>
        <v>3.1474556728358208E-2</v>
      </c>
      <c r="R33">
        <f>'[3]LCIA-Elec'!BV69</f>
        <v>0.52527006611940297</v>
      </c>
      <c r="S33">
        <f>'[3]LCIA-Elec'!BW69</f>
        <v>0.16134239716417911</v>
      </c>
      <c r="T33">
        <f>'[3]LCIA-Elec'!BX69</f>
        <v>3.0100883164179092E-2</v>
      </c>
      <c r="U33">
        <f>'[3]LCIA-Elec'!BY69</f>
        <v>5.1171035552238808E-4</v>
      </c>
      <c r="V33">
        <f>'[3]LCIA-Elec'!BZ69</f>
        <v>0.33556529940298496</v>
      </c>
      <c r="W33">
        <f>'[3]LCIA-Elec'!CA69</f>
        <v>0.15324248688059697</v>
      </c>
      <c r="X33">
        <f>'[3]LCIA-Elec'!CB69</f>
        <v>2.6111683507462687E-2</v>
      </c>
      <c r="Y33">
        <f>'[3]LCIA-Elec'!CC69</f>
        <v>1.463548797761194E-4</v>
      </c>
      <c r="Z33">
        <f>'[3]LCIA-Elec'!CD69</f>
        <v>1.1588736805970149E-2</v>
      </c>
      <c r="AA33">
        <f>'[3]LCIA-Elec'!CE69</f>
        <v>-2.7752709388059699E-5</v>
      </c>
      <c r="AB33">
        <f>'[3]LCIA-Elec'!CF69</f>
        <v>1.9429179641791046E-8</v>
      </c>
      <c r="AC33">
        <f>'[3]LCIA-Elec'!CG69</f>
        <v>1.6241241746268657E-3</v>
      </c>
      <c r="AD33">
        <f>'[3]LCIA-Elec'!CH69</f>
        <v>8.96687296716418E-4</v>
      </c>
      <c r="AE33">
        <f>'[3]LCIA-Elec'!CI69</f>
        <v>1.4741438582089544E-3</v>
      </c>
      <c r="AF33">
        <f>'[3]LCIA-Elec'!CJ69</f>
        <v>2.7277711283582092E-5</v>
      </c>
      <c r="AG33">
        <f>'[3]LCIA-Elec'!CK69</f>
        <v>2.2972236274626866E-3</v>
      </c>
      <c r="AH33">
        <f>'[3]LCIA-Elec'!CL69</f>
        <v>3.9608381641791056E-3</v>
      </c>
    </row>
    <row r="34" spans="2:34" x14ac:dyDescent="0.25">
      <c r="B34" t="str">
        <f>'[3]1_Hub_30%IP'!$Y$386</f>
        <v>Newark Liberty International Airport</v>
      </c>
      <c r="C34" t="str">
        <f>C9</f>
        <v>market for electricity, low voltage, US-RFC</v>
      </c>
      <c r="D34">
        <f>'[3]1_Hub_30%IP'!$Z$386/A3</f>
        <v>0.30026109660574413</v>
      </c>
      <c r="E34" t="str">
        <f t="shared" ref="E34:AH34" si="22">E9</f>
        <v>kWh</v>
      </c>
      <c r="F34" t="str">
        <f t="shared" si="22"/>
        <v>Ecoinvent v3.7.1</v>
      </c>
      <c r="G34">
        <f t="shared" si="22"/>
        <v>0.61436999999999997</v>
      </c>
      <c r="H34">
        <f t="shared" si="22"/>
        <v>8.2399E-2</v>
      </c>
      <c r="I34">
        <f t="shared" si="22"/>
        <v>6.7473999999999998</v>
      </c>
      <c r="J34">
        <f t="shared" si="22"/>
        <v>4.0428000000000003E-4</v>
      </c>
      <c r="K34">
        <f t="shared" si="22"/>
        <v>4.3425000000000002</v>
      </c>
      <c r="L34">
        <f t="shared" si="22"/>
        <v>1.3322000000000001E-5</v>
      </c>
      <c r="M34">
        <f t="shared" si="22"/>
        <v>1.5082999999999999E-2</v>
      </c>
      <c r="N34">
        <f t="shared" si="22"/>
        <v>6.8917000000000006E-2</v>
      </c>
      <c r="O34">
        <f t="shared" si="22"/>
        <v>0.1275</v>
      </c>
      <c r="P34">
        <f t="shared" si="22"/>
        <v>11.384216602</v>
      </c>
      <c r="Q34">
        <f t="shared" si="22"/>
        <v>1.3875999999999999E-2</v>
      </c>
      <c r="R34">
        <f t="shared" si="22"/>
        <v>0.60836999999999997</v>
      </c>
      <c r="S34">
        <f t="shared" si="22"/>
        <v>0.16855999999999999</v>
      </c>
      <c r="T34">
        <f t="shared" si="22"/>
        <v>2.7827999999999999E-2</v>
      </c>
      <c r="U34">
        <f t="shared" si="22"/>
        <v>3.4965000000000002E-4</v>
      </c>
      <c r="V34">
        <f t="shared" si="22"/>
        <v>0.24507000000000001</v>
      </c>
      <c r="W34">
        <f t="shared" si="22"/>
        <v>0.28216999999999998</v>
      </c>
      <c r="X34">
        <f t="shared" si="22"/>
        <v>2.3791E-2</v>
      </c>
      <c r="Y34">
        <f t="shared" si="22"/>
        <v>1.1882E-4</v>
      </c>
      <c r="Z34">
        <f t="shared" si="22"/>
        <v>1.1622E-2</v>
      </c>
      <c r="AA34">
        <f t="shared" si="22"/>
        <v>-2.4247999999999999E-5</v>
      </c>
      <c r="AB34">
        <f t="shared" si="22"/>
        <v>1.8053E-8</v>
      </c>
      <c r="AC34">
        <f t="shared" si="22"/>
        <v>1.1259E-3</v>
      </c>
      <c r="AD34">
        <f t="shared" si="22"/>
        <v>9.8528999999999999E-4</v>
      </c>
      <c r="AE34">
        <f t="shared" si="22"/>
        <v>1.8718000000000001E-3</v>
      </c>
      <c r="AF34">
        <f t="shared" si="22"/>
        <v>2.6829999999999999E-5</v>
      </c>
      <c r="AG34">
        <f t="shared" si="22"/>
        <v>2.5512999999999998E-3</v>
      </c>
      <c r="AH34">
        <f t="shared" si="22"/>
        <v>2.2418E-3</v>
      </c>
    </row>
    <row r="35" spans="2:34" x14ac:dyDescent="0.25">
      <c r="B35" s="59" t="str">
        <f>C33</f>
        <v>1_Hub_30%IP</v>
      </c>
      <c r="C35" s="59" t="s">
        <v>806</v>
      </c>
      <c r="D35" s="59">
        <f>SUM(D33:D34)</f>
        <v>1</v>
      </c>
      <c r="E35" s="59" t="s">
        <v>105</v>
      </c>
      <c r="F35" s="59"/>
      <c r="G35" s="59">
        <f>SUMPRODUCT($D33:$D34,G33:G34)</f>
        <v>0.55535374610966082</v>
      </c>
      <c r="H35" s="59">
        <f t="shared" ref="H35:AH35" si="23">SUMPRODUCT($D33:$D34,H33:H34)</f>
        <v>0.16637006966057444</v>
      </c>
      <c r="I35" s="59">
        <f t="shared" si="23"/>
        <v>6.4923229483028724</v>
      </c>
      <c r="J35" s="59">
        <f t="shared" si="23"/>
        <v>3.4781608337650129E-2</v>
      </c>
      <c r="K35" s="59">
        <f t="shared" si="23"/>
        <v>2.9099654253263711</v>
      </c>
      <c r="L35" s="59">
        <f t="shared" si="23"/>
        <v>8.821432538903392E-5</v>
      </c>
      <c r="M35" s="59">
        <f t="shared" si="23"/>
        <v>0.10357802875456919</v>
      </c>
      <c r="N35" s="59">
        <f t="shared" si="23"/>
        <v>0.45964809955091374</v>
      </c>
      <c r="O35" s="59">
        <f t="shared" si="23"/>
        <v>0.29339611533159277</v>
      </c>
      <c r="P35" s="59">
        <f t="shared" si="23"/>
        <v>10.460150509589932</v>
      </c>
      <c r="Q35" s="59">
        <f t="shared" si="23"/>
        <v>2.6190394786422978E-2</v>
      </c>
      <c r="R35" s="59">
        <f t="shared" si="23"/>
        <v>0.55022174339425589</v>
      </c>
      <c r="S35" s="59">
        <f t="shared" si="23"/>
        <v>0.16350956250652743</v>
      </c>
      <c r="T35" s="59">
        <f t="shared" si="23"/>
        <v>2.9418424772845946E-2</v>
      </c>
      <c r="U35" s="59">
        <f t="shared" si="23"/>
        <v>4.6304993545691906E-4</v>
      </c>
      <c r="V35" s="59">
        <f t="shared" si="23"/>
        <v>0.30839308156657957</v>
      </c>
      <c r="W35" s="59">
        <f t="shared" si="23"/>
        <v>0.19195440335248037</v>
      </c>
      <c r="X35" s="59">
        <f t="shared" si="23"/>
        <v>2.5414872532637078E-2</v>
      </c>
      <c r="Y35" s="59">
        <f t="shared" si="23"/>
        <v>1.3808722657963446E-4</v>
      </c>
      <c r="Z35" s="59">
        <f t="shared" si="23"/>
        <v>1.1598724449086162E-2</v>
      </c>
      <c r="AA35" s="59">
        <f t="shared" si="23"/>
        <v>-2.6700381503916449E-5</v>
      </c>
      <c r="AB35" s="59">
        <f t="shared" si="23"/>
        <v>1.9015966433420365E-8</v>
      </c>
      <c r="AC35" s="59">
        <f t="shared" si="23"/>
        <v>1.4745268375979115E-3</v>
      </c>
      <c r="AD35" s="59">
        <f t="shared" si="23"/>
        <v>9.2329124156657969E-4</v>
      </c>
      <c r="AE35" s="59">
        <f t="shared" si="23"/>
        <v>1.5935445274151429E-3</v>
      </c>
      <c r="AF35" s="59">
        <f t="shared" si="23"/>
        <v>2.7143281002610968E-5</v>
      </c>
      <c r="AG35" s="59">
        <f t="shared" si="23"/>
        <v>2.37351287770235E-3</v>
      </c>
      <c r="AH35" s="59">
        <f t="shared" si="23"/>
        <v>3.4446778798955619E-3</v>
      </c>
    </row>
    <row r="36" spans="2:34" x14ac:dyDescent="0.25">
      <c r="B36" t="s">
        <v>593</v>
      </c>
      <c r="C36" t="str">
        <f>'[3]LCIA-Elec'!BJ70</f>
        <v>1_Hub_50%IP</v>
      </c>
      <c r="D36">
        <f>'[3]LCIA-Elec'!$F$68/$A$3</f>
        <v>0.49869451697127937</v>
      </c>
      <c r="E36" t="s">
        <v>105</v>
      </c>
      <c r="F36" t="s">
        <v>829</v>
      </c>
      <c r="G36">
        <f>'[3]LCIA-Elec'!BK70</f>
        <v>0.51707844376963352</v>
      </c>
      <c r="H36">
        <f>'[3]LCIA-Elec'!BL70</f>
        <v>0.20751555853403142</v>
      </c>
      <c r="I36">
        <f>'[3]LCIA-Elec'!BM70</f>
        <v>6.3521973256544495</v>
      </c>
      <c r="J36">
        <f>'[3]LCIA-Elec'!BN70</f>
        <v>6.9337998006910997E-2</v>
      </c>
      <c r="K36">
        <f>'[3]LCIA-Elec'!BO70</f>
        <v>1.6065794654450261</v>
      </c>
      <c r="L36">
        <f>'[3]LCIA-Elec'!BP70</f>
        <v>1.616475530052356E-4</v>
      </c>
      <c r="M36">
        <f>'[3]LCIA-Elec'!BQ70</f>
        <v>0.18647887205235603</v>
      </c>
      <c r="N36">
        <f>'[3]LCIA-Elec'!BR70</f>
        <v>0.74843457658638723</v>
      </c>
      <c r="O36">
        <f>'[3]LCIA-Elec'!BS70</f>
        <v>0.42301483859685862</v>
      </c>
      <c r="P36">
        <f>'[3]LCIA-Elec'!BT70</f>
        <v>9.5937202824290289</v>
      </c>
      <c r="Q36">
        <f>'[3]LCIA-Elec'!BU70</f>
        <v>3.052490682303665E-2</v>
      </c>
      <c r="R36">
        <f>'[3]LCIA-Elec'!BV70</f>
        <v>0.51260858492146599</v>
      </c>
      <c r="S36">
        <f>'[3]LCIA-Elec'!BW70</f>
        <v>0.16081642010471209</v>
      </c>
      <c r="T36">
        <f>'[3]LCIA-Elec'!BX70</f>
        <v>3.0820441298429323E-2</v>
      </c>
      <c r="U36">
        <f>'[3]LCIA-Elec'!BY70</f>
        <v>5.571591375916231E-4</v>
      </c>
      <c r="V36">
        <f>'[3]LCIA-Elec'!BZ70</f>
        <v>0.3606855949738218</v>
      </c>
      <c r="W36">
        <f>'[3]LCIA-Elec'!CA70</f>
        <v>0.1051379606492147</v>
      </c>
      <c r="X36">
        <f>'[3]LCIA-Elec'!CB70</f>
        <v>2.6856181047120418E-2</v>
      </c>
      <c r="Y36">
        <f>'[3]LCIA-Elec'!CC70</f>
        <v>1.5470283130890051E-4</v>
      </c>
      <c r="Z36">
        <f>'[3]LCIA-Elec'!CD70</f>
        <v>1.1628763685863871E-2</v>
      </c>
      <c r="AA36">
        <f>'[3]LCIA-Elec'!CE70</f>
        <v>-1.9492398513089003E-5</v>
      </c>
      <c r="AB36">
        <f>'[3]LCIA-Elec'!CF70</f>
        <v>1.9635355727748693E-8</v>
      </c>
      <c r="AC36">
        <f>'[3]LCIA-Elec'!CG70</f>
        <v>1.7314546743455493E-3</v>
      </c>
      <c r="AD36">
        <f>'[3]LCIA-Elec'!CH70</f>
        <v>9.0005661528795816E-4</v>
      </c>
      <c r="AE36">
        <f>'[3]LCIA-Elec'!CI70</f>
        <v>1.4090297172774863E-3</v>
      </c>
      <c r="AF36">
        <f>'[3]LCIA-Elec'!CJ70</f>
        <v>2.7199684942408375E-5</v>
      </c>
      <c r="AG36">
        <f>'[3]LCIA-Elec'!CK70</f>
        <v>2.2756258228272251E-3</v>
      </c>
      <c r="AH36">
        <f>'[3]LCIA-Elec'!CL70</f>
        <v>3.7625100942408371E-3</v>
      </c>
    </row>
    <row r="37" spans="2:34" x14ac:dyDescent="0.25">
      <c r="B37" t="str">
        <f>'[3]1_Hub_50%IP'!$Y$386</f>
        <v>Newark Liberty International Airport</v>
      </c>
      <c r="C37" t="str">
        <f>C34</f>
        <v>market for electricity, low voltage, US-RFC</v>
      </c>
      <c r="D37">
        <f>'[3]1_Hub_50%IP'!$Z$386/A3</f>
        <v>0.50130548302872058</v>
      </c>
      <c r="E37" t="str">
        <f t="shared" ref="E37:AH37" si="24">E34</f>
        <v>kWh</v>
      </c>
      <c r="F37" t="str">
        <f t="shared" si="24"/>
        <v>Ecoinvent v3.7.1</v>
      </c>
      <c r="G37">
        <f t="shared" si="24"/>
        <v>0.61436999999999997</v>
      </c>
      <c r="H37">
        <f t="shared" si="24"/>
        <v>8.2399E-2</v>
      </c>
      <c r="I37">
        <f t="shared" si="24"/>
        <v>6.7473999999999998</v>
      </c>
      <c r="J37">
        <f t="shared" si="24"/>
        <v>4.0428000000000003E-4</v>
      </c>
      <c r="K37">
        <f t="shared" si="24"/>
        <v>4.3425000000000002</v>
      </c>
      <c r="L37">
        <f t="shared" si="24"/>
        <v>1.3322000000000001E-5</v>
      </c>
      <c r="M37">
        <f t="shared" si="24"/>
        <v>1.5082999999999999E-2</v>
      </c>
      <c r="N37">
        <f t="shared" si="24"/>
        <v>6.8917000000000006E-2</v>
      </c>
      <c r="O37">
        <f t="shared" si="24"/>
        <v>0.1275</v>
      </c>
      <c r="P37">
        <f t="shared" si="24"/>
        <v>11.384216602</v>
      </c>
      <c r="Q37">
        <f t="shared" si="24"/>
        <v>1.3875999999999999E-2</v>
      </c>
      <c r="R37">
        <f t="shared" si="24"/>
        <v>0.60836999999999997</v>
      </c>
      <c r="S37">
        <f t="shared" si="24"/>
        <v>0.16855999999999999</v>
      </c>
      <c r="T37">
        <f t="shared" si="24"/>
        <v>2.7827999999999999E-2</v>
      </c>
      <c r="U37">
        <f t="shared" si="24"/>
        <v>3.4965000000000002E-4</v>
      </c>
      <c r="V37">
        <f t="shared" si="24"/>
        <v>0.24507000000000001</v>
      </c>
      <c r="W37">
        <f t="shared" si="24"/>
        <v>0.28216999999999998</v>
      </c>
      <c r="X37">
        <f t="shared" si="24"/>
        <v>2.3791E-2</v>
      </c>
      <c r="Y37">
        <f t="shared" si="24"/>
        <v>1.1882E-4</v>
      </c>
      <c r="Z37">
        <f t="shared" si="24"/>
        <v>1.1622E-2</v>
      </c>
      <c r="AA37">
        <f t="shared" si="24"/>
        <v>-2.4247999999999999E-5</v>
      </c>
      <c r="AB37">
        <f t="shared" si="24"/>
        <v>1.8053E-8</v>
      </c>
      <c r="AC37">
        <f t="shared" si="24"/>
        <v>1.1259E-3</v>
      </c>
      <c r="AD37">
        <f t="shared" si="24"/>
        <v>9.8528999999999999E-4</v>
      </c>
      <c r="AE37">
        <f t="shared" si="24"/>
        <v>1.8718000000000001E-3</v>
      </c>
      <c r="AF37">
        <f t="shared" si="24"/>
        <v>2.6829999999999999E-5</v>
      </c>
      <c r="AG37">
        <f t="shared" si="24"/>
        <v>2.5512999999999998E-3</v>
      </c>
      <c r="AH37">
        <f t="shared" si="24"/>
        <v>2.2418E-3</v>
      </c>
    </row>
    <row r="38" spans="2:34" x14ac:dyDescent="0.25">
      <c r="B38" s="59" t="str">
        <f>C36</f>
        <v>1_Hub_50%IP</v>
      </c>
      <c r="C38" s="59" t="s">
        <v>806</v>
      </c>
      <c r="D38" s="59">
        <f>SUM(D36:D37)</f>
        <v>1</v>
      </c>
      <c r="E38" s="59" t="s">
        <v>105</v>
      </c>
      <c r="F38" s="59"/>
      <c r="G38" s="59">
        <f>SUMPRODUCT($D36:$D37,G36:G37)</f>
        <v>0.56585123436031326</v>
      </c>
      <c r="H38" s="59">
        <f t="shared" ref="H38:AH38" si="25">SUMPRODUCT($D36:$D37,H36:H37)</f>
        <v>0.14479394172323759</v>
      </c>
      <c r="I38" s="59">
        <f t="shared" si="25"/>
        <v>6.5503145932114872</v>
      </c>
      <c r="J38" s="59">
        <f t="shared" si="25"/>
        <v>3.478114720449086E-2</v>
      </c>
      <c r="K38" s="59">
        <f t="shared" si="25"/>
        <v>2.9781114305483025</v>
      </c>
      <c r="L38" s="59">
        <f t="shared" si="25"/>
        <v>8.7291140010443873E-5</v>
      </c>
      <c r="M38" s="59">
        <f t="shared" si="25"/>
        <v>0.10055718162402089</v>
      </c>
      <c r="N38" s="59">
        <f t="shared" si="25"/>
        <v>0.4077886896292427</v>
      </c>
      <c r="O38" s="59">
        <f t="shared" si="25"/>
        <v>0.27487162969190598</v>
      </c>
      <c r="P38" s="59">
        <f t="shared" si="25"/>
        <v>10.4913059047727</v>
      </c>
      <c r="Q38" s="59">
        <f t="shared" si="25"/>
        <v>2.2178718546214098E-2</v>
      </c>
      <c r="R38" s="59">
        <f t="shared" si="25"/>
        <v>0.56061430736292428</v>
      </c>
      <c r="S38" s="59">
        <f t="shared" si="25"/>
        <v>0.16469831916449088</v>
      </c>
      <c r="T38" s="59">
        <f t="shared" si="25"/>
        <v>2.9320314067885118E-2</v>
      </c>
      <c r="U38" s="59">
        <f t="shared" si="25"/>
        <v>4.5313366913838119E-4</v>
      </c>
      <c r="V38" s="59">
        <f t="shared" si="25"/>
        <v>0.30272686328981713</v>
      </c>
      <c r="W38" s="59">
        <f t="shared" si="25"/>
        <v>0.19388509264751957</v>
      </c>
      <c r="X38" s="59">
        <f t="shared" si="25"/>
        <v>2.5319588981723234E-2</v>
      </c>
      <c r="Y38" s="59">
        <f t="shared" si="25"/>
        <v>1.3671457122715403E-4</v>
      </c>
      <c r="Z38" s="59">
        <f t="shared" si="25"/>
        <v>1.1625373013054829E-2</v>
      </c>
      <c r="AA38" s="59">
        <f t="shared" si="25"/>
        <v>-2.1876407613577018E-5</v>
      </c>
      <c r="AB38" s="59">
        <f t="shared" si="25"/>
        <v>1.884211212532637E-8</v>
      </c>
      <c r="AC38" s="59">
        <f t="shared" si="25"/>
        <v>1.4278867958224541E-3</v>
      </c>
      <c r="AD38" s="59">
        <f t="shared" si="25"/>
        <v>9.427845783812009E-4</v>
      </c>
      <c r="AE38" s="59">
        <f t="shared" si="25"/>
        <v>1.6410189973890335E-3</v>
      </c>
      <c r="AF38" s="59">
        <f t="shared" si="25"/>
        <v>2.7014359853785898E-5</v>
      </c>
      <c r="AG38" s="59">
        <f t="shared" si="25"/>
        <v>2.4138227993733682E-3</v>
      </c>
      <c r="AH38" s="59">
        <f t="shared" si="25"/>
        <v>3.0001697859007828E-3</v>
      </c>
    </row>
    <row r="39" spans="2:34" x14ac:dyDescent="0.25">
      <c r="B39" t="s">
        <v>593</v>
      </c>
      <c r="C39" t="str">
        <f>'[3]LCIA-Elec'!BJ71</f>
        <v>1_Hub_70%IP</v>
      </c>
      <c r="D39">
        <f>'[3]LCIA-Elec'!$G$68/$A$3</f>
        <v>0.29765013054830286</v>
      </c>
      <c r="E39" t="s">
        <v>105</v>
      </c>
      <c r="F39" t="s">
        <v>829</v>
      </c>
      <c r="G39">
        <f>'[3]LCIA-Elec'!BK71</f>
        <v>0.46232238596491221</v>
      </c>
      <c r="H39">
        <f>'[3]LCIA-Elec'!BL71</f>
        <v>0.20179912807017542</v>
      </c>
      <c r="I39">
        <f>'[3]LCIA-Elec'!BM71</f>
        <v>5.8985166666666684</v>
      </c>
      <c r="J39">
        <f>'[3]LCIA-Elec'!BN71</f>
        <v>8.4006069912280712E-2</v>
      </c>
      <c r="K39">
        <f>'[3]LCIA-Elec'!BO71</f>
        <v>1.6525876868421052</v>
      </c>
      <c r="L39">
        <f>'[3]LCIA-Elec'!BP71</f>
        <v>2.5649074736842106E-4</v>
      </c>
      <c r="M39">
        <f>'[3]LCIA-Elec'!BQ71</f>
        <v>0.22850000106140353</v>
      </c>
      <c r="N39">
        <f>'[3]LCIA-Elec'!BR71</f>
        <v>0.94763073684210541</v>
      </c>
      <c r="O39">
        <f>'[3]LCIA-Elec'!BS71</f>
        <v>0.35721663245614044</v>
      </c>
      <c r="P39">
        <f>'[3]LCIA-Elec'!BT71</f>
        <v>9.3705134125982443</v>
      </c>
      <c r="Q39">
        <f>'[3]LCIA-Elec'!BU71</f>
        <v>2.9746171052631581E-2</v>
      </c>
      <c r="R39">
        <f>'[3]LCIA-Elec'!BV71</f>
        <v>0.45823601754385956</v>
      </c>
      <c r="S39">
        <f>'[3]LCIA-Elec'!BW71</f>
        <v>0.15097255438596494</v>
      </c>
      <c r="T39">
        <f>'[3]LCIA-Elec'!BX71</f>
        <v>2.8645263157894743E-2</v>
      </c>
      <c r="U39">
        <f>'[3]LCIA-Elec'!BY71</f>
        <v>4.3293494736842112E-4</v>
      </c>
      <c r="V39">
        <f>'[3]LCIA-Elec'!BZ71</f>
        <v>0.28476536842105271</v>
      </c>
      <c r="W39">
        <f>'[3]LCIA-Elec'!CA71</f>
        <v>0.11133607543859649</v>
      </c>
      <c r="X39">
        <f>'[3]LCIA-Elec'!CB71</f>
        <v>2.4958649122807007E-2</v>
      </c>
      <c r="Y39">
        <f>'[3]LCIA-Elec'!CC71</f>
        <v>1.2990839035087722E-4</v>
      </c>
      <c r="Z39">
        <f>'[3]LCIA-Elec'!CD71</f>
        <v>1.1819742105263159E-2</v>
      </c>
      <c r="AA39">
        <f>'[3]LCIA-Elec'!CE71</f>
        <v>-1.9449609649122807E-5</v>
      </c>
      <c r="AB39">
        <f>'[3]LCIA-Elec'!CF71</f>
        <v>2.0499755263157893E-8</v>
      </c>
      <c r="AC39">
        <f>'[3]LCIA-Elec'!CG71</f>
        <v>1.0681876666666667E-3</v>
      </c>
      <c r="AD39">
        <f>'[3]LCIA-Elec'!CH71</f>
        <v>8.8287271929824579E-4</v>
      </c>
      <c r="AE39">
        <f>'[3]LCIA-Elec'!CI71</f>
        <v>1.2632239473684211E-3</v>
      </c>
      <c r="AF39">
        <f>'[3]LCIA-Elec'!CJ71</f>
        <v>2.5663123684210522E-5</v>
      </c>
      <c r="AG39">
        <f>'[3]LCIA-Elec'!CK71</f>
        <v>2.2910700877192985E-3</v>
      </c>
      <c r="AH39">
        <f>'[3]LCIA-Elec'!CL71</f>
        <v>4.6043874561403509E-3</v>
      </c>
    </row>
    <row r="40" spans="2:34" x14ac:dyDescent="0.25">
      <c r="B40" t="str">
        <f>'[3]1_Hub_70%IP'!$Y$386</f>
        <v>O'Hare International Airport</v>
      </c>
      <c r="C40" t="str">
        <f>C31</f>
        <v>market for electricity, low voltage, US-RFC</v>
      </c>
      <c r="D40">
        <f>'[3]1_Hub_70%IP'!$Z$386/A3</f>
        <v>0.70234986945169708</v>
      </c>
      <c r="E40" t="str">
        <f t="shared" ref="E40:AH40" si="26">E31</f>
        <v>kWh</v>
      </c>
      <c r="F40" t="str">
        <f t="shared" si="26"/>
        <v>Ecoinvent v3.7.1</v>
      </c>
      <c r="G40">
        <f t="shared" si="26"/>
        <v>0.61436999999999997</v>
      </c>
      <c r="H40">
        <f t="shared" si="26"/>
        <v>8.2399E-2</v>
      </c>
      <c r="I40">
        <f t="shared" si="26"/>
        <v>6.7473999999999998</v>
      </c>
      <c r="J40">
        <f t="shared" si="26"/>
        <v>4.0428000000000003E-4</v>
      </c>
      <c r="K40">
        <f t="shared" si="26"/>
        <v>4.3425000000000002</v>
      </c>
      <c r="L40">
        <f t="shared" si="26"/>
        <v>1.3322000000000001E-5</v>
      </c>
      <c r="M40">
        <f t="shared" si="26"/>
        <v>1.5082999999999999E-2</v>
      </c>
      <c r="N40">
        <f t="shared" si="26"/>
        <v>6.8917000000000006E-2</v>
      </c>
      <c r="O40">
        <f t="shared" si="26"/>
        <v>0.1275</v>
      </c>
      <c r="P40">
        <f t="shared" si="26"/>
        <v>11.384216602</v>
      </c>
      <c r="Q40">
        <f t="shared" si="26"/>
        <v>1.3875999999999999E-2</v>
      </c>
      <c r="R40">
        <f t="shared" si="26"/>
        <v>0.60836999999999997</v>
      </c>
      <c r="S40">
        <f t="shared" si="26"/>
        <v>0.16855999999999999</v>
      </c>
      <c r="T40">
        <f t="shared" si="26"/>
        <v>2.7827999999999999E-2</v>
      </c>
      <c r="U40">
        <f t="shared" si="26"/>
        <v>3.4965000000000002E-4</v>
      </c>
      <c r="V40">
        <f t="shared" si="26"/>
        <v>0.24507000000000001</v>
      </c>
      <c r="W40">
        <f t="shared" si="26"/>
        <v>0.28216999999999998</v>
      </c>
      <c r="X40">
        <f t="shared" si="26"/>
        <v>2.3791E-2</v>
      </c>
      <c r="Y40">
        <f t="shared" si="26"/>
        <v>1.1882E-4</v>
      </c>
      <c r="Z40">
        <f t="shared" si="26"/>
        <v>1.1622E-2</v>
      </c>
      <c r="AA40">
        <f t="shared" si="26"/>
        <v>-2.4247999999999999E-5</v>
      </c>
      <c r="AB40">
        <f t="shared" si="26"/>
        <v>1.8053E-8</v>
      </c>
      <c r="AC40">
        <f t="shared" si="26"/>
        <v>1.1259E-3</v>
      </c>
      <c r="AD40">
        <f t="shared" si="26"/>
        <v>9.8528999999999999E-4</v>
      </c>
      <c r="AE40">
        <f t="shared" si="26"/>
        <v>1.8718000000000001E-3</v>
      </c>
      <c r="AF40">
        <f t="shared" si="26"/>
        <v>2.6829999999999999E-5</v>
      </c>
      <c r="AG40">
        <f t="shared" si="26"/>
        <v>2.5512999999999998E-3</v>
      </c>
      <c r="AH40">
        <f t="shared" si="26"/>
        <v>2.2418E-3</v>
      </c>
    </row>
    <row r="41" spans="2:34" x14ac:dyDescent="0.25">
      <c r="B41" s="59" t="str">
        <f>C39</f>
        <v>1_Hub_70%IP</v>
      </c>
      <c r="C41" s="59" t="s">
        <v>806</v>
      </c>
      <c r="D41" s="59">
        <f>SUM(D39:D40)</f>
        <v>1</v>
      </c>
      <c r="E41" s="59" t="s">
        <v>105</v>
      </c>
      <c r="F41" s="59"/>
      <c r="G41" s="59">
        <f>SUMPRODUCT($D39:$D40,G39:G40)</f>
        <v>0.56911300783289809</v>
      </c>
      <c r="H41" s="59">
        <f t="shared" ref="H41:AH41" si="27">SUMPRODUCT($D39:$D40,H39:H40)</f>
        <v>0.11793846370757179</v>
      </c>
      <c r="I41" s="59">
        <f t="shared" si="27"/>
        <v>6.4947297650130551</v>
      </c>
      <c r="J41" s="59">
        <f t="shared" si="27"/>
        <v>2.5288363681462141E-2</v>
      </c>
      <c r="K41" s="59">
        <f t="shared" si="27"/>
        <v>3.5418472488250652</v>
      </c>
      <c r="L41" s="59">
        <f t="shared" si="27"/>
        <v>8.5701209399477804E-5</v>
      </c>
      <c r="M41" s="59">
        <f t="shared" si="27"/>
        <v>7.8606598227154045E-2</v>
      </c>
      <c r="N41" s="59">
        <f t="shared" si="27"/>
        <v>0.33046625848563971</v>
      </c>
      <c r="O41" s="59">
        <f t="shared" si="27"/>
        <v>0.1958751856396867</v>
      </c>
      <c r="P41" s="59">
        <f t="shared" si="27"/>
        <v>10.784837584789033</v>
      </c>
      <c r="Q41" s="59">
        <f t="shared" si="27"/>
        <v>1.8599758485639686E-2</v>
      </c>
      <c r="R41" s="59">
        <f t="shared" si="27"/>
        <v>0.5636826005221931</v>
      </c>
      <c r="S41" s="59">
        <f t="shared" si="27"/>
        <v>0.16332509451697128</v>
      </c>
      <c r="T41" s="59">
        <f t="shared" si="27"/>
        <v>2.8071258485639686E-2</v>
      </c>
      <c r="U41" s="59">
        <f t="shared" si="27"/>
        <v>3.7443977545691907E-4</v>
      </c>
      <c r="V41" s="59">
        <f t="shared" si="27"/>
        <v>0.25688533159268934</v>
      </c>
      <c r="W41" s="59">
        <f t="shared" si="27"/>
        <v>0.23132126005221931</v>
      </c>
      <c r="X41" s="59">
        <f t="shared" si="27"/>
        <v>2.4138550913838118E-2</v>
      </c>
      <c r="Y41" s="59">
        <f t="shared" si="27"/>
        <v>1.2212046083550913E-4</v>
      </c>
      <c r="Z41" s="59">
        <f t="shared" si="27"/>
        <v>1.1680857963446475E-2</v>
      </c>
      <c r="AA41" s="59">
        <f t="shared" si="27"/>
        <v>-2.2819758485639682E-5</v>
      </c>
      <c r="AB41" s="59">
        <f t="shared" si="27"/>
        <v>1.8781277023498693E-8</v>
      </c>
      <c r="AC41" s="59">
        <f t="shared" si="27"/>
        <v>1.1087219164490861E-3</v>
      </c>
      <c r="AD41" s="59">
        <f t="shared" si="27"/>
        <v>9.5480548302872051E-4</v>
      </c>
      <c r="AE41" s="59">
        <f t="shared" si="27"/>
        <v>1.6906572584856397E-3</v>
      </c>
      <c r="AF41" s="59">
        <f t="shared" si="27"/>
        <v>2.6482679112271536E-5</v>
      </c>
      <c r="AG41" s="59">
        <f t="shared" si="27"/>
        <v>2.4738425326370755E-3</v>
      </c>
      <c r="AH41" s="59">
        <f t="shared" si="27"/>
        <v>2.9450244647519584E-3</v>
      </c>
    </row>
    <row r="42" spans="2:34" x14ac:dyDescent="0.25">
      <c r="B42" t="s">
        <v>593</v>
      </c>
      <c r="C42" t="str">
        <f>'[3]LCIA-Elec'!BJ72</f>
        <v>1_Hub_90%IP</v>
      </c>
      <c r="D42">
        <f>'[3]LCIA-Elec'!$H$68/$A$3</f>
        <v>9.921671018276762E-2</v>
      </c>
      <c r="E42" t="s">
        <v>105</v>
      </c>
      <c r="F42" t="s">
        <v>829</v>
      </c>
      <c r="G42">
        <f>'[3]LCIA-Elec'!BK72</f>
        <v>0.45033134210526321</v>
      </c>
      <c r="H42">
        <f>'[3]LCIA-Elec'!BL72</f>
        <v>0.25583100789473684</v>
      </c>
      <c r="I42">
        <f>'[3]LCIA-Elec'!BM72</f>
        <v>5.8840560526315793</v>
      </c>
      <c r="J42">
        <f>'[3]LCIA-Elec'!BN72</f>
        <v>1.6930379473684209E-2</v>
      </c>
      <c r="K42">
        <f>'[3]LCIA-Elec'!BO72</f>
        <v>2.500781236842105</v>
      </c>
      <c r="L42">
        <f>'[3]LCIA-Elec'!BP72</f>
        <v>7.2853901052631587E-4</v>
      </c>
      <c r="M42">
        <f>'[3]LCIA-Elec'!BQ72</f>
        <v>0.20956423599999999</v>
      </c>
      <c r="N42">
        <f>'[3]LCIA-Elec'!BR72</f>
        <v>0.89032202631578949</v>
      </c>
      <c r="O42">
        <f>'[3]LCIA-Elec'!BS72</f>
        <v>0.36194575000000007</v>
      </c>
      <c r="P42">
        <f>'[3]LCIA-Elec'!BT72</f>
        <v>10.12015922816842</v>
      </c>
      <c r="Q42">
        <f>'[3]LCIA-Elec'!BU72</f>
        <v>3.5428444736842112E-2</v>
      </c>
      <c r="R42">
        <f>'[3]LCIA-Elec'!BV72</f>
        <v>0.44550373684210542</v>
      </c>
      <c r="S42">
        <f>'[3]LCIA-Elec'!BW72</f>
        <v>0.14994296052631581</v>
      </c>
      <c r="T42">
        <f>'[3]LCIA-Elec'!BX72</f>
        <v>2.4222105263157892E-2</v>
      </c>
      <c r="U42">
        <f>'[3]LCIA-Elec'!BY72</f>
        <v>2.2434934210526316E-4</v>
      </c>
      <c r="V42">
        <f>'[3]LCIA-Elec'!BZ72</f>
        <v>0.16904328947368419</v>
      </c>
      <c r="W42">
        <f>'[3]LCIA-Elec'!CA72</f>
        <v>0.15762828947368424</v>
      </c>
      <c r="X42">
        <f>'[3]LCIA-Elec'!CB72</f>
        <v>2.1164184210526321E-2</v>
      </c>
      <c r="Y42">
        <f>'[3]LCIA-Elec'!CC72</f>
        <v>9.9731342105263156E-5</v>
      </c>
      <c r="Z42">
        <f>'[3]LCIA-Elec'!CD72</f>
        <v>1.2385247368421054E-2</v>
      </c>
      <c r="AA42">
        <f>'[3]LCIA-Elec'!CE72</f>
        <v>-1.9024065789473681E-5</v>
      </c>
      <c r="AB42">
        <f>'[3]LCIA-Elec'!CF72</f>
        <v>2.2239176315789471E-8</v>
      </c>
      <c r="AC42">
        <f>'[3]LCIA-Elec'!CG72</f>
        <v>6.444777631578947E-4</v>
      </c>
      <c r="AD42">
        <f>'[3]LCIA-Elec'!CH72</f>
        <v>1.0145992105263159E-3</v>
      </c>
      <c r="AE42">
        <f>'[3]LCIA-Elec'!CI72</f>
        <v>1.4807815789473684E-3</v>
      </c>
      <c r="AF42">
        <f>'[3]LCIA-Elec'!CJ72</f>
        <v>2.4839531578947368E-5</v>
      </c>
      <c r="AG42">
        <f>'[3]LCIA-Elec'!CK72</f>
        <v>2.648752105263157E-3</v>
      </c>
      <c r="AH42">
        <f>'[3]LCIA-Elec'!CL72</f>
        <v>5.5182447368421041E-3</v>
      </c>
    </row>
    <row r="43" spans="2:34" x14ac:dyDescent="0.25">
      <c r="B43" t="str">
        <f>'[3]1_Hub_50%IP'!$Y$386</f>
        <v>Newark Liberty International Airport</v>
      </c>
      <c r="C43" t="str">
        <f>C34</f>
        <v>market for electricity, low voltage, US-RFC</v>
      </c>
      <c r="D43">
        <f>'[3]1_Hub_90%IP'!$Z$386/A3</f>
        <v>0.90078328981723232</v>
      </c>
      <c r="E43" t="str">
        <f t="shared" ref="E43:AH43" si="28">E34</f>
        <v>kWh</v>
      </c>
      <c r="F43" t="str">
        <f t="shared" si="28"/>
        <v>Ecoinvent v3.7.1</v>
      </c>
      <c r="G43">
        <f t="shared" si="28"/>
        <v>0.61436999999999997</v>
      </c>
      <c r="H43">
        <f t="shared" si="28"/>
        <v>8.2399E-2</v>
      </c>
      <c r="I43">
        <f t="shared" si="28"/>
        <v>6.7473999999999998</v>
      </c>
      <c r="J43">
        <f t="shared" si="28"/>
        <v>4.0428000000000003E-4</v>
      </c>
      <c r="K43">
        <f t="shared" si="28"/>
        <v>4.3425000000000002</v>
      </c>
      <c r="L43">
        <f t="shared" si="28"/>
        <v>1.3322000000000001E-5</v>
      </c>
      <c r="M43">
        <f t="shared" si="28"/>
        <v>1.5082999999999999E-2</v>
      </c>
      <c r="N43">
        <f t="shared" si="28"/>
        <v>6.8917000000000006E-2</v>
      </c>
      <c r="O43">
        <f t="shared" si="28"/>
        <v>0.1275</v>
      </c>
      <c r="P43">
        <f t="shared" si="28"/>
        <v>11.384216602</v>
      </c>
      <c r="Q43">
        <f t="shared" si="28"/>
        <v>1.3875999999999999E-2</v>
      </c>
      <c r="R43">
        <f t="shared" si="28"/>
        <v>0.60836999999999997</v>
      </c>
      <c r="S43">
        <f t="shared" si="28"/>
        <v>0.16855999999999999</v>
      </c>
      <c r="T43">
        <f t="shared" si="28"/>
        <v>2.7827999999999999E-2</v>
      </c>
      <c r="U43">
        <f t="shared" si="28"/>
        <v>3.4965000000000002E-4</v>
      </c>
      <c r="V43">
        <f t="shared" si="28"/>
        <v>0.24507000000000001</v>
      </c>
      <c r="W43">
        <f t="shared" si="28"/>
        <v>0.28216999999999998</v>
      </c>
      <c r="X43">
        <f t="shared" si="28"/>
        <v>2.3791E-2</v>
      </c>
      <c r="Y43">
        <f t="shared" si="28"/>
        <v>1.1882E-4</v>
      </c>
      <c r="Z43">
        <f t="shared" si="28"/>
        <v>1.1622E-2</v>
      </c>
      <c r="AA43">
        <f t="shared" si="28"/>
        <v>-2.4247999999999999E-5</v>
      </c>
      <c r="AB43">
        <f t="shared" si="28"/>
        <v>1.8053E-8</v>
      </c>
      <c r="AC43">
        <f t="shared" si="28"/>
        <v>1.1259E-3</v>
      </c>
      <c r="AD43">
        <f t="shared" si="28"/>
        <v>9.8528999999999999E-4</v>
      </c>
      <c r="AE43">
        <f t="shared" si="28"/>
        <v>1.8718000000000001E-3</v>
      </c>
      <c r="AF43">
        <f t="shared" si="28"/>
        <v>2.6829999999999999E-5</v>
      </c>
      <c r="AG43">
        <f t="shared" si="28"/>
        <v>2.5512999999999998E-3</v>
      </c>
      <c r="AH43">
        <f t="shared" si="28"/>
        <v>2.2418E-3</v>
      </c>
    </row>
    <row r="44" spans="2:34" x14ac:dyDescent="0.25">
      <c r="B44" s="59" t="str">
        <f>C42</f>
        <v>1_Hub_90%IP</v>
      </c>
      <c r="C44" s="59" t="s">
        <v>806</v>
      </c>
      <c r="D44" s="59">
        <f>SUM(D42:D43)</f>
        <v>1</v>
      </c>
      <c r="E44" s="59" t="s">
        <v>105</v>
      </c>
      <c r="F44" s="59"/>
      <c r="G44" s="59">
        <f>SUMPRODUCT($D42:$D43,G42:G43)</f>
        <v>0.59809462402088764</v>
      </c>
      <c r="H44" s="59">
        <f t="shared" ref="H44:AH44" si="29">SUMPRODUCT($D42:$D43,H42:H43)</f>
        <v>9.9606353263707578E-2</v>
      </c>
      <c r="I44" s="59">
        <f t="shared" si="29"/>
        <v>6.6617418537858999</v>
      </c>
      <c r="J44" s="59">
        <f t="shared" si="29"/>
        <v>2.0439452219321147E-3</v>
      </c>
      <c r="K44" s="59">
        <f t="shared" si="29"/>
        <v>4.1597707232375978</v>
      </c>
      <c r="L44" s="59">
        <f t="shared" si="29"/>
        <v>8.4283478851174932E-5</v>
      </c>
      <c r="M44" s="59">
        <f t="shared" si="29"/>
        <v>3.4378788428198429E-2</v>
      </c>
      <c r="N44" s="59">
        <f t="shared" si="29"/>
        <v>0.15041410443864231</v>
      </c>
      <c r="O44" s="59">
        <f t="shared" si="29"/>
        <v>0.15076093603133159</v>
      </c>
      <c r="P44" s="59">
        <f t="shared" si="29"/>
        <v>11.258800987886161</v>
      </c>
      <c r="Q44" s="59">
        <f t="shared" si="29"/>
        <v>1.6014362663185379E-2</v>
      </c>
      <c r="R44" s="59">
        <f t="shared" si="29"/>
        <v>0.59221094516971273</v>
      </c>
      <c r="S44" s="59">
        <f t="shared" si="29"/>
        <v>0.16671287859007833</v>
      </c>
      <c r="T44" s="59">
        <f t="shared" si="29"/>
        <v>2.7470234986945168E-2</v>
      </c>
      <c r="U44" s="59">
        <f t="shared" si="29"/>
        <v>3.3721808093994775E-4</v>
      </c>
      <c r="V44" s="59">
        <f t="shared" si="29"/>
        <v>0.23752687989556134</v>
      </c>
      <c r="W44" s="59">
        <f t="shared" si="29"/>
        <v>0.26981338120104437</v>
      </c>
      <c r="X44" s="59">
        <f t="shared" si="29"/>
        <v>2.3530375979112273E-2</v>
      </c>
      <c r="Y44" s="59">
        <f t="shared" si="29"/>
        <v>1.169260861618799E-4</v>
      </c>
      <c r="Z44" s="59">
        <f t="shared" si="29"/>
        <v>1.1697726892950391E-2</v>
      </c>
      <c r="AA44" s="59">
        <f t="shared" si="29"/>
        <v>-2.3729698433420364E-5</v>
      </c>
      <c r="AB44" s="59">
        <f t="shared" si="29"/>
        <v>1.8468338642297651E-8</v>
      </c>
      <c r="AC44" s="59">
        <f t="shared" si="29"/>
        <v>1.078134869451697E-3</v>
      </c>
      <c r="AD44" s="59">
        <f t="shared" si="29"/>
        <v>9.8819796344647506E-4</v>
      </c>
      <c r="AE44" s="59">
        <f t="shared" si="29"/>
        <v>1.8330044386422977E-3</v>
      </c>
      <c r="AF44" s="59">
        <f t="shared" si="29"/>
        <v>2.6632512271540466E-5</v>
      </c>
      <c r="AG44" s="59">
        <f t="shared" si="29"/>
        <v>2.5609688772845951E-3</v>
      </c>
      <c r="AH44" s="59">
        <f t="shared" si="29"/>
        <v>2.5668780678851171E-3</v>
      </c>
    </row>
    <row r="45" spans="2:34" x14ac:dyDescent="0.25">
      <c r="B45" t="s">
        <v>593</v>
      </c>
      <c r="C45" t="str">
        <f>'[3]LCIA-Elec'!BJ73</f>
        <v>2_Hub_10%IP</v>
      </c>
      <c r="D45">
        <f>'[3]LCIA-Elec'!$I$68/$A$3</f>
        <v>0.8955613577023499</v>
      </c>
      <c r="E45" t="s">
        <v>105</v>
      </c>
      <c r="F45" t="s">
        <v>829</v>
      </c>
      <c r="G45">
        <f>'[3]LCIA-Elec'!BK73</f>
        <v>0.4873032325364432</v>
      </c>
      <c r="H45">
        <f>'[3]LCIA-Elec'!BL73</f>
        <v>0.19712956466472301</v>
      </c>
      <c r="I45">
        <f>'[3]LCIA-Elec'!BM73</f>
        <v>5.8520783941690979</v>
      </c>
      <c r="J45">
        <f>'[3]LCIA-Elec'!BN73</f>
        <v>2.9565234668571427E-2</v>
      </c>
      <c r="K45">
        <f>'[3]LCIA-Elec'!BO73</f>
        <v>3.0217671075801746</v>
      </c>
      <c r="L45">
        <f>'[3]LCIA-Elec'!BP73</f>
        <v>9.6940524851311924E-5</v>
      </c>
      <c r="M45">
        <f>'[3]LCIA-Elec'!BQ73</f>
        <v>9.9145967344023325E-2</v>
      </c>
      <c r="N45">
        <f>'[3]LCIA-Elec'!BR73</f>
        <v>0.69873723652478126</v>
      </c>
      <c r="O45">
        <f>'[3]LCIA-Elec'!BS73</f>
        <v>0.29870457193002919</v>
      </c>
      <c r="P45">
        <f>'[3]LCIA-Elec'!BT73</f>
        <v>10.197225017406247</v>
      </c>
      <c r="Q45">
        <f>'[3]LCIA-Elec'!BU73</f>
        <v>3.7103787764431483E-2</v>
      </c>
      <c r="R45">
        <f>'[3]LCIA-Elec'!BV73</f>
        <v>0.48264588839650147</v>
      </c>
      <c r="S45">
        <f>'[3]LCIA-Elec'!BW73</f>
        <v>0.14887293247813413</v>
      </c>
      <c r="T45">
        <f>'[3]LCIA-Elec'!BX73</f>
        <v>2.7805222997084548E-2</v>
      </c>
      <c r="U45">
        <f>'[3]LCIA-Elec'!BY73</f>
        <v>4.0781665679300293E-4</v>
      </c>
      <c r="V45">
        <f>'[3]LCIA-Elec'!BZ73</f>
        <v>0.27322982927113687</v>
      </c>
      <c r="W45">
        <f>'[3]LCIA-Elec'!CA73</f>
        <v>0.20806852036151605</v>
      </c>
      <c r="X45">
        <f>'[3]LCIA-Elec'!CB73</f>
        <v>2.3971546297376106E-2</v>
      </c>
      <c r="Y45">
        <f>'[3]LCIA-Elec'!CC73</f>
        <v>1.2357926758017497E-4</v>
      </c>
      <c r="Z45">
        <f>'[3]LCIA-Elec'!CD73</f>
        <v>1.127099610495627E-2</v>
      </c>
      <c r="AA45">
        <f>'[3]LCIA-Elec'!CE73</f>
        <v>-5.7874420163265307E-5</v>
      </c>
      <c r="AB45">
        <f>'[3]LCIA-Elec'!CF73</f>
        <v>1.8929035405247817E-8</v>
      </c>
      <c r="AC45">
        <f>'[3]LCIA-Elec'!CG73</f>
        <v>1.2846396233236151E-3</v>
      </c>
      <c r="AD45">
        <f>'[3]LCIA-Elec'!CH73</f>
        <v>8.1760133970845456E-4</v>
      </c>
      <c r="AE45">
        <f>'[3]LCIA-Elec'!CI73</f>
        <v>1.3679196501457721E-3</v>
      </c>
      <c r="AF45">
        <f>'[3]LCIA-Elec'!CJ73</f>
        <v>2.5888175580174921E-5</v>
      </c>
      <c r="AG45">
        <f>'[3]LCIA-Elec'!CK73</f>
        <v>2.1328304727696789E-3</v>
      </c>
      <c r="AH45">
        <f>'[3]LCIA-Elec'!CL73</f>
        <v>5.3533260291545202E-3</v>
      </c>
    </row>
    <row r="46" spans="2:34" x14ac:dyDescent="0.25">
      <c r="B46" t="str">
        <f>'[3]2_Hub_10%IP'!Y386</f>
        <v>O'Hare International Airport</v>
      </c>
      <c r="C46" t="str">
        <f>C31</f>
        <v>market for electricity, low voltage, US-RFC</v>
      </c>
      <c r="D46">
        <f>'[3]2_Hub_10%IP'!Z386/$A$3</f>
        <v>5.2219321148825062E-2</v>
      </c>
      <c r="E46" t="str">
        <f t="shared" ref="E46:AH46" si="30">E31</f>
        <v>kWh</v>
      </c>
      <c r="F46" t="str">
        <f t="shared" si="30"/>
        <v>Ecoinvent v3.7.1</v>
      </c>
      <c r="G46">
        <f t="shared" si="30"/>
        <v>0.61436999999999997</v>
      </c>
      <c r="H46">
        <f t="shared" si="30"/>
        <v>8.2399E-2</v>
      </c>
      <c r="I46">
        <f t="shared" si="30"/>
        <v>6.7473999999999998</v>
      </c>
      <c r="J46">
        <f t="shared" si="30"/>
        <v>4.0428000000000003E-4</v>
      </c>
      <c r="K46">
        <f t="shared" si="30"/>
        <v>4.3425000000000002</v>
      </c>
      <c r="L46">
        <f t="shared" si="30"/>
        <v>1.3322000000000001E-5</v>
      </c>
      <c r="M46">
        <f t="shared" si="30"/>
        <v>1.5082999999999999E-2</v>
      </c>
      <c r="N46">
        <f t="shared" si="30"/>
        <v>6.8917000000000006E-2</v>
      </c>
      <c r="O46">
        <f t="shared" si="30"/>
        <v>0.1275</v>
      </c>
      <c r="P46">
        <f t="shared" si="30"/>
        <v>11.384216602</v>
      </c>
      <c r="Q46">
        <f t="shared" si="30"/>
        <v>1.3875999999999999E-2</v>
      </c>
      <c r="R46">
        <f t="shared" si="30"/>
        <v>0.60836999999999997</v>
      </c>
      <c r="S46">
        <f t="shared" si="30"/>
        <v>0.16855999999999999</v>
      </c>
      <c r="T46">
        <f t="shared" si="30"/>
        <v>2.7827999999999999E-2</v>
      </c>
      <c r="U46">
        <f t="shared" si="30"/>
        <v>3.4965000000000002E-4</v>
      </c>
      <c r="V46">
        <f t="shared" si="30"/>
        <v>0.24507000000000001</v>
      </c>
      <c r="W46">
        <f t="shared" si="30"/>
        <v>0.28216999999999998</v>
      </c>
      <c r="X46">
        <f t="shared" si="30"/>
        <v>2.3791E-2</v>
      </c>
      <c r="Y46">
        <f t="shared" si="30"/>
        <v>1.1882E-4</v>
      </c>
      <c r="Z46">
        <f t="shared" si="30"/>
        <v>1.1622E-2</v>
      </c>
      <c r="AA46">
        <f t="shared" si="30"/>
        <v>-2.4247999999999999E-5</v>
      </c>
      <c r="AB46">
        <f t="shared" si="30"/>
        <v>1.8053E-8</v>
      </c>
      <c r="AC46">
        <f t="shared" si="30"/>
        <v>1.1259E-3</v>
      </c>
      <c r="AD46">
        <f t="shared" si="30"/>
        <v>9.8528999999999999E-4</v>
      </c>
      <c r="AE46">
        <f t="shared" si="30"/>
        <v>1.8718000000000001E-3</v>
      </c>
      <c r="AF46">
        <f t="shared" si="30"/>
        <v>2.6829999999999999E-5</v>
      </c>
      <c r="AG46">
        <f t="shared" si="30"/>
        <v>2.5512999999999998E-3</v>
      </c>
      <c r="AH46">
        <f t="shared" si="30"/>
        <v>2.2418E-3</v>
      </c>
    </row>
    <row r="47" spans="2:34" x14ac:dyDescent="0.25">
      <c r="B47" t="str">
        <f>'[3]2_Hub_10%IP'!Y387</f>
        <v>Denver International Airport</v>
      </c>
      <c r="C47" t="str">
        <f>C10</f>
        <v>market for electricity, low voltage, US-WECC</v>
      </c>
      <c r="D47">
        <f>'[3]2_Hub_10%IP'!Z387/$A$3</f>
        <v>5.2219321148825062E-2</v>
      </c>
      <c r="E47" t="str">
        <f t="shared" ref="E47:AH47" si="31">E10</f>
        <v>kWh</v>
      </c>
      <c r="F47" t="str">
        <f t="shared" si="31"/>
        <v>Ecoinvent v3.7.1</v>
      </c>
      <c r="G47">
        <f t="shared" si="31"/>
        <v>0.41233999999999998</v>
      </c>
      <c r="H47">
        <f t="shared" si="31"/>
        <v>0.16356000000000001</v>
      </c>
      <c r="I47">
        <f t="shared" si="31"/>
        <v>5.2107000000000001</v>
      </c>
      <c r="J47">
        <f t="shared" si="31"/>
        <v>0.15804000000000001</v>
      </c>
      <c r="K47">
        <f t="shared" si="31"/>
        <v>1.1274</v>
      </c>
      <c r="L47">
        <f t="shared" si="31"/>
        <v>1.7768999999999999E-5</v>
      </c>
      <c r="M47">
        <f t="shared" si="31"/>
        <v>0.32883000000000001</v>
      </c>
      <c r="N47">
        <f t="shared" si="31"/>
        <v>1.0143</v>
      </c>
      <c r="O47">
        <f t="shared" si="31"/>
        <v>0.29749999999999999</v>
      </c>
      <c r="P47">
        <f t="shared" si="31"/>
        <v>8.300347769</v>
      </c>
      <c r="Q47">
        <f t="shared" si="31"/>
        <v>2.4857000000000001E-2</v>
      </c>
      <c r="R47">
        <f t="shared" si="31"/>
        <v>0.40821000000000002</v>
      </c>
      <c r="S47">
        <f t="shared" si="31"/>
        <v>0.13331000000000001</v>
      </c>
      <c r="T47">
        <f t="shared" si="31"/>
        <v>2.9420000000000002E-2</v>
      </c>
      <c r="U47">
        <f t="shared" si="31"/>
        <v>4.3196E-4</v>
      </c>
      <c r="V47">
        <f t="shared" si="31"/>
        <v>0.27927000000000002</v>
      </c>
      <c r="W47">
        <f t="shared" si="31"/>
        <v>7.3639999999999997E-2</v>
      </c>
      <c r="X47">
        <f t="shared" si="31"/>
        <v>2.5277999999999998E-2</v>
      </c>
      <c r="Y47">
        <f t="shared" si="31"/>
        <v>1.1887000000000001E-4</v>
      </c>
      <c r="Z47">
        <f t="shared" si="31"/>
        <v>1.1467E-2</v>
      </c>
      <c r="AA47">
        <f t="shared" si="31"/>
        <v>-1.4652E-5</v>
      </c>
      <c r="AB47">
        <f t="shared" si="31"/>
        <v>1.7493E-8</v>
      </c>
      <c r="AC47">
        <f t="shared" si="31"/>
        <v>1.5398E-3</v>
      </c>
      <c r="AD47">
        <f t="shared" si="31"/>
        <v>6.7785999999999996E-4</v>
      </c>
      <c r="AE47">
        <f t="shared" si="31"/>
        <v>7.8450000000000004E-4</v>
      </c>
      <c r="AF47">
        <f t="shared" si="31"/>
        <v>3.1801999999999998E-5</v>
      </c>
      <c r="AG47">
        <f t="shared" si="31"/>
        <v>2.3995000000000002E-3</v>
      </c>
      <c r="AH47">
        <f t="shared" si="31"/>
        <v>3.0509000000000001E-3</v>
      </c>
    </row>
    <row r="48" spans="2:34" x14ac:dyDescent="0.25">
      <c r="B48" s="59" t="str">
        <f>C45</f>
        <v>2_Hub_10%IP</v>
      </c>
      <c r="C48" s="59" t="s">
        <v>806</v>
      </c>
      <c r="D48" s="59">
        <f>SUM(D45:D47)</f>
        <v>1</v>
      </c>
      <c r="E48" s="59" t="s">
        <v>105</v>
      </c>
      <c r="F48" s="59"/>
      <c r="G48" s="59">
        <f t="shared" ref="G48:AH48" si="32">SUMPRODUCT($D45:$D47,G45:G47)</f>
        <v>0.49002404375979119</v>
      </c>
      <c r="H48" s="59">
        <f t="shared" si="32"/>
        <v>0.18938543258485641</v>
      </c>
      <c r="I48" s="59">
        <f t="shared" si="32"/>
        <v>5.8653391362924303</v>
      </c>
      <c r="J48" s="59">
        <f t="shared" si="32"/>
        <v>3.475133444208877E-2</v>
      </c>
      <c r="K48" s="59">
        <f t="shared" si="32"/>
        <v>2.9918123182767622</v>
      </c>
      <c r="L48" s="59">
        <f t="shared" si="32"/>
        <v>8.8439738966057411E-5</v>
      </c>
      <c r="M48" s="59">
        <f t="shared" si="32"/>
        <v>0.10675020051958226</v>
      </c>
      <c r="N48" s="59">
        <f t="shared" si="32"/>
        <v>0.68232692461618794</v>
      </c>
      <c r="O48" s="59">
        <f t="shared" si="32"/>
        <v>0.28970148347780683</v>
      </c>
      <c r="P48" s="59">
        <f t="shared" si="32"/>
        <v>10.160155269948675</v>
      </c>
      <c r="Q48" s="59">
        <f t="shared" si="32"/>
        <v>3.5251329512271536E-2</v>
      </c>
      <c r="R48" s="59">
        <f t="shared" si="32"/>
        <v>0.48532412459530028</v>
      </c>
      <c r="S48" s="59">
        <f t="shared" si="32"/>
        <v>0.14908829201044388</v>
      </c>
      <c r="T48" s="59">
        <f t="shared" si="32"/>
        <v>2.7890734955613575E-2</v>
      </c>
      <c r="U48" s="59">
        <f t="shared" si="32"/>
        <v>4.0603998245430814E-4</v>
      </c>
      <c r="V48" s="59">
        <f t="shared" si="32"/>
        <v>0.27207475571801554</v>
      </c>
      <c r="W48" s="59">
        <f t="shared" si="32"/>
        <v>0.20491828324804179</v>
      </c>
      <c r="X48" s="59">
        <f t="shared" si="32"/>
        <v>2.4030340417754582E-2</v>
      </c>
      <c r="Y48" s="59">
        <f t="shared" si="32"/>
        <v>1.2308482710182773E-4</v>
      </c>
      <c r="Z48" s="59">
        <f t="shared" si="32"/>
        <v>1.1299560480417756E-2</v>
      </c>
      <c r="AA48" s="59">
        <f t="shared" si="32"/>
        <v>-5.3861425890339432E-5</v>
      </c>
      <c r="AB48" s="59">
        <f t="shared" si="32"/>
        <v>1.8808300637075719E-8</v>
      </c>
      <c r="AC48" s="59">
        <f t="shared" si="32"/>
        <v>1.2896746496083552E-3</v>
      </c>
      <c r="AD48" s="59">
        <f t="shared" si="32"/>
        <v>8.1906072981723229E-4</v>
      </c>
      <c r="AE48" s="59">
        <f t="shared" si="32"/>
        <v>1.3637661618798951E-3</v>
      </c>
      <c r="AF48" s="59">
        <f t="shared" si="32"/>
        <v>2.6246172908616183E-5</v>
      </c>
      <c r="AG48" s="59">
        <f t="shared" si="32"/>
        <v>2.1686079690861615E-3</v>
      </c>
      <c r="AH48" s="59">
        <f t="shared" si="32"/>
        <v>5.0706131279373385E-3</v>
      </c>
    </row>
    <row r="49" spans="2:34" x14ac:dyDescent="0.25">
      <c r="B49" s="59" t="str">
        <f>B48</f>
        <v>2_Hub_10%IP</v>
      </c>
      <c r="C49" s="59" t="s">
        <v>834</v>
      </c>
      <c r="D49" s="59">
        <v>1</v>
      </c>
      <c r="E49" s="59" t="s">
        <v>105</v>
      </c>
      <c r="F49" s="59"/>
      <c r="G49" s="59">
        <f>SUMPRODUCT($D46:$D47,G46:G47)/SUM($D46:$D47)</f>
        <v>0.51335500000000001</v>
      </c>
      <c r="H49" s="59">
        <f t="shared" ref="H49:AH49" si="33">SUMPRODUCT($D46:$D47,H46:H47)/SUM($D46:$D47)</f>
        <v>0.12297950000000001</v>
      </c>
      <c r="I49" s="59">
        <f t="shared" si="33"/>
        <v>5.97905</v>
      </c>
      <c r="J49" s="59">
        <f t="shared" si="33"/>
        <v>7.922214000000001E-2</v>
      </c>
      <c r="K49" s="59">
        <f t="shared" si="33"/>
        <v>2.73495</v>
      </c>
      <c r="L49" s="59">
        <f t="shared" si="33"/>
        <v>1.5545499999999999E-5</v>
      </c>
      <c r="M49" s="59">
        <f t="shared" si="33"/>
        <v>0.17195650000000001</v>
      </c>
      <c r="N49" s="59">
        <f t="shared" si="33"/>
        <v>0.54160849999999994</v>
      </c>
      <c r="O49" s="59">
        <f t="shared" si="33"/>
        <v>0.21250000000000002</v>
      </c>
      <c r="P49" s="59">
        <f t="shared" si="33"/>
        <v>9.8422821855000002</v>
      </c>
      <c r="Q49" s="59">
        <f t="shared" si="33"/>
        <v>1.9366499999999998E-2</v>
      </c>
      <c r="R49" s="59">
        <f t="shared" si="33"/>
        <v>0.50829000000000002</v>
      </c>
      <c r="S49" s="59">
        <f t="shared" si="33"/>
        <v>0.15093499999999999</v>
      </c>
      <c r="T49" s="59">
        <f t="shared" si="33"/>
        <v>2.8624E-2</v>
      </c>
      <c r="U49" s="59">
        <f t="shared" si="33"/>
        <v>3.9080500000000004E-4</v>
      </c>
      <c r="V49" s="59">
        <f t="shared" si="33"/>
        <v>0.26217000000000001</v>
      </c>
      <c r="W49" s="59">
        <f t="shared" si="33"/>
        <v>0.17790499999999998</v>
      </c>
      <c r="X49" s="59">
        <f t="shared" si="33"/>
        <v>2.4534499999999997E-2</v>
      </c>
      <c r="Y49" s="59">
        <f t="shared" si="33"/>
        <v>1.1884500000000002E-4</v>
      </c>
      <c r="Z49" s="59">
        <f t="shared" si="33"/>
        <v>1.1544499999999999E-2</v>
      </c>
      <c r="AA49" s="59">
        <f t="shared" si="33"/>
        <v>-1.9449999999999998E-5</v>
      </c>
      <c r="AB49" s="59">
        <f t="shared" si="33"/>
        <v>1.7773E-8</v>
      </c>
      <c r="AC49" s="59">
        <f t="shared" si="33"/>
        <v>1.33285E-3</v>
      </c>
      <c r="AD49" s="59">
        <f t="shared" si="33"/>
        <v>8.3157499999999987E-4</v>
      </c>
      <c r="AE49" s="59">
        <f t="shared" si="33"/>
        <v>1.3281499999999999E-3</v>
      </c>
      <c r="AF49" s="59">
        <f t="shared" si="33"/>
        <v>2.9315999999999998E-5</v>
      </c>
      <c r="AG49" s="59">
        <f t="shared" si="33"/>
        <v>2.4754E-3</v>
      </c>
      <c r="AH49" s="59">
        <f t="shared" si="33"/>
        <v>2.64635E-3</v>
      </c>
    </row>
    <row r="50" spans="2:34" x14ac:dyDescent="0.25">
      <c r="B50" t="s">
        <v>593</v>
      </c>
      <c r="C50" t="str">
        <f>'[3]LCIA-Elec'!BJ74</f>
        <v>2_Hub_30%IP</v>
      </c>
      <c r="D50">
        <f>'[3]LCIA-Elec'!$J$68/$A$3</f>
        <v>0.69973890339425593</v>
      </c>
      <c r="E50" t="s">
        <v>105</v>
      </c>
      <c r="F50" t="s">
        <v>829</v>
      </c>
      <c r="G50">
        <f>'[3]LCIA-Elec'!BK74</f>
        <v>0.47394954761194025</v>
      </c>
      <c r="H50">
        <f>'[3]LCIA-Elec'!BL74</f>
        <v>0.19588082716417909</v>
      </c>
      <c r="I50">
        <f>'[3]LCIA-Elec'!BM74</f>
        <v>5.7746913776119415</v>
      </c>
      <c r="J50">
        <f>'[3]LCIA-Elec'!BN74</f>
        <v>4.9500224930298514E-2</v>
      </c>
      <c r="K50">
        <f>'[3]LCIA-Elec'!BO74</f>
        <v>2.4917366339552238</v>
      </c>
      <c r="L50">
        <f>'[3]LCIA-Elec'!BP74</f>
        <v>1.1935405979104475E-4</v>
      </c>
      <c r="M50">
        <f>'[3]LCIA-Elec'!BQ74</f>
        <v>0.14315679775746271</v>
      </c>
      <c r="N50">
        <f>'[3]LCIA-Elec'!BR74</f>
        <v>0.86224139973134306</v>
      </c>
      <c r="O50">
        <f>'[3]LCIA-Elec'!BS74</f>
        <v>0.31653803049253726</v>
      </c>
      <c r="P50">
        <f>'[3]LCIA-Elec'!BT74</f>
        <v>9.833864645702775</v>
      </c>
      <c r="Q50">
        <f>'[3]LCIA-Elec'!BU74</f>
        <v>3.8936459713432819E-2</v>
      </c>
      <c r="R50">
        <f>'[3]LCIA-Elec'!BV74</f>
        <v>0.46956268552238817</v>
      </c>
      <c r="S50">
        <f>'[3]LCIA-Elec'!BW74</f>
        <v>0.14682020835820897</v>
      </c>
      <c r="T50">
        <f>'[3]LCIA-Elec'!BX74</f>
        <v>2.7879516746268658E-2</v>
      </c>
      <c r="U50">
        <f>'[3]LCIA-Elec'!BY74</f>
        <v>4.3003054208955226E-4</v>
      </c>
      <c r="V50">
        <f>'[3]LCIA-Elec'!BZ74</f>
        <v>0.2846102441791043</v>
      </c>
      <c r="W50">
        <f>'[3]LCIA-Elec'!CA74</f>
        <v>0.17403304658208951</v>
      </c>
      <c r="X50">
        <f>'[3]LCIA-Elec'!CB74</f>
        <v>2.4121516343283585E-2</v>
      </c>
      <c r="Y50">
        <f>'[3]LCIA-Elec'!CC74</f>
        <v>1.2693260738805973E-4</v>
      </c>
      <c r="Z50">
        <f>'[3]LCIA-Elec'!CD74</f>
        <v>1.1208879343283584E-2</v>
      </c>
      <c r="AA50">
        <f>'[3]LCIA-Elec'!CE74</f>
        <v>-6.7465895955223876E-5</v>
      </c>
      <c r="AB50">
        <f>'[3]LCIA-Elec'!CF74</f>
        <v>1.8642840089552243E-8</v>
      </c>
      <c r="AC50">
        <f>'[3]LCIA-Elec'!CG74</f>
        <v>1.3158789208955221E-3</v>
      </c>
      <c r="AD50">
        <f>'[3]LCIA-Elec'!CH74</f>
        <v>8.0701279671641785E-4</v>
      </c>
      <c r="AE50">
        <f>'[3]LCIA-Elec'!CI74</f>
        <v>1.2839576492537307E-3</v>
      </c>
      <c r="AF50">
        <f>'[3]LCIA-Elec'!CJ74</f>
        <v>2.5752049343283586E-5</v>
      </c>
      <c r="AG50">
        <f>'[3]LCIA-Elec'!CK74</f>
        <v>2.1913659782089555E-3</v>
      </c>
      <c r="AH50">
        <f>'[3]LCIA-Elec'!CL74</f>
        <v>5.8348415223880611E-3</v>
      </c>
    </row>
    <row r="51" spans="2:34" x14ac:dyDescent="0.25">
      <c r="B51" t="str">
        <f>'[3]2_Hub_30%IP'!Y386</f>
        <v>Newark Liberty International Airport</v>
      </c>
      <c r="C51" t="str">
        <f>C34</f>
        <v>market for electricity, low voltage, US-RFC</v>
      </c>
      <c r="D51">
        <f>'[3]2_Hub_30%IP'!$Z386/$A$3</f>
        <v>0.195822454308094</v>
      </c>
      <c r="E51" t="str">
        <f t="shared" ref="E51:AH51" si="34">E34</f>
        <v>kWh</v>
      </c>
      <c r="F51" t="str">
        <f t="shared" si="34"/>
        <v>Ecoinvent v3.7.1</v>
      </c>
      <c r="G51">
        <f t="shared" si="34"/>
        <v>0.61436999999999997</v>
      </c>
      <c r="H51">
        <f t="shared" si="34"/>
        <v>8.2399E-2</v>
      </c>
      <c r="I51">
        <f t="shared" si="34"/>
        <v>6.7473999999999998</v>
      </c>
      <c r="J51">
        <f t="shared" si="34"/>
        <v>4.0428000000000003E-4</v>
      </c>
      <c r="K51">
        <f t="shared" si="34"/>
        <v>4.3425000000000002</v>
      </c>
      <c r="L51">
        <f t="shared" si="34"/>
        <v>1.3322000000000001E-5</v>
      </c>
      <c r="M51">
        <f t="shared" si="34"/>
        <v>1.5082999999999999E-2</v>
      </c>
      <c r="N51">
        <f t="shared" si="34"/>
        <v>6.8917000000000006E-2</v>
      </c>
      <c r="O51">
        <f t="shared" si="34"/>
        <v>0.1275</v>
      </c>
      <c r="P51">
        <f t="shared" si="34"/>
        <v>11.384216602</v>
      </c>
      <c r="Q51">
        <f t="shared" si="34"/>
        <v>1.3875999999999999E-2</v>
      </c>
      <c r="R51">
        <f t="shared" si="34"/>
        <v>0.60836999999999997</v>
      </c>
      <c r="S51">
        <f t="shared" si="34"/>
        <v>0.16855999999999999</v>
      </c>
      <c r="T51">
        <f t="shared" si="34"/>
        <v>2.7827999999999999E-2</v>
      </c>
      <c r="U51">
        <f t="shared" si="34"/>
        <v>3.4965000000000002E-4</v>
      </c>
      <c r="V51">
        <f t="shared" si="34"/>
        <v>0.24507000000000001</v>
      </c>
      <c r="W51">
        <f t="shared" si="34"/>
        <v>0.28216999999999998</v>
      </c>
      <c r="X51">
        <f t="shared" si="34"/>
        <v>2.3791E-2</v>
      </c>
      <c r="Y51">
        <f t="shared" si="34"/>
        <v>1.1882E-4</v>
      </c>
      <c r="Z51">
        <f t="shared" si="34"/>
        <v>1.1622E-2</v>
      </c>
      <c r="AA51">
        <f t="shared" si="34"/>
        <v>-2.4247999999999999E-5</v>
      </c>
      <c r="AB51">
        <f t="shared" si="34"/>
        <v>1.8053E-8</v>
      </c>
      <c r="AC51">
        <f t="shared" si="34"/>
        <v>1.1259E-3</v>
      </c>
      <c r="AD51">
        <f t="shared" si="34"/>
        <v>9.8528999999999999E-4</v>
      </c>
      <c r="AE51">
        <f t="shared" si="34"/>
        <v>1.8718000000000001E-3</v>
      </c>
      <c r="AF51">
        <f t="shared" si="34"/>
        <v>2.6829999999999999E-5</v>
      </c>
      <c r="AG51">
        <f t="shared" si="34"/>
        <v>2.5512999999999998E-3</v>
      </c>
      <c r="AH51">
        <f t="shared" si="34"/>
        <v>2.2418E-3</v>
      </c>
    </row>
    <row r="52" spans="2:34" x14ac:dyDescent="0.25">
      <c r="B52" t="str">
        <f>'[3]2_Hub_30%IP'!Y387</f>
        <v>O'Hare International Airport</v>
      </c>
      <c r="C52" t="str">
        <f>C31</f>
        <v>market for electricity, low voltage, US-RFC</v>
      </c>
      <c r="D52">
        <f>'[3]2_Hub_30%IP'!$Z387/$A$3</f>
        <v>0.10443864229765012</v>
      </c>
      <c r="E52" t="str">
        <f t="shared" ref="E52:AH52" si="35">E31</f>
        <v>kWh</v>
      </c>
      <c r="F52" t="str">
        <f t="shared" si="35"/>
        <v>Ecoinvent v3.7.1</v>
      </c>
      <c r="G52">
        <f t="shared" si="35"/>
        <v>0.61436999999999997</v>
      </c>
      <c r="H52">
        <f t="shared" si="35"/>
        <v>8.2399E-2</v>
      </c>
      <c r="I52">
        <f t="shared" si="35"/>
        <v>6.7473999999999998</v>
      </c>
      <c r="J52">
        <f t="shared" si="35"/>
        <v>4.0428000000000003E-4</v>
      </c>
      <c r="K52">
        <f t="shared" si="35"/>
        <v>4.3425000000000002</v>
      </c>
      <c r="L52">
        <f t="shared" si="35"/>
        <v>1.3322000000000001E-5</v>
      </c>
      <c r="M52">
        <f t="shared" si="35"/>
        <v>1.5082999999999999E-2</v>
      </c>
      <c r="N52">
        <f t="shared" si="35"/>
        <v>6.8917000000000006E-2</v>
      </c>
      <c r="O52">
        <f t="shared" si="35"/>
        <v>0.1275</v>
      </c>
      <c r="P52">
        <f t="shared" si="35"/>
        <v>11.384216602</v>
      </c>
      <c r="Q52">
        <f t="shared" si="35"/>
        <v>1.3875999999999999E-2</v>
      </c>
      <c r="R52">
        <f t="shared" si="35"/>
        <v>0.60836999999999997</v>
      </c>
      <c r="S52">
        <f t="shared" si="35"/>
        <v>0.16855999999999999</v>
      </c>
      <c r="T52">
        <f t="shared" si="35"/>
        <v>2.7827999999999999E-2</v>
      </c>
      <c r="U52">
        <f t="shared" si="35"/>
        <v>3.4965000000000002E-4</v>
      </c>
      <c r="V52">
        <f t="shared" si="35"/>
        <v>0.24507000000000001</v>
      </c>
      <c r="W52">
        <f t="shared" si="35"/>
        <v>0.28216999999999998</v>
      </c>
      <c r="X52">
        <f t="shared" si="35"/>
        <v>2.3791E-2</v>
      </c>
      <c r="Y52">
        <f t="shared" si="35"/>
        <v>1.1882E-4</v>
      </c>
      <c r="Z52">
        <f t="shared" si="35"/>
        <v>1.1622E-2</v>
      </c>
      <c r="AA52">
        <f t="shared" si="35"/>
        <v>-2.4247999999999999E-5</v>
      </c>
      <c r="AB52">
        <f t="shared" si="35"/>
        <v>1.8053E-8</v>
      </c>
      <c r="AC52">
        <f t="shared" si="35"/>
        <v>1.1259E-3</v>
      </c>
      <c r="AD52">
        <f t="shared" si="35"/>
        <v>9.8528999999999999E-4</v>
      </c>
      <c r="AE52">
        <f t="shared" si="35"/>
        <v>1.8718000000000001E-3</v>
      </c>
      <c r="AF52">
        <f t="shared" si="35"/>
        <v>2.6829999999999999E-5</v>
      </c>
      <c r="AG52">
        <f t="shared" si="35"/>
        <v>2.5512999999999998E-3</v>
      </c>
      <c r="AH52">
        <f t="shared" si="35"/>
        <v>2.2418E-3</v>
      </c>
    </row>
    <row r="53" spans="2:34" x14ac:dyDescent="0.25">
      <c r="B53" s="59" t="str">
        <f>C50</f>
        <v>2_Hub_30%IP</v>
      </c>
      <c r="C53" s="59" t="s">
        <v>806</v>
      </c>
      <c r="D53" s="59">
        <f>SUM(D50:D52)</f>
        <v>1</v>
      </c>
      <c r="E53" s="59" t="s">
        <v>105</v>
      </c>
      <c r="F53" s="59"/>
      <c r="G53" s="59">
        <f>SUMPRODUCT($D50:$D52,G50:G52)</f>
        <v>0.51611234663185379</v>
      </c>
      <c r="H53" s="59">
        <f t="shared" ref="H53:AH53" si="36">SUMPRODUCT($D50:$D52,H50:H52)</f>
        <v>0.16180664929503916</v>
      </c>
      <c r="I53" s="59">
        <f t="shared" si="36"/>
        <v>6.0667579352480434</v>
      </c>
      <c r="J53" s="59">
        <f t="shared" si="36"/>
        <v>3.4758622666631857E-2</v>
      </c>
      <c r="K53" s="59">
        <f t="shared" si="36"/>
        <v>3.0474488718015666</v>
      </c>
      <c r="L53" s="59">
        <f t="shared" si="36"/>
        <v>8.751675724281982E-5</v>
      </c>
      <c r="M53" s="59">
        <f t="shared" si="36"/>
        <v>0.10470121879634468</v>
      </c>
      <c r="N53" s="59">
        <f t="shared" si="36"/>
        <v>0.62403694550391642</v>
      </c>
      <c r="O53" s="59">
        <f t="shared" si="36"/>
        <v>0.25977726415665792</v>
      </c>
      <c r="P53" s="59">
        <f t="shared" si="36"/>
        <v>10.299375024225441</v>
      </c>
      <c r="Q53" s="59">
        <f t="shared" si="36"/>
        <v>3.1411778598433408E-2</v>
      </c>
      <c r="R53" s="59">
        <f t="shared" si="36"/>
        <v>0.51124112198433425</v>
      </c>
      <c r="S53" s="59">
        <f t="shared" si="36"/>
        <v>0.15334782203655353</v>
      </c>
      <c r="T53" s="59">
        <f t="shared" si="36"/>
        <v>2.7864048271540473E-2</v>
      </c>
      <c r="U53" s="59">
        <f t="shared" si="36"/>
        <v>4.0589539237597918E-4</v>
      </c>
      <c r="V53" s="59">
        <f t="shared" si="36"/>
        <v>0.27273784710182758</v>
      </c>
      <c r="W53" s="59">
        <f t="shared" si="36"/>
        <v>0.20650236679895562</v>
      </c>
      <c r="X53" s="59">
        <f t="shared" si="36"/>
        <v>2.4022275143603136E-2</v>
      </c>
      <c r="Y53" s="59">
        <f t="shared" si="36"/>
        <v>1.2449670699738905E-4</v>
      </c>
      <c r="Z53" s="59">
        <f t="shared" si="36"/>
        <v>1.1332923404699742E-2</v>
      </c>
      <c r="AA53" s="59">
        <f t="shared" si="36"/>
        <v>-5.4489243122715407E-5</v>
      </c>
      <c r="AB53" s="59">
        <f t="shared" si="36"/>
        <v>1.8465734057441257E-8</v>
      </c>
      <c r="AC53" s="59">
        <f t="shared" si="36"/>
        <v>1.2588356417754568E-3</v>
      </c>
      <c r="AD53" s="59">
        <f t="shared" si="36"/>
        <v>8.6054250527415135E-4</v>
      </c>
      <c r="AE53" s="59">
        <f t="shared" si="36"/>
        <v>1.4604638381201043E-3</v>
      </c>
      <c r="AF53" s="59">
        <f t="shared" si="36"/>
        <v>2.607571598955614E-5</v>
      </c>
      <c r="AG53" s="59">
        <f t="shared" si="36"/>
        <v>2.2994401622976508E-3</v>
      </c>
      <c r="AH53" s="59">
        <f t="shared" si="36"/>
        <v>4.7559909347258495E-3</v>
      </c>
    </row>
    <row r="54" spans="2:34" x14ac:dyDescent="0.25">
      <c r="B54" s="59" t="str">
        <f>B53</f>
        <v>2_Hub_30%IP</v>
      </c>
      <c r="C54" s="59"/>
      <c r="D54" s="59"/>
      <c r="E54" s="59"/>
      <c r="F54" s="59"/>
      <c r="G54" s="59">
        <f>SUMPRODUCT($D51:$D52,G51:G52)/SUM($D51:$D52)</f>
        <v>0.61436999999999986</v>
      </c>
      <c r="H54" s="59">
        <f t="shared" ref="H54:AH54" si="37">SUMPRODUCT($D51:$D52,H51:H52)/SUM($D51:$D52)</f>
        <v>8.2399E-2</v>
      </c>
      <c r="I54" s="59">
        <f t="shared" si="37"/>
        <v>6.7474000000000007</v>
      </c>
      <c r="J54" s="59">
        <f t="shared" si="37"/>
        <v>4.0428000000000003E-4</v>
      </c>
      <c r="K54" s="59">
        <f t="shared" si="37"/>
        <v>4.3425000000000011</v>
      </c>
      <c r="L54" s="59">
        <f t="shared" si="37"/>
        <v>1.3322000000000001E-5</v>
      </c>
      <c r="M54" s="59">
        <f t="shared" si="37"/>
        <v>1.5083000000000001E-2</v>
      </c>
      <c r="N54" s="59">
        <f t="shared" si="37"/>
        <v>6.8917000000000006E-2</v>
      </c>
      <c r="O54" s="59">
        <f t="shared" si="37"/>
        <v>0.1275</v>
      </c>
      <c r="P54" s="59">
        <f t="shared" si="37"/>
        <v>11.384216602</v>
      </c>
      <c r="Q54" s="59">
        <f t="shared" si="37"/>
        <v>1.3875999999999999E-2</v>
      </c>
      <c r="R54" s="59">
        <f t="shared" si="37"/>
        <v>0.60836999999999997</v>
      </c>
      <c r="S54" s="59">
        <f t="shared" si="37"/>
        <v>0.16855999999999996</v>
      </c>
      <c r="T54" s="59">
        <f t="shared" si="37"/>
        <v>2.7827999999999995E-2</v>
      </c>
      <c r="U54" s="59">
        <f t="shared" si="37"/>
        <v>3.4965000000000002E-4</v>
      </c>
      <c r="V54" s="59">
        <f t="shared" si="37"/>
        <v>0.24506999999999998</v>
      </c>
      <c r="W54" s="59">
        <f t="shared" si="37"/>
        <v>0.28216999999999998</v>
      </c>
      <c r="X54" s="59">
        <f t="shared" si="37"/>
        <v>2.3791E-2</v>
      </c>
      <c r="Y54" s="59">
        <f t="shared" si="37"/>
        <v>1.1882E-4</v>
      </c>
      <c r="Z54" s="59">
        <f t="shared" si="37"/>
        <v>1.1622E-2</v>
      </c>
      <c r="AA54" s="59">
        <f t="shared" si="37"/>
        <v>-2.4247999999999999E-5</v>
      </c>
      <c r="AB54" s="59">
        <f t="shared" si="37"/>
        <v>1.8053E-8</v>
      </c>
      <c r="AC54" s="59">
        <f t="shared" si="37"/>
        <v>1.1259E-3</v>
      </c>
      <c r="AD54" s="59">
        <f t="shared" si="37"/>
        <v>9.8528999999999999E-4</v>
      </c>
      <c r="AE54" s="59">
        <f t="shared" si="37"/>
        <v>1.8718000000000003E-3</v>
      </c>
      <c r="AF54" s="59">
        <f t="shared" si="37"/>
        <v>2.6829999999999999E-5</v>
      </c>
      <c r="AG54" s="59">
        <f t="shared" si="37"/>
        <v>2.5512999999999998E-3</v>
      </c>
      <c r="AH54" s="59">
        <f t="shared" si="37"/>
        <v>2.2418E-3</v>
      </c>
    </row>
    <row r="55" spans="2:34" x14ac:dyDescent="0.25">
      <c r="B55" t="s">
        <v>593</v>
      </c>
      <c r="C55" t="str">
        <f>'[3]LCIA-Elec'!BJ75</f>
        <v>2_Hub_50%IP</v>
      </c>
      <c r="D55">
        <f>'[3]LCIA-Elec'!$K$68/$A$3</f>
        <v>0.49869451697127937</v>
      </c>
      <c r="E55" t="s">
        <v>105</v>
      </c>
      <c r="F55" t="s">
        <v>829</v>
      </c>
      <c r="G55">
        <f>'[3]LCIA-Elec'!BK75</f>
        <v>0.49739321863874353</v>
      </c>
      <c r="H55">
        <f>'[3]LCIA-Elec'!BL75</f>
        <v>0.22048092502617803</v>
      </c>
      <c r="I55">
        <f>'[3]LCIA-Elec'!BM75</f>
        <v>6.1992622471204175</v>
      </c>
      <c r="J55">
        <f>'[3]LCIA-Elec'!BN75</f>
        <v>6.9323391012146601E-2</v>
      </c>
      <c r="K55">
        <f>'[3]LCIA-Elec'!BO75</f>
        <v>1.8496050151832459</v>
      </c>
      <c r="L55">
        <f>'[3]LCIA-Elec'!BP75</f>
        <v>1.6183619489005234E-4</v>
      </c>
      <c r="M55">
        <f>'[3]LCIA-Elec'!BQ75</f>
        <v>0.18842972258115184</v>
      </c>
      <c r="N55">
        <f>'[3]LCIA-Elec'!BR75</f>
        <v>0.79203923627225126</v>
      </c>
      <c r="O55">
        <f>'[3]LCIA-Elec'!BS75</f>
        <v>0.35293187524607322</v>
      </c>
      <c r="P55">
        <f>'[3]LCIA-Elec'!BT75</f>
        <v>9.6722342486363591</v>
      </c>
      <c r="Q55">
        <f>'[3]LCIA-Elec'!BU75</f>
        <v>3.4107179074345545E-2</v>
      </c>
      <c r="R55">
        <f>'[3]LCIA-Elec'!BV75</f>
        <v>0.49290581005235612</v>
      </c>
      <c r="S55">
        <f>'[3]LCIA-Elec'!BW75</f>
        <v>0.15791725884816754</v>
      </c>
      <c r="T55">
        <f>'[3]LCIA-Elec'!BX75</f>
        <v>2.9616584753926704E-2</v>
      </c>
      <c r="U55">
        <f>'[3]LCIA-Elec'!BY75</f>
        <v>4.8919554596858642E-4</v>
      </c>
      <c r="V55">
        <f>'[3]LCIA-Elec'!BZ75</f>
        <v>0.31947814785340317</v>
      </c>
      <c r="W55">
        <f>'[3]LCIA-Elec'!CA75</f>
        <v>0.12283275646073301</v>
      </c>
      <c r="X55">
        <f>'[3]LCIA-Elec'!CB75</f>
        <v>2.5701084712041883E-2</v>
      </c>
      <c r="Y55">
        <f>'[3]LCIA-Elec'!CC75</f>
        <v>1.4012294125654448E-4</v>
      </c>
      <c r="Z55">
        <f>'[3]LCIA-Elec'!CD75</f>
        <v>1.1575808712041879E-2</v>
      </c>
      <c r="AA55">
        <f>'[3]LCIA-Elec'!CE75</f>
        <v>-2.7954356628272249E-5</v>
      </c>
      <c r="AB55">
        <f>'[3]LCIA-Elec'!CF75</f>
        <v>2.0334858345549739E-8</v>
      </c>
      <c r="AC55">
        <f>'[3]LCIA-Elec'!CG75</f>
        <v>1.4500792607329844E-3</v>
      </c>
      <c r="AD55">
        <f>'[3]LCIA-Elec'!CH75</f>
        <v>8.6291772523560209E-4</v>
      </c>
      <c r="AE55">
        <f>'[3]LCIA-Elec'!CI75</f>
        <v>1.3131734240837698E-3</v>
      </c>
      <c r="AF55">
        <f>'[3]LCIA-Elec'!CJ75</f>
        <v>2.768961059685864E-5</v>
      </c>
      <c r="AG55">
        <f>'[3]LCIA-Elec'!CK75</f>
        <v>2.2733201160209421E-3</v>
      </c>
      <c r="AH55">
        <f>'[3]LCIA-Elec'!CL75</f>
        <v>4.1018509319371722E-3</v>
      </c>
    </row>
    <row r="56" spans="2:34" x14ac:dyDescent="0.25">
      <c r="B56" t="str">
        <f>'[3]2_Hub_50%IP'!Y386</f>
        <v>Newark Liberty International Airport</v>
      </c>
      <c r="C56" t="str">
        <f>C34</f>
        <v>market for electricity, low voltage, US-RFC</v>
      </c>
      <c r="D56">
        <f>'[3]2_Hub_50%IP'!$Z386/$A$3</f>
        <v>0.33420365535248042</v>
      </c>
      <c r="E56" t="str">
        <f t="shared" ref="E56:AH56" si="38">E34</f>
        <v>kWh</v>
      </c>
      <c r="F56" t="str">
        <f t="shared" si="38"/>
        <v>Ecoinvent v3.7.1</v>
      </c>
      <c r="G56">
        <f t="shared" si="38"/>
        <v>0.61436999999999997</v>
      </c>
      <c r="H56">
        <f t="shared" si="38"/>
        <v>8.2399E-2</v>
      </c>
      <c r="I56">
        <f t="shared" si="38"/>
        <v>6.7473999999999998</v>
      </c>
      <c r="J56">
        <f t="shared" si="38"/>
        <v>4.0428000000000003E-4</v>
      </c>
      <c r="K56">
        <f t="shared" si="38"/>
        <v>4.3425000000000002</v>
      </c>
      <c r="L56">
        <f t="shared" si="38"/>
        <v>1.3322000000000001E-5</v>
      </c>
      <c r="M56">
        <f t="shared" si="38"/>
        <v>1.5082999999999999E-2</v>
      </c>
      <c r="N56">
        <f t="shared" si="38"/>
        <v>6.8917000000000006E-2</v>
      </c>
      <c r="O56">
        <f t="shared" si="38"/>
        <v>0.1275</v>
      </c>
      <c r="P56">
        <f t="shared" si="38"/>
        <v>11.384216602</v>
      </c>
      <c r="Q56">
        <f t="shared" si="38"/>
        <v>1.3875999999999999E-2</v>
      </c>
      <c r="R56">
        <f t="shared" si="38"/>
        <v>0.60836999999999997</v>
      </c>
      <c r="S56">
        <f t="shared" si="38"/>
        <v>0.16855999999999999</v>
      </c>
      <c r="T56">
        <f t="shared" si="38"/>
        <v>2.7827999999999999E-2</v>
      </c>
      <c r="U56">
        <f t="shared" si="38"/>
        <v>3.4965000000000002E-4</v>
      </c>
      <c r="V56">
        <f t="shared" si="38"/>
        <v>0.24507000000000001</v>
      </c>
      <c r="W56">
        <f t="shared" si="38"/>
        <v>0.28216999999999998</v>
      </c>
      <c r="X56">
        <f t="shared" si="38"/>
        <v>2.3791E-2</v>
      </c>
      <c r="Y56">
        <f t="shared" si="38"/>
        <v>1.1882E-4</v>
      </c>
      <c r="Z56">
        <f t="shared" si="38"/>
        <v>1.1622E-2</v>
      </c>
      <c r="AA56">
        <f t="shared" si="38"/>
        <v>-2.4247999999999999E-5</v>
      </c>
      <c r="AB56">
        <f t="shared" si="38"/>
        <v>1.8053E-8</v>
      </c>
      <c r="AC56">
        <f t="shared" si="38"/>
        <v>1.1259E-3</v>
      </c>
      <c r="AD56">
        <f t="shared" si="38"/>
        <v>9.8528999999999999E-4</v>
      </c>
      <c r="AE56">
        <f t="shared" si="38"/>
        <v>1.8718000000000001E-3</v>
      </c>
      <c r="AF56">
        <f t="shared" si="38"/>
        <v>2.6829999999999999E-5</v>
      </c>
      <c r="AG56">
        <f t="shared" si="38"/>
        <v>2.5512999999999998E-3</v>
      </c>
      <c r="AH56">
        <f t="shared" si="38"/>
        <v>2.2418E-3</v>
      </c>
    </row>
    <row r="57" spans="2:34" x14ac:dyDescent="0.25">
      <c r="B57" t="str">
        <f>'[3]2_Hub_50%IP'!Y387</f>
        <v>O'Hare International Airport</v>
      </c>
      <c r="C57" t="str">
        <f>C31</f>
        <v>market for electricity, low voltage, US-RFC</v>
      </c>
      <c r="D57">
        <f>'[3]2_Hub_50%IP'!$Z387/$A$3</f>
        <v>0.16710182767624021</v>
      </c>
      <c r="E57" t="str">
        <f t="shared" ref="E57:AH57" si="39">E31</f>
        <v>kWh</v>
      </c>
      <c r="F57" t="str">
        <f t="shared" si="39"/>
        <v>Ecoinvent v3.7.1</v>
      </c>
      <c r="G57">
        <f t="shared" si="39"/>
        <v>0.61436999999999997</v>
      </c>
      <c r="H57">
        <f t="shared" si="39"/>
        <v>8.2399E-2</v>
      </c>
      <c r="I57">
        <f t="shared" si="39"/>
        <v>6.7473999999999998</v>
      </c>
      <c r="J57">
        <f t="shared" si="39"/>
        <v>4.0428000000000003E-4</v>
      </c>
      <c r="K57">
        <f t="shared" si="39"/>
        <v>4.3425000000000002</v>
      </c>
      <c r="L57">
        <f t="shared" si="39"/>
        <v>1.3322000000000001E-5</v>
      </c>
      <c r="M57">
        <f t="shared" si="39"/>
        <v>1.5082999999999999E-2</v>
      </c>
      <c r="N57">
        <f t="shared" si="39"/>
        <v>6.8917000000000006E-2</v>
      </c>
      <c r="O57">
        <f t="shared" si="39"/>
        <v>0.1275</v>
      </c>
      <c r="P57">
        <f t="shared" si="39"/>
        <v>11.384216602</v>
      </c>
      <c r="Q57">
        <f t="shared" si="39"/>
        <v>1.3875999999999999E-2</v>
      </c>
      <c r="R57">
        <f t="shared" si="39"/>
        <v>0.60836999999999997</v>
      </c>
      <c r="S57">
        <f t="shared" si="39"/>
        <v>0.16855999999999999</v>
      </c>
      <c r="T57">
        <f t="shared" si="39"/>
        <v>2.7827999999999999E-2</v>
      </c>
      <c r="U57">
        <f t="shared" si="39"/>
        <v>3.4965000000000002E-4</v>
      </c>
      <c r="V57">
        <f t="shared" si="39"/>
        <v>0.24507000000000001</v>
      </c>
      <c r="W57">
        <f t="shared" si="39"/>
        <v>0.28216999999999998</v>
      </c>
      <c r="X57">
        <f t="shared" si="39"/>
        <v>2.3791E-2</v>
      </c>
      <c r="Y57">
        <f t="shared" si="39"/>
        <v>1.1882E-4</v>
      </c>
      <c r="Z57">
        <f t="shared" si="39"/>
        <v>1.1622E-2</v>
      </c>
      <c r="AA57">
        <f t="shared" si="39"/>
        <v>-2.4247999999999999E-5</v>
      </c>
      <c r="AB57">
        <f t="shared" si="39"/>
        <v>1.8053E-8</v>
      </c>
      <c r="AC57">
        <f t="shared" si="39"/>
        <v>1.1259E-3</v>
      </c>
      <c r="AD57">
        <f t="shared" si="39"/>
        <v>9.8528999999999999E-4</v>
      </c>
      <c r="AE57">
        <f t="shared" si="39"/>
        <v>1.8718000000000001E-3</v>
      </c>
      <c r="AF57">
        <f t="shared" si="39"/>
        <v>2.6829999999999999E-5</v>
      </c>
      <c r="AG57">
        <f t="shared" si="39"/>
        <v>2.5512999999999998E-3</v>
      </c>
      <c r="AH57">
        <f t="shared" si="39"/>
        <v>2.2418E-3</v>
      </c>
    </row>
    <row r="58" spans="2:34" x14ac:dyDescent="0.25">
      <c r="B58" s="59" t="str">
        <f>C55</f>
        <v>2_Hub_50%IP</v>
      </c>
      <c r="C58" s="59" t="s">
        <v>806</v>
      </c>
      <c r="D58" s="59">
        <f>SUM(D55:D57)</f>
        <v>1</v>
      </c>
      <c r="E58" s="59" t="s">
        <v>105</v>
      </c>
      <c r="F58" s="59"/>
      <c r="G58" s="59">
        <f>SUMPRODUCT($D55:$D57,G55:G57)</f>
        <v>0.55603432052219326</v>
      </c>
      <c r="H58" s="59">
        <f t="shared" ref="H58:AH58" si="40">SUMPRODUCT($D55:$D57,H55:H57)</f>
        <v>0.15125969890339427</v>
      </c>
      <c r="I58" s="59">
        <f t="shared" si="40"/>
        <v>6.4740467080939936</v>
      </c>
      <c r="J58" s="59">
        <f t="shared" si="40"/>
        <v>3.4773862776292429E-2</v>
      </c>
      <c r="K58" s="59">
        <f t="shared" si="40"/>
        <v>3.0993069396866844</v>
      </c>
      <c r="L58" s="59">
        <f t="shared" si="40"/>
        <v>8.7385214684073095E-5</v>
      </c>
      <c r="M58" s="59">
        <f t="shared" si="40"/>
        <v>0.10153006008616189</v>
      </c>
      <c r="N58" s="59">
        <f t="shared" si="40"/>
        <v>0.42953409432898171</v>
      </c>
      <c r="O58" s="59">
        <f t="shared" si="40"/>
        <v>0.23992164013577019</v>
      </c>
      <c r="P58" s="59">
        <f t="shared" si="40"/>
        <v>10.530460389225965</v>
      </c>
      <c r="Q58" s="59">
        <f t="shared" si="40"/>
        <v>2.3965178076240209E-2</v>
      </c>
      <c r="R58" s="59">
        <f t="shared" si="40"/>
        <v>0.5507886415665797</v>
      </c>
      <c r="S58" s="59">
        <f t="shared" si="40"/>
        <v>0.16325252334203655</v>
      </c>
      <c r="T58" s="59">
        <f t="shared" si="40"/>
        <v>2.871995740992167E-2</v>
      </c>
      <c r="U58" s="59">
        <f t="shared" si="40"/>
        <v>4.1924059864229766E-4</v>
      </c>
      <c r="V58" s="59">
        <f t="shared" si="40"/>
        <v>0.28217693535248045</v>
      </c>
      <c r="W58" s="59">
        <f t="shared" si="40"/>
        <v>0.20270939029765014</v>
      </c>
      <c r="X58" s="59">
        <f t="shared" si="40"/>
        <v>2.4743548772845951E-2</v>
      </c>
      <c r="Y58" s="59">
        <f t="shared" si="40"/>
        <v>1.2944365999999999E-4</v>
      </c>
      <c r="Z58" s="59">
        <f t="shared" si="40"/>
        <v>1.1598964657963444E-2</v>
      </c>
      <c r="AA58" s="59">
        <f t="shared" si="40"/>
        <v>-2.6096339728459525E-5</v>
      </c>
      <c r="AB58" s="59">
        <f t="shared" si="40"/>
        <v>1.9190950245430811E-8</v>
      </c>
      <c r="AC58" s="59">
        <f t="shared" si="40"/>
        <v>1.2875664198433419E-3</v>
      </c>
      <c r="AD58" s="59">
        <f t="shared" si="40"/>
        <v>9.2426361754569192E-4</v>
      </c>
      <c r="AE58" s="59">
        <f t="shared" si="40"/>
        <v>1.5932159895561359E-3</v>
      </c>
      <c r="AF58" s="59">
        <f t="shared" si="40"/>
        <v>2.725868309138381E-5</v>
      </c>
      <c r="AG58" s="59">
        <f t="shared" si="40"/>
        <v>2.4126729560313312E-3</v>
      </c>
      <c r="AH58" s="59">
        <f t="shared" si="40"/>
        <v>3.169397201044386E-3</v>
      </c>
    </row>
    <row r="59" spans="2:34" x14ac:dyDescent="0.25">
      <c r="B59" s="59" t="str">
        <f>B58</f>
        <v>2_Hub_50%IP</v>
      </c>
      <c r="C59" s="59"/>
      <c r="D59" s="59"/>
      <c r="E59" s="59"/>
      <c r="F59" s="59"/>
      <c r="G59" s="59">
        <f>SUMPRODUCT($D56:$D57,G56:G57)/SUM($D56:$D57)</f>
        <v>0.61436999999999997</v>
      </c>
      <c r="H59" s="59">
        <f t="shared" ref="H59:AH59" si="41">SUMPRODUCT($D56:$D57,H56:H57)/SUM($D56:$D57)</f>
        <v>8.2398999999999986E-2</v>
      </c>
      <c r="I59" s="59">
        <f t="shared" si="41"/>
        <v>6.747399999999999</v>
      </c>
      <c r="J59" s="59">
        <f t="shared" si="41"/>
        <v>4.0427999999999997E-4</v>
      </c>
      <c r="K59" s="59">
        <f t="shared" si="41"/>
        <v>4.3424999999999994</v>
      </c>
      <c r="L59" s="59">
        <f t="shared" si="41"/>
        <v>1.3321999999999999E-5</v>
      </c>
      <c r="M59" s="59">
        <f t="shared" si="41"/>
        <v>1.5082999999999999E-2</v>
      </c>
      <c r="N59" s="59">
        <f t="shared" si="41"/>
        <v>6.8916999999999992E-2</v>
      </c>
      <c r="O59" s="59">
        <f t="shared" si="41"/>
        <v>0.1275</v>
      </c>
      <c r="P59" s="59">
        <f t="shared" si="41"/>
        <v>11.384216601999999</v>
      </c>
      <c r="Q59" s="59">
        <f t="shared" si="41"/>
        <v>1.3875999999999998E-2</v>
      </c>
      <c r="R59" s="59">
        <f t="shared" si="41"/>
        <v>0.60836999999999986</v>
      </c>
      <c r="S59" s="59">
        <f t="shared" si="41"/>
        <v>0.16855999999999999</v>
      </c>
      <c r="T59" s="59">
        <f t="shared" si="41"/>
        <v>2.7827999999999995E-2</v>
      </c>
      <c r="U59" s="59">
        <f t="shared" si="41"/>
        <v>3.4965000000000002E-4</v>
      </c>
      <c r="V59" s="59">
        <f t="shared" si="41"/>
        <v>0.24506999999999998</v>
      </c>
      <c r="W59" s="59">
        <f t="shared" si="41"/>
        <v>0.28216999999999998</v>
      </c>
      <c r="X59" s="59">
        <f t="shared" si="41"/>
        <v>2.3791E-2</v>
      </c>
      <c r="Y59" s="59">
        <f t="shared" si="41"/>
        <v>1.1881999999999999E-4</v>
      </c>
      <c r="Z59" s="59">
        <f t="shared" si="41"/>
        <v>1.1622E-2</v>
      </c>
      <c r="AA59" s="59">
        <f t="shared" si="41"/>
        <v>-2.4247999999999996E-5</v>
      </c>
      <c r="AB59" s="59">
        <f t="shared" si="41"/>
        <v>1.8053E-8</v>
      </c>
      <c r="AC59" s="59">
        <f t="shared" si="41"/>
        <v>1.1258999999999998E-3</v>
      </c>
      <c r="AD59" s="59">
        <f t="shared" si="41"/>
        <v>9.8528999999999999E-4</v>
      </c>
      <c r="AE59" s="59">
        <f t="shared" si="41"/>
        <v>1.8717999999999996E-3</v>
      </c>
      <c r="AF59" s="59">
        <f t="shared" si="41"/>
        <v>2.6829999999999996E-5</v>
      </c>
      <c r="AG59" s="59">
        <f t="shared" si="41"/>
        <v>2.5512999999999994E-3</v>
      </c>
      <c r="AH59" s="59">
        <f t="shared" si="41"/>
        <v>2.2418E-3</v>
      </c>
    </row>
    <row r="60" spans="2:34" x14ac:dyDescent="0.25">
      <c r="B60" t="s">
        <v>593</v>
      </c>
      <c r="C60" t="str">
        <f>'[3]LCIA-Elec'!BJ76</f>
        <v>2_Hub_70%IP</v>
      </c>
      <c r="D60">
        <f>'[3]LCIA-Elec'!$L$68/$A$3</f>
        <v>0.29765013054830286</v>
      </c>
      <c r="E60" t="s">
        <v>105</v>
      </c>
      <c r="F60" t="s">
        <v>829</v>
      </c>
      <c r="G60">
        <f>'[3]LCIA-Elec'!BK76</f>
        <v>0.46749563157894725</v>
      </c>
      <c r="H60">
        <f>'[3]LCIA-Elec'!BL76</f>
        <v>0.20981552280701751</v>
      </c>
      <c r="I60">
        <f>'[3]LCIA-Elec'!BM76</f>
        <v>5.9761771929824574</v>
      </c>
      <c r="J60">
        <f>'[3]LCIA-Elec'!BN76</f>
        <v>8.5389658333333313E-2</v>
      </c>
      <c r="K60">
        <f>'[3]LCIA-Elec'!BO76</f>
        <v>1.6091166342105265</v>
      </c>
      <c r="L60">
        <f>'[3]LCIA-Elec'!BP76</f>
        <v>2.5686422807017547E-4</v>
      </c>
      <c r="M60">
        <f>'[3]LCIA-Elec'!BQ76</f>
        <v>0.2323726497192983</v>
      </c>
      <c r="N60">
        <f>'[3]LCIA-Elec'!BR76</f>
        <v>0.93059845614035108</v>
      </c>
      <c r="O60">
        <f>'[3]LCIA-Elec'!BS76</f>
        <v>0.32500422894736847</v>
      </c>
      <c r="P60">
        <f>'[3]LCIA-Elec'!BT76</f>
        <v>9.3687312073684197</v>
      </c>
      <c r="Q60">
        <f>'[3]LCIA-Elec'!BU76</f>
        <v>3.0217478070175441E-2</v>
      </c>
      <c r="R60">
        <f>'[3]LCIA-Elec'!BV76</f>
        <v>0.46330724561403502</v>
      </c>
      <c r="S60">
        <f>'[3]LCIA-Elec'!BW76</f>
        <v>0.15311802807017544</v>
      </c>
      <c r="T60">
        <f>'[3]LCIA-Elec'!BX76</f>
        <v>2.8593894736842113E-2</v>
      </c>
      <c r="U60">
        <f>'[3]LCIA-Elec'!BY76</f>
        <v>4.3259380701754388E-4</v>
      </c>
      <c r="V60">
        <f>'[3]LCIA-Elec'!BZ76</f>
        <v>0.28399054385964917</v>
      </c>
      <c r="W60">
        <f>'[3]LCIA-Elec'!CA76</f>
        <v>0.10558239122807016</v>
      </c>
      <c r="X60">
        <f>'[3]LCIA-Elec'!CB76</f>
        <v>2.4890157894736833E-2</v>
      </c>
      <c r="Y60">
        <f>'[3]LCIA-Elec'!CC76</f>
        <v>1.2964347807017547E-4</v>
      </c>
      <c r="Z60">
        <f>'[3]LCIA-Elec'!CD76</f>
        <v>1.1757040350877195E-2</v>
      </c>
      <c r="AA60">
        <f>'[3]LCIA-Elec'!CE76</f>
        <v>-1.660043421052632E-5</v>
      </c>
      <c r="AB60">
        <f>'[3]LCIA-Elec'!CF76</f>
        <v>2.0799742982456143E-8</v>
      </c>
      <c r="AC60">
        <f>'[3]LCIA-Elec'!CG76</f>
        <v>1.0579859122807019E-3</v>
      </c>
      <c r="AD60">
        <f>'[3]LCIA-Elec'!CH76</f>
        <v>8.8132587719298261E-4</v>
      </c>
      <c r="AE60">
        <f>'[3]LCIA-Elec'!CI76</f>
        <v>1.2461871052631579E-3</v>
      </c>
      <c r="AF60">
        <f>'[3]LCIA-Elec'!CJ76</f>
        <v>2.6235272807017542E-5</v>
      </c>
      <c r="AG60">
        <f>'[3]LCIA-Elec'!CK76</f>
        <v>2.3092858771929826E-3</v>
      </c>
      <c r="AH60">
        <f>'[3]LCIA-Elec'!CL76</f>
        <v>4.2010918421052628E-3</v>
      </c>
    </row>
    <row r="61" spans="2:34" x14ac:dyDescent="0.25">
      <c r="B61" t="str">
        <f>'[3]2_Hub_70%IP'!Y386</f>
        <v>Newark Liberty International Airport</v>
      </c>
      <c r="C61" t="str">
        <f>C34</f>
        <v>market for electricity, low voltage, US-RFC</v>
      </c>
      <c r="D61">
        <f>'[3]2_Hub_70%IP'!$Z386/$A$3</f>
        <v>0.36814621409921672</v>
      </c>
      <c r="E61" t="str">
        <f t="shared" ref="E61:AH61" si="42">E34</f>
        <v>kWh</v>
      </c>
      <c r="F61" t="str">
        <f t="shared" si="42"/>
        <v>Ecoinvent v3.7.1</v>
      </c>
      <c r="G61">
        <f t="shared" si="42"/>
        <v>0.61436999999999997</v>
      </c>
      <c r="H61">
        <f t="shared" si="42"/>
        <v>8.2399E-2</v>
      </c>
      <c r="I61">
        <f t="shared" si="42"/>
        <v>6.7473999999999998</v>
      </c>
      <c r="J61">
        <f t="shared" si="42"/>
        <v>4.0428000000000003E-4</v>
      </c>
      <c r="K61">
        <f t="shared" si="42"/>
        <v>4.3425000000000002</v>
      </c>
      <c r="L61">
        <f t="shared" si="42"/>
        <v>1.3322000000000001E-5</v>
      </c>
      <c r="M61">
        <f t="shared" si="42"/>
        <v>1.5082999999999999E-2</v>
      </c>
      <c r="N61">
        <f t="shared" si="42"/>
        <v>6.8917000000000006E-2</v>
      </c>
      <c r="O61">
        <f t="shared" si="42"/>
        <v>0.1275</v>
      </c>
      <c r="P61">
        <f t="shared" si="42"/>
        <v>11.384216602</v>
      </c>
      <c r="Q61">
        <f t="shared" si="42"/>
        <v>1.3875999999999999E-2</v>
      </c>
      <c r="R61">
        <f t="shared" si="42"/>
        <v>0.60836999999999997</v>
      </c>
      <c r="S61">
        <f t="shared" si="42"/>
        <v>0.16855999999999999</v>
      </c>
      <c r="T61">
        <f t="shared" si="42"/>
        <v>2.7827999999999999E-2</v>
      </c>
      <c r="U61">
        <f t="shared" si="42"/>
        <v>3.4965000000000002E-4</v>
      </c>
      <c r="V61">
        <f t="shared" si="42"/>
        <v>0.24507000000000001</v>
      </c>
      <c r="W61">
        <f t="shared" si="42"/>
        <v>0.28216999999999998</v>
      </c>
      <c r="X61">
        <f t="shared" si="42"/>
        <v>2.3791E-2</v>
      </c>
      <c r="Y61">
        <f t="shared" si="42"/>
        <v>1.1882E-4</v>
      </c>
      <c r="Z61">
        <f t="shared" si="42"/>
        <v>1.1622E-2</v>
      </c>
      <c r="AA61">
        <f t="shared" si="42"/>
        <v>-2.4247999999999999E-5</v>
      </c>
      <c r="AB61">
        <f t="shared" si="42"/>
        <v>1.8053E-8</v>
      </c>
      <c r="AC61">
        <f t="shared" si="42"/>
        <v>1.1259E-3</v>
      </c>
      <c r="AD61">
        <f t="shared" si="42"/>
        <v>9.8528999999999999E-4</v>
      </c>
      <c r="AE61">
        <f t="shared" si="42"/>
        <v>1.8718000000000001E-3</v>
      </c>
      <c r="AF61">
        <f t="shared" si="42"/>
        <v>2.6829999999999999E-5</v>
      </c>
      <c r="AG61">
        <f t="shared" si="42"/>
        <v>2.5512999999999998E-3</v>
      </c>
      <c r="AH61">
        <f t="shared" si="42"/>
        <v>2.2418E-3</v>
      </c>
    </row>
    <row r="62" spans="2:34" x14ac:dyDescent="0.25">
      <c r="B62" t="str">
        <f>'[3]2_Hub_70%IP'!Y387</f>
        <v>O'Hare International Airport</v>
      </c>
      <c r="C62" t="str">
        <f>C31</f>
        <v>market for electricity, low voltage, US-RFC</v>
      </c>
      <c r="D62">
        <f>'[3]2_Hub_70%IP'!$Z387/$A$3</f>
        <v>0.33420365535248042</v>
      </c>
      <c r="E62" t="str">
        <f t="shared" ref="E62:AH62" si="43">E31</f>
        <v>kWh</v>
      </c>
      <c r="F62" t="str">
        <f t="shared" si="43"/>
        <v>Ecoinvent v3.7.1</v>
      </c>
      <c r="G62">
        <f t="shared" si="43"/>
        <v>0.61436999999999997</v>
      </c>
      <c r="H62">
        <f t="shared" si="43"/>
        <v>8.2399E-2</v>
      </c>
      <c r="I62">
        <f t="shared" si="43"/>
        <v>6.7473999999999998</v>
      </c>
      <c r="J62">
        <f t="shared" si="43"/>
        <v>4.0428000000000003E-4</v>
      </c>
      <c r="K62">
        <f t="shared" si="43"/>
        <v>4.3425000000000002</v>
      </c>
      <c r="L62">
        <f t="shared" si="43"/>
        <v>1.3322000000000001E-5</v>
      </c>
      <c r="M62">
        <f t="shared" si="43"/>
        <v>1.5082999999999999E-2</v>
      </c>
      <c r="N62">
        <f t="shared" si="43"/>
        <v>6.8917000000000006E-2</v>
      </c>
      <c r="O62">
        <f t="shared" si="43"/>
        <v>0.1275</v>
      </c>
      <c r="P62">
        <f t="shared" si="43"/>
        <v>11.384216602</v>
      </c>
      <c r="Q62">
        <f t="shared" si="43"/>
        <v>1.3875999999999999E-2</v>
      </c>
      <c r="R62">
        <f t="shared" si="43"/>
        <v>0.60836999999999997</v>
      </c>
      <c r="S62">
        <f t="shared" si="43"/>
        <v>0.16855999999999999</v>
      </c>
      <c r="T62">
        <f t="shared" si="43"/>
        <v>2.7827999999999999E-2</v>
      </c>
      <c r="U62">
        <f t="shared" si="43"/>
        <v>3.4965000000000002E-4</v>
      </c>
      <c r="V62">
        <f t="shared" si="43"/>
        <v>0.24507000000000001</v>
      </c>
      <c r="W62">
        <f t="shared" si="43"/>
        <v>0.28216999999999998</v>
      </c>
      <c r="X62">
        <f t="shared" si="43"/>
        <v>2.3791E-2</v>
      </c>
      <c r="Y62">
        <f t="shared" si="43"/>
        <v>1.1882E-4</v>
      </c>
      <c r="Z62">
        <f t="shared" si="43"/>
        <v>1.1622E-2</v>
      </c>
      <c r="AA62">
        <f t="shared" si="43"/>
        <v>-2.4247999999999999E-5</v>
      </c>
      <c r="AB62">
        <f t="shared" si="43"/>
        <v>1.8053E-8</v>
      </c>
      <c r="AC62">
        <f t="shared" si="43"/>
        <v>1.1259E-3</v>
      </c>
      <c r="AD62">
        <f t="shared" si="43"/>
        <v>9.8528999999999999E-4</v>
      </c>
      <c r="AE62">
        <f t="shared" si="43"/>
        <v>1.8718000000000001E-3</v>
      </c>
      <c r="AF62">
        <f t="shared" si="43"/>
        <v>2.6829999999999999E-5</v>
      </c>
      <c r="AG62">
        <f t="shared" si="43"/>
        <v>2.5512999999999998E-3</v>
      </c>
      <c r="AH62">
        <f t="shared" si="43"/>
        <v>2.2418E-3</v>
      </c>
    </row>
    <row r="63" spans="2:34" x14ac:dyDescent="0.25">
      <c r="B63" s="59" t="str">
        <f>C60</f>
        <v>2_Hub_70%IP</v>
      </c>
      <c r="C63" s="59" t="s">
        <v>806</v>
      </c>
      <c r="D63" s="59">
        <f>SUM(D60:D62)</f>
        <v>1</v>
      </c>
      <c r="E63" s="59" t="s">
        <v>105</v>
      </c>
      <c r="F63" s="59"/>
      <c r="G63" s="59">
        <f>SUMPRODUCT($D60:$D62,G60:G62)</f>
        <v>0.57065282506527404</v>
      </c>
      <c r="H63" s="59">
        <f t="shared" ref="H63:AH63" si="44">SUMPRODUCT($D60:$D62,H60:H62)</f>
        <v>0.12032454464751957</v>
      </c>
      <c r="I63" s="59">
        <f t="shared" si="44"/>
        <v>6.5178454308093992</v>
      </c>
      <c r="J63" s="59">
        <f t="shared" si="44"/>
        <v>2.570018895561357E-2</v>
      </c>
      <c r="K63" s="59">
        <f t="shared" si="44"/>
        <v>3.528908084334204</v>
      </c>
      <c r="L63" s="59">
        <f t="shared" si="44"/>
        <v>8.5812375979112262E-5</v>
      </c>
      <c r="M63" s="59">
        <f t="shared" si="44"/>
        <v>7.9759292605744131E-2</v>
      </c>
      <c r="N63" s="59">
        <f t="shared" si="44"/>
        <v>0.32539659791122721</v>
      </c>
      <c r="O63" s="59">
        <f t="shared" si="44"/>
        <v>0.18628715953002611</v>
      </c>
      <c r="P63" s="59">
        <f t="shared" si="44"/>
        <v>10.784307111169714</v>
      </c>
      <c r="Q63" s="59">
        <f t="shared" si="44"/>
        <v>1.8740043080939947E-2</v>
      </c>
      <c r="R63" s="59">
        <f t="shared" si="44"/>
        <v>0.56519205221932112</v>
      </c>
      <c r="S63" s="59">
        <f t="shared" si="44"/>
        <v>0.16396369503916447</v>
      </c>
      <c r="T63" s="59">
        <f t="shared" si="44"/>
        <v>2.8055968668407313E-2</v>
      </c>
      <c r="U63" s="59">
        <f t="shared" si="44"/>
        <v>3.7433823498694515E-4</v>
      </c>
      <c r="V63" s="59">
        <f t="shared" si="44"/>
        <v>0.25665470496083553</v>
      </c>
      <c r="W63" s="59">
        <f t="shared" si="44"/>
        <v>0.22960867519582245</v>
      </c>
      <c r="X63" s="59">
        <f t="shared" si="44"/>
        <v>2.4118164490861616E-2</v>
      </c>
      <c r="Y63" s="59">
        <f t="shared" si="44"/>
        <v>1.2204160966057443E-4</v>
      </c>
      <c r="Z63" s="59">
        <f t="shared" si="44"/>
        <v>1.1662194778067885E-2</v>
      </c>
      <c r="AA63" s="59">
        <f t="shared" si="44"/>
        <v>-2.1971701044386425E-5</v>
      </c>
      <c r="AB63" s="59">
        <f t="shared" si="44"/>
        <v>1.8870568407310707E-8</v>
      </c>
      <c r="AC63" s="59">
        <f t="shared" si="44"/>
        <v>1.1056853629242821E-3</v>
      </c>
      <c r="AD63" s="59">
        <f t="shared" si="44"/>
        <v>9.5434506527415142E-4</v>
      </c>
      <c r="AE63" s="59">
        <f t="shared" si="44"/>
        <v>1.6855862402088773E-3</v>
      </c>
      <c r="AF63" s="59">
        <f t="shared" si="44"/>
        <v>2.6652979373368145E-5</v>
      </c>
      <c r="AG63" s="59">
        <f t="shared" si="44"/>
        <v>2.4792644647519584E-3</v>
      </c>
      <c r="AH63" s="59">
        <f t="shared" si="44"/>
        <v>2.8249834725848559E-3</v>
      </c>
    </row>
    <row r="64" spans="2:34" x14ac:dyDescent="0.25">
      <c r="B64" s="59" t="str">
        <f>B63</f>
        <v>2_Hub_70%IP</v>
      </c>
      <c r="C64" s="59"/>
      <c r="D64" s="59"/>
      <c r="E64" s="59"/>
      <c r="F64" s="59"/>
      <c r="G64" s="59">
        <f>SUMPRODUCT($D61:$D62,G61:G62)/SUM($D61:$D62)</f>
        <v>0.61436999999999997</v>
      </c>
      <c r="H64" s="59">
        <f t="shared" ref="H64:AH64" si="45">SUMPRODUCT($D61:$D62,H61:H62)/SUM($D61:$D62)</f>
        <v>8.2399E-2</v>
      </c>
      <c r="I64" s="59">
        <f t="shared" si="45"/>
        <v>6.747399999999999</v>
      </c>
      <c r="J64" s="59">
        <f t="shared" si="45"/>
        <v>4.0427999999999997E-4</v>
      </c>
      <c r="K64" s="59">
        <f t="shared" si="45"/>
        <v>4.3425000000000002</v>
      </c>
      <c r="L64" s="59">
        <f t="shared" si="45"/>
        <v>1.3321999999999999E-5</v>
      </c>
      <c r="M64" s="59">
        <f t="shared" si="45"/>
        <v>1.5082999999999996E-2</v>
      </c>
      <c r="N64" s="59">
        <f t="shared" si="45"/>
        <v>6.8917000000000006E-2</v>
      </c>
      <c r="O64" s="59">
        <f t="shared" si="45"/>
        <v>0.12749999999999997</v>
      </c>
      <c r="P64" s="59">
        <f t="shared" si="45"/>
        <v>11.384216602</v>
      </c>
      <c r="Q64" s="59">
        <f t="shared" si="45"/>
        <v>1.3875999999999998E-2</v>
      </c>
      <c r="R64" s="59">
        <f t="shared" si="45"/>
        <v>0.60836999999999997</v>
      </c>
      <c r="S64" s="59">
        <f t="shared" si="45"/>
        <v>0.16855999999999999</v>
      </c>
      <c r="T64" s="59">
        <f t="shared" si="45"/>
        <v>2.7827999999999999E-2</v>
      </c>
      <c r="U64" s="59">
        <f t="shared" si="45"/>
        <v>3.4965000000000002E-4</v>
      </c>
      <c r="V64" s="59">
        <f t="shared" si="45"/>
        <v>0.24506999999999998</v>
      </c>
      <c r="W64" s="59">
        <f t="shared" si="45"/>
        <v>0.28216999999999998</v>
      </c>
      <c r="X64" s="59">
        <f t="shared" si="45"/>
        <v>2.3790999999999996E-2</v>
      </c>
      <c r="Y64" s="59">
        <f t="shared" si="45"/>
        <v>1.1882E-4</v>
      </c>
      <c r="Z64" s="59">
        <f t="shared" si="45"/>
        <v>1.1621999999999999E-2</v>
      </c>
      <c r="AA64" s="59">
        <f t="shared" si="45"/>
        <v>-2.4247999999999999E-5</v>
      </c>
      <c r="AB64" s="59">
        <f t="shared" si="45"/>
        <v>1.8053E-8</v>
      </c>
      <c r="AC64" s="59">
        <f t="shared" si="45"/>
        <v>1.1258999999999998E-3</v>
      </c>
      <c r="AD64" s="59">
        <f t="shared" si="45"/>
        <v>9.8528999999999999E-4</v>
      </c>
      <c r="AE64" s="59">
        <f t="shared" si="45"/>
        <v>1.8717999999999999E-3</v>
      </c>
      <c r="AF64" s="59">
        <f t="shared" si="45"/>
        <v>2.6829999999999992E-5</v>
      </c>
      <c r="AG64" s="59">
        <f t="shared" si="45"/>
        <v>2.5512999999999998E-3</v>
      </c>
      <c r="AH64" s="59">
        <f t="shared" si="45"/>
        <v>2.2417999999999995E-3</v>
      </c>
    </row>
    <row r="65" spans="2:34" x14ac:dyDescent="0.25">
      <c r="B65" t="s">
        <v>593</v>
      </c>
      <c r="C65" t="str">
        <f>'[3]LCIA-Elec'!BJ77</f>
        <v>2_Hub_90%IP</v>
      </c>
      <c r="D65">
        <f>'[3]LCIA-Elec'!$M$68/$A$3</f>
        <v>9.921671018276762E-2</v>
      </c>
      <c r="E65" t="s">
        <v>105</v>
      </c>
      <c r="F65" t="s">
        <v>829</v>
      </c>
      <c r="G65">
        <f>'[3]LCIA-Elec'!BK77</f>
        <v>0.45033134210526321</v>
      </c>
      <c r="H65">
        <f>'[3]LCIA-Elec'!BL77</f>
        <v>0.25583100789473684</v>
      </c>
      <c r="I65">
        <f>'[3]LCIA-Elec'!BM77</f>
        <v>5.8840560526315793</v>
      </c>
      <c r="J65">
        <f>'[3]LCIA-Elec'!BN77</f>
        <v>1.6930379473684209E-2</v>
      </c>
      <c r="K65">
        <f>'[3]LCIA-Elec'!BO77</f>
        <v>2.500781236842105</v>
      </c>
      <c r="L65">
        <f>'[3]LCIA-Elec'!BP77</f>
        <v>7.2853901052631587E-4</v>
      </c>
      <c r="M65">
        <f>'[3]LCIA-Elec'!BQ77</f>
        <v>0.20956423599999999</v>
      </c>
      <c r="N65">
        <f>'[3]LCIA-Elec'!BR77</f>
        <v>0.89032202631578949</v>
      </c>
      <c r="O65">
        <f>'[3]LCIA-Elec'!BS77</f>
        <v>0.36194575000000007</v>
      </c>
      <c r="P65">
        <f>'[3]LCIA-Elec'!BT77</f>
        <v>10.12015922816842</v>
      </c>
      <c r="Q65">
        <f>'[3]LCIA-Elec'!BU77</f>
        <v>3.5428444736842112E-2</v>
      </c>
      <c r="R65">
        <f>'[3]LCIA-Elec'!BV77</f>
        <v>0.44550373684210542</v>
      </c>
      <c r="S65">
        <f>'[3]LCIA-Elec'!BW77</f>
        <v>0.14994296052631581</v>
      </c>
      <c r="T65">
        <f>'[3]LCIA-Elec'!BX77</f>
        <v>2.4222105263157892E-2</v>
      </c>
      <c r="U65">
        <f>'[3]LCIA-Elec'!BY77</f>
        <v>2.2434934210526316E-4</v>
      </c>
      <c r="V65">
        <f>'[3]LCIA-Elec'!BZ77</f>
        <v>0.16904328947368419</v>
      </c>
      <c r="W65">
        <f>'[3]LCIA-Elec'!CA77</f>
        <v>0.15762828947368424</v>
      </c>
      <c r="X65">
        <f>'[3]LCIA-Elec'!CB77</f>
        <v>2.1164184210526321E-2</v>
      </c>
      <c r="Y65">
        <f>'[3]LCIA-Elec'!CC77</f>
        <v>9.9731342105263156E-5</v>
      </c>
      <c r="Z65">
        <f>'[3]LCIA-Elec'!CD77</f>
        <v>1.2385247368421054E-2</v>
      </c>
      <c r="AA65">
        <f>'[3]LCIA-Elec'!CE77</f>
        <v>-1.9024065789473681E-5</v>
      </c>
      <c r="AB65">
        <f>'[3]LCIA-Elec'!CF77</f>
        <v>2.2239176315789471E-8</v>
      </c>
      <c r="AC65">
        <f>'[3]LCIA-Elec'!CG77</f>
        <v>6.444777631578947E-4</v>
      </c>
      <c r="AD65">
        <f>'[3]LCIA-Elec'!CH77</f>
        <v>1.0145992105263159E-3</v>
      </c>
      <c r="AE65">
        <f>'[3]LCIA-Elec'!CI77</f>
        <v>1.4807815789473684E-3</v>
      </c>
      <c r="AF65">
        <f>'[3]LCIA-Elec'!CJ77</f>
        <v>2.4839531578947368E-5</v>
      </c>
      <c r="AG65">
        <f>'[3]LCIA-Elec'!CK77</f>
        <v>2.648752105263157E-3</v>
      </c>
      <c r="AH65">
        <f>'[3]LCIA-Elec'!CL77</f>
        <v>5.5182447368421041E-3</v>
      </c>
    </row>
    <row r="66" spans="2:34" x14ac:dyDescent="0.25">
      <c r="B66" t="str">
        <f>'[3]2_Hub_90%IP'!Y386</f>
        <v>Newark Liberty International Airport</v>
      </c>
      <c r="C66" t="str">
        <f>C34</f>
        <v>market for electricity, low voltage, US-RFC</v>
      </c>
      <c r="D66">
        <f>'[3]2_Hub_90%IP'!$Z386/$A$3</f>
        <v>0.5822454308093995</v>
      </c>
      <c r="E66" t="str">
        <f t="shared" ref="E66:AH66" si="46">E34</f>
        <v>kWh</v>
      </c>
      <c r="F66" t="str">
        <f t="shared" si="46"/>
        <v>Ecoinvent v3.7.1</v>
      </c>
      <c r="G66">
        <f t="shared" si="46"/>
        <v>0.61436999999999997</v>
      </c>
      <c r="H66">
        <f t="shared" si="46"/>
        <v>8.2399E-2</v>
      </c>
      <c r="I66">
        <f t="shared" si="46"/>
        <v>6.7473999999999998</v>
      </c>
      <c r="J66">
        <f t="shared" si="46"/>
        <v>4.0428000000000003E-4</v>
      </c>
      <c r="K66">
        <f t="shared" si="46"/>
        <v>4.3425000000000002</v>
      </c>
      <c r="L66">
        <f t="shared" si="46"/>
        <v>1.3322000000000001E-5</v>
      </c>
      <c r="M66">
        <f t="shared" si="46"/>
        <v>1.5082999999999999E-2</v>
      </c>
      <c r="N66">
        <f t="shared" si="46"/>
        <v>6.8917000000000006E-2</v>
      </c>
      <c r="O66">
        <f t="shared" si="46"/>
        <v>0.1275</v>
      </c>
      <c r="P66">
        <f t="shared" si="46"/>
        <v>11.384216602</v>
      </c>
      <c r="Q66">
        <f t="shared" si="46"/>
        <v>1.3875999999999999E-2</v>
      </c>
      <c r="R66">
        <f t="shared" si="46"/>
        <v>0.60836999999999997</v>
      </c>
      <c r="S66">
        <f t="shared" si="46"/>
        <v>0.16855999999999999</v>
      </c>
      <c r="T66">
        <f t="shared" si="46"/>
        <v>2.7827999999999999E-2</v>
      </c>
      <c r="U66">
        <f t="shared" si="46"/>
        <v>3.4965000000000002E-4</v>
      </c>
      <c r="V66">
        <f t="shared" si="46"/>
        <v>0.24507000000000001</v>
      </c>
      <c r="W66">
        <f t="shared" si="46"/>
        <v>0.28216999999999998</v>
      </c>
      <c r="X66">
        <f t="shared" si="46"/>
        <v>2.3791E-2</v>
      </c>
      <c r="Y66">
        <f t="shared" si="46"/>
        <v>1.1882E-4</v>
      </c>
      <c r="Z66">
        <f t="shared" si="46"/>
        <v>1.1622E-2</v>
      </c>
      <c r="AA66">
        <f t="shared" si="46"/>
        <v>-2.4247999999999999E-5</v>
      </c>
      <c r="AB66">
        <f t="shared" si="46"/>
        <v>1.8053E-8</v>
      </c>
      <c r="AC66">
        <f t="shared" si="46"/>
        <v>1.1259E-3</v>
      </c>
      <c r="AD66">
        <f t="shared" si="46"/>
        <v>9.8528999999999999E-4</v>
      </c>
      <c r="AE66">
        <f t="shared" si="46"/>
        <v>1.8718000000000001E-3</v>
      </c>
      <c r="AF66">
        <f t="shared" si="46"/>
        <v>2.6829999999999999E-5</v>
      </c>
      <c r="AG66">
        <f t="shared" si="46"/>
        <v>2.5512999999999998E-3</v>
      </c>
      <c r="AH66">
        <f t="shared" si="46"/>
        <v>2.2418E-3</v>
      </c>
    </row>
    <row r="67" spans="2:34" x14ac:dyDescent="0.25">
      <c r="B67" t="str">
        <f>'[3]2_Hub_90%IP'!Y387</f>
        <v>Denver International Airport</v>
      </c>
      <c r="C67" t="str">
        <f>C47</f>
        <v>market for electricity, low voltage, US-WECC</v>
      </c>
      <c r="D67">
        <f>'[3]2_Hub_90%IP'!$Z387/$A$3</f>
        <v>0.31853785900783288</v>
      </c>
      <c r="E67" t="str">
        <f t="shared" ref="E67:AH67" si="47">E47</f>
        <v>kWh</v>
      </c>
      <c r="F67" t="str">
        <f t="shared" si="47"/>
        <v>Ecoinvent v3.7.1</v>
      </c>
      <c r="G67">
        <f t="shared" si="47"/>
        <v>0.41233999999999998</v>
      </c>
      <c r="H67">
        <f t="shared" si="47"/>
        <v>0.16356000000000001</v>
      </c>
      <c r="I67">
        <f t="shared" si="47"/>
        <v>5.2107000000000001</v>
      </c>
      <c r="J67">
        <f t="shared" si="47"/>
        <v>0.15804000000000001</v>
      </c>
      <c r="K67">
        <f t="shared" si="47"/>
        <v>1.1274</v>
      </c>
      <c r="L67">
        <f t="shared" si="47"/>
        <v>1.7768999999999999E-5</v>
      </c>
      <c r="M67">
        <f t="shared" si="47"/>
        <v>0.32883000000000001</v>
      </c>
      <c r="N67">
        <f t="shared" si="47"/>
        <v>1.0143</v>
      </c>
      <c r="O67">
        <f t="shared" si="47"/>
        <v>0.29749999999999999</v>
      </c>
      <c r="P67">
        <f t="shared" si="47"/>
        <v>8.300347769</v>
      </c>
      <c r="Q67">
        <f t="shared" si="47"/>
        <v>2.4857000000000001E-2</v>
      </c>
      <c r="R67">
        <f t="shared" si="47"/>
        <v>0.40821000000000002</v>
      </c>
      <c r="S67">
        <f t="shared" si="47"/>
        <v>0.13331000000000001</v>
      </c>
      <c r="T67">
        <f t="shared" si="47"/>
        <v>2.9420000000000002E-2</v>
      </c>
      <c r="U67">
        <f t="shared" si="47"/>
        <v>4.3196E-4</v>
      </c>
      <c r="V67">
        <f t="shared" si="47"/>
        <v>0.27927000000000002</v>
      </c>
      <c r="W67">
        <f t="shared" si="47"/>
        <v>7.3639999999999997E-2</v>
      </c>
      <c r="X67">
        <f t="shared" si="47"/>
        <v>2.5277999999999998E-2</v>
      </c>
      <c r="Y67">
        <f t="shared" si="47"/>
        <v>1.1887000000000001E-4</v>
      </c>
      <c r="Z67">
        <f t="shared" si="47"/>
        <v>1.1467E-2</v>
      </c>
      <c r="AA67">
        <f t="shared" si="47"/>
        <v>-1.4652E-5</v>
      </c>
      <c r="AB67">
        <f t="shared" si="47"/>
        <v>1.7493E-8</v>
      </c>
      <c r="AC67">
        <f t="shared" si="47"/>
        <v>1.5398E-3</v>
      </c>
      <c r="AD67">
        <f t="shared" si="47"/>
        <v>6.7785999999999996E-4</v>
      </c>
      <c r="AE67">
        <f t="shared" si="47"/>
        <v>7.8450000000000004E-4</v>
      </c>
      <c r="AF67">
        <f t="shared" si="47"/>
        <v>3.1801999999999998E-5</v>
      </c>
      <c r="AG67">
        <f t="shared" si="47"/>
        <v>2.3995000000000002E-3</v>
      </c>
      <c r="AH67">
        <f t="shared" si="47"/>
        <v>3.0509000000000001E-3</v>
      </c>
    </row>
    <row r="68" spans="2:34" x14ac:dyDescent="0.25">
      <c r="B68" s="59" t="str">
        <f>C65</f>
        <v>2_Hub_90%IP</v>
      </c>
      <c r="C68" s="59" t="s">
        <v>806</v>
      </c>
      <c r="D68" s="59">
        <f>SUM(D65:D67)</f>
        <v>1</v>
      </c>
      <c r="E68" s="59" t="s">
        <v>105</v>
      </c>
      <c r="F68" s="59"/>
      <c r="G68" s="59">
        <f>SUMPRODUCT($D65:$D67,G65:G67)</f>
        <v>0.53374042036553526</v>
      </c>
      <c r="H68" s="59">
        <f t="shared" ref="H68:AH68" si="48">SUMPRODUCT($D65:$D67,H65:H67)</f>
        <v>0.12545920443864231</v>
      </c>
      <c r="I68" s="59">
        <f t="shared" si="48"/>
        <v>6.1722447258485635</v>
      </c>
      <c r="J68" s="59">
        <f t="shared" si="48"/>
        <v>5.2256889973890337E-2</v>
      </c>
      <c r="K68" s="59">
        <f t="shared" si="48"/>
        <v>3.1356396527415145</v>
      </c>
      <c r="L68" s="59">
        <f t="shared" si="48"/>
        <v>8.5700016710182767E-5</v>
      </c>
      <c r="M68" s="59">
        <f t="shared" si="48"/>
        <v>0.13431908607832896</v>
      </c>
      <c r="N68" s="59">
        <f t="shared" si="48"/>
        <v>0.45155438120104435</v>
      </c>
      <c r="O68" s="59">
        <f t="shared" si="48"/>
        <v>0.20491237206266319</v>
      </c>
      <c r="P68" s="59">
        <f t="shared" si="48"/>
        <v>10.276472012361358</v>
      </c>
      <c r="Q68" s="59">
        <f t="shared" si="48"/>
        <v>1.9512226892950395E-2</v>
      </c>
      <c r="R68" s="59">
        <f t="shared" si="48"/>
        <v>0.52845240731070497</v>
      </c>
      <c r="S68" s="59">
        <f t="shared" si="48"/>
        <v>0.15548441906005223</v>
      </c>
      <c r="T68" s="59">
        <f t="shared" si="48"/>
        <v>2.7977347258485635E-2</v>
      </c>
      <c r="U68" s="59">
        <f t="shared" si="48"/>
        <v>3.6343693211488253E-4</v>
      </c>
      <c r="V68" s="59">
        <f t="shared" si="48"/>
        <v>0.24842087467362922</v>
      </c>
      <c r="W68" s="59">
        <f t="shared" si="48"/>
        <v>0.20338868146214098</v>
      </c>
      <c r="X68" s="59">
        <f t="shared" si="48"/>
        <v>2.4004041775456918E-2</v>
      </c>
      <c r="Y68" s="59">
        <f t="shared" si="48"/>
        <v>1.1694201305483031E-4</v>
      </c>
      <c r="Z68" s="59">
        <f t="shared" si="48"/>
        <v>1.1648353524804178E-2</v>
      </c>
      <c r="AA68" s="59">
        <f t="shared" si="48"/>
        <v>-2.0673009138381204E-5</v>
      </c>
      <c r="AB68" s="59">
        <f t="shared" si="48"/>
        <v>1.8289957441253264E-8</v>
      </c>
      <c r="AC68" s="59">
        <f t="shared" si="48"/>
        <v>1.2099776892950391E-3</v>
      </c>
      <c r="AD68" s="59">
        <f t="shared" si="48"/>
        <v>8.9026986945169701E-4</v>
      </c>
      <c r="AE68" s="59">
        <f t="shared" si="48"/>
        <v>1.486658224543081E-3</v>
      </c>
      <c r="AF68" s="59">
        <f t="shared" si="48"/>
        <v>2.821628250652741E-5</v>
      </c>
      <c r="AG68" s="59">
        <f t="shared" si="48"/>
        <v>2.512614830287206E-3</v>
      </c>
      <c r="AH68" s="59">
        <f t="shared" si="48"/>
        <v>2.8246070496083546E-3</v>
      </c>
    </row>
    <row r="69" spans="2:34" x14ac:dyDescent="0.25">
      <c r="B69" s="59" t="str">
        <f>B68</f>
        <v>2_Hub_90%IP</v>
      </c>
      <c r="C69" s="59"/>
      <c r="D69" s="59"/>
      <c r="E69" s="59"/>
      <c r="F69" s="59"/>
      <c r="G69" s="59">
        <f>SUMPRODUCT($D66:$D67,G66:G67)/SUM($D66:$D67)</f>
        <v>0.54292750724637684</v>
      </c>
      <c r="H69" s="59">
        <f t="shared" ref="H69:AH69" si="49">SUMPRODUCT($D66:$D67,H66:H67)/SUM($D66:$D67)</f>
        <v>0.11109941159420292</v>
      </c>
      <c r="I69" s="59">
        <f t="shared" si="49"/>
        <v>6.2039872463768129</v>
      </c>
      <c r="J69" s="59">
        <f t="shared" si="49"/>
        <v>5.6147925913043482E-2</v>
      </c>
      <c r="K69" s="59">
        <f t="shared" si="49"/>
        <v>3.2055660869565221</v>
      </c>
      <c r="L69" s="59">
        <f t="shared" si="49"/>
        <v>1.489456231884058E-5</v>
      </c>
      <c r="M69" s="59">
        <f t="shared" si="49"/>
        <v>0.12603121449275362</v>
      </c>
      <c r="N69" s="59">
        <f t="shared" si="49"/>
        <v>0.40322635072463769</v>
      </c>
      <c r="O69" s="59">
        <f t="shared" si="49"/>
        <v>0.18761594202898552</v>
      </c>
      <c r="P69" s="59">
        <f t="shared" si="49"/>
        <v>10.293689072649277</v>
      </c>
      <c r="Q69" s="59">
        <f t="shared" si="49"/>
        <v>1.7759136231884059E-2</v>
      </c>
      <c r="R69" s="59">
        <f t="shared" si="49"/>
        <v>0.53758878260869569</v>
      </c>
      <c r="S69" s="59">
        <f t="shared" si="49"/>
        <v>0.15609478260869566</v>
      </c>
      <c r="T69" s="59">
        <f t="shared" si="49"/>
        <v>2.8390968115942029E-2</v>
      </c>
      <c r="U69" s="59">
        <f t="shared" si="49"/>
        <v>3.7875672463768119E-4</v>
      </c>
      <c r="V69" s="59">
        <f t="shared" si="49"/>
        <v>0.25716391304347824</v>
      </c>
      <c r="W69" s="59">
        <f t="shared" si="49"/>
        <v>0.20842895652173915</v>
      </c>
      <c r="X69" s="59">
        <f t="shared" si="49"/>
        <v>2.4316837681159421E-2</v>
      </c>
      <c r="Y69" s="59">
        <f t="shared" si="49"/>
        <v>1.1883768115942032E-4</v>
      </c>
      <c r="Z69" s="59">
        <f t="shared" si="49"/>
        <v>1.1567188405797103E-2</v>
      </c>
      <c r="AA69" s="59">
        <f t="shared" si="49"/>
        <v>-2.0854631884057974E-5</v>
      </c>
      <c r="AB69" s="59">
        <f t="shared" si="49"/>
        <v>1.7854971014492758E-8</v>
      </c>
      <c r="AC69" s="59">
        <f t="shared" si="49"/>
        <v>1.2722646376811596E-3</v>
      </c>
      <c r="AD69" s="59">
        <f t="shared" si="49"/>
        <v>8.7657562318840582E-4</v>
      </c>
      <c r="AE69" s="59">
        <f t="shared" si="49"/>
        <v>1.487305507246377E-3</v>
      </c>
      <c r="AF69" s="59">
        <f t="shared" si="49"/>
        <v>2.8588214492753621E-5</v>
      </c>
      <c r="AG69" s="59">
        <f t="shared" si="49"/>
        <v>2.4976199999999999E-3</v>
      </c>
      <c r="AH69" s="59">
        <f t="shared" si="49"/>
        <v>2.5279165217391305E-3</v>
      </c>
    </row>
    <row r="70" spans="2:34" x14ac:dyDescent="0.25">
      <c r="B70" t="s">
        <v>593</v>
      </c>
      <c r="C70" t="str">
        <f>'[3]LCIA-Elec'!BJ78</f>
        <v>3_Hub_10%IP</v>
      </c>
      <c r="D70">
        <f>'[3]LCIA-Elec'!$N$68/$A$3</f>
        <v>0.8433420365535248</v>
      </c>
      <c r="E70" t="s">
        <v>105</v>
      </c>
      <c r="F70" t="s">
        <v>829</v>
      </c>
      <c r="G70">
        <f>'[3]LCIA-Elec'!BK78</f>
        <v>0.4841293150464398</v>
      </c>
      <c r="H70">
        <f>'[3]LCIA-Elec'!BL78</f>
        <v>0.20051819405572754</v>
      </c>
      <c r="I70">
        <f>'[3]LCIA-Elec'!BM78</f>
        <v>5.8349092544891654</v>
      </c>
      <c r="J70">
        <f>'[3]LCIA-Elec'!BN78</f>
        <v>3.1372834338452012E-2</v>
      </c>
      <c r="K70">
        <f>'[3]LCIA-Elec'!BO78</f>
        <v>2.9304870523219817</v>
      </c>
      <c r="L70">
        <f>'[3]LCIA-Elec'!BP78</f>
        <v>1.0202111462538697E-4</v>
      </c>
      <c r="M70">
        <f>'[3]LCIA-Elec'!BQ78</f>
        <v>0.10409590959442724</v>
      </c>
      <c r="N70">
        <f>'[3]LCIA-Elec'!BR78</f>
        <v>0.72970699730030941</v>
      </c>
      <c r="O70">
        <f>'[3]LCIA-Elec'!BS78</f>
        <v>0.30894349279256972</v>
      </c>
      <c r="P70">
        <f>'[3]LCIA-Elec'!BT78</f>
        <v>10.140135756007252</v>
      </c>
      <c r="Q70">
        <f>'[3]LCIA-Elec'!BU78</f>
        <v>3.8030102796284819E-2</v>
      </c>
      <c r="R70">
        <f>'[3]LCIA-Elec'!BV78</f>
        <v>0.47953380718266259</v>
      </c>
      <c r="S70">
        <f>'[3]LCIA-Elec'!BW78</f>
        <v>0.14845280445820436</v>
      </c>
      <c r="T70">
        <f>'[3]LCIA-Elec'!BX78</f>
        <v>2.7862351356037141E-2</v>
      </c>
      <c r="U70">
        <f>'[3]LCIA-Elec'!BY78</f>
        <v>4.1539834452012389E-4</v>
      </c>
      <c r="V70">
        <f>'[3]LCIA-Elec'!BZ78</f>
        <v>0.27748859269349829</v>
      </c>
      <c r="W70">
        <f>'[3]LCIA-Elec'!CA78</f>
        <v>0.2025331965448916</v>
      </c>
      <c r="X70">
        <f>'[3]LCIA-Elec'!CB78</f>
        <v>2.4042056904024767E-2</v>
      </c>
      <c r="Y70">
        <f>'[3]LCIA-Elec'!CC78</f>
        <v>1.2491581665634676E-4</v>
      </c>
      <c r="Z70">
        <f>'[3]LCIA-Elec'!CD78</f>
        <v>1.1253732705882355E-2</v>
      </c>
      <c r="AA70">
        <f>'[3]LCIA-Elec'!CE78</f>
        <v>-6.0099090142414863E-5</v>
      </c>
      <c r="AB70">
        <f>'[3]LCIA-Elec'!CF78</f>
        <v>1.8906449362229105E-8</v>
      </c>
      <c r="AC70">
        <f>'[3]LCIA-Elec'!CG78</f>
        <v>1.3061410241486065E-3</v>
      </c>
      <c r="AD70">
        <f>'[3]LCIA-Elec'!CH78</f>
        <v>8.1477194897832794E-4</v>
      </c>
      <c r="AE70">
        <f>'[3]LCIA-Elec'!CI78</f>
        <v>1.3546130030959748E-3</v>
      </c>
      <c r="AF70">
        <f>'[3]LCIA-Elec'!CJ78</f>
        <v>2.5789276235294123E-5</v>
      </c>
      <c r="AG70">
        <f>'[3]LCIA-Elec'!CK78</f>
        <v>2.1264357032817335E-3</v>
      </c>
      <c r="AH70">
        <f>'[3]LCIA-Elec'!CL78</f>
        <v>5.5022217585139329E-3</v>
      </c>
    </row>
    <row r="71" spans="2:34" x14ac:dyDescent="0.25">
      <c r="B71" t="str">
        <f>'[3]3_Hub_10%IP'!Y386</f>
        <v>Newark Liberty International Airport</v>
      </c>
      <c r="C71" t="str">
        <f>C43</f>
        <v>market for electricity, low voltage, US-RFC</v>
      </c>
      <c r="D71">
        <f>'[3]3_Hub_10%IP'!$Z386/$A$3</f>
        <v>5.2219321148825062E-2</v>
      </c>
      <c r="E71" t="str">
        <f t="shared" ref="E71:AH71" si="50">E43</f>
        <v>kWh</v>
      </c>
      <c r="F71" t="str">
        <f t="shared" si="50"/>
        <v>Ecoinvent v3.7.1</v>
      </c>
      <c r="G71">
        <f t="shared" si="50"/>
        <v>0.61436999999999997</v>
      </c>
      <c r="H71">
        <f t="shared" si="50"/>
        <v>8.2399E-2</v>
      </c>
      <c r="I71">
        <f t="shared" si="50"/>
        <v>6.7473999999999998</v>
      </c>
      <c r="J71">
        <f t="shared" si="50"/>
        <v>4.0428000000000003E-4</v>
      </c>
      <c r="K71">
        <f t="shared" si="50"/>
        <v>4.3425000000000002</v>
      </c>
      <c r="L71">
        <f t="shared" si="50"/>
        <v>1.3322000000000001E-5</v>
      </c>
      <c r="M71">
        <f t="shared" si="50"/>
        <v>1.5082999999999999E-2</v>
      </c>
      <c r="N71">
        <f t="shared" si="50"/>
        <v>6.8917000000000006E-2</v>
      </c>
      <c r="O71">
        <f t="shared" si="50"/>
        <v>0.1275</v>
      </c>
      <c r="P71">
        <f t="shared" si="50"/>
        <v>11.384216602</v>
      </c>
      <c r="Q71">
        <f t="shared" si="50"/>
        <v>1.3875999999999999E-2</v>
      </c>
      <c r="R71">
        <f t="shared" si="50"/>
        <v>0.60836999999999997</v>
      </c>
      <c r="S71">
        <f t="shared" si="50"/>
        <v>0.16855999999999999</v>
      </c>
      <c r="T71">
        <f t="shared" si="50"/>
        <v>2.7827999999999999E-2</v>
      </c>
      <c r="U71">
        <f t="shared" si="50"/>
        <v>3.4965000000000002E-4</v>
      </c>
      <c r="V71">
        <f t="shared" si="50"/>
        <v>0.24507000000000001</v>
      </c>
      <c r="W71">
        <f t="shared" si="50"/>
        <v>0.28216999999999998</v>
      </c>
      <c r="X71">
        <f t="shared" si="50"/>
        <v>2.3791E-2</v>
      </c>
      <c r="Y71">
        <f t="shared" si="50"/>
        <v>1.1882E-4</v>
      </c>
      <c r="Z71">
        <f t="shared" si="50"/>
        <v>1.1622E-2</v>
      </c>
      <c r="AA71">
        <f t="shared" si="50"/>
        <v>-2.4247999999999999E-5</v>
      </c>
      <c r="AB71">
        <f t="shared" si="50"/>
        <v>1.8053E-8</v>
      </c>
      <c r="AC71">
        <f t="shared" si="50"/>
        <v>1.1259E-3</v>
      </c>
      <c r="AD71">
        <f t="shared" si="50"/>
        <v>9.8528999999999999E-4</v>
      </c>
      <c r="AE71">
        <f t="shared" si="50"/>
        <v>1.8718000000000001E-3</v>
      </c>
      <c r="AF71">
        <f t="shared" si="50"/>
        <v>2.6829999999999999E-5</v>
      </c>
      <c r="AG71">
        <f t="shared" si="50"/>
        <v>2.5512999999999998E-3</v>
      </c>
      <c r="AH71">
        <f t="shared" si="50"/>
        <v>2.2418E-3</v>
      </c>
    </row>
    <row r="72" spans="2:34" x14ac:dyDescent="0.25">
      <c r="B72" t="str">
        <f>'[3]3_Hub_10%IP'!Y387</f>
        <v>O'Hare International Airport</v>
      </c>
      <c r="C72" t="str">
        <f>C31</f>
        <v>market for electricity, low voltage, US-RFC</v>
      </c>
      <c r="D72">
        <f>'[3]3_Hub_10%IP'!$Z387/$A$3</f>
        <v>5.2219321148825062E-2</v>
      </c>
      <c r="E72" t="str">
        <f t="shared" ref="E72:AH72" si="51">E31</f>
        <v>kWh</v>
      </c>
      <c r="F72" t="str">
        <f t="shared" si="51"/>
        <v>Ecoinvent v3.7.1</v>
      </c>
      <c r="G72">
        <f t="shared" si="51"/>
        <v>0.61436999999999997</v>
      </c>
      <c r="H72">
        <f t="shared" si="51"/>
        <v>8.2399E-2</v>
      </c>
      <c r="I72">
        <f t="shared" si="51"/>
        <v>6.7473999999999998</v>
      </c>
      <c r="J72">
        <f t="shared" si="51"/>
        <v>4.0428000000000003E-4</v>
      </c>
      <c r="K72">
        <f t="shared" si="51"/>
        <v>4.3425000000000002</v>
      </c>
      <c r="L72">
        <f t="shared" si="51"/>
        <v>1.3322000000000001E-5</v>
      </c>
      <c r="M72">
        <f t="shared" si="51"/>
        <v>1.5082999999999999E-2</v>
      </c>
      <c r="N72">
        <f t="shared" si="51"/>
        <v>6.8917000000000006E-2</v>
      </c>
      <c r="O72">
        <f t="shared" si="51"/>
        <v>0.1275</v>
      </c>
      <c r="P72">
        <f t="shared" si="51"/>
        <v>11.384216602</v>
      </c>
      <c r="Q72">
        <f t="shared" si="51"/>
        <v>1.3875999999999999E-2</v>
      </c>
      <c r="R72">
        <f t="shared" si="51"/>
        <v>0.60836999999999997</v>
      </c>
      <c r="S72">
        <f t="shared" si="51"/>
        <v>0.16855999999999999</v>
      </c>
      <c r="T72">
        <f t="shared" si="51"/>
        <v>2.7827999999999999E-2</v>
      </c>
      <c r="U72">
        <f t="shared" si="51"/>
        <v>3.4965000000000002E-4</v>
      </c>
      <c r="V72">
        <f t="shared" si="51"/>
        <v>0.24507000000000001</v>
      </c>
      <c r="W72">
        <f t="shared" si="51"/>
        <v>0.28216999999999998</v>
      </c>
      <c r="X72">
        <f t="shared" si="51"/>
        <v>2.3791E-2</v>
      </c>
      <c r="Y72">
        <f t="shared" si="51"/>
        <v>1.1882E-4</v>
      </c>
      <c r="Z72">
        <f t="shared" si="51"/>
        <v>1.1622E-2</v>
      </c>
      <c r="AA72">
        <f t="shared" si="51"/>
        <v>-2.4247999999999999E-5</v>
      </c>
      <c r="AB72">
        <f t="shared" si="51"/>
        <v>1.8053E-8</v>
      </c>
      <c r="AC72">
        <f t="shared" si="51"/>
        <v>1.1259E-3</v>
      </c>
      <c r="AD72">
        <f t="shared" si="51"/>
        <v>9.8528999999999999E-4</v>
      </c>
      <c r="AE72">
        <f t="shared" si="51"/>
        <v>1.8718000000000001E-3</v>
      </c>
      <c r="AF72">
        <f t="shared" si="51"/>
        <v>2.6829999999999999E-5</v>
      </c>
      <c r="AG72">
        <f t="shared" si="51"/>
        <v>2.5512999999999998E-3</v>
      </c>
      <c r="AH72">
        <f t="shared" si="51"/>
        <v>2.2418E-3</v>
      </c>
    </row>
    <row r="73" spans="2:34" x14ac:dyDescent="0.25">
      <c r="B73" t="str">
        <f>'[3]3_Hub_10%IP'!Y388</f>
        <v>Denver International Airport</v>
      </c>
      <c r="C73" t="str">
        <f>C67</f>
        <v>market for electricity, low voltage, US-WECC</v>
      </c>
      <c r="D73">
        <f>'[3]3_Hub_10%IP'!$Z388/$A$3</f>
        <v>5.2219321148825062E-2</v>
      </c>
      <c r="E73" t="str">
        <f t="shared" ref="E73:AH73" si="52">E67</f>
        <v>kWh</v>
      </c>
      <c r="F73" t="str">
        <f t="shared" si="52"/>
        <v>Ecoinvent v3.7.1</v>
      </c>
      <c r="G73">
        <f t="shared" si="52"/>
        <v>0.41233999999999998</v>
      </c>
      <c r="H73">
        <f t="shared" si="52"/>
        <v>0.16356000000000001</v>
      </c>
      <c r="I73">
        <f t="shared" si="52"/>
        <v>5.2107000000000001</v>
      </c>
      <c r="J73">
        <f t="shared" si="52"/>
        <v>0.15804000000000001</v>
      </c>
      <c r="K73">
        <f t="shared" si="52"/>
        <v>1.1274</v>
      </c>
      <c r="L73">
        <f t="shared" si="52"/>
        <v>1.7768999999999999E-5</v>
      </c>
      <c r="M73">
        <f t="shared" si="52"/>
        <v>0.32883000000000001</v>
      </c>
      <c r="N73">
        <f t="shared" si="52"/>
        <v>1.0143</v>
      </c>
      <c r="O73">
        <f t="shared" si="52"/>
        <v>0.29749999999999999</v>
      </c>
      <c r="P73">
        <f t="shared" si="52"/>
        <v>8.300347769</v>
      </c>
      <c r="Q73">
        <f t="shared" si="52"/>
        <v>2.4857000000000001E-2</v>
      </c>
      <c r="R73">
        <f t="shared" si="52"/>
        <v>0.40821000000000002</v>
      </c>
      <c r="S73">
        <f t="shared" si="52"/>
        <v>0.13331000000000001</v>
      </c>
      <c r="T73">
        <f t="shared" si="52"/>
        <v>2.9420000000000002E-2</v>
      </c>
      <c r="U73">
        <f t="shared" si="52"/>
        <v>4.3196E-4</v>
      </c>
      <c r="V73">
        <f t="shared" si="52"/>
        <v>0.27927000000000002</v>
      </c>
      <c r="W73">
        <f t="shared" si="52"/>
        <v>7.3639999999999997E-2</v>
      </c>
      <c r="X73">
        <f t="shared" si="52"/>
        <v>2.5277999999999998E-2</v>
      </c>
      <c r="Y73">
        <f t="shared" si="52"/>
        <v>1.1887000000000001E-4</v>
      </c>
      <c r="Z73">
        <f t="shared" si="52"/>
        <v>1.1467E-2</v>
      </c>
      <c r="AA73">
        <f t="shared" si="52"/>
        <v>-1.4652E-5</v>
      </c>
      <c r="AB73">
        <f t="shared" si="52"/>
        <v>1.7493E-8</v>
      </c>
      <c r="AC73">
        <f t="shared" si="52"/>
        <v>1.5398E-3</v>
      </c>
      <c r="AD73">
        <f t="shared" si="52"/>
        <v>6.7785999999999996E-4</v>
      </c>
      <c r="AE73">
        <f t="shared" si="52"/>
        <v>7.8450000000000004E-4</v>
      </c>
      <c r="AF73">
        <f t="shared" si="52"/>
        <v>3.1801999999999998E-5</v>
      </c>
      <c r="AG73">
        <f t="shared" si="52"/>
        <v>2.3995000000000002E-3</v>
      </c>
      <c r="AH73">
        <f t="shared" si="52"/>
        <v>3.0509000000000001E-3</v>
      </c>
    </row>
    <row r="74" spans="2:34" x14ac:dyDescent="0.25">
      <c r="B74" s="59" t="str">
        <f>C70</f>
        <v>3_Hub_10%IP</v>
      </c>
      <c r="C74" s="59" t="s">
        <v>806</v>
      </c>
      <c r="D74" s="59">
        <f>SUM(D70:D73)</f>
        <v>1</v>
      </c>
      <c r="E74" s="59" t="s">
        <v>105</v>
      </c>
      <c r="F74" s="59"/>
      <c r="G74" s="59">
        <f>SUMPRODUCT($D70:$D73,G70:G73)</f>
        <v>0.49398268605744139</v>
      </c>
      <c r="H74" s="59">
        <f t="shared" ref="H74:AH74" si="53">SUMPRODUCT($D70:$D73,H70:H73)</f>
        <v>0.18625205399477809</v>
      </c>
      <c r="I74" s="59">
        <f t="shared" si="53"/>
        <v>5.8976127655352499</v>
      </c>
      <c r="J74" s="59">
        <f t="shared" si="53"/>
        <v>3.4752993972114878E-2</v>
      </c>
      <c r="K74" s="59">
        <f t="shared" si="53"/>
        <v>2.983799785639687</v>
      </c>
      <c r="L74" s="59">
        <f t="shared" si="53"/>
        <v>8.8357911289817202E-5</v>
      </c>
      <c r="M74" s="59">
        <f t="shared" si="53"/>
        <v>0.10653498380939946</v>
      </c>
      <c r="N74" s="59">
        <f t="shared" si="53"/>
        <v>0.67555624054308072</v>
      </c>
      <c r="O74" s="59">
        <f t="shared" si="53"/>
        <v>0.28939620932637078</v>
      </c>
      <c r="P74" s="59">
        <f t="shared" si="53"/>
        <v>10.173993390731964</v>
      </c>
      <c r="Q74" s="59">
        <f t="shared" si="53"/>
        <v>3.4819590608877272E-2</v>
      </c>
      <c r="R74" s="59">
        <f t="shared" si="53"/>
        <v>0.48926480344647516</v>
      </c>
      <c r="S74" s="59">
        <f t="shared" si="53"/>
        <v>0.149762025691906</v>
      </c>
      <c r="T74" s="59">
        <f t="shared" si="53"/>
        <v>2.7940103101827665E-2</v>
      </c>
      <c r="U74" s="59">
        <f t="shared" si="53"/>
        <v>4.0939651509138385E-4</v>
      </c>
      <c r="V74" s="59">
        <f t="shared" si="53"/>
        <v>0.27419586276762392</v>
      </c>
      <c r="W74" s="59">
        <f t="shared" si="53"/>
        <v>0.20411964095039162</v>
      </c>
      <c r="X74" s="59">
        <f t="shared" si="53"/>
        <v>2.4080376971279373E-2</v>
      </c>
      <c r="Y74" s="59">
        <f t="shared" si="53"/>
        <v>1.2396346939947783E-4</v>
      </c>
      <c r="Z74" s="59">
        <f t="shared" si="53"/>
        <v>1.1303330715404701E-2</v>
      </c>
      <c r="AA74" s="59">
        <f t="shared" si="53"/>
        <v>-5.3981634767624027E-5</v>
      </c>
      <c r="AB74" s="59">
        <f t="shared" si="53"/>
        <v>1.8743506903394255E-8</v>
      </c>
      <c r="AC74" s="59">
        <f t="shared" si="53"/>
        <v>1.2995184093994776E-3</v>
      </c>
      <c r="AD74" s="59">
        <f t="shared" si="53"/>
        <v>8.2543117368146207E-4</v>
      </c>
      <c r="AE74" s="59">
        <f t="shared" si="53"/>
        <v>1.3788563968668403E-3</v>
      </c>
      <c r="AF74" s="59">
        <f t="shared" si="53"/>
        <v>2.6211948365535249E-5</v>
      </c>
      <c r="AG74" s="59">
        <f t="shared" si="53"/>
        <v>2.1850671857963446E-3</v>
      </c>
      <c r="AH74" s="59">
        <f t="shared" si="53"/>
        <v>5.0337013785900801E-3</v>
      </c>
    </row>
    <row r="75" spans="2:34" x14ac:dyDescent="0.25">
      <c r="B75" s="59" t="str">
        <f>B74</f>
        <v>3_Hub_10%IP</v>
      </c>
      <c r="C75" s="59"/>
      <c r="D75" s="59"/>
      <c r="E75" s="59"/>
      <c r="F75" s="59"/>
      <c r="G75" s="59">
        <f>SUMPRODUCT($D71:$D73,G71:G73)/SUM($D71:$D73)</f>
        <v>0.54702666666666655</v>
      </c>
      <c r="H75" s="59">
        <f t="shared" ref="H75:AH75" si="54">SUMPRODUCT($D71:$D73,H71:H73)/SUM($D71:$D73)</f>
        <v>0.10945266666666664</v>
      </c>
      <c r="I75" s="59">
        <f t="shared" si="54"/>
        <v>6.2351666666666663</v>
      </c>
      <c r="J75" s="59">
        <f t="shared" si="54"/>
        <v>5.2949520000000007E-2</v>
      </c>
      <c r="K75" s="59">
        <f t="shared" si="54"/>
        <v>3.2707999999999999</v>
      </c>
      <c r="L75" s="59">
        <f t="shared" si="54"/>
        <v>1.480433333333333E-5</v>
      </c>
      <c r="M75" s="59">
        <f t="shared" si="54"/>
        <v>0.11966533333333332</v>
      </c>
      <c r="N75" s="59">
        <f t="shared" si="54"/>
        <v>0.38404466666666665</v>
      </c>
      <c r="O75" s="59">
        <f t="shared" si="54"/>
        <v>0.18416666666666665</v>
      </c>
      <c r="P75" s="59">
        <f t="shared" si="54"/>
        <v>10.356260324333332</v>
      </c>
      <c r="Q75" s="59">
        <f t="shared" si="54"/>
        <v>1.7536333333333331E-2</v>
      </c>
      <c r="R75" s="59">
        <f t="shared" si="54"/>
        <v>0.54164999999999996</v>
      </c>
      <c r="S75" s="59">
        <f t="shared" si="54"/>
        <v>0.15680999999999998</v>
      </c>
      <c r="T75" s="59">
        <f t="shared" si="54"/>
        <v>2.8358666666666664E-2</v>
      </c>
      <c r="U75" s="59">
        <f t="shared" si="54"/>
        <v>3.7708666666666664E-4</v>
      </c>
      <c r="V75" s="59">
        <f t="shared" si="54"/>
        <v>0.25646999999999998</v>
      </c>
      <c r="W75" s="59">
        <f t="shared" si="54"/>
        <v>0.21265999999999993</v>
      </c>
      <c r="X75" s="59">
        <f t="shared" si="54"/>
        <v>2.4286666666666665E-2</v>
      </c>
      <c r="Y75" s="59">
        <f t="shared" si="54"/>
        <v>1.1883666666666667E-4</v>
      </c>
      <c r="Z75" s="59">
        <f t="shared" si="54"/>
        <v>1.1570333333333332E-2</v>
      </c>
      <c r="AA75" s="59">
        <f t="shared" si="54"/>
        <v>-2.1049333333333332E-5</v>
      </c>
      <c r="AB75" s="59">
        <f t="shared" si="54"/>
        <v>1.7866333333333332E-8</v>
      </c>
      <c r="AC75" s="59">
        <f t="shared" si="54"/>
        <v>1.2638666666666665E-3</v>
      </c>
      <c r="AD75" s="59">
        <f t="shared" si="54"/>
        <v>8.8281333333333325E-4</v>
      </c>
      <c r="AE75" s="59">
        <f t="shared" si="54"/>
        <v>1.5093666666666668E-3</v>
      </c>
      <c r="AF75" s="59">
        <f t="shared" si="54"/>
        <v>2.8487333333333327E-5</v>
      </c>
      <c r="AG75" s="59">
        <f t="shared" si="54"/>
        <v>2.5006999999999998E-3</v>
      </c>
      <c r="AH75" s="59">
        <f t="shared" si="54"/>
        <v>2.5114999999999998E-3</v>
      </c>
    </row>
    <row r="76" spans="2:34" x14ac:dyDescent="0.25">
      <c r="B76" t="s">
        <v>593</v>
      </c>
      <c r="C76" t="str">
        <f>'[3]LCIA-Elec'!BJ79</f>
        <v>3_Hub_30%IP</v>
      </c>
      <c r="D76">
        <f>'[3]LCIA-Elec'!$O$68/$A$3</f>
        <v>0.69973890339425593</v>
      </c>
      <c r="E76" t="s">
        <v>105</v>
      </c>
      <c r="F76" t="s">
        <v>829</v>
      </c>
      <c r="G76">
        <f>'[3]LCIA-Elec'!BK79</f>
        <v>0.47498592820895519</v>
      </c>
      <c r="H76">
        <f>'[3]LCIA-Elec'!BL79</f>
        <v>0.20274642417910449</v>
      </c>
      <c r="I76">
        <f>'[3]LCIA-Elec'!BM79</f>
        <v>5.7772764522388078</v>
      </c>
      <c r="J76">
        <f>'[3]LCIA-Elec'!BN79</f>
        <v>3.6553625975074618E-2</v>
      </c>
      <c r="K76">
        <f>'[3]LCIA-Elec'!BO79</f>
        <v>2.7847612608208951</v>
      </c>
      <c r="L76">
        <f>'[3]LCIA-Elec'!BP79</f>
        <v>1.1936602247761192E-4</v>
      </c>
      <c r="M76">
        <f>'[3]LCIA-Elec'!BQ79</f>
        <v>0.11841033133955224</v>
      </c>
      <c r="N76">
        <f>'[3]LCIA-Elec'!BR79</f>
        <v>0.81163819077611932</v>
      </c>
      <c r="O76">
        <f>'[3]LCIA-Elec'!BS79</f>
        <v>0.30338473944776123</v>
      </c>
      <c r="P76">
        <f>'[3]LCIA-Elec'!BT79</f>
        <v>10.03489039079979</v>
      </c>
      <c r="Q76">
        <f>'[3]LCIA-Elec'!BU79</f>
        <v>3.9896135086567155E-2</v>
      </c>
      <c r="R76">
        <f>'[3]LCIA-Elec'!BV79</f>
        <v>0.47051470044776122</v>
      </c>
      <c r="S76">
        <f>'[3]LCIA-Elec'!BW79</f>
        <v>0.14716416358208959</v>
      </c>
      <c r="T76">
        <f>'[3]LCIA-Elec'!BX79</f>
        <v>2.7561192119402982E-2</v>
      </c>
      <c r="U76">
        <f>'[3]LCIA-Elec'!BY79</f>
        <v>4.1041842268656724E-4</v>
      </c>
      <c r="V76">
        <f>'[3]LCIA-Elec'!BZ79</f>
        <v>0.27365943820895505</v>
      </c>
      <c r="W76">
        <f>'[3]LCIA-Elec'!CA79</f>
        <v>0.19413468837313427</v>
      </c>
      <c r="X76">
        <f>'[3]LCIA-Elec'!CB79</f>
        <v>2.3807684253731344E-2</v>
      </c>
      <c r="Y76">
        <f>'[3]LCIA-Elec'!CC79</f>
        <v>1.2353260738805972E-4</v>
      </c>
      <c r="Z76">
        <f>'[3]LCIA-Elec'!CD79</f>
        <v>1.1206383074626868E-2</v>
      </c>
      <c r="AA76">
        <f>'[3]LCIA-Elec'!CE79</f>
        <v>-6.777246311940299E-5</v>
      </c>
      <c r="AB76">
        <f>'[3]LCIA-Elec'!CF79</f>
        <v>1.8969448298507463E-8</v>
      </c>
      <c r="AC76">
        <f>'[3]LCIA-Elec'!CG79</f>
        <v>1.2442623537313431E-3</v>
      </c>
      <c r="AD76">
        <f>'[3]LCIA-Elec'!CH79</f>
        <v>8.0682484895522376E-4</v>
      </c>
      <c r="AE76">
        <f>'[3]LCIA-Elec'!CI79</f>
        <v>1.3124520895522382E-3</v>
      </c>
      <c r="AF76">
        <f>'[3]LCIA-Elec'!CJ79</f>
        <v>2.5511235910447763E-5</v>
      </c>
      <c r="AG76">
        <f>'[3]LCIA-Elec'!CK79</f>
        <v>2.1391784035820903E-3</v>
      </c>
      <c r="AH76">
        <f>'[3]LCIA-Elec'!CL79</f>
        <v>5.9137165223880602E-3</v>
      </c>
    </row>
    <row r="77" spans="2:34" x14ac:dyDescent="0.25">
      <c r="B77" t="str">
        <f>'[3]3_Hub_30%IP'!Y386</f>
        <v>Newark Liberty International Airport</v>
      </c>
      <c r="C77" t="str">
        <f>C71</f>
        <v>market for electricity, low voltage, US-RFC</v>
      </c>
      <c r="D77">
        <f>'[3]3_Hub_30%IP'!$Z386/$A$3</f>
        <v>0.15404699738903394</v>
      </c>
      <c r="E77" t="str">
        <f t="shared" ref="E77:AH77" si="55">E71</f>
        <v>kWh</v>
      </c>
      <c r="F77" t="str">
        <f t="shared" si="55"/>
        <v>Ecoinvent v3.7.1</v>
      </c>
      <c r="G77">
        <f t="shared" si="55"/>
        <v>0.61436999999999997</v>
      </c>
      <c r="H77">
        <f t="shared" si="55"/>
        <v>8.2399E-2</v>
      </c>
      <c r="I77">
        <f t="shared" si="55"/>
        <v>6.7473999999999998</v>
      </c>
      <c r="J77">
        <f t="shared" si="55"/>
        <v>4.0428000000000003E-4</v>
      </c>
      <c r="K77">
        <f t="shared" si="55"/>
        <v>4.3425000000000002</v>
      </c>
      <c r="L77">
        <f t="shared" si="55"/>
        <v>1.3322000000000001E-5</v>
      </c>
      <c r="M77">
        <f t="shared" si="55"/>
        <v>1.5082999999999999E-2</v>
      </c>
      <c r="N77">
        <f t="shared" si="55"/>
        <v>6.8917000000000006E-2</v>
      </c>
      <c r="O77">
        <f t="shared" si="55"/>
        <v>0.1275</v>
      </c>
      <c r="P77">
        <f t="shared" si="55"/>
        <v>11.384216602</v>
      </c>
      <c r="Q77">
        <f t="shared" si="55"/>
        <v>1.3875999999999999E-2</v>
      </c>
      <c r="R77">
        <f t="shared" si="55"/>
        <v>0.60836999999999997</v>
      </c>
      <c r="S77">
        <f t="shared" si="55"/>
        <v>0.16855999999999999</v>
      </c>
      <c r="T77">
        <f t="shared" si="55"/>
        <v>2.7827999999999999E-2</v>
      </c>
      <c r="U77">
        <f t="shared" si="55"/>
        <v>3.4965000000000002E-4</v>
      </c>
      <c r="V77">
        <f t="shared" si="55"/>
        <v>0.24507000000000001</v>
      </c>
      <c r="W77">
        <f t="shared" si="55"/>
        <v>0.28216999999999998</v>
      </c>
      <c r="X77">
        <f t="shared" si="55"/>
        <v>2.3791E-2</v>
      </c>
      <c r="Y77">
        <f t="shared" si="55"/>
        <v>1.1882E-4</v>
      </c>
      <c r="Z77">
        <f t="shared" si="55"/>
        <v>1.1622E-2</v>
      </c>
      <c r="AA77">
        <f t="shared" si="55"/>
        <v>-2.4247999999999999E-5</v>
      </c>
      <c r="AB77">
        <f t="shared" si="55"/>
        <v>1.8053E-8</v>
      </c>
      <c r="AC77">
        <f t="shared" si="55"/>
        <v>1.1259E-3</v>
      </c>
      <c r="AD77">
        <f t="shared" si="55"/>
        <v>9.8528999999999999E-4</v>
      </c>
      <c r="AE77">
        <f t="shared" si="55"/>
        <v>1.8718000000000001E-3</v>
      </c>
      <c r="AF77">
        <f t="shared" si="55"/>
        <v>2.6829999999999999E-5</v>
      </c>
      <c r="AG77">
        <f t="shared" si="55"/>
        <v>2.5512999999999998E-3</v>
      </c>
      <c r="AH77">
        <f t="shared" si="55"/>
        <v>2.2418E-3</v>
      </c>
    </row>
    <row r="78" spans="2:34" x14ac:dyDescent="0.25">
      <c r="B78" t="str">
        <f>'[3]3_Hub_30%IP'!Y387</f>
        <v>O'Hare International Airport</v>
      </c>
      <c r="C78" t="str">
        <f>C72</f>
        <v>market for electricity, low voltage, US-RFC</v>
      </c>
      <c r="D78">
        <f>'[3]3_Hub_30%IP'!$Z387/$A$3</f>
        <v>8.877284595300261E-2</v>
      </c>
      <c r="E78" t="str">
        <f t="shared" ref="E78:AH78" si="56">E72</f>
        <v>kWh</v>
      </c>
      <c r="F78" t="str">
        <f t="shared" si="56"/>
        <v>Ecoinvent v3.7.1</v>
      </c>
      <c r="G78">
        <f t="shared" si="56"/>
        <v>0.61436999999999997</v>
      </c>
      <c r="H78">
        <f t="shared" si="56"/>
        <v>8.2399E-2</v>
      </c>
      <c r="I78">
        <f t="shared" si="56"/>
        <v>6.7473999999999998</v>
      </c>
      <c r="J78">
        <f t="shared" si="56"/>
        <v>4.0428000000000003E-4</v>
      </c>
      <c r="K78">
        <f t="shared" si="56"/>
        <v>4.3425000000000002</v>
      </c>
      <c r="L78">
        <f t="shared" si="56"/>
        <v>1.3322000000000001E-5</v>
      </c>
      <c r="M78">
        <f t="shared" si="56"/>
        <v>1.5082999999999999E-2</v>
      </c>
      <c r="N78">
        <f t="shared" si="56"/>
        <v>6.8917000000000006E-2</v>
      </c>
      <c r="O78">
        <f t="shared" si="56"/>
        <v>0.1275</v>
      </c>
      <c r="P78">
        <f t="shared" si="56"/>
        <v>11.384216602</v>
      </c>
      <c r="Q78">
        <f t="shared" si="56"/>
        <v>1.3875999999999999E-2</v>
      </c>
      <c r="R78">
        <f t="shared" si="56"/>
        <v>0.60836999999999997</v>
      </c>
      <c r="S78">
        <f t="shared" si="56"/>
        <v>0.16855999999999999</v>
      </c>
      <c r="T78">
        <f t="shared" si="56"/>
        <v>2.7827999999999999E-2</v>
      </c>
      <c r="U78">
        <f t="shared" si="56"/>
        <v>3.4965000000000002E-4</v>
      </c>
      <c r="V78">
        <f t="shared" si="56"/>
        <v>0.24507000000000001</v>
      </c>
      <c r="W78">
        <f t="shared" si="56"/>
        <v>0.28216999999999998</v>
      </c>
      <c r="X78">
        <f t="shared" si="56"/>
        <v>2.3791E-2</v>
      </c>
      <c r="Y78">
        <f t="shared" si="56"/>
        <v>1.1882E-4</v>
      </c>
      <c r="Z78">
        <f t="shared" si="56"/>
        <v>1.1622E-2</v>
      </c>
      <c r="AA78">
        <f t="shared" si="56"/>
        <v>-2.4247999999999999E-5</v>
      </c>
      <c r="AB78">
        <f t="shared" si="56"/>
        <v>1.8053E-8</v>
      </c>
      <c r="AC78">
        <f t="shared" si="56"/>
        <v>1.1259E-3</v>
      </c>
      <c r="AD78">
        <f t="shared" si="56"/>
        <v>9.8528999999999999E-4</v>
      </c>
      <c r="AE78">
        <f t="shared" si="56"/>
        <v>1.8718000000000001E-3</v>
      </c>
      <c r="AF78">
        <f t="shared" si="56"/>
        <v>2.6829999999999999E-5</v>
      </c>
      <c r="AG78">
        <f t="shared" si="56"/>
        <v>2.5512999999999998E-3</v>
      </c>
      <c r="AH78">
        <f t="shared" si="56"/>
        <v>2.2418E-3</v>
      </c>
    </row>
    <row r="79" spans="2:34" x14ac:dyDescent="0.25">
      <c r="B79" t="str">
        <f>'[3]3_Hub_30%IP'!Y388</f>
        <v>Denver International Airport</v>
      </c>
      <c r="C79" t="str">
        <f>C73</f>
        <v>market for electricity, low voltage, US-WECC</v>
      </c>
      <c r="D79">
        <f>'[3]3_Hub_30%IP'!$Z388/$A$3</f>
        <v>5.7441253263707574E-2</v>
      </c>
      <c r="E79" t="str">
        <f t="shared" ref="E79:AH79" si="57">E73</f>
        <v>kWh</v>
      </c>
      <c r="F79" t="str">
        <f t="shared" si="57"/>
        <v>Ecoinvent v3.7.1</v>
      </c>
      <c r="G79">
        <f t="shared" si="57"/>
        <v>0.41233999999999998</v>
      </c>
      <c r="H79">
        <f t="shared" si="57"/>
        <v>0.16356000000000001</v>
      </c>
      <c r="I79">
        <f t="shared" si="57"/>
        <v>5.2107000000000001</v>
      </c>
      <c r="J79">
        <f t="shared" si="57"/>
        <v>0.15804000000000001</v>
      </c>
      <c r="K79">
        <f t="shared" si="57"/>
        <v>1.1274</v>
      </c>
      <c r="L79">
        <f t="shared" si="57"/>
        <v>1.7768999999999999E-5</v>
      </c>
      <c r="M79">
        <f t="shared" si="57"/>
        <v>0.32883000000000001</v>
      </c>
      <c r="N79">
        <f t="shared" si="57"/>
        <v>1.0143</v>
      </c>
      <c r="O79">
        <f t="shared" si="57"/>
        <v>0.29749999999999999</v>
      </c>
      <c r="P79">
        <f t="shared" si="57"/>
        <v>8.300347769</v>
      </c>
      <c r="Q79">
        <f t="shared" si="57"/>
        <v>2.4857000000000001E-2</v>
      </c>
      <c r="R79">
        <f t="shared" si="57"/>
        <v>0.40821000000000002</v>
      </c>
      <c r="S79">
        <f t="shared" si="57"/>
        <v>0.13331000000000001</v>
      </c>
      <c r="T79">
        <f t="shared" si="57"/>
        <v>2.9420000000000002E-2</v>
      </c>
      <c r="U79">
        <f t="shared" si="57"/>
        <v>4.3196E-4</v>
      </c>
      <c r="V79">
        <f t="shared" si="57"/>
        <v>0.27927000000000002</v>
      </c>
      <c r="W79">
        <f t="shared" si="57"/>
        <v>7.3639999999999997E-2</v>
      </c>
      <c r="X79">
        <f t="shared" si="57"/>
        <v>2.5277999999999998E-2</v>
      </c>
      <c r="Y79">
        <f t="shared" si="57"/>
        <v>1.1887000000000001E-4</v>
      </c>
      <c r="Z79">
        <f t="shared" si="57"/>
        <v>1.1467E-2</v>
      </c>
      <c r="AA79">
        <f t="shared" si="57"/>
        <v>-1.4652E-5</v>
      </c>
      <c r="AB79">
        <f t="shared" si="57"/>
        <v>1.7493E-8</v>
      </c>
      <c r="AC79">
        <f t="shared" si="57"/>
        <v>1.5398E-3</v>
      </c>
      <c r="AD79">
        <f t="shared" si="57"/>
        <v>6.7785999999999996E-4</v>
      </c>
      <c r="AE79">
        <f t="shared" si="57"/>
        <v>7.8450000000000004E-4</v>
      </c>
      <c r="AF79">
        <f t="shared" si="57"/>
        <v>3.1801999999999998E-5</v>
      </c>
      <c r="AG79">
        <f t="shared" si="57"/>
        <v>2.3995000000000002E-3</v>
      </c>
      <c r="AH79">
        <f t="shared" si="57"/>
        <v>3.0509000000000001E-3</v>
      </c>
    </row>
    <row r="80" spans="2:34" x14ac:dyDescent="0.25">
      <c r="B80" s="59" t="str">
        <f>C76</f>
        <v>3_Hub_30%IP</v>
      </c>
      <c r="C80" s="59" t="s">
        <v>806</v>
      </c>
      <c r="D80" s="59">
        <f>SUM(D76:D79)</f>
        <v>1</v>
      </c>
      <c r="E80" s="59" t="s">
        <v>105</v>
      </c>
      <c r="F80" s="59"/>
      <c r="G80" s="59">
        <f>SUMPRODUCT($D76:$D79,G76:G79)</f>
        <v>0.5052326860574412</v>
      </c>
      <c r="H80" s="59">
        <f t="shared" ref="H80:AH80" si="58">SUMPRODUCT($D76:$D79,H76:H79)</f>
        <v>0.17127276417754572</v>
      </c>
      <c r="I80" s="59">
        <f t="shared" si="58"/>
        <v>5.9802968386422988</v>
      </c>
      <c r="J80" s="59">
        <f t="shared" si="58"/>
        <v>3.4754177026945166E-2</v>
      </c>
      <c r="K80" s="59">
        <f t="shared" si="58"/>
        <v>3.0678102295039165</v>
      </c>
      <c r="L80" s="59">
        <f t="shared" si="58"/>
        <v>8.7780569253263698E-5</v>
      </c>
      <c r="M80" s="59">
        <f t="shared" si="58"/>
        <v>0.10540717440992167</v>
      </c>
      <c r="N80" s="59">
        <f t="shared" si="58"/>
        <v>0.64293189589556143</v>
      </c>
      <c r="O80" s="59">
        <f t="shared" si="58"/>
        <v>0.26033840775979117</v>
      </c>
      <c r="P80" s="59">
        <f t="shared" si="58"/>
        <v>10.262899267985231</v>
      </c>
      <c r="Q80" s="59">
        <f t="shared" si="58"/>
        <v>3.2714063193733676E-2</v>
      </c>
      <c r="R80" s="59">
        <f t="shared" si="58"/>
        <v>0.5004098426109661</v>
      </c>
      <c r="S80" s="59">
        <f t="shared" si="58"/>
        <v>0.15156369671018277</v>
      </c>
      <c r="T80" s="59">
        <f t="shared" si="58"/>
        <v>2.7732750621409921E-2</v>
      </c>
      <c r="U80" s="59">
        <f t="shared" si="58"/>
        <v>3.9690001900783301E-4</v>
      </c>
      <c r="V80" s="59">
        <f t="shared" si="58"/>
        <v>0.26703963300261085</v>
      </c>
      <c r="W80" s="59">
        <f t="shared" si="58"/>
        <v>0.20859004303916448</v>
      </c>
      <c r="X80" s="59">
        <f t="shared" si="58"/>
        <v>2.3888089765013051E-2</v>
      </c>
      <c r="Y80" s="59">
        <f t="shared" si="58"/>
        <v>1.2212046678851176E-4</v>
      </c>
      <c r="Z80" s="59">
        <f t="shared" si="58"/>
        <v>1.1322273274151438E-2</v>
      </c>
      <c r="AA80" s="59">
        <f t="shared" si="58"/>
        <v>-5.4152553827676244E-5</v>
      </c>
      <c r="AB80" s="59">
        <f t="shared" si="58"/>
        <v>1.8662107425587469E-8</v>
      </c>
      <c r="AC80" s="59">
        <f t="shared" si="58"/>
        <v>1.2324976783289817E-3</v>
      </c>
      <c r="AD80" s="59">
        <f t="shared" si="58"/>
        <v>8.4275182642297637E-4</v>
      </c>
      <c r="AE80" s="59">
        <f t="shared" si="58"/>
        <v>1.4179466318537854E-3</v>
      </c>
      <c r="AF80" s="59">
        <f t="shared" si="58"/>
        <v>2.6192807373368149E-5</v>
      </c>
      <c r="AG80" s="59">
        <f t="shared" si="58"/>
        <v>2.2542029038120112E-3</v>
      </c>
      <c r="AH80" s="59">
        <f t="shared" si="58"/>
        <v>4.8576585587467363E-3</v>
      </c>
    </row>
    <row r="81" spans="2:34" x14ac:dyDescent="0.25">
      <c r="B81" s="59" t="str">
        <f>B80</f>
        <v>3_Hub_30%IP</v>
      </c>
      <c r="C81" s="59"/>
      <c r="D81" s="59"/>
      <c r="E81" s="59"/>
      <c r="F81" s="59"/>
      <c r="G81" s="59">
        <f>SUMPRODUCT($D77:$D79,G77:G79)/SUM($D77:$D79)</f>
        <v>0.57572078260869552</v>
      </c>
      <c r="H81" s="59">
        <f t="shared" ref="H81:AH81" si="59">SUMPRODUCT($D77:$D79,H77:H79)/SUM($D77:$D79)</f>
        <v>9.7925452173913047E-2</v>
      </c>
      <c r="I81" s="59">
        <f t="shared" si="59"/>
        <v>6.4534226086956519</v>
      </c>
      <c r="J81" s="59">
        <f t="shared" si="59"/>
        <v>3.056067860869565E-2</v>
      </c>
      <c r="K81" s="59">
        <f t="shared" si="59"/>
        <v>3.7274373913043477</v>
      </c>
      <c r="L81" s="59">
        <f t="shared" si="59"/>
        <v>1.4172730434782608E-5</v>
      </c>
      <c r="M81" s="59">
        <f t="shared" si="59"/>
        <v>7.51041652173913E-2</v>
      </c>
      <c r="N81" s="59">
        <f t="shared" si="59"/>
        <v>0.24977287826086958</v>
      </c>
      <c r="O81" s="59">
        <f t="shared" si="59"/>
        <v>0.1600217391304348</v>
      </c>
      <c r="P81" s="59">
        <f t="shared" si="59"/>
        <v>10.794259086121739</v>
      </c>
      <c r="Q81" s="59">
        <f t="shared" si="59"/>
        <v>1.5976713043478263E-2</v>
      </c>
      <c r="R81" s="59">
        <f t="shared" si="59"/>
        <v>0.57007852173913043</v>
      </c>
      <c r="S81" s="59">
        <f t="shared" si="59"/>
        <v>0.16181652173913041</v>
      </c>
      <c r="T81" s="59">
        <f t="shared" si="59"/>
        <v>2.8132556521739131E-2</v>
      </c>
      <c r="U81" s="59">
        <f t="shared" si="59"/>
        <v>3.6539626086956519E-4</v>
      </c>
      <c r="V81" s="59">
        <f t="shared" si="59"/>
        <v>0.25161260869565216</v>
      </c>
      <c r="W81" s="59">
        <f t="shared" si="59"/>
        <v>0.24227730434782607</v>
      </c>
      <c r="X81" s="59">
        <f t="shared" si="59"/>
        <v>2.4075469565217392E-2</v>
      </c>
      <c r="Y81" s="59">
        <f t="shared" si="59"/>
        <v>1.1882956521739129E-4</v>
      </c>
      <c r="Z81" s="59">
        <f t="shared" si="59"/>
        <v>1.1592347826086957E-2</v>
      </c>
      <c r="AA81" s="59">
        <f t="shared" si="59"/>
        <v>-2.241224347826087E-5</v>
      </c>
      <c r="AB81" s="59">
        <f t="shared" si="59"/>
        <v>1.7945869565217392E-8</v>
      </c>
      <c r="AC81" s="59">
        <f t="shared" si="59"/>
        <v>1.2050808695652174E-3</v>
      </c>
      <c r="AD81" s="59">
        <f t="shared" si="59"/>
        <v>9.2647730434782601E-4</v>
      </c>
      <c r="AE81" s="59">
        <f t="shared" si="59"/>
        <v>1.6637947826086956E-3</v>
      </c>
      <c r="AF81" s="59">
        <f t="shared" si="59"/>
        <v>2.7781165217391306E-5</v>
      </c>
      <c r="AG81" s="59">
        <f t="shared" si="59"/>
        <v>2.5222599999999997E-3</v>
      </c>
      <c r="AH81" s="59">
        <f t="shared" si="59"/>
        <v>2.3965843478260867E-3</v>
      </c>
    </row>
    <row r="82" spans="2:34" x14ac:dyDescent="0.25">
      <c r="B82" t="s">
        <v>593</v>
      </c>
      <c r="C82" t="str">
        <f>'[3]LCIA-Elec'!BJ80</f>
        <v>3_Hub_50%IP</v>
      </c>
      <c r="D82">
        <f>'[3]LCIA-Elec'!$P$68/$A$3</f>
        <v>0.49869451697127937</v>
      </c>
      <c r="E82" t="s">
        <v>105</v>
      </c>
      <c r="F82" t="s">
        <v>829</v>
      </c>
      <c r="G82">
        <f>'[3]LCIA-Elec'!BK80</f>
        <v>0.51445211916230371</v>
      </c>
      <c r="H82">
        <f>'[3]LCIA-Elec'!BL80</f>
        <v>0.23227960565445033</v>
      </c>
      <c r="I82">
        <f>'[3]LCIA-Elec'!BM80</f>
        <v>6.3606433989528801</v>
      </c>
      <c r="J82">
        <f>'[3]LCIA-Elec'!BN80</f>
        <v>5.1169343001675388E-2</v>
      </c>
      <c r="K82">
        <f>'[3]LCIA-Elec'!BO80</f>
        <v>2.1333688895287954</v>
      </c>
      <c r="L82">
        <f>'[3]LCIA-Elec'!BP80</f>
        <v>1.6227506766492146E-4</v>
      </c>
      <c r="M82">
        <f>'[3]LCIA-Elec'!BQ80</f>
        <v>0.15516063357591622</v>
      </c>
      <c r="N82">
        <f>'[3]LCIA-Elec'!BR80</f>
        <v>0.711967393340314</v>
      </c>
      <c r="O82">
        <f>'[3]LCIA-Elec'!BS80</f>
        <v>0.35662032550785333</v>
      </c>
      <c r="P82">
        <f>'[3]LCIA-Elec'!BT80</f>
        <v>10.001371864629553</v>
      </c>
      <c r="Q82">
        <f>'[3]LCIA-Elec'!BU80</f>
        <v>3.5839781168586389E-2</v>
      </c>
      <c r="R82">
        <f>'[3]LCIA-Elec'!BV80</f>
        <v>0.50982541214659693</v>
      </c>
      <c r="S82">
        <f>'[3]LCIA-Elec'!BW80</f>
        <v>0.16179010178010472</v>
      </c>
      <c r="T82">
        <f>'[3]LCIA-Elec'!BX80</f>
        <v>2.9755537633507849E-2</v>
      </c>
      <c r="U82">
        <f>'[3]LCIA-Elec'!BY80</f>
        <v>4.989283784293195E-4</v>
      </c>
      <c r="V82">
        <f>'[3]LCIA-Elec'!BZ80</f>
        <v>0.32682703790575912</v>
      </c>
      <c r="W82">
        <f>'[3]LCIA-Elec'!CA80</f>
        <v>0.14297412818848171</v>
      </c>
      <c r="X82">
        <f>'[3]LCIA-Elec'!CB80</f>
        <v>2.5827702513089006E-2</v>
      </c>
      <c r="Y82">
        <f>'[3]LCIA-Elec'!CC80</f>
        <v>1.4355272136125653E-4</v>
      </c>
      <c r="Z82">
        <f>'[3]LCIA-Elec'!CD80</f>
        <v>1.1593803476439787E-2</v>
      </c>
      <c r="AA82">
        <f>'[3]LCIA-Elec'!CE80</f>
        <v>-2.9269241445026174E-5</v>
      </c>
      <c r="AB82">
        <f>'[3]LCIA-Elec'!CF80</f>
        <v>2.0582544732984299E-8</v>
      </c>
      <c r="AC82">
        <f>'[3]LCIA-Elec'!CG80</f>
        <v>1.4873217214659686E-3</v>
      </c>
      <c r="AD82">
        <f>'[3]LCIA-Elec'!CH80</f>
        <v>8.8512029068062853E-4</v>
      </c>
      <c r="AE82">
        <f>'[3]LCIA-Elec'!CI80</f>
        <v>1.4044371937172769E-3</v>
      </c>
      <c r="AF82">
        <f>'[3]LCIA-Elec'!CJ80</f>
        <v>2.7335165570680631E-5</v>
      </c>
      <c r="AG82">
        <f>'[3]LCIA-Elec'!CK80</f>
        <v>2.2509551421989529E-3</v>
      </c>
      <c r="AH82">
        <f>'[3]LCIA-Elec'!CL80</f>
        <v>4.2668860104712039E-3</v>
      </c>
    </row>
    <row r="83" spans="2:34" x14ac:dyDescent="0.25">
      <c r="B83" t="str">
        <f>'[3]3_Hub_50%IP'!Y386</f>
        <v>Newark Liberty International Airport</v>
      </c>
      <c r="C83" t="str">
        <f>C77</f>
        <v>market for electricity, low voltage, US-RFC</v>
      </c>
      <c r="D83">
        <f>'[3]3_Hub_50%IP'!$Z386/$A$3</f>
        <v>0.30287206266318539</v>
      </c>
      <c r="E83" t="str">
        <f t="shared" ref="E83:AH83" si="60">E77</f>
        <v>kWh</v>
      </c>
      <c r="F83" t="str">
        <f t="shared" si="60"/>
        <v>Ecoinvent v3.7.1</v>
      </c>
      <c r="G83">
        <f t="shared" si="60"/>
        <v>0.61436999999999997</v>
      </c>
      <c r="H83">
        <f t="shared" si="60"/>
        <v>8.2399E-2</v>
      </c>
      <c r="I83">
        <f t="shared" si="60"/>
        <v>6.7473999999999998</v>
      </c>
      <c r="J83">
        <f t="shared" si="60"/>
        <v>4.0428000000000003E-4</v>
      </c>
      <c r="K83">
        <f t="shared" si="60"/>
        <v>4.3425000000000002</v>
      </c>
      <c r="L83">
        <f t="shared" si="60"/>
        <v>1.3322000000000001E-5</v>
      </c>
      <c r="M83">
        <f t="shared" si="60"/>
        <v>1.5082999999999999E-2</v>
      </c>
      <c r="N83">
        <f t="shared" si="60"/>
        <v>6.8917000000000006E-2</v>
      </c>
      <c r="O83">
        <f t="shared" si="60"/>
        <v>0.1275</v>
      </c>
      <c r="P83">
        <f t="shared" si="60"/>
        <v>11.384216602</v>
      </c>
      <c r="Q83">
        <f t="shared" si="60"/>
        <v>1.3875999999999999E-2</v>
      </c>
      <c r="R83">
        <f t="shared" si="60"/>
        <v>0.60836999999999997</v>
      </c>
      <c r="S83">
        <f t="shared" si="60"/>
        <v>0.16855999999999999</v>
      </c>
      <c r="T83">
        <f t="shared" si="60"/>
        <v>2.7827999999999999E-2</v>
      </c>
      <c r="U83">
        <f t="shared" si="60"/>
        <v>3.4965000000000002E-4</v>
      </c>
      <c r="V83">
        <f t="shared" si="60"/>
        <v>0.24507000000000001</v>
      </c>
      <c r="W83">
        <f t="shared" si="60"/>
        <v>0.28216999999999998</v>
      </c>
      <c r="X83">
        <f t="shared" si="60"/>
        <v>2.3791E-2</v>
      </c>
      <c r="Y83">
        <f t="shared" si="60"/>
        <v>1.1882E-4</v>
      </c>
      <c r="Z83">
        <f t="shared" si="60"/>
        <v>1.1622E-2</v>
      </c>
      <c r="AA83">
        <f t="shared" si="60"/>
        <v>-2.4247999999999999E-5</v>
      </c>
      <c r="AB83">
        <f t="shared" si="60"/>
        <v>1.8053E-8</v>
      </c>
      <c r="AC83">
        <f t="shared" si="60"/>
        <v>1.1259E-3</v>
      </c>
      <c r="AD83">
        <f t="shared" si="60"/>
        <v>9.8528999999999999E-4</v>
      </c>
      <c r="AE83">
        <f t="shared" si="60"/>
        <v>1.8718000000000001E-3</v>
      </c>
      <c r="AF83">
        <f t="shared" si="60"/>
        <v>2.6829999999999999E-5</v>
      </c>
      <c r="AG83">
        <f t="shared" si="60"/>
        <v>2.5512999999999998E-3</v>
      </c>
      <c r="AH83">
        <f t="shared" si="60"/>
        <v>2.2418E-3</v>
      </c>
    </row>
    <row r="84" spans="2:34" x14ac:dyDescent="0.25">
      <c r="B84" t="str">
        <f>'[3]3_Hub_50%IP'!Y387</f>
        <v>O'Hare International Airport</v>
      </c>
      <c r="C84" t="str">
        <f>C78</f>
        <v>market for electricity, low voltage, US-RFC</v>
      </c>
      <c r="D84">
        <f>'[3]3_Hub_50%IP'!$Z387/$A$3</f>
        <v>0.14099216710182769</v>
      </c>
      <c r="E84" t="str">
        <f t="shared" ref="E84:AH84" si="61">E78</f>
        <v>kWh</v>
      </c>
      <c r="F84" t="str">
        <f t="shared" si="61"/>
        <v>Ecoinvent v3.7.1</v>
      </c>
      <c r="G84">
        <f t="shared" si="61"/>
        <v>0.61436999999999997</v>
      </c>
      <c r="H84">
        <f t="shared" si="61"/>
        <v>8.2399E-2</v>
      </c>
      <c r="I84">
        <f t="shared" si="61"/>
        <v>6.7473999999999998</v>
      </c>
      <c r="J84">
        <f t="shared" si="61"/>
        <v>4.0428000000000003E-4</v>
      </c>
      <c r="K84">
        <f t="shared" si="61"/>
        <v>4.3425000000000002</v>
      </c>
      <c r="L84">
        <f t="shared" si="61"/>
        <v>1.3322000000000001E-5</v>
      </c>
      <c r="M84">
        <f t="shared" si="61"/>
        <v>1.5082999999999999E-2</v>
      </c>
      <c r="N84">
        <f t="shared" si="61"/>
        <v>6.8917000000000006E-2</v>
      </c>
      <c r="O84">
        <f t="shared" si="61"/>
        <v>0.1275</v>
      </c>
      <c r="P84">
        <f t="shared" si="61"/>
        <v>11.384216602</v>
      </c>
      <c r="Q84">
        <f t="shared" si="61"/>
        <v>1.3875999999999999E-2</v>
      </c>
      <c r="R84">
        <f t="shared" si="61"/>
        <v>0.60836999999999997</v>
      </c>
      <c r="S84">
        <f t="shared" si="61"/>
        <v>0.16855999999999999</v>
      </c>
      <c r="T84">
        <f t="shared" si="61"/>
        <v>2.7827999999999999E-2</v>
      </c>
      <c r="U84">
        <f t="shared" si="61"/>
        <v>3.4965000000000002E-4</v>
      </c>
      <c r="V84">
        <f t="shared" si="61"/>
        <v>0.24507000000000001</v>
      </c>
      <c r="W84">
        <f t="shared" si="61"/>
        <v>0.28216999999999998</v>
      </c>
      <c r="X84">
        <f t="shared" si="61"/>
        <v>2.3791E-2</v>
      </c>
      <c r="Y84">
        <f t="shared" si="61"/>
        <v>1.1882E-4</v>
      </c>
      <c r="Z84">
        <f t="shared" si="61"/>
        <v>1.1622E-2</v>
      </c>
      <c r="AA84">
        <f t="shared" si="61"/>
        <v>-2.4247999999999999E-5</v>
      </c>
      <c r="AB84">
        <f t="shared" si="61"/>
        <v>1.8053E-8</v>
      </c>
      <c r="AC84">
        <f t="shared" si="61"/>
        <v>1.1259E-3</v>
      </c>
      <c r="AD84">
        <f t="shared" si="61"/>
        <v>9.8528999999999999E-4</v>
      </c>
      <c r="AE84">
        <f t="shared" si="61"/>
        <v>1.8718000000000001E-3</v>
      </c>
      <c r="AF84">
        <f t="shared" si="61"/>
        <v>2.6829999999999999E-5</v>
      </c>
      <c r="AG84">
        <f t="shared" si="61"/>
        <v>2.5512999999999998E-3</v>
      </c>
      <c r="AH84">
        <f t="shared" si="61"/>
        <v>2.2418E-3</v>
      </c>
    </row>
    <row r="85" spans="2:34" x14ac:dyDescent="0.25">
      <c r="B85" t="str">
        <f>'[3]3_Hub_50%IP'!Y388</f>
        <v>Denver International Airport</v>
      </c>
      <c r="C85" t="str">
        <f>C79</f>
        <v>market for electricity, low voltage, US-WECC</v>
      </c>
      <c r="D85">
        <f>'[3]3_Hub_50%IP'!$Z388/$A$3</f>
        <v>5.7441253263707574E-2</v>
      </c>
      <c r="E85" t="str">
        <f t="shared" ref="E85:AH85" si="62">E79</f>
        <v>kWh</v>
      </c>
      <c r="F85" t="str">
        <f t="shared" si="62"/>
        <v>Ecoinvent v3.7.1</v>
      </c>
      <c r="G85">
        <f t="shared" si="62"/>
        <v>0.41233999999999998</v>
      </c>
      <c r="H85">
        <f t="shared" si="62"/>
        <v>0.16356000000000001</v>
      </c>
      <c r="I85">
        <f t="shared" si="62"/>
        <v>5.2107000000000001</v>
      </c>
      <c r="J85">
        <f t="shared" si="62"/>
        <v>0.15804000000000001</v>
      </c>
      <c r="K85">
        <f t="shared" si="62"/>
        <v>1.1274</v>
      </c>
      <c r="L85">
        <f t="shared" si="62"/>
        <v>1.7768999999999999E-5</v>
      </c>
      <c r="M85">
        <f t="shared" si="62"/>
        <v>0.32883000000000001</v>
      </c>
      <c r="N85">
        <f t="shared" si="62"/>
        <v>1.0143</v>
      </c>
      <c r="O85">
        <f t="shared" si="62"/>
        <v>0.29749999999999999</v>
      </c>
      <c r="P85">
        <f t="shared" si="62"/>
        <v>8.300347769</v>
      </c>
      <c r="Q85">
        <f t="shared" si="62"/>
        <v>2.4857000000000001E-2</v>
      </c>
      <c r="R85">
        <f t="shared" si="62"/>
        <v>0.40821000000000002</v>
      </c>
      <c r="S85">
        <f t="shared" si="62"/>
        <v>0.13331000000000001</v>
      </c>
      <c r="T85">
        <f t="shared" si="62"/>
        <v>2.9420000000000002E-2</v>
      </c>
      <c r="U85">
        <f t="shared" si="62"/>
        <v>4.3196E-4</v>
      </c>
      <c r="V85">
        <f t="shared" si="62"/>
        <v>0.27927000000000002</v>
      </c>
      <c r="W85">
        <f t="shared" si="62"/>
        <v>7.3639999999999997E-2</v>
      </c>
      <c r="X85">
        <f t="shared" si="62"/>
        <v>2.5277999999999998E-2</v>
      </c>
      <c r="Y85">
        <f t="shared" si="62"/>
        <v>1.1887000000000001E-4</v>
      </c>
      <c r="Z85">
        <f t="shared" si="62"/>
        <v>1.1467E-2</v>
      </c>
      <c r="AA85">
        <f t="shared" si="62"/>
        <v>-1.4652E-5</v>
      </c>
      <c r="AB85">
        <f t="shared" si="62"/>
        <v>1.7493E-8</v>
      </c>
      <c r="AC85">
        <f t="shared" si="62"/>
        <v>1.5398E-3</v>
      </c>
      <c r="AD85">
        <f t="shared" si="62"/>
        <v>6.7785999999999996E-4</v>
      </c>
      <c r="AE85">
        <f t="shared" si="62"/>
        <v>7.8450000000000004E-4</v>
      </c>
      <c r="AF85">
        <f t="shared" si="62"/>
        <v>3.1801999999999998E-5</v>
      </c>
      <c r="AG85">
        <f t="shared" si="62"/>
        <v>2.3995000000000002E-3</v>
      </c>
      <c r="AH85">
        <f t="shared" si="62"/>
        <v>3.0509000000000001E-3</v>
      </c>
    </row>
    <row r="86" spans="2:34" x14ac:dyDescent="0.25">
      <c r="B86" s="59" t="str">
        <f>C82</f>
        <v>3_Hub_50%IP</v>
      </c>
      <c r="C86" s="59" t="s">
        <v>806</v>
      </c>
      <c r="D86" s="59">
        <f>SUM(D82:D85)</f>
        <v>1</v>
      </c>
      <c r="E86" s="59" t="s">
        <v>105</v>
      </c>
      <c r="F86" s="59"/>
      <c r="G86" s="59">
        <f>SUMPRODUCT($D82:$D85,G82:G85)</f>
        <v>0.55293664428198441</v>
      </c>
      <c r="H86" s="59">
        <f t="shared" ref="H86:AH86" si="63">SUMPRODUCT($D82:$D85,H82:H85)</f>
        <v>0.16180562579634469</v>
      </c>
      <c r="I86" s="59">
        <f t="shared" si="63"/>
        <v>6.466256629765013</v>
      </c>
      <c r="J86" s="59">
        <f t="shared" si="63"/>
        <v>3.4775331888563965E-2</v>
      </c>
      <c r="K86" s="59">
        <f t="shared" si="63"/>
        <v>3.0561390545691904</v>
      </c>
      <c r="L86" s="59">
        <f t="shared" si="63"/>
        <v>8.7859519383812001E-5</v>
      </c>
      <c r="M86" s="59">
        <f t="shared" si="63"/>
        <v>0.10296096870234987</v>
      </c>
      <c r="N86" s="59">
        <f t="shared" si="63"/>
        <v>0.44390668962924279</v>
      </c>
      <c r="O86" s="59">
        <f t="shared" si="63"/>
        <v>0.25152606311227155</v>
      </c>
      <c r="P86" s="59">
        <f t="shared" si="63"/>
        <v>10.517458222982363</v>
      </c>
      <c r="Q86" s="59">
        <f t="shared" si="63"/>
        <v>2.5459979642819847E-2</v>
      </c>
      <c r="R86" s="59">
        <f t="shared" si="63"/>
        <v>0.54772891310704963</v>
      </c>
      <c r="S86" s="59">
        <f t="shared" si="63"/>
        <v>0.16315908469973892</v>
      </c>
      <c r="T86" s="59">
        <f t="shared" si="63"/>
        <v>2.8880698924281981E-2</v>
      </c>
      <c r="U86" s="59">
        <f t="shared" si="63"/>
        <v>4.2882229838120118E-4</v>
      </c>
      <c r="V86" s="59">
        <f t="shared" si="63"/>
        <v>0.28780627738903392</v>
      </c>
      <c r="W86" s="59">
        <f t="shared" si="63"/>
        <v>0.20077555739947783</v>
      </c>
      <c r="X86" s="59">
        <f t="shared" si="63"/>
        <v>2.4892107519582245E-2</v>
      </c>
      <c r="Y86" s="59">
        <f t="shared" si="63"/>
        <v>1.3115694459530026E-4</v>
      </c>
      <c r="Z86" s="59">
        <f t="shared" si="63"/>
        <v>1.1599035154046996E-2</v>
      </c>
      <c r="AA86" s="59">
        <f t="shared" si="63"/>
        <v>-2.6200859310704959E-5</v>
      </c>
      <c r="AB86" s="59">
        <f t="shared" si="63"/>
        <v>1.9282302986945175E-8</v>
      </c>
      <c r="AC86" s="59">
        <f t="shared" si="63"/>
        <v>1.329913965535248E-3</v>
      </c>
      <c r="AD86" s="59">
        <f t="shared" si="63"/>
        <v>9.1767675070496095E-4</v>
      </c>
      <c r="AE86" s="59">
        <f t="shared" si="63"/>
        <v>1.5762728563968665E-3</v>
      </c>
      <c r="AF86" s="59">
        <f t="shared" si="63"/>
        <v>2.7367521211488253E-5</v>
      </c>
      <c r="AG86" s="59">
        <f t="shared" si="63"/>
        <v>2.3928000839686684E-3</v>
      </c>
      <c r="AH86" s="59">
        <f t="shared" si="63"/>
        <v>3.2981750078328979E-3</v>
      </c>
    </row>
    <row r="87" spans="2:34" x14ac:dyDescent="0.25">
      <c r="B87" s="59" t="str">
        <f>B86</f>
        <v>3_Hub_50%IP</v>
      </c>
      <c r="C87" s="59"/>
      <c r="D87" s="59"/>
      <c r="E87" s="59"/>
      <c r="F87" s="59"/>
      <c r="G87" s="59">
        <f>SUMPRODUCT($D83:$D85,G83:G85)/SUM($D83:$D85)</f>
        <v>0.59122072916666679</v>
      </c>
      <c r="H87" s="59">
        <f t="shared" ref="H87:AH87" si="64">SUMPRODUCT($D83:$D85,H83:H85)/SUM($D83:$D85)</f>
        <v>9.1698697916666683E-2</v>
      </c>
      <c r="I87" s="59">
        <f t="shared" si="64"/>
        <v>6.5713197916666672</v>
      </c>
      <c r="J87" s="59">
        <f t="shared" si="64"/>
        <v>1.8466706250000003E-2</v>
      </c>
      <c r="K87" s="59">
        <f t="shared" si="64"/>
        <v>3.9741031250000005</v>
      </c>
      <c r="L87" s="59">
        <f t="shared" si="64"/>
        <v>1.3831552083333334E-5</v>
      </c>
      <c r="M87" s="59">
        <f t="shared" si="64"/>
        <v>5.1033177083333339E-2</v>
      </c>
      <c r="N87" s="59">
        <f t="shared" si="64"/>
        <v>0.1772421354166667</v>
      </c>
      <c r="O87" s="59">
        <f t="shared" si="64"/>
        <v>0.14697916666666672</v>
      </c>
      <c r="P87" s="59">
        <f t="shared" si="64"/>
        <v>11.030856631552087</v>
      </c>
      <c r="Q87" s="59">
        <f t="shared" si="64"/>
        <v>1.5134239583333335E-2</v>
      </c>
      <c r="R87" s="59">
        <f t="shared" si="64"/>
        <v>0.58543500000000015</v>
      </c>
      <c r="S87" s="59">
        <f t="shared" si="64"/>
        <v>0.16452093750000002</v>
      </c>
      <c r="T87" s="59">
        <f t="shared" si="64"/>
        <v>2.8010416666666673E-2</v>
      </c>
      <c r="U87" s="59">
        <f t="shared" si="64"/>
        <v>3.5908135416666672E-4</v>
      </c>
      <c r="V87" s="59">
        <f t="shared" si="64"/>
        <v>0.24898875000000006</v>
      </c>
      <c r="W87" s="59">
        <f t="shared" si="64"/>
        <v>0.25827593750000005</v>
      </c>
      <c r="X87" s="59">
        <f t="shared" si="64"/>
        <v>2.3961385416666672E-2</v>
      </c>
      <c r="Y87" s="59">
        <f t="shared" si="64"/>
        <v>1.1882572916666669E-4</v>
      </c>
      <c r="Z87" s="59">
        <f t="shared" si="64"/>
        <v>1.1604239583333335E-2</v>
      </c>
      <c r="AA87" s="59">
        <f t="shared" si="64"/>
        <v>-2.3148458333333335E-5</v>
      </c>
      <c r="AB87" s="59">
        <f t="shared" si="64"/>
        <v>1.7988833333333335E-8</v>
      </c>
      <c r="AC87" s="59">
        <f t="shared" si="64"/>
        <v>1.1733260416666668E-3</v>
      </c>
      <c r="AD87" s="59">
        <f t="shared" si="64"/>
        <v>9.5006364583333344E-4</v>
      </c>
      <c r="AE87" s="59">
        <f t="shared" si="64"/>
        <v>1.7472135416666669E-3</v>
      </c>
      <c r="AF87" s="59">
        <f t="shared" si="64"/>
        <v>2.7399708333333333E-5</v>
      </c>
      <c r="AG87" s="59">
        <f t="shared" si="64"/>
        <v>2.5339062500000006E-3</v>
      </c>
      <c r="AH87" s="59">
        <f t="shared" si="64"/>
        <v>2.334509375E-3</v>
      </c>
    </row>
    <row r="88" spans="2:34" x14ac:dyDescent="0.25">
      <c r="B88" t="s">
        <v>593</v>
      </c>
      <c r="C88" t="str">
        <f>'[3]LCIA-Elec'!BJ81</f>
        <v>3_Hub_70%IP</v>
      </c>
      <c r="D88">
        <f>'[3]LCIA-Elec'!$Q$68/$A$3</f>
        <v>0.29765013054830286</v>
      </c>
      <c r="E88" t="s">
        <v>105</v>
      </c>
      <c r="F88" t="s">
        <v>829</v>
      </c>
      <c r="G88">
        <f>'[3]LCIA-Elec'!BK81</f>
        <v>0.43859966666666655</v>
      </c>
      <c r="H88">
        <f>'[3]LCIA-Elec'!BL81</f>
        <v>0.2197419438596491</v>
      </c>
      <c r="I88">
        <f>'[3]LCIA-Elec'!BM81</f>
        <v>5.6401421052631591</v>
      </c>
      <c r="J88">
        <f>'[3]LCIA-Elec'!BN81</f>
        <v>8.14939857894737E-2</v>
      </c>
      <c r="K88">
        <f>'[3]LCIA-Elec'!BO81</f>
        <v>2.0011641254385966</v>
      </c>
      <c r="L88">
        <f>'[3]LCIA-Elec'!BP81</f>
        <v>2.5672497368421052E-4</v>
      </c>
      <c r="M88">
        <f>'[3]LCIA-Elec'!BQ81</f>
        <v>0.23195164704385968</v>
      </c>
      <c r="N88">
        <f>'[3]LCIA-Elec'!BR81</f>
        <v>0.86478371929824582</v>
      </c>
      <c r="O88">
        <f>'[3]LCIA-Elec'!BS81</f>
        <v>0.3531032464912281</v>
      </c>
      <c r="P88">
        <f>'[3]LCIA-Elec'!BT81</f>
        <v>9.3926374981578942</v>
      </c>
      <c r="Q88">
        <f>'[3]LCIA-Elec'!BU81</f>
        <v>3.221635087719299E-2</v>
      </c>
      <c r="R88">
        <f>'[3]LCIA-Elec'!BV81</f>
        <v>0.43420189473684201</v>
      </c>
      <c r="S88">
        <f>'[3]LCIA-Elec'!BW81</f>
        <v>0.14478030877192988</v>
      </c>
      <c r="T88">
        <f>'[3]LCIA-Elec'!BX81</f>
        <v>2.7560763157894744E-2</v>
      </c>
      <c r="U88">
        <f>'[3]LCIA-Elec'!BY81</f>
        <v>3.5317008771929828E-4</v>
      </c>
      <c r="V88">
        <f>'[3]LCIA-Elec'!BZ81</f>
        <v>0.2386987368421053</v>
      </c>
      <c r="W88">
        <f>'[3]LCIA-Elec'!CA81</f>
        <v>0.13415531666666666</v>
      </c>
      <c r="X88">
        <f>'[3]LCIA-Elec'!CB81</f>
        <v>2.3804078947368419E-2</v>
      </c>
      <c r="Y88">
        <f>'[3]LCIA-Elec'!CC81</f>
        <v>1.1199214473684213E-4</v>
      </c>
      <c r="Z88">
        <f>'[3]LCIA-Elec'!CD81</f>
        <v>1.1821370175438599E-2</v>
      </c>
      <c r="AA88">
        <f>'[3]LCIA-Elec'!CE81</f>
        <v>-1.9223109649122812E-5</v>
      </c>
      <c r="AB88">
        <f>'[3]LCIA-Elec'!CF81</f>
        <v>2.0241881578947372E-8</v>
      </c>
      <c r="AC88">
        <f>'[3]LCIA-Elec'!CG81</f>
        <v>1.1855421403508776E-3</v>
      </c>
      <c r="AD88">
        <f>'[3]LCIA-Elec'!CH81</f>
        <v>8.053785964912282E-4</v>
      </c>
      <c r="AE88">
        <f>'[3]LCIA-Elec'!CI81</f>
        <v>1.1272050877192985E-3</v>
      </c>
      <c r="AF88">
        <f>'[3]LCIA-Elec'!CJ81</f>
        <v>2.8440796491228077E-5</v>
      </c>
      <c r="AG88">
        <f>'[3]LCIA-Elec'!CK81</f>
        <v>2.3911464035087722E-3</v>
      </c>
      <c r="AH88">
        <f>'[3]LCIA-Elec'!CL81</f>
        <v>4.0794164035087722E-3</v>
      </c>
    </row>
    <row r="89" spans="2:34" x14ac:dyDescent="0.25">
      <c r="B89" t="str">
        <f>'[3]3_Hub_70%IP'!Y386</f>
        <v>Newark Liberty International Airport</v>
      </c>
      <c r="C89" t="str">
        <f>C83</f>
        <v>market for electricity, low voltage, US-RFC</v>
      </c>
      <c r="D89">
        <f>'[3]3_Hub_70%IP'!$Z386/$A$3</f>
        <v>0.35770234986945171</v>
      </c>
      <c r="E89" t="str">
        <f t="shared" ref="E89:AH89" si="65">E83</f>
        <v>kWh</v>
      </c>
      <c r="F89" t="str">
        <f t="shared" si="65"/>
        <v>Ecoinvent v3.7.1</v>
      </c>
      <c r="G89">
        <f t="shared" si="65"/>
        <v>0.61436999999999997</v>
      </c>
      <c r="H89">
        <f t="shared" si="65"/>
        <v>8.2399E-2</v>
      </c>
      <c r="I89">
        <f t="shared" si="65"/>
        <v>6.7473999999999998</v>
      </c>
      <c r="J89">
        <f t="shared" si="65"/>
        <v>4.0428000000000003E-4</v>
      </c>
      <c r="K89">
        <f t="shared" si="65"/>
        <v>4.3425000000000002</v>
      </c>
      <c r="L89">
        <f t="shared" si="65"/>
        <v>1.3322000000000001E-5</v>
      </c>
      <c r="M89">
        <f t="shared" si="65"/>
        <v>1.5082999999999999E-2</v>
      </c>
      <c r="N89">
        <f t="shared" si="65"/>
        <v>6.8917000000000006E-2</v>
      </c>
      <c r="O89">
        <f t="shared" si="65"/>
        <v>0.1275</v>
      </c>
      <c r="P89">
        <f t="shared" si="65"/>
        <v>11.384216602</v>
      </c>
      <c r="Q89">
        <f t="shared" si="65"/>
        <v>1.3875999999999999E-2</v>
      </c>
      <c r="R89">
        <f t="shared" si="65"/>
        <v>0.60836999999999997</v>
      </c>
      <c r="S89">
        <f t="shared" si="65"/>
        <v>0.16855999999999999</v>
      </c>
      <c r="T89">
        <f t="shared" si="65"/>
        <v>2.7827999999999999E-2</v>
      </c>
      <c r="U89">
        <f t="shared" si="65"/>
        <v>3.4965000000000002E-4</v>
      </c>
      <c r="V89">
        <f t="shared" si="65"/>
        <v>0.24507000000000001</v>
      </c>
      <c r="W89">
        <f t="shared" si="65"/>
        <v>0.28216999999999998</v>
      </c>
      <c r="X89">
        <f t="shared" si="65"/>
        <v>2.3791E-2</v>
      </c>
      <c r="Y89">
        <f t="shared" si="65"/>
        <v>1.1882E-4</v>
      </c>
      <c r="Z89">
        <f t="shared" si="65"/>
        <v>1.1622E-2</v>
      </c>
      <c r="AA89">
        <f t="shared" si="65"/>
        <v>-2.4247999999999999E-5</v>
      </c>
      <c r="AB89">
        <f t="shared" si="65"/>
        <v>1.8053E-8</v>
      </c>
      <c r="AC89">
        <f t="shared" si="65"/>
        <v>1.1259E-3</v>
      </c>
      <c r="AD89">
        <f t="shared" si="65"/>
        <v>9.8528999999999999E-4</v>
      </c>
      <c r="AE89">
        <f t="shared" si="65"/>
        <v>1.8718000000000001E-3</v>
      </c>
      <c r="AF89">
        <f t="shared" si="65"/>
        <v>2.6829999999999999E-5</v>
      </c>
      <c r="AG89">
        <f t="shared" si="65"/>
        <v>2.5512999999999998E-3</v>
      </c>
      <c r="AH89">
        <f t="shared" si="65"/>
        <v>2.2418E-3</v>
      </c>
    </row>
    <row r="90" spans="2:34" x14ac:dyDescent="0.25">
      <c r="B90" t="str">
        <f>'[3]3_Hub_70%IP'!Y387</f>
        <v>Seattle-Tacoma International Airport</v>
      </c>
      <c r="C90" t="str">
        <f>C20</f>
        <v>market for electricity, low voltage, US-WECC</v>
      </c>
      <c r="D90">
        <f>'[3]3_Hub_70%IP'!$Z387/$A$3</f>
        <v>9.921671018276762E-2</v>
      </c>
      <c r="E90" t="str">
        <f t="shared" ref="E90:AH90" si="66">E20</f>
        <v>kWh</v>
      </c>
      <c r="F90" t="str">
        <f t="shared" si="66"/>
        <v>Ecoinvent v3.7.1</v>
      </c>
      <c r="G90">
        <f t="shared" si="66"/>
        <v>0.41233999999999998</v>
      </c>
      <c r="H90">
        <f t="shared" si="66"/>
        <v>0.16356000000000001</v>
      </c>
      <c r="I90">
        <f t="shared" si="66"/>
        <v>5.2107000000000001</v>
      </c>
      <c r="J90">
        <f t="shared" si="66"/>
        <v>0.15804000000000001</v>
      </c>
      <c r="K90">
        <f t="shared" si="66"/>
        <v>1.1274</v>
      </c>
      <c r="L90">
        <f t="shared" si="66"/>
        <v>1.7768999999999999E-5</v>
      </c>
      <c r="M90">
        <f t="shared" si="66"/>
        <v>0.32883000000000001</v>
      </c>
      <c r="N90">
        <f t="shared" si="66"/>
        <v>1.0143</v>
      </c>
      <c r="O90">
        <f t="shared" si="66"/>
        <v>0.29749999999999999</v>
      </c>
      <c r="P90">
        <f t="shared" si="66"/>
        <v>8.300347769</v>
      </c>
      <c r="Q90">
        <f t="shared" si="66"/>
        <v>2.4857000000000001E-2</v>
      </c>
      <c r="R90">
        <f t="shared" si="66"/>
        <v>0.40821000000000002</v>
      </c>
      <c r="S90">
        <f t="shared" si="66"/>
        <v>0.13331000000000001</v>
      </c>
      <c r="T90">
        <f t="shared" si="66"/>
        <v>2.9420000000000002E-2</v>
      </c>
      <c r="U90">
        <f t="shared" si="66"/>
        <v>4.3196E-4</v>
      </c>
      <c r="V90">
        <f t="shared" si="66"/>
        <v>0.27927000000000002</v>
      </c>
      <c r="W90">
        <f t="shared" si="66"/>
        <v>7.3639999999999997E-2</v>
      </c>
      <c r="X90">
        <f t="shared" si="66"/>
        <v>2.5277999999999998E-2</v>
      </c>
      <c r="Y90">
        <f t="shared" si="66"/>
        <v>1.1887000000000001E-4</v>
      </c>
      <c r="Z90">
        <f t="shared" si="66"/>
        <v>1.1467E-2</v>
      </c>
      <c r="AA90">
        <f t="shared" si="66"/>
        <v>-1.4652E-5</v>
      </c>
      <c r="AB90">
        <f t="shared" si="66"/>
        <v>1.7493E-8</v>
      </c>
      <c r="AC90">
        <f t="shared" si="66"/>
        <v>1.5398E-3</v>
      </c>
      <c r="AD90">
        <f t="shared" si="66"/>
        <v>6.7785999999999996E-4</v>
      </c>
      <c r="AE90">
        <f t="shared" si="66"/>
        <v>7.8450000000000004E-4</v>
      </c>
      <c r="AF90">
        <f t="shared" si="66"/>
        <v>3.1801999999999998E-5</v>
      </c>
      <c r="AG90">
        <f t="shared" si="66"/>
        <v>2.3995000000000002E-3</v>
      </c>
      <c r="AH90">
        <f t="shared" si="66"/>
        <v>3.0509000000000001E-3</v>
      </c>
    </row>
    <row r="91" spans="2:34" x14ac:dyDescent="0.25">
      <c r="B91" t="str">
        <f>'[3]3_Hub_70%IP'!Y388</f>
        <v>O'Hare International Airport</v>
      </c>
      <c r="C91" t="str">
        <f>C84</f>
        <v>market for electricity, low voltage, US-RFC</v>
      </c>
      <c r="D91">
        <f>'[3]3_Hub_70%IP'!$Z388/$A$3</f>
        <v>0.24543080939947781</v>
      </c>
      <c r="E91" t="str">
        <f t="shared" ref="E91:AH91" si="67">E84</f>
        <v>kWh</v>
      </c>
      <c r="F91" t="str">
        <f t="shared" si="67"/>
        <v>Ecoinvent v3.7.1</v>
      </c>
      <c r="G91">
        <f t="shared" si="67"/>
        <v>0.61436999999999997</v>
      </c>
      <c r="H91">
        <f t="shared" si="67"/>
        <v>8.2399E-2</v>
      </c>
      <c r="I91">
        <f t="shared" si="67"/>
        <v>6.7473999999999998</v>
      </c>
      <c r="J91">
        <f t="shared" si="67"/>
        <v>4.0428000000000003E-4</v>
      </c>
      <c r="K91">
        <f t="shared" si="67"/>
        <v>4.3425000000000002</v>
      </c>
      <c r="L91">
        <f t="shared" si="67"/>
        <v>1.3322000000000001E-5</v>
      </c>
      <c r="M91">
        <f t="shared" si="67"/>
        <v>1.5082999999999999E-2</v>
      </c>
      <c r="N91">
        <f t="shared" si="67"/>
        <v>6.8917000000000006E-2</v>
      </c>
      <c r="O91">
        <f t="shared" si="67"/>
        <v>0.1275</v>
      </c>
      <c r="P91">
        <f t="shared" si="67"/>
        <v>11.384216602</v>
      </c>
      <c r="Q91">
        <f t="shared" si="67"/>
        <v>1.3875999999999999E-2</v>
      </c>
      <c r="R91">
        <f t="shared" si="67"/>
        <v>0.60836999999999997</v>
      </c>
      <c r="S91">
        <f t="shared" si="67"/>
        <v>0.16855999999999999</v>
      </c>
      <c r="T91">
        <f t="shared" si="67"/>
        <v>2.7827999999999999E-2</v>
      </c>
      <c r="U91">
        <f t="shared" si="67"/>
        <v>3.4965000000000002E-4</v>
      </c>
      <c r="V91">
        <f t="shared" si="67"/>
        <v>0.24507000000000001</v>
      </c>
      <c r="W91">
        <f t="shared" si="67"/>
        <v>0.28216999999999998</v>
      </c>
      <c r="X91">
        <f t="shared" si="67"/>
        <v>2.3791E-2</v>
      </c>
      <c r="Y91">
        <f t="shared" si="67"/>
        <v>1.1882E-4</v>
      </c>
      <c r="Z91">
        <f t="shared" si="67"/>
        <v>1.1622E-2</v>
      </c>
      <c r="AA91">
        <f t="shared" si="67"/>
        <v>-2.4247999999999999E-5</v>
      </c>
      <c r="AB91">
        <f t="shared" si="67"/>
        <v>1.8053E-8</v>
      </c>
      <c r="AC91">
        <f t="shared" si="67"/>
        <v>1.1259E-3</v>
      </c>
      <c r="AD91">
        <f t="shared" si="67"/>
        <v>9.8528999999999999E-4</v>
      </c>
      <c r="AE91">
        <f t="shared" si="67"/>
        <v>1.8718000000000001E-3</v>
      </c>
      <c r="AF91">
        <f t="shared" si="67"/>
        <v>2.6829999999999999E-5</v>
      </c>
      <c r="AG91">
        <f t="shared" si="67"/>
        <v>2.5512999999999998E-3</v>
      </c>
      <c r="AH91">
        <f t="shared" si="67"/>
        <v>2.2418E-3</v>
      </c>
    </row>
    <row r="92" spans="2:34" x14ac:dyDescent="0.25">
      <c r="B92" s="59" t="str">
        <f>C88</f>
        <v>3_Hub_70%IP</v>
      </c>
      <c r="C92" s="59" t="s">
        <v>806</v>
      </c>
      <c r="D92" s="59">
        <f>SUM(D88:D91)</f>
        <v>1</v>
      </c>
      <c r="E92" s="59" t="s">
        <v>105</v>
      </c>
      <c r="F92" s="59"/>
      <c r="G92" s="59">
        <f>SUMPRODUCT($D88:$D91,G88:G91)</f>
        <v>0.54200718537859005</v>
      </c>
      <c r="H92" s="59">
        <f t="shared" ref="H92:AH92" si="68">SUMPRODUCT($D88:$D91,H88:H91)</f>
        <v>0.1313316725848564</v>
      </c>
      <c r="I92" s="59">
        <f t="shared" si="68"/>
        <v>6.265358224543081</v>
      </c>
      <c r="J92" s="59">
        <f t="shared" si="68"/>
        <v>4.0180739060052227E-2</v>
      </c>
      <c r="K92" s="59">
        <f t="shared" si="68"/>
        <v>3.3266094263707569</v>
      </c>
      <c r="L92" s="59">
        <f t="shared" si="68"/>
        <v>8.6212143603133163E-5</v>
      </c>
      <c r="M92" s="59">
        <f t="shared" si="68"/>
        <v>0.11076292627415145</v>
      </c>
      <c r="N92" s="59">
        <f t="shared" si="68"/>
        <v>0.39960462402088781</v>
      </c>
      <c r="O92" s="59">
        <f t="shared" si="68"/>
        <v>0.21151767650130548</v>
      </c>
      <c r="P92" s="59">
        <f t="shared" si="68"/>
        <v>10.485451501498694</v>
      </c>
      <c r="Q92" s="59">
        <f t="shared" si="68"/>
        <v>2.0424506527415145E-2</v>
      </c>
      <c r="R92" s="59">
        <f t="shared" si="68"/>
        <v>0.53666962402088769</v>
      </c>
      <c r="S92" s="59">
        <f t="shared" si="68"/>
        <v>0.15798458276762403</v>
      </c>
      <c r="T92" s="59">
        <f t="shared" si="68"/>
        <v>2.7906409921671024E-2</v>
      </c>
      <c r="U92" s="59">
        <f t="shared" si="68"/>
        <v>3.5886428198433418E-4</v>
      </c>
      <c r="V92" s="59">
        <f t="shared" si="68"/>
        <v>0.24656680417754573</v>
      </c>
      <c r="W92" s="59">
        <f t="shared" si="68"/>
        <v>0.21742374960835509</v>
      </c>
      <c r="X92" s="59">
        <f t="shared" si="68"/>
        <v>2.3942428198433417E-2</v>
      </c>
      <c r="Y92" s="59">
        <f t="shared" si="68"/>
        <v>1.1679264882506528E-4</v>
      </c>
      <c r="Z92" s="59">
        <f t="shared" si="68"/>
        <v>1.1665963968668407E-2</v>
      </c>
      <c r="AA92" s="59">
        <f t="shared" si="68"/>
        <v>-2.1800257180156658E-5</v>
      </c>
      <c r="AB92" s="59">
        <f t="shared" si="68"/>
        <v>1.8648959530026113E-8</v>
      </c>
      <c r="AC92" s="59">
        <f t="shared" si="68"/>
        <v>1.1847182872062666E-3</v>
      </c>
      <c r="AD92" s="59">
        <f t="shared" si="68"/>
        <v>9.0123715404699743E-4</v>
      </c>
      <c r="AE92" s="59">
        <f t="shared" si="68"/>
        <v>1.5422928981723241E-3</v>
      </c>
      <c r="AF92" s="59">
        <f t="shared" si="68"/>
        <v>2.7802759268929507E-5</v>
      </c>
      <c r="AG92" s="59">
        <f t="shared" si="68"/>
        <v>2.4885691644908614E-3</v>
      </c>
      <c r="AH92" s="59">
        <f t="shared" si="68"/>
        <v>2.8690430026109661E-3</v>
      </c>
    </row>
    <row r="93" spans="2:34" x14ac:dyDescent="0.25">
      <c r="B93" s="59" t="str">
        <f>B92</f>
        <v>3_Hub_70%IP</v>
      </c>
      <c r="C93" s="59"/>
      <c r="D93" s="59"/>
      <c r="E93" s="59"/>
      <c r="F93" s="59"/>
      <c r="G93" s="59">
        <f>SUMPRODUCT($D89:$D91,G89:G91)/SUM($D89:$D91)</f>
        <v>0.58583044609665413</v>
      </c>
      <c r="H93" s="59">
        <f t="shared" ref="H93:AH93" si="69">SUMPRODUCT($D89:$D91,H89:H91)/SUM($D89:$D91)</f>
        <v>9.3864122676579911E-2</v>
      </c>
      <c r="I93" s="59">
        <f t="shared" si="69"/>
        <v>6.5303197026022293</v>
      </c>
      <c r="J93" s="59">
        <f t="shared" si="69"/>
        <v>2.2672522973977691E-2</v>
      </c>
      <c r="K93" s="59">
        <f t="shared" si="69"/>
        <v>3.8883223048327133</v>
      </c>
      <c r="L93" s="59">
        <f t="shared" si="69"/>
        <v>1.3950200743494422E-5</v>
      </c>
      <c r="M93" s="59">
        <f t="shared" si="69"/>
        <v>5.9404137546468387E-2</v>
      </c>
      <c r="N93" s="59">
        <f t="shared" si="69"/>
        <v>0.20246552788104086</v>
      </c>
      <c r="O93" s="59">
        <f t="shared" si="69"/>
        <v>0.15151486988847582</v>
      </c>
      <c r="P93" s="59">
        <f t="shared" si="69"/>
        <v>10.94857713860223</v>
      </c>
      <c r="Q93" s="59">
        <f t="shared" si="69"/>
        <v>1.5427219330855018E-2</v>
      </c>
      <c r="R93" s="59">
        <f t="shared" si="69"/>
        <v>0.58009460966542736</v>
      </c>
      <c r="S93" s="59">
        <f t="shared" si="69"/>
        <v>0.16358044609665426</v>
      </c>
      <c r="T93" s="59">
        <f t="shared" si="69"/>
        <v>2.8052892193308546E-2</v>
      </c>
      <c r="U93" s="59">
        <f t="shared" si="69"/>
        <v>3.6127743494423787E-4</v>
      </c>
      <c r="V93" s="59">
        <f t="shared" si="69"/>
        <v>0.24990122676579926</v>
      </c>
      <c r="W93" s="59">
        <f t="shared" si="69"/>
        <v>0.25271223048327129</v>
      </c>
      <c r="X93" s="59">
        <f t="shared" si="69"/>
        <v>2.4001059479553902E-2</v>
      </c>
      <c r="Y93" s="59">
        <f t="shared" si="69"/>
        <v>1.1882706319702601E-4</v>
      </c>
      <c r="Z93" s="59">
        <f t="shared" si="69"/>
        <v>1.1600104089219328E-2</v>
      </c>
      <c r="AA93" s="59">
        <f t="shared" si="69"/>
        <v>-2.2892431226765797E-5</v>
      </c>
      <c r="AB93" s="59">
        <f t="shared" si="69"/>
        <v>1.7973892193308547E-8</v>
      </c>
      <c r="AC93" s="59">
        <f t="shared" si="69"/>
        <v>1.1843691449814125E-3</v>
      </c>
      <c r="AD93" s="59">
        <f t="shared" si="69"/>
        <v>9.4186122676579928E-4</v>
      </c>
      <c r="AE93" s="59">
        <f t="shared" si="69"/>
        <v>1.7182037174721192E-3</v>
      </c>
      <c r="AF93" s="59">
        <f t="shared" si="69"/>
        <v>2.7532364312267653E-5</v>
      </c>
      <c r="AG93" s="59">
        <f t="shared" si="69"/>
        <v>2.5298561338289961E-3</v>
      </c>
      <c r="AH93" s="59">
        <f t="shared" si="69"/>
        <v>2.3560966542750927E-3</v>
      </c>
    </row>
    <row r="94" spans="2:34" x14ac:dyDescent="0.25">
      <c r="B94" t="s">
        <v>593</v>
      </c>
      <c r="C94" t="str">
        <f>'[3]LCIA-Elec'!BJ82</f>
        <v>3_Hub_90%IP</v>
      </c>
      <c r="D94">
        <f>'[3]LCIA-Elec'!$R$68/$A$3</f>
        <v>9.921671018276762E-2</v>
      </c>
      <c r="E94" t="s">
        <v>105</v>
      </c>
      <c r="F94" t="s">
        <v>829</v>
      </c>
      <c r="G94">
        <f>'[3]LCIA-Elec'!BK82</f>
        <v>0.45033134210526321</v>
      </c>
      <c r="H94">
        <f>'[3]LCIA-Elec'!BL82</f>
        <v>0.25583100789473684</v>
      </c>
      <c r="I94">
        <f>'[3]LCIA-Elec'!BM82</f>
        <v>5.8840560526315793</v>
      </c>
      <c r="J94">
        <f>'[3]LCIA-Elec'!BN82</f>
        <v>1.6930379473684209E-2</v>
      </c>
      <c r="K94">
        <f>'[3]LCIA-Elec'!BO82</f>
        <v>2.500781236842105</v>
      </c>
      <c r="L94">
        <f>'[3]LCIA-Elec'!BP82</f>
        <v>7.2853901052631587E-4</v>
      </c>
      <c r="M94">
        <f>'[3]LCIA-Elec'!BQ82</f>
        <v>0.20956423599999999</v>
      </c>
      <c r="N94">
        <f>'[3]LCIA-Elec'!BR82</f>
        <v>0.89032202631578949</v>
      </c>
      <c r="O94">
        <f>'[3]LCIA-Elec'!BS82</f>
        <v>0.36194575000000007</v>
      </c>
      <c r="P94">
        <f>'[3]LCIA-Elec'!BT82</f>
        <v>10.12015922816842</v>
      </c>
      <c r="Q94">
        <f>'[3]LCIA-Elec'!BU82</f>
        <v>3.5428444736842112E-2</v>
      </c>
      <c r="R94">
        <f>'[3]LCIA-Elec'!BV82</f>
        <v>0.44550373684210542</v>
      </c>
      <c r="S94">
        <f>'[3]LCIA-Elec'!BW82</f>
        <v>0.14994296052631581</v>
      </c>
      <c r="T94">
        <f>'[3]LCIA-Elec'!BX82</f>
        <v>2.4222105263157892E-2</v>
      </c>
      <c r="U94">
        <f>'[3]LCIA-Elec'!BY82</f>
        <v>2.2434934210526316E-4</v>
      </c>
      <c r="V94">
        <f>'[3]LCIA-Elec'!BZ82</f>
        <v>0.16904328947368419</v>
      </c>
      <c r="W94">
        <f>'[3]LCIA-Elec'!CA82</f>
        <v>0.15762828947368424</v>
      </c>
      <c r="X94">
        <f>'[3]LCIA-Elec'!CB82</f>
        <v>2.1164184210526321E-2</v>
      </c>
      <c r="Y94">
        <f>'[3]LCIA-Elec'!CC82</f>
        <v>9.9731342105263156E-5</v>
      </c>
      <c r="Z94">
        <f>'[3]LCIA-Elec'!CD82</f>
        <v>1.2385247368421054E-2</v>
      </c>
      <c r="AA94">
        <f>'[3]LCIA-Elec'!CE82</f>
        <v>-1.9024065789473681E-5</v>
      </c>
      <c r="AB94">
        <f>'[3]LCIA-Elec'!CF82</f>
        <v>2.2239176315789471E-8</v>
      </c>
      <c r="AC94">
        <f>'[3]LCIA-Elec'!CG82</f>
        <v>6.444777631578947E-4</v>
      </c>
      <c r="AD94">
        <f>'[3]LCIA-Elec'!CH82</f>
        <v>1.0145992105263159E-3</v>
      </c>
      <c r="AE94">
        <f>'[3]LCIA-Elec'!CI82</f>
        <v>1.4807815789473684E-3</v>
      </c>
      <c r="AF94">
        <f>'[3]LCIA-Elec'!CJ82</f>
        <v>2.4839531578947368E-5</v>
      </c>
      <c r="AG94">
        <f>'[3]LCIA-Elec'!CK82</f>
        <v>2.648752105263157E-3</v>
      </c>
      <c r="AH94">
        <f>'[3]LCIA-Elec'!CL82</f>
        <v>5.5182447368421041E-3</v>
      </c>
    </row>
    <row r="95" spans="2:34" x14ac:dyDescent="0.25">
      <c r="B95" t="str">
        <f>'[3]3_Hub_90%IP'!Y386</f>
        <v>Newark Liberty International Airport</v>
      </c>
      <c r="C95" t="str">
        <f>C89</f>
        <v>market for electricity, low voltage, US-RFC</v>
      </c>
      <c r="D95">
        <f>'[3]3_Hub_90%IP'!$Z386/$A$3</f>
        <v>0.38903394255874674</v>
      </c>
      <c r="E95" t="str">
        <f t="shared" ref="E95:AH95" si="70">E89</f>
        <v>kWh</v>
      </c>
      <c r="F95" t="str">
        <f t="shared" si="70"/>
        <v>Ecoinvent v3.7.1</v>
      </c>
      <c r="G95">
        <f t="shared" si="70"/>
        <v>0.61436999999999997</v>
      </c>
      <c r="H95">
        <f t="shared" si="70"/>
        <v>8.2399E-2</v>
      </c>
      <c r="I95">
        <f t="shared" si="70"/>
        <v>6.7473999999999998</v>
      </c>
      <c r="J95">
        <f t="shared" si="70"/>
        <v>4.0428000000000003E-4</v>
      </c>
      <c r="K95">
        <f t="shared" si="70"/>
        <v>4.3425000000000002</v>
      </c>
      <c r="L95">
        <f t="shared" si="70"/>
        <v>1.3322000000000001E-5</v>
      </c>
      <c r="M95">
        <f t="shared" si="70"/>
        <v>1.5082999999999999E-2</v>
      </c>
      <c r="N95">
        <f t="shared" si="70"/>
        <v>6.8917000000000006E-2</v>
      </c>
      <c r="O95">
        <f t="shared" si="70"/>
        <v>0.1275</v>
      </c>
      <c r="P95">
        <f t="shared" si="70"/>
        <v>11.384216602</v>
      </c>
      <c r="Q95">
        <f t="shared" si="70"/>
        <v>1.3875999999999999E-2</v>
      </c>
      <c r="R95">
        <f t="shared" si="70"/>
        <v>0.60836999999999997</v>
      </c>
      <c r="S95">
        <f t="shared" si="70"/>
        <v>0.16855999999999999</v>
      </c>
      <c r="T95">
        <f t="shared" si="70"/>
        <v>2.7827999999999999E-2</v>
      </c>
      <c r="U95">
        <f t="shared" si="70"/>
        <v>3.4965000000000002E-4</v>
      </c>
      <c r="V95">
        <f t="shared" si="70"/>
        <v>0.24507000000000001</v>
      </c>
      <c r="W95">
        <f t="shared" si="70"/>
        <v>0.28216999999999998</v>
      </c>
      <c r="X95">
        <f t="shared" si="70"/>
        <v>2.3791E-2</v>
      </c>
      <c r="Y95">
        <f t="shared" si="70"/>
        <v>1.1882E-4</v>
      </c>
      <c r="Z95">
        <f t="shared" si="70"/>
        <v>1.1622E-2</v>
      </c>
      <c r="AA95">
        <f t="shared" si="70"/>
        <v>-2.4247999999999999E-5</v>
      </c>
      <c r="AB95">
        <f t="shared" si="70"/>
        <v>1.8053E-8</v>
      </c>
      <c r="AC95">
        <f t="shared" si="70"/>
        <v>1.1259E-3</v>
      </c>
      <c r="AD95">
        <f t="shared" si="70"/>
        <v>9.8528999999999999E-4</v>
      </c>
      <c r="AE95">
        <f t="shared" si="70"/>
        <v>1.8718000000000001E-3</v>
      </c>
      <c r="AF95">
        <f t="shared" si="70"/>
        <v>2.6829999999999999E-5</v>
      </c>
      <c r="AG95">
        <f t="shared" si="70"/>
        <v>2.5512999999999998E-3</v>
      </c>
      <c r="AH95">
        <f t="shared" si="70"/>
        <v>2.2418E-3</v>
      </c>
    </row>
    <row r="96" spans="2:34" x14ac:dyDescent="0.25">
      <c r="B96" t="str">
        <f>'[3]3_Hub_90%IP'!Y387</f>
        <v>Seattle-Tacoma International Airport</v>
      </c>
      <c r="C96" t="str">
        <f>C90</f>
        <v>market for electricity, low voltage, US-WECC</v>
      </c>
      <c r="D96">
        <f>'[3]3_Hub_90%IP'!$Z387/$A$3</f>
        <v>0.16971279373368145</v>
      </c>
      <c r="E96" t="str">
        <f t="shared" ref="E96:AH96" si="71">E90</f>
        <v>kWh</v>
      </c>
      <c r="F96" t="str">
        <f t="shared" si="71"/>
        <v>Ecoinvent v3.7.1</v>
      </c>
      <c r="G96">
        <f t="shared" si="71"/>
        <v>0.41233999999999998</v>
      </c>
      <c r="H96">
        <f t="shared" si="71"/>
        <v>0.16356000000000001</v>
      </c>
      <c r="I96">
        <f t="shared" si="71"/>
        <v>5.2107000000000001</v>
      </c>
      <c r="J96">
        <f t="shared" si="71"/>
        <v>0.15804000000000001</v>
      </c>
      <c r="K96">
        <f t="shared" si="71"/>
        <v>1.1274</v>
      </c>
      <c r="L96">
        <f t="shared" si="71"/>
        <v>1.7768999999999999E-5</v>
      </c>
      <c r="M96">
        <f t="shared" si="71"/>
        <v>0.32883000000000001</v>
      </c>
      <c r="N96">
        <f t="shared" si="71"/>
        <v>1.0143</v>
      </c>
      <c r="O96">
        <f t="shared" si="71"/>
        <v>0.29749999999999999</v>
      </c>
      <c r="P96">
        <f t="shared" si="71"/>
        <v>8.300347769</v>
      </c>
      <c r="Q96">
        <f t="shared" si="71"/>
        <v>2.4857000000000001E-2</v>
      </c>
      <c r="R96">
        <f t="shared" si="71"/>
        <v>0.40821000000000002</v>
      </c>
      <c r="S96">
        <f t="shared" si="71"/>
        <v>0.13331000000000001</v>
      </c>
      <c r="T96">
        <f t="shared" si="71"/>
        <v>2.9420000000000002E-2</v>
      </c>
      <c r="U96">
        <f t="shared" si="71"/>
        <v>4.3196E-4</v>
      </c>
      <c r="V96">
        <f t="shared" si="71"/>
        <v>0.27927000000000002</v>
      </c>
      <c r="W96">
        <f t="shared" si="71"/>
        <v>7.3639999999999997E-2</v>
      </c>
      <c r="X96">
        <f t="shared" si="71"/>
        <v>2.5277999999999998E-2</v>
      </c>
      <c r="Y96">
        <f t="shared" si="71"/>
        <v>1.1887000000000001E-4</v>
      </c>
      <c r="Z96">
        <f t="shared" si="71"/>
        <v>1.1467E-2</v>
      </c>
      <c r="AA96">
        <f t="shared" si="71"/>
        <v>-1.4652E-5</v>
      </c>
      <c r="AB96">
        <f t="shared" si="71"/>
        <v>1.7493E-8</v>
      </c>
      <c r="AC96">
        <f t="shared" si="71"/>
        <v>1.5398E-3</v>
      </c>
      <c r="AD96">
        <f t="shared" si="71"/>
        <v>6.7785999999999996E-4</v>
      </c>
      <c r="AE96">
        <f t="shared" si="71"/>
        <v>7.8450000000000004E-4</v>
      </c>
      <c r="AF96">
        <f t="shared" si="71"/>
        <v>3.1801999999999998E-5</v>
      </c>
      <c r="AG96">
        <f t="shared" si="71"/>
        <v>2.3995000000000002E-3</v>
      </c>
      <c r="AH96">
        <f t="shared" si="71"/>
        <v>3.0509000000000001E-3</v>
      </c>
    </row>
    <row r="97" spans="2:34" x14ac:dyDescent="0.25">
      <c r="B97" t="str">
        <f>'[3]3_Hub_90%IP'!Y388</f>
        <v>O'Hare International Airport</v>
      </c>
      <c r="C97" t="str">
        <f>C91</f>
        <v>market for electricity, low voltage, US-RFC</v>
      </c>
      <c r="D97">
        <f>'[3]3_Hub_90%IP'!$Z388/$A$3</f>
        <v>0.34203655352480417</v>
      </c>
      <c r="E97" t="str">
        <f t="shared" ref="E97:AH97" si="72">E91</f>
        <v>kWh</v>
      </c>
      <c r="F97" t="str">
        <f t="shared" si="72"/>
        <v>Ecoinvent v3.7.1</v>
      </c>
      <c r="G97">
        <f t="shared" si="72"/>
        <v>0.61436999999999997</v>
      </c>
      <c r="H97">
        <f t="shared" si="72"/>
        <v>8.2399E-2</v>
      </c>
      <c r="I97">
        <f t="shared" si="72"/>
        <v>6.7473999999999998</v>
      </c>
      <c r="J97">
        <f t="shared" si="72"/>
        <v>4.0428000000000003E-4</v>
      </c>
      <c r="K97">
        <f t="shared" si="72"/>
        <v>4.3425000000000002</v>
      </c>
      <c r="L97">
        <f t="shared" si="72"/>
        <v>1.3322000000000001E-5</v>
      </c>
      <c r="M97">
        <f t="shared" si="72"/>
        <v>1.5082999999999999E-2</v>
      </c>
      <c r="N97">
        <f t="shared" si="72"/>
        <v>6.8917000000000006E-2</v>
      </c>
      <c r="O97">
        <f t="shared" si="72"/>
        <v>0.1275</v>
      </c>
      <c r="P97">
        <f t="shared" si="72"/>
        <v>11.384216602</v>
      </c>
      <c r="Q97">
        <f t="shared" si="72"/>
        <v>1.3875999999999999E-2</v>
      </c>
      <c r="R97">
        <f t="shared" si="72"/>
        <v>0.60836999999999997</v>
      </c>
      <c r="S97">
        <f t="shared" si="72"/>
        <v>0.16855999999999999</v>
      </c>
      <c r="T97">
        <f t="shared" si="72"/>
        <v>2.7827999999999999E-2</v>
      </c>
      <c r="U97">
        <f t="shared" si="72"/>
        <v>3.4965000000000002E-4</v>
      </c>
      <c r="V97">
        <f t="shared" si="72"/>
        <v>0.24507000000000001</v>
      </c>
      <c r="W97">
        <f t="shared" si="72"/>
        <v>0.28216999999999998</v>
      </c>
      <c r="X97">
        <f t="shared" si="72"/>
        <v>2.3791E-2</v>
      </c>
      <c r="Y97">
        <f t="shared" si="72"/>
        <v>1.1882E-4</v>
      </c>
      <c r="Z97">
        <f t="shared" si="72"/>
        <v>1.1622E-2</v>
      </c>
      <c r="AA97">
        <f t="shared" si="72"/>
        <v>-2.4247999999999999E-5</v>
      </c>
      <c r="AB97">
        <f t="shared" si="72"/>
        <v>1.8053E-8</v>
      </c>
      <c r="AC97">
        <f t="shared" si="72"/>
        <v>1.1259E-3</v>
      </c>
      <c r="AD97">
        <f t="shared" si="72"/>
        <v>9.8528999999999999E-4</v>
      </c>
      <c r="AE97">
        <f t="shared" si="72"/>
        <v>1.8718000000000001E-3</v>
      </c>
      <c r="AF97">
        <f t="shared" si="72"/>
        <v>2.6829999999999999E-5</v>
      </c>
      <c r="AG97">
        <f t="shared" si="72"/>
        <v>2.5512999999999998E-3</v>
      </c>
      <c r="AH97">
        <f t="shared" si="72"/>
        <v>2.2418E-3</v>
      </c>
    </row>
    <row r="98" spans="2:34" x14ac:dyDescent="0.25">
      <c r="B98" s="59" t="str">
        <f>C94</f>
        <v>3_Hub_90%IP</v>
      </c>
      <c r="C98" s="59" t="s">
        <v>806</v>
      </c>
      <c r="D98" s="59">
        <f>SUM(D94:D97)</f>
        <v>1</v>
      </c>
      <c r="E98" s="59" t="s">
        <v>105</v>
      </c>
      <c r="F98" s="59"/>
      <c r="G98" s="59">
        <f>SUMPRODUCT($D94:$D97,G94:G97)</f>
        <v>0.56380754830287205</v>
      </c>
      <c r="H98" s="59">
        <f t="shared" ref="H98:AH98" si="73">SUMPRODUCT($D94:$D97,H94:H97)</f>
        <v>0.11338041331592688</v>
      </c>
      <c r="I98" s="59">
        <f t="shared" si="73"/>
        <v>6.4009442036553521</v>
      </c>
      <c r="J98" s="59">
        <f t="shared" si="73"/>
        <v>2.879674365535248E-2</v>
      </c>
      <c r="K98" s="59">
        <f t="shared" si="73"/>
        <v>3.6141271201044387</v>
      </c>
      <c r="L98" s="59">
        <f t="shared" si="73"/>
        <v>8.503819164490861E-5</v>
      </c>
      <c r="M98" s="59">
        <f t="shared" si="73"/>
        <v>8.7625668323759773E-2</v>
      </c>
      <c r="N98" s="59">
        <f t="shared" si="73"/>
        <v>0.31085769451697126</v>
      </c>
      <c r="O98" s="59">
        <f t="shared" si="73"/>
        <v>0.17961211096605745</v>
      </c>
      <c r="P98" s="59">
        <f t="shared" si="73"/>
        <v>10.735428992729505</v>
      </c>
      <c r="Q98" s="59">
        <f t="shared" si="73"/>
        <v>1.7877978851174935E-2</v>
      </c>
      <c r="R98" s="59">
        <f t="shared" si="73"/>
        <v>0.55824123237597911</v>
      </c>
      <c r="S98" s="59">
        <f t="shared" si="73"/>
        <v>0.16073050261096605</v>
      </c>
      <c r="T98" s="59">
        <f t="shared" si="73"/>
        <v>2.7740417754569188E-2</v>
      </c>
      <c r="U98" s="59">
        <f t="shared" si="73"/>
        <v>3.5118714099216714E-4</v>
      </c>
      <c r="V98" s="59">
        <f t="shared" si="73"/>
        <v>0.24333105744125327</v>
      </c>
      <c r="W98" s="59">
        <f t="shared" si="73"/>
        <v>0.23442317232375975</v>
      </c>
      <c r="X98" s="59">
        <f t="shared" si="73"/>
        <v>2.3782738903394253E-2</v>
      </c>
      <c r="Y98" s="59">
        <f t="shared" si="73"/>
        <v>1.1693457180156657E-4</v>
      </c>
      <c r="Z98" s="59">
        <f t="shared" si="73"/>
        <v>1.1671421409921671E-2</v>
      </c>
      <c r="AA98" s="59">
        <f t="shared" si="73"/>
        <v>-2.2101134464751959E-5</v>
      </c>
      <c r="AB98" s="59">
        <f t="shared" si="73"/>
        <v>1.8373299477806787E-8</v>
      </c>
      <c r="AC98" s="59">
        <f t="shared" si="73"/>
        <v>1.1483789947780677E-3</v>
      </c>
      <c r="AD98" s="59">
        <f t="shared" si="73"/>
        <v>9.3602315926892955E-4</v>
      </c>
      <c r="AE98" s="59">
        <f t="shared" si="73"/>
        <v>1.648475718015666E-3</v>
      </c>
      <c r="AF98" s="59">
        <f t="shared" si="73"/>
        <v>2.7476324281984335E-5</v>
      </c>
      <c r="AG98" s="59">
        <f t="shared" si="73"/>
        <v>2.5352064751958223E-3</v>
      </c>
      <c r="AH98" s="59">
        <f t="shared" si="73"/>
        <v>2.7041926892950388E-3</v>
      </c>
    </row>
    <row r="99" spans="2:34" x14ac:dyDescent="0.25">
      <c r="B99" s="59" t="str">
        <f>B98</f>
        <v>3_Hub_90%IP</v>
      </c>
      <c r="C99" s="59"/>
      <c r="D99" s="59"/>
      <c r="E99" s="59"/>
      <c r="F99" s="59"/>
      <c r="G99" s="59">
        <f>SUMPRODUCT($D95:$D97,G95:G97)/SUM($D95:$D97)</f>
        <v>0.57630637681159425</v>
      </c>
      <c r="H99" s="59">
        <f t="shared" ref="H99:AH99" si="74">SUMPRODUCT($D95:$D97,H95:H97)/SUM($D95:$D97)</f>
        <v>9.7690202898550724E-2</v>
      </c>
      <c r="I99" s="59">
        <f t="shared" si="74"/>
        <v>6.4578768115942031</v>
      </c>
      <c r="J99" s="59">
        <f t="shared" si="74"/>
        <v>3.0103763478260871E-2</v>
      </c>
      <c r="K99" s="59">
        <f t="shared" si="74"/>
        <v>3.7367565217391308</v>
      </c>
      <c r="L99" s="59">
        <f t="shared" si="74"/>
        <v>1.4159840579710144E-5</v>
      </c>
      <c r="M99" s="59">
        <f t="shared" si="74"/>
        <v>7.4194753623188406E-2</v>
      </c>
      <c r="N99" s="59">
        <f t="shared" si="74"/>
        <v>0.24703263768115941</v>
      </c>
      <c r="O99" s="59">
        <f t="shared" si="74"/>
        <v>0.1595289855072464</v>
      </c>
      <c r="P99" s="59">
        <f t="shared" si="74"/>
        <v>10.803197836362319</v>
      </c>
      <c r="Q99" s="59">
        <f t="shared" si="74"/>
        <v>1.5944884057971016E-2</v>
      </c>
      <c r="R99" s="59">
        <f t="shared" si="74"/>
        <v>0.57065869565217386</v>
      </c>
      <c r="S99" s="59">
        <f t="shared" si="74"/>
        <v>0.1619186956521739</v>
      </c>
      <c r="T99" s="59">
        <f t="shared" si="74"/>
        <v>2.8127942028985511E-2</v>
      </c>
      <c r="U99" s="59">
        <f t="shared" si="74"/>
        <v>3.6515768115942033E-4</v>
      </c>
      <c r="V99" s="59">
        <f t="shared" si="74"/>
        <v>0.25151347826086962</v>
      </c>
      <c r="W99" s="59">
        <f t="shared" si="74"/>
        <v>0.24288173913043476</v>
      </c>
      <c r="X99" s="59">
        <f t="shared" si="74"/>
        <v>2.4071159420289857E-2</v>
      </c>
      <c r="Y99" s="59">
        <f t="shared" si="74"/>
        <v>1.1882942028985508E-4</v>
      </c>
      <c r="Z99" s="59">
        <f t="shared" si="74"/>
        <v>1.1592797101449276E-2</v>
      </c>
      <c r="AA99" s="59">
        <f t="shared" si="74"/>
        <v>-2.2440057971014493E-5</v>
      </c>
      <c r="AB99" s="59">
        <f t="shared" si="74"/>
        <v>1.7947492753623189E-8</v>
      </c>
      <c r="AC99" s="59">
        <f t="shared" si="74"/>
        <v>1.2038811594202896E-3</v>
      </c>
      <c r="AD99" s="59">
        <f t="shared" si="74"/>
        <v>9.2736840579710146E-4</v>
      </c>
      <c r="AE99" s="59">
        <f t="shared" si="74"/>
        <v>1.6669463768115942E-3</v>
      </c>
      <c r="AF99" s="59">
        <f t="shared" si="74"/>
        <v>2.7766753623188409E-5</v>
      </c>
      <c r="AG99" s="59">
        <f t="shared" si="74"/>
        <v>2.5227000000000001E-3</v>
      </c>
      <c r="AH99" s="59">
        <f t="shared" si="74"/>
        <v>2.394239130434783E-3</v>
      </c>
    </row>
    <row r="100" spans="2:34" x14ac:dyDescent="0.25">
      <c r="B100" t="s">
        <v>593</v>
      </c>
      <c r="C100" t="str">
        <f>'[3]LCIA-Elec'!BJ83</f>
        <v>4_Hub_10%IP</v>
      </c>
      <c r="D100">
        <f>'[3]LCIA-Elec'!$S$68/$A$3</f>
        <v>0.79112271540469969</v>
      </c>
      <c r="E100" t="s">
        <v>105</v>
      </c>
      <c r="F100" t="s">
        <v>829</v>
      </c>
      <c r="G100">
        <f>'[3]LCIA-Elec'!BK83</f>
        <v>0.49086709161716174</v>
      </c>
      <c r="H100">
        <f>'[3]LCIA-Elec'!BL83</f>
        <v>0.20319860290429043</v>
      </c>
      <c r="I100">
        <f>'[3]LCIA-Elec'!BM83</f>
        <v>5.9015738917491758</v>
      </c>
      <c r="J100">
        <f>'[3]LCIA-Elec'!BN83</f>
        <v>2.3865067628118814E-2</v>
      </c>
      <c r="K100">
        <f>'[3]LCIA-Elec'!BO83</f>
        <v>3.0555498280528055</v>
      </c>
      <c r="L100">
        <f>'[3]LCIA-Elec'!BP83</f>
        <v>1.0764212483168313E-4</v>
      </c>
      <c r="M100">
        <f>'[3]LCIA-Elec'!BQ83</f>
        <v>9.143108745544555E-2</v>
      </c>
      <c r="N100">
        <f>'[3]LCIA-Elec'!BR83</f>
        <v>0.69327973639603946</v>
      </c>
      <c r="O100">
        <f>'[3]LCIA-Elec'!BS83</f>
        <v>0.31053586855445553</v>
      </c>
      <c r="P100">
        <f>'[3]LCIA-Elec'!BT83</f>
        <v>10.27954172486516</v>
      </c>
      <c r="Q100">
        <f>'[3]LCIA-Elec'!BU83</f>
        <v>3.8922419812541242E-2</v>
      </c>
      <c r="R100">
        <f>'[3]LCIA-Elec'!BV83</f>
        <v>0.48622092316831683</v>
      </c>
      <c r="S100">
        <f>'[3]LCIA-Elec'!BW83</f>
        <v>0.15009983445544556</v>
      </c>
      <c r="T100">
        <f>'[3]LCIA-Elec'!BX83</f>
        <v>2.7800763986798673E-2</v>
      </c>
      <c r="U100">
        <f>'[3]LCIA-Elec'!BY83</f>
        <v>4.1650798442244221E-4</v>
      </c>
      <c r="V100">
        <f>'[3]LCIA-Elec'!BZ83</f>
        <v>0.27873467141914177</v>
      </c>
      <c r="W100">
        <f>'[3]LCIA-Elec'!CA83</f>
        <v>0.21143469466666662</v>
      </c>
      <c r="X100">
        <f>'[3]LCIA-Elec'!CB83</f>
        <v>2.3995902244224421E-2</v>
      </c>
      <c r="Y100">
        <f>'[3]LCIA-Elec'!CC83</f>
        <v>1.2591500587458748E-4</v>
      </c>
      <c r="Z100">
        <f>'[3]LCIA-Elec'!CD83</f>
        <v>1.1250152686468649E-2</v>
      </c>
      <c r="AA100">
        <f>'[3]LCIA-Elec'!CE83</f>
        <v>-6.3079815564356429E-5</v>
      </c>
      <c r="AB100">
        <f>'[3]LCIA-Elec'!CF83</f>
        <v>1.907683677887789E-8</v>
      </c>
      <c r="AC100">
        <f>'[3]LCIA-Elec'!CG83</f>
        <v>1.2986790455445543E-3</v>
      </c>
      <c r="AD100">
        <f>'[3]LCIA-Elec'!CH83</f>
        <v>8.2686296871287113E-4</v>
      </c>
      <c r="AE100">
        <f>'[3]LCIA-Elec'!CI83</f>
        <v>1.3957502970297023E-3</v>
      </c>
      <c r="AF100">
        <f>'[3]LCIA-Elec'!CJ83</f>
        <v>2.5552094468646869E-5</v>
      </c>
      <c r="AG100">
        <f>'[3]LCIA-Elec'!CK83</f>
        <v>2.1200756836963698E-3</v>
      </c>
      <c r="AH100">
        <f>'[3]LCIA-Elec'!CL83</f>
        <v>5.5108958019801993E-3</v>
      </c>
    </row>
    <row r="101" spans="2:34" x14ac:dyDescent="0.25">
      <c r="B101" t="str">
        <f>'[3]4_Hub_10%IP'!Y386</f>
        <v>Newark Liberty International Airport</v>
      </c>
      <c r="C101" t="str">
        <f>C95</f>
        <v>market for electricity, low voltage, US-RFC</v>
      </c>
      <c r="D101">
        <f>'[3]4_Hub_10%IP'!$Z386/$A$3</f>
        <v>5.2219321148825062E-2</v>
      </c>
      <c r="E101" t="str">
        <f t="shared" ref="E101:AH101" si="75">E95</f>
        <v>kWh</v>
      </c>
      <c r="F101" t="str">
        <f t="shared" si="75"/>
        <v>Ecoinvent v3.7.1</v>
      </c>
      <c r="G101">
        <f t="shared" si="75"/>
        <v>0.61436999999999997</v>
      </c>
      <c r="H101">
        <f t="shared" si="75"/>
        <v>8.2399E-2</v>
      </c>
      <c r="I101">
        <f t="shared" si="75"/>
        <v>6.7473999999999998</v>
      </c>
      <c r="J101">
        <f t="shared" si="75"/>
        <v>4.0428000000000003E-4</v>
      </c>
      <c r="K101">
        <f t="shared" si="75"/>
        <v>4.3425000000000002</v>
      </c>
      <c r="L101">
        <f t="shared" si="75"/>
        <v>1.3322000000000001E-5</v>
      </c>
      <c r="M101">
        <f t="shared" si="75"/>
        <v>1.5082999999999999E-2</v>
      </c>
      <c r="N101">
        <f t="shared" si="75"/>
        <v>6.8917000000000006E-2</v>
      </c>
      <c r="O101">
        <f t="shared" si="75"/>
        <v>0.1275</v>
      </c>
      <c r="P101">
        <f t="shared" si="75"/>
        <v>11.384216602</v>
      </c>
      <c r="Q101">
        <f t="shared" si="75"/>
        <v>1.3875999999999999E-2</v>
      </c>
      <c r="R101">
        <f t="shared" si="75"/>
        <v>0.60836999999999997</v>
      </c>
      <c r="S101">
        <f t="shared" si="75"/>
        <v>0.16855999999999999</v>
      </c>
      <c r="T101">
        <f t="shared" si="75"/>
        <v>2.7827999999999999E-2</v>
      </c>
      <c r="U101">
        <f t="shared" si="75"/>
        <v>3.4965000000000002E-4</v>
      </c>
      <c r="V101">
        <f t="shared" si="75"/>
        <v>0.24507000000000001</v>
      </c>
      <c r="W101">
        <f t="shared" si="75"/>
        <v>0.28216999999999998</v>
      </c>
      <c r="X101">
        <f t="shared" si="75"/>
        <v>2.3791E-2</v>
      </c>
      <c r="Y101">
        <f t="shared" si="75"/>
        <v>1.1882E-4</v>
      </c>
      <c r="Z101">
        <f t="shared" si="75"/>
        <v>1.1622E-2</v>
      </c>
      <c r="AA101">
        <f t="shared" si="75"/>
        <v>-2.4247999999999999E-5</v>
      </c>
      <c r="AB101">
        <f t="shared" si="75"/>
        <v>1.8053E-8</v>
      </c>
      <c r="AC101">
        <f t="shared" si="75"/>
        <v>1.1259E-3</v>
      </c>
      <c r="AD101">
        <f t="shared" si="75"/>
        <v>9.8528999999999999E-4</v>
      </c>
      <c r="AE101">
        <f t="shared" si="75"/>
        <v>1.8718000000000001E-3</v>
      </c>
      <c r="AF101">
        <f t="shared" si="75"/>
        <v>2.6829999999999999E-5</v>
      </c>
      <c r="AG101">
        <f t="shared" si="75"/>
        <v>2.5512999999999998E-3</v>
      </c>
      <c r="AH101">
        <f t="shared" si="75"/>
        <v>2.2418E-3</v>
      </c>
    </row>
    <row r="102" spans="2:34" x14ac:dyDescent="0.25">
      <c r="B102" t="str">
        <f>'[3]4_Hub_10%IP'!Y387</f>
        <v>Seattle-Tacoma International Airport</v>
      </c>
      <c r="C102" t="str">
        <f>C96</f>
        <v>market for electricity, low voltage, US-WECC</v>
      </c>
      <c r="D102">
        <f>'[3]4_Hub_10%IP'!$Z387/$A$3</f>
        <v>5.2219321148825062E-2</v>
      </c>
      <c r="E102" t="str">
        <f t="shared" ref="E102:AH102" si="76">E96</f>
        <v>kWh</v>
      </c>
      <c r="F102" t="str">
        <f t="shared" si="76"/>
        <v>Ecoinvent v3.7.1</v>
      </c>
      <c r="G102">
        <f t="shared" si="76"/>
        <v>0.41233999999999998</v>
      </c>
      <c r="H102">
        <f t="shared" si="76"/>
        <v>0.16356000000000001</v>
      </c>
      <c r="I102">
        <f t="shared" si="76"/>
        <v>5.2107000000000001</v>
      </c>
      <c r="J102">
        <f t="shared" si="76"/>
        <v>0.15804000000000001</v>
      </c>
      <c r="K102">
        <f t="shared" si="76"/>
        <v>1.1274</v>
      </c>
      <c r="L102">
        <f t="shared" si="76"/>
        <v>1.7768999999999999E-5</v>
      </c>
      <c r="M102">
        <f t="shared" si="76"/>
        <v>0.32883000000000001</v>
      </c>
      <c r="N102">
        <f t="shared" si="76"/>
        <v>1.0143</v>
      </c>
      <c r="O102">
        <f t="shared" si="76"/>
        <v>0.29749999999999999</v>
      </c>
      <c r="P102">
        <f t="shared" si="76"/>
        <v>8.300347769</v>
      </c>
      <c r="Q102">
        <f t="shared" si="76"/>
        <v>2.4857000000000001E-2</v>
      </c>
      <c r="R102">
        <f t="shared" si="76"/>
        <v>0.40821000000000002</v>
      </c>
      <c r="S102">
        <f t="shared" si="76"/>
        <v>0.13331000000000001</v>
      </c>
      <c r="T102">
        <f t="shared" si="76"/>
        <v>2.9420000000000002E-2</v>
      </c>
      <c r="U102">
        <f t="shared" si="76"/>
        <v>4.3196E-4</v>
      </c>
      <c r="V102">
        <f t="shared" si="76"/>
        <v>0.27927000000000002</v>
      </c>
      <c r="W102">
        <f t="shared" si="76"/>
        <v>7.3639999999999997E-2</v>
      </c>
      <c r="X102">
        <f t="shared" si="76"/>
        <v>2.5277999999999998E-2</v>
      </c>
      <c r="Y102">
        <f t="shared" si="76"/>
        <v>1.1887000000000001E-4</v>
      </c>
      <c r="Z102">
        <f t="shared" si="76"/>
        <v>1.1467E-2</v>
      </c>
      <c r="AA102">
        <f t="shared" si="76"/>
        <v>-1.4652E-5</v>
      </c>
      <c r="AB102">
        <f t="shared" si="76"/>
        <v>1.7493E-8</v>
      </c>
      <c r="AC102">
        <f t="shared" si="76"/>
        <v>1.5398E-3</v>
      </c>
      <c r="AD102">
        <f t="shared" si="76"/>
        <v>6.7785999999999996E-4</v>
      </c>
      <c r="AE102">
        <f t="shared" si="76"/>
        <v>7.8450000000000004E-4</v>
      </c>
      <c r="AF102">
        <f t="shared" si="76"/>
        <v>3.1801999999999998E-5</v>
      </c>
      <c r="AG102">
        <f t="shared" si="76"/>
        <v>2.3995000000000002E-3</v>
      </c>
      <c r="AH102">
        <f t="shared" si="76"/>
        <v>3.0509000000000001E-3</v>
      </c>
    </row>
    <row r="103" spans="2:34" x14ac:dyDescent="0.25">
      <c r="B103" t="str">
        <f>'[3]4_Hub_10%IP'!Y388</f>
        <v>O'Hare International Airport</v>
      </c>
      <c r="C103" t="str">
        <f>C97</f>
        <v>market for electricity, low voltage, US-RFC</v>
      </c>
      <c r="D103">
        <f>'[3]4_Hub_10%IP'!$Z388/$A$3</f>
        <v>5.2219321148825062E-2</v>
      </c>
      <c r="E103" t="str">
        <f t="shared" ref="E103:AH103" si="77">E97</f>
        <v>kWh</v>
      </c>
      <c r="F103" t="str">
        <f t="shared" si="77"/>
        <v>Ecoinvent v3.7.1</v>
      </c>
      <c r="G103">
        <f t="shared" si="77"/>
        <v>0.61436999999999997</v>
      </c>
      <c r="H103">
        <f t="shared" si="77"/>
        <v>8.2399E-2</v>
      </c>
      <c r="I103">
        <f t="shared" si="77"/>
        <v>6.7473999999999998</v>
      </c>
      <c r="J103">
        <f t="shared" si="77"/>
        <v>4.0428000000000003E-4</v>
      </c>
      <c r="K103">
        <f t="shared" si="77"/>
        <v>4.3425000000000002</v>
      </c>
      <c r="L103">
        <f t="shared" si="77"/>
        <v>1.3322000000000001E-5</v>
      </c>
      <c r="M103">
        <f t="shared" si="77"/>
        <v>1.5082999999999999E-2</v>
      </c>
      <c r="N103">
        <f t="shared" si="77"/>
        <v>6.8917000000000006E-2</v>
      </c>
      <c r="O103">
        <f t="shared" si="77"/>
        <v>0.1275</v>
      </c>
      <c r="P103">
        <f t="shared" si="77"/>
        <v>11.384216602</v>
      </c>
      <c r="Q103">
        <f t="shared" si="77"/>
        <v>1.3875999999999999E-2</v>
      </c>
      <c r="R103">
        <f t="shared" si="77"/>
        <v>0.60836999999999997</v>
      </c>
      <c r="S103">
        <f t="shared" si="77"/>
        <v>0.16855999999999999</v>
      </c>
      <c r="T103">
        <f t="shared" si="77"/>
        <v>2.7827999999999999E-2</v>
      </c>
      <c r="U103">
        <f t="shared" si="77"/>
        <v>3.4965000000000002E-4</v>
      </c>
      <c r="V103">
        <f t="shared" si="77"/>
        <v>0.24507000000000001</v>
      </c>
      <c r="W103">
        <f t="shared" si="77"/>
        <v>0.28216999999999998</v>
      </c>
      <c r="X103">
        <f t="shared" si="77"/>
        <v>2.3791E-2</v>
      </c>
      <c r="Y103">
        <f t="shared" si="77"/>
        <v>1.1882E-4</v>
      </c>
      <c r="Z103">
        <f t="shared" si="77"/>
        <v>1.1622E-2</v>
      </c>
      <c r="AA103">
        <f t="shared" si="77"/>
        <v>-2.4247999999999999E-5</v>
      </c>
      <c r="AB103">
        <f t="shared" si="77"/>
        <v>1.8053E-8</v>
      </c>
      <c r="AC103">
        <f t="shared" si="77"/>
        <v>1.1259E-3</v>
      </c>
      <c r="AD103">
        <f t="shared" si="77"/>
        <v>9.8528999999999999E-4</v>
      </c>
      <c r="AE103">
        <f t="shared" si="77"/>
        <v>1.8718000000000001E-3</v>
      </c>
      <c r="AF103">
        <f t="shared" si="77"/>
        <v>2.6829999999999999E-5</v>
      </c>
      <c r="AG103">
        <f t="shared" si="77"/>
        <v>2.5512999999999998E-3</v>
      </c>
      <c r="AH103">
        <f t="shared" si="77"/>
        <v>2.2418E-3</v>
      </c>
    </row>
    <row r="104" spans="2:34" x14ac:dyDescent="0.25">
      <c r="B104" t="str">
        <f>'[3]4_Hub_10%IP'!Y389</f>
        <v>Denver International Airport</v>
      </c>
      <c r="C104" t="str">
        <f>C79</f>
        <v>market for electricity, low voltage, US-WECC</v>
      </c>
      <c r="D104">
        <f>'[3]4_Hub_10%IP'!$Z389/$A$3</f>
        <v>5.2219321148825062E-2</v>
      </c>
      <c r="E104" t="str">
        <f t="shared" ref="E104:AH104" si="78">E79</f>
        <v>kWh</v>
      </c>
      <c r="F104" t="str">
        <f t="shared" si="78"/>
        <v>Ecoinvent v3.7.1</v>
      </c>
      <c r="G104">
        <f t="shared" si="78"/>
        <v>0.41233999999999998</v>
      </c>
      <c r="H104">
        <f t="shared" si="78"/>
        <v>0.16356000000000001</v>
      </c>
      <c r="I104">
        <f t="shared" si="78"/>
        <v>5.2107000000000001</v>
      </c>
      <c r="J104">
        <f t="shared" si="78"/>
        <v>0.15804000000000001</v>
      </c>
      <c r="K104">
        <f t="shared" si="78"/>
        <v>1.1274</v>
      </c>
      <c r="L104">
        <f t="shared" si="78"/>
        <v>1.7768999999999999E-5</v>
      </c>
      <c r="M104">
        <f t="shared" si="78"/>
        <v>0.32883000000000001</v>
      </c>
      <c r="N104">
        <f t="shared" si="78"/>
        <v>1.0143</v>
      </c>
      <c r="O104">
        <f t="shared" si="78"/>
        <v>0.29749999999999999</v>
      </c>
      <c r="P104">
        <f t="shared" si="78"/>
        <v>8.300347769</v>
      </c>
      <c r="Q104">
        <f t="shared" si="78"/>
        <v>2.4857000000000001E-2</v>
      </c>
      <c r="R104">
        <f t="shared" si="78"/>
        <v>0.40821000000000002</v>
      </c>
      <c r="S104">
        <f t="shared" si="78"/>
        <v>0.13331000000000001</v>
      </c>
      <c r="T104">
        <f t="shared" si="78"/>
        <v>2.9420000000000002E-2</v>
      </c>
      <c r="U104">
        <f t="shared" si="78"/>
        <v>4.3196E-4</v>
      </c>
      <c r="V104">
        <f t="shared" si="78"/>
        <v>0.27927000000000002</v>
      </c>
      <c r="W104">
        <f t="shared" si="78"/>
        <v>7.3639999999999997E-2</v>
      </c>
      <c r="X104">
        <f t="shared" si="78"/>
        <v>2.5277999999999998E-2</v>
      </c>
      <c r="Y104">
        <f t="shared" si="78"/>
        <v>1.1887000000000001E-4</v>
      </c>
      <c r="Z104">
        <f t="shared" si="78"/>
        <v>1.1467E-2</v>
      </c>
      <c r="AA104">
        <f t="shared" si="78"/>
        <v>-1.4652E-5</v>
      </c>
      <c r="AB104">
        <f t="shared" si="78"/>
        <v>1.7493E-8</v>
      </c>
      <c r="AC104">
        <f t="shared" si="78"/>
        <v>1.5398E-3</v>
      </c>
      <c r="AD104">
        <f t="shared" si="78"/>
        <v>6.7785999999999996E-4</v>
      </c>
      <c r="AE104">
        <f t="shared" si="78"/>
        <v>7.8450000000000004E-4</v>
      </c>
      <c r="AF104">
        <f t="shared" si="78"/>
        <v>3.1801999999999998E-5</v>
      </c>
      <c r="AG104">
        <f t="shared" si="78"/>
        <v>2.3995000000000002E-3</v>
      </c>
      <c r="AH104">
        <f t="shared" si="78"/>
        <v>3.0509000000000001E-3</v>
      </c>
    </row>
    <row r="105" spans="2:34" x14ac:dyDescent="0.25">
      <c r="B105" s="59" t="str">
        <f>C100</f>
        <v>4_Hub_10%IP</v>
      </c>
      <c r="C105" s="59" t="s">
        <v>806</v>
      </c>
      <c r="D105" s="59">
        <f>SUM(D100:D104)</f>
        <v>1</v>
      </c>
      <c r="E105" s="59" t="s">
        <v>105</v>
      </c>
      <c r="F105" s="59"/>
      <c r="G105" s="59">
        <f>SUMPRODUCT($D100:$D104,G100:G104)</f>
        <v>0.49556430485639685</v>
      </c>
      <c r="H105" s="59">
        <f t="shared" ref="H105:AH105" si="79">SUMPRODUCT($D100:$D104,H100:H104)</f>
        <v>0.18644265451697128</v>
      </c>
      <c r="I105" s="59">
        <f t="shared" si="79"/>
        <v>5.9177568908616198</v>
      </c>
      <c r="J105" s="59">
        <f t="shared" si="79"/>
        <v>3.5427902588302876E-2</v>
      </c>
      <c r="K105" s="59">
        <f t="shared" si="79"/>
        <v>2.9885838065274153</v>
      </c>
      <c r="L105" s="59">
        <f t="shared" si="79"/>
        <v>8.8405231916449035E-5</v>
      </c>
      <c r="M105" s="59">
        <f t="shared" si="79"/>
        <v>0.1082510169686684</v>
      </c>
      <c r="N105" s="59">
        <f t="shared" si="79"/>
        <v>0.6615990603864228</v>
      </c>
      <c r="O105" s="59">
        <f t="shared" si="79"/>
        <v>0.29005840253785908</v>
      </c>
      <c r="P105" s="59">
        <f t="shared" si="79"/>
        <v>10.188208139619173</v>
      </c>
      <c r="Q105" s="59">
        <f t="shared" si="79"/>
        <v>3.4837632384334183E-2</v>
      </c>
      <c r="R105" s="59">
        <f t="shared" si="79"/>
        <v>0.49083065201044379</v>
      </c>
      <c r="S105" s="59">
        <f t="shared" si="79"/>
        <v>0.15027428156657963</v>
      </c>
      <c r="T105" s="59">
        <f t="shared" si="79"/>
        <v>2.7972719289817222E-2</v>
      </c>
      <c r="U105" s="59">
        <f t="shared" si="79"/>
        <v>4.1113921483028717E-4</v>
      </c>
      <c r="V105" s="59">
        <f t="shared" si="79"/>
        <v>0.27527468783289805</v>
      </c>
      <c r="W105" s="59">
        <f t="shared" si="79"/>
        <v>0.20443110309138376</v>
      </c>
      <c r="X105" s="59">
        <f t="shared" si="79"/>
        <v>2.4108403080939946E-2</v>
      </c>
      <c r="Y105" s="59">
        <f t="shared" si="79"/>
        <v>1.2443824224543084E-4</v>
      </c>
      <c r="Z105" s="59">
        <f t="shared" si="79"/>
        <v>1.1311635154047E-2</v>
      </c>
      <c r="AA105" s="59">
        <f t="shared" si="79"/>
        <v>-5.3966538161879892E-5</v>
      </c>
      <c r="AB105" s="59">
        <f t="shared" si="79"/>
        <v>1.8804494892950388E-8</v>
      </c>
      <c r="AC105" s="59">
        <f t="shared" si="79"/>
        <v>1.3058165817232373E-3</v>
      </c>
      <c r="AD105" s="59">
        <f t="shared" si="79"/>
        <v>8.2784720501305475E-4</v>
      </c>
      <c r="AE105" s="59">
        <f t="shared" si="79"/>
        <v>1.3816301305483022E-3</v>
      </c>
      <c r="AF105" s="59">
        <f t="shared" si="79"/>
        <v>2.6338288835509137E-5</v>
      </c>
      <c r="AG105" s="59">
        <f t="shared" si="79"/>
        <v>2.1942948620365535E-3</v>
      </c>
      <c r="AH105" s="59">
        <f t="shared" si="79"/>
        <v>4.9125572532637092E-3</v>
      </c>
    </row>
    <row r="106" spans="2:34" x14ac:dyDescent="0.25">
      <c r="B106" s="59" t="str">
        <f>B105</f>
        <v>4_Hub_10%IP</v>
      </c>
      <c r="C106" s="59"/>
      <c r="D106" s="59"/>
      <c r="E106" s="59"/>
      <c r="F106" s="59"/>
      <c r="G106" s="59">
        <f>SUMPRODUCT($D101:$D104,G101:G104)/SUM($D101:$D104)</f>
        <v>0.51335500000000001</v>
      </c>
      <c r="H106" s="59">
        <f t="shared" ref="H106:AH106" si="80">SUMPRODUCT($D101:$D104,H101:H104)/SUM($D101:$D104)</f>
        <v>0.12297950000000001</v>
      </c>
      <c r="I106" s="59">
        <f t="shared" si="80"/>
        <v>5.97905</v>
      </c>
      <c r="J106" s="59">
        <f t="shared" si="80"/>
        <v>7.922214000000001E-2</v>
      </c>
      <c r="K106" s="59">
        <f t="shared" si="80"/>
        <v>2.73495</v>
      </c>
      <c r="L106" s="59">
        <f t="shared" si="80"/>
        <v>1.5545499999999999E-5</v>
      </c>
      <c r="M106" s="59">
        <f t="shared" si="80"/>
        <v>0.17195650000000001</v>
      </c>
      <c r="N106" s="59">
        <f t="shared" si="80"/>
        <v>0.54160849999999994</v>
      </c>
      <c r="O106" s="59">
        <f t="shared" si="80"/>
        <v>0.21250000000000002</v>
      </c>
      <c r="P106" s="59">
        <f t="shared" si="80"/>
        <v>9.8422821855000002</v>
      </c>
      <c r="Q106" s="59">
        <f t="shared" si="80"/>
        <v>1.9366499999999998E-2</v>
      </c>
      <c r="R106" s="59">
        <f t="shared" si="80"/>
        <v>0.50829000000000002</v>
      </c>
      <c r="S106" s="59">
        <f t="shared" si="80"/>
        <v>0.15093499999999999</v>
      </c>
      <c r="T106" s="59">
        <f t="shared" si="80"/>
        <v>2.8624E-2</v>
      </c>
      <c r="U106" s="59">
        <f t="shared" si="80"/>
        <v>3.9080500000000004E-4</v>
      </c>
      <c r="V106" s="59">
        <f t="shared" si="80"/>
        <v>0.26217000000000001</v>
      </c>
      <c r="W106" s="59">
        <f t="shared" si="80"/>
        <v>0.17790499999999995</v>
      </c>
      <c r="X106" s="59">
        <f t="shared" si="80"/>
        <v>2.4534499999999997E-2</v>
      </c>
      <c r="Y106" s="59">
        <f t="shared" si="80"/>
        <v>1.1884500000000002E-4</v>
      </c>
      <c r="Z106" s="59">
        <f t="shared" si="80"/>
        <v>1.1544499999999999E-2</v>
      </c>
      <c r="AA106" s="59">
        <f t="shared" si="80"/>
        <v>-1.9449999999999998E-5</v>
      </c>
      <c r="AB106" s="59">
        <f t="shared" si="80"/>
        <v>1.7773E-8</v>
      </c>
      <c r="AC106" s="59">
        <f t="shared" si="80"/>
        <v>1.33285E-3</v>
      </c>
      <c r="AD106" s="59">
        <f t="shared" si="80"/>
        <v>8.3157499999999987E-4</v>
      </c>
      <c r="AE106" s="59">
        <f t="shared" si="80"/>
        <v>1.3281499999999999E-3</v>
      </c>
      <c r="AF106" s="59">
        <f t="shared" si="80"/>
        <v>2.9315999999999998E-5</v>
      </c>
      <c r="AG106" s="59">
        <f t="shared" si="80"/>
        <v>2.4754E-3</v>
      </c>
      <c r="AH106" s="59">
        <f t="shared" si="80"/>
        <v>2.64635E-3</v>
      </c>
    </row>
    <row r="107" spans="2:34" x14ac:dyDescent="0.25">
      <c r="B107" t="s">
        <v>593</v>
      </c>
      <c r="C107" t="str">
        <f>'[3]LCIA-Elec'!BJ84</f>
        <v>4_Hub_30%IP</v>
      </c>
      <c r="D107">
        <f>'[3]LCIA-Elec'!$T$68/$A$3</f>
        <v>0.69973890339425593</v>
      </c>
      <c r="E107" t="s">
        <v>105</v>
      </c>
      <c r="F107" t="s">
        <v>829</v>
      </c>
      <c r="G107">
        <f>'[3]LCIA-Elec'!BK84</f>
        <v>0.47394626402985074</v>
      </c>
      <c r="H107">
        <f>'[3]LCIA-Elec'!BL84</f>
        <v>0.21272905104477613</v>
      </c>
      <c r="I107">
        <f>'[3]LCIA-Elec'!BM84</f>
        <v>5.7741204820895531</v>
      </c>
      <c r="J107">
        <f>'[3]LCIA-Elec'!BN84</f>
        <v>2.5746742094477613E-2</v>
      </c>
      <c r="K107">
        <f>'[3]LCIA-Elec'!BO84</f>
        <v>3.0663548429104472</v>
      </c>
      <c r="L107">
        <f>'[3]LCIA-Elec'!BP84</f>
        <v>1.1953726799999998E-4</v>
      </c>
      <c r="M107">
        <f>'[3]LCIA-Elec'!BQ84</f>
        <v>9.8611434697761194E-2</v>
      </c>
      <c r="N107">
        <f>'[3]LCIA-Elec'!BR84</f>
        <v>0.75298181764179084</v>
      </c>
      <c r="O107">
        <f>'[3]LCIA-Elec'!BS84</f>
        <v>0.29266458273134327</v>
      </c>
      <c r="P107">
        <f>'[3]LCIA-Elec'!BT84</f>
        <v>10.223328490478147</v>
      </c>
      <c r="Q107">
        <f>'[3]LCIA-Elec'!BU84</f>
        <v>4.127204180298507E-2</v>
      </c>
      <c r="R107">
        <f>'[3]LCIA-Elec'!BV84</f>
        <v>0.46939492432835828</v>
      </c>
      <c r="S107">
        <f>'[3]LCIA-Elec'!BW84</f>
        <v>0.14749570835820899</v>
      </c>
      <c r="T107">
        <f>'[3]LCIA-Elec'!BX84</f>
        <v>2.7266083910447759E-2</v>
      </c>
      <c r="U107">
        <f>'[3]LCIA-Elec'!BY84</f>
        <v>3.9151263910447762E-4</v>
      </c>
      <c r="V107">
        <f>'[3]LCIA-Elec'!BZ84</f>
        <v>0.26298996805970137</v>
      </c>
      <c r="W107">
        <f>'[3]LCIA-Elec'!CA84</f>
        <v>0.21369591971641783</v>
      </c>
      <c r="X107">
        <f>'[3]LCIA-Elec'!CB84</f>
        <v>2.3509247686567168E-2</v>
      </c>
      <c r="Y107">
        <f>'[3]LCIA-Elec'!CC84</f>
        <v>1.2018364470149255E-4</v>
      </c>
      <c r="Z107">
        <f>'[3]LCIA-Elec'!CD84</f>
        <v>1.1211903970149257E-2</v>
      </c>
      <c r="AA107">
        <f>'[3]LCIA-Elec'!CE84</f>
        <v>-6.7899948194029839E-5</v>
      </c>
      <c r="AB107">
        <f>'[3]LCIA-Elec'!CF84</f>
        <v>1.942533411940299E-8</v>
      </c>
      <c r="AC107">
        <f>'[3]LCIA-Elec'!CG84</f>
        <v>1.1777014582089551E-3</v>
      </c>
      <c r="AD107">
        <f>'[3]LCIA-Elec'!CH84</f>
        <v>8.0324339373134314E-4</v>
      </c>
      <c r="AE107">
        <f>'[3]LCIA-Elec'!CI84</f>
        <v>1.3260135447761188E-3</v>
      </c>
      <c r="AF107">
        <f>'[3]LCIA-Elec'!CJ84</f>
        <v>2.5512535910447762E-5</v>
      </c>
      <c r="AG107">
        <f>'[3]LCIA-Elec'!CK84</f>
        <v>2.0872843364179109E-3</v>
      </c>
      <c r="AH107">
        <f>'[3]LCIA-Elec'!CL84</f>
        <v>5.8518773432835831E-3</v>
      </c>
    </row>
    <row r="108" spans="2:34" x14ac:dyDescent="0.25">
      <c r="B108" t="str">
        <f>'[3]4_Hub_30%IP'!Y386</f>
        <v>Newark Liberty International Airport</v>
      </c>
      <c r="C108" t="str">
        <f>C101</f>
        <v>market for electricity, low voltage, US-RFC</v>
      </c>
      <c r="D108">
        <f>'[3]4_Hub_30%IP'!$Z386/$A$3</f>
        <v>0.10182767624020887</v>
      </c>
      <c r="E108" t="str">
        <f t="shared" ref="E108:AH108" si="81">E101</f>
        <v>kWh</v>
      </c>
      <c r="F108" t="str">
        <f t="shared" si="81"/>
        <v>Ecoinvent v3.7.1</v>
      </c>
      <c r="G108">
        <f t="shared" si="81"/>
        <v>0.61436999999999997</v>
      </c>
      <c r="H108">
        <f t="shared" si="81"/>
        <v>8.2399E-2</v>
      </c>
      <c r="I108">
        <f t="shared" si="81"/>
        <v>6.7473999999999998</v>
      </c>
      <c r="J108">
        <f t="shared" si="81"/>
        <v>4.0428000000000003E-4</v>
      </c>
      <c r="K108">
        <f t="shared" si="81"/>
        <v>4.3425000000000002</v>
      </c>
      <c r="L108">
        <f t="shared" si="81"/>
        <v>1.3322000000000001E-5</v>
      </c>
      <c r="M108">
        <f t="shared" si="81"/>
        <v>1.5082999999999999E-2</v>
      </c>
      <c r="N108">
        <f t="shared" si="81"/>
        <v>6.8917000000000006E-2</v>
      </c>
      <c r="O108">
        <f t="shared" si="81"/>
        <v>0.1275</v>
      </c>
      <c r="P108">
        <f t="shared" si="81"/>
        <v>11.384216602</v>
      </c>
      <c r="Q108">
        <f t="shared" si="81"/>
        <v>1.3875999999999999E-2</v>
      </c>
      <c r="R108">
        <f t="shared" si="81"/>
        <v>0.60836999999999997</v>
      </c>
      <c r="S108">
        <f t="shared" si="81"/>
        <v>0.16855999999999999</v>
      </c>
      <c r="T108">
        <f t="shared" si="81"/>
        <v>2.7827999999999999E-2</v>
      </c>
      <c r="U108">
        <f t="shared" si="81"/>
        <v>3.4965000000000002E-4</v>
      </c>
      <c r="V108">
        <f t="shared" si="81"/>
        <v>0.24507000000000001</v>
      </c>
      <c r="W108">
        <f t="shared" si="81"/>
        <v>0.28216999999999998</v>
      </c>
      <c r="X108">
        <f t="shared" si="81"/>
        <v>2.3791E-2</v>
      </c>
      <c r="Y108">
        <f t="shared" si="81"/>
        <v>1.1882E-4</v>
      </c>
      <c r="Z108">
        <f t="shared" si="81"/>
        <v>1.1622E-2</v>
      </c>
      <c r="AA108">
        <f t="shared" si="81"/>
        <v>-2.4247999999999999E-5</v>
      </c>
      <c r="AB108">
        <f t="shared" si="81"/>
        <v>1.8053E-8</v>
      </c>
      <c r="AC108">
        <f t="shared" si="81"/>
        <v>1.1259E-3</v>
      </c>
      <c r="AD108">
        <f t="shared" si="81"/>
        <v>9.8528999999999999E-4</v>
      </c>
      <c r="AE108">
        <f t="shared" si="81"/>
        <v>1.8718000000000001E-3</v>
      </c>
      <c r="AF108">
        <f t="shared" si="81"/>
        <v>2.6829999999999999E-5</v>
      </c>
      <c r="AG108">
        <f t="shared" si="81"/>
        <v>2.5512999999999998E-3</v>
      </c>
      <c r="AH108">
        <f t="shared" si="81"/>
        <v>2.2418E-3</v>
      </c>
    </row>
    <row r="109" spans="2:34" x14ac:dyDescent="0.25">
      <c r="B109" t="str">
        <f>'[3]4_Hub_30%IP'!Y387</f>
        <v>Seattle-Tacoma International Airport</v>
      </c>
      <c r="C109" t="str">
        <f>C102</f>
        <v>market for electricity, low voltage, US-WECC</v>
      </c>
      <c r="D109">
        <f>'[3]4_Hub_30%IP'!$Z387/$A$3</f>
        <v>5.2219321148825062E-2</v>
      </c>
      <c r="E109" t="str">
        <f t="shared" ref="E109:AH109" si="82">E102</f>
        <v>kWh</v>
      </c>
      <c r="F109" t="str">
        <f t="shared" si="82"/>
        <v>Ecoinvent v3.7.1</v>
      </c>
      <c r="G109">
        <f t="shared" si="82"/>
        <v>0.41233999999999998</v>
      </c>
      <c r="H109">
        <f t="shared" si="82"/>
        <v>0.16356000000000001</v>
      </c>
      <c r="I109">
        <f t="shared" si="82"/>
        <v>5.2107000000000001</v>
      </c>
      <c r="J109">
        <f t="shared" si="82"/>
        <v>0.15804000000000001</v>
      </c>
      <c r="K109">
        <f t="shared" si="82"/>
        <v>1.1274</v>
      </c>
      <c r="L109">
        <f t="shared" si="82"/>
        <v>1.7768999999999999E-5</v>
      </c>
      <c r="M109">
        <f t="shared" si="82"/>
        <v>0.32883000000000001</v>
      </c>
      <c r="N109">
        <f t="shared" si="82"/>
        <v>1.0143</v>
      </c>
      <c r="O109">
        <f t="shared" si="82"/>
        <v>0.29749999999999999</v>
      </c>
      <c r="P109">
        <f t="shared" si="82"/>
        <v>8.300347769</v>
      </c>
      <c r="Q109">
        <f t="shared" si="82"/>
        <v>2.4857000000000001E-2</v>
      </c>
      <c r="R109">
        <f t="shared" si="82"/>
        <v>0.40821000000000002</v>
      </c>
      <c r="S109">
        <f t="shared" si="82"/>
        <v>0.13331000000000001</v>
      </c>
      <c r="T109">
        <f t="shared" si="82"/>
        <v>2.9420000000000002E-2</v>
      </c>
      <c r="U109">
        <f t="shared" si="82"/>
        <v>4.3196E-4</v>
      </c>
      <c r="V109">
        <f t="shared" si="82"/>
        <v>0.27927000000000002</v>
      </c>
      <c r="W109">
        <f t="shared" si="82"/>
        <v>7.3639999999999997E-2</v>
      </c>
      <c r="X109">
        <f t="shared" si="82"/>
        <v>2.5277999999999998E-2</v>
      </c>
      <c r="Y109">
        <f t="shared" si="82"/>
        <v>1.1887000000000001E-4</v>
      </c>
      <c r="Z109">
        <f t="shared" si="82"/>
        <v>1.1467E-2</v>
      </c>
      <c r="AA109">
        <f t="shared" si="82"/>
        <v>-1.4652E-5</v>
      </c>
      <c r="AB109">
        <f t="shared" si="82"/>
        <v>1.7493E-8</v>
      </c>
      <c r="AC109">
        <f t="shared" si="82"/>
        <v>1.5398E-3</v>
      </c>
      <c r="AD109">
        <f t="shared" si="82"/>
        <v>6.7785999999999996E-4</v>
      </c>
      <c r="AE109">
        <f t="shared" si="82"/>
        <v>7.8450000000000004E-4</v>
      </c>
      <c r="AF109">
        <f t="shared" si="82"/>
        <v>3.1801999999999998E-5</v>
      </c>
      <c r="AG109">
        <f t="shared" si="82"/>
        <v>2.3995000000000002E-3</v>
      </c>
      <c r="AH109">
        <f t="shared" si="82"/>
        <v>3.0509000000000001E-3</v>
      </c>
    </row>
    <row r="110" spans="2:34" x14ac:dyDescent="0.25">
      <c r="B110" t="str">
        <f>'[3]4_Hub_30%IP'!Y388</f>
        <v>O'Hare International Airport</v>
      </c>
      <c r="C110" t="str">
        <f>C103</f>
        <v>market for electricity, low voltage, US-RFC</v>
      </c>
      <c r="D110">
        <f>'[3]4_Hub_30%IP'!$Z388/$A$3</f>
        <v>8.877284595300261E-2</v>
      </c>
      <c r="E110" t="str">
        <f t="shared" ref="E110:AH110" si="83">E103</f>
        <v>kWh</v>
      </c>
      <c r="F110" t="str">
        <f t="shared" si="83"/>
        <v>Ecoinvent v3.7.1</v>
      </c>
      <c r="G110">
        <f t="shared" si="83"/>
        <v>0.61436999999999997</v>
      </c>
      <c r="H110">
        <f t="shared" si="83"/>
        <v>8.2399E-2</v>
      </c>
      <c r="I110">
        <f t="shared" si="83"/>
        <v>6.7473999999999998</v>
      </c>
      <c r="J110">
        <f t="shared" si="83"/>
        <v>4.0428000000000003E-4</v>
      </c>
      <c r="K110">
        <f t="shared" si="83"/>
        <v>4.3425000000000002</v>
      </c>
      <c r="L110">
        <f t="shared" si="83"/>
        <v>1.3322000000000001E-5</v>
      </c>
      <c r="M110">
        <f t="shared" si="83"/>
        <v>1.5082999999999999E-2</v>
      </c>
      <c r="N110">
        <f t="shared" si="83"/>
        <v>6.8917000000000006E-2</v>
      </c>
      <c r="O110">
        <f t="shared" si="83"/>
        <v>0.1275</v>
      </c>
      <c r="P110">
        <f t="shared" si="83"/>
        <v>11.384216602</v>
      </c>
      <c r="Q110">
        <f t="shared" si="83"/>
        <v>1.3875999999999999E-2</v>
      </c>
      <c r="R110">
        <f t="shared" si="83"/>
        <v>0.60836999999999997</v>
      </c>
      <c r="S110">
        <f t="shared" si="83"/>
        <v>0.16855999999999999</v>
      </c>
      <c r="T110">
        <f t="shared" si="83"/>
        <v>2.7827999999999999E-2</v>
      </c>
      <c r="U110">
        <f t="shared" si="83"/>
        <v>3.4965000000000002E-4</v>
      </c>
      <c r="V110">
        <f t="shared" si="83"/>
        <v>0.24507000000000001</v>
      </c>
      <c r="W110">
        <f t="shared" si="83"/>
        <v>0.28216999999999998</v>
      </c>
      <c r="X110">
        <f t="shared" si="83"/>
        <v>2.3791E-2</v>
      </c>
      <c r="Y110">
        <f t="shared" si="83"/>
        <v>1.1882E-4</v>
      </c>
      <c r="Z110">
        <f t="shared" si="83"/>
        <v>1.1622E-2</v>
      </c>
      <c r="AA110">
        <f t="shared" si="83"/>
        <v>-2.4247999999999999E-5</v>
      </c>
      <c r="AB110">
        <f t="shared" si="83"/>
        <v>1.8053E-8</v>
      </c>
      <c r="AC110">
        <f t="shared" si="83"/>
        <v>1.1259E-3</v>
      </c>
      <c r="AD110">
        <f t="shared" si="83"/>
        <v>9.8528999999999999E-4</v>
      </c>
      <c r="AE110">
        <f t="shared" si="83"/>
        <v>1.8718000000000001E-3</v>
      </c>
      <c r="AF110">
        <f t="shared" si="83"/>
        <v>2.6829999999999999E-5</v>
      </c>
      <c r="AG110">
        <f t="shared" si="83"/>
        <v>2.5512999999999998E-3</v>
      </c>
      <c r="AH110">
        <f t="shared" si="83"/>
        <v>2.2418E-3</v>
      </c>
    </row>
    <row r="111" spans="2:34" x14ac:dyDescent="0.25">
      <c r="B111" t="str">
        <f>'[3]4_Hub_30%IP'!Y389</f>
        <v>Denver International Airport</v>
      </c>
      <c r="C111" t="str">
        <f>C104</f>
        <v>market for electricity, low voltage, US-WECC</v>
      </c>
      <c r="D111">
        <f>'[3]4_Hub_30%IP'!$Z389/$A$3</f>
        <v>5.7441253263707574E-2</v>
      </c>
      <c r="E111" t="str">
        <f t="shared" ref="E111:AH111" si="84">E104</f>
        <v>kWh</v>
      </c>
      <c r="F111" t="str">
        <f t="shared" si="84"/>
        <v>Ecoinvent v3.7.1</v>
      </c>
      <c r="G111">
        <f t="shared" si="84"/>
        <v>0.41233999999999998</v>
      </c>
      <c r="H111">
        <f t="shared" si="84"/>
        <v>0.16356000000000001</v>
      </c>
      <c r="I111">
        <f t="shared" si="84"/>
        <v>5.2107000000000001</v>
      </c>
      <c r="J111">
        <f t="shared" si="84"/>
        <v>0.15804000000000001</v>
      </c>
      <c r="K111">
        <f t="shared" si="84"/>
        <v>1.1274</v>
      </c>
      <c r="L111">
        <f t="shared" si="84"/>
        <v>1.7768999999999999E-5</v>
      </c>
      <c r="M111">
        <f t="shared" si="84"/>
        <v>0.32883000000000001</v>
      </c>
      <c r="N111">
        <f t="shared" si="84"/>
        <v>1.0143</v>
      </c>
      <c r="O111">
        <f t="shared" si="84"/>
        <v>0.29749999999999999</v>
      </c>
      <c r="P111">
        <f t="shared" si="84"/>
        <v>8.300347769</v>
      </c>
      <c r="Q111">
        <f t="shared" si="84"/>
        <v>2.4857000000000001E-2</v>
      </c>
      <c r="R111">
        <f t="shared" si="84"/>
        <v>0.40821000000000002</v>
      </c>
      <c r="S111">
        <f t="shared" si="84"/>
        <v>0.13331000000000001</v>
      </c>
      <c r="T111">
        <f t="shared" si="84"/>
        <v>2.9420000000000002E-2</v>
      </c>
      <c r="U111">
        <f t="shared" si="84"/>
        <v>4.3196E-4</v>
      </c>
      <c r="V111">
        <f t="shared" si="84"/>
        <v>0.27927000000000002</v>
      </c>
      <c r="W111">
        <f t="shared" si="84"/>
        <v>7.3639999999999997E-2</v>
      </c>
      <c r="X111">
        <f t="shared" si="84"/>
        <v>2.5277999999999998E-2</v>
      </c>
      <c r="Y111">
        <f t="shared" si="84"/>
        <v>1.1887000000000001E-4</v>
      </c>
      <c r="Z111">
        <f t="shared" si="84"/>
        <v>1.1467E-2</v>
      </c>
      <c r="AA111">
        <f t="shared" si="84"/>
        <v>-1.4652E-5</v>
      </c>
      <c r="AB111">
        <f t="shared" si="84"/>
        <v>1.7493E-8</v>
      </c>
      <c r="AC111">
        <f t="shared" si="84"/>
        <v>1.5398E-3</v>
      </c>
      <c r="AD111">
        <f t="shared" si="84"/>
        <v>6.7785999999999996E-4</v>
      </c>
      <c r="AE111">
        <f t="shared" si="84"/>
        <v>7.8450000000000004E-4</v>
      </c>
      <c r="AF111">
        <f t="shared" si="84"/>
        <v>3.1801999999999998E-5</v>
      </c>
      <c r="AG111">
        <f t="shared" si="84"/>
        <v>2.3995000000000002E-3</v>
      </c>
      <c r="AH111">
        <f t="shared" si="84"/>
        <v>3.0509000000000001E-3</v>
      </c>
    </row>
    <row r="112" spans="2:34" x14ac:dyDescent="0.25">
      <c r="B112" s="59" t="str">
        <f>C107</f>
        <v>4_Hub_30%IP</v>
      </c>
      <c r="C112" s="59" t="s">
        <v>806</v>
      </c>
      <c r="D112" s="59">
        <f>SUM(D107:D111)</f>
        <v>1</v>
      </c>
      <c r="E112" s="59" t="s">
        <v>105</v>
      </c>
      <c r="F112" s="59"/>
      <c r="G112" s="59">
        <f>SUMPRODUCT($D107:$D111,G107:G111)</f>
        <v>0.49395532313315926</v>
      </c>
      <c r="H112" s="59">
        <f t="shared" ref="H112:AH112" si="85">SUMPRODUCT($D107:$D111,H107:H111)</f>
        <v>0.18249616887728462</v>
      </c>
      <c r="I112" s="59">
        <f t="shared" si="85"/>
        <v>5.8978430527415151</v>
      </c>
      <c r="J112" s="59">
        <f t="shared" si="85"/>
        <v>3.5423810238433426E-2</v>
      </c>
      <c r="K112" s="59">
        <f t="shared" si="85"/>
        <v>3.0969618744125325</v>
      </c>
      <c r="L112" s="59">
        <f t="shared" si="85"/>
        <v>8.8132615728459514E-5</v>
      </c>
      <c r="M112" s="59">
        <f t="shared" si="85"/>
        <v>0.10793677153785899</v>
      </c>
      <c r="N112" s="59">
        <f t="shared" si="85"/>
        <v>0.6512550081671018</v>
      </c>
      <c r="O112" s="59">
        <f t="shared" si="85"/>
        <v>0.2617143816501305</v>
      </c>
      <c r="P112" s="59">
        <f t="shared" si="85"/>
        <v>10.233719200240584</v>
      </c>
      <c r="Q112" s="59">
        <f t="shared" si="85"/>
        <v>3.4250259016187987E-2</v>
      </c>
      <c r="R112" s="59">
        <f t="shared" si="85"/>
        <v>0.4891740723759791</v>
      </c>
      <c r="S112" s="59">
        <f t="shared" si="85"/>
        <v>0.14995496041775458</v>
      </c>
      <c r="T112" s="59">
        <f t="shared" si="85"/>
        <v>2.760938508616188E-2</v>
      </c>
      <c r="U112" s="59">
        <f t="shared" si="85"/>
        <v>3.8796907906005229E-4</v>
      </c>
      <c r="V112" s="59">
        <f t="shared" si="85"/>
        <v>0.26135969044386415</v>
      </c>
      <c r="W112" s="59">
        <f t="shared" si="85"/>
        <v>0.21138850256919056</v>
      </c>
      <c r="X112" s="59">
        <f t="shared" si="85"/>
        <v>2.3756912219321153E-2</v>
      </c>
      <c r="Y112" s="59">
        <f t="shared" si="85"/>
        <v>1.1977967827676241E-4</v>
      </c>
      <c r="Z112" s="59">
        <f t="shared" si="85"/>
        <v>1.1318042464751961E-2</v>
      </c>
      <c r="AA112" s="59">
        <f t="shared" si="85"/>
        <v>-5.3740663488250646E-5</v>
      </c>
      <c r="AB112" s="59">
        <f t="shared" si="85"/>
        <v>1.8951865650130553E-8</v>
      </c>
      <c r="AC112" s="59">
        <f t="shared" si="85"/>
        <v>1.2075360073107049E-3</v>
      </c>
      <c r="AD112" s="59">
        <f t="shared" si="85"/>
        <v>8.2419195697127929E-4</v>
      </c>
      <c r="AE112" s="59">
        <f t="shared" si="85"/>
        <v>1.3706580417754564E-3</v>
      </c>
      <c r="AF112" s="59">
        <f t="shared" si="85"/>
        <v>2.6453351498694523E-5</v>
      </c>
      <c r="AG112" s="59">
        <f t="shared" si="85"/>
        <v>2.2099637132114887E-3</v>
      </c>
      <c r="AH112" s="59">
        <f t="shared" si="85"/>
        <v>4.8566379321148831E-3</v>
      </c>
    </row>
    <row r="113" spans="2:34" x14ac:dyDescent="0.25">
      <c r="B113" s="59" t="str">
        <f>B112</f>
        <v>4_Hub_30%IP</v>
      </c>
      <c r="C113" s="59"/>
      <c r="D113" s="59"/>
      <c r="E113" s="59"/>
      <c r="F113" s="59"/>
      <c r="G113" s="59">
        <f>SUMPRODUCT($D108:$D111,G108:G111)/SUM($D108:$D111)</f>
        <v>0.54058513043478251</v>
      </c>
      <c r="H113" s="59">
        <f t="shared" ref="H113:AH113" si="86">SUMPRODUCT($D108:$D111,H108:H111)/SUM($D108:$D111)</f>
        <v>0.11204040869565217</v>
      </c>
      <c r="I113" s="59">
        <f t="shared" si="86"/>
        <v>6.1861704347826088</v>
      </c>
      <c r="J113" s="59">
        <f t="shared" si="86"/>
        <v>5.7975586434782615E-2</v>
      </c>
      <c r="K113" s="59">
        <f t="shared" si="86"/>
        <v>3.1682895652173917</v>
      </c>
      <c r="L113" s="59">
        <f t="shared" si="86"/>
        <v>1.4946121739130436E-5</v>
      </c>
      <c r="M113" s="59">
        <f t="shared" si="86"/>
        <v>0.12966886086956522</v>
      </c>
      <c r="N113" s="59">
        <f t="shared" si="86"/>
        <v>0.41418731304347828</v>
      </c>
      <c r="O113" s="59">
        <f t="shared" si="86"/>
        <v>0.18958695652173913</v>
      </c>
      <c r="P113" s="59">
        <f t="shared" si="86"/>
        <v>10.257934071686957</v>
      </c>
      <c r="Q113" s="59">
        <f t="shared" si="86"/>
        <v>1.7886452173913041E-2</v>
      </c>
      <c r="R113" s="59">
        <f t="shared" si="86"/>
        <v>0.53526808695652173</v>
      </c>
      <c r="S113" s="59">
        <f t="shared" si="86"/>
        <v>0.15568608695652172</v>
      </c>
      <c r="T113" s="59">
        <f t="shared" si="86"/>
        <v>2.840942608695652E-2</v>
      </c>
      <c r="U113" s="59">
        <f t="shared" si="86"/>
        <v>3.7971104347826089E-4</v>
      </c>
      <c r="V113" s="59">
        <f t="shared" si="86"/>
        <v>0.2575604347826087</v>
      </c>
      <c r="W113" s="59">
        <f t="shared" si="86"/>
        <v>0.20601121739130432</v>
      </c>
      <c r="X113" s="59">
        <f t="shared" si="86"/>
        <v>2.4334078260869564E-2</v>
      </c>
      <c r="Y113" s="59">
        <f t="shared" si="86"/>
        <v>1.1883826086956521E-4</v>
      </c>
      <c r="Z113" s="59">
        <f t="shared" si="86"/>
        <v>1.1565391304347826E-2</v>
      </c>
      <c r="AA113" s="59">
        <f t="shared" si="86"/>
        <v>-2.0743373913043477E-5</v>
      </c>
      <c r="AB113" s="59">
        <f t="shared" si="86"/>
        <v>1.7848478260869567E-8</v>
      </c>
      <c r="AC113" s="59">
        <f t="shared" si="86"/>
        <v>1.2770634782608696E-3</v>
      </c>
      <c r="AD113" s="59">
        <f t="shared" si="86"/>
        <v>8.7301121739130432E-4</v>
      </c>
      <c r="AE113" s="59">
        <f t="shared" si="86"/>
        <v>1.4746991304347827E-3</v>
      </c>
      <c r="AF113" s="59">
        <f t="shared" si="86"/>
        <v>2.864586086956522E-5</v>
      </c>
      <c r="AG113" s="59">
        <f t="shared" si="86"/>
        <v>2.4958600000000004E-3</v>
      </c>
      <c r="AH113" s="59">
        <f t="shared" si="86"/>
        <v>2.5372973913043474E-3</v>
      </c>
    </row>
    <row r="114" spans="2:34" x14ac:dyDescent="0.25">
      <c r="B114" t="s">
        <v>593</v>
      </c>
      <c r="C114" t="str">
        <f>'[3]LCIA-Elec'!BJ85</f>
        <v>4_Hub_50%IP</v>
      </c>
      <c r="D114">
        <f>'[3]LCIA-Elec'!$U$68/$A$3</f>
        <v>0.49869451697127937</v>
      </c>
      <c r="E114" t="s">
        <v>105</v>
      </c>
      <c r="F114" t="s">
        <v>829</v>
      </c>
      <c r="G114">
        <f>'[3]LCIA-Elec'!BK85</f>
        <v>0.48790926052356026</v>
      </c>
      <c r="H114">
        <f>'[3]LCIA-Elec'!BL85</f>
        <v>0.21876578890052353</v>
      </c>
      <c r="I114">
        <f>'[3]LCIA-Elec'!BM85</f>
        <v>5.982229262827226</v>
      </c>
      <c r="J114">
        <f>'[3]LCIA-Elec'!BN85</f>
        <v>3.351249042575917E-2</v>
      </c>
      <c r="K114">
        <f>'[3]LCIA-Elec'!BO85</f>
        <v>2.3487204078534027</v>
      </c>
      <c r="L114">
        <f>'[3]LCIA-Elec'!BP85</f>
        <v>1.61161776565445E-4</v>
      </c>
      <c r="M114">
        <f>'[3]LCIA-Elec'!BQ85</f>
        <v>0.12161623297905762</v>
      </c>
      <c r="N114">
        <f>'[3]LCIA-Elec'!BR85</f>
        <v>0.89010710538219873</v>
      </c>
      <c r="O114">
        <f>'[3]LCIA-Elec'!BS85</f>
        <v>0.34799173912041875</v>
      </c>
      <c r="P114">
        <f>'[3]LCIA-Elec'!BT85</f>
        <v>9.9431041892651546</v>
      </c>
      <c r="Q114">
        <f>'[3]LCIA-Elec'!BU85</f>
        <v>4.554134661361256E-2</v>
      </c>
      <c r="R114">
        <f>'[3]LCIA-Elec'!BV85</f>
        <v>0.48354591476439795</v>
      </c>
      <c r="S114">
        <f>'[3]LCIA-Elec'!BW85</f>
        <v>0.15203484209424084</v>
      </c>
      <c r="T114">
        <f>'[3]LCIA-Elec'!BX85</f>
        <v>2.777854705759162E-2</v>
      </c>
      <c r="U114">
        <f>'[3]LCIA-Elec'!BY85</f>
        <v>4.6023627371727746E-4</v>
      </c>
      <c r="V114">
        <f>'[3]LCIA-Elec'!BZ85</f>
        <v>0.30311520125654451</v>
      </c>
      <c r="W114">
        <f>'[3]LCIA-Elec'!CA85</f>
        <v>0.16255757321465969</v>
      </c>
      <c r="X114">
        <f>'[3]LCIA-Elec'!CB85</f>
        <v>2.4128462722513087E-2</v>
      </c>
      <c r="Y114">
        <f>'[3]LCIA-Elec'!CC85</f>
        <v>1.3446432869109948E-4</v>
      </c>
      <c r="Z114">
        <f>'[3]LCIA-Elec'!CD85</f>
        <v>1.1024210806282721E-2</v>
      </c>
      <c r="AA114">
        <f>'[3]LCIA-Elec'!CE85</f>
        <v>-8.6042131497382211E-5</v>
      </c>
      <c r="AB114">
        <f>'[3]LCIA-Elec'!CF85</f>
        <v>1.9310869340314136E-8</v>
      </c>
      <c r="AC114">
        <f>'[3]LCIA-Elec'!CG85</f>
        <v>1.3487011560209422E-3</v>
      </c>
      <c r="AD114">
        <f>'[3]LCIA-Elec'!CH85</f>
        <v>8.4260680376963329E-4</v>
      </c>
      <c r="AE114">
        <f>'[3]LCIA-Elec'!CI85</f>
        <v>1.3742948167539267E-3</v>
      </c>
      <c r="AF114">
        <f>'[3]LCIA-Elec'!CJ85</f>
        <v>2.4784746722513093E-5</v>
      </c>
      <c r="AG114">
        <f>'[3]LCIA-Elec'!CK85</f>
        <v>2.1493512678534034E-3</v>
      </c>
      <c r="AH114">
        <f>'[3]LCIA-Elec'!CL85</f>
        <v>6.009619518324608E-3</v>
      </c>
    </row>
    <row r="115" spans="2:34" x14ac:dyDescent="0.25">
      <c r="B115" t="str">
        <f>'[3]4_Hub_50%IP'!Y386</f>
        <v>Newark Liberty International Airport</v>
      </c>
      <c r="C115" t="str">
        <f>C108</f>
        <v>market for electricity, low voltage, US-RFC</v>
      </c>
      <c r="D115">
        <f>'[3]4_Hub_50%IP'!$Z386/$A$3</f>
        <v>0.24543080939947781</v>
      </c>
      <c r="E115" t="str">
        <f t="shared" ref="E115:AH115" si="87">E108</f>
        <v>kWh</v>
      </c>
      <c r="F115" t="str">
        <f t="shared" si="87"/>
        <v>Ecoinvent v3.7.1</v>
      </c>
      <c r="G115">
        <f t="shared" si="87"/>
        <v>0.61436999999999997</v>
      </c>
      <c r="H115">
        <f t="shared" si="87"/>
        <v>8.2399E-2</v>
      </c>
      <c r="I115">
        <f t="shared" si="87"/>
        <v>6.7473999999999998</v>
      </c>
      <c r="J115">
        <f t="shared" si="87"/>
        <v>4.0428000000000003E-4</v>
      </c>
      <c r="K115">
        <f t="shared" si="87"/>
        <v>4.3425000000000002</v>
      </c>
      <c r="L115">
        <f t="shared" si="87"/>
        <v>1.3322000000000001E-5</v>
      </c>
      <c r="M115">
        <f t="shared" si="87"/>
        <v>1.5082999999999999E-2</v>
      </c>
      <c r="N115">
        <f t="shared" si="87"/>
        <v>6.8917000000000006E-2</v>
      </c>
      <c r="O115">
        <f t="shared" si="87"/>
        <v>0.1275</v>
      </c>
      <c r="P115">
        <f t="shared" si="87"/>
        <v>11.384216602</v>
      </c>
      <c r="Q115">
        <f t="shared" si="87"/>
        <v>1.3875999999999999E-2</v>
      </c>
      <c r="R115">
        <f t="shared" si="87"/>
        <v>0.60836999999999997</v>
      </c>
      <c r="S115">
        <f t="shared" si="87"/>
        <v>0.16855999999999999</v>
      </c>
      <c r="T115">
        <f t="shared" si="87"/>
        <v>2.7827999999999999E-2</v>
      </c>
      <c r="U115">
        <f t="shared" si="87"/>
        <v>3.4965000000000002E-4</v>
      </c>
      <c r="V115">
        <f t="shared" si="87"/>
        <v>0.24507000000000001</v>
      </c>
      <c r="W115">
        <f t="shared" si="87"/>
        <v>0.28216999999999998</v>
      </c>
      <c r="X115">
        <f t="shared" si="87"/>
        <v>2.3791E-2</v>
      </c>
      <c r="Y115">
        <f t="shared" si="87"/>
        <v>1.1882E-4</v>
      </c>
      <c r="Z115">
        <f t="shared" si="87"/>
        <v>1.1622E-2</v>
      </c>
      <c r="AA115">
        <f t="shared" si="87"/>
        <v>-2.4247999999999999E-5</v>
      </c>
      <c r="AB115">
        <f t="shared" si="87"/>
        <v>1.8053E-8</v>
      </c>
      <c r="AC115">
        <f t="shared" si="87"/>
        <v>1.1259E-3</v>
      </c>
      <c r="AD115">
        <f t="shared" si="87"/>
        <v>9.8528999999999999E-4</v>
      </c>
      <c r="AE115">
        <f t="shared" si="87"/>
        <v>1.8718000000000001E-3</v>
      </c>
      <c r="AF115">
        <f t="shared" si="87"/>
        <v>2.6829999999999999E-5</v>
      </c>
      <c r="AG115">
        <f t="shared" si="87"/>
        <v>2.5512999999999998E-3</v>
      </c>
      <c r="AH115">
        <f t="shared" si="87"/>
        <v>2.2418E-3</v>
      </c>
    </row>
    <row r="116" spans="2:34" x14ac:dyDescent="0.25">
      <c r="B116" t="str">
        <f>'[3]4_Hub_50%IP'!Y387</f>
        <v>Seattle-Tacoma International Airport</v>
      </c>
      <c r="C116" t="str">
        <f>C109</f>
        <v>market for electricity, low voltage, US-WECC</v>
      </c>
      <c r="D116">
        <f>'[3]4_Hub_50%IP'!$Z387/$A$3</f>
        <v>6.0052219321148827E-2</v>
      </c>
      <c r="E116" t="str">
        <f t="shared" ref="E116:AH116" si="88">E109</f>
        <v>kWh</v>
      </c>
      <c r="F116" t="str">
        <f t="shared" si="88"/>
        <v>Ecoinvent v3.7.1</v>
      </c>
      <c r="G116">
        <f t="shared" si="88"/>
        <v>0.41233999999999998</v>
      </c>
      <c r="H116">
        <f t="shared" si="88"/>
        <v>0.16356000000000001</v>
      </c>
      <c r="I116">
        <f t="shared" si="88"/>
        <v>5.2107000000000001</v>
      </c>
      <c r="J116">
        <f t="shared" si="88"/>
        <v>0.15804000000000001</v>
      </c>
      <c r="K116">
        <f t="shared" si="88"/>
        <v>1.1274</v>
      </c>
      <c r="L116">
        <f t="shared" si="88"/>
        <v>1.7768999999999999E-5</v>
      </c>
      <c r="M116">
        <f t="shared" si="88"/>
        <v>0.32883000000000001</v>
      </c>
      <c r="N116">
        <f t="shared" si="88"/>
        <v>1.0143</v>
      </c>
      <c r="O116">
        <f t="shared" si="88"/>
        <v>0.29749999999999999</v>
      </c>
      <c r="P116">
        <f t="shared" si="88"/>
        <v>8.300347769</v>
      </c>
      <c r="Q116">
        <f t="shared" si="88"/>
        <v>2.4857000000000001E-2</v>
      </c>
      <c r="R116">
        <f t="shared" si="88"/>
        <v>0.40821000000000002</v>
      </c>
      <c r="S116">
        <f t="shared" si="88"/>
        <v>0.13331000000000001</v>
      </c>
      <c r="T116">
        <f t="shared" si="88"/>
        <v>2.9420000000000002E-2</v>
      </c>
      <c r="U116">
        <f t="shared" si="88"/>
        <v>4.3196E-4</v>
      </c>
      <c r="V116">
        <f t="shared" si="88"/>
        <v>0.27927000000000002</v>
      </c>
      <c r="W116">
        <f t="shared" si="88"/>
        <v>7.3639999999999997E-2</v>
      </c>
      <c r="X116">
        <f t="shared" si="88"/>
        <v>2.5277999999999998E-2</v>
      </c>
      <c r="Y116">
        <f t="shared" si="88"/>
        <v>1.1887000000000001E-4</v>
      </c>
      <c r="Z116">
        <f t="shared" si="88"/>
        <v>1.1467E-2</v>
      </c>
      <c r="AA116">
        <f t="shared" si="88"/>
        <v>-1.4652E-5</v>
      </c>
      <c r="AB116">
        <f t="shared" si="88"/>
        <v>1.7493E-8</v>
      </c>
      <c r="AC116">
        <f t="shared" si="88"/>
        <v>1.5398E-3</v>
      </c>
      <c r="AD116">
        <f t="shared" si="88"/>
        <v>6.7785999999999996E-4</v>
      </c>
      <c r="AE116">
        <f t="shared" si="88"/>
        <v>7.8450000000000004E-4</v>
      </c>
      <c r="AF116">
        <f t="shared" si="88"/>
        <v>3.1801999999999998E-5</v>
      </c>
      <c r="AG116">
        <f t="shared" si="88"/>
        <v>2.3995000000000002E-3</v>
      </c>
      <c r="AH116">
        <f t="shared" si="88"/>
        <v>3.0509000000000001E-3</v>
      </c>
    </row>
    <row r="117" spans="2:34" x14ac:dyDescent="0.25">
      <c r="B117" t="str">
        <f>'[3]4_Hub_50%IP'!Y388</f>
        <v>O'Hare International Airport</v>
      </c>
      <c r="C117" t="str">
        <f>C110</f>
        <v>market for electricity, low voltage, US-RFC</v>
      </c>
      <c r="D117">
        <f>'[3]4_Hub_50%IP'!$Z388/$A$3</f>
        <v>0.13838120104438642</v>
      </c>
      <c r="E117" t="str">
        <f t="shared" ref="E117:AH117" si="89">E110</f>
        <v>kWh</v>
      </c>
      <c r="F117" t="str">
        <f t="shared" si="89"/>
        <v>Ecoinvent v3.7.1</v>
      </c>
      <c r="G117">
        <f t="shared" si="89"/>
        <v>0.61436999999999997</v>
      </c>
      <c r="H117">
        <f t="shared" si="89"/>
        <v>8.2399E-2</v>
      </c>
      <c r="I117">
        <f t="shared" si="89"/>
        <v>6.7473999999999998</v>
      </c>
      <c r="J117">
        <f t="shared" si="89"/>
        <v>4.0428000000000003E-4</v>
      </c>
      <c r="K117">
        <f t="shared" si="89"/>
        <v>4.3425000000000002</v>
      </c>
      <c r="L117">
        <f t="shared" si="89"/>
        <v>1.3322000000000001E-5</v>
      </c>
      <c r="M117">
        <f t="shared" si="89"/>
        <v>1.5082999999999999E-2</v>
      </c>
      <c r="N117">
        <f t="shared" si="89"/>
        <v>6.8917000000000006E-2</v>
      </c>
      <c r="O117">
        <f t="shared" si="89"/>
        <v>0.1275</v>
      </c>
      <c r="P117">
        <f t="shared" si="89"/>
        <v>11.384216602</v>
      </c>
      <c r="Q117">
        <f t="shared" si="89"/>
        <v>1.3875999999999999E-2</v>
      </c>
      <c r="R117">
        <f t="shared" si="89"/>
        <v>0.60836999999999997</v>
      </c>
      <c r="S117">
        <f t="shared" si="89"/>
        <v>0.16855999999999999</v>
      </c>
      <c r="T117">
        <f t="shared" si="89"/>
        <v>2.7827999999999999E-2</v>
      </c>
      <c r="U117">
        <f t="shared" si="89"/>
        <v>3.4965000000000002E-4</v>
      </c>
      <c r="V117">
        <f t="shared" si="89"/>
        <v>0.24507000000000001</v>
      </c>
      <c r="W117">
        <f t="shared" si="89"/>
        <v>0.28216999999999998</v>
      </c>
      <c r="X117">
        <f t="shared" si="89"/>
        <v>2.3791E-2</v>
      </c>
      <c r="Y117">
        <f t="shared" si="89"/>
        <v>1.1882E-4</v>
      </c>
      <c r="Z117">
        <f t="shared" si="89"/>
        <v>1.1622E-2</v>
      </c>
      <c r="AA117">
        <f t="shared" si="89"/>
        <v>-2.4247999999999999E-5</v>
      </c>
      <c r="AB117">
        <f t="shared" si="89"/>
        <v>1.8053E-8</v>
      </c>
      <c r="AC117">
        <f t="shared" si="89"/>
        <v>1.1259E-3</v>
      </c>
      <c r="AD117">
        <f t="shared" si="89"/>
        <v>9.8528999999999999E-4</v>
      </c>
      <c r="AE117">
        <f t="shared" si="89"/>
        <v>1.8718000000000001E-3</v>
      </c>
      <c r="AF117">
        <f t="shared" si="89"/>
        <v>2.6829999999999999E-5</v>
      </c>
      <c r="AG117">
        <f t="shared" si="89"/>
        <v>2.5512999999999998E-3</v>
      </c>
      <c r="AH117">
        <f t="shared" si="89"/>
        <v>2.2418E-3</v>
      </c>
    </row>
    <row r="118" spans="2:34" x14ac:dyDescent="0.25">
      <c r="B118" t="str">
        <f>'[3]4_Hub_50%IP'!Y389</f>
        <v>Denver International Airport</v>
      </c>
      <c r="C118" t="str">
        <f>C111</f>
        <v>market for electricity, low voltage, US-WECC</v>
      </c>
      <c r="D118">
        <f>'[3]4_Hub_50%IP'!$Z389/$A$3</f>
        <v>5.7441253263707574E-2</v>
      </c>
      <c r="E118" t="str">
        <f t="shared" ref="E118:AH118" si="90">E111</f>
        <v>kWh</v>
      </c>
      <c r="F118" t="str">
        <f t="shared" si="90"/>
        <v>Ecoinvent v3.7.1</v>
      </c>
      <c r="G118">
        <f t="shared" si="90"/>
        <v>0.41233999999999998</v>
      </c>
      <c r="H118">
        <f t="shared" si="90"/>
        <v>0.16356000000000001</v>
      </c>
      <c r="I118">
        <f t="shared" si="90"/>
        <v>5.2107000000000001</v>
      </c>
      <c r="J118">
        <f t="shared" si="90"/>
        <v>0.15804000000000001</v>
      </c>
      <c r="K118">
        <f t="shared" si="90"/>
        <v>1.1274</v>
      </c>
      <c r="L118">
        <f t="shared" si="90"/>
        <v>1.7768999999999999E-5</v>
      </c>
      <c r="M118">
        <f t="shared" si="90"/>
        <v>0.32883000000000001</v>
      </c>
      <c r="N118">
        <f t="shared" si="90"/>
        <v>1.0143</v>
      </c>
      <c r="O118">
        <f t="shared" si="90"/>
        <v>0.29749999999999999</v>
      </c>
      <c r="P118">
        <f t="shared" si="90"/>
        <v>8.300347769</v>
      </c>
      <c r="Q118">
        <f t="shared" si="90"/>
        <v>2.4857000000000001E-2</v>
      </c>
      <c r="R118">
        <f t="shared" si="90"/>
        <v>0.40821000000000002</v>
      </c>
      <c r="S118">
        <f t="shared" si="90"/>
        <v>0.13331000000000001</v>
      </c>
      <c r="T118">
        <f t="shared" si="90"/>
        <v>2.9420000000000002E-2</v>
      </c>
      <c r="U118">
        <f t="shared" si="90"/>
        <v>4.3196E-4</v>
      </c>
      <c r="V118">
        <f t="shared" si="90"/>
        <v>0.27927000000000002</v>
      </c>
      <c r="W118">
        <f t="shared" si="90"/>
        <v>7.3639999999999997E-2</v>
      </c>
      <c r="X118">
        <f t="shared" si="90"/>
        <v>2.5277999999999998E-2</v>
      </c>
      <c r="Y118">
        <f t="shared" si="90"/>
        <v>1.1887000000000001E-4</v>
      </c>
      <c r="Z118">
        <f t="shared" si="90"/>
        <v>1.1467E-2</v>
      </c>
      <c r="AA118">
        <f t="shared" si="90"/>
        <v>-1.4652E-5</v>
      </c>
      <c r="AB118">
        <f t="shared" si="90"/>
        <v>1.7493E-8</v>
      </c>
      <c r="AC118">
        <f t="shared" si="90"/>
        <v>1.5398E-3</v>
      </c>
      <c r="AD118">
        <f t="shared" si="90"/>
        <v>6.7785999999999996E-4</v>
      </c>
      <c r="AE118">
        <f t="shared" si="90"/>
        <v>7.8450000000000004E-4</v>
      </c>
      <c r="AF118">
        <f t="shared" si="90"/>
        <v>3.1801999999999998E-5</v>
      </c>
      <c r="AG118">
        <f t="shared" si="90"/>
        <v>2.3995000000000002E-3</v>
      </c>
      <c r="AH118">
        <f t="shared" si="90"/>
        <v>3.0509000000000001E-3</v>
      </c>
    </row>
    <row r="119" spans="2:34" x14ac:dyDescent="0.25">
      <c r="B119" s="59" t="str">
        <f>C114</f>
        <v>4_Hub_50%IP</v>
      </c>
      <c r="C119" s="59" t="s">
        <v>806</v>
      </c>
      <c r="D119" s="59">
        <f>SUM(D114:D118)</f>
        <v>1</v>
      </c>
      <c r="E119" s="59" t="s">
        <v>105</v>
      </c>
      <c r="F119" s="59"/>
      <c r="G119" s="59">
        <f>SUMPRODUCT($D114:$D118,G114:G118)</f>
        <v>0.52756751634464749</v>
      </c>
      <c r="H119" s="59">
        <f t="shared" ref="H119:AH119" si="91">SUMPRODUCT($D114:$D118,H114:H118)</f>
        <v>0.15994025765013054</v>
      </c>
      <c r="I119" s="59">
        <f t="shared" si="91"/>
        <v>6.1852613295039163</v>
      </c>
      <c r="J119" s="59">
        <f t="shared" si="91"/>
        <v>3.5436331152271544E-2</v>
      </c>
      <c r="K119" s="59">
        <f t="shared" si="91"/>
        <v>2.9704597856396866</v>
      </c>
      <c r="L119" s="59">
        <f t="shared" si="91"/>
        <v>8.757137943603132E-5</v>
      </c>
      <c r="M119" s="59">
        <f t="shared" si="91"/>
        <v>0.10507376370496085</v>
      </c>
      <c r="N119" s="59">
        <f t="shared" si="91"/>
        <v>0.5895163345378589</v>
      </c>
      <c r="O119" s="59">
        <f t="shared" si="91"/>
        <v>0.25743191167624013</v>
      </c>
      <c r="P119" s="59">
        <f t="shared" si="91"/>
        <v>10.303207285244504</v>
      </c>
      <c r="Q119" s="59">
        <f t="shared" si="91"/>
        <v>3.095753055665796E-2</v>
      </c>
      <c r="R119" s="59">
        <f t="shared" si="91"/>
        <v>0.52260341963446477</v>
      </c>
      <c r="S119" s="59">
        <f t="shared" si="91"/>
        <v>0.15617734945169712</v>
      </c>
      <c r="T119" s="59">
        <f t="shared" si="91"/>
        <v>2.7990387697127934E-2</v>
      </c>
      <c r="U119" s="59">
        <f t="shared" si="91"/>
        <v>4.1446965608355098E-4</v>
      </c>
      <c r="V119" s="59">
        <f t="shared" si="91"/>
        <v>0.27803510036553525</v>
      </c>
      <c r="W119" s="59">
        <f t="shared" si="91"/>
        <v>0.1980190247624021</v>
      </c>
      <c r="X119" s="59">
        <f t="shared" si="91"/>
        <v>2.4134003603133159E-2</v>
      </c>
      <c r="Y119" s="59">
        <f t="shared" si="91"/>
        <v>1.2662761561357702E-4</v>
      </c>
      <c r="Z119" s="59">
        <f t="shared" si="91"/>
        <v>1.1305674318537857E-2</v>
      </c>
      <c r="AA119" s="59">
        <f t="shared" si="91"/>
        <v>-5.3936927195822466E-5</v>
      </c>
      <c r="AB119" s="59">
        <f t="shared" si="91"/>
        <v>1.8614496198433419E-8</v>
      </c>
      <c r="AC119" s="59">
        <f t="shared" si="91"/>
        <v>1.2856402631853782E-3</v>
      </c>
      <c r="AD119" s="59">
        <f t="shared" si="91"/>
        <v>8.7801365409921649E-4</v>
      </c>
      <c r="AE119" s="59">
        <f t="shared" si="91"/>
        <v>1.4959462402088773E-3</v>
      </c>
      <c r="AF119" s="59">
        <f t="shared" si="91"/>
        <v>2.6394220950391648E-5</v>
      </c>
      <c r="AG119" s="59">
        <f t="shared" si="91"/>
        <v>2.3330148620365537E-3</v>
      </c>
      <c r="AH119" s="59">
        <f t="shared" si="91"/>
        <v>4.2158549033942559E-3</v>
      </c>
    </row>
    <row r="120" spans="2:34" x14ac:dyDescent="0.25">
      <c r="B120" s="59" t="str">
        <f>B119</f>
        <v>4_Hub_50%IP</v>
      </c>
      <c r="C120" s="59"/>
      <c r="D120" s="59"/>
      <c r="E120" s="59"/>
      <c r="F120" s="59"/>
      <c r="G120" s="59">
        <f>SUMPRODUCT($D115:$D118,G115:G118)/SUM($D115:$D118)</f>
        <v>0.56701921874999994</v>
      </c>
      <c r="H120" s="59">
        <f t="shared" ref="H120:AH120" si="92">SUMPRODUCT($D115:$D118,H115:H118)/SUM($D115:$D118)</f>
        <v>0.10142110937500001</v>
      </c>
      <c r="I120" s="59">
        <f t="shared" si="92"/>
        <v>6.3872359375000016</v>
      </c>
      <c r="J120" s="59">
        <f t="shared" si="92"/>
        <v>3.7350151875000008E-2</v>
      </c>
      <c r="K120" s="59">
        <f t="shared" si="92"/>
        <v>3.5889609375000004</v>
      </c>
      <c r="L120" s="59">
        <f t="shared" si="92"/>
        <v>1.4364265625000004E-5</v>
      </c>
      <c r="M120" s="59">
        <f t="shared" si="92"/>
        <v>8.8617453125000023E-2</v>
      </c>
      <c r="N120" s="59">
        <f t="shared" si="92"/>
        <v>0.29049114062500003</v>
      </c>
      <c r="O120" s="59">
        <f t="shared" si="92"/>
        <v>0.16734375000000001</v>
      </c>
      <c r="P120" s="59">
        <f t="shared" si="92"/>
        <v>10.661434844265628</v>
      </c>
      <c r="Q120" s="59">
        <f t="shared" si="92"/>
        <v>1.6449671875000002E-2</v>
      </c>
      <c r="R120" s="59">
        <f t="shared" si="92"/>
        <v>0.56145749999999994</v>
      </c>
      <c r="S120" s="59">
        <f t="shared" si="92"/>
        <v>0.16029828125000001</v>
      </c>
      <c r="T120" s="59">
        <f t="shared" si="92"/>
        <v>2.8201125000000004E-2</v>
      </c>
      <c r="U120" s="59">
        <f t="shared" si="92"/>
        <v>3.6894140625000002E-4</v>
      </c>
      <c r="V120" s="59">
        <f t="shared" si="92"/>
        <v>0.25308562500000004</v>
      </c>
      <c r="W120" s="59">
        <f t="shared" si="92"/>
        <v>0.23329578125</v>
      </c>
      <c r="X120" s="59">
        <f t="shared" si="92"/>
        <v>2.4139515625000003E-2</v>
      </c>
      <c r="Y120" s="59">
        <f t="shared" si="92"/>
        <v>1.1883171875000002E-4</v>
      </c>
      <c r="Z120" s="59">
        <f t="shared" si="92"/>
        <v>1.1585671875000002E-2</v>
      </c>
      <c r="AA120" s="59">
        <f t="shared" si="92"/>
        <v>-2.1998937500000003E-5</v>
      </c>
      <c r="AB120" s="59">
        <f t="shared" si="92"/>
        <v>1.7921750000000003E-8</v>
      </c>
      <c r="AC120" s="59">
        <f t="shared" si="92"/>
        <v>1.2229078124999999E-3</v>
      </c>
      <c r="AD120" s="59">
        <f t="shared" si="92"/>
        <v>9.1323609375000005E-4</v>
      </c>
      <c r="AE120" s="59">
        <f t="shared" si="92"/>
        <v>1.6169640625000002E-3</v>
      </c>
      <c r="AF120" s="59">
        <f t="shared" si="92"/>
        <v>2.7995312500000004E-5</v>
      </c>
      <c r="AG120" s="59">
        <f t="shared" si="92"/>
        <v>2.5157218750000002E-3</v>
      </c>
      <c r="AH120" s="59">
        <f t="shared" si="92"/>
        <v>2.4314328125000003E-3</v>
      </c>
    </row>
    <row r="121" spans="2:34" x14ac:dyDescent="0.25">
      <c r="B121" s="57" t="s">
        <v>593</v>
      </c>
      <c r="C121" s="57" t="str">
        <f>'[3]LCIA-Elec'!BJ86</f>
        <v>4_Hub_70%IP</v>
      </c>
      <c r="D121" s="57">
        <f>'[3]LCIA-Elec'!$V$68/$A$3</f>
        <v>0.29765013054830286</v>
      </c>
      <c r="E121" t="s">
        <v>105</v>
      </c>
      <c r="F121" s="57" t="s">
        <v>829</v>
      </c>
      <c r="G121" s="57">
        <f>'[3]LCIA-Elec'!BK86</f>
        <v>0.48394878947368419</v>
      </c>
      <c r="H121" s="57">
        <f>'[3]LCIA-Elec'!BL86</f>
        <v>0.25140992631578946</v>
      </c>
      <c r="I121" s="57">
        <f>'[3]LCIA-Elec'!BM86</f>
        <v>6.1419973684210545</v>
      </c>
      <c r="J121" s="57">
        <f>'[3]LCIA-Elec'!BN86</f>
        <v>5.2576094385964917E-2</v>
      </c>
      <c r="K121" s="57">
        <f>'[3]LCIA-Elec'!BO86</f>
        <v>2.3201400728070176</v>
      </c>
      <c r="L121" s="57">
        <f>'[3]LCIA-Elec'!BP86</f>
        <v>2.5827183333333335E-4</v>
      </c>
      <c r="M121" s="57">
        <f>'[3]LCIA-Elec'!BQ86</f>
        <v>0.17996167511403516</v>
      </c>
      <c r="N121" s="57">
        <f>'[3]LCIA-Elec'!BR86</f>
        <v>0.71814722807017561</v>
      </c>
      <c r="O121" s="57">
        <f>'[3]LCIA-Elec'!BS86</f>
        <v>0.34042307105263164</v>
      </c>
      <c r="P121" s="57">
        <f>'[3]LCIA-Elec'!BT86</f>
        <v>10.004913708</v>
      </c>
      <c r="Q121" s="57">
        <f>'[3]LCIA-Elec'!BU86</f>
        <v>3.6543640350877198E-2</v>
      </c>
      <c r="R121" s="57">
        <f>'[3]LCIA-Elec'!BV86</f>
        <v>0.47924189473684198</v>
      </c>
      <c r="S121" s="57">
        <f>'[3]LCIA-Elec'!BW86</f>
        <v>0.15718855438596493</v>
      </c>
      <c r="T121" s="57">
        <f>'[3]LCIA-Elec'!BX86</f>
        <v>2.8148184210526322E-2</v>
      </c>
      <c r="U121" s="57">
        <f>'[3]LCIA-Elec'!BY86</f>
        <v>3.9305421052631583E-4</v>
      </c>
      <c r="V121" s="57">
        <f>'[3]LCIA-Elec'!BZ86</f>
        <v>0.26470628070175445</v>
      </c>
      <c r="W121" s="57">
        <f>'[3]LCIA-Elec'!CA86</f>
        <v>0.154844653508772</v>
      </c>
      <c r="X121" s="57">
        <f>'[3]LCIA-Elec'!CB86</f>
        <v>2.4344736842105259E-2</v>
      </c>
      <c r="Y121" s="57">
        <f>'[3]LCIA-Elec'!CC86</f>
        <v>1.2299477631578951E-4</v>
      </c>
      <c r="Z121" s="57">
        <f>'[3]LCIA-Elec'!CD86</f>
        <v>1.1828185964912282E-2</v>
      </c>
      <c r="AA121" s="57">
        <f>'[3]LCIA-Elec'!CE86</f>
        <v>-2.0901671052631582E-5</v>
      </c>
      <c r="AB121" s="57">
        <f>'[3]LCIA-Elec'!CF86</f>
        <v>2.1359135964912285E-8</v>
      </c>
      <c r="AC121" s="57">
        <f>'[3]LCIA-Elec'!CG86</f>
        <v>1.2458184561403511E-3</v>
      </c>
      <c r="AD121" s="57">
        <f>'[3]LCIA-Elec'!CH86</f>
        <v>8.6513026315789498E-4</v>
      </c>
      <c r="AE121" s="57">
        <f>'[3]LCIA-Elec'!CI86</f>
        <v>1.310189298245614E-3</v>
      </c>
      <c r="AF121" s="57">
        <f>'[3]LCIA-Elec'!CJ86</f>
        <v>2.8287384210526321E-5</v>
      </c>
      <c r="AG121" s="57">
        <f>'[3]LCIA-Elec'!CK86</f>
        <v>2.380865877192983E-3</v>
      </c>
      <c r="AH121" s="57">
        <f>'[3]LCIA-Elec'!CL86</f>
        <v>4.0103067543859651E-3</v>
      </c>
    </row>
    <row r="122" spans="2:34" x14ac:dyDescent="0.25">
      <c r="B122" s="57" t="str">
        <f>'[3]4_Hub_70%IP'!Y386</f>
        <v>Newark Liberty International Airport</v>
      </c>
      <c r="C122" s="57" t="str">
        <f>C115</f>
        <v>market for electricity, low voltage, US-RFC</v>
      </c>
      <c r="D122" s="57">
        <f>'[3]4_Hub_70%IP'!$Z386/$A$3</f>
        <v>0.34464751958224543</v>
      </c>
      <c r="E122" s="57" t="str">
        <f t="shared" ref="E122:AH122" si="93">E115</f>
        <v>kWh</v>
      </c>
      <c r="F122" s="57" t="str">
        <f t="shared" si="93"/>
        <v>Ecoinvent v3.7.1</v>
      </c>
      <c r="G122" s="57">
        <f t="shared" si="93"/>
        <v>0.61436999999999997</v>
      </c>
      <c r="H122" s="57">
        <f t="shared" si="93"/>
        <v>8.2399E-2</v>
      </c>
      <c r="I122" s="57">
        <f t="shared" si="93"/>
        <v>6.7473999999999998</v>
      </c>
      <c r="J122" s="57">
        <f t="shared" si="93"/>
        <v>4.0428000000000003E-4</v>
      </c>
      <c r="K122" s="57">
        <f t="shared" si="93"/>
        <v>4.3425000000000002</v>
      </c>
      <c r="L122" s="57">
        <f t="shared" si="93"/>
        <v>1.3322000000000001E-5</v>
      </c>
      <c r="M122" s="57">
        <f t="shared" si="93"/>
        <v>1.5082999999999999E-2</v>
      </c>
      <c r="N122" s="57">
        <f t="shared" si="93"/>
        <v>6.8917000000000006E-2</v>
      </c>
      <c r="O122" s="57">
        <f t="shared" si="93"/>
        <v>0.1275</v>
      </c>
      <c r="P122" s="57">
        <f t="shared" si="93"/>
        <v>11.384216602</v>
      </c>
      <c r="Q122" s="57">
        <f t="shared" si="93"/>
        <v>1.3875999999999999E-2</v>
      </c>
      <c r="R122" s="57">
        <f t="shared" si="93"/>
        <v>0.60836999999999997</v>
      </c>
      <c r="S122" s="57">
        <f t="shared" si="93"/>
        <v>0.16855999999999999</v>
      </c>
      <c r="T122" s="57">
        <f t="shared" si="93"/>
        <v>2.7827999999999999E-2</v>
      </c>
      <c r="U122" s="57">
        <f t="shared" si="93"/>
        <v>3.4965000000000002E-4</v>
      </c>
      <c r="V122" s="57">
        <f t="shared" si="93"/>
        <v>0.24507000000000001</v>
      </c>
      <c r="W122" s="57">
        <f t="shared" si="93"/>
        <v>0.28216999999999998</v>
      </c>
      <c r="X122" s="57">
        <f t="shared" si="93"/>
        <v>2.3791E-2</v>
      </c>
      <c r="Y122" s="57">
        <f t="shared" si="93"/>
        <v>1.1882E-4</v>
      </c>
      <c r="Z122" s="57">
        <f t="shared" si="93"/>
        <v>1.1622E-2</v>
      </c>
      <c r="AA122" s="57">
        <f t="shared" si="93"/>
        <v>-2.4247999999999999E-5</v>
      </c>
      <c r="AB122" s="57">
        <f t="shared" si="93"/>
        <v>1.8053E-8</v>
      </c>
      <c r="AC122" s="57">
        <f t="shared" si="93"/>
        <v>1.1259E-3</v>
      </c>
      <c r="AD122" s="57">
        <f t="shared" si="93"/>
        <v>9.8528999999999999E-4</v>
      </c>
      <c r="AE122" s="57">
        <f t="shared" si="93"/>
        <v>1.8718000000000001E-3</v>
      </c>
      <c r="AF122" s="57">
        <f t="shared" si="93"/>
        <v>2.6829999999999999E-5</v>
      </c>
      <c r="AG122" s="57">
        <f t="shared" si="93"/>
        <v>2.5512999999999998E-3</v>
      </c>
      <c r="AH122" s="57">
        <f t="shared" si="93"/>
        <v>2.2418E-3</v>
      </c>
    </row>
    <row r="123" spans="2:34" x14ac:dyDescent="0.25">
      <c r="B123" s="57" t="str">
        <f>'[3]4_Hub_70%IP'!Y387</f>
        <v>Seattle-Tacoma International Airport</v>
      </c>
      <c r="C123" s="57" t="str">
        <f>C116</f>
        <v>market for electricity, low voltage, US-WECC</v>
      </c>
      <c r="D123" s="57">
        <f>'[3]4_Hub_70%IP'!$Z387/$A$3</f>
        <v>8.6161879895561358E-2</v>
      </c>
      <c r="E123" s="57" t="str">
        <f t="shared" ref="E123:AH123" si="94">E116</f>
        <v>kWh</v>
      </c>
      <c r="F123" s="57" t="str">
        <f t="shared" si="94"/>
        <v>Ecoinvent v3.7.1</v>
      </c>
      <c r="G123" s="57">
        <f t="shared" si="94"/>
        <v>0.41233999999999998</v>
      </c>
      <c r="H123" s="57">
        <f t="shared" si="94"/>
        <v>0.16356000000000001</v>
      </c>
      <c r="I123" s="57">
        <f t="shared" si="94"/>
        <v>5.2107000000000001</v>
      </c>
      <c r="J123" s="57">
        <f t="shared" si="94"/>
        <v>0.15804000000000001</v>
      </c>
      <c r="K123" s="57">
        <f t="shared" si="94"/>
        <v>1.1274</v>
      </c>
      <c r="L123" s="57">
        <f t="shared" si="94"/>
        <v>1.7768999999999999E-5</v>
      </c>
      <c r="M123" s="57">
        <f t="shared" si="94"/>
        <v>0.32883000000000001</v>
      </c>
      <c r="N123" s="57">
        <f t="shared" si="94"/>
        <v>1.0143</v>
      </c>
      <c r="O123" s="57">
        <f t="shared" si="94"/>
        <v>0.29749999999999999</v>
      </c>
      <c r="P123" s="57">
        <f t="shared" si="94"/>
        <v>8.300347769</v>
      </c>
      <c r="Q123" s="57">
        <f t="shared" si="94"/>
        <v>2.4857000000000001E-2</v>
      </c>
      <c r="R123" s="57">
        <f t="shared" si="94"/>
        <v>0.40821000000000002</v>
      </c>
      <c r="S123" s="57">
        <f t="shared" si="94"/>
        <v>0.13331000000000001</v>
      </c>
      <c r="T123" s="57">
        <f t="shared" si="94"/>
        <v>2.9420000000000002E-2</v>
      </c>
      <c r="U123" s="57">
        <f t="shared" si="94"/>
        <v>4.3196E-4</v>
      </c>
      <c r="V123" s="57">
        <f t="shared" si="94"/>
        <v>0.27927000000000002</v>
      </c>
      <c r="W123" s="57">
        <f t="shared" si="94"/>
        <v>7.3639999999999997E-2</v>
      </c>
      <c r="X123" s="57">
        <f t="shared" si="94"/>
        <v>2.5277999999999998E-2</v>
      </c>
      <c r="Y123" s="57">
        <f t="shared" si="94"/>
        <v>1.1887000000000001E-4</v>
      </c>
      <c r="Z123" s="57">
        <f t="shared" si="94"/>
        <v>1.1467E-2</v>
      </c>
      <c r="AA123" s="57">
        <f t="shared" si="94"/>
        <v>-1.4652E-5</v>
      </c>
      <c r="AB123" s="57">
        <f t="shared" si="94"/>
        <v>1.7493E-8</v>
      </c>
      <c r="AC123" s="57">
        <f t="shared" si="94"/>
        <v>1.5398E-3</v>
      </c>
      <c r="AD123" s="57">
        <f t="shared" si="94"/>
        <v>6.7785999999999996E-4</v>
      </c>
      <c r="AE123" s="57">
        <f t="shared" si="94"/>
        <v>7.8450000000000004E-4</v>
      </c>
      <c r="AF123" s="57">
        <f t="shared" si="94"/>
        <v>3.1801999999999998E-5</v>
      </c>
      <c r="AG123" s="57">
        <f t="shared" si="94"/>
        <v>2.3995000000000002E-3</v>
      </c>
      <c r="AH123" s="57">
        <f t="shared" si="94"/>
        <v>3.0509000000000001E-3</v>
      </c>
    </row>
    <row r="124" spans="2:34" x14ac:dyDescent="0.25">
      <c r="B124" s="57" t="str">
        <f>'[3]4_Hub_70%IP'!Y388</f>
        <v>O'Hare International Airport</v>
      </c>
      <c r="C124" s="57" t="str">
        <f>C117</f>
        <v>market for electricity, low voltage, US-RFC</v>
      </c>
      <c r="D124" s="57">
        <f>'[3]4_Hub_70%IP'!$Z388/$A$3</f>
        <v>0.20887728459530025</v>
      </c>
      <c r="E124" s="57" t="str">
        <f t="shared" ref="E124:AH124" si="95">E117</f>
        <v>kWh</v>
      </c>
      <c r="F124" s="57" t="str">
        <f t="shared" si="95"/>
        <v>Ecoinvent v3.7.1</v>
      </c>
      <c r="G124" s="57">
        <f t="shared" si="95"/>
        <v>0.61436999999999997</v>
      </c>
      <c r="H124" s="57">
        <f t="shared" si="95"/>
        <v>8.2399E-2</v>
      </c>
      <c r="I124" s="57">
        <f t="shared" si="95"/>
        <v>6.7473999999999998</v>
      </c>
      <c r="J124" s="57">
        <f t="shared" si="95"/>
        <v>4.0428000000000003E-4</v>
      </c>
      <c r="K124" s="57">
        <f t="shared" si="95"/>
        <v>4.3425000000000002</v>
      </c>
      <c r="L124" s="57">
        <f t="shared" si="95"/>
        <v>1.3322000000000001E-5</v>
      </c>
      <c r="M124" s="57">
        <f t="shared" si="95"/>
        <v>1.5082999999999999E-2</v>
      </c>
      <c r="N124" s="57">
        <f t="shared" si="95"/>
        <v>6.8917000000000006E-2</v>
      </c>
      <c r="O124" s="57">
        <f t="shared" si="95"/>
        <v>0.1275</v>
      </c>
      <c r="P124" s="57">
        <f t="shared" si="95"/>
        <v>11.384216602</v>
      </c>
      <c r="Q124" s="57">
        <f t="shared" si="95"/>
        <v>1.3875999999999999E-2</v>
      </c>
      <c r="R124" s="57">
        <f t="shared" si="95"/>
        <v>0.60836999999999997</v>
      </c>
      <c r="S124" s="57">
        <f t="shared" si="95"/>
        <v>0.16855999999999999</v>
      </c>
      <c r="T124" s="57">
        <f t="shared" si="95"/>
        <v>2.7827999999999999E-2</v>
      </c>
      <c r="U124" s="57">
        <f t="shared" si="95"/>
        <v>3.4965000000000002E-4</v>
      </c>
      <c r="V124" s="57">
        <f t="shared" si="95"/>
        <v>0.24507000000000001</v>
      </c>
      <c r="W124" s="57">
        <f t="shared" si="95"/>
        <v>0.28216999999999998</v>
      </c>
      <c r="X124" s="57">
        <f t="shared" si="95"/>
        <v>2.3791E-2</v>
      </c>
      <c r="Y124" s="57">
        <f t="shared" si="95"/>
        <v>1.1882E-4</v>
      </c>
      <c r="Z124" s="57">
        <f t="shared" si="95"/>
        <v>1.1622E-2</v>
      </c>
      <c r="AA124" s="57">
        <f t="shared" si="95"/>
        <v>-2.4247999999999999E-5</v>
      </c>
      <c r="AB124" s="57">
        <f t="shared" si="95"/>
        <v>1.8053E-8</v>
      </c>
      <c r="AC124" s="57">
        <f t="shared" si="95"/>
        <v>1.1259E-3</v>
      </c>
      <c r="AD124" s="57">
        <f t="shared" si="95"/>
        <v>9.8528999999999999E-4</v>
      </c>
      <c r="AE124" s="57">
        <f t="shared" si="95"/>
        <v>1.8718000000000001E-3</v>
      </c>
      <c r="AF124" s="57">
        <f t="shared" si="95"/>
        <v>2.6829999999999999E-5</v>
      </c>
      <c r="AG124" s="57">
        <f t="shared" si="95"/>
        <v>2.5512999999999998E-3</v>
      </c>
      <c r="AH124" s="57">
        <f t="shared" si="95"/>
        <v>2.2418E-3</v>
      </c>
    </row>
    <row r="125" spans="2:34" x14ac:dyDescent="0.25">
      <c r="B125" s="57" t="str">
        <f>'[3]4_Hub_70%IP'!Y389</f>
        <v>Denver International Airport</v>
      </c>
      <c r="C125" s="57" t="str">
        <f>C118</f>
        <v>market for electricity, low voltage, US-WECC</v>
      </c>
      <c r="D125" s="57">
        <f>'[3]4_Hub_70%IP'!$Z389/$A$3</f>
        <v>6.2663185378590072E-2</v>
      </c>
      <c r="E125" s="57" t="str">
        <f t="shared" ref="E125:AH125" si="96">E118</f>
        <v>kWh</v>
      </c>
      <c r="F125" s="57" t="str">
        <f t="shared" si="96"/>
        <v>Ecoinvent v3.7.1</v>
      </c>
      <c r="G125" s="57">
        <f t="shared" si="96"/>
        <v>0.41233999999999998</v>
      </c>
      <c r="H125" s="57">
        <f t="shared" si="96"/>
        <v>0.16356000000000001</v>
      </c>
      <c r="I125" s="57">
        <f t="shared" si="96"/>
        <v>5.2107000000000001</v>
      </c>
      <c r="J125" s="57">
        <f t="shared" si="96"/>
        <v>0.15804000000000001</v>
      </c>
      <c r="K125" s="57">
        <f t="shared" si="96"/>
        <v>1.1274</v>
      </c>
      <c r="L125" s="57">
        <f t="shared" si="96"/>
        <v>1.7768999999999999E-5</v>
      </c>
      <c r="M125" s="57">
        <f t="shared" si="96"/>
        <v>0.32883000000000001</v>
      </c>
      <c r="N125" s="57">
        <f t="shared" si="96"/>
        <v>1.0143</v>
      </c>
      <c r="O125" s="57">
        <f t="shared" si="96"/>
        <v>0.29749999999999999</v>
      </c>
      <c r="P125" s="57">
        <f t="shared" si="96"/>
        <v>8.300347769</v>
      </c>
      <c r="Q125" s="57">
        <f t="shared" si="96"/>
        <v>2.4857000000000001E-2</v>
      </c>
      <c r="R125" s="57">
        <f t="shared" si="96"/>
        <v>0.40821000000000002</v>
      </c>
      <c r="S125" s="57">
        <f t="shared" si="96"/>
        <v>0.13331000000000001</v>
      </c>
      <c r="T125" s="57">
        <f t="shared" si="96"/>
        <v>2.9420000000000002E-2</v>
      </c>
      <c r="U125" s="57">
        <f t="shared" si="96"/>
        <v>4.3196E-4</v>
      </c>
      <c r="V125" s="57">
        <f t="shared" si="96"/>
        <v>0.27927000000000002</v>
      </c>
      <c r="W125" s="57">
        <f t="shared" si="96"/>
        <v>7.3639999999999997E-2</v>
      </c>
      <c r="X125" s="57">
        <f t="shared" si="96"/>
        <v>2.5277999999999998E-2</v>
      </c>
      <c r="Y125" s="57">
        <f t="shared" si="96"/>
        <v>1.1887000000000001E-4</v>
      </c>
      <c r="Z125" s="57">
        <f t="shared" si="96"/>
        <v>1.1467E-2</v>
      </c>
      <c r="AA125" s="57">
        <f t="shared" si="96"/>
        <v>-1.4652E-5</v>
      </c>
      <c r="AB125" s="57">
        <f t="shared" si="96"/>
        <v>1.7493E-8</v>
      </c>
      <c r="AC125" s="57">
        <f t="shared" si="96"/>
        <v>1.5398E-3</v>
      </c>
      <c r="AD125" s="57">
        <f t="shared" si="96"/>
        <v>6.7785999999999996E-4</v>
      </c>
      <c r="AE125" s="57">
        <f t="shared" si="96"/>
        <v>7.8450000000000004E-4</v>
      </c>
      <c r="AF125" s="57">
        <f t="shared" si="96"/>
        <v>3.1801999999999998E-5</v>
      </c>
      <c r="AG125" s="57">
        <f t="shared" si="96"/>
        <v>2.3995000000000002E-3</v>
      </c>
      <c r="AH125" s="57">
        <f t="shared" si="96"/>
        <v>3.0509000000000001E-3</v>
      </c>
    </row>
    <row r="126" spans="2:34" x14ac:dyDescent="0.25">
      <c r="B126" s="59" t="str">
        <f>C121</f>
        <v>4_Hub_70%IP</v>
      </c>
      <c r="C126" s="59" t="s">
        <v>806</v>
      </c>
      <c r="D126" s="59">
        <f>SUM(D121:D125)</f>
        <v>0.99999999999999989</v>
      </c>
      <c r="E126" s="59" t="s">
        <v>105</v>
      </c>
      <c r="F126" s="59"/>
      <c r="G126" s="59">
        <f>SUMPRODUCT($D121:$D125,G121:G125)</f>
        <v>0.5454829817232375</v>
      </c>
      <c r="H126" s="59">
        <f t="shared" ref="H126:AH126" si="97">SUMPRODUCT($D121:$D125,H121:H125)</f>
        <v>0.14478391540469976</v>
      </c>
      <c r="I126" s="59">
        <f t="shared" si="97"/>
        <v>6.3385023498694526</v>
      </c>
      <c r="J126" s="59">
        <f t="shared" si="97"/>
        <v>3.9393373681462146E-2</v>
      </c>
      <c r="K126" s="59">
        <f t="shared" si="97"/>
        <v>3.262056836292428</v>
      </c>
      <c r="L126" s="59">
        <f t="shared" si="97"/>
        <v>8.6893174934725854E-5</v>
      </c>
      <c r="M126" s="59">
        <f t="shared" si="97"/>
        <v>0.11085257692689297</v>
      </c>
      <c r="N126" s="59">
        <f t="shared" si="97"/>
        <v>0.40285714882506529</v>
      </c>
      <c r="O126" s="59">
        <f t="shared" si="97"/>
        <v>0.21617684099216711</v>
      </c>
      <c r="P126" s="59">
        <f t="shared" si="97"/>
        <v>10.514709935167101</v>
      </c>
      <c r="Q126" s="59">
        <f t="shared" si="97"/>
        <v>2.2257274151436031E-2</v>
      </c>
      <c r="R126" s="59">
        <f t="shared" si="97"/>
        <v>0.54014617754569183</v>
      </c>
      <c r="S126" s="59">
        <f t="shared" si="97"/>
        <v>0.15992920417754569</v>
      </c>
      <c r="T126" s="59">
        <f t="shared" si="97"/>
        <v>2.8160232375979113E-2</v>
      </c>
      <c r="U126" s="59">
        <f t="shared" si="97"/>
        <v>3.7481906005221925E-4</v>
      </c>
      <c r="V126" s="59">
        <f t="shared" si="97"/>
        <v>0.25600455874673633</v>
      </c>
      <c r="W126" s="59">
        <f t="shared" si="97"/>
        <v>0.21323710313315927</v>
      </c>
      <c r="X126" s="59">
        <f t="shared" si="97"/>
        <v>2.41771227154047E-2</v>
      </c>
      <c r="Y126" s="59">
        <f t="shared" si="97"/>
        <v>1.2007006396866842E-4</v>
      </c>
      <c r="Z126" s="59">
        <f t="shared" si="97"/>
        <v>1.1660303394255875E-2</v>
      </c>
      <c r="AA126" s="59">
        <f t="shared" si="97"/>
        <v>-2.1823839425587469E-5</v>
      </c>
      <c r="AB126" s="59">
        <f t="shared" si="97"/>
        <v>1.8953729765013055E-8</v>
      </c>
      <c r="AC126" s="59">
        <f t="shared" si="97"/>
        <v>1.2231924386422977E-3</v>
      </c>
      <c r="AD126" s="59">
        <f t="shared" si="97"/>
        <v>9.0377114882506538E-4</v>
      </c>
      <c r="AE126" s="59">
        <f t="shared" si="97"/>
        <v>1.5428190078328981E-3</v>
      </c>
      <c r="AF126" s="59">
        <f t="shared" si="97"/>
        <v>2.8003748825065275E-5</v>
      </c>
      <c r="AG126" s="59">
        <f t="shared" si="97"/>
        <v>2.4779786161879896E-3</v>
      </c>
      <c r="AH126" s="59">
        <f t="shared" si="97"/>
        <v>2.8886106266318538E-3</v>
      </c>
    </row>
    <row r="127" spans="2:34" x14ac:dyDescent="0.25">
      <c r="B127" s="59" t="str">
        <f>B126</f>
        <v>4_Hub_70%IP</v>
      </c>
      <c r="C127" s="59"/>
      <c r="D127" s="59"/>
      <c r="E127" s="59"/>
      <c r="F127" s="59"/>
      <c r="G127" s="59">
        <f>SUMPRODUCT($D122:$D125,G122:G125)/SUM($D122:$D125)</f>
        <v>0.57156066914498138</v>
      </c>
      <c r="H127" s="59">
        <f t="shared" ref="H127:AH127" si="98">SUMPRODUCT($D122:$D125,H122:H125)/SUM($D122:$D125)</f>
        <v>9.9596684014869902E-2</v>
      </c>
      <c r="I127" s="59">
        <f t="shared" si="98"/>
        <v>6.4217795539033462</v>
      </c>
      <c r="J127" s="59">
        <f t="shared" si="98"/>
        <v>3.3806644460966546E-2</v>
      </c>
      <c r="K127" s="59">
        <f t="shared" si="98"/>
        <v>3.6612334572490708</v>
      </c>
      <c r="L127" s="59">
        <f t="shared" si="98"/>
        <v>1.4264301115241635E-5</v>
      </c>
      <c r="M127" s="59">
        <f t="shared" si="98"/>
        <v>8.1564706319702612E-2</v>
      </c>
      <c r="N127" s="59">
        <f t="shared" si="98"/>
        <v>0.26923979182156133</v>
      </c>
      <c r="O127" s="59">
        <f t="shared" si="98"/>
        <v>0.16352230483271377</v>
      </c>
      <c r="P127" s="59">
        <f t="shared" si="98"/>
        <v>10.730757406903345</v>
      </c>
      <c r="Q127" s="59">
        <f t="shared" si="98"/>
        <v>1.6202828996282528E-2</v>
      </c>
      <c r="R127" s="59">
        <f t="shared" si="98"/>
        <v>0.56595691449814123</v>
      </c>
      <c r="S127" s="59">
        <f t="shared" si="98"/>
        <v>0.16109066914498144</v>
      </c>
      <c r="T127" s="59">
        <f t="shared" si="98"/>
        <v>2.8165338289962823E-2</v>
      </c>
      <c r="U127" s="59">
        <f t="shared" si="98"/>
        <v>3.6709115241635693E-4</v>
      </c>
      <c r="V127" s="59">
        <f t="shared" si="98"/>
        <v>0.25231684014869887</v>
      </c>
      <c r="W127" s="59">
        <f t="shared" si="98"/>
        <v>0.23798334572490704</v>
      </c>
      <c r="X127" s="59">
        <f t="shared" si="98"/>
        <v>2.4106089219330853E-2</v>
      </c>
      <c r="Y127" s="59">
        <f t="shared" si="98"/>
        <v>1.1883059479553905E-4</v>
      </c>
      <c r="Z127" s="59">
        <f t="shared" si="98"/>
        <v>1.1589156133828998E-2</v>
      </c>
      <c r="AA127" s="59">
        <f t="shared" si="98"/>
        <v>-2.2214646840148699E-5</v>
      </c>
      <c r="AB127" s="59">
        <f t="shared" si="98"/>
        <v>1.7934338289962826E-8</v>
      </c>
      <c r="AC127" s="59">
        <f t="shared" si="98"/>
        <v>1.213603717472119E-3</v>
      </c>
      <c r="AD127" s="59">
        <f t="shared" si="98"/>
        <v>9.2014684014869892E-4</v>
      </c>
      <c r="AE127" s="59">
        <f t="shared" si="98"/>
        <v>1.6414055762081785E-3</v>
      </c>
      <c r="AF127" s="59">
        <f t="shared" si="98"/>
        <v>2.7883546468401486E-5</v>
      </c>
      <c r="AG127" s="59">
        <f t="shared" si="98"/>
        <v>2.519134200743494E-3</v>
      </c>
      <c r="AH127" s="59">
        <f t="shared" si="98"/>
        <v>2.4132449814126397E-3</v>
      </c>
    </row>
    <row r="128" spans="2:34" x14ac:dyDescent="0.25">
      <c r="B128" t="s">
        <v>593</v>
      </c>
      <c r="C128" t="str">
        <f>'[3]LCIA-Elec'!BJ87</f>
        <v>4_Hub_90%IP</v>
      </c>
      <c r="D128">
        <f>'[3]LCIA-Elec'!$W$68/$A$3</f>
        <v>9.921671018276762E-2</v>
      </c>
      <c r="E128" t="s">
        <v>105</v>
      </c>
      <c r="F128" t="s">
        <v>829</v>
      </c>
      <c r="G128">
        <f>'[3]LCIA-Elec'!BK87</f>
        <v>0.51517318421052638</v>
      </c>
      <c r="H128">
        <f>'[3]LCIA-Elec'!BL87</f>
        <v>0.19249696315789475</v>
      </c>
      <c r="I128">
        <f>'[3]LCIA-Elec'!BM87</f>
        <v>6.6519623684210529</v>
      </c>
      <c r="J128">
        <f>'[3]LCIA-Elec'!BN87</f>
        <v>9.530760921052632E-2</v>
      </c>
      <c r="K128">
        <f>'[3]LCIA-Elec'!BO87</f>
        <v>1.1992381131578951</v>
      </c>
      <c r="L128">
        <f>'[3]LCIA-Elec'!BP87</f>
        <v>7.1446278421052629E-4</v>
      </c>
      <c r="M128">
        <f>'[3]LCIA-Elec'!BQ87</f>
        <v>0.18868335705263162</v>
      </c>
      <c r="N128">
        <f>'[3]LCIA-Elec'!BR87</f>
        <v>1.0351760000000001</v>
      </c>
      <c r="O128">
        <f>'[3]LCIA-Elec'!BS87</f>
        <v>0.22041100263157895</v>
      </c>
      <c r="P128">
        <f>'[3]LCIA-Elec'!BT87</f>
        <v>9.5839898764157905</v>
      </c>
      <c r="Q128">
        <f>'[3]LCIA-Elec'!BU87</f>
        <v>2.9536334210526319E-2</v>
      </c>
      <c r="R128">
        <f>'[3]LCIA-Elec'!BV87</f>
        <v>0.50990905263157904</v>
      </c>
      <c r="S128">
        <f>'[3]LCIA-Elec'!BW87</f>
        <v>0.16960659736842107</v>
      </c>
      <c r="T128">
        <f>'[3]LCIA-Elec'!BX87</f>
        <v>2.8128105263157899E-2</v>
      </c>
      <c r="U128">
        <f>'[3]LCIA-Elec'!BY87</f>
        <v>3.4716394736842101E-4</v>
      </c>
      <c r="V128">
        <f>'[3]LCIA-Elec'!BZ87</f>
        <v>0.23898052631578948</v>
      </c>
      <c r="W128">
        <f>'[3]LCIA-Elec'!CA87</f>
        <v>7.9912557894736821E-2</v>
      </c>
      <c r="X128">
        <f>'[3]LCIA-Elec'!CB87</f>
        <v>2.4141868421052634E-2</v>
      </c>
      <c r="Y128">
        <f>'[3]LCIA-Elec'!CC87</f>
        <v>1.200289342105263E-4</v>
      </c>
      <c r="Z128">
        <f>'[3]LCIA-Elec'!CD87</f>
        <v>1.1422584210526316E-2</v>
      </c>
      <c r="AA128">
        <f>'[3]LCIA-Elec'!CE87</f>
        <v>-1.9194573684210525E-5</v>
      </c>
      <c r="AB128">
        <f>'[3]LCIA-Elec'!CF87</f>
        <v>2.2605652631578946E-8</v>
      </c>
      <c r="AC128">
        <f>'[3]LCIA-Elec'!CG87</f>
        <v>1.4293541842105265E-3</v>
      </c>
      <c r="AD128">
        <f>'[3]LCIA-Elec'!CH87</f>
        <v>9.9801315789473685E-4</v>
      </c>
      <c r="AE128">
        <f>'[3]LCIA-Elec'!CI87</f>
        <v>1.4104763157894735E-3</v>
      </c>
      <c r="AF128">
        <f>'[3]LCIA-Elec'!CJ87</f>
        <v>3.3732060526315793E-5</v>
      </c>
      <c r="AG128">
        <f>'[3]LCIA-Elec'!CK87</f>
        <v>2.2963305263157896E-3</v>
      </c>
      <c r="AH128">
        <f>'[3]LCIA-Elec'!CL87</f>
        <v>4.451551842105262E-3</v>
      </c>
    </row>
    <row r="129" spans="2:34" x14ac:dyDescent="0.25">
      <c r="B129" t="str">
        <f>'[3]4_Hub_90%IP'!Y386</f>
        <v>Flughafen Frankfurt/Main</v>
      </c>
      <c r="C129" t="str">
        <f>C8</f>
        <v>market for electricity, low voltage, DE</v>
      </c>
      <c r="D129">
        <f>'[3]4_Hub_90%IP'!$Z386/$A$3</f>
        <v>8.3550913838120106E-2</v>
      </c>
      <c r="E129" t="str">
        <f t="shared" ref="E129:AH129" si="99">E8</f>
        <v>kWh</v>
      </c>
      <c r="F129" t="str">
        <f t="shared" si="99"/>
        <v>Ecoinvent v3.7.1</v>
      </c>
      <c r="G129">
        <f t="shared" si="99"/>
        <v>0.54196</v>
      </c>
      <c r="H129">
        <f t="shared" si="99"/>
        <v>0.14645</v>
      </c>
      <c r="I129">
        <f t="shared" si="99"/>
        <v>6.0651000000000002</v>
      </c>
      <c r="J129">
        <f t="shared" si="99"/>
        <v>2.5809000000000001E-3</v>
      </c>
      <c r="K129">
        <f t="shared" si="99"/>
        <v>1.7815000000000001</v>
      </c>
      <c r="L129">
        <f t="shared" si="99"/>
        <v>3.0886999999999998E-5</v>
      </c>
      <c r="M129">
        <f t="shared" si="99"/>
        <v>0.46137</v>
      </c>
      <c r="N129">
        <f t="shared" si="99"/>
        <v>0.20688000000000001</v>
      </c>
      <c r="O129">
        <f t="shared" si="99"/>
        <v>0.72643999999999997</v>
      </c>
      <c r="P129">
        <f t="shared" si="99"/>
        <v>9.3903517870000002</v>
      </c>
      <c r="Q129">
        <f t="shared" si="99"/>
        <v>2.2039E-2</v>
      </c>
      <c r="R129">
        <f t="shared" si="99"/>
        <v>0.53620000000000001</v>
      </c>
      <c r="S129">
        <f t="shared" si="99"/>
        <v>0.14494000000000001</v>
      </c>
      <c r="T129">
        <f t="shared" si="99"/>
        <v>3.6583999999999998E-2</v>
      </c>
      <c r="U129">
        <f t="shared" si="99"/>
        <v>7.9215000000000004E-4</v>
      </c>
      <c r="V129">
        <f t="shared" si="99"/>
        <v>0.49026999999999998</v>
      </c>
      <c r="W129">
        <f t="shared" si="99"/>
        <v>9.1795000000000002E-2</v>
      </c>
      <c r="X129">
        <f t="shared" si="99"/>
        <v>3.2615999999999999E-2</v>
      </c>
      <c r="Y129">
        <f t="shared" si="99"/>
        <v>2.0006000000000001E-4</v>
      </c>
      <c r="Z129">
        <f t="shared" si="99"/>
        <v>1.4718E-2</v>
      </c>
      <c r="AA129">
        <f t="shared" si="99"/>
        <v>-2.1696E-5</v>
      </c>
      <c r="AB129">
        <f t="shared" si="99"/>
        <v>1.267E-8</v>
      </c>
      <c r="AC129">
        <f t="shared" si="99"/>
        <v>3.369E-4</v>
      </c>
      <c r="AD129">
        <f t="shared" si="99"/>
        <v>7.2397E-4</v>
      </c>
      <c r="AE129">
        <f t="shared" si="99"/>
        <v>9.6077000000000001E-4</v>
      </c>
      <c r="AF129">
        <f t="shared" si="99"/>
        <v>2.8184999999999999E-5</v>
      </c>
      <c r="AG129">
        <f t="shared" si="99"/>
        <v>3.2648999999999998E-3</v>
      </c>
      <c r="AH129">
        <f t="shared" si="99"/>
        <v>2.3346999999999999E-3</v>
      </c>
    </row>
    <row r="130" spans="2:34" x14ac:dyDescent="0.25">
      <c r="B130" t="str">
        <f>'[3]4_Hub_90%IP'!Y387</f>
        <v>Newark Liberty International Airport</v>
      </c>
      <c r="C130" t="str">
        <f>C122</f>
        <v>market for electricity, low voltage, US-RFC</v>
      </c>
      <c r="D130">
        <f>'[3]4_Hub_90%IP'!$Z387/$A$3</f>
        <v>0.36814621409921672</v>
      </c>
      <c r="E130" t="str">
        <f t="shared" ref="E130:AH130" si="100">E122</f>
        <v>kWh</v>
      </c>
      <c r="F130" t="str">
        <f t="shared" si="100"/>
        <v>Ecoinvent v3.7.1</v>
      </c>
      <c r="G130">
        <f t="shared" si="100"/>
        <v>0.61436999999999997</v>
      </c>
      <c r="H130">
        <f t="shared" si="100"/>
        <v>8.2399E-2</v>
      </c>
      <c r="I130">
        <f t="shared" si="100"/>
        <v>6.7473999999999998</v>
      </c>
      <c r="J130">
        <f t="shared" si="100"/>
        <v>4.0428000000000003E-4</v>
      </c>
      <c r="K130">
        <f t="shared" si="100"/>
        <v>4.3425000000000002</v>
      </c>
      <c r="L130">
        <f t="shared" si="100"/>
        <v>1.3322000000000001E-5</v>
      </c>
      <c r="M130">
        <f t="shared" si="100"/>
        <v>1.5082999999999999E-2</v>
      </c>
      <c r="N130">
        <f t="shared" si="100"/>
        <v>6.8917000000000006E-2</v>
      </c>
      <c r="O130">
        <f t="shared" si="100"/>
        <v>0.1275</v>
      </c>
      <c r="P130">
        <f t="shared" si="100"/>
        <v>11.384216602</v>
      </c>
      <c r="Q130">
        <f t="shared" si="100"/>
        <v>1.3875999999999999E-2</v>
      </c>
      <c r="R130">
        <f t="shared" si="100"/>
        <v>0.60836999999999997</v>
      </c>
      <c r="S130">
        <f t="shared" si="100"/>
        <v>0.16855999999999999</v>
      </c>
      <c r="T130">
        <f t="shared" si="100"/>
        <v>2.7827999999999999E-2</v>
      </c>
      <c r="U130">
        <f t="shared" si="100"/>
        <v>3.4965000000000002E-4</v>
      </c>
      <c r="V130">
        <f t="shared" si="100"/>
        <v>0.24507000000000001</v>
      </c>
      <c r="W130">
        <f t="shared" si="100"/>
        <v>0.28216999999999998</v>
      </c>
      <c r="X130">
        <f t="shared" si="100"/>
        <v>2.3791E-2</v>
      </c>
      <c r="Y130">
        <f t="shared" si="100"/>
        <v>1.1882E-4</v>
      </c>
      <c r="Z130">
        <f t="shared" si="100"/>
        <v>1.1622E-2</v>
      </c>
      <c r="AA130">
        <f t="shared" si="100"/>
        <v>-2.4247999999999999E-5</v>
      </c>
      <c r="AB130">
        <f t="shared" si="100"/>
        <v>1.8053E-8</v>
      </c>
      <c r="AC130">
        <f t="shared" si="100"/>
        <v>1.1259E-3</v>
      </c>
      <c r="AD130">
        <f t="shared" si="100"/>
        <v>9.8528999999999999E-4</v>
      </c>
      <c r="AE130">
        <f t="shared" si="100"/>
        <v>1.8718000000000001E-3</v>
      </c>
      <c r="AF130">
        <f t="shared" si="100"/>
        <v>2.6829999999999999E-5</v>
      </c>
      <c r="AG130">
        <f t="shared" si="100"/>
        <v>2.5512999999999998E-3</v>
      </c>
      <c r="AH130">
        <f t="shared" si="100"/>
        <v>2.2418E-3</v>
      </c>
    </row>
    <row r="131" spans="2:34" x14ac:dyDescent="0.25">
      <c r="B131" t="str">
        <f>'[3]4_Hub_90%IP'!Y388</f>
        <v>Seattle-Tacoma International Airport</v>
      </c>
      <c r="C131" t="str">
        <f>C123</f>
        <v>market for electricity, low voltage, US-WECC</v>
      </c>
      <c r="D131">
        <f>'[3]4_Hub_90%IP'!$Z388/$A$3</f>
        <v>0.13577023498694518</v>
      </c>
      <c r="E131" t="str">
        <f t="shared" ref="E131:AH131" si="101">E123</f>
        <v>kWh</v>
      </c>
      <c r="F131" t="str">
        <f t="shared" si="101"/>
        <v>Ecoinvent v3.7.1</v>
      </c>
      <c r="G131">
        <f t="shared" si="101"/>
        <v>0.41233999999999998</v>
      </c>
      <c r="H131">
        <f t="shared" si="101"/>
        <v>0.16356000000000001</v>
      </c>
      <c r="I131">
        <f t="shared" si="101"/>
        <v>5.2107000000000001</v>
      </c>
      <c r="J131">
        <f t="shared" si="101"/>
        <v>0.15804000000000001</v>
      </c>
      <c r="K131">
        <f t="shared" si="101"/>
        <v>1.1274</v>
      </c>
      <c r="L131">
        <f t="shared" si="101"/>
        <v>1.7768999999999999E-5</v>
      </c>
      <c r="M131">
        <f t="shared" si="101"/>
        <v>0.32883000000000001</v>
      </c>
      <c r="N131">
        <f t="shared" si="101"/>
        <v>1.0143</v>
      </c>
      <c r="O131">
        <f t="shared" si="101"/>
        <v>0.29749999999999999</v>
      </c>
      <c r="P131">
        <f t="shared" si="101"/>
        <v>8.300347769</v>
      </c>
      <c r="Q131">
        <f t="shared" si="101"/>
        <v>2.4857000000000001E-2</v>
      </c>
      <c r="R131">
        <f t="shared" si="101"/>
        <v>0.40821000000000002</v>
      </c>
      <c r="S131">
        <f t="shared" si="101"/>
        <v>0.13331000000000001</v>
      </c>
      <c r="T131">
        <f t="shared" si="101"/>
        <v>2.9420000000000002E-2</v>
      </c>
      <c r="U131">
        <f t="shared" si="101"/>
        <v>4.3196E-4</v>
      </c>
      <c r="V131">
        <f t="shared" si="101"/>
        <v>0.27927000000000002</v>
      </c>
      <c r="W131">
        <f t="shared" si="101"/>
        <v>7.3639999999999997E-2</v>
      </c>
      <c r="X131">
        <f t="shared" si="101"/>
        <v>2.5277999999999998E-2</v>
      </c>
      <c r="Y131">
        <f t="shared" si="101"/>
        <v>1.1887000000000001E-4</v>
      </c>
      <c r="Z131">
        <f t="shared" si="101"/>
        <v>1.1467E-2</v>
      </c>
      <c r="AA131">
        <f t="shared" si="101"/>
        <v>-1.4652E-5</v>
      </c>
      <c r="AB131">
        <f t="shared" si="101"/>
        <v>1.7493E-8</v>
      </c>
      <c r="AC131">
        <f t="shared" si="101"/>
        <v>1.5398E-3</v>
      </c>
      <c r="AD131">
        <f t="shared" si="101"/>
        <v>6.7785999999999996E-4</v>
      </c>
      <c r="AE131">
        <f t="shared" si="101"/>
        <v>7.8450000000000004E-4</v>
      </c>
      <c r="AF131">
        <f t="shared" si="101"/>
        <v>3.1801999999999998E-5</v>
      </c>
      <c r="AG131">
        <f t="shared" si="101"/>
        <v>2.3995000000000002E-3</v>
      </c>
      <c r="AH131">
        <f t="shared" si="101"/>
        <v>3.0509000000000001E-3</v>
      </c>
    </row>
    <row r="132" spans="2:34" x14ac:dyDescent="0.25">
      <c r="B132" t="str">
        <f>'[3]4_Hub_90%IP'!Y389</f>
        <v>O'Hare International Airport</v>
      </c>
      <c r="C132" t="str">
        <f>C124</f>
        <v>market for electricity, low voltage, US-RFC</v>
      </c>
      <c r="D132">
        <f>'[3]4_Hub_90%IP'!$Z389/$A$3</f>
        <v>0.3133159268929504</v>
      </c>
      <c r="E132" t="str">
        <f t="shared" ref="E132:AH132" si="102">E124</f>
        <v>kWh</v>
      </c>
      <c r="F132" t="str">
        <f t="shared" si="102"/>
        <v>Ecoinvent v3.7.1</v>
      </c>
      <c r="G132">
        <f t="shared" si="102"/>
        <v>0.61436999999999997</v>
      </c>
      <c r="H132">
        <f t="shared" si="102"/>
        <v>8.2399E-2</v>
      </c>
      <c r="I132">
        <f t="shared" si="102"/>
        <v>6.7473999999999998</v>
      </c>
      <c r="J132">
        <f t="shared" si="102"/>
        <v>4.0428000000000003E-4</v>
      </c>
      <c r="K132">
        <f t="shared" si="102"/>
        <v>4.3425000000000002</v>
      </c>
      <c r="L132">
        <f t="shared" si="102"/>
        <v>1.3322000000000001E-5</v>
      </c>
      <c r="M132">
        <f t="shared" si="102"/>
        <v>1.5082999999999999E-2</v>
      </c>
      <c r="N132">
        <f t="shared" si="102"/>
        <v>6.8917000000000006E-2</v>
      </c>
      <c r="O132">
        <f t="shared" si="102"/>
        <v>0.1275</v>
      </c>
      <c r="P132">
        <f t="shared" si="102"/>
        <v>11.384216602</v>
      </c>
      <c r="Q132">
        <f t="shared" si="102"/>
        <v>1.3875999999999999E-2</v>
      </c>
      <c r="R132">
        <f t="shared" si="102"/>
        <v>0.60836999999999997</v>
      </c>
      <c r="S132">
        <f t="shared" si="102"/>
        <v>0.16855999999999999</v>
      </c>
      <c r="T132">
        <f t="shared" si="102"/>
        <v>2.7827999999999999E-2</v>
      </c>
      <c r="U132">
        <f t="shared" si="102"/>
        <v>3.4965000000000002E-4</v>
      </c>
      <c r="V132">
        <f t="shared" si="102"/>
        <v>0.24507000000000001</v>
      </c>
      <c r="W132">
        <f t="shared" si="102"/>
        <v>0.28216999999999998</v>
      </c>
      <c r="X132">
        <f t="shared" si="102"/>
        <v>2.3791E-2</v>
      </c>
      <c r="Y132">
        <f t="shared" si="102"/>
        <v>1.1882E-4</v>
      </c>
      <c r="Z132">
        <f t="shared" si="102"/>
        <v>1.1622E-2</v>
      </c>
      <c r="AA132">
        <f t="shared" si="102"/>
        <v>-2.4247999999999999E-5</v>
      </c>
      <c r="AB132">
        <f t="shared" si="102"/>
        <v>1.8053E-8</v>
      </c>
      <c r="AC132">
        <f t="shared" si="102"/>
        <v>1.1259E-3</v>
      </c>
      <c r="AD132">
        <f t="shared" si="102"/>
        <v>9.8528999999999999E-4</v>
      </c>
      <c r="AE132">
        <f t="shared" si="102"/>
        <v>1.8718000000000001E-3</v>
      </c>
      <c r="AF132">
        <f t="shared" si="102"/>
        <v>2.6829999999999999E-5</v>
      </c>
      <c r="AG132">
        <f t="shared" si="102"/>
        <v>2.5512999999999998E-3</v>
      </c>
      <c r="AH132">
        <f t="shared" si="102"/>
        <v>2.2418E-3</v>
      </c>
    </row>
    <row r="133" spans="2:34" x14ac:dyDescent="0.25">
      <c r="B133" s="59" t="str">
        <f>C128</f>
        <v>4_Hub_90%IP</v>
      </c>
      <c r="C133" s="59" t="s">
        <v>806</v>
      </c>
      <c r="D133" s="59">
        <f>SUM(D128:D132)</f>
        <v>1</v>
      </c>
      <c r="E133" s="59" t="s">
        <v>105</v>
      </c>
      <c r="F133" s="59"/>
      <c r="G133" s="59">
        <f>SUMPRODUCT($D128:$D132,G128:G132)</f>
        <v>0.5710484360313316</v>
      </c>
      <c r="H133" s="59">
        <f t="shared" ref="H133:AH133" si="103">SUMPRODUCT($D128:$D132,H128:H132)</f>
        <v>0.10969332532637076</v>
      </c>
      <c r="I133" s="59">
        <f t="shared" si="103"/>
        <v>6.4722860835509133</v>
      </c>
      <c r="J133" s="59">
        <f t="shared" si="103"/>
        <v>3.1404373446475203E-2</v>
      </c>
      <c r="K133" s="59">
        <f t="shared" si="103"/>
        <v>3.3801471234986944</v>
      </c>
      <c r="L133" s="59">
        <f t="shared" si="103"/>
        <v>8.4958224020887719E-5</v>
      </c>
      <c r="M133" s="59">
        <f t="shared" si="103"/>
        <v>0.11219224691383813</v>
      </c>
      <c r="N133" s="59">
        <f t="shared" si="103"/>
        <v>0.30466784595300261</v>
      </c>
      <c r="O133" s="59">
        <f t="shared" si="103"/>
        <v>0.20984124830287207</v>
      </c>
      <c r="P133" s="59">
        <f t="shared" si="103"/>
        <v>10.620317205216189</v>
      </c>
      <c r="Q133" s="59">
        <f t="shared" si="103"/>
        <v>1.7602685900783288E-2</v>
      </c>
      <c r="R133" s="59">
        <f t="shared" si="103"/>
        <v>0.56539538903394249</v>
      </c>
      <c r="S133" s="59">
        <f t="shared" si="103"/>
        <v>0.16190446657963445</v>
      </c>
      <c r="T133" s="59">
        <f t="shared" si="103"/>
        <v>2.8805493472584858E-2</v>
      </c>
      <c r="U133" s="59">
        <f t="shared" si="103"/>
        <v>3.9754986945169719E-4</v>
      </c>
      <c r="V133" s="59">
        <f t="shared" si="103"/>
        <v>0.26959584856396868</v>
      </c>
      <c r="W133" s="59">
        <f t="shared" si="103"/>
        <v>0.2178845096605744</v>
      </c>
      <c r="X133" s="59">
        <f t="shared" si="103"/>
        <v>2.4765039164490861E-2</v>
      </c>
      <c r="Y133" s="59">
        <f t="shared" si="103"/>
        <v>1.2573441122715407E-4</v>
      </c>
      <c r="Z133" s="59">
        <f t="shared" si="103"/>
        <v>1.1839843864229767E-2</v>
      </c>
      <c r="AA133" s="59">
        <f t="shared" si="103"/>
        <v>-2.2230542558746735E-5</v>
      </c>
      <c r="AB133" s="59">
        <f t="shared" si="103"/>
        <v>1.7978913315926892E-8</v>
      </c>
      <c r="AC133" s="59">
        <f t="shared" si="103"/>
        <v>1.1462813550913839E-3</v>
      </c>
      <c r="AD133" s="59">
        <f t="shared" si="103"/>
        <v>9.2297898172323772E-4</v>
      </c>
      <c r="AE133" s="59">
        <f t="shared" si="103"/>
        <v>1.6022886161879894E-3</v>
      </c>
      <c r="AF133" s="59">
        <f t="shared" si="103"/>
        <v>2.8303060835509139E-5</v>
      </c>
      <c r="AG133" s="59">
        <f t="shared" si="103"/>
        <v>2.5650147780678853E-3</v>
      </c>
      <c r="AH133" s="59">
        <f t="shared" si="103"/>
        <v>2.5786578851174934E-3</v>
      </c>
    </row>
    <row r="134" spans="2:34" x14ac:dyDescent="0.25">
      <c r="B134" s="59" t="str">
        <f>B133</f>
        <v>4_Hub_90%IP</v>
      </c>
      <c r="C134" s="59"/>
      <c r="D134" s="59"/>
      <c r="E134" s="59"/>
      <c r="F134" s="59"/>
      <c r="G134" s="59">
        <f>SUMPRODUCT($D129:$D132,G129:G132)/SUM($D129:$D132)</f>
        <v>0.57720281159420295</v>
      </c>
      <c r="H134" s="59">
        <f t="shared" ref="H134:AH134" si="104">SUMPRODUCT($D129:$D132,H129:H132)/SUM($D129:$D132)</f>
        <v>0.10057292463768115</v>
      </c>
      <c r="I134" s="59">
        <f t="shared" si="104"/>
        <v>6.452495652173913</v>
      </c>
      <c r="J134" s="59">
        <f t="shared" si="104"/>
        <v>2.4365756173913046E-2</v>
      </c>
      <c r="K134" s="59">
        <f t="shared" si="104"/>
        <v>3.620363188405797</v>
      </c>
      <c r="L134" s="59">
        <f t="shared" si="104"/>
        <v>1.5621489855072462E-5</v>
      </c>
      <c r="M134" s="59">
        <f t="shared" si="104"/>
        <v>0.10376713913043478</v>
      </c>
      <c r="N134" s="59">
        <f t="shared" si="104"/>
        <v>0.22420607826086961</v>
      </c>
      <c r="O134" s="59">
        <f t="shared" si="104"/>
        <v>0.20867704347826088</v>
      </c>
      <c r="P134" s="59">
        <f t="shared" si="104"/>
        <v>10.734463403750725</v>
      </c>
      <c r="Q134" s="59">
        <f t="shared" si="104"/>
        <v>1.6288255072463766E-2</v>
      </c>
      <c r="R134" s="59">
        <f t="shared" si="104"/>
        <v>0.57150692753623178</v>
      </c>
      <c r="S134" s="59">
        <f t="shared" si="104"/>
        <v>0.16105611594202895</v>
      </c>
      <c r="T134" s="59">
        <f t="shared" si="104"/>
        <v>2.8880104347826088E-2</v>
      </c>
      <c r="U134" s="59">
        <f t="shared" si="104"/>
        <v>4.0309962318840585E-4</v>
      </c>
      <c r="V134" s="59">
        <f t="shared" si="104"/>
        <v>0.27296797101449272</v>
      </c>
      <c r="W134" s="59">
        <f t="shared" si="104"/>
        <v>0.23308142028985504</v>
      </c>
      <c r="X134" s="59">
        <f t="shared" si="104"/>
        <v>2.4833678260869563E-2</v>
      </c>
      <c r="Y134" s="59">
        <f t="shared" si="104"/>
        <v>1.2636284057971015E-4</v>
      </c>
      <c r="Z134" s="59">
        <f t="shared" si="104"/>
        <v>1.1885802898550726E-2</v>
      </c>
      <c r="AA134" s="59">
        <f t="shared" si="104"/>
        <v>-2.2564939130434778E-5</v>
      </c>
      <c r="AB134" s="59">
        <f t="shared" si="104"/>
        <v>1.746930144927536E-8</v>
      </c>
      <c r="AC134" s="59">
        <f t="shared" si="104"/>
        <v>1.1151023188405798E-3</v>
      </c>
      <c r="AD134" s="59">
        <f t="shared" si="104"/>
        <v>9.1471434782608679E-4</v>
      </c>
      <c r="AE134" s="59">
        <f t="shared" si="104"/>
        <v>1.6234157681159422E-3</v>
      </c>
      <c r="AF134" s="59">
        <f t="shared" si="104"/>
        <v>2.7705084057971012E-5</v>
      </c>
      <c r="AG134" s="59">
        <f t="shared" si="104"/>
        <v>2.5946089855072461E-3</v>
      </c>
      <c r="AH134" s="59">
        <f t="shared" si="104"/>
        <v>2.3723681159420291E-3</v>
      </c>
    </row>
    <row r="135" spans="2:34" x14ac:dyDescent="0.25">
      <c r="B135" t="s">
        <v>593</v>
      </c>
      <c r="C135" t="str">
        <f>'[3]LCIA-Elec'!BJ88</f>
        <v>5_Hub_10%IP</v>
      </c>
      <c r="D135">
        <f>'[3]LCIA-Elec'!$X$68/$A$3</f>
        <v>0.7389033942558747</v>
      </c>
      <c r="E135" t="s">
        <v>105</v>
      </c>
      <c r="F135" t="s">
        <v>829</v>
      </c>
      <c r="G135">
        <f>'[3]LCIA-Elec'!BK88</f>
        <v>0.48196017229681998</v>
      </c>
      <c r="H135">
        <f>'[3]LCIA-Elec'!BL88</f>
        <v>0.18874691406360425</v>
      </c>
      <c r="I135">
        <f>'[3]LCIA-Elec'!BM88</f>
        <v>5.7797769936395769</v>
      </c>
      <c r="J135">
        <f>'[3]LCIA-Elec'!BN88</f>
        <v>2.5519878061201415E-2</v>
      </c>
      <c r="K135">
        <f>'[3]LCIA-Elec'!BO88</f>
        <v>3.0098855049469968</v>
      </c>
      <c r="L135">
        <f>'[3]LCIA-Elec'!BP88</f>
        <v>1.1325803471378089E-4</v>
      </c>
      <c r="M135">
        <f>'[3]LCIA-Elec'!BQ88</f>
        <v>9.3738090102473512E-2</v>
      </c>
      <c r="N135">
        <f>'[3]LCIA-Elec'!BR88</f>
        <v>0.72994544214840984</v>
      </c>
      <c r="O135">
        <f>'[3]LCIA-Elec'!BS88</f>
        <v>0.33100568258657254</v>
      </c>
      <c r="P135">
        <f>'[3]LCIA-Elec'!BT88</f>
        <v>10.158731763583544</v>
      </c>
      <c r="Q135">
        <f>'[3]LCIA-Elec'!BU88</f>
        <v>3.7579693297526494E-2</v>
      </c>
      <c r="R135">
        <f>'[3]LCIA-Elec'!BV88</f>
        <v>0.47743724282685529</v>
      </c>
      <c r="S135">
        <f>'[3]LCIA-Elec'!BW88</f>
        <v>0.14693727858657246</v>
      </c>
      <c r="T135">
        <f>'[3]LCIA-Elec'!BX88</f>
        <v>2.7677991123674913E-2</v>
      </c>
      <c r="U135">
        <f>'[3]LCIA-Elec'!BY88</f>
        <v>4.14869679434629E-4</v>
      </c>
      <c r="V135">
        <f>'[3]LCIA-Elec'!BZ88</f>
        <v>0.27746433017667832</v>
      </c>
      <c r="W135">
        <f>'[3]LCIA-Elec'!CA88</f>
        <v>0.20937495577385154</v>
      </c>
      <c r="X135">
        <f>'[3]LCIA-Elec'!CB88</f>
        <v>2.391794480565371E-2</v>
      </c>
      <c r="Y135">
        <f>'[3]LCIA-Elec'!CC88</f>
        <v>1.2533302749116612E-4</v>
      </c>
      <c r="Z135">
        <f>'[3]LCIA-Elec'!CD88</f>
        <v>1.123150623321555E-2</v>
      </c>
      <c r="AA135">
        <f>'[3]LCIA-Elec'!CE88</f>
        <v>-6.5989625851590097E-5</v>
      </c>
      <c r="AB135">
        <f>'[3]LCIA-Elec'!CF88</f>
        <v>1.8656825243816257E-8</v>
      </c>
      <c r="AC135">
        <f>'[3]LCIA-Elec'!CG88</f>
        <v>1.2910662572438159E-3</v>
      </c>
      <c r="AD135">
        <f>'[3]LCIA-Elec'!CH88</f>
        <v>8.2302784282685501E-4</v>
      </c>
      <c r="AE135">
        <f>'[3]LCIA-Elec'!CI88</f>
        <v>1.3896902473498228E-3</v>
      </c>
      <c r="AF135">
        <f>'[3]LCIA-Elec'!CJ88</f>
        <v>2.4839945667844525E-5</v>
      </c>
      <c r="AG135">
        <f>'[3]LCIA-Elec'!CK88</f>
        <v>2.0889078874911666E-3</v>
      </c>
      <c r="AH135">
        <f>'[3]LCIA-Elec'!CL88</f>
        <v>5.7375880848056539E-3</v>
      </c>
    </row>
    <row r="136" spans="2:34" x14ac:dyDescent="0.25">
      <c r="B136" t="str">
        <f>'[3]5_Hub_10%IP'!Y386</f>
        <v>Newark Liberty International Airport</v>
      </c>
      <c r="C136" t="str">
        <f>C122</f>
        <v>market for electricity, low voltage, US-RFC</v>
      </c>
      <c r="D136">
        <f>'[3]5_Hub_10%IP'!$Z386/$A$3</f>
        <v>5.2219321148825062E-2</v>
      </c>
      <c r="E136" t="str">
        <f t="shared" ref="E136:AH136" si="105">E122</f>
        <v>kWh</v>
      </c>
      <c r="F136" t="str">
        <f t="shared" si="105"/>
        <v>Ecoinvent v3.7.1</v>
      </c>
      <c r="G136">
        <f t="shared" si="105"/>
        <v>0.61436999999999997</v>
      </c>
      <c r="H136">
        <f t="shared" si="105"/>
        <v>8.2399E-2</v>
      </c>
      <c r="I136">
        <f t="shared" si="105"/>
        <v>6.7473999999999998</v>
      </c>
      <c r="J136">
        <f t="shared" si="105"/>
        <v>4.0428000000000003E-4</v>
      </c>
      <c r="K136">
        <f t="shared" si="105"/>
        <v>4.3425000000000002</v>
      </c>
      <c r="L136">
        <f t="shared" si="105"/>
        <v>1.3322000000000001E-5</v>
      </c>
      <c r="M136">
        <f t="shared" si="105"/>
        <v>1.5082999999999999E-2</v>
      </c>
      <c r="N136">
        <f t="shared" si="105"/>
        <v>6.8917000000000006E-2</v>
      </c>
      <c r="O136">
        <f t="shared" si="105"/>
        <v>0.1275</v>
      </c>
      <c r="P136">
        <f t="shared" si="105"/>
        <v>11.384216602</v>
      </c>
      <c r="Q136">
        <f t="shared" si="105"/>
        <v>1.3875999999999999E-2</v>
      </c>
      <c r="R136">
        <f t="shared" si="105"/>
        <v>0.60836999999999997</v>
      </c>
      <c r="S136">
        <f t="shared" si="105"/>
        <v>0.16855999999999999</v>
      </c>
      <c r="T136">
        <f t="shared" si="105"/>
        <v>2.7827999999999999E-2</v>
      </c>
      <c r="U136">
        <f t="shared" si="105"/>
        <v>3.4965000000000002E-4</v>
      </c>
      <c r="V136">
        <f t="shared" si="105"/>
        <v>0.24507000000000001</v>
      </c>
      <c r="W136">
        <f t="shared" si="105"/>
        <v>0.28216999999999998</v>
      </c>
      <c r="X136">
        <f t="shared" si="105"/>
        <v>2.3791E-2</v>
      </c>
      <c r="Y136">
        <f t="shared" si="105"/>
        <v>1.1882E-4</v>
      </c>
      <c r="Z136">
        <f t="shared" si="105"/>
        <v>1.1622E-2</v>
      </c>
      <c r="AA136">
        <f t="shared" si="105"/>
        <v>-2.4247999999999999E-5</v>
      </c>
      <c r="AB136">
        <f t="shared" si="105"/>
        <v>1.8053E-8</v>
      </c>
      <c r="AC136">
        <f t="shared" si="105"/>
        <v>1.1259E-3</v>
      </c>
      <c r="AD136">
        <f t="shared" si="105"/>
        <v>9.8528999999999999E-4</v>
      </c>
      <c r="AE136">
        <f t="shared" si="105"/>
        <v>1.8718000000000001E-3</v>
      </c>
      <c r="AF136">
        <f t="shared" si="105"/>
        <v>2.6829999999999999E-5</v>
      </c>
      <c r="AG136">
        <f t="shared" si="105"/>
        <v>2.5512999999999998E-3</v>
      </c>
      <c r="AH136">
        <f t="shared" si="105"/>
        <v>2.2418E-3</v>
      </c>
    </row>
    <row r="137" spans="2:34" x14ac:dyDescent="0.25">
      <c r="B137" t="str">
        <f>'[3]5_Hub_10%IP'!Y387</f>
        <v>Seattle-Tacoma International Airport</v>
      </c>
      <c r="C137" t="str">
        <f>C123</f>
        <v>market for electricity, low voltage, US-WECC</v>
      </c>
      <c r="D137">
        <f>'[3]5_Hub_10%IP'!$Z387/$A$3</f>
        <v>5.2219321148825062E-2</v>
      </c>
      <c r="E137" t="str">
        <f t="shared" ref="E137:AH137" si="106">E123</f>
        <v>kWh</v>
      </c>
      <c r="F137" t="str">
        <f t="shared" si="106"/>
        <v>Ecoinvent v3.7.1</v>
      </c>
      <c r="G137">
        <f t="shared" si="106"/>
        <v>0.41233999999999998</v>
      </c>
      <c r="H137">
        <f t="shared" si="106"/>
        <v>0.16356000000000001</v>
      </c>
      <c r="I137">
        <f t="shared" si="106"/>
        <v>5.2107000000000001</v>
      </c>
      <c r="J137">
        <f t="shared" si="106"/>
        <v>0.15804000000000001</v>
      </c>
      <c r="K137">
        <f t="shared" si="106"/>
        <v>1.1274</v>
      </c>
      <c r="L137">
        <f t="shared" si="106"/>
        <v>1.7768999999999999E-5</v>
      </c>
      <c r="M137">
        <f t="shared" si="106"/>
        <v>0.32883000000000001</v>
      </c>
      <c r="N137">
        <f t="shared" si="106"/>
        <v>1.0143</v>
      </c>
      <c r="O137">
        <f t="shared" si="106"/>
        <v>0.29749999999999999</v>
      </c>
      <c r="P137">
        <f t="shared" si="106"/>
        <v>8.300347769</v>
      </c>
      <c r="Q137">
        <f t="shared" si="106"/>
        <v>2.4857000000000001E-2</v>
      </c>
      <c r="R137">
        <f t="shared" si="106"/>
        <v>0.40821000000000002</v>
      </c>
      <c r="S137">
        <f t="shared" si="106"/>
        <v>0.13331000000000001</v>
      </c>
      <c r="T137">
        <f t="shared" si="106"/>
        <v>2.9420000000000002E-2</v>
      </c>
      <c r="U137">
        <f t="shared" si="106"/>
        <v>4.3196E-4</v>
      </c>
      <c r="V137">
        <f t="shared" si="106"/>
        <v>0.27927000000000002</v>
      </c>
      <c r="W137">
        <f t="shared" si="106"/>
        <v>7.3639999999999997E-2</v>
      </c>
      <c r="X137">
        <f t="shared" si="106"/>
        <v>2.5277999999999998E-2</v>
      </c>
      <c r="Y137">
        <f t="shared" si="106"/>
        <v>1.1887000000000001E-4</v>
      </c>
      <c r="Z137">
        <f t="shared" si="106"/>
        <v>1.1467E-2</v>
      </c>
      <c r="AA137">
        <f t="shared" si="106"/>
        <v>-1.4652E-5</v>
      </c>
      <c r="AB137">
        <f t="shared" si="106"/>
        <v>1.7493E-8</v>
      </c>
      <c r="AC137">
        <f t="shared" si="106"/>
        <v>1.5398E-3</v>
      </c>
      <c r="AD137">
        <f t="shared" si="106"/>
        <v>6.7785999999999996E-4</v>
      </c>
      <c r="AE137">
        <f t="shared" si="106"/>
        <v>7.8450000000000004E-4</v>
      </c>
      <c r="AF137">
        <f t="shared" si="106"/>
        <v>3.1801999999999998E-5</v>
      </c>
      <c r="AG137">
        <f t="shared" si="106"/>
        <v>2.3995000000000002E-3</v>
      </c>
      <c r="AH137">
        <f t="shared" si="106"/>
        <v>3.0509000000000001E-3</v>
      </c>
    </row>
    <row r="138" spans="2:34" x14ac:dyDescent="0.25">
      <c r="B138" t="str">
        <f>'[3]5_Hub_10%IP'!Y388</f>
        <v>Hartsfield-Jackson Atlanta International Airport</v>
      </c>
      <c r="C138" t="str">
        <f>C28</f>
        <v>market for electricity, low voltage, US-SERC</v>
      </c>
      <c r="D138">
        <f>'[3]5_Hub_10%IP'!$Z388/$A$3</f>
        <v>5.2219321148825062E-2</v>
      </c>
      <c r="E138" t="str">
        <f t="shared" ref="E138:AH138" si="107">E28</f>
        <v>kWh</v>
      </c>
      <c r="F138" t="str">
        <f t="shared" si="107"/>
        <v>Ecoinvent v3.7.1</v>
      </c>
      <c r="G138">
        <f t="shared" si="107"/>
        <v>0.6169</v>
      </c>
      <c r="H138">
        <f t="shared" si="107"/>
        <v>0.40769</v>
      </c>
      <c r="I138">
        <f t="shared" si="107"/>
        <v>7.625</v>
      </c>
      <c r="J138">
        <f t="shared" si="107"/>
        <v>4.4949999999999998E-4</v>
      </c>
      <c r="K138">
        <f t="shared" si="107"/>
        <v>3.7017000000000002</v>
      </c>
      <c r="L138">
        <f t="shared" si="107"/>
        <v>2.8177000000000001E-5</v>
      </c>
      <c r="M138">
        <f t="shared" si="107"/>
        <v>5.8786999999999999E-2</v>
      </c>
      <c r="N138">
        <f t="shared" si="107"/>
        <v>0.17446</v>
      </c>
      <c r="O138">
        <f t="shared" si="107"/>
        <v>2.0888E-2</v>
      </c>
      <c r="P138">
        <f t="shared" si="107"/>
        <v>11.989002677000002</v>
      </c>
      <c r="Q138">
        <f t="shared" si="107"/>
        <v>5.7922000000000001E-2</v>
      </c>
      <c r="R138">
        <f t="shared" si="107"/>
        <v>0.61051</v>
      </c>
      <c r="S138">
        <f t="shared" si="107"/>
        <v>0.19485</v>
      </c>
      <c r="T138">
        <f t="shared" si="107"/>
        <v>2.9537999999999998E-2</v>
      </c>
      <c r="U138">
        <f t="shared" si="107"/>
        <v>4.3969000000000001E-4</v>
      </c>
      <c r="V138">
        <f t="shared" si="107"/>
        <v>0.29670999999999997</v>
      </c>
      <c r="W138">
        <f t="shared" si="107"/>
        <v>0.24057999999999999</v>
      </c>
      <c r="X138">
        <f t="shared" si="107"/>
        <v>2.5099E-2</v>
      </c>
      <c r="Y138">
        <f t="shared" si="107"/>
        <v>1.3415000000000001E-4</v>
      </c>
      <c r="Z138">
        <f t="shared" si="107"/>
        <v>1.1514E-2</v>
      </c>
      <c r="AA138">
        <f t="shared" si="107"/>
        <v>-2.1906E-5</v>
      </c>
      <c r="AB138">
        <f t="shared" si="107"/>
        <v>2.5019999999999998E-8</v>
      </c>
      <c r="AC138">
        <f t="shared" si="107"/>
        <v>1.4063999999999999E-3</v>
      </c>
      <c r="AD138">
        <f t="shared" si="107"/>
        <v>8.8113000000000004E-4</v>
      </c>
      <c r="AE138">
        <f t="shared" si="107"/>
        <v>1.4815E-3</v>
      </c>
      <c r="AF138">
        <f t="shared" si="107"/>
        <v>3.5629000000000001E-5</v>
      </c>
      <c r="AG138">
        <f t="shared" si="107"/>
        <v>2.5611000000000002E-3</v>
      </c>
      <c r="AH138">
        <f t="shared" si="107"/>
        <v>2.3032E-3</v>
      </c>
    </row>
    <row r="139" spans="2:34" x14ac:dyDescent="0.25">
      <c r="B139" t="str">
        <f>'[3]5_Hub_10%IP'!Y389</f>
        <v>O'Hare International Airport</v>
      </c>
      <c r="C139" t="str">
        <f>C124</f>
        <v>market for electricity, low voltage, US-RFC</v>
      </c>
      <c r="D139">
        <f>'[3]5_Hub_10%IP'!$Z389/$A$3</f>
        <v>5.2219321148825062E-2</v>
      </c>
      <c r="E139" t="str">
        <f t="shared" ref="E139:AH139" si="108">E124</f>
        <v>kWh</v>
      </c>
      <c r="F139" t="str">
        <f t="shared" si="108"/>
        <v>Ecoinvent v3.7.1</v>
      </c>
      <c r="G139">
        <f t="shared" si="108"/>
        <v>0.61436999999999997</v>
      </c>
      <c r="H139">
        <f t="shared" si="108"/>
        <v>8.2399E-2</v>
      </c>
      <c r="I139">
        <f t="shared" si="108"/>
        <v>6.7473999999999998</v>
      </c>
      <c r="J139">
        <f t="shared" si="108"/>
        <v>4.0428000000000003E-4</v>
      </c>
      <c r="K139">
        <f t="shared" si="108"/>
        <v>4.3425000000000002</v>
      </c>
      <c r="L139">
        <f t="shared" si="108"/>
        <v>1.3322000000000001E-5</v>
      </c>
      <c r="M139">
        <f t="shared" si="108"/>
        <v>1.5082999999999999E-2</v>
      </c>
      <c r="N139">
        <f t="shared" si="108"/>
        <v>6.8917000000000006E-2</v>
      </c>
      <c r="O139">
        <f t="shared" si="108"/>
        <v>0.1275</v>
      </c>
      <c r="P139">
        <f t="shared" si="108"/>
        <v>11.384216602</v>
      </c>
      <c r="Q139">
        <f t="shared" si="108"/>
        <v>1.3875999999999999E-2</v>
      </c>
      <c r="R139">
        <f t="shared" si="108"/>
        <v>0.60836999999999997</v>
      </c>
      <c r="S139">
        <f t="shared" si="108"/>
        <v>0.16855999999999999</v>
      </c>
      <c r="T139">
        <f t="shared" si="108"/>
        <v>2.7827999999999999E-2</v>
      </c>
      <c r="U139">
        <f t="shared" si="108"/>
        <v>3.4965000000000002E-4</v>
      </c>
      <c r="V139">
        <f t="shared" si="108"/>
        <v>0.24507000000000001</v>
      </c>
      <c r="W139">
        <f t="shared" si="108"/>
        <v>0.28216999999999998</v>
      </c>
      <c r="X139">
        <f t="shared" si="108"/>
        <v>2.3791E-2</v>
      </c>
      <c r="Y139">
        <f t="shared" si="108"/>
        <v>1.1882E-4</v>
      </c>
      <c r="Z139">
        <f t="shared" si="108"/>
        <v>1.1622E-2</v>
      </c>
      <c r="AA139">
        <f t="shared" si="108"/>
        <v>-2.4247999999999999E-5</v>
      </c>
      <c r="AB139">
        <f t="shared" si="108"/>
        <v>1.8053E-8</v>
      </c>
      <c r="AC139">
        <f t="shared" si="108"/>
        <v>1.1259E-3</v>
      </c>
      <c r="AD139">
        <f t="shared" si="108"/>
        <v>9.8528999999999999E-4</v>
      </c>
      <c r="AE139">
        <f t="shared" si="108"/>
        <v>1.8718000000000001E-3</v>
      </c>
      <c r="AF139">
        <f t="shared" si="108"/>
        <v>2.6829999999999999E-5</v>
      </c>
      <c r="AG139">
        <f t="shared" si="108"/>
        <v>2.5512999999999998E-3</v>
      </c>
      <c r="AH139">
        <f t="shared" si="108"/>
        <v>2.2418E-3</v>
      </c>
    </row>
    <row r="140" spans="2:34" x14ac:dyDescent="0.25">
      <c r="B140" t="str">
        <f>'[3]5_Hub_10%IP'!Y390</f>
        <v>Denver International Airport</v>
      </c>
      <c r="C140" t="str">
        <f>C125</f>
        <v>market for electricity, low voltage, US-WECC</v>
      </c>
      <c r="D140">
        <f>'[3]5_Hub_10%IP'!$Z390/$A$3</f>
        <v>5.2219321148825062E-2</v>
      </c>
      <c r="E140" t="str">
        <f t="shared" ref="E140:AH140" si="109">E125</f>
        <v>kWh</v>
      </c>
      <c r="F140" t="str">
        <f t="shared" si="109"/>
        <v>Ecoinvent v3.7.1</v>
      </c>
      <c r="G140">
        <f t="shared" si="109"/>
        <v>0.41233999999999998</v>
      </c>
      <c r="H140">
        <f t="shared" si="109"/>
        <v>0.16356000000000001</v>
      </c>
      <c r="I140">
        <f t="shared" si="109"/>
        <v>5.2107000000000001</v>
      </c>
      <c r="J140">
        <f t="shared" si="109"/>
        <v>0.15804000000000001</v>
      </c>
      <c r="K140">
        <f t="shared" si="109"/>
        <v>1.1274</v>
      </c>
      <c r="L140">
        <f t="shared" si="109"/>
        <v>1.7768999999999999E-5</v>
      </c>
      <c r="M140">
        <f t="shared" si="109"/>
        <v>0.32883000000000001</v>
      </c>
      <c r="N140">
        <f t="shared" si="109"/>
        <v>1.0143</v>
      </c>
      <c r="O140">
        <f t="shared" si="109"/>
        <v>0.29749999999999999</v>
      </c>
      <c r="P140">
        <f t="shared" si="109"/>
        <v>8.300347769</v>
      </c>
      <c r="Q140">
        <f t="shared" si="109"/>
        <v>2.4857000000000001E-2</v>
      </c>
      <c r="R140">
        <f t="shared" si="109"/>
        <v>0.40821000000000002</v>
      </c>
      <c r="S140">
        <f t="shared" si="109"/>
        <v>0.13331000000000001</v>
      </c>
      <c r="T140">
        <f t="shared" si="109"/>
        <v>2.9420000000000002E-2</v>
      </c>
      <c r="U140">
        <f t="shared" si="109"/>
        <v>4.3196E-4</v>
      </c>
      <c r="V140">
        <f t="shared" si="109"/>
        <v>0.27927000000000002</v>
      </c>
      <c r="W140">
        <f t="shared" si="109"/>
        <v>7.3639999999999997E-2</v>
      </c>
      <c r="X140">
        <f t="shared" si="109"/>
        <v>2.5277999999999998E-2</v>
      </c>
      <c r="Y140">
        <f t="shared" si="109"/>
        <v>1.1887000000000001E-4</v>
      </c>
      <c r="Z140">
        <f t="shared" si="109"/>
        <v>1.1467E-2</v>
      </c>
      <c r="AA140">
        <f t="shared" si="109"/>
        <v>-1.4652E-5</v>
      </c>
      <c r="AB140">
        <f t="shared" si="109"/>
        <v>1.7493E-8</v>
      </c>
      <c r="AC140">
        <f t="shared" si="109"/>
        <v>1.5398E-3</v>
      </c>
      <c r="AD140">
        <f t="shared" si="109"/>
        <v>6.7785999999999996E-4</v>
      </c>
      <c r="AE140">
        <f t="shared" si="109"/>
        <v>7.8450000000000004E-4</v>
      </c>
      <c r="AF140">
        <f t="shared" si="109"/>
        <v>3.1801999999999998E-5</v>
      </c>
      <c r="AG140">
        <f t="shared" si="109"/>
        <v>2.3995000000000002E-3</v>
      </c>
      <c r="AH140">
        <f t="shared" si="109"/>
        <v>3.0509000000000001E-3</v>
      </c>
    </row>
    <row r="141" spans="2:34" x14ac:dyDescent="0.25">
      <c r="B141" s="59" t="str">
        <f>C135</f>
        <v>5_Hub_10%IP</v>
      </c>
      <c r="C141" s="59" t="s">
        <v>806</v>
      </c>
      <c r="D141" s="59">
        <f>SUM(D135:D140)</f>
        <v>1.0000000000000002</v>
      </c>
      <c r="E141" s="59" t="s">
        <v>105</v>
      </c>
      <c r="F141" s="59"/>
      <c r="G141" s="59">
        <f>SUMPRODUCT($D135:$D140,G135:G140)</f>
        <v>0.49556430485639702</v>
      </c>
      <c r="H141" s="59">
        <f t="shared" ref="H141:AH141" si="110">SUMPRODUCT($D135:$D140,H135:H140)</f>
        <v>0.18644265451697131</v>
      </c>
      <c r="I141" s="59">
        <f t="shared" si="110"/>
        <v>5.9177568908616207</v>
      </c>
      <c r="J141" s="59">
        <f t="shared" si="110"/>
        <v>3.5427902588302876E-2</v>
      </c>
      <c r="K141" s="59">
        <f t="shared" si="110"/>
        <v>2.9885838065274157</v>
      </c>
      <c r="L141" s="59">
        <f t="shared" si="110"/>
        <v>8.8405231916449049E-5</v>
      </c>
      <c r="M141" s="59">
        <f t="shared" si="110"/>
        <v>0.10825101696866843</v>
      </c>
      <c r="N141" s="59">
        <f t="shared" si="110"/>
        <v>0.66159906038642291</v>
      </c>
      <c r="O141" s="59">
        <f t="shared" si="110"/>
        <v>0.29005840253785908</v>
      </c>
      <c r="P141" s="59">
        <f t="shared" si="110"/>
        <v>10.188208139619173</v>
      </c>
      <c r="Q141" s="59">
        <f t="shared" si="110"/>
        <v>3.483763238433419E-2</v>
      </c>
      <c r="R141" s="59">
        <f t="shared" si="110"/>
        <v>0.49083065201044396</v>
      </c>
      <c r="S141" s="59">
        <f t="shared" si="110"/>
        <v>0.15027428156657965</v>
      </c>
      <c r="T141" s="59">
        <f t="shared" si="110"/>
        <v>2.7972719289817229E-2</v>
      </c>
      <c r="U141" s="59">
        <f t="shared" si="110"/>
        <v>4.1113921483028728E-4</v>
      </c>
      <c r="V141" s="59">
        <f t="shared" si="110"/>
        <v>0.27527468783289805</v>
      </c>
      <c r="W141" s="59">
        <f t="shared" si="110"/>
        <v>0.20443110309138376</v>
      </c>
      <c r="X141" s="59">
        <f t="shared" si="110"/>
        <v>2.4108403080939946E-2</v>
      </c>
      <c r="Y141" s="59">
        <f t="shared" si="110"/>
        <v>1.2443824224543087E-4</v>
      </c>
      <c r="Z141" s="59">
        <f t="shared" si="110"/>
        <v>1.1311635154047E-2</v>
      </c>
      <c r="AA141" s="59">
        <f t="shared" si="110"/>
        <v>-5.3966538161879892E-5</v>
      </c>
      <c r="AB141" s="59">
        <f t="shared" si="110"/>
        <v>1.8804494892950391E-8</v>
      </c>
      <c r="AC141" s="59">
        <f t="shared" si="110"/>
        <v>1.3058165817232373E-3</v>
      </c>
      <c r="AD141" s="59">
        <f t="shared" si="110"/>
        <v>8.2784720501305486E-4</v>
      </c>
      <c r="AE141" s="59">
        <f t="shared" si="110"/>
        <v>1.3816301305483024E-3</v>
      </c>
      <c r="AF141" s="59">
        <f t="shared" si="110"/>
        <v>2.6338288835509137E-5</v>
      </c>
      <c r="AG141" s="59">
        <f t="shared" si="110"/>
        <v>2.194294862036554E-3</v>
      </c>
      <c r="AH141" s="59">
        <f t="shared" si="110"/>
        <v>4.9125572532637092E-3</v>
      </c>
    </row>
    <row r="142" spans="2:34" x14ac:dyDescent="0.25">
      <c r="B142" s="59" t="str">
        <f>B141</f>
        <v>5_Hub_10%IP</v>
      </c>
      <c r="C142" s="59"/>
      <c r="D142" s="59"/>
      <c r="E142" s="59"/>
      <c r="F142" s="59"/>
      <c r="G142" s="59">
        <f>SUMPRODUCT($D136:$D140,G136:G140)/SUM($D136:$D140)</f>
        <v>0.53406399999999998</v>
      </c>
      <c r="H142" s="59">
        <f t="shared" ref="H142:AH142" si="111">SUMPRODUCT($D136:$D140,H136:H140)/SUM($D136:$D140)</f>
        <v>0.17992160000000001</v>
      </c>
      <c r="I142" s="59">
        <f t="shared" si="111"/>
        <v>6.3082400000000005</v>
      </c>
      <c r="J142" s="59">
        <f t="shared" si="111"/>
        <v>6.3467612000000007E-2</v>
      </c>
      <c r="K142" s="59">
        <f t="shared" si="111"/>
        <v>2.9282999999999997</v>
      </c>
      <c r="L142" s="59">
        <f t="shared" si="111"/>
        <v>1.8071799999999999E-5</v>
      </c>
      <c r="M142" s="59">
        <f t="shared" si="111"/>
        <v>0.14932260000000003</v>
      </c>
      <c r="N142" s="59">
        <f t="shared" si="111"/>
        <v>0.46817880000000001</v>
      </c>
      <c r="O142" s="59">
        <f t="shared" si="111"/>
        <v>0.17417760000000002</v>
      </c>
      <c r="P142" s="59">
        <f t="shared" si="111"/>
        <v>10.2716262838</v>
      </c>
      <c r="Q142" s="59">
        <f t="shared" si="111"/>
        <v>2.70776E-2</v>
      </c>
      <c r="R142" s="59">
        <f t="shared" si="111"/>
        <v>0.52873400000000004</v>
      </c>
      <c r="S142" s="59">
        <f t="shared" si="111"/>
        <v>0.159718</v>
      </c>
      <c r="T142" s="59">
        <f t="shared" si="111"/>
        <v>2.88068E-2</v>
      </c>
      <c r="U142" s="59">
        <f t="shared" si="111"/>
        <v>4.0058200000000008E-4</v>
      </c>
      <c r="V142" s="59">
        <f t="shared" si="111"/>
        <v>0.26907800000000004</v>
      </c>
      <c r="W142" s="59">
        <f t="shared" si="111"/>
        <v>0.19043999999999997</v>
      </c>
      <c r="X142" s="59">
        <f t="shared" si="111"/>
        <v>2.46474E-2</v>
      </c>
      <c r="Y142" s="59">
        <f t="shared" si="111"/>
        <v>1.2190600000000002E-4</v>
      </c>
      <c r="Z142" s="59">
        <f t="shared" si="111"/>
        <v>1.1538400000000001E-2</v>
      </c>
      <c r="AA142" s="59">
        <f t="shared" si="111"/>
        <v>-1.9941200000000001E-5</v>
      </c>
      <c r="AB142" s="59">
        <f t="shared" si="111"/>
        <v>1.92224E-8</v>
      </c>
      <c r="AC142" s="59">
        <f t="shared" si="111"/>
        <v>1.34756E-3</v>
      </c>
      <c r="AD142" s="59">
        <f t="shared" si="111"/>
        <v>8.4148600000000001E-4</v>
      </c>
      <c r="AE142" s="59">
        <f t="shared" si="111"/>
        <v>1.3588200000000002E-3</v>
      </c>
      <c r="AF142" s="59">
        <f t="shared" si="111"/>
        <v>3.0578599999999999E-5</v>
      </c>
      <c r="AG142" s="59">
        <f t="shared" si="111"/>
        <v>2.4925400000000001E-3</v>
      </c>
      <c r="AH142" s="59">
        <f t="shared" si="111"/>
        <v>2.5777199999999999E-3</v>
      </c>
    </row>
    <row r="143" spans="2:34" x14ac:dyDescent="0.25">
      <c r="B143" t="s">
        <v>593</v>
      </c>
      <c r="C143" t="str">
        <f>'[3]LCIA-Elec'!BJ89</f>
        <v>5_Hub_30%IP</v>
      </c>
      <c r="D143">
        <f>'[3]LCIA-Elec'!$Y$68/$A$3</f>
        <v>0.69973890339425593</v>
      </c>
      <c r="E143" t="s">
        <v>105</v>
      </c>
      <c r="F143" t="s">
        <v>829</v>
      </c>
      <c r="G143">
        <f>'[3]LCIA-Elec'!BK89</f>
        <v>0.4723431297014925</v>
      </c>
      <c r="H143">
        <f>'[3]LCIA-Elec'!BL89</f>
        <v>0.1895730846268657</v>
      </c>
      <c r="I143">
        <f>'[3]LCIA-Elec'!BM89</f>
        <v>5.6970973477611953</v>
      </c>
      <c r="J143">
        <f>'[3]LCIA-Elec'!BN89</f>
        <v>2.5742774557164182E-2</v>
      </c>
      <c r="K143">
        <f>'[3]LCIA-Elec'!BO89</f>
        <v>3.1170384249999996</v>
      </c>
      <c r="L143">
        <f>'[3]LCIA-Elec'!BP89</f>
        <v>1.1845792098507459E-4</v>
      </c>
      <c r="M143">
        <f>'[3]LCIA-Elec'!BQ89</f>
        <v>9.5426833951492554E-2</v>
      </c>
      <c r="N143">
        <f>'[3]LCIA-Elec'!BR89</f>
        <v>0.74752447808955214</v>
      </c>
      <c r="O143">
        <f>'[3]LCIA-Elec'!BS89</f>
        <v>0.30072976929850748</v>
      </c>
      <c r="P143">
        <f>'[3]LCIA-Elec'!BT89</f>
        <v>10.173251171205759</v>
      </c>
      <c r="Q143">
        <f>'[3]LCIA-Elec'!BU89</f>
        <v>3.8139276877611927E-2</v>
      </c>
      <c r="R143">
        <f>'[3]LCIA-Elec'!BV89</f>
        <v>0.4678273123880598</v>
      </c>
      <c r="S143">
        <f>'[3]LCIA-Elec'!BW89</f>
        <v>0.14529305910447762</v>
      </c>
      <c r="T143">
        <f>'[3]LCIA-Elec'!BX89</f>
        <v>2.7120833910447759E-2</v>
      </c>
      <c r="U143">
        <f>'[3]LCIA-Elec'!BY89</f>
        <v>3.8359402716417912E-4</v>
      </c>
      <c r="V143">
        <f>'[3]LCIA-Elec'!BZ89</f>
        <v>0.25837841582089538</v>
      </c>
      <c r="W143">
        <f>'[3]LCIA-Elec'!CA89</f>
        <v>0.21708498688059694</v>
      </c>
      <c r="X143">
        <f>'[3]LCIA-Elec'!CB89</f>
        <v>2.339375888059702E-2</v>
      </c>
      <c r="Y143">
        <f>'[3]LCIA-Elec'!CC89</f>
        <v>1.1872569694029849E-4</v>
      </c>
      <c r="Z143">
        <f>'[3]LCIA-Elec'!CD89</f>
        <v>1.1218616656716422E-2</v>
      </c>
      <c r="AA143">
        <f>'[3]LCIA-Elec'!CE89</f>
        <v>-6.8031776552238799E-5</v>
      </c>
      <c r="AB143">
        <f>'[3]LCIA-Elec'!CF89</f>
        <v>1.8928558000000005E-8</v>
      </c>
      <c r="AC143">
        <f>'[3]LCIA-Elec'!CG89</f>
        <v>1.153251682089552E-3</v>
      </c>
      <c r="AD143">
        <f>'[3]LCIA-Elec'!CH89</f>
        <v>8.0874052059701478E-4</v>
      </c>
      <c r="AE143">
        <f>'[3]LCIA-Elec'!CI89</f>
        <v>1.3497490298507457E-3</v>
      </c>
      <c r="AF143">
        <f>'[3]LCIA-Elec'!CJ89</f>
        <v>2.4868121731343287E-5</v>
      </c>
      <c r="AG143">
        <f>'[3]LCIA-Elec'!CK89</f>
        <v>2.0806725080597019E-3</v>
      </c>
      <c r="AH143">
        <f>'[3]LCIA-Elec'!CL89</f>
        <v>5.8604829402985077E-3</v>
      </c>
    </row>
    <row r="144" spans="2:34" x14ac:dyDescent="0.25">
      <c r="B144" t="str">
        <f>'[3]5_Hub_30%IP'!Y386</f>
        <v>Newark Liberty International Airport</v>
      </c>
      <c r="C144" t="str">
        <f>C136</f>
        <v>market for electricity, low voltage, US-RFC</v>
      </c>
      <c r="D144">
        <f>'[3]5_Hub_30%IP'!$Z386/$A$3</f>
        <v>5.2219321148825062E-2</v>
      </c>
      <c r="E144" t="str">
        <f t="shared" ref="E144:AH144" si="112">E136</f>
        <v>kWh</v>
      </c>
      <c r="F144" t="str">
        <f t="shared" si="112"/>
        <v>Ecoinvent v3.7.1</v>
      </c>
      <c r="G144">
        <f t="shared" si="112"/>
        <v>0.61436999999999997</v>
      </c>
      <c r="H144">
        <f t="shared" si="112"/>
        <v>8.2399E-2</v>
      </c>
      <c r="I144">
        <f t="shared" si="112"/>
        <v>6.7473999999999998</v>
      </c>
      <c r="J144">
        <f t="shared" si="112"/>
        <v>4.0428000000000003E-4</v>
      </c>
      <c r="K144">
        <f t="shared" si="112"/>
        <v>4.3425000000000002</v>
      </c>
      <c r="L144">
        <f t="shared" si="112"/>
        <v>1.3322000000000001E-5</v>
      </c>
      <c r="M144">
        <f t="shared" si="112"/>
        <v>1.5082999999999999E-2</v>
      </c>
      <c r="N144">
        <f t="shared" si="112"/>
        <v>6.8917000000000006E-2</v>
      </c>
      <c r="O144">
        <f t="shared" si="112"/>
        <v>0.1275</v>
      </c>
      <c r="P144">
        <f t="shared" si="112"/>
        <v>11.384216602</v>
      </c>
      <c r="Q144">
        <f t="shared" si="112"/>
        <v>1.3875999999999999E-2</v>
      </c>
      <c r="R144">
        <f t="shared" si="112"/>
        <v>0.60836999999999997</v>
      </c>
      <c r="S144">
        <f t="shared" si="112"/>
        <v>0.16855999999999999</v>
      </c>
      <c r="T144">
        <f t="shared" si="112"/>
        <v>2.7827999999999999E-2</v>
      </c>
      <c r="U144">
        <f t="shared" si="112"/>
        <v>3.4965000000000002E-4</v>
      </c>
      <c r="V144">
        <f t="shared" si="112"/>
        <v>0.24507000000000001</v>
      </c>
      <c r="W144">
        <f t="shared" si="112"/>
        <v>0.28216999999999998</v>
      </c>
      <c r="X144">
        <f t="shared" si="112"/>
        <v>2.3791E-2</v>
      </c>
      <c r="Y144">
        <f t="shared" si="112"/>
        <v>1.1882E-4</v>
      </c>
      <c r="Z144">
        <f t="shared" si="112"/>
        <v>1.1622E-2</v>
      </c>
      <c r="AA144">
        <f t="shared" si="112"/>
        <v>-2.4247999999999999E-5</v>
      </c>
      <c r="AB144">
        <f t="shared" si="112"/>
        <v>1.8053E-8</v>
      </c>
      <c r="AC144">
        <f t="shared" si="112"/>
        <v>1.1259E-3</v>
      </c>
      <c r="AD144">
        <f t="shared" si="112"/>
        <v>9.8528999999999999E-4</v>
      </c>
      <c r="AE144">
        <f t="shared" si="112"/>
        <v>1.8718000000000001E-3</v>
      </c>
      <c r="AF144">
        <f t="shared" si="112"/>
        <v>2.6829999999999999E-5</v>
      </c>
      <c r="AG144">
        <f t="shared" si="112"/>
        <v>2.5512999999999998E-3</v>
      </c>
      <c r="AH144">
        <f t="shared" si="112"/>
        <v>2.2418E-3</v>
      </c>
    </row>
    <row r="145" spans="2:34" x14ac:dyDescent="0.25">
      <c r="B145" t="str">
        <f>'[3]5_Hub_30%IP'!Y387</f>
        <v>Seattle-Tacoma International Airport</v>
      </c>
      <c r="C145" t="str">
        <f>C137</f>
        <v>market for electricity, low voltage, US-WECC</v>
      </c>
      <c r="D145">
        <f>'[3]5_Hub_30%IP'!$Z387/$A$3</f>
        <v>5.2219321148825062E-2</v>
      </c>
      <c r="E145" t="str">
        <f t="shared" ref="E145:AH145" si="113">E137</f>
        <v>kWh</v>
      </c>
      <c r="F145" t="str">
        <f t="shared" si="113"/>
        <v>Ecoinvent v3.7.1</v>
      </c>
      <c r="G145">
        <f t="shared" si="113"/>
        <v>0.41233999999999998</v>
      </c>
      <c r="H145">
        <f t="shared" si="113"/>
        <v>0.16356000000000001</v>
      </c>
      <c r="I145">
        <f t="shared" si="113"/>
        <v>5.2107000000000001</v>
      </c>
      <c r="J145">
        <f t="shared" si="113"/>
        <v>0.15804000000000001</v>
      </c>
      <c r="K145">
        <f t="shared" si="113"/>
        <v>1.1274</v>
      </c>
      <c r="L145">
        <f t="shared" si="113"/>
        <v>1.7768999999999999E-5</v>
      </c>
      <c r="M145">
        <f t="shared" si="113"/>
        <v>0.32883000000000001</v>
      </c>
      <c r="N145">
        <f t="shared" si="113"/>
        <v>1.0143</v>
      </c>
      <c r="O145">
        <f t="shared" si="113"/>
        <v>0.29749999999999999</v>
      </c>
      <c r="P145">
        <f t="shared" si="113"/>
        <v>8.300347769</v>
      </c>
      <c r="Q145">
        <f t="shared" si="113"/>
        <v>2.4857000000000001E-2</v>
      </c>
      <c r="R145">
        <f t="shared" si="113"/>
        <v>0.40821000000000002</v>
      </c>
      <c r="S145">
        <f t="shared" si="113"/>
        <v>0.13331000000000001</v>
      </c>
      <c r="T145">
        <f t="shared" si="113"/>
        <v>2.9420000000000002E-2</v>
      </c>
      <c r="U145">
        <f t="shared" si="113"/>
        <v>4.3196E-4</v>
      </c>
      <c r="V145">
        <f t="shared" si="113"/>
        <v>0.27927000000000002</v>
      </c>
      <c r="W145">
        <f t="shared" si="113"/>
        <v>7.3639999999999997E-2</v>
      </c>
      <c r="X145">
        <f t="shared" si="113"/>
        <v>2.5277999999999998E-2</v>
      </c>
      <c r="Y145">
        <f t="shared" si="113"/>
        <v>1.1887000000000001E-4</v>
      </c>
      <c r="Z145">
        <f t="shared" si="113"/>
        <v>1.1467E-2</v>
      </c>
      <c r="AA145">
        <f t="shared" si="113"/>
        <v>-1.4652E-5</v>
      </c>
      <c r="AB145">
        <f t="shared" si="113"/>
        <v>1.7493E-8</v>
      </c>
      <c r="AC145">
        <f t="shared" si="113"/>
        <v>1.5398E-3</v>
      </c>
      <c r="AD145">
        <f t="shared" si="113"/>
        <v>6.7785999999999996E-4</v>
      </c>
      <c r="AE145">
        <f t="shared" si="113"/>
        <v>7.8450000000000004E-4</v>
      </c>
      <c r="AF145">
        <f t="shared" si="113"/>
        <v>3.1801999999999998E-5</v>
      </c>
      <c r="AG145">
        <f t="shared" si="113"/>
        <v>2.3995000000000002E-3</v>
      </c>
      <c r="AH145">
        <f t="shared" si="113"/>
        <v>3.0509000000000001E-3</v>
      </c>
    </row>
    <row r="146" spans="2:34" x14ac:dyDescent="0.25">
      <c r="B146" t="str">
        <f>'[3]5_Hub_30%IP'!Y388</f>
        <v>Hartsfield-Jackson Atlanta International Airport</v>
      </c>
      <c r="C146" t="str">
        <f>C138</f>
        <v>market for electricity, low voltage, US-SERC</v>
      </c>
      <c r="D146">
        <f>'[3]5_Hub_30%IP'!$Z388/$A$3</f>
        <v>5.2219321148825062E-2</v>
      </c>
      <c r="E146" t="str">
        <f t="shared" ref="E146:AH146" si="114">E138</f>
        <v>kWh</v>
      </c>
      <c r="F146" t="str">
        <f t="shared" si="114"/>
        <v>Ecoinvent v3.7.1</v>
      </c>
      <c r="G146">
        <f t="shared" si="114"/>
        <v>0.6169</v>
      </c>
      <c r="H146">
        <f t="shared" si="114"/>
        <v>0.40769</v>
      </c>
      <c r="I146">
        <f t="shared" si="114"/>
        <v>7.625</v>
      </c>
      <c r="J146">
        <f t="shared" si="114"/>
        <v>4.4949999999999998E-4</v>
      </c>
      <c r="K146">
        <f t="shared" si="114"/>
        <v>3.7017000000000002</v>
      </c>
      <c r="L146">
        <f t="shared" si="114"/>
        <v>2.8177000000000001E-5</v>
      </c>
      <c r="M146">
        <f t="shared" si="114"/>
        <v>5.8786999999999999E-2</v>
      </c>
      <c r="N146">
        <f t="shared" si="114"/>
        <v>0.17446</v>
      </c>
      <c r="O146">
        <f t="shared" si="114"/>
        <v>2.0888E-2</v>
      </c>
      <c r="P146">
        <f t="shared" si="114"/>
        <v>11.989002677000002</v>
      </c>
      <c r="Q146">
        <f t="shared" si="114"/>
        <v>5.7922000000000001E-2</v>
      </c>
      <c r="R146">
        <f t="shared" si="114"/>
        <v>0.61051</v>
      </c>
      <c r="S146">
        <f t="shared" si="114"/>
        <v>0.19485</v>
      </c>
      <c r="T146">
        <f t="shared" si="114"/>
        <v>2.9537999999999998E-2</v>
      </c>
      <c r="U146">
        <f t="shared" si="114"/>
        <v>4.3969000000000001E-4</v>
      </c>
      <c r="V146">
        <f t="shared" si="114"/>
        <v>0.29670999999999997</v>
      </c>
      <c r="W146">
        <f t="shared" si="114"/>
        <v>0.24057999999999999</v>
      </c>
      <c r="X146">
        <f t="shared" si="114"/>
        <v>2.5099E-2</v>
      </c>
      <c r="Y146">
        <f t="shared" si="114"/>
        <v>1.3415000000000001E-4</v>
      </c>
      <c r="Z146">
        <f t="shared" si="114"/>
        <v>1.1514E-2</v>
      </c>
      <c r="AA146">
        <f t="shared" si="114"/>
        <v>-2.1906E-5</v>
      </c>
      <c r="AB146">
        <f t="shared" si="114"/>
        <v>2.5019999999999998E-8</v>
      </c>
      <c r="AC146">
        <f t="shared" si="114"/>
        <v>1.4063999999999999E-3</v>
      </c>
      <c r="AD146">
        <f t="shared" si="114"/>
        <v>8.8113000000000004E-4</v>
      </c>
      <c r="AE146">
        <f t="shared" si="114"/>
        <v>1.4815E-3</v>
      </c>
      <c r="AF146">
        <f t="shared" si="114"/>
        <v>3.5629000000000001E-5</v>
      </c>
      <c r="AG146">
        <f t="shared" si="114"/>
        <v>2.5611000000000002E-3</v>
      </c>
      <c r="AH146">
        <f t="shared" si="114"/>
        <v>2.3032E-3</v>
      </c>
    </row>
    <row r="147" spans="2:34" x14ac:dyDescent="0.25">
      <c r="B147" t="str">
        <f>'[3]5_Hub_30%IP'!Y389</f>
        <v>O'Hare International Airport</v>
      </c>
      <c r="C147" t="str">
        <f>C139</f>
        <v>market for electricity, low voltage, US-RFC</v>
      </c>
      <c r="D147">
        <f>'[3]5_Hub_30%IP'!$Z389/$A$3</f>
        <v>8.6161879895561358E-2</v>
      </c>
      <c r="E147" t="str">
        <f t="shared" ref="E147:AH147" si="115">E139</f>
        <v>kWh</v>
      </c>
      <c r="F147" t="str">
        <f t="shared" si="115"/>
        <v>Ecoinvent v3.7.1</v>
      </c>
      <c r="G147">
        <f t="shared" si="115"/>
        <v>0.61436999999999997</v>
      </c>
      <c r="H147">
        <f t="shared" si="115"/>
        <v>8.2399E-2</v>
      </c>
      <c r="I147">
        <f t="shared" si="115"/>
        <v>6.7473999999999998</v>
      </c>
      <c r="J147">
        <f t="shared" si="115"/>
        <v>4.0428000000000003E-4</v>
      </c>
      <c r="K147">
        <f t="shared" si="115"/>
        <v>4.3425000000000002</v>
      </c>
      <c r="L147">
        <f t="shared" si="115"/>
        <v>1.3322000000000001E-5</v>
      </c>
      <c r="M147">
        <f t="shared" si="115"/>
        <v>1.5082999999999999E-2</v>
      </c>
      <c r="N147">
        <f t="shared" si="115"/>
        <v>6.8917000000000006E-2</v>
      </c>
      <c r="O147">
        <f t="shared" si="115"/>
        <v>0.1275</v>
      </c>
      <c r="P147">
        <f t="shared" si="115"/>
        <v>11.384216602</v>
      </c>
      <c r="Q147">
        <f t="shared" si="115"/>
        <v>1.3875999999999999E-2</v>
      </c>
      <c r="R147">
        <f t="shared" si="115"/>
        <v>0.60836999999999997</v>
      </c>
      <c r="S147">
        <f t="shared" si="115"/>
        <v>0.16855999999999999</v>
      </c>
      <c r="T147">
        <f t="shared" si="115"/>
        <v>2.7827999999999999E-2</v>
      </c>
      <c r="U147">
        <f t="shared" si="115"/>
        <v>3.4965000000000002E-4</v>
      </c>
      <c r="V147">
        <f t="shared" si="115"/>
        <v>0.24507000000000001</v>
      </c>
      <c r="W147">
        <f t="shared" si="115"/>
        <v>0.28216999999999998</v>
      </c>
      <c r="X147">
        <f t="shared" si="115"/>
        <v>2.3791E-2</v>
      </c>
      <c r="Y147">
        <f t="shared" si="115"/>
        <v>1.1882E-4</v>
      </c>
      <c r="Z147">
        <f t="shared" si="115"/>
        <v>1.1622E-2</v>
      </c>
      <c r="AA147">
        <f t="shared" si="115"/>
        <v>-2.4247999999999999E-5</v>
      </c>
      <c r="AB147">
        <f t="shared" si="115"/>
        <v>1.8053E-8</v>
      </c>
      <c r="AC147">
        <f t="shared" si="115"/>
        <v>1.1259E-3</v>
      </c>
      <c r="AD147">
        <f t="shared" si="115"/>
        <v>9.8528999999999999E-4</v>
      </c>
      <c r="AE147">
        <f t="shared" si="115"/>
        <v>1.8718000000000001E-3</v>
      </c>
      <c r="AF147">
        <f t="shared" si="115"/>
        <v>2.6829999999999999E-5</v>
      </c>
      <c r="AG147">
        <f t="shared" si="115"/>
        <v>2.5512999999999998E-3</v>
      </c>
      <c r="AH147">
        <f t="shared" si="115"/>
        <v>2.2418E-3</v>
      </c>
    </row>
    <row r="148" spans="2:34" x14ac:dyDescent="0.25">
      <c r="B148" t="str">
        <f>'[3]5_Hub_30%IP'!Y390</f>
        <v>Denver International Airport</v>
      </c>
      <c r="C148" t="str">
        <f>C140</f>
        <v>market for electricity, low voltage, US-WECC</v>
      </c>
      <c r="D148">
        <f>'[3]5_Hub_30%IP'!$Z390/$A$3</f>
        <v>5.7441253263707574E-2</v>
      </c>
      <c r="E148" t="str">
        <f t="shared" ref="E148:AH148" si="116">E140</f>
        <v>kWh</v>
      </c>
      <c r="F148" t="str">
        <f t="shared" si="116"/>
        <v>Ecoinvent v3.7.1</v>
      </c>
      <c r="G148">
        <f t="shared" si="116"/>
        <v>0.41233999999999998</v>
      </c>
      <c r="H148">
        <f t="shared" si="116"/>
        <v>0.16356000000000001</v>
      </c>
      <c r="I148">
        <f t="shared" si="116"/>
        <v>5.2107000000000001</v>
      </c>
      <c r="J148">
        <f t="shared" si="116"/>
        <v>0.15804000000000001</v>
      </c>
      <c r="K148">
        <f t="shared" si="116"/>
        <v>1.1274</v>
      </c>
      <c r="L148">
        <f t="shared" si="116"/>
        <v>1.7768999999999999E-5</v>
      </c>
      <c r="M148">
        <f t="shared" si="116"/>
        <v>0.32883000000000001</v>
      </c>
      <c r="N148">
        <f t="shared" si="116"/>
        <v>1.0143</v>
      </c>
      <c r="O148">
        <f t="shared" si="116"/>
        <v>0.29749999999999999</v>
      </c>
      <c r="P148">
        <f t="shared" si="116"/>
        <v>8.300347769</v>
      </c>
      <c r="Q148">
        <f t="shared" si="116"/>
        <v>2.4857000000000001E-2</v>
      </c>
      <c r="R148">
        <f t="shared" si="116"/>
        <v>0.40821000000000002</v>
      </c>
      <c r="S148">
        <f t="shared" si="116"/>
        <v>0.13331000000000001</v>
      </c>
      <c r="T148">
        <f t="shared" si="116"/>
        <v>2.9420000000000002E-2</v>
      </c>
      <c r="U148">
        <f t="shared" si="116"/>
        <v>4.3196E-4</v>
      </c>
      <c r="V148">
        <f t="shared" si="116"/>
        <v>0.27927000000000002</v>
      </c>
      <c r="W148">
        <f t="shared" si="116"/>
        <v>7.3639999999999997E-2</v>
      </c>
      <c r="X148">
        <f t="shared" si="116"/>
        <v>2.5277999999999998E-2</v>
      </c>
      <c r="Y148">
        <f t="shared" si="116"/>
        <v>1.1887000000000001E-4</v>
      </c>
      <c r="Z148">
        <f t="shared" si="116"/>
        <v>1.1467E-2</v>
      </c>
      <c r="AA148">
        <f t="shared" si="116"/>
        <v>-1.4652E-5</v>
      </c>
      <c r="AB148">
        <f t="shared" si="116"/>
        <v>1.7493E-8</v>
      </c>
      <c r="AC148">
        <f t="shared" si="116"/>
        <v>1.5398E-3</v>
      </c>
      <c r="AD148">
        <f t="shared" si="116"/>
        <v>6.7785999999999996E-4</v>
      </c>
      <c r="AE148">
        <f t="shared" si="116"/>
        <v>7.8450000000000004E-4</v>
      </c>
      <c r="AF148">
        <f t="shared" si="116"/>
        <v>3.1801999999999998E-5</v>
      </c>
      <c r="AG148">
        <f t="shared" si="116"/>
        <v>2.3995000000000002E-3</v>
      </c>
      <c r="AH148">
        <f t="shared" si="116"/>
        <v>3.0509000000000001E-3</v>
      </c>
    </row>
    <row r="149" spans="2:34" x14ac:dyDescent="0.25">
      <c r="B149" s="59" t="str">
        <f>C143</f>
        <v>5_Hub_30%IP</v>
      </c>
      <c r="C149" s="59" t="s">
        <v>806</v>
      </c>
      <c r="D149" s="59">
        <f>SUM(D143:D148)</f>
        <v>1.0000000000000002</v>
      </c>
      <c r="E149" s="59" t="s">
        <v>105</v>
      </c>
      <c r="F149" s="59"/>
      <c r="G149" s="59">
        <f>SUMPRODUCT($D143:$D148,G143:G148)</f>
        <v>0.49296566255874674</v>
      </c>
      <c r="H149" s="59">
        <f t="shared" ref="H149:AH149" si="117">SUMPRODUCT($D143:$D148,H143:H148)</f>
        <v>0.18327951352480421</v>
      </c>
      <c r="I149" s="59">
        <f t="shared" si="117"/>
        <v>5.8897746454308102</v>
      </c>
      <c r="J149" s="59">
        <f t="shared" si="117"/>
        <v>3.5423395355926895E-2</v>
      </c>
      <c r="K149" s="59">
        <f t="shared" si="117"/>
        <v>3.098965007571802</v>
      </c>
      <c r="L149" s="59">
        <f t="shared" si="117"/>
        <v>8.8153072647519546E-5</v>
      </c>
      <c r="M149" s="59">
        <f t="shared" si="117"/>
        <v>0.10799057571540471</v>
      </c>
      <c r="N149" s="59">
        <f t="shared" si="117"/>
        <v>0.65294767918537855</v>
      </c>
      <c r="O149" s="59">
        <f t="shared" si="117"/>
        <v>0.26179070018798956</v>
      </c>
      <c r="P149" s="59">
        <f t="shared" si="117"/>
        <v>10.230259670044763</v>
      </c>
      <c r="Q149" s="59">
        <f t="shared" si="117"/>
        <v>3.4358193742036545E-2</v>
      </c>
      <c r="R149" s="59">
        <f t="shared" si="117"/>
        <v>0.48818890266318549</v>
      </c>
      <c r="S149" s="59">
        <f t="shared" si="117"/>
        <v>0.14978652699738904</v>
      </c>
      <c r="T149" s="59">
        <f t="shared" si="117"/>
        <v>2.7597043049608354E-2</v>
      </c>
      <c r="U149" s="59">
        <f t="shared" si="117"/>
        <v>3.8712994590078337E-4</v>
      </c>
      <c r="V149" s="59">
        <f t="shared" si="117"/>
        <v>0.26082941368146201</v>
      </c>
      <c r="W149" s="59">
        <f t="shared" si="117"/>
        <v>0.2115881631436031</v>
      </c>
      <c r="X149" s="59">
        <f t="shared" si="117"/>
        <v>2.374440308093995E-2</v>
      </c>
      <c r="Y149" s="59">
        <f t="shared" si="117"/>
        <v>1.1956001770234988E-4</v>
      </c>
      <c r="Z149" s="59">
        <f t="shared" si="117"/>
        <v>1.1317099906005226E-2</v>
      </c>
      <c r="AA149" s="59">
        <f t="shared" si="117"/>
        <v>-5.3710611268929502E-5</v>
      </c>
      <c r="AB149" s="59">
        <f t="shared" si="117"/>
        <v>1.8968064083550918E-8</v>
      </c>
      <c r="AC149" s="59">
        <f t="shared" si="117"/>
        <v>1.2050750673629242E-3</v>
      </c>
      <c r="AD149" s="59">
        <f t="shared" si="117"/>
        <v>8.225993460052219E-4</v>
      </c>
      <c r="AE149" s="59">
        <f t="shared" si="117"/>
        <v>1.3668854830287203E-3</v>
      </c>
      <c r="AF149" s="59">
        <f t="shared" si="117"/>
        <v>2.6461907634464755E-5</v>
      </c>
      <c r="AG149" s="59">
        <f t="shared" si="117"/>
        <v>2.205848909033943E-3</v>
      </c>
      <c r="AH149" s="59">
        <f t="shared" si="117"/>
        <v>4.8658658694516977E-3</v>
      </c>
    </row>
    <row r="150" spans="2:34" x14ac:dyDescent="0.25">
      <c r="B150" s="59" t="str">
        <f>B149</f>
        <v>5_Hub_30%IP</v>
      </c>
      <c r="C150" s="59"/>
      <c r="D150" s="59"/>
      <c r="E150" s="59"/>
      <c r="F150" s="59"/>
      <c r="G150" s="59">
        <f>SUMPRODUCT($D144:$D148,G144:G148)/SUM($D144:$D148)</f>
        <v>0.54102513043478262</v>
      </c>
      <c r="H150" s="59">
        <f t="shared" ref="H150:AH150" si="118">SUMPRODUCT($D144:$D148,H144:H148)/SUM($D144:$D148)</f>
        <v>0.16861275652173913</v>
      </c>
      <c r="I150" s="59">
        <f t="shared" si="118"/>
        <v>6.3387965217391304</v>
      </c>
      <c r="J150" s="59">
        <f t="shared" si="118"/>
        <v>5.7983450782608692E-2</v>
      </c>
      <c r="K150" s="59">
        <f t="shared" si="118"/>
        <v>3.0568460869565217</v>
      </c>
      <c r="L150" s="59">
        <f t="shared" si="118"/>
        <v>1.7529599999999999E-5</v>
      </c>
      <c r="M150" s="59">
        <f t="shared" si="118"/>
        <v>0.13726955652173914</v>
      </c>
      <c r="N150" s="59">
        <f t="shared" si="118"/>
        <v>0.43254261739130434</v>
      </c>
      <c r="O150" s="59">
        <f t="shared" si="118"/>
        <v>0.17104573913043478</v>
      </c>
      <c r="P150" s="59">
        <f t="shared" si="118"/>
        <v>10.363114258643478</v>
      </c>
      <c r="Q150" s="59">
        <f t="shared" si="118"/>
        <v>2.5546626086956518E-2</v>
      </c>
      <c r="R150" s="59">
        <f t="shared" si="118"/>
        <v>0.53564026086956507</v>
      </c>
      <c r="S150" s="59">
        <f t="shared" si="118"/>
        <v>0.16025826086956521</v>
      </c>
      <c r="T150" s="59">
        <f t="shared" si="118"/>
        <v>2.8706817391304353E-2</v>
      </c>
      <c r="U150" s="59">
        <f t="shared" si="118"/>
        <v>3.9537017391304345E-4</v>
      </c>
      <c r="V150" s="59">
        <f t="shared" si="118"/>
        <v>0.26654130434782608</v>
      </c>
      <c r="W150" s="59">
        <f t="shared" si="118"/>
        <v>0.19877817391304345</v>
      </c>
      <c r="X150" s="59">
        <f t="shared" si="118"/>
        <v>2.4561556521739126E-2</v>
      </c>
      <c r="Y150" s="59">
        <f t="shared" si="118"/>
        <v>1.2150434782608695E-4</v>
      </c>
      <c r="Z150" s="59">
        <f t="shared" si="118"/>
        <v>1.1546608695652173E-2</v>
      </c>
      <c r="AA150" s="59">
        <f t="shared" si="118"/>
        <v>-2.033606956521739E-5</v>
      </c>
      <c r="AB150" s="59">
        <f t="shared" si="118"/>
        <v>1.9060130434782606E-8</v>
      </c>
      <c r="AC150" s="59">
        <f t="shared" si="118"/>
        <v>1.3258460869565217E-3</v>
      </c>
      <c r="AD150" s="59">
        <f t="shared" si="118"/>
        <v>8.5489643478260853E-4</v>
      </c>
      <c r="AE150" s="59">
        <f t="shared" si="118"/>
        <v>1.4068208695652174E-3</v>
      </c>
      <c r="AF150" s="59">
        <f t="shared" si="118"/>
        <v>3.0176121739130435E-5</v>
      </c>
      <c r="AG150" s="59">
        <f t="shared" si="118"/>
        <v>2.4975643478260868E-3</v>
      </c>
      <c r="AH150" s="59">
        <f t="shared" si="118"/>
        <v>2.547975652173913E-3</v>
      </c>
    </row>
    <row r="151" spans="2:34" x14ac:dyDescent="0.25">
      <c r="B151" t="s">
        <v>593</v>
      </c>
      <c r="C151" t="str">
        <f>'[3]LCIA-Elec'!BJ90</f>
        <v>5_Hub_50%IP</v>
      </c>
      <c r="D151">
        <f>'[3]LCIA-Elec'!$Z$68/$A$3</f>
        <v>0.49869451697127937</v>
      </c>
      <c r="E151" t="s">
        <v>105</v>
      </c>
      <c r="F151" t="s">
        <v>829</v>
      </c>
      <c r="G151">
        <f>'[3]LCIA-Elec'!BK90</f>
        <v>0.47375931287958112</v>
      </c>
      <c r="H151">
        <f>'[3]LCIA-Elec'!BL90</f>
        <v>0.17900700356020943</v>
      </c>
      <c r="I151">
        <f>'[3]LCIA-Elec'!BM90</f>
        <v>5.7278533465968593</v>
      </c>
      <c r="J151">
        <f>'[3]LCIA-Elec'!BN90</f>
        <v>3.3503926499057597E-2</v>
      </c>
      <c r="K151">
        <f>'[3]LCIA-Elec'!BO90</f>
        <v>2.5778088895287961</v>
      </c>
      <c r="L151">
        <f>'[3]LCIA-Elec'!BP90</f>
        <v>1.5923525038743456E-4</v>
      </c>
      <c r="M151">
        <f>'[3]LCIA-Elec'!BQ90</f>
        <v>0.11872378795287961</v>
      </c>
      <c r="N151">
        <f>'[3]LCIA-Elec'!BR90</f>
        <v>0.90844964988481658</v>
      </c>
      <c r="O151">
        <f>'[3]LCIA-Elec'!BS90</f>
        <v>0.36640156110994754</v>
      </c>
      <c r="P151">
        <f>'[3]LCIA-Elec'!BT90</f>
        <v>9.9119074003829564</v>
      </c>
      <c r="Q151">
        <f>'[3]LCIA-Elec'!BU90</f>
        <v>4.0535126718324606E-2</v>
      </c>
      <c r="R151">
        <f>'[3]LCIA-Elec'!BV90</f>
        <v>0.46957052209424088</v>
      </c>
      <c r="S151">
        <f>'[3]LCIA-Elec'!BW90</f>
        <v>0.14523560125654453</v>
      </c>
      <c r="T151">
        <f>'[3]LCIA-Elec'!BX90</f>
        <v>2.7458939727748693E-2</v>
      </c>
      <c r="U151">
        <f>'[3]LCIA-Elec'!BY90</f>
        <v>4.4074284439790564E-4</v>
      </c>
      <c r="V151">
        <f>'[3]LCIA-Elec'!BZ90</f>
        <v>0.29162781905759161</v>
      </c>
      <c r="W151">
        <f>'[3]LCIA-Elec'!CA90</f>
        <v>0.18400034808376955</v>
      </c>
      <c r="X151">
        <f>'[3]LCIA-Elec'!CB90</f>
        <v>2.3878363246073297E-2</v>
      </c>
      <c r="Y151">
        <f>'[3]LCIA-Elec'!CC90</f>
        <v>1.3061877895287956E-4</v>
      </c>
      <c r="Z151">
        <f>'[3]LCIA-Elec'!CD90</f>
        <v>1.1114179392670155E-2</v>
      </c>
      <c r="AA151">
        <f>'[3]LCIA-Elec'!CE90</f>
        <v>-8.7582189089005239E-5</v>
      </c>
      <c r="AB151">
        <f>'[3]LCIA-Elec'!CF90</f>
        <v>1.8198458345549737E-8</v>
      </c>
      <c r="AC151">
        <f>'[3]LCIA-Elec'!CG90</f>
        <v>1.2886077005235602E-3</v>
      </c>
      <c r="AD151">
        <f>'[3]LCIA-Elec'!CH90</f>
        <v>8.3454125403141348E-4</v>
      </c>
      <c r="AE151">
        <f>'[3]LCIA-Elec'!CI90</f>
        <v>1.3784003141361252E-3</v>
      </c>
      <c r="AF151">
        <f>'[3]LCIA-Elec'!CJ90</f>
        <v>2.3288374994764398E-5</v>
      </c>
      <c r="AG151">
        <f>'[3]LCIA-Elec'!CK90</f>
        <v>2.1241031003141364E-3</v>
      </c>
      <c r="AH151">
        <f>'[3]LCIA-Elec'!CL90</f>
        <v>6.7868907225130904E-3</v>
      </c>
    </row>
    <row r="152" spans="2:34" x14ac:dyDescent="0.25">
      <c r="B152" t="str">
        <f>'[3]5_Hub_50%IP'!Y386</f>
        <v>Newark Liberty International Airport</v>
      </c>
      <c r="C152" t="str">
        <f>C144</f>
        <v>market for electricity, low voltage, US-RFC</v>
      </c>
      <c r="D152">
        <f>'[3]5_Hub_50%IP'!$Z386/$A$3</f>
        <v>0.20365535248041775</v>
      </c>
      <c r="E152" t="str">
        <f t="shared" ref="E152:AH152" si="119">E144</f>
        <v>kWh</v>
      </c>
      <c r="F152" t="str">
        <f t="shared" si="119"/>
        <v>Ecoinvent v3.7.1</v>
      </c>
      <c r="G152">
        <f t="shared" si="119"/>
        <v>0.61436999999999997</v>
      </c>
      <c r="H152">
        <f t="shared" si="119"/>
        <v>8.2399E-2</v>
      </c>
      <c r="I152">
        <f t="shared" si="119"/>
        <v>6.7473999999999998</v>
      </c>
      <c r="J152">
        <f t="shared" si="119"/>
        <v>4.0428000000000003E-4</v>
      </c>
      <c r="K152">
        <f t="shared" si="119"/>
        <v>4.3425000000000002</v>
      </c>
      <c r="L152">
        <f t="shared" si="119"/>
        <v>1.3322000000000001E-5</v>
      </c>
      <c r="M152">
        <f t="shared" si="119"/>
        <v>1.5082999999999999E-2</v>
      </c>
      <c r="N152">
        <f t="shared" si="119"/>
        <v>6.8917000000000006E-2</v>
      </c>
      <c r="O152">
        <f t="shared" si="119"/>
        <v>0.1275</v>
      </c>
      <c r="P152">
        <f t="shared" si="119"/>
        <v>11.384216602</v>
      </c>
      <c r="Q152">
        <f t="shared" si="119"/>
        <v>1.3875999999999999E-2</v>
      </c>
      <c r="R152">
        <f t="shared" si="119"/>
        <v>0.60836999999999997</v>
      </c>
      <c r="S152">
        <f t="shared" si="119"/>
        <v>0.16855999999999999</v>
      </c>
      <c r="T152">
        <f t="shared" si="119"/>
        <v>2.7827999999999999E-2</v>
      </c>
      <c r="U152">
        <f t="shared" si="119"/>
        <v>3.4965000000000002E-4</v>
      </c>
      <c r="V152">
        <f t="shared" si="119"/>
        <v>0.24507000000000001</v>
      </c>
      <c r="W152">
        <f t="shared" si="119"/>
        <v>0.28216999999999998</v>
      </c>
      <c r="X152">
        <f t="shared" si="119"/>
        <v>2.3791E-2</v>
      </c>
      <c r="Y152">
        <f t="shared" si="119"/>
        <v>1.1882E-4</v>
      </c>
      <c r="Z152">
        <f t="shared" si="119"/>
        <v>1.1622E-2</v>
      </c>
      <c r="AA152">
        <f t="shared" si="119"/>
        <v>-2.4247999999999999E-5</v>
      </c>
      <c r="AB152">
        <f t="shared" si="119"/>
        <v>1.8053E-8</v>
      </c>
      <c r="AC152">
        <f t="shared" si="119"/>
        <v>1.1259E-3</v>
      </c>
      <c r="AD152">
        <f t="shared" si="119"/>
        <v>9.8528999999999999E-4</v>
      </c>
      <c r="AE152">
        <f t="shared" si="119"/>
        <v>1.8718000000000001E-3</v>
      </c>
      <c r="AF152">
        <f t="shared" si="119"/>
        <v>2.6829999999999999E-5</v>
      </c>
      <c r="AG152">
        <f t="shared" si="119"/>
        <v>2.5512999999999998E-3</v>
      </c>
      <c r="AH152">
        <f t="shared" si="119"/>
        <v>2.2418E-3</v>
      </c>
    </row>
    <row r="153" spans="2:34" x14ac:dyDescent="0.25">
      <c r="B153" t="str">
        <f>'[3]5_Hub_50%IP'!Y387</f>
        <v>Seattle-Tacoma International Airport</v>
      </c>
      <c r="C153" t="str">
        <f>C145</f>
        <v>market for electricity, low voltage, US-WECC</v>
      </c>
      <c r="D153">
        <f>'[3]5_Hub_50%IP'!$Z387/$A$3</f>
        <v>6.0052219321148827E-2</v>
      </c>
      <c r="E153" t="str">
        <f t="shared" ref="E153:AH153" si="120">E145</f>
        <v>kWh</v>
      </c>
      <c r="F153" t="str">
        <f t="shared" si="120"/>
        <v>Ecoinvent v3.7.1</v>
      </c>
      <c r="G153">
        <f t="shared" si="120"/>
        <v>0.41233999999999998</v>
      </c>
      <c r="H153">
        <f t="shared" si="120"/>
        <v>0.16356000000000001</v>
      </c>
      <c r="I153">
        <f t="shared" si="120"/>
        <v>5.2107000000000001</v>
      </c>
      <c r="J153">
        <f t="shared" si="120"/>
        <v>0.15804000000000001</v>
      </c>
      <c r="K153">
        <f t="shared" si="120"/>
        <v>1.1274</v>
      </c>
      <c r="L153">
        <f t="shared" si="120"/>
        <v>1.7768999999999999E-5</v>
      </c>
      <c r="M153">
        <f t="shared" si="120"/>
        <v>0.32883000000000001</v>
      </c>
      <c r="N153">
        <f t="shared" si="120"/>
        <v>1.0143</v>
      </c>
      <c r="O153">
        <f t="shared" si="120"/>
        <v>0.29749999999999999</v>
      </c>
      <c r="P153">
        <f t="shared" si="120"/>
        <v>8.300347769</v>
      </c>
      <c r="Q153">
        <f t="shared" si="120"/>
        <v>2.4857000000000001E-2</v>
      </c>
      <c r="R153">
        <f t="shared" si="120"/>
        <v>0.40821000000000002</v>
      </c>
      <c r="S153">
        <f t="shared" si="120"/>
        <v>0.13331000000000001</v>
      </c>
      <c r="T153">
        <f t="shared" si="120"/>
        <v>2.9420000000000002E-2</v>
      </c>
      <c r="U153">
        <f t="shared" si="120"/>
        <v>4.3196E-4</v>
      </c>
      <c r="V153">
        <f t="shared" si="120"/>
        <v>0.27927000000000002</v>
      </c>
      <c r="W153">
        <f t="shared" si="120"/>
        <v>7.3639999999999997E-2</v>
      </c>
      <c r="X153">
        <f t="shared" si="120"/>
        <v>2.5277999999999998E-2</v>
      </c>
      <c r="Y153">
        <f t="shared" si="120"/>
        <v>1.1887000000000001E-4</v>
      </c>
      <c r="Z153">
        <f t="shared" si="120"/>
        <v>1.1467E-2</v>
      </c>
      <c r="AA153">
        <f t="shared" si="120"/>
        <v>-1.4652E-5</v>
      </c>
      <c r="AB153">
        <f t="shared" si="120"/>
        <v>1.7493E-8</v>
      </c>
      <c r="AC153">
        <f t="shared" si="120"/>
        <v>1.5398E-3</v>
      </c>
      <c r="AD153">
        <f t="shared" si="120"/>
        <v>6.7785999999999996E-4</v>
      </c>
      <c r="AE153">
        <f t="shared" si="120"/>
        <v>7.8450000000000004E-4</v>
      </c>
      <c r="AF153">
        <f t="shared" si="120"/>
        <v>3.1801999999999998E-5</v>
      </c>
      <c r="AG153">
        <f t="shared" si="120"/>
        <v>2.3995000000000002E-3</v>
      </c>
      <c r="AH153">
        <f t="shared" si="120"/>
        <v>3.0509000000000001E-3</v>
      </c>
    </row>
    <row r="154" spans="2:34" x14ac:dyDescent="0.25">
      <c r="B154" t="str">
        <f>'[3]5_Hub_50%IP'!Y388</f>
        <v>Hartsfield-Jackson Atlanta International Airport</v>
      </c>
      <c r="C154" t="str">
        <f>C146</f>
        <v>market for electricity, low voltage, US-SERC</v>
      </c>
      <c r="D154">
        <f>'[3]5_Hub_50%IP'!$Z388/$A$3</f>
        <v>6.0052219321148827E-2</v>
      </c>
      <c r="E154" t="str">
        <f t="shared" ref="E154:AH154" si="121">E146</f>
        <v>kWh</v>
      </c>
      <c r="F154" t="str">
        <f t="shared" si="121"/>
        <v>Ecoinvent v3.7.1</v>
      </c>
      <c r="G154">
        <f t="shared" si="121"/>
        <v>0.6169</v>
      </c>
      <c r="H154">
        <f t="shared" si="121"/>
        <v>0.40769</v>
      </c>
      <c r="I154">
        <f t="shared" si="121"/>
        <v>7.625</v>
      </c>
      <c r="J154">
        <f t="shared" si="121"/>
        <v>4.4949999999999998E-4</v>
      </c>
      <c r="K154">
        <f t="shared" si="121"/>
        <v>3.7017000000000002</v>
      </c>
      <c r="L154">
        <f t="shared" si="121"/>
        <v>2.8177000000000001E-5</v>
      </c>
      <c r="M154">
        <f t="shared" si="121"/>
        <v>5.8786999999999999E-2</v>
      </c>
      <c r="N154">
        <f t="shared" si="121"/>
        <v>0.17446</v>
      </c>
      <c r="O154">
        <f t="shared" si="121"/>
        <v>2.0888E-2</v>
      </c>
      <c r="P154">
        <f t="shared" si="121"/>
        <v>11.989002677000002</v>
      </c>
      <c r="Q154">
        <f t="shared" si="121"/>
        <v>5.7922000000000001E-2</v>
      </c>
      <c r="R154">
        <f t="shared" si="121"/>
        <v>0.61051</v>
      </c>
      <c r="S154">
        <f t="shared" si="121"/>
        <v>0.19485</v>
      </c>
      <c r="T154">
        <f t="shared" si="121"/>
        <v>2.9537999999999998E-2</v>
      </c>
      <c r="U154">
        <f t="shared" si="121"/>
        <v>4.3969000000000001E-4</v>
      </c>
      <c r="V154">
        <f t="shared" si="121"/>
        <v>0.29670999999999997</v>
      </c>
      <c r="W154">
        <f t="shared" si="121"/>
        <v>0.24057999999999999</v>
      </c>
      <c r="X154">
        <f t="shared" si="121"/>
        <v>2.5099E-2</v>
      </c>
      <c r="Y154">
        <f t="shared" si="121"/>
        <v>1.3415000000000001E-4</v>
      </c>
      <c r="Z154">
        <f t="shared" si="121"/>
        <v>1.1514E-2</v>
      </c>
      <c r="AA154">
        <f t="shared" si="121"/>
        <v>-2.1906E-5</v>
      </c>
      <c r="AB154">
        <f t="shared" si="121"/>
        <v>2.5019999999999998E-8</v>
      </c>
      <c r="AC154">
        <f t="shared" si="121"/>
        <v>1.4063999999999999E-3</v>
      </c>
      <c r="AD154">
        <f t="shared" si="121"/>
        <v>8.8113000000000004E-4</v>
      </c>
      <c r="AE154">
        <f t="shared" si="121"/>
        <v>1.4815E-3</v>
      </c>
      <c r="AF154">
        <f t="shared" si="121"/>
        <v>3.5629000000000001E-5</v>
      </c>
      <c r="AG154">
        <f t="shared" si="121"/>
        <v>2.5611000000000002E-3</v>
      </c>
      <c r="AH154">
        <f t="shared" si="121"/>
        <v>2.3032E-3</v>
      </c>
    </row>
    <row r="155" spans="2:34" x14ac:dyDescent="0.25">
      <c r="B155" t="str">
        <f>'[3]5_Hub_50%IP'!Y389</f>
        <v>O'Hare International Airport</v>
      </c>
      <c r="C155" t="str">
        <f>C147</f>
        <v>market for electricity, low voltage, US-RFC</v>
      </c>
      <c r="D155">
        <f>'[3]5_Hub_50%IP'!$Z389/$A$3</f>
        <v>0.12010443864229765</v>
      </c>
      <c r="E155" t="str">
        <f t="shared" ref="E155:AH155" si="122">E147</f>
        <v>kWh</v>
      </c>
      <c r="F155" t="str">
        <f t="shared" si="122"/>
        <v>Ecoinvent v3.7.1</v>
      </c>
      <c r="G155">
        <f t="shared" si="122"/>
        <v>0.61436999999999997</v>
      </c>
      <c r="H155">
        <f t="shared" si="122"/>
        <v>8.2399E-2</v>
      </c>
      <c r="I155">
        <f t="shared" si="122"/>
        <v>6.7473999999999998</v>
      </c>
      <c r="J155">
        <f t="shared" si="122"/>
        <v>4.0428000000000003E-4</v>
      </c>
      <c r="K155">
        <f t="shared" si="122"/>
        <v>4.3425000000000002</v>
      </c>
      <c r="L155">
        <f t="shared" si="122"/>
        <v>1.3322000000000001E-5</v>
      </c>
      <c r="M155">
        <f t="shared" si="122"/>
        <v>1.5082999999999999E-2</v>
      </c>
      <c r="N155">
        <f t="shared" si="122"/>
        <v>6.8917000000000006E-2</v>
      </c>
      <c r="O155">
        <f t="shared" si="122"/>
        <v>0.1275</v>
      </c>
      <c r="P155">
        <f t="shared" si="122"/>
        <v>11.384216602</v>
      </c>
      <c r="Q155">
        <f t="shared" si="122"/>
        <v>1.3875999999999999E-2</v>
      </c>
      <c r="R155">
        <f t="shared" si="122"/>
        <v>0.60836999999999997</v>
      </c>
      <c r="S155">
        <f t="shared" si="122"/>
        <v>0.16855999999999999</v>
      </c>
      <c r="T155">
        <f t="shared" si="122"/>
        <v>2.7827999999999999E-2</v>
      </c>
      <c r="U155">
        <f t="shared" si="122"/>
        <v>3.4965000000000002E-4</v>
      </c>
      <c r="V155">
        <f t="shared" si="122"/>
        <v>0.24507000000000001</v>
      </c>
      <c r="W155">
        <f t="shared" si="122"/>
        <v>0.28216999999999998</v>
      </c>
      <c r="X155">
        <f t="shared" si="122"/>
        <v>2.3791E-2</v>
      </c>
      <c r="Y155">
        <f t="shared" si="122"/>
        <v>1.1882E-4</v>
      </c>
      <c r="Z155">
        <f t="shared" si="122"/>
        <v>1.1622E-2</v>
      </c>
      <c r="AA155">
        <f t="shared" si="122"/>
        <v>-2.4247999999999999E-5</v>
      </c>
      <c r="AB155">
        <f t="shared" si="122"/>
        <v>1.8053E-8</v>
      </c>
      <c r="AC155">
        <f t="shared" si="122"/>
        <v>1.1259E-3</v>
      </c>
      <c r="AD155">
        <f t="shared" si="122"/>
        <v>9.8528999999999999E-4</v>
      </c>
      <c r="AE155">
        <f t="shared" si="122"/>
        <v>1.8718000000000001E-3</v>
      </c>
      <c r="AF155">
        <f t="shared" si="122"/>
        <v>2.6829999999999999E-5</v>
      </c>
      <c r="AG155">
        <f t="shared" si="122"/>
        <v>2.5512999999999998E-3</v>
      </c>
      <c r="AH155">
        <f t="shared" si="122"/>
        <v>2.2418E-3</v>
      </c>
    </row>
    <row r="156" spans="2:34" x14ac:dyDescent="0.25">
      <c r="B156" t="str">
        <f>'[3]5_Hub_50%IP'!Y390</f>
        <v>Denver International Airport</v>
      </c>
      <c r="C156" t="str">
        <f>C148</f>
        <v>market for electricity, low voltage, US-WECC</v>
      </c>
      <c r="D156">
        <f>'[3]5_Hub_50%IP'!$Z390/$A$3</f>
        <v>5.7441253263707574E-2</v>
      </c>
      <c r="E156" t="str">
        <f t="shared" ref="E156:AH156" si="123">E148</f>
        <v>kWh</v>
      </c>
      <c r="F156" t="str">
        <f t="shared" si="123"/>
        <v>Ecoinvent v3.7.1</v>
      </c>
      <c r="G156">
        <f t="shared" si="123"/>
        <v>0.41233999999999998</v>
      </c>
      <c r="H156">
        <f t="shared" si="123"/>
        <v>0.16356000000000001</v>
      </c>
      <c r="I156">
        <f t="shared" si="123"/>
        <v>5.2107000000000001</v>
      </c>
      <c r="J156">
        <f t="shared" si="123"/>
        <v>0.15804000000000001</v>
      </c>
      <c r="K156">
        <f t="shared" si="123"/>
        <v>1.1274</v>
      </c>
      <c r="L156">
        <f t="shared" si="123"/>
        <v>1.7768999999999999E-5</v>
      </c>
      <c r="M156">
        <f t="shared" si="123"/>
        <v>0.32883000000000001</v>
      </c>
      <c r="N156">
        <f t="shared" si="123"/>
        <v>1.0143</v>
      </c>
      <c r="O156">
        <f t="shared" si="123"/>
        <v>0.29749999999999999</v>
      </c>
      <c r="P156">
        <f t="shared" si="123"/>
        <v>8.300347769</v>
      </c>
      <c r="Q156">
        <f t="shared" si="123"/>
        <v>2.4857000000000001E-2</v>
      </c>
      <c r="R156">
        <f t="shared" si="123"/>
        <v>0.40821000000000002</v>
      </c>
      <c r="S156">
        <f t="shared" si="123"/>
        <v>0.13331000000000001</v>
      </c>
      <c r="T156">
        <f t="shared" si="123"/>
        <v>2.9420000000000002E-2</v>
      </c>
      <c r="U156">
        <f t="shared" si="123"/>
        <v>4.3196E-4</v>
      </c>
      <c r="V156">
        <f t="shared" si="123"/>
        <v>0.27927000000000002</v>
      </c>
      <c r="W156">
        <f t="shared" si="123"/>
        <v>7.3639999999999997E-2</v>
      </c>
      <c r="X156">
        <f t="shared" si="123"/>
        <v>2.5277999999999998E-2</v>
      </c>
      <c r="Y156">
        <f t="shared" si="123"/>
        <v>1.1887000000000001E-4</v>
      </c>
      <c r="Z156">
        <f t="shared" si="123"/>
        <v>1.1467E-2</v>
      </c>
      <c r="AA156">
        <f t="shared" si="123"/>
        <v>-1.4652E-5</v>
      </c>
      <c r="AB156">
        <f t="shared" si="123"/>
        <v>1.7493E-8</v>
      </c>
      <c r="AC156">
        <f t="shared" si="123"/>
        <v>1.5398E-3</v>
      </c>
      <c r="AD156">
        <f t="shared" si="123"/>
        <v>6.7785999999999996E-4</v>
      </c>
      <c r="AE156">
        <f t="shared" si="123"/>
        <v>7.8450000000000004E-4</v>
      </c>
      <c r="AF156">
        <f t="shared" si="123"/>
        <v>3.1801999999999998E-5</v>
      </c>
      <c r="AG156">
        <f t="shared" si="123"/>
        <v>2.3995000000000002E-3</v>
      </c>
      <c r="AH156">
        <f t="shared" si="123"/>
        <v>3.0509000000000001E-3</v>
      </c>
    </row>
    <row r="157" spans="2:34" x14ac:dyDescent="0.25">
      <c r="B157" s="59" t="str">
        <f>C151</f>
        <v>5_Hub_50%IP</v>
      </c>
      <c r="C157" s="59" t="s">
        <v>806</v>
      </c>
      <c r="D157" s="59">
        <f>SUM(D151:D156)</f>
        <v>0.99999999999999989</v>
      </c>
      <c r="E157" s="59" t="s">
        <v>105</v>
      </c>
      <c r="F157" s="59"/>
      <c r="G157" s="59">
        <f>SUMPRODUCT($D151:$D156,G151:G156)</f>
        <v>0.52066294715404693</v>
      </c>
      <c r="H157" s="59">
        <f t="shared" ref="H157:AH157" si="124">SUMPRODUCT($D151:$D156,H151:H156)</f>
        <v>0.15964721587467362</v>
      </c>
      <c r="I157" s="59">
        <f t="shared" si="124"/>
        <v>6.111107282506528</v>
      </c>
      <c r="J157" s="59">
        <f t="shared" si="124"/>
        <v>3.5434775930339432E-2</v>
      </c>
      <c r="K157" s="59">
        <f t="shared" si="124"/>
        <v>3.0462234932114889</v>
      </c>
      <c r="L157" s="59">
        <f t="shared" si="124"/>
        <v>8.7502707112271545E-5</v>
      </c>
      <c r="M157" s="59">
        <f t="shared" si="124"/>
        <v>0.10625583942297651</v>
      </c>
      <c r="N157" s="59">
        <f t="shared" si="124"/>
        <v>0.60500175229242803</v>
      </c>
      <c r="O157" s="59">
        <f t="shared" si="124"/>
        <v>0.26021050175456917</v>
      </c>
      <c r="P157" s="59">
        <f t="shared" si="124"/>
        <v>10.323968363700118</v>
      </c>
      <c r="Q157" s="59">
        <f t="shared" si="124"/>
        <v>3.1106016196344642E-2</v>
      </c>
      <c r="R157" s="59">
        <f t="shared" si="124"/>
        <v>0.51576247968668409</v>
      </c>
      <c r="S157" s="59">
        <f t="shared" si="124"/>
        <v>0.15436537817232374</v>
      </c>
      <c r="T157" s="59">
        <f t="shared" si="124"/>
        <v>2.7933690569190598E-2</v>
      </c>
      <c r="U157" s="59">
        <f t="shared" si="124"/>
        <v>4.1015549159268924E-4</v>
      </c>
      <c r="V157" s="59">
        <f t="shared" si="124"/>
        <v>0.27540750245430806</v>
      </c>
      <c r="W157" s="59">
        <f t="shared" si="124"/>
        <v>0.20621484721671016</v>
      </c>
      <c r="X157" s="59">
        <f t="shared" si="124"/>
        <v>2.4087828668407307E-2</v>
      </c>
      <c r="Y157" s="59">
        <f t="shared" si="124"/>
        <v>1.2563046156657964E-4</v>
      </c>
      <c r="Z157" s="59">
        <f t="shared" si="124"/>
        <v>1.1344055519582244E-2</v>
      </c>
      <c r="AA157" s="59">
        <f t="shared" si="124"/>
        <v>-5.456430317493473E-5</v>
      </c>
      <c r="AB157" s="59">
        <f t="shared" si="124"/>
        <v>1.8478126746736294E-8</v>
      </c>
      <c r="AC157" s="59">
        <f t="shared" si="124"/>
        <v>1.2725166339425586E-3</v>
      </c>
      <c r="AD157" s="59">
        <f t="shared" si="124"/>
        <v>8.6773636950391632E-4</v>
      </c>
      <c r="AE157" s="59">
        <f t="shared" si="124"/>
        <v>1.4745552480417751E-3</v>
      </c>
      <c r="AF157" s="59">
        <f t="shared" si="124"/>
        <v>2.6176388052219323E-5</v>
      </c>
      <c r="AG157" s="59">
        <f t="shared" si="124"/>
        <v>2.3210122510704963E-3</v>
      </c>
      <c r="AH157" s="59">
        <f t="shared" si="124"/>
        <v>4.6071629973890339E-3</v>
      </c>
    </row>
    <row r="158" spans="2:34" x14ac:dyDescent="0.25">
      <c r="B158" s="59" t="str">
        <f>B157</f>
        <v>5_Hub_50%IP</v>
      </c>
      <c r="C158" s="59"/>
      <c r="D158" s="59"/>
      <c r="E158" s="59"/>
      <c r="F158" s="59"/>
      <c r="G158" s="59">
        <f>SUMPRODUCT($D152:$D156,G152:G156)/SUM($D152:$D156)</f>
        <v>0.5673222916666667</v>
      </c>
      <c r="H158" s="59">
        <f t="shared" ref="H158:AH158" si="125">SUMPRODUCT($D152:$D156,H152:H156)/SUM($D152:$D156)</f>
        <v>0.14038826041666669</v>
      </c>
      <c r="I158" s="59">
        <f t="shared" si="125"/>
        <v>6.4923651041666677</v>
      </c>
      <c r="J158" s="59">
        <f t="shared" si="125"/>
        <v>3.7355568854166681E-2</v>
      </c>
      <c r="K158" s="59">
        <f t="shared" si="125"/>
        <v>3.5121984375000008</v>
      </c>
      <c r="L158" s="59">
        <f t="shared" si="125"/>
        <v>1.6143770833333332E-5</v>
      </c>
      <c r="M158" s="59">
        <f t="shared" si="125"/>
        <v>9.385282812500001E-2</v>
      </c>
      <c r="N158" s="59">
        <f t="shared" si="125"/>
        <v>0.3031343125</v>
      </c>
      <c r="O158" s="59">
        <f t="shared" si="125"/>
        <v>0.15457252083333334</v>
      </c>
      <c r="P158" s="59">
        <f t="shared" si="125"/>
        <v>10.733883176166669</v>
      </c>
      <c r="Q158" s="59">
        <f t="shared" si="125"/>
        <v>2.1726015625000004E-2</v>
      </c>
      <c r="R158" s="59">
        <f t="shared" si="125"/>
        <v>0.56171385416666664</v>
      </c>
      <c r="S158" s="59">
        <f t="shared" si="125"/>
        <v>0.16344760416666668</v>
      </c>
      <c r="T158" s="59">
        <f t="shared" si="125"/>
        <v>2.840596875E-2</v>
      </c>
      <c r="U158" s="59">
        <f t="shared" si="125"/>
        <v>3.7972744791666671E-4</v>
      </c>
      <c r="V158" s="59">
        <f t="shared" si="125"/>
        <v>0.25927166666666668</v>
      </c>
      <c r="W158" s="59">
        <f t="shared" si="125"/>
        <v>0.22831364583333336</v>
      </c>
      <c r="X158" s="59">
        <f t="shared" si="125"/>
        <v>2.4296203125000002E-2</v>
      </c>
      <c r="Y158" s="59">
        <f t="shared" si="125"/>
        <v>1.2066812500000002E-4</v>
      </c>
      <c r="Z158" s="59">
        <f t="shared" si="125"/>
        <v>1.1572734375000001E-2</v>
      </c>
      <c r="AA158" s="59">
        <f t="shared" si="125"/>
        <v>-2.1718385416666668E-5</v>
      </c>
      <c r="AB158" s="59">
        <f t="shared" si="125"/>
        <v>1.8756338541666665E-8</v>
      </c>
      <c r="AC158" s="59">
        <f t="shared" si="125"/>
        <v>1.2565093749999999E-3</v>
      </c>
      <c r="AD158" s="59">
        <f t="shared" si="125"/>
        <v>9.0075859375000011E-4</v>
      </c>
      <c r="AE158" s="59">
        <f t="shared" si="125"/>
        <v>1.5702093749999999E-3</v>
      </c>
      <c r="AF158" s="59">
        <f t="shared" si="125"/>
        <v>2.9049359375000003E-5</v>
      </c>
      <c r="AG158" s="59">
        <f t="shared" si="125"/>
        <v>2.5168958333333337E-3</v>
      </c>
      <c r="AH158" s="59">
        <f t="shared" si="125"/>
        <v>2.4387880208333336E-3</v>
      </c>
    </row>
    <row r="159" spans="2:34" x14ac:dyDescent="0.25">
      <c r="B159" t="s">
        <v>593</v>
      </c>
      <c r="C159" t="str">
        <f>'[3]LCIA-Elec'!BJ91</f>
        <v>5_Hub_70%IP</v>
      </c>
      <c r="D159">
        <f>'[3]LCIA-Elec'!$AA$68/$A$3</f>
        <v>0.29765013054830286</v>
      </c>
      <c r="E159" t="s">
        <v>105</v>
      </c>
      <c r="F159" t="s">
        <v>829</v>
      </c>
      <c r="G159">
        <f>'[3]LCIA-Elec'!BK91</f>
        <v>0.50597276377192979</v>
      </c>
      <c r="H159">
        <f>'[3]LCIA-Elec'!BL91</f>
        <v>0.21407833254385961</v>
      </c>
      <c r="I159">
        <f>'[3]LCIA-Elec'!BM91</f>
        <v>6.313404095614036</v>
      </c>
      <c r="J159">
        <f>'[3]LCIA-Elec'!BN91</f>
        <v>5.2923622342017543E-2</v>
      </c>
      <c r="K159">
        <f>'[3]LCIA-Elec'!BO91</f>
        <v>1.884912649122807</v>
      </c>
      <c r="L159">
        <f>'[3]LCIA-Elec'!BP91</f>
        <v>2.5724007647368421E-4</v>
      </c>
      <c r="M159">
        <f>'[3]LCIA-Elec'!BQ91</f>
        <v>0.17368703357017548</v>
      </c>
      <c r="N159">
        <f>'[3]LCIA-Elec'!BR91</f>
        <v>0.74046992628070196</v>
      </c>
      <c r="O159">
        <f>'[3]LCIA-Elec'!BS91</f>
        <v>0.44415488292982463</v>
      </c>
      <c r="P159">
        <f>'[3]LCIA-Elec'!BT91</f>
        <v>9.8238877824798951</v>
      </c>
      <c r="Q159">
        <f>'[3]LCIA-Elec'!BU91</f>
        <v>3.1582007915789474E-2</v>
      </c>
      <c r="R159">
        <f>'[3]LCIA-Elec'!BV91</f>
        <v>0.50156797184210511</v>
      </c>
      <c r="S159">
        <f>'[3]LCIA-Elec'!BW91</f>
        <v>0.16054022789473688</v>
      </c>
      <c r="T159">
        <f>'[3]LCIA-Elec'!BX91</f>
        <v>2.9732532596491234E-2</v>
      </c>
      <c r="U159">
        <f>'[3]LCIA-Elec'!BY91</f>
        <v>5.0098599526315793E-4</v>
      </c>
      <c r="V159">
        <f>'[3]LCIA-Elec'!BZ91</f>
        <v>0.328563122631579</v>
      </c>
      <c r="W159">
        <f>'[3]LCIA-Elec'!CA91</f>
        <v>0.12663218147368421</v>
      </c>
      <c r="X159">
        <f>'[3]LCIA-Elec'!CB91</f>
        <v>2.595192048245613E-2</v>
      </c>
      <c r="Y159">
        <f>'[3]LCIA-Elec'!CC91</f>
        <v>1.4599377377192983E-4</v>
      </c>
      <c r="Z159">
        <f>'[3]LCIA-Elec'!CD91</f>
        <v>1.1822948666666668E-2</v>
      </c>
      <c r="AA159">
        <f>'[3]LCIA-Elec'!CE91</f>
        <v>-2.1797300105263158E-5</v>
      </c>
      <c r="AB159">
        <f>'[3]LCIA-Elec'!CF91</f>
        <v>2.0698418271929822E-8</v>
      </c>
      <c r="AC159">
        <f>'[3]LCIA-Elec'!CG91</f>
        <v>1.4681129657894737E-3</v>
      </c>
      <c r="AD159">
        <f>'[3]LCIA-Elec'!CH91</f>
        <v>9.2862188719298262E-4</v>
      </c>
      <c r="AE159">
        <f>'[3]LCIA-Elec'!CI91</f>
        <v>1.4635119692982454E-3</v>
      </c>
      <c r="AF159">
        <f>'[3]LCIA-Elec'!CJ91</f>
        <v>2.5865827789473687E-5</v>
      </c>
      <c r="AG159">
        <f>'[3]LCIA-Elec'!CK91</f>
        <v>2.2638347291228074E-3</v>
      </c>
      <c r="AH159">
        <f>'[3]LCIA-Elec'!CL91</f>
        <v>4.1994027500000001E-3</v>
      </c>
    </row>
    <row r="160" spans="2:34" x14ac:dyDescent="0.25">
      <c r="B160" t="str">
        <f>'[3]5_Hub_70%IP'!Y386</f>
        <v>Newark Liberty International Airport</v>
      </c>
      <c r="C160" t="str">
        <f>C152</f>
        <v>market for electricity, low voltage, US-RFC</v>
      </c>
      <c r="D160">
        <f>'[3]5_Hub_70%IP'!$Z386/$A$3</f>
        <v>0.32637075718015668</v>
      </c>
      <c r="E160" t="str">
        <f t="shared" ref="E160:AH160" si="126">E152</f>
        <v>kWh</v>
      </c>
      <c r="F160" t="str">
        <f t="shared" si="126"/>
        <v>Ecoinvent v3.7.1</v>
      </c>
      <c r="G160">
        <f t="shared" si="126"/>
        <v>0.61436999999999997</v>
      </c>
      <c r="H160">
        <f t="shared" si="126"/>
        <v>8.2399E-2</v>
      </c>
      <c r="I160">
        <f t="shared" si="126"/>
        <v>6.7473999999999998</v>
      </c>
      <c r="J160">
        <f t="shared" si="126"/>
        <v>4.0428000000000003E-4</v>
      </c>
      <c r="K160">
        <f t="shared" si="126"/>
        <v>4.3425000000000002</v>
      </c>
      <c r="L160">
        <f t="shared" si="126"/>
        <v>1.3322000000000001E-5</v>
      </c>
      <c r="M160">
        <f t="shared" si="126"/>
        <v>1.5082999999999999E-2</v>
      </c>
      <c r="N160">
        <f t="shared" si="126"/>
        <v>6.8917000000000006E-2</v>
      </c>
      <c r="O160">
        <f t="shared" si="126"/>
        <v>0.1275</v>
      </c>
      <c r="P160">
        <f t="shared" si="126"/>
        <v>11.384216602</v>
      </c>
      <c r="Q160">
        <f t="shared" si="126"/>
        <v>1.3875999999999999E-2</v>
      </c>
      <c r="R160">
        <f t="shared" si="126"/>
        <v>0.60836999999999997</v>
      </c>
      <c r="S160">
        <f t="shared" si="126"/>
        <v>0.16855999999999999</v>
      </c>
      <c r="T160">
        <f t="shared" si="126"/>
        <v>2.7827999999999999E-2</v>
      </c>
      <c r="U160">
        <f t="shared" si="126"/>
        <v>3.4965000000000002E-4</v>
      </c>
      <c r="V160">
        <f t="shared" si="126"/>
        <v>0.24507000000000001</v>
      </c>
      <c r="W160">
        <f t="shared" si="126"/>
        <v>0.28216999999999998</v>
      </c>
      <c r="X160">
        <f t="shared" si="126"/>
        <v>2.3791E-2</v>
      </c>
      <c r="Y160">
        <f t="shared" si="126"/>
        <v>1.1882E-4</v>
      </c>
      <c r="Z160">
        <f t="shared" si="126"/>
        <v>1.1622E-2</v>
      </c>
      <c r="AA160">
        <f t="shared" si="126"/>
        <v>-2.4247999999999999E-5</v>
      </c>
      <c r="AB160">
        <f t="shared" si="126"/>
        <v>1.8053E-8</v>
      </c>
      <c r="AC160">
        <f t="shared" si="126"/>
        <v>1.1259E-3</v>
      </c>
      <c r="AD160">
        <f t="shared" si="126"/>
        <v>9.8528999999999999E-4</v>
      </c>
      <c r="AE160">
        <f t="shared" si="126"/>
        <v>1.8718000000000001E-3</v>
      </c>
      <c r="AF160">
        <f t="shared" si="126"/>
        <v>2.6829999999999999E-5</v>
      </c>
      <c r="AG160">
        <f t="shared" si="126"/>
        <v>2.5512999999999998E-3</v>
      </c>
      <c r="AH160">
        <f t="shared" si="126"/>
        <v>2.2418E-3</v>
      </c>
    </row>
    <row r="161" spans="2:34" x14ac:dyDescent="0.25">
      <c r="B161" t="str">
        <f>'[3]5_Hub_70%IP'!Y387</f>
        <v>Seattle-Tacoma International Airport</v>
      </c>
      <c r="C161" t="str">
        <f>C153</f>
        <v>market for electricity, low voltage, US-WECC</v>
      </c>
      <c r="D161">
        <f>'[3]5_Hub_70%IP'!$Z387/$A$3</f>
        <v>7.0496083550913843E-2</v>
      </c>
      <c r="E161" t="str">
        <f t="shared" ref="E161:AH161" si="127">E153</f>
        <v>kWh</v>
      </c>
      <c r="F161" t="str">
        <f t="shared" si="127"/>
        <v>Ecoinvent v3.7.1</v>
      </c>
      <c r="G161">
        <f t="shared" si="127"/>
        <v>0.41233999999999998</v>
      </c>
      <c r="H161">
        <f t="shared" si="127"/>
        <v>0.16356000000000001</v>
      </c>
      <c r="I161">
        <f t="shared" si="127"/>
        <v>5.2107000000000001</v>
      </c>
      <c r="J161">
        <f t="shared" si="127"/>
        <v>0.15804000000000001</v>
      </c>
      <c r="K161">
        <f t="shared" si="127"/>
        <v>1.1274</v>
      </c>
      <c r="L161">
        <f t="shared" si="127"/>
        <v>1.7768999999999999E-5</v>
      </c>
      <c r="M161">
        <f t="shared" si="127"/>
        <v>0.32883000000000001</v>
      </c>
      <c r="N161">
        <f t="shared" si="127"/>
        <v>1.0143</v>
      </c>
      <c r="O161">
        <f t="shared" si="127"/>
        <v>0.29749999999999999</v>
      </c>
      <c r="P161">
        <f t="shared" si="127"/>
        <v>8.300347769</v>
      </c>
      <c r="Q161">
        <f t="shared" si="127"/>
        <v>2.4857000000000001E-2</v>
      </c>
      <c r="R161">
        <f t="shared" si="127"/>
        <v>0.40821000000000002</v>
      </c>
      <c r="S161">
        <f t="shared" si="127"/>
        <v>0.13331000000000001</v>
      </c>
      <c r="T161">
        <f t="shared" si="127"/>
        <v>2.9420000000000002E-2</v>
      </c>
      <c r="U161">
        <f t="shared" si="127"/>
        <v>4.3196E-4</v>
      </c>
      <c r="V161">
        <f t="shared" si="127"/>
        <v>0.27927000000000002</v>
      </c>
      <c r="W161">
        <f t="shared" si="127"/>
        <v>7.3639999999999997E-2</v>
      </c>
      <c r="X161">
        <f t="shared" si="127"/>
        <v>2.5277999999999998E-2</v>
      </c>
      <c r="Y161">
        <f t="shared" si="127"/>
        <v>1.1887000000000001E-4</v>
      </c>
      <c r="Z161">
        <f t="shared" si="127"/>
        <v>1.1467E-2</v>
      </c>
      <c r="AA161">
        <f t="shared" si="127"/>
        <v>-1.4652E-5</v>
      </c>
      <c r="AB161">
        <f t="shared" si="127"/>
        <v>1.7493E-8</v>
      </c>
      <c r="AC161">
        <f t="shared" si="127"/>
        <v>1.5398E-3</v>
      </c>
      <c r="AD161">
        <f t="shared" si="127"/>
        <v>6.7785999999999996E-4</v>
      </c>
      <c r="AE161">
        <f t="shared" si="127"/>
        <v>7.8450000000000004E-4</v>
      </c>
      <c r="AF161">
        <f t="shared" si="127"/>
        <v>3.1801999999999998E-5</v>
      </c>
      <c r="AG161">
        <f t="shared" si="127"/>
        <v>2.3995000000000002E-3</v>
      </c>
      <c r="AH161">
        <f t="shared" si="127"/>
        <v>3.0509000000000001E-3</v>
      </c>
    </row>
    <row r="162" spans="2:34" x14ac:dyDescent="0.25">
      <c r="B162" t="str">
        <f>'[3]5_Hub_70%IP'!Y388</f>
        <v>Hartsfield-Jackson Atlanta International Airport</v>
      </c>
      <c r="C162" t="str">
        <f>C154</f>
        <v>market for electricity, low voltage, US-SERC</v>
      </c>
      <c r="D162">
        <f>'[3]5_Hub_70%IP'!$Z388/$A$3</f>
        <v>7.3107049608355096E-2</v>
      </c>
      <c r="E162" t="str">
        <f t="shared" ref="E162:AH162" si="128">E154</f>
        <v>kWh</v>
      </c>
      <c r="F162" t="str">
        <f t="shared" si="128"/>
        <v>Ecoinvent v3.7.1</v>
      </c>
      <c r="G162">
        <f t="shared" si="128"/>
        <v>0.6169</v>
      </c>
      <c r="H162">
        <f t="shared" si="128"/>
        <v>0.40769</v>
      </c>
      <c r="I162">
        <f t="shared" si="128"/>
        <v>7.625</v>
      </c>
      <c r="J162">
        <f t="shared" si="128"/>
        <v>4.4949999999999998E-4</v>
      </c>
      <c r="K162">
        <f t="shared" si="128"/>
        <v>3.7017000000000002</v>
      </c>
      <c r="L162">
        <f t="shared" si="128"/>
        <v>2.8177000000000001E-5</v>
      </c>
      <c r="M162">
        <f t="shared" si="128"/>
        <v>5.8786999999999999E-2</v>
      </c>
      <c r="N162">
        <f t="shared" si="128"/>
        <v>0.17446</v>
      </c>
      <c r="O162">
        <f t="shared" si="128"/>
        <v>2.0888E-2</v>
      </c>
      <c r="P162">
        <f t="shared" si="128"/>
        <v>11.989002677000002</v>
      </c>
      <c r="Q162">
        <f t="shared" si="128"/>
        <v>5.7922000000000001E-2</v>
      </c>
      <c r="R162">
        <f t="shared" si="128"/>
        <v>0.61051</v>
      </c>
      <c r="S162">
        <f t="shared" si="128"/>
        <v>0.19485</v>
      </c>
      <c r="T162">
        <f t="shared" si="128"/>
        <v>2.9537999999999998E-2</v>
      </c>
      <c r="U162">
        <f t="shared" si="128"/>
        <v>4.3969000000000001E-4</v>
      </c>
      <c r="V162">
        <f t="shared" si="128"/>
        <v>0.29670999999999997</v>
      </c>
      <c r="W162">
        <f t="shared" si="128"/>
        <v>0.24057999999999999</v>
      </c>
      <c r="X162">
        <f t="shared" si="128"/>
        <v>2.5099E-2</v>
      </c>
      <c r="Y162">
        <f t="shared" si="128"/>
        <v>1.3415000000000001E-4</v>
      </c>
      <c r="Z162">
        <f t="shared" si="128"/>
        <v>1.1514E-2</v>
      </c>
      <c r="AA162">
        <f t="shared" si="128"/>
        <v>-2.1906E-5</v>
      </c>
      <c r="AB162">
        <f t="shared" si="128"/>
        <v>2.5019999999999998E-8</v>
      </c>
      <c r="AC162">
        <f t="shared" si="128"/>
        <v>1.4063999999999999E-3</v>
      </c>
      <c r="AD162">
        <f t="shared" si="128"/>
        <v>8.8113000000000004E-4</v>
      </c>
      <c r="AE162">
        <f t="shared" si="128"/>
        <v>1.4815E-3</v>
      </c>
      <c r="AF162">
        <f t="shared" si="128"/>
        <v>3.5629000000000001E-5</v>
      </c>
      <c r="AG162">
        <f t="shared" si="128"/>
        <v>2.5611000000000002E-3</v>
      </c>
      <c r="AH162">
        <f t="shared" si="128"/>
        <v>2.3032E-3</v>
      </c>
    </row>
    <row r="163" spans="2:34" x14ac:dyDescent="0.25">
      <c r="B163" t="str">
        <f>'[3]5_Hub_70%IP'!Y389</f>
        <v>O'Hare International Airport</v>
      </c>
      <c r="C163" t="str">
        <f>C155</f>
        <v>market for electricity, low voltage, US-RFC</v>
      </c>
      <c r="D163">
        <f>'[3]5_Hub_70%IP'!$Z389/$A$3</f>
        <v>0.16971279373368145</v>
      </c>
      <c r="E163" t="str">
        <f t="shared" ref="E163:AH163" si="129">E155</f>
        <v>kWh</v>
      </c>
      <c r="F163" t="str">
        <f t="shared" si="129"/>
        <v>Ecoinvent v3.7.1</v>
      </c>
      <c r="G163">
        <f t="shared" si="129"/>
        <v>0.61436999999999997</v>
      </c>
      <c r="H163">
        <f t="shared" si="129"/>
        <v>8.2399E-2</v>
      </c>
      <c r="I163">
        <f t="shared" si="129"/>
        <v>6.7473999999999998</v>
      </c>
      <c r="J163">
        <f t="shared" si="129"/>
        <v>4.0428000000000003E-4</v>
      </c>
      <c r="K163">
        <f t="shared" si="129"/>
        <v>4.3425000000000002</v>
      </c>
      <c r="L163">
        <f t="shared" si="129"/>
        <v>1.3322000000000001E-5</v>
      </c>
      <c r="M163">
        <f t="shared" si="129"/>
        <v>1.5082999999999999E-2</v>
      </c>
      <c r="N163">
        <f t="shared" si="129"/>
        <v>6.8917000000000006E-2</v>
      </c>
      <c r="O163">
        <f t="shared" si="129"/>
        <v>0.1275</v>
      </c>
      <c r="P163">
        <f t="shared" si="129"/>
        <v>11.384216602</v>
      </c>
      <c r="Q163">
        <f t="shared" si="129"/>
        <v>1.3875999999999999E-2</v>
      </c>
      <c r="R163">
        <f t="shared" si="129"/>
        <v>0.60836999999999997</v>
      </c>
      <c r="S163">
        <f t="shared" si="129"/>
        <v>0.16855999999999999</v>
      </c>
      <c r="T163">
        <f t="shared" si="129"/>
        <v>2.7827999999999999E-2</v>
      </c>
      <c r="U163">
        <f t="shared" si="129"/>
        <v>3.4965000000000002E-4</v>
      </c>
      <c r="V163">
        <f t="shared" si="129"/>
        <v>0.24507000000000001</v>
      </c>
      <c r="W163">
        <f t="shared" si="129"/>
        <v>0.28216999999999998</v>
      </c>
      <c r="X163">
        <f t="shared" si="129"/>
        <v>2.3791E-2</v>
      </c>
      <c r="Y163">
        <f t="shared" si="129"/>
        <v>1.1882E-4</v>
      </c>
      <c r="Z163">
        <f t="shared" si="129"/>
        <v>1.1622E-2</v>
      </c>
      <c r="AA163">
        <f t="shared" si="129"/>
        <v>-2.4247999999999999E-5</v>
      </c>
      <c r="AB163">
        <f t="shared" si="129"/>
        <v>1.8053E-8</v>
      </c>
      <c r="AC163">
        <f t="shared" si="129"/>
        <v>1.1259E-3</v>
      </c>
      <c r="AD163">
        <f t="shared" si="129"/>
        <v>9.8528999999999999E-4</v>
      </c>
      <c r="AE163">
        <f t="shared" si="129"/>
        <v>1.8718000000000001E-3</v>
      </c>
      <c r="AF163">
        <f t="shared" si="129"/>
        <v>2.6829999999999999E-5</v>
      </c>
      <c r="AG163">
        <f t="shared" si="129"/>
        <v>2.5512999999999998E-3</v>
      </c>
      <c r="AH163">
        <f t="shared" si="129"/>
        <v>2.2418E-3</v>
      </c>
    </row>
    <row r="164" spans="2:34" x14ac:dyDescent="0.25">
      <c r="B164" t="str">
        <f>'[3]5_Hub_70%IP'!Y390</f>
        <v>Denver International Airport</v>
      </c>
      <c r="C164" t="str">
        <f>C156</f>
        <v>market for electricity, low voltage, US-WECC</v>
      </c>
      <c r="D164">
        <f>'[3]5_Hub_70%IP'!$Z390/$A$3</f>
        <v>6.2663185378590072E-2</v>
      </c>
      <c r="E164" t="str">
        <f t="shared" ref="E164:AH164" si="130">E156</f>
        <v>kWh</v>
      </c>
      <c r="F164" t="str">
        <f t="shared" si="130"/>
        <v>Ecoinvent v3.7.1</v>
      </c>
      <c r="G164">
        <f t="shared" si="130"/>
        <v>0.41233999999999998</v>
      </c>
      <c r="H164">
        <f t="shared" si="130"/>
        <v>0.16356000000000001</v>
      </c>
      <c r="I164">
        <f t="shared" si="130"/>
        <v>5.2107000000000001</v>
      </c>
      <c r="J164">
        <f t="shared" si="130"/>
        <v>0.15804000000000001</v>
      </c>
      <c r="K164">
        <f t="shared" si="130"/>
        <v>1.1274</v>
      </c>
      <c r="L164">
        <f t="shared" si="130"/>
        <v>1.7768999999999999E-5</v>
      </c>
      <c r="M164">
        <f t="shared" si="130"/>
        <v>0.32883000000000001</v>
      </c>
      <c r="N164">
        <f t="shared" si="130"/>
        <v>1.0143</v>
      </c>
      <c r="O164">
        <f t="shared" si="130"/>
        <v>0.29749999999999999</v>
      </c>
      <c r="P164">
        <f t="shared" si="130"/>
        <v>8.300347769</v>
      </c>
      <c r="Q164">
        <f t="shared" si="130"/>
        <v>2.4857000000000001E-2</v>
      </c>
      <c r="R164">
        <f t="shared" si="130"/>
        <v>0.40821000000000002</v>
      </c>
      <c r="S164">
        <f t="shared" si="130"/>
        <v>0.13331000000000001</v>
      </c>
      <c r="T164">
        <f t="shared" si="130"/>
        <v>2.9420000000000002E-2</v>
      </c>
      <c r="U164">
        <f t="shared" si="130"/>
        <v>4.3196E-4</v>
      </c>
      <c r="V164">
        <f t="shared" si="130"/>
        <v>0.27927000000000002</v>
      </c>
      <c r="W164">
        <f t="shared" si="130"/>
        <v>7.3639999999999997E-2</v>
      </c>
      <c r="X164">
        <f t="shared" si="130"/>
        <v>2.5277999999999998E-2</v>
      </c>
      <c r="Y164">
        <f t="shared" si="130"/>
        <v>1.1887000000000001E-4</v>
      </c>
      <c r="Z164">
        <f t="shared" si="130"/>
        <v>1.1467E-2</v>
      </c>
      <c r="AA164">
        <f t="shared" si="130"/>
        <v>-1.4652E-5</v>
      </c>
      <c r="AB164">
        <f t="shared" si="130"/>
        <v>1.7493E-8</v>
      </c>
      <c r="AC164">
        <f t="shared" si="130"/>
        <v>1.5398E-3</v>
      </c>
      <c r="AD164">
        <f t="shared" si="130"/>
        <v>6.7785999999999996E-4</v>
      </c>
      <c r="AE164">
        <f t="shared" si="130"/>
        <v>7.8450000000000004E-4</v>
      </c>
      <c r="AF164">
        <f t="shared" si="130"/>
        <v>3.1801999999999998E-5</v>
      </c>
      <c r="AG164">
        <f t="shared" si="130"/>
        <v>2.3995000000000002E-3</v>
      </c>
      <c r="AH164">
        <f t="shared" si="130"/>
        <v>3.0509000000000001E-3</v>
      </c>
    </row>
    <row r="165" spans="2:34" x14ac:dyDescent="0.25">
      <c r="B165" s="59" t="str">
        <f>C159</f>
        <v>5_Hub_70%IP</v>
      </c>
      <c r="C165" s="59" t="s">
        <v>806</v>
      </c>
      <c r="D165" s="59">
        <f>SUM(D159:D164)</f>
        <v>1</v>
      </c>
      <c r="E165" s="59" t="s">
        <v>105</v>
      </c>
      <c r="F165" s="59"/>
      <c r="G165" s="59">
        <f>SUMPRODUCT($D159:$D164,G159:G164)</f>
        <v>0.5553883422193211</v>
      </c>
      <c r="H165" s="59">
        <f t="shared" ref="H165:AH165" si="131">SUMPRODUCT($D159:$D164,H159:H164)</f>
        <v>0.15618177522193211</v>
      </c>
      <c r="I165" s="59">
        <f t="shared" si="131"/>
        <v>6.4777539605744137</v>
      </c>
      <c r="J165" s="59">
        <f t="shared" si="131"/>
        <v>3.7030632237571803E-2</v>
      </c>
      <c r="K165" s="59">
        <f t="shared" si="131"/>
        <v>3.1360314412532642</v>
      </c>
      <c r="L165" s="59">
        <f t="shared" si="131"/>
        <v>8.7602411796344656E-5</v>
      </c>
      <c r="M165" s="59">
        <f t="shared" si="131"/>
        <v>0.10726490294255875</v>
      </c>
      <c r="N165" s="59">
        <f t="shared" si="131"/>
        <v>0.40240726265274152</v>
      </c>
      <c r="O165" s="59">
        <f t="shared" si="131"/>
        <v>0.23659535418798955</v>
      </c>
      <c r="P165" s="59">
        <f t="shared" si="131"/>
        <v>10.553352931482266</v>
      </c>
      <c r="Q165" s="59">
        <f t="shared" si="131"/>
        <v>2.3828490606788516E-2</v>
      </c>
      <c r="R165" s="59">
        <f t="shared" si="131"/>
        <v>0.55008365219321143</v>
      </c>
      <c r="S165" s="59">
        <f t="shared" si="131"/>
        <v>0.16340103389033941</v>
      </c>
      <c r="T165" s="59">
        <f t="shared" si="131"/>
        <v>2.8731886986945166E-2</v>
      </c>
      <c r="U165" s="59">
        <f t="shared" si="131"/>
        <v>4.1223807691906009E-4</v>
      </c>
      <c r="V165" s="59">
        <f t="shared" si="131"/>
        <v>0.27825103389033951</v>
      </c>
      <c r="W165" s="59">
        <f t="shared" si="131"/>
        <v>0.20506592346736294</v>
      </c>
      <c r="X165" s="59">
        <f t="shared" si="131"/>
        <v>2.4727830117493469E-2</v>
      </c>
      <c r="Y165" s="59">
        <f t="shared" si="131"/>
        <v>1.2803566634464751E-4</v>
      </c>
      <c r="Z165" s="59">
        <f t="shared" si="131"/>
        <v>1.1653277148825063E-2</v>
      </c>
      <c r="AA165" s="59">
        <f t="shared" si="131"/>
        <v>-2.2069535801566579E-5</v>
      </c>
      <c r="AB165" s="59">
        <f t="shared" si="131"/>
        <v>1.9275176718015663E-8</v>
      </c>
      <c r="AC165" s="59">
        <f t="shared" si="131"/>
        <v>1.3033808827676242E-3</v>
      </c>
      <c r="AD165" s="59">
        <f t="shared" si="131"/>
        <v>9.1987074449086158E-4</v>
      </c>
      <c r="AE165" s="59">
        <f t="shared" si="131"/>
        <v>1.5769552597911225E-3</v>
      </c>
      <c r="AF165" s="59">
        <f t="shared" si="131"/>
        <v>2.7848350830287203E-5</v>
      </c>
      <c r="AG165" s="59">
        <f t="shared" si="131"/>
        <v>2.4462387966579639E-3</v>
      </c>
      <c r="AH165" s="59">
        <f t="shared" si="131"/>
        <v>2.9367086514360315E-3</v>
      </c>
    </row>
    <row r="166" spans="2:34" x14ac:dyDescent="0.25">
      <c r="B166" s="59" t="str">
        <f>B165</f>
        <v>5_Hub_70%IP</v>
      </c>
      <c r="C166" s="59"/>
      <c r="D166" s="59"/>
      <c r="E166" s="59"/>
      <c r="F166" s="59"/>
      <c r="G166" s="59">
        <f>SUMPRODUCT($D160:$D164,G160:G164)/SUM($D160:$D164)</f>
        <v>0.57633026022304834</v>
      </c>
      <c r="H166" s="59">
        <f t="shared" ref="H166:AH166" si="132">SUMPRODUCT($D160:$D164,H160:H164)/SUM($D160:$D164)</f>
        <v>0.131645687732342</v>
      </c>
      <c r="I166" s="59">
        <f t="shared" si="132"/>
        <v>6.5474040892193317</v>
      </c>
      <c r="J166" s="59">
        <f t="shared" si="132"/>
        <v>3.029531301115242E-2</v>
      </c>
      <c r="K166" s="59">
        <f t="shared" si="132"/>
        <v>3.666245353159852</v>
      </c>
      <c r="L166" s="59">
        <f t="shared" si="132"/>
        <v>1.5711356877323421E-5</v>
      </c>
      <c r="M166" s="59">
        <f t="shared" si="132"/>
        <v>7.9115747211895918E-2</v>
      </c>
      <c r="N166" s="59">
        <f t="shared" si="132"/>
        <v>0.25913907063197028</v>
      </c>
      <c r="O166" s="59">
        <f t="shared" si="132"/>
        <v>0.14863332342007438</v>
      </c>
      <c r="P166" s="59">
        <f t="shared" si="132"/>
        <v>10.862494295743495</v>
      </c>
      <c r="Q166" s="59">
        <f t="shared" si="132"/>
        <v>2.0542613382899633E-2</v>
      </c>
      <c r="R166" s="59">
        <f t="shared" si="132"/>
        <v>0.57064420074349442</v>
      </c>
      <c r="S166" s="59">
        <f t="shared" si="132"/>
        <v>0.16461342007434945</v>
      </c>
      <c r="T166" s="59">
        <f t="shared" si="132"/>
        <v>2.8307821561338292E-2</v>
      </c>
      <c r="U166" s="59">
        <f t="shared" si="132"/>
        <v>3.7462743494423795E-4</v>
      </c>
      <c r="V166" s="59">
        <f t="shared" si="132"/>
        <v>0.25692918215613386</v>
      </c>
      <c r="W166" s="59">
        <f t="shared" si="132"/>
        <v>0.23830550185873606</v>
      </c>
      <c r="X166" s="59">
        <f t="shared" si="132"/>
        <v>2.4209070631970264E-2</v>
      </c>
      <c r="Y166" s="59">
        <f t="shared" si="132"/>
        <v>1.2042516728624538E-4</v>
      </c>
      <c r="Z166" s="59">
        <f t="shared" si="132"/>
        <v>1.1581371747211898E-2</v>
      </c>
      <c r="AA166" s="59">
        <f t="shared" si="132"/>
        <v>-2.2184907063197027E-5</v>
      </c>
      <c r="AB166" s="59">
        <f t="shared" si="132"/>
        <v>1.8672018587360597E-8</v>
      </c>
      <c r="AC166" s="59">
        <f t="shared" si="132"/>
        <v>1.2335687732342008E-3</v>
      </c>
      <c r="AD166" s="59">
        <f t="shared" si="132"/>
        <v>9.1616208178438676E-4</v>
      </c>
      <c r="AE166" s="59">
        <f t="shared" si="132"/>
        <v>1.6250315985130116E-3</v>
      </c>
      <c r="AF166" s="59">
        <f t="shared" si="132"/>
        <v>2.8688527881040892E-5</v>
      </c>
      <c r="AG166" s="59">
        <f t="shared" si="132"/>
        <v>2.5235401486988851E-3</v>
      </c>
      <c r="AH166" s="59">
        <f t="shared" si="132"/>
        <v>2.4015892193308551E-3</v>
      </c>
    </row>
    <row r="167" spans="2:34" x14ac:dyDescent="0.25">
      <c r="B167" t="s">
        <v>593</v>
      </c>
      <c r="C167" t="str">
        <f>'[3]LCIA-Elec'!BJ92</f>
        <v>5_Hub_90%IP</v>
      </c>
      <c r="D167">
        <f>'[3]LCIA-Elec'!$AB$68/$A$3</f>
        <v>9.921671018276762E-2</v>
      </c>
      <c r="E167" t="s">
        <v>105</v>
      </c>
      <c r="F167" t="s">
        <v>829</v>
      </c>
      <c r="G167">
        <f>'[3]LCIA-Elec'!BK92</f>
        <v>0.52228557894736849</v>
      </c>
      <c r="H167">
        <f>'[3]LCIA-Elec'!BL92</f>
        <v>0.19815133157894738</v>
      </c>
      <c r="I167">
        <f>'[3]LCIA-Elec'!BM92</f>
        <v>6.8048999999999991</v>
      </c>
      <c r="J167">
        <f>'[3]LCIA-Elec'!BN92</f>
        <v>6.8809703684210535E-2</v>
      </c>
      <c r="K167">
        <f>'[3]LCIA-Elec'!BO92</f>
        <v>1.4321863236842109</v>
      </c>
      <c r="L167">
        <f>'[3]LCIA-Elec'!BP92</f>
        <v>7.1726781052631583E-4</v>
      </c>
      <c r="M167">
        <f>'[3]LCIA-Elec'!BQ92</f>
        <v>0.16448991342105262</v>
      </c>
      <c r="N167">
        <f>'[3]LCIA-Elec'!BR92</f>
        <v>0.93270699999999984</v>
      </c>
      <c r="O167">
        <f>'[3]LCIA-Elec'!BS92</f>
        <v>0.26386205526315792</v>
      </c>
      <c r="P167">
        <f>'[3]LCIA-Elec'!BT92</f>
        <v>9.865823595442107</v>
      </c>
      <c r="Q167">
        <f>'[3]LCIA-Elec'!BU92</f>
        <v>3.0027655263157895E-2</v>
      </c>
      <c r="R167">
        <f>'[3]LCIA-Elec'!BV92</f>
        <v>0.51688936842105271</v>
      </c>
      <c r="S167">
        <f>'[3]LCIA-Elec'!BW92</f>
        <v>0.1745485052631579</v>
      </c>
      <c r="T167">
        <f>'[3]LCIA-Elec'!BX92</f>
        <v>2.7813763157894737E-2</v>
      </c>
      <c r="U167">
        <f>'[3]LCIA-Elec'!BY92</f>
        <v>3.2963189473684206E-4</v>
      </c>
      <c r="V167">
        <f>'[3]LCIA-Elec'!BZ92</f>
        <v>0.22942702631578946</v>
      </c>
      <c r="W167">
        <f>'[3]LCIA-Elec'!CA92</f>
        <v>9.6962397368421036E-2</v>
      </c>
      <c r="X167">
        <f>'[3]LCIA-Elec'!CB92</f>
        <v>2.3950315789473681E-2</v>
      </c>
      <c r="Y167">
        <f>'[3]LCIA-Elec'!CC92</f>
        <v>1.1833230263157893E-4</v>
      </c>
      <c r="Z167">
        <f>'[3]LCIA-Elec'!CD92</f>
        <v>1.1539636842105263E-2</v>
      </c>
      <c r="AA167">
        <f>'[3]LCIA-Elec'!CE92</f>
        <v>-1.9620631578947366E-5</v>
      </c>
      <c r="AB167">
        <f>'[3]LCIA-Elec'!CF92</f>
        <v>2.5785239473684206E-8</v>
      </c>
      <c r="AC167">
        <f>'[3]LCIA-Elec'!CG92</f>
        <v>1.3008182631578948E-3</v>
      </c>
      <c r="AD167">
        <f>'[3]LCIA-Elec'!CH92</f>
        <v>1.0425363157894737E-3</v>
      </c>
      <c r="AE167">
        <f>'[3]LCIA-Elec'!CI92</f>
        <v>1.5674360526315787E-3</v>
      </c>
      <c r="AF167">
        <f>'[3]LCIA-Elec'!CJ92</f>
        <v>3.1732889473684208E-5</v>
      </c>
      <c r="AG167">
        <f>'[3]LCIA-Elec'!CK92</f>
        <v>2.3234902631578945E-3</v>
      </c>
      <c r="AH167">
        <f>'[3]LCIA-Elec'!CL92</f>
        <v>4.5802307894736828E-3</v>
      </c>
    </row>
    <row r="168" spans="2:34" x14ac:dyDescent="0.25">
      <c r="B168" t="str">
        <f>'[3]5_Hub_90%IP'!Y386</f>
        <v>Flughafen Frankfurt/Main</v>
      </c>
      <c r="C168" t="str">
        <f>C129</f>
        <v>market for electricity, low voltage, DE</v>
      </c>
      <c r="D168">
        <f>'[3]5_Hub_90%IP'!$Z386/$A$3</f>
        <v>6.7885117493472591E-2</v>
      </c>
      <c r="E168" t="str">
        <f t="shared" ref="E168:AH168" si="133">E129</f>
        <v>kWh</v>
      </c>
      <c r="F168" t="str">
        <f t="shared" si="133"/>
        <v>Ecoinvent v3.7.1</v>
      </c>
      <c r="G168">
        <f t="shared" si="133"/>
        <v>0.54196</v>
      </c>
      <c r="H168">
        <f t="shared" si="133"/>
        <v>0.14645</v>
      </c>
      <c r="I168">
        <f t="shared" si="133"/>
        <v>6.0651000000000002</v>
      </c>
      <c r="J168">
        <f t="shared" si="133"/>
        <v>2.5809000000000001E-3</v>
      </c>
      <c r="K168">
        <f t="shared" si="133"/>
        <v>1.7815000000000001</v>
      </c>
      <c r="L168">
        <f t="shared" si="133"/>
        <v>3.0886999999999998E-5</v>
      </c>
      <c r="M168">
        <f t="shared" si="133"/>
        <v>0.46137</v>
      </c>
      <c r="N168">
        <f t="shared" si="133"/>
        <v>0.20688000000000001</v>
      </c>
      <c r="O168">
        <f t="shared" si="133"/>
        <v>0.72643999999999997</v>
      </c>
      <c r="P168">
        <f t="shared" si="133"/>
        <v>9.3903517870000002</v>
      </c>
      <c r="Q168">
        <f t="shared" si="133"/>
        <v>2.2039E-2</v>
      </c>
      <c r="R168">
        <f t="shared" si="133"/>
        <v>0.53620000000000001</v>
      </c>
      <c r="S168">
        <f t="shared" si="133"/>
        <v>0.14494000000000001</v>
      </c>
      <c r="T168">
        <f t="shared" si="133"/>
        <v>3.6583999999999998E-2</v>
      </c>
      <c r="U168">
        <f t="shared" si="133"/>
        <v>7.9215000000000004E-4</v>
      </c>
      <c r="V168">
        <f t="shared" si="133"/>
        <v>0.49026999999999998</v>
      </c>
      <c r="W168">
        <f t="shared" si="133"/>
        <v>9.1795000000000002E-2</v>
      </c>
      <c r="X168">
        <f t="shared" si="133"/>
        <v>3.2615999999999999E-2</v>
      </c>
      <c r="Y168">
        <f t="shared" si="133"/>
        <v>2.0006000000000001E-4</v>
      </c>
      <c r="Z168">
        <f t="shared" si="133"/>
        <v>1.4718E-2</v>
      </c>
      <c r="AA168">
        <f t="shared" si="133"/>
        <v>-2.1696E-5</v>
      </c>
      <c r="AB168">
        <f t="shared" si="133"/>
        <v>1.267E-8</v>
      </c>
      <c r="AC168">
        <f t="shared" si="133"/>
        <v>3.369E-4</v>
      </c>
      <c r="AD168">
        <f t="shared" si="133"/>
        <v>7.2397E-4</v>
      </c>
      <c r="AE168">
        <f t="shared" si="133"/>
        <v>9.6077000000000001E-4</v>
      </c>
      <c r="AF168">
        <f t="shared" si="133"/>
        <v>2.8184999999999999E-5</v>
      </c>
      <c r="AG168">
        <f t="shared" si="133"/>
        <v>3.2648999999999998E-3</v>
      </c>
      <c r="AH168">
        <f t="shared" si="133"/>
        <v>2.3346999999999999E-3</v>
      </c>
    </row>
    <row r="169" spans="2:34" x14ac:dyDescent="0.25">
      <c r="B169" t="str">
        <f>'[3]5_Hub_90%IP'!Y387</f>
        <v>Newark Liberty International Airport</v>
      </c>
      <c r="C169" t="str">
        <f>C122</f>
        <v>market for electricity, low voltage, US-RFC</v>
      </c>
      <c r="D169">
        <f>'[3]5_Hub_90%IP'!$Z387/$A$3</f>
        <v>0.36814621409921672</v>
      </c>
      <c r="E169" t="str">
        <f t="shared" ref="E169:AH169" si="134">E122</f>
        <v>kWh</v>
      </c>
      <c r="F169" t="str">
        <f t="shared" si="134"/>
        <v>Ecoinvent v3.7.1</v>
      </c>
      <c r="G169">
        <f t="shared" si="134"/>
        <v>0.61436999999999997</v>
      </c>
      <c r="H169">
        <f t="shared" si="134"/>
        <v>8.2399E-2</v>
      </c>
      <c r="I169">
        <f t="shared" si="134"/>
        <v>6.7473999999999998</v>
      </c>
      <c r="J169">
        <f t="shared" si="134"/>
        <v>4.0428000000000003E-4</v>
      </c>
      <c r="K169">
        <f t="shared" si="134"/>
        <v>4.3425000000000002</v>
      </c>
      <c r="L169">
        <f t="shared" si="134"/>
        <v>1.3322000000000001E-5</v>
      </c>
      <c r="M169">
        <f t="shared" si="134"/>
        <v>1.5082999999999999E-2</v>
      </c>
      <c r="N169">
        <f t="shared" si="134"/>
        <v>6.8917000000000006E-2</v>
      </c>
      <c r="O169">
        <f t="shared" si="134"/>
        <v>0.1275</v>
      </c>
      <c r="P169">
        <f t="shared" si="134"/>
        <v>11.384216602</v>
      </c>
      <c r="Q169">
        <f t="shared" si="134"/>
        <v>1.3875999999999999E-2</v>
      </c>
      <c r="R169">
        <f t="shared" si="134"/>
        <v>0.60836999999999997</v>
      </c>
      <c r="S169">
        <f t="shared" si="134"/>
        <v>0.16855999999999999</v>
      </c>
      <c r="T169">
        <f t="shared" si="134"/>
        <v>2.7827999999999999E-2</v>
      </c>
      <c r="U169">
        <f t="shared" si="134"/>
        <v>3.4965000000000002E-4</v>
      </c>
      <c r="V169">
        <f t="shared" si="134"/>
        <v>0.24507000000000001</v>
      </c>
      <c r="W169">
        <f t="shared" si="134"/>
        <v>0.28216999999999998</v>
      </c>
      <c r="X169">
        <f t="shared" si="134"/>
        <v>2.3791E-2</v>
      </c>
      <c r="Y169">
        <f t="shared" si="134"/>
        <v>1.1882E-4</v>
      </c>
      <c r="Z169">
        <f t="shared" si="134"/>
        <v>1.1622E-2</v>
      </c>
      <c r="AA169">
        <f t="shared" si="134"/>
        <v>-2.4247999999999999E-5</v>
      </c>
      <c r="AB169">
        <f t="shared" si="134"/>
        <v>1.8053E-8</v>
      </c>
      <c r="AC169">
        <f t="shared" si="134"/>
        <v>1.1259E-3</v>
      </c>
      <c r="AD169">
        <f t="shared" si="134"/>
        <v>9.8528999999999999E-4</v>
      </c>
      <c r="AE169">
        <f t="shared" si="134"/>
        <v>1.8718000000000001E-3</v>
      </c>
      <c r="AF169">
        <f t="shared" si="134"/>
        <v>2.6829999999999999E-5</v>
      </c>
      <c r="AG169">
        <f t="shared" si="134"/>
        <v>2.5512999999999998E-3</v>
      </c>
      <c r="AH169">
        <f t="shared" si="134"/>
        <v>2.2418E-3</v>
      </c>
    </row>
    <row r="170" spans="2:34" x14ac:dyDescent="0.25">
      <c r="B170" t="str">
        <f>'[3]5_Hub_90%IP'!Y388</f>
        <v>Seattle-Tacoma International Airport</v>
      </c>
      <c r="C170" t="str">
        <f>C123</f>
        <v>market for electricity, low voltage, US-WECC</v>
      </c>
      <c r="D170">
        <f>'[3]5_Hub_90%IP'!$Z388/$A$3</f>
        <v>0.13315926892950392</v>
      </c>
      <c r="E170" t="str">
        <f t="shared" ref="E170:AH170" si="135">E123</f>
        <v>kWh</v>
      </c>
      <c r="F170" t="str">
        <f t="shared" si="135"/>
        <v>Ecoinvent v3.7.1</v>
      </c>
      <c r="G170">
        <f t="shared" si="135"/>
        <v>0.41233999999999998</v>
      </c>
      <c r="H170">
        <f t="shared" si="135"/>
        <v>0.16356000000000001</v>
      </c>
      <c r="I170">
        <f t="shared" si="135"/>
        <v>5.2107000000000001</v>
      </c>
      <c r="J170">
        <f t="shared" si="135"/>
        <v>0.15804000000000001</v>
      </c>
      <c r="K170">
        <f t="shared" si="135"/>
        <v>1.1274</v>
      </c>
      <c r="L170">
        <f t="shared" si="135"/>
        <v>1.7768999999999999E-5</v>
      </c>
      <c r="M170">
        <f t="shared" si="135"/>
        <v>0.32883000000000001</v>
      </c>
      <c r="N170">
        <f t="shared" si="135"/>
        <v>1.0143</v>
      </c>
      <c r="O170">
        <f t="shared" si="135"/>
        <v>0.29749999999999999</v>
      </c>
      <c r="P170">
        <f t="shared" si="135"/>
        <v>8.300347769</v>
      </c>
      <c r="Q170">
        <f t="shared" si="135"/>
        <v>2.4857000000000001E-2</v>
      </c>
      <c r="R170">
        <f t="shared" si="135"/>
        <v>0.40821000000000002</v>
      </c>
      <c r="S170">
        <f t="shared" si="135"/>
        <v>0.13331000000000001</v>
      </c>
      <c r="T170">
        <f t="shared" si="135"/>
        <v>2.9420000000000002E-2</v>
      </c>
      <c r="U170">
        <f t="shared" si="135"/>
        <v>4.3196E-4</v>
      </c>
      <c r="V170">
        <f t="shared" si="135"/>
        <v>0.27927000000000002</v>
      </c>
      <c r="W170">
        <f t="shared" si="135"/>
        <v>7.3639999999999997E-2</v>
      </c>
      <c r="X170">
        <f t="shared" si="135"/>
        <v>2.5277999999999998E-2</v>
      </c>
      <c r="Y170">
        <f t="shared" si="135"/>
        <v>1.1887000000000001E-4</v>
      </c>
      <c r="Z170">
        <f t="shared" si="135"/>
        <v>1.1467E-2</v>
      </c>
      <c r="AA170">
        <f t="shared" si="135"/>
        <v>-1.4652E-5</v>
      </c>
      <c r="AB170">
        <f t="shared" si="135"/>
        <v>1.7493E-8</v>
      </c>
      <c r="AC170">
        <f t="shared" si="135"/>
        <v>1.5398E-3</v>
      </c>
      <c r="AD170">
        <f t="shared" si="135"/>
        <v>6.7785999999999996E-4</v>
      </c>
      <c r="AE170">
        <f t="shared" si="135"/>
        <v>7.8450000000000004E-4</v>
      </c>
      <c r="AF170">
        <f t="shared" si="135"/>
        <v>3.1801999999999998E-5</v>
      </c>
      <c r="AG170">
        <f t="shared" si="135"/>
        <v>2.3995000000000002E-3</v>
      </c>
      <c r="AH170">
        <f t="shared" si="135"/>
        <v>3.0509000000000001E-3</v>
      </c>
    </row>
    <row r="171" spans="2:34" x14ac:dyDescent="0.25">
      <c r="B171" t="str">
        <f>'[3]5_Hub_90%IP'!Y389</f>
        <v>O'Hare International Airport</v>
      </c>
      <c r="C171" t="str">
        <f>C124</f>
        <v>market for electricity, low voltage, US-RFC</v>
      </c>
      <c r="D171">
        <f>'[3]5_Hub_90%IP'!$Z389/$A$3</f>
        <v>0.25587467362924282</v>
      </c>
      <c r="E171" t="str">
        <f t="shared" ref="E171:AH171" si="136">E124</f>
        <v>kWh</v>
      </c>
      <c r="F171" t="str">
        <f t="shared" si="136"/>
        <v>Ecoinvent v3.7.1</v>
      </c>
      <c r="G171">
        <f t="shared" si="136"/>
        <v>0.61436999999999997</v>
      </c>
      <c r="H171">
        <f t="shared" si="136"/>
        <v>8.2399E-2</v>
      </c>
      <c r="I171">
        <f t="shared" si="136"/>
        <v>6.7473999999999998</v>
      </c>
      <c r="J171">
        <f t="shared" si="136"/>
        <v>4.0428000000000003E-4</v>
      </c>
      <c r="K171">
        <f t="shared" si="136"/>
        <v>4.3425000000000002</v>
      </c>
      <c r="L171">
        <f t="shared" si="136"/>
        <v>1.3322000000000001E-5</v>
      </c>
      <c r="M171">
        <f t="shared" si="136"/>
        <v>1.5082999999999999E-2</v>
      </c>
      <c r="N171">
        <f t="shared" si="136"/>
        <v>6.8917000000000006E-2</v>
      </c>
      <c r="O171">
        <f t="shared" si="136"/>
        <v>0.1275</v>
      </c>
      <c r="P171">
        <f t="shared" si="136"/>
        <v>11.384216602</v>
      </c>
      <c r="Q171">
        <f t="shared" si="136"/>
        <v>1.3875999999999999E-2</v>
      </c>
      <c r="R171">
        <f t="shared" si="136"/>
        <v>0.60836999999999997</v>
      </c>
      <c r="S171">
        <f t="shared" si="136"/>
        <v>0.16855999999999999</v>
      </c>
      <c r="T171">
        <f t="shared" si="136"/>
        <v>2.7827999999999999E-2</v>
      </c>
      <c r="U171">
        <f t="shared" si="136"/>
        <v>3.4965000000000002E-4</v>
      </c>
      <c r="V171">
        <f t="shared" si="136"/>
        <v>0.24507000000000001</v>
      </c>
      <c r="W171">
        <f t="shared" si="136"/>
        <v>0.28216999999999998</v>
      </c>
      <c r="X171">
        <f t="shared" si="136"/>
        <v>2.3791E-2</v>
      </c>
      <c r="Y171">
        <f t="shared" si="136"/>
        <v>1.1882E-4</v>
      </c>
      <c r="Z171">
        <f t="shared" si="136"/>
        <v>1.1622E-2</v>
      </c>
      <c r="AA171">
        <f t="shared" si="136"/>
        <v>-2.4247999999999999E-5</v>
      </c>
      <c r="AB171">
        <f t="shared" si="136"/>
        <v>1.8053E-8</v>
      </c>
      <c r="AC171">
        <f t="shared" si="136"/>
        <v>1.1259E-3</v>
      </c>
      <c r="AD171">
        <f t="shared" si="136"/>
        <v>9.8528999999999999E-4</v>
      </c>
      <c r="AE171">
        <f t="shared" si="136"/>
        <v>1.8718000000000001E-3</v>
      </c>
      <c r="AF171">
        <f t="shared" si="136"/>
        <v>2.6829999999999999E-5</v>
      </c>
      <c r="AG171">
        <f t="shared" si="136"/>
        <v>2.5512999999999998E-3</v>
      </c>
      <c r="AH171">
        <f t="shared" si="136"/>
        <v>2.2418E-3</v>
      </c>
    </row>
    <row r="172" spans="2:34" x14ac:dyDescent="0.25">
      <c r="B172" t="str">
        <f>'[3]5_Hub_90%IP'!Y390</f>
        <v>Denver International Airport</v>
      </c>
      <c r="C172" t="str">
        <f>C125</f>
        <v>market for electricity, low voltage, US-WECC</v>
      </c>
      <c r="D172">
        <f>'[3]5_Hub_90%IP'!$Z390/$A$3</f>
        <v>7.5718015665796348E-2</v>
      </c>
      <c r="E172" t="str">
        <f t="shared" ref="E172:AH172" si="137">E125</f>
        <v>kWh</v>
      </c>
      <c r="F172" t="str">
        <f t="shared" si="137"/>
        <v>Ecoinvent v3.7.1</v>
      </c>
      <c r="G172">
        <f t="shared" si="137"/>
        <v>0.41233999999999998</v>
      </c>
      <c r="H172">
        <f t="shared" si="137"/>
        <v>0.16356000000000001</v>
      </c>
      <c r="I172">
        <f t="shared" si="137"/>
        <v>5.2107000000000001</v>
      </c>
      <c r="J172">
        <f t="shared" si="137"/>
        <v>0.15804000000000001</v>
      </c>
      <c r="K172">
        <f t="shared" si="137"/>
        <v>1.1274</v>
      </c>
      <c r="L172">
        <f t="shared" si="137"/>
        <v>1.7768999999999999E-5</v>
      </c>
      <c r="M172">
        <f t="shared" si="137"/>
        <v>0.32883000000000001</v>
      </c>
      <c r="N172">
        <f t="shared" si="137"/>
        <v>1.0143</v>
      </c>
      <c r="O172">
        <f t="shared" si="137"/>
        <v>0.29749999999999999</v>
      </c>
      <c r="P172">
        <f t="shared" si="137"/>
        <v>8.300347769</v>
      </c>
      <c r="Q172">
        <f t="shared" si="137"/>
        <v>2.4857000000000001E-2</v>
      </c>
      <c r="R172">
        <f t="shared" si="137"/>
        <v>0.40821000000000002</v>
      </c>
      <c r="S172">
        <f t="shared" si="137"/>
        <v>0.13331000000000001</v>
      </c>
      <c r="T172">
        <f t="shared" si="137"/>
        <v>2.9420000000000002E-2</v>
      </c>
      <c r="U172">
        <f t="shared" si="137"/>
        <v>4.3196E-4</v>
      </c>
      <c r="V172">
        <f t="shared" si="137"/>
        <v>0.27927000000000002</v>
      </c>
      <c r="W172">
        <f t="shared" si="137"/>
        <v>7.3639999999999997E-2</v>
      </c>
      <c r="X172">
        <f t="shared" si="137"/>
        <v>2.5277999999999998E-2</v>
      </c>
      <c r="Y172">
        <f t="shared" si="137"/>
        <v>1.1887000000000001E-4</v>
      </c>
      <c r="Z172">
        <f t="shared" si="137"/>
        <v>1.1467E-2</v>
      </c>
      <c r="AA172">
        <f t="shared" si="137"/>
        <v>-1.4652E-5</v>
      </c>
      <c r="AB172">
        <f t="shared" si="137"/>
        <v>1.7493E-8</v>
      </c>
      <c r="AC172">
        <f t="shared" si="137"/>
        <v>1.5398E-3</v>
      </c>
      <c r="AD172">
        <f t="shared" si="137"/>
        <v>6.7785999999999996E-4</v>
      </c>
      <c r="AE172">
        <f t="shared" si="137"/>
        <v>7.8450000000000004E-4</v>
      </c>
      <c r="AF172">
        <f t="shared" si="137"/>
        <v>3.1801999999999998E-5</v>
      </c>
      <c r="AG172">
        <f t="shared" si="137"/>
        <v>2.3995000000000002E-3</v>
      </c>
      <c r="AH172">
        <f t="shared" si="137"/>
        <v>3.0509000000000001E-3</v>
      </c>
    </row>
    <row r="173" spans="2:34" x14ac:dyDescent="0.25">
      <c r="B173" s="59" t="str">
        <f>C167</f>
        <v>5_Hub_90%IP</v>
      </c>
      <c r="C173" s="59" t="s">
        <v>806</v>
      </c>
      <c r="D173" s="59">
        <f>SUM(D167:D172)</f>
        <v>1</v>
      </c>
      <c r="E173" s="59" t="s">
        <v>105</v>
      </c>
      <c r="F173" s="59"/>
      <c r="G173" s="59">
        <f>SUMPRODUCT($D167:$D172,G167:G172)</f>
        <v>0.55811864751958229</v>
      </c>
      <c r="H173" s="59">
        <f t="shared" ref="H173:AH173" si="138">SUMPRODUCT($D167:$D172,H167:H172)</f>
        <v>0.11518436449086164</v>
      </c>
      <c r="I173" s="59">
        <f t="shared" si="138"/>
        <v>6.3858052219321149</v>
      </c>
      <c r="J173" s="59">
        <f t="shared" si="138"/>
        <v>4.0265522349869451E-2</v>
      </c>
      <c r="K173" s="59">
        <f t="shared" si="138"/>
        <v>3.2083331078328983</v>
      </c>
      <c r="L173" s="59">
        <f t="shared" si="138"/>
        <v>8.5286466840731054E-5</v>
      </c>
      <c r="M173" s="59">
        <f t="shared" si="138"/>
        <v>0.1257375292689295</v>
      </c>
      <c r="N173" s="59">
        <f t="shared" si="138"/>
        <v>0.36145407049608358</v>
      </c>
      <c r="O173" s="59">
        <f t="shared" si="138"/>
        <v>0.21719764516971282</v>
      </c>
      <c r="P173" s="59">
        <f t="shared" si="138"/>
        <v>10.454062748007312</v>
      </c>
      <c r="Q173" s="59">
        <f t="shared" si="138"/>
        <v>1.832634177545692E-2</v>
      </c>
      <c r="R173" s="59">
        <f t="shared" si="138"/>
        <v>0.55258544647519581</v>
      </c>
      <c r="S173" s="59">
        <f t="shared" si="138"/>
        <v>0.16018778903394257</v>
      </c>
      <c r="T173" s="59">
        <f t="shared" si="138"/>
        <v>2.8753522193211489E-2</v>
      </c>
      <c r="U173" s="59">
        <f t="shared" si="138"/>
        <v>3.9489572323759788E-4</v>
      </c>
      <c r="V173" s="59">
        <f t="shared" si="138"/>
        <v>0.26730698955613574</v>
      </c>
      <c r="W173" s="59">
        <f t="shared" si="138"/>
        <v>0.20731350156657963</v>
      </c>
      <c r="X173" s="59">
        <f t="shared" si="138"/>
        <v>2.4716493472584856E-2</v>
      </c>
      <c r="Y173" s="59">
        <f t="shared" si="138"/>
        <v>1.2429704308093996E-4</v>
      </c>
      <c r="Z173" s="59">
        <f t="shared" si="138"/>
        <v>1.179162454308094E-2</v>
      </c>
      <c r="AA173" s="59">
        <f t="shared" si="138"/>
        <v>-2.1611258485639685E-5</v>
      </c>
      <c r="AB173" s="59">
        <f t="shared" si="138"/>
        <v>1.8337770496083548E-8</v>
      </c>
      <c r="AC173" s="59">
        <f t="shared" si="138"/>
        <v>1.1761477650130546E-3</v>
      </c>
      <c r="AD173" s="59">
        <f t="shared" si="138"/>
        <v>9.0901490861618813E-4</v>
      </c>
      <c r="AE173" s="59">
        <f t="shared" si="138"/>
        <v>1.5526443603133158E-3</v>
      </c>
      <c r="AF173" s="59">
        <f t="shared" si="138"/>
        <v>2.8446970757180158E-5</v>
      </c>
      <c r="AG173" s="59">
        <f t="shared" si="138"/>
        <v>2.5454327154047001E-3</v>
      </c>
      <c r="AH173" s="59">
        <f t="shared" si="138"/>
        <v>2.6491205483028719E-3</v>
      </c>
    </row>
    <row r="174" spans="2:34" x14ac:dyDescent="0.25">
      <c r="B174" s="59" t="str">
        <f>B173</f>
        <v>5_Hub_90%IP</v>
      </c>
      <c r="C174" s="59"/>
      <c r="D174" s="59"/>
      <c r="E174" s="59"/>
      <c r="F174" s="59"/>
      <c r="G174" s="59">
        <f>SUMPRODUCT($D168:$D172,G168:G172)/SUM($D168:$D172)</f>
        <v>0.56206547826086961</v>
      </c>
      <c r="H174" s="59">
        <f t="shared" ref="H174:AH174" si="139">SUMPRODUCT($D168:$D172,H168:H172)/SUM($D168:$D172)</f>
        <v>0.10604597391304349</v>
      </c>
      <c r="I174" s="59">
        <f t="shared" si="139"/>
        <v>6.3396440579710145</v>
      </c>
      <c r="J174" s="59">
        <f t="shared" si="139"/>
        <v>3.7121525565217396E-2</v>
      </c>
      <c r="K174" s="59">
        <f t="shared" si="139"/>
        <v>3.4039666666666668</v>
      </c>
      <c r="L174" s="59">
        <f t="shared" si="139"/>
        <v>1.5676927536231886E-5</v>
      </c>
      <c r="M174" s="59">
        <f t="shared" si="139"/>
        <v>0.12146915072463768</v>
      </c>
      <c r="N174" s="59">
        <f t="shared" si="139"/>
        <v>0.29853345797101449</v>
      </c>
      <c r="O174" s="59">
        <f t="shared" si="139"/>
        <v>0.21205779710144931</v>
      </c>
      <c r="P174" s="59">
        <f t="shared" si="139"/>
        <v>10.518854306840581</v>
      </c>
      <c r="Q174" s="59">
        <f t="shared" si="139"/>
        <v>1.7037501449275363E-2</v>
      </c>
      <c r="R174" s="59">
        <f t="shared" si="139"/>
        <v>0.55651718840579711</v>
      </c>
      <c r="S174" s="59">
        <f t="shared" si="139"/>
        <v>0.15860602898550727</v>
      </c>
      <c r="T174" s="59">
        <f t="shared" si="139"/>
        <v>2.8857031884057974E-2</v>
      </c>
      <c r="U174" s="59">
        <f t="shared" si="139"/>
        <v>4.0208420289855075E-4</v>
      </c>
      <c r="V174" s="59">
        <f t="shared" si="139"/>
        <v>0.27147927536231886</v>
      </c>
      <c r="W174" s="59">
        <f t="shared" si="139"/>
        <v>0.21946811594202897</v>
      </c>
      <c r="X174" s="59">
        <f t="shared" si="139"/>
        <v>2.4800884057971012E-2</v>
      </c>
      <c r="Y174" s="59">
        <f t="shared" si="139"/>
        <v>1.2495402898550728E-4</v>
      </c>
      <c r="Z174" s="59">
        <f t="shared" si="139"/>
        <v>1.1819379710144929E-2</v>
      </c>
      <c r="AA174" s="59">
        <f t="shared" si="139"/>
        <v>-2.1830515942028985E-5</v>
      </c>
      <c r="AB174" s="59">
        <f t="shared" si="139"/>
        <v>1.7517469565217391E-8</v>
      </c>
      <c r="AC174" s="59">
        <f t="shared" si="139"/>
        <v>1.1624159420289856E-3</v>
      </c>
      <c r="AD174" s="59">
        <f t="shared" si="139"/>
        <v>8.9430820289855084E-4</v>
      </c>
      <c r="AE174" s="59">
        <f t="shared" si="139"/>
        <v>1.5510151304347825E-3</v>
      </c>
      <c r="AF174" s="59">
        <f t="shared" si="139"/>
        <v>2.8085043478260874E-5</v>
      </c>
      <c r="AG174" s="59">
        <f t="shared" si="139"/>
        <v>2.569878550724638E-3</v>
      </c>
      <c r="AH174" s="59">
        <f t="shared" si="139"/>
        <v>2.4364185507246379E-3</v>
      </c>
    </row>
    <row r="175" spans="2:34" x14ac:dyDescent="0.25">
      <c r="B175" t="s">
        <v>593</v>
      </c>
      <c r="C175" t="str">
        <f>'[3]LCIA-Elec'!BJ93</f>
        <v>6_Hub_10%IP</v>
      </c>
      <c r="D175">
        <f>'[3]LCIA-Elec'!$AC$68/$A$3</f>
        <v>0.6866840731070496</v>
      </c>
      <c r="E175" t="s">
        <v>105</v>
      </c>
      <c r="F175" t="s">
        <v>829</v>
      </c>
      <c r="G175">
        <f>'[3]LCIA-Elec'!BK93</f>
        <v>0.48725448197718635</v>
      </c>
      <c r="H175">
        <f>'[3]LCIA-Elec'!BL93</f>
        <v>0.19066226874524717</v>
      </c>
      <c r="I175">
        <f>'[3]LCIA-Elec'!BM93</f>
        <v>5.8230528106463888</v>
      </c>
      <c r="J175">
        <f>'[3]LCIA-Elec'!BN93</f>
        <v>1.5442302248365016E-2</v>
      </c>
      <c r="K175">
        <f>'[3]LCIA-Elec'!BO93</f>
        <v>3.1530402961977182</v>
      </c>
      <c r="L175">
        <f>'[3]LCIA-Elec'!BP93</f>
        <v>1.2051955826615969E-4</v>
      </c>
      <c r="M175">
        <f>'[3]LCIA-Elec'!BQ93</f>
        <v>7.5860378323193922E-2</v>
      </c>
      <c r="N175">
        <f>'[3]LCIA-Elec'!BR93</f>
        <v>0.70832152139923943</v>
      </c>
      <c r="O175">
        <f>'[3]LCIA-Elec'!BS93</f>
        <v>0.33355364323954373</v>
      </c>
      <c r="P175">
        <f>'[3]LCIA-Elec'!BT93</f>
        <v>10.30005374035796</v>
      </c>
      <c r="Q175">
        <f>'[3]LCIA-Elec'!BU93</f>
        <v>3.8547198491254743E-2</v>
      </c>
      <c r="R175">
        <f>'[3]LCIA-Elec'!BV93</f>
        <v>0.48270167193916352</v>
      </c>
      <c r="S175">
        <f>'[3]LCIA-Elec'!BW93</f>
        <v>0.1479735735361217</v>
      </c>
      <c r="T175">
        <f>'[3]LCIA-Elec'!BX93</f>
        <v>2.7545518965779468E-2</v>
      </c>
      <c r="U175">
        <f>'[3]LCIA-Elec'!BY93</f>
        <v>4.1357003528517104E-4</v>
      </c>
      <c r="V175">
        <f>'[3]LCIA-Elec'!BZ93</f>
        <v>0.27732701688212913</v>
      </c>
      <c r="W175">
        <f>'[3]LCIA-Elec'!CA93</f>
        <v>0.21969700564258546</v>
      </c>
      <c r="X175">
        <f>'[3]LCIA-Elec'!CB93</f>
        <v>2.3814518555133082E-2</v>
      </c>
      <c r="Y175">
        <f>'[3]LCIA-Elec'!CC93</f>
        <v>1.2582451247148291E-4</v>
      </c>
      <c r="Z175">
        <f>'[3]LCIA-Elec'!CD93</f>
        <v>1.1213597961977189E-2</v>
      </c>
      <c r="AA175">
        <f>'[3]LCIA-Elec'!CE93</f>
        <v>-6.989362781749049E-5</v>
      </c>
      <c r="AB175">
        <f>'[3]LCIA-Elec'!CF93</f>
        <v>1.8745329064638784E-8</v>
      </c>
      <c r="AC175">
        <f>'[3]LCIA-Elec'!CG93</f>
        <v>1.2721511437262356E-3</v>
      </c>
      <c r="AD175">
        <f>'[3]LCIA-Elec'!CH93</f>
        <v>8.3406722250950569E-4</v>
      </c>
      <c r="AE175">
        <f>'[3]LCIA-Elec'!CI93</f>
        <v>1.4357123193916342E-3</v>
      </c>
      <c r="AF175">
        <f>'[3]LCIA-Elec'!CJ93</f>
        <v>2.4310511878326997E-5</v>
      </c>
      <c r="AG175">
        <f>'[3]LCIA-Elec'!CK93</f>
        <v>2.065288715437263E-3</v>
      </c>
      <c r="AH175">
        <f>'[3]LCIA-Elec'!CL93</f>
        <v>5.9418989657794687E-3</v>
      </c>
    </row>
    <row r="176" spans="2:34" x14ac:dyDescent="0.25">
      <c r="B176" t="str">
        <f>'[3]6_Hub_10%IP'!Y386</f>
        <v>Newark Liberty International Airport</v>
      </c>
      <c r="C176" t="str">
        <f>C152</f>
        <v>market for electricity, low voltage, US-RFC</v>
      </c>
      <c r="D176">
        <f>'[3]6_Hub_10%IP'!$Z386/$A$3</f>
        <v>5.2219321148825062E-2</v>
      </c>
      <c r="E176" t="str">
        <f t="shared" ref="E176:AH176" si="140">E152</f>
        <v>kWh</v>
      </c>
      <c r="F176" t="str">
        <f t="shared" si="140"/>
        <v>Ecoinvent v3.7.1</v>
      </c>
      <c r="G176">
        <f t="shared" si="140"/>
        <v>0.61436999999999997</v>
      </c>
      <c r="H176">
        <f t="shared" si="140"/>
        <v>8.2399E-2</v>
      </c>
      <c r="I176">
        <f t="shared" si="140"/>
        <v>6.7473999999999998</v>
      </c>
      <c r="J176">
        <f t="shared" si="140"/>
        <v>4.0428000000000003E-4</v>
      </c>
      <c r="K176">
        <f t="shared" si="140"/>
        <v>4.3425000000000002</v>
      </c>
      <c r="L176">
        <f t="shared" si="140"/>
        <v>1.3322000000000001E-5</v>
      </c>
      <c r="M176">
        <f t="shared" si="140"/>
        <v>1.5082999999999999E-2</v>
      </c>
      <c r="N176">
        <f t="shared" si="140"/>
        <v>6.8917000000000006E-2</v>
      </c>
      <c r="O176">
        <f t="shared" si="140"/>
        <v>0.1275</v>
      </c>
      <c r="P176">
        <f t="shared" si="140"/>
        <v>11.384216602</v>
      </c>
      <c r="Q176">
        <f t="shared" si="140"/>
        <v>1.3875999999999999E-2</v>
      </c>
      <c r="R176">
        <f t="shared" si="140"/>
        <v>0.60836999999999997</v>
      </c>
      <c r="S176">
        <f t="shared" si="140"/>
        <v>0.16855999999999999</v>
      </c>
      <c r="T176">
        <f t="shared" si="140"/>
        <v>2.7827999999999999E-2</v>
      </c>
      <c r="U176">
        <f t="shared" si="140"/>
        <v>3.4965000000000002E-4</v>
      </c>
      <c r="V176">
        <f t="shared" si="140"/>
        <v>0.24507000000000001</v>
      </c>
      <c r="W176">
        <f t="shared" si="140"/>
        <v>0.28216999999999998</v>
      </c>
      <c r="X176">
        <f t="shared" si="140"/>
        <v>2.3791E-2</v>
      </c>
      <c r="Y176">
        <f t="shared" si="140"/>
        <v>1.1882E-4</v>
      </c>
      <c r="Z176">
        <f t="shared" si="140"/>
        <v>1.1622E-2</v>
      </c>
      <c r="AA176">
        <f t="shared" si="140"/>
        <v>-2.4247999999999999E-5</v>
      </c>
      <c r="AB176">
        <f t="shared" si="140"/>
        <v>1.8053E-8</v>
      </c>
      <c r="AC176">
        <f t="shared" si="140"/>
        <v>1.1259E-3</v>
      </c>
      <c r="AD176">
        <f t="shared" si="140"/>
        <v>9.8528999999999999E-4</v>
      </c>
      <c r="AE176">
        <f t="shared" si="140"/>
        <v>1.8718000000000001E-3</v>
      </c>
      <c r="AF176">
        <f t="shared" si="140"/>
        <v>2.6829999999999999E-5</v>
      </c>
      <c r="AG176">
        <f t="shared" si="140"/>
        <v>2.5512999999999998E-3</v>
      </c>
      <c r="AH176">
        <f t="shared" si="140"/>
        <v>2.2418E-3</v>
      </c>
    </row>
    <row r="177" spans="2:34" x14ac:dyDescent="0.25">
      <c r="B177" t="str">
        <f>'[3]6_Hub_10%IP'!Y387</f>
        <v>Seattle-Tacoma International Airport</v>
      </c>
      <c r="C177" t="str">
        <f>C153</f>
        <v>market for electricity, low voltage, US-WECC</v>
      </c>
      <c r="D177">
        <f>'[3]6_Hub_10%IP'!$Z387/$A$3</f>
        <v>5.2219321148825062E-2</v>
      </c>
      <c r="E177" t="str">
        <f t="shared" ref="E177:AH177" si="141">E153</f>
        <v>kWh</v>
      </c>
      <c r="F177" t="str">
        <f t="shared" si="141"/>
        <v>Ecoinvent v3.7.1</v>
      </c>
      <c r="G177">
        <f t="shared" si="141"/>
        <v>0.41233999999999998</v>
      </c>
      <c r="H177">
        <f t="shared" si="141"/>
        <v>0.16356000000000001</v>
      </c>
      <c r="I177">
        <f t="shared" si="141"/>
        <v>5.2107000000000001</v>
      </c>
      <c r="J177">
        <f t="shared" si="141"/>
        <v>0.15804000000000001</v>
      </c>
      <c r="K177">
        <f t="shared" si="141"/>
        <v>1.1274</v>
      </c>
      <c r="L177">
        <f t="shared" si="141"/>
        <v>1.7768999999999999E-5</v>
      </c>
      <c r="M177">
        <f t="shared" si="141"/>
        <v>0.32883000000000001</v>
      </c>
      <c r="N177">
        <f t="shared" si="141"/>
        <v>1.0143</v>
      </c>
      <c r="O177">
        <f t="shared" si="141"/>
        <v>0.29749999999999999</v>
      </c>
      <c r="P177">
        <f t="shared" si="141"/>
        <v>8.300347769</v>
      </c>
      <c r="Q177">
        <f t="shared" si="141"/>
        <v>2.4857000000000001E-2</v>
      </c>
      <c r="R177">
        <f t="shared" si="141"/>
        <v>0.40821000000000002</v>
      </c>
      <c r="S177">
        <f t="shared" si="141"/>
        <v>0.13331000000000001</v>
      </c>
      <c r="T177">
        <f t="shared" si="141"/>
        <v>2.9420000000000002E-2</v>
      </c>
      <c r="U177">
        <f t="shared" si="141"/>
        <v>4.3196E-4</v>
      </c>
      <c r="V177">
        <f t="shared" si="141"/>
        <v>0.27927000000000002</v>
      </c>
      <c r="W177">
        <f t="shared" si="141"/>
        <v>7.3639999999999997E-2</v>
      </c>
      <c r="X177">
        <f t="shared" si="141"/>
        <v>2.5277999999999998E-2</v>
      </c>
      <c r="Y177">
        <f t="shared" si="141"/>
        <v>1.1887000000000001E-4</v>
      </c>
      <c r="Z177">
        <f t="shared" si="141"/>
        <v>1.1467E-2</v>
      </c>
      <c r="AA177">
        <f t="shared" si="141"/>
        <v>-1.4652E-5</v>
      </c>
      <c r="AB177">
        <f t="shared" si="141"/>
        <v>1.7493E-8</v>
      </c>
      <c r="AC177">
        <f t="shared" si="141"/>
        <v>1.5398E-3</v>
      </c>
      <c r="AD177">
        <f t="shared" si="141"/>
        <v>6.7785999999999996E-4</v>
      </c>
      <c r="AE177">
        <f t="shared" si="141"/>
        <v>7.8450000000000004E-4</v>
      </c>
      <c r="AF177">
        <f t="shared" si="141"/>
        <v>3.1801999999999998E-5</v>
      </c>
      <c r="AG177">
        <f t="shared" si="141"/>
        <v>2.3995000000000002E-3</v>
      </c>
      <c r="AH177">
        <f t="shared" si="141"/>
        <v>3.0509000000000001E-3</v>
      </c>
    </row>
    <row r="178" spans="2:34" x14ac:dyDescent="0.25">
      <c r="B178" t="str">
        <f>'[3]6_Hub_10%IP'!Y388</f>
        <v>Hartsfield-Jackson Atlanta International Airport</v>
      </c>
      <c r="C178" t="str">
        <f>C154</f>
        <v>market for electricity, low voltage, US-SERC</v>
      </c>
      <c r="D178">
        <f>'[3]6_Hub_10%IP'!$Z388/$A$3</f>
        <v>5.2219321148825062E-2</v>
      </c>
      <c r="E178" t="str">
        <f t="shared" ref="E178:AH178" si="142">E154</f>
        <v>kWh</v>
      </c>
      <c r="F178" t="str">
        <f t="shared" si="142"/>
        <v>Ecoinvent v3.7.1</v>
      </c>
      <c r="G178">
        <f t="shared" si="142"/>
        <v>0.6169</v>
      </c>
      <c r="H178">
        <f t="shared" si="142"/>
        <v>0.40769</v>
      </c>
      <c r="I178">
        <f t="shared" si="142"/>
        <v>7.625</v>
      </c>
      <c r="J178">
        <f t="shared" si="142"/>
        <v>4.4949999999999998E-4</v>
      </c>
      <c r="K178">
        <f t="shared" si="142"/>
        <v>3.7017000000000002</v>
      </c>
      <c r="L178">
        <f t="shared" si="142"/>
        <v>2.8177000000000001E-5</v>
      </c>
      <c r="M178">
        <f t="shared" si="142"/>
        <v>5.8786999999999999E-2</v>
      </c>
      <c r="N178">
        <f t="shared" si="142"/>
        <v>0.17446</v>
      </c>
      <c r="O178">
        <f t="shared" si="142"/>
        <v>2.0888E-2</v>
      </c>
      <c r="P178">
        <f t="shared" si="142"/>
        <v>11.989002677000002</v>
      </c>
      <c r="Q178">
        <f t="shared" si="142"/>
        <v>5.7922000000000001E-2</v>
      </c>
      <c r="R178">
        <f t="shared" si="142"/>
        <v>0.61051</v>
      </c>
      <c r="S178">
        <f t="shared" si="142"/>
        <v>0.19485</v>
      </c>
      <c r="T178">
        <f t="shared" si="142"/>
        <v>2.9537999999999998E-2</v>
      </c>
      <c r="U178">
        <f t="shared" si="142"/>
        <v>4.3969000000000001E-4</v>
      </c>
      <c r="V178">
        <f t="shared" si="142"/>
        <v>0.29670999999999997</v>
      </c>
      <c r="W178">
        <f t="shared" si="142"/>
        <v>0.24057999999999999</v>
      </c>
      <c r="X178">
        <f t="shared" si="142"/>
        <v>2.5099E-2</v>
      </c>
      <c r="Y178">
        <f t="shared" si="142"/>
        <v>1.3415000000000001E-4</v>
      </c>
      <c r="Z178">
        <f t="shared" si="142"/>
        <v>1.1514E-2</v>
      </c>
      <c r="AA178">
        <f t="shared" si="142"/>
        <v>-2.1906E-5</v>
      </c>
      <c r="AB178">
        <f t="shared" si="142"/>
        <v>2.5019999999999998E-8</v>
      </c>
      <c r="AC178">
        <f t="shared" si="142"/>
        <v>1.4063999999999999E-3</v>
      </c>
      <c r="AD178">
        <f t="shared" si="142"/>
        <v>8.8113000000000004E-4</v>
      </c>
      <c r="AE178">
        <f t="shared" si="142"/>
        <v>1.4815E-3</v>
      </c>
      <c r="AF178">
        <f t="shared" si="142"/>
        <v>3.5629000000000001E-5</v>
      </c>
      <c r="AG178">
        <f t="shared" si="142"/>
        <v>2.5611000000000002E-3</v>
      </c>
      <c r="AH178">
        <f t="shared" si="142"/>
        <v>2.3032E-3</v>
      </c>
    </row>
    <row r="179" spans="2:34" x14ac:dyDescent="0.25">
      <c r="B179" t="str">
        <f>'[3]6_Hub_10%IP'!Y389</f>
        <v>San Francisco International Airport</v>
      </c>
      <c r="C179" t="str">
        <f>'ACLCA_raw data'!L15</f>
        <v>market for electricity, low voltage, US-WECC</v>
      </c>
      <c r="D179">
        <f>'[3]6_Hub_10%IP'!$Z389/$A$3</f>
        <v>5.2219321148825062E-2</v>
      </c>
      <c r="E179" t="str">
        <f>'ACLCA_raw data'!N15</f>
        <v>kWh</v>
      </c>
      <c r="F179" t="str">
        <f>'ACLCA_raw data'!O15</f>
        <v>Ecoinvent v3.7.1</v>
      </c>
      <c r="G179">
        <f>'ACLCA_raw data'!P15</f>
        <v>0.41233999999999998</v>
      </c>
      <c r="H179">
        <f>'ACLCA_raw data'!Q15</f>
        <v>0.16356000000000001</v>
      </c>
      <c r="I179">
        <f>'ACLCA_raw data'!R15</f>
        <v>5.2107000000000001</v>
      </c>
      <c r="J179">
        <f>'ACLCA_raw data'!S15</f>
        <v>0.15804000000000001</v>
      </c>
      <c r="K179">
        <f>'ACLCA_raw data'!T15</f>
        <v>1.1274</v>
      </c>
      <c r="L179">
        <f>'ACLCA_raw data'!U15</f>
        <v>1.7768999999999999E-5</v>
      </c>
      <c r="M179">
        <f>'ACLCA_raw data'!V15</f>
        <v>0.32883000000000001</v>
      </c>
      <c r="N179">
        <f>'ACLCA_raw data'!W15</f>
        <v>1.0143</v>
      </c>
      <c r="O179">
        <f>'ACLCA_raw data'!X15</f>
        <v>0.29749999999999999</v>
      </c>
      <c r="P179">
        <f>'ACLCA_raw data'!Y15</f>
        <v>8.300347769</v>
      </c>
      <c r="Q179">
        <f>'ACLCA_raw data'!Z15</f>
        <v>2.4857000000000001E-2</v>
      </c>
      <c r="R179">
        <f>'ACLCA_raw data'!AA15</f>
        <v>0.40821000000000002</v>
      </c>
      <c r="S179">
        <f>'ACLCA_raw data'!AB15</f>
        <v>0.13331000000000001</v>
      </c>
      <c r="T179">
        <f>'ACLCA_raw data'!AC15</f>
        <v>2.9420000000000002E-2</v>
      </c>
      <c r="U179">
        <f>'ACLCA_raw data'!AD15</f>
        <v>4.3196E-4</v>
      </c>
      <c r="V179">
        <f>'ACLCA_raw data'!AE15</f>
        <v>0.27927000000000002</v>
      </c>
      <c r="W179">
        <f>'ACLCA_raw data'!AF15</f>
        <v>7.3639999999999997E-2</v>
      </c>
      <c r="X179">
        <f>'ACLCA_raw data'!AG15</f>
        <v>2.5277999999999998E-2</v>
      </c>
      <c r="Y179">
        <f>'ACLCA_raw data'!AH15</f>
        <v>1.1887000000000001E-4</v>
      </c>
      <c r="Z179">
        <f>'ACLCA_raw data'!AI15</f>
        <v>1.1467E-2</v>
      </c>
      <c r="AA179">
        <f>'ACLCA_raw data'!AJ15</f>
        <v>-1.4652E-5</v>
      </c>
      <c r="AB179">
        <f>'ACLCA_raw data'!AK15</f>
        <v>1.7493E-8</v>
      </c>
      <c r="AC179">
        <f>'ACLCA_raw data'!AL15</f>
        <v>1.5398E-3</v>
      </c>
      <c r="AD179">
        <f>'ACLCA_raw data'!AM15</f>
        <v>6.7785999999999996E-4</v>
      </c>
      <c r="AE179">
        <f>'ACLCA_raw data'!AN15</f>
        <v>7.8450000000000004E-4</v>
      </c>
      <c r="AF179">
        <f>'ACLCA_raw data'!AO15</f>
        <v>3.1801999999999998E-5</v>
      </c>
      <c r="AG179">
        <f>'ACLCA_raw data'!AP15</f>
        <v>2.3995000000000002E-3</v>
      </c>
      <c r="AH179">
        <f>'ACLCA_raw data'!AQ15</f>
        <v>3.0509000000000001E-3</v>
      </c>
    </row>
    <row r="180" spans="2:34" x14ac:dyDescent="0.25">
      <c r="B180" t="str">
        <f>'[3]6_Hub_10%IP'!Y390</f>
        <v>O'Hare International Airport</v>
      </c>
      <c r="C180" t="str">
        <f>C155</f>
        <v>market for electricity, low voltage, US-RFC</v>
      </c>
      <c r="D180">
        <f>'[3]6_Hub_10%IP'!$Z390/$A$3</f>
        <v>5.2219321148825062E-2</v>
      </c>
      <c r="E180" t="str">
        <f t="shared" ref="E180:AH180" si="143">E155</f>
        <v>kWh</v>
      </c>
      <c r="F180" t="str">
        <f t="shared" si="143"/>
        <v>Ecoinvent v3.7.1</v>
      </c>
      <c r="G180">
        <f t="shared" si="143"/>
        <v>0.61436999999999997</v>
      </c>
      <c r="H180">
        <f t="shared" si="143"/>
        <v>8.2399E-2</v>
      </c>
      <c r="I180">
        <f t="shared" si="143"/>
        <v>6.7473999999999998</v>
      </c>
      <c r="J180">
        <f t="shared" si="143"/>
        <v>4.0428000000000003E-4</v>
      </c>
      <c r="K180">
        <f t="shared" si="143"/>
        <v>4.3425000000000002</v>
      </c>
      <c r="L180">
        <f t="shared" si="143"/>
        <v>1.3322000000000001E-5</v>
      </c>
      <c r="M180">
        <f t="shared" si="143"/>
        <v>1.5082999999999999E-2</v>
      </c>
      <c r="N180">
        <f t="shared" si="143"/>
        <v>6.8917000000000006E-2</v>
      </c>
      <c r="O180">
        <f t="shared" si="143"/>
        <v>0.1275</v>
      </c>
      <c r="P180">
        <f t="shared" si="143"/>
        <v>11.384216602</v>
      </c>
      <c r="Q180">
        <f t="shared" si="143"/>
        <v>1.3875999999999999E-2</v>
      </c>
      <c r="R180">
        <f t="shared" si="143"/>
        <v>0.60836999999999997</v>
      </c>
      <c r="S180">
        <f t="shared" si="143"/>
        <v>0.16855999999999999</v>
      </c>
      <c r="T180">
        <f t="shared" si="143"/>
        <v>2.7827999999999999E-2</v>
      </c>
      <c r="U180">
        <f t="shared" si="143"/>
        <v>3.4965000000000002E-4</v>
      </c>
      <c r="V180">
        <f t="shared" si="143"/>
        <v>0.24507000000000001</v>
      </c>
      <c r="W180">
        <f t="shared" si="143"/>
        <v>0.28216999999999998</v>
      </c>
      <c r="X180">
        <f t="shared" si="143"/>
        <v>2.3791E-2</v>
      </c>
      <c r="Y180">
        <f t="shared" si="143"/>
        <v>1.1882E-4</v>
      </c>
      <c r="Z180">
        <f t="shared" si="143"/>
        <v>1.1622E-2</v>
      </c>
      <c r="AA180">
        <f t="shared" si="143"/>
        <v>-2.4247999999999999E-5</v>
      </c>
      <c r="AB180">
        <f t="shared" si="143"/>
        <v>1.8053E-8</v>
      </c>
      <c r="AC180">
        <f t="shared" si="143"/>
        <v>1.1259E-3</v>
      </c>
      <c r="AD180">
        <f t="shared" si="143"/>
        <v>9.8528999999999999E-4</v>
      </c>
      <c r="AE180">
        <f t="shared" si="143"/>
        <v>1.8718000000000001E-3</v>
      </c>
      <c r="AF180">
        <f t="shared" si="143"/>
        <v>2.6829999999999999E-5</v>
      </c>
      <c r="AG180">
        <f t="shared" si="143"/>
        <v>2.5512999999999998E-3</v>
      </c>
      <c r="AH180">
        <f t="shared" si="143"/>
        <v>2.2418E-3</v>
      </c>
    </row>
    <row r="181" spans="2:34" x14ac:dyDescent="0.25">
      <c r="B181" t="str">
        <f>'[3]6_Hub_10%IP'!Y391</f>
        <v>Denver International Airport</v>
      </c>
      <c r="C181" t="str">
        <f>C156</f>
        <v>market for electricity, low voltage, US-WECC</v>
      </c>
      <c r="D181">
        <f>'[3]6_Hub_10%IP'!$Z391/$A$3</f>
        <v>5.2219321148825062E-2</v>
      </c>
      <c r="E181" t="str">
        <f t="shared" ref="E181:AH181" si="144">E156</f>
        <v>kWh</v>
      </c>
      <c r="F181" t="str">
        <f t="shared" si="144"/>
        <v>Ecoinvent v3.7.1</v>
      </c>
      <c r="G181">
        <f t="shared" si="144"/>
        <v>0.41233999999999998</v>
      </c>
      <c r="H181">
        <f t="shared" si="144"/>
        <v>0.16356000000000001</v>
      </c>
      <c r="I181">
        <f t="shared" si="144"/>
        <v>5.2107000000000001</v>
      </c>
      <c r="J181">
        <f t="shared" si="144"/>
        <v>0.15804000000000001</v>
      </c>
      <c r="K181">
        <f t="shared" si="144"/>
        <v>1.1274</v>
      </c>
      <c r="L181">
        <f t="shared" si="144"/>
        <v>1.7768999999999999E-5</v>
      </c>
      <c r="M181">
        <f t="shared" si="144"/>
        <v>0.32883000000000001</v>
      </c>
      <c r="N181">
        <f t="shared" si="144"/>
        <v>1.0143</v>
      </c>
      <c r="O181">
        <f t="shared" si="144"/>
        <v>0.29749999999999999</v>
      </c>
      <c r="P181">
        <f t="shared" si="144"/>
        <v>8.300347769</v>
      </c>
      <c r="Q181">
        <f t="shared" si="144"/>
        <v>2.4857000000000001E-2</v>
      </c>
      <c r="R181">
        <f t="shared" si="144"/>
        <v>0.40821000000000002</v>
      </c>
      <c r="S181">
        <f t="shared" si="144"/>
        <v>0.13331000000000001</v>
      </c>
      <c r="T181">
        <f t="shared" si="144"/>
        <v>2.9420000000000002E-2</v>
      </c>
      <c r="U181">
        <f t="shared" si="144"/>
        <v>4.3196E-4</v>
      </c>
      <c r="V181">
        <f t="shared" si="144"/>
        <v>0.27927000000000002</v>
      </c>
      <c r="W181">
        <f t="shared" si="144"/>
        <v>7.3639999999999997E-2</v>
      </c>
      <c r="X181">
        <f t="shared" si="144"/>
        <v>2.5277999999999998E-2</v>
      </c>
      <c r="Y181">
        <f t="shared" si="144"/>
        <v>1.1887000000000001E-4</v>
      </c>
      <c r="Z181">
        <f t="shared" si="144"/>
        <v>1.1467E-2</v>
      </c>
      <c r="AA181">
        <f t="shared" si="144"/>
        <v>-1.4652E-5</v>
      </c>
      <c r="AB181">
        <f t="shared" si="144"/>
        <v>1.7493E-8</v>
      </c>
      <c r="AC181">
        <f t="shared" si="144"/>
        <v>1.5398E-3</v>
      </c>
      <c r="AD181">
        <f t="shared" si="144"/>
        <v>6.7785999999999996E-4</v>
      </c>
      <c r="AE181">
        <f t="shared" si="144"/>
        <v>7.8450000000000004E-4</v>
      </c>
      <c r="AF181">
        <f t="shared" si="144"/>
        <v>3.1801999999999998E-5</v>
      </c>
      <c r="AG181">
        <f t="shared" si="144"/>
        <v>2.3995000000000002E-3</v>
      </c>
      <c r="AH181">
        <f t="shared" si="144"/>
        <v>3.0509000000000001E-3</v>
      </c>
    </row>
    <row r="182" spans="2:34" x14ac:dyDescent="0.25">
      <c r="B182" s="59" t="str">
        <f>C175</f>
        <v>6_Hub_10%IP</v>
      </c>
      <c r="C182" s="59" t="s">
        <v>806</v>
      </c>
      <c r="D182" s="59">
        <f>SUM(D175:D181)</f>
        <v>1.0000000000000002</v>
      </c>
      <c r="E182" s="59" t="s">
        <v>105</v>
      </c>
      <c r="F182" s="59"/>
      <c r="G182" s="59">
        <f>SUMPRODUCT($D175:$D181,G175:G181)</f>
        <v>0.49556430485639685</v>
      </c>
      <c r="H182" s="59">
        <f t="shared" ref="H182:AH182" si="145">SUMPRODUCT($D175:$D181,H175:H181)</f>
        <v>0.18644265451697131</v>
      </c>
      <c r="I182" s="59">
        <f t="shared" si="145"/>
        <v>5.9177568908616198</v>
      </c>
      <c r="J182" s="59">
        <f t="shared" si="145"/>
        <v>3.5427902588302869E-2</v>
      </c>
      <c r="K182" s="59">
        <f t="shared" si="145"/>
        <v>2.9885838065274148</v>
      </c>
      <c r="L182" s="59">
        <f t="shared" si="145"/>
        <v>8.8405231916449062E-5</v>
      </c>
      <c r="M182" s="59">
        <f t="shared" si="145"/>
        <v>0.10825101696866843</v>
      </c>
      <c r="N182" s="59">
        <f t="shared" si="145"/>
        <v>0.6615990603864228</v>
      </c>
      <c r="O182" s="59">
        <f t="shared" si="145"/>
        <v>0.29005840253785903</v>
      </c>
      <c r="P182" s="59">
        <f t="shared" si="145"/>
        <v>10.188208139619173</v>
      </c>
      <c r="Q182" s="59">
        <f t="shared" si="145"/>
        <v>3.483763238433419E-2</v>
      </c>
      <c r="R182" s="59">
        <f t="shared" si="145"/>
        <v>0.49083065201044379</v>
      </c>
      <c r="S182" s="59">
        <f t="shared" si="145"/>
        <v>0.15027428156657965</v>
      </c>
      <c r="T182" s="59">
        <f t="shared" si="145"/>
        <v>2.7972719289817229E-2</v>
      </c>
      <c r="U182" s="59">
        <f t="shared" si="145"/>
        <v>4.1113921483028717E-4</v>
      </c>
      <c r="V182" s="59">
        <f t="shared" si="145"/>
        <v>0.27527468783289805</v>
      </c>
      <c r="W182" s="59">
        <f t="shared" si="145"/>
        <v>0.20443110309138374</v>
      </c>
      <c r="X182" s="59">
        <f t="shared" si="145"/>
        <v>2.4108403080939946E-2</v>
      </c>
      <c r="Y182" s="59">
        <f t="shared" si="145"/>
        <v>1.2443824224543084E-4</v>
      </c>
      <c r="Z182" s="59">
        <f t="shared" si="145"/>
        <v>1.1311635154047001E-2</v>
      </c>
      <c r="AA182" s="59">
        <f t="shared" si="145"/>
        <v>-5.3966538161879892E-5</v>
      </c>
      <c r="AB182" s="59">
        <f t="shared" si="145"/>
        <v>1.8804494892950388E-8</v>
      </c>
      <c r="AC182" s="59">
        <f t="shared" si="145"/>
        <v>1.3058165817232375E-3</v>
      </c>
      <c r="AD182" s="59">
        <f t="shared" si="145"/>
        <v>8.2784720501305497E-4</v>
      </c>
      <c r="AE182" s="59">
        <f t="shared" si="145"/>
        <v>1.3816301305483022E-3</v>
      </c>
      <c r="AF182" s="59">
        <f t="shared" si="145"/>
        <v>2.6338288835509134E-5</v>
      </c>
      <c r="AG182" s="59">
        <f t="shared" si="145"/>
        <v>2.194294862036554E-3</v>
      </c>
      <c r="AH182" s="59">
        <f t="shared" si="145"/>
        <v>4.91255725326371E-3</v>
      </c>
    </row>
    <row r="183" spans="2:34" x14ac:dyDescent="0.25">
      <c r="B183" s="59" t="str">
        <f>B182</f>
        <v>6_Hub_10%IP</v>
      </c>
      <c r="C183" s="59"/>
      <c r="D183" s="59"/>
      <c r="E183" s="59"/>
      <c r="F183" s="59"/>
      <c r="G183" s="59">
        <f>SUMPRODUCT($D176:$D181,G176:G181)/SUM($D176:$D181)</f>
        <v>0.51377666666666666</v>
      </c>
      <c r="H183" s="59">
        <f t="shared" ref="H183:AH183" si="146">SUMPRODUCT($D176:$D181,H176:H181)/SUM($D176:$D181)</f>
        <v>0.17719466666666669</v>
      </c>
      <c r="I183" s="59">
        <f t="shared" si="146"/>
        <v>6.1253166666666674</v>
      </c>
      <c r="J183" s="59">
        <f t="shared" si="146"/>
        <v>7.9229676666666679E-2</v>
      </c>
      <c r="K183" s="59">
        <f t="shared" si="146"/>
        <v>2.6281500000000002</v>
      </c>
      <c r="L183" s="59">
        <f t="shared" si="146"/>
        <v>1.8021333333333333E-5</v>
      </c>
      <c r="M183" s="59">
        <f t="shared" si="146"/>
        <v>0.17924050000000002</v>
      </c>
      <c r="N183" s="59">
        <f t="shared" si="146"/>
        <v>0.55919900000000011</v>
      </c>
      <c r="O183" s="59">
        <f t="shared" si="146"/>
        <v>0.19473133333333334</v>
      </c>
      <c r="P183" s="59">
        <f t="shared" si="146"/>
        <v>9.9430798646666663</v>
      </c>
      <c r="Q183" s="59">
        <f t="shared" si="146"/>
        <v>2.6707500000000002E-2</v>
      </c>
      <c r="R183" s="59">
        <f t="shared" si="146"/>
        <v>0.50864666666666669</v>
      </c>
      <c r="S183" s="59">
        <f t="shared" si="146"/>
        <v>0.15531666666666669</v>
      </c>
      <c r="T183" s="59">
        <f t="shared" si="146"/>
        <v>2.8909000000000001E-2</v>
      </c>
      <c r="U183" s="59">
        <f t="shared" si="146"/>
        <v>4.0581166666666676E-4</v>
      </c>
      <c r="V183" s="59">
        <f t="shared" si="146"/>
        <v>0.27077666666666672</v>
      </c>
      <c r="W183" s="59">
        <f t="shared" si="146"/>
        <v>0.17097333333333331</v>
      </c>
      <c r="X183" s="59">
        <f t="shared" si="146"/>
        <v>2.4752500000000004E-2</v>
      </c>
      <c r="Y183" s="59">
        <f t="shared" si="146"/>
        <v>1.2140000000000002E-4</v>
      </c>
      <c r="Z183" s="59">
        <f t="shared" si="146"/>
        <v>1.1526500000000002E-2</v>
      </c>
      <c r="AA183" s="59">
        <f t="shared" si="146"/>
        <v>-1.9059666666666666E-5</v>
      </c>
      <c r="AB183" s="59">
        <f t="shared" si="146"/>
        <v>1.8934166666666664E-8</v>
      </c>
      <c r="AC183" s="59">
        <f t="shared" si="146"/>
        <v>1.3796000000000001E-3</v>
      </c>
      <c r="AD183" s="59">
        <f t="shared" si="146"/>
        <v>8.1421500000000008E-4</v>
      </c>
      <c r="AE183" s="59">
        <f t="shared" si="146"/>
        <v>1.2631000000000003E-3</v>
      </c>
      <c r="AF183" s="59">
        <f t="shared" si="146"/>
        <v>3.0782499999999999E-5</v>
      </c>
      <c r="AG183" s="59">
        <f t="shared" si="146"/>
        <v>2.4770333333333336E-3</v>
      </c>
      <c r="AH183" s="59">
        <f t="shared" si="146"/>
        <v>2.6565833333333333E-3</v>
      </c>
    </row>
    <row r="184" spans="2:34" x14ac:dyDescent="0.25">
      <c r="B184" t="s">
        <v>593</v>
      </c>
      <c r="C184" t="str">
        <f>'[3]LCIA-Elec'!BJ94</f>
        <v>6_Hub_30%IP</v>
      </c>
      <c r="D184">
        <f>'[3]LCIA-Elec'!$AD$68/$A$3</f>
        <v>0.6866840731070496</v>
      </c>
      <c r="E184" t="s">
        <v>105</v>
      </c>
      <c r="F184" t="s">
        <v>829</v>
      </c>
      <c r="G184">
        <f>'[3]LCIA-Elec'!BK94</f>
        <v>0.47838402570342209</v>
      </c>
      <c r="H184">
        <f>'[3]LCIA-Elec'!BL94</f>
        <v>0.18857038661596959</v>
      </c>
      <c r="I184">
        <f>'[3]LCIA-Elec'!BM94</f>
        <v>5.7445368410646402</v>
      </c>
      <c r="J184">
        <f>'[3]LCIA-Elec'!BN94</f>
        <v>1.9631870917566532E-2</v>
      </c>
      <c r="K184">
        <f>'[3]LCIA-Elec'!BO94</f>
        <v>3.2158475205323196</v>
      </c>
      <c r="L184">
        <f>'[3]LCIA-Elec'!BP94</f>
        <v>1.2029895370342204E-4</v>
      </c>
      <c r="M184">
        <f>'[3]LCIA-Elec'!BQ94</f>
        <v>8.3860960072243348E-2</v>
      </c>
      <c r="N184">
        <f>'[3]LCIA-Elec'!BR94</f>
        <v>0.72185416398479074</v>
      </c>
      <c r="O184">
        <f>'[3]LCIA-Elec'!BS94</f>
        <v>0.30007942270722432</v>
      </c>
      <c r="P184">
        <f>'[3]LCIA-Elec'!BT94</f>
        <v>10.274501464848454</v>
      </c>
      <c r="Q184">
        <f>'[3]LCIA-Elec'!BU94</f>
        <v>3.8194981761216718E-2</v>
      </c>
      <c r="R184">
        <f>'[3]LCIA-Elec'!BV94</f>
        <v>0.47382304076045628</v>
      </c>
      <c r="S184">
        <f>'[3]LCIA-Elec'!BW94</f>
        <v>0.14637969520912553</v>
      </c>
      <c r="T184">
        <f>'[3]LCIA-Elec'!BX94</f>
        <v>2.7082887787072244E-2</v>
      </c>
      <c r="U184">
        <f>'[3]LCIA-Elec'!BY94</f>
        <v>3.8348627102661597E-4</v>
      </c>
      <c r="V184">
        <f>'[3]LCIA-Elec'!BZ94</f>
        <v>0.25881918418250938</v>
      </c>
      <c r="W184">
        <f>'[3]LCIA-Elec'!CA94</f>
        <v>0.2237676748441064</v>
      </c>
      <c r="X184">
        <f>'[3]LCIA-Elec'!CB94</f>
        <v>2.3364788517110269E-2</v>
      </c>
      <c r="Y184">
        <f>'[3]LCIA-Elec'!CC94</f>
        <v>1.19268276730038E-4</v>
      </c>
      <c r="Z184">
        <f>'[3]LCIA-Elec'!CD94</f>
        <v>1.1216818494296581E-2</v>
      </c>
      <c r="AA184">
        <f>'[3]LCIA-Elec'!CE94</f>
        <v>-6.9294190555133078E-5</v>
      </c>
      <c r="AB184">
        <f>'[3]LCIA-Elec'!CF94</f>
        <v>1.8950302448669201E-8</v>
      </c>
      <c r="AC184">
        <f>'[3]LCIA-Elec'!CG94</f>
        <v>1.1477454403041824E-3</v>
      </c>
      <c r="AD184">
        <f>'[3]LCIA-Elec'!CH94</f>
        <v>8.188302263117869E-4</v>
      </c>
      <c r="AE184">
        <f>'[3]LCIA-Elec'!CI94</f>
        <v>1.3869522433460069E-3</v>
      </c>
      <c r="AF184">
        <f>'[3]LCIA-Elec'!CJ94</f>
        <v>2.4609021384030422E-5</v>
      </c>
      <c r="AG184">
        <f>'[3]LCIA-Elec'!CK94</f>
        <v>2.0767799701901144E-3</v>
      </c>
      <c r="AH184">
        <f>'[3]LCIA-Elec'!CL94</f>
        <v>5.9006689277566549E-3</v>
      </c>
    </row>
    <row r="185" spans="2:34" x14ac:dyDescent="0.25">
      <c r="B185" t="str">
        <f>'[3]6_Hub_30%IP'!Y386</f>
        <v>Hartsfield-Jackson Atlanta International Airport</v>
      </c>
      <c r="C185" t="str">
        <f t="shared" ref="C185:C190" si="147">C176</f>
        <v>market for electricity, low voltage, US-RFC</v>
      </c>
      <c r="D185">
        <f>'[3]6_Hub_30%IP'!$Z386/$A$3</f>
        <v>3.91644908616188E-2</v>
      </c>
      <c r="E185" t="str">
        <f t="shared" ref="E185:AH185" si="148">E176</f>
        <v>kWh</v>
      </c>
      <c r="F185" t="str">
        <f t="shared" si="148"/>
        <v>Ecoinvent v3.7.1</v>
      </c>
      <c r="G185">
        <f t="shared" si="148"/>
        <v>0.61436999999999997</v>
      </c>
      <c r="H185">
        <f t="shared" si="148"/>
        <v>8.2399E-2</v>
      </c>
      <c r="I185">
        <f t="shared" si="148"/>
        <v>6.7473999999999998</v>
      </c>
      <c r="J185">
        <f t="shared" si="148"/>
        <v>4.0428000000000003E-4</v>
      </c>
      <c r="K185">
        <f t="shared" si="148"/>
        <v>4.3425000000000002</v>
      </c>
      <c r="L185">
        <f t="shared" si="148"/>
        <v>1.3322000000000001E-5</v>
      </c>
      <c r="M185">
        <f t="shared" si="148"/>
        <v>1.5082999999999999E-2</v>
      </c>
      <c r="N185">
        <f t="shared" si="148"/>
        <v>6.8917000000000006E-2</v>
      </c>
      <c r="O185">
        <f t="shared" si="148"/>
        <v>0.1275</v>
      </c>
      <c r="P185">
        <f t="shared" si="148"/>
        <v>11.384216602</v>
      </c>
      <c r="Q185">
        <f t="shared" si="148"/>
        <v>1.3875999999999999E-2</v>
      </c>
      <c r="R185">
        <f t="shared" si="148"/>
        <v>0.60836999999999997</v>
      </c>
      <c r="S185">
        <f t="shared" si="148"/>
        <v>0.16855999999999999</v>
      </c>
      <c r="T185">
        <f t="shared" si="148"/>
        <v>2.7827999999999999E-2</v>
      </c>
      <c r="U185">
        <f t="shared" si="148"/>
        <v>3.4965000000000002E-4</v>
      </c>
      <c r="V185">
        <f t="shared" si="148"/>
        <v>0.24507000000000001</v>
      </c>
      <c r="W185">
        <f t="shared" si="148"/>
        <v>0.28216999999999998</v>
      </c>
      <c r="X185">
        <f t="shared" si="148"/>
        <v>2.3791E-2</v>
      </c>
      <c r="Y185">
        <f t="shared" si="148"/>
        <v>1.1882E-4</v>
      </c>
      <c r="Z185">
        <f t="shared" si="148"/>
        <v>1.1622E-2</v>
      </c>
      <c r="AA185">
        <f t="shared" si="148"/>
        <v>-2.4247999999999999E-5</v>
      </c>
      <c r="AB185">
        <f t="shared" si="148"/>
        <v>1.8053E-8</v>
      </c>
      <c r="AC185">
        <f t="shared" si="148"/>
        <v>1.1259E-3</v>
      </c>
      <c r="AD185">
        <f t="shared" si="148"/>
        <v>9.8528999999999999E-4</v>
      </c>
      <c r="AE185">
        <f t="shared" si="148"/>
        <v>1.8718000000000001E-3</v>
      </c>
      <c r="AF185">
        <f t="shared" si="148"/>
        <v>2.6829999999999999E-5</v>
      </c>
      <c r="AG185">
        <f t="shared" si="148"/>
        <v>2.5512999999999998E-3</v>
      </c>
      <c r="AH185">
        <f t="shared" si="148"/>
        <v>2.2418E-3</v>
      </c>
    </row>
    <row r="186" spans="2:34" x14ac:dyDescent="0.25">
      <c r="B186" t="str">
        <f>'[3]6_Hub_30%IP'!Y387</f>
        <v>O'Hare International Airport</v>
      </c>
      <c r="C186" t="str">
        <f t="shared" si="147"/>
        <v>market for electricity, low voltage, US-WECC</v>
      </c>
      <c r="D186">
        <f>'[3]6_Hub_30%IP'!$Z387/$A$3</f>
        <v>8.3550913838120106E-2</v>
      </c>
      <c r="E186" t="str">
        <f t="shared" ref="E186:AH186" si="149">E177</f>
        <v>kWh</v>
      </c>
      <c r="F186" t="str">
        <f t="shared" si="149"/>
        <v>Ecoinvent v3.7.1</v>
      </c>
      <c r="G186">
        <f t="shared" si="149"/>
        <v>0.41233999999999998</v>
      </c>
      <c r="H186">
        <f t="shared" si="149"/>
        <v>0.16356000000000001</v>
      </c>
      <c r="I186">
        <f t="shared" si="149"/>
        <v>5.2107000000000001</v>
      </c>
      <c r="J186">
        <f t="shared" si="149"/>
        <v>0.15804000000000001</v>
      </c>
      <c r="K186">
        <f t="shared" si="149"/>
        <v>1.1274</v>
      </c>
      <c r="L186">
        <f t="shared" si="149"/>
        <v>1.7768999999999999E-5</v>
      </c>
      <c r="M186">
        <f t="shared" si="149"/>
        <v>0.32883000000000001</v>
      </c>
      <c r="N186">
        <f t="shared" si="149"/>
        <v>1.0143</v>
      </c>
      <c r="O186">
        <f t="shared" si="149"/>
        <v>0.29749999999999999</v>
      </c>
      <c r="P186">
        <f t="shared" si="149"/>
        <v>8.300347769</v>
      </c>
      <c r="Q186">
        <f t="shared" si="149"/>
        <v>2.4857000000000001E-2</v>
      </c>
      <c r="R186">
        <f t="shared" si="149"/>
        <v>0.40821000000000002</v>
      </c>
      <c r="S186">
        <f t="shared" si="149"/>
        <v>0.13331000000000001</v>
      </c>
      <c r="T186">
        <f t="shared" si="149"/>
        <v>2.9420000000000002E-2</v>
      </c>
      <c r="U186">
        <f t="shared" si="149"/>
        <v>4.3196E-4</v>
      </c>
      <c r="V186">
        <f t="shared" si="149"/>
        <v>0.27927000000000002</v>
      </c>
      <c r="W186">
        <f t="shared" si="149"/>
        <v>7.3639999999999997E-2</v>
      </c>
      <c r="X186">
        <f t="shared" si="149"/>
        <v>2.5277999999999998E-2</v>
      </c>
      <c r="Y186">
        <f t="shared" si="149"/>
        <v>1.1887000000000001E-4</v>
      </c>
      <c r="Z186">
        <f t="shared" si="149"/>
        <v>1.1467E-2</v>
      </c>
      <c r="AA186">
        <f t="shared" si="149"/>
        <v>-1.4652E-5</v>
      </c>
      <c r="AB186">
        <f t="shared" si="149"/>
        <v>1.7493E-8</v>
      </c>
      <c r="AC186">
        <f t="shared" si="149"/>
        <v>1.5398E-3</v>
      </c>
      <c r="AD186">
        <f t="shared" si="149"/>
        <v>6.7785999999999996E-4</v>
      </c>
      <c r="AE186">
        <f t="shared" si="149"/>
        <v>7.8450000000000004E-4</v>
      </c>
      <c r="AF186">
        <f t="shared" si="149"/>
        <v>3.1801999999999998E-5</v>
      </c>
      <c r="AG186">
        <f t="shared" si="149"/>
        <v>2.3995000000000002E-3</v>
      </c>
      <c r="AH186">
        <f t="shared" si="149"/>
        <v>3.0509000000000001E-3</v>
      </c>
    </row>
    <row r="187" spans="2:34" x14ac:dyDescent="0.25">
      <c r="B187" t="str">
        <f>'[3]6_Hub_30%IP'!Y388</f>
        <v>Denver International Airport</v>
      </c>
      <c r="C187" t="str">
        <f t="shared" si="147"/>
        <v>market for electricity, low voltage, US-SERC</v>
      </c>
      <c r="D187">
        <f>'[3]6_Hub_30%IP'!$Z388/$A$3</f>
        <v>5.7441253263707574E-2</v>
      </c>
      <c r="E187" t="str">
        <f t="shared" ref="E187:AH187" si="150">E178</f>
        <v>kWh</v>
      </c>
      <c r="F187" t="str">
        <f t="shared" si="150"/>
        <v>Ecoinvent v3.7.1</v>
      </c>
      <c r="G187">
        <f t="shared" si="150"/>
        <v>0.6169</v>
      </c>
      <c r="H187">
        <f t="shared" si="150"/>
        <v>0.40769</v>
      </c>
      <c r="I187">
        <f t="shared" si="150"/>
        <v>7.625</v>
      </c>
      <c r="J187">
        <f t="shared" si="150"/>
        <v>4.4949999999999998E-4</v>
      </c>
      <c r="K187">
        <f t="shared" si="150"/>
        <v>3.7017000000000002</v>
      </c>
      <c r="L187">
        <f t="shared" si="150"/>
        <v>2.8177000000000001E-5</v>
      </c>
      <c r="M187">
        <f t="shared" si="150"/>
        <v>5.8786999999999999E-2</v>
      </c>
      <c r="N187">
        <f t="shared" si="150"/>
        <v>0.17446</v>
      </c>
      <c r="O187">
        <f t="shared" si="150"/>
        <v>2.0888E-2</v>
      </c>
      <c r="P187">
        <f t="shared" si="150"/>
        <v>11.989002677000002</v>
      </c>
      <c r="Q187">
        <f t="shared" si="150"/>
        <v>5.7922000000000001E-2</v>
      </c>
      <c r="R187">
        <f t="shared" si="150"/>
        <v>0.61051</v>
      </c>
      <c r="S187">
        <f t="shared" si="150"/>
        <v>0.19485</v>
      </c>
      <c r="T187">
        <f t="shared" si="150"/>
        <v>2.9537999999999998E-2</v>
      </c>
      <c r="U187">
        <f t="shared" si="150"/>
        <v>4.3969000000000001E-4</v>
      </c>
      <c r="V187">
        <f t="shared" si="150"/>
        <v>0.29670999999999997</v>
      </c>
      <c r="W187">
        <f t="shared" si="150"/>
        <v>0.24057999999999999</v>
      </c>
      <c r="X187">
        <f t="shared" si="150"/>
        <v>2.5099E-2</v>
      </c>
      <c r="Y187">
        <f t="shared" si="150"/>
        <v>1.3415000000000001E-4</v>
      </c>
      <c r="Z187">
        <f t="shared" si="150"/>
        <v>1.1514E-2</v>
      </c>
      <c r="AA187">
        <f t="shared" si="150"/>
        <v>-2.1906E-5</v>
      </c>
      <c r="AB187">
        <f t="shared" si="150"/>
        <v>2.5019999999999998E-8</v>
      </c>
      <c r="AC187">
        <f t="shared" si="150"/>
        <v>1.4063999999999999E-3</v>
      </c>
      <c r="AD187">
        <f t="shared" si="150"/>
        <v>8.8113000000000004E-4</v>
      </c>
      <c r="AE187">
        <f t="shared" si="150"/>
        <v>1.4815E-3</v>
      </c>
      <c r="AF187">
        <f t="shared" si="150"/>
        <v>3.5629000000000001E-5</v>
      </c>
      <c r="AG187">
        <f t="shared" si="150"/>
        <v>2.5611000000000002E-3</v>
      </c>
      <c r="AH187">
        <f t="shared" si="150"/>
        <v>2.3032E-3</v>
      </c>
    </row>
    <row r="188" spans="2:34" x14ac:dyDescent="0.25">
      <c r="B188" t="str">
        <f>'[3]6_Hub_30%IP'!Y389</f>
        <v>San Francisco International Airport</v>
      </c>
      <c r="C188" t="str">
        <f t="shared" si="147"/>
        <v>market for electricity, low voltage, US-WECC</v>
      </c>
      <c r="D188">
        <f>'[3]6_Hub_30%IP'!$Z389/$A$3</f>
        <v>4.1775456919060053E-2</v>
      </c>
      <c r="E188" t="str">
        <f t="shared" ref="E188:AH188" si="151">E179</f>
        <v>kWh</v>
      </c>
      <c r="F188" t="str">
        <f t="shared" si="151"/>
        <v>Ecoinvent v3.7.1</v>
      </c>
      <c r="G188">
        <f t="shared" si="151"/>
        <v>0.41233999999999998</v>
      </c>
      <c r="H188">
        <f t="shared" si="151"/>
        <v>0.16356000000000001</v>
      </c>
      <c r="I188">
        <f t="shared" si="151"/>
        <v>5.2107000000000001</v>
      </c>
      <c r="J188">
        <f t="shared" si="151"/>
        <v>0.15804000000000001</v>
      </c>
      <c r="K188">
        <f t="shared" si="151"/>
        <v>1.1274</v>
      </c>
      <c r="L188">
        <f t="shared" si="151"/>
        <v>1.7768999999999999E-5</v>
      </c>
      <c r="M188">
        <f t="shared" si="151"/>
        <v>0.32883000000000001</v>
      </c>
      <c r="N188">
        <f t="shared" si="151"/>
        <v>1.0143</v>
      </c>
      <c r="O188">
        <f t="shared" si="151"/>
        <v>0.29749999999999999</v>
      </c>
      <c r="P188">
        <f t="shared" si="151"/>
        <v>8.300347769</v>
      </c>
      <c r="Q188">
        <f t="shared" si="151"/>
        <v>2.4857000000000001E-2</v>
      </c>
      <c r="R188">
        <f t="shared" si="151"/>
        <v>0.40821000000000002</v>
      </c>
      <c r="S188">
        <f t="shared" si="151"/>
        <v>0.13331000000000001</v>
      </c>
      <c r="T188">
        <f t="shared" si="151"/>
        <v>2.9420000000000002E-2</v>
      </c>
      <c r="U188">
        <f t="shared" si="151"/>
        <v>4.3196E-4</v>
      </c>
      <c r="V188">
        <f t="shared" si="151"/>
        <v>0.27927000000000002</v>
      </c>
      <c r="W188">
        <f t="shared" si="151"/>
        <v>7.3639999999999997E-2</v>
      </c>
      <c r="X188">
        <f t="shared" si="151"/>
        <v>2.5277999999999998E-2</v>
      </c>
      <c r="Y188">
        <f t="shared" si="151"/>
        <v>1.1887000000000001E-4</v>
      </c>
      <c r="Z188">
        <f t="shared" si="151"/>
        <v>1.1467E-2</v>
      </c>
      <c r="AA188">
        <f t="shared" si="151"/>
        <v>-1.4652E-5</v>
      </c>
      <c r="AB188">
        <f t="shared" si="151"/>
        <v>1.7493E-8</v>
      </c>
      <c r="AC188">
        <f t="shared" si="151"/>
        <v>1.5398E-3</v>
      </c>
      <c r="AD188">
        <f t="shared" si="151"/>
        <v>6.7785999999999996E-4</v>
      </c>
      <c r="AE188">
        <f t="shared" si="151"/>
        <v>7.8450000000000004E-4</v>
      </c>
      <c r="AF188">
        <f t="shared" si="151"/>
        <v>3.1801999999999998E-5</v>
      </c>
      <c r="AG188">
        <f t="shared" si="151"/>
        <v>2.3995000000000002E-3</v>
      </c>
      <c r="AH188">
        <f t="shared" si="151"/>
        <v>3.0509000000000001E-3</v>
      </c>
    </row>
    <row r="189" spans="2:34" x14ac:dyDescent="0.25">
      <c r="B189" t="str">
        <f>'[3]6_Hub_30%IP'!Y390</f>
        <v>Seattle-Tacoma International Airport</v>
      </c>
      <c r="C189" t="str">
        <f t="shared" si="147"/>
        <v>market for electricity, low voltage, US-RFC</v>
      </c>
      <c r="D189">
        <f>'[3]6_Hub_30%IP'!$Z390/$A$3</f>
        <v>3.91644908616188E-2</v>
      </c>
      <c r="E189" t="str">
        <f t="shared" ref="E189:AH189" si="152">E180</f>
        <v>kWh</v>
      </c>
      <c r="F189" t="str">
        <f t="shared" si="152"/>
        <v>Ecoinvent v3.7.1</v>
      </c>
      <c r="G189">
        <f t="shared" si="152"/>
        <v>0.61436999999999997</v>
      </c>
      <c r="H189">
        <f t="shared" si="152"/>
        <v>8.2399E-2</v>
      </c>
      <c r="I189">
        <f t="shared" si="152"/>
        <v>6.7473999999999998</v>
      </c>
      <c r="J189">
        <f t="shared" si="152"/>
        <v>4.0428000000000003E-4</v>
      </c>
      <c r="K189">
        <f t="shared" si="152"/>
        <v>4.3425000000000002</v>
      </c>
      <c r="L189">
        <f t="shared" si="152"/>
        <v>1.3322000000000001E-5</v>
      </c>
      <c r="M189">
        <f t="shared" si="152"/>
        <v>1.5082999999999999E-2</v>
      </c>
      <c r="N189">
        <f t="shared" si="152"/>
        <v>6.8917000000000006E-2</v>
      </c>
      <c r="O189">
        <f t="shared" si="152"/>
        <v>0.1275</v>
      </c>
      <c r="P189">
        <f t="shared" si="152"/>
        <v>11.384216602</v>
      </c>
      <c r="Q189">
        <f t="shared" si="152"/>
        <v>1.3875999999999999E-2</v>
      </c>
      <c r="R189">
        <f t="shared" si="152"/>
        <v>0.60836999999999997</v>
      </c>
      <c r="S189">
        <f t="shared" si="152"/>
        <v>0.16855999999999999</v>
      </c>
      <c r="T189">
        <f t="shared" si="152"/>
        <v>2.7827999999999999E-2</v>
      </c>
      <c r="U189">
        <f t="shared" si="152"/>
        <v>3.4965000000000002E-4</v>
      </c>
      <c r="V189">
        <f t="shared" si="152"/>
        <v>0.24507000000000001</v>
      </c>
      <c r="W189">
        <f t="shared" si="152"/>
        <v>0.28216999999999998</v>
      </c>
      <c r="X189">
        <f t="shared" si="152"/>
        <v>2.3791E-2</v>
      </c>
      <c r="Y189">
        <f t="shared" si="152"/>
        <v>1.1882E-4</v>
      </c>
      <c r="Z189">
        <f t="shared" si="152"/>
        <v>1.1622E-2</v>
      </c>
      <c r="AA189">
        <f t="shared" si="152"/>
        <v>-2.4247999999999999E-5</v>
      </c>
      <c r="AB189">
        <f t="shared" si="152"/>
        <v>1.8053E-8</v>
      </c>
      <c r="AC189">
        <f t="shared" si="152"/>
        <v>1.1259E-3</v>
      </c>
      <c r="AD189">
        <f t="shared" si="152"/>
        <v>9.8528999999999999E-4</v>
      </c>
      <c r="AE189">
        <f t="shared" si="152"/>
        <v>1.8718000000000001E-3</v>
      </c>
      <c r="AF189">
        <f t="shared" si="152"/>
        <v>2.6829999999999999E-5</v>
      </c>
      <c r="AG189">
        <f t="shared" si="152"/>
        <v>2.5512999999999998E-3</v>
      </c>
      <c r="AH189">
        <f t="shared" si="152"/>
        <v>2.2418E-3</v>
      </c>
    </row>
    <row r="190" spans="2:34" x14ac:dyDescent="0.25">
      <c r="B190" t="str">
        <f>'[3]6_Hub_30%IP'!Y391</f>
        <v>Newark Liberty International Airport</v>
      </c>
      <c r="C190" t="str">
        <f t="shared" si="147"/>
        <v>market for electricity, low voltage, US-WECC</v>
      </c>
      <c r="D190">
        <f>'[3]6_Hub_30%IP'!$Z391/$A$3</f>
        <v>3.91644908616188E-2</v>
      </c>
      <c r="E190" t="str">
        <f t="shared" ref="E190:AH190" si="153">E181</f>
        <v>kWh</v>
      </c>
      <c r="F190" t="str">
        <f t="shared" si="153"/>
        <v>Ecoinvent v3.7.1</v>
      </c>
      <c r="G190">
        <f t="shared" si="153"/>
        <v>0.41233999999999998</v>
      </c>
      <c r="H190">
        <f t="shared" si="153"/>
        <v>0.16356000000000001</v>
      </c>
      <c r="I190">
        <f t="shared" si="153"/>
        <v>5.2107000000000001</v>
      </c>
      <c r="J190">
        <f t="shared" si="153"/>
        <v>0.15804000000000001</v>
      </c>
      <c r="K190">
        <f t="shared" si="153"/>
        <v>1.1274</v>
      </c>
      <c r="L190">
        <f t="shared" si="153"/>
        <v>1.7768999999999999E-5</v>
      </c>
      <c r="M190">
        <f t="shared" si="153"/>
        <v>0.32883000000000001</v>
      </c>
      <c r="N190">
        <f t="shared" si="153"/>
        <v>1.0143</v>
      </c>
      <c r="O190">
        <f t="shared" si="153"/>
        <v>0.29749999999999999</v>
      </c>
      <c r="P190">
        <f t="shared" si="153"/>
        <v>8.300347769</v>
      </c>
      <c r="Q190">
        <f t="shared" si="153"/>
        <v>2.4857000000000001E-2</v>
      </c>
      <c r="R190">
        <f t="shared" si="153"/>
        <v>0.40821000000000002</v>
      </c>
      <c r="S190">
        <f t="shared" si="153"/>
        <v>0.13331000000000001</v>
      </c>
      <c r="T190">
        <f t="shared" si="153"/>
        <v>2.9420000000000002E-2</v>
      </c>
      <c r="U190">
        <f t="shared" si="153"/>
        <v>4.3196E-4</v>
      </c>
      <c r="V190">
        <f t="shared" si="153"/>
        <v>0.27927000000000002</v>
      </c>
      <c r="W190">
        <f t="shared" si="153"/>
        <v>7.3639999999999997E-2</v>
      </c>
      <c r="X190">
        <f t="shared" si="153"/>
        <v>2.5277999999999998E-2</v>
      </c>
      <c r="Y190">
        <f t="shared" si="153"/>
        <v>1.1887000000000001E-4</v>
      </c>
      <c r="Z190">
        <f t="shared" si="153"/>
        <v>1.1467E-2</v>
      </c>
      <c r="AA190">
        <f t="shared" si="153"/>
        <v>-1.4652E-5</v>
      </c>
      <c r="AB190">
        <f t="shared" si="153"/>
        <v>1.7493E-8</v>
      </c>
      <c r="AC190">
        <f t="shared" si="153"/>
        <v>1.5398E-3</v>
      </c>
      <c r="AD190">
        <f t="shared" si="153"/>
        <v>6.7785999999999996E-4</v>
      </c>
      <c r="AE190">
        <f t="shared" si="153"/>
        <v>7.8450000000000004E-4</v>
      </c>
      <c r="AF190">
        <f t="shared" si="153"/>
        <v>3.1801999999999998E-5</v>
      </c>
      <c r="AG190">
        <f t="shared" si="153"/>
        <v>2.3995000000000002E-3</v>
      </c>
      <c r="AH190">
        <f t="shared" si="153"/>
        <v>3.0509000000000001E-3</v>
      </c>
    </row>
    <row r="191" spans="2:34" x14ac:dyDescent="0.25">
      <c r="B191" s="59" t="str">
        <f>C184</f>
        <v>6_Hub_30%IP</v>
      </c>
      <c r="C191" s="59" t="s">
        <v>806</v>
      </c>
      <c r="D191" s="59">
        <f>SUM(D184:D190)</f>
        <v>0.98694516971279356</v>
      </c>
      <c r="E191" s="59" t="s">
        <v>105</v>
      </c>
      <c r="F191" s="59"/>
      <c r="G191" s="59">
        <f>SUMPRODUCT($D184:$D190,G184:G190)</f>
        <v>0.47988333879895562</v>
      </c>
      <c r="H191" s="59">
        <f t="shared" ref="H191:AG191" si="154">SUMPRODUCT($D184:$D190,H184:H190)</f>
        <v>0.1862648607832898</v>
      </c>
      <c r="I191" s="59">
        <f t="shared" si="154"/>
        <v>5.7683010161879906</v>
      </c>
      <c r="J191" s="59">
        <f t="shared" si="154"/>
        <v>3.9534515538694512E-2</v>
      </c>
      <c r="K191" s="59">
        <f t="shared" si="154"/>
        <v>2.9464921616187985</v>
      </c>
      <c r="L191" s="59">
        <f t="shared" si="154"/>
        <v>8.8192234527415119E-5</v>
      </c>
      <c r="M191" s="59">
        <f t="shared" si="154"/>
        <v>0.11623375065013056</v>
      </c>
      <c r="N191" s="59">
        <f t="shared" si="154"/>
        <v>0.67794823793211489</v>
      </c>
      <c r="O191" s="59">
        <f t="shared" si="154"/>
        <v>0.26618256963968667</v>
      </c>
      <c r="P191" s="59">
        <f t="shared" si="154"/>
        <v>10.001045304585229</v>
      </c>
      <c r="Q191" s="59">
        <f t="shared" si="154"/>
        <v>3.4730640217232371E-2</v>
      </c>
      <c r="R191" s="59">
        <f t="shared" si="154"/>
        <v>0.47523501232375981</v>
      </c>
      <c r="S191" s="59">
        <f t="shared" si="154"/>
        <v>0.14684044344647523</v>
      </c>
      <c r="T191" s="59">
        <f t="shared" si="154"/>
        <v>2.7313147488250655E-2</v>
      </c>
      <c r="U191" s="59">
        <f t="shared" si="154"/>
        <v>3.8703146026109663E-4</v>
      </c>
      <c r="V191" s="59">
        <f t="shared" si="154"/>
        <v>0.25990385232375973</v>
      </c>
      <c r="W191" s="59">
        <f t="shared" si="154"/>
        <v>0.20169211092428196</v>
      </c>
      <c r="X191" s="59">
        <f t="shared" si="154"/>
        <v>2.3507470966057441E-2</v>
      </c>
      <c r="Y191" s="59">
        <f t="shared" si="154"/>
        <v>1.1846544851174933E-4</v>
      </c>
      <c r="Z191" s="59">
        <f t="shared" si="154"/>
        <v>1.1160345336814623E-2</v>
      </c>
      <c r="AA191" s="59">
        <f t="shared" si="154"/>
        <v>-5.3150966360313301E-5</v>
      </c>
      <c r="AB191" s="59">
        <f t="shared" si="154"/>
        <v>1.8741562778067881E-8</v>
      </c>
      <c r="AC191" s="59">
        <f t="shared" si="154"/>
        <v>1.2103975216710182E-3</v>
      </c>
      <c r="AD191" s="59">
        <f t="shared" si="154"/>
        <v>8.0156942433420354E-4</v>
      </c>
      <c r="AE191" s="59">
        <f t="shared" si="154"/>
        <v>1.3131565013054828E-3</v>
      </c>
      <c r="AF191" s="59">
        <f t="shared" si="154"/>
        <v>2.6277902412532638E-5</v>
      </c>
      <c r="AG191" s="59">
        <f t="shared" si="154"/>
        <v>2.1677410761357704E-3</v>
      </c>
      <c r="AH191" s="59">
        <f>SUMPRODUCT($D184:$D190,AH184:AH190)</f>
        <v>4.8616371488250662E-3</v>
      </c>
    </row>
    <row r="192" spans="2:34" x14ac:dyDescent="0.25">
      <c r="B192" s="59" t="str">
        <f>B191</f>
        <v>6_Hub_30%IP</v>
      </c>
      <c r="C192" s="59"/>
      <c r="D192" s="59"/>
      <c r="E192" s="59"/>
      <c r="F192" s="59"/>
      <c r="G192" s="59">
        <f>SUMPRODUCT($D185:$D190,G185:G190)/SUM($D185:$D190)</f>
        <v>0.50417669565217405</v>
      </c>
      <c r="H192" s="59">
        <f t="shared" ref="H192:AH192" si="155">SUMPRODUCT($D185:$D190,H185:H190)/SUM($D185:$D190)</f>
        <v>0.18909069565217398</v>
      </c>
      <c r="I192" s="59">
        <f t="shared" si="155"/>
        <v>6.0734443478260882</v>
      </c>
      <c r="J192" s="59">
        <f t="shared" si="155"/>
        <v>8.6769890434782629E-2</v>
      </c>
      <c r="K192" s="59">
        <f t="shared" si="155"/>
        <v>2.458596521739131</v>
      </c>
      <c r="L192" s="59">
        <f t="shared" si="155"/>
        <v>1.8600008695652178E-5</v>
      </c>
      <c r="M192" s="59">
        <f t="shared" si="155"/>
        <v>0.19532255652173916</v>
      </c>
      <c r="N192" s="59">
        <f t="shared" si="155"/>
        <v>0.6070133043478263</v>
      </c>
      <c r="O192" s="59">
        <f t="shared" si="155"/>
        <v>0.20023509565217393</v>
      </c>
      <c r="P192" s="59">
        <f t="shared" si="155"/>
        <v>9.8104910121826112</v>
      </c>
      <c r="Q192" s="59">
        <f t="shared" si="155"/>
        <v>2.8317869565217396E-2</v>
      </c>
      <c r="R192" s="59">
        <f t="shared" si="155"/>
        <v>0.49912652173913052</v>
      </c>
      <c r="S192" s="59">
        <f t="shared" si="155"/>
        <v>0.15427852173913045</v>
      </c>
      <c r="T192" s="59">
        <f t="shared" si="155"/>
        <v>2.9027269565217399E-2</v>
      </c>
      <c r="U192" s="59">
        <f t="shared" si="155"/>
        <v>4.1196660869565231E-4</v>
      </c>
      <c r="V192" s="59">
        <f t="shared" si="155"/>
        <v>0.2736846086956522</v>
      </c>
      <c r="W192" s="59">
        <f t="shared" si="155"/>
        <v>0.15997547826086958</v>
      </c>
      <c r="X192" s="59">
        <f t="shared" si="155"/>
        <v>2.4855843478260871E-2</v>
      </c>
      <c r="Y192" s="59">
        <f t="shared" si="155"/>
        <v>1.2178008695652177E-4</v>
      </c>
      <c r="Z192" s="59">
        <f t="shared" si="155"/>
        <v>1.1516426086956525E-2</v>
      </c>
      <c r="AA192" s="59">
        <f t="shared" si="155"/>
        <v>-1.8543026086956527E-5</v>
      </c>
      <c r="AB192" s="59">
        <f t="shared" si="155"/>
        <v>1.9079034782608696E-8</v>
      </c>
      <c r="AC192" s="59">
        <f t="shared" si="155"/>
        <v>1.406306086956522E-3</v>
      </c>
      <c r="AD192" s="59">
        <f t="shared" si="155"/>
        <v>7.9694556521739141E-4</v>
      </c>
      <c r="AE192" s="59">
        <f t="shared" si="155"/>
        <v>1.2014826086956525E-3</v>
      </c>
      <c r="AF192" s="59">
        <f t="shared" si="155"/>
        <v>3.1237078260869566E-5</v>
      </c>
      <c r="AG192" s="59">
        <f t="shared" si="155"/>
        <v>2.4700147826086966E-3</v>
      </c>
      <c r="AH192" s="59">
        <f t="shared" si="155"/>
        <v>2.6967921739130445E-3</v>
      </c>
    </row>
    <row r="193" spans="2:34" x14ac:dyDescent="0.25">
      <c r="B193" t="s">
        <v>593</v>
      </c>
      <c r="C193" t="str">
        <f>'[3]LCIA-Elec'!BJ95</f>
        <v>6_Hub_50%IP</v>
      </c>
      <c r="D193">
        <f>'[3]LCIA-Elec'!$AE$68/$A$3</f>
        <v>0.49869451697127937</v>
      </c>
      <c r="E193" t="s">
        <v>105</v>
      </c>
      <c r="F193" t="s">
        <v>829</v>
      </c>
      <c r="G193">
        <f>'[3]LCIA-Elec'!BK95</f>
        <v>0.47311125005235599</v>
      </c>
      <c r="H193">
        <f>'[3]LCIA-Elec'!BL95</f>
        <v>0.19119335434554974</v>
      </c>
      <c r="I193">
        <f>'[3]LCIA-Elec'!BM95</f>
        <v>5.7199842366492151</v>
      </c>
      <c r="J193">
        <f>'[3]LCIA-Elec'!BN95</f>
        <v>1.6988890582827227E-2</v>
      </c>
      <c r="K193">
        <f>'[3]LCIA-Elec'!BO95</f>
        <v>2.9519429209424084</v>
      </c>
      <c r="L193">
        <f>'[3]LCIA-Elec'!BP95</f>
        <v>1.5937637604188481E-4</v>
      </c>
      <c r="M193">
        <f>'[3]LCIA-Elec'!BQ95</f>
        <v>8.7515123031413594E-2</v>
      </c>
      <c r="N193">
        <f>'[3]LCIA-Elec'!BR95</f>
        <v>0.84789807396858619</v>
      </c>
      <c r="O193">
        <f>'[3]LCIA-Elec'!BS95</f>
        <v>0.34916756110994751</v>
      </c>
      <c r="P193">
        <f>'[3]LCIA-Elec'!BT95</f>
        <v>10.164849537005992</v>
      </c>
      <c r="Q193">
        <f>'[3]LCIA-Elec'!BU95</f>
        <v>4.2227278550785334E-2</v>
      </c>
      <c r="R193">
        <f>'[3]LCIA-Elec'!BV95</f>
        <v>0.46882162157068069</v>
      </c>
      <c r="S193">
        <f>'[3]LCIA-Elec'!BW95</f>
        <v>0.14548675308900527</v>
      </c>
      <c r="T193">
        <f>'[3]LCIA-Elec'!BX95</f>
        <v>2.703790831413613E-2</v>
      </c>
      <c r="U193">
        <f>'[3]LCIA-Elec'!BY95</f>
        <v>4.1455756691099468E-4</v>
      </c>
      <c r="V193">
        <f>'[3]LCIA-Elec'!BZ95</f>
        <v>0.27689077193717276</v>
      </c>
      <c r="W193">
        <f>'[3]LCIA-Elec'!CA95</f>
        <v>0.20980448420942405</v>
      </c>
      <c r="X193">
        <f>'[3]LCIA-Elec'!CB95</f>
        <v>2.346043130890052E-2</v>
      </c>
      <c r="Y193">
        <f>'[3]LCIA-Elec'!CC95</f>
        <v>1.2592888366492143E-4</v>
      </c>
      <c r="Z193">
        <f>'[3]LCIA-Elec'!CD95</f>
        <v>1.1108488293193716E-2</v>
      </c>
      <c r="AA193">
        <f>'[3]LCIA-Elec'!CE95</f>
        <v>-8.7899602701570692E-5</v>
      </c>
      <c r="AB193">
        <f>'[3]LCIA-Elec'!CF95</f>
        <v>1.868734839790576E-8</v>
      </c>
      <c r="AC193">
        <f>'[3]LCIA-Elec'!CG95</f>
        <v>1.1939221507853402E-3</v>
      </c>
      <c r="AD193">
        <f>'[3]LCIA-Elec'!CH95</f>
        <v>8.3051303413612552E-4</v>
      </c>
      <c r="AE193">
        <f>'[3]LCIA-Elec'!CI95</f>
        <v>1.404953246073298E-3</v>
      </c>
      <c r="AF193">
        <f>'[3]LCIA-Elec'!CJ95</f>
        <v>2.3048610596858641E-5</v>
      </c>
      <c r="AG193">
        <f>'[3]LCIA-Elec'!CK95</f>
        <v>2.0493383359162301E-3</v>
      </c>
      <c r="AH193">
        <f>'[3]LCIA-Elec'!CL95</f>
        <v>6.9063572146596868E-3</v>
      </c>
    </row>
    <row r="194" spans="2:34" x14ac:dyDescent="0.25">
      <c r="B194" t="str">
        <f>'[3]6_Hub_50%IP'!Y386</f>
        <v>Newark Liberty International Airport</v>
      </c>
      <c r="C194" t="str">
        <f t="shared" ref="C194:C199" si="156">C176</f>
        <v>market for electricity, low voltage, US-RFC</v>
      </c>
      <c r="D194">
        <f>'[3]6_Hub_50%IP'!$Z386/$A$3</f>
        <v>0.17493472584856398</v>
      </c>
      <c r="E194" t="str">
        <f t="shared" ref="E194:AH194" si="157">E176</f>
        <v>kWh</v>
      </c>
      <c r="F194" t="str">
        <f t="shared" si="157"/>
        <v>Ecoinvent v3.7.1</v>
      </c>
      <c r="G194">
        <f t="shared" si="157"/>
        <v>0.61436999999999997</v>
      </c>
      <c r="H194">
        <f t="shared" si="157"/>
        <v>8.2399E-2</v>
      </c>
      <c r="I194">
        <f t="shared" si="157"/>
        <v>6.7473999999999998</v>
      </c>
      <c r="J194">
        <f t="shared" si="157"/>
        <v>4.0428000000000003E-4</v>
      </c>
      <c r="K194">
        <f t="shared" si="157"/>
        <v>4.3425000000000002</v>
      </c>
      <c r="L194">
        <f t="shared" si="157"/>
        <v>1.3322000000000001E-5</v>
      </c>
      <c r="M194">
        <f t="shared" si="157"/>
        <v>1.5082999999999999E-2</v>
      </c>
      <c r="N194">
        <f t="shared" si="157"/>
        <v>6.8917000000000006E-2</v>
      </c>
      <c r="O194">
        <f t="shared" si="157"/>
        <v>0.1275</v>
      </c>
      <c r="P194">
        <f t="shared" si="157"/>
        <v>11.384216602</v>
      </c>
      <c r="Q194">
        <f t="shared" si="157"/>
        <v>1.3875999999999999E-2</v>
      </c>
      <c r="R194">
        <f t="shared" si="157"/>
        <v>0.60836999999999997</v>
      </c>
      <c r="S194">
        <f t="shared" si="157"/>
        <v>0.16855999999999999</v>
      </c>
      <c r="T194">
        <f t="shared" si="157"/>
        <v>2.7827999999999999E-2</v>
      </c>
      <c r="U194">
        <f t="shared" si="157"/>
        <v>3.4965000000000002E-4</v>
      </c>
      <c r="V194">
        <f t="shared" si="157"/>
        <v>0.24507000000000001</v>
      </c>
      <c r="W194">
        <f t="shared" si="157"/>
        <v>0.28216999999999998</v>
      </c>
      <c r="X194">
        <f t="shared" si="157"/>
        <v>2.3791E-2</v>
      </c>
      <c r="Y194">
        <f t="shared" si="157"/>
        <v>1.1882E-4</v>
      </c>
      <c r="Z194">
        <f t="shared" si="157"/>
        <v>1.1622E-2</v>
      </c>
      <c r="AA194">
        <f t="shared" si="157"/>
        <v>-2.4247999999999999E-5</v>
      </c>
      <c r="AB194">
        <f t="shared" si="157"/>
        <v>1.8053E-8</v>
      </c>
      <c r="AC194">
        <f t="shared" si="157"/>
        <v>1.1259E-3</v>
      </c>
      <c r="AD194">
        <f t="shared" si="157"/>
        <v>9.8528999999999999E-4</v>
      </c>
      <c r="AE194">
        <f t="shared" si="157"/>
        <v>1.8718000000000001E-3</v>
      </c>
      <c r="AF194">
        <f t="shared" si="157"/>
        <v>2.6829999999999999E-5</v>
      </c>
      <c r="AG194">
        <f t="shared" si="157"/>
        <v>2.5512999999999998E-3</v>
      </c>
      <c r="AH194">
        <f t="shared" si="157"/>
        <v>2.2418E-3</v>
      </c>
    </row>
    <row r="195" spans="2:34" x14ac:dyDescent="0.25">
      <c r="B195" t="str">
        <f>'[3]6_Hub_50%IP'!Y387</f>
        <v>Seattle-Tacoma International Airport</v>
      </c>
      <c r="C195" t="str">
        <f t="shared" si="156"/>
        <v>market for electricity, low voltage, US-WECC</v>
      </c>
      <c r="D195">
        <f>'[3]6_Hub_50%IP'!$Z387/$A$3</f>
        <v>6.0052219321148827E-2</v>
      </c>
      <c r="E195" t="str">
        <f t="shared" ref="E195:AH195" si="158">E177</f>
        <v>kWh</v>
      </c>
      <c r="F195" t="str">
        <f t="shared" si="158"/>
        <v>Ecoinvent v3.7.1</v>
      </c>
      <c r="G195">
        <f t="shared" si="158"/>
        <v>0.41233999999999998</v>
      </c>
      <c r="H195">
        <f t="shared" si="158"/>
        <v>0.16356000000000001</v>
      </c>
      <c r="I195">
        <f t="shared" si="158"/>
        <v>5.2107000000000001</v>
      </c>
      <c r="J195">
        <f t="shared" si="158"/>
        <v>0.15804000000000001</v>
      </c>
      <c r="K195">
        <f t="shared" si="158"/>
        <v>1.1274</v>
      </c>
      <c r="L195">
        <f t="shared" si="158"/>
        <v>1.7768999999999999E-5</v>
      </c>
      <c r="M195">
        <f t="shared" si="158"/>
        <v>0.32883000000000001</v>
      </c>
      <c r="N195">
        <f t="shared" si="158"/>
        <v>1.0143</v>
      </c>
      <c r="O195">
        <f t="shared" si="158"/>
        <v>0.29749999999999999</v>
      </c>
      <c r="P195">
        <f t="shared" si="158"/>
        <v>8.300347769</v>
      </c>
      <c r="Q195">
        <f t="shared" si="158"/>
        <v>2.4857000000000001E-2</v>
      </c>
      <c r="R195">
        <f t="shared" si="158"/>
        <v>0.40821000000000002</v>
      </c>
      <c r="S195">
        <f t="shared" si="158"/>
        <v>0.13331000000000001</v>
      </c>
      <c r="T195">
        <f t="shared" si="158"/>
        <v>2.9420000000000002E-2</v>
      </c>
      <c r="U195">
        <f t="shared" si="158"/>
        <v>4.3196E-4</v>
      </c>
      <c r="V195">
        <f t="shared" si="158"/>
        <v>0.27927000000000002</v>
      </c>
      <c r="W195">
        <f t="shared" si="158"/>
        <v>7.3639999999999997E-2</v>
      </c>
      <c r="X195">
        <f t="shared" si="158"/>
        <v>2.5277999999999998E-2</v>
      </c>
      <c r="Y195">
        <f t="shared" si="158"/>
        <v>1.1887000000000001E-4</v>
      </c>
      <c r="Z195">
        <f t="shared" si="158"/>
        <v>1.1467E-2</v>
      </c>
      <c r="AA195">
        <f t="shared" si="158"/>
        <v>-1.4652E-5</v>
      </c>
      <c r="AB195">
        <f t="shared" si="158"/>
        <v>1.7493E-8</v>
      </c>
      <c r="AC195">
        <f t="shared" si="158"/>
        <v>1.5398E-3</v>
      </c>
      <c r="AD195">
        <f t="shared" si="158"/>
        <v>6.7785999999999996E-4</v>
      </c>
      <c r="AE195">
        <f t="shared" si="158"/>
        <v>7.8450000000000004E-4</v>
      </c>
      <c r="AF195">
        <f t="shared" si="158"/>
        <v>3.1801999999999998E-5</v>
      </c>
      <c r="AG195">
        <f t="shared" si="158"/>
        <v>2.3995000000000002E-3</v>
      </c>
      <c r="AH195">
        <f t="shared" si="158"/>
        <v>3.0509000000000001E-3</v>
      </c>
    </row>
    <row r="196" spans="2:34" x14ac:dyDescent="0.25">
      <c r="B196" t="str">
        <f>'[3]6_Hub_50%IP'!Y388</f>
        <v>Hartsfield-Jackson Atlanta International Airport</v>
      </c>
      <c r="C196" t="str">
        <f t="shared" si="156"/>
        <v>market for electricity, low voltage, US-SERC</v>
      </c>
      <c r="D196">
        <f>'[3]6_Hub_50%IP'!$Z388/$A$3</f>
        <v>5.4830287206266322E-2</v>
      </c>
      <c r="E196" t="str">
        <f t="shared" ref="E196:AH196" si="159">E178</f>
        <v>kWh</v>
      </c>
      <c r="F196" t="str">
        <f t="shared" si="159"/>
        <v>Ecoinvent v3.7.1</v>
      </c>
      <c r="G196">
        <f t="shared" si="159"/>
        <v>0.6169</v>
      </c>
      <c r="H196">
        <f t="shared" si="159"/>
        <v>0.40769</v>
      </c>
      <c r="I196">
        <f t="shared" si="159"/>
        <v>7.625</v>
      </c>
      <c r="J196">
        <f t="shared" si="159"/>
        <v>4.4949999999999998E-4</v>
      </c>
      <c r="K196">
        <f t="shared" si="159"/>
        <v>3.7017000000000002</v>
      </c>
      <c r="L196">
        <f t="shared" si="159"/>
        <v>2.8177000000000001E-5</v>
      </c>
      <c r="M196">
        <f t="shared" si="159"/>
        <v>5.8786999999999999E-2</v>
      </c>
      <c r="N196">
        <f t="shared" si="159"/>
        <v>0.17446</v>
      </c>
      <c r="O196">
        <f t="shared" si="159"/>
        <v>2.0888E-2</v>
      </c>
      <c r="P196">
        <f t="shared" si="159"/>
        <v>11.989002677000002</v>
      </c>
      <c r="Q196">
        <f t="shared" si="159"/>
        <v>5.7922000000000001E-2</v>
      </c>
      <c r="R196">
        <f t="shared" si="159"/>
        <v>0.61051</v>
      </c>
      <c r="S196">
        <f t="shared" si="159"/>
        <v>0.19485</v>
      </c>
      <c r="T196">
        <f t="shared" si="159"/>
        <v>2.9537999999999998E-2</v>
      </c>
      <c r="U196">
        <f t="shared" si="159"/>
        <v>4.3969000000000001E-4</v>
      </c>
      <c r="V196">
        <f t="shared" si="159"/>
        <v>0.29670999999999997</v>
      </c>
      <c r="W196">
        <f t="shared" si="159"/>
        <v>0.24057999999999999</v>
      </c>
      <c r="X196">
        <f t="shared" si="159"/>
        <v>2.5099E-2</v>
      </c>
      <c r="Y196">
        <f t="shared" si="159"/>
        <v>1.3415000000000001E-4</v>
      </c>
      <c r="Z196">
        <f t="shared" si="159"/>
        <v>1.1514E-2</v>
      </c>
      <c r="AA196">
        <f t="shared" si="159"/>
        <v>-2.1906E-5</v>
      </c>
      <c r="AB196">
        <f t="shared" si="159"/>
        <v>2.5019999999999998E-8</v>
      </c>
      <c r="AC196">
        <f t="shared" si="159"/>
        <v>1.4063999999999999E-3</v>
      </c>
      <c r="AD196">
        <f t="shared" si="159"/>
        <v>8.8113000000000004E-4</v>
      </c>
      <c r="AE196">
        <f t="shared" si="159"/>
        <v>1.4815E-3</v>
      </c>
      <c r="AF196">
        <f t="shared" si="159"/>
        <v>3.5629000000000001E-5</v>
      </c>
      <c r="AG196">
        <f t="shared" si="159"/>
        <v>2.5611000000000002E-3</v>
      </c>
      <c r="AH196">
        <f t="shared" si="159"/>
        <v>2.3032E-3</v>
      </c>
    </row>
    <row r="197" spans="2:34" x14ac:dyDescent="0.25">
      <c r="B197" t="str">
        <f>'[3]6_Hub_50%IP'!Y389</f>
        <v>San Francisco International Airport</v>
      </c>
      <c r="C197" t="str">
        <f t="shared" si="156"/>
        <v>market for electricity, low voltage, US-WECC</v>
      </c>
      <c r="D197">
        <f>'[3]6_Hub_50%IP'!$Z389/$A$3</f>
        <v>5.2219321148825062E-2</v>
      </c>
      <c r="E197" t="str">
        <f t="shared" ref="E197:AH197" si="160">E179</f>
        <v>kWh</v>
      </c>
      <c r="F197" t="str">
        <f t="shared" si="160"/>
        <v>Ecoinvent v3.7.1</v>
      </c>
      <c r="G197">
        <f t="shared" si="160"/>
        <v>0.41233999999999998</v>
      </c>
      <c r="H197">
        <f t="shared" si="160"/>
        <v>0.16356000000000001</v>
      </c>
      <c r="I197">
        <f t="shared" si="160"/>
        <v>5.2107000000000001</v>
      </c>
      <c r="J197">
        <f t="shared" si="160"/>
        <v>0.15804000000000001</v>
      </c>
      <c r="K197">
        <f t="shared" si="160"/>
        <v>1.1274</v>
      </c>
      <c r="L197">
        <f t="shared" si="160"/>
        <v>1.7768999999999999E-5</v>
      </c>
      <c r="M197">
        <f t="shared" si="160"/>
        <v>0.32883000000000001</v>
      </c>
      <c r="N197">
        <f t="shared" si="160"/>
        <v>1.0143</v>
      </c>
      <c r="O197">
        <f t="shared" si="160"/>
        <v>0.29749999999999999</v>
      </c>
      <c r="P197">
        <f t="shared" si="160"/>
        <v>8.300347769</v>
      </c>
      <c r="Q197">
        <f t="shared" si="160"/>
        <v>2.4857000000000001E-2</v>
      </c>
      <c r="R197">
        <f t="shared" si="160"/>
        <v>0.40821000000000002</v>
      </c>
      <c r="S197">
        <f t="shared" si="160"/>
        <v>0.13331000000000001</v>
      </c>
      <c r="T197">
        <f t="shared" si="160"/>
        <v>2.9420000000000002E-2</v>
      </c>
      <c r="U197">
        <f t="shared" si="160"/>
        <v>4.3196E-4</v>
      </c>
      <c r="V197">
        <f t="shared" si="160"/>
        <v>0.27927000000000002</v>
      </c>
      <c r="W197">
        <f t="shared" si="160"/>
        <v>7.3639999999999997E-2</v>
      </c>
      <c r="X197">
        <f t="shared" si="160"/>
        <v>2.5277999999999998E-2</v>
      </c>
      <c r="Y197">
        <f t="shared" si="160"/>
        <v>1.1887000000000001E-4</v>
      </c>
      <c r="Z197">
        <f t="shared" si="160"/>
        <v>1.1467E-2</v>
      </c>
      <c r="AA197">
        <f t="shared" si="160"/>
        <v>-1.4652E-5</v>
      </c>
      <c r="AB197">
        <f t="shared" si="160"/>
        <v>1.7493E-8</v>
      </c>
      <c r="AC197">
        <f t="shared" si="160"/>
        <v>1.5398E-3</v>
      </c>
      <c r="AD197">
        <f t="shared" si="160"/>
        <v>6.7785999999999996E-4</v>
      </c>
      <c r="AE197">
        <f t="shared" si="160"/>
        <v>7.8450000000000004E-4</v>
      </c>
      <c r="AF197">
        <f t="shared" si="160"/>
        <v>3.1801999999999998E-5</v>
      </c>
      <c r="AG197">
        <f t="shared" si="160"/>
        <v>2.3995000000000002E-3</v>
      </c>
      <c r="AH197">
        <f t="shared" si="160"/>
        <v>3.0509000000000001E-3</v>
      </c>
    </row>
    <row r="198" spans="2:34" x14ac:dyDescent="0.25">
      <c r="B198" t="str">
        <f>'[3]6_Hub_50%IP'!Y390</f>
        <v>O'Hare International Airport</v>
      </c>
      <c r="C198" t="str">
        <f t="shared" si="156"/>
        <v>market for electricity, low voltage, US-RFC</v>
      </c>
      <c r="D198">
        <f>'[3]6_Hub_50%IP'!$Z390/$A$3</f>
        <v>0.10182767624020887</v>
      </c>
      <c r="E198" t="str">
        <f t="shared" ref="E198:AH198" si="161">E180</f>
        <v>kWh</v>
      </c>
      <c r="F198" t="str">
        <f t="shared" si="161"/>
        <v>Ecoinvent v3.7.1</v>
      </c>
      <c r="G198">
        <f t="shared" si="161"/>
        <v>0.61436999999999997</v>
      </c>
      <c r="H198">
        <f t="shared" si="161"/>
        <v>8.2399E-2</v>
      </c>
      <c r="I198">
        <f t="shared" si="161"/>
        <v>6.7473999999999998</v>
      </c>
      <c r="J198">
        <f t="shared" si="161"/>
        <v>4.0428000000000003E-4</v>
      </c>
      <c r="K198">
        <f t="shared" si="161"/>
        <v>4.3425000000000002</v>
      </c>
      <c r="L198">
        <f t="shared" si="161"/>
        <v>1.3322000000000001E-5</v>
      </c>
      <c r="M198">
        <f t="shared" si="161"/>
        <v>1.5082999999999999E-2</v>
      </c>
      <c r="N198">
        <f t="shared" si="161"/>
        <v>6.8917000000000006E-2</v>
      </c>
      <c r="O198">
        <f t="shared" si="161"/>
        <v>0.1275</v>
      </c>
      <c r="P198">
        <f t="shared" si="161"/>
        <v>11.384216602</v>
      </c>
      <c r="Q198">
        <f t="shared" si="161"/>
        <v>1.3875999999999999E-2</v>
      </c>
      <c r="R198">
        <f t="shared" si="161"/>
        <v>0.60836999999999997</v>
      </c>
      <c r="S198">
        <f t="shared" si="161"/>
        <v>0.16855999999999999</v>
      </c>
      <c r="T198">
        <f t="shared" si="161"/>
        <v>2.7827999999999999E-2</v>
      </c>
      <c r="U198">
        <f t="shared" si="161"/>
        <v>3.4965000000000002E-4</v>
      </c>
      <c r="V198">
        <f t="shared" si="161"/>
        <v>0.24507000000000001</v>
      </c>
      <c r="W198">
        <f t="shared" si="161"/>
        <v>0.28216999999999998</v>
      </c>
      <c r="X198">
        <f t="shared" si="161"/>
        <v>2.3791E-2</v>
      </c>
      <c r="Y198">
        <f t="shared" si="161"/>
        <v>1.1882E-4</v>
      </c>
      <c r="Z198">
        <f t="shared" si="161"/>
        <v>1.1622E-2</v>
      </c>
      <c r="AA198">
        <f t="shared" si="161"/>
        <v>-2.4247999999999999E-5</v>
      </c>
      <c r="AB198">
        <f t="shared" si="161"/>
        <v>1.8053E-8</v>
      </c>
      <c r="AC198">
        <f t="shared" si="161"/>
        <v>1.1259E-3</v>
      </c>
      <c r="AD198">
        <f t="shared" si="161"/>
        <v>9.8528999999999999E-4</v>
      </c>
      <c r="AE198">
        <f t="shared" si="161"/>
        <v>1.8718000000000001E-3</v>
      </c>
      <c r="AF198">
        <f t="shared" si="161"/>
        <v>2.6829999999999999E-5</v>
      </c>
      <c r="AG198">
        <f t="shared" si="161"/>
        <v>2.5512999999999998E-3</v>
      </c>
      <c r="AH198">
        <f t="shared" si="161"/>
        <v>2.2418E-3</v>
      </c>
    </row>
    <row r="199" spans="2:34" x14ac:dyDescent="0.25">
      <c r="B199" t="str">
        <f>'[3]6_Hub_50%IP'!Y391</f>
        <v>Denver International Airport</v>
      </c>
      <c r="C199" t="str">
        <f t="shared" si="156"/>
        <v>market for electricity, low voltage, US-WECC</v>
      </c>
      <c r="D199">
        <f>'[3]6_Hub_50%IP'!$Z391/$A$3</f>
        <v>5.7441253263707574E-2</v>
      </c>
      <c r="E199" t="str">
        <f t="shared" ref="E199:AH199" si="162">E181</f>
        <v>kWh</v>
      </c>
      <c r="F199" t="str">
        <f t="shared" si="162"/>
        <v>Ecoinvent v3.7.1</v>
      </c>
      <c r="G199">
        <f t="shared" si="162"/>
        <v>0.41233999999999998</v>
      </c>
      <c r="H199">
        <f t="shared" si="162"/>
        <v>0.16356000000000001</v>
      </c>
      <c r="I199">
        <f t="shared" si="162"/>
        <v>5.2107000000000001</v>
      </c>
      <c r="J199">
        <f t="shared" si="162"/>
        <v>0.15804000000000001</v>
      </c>
      <c r="K199">
        <f t="shared" si="162"/>
        <v>1.1274</v>
      </c>
      <c r="L199">
        <f t="shared" si="162"/>
        <v>1.7768999999999999E-5</v>
      </c>
      <c r="M199">
        <f t="shared" si="162"/>
        <v>0.32883000000000001</v>
      </c>
      <c r="N199">
        <f t="shared" si="162"/>
        <v>1.0143</v>
      </c>
      <c r="O199">
        <f t="shared" si="162"/>
        <v>0.29749999999999999</v>
      </c>
      <c r="P199">
        <f t="shared" si="162"/>
        <v>8.300347769</v>
      </c>
      <c r="Q199">
        <f t="shared" si="162"/>
        <v>2.4857000000000001E-2</v>
      </c>
      <c r="R199">
        <f t="shared" si="162"/>
        <v>0.40821000000000002</v>
      </c>
      <c r="S199">
        <f t="shared" si="162"/>
        <v>0.13331000000000001</v>
      </c>
      <c r="T199">
        <f t="shared" si="162"/>
        <v>2.9420000000000002E-2</v>
      </c>
      <c r="U199">
        <f t="shared" si="162"/>
        <v>4.3196E-4</v>
      </c>
      <c r="V199">
        <f t="shared" si="162"/>
        <v>0.27927000000000002</v>
      </c>
      <c r="W199">
        <f t="shared" si="162"/>
        <v>7.3639999999999997E-2</v>
      </c>
      <c r="X199">
        <f t="shared" si="162"/>
        <v>2.5277999999999998E-2</v>
      </c>
      <c r="Y199">
        <f t="shared" si="162"/>
        <v>1.1887000000000001E-4</v>
      </c>
      <c r="Z199">
        <f t="shared" si="162"/>
        <v>1.1467E-2</v>
      </c>
      <c r="AA199">
        <f t="shared" si="162"/>
        <v>-1.4652E-5</v>
      </c>
      <c r="AB199">
        <f t="shared" si="162"/>
        <v>1.7493E-8</v>
      </c>
      <c r="AC199">
        <f t="shared" si="162"/>
        <v>1.5398E-3</v>
      </c>
      <c r="AD199">
        <f t="shared" si="162"/>
        <v>6.7785999999999996E-4</v>
      </c>
      <c r="AE199">
        <f t="shared" si="162"/>
        <v>7.8450000000000004E-4</v>
      </c>
      <c r="AF199">
        <f t="shared" si="162"/>
        <v>3.1801999999999998E-5</v>
      </c>
      <c r="AG199">
        <f t="shared" si="162"/>
        <v>2.3995000000000002E-3</v>
      </c>
      <c r="AH199">
        <f t="shared" si="162"/>
        <v>3.0509000000000001E-3</v>
      </c>
    </row>
    <row r="200" spans="2:34" x14ac:dyDescent="0.25">
      <c r="B200" s="59" t="str">
        <f>C193</f>
        <v>6_Hub_50%IP</v>
      </c>
      <c r="C200" s="59" t="s">
        <v>806</v>
      </c>
      <c r="D200" s="59">
        <f>SUM(D193:D199)</f>
        <v>1</v>
      </c>
      <c r="E200" s="59" t="s">
        <v>105</v>
      </c>
      <c r="F200" s="59"/>
      <c r="G200" s="59">
        <f>SUMPRODUCT($D193:$D199,G193:G199)</f>
        <v>0.50977668083550909</v>
      </c>
      <c r="H200" s="59">
        <f t="shared" ref="H200:AH200" si="163">SUMPRODUCT($D193:$D199,H193:H199)</f>
        <v>0.16826400699738903</v>
      </c>
      <c r="I200" s="59">
        <f t="shared" si="163"/>
        <v>6.0223548020887732</v>
      </c>
      <c r="J200" s="59">
        <f t="shared" si="163"/>
        <v>3.5430212222767633E-2</v>
      </c>
      <c r="K200" s="59">
        <f t="shared" si="163"/>
        <v>3.0682579579634468</v>
      </c>
      <c r="L200" s="59">
        <f t="shared" si="163"/>
        <v>8.7727733221932099E-5</v>
      </c>
      <c r="M200" s="59">
        <f t="shared" si="163"/>
        <v>0.10684768537597911</v>
      </c>
      <c r="N200" s="59">
        <f t="shared" si="163"/>
        <v>0.62362113349347248</v>
      </c>
      <c r="O200" s="59">
        <f t="shared" si="163"/>
        <v>0.26105000567101821</v>
      </c>
      <c r="P200" s="59">
        <f t="shared" si="163"/>
        <v>10.285913531546068</v>
      </c>
      <c r="Q200" s="59">
        <f t="shared" si="163"/>
        <v>3.2293298180678852E-2</v>
      </c>
      <c r="R200" s="59">
        <f t="shared" si="163"/>
        <v>0.50492561284595305</v>
      </c>
      <c r="S200" s="59">
        <f t="shared" si="163"/>
        <v>0.15251261054830287</v>
      </c>
      <c r="T200" s="59">
        <f t="shared" si="163"/>
        <v>2.7797928167101828E-2</v>
      </c>
      <c r="U200" s="59">
        <f t="shared" si="163"/>
        <v>4.0092502684073103E-4</v>
      </c>
      <c r="V200" s="59">
        <f t="shared" si="163"/>
        <v>0.2695744580678851</v>
      </c>
      <c r="W200" s="59">
        <f t="shared" si="163"/>
        <v>0.20841111353524805</v>
      </c>
      <c r="X200" s="59">
        <f t="shared" si="163"/>
        <v>2.3950228146214093E-2</v>
      </c>
      <c r="Y200" s="59">
        <f t="shared" si="163"/>
        <v>1.2321419524804176E-4</v>
      </c>
      <c r="Z200" s="59">
        <f t="shared" si="163"/>
        <v>1.1333687373368146E-2</v>
      </c>
      <c r="AA200" s="59">
        <f t="shared" si="163"/>
        <v>-5.4233728762402096E-5</v>
      </c>
      <c r="AB200" s="59">
        <f t="shared" si="163"/>
        <v>1.8656309514360315E-8</v>
      </c>
      <c r="AC200" s="59">
        <f t="shared" si="163"/>
        <v>1.2454462945169715E-3</v>
      </c>
      <c r="AD200" s="59">
        <f t="shared" si="163"/>
        <v>8.5021764887728459E-4</v>
      </c>
      <c r="AE200" s="59">
        <f t="shared" si="163"/>
        <v>1.433057101827676E-3</v>
      </c>
      <c r="AF200" s="59">
        <f t="shared" si="163"/>
        <v>2.6270505545691909E-5</v>
      </c>
      <c r="AG200" s="59">
        <f t="shared" si="163"/>
        <v>2.2757494051174935E-3</v>
      </c>
      <c r="AH200" s="59">
        <f t="shared" si="163"/>
        <v>4.7086703080939955E-3</v>
      </c>
    </row>
    <row r="201" spans="2:34" x14ac:dyDescent="0.25">
      <c r="B201" s="59" t="str">
        <f>B200</f>
        <v>6_Hub_50%IP</v>
      </c>
      <c r="C201" s="59"/>
      <c r="D201" s="59"/>
      <c r="E201" s="59"/>
      <c r="F201" s="59"/>
      <c r="G201" s="59">
        <f>SUMPRODUCT($D194:$D199,G194:G199)/SUM($D194:$D199)</f>
        <v>0.54625114583333345</v>
      </c>
      <c r="H201" s="59">
        <f t="shared" ref="H201:AH201" si="164">SUMPRODUCT($D194:$D199,H194:H199)/SUM($D194:$D199)</f>
        <v>0.14545408333333337</v>
      </c>
      <c r="I201" s="59">
        <f t="shared" si="164"/>
        <v>6.3231505208333347</v>
      </c>
      <c r="J201" s="59">
        <f t="shared" si="164"/>
        <v>5.3775485312500017E-2</v>
      </c>
      <c r="K201" s="59">
        <f t="shared" si="164"/>
        <v>3.1839671875000009</v>
      </c>
      <c r="L201" s="59">
        <f t="shared" si="164"/>
        <v>1.6452260416666666E-5</v>
      </c>
      <c r="M201" s="59">
        <f t="shared" si="164"/>
        <v>0.12607955729166667</v>
      </c>
      <c r="N201" s="59">
        <f t="shared" si="164"/>
        <v>0.40051230208333338</v>
      </c>
      <c r="O201" s="59">
        <f t="shared" si="164"/>
        <v>0.17339139583333335</v>
      </c>
      <c r="P201" s="59">
        <f t="shared" si="164"/>
        <v>10.406346984447918</v>
      </c>
      <c r="Q201" s="59">
        <f t="shared" si="164"/>
        <v>2.2411057291666672E-2</v>
      </c>
      <c r="R201" s="59">
        <f t="shared" si="164"/>
        <v>0.54084156250000015</v>
      </c>
      <c r="S201" s="59">
        <f t="shared" si="164"/>
        <v>0.15950187500000002</v>
      </c>
      <c r="T201" s="59">
        <f t="shared" si="164"/>
        <v>2.8553989583333338E-2</v>
      </c>
      <c r="U201" s="59">
        <f t="shared" si="164"/>
        <v>3.8736348958333334E-4</v>
      </c>
      <c r="V201" s="59">
        <f t="shared" si="164"/>
        <v>0.26229625000000006</v>
      </c>
      <c r="W201" s="59">
        <f t="shared" si="164"/>
        <v>0.20702500000000001</v>
      </c>
      <c r="X201" s="59">
        <f t="shared" si="164"/>
        <v>2.4437473958333334E-2</v>
      </c>
      <c r="Y201" s="59">
        <f t="shared" si="164"/>
        <v>1.2051364583333335E-4</v>
      </c>
      <c r="Z201" s="59">
        <f t="shared" si="164"/>
        <v>1.1557713541666667E-2</v>
      </c>
      <c r="AA201" s="59">
        <f t="shared" si="164"/>
        <v>-2.0743197916666669E-5</v>
      </c>
      <c r="AB201" s="59">
        <f t="shared" si="164"/>
        <v>1.8625432291666668E-8</v>
      </c>
      <c r="AC201" s="59">
        <f t="shared" si="164"/>
        <v>1.2967020833333333E-3</v>
      </c>
      <c r="AD201" s="59">
        <f t="shared" si="164"/>
        <v>8.6981963541666663E-4</v>
      </c>
      <c r="AE201" s="59">
        <f t="shared" si="164"/>
        <v>1.4610145833333333E-3</v>
      </c>
      <c r="AF201" s="59">
        <f t="shared" si="164"/>
        <v>2.9475619791666671E-5</v>
      </c>
      <c r="AG201" s="59">
        <f t="shared" si="164"/>
        <v>2.5009812500000005E-3</v>
      </c>
      <c r="AH201" s="59">
        <f t="shared" si="164"/>
        <v>2.5224296875000001E-3</v>
      </c>
    </row>
    <row r="202" spans="2:34" x14ac:dyDescent="0.25">
      <c r="B202" t="s">
        <v>593</v>
      </c>
      <c r="C202" t="str">
        <f>'[3]LCIA-Elec'!BJ96</f>
        <v>6_Hub_70%IP</v>
      </c>
      <c r="D202">
        <f>'[3]LCIA-Elec'!$AF$68/$A$3</f>
        <v>0.29765013054830286</v>
      </c>
      <c r="E202" t="s">
        <v>105</v>
      </c>
      <c r="F202" t="s">
        <v>829</v>
      </c>
      <c r="G202">
        <f>'[3]LCIA-Elec'!BK96</f>
        <v>0.53768126982456144</v>
      </c>
      <c r="H202">
        <f>'[3]LCIA-Elec'!BL96</f>
        <v>0.22399980421052632</v>
      </c>
      <c r="I202">
        <f>'[3]LCIA-Elec'!BM96</f>
        <v>6.6350709578947384</v>
      </c>
      <c r="J202">
        <f>'[3]LCIA-Elec'!BN96</f>
        <v>2.6874792309824563E-2</v>
      </c>
      <c r="K202">
        <f>'[3]LCIA-Elec'!BO96</f>
        <v>2.0985196307017548</v>
      </c>
      <c r="L202">
        <f>'[3]LCIA-Elec'!BP96</f>
        <v>2.577972607368421E-4</v>
      </c>
      <c r="M202">
        <f>'[3]LCIA-Elec'!BQ96</f>
        <v>0.12449935713157893</v>
      </c>
      <c r="N202">
        <f>'[3]LCIA-Elec'!BR96</f>
        <v>0.68854518533333342</v>
      </c>
      <c r="O202">
        <f>'[3]LCIA-Elec'!BS96</f>
        <v>0.44774710677192986</v>
      </c>
      <c r="P202">
        <f>'[3]LCIA-Elec'!BT96</f>
        <v>10.245514631614423</v>
      </c>
      <c r="Q202">
        <f>'[3]LCIA-Elec'!BU96</f>
        <v>3.5764878975438605E-2</v>
      </c>
      <c r="R202">
        <f>'[3]LCIA-Elec'!BV96</f>
        <v>0.53321082210526305</v>
      </c>
      <c r="S202">
        <f>'[3]LCIA-Elec'!BW96</f>
        <v>0.16832845122807019</v>
      </c>
      <c r="T202">
        <f>'[3]LCIA-Elec'!BX96</f>
        <v>3.002572533333334E-2</v>
      </c>
      <c r="U202">
        <f>'[3]LCIA-Elec'!BY96</f>
        <v>5.4473016035087721E-4</v>
      </c>
      <c r="V202">
        <f>'[3]LCIA-Elec'!BZ96</f>
        <v>0.35574694947368424</v>
      </c>
      <c r="W202">
        <f>'[3]LCIA-Elec'!CA96</f>
        <v>0.1427798463508772</v>
      </c>
      <c r="X202">
        <f>'[3]LCIA-Elec'!CB96</f>
        <v>2.6292098070175428E-2</v>
      </c>
      <c r="Y202">
        <f>'[3]LCIA-Elec'!CC96</f>
        <v>1.5703840157894737E-4</v>
      </c>
      <c r="Z202">
        <f>'[3]LCIA-Elec'!CD96</f>
        <v>1.1698956701754389E-2</v>
      </c>
      <c r="AA202">
        <f>'[3]LCIA-Elec'!CE96</f>
        <v>-3.6911308035087705E-5</v>
      </c>
      <c r="AB202">
        <f>'[3]LCIA-Elec'!CF96</f>
        <v>2.1208951263157896E-8</v>
      </c>
      <c r="AC202">
        <f>'[3]LCIA-Elec'!CG96</f>
        <v>1.480494463157895E-3</v>
      </c>
      <c r="AD202">
        <f>'[3]LCIA-Elec'!CH96</f>
        <v>9.7814759228070187E-4</v>
      </c>
      <c r="AE202">
        <f>'[3]LCIA-Elec'!CI96</f>
        <v>1.6265010000000002E-3</v>
      </c>
      <c r="AF202">
        <f>'[3]LCIA-Elec'!CJ96</f>
        <v>2.4339000210526311E-5</v>
      </c>
      <c r="AG202">
        <f>'[3]LCIA-Elec'!CK96</f>
        <v>2.186049492631579E-3</v>
      </c>
      <c r="AH202">
        <f>'[3]LCIA-Elec'!CL96</f>
        <v>4.773287087719299E-3</v>
      </c>
    </row>
    <row r="203" spans="2:34" x14ac:dyDescent="0.25">
      <c r="B203" t="str">
        <f>'[3]6_Hub_70%IP'!Y386</f>
        <v>Newark Liberty International Airport</v>
      </c>
      <c r="C203" t="str">
        <f t="shared" ref="C203:C208" si="165">C194</f>
        <v>market for electricity, low voltage, US-RFC</v>
      </c>
      <c r="D203">
        <f>'[3]6_Hub_70%IP'!$Z386/$A$3</f>
        <v>0.31592689295039167</v>
      </c>
      <c r="E203" t="str">
        <f t="shared" ref="E203:AH203" si="166">E194</f>
        <v>kWh</v>
      </c>
      <c r="F203" t="str">
        <f t="shared" si="166"/>
        <v>Ecoinvent v3.7.1</v>
      </c>
      <c r="G203">
        <f t="shared" si="166"/>
        <v>0.61436999999999997</v>
      </c>
      <c r="H203">
        <f t="shared" si="166"/>
        <v>8.2399E-2</v>
      </c>
      <c r="I203">
        <f t="shared" si="166"/>
        <v>6.7473999999999998</v>
      </c>
      <c r="J203">
        <f t="shared" si="166"/>
        <v>4.0428000000000003E-4</v>
      </c>
      <c r="K203">
        <f t="shared" si="166"/>
        <v>4.3425000000000002</v>
      </c>
      <c r="L203">
        <f t="shared" si="166"/>
        <v>1.3322000000000001E-5</v>
      </c>
      <c r="M203">
        <f t="shared" si="166"/>
        <v>1.5082999999999999E-2</v>
      </c>
      <c r="N203">
        <f t="shared" si="166"/>
        <v>6.8917000000000006E-2</v>
      </c>
      <c r="O203">
        <f t="shared" si="166"/>
        <v>0.1275</v>
      </c>
      <c r="P203">
        <f t="shared" si="166"/>
        <v>11.384216602</v>
      </c>
      <c r="Q203">
        <f t="shared" si="166"/>
        <v>1.3875999999999999E-2</v>
      </c>
      <c r="R203">
        <f t="shared" si="166"/>
        <v>0.60836999999999997</v>
      </c>
      <c r="S203">
        <f t="shared" si="166"/>
        <v>0.16855999999999999</v>
      </c>
      <c r="T203">
        <f t="shared" si="166"/>
        <v>2.7827999999999999E-2</v>
      </c>
      <c r="U203">
        <f t="shared" si="166"/>
        <v>3.4965000000000002E-4</v>
      </c>
      <c r="V203">
        <f t="shared" si="166"/>
        <v>0.24507000000000001</v>
      </c>
      <c r="W203">
        <f t="shared" si="166"/>
        <v>0.28216999999999998</v>
      </c>
      <c r="X203">
        <f t="shared" si="166"/>
        <v>2.3791E-2</v>
      </c>
      <c r="Y203">
        <f t="shared" si="166"/>
        <v>1.1882E-4</v>
      </c>
      <c r="Z203">
        <f t="shared" si="166"/>
        <v>1.1622E-2</v>
      </c>
      <c r="AA203">
        <f t="shared" si="166"/>
        <v>-2.4247999999999999E-5</v>
      </c>
      <c r="AB203">
        <f t="shared" si="166"/>
        <v>1.8053E-8</v>
      </c>
      <c r="AC203">
        <f t="shared" si="166"/>
        <v>1.1259E-3</v>
      </c>
      <c r="AD203">
        <f t="shared" si="166"/>
        <v>9.8528999999999999E-4</v>
      </c>
      <c r="AE203">
        <f t="shared" si="166"/>
        <v>1.8718000000000001E-3</v>
      </c>
      <c r="AF203">
        <f t="shared" si="166"/>
        <v>2.6829999999999999E-5</v>
      </c>
      <c r="AG203">
        <f t="shared" si="166"/>
        <v>2.5512999999999998E-3</v>
      </c>
      <c r="AH203">
        <f t="shared" si="166"/>
        <v>2.2418E-3</v>
      </c>
    </row>
    <row r="204" spans="2:34" x14ac:dyDescent="0.25">
      <c r="B204" t="str">
        <f>'[3]6_Hub_70%IP'!Y387</f>
        <v>Seattle-Tacoma International Airport</v>
      </c>
      <c r="C204" t="str">
        <f t="shared" si="165"/>
        <v>market for electricity, low voltage, US-WECC</v>
      </c>
      <c r="D204">
        <f>'[3]6_Hub_70%IP'!$Z387/$A$3</f>
        <v>6.0052219321148827E-2</v>
      </c>
      <c r="E204" t="str">
        <f t="shared" ref="E204:AH204" si="167">E195</f>
        <v>kWh</v>
      </c>
      <c r="F204" t="str">
        <f t="shared" si="167"/>
        <v>Ecoinvent v3.7.1</v>
      </c>
      <c r="G204">
        <f t="shared" si="167"/>
        <v>0.41233999999999998</v>
      </c>
      <c r="H204">
        <f t="shared" si="167"/>
        <v>0.16356000000000001</v>
      </c>
      <c r="I204">
        <f t="shared" si="167"/>
        <v>5.2107000000000001</v>
      </c>
      <c r="J204">
        <f t="shared" si="167"/>
        <v>0.15804000000000001</v>
      </c>
      <c r="K204">
        <f t="shared" si="167"/>
        <v>1.1274</v>
      </c>
      <c r="L204">
        <f t="shared" si="167"/>
        <v>1.7768999999999999E-5</v>
      </c>
      <c r="M204">
        <f t="shared" si="167"/>
        <v>0.32883000000000001</v>
      </c>
      <c r="N204">
        <f t="shared" si="167"/>
        <v>1.0143</v>
      </c>
      <c r="O204">
        <f t="shared" si="167"/>
        <v>0.29749999999999999</v>
      </c>
      <c r="P204">
        <f t="shared" si="167"/>
        <v>8.300347769</v>
      </c>
      <c r="Q204">
        <f t="shared" si="167"/>
        <v>2.4857000000000001E-2</v>
      </c>
      <c r="R204">
        <f t="shared" si="167"/>
        <v>0.40821000000000002</v>
      </c>
      <c r="S204">
        <f t="shared" si="167"/>
        <v>0.13331000000000001</v>
      </c>
      <c r="T204">
        <f t="shared" si="167"/>
        <v>2.9420000000000002E-2</v>
      </c>
      <c r="U204">
        <f t="shared" si="167"/>
        <v>4.3196E-4</v>
      </c>
      <c r="V204">
        <f t="shared" si="167"/>
        <v>0.27927000000000002</v>
      </c>
      <c r="W204">
        <f t="shared" si="167"/>
        <v>7.3639999999999997E-2</v>
      </c>
      <c r="X204">
        <f t="shared" si="167"/>
        <v>2.5277999999999998E-2</v>
      </c>
      <c r="Y204">
        <f t="shared" si="167"/>
        <v>1.1887000000000001E-4</v>
      </c>
      <c r="Z204">
        <f t="shared" si="167"/>
        <v>1.1467E-2</v>
      </c>
      <c r="AA204">
        <f t="shared" si="167"/>
        <v>-1.4652E-5</v>
      </c>
      <c r="AB204">
        <f t="shared" si="167"/>
        <v>1.7493E-8</v>
      </c>
      <c r="AC204">
        <f t="shared" si="167"/>
        <v>1.5398E-3</v>
      </c>
      <c r="AD204">
        <f t="shared" si="167"/>
        <v>6.7785999999999996E-4</v>
      </c>
      <c r="AE204">
        <f t="shared" si="167"/>
        <v>7.8450000000000004E-4</v>
      </c>
      <c r="AF204">
        <f t="shared" si="167"/>
        <v>3.1801999999999998E-5</v>
      </c>
      <c r="AG204">
        <f t="shared" si="167"/>
        <v>2.3995000000000002E-3</v>
      </c>
      <c r="AH204">
        <f t="shared" si="167"/>
        <v>3.0509000000000001E-3</v>
      </c>
    </row>
    <row r="205" spans="2:34" x14ac:dyDescent="0.25">
      <c r="B205" t="str">
        <f>'[3]6_Hub_70%IP'!Y388</f>
        <v>Hartsfield-Jackson Atlanta International Airport</v>
      </c>
      <c r="C205" t="str">
        <f t="shared" si="165"/>
        <v>market for electricity, low voltage, US-SERC</v>
      </c>
      <c r="D205">
        <f>'[3]6_Hub_70%IP'!$Z388/$A$3</f>
        <v>6.0052219321148827E-2</v>
      </c>
      <c r="E205" t="str">
        <f t="shared" ref="E205:AH205" si="168">E196</f>
        <v>kWh</v>
      </c>
      <c r="F205" t="str">
        <f t="shared" si="168"/>
        <v>Ecoinvent v3.7.1</v>
      </c>
      <c r="G205">
        <f t="shared" si="168"/>
        <v>0.6169</v>
      </c>
      <c r="H205">
        <f t="shared" si="168"/>
        <v>0.40769</v>
      </c>
      <c r="I205">
        <f t="shared" si="168"/>
        <v>7.625</v>
      </c>
      <c r="J205">
        <f t="shared" si="168"/>
        <v>4.4949999999999998E-4</v>
      </c>
      <c r="K205">
        <f t="shared" si="168"/>
        <v>3.7017000000000002</v>
      </c>
      <c r="L205">
        <f t="shared" si="168"/>
        <v>2.8177000000000001E-5</v>
      </c>
      <c r="M205">
        <f t="shared" si="168"/>
        <v>5.8786999999999999E-2</v>
      </c>
      <c r="N205">
        <f t="shared" si="168"/>
        <v>0.17446</v>
      </c>
      <c r="O205">
        <f t="shared" si="168"/>
        <v>2.0888E-2</v>
      </c>
      <c r="P205">
        <f t="shared" si="168"/>
        <v>11.989002677000002</v>
      </c>
      <c r="Q205">
        <f t="shared" si="168"/>
        <v>5.7922000000000001E-2</v>
      </c>
      <c r="R205">
        <f t="shared" si="168"/>
        <v>0.61051</v>
      </c>
      <c r="S205">
        <f t="shared" si="168"/>
        <v>0.19485</v>
      </c>
      <c r="T205">
        <f t="shared" si="168"/>
        <v>2.9537999999999998E-2</v>
      </c>
      <c r="U205">
        <f t="shared" si="168"/>
        <v>4.3969000000000001E-4</v>
      </c>
      <c r="V205">
        <f t="shared" si="168"/>
        <v>0.29670999999999997</v>
      </c>
      <c r="W205">
        <f t="shared" si="168"/>
        <v>0.24057999999999999</v>
      </c>
      <c r="X205">
        <f t="shared" si="168"/>
        <v>2.5099E-2</v>
      </c>
      <c r="Y205">
        <f t="shared" si="168"/>
        <v>1.3415000000000001E-4</v>
      </c>
      <c r="Z205">
        <f t="shared" si="168"/>
        <v>1.1514E-2</v>
      </c>
      <c r="AA205">
        <f t="shared" si="168"/>
        <v>-2.1906E-5</v>
      </c>
      <c r="AB205">
        <f t="shared" si="168"/>
        <v>2.5019999999999998E-8</v>
      </c>
      <c r="AC205">
        <f t="shared" si="168"/>
        <v>1.4063999999999999E-3</v>
      </c>
      <c r="AD205">
        <f t="shared" si="168"/>
        <v>8.8113000000000004E-4</v>
      </c>
      <c r="AE205">
        <f t="shared" si="168"/>
        <v>1.4815E-3</v>
      </c>
      <c r="AF205">
        <f t="shared" si="168"/>
        <v>3.5629000000000001E-5</v>
      </c>
      <c r="AG205">
        <f t="shared" si="168"/>
        <v>2.5611000000000002E-3</v>
      </c>
      <c r="AH205">
        <f t="shared" si="168"/>
        <v>2.3032E-3</v>
      </c>
    </row>
    <row r="206" spans="2:34" x14ac:dyDescent="0.25">
      <c r="B206" t="str">
        <f>'[3]6_Hub_70%IP'!Y389</f>
        <v>San Francisco International Airport</v>
      </c>
      <c r="C206" t="str">
        <f t="shared" si="165"/>
        <v>market for electricity, low voltage, US-WECC</v>
      </c>
      <c r="D206">
        <f>'[3]6_Hub_70%IP'!$Z389/$A$3</f>
        <v>5.2219321148825062E-2</v>
      </c>
      <c r="E206" t="str">
        <f t="shared" ref="E206:AH206" si="169">E197</f>
        <v>kWh</v>
      </c>
      <c r="F206" t="str">
        <f t="shared" si="169"/>
        <v>Ecoinvent v3.7.1</v>
      </c>
      <c r="G206">
        <f t="shared" si="169"/>
        <v>0.41233999999999998</v>
      </c>
      <c r="H206">
        <f t="shared" si="169"/>
        <v>0.16356000000000001</v>
      </c>
      <c r="I206">
        <f t="shared" si="169"/>
        <v>5.2107000000000001</v>
      </c>
      <c r="J206">
        <f t="shared" si="169"/>
        <v>0.15804000000000001</v>
      </c>
      <c r="K206">
        <f t="shared" si="169"/>
        <v>1.1274</v>
      </c>
      <c r="L206">
        <f t="shared" si="169"/>
        <v>1.7768999999999999E-5</v>
      </c>
      <c r="M206">
        <f t="shared" si="169"/>
        <v>0.32883000000000001</v>
      </c>
      <c r="N206">
        <f t="shared" si="169"/>
        <v>1.0143</v>
      </c>
      <c r="O206">
        <f t="shared" si="169"/>
        <v>0.29749999999999999</v>
      </c>
      <c r="P206">
        <f t="shared" si="169"/>
        <v>8.300347769</v>
      </c>
      <c r="Q206">
        <f t="shared" si="169"/>
        <v>2.4857000000000001E-2</v>
      </c>
      <c r="R206">
        <f t="shared" si="169"/>
        <v>0.40821000000000002</v>
      </c>
      <c r="S206">
        <f t="shared" si="169"/>
        <v>0.13331000000000001</v>
      </c>
      <c r="T206">
        <f t="shared" si="169"/>
        <v>2.9420000000000002E-2</v>
      </c>
      <c r="U206">
        <f t="shared" si="169"/>
        <v>4.3196E-4</v>
      </c>
      <c r="V206">
        <f t="shared" si="169"/>
        <v>0.27927000000000002</v>
      </c>
      <c r="W206">
        <f t="shared" si="169"/>
        <v>7.3639999999999997E-2</v>
      </c>
      <c r="X206">
        <f t="shared" si="169"/>
        <v>2.5277999999999998E-2</v>
      </c>
      <c r="Y206">
        <f t="shared" si="169"/>
        <v>1.1887000000000001E-4</v>
      </c>
      <c r="Z206">
        <f t="shared" si="169"/>
        <v>1.1467E-2</v>
      </c>
      <c r="AA206">
        <f t="shared" si="169"/>
        <v>-1.4652E-5</v>
      </c>
      <c r="AB206">
        <f t="shared" si="169"/>
        <v>1.7493E-8</v>
      </c>
      <c r="AC206">
        <f t="shared" si="169"/>
        <v>1.5398E-3</v>
      </c>
      <c r="AD206">
        <f t="shared" si="169"/>
        <v>6.7785999999999996E-4</v>
      </c>
      <c r="AE206">
        <f t="shared" si="169"/>
        <v>7.8450000000000004E-4</v>
      </c>
      <c r="AF206">
        <f t="shared" si="169"/>
        <v>3.1801999999999998E-5</v>
      </c>
      <c r="AG206">
        <f t="shared" si="169"/>
        <v>2.3995000000000002E-3</v>
      </c>
      <c r="AH206">
        <f t="shared" si="169"/>
        <v>3.0509000000000001E-3</v>
      </c>
    </row>
    <row r="207" spans="2:34" x14ac:dyDescent="0.25">
      <c r="B207" t="str">
        <f>'[3]6_Hub_70%IP'!Y390</f>
        <v>O'Hare International Airport</v>
      </c>
      <c r="C207" t="str">
        <f t="shared" si="165"/>
        <v>market for electricity, low voltage, US-RFC</v>
      </c>
      <c r="D207">
        <f>'[3]6_Hub_70%IP'!$Z390/$A$3</f>
        <v>0.15404699738903394</v>
      </c>
      <c r="E207" t="str">
        <f t="shared" ref="E207:AH207" si="170">E198</f>
        <v>kWh</v>
      </c>
      <c r="F207" t="str">
        <f t="shared" si="170"/>
        <v>Ecoinvent v3.7.1</v>
      </c>
      <c r="G207">
        <f t="shared" si="170"/>
        <v>0.61436999999999997</v>
      </c>
      <c r="H207">
        <f t="shared" si="170"/>
        <v>8.2399E-2</v>
      </c>
      <c r="I207">
        <f t="shared" si="170"/>
        <v>6.7473999999999998</v>
      </c>
      <c r="J207">
        <f t="shared" si="170"/>
        <v>4.0428000000000003E-4</v>
      </c>
      <c r="K207">
        <f t="shared" si="170"/>
        <v>4.3425000000000002</v>
      </c>
      <c r="L207">
        <f t="shared" si="170"/>
        <v>1.3322000000000001E-5</v>
      </c>
      <c r="M207">
        <f t="shared" si="170"/>
        <v>1.5082999999999999E-2</v>
      </c>
      <c r="N207">
        <f t="shared" si="170"/>
        <v>6.8917000000000006E-2</v>
      </c>
      <c r="O207">
        <f t="shared" si="170"/>
        <v>0.1275</v>
      </c>
      <c r="P207">
        <f t="shared" si="170"/>
        <v>11.384216602</v>
      </c>
      <c r="Q207">
        <f t="shared" si="170"/>
        <v>1.3875999999999999E-2</v>
      </c>
      <c r="R207">
        <f t="shared" si="170"/>
        <v>0.60836999999999997</v>
      </c>
      <c r="S207">
        <f t="shared" si="170"/>
        <v>0.16855999999999999</v>
      </c>
      <c r="T207">
        <f t="shared" si="170"/>
        <v>2.7827999999999999E-2</v>
      </c>
      <c r="U207">
        <f t="shared" si="170"/>
        <v>3.4965000000000002E-4</v>
      </c>
      <c r="V207">
        <f t="shared" si="170"/>
        <v>0.24507000000000001</v>
      </c>
      <c r="W207">
        <f t="shared" si="170"/>
        <v>0.28216999999999998</v>
      </c>
      <c r="X207">
        <f t="shared" si="170"/>
        <v>2.3791E-2</v>
      </c>
      <c r="Y207">
        <f t="shared" si="170"/>
        <v>1.1882E-4</v>
      </c>
      <c r="Z207">
        <f t="shared" si="170"/>
        <v>1.1622E-2</v>
      </c>
      <c r="AA207">
        <f t="shared" si="170"/>
        <v>-2.4247999999999999E-5</v>
      </c>
      <c r="AB207">
        <f t="shared" si="170"/>
        <v>1.8053E-8</v>
      </c>
      <c r="AC207">
        <f t="shared" si="170"/>
        <v>1.1259E-3</v>
      </c>
      <c r="AD207">
        <f t="shared" si="170"/>
        <v>9.8528999999999999E-4</v>
      </c>
      <c r="AE207">
        <f t="shared" si="170"/>
        <v>1.8718000000000001E-3</v>
      </c>
      <c r="AF207">
        <f t="shared" si="170"/>
        <v>2.6829999999999999E-5</v>
      </c>
      <c r="AG207">
        <f t="shared" si="170"/>
        <v>2.5512999999999998E-3</v>
      </c>
      <c r="AH207">
        <f t="shared" si="170"/>
        <v>2.2418E-3</v>
      </c>
    </row>
    <row r="208" spans="2:34" x14ac:dyDescent="0.25">
      <c r="B208" t="str">
        <f>'[3]6_Hub_70%IP'!Y391</f>
        <v>Denver International Airport</v>
      </c>
      <c r="C208" t="str">
        <f t="shared" si="165"/>
        <v>market for electricity, low voltage, US-WECC</v>
      </c>
      <c r="D208">
        <f>'[3]6_Hub_70%IP'!$Z391/$A$3</f>
        <v>6.0052219321148827E-2</v>
      </c>
      <c r="E208" t="str">
        <f t="shared" ref="E208:AH208" si="171">E199</f>
        <v>kWh</v>
      </c>
      <c r="F208" t="str">
        <f t="shared" si="171"/>
        <v>Ecoinvent v3.7.1</v>
      </c>
      <c r="G208">
        <f t="shared" si="171"/>
        <v>0.41233999999999998</v>
      </c>
      <c r="H208">
        <f t="shared" si="171"/>
        <v>0.16356000000000001</v>
      </c>
      <c r="I208">
        <f t="shared" si="171"/>
        <v>5.2107000000000001</v>
      </c>
      <c r="J208">
        <f t="shared" si="171"/>
        <v>0.15804000000000001</v>
      </c>
      <c r="K208">
        <f t="shared" si="171"/>
        <v>1.1274</v>
      </c>
      <c r="L208">
        <f t="shared" si="171"/>
        <v>1.7768999999999999E-5</v>
      </c>
      <c r="M208">
        <f t="shared" si="171"/>
        <v>0.32883000000000001</v>
      </c>
      <c r="N208">
        <f t="shared" si="171"/>
        <v>1.0143</v>
      </c>
      <c r="O208">
        <f t="shared" si="171"/>
        <v>0.29749999999999999</v>
      </c>
      <c r="P208">
        <f t="shared" si="171"/>
        <v>8.300347769</v>
      </c>
      <c r="Q208">
        <f t="shared" si="171"/>
        <v>2.4857000000000001E-2</v>
      </c>
      <c r="R208">
        <f t="shared" si="171"/>
        <v>0.40821000000000002</v>
      </c>
      <c r="S208">
        <f t="shared" si="171"/>
        <v>0.13331000000000001</v>
      </c>
      <c r="T208">
        <f t="shared" si="171"/>
        <v>2.9420000000000002E-2</v>
      </c>
      <c r="U208">
        <f t="shared" si="171"/>
        <v>4.3196E-4</v>
      </c>
      <c r="V208">
        <f t="shared" si="171"/>
        <v>0.27927000000000002</v>
      </c>
      <c r="W208">
        <f t="shared" si="171"/>
        <v>7.3639999999999997E-2</v>
      </c>
      <c r="X208">
        <f t="shared" si="171"/>
        <v>2.5277999999999998E-2</v>
      </c>
      <c r="Y208">
        <f t="shared" si="171"/>
        <v>1.1887000000000001E-4</v>
      </c>
      <c r="Z208">
        <f t="shared" si="171"/>
        <v>1.1467E-2</v>
      </c>
      <c r="AA208">
        <f t="shared" si="171"/>
        <v>-1.4652E-5</v>
      </c>
      <c r="AB208">
        <f t="shared" si="171"/>
        <v>1.7493E-8</v>
      </c>
      <c r="AC208">
        <f t="shared" si="171"/>
        <v>1.5398E-3</v>
      </c>
      <c r="AD208">
        <f t="shared" si="171"/>
        <v>6.7785999999999996E-4</v>
      </c>
      <c r="AE208">
        <f t="shared" si="171"/>
        <v>7.8450000000000004E-4</v>
      </c>
      <c r="AF208">
        <f t="shared" si="171"/>
        <v>3.1801999999999998E-5</v>
      </c>
      <c r="AG208">
        <f t="shared" si="171"/>
        <v>2.3995000000000002E-3</v>
      </c>
      <c r="AH208">
        <f t="shared" si="171"/>
        <v>3.0509000000000001E-3</v>
      </c>
    </row>
    <row r="209" spans="2:34" x14ac:dyDescent="0.25">
      <c r="B209" s="59" t="str">
        <f>C202</f>
        <v>6_Hub_70%IP</v>
      </c>
      <c r="C209" s="59" t="s">
        <v>806</v>
      </c>
      <c r="D209" s="59">
        <f>SUM(D202:D208)</f>
        <v>1</v>
      </c>
      <c r="E209" s="59" t="s">
        <v>105</v>
      </c>
      <c r="F209" s="59"/>
      <c r="G209" s="59">
        <f>SUMPRODUCT($D202:$D208,G202:G208)</f>
        <v>0.55688095237597912</v>
      </c>
      <c r="H209" s="59">
        <f t="shared" ref="H209:AH209" si="172">SUMPRODUCT($D202:$D208,H202:H208)</f>
        <v>0.158066913002611</v>
      </c>
      <c r="I209" s="59">
        <f t="shared" si="172"/>
        <v>6.5018571519582267</v>
      </c>
      <c r="J209" s="59">
        <f t="shared" si="172"/>
        <v>3.5450326953838117E-2</v>
      </c>
      <c r="K209" s="59">
        <f t="shared" si="172"/>
        <v>3.0820593678851176</v>
      </c>
      <c r="L209" s="59">
        <f t="shared" si="172"/>
        <v>8.7748492751958229E-5</v>
      </c>
      <c r="M209" s="59">
        <f t="shared" si="172"/>
        <v>0.10434137784073108</v>
      </c>
      <c r="N209" s="59">
        <f t="shared" si="172"/>
        <v>0.42259945464229765</v>
      </c>
      <c r="O209" s="59">
        <f t="shared" si="172"/>
        <v>0.24571434509660572</v>
      </c>
      <c r="P209" s="59">
        <f t="shared" si="172"/>
        <v>10.550176685872179</v>
      </c>
      <c r="Q209" s="59">
        <f t="shared" si="172"/>
        <v>2.4928574943080942E-2</v>
      </c>
      <c r="R209" s="59">
        <f t="shared" si="172"/>
        <v>0.55163504887728454</v>
      </c>
      <c r="S209" s="59">
        <f t="shared" si="172"/>
        <v>0.16399543979112272</v>
      </c>
      <c r="T209" s="59">
        <f t="shared" si="172"/>
        <v>2.8859181953002608E-2</v>
      </c>
      <c r="U209" s="59">
        <f t="shared" si="172"/>
        <v>4.2730670569190608E-4</v>
      </c>
      <c r="V209" s="59">
        <f t="shared" si="172"/>
        <v>0.28700757765013057</v>
      </c>
      <c r="W209" s="59">
        <f t="shared" si="172"/>
        <v>0.20224825713838121</v>
      </c>
      <c r="X209" s="59">
        <f t="shared" si="172"/>
        <v>2.4870245900783284E-2</v>
      </c>
      <c r="Y209" s="59">
        <f t="shared" si="172"/>
        <v>1.3112492892950392E-4</v>
      </c>
      <c r="Z209" s="59">
        <f t="shared" si="172"/>
        <v>1.1611710349869454E-2</v>
      </c>
      <c r="AA209" s="59">
        <f t="shared" si="172"/>
        <v>-2.6222974193211483E-5</v>
      </c>
      <c r="AB209" s="59">
        <f t="shared" si="172"/>
        <v>1.9314251812010442E-8</v>
      </c>
      <c r="AC209" s="59">
        <f t="shared" si="172"/>
        <v>1.3196145399477807E-3</v>
      </c>
      <c r="AD209" s="59">
        <f t="shared" si="172"/>
        <v>9.2393152877284605E-4</v>
      </c>
      <c r="AE209" s="59">
        <f t="shared" si="172"/>
        <v>1.5879807154046998E-3</v>
      </c>
      <c r="AF209" s="59">
        <f t="shared" si="172"/>
        <v>2.7473746798955615E-5</v>
      </c>
      <c r="AG209" s="59">
        <f t="shared" si="172"/>
        <v>2.4170129038120105E-3</v>
      </c>
      <c r="AH209" s="59">
        <f t="shared" si="172"/>
        <v>3.1384118224543085E-3</v>
      </c>
    </row>
    <row r="210" spans="2:34" x14ac:dyDescent="0.25">
      <c r="B210" s="59" t="str">
        <f>B209</f>
        <v>6_Hub_70%IP</v>
      </c>
      <c r="C210" s="59"/>
      <c r="D210" s="59"/>
      <c r="E210" s="59"/>
      <c r="F210" s="59"/>
      <c r="G210" s="59">
        <f>SUMPRODUCT($D203:$D208,G203:G208)/SUM($D203:$D208)</f>
        <v>0.56501762081784379</v>
      </c>
      <c r="H210" s="59">
        <f t="shared" ref="H210:AH210" si="173">SUMPRODUCT($D203:$D208,H203:H208)/SUM($D203:$D208)</f>
        <v>0.13012509293680297</v>
      </c>
      <c r="I210" s="59">
        <f t="shared" si="173"/>
        <v>6.4454022304832712</v>
      </c>
      <c r="J210" s="59">
        <f t="shared" si="173"/>
        <v>3.9084568401486983E-2</v>
      </c>
      <c r="K210" s="59">
        <f t="shared" si="173"/>
        <v>3.4988754646840148</v>
      </c>
      <c r="L210" s="59">
        <f t="shared" si="173"/>
        <v>1.56832156133829E-5</v>
      </c>
      <c r="M210" s="59">
        <f t="shared" si="173"/>
        <v>9.5798591078066916E-2</v>
      </c>
      <c r="N210" s="59">
        <f t="shared" si="173"/>
        <v>0.30989382899628248</v>
      </c>
      <c r="O210" s="59">
        <f t="shared" si="173"/>
        <v>0.16009451301115238</v>
      </c>
      <c r="P210" s="59">
        <f t="shared" si="173"/>
        <v>10.679289972806691</v>
      </c>
      <c r="Q210" s="59">
        <f t="shared" si="173"/>
        <v>2.0336237918215611E-2</v>
      </c>
      <c r="R210" s="59">
        <f t="shared" si="173"/>
        <v>0.55944308550185873</v>
      </c>
      <c r="S210" s="59">
        <f t="shared" si="173"/>
        <v>0.16215914498141262</v>
      </c>
      <c r="T210" s="59">
        <f t="shared" si="173"/>
        <v>2.8364810408921928E-2</v>
      </c>
      <c r="U210" s="59">
        <f t="shared" si="173"/>
        <v>3.7754360594795537E-4</v>
      </c>
      <c r="V210" s="59">
        <f t="shared" si="173"/>
        <v>0.2578763940520446</v>
      </c>
      <c r="W210" s="59">
        <f t="shared" si="173"/>
        <v>0.22745048327137543</v>
      </c>
      <c r="X210" s="59">
        <f t="shared" si="173"/>
        <v>2.4267676579925648E-2</v>
      </c>
      <c r="Y210" s="59">
        <f t="shared" si="173"/>
        <v>1.2014301115241637E-4</v>
      </c>
      <c r="Z210" s="59">
        <f t="shared" si="173"/>
        <v>1.1574736059479554E-2</v>
      </c>
      <c r="AA210" s="59">
        <f t="shared" si="173"/>
        <v>-2.1693345724907057E-5</v>
      </c>
      <c r="AB210" s="59">
        <f t="shared" si="173"/>
        <v>1.8511293680297397E-8</v>
      </c>
      <c r="AC210" s="59">
        <f t="shared" si="173"/>
        <v>1.2514349442379182E-3</v>
      </c>
      <c r="AD210" s="59">
        <f t="shared" si="173"/>
        <v>9.0095520446096655E-4</v>
      </c>
      <c r="AE210" s="59">
        <f t="shared" si="173"/>
        <v>1.5716561338289961E-3</v>
      </c>
      <c r="AF210" s="59">
        <f t="shared" si="173"/>
        <v>2.8802226765799253E-5</v>
      </c>
      <c r="AG210" s="59">
        <f t="shared" si="173"/>
        <v>2.5148933085501857E-3</v>
      </c>
      <c r="AH210" s="59">
        <f t="shared" si="173"/>
        <v>2.4455650557620814E-3</v>
      </c>
    </row>
    <row r="211" spans="2:34" x14ac:dyDescent="0.25">
      <c r="B211" t="s">
        <v>593</v>
      </c>
      <c r="C211" t="str">
        <f>'[3]LCIA-Elec'!BJ97</f>
        <v>6_Hub_90%IP</v>
      </c>
      <c r="D211">
        <f>'[3]LCIA-Elec'!$AG$68/$A$3</f>
        <v>9.921671018276762E-2</v>
      </c>
      <c r="E211" t="s">
        <v>105</v>
      </c>
      <c r="F211" t="s">
        <v>829</v>
      </c>
      <c r="G211">
        <f>'[3]LCIA-Elec'!BK97</f>
        <v>0.53234689473684227</v>
      </c>
      <c r="H211">
        <f>'[3]LCIA-Elec'!BL97</f>
        <v>0.20555398947368422</v>
      </c>
      <c r="I211">
        <f>'[3]LCIA-Elec'!BM97</f>
        <v>6.8692999999999991</v>
      </c>
      <c r="J211">
        <f>'[3]LCIA-Elec'!BN97</f>
        <v>3.5690825263157901E-2</v>
      </c>
      <c r="K211">
        <f>'[3]LCIA-Elec'!BO97</f>
        <v>2.0527547447368422</v>
      </c>
      <c r="L211">
        <f>'[3]LCIA-Elec'!BP97</f>
        <v>7.1822021052631577E-4</v>
      </c>
      <c r="M211">
        <f>'[3]LCIA-Elec'!BQ97</f>
        <v>0.11188999376315791</v>
      </c>
      <c r="N211">
        <f>'[3]LCIA-Elec'!BR97</f>
        <v>0.83971857894736834</v>
      </c>
      <c r="O211">
        <f>'[3]LCIA-Elec'!BS97</f>
        <v>0.35533979210526317</v>
      </c>
      <c r="P211">
        <f>'[3]LCIA-Elec'!BT97</f>
        <v>10.4709661445</v>
      </c>
      <c r="Q211">
        <f>'[3]LCIA-Elec'!BU97</f>
        <v>3.2855865789473693E-2</v>
      </c>
      <c r="R211">
        <f>'[3]LCIA-Elec'!BV97</f>
        <v>0.52697621052631582</v>
      </c>
      <c r="S211">
        <f>'[3]LCIA-Elec'!BW97</f>
        <v>0.17551682105263158</v>
      </c>
      <c r="T211">
        <f>'[3]LCIA-Elec'!BX97</f>
        <v>2.7785973684210534E-2</v>
      </c>
      <c r="U211">
        <f>'[3]LCIA-Elec'!BY97</f>
        <v>3.1727768421052632E-4</v>
      </c>
      <c r="V211">
        <f>'[3]LCIA-Elec'!BZ97</f>
        <v>0.22652360526315785</v>
      </c>
      <c r="W211">
        <f>'[3]LCIA-Elec'!CA97</f>
        <v>0.14490292368421054</v>
      </c>
      <c r="X211">
        <f>'[3]LCIA-Elec'!CB97</f>
        <v>2.3980236842105266E-2</v>
      </c>
      <c r="Y211">
        <f>'[3]LCIA-Elec'!CC97</f>
        <v>1.2013735526315789E-4</v>
      </c>
      <c r="Z211">
        <f>'[3]LCIA-Elec'!CD97</f>
        <v>1.1817715789473687E-2</v>
      </c>
      <c r="AA211">
        <f>'[3]LCIA-Elec'!CE97</f>
        <v>-2.9427894736842106E-5</v>
      </c>
      <c r="AB211">
        <f>'[3]LCIA-Elec'!CF97</f>
        <v>2.5994249999999998E-8</v>
      </c>
      <c r="AC211">
        <f>'[3]LCIA-Elec'!CG97</f>
        <v>1.2811040526315787E-3</v>
      </c>
      <c r="AD211">
        <f>'[3]LCIA-Elec'!CH97</f>
        <v>1.1153986842105264E-3</v>
      </c>
      <c r="AE211">
        <f>'[3]LCIA-Elec'!CI97</f>
        <v>1.8025255263157895E-3</v>
      </c>
      <c r="AF211">
        <f>'[3]LCIA-Elec'!CJ97</f>
        <v>2.9842152631578945E-5</v>
      </c>
      <c r="AG211">
        <f>'[3]LCIA-Elec'!CK97</f>
        <v>2.3159744736842101E-3</v>
      </c>
      <c r="AH211">
        <f>'[3]LCIA-Elec'!CL97</f>
        <v>5.6676255263157886E-3</v>
      </c>
    </row>
    <row r="212" spans="2:34" x14ac:dyDescent="0.25">
      <c r="B212" t="str">
        <f>'[3]6_Hub_90%IP'!Y386</f>
        <v>Flughafen Frankfurt/Main</v>
      </c>
      <c r="C212" t="str">
        <f>C168</f>
        <v>market for electricity, low voltage, DE</v>
      </c>
      <c r="D212">
        <f>'[3]6_Hub_90%IP'!$Z386/$A$3</f>
        <v>6.2663185378590072E-2</v>
      </c>
      <c r="E212" t="str">
        <f t="shared" ref="E212:AH212" si="174">E168</f>
        <v>kWh</v>
      </c>
      <c r="F212" t="str">
        <f t="shared" si="174"/>
        <v>Ecoinvent v3.7.1</v>
      </c>
      <c r="G212">
        <f t="shared" si="174"/>
        <v>0.54196</v>
      </c>
      <c r="H212">
        <f t="shared" si="174"/>
        <v>0.14645</v>
      </c>
      <c r="I212">
        <f t="shared" si="174"/>
        <v>6.0651000000000002</v>
      </c>
      <c r="J212">
        <f t="shared" si="174"/>
        <v>2.5809000000000001E-3</v>
      </c>
      <c r="K212">
        <f t="shared" si="174"/>
        <v>1.7815000000000001</v>
      </c>
      <c r="L212">
        <f t="shared" si="174"/>
        <v>3.0886999999999998E-5</v>
      </c>
      <c r="M212">
        <f t="shared" si="174"/>
        <v>0.46137</v>
      </c>
      <c r="N212">
        <f t="shared" si="174"/>
        <v>0.20688000000000001</v>
      </c>
      <c r="O212">
        <f t="shared" si="174"/>
        <v>0.72643999999999997</v>
      </c>
      <c r="P212">
        <f t="shared" si="174"/>
        <v>9.3903517870000002</v>
      </c>
      <c r="Q212">
        <f t="shared" si="174"/>
        <v>2.2039E-2</v>
      </c>
      <c r="R212">
        <f t="shared" si="174"/>
        <v>0.53620000000000001</v>
      </c>
      <c r="S212">
        <f t="shared" si="174"/>
        <v>0.14494000000000001</v>
      </c>
      <c r="T212">
        <f t="shared" si="174"/>
        <v>3.6583999999999998E-2</v>
      </c>
      <c r="U212">
        <f t="shared" si="174"/>
        <v>7.9215000000000004E-4</v>
      </c>
      <c r="V212">
        <f t="shared" si="174"/>
        <v>0.49026999999999998</v>
      </c>
      <c r="W212">
        <f t="shared" si="174"/>
        <v>9.1795000000000002E-2</v>
      </c>
      <c r="X212">
        <f t="shared" si="174"/>
        <v>3.2615999999999999E-2</v>
      </c>
      <c r="Y212">
        <f t="shared" si="174"/>
        <v>2.0006000000000001E-4</v>
      </c>
      <c r="Z212">
        <f t="shared" si="174"/>
        <v>1.4718E-2</v>
      </c>
      <c r="AA212">
        <f t="shared" si="174"/>
        <v>-2.1696E-5</v>
      </c>
      <c r="AB212">
        <f t="shared" si="174"/>
        <v>1.267E-8</v>
      </c>
      <c r="AC212">
        <f t="shared" si="174"/>
        <v>3.369E-4</v>
      </c>
      <c r="AD212">
        <f t="shared" si="174"/>
        <v>7.2397E-4</v>
      </c>
      <c r="AE212">
        <f t="shared" si="174"/>
        <v>9.6077000000000001E-4</v>
      </c>
      <c r="AF212">
        <f t="shared" si="174"/>
        <v>2.8184999999999999E-5</v>
      </c>
      <c r="AG212">
        <f t="shared" si="174"/>
        <v>3.2648999999999998E-3</v>
      </c>
      <c r="AH212">
        <f t="shared" si="174"/>
        <v>2.3346999999999999E-3</v>
      </c>
    </row>
    <row r="213" spans="2:34" x14ac:dyDescent="0.25">
      <c r="B213" t="str">
        <f>'[3]6_Hub_90%IP'!Y387</f>
        <v>Newark Liberty International Airport</v>
      </c>
      <c r="C213" t="str">
        <f>C203</f>
        <v>market for electricity, low voltage, US-RFC</v>
      </c>
      <c r="D213">
        <f>'[3]6_Hub_90%IP'!$Z387/$A$3</f>
        <v>0.36031331592689297</v>
      </c>
      <c r="E213" t="str">
        <f t="shared" ref="E213:AH213" si="175">E203</f>
        <v>kWh</v>
      </c>
      <c r="F213" t="str">
        <f t="shared" si="175"/>
        <v>Ecoinvent v3.7.1</v>
      </c>
      <c r="G213">
        <f t="shared" si="175"/>
        <v>0.61436999999999997</v>
      </c>
      <c r="H213">
        <f t="shared" si="175"/>
        <v>8.2399E-2</v>
      </c>
      <c r="I213">
        <f t="shared" si="175"/>
        <v>6.7473999999999998</v>
      </c>
      <c r="J213">
        <f t="shared" si="175"/>
        <v>4.0428000000000003E-4</v>
      </c>
      <c r="K213">
        <f t="shared" si="175"/>
        <v>4.3425000000000002</v>
      </c>
      <c r="L213">
        <f t="shared" si="175"/>
        <v>1.3322000000000001E-5</v>
      </c>
      <c r="M213">
        <f t="shared" si="175"/>
        <v>1.5082999999999999E-2</v>
      </c>
      <c r="N213">
        <f t="shared" si="175"/>
        <v>6.8917000000000006E-2</v>
      </c>
      <c r="O213">
        <f t="shared" si="175"/>
        <v>0.1275</v>
      </c>
      <c r="P213">
        <f t="shared" si="175"/>
        <v>11.384216602</v>
      </c>
      <c r="Q213">
        <f t="shared" si="175"/>
        <v>1.3875999999999999E-2</v>
      </c>
      <c r="R213">
        <f t="shared" si="175"/>
        <v>0.60836999999999997</v>
      </c>
      <c r="S213">
        <f t="shared" si="175"/>
        <v>0.16855999999999999</v>
      </c>
      <c r="T213">
        <f t="shared" si="175"/>
        <v>2.7827999999999999E-2</v>
      </c>
      <c r="U213">
        <f t="shared" si="175"/>
        <v>3.4965000000000002E-4</v>
      </c>
      <c r="V213">
        <f t="shared" si="175"/>
        <v>0.24507000000000001</v>
      </c>
      <c r="W213">
        <f t="shared" si="175"/>
        <v>0.28216999999999998</v>
      </c>
      <c r="X213">
        <f t="shared" si="175"/>
        <v>2.3791E-2</v>
      </c>
      <c r="Y213">
        <f t="shared" si="175"/>
        <v>1.1882E-4</v>
      </c>
      <c r="Z213">
        <f t="shared" si="175"/>
        <v>1.1622E-2</v>
      </c>
      <c r="AA213">
        <f t="shared" si="175"/>
        <v>-2.4247999999999999E-5</v>
      </c>
      <c r="AB213">
        <f t="shared" si="175"/>
        <v>1.8053E-8</v>
      </c>
      <c r="AC213">
        <f t="shared" si="175"/>
        <v>1.1259E-3</v>
      </c>
      <c r="AD213">
        <f t="shared" si="175"/>
        <v>9.8528999999999999E-4</v>
      </c>
      <c r="AE213">
        <f t="shared" si="175"/>
        <v>1.8718000000000001E-3</v>
      </c>
      <c r="AF213">
        <f t="shared" si="175"/>
        <v>2.6829999999999999E-5</v>
      </c>
      <c r="AG213">
        <f t="shared" si="175"/>
        <v>2.5512999999999998E-3</v>
      </c>
      <c r="AH213">
        <f t="shared" si="175"/>
        <v>2.2418E-3</v>
      </c>
    </row>
    <row r="214" spans="2:34" x14ac:dyDescent="0.25">
      <c r="B214" t="str">
        <f>'[3]6_Hub_90%IP'!Y388</f>
        <v>Seattle-Tacoma International Airport</v>
      </c>
      <c r="C214" t="str">
        <f>C204</f>
        <v>market for electricity, low voltage, US-WECC</v>
      </c>
      <c r="D214">
        <f>'[3]6_Hub_90%IP'!$Z388/$A$3</f>
        <v>9.1383812010443863E-2</v>
      </c>
      <c r="E214" t="str">
        <f t="shared" ref="E214:AH214" si="176">E204</f>
        <v>kWh</v>
      </c>
      <c r="F214" t="str">
        <f t="shared" si="176"/>
        <v>Ecoinvent v3.7.1</v>
      </c>
      <c r="G214">
        <f t="shared" si="176"/>
        <v>0.41233999999999998</v>
      </c>
      <c r="H214">
        <f t="shared" si="176"/>
        <v>0.16356000000000001</v>
      </c>
      <c r="I214">
        <f t="shared" si="176"/>
        <v>5.2107000000000001</v>
      </c>
      <c r="J214">
        <f t="shared" si="176"/>
        <v>0.15804000000000001</v>
      </c>
      <c r="K214">
        <f t="shared" si="176"/>
        <v>1.1274</v>
      </c>
      <c r="L214">
        <f t="shared" si="176"/>
        <v>1.7768999999999999E-5</v>
      </c>
      <c r="M214">
        <f t="shared" si="176"/>
        <v>0.32883000000000001</v>
      </c>
      <c r="N214">
        <f t="shared" si="176"/>
        <v>1.0143</v>
      </c>
      <c r="O214">
        <f t="shared" si="176"/>
        <v>0.29749999999999999</v>
      </c>
      <c r="P214">
        <f t="shared" si="176"/>
        <v>8.300347769</v>
      </c>
      <c r="Q214">
        <f t="shared" si="176"/>
        <v>2.4857000000000001E-2</v>
      </c>
      <c r="R214">
        <f t="shared" si="176"/>
        <v>0.40821000000000002</v>
      </c>
      <c r="S214">
        <f t="shared" si="176"/>
        <v>0.13331000000000001</v>
      </c>
      <c r="T214">
        <f t="shared" si="176"/>
        <v>2.9420000000000002E-2</v>
      </c>
      <c r="U214">
        <f t="shared" si="176"/>
        <v>4.3196E-4</v>
      </c>
      <c r="V214">
        <f t="shared" si="176"/>
        <v>0.27927000000000002</v>
      </c>
      <c r="W214">
        <f t="shared" si="176"/>
        <v>7.3639999999999997E-2</v>
      </c>
      <c r="X214">
        <f t="shared" si="176"/>
        <v>2.5277999999999998E-2</v>
      </c>
      <c r="Y214">
        <f t="shared" si="176"/>
        <v>1.1887000000000001E-4</v>
      </c>
      <c r="Z214">
        <f t="shared" si="176"/>
        <v>1.1467E-2</v>
      </c>
      <c r="AA214">
        <f t="shared" si="176"/>
        <v>-1.4652E-5</v>
      </c>
      <c r="AB214">
        <f t="shared" si="176"/>
        <v>1.7493E-8</v>
      </c>
      <c r="AC214">
        <f t="shared" si="176"/>
        <v>1.5398E-3</v>
      </c>
      <c r="AD214">
        <f t="shared" si="176"/>
        <v>6.7785999999999996E-4</v>
      </c>
      <c r="AE214">
        <f t="shared" si="176"/>
        <v>7.8450000000000004E-4</v>
      </c>
      <c r="AF214">
        <f t="shared" si="176"/>
        <v>3.1801999999999998E-5</v>
      </c>
      <c r="AG214">
        <f t="shared" si="176"/>
        <v>2.3995000000000002E-3</v>
      </c>
      <c r="AH214">
        <f t="shared" si="176"/>
        <v>3.0509000000000001E-3</v>
      </c>
    </row>
    <row r="215" spans="2:34" x14ac:dyDescent="0.25">
      <c r="B215" t="str">
        <f>'[3]6_Hub_90%IP'!Y389</f>
        <v>San Francisco International Airport</v>
      </c>
      <c r="C215" t="str">
        <f>C206</f>
        <v>market for electricity, low voltage, US-WECC</v>
      </c>
      <c r="D215">
        <f>'[3]6_Hub_90%IP'!$Z389/$A$3</f>
        <v>6.5274151436031339E-2</v>
      </c>
      <c r="E215" t="str">
        <f t="shared" ref="E215:AH215" si="177">E206</f>
        <v>kWh</v>
      </c>
      <c r="F215" t="str">
        <f t="shared" si="177"/>
        <v>Ecoinvent v3.7.1</v>
      </c>
      <c r="G215">
        <f t="shared" si="177"/>
        <v>0.41233999999999998</v>
      </c>
      <c r="H215">
        <f t="shared" si="177"/>
        <v>0.16356000000000001</v>
      </c>
      <c r="I215">
        <f t="shared" si="177"/>
        <v>5.2107000000000001</v>
      </c>
      <c r="J215">
        <f t="shared" si="177"/>
        <v>0.15804000000000001</v>
      </c>
      <c r="K215">
        <f t="shared" si="177"/>
        <v>1.1274</v>
      </c>
      <c r="L215">
        <f t="shared" si="177"/>
        <v>1.7768999999999999E-5</v>
      </c>
      <c r="M215">
        <f t="shared" si="177"/>
        <v>0.32883000000000001</v>
      </c>
      <c r="N215">
        <f t="shared" si="177"/>
        <v>1.0143</v>
      </c>
      <c r="O215">
        <f t="shared" si="177"/>
        <v>0.29749999999999999</v>
      </c>
      <c r="P215">
        <f t="shared" si="177"/>
        <v>8.300347769</v>
      </c>
      <c r="Q215">
        <f t="shared" si="177"/>
        <v>2.4857000000000001E-2</v>
      </c>
      <c r="R215">
        <f t="shared" si="177"/>
        <v>0.40821000000000002</v>
      </c>
      <c r="S215">
        <f t="shared" si="177"/>
        <v>0.13331000000000001</v>
      </c>
      <c r="T215">
        <f t="shared" si="177"/>
        <v>2.9420000000000002E-2</v>
      </c>
      <c r="U215">
        <f t="shared" si="177"/>
        <v>4.3196E-4</v>
      </c>
      <c r="V215">
        <f t="shared" si="177"/>
        <v>0.27927000000000002</v>
      </c>
      <c r="W215">
        <f t="shared" si="177"/>
        <v>7.3639999999999997E-2</v>
      </c>
      <c r="X215">
        <f t="shared" si="177"/>
        <v>2.5277999999999998E-2</v>
      </c>
      <c r="Y215">
        <f t="shared" si="177"/>
        <v>1.1887000000000001E-4</v>
      </c>
      <c r="Z215">
        <f t="shared" si="177"/>
        <v>1.1467E-2</v>
      </c>
      <c r="AA215">
        <f t="shared" si="177"/>
        <v>-1.4652E-5</v>
      </c>
      <c r="AB215">
        <f t="shared" si="177"/>
        <v>1.7493E-8</v>
      </c>
      <c r="AC215">
        <f t="shared" si="177"/>
        <v>1.5398E-3</v>
      </c>
      <c r="AD215">
        <f t="shared" si="177"/>
        <v>6.7785999999999996E-4</v>
      </c>
      <c r="AE215">
        <f t="shared" si="177"/>
        <v>7.8450000000000004E-4</v>
      </c>
      <c r="AF215">
        <f t="shared" si="177"/>
        <v>3.1801999999999998E-5</v>
      </c>
      <c r="AG215">
        <f t="shared" si="177"/>
        <v>2.3995000000000002E-3</v>
      </c>
      <c r="AH215">
        <f t="shared" si="177"/>
        <v>3.0509000000000001E-3</v>
      </c>
    </row>
    <row r="216" spans="2:34" x14ac:dyDescent="0.25">
      <c r="B216" t="str">
        <f>'[3]6_Hub_90%IP'!Y390</f>
        <v>O'Hare International Airport</v>
      </c>
      <c r="C216" t="str">
        <f>C207</f>
        <v>market for electricity, low voltage, US-RFC</v>
      </c>
      <c r="D216">
        <f>'[3]6_Hub_90%IP'!$Z390/$A$3</f>
        <v>0.24804177545691905</v>
      </c>
      <c r="E216" t="str">
        <f t="shared" ref="E216:AH216" si="178">E207</f>
        <v>kWh</v>
      </c>
      <c r="F216" t="str">
        <f t="shared" si="178"/>
        <v>Ecoinvent v3.7.1</v>
      </c>
      <c r="G216">
        <f t="shared" si="178"/>
        <v>0.61436999999999997</v>
      </c>
      <c r="H216">
        <f t="shared" si="178"/>
        <v>8.2399E-2</v>
      </c>
      <c r="I216">
        <f t="shared" si="178"/>
        <v>6.7473999999999998</v>
      </c>
      <c r="J216">
        <f t="shared" si="178"/>
        <v>4.0428000000000003E-4</v>
      </c>
      <c r="K216">
        <f t="shared" si="178"/>
        <v>4.3425000000000002</v>
      </c>
      <c r="L216">
        <f t="shared" si="178"/>
        <v>1.3322000000000001E-5</v>
      </c>
      <c r="M216">
        <f t="shared" si="178"/>
        <v>1.5082999999999999E-2</v>
      </c>
      <c r="N216">
        <f t="shared" si="178"/>
        <v>6.8917000000000006E-2</v>
      </c>
      <c r="O216">
        <f t="shared" si="178"/>
        <v>0.1275</v>
      </c>
      <c r="P216">
        <f t="shared" si="178"/>
        <v>11.384216602</v>
      </c>
      <c r="Q216">
        <f t="shared" si="178"/>
        <v>1.3875999999999999E-2</v>
      </c>
      <c r="R216">
        <f t="shared" si="178"/>
        <v>0.60836999999999997</v>
      </c>
      <c r="S216">
        <f t="shared" si="178"/>
        <v>0.16855999999999999</v>
      </c>
      <c r="T216">
        <f t="shared" si="178"/>
        <v>2.7827999999999999E-2</v>
      </c>
      <c r="U216">
        <f t="shared" si="178"/>
        <v>3.4965000000000002E-4</v>
      </c>
      <c r="V216">
        <f t="shared" si="178"/>
        <v>0.24507000000000001</v>
      </c>
      <c r="W216">
        <f t="shared" si="178"/>
        <v>0.28216999999999998</v>
      </c>
      <c r="X216">
        <f t="shared" si="178"/>
        <v>2.3791E-2</v>
      </c>
      <c r="Y216">
        <f t="shared" si="178"/>
        <v>1.1882E-4</v>
      </c>
      <c r="Z216">
        <f t="shared" si="178"/>
        <v>1.1622E-2</v>
      </c>
      <c r="AA216">
        <f t="shared" si="178"/>
        <v>-2.4247999999999999E-5</v>
      </c>
      <c r="AB216">
        <f t="shared" si="178"/>
        <v>1.8053E-8</v>
      </c>
      <c r="AC216">
        <f t="shared" si="178"/>
        <v>1.1259E-3</v>
      </c>
      <c r="AD216">
        <f t="shared" si="178"/>
        <v>9.8528999999999999E-4</v>
      </c>
      <c r="AE216">
        <f t="shared" si="178"/>
        <v>1.8718000000000001E-3</v>
      </c>
      <c r="AF216">
        <f t="shared" si="178"/>
        <v>2.6829999999999999E-5</v>
      </c>
      <c r="AG216">
        <f t="shared" si="178"/>
        <v>2.5512999999999998E-3</v>
      </c>
      <c r="AH216">
        <f t="shared" si="178"/>
        <v>2.2418E-3</v>
      </c>
    </row>
    <row r="217" spans="2:34" x14ac:dyDescent="0.25">
      <c r="B217" t="str">
        <f>'[3]6_Hub_90%IP'!Y391</f>
        <v>Denver International Airport</v>
      </c>
      <c r="C217" t="str">
        <f>C208</f>
        <v>market for electricity, low voltage, US-WECC</v>
      </c>
      <c r="D217">
        <f>'[3]6_Hub_90%IP'!$Z391/$A$3</f>
        <v>7.3107049608355096E-2</v>
      </c>
      <c r="E217" t="str">
        <f t="shared" ref="E217:AH217" si="179">E208</f>
        <v>kWh</v>
      </c>
      <c r="F217" t="str">
        <f t="shared" si="179"/>
        <v>Ecoinvent v3.7.1</v>
      </c>
      <c r="G217">
        <f t="shared" si="179"/>
        <v>0.41233999999999998</v>
      </c>
      <c r="H217">
        <f t="shared" si="179"/>
        <v>0.16356000000000001</v>
      </c>
      <c r="I217">
        <f t="shared" si="179"/>
        <v>5.2107000000000001</v>
      </c>
      <c r="J217">
        <f t="shared" si="179"/>
        <v>0.15804000000000001</v>
      </c>
      <c r="K217">
        <f t="shared" si="179"/>
        <v>1.1274</v>
      </c>
      <c r="L217">
        <f t="shared" si="179"/>
        <v>1.7768999999999999E-5</v>
      </c>
      <c r="M217">
        <f t="shared" si="179"/>
        <v>0.32883000000000001</v>
      </c>
      <c r="N217">
        <f t="shared" si="179"/>
        <v>1.0143</v>
      </c>
      <c r="O217">
        <f t="shared" si="179"/>
        <v>0.29749999999999999</v>
      </c>
      <c r="P217">
        <f t="shared" si="179"/>
        <v>8.300347769</v>
      </c>
      <c r="Q217">
        <f t="shared" si="179"/>
        <v>2.4857000000000001E-2</v>
      </c>
      <c r="R217">
        <f t="shared" si="179"/>
        <v>0.40821000000000002</v>
      </c>
      <c r="S217">
        <f t="shared" si="179"/>
        <v>0.13331000000000001</v>
      </c>
      <c r="T217">
        <f t="shared" si="179"/>
        <v>2.9420000000000002E-2</v>
      </c>
      <c r="U217">
        <f t="shared" si="179"/>
        <v>4.3196E-4</v>
      </c>
      <c r="V217">
        <f t="shared" si="179"/>
        <v>0.27927000000000002</v>
      </c>
      <c r="W217">
        <f t="shared" si="179"/>
        <v>7.3639999999999997E-2</v>
      </c>
      <c r="X217">
        <f t="shared" si="179"/>
        <v>2.5277999999999998E-2</v>
      </c>
      <c r="Y217">
        <f t="shared" si="179"/>
        <v>1.1887000000000001E-4</v>
      </c>
      <c r="Z217">
        <f t="shared" si="179"/>
        <v>1.1467E-2</v>
      </c>
      <c r="AA217">
        <f t="shared" si="179"/>
        <v>-1.4652E-5</v>
      </c>
      <c r="AB217">
        <f t="shared" si="179"/>
        <v>1.7493E-8</v>
      </c>
      <c r="AC217">
        <f t="shared" si="179"/>
        <v>1.5398E-3</v>
      </c>
      <c r="AD217">
        <f t="shared" si="179"/>
        <v>6.7785999999999996E-4</v>
      </c>
      <c r="AE217">
        <f t="shared" si="179"/>
        <v>7.8450000000000004E-4</v>
      </c>
      <c r="AF217">
        <f t="shared" si="179"/>
        <v>3.1801999999999998E-5</v>
      </c>
      <c r="AG217">
        <f t="shared" si="179"/>
        <v>2.3995000000000002E-3</v>
      </c>
      <c r="AH217">
        <f t="shared" si="179"/>
        <v>3.0509000000000001E-3</v>
      </c>
    </row>
    <row r="218" spans="2:34" x14ac:dyDescent="0.25">
      <c r="B218" s="59" t="str">
        <f>C211</f>
        <v>6_Hub_90%IP</v>
      </c>
      <c r="C218" s="59" t="s">
        <v>806</v>
      </c>
      <c r="D218" s="59">
        <f>SUM(D211:D217)</f>
        <v>1</v>
      </c>
      <c r="E218" s="59" t="s">
        <v>105</v>
      </c>
      <c r="F218" s="59"/>
      <c r="G218" s="59">
        <f>SUMPRODUCT($D211:$D217,G211:G217)</f>
        <v>0.5552750704960836</v>
      </c>
      <c r="H218" s="59">
        <f t="shared" ref="H218:AH218" si="180">SUMPRODUCT($D211:$D217,H211:H217)</f>
        <v>0.11727963080939949</v>
      </c>
      <c r="I218" s="59">
        <f t="shared" si="180"/>
        <v>6.3636595300261094</v>
      </c>
      <c r="J218" s="59">
        <f t="shared" si="180"/>
        <v>4.0260862140992171E-2</v>
      </c>
      <c r="K218" s="59">
        <f t="shared" si="180"/>
        <v>3.216121097389034</v>
      </c>
      <c r="L218" s="59">
        <f t="shared" si="180"/>
        <v>8.5382125326370758E-5</v>
      </c>
      <c r="M218" s="59">
        <f t="shared" si="180"/>
        <v>0.12474172000783292</v>
      </c>
      <c r="N218" s="59">
        <f t="shared" si="180"/>
        <v>0.37125453524804175</v>
      </c>
      <c r="O218" s="59">
        <f t="shared" si="180"/>
        <v>0.22669705509138383</v>
      </c>
      <c r="P218" s="59">
        <f t="shared" si="180"/>
        <v>10.46009981283812</v>
      </c>
      <c r="Q218" s="59">
        <f t="shared" si="180"/>
        <v>1.8793689033942559E-2</v>
      </c>
      <c r="R218" s="59">
        <f t="shared" si="180"/>
        <v>0.54978220887728457</v>
      </c>
      <c r="S218" s="59">
        <f t="shared" si="180"/>
        <v>0.15967091174934725</v>
      </c>
      <c r="T218" s="59">
        <f t="shared" si="180"/>
        <v>2.8738295039164492E-2</v>
      </c>
      <c r="U218" s="59">
        <f t="shared" si="180"/>
        <v>3.9307854308093997E-4</v>
      </c>
      <c r="V218" s="59">
        <f t="shared" si="180"/>
        <v>0.26645286422976505</v>
      </c>
      <c r="W218" s="59">
        <f t="shared" si="180"/>
        <v>0.20870841018276759</v>
      </c>
      <c r="X218" s="59">
        <f t="shared" si="180"/>
        <v>2.4704438642297648E-2</v>
      </c>
      <c r="Y218" s="59">
        <f t="shared" si="180"/>
        <v>1.2405294908616189E-4</v>
      </c>
      <c r="Z218" s="59">
        <f t="shared" si="180"/>
        <v>1.1799809921671019E-2</v>
      </c>
      <c r="AA218" s="59">
        <f t="shared" si="180"/>
        <v>-2.2397190600522194E-5</v>
      </c>
      <c r="AB218" s="59">
        <f t="shared" si="180"/>
        <v>1.837492036553525E-8</v>
      </c>
      <c r="AC218" s="59">
        <f t="shared" si="180"/>
        <v>1.186957321148825E-3</v>
      </c>
      <c r="AD218" s="59">
        <f t="shared" si="180"/>
        <v>9.1118715404699742E-4</v>
      </c>
      <c r="AE218" s="59">
        <f t="shared" si="180"/>
        <v>1.558015274151436E-3</v>
      </c>
      <c r="AF218" s="59">
        <f t="shared" si="180"/>
        <v>2.8356156135770234E-5</v>
      </c>
      <c r="AG218" s="59">
        <f t="shared" si="180"/>
        <v>2.5377898955613581E-3</v>
      </c>
      <c r="AH218" s="59">
        <f t="shared" si="180"/>
        <v>2.7734234203655355E-3</v>
      </c>
    </row>
    <row r="219" spans="2:34" x14ac:dyDescent="0.25">
      <c r="B219" s="59" t="str">
        <f>B218</f>
        <v>6_Hub_90%IP</v>
      </c>
      <c r="C219" s="59"/>
      <c r="D219" s="59"/>
      <c r="E219" s="59"/>
      <c r="F219" s="59"/>
      <c r="G219" s="59">
        <f>SUMPRODUCT($D212:$D217,G212:G217)/SUM($D212:$D217)</f>
        <v>0.5578004927536232</v>
      </c>
      <c r="H219" s="59">
        <f t="shared" ref="H219:AH219" si="181">SUMPRODUCT($D212:$D217,H212:H217)/SUM($D212:$D217)</f>
        <v>0.10755665797101449</v>
      </c>
      <c r="I219" s="59">
        <f t="shared" si="181"/>
        <v>6.3079657971014491</v>
      </c>
      <c r="J219" s="59">
        <f t="shared" si="181"/>
        <v>4.0764228521739138E-2</v>
      </c>
      <c r="K219" s="59">
        <f t="shared" si="181"/>
        <v>3.3442599999999998</v>
      </c>
      <c r="L219" s="59">
        <f t="shared" si="181"/>
        <v>1.5678220289855067E-5</v>
      </c>
      <c r="M219" s="59">
        <f t="shared" si="181"/>
        <v>0.12615727246376812</v>
      </c>
      <c r="N219" s="59">
        <f t="shared" si="181"/>
        <v>0.31965559710144925</v>
      </c>
      <c r="O219" s="59">
        <f t="shared" si="181"/>
        <v>0.21252771014492752</v>
      </c>
      <c r="P219" s="59">
        <f t="shared" si="181"/>
        <v>10.458902941524636</v>
      </c>
      <c r="Q219" s="59">
        <f t="shared" si="181"/>
        <v>1.7244811594202897E-2</v>
      </c>
      <c r="R219" s="59">
        <f t="shared" si="181"/>
        <v>0.55229417391304347</v>
      </c>
      <c r="S219" s="59">
        <f t="shared" si="181"/>
        <v>0.15792556521739129</v>
      </c>
      <c r="T219" s="59">
        <f t="shared" si="181"/>
        <v>2.88431884057971E-2</v>
      </c>
      <c r="U219" s="59">
        <f t="shared" si="181"/>
        <v>4.0142762318840582E-4</v>
      </c>
      <c r="V219" s="59">
        <f t="shared" si="181"/>
        <v>0.27085086956521737</v>
      </c>
      <c r="W219" s="59">
        <f t="shared" si="181"/>
        <v>0.21573626086956518</v>
      </c>
      <c r="X219" s="59">
        <f t="shared" si="181"/>
        <v>2.4784205797101444E-2</v>
      </c>
      <c r="Y219" s="59">
        <f t="shared" si="181"/>
        <v>1.2448423188405797E-4</v>
      </c>
      <c r="Z219" s="59">
        <f t="shared" si="181"/>
        <v>1.1797837681159423E-2</v>
      </c>
      <c r="AA219" s="59">
        <f t="shared" si="181"/>
        <v>-2.1622794202898553E-5</v>
      </c>
      <c r="AB219" s="59">
        <f t="shared" si="181"/>
        <v>1.7535689855072467E-8</v>
      </c>
      <c r="AC219" s="59">
        <f t="shared" si="181"/>
        <v>1.176587536231884E-3</v>
      </c>
      <c r="AD219" s="59">
        <f t="shared" si="181"/>
        <v>8.8869428985507244E-4</v>
      </c>
      <c r="AE219" s="59">
        <f t="shared" si="181"/>
        <v>1.5310837101449272E-3</v>
      </c>
      <c r="AF219" s="59">
        <f t="shared" si="181"/>
        <v>2.8192481159420291E-5</v>
      </c>
      <c r="AG219" s="59">
        <f t="shared" si="181"/>
        <v>2.5622217391304348E-3</v>
      </c>
      <c r="AH219" s="59">
        <f t="shared" si="181"/>
        <v>2.4546417391304348E-3</v>
      </c>
    </row>
    <row r="220" spans="2:34" x14ac:dyDescent="0.25">
      <c r="B220" t="s">
        <v>593</v>
      </c>
      <c r="C220" t="str">
        <f>'[3]LCIA-Elec'!BJ98</f>
        <v>1_Hub_1000km</v>
      </c>
      <c r="D220">
        <f>'[3]LCIA-Elec'!$AH$68/$A$3</f>
        <v>0.61357702349869447</v>
      </c>
      <c r="E220" t="s">
        <v>105</v>
      </c>
      <c r="F220" t="s">
        <v>829</v>
      </c>
      <c r="G220">
        <f>'[3]LCIA-Elec'!BK98</f>
        <v>0.53243950110638305</v>
      </c>
      <c r="H220">
        <f>'[3]LCIA-Elec'!BL98</f>
        <v>0.20634954331914898</v>
      </c>
      <c r="I220">
        <f>'[3]LCIA-Elec'!BM98</f>
        <v>6.4496301668085119</v>
      </c>
      <c r="J220">
        <f>'[3]LCIA-Elec'!BN98</f>
        <v>5.6436655060936168E-2</v>
      </c>
      <c r="K220">
        <f>'[3]LCIA-Elec'!BO98</f>
        <v>2.002849693191489</v>
      </c>
      <c r="L220">
        <f>'[3]LCIA-Elec'!BP98</f>
        <v>1.3494812691063827E-4</v>
      </c>
      <c r="M220">
        <f>'[3]LCIA-Elec'!BQ98</f>
        <v>0.15710336431914895</v>
      </c>
      <c r="N220">
        <f>'[3]LCIA-Elec'!BR98</f>
        <v>0.64994337926808488</v>
      </c>
      <c r="O220">
        <f>'[3]LCIA-Elec'!BS98</f>
        <v>0.3981631752</v>
      </c>
      <c r="P220">
        <f>'[3]LCIA-Elec'!BT98</f>
        <v>9.9206109252942305</v>
      </c>
      <c r="Q220">
        <f>'[3]LCIA-Elec'!BU98</f>
        <v>3.076118384340425E-2</v>
      </c>
      <c r="R220">
        <f>'[3]LCIA-Elec'!BV98</f>
        <v>0.5277537860425533</v>
      </c>
      <c r="S220">
        <f>'[3]LCIA-Elec'!BW98</f>
        <v>0.16295783931914895</v>
      </c>
      <c r="T220">
        <f>'[3]LCIA-Elec'!BX98</f>
        <v>3.0670745906382978E-2</v>
      </c>
      <c r="U220">
        <f>'[3]LCIA-Elec'!BY98</f>
        <v>5.4164488204255313E-4</v>
      </c>
      <c r="V220">
        <f>'[3]LCIA-Elec'!BZ98</f>
        <v>0.35307737293617003</v>
      </c>
      <c r="W220">
        <f>'[3]LCIA-Elec'!CA98</f>
        <v>0.13229830844255322</v>
      </c>
      <c r="X220">
        <f>'[3]LCIA-Elec'!CB98</f>
        <v>2.6664300340425533E-2</v>
      </c>
      <c r="Y220">
        <f>'[3]LCIA-Elec'!CC98</f>
        <v>1.524682586382979E-4</v>
      </c>
      <c r="Z220">
        <f>'[3]LCIA-Elec'!CD98</f>
        <v>1.1644254740425533E-2</v>
      </c>
      <c r="AA220">
        <f>'[3]LCIA-Elec'!CE98</f>
        <v>-2.1708204748936165E-5</v>
      </c>
      <c r="AB220">
        <f>'[3]LCIA-Elec'!CF98</f>
        <v>1.9568886570212768E-8</v>
      </c>
      <c r="AC220">
        <f>'[3]LCIA-Elec'!CG98</f>
        <v>1.7156502246808507E-3</v>
      </c>
      <c r="AD220">
        <f>'[3]LCIA-Elec'!CH98</f>
        <v>9.0971750434042553E-4</v>
      </c>
      <c r="AE220">
        <f>'[3]LCIA-Elec'!CI98</f>
        <v>1.4776829191489355E-3</v>
      </c>
      <c r="AF220">
        <f>'[3]LCIA-Elec'!CJ98</f>
        <v>2.7394109889361701E-5</v>
      </c>
      <c r="AG220">
        <f>'[3]LCIA-Elec'!CK98</f>
        <v>2.3030287751489367E-3</v>
      </c>
      <c r="AH220">
        <f>'[3]LCIA-Elec'!CL98</f>
        <v>3.7312073531914889E-3</v>
      </c>
    </row>
    <row r="221" spans="2:34" x14ac:dyDescent="0.25">
      <c r="B221" t="str">
        <f>'[3]1_Hub_1000km'!Y386</f>
        <v>Newark Liberty International Airport</v>
      </c>
      <c r="C221" t="str">
        <f>C213</f>
        <v>market for electricity, low voltage, US-RFC</v>
      </c>
      <c r="D221">
        <f>'[3]1_Hub_1000km'!$Z$386/A3</f>
        <v>0.38642297650130547</v>
      </c>
      <c r="E221" t="str">
        <f t="shared" ref="E221:AH221" si="182">E213</f>
        <v>kWh</v>
      </c>
      <c r="F221" t="str">
        <f t="shared" si="182"/>
        <v>Ecoinvent v3.7.1</v>
      </c>
      <c r="G221">
        <f t="shared" si="182"/>
        <v>0.61436999999999997</v>
      </c>
      <c r="H221">
        <f t="shared" si="182"/>
        <v>8.2399E-2</v>
      </c>
      <c r="I221">
        <f t="shared" si="182"/>
        <v>6.7473999999999998</v>
      </c>
      <c r="J221">
        <f t="shared" si="182"/>
        <v>4.0428000000000003E-4</v>
      </c>
      <c r="K221">
        <f t="shared" si="182"/>
        <v>4.3425000000000002</v>
      </c>
      <c r="L221">
        <f t="shared" si="182"/>
        <v>1.3322000000000001E-5</v>
      </c>
      <c r="M221">
        <f t="shared" si="182"/>
        <v>1.5082999999999999E-2</v>
      </c>
      <c r="N221">
        <f t="shared" si="182"/>
        <v>6.8917000000000006E-2</v>
      </c>
      <c r="O221">
        <f t="shared" si="182"/>
        <v>0.1275</v>
      </c>
      <c r="P221">
        <f t="shared" si="182"/>
        <v>11.384216602</v>
      </c>
      <c r="Q221">
        <f t="shared" si="182"/>
        <v>1.3875999999999999E-2</v>
      </c>
      <c r="R221">
        <f t="shared" si="182"/>
        <v>0.60836999999999997</v>
      </c>
      <c r="S221">
        <f t="shared" si="182"/>
        <v>0.16855999999999999</v>
      </c>
      <c r="T221">
        <f t="shared" si="182"/>
        <v>2.7827999999999999E-2</v>
      </c>
      <c r="U221">
        <f t="shared" si="182"/>
        <v>3.4965000000000002E-4</v>
      </c>
      <c r="V221">
        <f t="shared" si="182"/>
        <v>0.24507000000000001</v>
      </c>
      <c r="W221">
        <f t="shared" si="182"/>
        <v>0.28216999999999998</v>
      </c>
      <c r="X221">
        <f t="shared" si="182"/>
        <v>2.3791E-2</v>
      </c>
      <c r="Y221">
        <f t="shared" si="182"/>
        <v>1.1882E-4</v>
      </c>
      <c r="Z221">
        <f t="shared" si="182"/>
        <v>1.1622E-2</v>
      </c>
      <c r="AA221">
        <f t="shared" si="182"/>
        <v>-2.4247999999999999E-5</v>
      </c>
      <c r="AB221">
        <f t="shared" si="182"/>
        <v>1.8053E-8</v>
      </c>
      <c r="AC221">
        <f t="shared" si="182"/>
        <v>1.1259E-3</v>
      </c>
      <c r="AD221">
        <f t="shared" si="182"/>
        <v>9.8528999999999999E-4</v>
      </c>
      <c r="AE221">
        <f t="shared" si="182"/>
        <v>1.8718000000000001E-3</v>
      </c>
      <c r="AF221">
        <f t="shared" si="182"/>
        <v>2.6829999999999999E-5</v>
      </c>
      <c r="AG221">
        <f t="shared" si="182"/>
        <v>2.5512999999999998E-3</v>
      </c>
      <c r="AH221">
        <f t="shared" si="182"/>
        <v>2.2418E-3</v>
      </c>
    </row>
    <row r="222" spans="2:34" x14ac:dyDescent="0.25">
      <c r="B222" s="59" t="str">
        <f>C220</f>
        <v>1_Hub_1000km</v>
      </c>
      <c r="C222" s="59" t="s">
        <v>806</v>
      </c>
      <c r="D222" s="59">
        <f>SUM(D220:D221)</f>
        <v>1</v>
      </c>
      <c r="E222" s="59" t="s">
        <v>105</v>
      </c>
      <c r="F222" s="59"/>
      <c r="G222" s="59">
        <f>SUMPRODUCT($D220:$D221,G220:G221)</f>
        <v>0.56409932835509136</v>
      </c>
      <c r="H222" s="59">
        <f t="shared" ref="H222:AH222" si="183">SUMPRODUCT($D220:$D221,H220:H221)</f>
        <v>0.1584522054308094</v>
      </c>
      <c r="I222" s="59">
        <f t="shared" si="183"/>
        <v>6.5646952720626635</v>
      </c>
      <c r="J222" s="59">
        <f t="shared" si="183"/>
        <v>3.4784457909451692E-2</v>
      </c>
      <c r="K222" s="59">
        <f t="shared" si="183"/>
        <v>2.906944328720626</v>
      </c>
      <c r="L222" s="59">
        <f t="shared" si="183"/>
        <v>8.7948996929503894E-5</v>
      </c>
      <c r="M222" s="59">
        <f t="shared" si="183"/>
        <v>0.1022234324151436</v>
      </c>
      <c r="N222" s="59">
        <f t="shared" si="183"/>
        <v>0.42542143636553509</v>
      </c>
      <c r="O222" s="59">
        <f t="shared" si="183"/>
        <v>0.29357270540992164</v>
      </c>
      <c r="P222" s="59">
        <f t="shared" si="183"/>
        <v>10.486181787311082</v>
      </c>
      <c r="Q222" s="59">
        <f t="shared" si="183"/>
        <v>2.4236360843864223E-2</v>
      </c>
      <c r="R222" s="59">
        <f t="shared" si="183"/>
        <v>0.55890574339425592</v>
      </c>
      <c r="S222" s="59">
        <f t="shared" si="183"/>
        <v>0.16512264292428197</v>
      </c>
      <c r="T222" s="59">
        <f t="shared" si="183"/>
        <v>2.9572243571801562E-2</v>
      </c>
      <c r="U222" s="59">
        <f t="shared" si="183"/>
        <v>4.6745364825065265E-4</v>
      </c>
      <c r="V222" s="59">
        <f t="shared" si="183"/>
        <v>0.31134084240208865</v>
      </c>
      <c r="W222" s="59">
        <f t="shared" si="183"/>
        <v>0.19021217358746736</v>
      </c>
      <c r="X222" s="59">
        <f t="shared" si="183"/>
        <v>2.5553991070496086E-2</v>
      </c>
      <c r="Y222" s="59">
        <f t="shared" si="183"/>
        <v>1.3946579838120107E-4</v>
      </c>
      <c r="Z222" s="59">
        <f t="shared" si="183"/>
        <v>1.1635654997389035E-2</v>
      </c>
      <c r="AA222" s="59">
        <f t="shared" si="183"/>
        <v>-2.2689639989556131E-5</v>
      </c>
      <c r="AB222" s="59">
        <f t="shared" si="183"/>
        <v>1.8983113169712793E-8</v>
      </c>
      <c r="AC222" s="59">
        <f t="shared" si="183"/>
        <v>1.4877571874673625E-3</v>
      </c>
      <c r="AD222" s="59">
        <f t="shared" si="183"/>
        <v>9.3892045305483019E-4</v>
      </c>
      <c r="AE222" s="59">
        <f t="shared" si="183"/>
        <v>1.6299788146214094E-3</v>
      </c>
      <c r="AF222" s="59">
        <f t="shared" si="183"/>
        <v>2.7176124866840729E-5</v>
      </c>
      <c r="AG222" s="59">
        <f t="shared" si="183"/>
        <v>2.3989664808355092E-3</v>
      </c>
      <c r="AH222" s="59">
        <f t="shared" si="183"/>
        <v>3.1556661305483028E-3</v>
      </c>
    </row>
    <row r="223" spans="2:34" x14ac:dyDescent="0.25">
      <c r="B223" t="s">
        <v>593</v>
      </c>
      <c r="C223" t="str">
        <f>'[3]LCIA-Elec'!BJ99</f>
        <v>2_Hub_1000km</v>
      </c>
      <c r="D223">
        <f>'[3]LCIA-Elec'!$AI$68/$A$3</f>
        <v>0.42036553524804177</v>
      </c>
      <c r="E223" t="s">
        <v>105</v>
      </c>
      <c r="F223" t="s">
        <v>829</v>
      </c>
      <c r="G223">
        <f>'[3]LCIA-Elec'!BK99</f>
        <v>0.47539044720496881</v>
      </c>
      <c r="H223">
        <f>'[3]LCIA-Elec'!BL99</f>
        <v>0.21281087950310559</v>
      </c>
      <c r="I223">
        <f>'[3]LCIA-Elec'!BM99</f>
        <v>6.0323490683229828</v>
      </c>
      <c r="J223">
        <f>'[3]LCIA-Elec'!BN99</f>
        <v>8.2141412919254655E-2</v>
      </c>
      <c r="K223">
        <f>'[3]LCIA-Elec'!BO99</f>
        <v>1.8002178776397513</v>
      </c>
      <c r="L223">
        <f>'[3]LCIA-Elec'!BP99</f>
        <v>1.8774597639751551E-4</v>
      </c>
      <c r="M223">
        <f>'[3]LCIA-Elec'!BQ99</f>
        <v>0.21676009480124228</v>
      </c>
      <c r="N223">
        <f>'[3]LCIA-Elec'!BR99</f>
        <v>0.84411629813664568</v>
      </c>
      <c r="O223">
        <f>'[3]LCIA-Elec'!BS99</f>
        <v>0.3217859757763975</v>
      </c>
      <c r="P223">
        <f>'[3]LCIA-Elec'!BT99</f>
        <v>9.5103693530757791</v>
      </c>
      <c r="Q223">
        <f>'[3]LCIA-Elec'!BU99</f>
        <v>3.1305453416149071E-2</v>
      </c>
      <c r="R223">
        <f>'[3]LCIA-Elec'!BV99</f>
        <v>0.47102152795031049</v>
      </c>
      <c r="S223">
        <f>'[3]LCIA-Elec'!BW99</f>
        <v>0.15457112546583854</v>
      </c>
      <c r="T223">
        <f>'[3]LCIA-Elec'!BX99</f>
        <v>2.904962111801242E-2</v>
      </c>
      <c r="U223">
        <f>'[3]LCIA-Elec'!BY99</f>
        <v>4.4440811180124218E-4</v>
      </c>
      <c r="V223">
        <f>'[3]LCIA-Elec'!BZ99</f>
        <v>0.29135127950310563</v>
      </c>
      <c r="W223">
        <f>'[3]LCIA-Elec'!CA99</f>
        <v>0.12000456211180129</v>
      </c>
      <c r="X223">
        <f>'[3]LCIA-Elec'!CB99</f>
        <v>2.5177751552795027E-2</v>
      </c>
      <c r="Y223">
        <f>'[3]LCIA-Elec'!CC99</f>
        <v>1.3051053726708073E-4</v>
      </c>
      <c r="Z223">
        <f>'[3]LCIA-Elec'!CD99</f>
        <v>1.1704370186335402E-2</v>
      </c>
      <c r="AA223">
        <f>'[3]LCIA-Elec'!CE99</f>
        <v>-1.8851916149068317E-5</v>
      </c>
      <c r="AB223">
        <f>'[3]LCIA-Elec'!CF99</f>
        <v>2.0888932298136646E-8</v>
      </c>
      <c r="AC223">
        <f>'[3]LCIA-Elec'!CG99</f>
        <v>1.2164360496894411E-3</v>
      </c>
      <c r="AD223">
        <f>'[3]LCIA-Elec'!CH99</f>
        <v>8.4511521739130441E-4</v>
      </c>
      <c r="AE223">
        <f>'[3]LCIA-Elec'!CI99</f>
        <v>1.2204592546583852E-3</v>
      </c>
      <c r="AF223">
        <f>'[3]LCIA-Elec'!CJ99</f>
        <v>2.782839378881988E-5</v>
      </c>
      <c r="AG223">
        <f>'[3]LCIA-Elec'!CK99</f>
        <v>2.2747696273291923E-3</v>
      </c>
      <c r="AH223">
        <f>'[3]LCIA-Elec'!CL99</f>
        <v>4.0654699999999998E-3</v>
      </c>
    </row>
    <row r="224" spans="2:34" x14ac:dyDescent="0.25">
      <c r="B224" t="str">
        <f>'[3]2_Hub_1000km'!Y386</f>
        <v>Newark Liberty International Airport</v>
      </c>
      <c r="C224" t="str">
        <f>C213</f>
        <v>market for electricity, low voltage, US-RFC</v>
      </c>
      <c r="D224">
        <f>'[3]2_Hub_1000km'!$Z386/$A$3</f>
        <v>0.34464751958224543</v>
      </c>
      <c r="E224" t="str">
        <f t="shared" ref="E224:AH224" si="184">E213</f>
        <v>kWh</v>
      </c>
      <c r="F224" t="str">
        <f t="shared" si="184"/>
        <v>Ecoinvent v3.7.1</v>
      </c>
      <c r="G224">
        <f t="shared" si="184"/>
        <v>0.61436999999999997</v>
      </c>
      <c r="H224">
        <f t="shared" si="184"/>
        <v>8.2399E-2</v>
      </c>
      <c r="I224">
        <f t="shared" si="184"/>
        <v>6.7473999999999998</v>
      </c>
      <c r="J224">
        <f t="shared" si="184"/>
        <v>4.0428000000000003E-4</v>
      </c>
      <c r="K224">
        <f t="shared" si="184"/>
        <v>4.3425000000000002</v>
      </c>
      <c r="L224">
        <f t="shared" si="184"/>
        <v>1.3322000000000001E-5</v>
      </c>
      <c r="M224">
        <f t="shared" si="184"/>
        <v>1.5082999999999999E-2</v>
      </c>
      <c r="N224">
        <f t="shared" si="184"/>
        <v>6.8917000000000006E-2</v>
      </c>
      <c r="O224">
        <f t="shared" si="184"/>
        <v>0.1275</v>
      </c>
      <c r="P224">
        <f t="shared" si="184"/>
        <v>11.384216602</v>
      </c>
      <c r="Q224">
        <f t="shared" si="184"/>
        <v>1.3875999999999999E-2</v>
      </c>
      <c r="R224">
        <f t="shared" si="184"/>
        <v>0.60836999999999997</v>
      </c>
      <c r="S224">
        <f t="shared" si="184"/>
        <v>0.16855999999999999</v>
      </c>
      <c r="T224">
        <f t="shared" si="184"/>
        <v>2.7827999999999999E-2</v>
      </c>
      <c r="U224">
        <f t="shared" si="184"/>
        <v>3.4965000000000002E-4</v>
      </c>
      <c r="V224">
        <f t="shared" si="184"/>
        <v>0.24507000000000001</v>
      </c>
      <c r="W224">
        <f t="shared" si="184"/>
        <v>0.28216999999999998</v>
      </c>
      <c r="X224">
        <f t="shared" si="184"/>
        <v>2.3791E-2</v>
      </c>
      <c r="Y224">
        <f t="shared" si="184"/>
        <v>1.1882E-4</v>
      </c>
      <c r="Z224">
        <f t="shared" si="184"/>
        <v>1.1622E-2</v>
      </c>
      <c r="AA224">
        <f t="shared" si="184"/>
        <v>-2.4247999999999999E-5</v>
      </c>
      <c r="AB224">
        <f t="shared" si="184"/>
        <v>1.8053E-8</v>
      </c>
      <c r="AC224">
        <f t="shared" si="184"/>
        <v>1.1259E-3</v>
      </c>
      <c r="AD224">
        <f t="shared" si="184"/>
        <v>9.8528999999999999E-4</v>
      </c>
      <c r="AE224">
        <f t="shared" si="184"/>
        <v>1.8718000000000001E-3</v>
      </c>
      <c r="AF224">
        <f t="shared" si="184"/>
        <v>2.6829999999999999E-5</v>
      </c>
      <c r="AG224">
        <f t="shared" si="184"/>
        <v>2.5512999999999998E-3</v>
      </c>
      <c r="AH224">
        <f t="shared" si="184"/>
        <v>2.2418E-3</v>
      </c>
    </row>
    <row r="225" spans="2:34" x14ac:dyDescent="0.25">
      <c r="B225" t="str">
        <f>'[3]2_Hub_1000km'!Y387</f>
        <v>O'Hare International Airport</v>
      </c>
      <c r="C225" t="str">
        <f>C216</f>
        <v>market for electricity, low voltage, US-RFC</v>
      </c>
      <c r="D225">
        <f>'[3]2_Hub_1000km'!$Z387/$A$3</f>
        <v>0.2349869451697128</v>
      </c>
      <c r="E225" t="str">
        <f t="shared" ref="E225:AH225" si="185">E216</f>
        <v>kWh</v>
      </c>
      <c r="F225" t="str">
        <f t="shared" si="185"/>
        <v>Ecoinvent v3.7.1</v>
      </c>
      <c r="G225">
        <f t="shared" si="185"/>
        <v>0.61436999999999997</v>
      </c>
      <c r="H225">
        <f t="shared" si="185"/>
        <v>8.2399E-2</v>
      </c>
      <c r="I225">
        <f t="shared" si="185"/>
        <v>6.7473999999999998</v>
      </c>
      <c r="J225">
        <f t="shared" si="185"/>
        <v>4.0428000000000003E-4</v>
      </c>
      <c r="K225">
        <f t="shared" si="185"/>
        <v>4.3425000000000002</v>
      </c>
      <c r="L225">
        <f t="shared" si="185"/>
        <v>1.3322000000000001E-5</v>
      </c>
      <c r="M225">
        <f t="shared" si="185"/>
        <v>1.5082999999999999E-2</v>
      </c>
      <c r="N225">
        <f t="shared" si="185"/>
        <v>6.8917000000000006E-2</v>
      </c>
      <c r="O225">
        <f t="shared" si="185"/>
        <v>0.1275</v>
      </c>
      <c r="P225">
        <f t="shared" si="185"/>
        <v>11.384216602</v>
      </c>
      <c r="Q225">
        <f t="shared" si="185"/>
        <v>1.3875999999999999E-2</v>
      </c>
      <c r="R225">
        <f t="shared" si="185"/>
        <v>0.60836999999999997</v>
      </c>
      <c r="S225">
        <f t="shared" si="185"/>
        <v>0.16855999999999999</v>
      </c>
      <c r="T225">
        <f t="shared" si="185"/>
        <v>2.7827999999999999E-2</v>
      </c>
      <c r="U225">
        <f t="shared" si="185"/>
        <v>3.4965000000000002E-4</v>
      </c>
      <c r="V225">
        <f t="shared" si="185"/>
        <v>0.24507000000000001</v>
      </c>
      <c r="W225">
        <f t="shared" si="185"/>
        <v>0.28216999999999998</v>
      </c>
      <c r="X225">
        <f t="shared" si="185"/>
        <v>2.3791E-2</v>
      </c>
      <c r="Y225">
        <f t="shared" si="185"/>
        <v>1.1882E-4</v>
      </c>
      <c r="Z225">
        <f t="shared" si="185"/>
        <v>1.1622E-2</v>
      </c>
      <c r="AA225">
        <f t="shared" si="185"/>
        <v>-2.4247999999999999E-5</v>
      </c>
      <c r="AB225">
        <f t="shared" si="185"/>
        <v>1.8053E-8</v>
      </c>
      <c r="AC225">
        <f t="shared" si="185"/>
        <v>1.1259E-3</v>
      </c>
      <c r="AD225">
        <f t="shared" si="185"/>
        <v>9.8528999999999999E-4</v>
      </c>
      <c r="AE225">
        <f t="shared" si="185"/>
        <v>1.8718000000000001E-3</v>
      </c>
      <c r="AF225">
        <f t="shared" si="185"/>
        <v>2.6829999999999999E-5</v>
      </c>
      <c r="AG225">
        <f t="shared" si="185"/>
        <v>2.5512999999999998E-3</v>
      </c>
      <c r="AH225">
        <f t="shared" si="185"/>
        <v>2.2418E-3</v>
      </c>
    </row>
    <row r="226" spans="2:34" x14ac:dyDescent="0.25">
      <c r="B226" s="59" t="str">
        <f>C223</f>
        <v>2_Hub_1000km</v>
      </c>
      <c r="C226" s="59" t="s">
        <v>806</v>
      </c>
      <c r="D226" s="59">
        <f>SUM(D223:D225)</f>
        <v>1</v>
      </c>
      <c r="E226" s="59" t="s">
        <v>105</v>
      </c>
      <c r="F226" s="59"/>
      <c r="G226" s="59">
        <f>SUMPRODUCT($D223:$D225,G223:G225)</f>
        <v>0.5559477859007832</v>
      </c>
      <c r="H226" s="59">
        <f t="shared" ref="H226:AH226" si="186">SUMPRODUCT($D223:$D225,H223:H225)</f>
        <v>0.13721965953002613</v>
      </c>
      <c r="I226" s="59">
        <f t="shared" si="186"/>
        <v>6.44681723237598</v>
      </c>
      <c r="J226" s="59">
        <f t="shared" si="186"/>
        <v>3.4763753629242812E-2</v>
      </c>
      <c r="K226" s="59">
        <f t="shared" si="186"/>
        <v>3.2738122148825064</v>
      </c>
      <c r="L226" s="59">
        <f t="shared" si="186"/>
        <v>8.6643828198433408E-5</v>
      </c>
      <c r="M226" s="59">
        <f t="shared" si="186"/>
        <v>9.9861099903394285E-2</v>
      </c>
      <c r="N226" s="59">
        <f t="shared" si="186"/>
        <v>0.39478406788511744</v>
      </c>
      <c r="O226" s="59">
        <f t="shared" si="186"/>
        <v>0.20917112819843339</v>
      </c>
      <c r="P226" s="59">
        <f t="shared" si="186"/>
        <v>10.596515800232899</v>
      </c>
      <c r="Q226" s="59">
        <f t="shared" si="186"/>
        <v>2.1202741514360315E-2</v>
      </c>
      <c r="R226" s="59">
        <f t="shared" si="186"/>
        <v>0.55063343603133152</v>
      </c>
      <c r="S226" s="59">
        <f t="shared" si="186"/>
        <v>0.16267955926892949</v>
      </c>
      <c r="T226" s="59">
        <f t="shared" si="186"/>
        <v>2.8341527415143602E-2</v>
      </c>
      <c r="U226" s="59">
        <f t="shared" si="186"/>
        <v>3.8948304438642296E-4</v>
      </c>
      <c r="V226" s="59">
        <f t="shared" si="186"/>
        <v>0.26452505483028721</v>
      </c>
      <c r="W226" s="59">
        <f t="shared" si="186"/>
        <v>0.21400123890339429</v>
      </c>
      <c r="X226" s="59">
        <f t="shared" si="186"/>
        <v>2.4373942558746736E-2</v>
      </c>
      <c r="Y226" s="59">
        <f t="shared" si="186"/>
        <v>1.2373429895561357E-4</v>
      </c>
      <c r="Z226" s="59">
        <f t="shared" si="186"/>
        <v>1.1656625587467363E-2</v>
      </c>
      <c r="AA226" s="59">
        <f t="shared" si="186"/>
        <v>-2.197967232375979E-5</v>
      </c>
      <c r="AB226" s="59">
        <f t="shared" si="186"/>
        <v>1.9245128198433422E-8</v>
      </c>
      <c r="AC226" s="59">
        <f t="shared" si="186"/>
        <v>1.1639582349869451E-3</v>
      </c>
      <c r="AD226" s="59">
        <f t="shared" si="186"/>
        <v>9.2636535248041775E-4</v>
      </c>
      <c r="AE226" s="59">
        <f t="shared" si="186"/>
        <v>1.5979987989556139E-3</v>
      </c>
      <c r="AF226" s="59">
        <f t="shared" si="186"/>
        <v>2.7249690339425587E-5</v>
      </c>
      <c r="AG226" s="59">
        <f t="shared" si="186"/>
        <v>2.4350561618798955E-3</v>
      </c>
      <c r="AH226" s="59">
        <f t="shared" si="186"/>
        <v>3.0084080156657965E-3</v>
      </c>
    </row>
    <row r="227" spans="2:34" x14ac:dyDescent="0.25">
      <c r="B227" s="59" t="str">
        <f>B226</f>
        <v>2_Hub_1000km</v>
      </c>
      <c r="C227" s="59"/>
      <c r="D227" s="59"/>
      <c r="E227" s="59"/>
      <c r="F227" s="59"/>
      <c r="G227" s="59">
        <f>SUMPRODUCT($D224:$D225,G224:G225)/SUM($D224:$D225)</f>
        <v>0.61436999999999997</v>
      </c>
      <c r="H227" s="59">
        <f t="shared" ref="H227:AH227" si="187">SUMPRODUCT($D224:$D225,H224:H225)/SUM($D224:$D225)</f>
        <v>8.2399E-2</v>
      </c>
      <c r="I227" s="59">
        <f t="shared" si="187"/>
        <v>6.7474000000000007</v>
      </c>
      <c r="J227" s="59">
        <f t="shared" si="187"/>
        <v>4.0428000000000003E-4</v>
      </c>
      <c r="K227" s="59">
        <f t="shared" si="187"/>
        <v>4.3425000000000002</v>
      </c>
      <c r="L227" s="59">
        <f t="shared" si="187"/>
        <v>1.3322000000000001E-5</v>
      </c>
      <c r="M227" s="59">
        <f t="shared" si="187"/>
        <v>1.5083000000000001E-2</v>
      </c>
      <c r="N227" s="59">
        <f t="shared" si="187"/>
        <v>6.8917000000000006E-2</v>
      </c>
      <c r="O227" s="59">
        <f t="shared" si="187"/>
        <v>0.12749999999999997</v>
      </c>
      <c r="P227" s="59">
        <f t="shared" si="187"/>
        <v>11.384216602</v>
      </c>
      <c r="Q227" s="59">
        <f t="shared" si="187"/>
        <v>1.3875999999999999E-2</v>
      </c>
      <c r="R227" s="59">
        <f t="shared" si="187"/>
        <v>0.60836999999999997</v>
      </c>
      <c r="S227" s="59">
        <f t="shared" si="187"/>
        <v>0.16855999999999999</v>
      </c>
      <c r="T227" s="59">
        <f t="shared" si="187"/>
        <v>2.7827999999999995E-2</v>
      </c>
      <c r="U227" s="59">
        <f t="shared" si="187"/>
        <v>3.4965000000000002E-4</v>
      </c>
      <c r="V227" s="59">
        <f t="shared" si="187"/>
        <v>0.24507000000000004</v>
      </c>
      <c r="W227" s="59">
        <f t="shared" si="187"/>
        <v>0.28216999999999998</v>
      </c>
      <c r="X227" s="59">
        <f t="shared" si="187"/>
        <v>2.3791E-2</v>
      </c>
      <c r="Y227" s="59">
        <f t="shared" si="187"/>
        <v>1.1882E-4</v>
      </c>
      <c r="Z227" s="59">
        <f t="shared" si="187"/>
        <v>1.1622E-2</v>
      </c>
      <c r="AA227" s="59">
        <f t="shared" si="187"/>
        <v>-2.4247999999999999E-5</v>
      </c>
      <c r="AB227" s="59">
        <f t="shared" si="187"/>
        <v>1.8053E-8</v>
      </c>
      <c r="AC227" s="59">
        <f t="shared" si="187"/>
        <v>1.1259E-3</v>
      </c>
      <c r="AD227" s="59">
        <f t="shared" si="187"/>
        <v>9.8528999999999999E-4</v>
      </c>
      <c r="AE227" s="59">
        <f t="shared" si="187"/>
        <v>1.8718000000000001E-3</v>
      </c>
      <c r="AF227" s="59">
        <f t="shared" si="187"/>
        <v>2.6829999999999996E-5</v>
      </c>
      <c r="AG227" s="59">
        <f t="shared" si="187"/>
        <v>2.5512999999999998E-3</v>
      </c>
      <c r="AH227" s="59">
        <f t="shared" si="187"/>
        <v>2.2418E-3</v>
      </c>
    </row>
    <row r="228" spans="2:34" x14ac:dyDescent="0.25">
      <c r="B228" t="s">
        <v>593</v>
      </c>
      <c r="C228" t="str">
        <f>'[3]LCIA-Elec'!BJ100</f>
        <v>3_Hub_1000km</v>
      </c>
      <c r="D228">
        <f>'[3]LCIA-Elec'!$AJ$68/$A$3</f>
        <v>0.32637075718015668</v>
      </c>
      <c r="E228" t="s">
        <v>105</v>
      </c>
      <c r="F228" t="s">
        <v>829</v>
      </c>
      <c r="G228">
        <f>'[3]LCIA-Elec'!BK100</f>
        <v>0.45101713599999999</v>
      </c>
      <c r="H228">
        <f>'[3]LCIA-Elec'!BL100</f>
        <v>0.23237529279999999</v>
      </c>
      <c r="I228">
        <f>'[3]LCIA-Elec'!BM100</f>
        <v>5.7761808000000006</v>
      </c>
      <c r="J228">
        <f>'[3]LCIA-Elec'!BN100</f>
        <v>7.6883519040000001E-2</v>
      </c>
      <c r="K228">
        <f>'[3]LCIA-Elec'!BO100</f>
        <v>2.1096224824000003</v>
      </c>
      <c r="L228">
        <f>'[3]LCIA-Elec'!BP100</f>
        <v>2.3644622399999999E-4</v>
      </c>
      <c r="M228">
        <f>'[3]LCIA-Elec'!BQ100</f>
        <v>0.22103384610400001</v>
      </c>
      <c r="N228">
        <f>'[3]LCIA-Elec'!BR100</f>
        <v>0.81747267200000018</v>
      </c>
      <c r="O228">
        <f>'[3]LCIA-Elec'!BS100</f>
        <v>0.32829409680000005</v>
      </c>
      <c r="P228">
        <f>'[3]LCIA-Elec'!BT100</f>
        <v>9.562099155368001</v>
      </c>
      <c r="Q228">
        <f>'[3]LCIA-Elec'!BU100</f>
        <v>3.3949408E-2</v>
      </c>
      <c r="R228">
        <f>'[3]LCIA-Elec'!BV100</f>
        <v>0.44648020799999988</v>
      </c>
      <c r="S228">
        <f>'[3]LCIA-Elec'!BW100</f>
        <v>0.14820180160000002</v>
      </c>
      <c r="T228">
        <f>'[3]LCIA-Elec'!BX100</f>
        <v>2.7732872000000006E-2</v>
      </c>
      <c r="U228">
        <f>'[3]LCIA-Elec'!BY100</f>
        <v>3.6066015999999996E-4</v>
      </c>
      <c r="V228">
        <f>'[3]LCIA-Elec'!BZ100</f>
        <v>0.24352468800000002</v>
      </c>
      <c r="W228">
        <f>'[3]LCIA-Elec'!CA100</f>
        <v>0.14084964880000003</v>
      </c>
      <c r="X228">
        <f>'[3]LCIA-Elec'!CB100</f>
        <v>2.3920895999999994E-2</v>
      </c>
      <c r="Y228">
        <f>'[3]LCIA-Elec'!CC100</f>
        <v>1.1369755600000002E-4</v>
      </c>
      <c r="Z228">
        <f>'[3]LCIA-Elec'!CD100</f>
        <v>1.17935696E-2</v>
      </c>
      <c r="AA228">
        <f>'[3]LCIA-Elec'!CE100</f>
        <v>-1.9343140000000001E-5</v>
      </c>
      <c r="AB228">
        <f>'[3]LCIA-Elec'!CF100</f>
        <v>2.0541924000000002E-8</v>
      </c>
      <c r="AC228">
        <f>'[3]LCIA-Elec'!CG100</f>
        <v>1.2071120319999999E-3</v>
      </c>
      <c r="AD228">
        <f>'[3]LCIA-Elec'!CH100</f>
        <v>8.0879240000000005E-4</v>
      </c>
      <c r="AE228">
        <f>'[3]LCIA-Elec'!CI100</f>
        <v>1.1472310399999999E-3</v>
      </c>
      <c r="AF228">
        <f>'[3]LCIA-Elec'!CJ100</f>
        <v>2.9012126400000004E-5</v>
      </c>
      <c r="AG228">
        <f>'[3]LCIA-Elec'!CK100</f>
        <v>2.4035167199999998E-3</v>
      </c>
      <c r="AH228">
        <f>'[3]LCIA-Elec'!CL100</f>
        <v>3.9350725600000008E-3</v>
      </c>
    </row>
    <row r="229" spans="2:34" x14ac:dyDescent="0.25">
      <c r="B229" t="str">
        <f>'[3]3_Hub_1000km'!Y386</f>
        <v>Newark Liberty International Airport</v>
      </c>
      <c r="C229" t="str">
        <f>C213</f>
        <v>market for electricity, low voltage, US-RFC</v>
      </c>
      <c r="D229">
        <f>'[3]3_Hub_1000km'!$Z386/$A$3</f>
        <v>0.34464751958224543</v>
      </c>
      <c r="E229" t="str">
        <f t="shared" ref="E229:AH229" si="188">E213</f>
        <v>kWh</v>
      </c>
      <c r="F229" t="str">
        <f t="shared" si="188"/>
        <v>Ecoinvent v3.7.1</v>
      </c>
      <c r="G229">
        <f t="shared" si="188"/>
        <v>0.61436999999999997</v>
      </c>
      <c r="H229">
        <f t="shared" si="188"/>
        <v>8.2399E-2</v>
      </c>
      <c r="I229">
        <f t="shared" si="188"/>
        <v>6.7473999999999998</v>
      </c>
      <c r="J229">
        <f t="shared" si="188"/>
        <v>4.0428000000000003E-4</v>
      </c>
      <c r="K229">
        <f t="shared" si="188"/>
        <v>4.3425000000000002</v>
      </c>
      <c r="L229">
        <f t="shared" si="188"/>
        <v>1.3322000000000001E-5</v>
      </c>
      <c r="M229">
        <f t="shared" si="188"/>
        <v>1.5082999999999999E-2</v>
      </c>
      <c r="N229">
        <f t="shared" si="188"/>
        <v>6.8917000000000006E-2</v>
      </c>
      <c r="O229">
        <f t="shared" si="188"/>
        <v>0.1275</v>
      </c>
      <c r="P229">
        <f t="shared" si="188"/>
        <v>11.384216602</v>
      </c>
      <c r="Q229">
        <f t="shared" si="188"/>
        <v>1.3875999999999999E-2</v>
      </c>
      <c r="R229">
        <f t="shared" si="188"/>
        <v>0.60836999999999997</v>
      </c>
      <c r="S229">
        <f t="shared" si="188"/>
        <v>0.16855999999999999</v>
      </c>
      <c r="T229">
        <f t="shared" si="188"/>
        <v>2.7827999999999999E-2</v>
      </c>
      <c r="U229">
        <f t="shared" si="188"/>
        <v>3.4965000000000002E-4</v>
      </c>
      <c r="V229">
        <f t="shared" si="188"/>
        <v>0.24507000000000001</v>
      </c>
      <c r="W229">
        <f t="shared" si="188"/>
        <v>0.28216999999999998</v>
      </c>
      <c r="X229">
        <f t="shared" si="188"/>
        <v>2.3791E-2</v>
      </c>
      <c r="Y229">
        <f t="shared" si="188"/>
        <v>1.1882E-4</v>
      </c>
      <c r="Z229">
        <f t="shared" si="188"/>
        <v>1.1622E-2</v>
      </c>
      <c r="AA229">
        <f t="shared" si="188"/>
        <v>-2.4247999999999999E-5</v>
      </c>
      <c r="AB229">
        <f t="shared" si="188"/>
        <v>1.8053E-8</v>
      </c>
      <c r="AC229">
        <f t="shared" si="188"/>
        <v>1.1259E-3</v>
      </c>
      <c r="AD229">
        <f t="shared" si="188"/>
        <v>9.8528999999999999E-4</v>
      </c>
      <c r="AE229">
        <f t="shared" si="188"/>
        <v>1.8718000000000001E-3</v>
      </c>
      <c r="AF229">
        <f t="shared" si="188"/>
        <v>2.6829999999999999E-5</v>
      </c>
      <c r="AG229">
        <f t="shared" si="188"/>
        <v>2.5512999999999998E-3</v>
      </c>
      <c r="AH229">
        <f t="shared" si="188"/>
        <v>2.2418E-3</v>
      </c>
    </row>
    <row r="230" spans="2:34" x14ac:dyDescent="0.25">
      <c r="B230" t="str">
        <f>'[3]3_Hub_1000km'!Y387</f>
        <v>Seattle-Tacoma International Airport</v>
      </c>
      <c r="C230" t="str">
        <f>C214</f>
        <v>market for electricity, low voltage, US-WECC</v>
      </c>
      <c r="D230">
        <f>'[3]3_Hub_1000km'!$Z387/$A$3</f>
        <v>9.3994778067885115E-2</v>
      </c>
      <c r="E230" t="str">
        <f t="shared" ref="E230:AH230" si="189">E214</f>
        <v>kWh</v>
      </c>
      <c r="F230" t="str">
        <f t="shared" si="189"/>
        <v>Ecoinvent v3.7.1</v>
      </c>
      <c r="G230">
        <f t="shared" si="189"/>
        <v>0.41233999999999998</v>
      </c>
      <c r="H230">
        <f t="shared" si="189"/>
        <v>0.16356000000000001</v>
      </c>
      <c r="I230">
        <f t="shared" si="189"/>
        <v>5.2107000000000001</v>
      </c>
      <c r="J230">
        <f t="shared" si="189"/>
        <v>0.15804000000000001</v>
      </c>
      <c r="K230">
        <f t="shared" si="189"/>
        <v>1.1274</v>
      </c>
      <c r="L230">
        <f t="shared" si="189"/>
        <v>1.7768999999999999E-5</v>
      </c>
      <c r="M230">
        <f t="shared" si="189"/>
        <v>0.32883000000000001</v>
      </c>
      <c r="N230">
        <f t="shared" si="189"/>
        <v>1.0143</v>
      </c>
      <c r="O230">
        <f t="shared" si="189"/>
        <v>0.29749999999999999</v>
      </c>
      <c r="P230">
        <f t="shared" si="189"/>
        <v>8.300347769</v>
      </c>
      <c r="Q230">
        <f t="shared" si="189"/>
        <v>2.4857000000000001E-2</v>
      </c>
      <c r="R230">
        <f t="shared" si="189"/>
        <v>0.40821000000000002</v>
      </c>
      <c r="S230">
        <f t="shared" si="189"/>
        <v>0.13331000000000001</v>
      </c>
      <c r="T230">
        <f t="shared" si="189"/>
        <v>2.9420000000000002E-2</v>
      </c>
      <c r="U230">
        <f t="shared" si="189"/>
        <v>4.3196E-4</v>
      </c>
      <c r="V230">
        <f t="shared" si="189"/>
        <v>0.27927000000000002</v>
      </c>
      <c r="W230">
        <f t="shared" si="189"/>
        <v>7.3639999999999997E-2</v>
      </c>
      <c r="X230">
        <f t="shared" si="189"/>
        <v>2.5277999999999998E-2</v>
      </c>
      <c r="Y230">
        <f t="shared" si="189"/>
        <v>1.1887000000000001E-4</v>
      </c>
      <c r="Z230">
        <f t="shared" si="189"/>
        <v>1.1467E-2</v>
      </c>
      <c r="AA230">
        <f t="shared" si="189"/>
        <v>-1.4652E-5</v>
      </c>
      <c r="AB230">
        <f t="shared" si="189"/>
        <v>1.7493E-8</v>
      </c>
      <c r="AC230">
        <f t="shared" si="189"/>
        <v>1.5398E-3</v>
      </c>
      <c r="AD230">
        <f t="shared" si="189"/>
        <v>6.7785999999999996E-4</v>
      </c>
      <c r="AE230">
        <f t="shared" si="189"/>
        <v>7.8450000000000004E-4</v>
      </c>
      <c r="AF230">
        <f t="shared" si="189"/>
        <v>3.1801999999999998E-5</v>
      </c>
      <c r="AG230">
        <f t="shared" si="189"/>
        <v>2.3995000000000002E-3</v>
      </c>
      <c r="AH230">
        <f t="shared" si="189"/>
        <v>3.0509000000000001E-3</v>
      </c>
    </row>
    <row r="231" spans="2:34" x14ac:dyDescent="0.25">
      <c r="B231" t="str">
        <f>'[3]3_Hub_1000km'!Y388</f>
        <v>O'Hare International Airport</v>
      </c>
      <c r="C231" t="str">
        <f>C216</f>
        <v>market for electricity, low voltage, US-RFC</v>
      </c>
      <c r="D231">
        <f>'[3]3_Hub_1000km'!$Z388/$A$3</f>
        <v>0.2349869451697128</v>
      </c>
      <c r="E231" t="str">
        <f t="shared" ref="E231:AH231" si="190">E216</f>
        <v>kWh</v>
      </c>
      <c r="F231" t="str">
        <f t="shared" si="190"/>
        <v>Ecoinvent v3.7.1</v>
      </c>
      <c r="G231">
        <f t="shared" si="190"/>
        <v>0.61436999999999997</v>
      </c>
      <c r="H231">
        <f t="shared" si="190"/>
        <v>8.2399E-2</v>
      </c>
      <c r="I231">
        <f t="shared" si="190"/>
        <v>6.7473999999999998</v>
      </c>
      <c r="J231">
        <f t="shared" si="190"/>
        <v>4.0428000000000003E-4</v>
      </c>
      <c r="K231">
        <f t="shared" si="190"/>
        <v>4.3425000000000002</v>
      </c>
      <c r="L231">
        <f t="shared" si="190"/>
        <v>1.3322000000000001E-5</v>
      </c>
      <c r="M231">
        <f t="shared" si="190"/>
        <v>1.5082999999999999E-2</v>
      </c>
      <c r="N231">
        <f t="shared" si="190"/>
        <v>6.8917000000000006E-2</v>
      </c>
      <c r="O231">
        <f t="shared" si="190"/>
        <v>0.1275</v>
      </c>
      <c r="P231">
        <f t="shared" si="190"/>
        <v>11.384216602</v>
      </c>
      <c r="Q231">
        <f t="shared" si="190"/>
        <v>1.3875999999999999E-2</v>
      </c>
      <c r="R231">
        <f t="shared" si="190"/>
        <v>0.60836999999999997</v>
      </c>
      <c r="S231">
        <f t="shared" si="190"/>
        <v>0.16855999999999999</v>
      </c>
      <c r="T231">
        <f t="shared" si="190"/>
        <v>2.7827999999999999E-2</v>
      </c>
      <c r="U231">
        <f t="shared" si="190"/>
        <v>3.4965000000000002E-4</v>
      </c>
      <c r="V231">
        <f t="shared" si="190"/>
        <v>0.24507000000000001</v>
      </c>
      <c r="W231">
        <f t="shared" si="190"/>
        <v>0.28216999999999998</v>
      </c>
      <c r="X231">
        <f t="shared" si="190"/>
        <v>2.3791E-2</v>
      </c>
      <c r="Y231">
        <f t="shared" si="190"/>
        <v>1.1882E-4</v>
      </c>
      <c r="Z231">
        <f t="shared" si="190"/>
        <v>1.1622E-2</v>
      </c>
      <c r="AA231">
        <f t="shared" si="190"/>
        <v>-2.4247999999999999E-5</v>
      </c>
      <c r="AB231">
        <f t="shared" si="190"/>
        <v>1.8053E-8</v>
      </c>
      <c r="AC231">
        <f t="shared" si="190"/>
        <v>1.1259E-3</v>
      </c>
      <c r="AD231">
        <f t="shared" si="190"/>
        <v>9.8528999999999999E-4</v>
      </c>
      <c r="AE231">
        <f t="shared" si="190"/>
        <v>1.8718000000000001E-3</v>
      </c>
      <c r="AF231">
        <f t="shared" si="190"/>
        <v>2.6829999999999999E-5</v>
      </c>
      <c r="AG231">
        <f t="shared" si="190"/>
        <v>2.5512999999999998E-3</v>
      </c>
      <c r="AH231">
        <f t="shared" si="190"/>
        <v>2.2418E-3</v>
      </c>
    </row>
    <row r="232" spans="2:34" x14ac:dyDescent="0.25">
      <c r="B232" s="59" t="str">
        <f>C228</f>
        <v>3_Hub_1000km</v>
      </c>
      <c r="C232" s="59" t="s">
        <v>806</v>
      </c>
      <c r="D232" s="59">
        <f>SUM(D228:D231)</f>
        <v>1</v>
      </c>
      <c r="E232" s="59" t="s">
        <v>105</v>
      </c>
      <c r="F232" s="59"/>
      <c r="G232" s="59">
        <f>SUMPRODUCT($D228:$D231,G228:G231)</f>
        <v>0.54206663707571801</v>
      </c>
      <c r="H232" s="59">
        <f t="shared" ref="H232:AH232" si="191">SUMPRODUCT($D228:$D231,H228:H231)</f>
        <v>0.1389755864229765</v>
      </c>
      <c r="I232" s="59">
        <f t="shared" si="191"/>
        <v>6.2859806788511756</v>
      </c>
      <c r="J232" s="59">
        <f t="shared" si="191"/>
        <v>4.0181801671018279E-2</v>
      </c>
      <c r="K232" s="59">
        <f t="shared" si="191"/>
        <v>3.3115514629242826</v>
      </c>
      <c r="L232" s="59">
        <f t="shared" si="191"/>
        <v>8.6561216710182771E-5</v>
      </c>
      <c r="M232" s="59">
        <f t="shared" si="191"/>
        <v>0.11178991321932116</v>
      </c>
      <c r="N232" s="59">
        <f t="shared" si="191"/>
        <v>0.40208474673629258</v>
      </c>
      <c r="O232" s="59">
        <f t="shared" si="191"/>
        <v>0.20901243368146219</v>
      </c>
      <c r="P232" s="59">
        <f t="shared" si="191"/>
        <v>10.499663184723239</v>
      </c>
      <c r="Q232" s="59">
        <f t="shared" si="191"/>
        <v>2.1459530026109661E-2</v>
      </c>
      <c r="R232" s="59">
        <f t="shared" si="191"/>
        <v>0.53671991122715401</v>
      </c>
      <c r="S232" s="59">
        <f t="shared" si="191"/>
        <v>0.15860236344647519</v>
      </c>
      <c r="T232" s="59">
        <f t="shared" si="191"/>
        <v>2.794659268929504E-2</v>
      </c>
      <c r="U232" s="59">
        <f t="shared" si="191"/>
        <v>3.6098010443864231E-4</v>
      </c>
      <c r="V232" s="59">
        <f t="shared" si="191"/>
        <v>0.24778027676240211</v>
      </c>
      <c r="W232" s="59">
        <f t="shared" si="191"/>
        <v>0.21644643890339427</v>
      </c>
      <c r="X232" s="59">
        <f t="shared" si="191"/>
        <v>2.3973164490861617E-2</v>
      </c>
      <c r="Y232" s="59">
        <f t="shared" si="191"/>
        <v>1.1715288381201045E-4</v>
      </c>
      <c r="Z232" s="59">
        <f t="shared" si="191"/>
        <v>1.1663426109660575E-2</v>
      </c>
      <c r="AA232" s="59">
        <f t="shared" si="191"/>
        <v>-2.1745223237597911E-5</v>
      </c>
      <c r="AB232" s="59">
        <f t="shared" si="191"/>
        <v>1.8812674934725848E-8</v>
      </c>
      <c r="AC232" s="59">
        <f t="shared" si="191"/>
        <v>1.1913096710182767E-3</v>
      </c>
      <c r="AD232" s="59">
        <f t="shared" si="191"/>
        <v>8.9878953002610969E-4</v>
      </c>
      <c r="AE232" s="59">
        <f t="shared" si="191"/>
        <v>1.5331213577023501E-3</v>
      </c>
      <c r="AF232" s="59">
        <f t="shared" si="191"/>
        <v>2.8009524281984331E-5</v>
      </c>
      <c r="AG232" s="59">
        <f t="shared" si="191"/>
        <v>2.4887994516971279E-3</v>
      </c>
      <c r="AH232" s="59">
        <f t="shared" si="191"/>
        <v>2.8704858224543081E-3</v>
      </c>
    </row>
    <row r="233" spans="2:34" x14ac:dyDescent="0.25">
      <c r="B233" s="59" t="str">
        <f>B232</f>
        <v>3_Hub_1000km</v>
      </c>
      <c r="C233" s="59"/>
      <c r="D233" s="59"/>
      <c r="E233" s="59"/>
      <c r="F233" s="59"/>
      <c r="G233" s="59">
        <f>SUMPRODUCT($D229:$D231,G229:G231)/SUM($D229:$D231)</f>
        <v>0.5861797674418604</v>
      </c>
      <c r="H233" s="59">
        <f t="shared" ref="H233:AH233" si="192">SUMPRODUCT($D229:$D231,H229:H231)/SUM($D229:$D231)</f>
        <v>9.3723790697674406E-2</v>
      </c>
      <c r="I233" s="59">
        <f t="shared" si="192"/>
        <v>6.5329767441860458</v>
      </c>
      <c r="J233" s="59">
        <f t="shared" si="192"/>
        <v>2.2399961860465119E-2</v>
      </c>
      <c r="K233" s="59">
        <f t="shared" si="192"/>
        <v>3.8938813953488367</v>
      </c>
      <c r="L233" s="59">
        <f t="shared" si="192"/>
        <v>1.3942511627906976E-5</v>
      </c>
      <c r="M233" s="59">
        <f t="shared" si="192"/>
        <v>5.8861651162790699E-2</v>
      </c>
      <c r="N233" s="59">
        <f t="shared" si="192"/>
        <v>0.20083090697674419</v>
      </c>
      <c r="O233" s="59">
        <f t="shared" si="192"/>
        <v>0.15122093023255814</v>
      </c>
      <c r="P233" s="59">
        <f t="shared" si="192"/>
        <v>10.953909322976743</v>
      </c>
      <c r="Q233" s="59">
        <f t="shared" si="192"/>
        <v>1.5408232558139534E-2</v>
      </c>
      <c r="R233" s="59">
        <f t="shared" si="192"/>
        <v>0.58044069767441853</v>
      </c>
      <c r="S233" s="59">
        <f t="shared" si="192"/>
        <v>0.16364139534883718</v>
      </c>
      <c r="T233" s="59">
        <f t="shared" si="192"/>
        <v>2.8050139534883715E-2</v>
      </c>
      <c r="U233" s="59">
        <f t="shared" si="192"/>
        <v>3.6113511627906976E-4</v>
      </c>
      <c r="V233" s="59">
        <f t="shared" si="192"/>
        <v>0.2498420930232558</v>
      </c>
      <c r="W233" s="59">
        <f t="shared" si="192"/>
        <v>0.25307279069767441</v>
      </c>
      <c r="X233" s="59">
        <f t="shared" si="192"/>
        <v>2.3998488372093025E-2</v>
      </c>
      <c r="Y233" s="59">
        <f t="shared" si="192"/>
        <v>1.1882697674418605E-4</v>
      </c>
      <c r="Z233" s="59">
        <f t="shared" si="192"/>
        <v>1.1600372093023257E-2</v>
      </c>
      <c r="AA233" s="59">
        <f t="shared" si="192"/>
        <v>-2.2909023255813952E-5</v>
      </c>
      <c r="AB233" s="59">
        <f t="shared" si="192"/>
        <v>1.7974860465116276E-8</v>
      </c>
      <c r="AC233" s="59">
        <f t="shared" si="192"/>
        <v>1.183653488372093E-3</v>
      </c>
      <c r="AD233" s="59">
        <f t="shared" si="192"/>
        <v>9.4239279069767423E-4</v>
      </c>
      <c r="AE233" s="59">
        <f t="shared" si="192"/>
        <v>1.7200837209302327E-3</v>
      </c>
      <c r="AF233" s="59">
        <f t="shared" si="192"/>
        <v>2.7523767441860465E-5</v>
      </c>
      <c r="AG233" s="59">
        <f t="shared" si="192"/>
        <v>2.5301186046511629E-3</v>
      </c>
      <c r="AH233" s="59">
        <f t="shared" si="192"/>
        <v>2.3546976744186045E-3</v>
      </c>
    </row>
    <row r="234" spans="2:34" x14ac:dyDescent="0.25">
      <c r="B234" t="s">
        <v>593</v>
      </c>
      <c r="C234" t="str">
        <f>'[3]LCIA-Elec'!BJ101</f>
        <v>4_Hub_1000km</v>
      </c>
      <c r="D234">
        <f>'[3]LCIA-Elec'!$AK$68/$A$3</f>
        <v>0.24804177545691905</v>
      </c>
      <c r="E234" t="s">
        <v>105</v>
      </c>
      <c r="F234" t="s">
        <v>829</v>
      </c>
      <c r="G234">
        <f>'[3]LCIA-Elec'!BK101</f>
        <v>0.4632309684210526</v>
      </c>
      <c r="H234">
        <f>'[3]LCIA-Elec'!BL101</f>
        <v>0.2541064378947368</v>
      </c>
      <c r="I234">
        <f>'[3]LCIA-Elec'!BM101</f>
        <v>5.9547536842105258</v>
      </c>
      <c r="J234">
        <f>'[3]LCIA-Elec'!BN101</f>
        <v>5.1255156631578931E-2</v>
      </c>
      <c r="K234">
        <f>'[3]LCIA-Elec'!BO101</f>
        <v>2.419798003157895</v>
      </c>
      <c r="L234">
        <f>'[3]LCIA-Elec'!BP101</f>
        <v>3.0550218947368417E-4</v>
      </c>
      <c r="M234">
        <f>'[3]LCIA-Elec'!BQ101</f>
        <v>0.18699295540000005</v>
      </c>
      <c r="N234">
        <f>'[3]LCIA-Elec'!BR101</f>
        <v>0.75531667368421063</v>
      </c>
      <c r="O234">
        <f>'[3]LCIA-Elec'!BS101</f>
        <v>0.33801854842105272</v>
      </c>
      <c r="P234">
        <f>'[3]LCIA-Elec'!BT101</f>
        <v>9.9605469615894702</v>
      </c>
      <c r="Q234">
        <f>'[3]LCIA-Elec'!BU101</f>
        <v>3.6820694736842116E-2</v>
      </c>
      <c r="R234">
        <f>'[3]LCIA-Elec'!BV101</f>
        <v>0.45856553684210527</v>
      </c>
      <c r="S234">
        <f>'[3]LCIA-Elec'!BW101</f>
        <v>0.15290447578947369</v>
      </c>
      <c r="T234">
        <f>'[3]LCIA-Elec'!BX101</f>
        <v>2.7200094736842106E-2</v>
      </c>
      <c r="U234">
        <f>'[3]LCIA-Elec'!BY101</f>
        <v>3.3814442105263158E-4</v>
      </c>
      <c r="V234">
        <f>'[3]LCIA-Elec'!BZ101</f>
        <v>0.23223669473684219</v>
      </c>
      <c r="W234">
        <f>'[3]LCIA-Elec'!CA101</f>
        <v>0.16207374842105263</v>
      </c>
      <c r="X234">
        <f>'[3]LCIA-Elec'!CB101</f>
        <v>2.3492336842105256E-2</v>
      </c>
      <c r="Y234">
        <f>'[3]LCIA-Elec'!CC101</f>
        <v>1.1206415263157894E-4</v>
      </c>
      <c r="Z234">
        <f>'[3]LCIA-Elec'!CD101</f>
        <v>1.1896696842105264E-2</v>
      </c>
      <c r="AA234">
        <f>'[3]LCIA-Elec'!CE101</f>
        <v>-2.0824552631578956E-5</v>
      </c>
      <c r="AB234">
        <f>'[3]LCIA-Elec'!CF101</f>
        <v>2.1504742105263157E-8</v>
      </c>
      <c r="AC234">
        <f>'[3]LCIA-Elec'!CG101</f>
        <v>1.1020526736842107E-3</v>
      </c>
      <c r="AD234">
        <f>'[3]LCIA-Elec'!CH101</f>
        <v>8.5013947368421064E-4</v>
      </c>
      <c r="AE234">
        <f>'[3]LCIA-Elec'!CI101</f>
        <v>1.2617776842105267E-3</v>
      </c>
      <c r="AF234">
        <f>'[3]LCIA-Elec'!CJ101</f>
        <v>2.8131113684210526E-5</v>
      </c>
      <c r="AG234">
        <f>'[3]LCIA-Elec'!CK101</f>
        <v>2.4047851578947368E-3</v>
      </c>
      <c r="AH234">
        <f>'[3]LCIA-Elec'!CL101</f>
        <v>4.2142849473684211E-3</v>
      </c>
    </row>
    <row r="235" spans="2:34" x14ac:dyDescent="0.25">
      <c r="B235" t="str">
        <f>'[3]4_Hub_1000km'!Y386</f>
        <v>Newark Liberty International Airport</v>
      </c>
      <c r="C235" t="str">
        <f>C229</f>
        <v>market for electricity, low voltage, US-RFC</v>
      </c>
      <c r="D235">
        <f>'[3]4_Hub_1000km'!$Z386/$A$3</f>
        <v>0.34464751958224543</v>
      </c>
      <c r="E235" t="str">
        <f t="shared" ref="E235:AH235" si="193">E229</f>
        <v>kWh</v>
      </c>
      <c r="F235" t="str">
        <f t="shared" si="193"/>
        <v>Ecoinvent v3.7.1</v>
      </c>
      <c r="G235">
        <f t="shared" si="193"/>
        <v>0.61436999999999997</v>
      </c>
      <c r="H235">
        <f t="shared" si="193"/>
        <v>8.2399E-2</v>
      </c>
      <c r="I235">
        <f t="shared" si="193"/>
        <v>6.7473999999999998</v>
      </c>
      <c r="J235">
        <f t="shared" si="193"/>
        <v>4.0428000000000003E-4</v>
      </c>
      <c r="K235">
        <f t="shared" si="193"/>
        <v>4.3425000000000002</v>
      </c>
      <c r="L235">
        <f t="shared" si="193"/>
        <v>1.3322000000000001E-5</v>
      </c>
      <c r="M235">
        <f t="shared" si="193"/>
        <v>1.5082999999999999E-2</v>
      </c>
      <c r="N235">
        <f t="shared" si="193"/>
        <v>6.8917000000000006E-2</v>
      </c>
      <c r="O235">
        <f t="shared" si="193"/>
        <v>0.1275</v>
      </c>
      <c r="P235">
        <f t="shared" si="193"/>
        <v>11.384216602</v>
      </c>
      <c r="Q235">
        <f t="shared" si="193"/>
        <v>1.3875999999999999E-2</v>
      </c>
      <c r="R235">
        <f t="shared" si="193"/>
        <v>0.60836999999999997</v>
      </c>
      <c r="S235">
        <f t="shared" si="193"/>
        <v>0.16855999999999999</v>
      </c>
      <c r="T235">
        <f t="shared" si="193"/>
        <v>2.7827999999999999E-2</v>
      </c>
      <c r="U235">
        <f t="shared" si="193"/>
        <v>3.4965000000000002E-4</v>
      </c>
      <c r="V235">
        <f t="shared" si="193"/>
        <v>0.24507000000000001</v>
      </c>
      <c r="W235">
        <f t="shared" si="193"/>
        <v>0.28216999999999998</v>
      </c>
      <c r="X235">
        <f t="shared" si="193"/>
        <v>2.3791E-2</v>
      </c>
      <c r="Y235">
        <f t="shared" si="193"/>
        <v>1.1882E-4</v>
      </c>
      <c r="Z235">
        <f t="shared" si="193"/>
        <v>1.1622E-2</v>
      </c>
      <c r="AA235">
        <f t="shared" si="193"/>
        <v>-2.4247999999999999E-5</v>
      </c>
      <c r="AB235">
        <f t="shared" si="193"/>
        <v>1.8053E-8</v>
      </c>
      <c r="AC235">
        <f t="shared" si="193"/>
        <v>1.1259E-3</v>
      </c>
      <c r="AD235">
        <f t="shared" si="193"/>
        <v>9.8528999999999999E-4</v>
      </c>
      <c r="AE235">
        <f t="shared" si="193"/>
        <v>1.8718000000000001E-3</v>
      </c>
      <c r="AF235">
        <f t="shared" si="193"/>
        <v>2.6829999999999999E-5</v>
      </c>
      <c r="AG235">
        <f t="shared" si="193"/>
        <v>2.5512999999999998E-3</v>
      </c>
      <c r="AH235">
        <f t="shared" si="193"/>
        <v>2.2418E-3</v>
      </c>
    </row>
    <row r="236" spans="2:34" x14ac:dyDescent="0.25">
      <c r="B236" t="str">
        <f>'[3]4_Hub_1000km'!Y387</f>
        <v>Seattle-Tacoma International Airport</v>
      </c>
      <c r="C236" t="str">
        <f>C230</f>
        <v>market for electricity, low voltage, US-WECC</v>
      </c>
      <c r="D236">
        <f>'[3]4_Hub_1000km'!$Z387/$A$3</f>
        <v>9.1383812010443863E-2</v>
      </c>
      <c r="E236" t="str">
        <f t="shared" ref="E236:AH236" si="194">E230</f>
        <v>kWh</v>
      </c>
      <c r="F236" t="str">
        <f t="shared" si="194"/>
        <v>Ecoinvent v3.7.1</v>
      </c>
      <c r="G236">
        <f t="shared" si="194"/>
        <v>0.41233999999999998</v>
      </c>
      <c r="H236">
        <f t="shared" si="194"/>
        <v>0.16356000000000001</v>
      </c>
      <c r="I236">
        <f t="shared" si="194"/>
        <v>5.2107000000000001</v>
      </c>
      <c r="J236">
        <f t="shared" si="194"/>
        <v>0.15804000000000001</v>
      </c>
      <c r="K236">
        <f t="shared" si="194"/>
        <v>1.1274</v>
      </c>
      <c r="L236">
        <f t="shared" si="194"/>
        <v>1.7768999999999999E-5</v>
      </c>
      <c r="M236">
        <f t="shared" si="194"/>
        <v>0.32883000000000001</v>
      </c>
      <c r="N236">
        <f t="shared" si="194"/>
        <v>1.0143</v>
      </c>
      <c r="O236">
        <f t="shared" si="194"/>
        <v>0.29749999999999999</v>
      </c>
      <c r="P236">
        <f t="shared" si="194"/>
        <v>8.300347769</v>
      </c>
      <c r="Q236">
        <f t="shared" si="194"/>
        <v>2.4857000000000001E-2</v>
      </c>
      <c r="R236">
        <f t="shared" si="194"/>
        <v>0.40821000000000002</v>
      </c>
      <c r="S236">
        <f t="shared" si="194"/>
        <v>0.13331000000000001</v>
      </c>
      <c r="T236">
        <f t="shared" si="194"/>
        <v>2.9420000000000002E-2</v>
      </c>
      <c r="U236">
        <f t="shared" si="194"/>
        <v>4.3196E-4</v>
      </c>
      <c r="V236">
        <f t="shared" si="194"/>
        <v>0.27927000000000002</v>
      </c>
      <c r="W236">
        <f t="shared" si="194"/>
        <v>7.3639999999999997E-2</v>
      </c>
      <c r="X236">
        <f t="shared" si="194"/>
        <v>2.5277999999999998E-2</v>
      </c>
      <c r="Y236">
        <f t="shared" si="194"/>
        <v>1.1887000000000001E-4</v>
      </c>
      <c r="Z236">
        <f t="shared" si="194"/>
        <v>1.1467E-2</v>
      </c>
      <c r="AA236">
        <f t="shared" si="194"/>
        <v>-1.4652E-5</v>
      </c>
      <c r="AB236">
        <f t="shared" si="194"/>
        <v>1.7493E-8</v>
      </c>
      <c r="AC236">
        <f t="shared" si="194"/>
        <v>1.5398E-3</v>
      </c>
      <c r="AD236">
        <f t="shared" si="194"/>
        <v>6.7785999999999996E-4</v>
      </c>
      <c r="AE236">
        <f t="shared" si="194"/>
        <v>7.8450000000000004E-4</v>
      </c>
      <c r="AF236">
        <f t="shared" si="194"/>
        <v>3.1801999999999998E-5</v>
      </c>
      <c r="AG236">
        <f t="shared" si="194"/>
        <v>2.3995000000000002E-3</v>
      </c>
      <c r="AH236">
        <f t="shared" si="194"/>
        <v>3.0509000000000001E-3</v>
      </c>
    </row>
    <row r="237" spans="2:34" x14ac:dyDescent="0.25">
      <c r="B237" t="str">
        <f>'[3]4_Hub_1000km'!Y388</f>
        <v>O'Hare International Airport</v>
      </c>
      <c r="C237" t="str">
        <f>C231</f>
        <v>market for electricity, low voltage, US-RFC</v>
      </c>
      <c r="D237">
        <f>'[3]4_Hub_1000km'!$Z388/$A$3</f>
        <v>0.2349869451697128</v>
      </c>
      <c r="E237" t="str">
        <f t="shared" ref="E237:AH237" si="195">E231</f>
        <v>kWh</v>
      </c>
      <c r="F237" t="str">
        <f t="shared" si="195"/>
        <v>Ecoinvent v3.7.1</v>
      </c>
      <c r="G237">
        <f t="shared" si="195"/>
        <v>0.61436999999999997</v>
      </c>
      <c r="H237">
        <f t="shared" si="195"/>
        <v>8.2399E-2</v>
      </c>
      <c r="I237">
        <f t="shared" si="195"/>
        <v>6.7473999999999998</v>
      </c>
      <c r="J237">
        <f t="shared" si="195"/>
        <v>4.0428000000000003E-4</v>
      </c>
      <c r="K237">
        <f t="shared" si="195"/>
        <v>4.3425000000000002</v>
      </c>
      <c r="L237">
        <f t="shared" si="195"/>
        <v>1.3322000000000001E-5</v>
      </c>
      <c r="M237">
        <f t="shared" si="195"/>
        <v>1.5082999999999999E-2</v>
      </c>
      <c r="N237">
        <f t="shared" si="195"/>
        <v>6.8917000000000006E-2</v>
      </c>
      <c r="O237">
        <f t="shared" si="195"/>
        <v>0.1275</v>
      </c>
      <c r="P237">
        <f t="shared" si="195"/>
        <v>11.384216602</v>
      </c>
      <c r="Q237">
        <f t="shared" si="195"/>
        <v>1.3875999999999999E-2</v>
      </c>
      <c r="R237">
        <f t="shared" si="195"/>
        <v>0.60836999999999997</v>
      </c>
      <c r="S237">
        <f t="shared" si="195"/>
        <v>0.16855999999999999</v>
      </c>
      <c r="T237">
        <f t="shared" si="195"/>
        <v>2.7827999999999999E-2</v>
      </c>
      <c r="U237">
        <f t="shared" si="195"/>
        <v>3.4965000000000002E-4</v>
      </c>
      <c r="V237">
        <f t="shared" si="195"/>
        <v>0.24507000000000001</v>
      </c>
      <c r="W237">
        <f t="shared" si="195"/>
        <v>0.28216999999999998</v>
      </c>
      <c r="X237">
        <f t="shared" si="195"/>
        <v>2.3791E-2</v>
      </c>
      <c r="Y237">
        <f t="shared" si="195"/>
        <v>1.1882E-4</v>
      </c>
      <c r="Z237">
        <f t="shared" si="195"/>
        <v>1.1622E-2</v>
      </c>
      <c r="AA237">
        <f t="shared" si="195"/>
        <v>-2.4247999999999999E-5</v>
      </c>
      <c r="AB237">
        <f t="shared" si="195"/>
        <v>1.8053E-8</v>
      </c>
      <c r="AC237">
        <f t="shared" si="195"/>
        <v>1.1259E-3</v>
      </c>
      <c r="AD237">
        <f t="shared" si="195"/>
        <v>9.8528999999999999E-4</v>
      </c>
      <c r="AE237">
        <f t="shared" si="195"/>
        <v>1.8718000000000001E-3</v>
      </c>
      <c r="AF237">
        <f t="shared" si="195"/>
        <v>2.6829999999999999E-5</v>
      </c>
      <c r="AG237">
        <f t="shared" si="195"/>
        <v>2.5512999999999998E-3</v>
      </c>
      <c r="AH237">
        <f t="shared" si="195"/>
        <v>2.2418E-3</v>
      </c>
    </row>
    <row r="238" spans="2:34" x14ac:dyDescent="0.25">
      <c r="B238" t="str">
        <f>'[3]4_Hub_1000km'!Y389</f>
        <v>McCarran International Airport</v>
      </c>
      <c r="C238" t="str">
        <f>'ACLCA_raw data'!L15</f>
        <v>market for electricity, low voltage, US-WECC</v>
      </c>
      <c r="D238">
        <f>'[3]4_Hub_1000km'!$Z389/$A$3</f>
        <v>8.0939947780678853E-2</v>
      </c>
      <c r="E238" t="str">
        <f>'ACLCA_raw data'!N15</f>
        <v>kWh</v>
      </c>
      <c r="F238" t="str">
        <f>'ACLCA_raw data'!O15</f>
        <v>Ecoinvent v3.7.1</v>
      </c>
      <c r="G238">
        <f>'ACLCA_raw data'!P15</f>
        <v>0.41233999999999998</v>
      </c>
      <c r="H238">
        <f>'ACLCA_raw data'!Q15</f>
        <v>0.16356000000000001</v>
      </c>
      <c r="I238">
        <f>'ACLCA_raw data'!R15</f>
        <v>5.2107000000000001</v>
      </c>
      <c r="J238">
        <f>'ACLCA_raw data'!S15</f>
        <v>0.15804000000000001</v>
      </c>
      <c r="K238">
        <f>'ACLCA_raw data'!T15</f>
        <v>1.1274</v>
      </c>
      <c r="L238">
        <f>'ACLCA_raw data'!U15</f>
        <v>1.7768999999999999E-5</v>
      </c>
      <c r="M238">
        <f>'ACLCA_raw data'!V15</f>
        <v>0.32883000000000001</v>
      </c>
      <c r="N238">
        <f>'ACLCA_raw data'!W15</f>
        <v>1.0143</v>
      </c>
      <c r="O238">
        <f>'ACLCA_raw data'!X15</f>
        <v>0.29749999999999999</v>
      </c>
      <c r="P238">
        <f>'ACLCA_raw data'!Y15</f>
        <v>8.300347769</v>
      </c>
      <c r="Q238">
        <f>'ACLCA_raw data'!Z15</f>
        <v>2.4857000000000001E-2</v>
      </c>
      <c r="R238">
        <f>'ACLCA_raw data'!AA15</f>
        <v>0.40821000000000002</v>
      </c>
      <c r="S238">
        <f>'ACLCA_raw data'!AB15</f>
        <v>0.13331000000000001</v>
      </c>
      <c r="T238">
        <f>'ACLCA_raw data'!AC15</f>
        <v>2.9420000000000002E-2</v>
      </c>
      <c r="U238">
        <f>'ACLCA_raw data'!AD15</f>
        <v>4.3196E-4</v>
      </c>
      <c r="V238">
        <f>'ACLCA_raw data'!AE15</f>
        <v>0.27927000000000002</v>
      </c>
      <c r="W238">
        <f>'ACLCA_raw data'!AF15</f>
        <v>7.3639999999999997E-2</v>
      </c>
      <c r="X238">
        <f>'ACLCA_raw data'!AG15</f>
        <v>2.5277999999999998E-2</v>
      </c>
      <c r="Y238">
        <f>'ACLCA_raw data'!AH15</f>
        <v>1.1887000000000001E-4</v>
      </c>
      <c r="Z238">
        <f>'ACLCA_raw data'!AI15</f>
        <v>1.1467E-2</v>
      </c>
      <c r="AA238">
        <f>'ACLCA_raw data'!AJ15</f>
        <v>-1.4652E-5</v>
      </c>
      <c r="AB238">
        <f>'ACLCA_raw data'!AK15</f>
        <v>1.7493E-8</v>
      </c>
      <c r="AC238">
        <f>'ACLCA_raw data'!AL15</f>
        <v>1.5398E-3</v>
      </c>
      <c r="AD238">
        <f>'ACLCA_raw data'!AM15</f>
        <v>6.7785999999999996E-4</v>
      </c>
      <c r="AE238">
        <f>'ACLCA_raw data'!AN15</f>
        <v>7.8450000000000004E-4</v>
      </c>
      <c r="AF238">
        <f>'ACLCA_raw data'!AO15</f>
        <v>3.1801999999999998E-5</v>
      </c>
      <c r="AG238">
        <f>'ACLCA_raw data'!AP15</f>
        <v>2.3995000000000002E-3</v>
      </c>
      <c r="AH238">
        <f>'ACLCA_raw data'!AQ15</f>
        <v>3.0509000000000001E-3</v>
      </c>
    </row>
    <row r="239" spans="2:34" x14ac:dyDescent="0.25">
      <c r="B239" s="59" t="str">
        <f>C234</f>
        <v>4_Hub_1000km</v>
      </c>
      <c r="C239" s="59" t="s">
        <v>806</v>
      </c>
      <c r="D239" s="59">
        <f>SUM(D234:D238)</f>
        <v>0.99999999999999989</v>
      </c>
      <c r="E239" s="59" t="s">
        <v>105</v>
      </c>
      <c r="F239" s="59"/>
      <c r="G239" s="59">
        <f>SUMPRODUCT($D234:$D238,G234:G238)</f>
        <v>0.54206663707571801</v>
      </c>
      <c r="H239" s="59">
        <f t="shared" ref="H239:AH239" si="196">SUMPRODUCT($D234:$D238,H234:H238)</f>
        <v>0.13897558642297647</v>
      </c>
      <c r="I239" s="59">
        <f t="shared" si="196"/>
        <v>6.2859806788511747</v>
      </c>
      <c r="J239" s="59">
        <f t="shared" si="196"/>
        <v>4.0181801671018272E-2</v>
      </c>
      <c r="K239" s="59">
        <f t="shared" si="196"/>
        <v>3.3115514629242822</v>
      </c>
      <c r="L239" s="59">
        <f t="shared" si="196"/>
        <v>8.6561216710182744E-5</v>
      </c>
      <c r="M239" s="59">
        <f t="shared" si="196"/>
        <v>0.11178991321932116</v>
      </c>
      <c r="N239" s="59">
        <f t="shared" si="196"/>
        <v>0.40208474673629246</v>
      </c>
      <c r="O239" s="59">
        <f t="shared" si="196"/>
        <v>0.20901243368146216</v>
      </c>
      <c r="P239" s="59">
        <f t="shared" si="196"/>
        <v>10.499663184723236</v>
      </c>
      <c r="Q239" s="59">
        <f t="shared" si="196"/>
        <v>2.1459530026109661E-2</v>
      </c>
      <c r="R239" s="59">
        <f t="shared" si="196"/>
        <v>0.53671991122715412</v>
      </c>
      <c r="S239" s="59">
        <f t="shared" si="196"/>
        <v>0.15860236344647521</v>
      </c>
      <c r="T239" s="59">
        <f t="shared" si="196"/>
        <v>2.794659268929504E-2</v>
      </c>
      <c r="U239" s="59">
        <f t="shared" si="196"/>
        <v>3.6098010443864231E-4</v>
      </c>
      <c r="V239" s="59">
        <f t="shared" si="196"/>
        <v>0.24778027676240216</v>
      </c>
      <c r="W239" s="59">
        <f t="shared" si="196"/>
        <v>0.21644643890339421</v>
      </c>
      <c r="X239" s="59">
        <f t="shared" si="196"/>
        <v>2.3973164490861617E-2</v>
      </c>
      <c r="Y239" s="59">
        <f t="shared" si="196"/>
        <v>1.1715288381201044E-4</v>
      </c>
      <c r="Z239" s="59">
        <f t="shared" si="196"/>
        <v>1.1663426109660577E-2</v>
      </c>
      <c r="AA239" s="59">
        <f t="shared" si="196"/>
        <v>-2.1745223237597911E-5</v>
      </c>
      <c r="AB239" s="59">
        <f t="shared" si="196"/>
        <v>1.8812674934725848E-8</v>
      </c>
      <c r="AC239" s="59">
        <f t="shared" si="196"/>
        <v>1.191309671018277E-3</v>
      </c>
      <c r="AD239" s="59">
        <f t="shared" si="196"/>
        <v>8.9878953002610958E-4</v>
      </c>
      <c r="AE239" s="59">
        <f t="shared" si="196"/>
        <v>1.5331213577023501E-3</v>
      </c>
      <c r="AF239" s="59">
        <f t="shared" si="196"/>
        <v>2.8009524281984328E-5</v>
      </c>
      <c r="AG239" s="59">
        <f t="shared" si="196"/>
        <v>2.4887994516971279E-3</v>
      </c>
      <c r="AH239" s="59">
        <f t="shared" si="196"/>
        <v>2.8704858224543081E-3</v>
      </c>
    </row>
    <row r="240" spans="2:34" x14ac:dyDescent="0.25">
      <c r="B240" s="59" t="str">
        <f>B239</f>
        <v>4_Hub_1000km</v>
      </c>
      <c r="C240" s="59"/>
      <c r="D240" s="59"/>
      <c r="E240" s="59"/>
      <c r="F240" s="59"/>
      <c r="G240" s="59">
        <f>SUMPRODUCT($D235:$D238,G235:G238)/SUM($D235:$D238)</f>
        <v>0.56807145833333328</v>
      </c>
      <c r="H240" s="59">
        <f t="shared" ref="H240:AH240" si="197">SUMPRODUCT($D235:$D238,H235:H238)/SUM($D235:$D238)</f>
        <v>0.10099839583333334</v>
      </c>
      <c r="I240" s="59">
        <f t="shared" si="197"/>
        <v>6.3952395833333338</v>
      </c>
      <c r="J240" s="59">
        <f t="shared" si="197"/>
        <v>3.6529132500000006E-2</v>
      </c>
      <c r="K240" s="59">
        <f t="shared" si="197"/>
        <v>3.6057062500000008</v>
      </c>
      <c r="L240" s="59">
        <f t="shared" si="197"/>
        <v>1.4341104166666666E-5</v>
      </c>
      <c r="M240" s="59">
        <f t="shared" si="197"/>
        <v>8.6983354166666693E-2</v>
      </c>
      <c r="N240" s="59">
        <f t="shared" si="197"/>
        <v>0.28556727083333333</v>
      </c>
      <c r="O240" s="59">
        <f t="shared" si="197"/>
        <v>0.16645833333333335</v>
      </c>
      <c r="P240" s="59">
        <f t="shared" si="197"/>
        <v>10.677496661104167</v>
      </c>
      <c r="Q240" s="59">
        <f t="shared" si="197"/>
        <v>1.6392479166666665E-2</v>
      </c>
      <c r="R240" s="59">
        <f t="shared" si="197"/>
        <v>0.5625</v>
      </c>
      <c r="S240" s="59">
        <f t="shared" si="197"/>
        <v>0.16048187499999997</v>
      </c>
      <c r="T240" s="59">
        <f t="shared" si="197"/>
        <v>2.8192833333333337E-2</v>
      </c>
      <c r="U240" s="59">
        <f t="shared" si="197"/>
        <v>3.6851270833333343E-4</v>
      </c>
      <c r="V240" s="59">
        <f t="shared" si="197"/>
        <v>0.25290750000000001</v>
      </c>
      <c r="W240" s="59">
        <f t="shared" si="197"/>
        <v>0.23438187499999996</v>
      </c>
      <c r="X240" s="59">
        <f t="shared" si="197"/>
        <v>2.413177083333333E-2</v>
      </c>
      <c r="Y240" s="59">
        <f t="shared" si="197"/>
        <v>1.1883145833333335E-4</v>
      </c>
      <c r="Z240" s="59">
        <f t="shared" si="197"/>
        <v>1.1586479166666667E-2</v>
      </c>
      <c r="AA240" s="59">
        <f t="shared" si="197"/>
        <v>-2.2048916666666665E-5</v>
      </c>
      <c r="AB240" s="59">
        <f t="shared" si="197"/>
        <v>1.7924666666666667E-8</v>
      </c>
      <c r="AC240" s="59">
        <f t="shared" si="197"/>
        <v>1.2207520833333334E-3</v>
      </c>
      <c r="AD240" s="59">
        <f t="shared" si="197"/>
        <v>9.1483729166666667E-4</v>
      </c>
      <c r="AE240" s="59">
        <f t="shared" si="197"/>
        <v>1.6226270833333335E-3</v>
      </c>
      <c r="AF240" s="59">
        <f t="shared" si="197"/>
        <v>2.7969416666666667E-5</v>
      </c>
      <c r="AG240" s="59">
        <f t="shared" si="197"/>
        <v>2.5165125000000004E-3</v>
      </c>
      <c r="AH240" s="59">
        <f t="shared" si="197"/>
        <v>2.4272187500000001E-3</v>
      </c>
    </row>
    <row r="241" spans="2:38" x14ac:dyDescent="0.25">
      <c r="B241" t="s">
        <v>593</v>
      </c>
      <c r="C241" t="str">
        <f>'[3]LCIA-Elec'!BJ102</f>
        <v>5_Hub_1000km</v>
      </c>
      <c r="D241">
        <f>'[3]LCIA-Elec'!$AL$68/$A$3</f>
        <v>0.18798955613577023</v>
      </c>
      <c r="E241" t="s">
        <v>105</v>
      </c>
      <c r="F241" t="s">
        <v>829</v>
      </c>
      <c r="G241">
        <f>'[3]LCIA-Elec'!BK102</f>
        <v>0.50265086111111101</v>
      </c>
      <c r="H241">
        <f>'[3]LCIA-Elec'!BL102</f>
        <v>0.22691661944444441</v>
      </c>
      <c r="I241">
        <f>'[3]LCIA-Elec'!BM102</f>
        <v>6.4284111111111093</v>
      </c>
      <c r="J241">
        <f>'[3]LCIA-Elec'!BN102</f>
        <v>6.5016409999999969E-2</v>
      </c>
      <c r="K241">
        <f>'[3]LCIA-Elec'!BO102</f>
        <v>2.0712427819444441</v>
      </c>
      <c r="L241">
        <f>'[3]LCIA-Elec'!BP102</f>
        <v>3.8948762499999999E-4</v>
      </c>
      <c r="M241">
        <f>'[3]LCIA-Elec'!BQ102</f>
        <v>0.16766362170833338</v>
      </c>
      <c r="N241">
        <f>'[3]LCIA-Elec'!BR102</f>
        <v>0.77506541666666651</v>
      </c>
      <c r="O241">
        <f>'[3]LCIA-Elec'!BS102</f>
        <v>0.29777711250000011</v>
      </c>
      <c r="P241">
        <f>'[3]LCIA-Elec'!BT102</f>
        <v>10.032482560999998</v>
      </c>
      <c r="Q241">
        <f>'[3]LCIA-Elec'!BU102</f>
        <v>3.4571402777777781E-2</v>
      </c>
      <c r="R241">
        <f>'[3]LCIA-Elec'!BV102</f>
        <v>0.49755813888888883</v>
      </c>
      <c r="S241">
        <f>'[3]LCIA-Elec'!BW102</f>
        <v>0.16466498888888892</v>
      </c>
      <c r="T241">
        <f>'[3]LCIA-Elec'!BX102</f>
        <v>2.8468111111111114E-2</v>
      </c>
      <c r="U241">
        <f>'[3]LCIA-Elec'!BY102</f>
        <v>3.6564970833333335E-4</v>
      </c>
      <c r="V241">
        <f>'[3]LCIA-Elec'!BZ102</f>
        <v>0.24990802777777782</v>
      </c>
      <c r="W241">
        <f>'[3]LCIA-Elec'!CA102</f>
        <v>0.14189466805555553</v>
      </c>
      <c r="X241">
        <f>'[3]LCIA-Elec'!CB102</f>
        <v>2.4468402777777773E-2</v>
      </c>
      <c r="Y241">
        <f>'[3]LCIA-Elec'!CC102</f>
        <v>1.2028671527777776E-4</v>
      </c>
      <c r="Z241">
        <f>'[3]LCIA-Elec'!CD102</f>
        <v>1.166075277777778E-2</v>
      </c>
      <c r="AA241">
        <f>'[3]LCIA-Elec'!CE102</f>
        <v>-2.3308516666666672E-5</v>
      </c>
      <c r="AB241">
        <f>'[3]LCIA-Elec'!CF102</f>
        <v>2.3281256944444443E-8</v>
      </c>
      <c r="AC241">
        <f>'[3]LCIA-Elec'!CG102</f>
        <v>1.3657224166666667E-3</v>
      </c>
      <c r="AD241">
        <f>'[3]LCIA-Elec'!CH102</f>
        <v>9.3198055555555577E-4</v>
      </c>
      <c r="AE241">
        <f>'[3]LCIA-Elec'!CI102</f>
        <v>1.4210745833333337E-3</v>
      </c>
      <c r="AF241">
        <f>'[3]LCIA-Elec'!CJ102</f>
        <v>3.1155622222222228E-5</v>
      </c>
      <c r="AG241">
        <f>'[3]LCIA-Elec'!CK102</f>
        <v>2.3515401388888887E-3</v>
      </c>
      <c r="AH241">
        <f>'[3]LCIA-Elec'!CL102</f>
        <v>4.3262190277777784E-3</v>
      </c>
    </row>
    <row r="242" spans="2:38" x14ac:dyDescent="0.25">
      <c r="B242" t="str">
        <f>'[3]5_Hub_1000km'!Y386</f>
        <v>Flughafen Frankfurt/Main</v>
      </c>
      <c r="C242" t="str">
        <f>C212</f>
        <v>market for electricity, low voltage, DE</v>
      </c>
      <c r="D242">
        <f>'[3]5_Hub_1000km'!$Z386/$A$3</f>
        <v>6.0052219321148827E-2</v>
      </c>
      <c r="E242" t="str">
        <f t="shared" ref="E242:AH242" si="198">E212</f>
        <v>kWh</v>
      </c>
      <c r="F242" t="str">
        <f t="shared" si="198"/>
        <v>Ecoinvent v3.7.1</v>
      </c>
      <c r="G242">
        <f t="shared" si="198"/>
        <v>0.54196</v>
      </c>
      <c r="H242">
        <f t="shared" si="198"/>
        <v>0.14645</v>
      </c>
      <c r="I242">
        <f t="shared" si="198"/>
        <v>6.0651000000000002</v>
      </c>
      <c r="J242">
        <f t="shared" si="198"/>
        <v>2.5809000000000001E-3</v>
      </c>
      <c r="K242">
        <f t="shared" si="198"/>
        <v>1.7815000000000001</v>
      </c>
      <c r="L242">
        <f t="shared" si="198"/>
        <v>3.0886999999999998E-5</v>
      </c>
      <c r="M242">
        <f t="shared" si="198"/>
        <v>0.46137</v>
      </c>
      <c r="N242">
        <f t="shared" si="198"/>
        <v>0.20688000000000001</v>
      </c>
      <c r="O242">
        <f t="shared" si="198"/>
        <v>0.72643999999999997</v>
      </c>
      <c r="P242">
        <f t="shared" si="198"/>
        <v>9.3903517870000002</v>
      </c>
      <c r="Q242">
        <f t="shared" si="198"/>
        <v>2.2039E-2</v>
      </c>
      <c r="R242">
        <f t="shared" si="198"/>
        <v>0.53620000000000001</v>
      </c>
      <c r="S242">
        <f t="shared" si="198"/>
        <v>0.14494000000000001</v>
      </c>
      <c r="T242">
        <f t="shared" si="198"/>
        <v>3.6583999999999998E-2</v>
      </c>
      <c r="U242">
        <f t="shared" si="198"/>
        <v>7.9215000000000004E-4</v>
      </c>
      <c r="V242">
        <f t="shared" si="198"/>
        <v>0.49026999999999998</v>
      </c>
      <c r="W242">
        <f t="shared" si="198"/>
        <v>9.1795000000000002E-2</v>
      </c>
      <c r="X242">
        <f t="shared" si="198"/>
        <v>3.2615999999999999E-2</v>
      </c>
      <c r="Y242">
        <f t="shared" si="198"/>
        <v>2.0006000000000001E-4</v>
      </c>
      <c r="Z242">
        <f t="shared" si="198"/>
        <v>1.4718E-2</v>
      </c>
      <c r="AA242">
        <f t="shared" si="198"/>
        <v>-2.1696E-5</v>
      </c>
      <c r="AB242">
        <f t="shared" si="198"/>
        <v>1.267E-8</v>
      </c>
      <c r="AC242">
        <f t="shared" si="198"/>
        <v>3.369E-4</v>
      </c>
      <c r="AD242">
        <f t="shared" si="198"/>
        <v>7.2397E-4</v>
      </c>
      <c r="AE242">
        <f t="shared" si="198"/>
        <v>9.6077000000000001E-4</v>
      </c>
      <c r="AF242">
        <f t="shared" si="198"/>
        <v>2.8184999999999999E-5</v>
      </c>
      <c r="AG242">
        <f t="shared" si="198"/>
        <v>3.2648999999999998E-3</v>
      </c>
      <c r="AH242">
        <f t="shared" si="198"/>
        <v>2.3346999999999999E-3</v>
      </c>
    </row>
    <row r="243" spans="2:38" x14ac:dyDescent="0.25">
      <c r="B243" t="str">
        <f>'[3]5_Hub_1000km'!Y387</f>
        <v>Newark Liberty International Airport</v>
      </c>
      <c r="C243" t="str">
        <f>C235</f>
        <v>market for electricity, low voltage, US-RFC</v>
      </c>
      <c r="D243">
        <f>'[3]5_Hub_1000km'!$Z387/$A$3</f>
        <v>0.34464751958224543</v>
      </c>
      <c r="E243" t="str">
        <f t="shared" ref="E243:AH243" si="199">E235</f>
        <v>kWh</v>
      </c>
      <c r="F243" t="str">
        <f t="shared" si="199"/>
        <v>Ecoinvent v3.7.1</v>
      </c>
      <c r="G243">
        <f t="shared" si="199"/>
        <v>0.61436999999999997</v>
      </c>
      <c r="H243">
        <f t="shared" si="199"/>
        <v>8.2399E-2</v>
      </c>
      <c r="I243">
        <f t="shared" si="199"/>
        <v>6.7473999999999998</v>
      </c>
      <c r="J243">
        <f t="shared" si="199"/>
        <v>4.0428000000000003E-4</v>
      </c>
      <c r="K243">
        <f t="shared" si="199"/>
        <v>4.3425000000000002</v>
      </c>
      <c r="L243">
        <f t="shared" si="199"/>
        <v>1.3322000000000001E-5</v>
      </c>
      <c r="M243">
        <f t="shared" si="199"/>
        <v>1.5082999999999999E-2</v>
      </c>
      <c r="N243">
        <f t="shared" si="199"/>
        <v>6.8917000000000006E-2</v>
      </c>
      <c r="O243">
        <f t="shared" si="199"/>
        <v>0.1275</v>
      </c>
      <c r="P243">
        <f t="shared" si="199"/>
        <v>11.384216602</v>
      </c>
      <c r="Q243">
        <f t="shared" si="199"/>
        <v>1.3875999999999999E-2</v>
      </c>
      <c r="R243">
        <f t="shared" si="199"/>
        <v>0.60836999999999997</v>
      </c>
      <c r="S243">
        <f t="shared" si="199"/>
        <v>0.16855999999999999</v>
      </c>
      <c r="T243">
        <f t="shared" si="199"/>
        <v>2.7827999999999999E-2</v>
      </c>
      <c r="U243">
        <f t="shared" si="199"/>
        <v>3.4965000000000002E-4</v>
      </c>
      <c r="V243">
        <f t="shared" si="199"/>
        <v>0.24507000000000001</v>
      </c>
      <c r="W243">
        <f t="shared" si="199"/>
        <v>0.28216999999999998</v>
      </c>
      <c r="X243">
        <f t="shared" si="199"/>
        <v>2.3791E-2</v>
      </c>
      <c r="Y243">
        <f t="shared" si="199"/>
        <v>1.1882E-4</v>
      </c>
      <c r="Z243">
        <f t="shared" si="199"/>
        <v>1.1622E-2</v>
      </c>
      <c r="AA243">
        <f t="shared" si="199"/>
        <v>-2.4247999999999999E-5</v>
      </c>
      <c r="AB243">
        <f t="shared" si="199"/>
        <v>1.8053E-8</v>
      </c>
      <c r="AC243">
        <f t="shared" si="199"/>
        <v>1.1259E-3</v>
      </c>
      <c r="AD243">
        <f t="shared" si="199"/>
        <v>9.8528999999999999E-4</v>
      </c>
      <c r="AE243">
        <f t="shared" si="199"/>
        <v>1.8718000000000001E-3</v>
      </c>
      <c r="AF243">
        <f t="shared" si="199"/>
        <v>2.6829999999999999E-5</v>
      </c>
      <c r="AG243">
        <f t="shared" si="199"/>
        <v>2.5512999999999998E-3</v>
      </c>
      <c r="AH243">
        <f t="shared" si="199"/>
        <v>2.2418E-3</v>
      </c>
    </row>
    <row r="244" spans="2:38" x14ac:dyDescent="0.25">
      <c r="B244" t="str">
        <f>'[3]5_Hub_1000km'!Y388</f>
        <v>Seattle-Tacoma International Airport</v>
      </c>
      <c r="C244" t="str">
        <f>C236</f>
        <v>market for electricity, low voltage, US-WECC</v>
      </c>
      <c r="D244">
        <f>'[3]5_Hub_1000km'!$Z388/$A$3</f>
        <v>9.1383812010443863E-2</v>
      </c>
      <c r="E244" t="str">
        <f t="shared" ref="E244:AH244" si="200">E236</f>
        <v>kWh</v>
      </c>
      <c r="F244" t="str">
        <f t="shared" si="200"/>
        <v>Ecoinvent v3.7.1</v>
      </c>
      <c r="G244">
        <f t="shared" si="200"/>
        <v>0.41233999999999998</v>
      </c>
      <c r="H244">
        <f t="shared" si="200"/>
        <v>0.16356000000000001</v>
      </c>
      <c r="I244">
        <f t="shared" si="200"/>
        <v>5.2107000000000001</v>
      </c>
      <c r="J244">
        <f t="shared" si="200"/>
        <v>0.15804000000000001</v>
      </c>
      <c r="K244">
        <f t="shared" si="200"/>
        <v>1.1274</v>
      </c>
      <c r="L244">
        <f t="shared" si="200"/>
        <v>1.7768999999999999E-5</v>
      </c>
      <c r="M244">
        <f t="shared" si="200"/>
        <v>0.32883000000000001</v>
      </c>
      <c r="N244">
        <f t="shared" si="200"/>
        <v>1.0143</v>
      </c>
      <c r="O244">
        <f t="shared" si="200"/>
        <v>0.29749999999999999</v>
      </c>
      <c r="P244">
        <f t="shared" si="200"/>
        <v>8.300347769</v>
      </c>
      <c r="Q244">
        <f t="shared" si="200"/>
        <v>2.4857000000000001E-2</v>
      </c>
      <c r="R244">
        <f t="shared" si="200"/>
        <v>0.40821000000000002</v>
      </c>
      <c r="S244">
        <f t="shared" si="200"/>
        <v>0.13331000000000001</v>
      </c>
      <c r="T244">
        <f t="shared" si="200"/>
        <v>2.9420000000000002E-2</v>
      </c>
      <c r="U244">
        <f t="shared" si="200"/>
        <v>4.3196E-4</v>
      </c>
      <c r="V244">
        <f t="shared" si="200"/>
        <v>0.27927000000000002</v>
      </c>
      <c r="W244">
        <f t="shared" si="200"/>
        <v>7.3639999999999997E-2</v>
      </c>
      <c r="X244">
        <f t="shared" si="200"/>
        <v>2.5277999999999998E-2</v>
      </c>
      <c r="Y244">
        <f t="shared" si="200"/>
        <v>1.1887000000000001E-4</v>
      </c>
      <c r="Z244">
        <f t="shared" si="200"/>
        <v>1.1467E-2</v>
      </c>
      <c r="AA244">
        <f t="shared" si="200"/>
        <v>-1.4652E-5</v>
      </c>
      <c r="AB244">
        <f t="shared" si="200"/>
        <v>1.7493E-8</v>
      </c>
      <c r="AC244">
        <f t="shared" si="200"/>
        <v>1.5398E-3</v>
      </c>
      <c r="AD244">
        <f t="shared" si="200"/>
        <v>6.7785999999999996E-4</v>
      </c>
      <c r="AE244">
        <f t="shared" si="200"/>
        <v>7.8450000000000004E-4</v>
      </c>
      <c r="AF244">
        <f t="shared" si="200"/>
        <v>3.1801999999999998E-5</v>
      </c>
      <c r="AG244">
        <f t="shared" si="200"/>
        <v>2.3995000000000002E-3</v>
      </c>
      <c r="AH244">
        <f t="shared" si="200"/>
        <v>3.0509000000000001E-3</v>
      </c>
    </row>
    <row r="245" spans="2:38" x14ac:dyDescent="0.25">
      <c r="B245" t="str">
        <f>'[3]5_Hub_1000km'!Y389</f>
        <v>O'Hare International Airport</v>
      </c>
      <c r="C245" t="str">
        <f>C237</f>
        <v>market for electricity, low voltage, US-RFC</v>
      </c>
      <c r="D245">
        <f>'[3]5_Hub_1000km'!$Z389/$A$3</f>
        <v>0.2349869451697128</v>
      </c>
      <c r="E245" t="str">
        <f t="shared" ref="E245:AH245" si="201">E237</f>
        <v>kWh</v>
      </c>
      <c r="F245" t="str">
        <f t="shared" si="201"/>
        <v>Ecoinvent v3.7.1</v>
      </c>
      <c r="G245">
        <f t="shared" si="201"/>
        <v>0.61436999999999997</v>
      </c>
      <c r="H245">
        <f t="shared" si="201"/>
        <v>8.2399E-2</v>
      </c>
      <c r="I245">
        <f t="shared" si="201"/>
        <v>6.7473999999999998</v>
      </c>
      <c r="J245">
        <f t="shared" si="201"/>
        <v>4.0428000000000003E-4</v>
      </c>
      <c r="K245">
        <f t="shared" si="201"/>
        <v>4.3425000000000002</v>
      </c>
      <c r="L245">
        <f t="shared" si="201"/>
        <v>1.3322000000000001E-5</v>
      </c>
      <c r="M245">
        <f t="shared" si="201"/>
        <v>1.5082999999999999E-2</v>
      </c>
      <c r="N245">
        <f t="shared" si="201"/>
        <v>6.8917000000000006E-2</v>
      </c>
      <c r="O245">
        <f t="shared" si="201"/>
        <v>0.1275</v>
      </c>
      <c r="P245">
        <f t="shared" si="201"/>
        <v>11.384216602</v>
      </c>
      <c r="Q245">
        <f t="shared" si="201"/>
        <v>1.3875999999999999E-2</v>
      </c>
      <c r="R245">
        <f t="shared" si="201"/>
        <v>0.60836999999999997</v>
      </c>
      <c r="S245">
        <f t="shared" si="201"/>
        <v>0.16855999999999999</v>
      </c>
      <c r="T245">
        <f t="shared" si="201"/>
        <v>2.7827999999999999E-2</v>
      </c>
      <c r="U245">
        <f t="shared" si="201"/>
        <v>3.4965000000000002E-4</v>
      </c>
      <c r="V245">
        <f t="shared" si="201"/>
        <v>0.24507000000000001</v>
      </c>
      <c r="W245">
        <f t="shared" si="201"/>
        <v>0.28216999999999998</v>
      </c>
      <c r="X245">
        <f t="shared" si="201"/>
        <v>2.3791E-2</v>
      </c>
      <c r="Y245">
        <f t="shared" si="201"/>
        <v>1.1882E-4</v>
      </c>
      <c r="Z245">
        <f t="shared" si="201"/>
        <v>1.1622E-2</v>
      </c>
      <c r="AA245">
        <f t="shared" si="201"/>
        <v>-2.4247999999999999E-5</v>
      </c>
      <c r="AB245">
        <f t="shared" si="201"/>
        <v>1.8053E-8</v>
      </c>
      <c r="AC245">
        <f t="shared" si="201"/>
        <v>1.1259E-3</v>
      </c>
      <c r="AD245">
        <f t="shared" si="201"/>
        <v>9.8528999999999999E-4</v>
      </c>
      <c r="AE245">
        <f t="shared" si="201"/>
        <v>1.8718000000000001E-3</v>
      </c>
      <c r="AF245">
        <f t="shared" si="201"/>
        <v>2.6829999999999999E-5</v>
      </c>
      <c r="AG245">
        <f t="shared" si="201"/>
        <v>2.5512999999999998E-3</v>
      </c>
      <c r="AH245">
        <f t="shared" si="201"/>
        <v>2.2418E-3</v>
      </c>
    </row>
    <row r="246" spans="2:38" x14ac:dyDescent="0.25">
      <c r="B246" t="str">
        <f>'[3]5_Hub_1000km'!Y390</f>
        <v>McCarran International Airport</v>
      </c>
      <c r="C246" t="str">
        <f>C238</f>
        <v>market for electricity, low voltage, US-WECC</v>
      </c>
      <c r="D246">
        <f>'[3]5_Hub_1000km'!$Z390/$A$3</f>
        <v>8.0939947780678853E-2</v>
      </c>
      <c r="E246" t="str">
        <f t="shared" ref="E246:AH246" si="202">E238</f>
        <v>kWh</v>
      </c>
      <c r="F246" t="str">
        <f t="shared" si="202"/>
        <v>Ecoinvent v3.7.1</v>
      </c>
      <c r="G246">
        <f t="shared" si="202"/>
        <v>0.41233999999999998</v>
      </c>
      <c r="H246">
        <f t="shared" si="202"/>
        <v>0.16356000000000001</v>
      </c>
      <c r="I246">
        <f t="shared" si="202"/>
        <v>5.2107000000000001</v>
      </c>
      <c r="J246">
        <f t="shared" si="202"/>
        <v>0.15804000000000001</v>
      </c>
      <c r="K246">
        <f t="shared" si="202"/>
        <v>1.1274</v>
      </c>
      <c r="L246">
        <f t="shared" si="202"/>
        <v>1.7768999999999999E-5</v>
      </c>
      <c r="M246">
        <f t="shared" si="202"/>
        <v>0.32883000000000001</v>
      </c>
      <c r="N246">
        <f t="shared" si="202"/>
        <v>1.0143</v>
      </c>
      <c r="O246">
        <f t="shared" si="202"/>
        <v>0.29749999999999999</v>
      </c>
      <c r="P246">
        <f t="shared" si="202"/>
        <v>8.300347769</v>
      </c>
      <c r="Q246">
        <f t="shared" si="202"/>
        <v>2.4857000000000001E-2</v>
      </c>
      <c r="R246">
        <f t="shared" si="202"/>
        <v>0.40821000000000002</v>
      </c>
      <c r="S246">
        <f t="shared" si="202"/>
        <v>0.13331000000000001</v>
      </c>
      <c r="T246">
        <f t="shared" si="202"/>
        <v>2.9420000000000002E-2</v>
      </c>
      <c r="U246">
        <f t="shared" si="202"/>
        <v>4.3196E-4</v>
      </c>
      <c r="V246">
        <f t="shared" si="202"/>
        <v>0.27927000000000002</v>
      </c>
      <c r="W246">
        <f t="shared" si="202"/>
        <v>7.3639999999999997E-2</v>
      </c>
      <c r="X246">
        <f t="shared" si="202"/>
        <v>2.5277999999999998E-2</v>
      </c>
      <c r="Y246">
        <f t="shared" si="202"/>
        <v>1.1887000000000001E-4</v>
      </c>
      <c r="Z246">
        <f t="shared" si="202"/>
        <v>1.1467E-2</v>
      </c>
      <c r="AA246">
        <f t="shared" si="202"/>
        <v>-1.4652E-5</v>
      </c>
      <c r="AB246">
        <f t="shared" si="202"/>
        <v>1.7493E-8</v>
      </c>
      <c r="AC246">
        <f t="shared" si="202"/>
        <v>1.5398E-3</v>
      </c>
      <c r="AD246">
        <f t="shared" si="202"/>
        <v>6.7785999999999996E-4</v>
      </c>
      <c r="AE246">
        <f t="shared" si="202"/>
        <v>7.8450000000000004E-4</v>
      </c>
      <c r="AF246">
        <f t="shared" si="202"/>
        <v>3.1801999999999998E-5</v>
      </c>
      <c r="AG246">
        <f t="shared" si="202"/>
        <v>2.3995000000000002E-3</v>
      </c>
      <c r="AH246">
        <f t="shared" si="202"/>
        <v>3.0509000000000001E-3</v>
      </c>
    </row>
    <row r="247" spans="2:38" x14ac:dyDescent="0.25">
      <c r="B247" s="59" t="str">
        <f>C241</f>
        <v>5_Hub_1000km</v>
      </c>
      <c r="C247" s="59" t="s">
        <v>806</v>
      </c>
      <c r="D247" s="59">
        <f>SUM(D241:D246)</f>
        <v>0.99999999999999989</v>
      </c>
      <c r="E247" s="59" t="s">
        <v>105</v>
      </c>
      <c r="F247" s="59"/>
      <c r="G247" s="59">
        <f>SUMPRODUCT($D241:$D246,G241:G246)</f>
        <v>0.55420501827676238</v>
      </c>
      <c r="H247" s="59">
        <f t="shared" ref="H247:AH247" si="203">SUMPRODUCT($D241:$D246,H241:H246)</f>
        <v>0.12739917650130547</v>
      </c>
      <c r="I247" s="59">
        <f t="shared" si="203"/>
        <v>6.3816498694516968</v>
      </c>
      <c r="J247" s="59">
        <f t="shared" si="203"/>
        <v>3.9845776449086157E-2</v>
      </c>
      <c r="K247" s="59">
        <f t="shared" si="203"/>
        <v>3.2076955099216709</v>
      </c>
      <c r="L247" s="59">
        <f t="shared" si="203"/>
        <v>8.5858349869451692E-5</v>
      </c>
      <c r="M247" s="59">
        <f t="shared" si="203"/>
        <v>0.12463315081723239</v>
      </c>
      <c r="N247" s="59">
        <f t="shared" si="203"/>
        <v>0.37286246475195817</v>
      </c>
      <c r="O247" s="59">
        <f t="shared" si="203"/>
        <v>0.22477303420365535</v>
      </c>
      <c r="P247" s="59">
        <f t="shared" si="203"/>
        <v>10.478944840446474</v>
      </c>
      <c r="Q247" s="59">
        <f t="shared" si="203"/>
        <v>2.0149013054830286E-2</v>
      </c>
      <c r="R247" s="59">
        <f t="shared" si="203"/>
        <v>0.5487122349869451</v>
      </c>
      <c r="S247" s="59">
        <f t="shared" si="203"/>
        <v>0.16033493263707571</v>
      </c>
      <c r="T247" s="59">
        <f t="shared" si="203"/>
        <v>2.8748490861618799E-2</v>
      </c>
      <c r="U247" s="59">
        <f t="shared" si="203"/>
        <v>3.9341485378590084E-4</v>
      </c>
      <c r="V247" s="59">
        <f t="shared" si="203"/>
        <v>0.26659777545691909</v>
      </c>
      <c r="W247" s="59">
        <f t="shared" si="203"/>
        <v>0.20843258772845952</v>
      </c>
      <c r="X247" s="59">
        <f t="shared" si="203"/>
        <v>2.4704550913838118E-2</v>
      </c>
      <c r="Y247" s="59">
        <f t="shared" si="203"/>
        <v>1.239829856396867E-4</v>
      </c>
      <c r="Z247" s="59">
        <f t="shared" si="203"/>
        <v>1.1788496605744127E-2</v>
      </c>
      <c r="AA247" s="59">
        <f t="shared" si="203"/>
        <v>-2.226451488250653E-5</v>
      </c>
      <c r="AB247" s="59">
        <f t="shared" si="203"/>
        <v>1.8616095300261096E-8</v>
      </c>
      <c r="AC247" s="59">
        <f t="shared" si="203"/>
        <v>1.1949277127937337E-3</v>
      </c>
      <c r="AD247" s="59">
        <f t="shared" si="203"/>
        <v>9.065980417754569E-4</v>
      </c>
      <c r="AE247" s="59">
        <f t="shared" si="203"/>
        <v>1.5449913315926894E-3</v>
      </c>
      <c r="AF247" s="59">
        <f t="shared" si="203"/>
        <v>2.8581336292428197E-5</v>
      </c>
      <c r="AG247" s="59">
        <f t="shared" si="203"/>
        <v>2.5304417493472583E-3</v>
      </c>
      <c r="AH247" s="59">
        <f t="shared" si="203"/>
        <v>2.7786550130548303E-3</v>
      </c>
    </row>
    <row r="248" spans="2:38" x14ac:dyDescent="0.25">
      <c r="B248" s="59" t="str">
        <f>B247</f>
        <v>5_Hub_1000km</v>
      </c>
      <c r="C248" s="59"/>
      <c r="D248" s="59"/>
      <c r="E248" s="59"/>
      <c r="F248" s="59"/>
      <c r="G248" s="59">
        <f>SUMPRODUCT($D242:$D246,G242:G246)/SUM($D242:$D246)</f>
        <v>0.56614038585209003</v>
      </c>
      <c r="H248" s="59">
        <f t="shared" ref="H248:AH248" si="204">SUMPRODUCT($D242:$D246,H242:H246)/SUM($D242:$D246)</f>
        <v>0.10435976848874597</v>
      </c>
      <c r="I248" s="59">
        <f t="shared" si="204"/>
        <v>6.3708241157556271</v>
      </c>
      <c r="J248" s="59">
        <f t="shared" si="204"/>
        <v>3.4018491511254023E-2</v>
      </c>
      <c r="K248" s="59">
        <f t="shared" si="204"/>
        <v>3.4707971061093246</v>
      </c>
      <c r="L248" s="59">
        <f t="shared" si="204"/>
        <v>1.5564755627009645E-5</v>
      </c>
      <c r="M248" s="59">
        <f t="shared" si="204"/>
        <v>0.11467111254019292</v>
      </c>
      <c r="N248" s="59">
        <f t="shared" si="204"/>
        <v>0.2797479549839228</v>
      </c>
      <c r="O248" s="59">
        <f t="shared" si="204"/>
        <v>0.20787176848874594</v>
      </c>
      <c r="P248" s="59">
        <f t="shared" si="204"/>
        <v>10.58230588263344</v>
      </c>
      <c r="Q248" s="59">
        <f t="shared" si="204"/>
        <v>1.6810067524115756E-2</v>
      </c>
      <c r="R248" s="59">
        <f t="shared" si="204"/>
        <v>0.56055498392282954</v>
      </c>
      <c r="S248" s="59">
        <f t="shared" si="204"/>
        <v>0.15933247588424435</v>
      </c>
      <c r="T248" s="59">
        <f t="shared" si="204"/>
        <v>2.8813401929260449E-2</v>
      </c>
      <c r="U248" s="59">
        <f t="shared" si="204"/>
        <v>3.9984279742765274E-4</v>
      </c>
      <c r="V248" s="59">
        <f t="shared" si="204"/>
        <v>0.27046163987138261</v>
      </c>
      <c r="W248" s="59">
        <f t="shared" si="204"/>
        <v>0.22383686495176841</v>
      </c>
      <c r="X248" s="59">
        <f t="shared" si="204"/>
        <v>2.4759221864951768E-2</v>
      </c>
      <c r="Y248" s="59">
        <f t="shared" si="204"/>
        <v>1.2483871382636656E-4</v>
      </c>
      <c r="Z248" s="59">
        <f t="shared" si="204"/>
        <v>1.1818070739549838E-2</v>
      </c>
      <c r="AA248" s="59">
        <f t="shared" si="204"/>
        <v>-2.2022816720257227E-5</v>
      </c>
      <c r="AB248" s="59">
        <f t="shared" si="204"/>
        <v>1.7536057877813506E-8</v>
      </c>
      <c r="AC248" s="59">
        <f t="shared" si="204"/>
        <v>1.1553868167202572E-3</v>
      </c>
      <c r="AD248" s="59">
        <f t="shared" si="204"/>
        <v>9.0072170418006425E-4</v>
      </c>
      <c r="AE248" s="59">
        <f t="shared" si="204"/>
        <v>1.5736794533762056E-3</v>
      </c>
      <c r="AF248" s="59">
        <f t="shared" si="204"/>
        <v>2.7985360128617357E-5</v>
      </c>
      <c r="AG248" s="59">
        <f t="shared" si="204"/>
        <v>2.571859485530546E-3</v>
      </c>
      <c r="AH248" s="59">
        <f t="shared" si="204"/>
        <v>2.4203765273311897E-3</v>
      </c>
    </row>
    <row r="249" spans="2:38" x14ac:dyDescent="0.25">
      <c r="B249" t="s">
        <v>593</v>
      </c>
      <c r="C249" t="str">
        <f>'[3]LCIA-Elec'!BJ103</f>
        <v>6_Hub_1000km</v>
      </c>
      <c r="D249">
        <f>'[3]LCIA-Elec'!$AM$68/$A$3</f>
        <v>0.13054830287206268</v>
      </c>
      <c r="E249" t="s">
        <v>105</v>
      </c>
      <c r="F249" t="s">
        <v>829</v>
      </c>
      <c r="G249">
        <f>'[3]LCIA-Elec'!BK103</f>
        <v>0.54238763999999995</v>
      </c>
      <c r="H249">
        <f>'[3]LCIA-Elec'!BL103</f>
        <v>0.25479353199999999</v>
      </c>
      <c r="I249">
        <f>'[3]LCIA-Elec'!BM103</f>
        <v>6.9642039999999996</v>
      </c>
      <c r="J249">
        <f>'[3]LCIA-Elec'!BN103</f>
        <v>2.40860304E-2</v>
      </c>
      <c r="K249">
        <f>'[3]LCIA-Elec'!BO103</f>
        <v>2.4865336060000001</v>
      </c>
      <c r="L249">
        <f>'[3]LCIA-Elec'!BP103</f>
        <v>5.5304382E-4</v>
      </c>
      <c r="M249">
        <f>'[3]LCIA-Elec'!BQ103</f>
        <v>9.675041526E-2</v>
      </c>
      <c r="N249">
        <f>'[3]LCIA-Elec'!BR103</f>
        <v>0.6698021999999999</v>
      </c>
      <c r="O249">
        <f>'[3]LCIA-Elec'!BS103</f>
        <v>0.297899042</v>
      </c>
      <c r="P249">
        <f>'[3]LCIA-Elec'!BT103</f>
        <v>10.794621869480002</v>
      </c>
      <c r="Q249">
        <f>'[3]LCIA-Elec'!BU103</f>
        <v>3.884573999999999E-2</v>
      </c>
      <c r="R249">
        <f>'[3]LCIA-Elec'!BV103</f>
        <v>0.53687132000000015</v>
      </c>
      <c r="S249">
        <f>'[3]LCIA-Elec'!BW103</f>
        <v>0.17846118400000002</v>
      </c>
      <c r="T249">
        <f>'[3]LCIA-Elec'!BX103</f>
        <v>2.8049280000000003E-2</v>
      </c>
      <c r="U249">
        <f>'[3]LCIA-Elec'!BY103</f>
        <v>3.3647317999999993E-4</v>
      </c>
      <c r="V249">
        <f>'[3]LCIA-Elec'!BZ103</f>
        <v>0.23698875999999999</v>
      </c>
      <c r="W249">
        <f>'[3]LCIA-Elec'!CA103</f>
        <v>0.17192672199999998</v>
      </c>
      <c r="X249">
        <f>'[3]LCIA-Elec'!CB103</f>
        <v>2.4112179999999997E-2</v>
      </c>
      <c r="Y249">
        <f>'[3]LCIA-Elec'!CC103</f>
        <v>1.2091007E-4</v>
      </c>
      <c r="Z249">
        <f>'[3]LCIA-Elec'!CD103</f>
        <v>1.1746004000000001E-2</v>
      </c>
      <c r="AA249">
        <f>'[3]LCIA-Elec'!CE103</f>
        <v>-2.7117383999999998E-5</v>
      </c>
      <c r="AB249">
        <f>'[3]LCIA-Elec'!CF103</f>
        <v>2.5828089999999997E-8</v>
      </c>
      <c r="AC249">
        <f>'[3]LCIA-Elec'!CG103</f>
        <v>1.28912828E-3</v>
      </c>
      <c r="AD249">
        <f>'[3]LCIA-Elec'!CH103</f>
        <v>1.0437936000000001E-3</v>
      </c>
      <c r="AE249">
        <f>'[3]LCIA-Elec'!CI103</f>
        <v>1.7011674000000001E-3</v>
      </c>
      <c r="AF249">
        <f>'[3]LCIA-Elec'!CJ103</f>
        <v>3.0871216000000001E-5</v>
      </c>
      <c r="AG249">
        <f>'[3]LCIA-Elec'!CK103</f>
        <v>2.3304377999999997E-3</v>
      </c>
      <c r="AH249">
        <f>'[3]LCIA-Elec'!CL103</f>
        <v>4.8873593999999984E-3</v>
      </c>
    </row>
    <row r="250" spans="2:38" x14ac:dyDescent="0.25">
      <c r="B250" t="str">
        <f>'[3]6_Hub_1000km'!Y386</f>
        <v>Flughafen Frankfurt/Main</v>
      </c>
      <c r="C250" t="str">
        <f>C242</f>
        <v>market for electricity, low voltage, DE</v>
      </c>
      <c r="D250">
        <f>'[3]6_Hub_1000km'!$Z386/$A$3</f>
        <v>6.0052219321148827E-2</v>
      </c>
      <c r="E250" t="str">
        <f t="shared" ref="E250:AH250" si="205">E242</f>
        <v>kWh</v>
      </c>
      <c r="F250" t="str">
        <f t="shared" si="205"/>
        <v>Ecoinvent v3.7.1</v>
      </c>
      <c r="G250">
        <f t="shared" si="205"/>
        <v>0.54196</v>
      </c>
      <c r="H250">
        <f t="shared" si="205"/>
        <v>0.14645</v>
      </c>
      <c r="I250">
        <f t="shared" si="205"/>
        <v>6.0651000000000002</v>
      </c>
      <c r="J250">
        <f t="shared" si="205"/>
        <v>2.5809000000000001E-3</v>
      </c>
      <c r="K250">
        <f t="shared" si="205"/>
        <v>1.7815000000000001</v>
      </c>
      <c r="L250">
        <f t="shared" si="205"/>
        <v>3.0886999999999998E-5</v>
      </c>
      <c r="M250">
        <f t="shared" si="205"/>
        <v>0.46137</v>
      </c>
      <c r="N250">
        <f t="shared" si="205"/>
        <v>0.20688000000000001</v>
      </c>
      <c r="O250">
        <f t="shared" si="205"/>
        <v>0.72643999999999997</v>
      </c>
      <c r="P250">
        <f t="shared" si="205"/>
        <v>9.3903517870000002</v>
      </c>
      <c r="Q250">
        <f t="shared" si="205"/>
        <v>2.2039E-2</v>
      </c>
      <c r="R250">
        <f t="shared" si="205"/>
        <v>0.53620000000000001</v>
      </c>
      <c r="S250">
        <f t="shared" si="205"/>
        <v>0.14494000000000001</v>
      </c>
      <c r="T250">
        <f t="shared" si="205"/>
        <v>3.6583999999999998E-2</v>
      </c>
      <c r="U250">
        <f t="shared" si="205"/>
        <v>7.9215000000000004E-4</v>
      </c>
      <c r="V250">
        <f t="shared" si="205"/>
        <v>0.49026999999999998</v>
      </c>
      <c r="W250">
        <f t="shared" si="205"/>
        <v>9.1795000000000002E-2</v>
      </c>
      <c r="X250">
        <f t="shared" si="205"/>
        <v>3.2615999999999999E-2</v>
      </c>
      <c r="Y250">
        <f t="shared" si="205"/>
        <v>2.0006000000000001E-4</v>
      </c>
      <c r="Z250">
        <f t="shared" si="205"/>
        <v>1.4718E-2</v>
      </c>
      <c r="AA250">
        <f t="shared" si="205"/>
        <v>-2.1696E-5</v>
      </c>
      <c r="AB250">
        <f t="shared" si="205"/>
        <v>1.267E-8</v>
      </c>
      <c r="AC250">
        <f t="shared" si="205"/>
        <v>3.369E-4</v>
      </c>
      <c r="AD250">
        <f t="shared" si="205"/>
        <v>7.2397E-4</v>
      </c>
      <c r="AE250">
        <f t="shared" si="205"/>
        <v>9.6077000000000001E-4</v>
      </c>
      <c r="AF250">
        <f t="shared" si="205"/>
        <v>2.8184999999999999E-5</v>
      </c>
      <c r="AG250">
        <f t="shared" si="205"/>
        <v>3.2648999999999998E-3</v>
      </c>
      <c r="AH250">
        <f t="shared" si="205"/>
        <v>2.3346999999999999E-3</v>
      </c>
    </row>
    <row r="251" spans="2:38" x14ac:dyDescent="0.25">
      <c r="B251" t="str">
        <f>'[3]6_Hub_1000km'!Y387</f>
        <v>Newark Liberty International Airport</v>
      </c>
      <c r="C251" t="str">
        <f>C243</f>
        <v>market for electricity, low voltage, US-RFC</v>
      </c>
      <c r="D251">
        <f>'[3]6_Hub_1000km'!$Z387/$A$3</f>
        <v>0.34464751958224543</v>
      </c>
      <c r="E251" t="str">
        <f t="shared" ref="E251:AH251" si="206">E243</f>
        <v>kWh</v>
      </c>
      <c r="F251" t="str">
        <f t="shared" si="206"/>
        <v>Ecoinvent v3.7.1</v>
      </c>
      <c r="G251">
        <f t="shared" si="206"/>
        <v>0.61436999999999997</v>
      </c>
      <c r="H251">
        <f t="shared" si="206"/>
        <v>8.2399E-2</v>
      </c>
      <c r="I251">
        <f t="shared" si="206"/>
        <v>6.7473999999999998</v>
      </c>
      <c r="J251">
        <f t="shared" si="206"/>
        <v>4.0428000000000003E-4</v>
      </c>
      <c r="K251">
        <f t="shared" si="206"/>
        <v>4.3425000000000002</v>
      </c>
      <c r="L251">
        <f t="shared" si="206"/>
        <v>1.3322000000000001E-5</v>
      </c>
      <c r="M251">
        <f t="shared" si="206"/>
        <v>1.5082999999999999E-2</v>
      </c>
      <c r="N251">
        <f t="shared" si="206"/>
        <v>6.8917000000000006E-2</v>
      </c>
      <c r="O251">
        <f t="shared" si="206"/>
        <v>0.1275</v>
      </c>
      <c r="P251">
        <f t="shared" si="206"/>
        <v>11.384216602</v>
      </c>
      <c r="Q251">
        <f t="shared" si="206"/>
        <v>1.3875999999999999E-2</v>
      </c>
      <c r="R251">
        <f t="shared" si="206"/>
        <v>0.60836999999999997</v>
      </c>
      <c r="S251">
        <f t="shared" si="206"/>
        <v>0.16855999999999999</v>
      </c>
      <c r="T251">
        <f t="shared" si="206"/>
        <v>2.7827999999999999E-2</v>
      </c>
      <c r="U251">
        <f t="shared" si="206"/>
        <v>3.4965000000000002E-4</v>
      </c>
      <c r="V251">
        <f t="shared" si="206"/>
        <v>0.24507000000000001</v>
      </c>
      <c r="W251">
        <f t="shared" si="206"/>
        <v>0.28216999999999998</v>
      </c>
      <c r="X251">
        <f t="shared" si="206"/>
        <v>2.3791E-2</v>
      </c>
      <c r="Y251">
        <f t="shared" si="206"/>
        <v>1.1882E-4</v>
      </c>
      <c r="Z251">
        <f t="shared" si="206"/>
        <v>1.1622E-2</v>
      </c>
      <c r="AA251">
        <f t="shared" si="206"/>
        <v>-2.4247999999999999E-5</v>
      </c>
      <c r="AB251">
        <f t="shared" si="206"/>
        <v>1.8053E-8</v>
      </c>
      <c r="AC251">
        <f t="shared" si="206"/>
        <v>1.1259E-3</v>
      </c>
      <c r="AD251">
        <f t="shared" si="206"/>
        <v>9.8528999999999999E-4</v>
      </c>
      <c r="AE251">
        <f t="shared" si="206"/>
        <v>1.8718000000000001E-3</v>
      </c>
      <c r="AF251">
        <f t="shared" si="206"/>
        <v>2.6829999999999999E-5</v>
      </c>
      <c r="AG251">
        <f t="shared" si="206"/>
        <v>2.5512999999999998E-3</v>
      </c>
      <c r="AH251">
        <f t="shared" si="206"/>
        <v>2.2418E-3</v>
      </c>
    </row>
    <row r="252" spans="2:38" x14ac:dyDescent="0.25">
      <c r="B252" t="str">
        <f>'[3]6_Hub_1000km'!Y388</f>
        <v>Seattle-Tacoma International Airport</v>
      </c>
      <c r="C252" t="str">
        <f>C244</f>
        <v>market for electricity, low voltage, US-WECC</v>
      </c>
      <c r="D252">
        <f>'[3]6_Hub_1000km'!$Z388/$A$3</f>
        <v>9.1383812010443863E-2</v>
      </c>
      <c r="E252" t="str">
        <f t="shared" ref="E252:AH252" si="207">E244</f>
        <v>kWh</v>
      </c>
      <c r="F252" t="str">
        <f t="shared" si="207"/>
        <v>Ecoinvent v3.7.1</v>
      </c>
      <c r="G252">
        <f t="shared" si="207"/>
        <v>0.41233999999999998</v>
      </c>
      <c r="H252">
        <f t="shared" si="207"/>
        <v>0.16356000000000001</v>
      </c>
      <c r="I252">
        <f t="shared" si="207"/>
        <v>5.2107000000000001</v>
      </c>
      <c r="J252">
        <f t="shared" si="207"/>
        <v>0.15804000000000001</v>
      </c>
      <c r="K252">
        <f t="shared" si="207"/>
        <v>1.1274</v>
      </c>
      <c r="L252">
        <f t="shared" si="207"/>
        <v>1.7768999999999999E-5</v>
      </c>
      <c r="M252">
        <f t="shared" si="207"/>
        <v>0.32883000000000001</v>
      </c>
      <c r="N252">
        <f t="shared" si="207"/>
        <v>1.0143</v>
      </c>
      <c r="O252">
        <f t="shared" si="207"/>
        <v>0.29749999999999999</v>
      </c>
      <c r="P252">
        <f t="shared" si="207"/>
        <v>8.300347769</v>
      </c>
      <c r="Q252">
        <f t="shared" si="207"/>
        <v>2.4857000000000001E-2</v>
      </c>
      <c r="R252">
        <f t="shared" si="207"/>
        <v>0.40821000000000002</v>
      </c>
      <c r="S252">
        <f t="shared" si="207"/>
        <v>0.13331000000000001</v>
      </c>
      <c r="T252">
        <f t="shared" si="207"/>
        <v>2.9420000000000002E-2</v>
      </c>
      <c r="U252">
        <f t="shared" si="207"/>
        <v>4.3196E-4</v>
      </c>
      <c r="V252">
        <f t="shared" si="207"/>
        <v>0.27927000000000002</v>
      </c>
      <c r="W252">
        <f t="shared" si="207"/>
        <v>7.3639999999999997E-2</v>
      </c>
      <c r="X252">
        <f t="shared" si="207"/>
        <v>2.5277999999999998E-2</v>
      </c>
      <c r="Y252">
        <f t="shared" si="207"/>
        <v>1.1887000000000001E-4</v>
      </c>
      <c r="Z252">
        <f t="shared" si="207"/>
        <v>1.1467E-2</v>
      </c>
      <c r="AA252">
        <f t="shared" si="207"/>
        <v>-1.4652E-5</v>
      </c>
      <c r="AB252">
        <f t="shared" si="207"/>
        <v>1.7493E-8</v>
      </c>
      <c r="AC252">
        <f t="shared" si="207"/>
        <v>1.5398E-3</v>
      </c>
      <c r="AD252">
        <f t="shared" si="207"/>
        <v>6.7785999999999996E-4</v>
      </c>
      <c r="AE252">
        <f t="shared" si="207"/>
        <v>7.8450000000000004E-4</v>
      </c>
      <c r="AF252">
        <f t="shared" si="207"/>
        <v>3.1801999999999998E-5</v>
      </c>
      <c r="AG252">
        <f t="shared" si="207"/>
        <v>2.3995000000000002E-3</v>
      </c>
      <c r="AH252">
        <f t="shared" si="207"/>
        <v>3.0509000000000001E-3</v>
      </c>
      <c r="AL252" s="16"/>
    </row>
    <row r="253" spans="2:38" x14ac:dyDescent="0.25">
      <c r="B253" t="str">
        <f>'[3]6_Hub_1000km'!Y389</f>
        <v>O'Hare International Airport</v>
      </c>
      <c r="C253" t="str">
        <f>C245</f>
        <v>market for electricity, low voltage, US-RFC</v>
      </c>
      <c r="D253">
        <f>'[3]6_Hub_1000km'!$Z389/$A$3</f>
        <v>0.2349869451697128</v>
      </c>
      <c r="E253" t="str">
        <f t="shared" ref="E253:AH253" si="208">E245</f>
        <v>kWh</v>
      </c>
      <c r="F253" t="str">
        <f t="shared" si="208"/>
        <v>Ecoinvent v3.7.1</v>
      </c>
      <c r="G253">
        <f t="shared" si="208"/>
        <v>0.61436999999999997</v>
      </c>
      <c r="H253">
        <f t="shared" si="208"/>
        <v>8.2399E-2</v>
      </c>
      <c r="I253">
        <f t="shared" si="208"/>
        <v>6.7473999999999998</v>
      </c>
      <c r="J253">
        <f t="shared" si="208"/>
        <v>4.0428000000000003E-4</v>
      </c>
      <c r="K253">
        <f t="shared" si="208"/>
        <v>4.3425000000000002</v>
      </c>
      <c r="L253">
        <f t="shared" si="208"/>
        <v>1.3322000000000001E-5</v>
      </c>
      <c r="M253">
        <f t="shared" si="208"/>
        <v>1.5082999999999999E-2</v>
      </c>
      <c r="N253">
        <f t="shared" si="208"/>
        <v>6.8917000000000006E-2</v>
      </c>
      <c r="O253">
        <f t="shared" si="208"/>
        <v>0.1275</v>
      </c>
      <c r="P253">
        <f t="shared" si="208"/>
        <v>11.384216602</v>
      </c>
      <c r="Q253">
        <f t="shared" si="208"/>
        <v>1.3875999999999999E-2</v>
      </c>
      <c r="R253">
        <f t="shared" si="208"/>
        <v>0.60836999999999997</v>
      </c>
      <c r="S253">
        <f t="shared" si="208"/>
        <v>0.16855999999999999</v>
      </c>
      <c r="T253">
        <f t="shared" si="208"/>
        <v>2.7827999999999999E-2</v>
      </c>
      <c r="U253">
        <f t="shared" si="208"/>
        <v>3.4965000000000002E-4</v>
      </c>
      <c r="V253">
        <f t="shared" si="208"/>
        <v>0.24507000000000001</v>
      </c>
      <c r="W253">
        <f t="shared" si="208"/>
        <v>0.28216999999999998</v>
      </c>
      <c r="X253">
        <f t="shared" si="208"/>
        <v>2.3791E-2</v>
      </c>
      <c r="Y253">
        <f t="shared" si="208"/>
        <v>1.1882E-4</v>
      </c>
      <c r="Z253">
        <f t="shared" si="208"/>
        <v>1.1622E-2</v>
      </c>
      <c r="AA253">
        <f t="shared" si="208"/>
        <v>-2.4247999999999999E-5</v>
      </c>
      <c r="AB253">
        <f t="shared" si="208"/>
        <v>1.8053E-8</v>
      </c>
      <c r="AC253">
        <f t="shared" si="208"/>
        <v>1.1259E-3</v>
      </c>
      <c r="AD253">
        <f t="shared" si="208"/>
        <v>9.8528999999999999E-4</v>
      </c>
      <c r="AE253">
        <f t="shared" si="208"/>
        <v>1.8718000000000001E-3</v>
      </c>
      <c r="AF253">
        <f t="shared" si="208"/>
        <v>2.6829999999999999E-5</v>
      </c>
      <c r="AG253">
        <f t="shared" si="208"/>
        <v>2.5512999999999998E-3</v>
      </c>
      <c r="AH253">
        <f t="shared" si="208"/>
        <v>2.2418E-3</v>
      </c>
    </row>
    <row r="254" spans="2:38" x14ac:dyDescent="0.25">
      <c r="B254" t="str">
        <f>'[3]6_Hub_1000km'!Y390</f>
        <v>Los Angeles International Airport</v>
      </c>
      <c r="C254" t="str">
        <f>'ACLCA_raw data'!L15</f>
        <v>market for electricity, low voltage, US-WECC</v>
      </c>
      <c r="D254">
        <f>'[3]6_Hub_1000km'!$Z390/$A$3</f>
        <v>7.5718015665796348E-2</v>
      </c>
      <c r="E254" t="str">
        <f>'ACLCA_raw data'!N15</f>
        <v>kWh</v>
      </c>
      <c r="F254" t="str">
        <f>'ACLCA_raw data'!O15</f>
        <v>Ecoinvent v3.7.1</v>
      </c>
      <c r="G254">
        <f>'ACLCA_raw data'!P15</f>
        <v>0.41233999999999998</v>
      </c>
      <c r="H254">
        <f>'ACLCA_raw data'!Q15</f>
        <v>0.16356000000000001</v>
      </c>
      <c r="I254">
        <f>'ACLCA_raw data'!R15</f>
        <v>5.2107000000000001</v>
      </c>
      <c r="J254">
        <f>'ACLCA_raw data'!S15</f>
        <v>0.15804000000000001</v>
      </c>
      <c r="K254">
        <f>'ACLCA_raw data'!T15</f>
        <v>1.1274</v>
      </c>
      <c r="L254">
        <f>'ACLCA_raw data'!U15</f>
        <v>1.7768999999999999E-5</v>
      </c>
      <c r="M254">
        <f>'ACLCA_raw data'!V15</f>
        <v>0.32883000000000001</v>
      </c>
      <c r="N254">
        <f>'ACLCA_raw data'!W15</f>
        <v>1.0143</v>
      </c>
      <c r="O254">
        <f>'ACLCA_raw data'!X15</f>
        <v>0.29749999999999999</v>
      </c>
      <c r="P254">
        <f>'ACLCA_raw data'!Y15</f>
        <v>8.300347769</v>
      </c>
      <c r="Q254">
        <f>'ACLCA_raw data'!Z15</f>
        <v>2.4857000000000001E-2</v>
      </c>
      <c r="R254">
        <f>'ACLCA_raw data'!AA15</f>
        <v>0.40821000000000002</v>
      </c>
      <c r="S254">
        <f>'ACLCA_raw data'!AB15</f>
        <v>0.13331000000000001</v>
      </c>
      <c r="T254">
        <f>'ACLCA_raw data'!AC15</f>
        <v>2.9420000000000002E-2</v>
      </c>
      <c r="U254">
        <f>'ACLCA_raw data'!AD15</f>
        <v>4.3196E-4</v>
      </c>
      <c r="V254">
        <f>'ACLCA_raw data'!AE15</f>
        <v>0.27927000000000002</v>
      </c>
      <c r="W254">
        <f>'ACLCA_raw data'!AF15</f>
        <v>7.3639999999999997E-2</v>
      </c>
      <c r="X254">
        <f>'ACLCA_raw data'!AG15</f>
        <v>2.5277999999999998E-2</v>
      </c>
      <c r="Y254">
        <f>'ACLCA_raw data'!AH15</f>
        <v>1.1887000000000001E-4</v>
      </c>
      <c r="Z254">
        <f>'ACLCA_raw data'!AI15</f>
        <v>1.1467E-2</v>
      </c>
      <c r="AA254">
        <f>'ACLCA_raw data'!AJ15</f>
        <v>-1.4652E-5</v>
      </c>
      <c r="AB254">
        <f>'ACLCA_raw data'!AK15</f>
        <v>1.7493E-8</v>
      </c>
      <c r="AC254">
        <f>'ACLCA_raw data'!AL15</f>
        <v>1.5398E-3</v>
      </c>
      <c r="AD254">
        <f>'ACLCA_raw data'!AM15</f>
        <v>6.7785999999999996E-4</v>
      </c>
      <c r="AE254">
        <f>'ACLCA_raw data'!AN15</f>
        <v>7.8450000000000004E-4</v>
      </c>
      <c r="AF254">
        <f>'ACLCA_raw data'!AO15</f>
        <v>3.1801999999999998E-5</v>
      </c>
      <c r="AG254">
        <f>'ACLCA_raw data'!AP15</f>
        <v>2.3995000000000002E-3</v>
      </c>
      <c r="AH254">
        <f>'ACLCA_raw data'!AQ15</f>
        <v>3.0509000000000001E-3</v>
      </c>
    </row>
    <row r="255" spans="2:38" x14ac:dyDescent="0.25">
      <c r="B255" t="str">
        <f>'[3]6_Hub_1000km'!Y391</f>
        <v>Denver International Airport</v>
      </c>
      <c r="C255" t="str">
        <f>C217</f>
        <v>market for electricity, low voltage, US-WECC</v>
      </c>
      <c r="D255">
        <f>'[3]6_Hub_1000km'!$Z391/$A$3</f>
        <v>6.2663185378590072E-2</v>
      </c>
      <c r="E255" t="str">
        <f t="shared" ref="E255:AH255" si="209">E217</f>
        <v>kWh</v>
      </c>
      <c r="F255" t="str">
        <f t="shared" si="209"/>
        <v>Ecoinvent v3.7.1</v>
      </c>
      <c r="G255">
        <f t="shared" si="209"/>
        <v>0.41233999999999998</v>
      </c>
      <c r="H255">
        <f t="shared" si="209"/>
        <v>0.16356000000000001</v>
      </c>
      <c r="I255">
        <f t="shared" si="209"/>
        <v>5.2107000000000001</v>
      </c>
      <c r="J255">
        <f t="shared" si="209"/>
        <v>0.15804000000000001</v>
      </c>
      <c r="K255">
        <f t="shared" si="209"/>
        <v>1.1274</v>
      </c>
      <c r="L255">
        <f t="shared" si="209"/>
        <v>1.7768999999999999E-5</v>
      </c>
      <c r="M255">
        <f t="shared" si="209"/>
        <v>0.32883000000000001</v>
      </c>
      <c r="N255">
        <f t="shared" si="209"/>
        <v>1.0143</v>
      </c>
      <c r="O255">
        <f t="shared" si="209"/>
        <v>0.29749999999999999</v>
      </c>
      <c r="P255">
        <f t="shared" si="209"/>
        <v>8.300347769</v>
      </c>
      <c r="Q255">
        <f t="shared" si="209"/>
        <v>2.4857000000000001E-2</v>
      </c>
      <c r="R255">
        <f t="shared" si="209"/>
        <v>0.40821000000000002</v>
      </c>
      <c r="S255">
        <f t="shared" si="209"/>
        <v>0.13331000000000001</v>
      </c>
      <c r="T255">
        <f t="shared" si="209"/>
        <v>2.9420000000000002E-2</v>
      </c>
      <c r="U255">
        <f t="shared" si="209"/>
        <v>4.3196E-4</v>
      </c>
      <c r="V255">
        <f t="shared" si="209"/>
        <v>0.27927000000000002</v>
      </c>
      <c r="W255">
        <f t="shared" si="209"/>
        <v>7.3639999999999997E-2</v>
      </c>
      <c r="X255">
        <f t="shared" si="209"/>
        <v>2.5277999999999998E-2</v>
      </c>
      <c r="Y255">
        <f t="shared" si="209"/>
        <v>1.1887000000000001E-4</v>
      </c>
      <c r="Z255">
        <f t="shared" si="209"/>
        <v>1.1467E-2</v>
      </c>
      <c r="AA255">
        <f t="shared" si="209"/>
        <v>-1.4652E-5</v>
      </c>
      <c r="AB255">
        <f t="shared" si="209"/>
        <v>1.7493E-8</v>
      </c>
      <c r="AC255">
        <f t="shared" si="209"/>
        <v>1.5398E-3</v>
      </c>
      <c r="AD255">
        <f t="shared" si="209"/>
        <v>6.7785999999999996E-4</v>
      </c>
      <c r="AE255">
        <f t="shared" si="209"/>
        <v>7.8450000000000004E-4</v>
      </c>
      <c r="AF255">
        <f t="shared" si="209"/>
        <v>3.1801999999999998E-5</v>
      </c>
      <c r="AG255">
        <f t="shared" si="209"/>
        <v>2.3995000000000002E-3</v>
      </c>
      <c r="AH255">
        <f t="shared" si="209"/>
        <v>3.0509000000000001E-3</v>
      </c>
    </row>
    <row r="256" spans="2:38" x14ac:dyDescent="0.25">
      <c r="B256" s="59" t="str">
        <f>C249</f>
        <v>6_Hub_1000km</v>
      </c>
      <c r="C256" s="59" t="s">
        <v>806</v>
      </c>
      <c r="D256" s="59">
        <f>SUM(D249:D255)</f>
        <v>1.0000000000000002</v>
      </c>
      <c r="E256" s="59" t="s">
        <v>105</v>
      </c>
      <c r="F256" s="59"/>
      <c r="G256" s="59">
        <f>SUMPRODUCT($D249:$D255,G249:G255)</f>
        <v>0.55420501827676238</v>
      </c>
      <c r="H256" s="59">
        <f t="shared" ref="H256:AH256" si="210">SUMPRODUCT($D249:$D255,H249:H255)</f>
        <v>0.1273991765013055</v>
      </c>
      <c r="I256" s="59">
        <f t="shared" si="210"/>
        <v>6.3816498694516977</v>
      </c>
      <c r="J256" s="59">
        <f t="shared" si="210"/>
        <v>3.9845776449086164E-2</v>
      </c>
      <c r="K256" s="59">
        <f t="shared" si="210"/>
        <v>3.2076955099216709</v>
      </c>
      <c r="L256" s="59">
        <f t="shared" si="210"/>
        <v>8.5858349869451705E-5</v>
      </c>
      <c r="M256" s="59">
        <f t="shared" si="210"/>
        <v>0.12463315081723239</v>
      </c>
      <c r="N256" s="59">
        <f t="shared" si="210"/>
        <v>0.37286246475195822</v>
      </c>
      <c r="O256" s="59">
        <f t="shared" si="210"/>
        <v>0.22477303420365535</v>
      </c>
      <c r="P256" s="59">
        <f t="shared" si="210"/>
        <v>10.478944840446475</v>
      </c>
      <c r="Q256" s="59">
        <f t="shared" si="210"/>
        <v>2.0149013054830286E-2</v>
      </c>
      <c r="R256" s="59">
        <f t="shared" si="210"/>
        <v>0.54871223498694521</v>
      </c>
      <c r="S256" s="59">
        <f t="shared" si="210"/>
        <v>0.16033493263707574</v>
      </c>
      <c r="T256" s="59">
        <f t="shared" si="210"/>
        <v>2.8748490861618799E-2</v>
      </c>
      <c r="U256" s="59">
        <f t="shared" si="210"/>
        <v>3.9341485378590084E-4</v>
      </c>
      <c r="V256" s="59">
        <f t="shared" si="210"/>
        <v>0.26659777545691909</v>
      </c>
      <c r="W256" s="59">
        <f t="shared" si="210"/>
        <v>0.20843258772845949</v>
      </c>
      <c r="X256" s="59">
        <f t="shared" si="210"/>
        <v>2.4704550913838118E-2</v>
      </c>
      <c r="Y256" s="59">
        <f t="shared" si="210"/>
        <v>1.239829856396867E-4</v>
      </c>
      <c r="Z256" s="59">
        <f t="shared" si="210"/>
        <v>1.1788496605744126E-2</v>
      </c>
      <c r="AA256" s="59">
        <f t="shared" si="210"/>
        <v>-2.2264514882506526E-5</v>
      </c>
      <c r="AB256" s="59">
        <f t="shared" si="210"/>
        <v>1.8616095300261093E-8</v>
      </c>
      <c r="AC256" s="59">
        <f t="shared" si="210"/>
        <v>1.1949277127937337E-3</v>
      </c>
      <c r="AD256" s="59">
        <f t="shared" si="210"/>
        <v>9.065980417754569E-4</v>
      </c>
      <c r="AE256" s="59">
        <f t="shared" si="210"/>
        <v>1.5449913315926894E-3</v>
      </c>
      <c r="AF256" s="59">
        <f t="shared" si="210"/>
        <v>2.8581336292428197E-5</v>
      </c>
      <c r="AG256" s="59">
        <f t="shared" si="210"/>
        <v>2.5304417493472588E-3</v>
      </c>
      <c r="AH256" s="59">
        <f t="shared" si="210"/>
        <v>2.7786550130548303E-3</v>
      </c>
    </row>
    <row r="257" spans="2:42" x14ac:dyDescent="0.25">
      <c r="B257" s="59" t="str">
        <f>B256</f>
        <v>6_Hub_1000km</v>
      </c>
      <c r="C257" s="59"/>
      <c r="D257" s="59"/>
      <c r="E257" s="59"/>
      <c r="F257" s="59"/>
      <c r="G257" s="59">
        <f>SUMPRODUCT($D250:$D255,G250:G255)/SUM($D250:$D255)</f>
        <v>0.55597939939939933</v>
      </c>
      <c r="H257" s="59">
        <f t="shared" ref="H257:AH257" si="211">SUMPRODUCT($D250:$D255,H250:H255)/SUM($D250:$D255)</f>
        <v>0.10827089489489489</v>
      </c>
      <c r="I257" s="59">
        <f t="shared" si="211"/>
        <v>6.2941792792792786</v>
      </c>
      <c r="J257" s="59">
        <f t="shared" si="211"/>
        <v>4.2212104684684684E-2</v>
      </c>
      <c r="K257" s="59">
        <f t="shared" si="211"/>
        <v>3.3159780780780772</v>
      </c>
      <c r="L257" s="59">
        <f t="shared" si="211"/>
        <v>1.5710381381381378E-5</v>
      </c>
      <c r="M257" s="59">
        <f t="shared" si="211"/>
        <v>0.12881974774774774</v>
      </c>
      <c r="N257" s="59">
        <f t="shared" si="211"/>
        <v>0.32827691891891886</v>
      </c>
      <c r="O257" s="59">
        <f t="shared" si="211"/>
        <v>0.21379315315315309</v>
      </c>
      <c r="P257" s="59">
        <f t="shared" si="211"/>
        <v>10.431545887138135</v>
      </c>
      <c r="Q257" s="59">
        <f t="shared" si="211"/>
        <v>1.7341696696696697E-2</v>
      </c>
      <c r="R257" s="59">
        <f t="shared" si="211"/>
        <v>0.55049015015015013</v>
      </c>
      <c r="S257" s="59">
        <f t="shared" si="211"/>
        <v>0.15761327327327326</v>
      </c>
      <c r="T257" s="59">
        <f t="shared" si="211"/>
        <v>2.8853477477477473E-2</v>
      </c>
      <c r="U257" s="59">
        <f t="shared" si="211"/>
        <v>4.0196465465465469E-4</v>
      </c>
      <c r="V257" s="59">
        <f t="shared" si="211"/>
        <v>0.27104357357357356</v>
      </c>
      <c r="W257" s="59">
        <f t="shared" si="211"/>
        <v>0.21391394894894888</v>
      </c>
      <c r="X257" s="59">
        <f t="shared" si="211"/>
        <v>2.4793495495495491E-2</v>
      </c>
      <c r="Y257" s="59">
        <f t="shared" si="211"/>
        <v>1.2444438438438438E-4</v>
      </c>
      <c r="Z257" s="59">
        <f t="shared" si="211"/>
        <v>1.1794876876876874E-2</v>
      </c>
      <c r="AA257" s="59">
        <f t="shared" si="211"/>
        <v>-2.1535855855855851E-5</v>
      </c>
      <c r="AB257" s="59">
        <f t="shared" si="211"/>
        <v>1.7533213213213208E-8</v>
      </c>
      <c r="AC257" s="59">
        <f t="shared" si="211"/>
        <v>1.1807834834834834E-3</v>
      </c>
      <c r="AD257" s="59">
        <f t="shared" si="211"/>
        <v>8.8599810810810801E-4</v>
      </c>
      <c r="AE257" s="59">
        <f t="shared" si="211"/>
        <v>1.5215414714714712E-3</v>
      </c>
      <c r="AF257" s="59">
        <f t="shared" si="211"/>
        <v>2.8237510510510504E-5</v>
      </c>
      <c r="AG257" s="59">
        <f t="shared" si="211"/>
        <v>2.5604723723723719E-3</v>
      </c>
      <c r="AH257" s="59">
        <f t="shared" si="211"/>
        <v>2.4620327327327324E-3</v>
      </c>
    </row>
    <row r="258" spans="2:42" x14ac:dyDescent="0.25">
      <c r="B258" t="s">
        <v>593</v>
      </c>
      <c r="C258" t="str">
        <f>'[3]LCIA-Elec'!BJ104</f>
        <v>1_Hub_3000km</v>
      </c>
      <c r="D258">
        <f>'[3]LCIA-Elec'!$AN$68/$A$3</f>
        <v>0.12271540469973891</v>
      </c>
      <c r="E258" t="s">
        <v>105</v>
      </c>
      <c r="F258" t="s">
        <v>829</v>
      </c>
      <c r="G258">
        <f>'[3]LCIA-Elec'!BK104</f>
        <v>0.42206004255319152</v>
      </c>
      <c r="H258">
        <f>'[3]LCIA-Elec'!BL104</f>
        <v>0.27773488510638294</v>
      </c>
      <c r="I258">
        <f>'[3]LCIA-Elec'!BM104</f>
        <v>5.6099978723404256</v>
      </c>
      <c r="J258">
        <f>'[3]LCIA-Elec'!BN104</f>
        <v>3.6036891489361705E-2</v>
      </c>
      <c r="K258">
        <f>'[3]LCIA-Elec'!BO104</f>
        <v>2.4783623042553193</v>
      </c>
      <c r="L258">
        <f>'[3]LCIA-Elec'!BP104</f>
        <v>5.9655778297872347E-4</v>
      </c>
      <c r="M258">
        <f>'[3]LCIA-Elec'!BQ104</f>
        <v>0.20932792697872343</v>
      </c>
      <c r="N258">
        <f>'[3]LCIA-Elec'!BR104</f>
        <v>0.92771036170212762</v>
      </c>
      <c r="O258">
        <f>'[3]LCIA-Elec'!BS104</f>
        <v>0.3809544574468085</v>
      </c>
      <c r="P258">
        <f>'[3]LCIA-Elec'!BT104</f>
        <v>9.9207212571021284</v>
      </c>
      <c r="Q258">
        <f>'[3]LCIA-Elec'!BU104</f>
        <v>3.830732978723405E-2</v>
      </c>
      <c r="R258">
        <f>'[3]LCIA-Elec'!BV104</f>
        <v>0.4176933191489362</v>
      </c>
      <c r="S258">
        <f>'[3]LCIA-Elec'!BW104</f>
        <v>0.1441104085106383</v>
      </c>
      <c r="T258">
        <f>'[3]LCIA-Elec'!BX104</f>
        <v>2.4288340425531917E-2</v>
      </c>
      <c r="U258">
        <f>'[3]LCIA-Elec'!BY104</f>
        <v>2.0811461702127657E-4</v>
      </c>
      <c r="V258">
        <f>'[3]LCIA-Elec'!BZ104</f>
        <v>0.15774644680851063</v>
      </c>
      <c r="W258">
        <f>'[3]LCIA-Elec'!CA104</f>
        <v>0.16291966382978726</v>
      </c>
      <c r="X258">
        <f>'[3]LCIA-Elec'!CB104</f>
        <v>2.1189638297872342E-2</v>
      </c>
      <c r="Y258">
        <f>'[3]LCIA-Elec'!CC104</f>
        <v>9.2149180851063808E-5</v>
      </c>
      <c r="Z258">
        <f>'[3]LCIA-Elec'!CD104</f>
        <v>1.2239514893617022E-2</v>
      </c>
      <c r="AA258">
        <f>'[3]LCIA-Elec'!CE104</f>
        <v>-1.722277659574468E-5</v>
      </c>
      <c r="AB258">
        <f>'[3]LCIA-Elec'!CF104</f>
        <v>2.1190512765957446E-8</v>
      </c>
      <c r="AC258">
        <f>'[3]LCIA-Elec'!CG104</f>
        <v>6.2620731914893616E-4</v>
      </c>
      <c r="AD258">
        <f>'[3]LCIA-Elec'!CH104</f>
        <v>9.3657978723404281E-4</v>
      </c>
      <c r="AE258">
        <f>'[3]LCIA-Elec'!CI104</f>
        <v>1.3433763829787232E-3</v>
      </c>
      <c r="AF258">
        <f>'[3]LCIA-Elec'!CJ104</f>
        <v>2.3989968085106379E-5</v>
      </c>
      <c r="AG258">
        <f>'[3]LCIA-Elec'!CK104</f>
        <v>2.6264887234042551E-3</v>
      </c>
      <c r="AH258">
        <f>'[3]LCIA-Elec'!CL104</f>
        <v>4.7826525531914884E-3</v>
      </c>
    </row>
    <row r="259" spans="2:42" x14ac:dyDescent="0.25">
      <c r="B259" t="str">
        <f>'[3]1_Hub_3000km'!Y386</f>
        <v>O'Hare International Airport</v>
      </c>
      <c r="C259" t="str">
        <f>C245</f>
        <v>market for electricity, low voltage, US-RFC</v>
      </c>
      <c r="D259">
        <f>'[3]1_Hub_3000km'!$Z$386/A3</f>
        <v>0.87728459530026115</v>
      </c>
      <c r="E259" t="str">
        <f t="shared" ref="E259:AH259" si="212">E245</f>
        <v>kWh</v>
      </c>
      <c r="F259" t="str">
        <f t="shared" si="212"/>
        <v>Ecoinvent v3.7.1</v>
      </c>
      <c r="G259">
        <f t="shared" si="212"/>
        <v>0.61436999999999997</v>
      </c>
      <c r="H259">
        <f t="shared" si="212"/>
        <v>8.2399E-2</v>
      </c>
      <c r="I259">
        <f t="shared" si="212"/>
        <v>6.7473999999999998</v>
      </c>
      <c r="J259">
        <f t="shared" si="212"/>
        <v>4.0428000000000003E-4</v>
      </c>
      <c r="K259">
        <f t="shared" si="212"/>
        <v>4.3425000000000002</v>
      </c>
      <c r="L259">
        <f t="shared" si="212"/>
        <v>1.3322000000000001E-5</v>
      </c>
      <c r="M259">
        <f t="shared" si="212"/>
        <v>1.5082999999999999E-2</v>
      </c>
      <c r="N259">
        <f t="shared" si="212"/>
        <v>6.8917000000000006E-2</v>
      </c>
      <c r="O259">
        <f t="shared" si="212"/>
        <v>0.1275</v>
      </c>
      <c r="P259">
        <f t="shared" si="212"/>
        <v>11.384216602</v>
      </c>
      <c r="Q259">
        <f t="shared" si="212"/>
        <v>1.3875999999999999E-2</v>
      </c>
      <c r="R259">
        <f t="shared" si="212"/>
        <v>0.60836999999999997</v>
      </c>
      <c r="S259">
        <f t="shared" si="212"/>
        <v>0.16855999999999999</v>
      </c>
      <c r="T259">
        <f t="shared" si="212"/>
        <v>2.7827999999999999E-2</v>
      </c>
      <c r="U259">
        <f t="shared" si="212"/>
        <v>3.4965000000000002E-4</v>
      </c>
      <c r="V259">
        <f t="shared" si="212"/>
        <v>0.24507000000000001</v>
      </c>
      <c r="W259">
        <f t="shared" si="212"/>
        <v>0.28216999999999998</v>
      </c>
      <c r="X259">
        <f t="shared" si="212"/>
        <v>2.3791E-2</v>
      </c>
      <c r="Y259">
        <f t="shared" si="212"/>
        <v>1.1882E-4</v>
      </c>
      <c r="Z259">
        <f t="shared" si="212"/>
        <v>1.1622E-2</v>
      </c>
      <c r="AA259">
        <f t="shared" si="212"/>
        <v>-2.4247999999999999E-5</v>
      </c>
      <c r="AB259">
        <f t="shared" si="212"/>
        <v>1.8053E-8</v>
      </c>
      <c r="AC259">
        <f t="shared" si="212"/>
        <v>1.1259E-3</v>
      </c>
      <c r="AD259">
        <f t="shared" si="212"/>
        <v>9.8528999999999999E-4</v>
      </c>
      <c r="AE259">
        <f t="shared" si="212"/>
        <v>1.8718000000000001E-3</v>
      </c>
      <c r="AF259">
        <f t="shared" si="212"/>
        <v>2.6829999999999999E-5</v>
      </c>
      <c r="AG259">
        <f t="shared" si="212"/>
        <v>2.5512999999999998E-3</v>
      </c>
      <c r="AH259">
        <f t="shared" si="212"/>
        <v>2.2418E-3</v>
      </c>
      <c r="AP259" s="16"/>
    </row>
    <row r="260" spans="2:42" x14ac:dyDescent="0.25">
      <c r="B260" s="59" t="str">
        <f>C258</f>
        <v>1_Hub_3000km</v>
      </c>
      <c r="C260" s="59" t="s">
        <v>806</v>
      </c>
      <c r="D260" s="59">
        <f>SUM(D258:D259)</f>
        <v>1</v>
      </c>
      <c r="E260" s="59" t="s">
        <v>105</v>
      </c>
      <c r="F260" s="59"/>
      <c r="G260" s="59">
        <f>SUMPRODUCT($D258:$D259,G258:G259)</f>
        <v>0.59077060574412532</v>
      </c>
      <c r="H260" s="59">
        <f t="shared" ref="H260:AH260" si="213">SUMPRODUCT($D258:$D259,H258:H259)</f>
        <v>0.1063697221932115</v>
      </c>
      <c r="I260" s="59">
        <f t="shared" si="213"/>
        <v>6.6078232375979118</v>
      </c>
      <c r="J260" s="59">
        <f t="shared" si="213"/>
        <v>4.7769503394255878E-3</v>
      </c>
      <c r="K260" s="59">
        <f t="shared" si="213"/>
        <v>4.1137415882506527</v>
      </c>
      <c r="L260" s="59">
        <f t="shared" si="213"/>
        <v>8.4894015143603145E-5</v>
      </c>
      <c r="M260" s="59">
        <f t="shared" si="213"/>
        <v>3.8919844825065275E-2</v>
      </c>
      <c r="N260" s="59">
        <f t="shared" si="213"/>
        <v>0.17430417493472586</v>
      </c>
      <c r="O260" s="59">
        <f t="shared" si="213"/>
        <v>0.15860276631853787</v>
      </c>
      <c r="P260" s="59">
        <f t="shared" si="213"/>
        <v>11.204623178474675</v>
      </c>
      <c r="Q260" s="59">
        <f t="shared" si="213"/>
        <v>1.6874100522193212E-2</v>
      </c>
      <c r="R260" s="59">
        <f t="shared" si="213"/>
        <v>0.58497103394255878</v>
      </c>
      <c r="S260" s="59">
        <f t="shared" si="213"/>
        <v>0.16555965848563967</v>
      </c>
      <c r="T260" s="59">
        <f t="shared" si="213"/>
        <v>2.7393629242819843E-2</v>
      </c>
      <c r="U260" s="59">
        <f t="shared" si="213"/>
        <v>3.3228142819843344E-4</v>
      </c>
      <c r="V260" s="59">
        <f t="shared" si="213"/>
        <v>0.23435405483028723</v>
      </c>
      <c r="W260" s="59">
        <f t="shared" si="213"/>
        <v>0.26753614673629239</v>
      </c>
      <c r="X260" s="59">
        <f t="shared" si="213"/>
        <v>2.3471772845953004E-2</v>
      </c>
      <c r="Y260" s="59">
        <f t="shared" si="213"/>
        <v>1.1554707963446476E-4</v>
      </c>
      <c r="Z260" s="59">
        <f t="shared" si="213"/>
        <v>1.1697778590078329E-2</v>
      </c>
      <c r="AA260" s="59">
        <f t="shared" si="213"/>
        <v>-2.338589686684073E-5</v>
      </c>
      <c r="AB260" s="59">
        <f t="shared" si="213"/>
        <v>1.8438021148825068E-8</v>
      </c>
      <c r="AC260" s="59">
        <f t="shared" si="213"/>
        <v>1.0645800104438644E-3</v>
      </c>
      <c r="AD260" s="59">
        <f t="shared" si="213"/>
        <v>9.7931250652741526E-4</v>
      </c>
      <c r="AE260" s="59">
        <f t="shared" si="213"/>
        <v>1.8069542819843343E-3</v>
      </c>
      <c r="AF260" s="59">
        <f t="shared" si="213"/>
        <v>2.6481484334203653E-5</v>
      </c>
      <c r="AG260" s="59">
        <f t="shared" si="213"/>
        <v>2.5605268146214099E-3</v>
      </c>
      <c r="AH260" s="59">
        <f t="shared" si="213"/>
        <v>2.5536017493472587E-3</v>
      </c>
      <c r="AP260" s="16"/>
    </row>
    <row r="261" spans="2:42" x14ac:dyDescent="0.25">
      <c r="B261" t="s">
        <v>593</v>
      </c>
      <c r="C261" t="str">
        <f>'[3]LCIA-Elec'!BJ105</f>
        <v>2_Hub_3000km</v>
      </c>
      <c r="D261">
        <f>'[3]LCIA-Elec'!$AO$68/$A$3</f>
        <v>3.3942558746736295E-2</v>
      </c>
      <c r="E261" t="s">
        <v>105</v>
      </c>
      <c r="F261" t="s">
        <v>829</v>
      </c>
      <c r="G261">
        <f>'[3]LCIA-Elec'!BK105</f>
        <v>0.53224084615384615</v>
      </c>
      <c r="H261">
        <f>'[3]LCIA-Elec'!BL105</f>
        <v>0.25493548461538462</v>
      </c>
      <c r="I261">
        <f>'[3]LCIA-Elec'!BM105</f>
        <v>6.616905384615384</v>
      </c>
      <c r="J261">
        <f>'[3]LCIA-Elec'!BN105</f>
        <v>8.3527663076923081E-2</v>
      </c>
      <c r="K261">
        <f>'[3]LCIA-Elec'!BO105</f>
        <v>0.8655739461538462</v>
      </c>
      <c r="L261">
        <f>'[3]LCIA-Elec'!BP105</f>
        <v>2.0564501076923078E-3</v>
      </c>
      <c r="M261">
        <f>'[3]LCIA-Elec'!BQ105</f>
        <v>0.13425642061538462</v>
      </c>
      <c r="N261">
        <f>'[3]LCIA-Elec'!BR105</f>
        <v>1.676316153846154</v>
      </c>
      <c r="O261">
        <f>'[3]LCIA-Elec'!BS105</f>
        <v>0.2012636153846154</v>
      </c>
      <c r="P261">
        <f>'[3]LCIA-Elec'!BT105</f>
        <v>9.8348351184153859</v>
      </c>
      <c r="Q261">
        <f>'[3]LCIA-Elec'!BU105</f>
        <v>3.9795046153846152E-2</v>
      </c>
      <c r="R261">
        <f>'[3]LCIA-Elec'!BV105</f>
        <v>0.52610646153846163</v>
      </c>
      <c r="S261">
        <f>'[3]LCIA-Elec'!BW105</f>
        <v>0.16320774615384617</v>
      </c>
      <c r="T261">
        <f>'[3]LCIA-Elec'!BX105</f>
        <v>2.6286E-2</v>
      </c>
      <c r="U261">
        <f>'[3]LCIA-Elec'!BY105</f>
        <v>2.3353415384615384E-4</v>
      </c>
      <c r="V261">
        <f>'[3]LCIA-Elec'!BZ105</f>
        <v>0.18292723076923079</v>
      </c>
      <c r="W261">
        <f>'[3]LCIA-Elec'!CA105</f>
        <v>6.1851169230769228E-2</v>
      </c>
      <c r="X261">
        <f>'[3]LCIA-Elec'!CB105</f>
        <v>2.2740461538461539E-2</v>
      </c>
      <c r="Y261">
        <f>'[3]LCIA-Elec'!CC105</f>
        <v>1.1596357692307693E-4</v>
      </c>
      <c r="Z261">
        <f>'[3]LCIA-Elec'!CD105</f>
        <v>1.1526323076923077E-2</v>
      </c>
      <c r="AA261">
        <f>'[3]LCIA-Elec'!CE105</f>
        <v>-2.7734215384615385E-5</v>
      </c>
      <c r="AB261">
        <f>'[3]LCIA-Elec'!CF105</f>
        <v>1.3405369230769231E-8</v>
      </c>
      <c r="AC261">
        <f>'[3]LCIA-Elec'!CG105</f>
        <v>1.2351699230769232E-3</v>
      </c>
      <c r="AD261">
        <f>'[3]LCIA-Elec'!CH105</f>
        <v>1.2926276923076923E-3</v>
      </c>
      <c r="AE261">
        <f>'[3]LCIA-Elec'!CI105</f>
        <v>1.8784853846153847E-3</v>
      </c>
      <c r="AF261">
        <f>'[3]LCIA-Elec'!CJ105</f>
        <v>2.7961715384615386E-5</v>
      </c>
      <c r="AG261">
        <f>'[3]LCIA-Elec'!CK105</f>
        <v>2.7213776923076922E-3</v>
      </c>
      <c r="AH261">
        <f>'[3]LCIA-Elec'!CL105</f>
        <v>8.0317976923076923E-3</v>
      </c>
    </row>
    <row r="262" spans="2:42" x14ac:dyDescent="0.25">
      <c r="B262" t="str">
        <f>'[3]2_Hub_3000km'!Y386</f>
        <v>O'Hare International Airport</v>
      </c>
      <c r="C262" t="str">
        <f>C259</f>
        <v>market for electricity, low voltage, US-RFC</v>
      </c>
      <c r="D262">
        <f>'[3]2_Hub_3000km'!$Z386/$A$3</f>
        <v>0.87728459530026115</v>
      </c>
      <c r="E262" t="str">
        <f t="shared" ref="E262:AH262" si="214">E259</f>
        <v>kWh</v>
      </c>
      <c r="F262" t="str">
        <f t="shared" si="214"/>
        <v>Ecoinvent v3.7.1</v>
      </c>
      <c r="G262">
        <f t="shared" si="214"/>
        <v>0.61436999999999997</v>
      </c>
      <c r="H262">
        <f t="shared" si="214"/>
        <v>8.2399E-2</v>
      </c>
      <c r="I262">
        <f t="shared" si="214"/>
        <v>6.7473999999999998</v>
      </c>
      <c r="J262">
        <f t="shared" si="214"/>
        <v>4.0428000000000003E-4</v>
      </c>
      <c r="K262">
        <f t="shared" si="214"/>
        <v>4.3425000000000002</v>
      </c>
      <c r="L262">
        <f t="shared" si="214"/>
        <v>1.3322000000000001E-5</v>
      </c>
      <c r="M262">
        <f t="shared" si="214"/>
        <v>1.5082999999999999E-2</v>
      </c>
      <c r="N262">
        <f t="shared" si="214"/>
        <v>6.8917000000000006E-2</v>
      </c>
      <c r="O262">
        <f t="shared" si="214"/>
        <v>0.1275</v>
      </c>
      <c r="P262">
        <f t="shared" si="214"/>
        <v>11.384216602</v>
      </c>
      <c r="Q262">
        <f t="shared" si="214"/>
        <v>1.3875999999999999E-2</v>
      </c>
      <c r="R262">
        <f t="shared" si="214"/>
        <v>0.60836999999999997</v>
      </c>
      <c r="S262">
        <f t="shared" si="214"/>
        <v>0.16855999999999999</v>
      </c>
      <c r="T262">
        <f t="shared" si="214"/>
        <v>2.7827999999999999E-2</v>
      </c>
      <c r="U262">
        <f t="shared" si="214"/>
        <v>3.4965000000000002E-4</v>
      </c>
      <c r="V262">
        <f t="shared" si="214"/>
        <v>0.24507000000000001</v>
      </c>
      <c r="W262">
        <f t="shared" si="214"/>
        <v>0.28216999999999998</v>
      </c>
      <c r="X262">
        <f t="shared" si="214"/>
        <v>2.3791E-2</v>
      </c>
      <c r="Y262">
        <f t="shared" si="214"/>
        <v>1.1882E-4</v>
      </c>
      <c r="Z262">
        <f t="shared" si="214"/>
        <v>1.1622E-2</v>
      </c>
      <c r="AA262">
        <f t="shared" si="214"/>
        <v>-2.4247999999999999E-5</v>
      </c>
      <c r="AB262">
        <f t="shared" si="214"/>
        <v>1.8053E-8</v>
      </c>
      <c r="AC262">
        <f t="shared" si="214"/>
        <v>1.1259E-3</v>
      </c>
      <c r="AD262">
        <f t="shared" si="214"/>
        <v>9.8528999999999999E-4</v>
      </c>
      <c r="AE262">
        <f t="shared" si="214"/>
        <v>1.8718000000000001E-3</v>
      </c>
      <c r="AF262">
        <f t="shared" si="214"/>
        <v>2.6829999999999999E-5</v>
      </c>
      <c r="AG262">
        <f t="shared" si="214"/>
        <v>2.5512999999999998E-3</v>
      </c>
      <c r="AH262">
        <f t="shared" si="214"/>
        <v>2.2418E-3</v>
      </c>
    </row>
    <row r="263" spans="2:42" x14ac:dyDescent="0.25">
      <c r="B263" t="str">
        <f>'[3]2_Hub_3000km'!Y387</f>
        <v>Istanbul International Airport</v>
      </c>
      <c r="C263" s="43" t="s">
        <v>830</v>
      </c>
      <c r="D263" s="43">
        <f>'[3]2_Hub_3000km'!$Z387/$A$3</f>
        <v>8.877284595300261E-2</v>
      </c>
      <c r="E263" s="43" t="s">
        <v>105</v>
      </c>
      <c r="F263" s="43" t="s">
        <v>183</v>
      </c>
      <c r="G263" s="43">
        <v>0.66378999999999999</v>
      </c>
      <c r="H263" s="43">
        <v>4.5117999999999998E-2</v>
      </c>
      <c r="I263" s="43">
        <v>8.0196000000000005</v>
      </c>
      <c r="J263" s="43">
        <v>0.17710999999999999</v>
      </c>
      <c r="K263" s="43">
        <v>8.6892999999999998E-2</v>
      </c>
      <c r="L263" s="60">
        <v>1.7516E-5</v>
      </c>
      <c r="M263" s="43">
        <v>7.0689000000000002E-2</v>
      </c>
      <c r="N263" s="43">
        <v>0.98448000000000002</v>
      </c>
      <c r="O263" s="43">
        <v>0.30764000000000002</v>
      </c>
      <c r="P263" s="43">
        <f>SUM(H263:O263)</f>
        <v>9.691547516</v>
      </c>
      <c r="Q263" s="43">
        <v>1.2818E-2</v>
      </c>
      <c r="R263">
        <v>0.65844000000000003</v>
      </c>
      <c r="S263">
        <v>0.20329</v>
      </c>
      <c r="T263">
        <v>3.3063000000000002E-2</v>
      </c>
      <c r="U263">
        <v>6.5510999999999998E-4</v>
      </c>
      <c r="V263">
        <v>0.42526000000000003</v>
      </c>
      <c r="W263">
        <v>6.2426000000000001E-3</v>
      </c>
      <c r="X263">
        <v>2.9009E-2</v>
      </c>
      <c r="Y263">
        <v>1.9565000000000001E-4</v>
      </c>
      <c r="Z263">
        <v>1.1086E-2</v>
      </c>
      <c r="AA263" s="16">
        <v>-3.5899000000000003E-5</v>
      </c>
      <c r="AB263" s="16">
        <v>1.5705000000000001E-8</v>
      </c>
      <c r="AC263">
        <v>5.3892000000000002E-3</v>
      </c>
      <c r="AD263">
        <v>1.7297E-3</v>
      </c>
      <c r="AE263">
        <v>3.1383000000000001E-3</v>
      </c>
      <c r="AF263" s="16">
        <v>2.2061000000000001E-5</v>
      </c>
      <c r="AG263">
        <v>1.6031999999999999E-3</v>
      </c>
      <c r="AH263">
        <v>4.9744000000000003E-3</v>
      </c>
    </row>
    <row r="264" spans="2:42" x14ac:dyDescent="0.25">
      <c r="B264" s="59" t="str">
        <f>C261</f>
        <v>2_Hub_3000km</v>
      </c>
      <c r="C264" s="59" t="s">
        <v>806</v>
      </c>
      <c r="D264" s="59">
        <f>SUM(D261:D263)</f>
        <v>1</v>
      </c>
      <c r="E264" s="59" t="s">
        <v>105</v>
      </c>
      <c r="F264" s="59"/>
      <c r="G264" s="59">
        <f>SUMPRODUCT($D261:$D263,G261:G263)</f>
        <v>0.61596948041775457</v>
      </c>
      <c r="H264" s="59">
        <f t="shared" ref="H264:AH264" si="215">SUMPRODUCT($D261:$D263,H261:H263)</f>
        <v>8.4945789295039167E-2</v>
      </c>
      <c r="I264" s="59">
        <f t="shared" si="215"/>
        <v>6.8559074934725848</v>
      </c>
      <c r="J264" s="59">
        <f t="shared" si="215"/>
        <v>1.8912369973890338E-2</v>
      </c>
      <c r="K264" s="59">
        <f t="shared" si="215"/>
        <v>3.8467018885117499</v>
      </c>
      <c r="L264" s="59">
        <f t="shared" si="215"/>
        <v>8.3043309138381219E-5</v>
      </c>
      <c r="M264" s="59">
        <f t="shared" si="215"/>
        <v>2.4064353702349869E-2</v>
      </c>
      <c r="N264" s="59">
        <f t="shared" si="215"/>
        <v>0.20475337336814625</v>
      </c>
      <c r="O264" s="59">
        <f t="shared" si="215"/>
        <v>0.14599526631853788</v>
      </c>
      <c r="P264" s="59">
        <f t="shared" si="215"/>
        <v>11.181363577951437</v>
      </c>
      <c r="Q264" s="59">
        <f t="shared" si="215"/>
        <v>1.4661837075718016E-2</v>
      </c>
      <c r="R264" s="59">
        <f t="shared" si="215"/>
        <v>0.61002262140992169</v>
      </c>
      <c r="S264" s="59">
        <f t="shared" si="215"/>
        <v>0.17146141174934726</v>
      </c>
      <c r="T264" s="59">
        <f t="shared" si="215"/>
        <v>2.8240386422976504E-2</v>
      </c>
      <c r="U264" s="59">
        <f t="shared" si="215"/>
        <v>3.7282528459530026E-4</v>
      </c>
      <c r="V264" s="59">
        <f t="shared" si="215"/>
        <v>0.25895669451697134</v>
      </c>
      <c r="W264" s="59">
        <f t="shared" si="215"/>
        <v>0.25019695456919055</v>
      </c>
      <c r="X264" s="59">
        <f t="shared" si="215"/>
        <v>2.4218558746736295E-2</v>
      </c>
      <c r="Y264" s="59">
        <f t="shared" si="215"/>
        <v>1.2554346344647522E-4</v>
      </c>
      <c r="Z264" s="59">
        <f t="shared" si="215"/>
        <v>1.1571170234986945E-2</v>
      </c>
      <c r="AA264" s="59">
        <f t="shared" si="215"/>
        <v>-2.5400623498694515E-5</v>
      </c>
      <c r="AB264" s="59">
        <f t="shared" si="215"/>
        <v>1.7686808877284596E-8</v>
      </c>
      <c r="AC264" s="59">
        <f t="shared" si="215"/>
        <v>1.5080741749347261E-3</v>
      </c>
      <c r="AD264" s="59">
        <f t="shared" si="215"/>
        <v>1.0618052219321149E-3</v>
      </c>
      <c r="AE264" s="59">
        <f t="shared" si="215"/>
        <v>1.9844577284595303E-3</v>
      </c>
      <c r="AF264" s="59">
        <f t="shared" si="215"/>
        <v>2.6445055613577025E-5</v>
      </c>
      <c r="AG264" s="59">
        <f t="shared" si="215"/>
        <v>2.4729073368146212E-3</v>
      </c>
      <c r="AH264" s="59">
        <f t="shared" si="215"/>
        <v>2.6809080156657964E-3</v>
      </c>
      <c r="AP264" s="16"/>
    </row>
    <row r="265" spans="2:42" x14ac:dyDescent="0.25">
      <c r="B265" s="59" t="str">
        <f>B264</f>
        <v>2_Hub_3000km</v>
      </c>
      <c r="C265" s="59"/>
      <c r="D265" s="59"/>
      <c r="E265" s="59"/>
      <c r="F265" s="59"/>
      <c r="G265" s="59">
        <f>SUMPRODUCT($D262:$D263,G262:G263)/SUM($D262:$D263)</f>
        <v>0.61891129729729732</v>
      </c>
      <c r="H265" s="59">
        <f t="shared" ref="H265:AH265" si="216">SUMPRODUCT($D262:$D263,H262:H263)/SUM($D262:$D263)</f>
        <v>7.8973178378378389E-2</v>
      </c>
      <c r="I265" s="59">
        <f t="shared" si="216"/>
        <v>6.8643048648648648</v>
      </c>
      <c r="J265" s="59">
        <f t="shared" si="216"/>
        <v>1.6642102918918916E-2</v>
      </c>
      <c r="K265" s="59">
        <f t="shared" si="216"/>
        <v>3.9514442216216219</v>
      </c>
      <c r="L265" s="59">
        <f t="shared" si="216"/>
        <v>1.3707394594594595E-5</v>
      </c>
      <c r="M265" s="59">
        <f t="shared" si="216"/>
        <v>2.019274054054054E-2</v>
      </c>
      <c r="N265" s="59">
        <f t="shared" si="216"/>
        <v>0.15304981621621622</v>
      </c>
      <c r="O265" s="59">
        <f t="shared" si="216"/>
        <v>0.1440534054054054</v>
      </c>
      <c r="P265" s="59">
        <f t="shared" si="216"/>
        <v>11.228674037340541</v>
      </c>
      <c r="Q265" s="59">
        <f t="shared" si="216"/>
        <v>1.3778778378378377E-2</v>
      </c>
      <c r="R265" s="59">
        <f t="shared" si="216"/>
        <v>0.61297102702702699</v>
      </c>
      <c r="S265" s="59">
        <f t="shared" si="216"/>
        <v>0.1717514054054054</v>
      </c>
      <c r="T265" s="59">
        <f t="shared" si="216"/>
        <v>2.8309054054054057E-2</v>
      </c>
      <c r="U265" s="59">
        <f t="shared" si="216"/>
        <v>3.7771929729729734E-4</v>
      </c>
      <c r="V265" s="59">
        <f t="shared" si="216"/>
        <v>0.26162799999999997</v>
      </c>
      <c r="W265" s="59">
        <f t="shared" si="216"/>
        <v>0.25681450918918919</v>
      </c>
      <c r="X265" s="59">
        <f t="shared" si="216"/>
        <v>2.4270491891891892E-2</v>
      </c>
      <c r="Y265" s="59">
        <f t="shared" si="216"/>
        <v>1.2588005405405405E-4</v>
      </c>
      <c r="Z265" s="59">
        <f t="shared" si="216"/>
        <v>1.1572745945945945E-2</v>
      </c>
      <c r="AA265" s="59">
        <f t="shared" si="216"/>
        <v>-2.531863243243243E-5</v>
      </c>
      <c r="AB265" s="59">
        <f t="shared" si="216"/>
        <v>1.7837237837837838E-8</v>
      </c>
      <c r="AC265" s="59">
        <f t="shared" si="216"/>
        <v>1.5176627027027028E-3</v>
      </c>
      <c r="AD265" s="59">
        <f t="shared" si="216"/>
        <v>1.0536952432432431E-3</v>
      </c>
      <c r="AE265" s="59">
        <f t="shared" si="216"/>
        <v>1.988181081081081E-3</v>
      </c>
      <c r="AF265" s="59">
        <f t="shared" si="216"/>
        <v>2.6391767567567566E-5</v>
      </c>
      <c r="AG265" s="59">
        <f t="shared" si="216"/>
        <v>2.4641772972972971E-3</v>
      </c>
      <c r="AH265" s="59">
        <f t="shared" si="216"/>
        <v>2.4929037837837838E-3</v>
      </c>
      <c r="AP265" s="16"/>
    </row>
    <row r="266" spans="2:42" x14ac:dyDescent="0.25">
      <c r="B266" t="s">
        <v>593</v>
      </c>
      <c r="C266" t="str">
        <f>'[3]LCIA-Elec'!BJ106</f>
        <v>3_Hub_3000km</v>
      </c>
      <c r="D266">
        <f>'[3]LCIA-Elec'!$AP$68/$A$3</f>
        <v>2.6109660574412531E-2</v>
      </c>
      <c r="E266" t="s">
        <v>105</v>
      </c>
      <c r="F266" t="s">
        <v>829</v>
      </c>
      <c r="G266">
        <f>'[3]LCIA-Elec'!BK106</f>
        <v>0.60594599999999998</v>
      </c>
      <c r="H266">
        <f>'[3]LCIA-Elec'!BL106</f>
        <v>0.29811293999999999</v>
      </c>
      <c r="I266">
        <f>'[3]LCIA-Elec'!BM106</f>
        <v>7.5247699999999993</v>
      </c>
      <c r="J266">
        <f>'[3]LCIA-Elec'!BN106</f>
        <v>3.7699619999999995E-3</v>
      </c>
      <c r="K266">
        <f>'[3]LCIA-Elec'!BO106</f>
        <v>0.89887650000000008</v>
      </c>
      <c r="L266">
        <f>'[3]LCIA-Elec'!BP106</f>
        <v>2.6695712499999998E-3</v>
      </c>
      <c r="M266">
        <f>'[3]LCIA-Elec'!BQ106</f>
        <v>0.1085026868</v>
      </c>
      <c r="N266">
        <f>'[3]LCIA-Elec'!BR106</f>
        <v>1.632361</v>
      </c>
      <c r="O266">
        <f>'[3]LCIA-Elec'!BS106</f>
        <v>0.15129970000000001</v>
      </c>
      <c r="P266">
        <f>'[3]LCIA-Elec'!BT106</f>
        <v>10.620362360050002</v>
      </c>
      <c r="Q266">
        <f>'[3]LCIA-Elec'!BU106</f>
        <v>4.6222849999999996E-2</v>
      </c>
      <c r="R266">
        <f>'[3]LCIA-Elec'!BV106</f>
        <v>0.59882399999999991</v>
      </c>
      <c r="S266">
        <f>'[3]LCIA-Elec'!BW106</f>
        <v>0.18469189999999999</v>
      </c>
      <c r="T266">
        <f>'[3]LCIA-Elec'!BX106</f>
        <v>2.6105499999999997E-2</v>
      </c>
      <c r="U266">
        <f>'[3]LCIA-Elec'!BY106</f>
        <v>2.1582780000000001E-4</v>
      </c>
      <c r="V266">
        <f>'[3]LCIA-Elec'!BZ106</f>
        <v>0.17977369999999998</v>
      </c>
      <c r="W266">
        <f>'[3]LCIA-Elec'!CA106</f>
        <v>6.5516240000000003E-2</v>
      </c>
      <c r="X266">
        <f>'[3]LCIA-Elec'!CB106</f>
        <v>2.2630899999999999E-2</v>
      </c>
      <c r="Y266">
        <f>'[3]LCIA-Elec'!CC106</f>
        <v>1.2617760000000001E-4</v>
      </c>
      <c r="Z266">
        <f>'[3]LCIA-Elec'!CD106</f>
        <v>1.1646720000000001E-2</v>
      </c>
      <c r="AA266">
        <f>'[3]LCIA-Elec'!CE106</f>
        <v>-3.2729430000000008E-5</v>
      </c>
      <c r="AB266">
        <f>'[3]LCIA-Elec'!CF106</f>
        <v>1.3592639999999999E-8</v>
      </c>
      <c r="AC266">
        <f>'[3]LCIA-Elec'!CG106</f>
        <v>1.2889209999999999E-3</v>
      </c>
      <c r="AD266">
        <f>'[3]LCIA-Elec'!CH106</f>
        <v>1.5314409999999999E-3</v>
      </c>
      <c r="AE266">
        <f>'[3]LCIA-Elec'!CI106</f>
        <v>2.2654339999999998E-3</v>
      </c>
      <c r="AF266">
        <f>'[3]LCIA-Elec'!CJ106</f>
        <v>2.9214099999999999E-5</v>
      </c>
      <c r="AG266">
        <f>'[3]LCIA-Elec'!CK106</f>
        <v>3.0069189999999998E-3</v>
      </c>
      <c r="AH266">
        <f>'[3]LCIA-Elec'!CL106</f>
        <v>9.8184789999999997E-3</v>
      </c>
    </row>
    <row r="267" spans="2:42" x14ac:dyDescent="0.25">
      <c r="B267" t="str">
        <f>'[3]3_Hub_3000km'!Y386</f>
        <v>Charlotte Douglas International Airport</v>
      </c>
      <c r="C267" t="str">
        <f>'ACLCA_raw data'!L12</f>
        <v>market for electricity, low voltage, US-SERC</v>
      </c>
      <c r="D267">
        <f>'[3]3_Hub_3000km'!$Z386/$A$3</f>
        <v>0.57963446475195823</v>
      </c>
      <c r="E267" t="str">
        <f>'ACLCA_raw data'!N12</f>
        <v>kWh</v>
      </c>
      <c r="F267" t="str">
        <f>'ACLCA_raw data'!O12</f>
        <v>Ecoinvent v3.7.1</v>
      </c>
      <c r="G267">
        <f>'ACLCA_raw data'!P12</f>
        <v>0.6169</v>
      </c>
      <c r="H267">
        <f>'ACLCA_raw data'!Q12</f>
        <v>0.40769</v>
      </c>
      <c r="I267">
        <f>'ACLCA_raw data'!R12</f>
        <v>7.625</v>
      </c>
      <c r="J267">
        <f>'ACLCA_raw data'!S12</f>
        <v>4.4949999999999998E-4</v>
      </c>
      <c r="K267">
        <f>'ACLCA_raw data'!T12</f>
        <v>3.7017000000000002</v>
      </c>
      <c r="L267">
        <f>'ACLCA_raw data'!U12</f>
        <v>2.8177000000000001E-5</v>
      </c>
      <c r="M267">
        <f>'ACLCA_raw data'!V12</f>
        <v>5.8786999999999999E-2</v>
      </c>
      <c r="N267">
        <f>'ACLCA_raw data'!W12</f>
        <v>0.17446</v>
      </c>
      <c r="O267">
        <f>'ACLCA_raw data'!X12</f>
        <v>2.0888E-2</v>
      </c>
      <c r="P267">
        <f>'ACLCA_raw data'!Y12</f>
        <v>11.989002677000002</v>
      </c>
      <c r="Q267">
        <f>'ACLCA_raw data'!Z12</f>
        <v>5.7922000000000001E-2</v>
      </c>
      <c r="R267">
        <f>'ACLCA_raw data'!AA12</f>
        <v>0.61051</v>
      </c>
      <c r="S267">
        <f>'ACLCA_raw data'!AB12</f>
        <v>0.19485</v>
      </c>
      <c r="T267">
        <f>'ACLCA_raw data'!AC12</f>
        <v>2.9537999999999998E-2</v>
      </c>
      <c r="U267">
        <f>'ACLCA_raw data'!AD12</f>
        <v>4.3969000000000001E-4</v>
      </c>
      <c r="V267">
        <f>'ACLCA_raw data'!AE12</f>
        <v>0.29670999999999997</v>
      </c>
      <c r="W267">
        <f>'ACLCA_raw data'!AF12</f>
        <v>0.24057999999999999</v>
      </c>
      <c r="X267">
        <f>'ACLCA_raw data'!AG12</f>
        <v>2.5099E-2</v>
      </c>
      <c r="Y267">
        <f>'ACLCA_raw data'!AH12</f>
        <v>1.3415000000000001E-4</v>
      </c>
      <c r="Z267">
        <f>'ACLCA_raw data'!AI12</f>
        <v>1.1514E-2</v>
      </c>
      <c r="AA267">
        <f>'ACLCA_raw data'!AJ12</f>
        <v>-2.1906E-5</v>
      </c>
      <c r="AB267">
        <f>'ACLCA_raw data'!AK12</f>
        <v>2.5019999999999998E-8</v>
      </c>
      <c r="AC267">
        <f>'ACLCA_raw data'!AL12</f>
        <v>1.4063999999999999E-3</v>
      </c>
      <c r="AD267">
        <f>'ACLCA_raw data'!AM12</f>
        <v>8.8113000000000004E-4</v>
      </c>
      <c r="AE267">
        <f>'ACLCA_raw data'!AN12</f>
        <v>1.4815E-3</v>
      </c>
      <c r="AF267">
        <f>'ACLCA_raw data'!AO12</f>
        <v>3.5629000000000001E-5</v>
      </c>
      <c r="AG267">
        <f>'ACLCA_raw data'!AP12</f>
        <v>2.5611000000000002E-3</v>
      </c>
      <c r="AH267">
        <f>'ACLCA_raw data'!AQ12</f>
        <v>2.3032E-3</v>
      </c>
    </row>
    <row r="268" spans="2:42" x14ac:dyDescent="0.25">
      <c r="B268" t="str">
        <f>'[3]3_Hub_3000km'!Y387</f>
        <v>Denver International Airport</v>
      </c>
      <c r="C268" t="str">
        <f>C255</f>
        <v>market for electricity, low voltage, US-WECC</v>
      </c>
      <c r="D268">
        <f>'[3]3_Hub_3000km'!$Z387/$A$3</f>
        <v>0.30548302872062666</v>
      </c>
      <c r="E268" t="str">
        <f t="shared" ref="E268:AH268" si="217">E255</f>
        <v>kWh</v>
      </c>
      <c r="F268" t="str">
        <f t="shared" si="217"/>
        <v>Ecoinvent v3.7.1</v>
      </c>
      <c r="G268">
        <f t="shared" si="217"/>
        <v>0.41233999999999998</v>
      </c>
      <c r="H268">
        <f t="shared" si="217"/>
        <v>0.16356000000000001</v>
      </c>
      <c r="I268">
        <f t="shared" si="217"/>
        <v>5.2107000000000001</v>
      </c>
      <c r="J268">
        <f t="shared" si="217"/>
        <v>0.15804000000000001</v>
      </c>
      <c r="K268">
        <f t="shared" si="217"/>
        <v>1.1274</v>
      </c>
      <c r="L268">
        <f t="shared" si="217"/>
        <v>1.7768999999999999E-5</v>
      </c>
      <c r="M268">
        <f t="shared" si="217"/>
        <v>0.32883000000000001</v>
      </c>
      <c r="N268">
        <f t="shared" si="217"/>
        <v>1.0143</v>
      </c>
      <c r="O268">
        <f t="shared" si="217"/>
        <v>0.29749999999999999</v>
      </c>
      <c r="P268">
        <f t="shared" si="217"/>
        <v>8.300347769</v>
      </c>
      <c r="Q268">
        <f t="shared" si="217"/>
        <v>2.4857000000000001E-2</v>
      </c>
      <c r="R268">
        <f t="shared" si="217"/>
        <v>0.40821000000000002</v>
      </c>
      <c r="S268">
        <f t="shared" si="217"/>
        <v>0.13331000000000001</v>
      </c>
      <c r="T268">
        <f t="shared" si="217"/>
        <v>2.9420000000000002E-2</v>
      </c>
      <c r="U268">
        <f t="shared" si="217"/>
        <v>4.3196E-4</v>
      </c>
      <c r="V268">
        <f t="shared" si="217"/>
        <v>0.27927000000000002</v>
      </c>
      <c r="W268">
        <f t="shared" si="217"/>
        <v>7.3639999999999997E-2</v>
      </c>
      <c r="X268">
        <f t="shared" si="217"/>
        <v>2.5277999999999998E-2</v>
      </c>
      <c r="Y268">
        <f t="shared" si="217"/>
        <v>1.1887000000000001E-4</v>
      </c>
      <c r="Z268">
        <f t="shared" si="217"/>
        <v>1.1467E-2</v>
      </c>
      <c r="AA268">
        <f t="shared" si="217"/>
        <v>-1.4652E-5</v>
      </c>
      <c r="AB268">
        <f t="shared" si="217"/>
        <v>1.7493E-8</v>
      </c>
      <c r="AC268">
        <f t="shared" si="217"/>
        <v>1.5398E-3</v>
      </c>
      <c r="AD268">
        <f t="shared" si="217"/>
        <v>6.7785999999999996E-4</v>
      </c>
      <c r="AE268">
        <f t="shared" si="217"/>
        <v>7.8450000000000004E-4</v>
      </c>
      <c r="AF268">
        <f t="shared" si="217"/>
        <v>3.1801999999999998E-5</v>
      </c>
      <c r="AG268">
        <f t="shared" si="217"/>
        <v>2.3995000000000002E-3</v>
      </c>
      <c r="AH268">
        <f t="shared" si="217"/>
        <v>3.0509000000000001E-3</v>
      </c>
    </row>
    <row r="269" spans="2:42" x14ac:dyDescent="0.25">
      <c r="B269" t="str">
        <f>'[3]3_Hub_3000km'!Y388</f>
        <v>Istanbul International Airport</v>
      </c>
      <c r="C269" t="str">
        <f>C263</f>
        <v>market for electricity, low voltage, TR</v>
      </c>
      <c r="D269">
        <f>'[3]3_Hub_3000km'!$Z388/$A$3</f>
        <v>8.877284595300261E-2</v>
      </c>
      <c r="E269" t="str">
        <f t="shared" ref="E269:AH269" si="218">E263</f>
        <v>kWh</v>
      </c>
      <c r="F269" t="str">
        <f t="shared" si="218"/>
        <v>Ecoinvent v3.7.1</v>
      </c>
      <c r="G269">
        <f t="shared" si="218"/>
        <v>0.66378999999999999</v>
      </c>
      <c r="H269">
        <f t="shared" si="218"/>
        <v>4.5117999999999998E-2</v>
      </c>
      <c r="I269">
        <f t="shared" si="218"/>
        <v>8.0196000000000005</v>
      </c>
      <c r="J269">
        <f t="shared" si="218"/>
        <v>0.17710999999999999</v>
      </c>
      <c r="K269">
        <f t="shared" si="218"/>
        <v>8.6892999999999998E-2</v>
      </c>
      <c r="L269">
        <f t="shared" si="218"/>
        <v>1.7516E-5</v>
      </c>
      <c r="M269">
        <f t="shared" si="218"/>
        <v>7.0689000000000002E-2</v>
      </c>
      <c r="N269">
        <f t="shared" si="218"/>
        <v>0.98448000000000002</v>
      </c>
      <c r="O269">
        <f t="shared" si="218"/>
        <v>0.30764000000000002</v>
      </c>
      <c r="P269">
        <f t="shared" si="218"/>
        <v>9.691547516</v>
      </c>
      <c r="Q269">
        <f t="shared" si="218"/>
        <v>1.2818E-2</v>
      </c>
      <c r="R269">
        <f t="shared" si="218"/>
        <v>0.65844000000000003</v>
      </c>
      <c r="S269">
        <f t="shared" si="218"/>
        <v>0.20329</v>
      </c>
      <c r="T269">
        <f t="shared" si="218"/>
        <v>3.3063000000000002E-2</v>
      </c>
      <c r="U269">
        <f t="shared" si="218"/>
        <v>6.5510999999999998E-4</v>
      </c>
      <c r="V269">
        <f t="shared" si="218"/>
        <v>0.42526000000000003</v>
      </c>
      <c r="W269">
        <f t="shared" si="218"/>
        <v>6.2426000000000001E-3</v>
      </c>
      <c r="X269">
        <f t="shared" si="218"/>
        <v>2.9009E-2</v>
      </c>
      <c r="Y269">
        <f t="shared" si="218"/>
        <v>1.9565000000000001E-4</v>
      </c>
      <c r="Z269">
        <f t="shared" si="218"/>
        <v>1.1086E-2</v>
      </c>
      <c r="AA269">
        <f t="shared" si="218"/>
        <v>-3.5899000000000003E-5</v>
      </c>
      <c r="AB269">
        <f t="shared" si="218"/>
        <v>1.5705000000000001E-8</v>
      </c>
      <c r="AC269">
        <f t="shared" si="218"/>
        <v>5.3892000000000002E-3</v>
      </c>
      <c r="AD269">
        <f t="shared" si="218"/>
        <v>1.7297E-3</v>
      </c>
      <c r="AE269">
        <f t="shared" si="218"/>
        <v>3.1383000000000001E-3</v>
      </c>
      <c r="AF269">
        <f t="shared" si="218"/>
        <v>2.2061000000000001E-5</v>
      </c>
      <c r="AG269">
        <f t="shared" si="218"/>
        <v>1.6031999999999999E-3</v>
      </c>
      <c r="AH269">
        <f t="shared" si="218"/>
        <v>4.9744000000000003E-3</v>
      </c>
    </row>
    <row r="270" spans="2:42" x14ac:dyDescent="0.25">
      <c r="B270" s="59" t="str">
        <f>C266</f>
        <v>3_Hub_3000km</v>
      </c>
      <c r="C270" s="59" t="s">
        <v>806</v>
      </c>
      <c r="D270" s="59">
        <f>SUM(D266:D269)</f>
        <v>1</v>
      </c>
      <c r="E270" s="59" t="s">
        <v>105</v>
      </c>
      <c r="F270" s="59"/>
      <c r="G270" s="59">
        <f>SUMPRODUCT($D266:$D269,G266:G269)</f>
        <v>0.55828694516971278</v>
      </c>
      <c r="H270" s="59">
        <f t="shared" ref="H270:AH270" si="219">SUMPRODUCT($D266:$D269,H266:H269)</f>
        <v>0.29806486005221933</v>
      </c>
      <c r="I270" s="59">
        <f t="shared" si="219"/>
        <v>6.9198851174934735</v>
      </c>
      <c r="J270" s="59">
        <f t="shared" si="219"/>
        <v>6.4360074725848565E-2</v>
      </c>
      <c r="K270" s="59">
        <f t="shared" si="219"/>
        <v>2.5212175639686691</v>
      </c>
      <c r="L270" s="59">
        <f t="shared" si="219"/>
        <v>9.3017032637075721E-5</v>
      </c>
      <c r="M270" s="59">
        <f t="shared" si="219"/>
        <v>0.14363518764490862</v>
      </c>
      <c r="N270" s="59">
        <f t="shared" si="219"/>
        <v>0.54098994778067899</v>
      </c>
      <c r="O270" s="59">
        <f t="shared" si="219"/>
        <v>0.13424906788511751</v>
      </c>
      <c r="P270" s="59">
        <f t="shared" si="219"/>
        <v>10.622494836583552</v>
      </c>
      <c r="Q270" s="59">
        <f t="shared" si="219"/>
        <v>4.351173237597912E-2</v>
      </c>
      <c r="R270" s="59">
        <f t="shared" si="219"/>
        <v>0.55266054830287215</v>
      </c>
      <c r="S270" s="59">
        <f t="shared" si="219"/>
        <v>0.17653459268929506</v>
      </c>
      <c r="T270" s="59">
        <f t="shared" si="219"/>
        <v>2.9725255874673631E-2</v>
      </c>
      <c r="U270" s="59">
        <f t="shared" si="219"/>
        <v>4.5060709660574413E-4</v>
      </c>
      <c r="V270" s="59">
        <f t="shared" si="219"/>
        <v>0.29974095822454305</v>
      </c>
      <c r="W270" s="59">
        <f t="shared" si="219"/>
        <v>0.16420900992167103</v>
      </c>
      <c r="X270" s="59">
        <f t="shared" si="219"/>
        <v>2.5436342036553525E-2</v>
      </c>
      <c r="Y270" s="59">
        <f t="shared" si="219"/>
        <v>1.3473359268929505E-4</v>
      </c>
      <c r="Z270" s="59">
        <f t="shared" si="219"/>
        <v>1.1465112793733682E-2</v>
      </c>
      <c r="AA270" s="59">
        <f t="shared" si="219"/>
        <v>-2.1214820626631854E-5</v>
      </c>
      <c r="AB270" s="59">
        <f t="shared" si="219"/>
        <v>2.1595345691906006E-8</v>
      </c>
      <c r="AC270" s="59">
        <f t="shared" si="219"/>
        <v>1.7976485900783291E-3</v>
      </c>
      <c r="AD270" s="59">
        <f t="shared" si="219"/>
        <v>9.1134383812010447E-4</v>
      </c>
      <c r="AE270" s="59">
        <f t="shared" si="219"/>
        <v>1.4361254308093993E-3</v>
      </c>
      <c r="AF270" s="59">
        <f t="shared" si="219"/>
        <v>3.3087955613577029E-5</v>
      </c>
      <c r="AG270" s="59">
        <f t="shared" si="219"/>
        <v>2.4383386161879895E-3</v>
      </c>
      <c r="AH270" s="59">
        <f t="shared" si="219"/>
        <v>2.9649610704960837E-3</v>
      </c>
    </row>
    <row r="271" spans="2:42" x14ac:dyDescent="0.25">
      <c r="B271" s="59" t="str">
        <f>B270</f>
        <v>3_Hub_3000km</v>
      </c>
      <c r="C271" s="59"/>
      <c r="D271" s="59"/>
      <c r="E271" s="59"/>
      <c r="F271" s="59"/>
      <c r="G271" s="59">
        <f>SUMPRODUCT($D267:$D269,G267:G269)/SUM($D267:$D269)</f>
        <v>0.55700922252010721</v>
      </c>
      <c r="H271" s="59">
        <f t="shared" ref="H271:AH271" si="220">SUMPRODUCT($D267:$D269,H267:H269)/SUM($D267:$D269)</f>
        <v>0.2980635710455764</v>
      </c>
      <c r="I271" s="59">
        <f t="shared" si="220"/>
        <v>6.90366836461126</v>
      </c>
      <c r="J271" s="59">
        <f t="shared" si="220"/>
        <v>6.5984474530831103E-2</v>
      </c>
      <c r="K271" s="59">
        <f t="shared" si="220"/>
        <v>2.5647119624664878</v>
      </c>
      <c r="L271" s="59">
        <f t="shared" si="220"/>
        <v>2.3940512064343162E-5</v>
      </c>
      <c r="M271" s="59">
        <f t="shared" si="220"/>
        <v>0.14457707774798928</v>
      </c>
      <c r="N271" s="59">
        <f t="shared" si="220"/>
        <v>0.51173067024128682</v>
      </c>
      <c r="O271" s="59">
        <f t="shared" si="220"/>
        <v>0.13379194638069705</v>
      </c>
      <c r="P271" s="59">
        <f t="shared" si="220"/>
        <v>10.622552007536193</v>
      </c>
      <c r="Q271" s="59">
        <f t="shared" si="220"/>
        <v>4.3439048257372652E-2</v>
      </c>
      <c r="R271" s="59">
        <f t="shared" si="220"/>
        <v>0.55142292225201073</v>
      </c>
      <c r="S271" s="59">
        <f t="shared" si="220"/>
        <v>0.1763158981233244</v>
      </c>
      <c r="T271" s="59">
        <f t="shared" si="220"/>
        <v>2.9822300268096513E-2</v>
      </c>
      <c r="U271" s="59">
        <f t="shared" si="220"/>
        <v>4.5690144772117964E-4</v>
      </c>
      <c r="V271" s="59">
        <f t="shared" si="220"/>
        <v>0.30295723860589807</v>
      </c>
      <c r="W271" s="59">
        <f t="shared" si="220"/>
        <v>0.16685492868632706</v>
      </c>
      <c r="X271" s="59">
        <f t="shared" si="220"/>
        <v>2.5511554959785521E-2</v>
      </c>
      <c r="Y271" s="59">
        <f t="shared" si="220"/>
        <v>1.3496297587131366E-4</v>
      </c>
      <c r="Z271" s="59">
        <f t="shared" si="220"/>
        <v>1.1460243967828418E-2</v>
      </c>
      <c r="AA271" s="59">
        <f t="shared" si="220"/>
        <v>-2.0906117962466485E-5</v>
      </c>
      <c r="AB271" s="59">
        <f t="shared" si="220"/>
        <v>2.1809895442359249E-8</v>
      </c>
      <c r="AC271" s="59">
        <f t="shared" si="220"/>
        <v>1.8112873994638068E-3</v>
      </c>
      <c r="AD271" s="59">
        <f t="shared" si="220"/>
        <v>8.9471924932975865E-4</v>
      </c>
      <c r="AE271" s="59">
        <f t="shared" si="220"/>
        <v>1.4138919571045577E-3</v>
      </c>
      <c r="AF271" s="59">
        <f t="shared" si="220"/>
        <v>3.3191812332439679E-5</v>
      </c>
      <c r="AG271" s="59">
        <f t="shared" si="220"/>
        <v>2.4230951742627346E-3</v>
      </c>
      <c r="AH271" s="59">
        <f t="shared" si="220"/>
        <v>2.7812206434316357E-3</v>
      </c>
    </row>
    <row r="272" spans="2:42" x14ac:dyDescent="0.25">
      <c r="B272" t="s">
        <v>593</v>
      </c>
      <c r="C272" t="str">
        <f>'[3]LCIA-Elec'!BJ107</f>
        <v>4_Hub_3000km</v>
      </c>
      <c r="D272">
        <f>'[3]LCIA-Elec'!$AQ$68/$A$3</f>
        <v>2.3498694516971279E-2</v>
      </c>
      <c r="E272" t="s">
        <v>105</v>
      </c>
      <c r="F272" t="s">
        <v>829</v>
      </c>
      <c r="G272">
        <f>'[3]LCIA-Elec'!BK107</f>
        <v>0.63528444444444443</v>
      </c>
      <c r="H272">
        <f>'[3]LCIA-Elec'!BL107</f>
        <v>0.26473882222222223</v>
      </c>
      <c r="I272">
        <f>'[3]LCIA-Elec'!BM107</f>
        <v>7.759777777777777</v>
      </c>
      <c r="J272">
        <f>'[3]LCIA-Elec'!BN107</f>
        <v>4.1427755555555551E-3</v>
      </c>
      <c r="K272">
        <f>'[3]LCIA-Elec'!BO107</f>
        <v>0.57256277777777775</v>
      </c>
      <c r="L272">
        <f>'[3]LCIA-Elec'!BP107</f>
        <v>2.9592700555555553E-3</v>
      </c>
      <c r="M272">
        <f>'[3]LCIA-Elec'!BQ107</f>
        <v>9.3810763111111112E-2</v>
      </c>
      <c r="N272">
        <f>'[3]LCIA-Elec'!BR107</f>
        <v>1.802048888888889</v>
      </c>
      <c r="O272">
        <f>'[3]LCIA-Elec'!BS107</f>
        <v>0.10074299999999999</v>
      </c>
      <c r="P272">
        <f>'[3]LCIA-Elec'!BT107</f>
        <v>10.600784075388891</v>
      </c>
      <c r="Q272">
        <f>'[3]LCIA-Elec'!BU107</f>
        <v>4.2640166666666666E-2</v>
      </c>
      <c r="R272">
        <f>'[3]LCIA-Elec'!BV107</f>
        <v>0.62764888888888892</v>
      </c>
      <c r="S272">
        <f>'[3]LCIA-Elec'!BW107</f>
        <v>0.18870766666666666</v>
      </c>
      <c r="T272">
        <f>'[3]LCIA-Elec'!BX107</f>
        <v>2.6367333333333336E-2</v>
      </c>
      <c r="U272">
        <f>'[3]LCIA-Elec'!BY107</f>
        <v>2.3169144444444442E-4</v>
      </c>
      <c r="V272">
        <f>'[3]LCIA-Elec'!BZ107</f>
        <v>0.19120888888888887</v>
      </c>
      <c r="W272">
        <f>'[3]LCIA-Elec'!CA107</f>
        <v>3.917693333333333E-2</v>
      </c>
      <c r="X272">
        <f>'[3]LCIA-Elec'!CB107</f>
        <v>2.2842777777777781E-2</v>
      </c>
      <c r="Y272">
        <f>'[3]LCIA-Elec'!CC107</f>
        <v>1.3419355555555556E-4</v>
      </c>
      <c r="Z272">
        <f>'[3]LCIA-Elec'!CD107</f>
        <v>1.1577244444444445E-2</v>
      </c>
      <c r="AA272">
        <f>'[3]LCIA-Elec'!CE107</f>
        <v>-3.5262455555555554E-5</v>
      </c>
      <c r="AB272">
        <f>'[3]LCIA-Elec'!CF107</f>
        <v>1.2984155555555555E-8</v>
      </c>
      <c r="AC272">
        <f>'[3]LCIA-Elec'!CG107</f>
        <v>1.398078888888889E-3</v>
      </c>
      <c r="AD272">
        <f>'[3]LCIA-Elec'!CH107</f>
        <v>1.6237033333333332E-3</v>
      </c>
      <c r="AE272">
        <f>'[3]LCIA-Elec'!CI107</f>
        <v>2.420238888888889E-3</v>
      </c>
      <c r="AF272">
        <f>'[3]LCIA-Elec'!CJ107</f>
        <v>3.0299555555555555E-5</v>
      </c>
      <c r="AG272">
        <f>'[3]LCIA-Elec'!CK107</f>
        <v>2.9628322222222223E-3</v>
      </c>
      <c r="AH272">
        <f>'[3]LCIA-Elec'!CL107</f>
        <v>1.0719176666666667E-2</v>
      </c>
    </row>
    <row r="273" spans="2:34" x14ac:dyDescent="0.25">
      <c r="B273" t="str">
        <f>'[3]4_Hub_3000km'!Y386</f>
        <v>Heathrow Airport</v>
      </c>
      <c r="C273" t="str">
        <f>'ACLCA_raw data'!L35</f>
        <v>market for electricity, low voltage, GB</v>
      </c>
      <c r="D273">
        <f>'[3]4_Hub_3000km'!$Z386/$A$3</f>
        <v>6.2663185378590072E-2</v>
      </c>
      <c r="E273" t="str">
        <f>'ACLCA_raw data'!N35</f>
        <v>kWh</v>
      </c>
      <c r="F273" t="str">
        <f>'ACLCA_raw data'!O35</f>
        <v>Ecoinvent v3.7.1</v>
      </c>
      <c r="G273">
        <f>'ACLCA_raw data'!P35</f>
        <v>0.34189999999999998</v>
      </c>
      <c r="H273">
        <f>'ACLCA_raw data'!Q35</f>
        <v>0.59848000000000001</v>
      </c>
      <c r="I273">
        <f>'ACLCA_raw data'!R35</f>
        <v>5.4097</v>
      </c>
      <c r="J273">
        <f>'ACLCA_raw data'!S35</f>
        <v>4.1463999999999997E-4</v>
      </c>
      <c r="K273">
        <f>'ACLCA_raw data'!T35</f>
        <v>3.8357000000000001</v>
      </c>
      <c r="L273">
        <f>'ACLCA_raw data'!U35</f>
        <v>6.2281999999999998E-5</v>
      </c>
      <c r="M273">
        <f>'ACLCA_raw data'!V35</f>
        <v>0.24073</v>
      </c>
      <c r="N273">
        <f>'ACLCA_raw data'!W35</f>
        <v>0.10517</v>
      </c>
      <c r="O273">
        <f>'ACLCA_raw data'!X35</f>
        <v>0.60631000000000002</v>
      </c>
      <c r="P273">
        <f>'ACLCA_raw data'!Y35</f>
        <v>10.796566922</v>
      </c>
      <c r="Q273">
        <f>'ACLCA_raw data'!Z35</f>
        <v>7.8466999999999995E-2</v>
      </c>
      <c r="R273">
        <f>'ACLCA_raw data'!AA35</f>
        <v>0.33939999999999998</v>
      </c>
      <c r="S273">
        <f>'ACLCA_raw data'!AB35</f>
        <v>0.14854999999999999</v>
      </c>
      <c r="T273">
        <f>'ACLCA_raw data'!AC35</f>
        <v>2.3748999999999999E-2</v>
      </c>
      <c r="U273">
        <f>'ACLCA_raw data'!AD35</f>
        <v>7.3054999999999998E-5</v>
      </c>
      <c r="V273">
        <f>'ACLCA_raw data'!AE35</f>
        <v>7.6856999999999995E-2</v>
      </c>
      <c r="W273">
        <f>'ACLCA_raw data'!AF35</f>
        <v>0.30257000000000001</v>
      </c>
      <c r="X273">
        <f>'ACLCA_raw data'!AG35</f>
        <v>2.0723999999999999E-2</v>
      </c>
      <c r="Y273">
        <f>'ACLCA_raw data'!AH35</f>
        <v>5.4033999999999998E-5</v>
      </c>
      <c r="Z273">
        <f>'ACLCA_raw data'!AI35</f>
        <v>1.2272E-2</v>
      </c>
      <c r="AA273">
        <f>'ACLCA_raw data'!AJ35</f>
        <v>-9.9321999999999995E-6</v>
      </c>
      <c r="AB273">
        <f>'ACLCA_raw data'!AK35</f>
        <v>1.9069E-8</v>
      </c>
      <c r="AC273">
        <f>'ACLCA_raw data'!AL35</f>
        <v>3.0650000000000002E-4</v>
      </c>
      <c r="AD273">
        <f>'ACLCA_raw data'!AM35</f>
        <v>7.0107999999999998E-4</v>
      </c>
      <c r="AE273">
        <f>'ACLCA_raw data'!AN35</f>
        <v>8.7219000000000001E-4</v>
      </c>
      <c r="AF273">
        <f>'ACLCA_raw data'!AO35</f>
        <v>1.9445000000000001E-5</v>
      </c>
      <c r="AG273">
        <f>'ACLCA_raw data'!AP35</f>
        <v>3.4037E-3</v>
      </c>
      <c r="AH273">
        <f>'ACLCA_raw data'!AQ35</f>
        <v>1.7122000000000001E-3</v>
      </c>
    </row>
    <row r="274" spans="2:34" x14ac:dyDescent="0.25">
      <c r="B274" t="str">
        <f>'[3]4_Hub_3000km'!Y387</f>
        <v>Charlotte Douglas International Airport</v>
      </c>
      <c r="C274" t="str">
        <f>C267</f>
        <v>market for electricity, low voltage, US-SERC</v>
      </c>
      <c r="D274">
        <f>'[3]4_Hub_3000km'!$Z387/$A$3</f>
        <v>0.57963446475195823</v>
      </c>
      <c r="E274" t="str">
        <f t="shared" ref="E274:AH274" si="221">E267</f>
        <v>kWh</v>
      </c>
      <c r="F274" t="str">
        <f t="shared" si="221"/>
        <v>Ecoinvent v3.7.1</v>
      </c>
      <c r="G274">
        <f t="shared" si="221"/>
        <v>0.6169</v>
      </c>
      <c r="H274">
        <f t="shared" si="221"/>
        <v>0.40769</v>
      </c>
      <c r="I274">
        <f t="shared" si="221"/>
        <v>7.625</v>
      </c>
      <c r="J274">
        <f t="shared" si="221"/>
        <v>4.4949999999999998E-4</v>
      </c>
      <c r="K274">
        <f t="shared" si="221"/>
        <v>3.7017000000000002</v>
      </c>
      <c r="L274">
        <f t="shared" si="221"/>
        <v>2.8177000000000001E-5</v>
      </c>
      <c r="M274">
        <f t="shared" si="221"/>
        <v>5.8786999999999999E-2</v>
      </c>
      <c r="N274">
        <f t="shared" si="221"/>
        <v>0.17446</v>
      </c>
      <c r="O274">
        <f t="shared" si="221"/>
        <v>2.0888E-2</v>
      </c>
      <c r="P274">
        <f t="shared" si="221"/>
        <v>11.989002677000002</v>
      </c>
      <c r="Q274">
        <f t="shared" si="221"/>
        <v>5.7922000000000001E-2</v>
      </c>
      <c r="R274">
        <f t="shared" si="221"/>
        <v>0.61051</v>
      </c>
      <c r="S274">
        <f t="shared" si="221"/>
        <v>0.19485</v>
      </c>
      <c r="T274">
        <f t="shared" si="221"/>
        <v>2.9537999999999998E-2</v>
      </c>
      <c r="U274">
        <f t="shared" si="221"/>
        <v>4.3969000000000001E-4</v>
      </c>
      <c r="V274">
        <f t="shared" si="221"/>
        <v>0.29670999999999997</v>
      </c>
      <c r="W274">
        <f t="shared" si="221"/>
        <v>0.24057999999999999</v>
      </c>
      <c r="X274">
        <f t="shared" si="221"/>
        <v>2.5099E-2</v>
      </c>
      <c r="Y274">
        <f t="shared" si="221"/>
        <v>1.3415000000000001E-4</v>
      </c>
      <c r="Z274">
        <f t="shared" si="221"/>
        <v>1.1514E-2</v>
      </c>
      <c r="AA274">
        <f t="shared" si="221"/>
        <v>-2.1906E-5</v>
      </c>
      <c r="AB274">
        <f t="shared" si="221"/>
        <v>2.5019999999999998E-8</v>
      </c>
      <c r="AC274">
        <f t="shared" si="221"/>
        <v>1.4063999999999999E-3</v>
      </c>
      <c r="AD274">
        <f t="shared" si="221"/>
        <v>8.8113000000000004E-4</v>
      </c>
      <c r="AE274">
        <f t="shared" si="221"/>
        <v>1.4815E-3</v>
      </c>
      <c r="AF274">
        <f t="shared" si="221"/>
        <v>3.5629000000000001E-5</v>
      </c>
      <c r="AG274">
        <f t="shared" si="221"/>
        <v>2.5611000000000002E-3</v>
      </c>
      <c r="AH274">
        <f t="shared" si="221"/>
        <v>2.3032E-3</v>
      </c>
    </row>
    <row r="275" spans="2:34" x14ac:dyDescent="0.25">
      <c r="B275" t="str">
        <f>'[3]4_Hub_3000km'!Y388</f>
        <v>Denver International Airport</v>
      </c>
      <c r="C275" t="str">
        <f>C268</f>
        <v>market for electricity, low voltage, US-WECC</v>
      </c>
      <c r="D275">
        <f>'[3]4_Hub_3000km'!$Z388/$A$3</f>
        <v>0.30548302872062666</v>
      </c>
      <c r="E275" t="str">
        <f t="shared" ref="E275:AH275" si="222">E268</f>
        <v>kWh</v>
      </c>
      <c r="F275" t="str">
        <f t="shared" si="222"/>
        <v>Ecoinvent v3.7.1</v>
      </c>
      <c r="G275">
        <f t="shared" si="222"/>
        <v>0.41233999999999998</v>
      </c>
      <c r="H275">
        <f t="shared" si="222"/>
        <v>0.16356000000000001</v>
      </c>
      <c r="I275">
        <f t="shared" si="222"/>
        <v>5.2107000000000001</v>
      </c>
      <c r="J275">
        <f t="shared" si="222"/>
        <v>0.15804000000000001</v>
      </c>
      <c r="K275">
        <f t="shared" si="222"/>
        <v>1.1274</v>
      </c>
      <c r="L275">
        <f t="shared" si="222"/>
        <v>1.7768999999999999E-5</v>
      </c>
      <c r="M275">
        <f t="shared" si="222"/>
        <v>0.32883000000000001</v>
      </c>
      <c r="N275">
        <f t="shared" si="222"/>
        <v>1.0143</v>
      </c>
      <c r="O275">
        <f t="shared" si="222"/>
        <v>0.29749999999999999</v>
      </c>
      <c r="P275">
        <f t="shared" si="222"/>
        <v>8.300347769</v>
      </c>
      <c r="Q275">
        <f t="shared" si="222"/>
        <v>2.4857000000000001E-2</v>
      </c>
      <c r="R275">
        <f t="shared" si="222"/>
        <v>0.40821000000000002</v>
      </c>
      <c r="S275">
        <f t="shared" si="222"/>
        <v>0.13331000000000001</v>
      </c>
      <c r="T275">
        <f t="shared" si="222"/>
        <v>2.9420000000000002E-2</v>
      </c>
      <c r="U275">
        <f t="shared" si="222"/>
        <v>4.3196E-4</v>
      </c>
      <c r="V275">
        <f t="shared" si="222"/>
        <v>0.27927000000000002</v>
      </c>
      <c r="W275">
        <f t="shared" si="222"/>
        <v>7.3639999999999997E-2</v>
      </c>
      <c r="X275">
        <f t="shared" si="222"/>
        <v>2.5277999999999998E-2</v>
      </c>
      <c r="Y275">
        <f t="shared" si="222"/>
        <v>1.1887000000000001E-4</v>
      </c>
      <c r="Z275">
        <f t="shared" si="222"/>
        <v>1.1467E-2</v>
      </c>
      <c r="AA275">
        <f t="shared" si="222"/>
        <v>-1.4652E-5</v>
      </c>
      <c r="AB275">
        <f t="shared" si="222"/>
        <v>1.7493E-8</v>
      </c>
      <c r="AC275">
        <f t="shared" si="222"/>
        <v>1.5398E-3</v>
      </c>
      <c r="AD275">
        <f t="shared" si="222"/>
        <v>6.7785999999999996E-4</v>
      </c>
      <c r="AE275">
        <f t="shared" si="222"/>
        <v>7.8450000000000004E-4</v>
      </c>
      <c r="AF275">
        <f t="shared" si="222"/>
        <v>3.1801999999999998E-5</v>
      </c>
      <c r="AG275">
        <f t="shared" si="222"/>
        <v>2.3995000000000002E-3</v>
      </c>
      <c r="AH275">
        <f t="shared" si="222"/>
        <v>3.0509000000000001E-3</v>
      </c>
    </row>
    <row r="276" spans="2:34" x14ac:dyDescent="0.25">
      <c r="B276" t="str">
        <f>'[3]4_Hub_3000km'!Y389</f>
        <v>Istanbul International Airport</v>
      </c>
      <c r="C276" t="str">
        <f>C269</f>
        <v>market for electricity, low voltage, TR</v>
      </c>
      <c r="D276">
        <f>'[3]4_Hub_3000km'!$Z389/$A$3</f>
        <v>2.8720626631853787E-2</v>
      </c>
      <c r="E276" t="str">
        <f t="shared" ref="E276:AH276" si="223">E269</f>
        <v>kWh</v>
      </c>
      <c r="F276" t="str">
        <f t="shared" si="223"/>
        <v>Ecoinvent v3.7.1</v>
      </c>
      <c r="G276">
        <f t="shared" si="223"/>
        <v>0.66378999999999999</v>
      </c>
      <c r="H276">
        <f t="shared" si="223"/>
        <v>4.5117999999999998E-2</v>
      </c>
      <c r="I276">
        <f t="shared" si="223"/>
        <v>8.0196000000000005</v>
      </c>
      <c r="J276">
        <f t="shared" si="223"/>
        <v>0.17710999999999999</v>
      </c>
      <c r="K276">
        <f t="shared" si="223"/>
        <v>8.6892999999999998E-2</v>
      </c>
      <c r="L276">
        <f t="shared" si="223"/>
        <v>1.7516E-5</v>
      </c>
      <c r="M276">
        <f t="shared" si="223"/>
        <v>7.0689000000000002E-2</v>
      </c>
      <c r="N276">
        <f t="shared" si="223"/>
        <v>0.98448000000000002</v>
      </c>
      <c r="O276">
        <f t="shared" si="223"/>
        <v>0.30764000000000002</v>
      </c>
      <c r="P276">
        <f t="shared" si="223"/>
        <v>9.691547516</v>
      </c>
      <c r="Q276">
        <f t="shared" si="223"/>
        <v>1.2818E-2</v>
      </c>
      <c r="R276">
        <f t="shared" si="223"/>
        <v>0.65844000000000003</v>
      </c>
      <c r="S276">
        <f t="shared" si="223"/>
        <v>0.20329</v>
      </c>
      <c r="T276">
        <f t="shared" si="223"/>
        <v>3.3063000000000002E-2</v>
      </c>
      <c r="U276">
        <f t="shared" si="223"/>
        <v>6.5510999999999998E-4</v>
      </c>
      <c r="V276">
        <f t="shared" si="223"/>
        <v>0.42526000000000003</v>
      </c>
      <c r="W276">
        <f t="shared" si="223"/>
        <v>6.2426000000000001E-3</v>
      </c>
      <c r="X276">
        <f t="shared" si="223"/>
        <v>2.9009E-2</v>
      </c>
      <c r="Y276">
        <f t="shared" si="223"/>
        <v>1.9565000000000001E-4</v>
      </c>
      <c r="Z276">
        <f t="shared" si="223"/>
        <v>1.1086E-2</v>
      </c>
      <c r="AA276">
        <f t="shared" si="223"/>
        <v>-3.5899000000000003E-5</v>
      </c>
      <c r="AB276">
        <f t="shared" si="223"/>
        <v>1.5705000000000001E-8</v>
      </c>
      <c r="AC276">
        <f t="shared" si="223"/>
        <v>5.3892000000000002E-3</v>
      </c>
      <c r="AD276">
        <f t="shared" si="223"/>
        <v>1.7297E-3</v>
      </c>
      <c r="AE276">
        <f t="shared" si="223"/>
        <v>3.1383000000000001E-3</v>
      </c>
      <c r="AF276">
        <f t="shared" si="223"/>
        <v>2.2061000000000001E-5</v>
      </c>
      <c r="AG276">
        <f t="shared" si="223"/>
        <v>1.6031999999999999E-3</v>
      </c>
      <c r="AH276">
        <f t="shared" si="223"/>
        <v>4.9744000000000003E-3</v>
      </c>
    </row>
    <row r="277" spans="2:34" x14ac:dyDescent="0.25">
      <c r="B277" s="59" t="str">
        <f>C272</f>
        <v>4_Hub_3000km</v>
      </c>
      <c r="C277" s="59" t="s">
        <v>806</v>
      </c>
      <c r="D277" s="59">
        <f>SUM(D272:D276)</f>
        <v>1</v>
      </c>
      <c r="E277" s="59" t="s">
        <v>105</v>
      </c>
      <c r="F277" s="59"/>
      <c r="G277" s="59">
        <f>SUMPRODUCT($D272:$D276,G272:G276)</f>
        <v>0.53895673629242813</v>
      </c>
      <c r="H277" s="59">
        <f t="shared" ref="H277:AH277" si="224">SUMPRODUCT($D272:$D276,H272:H276)</f>
        <v>0.33129547624020889</v>
      </c>
      <c r="I277" s="59">
        <f t="shared" si="224"/>
        <v>6.7631548302872071</v>
      </c>
      <c r="J277" s="59">
        <f t="shared" si="224"/>
        <v>5.3749126214099219E-2</v>
      </c>
      <c r="K277" s="59">
        <f t="shared" si="224"/>
        <v>2.7463417441253273</v>
      </c>
      <c r="L277" s="59">
        <f t="shared" si="224"/>
        <v>9.5705330287206269E-5</v>
      </c>
      <c r="M277" s="59">
        <f t="shared" si="224"/>
        <v>0.15384652707049609</v>
      </c>
      <c r="N277" s="59">
        <f t="shared" si="224"/>
        <v>0.48818543080939958</v>
      </c>
      <c r="O277" s="59">
        <f t="shared" si="224"/>
        <v>0.15218486422976502</v>
      </c>
      <c r="P277" s="59">
        <f t="shared" si="224"/>
        <v>10.688853704306791</v>
      </c>
      <c r="Q277" s="59">
        <f t="shared" si="224"/>
        <v>4.7454100522193218E-2</v>
      </c>
      <c r="R277" s="59">
        <f t="shared" si="224"/>
        <v>0.53350148825065269</v>
      </c>
      <c r="S277" s="59">
        <f t="shared" si="224"/>
        <v>0.17324733420365537</v>
      </c>
      <c r="T277" s="59">
        <f t="shared" si="224"/>
        <v>2.916592950391645E-2</v>
      </c>
      <c r="U277" s="59">
        <f t="shared" si="224"/>
        <v>4.1565340208877285E-4</v>
      </c>
      <c r="V277" s="59">
        <f t="shared" si="224"/>
        <v>0.27881858485639688</v>
      </c>
      <c r="W277" s="59">
        <f t="shared" si="224"/>
        <v>0.18200412793733681</v>
      </c>
      <c r="X277" s="59">
        <f t="shared" si="224"/>
        <v>2.4938809399477808E-2</v>
      </c>
      <c r="Y277" s="59">
        <f t="shared" si="224"/>
        <v>1.2622923759791124E-4</v>
      </c>
      <c r="Z277" s="59">
        <f t="shared" si="224"/>
        <v>1.1536334725848564E-2</v>
      </c>
      <c r="AA277" s="59">
        <f t="shared" si="224"/>
        <v>-1.9655456657963445E-5</v>
      </c>
      <c r="AB277" s="59">
        <f t="shared" si="224"/>
        <v>2.179736135770235E-8</v>
      </c>
      <c r="AC277" s="59">
        <f t="shared" si="224"/>
        <v>1.4924211749347258E-3</v>
      </c>
      <c r="AD277" s="59">
        <f t="shared" si="224"/>
        <v>8.4957292428198444E-4</v>
      </c>
      <c r="AE277" s="59">
        <f t="shared" si="224"/>
        <v>1.3000404960835511E-3</v>
      </c>
      <c r="AF277" s="59">
        <f t="shared" si="224"/>
        <v>3.2930859007832908E-5</v>
      </c>
      <c r="AG277" s="59">
        <f t="shared" si="224"/>
        <v>2.5464626370757179E-3</v>
      </c>
      <c r="AH277" s="59">
        <f t="shared" si="224"/>
        <v>2.7690587206266317E-3</v>
      </c>
    </row>
    <row r="278" spans="2:34" x14ac:dyDescent="0.25">
      <c r="B278" s="59" t="str">
        <f>B277</f>
        <v>4_Hub_3000km</v>
      </c>
      <c r="C278" s="59"/>
      <c r="D278" s="59"/>
      <c r="E278" s="59"/>
      <c r="F278" s="59"/>
      <c r="G278" s="59">
        <f>SUMPRODUCT($D273:$D276,G273:G276)/SUM($D273:$D276)</f>
        <v>0.53663868983957219</v>
      </c>
      <c r="H278" s="59">
        <f t="shared" ref="H278:AH278" si="225">SUMPRODUCT($D273:$D276,H273:H276)/SUM($D273:$D276)</f>
        <v>0.33289710695187164</v>
      </c>
      <c r="I278" s="59">
        <f t="shared" si="225"/>
        <v>6.7391719251336903</v>
      </c>
      <c r="J278" s="59">
        <f t="shared" si="225"/>
        <v>5.4942861925133694E-2</v>
      </c>
      <c r="K278" s="59">
        <f t="shared" si="225"/>
        <v>2.7986519331550808</v>
      </c>
      <c r="L278" s="59">
        <f t="shared" si="225"/>
        <v>2.6796018716577542E-5</v>
      </c>
      <c r="M278" s="59">
        <f t="shared" si="225"/>
        <v>0.15529123796791444</v>
      </c>
      <c r="N278" s="59">
        <f t="shared" si="225"/>
        <v>0.45656839572192526</v>
      </c>
      <c r="O278" s="59">
        <f t="shared" si="225"/>
        <v>0.15342277005347596</v>
      </c>
      <c r="P278" s="59">
        <f t="shared" si="225"/>
        <v>10.690973026927811</v>
      </c>
      <c r="Q278" s="59">
        <f t="shared" si="225"/>
        <v>4.7569943850267388E-2</v>
      </c>
      <c r="R278" s="59">
        <f t="shared" si="225"/>
        <v>0.53123590909090912</v>
      </c>
      <c r="S278" s="59">
        <f t="shared" si="225"/>
        <v>0.17287529411764707</v>
      </c>
      <c r="T278" s="59">
        <f t="shared" si="225"/>
        <v>2.9233275401069517E-2</v>
      </c>
      <c r="U278" s="59">
        <f t="shared" si="225"/>
        <v>4.2008029411764704E-4</v>
      </c>
      <c r="V278" s="59">
        <f t="shared" si="225"/>
        <v>0.28092683957219255</v>
      </c>
      <c r="W278" s="59">
        <f t="shared" si="225"/>
        <v>0.18544114598930481</v>
      </c>
      <c r="X278" s="59">
        <f t="shared" si="225"/>
        <v>2.4989248663101604E-2</v>
      </c>
      <c r="Y278" s="59">
        <f t="shared" si="225"/>
        <v>1.2603758288770052E-4</v>
      </c>
      <c r="Z278" s="59">
        <f t="shared" si="225"/>
        <v>1.1535350267379679E-2</v>
      </c>
      <c r="AA278" s="59">
        <f t="shared" si="225"/>
        <v>-1.9279887165775399E-5</v>
      </c>
      <c r="AB278" s="59">
        <f t="shared" si="225"/>
        <v>2.200944385026738E-8</v>
      </c>
      <c r="AC278" s="59">
        <f t="shared" si="225"/>
        <v>1.4946914438502671E-3</v>
      </c>
      <c r="AD278" s="59">
        <f t="shared" si="225"/>
        <v>8.3094411764705889E-4</v>
      </c>
      <c r="AE278" s="59">
        <f t="shared" si="225"/>
        <v>1.2730838502673799E-3</v>
      </c>
      <c r="AF278" s="59">
        <f t="shared" si="225"/>
        <v>3.2994179144385032E-5</v>
      </c>
      <c r="AG278" s="59">
        <f t="shared" si="225"/>
        <v>2.5364430481283422E-3</v>
      </c>
      <c r="AH278" s="59">
        <f t="shared" si="225"/>
        <v>2.5777457219251336E-3</v>
      </c>
    </row>
    <row r="279" spans="2:34" x14ac:dyDescent="0.25">
      <c r="B279" t="s">
        <v>593</v>
      </c>
      <c r="C279" t="str">
        <f>'[3]LCIA-Elec'!BJ108</f>
        <v>5_Hub_3000km</v>
      </c>
      <c r="D279">
        <f>'[3]LCIA-Elec'!$AR$68/$A$3</f>
        <v>2.3498694516971279E-2</v>
      </c>
      <c r="E279" t="s">
        <v>105</v>
      </c>
      <c r="F279" t="s">
        <v>829</v>
      </c>
      <c r="G279">
        <f>'[3]LCIA-Elec'!BK108</f>
        <v>0.63528444444444443</v>
      </c>
      <c r="H279">
        <f>'[3]LCIA-Elec'!BL108</f>
        <v>0.26473882222222223</v>
      </c>
      <c r="I279">
        <f>'[3]LCIA-Elec'!BM108</f>
        <v>7.759777777777777</v>
      </c>
      <c r="J279">
        <f>'[3]LCIA-Elec'!BN108</f>
        <v>4.1427755555555551E-3</v>
      </c>
      <c r="K279">
        <f>'[3]LCIA-Elec'!BO108</f>
        <v>0.57256277777777775</v>
      </c>
      <c r="L279">
        <f>'[3]LCIA-Elec'!BP108</f>
        <v>2.9592700555555553E-3</v>
      </c>
      <c r="M279">
        <f>'[3]LCIA-Elec'!BQ108</f>
        <v>9.3810763111111112E-2</v>
      </c>
      <c r="N279">
        <f>'[3]LCIA-Elec'!BR108</f>
        <v>1.802048888888889</v>
      </c>
      <c r="O279">
        <f>'[3]LCIA-Elec'!BS108</f>
        <v>0.10074299999999999</v>
      </c>
      <c r="P279">
        <f>'[3]LCIA-Elec'!BT108</f>
        <v>10.600784075388891</v>
      </c>
      <c r="Q279">
        <f>'[3]LCIA-Elec'!BU108</f>
        <v>4.2640166666666666E-2</v>
      </c>
      <c r="R279">
        <f>'[3]LCIA-Elec'!BV108</f>
        <v>0.62764888888888892</v>
      </c>
      <c r="S279">
        <f>'[3]LCIA-Elec'!BW108</f>
        <v>0.18870766666666666</v>
      </c>
      <c r="T279">
        <f>'[3]LCIA-Elec'!BX108</f>
        <v>2.6367333333333336E-2</v>
      </c>
      <c r="U279">
        <f>'[3]LCIA-Elec'!BY108</f>
        <v>2.3169144444444442E-4</v>
      </c>
      <c r="V279">
        <f>'[3]LCIA-Elec'!BZ108</f>
        <v>0.19120888888888887</v>
      </c>
      <c r="W279">
        <f>'[3]LCIA-Elec'!CA108</f>
        <v>3.917693333333333E-2</v>
      </c>
      <c r="X279">
        <f>'[3]LCIA-Elec'!CB108</f>
        <v>2.2842777777777781E-2</v>
      </c>
      <c r="Y279">
        <f>'[3]LCIA-Elec'!CC108</f>
        <v>1.3419355555555556E-4</v>
      </c>
      <c r="Z279">
        <f>'[3]LCIA-Elec'!CD108</f>
        <v>1.1577244444444445E-2</v>
      </c>
      <c r="AA279">
        <f>'[3]LCIA-Elec'!CE108</f>
        <v>-3.5262455555555554E-5</v>
      </c>
      <c r="AB279">
        <f>'[3]LCIA-Elec'!CF108</f>
        <v>1.2984155555555555E-8</v>
      </c>
      <c r="AC279">
        <f>'[3]LCIA-Elec'!CG108</f>
        <v>1.398078888888889E-3</v>
      </c>
      <c r="AD279">
        <f>'[3]LCIA-Elec'!CH108</f>
        <v>1.6237033333333332E-3</v>
      </c>
      <c r="AE279">
        <f>'[3]LCIA-Elec'!CI108</f>
        <v>2.420238888888889E-3</v>
      </c>
      <c r="AF279">
        <f>'[3]LCIA-Elec'!CJ108</f>
        <v>3.0299555555555555E-5</v>
      </c>
      <c r="AG279">
        <f>'[3]LCIA-Elec'!CK108</f>
        <v>2.9628322222222223E-3</v>
      </c>
      <c r="AH279">
        <f>'[3]LCIA-Elec'!CL108</f>
        <v>1.0719176666666667E-2</v>
      </c>
    </row>
    <row r="280" spans="2:34" x14ac:dyDescent="0.25">
      <c r="B280" t="str">
        <f>'[3]5_Hub_3000km'!Y386</f>
        <v>Heathrow Airport</v>
      </c>
      <c r="C280" t="str">
        <f>C273</f>
        <v>market for electricity, low voltage, GB</v>
      </c>
      <c r="D280">
        <f>'[3]5_Hub_3000km'!$Z386/$A$3</f>
        <v>6.2663185378590072E-2</v>
      </c>
      <c r="E280" t="str">
        <f t="shared" ref="E280:AH280" si="226">E273</f>
        <v>kWh</v>
      </c>
      <c r="F280" t="str">
        <f t="shared" si="226"/>
        <v>Ecoinvent v3.7.1</v>
      </c>
      <c r="G280">
        <f t="shared" si="226"/>
        <v>0.34189999999999998</v>
      </c>
      <c r="H280">
        <f t="shared" si="226"/>
        <v>0.59848000000000001</v>
      </c>
      <c r="I280">
        <f t="shared" si="226"/>
        <v>5.4097</v>
      </c>
      <c r="J280">
        <f t="shared" si="226"/>
        <v>4.1463999999999997E-4</v>
      </c>
      <c r="K280">
        <f t="shared" si="226"/>
        <v>3.8357000000000001</v>
      </c>
      <c r="L280">
        <f t="shared" si="226"/>
        <v>6.2281999999999998E-5</v>
      </c>
      <c r="M280">
        <f t="shared" si="226"/>
        <v>0.24073</v>
      </c>
      <c r="N280">
        <f t="shared" si="226"/>
        <v>0.10517</v>
      </c>
      <c r="O280">
        <f t="shared" si="226"/>
        <v>0.60631000000000002</v>
      </c>
      <c r="P280">
        <f t="shared" si="226"/>
        <v>10.796566922</v>
      </c>
      <c r="Q280">
        <f t="shared" si="226"/>
        <v>7.8466999999999995E-2</v>
      </c>
      <c r="R280">
        <f t="shared" si="226"/>
        <v>0.33939999999999998</v>
      </c>
      <c r="S280">
        <f t="shared" si="226"/>
        <v>0.14854999999999999</v>
      </c>
      <c r="T280">
        <f t="shared" si="226"/>
        <v>2.3748999999999999E-2</v>
      </c>
      <c r="U280">
        <f t="shared" si="226"/>
        <v>7.3054999999999998E-5</v>
      </c>
      <c r="V280">
        <f t="shared" si="226"/>
        <v>7.6856999999999995E-2</v>
      </c>
      <c r="W280">
        <f t="shared" si="226"/>
        <v>0.30257000000000001</v>
      </c>
      <c r="X280">
        <f t="shared" si="226"/>
        <v>2.0723999999999999E-2</v>
      </c>
      <c r="Y280">
        <f t="shared" si="226"/>
        <v>5.4033999999999998E-5</v>
      </c>
      <c r="Z280">
        <f t="shared" si="226"/>
        <v>1.2272E-2</v>
      </c>
      <c r="AA280">
        <f t="shared" si="226"/>
        <v>-9.9321999999999995E-6</v>
      </c>
      <c r="AB280">
        <f t="shared" si="226"/>
        <v>1.9069E-8</v>
      </c>
      <c r="AC280">
        <f t="shared" si="226"/>
        <v>3.0650000000000002E-4</v>
      </c>
      <c r="AD280">
        <f t="shared" si="226"/>
        <v>7.0107999999999998E-4</v>
      </c>
      <c r="AE280">
        <f t="shared" si="226"/>
        <v>8.7219000000000001E-4</v>
      </c>
      <c r="AF280">
        <f t="shared" si="226"/>
        <v>1.9445000000000001E-5</v>
      </c>
      <c r="AG280">
        <f t="shared" si="226"/>
        <v>3.4037E-3</v>
      </c>
      <c r="AH280">
        <f t="shared" si="226"/>
        <v>1.7122000000000001E-3</v>
      </c>
    </row>
    <row r="281" spans="2:34" x14ac:dyDescent="0.25">
      <c r="B281" t="str">
        <f>'[3]5_Hub_3000km'!Y387</f>
        <v>Newark Liberty International Airport</v>
      </c>
      <c r="C281" t="str">
        <f>C251</f>
        <v>market for electricity, low voltage, US-RFC</v>
      </c>
      <c r="D281">
        <f>'[3]5_Hub_3000km'!$Z387/$A$3</f>
        <v>0.52219321148825071</v>
      </c>
      <c r="E281" t="str">
        <f t="shared" ref="E281:AH281" si="227">E251</f>
        <v>kWh</v>
      </c>
      <c r="F281" t="str">
        <f t="shared" si="227"/>
        <v>Ecoinvent v3.7.1</v>
      </c>
      <c r="G281">
        <f t="shared" si="227"/>
        <v>0.61436999999999997</v>
      </c>
      <c r="H281">
        <f t="shared" si="227"/>
        <v>8.2399E-2</v>
      </c>
      <c r="I281">
        <f t="shared" si="227"/>
        <v>6.7473999999999998</v>
      </c>
      <c r="J281">
        <f t="shared" si="227"/>
        <v>4.0428000000000003E-4</v>
      </c>
      <c r="K281">
        <f t="shared" si="227"/>
        <v>4.3425000000000002</v>
      </c>
      <c r="L281">
        <f t="shared" si="227"/>
        <v>1.3322000000000001E-5</v>
      </c>
      <c r="M281">
        <f t="shared" si="227"/>
        <v>1.5082999999999999E-2</v>
      </c>
      <c r="N281">
        <f t="shared" si="227"/>
        <v>6.8917000000000006E-2</v>
      </c>
      <c r="O281">
        <f t="shared" si="227"/>
        <v>0.1275</v>
      </c>
      <c r="P281">
        <f t="shared" si="227"/>
        <v>11.384216602</v>
      </c>
      <c r="Q281">
        <f t="shared" si="227"/>
        <v>1.3875999999999999E-2</v>
      </c>
      <c r="R281">
        <f t="shared" si="227"/>
        <v>0.60836999999999997</v>
      </c>
      <c r="S281">
        <f t="shared" si="227"/>
        <v>0.16855999999999999</v>
      </c>
      <c r="T281">
        <f t="shared" si="227"/>
        <v>2.7827999999999999E-2</v>
      </c>
      <c r="U281">
        <f t="shared" si="227"/>
        <v>3.4965000000000002E-4</v>
      </c>
      <c r="V281">
        <f t="shared" si="227"/>
        <v>0.24507000000000001</v>
      </c>
      <c r="W281">
        <f t="shared" si="227"/>
        <v>0.28216999999999998</v>
      </c>
      <c r="X281">
        <f t="shared" si="227"/>
        <v>2.3791E-2</v>
      </c>
      <c r="Y281">
        <f t="shared" si="227"/>
        <v>1.1882E-4</v>
      </c>
      <c r="Z281">
        <f t="shared" si="227"/>
        <v>1.1622E-2</v>
      </c>
      <c r="AA281">
        <f t="shared" si="227"/>
        <v>-2.4247999999999999E-5</v>
      </c>
      <c r="AB281">
        <f t="shared" si="227"/>
        <v>1.8053E-8</v>
      </c>
      <c r="AC281">
        <f t="shared" si="227"/>
        <v>1.1259E-3</v>
      </c>
      <c r="AD281">
        <f t="shared" si="227"/>
        <v>9.8528999999999999E-4</v>
      </c>
      <c r="AE281">
        <f t="shared" si="227"/>
        <v>1.8718000000000001E-3</v>
      </c>
      <c r="AF281">
        <f t="shared" si="227"/>
        <v>2.6829999999999999E-5</v>
      </c>
      <c r="AG281">
        <f t="shared" si="227"/>
        <v>2.5512999999999998E-3</v>
      </c>
      <c r="AH281">
        <f t="shared" si="227"/>
        <v>2.2418E-3</v>
      </c>
    </row>
    <row r="282" spans="2:34" x14ac:dyDescent="0.25">
      <c r="B282" t="str">
        <f>'[3]5_Hub_3000km'!Y388</f>
        <v>Seattle-Tacoma International Airport</v>
      </c>
      <c r="C282" t="str">
        <f>C252</f>
        <v>market for electricity, low voltage, US-WECC</v>
      </c>
      <c r="D282">
        <f>'[3]5_Hub_3000km'!$Z388/$A$3</f>
        <v>0.15926892950391644</v>
      </c>
      <c r="E282" t="str">
        <f t="shared" ref="E282:AH282" si="228">E252</f>
        <v>kWh</v>
      </c>
      <c r="F282" t="str">
        <f t="shared" si="228"/>
        <v>Ecoinvent v3.7.1</v>
      </c>
      <c r="G282">
        <f t="shared" si="228"/>
        <v>0.41233999999999998</v>
      </c>
      <c r="H282">
        <f t="shared" si="228"/>
        <v>0.16356000000000001</v>
      </c>
      <c r="I282">
        <f t="shared" si="228"/>
        <v>5.2107000000000001</v>
      </c>
      <c r="J282">
        <f t="shared" si="228"/>
        <v>0.15804000000000001</v>
      </c>
      <c r="K282">
        <f t="shared" si="228"/>
        <v>1.1274</v>
      </c>
      <c r="L282">
        <f t="shared" si="228"/>
        <v>1.7768999999999999E-5</v>
      </c>
      <c r="M282">
        <f t="shared" si="228"/>
        <v>0.32883000000000001</v>
      </c>
      <c r="N282">
        <f t="shared" si="228"/>
        <v>1.0143</v>
      </c>
      <c r="O282">
        <f t="shared" si="228"/>
        <v>0.29749999999999999</v>
      </c>
      <c r="P282">
        <f t="shared" si="228"/>
        <v>8.300347769</v>
      </c>
      <c r="Q282">
        <f t="shared" si="228"/>
        <v>2.4857000000000001E-2</v>
      </c>
      <c r="R282">
        <f t="shared" si="228"/>
        <v>0.40821000000000002</v>
      </c>
      <c r="S282">
        <f t="shared" si="228"/>
        <v>0.13331000000000001</v>
      </c>
      <c r="T282">
        <f t="shared" si="228"/>
        <v>2.9420000000000002E-2</v>
      </c>
      <c r="U282">
        <f t="shared" si="228"/>
        <v>4.3196E-4</v>
      </c>
      <c r="V282">
        <f t="shared" si="228"/>
        <v>0.27927000000000002</v>
      </c>
      <c r="W282">
        <f t="shared" si="228"/>
        <v>7.3639999999999997E-2</v>
      </c>
      <c r="X282">
        <f t="shared" si="228"/>
        <v>2.5277999999999998E-2</v>
      </c>
      <c r="Y282">
        <f t="shared" si="228"/>
        <v>1.1887000000000001E-4</v>
      </c>
      <c r="Z282">
        <f t="shared" si="228"/>
        <v>1.1467E-2</v>
      </c>
      <c r="AA282">
        <f t="shared" si="228"/>
        <v>-1.4652E-5</v>
      </c>
      <c r="AB282">
        <f t="shared" si="228"/>
        <v>1.7493E-8</v>
      </c>
      <c r="AC282">
        <f t="shared" si="228"/>
        <v>1.5398E-3</v>
      </c>
      <c r="AD282">
        <f t="shared" si="228"/>
        <v>6.7785999999999996E-4</v>
      </c>
      <c r="AE282">
        <f t="shared" si="228"/>
        <v>7.8450000000000004E-4</v>
      </c>
      <c r="AF282">
        <f t="shared" si="228"/>
        <v>3.1801999999999998E-5</v>
      </c>
      <c r="AG282">
        <f t="shared" si="228"/>
        <v>2.3995000000000002E-3</v>
      </c>
      <c r="AH282">
        <f t="shared" si="228"/>
        <v>3.0509000000000001E-3</v>
      </c>
    </row>
    <row r="283" spans="2:34" x14ac:dyDescent="0.25">
      <c r="B283" t="str">
        <f>'[3]5_Hub_3000km'!Y389</f>
        <v>Dallas/Ft Worth International Airport</v>
      </c>
      <c r="C283" t="str">
        <f>'ACLCA_raw data'!L16</f>
        <v>market for electricity, low voltage, US-TRE</v>
      </c>
      <c r="D283">
        <f>'[3]5_Hub_3000km'!$Z389/$A$3</f>
        <v>0.20365535248041775</v>
      </c>
      <c r="E283" t="str">
        <f>'ACLCA_raw data'!N16</f>
        <v>kWh</v>
      </c>
      <c r="F283" t="str">
        <f>'ACLCA_raw data'!O16</f>
        <v>Ecoinvent v3.7.1</v>
      </c>
      <c r="G283">
        <f>'ACLCA_raw data'!P16</f>
        <v>0.55630999999999997</v>
      </c>
      <c r="H283">
        <f>'ACLCA_raw data'!Q16</f>
        <v>3.4384999999999999E-2</v>
      </c>
      <c r="I283">
        <f>'ACLCA_raw data'!R16</f>
        <v>7.0705999999999998</v>
      </c>
      <c r="J283">
        <f>'ACLCA_raw data'!S16</f>
        <v>9.3513999999999999E-4</v>
      </c>
      <c r="K283">
        <f>'ACLCA_raw data'!T16</f>
        <v>1.4870000000000001</v>
      </c>
      <c r="L283">
        <f>'ACLCA_raw data'!U16</f>
        <v>1.2383E-5</v>
      </c>
      <c r="M283">
        <f>'ACLCA_raw data'!V16</f>
        <v>5.0241000000000001E-2</v>
      </c>
      <c r="N283">
        <f>'ACLCA_raw data'!W16</f>
        <v>2.8124E-2</v>
      </c>
      <c r="O283">
        <f>'ACLCA_raw data'!X16</f>
        <v>0.71762000000000004</v>
      </c>
      <c r="P283">
        <f>'ACLCA_raw data'!Y16</f>
        <v>9.3889175229999999</v>
      </c>
      <c r="Q283">
        <f>'ACLCA_raw data'!Z16</f>
        <v>5.7191000000000004E-3</v>
      </c>
      <c r="R283">
        <f>'ACLCA_raw data'!AA16</f>
        <v>0.55113000000000001</v>
      </c>
      <c r="S283">
        <f>'ACLCA_raw data'!AB16</f>
        <v>0.18562999999999999</v>
      </c>
      <c r="T283">
        <f>'ACLCA_raw data'!AC16</f>
        <v>3.3786999999999998E-2</v>
      </c>
      <c r="U283">
        <f>'ACLCA_raw data'!AD16</f>
        <v>7.0085000000000004E-4</v>
      </c>
      <c r="V283">
        <f>'ACLCA_raw data'!AE16</f>
        <v>0.43487999999999999</v>
      </c>
      <c r="W283">
        <f>'ACLCA_raw data'!AF16</f>
        <v>9.6655000000000005E-2</v>
      </c>
      <c r="X283">
        <f>'ACLCA_raw data'!AG16</f>
        <v>2.8923999999999998E-2</v>
      </c>
      <c r="Y283">
        <f>'ACLCA_raw data'!AH16</f>
        <v>1.6893E-4</v>
      </c>
      <c r="Z283">
        <f>'ACLCA_raw data'!AI16</f>
        <v>1.1021E-2</v>
      </c>
      <c r="AA283">
        <f>'ACLCA_raw data'!AJ16</f>
        <v>-1.0531E-5</v>
      </c>
      <c r="AB283">
        <f>'ACLCA_raw data'!AK16</f>
        <v>2.7590000000000001E-8</v>
      </c>
      <c r="AC283">
        <f>'ACLCA_raw data'!AL16</f>
        <v>2.7604000000000001E-3</v>
      </c>
      <c r="AD283">
        <f>'ACLCA_raw data'!AM16</f>
        <v>5.9469000000000004E-4</v>
      </c>
      <c r="AE283">
        <f>'ACLCA_raw data'!AN16</f>
        <v>1.2328E-3</v>
      </c>
      <c r="AF283">
        <f>'ACLCA_raw data'!AO16</f>
        <v>3.5519000000000003E-5</v>
      </c>
      <c r="AG283">
        <f>'ACLCA_raw data'!AP16</f>
        <v>9.2433000000000001E-4</v>
      </c>
      <c r="AH283">
        <f>'ACLCA_raw data'!AQ16</f>
        <v>1.5288000000000001E-3</v>
      </c>
    </row>
    <row r="284" spans="2:34" x14ac:dyDescent="0.25">
      <c r="B284" t="str">
        <f>'[3]5_Hub_3000km'!Y390</f>
        <v>Istanbul International Airport</v>
      </c>
      <c r="C284" t="str">
        <f>C276</f>
        <v>market for electricity, low voltage, TR</v>
      </c>
      <c r="D284">
        <f>'[3]5_Hub_3000km'!$Z390/$A$3</f>
        <v>2.8720626631853787E-2</v>
      </c>
      <c r="E284" t="str">
        <f t="shared" ref="E284:AH284" si="229">E276</f>
        <v>kWh</v>
      </c>
      <c r="F284" t="str">
        <f t="shared" si="229"/>
        <v>Ecoinvent v3.7.1</v>
      </c>
      <c r="G284">
        <f t="shared" si="229"/>
        <v>0.66378999999999999</v>
      </c>
      <c r="H284">
        <f t="shared" si="229"/>
        <v>4.5117999999999998E-2</v>
      </c>
      <c r="I284">
        <f t="shared" si="229"/>
        <v>8.0196000000000005</v>
      </c>
      <c r="J284">
        <f t="shared" si="229"/>
        <v>0.17710999999999999</v>
      </c>
      <c r="K284">
        <f t="shared" si="229"/>
        <v>8.6892999999999998E-2</v>
      </c>
      <c r="L284">
        <f t="shared" si="229"/>
        <v>1.7516E-5</v>
      </c>
      <c r="M284">
        <f t="shared" si="229"/>
        <v>7.0689000000000002E-2</v>
      </c>
      <c r="N284">
        <f t="shared" si="229"/>
        <v>0.98448000000000002</v>
      </c>
      <c r="O284">
        <f t="shared" si="229"/>
        <v>0.30764000000000002</v>
      </c>
      <c r="P284">
        <f t="shared" si="229"/>
        <v>9.691547516</v>
      </c>
      <c r="Q284">
        <f t="shared" si="229"/>
        <v>1.2818E-2</v>
      </c>
      <c r="R284">
        <f t="shared" si="229"/>
        <v>0.65844000000000003</v>
      </c>
      <c r="S284">
        <f t="shared" si="229"/>
        <v>0.20329</v>
      </c>
      <c r="T284">
        <f t="shared" si="229"/>
        <v>3.3063000000000002E-2</v>
      </c>
      <c r="U284">
        <f t="shared" si="229"/>
        <v>6.5510999999999998E-4</v>
      </c>
      <c r="V284">
        <f t="shared" si="229"/>
        <v>0.42526000000000003</v>
      </c>
      <c r="W284">
        <f t="shared" si="229"/>
        <v>6.2426000000000001E-3</v>
      </c>
      <c r="X284">
        <f t="shared" si="229"/>
        <v>2.9009E-2</v>
      </c>
      <c r="Y284">
        <f t="shared" si="229"/>
        <v>1.9565000000000001E-4</v>
      </c>
      <c r="Z284">
        <f t="shared" si="229"/>
        <v>1.1086E-2</v>
      </c>
      <c r="AA284">
        <f t="shared" si="229"/>
        <v>-3.5899000000000003E-5</v>
      </c>
      <c r="AB284">
        <f t="shared" si="229"/>
        <v>1.5705000000000001E-8</v>
      </c>
      <c r="AC284">
        <f t="shared" si="229"/>
        <v>5.3892000000000002E-3</v>
      </c>
      <c r="AD284">
        <f t="shared" si="229"/>
        <v>1.7297E-3</v>
      </c>
      <c r="AE284">
        <f t="shared" si="229"/>
        <v>3.1383000000000001E-3</v>
      </c>
      <c r="AF284">
        <f t="shared" si="229"/>
        <v>2.2061000000000001E-5</v>
      </c>
      <c r="AG284">
        <f t="shared" si="229"/>
        <v>1.6031999999999999E-3</v>
      </c>
      <c r="AH284">
        <f t="shared" si="229"/>
        <v>4.9744000000000003E-3</v>
      </c>
    </row>
    <row r="285" spans="2:34" x14ac:dyDescent="0.25">
      <c r="B285" s="59" t="str">
        <f>C279</f>
        <v>5_Hub_3000km</v>
      </c>
      <c r="C285" s="59" t="s">
        <v>806</v>
      </c>
      <c r="D285" s="59">
        <f>SUM(D279:D284)</f>
        <v>1</v>
      </c>
      <c r="E285" s="59" t="s">
        <v>105</v>
      </c>
      <c r="F285" s="59"/>
      <c r="G285" s="59">
        <f>SUMPRODUCT($D279:$D284,G279:G284)</f>
        <v>0.55520566579634456</v>
      </c>
      <c r="H285" s="59">
        <f t="shared" ref="H285:AH285" si="230">SUMPRODUCT($D279:$D284,H279:H284)</f>
        <v>0.12110041096605746</v>
      </c>
      <c r="I285" s="59">
        <f t="shared" si="230"/>
        <v>6.5449762402088769</v>
      </c>
      <c r="J285" s="59">
        <f t="shared" si="230"/>
        <v>3.0782462819843343E-2</v>
      </c>
      <c r="K285" s="59">
        <f t="shared" si="230"/>
        <v>3.0063266005221942</v>
      </c>
      <c r="L285" s="59">
        <f t="shared" si="230"/>
        <v>8.6253413838120093E-5</v>
      </c>
      <c r="M285" s="59">
        <f t="shared" si="230"/>
        <v>8.9800062318537863E-2</v>
      </c>
      <c r="N285" s="59">
        <f t="shared" si="230"/>
        <v>0.28047303394255874</v>
      </c>
      <c r="O285" s="59">
        <f t="shared" si="230"/>
        <v>0.30930555352480421</v>
      </c>
      <c r="P285" s="59">
        <f t="shared" si="230"/>
        <v>10.382850617716711</v>
      </c>
      <c r="Q285" s="59">
        <f t="shared" si="230"/>
        <v>1.8656747519582247E-2</v>
      </c>
      <c r="R285" s="59">
        <f t="shared" si="230"/>
        <v>0.54987005221932117</v>
      </c>
      <c r="S285" s="59">
        <f t="shared" si="230"/>
        <v>0.16663918798955615</v>
      </c>
      <c r="T285" s="59">
        <f t="shared" si="230"/>
        <v>2.9155563968668405E-2</v>
      </c>
      <c r="U285" s="59">
        <f t="shared" si="230"/>
        <v>4.2295199216710186E-4</v>
      </c>
      <c r="V285" s="59">
        <f t="shared" si="230"/>
        <v>0.28254156135770236</v>
      </c>
      <c r="W285" s="59">
        <f t="shared" si="230"/>
        <v>0.19882002872062662</v>
      </c>
      <c r="X285" s="59">
        <f t="shared" si="230"/>
        <v>2.5008590078328983E-2</v>
      </c>
      <c r="Y285" s="59">
        <f t="shared" si="230"/>
        <v>1.2754130026109662E-4</v>
      </c>
      <c r="Z285" s="59">
        <f t="shared" si="230"/>
        <v>1.1499201566579636E-2</v>
      </c>
      <c r="AA285" s="59">
        <f t="shared" si="230"/>
        <v>-1.9622490600522192E-5</v>
      </c>
      <c r="AB285" s="59">
        <f t="shared" si="230"/>
        <v>1.9783189033942559E-8</v>
      </c>
      <c r="AC285" s="59">
        <f t="shared" si="230"/>
        <v>1.6021903655352482E-3</v>
      </c>
      <c r="AD285" s="59">
        <f t="shared" si="230"/>
        <v>8.7535046997389042E-4</v>
      </c>
      <c r="AE285" s="59">
        <f t="shared" si="230"/>
        <v>1.5551146475195825E-3</v>
      </c>
      <c r="AF285" s="59">
        <f t="shared" si="230"/>
        <v>2.8873240208877284E-5</v>
      </c>
      <c r="AG285" s="59">
        <f t="shared" si="230"/>
        <v>2.2316363707571801E-3</v>
      </c>
      <c r="AH285" s="59">
        <f t="shared" si="230"/>
        <v>2.4699610704960835E-3</v>
      </c>
    </row>
    <row r="286" spans="2:34" x14ac:dyDescent="0.25">
      <c r="B286" s="59" t="str">
        <f>B285</f>
        <v>5_Hub_3000km</v>
      </c>
      <c r="C286" s="59"/>
      <c r="D286" s="59"/>
      <c r="E286" s="59"/>
      <c r="F286" s="59"/>
      <c r="G286" s="59">
        <f>SUMPRODUCT($D280:$D284,G280:G284)/SUM($D280:$D284)</f>
        <v>0.55327863636363628</v>
      </c>
      <c r="H286" s="59">
        <f t="shared" ref="H286:AH286" si="231">SUMPRODUCT($D280:$D284,H280:H284)/SUM($D280:$D284)</f>
        <v>0.11764387165775402</v>
      </c>
      <c r="I286" s="59">
        <f t="shared" si="231"/>
        <v>6.5157430481283409</v>
      </c>
      <c r="J286" s="59">
        <f t="shared" si="231"/>
        <v>3.1423524812834225E-2</v>
      </c>
      <c r="K286" s="59">
        <f t="shared" si="231"/>
        <v>3.0648931096256691</v>
      </c>
      <c r="L286" s="59">
        <f t="shared" si="231"/>
        <v>1.711664973262032E-5</v>
      </c>
      <c r="M286" s="59">
        <f t="shared" si="231"/>
        <v>8.9703548128342234E-2</v>
      </c>
      <c r="N286" s="59">
        <f t="shared" si="231"/>
        <v>0.24385757219251333</v>
      </c>
      <c r="O286" s="59">
        <f t="shared" si="231"/>
        <v>0.31432443850267378</v>
      </c>
      <c r="P286" s="59">
        <f t="shared" si="231"/>
        <v>10.377606229697861</v>
      </c>
      <c r="Q286" s="59">
        <f t="shared" si="231"/>
        <v>1.8079606417112301E-2</v>
      </c>
      <c r="R286" s="59">
        <f t="shared" si="231"/>
        <v>0.54799836898395715</v>
      </c>
      <c r="S286" s="59">
        <f t="shared" si="231"/>
        <v>0.16610812834224598</v>
      </c>
      <c r="T286" s="59">
        <f t="shared" si="231"/>
        <v>2.9222660427807485E-2</v>
      </c>
      <c r="U286" s="59">
        <f t="shared" si="231"/>
        <v>4.2755451871657752E-4</v>
      </c>
      <c r="V286" s="59">
        <f t="shared" si="231"/>
        <v>0.28473940641711232</v>
      </c>
      <c r="W286" s="59">
        <f t="shared" si="231"/>
        <v>0.20266170748663098</v>
      </c>
      <c r="X286" s="59">
        <f t="shared" si="231"/>
        <v>2.5060708556149731E-2</v>
      </c>
      <c r="Y286" s="59">
        <f t="shared" si="231"/>
        <v>1.2738121925133687E-4</v>
      </c>
      <c r="Z286" s="59">
        <f t="shared" si="231"/>
        <v>1.1497323529411765E-2</v>
      </c>
      <c r="AA286" s="59">
        <f t="shared" si="231"/>
        <v>-1.9246127807486628E-5</v>
      </c>
      <c r="AB286" s="59">
        <f t="shared" si="231"/>
        <v>1.994680213903743E-8</v>
      </c>
      <c r="AC286" s="59">
        <f t="shared" si="231"/>
        <v>1.6071021390374331E-3</v>
      </c>
      <c r="AD286" s="59">
        <f t="shared" si="231"/>
        <v>8.5734197860962559E-4</v>
      </c>
      <c r="AE286" s="59">
        <f t="shared" si="231"/>
        <v>1.5342961497326203E-3</v>
      </c>
      <c r="AF286" s="59">
        <f t="shared" si="231"/>
        <v>2.8838917112299461E-5</v>
      </c>
      <c r="AG286" s="59">
        <f t="shared" si="231"/>
        <v>2.2140407486631016E-3</v>
      </c>
      <c r="AH286" s="59">
        <f t="shared" si="231"/>
        <v>2.2714505347593578E-3</v>
      </c>
    </row>
    <row r="287" spans="2:34" x14ac:dyDescent="0.25">
      <c r="B287" t="s">
        <v>593</v>
      </c>
      <c r="C287" t="str">
        <f>'[3]LCIA-Elec'!BJ109</f>
        <v>6_Hub_3000km</v>
      </c>
      <c r="D287">
        <f>'[3]LCIA-Elec'!$AS$68/$A$3</f>
        <v>2.3498694516971279E-2</v>
      </c>
      <c r="E287" t="s">
        <v>105</v>
      </c>
      <c r="F287" t="s">
        <v>829</v>
      </c>
      <c r="G287">
        <f>'[3]LCIA-Elec'!BK109</f>
        <v>0.63528444444444443</v>
      </c>
      <c r="H287">
        <f>'[3]LCIA-Elec'!BL109</f>
        <v>0.26473882222222223</v>
      </c>
      <c r="I287">
        <f>'[3]LCIA-Elec'!BM109</f>
        <v>7.759777777777777</v>
      </c>
      <c r="J287">
        <f>'[3]LCIA-Elec'!BN109</f>
        <v>4.1427755555555551E-3</v>
      </c>
      <c r="K287">
        <f>'[3]LCIA-Elec'!BO109</f>
        <v>0.57256277777777775</v>
      </c>
      <c r="L287">
        <f>'[3]LCIA-Elec'!BP109</f>
        <v>2.9592700555555553E-3</v>
      </c>
      <c r="M287">
        <f>'[3]LCIA-Elec'!BQ109</f>
        <v>9.3810763111111112E-2</v>
      </c>
      <c r="N287">
        <f>'[3]LCIA-Elec'!BR109</f>
        <v>1.802048888888889</v>
      </c>
      <c r="O287">
        <f>'[3]LCIA-Elec'!BS109</f>
        <v>0.10074299999999999</v>
      </c>
      <c r="P287">
        <f>'[3]LCIA-Elec'!BT109</f>
        <v>10.600784075388891</v>
      </c>
      <c r="Q287">
        <f>'[3]LCIA-Elec'!BU109</f>
        <v>4.2640166666666666E-2</v>
      </c>
      <c r="R287">
        <f>'[3]LCIA-Elec'!BV109</f>
        <v>0.62764888888888892</v>
      </c>
      <c r="S287">
        <f>'[3]LCIA-Elec'!BW109</f>
        <v>0.18870766666666666</v>
      </c>
      <c r="T287">
        <f>'[3]LCIA-Elec'!BX109</f>
        <v>2.6367333333333336E-2</v>
      </c>
      <c r="U287">
        <f>'[3]LCIA-Elec'!BY109</f>
        <v>2.3169144444444442E-4</v>
      </c>
      <c r="V287">
        <f>'[3]LCIA-Elec'!BZ109</f>
        <v>0.19120888888888887</v>
      </c>
      <c r="W287">
        <f>'[3]LCIA-Elec'!CA109</f>
        <v>3.917693333333333E-2</v>
      </c>
      <c r="X287">
        <f>'[3]LCIA-Elec'!CB109</f>
        <v>2.2842777777777781E-2</v>
      </c>
      <c r="Y287">
        <f>'[3]LCIA-Elec'!CC109</f>
        <v>1.3419355555555556E-4</v>
      </c>
      <c r="Z287">
        <f>'[3]LCIA-Elec'!CD109</f>
        <v>1.1577244444444445E-2</v>
      </c>
      <c r="AA287">
        <f>'[3]LCIA-Elec'!CE109</f>
        <v>-3.5262455555555554E-5</v>
      </c>
      <c r="AB287">
        <f>'[3]LCIA-Elec'!CF109</f>
        <v>1.2984155555555555E-8</v>
      </c>
      <c r="AC287">
        <f>'[3]LCIA-Elec'!CG109</f>
        <v>1.398078888888889E-3</v>
      </c>
      <c r="AD287">
        <f>'[3]LCIA-Elec'!CH109</f>
        <v>1.6237033333333332E-3</v>
      </c>
      <c r="AE287">
        <f>'[3]LCIA-Elec'!CI109</f>
        <v>2.420238888888889E-3</v>
      </c>
      <c r="AF287">
        <f>'[3]LCIA-Elec'!CJ109</f>
        <v>3.0299555555555555E-5</v>
      </c>
      <c r="AG287">
        <f>'[3]LCIA-Elec'!CK109</f>
        <v>2.9628322222222223E-3</v>
      </c>
      <c r="AH287">
        <f>'[3]LCIA-Elec'!CL109</f>
        <v>1.0719176666666667E-2</v>
      </c>
    </row>
    <row r="288" spans="2:34" x14ac:dyDescent="0.25">
      <c r="B288" t="str">
        <f>'[3]6_Hub_3000km'!Y386</f>
        <v>Heathrow Airport</v>
      </c>
      <c r="C288" t="str">
        <f>C280</f>
        <v>market for electricity, low voltage, GB</v>
      </c>
      <c r="D288">
        <f>'[3]6_Hub_3000km'!$Z386/$A$3</f>
        <v>6.2663185378590072E-2</v>
      </c>
      <c r="E288" t="str">
        <f t="shared" ref="E288:AH288" si="232">E280</f>
        <v>kWh</v>
      </c>
      <c r="F288" t="str">
        <f t="shared" si="232"/>
        <v>Ecoinvent v3.7.1</v>
      </c>
      <c r="G288">
        <f t="shared" si="232"/>
        <v>0.34189999999999998</v>
      </c>
      <c r="H288">
        <f t="shared" si="232"/>
        <v>0.59848000000000001</v>
      </c>
      <c r="I288">
        <f t="shared" si="232"/>
        <v>5.4097</v>
      </c>
      <c r="J288">
        <f t="shared" si="232"/>
        <v>4.1463999999999997E-4</v>
      </c>
      <c r="K288">
        <f t="shared" si="232"/>
        <v>3.8357000000000001</v>
      </c>
      <c r="L288">
        <f t="shared" si="232"/>
        <v>6.2281999999999998E-5</v>
      </c>
      <c r="M288">
        <f t="shared" si="232"/>
        <v>0.24073</v>
      </c>
      <c r="N288">
        <f t="shared" si="232"/>
        <v>0.10517</v>
      </c>
      <c r="O288">
        <f t="shared" si="232"/>
        <v>0.60631000000000002</v>
      </c>
      <c r="P288">
        <f t="shared" si="232"/>
        <v>10.796566922</v>
      </c>
      <c r="Q288">
        <f t="shared" si="232"/>
        <v>7.8466999999999995E-2</v>
      </c>
      <c r="R288">
        <f t="shared" si="232"/>
        <v>0.33939999999999998</v>
      </c>
      <c r="S288">
        <f t="shared" si="232"/>
        <v>0.14854999999999999</v>
      </c>
      <c r="T288">
        <f t="shared" si="232"/>
        <v>2.3748999999999999E-2</v>
      </c>
      <c r="U288">
        <f t="shared" si="232"/>
        <v>7.3054999999999998E-5</v>
      </c>
      <c r="V288">
        <f t="shared" si="232"/>
        <v>7.6856999999999995E-2</v>
      </c>
      <c r="W288">
        <f t="shared" si="232"/>
        <v>0.30257000000000001</v>
      </c>
      <c r="X288">
        <f t="shared" si="232"/>
        <v>2.0723999999999999E-2</v>
      </c>
      <c r="Y288">
        <f t="shared" si="232"/>
        <v>5.4033999999999998E-5</v>
      </c>
      <c r="Z288">
        <f t="shared" si="232"/>
        <v>1.2272E-2</v>
      </c>
      <c r="AA288">
        <f t="shared" si="232"/>
        <v>-9.9321999999999995E-6</v>
      </c>
      <c r="AB288">
        <f t="shared" si="232"/>
        <v>1.9069E-8</v>
      </c>
      <c r="AC288">
        <f t="shared" si="232"/>
        <v>3.0650000000000002E-4</v>
      </c>
      <c r="AD288">
        <f t="shared" si="232"/>
        <v>7.0107999999999998E-4</v>
      </c>
      <c r="AE288">
        <f t="shared" si="232"/>
        <v>8.7219000000000001E-4</v>
      </c>
      <c r="AF288">
        <f t="shared" si="232"/>
        <v>1.9445000000000001E-5</v>
      </c>
      <c r="AG288">
        <f t="shared" si="232"/>
        <v>3.4037E-3</v>
      </c>
      <c r="AH288">
        <f t="shared" si="232"/>
        <v>1.7122000000000001E-3</v>
      </c>
    </row>
    <row r="289" spans="2:34" x14ac:dyDescent="0.25">
      <c r="B289" t="str">
        <f>'[3]6_Hub_3000km'!Y387</f>
        <v>Newark Liberty International Airport</v>
      </c>
      <c r="C289" t="str">
        <f>C281</f>
        <v>market for electricity, low voltage, US-RFC</v>
      </c>
      <c r="D289">
        <f>'[3]6_Hub_3000km'!$Z387/$A$3</f>
        <v>0.37075718015665798</v>
      </c>
      <c r="E289" t="str">
        <f t="shared" ref="E289:AH289" si="233">E281</f>
        <v>kWh</v>
      </c>
      <c r="F289" t="str">
        <f t="shared" si="233"/>
        <v>Ecoinvent v3.7.1</v>
      </c>
      <c r="G289">
        <f t="shared" si="233"/>
        <v>0.61436999999999997</v>
      </c>
      <c r="H289">
        <f t="shared" si="233"/>
        <v>8.2399E-2</v>
      </c>
      <c r="I289">
        <f t="shared" si="233"/>
        <v>6.7473999999999998</v>
      </c>
      <c r="J289">
        <f t="shared" si="233"/>
        <v>4.0428000000000003E-4</v>
      </c>
      <c r="K289">
        <f t="shared" si="233"/>
        <v>4.3425000000000002</v>
      </c>
      <c r="L289">
        <f t="shared" si="233"/>
        <v>1.3322000000000001E-5</v>
      </c>
      <c r="M289">
        <f t="shared" si="233"/>
        <v>1.5082999999999999E-2</v>
      </c>
      <c r="N289">
        <f t="shared" si="233"/>
        <v>6.8917000000000006E-2</v>
      </c>
      <c r="O289">
        <f t="shared" si="233"/>
        <v>0.1275</v>
      </c>
      <c r="P289">
        <f t="shared" si="233"/>
        <v>11.384216602</v>
      </c>
      <c r="Q289">
        <f t="shared" si="233"/>
        <v>1.3875999999999999E-2</v>
      </c>
      <c r="R289">
        <f t="shared" si="233"/>
        <v>0.60836999999999997</v>
      </c>
      <c r="S289">
        <f t="shared" si="233"/>
        <v>0.16855999999999999</v>
      </c>
      <c r="T289">
        <f t="shared" si="233"/>
        <v>2.7827999999999999E-2</v>
      </c>
      <c r="U289">
        <f t="shared" si="233"/>
        <v>3.4965000000000002E-4</v>
      </c>
      <c r="V289">
        <f t="shared" si="233"/>
        <v>0.24507000000000001</v>
      </c>
      <c r="W289">
        <f t="shared" si="233"/>
        <v>0.28216999999999998</v>
      </c>
      <c r="X289">
        <f t="shared" si="233"/>
        <v>2.3791E-2</v>
      </c>
      <c r="Y289">
        <f t="shared" si="233"/>
        <v>1.1882E-4</v>
      </c>
      <c r="Z289">
        <f t="shared" si="233"/>
        <v>1.1622E-2</v>
      </c>
      <c r="AA289">
        <f t="shared" si="233"/>
        <v>-2.4247999999999999E-5</v>
      </c>
      <c r="AB289">
        <f t="shared" si="233"/>
        <v>1.8053E-8</v>
      </c>
      <c r="AC289">
        <f t="shared" si="233"/>
        <v>1.1259E-3</v>
      </c>
      <c r="AD289">
        <f t="shared" si="233"/>
        <v>9.8528999999999999E-4</v>
      </c>
      <c r="AE289">
        <f t="shared" si="233"/>
        <v>1.8718000000000001E-3</v>
      </c>
      <c r="AF289">
        <f t="shared" si="233"/>
        <v>2.6829999999999999E-5</v>
      </c>
      <c r="AG289">
        <f t="shared" si="233"/>
        <v>2.5512999999999998E-3</v>
      </c>
      <c r="AH289">
        <f t="shared" si="233"/>
        <v>2.2418E-3</v>
      </c>
    </row>
    <row r="290" spans="2:34" x14ac:dyDescent="0.25">
      <c r="B290" t="str">
        <f>'[3]6_Hub_3000km'!Y388</f>
        <v>Seattle-Tacoma International Airport</v>
      </c>
      <c r="C290" t="str">
        <f>C282</f>
        <v>market for electricity, low voltage, US-WECC</v>
      </c>
      <c r="D290">
        <f>'[3]6_Hub_3000km'!$Z388/$A$3</f>
        <v>0.15926892950391644</v>
      </c>
      <c r="E290" t="str">
        <f t="shared" ref="E290:AH290" si="234">E282</f>
        <v>kWh</v>
      </c>
      <c r="F290" t="str">
        <f t="shared" si="234"/>
        <v>Ecoinvent v3.7.1</v>
      </c>
      <c r="G290">
        <f t="shared" si="234"/>
        <v>0.41233999999999998</v>
      </c>
      <c r="H290">
        <f t="shared" si="234"/>
        <v>0.16356000000000001</v>
      </c>
      <c r="I290">
        <f t="shared" si="234"/>
        <v>5.2107000000000001</v>
      </c>
      <c r="J290">
        <f t="shared" si="234"/>
        <v>0.15804000000000001</v>
      </c>
      <c r="K290">
        <f t="shared" si="234"/>
        <v>1.1274</v>
      </c>
      <c r="L290">
        <f t="shared" si="234"/>
        <v>1.7768999999999999E-5</v>
      </c>
      <c r="M290">
        <f t="shared" si="234"/>
        <v>0.32883000000000001</v>
      </c>
      <c r="N290">
        <f t="shared" si="234"/>
        <v>1.0143</v>
      </c>
      <c r="O290">
        <f t="shared" si="234"/>
        <v>0.29749999999999999</v>
      </c>
      <c r="P290">
        <f t="shared" si="234"/>
        <v>8.300347769</v>
      </c>
      <c r="Q290">
        <f t="shared" si="234"/>
        <v>2.4857000000000001E-2</v>
      </c>
      <c r="R290">
        <f t="shared" si="234"/>
        <v>0.40821000000000002</v>
      </c>
      <c r="S290">
        <f t="shared" si="234"/>
        <v>0.13331000000000001</v>
      </c>
      <c r="T290">
        <f t="shared" si="234"/>
        <v>2.9420000000000002E-2</v>
      </c>
      <c r="U290">
        <f t="shared" si="234"/>
        <v>4.3196E-4</v>
      </c>
      <c r="V290">
        <f t="shared" si="234"/>
        <v>0.27927000000000002</v>
      </c>
      <c r="W290">
        <f t="shared" si="234"/>
        <v>7.3639999999999997E-2</v>
      </c>
      <c r="X290">
        <f t="shared" si="234"/>
        <v>2.5277999999999998E-2</v>
      </c>
      <c r="Y290">
        <f t="shared" si="234"/>
        <v>1.1887000000000001E-4</v>
      </c>
      <c r="Z290">
        <f t="shared" si="234"/>
        <v>1.1467E-2</v>
      </c>
      <c r="AA290">
        <f t="shared" si="234"/>
        <v>-1.4652E-5</v>
      </c>
      <c r="AB290">
        <f t="shared" si="234"/>
        <v>1.7493E-8</v>
      </c>
      <c r="AC290">
        <f t="shared" si="234"/>
        <v>1.5398E-3</v>
      </c>
      <c r="AD290">
        <f t="shared" si="234"/>
        <v>6.7785999999999996E-4</v>
      </c>
      <c r="AE290">
        <f t="shared" si="234"/>
        <v>7.8450000000000004E-4</v>
      </c>
      <c r="AF290">
        <f t="shared" si="234"/>
        <v>3.1801999999999998E-5</v>
      </c>
      <c r="AG290">
        <f t="shared" si="234"/>
        <v>2.3995000000000002E-3</v>
      </c>
      <c r="AH290">
        <f t="shared" si="234"/>
        <v>3.0509000000000001E-3</v>
      </c>
    </row>
    <row r="291" spans="2:34" x14ac:dyDescent="0.25">
      <c r="B291" t="str">
        <f>'[3]6_Hub_3000km'!Y389</f>
        <v>Dallas/Ft Worth International Airport</v>
      </c>
      <c r="C291" t="str">
        <f>C283</f>
        <v>market for electricity, low voltage, US-TRE</v>
      </c>
      <c r="D291">
        <f>'[3]6_Hub_3000km'!$Z389/$A$3</f>
        <v>0.1122715404699739</v>
      </c>
      <c r="E291" t="str">
        <f t="shared" ref="E291:AH291" si="235">E283</f>
        <v>kWh</v>
      </c>
      <c r="F291" t="str">
        <f t="shared" si="235"/>
        <v>Ecoinvent v3.7.1</v>
      </c>
      <c r="G291">
        <f t="shared" si="235"/>
        <v>0.55630999999999997</v>
      </c>
      <c r="H291">
        <f t="shared" si="235"/>
        <v>3.4384999999999999E-2</v>
      </c>
      <c r="I291">
        <f t="shared" si="235"/>
        <v>7.0705999999999998</v>
      </c>
      <c r="J291">
        <f t="shared" si="235"/>
        <v>9.3513999999999999E-4</v>
      </c>
      <c r="K291">
        <f t="shared" si="235"/>
        <v>1.4870000000000001</v>
      </c>
      <c r="L291">
        <f t="shared" si="235"/>
        <v>1.2383E-5</v>
      </c>
      <c r="M291">
        <f t="shared" si="235"/>
        <v>5.0241000000000001E-2</v>
      </c>
      <c r="N291">
        <f t="shared" si="235"/>
        <v>2.8124E-2</v>
      </c>
      <c r="O291">
        <f t="shared" si="235"/>
        <v>0.71762000000000004</v>
      </c>
      <c r="P291">
        <f t="shared" si="235"/>
        <v>9.3889175229999999</v>
      </c>
      <c r="Q291">
        <f t="shared" si="235"/>
        <v>5.7191000000000004E-3</v>
      </c>
      <c r="R291">
        <f t="shared" si="235"/>
        <v>0.55113000000000001</v>
      </c>
      <c r="S291">
        <f t="shared" si="235"/>
        <v>0.18562999999999999</v>
      </c>
      <c r="T291">
        <f t="shared" si="235"/>
        <v>3.3786999999999998E-2</v>
      </c>
      <c r="U291">
        <f t="shared" si="235"/>
        <v>7.0085000000000004E-4</v>
      </c>
      <c r="V291">
        <f t="shared" si="235"/>
        <v>0.43487999999999999</v>
      </c>
      <c r="W291">
        <f t="shared" si="235"/>
        <v>9.6655000000000005E-2</v>
      </c>
      <c r="X291">
        <f t="shared" si="235"/>
        <v>2.8923999999999998E-2</v>
      </c>
      <c r="Y291">
        <f t="shared" si="235"/>
        <v>1.6893E-4</v>
      </c>
      <c r="Z291">
        <f t="shared" si="235"/>
        <v>1.1021E-2</v>
      </c>
      <c r="AA291">
        <f t="shared" si="235"/>
        <v>-1.0531E-5</v>
      </c>
      <c r="AB291">
        <f t="shared" si="235"/>
        <v>2.7590000000000001E-8</v>
      </c>
      <c r="AC291">
        <f t="shared" si="235"/>
        <v>2.7604000000000001E-3</v>
      </c>
      <c r="AD291">
        <f t="shared" si="235"/>
        <v>5.9469000000000004E-4</v>
      </c>
      <c r="AE291">
        <f t="shared" si="235"/>
        <v>1.2328E-3</v>
      </c>
      <c r="AF291">
        <f t="shared" si="235"/>
        <v>3.5519000000000003E-5</v>
      </c>
      <c r="AG291">
        <f t="shared" si="235"/>
        <v>9.2433000000000001E-4</v>
      </c>
      <c r="AH291">
        <f t="shared" si="235"/>
        <v>1.5288000000000001E-3</v>
      </c>
    </row>
    <row r="292" spans="2:34" x14ac:dyDescent="0.25">
      <c r="B292" t="str">
        <f>'[3]6_Hub_3000km'!Y390</f>
        <v>O'Hare International Airport</v>
      </c>
      <c r="C292" t="str">
        <f>C262</f>
        <v>market for electricity, low voltage, US-RFC</v>
      </c>
      <c r="D292">
        <f>'[3]6_Hub_3000km'!$Z390/$A$3</f>
        <v>0.24281984334203655</v>
      </c>
      <c r="E292" t="str">
        <f t="shared" ref="E292:AH292" si="236">E262</f>
        <v>kWh</v>
      </c>
      <c r="F292" t="str">
        <f t="shared" si="236"/>
        <v>Ecoinvent v3.7.1</v>
      </c>
      <c r="G292">
        <f t="shared" si="236"/>
        <v>0.61436999999999997</v>
      </c>
      <c r="H292">
        <f t="shared" si="236"/>
        <v>8.2399E-2</v>
      </c>
      <c r="I292">
        <f t="shared" si="236"/>
        <v>6.7473999999999998</v>
      </c>
      <c r="J292">
        <f t="shared" si="236"/>
        <v>4.0428000000000003E-4</v>
      </c>
      <c r="K292">
        <f t="shared" si="236"/>
        <v>4.3425000000000002</v>
      </c>
      <c r="L292">
        <f t="shared" si="236"/>
        <v>1.3322000000000001E-5</v>
      </c>
      <c r="M292">
        <f t="shared" si="236"/>
        <v>1.5082999999999999E-2</v>
      </c>
      <c r="N292">
        <f t="shared" si="236"/>
        <v>6.8917000000000006E-2</v>
      </c>
      <c r="O292">
        <f t="shared" si="236"/>
        <v>0.1275</v>
      </c>
      <c r="P292">
        <f t="shared" si="236"/>
        <v>11.384216602</v>
      </c>
      <c r="Q292">
        <f t="shared" si="236"/>
        <v>1.3875999999999999E-2</v>
      </c>
      <c r="R292">
        <f t="shared" si="236"/>
        <v>0.60836999999999997</v>
      </c>
      <c r="S292">
        <f t="shared" si="236"/>
        <v>0.16855999999999999</v>
      </c>
      <c r="T292">
        <f t="shared" si="236"/>
        <v>2.7827999999999999E-2</v>
      </c>
      <c r="U292">
        <f t="shared" si="236"/>
        <v>3.4965000000000002E-4</v>
      </c>
      <c r="V292">
        <f t="shared" si="236"/>
        <v>0.24507000000000001</v>
      </c>
      <c r="W292">
        <f t="shared" si="236"/>
        <v>0.28216999999999998</v>
      </c>
      <c r="X292">
        <f t="shared" si="236"/>
        <v>2.3791E-2</v>
      </c>
      <c r="Y292">
        <f t="shared" si="236"/>
        <v>1.1882E-4</v>
      </c>
      <c r="Z292">
        <f t="shared" si="236"/>
        <v>1.1622E-2</v>
      </c>
      <c r="AA292">
        <f t="shared" si="236"/>
        <v>-2.4247999999999999E-5</v>
      </c>
      <c r="AB292">
        <f t="shared" si="236"/>
        <v>1.8053E-8</v>
      </c>
      <c r="AC292">
        <f t="shared" si="236"/>
        <v>1.1259E-3</v>
      </c>
      <c r="AD292">
        <f t="shared" si="236"/>
        <v>9.8528999999999999E-4</v>
      </c>
      <c r="AE292">
        <f t="shared" si="236"/>
        <v>1.8718000000000001E-3</v>
      </c>
      <c r="AF292">
        <f t="shared" si="236"/>
        <v>2.6829999999999999E-5</v>
      </c>
      <c r="AG292">
        <f t="shared" si="236"/>
        <v>2.5512999999999998E-3</v>
      </c>
      <c r="AH292">
        <f t="shared" si="236"/>
        <v>2.2418E-3</v>
      </c>
    </row>
    <row r="293" spans="2:34" x14ac:dyDescent="0.25">
      <c r="B293" t="str">
        <f>'[3]6_Hub_3000km'!Y391</f>
        <v>Istanbul International Airport</v>
      </c>
      <c r="C293" t="str">
        <f>C284</f>
        <v>market for electricity, low voltage, TR</v>
      </c>
      <c r="D293">
        <f>'[3]6_Hub_3000km'!$Z391/$A$3</f>
        <v>2.8720626631853787E-2</v>
      </c>
      <c r="E293" t="str">
        <f t="shared" ref="E293:AH293" si="237">E284</f>
        <v>kWh</v>
      </c>
      <c r="F293" t="str">
        <f t="shared" si="237"/>
        <v>Ecoinvent v3.7.1</v>
      </c>
      <c r="G293">
        <f t="shared" si="237"/>
        <v>0.66378999999999999</v>
      </c>
      <c r="H293">
        <f t="shared" si="237"/>
        <v>4.5117999999999998E-2</v>
      </c>
      <c r="I293">
        <f t="shared" si="237"/>
        <v>8.0196000000000005</v>
      </c>
      <c r="J293">
        <f t="shared" si="237"/>
        <v>0.17710999999999999</v>
      </c>
      <c r="K293">
        <f t="shared" si="237"/>
        <v>8.6892999999999998E-2</v>
      </c>
      <c r="L293">
        <f t="shared" si="237"/>
        <v>1.7516E-5</v>
      </c>
      <c r="M293">
        <f t="shared" si="237"/>
        <v>7.0689000000000002E-2</v>
      </c>
      <c r="N293">
        <f t="shared" si="237"/>
        <v>0.98448000000000002</v>
      </c>
      <c r="O293">
        <f t="shared" si="237"/>
        <v>0.30764000000000002</v>
      </c>
      <c r="P293">
        <f t="shared" si="237"/>
        <v>9.691547516</v>
      </c>
      <c r="Q293">
        <f t="shared" si="237"/>
        <v>1.2818E-2</v>
      </c>
      <c r="R293">
        <f t="shared" si="237"/>
        <v>0.65844000000000003</v>
      </c>
      <c r="S293">
        <f t="shared" si="237"/>
        <v>0.20329</v>
      </c>
      <c r="T293">
        <f t="shared" si="237"/>
        <v>3.3063000000000002E-2</v>
      </c>
      <c r="U293">
        <f t="shared" si="237"/>
        <v>6.5510999999999998E-4</v>
      </c>
      <c r="V293">
        <f t="shared" si="237"/>
        <v>0.42526000000000003</v>
      </c>
      <c r="W293">
        <f t="shared" si="237"/>
        <v>6.2426000000000001E-3</v>
      </c>
      <c r="X293">
        <f t="shared" si="237"/>
        <v>2.9009E-2</v>
      </c>
      <c r="Y293">
        <f t="shared" si="237"/>
        <v>1.9565000000000001E-4</v>
      </c>
      <c r="Z293">
        <f t="shared" si="237"/>
        <v>1.1086E-2</v>
      </c>
      <c r="AA293">
        <f t="shared" si="237"/>
        <v>-3.5899000000000003E-5</v>
      </c>
      <c r="AB293">
        <f t="shared" si="237"/>
        <v>1.5705000000000001E-8</v>
      </c>
      <c r="AC293">
        <f t="shared" si="237"/>
        <v>5.3892000000000002E-3</v>
      </c>
      <c r="AD293">
        <f t="shared" si="237"/>
        <v>1.7297E-3</v>
      </c>
      <c r="AE293">
        <f t="shared" si="237"/>
        <v>3.1383000000000001E-3</v>
      </c>
      <c r="AF293">
        <f t="shared" si="237"/>
        <v>2.2061000000000001E-5</v>
      </c>
      <c r="AG293">
        <f t="shared" si="237"/>
        <v>1.6031999999999999E-3</v>
      </c>
      <c r="AH293">
        <f t="shared" si="237"/>
        <v>4.9744000000000003E-3</v>
      </c>
    </row>
    <row r="294" spans="2:34" x14ac:dyDescent="0.25">
      <c r="B294" s="59" t="str">
        <f>C287</f>
        <v>6_Hub_3000km</v>
      </c>
      <c r="C294" s="59" t="s">
        <v>806</v>
      </c>
      <c r="D294" s="59">
        <f>SUM(D287:D293)</f>
        <v>1</v>
      </c>
      <c r="E294" s="59" t="s">
        <v>105</v>
      </c>
      <c r="F294" s="59"/>
      <c r="G294" s="59">
        <f>SUMPRODUCT($D287:$D293,G287:G293)</f>
        <v>0.56051140992167092</v>
      </c>
      <c r="H294" s="59">
        <f t="shared" ref="H294:AH294" si="238">SUMPRODUCT($D287:$D293,H287:H293)</f>
        <v>0.12548811331592688</v>
      </c>
      <c r="I294" s="59">
        <f t="shared" si="238"/>
        <v>6.5154409921671013</v>
      </c>
      <c r="J294" s="59">
        <f t="shared" si="238"/>
        <v>3.0733950809399481E-2</v>
      </c>
      <c r="K294" s="59">
        <f t="shared" si="238"/>
        <v>3.2672730757180157</v>
      </c>
      <c r="L294" s="59">
        <f t="shared" si="238"/>
        <v>8.6339223237597896E-5</v>
      </c>
      <c r="M294" s="59">
        <f t="shared" si="238"/>
        <v>8.6587190255874677E-2</v>
      </c>
      <c r="N294" s="59">
        <f t="shared" si="238"/>
        <v>0.28420085378590082</v>
      </c>
      <c r="O294" s="59">
        <f t="shared" si="238"/>
        <v>0.25537813838120099</v>
      </c>
      <c r="P294" s="59">
        <f t="shared" si="238"/>
        <v>10.565188653656659</v>
      </c>
      <c r="Q294" s="59">
        <f t="shared" si="238"/>
        <v>1.9402156135770232E-2</v>
      </c>
      <c r="R294" s="59">
        <f t="shared" si="238"/>
        <v>0.5551008616187989</v>
      </c>
      <c r="S294" s="59">
        <f t="shared" si="238"/>
        <v>0.16507926631853787</v>
      </c>
      <c r="T294" s="59">
        <f t="shared" si="238"/>
        <v>2.8611007832898175E-2</v>
      </c>
      <c r="U294" s="59">
        <f t="shared" si="238"/>
        <v>3.9085799738903393E-4</v>
      </c>
      <c r="V294" s="59">
        <f t="shared" si="238"/>
        <v>0.26519600000000004</v>
      </c>
      <c r="W294" s="59">
        <f t="shared" si="238"/>
        <v>0.21577309660574412</v>
      </c>
      <c r="X294" s="59">
        <f t="shared" si="238"/>
        <v>2.4539516971279374E-2</v>
      </c>
      <c r="Y294" s="59">
        <f t="shared" si="238"/>
        <v>1.2296205744125326E-4</v>
      </c>
      <c r="Z294" s="59">
        <f t="shared" si="238"/>
        <v>1.1554123237597911E-2</v>
      </c>
      <c r="AA294" s="59">
        <f t="shared" si="238"/>
        <v>-2.0876002349869453E-5</v>
      </c>
      <c r="AB294" s="59">
        <f t="shared" si="238"/>
        <v>1.8911661618798955E-8</v>
      </c>
      <c r="AC294" s="59">
        <f t="shared" si="238"/>
        <v>1.4528235248041778E-3</v>
      </c>
      <c r="AD294" s="59">
        <f t="shared" si="238"/>
        <v>9.1104498694516976E-4</v>
      </c>
      <c r="AE294" s="59">
        <f t="shared" si="238"/>
        <v>1.6135089033942561E-3</v>
      </c>
      <c r="AF294" s="59">
        <f t="shared" si="238"/>
        <v>2.8079206266318536E-5</v>
      </c>
      <c r="AG294" s="59">
        <f t="shared" si="238"/>
        <v>2.380315091383812E-3</v>
      </c>
      <c r="AH294" s="59">
        <f t="shared" si="238"/>
        <v>2.5351177284595305E-3</v>
      </c>
    </row>
    <row r="295" spans="2:34" x14ac:dyDescent="0.25">
      <c r="B295" s="59" t="str">
        <f>B294</f>
        <v>6_Hub_3000km</v>
      </c>
      <c r="C295" s="59"/>
      <c r="D295" s="59"/>
      <c r="E295" s="59"/>
      <c r="F295" s="59"/>
      <c r="G295" s="59">
        <f>SUMPRODUCT($D288:$D293,G288:G293)/SUM($D288:$D293)</f>
        <v>0.55871205882352937</v>
      </c>
      <c r="H295" s="59">
        <f t="shared" ref="H295:AH295" si="239">SUMPRODUCT($D288:$D293,H288:H293)/SUM($D288:$D293)</f>
        <v>0.12213716042780749</v>
      </c>
      <c r="I295" s="59">
        <f t="shared" si="239"/>
        <v>6.4854970588235297</v>
      </c>
      <c r="J295" s="59">
        <f t="shared" si="239"/>
        <v>3.1373845401069522E-2</v>
      </c>
      <c r="K295" s="59">
        <f t="shared" si="239"/>
        <v>3.332119045454546</v>
      </c>
      <c r="L295" s="59">
        <f t="shared" si="239"/>
        <v>1.7204524064171125E-5</v>
      </c>
      <c r="M295" s="59">
        <f t="shared" si="239"/>
        <v>8.6413360962566854E-2</v>
      </c>
      <c r="N295" s="59">
        <f t="shared" si="239"/>
        <v>0.24767509893048126</v>
      </c>
      <c r="O295" s="59">
        <f t="shared" si="239"/>
        <v>0.25909930481283422</v>
      </c>
      <c r="P295" s="59">
        <f t="shared" si="239"/>
        <v>10.5643320793369</v>
      </c>
      <c r="Q295" s="59">
        <f t="shared" si="239"/>
        <v>1.8842952673796789E-2</v>
      </c>
      <c r="R295" s="59">
        <f t="shared" si="239"/>
        <v>0.55335505347593572</v>
      </c>
      <c r="S295" s="59">
        <f t="shared" si="239"/>
        <v>0.16451066844919787</v>
      </c>
      <c r="T295" s="59">
        <f t="shared" si="239"/>
        <v>2.8665E-2</v>
      </c>
      <c r="U295" s="59">
        <f t="shared" si="239"/>
        <v>3.9468820855614975E-4</v>
      </c>
      <c r="V295" s="59">
        <f t="shared" si="239"/>
        <v>0.26697643850267383</v>
      </c>
      <c r="W295" s="59">
        <f t="shared" si="239"/>
        <v>0.22002273689839572</v>
      </c>
      <c r="X295" s="59">
        <f t="shared" si="239"/>
        <v>2.4580347593582887E-2</v>
      </c>
      <c r="Y295" s="59">
        <f t="shared" si="239"/>
        <v>1.2269178074866312E-4</v>
      </c>
      <c r="Z295" s="59">
        <f t="shared" si="239"/>
        <v>1.1553566844919786E-2</v>
      </c>
      <c r="AA295" s="59">
        <f t="shared" si="239"/>
        <v>-2.0529804278074864E-5</v>
      </c>
      <c r="AB295" s="59">
        <f t="shared" si="239"/>
        <v>1.9054302139037434E-8</v>
      </c>
      <c r="AC295" s="59">
        <f t="shared" si="239"/>
        <v>1.4541409090909091E-3</v>
      </c>
      <c r="AD295" s="59">
        <f t="shared" si="239"/>
        <v>8.9389545454545457E-4</v>
      </c>
      <c r="AE295" s="59">
        <f t="shared" si="239"/>
        <v>1.5940956149732622E-3</v>
      </c>
      <c r="AF295" s="59">
        <f t="shared" si="239"/>
        <v>2.8025775401069518E-5</v>
      </c>
      <c r="AG295" s="59">
        <f t="shared" si="239"/>
        <v>2.3662972994652406E-3</v>
      </c>
      <c r="AH295" s="59">
        <f t="shared" si="239"/>
        <v>2.3381751336898401E-3</v>
      </c>
    </row>
    <row r="296" spans="2:34" x14ac:dyDescent="0.25">
      <c r="B296" t="s">
        <v>593</v>
      </c>
      <c r="C296" t="str">
        <f>'[3]LCIA-Elec'!BJ110</f>
        <v>1_Hub_5000km</v>
      </c>
      <c r="D296">
        <f>'[3]LCIA-Elec'!$AT$68/$A$3</f>
        <v>0.1122715404699739</v>
      </c>
      <c r="E296" t="s">
        <v>105</v>
      </c>
      <c r="F296" t="s">
        <v>829</v>
      </c>
      <c r="G296">
        <f>'[3]LCIA-Elec'!BK110</f>
        <v>0.43772304651162791</v>
      </c>
      <c r="H296">
        <f>'[3]LCIA-Elec'!BL110</f>
        <v>0.29567391395348835</v>
      </c>
      <c r="I296">
        <f>'[3]LCIA-Elec'!BM110</f>
        <v>5.8288983720930228</v>
      </c>
      <c r="J296">
        <f>'[3]LCIA-Elec'!BN110</f>
        <v>1.5009944651162793E-2</v>
      </c>
      <c r="K296">
        <f>'[3]LCIA-Elec'!BO110</f>
        <v>2.6560043488372096</v>
      </c>
      <c r="L296">
        <f>'[3]LCIA-Elec'!BP110</f>
        <v>6.5106726511627905E-4</v>
      </c>
      <c r="M296">
        <f>'[3]LCIA-Elec'!BQ110</f>
        <v>0.21318816204651164</v>
      </c>
      <c r="N296">
        <f>'[3]LCIA-Elec'!BR110</f>
        <v>0.79902527906976717</v>
      </c>
      <c r="O296">
        <f>'[3]LCIA-Elec'!BS110</f>
        <v>0.3903601976744186</v>
      </c>
      <c r="P296">
        <f>'[3]LCIA-Elec'!BT110</f>
        <v>10.198811285590697</v>
      </c>
      <c r="Q296">
        <f>'[3]LCIA-Elec'!BU110</f>
        <v>4.0432927906976744E-2</v>
      </c>
      <c r="R296">
        <f>'[3]LCIA-Elec'!BV110</f>
        <v>0.43316609302325587</v>
      </c>
      <c r="S296">
        <f>'[3]LCIA-Elec'!BW110</f>
        <v>0.14978098837209305</v>
      </c>
      <c r="T296">
        <f>'[3]LCIA-Elec'!BX110</f>
        <v>2.4167093023255811E-2</v>
      </c>
      <c r="U296">
        <f>'[3]LCIA-Elec'!BY110</f>
        <v>2.0675697674418607E-4</v>
      </c>
      <c r="V296">
        <f>'[3]LCIA-Elec'!BZ110</f>
        <v>0.15832395348837208</v>
      </c>
      <c r="W296">
        <f>'[3]LCIA-Elec'!CA110</f>
        <v>0.17448197674418606</v>
      </c>
      <c r="X296">
        <f>'[3]LCIA-Elec'!CB110</f>
        <v>2.1113000000000003E-2</v>
      </c>
      <c r="Y296">
        <f>'[3]LCIA-Elec'!CC110</f>
        <v>9.4417697674418604E-5</v>
      </c>
      <c r="Z296">
        <f>'[3]LCIA-Elec'!CD110</f>
        <v>1.2372079069767443E-2</v>
      </c>
      <c r="AA296">
        <f>'[3]LCIA-Elec'!CE110</f>
        <v>-1.7966872093023255E-5</v>
      </c>
      <c r="AB296">
        <f>'[3]LCIA-Elec'!CF110</f>
        <v>2.1870551162790697E-8</v>
      </c>
      <c r="AC296">
        <f>'[3]LCIA-Elec'!CG110</f>
        <v>6.0517802325581389E-4</v>
      </c>
      <c r="AD296">
        <f>'[3]LCIA-Elec'!CH110</f>
        <v>9.7814348837209309E-4</v>
      </c>
      <c r="AE296">
        <f>'[3]LCIA-Elec'!CI110</f>
        <v>1.4100151162790698E-3</v>
      </c>
      <c r="AF296">
        <f>'[3]LCIA-Elec'!CJ110</f>
        <v>2.4212260465116277E-5</v>
      </c>
      <c r="AG296">
        <f>'[3]LCIA-Elec'!CK110</f>
        <v>2.736536744186046E-3</v>
      </c>
      <c r="AH296">
        <f>'[3]LCIA-Elec'!CL110</f>
        <v>5.0756813953488364E-3</v>
      </c>
    </row>
    <row r="297" spans="2:34" x14ac:dyDescent="0.25">
      <c r="B297" t="str">
        <f>'[3]1_Hub_5000km'!$Y$386</f>
        <v>O'Hare International Airport</v>
      </c>
      <c r="C297" t="str">
        <f>C292</f>
        <v>market for electricity, low voltage, US-RFC</v>
      </c>
      <c r="D297">
        <f>'[3]1_Hub_5000km'!$Z$386/A3</f>
        <v>0.8877284595300261</v>
      </c>
      <c r="E297" t="str">
        <f t="shared" ref="E297:AH297" si="240">E292</f>
        <v>kWh</v>
      </c>
      <c r="F297" t="str">
        <f t="shared" si="240"/>
        <v>Ecoinvent v3.7.1</v>
      </c>
      <c r="G297">
        <f t="shared" si="240"/>
        <v>0.61436999999999997</v>
      </c>
      <c r="H297">
        <f t="shared" si="240"/>
        <v>8.2399E-2</v>
      </c>
      <c r="I297">
        <f t="shared" si="240"/>
        <v>6.7473999999999998</v>
      </c>
      <c r="J297">
        <f t="shared" si="240"/>
        <v>4.0428000000000003E-4</v>
      </c>
      <c r="K297">
        <f t="shared" si="240"/>
        <v>4.3425000000000002</v>
      </c>
      <c r="L297">
        <f t="shared" si="240"/>
        <v>1.3322000000000001E-5</v>
      </c>
      <c r="M297">
        <f t="shared" si="240"/>
        <v>1.5082999999999999E-2</v>
      </c>
      <c r="N297">
        <f t="shared" si="240"/>
        <v>6.8917000000000006E-2</v>
      </c>
      <c r="O297">
        <f t="shared" si="240"/>
        <v>0.1275</v>
      </c>
      <c r="P297">
        <f t="shared" si="240"/>
        <v>11.384216602</v>
      </c>
      <c r="Q297">
        <f t="shared" si="240"/>
        <v>1.3875999999999999E-2</v>
      </c>
      <c r="R297">
        <f t="shared" si="240"/>
        <v>0.60836999999999997</v>
      </c>
      <c r="S297">
        <f t="shared" si="240"/>
        <v>0.16855999999999999</v>
      </c>
      <c r="T297">
        <f t="shared" si="240"/>
        <v>2.7827999999999999E-2</v>
      </c>
      <c r="U297">
        <f t="shared" si="240"/>
        <v>3.4965000000000002E-4</v>
      </c>
      <c r="V297">
        <f t="shared" si="240"/>
        <v>0.24507000000000001</v>
      </c>
      <c r="W297">
        <f t="shared" si="240"/>
        <v>0.28216999999999998</v>
      </c>
      <c r="X297">
        <f t="shared" si="240"/>
        <v>2.3791E-2</v>
      </c>
      <c r="Y297">
        <f t="shared" si="240"/>
        <v>1.1882E-4</v>
      </c>
      <c r="Z297">
        <f t="shared" si="240"/>
        <v>1.1622E-2</v>
      </c>
      <c r="AA297">
        <f t="shared" si="240"/>
        <v>-2.4247999999999999E-5</v>
      </c>
      <c r="AB297">
        <f t="shared" si="240"/>
        <v>1.8053E-8</v>
      </c>
      <c r="AC297">
        <f t="shared" si="240"/>
        <v>1.1259E-3</v>
      </c>
      <c r="AD297">
        <f t="shared" si="240"/>
        <v>9.8528999999999999E-4</v>
      </c>
      <c r="AE297">
        <f t="shared" si="240"/>
        <v>1.8718000000000001E-3</v>
      </c>
      <c r="AF297">
        <f t="shared" si="240"/>
        <v>2.6829999999999999E-5</v>
      </c>
      <c r="AG297">
        <f t="shared" si="240"/>
        <v>2.5512999999999998E-3</v>
      </c>
      <c r="AH297">
        <f t="shared" si="240"/>
        <v>2.2418E-3</v>
      </c>
    </row>
    <row r="298" spans="2:34" x14ac:dyDescent="0.25">
      <c r="B298" s="59" t="str">
        <f>C296</f>
        <v>1_Hub_5000km</v>
      </c>
      <c r="C298" s="59" t="s">
        <v>806</v>
      </c>
      <c r="D298" s="59">
        <f>SUM(D296:D297)</f>
        <v>1</v>
      </c>
      <c r="E298" s="59" t="s">
        <v>105</v>
      </c>
      <c r="F298" s="59"/>
      <c r="G298" s="59">
        <f>SUMPRODUCT($D296:$D297,G296:G297)</f>
        <v>0.59453757441253263</v>
      </c>
      <c r="H298" s="59">
        <f t="shared" ref="H298:AH298" si="241">SUMPRODUCT($D296:$D297,H296:H297)</f>
        <v>0.10634370313315926</v>
      </c>
      <c r="I298" s="59">
        <f t="shared" si="241"/>
        <v>6.6442784073107051</v>
      </c>
      <c r="J298" s="59">
        <f t="shared" si="241"/>
        <v>2.0440804699738907E-3</v>
      </c>
      <c r="K298" s="59">
        <f t="shared" si="241"/>
        <v>4.1531545352480421</v>
      </c>
      <c r="L298" s="59">
        <f t="shared" si="241"/>
        <v>8.4922643342036556E-5</v>
      </c>
      <c r="M298" s="59">
        <f t="shared" si="241"/>
        <v>3.7324571718015669E-2</v>
      </c>
      <c r="N298" s="59">
        <f t="shared" si="241"/>
        <v>0.15088738120104436</v>
      </c>
      <c r="O298" s="59">
        <f t="shared" si="241"/>
        <v>0.15701171932114882</v>
      </c>
      <c r="P298" s="59">
        <f t="shared" si="241"/>
        <v>11.251129321045431</v>
      </c>
      <c r="Q298" s="59">
        <f t="shared" si="241"/>
        <v>1.6857587206266317E-2</v>
      </c>
      <c r="R298" s="59">
        <f t="shared" si="241"/>
        <v>0.58869958746736284</v>
      </c>
      <c r="S298" s="59">
        <f t="shared" si="241"/>
        <v>0.16645165143603133</v>
      </c>
      <c r="T298" s="59">
        <f t="shared" si="241"/>
        <v>2.7416984334203656E-2</v>
      </c>
      <c r="U298" s="59">
        <f t="shared" si="241"/>
        <v>3.3360718015665796E-4</v>
      </c>
      <c r="V298" s="59">
        <f t="shared" si="241"/>
        <v>0.23533088772845953</v>
      </c>
      <c r="W298" s="59">
        <f t="shared" si="241"/>
        <v>0.27007969973890339</v>
      </c>
      <c r="X298" s="59">
        <f t="shared" si="241"/>
        <v>2.3490336814621413E-2</v>
      </c>
      <c r="Y298" s="59">
        <f t="shared" si="241"/>
        <v>1.1608031592689295E-4</v>
      </c>
      <c r="Z298" s="59">
        <f t="shared" si="241"/>
        <v>1.1706212532637076E-2</v>
      </c>
      <c r="AA298" s="59">
        <f t="shared" si="241"/>
        <v>-2.3542808093994778E-5</v>
      </c>
      <c r="AB298" s="59">
        <f t="shared" si="241"/>
        <v>1.8481602349869452E-8</v>
      </c>
      <c r="AC298" s="59">
        <f t="shared" si="241"/>
        <v>1.0674377415143604E-3</v>
      </c>
      <c r="AD298" s="59">
        <f t="shared" si="241"/>
        <v>9.8448765013054817E-4</v>
      </c>
      <c r="AE298" s="59">
        <f t="shared" si="241"/>
        <v>1.8199546997389035E-3</v>
      </c>
      <c r="AF298" s="59">
        <f t="shared" si="241"/>
        <v>2.6536102349869453E-5</v>
      </c>
      <c r="AG298" s="59">
        <f t="shared" si="241"/>
        <v>2.5720968146214097E-3</v>
      </c>
      <c r="AH298" s="59">
        <f t="shared" si="241"/>
        <v>2.5599642297650126E-3</v>
      </c>
    </row>
    <row r="299" spans="2:34" x14ac:dyDescent="0.25">
      <c r="B299" t="s">
        <v>593</v>
      </c>
      <c r="C299" t="str">
        <f>'[3]LCIA-Elec'!BJ111</f>
        <v>2_Hub_5000km</v>
      </c>
      <c r="D299">
        <f>'[3]LCIA-Elec'!$AU$68/$A$3</f>
        <v>1.8276762402088774E-2</v>
      </c>
      <c r="E299" t="s">
        <v>105</v>
      </c>
      <c r="F299" t="s">
        <v>829</v>
      </c>
      <c r="G299">
        <f>'[3]LCIA-Elec'!BK111</f>
        <v>0.55985714285714283</v>
      </c>
      <c r="H299">
        <f>'[3]LCIA-Elec'!BL111</f>
        <v>0.31342285714285711</v>
      </c>
      <c r="I299">
        <f>'[3]LCIA-Elec'!BM111</f>
        <v>6.7371142857142852</v>
      </c>
      <c r="J299">
        <f>'[3]LCIA-Elec'!BN111</f>
        <v>5.2170385714285714E-3</v>
      </c>
      <c r="K299">
        <f>'[3]LCIA-Elec'!BO111</f>
        <v>0.66923714285714286</v>
      </c>
      <c r="L299">
        <f>'[3]LCIA-Elec'!BP111</f>
        <v>3.7983594285714286E-3</v>
      </c>
      <c r="M299">
        <f>'[3]LCIA-Elec'!BQ111</f>
        <v>0.10961583828571429</v>
      </c>
      <c r="N299">
        <f>'[3]LCIA-Elec'!BR111</f>
        <v>1.74925</v>
      </c>
      <c r="O299">
        <f>'[3]LCIA-Elec'!BS111</f>
        <v>9.5519428571428575E-2</v>
      </c>
      <c r="P299">
        <f>'[3]LCIA-Elec'!BT111</f>
        <v>9.6831749505714289</v>
      </c>
      <c r="Q299">
        <f>'[3]LCIA-Elec'!BU111</f>
        <v>4.8306285714285711E-2</v>
      </c>
      <c r="R299">
        <f>'[3]LCIA-Elec'!BV111</f>
        <v>0.55196285714285709</v>
      </c>
      <c r="S299">
        <f>'[3]LCIA-Elec'!BW111</f>
        <v>0.16736628571428572</v>
      </c>
      <c r="T299">
        <f>'[3]LCIA-Elec'!BX111</f>
        <v>2.5493714285714286E-2</v>
      </c>
      <c r="U299">
        <f>'[3]LCIA-Elec'!BY111</f>
        <v>1.7687742857142857E-4</v>
      </c>
      <c r="V299">
        <f>'[3]LCIA-Elec'!BZ111</f>
        <v>0.15282485714285715</v>
      </c>
      <c r="W299">
        <f>'[3]LCIA-Elec'!CA111</f>
        <v>4.3830285714285711E-2</v>
      </c>
      <c r="X299">
        <f>'[3]LCIA-Elec'!CB111</f>
        <v>2.1926285714285714E-2</v>
      </c>
      <c r="Y299">
        <f>'[3]LCIA-Elec'!CC111</f>
        <v>1.220817142857143E-4</v>
      </c>
      <c r="Z299">
        <f>'[3]LCIA-Elec'!CD111</f>
        <v>1.1629771428571427E-2</v>
      </c>
      <c r="AA299">
        <f>'[3]LCIA-Elec'!CE111</f>
        <v>-2.7671085714285716E-5</v>
      </c>
      <c r="AB299">
        <f>'[3]LCIA-Elec'!CF111</f>
        <v>1.2982599999999999E-8</v>
      </c>
      <c r="AC299">
        <f>'[3]LCIA-Elec'!CG111</f>
        <v>1.1035314285714286E-3</v>
      </c>
      <c r="AD299">
        <f>'[3]LCIA-Elec'!CH111</f>
        <v>1.3951428571428572E-3</v>
      </c>
      <c r="AE299">
        <f>'[3]LCIA-Elec'!CI111</f>
        <v>2.1222971428571428E-3</v>
      </c>
      <c r="AF299">
        <f>'[3]LCIA-Elec'!CJ111</f>
        <v>3.1342142857142856E-5</v>
      </c>
      <c r="AG299">
        <f>'[3]LCIA-Elec'!CK111</f>
        <v>2.4813314285714286E-3</v>
      </c>
      <c r="AH299">
        <f>'[3]LCIA-Elec'!CL111</f>
        <v>1.3173557142857143E-2</v>
      </c>
    </row>
    <row r="300" spans="2:34" x14ac:dyDescent="0.25">
      <c r="B300" t="str">
        <f>'[3]2_Hub_5000km'!Y386</f>
        <v>O'Hare International Airport</v>
      </c>
      <c r="C300" t="str">
        <f>C292</f>
        <v>market for electricity, low voltage, US-RFC</v>
      </c>
      <c r="D300">
        <f>'[3]2_Hub_5000km'!$Z386/$A$3</f>
        <v>0.8877284595300261</v>
      </c>
      <c r="E300" t="str">
        <f t="shared" ref="E300:AH300" si="242">E292</f>
        <v>kWh</v>
      </c>
      <c r="F300" t="str">
        <f t="shared" si="242"/>
        <v>Ecoinvent v3.7.1</v>
      </c>
      <c r="G300">
        <f t="shared" si="242"/>
        <v>0.61436999999999997</v>
      </c>
      <c r="H300">
        <f t="shared" si="242"/>
        <v>8.2399E-2</v>
      </c>
      <c r="I300">
        <f t="shared" si="242"/>
        <v>6.7473999999999998</v>
      </c>
      <c r="J300">
        <f t="shared" si="242"/>
        <v>4.0428000000000003E-4</v>
      </c>
      <c r="K300">
        <f t="shared" si="242"/>
        <v>4.3425000000000002</v>
      </c>
      <c r="L300">
        <f t="shared" si="242"/>
        <v>1.3322000000000001E-5</v>
      </c>
      <c r="M300">
        <f t="shared" si="242"/>
        <v>1.5082999999999999E-2</v>
      </c>
      <c r="N300">
        <f t="shared" si="242"/>
        <v>6.8917000000000006E-2</v>
      </c>
      <c r="O300">
        <f t="shared" si="242"/>
        <v>0.1275</v>
      </c>
      <c r="P300">
        <f t="shared" si="242"/>
        <v>11.384216602</v>
      </c>
      <c r="Q300">
        <f t="shared" si="242"/>
        <v>1.3875999999999999E-2</v>
      </c>
      <c r="R300">
        <f t="shared" si="242"/>
        <v>0.60836999999999997</v>
      </c>
      <c r="S300">
        <f t="shared" si="242"/>
        <v>0.16855999999999999</v>
      </c>
      <c r="T300">
        <f t="shared" si="242"/>
        <v>2.7827999999999999E-2</v>
      </c>
      <c r="U300">
        <f t="shared" si="242"/>
        <v>3.4965000000000002E-4</v>
      </c>
      <c r="V300">
        <f t="shared" si="242"/>
        <v>0.24507000000000001</v>
      </c>
      <c r="W300">
        <f t="shared" si="242"/>
        <v>0.28216999999999998</v>
      </c>
      <c r="X300">
        <f t="shared" si="242"/>
        <v>2.3791E-2</v>
      </c>
      <c r="Y300">
        <f t="shared" si="242"/>
        <v>1.1882E-4</v>
      </c>
      <c r="Z300">
        <f t="shared" si="242"/>
        <v>1.1622E-2</v>
      </c>
      <c r="AA300">
        <f t="shared" si="242"/>
        <v>-2.4247999999999999E-5</v>
      </c>
      <c r="AB300">
        <f t="shared" si="242"/>
        <v>1.8053E-8</v>
      </c>
      <c r="AC300">
        <f t="shared" si="242"/>
        <v>1.1259E-3</v>
      </c>
      <c r="AD300">
        <f t="shared" si="242"/>
        <v>9.8528999999999999E-4</v>
      </c>
      <c r="AE300">
        <f t="shared" si="242"/>
        <v>1.8718000000000001E-3</v>
      </c>
      <c r="AF300">
        <f t="shared" si="242"/>
        <v>2.6829999999999999E-5</v>
      </c>
      <c r="AG300">
        <f t="shared" si="242"/>
        <v>2.5512999999999998E-3</v>
      </c>
      <c r="AH300">
        <f t="shared" si="242"/>
        <v>2.2418E-3</v>
      </c>
    </row>
    <row r="301" spans="2:34" x14ac:dyDescent="0.25">
      <c r="B301" t="str">
        <f>'[3]2_Hub_5000km'!Y387</f>
        <v>Istanbul International Airport</v>
      </c>
      <c r="C301" t="str">
        <f>C293</f>
        <v>market for electricity, low voltage, TR</v>
      </c>
      <c r="D301">
        <f>'[3]2_Hub_5000km'!$Z387/$A$3</f>
        <v>9.3994778067885115E-2</v>
      </c>
      <c r="E301" t="str">
        <f t="shared" ref="E301:AH301" si="243">E293</f>
        <v>kWh</v>
      </c>
      <c r="F301" t="str">
        <f t="shared" si="243"/>
        <v>Ecoinvent v3.7.1</v>
      </c>
      <c r="G301">
        <f t="shared" si="243"/>
        <v>0.66378999999999999</v>
      </c>
      <c r="H301">
        <f t="shared" si="243"/>
        <v>4.5117999999999998E-2</v>
      </c>
      <c r="I301">
        <f t="shared" si="243"/>
        <v>8.0196000000000005</v>
      </c>
      <c r="J301">
        <f t="shared" si="243"/>
        <v>0.17710999999999999</v>
      </c>
      <c r="K301">
        <f t="shared" si="243"/>
        <v>8.6892999999999998E-2</v>
      </c>
      <c r="L301">
        <f t="shared" si="243"/>
        <v>1.7516E-5</v>
      </c>
      <c r="M301">
        <f t="shared" si="243"/>
        <v>7.0689000000000002E-2</v>
      </c>
      <c r="N301">
        <f t="shared" si="243"/>
        <v>0.98448000000000002</v>
      </c>
      <c r="O301">
        <f t="shared" si="243"/>
        <v>0.30764000000000002</v>
      </c>
      <c r="P301">
        <f t="shared" si="243"/>
        <v>9.691547516</v>
      </c>
      <c r="Q301">
        <f t="shared" si="243"/>
        <v>1.2818E-2</v>
      </c>
      <c r="R301">
        <f t="shared" si="243"/>
        <v>0.65844000000000003</v>
      </c>
      <c r="S301">
        <f t="shared" si="243"/>
        <v>0.20329</v>
      </c>
      <c r="T301">
        <f t="shared" si="243"/>
        <v>3.3063000000000002E-2</v>
      </c>
      <c r="U301">
        <f t="shared" si="243"/>
        <v>6.5510999999999998E-4</v>
      </c>
      <c r="V301">
        <f t="shared" si="243"/>
        <v>0.42526000000000003</v>
      </c>
      <c r="W301">
        <f t="shared" si="243"/>
        <v>6.2426000000000001E-3</v>
      </c>
      <c r="X301">
        <f t="shared" si="243"/>
        <v>2.9009E-2</v>
      </c>
      <c r="Y301">
        <f t="shared" si="243"/>
        <v>1.9565000000000001E-4</v>
      </c>
      <c r="Z301">
        <f t="shared" si="243"/>
        <v>1.1086E-2</v>
      </c>
      <c r="AA301">
        <f t="shared" si="243"/>
        <v>-3.5899000000000003E-5</v>
      </c>
      <c r="AB301">
        <f t="shared" si="243"/>
        <v>1.5705000000000001E-8</v>
      </c>
      <c r="AC301">
        <f t="shared" si="243"/>
        <v>5.3892000000000002E-3</v>
      </c>
      <c r="AD301">
        <f t="shared" si="243"/>
        <v>1.7297E-3</v>
      </c>
      <c r="AE301">
        <f t="shared" si="243"/>
        <v>3.1383000000000001E-3</v>
      </c>
      <c r="AF301">
        <f t="shared" si="243"/>
        <v>2.2061000000000001E-5</v>
      </c>
      <c r="AG301">
        <f t="shared" si="243"/>
        <v>1.6031999999999999E-3</v>
      </c>
      <c r="AH301">
        <f t="shared" si="243"/>
        <v>4.9744000000000003E-3</v>
      </c>
    </row>
    <row r="302" spans="2:34" x14ac:dyDescent="0.25">
      <c r="B302" s="59" t="str">
        <f>C299</f>
        <v>2_Hub_5000km</v>
      </c>
      <c r="C302" s="59" t="s">
        <v>806</v>
      </c>
      <c r="D302" s="59">
        <f>SUM(D299:D301)</f>
        <v>1</v>
      </c>
      <c r="E302" s="59" t="s">
        <v>105</v>
      </c>
      <c r="F302" s="59"/>
      <c r="G302" s="59">
        <f>SUMPRODUCT($D299:$D301,G299:G301)</f>
        <v>0.61801890339425591</v>
      </c>
      <c r="H302" s="59">
        <f t="shared" ref="H302:AH302" si="244">SUMPRODUCT($D299:$D301,H299:H301)</f>
        <v>8.3117148825065268E-2</v>
      </c>
      <c r="I302" s="59">
        <f t="shared" si="244"/>
        <v>6.8667921671018277</v>
      </c>
      <c r="J302" s="59">
        <f t="shared" si="244"/>
        <v>1.7101656579634462E-2</v>
      </c>
      <c r="K302" s="59">
        <f t="shared" si="244"/>
        <v>3.8753598120104438</v>
      </c>
      <c r="L302" s="59">
        <f t="shared" si="244"/>
        <v>8.2894443864229764E-5</v>
      </c>
      <c r="M302" s="59">
        <f t="shared" si="244"/>
        <v>2.2037427853785901E-2</v>
      </c>
      <c r="N302" s="59">
        <f t="shared" si="244"/>
        <v>0.18568618798955616</v>
      </c>
      <c r="O302" s="59">
        <f t="shared" si="244"/>
        <v>0.14384771801566582</v>
      </c>
      <c r="P302" s="59">
        <f t="shared" si="244"/>
        <v>11.194025012819843</v>
      </c>
      <c r="Q302" s="59">
        <f t="shared" si="244"/>
        <v>1.4405827676240209E-2</v>
      </c>
      <c r="R302" s="59">
        <f t="shared" si="244"/>
        <v>0.61204537859007824</v>
      </c>
      <c r="S302" s="59">
        <f t="shared" si="244"/>
        <v>0.17180262140992167</v>
      </c>
      <c r="T302" s="59">
        <f t="shared" si="244"/>
        <v>2.8277399477806789E-2</v>
      </c>
      <c r="U302" s="59">
        <f t="shared" si="244"/>
        <v>3.7520392167101827E-4</v>
      </c>
      <c r="V302" s="59">
        <f t="shared" si="244"/>
        <v>0.26032097650130548</v>
      </c>
      <c r="W302" s="59">
        <f t="shared" si="244"/>
        <v>0.25187818694516972</v>
      </c>
      <c r="X302" s="59">
        <f t="shared" si="244"/>
        <v>2.4247383812010446E-2</v>
      </c>
      <c r="Y302" s="59">
        <f t="shared" si="244"/>
        <v>1.2610123237597913E-4</v>
      </c>
      <c r="Z302" s="59">
        <f t="shared" si="244"/>
        <v>1.1571760835509138E-2</v>
      </c>
      <c r="AA302" s="59">
        <f t="shared" si="244"/>
        <v>-2.5405696083550915E-5</v>
      </c>
      <c r="AB302" s="59">
        <f t="shared" si="244"/>
        <v>1.7739629765013056E-8</v>
      </c>
      <c r="AC302" s="59">
        <f t="shared" si="244"/>
        <v>1.5262191122715403E-3</v>
      </c>
      <c r="AD302" s="59">
        <f t="shared" si="244"/>
        <v>1.0627514360313315E-3</v>
      </c>
      <c r="AE302" s="59">
        <f t="shared" si="244"/>
        <v>1.9954226631853783E-3</v>
      </c>
      <c r="AF302" s="59">
        <f t="shared" si="244"/>
        <v>2.6464206266318539E-5</v>
      </c>
      <c r="AG302" s="59">
        <f t="shared" si="244"/>
        <v>2.4609047519582243E-3</v>
      </c>
      <c r="AH302" s="59">
        <f t="shared" si="244"/>
        <v>2.6984472584856397E-3</v>
      </c>
    </row>
    <row r="303" spans="2:34" x14ac:dyDescent="0.25">
      <c r="B303" s="59" t="str">
        <f>B302</f>
        <v>2_Hub_5000km</v>
      </c>
      <c r="C303" s="59"/>
      <c r="D303" s="59"/>
      <c r="E303" s="59"/>
      <c r="F303" s="59"/>
      <c r="G303" s="59">
        <f>SUMPRODUCT($D300:$D301,G300:G301)/SUM($D300:$D301)</f>
        <v>0.61910170212765958</v>
      </c>
      <c r="H303" s="59">
        <f t="shared" ref="H303:AH303" si="245">SUMPRODUCT($D300:$D301,H300:H301)/SUM($D300:$D301)</f>
        <v>7.8829542553191481E-2</v>
      </c>
      <c r="I303" s="59">
        <f t="shared" si="245"/>
        <v>6.8692063829787227</v>
      </c>
      <c r="J303" s="59">
        <f t="shared" si="245"/>
        <v>1.7322912765957443E-2</v>
      </c>
      <c r="K303" s="59">
        <f t="shared" si="245"/>
        <v>3.9350482659574468</v>
      </c>
      <c r="L303" s="59">
        <f t="shared" si="245"/>
        <v>1.3723553191489362E-5</v>
      </c>
      <c r="M303" s="59">
        <f t="shared" si="245"/>
        <v>2.0406978723404252E-2</v>
      </c>
      <c r="N303" s="59">
        <f t="shared" si="245"/>
        <v>0.15657728723404257</v>
      </c>
      <c r="O303" s="59">
        <f t="shared" si="245"/>
        <v>0.14474744680851065</v>
      </c>
      <c r="P303" s="59">
        <f t="shared" si="245"/>
        <v>11.222152540574468</v>
      </c>
      <c r="Q303" s="59">
        <f t="shared" si="245"/>
        <v>1.3774702127659574E-2</v>
      </c>
      <c r="R303" s="59">
        <f t="shared" si="245"/>
        <v>0.6131639361702127</v>
      </c>
      <c r="S303" s="59">
        <f t="shared" si="245"/>
        <v>0.17188521276595745</v>
      </c>
      <c r="T303" s="59">
        <f t="shared" si="245"/>
        <v>2.8329223404255317E-2</v>
      </c>
      <c r="U303" s="59">
        <f t="shared" si="245"/>
        <v>3.7889617021276596E-4</v>
      </c>
      <c r="V303" s="59">
        <f t="shared" si="245"/>
        <v>0.26232223404255317</v>
      </c>
      <c r="W303" s="59">
        <f t="shared" si="245"/>
        <v>0.25575141914893618</v>
      </c>
      <c r="X303" s="59">
        <f t="shared" si="245"/>
        <v>2.429059574468085E-2</v>
      </c>
      <c r="Y303" s="59">
        <f t="shared" si="245"/>
        <v>1.2617606382978725E-4</v>
      </c>
      <c r="Z303" s="59">
        <f t="shared" si="245"/>
        <v>1.1570680851063829E-2</v>
      </c>
      <c r="AA303" s="59">
        <f t="shared" si="245"/>
        <v>-2.5363521276595745E-5</v>
      </c>
      <c r="AB303" s="59">
        <f t="shared" si="245"/>
        <v>1.7828191489361702E-8</v>
      </c>
      <c r="AC303" s="59">
        <f t="shared" si="245"/>
        <v>1.5340882978723401E-3</v>
      </c>
      <c r="AD303" s="59">
        <f t="shared" si="245"/>
        <v>1.0565632978723405E-3</v>
      </c>
      <c r="AE303" s="59">
        <f t="shared" si="245"/>
        <v>1.9930606382978721E-3</v>
      </c>
      <c r="AF303" s="59">
        <f t="shared" si="245"/>
        <v>2.6373393617021277E-5</v>
      </c>
      <c r="AG303" s="59">
        <f t="shared" si="245"/>
        <v>2.4605244680851062E-3</v>
      </c>
      <c r="AH303" s="59">
        <f t="shared" si="245"/>
        <v>2.503431914893617E-3</v>
      </c>
    </row>
    <row r="304" spans="2:34" x14ac:dyDescent="0.25">
      <c r="B304" t="s">
        <v>593</v>
      </c>
      <c r="C304" t="str">
        <f>'[3]LCIA-Elec'!BJ112</f>
        <v>3_Hub_5000km</v>
      </c>
      <c r="D304">
        <f>'[3]LCIA-Elec'!$AV$68/$A$3</f>
        <v>1.8276762402088774E-2</v>
      </c>
      <c r="E304" t="s">
        <v>105</v>
      </c>
      <c r="F304" t="s">
        <v>829</v>
      </c>
      <c r="G304">
        <f>'[3]LCIA-Elec'!BK112</f>
        <v>0.45769571428571432</v>
      </c>
      <c r="H304">
        <f>'[3]LCIA-Elec'!BL112</f>
        <v>0.16449848571428571</v>
      </c>
      <c r="I304">
        <f>'[3]LCIA-Elec'!BM112</f>
        <v>5.5949428571428568</v>
      </c>
      <c r="J304">
        <f>'[3]LCIA-Elec'!BN112</f>
        <v>4.3653600000000004E-3</v>
      </c>
      <c r="K304">
        <f>'[3]LCIA-Elec'!BO112</f>
        <v>1.3444178571428569</v>
      </c>
      <c r="L304">
        <f>'[3]LCIA-Elec'!BP112</f>
        <v>3.2556499999999999E-5</v>
      </c>
      <c r="M304">
        <f>'[3]LCIA-Elec'!BQ112</f>
        <v>0.23257757142857144</v>
      </c>
      <c r="N304">
        <f>'[3]LCIA-Elec'!BR112</f>
        <v>1.0710585714285714</v>
      </c>
      <c r="O304">
        <f>'[3]LCIA-Elec'!BS112</f>
        <v>0.36673942857142855</v>
      </c>
      <c r="P304">
        <f>'[3]LCIA-Elec'!BT112</f>
        <v>8.778632687928571</v>
      </c>
      <c r="Q304">
        <f>'[3]LCIA-Elec'!BU112</f>
        <v>2.3391357142857144E-2</v>
      </c>
      <c r="R304">
        <f>'[3]LCIA-Elec'!BV112</f>
        <v>0.45282285714285714</v>
      </c>
      <c r="S304">
        <f>'[3]LCIA-Elec'!BW112</f>
        <v>0.14078428571428572</v>
      </c>
      <c r="T304">
        <f>'[3]LCIA-Elec'!BX112</f>
        <v>2.6138285714285718E-2</v>
      </c>
      <c r="U304">
        <f>'[3]LCIA-Elec'!BY112</f>
        <v>3.4350300000000005E-4</v>
      </c>
      <c r="V304">
        <f>'[3]LCIA-Elec'!BZ112</f>
        <v>0.2303732857142857</v>
      </c>
      <c r="W304">
        <f>'[3]LCIA-Elec'!CA112</f>
        <v>8.0101771428571417E-2</v>
      </c>
      <c r="X304">
        <f>'[3]LCIA-Elec'!CB112</f>
        <v>2.2921828571428573E-2</v>
      </c>
      <c r="Y304">
        <f>'[3]LCIA-Elec'!CC112</f>
        <v>1.0696514285714287E-4</v>
      </c>
      <c r="Z304">
        <f>'[3]LCIA-Elec'!CD112</f>
        <v>1.2732400000000001E-2</v>
      </c>
      <c r="AA304">
        <f>'[3]LCIA-Elec'!CE112</f>
        <v>-1.7425500000000001E-5</v>
      </c>
      <c r="AB304">
        <f>'[3]LCIA-Elec'!CF112</f>
        <v>1.5415628571428571E-8</v>
      </c>
      <c r="AC304">
        <f>'[3]LCIA-Elec'!CG112</f>
        <v>3.697414285714286E-4</v>
      </c>
      <c r="AD304">
        <f>'[3]LCIA-Elec'!CH112</f>
        <v>8.0289999999999995E-4</v>
      </c>
      <c r="AE304">
        <f>'[3]LCIA-Elec'!CI112</f>
        <v>1.0821714285714286E-3</v>
      </c>
      <c r="AF304">
        <f>'[3]LCIA-Elec'!CJ112</f>
        <v>2.249034285714286E-5</v>
      </c>
      <c r="AG304">
        <f>'[3]LCIA-Elec'!CK112</f>
        <v>2.249752857142857E-3</v>
      </c>
      <c r="AH304">
        <f>'[3]LCIA-Elec'!CL112</f>
        <v>3.1180557142857146E-3</v>
      </c>
    </row>
    <row r="305" spans="2:34" x14ac:dyDescent="0.25">
      <c r="B305" t="str">
        <f>'[3]3_Hub_5000km'!Y386</f>
        <v>Newark Liberty International Airport</v>
      </c>
      <c r="C305" t="str">
        <f>C289</f>
        <v>market for electricity, low voltage, US-RFC</v>
      </c>
      <c r="D305">
        <f>'[3]3_Hub_5000km'!$Z386/$A$3</f>
        <v>0.56657963446475201</v>
      </c>
      <c r="E305" t="str">
        <f t="shared" ref="E305:AH305" si="246">E289</f>
        <v>kWh</v>
      </c>
      <c r="F305" t="str">
        <f t="shared" si="246"/>
        <v>Ecoinvent v3.7.1</v>
      </c>
      <c r="G305">
        <f t="shared" si="246"/>
        <v>0.61436999999999997</v>
      </c>
      <c r="H305">
        <f t="shared" si="246"/>
        <v>8.2399E-2</v>
      </c>
      <c r="I305">
        <f t="shared" si="246"/>
        <v>6.7473999999999998</v>
      </c>
      <c r="J305">
        <f t="shared" si="246"/>
        <v>4.0428000000000003E-4</v>
      </c>
      <c r="K305">
        <f t="shared" si="246"/>
        <v>4.3425000000000002</v>
      </c>
      <c r="L305">
        <f t="shared" si="246"/>
        <v>1.3322000000000001E-5</v>
      </c>
      <c r="M305">
        <f t="shared" si="246"/>
        <v>1.5082999999999999E-2</v>
      </c>
      <c r="N305">
        <f t="shared" si="246"/>
        <v>6.8917000000000006E-2</v>
      </c>
      <c r="O305">
        <f t="shared" si="246"/>
        <v>0.1275</v>
      </c>
      <c r="P305">
        <f t="shared" si="246"/>
        <v>11.384216602</v>
      </c>
      <c r="Q305">
        <f t="shared" si="246"/>
        <v>1.3875999999999999E-2</v>
      </c>
      <c r="R305">
        <f t="shared" si="246"/>
        <v>0.60836999999999997</v>
      </c>
      <c r="S305">
        <f t="shared" si="246"/>
        <v>0.16855999999999999</v>
      </c>
      <c r="T305">
        <f t="shared" si="246"/>
        <v>2.7827999999999999E-2</v>
      </c>
      <c r="U305">
        <f t="shared" si="246"/>
        <v>3.4965000000000002E-4</v>
      </c>
      <c r="V305">
        <f t="shared" si="246"/>
        <v>0.24507000000000001</v>
      </c>
      <c r="W305">
        <f t="shared" si="246"/>
        <v>0.28216999999999998</v>
      </c>
      <c r="X305">
        <f t="shared" si="246"/>
        <v>2.3791E-2</v>
      </c>
      <c r="Y305">
        <f t="shared" si="246"/>
        <v>1.1882E-4</v>
      </c>
      <c r="Z305">
        <f t="shared" si="246"/>
        <v>1.1622E-2</v>
      </c>
      <c r="AA305">
        <f t="shared" si="246"/>
        <v>-2.4247999999999999E-5</v>
      </c>
      <c r="AB305">
        <f t="shared" si="246"/>
        <v>1.8053E-8</v>
      </c>
      <c r="AC305">
        <f t="shared" si="246"/>
        <v>1.1259E-3</v>
      </c>
      <c r="AD305">
        <f t="shared" si="246"/>
        <v>9.8528999999999999E-4</v>
      </c>
      <c r="AE305">
        <f t="shared" si="246"/>
        <v>1.8718000000000001E-3</v>
      </c>
      <c r="AF305">
        <f t="shared" si="246"/>
        <v>2.6829999999999999E-5</v>
      </c>
      <c r="AG305">
        <f t="shared" si="246"/>
        <v>2.5512999999999998E-3</v>
      </c>
      <c r="AH305">
        <f t="shared" si="246"/>
        <v>2.2418E-3</v>
      </c>
    </row>
    <row r="306" spans="2:34" x14ac:dyDescent="0.25">
      <c r="B306" t="str">
        <f>'[3]3_Hub_5000km'!Y387</f>
        <v>Denver International Airport</v>
      </c>
      <c r="C306" t="str">
        <f>C275</f>
        <v>market for electricity, low voltage, US-WECC</v>
      </c>
      <c r="D306">
        <f>'[3]3_Hub_5000km'!$Z387/$A$3</f>
        <v>0.33420365535248042</v>
      </c>
      <c r="E306" t="str">
        <f t="shared" ref="E306:AH306" si="247">E275</f>
        <v>kWh</v>
      </c>
      <c r="F306" t="str">
        <f t="shared" si="247"/>
        <v>Ecoinvent v3.7.1</v>
      </c>
      <c r="G306">
        <f t="shared" si="247"/>
        <v>0.41233999999999998</v>
      </c>
      <c r="H306">
        <f t="shared" si="247"/>
        <v>0.16356000000000001</v>
      </c>
      <c r="I306">
        <f t="shared" si="247"/>
        <v>5.2107000000000001</v>
      </c>
      <c r="J306">
        <f t="shared" si="247"/>
        <v>0.15804000000000001</v>
      </c>
      <c r="K306">
        <f t="shared" si="247"/>
        <v>1.1274</v>
      </c>
      <c r="L306">
        <f t="shared" si="247"/>
        <v>1.7768999999999999E-5</v>
      </c>
      <c r="M306">
        <f t="shared" si="247"/>
        <v>0.32883000000000001</v>
      </c>
      <c r="N306">
        <f t="shared" si="247"/>
        <v>1.0143</v>
      </c>
      <c r="O306">
        <f t="shared" si="247"/>
        <v>0.29749999999999999</v>
      </c>
      <c r="P306">
        <f t="shared" si="247"/>
        <v>8.300347769</v>
      </c>
      <c r="Q306">
        <f t="shared" si="247"/>
        <v>2.4857000000000001E-2</v>
      </c>
      <c r="R306">
        <f t="shared" si="247"/>
        <v>0.40821000000000002</v>
      </c>
      <c r="S306">
        <f t="shared" si="247"/>
        <v>0.13331000000000001</v>
      </c>
      <c r="T306">
        <f t="shared" si="247"/>
        <v>2.9420000000000002E-2</v>
      </c>
      <c r="U306">
        <f t="shared" si="247"/>
        <v>4.3196E-4</v>
      </c>
      <c r="V306">
        <f t="shared" si="247"/>
        <v>0.27927000000000002</v>
      </c>
      <c r="W306">
        <f t="shared" si="247"/>
        <v>7.3639999999999997E-2</v>
      </c>
      <c r="X306">
        <f t="shared" si="247"/>
        <v>2.5277999999999998E-2</v>
      </c>
      <c r="Y306">
        <f t="shared" si="247"/>
        <v>1.1887000000000001E-4</v>
      </c>
      <c r="Z306">
        <f t="shared" si="247"/>
        <v>1.1467E-2</v>
      </c>
      <c r="AA306">
        <f t="shared" si="247"/>
        <v>-1.4652E-5</v>
      </c>
      <c r="AB306">
        <f t="shared" si="247"/>
        <v>1.7493E-8</v>
      </c>
      <c r="AC306">
        <f t="shared" si="247"/>
        <v>1.5398E-3</v>
      </c>
      <c r="AD306">
        <f t="shared" si="247"/>
        <v>6.7785999999999996E-4</v>
      </c>
      <c r="AE306">
        <f t="shared" si="247"/>
        <v>7.8450000000000004E-4</v>
      </c>
      <c r="AF306">
        <f t="shared" si="247"/>
        <v>3.1801999999999998E-5</v>
      </c>
      <c r="AG306">
        <f t="shared" si="247"/>
        <v>2.3995000000000002E-3</v>
      </c>
      <c r="AH306">
        <f t="shared" si="247"/>
        <v>3.0509000000000001E-3</v>
      </c>
    </row>
    <row r="307" spans="2:34" x14ac:dyDescent="0.25">
      <c r="B307" t="str">
        <f>'[3]3_Hub_5000km'!Y388</f>
        <v>Istanbul International Airport</v>
      </c>
      <c r="C307" t="str">
        <f>C276</f>
        <v>market for electricity, low voltage, TR</v>
      </c>
      <c r="D307">
        <f>'[3]3_Hub_5000km'!$Z388/$A$3</f>
        <v>8.3550913838120106E-2</v>
      </c>
      <c r="E307" t="str">
        <f t="shared" ref="E307:AH307" si="248">E276</f>
        <v>kWh</v>
      </c>
      <c r="F307" t="str">
        <f t="shared" si="248"/>
        <v>Ecoinvent v3.7.1</v>
      </c>
      <c r="G307">
        <f t="shared" si="248"/>
        <v>0.66378999999999999</v>
      </c>
      <c r="H307">
        <f t="shared" si="248"/>
        <v>4.5117999999999998E-2</v>
      </c>
      <c r="I307">
        <f t="shared" si="248"/>
        <v>8.0196000000000005</v>
      </c>
      <c r="J307">
        <f t="shared" si="248"/>
        <v>0.17710999999999999</v>
      </c>
      <c r="K307">
        <f t="shared" si="248"/>
        <v>8.6892999999999998E-2</v>
      </c>
      <c r="L307">
        <f t="shared" si="248"/>
        <v>1.7516E-5</v>
      </c>
      <c r="M307">
        <f t="shared" si="248"/>
        <v>7.0689000000000002E-2</v>
      </c>
      <c r="N307">
        <f t="shared" si="248"/>
        <v>0.98448000000000002</v>
      </c>
      <c r="O307">
        <f t="shared" si="248"/>
        <v>0.30764000000000002</v>
      </c>
      <c r="P307">
        <f t="shared" si="248"/>
        <v>9.691547516</v>
      </c>
      <c r="Q307">
        <f t="shared" si="248"/>
        <v>1.2818E-2</v>
      </c>
      <c r="R307">
        <f t="shared" si="248"/>
        <v>0.65844000000000003</v>
      </c>
      <c r="S307">
        <f t="shared" si="248"/>
        <v>0.20329</v>
      </c>
      <c r="T307">
        <f t="shared" si="248"/>
        <v>3.3063000000000002E-2</v>
      </c>
      <c r="U307">
        <f t="shared" si="248"/>
        <v>6.5510999999999998E-4</v>
      </c>
      <c r="V307">
        <f t="shared" si="248"/>
        <v>0.42526000000000003</v>
      </c>
      <c r="W307">
        <f t="shared" si="248"/>
        <v>6.2426000000000001E-3</v>
      </c>
      <c r="X307">
        <f t="shared" si="248"/>
        <v>2.9009E-2</v>
      </c>
      <c r="Y307">
        <f t="shared" si="248"/>
        <v>1.9565000000000001E-4</v>
      </c>
      <c r="Z307">
        <f t="shared" si="248"/>
        <v>1.1086E-2</v>
      </c>
      <c r="AA307">
        <f t="shared" si="248"/>
        <v>-3.5899000000000003E-5</v>
      </c>
      <c r="AB307">
        <f t="shared" si="248"/>
        <v>1.5705000000000001E-8</v>
      </c>
      <c r="AC307">
        <f t="shared" si="248"/>
        <v>5.3892000000000002E-3</v>
      </c>
      <c r="AD307">
        <f t="shared" si="248"/>
        <v>1.7297E-3</v>
      </c>
      <c r="AE307">
        <f t="shared" si="248"/>
        <v>3.1383000000000001E-3</v>
      </c>
      <c r="AF307">
        <f t="shared" si="248"/>
        <v>2.2061000000000001E-5</v>
      </c>
      <c r="AG307">
        <f t="shared" si="248"/>
        <v>1.6031999999999999E-3</v>
      </c>
      <c r="AH307">
        <f t="shared" si="248"/>
        <v>4.9744000000000003E-3</v>
      </c>
    </row>
    <row r="308" spans="2:34" x14ac:dyDescent="0.25">
      <c r="B308" s="59" t="str">
        <f>C304</f>
        <v>3_Hub_5000km</v>
      </c>
      <c r="C308" s="59" t="s">
        <v>806</v>
      </c>
      <c r="D308" s="59">
        <f>SUM(D304:D307)</f>
        <v>1.0026109660574414</v>
      </c>
      <c r="E308" s="59" t="s">
        <v>105</v>
      </c>
      <c r="F308" s="59"/>
      <c r="G308" s="59">
        <f>SUMPRODUCT($D304:$D307,G304:G307)</f>
        <v>0.54972052219321155</v>
      </c>
      <c r="H308" s="59">
        <f t="shared" ref="H308:AH308" si="249">SUMPRODUCT($D304:$D307,H304:H307)</f>
        <v>0.10812409503916451</v>
      </c>
      <c r="I308" s="59">
        <f t="shared" si="249"/>
        <v>6.3366767624020897</v>
      </c>
      <c r="J308" s="59">
        <f t="shared" si="249"/>
        <v>6.7924089503916457E-2</v>
      </c>
      <c r="K308" s="59">
        <f t="shared" si="249"/>
        <v>2.8689848590078331</v>
      </c>
      <c r="L308" s="59">
        <f t="shared" si="249"/>
        <v>1.5544943864229764E-5</v>
      </c>
      <c r="M308" s="59">
        <f t="shared" si="249"/>
        <v>0.12859880417754571</v>
      </c>
      <c r="N308" s="59">
        <f t="shared" si="249"/>
        <v>0.4798594229765013</v>
      </c>
      <c r="O308" s="59">
        <f t="shared" si="249"/>
        <v>0.20407090339425588</v>
      </c>
      <c r="P308" s="59">
        <f t="shared" si="249"/>
        <v>10.194254481445173</v>
      </c>
      <c r="Q308" s="59">
        <f t="shared" si="249"/>
        <v>1.766763315926893E-2</v>
      </c>
      <c r="R308" s="59">
        <f t="shared" si="249"/>
        <v>0.54440472584856392</v>
      </c>
      <c r="S308" s="59">
        <f t="shared" si="249"/>
        <v>0.15961349869451696</v>
      </c>
      <c r="T308" s="59">
        <f t="shared" si="249"/>
        <v>2.8839216710182771E-2</v>
      </c>
      <c r="U308" s="59">
        <f t="shared" si="249"/>
        <v>4.0348034203655355E-4</v>
      </c>
      <c r="V308" s="59">
        <f t="shared" si="249"/>
        <v>0.27192606527415147</v>
      </c>
      <c r="W308" s="59">
        <f t="shared" si="249"/>
        <v>0.18646810861618798</v>
      </c>
      <c r="X308" s="59">
        <f t="shared" si="249"/>
        <v>2.4770161357702349E-2</v>
      </c>
      <c r="Y308" s="59">
        <f t="shared" si="249"/>
        <v>1.2534949347258487E-4</v>
      </c>
      <c r="Z308" s="59">
        <f t="shared" si="249"/>
        <v>1.1576054308093995E-2</v>
      </c>
      <c r="AA308" s="59">
        <f t="shared" si="249"/>
        <v>-2.1953050913838122E-5</v>
      </c>
      <c r="AB308" s="59">
        <f t="shared" si="249"/>
        <v>1.7668601566579636E-8</v>
      </c>
      <c r="AC308" s="59">
        <f t="shared" si="249"/>
        <v>1.6095490600522195E-3</v>
      </c>
      <c r="AD308" s="59">
        <f t="shared" si="249"/>
        <v>9.4398096605744137E-4</v>
      </c>
      <c r="AE308" s="59">
        <f t="shared" si="249"/>
        <v>1.604692950391645E-3</v>
      </c>
      <c r="AF308" s="59">
        <f t="shared" si="249"/>
        <v>2.8083943603133159E-5</v>
      </c>
      <c r="AG308" s="59">
        <f t="shared" si="249"/>
        <v>2.422503315926893E-3</v>
      </c>
      <c r="AH308" s="59">
        <f t="shared" si="249"/>
        <v>2.7623837859007835E-3</v>
      </c>
    </row>
    <row r="309" spans="2:34" x14ac:dyDescent="0.25">
      <c r="B309" s="59" t="str">
        <f>B308</f>
        <v>3_Hub_5000km</v>
      </c>
      <c r="C309" s="59"/>
      <c r="D309" s="59"/>
      <c r="E309" s="59"/>
      <c r="F309" s="59"/>
      <c r="G309" s="59">
        <f>SUMPRODUCT($D305:$D307,G305:G307)/SUM($D305:$D307)</f>
        <v>0.54997106100795756</v>
      </c>
      <c r="H309" s="59">
        <f t="shared" ref="H309:AH309" si="250">SUMPRODUCT($D305:$D307,H305:H307)/SUM($D305:$D307)</f>
        <v>0.10679055437665784</v>
      </c>
      <c r="I309" s="59">
        <f t="shared" si="250"/>
        <v>6.3336408488063665</v>
      </c>
      <c r="J309" s="59">
        <f t="shared" si="250"/>
        <v>6.8924055066313009E-2</v>
      </c>
      <c r="K309" s="59">
        <f t="shared" si="250"/>
        <v>2.8896824297082229</v>
      </c>
      <c r="L309" s="59">
        <f t="shared" si="250"/>
        <v>1.5187846153846155E-5</v>
      </c>
      <c r="M309" s="59">
        <f t="shared" si="250"/>
        <v>0.12632705305039788</v>
      </c>
      <c r="N309" s="59">
        <f t="shared" si="250"/>
        <v>0.46760941379310339</v>
      </c>
      <c r="O309" s="59">
        <f t="shared" si="250"/>
        <v>0.20050923076923077</v>
      </c>
      <c r="P309" s="59">
        <f t="shared" si="250"/>
        <v>10.193498773416446</v>
      </c>
      <c r="Q309" s="59">
        <f t="shared" si="250"/>
        <v>1.7514493368700267E-2</v>
      </c>
      <c r="R309" s="59">
        <f t="shared" si="250"/>
        <v>0.5446611405835543</v>
      </c>
      <c r="S309" s="59">
        <f t="shared" si="250"/>
        <v>0.15953973474801061</v>
      </c>
      <c r="T309" s="59">
        <f t="shared" si="250"/>
        <v>2.88128700265252E-2</v>
      </c>
      <c r="U309" s="59">
        <f t="shared" si="250"/>
        <v>4.0352374005305039E-4</v>
      </c>
      <c r="V309" s="59">
        <f t="shared" si="250"/>
        <v>0.27197631299734748</v>
      </c>
      <c r="W309" s="59">
        <f t="shared" si="250"/>
        <v>0.18794847002652518</v>
      </c>
      <c r="X309" s="59">
        <f t="shared" si="250"/>
        <v>2.4738777188328911E-2</v>
      </c>
      <c r="Y309" s="59">
        <f t="shared" si="250"/>
        <v>1.2535835543766582E-4</v>
      </c>
      <c r="Z309" s="59">
        <f t="shared" si="250"/>
        <v>1.1523877984084881E-2</v>
      </c>
      <c r="AA309" s="59">
        <f t="shared" si="250"/>
        <v>-2.1978885941644562E-5</v>
      </c>
      <c r="AB309" s="59">
        <f t="shared" si="250"/>
        <v>1.7663567639257293E-8</v>
      </c>
      <c r="AC309" s="59">
        <f t="shared" si="250"/>
        <v>1.6283000000000003E-3</v>
      </c>
      <c r="AD309" s="59">
        <f t="shared" si="250"/>
        <v>9.4409657824933693E-4</v>
      </c>
      <c r="AE309" s="59">
        <f t="shared" si="250"/>
        <v>1.6101384615384616E-3</v>
      </c>
      <c r="AF309" s="59">
        <f t="shared" si="250"/>
        <v>2.8113310344827585E-5</v>
      </c>
      <c r="AG309" s="59">
        <f t="shared" si="250"/>
        <v>2.4192851458885939E-3</v>
      </c>
      <c r="AH309" s="59">
        <f t="shared" si="250"/>
        <v>2.748452519893899E-3</v>
      </c>
    </row>
    <row r="310" spans="2:34" x14ac:dyDescent="0.25">
      <c r="B310" t="s">
        <v>593</v>
      </c>
      <c r="C310" t="str">
        <f>'[3]LCIA-Elec'!BJ113</f>
        <v>4_Hub_5000km</v>
      </c>
      <c r="D310">
        <f>'[3]LCIA-Elec'!$AW$68/$A$3</f>
        <v>1.8276762402088774E-2</v>
      </c>
      <c r="E310" t="s">
        <v>105</v>
      </c>
      <c r="F310" t="s">
        <v>829</v>
      </c>
      <c r="G310">
        <f>'[3]LCIA-Elec'!BK113</f>
        <v>0.55985714285714283</v>
      </c>
      <c r="H310">
        <f>'[3]LCIA-Elec'!BL113</f>
        <v>0.31342285714285711</v>
      </c>
      <c r="I310">
        <f>'[3]LCIA-Elec'!BM113</f>
        <v>6.7371142857142852</v>
      </c>
      <c r="J310">
        <f>'[3]LCIA-Elec'!BN113</f>
        <v>5.2170385714285714E-3</v>
      </c>
      <c r="K310">
        <f>'[3]LCIA-Elec'!BO113</f>
        <v>0.66923714285714286</v>
      </c>
      <c r="L310">
        <f>'[3]LCIA-Elec'!BP113</f>
        <v>3.7983594285714286E-3</v>
      </c>
      <c r="M310">
        <f>'[3]LCIA-Elec'!BQ113</f>
        <v>0.10961583828571429</v>
      </c>
      <c r="N310">
        <f>'[3]LCIA-Elec'!BR113</f>
        <v>1.74925</v>
      </c>
      <c r="O310">
        <f>'[3]LCIA-Elec'!BS113</f>
        <v>9.5519428571428575E-2</v>
      </c>
      <c r="P310">
        <f>'[3]LCIA-Elec'!BT113</f>
        <v>9.6831749505714289</v>
      </c>
      <c r="Q310">
        <f>'[3]LCIA-Elec'!BU113</f>
        <v>4.8306285714285711E-2</v>
      </c>
      <c r="R310">
        <f>'[3]LCIA-Elec'!BV113</f>
        <v>0.55196285714285709</v>
      </c>
      <c r="S310">
        <f>'[3]LCIA-Elec'!BW113</f>
        <v>0.16736628571428572</v>
      </c>
      <c r="T310">
        <f>'[3]LCIA-Elec'!BX113</f>
        <v>2.5493714285714286E-2</v>
      </c>
      <c r="U310">
        <f>'[3]LCIA-Elec'!BY113</f>
        <v>1.7687742857142857E-4</v>
      </c>
      <c r="V310">
        <f>'[3]LCIA-Elec'!BZ113</f>
        <v>0.15282485714285715</v>
      </c>
      <c r="W310">
        <f>'[3]LCIA-Elec'!CA113</f>
        <v>4.3830285714285711E-2</v>
      </c>
      <c r="X310">
        <f>'[3]LCIA-Elec'!CB113</f>
        <v>2.1926285714285714E-2</v>
      </c>
      <c r="Y310">
        <f>'[3]LCIA-Elec'!CC113</f>
        <v>1.220817142857143E-4</v>
      </c>
      <c r="Z310">
        <f>'[3]LCIA-Elec'!CD113</f>
        <v>1.1629771428571427E-2</v>
      </c>
      <c r="AA310">
        <f>'[3]LCIA-Elec'!CE113</f>
        <v>-2.7671085714285716E-5</v>
      </c>
      <c r="AB310">
        <f>'[3]LCIA-Elec'!CF113</f>
        <v>1.2982599999999999E-8</v>
      </c>
      <c r="AC310">
        <f>'[3]LCIA-Elec'!CG113</f>
        <v>1.1035314285714286E-3</v>
      </c>
      <c r="AD310">
        <f>'[3]LCIA-Elec'!CH113</f>
        <v>1.3951428571428572E-3</v>
      </c>
      <c r="AE310">
        <f>'[3]LCIA-Elec'!CI113</f>
        <v>2.1222971428571428E-3</v>
      </c>
      <c r="AF310">
        <f>'[3]LCIA-Elec'!CJ113</f>
        <v>3.1342142857142856E-5</v>
      </c>
      <c r="AG310">
        <f>'[3]LCIA-Elec'!CK113</f>
        <v>2.4813314285714286E-3</v>
      </c>
      <c r="AH310">
        <f>'[3]LCIA-Elec'!CL113</f>
        <v>1.3173557142857143E-2</v>
      </c>
    </row>
    <row r="311" spans="2:34" x14ac:dyDescent="0.25">
      <c r="B311" t="str">
        <f>'[3]4_Hub_5000km'!Y386</f>
        <v>Newark Liberty International Airport</v>
      </c>
      <c r="C311" t="str">
        <f>C281</f>
        <v>market for electricity, low voltage, US-RFC</v>
      </c>
      <c r="D311">
        <f>'[3]4_Hub_5000km'!$Z386/$A$3</f>
        <v>0.37597911227154046</v>
      </c>
      <c r="E311" t="str">
        <f t="shared" ref="E311:AH311" si="251">E281</f>
        <v>kWh</v>
      </c>
      <c r="F311" t="str">
        <f t="shared" si="251"/>
        <v>Ecoinvent v3.7.1</v>
      </c>
      <c r="G311">
        <f t="shared" si="251"/>
        <v>0.61436999999999997</v>
      </c>
      <c r="H311">
        <f t="shared" si="251"/>
        <v>8.2399E-2</v>
      </c>
      <c r="I311">
        <f t="shared" si="251"/>
        <v>6.7473999999999998</v>
      </c>
      <c r="J311">
        <f t="shared" si="251"/>
        <v>4.0428000000000003E-4</v>
      </c>
      <c r="K311">
        <f t="shared" si="251"/>
        <v>4.3425000000000002</v>
      </c>
      <c r="L311">
        <f t="shared" si="251"/>
        <v>1.3322000000000001E-5</v>
      </c>
      <c r="M311">
        <f t="shared" si="251"/>
        <v>1.5082999999999999E-2</v>
      </c>
      <c r="N311">
        <f t="shared" si="251"/>
        <v>6.8917000000000006E-2</v>
      </c>
      <c r="O311">
        <f t="shared" si="251"/>
        <v>0.1275</v>
      </c>
      <c r="P311">
        <f t="shared" si="251"/>
        <v>11.384216602</v>
      </c>
      <c r="Q311">
        <f t="shared" si="251"/>
        <v>1.3875999999999999E-2</v>
      </c>
      <c r="R311">
        <f t="shared" si="251"/>
        <v>0.60836999999999997</v>
      </c>
      <c r="S311">
        <f t="shared" si="251"/>
        <v>0.16855999999999999</v>
      </c>
      <c r="T311">
        <f t="shared" si="251"/>
        <v>2.7827999999999999E-2</v>
      </c>
      <c r="U311">
        <f t="shared" si="251"/>
        <v>3.4965000000000002E-4</v>
      </c>
      <c r="V311">
        <f t="shared" si="251"/>
        <v>0.24507000000000001</v>
      </c>
      <c r="W311">
        <f t="shared" si="251"/>
        <v>0.28216999999999998</v>
      </c>
      <c r="X311">
        <f t="shared" si="251"/>
        <v>2.3791E-2</v>
      </c>
      <c r="Y311">
        <f t="shared" si="251"/>
        <v>1.1882E-4</v>
      </c>
      <c r="Z311">
        <f t="shared" si="251"/>
        <v>1.1622E-2</v>
      </c>
      <c r="AA311">
        <f t="shared" si="251"/>
        <v>-2.4247999999999999E-5</v>
      </c>
      <c r="AB311">
        <f t="shared" si="251"/>
        <v>1.8053E-8</v>
      </c>
      <c r="AC311">
        <f t="shared" si="251"/>
        <v>1.1259E-3</v>
      </c>
      <c r="AD311">
        <f t="shared" si="251"/>
        <v>9.8528999999999999E-4</v>
      </c>
      <c r="AE311">
        <f t="shared" si="251"/>
        <v>1.8718000000000001E-3</v>
      </c>
      <c r="AF311">
        <f t="shared" si="251"/>
        <v>2.6829999999999999E-5</v>
      </c>
      <c r="AG311">
        <f t="shared" si="251"/>
        <v>2.5512999999999998E-3</v>
      </c>
      <c r="AH311">
        <f t="shared" si="251"/>
        <v>2.2418E-3</v>
      </c>
    </row>
    <row r="312" spans="2:34" x14ac:dyDescent="0.25">
      <c r="B312" t="str">
        <f>'[3]4_Hub_5000km'!Y387</f>
        <v>Seattle-Tacoma International Airport</v>
      </c>
      <c r="C312" t="str">
        <f>C282</f>
        <v>market for electricity, low voltage, US-WECC</v>
      </c>
      <c r="D312">
        <f>'[3]4_Hub_5000km'!$Z387/$A$3</f>
        <v>0.16971279373368145</v>
      </c>
      <c r="E312" t="str">
        <f t="shared" ref="E312:AH312" si="252">E282</f>
        <v>kWh</v>
      </c>
      <c r="F312" t="str">
        <f t="shared" si="252"/>
        <v>Ecoinvent v3.7.1</v>
      </c>
      <c r="G312">
        <f t="shared" si="252"/>
        <v>0.41233999999999998</v>
      </c>
      <c r="H312">
        <f t="shared" si="252"/>
        <v>0.16356000000000001</v>
      </c>
      <c r="I312">
        <f t="shared" si="252"/>
        <v>5.2107000000000001</v>
      </c>
      <c r="J312">
        <f t="shared" si="252"/>
        <v>0.15804000000000001</v>
      </c>
      <c r="K312">
        <f t="shared" si="252"/>
        <v>1.1274</v>
      </c>
      <c r="L312">
        <f t="shared" si="252"/>
        <v>1.7768999999999999E-5</v>
      </c>
      <c r="M312">
        <f t="shared" si="252"/>
        <v>0.32883000000000001</v>
      </c>
      <c r="N312">
        <f t="shared" si="252"/>
        <v>1.0143</v>
      </c>
      <c r="O312">
        <f t="shared" si="252"/>
        <v>0.29749999999999999</v>
      </c>
      <c r="P312">
        <f t="shared" si="252"/>
        <v>8.300347769</v>
      </c>
      <c r="Q312">
        <f t="shared" si="252"/>
        <v>2.4857000000000001E-2</v>
      </c>
      <c r="R312">
        <f t="shared" si="252"/>
        <v>0.40821000000000002</v>
      </c>
      <c r="S312">
        <f t="shared" si="252"/>
        <v>0.13331000000000001</v>
      </c>
      <c r="T312">
        <f t="shared" si="252"/>
        <v>2.9420000000000002E-2</v>
      </c>
      <c r="U312">
        <f t="shared" si="252"/>
        <v>4.3196E-4</v>
      </c>
      <c r="V312">
        <f t="shared" si="252"/>
        <v>0.27927000000000002</v>
      </c>
      <c r="W312">
        <f t="shared" si="252"/>
        <v>7.3639999999999997E-2</v>
      </c>
      <c r="X312">
        <f t="shared" si="252"/>
        <v>2.5277999999999998E-2</v>
      </c>
      <c r="Y312">
        <f t="shared" si="252"/>
        <v>1.1887000000000001E-4</v>
      </c>
      <c r="Z312">
        <f t="shared" si="252"/>
        <v>1.1467E-2</v>
      </c>
      <c r="AA312">
        <f t="shared" si="252"/>
        <v>-1.4652E-5</v>
      </c>
      <c r="AB312">
        <f t="shared" si="252"/>
        <v>1.7493E-8</v>
      </c>
      <c r="AC312">
        <f t="shared" si="252"/>
        <v>1.5398E-3</v>
      </c>
      <c r="AD312">
        <f t="shared" si="252"/>
        <v>6.7785999999999996E-4</v>
      </c>
      <c r="AE312">
        <f t="shared" si="252"/>
        <v>7.8450000000000004E-4</v>
      </c>
      <c r="AF312">
        <f t="shared" si="252"/>
        <v>3.1801999999999998E-5</v>
      </c>
      <c r="AG312">
        <f t="shared" si="252"/>
        <v>2.3995000000000002E-3</v>
      </c>
      <c r="AH312">
        <f t="shared" si="252"/>
        <v>3.0509000000000001E-3</v>
      </c>
    </row>
    <row r="313" spans="2:34" x14ac:dyDescent="0.25">
      <c r="B313" t="str">
        <f>'[3]4_Hub_5000km'!Y388</f>
        <v>O'Hare International Airport</v>
      </c>
      <c r="C313" t="str">
        <f>C300</f>
        <v>market for electricity, low voltage, US-RFC</v>
      </c>
      <c r="D313">
        <f>'[3]4_Hub_5000km'!$Z388/$A$3</f>
        <v>0.34203655352480417</v>
      </c>
      <c r="E313" t="str">
        <f t="shared" ref="E313:AH313" si="253">E300</f>
        <v>kWh</v>
      </c>
      <c r="F313" t="str">
        <f t="shared" si="253"/>
        <v>Ecoinvent v3.7.1</v>
      </c>
      <c r="G313">
        <f t="shared" si="253"/>
        <v>0.61436999999999997</v>
      </c>
      <c r="H313">
        <f t="shared" si="253"/>
        <v>8.2399E-2</v>
      </c>
      <c r="I313">
        <f t="shared" si="253"/>
        <v>6.7473999999999998</v>
      </c>
      <c r="J313">
        <f t="shared" si="253"/>
        <v>4.0428000000000003E-4</v>
      </c>
      <c r="K313">
        <f t="shared" si="253"/>
        <v>4.3425000000000002</v>
      </c>
      <c r="L313">
        <f t="shared" si="253"/>
        <v>1.3322000000000001E-5</v>
      </c>
      <c r="M313">
        <f t="shared" si="253"/>
        <v>1.5082999999999999E-2</v>
      </c>
      <c r="N313">
        <f t="shared" si="253"/>
        <v>6.8917000000000006E-2</v>
      </c>
      <c r="O313">
        <f t="shared" si="253"/>
        <v>0.1275</v>
      </c>
      <c r="P313">
        <f t="shared" si="253"/>
        <v>11.384216602</v>
      </c>
      <c r="Q313">
        <f t="shared" si="253"/>
        <v>1.3875999999999999E-2</v>
      </c>
      <c r="R313">
        <f t="shared" si="253"/>
        <v>0.60836999999999997</v>
      </c>
      <c r="S313">
        <f t="shared" si="253"/>
        <v>0.16855999999999999</v>
      </c>
      <c r="T313">
        <f t="shared" si="253"/>
        <v>2.7827999999999999E-2</v>
      </c>
      <c r="U313">
        <f t="shared" si="253"/>
        <v>3.4965000000000002E-4</v>
      </c>
      <c r="V313">
        <f t="shared" si="253"/>
        <v>0.24507000000000001</v>
      </c>
      <c r="W313">
        <f t="shared" si="253"/>
        <v>0.28216999999999998</v>
      </c>
      <c r="X313">
        <f t="shared" si="253"/>
        <v>2.3791E-2</v>
      </c>
      <c r="Y313">
        <f t="shared" si="253"/>
        <v>1.1882E-4</v>
      </c>
      <c r="Z313">
        <f t="shared" si="253"/>
        <v>1.1622E-2</v>
      </c>
      <c r="AA313">
        <f t="shared" si="253"/>
        <v>-2.4247999999999999E-5</v>
      </c>
      <c r="AB313">
        <f t="shared" si="253"/>
        <v>1.8053E-8</v>
      </c>
      <c r="AC313">
        <f t="shared" si="253"/>
        <v>1.1259E-3</v>
      </c>
      <c r="AD313">
        <f t="shared" si="253"/>
        <v>9.8528999999999999E-4</v>
      </c>
      <c r="AE313">
        <f t="shared" si="253"/>
        <v>1.8718000000000001E-3</v>
      </c>
      <c r="AF313">
        <f t="shared" si="253"/>
        <v>2.6829999999999999E-5</v>
      </c>
      <c r="AG313">
        <f t="shared" si="253"/>
        <v>2.5512999999999998E-3</v>
      </c>
      <c r="AH313">
        <f t="shared" si="253"/>
        <v>2.2418E-3</v>
      </c>
    </row>
    <row r="314" spans="2:34" x14ac:dyDescent="0.25">
      <c r="B314" t="str">
        <f>'[3]4_Hub_5000km'!Y389</f>
        <v>Istanbul International Airport</v>
      </c>
      <c r="C314" t="str">
        <f>C284</f>
        <v>market for electricity, low voltage, TR</v>
      </c>
      <c r="D314">
        <f>'[3]4_Hub_5000km'!$Z389/$A$3</f>
        <v>9.3994778067885115E-2</v>
      </c>
      <c r="E314" t="str">
        <f t="shared" ref="E314:AH314" si="254">E284</f>
        <v>kWh</v>
      </c>
      <c r="F314" t="str">
        <f t="shared" si="254"/>
        <v>Ecoinvent v3.7.1</v>
      </c>
      <c r="G314">
        <f t="shared" si="254"/>
        <v>0.66378999999999999</v>
      </c>
      <c r="H314">
        <f t="shared" si="254"/>
        <v>4.5117999999999998E-2</v>
      </c>
      <c r="I314">
        <f t="shared" si="254"/>
        <v>8.0196000000000005</v>
      </c>
      <c r="J314">
        <f t="shared" si="254"/>
        <v>0.17710999999999999</v>
      </c>
      <c r="K314">
        <f t="shared" si="254"/>
        <v>8.6892999999999998E-2</v>
      </c>
      <c r="L314">
        <f t="shared" si="254"/>
        <v>1.7516E-5</v>
      </c>
      <c r="M314">
        <f t="shared" si="254"/>
        <v>7.0689000000000002E-2</v>
      </c>
      <c r="N314">
        <f t="shared" si="254"/>
        <v>0.98448000000000002</v>
      </c>
      <c r="O314">
        <f t="shared" si="254"/>
        <v>0.30764000000000002</v>
      </c>
      <c r="P314">
        <f t="shared" si="254"/>
        <v>9.691547516</v>
      </c>
      <c r="Q314">
        <f t="shared" si="254"/>
        <v>1.2818E-2</v>
      </c>
      <c r="R314">
        <f t="shared" si="254"/>
        <v>0.65844000000000003</v>
      </c>
      <c r="S314">
        <f t="shared" si="254"/>
        <v>0.20329</v>
      </c>
      <c r="T314">
        <f t="shared" si="254"/>
        <v>3.3063000000000002E-2</v>
      </c>
      <c r="U314">
        <f t="shared" si="254"/>
        <v>6.5510999999999998E-4</v>
      </c>
      <c r="V314">
        <f t="shared" si="254"/>
        <v>0.42526000000000003</v>
      </c>
      <c r="W314">
        <f t="shared" si="254"/>
        <v>6.2426000000000001E-3</v>
      </c>
      <c r="X314">
        <f t="shared" si="254"/>
        <v>2.9009E-2</v>
      </c>
      <c r="Y314">
        <f t="shared" si="254"/>
        <v>1.9565000000000001E-4</v>
      </c>
      <c r="Z314">
        <f t="shared" si="254"/>
        <v>1.1086E-2</v>
      </c>
      <c r="AA314">
        <f t="shared" si="254"/>
        <v>-3.5899000000000003E-5</v>
      </c>
      <c r="AB314">
        <f t="shared" si="254"/>
        <v>1.5705000000000001E-8</v>
      </c>
      <c r="AC314">
        <f t="shared" si="254"/>
        <v>5.3892000000000002E-3</v>
      </c>
      <c r="AD314">
        <f t="shared" si="254"/>
        <v>1.7297E-3</v>
      </c>
      <c r="AE314">
        <f t="shared" si="254"/>
        <v>3.1383000000000001E-3</v>
      </c>
      <c r="AF314">
        <f t="shared" si="254"/>
        <v>2.2061000000000001E-5</v>
      </c>
      <c r="AG314">
        <f t="shared" si="254"/>
        <v>1.6031999999999999E-3</v>
      </c>
      <c r="AH314">
        <f t="shared" si="254"/>
        <v>4.9744000000000003E-3</v>
      </c>
    </row>
    <row r="315" spans="2:34" x14ac:dyDescent="0.25">
      <c r="B315" s="59" t="str">
        <f>C310</f>
        <v>4_Hub_5000km</v>
      </c>
      <c r="C315" s="59" t="s">
        <v>806</v>
      </c>
      <c r="D315" s="59">
        <f>SUM(D310:D314)</f>
        <v>1</v>
      </c>
      <c r="E315" s="59" t="s">
        <v>105</v>
      </c>
      <c r="F315" s="59"/>
      <c r="G315" s="59">
        <f>SUMPRODUCT($D310:$D314,G310:G314)</f>
        <v>0.58373182767624021</v>
      </c>
      <c r="H315" s="59">
        <f t="shared" ref="H315:AH315" si="255">SUMPRODUCT($D310:$D314,H310:H314)</f>
        <v>9.6891208877284599E-2</v>
      </c>
      <c r="I315" s="59">
        <f t="shared" si="255"/>
        <v>6.605994516971279</v>
      </c>
      <c r="J315" s="59">
        <f t="shared" si="255"/>
        <v>4.3854455013054829E-2</v>
      </c>
      <c r="K315" s="59">
        <f t="shared" si="255"/>
        <v>3.3297162088772847</v>
      </c>
      <c r="L315" s="59">
        <f t="shared" si="255"/>
        <v>8.3649156657963442E-5</v>
      </c>
      <c r="M315" s="59">
        <f t="shared" si="255"/>
        <v>7.528430774934726E-2</v>
      </c>
      <c r="N315" s="59">
        <f t="shared" si="255"/>
        <v>0.34612977806788514</v>
      </c>
      <c r="O315" s="59">
        <f t="shared" si="255"/>
        <v>0.17269889295039165</v>
      </c>
      <c r="P315" s="59">
        <f t="shared" si="255"/>
        <v>10.670653017663186</v>
      </c>
      <c r="Q315" s="59">
        <f t="shared" si="255"/>
        <v>1.6269443864229762E-2</v>
      </c>
      <c r="R315" s="59">
        <f t="shared" si="255"/>
        <v>0.57807566579634462</v>
      </c>
      <c r="S315" s="59">
        <f t="shared" si="255"/>
        <v>0.16582024543080939</v>
      </c>
      <c r="T315" s="59">
        <f t="shared" si="255"/>
        <v>2.854758224543081E-2</v>
      </c>
      <c r="U315" s="59">
        <f t="shared" si="255"/>
        <v>3.8917298172323761E-4</v>
      </c>
      <c r="V315" s="59">
        <f t="shared" si="255"/>
        <v>0.26612515404699738</v>
      </c>
      <c r="W315" s="59">
        <f t="shared" si="255"/>
        <v>0.21648797806788508</v>
      </c>
      <c r="X315" s="59">
        <f t="shared" si="255"/>
        <v>2.4499746736292426E-2</v>
      </c>
      <c r="Y315" s="59">
        <f t="shared" si="255"/>
        <v>1.2610971801566581E-4</v>
      </c>
      <c r="Z315" s="59">
        <f t="shared" si="255"/>
        <v>1.1545455352480416E-2</v>
      </c>
      <c r="AA315" s="59">
        <f t="shared" si="255"/>
        <v>-2.3777132114882507E-5</v>
      </c>
      <c r="AB315" s="59">
        <f t="shared" si="255"/>
        <v>1.7644590600522195E-8</v>
      </c>
      <c r="AC315" s="59">
        <f t="shared" si="255"/>
        <v>1.5964632375979112E-3</v>
      </c>
      <c r="AD315" s="59">
        <f t="shared" si="255"/>
        <v>1.0105766318537859E-3</v>
      </c>
      <c r="AE315" s="59">
        <f t="shared" si="255"/>
        <v>1.8108939425587468E-3</v>
      </c>
      <c r="AF315" s="59">
        <f t="shared" si="255"/>
        <v>2.7308018276762401E-5</v>
      </c>
      <c r="AG315" s="59">
        <f t="shared" si="255"/>
        <v>2.4351423498694515E-3</v>
      </c>
      <c r="AH315" s="59">
        <f t="shared" si="255"/>
        <v>2.8357618798955614E-3</v>
      </c>
    </row>
    <row r="316" spans="2:34" x14ac:dyDescent="0.25">
      <c r="B316" s="59" t="str">
        <f>B315</f>
        <v>4_Hub_5000km</v>
      </c>
      <c r="C316" s="59"/>
      <c r="D316" s="59"/>
      <c r="E316" s="59"/>
      <c r="F316" s="59"/>
      <c r="G316" s="59">
        <f>SUMPRODUCT($D311:$D314,G311:G314)/SUM($D311:$D314)</f>
        <v>0.58417630319148928</v>
      </c>
      <c r="H316" s="59">
        <f t="shared" ref="H316:AH316" si="256">SUMPRODUCT($D311:$D314,H311:H314)/SUM($D311:$D314)</f>
        <v>9.2860034574468092E-2</v>
      </c>
      <c r="I316" s="59">
        <f t="shared" si="256"/>
        <v>6.6035534574468073</v>
      </c>
      <c r="J316" s="59">
        <f t="shared" si="256"/>
        <v>4.4573768617021274E-2</v>
      </c>
      <c r="K316" s="59">
        <f t="shared" si="256"/>
        <v>3.3792464042553187</v>
      </c>
      <c r="L316" s="59">
        <f t="shared" si="256"/>
        <v>1.4492316489361702E-5</v>
      </c>
      <c r="M316" s="59">
        <f t="shared" si="256"/>
        <v>7.4645156914893623E-2</v>
      </c>
      <c r="N316" s="59">
        <f t="shared" si="256"/>
        <v>0.32000785904255319</v>
      </c>
      <c r="O316" s="59">
        <f t="shared" si="256"/>
        <v>0.17413574468085108</v>
      </c>
      <c r="P316" s="59">
        <f t="shared" si="256"/>
        <v>10.689036917848403</v>
      </c>
      <c r="Q316" s="59">
        <f t="shared" si="256"/>
        <v>1.5673013297872337E-2</v>
      </c>
      <c r="R316" s="59">
        <f t="shared" si="256"/>
        <v>0.57856180851063832</v>
      </c>
      <c r="S316" s="59">
        <f t="shared" si="256"/>
        <v>0.16579146276595744</v>
      </c>
      <c r="T316" s="59">
        <f t="shared" si="256"/>
        <v>2.8604436170212764E-2</v>
      </c>
      <c r="U316" s="59">
        <f t="shared" si="256"/>
        <v>3.931252925531915E-4</v>
      </c>
      <c r="V316" s="59">
        <f t="shared" si="256"/>
        <v>0.26823446808510637</v>
      </c>
      <c r="W316" s="59">
        <f t="shared" si="256"/>
        <v>0.21970234999999996</v>
      </c>
      <c r="X316" s="59">
        <f t="shared" si="256"/>
        <v>2.4547656914893613E-2</v>
      </c>
      <c r="Y316" s="59">
        <f t="shared" si="256"/>
        <v>1.2618470744680852E-4</v>
      </c>
      <c r="Z316" s="59">
        <f t="shared" si="256"/>
        <v>1.1543885638297871E-2</v>
      </c>
      <c r="AA316" s="59">
        <f t="shared" si="256"/>
        <v>-2.370463829787234E-5</v>
      </c>
      <c r="AB316" s="59">
        <f t="shared" si="256"/>
        <v>1.7731382978723404E-8</v>
      </c>
      <c r="AC316" s="59">
        <f t="shared" si="256"/>
        <v>1.6056401595744682E-3</v>
      </c>
      <c r="AD316" s="59">
        <f t="shared" si="256"/>
        <v>1.0034171542553192E-3</v>
      </c>
      <c r="AE316" s="59">
        <f t="shared" si="256"/>
        <v>1.8050965425531916E-3</v>
      </c>
      <c r="AF316" s="59">
        <f t="shared" si="256"/>
        <v>2.7232914893617021E-5</v>
      </c>
      <c r="AG316" s="59">
        <f t="shared" si="256"/>
        <v>2.4342824468085102E-3</v>
      </c>
      <c r="AH316" s="59">
        <f t="shared" si="256"/>
        <v>2.6433029255319147E-3</v>
      </c>
    </row>
    <row r="317" spans="2:34" x14ac:dyDescent="0.25">
      <c r="B317" t="s">
        <v>593</v>
      </c>
      <c r="C317" t="str">
        <f>'[3]LCIA-Elec'!BJ114</f>
        <v>5_Hub_5000km</v>
      </c>
      <c r="D317">
        <f>'[3]LCIA-Elec'!$AX$68/$A$3</f>
        <v>1.8276762402088774E-2</v>
      </c>
      <c r="E317" t="s">
        <v>105</v>
      </c>
      <c r="F317" t="s">
        <v>829</v>
      </c>
      <c r="G317">
        <f>'[3]LCIA-Elec'!BK114</f>
        <v>0.55985714285714283</v>
      </c>
      <c r="H317">
        <f>'[3]LCIA-Elec'!BL114</f>
        <v>0.31342285714285711</v>
      </c>
      <c r="I317">
        <f>'[3]LCIA-Elec'!BM114</f>
        <v>6.7371142857142852</v>
      </c>
      <c r="J317">
        <f>'[3]LCIA-Elec'!BN114</f>
        <v>5.2170385714285714E-3</v>
      </c>
      <c r="K317">
        <f>'[3]LCIA-Elec'!BO114</f>
        <v>0.66923714285714286</v>
      </c>
      <c r="L317">
        <f>'[3]LCIA-Elec'!BP114</f>
        <v>3.7983594285714286E-3</v>
      </c>
      <c r="M317">
        <f>'[3]LCIA-Elec'!BQ114</f>
        <v>0.10961583828571429</v>
      </c>
      <c r="N317">
        <f>'[3]LCIA-Elec'!BR114</f>
        <v>1.74925</v>
      </c>
      <c r="O317">
        <f>'[3]LCIA-Elec'!BS114</f>
        <v>9.5519428571428575E-2</v>
      </c>
      <c r="P317">
        <f>'[3]LCIA-Elec'!BT114</f>
        <v>9.6831749505714289</v>
      </c>
      <c r="Q317">
        <f>'[3]LCIA-Elec'!BU114</f>
        <v>4.8306285714285711E-2</v>
      </c>
      <c r="R317">
        <f>'[3]LCIA-Elec'!BV114</f>
        <v>0.55196285714285709</v>
      </c>
      <c r="S317">
        <f>'[3]LCIA-Elec'!BW114</f>
        <v>0.16736628571428572</v>
      </c>
      <c r="T317">
        <f>'[3]LCIA-Elec'!BX114</f>
        <v>2.5493714285714286E-2</v>
      </c>
      <c r="U317">
        <f>'[3]LCIA-Elec'!BY114</f>
        <v>1.7687742857142857E-4</v>
      </c>
      <c r="V317">
        <f>'[3]LCIA-Elec'!BZ114</f>
        <v>0.15282485714285715</v>
      </c>
      <c r="W317">
        <f>'[3]LCIA-Elec'!CA114</f>
        <v>4.3830285714285711E-2</v>
      </c>
      <c r="X317">
        <f>'[3]LCIA-Elec'!CB114</f>
        <v>2.1926285714285714E-2</v>
      </c>
      <c r="Y317">
        <f>'[3]LCIA-Elec'!CC114</f>
        <v>1.220817142857143E-4</v>
      </c>
      <c r="Z317">
        <f>'[3]LCIA-Elec'!CD114</f>
        <v>1.1629771428571427E-2</v>
      </c>
      <c r="AA317">
        <f>'[3]LCIA-Elec'!CE114</f>
        <v>-2.7671085714285716E-5</v>
      </c>
      <c r="AB317">
        <f>'[3]LCIA-Elec'!CF114</f>
        <v>1.2982599999999999E-8</v>
      </c>
      <c r="AC317">
        <f>'[3]LCIA-Elec'!CG114</f>
        <v>1.1035314285714286E-3</v>
      </c>
      <c r="AD317">
        <f>'[3]LCIA-Elec'!CH114</f>
        <v>1.3951428571428572E-3</v>
      </c>
      <c r="AE317">
        <f>'[3]LCIA-Elec'!CI114</f>
        <v>2.1222971428571428E-3</v>
      </c>
      <c r="AF317">
        <f>'[3]LCIA-Elec'!CJ114</f>
        <v>3.1342142857142856E-5</v>
      </c>
      <c r="AG317">
        <f>'[3]LCIA-Elec'!CK114</f>
        <v>2.4813314285714286E-3</v>
      </c>
      <c r="AH317">
        <f>'[3]LCIA-Elec'!CL114</f>
        <v>1.3173557142857143E-2</v>
      </c>
    </row>
    <row r="318" spans="2:34" x14ac:dyDescent="0.25">
      <c r="B318" t="str">
        <f>'[3]5_Hub_5000km'!Y386</f>
        <v>Heathrow Airport</v>
      </c>
      <c r="C318" t="str">
        <f>C288</f>
        <v>market for electricity, low voltage, GB</v>
      </c>
      <c r="D318">
        <f>'[3]5_Hub_5000km'!$Z386/$A$3</f>
        <v>6.0052219321148827E-2</v>
      </c>
      <c r="E318" t="str">
        <f t="shared" ref="E318:AH318" si="257">E288</f>
        <v>kWh</v>
      </c>
      <c r="F318" t="str">
        <f t="shared" si="257"/>
        <v>Ecoinvent v3.7.1</v>
      </c>
      <c r="G318">
        <f t="shared" si="257"/>
        <v>0.34189999999999998</v>
      </c>
      <c r="H318">
        <f t="shared" si="257"/>
        <v>0.59848000000000001</v>
      </c>
      <c r="I318">
        <f t="shared" si="257"/>
        <v>5.4097</v>
      </c>
      <c r="J318">
        <f t="shared" si="257"/>
        <v>4.1463999999999997E-4</v>
      </c>
      <c r="K318">
        <f t="shared" si="257"/>
        <v>3.8357000000000001</v>
      </c>
      <c r="L318">
        <f t="shared" si="257"/>
        <v>6.2281999999999998E-5</v>
      </c>
      <c r="M318">
        <f t="shared" si="257"/>
        <v>0.24073</v>
      </c>
      <c r="N318">
        <f t="shared" si="257"/>
        <v>0.10517</v>
      </c>
      <c r="O318">
        <f t="shared" si="257"/>
        <v>0.60631000000000002</v>
      </c>
      <c r="P318">
        <f t="shared" si="257"/>
        <v>10.796566922</v>
      </c>
      <c r="Q318">
        <f t="shared" si="257"/>
        <v>7.8466999999999995E-2</v>
      </c>
      <c r="R318">
        <f t="shared" si="257"/>
        <v>0.33939999999999998</v>
      </c>
      <c r="S318">
        <f t="shared" si="257"/>
        <v>0.14854999999999999</v>
      </c>
      <c r="T318">
        <f t="shared" si="257"/>
        <v>2.3748999999999999E-2</v>
      </c>
      <c r="U318">
        <f t="shared" si="257"/>
        <v>7.3054999999999998E-5</v>
      </c>
      <c r="V318">
        <f t="shared" si="257"/>
        <v>7.6856999999999995E-2</v>
      </c>
      <c r="W318">
        <f t="shared" si="257"/>
        <v>0.30257000000000001</v>
      </c>
      <c r="X318">
        <f t="shared" si="257"/>
        <v>2.0723999999999999E-2</v>
      </c>
      <c r="Y318">
        <f t="shared" si="257"/>
        <v>5.4033999999999998E-5</v>
      </c>
      <c r="Z318">
        <f t="shared" si="257"/>
        <v>1.2272E-2</v>
      </c>
      <c r="AA318">
        <f t="shared" si="257"/>
        <v>-9.9321999999999995E-6</v>
      </c>
      <c r="AB318">
        <f t="shared" si="257"/>
        <v>1.9069E-8</v>
      </c>
      <c r="AC318">
        <f t="shared" si="257"/>
        <v>3.0650000000000002E-4</v>
      </c>
      <c r="AD318">
        <f t="shared" si="257"/>
        <v>7.0107999999999998E-4</v>
      </c>
      <c r="AE318">
        <f t="shared" si="257"/>
        <v>8.7219000000000001E-4</v>
      </c>
      <c r="AF318">
        <f t="shared" si="257"/>
        <v>1.9445000000000001E-5</v>
      </c>
      <c r="AG318">
        <f t="shared" si="257"/>
        <v>3.4037E-3</v>
      </c>
      <c r="AH318">
        <f t="shared" si="257"/>
        <v>1.7122000000000001E-3</v>
      </c>
    </row>
    <row r="319" spans="2:34" x14ac:dyDescent="0.25">
      <c r="B319" t="str">
        <f>'[3]5_Hub_5000km'!Y387</f>
        <v>Newark Liberty International Airport</v>
      </c>
      <c r="C319" t="str">
        <f>C289</f>
        <v>market for electricity, low voltage, US-RFC</v>
      </c>
      <c r="D319">
        <f>'[3]5_Hub_5000km'!$Z387/$A$3</f>
        <v>0.37597911227154046</v>
      </c>
      <c r="E319" t="str">
        <f t="shared" ref="E319:AH319" si="258">E289</f>
        <v>kWh</v>
      </c>
      <c r="F319" t="str">
        <f t="shared" si="258"/>
        <v>Ecoinvent v3.7.1</v>
      </c>
      <c r="G319">
        <f t="shared" si="258"/>
        <v>0.61436999999999997</v>
      </c>
      <c r="H319">
        <f t="shared" si="258"/>
        <v>8.2399E-2</v>
      </c>
      <c r="I319">
        <f t="shared" si="258"/>
        <v>6.7473999999999998</v>
      </c>
      <c r="J319">
        <f t="shared" si="258"/>
        <v>4.0428000000000003E-4</v>
      </c>
      <c r="K319">
        <f t="shared" si="258"/>
        <v>4.3425000000000002</v>
      </c>
      <c r="L319">
        <f t="shared" si="258"/>
        <v>1.3322000000000001E-5</v>
      </c>
      <c r="M319">
        <f t="shared" si="258"/>
        <v>1.5082999999999999E-2</v>
      </c>
      <c r="N319">
        <f t="shared" si="258"/>
        <v>6.8917000000000006E-2</v>
      </c>
      <c r="O319">
        <f t="shared" si="258"/>
        <v>0.1275</v>
      </c>
      <c r="P319">
        <f t="shared" si="258"/>
        <v>11.384216602</v>
      </c>
      <c r="Q319">
        <f t="shared" si="258"/>
        <v>1.3875999999999999E-2</v>
      </c>
      <c r="R319">
        <f t="shared" si="258"/>
        <v>0.60836999999999997</v>
      </c>
      <c r="S319">
        <f t="shared" si="258"/>
        <v>0.16855999999999999</v>
      </c>
      <c r="T319">
        <f t="shared" si="258"/>
        <v>2.7827999999999999E-2</v>
      </c>
      <c r="U319">
        <f t="shared" si="258"/>
        <v>3.4965000000000002E-4</v>
      </c>
      <c r="V319">
        <f t="shared" si="258"/>
        <v>0.24507000000000001</v>
      </c>
      <c r="W319">
        <f t="shared" si="258"/>
        <v>0.28216999999999998</v>
      </c>
      <c r="X319">
        <f t="shared" si="258"/>
        <v>2.3791E-2</v>
      </c>
      <c r="Y319">
        <f t="shared" si="258"/>
        <v>1.1882E-4</v>
      </c>
      <c r="Z319">
        <f t="shared" si="258"/>
        <v>1.1622E-2</v>
      </c>
      <c r="AA319">
        <f t="shared" si="258"/>
        <v>-2.4247999999999999E-5</v>
      </c>
      <c r="AB319">
        <f t="shared" si="258"/>
        <v>1.8053E-8</v>
      </c>
      <c r="AC319">
        <f t="shared" si="258"/>
        <v>1.1259E-3</v>
      </c>
      <c r="AD319">
        <f t="shared" si="258"/>
        <v>9.8528999999999999E-4</v>
      </c>
      <c r="AE319">
        <f t="shared" si="258"/>
        <v>1.8718000000000001E-3</v>
      </c>
      <c r="AF319">
        <f t="shared" si="258"/>
        <v>2.6829999999999999E-5</v>
      </c>
      <c r="AG319">
        <f t="shared" si="258"/>
        <v>2.5512999999999998E-3</v>
      </c>
      <c r="AH319">
        <f t="shared" si="258"/>
        <v>2.2418E-3</v>
      </c>
    </row>
    <row r="320" spans="2:34" x14ac:dyDescent="0.25">
      <c r="B320" t="str">
        <f>'[3]5_Hub_5000km'!Y388</f>
        <v>Seattle-Tacoma International Airport</v>
      </c>
      <c r="C320" t="str">
        <f>C290</f>
        <v>market for electricity, low voltage, US-WECC</v>
      </c>
      <c r="D320">
        <f>'[3]5_Hub_5000km'!$Z388/$A$3</f>
        <v>0.16971279373368145</v>
      </c>
      <c r="E320" t="str">
        <f t="shared" ref="E320:AH320" si="259">E290</f>
        <v>kWh</v>
      </c>
      <c r="F320" t="str">
        <f t="shared" si="259"/>
        <v>Ecoinvent v3.7.1</v>
      </c>
      <c r="G320">
        <f t="shared" si="259"/>
        <v>0.41233999999999998</v>
      </c>
      <c r="H320">
        <f t="shared" si="259"/>
        <v>0.16356000000000001</v>
      </c>
      <c r="I320">
        <f t="shared" si="259"/>
        <v>5.2107000000000001</v>
      </c>
      <c r="J320">
        <f t="shared" si="259"/>
        <v>0.15804000000000001</v>
      </c>
      <c r="K320">
        <f t="shared" si="259"/>
        <v>1.1274</v>
      </c>
      <c r="L320">
        <f t="shared" si="259"/>
        <v>1.7768999999999999E-5</v>
      </c>
      <c r="M320">
        <f t="shared" si="259"/>
        <v>0.32883000000000001</v>
      </c>
      <c r="N320">
        <f t="shared" si="259"/>
        <v>1.0143</v>
      </c>
      <c r="O320">
        <f t="shared" si="259"/>
        <v>0.29749999999999999</v>
      </c>
      <c r="P320">
        <f t="shared" si="259"/>
        <v>8.300347769</v>
      </c>
      <c r="Q320">
        <f t="shared" si="259"/>
        <v>2.4857000000000001E-2</v>
      </c>
      <c r="R320">
        <f t="shared" si="259"/>
        <v>0.40821000000000002</v>
      </c>
      <c r="S320">
        <f t="shared" si="259"/>
        <v>0.13331000000000001</v>
      </c>
      <c r="T320">
        <f t="shared" si="259"/>
        <v>2.9420000000000002E-2</v>
      </c>
      <c r="U320">
        <f t="shared" si="259"/>
        <v>4.3196E-4</v>
      </c>
      <c r="V320">
        <f t="shared" si="259"/>
        <v>0.27927000000000002</v>
      </c>
      <c r="W320">
        <f t="shared" si="259"/>
        <v>7.3639999999999997E-2</v>
      </c>
      <c r="X320">
        <f t="shared" si="259"/>
        <v>2.5277999999999998E-2</v>
      </c>
      <c r="Y320">
        <f t="shared" si="259"/>
        <v>1.1887000000000001E-4</v>
      </c>
      <c r="Z320">
        <f t="shared" si="259"/>
        <v>1.1467E-2</v>
      </c>
      <c r="AA320">
        <f t="shared" si="259"/>
        <v>-1.4652E-5</v>
      </c>
      <c r="AB320">
        <f t="shared" si="259"/>
        <v>1.7493E-8</v>
      </c>
      <c r="AC320">
        <f t="shared" si="259"/>
        <v>1.5398E-3</v>
      </c>
      <c r="AD320">
        <f t="shared" si="259"/>
        <v>6.7785999999999996E-4</v>
      </c>
      <c r="AE320">
        <f t="shared" si="259"/>
        <v>7.8450000000000004E-4</v>
      </c>
      <c r="AF320">
        <f t="shared" si="259"/>
        <v>3.1801999999999998E-5</v>
      </c>
      <c r="AG320">
        <f t="shared" si="259"/>
        <v>2.3995000000000002E-3</v>
      </c>
      <c r="AH320">
        <f t="shared" si="259"/>
        <v>3.0509000000000001E-3</v>
      </c>
    </row>
    <row r="321" spans="2:34" x14ac:dyDescent="0.25">
      <c r="B321" t="str">
        <f>'[3]5_Hub_5000km'!Y389</f>
        <v>O'Hare International Airport</v>
      </c>
      <c r="C321" t="str">
        <f>C292</f>
        <v>market for electricity, low voltage, US-RFC</v>
      </c>
      <c r="D321">
        <f>'[3]5_Hub_5000km'!$Z389/$A$3</f>
        <v>0.34203655352480417</v>
      </c>
      <c r="E321" t="str">
        <f t="shared" ref="E321:AH321" si="260">E292</f>
        <v>kWh</v>
      </c>
      <c r="F321" t="str">
        <f t="shared" si="260"/>
        <v>Ecoinvent v3.7.1</v>
      </c>
      <c r="G321">
        <f t="shared" si="260"/>
        <v>0.61436999999999997</v>
      </c>
      <c r="H321">
        <f t="shared" si="260"/>
        <v>8.2399E-2</v>
      </c>
      <c r="I321">
        <f t="shared" si="260"/>
        <v>6.7473999999999998</v>
      </c>
      <c r="J321">
        <f t="shared" si="260"/>
        <v>4.0428000000000003E-4</v>
      </c>
      <c r="K321">
        <f t="shared" si="260"/>
        <v>4.3425000000000002</v>
      </c>
      <c r="L321">
        <f t="shared" si="260"/>
        <v>1.3322000000000001E-5</v>
      </c>
      <c r="M321">
        <f t="shared" si="260"/>
        <v>1.5082999999999999E-2</v>
      </c>
      <c r="N321">
        <f t="shared" si="260"/>
        <v>6.8917000000000006E-2</v>
      </c>
      <c r="O321">
        <f t="shared" si="260"/>
        <v>0.1275</v>
      </c>
      <c r="P321">
        <f t="shared" si="260"/>
        <v>11.384216602</v>
      </c>
      <c r="Q321">
        <f t="shared" si="260"/>
        <v>1.3875999999999999E-2</v>
      </c>
      <c r="R321">
        <f t="shared" si="260"/>
        <v>0.60836999999999997</v>
      </c>
      <c r="S321">
        <f t="shared" si="260"/>
        <v>0.16855999999999999</v>
      </c>
      <c r="T321">
        <f t="shared" si="260"/>
        <v>2.7827999999999999E-2</v>
      </c>
      <c r="U321">
        <f t="shared" si="260"/>
        <v>3.4965000000000002E-4</v>
      </c>
      <c r="V321">
        <f t="shared" si="260"/>
        <v>0.24507000000000001</v>
      </c>
      <c r="W321">
        <f t="shared" si="260"/>
        <v>0.28216999999999998</v>
      </c>
      <c r="X321">
        <f t="shared" si="260"/>
        <v>2.3791E-2</v>
      </c>
      <c r="Y321">
        <f t="shared" si="260"/>
        <v>1.1882E-4</v>
      </c>
      <c r="Z321">
        <f t="shared" si="260"/>
        <v>1.1622E-2</v>
      </c>
      <c r="AA321">
        <f t="shared" si="260"/>
        <v>-2.4247999999999999E-5</v>
      </c>
      <c r="AB321">
        <f t="shared" si="260"/>
        <v>1.8053E-8</v>
      </c>
      <c r="AC321">
        <f t="shared" si="260"/>
        <v>1.1259E-3</v>
      </c>
      <c r="AD321">
        <f t="shared" si="260"/>
        <v>9.8528999999999999E-4</v>
      </c>
      <c r="AE321">
        <f t="shared" si="260"/>
        <v>1.8718000000000001E-3</v>
      </c>
      <c r="AF321">
        <f t="shared" si="260"/>
        <v>2.6829999999999999E-5</v>
      </c>
      <c r="AG321">
        <f t="shared" si="260"/>
        <v>2.5512999999999998E-3</v>
      </c>
      <c r="AH321">
        <f t="shared" si="260"/>
        <v>2.2418E-3</v>
      </c>
    </row>
    <row r="322" spans="2:34" x14ac:dyDescent="0.25">
      <c r="B322" t="str">
        <f>'[3]5_Hub_5000km'!Y390</f>
        <v>Istanbul International Airport</v>
      </c>
      <c r="C322" t="str">
        <f>C293</f>
        <v>market for electricity, low voltage, TR</v>
      </c>
      <c r="D322">
        <f>'[3]5_Hub_5000km'!$Z390/$A$3</f>
        <v>3.3942558746736295E-2</v>
      </c>
      <c r="E322" t="str">
        <f t="shared" ref="E322:AH322" si="261">E293</f>
        <v>kWh</v>
      </c>
      <c r="F322" t="str">
        <f t="shared" si="261"/>
        <v>Ecoinvent v3.7.1</v>
      </c>
      <c r="G322">
        <f t="shared" si="261"/>
        <v>0.66378999999999999</v>
      </c>
      <c r="H322">
        <f t="shared" si="261"/>
        <v>4.5117999999999998E-2</v>
      </c>
      <c r="I322">
        <f t="shared" si="261"/>
        <v>8.0196000000000005</v>
      </c>
      <c r="J322">
        <f t="shared" si="261"/>
        <v>0.17710999999999999</v>
      </c>
      <c r="K322">
        <f t="shared" si="261"/>
        <v>8.6892999999999998E-2</v>
      </c>
      <c r="L322">
        <f t="shared" si="261"/>
        <v>1.7516E-5</v>
      </c>
      <c r="M322">
        <f t="shared" si="261"/>
        <v>7.0689000000000002E-2</v>
      </c>
      <c r="N322">
        <f t="shared" si="261"/>
        <v>0.98448000000000002</v>
      </c>
      <c r="O322">
        <f t="shared" si="261"/>
        <v>0.30764000000000002</v>
      </c>
      <c r="P322">
        <f t="shared" si="261"/>
        <v>9.691547516</v>
      </c>
      <c r="Q322">
        <f t="shared" si="261"/>
        <v>1.2818E-2</v>
      </c>
      <c r="R322">
        <f t="shared" si="261"/>
        <v>0.65844000000000003</v>
      </c>
      <c r="S322">
        <f t="shared" si="261"/>
        <v>0.20329</v>
      </c>
      <c r="T322">
        <f t="shared" si="261"/>
        <v>3.3063000000000002E-2</v>
      </c>
      <c r="U322">
        <f t="shared" si="261"/>
        <v>6.5510999999999998E-4</v>
      </c>
      <c r="V322">
        <f t="shared" si="261"/>
        <v>0.42526000000000003</v>
      </c>
      <c r="W322">
        <f t="shared" si="261"/>
        <v>6.2426000000000001E-3</v>
      </c>
      <c r="X322">
        <f t="shared" si="261"/>
        <v>2.9009E-2</v>
      </c>
      <c r="Y322">
        <f t="shared" si="261"/>
        <v>1.9565000000000001E-4</v>
      </c>
      <c r="Z322">
        <f t="shared" si="261"/>
        <v>1.1086E-2</v>
      </c>
      <c r="AA322">
        <f t="shared" si="261"/>
        <v>-3.5899000000000003E-5</v>
      </c>
      <c r="AB322">
        <f t="shared" si="261"/>
        <v>1.5705000000000001E-8</v>
      </c>
      <c r="AC322">
        <f t="shared" si="261"/>
        <v>5.3892000000000002E-3</v>
      </c>
      <c r="AD322">
        <f t="shared" si="261"/>
        <v>1.7297E-3</v>
      </c>
      <c r="AE322">
        <f t="shared" si="261"/>
        <v>3.1383000000000001E-3</v>
      </c>
      <c r="AF322">
        <f t="shared" si="261"/>
        <v>2.2061000000000001E-5</v>
      </c>
      <c r="AG322">
        <f t="shared" si="261"/>
        <v>1.6031999999999999E-3</v>
      </c>
      <c r="AH322">
        <f t="shared" si="261"/>
        <v>4.9744000000000003E-3</v>
      </c>
    </row>
    <row r="323" spans="2:34" x14ac:dyDescent="0.25">
      <c r="B323" s="59" t="str">
        <f>C317</f>
        <v>5_Hub_5000km</v>
      </c>
      <c r="C323" s="59" t="s">
        <v>806</v>
      </c>
      <c r="D323" s="59">
        <f>SUM(D317:D322)</f>
        <v>1</v>
      </c>
      <c r="E323" s="59" t="s">
        <v>105</v>
      </c>
      <c r="F323" s="59"/>
      <c r="G323" s="59">
        <f>SUMPRODUCT($D317:$D322,G317:G322)</f>
        <v>0.56440161879895556</v>
      </c>
      <c r="H323" s="59">
        <f t="shared" ref="H323:AH323" si="262">SUMPRODUCT($D317:$D322,H317:H322)</f>
        <v>0.13012182506527414</v>
      </c>
      <c r="I323" s="59">
        <f t="shared" si="262"/>
        <v>6.4492642297650118</v>
      </c>
      <c r="J323" s="59">
        <f t="shared" si="262"/>
        <v>3.3243506501305489E-2</v>
      </c>
      <c r="K323" s="59">
        <f t="shared" si="262"/>
        <v>3.5548403890339424</v>
      </c>
      <c r="L323" s="59">
        <f t="shared" si="262"/>
        <v>8.6337454308094003E-5</v>
      </c>
      <c r="M323" s="59">
        <f t="shared" si="262"/>
        <v>8.5495647174934714E-2</v>
      </c>
      <c r="N323" s="59">
        <f t="shared" si="262"/>
        <v>0.29332526109660573</v>
      </c>
      <c r="O323" s="59">
        <f t="shared" si="262"/>
        <v>0.19063468929503916</v>
      </c>
      <c r="P323" s="59">
        <f t="shared" si="262"/>
        <v>10.737011885386423</v>
      </c>
      <c r="Q323" s="59">
        <f t="shared" si="262"/>
        <v>2.021181201044386E-2</v>
      </c>
      <c r="R323" s="59">
        <f t="shared" si="262"/>
        <v>0.55891660574412527</v>
      </c>
      <c r="S323" s="59">
        <f t="shared" si="262"/>
        <v>0.16253298694516971</v>
      </c>
      <c r="T323" s="59">
        <f t="shared" si="262"/>
        <v>2.7988255874673629E-2</v>
      </c>
      <c r="U323" s="59">
        <f t="shared" si="262"/>
        <v>3.5421928720626633E-4</v>
      </c>
      <c r="V323" s="59">
        <f t="shared" si="262"/>
        <v>0.24520278067885118</v>
      </c>
      <c r="W323" s="59">
        <f t="shared" si="262"/>
        <v>0.23428309608355088</v>
      </c>
      <c r="X323" s="59">
        <f t="shared" si="262"/>
        <v>2.4002214099216705E-2</v>
      </c>
      <c r="Y323" s="59">
        <f t="shared" si="262"/>
        <v>1.1760536292428197E-4</v>
      </c>
      <c r="Z323" s="59">
        <f t="shared" si="262"/>
        <v>1.1616677284595301E-2</v>
      </c>
      <c r="AA323" s="59">
        <f t="shared" si="262"/>
        <v>-2.2217768146214101E-5</v>
      </c>
      <c r="AB323" s="59">
        <f t="shared" si="262"/>
        <v>1.7846606266318538E-8</v>
      </c>
      <c r="AC323" s="59">
        <f t="shared" si="262"/>
        <v>1.291235822454308E-3</v>
      </c>
      <c r="AD323" s="59">
        <f t="shared" si="262"/>
        <v>9.4880571801566585E-4</v>
      </c>
      <c r="AE323" s="59">
        <f t="shared" si="262"/>
        <v>1.6748090078328984E-3</v>
      </c>
      <c r="AF323" s="59">
        <f t="shared" si="262"/>
        <v>2.7150921671018276E-5</v>
      </c>
      <c r="AG323" s="59">
        <f t="shared" si="262"/>
        <v>2.5432663707571799E-3</v>
      </c>
      <c r="AH323" s="59">
        <f t="shared" si="262"/>
        <v>2.6398595300261094E-3</v>
      </c>
    </row>
    <row r="324" spans="2:34" x14ac:dyDescent="0.25">
      <c r="B324" s="59" t="str">
        <f>B323</f>
        <v>5_Hub_5000km</v>
      </c>
      <c r="C324" s="59"/>
      <c r="D324" s="59"/>
      <c r="E324" s="59"/>
      <c r="F324" s="59"/>
      <c r="G324" s="59">
        <f>SUMPRODUCT($D318:$D322,G318:G322)/SUM($D318:$D322)</f>
        <v>0.56448622340425525</v>
      </c>
      <c r="H324" s="59">
        <f t="shared" ref="H324:AH324" si="263">SUMPRODUCT($D318:$D322,H318:H322)/SUM($D318:$D322)</f>
        <v>0.12670930585106382</v>
      </c>
      <c r="I324" s="59">
        <f t="shared" si="263"/>
        <v>6.4439053191489348</v>
      </c>
      <c r="J324" s="59">
        <f t="shared" si="263"/>
        <v>3.3765275851063828E-2</v>
      </c>
      <c r="K324" s="59">
        <f t="shared" si="263"/>
        <v>3.6085617260638294</v>
      </c>
      <c r="L324" s="59">
        <f t="shared" si="263"/>
        <v>1.7230662234042549E-5</v>
      </c>
      <c r="M324" s="59">
        <f t="shared" si="263"/>
        <v>8.5046601063829774E-2</v>
      </c>
      <c r="N324" s="59">
        <f t="shared" si="263"/>
        <v>0.2662202792553191</v>
      </c>
      <c r="O324" s="59">
        <f t="shared" si="263"/>
        <v>0.19240545212765955</v>
      </c>
      <c r="P324" s="59">
        <f t="shared" si="263"/>
        <v>10.756631190023935</v>
      </c>
      <c r="Q324" s="59">
        <f t="shared" si="263"/>
        <v>1.9688776595744677E-2</v>
      </c>
      <c r="R324" s="59">
        <f t="shared" si="263"/>
        <v>0.55904606382978717</v>
      </c>
      <c r="S324" s="59">
        <f t="shared" si="263"/>
        <v>0.1624430053191489</v>
      </c>
      <c r="T324" s="59">
        <f t="shared" si="263"/>
        <v>2.8034696808510642E-2</v>
      </c>
      <c r="U324" s="59">
        <f t="shared" si="263"/>
        <v>3.5752086436170212E-4</v>
      </c>
      <c r="V324" s="59">
        <f t="shared" si="263"/>
        <v>0.24692258244680851</v>
      </c>
      <c r="W324" s="59">
        <f t="shared" si="263"/>
        <v>0.23782876010638299</v>
      </c>
      <c r="X324" s="59">
        <f t="shared" si="263"/>
        <v>2.4040861702127658E-2</v>
      </c>
      <c r="Y324" s="59">
        <f t="shared" si="263"/>
        <v>1.1752202659574467E-4</v>
      </c>
      <c r="Z324" s="59">
        <f t="shared" si="263"/>
        <v>1.1616433510638298E-2</v>
      </c>
      <c r="AA324" s="59">
        <f t="shared" si="263"/>
        <v>-2.2116243617021273E-5</v>
      </c>
      <c r="AB324" s="59">
        <f t="shared" si="263"/>
        <v>1.7937159574468086E-8</v>
      </c>
      <c r="AC324" s="59">
        <f t="shared" si="263"/>
        <v>1.2947303191489358E-3</v>
      </c>
      <c r="AD324" s="59">
        <f t="shared" si="263"/>
        <v>9.4049624999999995E-4</v>
      </c>
      <c r="AE324" s="59">
        <f t="shared" si="263"/>
        <v>1.6664781117021279E-3</v>
      </c>
      <c r="AF324" s="59">
        <f t="shared" si="263"/>
        <v>2.707289361702128E-5</v>
      </c>
      <c r="AG324" s="59">
        <f t="shared" si="263"/>
        <v>2.5444194148936164E-3</v>
      </c>
      <c r="AH324" s="59">
        <f t="shared" si="263"/>
        <v>2.4437534574468086E-3</v>
      </c>
    </row>
    <row r="325" spans="2:34" x14ac:dyDescent="0.25">
      <c r="B325" t="s">
        <v>593</v>
      </c>
      <c r="C325" t="str">
        <f>'[3]LCIA-Elec'!BJ115</f>
        <v>6_Hub_5000km</v>
      </c>
      <c r="D325">
        <f>'[3]LCIA-Elec'!$AY$68/$A$3</f>
        <v>1.8276762402088774E-2</v>
      </c>
      <c r="E325" t="s">
        <v>105</v>
      </c>
      <c r="F325" t="s">
        <v>829</v>
      </c>
      <c r="G325">
        <f>'[3]LCIA-Elec'!BK115</f>
        <v>0.55985714285714283</v>
      </c>
      <c r="H325">
        <f>'[3]LCIA-Elec'!BL115</f>
        <v>0.31342285714285711</v>
      </c>
      <c r="I325">
        <f>'[3]LCIA-Elec'!BM115</f>
        <v>6.7371142857142852</v>
      </c>
      <c r="J325">
        <f>'[3]LCIA-Elec'!BN115</f>
        <v>5.2170385714285714E-3</v>
      </c>
      <c r="K325">
        <f>'[3]LCIA-Elec'!BO115</f>
        <v>0.66923714285714286</v>
      </c>
      <c r="L325">
        <f>'[3]LCIA-Elec'!BP115</f>
        <v>3.7983594285714286E-3</v>
      </c>
      <c r="M325">
        <f>'[3]LCIA-Elec'!BQ115</f>
        <v>0.10961583828571429</v>
      </c>
      <c r="N325">
        <f>'[3]LCIA-Elec'!BR115</f>
        <v>1.74925</v>
      </c>
      <c r="O325">
        <f>'[3]LCIA-Elec'!BS115</f>
        <v>9.5519428571428575E-2</v>
      </c>
      <c r="P325">
        <f>'[3]LCIA-Elec'!BT115</f>
        <v>9.6831749505714289</v>
      </c>
      <c r="Q325">
        <f>'[3]LCIA-Elec'!BU115</f>
        <v>4.8306285714285711E-2</v>
      </c>
      <c r="R325">
        <f>'[3]LCIA-Elec'!BV115</f>
        <v>0.55196285714285709</v>
      </c>
      <c r="S325">
        <f>'[3]LCIA-Elec'!BW115</f>
        <v>0.16736628571428572</v>
      </c>
      <c r="T325">
        <f>'[3]LCIA-Elec'!BX115</f>
        <v>2.5493714285714286E-2</v>
      </c>
      <c r="U325">
        <f>'[3]LCIA-Elec'!BY115</f>
        <v>1.7687742857142857E-4</v>
      </c>
      <c r="V325">
        <f>'[3]LCIA-Elec'!BZ115</f>
        <v>0.15282485714285715</v>
      </c>
      <c r="W325">
        <f>'[3]LCIA-Elec'!CA115</f>
        <v>4.3830285714285711E-2</v>
      </c>
      <c r="X325">
        <f>'[3]LCIA-Elec'!CB115</f>
        <v>2.1926285714285714E-2</v>
      </c>
      <c r="Y325">
        <f>'[3]LCIA-Elec'!CC115</f>
        <v>1.220817142857143E-4</v>
      </c>
      <c r="Z325">
        <f>'[3]LCIA-Elec'!CD115</f>
        <v>1.1629771428571427E-2</v>
      </c>
      <c r="AA325">
        <f>'[3]LCIA-Elec'!CE115</f>
        <v>-2.7671085714285716E-5</v>
      </c>
      <c r="AB325">
        <f>'[3]LCIA-Elec'!CF115</f>
        <v>1.2982599999999999E-8</v>
      </c>
      <c r="AC325">
        <f>'[3]LCIA-Elec'!CG115</f>
        <v>1.1035314285714286E-3</v>
      </c>
      <c r="AD325">
        <f>'[3]LCIA-Elec'!CH115</f>
        <v>1.3951428571428572E-3</v>
      </c>
      <c r="AE325">
        <f>'[3]LCIA-Elec'!CI115</f>
        <v>2.1222971428571428E-3</v>
      </c>
      <c r="AF325">
        <f>'[3]LCIA-Elec'!CJ115</f>
        <v>3.1342142857142856E-5</v>
      </c>
      <c r="AG325">
        <f>'[3]LCIA-Elec'!CK115</f>
        <v>2.4813314285714286E-3</v>
      </c>
      <c r="AH325">
        <f>'[3]LCIA-Elec'!CL115</f>
        <v>1.3173557142857143E-2</v>
      </c>
    </row>
    <row r="326" spans="2:34" x14ac:dyDescent="0.25">
      <c r="B326" t="str">
        <f>'[3]6_Hub_5000km'!Y386</f>
        <v>Heathrow Airport</v>
      </c>
      <c r="C326" t="str">
        <f>C318</f>
        <v>market for electricity, low voltage, GB</v>
      </c>
      <c r="D326">
        <f>'[3]6_Hub_5000km'!$Z386/$A$3</f>
        <v>6.0052219321148827E-2</v>
      </c>
      <c r="E326" t="str">
        <f t="shared" ref="E326:AH326" si="264">E318</f>
        <v>kWh</v>
      </c>
      <c r="F326" t="str">
        <f t="shared" si="264"/>
        <v>Ecoinvent v3.7.1</v>
      </c>
      <c r="G326">
        <f t="shared" si="264"/>
        <v>0.34189999999999998</v>
      </c>
      <c r="H326">
        <f t="shared" si="264"/>
        <v>0.59848000000000001</v>
      </c>
      <c r="I326">
        <f t="shared" si="264"/>
        <v>5.4097</v>
      </c>
      <c r="J326">
        <f t="shared" si="264"/>
        <v>4.1463999999999997E-4</v>
      </c>
      <c r="K326">
        <f t="shared" si="264"/>
        <v>3.8357000000000001</v>
      </c>
      <c r="L326">
        <f t="shared" si="264"/>
        <v>6.2281999999999998E-5</v>
      </c>
      <c r="M326">
        <f t="shared" si="264"/>
        <v>0.24073</v>
      </c>
      <c r="N326">
        <f t="shared" si="264"/>
        <v>0.10517</v>
      </c>
      <c r="O326">
        <f t="shared" si="264"/>
        <v>0.60631000000000002</v>
      </c>
      <c r="P326">
        <f t="shared" si="264"/>
        <v>10.796566922</v>
      </c>
      <c r="Q326">
        <f t="shared" si="264"/>
        <v>7.8466999999999995E-2</v>
      </c>
      <c r="R326">
        <f t="shared" si="264"/>
        <v>0.33939999999999998</v>
      </c>
      <c r="S326">
        <f t="shared" si="264"/>
        <v>0.14854999999999999</v>
      </c>
      <c r="T326">
        <f t="shared" si="264"/>
        <v>2.3748999999999999E-2</v>
      </c>
      <c r="U326">
        <f t="shared" si="264"/>
        <v>7.3054999999999998E-5</v>
      </c>
      <c r="V326">
        <f t="shared" si="264"/>
        <v>7.6856999999999995E-2</v>
      </c>
      <c r="W326">
        <f t="shared" si="264"/>
        <v>0.30257000000000001</v>
      </c>
      <c r="X326">
        <f t="shared" si="264"/>
        <v>2.0723999999999999E-2</v>
      </c>
      <c r="Y326">
        <f t="shared" si="264"/>
        <v>5.4033999999999998E-5</v>
      </c>
      <c r="Z326">
        <f t="shared" si="264"/>
        <v>1.2272E-2</v>
      </c>
      <c r="AA326">
        <f t="shared" si="264"/>
        <v>-9.9321999999999995E-6</v>
      </c>
      <c r="AB326">
        <f t="shared" si="264"/>
        <v>1.9069E-8</v>
      </c>
      <c r="AC326">
        <f t="shared" si="264"/>
        <v>3.0650000000000002E-4</v>
      </c>
      <c r="AD326">
        <f t="shared" si="264"/>
        <v>7.0107999999999998E-4</v>
      </c>
      <c r="AE326">
        <f t="shared" si="264"/>
        <v>8.7219000000000001E-4</v>
      </c>
      <c r="AF326">
        <f t="shared" si="264"/>
        <v>1.9445000000000001E-5</v>
      </c>
      <c r="AG326">
        <f t="shared" si="264"/>
        <v>3.4037E-3</v>
      </c>
      <c r="AH326">
        <f t="shared" si="264"/>
        <v>1.7122000000000001E-3</v>
      </c>
    </row>
    <row r="327" spans="2:34" x14ac:dyDescent="0.25">
      <c r="B327" t="str">
        <f>'[3]6_Hub_5000km'!Y387</f>
        <v>Newark Liberty International Airport</v>
      </c>
      <c r="C327" t="str">
        <f>C319</f>
        <v>market for electricity, low voltage, US-RFC</v>
      </c>
      <c r="D327">
        <f>'[3]6_Hub_5000km'!$Z387/$A$3</f>
        <v>0.37597911227154046</v>
      </c>
      <c r="E327" t="str">
        <f t="shared" ref="E327:AH327" si="265">E319</f>
        <v>kWh</v>
      </c>
      <c r="F327" t="str">
        <f t="shared" si="265"/>
        <v>Ecoinvent v3.7.1</v>
      </c>
      <c r="G327">
        <f t="shared" si="265"/>
        <v>0.61436999999999997</v>
      </c>
      <c r="H327">
        <f t="shared" si="265"/>
        <v>8.2399E-2</v>
      </c>
      <c r="I327">
        <f t="shared" si="265"/>
        <v>6.7473999999999998</v>
      </c>
      <c r="J327">
        <f t="shared" si="265"/>
        <v>4.0428000000000003E-4</v>
      </c>
      <c r="K327">
        <f t="shared" si="265"/>
        <v>4.3425000000000002</v>
      </c>
      <c r="L327">
        <f t="shared" si="265"/>
        <v>1.3322000000000001E-5</v>
      </c>
      <c r="M327">
        <f t="shared" si="265"/>
        <v>1.5082999999999999E-2</v>
      </c>
      <c r="N327">
        <f t="shared" si="265"/>
        <v>6.8917000000000006E-2</v>
      </c>
      <c r="O327">
        <f t="shared" si="265"/>
        <v>0.1275</v>
      </c>
      <c r="P327">
        <f t="shared" si="265"/>
        <v>11.384216602</v>
      </c>
      <c r="Q327">
        <f t="shared" si="265"/>
        <v>1.3875999999999999E-2</v>
      </c>
      <c r="R327">
        <f t="shared" si="265"/>
        <v>0.60836999999999997</v>
      </c>
      <c r="S327">
        <f t="shared" si="265"/>
        <v>0.16855999999999999</v>
      </c>
      <c r="T327">
        <f t="shared" si="265"/>
        <v>2.7827999999999999E-2</v>
      </c>
      <c r="U327">
        <f t="shared" si="265"/>
        <v>3.4965000000000002E-4</v>
      </c>
      <c r="V327">
        <f t="shared" si="265"/>
        <v>0.24507000000000001</v>
      </c>
      <c r="W327">
        <f t="shared" si="265"/>
        <v>0.28216999999999998</v>
      </c>
      <c r="X327">
        <f t="shared" si="265"/>
        <v>2.3791E-2</v>
      </c>
      <c r="Y327">
        <f t="shared" si="265"/>
        <v>1.1882E-4</v>
      </c>
      <c r="Z327">
        <f t="shared" si="265"/>
        <v>1.1622E-2</v>
      </c>
      <c r="AA327">
        <f t="shared" si="265"/>
        <v>-2.4247999999999999E-5</v>
      </c>
      <c r="AB327">
        <f t="shared" si="265"/>
        <v>1.8053E-8</v>
      </c>
      <c r="AC327">
        <f t="shared" si="265"/>
        <v>1.1259E-3</v>
      </c>
      <c r="AD327">
        <f t="shared" si="265"/>
        <v>9.8528999999999999E-4</v>
      </c>
      <c r="AE327">
        <f t="shared" si="265"/>
        <v>1.8718000000000001E-3</v>
      </c>
      <c r="AF327">
        <f t="shared" si="265"/>
        <v>2.6829999999999999E-5</v>
      </c>
      <c r="AG327">
        <f t="shared" si="265"/>
        <v>2.5512999999999998E-3</v>
      </c>
      <c r="AH327">
        <f t="shared" si="265"/>
        <v>2.2418E-3</v>
      </c>
    </row>
    <row r="328" spans="2:34" x14ac:dyDescent="0.25">
      <c r="B328" t="str">
        <f>'[3]6_Hub_5000km'!Y388</f>
        <v>Seattle-Tacoma International Airport</v>
      </c>
      <c r="C328" t="str">
        <f>C320</f>
        <v>market for electricity, low voltage, US-WECC</v>
      </c>
      <c r="D328">
        <f>'[3]6_Hub_5000km'!$Z388/$A$3</f>
        <v>0.13315926892950392</v>
      </c>
      <c r="E328" t="str">
        <f t="shared" ref="E328:AH328" si="266">E320</f>
        <v>kWh</v>
      </c>
      <c r="F328" t="str">
        <f t="shared" si="266"/>
        <v>Ecoinvent v3.7.1</v>
      </c>
      <c r="G328">
        <f t="shared" si="266"/>
        <v>0.41233999999999998</v>
      </c>
      <c r="H328">
        <f t="shared" si="266"/>
        <v>0.16356000000000001</v>
      </c>
      <c r="I328">
        <f t="shared" si="266"/>
        <v>5.2107000000000001</v>
      </c>
      <c r="J328">
        <f t="shared" si="266"/>
        <v>0.15804000000000001</v>
      </c>
      <c r="K328">
        <f t="shared" si="266"/>
        <v>1.1274</v>
      </c>
      <c r="L328">
        <f t="shared" si="266"/>
        <v>1.7768999999999999E-5</v>
      </c>
      <c r="M328">
        <f t="shared" si="266"/>
        <v>0.32883000000000001</v>
      </c>
      <c r="N328">
        <f t="shared" si="266"/>
        <v>1.0143</v>
      </c>
      <c r="O328">
        <f t="shared" si="266"/>
        <v>0.29749999999999999</v>
      </c>
      <c r="P328">
        <f t="shared" si="266"/>
        <v>8.300347769</v>
      </c>
      <c r="Q328">
        <f t="shared" si="266"/>
        <v>2.4857000000000001E-2</v>
      </c>
      <c r="R328">
        <f t="shared" si="266"/>
        <v>0.40821000000000002</v>
      </c>
      <c r="S328">
        <f t="shared" si="266"/>
        <v>0.13331000000000001</v>
      </c>
      <c r="T328">
        <f t="shared" si="266"/>
        <v>2.9420000000000002E-2</v>
      </c>
      <c r="U328">
        <f t="shared" si="266"/>
        <v>4.3196E-4</v>
      </c>
      <c r="V328">
        <f t="shared" si="266"/>
        <v>0.27927000000000002</v>
      </c>
      <c r="W328">
        <f t="shared" si="266"/>
        <v>7.3639999999999997E-2</v>
      </c>
      <c r="X328">
        <f t="shared" si="266"/>
        <v>2.5277999999999998E-2</v>
      </c>
      <c r="Y328">
        <f t="shared" si="266"/>
        <v>1.1887000000000001E-4</v>
      </c>
      <c r="Z328">
        <f t="shared" si="266"/>
        <v>1.1467E-2</v>
      </c>
      <c r="AA328">
        <f t="shared" si="266"/>
        <v>-1.4652E-5</v>
      </c>
      <c r="AB328">
        <f t="shared" si="266"/>
        <v>1.7493E-8</v>
      </c>
      <c r="AC328">
        <f t="shared" si="266"/>
        <v>1.5398E-3</v>
      </c>
      <c r="AD328">
        <f t="shared" si="266"/>
        <v>6.7785999999999996E-4</v>
      </c>
      <c r="AE328">
        <f t="shared" si="266"/>
        <v>7.8450000000000004E-4</v>
      </c>
      <c r="AF328">
        <f t="shared" si="266"/>
        <v>3.1801999999999998E-5</v>
      </c>
      <c r="AG328">
        <f t="shared" si="266"/>
        <v>2.3995000000000002E-3</v>
      </c>
      <c r="AH328">
        <f t="shared" si="266"/>
        <v>3.0509000000000001E-3</v>
      </c>
    </row>
    <row r="329" spans="2:34" x14ac:dyDescent="0.25">
      <c r="B329" t="str">
        <f>'[3]6_Hub_5000km'!Y389</f>
        <v>O'Hare International Airport</v>
      </c>
      <c r="C329" t="str">
        <f>C321</f>
        <v>market for electricity, low voltage, US-RFC</v>
      </c>
      <c r="D329">
        <f>'[3]6_Hub_5000km'!$Z389/$A$3</f>
        <v>0.25848563968668409</v>
      </c>
      <c r="E329" t="str">
        <f t="shared" ref="E329:AH329" si="267">E321</f>
        <v>kWh</v>
      </c>
      <c r="F329" t="str">
        <f t="shared" si="267"/>
        <v>Ecoinvent v3.7.1</v>
      </c>
      <c r="G329">
        <f t="shared" si="267"/>
        <v>0.61436999999999997</v>
      </c>
      <c r="H329">
        <f t="shared" si="267"/>
        <v>8.2399E-2</v>
      </c>
      <c r="I329">
        <f t="shared" si="267"/>
        <v>6.7473999999999998</v>
      </c>
      <c r="J329">
        <f t="shared" si="267"/>
        <v>4.0428000000000003E-4</v>
      </c>
      <c r="K329">
        <f t="shared" si="267"/>
        <v>4.3425000000000002</v>
      </c>
      <c r="L329">
        <f t="shared" si="267"/>
        <v>1.3322000000000001E-5</v>
      </c>
      <c r="M329">
        <f t="shared" si="267"/>
        <v>1.5082999999999999E-2</v>
      </c>
      <c r="N329">
        <f t="shared" si="267"/>
        <v>6.8917000000000006E-2</v>
      </c>
      <c r="O329">
        <f t="shared" si="267"/>
        <v>0.1275</v>
      </c>
      <c r="P329">
        <f t="shared" si="267"/>
        <v>11.384216602</v>
      </c>
      <c r="Q329">
        <f t="shared" si="267"/>
        <v>1.3875999999999999E-2</v>
      </c>
      <c r="R329">
        <f t="shared" si="267"/>
        <v>0.60836999999999997</v>
      </c>
      <c r="S329">
        <f t="shared" si="267"/>
        <v>0.16855999999999999</v>
      </c>
      <c r="T329">
        <f t="shared" si="267"/>
        <v>2.7827999999999999E-2</v>
      </c>
      <c r="U329">
        <f t="shared" si="267"/>
        <v>3.4965000000000002E-4</v>
      </c>
      <c r="V329">
        <f t="shared" si="267"/>
        <v>0.24507000000000001</v>
      </c>
      <c r="W329">
        <f t="shared" si="267"/>
        <v>0.28216999999999998</v>
      </c>
      <c r="X329">
        <f t="shared" si="267"/>
        <v>2.3791E-2</v>
      </c>
      <c r="Y329">
        <f t="shared" si="267"/>
        <v>1.1882E-4</v>
      </c>
      <c r="Z329">
        <f t="shared" si="267"/>
        <v>1.1622E-2</v>
      </c>
      <c r="AA329">
        <f t="shared" si="267"/>
        <v>-2.4247999999999999E-5</v>
      </c>
      <c r="AB329">
        <f t="shared" si="267"/>
        <v>1.8053E-8</v>
      </c>
      <c r="AC329">
        <f t="shared" si="267"/>
        <v>1.1259E-3</v>
      </c>
      <c r="AD329">
        <f t="shared" si="267"/>
        <v>9.8528999999999999E-4</v>
      </c>
      <c r="AE329">
        <f t="shared" si="267"/>
        <v>1.8718000000000001E-3</v>
      </c>
      <c r="AF329">
        <f t="shared" si="267"/>
        <v>2.6829999999999999E-5</v>
      </c>
      <c r="AG329">
        <f t="shared" si="267"/>
        <v>2.5512999999999998E-3</v>
      </c>
      <c r="AH329">
        <f t="shared" si="267"/>
        <v>2.2418E-3</v>
      </c>
    </row>
    <row r="330" spans="2:34" x14ac:dyDescent="0.25">
      <c r="B330" t="str">
        <f>'[3]6_Hub_5000km'!Y390</f>
        <v>Denver International Airport</v>
      </c>
      <c r="C330" t="str">
        <f>C306</f>
        <v>market for electricity, low voltage, US-WECC</v>
      </c>
      <c r="D330">
        <f>'[3]6_Hub_5000km'!$Z390/$A$3</f>
        <v>0.12010443864229765</v>
      </c>
      <c r="E330" t="str">
        <f t="shared" ref="E330:AH330" si="268">E306</f>
        <v>kWh</v>
      </c>
      <c r="F330" t="str">
        <f t="shared" si="268"/>
        <v>Ecoinvent v3.7.1</v>
      </c>
      <c r="G330">
        <f t="shared" si="268"/>
        <v>0.41233999999999998</v>
      </c>
      <c r="H330">
        <f t="shared" si="268"/>
        <v>0.16356000000000001</v>
      </c>
      <c r="I330">
        <f t="shared" si="268"/>
        <v>5.2107000000000001</v>
      </c>
      <c r="J330">
        <f t="shared" si="268"/>
        <v>0.15804000000000001</v>
      </c>
      <c r="K330">
        <f t="shared" si="268"/>
        <v>1.1274</v>
      </c>
      <c r="L330">
        <f t="shared" si="268"/>
        <v>1.7768999999999999E-5</v>
      </c>
      <c r="M330">
        <f t="shared" si="268"/>
        <v>0.32883000000000001</v>
      </c>
      <c r="N330">
        <f t="shared" si="268"/>
        <v>1.0143</v>
      </c>
      <c r="O330">
        <f t="shared" si="268"/>
        <v>0.29749999999999999</v>
      </c>
      <c r="P330">
        <f t="shared" si="268"/>
        <v>8.300347769</v>
      </c>
      <c r="Q330">
        <f t="shared" si="268"/>
        <v>2.4857000000000001E-2</v>
      </c>
      <c r="R330">
        <f t="shared" si="268"/>
        <v>0.40821000000000002</v>
      </c>
      <c r="S330">
        <f t="shared" si="268"/>
        <v>0.13331000000000001</v>
      </c>
      <c r="T330">
        <f t="shared" si="268"/>
        <v>2.9420000000000002E-2</v>
      </c>
      <c r="U330">
        <f t="shared" si="268"/>
        <v>4.3196E-4</v>
      </c>
      <c r="V330">
        <f t="shared" si="268"/>
        <v>0.27927000000000002</v>
      </c>
      <c r="W330">
        <f t="shared" si="268"/>
        <v>7.3639999999999997E-2</v>
      </c>
      <c r="X330">
        <f t="shared" si="268"/>
        <v>2.5277999999999998E-2</v>
      </c>
      <c r="Y330">
        <f t="shared" si="268"/>
        <v>1.1887000000000001E-4</v>
      </c>
      <c r="Z330">
        <f t="shared" si="268"/>
        <v>1.1467E-2</v>
      </c>
      <c r="AA330">
        <f t="shared" si="268"/>
        <v>-1.4652E-5</v>
      </c>
      <c r="AB330">
        <f t="shared" si="268"/>
        <v>1.7493E-8</v>
      </c>
      <c r="AC330">
        <f t="shared" si="268"/>
        <v>1.5398E-3</v>
      </c>
      <c r="AD330">
        <f t="shared" si="268"/>
        <v>6.7785999999999996E-4</v>
      </c>
      <c r="AE330">
        <f t="shared" si="268"/>
        <v>7.8450000000000004E-4</v>
      </c>
      <c r="AF330">
        <f t="shared" si="268"/>
        <v>3.1801999999999998E-5</v>
      </c>
      <c r="AG330">
        <f t="shared" si="268"/>
        <v>2.3995000000000002E-3</v>
      </c>
      <c r="AH330">
        <f t="shared" si="268"/>
        <v>3.0509000000000001E-3</v>
      </c>
    </row>
    <row r="331" spans="2:34" x14ac:dyDescent="0.25">
      <c r="B331" t="str">
        <f>'[3]6_Hub_5000km'!Y391</f>
        <v>Istanbul International Airport</v>
      </c>
      <c r="C331" t="str">
        <f>C307</f>
        <v>market for electricity, low voltage, TR</v>
      </c>
      <c r="D331">
        <f>'[3]6_Hub_5000km'!$Z391/$A$3</f>
        <v>3.3942558746736295E-2</v>
      </c>
      <c r="E331" t="str">
        <f t="shared" ref="E331:AH331" si="269">E307</f>
        <v>kWh</v>
      </c>
      <c r="F331" t="str">
        <f t="shared" si="269"/>
        <v>Ecoinvent v3.7.1</v>
      </c>
      <c r="G331">
        <f t="shared" si="269"/>
        <v>0.66378999999999999</v>
      </c>
      <c r="H331">
        <f t="shared" si="269"/>
        <v>4.5117999999999998E-2</v>
      </c>
      <c r="I331">
        <f t="shared" si="269"/>
        <v>8.0196000000000005</v>
      </c>
      <c r="J331">
        <f t="shared" si="269"/>
        <v>0.17710999999999999</v>
      </c>
      <c r="K331">
        <f t="shared" si="269"/>
        <v>8.6892999999999998E-2</v>
      </c>
      <c r="L331">
        <f t="shared" si="269"/>
        <v>1.7516E-5</v>
      </c>
      <c r="M331">
        <f t="shared" si="269"/>
        <v>7.0689000000000002E-2</v>
      </c>
      <c r="N331">
        <f t="shared" si="269"/>
        <v>0.98448000000000002</v>
      </c>
      <c r="O331">
        <f t="shared" si="269"/>
        <v>0.30764000000000002</v>
      </c>
      <c r="P331">
        <f t="shared" si="269"/>
        <v>9.691547516</v>
      </c>
      <c r="Q331">
        <f t="shared" si="269"/>
        <v>1.2818E-2</v>
      </c>
      <c r="R331">
        <f t="shared" si="269"/>
        <v>0.65844000000000003</v>
      </c>
      <c r="S331">
        <f t="shared" si="269"/>
        <v>0.20329</v>
      </c>
      <c r="T331">
        <f t="shared" si="269"/>
        <v>3.3063000000000002E-2</v>
      </c>
      <c r="U331">
        <f t="shared" si="269"/>
        <v>6.5510999999999998E-4</v>
      </c>
      <c r="V331">
        <f t="shared" si="269"/>
        <v>0.42526000000000003</v>
      </c>
      <c r="W331">
        <f t="shared" si="269"/>
        <v>6.2426000000000001E-3</v>
      </c>
      <c r="X331">
        <f t="shared" si="269"/>
        <v>2.9009E-2</v>
      </c>
      <c r="Y331">
        <f t="shared" si="269"/>
        <v>1.9565000000000001E-4</v>
      </c>
      <c r="Z331">
        <f t="shared" si="269"/>
        <v>1.1086E-2</v>
      </c>
      <c r="AA331">
        <f t="shared" si="269"/>
        <v>-3.5899000000000003E-5</v>
      </c>
      <c r="AB331">
        <f t="shared" si="269"/>
        <v>1.5705000000000001E-8</v>
      </c>
      <c r="AC331">
        <f t="shared" si="269"/>
        <v>5.3892000000000002E-3</v>
      </c>
      <c r="AD331">
        <f t="shared" si="269"/>
        <v>1.7297E-3</v>
      </c>
      <c r="AE331">
        <f t="shared" si="269"/>
        <v>3.1383000000000001E-3</v>
      </c>
      <c r="AF331">
        <f t="shared" si="269"/>
        <v>2.2061000000000001E-5</v>
      </c>
      <c r="AG331">
        <f t="shared" si="269"/>
        <v>1.6031999999999999E-3</v>
      </c>
      <c r="AH331">
        <f t="shared" si="269"/>
        <v>4.9744000000000003E-3</v>
      </c>
    </row>
    <row r="332" spans="2:34" x14ac:dyDescent="0.25">
      <c r="B332" s="59" t="str">
        <f>C325</f>
        <v>6_Hub_5000km</v>
      </c>
      <c r="C332" s="59" t="s">
        <v>806</v>
      </c>
      <c r="D332" s="59">
        <f>SUM(D325:D331)</f>
        <v>1</v>
      </c>
      <c r="E332" s="59" t="s">
        <v>105</v>
      </c>
      <c r="F332" s="59"/>
      <c r="G332" s="59">
        <f>SUMPRODUCT($D325:$D331,G325:G331)</f>
        <v>0.54752182767624014</v>
      </c>
      <c r="H332" s="59">
        <f t="shared" ref="H332:AH332" si="270">SUMPRODUCT($D325:$D331,H325:H331)</f>
        <v>0.13690290078328982</v>
      </c>
      <c r="I332" s="59">
        <f t="shared" si="270"/>
        <v>6.3208715404699731</v>
      </c>
      <c r="J332" s="59">
        <f t="shared" si="270"/>
        <v>4.6414114960835515E-2</v>
      </c>
      <c r="K332" s="59">
        <f t="shared" si="270"/>
        <v>3.2862158459530026</v>
      </c>
      <c r="L332" s="59">
        <f t="shared" si="270"/>
        <v>8.6709005221932125E-5</v>
      </c>
      <c r="M332" s="59">
        <f t="shared" si="270"/>
        <v>0.11170949573890342</v>
      </c>
      <c r="N332" s="59">
        <f t="shared" si="270"/>
        <v>0.37231287467362922</v>
      </c>
      <c r="O332" s="59">
        <f t="shared" si="270"/>
        <v>0.20483834464751957</v>
      </c>
      <c r="P332" s="59">
        <f t="shared" si="270"/>
        <v>10.479351826232376</v>
      </c>
      <c r="Q332" s="59">
        <f t="shared" si="270"/>
        <v>2.1129284595300262E-2</v>
      </c>
      <c r="R332" s="59">
        <f t="shared" si="270"/>
        <v>0.54219305483028724</v>
      </c>
      <c r="S332" s="59">
        <f t="shared" si="270"/>
        <v>0.15958781723237597</v>
      </c>
      <c r="T332" s="59">
        <f t="shared" si="270"/>
        <v>2.8121268929503916E-2</v>
      </c>
      <c r="U332" s="59">
        <f t="shared" si="270"/>
        <v>3.6109636292428198E-4</v>
      </c>
      <c r="V332" s="59">
        <f t="shared" si="270"/>
        <v>0.24806022193211491</v>
      </c>
      <c r="W332" s="59">
        <f t="shared" si="270"/>
        <v>0.21686022402088773</v>
      </c>
      <c r="X332" s="59">
        <f t="shared" si="270"/>
        <v>2.4126454308093993E-2</v>
      </c>
      <c r="Y332" s="59">
        <f t="shared" si="270"/>
        <v>1.1760954046997392E-4</v>
      </c>
      <c r="Z332" s="59">
        <f t="shared" si="270"/>
        <v>1.1603726892950392E-2</v>
      </c>
      <c r="AA332" s="59">
        <f t="shared" si="270"/>
        <v>-2.1416013577023498E-5</v>
      </c>
      <c r="AB332" s="59">
        <f t="shared" si="270"/>
        <v>1.7799817754569191E-8</v>
      </c>
      <c r="AC332" s="59">
        <f t="shared" si="270"/>
        <v>1.3258175456919059E-3</v>
      </c>
      <c r="AD332" s="59">
        <f t="shared" si="270"/>
        <v>9.2311966057441258E-4</v>
      </c>
      <c r="AE332" s="59">
        <f t="shared" si="270"/>
        <v>1.5839640992167104E-3</v>
      </c>
      <c r="AF332" s="59">
        <f t="shared" si="270"/>
        <v>2.756633681462141E-5</v>
      </c>
      <c r="AG332" s="59">
        <f t="shared" si="270"/>
        <v>2.5305833420365535E-3</v>
      </c>
      <c r="AH332" s="59">
        <f t="shared" si="270"/>
        <v>2.7074605744125324E-3</v>
      </c>
    </row>
    <row r="333" spans="2:34" x14ac:dyDescent="0.25">
      <c r="B333" s="59" t="str">
        <f>B332</f>
        <v>6_Hub_5000km</v>
      </c>
      <c r="C333" s="59"/>
      <c r="D333" s="59"/>
      <c r="E333" s="59"/>
      <c r="F333" s="59"/>
      <c r="G333" s="59">
        <f>SUMPRODUCT($D326:$D331,G326:G331)/SUM($D326:$D331)</f>
        <v>0.54729218085106368</v>
      </c>
      <c r="H333" s="59">
        <f t="shared" ref="H333:AH333" si="271">SUMPRODUCT($D326:$D331,H326:H331)/SUM($D326:$D331)</f>
        <v>0.13361662499999999</v>
      </c>
      <c r="I333" s="59">
        <f t="shared" si="271"/>
        <v>6.3131223404255312</v>
      </c>
      <c r="J333" s="59">
        <f t="shared" si="271"/>
        <v>4.7181081808510633E-2</v>
      </c>
      <c r="K333" s="59">
        <f t="shared" si="271"/>
        <v>3.3349361941489368</v>
      </c>
      <c r="L333" s="59">
        <f t="shared" si="271"/>
        <v>1.7609130319148936E-5</v>
      </c>
      <c r="M333" s="59">
        <f t="shared" si="271"/>
        <v>0.11174847340425532</v>
      </c>
      <c r="N333" s="59">
        <f t="shared" si="271"/>
        <v>0.34667840691489366</v>
      </c>
      <c r="O333" s="59">
        <f t="shared" si="271"/>
        <v>0.20687353723404256</v>
      </c>
      <c r="P333" s="59">
        <f t="shared" si="271"/>
        <v>10.494174268066487</v>
      </c>
      <c r="Q333" s="59">
        <f t="shared" si="271"/>
        <v>2.0623329787234041E-2</v>
      </c>
      <c r="R333" s="59">
        <f t="shared" si="271"/>
        <v>0.54201117021276601</v>
      </c>
      <c r="S333" s="59">
        <f t="shared" si="271"/>
        <v>0.15944300531914893</v>
      </c>
      <c r="T333" s="59">
        <f t="shared" si="271"/>
        <v>2.8170186170212767E-2</v>
      </c>
      <c r="U333" s="59">
        <f t="shared" si="271"/>
        <v>3.6452597074468086E-4</v>
      </c>
      <c r="V333" s="59">
        <f t="shared" si="271"/>
        <v>0.2498332207446809</v>
      </c>
      <c r="W333" s="59">
        <f t="shared" si="271"/>
        <v>0.22008152606382975</v>
      </c>
      <c r="X333" s="59">
        <f t="shared" si="271"/>
        <v>2.4167414893617022E-2</v>
      </c>
      <c r="Y333" s="59">
        <f t="shared" si="271"/>
        <v>1.1752628191489364E-4</v>
      </c>
      <c r="Z333" s="59">
        <f t="shared" si="271"/>
        <v>1.1603242021276597E-2</v>
      </c>
      <c r="AA333" s="59">
        <f t="shared" si="271"/>
        <v>-2.1299562765957445E-5</v>
      </c>
      <c r="AB333" s="59">
        <f t="shared" si="271"/>
        <v>1.7889499999999999E-8</v>
      </c>
      <c r="AC333" s="59">
        <f t="shared" si="271"/>
        <v>1.3299558510638297E-3</v>
      </c>
      <c r="AD333" s="59">
        <f t="shared" si="271"/>
        <v>9.1433199468085114E-4</v>
      </c>
      <c r="AE333" s="59">
        <f t="shared" si="271"/>
        <v>1.5739419414893619E-3</v>
      </c>
      <c r="AF333" s="59">
        <f t="shared" si="271"/>
        <v>2.7496042553191486E-5</v>
      </c>
      <c r="AG333" s="59">
        <f t="shared" si="271"/>
        <v>2.5315002659574469E-3</v>
      </c>
      <c r="AH333" s="59">
        <f t="shared" si="271"/>
        <v>2.5126130319148938E-3</v>
      </c>
    </row>
    <row r="334" spans="2:34" x14ac:dyDescent="0.25">
      <c r="B334" t="s">
        <v>593</v>
      </c>
      <c r="C334" t="str">
        <f>'[3]LCIA-Elec'!BJ116</f>
        <v>1_Hub_10000km</v>
      </c>
      <c r="D334">
        <f>'[3]LCIA-Elec'!$AZ$68/$A$3</f>
        <v>0</v>
      </c>
      <c r="E334" t="s">
        <v>105</v>
      </c>
      <c r="F334" t="s">
        <v>829</v>
      </c>
      <c r="G334">
        <f>'[3]LCIA-Elec'!BK116</f>
        <v>0</v>
      </c>
      <c r="H334">
        <f>'[3]LCIA-Elec'!BL116</f>
        <v>0</v>
      </c>
      <c r="I334">
        <f>'[3]LCIA-Elec'!BM116</f>
        <v>0</v>
      </c>
      <c r="J334">
        <f>'[3]LCIA-Elec'!BN116</f>
        <v>0</v>
      </c>
      <c r="K334">
        <f>'[3]LCIA-Elec'!BO116</f>
        <v>0</v>
      </c>
      <c r="L334">
        <f>'[3]LCIA-Elec'!BP116</f>
        <v>0</v>
      </c>
      <c r="M334">
        <f>'[3]LCIA-Elec'!BQ116</f>
        <v>0</v>
      </c>
      <c r="N334">
        <f>'[3]LCIA-Elec'!BR116</f>
        <v>0</v>
      </c>
      <c r="O334">
        <f>'[3]LCIA-Elec'!BS116</f>
        <v>0</v>
      </c>
      <c r="P334">
        <f>'[3]LCIA-Elec'!BT116</f>
        <v>0</v>
      </c>
      <c r="Q334">
        <f>'[3]LCIA-Elec'!BU116</f>
        <v>0</v>
      </c>
      <c r="R334">
        <f>'[3]LCIA-Elec'!BV116</f>
        <v>0</v>
      </c>
      <c r="S334">
        <f>'[3]LCIA-Elec'!BW116</f>
        <v>0</v>
      </c>
      <c r="T334">
        <f>'[3]LCIA-Elec'!BX116</f>
        <v>0</v>
      </c>
      <c r="U334">
        <f>'[3]LCIA-Elec'!BY116</f>
        <v>0</v>
      </c>
      <c r="V334">
        <f>'[3]LCIA-Elec'!BZ116</f>
        <v>0</v>
      </c>
      <c r="W334">
        <f>'[3]LCIA-Elec'!CA116</f>
        <v>0</v>
      </c>
      <c r="X334">
        <f>'[3]LCIA-Elec'!CB116</f>
        <v>0</v>
      </c>
      <c r="Y334">
        <f>'[3]LCIA-Elec'!CC116</f>
        <v>0</v>
      </c>
      <c r="Z334">
        <f>'[3]LCIA-Elec'!CD116</f>
        <v>0</v>
      </c>
      <c r="AA334">
        <f>'[3]LCIA-Elec'!CE116</f>
        <v>0</v>
      </c>
      <c r="AB334">
        <f>'[3]LCIA-Elec'!CF116</f>
        <v>0</v>
      </c>
      <c r="AC334">
        <f>'[3]LCIA-Elec'!CG116</f>
        <v>0</v>
      </c>
      <c r="AD334">
        <f>'[3]LCIA-Elec'!CH116</f>
        <v>0</v>
      </c>
      <c r="AE334">
        <f>'[3]LCIA-Elec'!CI116</f>
        <v>0</v>
      </c>
      <c r="AF334">
        <f>'[3]LCIA-Elec'!CJ116</f>
        <v>0</v>
      </c>
      <c r="AG334">
        <f>'[3]LCIA-Elec'!CK116</f>
        <v>0</v>
      </c>
      <c r="AH334">
        <f>'[3]LCIA-Elec'!CL116</f>
        <v>0</v>
      </c>
    </row>
    <row r="335" spans="2:34" x14ac:dyDescent="0.25">
      <c r="B335" t="str">
        <f>'[3]1_Hub_10000km'!Y386</f>
        <v>Heathrow Airport</v>
      </c>
      <c r="C335" t="str">
        <f>C318</f>
        <v>market for electricity, low voltage, GB</v>
      </c>
      <c r="D335">
        <f>'[3]1_Hub_10000km'!$Z$386/$A$3</f>
        <v>1</v>
      </c>
      <c r="E335" t="str">
        <f t="shared" ref="E335:AH335" si="272">E318</f>
        <v>kWh</v>
      </c>
      <c r="F335" t="str">
        <f t="shared" si="272"/>
        <v>Ecoinvent v3.7.1</v>
      </c>
      <c r="G335">
        <f t="shared" si="272"/>
        <v>0.34189999999999998</v>
      </c>
      <c r="H335">
        <f t="shared" si="272"/>
        <v>0.59848000000000001</v>
      </c>
      <c r="I335">
        <f t="shared" si="272"/>
        <v>5.4097</v>
      </c>
      <c r="J335">
        <f t="shared" si="272"/>
        <v>4.1463999999999997E-4</v>
      </c>
      <c r="K335">
        <f t="shared" si="272"/>
        <v>3.8357000000000001</v>
      </c>
      <c r="L335">
        <f t="shared" si="272"/>
        <v>6.2281999999999998E-5</v>
      </c>
      <c r="M335">
        <f t="shared" si="272"/>
        <v>0.24073</v>
      </c>
      <c r="N335">
        <f t="shared" si="272"/>
        <v>0.10517</v>
      </c>
      <c r="O335">
        <f t="shared" si="272"/>
        <v>0.60631000000000002</v>
      </c>
      <c r="P335">
        <f t="shared" si="272"/>
        <v>10.796566922</v>
      </c>
      <c r="Q335">
        <f t="shared" si="272"/>
        <v>7.8466999999999995E-2</v>
      </c>
      <c r="R335">
        <f t="shared" si="272"/>
        <v>0.33939999999999998</v>
      </c>
      <c r="S335">
        <f t="shared" si="272"/>
        <v>0.14854999999999999</v>
      </c>
      <c r="T335">
        <f t="shared" si="272"/>
        <v>2.3748999999999999E-2</v>
      </c>
      <c r="U335">
        <f t="shared" si="272"/>
        <v>7.3054999999999998E-5</v>
      </c>
      <c r="V335">
        <f t="shared" si="272"/>
        <v>7.6856999999999995E-2</v>
      </c>
      <c r="W335">
        <f t="shared" si="272"/>
        <v>0.30257000000000001</v>
      </c>
      <c r="X335">
        <f t="shared" si="272"/>
        <v>2.0723999999999999E-2</v>
      </c>
      <c r="Y335">
        <f t="shared" si="272"/>
        <v>5.4033999999999998E-5</v>
      </c>
      <c r="Z335">
        <f t="shared" si="272"/>
        <v>1.2272E-2</v>
      </c>
      <c r="AA335">
        <f t="shared" si="272"/>
        <v>-9.9321999999999995E-6</v>
      </c>
      <c r="AB335">
        <f t="shared" si="272"/>
        <v>1.9069E-8</v>
      </c>
      <c r="AC335">
        <f t="shared" si="272"/>
        <v>3.0650000000000002E-4</v>
      </c>
      <c r="AD335">
        <f t="shared" si="272"/>
        <v>7.0107999999999998E-4</v>
      </c>
      <c r="AE335">
        <f t="shared" si="272"/>
        <v>8.7219000000000001E-4</v>
      </c>
      <c r="AF335">
        <f t="shared" si="272"/>
        <v>1.9445000000000001E-5</v>
      </c>
      <c r="AG335">
        <f t="shared" si="272"/>
        <v>3.4037E-3</v>
      </c>
      <c r="AH335">
        <f t="shared" si="272"/>
        <v>1.7122000000000001E-3</v>
      </c>
    </row>
    <row r="336" spans="2:34" x14ac:dyDescent="0.25">
      <c r="B336" s="59" t="str">
        <f>C334</f>
        <v>1_Hub_10000km</v>
      </c>
      <c r="C336" s="59" t="s">
        <v>806</v>
      </c>
      <c r="D336" s="59">
        <f>SUM(D334:D335)</f>
        <v>1</v>
      </c>
      <c r="E336" s="59" t="s">
        <v>105</v>
      </c>
      <c r="F336" s="59"/>
      <c r="G336" s="59">
        <f>SUMPRODUCT($D334:$D335,G334:G335)</f>
        <v>0.34189999999999998</v>
      </c>
      <c r="H336" s="59">
        <f t="shared" ref="H336:AH336" si="273">SUMPRODUCT($D334:$D335,H334:H335)</f>
        <v>0.59848000000000001</v>
      </c>
      <c r="I336" s="59">
        <f t="shared" si="273"/>
        <v>5.4097</v>
      </c>
      <c r="J336" s="59">
        <f t="shared" si="273"/>
        <v>4.1463999999999997E-4</v>
      </c>
      <c r="K336" s="59">
        <f t="shared" si="273"/>
        <v>3.8357000000000001</v>
      </c>
      <c r="L336" s="59">
        <f t="shared" si="273"/>
        <v>6.2281999999999998E-5</v>
      </c>
      <c r="M336" s="59">
        <f t="shared" si="273"/>
        <v>0.24073</v>
      </c>
      <c r="N336" s="59">
        <f t="shared" si="273"/>
        <v>0.10517</v>
      </c>
      <c r="O336" s="59">
        <f t="shared" si="273"/>
        <v>0.60631000000000002</v>
      </c>
      <c r="P336" s="59">
        <f t="shared" si="273"/>
        <v>10.796566922</v>
      </c>
      <c r="Q336" s="59">
        <f t="shared" si="273"/>
        <v>7.8466999999999995E-2</v>
      </c>
      <c r="R336" s="59">
        <f t="shared" si="273"/>
        <v>0.33939999999999998</v>
      </c>
      <c r="S336" s="59">
        <f t="shared" si="273"/>
        <v>0.14854999999999999</v>
      </c>
      <c r="T336" s="59">
        <f t="shared" si="273"/>
        <v>2.3748999999999999E-2</v>
      </c>
      <c r="U336" s="59">
        <f t="shared" si="273"/>
        <v>7.3054999999999998E-5</v>
      </c>
      <c r="V336" s="59">
        <f t="shared" si="273"/>
        <v>7.6856999999999995E-2</v>
      </c>
      <c r="W336" s="59">
        <f t="shared" si="273"/>
        <v>0.30257000000000001</v>
      </c>
      <c r="X336" s="59">
        <f t="shared" si="273"/>
        <v>2.0723999999999999E-2</v>
      </c>
      <c r="Y336" s="59">
        <f t="shared" si="273"/>
        <v>5.4033999999999998E-5</v>
      </c>
      <c r="Z336" s="59">
        <f t="shared" si="273"/>
        <v>1.2272E-2</v>
      </c>
      <c r="AA336" s="59">
        <f t="shared" si="273"/>
        <v>-9.9321999999999995E-6</v>
      </c>
      <c r="AB336" s="59">
        <f t="shared" si="273"/>
        <v>1.9069E-8</v>
      </c>
      <c r="AC336" s="59">
        <f t="shared" si="273"/>
        <v>3.0650000000000002E-4</v>
      </c>
      <c r="AD336" s="59">
        <f t="shared" si="273"/>
        <v>7.0107999999999998E-4</v>
      </c>
      <c r="AE336" s="59">
        <f t="shared" si="273"/>
        <v>8.7219000000000001E-4</v>
      </c>
      <c r="AF336" s="59">
        <f t="shared" si="273"/>
        <v>1.9445000000000001E-5</v>
      </c>
      <c r="AG336" s="59">
        <f t="shared" si="273"/>
        <v>3.4037E-3</v>
      </c>
      <c r="AH336" s="59">
        <f t="shared" si="273"/>
        <v>1.7122000000000001E-3</v>
      </c>
    </row>
    <row r="337" spans="2:34" x14ac:dyDescent="0.25">
      <c r="B337" t="s">
        <v>593</v>
      </c>
      <c r="C337" t="str">
        <f>'[3]LCIA-Elec'!BJ117</f>
        <v>2_Hub_10000km</v>
      </c>
      <c r="D337">
        <f>'[3]LCIA-Elec'!$BA$68/$A$3</f>
        <v>0</v>
      </c>
      <c r="E337" t="s">
        <v>105</v>
      </c>
      <c r="F337" t="s">
        <v>829</v>
      </c>
      <c r="G337">
        <f>'[3]LCIA-Elec'!BK117</f>
        <v>0</v>
      </c>
      <c r="H337">
        <f>'[3]LCIA-Elec'!BL117</f>
        <v>0</v>
      </c>
      <c r="I337">
        <f>'[3]LCIA-Elec'!BM117</f>
        <v>0</v>
      </c>
      <c r="J337">
        <f>'[3]LCIA-Elec'!BN117</f>
        <v>0</v>
      </c>
      <c r="K337">
        <f>'[3]LCIA-Elec'!BO117</f>
        <v>0</v>
      </c>
      <c r="L337">
        <f>'[3]LCIA-Elec'!BP117</f>
        <v>0</v>
      </c>
      <c r="M337">
        <f>'[3]LCIA-Elec'!BQ117</f>
        <v>0</v>
      </c>
      <c r="N337">
        <f>'[3]LCIA-Elec'!BR117</f>
        <v>0</v>
      </c>
      <c r="O337">
        <f>'[3]LCIA-Elec'!BS117</f>
        <v>0</v>
      </c>
      <c r="P337">
        <f>'[3]LCIA-Elec'!BT117</f>
        <v>0</v>
      </c>
      <c r="Q337">
        <f>'[3]LCIA-Elec'!BU117</f>
        <v>0</v>
      </c>
      <c r="R337">
        <f>'[3]LCIA-Elec'!BV117</f>
        <v>0</v>
      </c>
      <c r="S337">
        <f>'[3]LCIA-Elec'!BW117</f>
        <v>0</v>
      </c>
      <c r="T337">
        <f>'[3]LCIA-Elec'!BX117</f>
        <v>0</v>
      </c>
      <c r="U337">
        <f>'[3]LCIA-Elec'!BY117</f>
        <v>0</v>
      </c>
      <c r="V337">
        <f>'[3]LCIA-Elec'!BZ117</f>
        <v>0</v>
      </c>
      <c r="W337">
        <f>'[3]LCIA-Elec'!CA117</f>
        <v>0</v>
      </c>
      <c r="X337">
        <f>'[3]LCIA-Elec'!CB117</f>
        <v>0</v>
      </c>
      <c r="Y337">
        <f>'[3]LCIA-Elec'!CC117</f>
        <v>0</v>
      </c>
      <c r="Z337">
        <f>'[3]LCIA-Elec'!CD117</f>
        <v>0</v>
      </c>
      <c r="AA337">
        <f>'[3]LCIA-Elec'!CE117</f>
        <v>0</v>
      </c>
      <c r="AB337">
        <f>'[3]LCIA-Elec'!CF117</f>
        <v>0</v>
      </c>
      <c r="AC337">
        <f>'[3]LCIA-Elec'!CG117</f>
        <v>0</v>
      </c>
      <c r="AD337">
        <f>'[3]LCIA-Elec'!CH117</f>
        <v>0</v>
      </c>
      <c r="AE337">
        <f>'[3]LCIA-Elec'!CI117</f>
        <v>0</v>
      </c>
      <c r="AF337">
        <f>'[3]LCIA-Elec'!CJ117</f>
        <v>0</v>
      </c>
      <c r="AG337">
        <f>'[3]LCIA-Elec'!CK117</f>
        <v>0</v>
      </c>
      <c r="AH337">
        <f>'[3]LCIA-Elec'!CL117</f>
        <v>0</v>
      </c>
    </row>
    <row r="338" spans="2:34" x14ac:dyDescent="0.25">
      <c r="B338" t="str">
        <f>'[3]2_Hub_10000km'!Y386</f>
        <v>Flughafen Frankfurt/Main</v>
      </c>
      <c r="C338" t="str">
        <f>C250</f>
        <v>market for electricity, low voltage, DE</v>
      </c>
      <c r="D338">
        <f>'[3]2_Hub_10000km'!$Z386/$A$3</f>
        <v>0.10182767624020887</v>
      </c>
      <c r="E338" t="str">
        <f t="shared" ref="E338:AH338" si="274">E250</f>
        <v>kWh</v>
      </c>
      <c r="F338" t="str">
        <f t="shared" si="274"/>
        <v>Ecoinvent v3.7.1</v>
      </c>
      <c r="G338">
        <f t="shared" si="274"/>
        <v>0.54196</v>
      </c>
      <c r="H338">
        <f t="shared" si="274"/>
        <v>0.14645</v>
      </c>
      <c r="I338">
        <f t="shared" si="274"/>
        <v>6.0651000000000002</v>
      </c>
      <c r="J338">
        <f t="shared" si="274"/>
        <v>2.5809000000000001E-3</v>
      </c>
      <c r="K338">
        <f t="shared" si="274"/>
        <v>1.7815000000000001</v>
      </c>
      <c r="L338">
        <f t="shared" si="274"/>
        <v>3.0886999999999998E-5</v>
      </c>
      <c r="M338">
        <f t="shared" si="274"/>
        <v>0.46137</v>
      </c>
      <c r="N338">
        <f t="shared" si="274"/>
        <v>0.20688000000000001</v>
      </c>
      <c r="O338">
        <f t="shared" si="274"/>
        <v>0.72643999999999997</v>
      </c>
      <c r="P338">
        <f t="shared" si="274"/>
        <v>9.3903517870000002</v>
      </c>
      <c r="Q338">
        <f t="shared" si="274"/>
        <v>2.2039E-2</v>
      </c>
      <c r="R338">
        <f t="shared" si="274"/>
        <v>0.53620000000000001</v>
      </c>
      <c r="S338">
        <f t="shared" si="274"/>
        <v>0.14494000000000001</v>
      </c>
      <c r="T338">
        <f t="shared" si="274"/>
        <v>3.6583999999999998E-2</v>
      </c>
      <c r="U338">
        <f t="shared" si="274"/>
        <v>7.9215000000000004E-4</v>
      </c>
      <c r="V338">
        <f t="shared" si="274"/>
        <v>0.49026999999999998</v>
      </c>
      <c r="W338">
        <f t="shared" si="274"/>
        <v>9.1795000000000002E-2</v>
      </c>
      <c r="X338">
        <f t="shared" si="274"/>
        <v>3.2615999999999999E-2</v>
      </c>
      <c r="Y338">
        <f t="shared" si="274"/>
        <v>2.0006000000000001E-4</v>
      </c>
      <c r="Z338">
        <f t="shared" si="274"/>
        <v>1.4718E-2</v>
      </c>
      <c r="AA338">
        <f t="shared" si="274"/>
        <v>-2.1696E-5</v>
      </c>
      <c r="AB338">
        <f t="shared" si="274"/>
        <v>1.267E-8</v>
      </c>
      <c r="AC338">
        <f t="shared" si="274"/>
        <v>3.369E-4</v>
      </c>
      <c r="AD338">
        <f t="shared" si="274"/>
        <v>7.2397E-4</v>
      </c>
      <c r="AE338">
        <f t="shared" si="274"/>
        <v>9.6077000000000001E-4</v>
      </c>
      <c r="AF338">
        <f t="shared" si="274"/>
        <v>2.8184999999999999E-5</v>
      </c>
      <c r="AG338">
        <f t="shared" si="274"/>
        <v>3.2648999999999998E-3</v>
      </c>
      <c r="AH338">
        <f t="shared" si="274"/>
        <v>2.3346999999999999E-3</v>
      </c>
    </row>
    <row r="339" spans="2:34" x14ac:dyDescent="0.25">
      <c r="B339" t="str">
        <f>'[3]2_Hub_10000km'!Y387</f>
        <v>O'Hare International Airport</v>
      </c>
      <c r="C339" t="str">
        <f>C329</f>
        <v>market for electricity, low voltage, US-RFC</v>
      </c>
      <c r="D339">
        <f>'[3]2_Hub_10000km'!$Z387/$A$3</f>
        <v>0.89817232375979117</v>
      </c>
      <c r="E339" t="str">
        <f t="shared" ref="E339:AH339" si="275">E329</f>
        <v>kWh</v>
      </c>
      <c r="F339" t="str">
        <f t="shared" si="275"/>
        <v>Ecoinvent v3.7.1</v>
      </c>
      <c r="G339">
        <f t="shared" si="275"/>
        <v>0.61436999999999997</v>
      </c>
      <c r="H339">
        <f t="shared" si="275"/>
        <v>8.2399E-2</v>
      </c>
      <c r="I339">
        <f t="shared" si="275"/>
        <v>6.7473999999999998</v>
      </c>
      <c r="J339">
        <f t="shared" si="275"/>
        <v>4.0428000000000003E-4</v>
      </c>
      <c r="K339">
        <f t="shared" si="275"/>
        <v>4.3425000000000002</v>
      </c>
      <c r="L339">
        <f t="shared" si="275"/>
        <v>1.3322000000000001E-5</v>
      </c>
      <c r="M339">
        <f t="shared" si="275"/>
        <v>1.5082999999999999E-2</v>
      </c>
      <c r="N339">
        <f t="shared" si="275"/>
        <v>6.8917000000000006E-2</v>
      </c>
      <c r="O339">
        <f t="shared" si="275"/>
        <v>0.1275</v>
      </c>
      <c r="P339">
        <f t="shared" si="275"/>
        <v>11.384216602</v>
      </c>
      <c r="Q339">
        <f t="shared" si="275"/>
        <v>1.3875999999999999E-2</v>
      </c>
      <c r="R339">
        <f t="shared" si="275"/>
        <v>0.60836999999999997</v>
      </c>
      <c r="S339">
        <f t="shared" si="275"/>
        <v>0.16855999999999999</v>
      </c>
      <c r="T339">
        <f t="shared" si="275"/>
        <v>2.7827999999999999E-2</v>
      </c>
      <c r="U339">
        <f t="shared" si="275"/>
        <v>3.4965000000000002E-4</v>
      </c>
      <c r="V339">
        <f t="shared" si="275"/>
        <v>0.24507000000000001</v>
      </c>
      <c r="W339">
        <f t="shared" si="275"/>
        <v>0.28216999999999998</v>
      </c>
      <c r="X339">
        <f t="shared" si="275"/>
        <v>2.3791E-2</v>
      </c>
      <c r="Y339">
        <f t="shared" si="275"/>
        <v>1.1882E-4</v>
      </c>
      <c r="Z339">
        <f t="shared" si="275"/>
        <v>1.1622E-2</v>
      </c>
      <c r="AA339">
        <f t="shared" si="275"/>
        <v>-2.4247999999999999E-5</v>
      </c>
      <c r="AB339">
        <f t="shared" si="275"/>
        <v>1.8053E-8</v>
      </c>
      <c r="AC339">
        <f t="shared" si="275"/>
        <v>1.1259E-3</v>
      </c>
      <c r="AD339">
        <f t="shared" si="275"/>
        <v>9.8528999999999999E-4</v>
      </c>
      <c r="AE339">
        <f t="shared" si="275"/>
        <v>1.8718000000000001E-3</v>
      </c>
      <c r="AF339">
        <f t="shared" si="275"/>
        <v>2.6829999999999999E-5</v>
      </c>
      <c r="AG339">
        <f t="shared" si="275"/>
        <v>2.5512999999999998E-3</v>
      </c>
      <c r="AH339">
        <f t="shared" si="275"/>
        <v>2.2418E-3</v>
      </c>
    </row>
    <row r="340" spans="2:34" x14ac:dyDescent="0.25">
      <c r="B340" s="59" t="str">
        <f>C337</f>
        <v>2_Hub_10000km</v>
      </c>
      <c r="C340" s="59" t="s">
        <v>806</v>
      </c>
      <c r="D340" s="59">
        <f>SUM(D337:D339)</f>
        <v>1</v>
      </c>
      <c r="E340" s="59" t="s">
        <v>105</v>
      </c>
      <c r="F340" s="59"/>
      <c r="G340" s="59">
        <f>SUMPRODUCT($D337:$D339,G337:G339)</f>
        <v>0.60699665796344648</v>
      </c>
      <c r="H340" s="59">
        <f t="shared" ref="H340:AH340" si="276">SUMPRODUCT($D337:$D339,H337:H339)</f>
        <v>8.8921164490861626E-2</v>
      </c>
      <c r="I340" s="59">
        <f t="shared" si="276"/>
        <v>6.6779229765013053</v>
      </c>
      <c r="J340" s="59">
        <f t="shared" si="276"/>
        <v>6.2592015665796348E-4</v>
      </c>
      <c r="K340" s="59">
        <f t="shared" si="276"/>
        <v>4.0817193211488254</v>
      </c>
      <c r="L340" s="59">
        <f t="shared" si="276"/>
        <v>1.511060313315927E-5</v>
      </c>
      <c r="M340" s="59">
        <f t="shared" si="276"/>
        <v>6.0527368146214094E-2</v>
      </c>
      <c r="N340" s="59">
        <f t="shared" si="276"/>
        <v>8.2965451697127948E-2</v>
      </c>
      <c r="O340" s="59">
        <f t="shared" si="276"/>
        <v>0.18848866840731071</v>
      </c>
      <c r="P340" s="59">
        <f t="shared" si="276"/>
        <v>11.181185981151437</v>
      </c>
      <c r="Q340" s="59">
        <f t="shared" si="276"/>
        <v>1.4707219321148825E-2</v>
      </c>
      <c r="R340" s="59">
        <f t="shared" si="276"/>
        <v>0.6010210966057441</v>
      </c>
      <c r="S340" s="59">
        <f t="shared" si="276"/>
        <v>0.16615483028720626</v>
      </c>
      <c r="T340" s="59">
        <f t="shared" si="276"/>
        <v>2.8719603133159272E-2</v>
      </c>
      <c r="U340" s="59">
        <f t="shared" si="276"/>
        <v>3.947087467362925E-4</v>
      </c>
      <c r="V340" s="59">
        <f t="shared" si="276"/>
        <v>0.27003814621409922</v>
      </c>
      <c r="W340" s="59">
        <f t="shared" si="276"/>
        <v>0.26278455613577023</v>
      </c>
      <c r="X340" s="59">
        <f t="shared" si="276"/>
        <v>2.4689629242819845E-2</v>
      </c>
      <c r="Y340" s="59">
        <f t="shared" si="276"/>
        <v>1.2709248041775458E-4</v>
      </c>
      <c r="Z340" s="59">
        <f t="shared" si="276"/>
        <v>1.1937258485639687E-2</v>
      </c>
      <c r="AA340" s="59">
        <f t="shared" si="276"/>
        <v>-2.3988135770234988E-5</v>
      </c>
      <c r="AB340" s="59">
        <f t="shared" si="276"/>
        <v>1.7504861618798959E-8</v>
      </c>
      <c r="AC340" s="59">
        <f t="shared" si="276"/>
        <v>1.0455579634464753E-3</v>
      </c>
      <c r="AD340" s="59">
        <f t="shared" si="276"/>
        <v>9.5868039164490873E-4</v>
      </c>
      <c r="AE340" s="59">
        <f t="shared" si="276"/>
        <v>1.7790319321148828E-3</v>
      </c>
      <c r="AF340" s="59">
        <f t="shared" si="276"/>
        <v>2.6967976501305483E-5</v>
      </c>
      <c r="AG340" s="59">
        <f t="shared" si="276"/>
        <v>2.6239642297650129E-3</v>
      </c>
      <c r="AH340" s="59">
        <f t="shared" si="276"/>
        <v>2.2512597911227153E-3</v>
      </c>
    </row>
    <row r="341" spans="2:34" x14ac:dyDescent="0.25">
      <c r="B341" t="s">
        <v>593</v>
      </c>
      <c r="C341" t="str">
        <f>'[3]LCIA-Elec'!BJ118</f>
        <v>3_Hub_10000km</v>
      </c>
      <c r="D341">
        <f>'[3]LCIA-Elec'!$BB$68/$A$3</f>
        <v>0</v>
      </c>
      <c r="E341" t="s">
        <v>105</v>
      </c>
      <c r="F341" t="s">
        <v>829</v>
      </c>
      <c r="G341">
        <f>'[3]LCIA-Elec'!BK118</f>
        <v>0</v>
      </c>
      <c r="H341">
        <f>'[3]LCIA-Elec'!BL118</f>
        <v>0</v>
      </c>
      <c r="I341">
        <f>'[3]LCIA-Elec'!BM118</f>
        <v>0</v>
      </c>
      <c r="J341">
        <f>'[3]LCIA-Elec'!BN118</f>
        <v>0</v>
      </c>
      <c r="K341">
        <f>'[3]LCIA-Elec'!BO118</f>
        <v>0</v>
      </c>
      <c r="L341">
        <f>'[3]LCIA-Elec'!BP118</f>
        <v>0</v>
      </c>
      <c r="M341">
        <f>'[3]LCIA-Elec'!BQ118</f>
        <v>0</v>
      </c>
      <c r="N341">
        <f>'[3]LCIA-Elec'!BR118</f>
        <v>0</v>
      </c>
      <c r="O341">
        <f>'[3]LCIA-Elec'!BS118</f>
        <v>0</v>
      </c>
      <c r="P341">
        <f>'[3]LCIA-Elec'!BT118</f>
        <v>0</v>
      </c>
      <c r="Q341">
        <f>'[3]LCIA-Elec'!BU118</f>
        <v>0</v>
      </c>
      <c r="R341">
        <f>'[3]LCIA-Elec'!BV118</f>
        <v>0</v>
      </c>
      <c r="S341">
        <f>'[3]LCIA-Elec'!BW118</f>
        <v>0</v>
      </c>
      <c r="T341">
        <f>'[3]LCIA-Elec'!BX118</f>
        <v>0</v>
      </c>
      <c r="U341">
        <f>'[3]LCIA-Elec'!BY118</f>
        <v>0</v>
      </c>
      <c r="V341">
        <f>'[3]LCIA-Elec'!BZ118</f>
        <v>0</v>
      </c>
      <c r="W341">
        <f>'[3]LCIA-Elec'!CA118</f>
        <v>0</v>
      </c>
      <c r="X341">
        <f>'[3]LCIA-Elec'!CB118</f>
        <v>0</v>
      </c>
      <c r="Y341">
        <f>'[3]LCIA-Elec'!CC118</f>
        <v>0</v>
      </c>
      <c r="Z341">
        <f>'[3]LCIA-Elec'!CD118</f>
        <v>0</v>
      </c>
      <c r="AA341">
        <f>'[3]LCIA-Elec'!CE118</f>
        <v>0</v>
      </c>
      <c r="AB341">
        <f>'[3]LCIA-Elec'!CF118</f>
        <v>0</v>
      </c>
      <c r="AC341">
        <f>'[3]LCIA-Elec'!CG118</f>
        <v>0</v>
      </c>
      <c r="AD341">
        <f>'[3]LCIA-Elec'!CH118</f>
        <v>0</v>
      </c>
      <c r="AE341">
        <f>'[3]LCIA-Elec'!CI118</f>
        <v>0</v>
      </c>
      <c r="AF341">
        <f>'[3]LCIA-Elec'!CJ118</f>
        <v>0</v>
      </c>
      <c r="AG341">
        <f>'[3]LCIA-Elec'!CK118</f>
        <v>0</v>
      </c>
      <c r="AH341">
        <f>'[3]LCIA-Elec'!CL118</f>
        <v>0</v>
      </c>
    </row>
    <row r="342" spans="2:34" x14ac:dyDescent="0.25">
      <c r="B342" t="str">
        <f>'[3]3_Hub_10000km'!Y386</f>
        <v>Flughafen Frankfurt/Main</v>
      </c>
      <c r="C342" t="str">
        <f>C338</f>
        <v>market for electricity, low voltage, DE</v>
      </c>
      <c r="D342">
        <f>'[3]3_Hub_10000km'!$Z386/$A$3</f>
        <v>9.6605744125326368E-2</v>
      </c>
      <c r="E342" t="str">
        <f t="shared" ref="E342:AH342" si="277">E338</f>
        <v>kWh</v>
      </c>
      <c r="F342" t="str">
        <f t="shared" si="277"/>
        <v>Ecoinvent v3.7.1</v>
      </c>
      <c r="G342">
        <f t="shared" si="277"/>
        <v>0.54196</v>
      </c>
      <c r="H342">
        <f t="shared" si="277"/>
        <v>0.14645</v>
      </c>
      <c r="I342">
        <f t="shared" si="277"/>
        <v>6.0651000000000002</v>
      </c>
      <c r="J342">
        <f t="shared" si="277"/>
        <v>2.5809000000000001E-3</v>
      </c>
      <c r="K342">
        <f t="shared" si="277"/>
        <v>1.7815000000000001</v>
      </c>
      <c r="L342">
        <f t="shared" si="277"/>
        <v>3.0886999999999998E-5</v>
      </c>
      <c r="M342">
        <f t="shared" si="277"/>
        <v>0.46137</v>
      </c>
      <c r="N342">
        <f t="shared" si="277"/>
        <v>0.20688000000000001</v>
      </c>
      <c r="O342">
        <f t="shared" si="277"/>
        <v>0.72643999999999997</v>
      </c>
      <c r="P342">
        <f t="shared" si="277"/>
        <v>9.3903517870000002</v>
      </c>
      <c r="Q342">
        <f t="shared" si="277"/>
        <v>2.2039E-2</v>
      </c>
      <c r="R342">
        <f t="shared" si="277"/>
        <v>0.53620000000000001</v>
      </c>
      <c r="S342">
        <f t="shared" si="277"/>
        <v>0.14494000000000001</v>
      </c>
      <c r="T342">
        <f t="shared" si="277"/>
        <v>3.6583999999999998E-2</v>
      </c>
      <c r="U342">
        <f t="shared" si="277"/>
        <v>7.9215000000000004E-4</v>
      </c>
      <c r="V342">
        <f t="shared" si="277"/>
        <v>0.49026999999999998</v>
      </c>
      <c r="W342">
        <f t="shared" si="277"/>
        <v>9.1795000000000002E-2</v>
      </c>
      <c r="X342">
        <f t="shared" si="277"/>
        <v>3.2615999999999999E-2</v>
      </c>
      <c r="Y342">
        <f t="shared" si="277"/>
        <v>2.0006000000000001E-4</v>
      </c>
      <c r="Z342">
        <f t="shared" si="277"/>
        <v>1.4718E-2</v>
      </c>
      <c r="AA342">
        <f t="shared" si="277"/>
        <v>-2.1696E-5</v>
      </c>
      <c r="AB342">
        <f t="shared" si="277"/>
        <v>1.267E-8</v>
      </c>
      <c r="AC342">
        <f t="shared" si="277"/>
        <v>3.369E-4</v>
      </c>
      <c r="AD342">
        <f t="shared" si="277"/>
        <v>7.2397E-4</v>
      </c>
      <c r="AE342">
        <f t="shared" si="277"/>
        <v>9.6077000000000001E-4</v>
      </c>
      <c r="AF342">
        <f t="shared" si="277"/>
        <v>2.8184999999999999E-5</v>
      </c>
      <c r="AG342">
        <f t="shared" si="277"/>
        <v>3.2648999999999998E-3</v>
      </c>
      <c r="AH342">
        <f t="shared" si="277"/>
        <v>2.3346999999999999E-3</v>
      </c>
    </row>
    <row r="343" spans="2:34" x14ac:dyDescent="0.25">
      <c r="B343" t="str">
        <f>'[3]3_Hub_10000km'!Y387</f>
        <v>Newark Liberty International Airport</v>
      </c>
      <c r="C343" t="str">
        <f>C327</f>
        <v>market for electricity, low voltage, US-RFC</v>
      </c>
      <c r="D343">
        <f>'[3]3_Hub_10000km'!$Z387/$A$3</f>
        <v>0.57963446475195823</v>
      </c>
      <c r="E343" t="str">
        <f t="shared" ref="E343:AH343" si="278">E327</f>
        <v>kWh</v>
      </c>
      <c r="F343" t="str">
        <f t="shared" si="278"/>
        <v>Ecoinvent v3.7.1</v>
      </c>
      <c r="G343">
        <f t="shared" si="278"/>
        <v>0.61436999999999997</v>
      </c>
      <c r="H343">
        <f t="shared" si="278"/>
        <v>8.2399E-2</v>
      </c>
      <c r="I343">
        <f t="shared" si="278"/>
        <v>6.7473999999999998</v>
      </c>
      <c r="J343">
        <f t="shared" si="278"/>
        <v>4.0428000000000003E-4</v>
      </c>
      <c r="K343">
        <f t="shared" si="278"/>
        <v>4.3425000000000002</v>
      </c>
      <c r="L343">
        <f t="shared" si="278"/>
        <v>1.3322000000000001E-5</v>
      </c>
      <c r="M343">
        <f t="shared" si="278"/>
        <v>1.5082999999999999E-2</v>
      </c>
      <c r="N343">
        <f t="shared" si="278"/>
        <v>6.8917000000000006E-2</v>
      </c>
      <c r="O343">
        <f t="shared" si="278"/>
        <v>0.1275</v>
      </c>
      <c r="P343">
        <f t="shared" si="278"/>
        <v>11.384216602</v>
      </c>
      <c r="Q343">
        <f t="shared" si="278"/>
        <v>1.3875999999999999E-2</v>
      </c>
      <c r="R343">
        <f t="shared" si="278"/>
        <v>0.60836999999999997</v>
      </c>
      <c r="S343">
        <f t="shared" si="278"/>
        <v>0.16855999999999999</v>
      </c>
      <c r="T343">
        <f t="shared" si="278"/>
        <v>2.7827999999999999E-2</v>
      </c>
      <c r="U343">
        <f t="shared" si="278"/>
        <v>3.4965000000000002E-4</v>
      </c>
      <c r="V343">
        <f t="shared" si="278"/>
        <v>0.24507000000000001</v>
      </c>
      <c r="W343">
        <f t="shared" si="278"/>
        <v>0.28216999999999998</v>
      </c>
      <c r="X343">
        <f t="shared" si="278"/>
        <v>2.3791E-2</v>
      </c>
      <c r="Y343">
        <f t="shared" si="278"/>
        <v>1.1882E-4</v>
      </c>
      <c r="Z343">
        <f t="shared" si="278"/>
        <v>1.1622E-2</v>
      </c>
      <c r="AA343">
        <f t="shared" si="278"/>
        <v>-2.4247999999999999E-5</v>
      </c>
      <c r="AB343">
        <f t="shared" si="278"/>
        <v>1.8053E-8</v>
      </c>
      <c r="AC343">
        <f t="shared" si="278"/>
        <v>1.1259E-3</v>
      </c>
      <c r="AD343">
        <f t="shared" si="278"/>
        <v>9.8528999999999999E-4</v>
      </c>
      <c r="AE343">
        <f t="shared" si="278"/>
        <v>1.8718000000000001E-3</v>
      </c>
      <c r="AF343">
        <f t="shared" si="278"/>
        <v>2.6829999999999999E-5</v>
      </c>
      <c r="AG343">
        <f t="shared" si="278"/>
        <v>2.5512999999999998E-3</v>
      </c>
      <c r="AH343">
        <f t="shared" si="278"/>
        <v>2.2418E-3</v>
      </c>
    </row>
    <row r="344" spans="2:34" x14ac:dyDescent="0.25">
      <c r="B344" t="str">
        <f>'[3]3_Hub_10000km'!Y388</f>
        <v>Denver International Airport</v>
      </c>
      <c r="C344" t="str">
        <f>C330</f>
        <v>market for electricity, low voltage, US-WECC</v>
      </c>
      <c r="D344">
        <f>'[3]3_Hub_10000km'!$Z388/$A$3</f>
        <v>0.32375979112271541</v>
      </c>
      <c r="E344" t="str">
        <f t="shared" ref="E344:AH344" si="279">E330</f>
        <v>kWh</v>
      </c>
      <c r="F344" t="str">
        <f t="shared" si="279"/>
        <v>Ecoinvent v3.7.1</v>
      </c>
      <c r="G344">
        <f t="shared" si="279"/>
        <v>0.41233999999999998</v>
      </c>
      <c r="H344">
        <f t="shared" si="279"/>
        <v>0.16356000000000001</v>
      </c>
      <c r="I344">
        <f t="shared" si="279"/>
        <v>5.2107000000000001</v>
      </c>
      <c r="J344">
        <f t="shared" si="279"/>
        <v>0.15804000000000001</v>
      </c>
      <c r="K344">
        <f t="shared" si="279"/>
        <v>1.1274</v>
      </c>
      <c r="L344">
        <f t="shared" si="279"/>
        <v>1.7768999999999999E-5</v>
      </c>
      <c r="M344">
        <f t="shared" si="279"/>
        <v>0.32883000000000001</v>
      </c>
      <c r="N344">
        <f t="shared" si="279"/>
        <v>1.0143</v>
      </c>
      <c r="O344">
        <f t="shared" si="279"/>
        <v>0.29749999999999999</v>
      </c>
      <c r="P344">
        <f t="shared" si="279"/>
        <v>8.300347769</v>
      </c>
      <c r="Q344">
        <f t="shared" si="279"/>
        <v>2.4857000000000001E-2</v>
      </c>
      <c r="R344">
        <f t="shared" si="279"/>
        <v>0.40821000000000002</v>
      </c>
      <c r="S344">
        <f t="shared" si="279"/>
        <v>0.13331000000000001</v>
      </c>
      <c r="T344">
        <f t="shared" si="279"/>
        <v>2.9420000000000002E-2</v>
      </c>
      <c r="U344">
        <f t="shared" si="279"/>
        <v>4.3196E-4</v>
      </c>
      <c r="V344">
        <f t="shared" si="279"/>
        <v>0.27927000000000002</v>
      </c>
      <c r="W344">
        <f t="shared" si="279"/>
        <v>7.3639999999999997E-2</v>
      </c>
      <c r="X344">
        <f t="shared" si="279"/>
        <v>2.5277999999999998E-2</v>
      </c>
      <c r="Y344">
        <f t="shared" si="279"/>
        <v>1.1887000000000001E-4</v>
      </c>
      <c r="Z344">
        <f t="shared" si="279"/>
        <v>1.1467E-2</v>
      </c>
      <c r="AA344">
        <f t="shared" si="279"/>
        <v>-1.4652E-5</v>
      </c>
      <c r="AB344">
        <f t="shared" si="279"/>
        <v>1.7493E-8</v>
      </c>
      <c r="AC344">
        <f t="shared" si="279"/>
        <v>1.5398E-3</v>
      </c>
      <c r="AD344">
        <f t="shared" si="279"/>
        <v>6.7785999999999996E-4</v>
      </c>
      <c r="AE344">
        <f t="shared" si="279"/>
        <v>7.8450000000000004E-4</v>
      </c>
      <c r="AF344">
        <f t="shared" si="279"/>
        <v>3.1801999999999998E-5</v>
      </c>
      <c r="AG344">
        <f t="shared" si="279"/>
        <v>2.3995000000000002E-3</v>
      </c>
      <c r="AH344">
        <f t="shared" si="279"/>
        <v>3.0509000000000001E-3</v>
      </c>
    </row>
    <row r="345" spans="2:34" x14ac:dyDescent="0.25">
      <c r="B345" s="59" t="str">
        <f>C341</f>
        <v>3_Hub_10000km</v>
      </c>
      <c r="C345" s="59" t="s">
        <v>806</v>
      </c>
      <c r="D345" s="59">
        <f>SUM(D341:D344)</f>
        <v>1</v>
      </c>
      <c r="E345" s="59" t="s">
        <v>105</v>
      </c>
      <c r="F345" s="59"/>
      <c r="G345" s="59">
        <f>SUMPRODUCT($D341:$D344,G341:G344)</f>
        <v>0.5419655874673629</v>
      </c>
      <c r="H345" s="59">
        <f t="shared" ref="H345:AH345" si="280">SUMPRODUCT($D341:$D344,H341:H344)</f>
        <v>0.11486336292428198</v>
      </c>
      <c r="I345" s="59">
        <f t="shared" si="280"/>
        <v>6.1839642297650137</v>
      </c>
      <c r="J345" s="59">
        <f t="shared" si="280"/>
        <v>5.1650661775456928E-2</v>
      </c>
      <c r="K345" s="59">
        <f t="shared" si="280"/>
        <v>3.054172584856397</v>
      </c>
      <c r="L345" s="59">
        <f t="shared" si="280"/>
        <v>1.6458639686684073E-5</v>
      </c>
      <c r="M345" s="59">
        <f t="shared" si="280"/>
        <v>0.15977555091383813</v>
      </c>
      <c r="N345" s="59">
        <f t="shared" si="280"/>
        <v>0.38832202088772849</v>
      </c>
      <c r="O345" s="59">
        <f t="shared" si="280"/>
        <v>0.24040020887728458</v>
      </c>
      <c r="P345" s="59">
        <f t="shared" si="280"/>
        <v>10.193165078639687</v>
      </c>
      <c r="Q345" s="59">
        <f t="shared" si="280"/>
        <v>1.8219798955613577E-2</v>
      </c>
      <c r="R345" s="59">
        <f t="shared" si="280"/>
        <v>0.53659420365535249</v>
      </c>
      <c r="S345" s="59">
        <f t="shared" si="280"/>
        <v>0.15486563968668407</v>
      </c>
      <c r="T345" s="59">
        <f t="shared" si="280"/>
        <v>2.9189305483028723E-2</v>
      </c>
      <c r="U345" s="59">
        <f t="shared" si="280"/>
        <v>4.1904671018276764E-4</v>
      </c>
      <c r="V345" s="59">
        <f t="shared" si="280"/>
        <v>0.27983031331592689</v>
      </c>
      <c r="W345" s="59">
        <f t="shared" si="280"/>
        <v>0.19626505221932111</v>
      </c>
      <c r="X345" s="59">
        <f t="shared" si="280"/>
        <v>2.5124976501305483E-2</v>
      </c>
      <c r="Y345" s="59">
        <f t="shared" si="280"/>
        <v>1.2668443864229768E-4</v>
      </c>
      <c r="Z345" s="59">
        <f t="shared" si="280"/>
        <v>1.1870908616187991E-2</v>
      </c>
      <c r="AA345" s="59">
        <f t="shared" si="280"/>
        <v>-2.0894663185378589E-5</v>
      </c>
      <c r="AB345" s="59">
        <f t="shared" si="280"/>
        <v>1.7351665796344647E-8</v>
      </c>
      <c r="AC345" s="59">
        <f t="shared" si="280"/>
        <v>1.1836822454308095E-3</v>
      </c>
      <c r="AD345" s="59">
        <f t="shared" si="280"/>
        <v>8.6051151436031335E-4</v>
      </c>
      <c r="AE345" s="59">
        <f t="shared" si="280"/>
        <v>1.4317652480417755E-3</v>
      </c>
      <c r="AF345" s="59">
        <f t="shared" si="280"/>
        <v>2.8570634464751955E-5</v>
      </c>
      <c r="AG345" s="59">
        <f t="shared" si="280"/>
        <v>2.5710911227154049E-3</v>
      </c>
      <c r="AH345" s="59">
        <f t="shared" si="280"/>
        <v>2.5127287206266318E-3</v>
      </c>
    </row>
    <row r="346" spans="2:34" x14ac:dyDescent="0.25">
      <c r="B346" t="s">
        <v>593</v>
      </c>
      <c r="C346" t="str">
        <f>'[3]LCIA-Elec'!BJ119</f>
        <v>4_Hub_10000km</v>
      </c>
      <c r="D346">
        <f>'[3]LCIA-Elec'!$BC$68/$A$3</f>
        <v>0</v>
      </c>
      <c r="E346" t="s">
        <v>105</v>
      </c>
      <c r="F346" t="s">
        <v>829</v>
      </c>
      <c r="G346">
        <f>'[3]LCIA-Elec'!BK119</f>
        <v>0</v>
      </c>
      <c r="H346">
        <f>'[3]LCIA-Elec'!BL119</f>
        <v>0</v>
      </c>
      <c r="I346">
        <f>'[3]LCIA-Elec'!BM119</f>
        <v>0</v>
      </c>
      <c r="J346">
        <f>'[3]LCIA-Elec'!BN119</f>
        <v>0</v>
      </c>
      <c r="K346">
        <f>'[3]LCIA-Elec'!BO119</f>
        <v>0</v>
      </c>
      <c r="L346">
        <f>'[3]LCIA-Elec'!BP119</f>
        <v>0</v>
      </c>
      <c r="M346">
        <f>'[3]LCIA-Elec'!BQ119</f>
        <v>0</v>
      </c>
      <c r="N346">
        <f>'[3]LCIA-Elec'!BR119</f>
        <v>0</v>
      </c>
      <c r="O346">
        <f>'[3]LCIA-Elec'!BS119</f>
        <v>0</v>
      </c>
      <c r="P346">
        <f>'[3]LCIA-Elec'!BT119</f>
        <v>0</v>
      </c>
      <c r="Q346">
        <f>'[3]LCIA-Elec'!BU119</f>
        <v>0</v>
      </c>
      <c r="R346">
        <f>'[3]LCIA-Elec'!BV119</f>
        <v>0</v>
      </c>
      <c r="S346">
        <f>'[3]LCIA-Elec'!BW119</f>
        <v>0</v>
      </c>
      <c r="T346">
        <f>'[3]LCIA-Elec'!BX119</f>
        <v>0</v>
      </c>
      <c r="U346">
        <f>'[3]LCIA-Elec'!BY119</f>
        <v>0</v>
      </c>
      <c r="V346">
        <f>'[3]LCIA-Elec'!BZ119</f>
        <v>0</v>
      </c>
      <c r="W346">
        <f>'[3]LCIA-Elec'!CA119</f>
        <v>0</v>
      </c>
      <c r="X346">
        <f>'[3]LCIA-Elec'!CB119</f>
        <v>0</v>
      </c>
      <c r="Y346">
        <f>'[3]LCIA-Elec'!CC119</f>
        <v>0</v>
      </c>
      <c r="Z346">
        <f>'[3]LCIA-Elec'!CD119</f>
        <v>0</v>
      </c>
      <c r="AA346">
        <f>'[3]LCIA-Elec'!CE119</f>
        <v>0</v>
      </c>
      <c r="AB346">
        <f>'[3]LCIA-Elec'!CF119</f>
        <v>0</v>
      </c>
      <c r="AC346">
        <f>'[3]LCIA-Elec'!CG119</f>
        <v>0</v>
      </c>
      <c r="AD346">
        <f>'[3]LCIA-Elec'!CH119</f>
        <v>0</v>
      </c>
      <c r="AE346">
        <f>'[3]LCIA-Elec'!CI119</f>
        <v>0</v>
      </c>
      <c r="AF346">
        <f>'[3]LCIA-Elec'!CJ119</f>
        <v>0</v>
      </c>
      <c r="AG346">
        <f>'[3]LCIA-Elec'!CK119</f>
        <v>0</v>
      </c>
      <c r="AH346">
        <f>'[3]LCIA-Elec'!CL119</f>
        <v>0</v>
      </c>
    </row>
    <row r="347" spans="2:34" x14ac:dyDescent="0.25">
      <c r="B347" t="str">
        <f>'[3]4_Hub_10000km'!Y386</f>
        <v>Flughafen Frankfurt/Main</v>
      </c>
      <c r="C347" t="str">
        <f>C342</f>
        <v>market for electricity, low voltage, DE</v>
      </c>
      <c r="D347">
        <f>'[3]4_Hub_10000km'!$Z386/$A$3</f>
        <v>9.6605744125326368E-2</v>
      </c>
      <c r="E347" t="str">
        <f t="shared" ref="E347:AH347" si="281">E342</f>
        <v>kWh</v>
      </c>
      <c r="F347" t="str">
        <f t="shared" si="281"/>
        <v>Ecoinvent v3.7.1</v>
      </c>
      <c r="G347">
        <f t="shared" si="281"/>
        <v>0.54196</v>
      </c>
      <c r="H347">
        <f t="shared" si="281"/>
        <v>0.14645</v>
      </c>
      <c r="I347">
        <f t="shared" si="281"/>
        <v>6.0651000000000002</v>
      </c>
      <c r="J347">
        <f t="shared" si="281"/>
        <v>2.5809000000000001E-3</v>
      </c>
      <c r="K347">
        <f t="shared" si="281"/>
        <v>1.7815000000000001</v>
      </c>
      <c r="L347">
        <f t="shared" si="281"/>
        <v>3.0886999999999998E-5</v>
      </c>
      <c r="M347">
        <f t="shared" si="281"/>
        <v>0.46137</v>
      </c>
      <c r="N347">
        <f t="shared" si="281"/>
        <v>0.20688000000000001</v>
      </c>
      <c r="O347">
        <f t="shared" si="281"/>
        <v>0.72643999999999997</v>
      </c>
      <c r="P347">
        <f t="shared" si="281"/>
        <v>9.3903517870000002</v>
      </c>
      <c r="Q347">
        <f t="shared" si="281"/>
        <v>2.2039E-2</v>
      </c>
      <c r="R347">
        <f t="shared" si="281"/>
        <v>0.53620000000000001</v>
      </c>
      <c r="S347">
        <f t="shared" si="281"/>
        <v>0.14494000000000001</v>
      </c>
      <c r="T347">
        <f t="shared" si="281"/>
        <v>3.6583999999999998E-2</v>
      </c>
      <c r="U347">
        <f t="shared" si="281"/>
        <v>7.9215000000000004E-4</v>
      </c>
      <c r="V347">
        <f t="shared" si="281"/>
        <v>0.49026999999999998</v>
      </c>
      <c r="W347">
        <f t="shared" si="281"/>
        <v>9.1795000000000002E-2</v>
      </c>
      <c r="X347">
        <f t="shared" si="281"/>
        <v>3.2615999999999999E-2</v>
      </c>
      <c r="Y347">
        <f t="shared" si="281"/>
        <v>2.0006000000000001E-4</v>
      </c>
      <c r="Z347">
        <f t="shared" si="281"/>
        <v>1.4718E-2</v>
      </c>
      <c r="AA347">
        <f t="shared" si="281"/>
        <v>-2.1696E-5</v>
      </c>
      <c r="AB347">
        <f t="shared" si="281"/>
        <v>1.267E-8</v>
      </c>
      <c r="AC347">
        <f t="shared" si="281"/>
        <v>3.369E-4</v>
      </c>
      <c r="AD347">
        <f t="shared" si="281"/>
        <v>7.2397E-4</v>
      </c>
      <c r="AE347">
        <f t="shared" si="281"/>
        <v>9.6077000000000001E-4</v>
      </c>
      <c r="AF347">
        <f t="shared" si="281"/>
        <v>2.8184999999999999E-5</v>
      </c>
      <c r="AG347">
        <f t="shared" si="281"/>
        <v>3.2648999999999998E-3</v>
      </c>
      <c r="AH347">
        <f t="shared" si="281"/>
        <v>2.3346999999999999E-3</v>
      </c>
    </row>
    <row r="348" spans="2:34" x14ac:dyDescent="0.25">
      <c r="B348" t="str">
        <f>'[3]4_Hub_10000km'!Y387</f>
        <v>Newark Liberty International Airport</v>
      </c>
      <c r="C348" t="str">
        <f>C343</f>
        <v>market for electricity, low voltage, US-RFC</v>
      </c>
      <c r="D348">
        <f>'[3]4_Hub_10000km'!$Z387/$A$3</f>
        <v>0.38642297650130547</v>
      </c>
      <c r="E348" t="str">
        <f t="shared" ref="E348:AH348" si="282">E343</f>
        <v>kWh</v>
      </c>
      <c r="F348" t="str">
        <f t="shared" si="282"/>
        <v>Ecoinvent v3.7.1</v>
      </c>
      <c r="G348">
        <f t="shared" si="282"/>
        <v>0.61436999999999997</v>
      </c>
      <c r="H348">
        <f t="shared" si="282"/>
        <v>8.2399E-2</v>
      </c>
      <c r="I348">
        <f t="shared" si="282"/>
        <v>6.7473999999999998</v>
      </c>
      <c r="J348">
        <f t="shared" si="282"/>
        <v>4.0428000000000003E-4</v>
      </c>
      <c r="K348">
        <f t="shared" si="282"/>
        <v>4.3425000000000002</v>
      </c>
      <c r="L348">
        <f t="shared" si="282"/>
        <v>1.3322000000000001E-5</v>
      </c>
      <c r="M348">
        <f t="shared" si="282"/>
        <v>1.5082999999999999E-2</v>
      </c>
      <c r="N348">
        <f t="shared" si="282"/>
        <v>6.8917000000000006E-2</v>
      </c>
      <c r="O348">
        <f t="shared" si="282"/>
        <v>0.1275</v>
      </c>
      <c r="P348">
        <f t="shared" si="282"/>
        <v>11.384216602</v>
      </c>
      <c r="Q348">
        <f t="shared" si="282"/>
        <v>1.3875999999999999E-2</v>
      </c>
      <c r="R348">
        <f t="shared" si="282"/>
        <v>0.60836999999999997</v>
      </c>
      <c r="S348">
        <f t="shared" si="282"/>
        <v>0.16855999999999999</v>
      </c>
      <c r="T348">
        <f t="shared" si="282"/>
        <v>2.7827999999999999E-2</v>
      </c>
      <c r="U348">
        <f t="shared" si="282"/>
        <v>3.4965000000000002E-4</v>
      </c>
      <c r="V348">
        <f t="shared" si="282"/>
        <v>0.24507000000000001</v>
      </c>
      <c r="W348">
        <f t="shared" si="282"/>
        <v>0.28216999999999998</v>
      </c>
      <c r="X348">
        <f t="shared" si="282"/>
        <v>2.3791E-2</v>
      </c>
      <c r="Y348">
        <f t="shared" si="282"/>
        <v>1.1882E-4</v>
      </c>
      <c r="Z348">
        <f t="shared" si="282"/>
        <v>1.1622E-2</v>
      </c>
      <c r="AA348">
        <f t="shared" si="282"/>
        <v>-2.4247999999999999E-5</v>
      </c>
      <c r="AB348">
        <f t="shared" si="282"/>
        <v>1.8053E-8</v>
      </c>
      <c r="AC348">
        <f t="shared" si="282"/>
        <v>1.1259E-3</v>
      </c>
      <c r="AD348">
        <f t="shared" si="282"/>
        <v>9.8528999999999999E-4</v>
      </c>
      <c r="AE348">
        <f t="shared" si="282"/>
        <v>1.8718000000000001E-3</v>
      </c>
      <c r="AF348">
        <f t="shared" si="282"/>
        <v>2.6829999999999999E-5</v>
      </c>
      <c r="AG348">
        <f t="shared" si="282"/>
        <v>2.5512999999999998E-3</v>
      </c>
      <c r="AH348">
        <f t="shared" si="282"/>
        <v>2.2418E-3</v>
      </c>
    </row>
    <row r="349" spans="2:34" x14ac:dyDescent="0.25">
      <c r="B349" t="str">
        <f>'[3]4_Hub_10000km'!Y388</f>
        <v>Seattle-Tacoma International Airport</v>
      </c>
      <c r="C349" t="str">
        <f>C328</f>
        <v>market for electricity, low voltage, US-WECC</v>
      </c>
      <c r="D349">
        <f>'[3]4_Hub_10000km'!$Z388/$A$3</f>
        <v>0.17493472584856398</v>
      </c>
      <c r="E349" t="str">
        <f t="shared" ref="E349:AH349" si="283">E328</f>
        <v>kWh</v>
      </c>
      <c r="F349" t="str">
        <f t="shared" si="283"/>
        <v>Ecoinvent v3.7.1</v>
      </c>
      <c r="G349">
        <f t="shared" si="283"/>
        <v>0.41233999999999998</v>
      </c>
      <c r="H349">
        <f t="shared" si="283"/>
        <v>0.16356000000000001</v>
      </c>
      <c r="I349">
        <f t="shared" si="283"/>
        <v>5.2107000000000001</v>
      </c>
      <c r="J349">
        <f t="shared" si="283"/>
        <v>0.15804000000000001</v>
      </c>
      <c r="K349">
        <f t="shared" si="283"/>
        <v>1.1274</v>
      </c>
      <c r="L349">
        <f t="shared" si="283"/>
        <v>1.7768999999999999E-5</v>
      </c>
      <c r="M349">
        <f t="shared" si="283"/>
        <v>0.32883000000000001</v>
      </c>
      <c r="N349">
        <f t="shared" si="283"/>
        <v>1.0143</v>
      </c>
      <c r="O349">
        <f t="shared" si="283"/>
        <v>0.29749999999999999</v>
      </c>
      <c r="P349">
        <f t="shared" si="283"/>
        <v>8.300347769</v>
      </c>
      <c r="Q349">
        <f t="shared" si="283"/>
        <v>2.4857000000000001E-2</v>
      </c>
      <c r="R349">
        <f t="shared" si="283"/>
        <v>0.40821000000000002</v>
      </c>
      <c r="S349">
        <f t="shared" si="283"/>
        <v>0.13331000000000001</v>
      </c>
      <c r="T349">
        <f t="shared" si="283"/>
        <v>2.9420000000000002E-2</v>
      </c>
      <c r="U349">
        <f t="shared" si="283"/>
        <v>4.3196E-4</v>
      </c>
      <c r="V349">
        <f t="shared" si="283"/>
        <v>0.27927000000000002</v>
      </c>
      <c r="W349">
        <f t="shared" si="283"/>
        <v>7.3639999999999997E-2</v>
      </c>
      <c r="X349">
        <f t="shared" si="283"/>
        <v>2.5277999999999998E-2</v>
      </c>
      <c r="Y349">
        <f t="shared" si="283"/>
        <v>1.1887000000000001E-4</v>
      </c>
      <c r="Z349">
        <f t="shared" si="283"/>
        <v>1.1467E-2</v>
      </c>
      <c r="AA349">
        <f t="shared" si="283"/>
        <v>-1.4652E-5</v>
      </c>
      <c r="AB349">
        <f t="shared" si="283"/>
        <v>1.7493E-8</v>
      </c>
      <c r="AC349">
        <f t="shared" si="283"/>
        <v>1.5398E-3</v>
      </c>
      <c r="AD349">
        <f t="shared" si="283"/>
        <v>6.7785999999999996E-4</v>
      </c>
      <c r="AE349">
        <f t="shared" si="283"/>
        <v>7.8450000000000004E-4</v>
      </c>
      <c r="AF349">
        <f t="shared" si="283"/>
        <v>3.1801999999999998E-5</v>
      </c>
      <c r="AG349">
        <f t="shared" si="283"/>
        <v>2.3995000000000002E-3</v>
      </c>
      <c r="AH349">
        <f t="shared" si="283"/>
        <v>3.0509000000000001E-3</v>
      </c>
    </row>
    <row r="350" spans="2:34" x14ac:dyDescent="0.25">
      <c r="B350" t="str">
        <f>'[3]4_Hub_10000km'!Y389</f>
        <v>O'Hare International Airport</v>
      </c>
      <c r="C350" t="str">
        <f>C329</f>
        <v>market for electricity, low voltage, US-RFC</v>
      </c>
      <c r="D350">
        <f>'[3]4_Hub_10000km'!$Z389/$A$3</f>
        <v>0.34203655352480417</v>
      </c>
      <c r="E350" t="str">
        <f t="shared" ref="E350:AH350" si="284">E329</f>
        <v>kWh</v>
      </c>
      <c r="F350" t="str">
        <f t="shared" si="284"/>
        <v>Ecoinvent v3.7.1</v>
      </c>
      <c r="G350">
        <f t="shared" si="284"/>
        <v>0.61436999999999997</v>
      </c>
      <c r="H350">
        <f t="shared" si="284"/>
        <v>8.2399E-2</v>
      </c>
      <c r="I350">
        <f t="shared" si="284"/>
        <v>6.7473999999999998</v>
      </c>
      <c r="J350">
        <f t="shared" si="284"/>
        <v>4.0428000000000003E-4</v>
      </c>
      <c r="K350">
        <f t="shared" si="284"/>
        <v>4.3425000000000002</v>
      </c>
      <c r="L350">
        <f t="shared" si="284"/>
        <v>1.3322000000000001E-5</v>
      </c>
      <c r="M350">
        <f t="shared" si="284"/>
        <v>1.5082999999999999E-2</v>
      </c>
      <c r="N350">
        <f t="shared" si="284"/>
        <v>6.8917000000000006E-2</v>
      </c>
      <c r="O350">
        <f t="shared" si="284"/>
        <v>0.1275</v>
      </c>
      <c r="P350">
        <f t="shared" si="284"/>
        <v>11.384216602</v>
      </c>
      <c r="Q350">
        <f t="shared" si="284"/>
        <v>1.3875999999999999E-2</v>
      </c>
      <c r="R350">
        <f t="shared" si="284"/>
        <v>0.60836999999999997</v>
      </c>
      <c r="S350">
        <f t="shared" si="284"/>
        <v>0.16855999999999999</v>
      </c>
      <c r="T350">
        <f t="shared" si="284"/>
        <v>2.7827999999999999E-2</v>
      </c>
      <c r="U350">
        <f t="shared" si="284"/>
        <v>3.4965000000000002E-4</v>
      </c>
      <c r="V350">
        <f t="shared" si="284"/>
        <v>0.24507000000000001</v>
      </c>
      <c r="W350">
        <f t="shared" si="284"/>
        <v>0.28216999999999998</v>
      </c>
      <c r="X350">
        <f t="shared" si="284"/>
        <v>2.3791E-2</v>
      </c>
      <c r="Y350">
        <f t="shared" si="284"/>
        <v>1.1882E-4</v>
      </c>
      <c r="Z350">
        <f t="shared" si="284"/>
        <v>1.1622E-2</v>
      </c>
      <c r="AA350">
        <f t="shared" si="284"/>
        <v>-2.4247999999999999E-5</v>
      </c>
      <c r="AB350">
        <f t="shared" si="284"/>
        <v>1.8053E-8</v>
      </c>
      <c r="AC350">
        <f t="shared" si="284"/>
        <v>1.1259E-3</v>
      </c>
      <c r="AD350">
        <f t="shared" si="284"/>
        <v>9.8528999999999999E-4</v>
      </c>
      <c r="AE350">
        <f t="shared" si="284"/>
        <v>1.8718000000000001E-3</v>
      </c>
      <c r="AF350">
        <f t="shared" si="284"/>
        <v>2.6829999999999999E-5</v>
      </c>
      <c r="AG350">
        <f t="shared" si="284"/>
        <v>2.5512999999999998E-3</v>
      </c>
      <c r="AH350">
        <f t="shared" si="284"/>
        <v>2.2418E-3</v>
      </c>
    </row>
    <row r="351" spans="2:34" x14ac:dyDescent="0.25">
      <c r="B351" s="59" t="str">
        <f>C346</f>
        <v>4_Hub_10000km</v>
      </c>
      <c r="C351" s="59" t="s">
        <v>806</v>
      </c>
      <c r="D351" s="59">
        <f>SUM(D346:D350)</f>
        <v>1</v>
      </c>
      <c r="E351" s="59" t="s">
        <v>105</v>
      </c>
      <c r="F351" s="59"/>
      <c r="G351" s="59">
        <f>SUMPRODUCT($D346:$D350,G346:G350)</f>
        <v>0.57203271540469969</v>
      </c>
      <c r="H351" s="59">
        <f t="shared" ref="H351:AH351" si="285">SUMPRODUCT($D346:$D350,H346:H350)</f>
        <v>0.10278457180156658</v>
      </c>
      <c r="I351" s="59">
        <f t="shared" si="285"/>
        <v>6.4126637075718014</v>
      </c>
      <c r="J351" s="59">
        <f t="shared" si="285"/>
        <v>2.8190515456919064E-2</v>
      </c>
      <c r="K351" s="59">
        <f t="shared" si="285"/>
        <v>3.5326600522193212</v>
      </c>
      <c r="L351" s="59">
        <f t="shared" si="285"/>
        <v>1.5796814621409922E-5</v>
      </c>
      <c r="M351" s="59">
        <f t="shared" si="285"/>
        <v>0.11308213315926893</v>
      </c>
      <c r="N351" s="59">
        <f t="shared" si="285"/>
        <v>0.24762533420365535</v>
      </c>
      <c r="O351" s="59">
        <f t="shared" si="285"/>
        <v>0.21509994778067884</v>
      </c>
      <c r="P351" s="59">
        <f t="shared" si="285"/>
        <v>10.652122059007834</v>
      </c>
      <c r="Q351" s="59">
        <f t="shared" si="285"/>
        <v>1.6585550913838117E-2</v>
      </c>
      <c r="R351" s="59">
        <f t="shared" si="285"/>
        <v>0.56638302872062662</v>
      </c>
      <c r="S351" s="59">
        <f t="shared" si="285"/>
        <v>0.1601117232375979</v>
      </c>
      <c r="T351" s="59">
        <f t="shared" si="285"/>
        <v>2.8952375979112273E-2</v>
      </c>
      <c r="U351" s="59">
        <f t="shared" si="285"/>
        <v>4.067969190600522E-4</v>
      </c>
      <c r="V351" s="59">
        <f t="shared" si="285"/>
        <v>0.27474049608355094</v>
      </c>
      <c r="W351" s="59">
        <f t="shared" si="285"/>
        <v>0.22729954308093991</v>
      </c>
      <c r="X351" s="59">
        <f t="shared" si="285"/>
        <v>2.4903673629242819E-2</v>
      </c>
      <c r="Y351" s="59">
        <f t="shared" si="285"/>
        <v>1.2667699738903393E-4</v>
      </c>
      <c r="Z351" s="59">
        <f t="shared" si="285"/>
        <v>1.1893976501305484E-2</v>
      </c>
      <c r="AA351" s="59">
        <f t="shared" si="285"/>
        <v>-2.2322788511749344E-5</v>
      </c>
      <c r="AB351" s="59">
        <f t="shared" si="285"/>
        <v>1.7435007832898173E-8</v>
      </c>
      <c r="AC351" s="59">
        <f t="shared" si="285"/>
        <v>1.1220835509138381E-3</v>
      </c>
      <c r="AD351" s="59">
        <f t="shared" si="285"/>
        <v>9.0626480417754568E-4</v>
      </c>
      <c r="AE351" s="59">
        <f t="shared" si="285"/>
        <v>1.5935827415143604E-3</v>
      </c>
      <c r="AF351" s="59">
        <f t="shared" si="285"/>
        <v>2.7830676240208873E-5</v>
      </c>
      <c r="AG351" s="59">
        <f t="shared" si="285"/>
        <v>2.5936827676240207E-3</v>
      </c>
      <c r="AH351" s="59">
        <f t="shared" si="285"/>
        <v>2.3923143603133156E-3</v>
      </c>
    </row>
    <row r="352" spans="2:34" x14ac:dyDescent="0.25">
      <c r="B352" t="s">
        <v>593</v>
      </c>
      <c r="C352" t="str">
        <f>'[3]LCIA-Elec'!BJ120</f>
        <v>5_Hub_10000km</v>
      </c>
      <c r="D352">
        <f>'[3]LCIA-Elec'!$BD$68/$A$3</f>
        <v>0</v>
      </c>
      <c r="E352" t="s">
        <v>105</v>
      </c>
      <c r="F352" t="s">
        <v>829</v>
      </c>
      <c r="G352">
        <f>'[3]LCIA-Elec'!BK120</f>
        <v>0</v>
      </c>
      <c r="H352">
        <f>'[3]LCIA-Elec'!BL120</f>
        <v>0</v>
      </c>
      <c r="I352">
        <f>'[3]LCIA-Elec'!BM120</f>
        <v>0</v>
      </c>
      <c r="J352">
        <f>'[3]LCIA-Elec'!BN120</f>
        <v>0</v>
      </c>
      <c r="K352">
        <f>'[3]LCIA-Elec'!BO120</f>
        <v>0</v>
      </c>
      <c r="L352">
        <f>'[3]LCIA-Elec'!BP120</f>
        <v>0</v>
      </c>
      <c r="M352">
        <f>'[3]LCIA-Elec'!BQ120</f>
        <v>0</v>
      </c>
      <c r="N352">
        <f>'[3]LCIA-Elec'!BR120</f>
        <v>0</v>
      </c>
      <c r="O352">
        <f>'[3]LCIA-Elec'!BS120</f>
        <v>0</v>
      </c>
      <c r="P352">
        <f>'[3]LCIA-Elec'!BT120</f>
        <v>0</v>
      </c>
      <c r="Q352">
        <f>'[3]LCIA-Elec'!BU120</f>
        <v>0</v>
      </c>
      <c r="R352">
        <f>'[3]LCIA-Elec'!BV120</f>
        <v>0</v>
      </c>
      <c r="S352">
        <f>'[3]LCIA-Elec'!BW120</f>
        <v>0</v>
      </c>
      <c r="T352">
        <f>'[3]LCIA-Elec'!BX120</f>
        <v>0</v>
      </c>
      <c r="U352">
        <f>'[3]LCIA-Elec'!BY120</f>
        <v>0</v>
      </c>
      <c r="V352">
        <f>'[3]LCIA-Elec'!BZ120</f>
        <v>0</v>
      </c>
      <c r="W352">
        <f>'[3]LCIA-Elec'!CA120</f>
        <v>0</v>
      </c>
      <c r="X352">
        <f>'[3]LCIA-Elec'!CB120</f>
        <v>0</v>
      </c>
      <c r="Y352">
        <f>'[3]LCIA-Elec'!CC120</f>
        <v>0</v>
      </c>
      <c r="Z352">
        <f>'[3]LCIA-Elec'!CD120</f>
        <v>0</v>
      </c>
      <c r="AA352">
        <f>'[3]LCIA-Elec'!CE120</f>
        <v>0</v>
      </c>
      <c r="AB352">
        <f>'[3]LCIA-Elec'!CF120</f>
        <v>0</v>
      </c>
      <c r="AC352">
        <f>'[3]LCIA-Elec'!CG120</f>
        <v>0</v>
      </c>
      <c r="AD352">
        <f>'[3]LCIA-Elec'!CH120</f>
        <v>0</v>
      </c>
      <c r="AE352">
        <f>'[3]LCIA-Elec'!CI120</f>
        <v>0</v>
      </c>
      <c r="AF352">
        <f>'[3]LCIA-Elec'!CJ120</f>
        <v>0</v>
      </c>
      <c r="AG352">
        <f>'[3]LCIA-Elec'!CK120</f>
        <v>0</v>
      </c>
      <c r="AH352">
        <f>'[3]LCIA-Elec'!CL120</f>
        <v>0</v>
      </c>
    </row>
    <row r="353" spans="2:34" x14ac:dyDescent="0.25">
      <c r="B353" t="str">
        <f>'[3]5_Hub_10000km'!Y386</f>
        <v>Flughafen Frankfurt/Main</v>
      </c>
      <c r="C353" t="str">
        <f>C347</f>
        <v>market for electricity, low voltage, DE</v>
      </c>
      <c r="D353">
        <f>'[3]5_Hub_10000km'!$Z386/$A$3</f>
        <v>9.6605744125326368E-2</v>
      </c>
      <c r="E353" t="str">
        <f t="shared" ref="E353:AH353" si="286">E347</f>
        <v>kWh</v>
      </c>
      <c r="F353" t="str">
        <f t="shared" si="286"/>
        <v>Ecoinvent v3.7.1</v>
      </c>
      <c r="G353">
        <f t="shared" si="286"/>
        <v>0.54196</v>
      </c>
      <c r="H353">
        <f t="shared" si="286"/>
        <v>0.14645</v>
      </c>
      <c r="I353">
        <f t="shared" si="286"/>
        <v>6.0651000000000002</v>
      </c>
      <c r="J353">
        <f t="shared" si="286"/>
        <v>2.5809000000000001E-3</v>
      </c>
      <c r="K353">
        <f t="shared" si="286"/>
        <v>1.7815000000000001</v>
      </c>
      <c r="L353">
        <f t="shared" si="286"/>
        <v>3.0886999999999998E-5</v>
      </c>
      <c r="M353">
        <f t="shared" si="286"/>
        <v>0.46137</v>
      </c>
      <c r="N353">
        <f t="shared" si="286"/>
        <v>0.20688000000000001</v>
      </c>
      <c r="O353">
        <f t="shared" si="286"/>
        <v>0.72643999999999997</v>
      </c>
      <c r="P353">
        <f t="shared" si="286"/>
        <v>9.3903517870000002</v>
      </c>
      <c r="Q353">
        <f t="shared" si="286"/>
        <v>2.2039E-2</v>
      </c>
      <c r="R353">
        <f t="shared" si="286"/>
        <v>0.53620000000000001</v>
      </c>
      <c r="S353">
        <f t="shared" si="286"/>
        <v>0.14494000000000001</v>
      </c>
      <c r="T353">
        <f t="shared" si="286"/>
        <v>3.6583999999999998E-2</v>
      </c>
      <c r="U353">
        <f t="shared" si="286"/>
        <v>7.9215000000000004E-4</v>
      </c>
      <c r="V353">
        <f t="shared" si="286"/>
        <v>0.49026999999999998</v>
      </c>
      <c r="W353">
        <f t="shared" si="286"/>
        <v>9.1795000000000002E-2</v>
      </c>
      <c r="X353">
        <f t="shared" si="286"/>
        <v>3.2615999999999999E-2</v>
      </c>
      <c r="Y353">
        <f t="shared" si="286"/>
        <v>2.0006000000000001E-4</v>
      </c>
      <c r="Z353">
        <f t="shared" si="286"/>
        <v>1.4718E-2</v>
      </c>
      <c r="AA353">
        <f t="shared" si="286"/>
        <v>-2.1696E-5</v>
      </c>
      <c r="AB353">
        <f t="shared" si="286"/>
        <v>1.267E-8</v>
      </c>
      <c r="AC353">
        <f t="shared" si="286"/>
        <v>3.369E-4</v>
      </c>
      <c r="AD353">
        <f t="shared" si="286"/>
        <v>7.2397E-4</v>
      </c>
      <c r="AE353">
        <f t="shared" si="286"/>
        <v>9.6077000000000001E-4</v>
      </c>
      <c r="AF353">
        <f t="shared" si="286"/>
        <v>2.8184999999999999E-5</v>
      </c>
      <c r="AG353">
        <f t="shared" si="286"/>
        <v>3.2648999999999998E-3</v>
      </c>
      <c r="AH353">
        <f t="shared" si="286"/>
        <v>2.3346999999999999E-3</v>
      </c>
    </row>
    <row r="354" spans="2:34" x14ac:dyDescent="0.25">
      <c r="B354" t="str">
        <f>'[3]5_Hub_10000km'!Y387</f>
        <v>Newark Liberty International Airport</v>
      </c>
      <c r="C354" t="str">
        <f>C348</f>
        <v>market for electricity, low voltage, US-RFC</v>
      </c>
      <c r="D354">
        <f>'[3]5_Hub_10000km'!$Z387/$A$3</f>
        <v>0.38642297650130547</v>
      </c>
      <c r="E354" t="str">
        <f t="shared" ref="E354:AH354" si="287">E348</f>
        <v>kWh</v>
      </c>
      <c r="F354" t="str">
        <f t="shared" si="287"/>
        <v>Ecoinvent v3.7.1</v>
      </c>
      <c r="G354">
        <f t="shared" si="287"/>
        <v>0.61436999999999997</v>
      </c>
      <c r="H354">
        <f t="shared" si="287"/>
        <v>8.2399E-2</v>
      </c>
      <c r="I354">
        <f t="shared" si="287"/>
        <v>6.7473999999999998</v>
      </c>
      <c r="J354">
        <f t="shared" si="287"/>
        <v>4.0428000000000003E-4</v>
      </c>
      <c r="K354">
        <f t="shared" si="287"/>
        <v>4.3425000000000002</v>
      </c>
      <c r="L354">
        <f t="shared" si="287"/>
        <v>1.3322000000000001E-5</v>
      </c>
      <c r="M354">
        <f t="shared" si="287"/>
        <v>1.5082999999999999E-2</v>
      </c>
      <c r="N354">
        <f t="shared" si="287"/>
        <v>6.8917000000000006E-2</v>
      </c>
      <c r="O354">
        <f t="shared" si="287"/>
        <v>0.1275</v>
      </c>
      <c r="P354">
        <f t="shared" si="287"/>
        <v>11.384216602</v>
      </c>
      <c r="Q354">
        <f t="shared" si="287"/>
        <v>1.3875999999999999E-2</v>
      </c>
      <c r="R354">
        <f t="shared" si="287"/>
        <v>0.60836999999999997</v>
      </c>
      <c r="S354">
        <f t="shared" si="287"/>
        <v>0.16855999999999999</v>
      </c>
      <c r="T354">
        <f t="shared" si="287"/>
        <v>2.7827999999999999E-2</v>
      </c>
      <c r="U354">
        <f t="shared" si="287"/>
        <v>3.4965000000000002E-4</v>
      </c>
      <c r="V354">
        <f t="shared" si="287"/>
        <v>0.24507000000000001</v>
      </c>
      <c r="W354">
        <f t="shared" si="287"/>
        <v>0.28216999999999998</v>
      </c>
      <c r="X354">
        <f t="shared" si="287"/>
        <v>2.3791E-2</v>
      </c>
      <c r="Y354">
        <f t="shared" si="287"/>
        <v>1.1882E-4</v>
      </c>
      <c r="Z354">
        <f t="shared" si="287"/>
        <v>1.1622E-2</v>
      </c>
      <c r="AA354">
        <f t="shared" si="287"/>
        <v>-2.4247999999999999E-5</v>
      </c>
      <c r="AB354">
        <f t="shared" si="287"/>
        <v>1.8053E-8</v>
      </c>
      <c r="AC354">
        <f t="shared" si="287"/>
        <v>1.1259E-3</v>
      </c>
      <c r="AD354">
        <f t="shared" si="287"/>
        <v>9.8528999999999999E-4</v>
      </c>
      <c r="AE354">
        <f t="shared" si="287"/>
        <v>1.8718000000000001E-3</v>
      </c>
      <c r="AF354">
        <f t="shared" si="287"/>
        <v>2.6829999999999999E-5</v>
      </c>
      <c r="AG354">
        <f t="shared" si="287"/>
        <v>2.5512999999999998E-3</v>
      </c>
      <c r="AH354">
        <f t="shared" si="287"/>
        <v>2.2418E-3</v>
      </c>
    </row>
    <row r="355" spans="2:34" x14ac:dyDescent="0.25">
      <c r="B355" t="str">
        <f>'[3]5_Hub_10000km'!Y388</f>
        <v>Seattle-Tacoma International Airport</v>
      </c>
      <c r="C355" t="str">
        <f>C349</f>
        <v>market for electricity, low voltage, US-WECC</v>
      </c>
      <c r="D355">
        <f>'[3]5_Hub_10000km'!$Z388/$A$3</f>
        <v>0.13838120104438642</v>
      </c>
      <c r="E355" t="str">
        <f t="shared" ref="E355:AH355" si="288">E349</f>
        <v>kWh</v>
      </c>
      <c r="F355" t="str">
        <f t="shared" si="288"/>
        <v>Ecoinvent v3.7.1</v>
      </c>
      <c r="G355">
        <f t="shared" si="288"/>
        <v>0.41233999999999998</v>
      </c>
      <c r="H355">
        <f t="shared" si="288"/>
        <v>0.16356000000000001</v>
      </c>
      <c r="I355">
        <f t="shared" si="288"/>
        <v>5.2107000000000001</v>
      </c>
      <c r="J355">
        <f t="shared" si="288"/>
        <v>0.15804000000000001</v>
      </c>
      <c r="K355">
        <f t="shared" si="288"/>
        <v>1.1274</v>
      </c>
      <c r="L355">
        <f t="shared" si="288"/>
        <v>1.7768999999999999E-5</v>
      </c>
      <c r="M355">
        <f t="shared" si="288"/>
        <v>0.32883000000000001</v>
      </c>
      <c r="N355">
        <f t="shared" si="288"/>
        <v>1.0143</v>
      </c>
      <c r="O355">
        <f t="shared" si="288"/>
        <v>0.29749999999999999</v>
      </c>
      <c r="P355">
        <f t="shared" si="288"/>
        <v>8.300347769</v>
      </c>
      <c r="Q355">
        <f t="shared" si="288"/>
        <v>2.4857000000000001E-2</v>
      </c>
      <c r="R355">
        <f t="shared" si="288"/>
        <v>0.40821000000000002</v>
      </c>
      <c r="S355">
        <f t="shared" si="288"/>
        <v>0.13331000000000001</v>
      </c>
      <c r="T355">
        <f t="shared" si="288"/>
        <v>2.9420000000000002E-2</v>
      </c>
      <c r="U355">
        <f t="shared" si="288"/>
        <v>4.3196E-4</v>
      </c>
      <c r="V355">
        <f t="shared" si="288"/>
        <v>0.27927000000000002</v>
      </c>
      <c r="W355">
        <f t="shared" si="288"/>
        <v>7.3639999999999997E-2</v>
      </c>
      <c r="X355">
        <f t="shared" si="288"/>
        <v>2.5277999999999998E-2</v>
      </c>
      <c r="Y355">
        <f t="shared" si="288"/>
        <v>1.1887000000000001E-4</v>
      </c>
      <c r="Z355">
        <f t="shared" si="288"/>
        <v>1.1467E-2</v>
      </c>
      <c r="AA355">
        <f t="shared" si="288"/>
        <v>-1.4652E-5</v>
      </c>
      <c r="AB355">
        <f t="shared" si="288"/>
        <v>1.7493E-8</v>
      </c>
      <c r="AC355">
        <f t="shared" si="288"/>
        <v>1.5398E-3</v>
      </c>
      <c r="AD355">
        <f t="shared" si="288"/>
        <v>6.7785999999999996E-4</v>
      </c>
      <c r="AE355">
        <f t="shared" si="288"/>
        <v>7.8450000000000004E-4</v>
      </c>
      <c r="AF355">
        <f t="shared" si="288"/>
        <v>3.1801999999999998E-5</v>
      </c>
      <c r="AG355">
        <f t="shared" si="288"/>
        <v>2.3995000000000002E-3</v>
      </c>
      <c r="AH355">
        <f t="shared" si="288"/>
        <v>3.0509000000000001E-3</v>
      </c>
    </row>
    <row r="356" spans="2:34" x14ac:dyDescent="0.25">
      <c r="B356" t="str">
        <f>'[3]5_Hub_10000km'!Y389</f>
        <v>O'Hare International Airport</v>
      </c>
      <c r="C356" t="str">
        <f>C350</f>
        <v>market for electricity, low voltage, US-RFC</v>
      </c>
      <c r="D356">
        <f>'[3]5_Hub_10000km'!$Z389/$A$3</f>
        <v>0.25848563968668409</v>
      </c>
      <c r="E356" t="str">
        <f t="shared" ref="E356:AH356" si="289">E350</f>
        <v>kWh</v>
      </c>
      <c r="F356" t="str">
        <f t="shared" si="289"/>
        <v>Ecoinvent v3.7.1</v>
      </c>
      <c r="G356">
        <f t="shared" si="289"/>
        <v>0.61436999999999997</v>
      </c>
      <c r="H356">
        <f t="shared" si="289"/>
        <v>8.2399E-2</v>
      </c>
      <c r="I356">
        <f t="shared" si="289"/>
        <v>6.7473999999999998</v>
      </c>
      <c r="J356">
        <f t="shared" si="289"/>
        <v>4.0428000000000003E-4</v>
      </c>
      <c r="K356">
        <f t="shared" si="289"/>
        <v>4.3425000000000002</v>
      </c>
      <c r="L356">
        <f t="shared" si="289"/>
        <v>1.3322000000000001E-5</v>
      </c>
      <c r="M356">
        <f t="shared" si="289"/>
        <v>1.5082999999999999E-2</v>
      </c>
      <c r="N356">
        <f t="shared" si="289"/>
        <v>6.8917000000000006E-2</v>
      </c>
      <c r="O356">
        <f t="shared" si="289"/>
        <v>0.1275</v>
      </c>
      <c r="P356">
        <f t="shared" si="289"/>
        <v>11.384216602</v>
      </c>
      <c r="Q356">
        <f t="shared" si="289"/>
        <v>1.3875999999999999E-2</v>
      </c>
      <c r="R356">
        <f t="shared" si="289"/>
        <v>0.60836999999999997</v>
      </c>
      <c r="S356">
        <f t="shared" si="289"/>
        <v>0.16855999999999999</v>
      </c>
      <c r="T356">
        <f t="shared" si="289"/>
        <v>2.7827999999999999E-2</v>
      </c>
      <c r="U356">
        <f t="shared" si="289"/>
        <v>3.4965000000000002E-4</v>
      </c>
      <c r="V356">
        <f t="shared" si="289"/>
        <v>0.24507000000000001</v>
      </c>
      <c r="W356">
        <f t="shared" si="289"/>
        <v>0.28216999999999998</v>
      </c>
      <c r="X356">
        <f t="shared" si="289"/>
        <v>2.3791E-2</v>
      </c>
      <c r="Y356">
        <f t="shared" si="289"/>
        <v>1.1882E-4</v>
      </c>
      <c r="Z356">
        <f t="shared" si="289"/>
        <v>1.1622E-2</v>
      </c>
      <c r="AA356">
        <f t="shared" si="289"/>
        <v>-2.4247999999999999E-5</v>
      </c>
      <c r="AB356">
        <f t="shared" si="289"/>
        <v>1.8053E-8</v>
      </c>
      <c r="AC356">
        <f t="shared" si="289"/>
        <v>1.1259E-3</v>
      </c>
      <c r="AD356">
        <f t="shared" si="289"/>
        <v>9.8528999999999999E-4</v>
      </c>
      <c r="AE356">
        <f t="shared" si="289"/>
        <v>1.8718000000000001E-3</v>
      </c>
      <c r="AF356">
        <f t="shared" si="289"/>
        <v>2.6829999999999999E-5</v>
      </c>
      <c r="AG356">
        <f t="shared" si="289"/>
        <v>2.5512999999999998E-3</v>
      </c>
      <c r="AH356">
        <f t="shared" si="289"/>
        <v>2.2418E-3</v>
      </c>
    </row>
    <row r="357" spans="2:34" x14ac:dyDescent="0.25">
      <c r="B357" t="str">
        <f>'[3]5_Hub_10000km'!Y390</f>
        <v>Denver International Airport</v>
      </c>
      <c r="C357" t="str">
        <f>C344</f>
        <v>market for electricity, low voltage, US-WECC</v>
      </c>
      <c r="D357">
        <f>'[3]5_Hub_10000km'!$Z390/$A$3</f>
        <v>0.12010443864229765</v>
      </c>
      <c r="E357" t="str">
        <f t="shared" ref="E357:AH357" si="290">E344</f>
        <v>kWh</v>
      </c>
      <c r="F357" t="str">
        <f t="shared" si="290"/>
        <v>Ecoinvent v3.7.1</v>
      </c>
      <c r="G357">
        <f t="shared" si="290"/>
        <v>0.41233999999999998</v>
      </c>
      <c r="H357">
        <f t="shared" si="290"/>
        <v>0.16356000000000001</v>
      </c>
      <c r="I357">
        <f t="shared" si="290"/>
        <v>5.2107000000000001</v>
      </c>
      <c r="J357">
        <f t="shared" si="290"/>
        <v>0.15804000000000001</v>
      </c>
      <c r="K357">
        <f t="shared" si="290"/>
        <v>1.1274</v>
      </c>
      <c r="L357">
        <f t="shared" si="290"/>
        <v>1.7768999999999999E-5</v>
      </c>
      <c r="M357">
        <f t="shared" si="290"/>
        <v>0.32883000000000001</v>
      </c>
      <c r="N357">
        <f t="shared" si="290"/>
        <v>1.0143</v>
      </c>
      <c r="O357">
        <f t="shared" si="290"/>
        <v>0.29749999999999999</v>
      </c>
      <c r="P357">
        <f t="shared" si="290"/>
        <v>8.300347769</v>
      </c>
      <c r="Q357">
        <f t="shared" si="290"/>
        <v>2.4857000000000001E-2</v>
      </c>
      <c r="R357">
        <f t="shared" si="290"/>
        <v>0.40821000000000002</v>
      </c>
      <c r="S357">
        <f t="shared" si="290"/>
        <v>0.13331000000000001</v>
      </c>
      <c r="T357">
        <f t="shared" si="290"/>
        <v>2.9420000000000002E-2</v>
      </c>
      <c r="U357">
        <f t="shared" si="290"/>
        <v>4.3196E-4</v>
      </c>
      <c r="V357">
        <f t="shared" si="290"/>
        <v>0.27927000000000002</v>
      </c>
      <c r="W357">
        <f t="shared" si="290"/>
        <v>7.3639999999999997E-2</v>
      </c>
      <c r="X357">
        <f t="shared" si="290"/>
        <v>2.5277999999999998E-2</v>
      </c>
      <c r="Y357">
        <f t="shared" si="290"/>
        <v>1.1887000000000001E-4</v>
      </c>
      <c r="Z357">
        <f t="shared" si="290"/>
        <v>1.1467E-2</v>
      </c>
      <c r="AA357">
        <f t="shared" si="290"/>
        <v>-1.4652E-5</v>
      </c>
      <c r="AB357">
        <f t="shared" si="290"/>
        <v>1.7493E-8</v>
      </c>
      <c r="AC357">
        <f t="shared" si="290"/>
        <v>1.5398E-3</v>
      </c>
      <c r="AD357">
        <f t="shared" si="290"/>
        <v>6.7785999999999996E-4</v>
      </c>
      <c r="AE357">
        <f t="shared" si="290"/>
        <v>7.8450000000000004E-4</v>
      </c>
      <c r="AF357">
        <f t="shared" si="290"/>
        <v>3.1801999999999998E-5</v>
      </c>
      <c r="AG357">
        <f t="shared" si="290"/>
        <v>2.3995000000000002E-3</v>
      </c>
      <c r="AH357">
        <f t="shared" si="290"/>
        <v>3.0509000000000001E-3</v>
      </c>
    </row>
    <row r="358" spans="2:34" x14ac:dyDescent="0.25">
      <c r="B358" s="59" t="str">
        <f>C352</f>
        <v>5_Hub_10000km</v>
      </c>
      <c r="C358" s="59" t="s">
        <v>806</v>
      </c>
      <c r="D358" s="59">
        <f>SUM(D352:D357)</f>
        <v>1</v>
      </c>
      <c r="E358" s="59" t="s">
        <v>105</v>
      </c>
      <c r="F358" s="59"/>
      <c r="G358" s="59">
        <f>SUMPRODUCT($D352:$D357,G352:G357)</f>
        <v>0.55515292428198437</v>
      </c>
      <c r="H358" s="59">
        <f t="shared" ref="H358:AH358" si="291">SUMPRODUCT($D352:$D357,H352:H357)</f>
        <v>0.10956564751958225</v>
      </c>
      <c r="I358" s="59">
        <f t="shared" si="291"/>
        <v>6.2842710182767627</v>
      </c>
      <c r="J358" s="59">
        <f t="shared" si="291"/>
        <v>4.1361123916449083E-2</v>
      </c>
      <c r="K358" s="59">
        <f t="shared" si="291"/>
        <v>3.264035509138381</v>
      </c>
      <c r="L358" s="59">
        <f t="shared" si="291"/>
        <v>1.6168365535248041E-5</v>
      </c>
      <c r="M358" s="59">
        <f t="shared" si="291"/>
        <v>0.13929598172323762</v>
      </c>
      <c r="N358" s="59">
        <f t="shared" si="291"/>
        <v>0.32661294778067884</v>
      </c>
      <c r="O358" s="59">
        <f t="shared" si="291"/>
        <v>0.22930360313315923</v>
      </c>
      <c r="P358" s="59">
        <f t="shared" si="291"/>
        <v>10.394461999853787</v>
      </c>
      <c r="Q358" s="59">
        <f t="shared" si="291"/>
        <v>1.7503023498694516E-2</v>
      </c>
      <c r="R358" s="59">
        <f t="shared" si="291"/>
        <v>0.54965947780678848</v>
      </c>
      <c r="S358" s="59">
        <f t="shared" si="291"/>
        <v>0.15716655352480416</v>
      </c>
      <c r="T358" s="59">
        <f t="shared" si="291"/>
        <v>2.908538903394256E-2</v>
      </c>
      <c r="U358" s="59">
        <f t="shared" si="291"/>
        <v>4.1367399477806784E-4</v>
      </c>
      <c r="V358" s="59">
        <f t="shared" si="291"/>
        <v>0.27759793733681465</v>
      </c>
      <c r="W358" s="59">
        <f t="shared" si="291"/>
        <v>0.20987667101827676</v>
      </c>
      <c r="X358" s="59">
        <f t="shared" si="291"/>
        <v>2.5027913838120107E-2</v>
      </c>
      <c r="Y358" s="59">
        <f t="shared" si="291"/>
        <v>1.2668117493472587E-4</v>
      </c>
      <c r="Z358" s="59">
        <f t="shared" si="291"/>
        <v>1.1881026109660575E-2</v>
      </c>
      <c r="AA358" s="59">
        <f t="shared" si="291"/>
        <v>-2.1521033942558744E-5</v>
      </c>
      <c r="AB358" s="59">
        <f t="shared" si="291"/>
        <v>1.7388219321148827E-8</v>
      </c>
      <c r="AC358" s="59">
        <f t="shared" si="291"/>
        <v>1.156665274151436E-3</v>
      </c>
      <c r="AD358" s="59">
        <f t="shared" si="291"/>
        <v>8.805787467362924E-4</v>
      </c>
      <c r="AE358" s="59">
        <f t="shared" si="291"/>
        <v>1.5027378328981724E-3</v>
      </c>
      <c r="AF358" s="59">
        <f t="shared" si="291"/>
        <v>2.8246091383812007E-5</v>
      </c>
      <c r="AG358" s="59">
        <f t="shared" si="291"/>
        <v>2.5809997389033943E-3</v>
      </c>
      <c r="AH358" s="59">
        <f t="shared" si="291"/>
        <v>2.459915404699739E-3</v>
      </c>
    </row>
    <row r="359" spans="2:34" x14ac:dyDescent="0.25">
      <c r="B359" t="s">
        <v>593</v>
      </c>
      <c r="C359" t="str">
        <f>'[3]LCIA-Elec'!BJ121</f>
        <v>6_Hub_10000km</v>
      </c>
      <c r="D359">
        <f>'[3]LCIA-Elec'!$BE$68/$A$3</f>
        <v>0</v>
      </c>
      <c r="E359" t="s">
        <v>105</v>
      </c>
      <c r="F359" t="s">
        <v>829</v>
      </c>
      <c r="G359">
        <f>'[3]LCIA-Elec'!BK121</f>
        <v>0</v>
      </c>
      <c r="H359">
        <f>'[3]LCIA-Elec'!BL121</f>
        <v>0</v>
      </c>
      <c r="I359">
        <f>'[3]LCIA-Elec'!BM121</f>
        <v>0</v>
      </c>
      <c r="J359">
        <f>'[3]LCIA-Elec'!BN121</f>
        <v>0</v>
      </c>
      <c r="K359">
        <f>'[3]LCIA-Elec'!BO121</f>
        <v>0</v>
      </c>
      <c r="L359">
        <f>'[3]LCIA-Elec'!BP121</f>
        <v>0</v>
      </c>
      <c r="M359">
        <f>'[3]LCIA-Elec'!BQ121</f>
        <v>0</v>
      </c>
      <c r="N359">
        <f>'[3]LCIA-Elec'!BR121</f>
        <v>0</v>
      </c>
      <c r="O359">
        <f>'[3]LCIA-Elec'!BS121</f>
        <v>0</v>
      </c>
      <c r="P359">
        <f>'[3]LCIA-Elec'!BT121</f>
        <v>0</v>
      </c>
      <c r="Q359">
        <f>'[3]LCIA-Elec'!BU121</f>
        <v>0</v>
      </c>
      <c r="R359">
        <f>'[3]LCIA-Elec'!BV121</f>
        <v>0</v>
      </c>
      <c r="S359">
        <f>'[3]LCIA-Elec'!BW121</f>
        <v>0</v>
      </c>
      <c r="T359">
        <f>'[3]LCIA-Elec'!BX121</f>
        <v>0</v>
      </c>
      <c r="U359">
        <f>'[3]LCIA-Elec'!BY121</f>
        <v>0</v>
      </c>
      <c r="V359">
        <f>'[3]LCIA-Elec'!BZ121</f>
        <v>0</v>
      </c>
      <c r="W359">
        <f>'[3]LCIA-Elec'!CA121</f>
        <v>0</v>
      </c>
      <c r="X359">
        <f>'[3]LCIA-Elec'!CB121</f>
        <v>0</v>
      </c>
      <c r="Y359">
        <f>'[3]LCIA-Elec'!CC121</f>
        <v>0</v>
      </c>
      <c r="Z359">
        <f>'[3]LCIA-Elec'!CD121</f>
        <v>0</v>
      </c>
      <c r="AA359">
        <f>'[3]LCIA-Elec'!CE121</f>
        <v>0</v>
      </c>
      <c r="AB359">
        <f>'[3]LCIA-Elec'!CF121</f>
        <v>0</v>
      </c>
      <c r="AC359">
        <f>'[3]LCIA-Elec'!CG121</f>
        <v>0</v>
      </c>
      <c r="AD359">
        <f>'[3]LCIA-Elec'!CH121</f>
        <v>0</v>
      </c>
      <c r="AE359">
        <f>'[3]LCIA-Elec'!CI121</f>
        <v>0</v>
      </c>
      <c r="AF359">
        <f>'[3]LCIA-Elec'!CJ121</f>
        <v>0</v>
      </c>
      <c r="AG359">
        <f>'[3]LCIA-Elec'!CK121</f>
        <v>0</v>
      </c>
      <c r="AH359">
        <f>'[3]LCIA-Elec'!CL121</f>
        <v>0</v>
      </c>
    </row>
    <row r="360" spans="2:34" x14ac:dyDescent="0.25">
      <c r="B360" t="str">
        <f>'[3]6_Hub_10000km'!Y386</f>
        <v>Flughafen Frankfurt/Main</v>
      </c>
      <c r="C360" t="str">
        <f>C353</f>
        <v>market for electricity, low voltage, DE</v>
      </c>
      <c r="D360">
        <f>'[3]6_Hub_10000km'!$Z386/$A$3</f>
        <v>9.6605744125326368E-2</v>
      </c>
      <c r="E360" t="str">
        <f t="shared" ref="E360:AH360" si="292">E353</f>
        <v>kWh</v>
      </c>
      <c r="F360" t="str">
        <f t="shared" si="292"/>
        <v>Ecoinvent v3.7.1</v>
      </c>
      <c r="G360">
        <f t="shared" si="292"/>
        <v>0.54196</v>
      </c>
      <c r="H360">
        <f t="shared" si="292"/>
        <v>0.14645</v>
      </c>
      <c r="I360">
        <f t="shared" si="292"/>
        <v>6.0651000000000002</v>
      </c>
      <c r="J360">
        <f t="shared" si="292"/>
        <v>2.5809000000000001E-3</v>
      </c>
      <c r="K360">
        <f t="shared" si="292"/>
        <v>1.7815000000000001</v>
      </c>
      <c r="L360">
        <f t="shared" si="292"/>
        <v>3.0886999999999998E-5</v>
      </c>
      <c r="M360">
        <f t="shared" si="292"/>
        <v>0.46137</v>
      </c>
      <c r="N360">
        <f t="shared" si="292"/>
        <v>0.20688000000000001</v>
      </c>
      <c r="O360">
        <f t="shared" si="292"/>
        <v>0.72643999999999997</v>
      </c>
      <c r="P360">
        <f t="shared" si="292"/>
        <v>9.3903517870000002</v>
      </c>
      <c r="Q360">
        <f t="shared" si="292"/>
        <v>2.2039E-2</v>
      </c>
      <c r="R360">
        <f t="shared" si="292"/>
        <v>0.53620000000000001</v>
      </c>
      <c r="S360">
        <f t="shared" si="292"/>
        <v>0.14494000000000001</v>
      </c>
      <c r="T360">
        <f t="shared" si="292"/>
        <v>3.6583999999999998E-2</v>
      </c>
      <c r="U360">
        <f t="shared" si="292"/>
        <v>7.9215000000000004E-4</v>
      </c>
      <c r="V360">
        <f t="shared" si="292"/>
        <v>0.49026999999999998</v>
      </c>
      <c r="W360">
        <f t="shared" si="292"/>
        <v>9.1795000000000002E-2</v>
      </c>
      <c r="X360">
        <f t="shared" si="292"/>
        <v>3.2615999999999999E-2</v>
      </c>
      <c r="Y360">
        <f t="shared" si="292"/>
        <v>2.0006000000000001E-4</v>
      </c>
      <c r="Z360">
        <f t="shared" si="292"/>
        <v>1.4718E-2</v>
      </c>
      <c r="AA360">
        <f t="shared" si="292"/>
        <v>-2.1696E-5</v>
      </c>
      <c r="AB360">
        <f t="shared" si="292"/>
        <v>1.267E-8</v>
      </c>
      <c r="AC360">
        <f t="shared" si="292"/>
        <v>3.369E-4</v>
      </c>
      <c r="AD360">
        <f t="shared" si="292"/>
        <v>7.2397E-4</v>
      </c>
      <c r="AE360">
        <f t="shared" si="292"/>
        <v>9.6077000000000001E-4</v>
      </c>
      <c r="AF360">
        <f t="shared" si="292"/>
        <v>2.8184999999999999E-5</v>
      </c>
      <c r="AG360">
        <f t="shared" si="292"/>
        <v>3.2648999999999998E-3</v>
      </c>
      <c r="AH360">
        <f t="shared" si="292"/>
        <v>2.3346999999999999E-3</v>
      </c>
    </row>
    <row r="361" spans="2:34" x14ac:dyDescent="0.25">
      <c r="B361" t="str">
        <f>'[3]6_Hub_10000km'!Y387</f>
        <v>Newark Liberty International Airport</v>
      </c>
      <c r="C361" t="str">
        <f>C160</f>
        <v>market for electricity, low voltage, US-RFC</v>
      </c>
      <c r="D361">
        <f>'[3]6_Hub_10000km'!$Z387/$A$3</f>
        <v>0.33681462140992169</v>
      </c>
      <c r="E361" t="str">
        <f t="shared" ref="E361:AH361" si="293">E160</f>
        <v>kWh</v>
      </c>
      <c r="F361" t="str">
        <f t="shared" si="293"/>
        <v>Ecoinvent v3.7.1</v>
      </c>
      <c r="G361">
        <f t="shared" si="293"/>
        <v>0.61436999999999997</v>
      </c>
      <c r="H361">
        <f t="shared" si="293"/>
        <v>8.2399E-2</v>
      </c>
      <c r="I361">
        <f t="shared" si="293"/>
        <v>6.7473999999999998</v>
      </c>
      <c r="J361">
        <f t="shared" si="293"/>
        <v>4.0428000000000003E-4</v>
      </c>
      <c r="K361">
        <f t="shared" si="293"/>
        <v>4.3425000000000002</v>
      </c>
      <c r="L361">
        <f t="shared" si="293"/>
        <v>1.3322000000000001E-5</v>
      </c>
      <c r="M361">
        <f t="shared" si="293"/>
        <v>1.5082999999999999E-2</v>
      </c>
      <c r="N361">
        <f t="shared" si="293"/>
        <v>6.8917000000000006E-2</v>
      </c>
      <c r="O361">
        <f t="shared" si="293"/>
        <v>0.1275</v>
      </c>
      <c r="P361">
        <f t="shared" si="293"/>
        <v>11.384216602</v>
      </c>
      <c r="Q361">
        <f t="shared" si="293"/>
        <v>1.3875999999999999E-2</v>
      </c>
      <c r="R361">
        <f t="shared" si="293"/>
        <v>0.60836999999999997</v>
      </c>
      <c r="S361">
        <f t="shared" si="293"/>
        <v>0.16855999999999999</v>
      </c>
      <c r="T361">
        <f t="shared" si="293"/>
        <v>2.7827999999999999E-2</v>
      </c>
      <c r="U361">
        <f t="shared" si="293"/>
        <v>3.4965000000000002E-4</v>
      </c>
      <c r="V361">
        <f t="shared" si="293"/>
        <v>0.24507000000000001</v>
      </c>
      <c r="W361">
        <f t="shared" si="293"/>
        <v>0.28216999999999998</v>
      </c>
      <c r="X361">
        <f t="shared" si="293"/>
        <v>2.3791E-2</v>
      </c>
      <c r="Y361">
        <f t="shared" si="293"/>
        <v>1.1882E-4</v>
      </c>
      <c r="Z361">
        <f t="shared" si="293"/>
        <v>1.1622E-2</v>
      </c>
      <c r="AA361">
        <f t="shared" si="293"/>
        <v>-2.4247999999999999E-5</v>
      </c>
      <c r="AB361">
        <f t="shared" si="293"/>
        <v>1.8053E-8</v>
      </c>
      <c r="AC361">
        <f t="shared" si="293"/>
        <v>1.1259E-3</v>
      </c>
      <c r="AD361">
        <f t="shared" si="293"/>
        <v>9.8528999999999999E-4</v>
      </c>
      <c r="AE361">
        <f t="shared" si="293"/>
        <v>1.8718000000000001E-3</v>
      </c>
      <c r="AF361">
        <f t="shared" si="293"/>
        <v>2.6829999999999999E-5</v>
      </c>
      <c r="AG361">
        <f t="shared" si="293"/>
        <v>2.5512999999999998E-3</v>
      </c>
      <c r="AH361">
        <f t="shared" si="293"/>
        <v>2.2418E-3</v>
      </c>
    </row>
    <row r="362" spans="2:34" x14ac:dyDescent="0.25">
      <c r="B362" t="str">
        <f>'[3]6_Hub_10000km'!Y388</f>
        <v>Seattle-Tacoma International Airport</v>
      </c>
      <c r="C362" t="str">
        <f>C161</f>
        <v>market for electricity, low voltage, US-WECC</v>
      </c>
      <c r="D362">
        <f>'[3]6_Hub_10000km'!$Z388/$A$3</f>
        <v>0.13838120104438642</v>
      </c>
      <c r="E362" t="str">
        <f t="shared" ref="E362:AH362" si="294">E161</f>
        <v>kWh</v>
      </c>
      <c r="F362" t="str">
        <f t="shared" si="294"/>
        <v>Ecoinvent v3.7.1</v>
      </c>
      <c r="G362">
        <f t="shared" si="294"/>
        <v>0.41233999999999998</v>
      </c>
      <c r="H362">
        <f t="shared" si="294"/>
        <v>0.16356000000000001</v>
      </c>
      <c r="I362">
        <f t="shared" si="294"/>
        <v>5.2107000000000001</v>
      </c>
      <c r="J362">
        <f t="shared" si="294"/>
        <v>0.15804000000000001</v>
      </c>
      <c r="K362">
        <f t="shared" si="294"/>
        <v>1.1274</v>
      </c>
      <c r="L362">
        <f t="shared" si="294"/>
        <v>1.7768999999999999E-5</v>
      </c>
      <c r="M362">
        <f t="shared" si="294"/>
        <v>0.32883000000000001</v>
      </c>
      <c r="N362">
        <f t="shared" si="294"/>
        <v>1.0143</v>
      </c>
      <c r="O362">
        <f t="shared" si="294"/>
        <v>0.29749999999999999</v>
      </c>
      <c r="P362">
        <f t="shared" si="294"/>
        <v>8.300347769</v>
      </c>
      <c r="Q362">
        <f t="shared" si="294"/>
        <v>2.4857000000000001E-2</v>
      </c>
      <c r="R362">
        <f t="shared" si="294"/>
        <v>0.40821000000000002</v>
      </c>
      <c r="S362">
        <f t="shared" si="294"/>
        <v>0.13331000000000001</v>
      </c>
      <c r="T362">
        <f t="shared" si="294"/>
        <v>2.9420000000000002E-2</v>
      </c>
      <c r="U362">
        <f t="shared" si="294"/>
        <v>4.3196E-4</v>
      </c>
      <c r="V362">
        <f t="shared" si="294"/>
        <v>0.27927000000000002</v>
      </c>
      <c r="W362">
        <f t="shared" si="294"/>
        <v>7.3639999999999997E-2</v>
      </c>
      <c r="X362">
        <f t="shared" si="294"/>
        <v>2.5277999999999998E-2</v>
      </c>
      <c r="Y362">
        <f t="shared" si="294"/>
        <v>1.1887000000000001E-4</v>
      </c>
      <c r="Z362">
        <f t="shared" si="294"/>
        <v>1.1467E-2</v>
      </c>
      <c r="AA362">
        <f t="shared" si="294"/>
        <v>-1.4652E-5</v>
      </c>
      <c r="AB362">
        <f t="shared" si="294"/>
        <v>1.7493E-8</v>
      </c>
      <c r="AC362">
        <f t="shared" si="294"/>
        <v>1.5398E-3</v>
      </c>
      <c r="AD362">
        <f t="shared" si="294"/>
        <v>6.7785999999999996E-4</v>
      </c>
      <c r="AE362">
        <f t="shared" si="294"/>
        <v>7.8450000000000004E-4</v>
      </c>
      <c r="AF362">
        <f t="shared" si="294"/>
        <v>3.1801999999999998E-5</v>
      </c>
      <c r="AG362">
        <f t="shared" si="294"/>
        <v>2.3995000000000002E-3</v>
      </c>
      <c r="AH362">
        <f t="shared" si="294"/>
        <v>3.0509000000000001E-3</v>
      </c>
    </row>
    <row r="363" spans="2:34" x14ac:dyDescent="0.25">
      <c r="B363" t="str">
        <f>'[3]6_Hub_10000km'!Y389</f>
        <v>Hartsfield-Jackson Atlanta International Airport</v>
      </c>
      <c r="C363" t="str">
        <f>C162</f>
        <v>market for electricity, low voltage, US-SERC</v>
      </c>
      <c r="D363">
        <f>'[3]6_Hub_10000km'!$Z389/$A$3</f>
        <v>0.1122715404699739</v>
      </c>
      <c r="E363" t="str">
        <f t="shared" ref="E363:AH363" si="295">E162</f>
        <v>kWh</v>
      </c>
      <c r="F363" t="str">
        <f t="shared" si="295"/>
        <v>Ecoinvent v3.7.1</v>
      </c>
      <c r="G363">
        <f t="shared" si="295"/>
        <v>0.6169</v>
      </c>
      <c r="H363">
        <f t="shared" si="295"/>
        <v>0.40769</v>
      </c>
      <c r="I363">
        <f t="shared" si="295"/>
        <v>7.625</v>
      </c>
      <c r="J363">
        <f t="shared" si="295"/>
        <v>4.4949999999999998E-4</v>
      </c>
      <c r="K363">
        <f t="shared" si="295"/>
        <v>3.7017000000000002</v>
      </c>
      <c r="L363">
        <f t="shared" si="295"/>
        <v>2.8177000000000001E-5</v>
      </c>
      <c r="M363">
        <f t="shared" si="295"/>
        <v>5.8786999999999999E-2</v>
      </c>
      <c r="N363">
        <f t="shared" si="295"/>
        <v>0.17446</v>
      </c>
      <c r="O363">
        <f t="shared" si="295"/>
        <v>2.0888E-2</v>
      </c>
      <c r="P363">
        <f t="shared" si="295"/>
        <v>11.989002677000002</v>
      </c>
      <c r="Q363">
        <f t="shared" si="295"/>
        <v>5.7922000000000001E-2</v>
      </c>
      <c r="R363">
        <f t="shared" si="295"/>
        <v>0.61051</v>
      </c>
      <c r="S363">
        <f t="shared" si="295"/>
        <v>0.19485</v>
      </c>
      <c r="T363">
        <f t="shared" si="295"/>
        <v>2.9537999999999998E-2</v>
      </c>
      <c r="U363">
        <f t="shared" si="295"/>
        <v>4.3969000000000001E-4</v>
      </c>
      <c r="V363">
        <f t="shared" si="295"/>
        <v>0.29670999999999997</v>
      </c>
      <c r="W363">
        <f t="shared" si="295"/>
        <v>0.24057999999999999</v>
      </c>
      <c r="X363">
        <f t="shared" si="295"/>
        <v>2.5099E-2</v>
      </c>
      <c r="Y363">
        <f t="shared" si="295"/>
        <v>1.3415000000000001E-4</v>
      </c>
      <c r="Z363">
        <f t="shared" si="295"/>
        <v>1.1514E-2</v>
      </c>
      <c r="AA363">
        <f t="shared" si="295"/>
        <v>-2.1906E-5</v>
      </c>
      <c r="AB363">
        <f t="shared" si="295"/>
        <v>2.5019999999999998E-8</v>
      </c>
      <c r="AC363">
        <f t="shared" si="295"/>
        <v>1.4063999999999999E-3</v>
      </c>
      <c r="AD363">
        <f t="shared" si="295"/>
        <v>8.8113000000000004E-4</v>
      </c>
      <c r="AE363">
        <f t="shared" si="295"/>
        <v>1.4815E-3</v>
      </c>
      <c r="AF363">
        <f t="shared" si="295"/>
        <v>3.5629000000000001E-5</v>
      </c>
      <c r="AG363">
        <f t="shared" si="295"/>
        <v>2.5611000000000002E-3</v>
      </c>
      <c r="AH363">
        <f t="shared" si="295"/>
        <v>2.3032E-3</v>
      </c>
    </row>
    <row r="364" spans="2:34" x14ac:dyDescent="0.25">
      <c r="B364" t="str">
        <f>'[3]6_Hub_10000km'!Y390</f>
        <v>O'Hare International Airport</v>
      </c>
      <c r="C364" t="str">
        <f>C163</f>
        <v>market for electricity, low voltage, US-RFC</v>
      </c>
      <c r="D364">
        <f>'[3]6_Hub_10000km'!$Z390/$A$3</f>
        <v>0.20887728459530025</v>
      </c>
      <c r="E364" t="str">
        <f t="shared" ref="E364:AH364" si="296">E163</f>
        <v>kWh</v>
      </c>
      <c r="F364" t="str">
        <f t="shared" si="296"/>
        <v>Ecoinvent v3.7.1</v>
      </c>
      <c r="G364">
        <f t="shared" si="296"/>
        <v>0.61436999999999997</v>
      </c>
      <c r="H364">
        <f t="shared" si="296"/>
        <v>8.2399E-2</v>
      </c>
      <c r="I364">
        <f t="shared" si="296"/>
        <v>6.7473999999999998</v>
      </c>
      <c r="J364">
        <f t="shared" si="296"/>
        <v>4.0428000000000003E-4</v>
      </c>
      <c r="K364">
        <f t="shared" si="296"/>
        <v>4.3425000000000002</v>
      </c>
      <c r="L364">
        <f t="shared" si="296"/>
        <v>1.3322000000000001E-5</v>
      </c>
      <c r="M364">
        <f t="shared" si="296"/>
        <v>1.5082999999999999E-2</v>
      </c>
      <c r="N364">
        <f t="shared" si="296"/>
        <v>6.8917000000000006E-2</v>
      </c>
      <c r="O364">
        <f t="shared" si="296"/>
        <v>0.1275</v>
      </c>
      <c r="P364">
        <f t="shared" si="296"/>
        <v>11.384216602</v>
      </c>
      <c r="Q364">
        <f t="shared" si="296"/>
        <v>1.3875999999999999E-2</v>
      </c>
      <c r="R364">
        <f t="shared" si="296"/>
        <v>0.60836999999999997</v>
      </c>
      <c r="S364">
        <f t="shared" si="296"/>
        <v>0.16855999999999999</v>
      </c>
      <c r="T364">
        <f t="shared" si="296"/>
        <v>2.7827999999999999E-2</v>
      </c>
      <c r="U364">
        <f t="shared" si="296"/>
        <v>3.4965000000000002E-4</v>
      </c>
      <c r="V364">
        <f t="shared" si="296"/>
        <v>0.24507000000000001</v>
      </c>
      <c r="W364">
        <f t="shared" si="296"/>
        <v>0.28216999999999998</v>
      </c>
      <c r="X364">
        <f t="shared" si="296"/>
        <v>2.3791E-2</v>
      </c>
      <c r="Y364">
        <f t="shared" si="296"/>
        <v>1.1882E-4</v>
      </c>
      <c r="Z364">
        <f t="shared" si="296"/>
        <v>1.1622E-2</v>
      </c>
      <c r="AA364">
        <f t="shared" si="296"/>
        <v>-2.4247999999999999E-5</v>
      </c>
      <c r="AB364">
        <f t="shared" si="296"/>
        <v>1.8053E-8</v>
      </c>
      <c r="AC364">
        <f t="shared" si="296"/>
        <v>1.1259E-3</v>
      </c>
      <c r="AD364">
        <f t="shared" si="296"/>
        <v>9.8528999999999999E-4</v>
      </c>
      <c r="AE364">
        <f t="shared" si="296"/>
        <v>1.8718000000000001E-3</v>
      </c>
      <c r="AF364">
        <f t="shared" si="296"/>
        <v>2.6829999999999999E-5</v>
      </c>
      <c r="AG364">
        <f t="shared" si="296"/>
        <v>2.5512999999999998E-3</v>
      </c>
      <c r="AH364">
        <f t="shared" si="296"/>
        <v>2.2418E-3</v>
      </c>
    </row>
    <row r="365" spans="2:34" x14ac:dyDescent="0.25">
      <c r="B365" t="str">
        <f>'[3]6_Hub_10000km'!Y391</f>
        <v>Denver International Airport</v>
      </c>
      <c r="C365" t="str">
        <f>C164</f>
        <v>market for electricity, low voltage, US-WECC</v>
      </c>
      <c r="D365">
        <f>'[3]6_Hub_10000km'!$Z391/$A$3</f>
        <v>0.10704960835509138</v>
      </c>
      <c r="E365" t="str">
        <f t="shared" ref="E365:AH365" si="297">E164</f>
        <v>kWh</v>
      </c>
      <c r="F365" t="str">
        <f t="shared" si="297"/>
        <v>Ecoinvent v3.7.1</v>
      </c>
      <c r="G365">
        <f t="shared" si="297"/>
        <v>0.41233999999999998</v>
      </c>
      <c r="H365">
        <f t="shared" si="297"/>
        <v>0.16356000000000001</v>
      </c>
      <c r="I365">
        <f t="shared" si="297"/>
        <v>5.2107000000000001</v>
      </c>
      <c r="J365">
        <f t="shared" si="297"/>
        <v>0.15804000000000001</v>
      </c>
      <c r="K365">
        <f t="shared" si="297"/>
        <v>1.1274</v>
      </c>
      <c r="L365">
        <f t="shared" si="297"/>
        <v>1.7768999999999999E-5</v>
      </c>
      <c r="M365">
        <f t="shared" si="297"/>
        <v>0.32883000000000001</v>
      </c>
      <c r="N365">
        <f t="shared" si="297"/>
        <v>1.0143</v>
      </c>
      <c r="O365">
        <f t="shared" si="297"/>
        <v>0.29749999999999999</v>
      </c>
      <c r="P365">
        <f t="shared" si="297"/>
        <v>8.300347769</v>
      </c>
      <c r="Q365">
        <f t="shared" si="297"/>
        <v>2.4857000000000001E-2</v>
      </c>
      <c r="R365">
        <f t="shared" si="297"/>
        <v>0.40821000000000002</v>
      </c>
      <c r="S365">
        <f t="shared" si="297"/>
        <v>0.13331000000000001</v>
      </c>
      <c r="T365">
        <f t="shared" si="297"/>
        <v>2.9420000000000002E-2</v>
      </c>
      <c r="U365">
        <f t="shared" si="297"/>
        <v>4.3196E-4</v>
      </c>
      <c r="V365">
        <f t="shared" si="297"/>
        <v>0.27927000000000002</v>
      </c>
      <c r="W365">
        <f t="shared" si="297"/>
        <v>7.3639999999999997E-2</v>
      </c>
      <c r="X365">
        <f t="shared" si="297"/>
        <v>2.5277999999999998E-2</v>
      </c>
      <c r="Y365">
        <f t="shared" si="297"/>
        <v>1.1887000000000001E-4</v>
      </c>
      <c r="Z365">
        <f t="shared" si="297"/>
        <v>1.1467E-2</v>
      </c>
      <c r="AA365">
        <f t="shared" si="297"/>
        <v>-1.4652E-5</v>
      </c>
      <c r="AB365">
        <f t="shared" si="297"/>
        <v>1.7493E-8</v>
      </c>
      <c r="AC365">
        <f t="shared" si="297"/>
        <v>1.5398E-3</v>
      </c>
      <c r="AD365">
        <f t="shared" si="297"/>
        <v>6.7785999999999996E-4</v>
      </c>
      <c r="AE365">
        <f t="shared" si="297"/>
        <v>7.8450000000000004E-4</v>
      </c>
      <c r="AF365">
        <f t="shared" si="297"/>
        <v>3.1801999999999998E-5</v>
      </c>
      <c r="AG365">
        <f t="shared" si="297"/>
        <v>2.3995000000000002E-3</v>
      </c>
      <c r="AH365">
        <f t="shared" si="297"/>
        <v>3.0509000000000001E-3</v>
      </c>
    </row>
    <row r="366" spans="2:34" x14ac:dyDescent="0.25">
      <c r="B366" s="59" t="str">
        <f>C359</f>
        <v>6_Hub_10000km</v>
      </c>
      <c r="C366" s="59" t="s">
        <v>806</v>
      </c>
      <c r="D366" s="59">
        <f>SUM(D359:D365)</f>
        <v>1</v>
      </c>
      <c r="E366" s="59" t="s">
        <v>105</v>
      </c>
      <c r="F366" s="59"/>
      <c r="G366" s="59">
        <f>SUMPRODUCT($D359:$D365,G359:G365)</f>
        <v>0.55807443864229767</v>
      </c>
      <c r="H366" s="59">
        <f t="shared" ref="H366:AH366" si="298">SUMPRODUCT($D359:$D365,H359:H365)</f>
        <v>0.14502702610966056</v>
      </c>
      <c r="I366" s="59">
        <f t="shared" si="298"/>
        <v>6.4028618798955614</v>
      </c>
      <c r="J366" s="59">
        <f t="shared" si="298"/>
        <v>3.9308293263707578E-2</v>
      </c>
      <c r="K366" s="59">
        <f t="shared" si="298"/>
        <v>3.234064490861619</v>
      </c>
      <c r="L366" s="59">
        <f t="shared" si="298"/>
        <v>1.7778104438642299E-5</v>
      </c>
      <c r="M366" s="59">
        <f t="shared" si="298"/>
        <v>0.14010678328981724</v>
      </c>
      <c r="N366" s="59">
        <f t="shared" si="298"/>
        <v>0.32612060835509138</v>
      </c>
      <c r="O366" s="59">
        <f t="shared" si="298"/>
        <v>0.21511478851174934</v>
      </c>
      <c r="P366" s="59">
        <f t="shared" si="298"/>
        <v>10.502621648391644</v>
      </c>
      <c r="Q366" s="59">
        <f t="shared" si="298"/>
        <v>2.2304780678851176E-2</v>
      </c>
      <c r="R366" s="59">
        <f t="shared" si="298"/>
        <v>0.55251279373368145</v>
      </c>
      <c r="S366" s="59">
        <f t="shared" si="298"/>
        <v>0.16057835509138382</v>
      </c>
      <c r="T366" s="59">
        <f t="shared" si="298"/>
        <v>2.9256590078328981E-2</v>
      </c>
      <c r="U366" s="59">
        <f t="shared" si="298"/>
        <v>4.2270838120104436E-4</v>
      </c>
      <c r="V366" s="59">
        <f t="shared" si="298"/>
        <v>0.2829491644908616</v>
      </c>
      <c r="W366" s="59">
        <f t="shared" si="298"/>
        <v>0.20792962140992163</v>
      </c>
      <c r="X366" s="59">
        <f t="shared" si="298"/>
        <v>2.5155352480417753E-2</v>
      </c>
      <c r="Y366" s="59">
        <f t="shared" si="298"/>
        <v>1.2840164490861619E-4</v>
      </c>
      <c r="Z366" s="59">
        <f t="shared" si="298"/>
        <v>1.1870924281984335E-2</v>
      </c>
      <c r="AA366" s="59">
        <f t="shared" si="298"/>
        <v>-2.1383368146214101E-5</v>
      </c>
      <c r="AB366" s="59">
        <f t="shared" si="298"/>
        <v>1.8177725848563967E-8</v>
      </c>
      <c r="AC366" s="59">
        <f t="shared" si="298"/>
        <v>1.1827540469973889E-3</v>
      </c>
      <c r="AD366" s="59">
        <f t="shared" si="298"/>
        <v>8.7289798955613579E-4</v>
      </c>
      <c r="AE366" s="59">
        <f t="shared" si="298"/>
        <v>1.4731127676240212E-3</v>
      </c>
      <c r="AF366" s="59">
        <f t="shared" si="298"/>
        <v>2.9169060052219323E-5</v>
      </c>
      <c r="AG366" s="59">
        <f t="shared" si="298"/>
        <v>2.5840817232375981E-3</v>
      </c>
      <c r="AH366" s="59">
        <f t="shared" si="298"/>
        <v>2.4562462140992167E-3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F6BC5-42D3-4E8E-8291-08C39069DCA5}">
  <sheetPr codeName="Sheet12"/>
  <dimension ref="B2:BP44"/>
  <sheetViews>
    <sheetView zoomScale="70" zoomScaleNormal="70" workbookViewId="0">
      <selection activeCell="D26" sqref="D26"/>
    </sheetView>
  </sheetViews>
  <sheetFormatPr defaultRowHeight="15" x14ac:dyDescent="0.25"/>
  <cols>
    <col min="2" max="2" width="10.7109375" customWidth="1"/>
    <col min="3" max="3" width="26.85546875" bestFit="1" customWidth="1"/>
    <col min="4" max="4" width="74.28515625" bestFit="1" customWidth="1"/>
    <col min="5" max="6" width="10.7109375" customWidth="1"/>
    <col min="7" max="7" width="16.85546875" bestFit="1" customWidth="1"/>
    <col min="8" max="27" width="10.7109375" customWidth="1"/>
    <col min="28" max="28" width="11.5703125" customWidth="1"/>
    <col min="29" max="35" width="10.7109375" customWidth="1"/>
    <col min="37" max="64" width="10.7109375" customWidth="1"/>
  </cols>
  <sheetData>
    <row r="2" spans="2:68" x14ac:dyDescent="0.25">
      <c r="B2" s="177" t="s">
        <v>891</v>
      </c>
      <c r="C2" s="178" t="s">
        <v>126</v>
      </c>
      <c r="D2" s="178" t="s">
        <v>111</v>
      </c>
      <c r="E2" s="178" t="str">
        <f>Waste_LCIA!E2</f>
        <v>Value</v>
      </c>
      <c r="F2" s="178" t="str">
        <f>Waste_LCIA!F2</f>
        <v>Unit</v>
      </c>
      <c r="G2" s="178" t="str">
        <f>Waste_LCIA!G2</f>
        <v>Source</v>
      </c>
      <c r="H2" s="178" t="str">
        <f>Waste_LCIA!H2</f>
        <v>GWP</v>
      </c>
      <c r="I2" s="178" t="str">
        <f>Waste_LCIA!I2</f>
        <v>biomass</v>
      </c>
      <c r="J2" s="178" t="str">
        <f>Waste_LCIA!J2</f>
        <v>fossil</v>
      </c>
      <c r="K2" s="178" t="str">
        <f>Waste_LCIA!K2</f>
        <v>geothermal</v>
      </c>
      <c r="L2" s="178" t="str">
        <f>Waste_LCIA!L2</f>
        <v>nuclear</v>
      </c>
      <c r="M2" s="178" t="str">
        <f>Waste_LCIA!M2</f>
        <v>primary forest</v>
      </c>
      <c r="N2" s="178" t="str">
        <f>Waste_LCIA!N2</f>
        <v>solar</v>
      </c>
      <c r="O2" s="178" t="str">
        <f>Waste_LCIA!O2</f>
        <v>water</v>
      </c>
      <c r="P2" s="178" t="str">
        <f>Waste_LCIA!P2</f>
        <v>wind</v>
      </c>
      <c r="Q2" s="178" t="str">
        <f>Waste_LCIA!Q2</f>
        <v>CED</v>
      </c>
      <c r="R2" s="178" t="str">
        <f>Waste_LCIA!R2</f>
        <v>ALOP</v>
      </c>
      <c r="S2" s="178" t="str">
        <f>Waste_LCIA!S2</f>
        <v>GWP100</v>
      </c>
      <c r="T2" s="178" t="str">
        <f>Waste_LCIA!T2</f>
        <v>FDP</v>
      </c>
      <c r="U2" s="178" t="str">
        <f>Waste_LCIA!U2</f>
        <v>FETPinf</v>
      </c>
      <c r="V2" s="178" t="str">
        <f>Waste_LCIA!V2</f>
        <v>FEP</v>
      </c>
      <c r="W2" s="178" t="str">
        <f>Waste_LCIA!W2</f>
        <v>HTPinf</v>
      </c>
      <c r="X2" s="178" t="str">
        <f>Waste_LCIA!X2</f>
        <v>IRP_HE</v>
      </c>
      <c r="Y2" s="178" t="str">
        <f>Waste_LCIA!Y2</f>
        <v>METPinf</v>
      </c>
      <c r="Z2" s="178" t="str">
        <f>Waste_LCIA!Z2</f>
        <v>MEP</v>
      </c>
      <c r="AA2" s="178" t="str">
        <f>Waste_LCIA!AA2</f>
        <v>MDP</v>
      </c>
      <c r="AB2" s="178" t="str">
        <f>Waste_LCIA!AB2</f>
        <v>NLTP</v>
      </c>
      <c r="AC2" s="178" t="str">
        <f>Waste_LCIA!AC2</f>
        <v>ODPinf</v>
      </c>
      <c r="AD2" s="178" t="str">
        <f>Waste_LCIA!AD2</f>
        <v>PMFP</v>
      </c>
      <c r="AE2" s="178" t="str">
        <f>Waste_LCIA!AE2</f>
        <v>POFP</v>
      </c>
      <c r="AF2" s="178" t="str">
        <f>Waste_LCIA!AF2</f>
        <v>TAP100</v>
      </c>
      <c r="AG2" s="178" t="str">
        <f>Waste_LCIA!AG2</f>
        <v>TETPinf</v>
      </c>
      <c r="AH2" s="178" t="str">
        <f>Waste_LCIA!AH2</f>
        <v>ULOP</v>
      </c>
      <c r="AI2" s="179" t="str">
        <f>Waste_LCIA!AI2</f>
        <v>WDP</v>
      </c>
      <c r="AJ2" s="16"/>
      <c r="AK2" s="16" t="str">
        <f>H2</f>
        <v>GWP</v>
      </c>
      <c r="AL2" s="16" t="str">
        <f t="shared" ref="AL2:BD2" si="0">I2</f>
        <v>biomass</v>
      </c>
      <c r="AM2" s="16" t="str">
        <f t="shared" si="0"/>
        <v>fossil</v>
      </c>
      <c r="AN2" s="16" t="str">
        <f t="shared" si="0"/>
        <v>geothermal</v>
      </c>
      <c r="AO2" s="16" t="str">
        <f t="shared" si="0"/>
        <v>nuclear</v>
      </c>
      <c r="AP2" s="16" t="str">
        <f t="shared" si="0"/>
        <v>primary forest</v>
      </c>
      <c r="AQ2" s="16" t="str">
        <f t="shared" si="0"/>
        <v>solar</v>
      </c>
      <c r="AR2" s="16" t="str">
        <f t="shared" si="0"/>
        <v>water</v>
      </c>
      <c r="AS2" s="16" t="str">
        <f t="shared" si="0"/>
        <v>wind</v>
      </c>
      <c r="AT2" s="16" t="str">
        <f t="shared" si="0"/>
        <v>CED</v>
      </c>
      <c r="AU2" s="16" t="str">
        <f t="shared" si="0"/>
        <v>ALOP</v>
      </c>
      <c r="AV2" s="16" t="str">
        <f t="shared" si="0"/>
        <v>GWP100</v>
      </c>
      <c r="AW2" s="16" t="str">
        <f t="shared" si="0"/>
        <v>FDP</v>
      </c>
      <c r="AX2" s="16" t="str">
        <f t="shared" si="0"/>
        <v>FETPinf</v>
      </c>
      <c r="AY2" s="16" t="str">
        <f t="shared" si="0"/>
        <v>FEP</v>
      </c>
      <c r="AZ2" s="16" t="str">
        <f t="shared" si="0"/>
        <v>HTPinf</v>
      </c>
      <c r="BA2" s="16" t="str">
        <f t="shared" si="0"/>
        <v>IRP_HE</v>
      </c>
      <c r="BB2" s="16" t="str">
        <f t="shared" si="0"/>
        <v>METPinf</v>
      </c>
      <c r="BC2" s="16" t="str">
        <f t="shared" si="0"/>
        <v>MEP</v>
      </c>
      <c r="BD2" s="16" t="str">
        <f t="shared" si="0"/>
        <v>MDP</v>
      </c>
      <c r="BE2" s="16" t="str">
        <f>AB2</f>
        <v>NLTP</v>
      </c>
      <c r="BF2" s="16" t="str">
        <f t="shared" ref="BF2" si="1">AC2</f>
        <v>ODPinf</v>
      </c>
      <c r="BG2" s="16" t="str">
        <f t="shared" ref="BG2" si="2">AD2</f>
        <v>PMFP</v>
      </c>
      <c r="BH2" s="16" t="str">
        <f t="shared" ref="BH2" si="3">AE2</f>
        <v>POFP</v>
      </c>
      <c r="BI2" s="16" t="str">
        <f>AF2</f>
        <v>TAP100</v>
      </c>
      <c r="BJ2" s="16" t="str">
        <f t="shared" ref="BJ2" si="4">AG2</f>
        <v>TETPinf</v>
      </c>
      <c r="BK2" s="16" t="str">
        <f>AH2</f>
        <v>ULOP</v>
      </c>
      <c r="BL2" s="16" t="str">
        <f t="shared" ref="BL2" si="5">AI2</f>
        <v>WDP</v>
      </c>
      <c r="BM2" s="22"/>
      <c r="BN2" s="22"/>
      <c r="BO2" s="22"/>
      <c r="BP2" s="22"/>
    </row>
    <row r="3" spans="2:68" x14ac:dyDescent="0.25">
      <c r="B3" s="269" t="s">
        <v>107</v>
      </c>
      <c r="C3" s="35" t="s">
        <v>185</v>
      </c>
      <c r="D3" s="35" t="str">
        <f>Waste_LCIA!D41</f>
        <v>Waste treatment for guest home</v>
      </c>
      <c r="E3" s="35">
        <v>3</v>
      </c>
      <c r="F3" s="35" t="str">
        <f>Waste_LCIA!F41</f>
        <v>per capita per day</v>
      </c>
      <c r="G3" s="35" t="s">
        <v>992</v>
      </c>
      <c r="H3" s="35">
        <f>Waste_LCIA!H41</f>
        <v>0.92137367923984315</v>
      </c>
      <c r="I3" s="35">
        <f>Waste_LCIA!I41</f>
        <v>7.4150227088990864E-3</v>
      </c>
      <c r="J3" s="35">
        <f>Waste_LCIA!J41</f>
        <v>1.2129314758971097</v>
      </c>
      <c r="K3" s="35">
        <f>Waste_LCIA!K41</f>
        <v>3.4262562692058824E-4</v>
      </c>
      <c r="L3" s="35">
        <f>Waste_LCIA!L41</f>
        <v>2.4021971009863689E-2</v>
      </c>
      <c r="M3" s="35">
        <f>Waste_LCIA!M41</f>
        <v>1.7873447109388084E-5</v>
      </c>
      <c r="N3" s="35">
        <f>Waste_LCIA!N41</f>
        <v>4.2672508138697792E-4</v>
      </c>
      <c r="O3" s="35">
        <f>Waste_LCIA!O41</f>
        <v>1.1288628297498077E-2</v>
      </c>
      <c r="P3" s="35">
        <f>Waste_LCIA!P41</f>
        <v>2.6948629762521352E-3</v>
      </c>
      <c r="Q3" s="35">
        <f>Waste_LCIA!Q41</f>
        <v>1.25913918504504</v>
      </c>
      <c r="R3" s="35">
        <f>Waste_LCIA!R41</f>
        <v>2.7132474415289547E-3</v>
      </c>
      <c r="S3" s="35">
        <f>Waste_LCIA!S41</f>
        <v>0.78474574403342623</v>
      </c>
      <c r="T3" s="35">
        <f>Waste_LCIA!T41</f>
        <v>2.8470261638007841E-2</v>
      </c>
      <c r="U3" s="35">
        <f>Waste_LCIA!U41</f>
        <v>6.6251684209978234E-2</v>
      </c>
      <c r="V3" s="35">
        <f>Waste_LCIA!V41</f>
        <v>5.0359345409850282E-5</v>
      </c>
      <c r="W3" s="35">
        <f>Waste_LCIA!W41</f>
        <v>0.21849105035983196</v>
      </c>
      <c r="X3" s="35">
        <f>Waste_LCIA!X41</f>
        <v>5.2985656210469906E-3</v>
      </c>
      <c r="Y3" s="35">
        <f>Waste_LCIA!Y41</f>
        <v>5.7447430559831557E-2</v>
      </c>
      <c r="Z3" s="35">
        <f>Waste_LCIA!Z41</f>
        <v>3.4569733566296012E-3</v>
      </c>
      <c r="AA3" s="35">
        <f>Waste_LCIA!AA41</f>
        <v>1.9033977066202233E-3</v>
      </c>
      <c r="AB3" s="35">
        <f>Waste_LCIA!AB41</f>
        <v>-7.6088010348561488E-6</v>
      </c>
      <c r="AC3" s="35">
        <f>Waste_LCIA!AC41</f>
        <v>1.2305274251532301E-8</v>
      </c>
      <c r="AD3" s="35">
        <f>Waste_LCIA!AD41</f>
        <v>2.3365090367886924E-4</v>
      </c>
      <c r="AE3" s="35">
        <f>Waste_LCIA!AE41</f>
        <v>3.0384008492186092E-3</v>
      </c>
      <c r="AF3" s="35">
        <f>Waste_LCIA!AF41</f>
        <v>5.26011269350906E-4</v>
      </c>
      <c r="AG3" s="35">
        <f>Waste_LCIA!AG41</f>
        <v>3.0102712436936056E-5</v>
      </c>
      <c r="AH3" s="35">
        <f>Waste_LCIA!AH41</f>
        <v>4.8592448613655088E-3</v>
      </c>
      <c r="AI3" s="180">
        <f>Waste_LCIA!AI41</f>
        <v>7.5341690340503082E-4</v>
      </c>
      <c r="AJ3" s="16"/>
      <c r="AK3" s="16">
        <f>$E3*H3*18%</f>
        <v>0.49754178678951533</v>
      </c>
      <c r="AL3" s="16">
        <f>$E3*I3*18%</f>
        <v>4.0041122628055063E-3</v>
      </c>
      <c r="AM3" s="16">
        <f t="shared" ref="AL3:BL7" si="6">$E3*J3*18%</f>
        <v>0.65498299698443929</v>
      </c>
      <c r="AN3" s="16">
        <f t="shared" si="6"/>
        <v>1.8501783853711767E-4</v>
      </c>
      <c r="AO3" s="16">
        <f t="shared" si="6"/>
        <v>1.297186434532639E-2</v>
      </c>
      <c r="AP3" s="16">
        <f t="shared" si="6"/>
        <v>9.651661439069565E-6</v>
      </c>
      <c r="AQ3" s="16">
        <f t="shared" si="6"/>
        <v>2.3043154394896808E-4</v>
      </c>
      <c r="AR3" s="16">
        <f t="shared" si="6"/>
        <v>6.095859280648961E-3</v>
      </c>
      <c r="AS3" s="16">
        <f t="shared" si="6"/>
        <v>1.4552260071761529E-3</v>
      </c>
      <c r="AT3" s="16">
        <f t="shared" si="6"/>
        <v>0.67993515992432152</v>
      </c>
      <c r="AU3" s="16">
        <f t="shared" si="6"/>
        <v>1.4651536184256356E-3</v>
      </c>
      <c r="AV3" s="16">
        <f t="shared" si="6"/>
        <v>0.4237627017780502</v>
      </c>
      <c r="AW3" s="16">
        <f t="shared" si="6"/>
        <v>1.5373941284524234E-2</v>
      </c>
      <c r="AX3" s="16">
        <f t="shared" si="6"/>
        <v>3.5775909473388247E-2</v>
      </c>
      <c r="AY3" s="16">
        <f t="shared" si="6"/>
        <v>2.719404652131915E-5</v>
      </c>
      <c r="AZ3" s="16">
        <f t="shared" si="6"/>
        <v>0.11798516719430925</v>
      </c>
      <c r="BA3" s="16">
        <f t="shared" si="6"/>
        <v>2.8612254353653751E-3</v>
      </c>
      <c r="BB3" s="16">
        <f t="shared" si="6"/>
        <v>3.1021612502309039E-2</v>
      </c>
      <c r="BC3" s="16">
        <f t="shared" si="6"/>
        <v>1.8667656125799846E-3</v>
      </c>
      <c r="BD3" s="16">
        <f t="shared" si="6"/>
        <v>1.0278347615749206E-3</v>
      </c>
      <c r="BE3" s="16">
        <f t="shared" si="6"/>
        <v>-4.1087525588223203E-6</v>
      </c>
      <c r="BF3" s="16">
        <f t="shared" si="6"/>
        <v>6.6448480958274426E-9</v>
      </c>
      <c r="BG3" s="16">
        <f t="shared" si="6"/>
        <v>1.2617148798658941E-4</v>
      </c>
      <c r="BH3" s="16">
        <f t="shared" si="6"/>
        <v>1.6407364585780491E-3</v>
      </c>
      <c r="BI3" s="16">
        <f t="shared" si="6"/>
        <v>2.8404608544948921E-4</v>
      </c>
      <c r="BJ3" s="16">
        <f t="shared" si="6"/>
        <v>1.625546471594547E-5</v>
      </c>
      <c r="BK3" s="16">
        <f t="shared" si="6"/>
        <v>2.6239922251373748E-3</v>
      </c>
      <c r="BL3" s="16">
        <f t="shared" si="6"/>
        <v>4.0684512783871663E-4</v>
      </c>
    </row>
    <row r="4" spans="2:68" x14ac:dyDescent="0.25">
      <c r="B4" s="269"/>
      <c r="C4" s="35" t="s">
        <v>236</v>
      </c>
      <c r="D4" s="35" t="s">
        <v>239</v>
      </c>
      <c r="E4" s="35">
        <f>Accommodation!C3*3</f>
        <v>36.057534246575344</v>
      </c>
      <c r="F4" s="35" t="s">
        <v>105</v>
      </c>
      <c r="G4" s="35" t="s">
        <v>183</v>
      </c>
      <c r="H4" s="35">
        <f>'ACLCA_raw data'!P18</f>
        <v>0.61436999999999997</v>
      </c>
      <c r="I4" s="35">
        <f>'ACLCA_raw data'!Q18</f>
        <v>8.2399E-2</v>
      </c>
      <c r="J4" s="35">
        <f>'ACLCA_raw data'!R18</f>
        <v>6.7473999999999998</v>
      </c>
      <c r="K4" s="35">
        <f>'ACLCA_raw data'!S18</f>
        <v>4.0428000000000003E-4</v>
      </c>
      <c r="L4" s="35">
        <f>'ACLCA_raw data'!T18</f>
        <v>4.3425000000000002</v>
      </c>
      <c r="M4" s="35">
        <f>'ACLCA_raw data'!U18</f>
        <v>1.3322000000000001E-5</v>
      </c>
      <c r="N4" s="35">
        <f>'ACLCA_raw data'!V18</f>
        <v>1.5082999999999999E-2</v>
      </c>
      <c r="O4" s="35">
        <f>'ACLCA_raw data'!W18</f>
        <v>6.8917000000000006E-2</v>
      </c>
      <c r="P4" s="35">
        <f>'ACLCA_raw data'!X18</f>
        <v>0.1275</v>
      </c>
      <c r="Q4" s="35">
        <f>'ACLCA_raw data'!Y18</f>
        <v>11.384216602</v>
      </c>
      <c r="R4" s="35">
        <f>'ACLCA_raw data'!Z18</f>
        <v>1.3875999999999999E-2</v>
      </c>
      <c r="S4" s="35">
        <f>'ACLCA_raw data'!AA18</f>
        <v>0.60836999999999997</v>
      </c>
      <c r="T4" s="35">
        <f>'ACLCA_raw data'!AB18</f>
        <v>0.16855999999999999</v>
      </c>
      <c r="U4" s="35">
        <f>'ACLCA_raw data'!AC18</f>
        <v>2.7827999999999999E-2</v>
      </c>
      <c r="V4" s="35">
        <f>'ACLCA_raw data'!AD18</f>
        <v>3.4965000000000002E-4</v>
      </c>
      <c r="W4" s="35">
        <f>'ACLCA_raw data'!AE18</f>
        <v>0.24507000000000001</v>
      </c>
      <c r="X4" s="35">
        <f>'ACLCA_raw data'!AF18</f>
        <v>0.28216999999999998</v>
      </c>
      <c r="Y4" s="35">
        <f>'ACLCA_raw data'!AG18</f>
        <v>2.3791E-2</v>
      </c>
      <c r="Z4" s="35">
        <f>'ACLCA_raw data'!AH18</f>
        <v>1.1882E-4</v>
      </c>
      <c r="AA4" s="35">
        <f>'ACLCA_raw data'!AI18</f>
        <v>1.1622E-2</v>
      </c>
      <c r="AB4" s="35">
        <f>'ACLCA_raw data'!AJ18</f>
        <v>-2.4247999999999999E-5</v>
      </c>
      <c r="AC4" s="35">
        <f>'ACLCA_raw data'!AK18</f>
        <v>1.8053E-8</v>
      </c>
      <c r="AD4" s="35">
        <f>'ACLCA_raw data'!AL18</f>
        <v>1.1259E-3</v>
      </c>
      <c r="AE4" s="35">
        <f>'ACLCA_raw data'!AM18</f>
        <v>9.8528999999999999E-4</v>
      </c>
      <c r="AF4" s="35">
        <f>'ACLCA_raw data'!AN18</f>
        <v>1.8718000000000001E-3</v>
      </c>
      <c r="AG4" s="35">
        <f>'ACLCA_raw data'!AO18</f>
        <v>2.6829999999999999E-5</v>
      </c>
      <c r="AH4" s="35">
        <f>'ACLCA_raw data'!AP18</f>
        <v>2.5512999999999998E-3</v>
      </c>
      <c r="AI4" s="180">
        <f>'ACLCA_raw data'!AQ18</f>
        <v>2.2418E-3</v>
      </c>
      <c r="AK4" s="16">
        <f t="shared" ref="AK4:AK7" si="7">$E4*H4*18%</f>
        <v>3.9874801167123284</v>
      </c>
      <c r="AL4" s="16">
        <f t="shared" si="6"/>
        <v>0.53479885758904111</v>
      </c>
      <c r="AM4" s="16">
        <f t="shared" si="6"/>
        <v>43.793029183561643</v>
      </c>
      <c r="AN4" s="16">
        <f t="shared" si="6"/>
        <v>2.6239211901369864E-3</v>
      </c>
      <c r="AO4" s="16">
        <f t="shared" si="6"/>
        <v>28.184371643835618</v>
      </c>
      <c r="AP4" s="16">
        <f t="shared" si="6"/>
        <v>8.6464524821917808E-5</v>
      </c>
      <c r="AQ4" s="16">
        <f t="shared" si="6"/>
        <v>9.7894042027397252E-2</v>
      </c>
      <c r="AR4" s="16">
        <f t="shared" si="6"/>
        <v>0.44729587578082197</v>
      </c>
      <c r="AS4" s="16">
        <f t="shared" si="6"/>
        <v>0.82752041095890416</v>
      </c>
      <c r="AT4" s="16">
        <f t="shared" si="6"/>
        <v>73.887620399468389</v>
      </c>
      <c r="AU4" s="16">
        <f t="shared" si="6"/>
        <v>9.00601821369863E-2</v>
      </c>
      <c r="AV4" s="16">
        <f t="shared" si="6"/>
        <v>3.9485379797260274</v>
      </c>
      <c r="AW4" s="16">
        <f t="shared" si="6"/>
        <v>1.0940144350684931</v>
      </c>
      <c r="AX4" s="16">
        <f t="shared" si="6"/>
        <v>0.18061363134246575</v>
      </c>
      <c r="AY4" s="16">
        <f t="shared" si="6"/>
        <v>2.2693530328767122E-3</v>
      </c>
      <c r="AZ4" s="16">
        <f t="shared" si="6"/>
        <v>1.5905915852054795</v>
      </c>
      <c r="BA4" s="16">
        <f t="shared" si="6"/>
        <v>1.8313837989041093</v>
      </c>
      <c r="BB4" s="16">
        <f t="shared" si="6"/>
        <v>0.1544120635068493</v>
      </c>
      <c r="BC4" s="16">
        <f t="shared" si="6"/>
        <v>7.7118411945205476E-4</v>
      </c>
      <c r="BD4" s="16">
        <f t="shared" si="6"/>
        <v>7.5430919342465749E-2</v>
      </c>
      <c r="BE4" s="16">
        <f t="shared" si="6"/>
        <v>-1.5737815627397259E-4</v>
      </c>
      <c r="BF4" s="16">
        <f t="shared" si="6"/>
        <v>1.1717039983561643E-7</v>
      </c>
      <c r="BG4" s="16">
        <f t="shared" si="6"/>
        <v>7.3074920054794516E-3</v>
      </c>
      <c r="BH4" s="16">
        <f t="shared" si="6"/>
        <v>6.3948830252054788E-3</v>
      </c>
      <c r="BI4" s="16">
        <f t="shared" si="6"/>
        <v>1.2148648668493151E-2</v>
      </c>
      <c r="BJ4" s="16">
        <f t="shared" si="6"/>
        <v>1.7413625589041097E-4</v>
      </c>
      <c r="BK4" s="16">
        <f t="shared" si="6"/>
        <v>1.6558845682191781E-2</v>
      </c>
      <c r="BL4" s="16">
        <f t="shared" si="6"/>
        <v>1.4550080449315068E-2</v>
      </c>
    </row>
    <row r="5" spans="2:68" x14ac:dyDescent="0.25">
      <c r="B5" s="269"/>
      <c r="C5" s="35" t="s">
        <v>237</v>
      </c>
      <c r="D5" s="35" t="s">
        <v>190</v>
      </c>
      <c r="E5" s="35">
        <f>Accommodation!I3*3</f>
        <v>147.74281590195841</v>
      </c>
      <c r="F5" s="35" t="s">
        <v>187</v>
      </c>
      <c r="G5" s="35" t="s">
        <v>183</v>
      </c>
      <c r="H5" s="35">
        <v>7.1299000000000001E-2</v>
      </c>
      <c r="I5" s="35">
        <v>1.1628999999999999E-3</v>
      </c>
      <c r="J5" s="35">
        <v>1.1308</v>
      </c>
      <c r="K5" s="35">
        <v>9.9963000000000005E-5</v>
      </c>
      <c r="L5" s="35">
        <v>5.5043999999999996E-3</v>
      </c>
      <c r="M5" s="35">
        <v>7.0716000000000002E-6</v>
      </c>
      <c r="N5" s="35">
        <v>1.9375999999999999E-4</v>
      </c>
      <c r="O5" s="35">
        <v>3.1161000000000001E-3</v>
      </c>
      <c r="P5" s="35">
        <v>6.6029999999999995E-4</v>
      </c>
      <c r="Q5" s="35">
        <v>1.1415444946</v>
      </c>
      <c r="R5" s="35">
        <v>2.096E-4</v>
      </c>
      <c r="S5" s="35">
        <v>6.9820999999999994E-2</v>
      </c>
      <c r="T5" s="35">
        <v>3.2570000000000002E-2</v>
      </c>
      <c r="U5" s="35">
        <v>4.1967000000000003E-4</v>
      </c>
      <c r="V5" s="35">
        <v>1.7869E-6</v>
      </c>
      <c r="W5" s="35">
        <v>3.1952999999999999E-3</v>
      </c>
      <c r="X5" s="35">
        <v>4.5014000000000002E-4</v>
      </c>
      <c r="Y5" s="35">
        <v>2.4911999999999997E-4</v>
      </c>
      <c r="Z5" s="35">
        <v>2.1670000000000002E-6</v>
      </c>
      <c r="AA5" s="35">
        <v>4.6640000000000001E-4</v>
      </c>
      <c r="AB5" s="35">
        <v>-3.1935000000000001E-7</v>
      </c>
      <c r="AC5" s="35">
        <v>5.8852999999999999E-9</v>
      </c>
      <c r="AD5" s="35">
        <v>2.1505000000000002E-5</v>
      </c>
      <c r="AE5" s="35">
        <v>6.8045000000000003E-5</v>
      </c>
      <c r="AF5" s="35">
        <v>5.8721999999999998E-5</v>
      </c>
      <c r="AG5" s="35">
        <v>3.5626E-6</v>
      </c>
      <c r="AH5" s="35">
        <v>2.2020000000000001E-4</v>
      </c>
      <c r="AI5" s="180">
        <v>2.6978000000000002E-5</v>
      </c>
      <c r="AK5" s="16">
        <f t="shared" si="7"/>
        <v>1.8961047055788718</v>
      </c>
      <c r="AL5" s="16">
        <f t="shared" si="6"/>
        <v>3.0925821710229735E-2</v>
      </c>
      <c r="AM5" s="16">
        <f t="shared" si="6"/>
        <v>30.072163719948218</v>
      </c>
      <c r="AN5" s="16">
        <f t="shared" si="6"/>
        <v>2.6583867190813444E-3</v>
      </c>
      <c r="AO5" s="16">
        <f t="shared" si="6"/>
        <v>0.14638240005313316</v>
      </c>
      <c r="AP5" s="16">
        <f t="shared" si="6"/>
        <v>1.8806005744781204E-4</v>
      </c>
      <c r="AQ5" s="16">
        <f t="shared" si="6"/>
        <v>5.1527966416494222E-3</v>
      </c>
      <c r="AR5" s="16">
        <f t="shared" si="6"/>
        <v>8.2868649953776671E-2</v>
      </c>
      <c r="AS5" s="16">
        <f t="shared" si="6"/>
        <v>1.7559824641211363E-2</v>
      </c>
      <c r="AT5" s="16">
        <f t="shared" si="6"/>
        <v>30.357899659724751</v>
      </c>
      <c r="AU5" s="16">
        <f t="shared" si="6"/>
        <v>5.5740409583490864E-3</v>
      </c>
      <c r="AV5" s="16">
        <f t="shared" si="6"/>
        <v>1.8567992068363148</v>
      </c>
      <c r="AW5" s="16">
        <f t="shared" si="6"/>
        <v>0.8661570325068213</v>
      </c>
      <c r="AX5" s="16">
        <f t="shared" si="6"/>
        <v>1.1160580958923479E-2</v>
      </c>
      <c r="AY5" s="16">
        <f t="shared" si="6"/>
        <v>4.7520294792337702E-5</v>
      </c>
      <c r="AZ5" s="16">
        <f t="shared" si="6"/>
        <v>8.4974871537274982E-2</v>
      </c>
      <c r="BA5" s="16">
        <f t="shared" si="6"/>
        <v>1.1970891207019361E-2</v>
      </c>
      <c r="BB5" s="16">
        <f t="shared" si="6"/>
        <v>6.6250242535492573E-3</v>
      </c>
      <c r="BC5" s="16">
        <f t="shared" si="6"/>
        <v>5.7628562770717903E-5</v>
      </c>
      <c r="BD5" s="16">
        <f t="shared" si="6"/>
        <v>1.2403304880601212E-2</v>
      </c>
      <c r="BE5" s="16">
        <f t="shared" si="6"/>
        <v>-8.4927002864922748E-6</v>
      </c>
      <c r="BF5" s="16">
        <f t="shared" si="6"/>
        <v>1.5651194299700322E-7</v>
      </c>
      <c r="BG5" s="16">
        <f t="shared" si="6"/>
        <v>5.718976660748908E-4</v>
      </c>
      <c r="BH5" s="16">
        <f t="shared" si="6"/>
        <v>1.8095687834487767E-3</v>
      </c>
      <c r="BI5" s="16">
        <f t="shared" si="6"/>
        <v>1.5616356543710641E-3</v>
      </c>
      <c r="BJ5" s="16">
        <f t="shared" si="6"/>
        <v>9.4742740067817069E-5</v>
      </c>
      <c r="BK5" s="16">
        <f t="shared" si="6"/>
        <v>5.8559342510900239E-3</v>
      </c>
      <c r="BL5" s="16">
        <f t="shared" si="6"/>
        <v>7.1744502373254613E-4</v>
      </c>
    </row>
    <row r="6" spans="2:68" x14ac:dyDescent="0.25">
      <c r="B6" s="269"/>
      <c r="C6" s="35" t="s">
        <v>238</v>
      </c>
      <c r="D6" s="35" t="str">
        <f>Summary_LCIA!D10</f>
        <v>market group for tap water, GLO</v>
      </c>
      <c r="E6" s="35">
        <f>Accommodation!F3*3</f>
        <v>651.84760200000005</v>
      </c>
      <c r="F6" s="35" t="str">
        <f>Summary_LCIA!F10</f>
        <v>kg</v>
      </c>
      <c r="G6" s="35" t="str">
        <f>Summary_LCIA!G10</f>
        <v>Ecoinvent v3.7.1</v>
      </c>
      <c r="H6" s="35">
        <f>Summary_LCIA!H10</f>
        <v>7.8616999999999999E-4</v>
      </c>
      <c r="I6" s="35">
        <f>Summary_LCIA!I10</f>
        <v>1.9751E-4</v>
      </c>
      <c r="J6" s="35">
        <f>Summary_LCIA!J10</f>
        <v>9.4672000000000003E-3</v>
      </c>
      <c r="K6" s="35">
        <f>Summary_LCIA!K10</f>
        <v>3.2061999999999999E-5</v>
      </c>
      <c r="L6" s="35">
        <f>Summary_LCIA!L10</f>
        <v>2.1827999999999999E-3</v>
      </c>
      <c r="M6" s="35">
        <f>Summary_LCIA!M10</f>
        <v>3.3095999999999999E-7</v>
      </c>
      <c r="N6" s="35">
        <f>Summary_LCIA!N10</f>
        <v>2.3504E-6</v>
      </c>
      <c r="O6" s="35">
        <f>Summary_LCIA!O10</f>
        <v>6.9337999999999995E-4</v>
      </c>
      <c r="P6" s="35">
        <f>Summary_LCIA!P10</f>
        <v>2.4444000000000001E-4</v>
      </c>
      <c r="Q6" s="35">
        <f>Summary_LCIA!Q10</f>
        <v>1.282007336E-2</v>
      </c>
      <c r="R6" s="35">
        <f>Summary_LCIA!R10</f>
        <v>3.6423E-5</v>
      </c>
      <c r="S6" s="35">
        <f>Summary_LCIA!S10</f>
        <v>7.6884000000000002E-4</v>
      </c>
      <c r="T6" s="35">
        <f>Summary_LCIA!T10</f>
        <v>2.3416999999999999E-4</v>
      </c>
      <c r="U6" s="35">
        <f>Summary_LCIA!U10</f>
        <v>1.8153000000000001E-5</v>
      </c>
      <c r="V6" s="35">
        <f>Summary_LCIA!V10</f>
        <v>4.4477999999999999E-7</v>
      </c>
      <c r="W6" s="35">
        <f>Summary_LCIA!W10</f>
        <v>4.2660000000000002E-4</v>
      </c>
      <c r="X6" s="35">
        <f>Summary_LCIA!X10</f>
        <v>1.4076E-4</v>
      </c>
      <c r="Y6" s="35">
        <f>Summary_LCIA!Y10</f>
        <v>1.6370000000000001E-5</v>
      </c>
      <c r="Z6" s="35">
        <f>Summary_LCIA!Z10</f>
        <v>2.2333999999999999E-7</v>
      </c>
      <c r="AA6" s="35">
        <f>Summary_LCIA!AA10</f>
        <v>2.0411000000000002E-5</v>
      </c>
      <c r="AB6" s="35">
        <f>Summary_LCIA!AB10</f>
        <v>-6.3623E-8</v>
      </c>
      <c r="AC6" s="35">
        <f>Summary_LCIA!AC10</f>
        <v>1.6629E-10</v>
      </c>
      <c r="AD6" s="35">
        <f>Summary_LCIA!AD10</f>
        <v>2.0271999999999998E-6</v>
      </c>
      <c r="AE6" s="35">
        <f>Summary_LCIA!AE10</f>
        <v>2.4003999999999999E-6</v>
      </c>
      <c r="AF6" s="35">
        <f>Summary_LCIA!AF10</f>
        <v>3.0645999999999998E-6</v>
      </c>
      <c r="AG6" s="35">
        <f>Summary_LCIA!AG10</f>
        <v>7.2106999999999998E-8</v>
      </c>
      <c r="AH6" s="35">
        <f>Summary_LCIA!AH10</f>
        <v>7.5768E-6</v>
      </c>
      <c r="AI6" s="180">
        <f>Summary_LCIA!AI10</f>
        <v>1.0698E-5</v>
      </c>
      <c r="AK6" s="16">
        <f t="shared" si="7"/>
        <v>9.2243345267581212E-2</v>
      </c>
      <c r="AL6" s="16">
        <f t="shared" si="6"/>
        <v>2.3174355576783601E-2</v>
      </c>
      <c r="AM6" s="16">
        <f t="shared" si="6"/>
        <v>1.1108108911777921</v>
      </c>
      <c r="AN6" s="16">
        <f t="shared" si="6"/>
        <v>3.7619168067583204E-3</v>
      </c>
      <c r="AO6" s="16">
        <f t="shared" si="6"/>
        <v>0.25611353021620797</v>
      </c>
      <c r="AP6" s="16">
        <f t="shared" si="6"/>
        <v>3.8832386824425603E-5</v>
      </c>
      <c r="AQ6" s="16">
        <f t="shared" si="6"/>
        <v>2.7577846867334396E-4</v>
      </c>
      <c r="AR6" s="16">
        <f t="shared" si="6"/>
        <v>8.1356056249456798E-2</v>
      </c>
      <c r="AS6" s="16">
        <f t="shared" si="6"/>
        <v>2.8680773009918403E-2</v>
      </c>
      <c r="AT6" s="16">
        <f t="shared" si="6"/>
        <v>1.504212133892415</v>
      </c>
      <c r="AU6" s="16">
        <f t="shared" si="6"/>
        <v>4.2736041373762808E-3</v>
      </c>
      <c r="AV6" s="16">
        <f t="shared" si="6"/>
        <v>9.0209971857902402E-2</v>
      </c>
      <c r="AW6" s="16">
        <f t="shared" si="6"/>
        <v>2.7475767532861201E-2</v>
      </c>
      <c r="AX6" s="16">
        <f t="shared" si="6"/>
        <v>2.1299381134390802E-3</v>
      </c>
      <c r="AY6" s="16">
        <f t="shared" si="6"/>
        <v>5.2187179755160803E-5</v>
      </c>
      <c r="AZ6" s="16">
        <f t="shared" si="6"/>
        <v>5.0054073662376006E-2</v>
      </c>
      <c r="BA6" s="16">
        <f t="shared" si="6"/>
        <v>1.65157323223536E-2</v>
      </c>
      <c r="BB6" s="16">
        <f t="shared" si="6"/>
        <v>1.9207341440532003E-3</v>
      </c>
      <c r="BC6" s="16">
        <f t="shared" si="6"/>
        <v>2.6205055817522402E-5</v>
      </c>
      <c r="BD6" s="16">
        <f t="shared" si="6"/>
        <v>2.3948750527959602E-3</v>
      </c>
      <c r="BE6" s="16">
        <f t="shared" si="6"/>
        <v>-7.4650499967682803E-6</v>
      </c>
      <c r="BF6" s="16">
        <f t="shared" si="6"/>
        <v>1.9511232792584402E-8</v>
      </c>
      <c r="BG6" s="16">
        <f t="shared" si="6"/>
        <v>2.3785658257939198E-4</v>
      </c>
      <c r="BH6" s="16">
        <f t="shared" si="6"/>
        <v>2.8164509709134399E-4</v>
      </c>
      <c r="BI6" s="16">
        <f t="shared" si="6"/>
        <v>3.5957738899605599E-4</v>
      </c>
      <c r="BJ6" s="16">
        <f t="shared" si="6"/>
        <v>8.4604995067345201E-6</v>
      </c>
      <c r="BK6" s="16">
        <f t="shared" si="6"/>
        <v>8.89005403950048E-4</v>
      </c>
      <c r="BL6" s="16">
        <f t="shared" si="6"/>
        <v>1.2552238163152801E-3</v>
      </c>
    </row>
    <row r="7" spans="2:68" x14ac:dyDescent="0.25">
      <c r="B7" s="269"/>
      <c r="C7" s="35" t="s">
        <v>189</v>
      </c>
      <c r="D7" s="35" t="s">
        <v>191</v>
      </c>
      <c r="E7" s="35">
        <f>E6/1000</f>
        <v>0.65184760200000003</v>
      </c>
      <c r="F7" s="35" t="s">
        <v>192</v>
      </c>
      <c r="G7" s="35" t="s">
        <v>183</v>
      </c>
      <c r="H7" s="35">
        <v>0.55149000000000004</v>
      </c>
      <c r="I7" s="35">
        <v>0.11234</v>
      </c>
      <c r="J7" s="35">
        <v>5.6473000000000004</v>
      </c>
      <c r="K7" s="35">
        <v>8.5579999999999996E-3</v>
      </c>
      <c r="L7" s="35">
        <v>0.58731</v>
      </c>
      <c r="M7" s="35">
        <v>4.6106000000000001E-4</v>
      </c>
      <c r="N7" s="35">
        <v>1.8717999999999999E-2</v>
      </c>
      <c r="O7" s="35">
        <v>0.30649999999999999</v>
      </c>
      <c r="P7" s="35">
        <v>6.4085000000000003E-2</v>
      </c>
      <c r="Q7" s="35">
        <v>6.7452720600000005</v>
      </c>
      <c r="R7" s="35">
        <v>2.3549E-2</v>
      </c>
      <c r="S7" s="35">
        <v>0.54135999999999995</v>
      </c>
      <c r="T7" s="35">
        <v>0.13721</v>
      </c>
      <c r="U7" s="35">
        <v>2.3826E-2</v>
      </c>
      <c r="V7" s="35">
        <v>1.1169000000000001E-3</v>
      </c>
      <c r="W7" s="35">
        <v>0.24636</v>
      </c>
      <c r="X7" s="35">
        <v>4.0669999999999998E-2</v>
      </c>
      <c r="Y7" s="35">
        <v>2.1378999999999999E-2</v>
      </c>
      <c r="Z7" s="35">
        <v>2.0655E-2</v>
      </c>
      <c r="AA7" s="35">
        <v>4.9317E-2</v>
      </c>
      <c r="AB7" s="35">
        <v>-5.7655000000000003E-5</v>
      </c>
      <c r="AC7" s="35">
        <v>3.0047999999999999E-8</v>
      </c>
      <c r="AD7" s="35">
        <v>1.789E-3</v>
      </c>
      <c r="AE7" s="35">
        <v>2.5623999999999998E-3</v>
      </c>
      <c r="AF7" s="35">
        <v>3.9836999999999997E-3</v>
      </c>
      <c r="AG7" s="35">
        <v>2.3662999999999999E-4</v>
      </c>
      <c r="AH7" s="35">
        <v>2.6100000000000002E-2</v>
      </c>
      <c r="AI7" s="180">
        <v>0.10387</v>
      </c>
      <c r="AK7" s="16">
        <f t="shared" si="7"/>
        <v>6.4707738124856404E-2</v>
      </c>
      <c r="AL7" s="16">
        <f t="shared" si="6"/>
        <v>1.3181140729562399E-2</v>
      </c>
      <c r="AM7" s="16">
        <f t="shared" si="6"/>
        <v>0.6626122132994281</v>
      </c>
      <c r="AN7" s="16">
        <f t="shared" si="6"/>
        <v>1.00413212002488E-3</v>
      </c>
      <c r="AO7" s="16">
        <f t="shared" si="6"/>
        <v>6.8910590723511592E-2</v>
      </c>
      <c r="AP7" s="16">
        <f t="shared" si="6"/>
        <v>5.4097353968061602E-5</v>
      </c>
      <c r="AQ7" s="16">
        <f t="shared" si="6"/>
        <v>2.19623101456248E-3</v>
      </c>
      <c r="AR7" s="16">
        <f t="shared" si="6"/>
        <v>3.5962432202340001E-2</v>
      </c>
      <c r="AS7" s="16">
        <f t="shared" si="6"/>
        <v>7.5192576433506008E-3</v>
      </c>
      <c r="AT7" s="16">
        <f t="shared" si="6"/>
        <v>0.79144009508674806</v>
      </c>
      <c r="AU7" s="16">
        <f t="shared" si="6"/>
        <v>2.7630646523096399E-3</v>
      </c>
      <c r="AV7" s="16">
        <f t="shared" si="6"/>
        <v>6.3519159207369599E-2</v>
      </c>
      <c r="AW7" s="16">
        <f t="shared" si="6"/>
        <v>1.60992017046756E-2</v>
      </c>
      <c r="AX7" s="16">
        <f t="shared" si="6"/>
        <v>2.7955657737453597E-3</v>
      </c>
      <c r="AY7" s="16">
        <f t="shared" si="6"/>
        <v>1.3104874560128401E-4</v>
      </c>
      <c r="AZ7" s="16">
        <f t="shared" si="6"/>
        <v>2.8906051541169601E-2</v>
      </c>
      <c r="BA7" s="16">
        <f t="shared" si="6"/>
        <v>4.7719155552012E-3</v>
      </c>
      <c r="BB7" s="16">
        <f t="shared" si="6"/>
        <v>2.5084529789684397E-3</v>
      </c>
      <c r="BC7" s="16">
        <f t="shared" si="6"/>
        <v>2.4235041994758E-3</v>
      </c>
      <c r="BD7" s="16">
        <f t="shared" si="6"/>
        <v>5.7864902738101204E-3</v>
      </c>
      <c r="BE7" s="16">
        <f t="shared" si="6"/>
        <v>-6.7648092287958002E-6</v>
      </c>
      <c r="BF7" s="16">
        <f t="shared" si="6"/>
        <v>3.5256090140812799E-9</v>
      </c>
      <c r="BG7" s="16">
        <f t="shared" si="6"/>
        <v>2.0990796479604E-4</v>
      </c>
      <c r="BH7" s="16">
        <f t="shared" si="6"/>
        <v>3.0065297316566399E-4</v>
      </c>
      <c r="BI7" s="16">
        <f t="shared" si="6"/>
        <v>4.6741775257573196E-4</v>
      </c>
      <c r="BJ7" s="16">
        <f t="shared" si="6"/>
        <v>2.7764405651026798E-5</v>
      </c>
      <c r="BK7" s="16">
        <f t="shared" si="6"/>
        <v>3.0623800341960002E-3</v>
      </c>
      <c r="BL7" s="16">
        <f t="shared" si="6"/>
        <v>1.2187333875553199E-2</v>
      </c>
    </row>
    <row r="8" spans="2:68" x14ac:dyDescent="0.25">
      <c r="B8" s="269" t="s">
        <v>186</v>
      </c>
      <c r="C8" s="35" t="str">
        <f>C3</f>
        <v>Waste treatment</v>
      </c>
      <c r="D8" s="35" t="s">
        <v>531</v>
      </c>
      <c r="E8" s="35">
        <v>3</v>
      </c>
      <c r="F8" s="35" t="str">
        <f>F3</f>
        <v>per capita per day</v>
      </c>
      <c r="G8" s="35" t="str">
        <f>G3</f>
        <v>Waste_LCIA</v>
      </c>
      <c r="H8" s="35">
        <f>H3</f>
        <v>0.92137367923984315</v>
      </c>
      <c r="I8" s="35">
        <f t="shared" ref="I8:AI8" si="8">I3</f>
        <v>7.4150227088990864E-3</v>
      </c>
      <c r="J8" s="35">
        <f t="shared" si="8"/>
        <v>1.2129314758971097</v>
      </c>
      <c r="K8" s="35">
        <f t="shared" si="8"/>
        <v>3.4262562692058824E-4</v>
      </c>
      <c r="L8" s="35">
        <f t="shared" si="8"/>
        <v>2.4021971009863689E-2</v>
      </c>
      <c r="M8" s="35">
        <f t="shared" si="8"/>
        <v>1.7873447109388084E-5</v>
      </c>
      <c r="N8" s="35">
        <f t="shared" si="8"/>
        <v>4.2672508138697792E-4</v>
      </c>
      <c r="O8" s="35">
        <f t="shared" si="8"/>
        <v>1.1288628297498077E-2</v>
      </c>
      <c r="P8" s="35">
        <f t="shared" si="8"/>
        <v>2.6948629762521352E-3</v>
      </c>
      <c r="Q8" s="35">
        <f t="shared" si="8"/>
        <v>1.25913918504504</v>
      </c>
      <c r="R8" s="35">
        <f t="shared" si="8"/>
        <v>2.7132474415289547E-3</v>
      </c>
      <c r="S8" s="35">
        <f t="shared" si="8"/>
        <v>0.78474574403342623</v>
      </c>
      <c r="T8" s="35">
        <f t="shared" si="8"/>
        <v>2.8470261638007841E-2</v>
      </c>
      <c r="U8" s="35">
        <f t="shared" si="8"/>
        <v>6.6251684209978234E-2</v>
      </c>
      <c r="V8" s="35">
        <f t="shared" si="8"/>
        <v>5.0359345409850282E-5</v>
      </c>
      <c r="W8" s="35">
        <f t="shared" si="8"/>
        <v>0.21849105035983196</v>
      </c>
      <c r="X8" s="35">
        <f t="shared" si="8"/>
        <v>5.2985656210469906E-3</v>
      </c>
      <c r="Y8" s="35">
        <f t="shared" si="8"/>
        <v>5.7447430559831557E-2</v>
      </c>
      <c r="Z8" s="35">
        <f t="shared" si="8"/>
        <v>3.4569733566296012E-3</v>
      </c>
      <c r="AA8" s="35">
        <f t="shared" si="8"/>
        <v>1.9033977066202233E-3</v>
      </c>
      <c r="AB8" s="35">
        <f t="shared" si="8"/>
        <v>-7.6088010348561488E-6</v>
      </c>
      <c r="AC8" s="35">
        <f t="shared" si="8"/>
        <v>1.2305274251532301E-8</v>
      </c>
      <c r="AD8" s="35">
        <f t="shared" si="8"/>
        <v>2.3365090367886924E-4</v>
      </c>
      <c r="AE8" s="35">
        <f t="shared" si="8"/>
        <v>3.0384008492186092E-3</v>
      </c>
      <c r="AF8" s="35">
        <f t="shared" si="8"/>
        <v>5.26011269350906E-4</v>
      </c>
      <c r="AG8" s="35">
        <f t="shared" si="8"/>
        <v>3.0102712436936056E-5</v>
      </c>
      <c r="AH8" s="35">
        <f t="shared" si="8"/>
        <v>4.8592448613655088E-3</v>
      </c>
      <c r="AI8" s="180">
        <f t="shared" si="8"/>
        <v>7.5341690340503082E-4</v>
      </c>
      <c r="AK8" s="16">
        <f>$E8*H8*82%</f>
        <v>2.2665792509300142</v>
      </c>
      <c r="AL8" s="16">
        <f t="shared" ref="AL8:BL12" si="9">$E8*I8*82%</f>
        <v>1.8240955863891753E-2</v>
      </c>
      <c r="AM8" s="16">
        <f t="shared" si="9"/>
        <v>2.9838114307068899</v>
      </c>
      <c r="AN8" s="16">
        <f t="shared" si="9"/>
        <v>8.4285904222464712E-4</v>
      </c>
      <c r="AO8" s="16">
        <f t="shared" si="9"/>
        <v>5.9094048684264669E-2</v>
      </c>
      <c r="AP8" s="16">
        <f t="shared" si="9"/>
        <v>4.3968679889094686E-5</v>
      </c>
      <c r="AQ8" s="16">
        <f t="shared" si="9"/>
        <v>1.0497437002119656E-3</v>
      </c>
      <c r="AR8" s="16">
        <f t="shared" si="9"/>
        <v>2.7770025611845266E-2</v>
      </c>
      <c r="AS8" s="16">
        <f t="shared" si="9"/>
        <v>6.629362921580252E-3</v>
      </c>
      <c r="AT8" s="16">
        <f t="shared" si="9"/>
        <v>3.0974823952107982</v>
      </c>
      <c r="AU8" s="16">
        <f t="shared" si="9"/>
        <v>6.6745887061612288E-3</v>
      </c>
      <c r="AV8" s="16">
        <f t="shared" si="9"/>
        <v>1.9304745303222286</v>
      </c>
      <c r="AW8" s="16">
        <f t="shared" si="9"/>
        <v>7.0036843629499287E-2</v>
      </c>
      <c r="AX8" s="16">
        <f t="shared" si="9"/>
        <v>0.16297914315654644</v>
      </c>
      <c r="AY8" s="16">
        <f t="shared" si="9"/>
        <v>1.2388398970823169E-4</v>
      </c>
      <c r="AZ8" s="16">
        <f t="shared" si="9"/>
        <v>0.53748798388518659</v>
      </c>
      <c r="BA8" s="16">
        <f t="shared" si="9"/>
        <v>1.3034471427775597E-2</v>
      </c>
      <c r="BB8" s="16">
        <f t="shared" si="9"/>
        <v>0.1413206791771856</v>
      </c>
      <c r="BC8" s="16">
        <f t="shared" si="9"/>
        <v>8.5041544573088192E-3</v>
      </c>
      <c r="BD8" s="16">
        <f t="shared" si="9"/>
        <v>4.6823583582857485E-3</v>
      </c>
      <c r="BE8" s="16">
        <f t="shared" si="9"/>
        <v>-1.8717650545746125E-5</v>
      </c>
      <c r="BF8" s="16">
        <f t="shared" si="9"/>
        <v>3.0270974658769457E-8</v>
      </c>
      <c r="BG8" s="16">
        <f t="shared" si="9"/>
        <v>5.7478122305001835E-4</v>
      </c>
      <c r="BH8" s="16">
        <f t="shared" si="9"/>
        <v>7.4744660890777789E-3</v>
      </c>
      <c r="BI8" s="16">
        <f t="shared" si="9"/>
        <v>1.2939877226032287E-3</v>
      </c>
      <c r="BJ8" s="16">
        <f t="shared" si="9"/>
        <v>7.4052672594862687E-5</v>
      </c>
      <c r="BK8" s="16">
        <f t="shared" si="9"/>
        <v>1.195374235895915E-2</v>
      </c>
      <c r="BL8" s="16">
        <f t="shared" si="9"/>
        <v>1.8534055823763759E-3</v>
      </c>
    </row>
    <row r="9" spans="2:68" x14ac:dyDescent="0.25">
      <c r="B9" s="269"/>
      <c r="C9" s="35" t="str">
        <f t="shared" ref="C9:D12" si="10">C4</f>
        <v>Electricity use</v>
      </c>
      <c r="D9" s="35" t="str">
        <f>D4</f>
        <v>market for electricity, low voltage, US-NPCC</v>
      </c>
      <c r="E9" s="35">
        <f>Accommodation!C4*3</f>
        <v>54.300000000000004</v>
      </c>
      <c r="F9" s="35" t="str">
        <f t="shared" ref="F9:H12" si="11">F4</f>
        <v>kWh</v>
      </c>
      <c r="G9" s="35" t="str">
        <f t="shared" si="11"/>
        <v>Ecoinvent v3.7.1</v>
      </c>
      <c r="H9" s="35">
        <f>H4</f>
        <v>0.61436999999999997</v>
      </c>
      <c r="I9" s="35">
        <f t="shared" ref="I9:AI9" si="12">I4</f>
        <v>8.2399E-2</v>
      </c>
      <c r="J9" s="35">
        <f t="shared" si="12"/>
        <v>6.7473999999999998</v>
      </c>
      <c r="K9" s="35">
        <f t="shared" si="12"/>
        <v>4.0428000000000003E-4</v>
      </c>
      <c r="L9" s="35">
        <f t="shared" si="12"/>
        <v>4.3425000000000002</v>
      </c>
      <c r="M9" s="35">
        <f t="shared" si="12"/>
        <v>1.3322000000000001E-5</v>
      </c>
      <c r="N9" s="35">
        <f t="shared" si="12"/>
        <v>1.5082999999999999E-2</v>
      </c>
      <c r="O9" s="35">
        <f t="shared" si="12"/>
        <v>6.8917000000000006E-2</v>
      </c>
      <c r="P9" s="35">
        <f t="shared" si="12"/>
        <v>0.1275</v>
      </c>
      <c r="Q9" s="35">
        <f t="shared" si="12"/>
        <v>11.384216602</v>
      </c>
      <c r="R9" s="35">
        <f t="shared" si="12"/>
        <v>1.3875999999999999E-2</v>
      </c>
      <c r="S9" s="35">
        <f t="shared" si="12"/>
        <v>0.60836999999999997</v>
      </c>
      <c r="T9" s="35">
        <f t="shared" si="12"/>
        <v>0.16855999999999999</v>
      </c>
      <c r="U9" s="35">
        <f t="shared" si="12"/>
        <v>2.7827999999999999E-2</v>
      </c>
      <c r="V9" s="35">
        <f t="shared" si="12"/>
        <v>3.4965000000000002E-4</v>
      </c>
      <c r="W9" s="35">
        <f t="shared" si="12"/>
        <v>0.24507000000000001</v>
      </c>
      <c r="X9" s="35">
        <f t="shared" si="12"/>
        <v>0.28216999999999998</v>
      </c>
      <c r="Y9" s="35">
        <f t="shared" si="12"/>
        <v>2.3791E-2</v>
      </c>
      <c r="Z9" s="35">
        <f t="shared" si="12"/>
        <v>1.1882E-4</v>
      </c>
      <c r="AA9" s="35">
        <f t="shared" si="12"/>
        <v>1.1622E-2</v>
      </c>
      <c r="AB9" s="35">
        <f t="shared" si="12"/>
        <v>-2.4247999999999999E-5</v>
      </c>
      <c r="AC9" s="35">
        <f t="shared" si="12"/>
        <v>1.8053E-8</v>
      </c>
      <c r="AD9" s="35">
        <f t="shared" si="12"/>
        <v>1.1259E-3</v>
      </c>
      <c r="AE9" s="35">
        <f t="shared" si="12"/>
        <v>9.8528999999999999E-4</v>
      </c>
      <c r="AF9" s="35">
        <f t="shared" si="12"/>
        <v>1.8718000000000001E-3</v>
      </c>
      <c r="AG9" s="35">
        <f t="shared" si="12"/>
        <v>2.6829999999999999E-5</v>
      </c>
      <c r="AH9" s="35">
        <f t="shared" si="12"/>
        <v>2.5512999999999998E-3</v>
      </c>
      <c r="AI9" s="180">
        <f t="shared" si="12"/>
        <v>2.2418E-3</v>
      </c>
      <c r="AK9" s="16">
        <f t="shared" ref="AK9:AK12" si="13">$E9*H9*82%</f>
        <v>27.355438620000001</v>
      </c>
      <c r="AL9" s="16">
        <f t="shared" si="9"/>
        <v>3.6688978739999998</v>
      </c>
      <c r="AM9" s="16">
        <f t="shared" si="9"/>
        <v>300.43473239999997</v>
      </c>
      <c r="AN9" s="16">
        <f t="shared" si="9"/>
        <v>1.800097128E-2</v>
      </c>
      <c r="AO9" s="16">
        <f t="shared" si="9"/>
        <v>193.35415500000002</v>
      </c>
      <c r="AP9" s="16">
        <f t="shared" si="9"/>
        <v>5.9317537200000007E-4</v>
      </c>
      <c r="AQ9" s="16">
        <f t="shared" si="9"/>
        <v>0.67158565799999992</v>
      </c>
      <c r="AR9" s="16">
        <f t="shared" si="9"/>
        <v>3.0685983420000005</v>
      </c>
      <c r="AS9" s="16">
        <f t="shared" si="9"/>
        <v>5.6770649999999998</v>
      </c>
      <c r="AT9" s="16">
        <f t="shared" si="9"/>
        <v>506.89362842065208</v>
      </c>
      <c r="AU9" s="16">
        <f t="shared" si="9"/>
        <v>0.61784277599999993</v>
      </c>
      <c r="AV9" s="16">
        <f t="shared" si="9"/>
        <v>27.088282620000001</v>
      </c>
      <c r="AW9" s="16">
        <f t="shared" si="9"/>
        <v>7.5053025599999996</v>
      </c>
      <c r="AX9" s="16">
        <f t="shared" si="9"/>
        <v>1.2390695279999999</v>
      </c>
      <c r="AY9" s="16">
        <f t="shared" si="9"/>
        <v>1.5568515900000001E-2</v>
      </c>
      <c r="AZ9" s="16">
        <f t="shared" si="9"/>
        <v>10.911986819999999</v>
      </c>
      <c r="BA9" s="16">
        <f t="shared" si="9"/>
        <v>12.563901419999999</v>
      </c>
      <c r="BB9" s="16">
        <f t="shared" si="9"/>
        <v>1.0593180659999999</v>
      </c>
      <c r="BC9" s="16">
        <f t="shared" si="9"/>
        <v>5.2905793200000006E-3</v>
      </c>
      <c r="BD9" s="16">
        <f t="shared" si="9"/>
        <v>0.51748117199999999</v>
      </c>
      <c r="BE9" s="16">
        <f t="shared" si="9"/>
        <v>-1.0796664480000001E-3</v>
      </c>
      <c r="BF9" s="16">
        <f t="shared" si="9"/>
        <v>8.0382787799999994E-7</v>
      </c>
      <c r="BG9" s="16">
        <f t="shared" si="9"/>
        <v>5.0131823399999997E-2</v>
      </c>
      <c r="BH9" s="16">
        <f t="shared" si="9"/>
        <v>4.3871022539999999E-2</v>
      </c>
      <c r="BI9" s="16">
        <f t="shared" si="9"/>
        <v>8.3343766799999996E-2</v>
      </c>
      <c r="BJ9" s="16">
        <f t="shared" si="9"/>
        <v>1.1946325799999998E-3</v>
      </c>
      <c r="BK9" s="16">
        <f t="shared" si="9"/>
        <v>0.1135991838</v>
      </c>
      <c r="BL9" s="16">
        <f t="shared" si="9"/>
        <v>9.9818386799999992E-2</v>
      </c>
    </row>
    <row r="10" spans="2:68" x14ac:dyDescent="0.25">
      <c r="B10" s="269"/>
      <c r="C10" s="35" t="str">
        <f t="shared" si="10"/>
        <v>Thermal energy use</v>
      </c>
      <c r="D10" s="35" t="str">
        <f t="shared" si="10"/>
        <v>heat production, natural gas, at boiler condensing modulating &lt;100kW, RoW</v>
      </c>
      <c r="E10" s="35">
        <f>Accommodation!I4*3</f>
        <v>55.08</v>
      </c>
      <c r="F10" s="35" t="str">
        <f t="shared" si="11"/>
        <v>MJ</v>
      </c>
      <c r="G10" s="35" t="str">
        <f t="shared" si="11"/>
        <v>Ecoinvent v3.7.1</v>
      </c>
      <c r="H10" s="35">
        <f>H5</f>
        <v>7.1299000000000001E-2</v>
      </c>
      <c r="I10" s="35">
        <f t="shared" ref="I10:AI10" si="14">I5</f>
        <v>1.1628999999999999E-3</v>
      </c>
      <c r="J10" s="35">
        <f t="shared" si="14"/>
        <v>1.1308</v>
      </c>
      <c r="K10" s="35">
        <f t="shared" si="14"/>
        <v>9.9963000000000005E-5</v>
      </c>
      <c r="L10" s="35">
        <f t="shared" si="14"/>
        <v>5.5043999999999996E-3</v>
      </c>
      <c r="M10" s="35">
        <f t="shared" si="14"/>
        <v>7.0716000000000002E-6</v>
      </c>
      <c r="N10" s="35">
        <f t="shared" si="14"/>
        <v>1.9375999999999999E-4</v>
      </c>
      <c r="O10" s="35">
        <f t="shared" si="14"/>
        <v>3.1161000000000001E-3</v>
      </c>
      <c r="P10" s="35">
        <f t="shared" si="14"/>
        <v>6.6029999999999995E-4</v>
      </c>
      <c r="Q10" s="35">
        <f t="shared" si="14"/>
        <v>1.1415444946</v>
      </c>
      <c r="R10" s="35">
        <f t="shared" si="14"/>
        <v>2.096E-4</v>
      </c>
      <c r="S10" s="35">
        <f t="shared" si="14"/>
        <v>6.9820999999999994E-2</v>
      </c>
      <c r="T10" s="35">
        <f t="shared" si="14"/>
        <v>3.2570000000000002E-2</v>
      </c>
      <c r="U10" s="35">
        <f t="shared" si="14"/>
        <v>4.1967000000000003E-4</v>
      </c>
      <c r="V10" s="35">
        <f t="shared" si="14"/>
        <v>1.7869E-6</v>
      </c>
      <c r="W10" s="35">
        <f t="shared" si="14"/>
        <v>3.1952999999999999E-3</v>
      </c>
      <c r="X10" s="35">
        <f t="shared" si="14"/>
        <v>4.5014000000000002E-4</v>
      </c>
      <c r="Y10" s="35">
        <f t="shared" si="14"/>
        <v>2.4911999999999997E-4</v>
      </c>
      <c r="Z10" s="35">
        <f t="shared" si="14"/>
        <v>2.1670000000000002E-6</v>
      </c>
      <c r="AA10" s="35">
        <f t="shared" si="14"/>
        <v>4.6640000000000001E-4</v>
      </c>
      <c r="AB10" s="35">
        <f t="shared" si="14"/>
        <v>-3.1935000000000001E-7</v>
      </c>
      <c r="AC10" s="35">
        <f t="shared" si="14"/>
        <v>5.8852999999999999E-9</v>
      </c>
      <c r="AD10" s="35">
        <f t="shared" si="14"/>
        <v>2.1505000000000002E-5</v>
      </c>
      <c r="AE10" s="35">
        <f t="shared" si="14"/>
        <v>6.8045000000000003E-5</v>
      </c>
      <c r="AF10" s="35">
        <f t="shared" si="14"/>
        <v>5.8721999999999998E-5</v>
      </c>
      <c r="AG10" s="35">
        <f t="shared" si="14"/>
        <v>3.5626E-6</v>
      </c>
      <c r="AH10" s="35">
        <f t="shared" si="14"/>
        <v>2.2020000000000001E-4</v>
      </c>
      <c r="AI10" s="180">
        <f t="shared" si="14"/>
        <v>2.6978000000000002E-5</v>
      </c>
      <c r="AK10" s="16">
        <f t="shared" si="13"/>
        <v>3.2202621143999997</v>
      </c>
      <c r="AL10" s="16">
        <f t="shared" si="9"/>
        <v>5.2523076239999994E-2</v>
      </c>
      <c r="AM10" s="16">
        <f t="shared" si="9"/>
        <v>51.073260479999995</v>
      </c>
      <c r="AN10" s="16">
        <f t="shared" si="9"/>
        <v>4.5148888727999997E-3</v>
      </c>
      <c r="AO10" s="16">
        <f t="shared" si="9"/>
        <v>0.24860952863999997</v>
      </c>
      <c r="AP10" s="16">
        <f t="shared" si="9"/>
        <v>3.1939305695999999E-4</v>
      </c>
      <c r="AQ10" s="16">
        <f t="shared" si="9"/>
        <v>8.7512866559999996E-3</v>
      </c>
      <c r="AR10" s="16">
        <f t="shared" si="9"/>
        <v>0.14074052615999999</v>
      </c>
      <c r="AS10" s="16">
        <f t="shared" si="9"/>
        <v>2.9822845679999994E-2</v>
      </c>
      <c r="AT10" s="16">
        <f t="shared" si="9"/>
        <v>51.558542025305755</v>
      </c>
      <c r="AU10" s="16">
        <f t="shared" si="9"/>
        <v>9.4667097599999989E-3</v>
      </c>
      <c r="AV10" s="16">
        <f t="shared" si="9"/>
        <v>3.1535073575999997</v>
      </c>
      <c r="AW10" s="16">
        <f t="shared" si="9"/>
        <v>1.471043592</v>
      </c>
      <c r="AX10" s="16">
        <f t="shared" si="9"/>
        <v>1.8954647352E-2</v>
      </c>
      <c r="AY10" s="16">
        <f t="shared" si="9"/>
        <v>8.0706410639999986E-5</v>
      </c>
      <c r="AZ10" s="16">
        <f t="shared" si="9"/>
        <v>0.14431764167999997</v>
      </c>
      <c r="BA10" s="16">
        <f t="shared" si="9"/>
        <v>2.0330843184E-2</v>
      </c>
      <c r="BB10" s="16">
        <f t="shared" si="9"/>
        <v>1.1251654271999997E-2</v>
      </c>
      <c r="BC10" s="16">
        <f t="shared" si="9"/>
        <v>9.7873855199999998E-5</v>
      </c>
      <c r="BD10" s="16">
        <f t="shared" si="9"/>
        <v>2.1065235839999998E-2</v>
      </c>
      <c r="BE10" s="16">
        <f t="shared" si="9"/>
        <v>-1.4423634359999999E-5</v>
      </c>
      <c r="BF10" s="16">
        <f t="shared" si="9"/>
        <v>2.6581310567999997E-7</v>
      </c>
      <c r="BG10" s="16">
        <f t="shared" si="9"/>
        <v>9.7128622799999987E-4</v>
      </c>
      <c r="BH10" s="16">
        <f t="shared" si="9"/>
        <v>3.0732932519999998E-3</v>
      </c>
      <c r="BI10" s="16">
        <f t="shared" si="9"/>
        <v>2.6522143631999996E-3</v>
      </c>
      <c r="BJ10" s="16">
        <f t="shared" si="9"/>
        <v>1.6090696656E-4</v>
      </c>
      <c r="BK10" s="16">
        <f t="shared" si="9"/>
        <v>9.9454651200000001E-3</v>
      </c>
      <c r="BL10" s="16">
        <f t="shared" si="9"/>
        <v>1.2184775567999999E-3</v>
      </c>
    </row>
    <row r="11" spans="2:68" x14ac:dyDescent="0.25">
      <c r="B11" s="269"/>
      <c r="C11" s="35" t="str">
        <f t="shared" si="10"/>
        <v>Water use</v>
      </c>
      <c r="D11" s="35" t="str">
        <f t="shared" si="10"/>
        <v>market group for tap water, GLO</v>
      </c>
      <c r="E11" s="35">
        <f>Accommodation!F4*3</f>
        <v>900</v>
      </c>
      <c r="F11" s="35" t="str">
        <f t="shared" si="11"/>
        <v>kg</v>
      </c>
      <c r="G11" s="35" t="str">
        <f t="shared" si="11"/>
        <v>Ecoinvent v3.7.1</v>
      </c>
      <c r="H11" s="35">
        <f t="shared" si="11"/>
        <v>7.8616999999999999E-4</v>
      </c>
      <c r="I11" s="35">
        <f t="shared" ref="I11:AI11" si="15">I6</f>
        <v>1.9751E-4</v>
      </c>
      <c r="J11" s="35">
        <f t="shared" si="15"/>
        <v>9.4672000000000003E-3</v>
      </c>
      <c r="K11" s="35">
        <f t="shared" si="15"/>
        <v>3.2061999999999999E-5</v>
      </c>
      <c r="L11" s="35">
        <f t="shared" si="15"/>
        <v>2.1827999999999999E-3</v>
      </c>
      <c r="M11" s="35">
        <f t="shared" si="15"/>
        <v>3.3095999999999999E-7</v>
      </c>
      <c r="N11" s="35">
        <f t="shared" si="15"/>
        <v>2.3504E-6</v>
      </c>
      <c r="O11" s="35">
        <f t="shared" si="15"/>
        <v>6.9337999999999995E-4</v>
      </c>
      <c r="P11" s="35">
        <f t="shared" si="15"/>
        <v>2.4444000000000001E-4</v>
      </c>
      <c r="Q11" s="35">
        <f t="shared" si="15"/>
        <v>1.282007336E-2</v>
      </c>
      <c r="R11" s="35">
        <f t="shared" si="15"/>
        <v>3.6423E-5</v>
      </c>
      <c r="S11" s="35">
        <f t="shared" si="15"/>
        <v>7.6884000000000002E-4</v>
      </c>
      <c r="T11" s="35">
        <f t="shared" si="15"/>
        <v>2.3416999999999999E-4</v>
      </c>
      <c r="U11" s="35">
        <f t="shared" si="15"/>
        <v>1.8153000000000001E-5</v>
      </c>
      <c r="V11" s="35">
        <f t="shared" si="15"/>
        <v>4.4477999999999999E-7</v>
      </c>
      <c r="W11" s="35">
        <f t="shared" si="15"/>
        <v>4.2660000000000002E-4</v>
      </c>
      <c r="X11" s="35">
        <f t="shared" si="15"/>
        <v>1.4076E-4</v>
      </c>
      <c r="Y11" s="35">
        <f t="shared" si="15"/>
        <v>1.6370000000000001E-5</v>
      </c>
      <c r="Z11" s="35">
        <f t="shared" si="15"/>
        <v>2.2333999999999999E-7</v>
      </c>
      <c r="AA11" s="35">
        <f t="shared" si="15"/>
        <v>2.0411000000000002E-5</v>
      </c>
      <c r="AB11" s="35">
        <f t="shared" si="15"/>
        <v>-6.3623E-8</v>
      </c>
      <c r="AC11" s="35">
        <f t="shared" si="15"/>
        <v>1.6629E-10</v>
      </c>
      <c r="AD11" s="35">
        <f t="shared" si="15"/>
        <v>2.0271999999999998E-6</v>
      </c>
      <c r="AE11" s="35">
        <f t="shared" si="15"/>
        <v>2.4003999999999999E-6</v>
      </c>
      <c r="AF11" s="35">
        <f t="shared" si="15"/>
        <v>3.0645999999999998E-6</v>
      </c>
      <c r="AG11" s="35">
        <f t="shared" si="15"/>
        <v>7.2106999999999998E-8</v>
      </c>
      <c r="AH11" s="35">
        <f t="shared" si="15"/>
        <v>7.5768E-6</v>
      </c>
      <c r="AI11" s="180">
        <f t="shared" si="15"/>
        <v>1.0698E-5</v>
      </c>
      <c r="AK11" s="16">
        <f t="shared" si="13"/>
        <v>0.58019345999999994</v>
      </c>
      <c r="AL11" s="16">
        <f t="shared" si="9"/>
        <v>0.14576238</v>
      </c>
      <c r="AM11" s="16">
        <f t="shared" si="9"/>
        <v>6.9867936000000004</v>
      </c>
      <c r="AN11" s="16">
        <f t="shared" si="9"/>
        <v>2.3661755999999996E-2</v>
      </c>
      <c r="AO11" s="16">
        <f t="shared" si="9"/>
        <v>1.6109064</v>
      </c>
      <c r="AP11" s="16">
        <f t="shared" si="9"/>
        <v>2.4424848E-4</v>
      </c>
      <c r="AQ11" s="16">
        <f t="shared" si="9"/>
        <v>1.7345952000000001E-3</v>
      </c>
      <c r="AR11" s="16">
        <f t="shared" si="9"/>
        <v>0.51171443999999999</v>
      </c>
      <c r="AS11" s="16">
        <f t="shared" si="9"/>
        <v>0.18039671999999998</v>
      </c>
      <c r="AT11" s="16">
        <f t="shared" si="9"/>
        <v>9.4612141396799991</v>
      </c>
      <c r="AU11" s="16">
        <f t="shared" si="9"/>
        <v>2.6880174E-2</v>
      </c>
      <c r="AV11" s="16">
        <f t="shared" si="9"/>
        <v>0.56740391999999995</v>
      </c>
      <c r="AW11" s="16">
        <f t="shared" si="9"/>
        <v>0.17281745999999998</v>
      </c>
      <c r="AX11" s="16">
        <f t="shared" si="9"/>
        <v>1.3396913999999999E-2</v>
      </c>
      <c r="AY11" s="16">
        <f t="shared" si="9"/>
        <v>3.2824763999999998E-4</v>
      </c>
      <c r="AZ11" s="16">
        <f t="shared" si="9"/>
        <v>0.31483079999999997</v>
      </c>
      <c r="BA11" s="16">
        <f t="shared" si="9"/>
        <v>0.10388087999999998</v>
      </c>
      <c r="BB11" s="16">
        <f t="shared" si="9"/>
        <v>1.2081060000000001E-2</v>
      </c>
      <c r="BC11" s="16">
        <f t="shared" si="9"/>
        <v>1.6482491999999998E-4</v>
      </c>
      <c r="BD11" s="16">
        <f t="shared" si="9"/>
        <v>1.5063318000000001E-2</v>
      </c>
      <c r="BE11" s="16">
        <f t="shared" si="9"/>
        <v>-4.6953773999999993E-5</v>
      </c>
      <c r="BF11" s="16">
        <f t="shared" si="9"/>
        <v>1.2272202E-7</v>
      </c>
      <c r="BG11" s="16">
        <f t="shared" si="9"/>
        <v>1.4960735999999999E-3</v>
      </c>
      <c r="BH11" s="16">
        <f t="shared" si="9"/>
        <v>1.7714952E-3</v>
      </c>
      <c r="BI11" s="16">
        <f t="shared" si="9"/>
        <v>2.2616747999999998E-3</v>
      </c>
      <c r="BJ11" s="16">
        <f t="shared" si="9"/>
        <v>5.3214965999999998E-5</v>
      </c>
      <c r="BK11" s="16">
        <f t="shared" si="9"/>
        <v>5.5916783999999994E-3</v>
      </c>
      <c r="BL11" s="16">
        <f t="shared" si="9"/>
        <v>7.8951239999999999E-3</v>
      </c>
    </row>
    <row r="12" spans="2:68" x14ac:dyDescent="0.25">
      <c r="B12" s="269"/>
      <c r="C12" s="35" t="str">
        <f t="shared" si="10"/>
        <v>Wastewater treatment</v>
      </c>
      <c r="D12" s="35" t="str">
        <f t="shared" si="10"/>
        <v>treatment of wastewater, from residence, capacity 1.1E10l/year, RoW</v>
      </c>
      <c r="E12" s="35">
        <f>E11/1000</f>
        <v>0.9</v>
      </c>
      <c r="F12" s="35" t="str">
        <f t="shared" si="11"/>
        <v>m3</v>
      </c>
      <c r="G12" s="35" t="str">
        <f t="shared" si="11"/>
        <v>Ecoinvent v3.7.1</v>
      </c>
      <c r="H12" s="35">
        <f>H7</f>
        <v>0.55149000000000004</v>
      </c>
      <c r="I12" s="35">
        <f t="shared" ref="I12:AI12" si="16">I7</f>
        <v>0.11234</v>
      </c>
      <c r="J12" s="35">
        <f t="shared" si="16"/>
        <v>5.6473000000000004</v>
      </c>
      <c r="K12" s="35">
        <f t="shared" si="16"/>
        <v>8.5579999999999996E-3</v>
      </c>
      <c r="L12" s="35">
        <f t="shared" si="16"/>
        <v>0.58731</v>
      </c>
      <c r="M12" s="35">
        <f t="shared" si="16"/>
        <v>4.6106000000000001E-4</v>
      </c>
      <c r="N12" s="35">
        <f t="shared" si="16"/>
        <v>1.8717999999999999E-2</v>
      </c>
      <c r="O12" s="35">
        <f t="shared" si="16"/>
        <v>0.30649999999999999</v>
      </c>
      <c r="P12" s="35">
        <f t="shared" si="16"/>
        <v>6.4085000000000003E-2</v>
      </c>
      <c r="Q12" s="35">
        <f t="shared" si="16"/>
        <v>6.7452720600000005</v>
      </c>
      <c r="R12" s="35">
        <f t="shared" si="16"/>
        <v>2.3549E-2</v>
      </c>
      <c r="S12" s="35">
        <f t="shared" si="16"/>
        <v>0.54135999999999995</v>
      </c>
      <c r="T12" s="35">
        <f t="shared" si="16"/>
        <v>0.13721</v>
      </c>
      <c r="U12" s="35">
        <f t="shared" si="16"/>
        <v>2.3826E-2</v>
      </c>
      <c r="V12" s="35">
        <f t="shared" si="16"/>
        <v>1.1169000000000001E-3</v>
      </c>
      <c r="W12" s="35">
        <f t="shared" si="16"/>
        <v>0.24636</v>
      </c>
      <c r="X12" s="35">
        <f t="shared" si="16"/>
        <v>4.0669999999999998E-2</v>
      </c>
      <c r="Y12" s="35">
        <f t="shared" si="16"/>
        <v>2.1378999999999999E-2</v>
      </c>
      <c r="Z12" s="35">
        <f t="shared" si="16"/>
        <v>2.0655E-2</v>
      </c>
      <c r="AA12" s="35">
        <f t="shared" si="16"/>
        <v>4.9317E-2</v>
      </c>
      <c r="AB12" s="35">
        <f t="shared" si="16"/>
        <v>-5.7655000000000003E-5</v>
      </c>
      <c r="AC12" s="35">
        <f t="shared" si="16"/>
        <v>3.0047999999999999E-8</v>
      </c>
      <c r="AD12" s="35">
        <f t="shared" si="16"/>
        <v>1.789E-3</v>
      </c>
      <c r="AE12" s="35">
        <f t="shared" si="16"/>
        <v>2.5623999999999998E-3</v>
      </c>
      <c r="AF12" s="35">
        <f t="shared" si="16"/>
        <v>3.9836999999999997E-3</v>
      </c>
      <c r="AG12" s="35">
        <f t="shared" si="16"/>
        <v>2.3662999999999999E-4</v>
      </c>
      <c r="AH12" s="35">
        <f t="shared" si="16"/>
        <v>2.6100000000000002E-2</v>
      </c>
      <c r="AI12" s="180">
        <f t="shared" si="16"/>
        <v>0.10387</v>
      </c>
      <c r="AK12" s="16">
        <f t="shared" si="13"/>
        <v>0.40699962000000001</v>
      </c>
      <c r="AL12" s="16">
        <f t="shared" si="9"/>
        <v>8.2906919999999995E-2</v>
      </c>
      <c r="AM12" s="16">
        <f t="shared" si="9"/>
        <v>4.1677074000000003</v>
      </c>
      <c r="AN12" s="16">
        <f t="shared" si="9"/>
        <v>6.3158039999999995E-3</v>
      </c>
      <c r="AO12" s="16">
        <f t="shared" si="9"/>
        <v>0.43343477999999996</v>
      </c>
      <c r="AP12" s="16">
        <f t="shared" si="9"/>
        <v>3.4026228E-4</v>
      </c>
      <c r="AQ12" s="16">
        <f t="shared" si="9"/>
        <v>1.3813883999999998E-2</v>
      </c>
      <c r="AR12" s="16">
        <f t="shared" si="9"/>
        <v>0.22619699999999998</v>
      </c>
      <c r="AS12" s="16">
        <f t="shared" si="9"/>
        <v>4.729473E-2</v>
      </c>
      <c r="AT12" s="16">
        <f t="shared" si="9"/>
        <v>4.97801078028</v>
      </c>
      <c r="AU12" s="16">
        <f t="shared" si="9"/>
        <v>1.7379162E-2</v>
      </c>
      <c r="AV12" s="16">
        <f t="shared" si="9"/>
        <v>0.39952367999999999</v>
      </c>
      <c r="AW12" s="16">
        <f t="shared" si="9"/>
        <v>0.10126098</v>
      </c>
      <c r="AX12" s="16">
        <f t="shared" si="9"/>
        <v>1.7583588000000001E-2</v>
      </c>
      <c r="AY12" s="16">
        <f t="shared" si="9"/>
        <v>8.2427219999999999E-4</v>
      </c>
      <c r="AZ12" s="16">
        <f t="shared" si="9"/>
        <v>0.18181368000000001</v>
      </c>
      <c r="BA12" s="16">
        <f t="shared" si="9"/>
        <v>3.0014459999999996E-2</v>
      </c>
      <c r="BB12" s="16">
        <f t="shared" si="9"/>
        <v>1.5777702000000001E-2</v>
      </c>
      <c r="BC12" s="16">
        <f t="shared" si="9"/>
        <v>1.5243390000000001E-2</v>
      </c>
      <c r="BD12" s="16">
        <f t="shared" si="9"/>
        <v>3.6395945999999998E-2</v>
      </c>
      <c r="BE12" s="16">
        <f t="shared" si="9"/>
        <v>-4.2549390000000002E-5</v>
      </c>
      <c r="BF12" s="16">
        <f t="shared" si="9"/>
        <v>2.2175423999999998E-8</v>
      </c>
      <c r="BG12" s="16">
        <f t="shared" si="9"/>
        <v>1.3202819999999999E-3</v>
      </c>
      <c r="BH12" s="16">
        <f t="shared" si="9"/>
        <v>1.8910511999999998E-3</v>
      </c>
      <c r="BI12" s="16">
        <f t="shared" si="9"/>
        <v>2.9399705999999999E-3</v>
      </c>
      <c r="BJ12" s="16">
        <f t="shared" si="9"/>
        <v>1.7463293999999999E-4</v>
      </c>
      <c r="BK12" s="16">
        <f t="shared" si="9"/>
        <v>1.9261799999999999E-2</v>
      </c>
      <c r="BL12" s="16">
        <f t="shared" si="9"/>
        <v>7.6656059999999998E-2</v>
      </c>
    </row>
    <row r="13" spans="2:68" x14ac:dyDescent="0.25">
      <c r="B13" s="181" t="s">
        <v>155</v>
      </c>
      <c r="C13" s="35" t="s">
        <v>241</v>
      </c>
      <c r="D13" s="35" t="s">
        <v>991</v>
      </c>
      <c r="E13" s="35">
        <v>3</v>
      </c>
      <c r="F13" s="35" t="s">
        <v>357</v>
      </c>
      <c r="G13" s="35" t="s">
        <v>993</v>
      </c>
      <c r="H13" s="35">
        <f>Catering_LCIA!F3</f>
        <v>10.428370631309383</v>
      </c>
      <c r="I13" s="35">
        <f>Catering_LCIA!G3</f>
        <v>62.104294215579998</v>
      </c>
      <c r="J13" s="35">
        <f>Catering_LCIA!H3</f>
        <v>69.336231042399987</v>
      </c>
      <c r="K13" s="35">
        <f>Catering_LCIA!I3</f>
        <v>3.3720109778899998E-2</v>
      </c>
      <c r="L13" s="35">
        <f>Catering_LCIA!J3</f>
        <v>19.499339737250004</v>
      </c>
      <c r="M13" s="35">
        <f>Catering_LCIA!K3</f>
        <v>2.8935299601267803</v>
      </c>
      <c r="N13" s="35">
        <f>Catering_LCIA!L3</f>
        <v>0.11692352638789999</v>
      </c>
      <c r="O13" s="35">
        <f>Catering_LCIA!M3</f>
        <v>1.31463079706</v>
      </c>
      <c r="P13" s="35">
        <f>Catering_LCIA!N3</f>
        <v>0.756772556554</v>
      </c>
      <c r="Q13" s="35">
        <f>Catering_LCIA!O3</f>
        <v>156.0554419451376</v>
      </c>
      <c r="R13" s="35">
        <f>Catering_LCIA!P3</f>
        <v>24.138561918490005</v>
      </c>
      <c r="S13" s="35">
        <f>Catering_LCIA!Q3</f>
        <v>9.683576983909381</v>
      </c>
      <c r="T13" s="35">
        <f>Catering_LCIA!R3</f>
        <v>1.9893684359824522</v>
      </c>
      <c r="U13" s="35">
        <f>Catering_LCIA!S3</f>
        <v>0.225533617016</v>
      </c>
      <c r="V13" s="35">
        <f>Catering_LCIA!T3</f>
        <v>4.9753860151500011E-3</v>
      </c>
      <c r="W13" s="35">
        <f>Catering_LCIA!U3</f>
        <v>6.1653082091359988</v>
      </c>
      <c r="X13" s="35">
        <f>Catering_LCIA!V3</f>
        <v>1.32373223994</v>
      </c>
      <c r="Y13" s="35">
        <f>Catering_LCIA!W3</f>
        <v>0.18417307254799997</v>
      </c>
      <c r="Z13" s="35">
        <f>Catering_LCIA!X3</f>
        <v>3.5189357424600005E-2</v>
      </c>
      <c r="AA13" s="35">
        <f>Catering_LCIA!Y3</f>
        <v>0.19329724760600001</v>
      </c>
      <c r="AB13" s="35">
        <f>Catering_LCIA!Z3</f>
        <v>-3.0799867240499998E-4</v>
      </c>
      <c r="AC13" s="35">
        <f>Catering_LCIA!AA3</f>
        <v>3.9938687050999997E-7</v>
      </c>
      <c r="AD13" s="35">
        <f>Catering_LCIA!AB3</f>
        <v>2.1027100225400001E-2</v>
      </c>
      <c r="AE13" s="35">
        <f>Catering_LCIA!AC3</f>
        <v>2.8749398828196472E-2</v>
      </c>
      <c r="AF13" s="35">
        <f>Catering_LCIA!AD3</f>
        <v>6.9450288544414027E-2</v>
      </c>
      <c r="AG13" s="35">
        <f>Catering_LCIA!AE3</f>
        <v>8.4992137105759993E-2</v>
      </c>
      <c r="AH13" s="35">
        <f>Catering_LCIA!AF3</f>
        <v>0.10428865149399999</v>
      </c>
      <c r="AI13" s="180">
        <f>Catering_LCIA!AG3</f>
        <v>0.47030169780112907</v>
      </c>
      <c r="AK13" s="16">
        <f t="shared" ref="AK13:AK16" si="17">$E13*H13</f>
        <v>31.285111893928146</v>
      </c>
      <c r="AL13" s="16">
        <f t="shared" ref="AL13:AL17" si="18">$E13*I13</f>
        <v>186.31288264673998</v>
      </c>
      <c r="AM13" s="16">
        <f t="shared" ref="AM13:AM17" si="19">$E13*J13</f>
        <v>208.00869312719996</v>
      </c>
      <c r="AN13" s="16">
        <f t="shared" ref="AN13:AN17" si="20">$E13*K13</f>
        <v>0.10116032933669999</v>
      </c>
      <c r="AO13" s="16">
        <f t="shared" ref="AO13:AO17" si="21">$E13*L13</f>
        <v>58.498019211750012</v>
      </c>
      <c r="AP13" s="16">
        <f t="shared" ref="AP13:AP17" si="22">$E13*M13</f>
        <v>8.6805898803803405</v>
      </c>
      <c r="AQ13" s="16">
        <f t="shared" ref="AQ13:AQ17" si="23">$E13*N13</f>
        <v>0.35077057916369997</v>
      </c>
      <c r="AR13" s="16">
        <f t="shared" ref="AR13:AR17" si="24">$E13*O13</f>
        <v>3.9438923911799999</v>
      </c>
      <c r="AS13" s="16">
        <f t="shared" ref="AS13:AS17" si="25">$E13*P13</f>
        <v>2.270317669662</v>
      </c>
      <c r="AT13" s="16">
        <f t="shared" ref="AT13:AT17" si="26">$E13*Q13</f>
        <v>468.16632583541281</v>
      </c>
      <c r="AU13" s="16">
        <f t="shared" ref="AU13:AU17" si="27">$E13*R13</f>
        <v>72.415685755470008</v>
      </c>
      <c r="AV13" s="16">
        <f t="shared" ref="AV13:AV17" si="28">$E13*S13</f>
        <v>29.050730951728141</v>
      </c>
      <c r="AW13" s="16">
        <f t="shared" ref="AW13:AW17" si="29">$E13*T13</f>
        <v>5.9681053079473561</v>
      </c>
      <c r="AX13" s="16">
        <f t="shared" ref="AX13:AX17" si="30">$E13*U13</f>
        <v>0.67660085104799994</v>
      </c>
      <c r="AY13" s="16">
        <f t="shared" ref="AY13:AY17" si="31">$E13*V13</f>
        <v>1.4926158045450003E-2</v>
      </c>
      <c r="AZ13" s="16">
        <f t="shared" ref="AZ13:AZ17" si="32">$E13*W13</f>
        <v>18.495924627407994</v>
      </c>
      <c r="BA13" s="16">
        <f t="shared" ref="BA13:BA17" si="33">$E13*X13</f>
        <v>3.97119671982</v>
      </c>
      <c r="BB13" s="16">
        <f t="shared" ref="BB13:BB17" si="34">$E13*Y13</f>
        <v>0.55251921764399992</v>
      </c>
      <c r="BC13" s="16">
        <f t="shared" ref="BC13:BC17" si="35">$E13*Z13</f>
        <v>0.10556807227380002</v>
      </c>
      <c r="BD13" s="16">
        <f t="shared" ref="BD13:BD17" si="36">$E13*AA13</f>
        <v>0.57989174281800004</v>
      </c>
      <c r="BE13" s="16">
        <f t="shared" ref="BE13:BE17" si="37">$E13*AB13</f>
        <v>-9.2399601721499989E-4</v>
      </c>
      <c r="BF13" s="16">
        <f t="shared" ref="BF13:BF17" si="38">$E13*AC13</f>
        <v>1.1981606115299999E-6</v>
      </c>
      <c r="BG13" s="16">
        <f t="shared" ref="BG13:BG17" si="39">$E13*AD13</f>
        <v>6.3081300676200006E-2</v>
      </c>
      <c r="BH13" s="16">
        <f t="shared" ref="BH13:BH17" si="40">$E13*AE13</f>
        <v>8.6248196484589423E-2</v>
      </c>
      <c r="BI13" s="16">
        <f t="shared" ref="BI13:BI17" si="41">$E13*AF13</f>
        <v>0.20835086563324207</v>
      </c>
      <c r="BJ13" s="16">
        <f t="shared" ref="BJ13:BJ17" si="42">$E13*AG13</f>
        <v>0.25497641131727999</v>
      </c>
      <c r="BK13" s="16">
        <f t="shared" ref="BK13:BK17" si="43">$E13*AH13</f>
        <v>0.31286595448199994</v>
      </c>
      <c r="BL13" s="16">
        <f t="shared" ref="BL13:BL17" si="44">$E13*AI13</f>
        <v>1.4109050934033873</v>
      </c>
    </row>
    <row r="14" spans="2:68" x14ac:dyDescent="0.25">
      <c r="B14" s="269" t="s">
        <v>242</v>
      </c>
      <c r="C14" s="271" t="str">
        <f>B14</f>
        <v>Preparation and execution</v>
      </c>
      <c r="D14" s="35" t="str">
        <f>'Pre &amp; Exe_LCIA'!D40</f>
        <v>Preparation</v>
      </c>
      <c r="E14" s="35">
        <v>1</v>
      </c>
      <c r="F14" s="35" t="s">
        <v>357</v>
      </c>
      <c r="G14" s="35" t="s">
        <v>980</v>
      </c>
      <c r="H14" s="35">
        <f>'Pre &amp; Exe_LCIA'!H40</f>
        <v>18.066929622971866</v>
      </c>
      <c r="I14" s="35">
        <f>'Pre &amp; Exe_LCIA'!I40</f>
        <v>219.54983162853571</v>
      </c>
      <c r="J14" s="35">
        <f>'Pre &amp; Exe_LCIA'!J40</f>
        <v>230.95581797682797</v>
      </c>
      <c r="K14" s="35">
        <f>'Pre &amp; Exe_LCIA'!K40</f>
        <v>0.43085134749986786</v>
      </c>
      <c r="L14" s="35">
        <f>'Pre &amp; Exe_LCIA'!L40</f>
        <v>21.799593958336608</v>
      </c>
      <c r="M14" s="35">
        <f>'Pre &amp; Exe_LCIA'!M40</f>
        <v>1.9187263497192034E-2</v>
      </c>
      <c r="N14" s="35">
        <f>'Pre &amp; Exe_LCIA'!N40</f>
        <v>0.10079214755029717</v>
      </c>
      <c r="O14" s="35">
        <f>'Pre &amp; Exe_LCIA'!O40</f>
        <v>12.204339368193411</v>
      </c>
      <c r="P14" s="35">
        <f>'Pre &amp; Exe_LCIA'!P40</f>
        <v>2.6981338922353442</v>
      </c>
      <c r="Q14" s="35">
        <f>'Pre &amp; Exe_LCIA'!Q40</f>
        <v>487.75854758267644</v>
      </c>
      <c r="R14" s="35">
        <f>'Pre &amp; Exe_LCIA'!R40</f>
        <v>21.545442129144188</v>
      </c>
      <c r="S14" s="35">
        <f>'Pre &amp; Exe_LCIA'!S40</f>
        <v>17.699069644124581</v>
      </c>
      <c r="T14" s="35">
        <f>'Pre &amp; Exe_LCIA'!T40</f>
        <v>5.7543531459262427</v>
      </c>
      <c r="U14" s="35">
        <f>'Pre &amp; Exe_LCIA'!U40</f>
        <v>0.35156657234742378</v>
      </c>
      <c r="V14" s="35">
        <f>'Pre &amp; Exe_LCIA'!V40</f>
        <v>8.4165553467042253E-3</v>
      </c>
      <c r="W14" s="35">
        <f>'Pre &amp; Exe_LCIA'!W40</f>
        <v>6.6615941830313821</v>
      </c>
      <c r="X14" s="35">
        <f>'Pre &amp; Exe_LCIA'!X40</f>
        <v>1.5290097349532044</v>
      </c>
      <c r="Y14" s="35">
        <f>'Pre &amp; Exe_LCIA'!Y40</f>
        <v>0.30849519043802776</v>
      </c>
      <c r="Z14" s="35">
        <f>'Pre &amp; Exe_LCIA'!Z40</f>
        <v>7.3484647827126983E-3</v>
      </c>
      <c r="AA14" s="35">
        <f>'Pre &amp; Exe_LCIA'!AA40</f>
        <v>0.34534871722951238</v>
      </c>
      <c r="AB14" s="35">
        <f>'Pre &amp; Exe_LCIA'!AB40</f>
        <v>-1.1222692794688157E-3</v>
      </c>
      <c r="AC14" s="35">
        <f>'Pre &amp; Exe_LCIA'!AC40</f>
        <v>9.3646428176947011E-7</v>
      </c>
      <c r="AD14" s="35">
        <f>'Pre &amp; Exe_LCIA'!AD40</f>
        <v>5.1260065684227765E-2</v>
      </c>
      <c r="AE14" s="35">
        <f>'Pre &amp; Exe_LCIA'!AE40</f>
        <v>6.4859606031805295E-2</v>
      </c>
      <c r="AF14" s="35">
        <f>'Pre &amp; Exe_LCIA'!AF40</f>
        <v>7.9011347787410119E-2</v>
      </c>
      <c r="AG14" s="35">
        <f>'Pre &amp; Exe_LCIA'!AG40</f>
        <v>3.6076014252917669E-2</v>
      </c>
      <c r="AH14" s="35">
        <f>'Pre &amp; Exe_LCIA'!AH40</f>
        <v>0.27716077494396696</v>
      </c>
      <c r="AI14" s="180">
        <f>'Pre &amp; Exe_LCIA'!AI40</f>
        <v>0.32655744415773086</v>
      </c>
      <c r="AK14" s="16">
        <f t="shared" si="17"/>
        <v>18.066929622971866</v>
      </c>
      <c r="AL14" s="16">
        <f t="shared" si="18"/>
        <v>219.54983162853571</v>
      </c>
      <c r="AM14" s="16">
        <f t="shared" si="19"/>
        <v>230.95581797682797</v>
      </c>
      <c r="AN14" s="16">
        <f t="shared" si="20"/>
        <v>0.43085134749986786</v>
      </c>
      <c r="AO14" s="16">
        <f t="shared" si="21"/>
        <v>21.799593958336608</v>
      </c>
      <c r="AP14" s="16">
        <f t="shared" si="22"/>
        <v>1.9187263497192034E-2</v>
      </c>
      <c r="AQ14" s="16">
        <f t="shared" si="23"/>
        <v>0.10079214755029717</v>
      </c>
      <c r="AR14" s="16">
        <f t="shared" si="24"/>
        <v>12.204339368193411</v>
      </c>
      <c r="AS14" s="16">
        <f t="shared" si="25"/>
        <v>2.6981338922353442</v>
      </c>
      <c r="AT14" s="16">
        <f t="shared" si="26"/>
        <v>487.75854758267644</v>
      </c>
      <c r="AU14" s="16">
        <f t="shared" si="27"/>
        <v>21.545442129144188</v>
      </c>
      <c r="AV14" s="16">
        <f t="shared" si="28"/>
        <v>17.699069644124581</v>
      </c>
      <c r="AW14" s="16">
        <f t="shared" si="29"/>
        <v>5.7543531459262427</v>
      </c>
      <c r="AX14" s="16">
        <f t="shared" si="30"/>
        <v>0.35156657234742378</v>
      </c>
      <c r="AY14" s="16">
        <f t="shared" si="31"/>
        <v>8.4165553467042253E-3</v>
      </c>
      <c r="AZ14" s="16">
        <f t="shared" si="32"/>
        <v>6.6615941830313821</v>
      </c>
      <c r="BA14" s="16">
        <f t="shared" si="33"/>
        <v>1.5290097349532044</v>
      </c>
      <c r="BB14" s="16">
        <f t="shared" si="34"/>
        <v>0.30849519043802776</v>
      </c>
      <c r="BC14" s="16">
        <f t="shared" si="35"/>
        <v>7.3484647827126983E-3</v>
      </c>
      <c r="BD14" s="16">
        <f t="shared" si="36"/>
        <v>0.34534871722951238</v>
      </c>
      <c r="BE14" s="16">
        <f t="shared" si="37"/>
        <v>-1.1222692794688157E-3</v>
      </c>
      <c r="BF14" s="16">
        <f t="shared" si="38"/>
        <v>9.3646428176947011E-7</v>
      </c>
      <c r="BG14" s="16">
        <f t="shared" si="39"/>
        <v>5.1260065684227765E-2</v>
      </c>
      <c r="BH14" s="16">
        <f t="shared" si="40"/>
        <v>6.4859606031805295E-2</v>
      </c>
      <c r="BI14" s="16">
        <f t="shared" si="41"/>
        <v>7.9011347787410119E-2</v>
      </c>
      <c r="BJ14" s="16">
        <f t="shared" si="42"/>
        <v>3.6076014252917669E-2</v>
      </c>
      <c r="BK14" s="16">
        <f t="shared" si="43"/>
        <v>0.27716077494396696</v>
      </c>
      <c r="BL14" s="16">
        <f t="shared" si="44"/>
        <v>0.32655744415773086</v>
      </c>
    </row>
    <row r="15" spans="2:68" x14ac:dyDescent="0.25">
      <c r="B15" s="269"/>
      <c r="C15" s="271"/>
      <c r="D15" s="35" t="str">
        <f>'Pre &amp; Exe_LCIA'!D42</f>
        <v>Execution</v>
      </c>
      <c r="E15" s="35">
        <v>1</v>
      </c>
      <c r="F15" s="35" t="str">
        <f>F14</f>
        <v>per capita</v>
      </c>
      <c r="G15" s="35" t="str">
        <f>'Pre &amp; Exe_LCIA'!G42</f>
        <v>Calculation</v>
      </c>
      <c r="H15" s="35">
        <f>'Pre &amp; Exe_LCIA'!H42</f>
        <v>18.04791910659792</v>
      </c>
      <c r="I15" s="35">
        <f>'Pre &amp; Exe_LCIA'!I42</f>
        <v>2.3740055380684622</v>
      </c>
      <c r="J15" s="35">
        <f>'Pre &amp; Exe_LCIA'!J42</f>
        <v>193.81187331446642</v>
      </c>
      <c r="K15" s="35">
        <f>'Pre &amp; Exe_LCIA'!K42</f>
        <v>1.5192667218147776E-2</v>
      </c>
      <c r="L15" s="35">
        <f>'Pre &amp; Exe_LCIA'!L42</f>
        <v>123.75300646703549</v>
      </c>
      <c r="M15" s="35">
        <f>'Pre &amp; Exe_LCIA'!M42</f>
        <v>4.5650084597604186E-4</v>
      </c>
      <c r="N15" s="35">
        <f>'Pre &amp; Exe_LCIA'!N42</f>
        <v>0.43100107947527189</v>
      </c>
      <c r="O15" s="35">
        <f>'Pre &amp; Exe_LCIA'!O42</f>
        <v>2.05237493255148</v>
      </c>
      <c r="P15" s="35">
        <f>'Pre &amp; Exe_LCIA'!P42</f>
        <v>3.6542106559412502</v>
      </c>
      <c r="Q15" s="35">
        <f>'Pre &amp; Exe_LCIA'!Q42</f>
        <v>326.09212115560246</v>
      </c>
      <c r="R15" s="35">
        <f>'Pre &amp; Exe_LCIA'!R42</f>
        <v>0.40118879984589012</v>
      </c>
      <c r="S15" s="35">
        <f>'Pre &amp; Exe_LCIA'!S42</f>
        <v>17.806806017277321</v>
      </c>
      <c r="T15" s="35">
        <f>'Pre &amp; Exe_LCIA'!T42</f>
        <v>4.8402559271596353</v>
      </c>
      <c r="U15" s="35">
        <f>'Pre &amp; Exe_LCIA'!U42</f>
        <v>0.82808797684774282</v>
      </c>
      <c r="V15" s="35">
        <f>'Pre &amp; Exe_LCIA'!V42</f>
        <v>1.0104634721016725E-2</v>
      </c>
      <c r="W15" s="35">
        <f>'Pre &amp; Exe_LCIA'!W42</f>
        <v>7.1370652279133679</v>
      </c>
      <c r="X15" s="35">
        <f>'Pre &amp; Exe_LCIA'!X42</f>
        <v>8.0432962895113427</v>
      </c>
      <c r="Y15" s="35">
        <f>'Pre &amp; Exe_LCIA'!Y42</f>
        <v>0.70852096510009532</v>
      </c>
      <c r="Z15" s="35">
        <f>'Pre &amp; Exe_LCIA'!Z42</f>
        <v>6.9134820988658065E-3</v>
      </c>
      <c r="AA15" s="35">
        <f>'Pre &amp; Exe_LCIA'!AA42</f>
        <v>0.33752786917572308</v>
      </c>
      <c r="AB15" s="35">
        <f>'Pre &amp; Exe_LCIA'!AB42</f>
        <v>-7.0392716379562704E-4</v>
      </c>
      <c r="AC15" s="35">
        <f>'Pre &amp; Exe_LCIA'!AC42</f>
        <v>5.3659412997864764E-7</v>
      </c>
      <c r="AD15" s="35">
        <f>'Pre &amp; Exe_LCIA'!AD42</f>
        <v>3.2468133079355192E-2</v>
      </c>
      <c r="AE15" s="35">
        <f>'Pre &amp; Exe_LCIA'!AE42</f>
        <v>2.9966454519424909E-2</v>
      </c>
      <c r="AF15" s="35">
        <f>'Pre &amp; Exe_LCIA'!AF42</f>
        <v>5.4107648417593558E-2</v>
      </c>
      <c r="AG15" s="35">
        <f>'Pre &amp; Exe_LCIA'!AG42</f>
        <v>8.0483337776345487E-4</v>
      </c>
      <c r="AH15" s="35">
        <f>'Pre &amp; Exe_LCIA'!AH42</f>
        <v>7.7902451535594247E-2</v>
      </c>
      <c r="AI15" s="180">
        <f>'Pre &amp; Exe_LCIA'!AI42</f>
        <v>7.4072188729550653E-2</v>
      </c>
      <c r="AK15" s="16">
        <f t="shared" si="17"/>
        <v>18.04791910659792</v>
      </c>
      <c r="AL15" s="16">
        <f t="shared" si="18"/>
        <v>2.3740055380684622</v>
      </c>
      <c r="AM15" s="16">
        <f t="shared" si="19"/>
        <v>193.81187331446642</v>
      </c>
      <c r="AN15" s="16">
        <f t="shared" si="20"/>
        <v>1.5192667218147776E-2</v>
      </c>
      <c r="AO15" s="16">
        <f t="shared" si="21"/>
        <v>123.75300646703549</v>
      </c>
      <c r="AP15" s="16">
        <f t="shared" si="22"/>
        <v>4.5650084597604186E-4</v>
      </c>
      <c r="AQ15" s="16">
        <f t="shared" si="23"/>
        <v>0.43100107947527189</v>
      </c>
      <c r="AR15" s="16">
        <f t="shared" si="24"/>
        <v>2.05237493255148</v>
      </c>
      <c r="AS15" s="16">
        <f t="shared" si="25"/>
        <v>3.6542106559412502</v>
      </c>
      <c r="AT15" s="16">
        <f t="shared" si="26"/>
        <v>326.09212115560246</v>
      </c>
      <c r="AU15" s="16">
        <f t="shared" si="27"/>
        <v>0.40118879984589012</v>
      </c>
      <c r="AV15" s="16">
        <f t="shared" si="28"/>
        <v>17.806806017277321</v>
      </c>
      <c r="AW15" s="16">
        <f t="shared" si="29"/>
        <v>4.8402559271596353</v>
      </c>
      <c r="AX15" s="16">
        <f t="shared" si="30"/>
        <v>0.82808797684774282</v>
      </c>
      <c r="AY15" s="16">
        <f t="shared" si="31"/>
        <v>1.0104634721016725E-2</v>
      </c>
      <c r="AZ15" s="16">
        <f t="shared" si="32"/>
        <v>7.1370652279133679</v>
      </c>
      <c r="BA15" s="16">
        <f t="shared" si="33"/>
        <v>8.0432962895113427</v>
      </c>
      <c r="BB15" s="16">
        <f t="shared" si="34"/>
        <v>0.70852096510009532</v>
      </c>
      <c r="BC15" s="16">
        <f t="shared" si="35"/>
        <v>6.9134820988658065E-3</v>
      </c>
      <c r="BD15" s="16">
        <f t="shared" si="36"/>
        <v>0.33752786917572308</v>
      </c>
      <c r="BE15" s="16">
        <f t="shared" si="37"/>
        <v>-7.0392716379562704E-4</v>
      </c>
      <c r="BF15" s="16">
        <f t="shared" si="38"/>
        <v>5.3659412997864764E-7</v>
      </c>
      <c r="BG15" s="16">
        <f t="shared" si="39"/>
        <v>3.2468133079355192E-2</v>
      </c>
      <c r="BH15" s="16">
        <f t="shared" si="40"/>
        <v>2.9966454519424909E-2</v>
      </c>
      <c r="BI15" s="16">
        <f t="shared" si="41"/>
        <v>5.4107648417593558E-2</v>
      </c>
      <c r="BJ15" s="16">
        <f t="shared" si="42"/>
        <v>8.0483337776345487E-4</v>
      </c>
      <c r="BK15" s="16">
        <f t="shared" si="43"/>
        <v>7.7902451535594247E-2</v>
      </c>
      <c r="BL15" s="16">
        <f t="shared" si="44"/>
        <v>7.4072188729550653E-2</v>
      </c>
    </row>
    <row r="16" spans="2:68" x14ac:dyDescent="0.25">
      <c r="B16" s="269" t="s">
        <v>1</v>
      </c>
      <c r="C16" s="35" t="s">
        <v>293</v>
      </c>
      <c r="D16" s="35" t="s">
        <v>295</v>
      </c>
      <c r="E16" s="35">
        <f>Transport_1_hub!AP393*2</f>
        <v>170.18997911227163</v>
      </c>
      <c r="F16" s="35" t="s">
        <v>296</v>
      </c>
      <c r="G16" s="35" t="s">
        <v>183</v>
      </c>
      <c r="H16" s="35">
        <f>SA!B11</f>
        <v>0.33979999999999999</v>
      </c>
      <c r="I16" s="35">
        <v>3.2532999999999999E-2</v>
      </c>
      <c r="J16" s="35">
        <v>4.7183999999999999</v>
      </c>
      <c r="K16" s="35">
        <v>1.6715E-3</v>
      </c>
      <c r="L16" s="35">
        <v>0.12584000000000001</v>
      </c>
      <c r="M16" s="35">
        <v>5.2232999999999999E-5</v>
      </c>
      <c r="N16" s="35">
        <v>5.9770000000000005E-4</v>
      </c>
      <c r="O16" s="35">
        <v>6.3632999999999995E-2</v>
      </c>
      <c r="P16" s="35">
        <v>1.3323E-2</v>
      </c>
      <c r="Q16" s="35">
        <f>SUM(I16:P16)</f>
        <v>4.9560504329999997</v>
      </c>
      <c r="R16" s="35">
        <v>5.2655999999999996E-3</v>
      </c>
      <c r="S16" s="35">
        <v>0.33538000000000001</v>
      </c>
      <c r="T16" s="35">
        <v>0.1099</v>
      </c>
      <c r="U16" s="35">
        <v>1.7913999999999999E-2</v>
      </c>
      <c r="V16" s="35">
        <v>4.7760999999999999E-5</v>
      </c>
      <c r="W16" s="35">
        <v>7.6970999999999998E-2</v>
      </c>
      <c r="X16" s="35">
        <v>2.2780000000000002E-2</v>
      </c>
      <c r="Y16" s="35">
        <v>1.5582E-2</v>
      </c>
      <c r="Z16" s="35">
        <v>4.1009E-5</v>
      </c>
      <c r="AA16" s="35">
        <v>2.3355999999999998E-2</v>
      </c>
      <c r="AB16" s="35">
        <v>-2.1823000000000001E-5</v>
      </c>
      <c r="AC16" s="35">
        <v>4.8884000000000003E-8</v>
      </c>
      <c r="AD16" s="35">
        <v>4.1103999999999999E-4</v>
      </c>
      <c r="AE16" s="35">
        <v>8.8612999999999995E-4</v>
      </c>
      <c r="AF16" s="35">
        <v>8.4542000000000005E-4</v>
      </c>
      <c r="AG16" s="35">
        <v>5.1165000000000002E-5</v>
      </c>
      <c r="AH16" s="35">
        <v>8.7036000000000006E-3</v>
      </c>
      <c r="AI16" s="180">
        <v>9.3154999999999996E-4</v>
      </c>
      <c r="AK16" s="16">
        <f t="shared" si="17"/>
        <v>57.830554902349895</v>
      </c>
      <c r="AL16" s="16">
        <f t="shared" si="18"/>
        <v>5.5367905904595327</v>
      </c>
      <c r="AM16" s="16">
        <f t="shared" si="19"/>
        <v>803.02439744334242</v>
      </c>
      <c r="AN16" s="16">
        <f t="shared" si="20"/>
        <v>0.28447255008616201</v>
      </c>
      <c r="AO16" s="16">
        <f t="shared" si="21"/>
        <v>21.416706971488264</v>
      </c>
      <c r="AP16" s="16">
        <f t="shared" si="22"/>
        <v>8.8895331789712838E-3</v>
      </c>
      <c r="AQ16" s="16">
        <f t="shared" si="23"/>
        <v>0.10172255051540476</v>
      </c>
      <c r="AR16" s="16">
        <f t="shared" si="24"/>
        <v>10.829698940851181</v>
      </c>
      <c r="AS16" s="16">
        <f t="shared" si="25"/>
        <v>2.267441091712795</v>
      </c>
      <c r="AT16" s="16">
        <f t="shared" si="26"/>
        <v>843.47011967163473</v>
      </c>
      <c r="AU16" s="16">
        <f t="shared" si="27"/>
        <v>0.8961523540135774</v>
      </c>
      <c r="AV16" s="16">
        <f t="shared" si="28"/>
        <v>57.078315194673664</v>
      </c>
      <c r="AW16" s="16">
        <f t="shared" si="29"/>
        <v>18.703878704438651</v>
      </c>
      <c r="AX16" s="16">
        <f t="shared" si="30"/>
        <v>3.0487832858172337</v>
      </c>
      <c r="AY16" s="16">
        <f>$E16*V16</f>
        <v>8.1284435923812057E-3</v>
      </c>
      <c r="AZ16" s="16">
        <f t="shared" si="32"/>
        <v>13.099692882250659</v>
      </c>
      <c r="BA16" s="16">
        <f t="shared" si="33"/>
        <v>3.8769277241775479</v>
      </c>
      <c r="BB16" s="16">
        <f t="shared" si="34"/>
        <v>2.6519002545274164</v>
      </c>
      <c r="BC16" s="16">
        <f t="shared" si="35"/>
        <v>6.9793208534151474E-3</v>
      </c>
      <c r="BD16" s="16">
        <f t="shared" si="36"/>
        <v>3.9749571521462159</v>
      </c>
      <c r="BE16" s="16">
        <f t="shared" si="37"/>
        <v>-3.714055914167104E-3</v>
      </c>
      <c r="BF16" s="16">
        <f t="shared" si="38"/>
        <v>8.3195669389242867E-6</v>
      </c>
      <c r="BG16" s="16">
        <f t="shared" si="39"/>
        <v>6.995488901430813E-2</v>
      </c>
      <c r="BH16" s="16">
        <f t="shared" si="40"/>
        <v>0.15081044619075726</v>
      </c>
      <c r="BI16" s="16">
        <f t="shared" si="41"/>
        <v>0.14388201214109669</v>
      </c>
      <c r="BJ16" s="16">
        <f t="shared" si="42"/>
        <v>8.7077702812793784E-3</v>
      </c>
      <c r="BK16" s="16">
        <f t="shared" si="43"/>
        <v>1.4812655022015675</v>
      </c>
      <c r="BL16" s="16">
        <f t="shared" si="44"/>
        <v>0.15854047504203664</v>
      </c>
    </row>
    <row r="17" spans="2:64" x14ac:dyDescent="0.25">
      <c r="B17" s="269"/>
      <c r="C17" s="35" t="s">
        <v>571</v>
      </c>
      <c r="D17" s="35" t="s">
        <v>832</v>
      </c>
      <c r="E17" s="35">
        <f>Transport_1_hub!AP392*2</f>
        <v>34.232093994778062</v>
      </c>
      <c r="F17" s="35" t="s">
        <v>296</v>
      </c>
      <c r="G17" s="35" t="str">
        <f>Summary_LCIA!G37</f>
        <v>Ecoinvent v3.7.1</v>
      </c>
      <c r="H17" s="35">
        <f>SA!B10</f>
        <v>7.4462E-2</v>
      </c>
      <c r="I17" s="35">
        <v>7.4462E-2</v>
      </c>
      <c r="J17" s="35">
        <f ca="1">Summary_LCIA!J37</f>
        <v>0.87446999999999997</v>
      </c>
      <c r="K17" s="35">
        <f ca="1">Summary_LCIA!K37</f>
        <v>4.2768999999999999E-4</v>
      </c>
      <c r="L17" s="35">
        <f ca="1">Summary_LCIA!L37</f>
        <v>0.18787999999999999</v>
      </c>
      <c r="M17" s="35">
        <f ca="1">Summary_LCIA!M37</f>
        <v>2.0060000000000001E-5</v>
      </c>
      <c r="N17" s="35">
        <f ca="1">Summary_LCIA!N37</f>
        <v>2.8479999999999998E-5</v>
      </c>
      <c r="O17" s="35">
        <f ca="1">Summary_LCIA!O37</f>
        <v>2.4888E-2</v>
      </c>
      <c r="P17" s="35">
        <f ca="1">Summary_LCIA!P37</f>
        <v>7.2913000000000006E-2</v>
      </c>
      <c r="Q17" s="35">
        <f ca="1">Summary_LCIA!Q37</f>
        <v>1.23508923</v>
      </c>
      <c r="R17" s="35">
        <f ca="1">Summary_LCIA!R37</f>
        <v>2.5566E-3</v>
      </c>
      <c r="S17" s="35">
        <f ca="1">Summary_LCIA!S37</f>
        <v>7.3438000000000003E-2</v>
      </c>
      <c r="T17" s="35">
        <f ca="1">Summary_LCIA!T37</f>
        <v>2.0743000000000001E-2</v>
      </c>
      <c r="U17" s="35">
        <f ca="1">Summary_LCIA!U37</f>
        <v>1.8396E-3</v>
      </c>
      <c r="V17" s="35">
        <f ca="1">Summary_LCIA!V37</f>
        <v>8.1093000000000004E-5</v>
      </c>
      <c r="W17" s="35">
        <f ca="1">Summary_LCIA!W37</f>
        <v>5.0548999999999997E-2</v>
      </c>
      <c r="X17" s="35">
        <f ca="1">Summary_LCIA!X37</f>
        <v>1.0624E-2</v>
      </c>
      <c r="Y17" s="35">
        <f ca="1">Summary_LCIA!Y37</f>
        <v>1.7136E-3</v>
      </c>
      <c r="Z17" s="35">
        <f ca="1">Summary_LCIA!Z37</f>
        <v>2.8504999999999999E-5</v>
      </c>
      <c r="AA17" s="35">
        <f ca="1">Summary_LCIA!AA37</f>
        <v>2.0625999999999999E-3</v>
      </c>
      <c r="AB17" s="35">
        <f ca="1">Summary_LCIA!AB37</f>
        <v>-6.9388999999999998E-6</v>
      </c>
      <c r="AC17" s="35">
        <f ca="1">Summary_LCIA!AC37</f>
        <v>3.6820999999999999E-9</v>
      </c>
      <c r="AD17" s="35">
        <f ca="1">Summary_LCIA!AD37</f>
        <v>1.1118E-4</v>
      </c>
      <c r="AE17" s="35">
        <f ca="1">Summary_LCIA!AE37</f>
        <v>2.9994E-4</v>
      </c>
      <c r="AF17" s="35">
        <f ca="1">Summary_LCIA!AF37</f>
        <v>2.3786E-4</v>
      </c>
      <c r="AG17" s="35">
        <f ca="1">Summary_LCIA!AG37</f>
        <v>2.7381000000000001E-6</v>
      </c>
      <c r="AH17" s="35">
        <f ca="1">Summary_LCIA!AH37</f>
        <v>2.2783E-3</v>
      </c>
      <c r="AI17" s="180">
        <f ca="1">Summary_LCIA!AI37</f>
        <v>2.8075000000000002E-4</v>
      </c>
      <c r="AK17" s="16">
        <f>$E17*H17</f>
        <v>2.5489901830391641</v>
      </c>
      <c r="AL17" s="16">
        <f t="shared" si="18"/>
        <v>2.5489901830391641</v>
      </c>
      <c r="AM17" s="16">
        <f t="shared" ca="1" si="19"/>
        <v>29.93493923561357</v>
      </c>
      <c r="AN17" s="16">
        <f t="shared" ca="1" si="20"/>
        <v>1.4640724280626629E-2</v>
      </c>
      <c r="AO17" s="16">
        <f t="shared" ca="1" si="21"/>
        <v>6.4315258197389022</v>
      </c>
      <c r="AP17" s="16">
        <f t="shared" ca="1" si="22"/>
        <v>6.8669580553524796E-4</v>
      </c>
      <c r="AQ17" s="16">
        <f t="shared" ca="1" si="23"/>
        <v>9.7493003697127917E-4</v>
      </c>
      <c r="AR17" s="16">
        <f t="shared" ca="1" si="24"/>
        <v>0.85196835534203641</v>
      </c>
      <c r="AS17" s="16">
        <f t="shared" ca="1" si="25"/>
        <v>2.4959646694412529</v>
      </c>
      <c r="AT17" s="16">
        <f t="shared" ca="1" si="26"/>
        <v>42.279690613298058</v>
      </c>
      <c r="AU17" s="16">
        <f t="shared" ca="1" si="27"/>
        <v>8.7517771507049591E-2</v>
      </c>
      <c r="AV17" s="16">
        <f t="shared" ca="1" si="28"/>
        <v>2.5139365187885114</v>
      </c>
      <c r="AW17" s="16">
        <f t="shared" ca="1" si="29"/>
        <v>0.7100763257336814</v>
      </c>
      <c r="AX17" s="16">
        <f t="shared" ca="1" si="30"/>
        <v>6.2973360112793725E-2</v>
      </c>
      <c r="AY17" s="16">
        <f t="shared" ca="1" si="31"/>
        <v>2.7759831983185375E-3</v>
      </c>
      <c r="AZ17" s="16">
        <f t="shared" ca="1" si="32"/>
        <v>1.7303981193420361</v>
      </c>
      <c r="BA17" s="16">
        <f t="shared" ca="1" si="33"/>
        <v>0.36368176660052209</v>
      </c>
      <c r="BB17" s="16">
        <f t="shared" ca="1" si="34"/>
        <v>5.8660116269451688E-2</v>
      </c>
      <c r="BC17" s="16">
        <f t="shared" ca="1" si="35"/>
        <v>9.7578583932114856E-4</v>
      </c>
      <c r="BD17" s="16">
        <f t="shared" ca="1" si="36"/>
        <v>7.0607117073629225E-2</v>
      </c>
      <c r="BE17" s="16">
        <f t="shared" ca="1" si="37"/>
        <v>-2.3753307702036549E-4</v>
      </c>
      <c r="BF17" s="16">
        <f t="shared" ca="1" si="38"/>
        <v>1.2604599329817229E-7</v>
      </c>
      <c r="BG17" s="16">
        <f t="shared" ca="1" si="39"/>
        <v>3.8059242103394252E-3</v>
      </c>
      <c r="BH17" s="16">
        <f t="shared" ca="1" si="40"/>
        <v>1.0267574272793732E-2</v>
      </c>
      <c r="BI17" s="16">
        <f t="shared" ca="1" si="41"/>
        <v>8.1424458775979092E-3</v>
      </c>
      <c r="BJ17" s="16">
        <f t="shared" ca="1" si="42"/>
        <v>9.3730896567101809E-5</v>
      </c>
      <c r="BK17" s="16">
        <f t="shared" ca="1" si="43"/>
        <v>7.7990979748302852E-2</v>
      </c>
      <c r="BL17" s="16">
        <f t="shared" ca="1" si="44"/>
        <v>9.6106603890339422E-3</v>
      </c>
    </row>
    <row r="18" spans="2:64" x14ac:dyDescent="0.25">
      <c r="B18" s="270"/>
      <c r="C18" s="182" t="s">
        <v>294</v>
      </c>
      <c r="D18" s="182" t="s">
        <v>356</v>
      </c>
      <c r="E18" s="182">
        <f>1*2</f>
        <v>2</v>
      </c>
      <c r="F18" s="182" t="s">
        <v>357</v>
      </c>
      <c r="G18" s="182" t="s">
        <v>982</v>
      </c>
      <c r="H18" s="182">
        <f>Transport_1_hub!AT393</f>
        <v>335.74195288651714</v>
      </c>
      <c r="I18" s="182" t="s">
        <v>2</v>
      </c>
      <c r="J18" s="182" t="s">
        <v>2</v>
      </c>
      <c r="K18" s="182" t="s">
        <v>2</v>
      </c>
      <c r="L18" s="182" t="s">
        <v>2</v>
      </c>
      <c r="M18" s="182" t="s">
        <v>2</v>
      </c>
      <c r="N18" s="182" t="s">
        <v>2</v>
      </c>
      <c r="O18" s="182" t="s">
        <v>2</v>
      </c>
      <c r="P18" s="182" t="s">
        <v>2</v>
      </c>
      <c r="Q18" s="182">
        <f ca="1">Transport_1_hub!AU393</f>
        <v>3320.7858060814674</v>
      </c>
      <c r="R18" s="182">
        <f ca="1">Transport_1_hub!AV393</f>
        <v>1.3117591953101282</v>
      </c>
      <c r="S18" s="182">
        <f ca="1">Transport_1_hub!AW393</f>
        <v>335.74195288651737</v>
      </c>
      <c r="T18" s="182">
        <f ca="1">Transport_1_hub!AX393</f>
        <v>77.890406463562627</v>
      </c>
      <c r="U18" s="182">
        <f ca="1">Transport_1_hub!AY393</f>
        <v>0.34077660904666257</v>
      </c>
      <c r="V18" s="182">
        <f ca="1">Transport_1_hub!AZ393</f>
        <v>6.6595141421642761E-3</v>
      </c>
      <c r="W18" s="182">
        <f ca="1">Transport_1_hub!BA393</f>
        <v>9.9300601525572603</v>
      </c>
      <c r="X18" s="182">
        <f ca="1">Transport_1_hub!BB393</f>
        <v>15.998241552207968</v>
      </c>
      <c r="Y18" s="182">
        <f ca="1">Transport_1_hub!BC393</f>
        <v>0.28614705941458585</v>
      </c>
      <c r="Z18" s="182">
        <f ca="1">Transport_1_hub!BD393</f>
        <v>0.36546234320510346</v>
      </c>
      <c r="AA18" s="182">
        <f ca="1">Transport_1_hub!BE393</f>
        <v>1.2599495517506305</v>
      </c>
      <c r="AB18" s="182">
        <f ca="1">Transport_1_hub!BF393</f>
        <v>8.2140537043668943E-2</v>
      </c>
      <c r="AC18" s="182">
        <f ca="1">Transport_1_hub!BG393</f>
        <v>3.9785864757042713E-5</v>
      </c>
      <c r="AD18" s="182">
        <f ca="1">Transport_1_hub!BH393</f>
        <v>0.11442607415274994</v>
      </c>
      <c r="AE18" s="182">
        <f ca="1">Transport_1_hub!BI393</f>
        <v>0.3211320017341599</v>
      </c>
      <c r="AF18" s="182">
        <f ca="1">Transport_1_hub!BJ393</f>
        <v>5.0562057554995833E-3</v>
      </c>
      <c r="AG18" s="182">
        <f ca="1">Transport_1_hub!BK393</f>
        <v>5.0562057554995451E-3</v>
      </c>
      <c r="AH18" s="182">
        <f ca="1">Transport_1_hub!BL393</f>
        <v>0.68073781998199745</v>
      </c>
      <c r="AI18" s="183">
        <f ca="1">Transport_1_hub!BM393</f>
        <v>0.29844598577341258</v>
      </c>
      <c r="AK18" s="16">
        <f>$E18*H18</f>
        <v>671.48390577303428</v>
      </c>
      <c r="AL18" s="16" t="s">
        <v>2</v>
      </c>
      <c r="AM18" s="16" t="s">
        <v>2</v>
      </c>
      <c r="AN18" s="16" t="s">
        <v>2</v>
      </c>
      <c r="AO18" s="16" t="s">
        <v>2</v>
      </c>
      <c r="AP18" s="16" t="s">
        <v>2</v>
      </c>
      <c r="AQ18" s="16" t="s">
        <v>2</v>
      </c>
      <c r="AR18" s="16" t="s">
        <v>2</v>
      </c>
      <c r="AS18" s="16" t="s">
        <v>2</v>
      </c>
      <c r="AT18" s="16">
        <f t="shared" ref="AT18" ca="1" si="45">$E18*Q18</f>
        <v>6641.5716121629348</v>
      </c>
      <c r="AU18" s="16">
        <f t="shared" ref="AU18" ca="1" si="46">$E18*R18</f>
        <v>2.6235183906202564</v>
      </c>
      <c r="AV18" s="16">
        <f t="shared" ref="AV18" ca="1" si="47">$E18*S18</f>
        <v>671.48390577303473</v>
      </c>
      <c r="AW18" s="16">
        <f t="shared" ref="AW18" ca="1" si="48">$E18*T18</f>
        <v>155.78081292712525</v>
      </c>
      <c r="AX18" s="16">
        <f t="shared" ref="AX18" ca="1" si="49">$E18*U18</f>
        <v>0.68155321809332514</v>
      </c>
      <c r="AY18" s="16">
        <f t="shared" ref="AY18" ca="1" si="50">$E18*V18</f>
        <v>1.3319028284328552E-2</v>
      </c>
      <c r="AZ18" s="16">
        <f t="shared" ref="AZ18" ca="1" si="51">$E18*W18</f>
        <v>19.860120305114521</v>
      </c>
      <c r="BA18" s="16">
        <f t="shared" ref="BA18" ca="1" si="52">$E18*X18</f>
        <v>31.996483104415937</v>
      </c>
      <c r="BB18" s="16">
        <f t="shared" ref="BB18" ca="1" si="53">$E18*Y18</f>
        <v>0.57229411882917169</v>
      </c>
      <c r="BC18" s="16">
        <f t="shared" ref="BC18" ca="1" si="54">$E18*Z18</f>
        <v>0.73092468641020691</v>
      </c>
      <c r="BD18" s="16">
        <f t="shared" ref="BD18" ca="1" si="55">$E18*AA18</f>
        <v>2.519899103501261</v>
      </c>
      <c r="BE18" s="16">
        <f t="shared" ref="BE18" ca="1" si="56">$E18*AB18</f>
        <v>0.16428107408733789</v>
      </c>
      <c r="BF18" s="16">
        <f t="shared" ref="BF18" ca="1" si="57">$E18*AC18</f>
        <v>7.9571729514085426E-5</v>
      </c>
      <c r="BG18" s="16">
        <f t="shared" ref="BG18" ca="1" si="58">$E18*AD18</f>
        <v>0.22885214830549988</v>
      </c>
      <c r="BH18" s="16">
        <f t="shared" ref="BH18" ca="1" si="59">$E18*AE18</f>
        <v>0.6422640034683198</v>
      </c>
      <c r="BI18" s="16">
        <f t="shared" ref="BI18" ca="1" si="60">$E18*AF18</f>
        <v>1.0112411510999167E-2</v>
      </c>
      <c r="BJ18" s="16">
        <f t="shared" ref="BJ18" ca="1" si="61">$E18*AG18</f>
        <v>1.011241151099909E-2</v>
      </c>
      <c r="BK18" s="16">
        <f t="shared" ref="BK18" ca="1" si="62">$E18*AH18</f>
        <v>1.3614756399639949</v>
      </c>
      <c r="BL18" s="16">
        <f t="shared" ref="BL18" ca="1" si="63">$E18*AI18</f>
        <v>0.59689197154682516</v>
      </c>
    </row>
    <row r="20" spans="2:64" x14ac:dyDescent="0.25">
      <c r="B20" t="s">
        <v>742</v>
      </c>
      <c r="C20">
        <f>Transport_1_hub!AP391</f>
        <v>383</v>
      </c>
      <c r="E20" s="16"/>
      <c r="F20" s="16"/>
      <c r="G20" s="16" t="s">
        <v>264</v>
      </c>
      <c r="H20" s="16">
        <f>SUMPRODUCT($E$3:$E$7,H3:H7)*18%+SUMPRODUCT($E$8:$E$12,H8:H12)*82%+SUMPRODUCT($E$13:$E$18,H13:H18)</f>
        <v>839.63096223972445</v>
      </c>
      <c r="I20" s="16" t="s">
        <v>2</v>
      </c>
      <c r="J20" s="16" t="s">
        <v>2</v>
      </c>
      <c r="K20" s="16" t="s">
        <v>2</v>
      </c>
      <c r="L20" s="16" t="s">
        <v>2</v>
      </c>
      <c r="M20" s="16" t="s">
        <v>2</v>
      </c>
      <c r="N20" s="16" t="s">
        <v>2</v>
      </c>
      <c r="O20" s="16" t="s">
        <v>2</v>
      </c>
      <c r="P20" s="16" t="s">
        <v>2</v>
      </c>
      <c r="Q20" s="16">
        <f ca="1">SUMPRODUCT($E$3:$E$7,Q3:Q7)*18%+SUMPRODUCT($E$8:$E$12,Q8:Q12)*82%+SUMPRODUCT($E$13:$E$18,Q13:Q18)</f>
        <v>9492.5484022307846</v>
      </c>
      <c r="R20" s="16">
        <f t="shared" ref="R20:AI20" ca="1" si="64">SUMPRODUCT($E$3:$E$7,R3:R7)*18%+SUMPRODUCT($E$8:$E$12,R8:R12)*82%+SUMPRODUCT($E$13:$E$18,R13:R18)</f>
        <v>98.751884656570581</v>
      </c>
      <c r="S20" s="16">
        <f t="shared" ca="1" si="64"/>
        <v>835.1547852269548</v>
      </c>
      <c r="T20" s="16">
        <f t="shared" ca="1" si="64"/>
        <v>203.0970641520577</v>
      </c>
      <c r="U20" s="16">
        <f t="shared" ca="1" si="64"/>
        <v>7.3340247104370269</v>
      </c>
      <c r="V20" s="16">
        <f t="shared" ca="1" si="64"/>
        <v>7.7123732628094299E-2</v>
      </c>
      <c r="W20" s="16">
        <f t="shared" ca="1" si="64"/>
        <v>80.94774401976575</v>
      </c>
      <c r="X20" s="16">
        <f t="shared" ca="1" si="64"/>
        <v>64.379260977514377</v>
      </c>
      <c r="Y20" s="16">
        <f t="shared" ca="1" si="64"/>
        <v>6.2886269116430764</v>
      </c>
      <c r="Z20" s="16">
        <f t="shared" ca="1" si="64"/>
        <v>0.89315592236092667</v>
      </c>
      <c r="AA20" s="16">
        <f t="shared" ca="1" si="64"/>
        <v>8.5199631564538745</v>
      </c>
      <c r="AB20" s="16">
        <f t="shared" ca="1" si="64"/>
        <v>0.15619277227042036</v>
      </c>
      <c r="AC20" s="16">
        <f t="shared" ca="1" si="64"/>
        <v>9.2236734904659889E-5</v>
      </c>
      <c r="AD20" s="16">
        <f t="shared" ca="1" si="64"/>
        <v>0.51237003312789686</v>
      </c>
      <c r="AE20" s="16">
        <f t="shared" ca="1" si="64"/>
        <v>1.0529250955862575</v>
      </c>
      <c r="AF20" s="16">
        <f t="shared" ca="1" si="64"/>
        <v>0.61091967120362822</v>
      </c>
      <c r="AG20" s="16">
        <f t="shared" ca="1" si="64"/>
        <v>0.31274997112779346</v>
      </c>
      <c r="AH20" s="16">
        <f t="shared" ca="1" si="64"/>
        <v>3.7780033301509506</v>
      </c>
      <c r="AI20" s="16">
        <f t="shared" ca="1" si="64"/>
        <v>2.7931362155004957</v>
      </c>
    </row>
    <row r="21" spans="2:64" x14ac:dyDescent="0.25">
      <c r="E21" s="16"/>
      <c r="F21" s="16"/>
      <c r="G21" s="16"/>
      <c r="H21" s="176">
        <f>H18*E18/H20</f>
        <v>0.79973695107889287</v>
      </c>
      <c r="I21" s="176">
        <f>AK16/H20</f>
        <v>6.8876158101752558E-2</v>
      </c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</row>
    <row r="22" spans="2:64" x14ac:dyDescent="0.25">
      <c r="E22" s="16"/>
      <c r="F22" s="16"/>
      <c r="G22" s="16"/>
      <c r="H22" s="16">
        <f>SUMPRODUCT($E$16:$E$18,H16:H18)</f>
        <v>731.86345085842333</v>
      </c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</row>
    <row r="23" spans="2:64" x14ac:dyDescent="0.25">
      <c r="B23" s="22"/>
      <c r="C23" s="2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</row>
    <row r="24" spans="2:64" x14ac:dyDescent="0.25">
      <c r="C24" s="22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</row>
    <row r="25" spans="2:64" x14ac:dyDescent="0.25">
      <c r="C25" s="22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</row>
    <row r="26" spans="2:64" x14ac:dyDescent="0.25">
      <c r="C26" s="22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</row>
    <row r="27" spans="2:64" x14ac:dyDescent="0.25">
      <c r="F27" s="16"/>
      <c r="I27" s="16"/>
    </row>
    <row r="31" spans="2:64" x14ac:dyDescent="0.25">
      <c r="I31" s="16"/>
    </row>
    <row r="33" spans="4:9" x14ac:dyDescent="0.25">
      <c r="I33" s="16"/>
    </row>
    <row r="34" spans="4:9" x14ac:dyDescent="0.25">
      <c r="I34" s="16"/>
    </row>
    <row r="38" spans="4:9" x14ac:dyDescent="0.25">
      <c r="I38" s="16"/>
    </row>
    <row r="44" spans="4:9" x14ac:dyDescent="0.25">
      <c r="D44" t="s">
        <v>358</v>
      </c>
    </row>
  </sheetData>
  <mergeCells count="5">
    <mergeCell ref="B8:B12"/>
    <mergeCell ref="B3:B7"/>
    <mergeCell ref="B16:B18"/>
    <mergeCell ref="B14:B15"/>
    <mergeCell ref="C14:C15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BBD3F-9A96-43C1-91D8-0A903805D9A5}">
  <sheetPr codeName="Sheet17"/>
  <dimension ref="B2:BN148"/>
  <sheetViews>
    <sheetView zoomScale="70" zoomScaleNormal="70" workbookViewId="0">
      <selection activeCell="F18" sqref="F18"/>
    </sheetView>
  </sheetViews>
  <sheetFormatPr defaultRowHeight="15" x14ac:dyDescent="0.25"/>
  <cols>
    <col min="1" max="1" width="9.140625" style="76"/>
    <col min="2" max="3" width="10.7109375" style="76" customWidth="1"/>
    <col min="4" max="4" width="74.28515625" style="76" bestFit="1" customWidth="1"/>
    <col min="5" max="5" width="14.85546875" style="76" bestFit="1" customWidth="1"/>
    <col min="6" max="6" width="10.7109375" style="76" customWidth="1"/>
    <col min="7" max="7" width="16.85546875" style="76" bestFit="1" customWidth="1"/>
    <col min="8" max="27" width="10.7109375" style="76" customWidth="1"/>
    <col min="28" max="28" width="12" style="76" customWidth="1"/>
    <col min="29" max="35" width="10.7109375" style="76" customWidth="1"/>
    <col min="36" max="36" width="9.140625" style="76"/>
    <col min="37" max="56" width="10.7109375" style="76" customWidth="1"/>
    <col min="57" max="57" width="12.28515625" style="76" customWidth="1"/>
    <col min="58" max="64" width="10.7109375" style="76" customWidth="1"/>
    <col min="65" max="16384" width="9.140625" style="76"/>
  </cols>
  <sheetData>
    <row r="2" spans="2:66" x14ac:dyDescent="0.25">
      <c r="B2" s="207"/>
      <c r="C2" s="208" t="str">
        <f>'1_hub_LCIA'!C2</f>
        <v>Item</v>
      </c>
      <c r="D2" s="208" t="str">
        <f>'1_hub_LCIA'!D2</f>
        <v>Process</v>
      </c>
      <c r="E2" s="208" t="str">
        <f>'1_hub_LCIA'!E2</f>
        <v>Value</v>
      </c>
      <c r="F2" s="208" t="str">
        <f>'1_hub_LCIA'!F2</f>
        <v>Unit</v>
      </c>
      <c r="G2" s="208" t="str">
        <f>'1_hub_LCIA'!G2</f>
        <v>Source</v>
      </c>
      <c r="H2" s="208" t="str">
        <f>'1_hub_LCIA'!H2</f>
        <v>GWP</v>
      </c>
      <c r="I2" s="208" t="str">
        <f>'1_hub_LCIA'!I2</f>
        <v>biomass</v>
      </c>
      <c r="J2" s="208" t="str">
        <f>'1_hub_LCIA'!J2</f>
        <v>fossil</v>
      </c>
      <c r="K2" s="208" t="str">
        <f>'1_hub_LCIA'!K2</f>
        <v>geothermal</v>
      </c>
      <c r="L2" s="208" t="str">
        <f>'1_hub_LCIA'!L2</f>
        <v>nuclear</v>
      </c>
      <c r="M2" s="208" t="str">
        <f>'1_hub_LCIA'!M2</f>
        <v>primary forest</v>
      </c>
      <c r="N2" s="208" t="str">
        <f>'1_hub_LCIA'!N2</f>
        <v>solar</v>
      </c>
      <c r="O2" s="208" t="str">
        <f>'1_hub_LCIA'!O2</f>
        <v>water</v>
      </c>
      <c r="P2" s="208" t="str">
        <f>'1_hub_LCIA'!P2</f>
        <v>wind</v>
      </c>
      <c r="Q2" s="208" t="str">
        <f>'1_hub_LCIA'!Q2</f>
        <v>CED</v>
      </c>
      <c r="R2" s="208" t="str">
        <f>'1_hub_LCIA'!R2</f>
        <v>ALOP</v>
      </c>
      <c r="S2" s="208" t="str">
        <f>'1_hub_LCIA'!S2</f>
        <v>GWP100</v>
      </c>
      <c r="T2" s="208" t="str">
        <f>'1_hub_LCIA'!T2</f>
        <v>FDP</v>
      </c>
      <c r="U2" s="208" t="str">
        <f>'1_hub_LCIA'!U2</f>
        <v>FETPinf</v>
      </c>
      <c r="V2" s="208" t="str">
        <f>'1_hub_LCIA'!V2</f>
        <v>FEP</v>
      </c>
      <c r="W2" s="208" t="str">
        <f>'1_hub_LCIA'!W2</f>
        <v>HTPinf</v>
      </c>
      <c r="X2" s="208" t="str">
        <f>'1_hub_LCIA'!X2</f>
        <v>IRP_HE</v>
      </c>
      <c r="Y2" s="208" t="str">
        <f>'1_hub_LCIA'!Y2</f>
        <v>METPinf</v>
      </c>
      <c r="Z2" s="208" t="str">
        <f>'1_hub_LCIA'!Z2</f>
        <v>MEP</v>
      </c>
      <c r="AA2" s="208" t="str">
        <f>'1_hub_LCIA'!AA2</f>
        <v>MDP</v>
      </c>
      <c r="AB2" s="208" t="str">
        <f>'1_hub_LCIA'!AB2</f>
        <v>NLTP</v>
      </c>
      <c r="AC2" s="208" t="str">
        <f>'1_hub_LCIA'!AC2</f>
        <v>ODPinf</v>
      </c>
      <c r="AD2" s="208" t="str">
        <f>'1_hub_LCIA'!AD2</f>
        <v>PMFP</v>
      </c>
      <c r="AE2" s="208" t="str">
        <f>'1_hub_LCIA'!AE2</f>
        <v>POFP</v>
      </c>
      <c r="AF2" s="208" t="str">
        <f>'1_hub_LCIA'!AF2</f>
        <v>TAP100</v>
      </c>
      <c r="AG2" s="208" t="str">
        <f>'1_hub_LCIA'!AG2</f>
        <v>TETPinf</v>
      </c>
      <c r="AH2" s="208" t="str">
        <f>'1_hub_LCIA'!AH2</f>
        <v>ULOP</v>
      </c>
      <c r="AI2" s="209" t="str">
        <f>'1_hub_LCIA'!AI2</f>
        <v>WDP</v>
      </c>
      <c r="AJ2" s="61"/>
      <c r="AK2" s="207" t="str">
        <f>'1_hub_LCIA'!AK2</f>
        <v>GWP</v>
      </c>
      <c r="AL2" s="208" t="str">
        <f>'1_hub_LCIA'!AL2</f>
        <v>biomass</v>
      </c>
      <c r="AM2" s="208" t="str">
        <f>'1_hub_LCIA'!AM2</f>
        <v>fossil</v>
      </c>
      <c r="AN2" s="208" t="str">
        <f>'1_hub_LCIA'!AN2</f>
        <v>geothermal</v>
      </c>
      <c r="AO2" s="208" t="str">
        <f>'1_hub_LCIA'!AO2</f>
        <v>nuclear</v>
      </c>
      <c r="AP2" s="208" t="str">
        <f>'1_hub_LCIA'!AP2</f>
        <v>primary forest</v>
      </c>
      <c r="AQ2" s="208" t="str">
        <f>'1_hub_LCIA'!AQ2</f>
        <v>solar</v>
      </c>
      <c r="AR2" s="208" t="str">
        <f>'1_hub_LCIA'!AR2</f>
        <v>water</v>
      </c>
      <c r="AS2" s="208" t="str">
        <f>'1_hub_LCIA'!AS2</f>
        <v>wind</v>
      </c>
      <c r="AT2" s="208" t="str">
        <f>'1_hub_LCIA'!AT2</f>
        <v>CED</v>
      </c>
      <c r="AU2" s="208" t="str">
        <f>'1_hub_LCIA'!AU2</f>
        <v>ALOP</v>
      </c>
      <c r="AV2" s="208" t="str">
        <f>'1_hub_LCIA'!AV2</f>
        <v>GWP100</v>
      </c>
      <c r="AW2" s="208" t="str">
        <f>'1_hub_LCIA'!AW2</f>
        <v>FDP</v>
      </c>
      <c r="AX2" s="208" t="str">
        <f>'1_hub_LCIA'!AX2</f>
        <v>FETPinf</v>
      </c>
      <c r="AY2" s="208" t="str">
        <f>'1_hub_LCIA'!AY2</f>
        <v>FEP</v>
      </c>
      <c r="AZ2" s="208" t="str">
        <f>'1_hub_LCIA'!AZ2</f>
        <v>HTPinf</v>
      </c>
      <c r="BA2" s="208" t="str">
        <f>'1_hub_LCIA'!BA2</f>
        <v>IRP_HE</v>
      </c>
      <c r="BB2" s="208" t="str">
        <f>'1_hub_LCIA'!BB2</f>
        <v>METPinf</v>
      </c>
      <c r="BC2" s="208" t="str">
        <f>'1_hub_LCIA'!BC2</f>
        <v>MEP</v>
      </c>
      <c r="BD2" s="208" t="str">
        <f>'1_hub_LCIA'!BD2</f>
        <v>MDP</v>
      </c>
      <c r="BE2" s="208" t="str">
        <f>'1_hub_LCIA'!BE2</f>
        <v>NLTP</v>
      </c>
      <c r="BF2" s="208" t="str">
        <f>'1_hub_LCIA'!BF2</f>
        <v>ODPinf</v>
      </c>
      <c r="BG2" s="208" t="str">
        <f>'1_hub_LCIA'!BG2</f>
        <v>PMFP</v>
      </c>
      <c r="BH2" s="208" t="str">
        <f>'1_hub_LCIA'!BH2</f>
        <v>POFP</v>
      </c>
      <c r="BI2" s="208" t="str">
        <f>'1_hub_LCIA'!BI2</f>
        <v>TAP100</v>
      </c>
      <c r="BJ2" s="208" t="str">
        <f>'1_hub_LCIA'!BJ2</f>
        <v>TETPinf</v>
      </c>
      <c r="BK2" s="208" t="str">
        <f>'1_hub_LCIA'!BK2</f>
        <v>ULOP</v>
      </c>
      <c r="BL2" s="209" t="str">
        <f>'1_hub_LCIA'!BL2</f>
        <v>WDP</v>
      </c>
      <c r="BM2" s="61"/>
      <c r="BN2" s="61"/>
    </row>
    <row r="3" spans="2:66" x14ac:dyDescent="0.25">
      <c r="B3" s="272" t="str">
        <f>Virtual!B43</f>
        <v>Device-related emissions</v>
      </c>
      <c r="C3" s="106" t="str">
        <f>Virtual!C49</f>
        <v>Total: Router, internet (conference members)</v>
      </c>
      <c r="D3" s="106" t="s">
        <v>509</v>
      </c>
      <c r="E3" s="106">
        <f>Virtual!D49</f>
        <v>4.0352760000000001E-2</v>
      </c>
      <c r="F3" s="106" t="str">
        <f>Virtual!E49</f>
        <v>unit</v>
      </c>
      <c r="G3" s="106" t="s">
        <v>183</v>
      </c>
      <c r="H3" s="106">
        <v>35.819000000000003</v>
      </c>
      <c r="I3" s="106">
        <v>9.0062999999999995</v>
      </c>
      <c r="J3" s="106">
        <v>419.46</v>
      </c>
      <c r="K3" s="106">
        <v>0.92057999999999995</v>
      </c>
      <c r="L3" s="106">
        <v>65.159000000000006</v>
      </c>
      <c r="M3" s="106">
        <v>1.6839E-2</v>
      </c>
      <c r="N3" s="106">
        <v>0.22417999999999999</v>
      </c>
      <c r="O3" s="106">
        <v>34.009</v>
      </c>
      <c r="P3" s="106">
        <v>7.4494999999999996</v>
      </c>
      <c r="Q3" s="106">
        <f>SUM(I3:P3)</f>
        <v>536.24539899999991</v>
      </c>
      <c r="R3" s="106">
        <v>2.3454000000000002</v>
      </c>
      <c r="S3" s="106">
        <v>35.246000000000002</v>
      </c>
      <c r="T3" s="106">
        <v>10.366</v>
      </c>
      <c r="U3" s="106">
        <v>17.341000000000001</v>
      </c>
      <c r="V3" s="106">
        <v>5.7013000000000001E-2</v>
      </c>
      <c r="W3" s="106">
        <v>77.403999999999996</v>
      </c>
      <c r="X3" s="106">
        <v>4.3133999999999997</v>
      </c>
      <c r="Y3" s="106">
        <v>15.295999999999999</v>
      </c>
      <c r="Z3" s="106">
        <v>1.3139E-2</v>
      </c>
      <c r="AA3" s="106">
        <v>41.093000000000004</v>
      </c>
      <c r="AB3" s="106">
        <v>-6.4159999999999998E-3</v>
      </c>
      <c r="AC3" s="106">
        <v>2.7792999999999998E-6</v>
      </c>
      <c r="AD3" s="106">
        <v>0.11228</v>
      </c>
      <c r="AE3" s="106">
        <v>0.15240000000000001</v>
      </c>
      <c r="AF3" s="106">
        <v>0.20585999999999999</v>
      </c>
      <c r="AG3" s="106">
        <v>7.5091000000000003E-3</v>
      </c>
      <c r="AH3" s="106">
        <v>0.58201000000000003</v>
      </c>
      <c r="AI3" s="210">
        <v>0.34522999999999998</v>
      </c>
      <c r="AK3" s="213">
        <f>$E3*H3</f>
        <v>1.4453955104400003</v>
      </c>
      <c r="AL3" s="106">
        <f t="shared" ref="AL3:BL12" si="0">$E3*I3</f>
        <v>0.36342906238799999</v>
      </c>
      <c r="AM3" s="106">
        <f t="shared" si="0"/>
        <v>16.926368709599998</v>
      </c>
      <c r="AN3" s="106">
        <f t="shared" si="0"/>
        <v>3.7147943800799998E-2</v>
      </c>
      <c r="AO3" s="106">
        <f t="shared" si="0"/>
        <v>2.6293454888400003</v>
      </c>
      <c r="AP3" s="106">
        <f t="shared" si="0"/>
        <v>6.7950012564000001E-4</v>
      </c>
      <c r="AQ3" s="106">
        <f t="shared" si="0"/>
        <v>9.0462817367999993E-3</v>
      </c>
      <c r="AR3" s="106">
        <f t="shared" si="0"/>
        <v>1.3723570148400002</v>
      </c>
      <c r="AS3" s="106">
        <f t="shared" si="0"/>
        <v>0.30060788562000001</v>
      </c>
      <c r="AT3" s="106">
        <f t="shared" si="0"/>
        <v>21.638981886951235</v>
      </c>
      <c r="AU3" s="106">
        <f t="shared" si="0"/>
        <v>9.4643363304000014E-2</v>
      </c>
      <c r="AV3" s="106">
        <f t="shared" si="0"/>
        <v>1.4222733789600002</v>
      </c>
      <c r="AW3" s="106">
        <f t="shared" si="0"/>
        <v>0.41829671015999997</v>
      </c>
      <c r="AX3" s="106">
        <f t="shared" si="0"/>
        <v>0.69975721116000011</v>
      </c>
      <c r="AY3" s="106">
        <f t="shared" si="0"/>
        <v>2.3006319058799999E-3</v>
      </c>
      <c r="AZ3" s="106">
        <f t="shared" si="0"/>
        <v>3.1234650350400002</v>
      </c>
      <c r="BA3" s="106">
        <f t="shared" si="0"/>
        <v>0.174057594984</v>
      </c>
      <c r="BB3" s="106">
        <f t="shared" si="0"/>
        <v>0.61723581695999996</v>
      </c>
      <c r="BC3" s="106">
        <f t="shared" si="0"/>
        <v>5.3019491364000003E-4</v>
      </c>
      <c r="BD3" s="106">
        <f t="shared" si="0"/>
        <v>1.6582159666800003</v>
      </c>
      <c r="BE3" s="106">
        <f t="shared" si="0"/>
        <v>-2.5890330816000001E-4</v>
      </c>
      <c r="BF3" s="106">
        <f t="shared" si="0"/>
        <v>1.1215242586799999E-7</v>
      </c>
      <c r="BG3" s="106">
        <f t="shared" si="0"/>
        <v>4.5308078928000001E-3</v>
      </c>
      <c r="BH3" s="106">
        <f t="shared" si="0"/>
        <v>6.1497606240000008E-3</v>
      </c>
      <c r="BI3" s="106">
        <f t="shared" si="0"/>
        <v>8.3070191735999995E-3</v>
      </c>
      <c r="BJ3" s="106">
        <f t="shared" si="0"/>
        <v>3.03012910116E-4</v>
      </c>
      <c r="BK3" s="106">
        <f t="shared" si="0"/>
        <v>2.3485709847600001E-2</v>
      </c>
      <c r="BL3" s="210">
        <f t="shared" si="0"/>
        <v>1.3930983334799999E-2</v>
      </c>
    </row>
    <row r="4" spans="2:66" x14ac:dyDescent="0.25">
      <c r="B4" s="272"/>
      <c r="C4" s="106" t="str">
        <f>Virtual!C50</f>
        <v>Total: Internet access equipment (conference members)</v>
      </c>
      <c r="D4" s="106" t="s">
        <v>510</v>
      </c>
      <c r="E4" s="106">
        <f>Virtual!D50</f>
        <v>0.38031209999999999</v>
      </c>
      <c r="F4" s="106" t="str">
        <f>Virtual!E50</f>
        <v>unit</v>
      </c>
      <c r="G4" s="106" t="s">
        <v>183</v>
      </c>
      <c r="H4" s="106">
        <v>7.8979999999999997</v>
      </c>
      <c r="I4" s="106">
        <v>1.9737</v>
      </c>
      <c r="J4" s="106">
        <v>92.54</v>
      </c>
      <c r="K4" s="106">
        <v>0.20857000000000001</v>
      </c>
      <c r="L4" s="106">
        <v>14.66</v>
      </c>
      <c r="M4" s="106">
        <v>3.8059999999999999E-3</v>
      </c>
      <c r="N4" s="106">
        <v>3.4953999999999999E-2</v>
      </c>
      <c r="O4" s="106">
        <v>7.3353000000000002</v>
      </c>
      <c r="P4" s="106">
        <v>1.6738999999999999</v>
      </c>
      <c r="Q4" s="106">
        <f t="shared" ref="Q4:Q19" si="1">SUM(I4:P4)</f>
        <v>118.43022999999999</v>
      </c>
      <c r="R4" s="106">
        <v>0.51476</v>
      </c>
      <c r="S4" s="106">
        <v>7.7778999999999998</v>
      </c>
      <c r="T4" s="106">
        <v>2.2883</v>
      </c>
      <c r="U4" s="106">
        <v>3.5409999999999999</v>
      </c>
      <c r="V4" s="106">
        <v>1.2311000000000001E-2</v>
      </c>
      <c r="W4" s="106">
        <v>16.422999999999998</v>
      </c>
      <c r="X4" s="106">
        <v>0.96919999999999995</v>
      </c>
      <c r="Y4" s="106">
        <v>3.1356000000000002</v>
      </c>
      <c r="Z4" s="106">
        <v>2.8605000000000002E-3</v>
      </c>
      <c r="AA4" s="106">
        <v>8.1035000000000004</v>
      </c>
      <c r="AB4" s="106">
        <v>-1.3240000000000001E-3</v>
      </c>
      <c r="AC4" s="106">
        <v>6.3361999999999998E-7</v>
      </c>
      <c r="AD4" s="106">
        <v>2.3938999999999998E-2</v>
      </c>
      <c r="AE4" s="106">
        <v>3.2740999999999999E-2</v>
      </c>
      <c r="AF4" s="106">
        <v>4.4256999999999998E-2</v>
      </c>
      <c r="AG4" s="106">
        <v>1.6475999999999999E-3</v>
      </c>
      <c r="AH4" s="106">
        <v>0.11287</v>
      </c>
      <c r="AI4" s="210">
        <v>7.4054999999999996E-2</v>
      </c>
      <c r="AK4" s="213">
        <f t="shared" ref="AK4:AK34" si="2">$E4*H4</f>
        <v>3.0037049657999999</v>
      </c>
      <c r="AL4" s="106">
        <f t="shared" si="0"/>
        <v>0.75062199177</v>
      </c>
      <c r="AM4" s="106">
        <f t="shared" si="0"/>
        <v>35.194081734000001</v>
      </c>
      <c r="AN4" s="106">
        <f t="shared" si="0"/>
        <v>7.9321694696999998E-2</v>
      </c>
      <c r="AO4" s="106">
        <f t="shared" si="0"/>
        <v>5.5753753860000002</v>
      </c>
      <c r="AP4" s="106">
        <f t="shared" si="0"/>
        <v>1.4474678526E-3</v>
      </c>
      <c r="AQ4" s="106">
        <f t="shared" si="0"/>
        <v>1.3293429143399999E-2</v>
      </c>
      <c r="AR4" s="106">
        <f t="shared" si="0"/>
        <v>2.7897033471300001</v>
      </c>
      <c r="AS4" s="106">
        <f t="shared" si="0"/>
        <v>0.63660442418999996</v>
      </c>
      <c r="AT4" s="106">
        <f t="shared" si="0"/>
        <v>45.040449474782996</v>
      </c>
      <c r="AU4" s="106">
        <f t="shared" si="0"/>
        <v>0.19576945659599998</v>
      </c>
      <c r="AV4" s="106">
        <f t="shared" si="0"/>
        <v>2.9580294825899998</v>
      </c>
      <c r="AW4" s="106">
        <f t="shared" si="0"/>
        <v>0.87026817842999993</v>
      </c>
      <c r="AX4" s="106">
        <f t="shared" si="0"/>
        <v>1.3466851461</v>
      </c>
      <c r="AY4" s="106">
        <f t="shared" si="0"/>
        <v>4.6820222631000002E-3</v>
      </c>
      <c r="AZ4" s="106">
        <f t="shared" si="0"/>
        <v>6.245865618299999</v>
      </c>
      <c r="BA4" s="106">
        <f t="shared" si="0"/>
        <v>0.36859848731999995</v>
      </c>
      <c r="BB4" s="106">
        <f t="shared" si="0"/>
        <v>1.1925066207599999</v>
      </c>
      <c r="BC4" s="106">
        <f t="shared" si="0"/>
        <v>1.08788276205E-3</v>
      </c>
      <c r="BD4" s="106">
        <f t="shared" si="0"/>
        <v>3.0818591023500002</v>
      </c>
      <c r="BE4" s="106">
        <f t="shared" si="0"/>
        <v>-5.0353322040000003E-4</v>
      </c>
      <c r="BF4" s="106">
        <f t="shared" si="0"/>
        <v>2.4097335280199997E-7</v>
      </c>
      <c r="BG4" s="106">
        <f t="shared" si="0"/>
        <v>9.1042913618999983E-3</v>
      </c>
      <c r="BH4" s="106">
        <f t="shared" si="0"/>
        <v>1.2451798466099999E-2</v>
      </c>
      <c r="BI4" s="106">
        <f t="shared" si="0"/>
        <v>1.6831472609699999E-2</v>
      </c>
      <c r="BJ4" s="106">
        <f t="shared" si="0"/>
        <v>6.2660221595999997E-4</v>
      </c>
      <c r="BK4" s="106">
        <f t="shared" si="0"/>
        <v>4.2925826726999995E-2</v>
      </c>
      <c r="BL4" s="210">
        <f t="shared" si="0"/>
        <v>2.8164012565499996E-2</v>
      </c>
    </row>
    <row r="5" spans="2:66" x14ac:dyDescent="0.25">
      <c r="B5" s="272"/>
      <c r="C5" s="106" t="str">
        <f>Virtual!C51</f>
        <v>Total: Computer, laptop (conference members)</v>
      </c>
      <c r="D5" s="106" t="s">
        <v>511</v>
      </c>
      <c r="E5" s="106">
        <f>Virtual!D51</f>
        <v>0.56983499999999998</v>
      </c>
      <c r="F5" s="106" t="str">
        <f>Virtual!E51</f>
        <v>unit</v>
      </c>
      <c r="G5" s="106" t="s">
        <v>183</v>
      </c>
      <c r="H5" s="106">
        <v>173.33</v>
      </c>
      <c r="I5" s="106">
        <v>53.941000000000003</v>
      </c>
      <c r="J5" s="106">
        <v>1942.7</v>
      </c>
      <c r="K5" s="106">
        <v>3.7269999999999999</v>
      </c>
      <c r="L5" s="106">
        <v>265.36</v>
      </c>
      <c r="M5" s="106">
        <v>7.1748000000000006E-2</v>
      </c>
      <c r="N5" s="106">
        <v>0.49648999999999999</v>
      </c>
      <c r="O5" s="106">
        <v>134.51</v>
      </c>
      <c r="P5" s="106">
        <v>30.018000000000001</v>
      </c>
      <c r="Q5" s="106">
        <f t="shared" si="1"/>
        <v>2430.8242380000002</v>
      </c>
      <c r="R5" s="106">
        <v>11.613</v>
      </c>
      <c r="S5" s="106">
        <v>169.93</v>
      </c>
      <c r="T5" s="106">
        <v>47.924999999999997</v>
      </c>
      <c r="U5" s="106">
        <v>48.067999999999998</v>
      </c>
      <c r="V5" s="106">
        <v>0.18503</v>
      </c>
      <c r="W5" s="106">
        <v>241.1</v>
      </c>
      <c r="X5" s="106">
        <v>17.417000000000002</v>
      </c>
      <c r="Y5" s="106">
        <v>42.640999999999998</v>
      </c>
      <c r="Z5" s="106">
        <v>0.13194</v>
      </c>
      <c r="AA5" s="106">
        <v>96.072000000000003</v>
      </c>
      <c r="AB5" s="106">
        <v>-2.3439000000000002E-2</v>
      </c>
      <c r="AC5" s="106">
        <v>1.1837E-5</v>
      </c>
      <c r="AD5" s="106">
        <v>0.50082000000000004</v>
      </c>
      <c r="AE5" s="106">
        <v>0.65044000000000002</v>
      </c>
      <c r="AF5" s="106">
        <v>0.80669999999999997</v>
      </c>
      <c r="AG5" s="106">
        <v>3.7582999999999998E-2</v>
      </c>
      <c r="AH5" s="106">
        <v>1.8932</v>
      </c>
      <c r="AI5" s="210">
        <v>1.5744</v>
      </c>
      <c r="AK5" s="213">
        <f t="shared" si="2"/>
        <v>98.769500550000004</v>
      </c>
      <c r="AL5" s="106">
        <f t="shared" si="0"/>
        <v>30.737469735000001</v>
      </c>
      <c r="AM5" s="106">
        <f t="shared" si="0"/>
        <v>1107.0184545</v>
      </c>
      <c r="AN5" s="106">
        <f t="shared" si="0"/>
        <v>2.1237750449999999</v>
      </c>
      <c r="AO5" s="106">
        <f t="shared" si="0"/>
        <v>151.21141560000001</v>
      </c>
      <c r="AP5" s="106">
        <f t="shared" si="0"/>
        <v>4.0884521579999999E-2</v>
      </c>
      <c r="AQ5" s="106">
        <f t="shared" si="0"/>
        <v>0.28291737914999998</v>
      </c>
      <c r="AR5" s="106">
        <f t="shared" si="0"/>
        <v>76.648505849999992</v>
      </c>
      <c r="AS5" s="106">
        <f t="shared" si="0"/>
        <v>17.105307029999999</v>
      </c>
      <c r="AT5" s="106">
        <f t="shared" si="0"/>
        <v>1385.1687296607302</v>
      </c>
      <c r="AU5" s="106">
        <f t="shared" si="0"/>
        <v>6.6174938549999993</v>
      </c>
      <c r="AV5" s="106">
        <f t="shared" si="0"/>
        <v>96.832061550000006</v>
      </c>
      <c r="AW5" s="106">
        <f t="shared" si="0"/>
        <v>27.309342374999996</v>
      </c>
      <c r="AX5" s="106">
        <f t="shared" si="0"/>
        <v>27.390828779999996</v>
      </c>
      <c r="AY5" s="106">
        <f t="shared" si="0"/>
        <v>0.10543657005</v>
      </c>
      <c r="AZ5" s="106">
        <f t="shared" si="0"/>
        <v>137.38721849999999</v>
      </c>
      <c r="BA5" s="106">
        <f t="shared" si="0"/>
        <v>9.924816195</v>
      </c>
      <c r="BB5" s="106">
        <f t="shared" si="0"/>
        <v>24.298334234999999</v>
      </c>
      <c r="BC5" s="106">
        <f t="shared" si="0"/>
        <v>7.5184029900000005E-2</v>
      </c>
      <c r="BD5" s="106">
        <f t="shared" si="0"/>
        <v>54.745188120000002</v>
      </c>
      <c r="BE5" s="106">
        <f t="shared" si="0"/>
        <v>-1.3356362565E-2</v>
      </c>
      <c r="BF5" s="106">
        <f t="shared" si="0"/>
        <v>6.7451368949999997E-6</v>
      </c>
      <c r="BG5" s="106">
        <f t="shared" si="0"/>
        <v>0.28538476470000002</v>
      </c>
      <c r="BH5" s="106">
        <f t="shared" si="0"/>
        <v>0.37064347739999998</v>
      </c>
      <c r="BI5" s="106">
        <f t="shared" si="0"/>
        <v>0.45968589449999997</v>
      </c>
      <c r="BJ5" s="106">
        <f t="shared" si="0"/>
        <v>2.1416108804999997E-2</v>
      </c>
      <c r="BK5" s="106">
        <f t="shared" si="0"/>
        <v>1.0788116219999999</v>
      </c>
      <c r="BL5" s="210">
        <f t="shared" si="0"/>
        <v>0.89714822399999994</v>
      </c>
    </row>
    <row r="6" spans="2:66" x14ac:dyDescent="0.25">
      <c r="B6" s="272"/>
      <c r="C6" s="106" t="str">
        <f>Virtual!C52</f>
        <v>Total: Energy consumption for router (conference members)</v>
      </c>
      <c r="D6" s="106" t="s">
        <v>508</v>
      </c>
      <c r="E6" s="106">
        <v>0</v>
      </c>
      <c r="F6" s="106" t="str">
        <f>Virtual!E52</f>
        <v>kWh</v>
      </c>
      <c r="G6" s="106" t="s">
        <v>999</v>
      </c>
      <c r="H6" s="106">
        <f>'ACLCA_raw data'!P44</f>
        <v>0.49122341712793732</v>
      </c>
      <c r="I6" s="106">
        <f>'ACLCA_raw data'!Q44</f>
        <v>0.19084534381201052</v>
      </c>
      <c r="J6" s="106">
        <f>'ACLCA_raw data'!R44</f>
        <v>5.8782540187989563</v>
      </c>
      <c r="K6" s="106">
        <f>'ACLCA_raw data'!S44</f>
        <v>3.4753414703185381E-2</v>
      </c>
      <c r="L6" s="106">
        <f>'ACLCA_raw data'!T44</f>
        <v>2.9408671485639681</v>
      </c>
      <c r="M6" s="106">
        <f>'ACLCA_raw data'!U44</f>
        <v>8.8556120167101812E-5</v>
      </c>
      <c r="N6" s="106">
        <f>'ACLCA_raw data'!V44</f>
        <v>0.10687040417493472</v>
      </c>
      <c r="O6" s="106">
        <f>'ACLCA_raw data'!W44</f>
        <v>0.68631986978590098</v>
      </c>
      <c r="P6" s="106">
        <f>'ACLCA_raw data'!X44</f>
        <v>0.30274811533159268</v>
      </c>
      <c r="Q6" s="106">
        <f t="shared" si="1"/>
        <v>10.140746871290714</v>
      </c>
      <c r="R6" s="106">
        <f>'ACLCA_raw data'!Z44</f>
        <v>3.5472608885639696E-2</v>
      </c>
      <c r="S6" s="106">
        <f>'ACLCA_raw data'!AA44</f>
        <v>0.48654339352480419</v>
      </c>
      <c r="T6" s="106">
        <f>'ACLCA_raw data'!AB44</f>
        <v>0.14931340950391639</v>
      </c>
      <c r="U6" s="106">
        <f>'ACLCA_raw data'!AC44</f>
        <v>2.8064123989556128E-2</v>
      </c>
      <c r="V6" s="106">
        <f>'ACLCA_raw data'!AD44</f>
        <v>4.1712118349869449E-4</v>
      </c>
      <c r="W6" s="106">
        <f>'ACLCA_raw data'!AE44</f>
        <v>0.27874180532637083</v>
      </c>
      <c r="X6" s="106">
        <f>'ACLCA_raw data'!AF44</f>
        <v>0.20161502476240206</v>
      </c>
      <c r="Y6" s="106">
        <f>'ACLCA_raw data'!AG44</f>
        <v>2.4198340417754569E-2</v>
      </c>
      <c r="Z6" s="106">
        <f>'ACLCA_raw data'!AH44</f>
        <v>1.2533631535248038E-4</v>
      </c>
      <c r="AA6" s="106">
        <f>'ACLCA_raw data'!AI44</f>
        <v>1.1297038287206268E-2</v>
      </c>
      <c r="AB6" s="106">
        <f>'ACLCA_raw data'!AJ44</f>
        <v>-5.3979545994778055E-5</v>
      </c>
      <c r="AC6" s="106">
        <f>'ACLCA_raw data'!AK44</f>
        <v>1.8732807164490865E-8</v>
      </c>
      <c r="AD6" s="106">
        <f>'ACLCA_raw data'!AL44</f>
        <v>1.3361707331592688E-3</v>
      </c>
      <c r="AE6" s="106">
        <f>'ACLCA_raw data'!AM44</f>
        <v>8.2148281859007822E-4</v>
      </c>
      <c r="AF6" s="106">
        <f>'ACLCA_raw data'!AN44</f>
        <v>1.3705713838120107E-3</v>
      </c>
      <c r="AG6" s="106">
        <f>'ACLCA_raw data'!AO44</f>
        <v>2.6189118078328981E-5</v>
      </c>
      <c r="AH6" s="106">
        <f>'ACLCA_raw data'!AP44</f>
        <v>2.163275332010444E-3</v>
      </c>
      <c r="AI6" s="210">
        <f>'ACLCA_raw data'!AQ44</f>
        <v>5.0921629973890324E-3</v>
      </c>
      <c r="AK6" s="213">
        <f t="shared" si="2"/>
        <v>0</v>
      </c>
      <c r="AL6" s="106">
        <f t="shared" si="0"/>
        <v>0</v>
      </c>
      <c r="AM6" s="106">
        <f t="shared" si="0"/>
        <v>0</v>
      </c>
      <c r="AN6" s="106">
        <f t="shared" si="0"/>
        <v>0</v>
      </c>
      <c r="AO6" s="106">
        <f t="shared" si="0"/>
        <v>0</v>
      </c>
      <c r="AP6" s="106">
        <f t="shared" si="0"/>
        <v>0</v>
      </c>
      <c r="AQ6" s="106">
        <f t="shared" si="0"/>
        <v>0</v>
      </c>
      <c r="AR6" s="106">
        <f t="shared" si="0"/>
        <v>0</v>
      </c>
      <c r="AS6" s="106">
        <f t="shared" si="0"/>
        <v>0</v>
      </c>
      <c r="AT6" s="106">
        <f t="shared" si="0"/>
        <v>0</v>
      </c>
      <c r="AU6" s="106">
        <f t="shared" si="0"/>
        <v>0</v>
      </c>
      <c r="AV6" s="106">
        <f t="shared" si="0"/>
        <v>0</v>
      </c>
      <c r="AW6" s="106">
        <f t="shared" si="0"/>
        <v>0</v>
      </c>
      <c r="AX6" s="106">
        <f t="shared" si="0"/>
        <v>0</v>
      </c>
      <c r="AY6" s="106">
        <f t="shared" si="0"/>
        <v>0</v>
      </c>
      <c r="AZ6" s="106">
        <f t="shared" si="0"/>
        <v>0</v>
      </c>
      <c r="BA6" s="106">
        <f t="shared" si="0"/>
        <v>0</v>
      </c>
      <c r="BB6" s="106">
        <f t="shared" si="0"/>
        <v>0</v>
      </c>
      <c r="BC6" s="106">
        <f t="shared" si="0"/>
        <v>0</v>
      </c>
      <c r="BD6" s="106">
        <f t="shared" si="0"/>
        <v>0</v>
      </c>
      <c r="BE6" s="106">
        <f t="shared" si="0"/>
        <v>0</v>
      </c>
      <c r="BF6" s="106">
        <f t="shared" si="0"/>
        <v>0</v>
      </c>
      <c r="BG6" s="106">
        <f t="shared" si="0"/>
        <v>0</v>
      </c>
      <c r="BH6" s="106">
        <f t="shared" si="0"/>
        <v>0</v>
      </c>
      <c r="BI6" s="106">
        <f t="shared" si="0"/>
        <v>0</v>
      </c>
      <c r="BJ6" s="106">
        <f t="shared" si="0"/>
        <v>0</v>
      </c>
      <c r="BK6" s="106">
        <f t="shared" si="0"/>
        <v>0</v>
      </c>
      <c r="BL6" s="210">
        <f t="shared" si="0"/>
        <v>0</v>
      </c>
    </row>
    <row r="7" spans="2:66" x14ac:dyDescent="0.25">
      <c r="B7" s="272"/>
      <c r="C7" s="106" t="str">
        <f>Virtual!C53</f>
        <v>Total: Energy consumption for internet access equipment (ADSL, DSLAM) (conference members)</v>
      </c>
      <c r="D7" s="106" t="s">
        <v>508</v>
      </c>
      <c r="E7" s="106">
        <v>0</v>
      </c>
      <c r="F7" s="106" t="str">
        <f>Virtual!E53</f>
        <v>kWh</v>
      </c>
      <c r="G7" s="106" t="str">
        <f>G6</f>
        <v>ACLCA_raw data</v>
      </c>
      <c r="H7" s="106">
        <f t="shared" ref="H7:P7" si="3">H6</f>
        <v>0.49122341712793732</v>
      </c>
      <c r="I7" s="106">
        <f t="shared" si="3"/>
        <v>0.19084534381201052</v>
      </c>
      <c r="J7" s="106">
        <f t="shared" si="3"/>
        <v>5.8782540187989563</v>
      </c>
      <c r="K7" s="106">
        <f t="shared" si="3"/>
        <v>3.4753414703185381E-2</v>
      </c>
      <c r="L7" s="106">
        <f t="shared" si="3"/>
        <v>2.9408671485639681</v>
      </c>
      <c r="M7" s="106">
        <f t="shared" si="3"/>
        <v>8.8556120167101812E-5</v>
      </c>
      <c r="N7" s="106">
        <f t="shared" si="3"/>
        <v>0.10687040417493472</v>
      </c>
      <c r="O7" s="106">
        <f t="shared" si="3"/>
        <v>0.68631986978590098</v>
      </c>
      <c r="P7" s="106">
        <f t="shared" si="3"/>
        <v>0.30274811533159268</v>
      </c>
      <c r="Q7" s="106">
        <f t="shared" si="1"/>
        <v>10.140746871290714</v>
      </c>
      <c r="R7" s="106">
        <f t="shared" ref="R7:AI7" si="4">R6</f>
        <v>3.5472608885639696E-2</v>
      </c>
      <c r="S7" s="106">
        <f t="shared" si="4"/>
        <v>0.48654339352480419</v>
      </c>
      <c r="T7" s="106">
        <f t="shared" si="4"/>
        <v>0.14931340950391639</v>
      </c>
      <c r="U7" s="106">
        <f t="shared" si="4"/>
        <v>2.8064123989556128E-2</v>
      </c>
      <c r="V7" s="106">
        <f t="shared" si="4"/>
        <v>4.1712118349869449E-4</v>
      </c>
      <c r="W7" s="106">
        <f t="shared" si="4"/>
        <v>0.27874180532637083</v>
      </c>
      <c r="X7" s="106">
        <f t="shared" si="4"/>
        <v>0.20161502476240206</v>
      </c>
      <c r="Y7" s="106">
        <f t="shared" si="4"/>
        <v>2.4198340417754569E-2</v>
      </c>
      <c r="Z7" s="106">
        <f t="shared" si="4"/>
        <v>1.2533631535248038E-4</v>
      </c>
      <c r="AA7" s="106">
        <f t="shared" si="4"/>
        <v>1.1297038287206268E-2</v>
      </c>
      <c r="AB7" s="106">
        <f t="shared" si="4"/>
        <v>-5.3979545994778055E-5</v>
      </c>
      <c r="AC7" s="106">
        <f t="shared" si="4"/>
        <v>1.8732807164490865E-8</v>
      </c>
      <c r="AD7" s="106">
        <f t="shared" si="4"/>
        <v>1.3361707331592688E-3</v>
      </c>
      <c r="AE7" s="106">
        <f t="shared" si="4"/>
        <v>8.2148281859007822E-4</v>
      </c>
      <c r="AF7" s="106">
        <f t="shared" si="4"/>
        <v>1.3705713838120107E-3</v>
      </c>
      <c r="AG7" s="106">
        <f t="shared" si="4"/>
        <v>2.6189118078328981E-5</v>
      </c>
      <c r="AH7" s="106">
        <f t="shared" si="4"/>
        <v>2.163275332010444E-3</v>
      </c>
      <c r="AI7" s="210">
        <f t="shared" si="4"/>
        <v>5.0921629973890324E-3</v>
      </c>
      <c r="AK7" s="213">
        <f t="shared" si="2"/>
        <v>0</v>
      </c>
      <c r="AL7" s="106">
        <f t="shared" si="0"/>
        <v>0</v>
      </c>
      <c r="AM7" s="106">
        <f t="shared" si="0"/>
        <v>0</v>
      </c>
      <c r="AN7" s="106">
        <f t="shared" si="0"/>
        <v>0</v>
      </c>
      <c r="AO7" s="106">
        <f t="shared" si="0"/>
        <v>0</v>
      </c>
      <c r="AP7" s="106">
        <f t="shared" si="0"/>
        <v>0</v>
      </c>
      <c r="AQ7" s="106">
        <f t="shared" si="0"/>
        <v>0</v>
      </c>
      <c r="AR7" s="106">
        <f t="shared" si="0"/>
        <v>0</v>
      </c>
      <c r="AS7" s="106">
        <f t="shared" si="0"/>
        <v>0</v>
      </c>
      <c r="AT7" s="106">
        <f t="shared" si="0"/>
        <v>0</v>
      </c>
      <c r="AU7" s="106">
        <f t="shared" si="0"/>
        <v>0</v>
      </c>
      <c r="AV7" s="106">
        <f t="shared" si="0"/>
        <v>0</v>
      </c>
      <c r="AW7" s="106">
        <f t="shared" si="0"/>
        <v>0</v>
      </c>
      <c r="AX7" s="106">
        <f t="shared" si="0"/>
        <v>0</v>
      </c>
      <c r="AY7" s="106">
        <f t="shared" si="0"/>
        <v>0</v>
      </c>
      <c r="AZ7" s="106">
        <f t="shared" si="0"/>
        <v>0</v>
      </c>
      <c r="BA7" s="106">
        <f t="shared" si="0"/>
        <v>0</v>
      </c>
      <c r="BB7" s="106">
        <f t="shared" si="0"/>
        <v>0</v>
      </c>
      <c r="BC7" s="106">
        <f t="shared" si="0"/>
        <v>0</v>
      </c>
      <c r="BD7" s="106">
        <f t="shared" si="0"/>
        <v>0</v>
      </c>
      <c r="BE7" s="106">
        <f t="shared" si="0"/>
        <v>0</v>
      </c>
      <c r="BF7" s="106">
        <f t="shared" si="0"/>
        <v>0</v>
      </c>
      <c r="BG7" s="106">
        <f t="shared" si="0"/>
        <v>0</v>
      </c>
      <c r="BH7" s="106">
        <f t="shared" si="0"/>
        <v>0</v>
      </c>
      <c r="BI7" s="106">
        <f t="shared" si="0"/>
        <v>0</v>
      </c>
      <c r="BJ7" s="106">
        <f t="shared" si="0"/>
        <v>0</v>
      </c>
      <c r="BK7" s="106">
        <f t="shared" si="0"/>
        <v>0</v>
      </c>
      <c r="BL7" s="210">
        <f t="shared" si="0"/>
        <v>0</v>
      </c>
    </row>
    <row r="8" spans="2:66" x14ac:dyDescent="0.25">
      <c r="B8" s="272"/>
      <c r="C8" s="106" t="str">
        <f>Virtual!C54</f>
        <v>Total: Energy consumption for laptop, video mode (conference members)</v>
      </c>
      <c r="D8" s="106" t="s">
        <v>508</v>
      </c>
      <c r="E8" s="106">
        <f>Virtual!D54</f>
        <v>126.63</v>
      </c>
      <c r="F8" s="106" t="str">
        <f>Virtual!E54</f>
        <v>kWh</v>
      </c>
      <c r="G8" s="106" t="str">
        <f>G6</f>
        <v>ACLCA_raw data</v>
      </c>
      <c r="H8" s="106">
        <f t="shared" ref="H8:P8" si="5">H6</f>
        <v>0.49122341712793732</v>
      </c>
      <c r="I8" s="106">
        <f t="shared" si="5"/>
        <v>0.19084534381201052</v>
      </c>
      <c r="J8" s="106">
        <f t="shared" si="5"/>
        <v>5.8782540187989563</v>
      </c>
      <c r="K8" s="106">
        <f t="shared" si="5"/>
        <v>3.4753414703185381E-2</v>
      </c>
      <c r="L8" s="106">
        <f t="shared" si="5"/>
        <v>2.9408671485639681</v>
      </c>
      <c r="M8" s="106">
        <f t="shared" si="5"/>
        <v>8.8556120167101812E-5</v>
      </c>
      <c r="N8" s="106">
        <f t="shared" si="5"/>
        <v>0.10687040417493472</v>
      </c>
      <c r="O8" s="106">
        <f t="shared" si="5"/>
        <v>0.68631986978590098</v>
      </c>
      <c r="P8" s="106">
        <f t="shared" si="5"/>
        <v>0.30274811533159268</v>
      </c>
      <c r="Q8" s="106">
        <f t="shared" si="1"/>
        <v>10.140746871290714</v>
      </c>
      <c r="R8" s="106">
        <f t="shared" ref="R8:AI8" si="6">R6</f>
        <v>3.5472608885639696E-2</v>
      </c>
      <c r="S8" s="106">
        <f t="shared" si="6"/>
        <v>0.48654339352480419</v>
      </c>
      <c r="T8" s="106">
        <f t="shared" si="6"/>
        <v>0.14931340950391639</v>
      </c>
      <c r="U8" s="106">
        <f t="shared" si="6"/>
        <v>2.8064123989556128E-2</v>
      </c>
      <c r="V8" s="106">
        <f t="shared" si="6"/>
        <v>4.1712118349869449E-4</v>
      </c>
      <c r="W8" s="106">
        <f t="shared" si="6"/>
        <v>0.27874180532637083</v>
      </c>
      <c r="X8" s="106">
        <f t="shared" si="6"/>
        <v>0.20161502476240206</v>
      </c>
      <c r="Y8" s="106">
        <f t="shared" si="6"/>
        <v>2.4198340417754569E-2</v>
      </c>
      <c r="Z8" s="106">
        <f t="shared" si="6"/>
        <v>1.2533631535248038E-4</v>
      </c>
      <c r="AA8" s="106">
        <f t="shared" si="6"/>
        <v>1.1297038287206268E-2</v>
      </c>
      <c r="AB8" s="106">
        <f t="shared" si="6"/>
        <v>-5.3979545994778055E-5</v>
      </c>
      <c r="AC8" s="106">
        <f t="shared" si="6"/>
        <v>1.8732807164490865E-8</v>
      </c>
      <c r="AD8" s="106">
        <f t="shared" si="6"/>
        <v>1.3361707331592688E-3</v>
      </c>
      <c r="AE8" s="106">
        <f t="shared" si="6"/>
        <v>8.2148281859007822E-4</v>
      </c>
      <c r="AF8" s="106">
        <f t="shared" si="6"/>
        <v>1.3705713838120107E-3</v>
      </c>
      <c r="AG8" s="106">
        <f t="shared" si="6"/>
        <v>2.6189118078328981E-5</v>
      </c>
      <c r="AH8" s="106">
        <f t="shared" si="6"/>
        <v>2.163275332010444E-3</v>
      </c>
      <c r="AI8" s="210">
        <f t="shared" si="6"/>
        <v>5.0921629973890324E-3</v>
      </c>
      <c r="AK8" s="213">
        <f t="shared" si="2"/>
        <v>62.203621310910698</v>
      </c>
      <c r="AL8" s="106">
        <f t="shared" si="0"/>
        <v>24.166745886914892</v>
      </c>
      <c r="AM8" s="106">
        <f t="shared" si="0"/>
        <v>744.36330640051176</v>
      </c>
      <c r="AN8" s="106">
        <f t="shared" si="0"/>
        <v>4.4008249038643648</v>
      </c>
      <c r="AO8" s="106">
        <f t="shared" si="0"/>
        <v>372.40200702265525</v>
      </c>
      <c r="AP8" s="106">
        <f t="shared" si="0"/>
        <v>1.1213861496760102E-2</v>
      </c>
      <c r="AQ8" s="106">
        <f t="shared" si="0"/>
        <v>13.532999280671984</v>
      </c>
      <c r="AR8" s="106">
        <f t="shared" si="0"/>
        <v>86.908685110988642</v>
      </c>
      <c r="AS8" s="106">
        <f t="shared" si="0"/>
        <v>38.336993844439583</v>
      </c>
      <c r="AT8" s="106">
        <f t="shared" si="0"/>
        <v>1284.122776311543</v>
      </c>
      <c r="AU8" s="106">
        <f t="shared" si="0"/>
        <v>4.4918964631885547</v>
      </c>
      <c r="AV8" s="106">
        <f t="shared" si="0"/>
        <v>61.610989922045952</v>
      </c>
      <c r="AW8" s="106">
        <f t="shared" si="0"/>
        <v>18.907557045480932</v>
      </c>
      <c r="AX8" s="106">
        <f t="shared" si="0"/>
        <v>3.5537600207974922</v>
      </c>
      <c r="AY8" s="106">
        <f t="shared" si="0"/>
        <v>5.2820055466439683E-2</v>
      </c>
      <c r="AZ8" s="106">
        <f t="shared" si="0"/>
        <v>35.297074808478335</v>
      </c>
      <c r="BA8" s="106">
        <f t="shared" si="0"/>
        <v>25.530510585662974</v>
      </c>
      <c r="BB8" s="106">
        <f t="shared" si="0"/>
        <v>3.0642358471002611</v>
      </c>
      <c r="BC8" s="106">
        <f t="shared" si="0"/>
        <v>1.5871337613084589E-2</v>
      </c>
      <c r="BD8" s="106">
        <f t="shared" si="0"/>
        <v>1.4305439583089297</v>
      </c>
      <c r="BE8" s="106">
        <f t="shared" si="0"/>
        <v>-6.8354299093187449E-3</v>
      </c>
      <c r="BF8" s="106">
        <f t="shared" si="0"/>
        <v>2.372135371239478E-6</v>
      </c>
      <c r="BG8" s="106">
        <f t="shared" si="0"/>
        <v>0.16919929993995819</v>
      </c>
      <c r="BH8" s="106">
        <f t="shared" si="0"/>
        <v>0.1040243693180616</v>
      </c>
      <c r="BI8" s="106">
        <f t="shared" si="0"/>
        <v>0.17355545433211492</v>
      </c>
      <c r="BJ8" s="106">
        <f t="shared" si="0"/>
        <v>3.3163280222587989E-3</v>
      </c>
      <c r="BK8" s="106">
        <f t="shared" si="0"/>
        <v>0.27393555529248254</v>
      </c>
      <c r="BL8" s="210">
        <f t="shared" si="0"/>
        <v>0.64482060035937316</v>
      </c>
    </row>
    <row r="9" spans="2:66" x14ac:dyDescent="0.25">
      <c r="B9" s="272"/>
      <c r="C9" s="106" t="str">
        <f>Virtual!C55</f>
        <v>Total: Router, internet (participants)</v>
      </c>
      <c r="D9" s="106" t="str">
        <f>D3</f>
        <v>market for router, internet, GLO</v>
      </c>
      <c r="E9" s="106">
        <f>Virtual!D55</f>
        <v>6.8984959999999998E-2</v>
      </c>
      <c r="F9" s="106" t="str">
        <f>Virtual!E55</f>
        <v>unit</v>
      </c>
      <c r="G9" s="106" t="s">
        <v>183</v>
      </c>
      <c r="H9" s="106">
        <f t="shared" ref="H9:P9" si="7">H3</f>
        <v>35.819000000000003</v>
      </c>
      <c r="I9" s="106">
        <f t="shared" si="7"/>
        <v>9.0062999999999995</v>
      </c>
      <c r="J9" s="106">
        <f t="shared" si="7"/>
        <v>419.46</v>
      </c>
      <c r="K9" s="106">
        <f t="shared" si="7"/>
        <v>0.92057999999999995</v>
      </c>
      <c r="L9" s="106">
        <f t="shared" si="7"/>
        <v>65.159000000000006</v>
      </c>
      <c r="M9" s="106">
        <f t="shared" si="7"/>
        <v>1.6839E-2</v>
      </c>
      <c r="N9" s="106">
        <f t="shared" si="7"/>
        <v>0.22417999999999999</v>
      </c>
      <c r="O9" s="106">
        <f t="shared" si="7"/>
        <v>34.009</v>
      </c>
      <c r="P9" s="106">
        <f t="shared" si="7"/>
        <v>7.4494999999999996</v>
      </c>
      <c r="Q9" s="106">
        <f t="shared" si="1"/>
        <v>536.24539899999991</v>
      </c>
      <c r="R9" s="106">
        <f t="shared" ref="R9:AI9" si="8">R3</f>
        <v>2.3454000000000002</v>
      </c>
      <c r="S9" s="106">
        <f t="shared" si="8"/>
        <v>35.246000000000002</v>
      </c>
      <c r="T9" s="106">
        <f t="shared" si="8"/>
        <v>10.366</v>
      </c>
      <c r="U9" s="106">
        <f t="shared" si="8"/>
        <v>17.341000000000001</v>
      </c>
      <c r="V9" s="106">
        <f t="shared" si="8"/>
        <v>5.7013000000000001E-2</v>
      </c>
      <c r="W9" s="106">
        <f t="shared" si="8"/>
        <v>77.403999999999996</v>
      </c>
      <c r="X9" s="106">
        <f t="shared" si="8"/>
        <v>4.3133999999999997</v>
      </c>
      <c r="Y9" s="106">
        <f t="shared" si="8"/>
        <v>15.295999999999999</v>
      </c>
      <c r="Z9" s="106">
        <f t="shared" si="8"/>
        <v>1.3139E-2</v>
      </c>
      <c r="AA9" s="106">
        <f t="shared" si="8"/>
        <v>41.093000000000004</v>
      </c>
      <c r="AB9" s="106">
        <f t="shared" si="8"/>
        <v>-6.4159999999999998E-3</v>
      </c>
      <c r="AC9" s="106">
        <f t="shared" si="8"/>
        <v>2.7792999999999998E-6</v>
      </c>
      <c r="AD9" s="106">
        <f t="shared" si="8"/>
        <v>0.11228</v>
      </c>
      <c r="AE9" s="106">
        <f t="shared" si="8"/>
        <v>0.15240000000000001</v>
      </c>
      <c r="AF9" s="106">
        <f t="shared" si="8"/>
        <v>0.20585999999999999</v>
      </c>
      <c r="AG9" s="106">
        <f t="shared" si="8"/>
        <v>7.5091000000000003E-3</v>
      </c>
      <c r="AH9" s="106">
        <f t="shared" si="8"/>
        <v>0.58201000000000003</v>
      </c>
      <c r="AI9" s="210">
        <f t="shared" si="8"/>
        <v>0.34522999999999998</v>
      </c>
      <c r="AK9" s="213">
        <f t="shared" si="2"/>
        <v>2.47097228224</v>
      </c>
      <c r="AL9" s="106">
        <f t="shared" si="0"/>
        <v>0.62129924524799995</v>
      </c>
      <c r="AM9" s="106">
        <f t="shared" si="0"/>
        <v>28.936431321599997</v>
      </c>
      <c r="AN9" s="106">
        <f t="shared" si="0"/>
        <v>6.3506174476800001E-2</v>
      </c>
      <c r="AO9" s="106">
        <f t="shared" si="0"/>
        <v>4.4949910086400005</v>
      </c>
      <c r="AP9" s="106">
        <f t="shared" si="0"/>
        <v>1.16163774144E-3</v>
      </c>
      <c r="AQ9" s="106">
        <f t="shared" si="0"/>
        <v>1.54650483328E-2</v>
      </c>
      <c r="AR9" s="106">
        <f t="shared" si="0"/>
        <v>2.3461095046399998</v>
      </c>
      <c r="AS9" s="106">
        <f t="shared" si="0"/>
        <v>0.51390345951999994</v>
      </c>
      <c r="AT9" s="106">
        <f t="shared" si="0"/>
        <v>36.992867400199032</v>
      </c>
      <c r="AU9" s="106">
        <f t="shared" si="0"/>
        <v>0.161797325184</v>
      </c>
      <c r="AV9" s="106">
        <f t="shared" si="0"/>
        <v>2.4314439001600001</v>
      </c>
      <c r="AW9" s="106">
        <f t="shared" si="0"/>
        <v>0.71509809535999991</v>
      </c>
      <c r="AX9" s="106">
        <f t="shared" si="0"/>
        <v>1.19626819136</v>
      </c>
      <c r="AY9" s="106">
        <f t="shared" si="0"/>
        <v>3.9330395244800004E-3</v>
      </c>
      <c r="AZ9" s="106">
        <f t="shared" si="0"/>
        <v>5.33971184384</v>
      </c>
      <c r="BA9" s="106">
        <f t="shared" si="0"/>
        <v>0.29755972646399997</v>
      </c>
      <c r="BB9" s="106">
        <f t="shared" si="0"/>
        <v>1.0551939481599999</v>
      </c>
      <c r="BC9" s="106">
        <f t="shared" si="0"/>
        <v>9.0639338943999991E-4</v>
      </c>
      <c r="BD9" s="106">
        <f t="shared" si="0"/>
        <v>2.8347989612800002</v>
      </c>
      <c r="BE9" s="106">
        <f t="shared" si="0"/>
        <v>-4.4260750335999998E-4</v>
      </c>
      <c r="BF9" s="106">
        <f t="shared" si="0"/>
        <v>1.9172989932799997E-7</v>
      </c>
      <c r="BG9" s="106">
        <f t="shared" si="0"/>
        <v>7.7456313087999997E-3</v>
      </c>
      <c r="BH9" s="106">
        <f t="shared" si="0"/>
        <v>1.0513307903999999E-2</v>
      </c>
      <c r="BI9" s="106">
        <f t="shared" si="0"/>
        <v>1.4201243865599998E-2</v>
      </c>
      <c r="BJ9" s="106">
        <f t="shared" si="0"/>
        <v>5.1801496313600001E-4</v>
      </c>
      <c r="BK9" s="106">
        <f t="shared" si="0"/>
        <v>4.0149936569600003E-2</v>
      </c>
      <c r="BL9" s="210">
        <f t="shared" si="0"/>
        <v>2.3815677740799998E-2</v>
      </c>
    </row>
    <row r="10" spans="2:66" x14ac:dyDescent="0.25">
      <c r="B10" s="272"/>
      <c r="C10" s="106" t="str">
        <f>Virtual!C56</f>
        <v>Total: Internet access equipment (participants)</v>
      </c>
      <c r="D10" s="106" t="str">
        <f>D4</f>
        <v>market for internet access equipment, GLO</v>
      </c>
      <c r="E10" s="106">
        <f>Virtual!D56</f>
        <v>0.65016160000000001</v>
      </c>
      <c r="F10" s="106" t="str">
        <f>Virtual!E56</f>
        <v>unit</v>
      </c>
      <c r="G10" s="106" t="s">
        <v>183</v>
      </c>
      <c r="H10" s="106">
        <f t="shared" ref="H10:P10" si="9">H4</f>
        <v>7.8979999999999997</v>
      </c>
      <c r="I10" s="106">
        <f t="shared" si="9"/>
        <v>1.9737</v>
      </c>
      <c r="J10" s="106">
        <f t="shared" si="9"/>
        <v>92.54</v>
      </c>
      <c r="K10" s="106">
        <f t="shared" si="9"/>
        <v>0.20857000000000001</v>
      </c>
      <c r="L10" s="106">
        <f t="shared" si="9"/>
        <v>14.66</v>
      </c>
      <c r="M10" s="106">
        <f t="shared" si="9"/>
        <v>3.8059999999999999E-3</v>
      </c>
      <c r="N10" s="106">
        <f t="shared" si="9"/>
        <v>3.4953999999999999E-2</v>
      </c>
      <c r="O10" s="106">
        <f t="shared" si="9"/>
        <v>7.3353000000000002</v>
      </c>
      <c r="P10" s="106">
        <f t="shared" si="9"/>
        <v>1.6738999999999999</v>
      </c>
      <c r="Q10" s="106">
        <f t="shared" si="1"/>
        <v>118.43022999999999</v>
      </c>
      <c r="R10" s="106">
        <f t="shared" ref="R10:AI10" si="10">R4</f>
        <v>0.51476</v>
      </c>
      <c r="S10" s="106">
        <f t="shared" si="10"/>
        <v>7.7778999999999998</v>
      </c>
      <c r="T10" s="106">
        <f t="shared" si="10"/>
        <v>2.2883</v>
      </c>
      <c r="U10" s="106">
        <f t="shared" si="10"/>
        <v>3.5409999999999999</v>
      </c>
      <c r="V10" s="106">
        <f t="shared" si="10"/>
        <v>1.2311000000000001E-2</v>
      </c>
      <c r="W10" s="106">
        <f t="shared" si="10"/>
        <v>16.422999999999998</v>
      </c>
      <c r="X10" s="106">
        <f t="shared" si="10"/>
        <v>0.96919999999999995</v>
      </c>
      <c r="Y10" s="106">
        <f t="shared" si="10"/>
        <v>3.1356000000000002</v>
      </c>
      <c r="Z10" s="106">
        <f t="shared" si="10"/>
        <v>2.8605000000000002E-3</v>
      </c>
      <c r="AA10" s="106">
        <f t="shared" si="10"/>
        <v>8.1035000000000004</v>
      </c>
      <c r="AB10" s="106">
        <f t="shared" si="10"/>
        <v>-1.3240000000000001E-3</v>
      </c>
      <c r="AC10" s="106">
        <f t="shared" si="10"/>
        <v>6.3361999999999998E-7</v>
      </c>
      <c r="AD10" s="106">
        <f t="shared" si="10"/>
        <v>2.3938999999999998E-2</v>
      </c>
      <c r="AE10" s="106">
        <f t="shared" si="10"/>
        <v>3.2740999999999999E-2</v>
      </c>
      <c r="AF10" s="106">
        <f t="shared" si="10"/>
        <v>4.4256999999999998E-2</v>
      </c>
      <c r="AG10" s="106">
        <f t="shared" si="10"/>
        <v>1.6475999999999999E-3</v>
      </c>
      <c r="AH10" s="106">
        <f t="shared" si="10"/>
        <v>0.11287</v>
      </c>
      <c r="AI10" s="210">
        <f t="shared" si="10"/>
        <v>7.4054999999999996E-2</v>
      </c>
      <c r="AK10" s="213">
        <f t="shared" si="2"/>
        <v>5.1349763167999996</v>
      </c>
      <c r="AL10" s="106">
        <f t="shared" si="0"/>
        <v>1.28322394992</v>
      </c>
      <c r="AM10" s="106">
        <f t="shared" si="0"/>
        <v>60.165954464000002</v>
      </c>
      <c r="AN10" s="106">
        <f t="shared" si="0"/>
        <v>0.13560420491200001</v>
      </c>
      <c r="AO10" s="106">
        <f t="shared" si="0"/>
        <v>9.5313690560000008</v>
      </c>
      <c r="AP10" s="106">
        <f t="shared" si="0"/>
        <v>2.4745150495999999E-3</v>
      </c>
      <c r="AQ10" s="106">
        <f t="shared" si="0"/>
        <v>2.27257485664E-2</v>
      </c>
      <c r="AR10" s="106">
        <f t="shared" si="0"/>
        <v>4.7691303844800004</v>
      </c>
      <c r="AS10" s="106">
        <f t="shared" si="0"/>
        <v>1.0883055022399999</v>
      </c>
      <c r="AT10" s="106">
        <f t="shared" si="0"/>
        <v>76.998787825167994</v>
      </c>
      <c r="AU10" s="106">
        <f t="shared" si="0"/>
        <v>0.33467718521599998</v>
      </c>
      <c r="AV10" s="106">
        <f t="shared" si="0"/>
        <v>5.0568919086399999</v>
      </c>
      <c r="AW10" s="106">
        <f t="shared" si="0"/>
        <v>1.4877647892800001</v>
      </c>
      <c r="AX10" s="106">
        <f t="shared" si="0"/>
        <v>2.3022222256</v>
      </c>
      <c r="AY10" s="106">
        <f t="shared" si="0"/>
        <v>8.0041394576E-3</v>
      </c>
      <c r="AZ10" s="106">
        <f t="shared" si="0"/>
        <v>10.677603956799999</v>
      </c>
      <c r="BA10" s="106">
        <f t="shared" si="0"/>
        <v>0.63013662271999993</v>
      </c>
      <c r="BB10" s="106">
        <f t="shared" si="0"/>
        <v>2.0386467129600003</v>
      </c>
      <c r="BC10" s="106">
        <f t="shared" si="0"/>
        <v>1.8597872568000002E-3</v>
      </c>
      <c r="BD10" s="106">
        <f t="shared" si="0"/>
        <v>5.2685845256000006</v>
      </c>
      <c r="BE10" s="106">
        <f t="shared" si="0"/>
        <v>-8.6081395840000008E-4</v>
      </c>
      <c r="BF10" s="106">
        <f t="shared" si="0"/>
        <v>4.1195539299199999E-7</v>
      </c>
      <c r="BG10" s="106">
        <f t="shared" si="0"/>
        <v>1.5564218542399999E-2</v>
      </c>
      <c r="BH10" s="106">
        <f t="shared" si="0"/>
        <v>2.1286940945599998E-2</v>
      </c>
      <c r="BI10" s="106">
        <f t="shared" si="0"/>
        <v>2.8774201931199998E-2</v>
      </c>
      <c r="BJ10" s="106">
        <f t="shared" si="0"/>
        <v>1.07120625216E-3</v>
      </c>
      <c r="BK10" s="106">
        <f t="shared" si="0"/>
        <v>7.3383739791999997E-2</v>
      </c>
      <c r="BL10" s="210">
        <f t="shared" si="0"/>
        <v>4.8147717287999998E-2</v>
      </c>
    </row>
    <row r="11" spans="2:66" x14ac:dyDescent="0.25">
      <c r="B11" s="272"/>
      <c r="C11" s="106" t="str">
        <f>Virtual!C57</f>
        <v>Total: Computer, laptop (participants)</v>
      </c>
      <c r="D11" s="106" t="str">
        <f>D5</f>
        <v>market for computer, laptop, GLO</v>
      </c>
      <c r="E11" s="106">
        <f>Virtual!D57</f>
        <v>0.97416000000000003</v>
      </c>
      <c r="F11" s="106" t="str">
        <f>Virtual!E57</f>
        <v>unit</v>
      </c>
      <c r="G11" s="106" t="s">
        <v>183</v>
      </c>
      <c r="H11" s="106">
        <f t="shared" ref="H11:P11" si="11">H5</f>
        <v>173.33</v>
      </c>
      <c r="I11" s="106">
        <f t="shared" si="11"/>
        <v>53.941000000000003</v>
      </c>
      <c r="J11" s="106">
        <f t="shared" si="11"/>
        <v>1942.7</v>
      </c>
      <c r="K11" s="106">
        <f t="shared" si="11"/>
        <v>3.7269999999999999</v>
      </c>
      <c r="L11" s="106">
        <f t="shared" si="11"/>
        <v>265.36</v>
      </c>
      <c r="M11" s="106">
        <f t="shared" si="11"/>
        <v>7.1748000000000006E-2</v>
      </c>
      <c r="N11" s="106">
        <f t="shared" si="11"/>
        <v>0.49648999999999999</v>
      </c>
      <c r="O11" s="106">
        <f t="shared" si="11"/>
        <v>134.51</v>
      </c>
      <c r="P11" s="106">
        <f t="shared" si="11"/>
        <v>30.018000000000001</v>
      </c>
      <c r="Q11" s="106">
        <f t="shared" si="1"/>
        <v>2430.8242380000002</v>
      </c>
      <c r="R11" s="106">
        <f t="shared" ref="R11:AI11" si="12">R5</f>
        <v>11.613</v>
      </c>
      <c r="S11" s="106">
        <f t="shared" si="12"/>
        <v>169.93</v>
      </c>
      <c r="T11" s="106">
        <f t="shared" si="12"/>
        <v>47.924999999999997</v>
      </c>
      <c r="U11" s="106">
        <f t="shared" si="12"/>
        <v>48.067999999999998</v>
      </c>
      <c r="V11" s="106">
        <f t="shared" si="12"/>
        <v>0.18503</v>
      </c>
      <c r="W11" s="106">
        <f t="shared" si="12"/>
        <v>241.1</v>
      </c>
      <c r="X11" s="106">
        <f t="shared" si="12"/>
        <v>17.417000000000002</v>
      </c>
      <c r="Y11" s="106">
        <f t="shared" si="12"/>
        <v>42.640999999999998</v>
      </c>
      <c r="Z11" s="106">
        <f t="shared" si="12"/>
        <v>0.13194</v>
      </c>
      <c r="AA11" s="106">
        <f t="shared" si="12"/>
        <v>96.072000000000003</v>
      </c>
      <c r="AB11" s="106">
        <f t="shared" si="12"/>
        <v>-2.3439000000000002E-2</v>
      </c>
      <c r="AC11" s="106">
        <f t="shared" si="12"/>
        <v>1.1837E-5</v>
      </c>
      <c r="AD11" s="106">
        <f t="shared" si="12"/>
        <v>0.50082000000000004</v>
      </c>
      <c r="AE11" s="106">
        <f t="shared" si="12"/>
        <v>0.65044000000000002</v>
      </c>
      <c r="AF11" s="106">
        <f t="shared" si="12"/>
        <v>0.80669999999999997</v>
      </c>
      <c r="AG11" s="106">
        <f t="shared" si="12"/>
        <v>3.7582999999999998E-2</v>
      </c>
      <c r="AH11" s="106">
        <f t="shared" si="12"/>
        <v>1.8932</v>
      </c>
      <c r="AI11" s="210">
        <f t="shared" si="12"/>
        <v>1.5744</v>
      </c>
      <c r="AK11" s="213">
        <f t="shared" si="2"/>
        <v>168.85115280000002</v>
      </c>
      <c r="AL11" s="106">
        <f t="shared" si="0"/>
        <v>52.547164560000006</v>
      </c>
      <c r="AM11" s="106">
        <f t="shared" si="0"/>
        <v>1892.500632</v>
      </c>
      <c r="AN11" s="106">
        <f t="shared" si="0"/>
        <v>3.6306943199999999</v>
      </c>
      <c r="AO11" s="106">
        <f t="shared" si="0"/>
        <v>258.50309760000005</v>
      </c>
      <c r="AP11" s="106">
        <f t="shared" si="0"/>
        <v>6.989403168000001E-2</v>
      </c>
      <c r="AQ11" s="106">
        <f t="shared" si="0"/>
        <v>0.48366069839999998</v>
      </c>
      <c r="AR11" s="106">
        <f t="shared" si="0"/>
        <v>131.03426160000001</v>
      </c>
      <c r="AS11" s="106">
        <f t="shared" si="0"/>
        <v>29.242334880000001</v>
      </c>
      <c r="AT11" s="106">
        <f t="shared" si="0"/>
        <v>2368.01173969008</v>
      </c>
      <c r="AU11" s="106">
        <f t="shared" si="0"/>
        <v>11.31292008</v>
      </c>
      <c r="AV11" s="106">
        <f t="shared" si="0"/>
        <v>165.5390088</v>
      </c>
      <c r="AW11" s="106">
        <f t="shared" si="0"/>
        <v>46.686617999999996</v>
      </c>
      <c r="AX11" s="106">
        <f t="shared" si="0"/>
        <v>46.82592288</v>
      </c>
      <c r="AY11" s="106">
        <f t="shared" si="0"/>
        <v>0.18024882480000001</v>
      </c>
      <c r="AZ11" s="106">
        <f t="shared" si="0"/>
        <v>234.86997600000001</v>
      </c>
      <c r="BA11" s="106">
        <f t="shared" si="0"/>
        <v>16.966944720000001</v>
      </c>
      <c r="BB11" s="106">
        <f t="shared" si="0"/>
        <v>41.539156560000002</v>
      </c>
      <c r="BC11" s="106">
        <f t="shared" si="0"/>
        <v>0.12853067040000002</v>
      </c>
      <c r="BD11" s="106">
        <f t="shared" si="0"/>
        <v>93.589499520000004</v>
      </c>
      <c r="BE11" s="106">
        <f t="shared" si="0"/>
        <v>-2.2833336240000002E-2</v>
      </c>
      <c r="BF11" s="106">
        <f t="shared" si="0"/>
        <v>1.1531131920000001E-5</v>
      </c>
      <c r="BG11" s="106">
        <f t="shared" si="0"/>
        <v>0.48787881120000004</v>
      </c>
      <c r="BH11" s="106">
        <f t="shared" si="0"/>
        <v>0.63363263040000006</v>
      </c>
      <c r="BI11" s="106">
        <f t="shared" si="0"/>
        <v>0.78585487200000004</v>
      </c>
      <c r="BJ11" s="106">
        <f t="shared" si="0"/>
        <v>3.6611855280000001E-2</v>
      </c>
      <c r="BK11" s="106">
        <f t="shared" si="0"/>
        <v>1.8442797120000001</v>
      </c>
      <c r="BL11" s="210">
        <f t="shared" si="0"/>
        <v>1.533717504</v>
      </c>
    </row>
    <row r="12" spans="2:66" x14ac:dyDescent="0.25">
      <c r="B12" s="272"/>
      <c r="C12" s="106" t="str">
        <f>Virtual!C58</f>
        <v>Total: Energy consumption for router (participants)</v>
      </c>
      <c r="D12" s="106" t="s">
        <v>508</v>
      </c>
      <c r="E12" s="106">
        <v>0</v>
      </c>
      <c r="F12" s="106" t="str">
        <f>Virtual!E58</f>
        <v>kWh</v>
      </c>
      <c r="G12" s="106" t="str">
        <f>G6</f>
        <v>ACLCA_raw data</v>
      </c>
      <c r="H12" s="106">
        <f>H6</f>
        <v>0.49122341712793732</v>
      </c>
      <c r="I12" s="106">
        <f t="shared" ref="I12:AI12" si="13">I6</f>
        <v>0.19084534381201052</v>
      </c>
      <c r="J12" s="106">
        <f t="shared" si="13"/>
        <v>5.8782540187989563</v>
      </c>
      <c r="K12" s="106">
        <f t="shared" si="13"/>
        <v>3.4753414703185381E-2</v>
      </c>
      <c r="L12" s="106">
        <f t="shared" si="13"/>
        <v>2.9408671485639681</v>
      </c>
      <c r="M12" s="106">
        <f t="shared" si="13"/>
        <v>8.8556120167101812E-5</v>
      </c>
      <c r="N12" s="106">
        <f t="shared" si="13"/>
        <v>0.10687040417493472</v>
      </c>
      <c r="O12" s="106">
        <f t="shared" si="13"/>
        <v>0.68631986978590098</v>
      </c>
      <c r="P12" s="106">
        <f t="shared" si="13"/>
        <v>0.30274811533159268</v>
      </c>
      <c r="Q12" s="106">
        <f t="shared" si="1"/>
        <v>10.140746871290714</v>
      </c>
      <c r="R12" s="106">
        <f t="shared" si="13"/>
        <v>3.5472608885639696E-2</v>
      </c>
      <c r="S12" s="106">
        <f t="shared" si="13"/>
        <v>0.48654339352480419</v>
      </c>
      <c r="T12" s="106">
        <f t="shared" si="13"/>
        <v>0.14931340950391639</v>
      </c>
      <c r="U12" s="106">
        <f t="shared" si="13"/>
        <v>2.8064123989556128E-2</v>
      </c>
      <c r="V12" s="106">
        <f t="shared" si="13"/>
        <v>4.1712118349869449E-4</v>
      </c>
      <c r="W12" s="106">
        <f t="shared" si="13"/>
        <v>0.27874180532637083</v>
      </c>
      <c r="X12" s="106">
        <f t="shared" si="13"/>
        <v>0.20161502476240206</v>
      </c>
      <c r="Y12" s="106">
        <f t="shared" si="13"/>
        <v>2.4198340417754569E-2</v>
      </c>
      <c r="Z12" s="106">
        <f t="shared" si="13"/>
        <v>1.2533631535248038E-4</v>
      </c>
      <c r="AA12" s="106">
        <f t="shared" si="13"/>
        <v>1.1297038287206268E-2</v>
      </c>
      <c r="AB12" s="106">
        <f t="shared" si="13"/>
        <v>-5.3979545994778055E-5</v>
      </c>
      <c r="AC12" s="106">
        <f>AC6</f>
        <v>1.8732807164490865E-8</v>
      </c>
      <c r="AD12" s="106">
        <f t="shared" si="13"/>
        <v>1.3361707331592688E-3</v>
      </c>
      <c r="AE12" s="106">
        <f t="shared" si="13"/>
        <v>8.2148281859007822E-4</v>
      </c>
      <c r="AF12" s="106">
        <f t="shared" si="13"/>
        <v>1.3705713838120107E-3</v>
      </c>
      <c r="AG12" s="106">
        <f t="shared" si="13"/>
        <v>2.6189118078328981E-5</v>
      </c>
      <c r="AH12" s="106">
        <f t="shared" si="13"/>
        <v>2.163275332010444E-3</v>
      </c>
      <c r="AI12" s="210">
        <f t="shared" si="13"/>
        <v>5.0921629973890324E-3</v>
      </c>
      <c r="AK12" s="213">
        <f t="shared" si="2"/>
        <v>0</v>
      </c>
      <c r="AL12" s="106">
        <f t="shared" si="0"/>
        <v>0</v>
      </c>
      <c r="AM12" s="106">
        <f t="shared" si="0"/>
        <v>0</v>
      </c>
      <c r="AN12" s="106">
        <f t="shared" si="0"/>
        <v>0</v>
      </c>
      <c r="AO12" s="106">
        <f t="shared" si="0"/>
        <v>0</v>
      </c>
      <c r="AP12" s="106">
        <f t="shared" si="0"/>
        <v>0</v>
      </c>
      <c r="AQ12" s="106">
        <f t="shared" si="0"/>
        <v>0</v>
      </c>
      <c r="AR12" s="106">
        <f t="shared" si="0"/>
        <v>0</v>
      </c>
      <c r="AS12" s="106">
        <f t="shared" si="0"/>
        <v>0</v>
      </c>
      <c r="AT12" s="106">
        <f t="shared" si="0"/>
        <v>0</v>
      </c>
      <c r="AU12" s="106">
        <f t="shared" si="0"/>
        <v>0</v>
      </c>
      <c r="AV12" s="106">
        <f t="shared" si="0"/>
        <v>0</v>
      </c>
      <c r="AW12" s="106">
        <f t="shared" si="0"/>
        <v>0</v>
      </c>
      <c r="AX12" s="106">
        <f t="shared" ref="AX12:AX23" si="14">$E12*U12</f>
        <v>0</v>
      </c>
      <c r="AY12" s="106">
        <f t="shared" ref="AY12:AY23" si="15">$E12*V12</f>
        <v>0</v>
      </c>
      <c r="AZ12" s="106">
        <f t="shared" ref="AZ12:AZ23" si="16">$E12*W12</f>
        <v>0</v>
      </c>
      <c r="BA12" s="106">
        <f t="shared" ref="BA12:BA23" si="17">$E12*X12</f>
        <v>0</v>
      </c>
      <c r="BB12" s="106">
        <f t="shared" ref="BB12:BB23" si="18">$E12*Y12</f>
        <v>0</v>
      </c>
      <c r="BC12" s="106">
        <f t="shared" ref="BC12:BC23" si="19">$E12*Z12</f>
        <v>0</v>
      </c>
      <c r="BD12" s="106">
        <f t="shared" ref="BD12:BD23" si="20">$E12*AA12</f>
        <v>0</v>
      </c>
      <c r="BE12" s="106">
        <f t="shared" ref="BE12:BE23" si="21">$E12*AB12</f>
        <v>0</v>
      </c>
      <c r="BF12" s="106">
        <f t="shared" ref="BF12:BF23" si="22">$E12*AC12</f>
        <v>0</v>
      </c>
      <c r="BG12" s="106">
        <f t="shared" ref="BG12:BG23" si="23">$E12*AD12</f>
        <v>0</v>
      </c>
      <c r="BH12" s="106">
        <f t="shared" ref="BH12:BH23" si="24">$E12*AE12</f>
        <v>0</v>
      </c>
      <c r="BI12" s="106">
        <f t="shared" ref="BI12:BI23" si="25">$E12*AF12</f>
        <v>0</v>
      </c>
      <c r="BJ12" s="106">
        <f t="shared" ref="BJ12:BJ23" si="26">$E12*AG12</f>
        <v>0</v>
      </c>
      <c r="BK12" s="106">
        <f t="shared" ref="BK12:BK23" si="27">$E12*AH12</f>
        <v>0</v>
      </c>
      <c r="BL12" s="210">
        <f t="shared" ref="BL12:BL23" si="28">$E12*AI12</f>
        <v>0</v>
      </c>
    </row>
    <row r="13" spans="2:66" x14ac:dyDescent="0.25">
      <c r="B13" s="272"/>
      <c r="C13" s="106" t="str">
        <f>Virtual!C59</f>
        <v>Total: Energy consumption for internet access equipment (ADSL, DSLAM) (participants)</v>
      </c>
      <c r="D13" s="106" t="s">
        <v>508</v>
      </c>
      <c r="E13" s="106">
        <v>0</v>
      </c>
      <c r="F13" s="106" t="str">
        <f>Virtual!E59</f>
        <v>kWh</v>
      </c>
      <c r="G13" s="106" t="str">
        <f>G12</f>
        <v>ACLCA_raw data</v>
      </c>
      <c r="H13" s="106">
        <f t="shared" ref="H13:P13" si="29">H6</f>
        <v>0.49122341712793732</v>
      </c>
      <c r="I13" s="106">
        <f t="shared" si="29"/>
        <v>0.19084534381201052</v>
      </c>
      <c r="J13" s="106">
        <f t="shared" si="29"/>
        <v>5.8782540187989563</v>
      </c>
      <c r="K13" s="106">
        <f t="shared" si="29"/>
        <v>3.4753414703185381E-2</v>
      </c>
      <c r="L13" s="106">
        <f t="shared" si="29"/>
        <v>2.9408671485639681</v>
      </c>
      <c r="M13" s="106">
        <f t="shared" si="29"/>
        <v>8.8556120167101812E-5</v>
      </c>
      <c r="N13" s="106">
        <f t="shared" si="29"/>
        <v>0.10687040417493472</v>
      </c>
      <c r="O13" s="106">
        <f t="shared" si="29"/>
        <v>0.68631986978590098</v>
      </c>
      <c r="P13" s="106">
        <f t="shared" si="29"/>
        <v>0.30274811533159268</v>
      </c>
      <c r="Q13" s="106">
        <f t="shared" si="1"/>
        <v>10.140746871290714</v>
      </c>
      <c r="R13" s="106">
        <f t="shared" ref="R13:AI13" si="30">R6</f>
        <v>3.5472608885639696E-2</v>
      </c>
      <c r="S13" s="106">
        <f t="shared" si="30"/>
        <v>0.48654339352480419</v>
      </c>
      <c r="T13" s="106">
        <f t="shared" si="30"/>
        <v>0.14931340950391639</v>
      </c>
      <c r="U13" s="106">
        <f t="shared" si="30"/>
        <v>2.8064123989556128E-2</v>
      </c>
      <c r="V13" s="106">
        <f t="shared" si="30"/>
        <v>4.1712118349869449E-4</v>
      </c>
      <c r="W13" s="106">
        <f t="shared" si="30"/>
        <v>0.27874180532637083</v>
      </c>
      <c r="X13" s="106">
        <f t="shared" si="30"/>
        <v>0.20161502476240206</v>
      </c>
      <c r="Y13" s="106">
        <f t="shared" si="30"/>
        <v>2.4198340417754569E-2</v>
      </c>
      <c r="Z13" s="106">
        <f t="shared" si="30"/>
        <v>1.2533631535248038E-4</v>
      </c>
      <c r="AA13" s="106">
        <f t="shared" si="30"/>
        <v>1.1297038287206268E-2</v>
      </c>
      <c r="AB13" s="106">
        <f t="shared" si="30"/>
        <v>-5.3979545994778055E-5</v>
      </c>
      <c r="AC13" s="106">
        <f t="shared" si="30"/>
        <v>1.8732807164490865E-8</v>
      </c>
      <c r="AD13" s="106">
        <f t="shared" si="30"/>
        <v>1.3361707331592688E-3</v>
      </c>
      <c r="AE13" s="106">
        <f t="shared" si="30"/>
        <v>8.2148281859007822E-4</v>
      </c>
      <c r="AF13" s="106">
        <f t="shared" si="30"/>
        <v>1.3705713838120107E-3</v>
      </c>
      <c r="AG13" s="106">
        <f t="shared" si="30"/>
        <v>2.6189118078328981E-5</v>
      </c>
      <c r="AH13" s="106">
        <f t="shared" si="30"/>
        <v>2.163275332010444E-3</v>
      </c>
      <c r="AI13" s="210">
        <f t="shared" si="30"/>
        <v>5.0921629973890324E-3</v>
      </c>
      <c r="AK13" s="213">
        <f t="shared" si="2"/>
        <v>0</v>
      </c>
      <c r="AL13" s="106">
        <f t="shared" ref="AL13:AL23" si="31">$E13*I13</f>
        <v>0</v>
      </c>
      <c r="AM13" s="106">
        <f t="shared" ref="AM13:AM23" si="32">$E13*J13</f>
        <v>0</v>
      </c>
      <c r="AN13" s="106">
        <f t="shared" ref="AN13:AN23" si="33">$E13*K13</f>
        <v>0</v>
      </c>
      <c r="AO13" s="106">
        <f t="shared" ref="AO13:AO23" si="34">$E13*L13</f>
        <v>0</v>
      </c>
      <c r="AP13" s="106">
        <f t="shared" ref="AP13:AP23" si="35">$E13*M13</f>
        <v>0</v>
      </c>
      <c r="AQ13" s="106">
        <f t="shared" ref="AQ13:AQ23" si="36">$E13*N13</f>
        <v>0</v>
      </c>
      <c r="AR13" s="106">
        <f t="shared" ref="AR13:AR23" si="37">$E13*O13</f>
        <v>0</v>
      </c>
      <c r="AS13" s="106">
        <f t="shared" ref="AS13:AS23" si="38">$E13*P13</f>
        <v>0</v>
      </c>
      <c r="AT13" s="106">
        <f t="shared" ref="AT13:AT23" si="39">$E13*Q13</f>
        <v>0</v>
      </c>
      <c r="AU13" s="106">
        <f t="shared" ref="AU13:AU23" si="40">$E13*R13</f>
        <v>0</v>
      </c>
      <c r="AV13" s="106">
        <f t="shared" ref="AV13:AV23" si="41">$E13*S13</f>
        <v>0</v>
      </c>
      <c r="AW13" s="106">
        <f t="shared" ref="AW13:AW23" si="42">$E13*T13</f>
        <v>0</v>
      </c>
      <c r="AX13" s="106">
        <f t="shared" si="14"/>
        <v>0</v>
      </c>
      <c r="AY13" s="106">
        <f t="shared" si="15"/>
        <v>0</v>
      </c>
      <c r="AZ13" s="106">
        <f t="shared" si="16"/>
        <v>0</v>
      </c>
      <c r="BA13" s="106">
        <f t="shared" si="17"/>
        <v>0</v>
      </c>
      <c r="BB13" s="106">
        <f t="shared" si="18"/>
        <v>0</v>
      </c>
      <c r="BC13" s="106">
        <f t="shared" si="19"/>
        <v>0</v>
      </c>
      <c r="BD13" s="106">
        <f t="shared" si="20"/>
        <v>0</v>
      </c>
      <c r="BE13" s="106">
        <f t="shared" si="21"/>
        <v>0</v>
      </c>
      <c r="BF13" s="106">
        <f t="shared" si="22"/>
        <v>0</v>
      </c>
      <c r="BG13" s="106">
        <f t="shared" si="23"/>
        <v>0</v>
      </c>
      <c r="BH13" s="106">
        <f t="shared" si="24"/>
        <v>0</v>
      </c>
      <c r="BI13" s="106">
        <f t="shared" si="25"/>
        <v>0</v>
      </c>
      <c r="BJ13" s="106">
        <f t="shared" si="26"/>
        <v>0</v>
      </c>
      <c r="BK13" s="106">
        <f t="shared" si="27"/>
        <v>0</v>
      </c>
      <c r="BL13" s="210">
        <f t="shared" si="28"/>
        <v>0</v>
      </c>
    </row>
    <row r="14" spans="2:66" x14ac:dyDescent="0.25">
      <c r="B14" s="272"/>
      <c r="C14" s="106" t="str">
        <f>Virtual!C60</f>
        <v>Total: Energy consumption for laptop, video mode (participants)</v>
      </c>
      <c r="D14" s="106" t="s">
        <v>508</v>
      </c>
      <c r="E14" s="106">
        <f>Virtual!D60</f>
        <v>216.48</v>
      </c>
      <c r="F14" s="106" t="str">
        <f>Virtual!E60</f>
        <v>kWh</v>
      </c>
      <c r="G14" s="106" t="str">
        <f t="shared" ref="G14:G23" si="43">G13</f>
        <v>ACLCA_raw data</v>
      </c>
      <c r="H14" s="106">
        <f t="shared" ref="H14:P14" si="44">H6</f>
        <v>0.49122341712793732</v>
      </c>
      <c r="I14" s="106">
        <f t="shared" si="44"/>
        <v>0.19084534381201052</v>
      </c>
      <c r="J14" s="106">
        <f t="shared" si="44"/>
        <v>5.8782540187989563</v>
      </c>
      <c r="K14" s="106">
        <f t="shared" si="44"/>
        <v>3.4753414703185381E-2</v>
      </c>
      <c r="L14" s="106">
        <f t="shared" si="44"/>
        <v>2.9408671485639681</v>
      </c>
      <c r="M14" s="106">
        <f t="shared" si="44"/>
        <v>8.8556120167101812E-5</v>
      </c>
      <c r="N14" s="106">
        <f t="shared" si="44"/>
        <v>0.10687040417493472</v>
      </c>
      <c r="O14" s="106">
        <f t="shared" si="44"/>
        <v>0.68631986978590098</v>
      </c>
      <c r="P14" s="106">
        <f t="shared" si="44"/>
        <v>0.30274811533159268</v>
      </c>
      <c r="Q14" s="106">
        <f t="shared" si="1"/>
        <v>10.140746871290714</v>
      </c>
      <c r="R14" s="106">
        <f t="shared" ref="R14:AI14" si="45">R6</f>
        <v>3.5472608885639696E-2</v>
      </c>
      <c r="S14" s="106">
        <f t="shared" si="45"/>
        <v>0.48654339352480419</v>
      </c>
      <c r="T14" s="106">
        <f t="shared" si="45"/>
        <v>0.14931340950391639</v>
      </c>
      <c r="U14" s="106">
        <f t="shared" si="45"/>
        <v>2.8064123989556128E-2</v>
      </c>
      <c r="V14" s="106">
        <f t="shared" si="45"/>
        <v>4.1712118349869449E-4</v>
      </c>
      <c r="W14" s="106">
        <f t="shared" si="45"/>
        <v>0.27874180532637083</v>
      </c>
      <c r="X14" s="106">
        <f t="shared" si="45"/>
        <v>0.20161502476240206</v>
      </c>
      <c r="Y14" s="106">
        <f t="shared" si="45"/>
        <v>2.4198340417754569E-2</v>
      </c>
      <c r="Z14" s="106">
        <f t="shared" si="45"/>
        <v>1.2533631535248038E-4</v>
      </c>
      <c r="AA14" s="106">
        <f t="shared" si="45"/>
        <v>1.1297038287206268E-2</v>
      </c>
      <c r="AB14" s="106">
        <f t="shared" si="45"/>
        <v>-5.3979545994778055E-5</v>
      </c>
      <c r="AC14" s="106">
        <f t="shared" si="45"/>
        <v>1.8732807164490865E-8</v>
      </c>
      <c r="AD14" s="106">
        <f t="shared" si="45"/>
        <v>1.3361707331592688E-3</v>
      </c>
      <c r="AE14" s="106">
        <f t="shared" si="45"/>
        <v>8.2148281859007822E-4</v>
      </c>
      <c r="AF14" s="106">
        <f t="shared" si="45"/>
        <v>1.3705713838120107E-3</v>
      </c>
      <c r="AG14" s="106">
        <f t="shared" si="45"/>
        <v>2.6189118078328981E-5</v>
      </c>
      <c r="AH14" s="106">
        <f t="shared" si="45"/>
        <v>2.163275332010444E-3</v>
      </c>
      <c r="AI14" s="210">
        <f t="shared" si="45"/>
        <v>5.0921629973890324E-3</v>
      </c>
      <c r="AK14" s="213">
        <f t="shared" si="2"/>
        <v>106.34004533985586</v>
      </c>
      <c r="AL14" s="106">
        <f t="shared" si="31"/>
        <v>41.314200028424032</v>
      </c>
      <c r="AM14" s="106">
        <f t="shared" si="32"/>
        <v>1272.524429989598</v>
      </c>
      <c r="AN14" s="106">
        <f t="shared" si="33"/>
        <v>7.5234192149455712</v>
      </c>
      <c r="AO14" s="106">
        <f t="shared" si="34"/>
        <v>636.63892032112778</v>
      </c>
      <c r="AP14" s="106">
        <f t="shared" si="35"/>
        <v>1.9170628893774199E-2</v>
      </c>
      <c r="AQ14" s="106">
        <f t="shared" si="36"/>
        <v>23.135305095789867</v>
      </c>
      <c r="AR14" s="106">
        <f t="shared" si="37"/>
        <v>148.57452541125184</v>
      </c>
      <c r="AS14" s="106">
        <f t="shared" si="38"/>
        <v>65.538912006983182</v>
      </c>
      <c r="AT14" s="106">
        <f t="shared" si="39"/>
        <v>2195.2688826970139</v>
      </c>
      <c r="AU14" s="106">
        <f t="shared" si="40"/>
        <v>7.6791103715632811</v>
      </c>
      <c r="AV14" s="106">
        <f t="shared" si="41"/>
        <v>105.32691383024961</v>
      </c>
      <c r="AW14" s="106">
        <f t="shared" si="42"/>
        <v>32.323366889407815</v>
      </c>
      <c r="AX14" s="106">
        <f t="shared" si="14"/>
        <v>6.07532156125911</v>
      </c>
      <c r="AY14" s="106">
        <f t="shared" si="15"/>
        <v>9.029839380379738E-2</v>
      </c>
      <c r="AZ14" s="106">
        <f t="shared" si="16"/>
        <v>60.342026017052753</v>
      </c>
      <c r="BA14" s="106">
        <f t="shared" si="17"/>
        <v>43.645620560564794</v>
      </c>
      <c r="BB14" s="106">
        <f t="shared" si="18"/>
        <v>5.238456733635509</v>
      </c>
      <c r="BC14" s="106">
        <f t="shared" si="19"/>
        <v>2.7132805547504951E-2</v>
      </c>
      <c r="BD14" s="106">
        <f t="shared" si="20"/>
        <v>2.4455828484144129</v>
      </c>
      <c r="BE14" s="106">
        <f t="shared" si="21"/>
        <v>-1.1685492116949553E-2</v>
      </c>
      <c r="BF14" s="106">
        <f t="shared" si="22"/>
        <v>4.0552780949689823E-6</v>
      </c>
      <c r="BG14" s="106">
        <f t="shared" si="23"/>
        <v>0.28925424031431851</v>
      </c>
      <c r="BH14" s="106">
        <f t="shared" si="24"/>
        <v>0.17783460056838013</v>
      </c>
      <c r="BI14" s="106">
        <f t="shared" si="25"/>
        <v>0.29670129316762406</v>
      </c>
      <c r="BJ14" s="106">
        <f t="shared" si="26"/>
        <v>5.669420281596658E-3</v>
      </c>
      <c r="BK14" s="106">
        <f t="shared" si="27"/>
        <v>0.4683058438736209</v>
      </c>
      <c r="BL14" s="210">
        <f t="shared" si="28"/>
        <v>1.1023514456747776</v>
      </c>
    </row>
    <row r="15" spans="2:66" x14ac:dyDescent="0.25">
      <c r="B15" s="272" t="str">
        <f>Virtual!B4</f>
        <v>Network-related emissions</v>
      </c>
      <c r="C15" s="106" t="str">
        <f>Virtual!C25</f>
        <v>PS-Core</v>
      </c>
      <c r="D15" s="106" t="s">
        <v>508</v>
      </c>
      <c r="E15" s="106">
        <f>(Virtual!$D$19+Virtual!$D$20)*Virtual!G25</f>
        <v>1273.0775947885431</v>
      </c>
      <c r="F15" s="106" t="s">
        <v>105</v>
      </c>
      <c r="G15" s="106" t="str">
        <f t="shared" si="43"/>
        <v>ACLCA_raw data</v>
      </c>
      <c r="H15" s="106">
        <f t="shared" ref="H15:P15" si="46">H6</f>
        <v>0.49122341712793732</v>
      </c>
      <c r="I15" s="106">
        <f t="shared" si="46"/>
        <v>0.19084534381201052</v>
      </c>
      <c r="J15" s="106">
        <f t="shared" si="46"/>
        <v>5.8782540187989563</v>
      </c>
      <c r="K15" s="106">
        <f t="shared" si="46"/>
        <v>3.4753414703185381E-2</v>
      </c>
      <c r="L15" s="106">
        <f t="shared" si="46"/>
        <v>2.9408671485639681</v>
      </c>
      <c r="M15" s="106">
        <f t="shared" si="46"/>
        <v>8.8556120167101812E-5</v>
      </c>
      <c r="N15" s="106">
        <f t="shared" si="46"/>
        <v>0.10687040417493472</v>
      </c>
      <c r="O15" s="106">
        <f t="shared" si="46"/>
        <v>0.68631986978590098</v>
      </c>
      <c r="P15" s="106">
        <f t="shared" si="46"/>
        <v>0.30274811533159268</v>
      </c>
      <c r="Q15" s="106">
        <f t="shared" si="1"/>
        <v>10.140746871290714</v>
      </c>
      <c r="R15" s="106">
        <f t="shared" ref="R15:AI15" si="47">R6</f>
        <v>3.5472608885639696E-2</v>
      </c>
      <c r="S15" s="106">
        <f t="shared" si="47"/>
        <v>0.48654339352480419</v>
      </c>
      <c r="T15" s="106">
        <f t="shared" si="47"/>
        <v>0.14931340950391639</v>
      </c>
      <c r="U15" s="106">
        <f t="shared" si="47"/>
        <v>2.8064123989556128E-2</v>
      </c>
      <c r="V15" s="106">
        <f t="shared" si="47"/>
        <v>4.1712118349869449E-4</v>
      </c>
      <c r="W15" s="106">
        <f t="shared" si="47"/>
        <v>0.27874180532637083</v>
      </c>
      <c r="X15" s="106">
        <f t="shared" si="47"/>
        <v>0.20161502476240206</v>
      </c>
      <c r="Y15" s="106">
        <f t="shared" si="47"/>
        <v>2.4198340417754569E-2</v>
      </c>
      <c r="Z15" s="106">
        <f t="shared" si="47"/>
        <v>1.2533631535248038E-4</v>
      </c>
      <c r="AA15" s="106">
        <f t="shared" si="47"/>
        <v>1.1297038287206268E-2</v>
      </c>
      <c r="AB15" s="106">
        <f t="shared" si="47"/>
        <v>-5.3979545994778055E-5</v>
      </c>
      <c r="AC15" s="106">
        <f t="shared" si="47"/>
        <v>1.8732807164490865E-8</v>
      </c>
      <c r="AD15" s="106">
        <f t="shared" si="47"/>
        <v>1.3361707331592688E-3</v>
      </c>
      <c r="AE15" s="106">
        <f t="shared" si="47"/>
        <v>8.2148281859007822E-4</v>
      </c>
      <c r="AF15" s="106">
        <f t="shared" si="47"/>
        <v>1.3705713838120107E-3</v>
      </c>
      <c r="AG15" s="106">
        <f t="shared" si="47"/>
        <v>2.6189118078328981E-5</v>
      </c>
      <c r="AH15" s="106">
        <f t="shared" si="47"/>
        <v>2.163275332010444E-3</v>
      </c>
      <c r="AI15" s="210">
        <f t="shared" si="47"/>
        <v>5.0921629973890324E-3</v>
      </c>
      <c r="AK15" s="213">
        <f t="shared" si="2"/>
        <v>625.36552638104365</v>
      </c>
      <c r="AL15" s="106">
        <f t="shared" si="31"/>
        <v>242.96093127678691</v>
      </c>
      <c r="AM15" s="106">
        <f t="shared" si="32"/>
        <v>7483.4734878086629</v>
      </c>
      <c r="AN15" s="106">
        <f t="shared" si="33"/>
        <v>44.243793601020037</v>
      </c>
      <c r="AO15" s="106">
        <f t="shared" si="34"/>
        <v>3743.9520760864575</v>
      </c>
      <c r="AP15" s="106">
        <f t="shared" si="35"/>
        <v>0.11273881246613918</v>
      </c>
      <c r="AQ15" s="106">
        <f t="shared" si="36"/>
        <v>136.05431710110537</v>
      </c>
      <c r="AR15" s="106">
        <f t="shared" si="37"/>
        <v>873.73844908262095</v>
      </c>
      <c r="AS15" s="106">
        <f t="shared" si="38"/>
        <v>385.4218424931085</v>
      </c>
      <c r="AT15" s="106">
        <f t="shared" si="39"/>
        <v>12909.957636262227</v>
      </c>
      <c r="AU15" s="106">
        <f t="shared" si="40"/>
        <v>45.15938360100489</v>
      </c>
      <c r="AV15" s="106">
        <f t="shared" si="41"/>
        <v>619.40749318881331</v>
      </c>
      <c r="AW15" s="106">
        <f t="shared" si="42"/>
        <v>190.08755624092268</v>
      </c>
      <c r="AX15" s="106">
        <f t="shared" si="14"/>
        <v>35.727807468471568</v>
      </c>
      <c r="AY15" s="106">
        <f t="shared" si="15"/>
        <v>0.53102763302386857</v>
      </c>
      <c r="AZ15" s="106">
        <f t="shared" si="16"/>
        <v>354.85994709191249</v>
      </c>
      <c r="BA15" s="106">
        <f t="shared" si="17"/>
        <v>256.67157079775137</v>
      </c>
      <c r="BB15" s="106">
        <f t="shared" si="18"/>
        <v>30.806365016909378</v>
      </c>
      <c r="BC15" s="106">
        <f t="shared" si="19"/>
        <v>0.15956285488859409</v>
      </c>
      <c r="BD15" s="106">
        <f t="shared" si="20"/>
        <v>14.382006330910638</v>
      </c>
      <c r="BE15" s="106">
        <f t="shared" si="21"/>
        <v>-6.8720150582809586E-2</v>
      </c>
      <c r="BF15" s="106">
        <f t="shared" si="22"/>
        <v>2.3848317088607618E-5</v>
      </c>
      <c r="BG15" s="106">
        <f t="shared" si="23"/>
        <v>1.7010490231972462</v>
      </c>
      <c r="BH15" s="106">
        <f t="shared" si="24"/>
        <v>1.0458113708507699</v>
      </c>
      <c r="BI15" s="106">
        <f t="shared" si="25"/>
        <v>1.7448437207893999</v>
      </c>
      <c r="BJ15" s="106">
        <f t="shared" si="26"/>
        <v>3.3340779452792214E-2</v>
      </c>
      <c r="BK15" s="106">
        <f t="shared" si="27"/>
        <v>2.7540173565412429</v>
      </c>
      <c r="BL15" s="210">
        <f t="shared" si="28"/>
        <v>6.4827186209872476</v>
      </c>
    </row>
    <row r="16" spans="2:66" x14ac:dyDescent="0.25">
      <c r="B16" s="272"/>
      <c r="C16" s="106" t="str">
        <f>Virtual!C26</f>
        <v>Fixed line CPE</v>
      </c>
      <c r="D16" s="106" t="s">
        <v>508</v>
      </c>
      <c r="E16" s="106">
        <f>(Virtual!$D$19+Virtual!$D$20)*Virtual!G26</f>
        <v>2055.4104631187156</v>
      </c>
      <c r="F16" s="106" t="s">
        <v>105</v>
      </c>
      <c r="G16" s="106" t="str">
        <f t="shared" si="43"/>
        <v>ACLCA_raw data</v>
      </c>
      <c r="H16" s="106">
        <f t="shared" ref="H16:P16" si="48">H6</f>
        <v>0.49122341712793732</v>
      </c>
      <c r="I16" s="106">
        <f t="shared" si="48"/>
        <v>0.19084534381201052</v>
      </c>
      <c r="J16" s="106">
        <f t="shared" si="48"/>
        <v>5.8782540187989563</v>
      </c>
      <c r="K16" s="106">
        <f t="shared" si="48"/>
        <v>3.4753414703185381E-2</v>
      </c>
      <c r="L16" s="106">
        <f t="shared" si="48"/>
        <v>2.9408671485639681</v>
      </c>
      <c r="M16" s="106">
        <f t="shared" si="48"/>
        <v>8.8556120167101812E-5</v>
      </c>
      <c r="N16" s="106">
        <f t="shared" si="48"/>
        <v>0.10687040417493472</v>
      </c>
      <c r="O16" s="106">
        <f t="shared" si="48"/>
        <v>0.68631986978590098</v>
      </c>
      <c r="P16" s="106">
        <f t="shared" si="48"/>
        <v>0.30274811533159268</v>
      </c>
      <c r="Q16" s="106">
        <f t="shared" si="1"/>
        <v>10.140746871290714</v>
      </c>
      <c r="R16" s="106">
        <f t="shared" ref="R16:AI16" si="49">R6</f>
        <v>3.5472608885639696E-2</v>
      </c>
      <c r="S16" s="106">
        <f t="shared" si="49"/>
        <v>0.48654339352480419</v>
      </c>
      <c r="T16" s="106">
        <f t="shared" si="49"/>
        <v>0.14931340950391639</v>
      </c>
      <c r="U16" s="106">
        <f t="shared" si="49"/>
        <v>2.8064123989556128E-2</v>
      </c>
      <c r="V16" s="106">
        <f t="shared" si="49"/>
        <v>4.1712118349869449E-4</v>
      </c>
      <c r="W16" s="106">
        <f t="shared" si="49"/>
        <v>0.27874180532637083</v>
      </c>
      <c r="X16" s="106">
        <f t="shared" si="49"/>
        <v>0.20161502476240206</v>
      </c>
      <c r="Y16" s="106">
        <f t="shared" si="49"/>
        <v>2.4198340417754569E-2</v>
      </c>
      <c r="Z16" s="106">
        <f t="shared" si="49"/>
        <v>1.2533631535248038E-4</v>
      </c>
      <c r="AA16" s="106">
        <f t="shared" si="49"/>
        <v>1.1297038287206268E-2</v>
      </c>
      <c r="AB16" s="106">
        <f t="shared" si="49"/>
        <v>-5.3979545994778055E-5</v>
      </c>
      <c r="AC16" s="106">
        <f t="shared" si="49"/>
        <v>1.8732807164490865E-8</v>
      </c>
      <c r="AD16" s="106">
        <f t="shared" si="49"/>
        <v>1.3361707331592688E-3</v>
      </c>
      <c r="AE16" s="106">
        <f t="shared" si="49"/>
        <v>8.2148281859007822E-4</v>
      </c>
      <c r="AF16" s="106">
        <f t="shared" si="49"/>
        <v>1.3705713838120107E-3</v>
      </c>
      <c r="AG16" s="106">
        <f t="shared" si="49"/>
        <v>2.6189118078328981E-5</v>
      </c>
      <c r="AH16" s="106">
        <f t="shared" si="49"/>
        <v>2.163275332010444E-3</v>
      </c>
      <c r="AI16" s="210">
        <f t="shared" si="49"/>
        <v>5.0921629973890324E-3</v>
      </c>
      <c r="AK16" s="213">
        <f t="shared" si="2"/>
        <v>1009.6657512936916</v>
      </c>
      <c r="AL16" s="106">
        <f t="shared" si="31"/>
        <v>392.26551650869504</v>
      </c>
      <c r="AM16" s="106">
        <f t="shared" si="32"/>
        <v>12082.224815109013</v>
      </c>
      <c r="AN16" s="106">
        <f t="shared" si="33"/>
        <v>71.432532210031042</v>
      </c>
      <c r="AO16" s="106">
        <f t="shared" si="34"/>
        <v>6044.6891078004819</v>
      </c>
      <c r="AP16" s="106">
        <f t="shared" si="35"/>
        <v>0.18201917596465936</v>
      </c>
      <c r="AQ16" s="106">
        <f t="shared" si="36"/>
        <v>219.66254693888689</v>
      </c>
      <c r="AR16" s="106">
        <f t="shared" si="37"/>
        <v>1410.6690414042152</v>
      </c>
      <c r="AS16" s="106">
        <f t="shared" si="38"/>
        <v>622.27164394202725</v>
      </c>
      <c r="AT16" s="106">
        <f t="shared" si="39"/>
        <v>20843.397223089312</v>
      </c>
      <c r="AU16" s="106">
        <f t="shared" si="40"/>
        <v>72.910771457661752</v>
      </c>
      <c r="AV16" s="106">
        <f t="shared" si="41"/>
        <v>1000.0463818121693</v>
      </c>
      <c r="AW16" s="106">
        <f t="shared" si="42"/>
        <v>306.90034417827923</v>
      </c>
      <c r="AX16" s="106">
        <f t="shared" si="14"/>
        <v>57.683294086394618</v>
      </c>
      <c r="AY16" s="106">
        <f t="shared" si="15"/>
        <v>0.85735524495167836</v>
      </c>
      <c r="AZ16" s="106">
        <f t="shared" si="16"/>
        <v>572.92882317642272</v>
      </c>
      <c r="BA16" s="106">
        <f t="shared" si="17"/>
        <v>414.40163141858011</v>
      </c>
      <c r="BB16" s="106">
        <f t="shared" si="18"/>
        <v>49.737522084761252</v>
      </c>
      <c r="BC16" s="106">
        <f t="shared" si="19"/>
        <v>0.25761757398423507</v>
      </c>
      <c r="BD16" s="106">
        <f t="shared" si="20"/>
        <v>23.220050697776497</v>
      </c>
      <c r="BE16" s="106">
        <f t="shared" si="21"/>
        <v>-0.11095012363206477</v>
      </c>
      <c r="BF16" s="106">
        <f t="shared" si="22"/>
        <v>3.8503607849479762E-5</v>
      </c>
      <c r="BG16" s="106">
        <f t="shared" si="23"/>
        <v>2.7463793054485666</v>
      </c>
      <c r="BH16" s="106">
        <f t="shared" si="24"/>
        <v>1.6884843806023004</v>
      </c>
      <c r="BI16" s="106">
        <f t="shared" si="25"/>
        <v>2.8170867627383038</v>
      </c>
      <c r="BJ16" s="106">
        <f t="shared" si="26"/>
        <v>5.3829387318048899E-2</v>
      </c>
      <c r="BK16" s="106">
        <f t="shared" si="27"/>
        <v>4.4464187520208798</v>
      </c>
      <c r="BL16" s="210">
        <f t="shared" si="28"/>
        <v>10.466485104739379</v>
      </c>
    </row>
    <row r="17" spans="2:64" x14ac:dyDescent="0.25">
      <c r="B17" s="272"/>
      <c r="C17" s="106" t="str">
        <f>Virtual!C27</f>
        <v>Operator DC</v>
      </c>
      <c r="D17" s="106" t="s">
        <v>508</v>
      </c>
      <c r="E17" s="106">
        <f>(Virtual!$D$19+Virtual!$D$20)*Virtual!G27</f>
        <v>254.6639802289225</v>
      </c>
      <c r="F17" s="106" t="s">
        <v>105</v>
      </c>
      <c r="G17" s="106" t="str">
        <f t="shared" si="43"/>
        <v>ACLCA_raw data</v>
      </c>
      <c r="H17" s="106">
        <f t="shared" ref="H17:P17" si="50">H6</f>
        <v>0.49122341712793732</v>
      </c>
      <c r="I17" s="106">
        <f t="shared" si="50"/>
        <v>0.19084534381201052</v>
      </c>
      <c r="J17" s="106">
        <f t="shared" si="50"/>
        <v>5.8782540187989563</v>
      </c>
      <c r="K17" s="106">
        <f t="shared" si="50"/>
        <v>3.4753414703185381E-2</v>
      </c>
      <c r="L17" s="106">
        <f t="shared" si="50"/>
        <v>2.9408671485639681</v>
      </c>
      <c r="M17" s="106">
        <f t="shared" si="50"/>
        <v>8.8556120167101812E-5</v>
      </c>
      <c r="N17" s="106">
        <f t="shared" si="50"/>
        <v>0.10687040417493472</v>
      </c>
      <c r="O17" s="106">
        <f t="shared" si="50"/>
        <v>0.68631986978590098</v>
      </c>
      <c r="P17" s="106">
        <f t="shared" si="50"/>
        <v>0.30274811533159268</v>
      </c>
      <c r="Q17" s="106">
        <f t="shared" si="1"/>
        <v>10.140746871290714</v>
      </c>
      <c r="R17" s="106">
        <f t="shared" ref="R17:AI17" si="51">R6</f>
        <v>3.5472608885639696E-2</v>
      </c>
      <c r="S17" s="106">
        <f t="shared" si="51"/>
        <v>0.48654339352480419</v>
      </c>
      <c r="T17" s="106">
        <f t="shared" si="51"/>
        <v>0.14931340950391639</v>
      </c>
      <c r="U17" s="106">
        <f t="shared" si="51"/>
        <v>2.8064123989556128E-2</v>
      </c>
      <c r="V17" s="106">
        <f t="shared" si="51"/>
        <v>4.1712118349869449E-4</v>
      </c>
      <c r="W17" s="106">
        <f t="shared" si="51"/>
        <v>0.27874180532637083</v>
      </c>
      <c r="X17" s="106">
        <f t="shared" si="51"/>
        <v>0.20161502476240206</v>
      </c>
      <c r="Y17" s="106">
        <f t="shared" si="51"/>
        <v>2.4198340417754569E-2</v>
      </c>
      <c r="Z17" s="106">
        <f t="shared" si="51"/>
        <v>1.2533631535248038E-4</v>
      </c>
      <c r="AA17" s="106">
        <f t="shared" si="51"/>
        <v>1.1297038287206268E-2</v>
      </c>
      <c r="AB17" s="106">
        <f t="shared" si="51"/>
        <v>-5.3979545994778055E-5</v>
      </c>
      <c r="AC17" s="106">
        <f t="shared" si="51"/>
        <v>1.8732807164490865E-8</v>
      </c>
      <c r="AD17" s="106">
        <f t="shared" si="51"/>
        <v>1.3361707331592688E-3</v>
      </c>
      <c r="AE17" s="106">
        <f t="shared" si="51"/>
        <v>8.2148281859007822E-4</v>
      </c>
      <c r="AF17" s="106">
        <f t="shared" si="51"/>
        <v>1.3705713838120107E-3</v>
      </c>
      <c r="AG17" s="106">
        <f t="shared" si="51"/>
        <v>2.6189118078328981E-5</v>
      </c>
      <c r="AH17" s="106">
        <f t="shared" si="51"/>
        <v>2.163275332010444E-3</v>
      </c>
      <c r="AI17" s="210">
        <f t="shared" si="51"/>
        <v>5.0921629973890324E-3</v>
      </c>
      <c r="AK17" s="213">
        <f t="shared" si="2"/>
        <v>125.09691058745278</v>
      </c>
      <c r="AL17" s="106">
        <f t="shared" si="31"/>
        <v>48.60143486332376</v>
      </c>
      <c r="AM17" s="106">
        <f t="shared" si="32"/>
        <v>1496.9795652240016</v>
      </c>
      <c r="AN17" s="106">
        <f t="shared" si="33"/>
        <v>8.8504429148595456</v>
      </c>
      <c r="AO17" s="106">
        <f t="shared" si="34"/>
        <v>748.93293337778209</v>
      </c>
      <c r="AP17" s="106">
        <f t="shared" si="35"/>
        <v>2.2552054035384902E-2</v>
      </c>
      <c r="AQ17" s="106">
        <f t="shared" si="36"/>
        <v>27.216042495862531</v>
      </c>
      <c r="AR17" s="106">
        <f t="shared" si="37"/>
        <v>174.78094974987334</v>
      </c>
      <c r="AS17" s="106">
        <f t="shared" si="38"/>
        <v>77.099040057148272</v>
      </c>
      <c r="AT17" s="106">
        <f t="shared" si="39"/>
        <v>2582.4829607368861</v>
      </c>
      <c r="AU17" s="106">
        <f t="shared" si="40"/>
        <v>9.0335957679208487</v>
      </c>
      <c r="AV17" s="106">
        <f t="shared" si="41"/>
        <v>123.90507714911359</v>
      </c>
      <c r="AW17" s="106">
        <f t="shared" si="42"/>
        <v>38.024747165818368</v>
      </c>
      <c r="AX17" s="106">
        <f t="shared" si="14"/>
        <v>7.1469215168183515</v>
      </c>
      <c r="AY17" s="106">
        <f t="shared" si="15"/>
        <v>0.10622574082757628</v>
      </c>
      <c r="AZ17" s="106">
        <f t="shared" si="16"/>
        <v>70.985497600609065</v>
      </c>
      <c r="BA17" s="106">
        <f t="shared" si="17"/>
        <v>51.344084679946079</v>
      </c>
      <c r="BB17" s="106">
        <f t="shared" si="18"/>
        <v>6.1624456857197858</v>
      </c>
      <c r="BC17" s="106">
        <f t="shared" si="19"/>
        <v>3.1918644934890057E-2</v>
      </c>
      <c r="BD17" s="106">
        <f t="shared" si="20"/>
        <v>2.8769487350184777</v>
      </c>
      <c r="BE17" s="106">
        <f t="shared" si="21"/>
        <v>-1.3746646033980372E-2</v>
      </c>
      <c r="BF17" s="106">
        <f t="shared" si="22"/>
        <v>4.7705712333701194E-6</v>
      </c>
      <c r="BG17" s="106">
        <f t="shared" si="23"/>
        <v>0.34027455717173688</v>
      </c>
      <c r="BH17" s="106">
        <f t="shared" si="24"/>
        <v>0.20920208427182321</v>
      </c>
      <c r="BI17" s="106">
        <f t="shared" si="25"/>
        <v>0.34903516378942884</v>
      </c>
      <c r="BJ17" s="106">
        <f t="shared" si="26"/>
        <v>6.669425048512488E-3</v>
      </c>
      <c r="BK17" s="106">
        <f t="shared" si="27"/>
        <v>0.55090830638082344</v>
      </c>
      <c r="BL17" s="210">
        <f t="shared" si="28"/>
        <v>1.2967904968895312</v>
      </c>
    </row>
    <row r="18" spans="2:64" x14ac:dyDescent="0.25">
      <c r="B18" s="272"/>
      <c r="C18" s="106" t="str">
        <f>Virtual!C28</f>
        <v>Office networks</v>
      </c>
      <c r="D18" s="106" t="s">
        <v>508</v>
      </c>
      <c r="E18" s="106">
        <f>(Virtual!$D$19+Virtual!$D$20)*Virtual!G28</f>
        <v>630.10646170504015</v>
      </c>
      <c r="F18" s="106" t="s">
        <v>105</v>
      </c>
      <c r="G18" s="106" t="str">
        <f t="shared" si="43"/>
        <v>ACLCA_raw data</v>
      </c>
      <c r="H18" s="106">
        <f t="shared" ref="H18:P18" si="52">H6</f>
        <v>0.49122341712793732</v>
      </c>
      <c r="I18" s="106">
        <f t="shared" si="52"/>
        <v>0.19084534381201052</v>
      </c>
      <c r="J18" s="106">
        <f t="shared" si="52"/>
        <v>5.8782540187989563</v>
      </c>
      <c r="K18" s="106">
        <f t="shared" si="52"/>
        <v>3.4753414703185381E-2</v>
      </c>
      <c r="L18" s="106">
        <f t="shared" si="52"/>
        <v>2.9408671485639681</v>
      </c>
      <c r="M18" s="106">
        <f t="shared" si="52"/>
        <v>8.8556120167101812E-5</v>
      </c>
      <c r="N18" s="106">
        <f t="shared" si="52"/>
        <v>0.10687040417493472</v>
      </c>
      <c r="O18" s="106">
        <f t="shared" si="52"/>
        <v>0.68631986978590098</v>
      </c>
      <c r="P18" s="106">
        <f t="shared" si="52"/>
        <v>0.30274811533159268</v>
      </c>
      <c r="Q18" s="106">
        <f t="shared" si="1"/>
        <v>10.140746871290714</v>
      </c>
      <c r="R18" s="106">
        <f t="shared" ref="R18:AI18" si="53">R6</f>
        <v>3.5472608885639696E-2</v>
      </c>
      <c r="S18" s="106">
        <f t="shared" si="53"/>
        <v>0.48654339352480419</v>
      </c>
      <c r="T18" s="106">
        <f t="shared" si="53"/>
        <v>0.14931340950391639</v>
      </c>
      <c r="U18" s="106">
        <f t="shared" si="53"/>
        <v>2.8064123989556128E-2</v>
      </c>
      <c r="V18" s="106">
        <f t="shared" si="53"/>
        <v>4.1712118349869449E-4</v>
      </c>
      <c r="W18" s="106">
        <f t="shared" si="53"/>
        <v>0.27874180532637083</v>
      </c>
      <c r="X18" s="106">
        <f t="shared" si="53"/>
        <v>0.20161502476240206</v>
      </c>
      <c r="Y18" s="106">
        <f t="shared" si="53"/>
        <v>2.4198340417754569E-2</v>
      </c>
      <c r="Z18" s="106">
        <f t="shared" si="53"/>
        <v>1.2533631535248038E-4</v>
      </c>
      <c r="AA18" s="106">
        <f t="shared" si="53"/>
        <v>1.1297038287206268E-2</v>
      </c>
      <c r="AB18" s="106">
        <f t="shared" si="53"/>
        <v>-5.3979545994778055E-5</v>
      </c>
      <c r="AC18" s="106">
        <f t="shared" si="53"/>
        <v>1.8732807164490865E-8</v>
      </c>
      <c r="AD18" s="106">
        <f t="shared" si="53"/>
        <v>1.3361707331592688E-3</v>
      </c>
      <c r="AE18" s="106">
        <f t="shared" si="53"/>
        <v>8.2148281859007822E-4</v>
      </c>
      <c r="AF18" s="106">
        <f t="shared" si="53"/>
        <v>1.3705713838120107E-3</v>
      </c>
      <c r="AG18" s="106">
        <f t="shared" si="53"/>
        <v>2.6189118078328981E-5</v>
      </c>
      <c r="AH18" s="106">
        <f t="shared" si="53"/>
        <v>2.163275332010444E-3</v>
      </c>
      <c r="AI18" s="210">
        <f t="shared" si="53"/>
        <v>5.0921629973890324E-3</v>
      </c>
      <c r="AK18" s="213">
        <f t="shared" si="2"/>
        <v>309.52304927314361</v>
      </c>
      <c r="AL18" s="106">
        <f t="shared" si="31"/>
        <v>120.25288432226782</v>
      </c>
      <c r="AM18" s="106">
        <f t="shared" si="32"/>
        <v>3703.9258407888428</v>
      </c>
      <c r="AN18" s="106">
        <f t="shared" si="33"/>
        <v>21.898351170792058</v>
      </c>
      <c r="AO18" s="106">
        <f t="shared" si="34"/>
        <v>1853.0593933262326</v>
      </c>
      <c r="AP18" s="106">
        <f t="shared" si="35"/>
        <v>5.5799783540818874E-2</v>
      </c>
      <c r="AQ18" s="106">
        <f t="shared" si="36"/>
        <v>67.339732235655674</v>
      </c>
      <c r="AR18" s="106">
        <f t="shared" si="37"/>
        <v>432.45458474865796</v>
      </c>
      <c r="AS18" s="106">
        <f t="shared" si="38"/>
        <v>190.76354373945929</v>
      </c>
      <c r="AT18" s="106">
        <f t="shared" si="39"/>
        <v>6389.750130115448</v>
      </c>
      <c r="AU18" s="106">
        <f t="shared" si="40"/>
        <v>22.351520072377195</v>
      </c>
      <c r="AV18" s="106">
        <f t="shared" si="41"/>
        <v>306.5741361598773</v>
      </c>
      <c r="AW18" s="106">
        <f t="shared" si="42"/>
        <v>94.083344147628466</v>
      </c>
      <c r="AX18" s="106">
        <f t="shared" si="14"/>
        <v>17.683385867910747</v>
      </c>
      <c r="AY18" s="106">
        <f t="shared" si="15"/>
        <v>0.26283075303658116</v>
      </c>
      <c r="AZ18" s="106">
        <f t="shared" si="16"/>
        <v>175.63701268347464</v>
      </c>
      <c r="BA18" s="106">
        <f t="shared" si="17"/>
        <v>127.03892987961122</v>
      </c>
      <c r="BB18" s="106">
        <f t="shared" si="18"/>
        <v>15.247530659765395</v>
      </c>
      <c r="BC18" s="106">
        <f t="shared" si="19"/>
        <v>7.8975222189898511E-2</v>
      </c>
      <c r="BD18" s="106">
        <f t="shared" si="20"/>
        <v>7.1183368228979083</v>
      </c>
      <c r="BE18" s="106">
        <f t="shared" si="21"/>
        <v>-3.4012860731214074E-2</v>
      </c>
      <c r="BF18" s="106">
        <f t="shared" si="22"/>
        <v>1.1803662840220164E-5</v>
      </c>
      <c r="BG18" s="106">
        <f t="shared" si="23"/>
        <v>0.84192981290481617</v>
      </c>
      <c r="BH18" s="106">
        <f t="shared" si="24"/>
        <v>0.51762163217327761</v>
      </c>
      <c r="BI18" s="106">
        <f t="shared" si="25"/>
        <v>0.86360588516796666</v>
      </c>
      <c r="BJ18" s="106">
        <f t="shared" si="26"/>
        <v>1.6501932527511375E-2</v>
      </c>
      <c r="BK18" s="106">
        <f t="shared" si="27"/>
        <v>1.3630937651468968</v>
      </c>
      <c r="BL18" s="210">
        <f t="shared" si="28"/>
        <v>3.2086048087101346</v>
      </c>
    </row>
    <row r="19" spans="2:64" x14ac:dyDescent="0.25">
      <c r="B19" s="272"/>
      <c r="C19" s="106" t="str">
        <f>Virtual!C29</f>
        <v>Internet core</v>
      </c>
      <c r="D19" s="106" t="s">
        <v>508</v>
      </c>
      <c r="E19" s="106">
        <f>(Virtual!$D$19+Virtual!$D$20)*Virtual!G29</f>
        <v>154.59145517226693</v>
      </c>
      <c r="F19" s="106" t="s">
        <v>105</v>
      </c>
      <c r="G19" s="106" t="str">
        <f t="shared" si="43"/>
        <v>ACLCA_raw data</v>
      </c>
      <c r="H19" s="106">
        <f t="shared" ref="H19:P19" si="54">H6</f>
        <v>0.49122341712793732</v>
      </c>
      <c r="I19" s="106">
        <f t="shared" si="54"/>
        <v>0.19084534381201052</v>
      </c>
      <c r="J19" s="106">
        <f t="shared" si="54"/>
        <v>5.8782540187989563</v>
      </c>
      <c r="K19" s="106">
        <f t="shared" si="54"/>
        <v>3.4753414703185381E-2</v>
      </c>
      <c r="L19" s="106">
        <f t="shared" si="54"/>
        <v>2.9408671485639681</v>
      </c>
      <c r="M19" s="106">
        <f t="shared" si="54"/>
        <v>8.8556120167101812E-5</v>
      </c>
      <c r="N19" s="106">
        <f t="shared" si="54"/>
        <v>0.10687040417493472</v>
      </c>
      <c r="O19" s="106">
        <f t="shared" si="54"/>
        <v>0.68631986978590098</v>
      </c>
      <c r="P19" s="106">
        <f t="shared" si="54"/>
        <v>0.30274811533159268</v>
      </c>
      <c r="Q19" s="106">
        <f t="shared" si="1"/>
        <v>10.140746871290714</v>
      </c>
      <c r="R19" s="106">
        <f t="shared" ref="R19:AI19" si="55">R6</f>
        <v>3.5472608885639696E-2</v>
      </c>
      <c r="S19" s="106">
        <f t="shared" si="55"/>
        <v>0.48654339352480419</v>
      </c>
      <c r="T19" s="106">
        <f t="shared" si="55"/>
        <v>0.14931340950391639</v>
      </c>
      <c r="U19" s="106">
        <f t="shared" si="55"/>
        <v>2.8064123989556128E-2</v>
      </c>
      <c r="V19" s="106">
        <f t="shared" si="55"/>
        <v>4.1712118349869449E-4</v>
      </c>
      <c r="W19" s="106">
        <f t="shared" si="55"/>
        <v>0.27874180532637083</v>
      </c>
      <c r="X19" s="106">
        <f t="shared" si="55"/>
        <v>0.20161502476240206</v>
      </c>
      <c r="Y19" s="106">
        <f t="shared" si="55"/>
        <v>2.4198340417754569E-2</v>
      </c>
      <c r="Z19" s="106">
        <f t="shared" si="55"/>
        <v>1.2533631535248038E-4</v>
      </c>
      <c r="AA19" s="106">
        <f t="shared" si="55"/>
        <v>1.1297038287206268E-2</v>
      </c>
      <c r="AB19" s="106">
        <f t="shared" si="55"/>
        <v>-5.3979545994778055E-5</v>
      </c>
      <c r="AC19" s="106">
        <f t="shared" si="55"/>
        <v>1.8732807164490865E-8</v>
      </c>
      <c r="AD19" s="106">
        <f t="shared" si="55"/>
        <v>1.3361707331592688E-3</v>
      </c>
      <c r="AE19" s="106">
        <f t="shared" si="55"/>
        <v>8.2148281859007822E-4</v>
      </c>
      <c r="AF19" s="106">
        <f t="shared" si="55"/>
        <v>1.3705713838120107E-3</v>
      </c>
      <c r="AG19" s="106">
        <f t="shared" si="55"/>
        <v>2.6189118078328981E-5</v>
      </c>
      <c r="AH19" s="106">
        <f t="shared" si="55"/>
        <v>2.163275332010444E-3</v>
      </c>
      <c r="AI19" s="210">
        <f t="shared" si="55"/>
        <v>5.0921629973890324E-3</v>
      </c>
      <c r="AK19" s="213">
        <f t="shared" si="2"/>
        <v>75.9389428685013</v>
      </c>
      <c r="AL19" s="106">
        <f t="shared" si="31"/>
        <v>29.503059412750293</v>
      </c>
      <c r="AM19" s="106">
        <f t="shared" si="32"/>
        <v>908.72784263835683</v>
      </c>
      <c r="AN19" s="106">
        <f t="shared" si="33"/>
        <v>5.3725809511706855</v>
      </c>
      <c r="AO19" s="106">
        <f t="shared" si="34"/>
        <v>454.63293196481914</v>
      </c>
      <c r="AP19" s="106">
        <f t="shared" si="35"/>
        <v>1.3690019481042403E-2</v>
      </c>
      <c r="AQ19" s="106">
        <f t="shared" si="36"/>
        <v>16.521251296251471</v>
      </c>
      <c r="AR19" s="106">
        <f t="shared" si="37"/>
        <v>106.09918738384319</v>
      </c>
      <c r="AS19" s="106">
        <f t="shared" si="38"/>
        <v>46.802271699772213</v>
      </c>
      <c r="AT19" s="106">
        <f t="shared" si="39"/>
        <v>1567.6728153664446</v>
      </c>
      <c r="AU19" s="106">
        <f t="shared" si="40"/>
        <v>5.4837622263877268</v>
      </c>
      <c r="AV19" s="106">
        <f t="shared" si="41"/>
        <v>75.215451209452397</v>
      </c>
      <c r="AW19" s="106">
        <f t="shared" si="42"/>
        <v>23.082577251943025</v>
      </c>
      <c r="AX19" s="106">
        <f t="shared" si="14"/>
        <v>4.3384737656804075</v>
      </c>
      <c r="AY19" s="106">
        <f t="shared" si="15"/>
        <v>6.4483370740241353E-2</v>
      </c>
      <c r="AZ19" s="106">
        <f t="shared" si="16"/>
        <v>43.091101302748413</v>
      </c>
      <c r="BA19" s="106">
        <f t="shared" si="17"/>
        <v>31.167960062612366</v>
      </c>
      <c r="BB19" s="106">
        <f t="shared" si="18"/>
        <v>3.7408566579345606</v>
      </c>
      <c r="BC19" s="106">
        <f t="shared" si="19"/>
        <v>1.9375923376270084E-2</v>
      </c>
      <c r="BD19" s="106">
        <f t="shared" si="20"/>
        <v>1.7464255879560311</v>
      </c>
      <c r="BE19" s="106">
        <f t="shared" si="21"/>
        <v>-8.3447765648710526E-3</v>
      </c>
      <c r="BF19" s="106">
        <f t="shared" si="22"/>
        <v>2.8959319190201102E-6</v>
      </c>
      <c r="BG19" s="106">
        <f t="shared" si="23"/>
        <v>0.20656057799768615</v>
      </c>
      <c r="BH19" s="106">
        <f t="shared" si="24"/>
        <v>0.12699422432485558</v>
      </c>
      <c r="BI19" s="106">
        <f t="shared" si="25"/>
        <v>0.21187862464096632</v>
      </c>
      <c r="BJ19" s="106">
        <f t="shared" si="26"/>
        <v>4.0486138734072002E-3</v>
      </c>
      <c r="BK19" s="106">
        <f t="shared" si="27"/>
        <v>0.3344238815137634</v>
      </c>
      <c r="BL19" s="210">
        <f t="shared" si="28"/>
        <v>0.78720488774074304</v>
      </c>
    </row>
    <row r="20" spans="2:64" x14ac:dyDescent="0.25">
      <c r="B20" s="272" t="str">
        <f>Virtual!B64</f>
        <v>Server-related emissions</v>
      </c>
      <c r="C20" s="106" t="str">
        <f>Virtual!H44</f>
        <v>Infrastructure</v>
      </c>
      <c r="D20" s="106" t="s">
        <v>508</v>
      </c>
      <c r="E20" s="106">
        <f>(Virtual!$D$71+Virtual!$D$72)*Virtual!J44</f>
        <v>357.35817366732226</v>
      </c>
      <c r="F20" s="106" t="s">
        <v>105</v>
      </c>
      <c r="G20" s="106" t="str">
        <f t="shared" si="43"/>
        <v>ACLCA_raw data</v>
      </c>
      <c r="H20" s="106">
        <f t="shared" ref="H20:AI20" si="56">H6</f>
        <v>0.49122341712793732</v>
      </c>
      <c r="I20" s="106">
        <f t="shared" si="56"/>
        <v>0.19084534381201052</v>
      </c>
      <c r="J20" s="106">
        <f t="shared" si="56"/>
        <v>5.8782540187989563</v>
      </c>
      <c r="K20" s="106">
        <f t="shared" si="56"/>
        <v>3.4753414703185381E-2</v>
      </c>
      <c r="L20" s="106">
        <f t="shared" si="56"/>
        <v>2.9408671485639681</v>
      </c>
      <c r="M20" s="106">
        <f t="shared" si="56"/>
        <v>8.8556120167101812E-5</v>
      </c>
      <c r="N20" s="106">
        <f t="shared" si="56"/>
        <v>0.10687040417493472</v>
      </c>
      <c r="O20" s="106">
        <f t="shared" si="56"/>
        <v>0.68631986978590098</v>
      </c>
      <c r="P20" s="106">
        <f t="shared" si="56"/>
        <v>0.30274811533159268</v>
      </c>
      <c r="Q20" s="106">
        <f t="shared" si="56"/>
        <v>10.140746871290714</v>
      </c>
      <c r="R20" s="106">
        <f t="shared" si="56"/>
        <v>3.5472608885639696E-2</v>
      </c>
      <c r="S20" s="106">
        <f t="shared" si="56"/>
        <v>0.48654339352480419</v>
      </c>
      <c r="T20" s="106">
        <f t="shared" si="56"/>
        <v>0.14931340950391639</v>
      </c>
      <c r="U20" s="106">
        <f t="shared" si="56"/>
        <v>2.8064123989556128E-2</v>
      </c>
      <c r="V20" s="106">
        <f t="shared" si="56"/>
        <v>4.1712118349869449E-4</v>
      </c>
      <c r="W20" s="106">
        <f t="shared" si="56"/>
        <v>0.27874180532637083</v>
      </c>
      <c r="X20" s="106">
        <f t="shared" si="56"/>
        <v>0.20161502476240206</v>
      </c>
      <c r="Y20" s="106">
        <f t="shared" si="56"/>
        <v>2.4198340417754569E-2</v>
      </c>
      <c r="Z20" s="106">
        <f t="shared" si="56"/>
        <v>1.2533631535248038E-4</v>
      </c>
      <c r="AA20" s="106">
        <f t="shared" si="56"/>
        <v>1.1297038287206268E-2</v>
      </c>
      <c r="AB20" s="106">
        <f t="shared" si="56"/>
        <v>-5.3979545994778055E-5</v>
      </c>
      <c r="AC20" s="106">
        <f t="shared" si="56"/>
        <v>1.8732807164490865E-8</v>
      </c>
      <c r="AD20" s="106">
        <f t="shared" si="56"/>
        <v>1.3361707331592688E-3</v>
      </c>
      <c r="AE20" s="106">
        <f t="shared" si="56"/>
        <v>8.2148281859007822E-4</v>
      </c>
      <c r="AF20" s="106">
        <f t="shared" si="56"/>
        <v>1.3705713838120107E-3</v>
      </c>
      <c r="AG20" s="106">
        <f t="shared" si="56"/>
        <v>2.6189118078328981E-5</v>
      </c>
      <c r="AH20" s="106">
        <f t="shared" si="56"/>
        <v>2.163275332010444E-3</v>
      </c>
      <c r="AI20" s="210">
        <f t="shared" si="56"/>
        <v>5.0921629973890324E-3</v>
      </c>
      <c r="AK20" s="213">
        <f t="shared" si="2"/>
        <v>175.5427032074609</v>
      </c>
      <c r="AL20" s="106">
        <f t="shared" si="31"/>
        <v>68.200143517572286</v>
      </c>
      <c r="AM20" s="106">
        <f t="shared" si="32"/>
        <v>2100.6421205105926</v>
      </c>
      <c r="AN20" s="106">
        <f t="shared" si="33"/>
        <v>12.419416807033393</v>
      </c>
      <c r="AO20" s="106">
        <f t="shared" si="34"/>
        <v>1050.9429132090454</v>
      </c>
      <c r="AP20" s="106">
        <f t="shared" si="35"/>
        <v>3.1646253369979428E-2</v>
      </c>
      <c r="AQ20" s="106">
        <f t="shared" si="36"/>
        <v>38.191012455043243</v>
      </c>
      <c r="AR20" s="106">
        <f t="shared" si="37"/>
        <v>245.26201521828401</v>
      </c>
      <c r="AS20" s="106">
        <f t="shared" si="38"/>
        <v>108.18951357612181</v>
      </c>
      <c r="AT20" s="106">
        <f t="shared" si="39"/>
        <v>3623.8787815470619</v>
      </c>
      <c r="AU20" s="106">
        <f t="shared" si="40"/>
        <v>12.67642672658743</v>
      </c>
      <c r="AV20" s="106">
        <f t="shared" si="41"/>
        <v>173.8702585199253</v>
      </c>
      <c r="AW20" s="106">
        <f t="shared" si="42"/>
        <v>53.358367324360557</v>
      </c>
      <c r="AX20" s="106">
        <f t="shared" si="14"/>
        <v>10.028944094481064</v>
      </c>
      <c r="AY20" s="106">
        <f t="shared" si="15"/>
        <v>0.14906166433304546</v>
      </c>
      <c r="AZ20" s="106">
        <f t="shared" si="16"/>
        <v>99.610662476164165</v>
      </c>
      <c r="BA20" s="106">
        <f t="shared" si="17"/>
        <v>72.048777032983949</v>
      </c>
      <c r="BB20" s="106">
        <f t="shared" si="18"/>
        <v>8.6474747374689205</v>
      </c>
      <c r="BC20" s="106">
        <f t="shared" si="19"/>
        <v>4.4789956748553954E-2</v>
      </c>
      <c r="BD20" s="106">
        <f t="shared" si="20"/>
        <v>4.0370889701658461</v>
      </c>
      <c r="BE20" s="106">
        <f t="shared" si="21"/>
        <v>-1.9290031972085106E-2</v>
      </c>
      <c r="BF20" s="106">
        <f t="shared" si="22"/>
        <v>6.6943217559645849E-6</v>
      </c>
      <c r="BG20" s="106">
        <f t="shared" si="23"/>
        <v>0.47749153290952329</v>
      </c>
      <c r="BH20" s="106">
        <f t="shared" si="24"/>
        <v>0.29356359975043456</v>
      </c>
      <c r="BI20" s="106">
        <f t="shared" si="25"/>
        <v>0.48978488659975472</v>
      </c>
      <c r="BJ20" s="106">
        <f t="shared" si="26"/>
        <v>9.3588954064294967E-3</v>
      </c>
      <c r="BK20" s="106">
        <f t="shared" si="27"/>
        <v>0.77306412178682249</v>
      </c>
      <c r="BL20" s="210">
        <f t="shared" si="28"/>
        <v>1.8197260687632622</v>
      </c>
    </row>
    <row r="21" spans="2:64" x14ac:dyDescent="0.25">
      <c r="B21" s="272"/>
      <c r="C21" s="106" t="str">
        <f>Virtual!H45</f>
        <v>Network</v>
      </c>
      <c r="D21" s="106" t="s">
        <v>508</v>
      </c>
      <c r="E21" s="106">
        <f>(Virtual!$D$71+Virtual!$D$72)*Virtual!J45</f>
        <v>29.779847805610189</v>
      </c>
      <c r="F21" s="106" t="s">
        <v>105</v>
      </c>
      <c r="G21" s="106" t="str">
        <f t="shared" si="43"/>
        <v>ACLCA_raw data</v>
      </c>
      <c r="H21" s="106">
        <f t="shared" ref="H21:AI21" si="57">H6</f>
        <v>0.49122341712793732</v>
      </c>
      <c r="I21" s="106">
        <f t="shared" si="57"/>
        <v>0.19084534381201052</v>
      </c>
      <c r="J21" s="106">
        <f t="shared" si="57"/>
        <v>5.8782540187989563</v>
      </c>
      <c r="K21" s="106">
        <f t="shared" si="57"/>
        <v>3.4753414703185381E-2</v>
      </c>
      <c r="L21" s="106">
        <f t="shared" si="57"/>
        <v>2.9408671485639681</v>
      </c>
      <c r="M21" s="106">
        <f t="shared" si="57"/>
        <v>8.8556120167101812E-5</v>
      </c>
      <c r="N21" s="106">
        <f t="shared" si="57"/>
        <v>0.10687040417493472</v>
      </c>
      <c r="O21" s="106">
        <f t="shared" si="57"/>
        <v>0.68631986978590098</v>
      </c>
      <c r="P21" s="106">
        <f t="shared" si="57"/>
        <v>0.30274811533159268</v>
      </c>
      <c r="Q21" s="106">
        <f t="shared" si="57"/>
        <v>10.140746871290714</v>
      </c>
      <c r="R21" s="106">
        <f t="shared" si="57"/>
        <v>3.5472608885639696E-2</v>
      </c>
      <c r="S21" s="106">
        <f t="shared" si="57"/>
        <v>0.48654339352480419</v>
      </c>
      <c r="T21" s="106">
        <f t="shared" si="57"/>
        <v>0.14931340950391639</v>
      </c>
      <c r="U21" s="106">
        <f t="shared" si="57"/>
        <v>2.8064123989556128E-2</v>
      </c>
      <c r="V21" s="106">
        <f t="shared" si="57"/>
        <v>4.1712118349869449E-4</v>
      </c>
      <c r="W21" s="106">
        <f t="shared" si="57"/>
        <v>0.27874180532637083</v>
      </c>
      <c r="X21" s="106">
        <f t="shared" si="57"/>
        <v>0.20161502476240206</v>
      </c>
      <c r="Y21" s="106">
        <f t="shared" si="57"/>
        <v>2.4198340417754569E-2</v>
      </c>
      <c r="Z21" s="106">
        <f t="shared" si="57"/>
        <v>1.2533631535248038E-4</v>
      </c>
      <c r="AA21" s="106">
        <f t="shared" si="57"/>
        <v>1.1297038287206268E-2</v>
      </c>
      <c r="AB21" s="106">
        <f t="shared" si="57"/>
        <v>-5.3979545994778055E-5</v>
      </c>
      <c r="AC21" s="106">
        <f t="shared" si="57"/>
        <v>1.8732807164490865E-8</v>
      </c>
      <c r="AD21" s="106">
        <f t="shared" si="57"/>
        <v>1.3361707331592688E-3</v>
      </c>
      <c r="AE21" s="106">
        <f t="shared" si="57"/>
        <v>8.2148281859007822E-4</v>
      </c>
      <c r="AF21" s="106">
        <f t="shared" si="57"/>
        <v>1.3705713838120107E-3</v>
      </c>
      <c r="AG21" s="106">
        <f t="shared" si="57"/>
        <v>2.6189118078328981E-5</v>
      </c>
      <c r="AH21" s="106">
        <f t="shared" si="57"/>
        <v>2.163275332010444E-3</v>
      </c>
      <c r="AI21" s="210">
        <f t="shared" si="57"/>
        <v>5.0921629973890324E-3</v>
      </c>
      <c r="AK21" s="213">
        <f t="shared" si="2"/>
        <v>14.628558600621743</v>
      </c>
      <c r="AL21" s="106">
        <f t="shared" si="31"/>
        <v>5.6833452931310235</v>
      </c>
      <c r="AM21" s="106">
        <f t="shared" si="32"/>
        <v>175.05351004254936</v>
      </c>
      <c r="AN21" s="106">
        <f t="shared" si="33"/>
        <v>1.034951400586116</v>
      </c>
      <c r="AO21" s="106">
        <f t="shared" si="34"/>
        <v>87.578576100753779</v>
      </c>
      <c r="AP21" s="106">
        <f t="shared" si="35"/>
        <v>2.637187780831619E-3</v>
      </c>
      <c r="AQ21" s="106">
        <f t="shared" si="36"/>
        <v>3.1825843712536037</v>
      </c>
      <c r="AR21" s="106">
        <f t="shared" si="37"/>
        <v>20.438501268190333</v>
      </c>
      <c r="AS21" s="106">
        <f t="shared" si="38"/>
        <v>9.0157927980101498</v>
      </c>
      <c r="AT21" s="106">
        <f t="shared" si="39"/>
        <v>301.98989846225516</v>
      </c>
      <c r="AU21" s="106">
        <f t="shared" si="40"/>
        <v>1.0563688938822857</v>
      </c>
      <c r="AV21" s="106">
        <f t="shared" si="41"/>
        <v>14.489188209993774</v>
      </c>
      <c r="AW21" s="106">
        <f t="shared" si="42"/>
        <v>4.4465306103633804</v>
      </c>
      <c r="AX21" s="106">
        <f t="shared" si="14"/>
        <v>0.83574534120675525</v>
      </c>
      <c r="AY21" s="106">
        <f t="shared" si="15"/>
        <v>1.2421805361087121E-2</v>
      </c>
      <c r="AZ21" s="106">
        <f t="shared" si="16"/>
        <v>8.3008885396803471</v>
      </c>
      <c r="BA21" s="106">
        <f t="shared" si="17"/>
        <v>6.004064752748663</v>
      </c>
      <c r="BB21" s="106">
        <f t="shared" si="18"/>
        <v>0.72062289478907671</v>
      </c>
      <c r="BC21" s="106">
        <f t="shared" si="19"/>
        <v>3.7324963957128293E-3</v>
      </c>
      <c r="BD21" s="106">
        <f t="shared" si="20"/>
        <v>0.33642408084715386</v>
      </c>
      <c r="BE21" s="106">
        <f t="shared" si="21"/>
        <v>-1.6075026643404256E-3</v>
      </c>
      <c r="BF21" s="106">
        <f t="shared" si="22"/>
        <v>5.5786014633038207E-7</v>
      </c>
      <c r="BG21" s="106">
        <f t="shared" si="23"/>
        <v>3.9790961075793607E-2</v>
      </c>
      <c r="BH21" s="106">
        <f t="shared" si="24"/>
        <v>2.4463633312536214E-2</v>
      </c>
      <c r="BI21" s="106">
        <f t="shared" si="25"/>
        <v>4.0815407216646227E-2</v>
      </c>
      <c r="BJ21" s="106">
        <f t="shared" si="26"/>
        <v>7.7990795053579139E-4</v>
      </c>
      <c r="BK21" s="106">
        <f t="shared" si="27"/>
        <v>6.4422010148901879E-2</v>
      </c>
      <c r="BL21" s="210">
        <f t="shared" si="28"/>
        <v>0.15164383906360518</v>
      </c>
    </row>
    <row r="22" spans="2:64" x14ac:dyDescent="0.25">
      <c r="B22" s="272"/>
      <c r="C22" s="106" t="str">
        <f>Virtual!H46</f>
        <v>Storage</v>
      </c>
      <c r="D22" s="106" t="s">
        <v>508</v>
      </c>
      <c r="E22" s="106">
        <f>(Virtual!$D$71+Virtual!$D$72)*Virtual!J46</f>
        <v>119.11939122244075</v>
      </c>
      <c r="F22" s="106" t="s">
        <v>105</v>
      </c>
      <c r="G22" s="106" t="str">
        <f t="shared" si="43"/>
        <v>ACLCA_raw data</v>
      </c>
      <c r="H22" s="106">
        <f t="shared" ref="H22:AI22" si="58">H6</f>
        <v>0.49122341712793732</v>
      </c>
      <c r="I22" s="106">
        <f t="shared" si="58"/>
        <v>0.19084534381201052</v>
      </c>
      <c r="J22" s="106">
        <f t="shared" si="58"/>
        <v>5.8782540187989563</v>
      </c>
      <c r="K22" s="106">
        <f t="shared" si="58"/>
        <v>3.4753414703185381E-2</v>
      </c>
      <c r="L22" s="106">
        <f t="shared" si="58"/>
        <v>2.9408671485639681</v>
      </c>
      <c r="M22" s="106">
        <f t="shared" si="58"/>
        <v>8.8556120167101812E-5</v>
      </c>
      <c r="N22" s="106">
        <f t="shared" si="58"/>
        <v>0.10687040417493472</v>
      </c>
      <c r="O22" s="106">
        <f t="shared" si="58"/>
        <v>0.68631986978590098</v>
      </c>
      <c r="P22" s="106">
        <f t="shared" si="58"/>
        <v>0.30274811533159268</v>
      </c>
      <c r="Q22" s="106">
        <f t="shared" si="58"/>
        <v>10.140746871290714</v>
      </c>
      <c r="R22" s="106">
        <f t="shared" si="58"/>
        <v>3.5472608885639696E-2</v>
      </c>
      <c r="S22" s="106">
        <f t="shared" si="58"/>
        <v>0.48654339352480419</v>
      </c>
      <c r="T22" s="106">
        <f t="shared" si="58"/>
        <v>0.14931340950391639</v>
      </c>
      <c r="U22" s="106">
        <f t="shared" si="58"/>
        <v>2.8064123989556128E-2</v>
      </c>
      <c r="V22" s="106">
        <f t="shared" si="58"/>
        <v>4.1712118349869449E-4</v>
      </c>
      <c r="W22" s="106">
        <f t="shared" si="58"/>
        <v>0.27874180532637083</v>
      </c>
      <c r="X22" s="106">
        <f t="shared" si="58"/>
        <v>0.20161502476240206</v>
      </c>
      <c r="Y22" s="106">
        <f t="shared" si="58"/>
        <v>2.4198340417754569E-2</v>
      </c>
      <c r="Z22" s="106">
        <f t="shared" si="58"/>
        <v>1.2533631535248038E-4</v>
      </c>
      <c r="AA22" s="106">
        <f t="shared" si="58"/>
        <v>1.1297038287206268E-2</v>
      </c>
      <c r="AB22" s="106">
        <f t="shared" si="58"/>
        <v>-5.3979545994778055E-5</v>
      </c>
      <c r="AC22" s="106">
        <f t="shared" si="58"/>
        <v>1.8732807164490865E-8</v>
      </c>
      <c r="AD22" s="106">
        <f t="shared" si="58"/>
        <v>1.3361707331592688E-3</v>
      </c>
      <c r="AE22" s="106">
        <f t="shared" si="58"/>
        <v>8.2148281859007822E-4</v>
      </c>
      <c r="AF22" s="106">
        <f t="shared" si="58"/>
        <v>1.3705713838120107E-3</v>
      </c>
      <c r="AG22" s="106">
        <f t="shared" si="58"/>
        <v>2.6189118078328981E-5</v>
      </c>
      <c r="AH22" s="106">
        <f t="shared" si="58"/>
        <v>2.163275332010444E-3</v>
      </c>
      <c r="AI22" s="210">
        <f t="shared" si="58"/>
        <v>5.0921629973890324E-3</v>
      </c>
      <c r="AK22" s="213">
        <f t="shared" si="2"/>
        <v>58.51423440248697</v>
      </c>
      <c r="AL22" s="106">
        <f t="shared" si="31"/>
        <v>22.733381172524094</v>
      </c>
      <c r="AM22" s="106">
        <f t="shared" si="32"/>
        <v>700.21404017019745</v>
      </c>
      <c r="AN22" s="106">
        <f t="shared" si="33"/>
        <v>4.139805602344464</v>
      </c>
      <c r="AO22" s="106">
        <f t="shared" si="34"/>
        <v>350.31430440301511</v>
      </c>
      <c r="AP22" s="106">
        <f t="shared" si="35"/>
        <v>1.0548751123326476E-2</v>
      </c>
      <c r="AQ22" s="106">
        <f t="shared" si="36"/>
        <v>12.730337485014415</v>
      </c>
      <c r="AR22" s="106">
        <f t="shared" si="37"/>
        <v>81.754005072761331</v>
      </c>
      <c r="AS22" s="106">
        <f t="shared" si="38"/>
        <v>36.063171192040599</v>
      </c>
      <c r="AT22" s="106">
        <f t="shared" si="39"/>
        <v>1207.9595938490206</v>
      </c>
      <c r="AU22" s="106">
        <f t="shared" si="40"/>
        <v>4.2254755755291429</v>
      </c>
      <c r="AV22" s="106">
        <f t="shared" si="41"/>
        <v>57.956752839975096</v>
      </c>
      <c r="AW22" s="106">
        <f t="shared" si="42"/>
        <v>17.786122441453522</v>
      </c>
      <c r="AX22" s="106">
        <f t="shared" si="14"/>
        <v>3.342981364827021</v>
      </c>
      <c r="AY22" s="106">
        <f t="shared" si="15"/>
        <v>4.9687221444348485E-2</v>
      </c>
      <c r="AZ22" s="106">
        <f t="shared" si="16"/>
        <v>33.203554158721388</v>
      </c>
      <c r="BA22" s="106">
        <f t="shared" si="17"/>
        <v>24.016259010994652</v>
      </c>
      <c r="BB22" s="106">
        <f t="shared" si="18"/>
        <v>2.8824915791563068</v>
      </c>
      <c r="BC22" s="106">
        <f t="shared" si="19"/>
        <v>1.4929985582851317E-2</v>
      </c>
      <c r="BD22" s="106">
        <f t="shared" si="20"/>
        <v>1.3456963233886154</v>
      </c>
      <c r="BE22" s="106">
        <f t="shared" si="21"/>
        <v>-6.4300106573617023E-3</v>
      </c>
      <c r="BF22" s="106">
        <f t="shared" si="22"/>
        <v>2.2314405853215283E-6</v>
      </c>
      <c r="BG22" s="106">
        <f t="shared" si="23"/>
        <v>0.15916384430317443</v>
      </c>
      <c r="BH22" s="106">
        <f t="shared" si="24"/>
        <v>9.7854533250144857E-2</v>
      </c>
      <c r="BI22" s="106">
        <f t="shared" si="25"/>
        <v>0.16326162886658491</v>
      </c>
      <c r="BJ22" s="106">
        <f t="shared" si="26"/>
        <v>3.1196318021431656E-3</v>
      </c>
      <c r="BK22" s="106">
        <f t="shared" si="27"/>
        <v>0.25768804059560751</v>
      </c>
      <c r="BL22" s="210">
        <f t="shared" si="28"/>
        <v>0.60657535625442072</v>
      </c>
    </row>
    <row r="23" spans="2:64" x14ac:dyDescent="0.25">
      <c r="B23" s="272"/>
      <c r="C23" s="106" t="str">
        <f>Virtual!H47</f>
        <v>Server</v>
      </c>
      <c r="D23" s="106" t="s">
        <v>508</v>
      </c>
      <c r="E23" s="106">
        <f>(Virtual!$D$71+Virtual!$D$72)*Virtual!J47</f>
        <v>573.26207025799613</v>
      </c>
      <c r="F23" s="106" t="s">
        <v>105</v>
      </c>
      <c r="G23" s="106" t="str">
        <f t="shared" si="43"/>
        <v>ACLCA_raw data</v>
      </c>
      <c r="H23" s="106">
        <f t="shared" ref="H23:AI23" si="59">H6</f>
        <v>0.49122341712793732</v>
      </c>
      <c r="I23" s="106">
        <f t="shared" si="59"/>
        <v>0.19084534381201052</v>
      </c>
      <c r="J23" s="106">
        <f t="shared" si="59"/>
        <v>5.8782540187989563</v>
      </c>
      <c r="K23" s="106">
        <f t="shared" si="59"/>
        <v>3.4753414703185381E-2</v>
      </c>
      <c r="L23" s="106">
        <f t="shared" si="59"/>
        <v>2.9408671485639681</v>
      </c>
      <c r="M23" s="106">
        <f t="shared" si="59"/>
        <v>8.8556120167101812E-5</v>
      </c>
      <c r="N23" s="106">
        <f t="shared" si="59"/>
        <v>0.10687040417493472</v>
      </c>
      <c r="O23" s="106">
        <f t="shared" si="59"/>
        <v>0.68631986978590098</v>
      </c>
      <c r="P23" s="106">
        <f t="shared" si="59"/>
        <v>0.30274811533159268</v>
      </c>
      <c r="Q23" s="106">
        <f t="shared" si="59"/>
        <v>10.140746871290714</v>
      </c>
      <c r="R23" s="106">
        <f t="shared" si="59"/>
        <v>3.5472608885639696E-2</v>
      </c>
      <c r="S23" s="106">
        <f t="shared" si="59"/>
        <v>0.48654339352480419</v>
      </c>
      <c r="T23" s="106">
        <f t="shared" si="59"/>
        <v>0.14931340950391639</v>
      </c>
      <c r="U23" s="106">
        <f t="shared" si="59"/>
        <v>2.8064123989556128E-2</v>
      </c>
      <c r="V23" s="106">
        <f t="shared" si="59"/>
        <v>4.1712118349869449E-4</v>
      </c>
      <c r="W23" s="106">
        <f t="shared" si="59"/>
        <v>0.27874180532637083</v>
      </c>
      <c r="X23" s="106">
        <f t="shared" si="59"/>
        <v>0.20161502476240206</v>
      </c>
      <c r="Y23" s="106">
        <f t="shared" si="59"/>
        <v>2.4198340417754569E-2</v>
      </c>
      <c r="Z23" s="106">
        <f t="shared" si="59"/>
        <v>1.2533631535248038E-4</v>
      </c>
      <c r="AA23" s="106">
        <f t="shared" si="59"/>
        <v>1.1297038287206268E-2</v>
      </c>
      <c r="AB23" s="106">
        <f t="shared" si="59"/>
        <v>-5.3979545994778055E-5</v>
      </c>
      <c r="AC23" s="106">
        <f t="shared" si="59"/>
        <v>1.8732807164490865E-8</v>
      </c>
      <c r="AD23" s="106">
        <f t="shared" si="59"/>
        <v>1.3361707331592688E-3</v>
      </c>
      <c r="AE23" s="106">
        <f t="shared" si="59"/>
        <v>8.2148281859007822E-4</v>
      </c>
      <c r="AF23" s="106">
        <f t="shared" si="59"/>
        <v>1.3705713838120107E-3</v>
      </c>
      <c r="AG23" s="106">
        <f t="shared" si="59"/>
        <v>2.6189118078328981E-5</v>
      </c>
      <c r="AH23" s="106">
        <f t="shared" si="59"/>
        <v>2.163275332010444E-3</v>
      </c>
      <c r="AI23" s="210">
        <f t="shared" si="59"/>
        <v>5.0921629973890324E-3</v>
      </c>
      <c r="AK23" s="211">
        <f t="shared" si="2"/>
        <v>281.59975306196856</v>
      </c>
      <c r="AL23" s="187">
        <f t="shared" si="31"/>
        <v>109.4043968927722</v>
      </c>
      <c r="AM23" s="187">
        <f t="shared" si="32"/>
        <v>3369.7800683190753</v>
      </c>
      <c r="AN23" s="187">
        <f t="shared" si="33"/>
        <v>19.922814461282734</v>
      </c>
      <c r="AO23" s="187">
        <f t="shared" si="34"/>
        <v>1685.8875899395102</v>
      </c>
      <c r="AP23" s="187">
        <f t="shared" si="35"/>
        <v>5.0765864781008668E-2</v>
      </c>
      <c r="AQ23" s="187">
        <f t="shared" si="36"/>
        <v>61.264749146631871</v>
      </c>
      <c r="AR23" s="187">
        <f t="shared" si="37"/>
        <v>393.44114941266395</v>
      </c>
      <c r="AS23" s="187">
        <f t="shared" si="38"/>
        <v>173.55401136169539</v>
      </c>
      <c r="AT23" s="187">
        <f t="shared" si="39"/>
        <v>5813.3055453984116</v>
      </c>
      <c r="AU23" s="187">
        <f t="shared" si="40"/>
        <v>20.335101207234</v>
      </c>
      <c r="AV23" s="187">
        <f t="shared" si="41"/>
        <v>278.91687304238013</v>
      </c>
      <c r="AW23" s="187">
        <f t="shared" si="42"/>
        <v>85.59571424949506</v>
      </c>
      <c r="AX23" s="187">
        <f t="shared" si="14"/>
        <v>16.08809781823004</v>
      </c>
      <c r="AY23" s="187">
        <f t="shared" si="15"/>
        <v>0.2391197532009271</v>
      </c>
      <c r="AZ23" s="187">
        <f t="shared" si="16"/>
        <v>159.79210438884667</v>
      </c>
      <c r="BA23" s="187">
        <f t="shared" si="17"/>
        <v>115.57824649041176</v>
      </c>
      <c r="BB23" s="187">
        <f t="shared" si="18"/>
        <v>13.871990724689727</v>
      </c>
      <c r="BC23" s="187">
        <f t="shared" si="19"/>
        <v>7.1850555617471973E-2</v>
      </c>
      <c r="BD23" s="187">
        <f t="shared" si="20"/>
        <v>6.4761635563077116</v>
      </c>
      <c r="BE23" s="187">
        <f t="shared" si="21"/>
        <v>-3.0944426288553192E-2</v>
      </c>
      <c r="BF23" s="187">
        <f t="shared" si="22"/>
        <v>1.0738807816859855E-5</v>
      </c>
      <c r="BG23" s="187">
        <f t="shared" si="23"/>
        <v>0.76597600070902694</v>
      </c>
      <c r="BH23" s="187">
        <f t="shared" si="24"/>
        <v>0.47092494126632212</v>
      </c>
      <c r="BI23" s="187">
        <f t="shared" si="25"/>
        <v>0.78569658892043992</v>
      </c>
      <c r="BJ23" s="187">
        <f t="shared" si="26"/>
        <v>1.5013228047813985E-2</v>
      </c>
      <c r="BK23" s="187">
        <f t="shared" si="27"/>
        <v>1.240123695366361</v>
      </c>
      <c r="BL23" s="212">
        <f t="shared" si="28"/>
        <v>2.9191439019743997</v>
      </c>
    </row>
    <row r="24" spans="2:64" x14ac:dyDescent="0.25">
      <c r="B24" s="211"/>
      <c r="C24" s="187"/>
      <c r="D24" s="187"/>
      <c r="E24" s="187"/>
      <c r="F24" s="187" t="s">
        <v>264</v>
      </c>
      <c r="G24" s="187"/>
      <c r="H24" s="187">
        <f t="shared" ref="H24:AI24" si="60">SUMPRODUCT($E$3:$E$23,H3:H23)</f>
        <v>3124.0947987524173</v>
      </c>
      <c r="I24" s="187">
        <f t="shared" si="60"/>
        <v>1191.3892477194884</v>
      </c>
      <c r="J24" s="187">
        <f t="shared" si="60"/>
        <v>37178.650949730603</v>
      </c>
      <c r="K24" s="187">
        <f t="shared" si="60"/>
        <v>207.30898262081664</v>
      </c>
      <c r="L24" s="187">
        <f t="shared" si="60"/>
        <v>17460.976347691361</v>
      </c>
      <c r="M24" s="187">
        <f t="shared" si="60"/>
        <v>0.62932406696300514</v>
      </c>
      <c r="N24" s="187">
        <f t="shared" si="60"/>
        <v>619.65798648749626</v>
      </c>
      <c r="O24" s="187">
        <f t="shared" si="60"/>
        <v>4193.0811615644407</v>
      </c>
      <c r="P24" s="187">
        <f t="shared" si="60"/>
        <v>1801.9437998923761</v>
      </c>
      <c r="Q24" s="187">
        <f t="shared" si="60"/>
        <v>62653.63779977354</v>
      </c>
      <c r="R24" s="187">
        <f t="shared" si="60"/>
        <v>224.12071362863711</v>
      </c>
      <c r="S24" s="187">
        <f t="shared" si="60"/>
        <v>3091.5592249043461</v>
      </c>
      <c r="T24" s="187">
        <f t="shared" si="60"/>
        <v>942.08361569338285</v>
      </c>
      <c r="U24" s="187">
        <f t="shared" si="60"/>
        <v>242.26641734029715</v>
      </c>
      <c r="V24" s="187">
        <f t="shared" si="60"/>
        <v>2.7199368641906507</v>
      </c>
      <c r="W24" s="187">
        <f t="shared" si="60"/>
        <v>2011.6925331980908</v>
      </c>
      <c r="X24" s="187">
        <f t="shared" si="60"/>
        <v>1195.809768618356</v>
      </c>
      <c r="Y24" s="187">
        <f t="shared" si="60"/>
        <v>210.86106651577015</v>
      </c>
      <c r="Z24" s="187">
        <f t="shared" si="60"/>
        <v>0.93385631550099735</v>
      </c>
      <c r="AA24" s="187">
        <f t="shared" si="60"/>
        <v>226.59341410790222</v>
      </c>
      <c r="AB24" s="187">
        <f t="shared" si="60"/>
        <v>-0.35082300794886856</v>
      </c>
      <c r="AC24" s="187">
        <f t="shared" si="60"/>
        <v>1.2770501458737258E-4</v>
      </c>
      <c r="AD24" s="187">
        <f t="shared" si="60"/>
        <v>8.5472776809777482</v>
      </c>
      <c r="AE24" s="187">
        <f t="shared" si="60"/>
        <v>5.8114572854286077</v>
      </c>
      <c r="AF24" s="187">
        <f t="shared" si="60"/>
        <v>9.2499201203093282</v>
      </c>
      <c r="AG24" s="187">
        <f t="shared" si="60"/>
        <v>0.21219435015742208</v>
      </c>
      <c r="AH24" s="187">
        <f t="shared" si="60"/>
        <v>15.6294378756036</v>
      </c>
      <c r="AI24" s="212">
        <f t="shared" si="60"/>
        <v>32.030989250085973</v>
      </c>
      <c r="AK24" s="137"/>
      <c r="AL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</row>
    <row r="25" spans="2:64" x14ac:dyDescent="0.25"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</row>
    <row r="26" spans="2:64" x14ac:dyDescent="0.25">
      <c r="AK26" s="207" t="str">
        <f>AK2</f>
        <v>GWP</v>
      </c>
      <c r="AL26" s="208" t="str">
        <f t="shared" ref="AL26:BL26" si="61">AL2</f>
        <v>biomass</v>
      </c>
      <c r="AM26" s="208" t="str">
        <f t="shared" si="61"/>
        <v>fossil</v>
      </c>
      <c r="AN26" s="208" t="str">
        <f t="shared" si="61"/>
        <v>geothermal</v>
      </c>
      <c r="AO26" s="208" t="str">
        <f t="shared" si="61"/>
        <v>nuclear</v>
      </c>
      <c r="AP26" s="208" t="str">
        <f t="shared" si="61"/>
        <v>primary forest</v>
      </c>
      <c r="AQ26" s="208" t="str">
        <f t="shared" si="61"/>
        <v>solar</v>
      </c>
      <c r="AR26" s="208" t="str">
        <f t="shared" si="61"/>
        <v>water</v>
      </c>
      <c r="AS26" s="208" t="str">
        <f t="shared" si="61"/>
        <v>wind</v>
      </c>
      <c r="AT26" s="208" t="str">
        <f t="shared" si="61"/>
        <v>CED</v>
      </c>
      <c r="AU26" s="208" t="str">
        <f t="shared" si="61"/>
        <v>ALOP</v>
      </c>
      <c r="AV26" s="208" t="str">
        <f t="shared" si="61"/>
        <v>GWP100</v>
      </c>
      <c r="AW26" s="208" t="str">
        <f t="shared" si="61"/>
        <v>FDP</v>
      </c>
      <c r="AX26" s="208" t="str">
        <f t="shared" si="61"/>
        <v>FETPinf</v>
      </c>
      <c r="AY26" s="208" t="str">
        <f t="shared" si="61"/>
        <v>FEP</v>
      </c>
      <c r="AZ26" s="208" t="str">
        <f t="shared" si="61"/>
        <v>HTPinf</v>
      </c>
      <c r="BA26" s="208" t="str">
        <f t="shared" si="61"/>
        <v>IRP_HE</v>
      </c>
      <c r="BB26" s="208" t="str">
        <f t="shared" si="61"/>
        <v>METPinf</v>
      </c>
      <c r="BC26" s="208" t="str">
        <f t="shared" si="61"/>
        <v>MEP</v>
      </c>
      <c r="BD26" s="208" t="str">
        <f t="shared" si="61"/>
        <v>MDP</v>
      </c>
      <c r="BE26" s="208" t="str">
        <f t="shared" si="61"/>
        <v>NLTP</v>
      </c>
      <c r="BF26" s="208" t="str">
        <f t="shared" si="61"/>
        <v>ODPinf</v>
      </c>
      <c r="BG26" s="208" t="str">
        <f t="shared" si="61"/>
        <v>PMFP</v>
      </c>
      <c r="BH26" s="208" t="str">
        <f t="shared" si="61"/>
        <v>POFP</v>
      </c>
      <c r="BI26" s="208" t="str">
        <f t="shared" si="61"/>
        <v>TAP100</v>
      </c>
      <c r="BJ26" s="208" t="str">
        <f t="shared" si="61"/>
        <v>TETPinf</v>
      </c>
      <c r="BK26" s="208" t="str">
        <f t="shared" si="61"/>
        <v>ULOP</v>
      </c>
      <c r="BL26" s="209" t="str">
        <f t="shared" si="61"/>
        <v>WDP</v>
      </c>
    </row>
    <row r="27" spans="2:64" x14ac:dyDescent="0.25">
      <c r="B27" s="207"/>
      <c r="C27" s="208"/>
      <c r="D27" s="208" t="s">
        <v>520</v>
      </c>
      <c r="E27" s="208">
        <v>1</v>
      </c>
      <c r="F27" s="208" t="s">
        <v>357</v>
      </c>
      <c r="G27" s="208"/>
      <c r="H27" s="208">
        <f>H24/'ACLCA_raw data'!$J$3</f>
        <v>5.8285350722992861</v>
      </c>
      <c r="I27" s="208">
        <f>I24/'ACLCA_raw data'!$J$3</f>
        <v>2.2227411338050156</v>
      </c>
      <c r="J27" s="208">
        <f>J24/'ACLCA_raw data'!$J$3</f>
        <v>69.363154756960085</v>
      </c>
      <c r="K27" s="208">
        <f>K24/'ACLCA_raw data'!$J$3</f>
        <v>0.38677048996421015</v>
      </c>
      <c r="L27" s="208">
        <f>L24/'ACLCA_raw data'!$J$3</f>
        <v>32.576448409871944</v>
      </c>
      <c r="M27" s="208">
        <f>M24/'ACLCA_raw data'!$J$3</f>
        <v>1.1741120652294871E-3</v>
      </c>
      <c r="N27" s="208">
        <f>N24/'ACLCA_raw data'!$J$3</f>
        <v>1.1560783329990603</v>
      </c>
      <c r="O27" s="208">
        <f>O24/'ACLCA_raw data'!$J$3</f>
        <v>7.8229126148590309</v>
      </c>
      <c r="P27" s="208">
        <f>P24/'ACLCA_raw data'!$J$3</f>
        <v>3.3618354475604031</v>
      </c>
      <c r="Q27" s="208">
        <f>Q24/'ACLCA_raw data'!$J$3</f>
        <v>116.89111529808497</v>
      </c>
      <c r="R27" s="208">
        <f>R24/'ACLCA_raw data'!$J$3</f>
        <v>0.41813565975491995</v>
      </c>
      <c r="S27" s="208">
        <f>S24/'ACLCA_raw data'!$J$3</f>
        <v>5.7678343748215415</v>
      </c>
      <c r="T27" s="208">
        <f>T24/'ACLCA_raw data'!$J$3</f>
        <v>1.7576186859951173</v>
      </c>
      <c r="U27" s="208">
        <f>U24/'ACLCA_raw data'!$J$3</f>
        <v>0.45198958459010663</v>
      </c>
      <c r="V27" s="208">
        <f>V24/'ACLCA_raw data'!$J$3</f>
        <v>5.0745090749825571E-3</v>
      </c>
      <c r="W27" s="208">
        <f>W24/'ACLCA_raw data'!$J$3</f>
        <v>3.7531577111904681</v>
      </c>
      <c r="X27" s="208">
        <f>X24/'ACLCA_raw data'!$J$3</f>
        <v>2.2309883742879775</v>
      </c>
      <c r="Y27" s="208">
        <f>Y24/'ACLCA_raw data'!$J$3</f>
        <v>0.3933975121562876</v>
      </c>
      <c r="Z27" s="208">
        <f>Z24/'ACLCA_raw data'!$J$3</f>
        <v>1.7422692453376817E-3</v>
      </c>
      <c r="AA27" s="208">
        <f>AA24/'ACLCA_raw data'!$J$3</f>
        <v>0.42274890691772804</v>
      </c>
      <c r="AB27" s="208">
        <f>AB24/'ACLCA_raw data'!$J$3</f>
        <v>-6.5452053721803841E-4</v>
      </c>
      <c r="AC27" s="208">
        <f>AC24/'ACLCA_raw data'!$J$3</f>
        <v>2.3825562423017273E-7</v>
      </c>
      <c r="AD27" s="208">
        <f>AD24/'ACLCA_raw data'!$J$3</f>
        <v>1.5946413583913709E-2</v>
      </c>
      <c r="AE27" s="208">
        <f>AE24/'ACLCA_raw data'!$J$3</f>
        <v>1.0842271054904118E-2</v>
      </c>
      <c r="AF27" s="208">
        <f>AF24/'ACLCA_raw data'!$J$3</f>
        <v>1.7257313657293522E-2</v>
      </c>
      <c r="AG27" s="208">
        <f>AG24/'ACLCA_raw data'!$J$3</f>
        <v>3.9588498163698149E-4</v>
      </c>
      <c r="AH27" s="208">
        <f>AH24/'ACLCA_raw data'!$J$3</f>
        <v>2.9159399021648508E-2</v>
      </c>
      <c r="AI27" s="209">
        <f>AI24/'ACLCA_raw data'!$J$3</f>
        <v>5.9759308302399207E-2</v>
      </c>
      <c r="AK27" s="213">
        <f>$E27*H27</f>
        <v>5.8285350722992861</v>
      </c>
      <c r="AL27" s="106">
        <f t="shared" ref="AL27:AL34" si="62">$E27*I27</f>
        <v>2.2227411338050156</v>
      </c>
      <c r="AM27" s="106">
        <f t="shared" ref="AM27:AM34" si="63">$E27*J27</f>
        <v>69.363154756960085</v>
      </c>
      <c r="AN27" s="106">
        <f t="shared" ref="AN27:AN34" si="64">$E27*K27</f>
        <v>0.38677048996421015</v>
      </c>
      <c r="AO27" s="106">
        <f t="shared" ref="AO27:AO34" si="65">$E27*L27</f>
        <v>32.576448409871944</v>
      </c>
      <c r="AP27" s="106">
        <f t="shared" ref="AP27:AP34" si="66">$E27*M27</f>
        <v>1.1741120652294871E-3</v>
      </c>
      <c r="AQ27" s="106">
        <f t="shared" ref="AQ27:AQ34" si="67">$E27*N27</f>
        <v>1.1560783329990603</v>
      </c>
      <c r="AR27" s="106">
        <f t="shared" ref="AR27:AR34" si="68">$E27*O27</f>
        <v>7.8229126148590309</v>
      </c>
      <c r="AS27" s="106">
        <f t="shared" ref="AS27:AS34" si="69">$E27*P27</f>
        <v>3.3618354475604031</v>
      </c>
      <c r="AT27" s="106">
        <f t="shared" ref="AT27:AT34" si="70">$E27*Q27</f>
        <v>116.89111529808497</v>
      </c>
      <c r="AU27" s="106">
        <f t="shared" ref="AU27:AU34" si="71">$E27*R27</f>
        <v>0.41813565975491995</v>
      </c>
      <c r="AV27" s="106">
        <f t="shared" ref="AV27:AV34" si="72">$E27*S27</f>
        <v>5.7678343748215415</v>
      </c>
      <c r="AW27" s="106">
        <f t="shared" ref="AW27:AW34" si="73">$E27*T27</f>
        <v>1.7576186859951173</v>
      </c>
      <c r="AX27" s="106">
        <f t="shared" ref="AX27:AX34" si="74">$E27*U27</f>
        <v>0.45198958459010663</v>
      </c>
      <c r="AY27" s="106">
        <f t="shared" ref="AY27:AY34" si="75">$E27*V27</f>
        <v>5.0745090749825571E-3</v>
      </c>
      <c r="AZ27" s="106">
        <f t="shared" ref="AZ27:AZ34" si="76">$E27*W27</f>
        <v>3.7531577111904681</v>
      </c>
      <c r="BA27" s="106">
        <f t="shared" ref="BA27:BA34" si="77">$E27*X27</f>
        <v>2.2309883742879775</v>
      </c>
      <c r="BB27" s="106">
        <f t="shared" ref="BB27:BB34" si="78">$E27*Y27</f>
        <v>0.3933975121562876</v>
      </c>
      <c r="BC27" s="106">
        <f t="shared" ref="BC27:BC34" si="79">$E27*Z27</f>
        <v>1.7422692453376817E-3</v>
      </c>
      <c r="BD27" s="106">
        <f t="shared" ref="BD27:BD34" si="80">$E27*AA27</f>
        <v>0.42274890691772804</v>
      </c>
      <c r="BE27" s="106">
        <f t="shared" ref="BE27:BE34" si="81">$E27*AB27</f>
        <v>-6.5452053721803841E-4</v>
      </c>
      <c r="BF27" s="106">
        <f t="shared" ref="BF27:BF34" si="82">$E27*AC27</f>
        <v>2.3825562423017273E-7</v>
      </c>
      <c r="BG27" s="106">
        <f t="shared" ref="BG27:BG34" si="83">$E27*AD27</f>
        <v>1.5946413583913709E-2</v>
      </c>
      <c r="BH27" s="106">
        <f t="shared" ref="BH27:BH34" si="84">$E27*AE27</f>
        <v>1.0842271054904118E-2</v>
      </c>
      <c r="BI27" s="106">
        <f t="shared" ref="BI27:BI34" si="85">$E27*AF27</f>
        <v>1.7257313657293522E-2</v>
      </c>
      <c r="BJ27" s="106">
        <f t="shared" ref="BJ27:BJ34" si="86">$E27*AG27</f>
        <v>3.9588498163698149E-4</v>
      </c>
      <c r="BK27" s="106">
        <f t="shared" ref="BK27:BK34" si="87">$E27*AH27</f>
        <v>2.9159399021648508E-2</v>
      </c>
      <c r="BL27" s="210">
        <f t="shared" ref="BL27:BL34" si="88">$E27*AI27</f>
        <v>5.9759308302399207E-2</v>
      </c>
    </row>
    <row r="28" spans="2:64" x14ac:dyDescent="0.25">
      <c r="B28" s="272" t="str">
        <f>'1_hub_LCIA'!B3</f>
        <v>Guest home</v>
      </c>
      <c r="C28" s="106" t="str">
        <f>'1_hub_LCIA'!C3</f>
        <v>Waste treatment</v>
      </c>
      <c r="D28" s="106" t="str">
        <f>'1_hub_LCIA'!D3</f>
        <v>Waste treatment for guest home</v>
      </c>
      <c r="E28" s="106">
        <f>3*Virtual_SA!F7</f>
        <v>2.4000000000000004</v>
      </c>
      <c r="F28" s="106" t="str">
        <f>'1_hub_LCIA'!F3</f>
        <v>per capita per day</v>
      </c>
      <c r="G28" s="106" t="str">
        <f>'1_hub_LCIA'!G3</f>
        <v>Waste_LCIA</v>
      </c>
      <c r="H28" s="106">
        <f>'1_hub_LCIA'!H3</f>
        <v>0.92137367923984315</v>
      </c>
      <c r="I28" s="106">
        <f>'1_hub_LCIA'!I3</f>
        <v>7.4150227088990864E-3</v>
      </c>
      <c r="J28" s="106">
        <f>'1_hub_LCIA'!J3</f>
        <v>1.2129314758971097</v>
      </c>
      <c r="K28" s="106">
        <f>'1_hub_LCIA'!K3</f>
        <v>3.4262562692058824E-4</v>
      </c>
      <c r="L28" s="106">
        <f>'1_hub_LCIA'!L3</f>
        <v>2.4021971009863689E-2</v>
      </c>
      <c r="M28" s="106">
        <f>'1_hub_LCIA'!M3</f>
        <v>1.7873447109388084E-5</v>
      </c>
      <c r="N28" s="106">
        <f>'1_hub_LCIA'!N3</f>
        <v>4.2672508138697792E-4</v>
      </c>
      <c r="O28" s="106">
        <f>'1_hub_LCIA'!O3</f>
        <v>1.1288628297498077E-2</v>
      </c>
      <c r="P28" s="106">
        <f>'1_hub_LCIA'!P3</f>
        <v>2.6948629762521352E-3</v>
      </c>
      <c r="Q28" s="106">
        <f>'1_hub_LCIA'!Q3</f>
        <v>1.25913918504504</v>
      </c>
      <c r="R28" s="106">
        <f>'1_hub_LCIA'!R3</f>
        <v>2.7132474415289547E-3</v>
      </c>
      <c r="S28" s="106">
        <f>'1_hub_LCIA'!S3</f>
        <v>0.78474574403342623</v>
      </c>
      <c r="T28" s="106">
        <f>'1_hub_LCIA'!T3</f>
        <v>2.8470261638007841E-2</v>
      </c>
      <c r="U28" s="106">
        <f>'1_hub_LCIA'!U3</f>
        <v>6.6251684209978234E-2</v>
      </c>
      <c r="V28" s="106">
        <f>'1_hub_LCIA'!V3</f>
        <v>5.0359345409850282E-5</v>
      </c>
      <c r="W28" s="106">
        <f>'1_hub_LCIA'!W3</f>
        <v>0.21849105035983196</v>
      </c>
      <c r="X28" s="106">
        <f>'1_hub_LCIA'!X3</f>
        <v>5.2985656210469906E-3</v>
      </c>
      <c r="Y28" s="106">
        <f>'1_hub_LCIA'!Y3</f>
        <v>5.7447430559831557E-2</v>
      </c>
      <c r="Z28" s="106">
        <f>'1_hub_LCIA'!Z3</f>
        <v>3.4569733566296012E-3</v>
      </c>
      <c r="AA28" s="106">
        <f>'1_hub_LCIA'!AA3</f>
        <v>1.9033977066202233E-3</v>
      </c>
      <c r="AB28" s="106">
        <f>'1_hub_LCIA'!AB3</f>
        <v>-7.6088010348561488E-6</v>
      </c>
      <c r="AC28" s="106">
        <f>'1_hub_LCIA'!AC3</f>
        <v>1.2305274251532301E-8</v>
      </c>
      <c r="AD28" s="106">
        <f>'1_hub_LCIA'!AD3</f>
        <v>2.3365090367886924E-4</v>
      </c>
      <c r="AE28" s="106">
        <f>'1_hub_LCIA'!AE3</f>
        <v>3.0384008492186092E-3</v>
      </c>
      <c r="AF28" s="106">
        <f>'1_hub_LCIA'!AF3</f>
        <v>5.26011269350906E-4</v>
      </c>
      <c r="AG28" s="106">
        <f>'1_hub_LCIA'!AG3</f>
        <v>3.0102712436936056E-5</v>
      </c>
      <c r="AH28" s="106">
        <f>'1_hub_LCIA'!AH3</f>
        <v>4.8592448613655088E-3</v>
      </c>
      <c r="AI28" s="210">
        <f>'1_hub_LCIA'!AI3</f>
        <v>7.5341690340503082E-4</v>
      </c>
      <c r="AK28" s="213">
        <f t="shared" si="2"/>
        <v>2.2112968301756237</v>
      </c>
      <c r="AL28" s="106">
        <f t="shared" si="62"/>
        <v>1.7796054501357812E-2</v>
      </c>
      <c r="AM28" s="106">
        <f t="shared" si="63"/>
        <v>2.9110355421530638</v>
      </c>
      <c r="AN28" s="106">
        <f t="shared" si="64"/>
        <v>8.2230150460941187E-4</v>
      </c>
      <c r="AO28" s="106">
        <f t="shared" si="65"/>
        <v>5.765273042367286E-2</v>
      </c>
      <c r="AP28" s="106">
        <f t="shared" si="66"/>
        <v>4.2896273062531405E-5</v>
      </c>
      <c r="AQ28" s="106">
        <f t="shared" si="67"/>
        <v>1.0241401953287471E-3</v>
      </c>
      <c r="AR28" s="106">
        <f t="shared" si="68"/>
        <v>2.7092707913995387E-2</v>
      </c>
      <c r="AS28" s="106">
        <f t="shared" si="69"/>
        <v>6.4676711430051255E-3</v>
      </c>
      <c r="AT28" s="106">
        <f t="shared" si="70"/>
        <v>3.0219340441080962</v>
      </c>
      <c r="AU28" s="106">
        <f t="shared" si="71"/>
        <v>6.5117938596694919E-3</v>
      </c>
      <c r="AV28" s="106">
        <f t="shared" si="72"/>
        <v>1.8833897856802233</v>
      </c>
      <c r="AW28" s="106">
        <f t="shared" si="73"/>
        <v>6.8328627931218827E-2</v>
      </c>
      <c r="AX28" s="106">
        <f t="shared" si="74"/>
        <v>0.15900404210394778</v>
      </c>
      <c r="AY28" s="106">
        <f t="shared" si="75"/>
        <v>1.2086242898364069E-4</v>
      </c>
      <c r="AZ28" s="106">
        <f t="shared" si="76"/>
        <v>0.52437852086359682</v>
      </c>
      <c r="BA28" s="106">
        <f t="shared" si="77"/>
        <v>1.271655749051278E-2</v>
      </c>
      <c r="BB28" s="106">
        <f t="shared" si="78"/>
        <v>0.13787383334359576</v>
      </c>
      <c r="BC28" s="106">
        <f t="shared" si="79"/>
        <v>8.2967360559110439E-3</v>
      </c>
      <c r="BD28" s="106">
        <f t="shared" si="80"/>
        <v>4.5681544958885364E-3</v>
      </c>
      <c r="BE28" s="106">
        <f t="shared" si="81"/>
        <v>-1.826112248365476E-5</v>
      </c>
      <c r="BF28" s="106">
        <f t="shared" si="82"/>
        <v>2.9532658203677527E-8</v>
      </c>
      <c r="BG28" s="106">
        <f t="shared" si="83"/>
        <v>5.6076216882928629E-4</v>
      </c>
      <c r="BH28" s="106">
        <f t="shared" si="84"/>
        <v>7.2921620381246628E-3</v>
      </c>
      <c r="BI28" s="106">
        <f t="shared" si="85"/>
        <v>1.2624270464421745E-3</v>
      </c>
      <c r="BJ28" s="106">
        <f t="shared" si="86"/>
        <v>7.224650984864655E-5</v>
      </c>
      <c r="BK28" s="106">
        <f t="shared" si="87"/>
        <v>1.1662187667277222E-2</v>
      </c>
      <c r="BL28" s="210">
        <f t="shared" si="88"/>
        <v>1.8082005681720743E-3</v>
      </c>
    </row>
    <row r="29" spans="2:64" x14ac:dyDescent="0.25">
      <c r="B29" s="272"/>
      <c r="C29" s="106" t="str">
        <f>'1_hub_LCIA'!C4</f>
        <v>Electricity use</v>
      </c>
      <c r="D29" s="106" t="str">
        <f>D6</f>
        <v>market for electricity, low voltage, average</v>
      </c>
      <c r="E29" s="106">
        <f>'1_hub_LCIA'!E4*Virtual_SA!F7</f>
        <v>28.846027397260276</v>
      </c>
      <c r="F29" s="106" t="str">
        <f>'1_hub_LCIA'!F4</f>
        <v>kWh</v>
      </c>
      <c r="G29" s="106" t="str">
        <f t="shared" ref="G29:AI29" si="89">G6</f>
        <v>ACLCA_raw data</v>
      </c>
      <c r="H29" s="106">
        <f t="shared" si="89"/>
        <v>0.49122341712793732</v>
      </c>
      <c r="I29" s="106">
        <f t="shared" si="89"/>
        <v>0.19084534381201052</v>
      </c>
      <c r="J29" s="106">
        <f t="shared" si="89"/>
        <v>5.8782540187989563</v>
      </c>
      <c r="K29" s="106">
        <f t="shared" si="89"/>
        <v>3.4753414703185381E-2</v>
      </c>
      <c r="L29" s="106">
        <f t="shared" si="89"/>
        <v>2.9408671485639681</v>
      </c>
      <c r="M29" s="106">
        <f t="shared" si="89"/>
        <v>8.8556120167101812E-5</v>
      </c>
      <c r="N29" s="106">
        <f t="shared" si="89"/>
        <v>0.10687040417493472</v>
      </c>
      <c r="O29" s="106">
        <f t="shared" si="89"/>
        <v>0.68631986978590098</v>
      </c>
      <c r="P29" s="106">
        <f t="shared" si="89"/>
        <v>0.30274811533159268</v>
      </c>
      <c r="Q29" s="106">
        <f t="shared" si="89"/>
        <v>10.140746871290714</v>
      </c>
      <c r="R29" s="106">
        <f t="shared" si="89"/>
        <v>3.5472608885639696E-2</v>
      </c>
      <c r="S29" s="106">
        <f t="shared" si="89"/>
        <v>0.48654339352480419</v>
      </c>
      <c r="T29" s="106">
        <f t="shared" si="89"/>
        <v>0.14931340950391639</v>
      </c>
      <c r="U29" s="106">
        <f t="shared" si="89"/>
        <v>2.8064123989556128E-2</v>
      </c>
      <c r="V29" s="106">
        <f t="shared" si="89"/>
        <v>4.1712118349869449E-4</v>
      </c>
      <c r="W29" s="106">
        <f t="shared" si="89"/>
        <v>0.27874180532637083</v>
      </c>
      <c r="X29" s="106">
        <f t="shared" si="89"/>
        <v>0.20161502476240206</v>
      </c>
      <c r="Y29" s="106">
        <f t="shared" si="89"/>
        <v>2.4198340417754569E-2</v>
      </c>
      <c r="Z29" s="106">
        <f t="shared" si="89"/>
        <v>1.2533631535248038E-4</v>
      </c>
      <c r="AA29" s="106">
        <f t="shared" si="89"/>
        <v>1.1297038287206268E-2</v>
      </c>
      <c r="AB29" s="106">
        <f t="shared" si="89"/>
        <v>-5.3979545994778055E-5</v>
      </c>
      <c r="AC29" s="106">
        <f t="shared" si="89"/>
        <v>1.8732807164490865E-8</v>
      </c>
      <c r="AD29" s="106">
        <f t="shared" si="89"/>
        <v>1.3361707331592688E-3</v>
      </c>
      <c r="AE29" s="106">
        <f t="shared" si="89"/>
        <v>8.2148281859007822E-4</v>
      </c>
      <c r="AF29" s="106">
        <f t="shared" si="89"/>
        <v>1.3705713838120107E-3</v>
      </c>
      <c r="AG29" s="106">
        <f t="shared" si="89"/>
        <v>2.6189118078328981E-5</v>
      </c>
      <c r="AH29" s="106">
        <f t="shared" si="89"/>
        <v>2.163275332010444E-3</v>
      </c>
      <c r="AI29" s="210">
        <f t="shared" si="89"/>
        <v>5.0921629973890324E-3</v>
      </c>
      <c r="AK29" s="213">
        <f>$E29*H29</f>
        <v>14.169844148648293</v>
      </c>
      <c r="AL29" s="106">
        <f t="shared" si="62"/>
        <v>5.5051300162408126</v>
      </c>
      <c r="AM29" s="106">
        <f t="shared" si="63"/>
        <v>169.56427647433</v>
      </c>
      <c r="AN29" s="106">
        <f t="shared" si="64"/>
        <v>1.0024979526764335</v>
      </c>
      <c r="AO29" s="106">
        <f t="shared" si="65"/>
        <v>84.832334339178928</v>
      </c>
      <c r="AP29" s="106">
        <f t="shared" si="66"/>
        <v>2.5544922685352919E-3</v>
      </c>
      <c r="AQ29" s="106">
        <f t="shared" si="67"/>
        <v>3.082786606786446</v>
      </c>
      <c r="AR29" s="106">
        <f t="shared" si="68"/>
        <v>19.797601767128203</v>
      </c>
      <c r="AS29" s="106">
        <f t="shared" si="69"/>
        <v>8.7330804293240369</v>
      </c>
      <c r="AT29" s="106">
        <f t="shared" si="70"/>
        <v>292.52026207793335</v>
      </c>
      <c r="AU29" s="106">
        <f t="shared" si="71"/>
        <v>1.023243847767461</v>
      </c>
      <c r="AV29" s="106">
        <f t="shared" si="72"/>
        <v>14.034844059572489</v>
      </c>
      <c r="AW29" s="106">
        <f t="shared" si="73"/>
        <v>4.3070987013283153</v>
      </c>
      <c r="AX29" s="106">
        <f t="shared" si="74"/>
        <v>0.80953848948284546</v>
      </c>
      <c r="AY29" s="106">
        <f t="shared" si="75"/>
        <v>1.2032289087180972E-2</v>
      </c>
      <c r="AZ29" s="106">
        <f t="shared" si="76"/>
        <v>8.0405937532062826</v>
      </c>
      <c r="BA29" s="106">
        <f t="shared" si="77"/>
        <v>5.8157925279955585</v>
      </c>
      <c r="BB29" s="106">
        <f t="shared" si="78"/>
        <v>0.69802599065877902</v>
      </c>
      <c r="BC29" s="106">
        <f t="shared" si="79"/>
        <v>3.6154547865293028E-3</v>
      </c>
      <c r="BD29" s="106">
        <f t="shared" si="80"/>
        <v>0.32587467594065028</v>
      </c>
      <c r="BE29" s="106">
        <f t="shared" si="81"/>
        <v>-1.5570954626570389E-3</v>
      </c>
      <c r="BF29" s="106">
        <f t="shared" si="82"/>
        <v>5.4036706869449705E-7</v>
      </c>
      <c r="BG29" s="106">
        <f t="shared" si="83"/>
        <v>3.8543217576129614E-2</v>
      </c>
      <c r="BH29" s="106">
        <f t="shared" si="84"/>
        <v>2.3696515891427988E-2</v>
      </c>
      <c r="BI29" s="106">
        <f t="shared" si="85"/>
        <v>3.9535539687342192E-2</v>
      </c>
      <c r="BJ29" s="106">
        <f t="shared" si="86"/>
        <v>7.5545201759756218E-4</v>
      </c>
      <c r="BK29" s="106">
        <f t="shared" si="87"/>
        <v>6.2401899494990587E-2</v>
      </c>
      <c r="BL29" s="210">
        <f t="shared" si="88"/>
        <v>0.14688867333399902</v>
      </c>
    </row>
    <row r="30" spans="2:64" x14ac:dyDescent="0.25">
      <c r="B30" s="272"/>
      <c r="C30" s="106" t="str">
        <f>'1_hub_LCIA'!C5</f>
        <v>Thermal energy use</v>
      </c>
      <c r="D30" s="106" t="str">
        <f>'1_hub_LCIA'!D5</f>
        <v>heat production, natural gas, at boiler condensing modulating &lt;100kW, RoW</v>
      </c>
      <c r="E30" s="106">
        <f>'1_hub_LCIA'!E5*Virtual_SA!F7</f>
        <v>118.19425272156673</v>
      </c>
      <c r="F30" s="106" t="str">
        <f>'1_hub_LCIA'!F5</f>
        <v>MJ</v>
      </c>
      <c r="G30" s="106" t="str">
        <f>'1_hub_LCIA'!G5</f>
        <v>Ecoinvent v3.7.1</v>
      </c>
      <c r="H30" s="106">
        <f>'1_hub_LCIA'!H5</f>
        <v>7.1299000000000001E-2</v>
      </c>
      <c r="I30" s="106">
        <f>'1_hub_LCIA'!I5</f>
        <v>1.1628999999999999E-3</v>
      </c>
      <c r="J30" s="106">
        <f>'1_hub_LCIA'!J5</f>
        <v>1.1308</v>
      </c>
      <c r="K30" s="106">
        <f>'1_hub_LCIA'!K5</f>
        <v>9.9963000000000005E-5</v>
      </c>
      <c r="L30" s="106">
        <f>'1_hub_LCIA'!L5</f>
        <v>5.5043999999999996E-3</v>
      </c>
      <c r="M30" s="106">
        <f>'1_hub_LCIA'!M5</f>
        <v>7.0716000000000002E-6</v>
      </c>
      <c r="N30" s="106">
        <f>'1_hub_LCIA'!N5</f>
        <v>1.9375999999999999E-4</v>
      </c>
      <c r="O30" s="106">
        <f>'1_hub_LCIA'!O5</f>
        <v>3.1161000000000001E-3</v>
      </c>
      <c r="P30" s="106">
        <f>'1_hub_LCIA'!P5</f>
        <v>6.6029999999999995E-4</v>
      </c>
      <c r="Q30" s="106">
        <f>'1_hub_LCIA'!Q5</f>
        <v>1.1415444946</v>
      </c>
      <c r="R30" s="106">
        <f>'1_hub_LCIA'!R5</f>
        <v>2.096E-4</v>
      </c>
      <c r="S30" s="106">
        <f>'1_hub_LCIA'!S5</f>
        <v>6.9820999999999994E-2</v>
      </c>
      <c r="T30" s="106">
        <f>'1_hub_LCIA'!T5</f>
        <v>3.2570000000000002E-2</v>
      </c>
      <c r="U30" s="106">
        <f>'1_hub_LCIA'!U5</f>
        <v>4.1967000000000003E-4</v>
      </c>
      <c r="V30" s="106">
        <f>'1_hub_LCIA'!V5</f>
        <v>1.7869E-6</v>
      </c>
      <c r="W30" s="106">
        <f>'1_hub_LCIA'!W5</f>
        <v>3.1952999999999999E-3</v>
      </c>
      <c r="X30" s="106">
        <f>'1_hub_LCIA'!X5</f>
        <v>4.5014000000000002E-4</v>
      </c>
      <c r="Y30" s="106">
        <f>'1_hub_LCIA'!Y5</f>
        <v>2.4911999999999997E-4</v>
      </c>
      <c r="Z30" s="106">
        <f>'1_hub_LCIA'!Z5</f>
        <v>2.1670000000000002E-6</v>
      </c>
      <c r="AA30" s="106">
        <f>'1_hub_LCIA'!AA5</f>
        <v>4.6640000000000001E-4</v>
      </c>
      <c r="AB30" s="106">
        <f>'1_hub_LCIA'!AB5</f>
        <v>-3.1935000000000001E-7</v>
      </c>
      <c r="AC30" s="106">
        <f>'1_hub_LCIA'!AC5</f>
        <v>5.8852999999999999E-9</v>
      </c>
      <c r="AD30" s="106">
        <f>'1_hub_LCIA'!AD5</f>
        <v>2.1505000000000002E-5</v>
      </c>
      <c r="AE30" s="106">
        <f>'1_hub_LCIA'!AE5</f>
        <v>6.8045000000000003E-5</v>
      </c>
      <c r="AF30" s="106">
        <f>'1_hub_LCIA'!AF5</f>
        <v>5.8721999999999998E-5</v>
      </c>
      <c r="AG30" s="106">
        <f>'1_hub_LCIA'!AG5</f>
        <v>3.5626E-6</v>
      </c>
      <c r="AH30" s="106">
        <f>'1_hub_LCIA'!AH5</f>
        <v>2.2020000000000001E-4</v>
      </c>
      <c r="AI30" s="210">
        <f>'1_hub_LCIA'!AI5</f>
        <v>2.6978000000000002E-5</v>
      </c>
      <c r="AK30" s="213">
        <f t="shared" si="2"/>
        <v>8.4271320247949859</v>
      </c>
      <c r="AL30" s="106">
        <f t="shared" si="62"/>
        <v>0.13744809648990994</v>
      </c>
      <c r="AM30" s="106">
        <f t="shared" si="63"/>
        <v>133.65406097754766</v>
      </c>
      <c r="AN30" s="106">
        <f t="shared" si="64"/>
        <v>1.1815052084805976E-2</v>
      </c>
      <c r="AO30" s="106">
        <f t="shared" si="65"/>
        <v>0.65058844468059185</v>
      </c>
      <c r="AP30" s="106">
        <f t="shared" si="66"/>
        <v>8.3582247754583128E-4</v>
      </c>
      <c r="AQ30" s="106">
        <f t="shared" si="67"/>
        <v>2.2901318407330767E-2</v>
      </c>
      <c r="AR30" s="106">
        <f t="shared" si="68"/>
        <v>0.36830511090567408</v>
      </c>
      <c r="AS30" s="106">
        <f t="shared" si="69"/>
        <v>7.8043665072050503E-2</v>
      </c>
      <c r="AT30" s="106">
        <f t="shared" si="70"/>
        <v>134.92399848766556</v>
      </c>
      <c r="AU30" s="106">
        <f t="shared" si="71"/>
        <v>2.4773515370440386E-2</v>
      </c>
      <c r="AV30" s="106">
        <f t="shared" si="72"/>
        <v>8.2524409192725106</v>
      </c>
      <c r="AW30" s="106">
        <f t="shared" si="73"/>
        <v>3.8495868111414286</v>
      </c>
      <c r="AX30" s="106">
        <f t="shared" si="74"/>
        <v>4.9602582039659913E-2</v>
      </c>
      <c r="AY30" s="106">
        <f t="shared" si="75"/>
        <v>2.1120131018816758E-4</v>
      </c>
      <c r="AZ30" s="106">
        <f t="shared" si="76"/>
        <v>0.37766609572122217</v>
      </c>
      <c r="BA30" s="106">
        <f t="shared" si="77"/>
        <v>5.3203960920086051E-2</v>
      </c>
      <c r="BB30" s="106">
        <f t="shared" si="78"/>
        <v>2.9444552237996701E-2</v>
      </c>
      <c r="BC30" s="106">
        <f t="shared" si="79"/>
        <v>2.5612694564763514E-4</v>
      </c>
      <c r="BD30" s="106">
        <f t="shared" si="80"/>
        <v>5.5125799469338724E-2</v>
      </c>
      <c r="BE30" s="106">
        <f t="shared" si="81"/>
        <v>-3.7745334606632338E-5</v>
      </c>
      <c r="BF30" s="106">
        <f t="shared" si="82"/>
        <v>6.9560863554223666E-7</v>
      </c>
      <c r="BG30" s="106">
        <f t="shared" si="83"/>
        <v>2.5417674047772927E-3</v>
      </c>
      <c r="BH30" s="106">
        <f t="shared" si="84"/>
        <v>8.0425279264390078E-3</v>
      </c>
      <c r="BI30" s="106">
        <f t="shared" si="85"/>
        <v>6.9406029083158407E-3</v>
      </c>
      <c r="BJ30" s="106">
        <f t="shared" si="86"/>
        <v>4.2107884474585364E-4</v>
      </c>
      <c r="BK30" s="106">
        <f t="shared" si="87"/>
        <v>2.6026374449288996E-2</v>
      </c>
      <c r="BL30" s="210">
        <f t="shared" si="88"/>
        <v>3.1886445499224275E-3</v>
      </c>
    </row>
    <row r="31" spans="2:64" x14ac:dyDescent="0.25">
      <c r="B31" s="272"/>
      <c r="C31" s="106" t="str">
        <f>'1_hub_LCIA'!C6</f>
        <v>Water use</v>
      </c>
      <c r="D31" s="106" t="str">
        <f>'1_hub_LCIA'!D6</f>
        <v>market group for tap water, GLO</v>
      </c>
      <c r="E31" s="106">
        <f>'1_hub_LCIA'!E6*Virtual_SA!F7</f>
        <v>521.47808160000011</v>
      </c>
      <c r="F31" s="106" t="str">
        <f>'1_hub_LCIA'!F6</f>
        <v>kg</v>
      </c>
      <c r="G31" s="106" t="str">
        <f>'1_hub_LCIA'!G6</f>
        <v>Ecoinvent v3.7.1</v>
      </c>
      <c r="H31" s="106">
        <f>'1_hub_LCIA'!H6</f>
        <v>7.8616999999999999E-4</v>
      </c>
      <c r="I31" s="106">
        <f>'1_hub_LCIA'!I6</f>
        <v>1.9751E-4</v>
      </c>
      <c r="J31" s="106">
        <f>'1_hub_LCIA'!J6</f>
        <v>9.4672000000000003E-3</v>
      </c>
      <c r="K31" s="106">
        <f>'1_hub_LCIA'!K6</f>
        <v>3.2061999999999999E-5</v>
      </c>
      <c r="L31" s="106">
        <f>'1_hub_LCIA'!L6</f>
        <v>2.1827999999999999E-3</v>
      </c>
      <c r="M31" s="106">
        <f>'1_hub_LCIA'!M6</f>
        <v>3.3095999999999999E-7</v>
      </c>
      <c r="N31" s="106">
        <f>'1_hub_LCIA'!N6</f>
        <v>2.3504E-6</v>
      </c>
      <c r="O31" s="106">
        <f>'1_hub_LCIA'!O6</f>
        <v>6.9337999999999995E-4</v>
      </c>
      <c r="P31" s="106">
        <f>'1_hub_LCIA'!P6</f>
        <v>2.4444000000000001E-4</v>
      </c>
      <c r="Q31" s="106">
        <f>'1_hub_LCIA'!Q6</f>
        <v>1.282007336E-2</v>
      </c>
      <c r="R31" s="106">
        <f>'1_hub_LCIA'!R6</f>
        <v>3.6423E-5</v>
      </c>
      <c r="S31" s="106">
        <f>'1_hub_LCIA'!S6</f>
        <v>7.6884000000000002E-4</v>
      </c>
      <c r="T31" s="106">
        <f>'1_hub_LCIA'!T6</f>
        <v>2.3416999999999999E-4</v>
      </c>
      <c r="U31" s="106">
        <f>'1_hub_LCIA'!U6</f>
        <v>1.8153000000000001E-5</v>
      </c>
      <c r="V31" s="106">
        <f>'1_hub_LCIA'!V6</f>
        <v>4.4477999999999999E-7</v>
      </c>
      <c r="W31" s="106">
        <f>'1_hub_LCIA'!W6</f>
        <v>4.2660000000000002E-4</v>
      </c>
      <c r="X31" s="106">
        <f>'1_hub_LCIA'!X6</f>
        <v>1.4076E-4</v>
      </c>
      <c r="Y31" s="106">
        <f>'1_hub_LCIA'!Y6</f>
        <v>1.6370000000000001E-5</v>
      </c>
      <c r="Z31" s="106">
        <f>'1_hub_LCIA'!Z6</f>
        <v>2.2333999999999999E-7</v>
      </c>
      <c r="AA31" s="106">
        <f>'1_hub_LCIA'!AA6</f>
        <v>2.0411000000000002E-5</v>
      </c>
      <c r="AB31" s="106">
        <f>'1_hub_LCIA'!AB6</f>
        <v>-6.3623E-8</v>
      </c>
      <c r="AC31" s="106">
        <f>'1_hub_LCIA'!AC6</f>
        <v>1.6629E-10</v>
      </c>
      <c r="AD31" s="106">
        <f>'1_hub_LCIA'!AD6</f>
        <v>2.0271999999999998E-6</v>
      </c>
      <c r="AE31" s="106">
        <f>'1_hub_LCIA'!AE6</f>
        <v>2.4003999999999999E-6</v>
      </c>
      <c r="AF31" s="106">
        <f>'1_hub_LCIA'!AF6</f>
        <v>3.0645999999999998E-6</v>
      </c>
      <c r="AG31" s="106">
        <f>'1_hub_LCIA'!AG6</f>
        <v>7.2106999999999998E-8</v>
      </c>
      <c r="AH31" s="106">
        <f>'1_hub_LCIA'!AH6</f>
        <v>7.5768E-6</v>
      </c>
      <c r="AI31" s="210">
        <f>'1_hub_LCIA'!AI6</f>
        <v>1.0698E-5</v>
      </c>
      <c r="AK31" s="213">
        <f t="shared" si="2"/>
        <v>0.40997042341147211</v>
      </c>
      <c r="AL31" s="106">
        <f t="shared" si="62"/>
        <v>0.10299713589681601</v>
      </c>
      <c r="AM31" s="106">
        <f t="shared" si="63"/>
        <v>4.9369372941235214</v>
      </c>
      <c r="AN31" s="106">
        <f t="shared" si="64"/>
        <v>1.6719630252259202E-2</v>
      </c>
      <c r="AO31" s="106">
        <f t="shared" si="65"/>
        <v>1.1382823565164801</v>
      </c>
      <c r="AP31" s="106">
        <f t="shared" si="66"/>
        <v>1.7258838588633604E-4</v>
      </c>
      <c r="AQ31" s="106">
        <f t="shared" si="67"/>
        <v>1.2256820829926402E-3</v>
      </c>
      <c r="AR31" s="106">
        <f t="shared" si="68"/>
        <v>0.36158247221980805</v>
      </c>
      <c r="AS31" s="106">
        <f t="shared" si="69"/>
        <v>0.12747010226630404</v>
      </c>
      <c r="AT31" s="106">
        <f t="shared" si="70"/>
        <v>6.6853872617440677</v>
      </c>
      <c r="AU31" s="106">
        <f t="shared" si="71"/>
        <v>1.8993796166116805E-2</v>
      </c>
      <c r="AV31" s="106">
        <f t="shared" si="72"/>
        <v>0.40093320825734408</v>
      </c>
      <c r="AW31" s="106">
        <f t="shared" si="73"/>
        <v>0.12211452236827201</v>
      </c>
      <c r="AX31" s="106">
        <f t="shared" si="74"/>
        <v>9.4663916152848016E-3</v>
      </c>
      <c r="AY31" s="106">
        <f t="shared" si="75"/>
        <v>2.3194302113404804E-4</v>
      </c>
      <c r="AZ31" s="106">
        <f t="shared" si="76"/>
        <v>0.22246254961056006</v>
      </c>
      <c r="BA31" s="106">
        <f t="shared" si="77"/>
        <v>7.3403254766016016E-2</v>
      </c>
      <c r="BB31" s="106">
        <f t="shared" si="78"/>
        <v>8.5365961957920029E-3</v>
      </c>
      <c r="BC31" s="106">
        <f t="shared" si="79"/>
        <v>1.1646691474454402E-4</v>
      </c>
      <c r="BD31" s="106">
        <f t="shared" si="80"/>
        <v>1.0643889123537604E-2</v>
      </c>
      <c r="BE31" s="106">
        <f t="shared" si="81"/>
        <v>-3.3177999985636808E-5</v>
      </c>
      <c r="BF31" s="106">
        <f t="shared" si="82"/>
        <v>8.6716590189264023E-8</v>
      </c>
      <c r="BG31" s="106">
        <f t="shared" si="83"/>
        <v>1.0571403670195201E-3</v>
      </c>
      <c r="BH31" s="106">
        <f t="shared" si="84"/>
        <v>1.2517559870726402E-3</v>
      </c>
      <c r="BI31" s="106">
        <f t="shared" si="85"/>
        <v>1.5981217288713603E-3</v>
      </c>
      <c r="BJ31" s="106">
        <f t="shared" si="86"/>
        <v>3.7602220029931209E-5</v>
      </c>
      <c r="BK31" s="106">
        <f t="shared" si="87"/>
        <v>3.9511351286668807E-3</v>
      </c>
      <c r="BL31" s="210">
        <f t="shared" si="88"/>
        <v>5.5787725169568012E-3</v>
      </c>
    </row>
    <row r="32" spans="2:64" x14ac:dyDescent="0.25">
      <c r="B32" s="272"/>
      <c r="C32" s="106" t="str">
        <f>'1_hub_LCIA'!C7</f>
        <v>Wastewater treatment</v>
      </c>
      <c r="D32" s="106" t="str">
        <f>'1_hub_LCIA'!D7</f>
        <v>treatment of wastewater, from residence, capacity 1.1E10l/year, RoW</v>
      </c>
      <c r="E32" s="106">
        <f>'1_hub_LCIA'!E7*Virtual_SA!F7</f>
        <v>0.52147808160000009</v>
      </c>
      <c r="F32" s="106" t="str">
        <f>'1_hub_LCIA'!F7</f>
        <v>m3</v>
      </c>
      <c r="G32" s="106" t="str">
        <f>'1_hub_LCIA'!G7</f>
        <v>Ecoinvent v3.7.1</v>
      </c>
      <c r="H32" s="106">
        <f>'1_hub_LCIA'!H7</f>
        <v>0.55149000000000004</v>
      </c>
      <c r="I32" s="106">
        <f>'1_hub_LCIA'!I7</f>
        <v>0.11234</v>
      </c>
      <c r="J32" s="106">
        <f>'1_hub_LCIA'!J7</f>
        <v>5.6473000000000004</v>
      </c>
      <c r="K32" s="106">
        <f>'1_hub_LCIA'!K7</f>
        <v>8.5579999999999996E-3</v>
      </c>
      <c r="L32" s="106">
        <f>'1_hub_LCIA'!L7</f>
        <v>0.58731</v>
      </c>
      <c r="M32" s="106">
        <f>'1_hub_LCIA'!M7</f>
        <v>4.6106000000000001E-4</v>
      </c>
      <c r="N32" s="106">
        <f>'1_hub_LCIA'!N7</f>
        <v>1.8717999999999999E-2</v>
      </c>
      <c r="O32" s="106">
        <f>'1_hub_LCIA'!O7</f>
        <v>0.30649999999999999</v>
      </c>
      <c r="P32" s="106">
        <f>'1_hub_LCIA'!P7</f>
        <v>6.4085000000000003E-2</v>
      </c>
      <c r="Q32" s="106">
        <f>'1_hub_LCIA'!Q7</f>
        <v>6.7452720600000005</v>
      </c>
      <c r="R32" s="106">
        <f>'1_hub_LCIA'!R7</f>
        <v>2.3549E-2</v>
      </c>
      <c r="S32" s="106">
        <f>'1_hub_LCIA'!S7</f>
        <v>0.54135999999999995</v>
      </c>
      <c r="T32" s="106">
        <f>'1_hub_LCIA'!T7</f>
        <v>0.13721</v>
      </c>
      <c r="U32" s="106">
        <f>'1_hub_LCIA'!U7</f>
        <v>2.3826E-2</v>
      </c>
      <c r="V32" s="106">
        <f>'1_hub_LCIA'!V7</f>
        <v>1.1169000000000001E-3</v>
      </c>
      <c r="W32" s="106">
        <f>'1_hub_LCIA'!W7</f>
        <v>0.24636</v>
      </c>
      <c r="X32" s="106">
        <f>'1_hub_LCIA'!X7</f>
        <v>4.0669999999999998E-2</v>
      </c>
      <c r="Y32" s="106">
        <f>'1_hub_LCIA'!Y7</f>
        <v>2.1378999999999999E-2</v>
      </c>
      <c r="Z32" s="106">
        <f>'1_hub_LCIA'!Z7</f>
        <v>2.0655E-2</v>
      </c>
      <c r="AA32" s="106">
        <f>'1_hub_LCIA'!AA7</f>
        <v>4.9317E-2</v>
      </c>
      <c r="AB32" s="106">
        <f>'1_hub_LCIA'!AB7</f>
        <v>-5.7655000000000003E-5</v>
      </c>
      <c r="AC32" s="106">
        <f>'1_hub_LCIA'!AC7</f>
        <v>3.0047999999999999E-8</v>
      </c>
      <c r="AD32" s="106">
        <f>'1_hub_LCIA'!AD7</f>
        <v>1.789E-3</v>
      </c>
      <c r="AE32" s="106">
        <f>'1_hub_LCIA'!AE7</f>
        <v>2.5623999999999998E-3</v>
      </c>
      <c r="AF32" s="106">
        <f>'1_hub_LCIA'!AF7</f>
        <v>3.9836999999999997E-3</v>
      </c>
      <c r="AG32" s="106">
        <f>'1_hub_LCIA'!AG7</f>
        <v>2.3662999999999999E-4</v>
      </c>
      <c r="AH32" s="106">
        <f>'1_hub_LCIA'!AH7</f>
        <v>2.6100000000000002E-2</v>
      </c>
      <c r="AI32" s="210">
        <f>'1_hub_LCIA'!AI7</f>
        <v>0.10387</v>
      </c>
      <c r="AK32" s="213">
        <f t="shared" si="2"/>
        <v>0.28758994722158404</v>
      </c>
      <c r="AL32" s="106">
        <f t="shared" si="62"/>
        <v>5.8582847686944009E-2</v>
      </c>
      <c r="AM32" s="106">
        <f t="shared" si="63"/>
        <v>2.9449431702196809</v>
      </c>
      <c r="AN32" s="106">
        <f t="shared" si="64"/>
        <v>4.4628094223328005E-3</v>
      </c>
      <c r="AO32" s="106">
        <f t="shared" si="65"/>
        <v>0.30626929210449605</v>
      </c>
      <c r="AP32" s="106">
        <f t="shared" si="66"/>
        <v>2.4043268430249605E-4</v>
      </c>
      <c r="AQ32" s="106">
        <f t="shared" si="67"/>
        <v>9.761026731388801E-3</v>
      </c>
      <c r="AR32" s="106">
        <f t="shared" si="68"/>
        <v>0.15983303201040003</v>
      </c>
      <c r="AS32" s="106">
        <f t="shared" si="69"/>
        <v>3.3418922859336009E-2</v>
      </c>
      <c r="AT32" s="106">
        <f t="shared" si="70"/>
        <v>3.5175115337188809</v>
      </c>
      <c r="AU32" s="106">
        <f t="shared" si="71"/>
        <v>1.2280287343598402E-2</v>
      </c>
      <c r="AV32" s="106">
        <f t="shared" si="72"/>
        <v>0.28230737425497604</v>
      </c>
      <c r="AW32" s="106">
        <f t="shared" si="73"/>
        <v>7.1552007576336007E-2</v>
      </c>
      <c r="AX32" s="106">
        <f t="shared" si="74"/>
        <v>1.2424736772201602E-2</v>
      </c>
      <c r="AY32" s="106">
        <f t="shared" si="75"/>
        <v>5.8243886933904011E-4</v>
      </c>
      <c r="AZ32" s="106">
        <f t="shared" si="76"/>
        <v>0.12847134018297601</v>
      </c>
      <c r="BA32" s="106">
        <f t="shared" si="77"/>
        <v>2.1208513578672001E-2</v>
      </c>
      <c r="BB32" s="106">
        <f t="shared" si="78"/>
        <v>1.1148679906526401E-2</v>
      </c>
      <c r="BC32" s="106">
        <f t="shared" si="79"/>
        <v>1.0771129775448002E-2</v>
      </c>
      <c r="BD32" s="106">
        <f t="shared" si="80"/>
        <v>2.5717734550267206E-2</v>
      </c>
      <c r="BE32" s="106">
        <f t="shared" si="81"/>
        <v>-3.0065818794648007E-5</v>
      </c>
      <c r="BF32" s="106">
        <f t="shared" si="82"/>
        <v>1.5669373395916801E-8</v>
      </c>
      <c r="BG32" s="106">
        <f t="shared" si="83"/>
        <v>9.329242879824002E-4</v>
      </c>
      <c r="BH32" s="106">
        <f t="shared" si="84"/>
        <v>1.3362354362918402E-3</v>
      </c>
      <c r="BI32" s="106">
        <f t="shared" si="85"/>
        <v>2.0774122336699201E-3</v>
      </c>
      <c r="BJ32" s="106">
        <f t="shared" si="86"/>
        <v>1.2339735844900802E-4</v>
      </c>
      <c r="BK32" s="106">
        <f t="shared" si="87"/>
        <v>1.3610577929760004E-2</v>
      </c>
      <c r="BL32" s="210">
        <f t="shared" si="88"/>
        <v>5.4165928335792014E-2</v>
      </c>
    </row>
    <row r="33" spans="2:64" x14ac:dyDescent="0.25">
      <c r="B33" s="213" t="str">
        <f>'1_hub_LCIA'!B13</f>
        <v>Catering</v>
      </c>
      <c r="C33" s="106" t="str">
        <f>'1_hub_LCIA'!C13</f>
        <v>Food</v>
      </c>
      <c r="D33" s="106" t="str">
        <f>'1_hub_LCIA'!D13</f>
        <v>Average US food supply</v>
      </c>
      <c r="E33" s="106">
        <f>3*Virtual_SA!F7</f>
        <v>2.4000000000000004</v>
      </c>
      <c r="F33" s="106" t="str">
        <f>'1_hub_LCIA'!F13</f>
        <v>per capita</v>
      </c>
      <c r="G33" s="106" t="str">
        <f>'1_hub_LCIA'!G13</f>
        <v>Catering_LCIA</v>
      </c>
      <c r="H33" s="106">
        <f>Catering_LCIA!F4</f>
        <v>9.6794273427052406</v>
      </c>
      <c r="I33" s="106">
        <f>Catering_LCIA!G4</f>
        <v>60.152525856925706</v>
      </c>
      <c r="J33" s="106">
        <f>Catering_LCIA!H4</f>
        <v>65.170783905129497</v>
      </c>
      <c r="K33" s="106">
        <f>Catering_LCIA!I4</f>
        <v>0.17021048142831097</v>
      </c>
      <c r="L33" s="106">
        <f>Catering_LCIA!J4</f>
        <v>13.831983523437255</v>
      </c>
      <c r="M33" s="106">
        <f>Catering_LCIA!K4</f>
        <v>2.7513111366050733</v>
      </c>
      <c r="N33" s="106">
        <f>Catering_LCIA!L4</f>
        <v>0.48273093505301795</v>
      </c>
      <c r="O33" s="106">
        <f>Catering_LCIA!M4</f>
        <v>3.7552394572179648</v>
      </c>
      <c r="P33" s="106">
        <f>Catering_LCIA!N4</f>
        <v>1.4508201722497076</v>
      </c>
      <c r="Q33" s="106">
        <f>Catering_LCIA!O4</f>
        <v>147.76560546804657</v>
      </c>
      <c r="R33" s="106">
        <f>Catering_LCIA!P4</f>
        <v>22.965819389455245</v>
      </c>
      <c r="S33" s="106">
        <f>Catering_LCIA!Q4</f>
        <v>8.9602593368420482</v>
      </c>
      <c r="T33" s="106">
        <f>Catering_LCIA!R4</f>
        <v>1.8847798215898797</v>
      </c>
      <c r="U33" s="106">
        <f>Catering_LCIA!S4</f>
        <v>0.22369947471090595</v>
      </c>
      <c r="V33" s="106">
        <f>Catering_LCIA!T4</f>
        <v>5.1038010948363452E-3</v>
      </c>
      <c r="W33" s="106">
        <f>Catering_LCIA!U4</f>
        <v>6.0081390949560829</v>
      </c>
      <c r="X33" s="106">
        <f>Catering_LCIA!V4</f>
        <v>0.99630367053847002</v>
      </c>
      <c r="Y33" s="106">
        <f>Catering_LCIA!W4</f>
        <v>0.18391214308903395</v>
      </c>
      <c r="Z33" s="106">
        <f>Catering_LCIA!X4</f>
        <v>3.3753177011850134E-2</v>
      </c>
      <c r="AA33" s="106">
        <f>Catering_LCIA!Y4</f>
        <v>0.18810498250054578</v>
      </c>
      <c r="AB33" s="106">
        <f>Catering_LCIA!Z4</f>
        <v>-4.2439374211490063E-4</v>
      </c>
      <c r="AC33" s="106">
        <f>Catering_LCIA!AA4</f>
        <v>3.9453787992107048E-7</v>
      </c>
      <c r="AD33" s="106">
        <f>Catering_LCIA!AB4</f>
        <v>2.1370082337150653E-2</v>
      </c>
      <c r="AE33" s="106">
        <f>Catering_LCIA!AC4</f>
        <v>2.7548164166154888E-2</v>
      </c>
      <c r="AF33" s="106">
        <f>Catering_LCIA!AD4</f>
        <v>6.5447530509147173E-2</v>
      </c>
      <c r="AG33" s="106">
        <f>Catering_LCIA!AE4</f>
        <v>8.3650080056170931E-2</v>
      </c>
      <c r="AH33" s="106">
        <f>Catering_LCIA!AF4</f>
        <v>0.10067122016749086</v>
      </c>
      <c r="AI33" s="210">
        <f>Catering_LCIA!AG4</f>
        <v>0.48521207771854202</v>
      </c>
      <c r="AK33" s="213">
        <f t="shared" si="2"/>
        <v>23.230625622492582</v>
      </c>
      <c r="AL33" s="106">
        <f t="shared" si="62"/>
        <v>144.36606205662173</v>
      </c>
      <c r="AM33" s="106">
        <f t="shared" si="63"/>
        <v>156.40988137231082</v>
      </c>
      <c r="AN33" s="106">
        <f t="shared" si="64"/>
        <v>0.40850515542794635</v>
      </c>
      <c r="AO33" s="106">
        <f t="shared" si="65"/>
        <v>33.196760456249415</v>
      </c>
      <c r="AP33" s="106">
        <f t="shared" si="66"/>
        <v>6.6031467278521774</v>
      </c>
      <c r="AQ33" s="106">
        <f t="shared" si="67"/>
        <v>1.1585542441272432</v>
      </c>
      <c r="AR33" s="106">
        <f t="shared" si="68"/>
        <v>9.0125746973231173</v>
      </c>
      <c r="AS33" s="106">
        <f t="shared" si="69"/>
        <v>3.481968413399299</v>
      </c>
      <c r="AT33" s="106">
        <f t="shared" si="70"/>
        <v>354.63745312331184</v>
      </c>
      <c r="AU33" s="106">
        <f t="shared" si="71"/>
        <v>55.117966534692599</v>
      </c>
      <c r="AV33" s="106">
        <f t="shared" si="72"/>
        <v>21.504622408420918</v>
      </c>
      <c r="AW33" s="106">
        <f t="shared" si="73"/>
        <v>4.5234715718157119</v>
      </c>
      <c r="AX33" s="106">
        <f t="shared" si="74"/>
        <v>0.53687873930617436</v>
      </c>
      <c r="AY33" s="106">
        <f t="shared" si="75"/>
        <v>1.224912262760723E-2</v>
      </c>
      <c r="AZ33" s="106">
        <f t="shared" si="76"/>
        <v>14.4195338278946</v>
      </c>
      <c r="BA33" s="106">
        <f t="shared" si="77"/>
        <v>2.3911288092923284</v>
      </c>
      <c r="BB33" s="106">
        <f t="shared" si="78"/>
        <v>0.44138914341368152</v>
      </c>
      <c r="BC33" s="106">
        <f t="shared" si="79"/>
        <v>8.1007624828440331E-2</v>
      </c>
      <c r="BD33" s="106">
        <f t="shared" si="80"/>
        <v>0.45145195800130994</v>
      </c>
      <c r="BE33" s="106">
        <f t="shared" si="81"/>
        <v>-1.0185449810757616E-3</v>
      </c>
      <c r="BF33" s="106">
        <f t="shared" si="82"/>
        <v>9.4689091181056929E-7</v>
      </c>
      <c r="BG33" s="106">
        <f t="shared" si="83"/>
        <v>5.1288197609161576E-2</v>
      </c>
      <c r="BH33" s="106">
        <f t="shared" si="84"/>
        <v>6.6115593998771746E-2</v>
      </c>
      <c r="BI33" s="106">
        <f t="shared" si="85"/>
        <v>0.15707407322195324</v>
      </c>
      <c r="BJ33" s="106">
        <f t="shared" si="86"/>
        <v>0.20076019213481025</v>
      </c>
      <c r="BK33" s="106">
        <f t="shared" si="87"/>
        <v>0.24161092840197809</v>
      </c>
      <c r="BL33" s="210">
        <f t="shared" si="88"/>
        <v>1.1645089865245011</v>
      </c>
    </row>
    <row r="34" spans="2:64" x14ac:dyDescent="0.25">
      <c r="B34" s="213" t="str">
        <f>'1_hub_LCIA'!B14</f>
        <v>Preparation and execution</v>
      </c>
      <c r="C34" s="106" t="str">
        <f>'1_hub_LCIA'!C14</f>
        <v>Preparation and execution</v>
      </c>
      <c r="D34" s="106" t="str">
        <f>'1_hub_LCIA'!D14</f>
        <v>Preparation</v>
      </c>
      <c r="E34" s="106">
        <f>'1_hub_LCIA'!E14</f>
        <v>1</v>
      </c>
      <c r="F34" s="106" t="str">
        <f>'1_hub_LCIA'!F14</f>
        <v>per capita</v>
      </c>
      <c r="G34" s="106" t="str">
        <f>'1_hub_LCIA'!G14</f>
        <v>Pre&amp;Exe_LCIA</v>
      </c>
      <c r="H34" s="106">
        <f>'Pre &amp; Exe_LCIA'!H51</f>
        <v>0.1890614060968662</v>
      </c>
      <c r="I34" s="106">
        <f>'Pre &amp; Exe_LCIA'!I51</f>
        <v>0.68728853922326061</v>
      </c>
      <c r="J34" s="106">
        <f>'Pre &amp; Exe_LCIA'!J51</f>
        <v>2.2124864468279655</v>
      </c>
      <c r="K34" s="106">
        <f>'Pre &amp; Exe_LCIA'!K51</f>
        <v>5.3933895697429717E-3</v>
      </c>
      <c r="L34" s="106">
        <f>'Pre &amp; Exe_LCIA'!L51</f>
        <v>0.37380627254910676</v>
      </c>
      <c r="M34" s="106">
        <f>'Pre &amp; Exe_LCIA'!M51</f>
        <v>1.5728672792953419E-4</v>
      </c>
      <c r="N34" s="106">
        <f>'Pre &amp; Exe_LCIA'!N51</f>
        <v>1.3309676239297196E-2</v>
      </c>
      <c r="O34" s="106">
        <f>'Pre &amp; Exe_LCIA'!O51</f>
        <v>0.1597676961484141</v>
      </c>
      <c r="P34" s="106">
        <f>'Pre &amp; Exe_LCIA'!P51</f>
        <v>4.4215357552845509E-2</v>
      </c>
      <c r="Q34" s="106">
        <f>'Pre &amp; Exe_LCIA'!Q51</f>
        <v>3.4964246648385617</v>
      </c>
      <c r="R34" s="106">
        <f>'Pre &amp; Exe_LCIA'!R51</f>
        <v>7.2362728163940099E-2</v>
      </c>
      <c r="S34" s="106">
        <f>'Pre &amp; Exe_LCIA'!S51</f>
        <v>0.18488548762458842</v>
      </c>
      <c r="T34" s="106">
        <f>'Pre &amp; Exe_LCIA'!T51</f>
        <v>5.4767358988741674E-2</v>
      </c>
      <c r="U34" s="106">
        <f>'Pre &amp; Exe_LCIA'!U51</f>
        <v>1.554589153567386E-2</v>
      </c>
      <c r="V34" s="106">
        <f>'Pre &amp; Exe_LCIA'!V51</f>
        <v>1.121820415542266E-4</v>
      </c>
      <c r="W34" s="106">
        <f>'Pre &amp; Exe_LCIA'!W51</f>
        <v>0.10958244510638382</v>
      </c>
      <c r="X34" s="106">
        <f>'Pre &amp; Exe_LCIA'!X51</f>
        <v>2.393935795570477E-2</v>
      </c>
      <c r="Y34" s="106">
        <f>'Pre &amp; Exe_LCIA'!Y51</f>
        <v>1.3725987426027661E-2</v>
      </c>
      <c r="Z34" s="106">
        <f>'Pre &amp; Exe_LCIA'!Z51</f>
        <v>9.4564753462700324E-5</v>
      </c>
      <c r="AA34" s="106">
        <f>'Pre &amp; Exe_LCIA'!AA51</f>
        <v>2.4396932669512383E-2</v>
      </c>
      <c r="AB34" s="106">
        <f>'Pre &amp; Exe_LCIA'!AB51</f>
        <v>-1.3410562973815725E-5</v>
      </c>
      <c r="AC34" s="106">
        <f>'Pre &amp; Exe_LCIA'!AC51</f>
        <v>8.2366410819703803E-9</v>
      </c>
      <c r="AD34" s="106">
        <f>'Pre &amp; Exe_LCIA'!AD51</f>
        <v>4.8480423222778282E-4</v>
      </c>
      <c r="AE34" s="106">
        <f>'Pre &amp; Exe_LCIA'!AE51</f>
        <v>5.8617622580529069E-4</v>
      </c>
      <c r="AF34" s="106">
        <f>'Pre &amp; Exe_LCIA'!AF51</f>
        <v>7.7825475191013683E-4</v>
      </c>
      <c r="AG34" s="106">
        <f>'Pre &amp; Exe_LCIA'!AG51</f>
        <v>3.3006077963017164E-4</v>
      </c>
      <c r="AH34" s="106">
        <f>'Pre &amp; Exe_LCIA'!AH51</f>
        <v>1.7170145632169249E-3</v>
      </c>
      <c r="AI34" s="210">
        <f>'Pre &amp; Exe_LCIA'!AI51</f>
        <v>2.088005499355808E-3</v>
      </c>
      <c r="AK34" s="211">
        <f t="shared" si="2"/>
        <v>0.1890614060968662</v>
      </c>
      <c r="AL34" s="187">
        <f t="shared" si="62"/>
        <v>0.68728853922326061</v>
      </c>
      <c r="AM34" s="187">
        <f t="shared" si="63"/>
        <v>2.2124864468279655</v>
      </c>
      <c r="AN34" s="187">
        <f t="shared" si="64"/>
        <v>5.3933895697429717E-3</v>
      </c>
      <c r="AO34" s="187">
        <f t="shared" si="65"/>
        <v>0.37380627254910676</v>
      </c>
      <c r="AP34" s="187">
        <f t="shared" si="66"/>
        <v>1.5728672792953419E-4</v>
      </c>
      <c r="AQ34" s="187">
        <f t="shared" si="67"/>
        <v>1.3309676239297196E-2</v>
      </c>
      <c r="AR34" s="187">
        <f t="shared" si="68"/>
        <v>0.1597676961484141</v>
      </c>
      <c r="AS34" s="187">
        <f t="shared" si="69"/>
        <v>4.4215357552845509E-2</v>
      </c>
      <c r="AT34" s="187">
        <f t="shared" si="70"/>
        <v>3.4964246648385617</v>
      </c>
      <c r="AU34" s="187">
        <f t="shared" si="71"/>
        <v>7.2362728163940099E-2</v>
      </c>
      <c r="AV34" s="187">
        <f t="shared" si="72"/>
        <v>0.18488548762458842</v>
      </c>
      <c r="AW34" s="187">
        <f t="shared" si="73"/>
        <v>5.4767358988741674E-2</v>
      </c>
      <c r="AX34" s="187">
        <f t="shared" si="74"/>
        <v>1.554589153567386E-2</v>
      </c>
      <c r="AY34" s="187">
        <f t="shared" si="75"/>
        <v>1.121820415542266E-4</v>
      </c>
      <c r="AZ34" s="187">
        <f t="shared" si="76"/>
        <v>0.10958244510638382</v>
      </c>
      <c r="BA34" s="187">
        <f t="shared" si="77"/>
        <v>2.393935795570477E-2</v>
      </c>
      <c r="BB34" s="187">
        <f t="shared" si="78"/>
        <v>1.3725987426027661E-2</v>
      </c>
      <c r="BC34" s="187">
        <f t="shared" si="79"/>
        <v>9.4564753462700324E-5</v>
      </c>
      <c r="BD34" s="187">
        <f t="shared" si="80"/>
        <v>2.4396932669512383E-2</v>
      </c>
      <c r="BE34" s="187">
        <f t="shared" si="81"/>
        <v>-1.3410562973815725E-5</v>
      </c>
      <c r="BF34" s="187">
        <f t="shared" si="82"/>
        <v>8.2366410819703803E-9</v>
      </c>
      <c r="BG34" s="187">
        <f t="shared" si="83"/>
        <v>4.8480423222778282E-4</v>
      </c>
      <c r="BH34" s="187">
        <f t="shared" si="84"/>
        <v>5.8617622580529069E-4</v>
      </c>
      <c r="BI34" s="187">
        <f t="shared" si="85"/>
        <v>7.7825475191013683E-4</v>
      </c>
      <c r="BJ34" s="187">
        <f t="shared" si="86"/>
        <v>3.3006077963017164E-4</v>
      </c>
      <c r="BK34" s="187">
        <f t="shared" si="87"/>
        <v>1.7170145632169249E-3</v>
      </c>
      <c r="BL34" s="212">
        <f t="shared" si="88"/>
        <v>2.088005499355808E-3</v>
      </c>
    </row>
    <row r="35" spans="2:64" x14ac:dyDescent="0.25">
      <c r="B35" s="211"/>
      <c r="C35" s="187"/>
      <c r="D35" s="187"/>
      <c r="E35" s="187"/>
      <c r="F35" s="187" t="s">
        <v>264</v>
      </c>
      <c r="G35" s="187"/>
      <c r="H35" s="187">
        <f>SUMPRODUCT($E$27:$E$34, H27:H34)</f>
        <v>54.754055475140696</v>
      </c>
      <c r="I35" s="187">
        <f t="shared" ref="I35:AI35" si="90">SUMPRODUCT($E$27:$E$34, I27:I34)</f>
        <v>153.09804588046583</v>
      </c>
      <c r="J35" s="187">
        <f t="shared" si="90"/>
        <v>541.99677603447276</v>
      </c>
      <c r="K35" s="187">
        <f t="shared" si="90"/>
        <v>1.8369867809023404</v>
      </c>
      <c r="L35" s="187">
        <f t="shared" si="90"/>
        <v>153.13214230157465</v>
      </c>
      <c r="M35" s="187">
        <f t="shared" si="90"/>
        <v>6.6083243587346683</v>
      </c>
      <c r="N35" s="187">
        <f t="shared" si="90"/>
        <v>5.4456410275690876</v>
      </c>
      <c r="O35" s="187">
        <f t="shared" si="90"/>
        <v>37.709670098508646</v>
      </c>
      <c r="P35" s="187">
        <f t="shared" si="90"/>
        <v>15.866500009177281</v>
      </c>
      <c r="Q35" s="187">
        <f t="shared" si="90"/>
        <v>915.6940864914053</v>
      </c>
      <c r="R35" s="187">
        <f t="shared" si="90"/>
        <v>56.694268163118743</v>
      </c>
      <c r="S35" s="187">
        <f t="shared" si="90"/>
        <v>52.311257617904594</v>
      </c>
      <c r="T35" s="187">
        <f t="shared" si="90"/>
        <v>14.75453828714514</v>
      </c>
      <c r="U35" s="187">
        <f t="shared" si="90"/>
        <v>2.0444504574458944</v>
      </c>
      <c r="V35" s="187">
        <f t="shared" si="90"/>
        <v>3.0614548460969886E-2</v>
      </c>
      <c r="W35" s="187">
        <f t="shared" si="90"/>
        <v>27.575846243776091</v>
      </c>
      <c r="X35" s="187">
        <f t="shared" si="90"/>
        <v>10.622381356286855</v>
      </c>
      <c r="Y35" s="187">
        <f t="shared" si="90"/>
        <v>1.7335422953386868</v>
      </c>
      <c r="Z35" s="187">
        <f t="shared" si="90"/>
        <v>0.10590037330552124</v>
      </c>
      <c r="AA35" s="187">
        <f t="shared" si="90"/>
        <v>1.3205280511682327</v>
      </c>
      <c r="AB35" s="187">
        <f t="shared" si="90"/>
        <v>-3.3628218197952267E-3</v>
      </c>
      <c r="AC35" s="187">
        <f t="shared" si="90"/>
        <v>2.5612775031483046E-6</v>
      </c>
      <c r="AD35" s="187">
        <f t="shared" si="90"/>
        <v>0.1113552272300412</v>
      </c>
      <c r="AE35" s="187">
        <f t="shared" si="90"/>
        <v>0.11916323855883729</v>
      </c>
      <c r="AF35" s="187">
        <f t="shared" si="90"/>
        <v>0.22652374523579838</v>
      </c>
      <c r="AG35" s="187">
        <f t="shared" si="90"/>
        <v>0.2028959148467484</v>
      </c>
      <c r="AH35" s="187">
        <f t="shared" si="90"/>
        <v>0.39013951665682722</v>
      </c>
      <c r="AI35" s="212">
        <f t="shared" si="90"/>
        <v>1.4379865196310984</v>
      </c>
    </row>
    <row r="36" spans="2:64" x14ac:dyDescent="0.25">
      <c r="B36" s="137"/>
    </row>
    <row r="38" spans="2:64" x14ac:dyDescent="0.25">
      <c r="C38" s="133"/>
      <c r="D38" s="134"/>
      <c r="E38" s="134">
        <f>'ACLCA_raw data'!$J$3</f>
        <v>536</v>
      </c>
      <c r="F38" s="134"/>
      <c r="G38" s="134"/>
      <c r="H38" s="151" t="str">
        <f t="shared" ref="H38:AI38" si="91">H2</f>
        <v>GWP</v>
      </c>
      <c r="I38" s="151" t="str">
        <f t="shared" si="91"/>
        <v>biomass</v>
      </c>
      <c r="J38" s="151" t="str">
        <f t="shared" si="91"/>
        <v>fossil</v>
      </c>
      <c r="K38" s="151" t="str">
        <f t="shared" si="91"/>
        <v>geothermal</v>
      </c>
      <c r="L38" s="151" t="str">
        <f t="shared" si="91"/>
        <v>nuclear</v>
      </c>
      <c r="M38" s="151" t="str">
        <f t="shared" si="91"/>
        <v>primary forest</v>
      </c>
      <c r="N38" s="151" t="str">
        <f t="shared" si="91"/>
        <v>solar</v>
      </c>
      <c r="O38" s="151" t="str">
        <f t="shared" si="91"/>
        <v>water</v>
      </c>
      <c r="P38" s="151" t="str">
        <f t="shared" si="91"/>
        <v>wind</v>
      </c>
      <c r="Q38" s="151" t="str">
        <f t="shared" si="91"/>
        <v>CED</v>
      </c>
      <c r="R38" s="151" t="str">
        <f t="shared" si="91"/>
        <v>ALOP</v>
      </c>
      <c r="S38" s="151" t="str">
        <f t="shared" si="91"/>
        <v>GWP100</v>
      </c>
      <c r="T38" s="151" t="str">
        <f t="shared" si="91"/>
        <v>FDP</v>
      </c>
      <c r="U38" s="151" t="str">
        <f t="shared" si="91"/>
        <v>FETPinf</v>
      </c>
      <c r="V38" s="151" t="str">
        <f t="shared" si="91"/>
        <v>FEP</v>
      </c>
      <c r="W38" s="151" t="str">
        <f t="shared" si="91"/>
        <v>HTPinf</v>
      </c>
      <c r="X38" s="151" t="str">
        <f t="shared" si="91"/>
        <v>IRP_HE</v>
      </c>
      <c r="Y38" s="151" t="str">
        <f t="shared" si="91"/>
        <v>METPinf</v>
      </c>
      <c r="Z38" s="151" t="str">
        <f t="shared" si="91"/>
        <v>MEP</v>
      </c>
      <c r="AA38" s="151" t="str">
        <f t="shared" si="91"/>
        <v>MDP</v>
      </c>
      <c r="AB38" s="151" t="str">
        <f t="shared" si="91"/>
        <v>NLTP</v>
      </c>
      <c r="AC38" s="151" t="str">
        <f t="shared" si="91"/>
        <v>ODPinf</v>
      </c>
      <c r="AD38" s="151" t="str">
        <f t="shared" si="91"/>
        <v>PMFP</v>
      </c>
      <c r="AE38" s="151" t="str">
        <f t="shared" si="91"/>
        <v>POFP</v>
      </c>
      <c r="AF38" s="151" t="str">
        <f t="shared" si="91"/>
        <v>TAP100</v>
      </c>
      <c r="AG38" s="151" t="str">
        <f t="shared" si="91"/>
        <v>TETPinf</v>
      </c>
      <c r="AH38" s="151" t="str">
        <f t="shared" si="91"/>
        <v>ULOP</v>
      </c>
      <c r="AI38" s="152" t="str">
        <f t="shared" si="91"/>
        <v>WDP</v>
      </c>
    </row>
    <row r="39" spans="2:64" x14ac:dyDescent="0.25">
      <c r="B39" s="137"/>
      <c r="C39" s="135" t="s">
        <v>593</v>
      </c>
      <c r="D39" s="136"/>
      <c r="E39" s="136">
        <v>1</v>
      </c>
      <c r="F39" s="136" t="s">
        <v>357</v>
      </c>
      <c r="G39" s="136"/>
      <c r="H39" s="106">
        <f t="shared" ref="H39:AI39" si="92">(SUMPRODUCT($E$3:$E$5,H3:H5)+SUMPRODUCT($E$9:$E$11,H9:H11))/$E$38</f>
        <v>0.52178302691283596</v>
      </c>
      <c r="I39" s="106">
        <f t="shared" si="92"/>
        <v>0.1610134487767276</v>
      </c>
      <c r="J39" s="106">
        <f t="shared" si="92"/>
        <v>5.8595931394201495</v>
      </c>
      <c r="K39" s="106">
        <f t="shared" si="92"/>
        <v>1.1324718997922761E-2</v>
      </c>
      <c r="L39" s="106">
        <f t="shared" si="92"/>
        <v>0.80586864578261208</v>
      </c>
      <c r="M39" s="106">
        <f t="shared" si="92"/>
        <v>2.1742849632328358E-4</v>
      </c>
      <c r="N39" s="106">
        <f t="shared" si="92"/>
        <v>1.54311303233097E-3</v>
      </c>
      <c r="O39" s="106">
        <f t="shared" si="92"/>
        <v>0.4085075889945709</v>
      </c>
      <c r="P39" s="106">
        <f t="shared" si="92"/>
        <v>9.1207207428302239E-2</v>
      </c>
      <c r="Q39" s="106">
        <f t="shared" si="92"/>
        <v>7.3392752909289394</v>
      </c>
      <c r="R39" s="106">
        <f t="shared" si="92"/>
        <v>3.4920338181529856E-2</v>
      </c>
      <c r="S39" s="106">
        <f t="shared" si="92"/>
        <v>0.51164124817229484</v>
      </c>
      <c r="T39" s="106">
        <f t="shared" si="92"/>
        <v>0.14456602266460819</v>
      </c>
      <c r="U39" s="106">
        <f t="shared" si="92"/>
        <v>0.14880911275041045</v>
      </c>
      <c r="V39" s="106">
        <f t="shared" si="92"/>
        <v>5.6829333582287308E-4</v>
      </c>
      <c r="W39" s="106">
        <f t="shared" si="92"/>
        <v>0.74187283760070888</v>
      </c>
      <c r="X39" s="106">
        <f t="shared" si="92"/>
        <v>5.2914390571805976E-2</v>
      </c>
      <c r="Y39" s="106">
        <f t="shared" si="92"/>
        <v>0.13197961547358208</v>
      </c>
      <c r="Z39" s="106">
        <f t="shared" si="92"/>
        <v>3.8824432578718292E-4</v>
      </c>
      <c r="AA39" s="106">
        <f t="shared" si="92"/>
        <v>0.30070549663416046</v>
      </c>
      <c r="AB39" s="106">
        <f t="shared" si="92"/>
        <v>-7.1372307453955219E-5</v>
      </c>
      <c r="AC39" s="106">
        <f t="shared" si="92"/>
        <v>3.5882611727593278E-8</v>
      </c>
      <c r="AD39" s="106">
        <f t="shared" si="92"/>
        <v>1.5115830690408585E-3</v>
      </c>
      <c r="AE39" s="106">
        <f t="shared" si="92"/>
        <v>1.9676826786188431E-3</v>
      </c>
      <c r="AF39" s="106">
        <f t="shared" si="92"/>
        <v>2.4508483285076493E-3</v>
      </c>
      <c r="AG39" s="106">
        <f t="shared" si="92"/>
        <v>1.1296044855666416E-4</v>
      </c>
      <c r="AH39" s="106">
        <f t="shared" si="92"/>
        <v>5.7892472890600745E-3</v>
      </c>
      <c r="AI39" s="210">
        <f t="shared" si="92"/>
        <v>4.7479927591960822E-3</v>
      </c>
    </row>
    <row r="40" spans="2:64" x14ac:dyDescent="0.25">
      <c r="B40" s="137"/>
      <c r="C40" s="135" t="str">
        <f>Electricity_LCIA!B30</f>
        <v>Virtual</v>
      </c>
      <c r="D40" s="136" t="str">
        <f>Electricity_LCIA!C30</f>
        <v>1_Hub_10%IP</v>
      </c>
      <c r="E40" s="214">
        <f>SUM(E6:E8,E12:E23)/$E$38</f>
        <v>10.803133279788913</v>
      </c>
      <c r="F40" s="136" t="s">
        <v>833</v>
      </c>
      <c r="G40" s="136"/>
      <c r="H40" s="106">
        <f>$E40*Electricity_LCIA!G32</f>
        <v>5.2657215759501277</v>
      </c>
      <c r="I40" s="106">
        <f>$E40*Electricity_LCIA!H32</f>
        <v>2.0117842357435367</v>
      </c>
      <c r="J40" s="106">
        <f>$E40*Electricity_LCIA!I32</f>
        <v>63.061744493672307</v>
      </c>
      <c r="K40" s="106">
        <f>$E40*Electricity_LCIA!J32</f>
        <v>0.37537460539632322</v>
      </c>
      <c r="L40" s="106">
        <f>$E40*Electricity_LCIA!K32</f>
        <v>33.513410048923795</v>
      </c>
      <c r="M40" s="106">
        <f>$E40*Electricity_LCIA!L32</f>
        <v>9.5270217709007951E-4</v>
      </c>
      <c r="N40" s="106">
        <f>$E40*Electricity_LCIA!M32</f>
        <v>1.1504230622866756</v>
      </c>
      <c r="O40" s="106">
        <f>$E40*Electricity_LCIA!N32</f>
        <v>7.277806682848019</v>
      </c>
      <c r="P40" s="106">
        <f>$E40*Electricity_LCIA!O32</f>
        <v>2.8243039813642712</v>
      </c>
      <c r="Q40" s="106">
        <f>$E40*Electricity_LCIA!P32</f>
        <v>110.21579981241196</v>
      </c>
      <c r="R40" s="106">
        <f>$E40*Electricity_LCIA!Q32</f>
        <v>0.37564537145860311</v>
      </c>
      <c r="S40" s="106">
        <f>$E40*Electricity_LCIA!R32</f>
        <v>5.2144820316096805</v>
      </c>
      <c r="T40" s="106">
        <f>$E40*Electricity_LCIA!S32</f>
        <v>1.6053514114261218</v>
      </c>
      <c r="U40" s="106">
        <f>$E40*Electricity_LCIA!T32</f>
        <v>0.29724884650373451</v>
      </c>
      <c r="V40" s="106">
        <f>$E40*Electricity_LCIA!U32</f>
        <v>4.127128715181316E-3</v>
      </c>
      <c r="W40" s="106">
        <f>$E40*Electricity_LCIA!V32</f>
        <v>2.78320562616668</v>
      </c>
      <c r="X40" s="106">
        <f>$E40*Electricity_LCIA!W32</f>
        <v>2.2910781990297089</v>
      </c>
      <c r="Y40" s="106">
        <f>$E40*Electricity_LCIA!X32</f>
        <v>0.25567062977785798</v>
      </c>
      <c r="Z40" s="106">
        <f>$E40*Electricity_LCIA!Y32</f>
        <v>1.2770016819931783E-3</v>
      </c>
      <c r="AA40" s="106">
        <f>$E40*Electricity_LCIA!Z32</f>
        <v>0.12212969431673434</v>
      </c>
      <c r="AB40" s="106">
        <f>$E40*Electricity_LCIA!AA32</f>
        <v>-5.7910735019838476E-4</v>
      </c>
      <c r="AC40" s="106">
        <f>$E40*Electricity_LCIA!AB32</f>
        <v>2.0495563831519238E-7</v>
      </c>
      <c r="AD40" s="106">
        <f>$E40*Electricity_LCIA!AC32</f>
        <v>1.2844203120841892E-2</v>
      </c>
      <c r="AE40" s="106">
        <f>$E40*Electricity_LCIA!AD32</f>
        <v>8.7917289081615776E-3</v>
      </c>
      <c r="AF40" s="106">
        <f>$E40*Electricity_LCIA!AE32</f>
        <v>1.4573659216937134E-2</v>
      </c>
      <c r="AG40" s="106">
        <f>$E40*Electricity_LCIA!AF32</f>
        <v>2.8487637437717064E-4</v>
      </c>
      <c r="AH40" s="106">
        <f>$E40*Electricity_LCIA!AG32</f>
        <v>2.3552580831283899E-2</v>
      </c>
      <c r="AI40" s="210">
        <f>$E40*Electricity_LCIA!AH32</f>
        <v>5.4274096189015471E-2</v>
      </c>
    </row>
    <row r="41" spans="2:64" x14ac:dyDescent="0.25">
      <c r="B41" s="137"/>
      <c r="C41" s="135" t="str">
        <f>Electricity_LCIA!B33</f>
        <v>Virtual</v>
      </c>
      <c r="D41" s="136" t="str">
        <f>Electricity_LCIA!C33</f>
        <v>1_Hub_30%IP</v>
      </c>
      <c r="E41" s="106">
        <f>E40</f>
        <v>10.803133279788913</v>
      </c>
      <c r="F41" s="136" t="s">
        <v>833</v>
      </c>
      <c r="G41" s="136"/>
      <c r="H41" s="106">
        <f>$E41*Electricity_LCIA!G33</f>
        <v>5.7259804900411977</v>
      </c>
      <c r="I41" s="106">
        <f>$E41*Electricity_LCIA!H33</f>
        <v>2.1865804451796333</v>
      </c>
      <c r="J41" s="106">
        <f>$E41*Electricity_LCIA!I33</f>
        <v>68.954976339524663</v>
      </c>
      <c r="K41" s="106">
        <f>$E41*Electricity_LCIA!J33</f>
        <v>0.53511239862044846</v>
      </c>
      <c r="L41" s="106">
        <f>$E41*Electricity_LCIA!K33</f>
        <v>24.795982676833386</v>
      </c>
      <c r="M41" s="106">
        <f>$E41*Electricity_LCIA!L33</f>
        <v>1.3001674347870534E-3</v>
      </c>
      <c r="N41" s="106">
        <f>$E41*Electricity_LCIA!M33</f>
        <v>1.5292012527656276</v>
      </c>
      <c r="O41" s="106">
        <f>$E41*Electricity_LCIA!N33</f>
        <v>6.7769412360106651</v>
      </c>
      <c r="P41" s="106">
        <f>$E41*Electricity_LCIA!O33</f>
        <v>3.9386374575522738</v>
      </c>
      <c r="Q41" s="106">
        <f>$E41*Electricity_LCIA!P33</f>
        <v>108.71873197392145</v>
      </c>
      <c r="R41" s="106">
        <f>$E41*Electricity_LCIA!Q33</f>
        <v>0.34002383125873059</v>
      </c>
      <c r="S41" s="106">
        <f>$E41*Electricity_LCIA!R33</f>
        <v>5.6745625321714446</v>
      </c>
      <c r="T41" s="106">
        <f>$E41*Electricity_LCIA!S33</f>
        <v>1.7430034202452638</v>
      </c>
      <c r="U41" s="106">
        <f>$E41*Electricity_LCIA!T33</f>
        <v>0.32518385266198097</v>
      </c>
      <c r="V41" s="106">
        <f>$E41*Electricity_LCIA!U33</f>
        <v>5.5280751713565265E-3</v>
      </c>
      <c r="W41" s="106">
        <f>$E41*Electricity_LCIA!V33</f>
        <v>3.6251566535227173</v>
      </c>
      <c r="X41" s="106">
        <f>$E41*Electricity_LCIA!W33</f>
        <v>1.655499009897393</v>
      </c>
      <c r="Y41" s="106">
        <f>$E41*Electricity_LCIA!X33</f>
        <v>0.28208799709078541</v>
      </c>
      <c r="Z41" s="106">
        <f>$E41*Electricity_LCIA!Y33</f>
        <v>1.5810912723689008E-3</v>
      </c>
      <c r="AA41" s="106">
        <f>$E41*Electricity_LCIA!Z33</f>
        <v>0.12519466825929079</v>
      </c>
      <c r="AB41" s="106">
        <f>$E41*Electricity_LCIA!AA33</f>
        <v>-2.998162183944579E-4</v>
      </c>
      <c r="AC41" s="106">
        <f>$E41*Electricity_LCIA!AB33</f>
        <v>2.0989601718723009E-7</v>
      </c>
      <c r="AD41" s="106">
        <f>$E41*Electricity_LCIA!AC33</f>
        <v>1.7545629921421193E-2</v>
      </c>
      <c r="AE41" s="106">
        <f>$E41*Electricity_LCIA!AD33</f>
        <v>9.68703237672109E-3</v>
      </c>
      <c r="AF41" s="106">
        <f>$E41*Electricity_LCIA!AE33</f>
        <v>1.5925372573813584E-2</v>
      </c>
      <c r="AG41" s="106">
        <f>$E41*Electricity_LCIA!AF33</f>
        <v>2.9468475056413924E-4</v>
      </c>
      <c r="AH41" s="106">
        <f>$E41*Electricity_LCIA!AG33</f>
        <v>2.4817213020959558E-2</v>
      </c>
      <c r="AI41" s="210">
        <f>$E41*Electricity_LCIA!AH33</f>
        <v>4.2789462587301319E-2</v>
      </c>
    </row>
    <row r="42" spans="2:64" x14ac:dyDescent="0.25">
      <c r="B42" s="137"/>
      <c r="C42" s="135" t="str">
        <f>Electricity_LCIA!B36</f>
        <v>Virtual</v>
      </c>
      <c r="D42" s="136" t="str">
        <f>Electricity_LCIA!C36</f>
        <v>1_Hub_50%IP</v>
      </c>
      <c r="E42" s="106">
        <f t="shared" ref="E42:E93" si="93">E41</f>
        <v>10.803133279788913</v>
      </c>
      <c r="F42" s="136" t="s">
        <v>833</v>
      </c>
      <c r="G42" s="136"/>
      <c r="H42" s="106">
        <f>$E42*Electricity_LCIA!G36</f>
        <v>5.5860673441491882</v>
      </c>
      <c r="I42" s="106">
        <f>$E42*Electricity_LCIA!H36</f>
        <v>2.2418182364729788</v>
      </c>
      <c r="J42" s="106">
        <f>$E42*Electricity_LCIA!I36</f>
        <v>68.62363432856371</v>
      </c>
      <c r="K42" s="106">
        <f>$E42*Electricity_LCIA!J36</f>
        <v>0.74906763382239749</v>
      </c>
      <c r="L42" s="106">
        <f>$E42*Electricity_LCIA!K36</f>
        <v>17.356092089774641</v>
      </c>
      <c r="M42" s="106">
        <f>$E42*Electricity_LCIA!L36</f>
        <v>1.7463000594673029E-3</v>
      </c>
      <c r="N42" s="106">
        <f>$E42*Electricity_LCIA!M36</f>
        <v>2.014556108646306</v>
      </c>
      <c r="O42" s="106">
        <f>$E42*Electricity_LCIA!N36</f>
        <v>8.0854384820651237</v>
      </c>
      <c r="P42" s="106">
        <f>$E42*Electricity_LCIA!O36</f>
        <v>4.569885680690259</v>
      </c>
      <c r="Q42" s="106">
        <f>$E42*Electricity_LCIA!P36</f>
        <v>103.64223886009493</v>
      </c>
      <c r="R42" s="106">
        <f>$E42*Electricity_LCIA!Q36</f>
        <v>0.32976463676240286</v>
      </c>
      <c r="S42" s="106">
        <f>$E42*Electricity_LCIA!R36</f>
        <v>5.5377788632705904</v>
      </c>
      <c r="T42" s="106">
        <f>$E42*Electricity_LCIA!S36</f>
        <v>1.7373212199697299</v>
      </c>
      <c r="U42" s="106">
        <f>$E42*Electricity_LCIA!T36</f>
        <v>0.33295733508884245</v>
      </c>
      <c r="V42" s="106">
        <f>$E42*Electricity_LCIA!U36</f>
        <v>6.0190644214545537E-3</v>
      </c>
      <c r="W42" s="106">
        <f>$E42*Electricity_LCIA!V36</f>
        <v>3.8965345546021588</v>
      </c>
      <c r="X42" s="106">
        <f>$E42*Electricity_LCIA!W36</f>
        <v>1.1358194016586685</v>
      </c>
      <c r="Y42" s="106">
        <f>$E42*Electricity_LCIA!X36</f>
        <v>0.29013090323818286</v>
      </c>
      <c r="Z42" s="106">
        <f>$E42*Electricity_LCIA!Y36</f>
        <v>1.6712753053907533E-3</v>
      </c>
      <c r="AA42" s="106">
        <f>$E42*Electricity_LCIA!Z36</f>
        <v>0.12562708397755676</v>
      </c>
      <c r="AB42" s="106">
        <f>$E42*Electricity_LCIA!AA36</f>
        <v>-2.1057897907965972E-4</v>
      </c>
      <c r="AC42" s="106">
        <f>$E42*Electricity_LCIA!AB36</f>
        <v>2.1212336492293575E-7</v>
      </c>
      <c r="AD42" s="106">
        <f>$E42*Electricity_LCIA!AC36</f>
        <v>1.8705135614868477E-2</v>
      </c>
      <c r="AE42" s="106">
        <f>$E42*Electricity_LCIA!AD36</f>
        <v>9.7234315743115075E-3</v>
      </c>
      <c r="AF42" s="106">
        <f>$E42*Electricity_LCIA!AE36</f>
        <v>1.5221935830931975E-2</v>
      </c>
      <c r="AG42" s="106">
        <f>$E42*Electricity_LCIA!AF36</f>
        <v>2.9384182160110527E-4</v>
      </c>
      <c r="AH42" s="106">
        <f>$E42*Electricity_LCIA!AG36</f>
        <v>2.4583889058931822E-2</v>
      </c>
      <c r="AI42" s="210">
        <f>$E42*Electricity_LCIA!AH36</f>
        <v>4.0646898014634905E-2</v>
      </c>
    </row>
    <row r="43" spans="2:64" x14ac:dyDescent="0.25">
      <c r="B43" s="137"/>
      <c r="C43" s="135" t="str">
        <f>Electricity_LCIA!B39</f>
        <v>Virtual</v>
      </c>
      <c r="D43" s="136" t="str">
        <f>Electricity_LCIA!C39</f>
        <v>1_Hub_70%IP</v>
      </c>
      <c r="E43" s="106">
        <f t="shared" si="93"/>
        <v>10.803133279788913</v>
      </c>
      <c r="F43" s="136" t="s">
        <v>833</v>
      </c>
      <c r="G43" s="136"/>
      <c r="H43" s="106">
        <f>$E43*Electricity_LCIA!G39</f>
        <v>4.9945303538089574</v>
      </c>
      <c r="I43" s="106">
        <f>$E43*Electricity_LCIA!H39</f>
        <v>2.1800628762872969</v>
      </c>
      <c r="J43" s="106">
        <f>$E43*Electricity_LCIA!I39</f>
        <v>63.722461703056254</v>
      </c>
      <c r="K43" s="106">
        <f>$E43*Electricity_LCIA!J39</f>
        <v>0.90752876957363382</v>
      </c>
      <c r="L43" s="106">
        <f>$E43*Electricity_LCIA!K39</f>
        <v>17.853125037493324</v>
      </c>
      <c r="M43" s="106">
        <f>$E43*Electricity_LCIA!L39</f>
        <v>2.7709037288537199E-3</v>
      </c>
      <c r="N43" s="106">
        <f>$E43*Electricity_LCIA!M39</f>
        <v>2.4685159658982503</v>
      </c>
      <c r="O43" s="106">
        <f>$E43*Electricity_LCIA!N39</f>
        <v>10.237381150129838</v>
      </c>
      <c r="P43" s="106">
        <f>$E43*Electricity_LCIA!O39</f>
        <v>3.8590588901810552</v>
      </c>
      <c r="Q43" s="106">
        <f>$E43*Electricity_LCIA!P39</f>
        <v>101.23090529634847</v>
      </c>
      <c r="R43" s="106">
        <f>$E43*Electricity_LCIA!Q39</f>
        <v>0.32135185044497783</v>
      </c>
      <c r="S43" s="106">
        <f>$E43*Electricity_LCIA!R39</f>
        <v>4.9503847711260054</v>
      </c>
      <c r="T43" s="106">
        <f>$E43*Electricity_LCIA!S39</f>
        <v>1.6309766266217594</v>
      </c>
      <c r="U43" s="106">
        <f>$E43*Electricity_LCIA!T39</f>
        <v>0.30945859572936396</v>
      </c>
      <c r="V43" s="106">
        <f>$E43*Electricity_LCIA!U39</f>
        <v>4.6770539378994513E-3</v>
      </c>
      <c r="W43" s="106">
        <f>$E43*Electricity_LCIA!V39</f>
        <v>3.0763582285208253</v>
      </c>
      <c r="X43" s="106">
        <f>$E43*Electricity_LCIA!W39</f>
        <v>1.2027784618117907</v>
      </c>
      <c r="Y43" s="106">
        <f>$E43*Electricity_LCIA!X39</f>
        <v>0.26963161295717075</v>
      </c>
      <c r="Z43" s="106">
        <f>$E43*Electricity_LCIA!Y39</f>
        <v>1.4034176551233706E-3</v>
      </c>
      <c r="AA43" s="106">
        <f>$E43*Electricity_LCIA!Z39</f>
        <v>0.12769024929589071</v>
      </c>
      <c r="AB43" s="106">
        <f>$E43*Electricity_LCIA!AA39</f>
        <v>-2.1011672527934216E-4</v>
      </c>
      <c r="AC43" s="106">
        <f>$E43*Electricity_LCIA!AB39</f>
        <v>2.2146158831094896E-7</v>
      </c>
      <c r="AD43" s="106">
        <f>$E43*Electricity_LCIA!AC39</f>
        <v>1.1539773730826732E-2</v>
      </c>
      <c r="AE43" s="106">
        <f>$E43*Electricity_LCIA!AD39</f>
        <v>9.5377916556686135E-3</v>
      </c>
      <c r="AF43" s="106">
        <f>$E43*Electricity_LCIA!AE39</f>
        <v>1.3646776665642108E-2</v>
      </c>
      <c r="AG43" s="106">
        <f>$E43*Electricity_LCIA!AF39</f>
        <v>2.7724214553623375E-4</v>
      </c>
      <c r="AH43" s="106">
        <f>$E43*Electricity_LCIA!AG39</f>
        <v>2.4750735510969256E-2</v>
      </c>
      <c r="AI43" s="210">
        <f>$E43*Electricity_LCIA!AH39</f>
        <v>4.974181136047244E-2</v>
      </c>
    </row>
    <row r="44" spans="2:64" x14ac:dyDescent="0.25">
      <c r="B44" s="137"/>
      <c r="C44" s="135" t="str">
        <f>Electricity_LCIA!B42</f>
        <v>Virtual</v>
      </c>
      <c r="D44" s="136" t="str">
        <f>Electricity_LCIA!C42</f>
        <v>1_Hub_90%IP</v>
      </c>
      <c r="E44" s="106">
        <f t="shared" si="93"/>
        <v>10.803133279788913</v>
      </c>
      <c r="F44" s="136" t="s">
        <v>833</v>
      </c>
      <c r="G44" s="136"/>
      <c r="H44" s="106">
        <f>$E44*Electricity_LCIA!G42</f>
        <v>4.8649895088293746</v>
      </c>
      <c r="I44" s="106">
        <f>$E44*Electricity_LCIA!H42</f>
        <v>2.7637764753895717</v>
      </c>
      <c r="J44" s="106">
        <f>$E44*Electricity_LCIA!I42</f>
        <v>63.5662417623276</v>
      </c>
      <c r="K44" s="106">
        <f>$E44*Electricity_LCIA!J42</f>
        <v>0.18290114593161297</v>
      </c>
      <c r="L44" s="106">
        <f>$E44*Electricity_LCIA!K42</f>
        <v>27.016273005200624</v>
      </c>
      <c r="M44" s="106">
        <f>$E44*Electricity_LCIA!L42</f>
        <v>7.8705040302413289E-3</v>
      </c>
      <c r="N44" s="106">
        <f>$E44*Electricity_LCIA!M42</f>
        <v>2.2639503721851377</v>
      </c>
      <c r="O44" s="106">
        <f>$E44*Electricity_LCIA!N42</f>
        <v>9.6182675122212054</v>
      </c>
      <c r="P44" s="106">
        <f>$E44*Electricity_LCIA!O42</f>
        <v>3.9101481773031588</v>
      </c>
      <c r="Q44" s="106">
        <f>$E44*Electricity_LCIA!P42</f>
        <v>109.32942895458913</v>
      </c>
      <c r="R44" s="106">
        <f>$E44*Electricity_LCIA!Q42</f>
        <v>0.38273821038774136</v>
      </c>
      <c r="S44" s="106">
        <f>$E44*Electricity_LCIA!R42</f>
        <v>4.8128362457492715</v>
      </c>
      <c r="T44" s="106">
        <f>$E44*Electricity_LCIA!S42</f>
        <v>1.6198537869319176</v>
      </c>
      <c r="U44" s="106">
        <f>$E44*Electricity_LCIA!T42</f>
        <v>0.26167463147497122</v>
      </c>
      <c r="V44" s="106">
        <f>$E44*Electricity_LCIA!U42</f>
        <v>2.4236758439961166E-3</v>
      </c>
      <c r="W44" s="106">
        <f>$E44*Electricity_LCIA!V42</f>
        <v>1.8261971862381485</v>
      </c>
      <c r="X44" s="106">
        <f>$E44*Electricity_LCIA!W42</f>
        <v>1.7028794198493586</v>
      </c>
      <c r="Y44" s="106">
        <f>$E44*Electricity_LCIA!X42</f>
        <v>0.22863950278431994</v>
      </c>
      <c r="Z44" s="106">
        <f>$E44*Electricity_LCIA!Y42</f>
        <v>1.0774109809353818E-3</v>
      </c>
      <c r="AA44" s="106">
        <f>$E44*Electricity_LCIA!Z42</f>
        <v>0.13379947802420755</v>
      </c>
      <c r="AB44" s="106">
        <f>$E44*Electricity_LCIA!AA42</f>
        <v>-2.0551951824715687E-4</v>
      </c>
      <c r="AC44" s="106">
        <f>$E44*Electricity_LCIA!AB42</f>
        <v>2.4025278577219863E-7</v>
      </c>
      <c r="AD44" s="106">
        <f>$E44*Electricity_LCIA!AC42</f>
        <v>6.9623791712549689E-3</v>
      </c>
      <c r="AE44" s="106">
        <f>$E44*Electricity_LCIA!AD42</f>
        <v>1.0960850496884401E-2</v>
      </c>
      <c r="AF44" s="106">
        <f>$E44*Electricity_LCIA!AE42</f>
        <v>1.5997080755624688E-2</v>
      </c>
      <c r="AG44" s="106">
        <f>$E44*Electricity_LCIA!AF42</f>
        <v>2.6834477025489394E-4</v>
      </c>
      <c r="AH44" s="106">
        <f>$E44*Electricity_LCIA!AG42</f>
        <v>2.8614822018279355E-2</v>
      </c>
      <c r="AI44" s="210">
        <f>$E44*Electricity_LCIA!AH42</f>
        <v>5.9614333362598949E-2</v>
      </c>
    </row>
    <row r="45" spans="2:64" x14ac:dyDescent="0.25">
      <c r="B45" s="137"/>
      <c r="C45" s="135" t="str">
        <f>Electricity_LCIA!B45</f>
        <v>Virtual</v>
      </c>
      <c r="D45" s="136" t="str">
        <f>Electricity_LCIA!C45</f>
        <v>2_Hub_10%IP</v>
      </c>
      <c r="E45" s="106">
        <f t="shared" si="93"/>
        <v>10.803133279788913</v>
      </c>
      <c r="F45" s="136" t="s">
        <v>833</v>
      </c>
      <c r="G45" s="136"/>
      <c r="H45" s="106">
        <f>$E45*Electricity_LCIA!G45</f>
        <v>5.2644017687631646</v>
      </c>
      <c r="I45" s="106">
        <f>$E45*Electricity_LCIA!H45</f>
        <v>2.1296169604597694</v>
      </c>
      <c r="J45" s="106">
        <f>$E45*Electricity_LCIA!I45</f>
        <v>63.220782855981838</v>
      </c>
      <c r="K45" s="106">
        <f>$E45*Electricity_LCIA!J45</f>
        <v>0.31939717057281292</v>
      </c>
      <c r="L45" s="106">
        <f>$E45*Electricity_LCIA!K45</f>
        <v>32.644552803670869</v>
      </c>
      <c r="M45" s="106">
        <f>$E45*Electricity_LCIA!L45</f>
        <v>1.0472614101814119E-3</v>
      </c>
      <c r="N45" s="106">
        <f>$E45*Electricity_LCIA!M45</f>
        <v>1.071087099371083</v>
      </c>
      <c r="O45" s="106">
        <f>$E45*Electricity_LCIA!N45</f>
        <v>7.5485514937286018</v>
      </c>
      <c r="P45" s="106">
        <f>$E45*Electricity_LCIA!O45</f>
        <v>3.2269453018423997</v>
      </c>
      <c r="Q45" s="106">
        <f>$E45*Electricity_LCIA!P45</f>
        <v>110.16198094703749</v>
      </c>
      <c r="R45" s="106">
        <f>$E45*Electricity_LCIA!Q45</f>
        <v>0.4008371644041544</v>
      </c>
      <c r="S45" s="106">
        <f>$E45*Electricity_LCIA!R45</f>
        <v>5.2140878592895303</v>
      </c>
      <c r="T45" s="106">
        <f>$E45*Electricity_LCIA!S45</f>
        <v>1.6082941313142984</v>
      </c>
      <c r="U45" s="106">
        <f>$E45*Electricity_LCIA!T45</f>
        <v>0.3003835299117561</v>
      </c>
      <c r="V45" s="106">
        <f>$E45*Electricity_LCIA!U45</f>
        <v>4.4056976970527429E-3</v>
      </c>
      <c r="W45" s="106">
        <f>$E45*Electricity_LCIA!V45</f>
        <v>2.9517382616300614</v>
      </c>
      <c r="X45" s="106">
        <f>$E45*Electricity_LCIA!W45</f>
        <v>2.2477919567939311</v>
      </c>
      <c r="Y45" s="106">
        <f>$E45*Electricity_LCIA!X45</f>
        <v>0.25896780957318449</v>
      </c>
      <c r="Z45" s="106">
        <f>$E45*Electricity_LCIA!Y45</f>
        <v>1.3350432982873273E-3</v>
      </c>
      <c r="AA45" s="106">
        <f>$E45*Electricity_LCIA!Z45</f>
        <v>0.12176207311782429</v>
      </c>
      <c r="AB45" s="106">
        <f>$E45*Electricity_LCIA!AA45</f>
        <v>-6.2522507451425791E-4</v>
      </c>
      <c r="AC45" s="106">
        <f>$E45*Electricity_LCIA!AB45</f>
        <v>2.0449289234073532E-7</v>
      </c>
      <c r="AD45" s="106">
        <f>$E45*Electricity_LCIA!AC45</f>
        <v>1.387813306726284E-2</v>
      </c>
      <c r="AE45" s="106">
        <f>$E45*Electricity_LCIA!AD45</f>
        <v>8.8326562426044065E-3</v>
      </c>
      <c r="AF45" s="106">
        <f>$E45*Electricity_LCIA!AE45</f>
        <v>1.4777818296566997E-2</v>
      </c>
      <c r="AG45" s="106">
        <f>$E45*Electricity_LCIA!AF45</f>
        <v>2.7967341116320632E-4</v>
      </c>
      <c r="AH45" s="106">
        <f>$E45*Electricity_LCIA!AG45</f>
        <v>2.3041251860526038E-2</v>
      </c>
      <c r="AI45" s="210">
        <f>$E45*Electricity_LCIA!AH45</f>
        <v>5.7832694583119432E-2</v>
      </c>
    </row>
    <row r="46" spans="2:64" x14ac:dyDescent="0.25">
      <c r="B46" s="137"/>
      <c r="C46" s="135" t="str">
        <f>Electricity_LCIA!B50</f>
        <v>Virtual</v>
      </c>
      <c r="D46" s="136" t="str">
        <f>Electricity_LCIA!C50</f>
        <v>2_Hub_30%IP</v>
      </c>
      <c r="E46" s="106">
        <f t="shared" si="93"/>
        <v>10.803133279788913</v>
      </c>
      <c r="F46" s="136" t="s">
        <v>833</v>
      </c>
      <c r="G46" s="136"/>
      <c r="H46" s="106">
        <f>$E46*Electricity_LCIA!G50</f>
        <v>5.1201401307474512</v>
      </c>
      <c r="I46" s="106">
        <f>$E46*Electricity_LCIA!H50</f>
        <v>2.1161266828099232</v>
      </c>
      <c r="J46" s="106">
        <f>$E46*Electricity_LCIA!I50</f>
        <v>62.384760601989647</v>
      </c>
      <c r="K46" s="106">
        <f>$E46*Electricity_LCIA!J50</f>
        <v>0.53475752730154469</v>
      </c>
      <c r="L46" s="106">
        <f>$E46*Electricity_LCIA!K50</f>
        <v>26.918562954750882</v>
      </c>
      <c r="M46" s="106">
        <f>$E46*Electricity_LCIA!L50</f>
        <v>1.2893978154065514E-3</v>
      </c>
      <c r="N46" s="106">
        <f>$E46*Electricity_LCIA!M50</f>
        <v>1.5465419660816562</v>
      </c>
      <c r="O46" s="106">
        <f>$E46*Electricity_LCIA!N50</f>
        <v>9.3149087606494465</v>
      </c>
      <c r="P46" s="106">
        <f>$E46*Electricity_LCIA!O50</f>
        <v>3.4196025315327669</v>
      </c>
      <c r="Q46" s="106">
        <f>$E46*Electricity_LCIA!P50</f>
        <v>106.23655042293126</v>
      </c>
      <c r="R46" s="106">
        <f>$E46*Electricity_LCIA!Q50</f>
        <v>0.42063576372734635</v>
      </c>
      <c r="S46" s="106">
        <f>$E46*Electricity_LCIA!R50</f>
        <v>5.072748274913967</v>
      </c>
      <c r="T46" s="106">
        <f>$E46*Electricity_LCIA!S50</f>
        <v>1.5861182790601096</v>
      </c>
      <c r="U46" s="106">
        <f>$E46*Electricity_LCIA!T50</f>
        <v>0.30118613518604725</v>
      </c>
      <c r="V46" s="106">
        <f>$E46*Electricity_LCIA!U50</f>
        <v>4.6456772605733086E-3</v>
      </c>
      <c r="W46" s="106">
        <f>$E46*Electricity_LCIA!V50</f>
        <v>3.0746824006601305</v>
      </c>
      <c r="X46" s="106">
        <f>$E46*Electricity_LCIA!W50</f>
        <v>1.8801021973140253</v>
      </c>
      <c r="Y46" s="106">
        <f>$E46*Electricity_LCIA!X50</f>
        <v>0.26058795596709905</v>
      </c>
      <c r="Z46" s="106">
        <f>$E46*Electricity_LCIA!Y50</f>
        <v>1.371269875164328E-3</v>
      </c>
      <c r="AA46" s="106">
        <f>$E46*Electricity_LCIA!Z50</f>
        <v>0.12109101746256537</v>
      </c>
      <c r="AB46" s="106">
        <f>$E46*Electricity_LCIA!AA50</f>
        <v>-7.2884306584465521E-4</v>
      </c>
      <c r="AC46" s="106">
        <f>$E46*Electricity_LCIA!AB50</f>
        <v>2.0140108620122476E-7</v>
      </c>
      <c r="AD46" s="106">
        <f>$E46*Electricity_LCIA!AC50</f>
        <v>1.4215615362499138E-2</v>
      </c>
      <c r="AE46" s="106">
        <f>$E46*Electricity_LCIA!AD50</f>
        <v>8.718266801422658E-3</v>
      </c>
      <c r="AF46" s="106">
        <f>$E46*Electricity_LCIA!AE50</f>
        <v>1.3870765610492518E-2</v>
      </c>
      <c r="AG46" s="106">
        <f>$E46*Electricity_LCIA!AF50</f>
        <v>2.7820282128319311E-4</v>
      </c>
      <c r="AH46" s="106">
        <f>$E46*Electricity_LCIA!AG50</f>
        <v>2.3673618727386353E-2</v>
      </c>
      <c r="AI46" s="210">
        <f>$E46*Electricity_LCIA!AH50</f>
        <v>6.3034570632804668E-2</v>
      </c>
    </row>
    <row r="47" spans="2:64" x14ac:dyDescent="0.25">
      <c r="B47" s="137"/>
      <c r="C47" s="135" t="str">
        <f>Electricity_LCIA!B55</f>
        <v>Virtual</v>
      </c>
      <c r="D47" s="136" t="str">
        <f>Electricity_LCIA!C55</f>
        <v>2_Hub_50%IP</v>
      </c>
      <c r="E47" s="106">
        <f t="shared" si="93"/>
        <v>10.803133279788913</v>
      </c>
      <c r="F47" s="136" t="s">
        <v>833</v>
      </c>
      <c r="G47" s="136"/>
      <c r="H47" s="106">
        <f>$E47*Electricity_LCIA!G55</f>
        <v>5.3734052334175333</v>
      </c>
      <c r="I47" s="106">
        <f>$E47*Electricity_LCIA!H55</f>
        <v>2.3818848187089481</v>
      </c>
      <c r="J47" s="106">
        <f>$E47*Electricity_LCIA!I55</f>
        <v>66.971456292005584</v>
      </c>
      <c r="K47" s="106">
        <f>$E47*Electricity_LCIA!J55</f>
        <v>0.74890983251114052</v>
      </c>
      <c r="L47" s="106">
        <f>$E47*Electricity_LCIA!K55</f>
        <v>19.981529493990603</v>
      </c>
      <c r="M47" s="106">
        <f>$E47*Electricity_LCIA!L55</f>
        <v>1.7483379828911287E-3</v>
      </c>
      <c r="N47" s="106">
        <f>$E47*Electricity_LCIA!M55</f>
        <v>2.0356314069178341</v>
      </c>
      <c r="O47" s="106">
        <f>$E47*Electricity_LCIA!N55</f>
        <v>8.5565054322713507</v>
      </c>
      <c r="P47" s="106">
        <f>$E47*Electricity_LCIA!O55</f>
        <v>3.8127700869691625</v>
      </c>
      <c r="Q47" s="106">
        <f>$E47*Electricity_LCIA!P55</f>
        <v>104.49043570135755</v>
      </c>
      <c r="R47" s="106">
        <f>$E47*Electricity_LCIA!Q55</f>
        <v>0.36846440133778235</v>
      </c>
      <c r="S47" s="106">
        <f>$E47*Electricity_LCIA!R55</f>
        <v>5.3249271603779205</v>
      </c>
      <c r="T47" s="106">
        <f>$E47*Electricity_LCIA!S55</f>
        <v>1.706001194515679</v>
      </c>
      <c r="U47" s="106">
        <f>$E47*Electricity_LCIA!T55</f>
        <v>0.31995191238883453</v>
      </c>
      <c r="V47" s="106">
        <f>$E47*Electricity_LCIA!U55</f>
        <v>5.2848446829777424E-3</v>
      </c>
      <c r="W47" s="106">
        <f>$E47*Electricity_LCIA!V55</f>
        <v>3.4513650112404228</v>
      </c>
      <c r="X47" s="106">
        <f>$E47*Electricity_LCIA!W55</f>
        <v>1.3269786391691514</v>
      </c>
      <c r="Y47" s="106">
        <f>$E47*Electricity_LCIA!X55</f>
        <v>0.27765224357933371</v>
      </c>
      <c r="Z47" s="106">
        <f>$E47*Electricity_LCIA!Y55</f>
        <v>1.5137668099504825E-3</v>
      </c>
      <c r="AA47" s="106">
        <f>$E47*Electricity_LCIA!Z55</f>
        <v>0.12505500433753006</v>
      </c>
      <c r="AB47" s="106">
        <f>$E47*Electricity_LCIA!AA55</f>
        <v>-3.0199464040597574E-4</v>
      </c>
      <c r="AC47" s="106">
        <f>$E47*Electricity_LCIA!AB55</f>
        <v>2.196801849326017E-7</v>
      </c>
      <c r="AD47" s="106">
        <f>$E47*Electricity_LCIA!AC55</f>
        <v>1.5665399519956207E-2</v>
      </c>
      <c r="AE47" s="106">
        <f>$E47*Electricity_LCIA!AD55</f>
        <v>9.3222151952124781E-3</v>
      </c>
      <c r="AF47" s="106">
        <f>$E47*Electricity_LCIA!AE55</f>
        <v>1.4186387519853733E-2</v>
      </c>
      <c r="AG47" s="106">
        <f>$E47*Electricity_LCIA!AF55</f>
        <v>2.9913455374331932E-4</v>
      </c>
      <c r="AH47" s="106">
        <f>$E47*Electricity_LCIA!AG55</f>
        <v>2.4558980200999433E-2</v>
      </c>
      <c r="AI47" s="210">
        <f>$E47*Electricity_LCIA!AH55</f>
        <v>4.4312842311543629E-2</v>
      </c>
    </row>
    <row r="48" spans="2:64" x14ac:dyDescent="0.25">
      <c r="B48" s="137"/>
      <c r="C48" s="135" t="str">
        <f>Electricity_LCIA!B60</f>
        <v>Virtual</v>
      </c>
      <c r="D48" s="136" t="str">
        <f>Electricity_LCIA!C60</f>
        <v>2_Hub_70%IP</v>
      </c>
      <c r="E48" s="106">
        <f t="shared" si="93"/>
        <v>10.803133279788913</v>
      </c>
      <c r="F48" s="136" t="s">
        <v>833</v>
      </c>
      <c r="G48" s="136"/>
      <c r="H48" s="106">
        <f>$E48*Electricity_LCIA!G60</f>
        <v>5.0504176156664613</v>
      </c>
      <c r="I48" s="106">
        <f>$E48*Electricity_LCIA!H60</f>
        <v>2.2666650570528004</v>
      </c>
      <c r="J48" s="106">
        <f>$E48*Electricity_LCIA!I60</f>
        <v>64.561438719424274</v>
      </c>
      <c r="K48" s="106">
        <f>$E48*Electricity_LCIA!J60</f>
        <v>0.92247585969063783</v>
      </c>
      <c r="L48" s="106">
        <f>$E48*Electricity_LCIA!K60</f>
        <v>17.383501462101663</v>
      </c>
      <c r="M48" s="106">
        <f>$E48*Electricity_LCIA!L60</f>
        <v>2.7749384906522018E-3</v>
      </c>
      <c r="N48" s="106">
        <f>$E48*Electricity_LCIA!M60</f>
        <v>2.5103527054952832</v>
      </c>
      <c r="O48" s="106">
        <f>$E48*Electricity_LCIA!N60</f>
        <v>10.05337915165001</v>
      </c>
      <c r="P48" s="106">
        <f>$E48*Electricity_LCIA!O60</f>
        <v>3.5110640018134514</v>
      </c>
      <c r="Q48" s="106">
        <f>$E48*Electricity_LCIA!P60</f>
        <v>101.21165189571873</v>
      </c>
      <c r="R48" s="106">
        <f>$E48*Electricity_LCIA!Q60</f>
        <v>0.32644344297120398</v>
      </c>
      <c r="S48" s="106">
        <f>$E48*Electricity_LCIA!R60</f>
        <v>5.0051699238603176</v>
      </c>
      <c r="T48" s="106">
        <f>$E48*Electricity_LCIA!S60</f>
        <v>1.6541544647805653</v>
      </c>
      <c r="U48" s="106">
        <f>$E48*Electricity_LCIA!T60</f>
        <v>0.30890365583036006</v>
      </c>
      <c r="V48" s="106">
        <f>$E48*Electricity_LCIA!U60</f>
        <v>4.673368553221811E-3</v>
      </c>
      <c r="W48" s="106">
        <f>$E48*Electricity_LCIA!V60</f>
        <v>3.0679876955155287</v>
      </c>
      <c r="X48" s="106">
        <f>$E48*Electricity_LCIA!W60</f>
        <v>1.1406206444356577</v>
      </c>
      <c r="Y48" s="106">
        <f>$E48*Electricity_LCIA!X60</f>
        <v>0.2688916930918322</v>
      </c>
      <c r="Z48" s="106">
        <f>$E48*Electricity_LCIA!Y60</f>
        <v>1.4005557724474968E-3</v>
      </c>
      <c r="AA48" s="106">
        <f>$E48*Electricity_LCIA!Z60</f>
        <v>0.12701287388638255</v>
      </c>
      <c r="AB48" s="106">
        <f>$E48*Electricity_LCIA!AA60</f>
        <v>-1.7933670327868327E-4</v>
      </c>
      <c r="AC48" s="106">
        <f>$E48*Electricity_LCIA!AB60</f>
        <v>2.2470239562482786E-7</v>
      </c>
      <c r="AD48" s="106">
        <f>$E48*Electricity_LCIA!AC60</f>
        <v>1.1429562818507485E-2</v>
      </c>
      <c r="AE48" s="106">
        <f>$E48*Electricity_LCIA!AD60</f>
        <v>9.5210809142426672E-3</v>
      </c>
      <c r="AF48" s="106">
        <f>$E48*Electricity_LCIA!AE60</f>
        <v>1.3462725389712231E-2</v>
      </c>
      <c r="AG48" s="106">
        <f>$E48*Electricity_LCIA!AF60</f>
        <v>2.8342314876583227E-4</v>
      </c>
      <c r="AH48" s="106">
        <f>$E48*Electricity_LCIA!AG60</f>
        <v>2.4947523112450042E-2</v>
      </c>
      <c r="AI48" s="210">
        <f>$E48*Electricity_LCIA!AH60</f>
        <v>4.5384955090897072E-2</v>
      </c>
    </row>
    <row r="49" spans="2:35" x14ac:dyDescent="0.25">
      <c r="B49" s="137"/>
      <c r="C49" s="135" t="str">
        <f>Electricity_LCIA!B65</f>
        <v>Virtual</v>
      </c>
      <c r="D49" s="136" t="str">
        <f>Electricity_LCIA!C65</f>
        <v>2_Hub_90%IP</v>
      </c>
      <c r="E49" s="106">
        <f t="shared" si="93"/>
        <v>10.803133279788913</v>
      </c>
      <c r="F49" s="136" t="s">
        <v>833</v>
      </c>
      <c r="G49" s="136"/>
      <c r="H49" s="106">
        <f>$E49*Electricity_LCIA!G65</f>
        <v>4.8649895088293746</v>
      </c>
      <c r="I49" s="106">
        <f>$E49*Electricity_LCIA!H65</f>
        <v>2.7637764753895717</v>
      </c>
      <c r="J49" s="106">
        <f>$E49*Electricity_LCIA!I65</f>
        <v>63.5662417623276</v>
      </c>
      <c r="K49" s="106">
        <f>$E49*Electricity_LCIA!J65</f>
        <v>0.18290114593161297</v>
      </c>
      <c r="L49" s="106">
        <f>$E49*Electricity_LCIA!K65</f>
        <v>27.016273005200624</v>
      </c>
      <c r="M49" s="106">
        <f>$E49*Electricity_LCIA!L65</f>
        <v>7.8705040302413289E-3</v>
      </c>
      <c r="N49" s="106">
        <f>$E49*Electricity_LCIA!M65</f>
        <v>2.2639503721851377</v>
      </c>
      <c r="O49" s="106">
        <f>$E49*Electricity_LCIA!N65</f>
        <v>9.6182675122212054</v>
      </c>
      <c r="P49" s="106">
        <f>$E49*Electricity_LCIA!O65</f>
        <v>3.9101481773031588</v>
      </c>
      <c r="Q49" s="106">
        <f>$E49*Electricity_LCIA!P65</f>
        <v>109.32942895458913</v>
      </c>
      <c r="R49" s="106">
        <f>$E49*Electricity_LCIA!Q65</f>
        <v>0.38273821038774136</v>
      </c>
      <c r="S49" s="106">
        <f>$E49*Electricity_LCIA!R65</f>
        <v>4.8128362457492715</v>
      </c>
      <c r="T49" s="106">
        <f>$E49*Electricity_LCIA!S65</f>
        <v>1.6198537869319176</v>
      </c>
      <c r="U49" s="106">
        <f>$E49*Electricity_LCIA!T65</f>
        <v>0.26167463147497122</v>
      </c>
      <c r="V49" s="106">
        <f>$E49*Electricity_LCIA!U65</f>
        <v>2.4236758439961166E-3</v>
      </c>
      <c r="W49" s="106">
        <f>$E49*Electricity_LCIA!V65</f>
        <v>1.8261971862381485</v>
      </c>
      <c r="X49" s="106">
        <f>$E49*Electricity_LCIA!W65</f>
        <v>1.7028794198493586</v>
      </c>
      <c r="Y49" s="106">
        <f>$E49*Electricity_LCIA!X65</f>
        <v>0.22863950278431994</v>
      </c>
      <c r="Z49" s="106">
        <f>$E49*Electricity_LCIA!Y65</f>
        <v>1.0774109809353818E-3</v>
      </c>
      <c r="AA49" s="106">
        <f>$E49*Electricity_LCIA!Z65</f>
        <v>0.13379947802420755</v>
      </c>
      <c r="AB49" s="106">
        <f>$E49*Electricity_LCIA!AA65</f>
        <v>-2.0551951824715687E-4</v>
      </c>
      <c r="AC49" s="106">
        <f>$E49*Electricity_LCIA!AB65</f>
        <v>2.4025278577219863E-7</v>
      </c>
      <c r="AD49" s="106">
        <f>$E49*Electricity_LCIA!AC65</f>
        <v>6.9623791712549689E-3</v>
      </c>
      <c r="AE49" s="106">
        <f>$E49*Electricity_LCIA!AD65</f>
        <v>1.0960850496884401E-2</v>
      </c>
      <c r="AF49" s="106">
        <f>$E49*Electricity_LCIA!AE65</f>
        <v>1.5997080755624688E-2</v>
      </c>
      <c r="AG49" s="106">
        <f>$E49*Electricity_LCIA!AF65</f>
        <v>2.6834477025489394E-4</v>
      </c>
      <c r="AH49" s="106">
        <f>$E49*Electricity_LCIA!AG65</f>
        <v>2.8614822018279355E-2</v>
      </c>
      <c r="AI49" s="210">
        <f>$E49*Electricity_LCIA!AH65</f>
        <v>5.9614333362598949E-2</v>
      </c>
    </row>
    <row r="50" spans="2:35" x14ac:dyDescent="0.25">
      <c r="B50" s="137"/>
      <c r="C50" s="135" t="str">
        <f>Electricity_LCIA!B70</f>
        <v>Virtual</v>
      </c>
      <c r="D50" s="136" t="str">
        <f>Electricity_LCIA!C70</f>
        <v>3_Hub_10%IP</v>
      </c>
      <c r="E50" s="106">
        <f t="shared" si="93"/>
        <v>10.803133279788913</v>
      </c>
      <c r="F50" s="136" t="s">
        <v>833</v>
      </c>
      <c r="G50" s="136"/>
      <c r="H50" s="106">
        <f>$E50*Electricity_LCIA!G70</f>
        <v>5.230113515099605</v>
      </c>
      <c r="I50" s="106">
        <f>$E50*Electricity_LCIA!H70</f>
        <v>2.1662247754066017</v>
      </c>
      <c r="J50" s="106">
        <f>$E50*Electricity_LCIA!I70</f>
        <v>63.035302351720219</v>
      </c>
      <c r="K50" s="106">
        <f>$E50*Electricity_LCIA!J70</f>
        <v>0.33892491072303532</v>
      </c>
      <c r="L50" s="106">
        <f>$E50*Electricity_LCIA!K70</f>
        <v>31.658442200930114</v>
      </c>
      <c r="M50" s="106">
        <f>$E50*Electricity_LCIA!L70</f>
        <v>1.1021476986506774E-3</v>
      </c>
      <c r="N50" s="106">
        <f>$E50*Electricity_LCIA!M70</f>
        <v>1.1245619852294551</v>
      </c>
      <c r="O50" s="106">
        <f>$E50*Electricity_LCIA!N70</f>
        <v>7.8831219470298111</v>
      </c>
      <c r="P50" s="106">
        <f>$E50*Electricity_LCIA!O70</f>
        <v>3.3375577285616362</v>
      </c>
      <c r="Q50" s="106">
        <f>$E50*Electricity_LCIA!P70</f>
        <v>109.54523804729945</v>
      </c>
      <c r="R50" s="106">
        <f>$E50*Electricity_LCIA!Q70</f>
        <v>0.4108442691523379</v>
      </c>
      <c r="S50" s="106">
        <f>$E50*Electricity_LCIA!R70</f>
        <v>5.1804676311589022</v>
      </c>
      <c r="T50" s="106">
        <f>$E50*Electricity_LCIA!S70</f>
        <v>1.6037554323204233</v>
      </c>
      <c r="U50" s="106">
        <f>$E50*Electricity_LCIA!T70</f>
        <v>0.30100069518757661</v>
      </c>
      <c r="V50" s="106">
        <f>$E50*Electricity_LCIA!U70</f>
        <v>4.4876036800545705E-3</v>
      </c>
      <c r="W50" s="106">
        <f>$E50*Electricity_LCIA!V70</f>
        <v>2.9977462504889218</v>
      </c>
      <c r="X50" s="106">
        <f>$E50*Electricity_LCIA!W70</f>
        <v>2.1879931158561474</v>
      </c>
      <c r="Y50" s="106">
        <f>$E50*Electricity_LCIA!X70</f>
        <v>0.25972954505444878</v>
      </c>
      <c r="Z50" s="106">
        <f>$E50*Electricity_LCIA!Y70</f>
        <v>1.3494822160921899E-3</v>
      </c>
      <c r="AA50" s="106">
        <f>$E50*Electricity_LCIA!Z70</f>
        <v>0.1215755743167666</v>
      </c>
      <c r="AB50" s="106">
        <f>$E50*Electricity_LCIA!AA70</f>
        <v>-6.4925848080255575E-4</v>
      </c>
      <c r="AC50" s="106">
        <f>$E50*Electricity_LCIA!AB70</f>
        <v>2.0424889230774112E-7</v>
      </c>
      <c r="AD50" s="106">
        <f>$E50*Electricity_LCIA!AC70</f>
        <v>1.4110415566077386E-2</v>
      </c>
      <c r="AE50" s="106">
        <f>$E50*Electricity_LCIA!AD70</f>
        <v>8.8020899574462481E-3</v>
      </c>
      <c r="AF50" s="106">
        <f>$E50*Electricity_LCIA!AE70</f>
        <v>1.4634064814980927E-2</v>
      </c>
      <c r="AG50" s="106">
        <f>$E50*Electricity_LCIA!AF70</f>
        <v>2.7860498835917527E-4</v>
      </c>
      <c r="AH50" s="106">
        <f>$E50*Electricity_LCIA!AG70</f>
        <v>2.2972168313454236E-2</v>
      </c>
      <c r="AI50" s="210">
        <f>$E50*Electricity_LCIA!AH70</f>
        <v>5.9441234992180542E-2</v>
      </c>
    </row>
    <row r="51" spans="2:35" x14ac:dyDescent="0.25">
      <c r="B51" s="137"/>
      <c r="C51" s="135" t="str">
        <f>Electricity_LCIA!B76</f>
        <v>Virtual</v>
      </c>
      <c r="D51" s="136" t="str">
        <f>Electricity_LCIA!C76</f>
        <v>3_Hub_30%IP</v>
      </c>
      <c r="E51" s="106">
        <f t="shared" si="93"/>
        <v>10.803133279788913</v>
      </c>
      <c r="F51" s="136" t="s">
        <v>833</v>
      </c>
      <c r="G51" s="136"/>
      <c r="H51" s="106">
        <f>$E51*Electricity_LCIA!G76</f>
        <v>5.1313362884655911</v>
      </c>
      <c r="I51" s="106">
        <f>$E51*Electricity_LCIA!H76</f>
        <v>2.1902966424074832</v>
      </c>
      <c r="J51" s="106">
        <f>$E51*Electricity_LCIA!I76</f>
        <v>62.412687507721884</v>
      </c>
      <c r="K51" s="106">
        <f>$E51*Electricity_LCIA!J76</f>
        <v>0.39489369326828505</v>
      </c>
      <c r="L51" s="106">
        <f>$E51*Electricity_LCIA!K76</f>
        <v>30.084147053041146</v>
      </c>
      <c r="M51" s="106">
        <f>$E51*Electricity_LCIA!L76</f>
        <v>1.2895270499039208E-3</v>
      </c>
      <c r="N51" s="106">
        <f>$E51*Electricity_LCIA!M76</f>
        <v>1.2792025911651488</v>
      </c>
      <c r="O51" s="106">
        <f>$E51*Electricity_LCIA!N76</f>
        <v>8.7682355499211564</v>
      </c>
      <c r="P51" s="106">
        <f>$E51*Electricity_LCIA!O76</f>
        <v>3.2775057753081978</v>
      </c>
      <c r="Q51" s="106">
        <f>$E51*Electricity_LCIA!P76</f>
        <v>108.40825833988318</v>
      </c>
      <c r="R51" s="106">
        <f>$E51*Electricity_LCIA!Q76</f>
        <v>0.43100326468864775</v>
      </c>
      <c r="S51" s="106">
        <f>$E51*Electricity_LCIA!R76</f>
        <v>5.0830330190371207</v>
      </c>
      <c r="T51" s="106">
        <f>$E51*Electricity_LCIA!S76</f>
        <v>1.5898340731859715</v>
      </c>
      <c r="U51" s="106">
        <f>$E51*Electricity_LCIA!T76</f>
        <v>0.29774723181577828</v>
      </c>
      <c r="V51" s="106">
        <f>$E51*Electricity_LCIA!U76</f>
        <v>4.4338049207637278E-3</v>
      </c>
      <c r="W51" s="106">
        <f>$E51*Electricity_LCIA!V76</f>
        <v>2.9563793842434998</v>
      </c>
      <c r="X51" s="106">
        <f>$E51*Electricity_LCIA!W76</f>
        <v>2.0972629127252564</v>
      </c>
      <c r="Y51" s="106">
        <f>$E51*Electricity_LCIA!X76</f>
        <v>0.25719758607619153</v>
      </c>
      <c r="Z51" s="106">
        <f>$E51*Electricity_LCIA!Y76</f>
        <v>1.3345392220130458E-3</v>
      </c>
      <c r="AA51" s="106">
        <f>$E51*Electricity_LCIA!Z76</f>
        <v>0.12106404993956471</v>
      </c>
      <c r="AB51" s="106">
        <f>$E51*Electricity_LCIA!AA76</f>
        <v>-7.3215495177848919E-4</v>
      </c>
      <c r="AC51" s="106">
        <f>$E51*Electricity_LCIA!AB76</f>
        <v>2.0492947821284115E-7</v>
      </c>
      <c r="AD51" s="106">
        <f>$E51*Electricity_LCIA!AC76</f>
        <v>1.3441932042383557E-2</v>
      </c>
      <c r="AE51" s="106">
        <f>$E51*Electricity_LCIA!AD76</f>
        <v>8.7162363767088399E-3</v>
      </c>
      <c r="AF51" s="106">
        <f>$E51*Electricity_LCIA!AE76</f>
        <v>1.4178594846770283E-2</v>
      </c>
      <c r="AG51" s="106">
        <f>$E51*Electricity_LCIA!AF76</f>
        <v>2.7560128167270425E-4</v>
      </c>
      <c r="AH51" s="106">
        <f>$E51*Electricity_LCIA!AG76</f>
        <v>2.3109829403143399E-2</v>
      </c>
      <c r="AI51" s="210">
        <f>$E51*Electricity_LCIA!AH76</f>
        <v>6.3886667770248012E-2</v>
      </c>
    </row>
    <row r="52" spans="2:35" x14ac:dyDescent="0.25">
      <c r="B52" s="137"/>
      <c r="C52" s="135" t="str">
        <f>Electricity_LCIA!B82</f>
        <v>Virtual</v>
      </c>
      <c r="D52" s="136" t="str">
        <f>Electricity_LCIA!C82</f>
        <v>3_Hub_50%IP</v>
      </c>
      <c r="E52" s="106">
        <f t="shared" si="93"/>
        <v>10.803133279788913</v>
      </c>
      <c r="F52" s="136" t="s">
        <v>833</v>
      </c>
      <c r="G52" s="136"/>
      <c r="H52" s="106">
        <f>$E52*Electricity_LCIA!G82</f>
        <v>5.557694809380215</v>
      </c>
      <c r="I52" s="106">
        <f>$E52*Electricity_LCIA!H82</f>
        <v>2.5093475380618373</v>
      </c>
      <c r="J52" s="106">
        <f>$E52*Electricity_LCIA!I82</f>
        <v>68.714878384097531</v>
      </c>
      <c r="K52" s="106">
        <f>$E52*Electricity_LCIA!J82</f>
        <v>0.55278923228633325</v>
      </c>
      <c r="L52" s="106">
        <f>$E52*Electricity_LCIA!K82</f>
        <v>23.047068448534848</v>
      </c>
      <c r="M52" s="106">
        <f>$E52*Electricity_LCIA!L82</f>
        <v>1.7530791839709108E-3</v>
      </c>
      <c r="N52" s="106">
        <f>$E52*Electricity_LCIA!M82</f>
        <v>1.6762210042971135</v>
      </c>
      <c r="O52" s="106">
        <f>$E52*Electricity_LCIA!N82</f>
        <v>7.6914786411193097</v>
      </c>
      <c r="P52" s="106">
        <f>$E52*Electricity_LCIA!O82</f>
        <v>3.8526169067430454</v>
      </c>
      <c r="Q52" s="106">
        <f>$E52*Electricity_LCIA!P82</f>
        <v>108.04615323432401</v>
      </c>
      <c r="R52" s="106">
        <f>$E52*Electricity_LCIA!Q82</f>
        <v>0.38718193268270756</v>
      </c>
      <c r="S52" s="106">
        <f>$E52*Electricity_LCIA!R82</f>
        <v>5.5077118768429996</v>
      </c>
      <c r="T52" s="106">
        <f>$E52*Electricity_LCIA!S82</f>
        <v>1.7478400328810848</v>
      </c>
      <c r="U52" s="106">
        <f>$E52*Electricity_LCIA!T82</f>
        <v>0.32145303886656007</v>
      </c>
      <c r="V52" s="106">
        <f>$E52*Electricity_LCIA!U82</f>
        <v>5.389989769240898E-3</v>
      </c>
      <c r="W52" s="106">
        <f>$E52*Electricity_LCIA!V82</f>
        <v>3.530756049934539</v>
      </c>
      <c r="X52" s="106">
        <f>$E52*Electricity_LCIA!W82</f>
        <v>1.5445685623817929</v>
      </c>
      <c r="Y52" s="106">
        <f>$E52*Electricity_LCIA!X82</f>
        <v>0.2790201125596396</v>
      </c>
      <c r="Z52" s="106">
        <f>$E52*Electricity_LCIA!Y82</f>
        <v>1.5508191815420552E-3</v>
      </c>
      <c r="AA52" s="106">
        <f>$E52*Electricity_LCIA!Z82</f>
        <v>0.12524940417565905</v>
      </c>
      <c r="AB52" s="106">
        <f>$E52*Electricity_LCIA!AA82</f>
        <v>-3.1619951632893921E-4</v>
      </c>
      <c r="AC52" s="106">
        <f>$E52*Electricity_LCIA!AB82</f>
        <v>2.2235597398764668E-7</v>
      </c>
      <c r="AD52" s="106">
        <f>$E52*Electricity_LCIA!AC82</f>
        <v>1.6067734786921941E-2</v>
      </c>
      <c r="AE52" s="106">
        <f>$E52*Electricity_LCIA!AD82</f>
        <v>9.5620724688683344E-3</v>
      </c>
      <c r="AF52" s="106">
        <f>$E52*Electricity_LCIA!AE82</f>
        <v>1.5172322186820462E-2</v>
      </c>
      <c r="AG52" s="106">
        <f>$E52*Electricity_LCIA!AF82</f>
        <v>2.9530543688516004E-4</v>
      </c>
      <c r="AH52" s="106">
        <f>$E52*Electricity_LCIA!AG82</f>
        <v>2.4317368408001493E-2</v>
      </c>
      <c r="AI52" s="210">
        <f>$E52*Electricity_LCIA!AH82</f>
        <v>4.6095738260787208E-2</v>
      </c>
    </row>
    <row r="53" spans="2:35" x14ac:dyDescent="0.25">
      <c r="B53" s="137"/>
      <c r="C53" s="135" t="str">
        <f>Electricity_LCIA!B88</f>
        <v>Virtual</v>
      </c>
      <c r="D53" s="136" t="str">
        <f>Electricity_LCIA!C88</f>
        <v>3_Hub_70%IP</v>
      </c>
      <c r="E53" s="106">
        <f t="shared" si="93"/>
        <v>10.803133279788913</v>
      </c>
      <c r="F53" s="136" t="s">
        <v>833</v>
      </c>
      <c r="G53" s="136"/>
      <c r="H53" s="106">
        <f>$E53*Electricity_LCIA!G88</f>
        <v>4.7382506554709893</v>
      </c>
      <c r="I53" s="106">
        <f>$E53*Electricity_LCIA!H88</f>
        <v>2.3739015066756819</v>
      </c>
      <c r="J53" s="106">
        <f>$E53*Electricity_LCIA!I88</f>
        <v>60.931206880107133</v>
      </c>
      <c r="K53" s="106">
        <f>$E53*Electricity_LCIA!J88</f>
        <v>0.88039038998490804</v>
      </c>
      <c r="L53" s="106">
        <f>$E53*Electricity_LCIA!K88</f>
        <v>21.618842761845379</v>
      </c>
      <c r="M53" s="106">
        <f>$E53*Electricity_LCIA!L88</f>
        <v>2.7734341069608273E-3</v>
      </c>
      <c r="N53" s="106">
        <f>$E53*Electricity_LCIA!M88</f>
        <v>2.5058045574813721</v>
      </c>
      <c r="O53" s="106">
        <f>$E53*Electricity_LCIA!N88</f>
        <v>9.3423737777705131</v>
      </c>
      <c r="P53" s="106">
        <f>$E53*Electricity_LCIA!O88</f>
        <v>3.8146214333708941</v>
      </c>
      <c r="Q53" s="106">
        <f>$E53*Electricity_LCIA!P88</f>
        <v>101.46991474134282</v>
      </c>
      <c r="R53" s="106">
        <f>$E53*Electricity_LCIA!Q88</f>
        <v>0.34803753231476031</v>
      </c>
      <c r="S53" s="106">
        <f>$E53*Electricity_LCIA!R88</f>
        <v>4.6907409391789807</v>
      </c>
      <c r="T53" s="106">
        <f>$E53*Electricity_LCIA!S88</f>
        <v>1.5640809719521502</v>
      </c>
      <c r="U53" s="106">
        <f>$E53*Electricity_LCIA!T88</f>
        <v>0.29774259768743289</v>
      </c>
      <c r="V53" s="106">
        <f>$E53*Electricity_LCIA!U88</f>
        <v>3.8153435280663208E-3</v>
      </c>
      <c r="W53" s="106">
        <f>$E53*Electricity_LCIA!V88</f>
        <v>2.5786942678225238</v>
      </c>
      <c r="X53" s="106">
        <f>$E53*Electricity_LCIA!W88</f>
        <v>1.4492977661422868</v>
      </c>
      <c r="Y53" s="106">
        <f>$E53*Electricity_LCIA!X88</f>
        <v>0.2571586374710384</v>
      </c>
      <c r="Z53" s="106">
        <f>$E53*Electricity_LCIA!Y88</f>
        <v>1.2098660658815159E-3</v>
      </c>
      <c r="AA53" s="106">
        <f>$E53*Electricity_LCIA!Z88</f>
        <v>0.12770783755498483</v>
      </c>
      <c r="AB53" s="106">
        <f>$E53*Electricity_LCIA!AA88</f>
        <v>-2.0766981559147002E-4</v>
      </c>
      <c r="AC53" s="106">
        <f>$E53*Electricity_LCIA!AB88</f>
        <v>2.186757445310725E-7</v>
      </c>
      <c r="AD53" s="106">
        <f>$E53*Electricity_LCIA!AC88</f>
        <v>1.2807569751016743E-2</v>
      </c>
      <c r="AE53" s="106">
        <f>$E53*Electricity_LCIA!AD88</f>
        <v>8.700612318584074E-3</v>
      </c>
      <c r="AF53" s="106">
        <f>$E53*Electricity_LCIA!AE88</f>
        <v>1.2177346796287734E-2</v>
      </c>
      <c r="AG53" s="106">
        <f>$E53*Electricity_LCIA!AF88</f>
        <v>3.0724971507808978E-4</v>
      </c>
      <c r="AH53" s="106">
        <f>$E53*Electricity_LCIA!AG88</f>
        <v>2.5831873288593186E-2</v>
      </c>
      <c r="AI53" s="210">
        <f>$E53*Electricity_LCIA!AH88</f>
        <v>4.4070479110862412E-2</v>
      </c>
    </row>
    <row r="54" spans="2:35" x14ac:dyDescent="0.25">
      <c r="B54" s="137"/>
      <c r="C54" s="135" t="str">
        <f>Electricity_LCIA!B94</f>
        <v>Virtual</v>
      </c>
      <c r="D54" s="136" t="str">
        <f>Electricity_LCIA!C94</f>
        <v>3_Hub_90%IP</v>
      </c>
      <c r="E54" s="106">
        <f t="shared" si="93"/>
        <v>10.803133279788913</v>
      </c>
      <c r="F54" s="136" t="s">
        <v>833</v>
      </c>
      <c r="G54" s="136"/>
      <c r="H54" s="106">
        <f>$E54*Electricity_LCIA!G94</f>
        <v>4.8649895088293746</v>
      </c>
      <c r="I54" s="106">
        <f>$E54*Electricity_LCIA!H94</f>
        <v>2.7637764753895717</v>
      </c>
      <c r="J54" s="106">
        <f>$E54*Electricity_LCIA!I94</f>
        <v>63.5662417623276</v>
      </c>
      <c r="K54" s="106">
        <f>$E54*Electricity_LCIA!J94</f>
        <v>0.18290114593161297</v>
      </c>
      <c r="L54" s="106">
        <f>$E54*Electricity_LCIA!K94</f>
        <v>27.016273005200624</v>
      </c>
      <c r="M54" s="106">
        <f>$E54*Electricity_LCIA!L94</f>
        <v>7.8705040302413289E-3</v>
      </c>
      <c r="N54" s="106">
        <f>$E54*Electricity_LCIA!M94</f>
        <v>2.2639503721851377</v>
      </c>
      <c r="O54" s="106">
        <f>$E54*Electricity_LCIA!N94</f>
        <v>9.6182675122212054</v>
      </c>
      <c r="P54" s="106">
        <f>$E54*Electricity_LCIA!O94</f>
        <v>3.9101481773031588</v>
      </c>
      <c r="Q54" s="106">
        <f>$E54*Electricity_LCIA!P94</f>
        <v>109.32942895458913</v>
      </c>
      <c r="R54" s="106">
        <f>$E54*Electricity_LCIA!Q94</f>
        <v>0.38273821038774136</v>
      </c>
      <c r="S54" s="106">
        <f>$E54*Electricity_LCIA!R94</f>
        <v>4.8128362457492715</v>
      </c>
      <c r="T54" s="106">
        <f>$E54*Electricity_LCIA!S94</f>
        <v>1.6198537869319176</v>
      </c>
      <c r="U54" s="106">
        <f>$E54*Electricity_LCIA!T94</f>
        <v>0.26167463147497122</v>
      </c>
      <c r="V54" s="106">
        <f>$E54*Electricity_LCIA!U94</f>
        <v>2.4236758439961166E-3</v>
      </c>
      <c r="W54" s="106">
        <f>$E54*Electricity_LCIA!V94</f>
        <v>1.8261971862381485</v>
      </c>
      <c r="X54" s="106">
        <f>$E54*Electricity_LCIA!W94</f>
        <v>1.7028794198493586</v>
      </c>
      <c r="Y54" s="106">
        <f>$E54*Electricity_LCIA!X94</f>
        <v>0.22863950278431994</v>
      </c>
      <c r="Z54" s="106">
        <f>$E54*Electricity_LCIA!Y94</f>
        <v>1.0774109809353818E-3</v>
      </c>
      <c r="AA54" s="106">
        <f>$E54*Electricity_LCIA!Z94</f>
        <v>0.13379947802420755</v>
      </c>
      <c r="AB54" s="106">
        <f>$E54*Electricity_LCIA!AA94</f>
        <v>-2.0551951824715687E-4</v>
      </c>
      <c r="AC54" s="106">
        <f>$E54*Electricity_LCIA!AB94</f>
        <v>2.4025278577219863E-7</v>
      </c>
      <c r="AD54" s="106">
        <f>$E54*Electricity_LCIA!AC94</f>
        <v>6.9623791712549689E-3</v>
      </c>
      <c r="AE54" s="106">
        <f>$E54*Electricity_LCIA!AD94</f>
        <v>1.0960850496884401E-2</v>
      </c>
      <c r="AF54" s="106">
        <f>$E54*Electricity_LCIA!AE94</f>
        <v>1.5997080755624688E-2</v>
      </c>
      <c r="AG54" s="106">
        <f>$E54*Electricity_LCIA!AF94</f>
        <v>2.6834477025489394E-4</v>
      </c>
      <c r="AH54" s="106">
        <f>$E54*Electricity_LCIA!AG94</f>
        <v>2.8614822018279355E-2</v>
      </c>
      <c r="AI54" s="210">
        <f>$E54*Electricity_LCIA!AH94</f>
        <v>5.9614333362598949E-2</v>
      </c>
    </row>
    <row r="55" spans="2:35" x14ac:dyDescent="0.25">
      <c r="B55" s="137"/>
      <c r="C55" s="135" t="str">
        <f>Electricity_LCIA!B100</f>
        <v>Virtual</v>
      </c>
      <c r="D55" s="136" t="str">
        <f>Electricity_LCIA!C100</f>
        <v>4_Hub_10%IP</v>
      </c>
      <c r="E55" s="106">
        <f t="shared" si="93"/>
        <v>10.803133279788913</v>
      </c>
      <c r="F55" s="136" t="s">
        <v>833</v>
      </c>
      <c r="G55" s="136"/>
      <c r="H55" s="106">
        <f>$E55*Electricity_LCIA!G100</f>
        <v>5.3029026134025532</v>
      </c>
      <c r="I55" s="106">
        <f>$E55*Electricity_LCIA!H100</f>
        <v>2.195181589441952</v>
      </c>
      <c r="J55" s="106">
        <f>$E55*Electricity_LCIA!I100</f>
        <v>63.755489313088894</v>
      </c>
      <c r="K55" s="106">
        <f>$E55*Electricity_LCIA!J100</f>
        <v>0.25781750631774342</v>
      </c>
      <c r="L55" s="106">
        <f>$E55*Electricity_LCIA!K100</f>
        <v>33.009512035490552</v>
      </c>
      <c r="M55" s="106">
        <f>$E55*Electricity_LCIA!L100</f>
        <v>1.1628722210763485E-3</v>
      </c>
      <c r="N55" s="106">
        <f>$E55*Electricity_LCIA!M100</f>
        <v>0.98774222369721443</v>
      </c>
      <c r="O55" s="106">
        <f>$E55*Electricity_LCIA!N100</f>
        <v>7.4895933924633384</v>
      </c>
      <c r="P55" s="106">
        <f>$E55*Electricity_LCIA!O100</f>
        <v>3.3547603761487941</v>
      </c>
      <c r="Q55" s="106">
        <f>$E55*Electricity_LCIA!P100</f>
        <v>111.05125930886953</v>
      </c>
      <c r="R55" s="106">
        <f>$E55*Electricity_LCIA!Q100</f>
        <v>0.42048408880677962</v>
      </c>
      <c r="S55" s="106">
        <f>$E55*Electricity_LCIA!R100</f>
        <v>5.2527094364093312</v>
      </c>
      <c r="T55" s="106">
        <f>$E55*Electricity_LCIA!S100</f>
        <v>1.6215485168964305</v>
      </c>
      <c r="U55" s="106">
        <f>$E55*Electricity_LCIA!T100</f>
        <v>0.30033535862934185</v>
      </c>
      <c r="V55" s="106">
        <f>$E55*Electricity_LCIA!U100</f>
        <v>4.4995912678118871E-3</v>
      </c>
      <c r="W55" s="106">
        <f>$E55*Electricity_LCIA!V100</f>
        <v>3.0112078050391577</v>
      </c>
      <c r="X55" s="106">
        <f>$E55*Electricity_LCIA!W100</f>
        <v>2.2841571864554733</v>
      </c>
      <c r="Y55" s="106">
        <f>$E55*Electricity_LCIA!X100</f>
        <v>0.2592309301131423</v>
      </c>
      <c r="Z55" s="106">
        <f>$E55*Electricity_LCIA!Y100</f>
        <v>1.3602765903885726E-3</v>
      </c>
      <c r="AA55" s="106">
        <f>$E55*Electricity_LCIA!Z100</f>
        <v>0.12153689888989611</v>
      </c>
      <c r="AB55" s="106">
        <f>$E55*Electricity_LCIA!AA100</f>
        <v>-6.8145965480624561E-4</v>
      </c>
      <c r="AC55" s="106">
        <f>$E55*Electricity_LCIA!AB100</f>
        <v>2.0608961027899685E-7</v>
      </c>
      <c r="AD55" s="106">
        <f>$E55*Electricity_LCIA!AC100</f>
        <v>1.4029802816686875E-2</v>
      </c>
      <c r="AE55" s="106">
        <f>$E55*Electricity_LCIA!AD100</f>
        <v>8.9327108551270767E-3</v>
      </c>
      <c r="AF55" s="106">
        <f>$E55*Electricity_LCIA!AE100</f>
        <v>1.5078476484116837E-2</v>
      </c>
      <c r="AG55" s="106">
        <f>$E55*Electricity_LCIA!AF100</f>
        <v>2.760426821225492E-4</v>
      </c>
      <c r="AH55" s="106">
        <f>$E55*Electricity_LCIA!AG100</f>
        <v>2.2903460174211486E-2</v>
      </c>
      <c r="AI55" s="210">
        <f>$E55*Electricity_LCIA!AH100</f>
        <v>5.9534941839821304E-2</v>
      </c>
    </row>
    <row r="56" spans="2:35" x14ac:dyDescent="0.25">
      <c r="B56" s="137"/>
      <c r="C56" s="135" t="str">
        <f>Electricity_LCIA!B107</f>
        <v>Virtual</v>
      </c>
      <c r="D56" s="136" t="str">
        <f>Electricity_LCIA!C107</f>
        <v>4_Hub_30%IP</v>
      </c>
      <c r="E56" s="106">
        <f t="shared" si="93"/>
        <v>10.803133279788913</v>
      </c>
      <c r="F56" s="136" t="s">
        <v>833</v>
      </c>
      <c r="G56" s="136"/>
      <c r="H56" s="106">
        <f>$E56*Electricity_LCIA!G107</f>
        <v>5.1201046577725036</v>
      </c>
      <c r="I56" s="106">
        <f>$E56*Electricity_LCIA!H107</f>
        <v>2.2981402909197355</v>
      </c>
      <c r="J56" s="106">
        <f>$E56*Electricity_LCIA!I107</f>
        <v>62.378593141572452</v>
      </c>
      <c r="K56" s="106">
        <f>$E56*Electricity_LCIA!J107</f>
        <v>0.27814548636699321</v>
      </c>
      <c r="L56" s="106">
        <f>$E56*Electricity_LCIA!K107</f>
        <v>33.126240051087755</v>
      </c>
      <c r="M56" s="106">
        <f>$E56*Electricity_LCIA!L107</f>
        <v>1.291377038105846E-3</v>
      </c>
      <c r="N56" s="106">
        <f>$E56*Electricity_LCIA!M107</f>
        <v>1.0653124719511151</v>
      </c>
      <c r="O56" s="106">
        <f>$E56*Electricity_LCIA!N107</f>
        <v>8.1345629332419769</v>
      </c>
      <c r="P56" s="106">
        <f>$E56*Electricity_LCIA!O107</f>
        <v>3.16169449352051</v>
      </c>
      <c r="Q56" s="106">
        <f>$E56*Electricity_LCIA!P107</f>
        <v>110.44398024569863</v>
      </c>
      <c r="R56" s="106">
        <f>$E56*Electricity_LCIA!Q107</f>
        <v>0.44586736832666723</v>
      </c>
      <c r="S56" s="106">
        <f>$E56*Electricity_LCIA!R107</f>
        <v>5.0709359283756861</v>
      </c>
      <c r="T56" s="106">
        <f>$E56*Electricity_LCIA!S107</f>
        <v>1.5934157955906072</v>
      </c>
      <c r="U56" s="106">
        <f>$E56*Electricity_LCIA!T107</f>
        <v>0.29455913850247523</v>
      </c>
      <c r="V56" s="106">
        <f>$E56*Electricity_LCIA!U107</f>
        <v>4.2295632209675684E-3</v>
      </c>
      <c r="W56" s="106">
        <f>$E56*Electricity_LCIA!V107</f>
        <v>2.8411156761963832</v>
      </c>
      <c r="X56" s="106">
        <f>$E56*Electricity_LCIA!W107</f>
        <v>2.3085855020435333</v>
      </c>
      <c r="Y56" s="106">
        <f>$E56*Electricity_LCIA!X107</f>
        <v>0.25397353606555428</v>
      </c>
      <c r="Z56" s="106">
        <f>$E56*Electricity_LCIA!Y107</f>
        <v>1.2983599317610206E-3</v>
      </c>
      <c r="AA56" s="106">
        <f>$E56*Electricity_LCIA!Z107</f>
        <v>0.12112369290971688</v>
      </c>
      <c r="AB56" s="106">
        <f>$E56*Electricity_LCIA!AA107</f>
        <v>-7.3353219003086687E-4</v>
      </c>
      <c r="AC56" s="106">
        <f>$E56*Electricity_LCIA!AB107</f>
        <v>2.098544734963415E-7</v>
      </c>
      <c r="AD56" s="106">
        <f>$E56*Electricity_LCIA!AC107</f>
        <v>1.2722865816833094E-2</v>
      </c>
      <c r="AE56" s="106">
        <f>$E56*Electricity_LCIA!AD107</f>
        <v>8.6775454385896612E-3</v>
      </c>
      <c r="AF56" s="106">
        <f>$E56*Electricity_LCIA!AE107</f>
        <v>1.4325101055021754E-2</v>
      </c>
      <c r="AG56" s="106">
        <f>$E56*Electricity_LCIA!AF107</f>
        <v>2.7561532574596796E-4</v>
      </c>
      <c r="AH56" s="106">
        <f>$E56*Electricity_LCIA!AG107</f>
        <v>2.254921087913845E-2</v>
      </c>
      <c r="AI56" s="210">
        <f>$E56*Electricity_LCIA!AH107</f>
        <v>6.32186108764696E-2</v>
      </c>
    </row>
    <row r="57" spans="2:35" x14ac:dyDescent="0.25">
      <c r="B57" s="137"/>
      <c r="C57" s="135" t="str">
        <f>Electricity_LCIA!B114</f>
        <v>Virtual</v>
      </c>
      <c r="D57" s="136" t="str">
        <f>Electricity_LCIA!C114</f>
        <v>4_Hub_50%IP</v>
      </c>
      <c r="E57" s="106">
        <f t="shared" si="93"/>
        <v>10.803133279788913</v>
      </c>
      <c r="F57" s="136" t="s">
        <v>833</v>
      </c>
      <c r="G57" s="136"/>
      <c r="H57" s="106">
        <f>$E57*Electricity_LCIA!G114</f>
        <v>5.270948769879273</v>
      </c>
      <c r="I57" s="106">
        <f>$E57*Electricity_LCIA!H114</f>
        <v>2.3633559745505219</v>
      </c>
      <c r="J57" s="106">
        <f>$E57*Electricity_LCIA!I114</f>
        <v>64.626820036575907</v>
      </c>
      <c r="K57" s="106">
        <f>$E57*Electricity_LCIA!J114</f>
        <v>0.36203990060712621</v>
      </c>
      <c r="L57" s="106">
        <f>$E57*Electricity_LCIA!K114</f>
        <v>25.373539603000484</v>
      </c>
      <c r="M57" s="106">
        <f>$E57*Electricity_LCIA!L114</f>
        <v>1.7410521518440639E-3</v>
      </c>
      <c r="N57" s="106">
        <f>$E57*Electricity_LCIA!M114</f>
        <v>1.3138363738586192</v>
      </c>
      <c r="O57" s="106">
        <f>$E57*Electricity_LCIA!N114</f>
        <v>9.6159456927310085</v>
      </c>
      <c r="P57" s="106">
        <f>$E57*Electricity_LCIA!O114</f>
        <v>3.7594011379834171</v>
      </c>
      <c r="Q57" s="106">
        <f>$E57*Electricity_LCIA!P114</f>
        <v>107.41667977145894</v>
      </c>
      <c r="R57" s="106">
        <f>$E57*Electricity_LCIA!Q114</f>
        <v>0.49198923720791993</v>
      </c>
      <c r="S57" s="106">
        <f>$E57*Electricity_LCIA!R114</f>
        <v>5.2238109640972406</v>
      </c>
      <c r="T57" s="106">
        <f>$E57*Electricity_LCIA!S114</f>
        <v>1.6424526623157456</v>
      </c>
      <c r="U57" s="106">
        <f>$E57*Electricity_LCIA!T114</f>
        <v>0.30009534618205042</v>
      </c>
      <c r="V57" s="106">
        <f>$E57*Electricity_LCIA!U114</f>
        <v>4.9719938051611592E-3</v>
      </c>
      <c r="W57" s="106">
        <f>$E57*Electricity_LCIA!V114</f>
        <v>3.2745939183044901</v>
      </c>
      <c r="X57" s="106">
        <f>$E57*Electricity_LCIA!W114</f>
        <v>1.756131129077013</v>
      </c>
      <c r="Y57" s="106">
        <f>$E57*Electricity_LCIA!X114</f>
        <v>0.26066299862772735</v>
      </c>
      <c r="Z57" s="106">
        <f>$E57*Electricity_LCIA!Y114</f>
        <v>1.4526360642272919E-3</v>
      </c>
      <c r="AA57" s="106">
        <f>$E57*Electricity_LCIA!Z114</f>
        <v>0.11909601864476142</v>
      </c>
      <c r="AB57" s="106">
        <f>$E57*Electricity_LCIA!AA114</f>
        <v>-9.2952461424334362E-4</v>
      </c>
      <c r="AC57" s="106">
        <f>$E57*Electricity_LCIA!AB114</f>
        <v>2.08617895232003E-7</v>
      </c>
      <c r="AD57" s="106">
        <f>$E57*Electricity_LCIA!AC114</f>
        <v>1.4570198343099619E-2</v>
      </c>
      <c r="AE57" s="106">
        <f>$E57*Electricity_LCIA!AD114</f>
        <v>9.1027936035802913E-3</v>
      </c>
      <c r="AF57" s="106">
        <f>$E57*Electricity_LCIA!AE114</f>
        <v>1.4846690071115751E-2</v>
      </c>
      <c r="AG57" s="106">
        <f>$E57*Electricity_LCIA!AF114</f>
        <v>2.6775292214912036E-4</v>
      </c>
      <c r="AH57" s="106">
        <f>$E57*Electricity_LCIA!AG114</f>
        <v>2.3219728211703594E-2</v>
      </c>
      <c r="AI57" s="210">
        <f>$E57*Electricity_LCIA!AH114</f>
        <v>6.492272061728159E-2</v>
      </c>
    </row>
    <row r="58" spans="2:35" x14ac:dyDescent="0.25">
      <c r="B58" s="137"/>
      <c r="C58" s="135" t="str">
        <f>Electricity_LCIA!B121</f>
        <v>Virtual</v>
      </c>
      <c r="D58" s="136" t="str">
        <f>Electricity_LCIA!C121</f>
        <v>4_Hub_70%IP</v>
      </c>
      <c r="E58" s="106">
        <f t="shared" si="93"/>
        <v>10.803133279788913</v>
      </c>
      <c r="F58" s="136" t="s">
        <v>833</v>
      </c>
      <c r="G58" s="136"/>
      <c r="H58" s="106">
        <f>$E58*Electricity_LCIA!G121</f>
        <v>5.2281632732767163</v>
      </c>
      <c r="I58" s="106">
        <f>$E58*Electricity_LCIA!H121</f>
        <v>2.7160149418513835</v>
      </c>
      <c r="J58" s="106">
        <f>$E58*Electricity_LCIA!I121</f>
        <v>66.352816175165415</v>
      </c>
      <c r="K58" s="106">
        <f>$E58*Electricity_LCIA!J121</f>
        <v>0.56798655498234063</v>
      </c>
      <c r="L58" s="106">
        <f>$E58*Electricity_LCIA!K121</f>
        <v>25.064782434313365</v>
      </c>
      <c r="M58" s="106">
        <f>$E58*Electricity_LCIA!L121</f>
        <v>2.790145037915429E-3</v>
      </c>
      <c r="N58" s="106">
        <f>$E58*Electricity_LCIA!M121</f>
        <v>1.9441499615109934</v>
      </c>
      <c r="O58" s="106">
        <f>$E58*Electricity_LCIA!N121</f>
        <v>7.7582402193530724</v>
      </c>
      <c r="P58" s="106">
        <f>$E58*Electricity_LCIA!O121</f>
        <v>3.6776358080966305</v>
      </c>
      <c r="Q58" s="106">
        <f>$E58*Electricity_LCIA!P121</f>
        <v>108.0844162403111</v>
      </c>
      <c r="R58" s="106">
        <f>$E58*Electricity_LCIA!Q121</f>
        <v>0.39478581723919842</v>
      </c>
      <c r="S58" s="106">
        <f>$E58*Electricity_LCIA!R121</f>
        <v>5.177314062100673</v>
      </c>
      <c r="T58" s="106">
        <f>$E58*Electricity_LCIA!S121</f>
        <v>1.6981289030889273</v>
      </c>
      <c r="U58" s="106">
        <f>$E58*Electricity_LCIA!T121</f>
        <v>0.30408858561036572</v>
      </c>
      <c r="V58" s="106">
        <f>$E58*Electricity_LCIA!U121</f>
        <v>4.246217022498E-3</v>
      </c>
      <c r="W58" s="106">
        <f>$E58*Electricity_LCIA!V121</f>
        <v>2.8596572304182692</v>
      </c>
      <c r="X58" s="106">
        <f>$E58*Electricity_LCIA!W121</f>
        <v>1.6728074295179978</v>
      </c>
      <c r="Y58" s="106">
        <f>$E58*Electricity_LCIA!X121</f>
        <v>0.26299943676665055</v>
      </c>
      <c r="Z58" s="106">
        <f>$E58*Electricity_LCIA!Y121</f>
        <v>1.3287289612572987E-3</v>
      </c>
      <c r="AA58" s="106">
        <f>$E58*Electricity_LCIA!Z121</f>
        <v>0.127781469437076</v>
      </c>
      <c r="AB58" s="106">
        <f>$E58*Electricity_LCIA!AA121</f>
        <v>-2.258035381518848E-4</v>
      </c>
      <c r="AC58" s="106">
        <f>$E58*Electricity_LCIA!AB121</f>
        <v>2.307455925700802E-7</v>
      </c>
      <c r="AD58" s="106">
        <f>$E58*Electricity_LCIA!AC121</f>
        <v>1.345874282410507E-2</v>
      </c>
      <c r="AE58" s="106">
        <f>$E58*Electricity_LCIA!AD121</f>
        <v>9.3461175372735947E-3</v>
      </c>
      <c r="AF58" s="106">
        <f>$E58*Electricity_LCIA!AE121</f>
        <v>1.4154149610700474E-2</v>
      </c>
      <c r="AG58" s="106">
        <f>$E58*Electricity_LCIA!AF121</f>
        <v>3.0559238176291234E-4</v>
      </c>
      <c r="AH58" s="106">
        <f>$E58*Electricity_LCIA!AG121</f>
        <v>2.5720811392617338E-2</v>
      </c>
      <c r="AI58" s="210">
        <f>$E58*Electricity_LCIA!AH121</f>
        <v>4.3323878360469283E-2</v>
      </c>
    </row>
    <row r="59" spans="2:35" x14ac:dyDescent="0.25">
      <c r="B59" s="137"/>
      <c r="C59" s="135" t="str">
        <f>Electricity_LCIA!B128</f>
        <v>Virtual</v>
      </c>
      <c r="D59" s="136" t="str">
        <f>Electricity_LCIA!C128</f>
        <v>4_Hub_90%IP</v>
      </c>
      <c r="E59" s="106">
        <f t="shared" si="93"/>
        <v>10.803133279788913</v>
      </c>
      <c r="F59" s="136" t="s">
        <v>833</v>
      </c>
      <c r="G59" s="136"/>
      <c r="H59" s="106">
        <f>$E59*Electricity_LCIA!G128</f>
        <v>5.565484571199562</v>
      </c>
      <c r="I59" s="106">
        <f>$E59*Electricity_LCIA!H128</f>
        <v>2.0795703489493529</v>
      </c>
      <c r="J59" s="106">
        <f>$E59*Electricity_LCIA!I128</f>
        <v>71.862036038192954</v>
      </c>
      <c r="K59" s="106">
        <f>$E59*Electricity_LCIA!J128</f>
        <v>1.0296208048793531</v>
      </c>
      <c r="L59" s="106">
        <f>$E59*Electricity_LCIA!K128</f>
        <v>12.955529170647319</v>
      </c>
      <c r="M59" s="106">
        <f>$E59*Electricity_LCIA!L128</f>
        <v>7.7184366812753811E-3</v>
      </c>
      <c r="N59" s="106">
        <f>$E59*Electricity_LCIA!M128</f>
        <v>2.0383714539175788</v>
      </c>
      <c r="O59" s="106">
        <f>$E59*Electricity_LCIA!N128</f>
        <v>11.183144296038769</v>
      </c>
      <c r="P59" s="106">
        <f>$E59*Electricity_LCIA!O128</f>
        <v>2.3811294377608521</v>
      </c>
      <c r="Q59" s="106">
        <f>$E59*Electricity_LCIA!P128</f>
        <v>103.53711998706746</v>
      </c>
      <c r="R59" s="106">
        <f>$E59*Electricity_LCIA!Q128</f>
        <v>0.31908495507270468</v>
      </c>
      <c r="S59" s="106">
        <f>$E59*Electricity_LCIA!R128</f>
        <v>5.5086154561498475</v>
      </c>
      <c r="T59" s="106">
        <f>$E59*Electricity_LCIA!S128</f>
        <v>1.8322826765025484</v>
      </c>
      <c r="U59" s="106">
        <f>$E59*Electricity_LCIA!T128</f>
        <v>0.30387167006582677</v>
      </c>
      <c r="V59" s="106">
        <f>$E59*Electricity_LCIA!U128</f>
        <v>3.7504583933586754E-3</v>
      </c>
      <c r="W59" s="106">
        <f>$E59*Electricity_LCIA!V128</f>
        <v>2.5817384770635754</v>
      </c>
      <c r="X59" s="106">
        <f>$E59*Electricity_LCIA!W128</f>
        <v>0.8633060136656896</v>
      </c>
      <c r="Y59" s="106">
        <f>$E59*Electricity_LCIA!X128</f>
        <v>0.26080782217575871</v>
      </c>
      <c r="Z59" s="106">
        <f>$E59*Electricity_LCIA!Y128</f>
        <v>1.2966885737073306E-3</v>
      </c>
      <c r="AA59" s="106">
        <f>$E59*Electricity_LCIA!Z128</f>
        <v>0.12339969962592821</v>
      </c>
      <c r="AB59" s="106">
        <f>$E59*Electricity_LCIA!AA128</f>
        <v>-2.0736153775925521E-4</v>
      </c>
      <c r="AC59" s="106">
        <f>$E59*Electricity_LCIA!AB128</f>
        <v>2.4421187825555833E-7</v>
      </c>
      <c r="AD59" s="106">
        <f>$E59*Electricity_LCIA!AC128</f>
        <v>1.5441503756050272E-2</v>
      </c>
      <c r="AE59" s="106">
        <f>$E59*Electricity_LCIA!AD128</f>
        <v>1.0781669159719858E-2</v>
      </c>
      <c r="AF59" s="106">
        <f>$E59*Electricity_LCIA!AE128</f>
        <v>1.5237563627459316E-2</v>
      </c>
      <c r="AG59" s="106">
        <f>$E59*Electricity_LCIA!AF128</f>
        <v>3.6441194566769604E-4</v>
      </c>
      <c r="AH59" s="106">
        <f>$E59*Electricity_LCIA!AG128</f>
        <v>2.4807564730237298E-2</v>
      </c>
      <c r="AI59" s="210">
        <f>$E59*Electricity_LCIA!AH128</f>
        <v>4.8090707852152997E-2</v>
      </c>
    </row>
    <row r="60" spans="2:35" x14ac:dyDescent="0.25">
      <c r="C60" s="135" t="str">
        <f>Electricity_LCIA!B135</f>
        <v>Virtual</v>
      </c>
      <c r="D60" s="136" t="str">
        <f>Electricity_LCIA!C135</f>
        <v>5_Hub_10%IP</v>
      </c>
      <c r="E60" s="106">
        <f t="shared" si="93"/>
        <v>10.803133279788913</v>
      </c>
      <c r="F60" s="136" t="s">
        <v>833</v>
      </c>
      <c r="G60" s="136"/>
      <c r="H60" s="106">
        <f>$E60*Electricity_LCIA!G135</f>
        <v>5.2066799768725742</v>
      </c>
      <c r="I60" s="106">
        <f>$E60*Electricity_LCIA!H135</f>
        <v>2.0390580687779809</v>
      </c>
      <c r="J60" s="106">
        <f>$E60*Electricity_LCIA!I135</f>
        <v>62.439701189746025</v>
      </c>
      <c r="K60" s="106">
        <f>$E60*Electricity_LCIA!J135</f>
        <v>0.27569464397911997</v>
      </c>
      <c r="L60" s="106">
        <f>$E60*Electricity_LCIA!K135</f>
        <v>32.516194266847158</v>
      </c>
      <c r="M60" s="106">
        <f>$E60*Electricity_LCIA!L135</f>
        <v>1.2235416440199343E-3</v>
      </c>
      <c r="N60" s="106">
        <f>$E60*Electricity_LCIA!M135</f>
        <v>1.0126650807698834</v>
      </c>
      <c r="O60" s="106">
        <f>$E60*Electricity_LCIA!N135</f>
        <v>7.8856978985037189</v>
      </c>
      <c r="P60" s="106">
        <f>$E60*Electricity_LCIA!O135</f>
        <v>3.575898505350247</v>
      </c>
      <c r="Q60" s="106">
        <f>$E60*Electricity_LCIA!P135</f>
        <v>109.7461331956181</v>
      </c>
      <c r="R60" s="106">
        <f>$E60*Electricity_LCIA!Q135</f>
        <v>0.4059784353067688</v>
      </c>
      <c r="S60" s="106">
        <f>$E60*Electricity_LCIA!R135</f>
        <v>5.1578181669934606</v>
      </c>
      <c r="T60" s="106">
        <f>$E60*Electricity_LCIA!S135</f>
        <v>1.5873830043402157</v>
      </c>
      <c r="U60" s="106">
        <f>$E60*Electricity_LCIA!T135</f>
        <v>0.29900902702587456</v>
      </c>
      <c r="V60" s="106">
        <f>$E60*Electricity_LCIA!U135</f>
        <v>4.4818924406755988E-3</v>
      </c>
      <c r="W60" s="106">
        <f>$E60*Electricity_LCIA!V135</f>
        <v>2.9974841392860125</v>
      </c>
      <c r="X60" s="106">
        <f>$E60*Electricity_LCIA!W135</f>
        <v>2.2619055526748273</v>
      </c>
      <c r="Y60" s="106">
        <f>$E60*Electricity_LCIA!X135</f>
        <v>0.25838874551411195</v>
      </c>
      <c r="Z60" s="106">
        <f>$E60*Electricity_LCIA!Y135</f>
        <v>1.3539894003465154E-3</v>
      </c>
      <c r="AA60" s="106">
        <f>$E60*Electricity_LCIA!Z135</f>
        <v>0.12133545877020752</v>
      </c>
      <c r="AB60" s="106">
        <f>$E60*Electricity_LCIA!AA135</f>
        <v>-7.1289472315813173E-4</v>
      </c>
      <c r="AC60" s="106">
        <f>$E60*Electricity_LCIA!AB135</f>
        <v>2.0155216968667731E-7</v>
      </c>
      <c r="AD60" s="106">
        <f>$E60*Electricity_LCIA!AC135</f>
        <v>1.3947560850043181E-2</v>
      </c>
      <c r="AE60" s="106">
        <f>$E60*Electricity_LCIA!AD135</f>
        <v>8.8912794790356759E-3</v>
      </c>
      <c r="AF60" s="106">
        <f>$E60*Electricity_LCIA!AE135</f>
        <v>1.5013008959742957E-2</v>
      </c>
      <c r="AG60" s="106">
        <f>$E60*Electricity_LCIA!AF135</f>
        <v>2.6834924371243964E-4</v>
      </c>
      <c r="AH60" s="106">
        <f>$E60*Electricity_LCIA!AG135</f>
        <v>2.2566750317769377E-2</v>
      </c>
      <c r="AI60" s="210">
        <f>$E60*Electricity_LCIA!AH135</f>
        <v>6.198392878468429E-2</v>
      </c>
    </row>
    <row r="61" spans="2:35" x14ac:dyDescent="0.25">
      <c r="C61" s="135" t="str">
        <f>Electricity_LCIA!B143</f>
        <v>Virtual</v>
      </c>
      <c r="D61" s="136" t="str">
        <f>Electricity_LCIA!C143</f>
        <v>5_Hub_30%IP</v>
      </c>
      <c r="E61" s="106">
        <f t="shared" si="93"/>
        <v>10.803133279788913</v>
      </c>
      <c r="F61" s="136" t="s">
        <v>833</v>
      </c>
      <c r="G61" s="136"/>
      <c r="H61" s="106">
        <f>$E61*Electricity_LCIA!G143</f>
        <v>5.1027857839578443</v>
      </c>
      <c r="I61" s="106">
        <f>$E61*Electricity_LCIA!H143</f>
        <v>2.0479832994847329</v>
      </c>
      <c r="J61" s="106">
        <f>$E61*Electricity_LCIA!I143</f>
        <v>61.546501955796117</v>
      </c>
      <c r="K61" s="106">
        <f>$E61*Electricity_LCIA!J143</f>
        <v>0.27810262453260365</v>
      </c>
      <c r="L61" s="106">
        <f>$E61*Electricity_LCIA!K143</f>
        <v>33.673781543498315</v>
      </c>
      <c r="M61" s="106">
        <f>$E61*Electricity_LCIA!L143</f>
        <v>1.2797167084484648E-3</v>
      </c>
      <c r="N61" s="106">
        <f>$E61*Electricity_LCIA!M143</f>
        <v>1.0309088056462596</v>
      </c>
      <c r="O61" s="106">
        <f>$E61*Electricity_LCIA!N143</f>
        <v>8.0756065667060781</v>
      </c>
      <c r="P61" s="106">
        <f>$E61*Electricity_LCIA!O143</f>
        <v>3.2488237789319481</v>
      </c>
      <c r="Q61" s="106">
        <f>$E61*Electricity_LCIA!P143</f>
        <v>109.90298829130447</v>
      </c>
      <c r="R61" s="106">
        <f>$E61*Electricity_LCIA!Q143</f>
        <v>0.41202369130361316</v>
      </c>
      <c r="S61" s="106">
        <f>$E61*Electricity_LCIA!R143</f>
        <v>5.0540008076536527</v>
      </c>
      <c r="T61" s="106">
        <f>$E61*Electricity_LCIA!S143</f>
        <v>1.5696202821339198</v>
      </c>
      <c r="U61" s="106">
        <f>$E61*Electricity_LCIA!T143</f>
        <v>0.29298998339358584</v>
      </c>
      <c r="V61" s="106">
        <f>$E61*Electricity_LCIA!U143</f>
        <v>4.1440174007855955E-3</v>
      </c>
      <c r="W61" s="106">
        <f>$E61*Electricity_LCIA!V143</f>
        <v>2.791296462733853</v>
      </c>
      <c r="X61" s="106">
        <f>$E61*Electricity_LCIA!W143</f>
        <v>2.3451980463123161</v>
      </c>
      <c r="Y61" s="106">
        <f>$E61*Electricity_LCIA!X143</f>
        <v>0.25272589510233506</v>
      </c>
      <c r="Z61" s="106">
        <f>$E61*Electricity_LCIA!Y143</f>
        <v>1.2826095277818715E-3</v>
      </c>
      <c r="AA61" s="106">
        <f>$E61*Electricity_LCIA!Z143</f>
        <v>0.12119621095736741</v>
      </c>
      <c r="AB61" s="106">
        <f>$E61*Electricity_LCIA!AA143</f>
        <v>-7.3495634935465397E-4</v>
      </c>
      <c r="AC61" s="106">
        <f>$E61*Electricity_LCIA!AB143</f>
        <v>2.0448773486821471E-7</v>
      </c>
      <c r="AD61" s="106">
        <f>$E61*Electricity_LCIA!AC143</f>
        <v>1.2458731626754182E-2</v>
      </c>
      <c r="AE61" s="106">
        <f>$E61*Electricity_LCIA!AD143</f>
        <v>8.7369316327754205E-3</v>
      </c>
      <c r="AF61" s="106">
        <f>$E61*Electricity_LCIA!AE143</f>
        <v>1.458151866374339E-2</v>
      </c>
      <c r="AG61" s="106">
        <f>$E61*Electricity_LCIA!AF143</f>
        <v>2.6865363348171656E-4</v>
      </c>
      <c r="AH61" s="106">
        <f>$E61*Electricity_LCIA!AG143</f>
        <v>2.2477782416161631E-2</v>
      </c>
      <c r="AI61" s="210">
        <f>$E61*Electricity_LCIA!AH143</f>
        <v>6.3311578287973985E-2</v>
      </c>
    </row>
    <row r="62" spans="2:35" x14ac:dyDescent="0.25">
      <c r="C62" s="135" t="str">
        <f>Electricity_LCIA!B151</f>
        <v>Virtual</v>
      </c>
      <c r="D62" s="136" t="str">
        <f>Electricity_LCIA!C151</f>
        <v>5_Hub_50%IP</v>
      </c>
      <c r="E62" s="106">
        <f t="shared" si="93"/>
        <v>10.803133279788913</v>
      </c>
      <c r="F62" s="136" t="s">
        <v>833</v>
      </c>
      <c r="G62" s="136"/>
      <c r="H62" s="106">
        <f>$E62*Electricity_LCIA!G151</f>
        <v>5.1180849995793309</v>
      </c>
      <c r="I62" s="106">
        <f>$E62*Electricity_LCIA!H151</f>
        <v>1.933836517476591</v>
      </c>
      <c r="J62" s="106">
        <f>$E62*Electricity_LCIA!I151</f>
        <v>61.878763110370826</v>
      </c>
      <c r="K62" s="106">
        <f>$E62*Electricity_LCIA!J151</f>
        <v>0.36194738336557075</v>
      </c>
      <c r="L62" s="106">
        <f>$E62*Electricity_LCIA!K151</f>
        <v>27.848413003404239</v>
      </c>
      <c r="M62" s="106">
        <f>$E62*Electricity_LCIA!L151</f>
        <v>1.7202396327760147E-3</v>
      </c>
      <c r="N62" s="106">
        <f>$E62*Electricity_LCIA!M151</f>
        <v>1.2825889047363557</v>
      </c>
      <c r="O62" s="106">
        <f>$E62*Electricity_LCIA!N151</f>
        <v>9.8141026456832474</v>
      </c>
      <c r="P62" s="106">
        <f>$E62*Electricity_LCIA!O151</f>
        <v>3.9582848985934853</v>
      </c>
      <c r="Q62" s="106">
        <f>$E62*Electricity_LCIA!P151</f>
        <v>107.07965670326313</v>
      </c>
      <c r="R62" s="106">
        <f>$E62*Electricity_LCIA!Q151</f>
        <v>0.43790637645119329</v>
      </c>
      <c r="S62" s="106">
        <f>$E62*Electricity_LCIA!R151</f>
        <v>5.0728329344441487</v>
      </c>
      <c r="T62" s="106">
        <f>$E62*Electricity_LCIA!S151</f>
        <v>1.5689995573447286</v>
      </c>
      <c r="U62" s="106">
        <f>$E62*Electricity_LCIA!T151</f>
        <v>0.29664258560055984</v>
      </c>
      <c r="V62" s="106">
        <f>$E62*Electricity_LCIA!U151</f>
        <v>4.7614036901438405E-3</v>
      </c>
      <c r="W62" s="106">
        <f>$E62*Electricity_LCIA!V151</f>
        <v>3.1504941973733271</v>
      </c>
      <c r="X62" s="106">
        <f>$E62*Electricity_LCIA!W151</f>
        <v>1.9877802838765151</v>
      </c>
      <c r="Y62" s="106">
        <f>$E62*Electricity_LCIA!X151</f>
        <v>0.25796114065054282</v>
      </c>
      <c r="Z62" s="106">
        <f>$E62*Electricity_LCIA!Y151</f>
        <v>1.4110920778712449E-3</v>
      </c>
      <c r="AA62" s="106">
        <f>$E62*Electricity_LCIA!Z151</f>
        <v>0.12006796127449908</v>
      </c>
      <c r="AB62" s="106">
        <f>$E62*Electricity_LCIA!AA151</f>
        <v>-9.461620616641979E-4</v>
      </c>
      <c r="AC62" s="106">
        <f>$E62*Electricity_LCIA!AB151</f>
        <v>1.9660037099366064E-7</v>
      </c>
      <c r="AD62" s="106">
        <f>$E62*Electricity_LCIA!AC151</f>
        <v>1.3921000734118338E-2</v>
      </c>
      <c r="AE62" s="106">
        <f>$E62*Electricity_LCIA!AD151</f>
        <v>9.0156603947835357E-3</v>
      </c>
      <c r="AF62" s="106">
        <f>$E62*Electricity_LCIA!AE151</f>
        <v>1.4891042306515466E-2</v>
      </c>
      <c r="AG62" s="106">
        <f>$E62*Electricity_LCIA!AF151</f>
        <v>2.5158741893814324E-4</v>
      </c>
      <c r="AH62" s="106">
        <f>$E62*Electricity_LCIA!AG151</f>
        <v>2.2946968892706456E-2</v>
      </c>
      <c r="AI62" s="210">
        <f>$E62*Electricity_LCIA!AH151</f>
        <v>7.331968503067178E-2</v>
      </c>
    </row>
    <row r="63" spans="2:35" x14ac:dyDescent="0.25">
      <c r="C63" s="135" t="str">
        <f>Electricity_LCIA!B159</f>
        <v>Virtual</v>
      </c>
      <c r="D63" s="136" t="str">
        <f>Electricity_LCIA!C159</f>
        <v>5_Hub_70%IP</v>
      </c>
      <c r="E63" s="106">
        <f t="shared" si="93"/>
        <v>10.803133279788913</v>
      </c>
      <c r="F63" s="136" t="s">
        <v>833</v>
      </c>
      <c r="G63" s="136"/>
      <c r="H63" s="106">
        <f>$E63*Electricity_LCIA!G159</f>
        <v>5.4660912029713087</v>
      </c>
      <c r="I63" s="106">
        <f>$E63*Electricity_LCIA!H159</f>
        <v>2.3127167587862876</v>
      </c>
      <c r="J63" s="106">
        <f>$E63*Electricity_LCIA!I159</f>
        <v>68.204545894083623</v>
      </c>
      <c r="K63" s="106">
        <f>$E63*Electricity_LCIA!J159</f>
        <v>0.57174094581002977</v>
      </c>
      <c r="L63" s="106">
        <f>$E63*Electricity_LCIA!K159</f>
        <v>20.362962569233677</v>
      </c>
      <c r="M63" s="106">
        <f>$E63*Electricity_LCIA!L159</f>
        <v>2.7789988310483026E-3</v>
      </c>
      <c r="N63" s="106">
        <f>$E63*Electricity_LCIA!M159</f>
        <v>1.8763641726297768</v>
      </c>
      <c r="O63" s="106">
        <f>$E63*Electricity_LCIA!N159</f>
        <v>7.999395303285894</v>
      </c>
      <c r="P63" s="106">
        <f>$E63*Electricity_LCIA!O159</f>
        <v>4.7982643971599366</v>
      </c>
      <c r="Q63" s="106">
        <f>$E63*Electricity_LCIA!P159</f>
        <v>106.12876903982026</v>
      </c>
      <c r="R63" s="106">
        <f>$E63*Electricity_LCIA!Q159</f>
        <v>0.34118464075762217</v>
      </c>
      <c r="S63" s="106">
        <f>$E63*Electricity_LCIA!R159</f>
        <v>5.4185056486836745</v>
      </c>
      <c r="T63" s="106">
        <f>$E63*Electricity_LCIA!S159</f>
        <v>1.7343374787145283</v>
      </c>
      <c r="U63" s="106">
        <f>$E63*Electricity_LCIA!T159</f>
        <v>0.32120451238556308</v>
      </c>
      <c r="V63" s="106">
        <f>$E63*Electricity_LCIA!U159</f>
        <v>5.4122184781355918E-3</v>
      </c>
      <c r="W63" s="106">
        <f>$E63*Electricity_LCIA!V159</f>
        <v>3.549511204612577</v>
      </c>
      <c r="X63" s="106">
        <f>$E63*Electricity_LCIA!W159</f>
        <v>1.3680243339706268</v>
      </c>
      <c r="Y63" s="106">
        <f>$E63*Electricity_LCIA!X159</f>
        <v>0.28036205583845736</v>
      </c>
      <c r="Z63" s="106">
        <f>$E63*Electricity_LCIA!Y159</f>
        <v>1.5771901960775088E-3</v>
      </c>
      <c r="AA63" s="106">
        <f>$E63*Electricity_LCIA!Z159</f>
        <v>0.12772489020610264</v>
      </c>
      <c r="AB63" s="106">
        <f>$E63*Electricity_LCIA!AA159</f>
        <v>-2.3547913817671481E-4</v>
      </c>
      <c r="AC63" s="106">
        <f>$E63*Electricity_LCIA!AB159</f>
        <v>2.2360777127247598E-7</v>
      </c>
      <c r="AD63" s="106">
        <f>$E63*Electricity_LCIA!AC159</f>
        <v>1.5860220039209866E-2</v>
      </c>
      <c r="AE63" s="106">
        <f>$E63*Electricity_LCIA!AD159</f>
        <v>1.0032026013874895E-2</v>
      </c>
      <c r="AF63" s="106">
        <f>$E63*Electricity_LCIA!AE159</f>
        <v>1.5810514860895283E-2</v>
      </c>
      <c r="AG63" s="106">
        <f>$E63*Electricity_LCIA!AF159</f>
        <v>2.7943198500175205E-4</v>
      </c>
      <c r="AH63" s="106">
        <f>$E63*Electricity_LCIA!AG159</f>
        <v>2.4456508302128518E-2</v>
      </c>
      <c r="AI63" s="210">
        <f>$E63*Electricity_LCIA!AH159</f>
        <v>4.5366707603762081E-2</v>
      </c>
    </row>
    <row r="64" spans="2:35" x14ac:dyDescent="0.25">
      <c r="C64" s="135" t="str">
        <f>Electricity_LCIA!B167</f>
        <v>Virtual</v>
      </c>
      <c r="D64" s="136" t="str">
        <f>Electricity_LCIA!C167</f>
        <v>5_Hub_90%IP</v>
      </c>
      <c r="E64" s="106">
        <f t="shared" si="93"/>
        <v>10.803133279788913</v>
      </c>
      <c r="F64" s="136" t="s">
        <v>833</v>
      </c>
      <c r="G64" s="136"/>
      <c r="H64" s="106">
        <f>$E64*Electricity_LCIA!G167</f>
        <v>5.6423207194801357</v>
      </c>
      <c r="I64" s="106">
        <f>$E64*Electricity_LCIA!H167</f>
        <v>2.1406552446150142</v>
      </c>
      <c r="J64" s="106">
        <f>$E64*Electricity_LCIA!I167</f>
        <v>73.514241655635558</v>
      </c>
      <c r="K64" s="106">
        <f>$E64*Electricity_LCIA!J167</f>
        <v>0.74336039984330859</v>
      </c>
      <c r="L64" s="106">
        <f>$E64*Electricity_LCIA!K167</f>
        <v>15.472099736251435</v>
      </c>
      <c r="M64" s="106">
        <f>$E64*Electricity_LCIA!L167</f>
        <v>7.7487397544181704E-3</v>
      </c>
      <c r="N64" s="106">
        <f>$E64*Electricity_LCIA!M167</f>
        <v>1.7770064578685705</v>
      </c>
      <c r="O64" s="106">
        <f>$E64*Electricity_LCIA!N167</f>
        <v>10.076158031992076</v>
      </c>
      <c r="P64" s="106">
        <f>$E64*Electricity_LCIA!O167</f>
        <v>2.8505369504869225</v>
      </c>
      <c r="Q64" s="106">
        <f>$E64*Electricity_LCIA!P167</f>
        <v>106.58180721644733</v>
      </c>
      <c r="R64" s="106">
        <f>$E64*Electricity_LCIA!Q167</f>
        <v>0.32439276188744975</v>
      </c>
      <c r="S64" s="106">
        <f>$E64*Electricity_LCIA!R167</f>
        <v>5.584024737958547</v>
      </c>
      <c r="T64" s="106">
        <f>$E64*Electricity_LCIA!S167</f>
        <v>1.8856707661458314</v>
      </c>
      <c r="U64" s="106">
        <f>$E64*Electricity_LCIA!T167</f>
        <v>0.30047579040721939</v>
      </c>
      <c r="V64" s="106">
        <f>$E64*Electricity_LCIA!U167</f>
        <v>3.5610572921114542E-3</v>
      </c>
      <c r="W64" s="106">
        <f>$E64*Electricity_LCIA!V167</f>
        <v>2.4785307432751118</v>
      </c>
      <c r="X64" s="106">
        <f>$E64*Electricity_LCIA!W167</f>
        <v>1.0474977018989062</v>
      </c>
      <c r="Y64" s="106">
        <f>$E64*Electricity_LCIA!X167</f>
        <v>0.25873845356671699</v>
      </c>
      <c r="Z64" s="106">
        <f>$E64*Electricity_LCIA!Y167</f>
        <v>1.2783596366332634E-3</v>
      </c>
      <c r="AA64" s="106">
        <f>$E64*Electricity_LCIA!Z167</f>
        <v>0.12466423480562561</v>
      </c>
      <c r="AB64" s="106">
        <f>$E64*Electricity_LCIA!AA167</f>
        <v>-2.1196429798100357E-4</v>
      </c>
      <c r="AC64" s="106">
        <f>$E64*Electricity_LCIA!AB167</f>
        <v>2.785613786854846E-7</v>
      </c>
      <c r="AD64" s="106">
        <f>$E64*Electricity_LCIA!AC167</f>
        <v>1.4052913069678265E-2</v>
      </c>
      <c r="AE64" s="106">
        <f>$E64*Electricity_LCIA!AD167</f>
        <v>1.1262658768493788E-2</v>
      </c>
      <c r="AF64" s="106">
        <f>$E64*Electricity_LCIA!AE167</f>
        <v>1.6933220584125174E-2</v>
      </c>
      <c r="AG64" s="106">
        <f>$E64*Electricity_LCIA!AF167</f>
        <v>3.4281463433702116E-4</v>
      </c>
      <c r="AH64" s="106">
        <f>$E64*Electricity_LCIA!AG167</f>
        <v>2.5100974987186549E-2</v>
      </c>
      <c r="AI64" s="210">
        <f>$E64*Electricity_LCIA!AH167</f>
        <v>4.9480843670876989E-2</v>
      </c>
    </row>
    <row r="65" spans="3:35" x14ac:dyDescent="0.25">
      <c r="C65" s="135" t="str">
        <f>Electricity_LCIA!B175</f>
        <v>Virtual</v>
      </c>
      <c r="D65" s="136" t="str">
        <f>Electricity_LCIA!C175</f>
        <v>6_Hub_10%IP</v>
      </c>
      <c r="E65" s="106">
        <f t="shared" si="93"/>
        <v>10.803133279788913</v>
      </c>
      <c r="F65" s="136" t="s">
        <v>833</v>
      </c>
      <c r="G65" s="136"/>
      <c r="H65" s="106">
        <f>$E65*Electricity_LCIA!G175</f>
        <v>5.2638751099740491</v>
      </c>
      <c r="I65" s="106">
        <f>$E65*Electricity_LCIA!H175</f>
        <v>2.0597499006818372</v>
      </c>
      <c r="J65" s="106">
        <f>$E65*Electricity_LCIA!I175</f>
        <v>62.907215608662369</v>
      </c>
      <c r="K65" s="106">
        <f>$E65*Electricity_LCIA!J175</f>
        <v>0.16682524933587126</v>
      </c>
      <c r="L65" s="106">
        <f>$E65*Electricity_LCIA!K175</f>
        <v>34.062714556369059</v>
      </c>
      <c r="M65" s="106">
        <f>$E65*Electricity_LCIA!L175</f>
        <v>1.3019888507706087E-3</v>
      </c>
      <c r="N65" s="106">
        <f>$E65*Electricity_LCIA!M175</f>
        <v>0.8195297776806737</v>
      </c>
      <c r="O65" s="106">
        <f>$E65*Electricity_LCIA!N175</f>
        <v>7.6520918006188383</v>
      </c>
      <c r="P65" s="106">
        <f>$E65*Electricity_LCIA!O175</f>
        <v>3.6034244638759532</v>
      </c>
      <c r="Q65" s="106">
        <f>$E65*Electricity_LCIA!P175</f>
        <v>111.27285334607535</v>
      </c>
      <c r="R65" s="106">
        <f>$E65*Electricity_LCIA!Q175</f>
        <v>0.41643052286350307</v>
      </c>
      <c r="S65" s="106">
        <f>$E65*Electricity_LCIA!R175</f>
        <v>5.2146904963357272</v>
      </c>
      <c r="T65" s="106">
        <f>$E65*Electricity_LCIA!S175</f>
        <v>1.5985782367973682</v>
      </c>
      <c r="U65" s="106">
        <f>$E65*Electricity_LCIA!T175</f>
        <v>0.29757791264826883</v>
      </c>
      <c r="V65" s="106">
        <f>$E65*Electricity_LCIA!U175</f>
        <v>4.467852211712706E-3</v>
      </c>
      <c r="W65" s="106">
        <f>$E65*Electricity_LCIA!V175</f>
        <v>2.9960007254639107</v>
      </c>
      <c r="X65" s="106">
        <f>$E65*Electricity_LCIA!W175</f>
        <v>2.3734160331273877</v>
      </c>
      <c r="Y65" s="106">
        <f>$E65*Electricity_LCIA!X175</f>
        <v>0.25727141794510877</v>
      </c>
      <c r="Z65" s="106">
        <f>$E65*Electricity_LCIA!Y175</f>
        <v>1.3592989780938922E-3</v>
      </c>
      <c r="AA65" s="106">
        <f>$E65*Electricity_LCIA!Z175</f>
        <v>0.1211419933292089</v>
      </c>
      <c r="AB65" s="106">
        <f>$E65*Electricity_LCIA!AA175</f>
        <v>-7.5507017672031161E-4</v>
      </c>
      <c r="AC65" s="106">
        <f>$E65*Electricity_LCIA!AB175</f>
        <v>2.0250828825879362E-7</v>
      </c>
      <c r="AD65" s="106">
        <f>$E65*Electricity_LCIA!AC175</f>
        <v>1.3743218357710424E-2</v>
      </c>
      <c r="AE65" s="106">
        <f>$E65*Electricity_LCIA!AD175</f>
        <v>9.0105393690735457E-3</v>
      </c>
      <c r="AF65" s="106">
        <f>$E65*Electricity_LCIA!AE175</f>
        <v>1.5510191537822692E-2</v>
      </c>
      <c r="AG65" s="106">
        <f>$E65*Electricity_LCIA!AF175</f>
        <v>2.6262969992145804E-4</v>
      </c>
      <c r="AH65" s="106">
        <f>$E65*Electricity_LCIA!AG175</f>
        <v>2.231158925411279E-2</v>
      </c>
      <c r="AI65" s="210">
        <f>$E65*Electricity_LCIA!AH175</f>
        <v>6.4191126462355502E-2</v>
      </c>
    </row>
    <row r="66" spans="3:35" x14ac:dyDescent="0.25">
      <c r="C66" s="135" t="str">
        <f>Electricity_LCIA!B184</f>
        <v>Virtual</v>
      </c>
      <c r="D66" s="136" t="str">
        <f>Electricity_LCIA!C184</f>
        <v>6_Hub_30%IP</v>
      </c>
      <c r="E66" s="106">
        <f t="shared" si="93"/>
        <v>10.803133279788913</v>
      </c>
      <c r="F66" s="136" t="s">
        <v>833</v>
      </c>
      <c r="G66" s="136"/>
      <c r="H66" s="106">
        <f>$E66*Electricity_LCIA!G184</f>
        <v>5.1680463885960339</v>
      </c>
      <c r="I66" s="106">
        <f>$E66*Electricity_LCIA!H184</f>
        <v>2.0371510192336428</v>
      </c>
      <c r="J66" s="106">
        <f>$E66*Electricity_LCIA!I184</f>
        <v>62.058997124678889</v>
      </c>
      <c r="K66" s="106">
        <f>$E66*Electricity_LCIA!J184</f>
        <v>0.21208571805408311</v>
      </c>
      <c r="L66" s="106">
        <f>$E66*Electricity_LCIA!K184</f>
        <v>34.741229371789359</v>
      </c>
      <c r="M66" s="106">
        <f>$E66*Electricity_LCIA!L184</f>
        <v>1.2996056302772244E-3</v>
      </c>
      <c r="N66" s="106">
        <f>$E66*Electricity_LCIA!M184</f>
        <v>0.90596112863150136</v>
      </c>
      <c r="O66" s="106">
        <f>$E66*Electricity_LCIA!N184</f>
        <v>7.7982867420982958</v>
      </c>
      <c r="P66" s="106">
        <f>$E66*Electricity_LCIA!O184</f>
        <v>3.2417979980282596</v>
      </c>
      <c r="Q66" s="106">
        <f>$E66*Electricity_LCIA!P184</f>
        <v>110.99680870814427</v>
      </c>
      <c r="R66" s="106">
        <f>$E66*Electricity_LCIA!Q184</f>
        <v>0.41262547858553084</v>
      </c>
      <c r="S66" s="106">
        <f>$E66*Electricity_LCIA!R184</f>
        <v>5.1187734603700639</v>
      </c>
      <c r="T66" s="106">
        <f>$E66*Electricity_LCIA!S184</f>
        <v>1.5813593567990616</v>
      </c>
      <c r="U66" s="106">
        <f>$E66*Electricity_LCIA!T184</f>
        <v>0.29258004636530888</v>
      </c>
      <c r="V66" s="106">
        <f>$E66*Electricity_LCIA!U184</f>
        <v>4.1428532968697859E-3</v>
      </c>
      <c r="W66" s="106">
        <f>$E66*Electricity_LCIA!V184</f>
        <v>2.7960581420898833</v>
      </c>
      <c r="X66" s="106">
        <f>$E66*Electricity_LCIA!W184</f>
        <v>2.4173920150493502</v>
      </c>
      <c r="Y66" s="106">
        <f>$E66*Electricity_LCIA!X184</f>
        <v>0.25241292440442381</v>
      </c>
      <c r="Z66" s="106">
        <f>$E66*Electricity_LCIA!Y184</f>
        <v>1.2884710895653471E-3</v>
      </c>
      <c r="AA66" s="106">
        <f>$E66*Electricity_LCIA!Z184</f>
        <v>0.12117678516908716</v>
      </c>
      <c r="AB66" s="106">
        <f>$E66*Electricity_LCIA!AA184</f>
        <v>-7.4859437608219273E-4</v>
      </c>
      <c r="AC66" s="106">
        <f>$E66*Electricity_LCIA!AB184</f>
        <v>2.0472264304528357E-7</v>
      </c>
      <c r="AD66" s="106">
        <f>$E66*Electricity_LCIA!AC184</f>
        <v>1.2399246962876092E-2</v>
      </c>
      <c r="AE66" s="106">
        <f>$E66*Electricity_LCIA!AD184</f>
        <v>8.8459320683659526E-3</v>
      </c>
      <c r="AF66" s="106">
        <f>$E66*Electricity_LCIA!AE184</f>
        <v>1.4983429937569138E-2</v>
      </c>
      <c r="AG66" s="106">
        <f>$E66*Electricity_LCIA!AF184</f>
        <v>2.6585453789685606E-4</v>
      </c>
      <c r="AH66" s="106">
        <f>$E66*Electricity_LCIA!AG184</f>
        <v>2.2435730810759853E-2</v>
      </c>
      <c r="AI66" s="210">
        <f>$E66*Electricity_LCIA!AH184</f>
        <v>6.3745712866464285E-2</v>
      </c>
    </row>
    <row r="67" spans="3:35" x14ac:dyDescent="0.25">
      <c r="C67" s="135" t="str">
        <f>Electricity_LCIA!B193</f>
        <v>Virtual</v>
      </c>
      <c r="D67" s="136" t="str">
        <f>Electricity_LCIA!C193</f>
        <v>6_Hub_50%IP</v>
      </c>
      <c r="E67" s="106">
        <f t="shared" si="93"/>
        <v>10.803133279788913</v>
      </c>
      <c r="F67" s="136" t="s">
        <v>833</v>
      </c>
      <c r="G67" s="136"/>
      <c r="H67" s="106">
        <f>$E67*Electricity_LCIA!G193</f>
        <v>5.1110838904831413</v>
      </c>
      <c r="I67" s="106">
        <f>$E67*Electricity_LCIA!H193</f>
        <v>2.0654872892048823</v>
      </c>
      <c r="J67" s="106">
        <f>$E67*Electricity_LCIA!I193</f>
        <v>61.793752066813113</v>
      </c>
      <c r="K67" s="106">
        <f>$E67*Electricity_LCIA!J193</f>
        <v>0.18353324924203326</v>
      </c>
      <c r="L67" s="106">
        <f>$E67*Electricity_LCIA!K193</f>
        <v>31.890232809270223</v>
      </c>
      <c r="M67" s="106">
        <f>$E67*Electricity_LCIA!L193</f>
        <v>1.7217642320302381E-3</v>
      </c>
      <c r="N67" s="106">
        <f>$E67*Electricity_LCIA!M193</f>
        <v>0.94543753810548536</v>
      </c>
      <c r="O67" s="106">
        <f>$E67*Electricity_LCIA!N193</f>
        <v>9.1599559007589555</v>
      </c>
      <c r="P67" s="106">
        <f>$E67*Electricity_LCIA!O193</f>
        <v>3.7721036996496027</v>
      </c>
      <c r="Q67" s="106">
        <f>$E67*Electricity_LCIA!P193</f>
        <v>109.81222431727636</v>
      </c>
      <c r="R67" s="106">
        <f>$E67*Electricity_LCIA!Q193</f>
        <v>0.45618691822690555</v>
      </c>
      <c r="S67" s="106">
        <f>$E67*Electricity_LCIA!R193</f>
        <v>5.0647424622748245</v>
      </c>
      <c r="T67" s="106">
        <f>$E67*Electricity_LCIA!S193</f>
        <v>1.5717127840642653</v>
      </c>
      <c r="U67" s="106">
        <f>$E67*Electricity_LCIA!T193</f>
        <v>0.29209412712432536</v>
      </c>
      <c r="V67" s="106">
        <f>$E67*Electricity_LCIA!U193</f>
        <v>4.4785206474844859E-3</v>
      </c>
      <c r="W67" s="106">
        <f>$E67*Electricity_LCIA!V193</f>
        <v>2.9912879131809129</v>
      </c>
      <c r="X67" s="106">
        <f>$E67*Electricity_LCIA!W193</f>
        <v>2.2665458056117762</v>
      </c>
      <c r="Y67" s="106">
        <f>$E67*Electricity_LCIA!X193</f>
        <v>0.253446166231385</v>
      </c>
      <c r="Z67" s="106">
        <f>$E67*Electricity_LCIA!Y193</f>
        <v>1.3604265140071791E-3</v>
      </c>
      <c r="AA67" s="106">
        <f>$E67*Electricity_LCIA!Z193</f>
        <v>0.12000647956834656</v>
      </c>
      <c r="AB67" s="106">
        <f>$E67*Electricity_LCIA!AA193</f>
        <v>-9.4959112322556176E-4</v>
      </c>
      <c r="AC67" s="106">
        <f>$E67*Electricity_LCIA!AB193</f>
        <v>2.0188191538842574E-7</v>
      </c>
      <c r="AD67" s="106">
        <f>$E67*Electricity_LCIA!AC193</f>
        <v>1.2898100120626265E-2</v>
      </c>
      <c r="AE67" s="106">
        <f>$E67*Electricity_LCIA!AD193</f>
        <v>8.9721429983744428E-3</v>
      </c>
      <c r="AF67" s="106">
        <f>$E67*Electricity_LCIA!AE193</f>
        <v>1.5177897169201907E-2</v>
      </c>
      <c r="AG67" s="106">
        <f>$E67*Electricity_LCIA!AF193</f>
        <v>2.4899721219181901E-4</v>
      </c>
      <c r="AH67" s="106">
        <f>$E67*Electricity_LCIA!AG193</f>
        <v>2.2139275178283856E-2</v>
      </c>
      <c r="AI67" s="210">
        <f>$E67*Electricity_LCIA!AH193</f>
        <v>7.4610297467800318E-2</v>
      </c>
    </row>
    <row r="68" spans="3:35" x14ac:dyDescent="0.25">
      <c r="C68" s="135" t="str">
        <f>Electricity_LCIA!B202</f>
        <v>Virtual</v>
      </c>
      <c r="D68" s="136" t="str">
        <f>Electricity_LCIA!C202</f>
        <v>6_Hub_70%IP</v>
      </c>
      <c r="E68" s="106">
        <f t="shared" si="93"/>
        <v>10.803133279788913</v>
      </c>
      <c r="F68" s="136" t="s">
        <v>833</v>
      </c>
      <c r="G68" s="136"/>
      <c r="H68" s="106">
        <f>$E68*Electricity_LCIA!G202</f>
        <v>5.8086424199608819</v>
      </c>
      <c r="I68" s="106">
        <f>$E68*Electricity_LCIA!H202</f>
        <v>2.4198997395329376</v>
      </c>
      <c r="J68" s="106">
        <f>$E68*Electricity_LCIA!I202</f>
        <v>71.679555878993554</v>
      </c>
      <c r="K68" s="106">
        <f>$E68*Electricity_LCIA!J202</f>
        <v>0.29033196318968091</v>
      </c>
      <c r="L68" s="106">
        <f>$E68*Electricity_LCIA!K202</f>
        <v>22.670587260724467</v>
      </c>
      <c r="M68" s="106">
        <f>$E68*Electricity_LCIA!L202</f>
        <v>2.7850181669045984E-3</v>
      </c>
      <c r="N68" s="106">
        <f>$E68*Electricity_LCIA!M202</f>
        <v>1.3449831483404855</v>
      </c>
      <c r="O68" s="106">
        <f>$E68*Electricity_LCIA!N202</f>
        <v>7.438445406312959</v>
      </c>
      <c r="P68" s="106">
        <f>$E68*Electricity_LCIA!O202</f>
        <v>4.8370716700970355</v>
      </c>
      <c r="Q68" s="106">
        <f>$E68*Electricity_LCIA!P202</f>
        <v>110.68366008535801</v>
      </c>
      <c r="R68" s="106">
        <f>$E68*Electricity_LCIA!Q202</f>
        <v>0.3863727543071836</v>
      </c>
      <c r="S68" s="106">
        <f>$E68*Electricity_LCIA!R202</f>
        <v>5.7603475774289725</v>
      </c>
      <c r="T68" s="106">
        <f>$E68*Electricity_LCIA!S202</f>
        <v>1.81847469339729</v>
      </c>
      <c r="U68" s="106">
        <f>$E68*Electricity_LCIA!T202</f>
        <v>0.32437191259833442</v>
      </c>
      <c r="V68" s="106">
        <f>$E68*Electricity_LCIA!U202</f>
        <v>5.8847925237913122E-3</v>
      </c>
      <c r="W68" s="106">
        <f>$E68*Electricity_LCIA!V202</f>
        <v>3.8431817090425429</v>
      </c>
      <c r="X68" s="106">
        <f>$E68*Electricity_LCIA!W202</f>
        <v>1.5424697097963092</v>
      </c>
      <c r="Y68" s="106">
        <f>$E68*Electricity_LCIA!X202</f>
        <v>0.28403703965738603</v>
      </c>
      <c r="Z68" s="106">
        <f>$E68*Electricity_LCIA!Y202</f>
        <v>1.6965067823023821E-3</v>
      </c>
      <c r="AA68" s="106">
        <f>$E68*Electricity_LCIA!Z202</f>
        <v>0.12638538848353237</v>
      </c>
      <c r="AB68" s="106">
        <f>$E68*Electricity_LCIA!AA202</f>
        <v>-3.9875778023439588E-4</v>
      </c>
      <c r="AC68" s="106">
        <f>$E68*Electricity_LCIA!AB202</f>
        <v>2.2912312722044217E-7</v>
      </c>
      <c r="AD68" s="106">
        <f>$E68*Electricity_LCIA!AC202</f>
        <v>1.5993979005484275E-2</v>
      </c>
      <c r="AE68" s="106">
        <f>$E68*Electricity_LCIA!AD202</f>
        <v>1.0567058806713048E-2</v>
      </c>
      <c r="AF68" s="106">
        <f>$E68*Electricity_LCIA!AE202</f>
        <v>1.7571307082709948E-2</v>
      </c>
      <c r="AG68" s="106">
        <f>$E68*Electricity_LCIA!AF202</f>
        <v>2.6293746317112616E-4</v>
      </c>
      <c r="AH68" s="106">
        <f>$E68*Electricity_LCIA!AG202</f>
        <v>2.3616184025113878E-2</v>
      </c>
      <c r="AI68" s="210">
        <f>$E68*Electricity_LCIA!AH202</f>
        <v>5.156645659132706E-2</v>
      </c>
    </row>
    <row r="69" spans="3:35" x14ac:dyDescent="0.25">
      <c r="C69" s="135" t="str">
        <f>Electricity_LCIA!B211</f>
        <v>Virtual</v>
      </c>
      <c r="D69" s="136" t="str">
        <f>Electricity_LCIA!C211</f>
        <v>6_Hub_90%IP</v>
      </c>
      <c r="E69" s="106">
        <f t="shared" si="93"/>
        <v>10.803133279788913</v>
      </c>
      <c r="F69" s="136" t="s">
        <v>833</v>
      </c>
      <c r="G69" s="136"/>
      <c r="H69" s="106">
        <f>$E69*Electricity_LCIA!G211</f>
        <v>5.7510144549238662</v>
      </c>
      <c r="I69" s="106">
        <f>$E69*Electricity_LCIA!H211</f>
        <v>2.2206271444765378</v>
      </c>
      <c r="J69" s="106">
        <f>$E69*Electricity_LCIA!I211</f>
        <v>74.209963438853976</v>
      </c>
      <c r="K69" s="106">
        <f>$E69*Electricity_LCIA!J211</f>
        <v>0.38557274218355198</v>
      </c>
      <c r="L69" s="106">
        <f>$E69*Electricity_LCIA!K211</f>
        <v>22.176183098111174</v>
      </c>
      <c r="M69" s="106">
        <f>$E69*Electricity_LCIA!L211</f>
        <v>7.7590286585538411E-3</v>
      </c>
      <c r="N69" s="106">
        <f>$E69*Electricity_LCIA!M211</f>
        <v>1.2087625152981452</v>
      </c>
      <c r="O69" s="106">
        <f>$E69*Electricity_LCIA!N211</f>
        <v>9.0715917258833692</v>
      </c>
      <c r="P69" s="106">
        <f>$E69*Electricity_LCIA!O211</f>
        <v>3.8387831337256424</v>
      </c>
      <c r="Q69" s="106">
        <f>$E69*Electricity_LCIA!P211</f>
        <v>113.11924282719096</v>
      </c>
      <c r="R69" s="106">
        <f>$E69*Electricity_LCIA!Q211</f>
        <v>0.35494629714654125</v>
      </c>
      <c r="S69" s="106">
        <f>$E69*Electricity_LCIA!R211</f>
        <v>5.6929942375938909</v>
      </c>
      <c r="T69" s="106">
        <f>$E69*Electricity_LCIA!S211</f>
        <v>1.8961316106764394</v>
      </c>
      <c r="U69" s="106">
        <f>$E69*Electricity_LCIA!T211</f>
        <v>0.30017557701923375</v>
      </c>
      <c r="V69" s="106">
        <f>$E69*Electricity_LCIA!U211</f>
        <v>3.4275931092290941E-3</v>
      </c>
      <c r="W69" s="106">
        <f>$E69*Electricity_LCIA!V211</f>
        <v>2.4471646986761875</v>
      </c>
      <c r="X69" s="106">
        <f>$E69*Electricity_LCIA!W211</f>
        <v>1.5654055971916079</v>
      </c>
      <c r="Y69" s="106">
        <f>$E69*Electricity_LCIA!X211</f>
        <v>0.25906169468616758</v>
      </c>
      <c r="Z69" s="106">
        <f>$E69*Electricity_LCIA!Y211</f>
        <v>1.2978598607892447E-3</v>
      </c>
      <c r="AA69" s="106">
        <f>$E69*Electricity_LCIA!Z211</f>
        <v>0.1276683587363501</v>
      </c>
      <c r="AB69" s="106">
        <f>$E69*Electricity_LCIA!AA211</f>
        <v>-3.1791346898570397E-4</v>
      </c>
      <c r="AC69" s="106">
        <f>$E69*Electricity_LCIA!AB211</f>
        <v>2.8081934725815294E-7</v>
      </c>
      <c r="AD69" s="106">
        <f>$E69*Electricity_LCIA!AC211</f>
        <v>1.3839937825856654E-2</v>
      </c>
      <c r="AE69" s="106">
        <f>$E69*Electricity_LCIA!AD211</f>
        <v>1.2049800645627502E-2</v>
      </c>
      <c r="AF69" s="106">
        <f>$E69*Electricity_LCIA!AE211</f>
        <v>1.9472923501011132E-2</v>
      </c>
      <c r="AG69" s="106">
        <f>$E69*Electricity_LCIA!AF211</f>
        <v>3.2238875223475078E-4</v>
      </c>
      <c r="AH69" s="106">
        <f>$E69*Electricity_LCIA!AG211</f>
        <v>2.5019780911799502E-2</v>
      </c>
      <c r="AI69" s="210">
        <f>$E69*Electricity_LCIA!AH211</f>
        <v>6.122811394072325E-2</v>
      </c>
    </row>
    <row r="70" spans="3:35" x14ac:dyDescent="0.25">
      <c r="C70" s="135" t="str">
        <f>Electricity_LCIA!B220</f>
        <v>Virtual</v>
      </c>
      <c r="D70" s="136" t="str">
        <f>Electricity_LCIA!C220</f>
        <v>1_Hub_1000km</v>
      </c>
      <c r="E70" s="106">
        <f t="shared" si="93"/>
        <v>10.803133279788913</v>
      </c>
      <c r="F70" s="136" t="s">
        <v>833</v>
      </c>
      <c r="G70" s="136"/>
      <c r="H70" s="106">
        <f>$E70*Electricity_LCIA!G220</f>
        <v>5.7520148938765727</v>
      </c>
      <c r="I70" s="106">
        <f>$E70*Electricity_LCIA!H220</f>
        <v>2.2292216187003424</v>
      </c>
      <c r="J70" s="106">
        <f>$E70*Electricity_LCIA!I220</f>
        <v>69.676214297379545</v>
      </c>
      <c r="K70" s="106">
        <f>$E70*Electricity_LCIA!J220</f>
        <v>0.60969270648876694</v>
      </c>
      <c r="L70" s="106">
        <f>$E70*Electricity_LCIA!K220</f>
        <v>21.637052174931988</v>
      </c>
      <c r="M70" s="106">
        <f>$E70*Electricity_LCIA!L220</f>
        <v>1.4578626008734941E-3</v>
      </c>
      <c r="N70" s="106">
        <f>$E70*Electricity_LCIA!M220</f>
        <v>1.6972085834430002</v>
      </c>
      <c r="O70" s="106">
        <f>$E70*Electricity_LCIA!N220</f>
        <v>7.0214249505495152</v>
      </c>
      <c r="P70" s="106">
        <f>$E70*Electricity_LCIA!O220</f>
        <v>4.3014098487895431</v>
      </c>
      <c r="Q70" s="106">
        <f>$E70*Electricity_LCIA!P220</f>
        <v>107.17368204288358</v>
      </c>
      <c r="R70" s="106">
        <f>$E70*Electricity_LCIA!Q220</f>
        <v>0.33231716890438545</v>
      </c>
      <c r="S70" s="106">
        <f>$E70*Electricity_LCIA!R220</f>
        <v>5.7013944895309052</v>
      </c>
      <c r="T70" s="106">
        <f>$E70*Electricity_LCIA!S220</f>
        <v>1.7604552571511922</v>
      </c>
      <c r="U70" s="106">
        <f>$E70*Electricity_LCIA!T220</f>
        <v>0.3313401558171955</v>
      </c>
      <c r="V70" s="106">
        <f>$E70*Electricity_LCIA!U220</f>
        <v>5.8514618510212462E-3</v>
      </c>
      <c r="W70" s="106">
        <f>$E70*Electricity_LCIA!V220</f>
        <v>3.8143419179071798</v>
      </c>
      <c r="X70" s="106">
        <f>$E70*Electricity_LCIA!W220</f>
        <v>1.4292362587955252</v>
      </c>
      <c r="Y70" s="106">
        <f>$E70*Electricity_LCIA!X220</f>
        <v>0.2880579903899379</v>
      </c>
      <c r="Z70" s="106">
        <f>$E70*Electricity_LCIA!Y220</f>
        <v>1.6471349190068595E-3</v>
      </c>
      <c r="AA70" s="106">
        <f>$E70*Electricity_LCIA!Z220</f>
        <v>0.12579443590463088</v>
      </c>
      <c r="AB70" s="106">
        <f>$E70*Electricity_LCIA!AA220</f>
        <v>-2.3451662916770401E-4</v>
      </c>
      <c r="AC70" s="106">
        <f>$E70*Electricity_LCIA!AB220</f>
        <v>2.1140528975507987E-7</v>
      </c>
      <c r="AD70" s="106">
        <f>$E70*Electricity_LCIA!AC220</f>
        <v>1.8534398038727026E-2</v>
      </c>
      <c r="AE70" s="106">
        <f>$E70*Electricity_LCIA!AD220</f>
        <v>9.8277994463465655E-3</v>
      </c>
      <c r="AF70" s="106">
        <f>$E70*Electricity_LCIA!AE220</f>
        <v>1.5963605520833493E-2</v>
      </c>
      <c r="AG70" s="106">
        <f>$E70*Electricity_LCIA!AF220</f>
        <v>2.9594222021595798E-4</v>
      </c>
      <c r="AH70" s="106">
        <f>$E70*Electricity_LCIA!AG220</f>
        <v>2.4879926805122975E-2</v>
      </c>
      <c r="AI70" s="210">
        <f>$E70*Electricity_LCIA!AH220</f>
        <v>4.0308730331056079E-2</v>
      </c>
    </row>
    <row r="71" spans="3:35" x14ac:dyDescent="0.25">
      <c r="C71" s="135" t="str">
        <f>Electricity_LCIA!B223</f>
        <v>Virtual</v>
      </c>
      <c r="D71" s="136" t="str">
        <f>Electricity_LCIA!C223</f>
        <v>2_Hub_1000km</v>
      </c>
      <c r="E71" s="106">
        <f t="shared" si="93"/>
        <v>10.803133279788913</v>
      </c>
      <c r="F71" s="136" t="s">
        <v>833</v>
      </c>
      <c r="G71" s="136"/>
      <c r="H71" s="106">
        <f>$E71*Electricity_LCIA!G223</f>
        <v>5.1357063610937326</v>
      </c>
      <c r="I71" s="106">
        <f>$E71*Electricity_LCIA!H223</f>
        <v>2.2990242946611481</v>
      </c>
      <c r="J71" s="106">
        <f>$E71*Electricity_LCIA!I223</f>
        <v>65.168270975303656</v>
      </c>
      <c r="K71" s="106">
        <f>$E71*Electricity_LCIA!J223</f>
        <v>0.88738463155688296</v>
      </c>
      <c r="L71" s="106">
        <f>$E71*Electricity_LCIA!K223</f>
        <v>19.447993664800961</v>
      </c>
      <c r="M71" s="106">
        <f>$E71*Electricity_LCIA!L223</f>
        <v>2.0282448057664633E-3</v>
      </c>
      <c r="N71" s="106">
        <f>$E71*Electricity_LCIA!M223</f>
        <v>2.3416881938775003</v>
      </c>
      <c r="O71" s="106">
        <f>$E71*Electricity_LCIA!N223</f>
        <v>9.1191008724122167</v>
      </c>
      <c r="P71" s="106">
        <f>$E71*Electricity_LCIA!O223</f>
        <v>3.4762967838793486</v>
      </c>
      <c r="Q71" s="106">
        <f>$E71*Electricity_LCIA!P223</f>
        <v>102.74178766129751</v>
      </c>
      <c r="R71" s="106">
        <f>$E71*Electricity_LCIA!Q223</f>
        <v>0.33819698563888151</v>
      </c>
      <c r="S71" s="106">
        <f>$E71*Electricity_LCIA!R223</f>
        <v>5.0885083440970229</v>
      </c>
      <c r="T71" s="106">
        <f>$E71*Electricity_LCIA!S223</f>
        <v>1.6698524696144279</v>
      </c>
      <c r="U71" s="106">
        <f>$E71*Electricity_LCIA!T223</f>
        <v>0.3138269286652588</v>
      </c>
      <c r="V71" s="106">
        <f>$E71*Electricity_LCIA!U223</f>
        <v>4.8010000624081513E-3</v>
      </c>
      <c r="W71" s="106">
        <f>$E71*Electricity_LCIA!V223</f>
        <v>3.1475067037090816</v>
      </c>
      <c r="X71" s="106">
        <f>$E71*Electricity_LCIA!W223</f>
        <v>1.296425278676496</v>
      </c>
      <c r="Y71" s="106">
        <f>$E71*Electricity_LCIA!X223</f>
        <v>0.27199860571025691</v>
      </c>
      <c r="Z71" s="106">
        <f>$E71*Electricity_LCIA!Y223</f>
        <v>1.409922728513131E-3</v>
      </c>
      <c r="AA71" s="106">
        <f>$E71*Electricity_LCIA!Z223</f>
        <v>0.12644387107896915</v>
      </c>
      <c r="AB71" s="106">
        <f>$E71*Electricity_LCIA!AA223</f>
        <v>-2.0365976273778997E-4</v>
      </c>
      <c r="AC71" s="106">
        <f>$E71*Electricity_LCIA!AB223</f>
        <v>2.256659196892575E-7</v>
      </c>
      <c r="AD71" s="106">
        <f>$E71*Electricity_LCIA!AC223</f>
        <v>1.3141320771134961E-2</v>
      </c>
      <c r="AE71" s="106">
        <f>$E71*Electricity_LCIA!AD223</f>
        <v>9.1298923302560418E-3</v>
      </c>
      <c r="AF71" s="106">
        <f>$E71*Electricity_LCIA!AE223</f>
        <v>1.3184783990626373E-2</v>
      </c>
      <c r="AG71" s="106">
        <f>$E71*Electricity_LCIA!AF223</f>
        <v>3.0063384706307113E-4</v>
      </c>
      <c r="AH71" s="106">
        <f>$E71*Electricity_LCIA!AG223</f>
        <v>2.4574639464853019E-2</v>
      </c>
      <c r="AI71" s="210">
        <f>$E71*Electricity_LCIA!AH223</f>
        <v>4.3919814254983432E-2</v>
      </c>
    </row>
    <row r="72" spans="3:35" x14ac:dyDescent="0.25">
      <c r="C72" s="135" t="str">
        <f>Electricity_LCIA!B228</f>
        <v>Virtual</v>
      </c>
      <c r="D72" s="136" t="str">
        <f>Electricity_LCIA!C228</f>
        <v>3_Hub_1000km</v>
      </c>
      <c r="E72" s="106">
        <f t="shared" si="93"/>
        <v>10.803133279788913</v>
      </c>
      <c r="F72" s="136" t="s">
        <v>833</v>
      </c>
      <c r="G72" s="136"/>
      <c r="H72" s="106">
        <f>$E72*Electricity_LCIA!G228</f>
        <v>4.8723982316766818</v>
      </c>
      <c r="I72" s="106">
        <f>$E72*Electricity_LCIA!H228</f>
        <v>2.5103812590483727</v>
      </c>
      <c r="J72" s="106">
        <f>$E72*Electricity_LCIA!I228</f>
        <v>62.400851030557753</v>
      </c>
      <c r="K72" s="106">
        <f>$E72*Electricity_LCIA!J228</f>
        <v>0.83058290320830852</v>
      </c>
      <c r="L72" s="106">
        <f>$E72*Electricity_LCIA!K228</f>
        <v>22.790532847406343</v>
      </c>
      <c r="M72" s="106">
        <f>$E72*Electricity_LCIA!L228</f>
        <v>2.5543600713748239E-3</v>
      </c>
      <c r="N72" s="106">
        <f>$E72*Electricity_LCIA!M228</f>
        <v>2.3878580988058635</v>
      </c>
      <c r="O72" s="106">
        <f>$E72*Electricity_LCIA!N228</f>
        <v>8.8312662282011676</v>
      </c>
      <c r="P72" s="106">
        <f>$E72*Electricity_LCIA!O228</f>
        <v>3.5466048826983232</v>
      </c>
      <c r="Q72" s="106">
        <f>$E72*Electricity_LCIA!P228</f>
        <v>103.30063160999751</v>
      </c>
      <c r="R72" s="106">
        <f>$E72*Electricity_LCIA!Q228</f>
        <v>0.36675997939393196</v>
      </c>
      <c r="S72" s="106">
        <f>$E72*Electricity_LCIA!R228</f>
        <v>4.823385193811875</v>
      </c>
      <c r="T72" s="106">
        <f>$E72*Electricity_LCIA!S228</f>
        <v>1.601043814989634</v>
      </c>
      <c r="U72" s="106">
        <f>$E72*Electricity_LCIA!T228</f>
        <v>0.29960191244732615</v>
      </c>
      <c r="V72" s="106">
        <f>$E72*Electricity_LCIA!U228</f>
        <v>3.8962597771899938E-3</v>
      </c>
      <c r="W72" s="106">
        <f>$E72*Electricity_LCIA!V228</f>
        <v>2.6308296613830118</v>
      </c>
      <c r="X72" s="106">
        <f>$E72*Electricity_LCIA!W228</f>
        <v>1.5216175283978608</v>
      </c>
      <c r="Y72" s="106">
        <f>$E72*Electricity_LCIA!X228</f>
        <v>0.25842062765996943</v>
      </c>
      <c r="Z72" s="106">
        <f>$E72*Electricity_LCIA!Y228</f>
        <v>1.2282898510542638E-3</v>
      </c>
      <c r="AA72" s="106">
        <f>$E72*Electricity_LCIA!Z228</f>
        <v>0.1274075042332668</v>
      </c>
      <c r="AB72" s="106">
        <f>$E72*Electricity_LCIA!AA228</f>
        <v>-2.089665194696161E-4</v>
      </c>
      <c r="AC72" s="106">
        <f>$E72*Electricity_LCIA!AB228</f>
        <v>2.2191714279529461E-7</v>
      </c>
      <c r="AD72" s="106">
        <f>$E72*Electricity_LCIA!AC228</f>
        <v>1.3040592165332817E-2</v>
      </c>
      <c r="AE72" s="106">
        <f>$E72*Electricity_LCIA!AD228</f>
        <v>8.737492092880347E-3</v>
      </c>
      <c r="AF72" s="106">
        <f>$E72*Electricity_LCIA!AE228</f>
        <v>1.2393689827830845E-2</v>
      </c>
      <c r="AG72" s="106">
        <f>$E72*Electricity_LCIA!AF228</f>
        <v>3.1342186822928256E-4</v>
      </c>
      <c r="AH72" s="106">
        <f>$E72*Electricity_LCIA!AG228</f>
        <v>2.5965511466361089E-2</v>
      </c>
      <c r="AI72" s="210">
        <f>$E72*Electricity_LCIA!AH228</f>
        <v>4.2511113331320162E-2</v>
      </c>
    </row>
    <row r="73" spans="3:35" x14ac:dyDescent="0.25">
      <c r="C73" s="135" t="str">
        <f>Electricity_LCIA!B234</f>
        <v>Virtual</v>
      </c>
      <c r="D73" s="136" t="str">
        <f>Electricity_LCIA!C234</f>
        <v>4_Hub_1000km</v>
      </c>
      <c r="E73" s="106">
        <f t="shared" si="93"/>
        <v>10.803133279788913</v>
      </c>
      <c r="F73" s="136" t="s">
        <v>833</v>
      </c>
      <c r="G73" s="136"/>
      <c r="H73" s="106">
        <f>$E73*Electricity_LCIA!G234</f>
        <v>5.0043458911783203</v>
      </c>
      <c r="I73" s="106">
        <f>$E73*Electricity_LCIA!H234</f>
        <v>2.7451457158292456</v>
      </c>
      <c r="J73" s="106">
        <f>$E73*Electricity_LCIA!I234</f>
        <v>64.329997698840373</v>
      </c>
      <c r="K73" s="106">
        <f>$E73*Electricity_LCIA!J234</f>
        <v>0.55371628836740372</v>
      </c>
      <c r="L73" s="106">
        <f>$E73*Electricity_LCIA!K234</f>
        <v>26.141400338281812</v>
      </c>
      <c r="M73" s="106">
        <f>$E73*Electricity_LCIA!L234</f>
        <v>3.3003808701515354E-3</v>
      </c>
      <c r="N73" s="106">
        <f>$E73*Electricity_LCIA!M234</f>
        <v>2.0201098195678244</v>
      </c>
      <c r="O73" s="106">
        <f>$E73*Electricity_LCIA!N234</f>
        <v>8.1597866942573578</v>
      </c>
      <c r="P73" s="106">
        <f>$E73*Electricity_LCIA!O234</f>
        <v>3.6516594296334146</v>
      </c>
      <c r="Q73" s="106">
        <f>$E73*Electricity_LCIA!P234</f>
        <v>107.60511636564755</v>
      </c>
      <c r="R73" s="106">
        <f>$E73*Electricity_LCIA!Q234</f>
        <v>0.39777887269652751</v>
      </c>
      <c r="S73" s="106">
        <f>$E73*Electricity_LCIA!R234</f>
        <v>4.953944612023216</v>
      </c>
      <c r="T73" s="106">
        <f>$E73*Electricity_LCIA!S234</f>
        <v>1.6518474310299414</v>
      </c>
      <c r="U73" s="106">
        <f>$E73*Electricity_LCIA!T234</f>
        <v>0.29384624866499021</v>
      </c>
      <c r="V73" s="106">
        <f>$E73*Electricity_LCIA!U234</f>
        <v>3.6530192484486388E-3</v>
      </c>
      <c r="W73" s="106">
        <f>$E73*Electricity_LCIA!V234</f>
        <v>2.5088839656997584</v>
      </c>
      <c r="X73" s="106">
        <f>$E73*Electricity_LCIA!W234</f>
        <v>1.7509043053476094</v>
      </c>
      <c r="Y73" s="106">
        <f>$E73*Electricity_LCIA!X234</f>
        <v>0.25379084595895846</v>
      </c>
      <c r="Z73" s="106">
        <f>$E73*Electricity_LCIA!Y234</f>
        <v>1.2106439767655547E-3</v>
      </c>
      <c r="AA73" s="106">
        <f>$E73*Electricity_LCIA!Z234</f>
        <v>0.12852160157450704</v>
      </c>
      <c r="AB73" s="106">
        <f>$E73*Electricity_LCIA!AA234</f>
        <v>-2.2497041757092639E-4</v>
      </c>
      <c r="AC73" s="106">
        <f>$E73*Electricity_LCIA!AB234</f>
        <v>2.3231859511064629E-7</v>
      </c>
      <c r="AD73" s="106">
        <f>$E73*Electricity_LCIA!AC234</f>
        <v>1.1905621915158248E-2</v>
      </c>
      <c r="AE73" s="106">
        <f>$E73*Electricity_LCIA!AD234</f>
        <v>9.1841700406201272E-3</v>
      </c>
      <c r="AF73" s="106">
        <f>$E73*Electricity_LCIA!AE234</f>
        <v>1.3631152491989727E-2</v>
      </c>
      <c r="AG73" s="106">
        <f>$E73*Electricity_LCIA!AF234</f>
        <v>3.0390417043942003E-4</v>
      </c>
      <c r="AH73" s="106">
        <f>$E73*Electricity_LCIA!AG234</f>
        <v>2.5979214569995066E-2</v>
      </c>
      <c r="AI73" s="210">
        <f>$E73*Electricity_LCIA!AH234</f>
        <v>4.5527481965429259E-2</v>
      </c>
    </row>
    <row r="74" spans="3:35" x14ac:dyDescent="0.25">
      <c r="C74" s="135" t="str">
        <f>Electricity_LCIA!B241</f>
        <v>Virtual</v>
      </c>
      <c r="D74" s="136" t="str">
        <f>Electricity_LCIA!C241</f>
        <v>5_Hub_1000km</v>
      </c>
      <c r="E74" s="106">
        <f t="shared" si="93"/>
        <v>10.803133279788913</v>
      </c>
      <c r="F74" s="136" t="s">
        <v>833</v>
      </c>
      <c r="G74" s="136"/>
      <c r="H74" s="106">
        <f>$E74*Electricity_LCIA!G241</f>
        <v>5.4302042457839983</v>
      </c>
      <c r="I74" s="106">
        <f>$E74*Electricity_LCIA!H241</f>
        <v>2.4514104832574732</v>
      </c>
      <c r="J74" s="106">
        <f>$E74*Electricity_LCIA!I241</f>
        <v>69.446982010609247</v>
      </c>
      <c r="K74" s="106">
        <f>$E74*Electricity_LCIA!J241</f>
        <v>0.70238094260340034</v>
      </c>
      <c r="L74" s="106">
        <f>$E74*Electricity_LCIA!K241</f>
        <v>22.375911828146595</v>
      </c>
      <c r="M74" s="106">
        <f>$E74*Electricity_LCIA!L241</f>
        <v>4.2076867237034439E-3</v>
      </c>
      <c r="N74" s="106">
        <f>$E74*Electricity_LCIA!M241</f>
        <v>1.8112924514872351</v>
      </c>
      <c r="O74" s="106">
        <f>$E74*Electricity_LCIA!N241</f>
        <v>8.3731349968051259</v>
      </c>
      <c r="P74" s="106">
        <f>$E74*Electricity_LCIA!O241</f>
        <v>3.2169258340081983</v>
      </c>
      <c r="Q74" s="106">
        <f>$E74*Electricity_LCIA!P241</f>
        <v>108.38224623364098</v>
      </c>
      <c r="R74" s="106">
        <f>$E74*Electricity_LCIA!Q241</f>
        <v>0.373479471877598</v>
      </c>
      <c r="S74" s="106">
        <f>$E74*Electricity_LCIA!R241</f>
        <v>5.3751868888603891</v>
      </c>
      <c r="T74" s="106">
        <f>$E74*Electricity_LCIA!S241</f>
        <v>1.7788978214816273</v>
      </c>
      <c r="U74" s="106">
        <f>$E74*Electricity_LCIA!T241</f>
        <v>0.30754479855717298</v>
      </c>
      <c r="V74" s="106">
        <f>$E74*Electricity_LCIA!U241</f>
        <v>3.9501625328409425E-3</v>
      </c>
      <c r="W74" s="106">
        <f>$E74*Electricity_LCIA!V241</f>
        <v>2.6997897317725235</v>
      </c>
      <c r="X74" s="106">
        <f>$E74*Electricity_LCIA!W241</f>
        <v>1.5329070106955727</v>
      </c>
      <c r="Y74" s="106">
        <f>$E74*Electricity_LCIA!X241</f>
        <v>0.26433541635189056</v>
      </c>
      <c r="Z74" s="106">
        <f>$E74*Electricity_LCIA!Y241</f>
        <v>1.2994734169338544E-3</v>
      </c>
      <c r="AA74" s="106">
        <f>$E74*Electricity_LCIA!Z241</f>
        <v>0.12597266640100213</v>
      </c>
      <c r="AB74" s="106">
        <f>$E74*Electricity_LCIA!AA241</f>
        <v>-2.5180501210418128E-4</v>
      </c>
      <c r="AC74" s="106">
        <f>$E74*Electricity_LCIA!AB241</f>
        <v>2.5151052169184448E-7</v>
      </c>
      <c r="AD74" s="106">
        <f>$E74*Electricity_LCIA!AC241</f>
        <v>1.4754081290445406E-2</v>
      </c>
      <c r="AE74" s="106">
        <f>$E74*Electricity_LCIA!AD241</f>
        <v>1.0068310155838384E-2</v>
      </c>
      <c r="AF74" s="106">
        <f>$E74*Electricity_LCIA!AE241</f>
        <v>1.53520581242705E-2</v>
      </c>
      <c r="AG74" s="106">
        <f>$E74*Electricity_LCIA!AF241</f>
        <v>3.3657833928141994E-4</v>
      </c>
      <c r="AH74" s="106">
        <f>$E74*Electricity_LCIA!AG241</f>
        <v>2.5404001533189995E-2</v>
      </c>
      <c r="AI74" s="210">
        <f>$E74*Electricity_LCIA!AH241</f>
        <v>4.673672075464215E-2</v>
      </c>
    </row>
    <row r="75" spans="3:35" x14ac:dyDescent="0.25">
      <c r="C75" s="135" t="str">
        <f>Electricity_LCIA!B249</f>
        <v>Virtual</v>
      </c>
      <c r="D75" s="136" t="str">
        <f>Electricity_LCIA!C249</f>
        <v>6_Hub_1000km</v>
      </c>
      <c r="E75" s="106">
        <f t="shared" si="93"/>
        <v>10.803133279788913</v>
      </c>
      <c r="F75" s="136" t="s">
        <v>833</v>
      </c>
      <c r="G75" s="136"/>
      <c r="H75" s="106">
        <f>$E75*Electricity_LCIA!G249</f>
        <v>5.859485964230168</v>
      </c>
      <c r="I75" s="106">
        <f>$E75*Electricity_LCIA!H249</f>
        <v>2.7525684850241614</v>
      </c>
      <c r="J75" s="106">
        <f>$E75*Electricity_LCIA!I249</f>
        <v>75.235223999639061</v>
      </c>
      <c r="K75" s="106">
        <f>$E75*Electricity_LCIA!J249</f>
        <v>0.26020459659224748</v>
      </c>
      <c r="L75" s="106">
        <f>$E75*Electricity_LCIA!K249</f>
        <v>26.862353950292132</v>
      </c>
      <c r="M75" s="106">
        <f>$E75*Electricity_LCIA!L249</f>
        <v>5.9746060970235892E-3</v>
      </c>
      <c r="N75" s="106">
        <f>$E75*Electricity_LCIA!M249</f>
        <v>1.0452076309287031</v>
      </c>
      <c r="O75" s="106">
        <f>$E75*Electricity_LCIA!N249</f>
        <v>7.2359624376958287</v>
      </c>
      <c r="P75" s="106">
        <f>$E75*Electricity_LCIA!O249</f>
        <v>3.2182430546474352</v>
      </c>
      <c r="Q75" s="106">
        <f>$E75*Electricity_LCIA!P249</f>
        <v>116.61573876091661</v>
      </c>
      <c r="R75" s="106">
        <f>$E75*Electricity_LCIA!Q249</f>
        <v>0.41965570657202728</v>
      </c>
      <c r="S75" s="106">
        <f>$E75*Electricity_LCIA!R249</f>
        <v>5.7998924240562042</v>
      </c>
      <c r="T75" s="106">
        <f>$E75*Electricity_LCIA!S249</f>
        <v>1.9279399560209329</v>
      </c>
      <c r="U75" s="106">
        <f>$E75*Electricity_LCIA!T249</f>
        <v>0.30302011024211761</v>
      </c>
      <c r="V75" s="106">
        <f>$E75*Electricity_LCIA!U249</f>
        <v>3.6349646086144046E-3</v>
      </c>
      <c r="W75" s="106">
        <f>$E75*Electricity_LCIA!V249</f>
        <v>2.5602211600919076</v>
      </c>
      <c r="X75" s="106">
        <f>$E75*Electricity_LCIA!W249</f>
        <v>1.8573472921232164</v>
      </c>
      <c r="Y75" s="106">
        <f>$E75*Electricity_LCIA!X249</f>
        <v>0.26048709420626059</v>
      </c>
      <c r="Z75" s="106">
        <f>$E75*Electricity_LCIA!Y249</f>
        <v>1.306207601078607E-3</v>
      </c>
      <c r="AA75" s="106">
        <f>$E75*Electricity_LCIA!Z249</f>
        <v>0.12689364671693371</v>
      </c>
      <c r="AB75" s="106">
        <f>$E75*Electricity_LCIA!AA249</f>
        <v>-2.9295271355121537E-4</v>
      </c>
      <c r="AC75" s="106">
        <f>$E75*Electricity_LCIA!AB249</f>
        <v>2.790242986323832E-7</v>
      </c>
      <c r="AD75" s="106">
        <f>$E75*Electricity_LCIA!AC249</f>
        <v>1.392662462358504E-2</v>
      </c>
      <c r="AE75" s="106">
        <f>$E75*Electricity_LCIA!AD249</f>
        <v>1.1276241377390677E-2</v>
      </c>
      <c r="AF75" s="106">
        <f>$E75*Electricity_LCIA!AE249</f>
        <v>1.8377938153431979E-2</v>
      </c>
      <c r="AG75" s="106">
        <f>$E75*Electricity_LCIA!AF249</f>
        <v>3.3350586095715198E-4</v>
      </c>
      <c r="AH75" s="106">
        <f>$E75*Electricity_LCIA!AG249</f>
        <v>2.5176030153658054E-2</v>
      </c>
      <c r="AI75" s="210">
        <f>$E75*Electricity_LCIA!AH249</f>
        <v>5.2798794984429152E-2</v>
      </c>
    </row>
    <row r="76" spans="3:35" x14ac:dyDescent="0.25">
      <c r="C76" s="135" t="str">
        <f>Electricity_LCIA!B258</f>
        <v>Virtual</v>
      </c>
      <c r="D76" s="136" t="str">
        <f>Electricity_LCIA!C258</f>
        <v>1_Hub_3000km</v>
      </c>
      <c r="E76" s="106">
        <f t="shared" si="93"/>
        <v>10.803133279788913</v>
      </c>
      <c r="F76" s="136" t="s">
        <v>833</v>
      </c>
      <c r="G76" s="136"/>
      <c r="H76" s="106">
        <f>$E76*Electricity_LCIA!G258</f>
        <v>4.5595708917755076</v>
      </c>
      <c r="I76" s="106">
        <f>$E76*Electricity_LCIA!H258</f>
        <v>3.0004069802511157</v>
      </c>
      <c r="J76" s="106">
        <f>$E76*Electricity_LCIA!I258</f>
        <v>60.605554714225846</v>
      </c>
      <c r="K76" s="106">
        <f>$E76*Electricity_LCIA!J258</f>
        <v>0.38931134174886528</v>
      </c>
      <c r="L76" s="106">
        <f>$E76*Electricity_LCIA!K258</f>
        <v>26.774078288474975</v>
      </c>
      <c r="M76" s="106">
        <f>$E76*Electricity_LCIA!L258</f>
        <v>6.4446932386145392E-3</v>
      </c>
      <c r="N76" s="106">
        <f>$E76*Electricity_LCIA!M258</f>
        <v>2.2613974943330706</v>
      </c>
      <c r="O76" s="106">
        <f>$E76*Electricity_LCIA!N258</f>
        <v>10.022178682509265</v>
      </c>
      <c r="P76" s="106">
        <f>$E76*Electricity_LCIA!O258</f>
        <v>4.1155017773275464</v>
      </c>
      <c r="Q76" s="106">
        <f>$E76*Electricity_LCIA!P258</f>
        <v>107.1748739721093</v>
      </c>
      <c r="R76" s="106">
        <f>$E76*Electricity_LCIA!Q258</f>
        <v>0.41383918928431729</v>
      </c>
      <c r="S76" s="106">
        <f>$E76*Electricity_LCIA!R258</f>
        <v>4.5123965968433639</v>
      </c>
      <c r="T76" s="106">
        <f>$E76*Electricity_LCIA!S258</f>
        <v>1.556843950145252</v>
      </c>
      <c r="U76" s="106">
        <f>$E76*Electricity_LCIA!T258</f>
        <v>0.26239017876190623</v>
      </c>
      <c r="V76" s="106">
        <f>$E76*Electricity_LCIA!U258</f>
        <v>2.248289945153077E-3</v>
      </c>
      <c r="W76" s="106">
        <f>$E76*Electricity_LCIA!V258</f>
        <v>1.7041558892854727</v>
      </c>
      <c r="X76" s="106">
        <f>$E76*Electricity_LCIA!W258</f>
        <v>1.7600428422515968</v>
      </c>
      <c r="Y76" s="106">
        <f>$E76*Electricity_LCIA!X258</f>
        <v>0.22891448668243439</v>
      </c>
      <c r="Z76" s="106">
        <f>$E76*Electricity_LCIA!Y258</f>
        <v>9.9549988235741473E-4</v>
      </c>
      <c r="AA76" s="106">
        <f>$E76*Electricity_LCIA!Z258</f>
        <v>0.13222511067570611</v>
      </c>
      <c r="AB76" s="106">
        <f>$E76*Electricity_LCIA!AA258</f>
        <v>-1.8605995101185895E-4</v>
      </c>
      <c r="AC76" s="106">
        <f>$E76*Electricity_LCIA!AB258</f>
        <v>2.2892393367770668E-7</v>
      </c>
      <c r="AD76" s="106">
        <f>$E76*Electricity_LCIA!AC258</f>
        <v>6.7650011295452691E-3</v>
      </c>
      <c r="AE76" s="106">
        <f>$E76*Electricity_LCIA!AD258</f>
        <v>1.0117996268645707E-2</v>
      </c>
      <c r="AF76" s="106">
        <f>$E76*Electricity_LCIA!AE258</f>
        <v>1.45126741102399E-2</v>
      </c>
      <c r="AG76" s="106">
        <f>$E76*Electricity_LCIA!AF258</f>
        <v>2.5916682260128664E-4</v>
      </c>
      <c r="AH76" s="106">
        <f>$E76*Electricity_LCIA!AG258</f>
        <v>2.8374307736798804E-2</v>
      </c>
      <c r="AI76" s="210">
        <f>$E76*Electricity_LCIA!AH258</f>
        <v>5.1667632963050381E-2</v>
      </c>
    </row>
    <row r="77" spans="3:35" x14ac:dyDescent="0.25">
      <c r="C77" s="135" t="str">
        <f>Electricity_LCIA!B261</f>
        <v>Virtual</v>
      </c>
      <c r="D77" s="136" t="str">
        <f>Electricity_LCIA!C261</f>
        <v>2_Hub_3000km</v>
      </c>
      <c r="E77" s="106">
        <f t="shared" si="93"/>
        <v>10.803133279788913</v>
      </c>
      <c r="F77" s="136" t="s">
        <v>833</v>
      </c>
      <c r="G77" s="136"/>
      <c r="H77" s="106">
        <f>$E77*Electricity_LCIA!G261</f>
        <v>5.7498687979476264</v>
      </c>
      <c r="I77" s="106">
        <f>$E77*Electricity_LCIA!H261</f>
        <v>2.7541020180475759</v>
      </c>
      <c r="J77" s="106">
        <f>$E77*Electricity_LCIA!I261</f>
        <v>71.483310769752904</v>
      </c>
      <c r="K77" s="106">
        <f>$E77*Electricity_LCIA!J261</f>
        <v>0.90236047676930331</v>
      </c>
      <c r="L77" s="106">
        <f>$E77*Electricity_LCIA!K261</f>
        <v>9.3509107038128327</v>
      </c>
      <c r="M77" s="106">
        <f>$E77*Electricity_LCIA!L261</f>
        <v>2.2216104596636265E-2</v>
      </c>
      <c r="N77" s="106">
        <f>$E77*Electricity_LCIA!M261</f>
        <v>1.4503900055753998</v>
      </c>
      <c r="O77" s="106">
        <f>$E77*Electricity_LCIA!N261</f>
        <v>18.109466829063138</v>
      </c>
      <c r="P77" s="106">
        <f>$E77*Electricity_LCIA!O261</f>
        <v>2.1742776613721744</v>
      </c>
      <c r="Q77" s="106">
        <f>$E77*Electricity_LCIA!P261</f>
        <v>106.24703456898999</v>
      </c>
      <c r="R77" s="106">
        <f>$E77*Electricity_LCIA!Q261</f>
        <v>0.42991118747535112</v>
      </c>
      <c r="S77" s="106">
        <f>$E77*Electricity_LCIA!R261</f>
        <v>5.6835982233581408</v>
      </c>
      <c r="T77" s="106">
        <f>$E77*Electricity_LCIA!S261</f>
        <v>1.7631550339939566</v>
      </c>
      <c r="U77" s="106">
        <f>$E77*Electricity_LCIA!T261</f>
        <v>0.28397116139253137</v>
      </c>
      <c r="V77" s="106">
        <f>$E77*Electricity_LCIA!U261</f>
        <v>2.5229005893827286E-3</v>
      </c>
      <c r="W77" s="106">
        <f>$E77*Electricity_LCIA!V261</f>
        <v>1.9761872545027035</v>
      </c>
      <c r="X77" s="106">
        <f>$E77*Electricity_LCIA!W261</f>
        <v>0.66818642471077905</v>
      </c>
      <c r="Y77" s="106">
        <f>$E77*Electricity_LCIA!X261</f>
        <v>0.24566823684391365</v>
      </c>
      <c r="Z77" s="106">
        <f>$E77*Electricity_LCIA!Y261</f>
        <v>1.2527699771010539E-3</v>
      </c>
      <c r="AA77" s="106">
        <f>$E77*Electricity_LCIA!Z261</f>
        <v>0.12452040442590663</v>
      </c>
      <c r="AB77" s="106">
        <f>$E77*Electricity_LCIA!AA261</f>
        <v>-2.9961642521037212E-4</v>
      </c>
      <c r="AC77" s="106">
        <f>$E77*Electricity_LCIA!AB261</f>
        <v>1.4481999046478139E-7</v>
      </c>
      <c r="AD77" s="106">
        <f>$E77*Electricity_LCIA!AC261</f>
        <v>1.334370530218662E-2</v>
      </c>
      <c r="AE77" s="106">
        <f>$E77*Electricity_LCIA!AD261</f>
        <v>1.3964429241145973E-2</v>
      </c>
      <c r="AF77" s="106">
        <f>$E77*Electricity_LCIA!AE261</f>
        <v>2.0293527974135538E-2</v>
      </c>
      <c r="AG77" s="106">
        <f>$E77*Electricity_LCIA!AF261</f>
        <v>3.0207413803152414E-4</v>
      </c>
      <c r="AH77" s="106">
        <f>$E77*Electricity_LCIA!AG261</f>
        <v>2.9399405914644381E-2</v>
      </c>
      <c r="AI77" s="210">
        <f>$E77*Electricity_LCIA!AH261</f>
        <v>8.6768580946301022E-2</v>
      </c>
    </row>
    <row r="78" spans="3:35" x14ac:dyDescent="0.25">
      <c r="C78" s="135" t="str">
        <f>Electricity_LCIA!B266</f>
        <v>Virtual</v>
      </c>
      <c r="D78" s="136" t="str">
        <f>Electricity_LCIA!C266</f>
        <v>3_Hub_3000km</v>
      </c>
      <c r="E78" s="106">
        <f t="shared" si="93"/>
        <v>10.803133279788913</v>
      </c>
      <c r="F78" s="136" t="s">
        <v>833</v>
      </c>
      <c r="G78" s="136"/>
      <c r="H78" s="106">
        <f>$E78*Electricity_LCIA!G266</f>
        <v>6.5461153983549725</v>
      </c>
      <c r="I78" s="106">
        <f>$E78*Electricity_LCIA!H266</f>
        <v>3.2205538232497153</v>
      </c>
      <c r="J78" s="106">
        <f>$E78*Electricity_LCIA!I266</f>
        <v>81.291093209757207</v>
      </c>
      <c r="K78" s="106">
        <f>$E78*Electricity_LCIA!J266</f>
        <v>4.0727401945739566E-2</v>
      </c>
      <c r="L78" s="106">
        <f>$E78*Electricity_LCIA!K266</f>
        <v>9.7106826315701795</v>
      </c>
      <c r="M78" s="106">
        <f>$E78*Electricity_LCIA!L266</f>
        <v>2.8839734013642686E-2</v>
      </c>
      <c r="N78" s="106">
        <f>$E78*Electricity_LCIA!M266</f>
        <v>1.1721689867155931</v>
      </c>
      <c r="O78" s="106">
        <f>$E78*Electricity_LCIA!N266</f>
        <v>17.63461344372951</v>
      </c>
      <c r="P78" s="106">
        <f>$E78*Electricity_LCIA!O266</f>
        <v>1.6345108242920787</v>
      </c>
      <c r="Q78" s="106">
        <f>$E78*Electricity_LCIA!P266</f>
        <v>114.7331900552737</v>
      </c>
      <c r="R78" s="106">
        <f>$E78*Electricity_LCIA!Q266</f>
        <v>0.49935160912169091</v>
      </c>
      <c r="S78" s="106">
        <f>$E78*Electricity_LCIA!R266</f>
        <v>6.4691754831363149</v>
      </c>
      <c r="T78" s="106">
        <f>$E78*Electricity_LCIA!S266</f>
        <v>1.9952512113974459</v>
      </c>
      <c r="U78" s="106">
        <f>$E78*Electricity_LCIA!T266</f>
        <v>0.28202119583552943</v>
      </c>
      <c r="V78" s="106">
        <f>$E78*Electricity_LCIA!U266</f>
        <v>2.3316164888836258E-3</v>
      </c>
      <c r="W78" s="106">
        <f>$E78*Electricity_LCIA!V266</f>
        <v>1.9421192413007879</v>
      </c>
      <c r="X78" s="106">
        <f>$E78*Electricity_LCIA!W266</f>
        <v>0.7077806727106376</v>
      </c>
      <c r="Y78" s="106">
        <f>$E78*Electricity_LCIA!X266</f>
        <v>0.24448462894157488</v>
      </c>
      <c r="Z78" s="106">
        <f>$E78*Electricity_LCIA!Y266</f>
        <v>1.3631134297238936E-3</v>
      </c>
      <c r="AA78" s="106">
        <f>$E78*Electricity_LCIA!Z266</f>
        <v>0.12582106843238314</v>
      </c>
      <c r="AB78" s="106">
        <f>$E78*Electricity_LCIA!AA266</f>
        <v>-3.535803944615217E-4</v>
      </c>
      <c r="AC78" s="106">
        <f>$E78*Electricity_LCIA!AB266</f>
        <v>1.4684310154418996E-7</v>
      </c>
      <c r="AD78" s="106">
        <f>$E78*Electricity_LCIA!AC266</f>
        <v>1.3924385350118805E-2</v>
      </c>
      <c r="AE78" s="106">
        <f>$E78*Electricity_LCIA!AD266</f>
        <v>1.6544361233133211E-2</v>
      </c>
      <c r="AF78" s="106">
        <f>$E78*Electricity_LCIA!AE266</f>
        <v>2.4473785438565314E-2</v>
      </c>
      <c r="AG78" s="106">
        <f>$E78*Electricity_LCIA!AF266</f>
        <v>3.1560381594908127E-4</v>
      </c>
      <c r="AH78" s="106">
        <f>$E78*Electricity_LCIA!AG266</f>
        <v>3.2484146718529595E-2</v>
      </c>
      <c r="AI78" s="210">
        <f>$E78*Electricity_LCIA!AH266</f>
        <v>0.10607033724180856</v>
      </c>
    </row>
    <row r="79" spans="3:35" x14ac:dyDescent="0.25">
      <c r="C79" s="135" t="str">
        <f>Electricity_LCIA!B272</f>
        <v>Virtual</v>
      </c>
      <c r="D79" s="136" t="str">
        <f>Electricity_LCIA!C272</f>
        <v>4_Hub_3000km</v>
      </c>
      <c r="E79" s="106">
        <f t="shared" si="93"/>
        <v>10.803133279788913</v>
      </c>
      <c r="F79" s="136" t="s">
        <v>833</v>
      </c>
      <c r="G79" s="136"/>
      <c r="H79" s="106">
        <f>$E79*Electricity_LCIA!G272</f>
        <v>6.8630625239099885</v>
      </c>
      <c r="I79" s="106">
        <f>$E79*Electricity_LCIA!H272</f>
        <v>2.8600087808010093</v>
      </c>
      <c r="J79" s="106">
        <f>$E79*Electricity_LCIA!I272</f>
        <v>83.829913554877564</v>
      </c>
      <c r="K79" s="106">
        <f>$E79*Electricity_LCIA!J272</f>
        <v>4.4754956474918221E-2</v>
      </c>
      <c r="L79" s="106">
        <f>$E79*Electricity_LCIA!K272</f>
        <v>6.1854719993794944</v>
      </c>
      <c r="M79" s="106">
        <f>$E79*Electricity_LCIA!L272</f>
        <v>3.1969388821055003E-2</v>
      </c>
      <c r="N79" s="106">
        <f>$E79*Electricity_LCIA!M272</f>
        <v>1.0134501769680386</v>
      </c>
      <c r="O79" s="106">
        <f>$E79*Electricity_LCIA!N272</f>
        <v>19.467774323362189</v>
      </c>
      <c r="P79" s="106">
        <f>$E79*Electricity_LCIA!O272</f>
        <v>1.0883400560057743</v>
      </c>
      <c r="Q79" s="106">
        <f>$E79*Electricity_LCIA!P272</f>
        <v>114.52168323669007</v>
      </c>
      <c r="R79" s="106">
        <f>$E79*Electricity_LCIA!Q272</f>
        <v>0.46064740357241252</v>
      </c>
      <c r="S79" s="106">
        <f>$E79*Electricity_LCIA!R272</f>
        <v>6.7805745995780891</v>
      </c>
      <c r="T79" s="106">
        <f>$E79*Electricity_LCIA!S272</f>
        <v>2.0386340739179794</v>
      </c>
      <c r="U79" s="106">
        <f>$E79*Electricity_LCIA!T272</f>
        <v>0.2848498162326209</v>
      </c>
      <c r="V79" s="106">
        <f>$E79*Electricity_LCIA!U272</f>
        <v>2.5029935541201415E-3</v>
      </c>
      <c r="W79" s="106">
        <f>$E79*Electricity_LCIA!V272</f>
        <v>2.065655110947016</v>
      </c>
      <c r="X79" s="106">
        <f>$E79*Electricity_LCIA!W272</f>
        <v>0.42323363229340488</v>
      </c>
      <c r="Y79" s="106">
        <f>$E79*Electricity_LCIA!X272</f>
        <v>0.24677357281393378</v>
      </c>
      <c r="Z79" s="106">
        <f>$E79*Electricity_LCIA!Y272</f>
        <v>1.4497108659554247E-3</v>
      </c>
      <c r="AA79" s="106">
        <f>$E79*Electricity_LCIA!Z272</f>
        <v>0.12507051474602909</v>
      </c>
      <c r="AB79" s="106">
        <f>$E79*Electricity_LCIA!AA272</f>
        <v>-3.8094500713929967E-4</v>
      </c>
      <c r="AC79" s="106">
        <f>$E79*Electricity_LCIA!AB272</f>
        <v>1.4026956299217831E-7</v>
      </c>
      <c r="AD79" s="106">
        <f>$E79*Electricity_LCIA!AC272</f>
        <v>1.5103632572325863E-2</v>
      </c>
      <c r="AE79" s="106">
        <f>$E79*Electricity_LCIA!AD272</f>
        <v>1.7541083516837523E-2</v>
      </c>
      <c r="AF79" s="106">
        <f>$E79*Electricity_LCIA!AE272</f>
        <v>2.6146163285594898E-2</v>
      </c>
      <c r="AG79" s="106">
        <f>$E79*Electricity_LCIA!AF272</f>
        <v>3.2733013698503527E-4</v>
      </c>
      <c r="AH79" s="106">
        <f>$E79*Electricity_LCIA!AG272</f>
        <v>3.2007871382319829E-2</v>
      </c>
      <c r="AI79" s="210">
        <f>$E79*Electricity_LCIA!AH272</f>
        <v>0.11580069417960345</v>
      </c>
    </row>
    <row r="80" spans="3:35" x14ac:dyDescent="0.25">
      <c r="C80" s="135" t="str">
        <f>Electricity_LCIA!B279</f>
        <v>Virtual</v>
      </c>
      <c r="D80" s="136" t="str">
        <f>Electricity_LCIA!C279</f>
        <v>5_Hub_3000km</v>
      </c>
      <c r="E80" s="106">
        <f t="shared" si="93"/>
        <v>10.803133279788913</v>
      </c>
      <c r="F80" s="136" t="s">
        <v>833</v>
      </c>
      <c r="G80" s="136"/>
      <c r="H80" s="106">
        <f>$E80*Electricity_LCIA!G279</f>
        <v>6.8630625239099885</v>
      </c>
      <c r="I80" s="106">
        <f>$E80*Electricity_LCIA!H279</f>
        <v>2.8600087808010093</v>
      </c>
      <c r="J80" s="106">
        <f>$E80*Electricity_LCIA!I279</f>
        <v>83.829913554877564</v>
      </c>
      <c r="K80" s="106">
        <f>$E80*Electricity_LCIA!J279</f>
        <v>4.4754956474918221E-2</v>
      </c>
      <c r="L80" s="106">
        <f>$E80*Electricity_LCIA!K279</f>
        <v>6.1854719993794944</v>
      </c>
      <c r="M80" s="106">
        <f>$E80*Electricity_LCIA!L279</f>
        <v>3.1969388821055003E-2</v>
      </c>
      <c r="N80" s="106">
        <f>$E80*Electricity_LCIA!M279</f>
        <v>1.0134501769680386</v>
      </c>
      <c r="O80" s="106">
        <f>$E80*Electricity_LCIA!N279</f>
        <v>19.467774323362189</v>
      </c>
      <c r="P80" s="106">
        <f>$E80*Electricity_LCIA!O279</f>
        <v>1.0883400560057743</v>
      </c>
      <c r="Q80" s="106">
        <f>$E80*Electricity_LCIA!P279</f>
        <v>114.52168323669007</v>
      </c>
      <c r="R80" s="106">
        <f>$E80*Electricity_LCIA!Q279</f>
        <v>0.46064740357241252</v>
      </c>
      <c r="S80" s="106">
        <f>$E80*Electricity_LCIA!R279</f>
        <v>6.7805745995780891</v>
      </c>
      <c r="T80" s="106">
        <f>$E80*Electricity_LCIA!S279</f>
        <v>2.0386340739179794</v>
      </c>
      <c r="U80" s="106">
        <f>$E80*Electricity_LCIA!T279</f>
        <v>0.2848498162326209</v>
      </c>
      <c r="V80" s="106">
        <f>$E80*Electricity_LCIA!U279</f>
        <v>2.5029935541201415E-3</v>
      </c>
      <c r="W80" s="106">
        <f>$E80*Electricity_LCIA!V279</f>
        <v>2.065655110947016</v>
      </c>
      <c r="X80" s="106">
        <f>$E80*Electricity_LCIA!W279</f>
        <v>0.42323363229340488</v>
      </c>
      <c r="Y80" s="106">
        <f>$E80*Electricity_LCIA!X279</f>
        <v>0.24677357281393378</v>
      </c>
      <c r="Z80" s="106">
        <f>$E80*Electricity_LCIA!Y279</f>
        <v>1.4497108659554247E-3</v>
      </c>
      <c r="AA80" s="106">
        <f>$E80*Electricity_LCIA!Z279</f>
        <v>0.12507051474602909</v>
      </c>
      <c r="AB80" s="106">
        <f>$E80*Electricity_LCIA!AA279</f>
        <v>-3.8094500713929967E-4</v>
      </c>
      <c r="AC80" s="106">
        <f>$E80*Electricity_LCIA!AB279</f>
        <v>1.4026956299217831E-7</v>
      </c>
      <c r="AD80" s="106">
        <f>$E80*Electricity_LCIA!AC279</f>
        <v>1.5103632572325863E-2</v>
      </c>
      <c r="AE80" s="106">
        <f>$E80*Electricity_LCIA!AD279</f>
        <v>1.7541083516837523E-2</v>
      </c>
      <c r="AF80" s="106">
        <f>$E80*Electricity_LCIA!AE279</f>
        <v>2.6146163285594898E-2</v>
      </c>
      <c r="AG80" s="106">
        <f>$E80*Electricity_LCIA!AF279</f>
        <v>3.2733013698503527E-4</v>
      </c>
      <c r="AH80" s="106">
        <f>$E80*Electricity_LCIA!AG279</f>
        <v>3.2007871382319829E-2</v>
      </c>
      <c r="AI80" s="210">
        <f>$E80*Electricity_LCIA!AH279</f>
        <v>0.11580069417960345</v>
      </c>
    </row>
    <row r="81" spans="3:35" x14ac:dyDescent="0.25">
      <c r="C81" s="135" t="str">
        <f>Electricity_LCIA!B287</f>
        <v>Virtual</v>
      </c>
      <c r="D81" s="136" t="str">
        <f>Electricity_LCIA!C287</f>
        <v>6_Hub_3000km</v>
      </c>
      <c r="E81" s="106">
        <f t="shared" si="93"/>
        <v>10.803133279788913</v>
      </c>
      <c r="F81" s="136" t="s">
        <v>833</v>
      </c>
      <c r="G81" s="136"/>
      <c r="H81" s="106">
        <f>$E81*Electricity_LCIA!G287</f>
        <v>6.8630625239099885</v>
      </c>
      <c r="I81" s="106">
        <f>$E81*Electricity_LCIA!H287</f>
        <v>2.8600087808010093</v>
      </c>
      <c r="J81" s="106">
        <f>$E81*Electricity_LCIA!I287</f>
        <v>83.829913554877564</v>
      </c>
      <c r="K81" s="106">
        <f>$E81*Electricity_LCIA!J287</f>
        <v>4.4754956474918221E-2</v>
      </c>
      <c r="L81" s="106">
        <f>$E81*Electricity_LCIA!K287</f>
        <v>6.1854719993794944</v>
      </c>
      <c r="M81" s="106">
        <f>$E81*Electricity_LCIA!L287</f>
        <v>3.1969388821055003E-2</v>
      </c>
      <c r="N81" s="106">
        <f>$E81*Electricity_LCIA!M287</f>
        <v>1.0134501769680386</v>
      </c>
      <c r="O81" s="106">
        <f>$E81*Electricity_LCIA!N287</f>
        <v>19.467774323362189</v>
      </c>
      <c r="P81" s="106">
        <f>$E81*Electricity_LCIA!O287</f>
        <v>1.0883400560057743</v>
      </c>
      <c r="Q81" s="106">
        <f>$E81*Electricity_LCIA!P287</f>
        <v>114.52168323669007</v>
      </c>
      <c r="R81" s="106">
        <f>$E81*Electricity_LCIA!Q287</f>
        <v>0.46064740357241252</v>
      </c>
      <c r="S81" s="106">
        <f>$E81*Electricity_LCIA!R287</f>
        <v>6.7805745995780891</v>
      </c>
      <c r="T81" s="106">
        <f>$E81*Electricity_LCIA!S287</f>
        <v>2.0386340739179794</v>
      </c>
      <c r="U81" s="106">
        <f>$E81*Electricity_LCIA!T287</f>
        <v>0.2848498162326209</v>
      </c>
      <c r="V81" s="106">
        <f>$E81*Electricity_LCIA!U287</f>
        <v>2.5029935541201415E-3</v>
      </c>
      <c r="W81" s="106">
        <f>$E81*Electricity_LCIA!V287</f>
        <v>2.065655110947016</v>
      </c>
      <c r="X81" s="106">
        <f>$E81*Electricity_LCIA!W287</f>
        <v>0.42323363229340488</v>
      </c>
      <c r="Y81" s="106">
        <f>$E81*Electricity_LCIA!X287</f>
        <v>0.24677357281393378</v>
      </c>
      <c r="Z81" s="106">
        <f>$E81*Electricity_LCIA!Y287</f>
        <v>1.4497108659554247E-3</v>
      </c>
      <c r="AA81" s="106">
        <f>$E81*Electricity_LCIA!Z287</f>
        <v>0.12507051474602909</v>
      </c>
      <c r="AB81" s="106">
        <f>$E81*Electricity_LCIA!AA287</f>
        <v>-3.8094500713929967E-4</v>
      </c>
      <c r="AC81" s="106">
        <f>$E81*Electricity_LCIA!AB287</f>
        <v>1.4026956299217831E-7</v>
      </c>
      <c r="AD81" s="106">
        <f>$E81*Electricity_LCIA!AC287</f>
        <v>1.5103632572325863E-2</v>
      </c>
      <c r="AE81" s="106">
        <f>$E81*Electricity_LCIA!AD287</f>
        <v>1.7541083516837523E-2</v>
      </c>
      <c r="AF81" s="106">
        <f>$E81*Electricity_LCIA!AE287</f>
        <v>2.6146163285594898E-2</v>
      </c>
      <c r="AG81" s="106">
        <f>$E81*Electricity_LCIA!AF287</f>
        <v>3.2733013698503527E-4</v>
      </c>
      <c r="AH81" s="106">
        <f>$E81*Electricity_LCIA!AG287</f>
        <v>3.2007871382319829E-2</v>
      </c>
      <c r="AI81" s="210">
        <f>$E81*Electricity_LCIA!AH287</f>
        <v>0.11580069417960345</v>
      </c>
    </row>
    <row r="82" spans="3:35" x14ac:dyDescent="0.25">
      <c r="C82" s="135" t="str">
        <f>Electricity_LCIA!B296</f>
        <v>Virtual</v>
      </c>
      <c r="D82" s="136" t="str">
        <f>Electricity_LCIA!C296</f>
        <v>1_Hub_5000km</v>
      </c>
      <c r="E82" s="106">
        <f t="shared" si="93"/>
        <v>10.803133279788913</v>
      </c>
      <c r="F82" s="136" t="s">
        <v>833</v>
      </c>
      <c r="G82" s="136"/>
      <c r="H82" s="106">
        <f>$E82*Electricity_LCIA!G296</f>
        <v>4.7287804111003577</v>
      </c>
      <c r="I82" s="106">
        <f>$E82*Electricity_LCIA!H296</f>
        <v>3.1942046997963733</v>
      </c>
      <c r="J82" s="106">
        <f>$E82*Electricity_LCIA!I296</f>
        <v>62.970365988065552</v>
      </c>
      <c r="K82" s="106">
        <f>$E82*Electricity_LCIA!J296</f>
        <v>0.16215443258876636</v>
      </c>
      <c r="L82" s="106">
        <f>$E82*Electricity_LCIA!K296</f>
        <v>28.69316897218734</v>
      </c>
      <c r="M82" s="106">
        <f>$E82*Electricity_LCIA!L296</f>
        <v>7.0335664391588254E-3</v>
      </c>
      <c r="N82" s="106">
        <f>$E82*Electricity_LCIA!M296</f>
        <v>2.3031001282617014</v>
      </c>
      <c r="O82" s="106">
        <f>$E82*Electricity_LCIA!N296</f>
        <v>8.631976583711225</v>
      </c>
      <c r="P82" s="106">
        <f>$E82*Electricity_LCIA!O296</f>
        <v>4.2171132426014903</v>
      </c>
      <c r="Q82" s="106">
        <f>$E82*Electricity_LCIA!P296</f>
        <v>110.1791176136516</v>
      </c>
      <c r="R82" s="106">
        <f>$E82*Electricity_LCIA!Q296</f>
        <v>0.43680230907116635</v>
      </c>
      <c r="S82" s="106">
        <f>$E82*Electricity_LCIA!R296</f>
        <v>4.6795510352156757</v>
      </c>
      <c r="T82" s="106">
        <f>$E82*Electricity_LCIA!S296</f>
        <v>1.6181039801622346</v>
      </c>
      <c r="U82" s="106">
        <f>$E82*Electricity_LCIA!T296</f>
        <v>0.26108032691528932</v>
      </c>
      <c r="V82" s="106">
        <f>$E82*Electricity_LCIA!U296</f>
        <v>2.233623176293659E-3</v>
      </c>
      <c r="W82" s="106">
        <f>$E82*Electricity_LCIA!V296</f>
        <v>1.7103947709179843</v>
      </c>
      <c r="X82" s="106">
        <f>$E82*Electricity_LCIA!W296</f>
        <v>1.8849520496884715</v>
      </c>
      <c r="Y82" s="106">
        <f>$E82*Electricity_LCIA!X296</f>
        <v>0.22808655293618335</v>
      </c>
      <c r="Z82" s="106">
        <f>$E82*Electricity_LCIA!Y296</f>
        <v>1.0200069719475599E-3</v>
      </c>
      <c r="AA82" s="106">
        <f>$E82*Electricity_LCIA!Z296</f>
        <v>0.13365721913878451</v>
      </c>
      <c r="AB82" s="106">
        <f>$E82*Electricity_LCIA!AA296</f>
        <v>-1.940985138418502E-4</v>
      </c>
      <c r="AC82" s="106">
        <f>$E82*Electricity_LCIA!AB296</f>
        <v>2.3627047911407027E-7</v>
      </c>
      <c r="AD82" s="106">
        <f>$E82*Electricity_LCIA!AC296</f>
        <v>6.5378188432317517E-3</v>
      </c>
      <c r="AE82" s="106">
        <f>$E82*Electricity_LCIA!AD296</f>
        <v>1.0567014471641378E-2</v>
      </c>
      <c r="AF82" s="106">
        <f>$E82*Electricity_LCIA!AE296</f>
        <v>1.5232581227679853E-2</v>
      </c>
      <c r="AG82" s="106">
        <f>$E82*Electricity_LCIA!AF296</f>
        <v>2.6156827680961505E-4</v>
      </c>
      <c r="AH82" s="106">
        <f>$E82*Electricity_LCIA!AG296</f>
        <v>2.9563171172481473E-2</v>
      </c>
      <c r="AI82" s="210">
        <f>$E82*Electricity_LCIA!AH296</f>
        <v>5.4833262599698437E-2</v>
      </c>
    </row>
    <row r="83" spans="3:35" x14ac:dyDescent="0.25">
      <c r="C83" s="135" t="str">
        <f>Electricity_LCIA!B299</f>
        <v>Virtual</v>
      </c>
      <c r="D83" s="136" t="str">
        <f>Electricity_LCIA!C299</f>
        <v>2_Hub_5000km</v>
      </c>
      <c r="E83" s="106">
        <f t="shared" si="93"/>
        <v>10.803133279788913</v>
      </c>
      <c r="F83" s="136" t="s">
        <v>833</v>
      </c>
      <c r="G83" s="136"/>
      <c r="H83" s="106">
        <f>$E83*Electricity_LCIA!G299</f>
        <v>6.0482113319275355</v>
      </c>
      <c r="I83" s="106">
        <f>$E83*Electricity_LCIA!H299</f>
        <v>3.385948898646526</v>
      </c>
      <c r="J83" s="106">
        <f>$E83*Electricity_LCIA!I299</f>
        <v>72.7819435497413</v>
      </c>
      <c r="K83" s="106">
        <f>$E83*Electricity_LCIA!J299</f>
        <v>5.6360363012942408E-2</v>
      </c>
      <c r="L83" s="106">
        <f>$E83*Electricity_LCIA!K299</f>
        <v>7.2298580500708471</v>
      </c>
      <c r="M83" s="106">
        <f>$E83*Electricity_LCIA!L299</f>
        <v>4.1034183151399999E-2</v>
      </c>
      <c r="N83" s="106">
        <f>$E83*Electricity_LCIA!M299</f>
        <v>1.1841945105763598</v>
      </c>
      <c r="O83" s="106">
        <f>$E83*Electricity_LCIA!N299</f>
        <v>18.897380889670757</v>
      </c>
      <c r="P83" s="106">
        <f>$E83*Electricity_LCIA!O299</f>
        <v>1.0319091176664199</v>
      </c>
      <c r="Q83" s="106">
        <f>$E83*Electricity_LCIA!P299</f>
        <v>104.60862956253656</v>
      </c>
      <c r="R83" s="106">
        <f>$E83*Electricity_LCIA!Q299</f>
        <v>0.52185924282299168</v>
      </c>
      <c r="S83" s="106">
        <f>$E83*Electricity_LCIA!R299</f>
        <v>5.9629283112073725</v>
      </c>
      <c r="T83" s="106">
        <f>$E83*Electricity_LCIA!S299</f>
        <v>1.8080802911146596</v>
      </c>
      <c r="U83" s="106">
        <f>$E83*Electricity_LCIA!T299</f>
        <v>0.27541199322543003</v>
      </c>
      <c r="V83" s="106">
        <f>$E83*Electricity_LCIA!U299</f>
        <v>1.9108304350434863E-3</v>
      </c>
      <c r="W83" s="106">
        <f>$E83*Electricity_LCIA!V299</f>
        <v>1.6509873001789865</v>
      </c>
      <c r="X83" s="106">
        <f>$E83*Electricity_LCIA!W299</f>
        <v>0.47350441826265655</v>
      </c>
      <c r="Y83" s="106">
        <f>$E83*Electricity_LCIA!X299</f>
        <v>0.2368725869021602</v>
      </c>
      <c r="Z83" s="106">
        <f>$E83*Electricity_LCIA!Y299</f>
        <v>1.3188650304536817E-3</v>
      </c>
      <c r="AA83" s="106">
        <f>$E83*Electricity_LCIA!Z299</f>
        <v>0.12563797075633823</v>
      </c>
      <c r="AB83" s="106">
        <f>$E83*Electricity_LCIA!AA299</f>
        <v>-2.9893442696789159E-4</v>
      </c>
      <c r="AC83" s="106">
        <f>$E83*Electricity_LCIA!AB299</f>
        <v>1.4025275811818754E-7</v>
      </c>
      <c r="AD83" s="106">
        <f>$E83*Electricity_LCIA!AC299</f>
        <v>1.1921597101293003E-2</v>
      </c>
      <c r="AE83" s="106">
        <f>$E83*Electricity_LCIA!AD299</f>
        <v>1.5071914230059789E-2</v>
      </c>
      <c r="AF83" s="106">
        <f>$E83*Electricity_LCIA!AE299</f>
        <v>2.2927458893600924E-2</v>
      </c>
      <c r="AG83" s="106">
        <f>$E83*Electricity_LCIA!AF299</f>
        <v>3.3859334655989833E-4</v>
      </c>
      <c r="AH83" s="106">
        <f>$E83*Electricity_LCIA!AG299</f>
        <v>2.6806154134186164E-2</v>
      </c>
      <c r="AI83" s="210">
        <f>$E83*Electricity_LCIA!AH299</f>
        <v>0.14231569358320095</v>
      </c>
    </row>
    <row r="84" spans="3:35" x14ac:dyDescent="0.25">
      <c r="C84" s="135" t="str">
        <f>Electricity_LCIA!B304</f>
        <v>Virtual</v>
      </c>
      <c r="D84" s="136" t="str">
        <f>Electricity_LCIA!C304</f>
        <v>3_Hub_5000km</v>
      </c>
      <c r="E84" s="106">
        <f t="shared" si="93"/>
        <v>10.803133279788913</v>
      </c>
      <c r="F84" s="136" t="s">
        <v>833</v>
      </c>
      <c r="G84" s="136"/>
      <c r="H84" s="106">
        <f>$E84*Electricity_LCIA!G304</f>
        <v>4.944547803016758</v>
      </c>
      <c r="I84" s="106">
        <f>$E84*Electricity_LCIA!H304</f>
        <v>1.7770990654948811</v>
      </c>
      <c r="J84" s="106">
        <f>$E84*Electricity_LCIA!I304</f>
        <v>60.442913378517261</v>
      </c>
      <c r="K84" s="106">
        <f>$E84*Electricity_LCIA!J304</f>
        <v>4.7159565894259334E-2</v>
      </c>
      <c r="L84" s="106">
        <f>$E84*Electricity_LCIA!K304</f>
        <v>14.523925294442494</v>
      </c>
      <c r="M84" s="106">
        <f>$E84*Electricity_LCIA!L304</f>
        <v>3.5171220862344774E-4</v>
      </c>
      <c r="N84" s="106">
        <f>$E84*Electricity_LCIA!M304</f>
        <v>2.5125665020324832</v>
      </c>
      <c r="O84" s="106">
        <f>$E84*Electricity_LCIA!N304</f>
        <v>11.57078849760317</v>
      </c>
      <c r="P84" s="106">
        <f>$E84*Electricity_LCIA!O304</f>
        <v>3.9619349258107688</v>
      </c>
      <c r="Q84" s="106">
        <f>$E84*Electricity_LCIA!P304</f>
        <v>94.836738942003947</v>
      </c>
      <c r="R84" s="106">
        <f>$E84*Electricity_LCIA!Q304</f>
        <v>0.25269994880942809</v>
      </c>
      <c r="S84" s="106">
        <f>$E84*Electricity_LCIA!R304</f>
        <v>4.8919056778491008</v>
      </c>
      <c r="T84" s="106">
        <f>$E84*Electricity_LCIA!S304</f>
        <v>1.5209114022713108</v>
      </c>
      <c r="U84" s="106">
        <f>$E84*Electricity_LCIA!T304</f>
        <v>0.28237538427663117</v>
      </c>
      <c r="V84" s="106">
        <f>$E84*Electricity_LCIA!U304</f>
        <v>3.7109086910073314E-3</v>
      </c>
      <c r="W84" s="106">
        <f>$E84*Electricity_LCIA!V304</f>
        <v>2.4887533096743195</v>
      </c>
      <c r="X84" s="106">
        <f>$E84*Electricity_LCIA!W304</f>
        <v>0.86535011269004458</v>
      </c>
      <c r="Y84" s="106">
        <f>$E84*Electricity_LCIA!X304</f>
        <v>0.24762756907361635</v>
      </c>
      <c r="Z84" s="106">
        <f>$E84*Electricity_LCIA!Y304</f>
        <v>1.1555586945773753E-3</v>
      </c>
      <c r="AA84" s="106">
        <f>$E84*Electricity_LCIA!Z304</f>
        <v>0.13754981417158438</v>
      </c>
      <c r="AB84" s="106">
        <f>$E84*Electricity_LCIA!AA304</f>
        <v>-1.882499989669617E-4</v>
      </c>
      <c r="AC84" s="106">
        <f>$E84*Electricity_LCIA!AB304</f>
        <v>1.6653709004886481E-7</v>
      </c>
      <c r="AD84" s="106">
        <f>$E84*Electricity_LCIA!AC304</f>
        <v>3.9943659319166954E-3</v>
      </c>
      <c r="AE84" s="106">
        <f>$E84*Electricity_LCIA!AD304</f>
        <v>8.673835710342517E-3</v>
      </c>
      <c r="AF84" s="106">
        <f>$E84*Electricity_LCIA!AE304</f>
        <v>1.1690842174436712E-2</v>
      </c>
      <c r="AG84" s="106">
        <f>$E84*Electricity_LCIA!AF304</f>
        <v>2.4296617139386289E-4</v>
      </c>
      <c r="AH84" s="106">
        <f>$E84*Electricity_LCIA!AG304</f>
        <v>2.4304379962300188E-2</v>
      </c>
      <c r="AI84" s="210">
        <f>$E84*Electricity_LCIA!AH304</f>
        <v>3.368477145523599E-2</v>
      </c>
    </row>
    <row r="85" spans="3:35" x14ac:dyDescent="0.25">
      <c r="C85" s="135" t="str">
        <f>Electricity_LCIA!B310</f>
        <v>Virtual</v>
      </c>
      <c r="D85" s="136" t="str">
        <f>Electricity_LCIA!C310</f>
        <v>4_Hub_5000km</v>
      </c>
      <c r="E85" s="106">
        <f t="shared" si="93"/>
        <v>10.803133279788913</v>
      </c>
      <c r="F85" s="136" t="s">
        <v>833</v>
      </c>
      <c r="G85" s="136"/>
      <c r="H85" s="106">
        <f>$E85*Electricity_LCIA!G310</f>
        <v>6.0482113319275355</v>
      </c>
      <c r="I85" s="106">
        <f>$E85*Electricity_LCIA!H310</f>
        <v>3.385948898646526</v>
      </c>
      <c r="J85" s="106">
        <f>$E85*Electricity_LCIA!I310</f>
        <v>72.7819435497413</v>
      </c>
      <c r="K85" s="106">
        <f>$E85*Electricity_LCIA!J310</f>
        <v>5.6360363012942408E-2</v>
      </c>
      <c r="L85" s="106">
        <f>$E85*Electricity_LCIA!K310</f>
        <v>7.2298580500708471</v>
      </c>
      <c r="M85" s="106">
        <f>$E85*Electricity_LCIA!L310</f>
        <v>4.1034183151399999E-2</v>
      </c>
      <c r="N85" s="106">
        <f>$E85*Electricity_LCIA!M310</f>
        <v>1.1841945105763598</v>
      </c>
      <c r="O85" s="106">
        <f>$E85*Electricity_LCIA!N310</f>
        <v>18.897380889670757</v>
      </c>
      <c r="P85" s="106">
        <f>$E85*Electricity_LCIA!O310</f>
        <v>1.0319091176664199</v>
      </c>
      <c r="Q85" s="106">
        <f>$E85*Electricity_LCIA!P310</f>
        <v>104.60862956253656</v>
      </c>
      <c r="R85" s="106">
        <f>$E85*Electricity_LCIA!Q310</f>
        <v>0.52185924282299168</v>
      </c>
      <c r="S85" s="106">
        <f>$E85*Electricity_LCIA!R310</f>
        <v>5.9629283112073725</v>
      </c>
      <c r="T85" s="106">
        <f>$E85*Electricity_LCIA!S310</f>
        <v>1.8080802911146596</v>
      </c>
      <c r="U85" s="106">
        <f>$E85*Electricity_LCIA!T310</f>
        <v>0.27541199322543003</v>
      </c>
      <c r="V85" s="106">
        <f>$E85*Electricity_LCIA!U310</f>
        <v>1.9108304350434863E-3</v>
      </c>
      <c r="W85" s="106">
        <f>$E85*Electricity_LCIA!V310</f>
        <v>1.6509873001789865</v>
      </c>
      <c r="X85" s="106">
        <f>$E85*Electricity_LCIA!W310</f>
        <v>0.47350441826265655</v>
      </c>
      <c r="Y85" s="106">
        <f>$E85*Electricity_LCIA!X310</f>
        <v>0.2368725869021602</v>
      </c>
      <c r="Z85" s="106">
        <f>$E85*Electricity_LCIA!Y310</f>
        <v>1.3188650304536817E-3</v>
      </c>
      <c r="AA85" s="106">
        <f>$E85*Electricity_LCIA!Z310</f>
        <v>0.12563797075633823</v>
      </c>
      <c r="AB85" s="106">
        <f>$E85*Electricity_LCIA!AA310</f>
        <v>-2.9893442696789159E-4</v>
      </c>
      <c r="AC85" s="106">
        <f>$E85*Electricity_LCIA!AB310</f>
        <v>1.4025275811818754E-7</v>
      </c>
      <c r="AD85" s="106">
        <f>$E85*Electricity_LCIA!AC310</f>
        <v>1.1921597101293003E-2</v>
      </c>
      <c r="AE85" s="106">
        <f>$E85*Electricity_LCIA!AD310</f>
        <v>1.5071914230059789E-2</v>
      </c>
      <c r="AF85" s="106">
        <f>$E85*Electricity_LCIA!AE310</f>
        <v>2.2927458893600924E-2</v>
      </c>
      <c r="AG85" s="106">
        <f>$E85*Electricity_LCIA!AF310</f>
        <v>3.3859334655989833E-4</v>
      </c>
      <c r="AH85" s="106">
        <f>$E85*Electricity_LCIA!AG310</f>
        <v>2.6806154134186164E-2</v>
      </c>
      <c r="AI85" s="210">
        <f>$E85*Electricity_LCIA!AH310</f>
        <v>0.14231569358320095</v>
      </c>
    </row>
    <row r="86" spans="3:35" x14ac:dyDescent="0.25">
      <c r="C86" s="135" t="str">
        <f>Electricity_LCIA!B317</f>
        <v>Virtual</v>
      </c>
      <c r="D86" s="136" t="str">
        <f>Electricity_LCIA!C317</f>
        <v>5_Hub_5000km</v>
      </c>
      <c r="E86" s="106">
        <f t="shared" si="93"/>
        <v>10.803133279788913</v>
      </c>
      <c r="F86" s="136" t="s">
        <v>833</v>
      </c>
      <c r="G86" s="136"/>
      <c r="H86" s="106">
        <f>$E86*Electricity_LCIA!G317</f>
        <v>6.0482113319275355</v>
      </c>
      <c r="I86" s="106">
        <f>$E86*Electricity_LCIA!H317</f>
        <v>3.385948898646526</v>
      </c>
      <c r="J86" s="106">
        <f>$E86*Electricity_LCIA!I317</f>
        <v>72.7819435497413</v>
      </c>
      <c r="K86" s="106">
        <f>$E86*Electricity_LCIA!J317</f>
        <v>5.6360363012942408E-2</v>
      </c>
      <c r="L86" s="106">
        <f>$E86*Electricity_LCIA!K317</f>
        <v>7.2298580500708471</v>
      </c>
      <c r="M86" s="106">
        <f>$E86*Electricity_LCIA!L317</f>
        <v>4.1034183151399999E-2</v>
      </c>
      <c r="N86" s="106">
        <f>$E86*Electricity_LCIA!M317</f>
        <v>1.1841945105763598</v>
      </c>
      <c r="O86" s="106">
        <f>$E86*Electricity_LCIA!N317</f>
        <v>18.897380889670757</v>
      </c>
      <c r="P86" s="106">
        <f>$E86*Electricity_LCIA!O317</f>
        <v>1.0319091176664199</v>
      </c>
      <c r="Q86" s="106">
        <f>$E86*Electricity_LCIA!P317</f>
        <v>104.60862956253656</v>
      </c>
      <c r="R86" s="106">
        <f>$E86*Electricity_LCIA!Q317</f>
        <v>0.52185924282299168</v>
      </c>
      <c r="S86" s="106">
        <f>$E86*Electricity_LCIA!R317</f>
        <v>5.9629283112073725</v>
      </c>
      <c r="T86" s="106">
        <f>$E86*Electricity_LCIA!S317</f>
        <v>1.8080802911146596</v>
      </c>
      <c r="U86" s="106">
        <f>$E86*Electricity_LCIA!T317</f>
        <v>0.27541199322543003</v>
      </c>
      <c r="V86" s="106">
        <f>$E86*Electricity_LCIA!U317</f>
        <v>1.9108304350434863E-3</v>
      </c>
      <c r="W86" s="106">
        <f>$E86*Electricity_LCIA!V317</f>
        <v>1.6509873001789865</v>
      </c>
      <c r="X86" s="106">
        <f>$E86*Electricity_LCIA!W317</f>
        <v>0.47350441826265655</v>
      </c>
      <c r="Y86" s="106">
        <f>$E86*Electricity_LCIA!X317</f>
        <v>0.2368725869021602</v>
      </c>
      <c r="Z86" s="106">
        <f>$E86*Electricity_LCIA!Y317</f>
        <v>1.3188650304536817E-3</v>
      </c>
      <c r="AA86" s="106">
        <f>$E86*Electricity_LCIA!Z317</f>
        <v>0.12563797075633823</v>
      </c>
      <c r="AB86" s="106">
        <f>$E86*Electricity_LCIA!AA317</f>
        <v>-2.9893442696789159E-4</v>
      </c>
      <c r="AC86" s="106">
        <f>$E86*Electricity_LCIA!AB317</f>
        <v>1.4025275811818754E-7</v>
      </c>
      <c r="AD86" s="106">
        <f>$E86*Electricity_LCIA!AC317</f>
        <v>1.1921597101293003E-2</v>
      </c>
      <c r="AE86" s="106">
        <f>$E86*Electricity_LCIA!AD317</f>
        <v>1.5071914230059789E-2</v>
      </c>
      <c r="AF86" s="106">
        <f>$E86*Electricity_LCIA!AE317</f>
        <v>2.2927458893600924E-2</v>
      </c>
      <c r="AG86" s="106">
        <f>$E86*Electricity_LCIA!AF317</f>
        <v>3.3859334655989833E-4</v>
      </c>
      <c r="AH86" s="106">
        <f>$E86*Electricity_LCIA!AG317</f>
        <v>2.6806154134186164E-2</v>
      </c>
      <c r="AI86" s="210">
        <f>$E86*Electricity_LCIA!AH317</f>
        <v>0.14231569358320095</v>
      </c>
    </row>
    <row r="87" spans="3:35" x14ac:dyDescent="0.25">
      <c r="C87" s="135" t="str">
        <f>Electricity_LCIA!B325</f>
        <v>Virtual</v>
      </c>
      <c r="D87" s="136" t="str">
        <f>Electricity_LCIA!C325</f>
        <v>6_Hub_5000km</v>
      </c>
      <c r="E87" s="106">
        <f t="shared" si="93"/>
        <v>10.803133279788913</v>
      </c>
      <c r="F87" s="136" t="s">
        <v>833</v>
      </c>
      <c r="G87" s="136"/>
      <c r="H87" s="106">
        <f>$E87*Electricity_LCIA!G325</f>
        <v>6.0482113319275355</v>
      </c>
      <c r="I87" s="106">
        <f>$E87*Electricity_LCIA!H325</f>
        <v>3.385948898646526</v>
      </c>
      <c r="J87" s="106">
        <f>$E87*Electricity_LCIA!I325</f>
        <v>72.7819435497413</v>
      </c>
      <c r="K87" s="106">
        <f>$E87*Electricity_LCIA!J325</f>
        <v>5.6360363012942408E-2</v>
      </c>
      <c r="L87" s="106">
        <f>$E87*Electricity_LCIA!K325</f>
        <v>7.2298580500708471</v>
      </c>
      <c r="M87" s="106">
        <f>$E87*Electricity_LCIA!L325</f>
        <v>4.1034183151399999E-2</v>
      </c>
      <c r="N87" s="106">
        <f>$E87*Electricity_LCIA!M325</f>
        <v>1.1841945105763598</v>
      </c>
      <c r="O87" s="106">
        <f>$E87*Electricity_LCIA!N325</f>
        <v>18.897380889670757</v>
      </c>
      <c r="P87" s="106">
        <f>$E87*Electricity_LCIA!O325</f>
        <v>1.0319091176664199</v>
      </c>
      <c r="Q87" s="106">
        <f>$E87*Electricity_LCIA!P325</f>
        <v>104.60862956253656</v>
      </c>
      <c r="R87" s="106">
        <f>$E87*Electricity_LCIA!Q325</f>
        <v>0.52185924282299168</v>
      </c>
      <c r="S87" s="106">
        <f>$E87*Electricity_LCIA!R325</f>
        <v>5.9629283112073725</v>
      </c>
      <c r="T87" s="106">
        <f>$E87*Electricity_LCIA!S325</f>
        <v>1.8080802911146596</v>
      </c>
      <c r="U87" s="106">
        <f>$E87*Electricity_LCIA!T325</f>
        <v>0.27541199322543003</v>
      </c>
      <c r="V87" s="106">
        <f>$E87*Electricity_LCIA!U325</f>
        <v>1.9108304350434863E-3</v>
      </c>
      <c r="W87" s="106">
        <f>$E87*Electricity_LCIA!V325</f>
        <v>1.6509873001789865</v>
      </c>
      <c r="X87" s="106">
        <f>$E87*Electricity_LCIA!W325</f>
        <v>0.47350441826265655</v>
      </c>
      <c r="Y87" s="106">
        <f>$E87*Electricity_LCIA!X325</f>
        <v>0.2368725869021602</v>
      </c>
      <c r="Z87" s="106">
        <f>$E87*Electricity_LCIA!Y325</f>
        <v>1.3188650304536817E-3</v>
      </c>
      <c r="AA87" s="106">
        <f>$E87*Electricity_LCIA!Z325</f>
        <v>0.12563797075633823</v>
      </c>
      <c r="AB87" s="106">
        <f>$E87*Electricity_LCIA!AA325</f>
        <v>-2.9893442696789159E-4</v>
      </c>
      <c r="AC87" s="106">
        <f>$E87*Electricity_LCIA!AB325</f>
        <v>1.4025275811818754E-7</v>
      </c>
      <c r="AD87" s="106">
        <f>$E87*Electricity_LCIA!AC325</f>
        <v>1.1921597101293003E-2</v>
      </c>
      <c r="AE87" s="106">
        <f>$E87*Electricity_LCIA!AD325</f>
        <v>1.5071914230059789E-2</v>
      </c>
      <c r="AF87" s="106">
        <f>$E87*Electricity_LCIA!AE325</f>
        <v>2.2927458893600924E-2</v>
      </c>
      <c r="AG87" s="106">
        <f>$E87*Electricity_LCIA!AF325</f>
        <v>3.3859334655989833E-4</v>
      </c>
      <c r="AH87" s="106">
        <f>$E87*Electricity_LCIA!AG325</f>
        <v>2.6806154134186164E-2</v>
      </c>
      <c r="AI87" s="210">
        <f>$E87*Electricity_LCIA!AH325</f>
        <v>0.14231569358320095</v>
      </c>
    </row>
    <row r="88" spans="3:35" x14ac:dyDescent="0.25">
      <c r="C88" s="135" t="str">
        <f>Electricity_LCIA!B334</f>
        <v>Virtual</v>
      </c>
      <c r="D88" s="136" t="str">
        <f>Electricity_LCIA!C334</f>
        <v>1_Hub_10000km</v>
      </c>
      <c r="E88" s="106">
        <f t="shared" si="93"/>
        <v>10.803133279788913</v>
      </c>
      <c r="F88" s="136" t="s">
        <v>833</v>
      </c>
      <c r="G88" s="136"/>
      <c r="H88" s="106">
        <f>$E88*Electricity_LCIA!G334</f>
        <v>0</v>
      </c>
      <c r="I88" s="106">
        <f>$E88*Electricity_LCIA!H334</f>
        <v>0</v>
      </c>
      <c r="J88" s="106">
        <f>$E88*Electricity_LCIA!I334</f>
        <v>0</v>
      </c>
      <c r="K88" s="106">
        <f>$E88*Electricity_LCIA!J334</f>
        <v>0</v>
      </c>
      <c r="L88" s="106">
        <f>$E88*Electricity_LCIA!K334</f>
        <v>0</v>
      </c>
      <c r="M88" s="106">
        <f>$E88*Electricity_LCIA!L334</f>
        <v>0</v>
      </c>
      <c r="N88" s="106">
        <f>$E88*Electricity_LCIA!M334</f>
        <v>0</v>
      </c>
      <c r="O88" s="106">
        <f>$E88*Electricity_LCIA!N334</f>
        <v>0</v>
      </c>
      <c r="P88" s="106">
        <f>$E88*Electricity_LCIA!O334</f>
        <v>0</v>
      </c>
      <c r="Q88" s="106">
        <f>$E88*Electricity_LCIA!P334</f>
        <v>0</v>
      </c>
      <c r="R88" s="106">
        <f>$E88*Electricity_LCIA!Q334</f>
        <v>0</v>
      </c>
      <c r="S88" s="106">
        <f>$E88*Electricity_LCIA!R334</f>
        <v>0</v>
      </c>
      <c r="T88" s="106">
        <f>$E88*Electricity_LCIA!S334</f>
        <v>0</v>
      </c>
      <c r="U88" s="106">
        <f>$E88*Electricity_LCIA!T334</f>
        <v>0</v>
      </c>
      <c r="V88" s="106">
        <f>$E88*Electricity_LCIA!U334</f>
        <v>0</v>
      </c>
      <c r="W88" s="106">
        <f>$E88*Electricity_LCIA!V334</f>
        <v>0</v>
      </c>
      <c r="X88" s="106">
        <f>$E88*Electricity_LCIA!W334</f>
        <v>0</v>
      </c>
      <c r="Y88" s="106">
        <f>$E88*Electricity_LCIA!X334</f>
        <v>0</v>
      </c>
      <c r="Z88" s="106">
        <f>$E88*Electricity_LCIA!Y334</f>
        <v>0</v>
      </c>
      <c r="AA88" s="106">
        <f>$E88*Electricity_LCIA!Z334</f>
        <v>0</v>
      </c>
      <c r="AB88" s="106">
        <f>$E88*Electricity_LCIA!AA334</f>
        <v>0</v>
      </c>
      <c r="AC88" s="106">
        <f>$E88*Electricity_LCIA!AB334</f>
        <v>0</v>
      </c>
      <c r="AD88" s="106">
        <f>$E88*Electricity_LCIA!AC334</f>
        <v>0</v>
      </c>
      <c r="AE88" s="106">
        <f>$E88*Electricity_LCIA!AD334</f>
        <v>0</v>
      </c>
      <c r="AF88" s="106">
        <f>$E88*Electricity_LCIA!AE334</f>
        <v>0</v>
      </c>
      <c r="AG88" s="106">
        <f>$E88*Electricity_LCIA!AF334</f>
        <v>0</v>
      </c>
      <c r="AH88" s="106">
        <f>$E88*Electricity_LCIA!AG334</f>
        <v>0</v>
      </c>
      <c r="AI88" s="210">
        <f>$E88*Electricity_LCIA!AH334</f>
        <v>0</v>
      </c>
    </row>
    <row r="89" spans="3:35" x14ac:dyDescent="0.25">
      <c r="C89" s="135" t="str">
        <f>Electricity_LCIA!B337</f>
        <v>Virtual</v>
      </c>
      <c r="D89" s="136" t="str">
        <f>Electricity_LCIA!C337</f>
        <v>2_Hub_10000km</v>
      </c>
      <c r="E89" s="106">
        <f t="shared" si="93"/>
        <v>10.803133279788913</v>
      </c>
      <c r="F89" s="136" t="s">
        <v>833</v>
      </c>
      <c r="G89" s="136"/>
      <c r="H89" s="106">
        <f>$E89*Electricity_LCIA!G337</f>
        <v>0</v>
      </c>
      <c r="I89" s="106">
        <f>$E89*Electricity_LCIA!H337</f>
        <v>0</v>
      </c>
      <c r="J89" s="106">
        <f>$E89*Electricity_LCIA!I337</f>
        <v>0</v>
      </c>
      <c r="K89" s="106">
        <f>$E89*Electricity_LCIA!J337</f>
        <v>0</v>
      </c>
      <c r="L89" s="106">
        <f>$E89*Electricity_LCIA!K337</f>
        <v>0</v>
      </c>
      <c r="M89" s="106">
        <f>$E89*Electricity_LCIA!L337</f>
        <v>0</v>
      </c>
      <c r="N89" s="106">
        <f>$E89*Electricity_LCIA!M337</f>
        <v>0</v>
      </c>
      <c r="O89" s="106">
        <f>$E89*Electricity_LCIA!N337</f>
        <v>0</v>
      </c>
      <c r="P89" s="106">
        <f>$E89*Electricity_LCIA!O337</f>
        <v>0</v>
      </c>
      <c r="Q89" s="106">
        <f>$E89*Electricity_LCIA!P337</f>
        <v>0</v>
      </c>
      <c r="R89" s="106">
        <f>$E89*Electricity_LCIA!Q337</f>
        <v>0</v>
      </c>
      <c r="S89" s="106">
        <f>$E89*Electricity_LCIA!R337</f>
        <v>0</v>
      </c>
      <c r="T89" s="106">
        <f>$E89*Electricity_LCIA!S337</f>
        <v>0</v>
      </c>
      <c r="U89" s="106">
        <f>$E89*Electricity_LCIA!T337</f>
        <v>0</v>
      </c>
      <c r="V89" s="106">
        <f>$E89*Electricity_LCIA!U337</f>
        <v>0</v>
      </c>
      <c r="W89" s="106">
        <f>$E89*Electricity_LCIA!V337</f>
        <v>0</v>
      </c>
      <c r="X89" s="106">
        <f>$E89*Electricity_LCIA!W337</f>
        <v>0</v>
      </c>
      <c r="Y89" s="106">
        <f>$E89*Electricity_LCIA!X337</f>
        <v>0</v>
      </c>
      <c r="Z89" s="106">
        <f>$E89*Electricity_LCIA!Y337</f>
        <v>0</v>
      </c>
      <c r="AA89" s="106">
        <f>$E89*Electricity_LCIA!Z337</f>
        <v>0</v>
      </c>
      <c r="AB89" s="106">
        <f>$E89*Electricity_LCIA!AA337</f>
        <v>0</v>
      </c>
      <c r="AC89" s="106">
        <f>$E89*Electricity_LCIA!AB337</f>
        <v>0</v>
      </c>
      <c r="AD89" s="106">
        <f>$E89*Electricity_LCIA!AC337</f>
        <v>0</v>
      </c>
      <c r="AE89" s="106">
        <f>$E89*Electricity_LCIA!AD337</f>
        <v>0</v>
      </c>
      <c r="AF89" s="106">
        <f>$E89*Electricity_LCIA!AE337</f>
        <v>0</v>
      </c>
      <c r="AG89" s="106">
        <f>$E89*Electricity_LCIA!AF337</f>
        <v>0</v>
      </c>
      <c r="AH89" s="106">
        <f>$E89*Electricity_LCIA!AG337</f>
        <v>0</v>
      </c>
      <c r="AI89" s="210">
        <f>$E89*Electricity_LCIA!AH337</f>
        <v>0</v>
      </c>
    </row>
    <row r="90" spans="3:35" x14ac:dyDescent="0.25">
      <c r="C90" s="135" t="str">
        <f>Electricity_LCIA!B341</f>
        <v>Virtual</v>
      </c>
      <c r="D90" s="136" t="str">
        <f>Electricity_LCIA!C341</f>
        <v>3_Hub_10000km</v>
      </c>
      <c r="E90" s="106">
        <f t="shared" si="93"/>
        <v>10.803133279788913</v>
      </c>
      <c r="F90" s="136" t="s">
        <v>833</v>
      </c>
      <c r="G90" s="136"/>
      <c r="H90" s="106">
        <f>$E90*Electricity_LCIA!G341</f>
        <v>0</v>
      </c>
      <c r="I90" s="106">
        <f>$E90*Electricity_LCIA!H341</f>
        <v>0</v>
      </c>
      <c r="J90" s="106">
        <f>$E90*Electricity_LCIA!I341</f>
        <v>0</v>
      </c>
      <c r="K90" s="106">
        <f>$E90*Electricity_LCIA!J341</f>
        <v>0</v>
      </c>
      <c r="L90" s="106">
        <f>$E90*Electricity_LCIA!K341</f>
        <v>0</v>
      </c>
      <c r="M90" s="106">
        <f>$E90*Electricity_LCIA!L341</f>
        <v>0</v>
      </c>
      <c r="N90" s="106">
        <f>$E90*Electricity_LCIA!M341</f>
        <v>0</v>
      </c>
      <c r="O90" s="106">
        <f>$E90*Electricity_LCIA!N341</f>
        <v>0</v>
      </c>
      <c r="P90" s="106">
        <f>$E90*Electricity_LCIA!O341</f>
        <v>0</v>
      </c>
      <c r="Q90" s="106">
        <f>$E90*Electricity_LCIA!P341</f>
        <v>0</v>
      </c>
      <c r="R90" s="106">
        <f>$E90*Electricity_LCIA!Q341</f>
        <v>0</v>
      </c>
      <c r="S90" s="106">
        <f>$E90*Electricity_LCIA!R341</f>
        <v>0</v>
      </c>
      <c r="T90" s="106">
        <f>$E90*Electricity_LCIA!S341</f>
        <v>0</v>
      </c>
      <c r="U90" s="106">
        <f>$E90*Electricity_LCIA!T341</f>
        <v>0</v>
      </c>
      <c r="V90" s="106">
        <f>$E90*Electricity_LCIA!U341</f>
        <v>0</v>
      </c>
      <c r="W90" s="106">
        <f>$E90*Electricity_LCIA!V341</f>
        <v>0</v>
      </c>
      <c r="X90" s="106">
        <f>$E90*Electricity_LCIA!W341</f>
        <v>0</v>
      </c>
      <c r="Y90" s="106">
        <f>$E90*Electricity_LCIA!X341</f>
        <v>0</v>
      </c>
      <c r="Z90" s="106">
        <f>$E90*Electricity_LCIA!Y341</f>
        <v>0</v>
      </c>
      <c r="AA90" s="106">
        <f>$E90*Electricity_LCIA!Z341</f>
        <v>0</v>
      </c>
      <c r="AB90" s="106">
        <f>$E90*Electricity_LCIA!AA341</f>
        <v>0</v>
      </c>
      <c r="AC90" s="106">
        <f>$E90*Electricity_LCIA!AB341</f>
        <v>0</v>
      </c>
      <c r="AD90" s="106">
        <f>$E90*Electricity_LCIA!AC341</f>
        <v>0</v>
      </c>
      <c r="AE90" s="106">
        <f>$E90*Electricity_LCIA!AD341</f>
        <v>0</v>
      </c>
      <c r="AF90" s="106">
        <f>$E90*Electricity_LCIA!AE341</f>
        <v>0</v>
      </c>
      <c r="AG90" s="106">
        <f>$E90*Electricity_LCIA!AF341</f>
        <v>0</v>
      </c>
      <c r="AH90" s="106">
        <f>$E90*Electricity_LCIA!AG341</f>
        <v>0</v>
      </c>
      <c r="AI90" s="210">
        <f>$E90*Electricity_LCIA!AH341</f>
        <v>0</v>
      </c>
    </row>
    <row r="91" spans="3:35" x14ac:dyDescent="0.25">
      <c r="C91" s="135" t="str">
        <f>Electricity_LCIA!B346</f>
        <v>Virtual</v>
      </c>
      <c r="D91" s="136" t="str">
        <f>Electricity_LCIA!C346</f>
        <v>4_Hub_10000km</v>
      </c>
      <c r="E91" s="106">
        <f t="shared" si="93"/>
        <v>10.803133279788913</v>
      </c>
      <c r="F91" s="136" t="s">
        <v>833</v>
      </c>
      <c r="G91" s="136"/>
      <c r="H91" s="106">
        <f>$E91*Electricity_LCIA!G346</f>
        <v>0</v>
      </c>
      <c r="I91" s="106">
        <f>$E91*Electricity_LCIA!H346</f>
        <v>0</v>
      </c>
      <c r="J91" s="106">
        <f>$E91*Electricity_LCIA!I346</f>
        <v>0</v>
      </c>
      <c r="K91" s="106">
        <f>$E91*Electricity_LCIA!J346</f>
        <v>0</v>
      </c>
      <c r="L91" s="106">
        <f>$E91*Electricity_LCIA!K346</f>
        <v>0</v>
      </c>
      <c r="M91" s="106">
        <f>$E91*Electricity_LCIA!L346</f>
        <v>0</v>
      </c>
      <c r="N91" s="106">
        <f>$E91*Electricity_LCIA!M346</f>
        <v>0</v>
      </c>
      <c r="O91" s="106">
        <f>$E91*Electricity_LCIA!N346</f>
        <v>0</v>
      </c>
      <c r="P91" s="106">
        <f>$E91*Electricity_LCIA!O346</f>
        <v>0</v>
      </c>
      <c r="Q91" s="106">
        <f>$E91*Electricity_LCIA!P346</f>
        <v>0</v>
      </c>
      <c r="R91" s="106">
        <f>$E91*Electricity_LCIA!Q346</f>
        <v>0</v>
      </c>
      <c r="S91" s="106">
        <f>$E91*Electricity_LCIA!R346</f>
        <v>0</v>
      </c>
      <c r="T91" s="106">
        <f>$E91*Electricity_LCIA!S346</f>
        <v>0</v>
      </c>
      <c r="U91" s="106">
        <f>$E91*Electricity_LCIA!T346</f>
        <v>0</v>
      </c>
      <c r="V91" s="106">
        <f>$E91*Electricity_LCIA!U346</f>
        <v>0</v>
      </c>
      <c r="W91" s="106">
        <f>$E91*Electricity_LCIA!V346</f>
        <v>0</v>
      </c>
      <c r="X91" s="106">
        <f>$E91*Electricity_LCIA!W346</f>
        <v>0</v>
      </c>
      <c r="Y91" s="106">
        <f>$E91*Electricity_LCIA!X346</f>
        <v>0</v>
      </c>
      <c r="Z91" s="106">
        <f>$E91*Electricity_LCIA!Y346</f>
        <v>0</v>
      </c>
      <c r="AA91" s="106">
        <f>$E91*Electricity_LCIA!Z346</f>
        <v>0</v>
      </c>
      <c r="AB91" s="106">
        <f>$E91*Electricity_LCIA!AA346</f>
        <v>0</v>
      </c>
      <c r="AC91" s="106">
        <f>$E91*Electricity_LCIA!AB346</f>
        <v>0</v>
      </c>
      <c r="AD91" s="106">
        <f>$E91*Electricity_LCIA!AC346</f>
        <v>0</v>
      </c>
      <c r="AE91" s="106">
        <f>$E91*Electricity_LCIA!AD346</f>
        <v>0</v>
      </c>
      <c r="AF91" s="106">
        <f>$E91*Electricity_LCIA!AE346</f>
        <v>0</v>
      </c>
      <c r="AG91" s="106">
        <f>$E91*Electricity_LCIA!AF346</f>
        <v>0</v>
      </c>
      <c r="AH91" s="106">
        <f>$E91*Electricity_LCIA!AG346</f>
        <v>0</v>
      </c>
      <c r="AI91" s="210">
        <f>$E91*Electricity_LCIA!AH346</f>
        <v>0</v>
      </c>
    </row>
    <row r="92" spans="3:35" x14ac:dyDescent="0.25">
      <c r="C92" s="135" t="str">
        <f>Electricity_LCIA!B352</f>
        <v>Virtual</v>
      </c>
      <c r="D92" s="136" t="str">
        <f>Electricity_LCIA!C352</f>
        <v>5_Hub_10000km</v>
      </c>
      <c r="E92" s="106">
        <f t="shared" si="93"/>
        <v>10.803133279788913</v>
      </c>
      <c r="F92" s="136" t="s">
        <v>833</v>
      </c>
      <c r="G92" s="136"/>
      <c r="H92" s="106">
        <f>$E92*Electricity_LCIA!G352</f>
        <v>0</v>
      </c>
      <c r="I92" s="106">
        <f>$E92*Electricity_LCIA!H352</f>
        <v>0</v>
      </c>
      <c r="J92" s="106">
        <f>$E92*Electricity_LCIA!I352</f>
        <v>0</v>
      </c>
      <c r="K92" s="106">
        <f>$E92*Electricity_LCIA!J352</f>
        <v>0</v>
      </c>
      <c r="L92" s="106">
        <f>$E92*Electricity_LCIA!K352</f>
        <v>0</v>
      </c>
      <c r="M92" s="106">
        <f>$E92*Electricity_LCIA!L352</f>
        <v>0</v>
      </c>
      <c r="N92" s="106">
        <f>$E92*Electricity_LCIA!M352</f>
        <v>0</v>
      </c>
      <c r="O92" s="106">
        <f>$E92*Electricity_LCIA!N352</f>
        <v>0</v>
      </c>
      <c r="P92" s="106">
        <f>$E92*Electricity_LCIA!O352</f>
        <v>0</v>
      </c>
      <c r="Q92" s="106">
        <f>$E92*Electricity_LCIA!P352</f>
        <v>0</v>
      </c>
      <c r="R92" s="106">
        <f>$E92*Electricity_LCIA!Q352</f>
        <v>0</v>
      </c>
      <c r="S92" s="106">
        <f>$E92*Electricity_LCIA!R352</f>
        <v>0</v>
      </c>
      <c r="T92" s="106">
        <f>$E92*Electricity_LCIA!S352</f>
        <v>0</v>
      </c>
      <c r="U92" s="106">
        <f>$E92*Electricity_LCIA!T352</f>
        <v>0</v>
      </c>
      <c r="V92" s="106">
        <f>$E92*Electricity_LCIA!U352</f>
        <v>0</v>
      </c>
      <c r="W92" s="106">
        <f>$E92*Electricity_LCIA!V352</f>
        <v>0</v>
      </c>
      <c r="X92" s="106">
        <f>$E92*Electricity_LCIA!W352</f>
        <v>0</v>
      </c>
      <c r="Y92" s="106">
        <f>$E92*Electricity_LCIA!X352</f>
        <v>0</v>
      </c>
      <c r="Z92" s="106">
        <f>$E92*Electricity_LCIA!Y352</f>
        <v>0</v>
      </c>
      <c r="AA92" s="106">
        <f>$E92*Electricity_LCIA!Z352</f>
        <v>0</v>
      </c>
      <c r="AB92" s="106">
        <f>$E92*Electricity_LCIA!AA352</f>
        <v>0</v>
      </c>
      <c r="AC92" s="106">
        <f>$E92*Electricity_LCIA!AB352</f>
        <v>0</v>
      </c>
      <c r="AD92" s="106">
        <f>$E92*Electricity_LCIA!AC352</f>
        <v>0</v>
      </c>
      <c r="AE92" s="106">
        <f>$E92*Electricity_LCIA!AD352</f>
        <v>0</v>
      </c>
      <c r="AF92" s="106">
        <f>$E92*Electricity_LCIA!AE352</f>
        <v>0</v>
      </c>
      <c r="AG92" s="106">
        <f>$E92*Electricity_LCIA!AF352</f>
        <v>0</v>
      </c>
      <c r="AH92" s="106">
        <f>$E92*Electricity_LCIA!AG352</f>
        <v>0</v>
      </c>
      <c r="AI92" s="210">
        <f>$E92*Electricity_LCIA!AH352</f>
        <v>0</v>
      </c>
    </row>
    <row r="93" spans="3:35" x14ac:dyDescent="0.25">
      <c r="C93" s="143" t="str">
        <f>Electricity_LCIA!B359</f>
        <v>Virtual</v>
      </c>
      <c r="D93" s="144" t="str">
        <f>Electricity_LCIA!C359</f>
        <v>6_Hub_10000km</v>
      </c>
      <c r="E93" s="187">
        <f t="shared" si="93"/>
        <v>10.803133279788913</v>
      </c>
      <c r="F93" s="144" t="s">
        <v>833</v>
      </c>
      <c r="G93" s="144"/>
      <c r="H93" s="187">
        <f>$E93*Electricity_LCIA!G359</f>
        <v>0</v>
      </c>
      <c r="I93" s="187">
        <f>$E93*Electricity_LCIA!H359</f>
        <v>0</v>
      </c>
      <c r="J93" s="187">
        <f>$E93*Electricity_LCIA!I359</f>
        <v>0</v>
      </c>
      <c r="K93" s="187">
        <f>$E93*Electricity_LCIA!J359</f>
        <v>0</v>
      </c>
      <c r="L93" s="187">
        <f>$E93*Electricity_LCIA!K359</f>
        <v>0</v>
      </c>
      <c r="M93" s="187">
        <f>$E93*Electricity_LCIA!L359</f>
        <v>0</v>
      </c>
      <c r="N93" s="187">
        <f>$E93*Electricity_LCIA!M359</f>
        <v>0</v>
      </c>
      <c r="O93" s="187">
        <f>$E93*Electricity_LCIA!N359</f>
        <v>0</v>
      </c>
      <c r="P93" s="187">
        <f>$E93*Electricity_LCIA!O359</f>
        <v>0</v>
      </c>
      <c r="Q93" s="187">
        <f>$E93*Electricity_LCIA!P359</f>
        <v>0</v>
      </c>
      <c r="R93" s="187">
        <f>$E93*Electricity_LCIA!Q359</f>
        <v>0</v>
      </c>
      <c r="S93" s="187">
        <f>$E93*Electricity_LCIA!R359</f>
        <v>0</v>
      </c>
      <c r="T93" s="187">
        <f>$E93*Electricity_LCIA!S359</f>
        <v>0</v>
      </c>
      <c r="U93" s="187">
        <f>$E93*Electricity_LCIA!T359</f>
        <v>0</v>
      </c>
      <c r="V93" s="187">
        <f>$E93*Electricity_LCIA!U359</f>
        <v>0</v>
      </c>
      <c r="W93" s="187">
        <f>$E93*Electricity_LCIA!V359</f>
        <v>0</v>
      </c>
      <c r="X93" s="187">
        <f>$E93*Electricity_LCIA!W359</f>
        <v>0</v>
      </c>
      <c r="Y93" s="187">
        <f>$E93*Electricity_LCIA!X359</f>
        <v>0</v>
      </c>
      <c r="Z93" s="187">
        <f>$E93*Electricity_LCIA!Y359</f>
        <v>0</v>
      </c>
      <c r="AA93" s="187">
        <f>$E93*Electricity_LCIA!Z359</f>
        <v>0</v>
      </c>
      <c r="AB93" s="187">
        <f>$E93*Electricity_LCIA!AA359</f>
        <v>0</v>
      </c>
      <c r="AC93" s="187">
        <f>$E93*Electricity_LCIA!AB359</f>
        <v>0</v>
      </c>
      <c r="AD93" s="187">
        <f>$E93*Electricity_LCIA!AC359</f>
        <v>0</v>
      </c>
      <c r="AE93" s="187">
        <f>$E93*Electricity_LCIA!AD359</f>
        <v>0</v>
      </c>
      <c r="AF93" s="187">
        <f>$E93*Electricity_LCIA!AE359</f>
        <v>0</v>
      </c>
      <c r="AG93" s="187">
        <f>$E93*Electricity_LCIA!AF359</f>
        <v>0</v>
      </c>
      <c r="AH93" s="187">
        <f>$E93*Electricity_LCIA!AG359</f>
        <v>0</v>
      </c>
      <c r="AI93" s="212">
        <f>$E93*Electricity_LCIA!AH359</f>
        <v>0</v>
      </c>
    </row>
    <row r="95" spans="3:35" x14ac:dyDescent="0.25">
      <c r="C95" s="133" t="s">
        <v>533</v>
      </c>
      <c r="D95" s="134" t="str">
        <f>D40</f>
        <v>1_Hub_10%IP</v>
      </c>
      <c r="E95" s="134">
        <v>1</v>
      </c>
      <c r="F95" s="134" t="s">
        <v>357</v>
      </c>
      <c r="G95" s="134"/>
      <c r="H95" s="208">
        <f>SUM(H$39,H40)</f>
        <v>5.7875046028629633</v>
      </c>
      <c r="I95" s="208">
        <f>SUM(I$39,I40)</f>
        <v>2.1727976845202641</v>
      </c>
      <c r="J95" s="208">
        <f t="shared" ref="I95:AI101" si="94">SUM(J$39,J40)</f>
        <v>68.921337633092463</v>
      </c>
      <c r="K95" s="208">
        <f t="shared" si="94"/>
        <v>0.38669932439424598</v>
      </c>
      <c r="L95" s="208">
        <f t="shared" si="94"/>
        <v>34.319278694706405</v>
      </c>
      <c r="M95" s="208">
        <f t="shared" si="94"/>
        <v>1.1701306734133632E-3</v>
      </c>
      <c r="N95" s="208">
        <f t="shared" si="94"/>
        <v>1.1519661753190065</v>
      </c>
      <c r="O95" s="208">
        <f t="shared" si="94"/>
        <v>7.6863142718425896</v>
      </c>
      <c r="P95" s="208">
        <f t="shared" si="94"/>
        <v>2.9155111887925735</v>
      </c>
      <c r="Q95" s="208">
        <f t="shared" si="94"/>
        <v>117.5550751033409</v>
      </c>
      <c r="R95" s="208">
        <f t="shared" si="94"/>
        <v>0.41056570964013295</v>
      </c>
      <c r="S95" s="208">
        <f t="shared" si="94"/>
        <v>5.7261232797819757</v>
      </c>
      <c r="T95" s="208">
        <f t="shared" si="94"/>
        <v>1.74991743409073</v>
      </c>
      <c r="U95" s="208">
        <f t="shared" si="94"/>
        <v>0.44605795925414493</v>
      </c>
      <c r="V95" s="208">
        <f t="shared" si="94"/>
        <v>4.695422051004189E-3</v>
      </c>
      <c r="W95" s="208">
        <f t="shared" si="94"/>
        <v>3.5250784637673886</v>
      </c>
      <c r="X95" s="208">
        <f t="shared" si="94"/>
        <v>2.3439925896015148</v>
      </c>
      <c r="Y95" s="208">
        <f t="shared" si="94"/>
        <v>0.3876502452514401</v>
      </c>
      <c r="Z95" s="208">
        <f t="shared" si="94"/>
        <v>1.6652460077803612E-3</v>
      </c>
      <c r="AA95" s="208">
        <f t="shared" si="94"/>
        <v>0.42283519095089483</v>
      </c>
      <c r="AB95" s="208">
        <f t="shared" si="94"/>
        <v>-6.5047965765233995E-4</v>
      </c>
      <c r="AC95" s="208">
        <f t="shared" si="94"/>
        <v>2.4083825004278568E-7</v>
      </c>
      <c r="AD95" s="208">
        <f t="shared" si="94"/>
        <v>1.4355786189882751E-2</v>
      </c>
      <c r="AE95" s="208">
        <f t="shared" si="94"/>
        <v>1.0759411586780421E-2</v>
      </c>
      <c r="AF95" s="208">
        <f t="shared" si="94"/>
        <v>1.7024507545444784E-2</v>
      </c>
      <c r="AG95" s="208">
        <f t="shared" si="94"/>
        <v>3.9783682293383478E-4</v>
      </c>
      <c r="AH95" s="208">
        <f t="shared" si="94"/>
        <v>2.9341828120343975E-2</v>
      </c>
      <c r="AI95" s="209">
        <f t="shared" si="94"/>
        <v>5.9022088948211551E-2</v>
      </c>
    </row>
    <row r="96" spans="3:35" x14ac:dyDescent="0.25">
      <c r="C96" s="135" t="s">
        <v>533</v>
      </c>
      <c r="D96" s="136" t="str">
        <f t="shared" ref="D96:D148" si="95">D41</f>
        <v>1_Hub_30%IP</v>
      </c>
      <c r="E96" s="136">
        <f>1</f>
        <v>1</v>
      </c>
      <c r="F96" s="136" t="s">
        <v>357</v>
      </c>
      <c r="G96" s="136"/>
      <c r="H96" s="106">
        <f t="shared" ref="H96:W101" si="96">SUM(H$39,H41)</f>
        <v>6.2477635169540333</v>
      </c>
      <c r="I96" s="106">
        <f t="shared" si="96"/>
        <v>2.3475938939563608</v>
      </c>
      <c r="J96" s="106">
        <f t="shared" si="96"/>
        <v>74.814569478944819</v>
      </c>
      <c r="K96" s="106">
        <f t="shared" si="96"/>
        <v>0.54643711761837122</v>
      </c>
      <c r="L96" s="106">
        <f t="shared" si="96"/>
        <v>25.601851322616</v>
      </c>
      <c r="M96" s="106">
        <f t="shared" si="96"/>
        <v>1.5175959311103371E-3</v>
      </c>
      <c r="N96" s="106">
        <f t="shared" si="96"/>
        <v>1.5307443657979585</v>
      </c>
      <c r="O96" s="106">
        <f t="shared" si="96"/>
        <v>7.1854488250052357</v>
      </c>
      <c r="P96" s="106">
        <f t="shared" si="96"/>
        <v>4.0298446649805761</v>
      </c>
      <c r="Q96" s="106">
        <f t="shared" si="96"/>
        <v>116.05800726485039</v>
      </c>
      <c r="R96" s="106">
        <f t="shared" si="96"/>
        <v>0.37494416944026043</v>
      </c>
      <c r="S96" s="106">
        <f t="shared" si="96"/>
        <v>6.1862037803437397</v>
      </c>
      <c r="T96" s="106">
        <f t="shared" si="96"/>
        <v>1.8875694429098719</v>
      </c>
      <c r="U96" s="106">
        <f t="shared" si="96"/>
        <v>0.47399296541239144</v>
      </c>
      <c r="V96" s="106">
        <f t="shared" si="96"/>
        <v>6.0963685071793996E-3</v>
      </c>
      <c r="W96" s="106">
        <f t="shared" si="96"/>
        <v>4.367029491123426</v>
      </c>
      <c r="X96" s="106">
        <f t="shared" si="94"/>
        <v>1.7084134004691989</v>
      </c>
      <c r="Y96" s="106">
        <f t="shared" si="94"/>
        <v>0.41406761256436753</v>
      </c>
      <c r="Z96" s="106">
        <f t="shared" si="94"/>
        <v>1.9693355981560837E-3</v>
      </c>
      <c r="AA96" s="106">
        <f t="shared" si="94"/>
        <v>0.42590016489345128</v>
      </c>
      <c r="AB96" s="106">
        <f t="shared" si="94"/>
        <v>-3.7118852584841315E-4</v>
      </c>
      <c r="AC96" s="106">
        <f t="shared" si="94"/>
        <v>2.4577862891482334E-7</v>
      </c>
      <c r="AD96" s="106">
        <f t="shared" si="94"/>
        <v>1.905721299046205E-2</v>
      </c>
      <c r="AE96" s="106">
        <f t="shared" si="94"/>
        <v>1.1654715055339934E-2</v>
      </c>
      <c r="AF96" s="106">
        <f t="shared" si="94"/>
        <v>1.8376220902321234E-2</v>
      </c>
      <c r="AG96" s="106">
        <f t="shared" si="94"/>
        <v>4.0764519912080339E-4</v>
      </c>
      <c r="AH96" s="106">
        <f t="shared" si="94"/>
        <v>3.0606460310019633E-2</v>
      </c>
      <c r="AI96" s="210">
        <f t="shared" si="94"/>
        <v>4.75374553464974E-2</v>
      </c>
    </row>
    <row r="97" spans="3:35" x14ac:dyDescent="0.25">
      <c r="C97" s="135" t="s">
        <v>533</v>
      </c>
      <c r="D97" s="136" t="str">
        <f t="shared" si="95"/>
        <v>1_Hub_50%IP</v>
      </c>
      <c r="E97" s="136">
        <f>1</f>
        <v>1</v>
      </c>
      <c r="F97" s="136" t="s">
        <v>357</v>
      </c>
      <c r="G97" s="136"/>
      <c r="H97" s="106">
        <f t="shared" si="96"/>
        <v>6.1078503710620238</v>
      </c>
      <c r="I97" s="106">
        <f t="shared" si="94"/>
        <v>2.4028316852497063</v>
      </c>
      <c r="J97" s="106">
        <f t="shared" si="94"/>
        <v>74.483227467983866</v>
      </c>
      <c r="K97" s="106">
        <f t="shared" si="94"/>
        <v>0.76039235282032025</v>
      </c>
      <c r="L97" s="106">
        <f t="shared" si="94"/>
        <v>18.161960735557255</v>
      </c>
      <c r="M97" s="106">
        <f t="shared" si="94"/>
        <v>1.9637285557905864E-3</v>
      </c>
      <c r="N97" s="106">
        <f t="shared" si="94"/>
        <v>2.0160992216786369</v>
      </c>
      <c r="O97" s="106">
        <f t="shared" si="94"/>
        <v>8.4939460710596943</v>
      </c>
      <c r="P97" s="106">
        <f t="shared" si="94"/>
        <v>4.6610928881185609</v>
      </c>
      <c r="Q97" s="106">
        <f t="shared" si="94"/>
        <v>110.98151415102387</v>
      </c>
      <c r="R97" s="106">
        <f t="shared" si="94"/>
        <v>0.3646849749439327</v>
      </c>
      <c r="S97" s="106">
        <f t="shared" si="94"/>
        <v>6.0494201114428856</v>
      </c>
      <c r="T97" s="106">
        <f t="shared" si="94"/>
        <v>1.881887242634338</v>
      </c>
      <c r="U97" s="106">
        <f t="shared" si="94"/>
        <v>0.48176644783925293</v>
      </c>
      <c r="V97" s="106">
        <f t="shared" si="94"/>
        <v>6.5873577572774268E-3</v>
      </c>
      <c r="W97" s="106">
        <f t="shared" si="94"/>
        <v>4.6384073922028675</v>
      </c>
      <c r="X97" s="106">
        <f t="shared" si="94"/>
        <v>1.1887337922304744</v>
      </c>
      <c r="Y97" s="106">
        <f t="shared" si="94"/>
        <v>0.42211051871176497</v>
      </c>
      <c r="Z97" s="106">
        <f t="shared" si="94"/>
        <v>2.0595196311779364E-3</v>
      </c>
      <c r="AA97" s="106">
        <f t="shared" si="94"/>
        <v>0.42633258061171719</v>
      </c>
      <c r="AB97" s="106">
        <f t="shared" si="94"/>
        <v>-2.8195128653361493E-4</v>
      </c>
      <c r="AC97" s="106">
        <f t="shared" si="94"/>
        <v>2.48005976650529E-7</v>
      </c>
      <c r="AD97" s="106">
        <f t="shared" si="94"/>
        <v>2.0216718683909334E-2</v>
      </c>
      <c r="AE97" s="106">
        <f t="shared" si="94"/>
        <v>1.1691114252930351E-2</v>
      </c>
      <c r="AF97" s="106">
        <f t="shared" si="94"/>
        <v>1.7672784159439625E-2</v>
      </c>
      <c r="AG97" s="106">
        <f t="shared" si="94"/>
        <v>4.0680227015776942E-4</v>
      </c>
      <c r="AH97" s="106">
        <f t="shared" si="94"/>
        <v>3.0373136347991898E-2</v>
      </c>
      <c r="AI97" s="210">
        <f t="shared" si="94"/>
        <v>4.5394890773830986E-2</v>
      </c>
    </row>
    <row r="98" spans="3:35" x14ac:dyDescent="0.25">
      <c r="C98" s="135" t="s">
        <v>533</v>
      </c>
      <c r="D98" s="136" t="str">
        <f t="shared" si="95"/>
        <v>1_Hub_70%IP</v>
      </c>
      <c r="E98" s="136">
        <f>1</f>
        <v>1</v>
      </c>
      <c r="F98" s="136" t="s">
        <v>357</v>
      </c>
      <c r="G98" s="136"/>
      <c r="H98" s="106">
        <f t="shared" si="96"/>
        <v>5.516313380721793</v>
      </c>
      <c r="I98" s="106">
        <f t="shared" si="94"/>
        <v>2.3410763250640243</v>
      </c>
      <c r="J98" s="106">
        <f t="shared" si="94"/>
        <v>69.58205484247641</v>
      </c>
      <c r="K98" s="106">
        <f t="shared" si="94"/>
        <v>0.91885348857155658</v>
      </c>
      <c r="L98" s="106">
        <f t="shared" si="94"/>
        <v>18.658993683275938</v>
      </c>
      <c r="M98" s="106">
        <f t="shared" si="94"/>
        <v>2.9883322251770036E-3</v>
      </c>
      <c r="N98" s="106">
        <f t="shared" si="94"/>
        <v>2.4700590789305812</v>
      </c>
      <c r="O98" s="106">
        <f t="shared" si="94"/>
        <v>10.645888739124409</v>
      </c>
      <c r="P98" s="106">
        <f t="shared" si="94"/>
        <v>3.9502660976093575</v>
      </c>
      <c r="Q98" s="106">
        <f t="shared" si="94"/>
        <v>108.57018058727741</v>
      </c>
      <c r="R98" s="106">
        <f t="shared" si="94"/>
        <v>0.35627218862650767</v>
      </c>
      <c r="S98" s="106">
        <f t="shared" si="94"/>
        <v>5.4620260192983006</v>
      </c>
      <c r="T98" s="106">
        <f t="shared" si="94"/>
        <v>1.7755426492863675</v>
      </c>
      <c r="U98" s="106">
        <f t="shared" si="94"/>
        <v>0.45826770847977438</v>
      </c>
      <c r="V98" s="106">
        <f t="shared" si="94"/>
        <v>5.2453472737223244E-3</v>
      </c>
      <c r="W98" s="106">
        <f t="shared" si="94"/>
        <v>3.818231066121534</v>
      </c>
      <c r="X98" s="106">
        <f t="shared" si="94"/>
        <v>1.2556928523835966</v>
      </c>
      <c r="Y98" s="106">
        <f t="shared" si="94"/>
        <v>0.40161122843075281</v>
      </c>
      <c r="Z98" s="106">
        <f t="shared" si="94"/>
        <v>1.7916619809105535E-3</v>
      </c>
      <c r="AA98" s="106">
        <f t="shared" si="94"/>
        <v>0.42839574593005114</v>
      </c>
      <c r="AB98" s="106">
        <f t="shared" si="94"/>
        <v>-2.8148903273329741E-4</v>
      </c>
      <c r="AC98" s="106">
        <f t="shared" si="94"/>
        <v>2.5734420003854221E-7</v>
      </c>
      <c r="AD98" s="106">
        <f t="shared" si="94"/>
        <v>1.3051356799867591E-2</v>
      </c>
      <c r="AE98" s="106">
        <f t="shared" si="94"/>
        <v>1.1505474334287457E-2</v>
      </c>
      <c r="AF98" s="106">
        <f t="shared" si="94"/>
        <v>1.6097624994149757E-2</v>
      </c>
      <c r="AG98" s="106">
        <f t="shared" si="94"/>
        <v>3.902025940928979E-4</v>
      </c>
      <c r="AH98" s="106">
        <f t="shared" si="94"/>
        <v>3.0539982800029331E-2</v>
      </c>
      <c r="AI98" s="210">
        <f t="shared" si="94"/>
        <v>5.4489804119668521E-2</v>
      </c>
    </row>
    <row r="99" spans="3:35" x14ac:dyDescent="0.25">
      <c r="C99" s="135" t="s">
        <v>533</v>
      </c>
      <c r="D99" s="136" t="str">
        <f t="shared" si="95"/>
        <v>1_Hub_90%IP</v>
      </c>
      <c r="E99" s="136">
        <f>1</f>
        <v>1</v>
      </c>
      <c r="F99" s="136" t="s">
        <v>357</v>
      </c>
      <c r="G99" s="136"/>
      <c r="H99" s="106">
        <f t="shared" si="96"/>
        <v>5.3867725357422103</v>
      </c>
      <c r="I99" s="106">
        <f t="shared" si="94"/>
        <v>2.9247899241662991</v>
      </c>
      <c r="J99" s="106">
        <f t="shared" si="94"/>
        <v>69.425834901747749</v>
      </c>
      <c r="K99" s="106">
        <f t="shared" si="94"/>
        <v>0.19422586492953572</v>
      </c>
      <c r="L99" s="106">
        <f t="shared" si="94"/>
        <v>27.822141650983237</v>
      </c>
      <c r="M99" s="106">
        <f t="shared" si="94"/>
        <v>8.0879325265646122E-3</v>
      </c>
      <c r="N99" s="106">
        <f t="shared" si="94"/>
        <v>2.2654934852174686</v>
      </c>
      <c r="O99" s="106">
        <f t="shared" si="94"/>
        <v>10.026775101215776</v>
      </c>
      <c r="P99" s="106">
        <f t="shared" si="94"/>
        <v>4.0013553847314611</v>
      </c>
      <c r="Q99" s="106">
        <f t="shared" si="94"/>
        <v>116.66870424551807</v>
      </c>
      <c r="R99" s="106">
        <f t="shared" si="94"/>
        <v>0.4176585485692712</v>
      </c>
      <c r="S99" s="106">
        <f t="shared" si="94"/>
        <v>5.3244774939215667</v>
      </c>
      <c r="T99" s="106">
        <f t="shared" si="94"/>
        <v>1.7644198095965258</v>
      </c>
      <c r="U99" s="106">
        <f t="shared" si="94"/>
        <v>0.4104837442253817</v>
      </c>
      <c r="V99" s="106">
        <f t="shared" si="94"/>
        <v>2.9919691798189897E-3</v>
      </c>
      <c r="W99" s="106">
        <f t="shared" si="94"/>
        <v>2.5680700238388576</v>
      </c>
      <c r="X99" s="106">
        <f t="shared" si="94"/>
        <v>1.7557938104211646</v>
      </c>
      <c r="Y99" s="106">
        <f t="shared" si="94"/>
        <v>0.36061911825790205</v>
      </c>
      <c r="Z99" s="106">
        <f t="shared" si="94"/>
        <v>1.4656553067225646E-3</v>
      </c>
      <c r="AA99" s="106">
        <f t="shared" si="94"/>
        <v>0.43450497465836802</v>
      </c>
      <c r="AB99" s="106">
        <f t="shared" si="94"/>
        <v>-2.7689182570111211E-4</v>
      </c>
      <c r="AC99" s="106">
        <f t="shared" si="94"/>
        <v>2.7613539749979191E-7</v>
      </c>
      <c r="AD99" s="106">
        <f t="shared" si="94"/>
        <v>8.4739622402958265E-3</v>
      </c>
      <c r="AE99" s="106">
        <f t="shared" si="94"/>
        <v>1.2928533175503245E-2</v>
      </c>
      <c r="AF99" s="106">
        <f t="shared" si="94"/>
        <v>1.8447929084132338E-2</v>
      </c>
      <c r="AG99" s="106">
        <f t="shared" si="94"/>
        <v>3.8130521881155809E-4</v>
      </c>
      <c r="AH99" s="106">
        <f t="shared" si="94"/>
        <v>3.4404069307339427E-2</v>
      </c>
      <c r="AI99" s="210">
        <f t="shared" si="94"/>
        <v>6.436232612179503E-2</v>
      </c>
    </row>
    <row r="100" spans="3:35" x14ac:dyDescent="0.25">
      <c r="C100" s="135" t="s">
        <v>533</v>
      </c>
      <c r="D100" s="136" t="str">
        <f t="shared" si="95"/>
        <v>2_Hub_10%IP</v>
      </c>
      <c r="E100" s="136">
        <f>1</f>
        <v>1</v>
      </c>
      <c r="F100" s="136" t="s">
        <v>357</v>
      </c>
      <c r="G100" s="136"/>
      <c r="H100" s="106">
        <f t="shared" si="96"/>
        <v>5.7861847956760002</v>
      </c>
      <c r="I100" s="106">
        <f t="shared" si="94"/>
        <v>2.2906304092364969</v>
      </c>
      <c r="J100" s="106">
        <f t="shared" si="94"/>
        <v>69.080375995401994</v>
      </c>
      <c r="K100" s="106">
        <f t="shared" si="94"/>
        <v>0.33072188957073567</v>
      </c>
      <c r="L100" s="106">
        <f t="shared" si="94"/>
        <v>33.450421449453479</v>
      </c>
      <c r="M100" s="106">
        <f t="shared" si="94"/>
        <v>1.2646899065046956E-3</v>
      </c>
      <c r="N100" s="106">
        <f t="shared" si="94"/>
        <v>1.0726302124034139</v>
      </c>
      <c r="O100" s="106">
        <f t="shared" si="94"/>
        <v>7.9570590827231724</v>
      </c>
      <c r="P100" s="106">
        <f t="shared" si="94"/>
        <v>3.318152509270702</v>
      </c>
      <c r="Q100" s="106">
        <f t="shared" si="94"/>
        <v>117.50125623796643</v>
      </c>
      <c r="R100" s="106">
        <f t="shared" si="94"/>
        <v>0.43575750258568424</v>
      </c>
      <c r="S100" s="106">
        <f t="shared" si="94"/>
        <v>5.7257291074618255</v>
      </c>
      <c r="T100" s="106">
        <f t="shared" si="94"/>
        <v>1.7528601539789066</v>
      </c>
      <c r="U100" s="106">
        <f t="shared" si="94"/>
        <v>0.44919264266216652</v>
      </c>
      <c r="V100" s="106">
        <f t="shared" si="94"/>
        <v>4.9739910328756159E-3</v>
      </c>
      <c r="W100" s="106">
        <f t="shared" si="94"/>
        <v>3.69361109923077</v>
      </c>
      <c r="X100" s="106">
        <f t="shared" si="94"/>
        <v>2.300706347365737</v>
      </c>
      <c r="Y100" s="106">
        <f t="shared" si="94"/>
        <v>0.39094742504676661</v>
      </c>
      <c r="Z100" s="106">
        <f t="shared" si="94"/>
        <v>1.7232876240745102E-3</v>
      </c>
      <c r="AA100" s="106">
        <f t="shared" si="94"/>
        <v>0.42246756975198474</v>
      </c>
      <c r="AB100" s="106">
        <f t="shared" si="94"/>
        <v>-6.9659738196821311E-4</v>
      </c>
      <c r="AC100" s="106">
        <f t="shared" si="94"/>
        <v>2.4037550406832859E-7</v>
      </c>
      <c r="AD100" s="106">
        <f t="shared" si="94"/>
        <v>1.5389716136303699E-2</v>
      </c>
      <c r="AE100" s="106">
        <f t="shared" si="94"/>
        <v>1.080033892122325E-2</v>
      </c>
      <c r="AF100" s="106">
        <f t="shared" si="94"/>
        <v>1.7228666625074645E-2</v>
      </c>
      <c r="AG100" s="106">
        <f t="shared" si="94"/>
        <v>3.9263385971987047E-4</v>
      </c>
      <c r="AH100" s="106">
        <f t="shared" si="94"/>
        <v>2.8830499149586113E-2</v>
      </c>
      <c r="AI100" s="210">
        <f t="shared" si="94"/>
        <v>6.2580687342315519E-2</v>
      </c>
    </row>
    <row r="101" spans="3:35" x14ac:dyDescent="0.25">
      <c r="C101" s="135" t="s">
        <v>533</v>
      </c>
      <c r="D101" s="136" t="str">
        <f t="shared" si="95"/>
        <v>2_Hub_30%IP</v>
      </c>
      <c r="E101" s="136">
        <f>1</f>
        <v>1</v>
      </c>
      <c r="F101" s="136" t="s">
        <v>357</v>
      </c>
      <c r="G101" s="136"/>
      <c r="H101" s="106">
        <f t="shared" si="96"/>
        <v>5.6419231576602868</v>
      </c>
      <c r="I101" s="106">
        <f t="shared" si="94"/>
        <v>2.2771401315866506</v>
      </c>
      <c r="J101" s="106">
        <f t="shared" si="94"/>
        <v>68.244353741409796</v>
      </c>
      <c r="K101" s="106">
        <f t="shared" si="94"/>
        <v>0.54608224629946744</v>
      </c>
      <c r="L101" s="106">
        <f t="shared" si="94"/>
        <v>27.724431600533496</v>
      </c>
      <c r="M101" s="106">
        <f t="shared" si="94"/>
        <v>1.506826311729835E-3</v>
      </c>
      <c r="N101" s="106">
        <f t="shared" si="94"/>
        <v>1.5480850791139871</v>
      </c>
      <c r="O101" s="106">
        <f t="shared" si="94"/>
        <v>9.7234163496440171</v>
      </c>
      <c r="P101" s="106">
        <f t="shared" si="94"/>
        <v>3.5108097389610693</v>
      </c>
      <c r="Q101" s="106">
        <f t="shared" si="94"/>
        <v>113.5758257138602</v>
      </c>
      <c r="R101" s="106">
        <f t="shared" si="94"/>
        <v>0.45555610190887619</v>
      </c>
      <c r="S101" s="106">
        <f t="shared" si="94"/>
        <v>5.5843895230862621</v>
      </c>
      <c r="T101" s="106">
        <f t="shared" si="94"/>
        <v>1.7306843017247178</v>
      </c>
      <c r="U101" s="106">
        <f t="shared" si="94"/>
        <v>0.44999524793645773</v>
      </c>
      <c r="V101" s="106">
        <f t="shared" si="94"/>
        <v>5.2139705963961816E-3</v>
      </c>
      <c r="W101" s="106">
        <f t="shared" si="94"/>
        <v>3.8165552382608396</v>
      </c>
      <c r="X101" s="106">
        <f t="shared" si="94"/>
        <v>1.9330165878858312</v>
      </c>
      <c r="Y101" s="106">
        <f t="shared" si="94"/>
        <v>0.39256757144068111</v>
      </c>
      <c r="Z101" s="106">
        <f t="shared" si="94"/>
        <v>1.7595142009515109E-3</v>
      </c>
      <c r="AA101" s="106">
        <f t="shared" si="94"/>
        <v>0.42179651409672581</v>
      </c>
      <c r="AB101" s="106">
        <f t="shared" si="94"/>
        <v>-8.002153732986104E-4</v>
      </c>
      <c r="AC101" s="106">
        <f t="shared" si="94"/>
        <v>2.3728369792881804E-7</v>
      </c>
      <c r="AD101" s="106">
        <f t="shared" si="94"/>
        <v>1.5727198431539996E-2</v>
      </c>
      <c r="AE101" s="106">
        <f t="shared" si="94"/>
        <v>1.0685949480041501E-2</v>
      </c>
      <c r="AF101" s="106">
        <f t="shared" si="94"/>
        <v>1.6321613939000168E-2</v>
      </c>
      <c r="AG101" s="106">
        <f t="shared" si="94"/>
        <v>3.9116326983985725E-4</v>
      </c>
      <c r="AH101" s="106">
        <f t="shared" si="94"/>
        <v>2.9462866016446428E-2</v>
      </c>
      <c r="AI101" s="210">
        <f t="shared" si="94"/>
        <v>6.7782563392000755E-2</v>
      </c>
    </row>
    <row r="102" spans="3:35" x14ac:dyDescent="0.25">
      <c r="C102" s="135" t="s">
        <v>533</v>
      </c>
      <c r="D102" s="136" t="str">
        <f t="shared" si="95"/>
        <v>2_Hub_50%IP</v>
      </c>
      <c r="E102" s="136">
        <f>1</f>
        <v>1</v>
      </c>
      <c r="F102" s="136" t="s">
        <v>357</v>
      </c>
      <c r="G102" s="136"/>
      <c r="H102" s="106">
        <f>SUM(H$39,H47)</f>
        <v>5.8951882603303689</v>
      </c>
      <c r="I102" s="106">
        <f t="shared" ref="I102:AI111" si="97">SUM(I$39,I47)</f>
        <v>2.5428982674856755</v>
      </c>
      <c r="J102" s="106">
        <f t="shared" si="97"/>
        <v>72.83104943142574</v>
      </c>
      <c r="K102" s="106">
        <f t="shared" si="97"/>
        <v>0.76023455150906327</v>
      </c>
      <c r="L102" s="106">
        <f t="shared" si="97"/>
        <v>20.787398139773217</v>
      </c>
      <c r="M102" s="106">
        <f t="shared" si="97"/>
        <v>1.9657664792144124E-3</v>
      </c>
      <c r="N102" s="106">
        <f t="shared" si="97"/>
        <v>2.037174519950165</v>
      </c>
      <c r="O102" s="106">
        <f t="shared" si="97"/>
        <v>8.9650130212659214</v>
      </c>
      <c r="P102" s="106">
        <f t="shared" si="97"/>
        <v>3.9039772943974649</v>
      </c>
      <c r="Q102" s="106">
        <f t="shared" si="97"/>
        <v>111.82971099228649</v>
      </c>
      <c r="R102" s="106">
        <f t="shared" si="97"/>
        <v>0.4033847395193122</v>
      </c>
      <c r="S102" s="106">
        <f t="shared" si="97"/>
        <v>5.8365684085502156</v>
      </c>
      <c r="T102" s="106">
        <f t="shared" si="97"/>
        <v>1.8505672171802872</v>
      </c>
      <c r="U102" s="106">
        <f t="shared" si="97"/>
        <v>0.468761025139245</v>
      </c>
      <c r="V102" s="106">
        <f t="shared" si="97"/>
        <v>5.8531380188006155E-3</v>
      </c>
      <c r="W102" s="106">
        <f t="shared" si="97"/>
        <v>4.1932378488411315</v>
      </c>
      <c r="X102" s="106">
        <f t="shared" si="97"/>
        <v>1.3798930297409573</v>
      </c>
      <c r="Y102" s="106">
        <f t="shared" si="97"/>
        <v>0.40963185905291577</v>
      </c>
      <c r="Z102" s="106">
        <f t="shared" si="97"/>
        <v>1.9020111357376654E-3</v>
      </c>
      <c r="AA102" s="106">
        <f t="shared" si="97"/>
        <v>0.42576050097169049</v>
      </c>
      <c r="AB102" s="106">
        <f t="shared" si="97"/>
        <v>-3.7336694785993093E-4</v>
      </c>
      <c r="AC102" s="106">
        <f t="shared" si="97"/>
        <v>2.5556279666019497E-7</v>
      </c>
      <c r="AD102" s="106">
        <f t="shared" si="97"/>
        <v>1.7176982588997067E-2</v>
      </c>
      <c r="AE102" s="106">
        <f t="shared" si="97"/>
        <v>1.1289897873831322E-2</v>
      </c>
      <c r="AF102" s="106">
        <f t="shared" si="97"/>
        <v>1.6637235848361381E-2</v>
      </c>
      <c r="AG102" s="106">
        <f t="shared" si="97"/>
        <v>4.1209500229998346E-4</v>
      </c>
      <c r="AH102" s="106">
        <f t="shared" si="97"/>
        <v>3.0348227490059509E-2</v>
      </c>
      <c r="AI102" s="210">
        <f t="shared" si="97"/>
        <v>4.906083507073971E-2</v>
      </c>
    </row>
    <row r="103" spans="3:35" x14ac:dyDescent="0.25">
      <c r="C103" s="135" t="s">
        <v>533</v>
      </c>
      <c r="D103" s="136" t="str">
        <f t="shared" si="95"/>
        <v>2_Hub_70%IP</v>
      </c>
      <c r="E103" s="136">
        <f>1</f>
        <v>1</v>
      </c>
      <c r="F103" s="136" t="s">
        <v>357</v>
      </c>
      <c r="G103" s="136"/>
      <c r="H103" s="106">
        <f t="shared" ref="H103:W148" si="98">SUM(H$39,H48)</f>
        <v>5.5722006425792969</v>
      </c>
      <c r="I103" s="106">
        <f t="shared" si="98"/>
        <v>2.4276785058295278</v>
      </c>
      <c r="J103" s="106">
        <f t="shared" si="98"/>
        <v>70.42103185884443</v>
      </c>
      <c r="K103" s="106">
        <f t="shared" si="98"/>
        <v>0.93380057868856059</v>
      </c>
      <c r="L103" s="106">
        <f t="shared" si="98"/>
        <v>18.189370107884276</v>
      </c>
      <c r="M103" s="106">
        <f t="shared" si="98"/>
        <v>2.9923669869754855E-3</v>
      </c>
      <c r="N103" s="106">
        <f t="shared" si="98"/>
        <v>2.5118958185276141</v>
      </c>
      <c r="O103" s="106">
        <f t="shared" si="98"/>
        <v>10.46188674064458</v>
      </c>
      <c r="P103" s="106">
        <f t="shared" si="98"/>
        <v>3.6022712092417537</v>
      </c>
      <c r="Q103" s="106">
        <f t="shared" si="98"/>
        <v>108.55092718664767</v>
      </c>
      <c r="R103" s="106">
        <f t="shared" si="98"/>
        <v>0.36136378115273382</v>
      </c>
      <c r="S103" s="106">
        <f t="shared" si="98"/>
        <v>5.5168111720326127</v>
      </c>
      <c r="T103" s="106">
        <f t="shared" si="98"/>
        <v>1.7987204874451734</v>
      </c>
      <c r="U103" s="106">
        <f t="shared" si="98"/>
        <v>0.45771276858077048</v>
      </c>
      <c r="V103" s="106">
        <f t="shared" si="98"/>
        <v>5.2416618890446841E-3</v>
      </c>
      <c r="W103" s="106">
        <f t="shared" si="98"/>
        <v>3.8098605331162378</v>
      </c>
      <c r="X103" s="106">
        <f t="shared" si="97"/>
        <v>1.1935350350074636</v>
      </c>
      <c r="Y103" s="106">
        <f t="shared" si="97"/>
        <v>0.40087130856541431</v>
      </c>
      <c r="Z103" s="106">
        <f t="shared" si="97"/>
        <v>1.7888000982346796E-3</v>
      </c>
      <c r="AA103" s="106">
        <f t="shared" si="97"/>
        <v>0.42771837052054301</v>
      </c>
      <c r="AB103" s="106">
        <f t="shared" si="97"/>
        <v>-2.5070901073263852E-4</v>
      </c>
      <c r="AC103" s="106">
        <f t="shared" si="97"/>
        <v>2.6058500735242111E-7</v>
      </c>
      <c r="AD103" s="106">
        <f t="shared" si="97"/>
        <v>1.2941145887548343E-2</v>
      </c>
      <c r="AE103" s="106">
        <f t="shared" si="97"/>
        <v>1.1488763592861511E-2</v>
      </c>
      <c r="AF103" s="106">
        <f t="shared" si="97"/>
        <v>1.591357371821988E-2</v>
      </c>
      <c r="AG103" s="106">
        <f t="shared" si="97"/>
        <v>3.9638359732249641E-4</v>
      </c>
      <c r="AH103" s="106">
        <f t="shared" si="97"/>
        <v>3.0736770401510117E-2</v>
      </c>
      <c r="AI103" s="210">
        <f t="shared" si="97"/>
        <v>5.0132947850093153E-2</v>
      </c>
    </row>
    <row r="104" spans="3:35" x14ac:dyDescent="0.25">
      <c r="C104" s="135" t="s">
        <v>533</v>
      </c>
      <c r="D104" s="136" t="str">
        <f t="shared" si="95"/>
        <v>2_Hub_90%IP</v>
      </c>
      <c r="E104" s="136">
        <f>1</f>
        <v>1</v>
      </c>
      <c r="F104" s="136" t="s">
        <v>357</v>
      </c>
      <c r="G104" s="136"/>
      <c r="H104" s="106">
        <f t="shared" si="98"/>
        <v>5.3867725357422103</v>
      </c>
      <c r="I104" s="106">
        <f t="shared" si="97"/>
        <v>2.9247899241662991</v>
      </c>
      <c r="J104" s="106">
        <f t="shared" si="97"/>
        <v>69.425834901747749</v>
      </c>
      <c r="K104" s="106">
        <f t="shared" si="97"/>
        <v>0.19422586492953572</v>
      </c>
      <c r="L104" s="106">
        <f t="shared" si="97"/>
        <v>27.822141650983237</v>
      </c>
      <c r="M104" s="106">
        <f t="shared" si="97"/>
        <v>8.0879325265646122E-3</v>
      </c>
      <c r="N104" s="106">
        <f t="shared" si="97"/>
        <v>2.2654934852174686</v>
      </c>
      <c r="O104" s="106">
        <f t="shared" si="97"/>
        <v>10.026775101215776</v>
      </c>
      <c r="P104" s="106">
        <f t="shared" si="97"/>
        <v>4.0013553847314611</v>
      </c>
      <c r="Q104" s="106">
        <f t="shared" si="97"/>
        <v>116.66870424551807</v>
      </c>
      <c r="R104" s="106">
        <f t="shared" si="97"/>
        <v>0.4176585485692712</v>
      </c>
      <c r="S104" s="106">
        <f t="shared" si="97"/>
        <v>5.3244774939215667</v>
      </c>
      <c r="T104" s="106">
        <f t="shared" si="97"/>
        <v>1.7644198095965258</v>
      </c>
      <c r="U104" s="106">
        <f t="shared" si="97"/>
        <v>0.4104837442253817</v>
      </c>
      <c r="V104" s="106">
        <f t="shared" si="97"/>
        <v>2.9919691798189897E-3</v>
      </c>
      <c r="W104" s="106">
        <f t="shared" si="97"/>
        <v>2.5680700238388576</v>
      </c>
      <c r="X104" s="106">
        <f t="shared" si="97"/>
        <v>1.7557938104211646</v>
      </c>
      <c r="Y104" s="106">
        <f t="shared" si="97"/>
        <v>0.36061911825790205</v>
      </c>
      <c r="Z104" s="106">
        <f t="shared" si="97"/>
        <v>1.4656553067225646E-3</v>
      </c>
      <c r="AA104" s="106">
        <f t="shared" si="97"/>
        <v>0.43450497465836802</v>
      </c>
      <c r="AB104" s="106">
        <f t="shared" si="97"/>
        <v>-2.7689182570111211E-4</v>
      </c>
      <c r="AC104" s="106">
        <f t="shared" si="97"/>
        <v>2.7613539749979191E-7</v>
      </c>
      <c r="AD104" s="106">
        <f t="shared" si="97"/>
        <v>8.4739622402958265E-3</v>
      </c>
      <c r="AE104" s="106">
        <f t="shared" si="97"/>
        <v>1.2928533175503245E-2</v>
      </c>
      <c r="AF104" s="106">
        <f t="shared" si="97"/>
        <v>1.8447929084132338E-2</v>
      </c>
      <c r="AG104" s="106">
        <f t="shared" si="97"/>
        <v>3.8130521881155809E-4</v>
      </c>
      <c r="AH104" s="106">
        <f t="shared" si="97"/>
        <v>3.4404069307339427E-2</v>
      </c>
      <c r="AI104" s="210">
        <f t="shared" si="97"/>
        <v>6.436232612179503E-2</v>
      </c>
    </row>
    <row r="105" spans="3:35" x14ac:dyDescent="0.25">
      <c r="C105" s="135" t="s">
        <v>533</v>
      </c>
      <c r="D105" s="136" t="str">
        <f t="shared" si="95"/>
        <v>3_Hub_10%IP</v>
      </c>
      <c r="E105" s="136">
        <f>1</f>
        <v>1</v>
      </c>
      <c r="F105" s="136" t="s">
        <v>357</v>
      </c>
      <c r="G105" s="136"/>
      <c r="H105" s="106">
        <f t="shared" si="98"/>
        <v>5.7518965420124406</v>
      </c>
      <c r="I105" s="106">
        <f t="shared" si="97"/>
        <v>2.3272382241833292</v>
      </c>
      <c r="J105" s="106">
        <f t="shared" si="97"/>
        <v>68.894895491140375</v>
      </c>
      <c r="K105" s="106">
        <f t="shared" si="97"/>
        <v>0.35024962972095808</v>
      </c>
      <c r="L105" s="106">
        <f t="shared" si="97"/>
        <v>32.464310846712728</v>
      </c>
      <c r="M105" s="106">
        <f t="shared" si="97"/>
        <v>1.3195761949739611E-3</v>
      </c>
      <c r="N105" s="106">
        <f t="shared" si="97"/>
        <v>1.126105098261786</v>
      </c>
      <c r="O105" s="106">
        <f t="shared" si="97"/>
        <v>8.2916295360243826</v>
      </c>
      <c r="P105" s="106">
        <f t="shared" si="97"/>
        <v>3.4287649359899386</v>
      </c>
      <c r="Q105" s="106">
        <f t="shared" si="97"/>
        <v>116.88451333822839</v>
      </c>
      <c r="R105" s="106">
        <f t="shared" si="97"/>
        <v>0.44576460733386775</v>
      </c>
      <c r="S105" s="106">
        <f t="shared" si="97"/>
        <v>5.6921088793311974</v>
      </c>
      <c r="T105" s="106">
        <f t="shared" si="97"/>
        <v>1.7483214549850314</v>
      </c>
      <c r="U105" s="106">
        <f t="shared" si="97"/>
        <v>0.44980980793798708</v>
      </c>
      <c r="V105" s="106">
        <f t="shared" si="97"/>
        <v>5.0558970158774436E-3</v>
      </c>
      <c r="W105" s="106">
        <f t="shared" si="97"/>
        <v>3.7396190880896309</v>
      </c>
      <c r="X105" s="106">
        <f t="shared" si="97"/>
        <v>2.2409075064279533</v>
      </c>
      <c r="Y105" s="106">
        <f t="shared" si="97"/>
        <v>0.39170916052803084</v>
      </c>
      <c r="Z105" s="106">
        <f t="shared" si="97"/>
        <v>1.7377265418793727E-3</v>
      </c>
      <c r="AA105" s="106">
        <f t="shared" si="97"/>
        <v>0.42228107095092704</v>
      </c>
      <c r="AB105" s="106">
        <f t="shared" si="97"/>
        <v>-7.2063078825651094E-4</v>
      </c>
      <c r="AC105" s="106">
        <f t="shared" si="97"/>
        <v>2.4013150403533437E-7</v>
      </c>
      <c r="AD105" s="106">
        <f t="shared" si="97"/>
        <v>1.5621998635118244E-2</v>
      </c>
      <c r="AE105" s="106">
        <f t="shared" si="97"/>
        <v>1.0769772636065092E-2</v>
      </c>
      <c r="AF105" s="106">
        <f t="shared" si="97"/>
        <v>1.7084913143488575E-2</v>
      </c>
      <c r="AG105" s="106">
        <f t="shared" si="97"/>
        <v>3.9156543691583941E-4</v>
      </c>
      <c r="AH105" s="106">
        <f t="shared" si="97"/>
        <v>2.8761415602514311E-2</v>
      </c>
      <c r="AI105" s="210">
        <f t="shared" si="97"/>
        <v>6.4189227751376629E-2</v>
      </c>
    </row>
    <row r="106" spans="3:35" x14ac:dyDescent="0.25">
      <c r="C106" s="135" t="s">
        <v>533</v>
      </c>
      <c r="D106" s="136" t="str">
        <f t="shared" si="95"/>
        <v>3_Hub_30%IP</v>
      </c>
      <c r="E106" s="136">
        <f>1</f>
        <v>1</v>
      </c>
      <c r="F106" s="136" t="s">
        <v>357</v>
      </c>
      <c r="G106" s="136"/>
      <c r="H106" s="106">
        <f t="shared" si="98"/>
        <v>5.6531193153784267</v>
      </c>
      <c r="I106" s="106">
        <f t="shared" si="97"/>
        <v>2.3513100911842106</v>
      </c>
      <c r="J106" s="106">
        <f t="shared" si="97"/>
        <v>68.27228064714204</v>
      </c>
      <c r="K106" s="106">
        <f t="shared" si="97"/>
        <v>0.40621841226620781</v>
      </c>
      <c r="L106" s="106">
        <f t="shared" si="97"/>
        <v>30.89001569882376</v>
      </c>
      <c r="M106" s="106">
        <f t="shared" si="97"/>
        <v>1.5069555462272045E-3</v>
      </c>
      <c r="N106" s="106">
        <f t="shared" si="97"/>
        <v>1.2807457041974797</v>
      </c>
      <c r="O106" s="106">
        <f t="shared" si="97"/>
        <v>9.176743138915727</v>
      </c>
      <c r="P106" s="106">
        <f t="shared" si="97"/>
        <v>3.3687129827365001</v>
      </c>
      <c r="Q106" s="106">
        <f t="shared" si="97"/>
        <v>115.74753363081211</v>
      </c>
      <c r="R106" s="106">
        <f t="shared" si="97"/>
        <v>0.46592360287017759</v>
      </c>
      <c r="S106" s="106">
        <f t="shared" si="97"/>
        <v>5.5946742672094159</v>
      </c>
      <c r="T106" s="106">
        <f t="shared" si="97"/>
        <v>1.7344000958505796</v>
      </c>
      <c r="U106" s="106">
        <f t="shared" si="97"/>
        <v>0.44655634456618876</v>
      </c>
      <c r="V106" s="106">
        <f t="shared" si="97"/>
        <v>5.0020982565866009E-3</v>
      </c>
      <c r="W106" s="106">
        <f t="shared" si="97"/>
        <v>3.6982522218442089</v>
      </c>
      <c r="X106" s="106">
        <f t="shared" si="97"/>
        <v>2.1501773032970624</v>
      </c>
      <c r="Y106" s="106">
        <f t="shared" si="97"/>
        <v>0.38917720154977364</v>
      </c>
      <c r="Z106" s="106">
        <f t="shared" si="97"/>
        <v>1.7227835478002287E-3</v>
      </c>
      <c r="AA106" s="106">
        <f t="shared" si="97"/>
        <v>0.42176954657372517</v>
      </c>
      <c r="AB106" s="106">
        <f t="shared" si="97"/>
        <v>-8.0352725923244438E-4</v>
      </c>
      <c r="AC106" s="106">
        <f t="shared" si="97"/>
        <v>2.4081208994043443E-7</v>
      </c>
      <c r="AD106" s="106">
        <f t="shared" si="97"/>
        <v>1.4953515111424415E-2</v>
      </c>
      <c r="AE106" s="106">
        <f t="shared" si="97"/>
        <v>1.0683919055327683E-2</v>
      </c>
      <c r="AF106" s="106">
        <f t="shared" si="97"/>
        <v>1.6629443175277932E-2</v>
      </c>
      <c r="AG106" s="106">
        <f t="shared" si="97"/>
        <v>3.885617302293684E-4</v>
      </c>
      <c r="AH106" s="106">
        <f t="shared" si="97"/>
        <v>2.8899076692203474E-2</v>
      </c>
      <c r="AI106" s="210">
        <f t="shared" si="97"/>
        <v>6.86346605294441E-2</v>
      </c>
    </row>
    <row r="107" spans="3:35" x14ac:dyDescent="0.25">
      <c r="C107" s="135" t="s">
        <v>533</v>
      </c>
      <c r="D107" s="136" t="str">
        <f t="shared" si="95"/>
        <v>3_Hub_50%IP</v>
      </c>
      <c r="E107" s="136">
        <f>1</f>
        <v>1</v>
      </c>
      <c r="F107" s="136" t="s">
        <v>357</v>
      </c>
      <c r="G107" s="136"/>
      <c r="H107" s="106">
        <f t="shared" si="98"/>
        <v>6.0794778362930506</v>
      </c>
      <c r="I107" s="106">
        <f t="shared" si="97"/>
        <v>2.6703609868385647</v>
      </c>
      <c r="J107" s="106">
        <f t="shared" si="97"/>
        <v>74.574471523517687</v>
      </c>
      <c r="K107" s="106">
        <f t="shared" si="97"/>
        <v>0.56411395128425601</v>
      </c>
      <c r="L107" s="106">
        <f t="shared" si="97"/>
        <v>23.852937094317461</v>
      </c>
      <c r="M107" s="106">
        <f t="shared" si="97"/>
        <v>1.9705076802941945E-3</v>
      </c>
      <c r="N107" s="106">
        <f t="shared" si="97"/>
        <v>1.6777641173294444</v>
      </c>
      <c r="O107" s="106">
        <f t="shared" si="97"/>
        <v>8.0999862301138812</v>
      </c>
      <c r="P107" s="106">
        <f t="shared" si="97"/>
        <v>3.9438241141713477</v>
      </c>
      <c r="Q107" s="106">
        <f t="shared" si="97"/>
        <v>115.38542852525295</v>
      </c>
      <c r="R107" s="106">
        <f t="shared" si="97"/>
        <v>0.42210227086423741</v>
      </c>
      <c r="S107" s="106">
        <f t="shared" si="97"/>
        <v>6.0193531250152947</v>
      </c>
      <c r="T107" s="106">
        <f t="shared" si="97"/>
        <v>1.892406055545693</v>
      </c>
      <c r="U107" s="106">
        <f t="shared" si="97"/>
        <v>0.47026215161697049</v>
      </c>
      <c r="V107" s="106">
        <f t="shared" si="97"/>
        <v>5.958283105063771E-3</v>
      </c>
      <c r="W107" s="106">
        <f t="shared" si="97"/>
        <v>4.2726288875352481</v>
      </c>
      <c r="X107" s="106">
        <f t="shared" si="97"/>
        <v>1.5974829529535988</v>
      </c>
      <c r="Y107" s="106">
        <f t="shared" si="97"/>
        <v>0.41099972803322171</v>
      </c>
      <c r="Z107" s="106">
        <f t="shared" si="97"/>
        <v>1.9390635073292381E-3</v>
      </c>
      <c r="AA107" s="106">
        <f t="shared" si="97"/>
        <v>0.42595490080981951</v>
      </c>
      <c r="AB107" s="106">
        <f t="shared" si="97"/>
        <v>-3.875718237828944E-4</v>
      </c>
      <c r="AC107" s="106">
        <f t="shared" si="97"/>
        <v>2.5823858571523993E-7</v>
      </c>
      <c r="AD107" s="106">
        <f t="shared" si="97"/>
        <v>1.7579317855962798E-2</v>
      </c>
      <c r="AE107" s="106">
        <f t="shared" si="97"/>
        <v>1.1529755147487178E-2</v>
      </c>
      <c r="AF107" s="106">
        <f t="shared" si="97"/>
        <v>1.7623170515328111E-2</v>
      </c>
      <c r="AG107" s="106">
        <f t="shared" si="97"/>
        <v>4.0826588544182419E-4</v>
      </c>
      <c r="AH107" s="106">
        <f t="shared" si="97"/>
        <v>3.0106615697061568E-2</v>
      </c>
      <c r="AI107" s="210">
        <f t="shared" si="97"/>
        <v>5.0843731019983289E-2</v>
      </c>
    </row>
    <row r="108" spans="3:35" x14ac:dyDescent="0.25">
      <c r="C108" s="135" t="s">
        <v>533</v>
      </c>
      <c r="D108" s="136" t="str">
        <f t="shared" si="95"/>
        <v>3_Hub_70%IP</v>
      </c>
      <c r="E108" s="136">
        <f>1</f>
        <v>1</v>
      </c>
      <c r="F108" s="136" t="s">
        <v>357</v>
      </c>
      <c r="G108" s="136"/>
      <c r="H108" s="106">
        <f t="shared" si="98"/>
        <v>5.260033682383825</v>
      </c>
      <c r="I108" s="106">
        <f t="shared" si="97"/>
        <v>2.5349149554524093</v>
      </c>
      <c r="J108" s="106">
        <f t="shared" si="97"/>
        <v>66.790800019527282</v>
      </c>
      <c r="K108" s="106">
        <f t="shared" si="97"/>
        <v>0.8917151089828308</v>
      </c>
      <c r="L108" s="106">
        <f t="shared" si="97"/>
        <v>22.424711407627992</v>
      </c>
      <c r="M108" s="106">
        <f t="shared" si="97"/>
        <v>2.990862603284111E-3</v>
      </c>
      <c r="N108" s="106">
        <f t="shared" si="97"/>
        <v>2.507347670513703</v>
      </c>
      <c r="O108" s="106">
        <f t="shared" si="97"/>
        <v>9.7508813667650838</v>
      </c>
      <c r="P108" s="106">
        <f t="shared" si="97"/>
        <v>3.9058286407991964</v>
      </c>
      <c r="Q108" s="106">
        <f t="shared" si="97"/>
        <v>108.80919003227176</v>
      </c>
      <c r="R108" s="106">
        <f t="shared" si="97"/>
        <v>0.38295787049629015</v>
      </c>
      <c r="S108" s="106">
        <f t="shared" si="97"/>
        <v>5.2023821873512759</v>
      </c>
      <c r="T108" s="106">
        <f t="shared" si="97"/>
        <v>1.7086469946167584</v>
      </c>
      <c r="U108" s="106">
        <f t="shared" si="97"/>
        <v>0.44655171043784336</v>
      </c>
      <c r="V108" s="106">
        <f t="shared" si="97"/>
        <v>4.3836368638891943E-3</v>
      </c>
      <c r="W108" s="106">
        <f t="shared" si="97"/>
        <v>3.3205671054232324</v>
      </c>
      <c r="X108" s="106">
        <f t="shared" si="97"/>
        <v>1.5022121567140927</v>
      </c>
      <c r="Y108" s="106">
        <f t="shared" si="97"/>
        <v>0.38913825294462046</v>
      </c>
      <c r="Z108" s="106">
        <f t="shared" si="97"/>
        <v>1.5981103916686988E-3</v>
      </c>
      <c r="AA108" s="106">
        <f t="shared" si="97"/>
        <v>0.42841333418914529</v>
      </c>
      <c r="AB108" s="106">
        <f t="shared" si="97"/>
        <v>-2.7904212304542526E-4</v>
      </c>
      <c r="AC108" s="106">
        <f t="shared" si="97"/>
        <v>2.5455835625866575E-7</v>
      </c>
      <c r="AD108" s="106">
        <f t="shared" si="97"/>
        <v>1.4319152820057602E-2</v>
      </c>
      <c r="AE108" s="106">
        <f t="shared" si="97"/>
        <v>1.0668294997202918E-2</v>
      </c>
      <c r="AF108" s="106">
        <f t="shared" si="97"/>
        <v>1.4628195124795382E-2</v>
      </c>
      <c r="AG108" s="106">
        <f t="shared" si="97"/>
        <v>4.2021016363475393E-4</v>
      </c>
      <c r="AH108" s="106">
        <f t="shared" si="97"/>
        <v>3.1621120577653261E-2</v>
      </c>
      <c r="AI108" s="210">
        <f t="shared" si="97"/>
        <v>4.8818471870058493E-2</v>
      </c>
    </row>
    <row r="109" spans="3:35" x14ac:dyDescent="0.25">
      <c r="C109" s="135" t="s">
        <v>533</v>
      </c>
      <c r="D109" s="136" t="str">
        <f t="shared" si="95"/>
        <v>3_Hub_90%IP</v>
      </c>
      <c r="E109" s="136">
        <f>1</f>
        <v>1</v>
      </c>
      <c r="F109" s="136" t="s">
        <v>357</v>
      </c>
      <c r="G109" s="136"/>
      <c r="H109" s="106">
        <f t="shared" si="98"/>
        <v>5.3867725357422103</v>
      </c>
      <c r="I109" s="106">
        <f t="shared" si="97"/>
        <v>2.9247899241662991</v>
      </c>
      <c r="J109" s="106">
        <f t="shared" si="97"/>
        <v>69.425834901747749</v>
      </c>
      <c r="K109" s="106">
        <f t="shared" si="97"/>
        <v>0.19422586492953572</v>
      </c>
      <c r="L109" s="106">
        <f t="shared" si="97"/>
        <v>27.822141650983237</v>
      </c>
      <c r="M109" s="106">
        <f t="shared" si="97"/>
        <v>8.0879325265646122E-3</v>
      </c>
      <c r="N109" s="106">
        <f t="shared" si="97"/>
        <v>2.2654934852174686</v>
      </c>
      <c r="O109" s="106">
        <f t="shared" si="97"/>
        <v>10.026775101215776</v>
      </c>
      <c r="P109" s="106">
        <f t="shared" si="97"/>
        <v>4.0013553847314611</v>
      </c>
      <c r="Q109" s="106">
        <f t="shared" si="97"/>
        <v>116.66870424551807</v>
      </c>
      <c r="R109" s="106">
        <f t="shared" si="97"/>
        <v>0.4176585485692712</v>
      </c>
      <c r="S109" s="106">
        <f t="shared" si="97"/>
        <v>5.3244774939215667</v>
      </c>
      <c r="T109" s="106">
        <f t="shared" si="97"/>
        <v>1.7644198095965258</v>
      </c>
      <c r="U109" s="106">
        <f t="shared" si="97"/>
        <v>0.4104837442253817</v>
      </c>
      <c r="V109" s="106">
        <f t="shared" si="97"/>
        <v>2.9919691798189897E-3</v>
      </c>
      <c r="W109" s="106">
        <f t="shared" si="97"/>
        <v>2.5680700238388576</v>
      </c>
      <c r="X109" s="106">
        <f t="shared" si="97"/>
        <v>1.7557938104211646</v>
      </c>
      <c r="Y109" s="106">
        <f t="shared" si="97"/>
        <v>0.36061911825790205</v>
      </c>
      <c r="Z109" s="106">
        <f t="shared" si="97"/>
        <v>1.4656553067225646E-3</v>
      </c>
      <c r="AA109" s="106">
        <f t="shared" si="97"/>
        <v>0.43450497465836802</v>
      </c>
      <c r="AB109" s="106">
        <f t="shared" si="97"/>
        <v>-2.7689182570111211E-4</v>
      </c>
      <c r="AC109" s="106">
        <f t="shared" si="97"/>
        <v>2.7613539749979191E-7</v>
      </c>
      <c r="AD109" s="106">
        <f t="shared" si="97"/>
        <v>8.4739622402958265E-3</v>
      </c>
      <c r="AE109" s="106">
        <f t="shared" si="97"/>
        <v>1.2928533175503245E-2</v>
      </c>
      <c r="AF109" s="106">
        <f t="shared" si="97"/>
        <v>1.8447929084132338E-2</v>
      </c>
      <c r="AG109" s="106">
        <f t="shared" si="97"/>
        <v>3.8130521881155809E-4</v>
      </c>
      <c r="AH109" s="106">
        <f t="shared" si="97"/>
        <v>3.4404069307339427E-2</v>
      </c>
      <c r="AI109" s="210">
        <f t="shared" si="97"/>
        <v>6.436232612179503E-2</v>
      </c>
    </row>
    <row r="110" spans="3:35" x14ac:dyDescent="0.25">
      <c r="C110" s="135" t="s">
        <v>533</v>
      </c>
      <c r="D110" s="136" t="str">
        <f t="shared" si="95"/>
        <v>4_Hub_10%IP</v>
      </c>
      <c r="E110" s="136">
        <f>1</f>
        <v>1</v>
      </c>
      <c r="F110" s="136" t="s">
        <v>357</v>
      </c>
      <c r="G110" s="136"/>
      <c r="H110" s="106">
        <f t="shared" si="98"/>
        <v>5.8246856403153888</v>
      </c>
      <c r="I110" s="106">
        <f t="shared" si="97"/>
        <v>2.3561950382186794</v>
      </c>
      <c r="J110" s="106">
        <f t="shared" si="97"/>
        <v>69.615082452509043</v>
      </c>
      <c r="K110" s="106">
        <f t="shared" si="97"/>
        <v>0.26914222531566617</v>
      </c>
      <c r="L110" s="106">
        <f t="shared" si="97"/>
        <v>33.815380681273162</v>
      </c>
      <c r="M110" s="106">
        <f t="shared" si="97"/>
        <v>1.3803007173996322E-3</v>
      </c>
      <c r="N110" s="106">
        <f t="shared" si="97"/>
        <v>0.98928533672954544</v>
      </c>
      <c r="O110" s="106">
        <f t="shared" si="97"/>
        <v>7.8981009814579091</v>
      </c>
      <c r="P110" s="106">
        <f t="shared" si="97"/>
        <v>3.4459675835770964</v>
      </c>
      <c r="Q110" s="106">
        <f t="shared" si="97"/>
        <v>118.39053459979847</v>
      </c>
      <c r="R110" s="106">
        <f t="shared" si="97"/>
        <v>0.45540442698830946</v>
      </c>
      <c r="S110" s="106">
        <f t="shared" si="97"/>
        <v>5.7643506845816264</v>
      </c>
      <c r="T110" s="106">
        <f t="shared" si="97"/>
        <v>1.7661145395610387</v>
      </c>
      <c r="U110" s="106">
        <f t="shared" si="97"/>
        <v>0.44914447137975233</v>
      </c>
      <c r="V110" s="106">
        <f t="shared" si="97"/>
        <v>5.0678846036347602E-3</v>
      </c>
      <c r="W110" s="106">
        <f t="shared" si="97"/>
        <v>3.7530806426398664</v>
      </c>
      <c r="X110" s="106">
        <f t="shared" si="97"/>
        <v>2.3370715770272792</v>
      </c>
      <c r="Y110" s="106">
        <f t="shared" si="97"/>
        <v>0.39121054558672441</v>
      </c>
      <c r="Z110" s="106">
        <f t="shared" si="97"/>
        <v>1.7485209161757554E-3</v>
      </c>
      <c r="AA110" s="106">
        <f t="shared" si="97"/>
        <v>0.42224239552405657</v>
      </c>
      <c r="AB110" s="106">
        <f t="shared" si="97"/>
        <v>-7.528319622602008E-4</v>
      </c>
      <c r="AC110" s="106">
        <f t="shared" si="97"/>
        <v>2.4197222200659013E-7</v>
      </c>
      <c r="AD110" s="106">
        <f t="shared" si="97"/>
        <v>1.5541385885727734E-2</v>
      </c>
      <c r="AE110" s="106">
        <f t="shared" si="97"/>
        <v>1.090039353374592E-2</v>
      </c>
      <c r="AF110" s="106">
        <f t="shared" si="97"/>
        <v>1.7529324812624487E-2</v>
      </c>
      <c r="AG110" s="106">
        <f t="shared" si="97"/>
        <v>3.8900313067921334E-4</v>
      </c>
      <c r="AH110" s="106">
        <f t="shared" si="97"/>
        <v>2.8692707463271561E-2</v>
      </c>
      <c r="AI110" s="210">
        <f t="shared" si="97"/>
        <v>6.4282934599017391E-2</v>
      </c>
    </row>
    <row r="111" spans="3:35" x14ac:dyDescent="0.25">
      <c r="C111" s="135" t="s">
        <v>533</v>
      </c>
      <c r="D111" s="136" t="str">
        <f t="shared" si="95"/>
        <v>4_Hub_30%IP</v>
      </c>
      <c r="E111" s="136">
        <f>1</f>
        <v>1</v>
      </c>
      <c r="F111" s="136" t="s">
        <v>357</v>
      </c>
      <c r="G111" s="136"/>
      <c r="H111" s="106">
        <f t="shared" si="98"/>
        <v>5.6418876846853392</v>
      </c>
      <c r="I111" s="106">
        <f t="shared" si="97"/>
        <v>2.4591537396964629</v>
      </c>
      <c r="J111" s="106">
        <f t="shared" si="97"/>
        <v>68.238186280992608</v>
      </c>
      <c r="K111" s="106">
        <f t="shared" si="97"/>
        <v>0.28947020536491597</v>
      </c>
      <c r="L111" s="106">
        <f t="shared" si="97"/>
        <v>33.932108696870365</v>
      </c>
      <c r="M111" s="106">
        <f t="shared" si="97"/>
        <v>1.5088055344291296E-3</v>
      </c>
      <c r="N111" s="106">
        <f t="shared" si="97"/>
        <v>1.066855584983446</v>
      </c>
      <c r="O111" s="106">
        <f t="shared" si="97"/>
        <v>8.5430705222365475</v>
      </c>
      <c r="P111" s="106">
        <f t="shared" si="97"/>
        <v>3.2529017009488124</v>
      </c>
      <c r="Q111" s="106">
        <f t="shared" si="97"/>
        <v>117.78325553662756</v>
      </c>
      <c r="R111" s="106">
        <f t="shared" si="97"/>
        <v>0.48078770650819708</v>
      </c>
      <c r="S111" s="106">
        <f t="shared" si="97"/>
        <v>5.5825771765479812</v>
      </c>
      <c r="T111" s="106">
        <f t="shared" si="97"/>
        <v>1.7379818182552154</v>
      </c>
      <c r="U111" s="106">
        <f t="shared" si="97"/>
        <v>0.4433682512528857</v>
      </c>
      <c r="V111" s="106">
        <f t="shared" si="97"/>
        <v>4.7978565567904415E-3</v>
      </c>
      <c r="W111" s="106">
        <f t="shared" si="97"/>
        <v>3.5829885137970923</v>
      </c>
      <c r="X111" s="106">
        <f t="shared" si="97"/>
        <v>2.3614998926153392</v>
      </c>
      <c r="Y111" s="106">
        <f t="shared" si="97"/>
        <v>0.38595315153913634</v>
      </c>
      <c r="Z111" s="106">
        <f t="shared" si="97"/>
        <v>1.6866042575482034E-3</v>
      </c>
      <c r="AA111" s="106">
        <f t="shared" si="97"/>
        <v>0.42182918954387733</v>
      </c>
      <c r="AB111" s="106">
        <f t="shared" si="97"/>
        <v>-8.0490449748482206E-4</v>
      </c>
      <c r="AC111" s="106">
        <f t="shared" si="97"/>
        <v>2.4573708522393475E-7</v>
      </c>
      <c r="AD111" s="106">
        <f t="shared" si="97"/>
        <v>1.4234448885873953E-2</v>
      </c>
      <c r="AE111" s="106">
        <f t="shared" si="97"/>
        <v>1.0645228117208505E-2</v>
      </c>
      <c r="AF111" s="106">
        <f t="shared" si="97"/>
        <v>1.6775949383529404E-2</v>
      </c>
      <c r="AG111" s="106">
        <f t="shared" si="97"/>
        <v>3.885757743026321E-4</v>
      </c>
      <c r="AH111" s="106">
        <f t="shared" si="97"/>
        <v>2.8338458168198525E-2</v>
      </c>
      <c r="AI111" s="210">
        <f t="shared" si="97"/>
        <v>6.7966603635665687E-2</v>
      </c>
    </row>
    <row r="112" spans="3:35" x14ac:dyDescent="0.25">
      <c r="C112" s="135" t="s">
        <v>533</v>
      </c>
      <c r="D112" s="136" t="str">
        <f t="shared" si="95"/>
        <v>4_Hub_50%IP</v>
      </c>
      <c r="E112" s="136">
        <f>1</f>
        <v>1</v>
      </c>
      <c r="F112" s="136" t="s">
        <v>357</v>
      </c>
      <c r="G112" s="136"/>
      <c r="H112" s="106">
        <f t="shared" si="98"/>
        <v>5.7927317967921086</v>
      </c>
      <c r="I112" s="106">
        <f t="shared" ref="I112:AI121" si="99">SUM(I$39,I57)</f>
        <v>2.5243694233272493</v>
      </c>
      <c r="J112" s="106">
        <f t="shared" si="99"/>
        <v>70.486413175996063</v>
      </c>
      <c r="K112" s="106">
        <f t="shared" si="99"/>
        <v>0.37336461960504896</v>
      </c>
      <c r="L112" s="106">
        <f t="shared" si="99"/>
        <v>26.179408248783098</v>
      </c>
      <c r="M112" s="106">
        <f t="shared" si="99"/>
        <v>1.9584806481673473E-3</v>
      </c>
      <c r="N112" s="106">
        <f t="shared" si="99"/>
        <v>1.3153794868909501</v>
      </c>
      <c r="O112" s="106">
        <f t="shared" si="99"/>
        <v>10.024453281725579</v>
      </c>
      <c r="P112" s="106">
        <f t="shared" si="99"/>
        <v>3.8506083454117195</v>
      </c>
      <c r="Q112" s="106">
        <f t="shared" si="99"/>
        <v>114.75595506238788</v>
      </c>
      <c r="R112" s="106">
        <f t="shared" si="99"/>
        <v>0.52690957538944982</v>
      </c>
      <c r="S112" s="106">
        <f t="shared" si="99"/>
        <v>5.7354522122695357</v>
      </c>
      <c r="T112" s="106">
        <f t="shared" si="99"/>
        <v>1.7870186849803538</v>
      </c>
      <c r="U112" s="106">
        <f t="shared" si="99"/>
        <v>0.44890445893246089</v>
      </c>
      <c r="V112" s="106">
        <f t="shared" si="99"/>
        <v>5.5402871409840323E-3</v>
      </c>
      <c r="W112" s="106">
        <f t="shared" si="99"/>
        <v>4.0164667559051992</v>
      </c>
      <c r="X112" s="106">
        <f t="shared" si="99"/>
        <v>1.8090455196488189</v>
      </c>
      <c r="Y112" s="106">
        <f t="shared" si="99"/>
        <v>0.39264261410130941</v>
      </c>
      <c r="Z112" s="106">
        <f t="shared" si="99"/>
        <v>1.8408803900144747E-3</v>
      </c>
      <c r="AA112" s="106">
        <f t="shared" si="99"/>
        <v>0.4198015152789219</v>
      </c>
      <c r="AB112" s="106">
        <f t="shared" si="99"/>
        <v>-1.0008969216972988E-3</v>
      </c>
      <c r="AC112" s="106">
        <f t="shared" si="99"/>
        <v>2.445005069595963E-7</v>
      </c>
      <c r="AD112" s="106">
        <f t="shared" si="99"/>
        <v>1.6081781412140478E-2</v>
      </c>
      <c r="AE112" s="106">
        <f t="shared" si="99"/>
        <v>1.1070476282199135E-2</v>
      </c>
      <c r="AF112" s="106">
        <f t="shared" si="99"/>
        <v>1.7297538399623402E-2</v>
      </c>
      <c r="AG112" s="106">
        <f t="shared" si="99"/>
        <v>3.8071337070578451E-4</v>
      </c>
      <c r="AH112" s="106">
        <f t="shared" si="99"/>
        <v>2.9008975500763669E-2</v>
      </c>
      <c r="AI112" s="210">
        <f t="shared" si="99"/>
        <v>6.9670713376477678E-2</v>
      </c>
    </row>
    <row r="113" spans="3:35" x14ac:dyDescent="0.25">
      <c r="C113" s="135" t="s">
        <v>533</v>
      </c>
      <c r="D113" s="136" t="str">
        <f t="shared" si="95"/>
        <v>4_Hub_70%IP</v>
      </c>
      <c r="E113" s="136">
        <f>1</f>
        <v>1</v>
      </c>
      <c r="F113" s="136" t="s">
        <v>357</v>
      </c>
      <c r="G113" s="136"/>
      <c r="H113" s="106">
        <f t="shared" si="98"/>
        <v>5.7499463001895519</v>
      </c>
      <c r="I113" s="106">
        <f t="shared" si="99"/>
        <v>2.8770283906281109</v>
      </c>
      <c r="J113" s="106">
        <f t="shared" si="99"/>
        <v>72.212409314585571</v>
      </c>
      <c r="K113" s="106">
        <f t="shared" si="99"/>
        <v>0.57931127398026339</v>
      </c>
      <c r="L113" s="106">
        <f t="shared" si="99"/>
        <v>25.870651080095978</v>
      </c>
      <c r="M113" s="106">
        <f t="shared" si="99"/>
        <v>3.0075735342387127E-3</v>
      </c>
      <c r="N113" s="106">
        <f t="shared" si="99"/>
        <v>1.9456930745433243</v>
      </c>
      <c r="O113" s="106">
        <f t="shared" si="99"/>
        <v>8.1667478083476439</v>
      </c>
      <c r="P113" s="106">
        <f t="shared" si="99"/>
        <v>3.7688430155249328</v>
      </c>
      <c r="Q113" s="106">
        <f t="shared" si="99"/>
        <v>115.42369153124004</v>
      </c>
      <c r="R113" s="106">
        <f t="shared" si="99"/>
        <v>0.42970615542072826</v>
      </c>
      <c r="S113" s="106">
        <f t="shared" si="99"/>
        <v>5.6889553102729682</v>
      </c>
      <c r="T113" s="106">
        <f t="shared" si="99"/>
        <v>1.8426949257535354</v>
      </c>
      <c r="U113" s="106">
        <f t="shared" si="99"/>
        <v>0.4528976983607762</v>
      </c>
      <c r="V113" s="106">
        <f t="shared" si="99"/>
        <v>4.8145103583208731E-3</v>
      </c>
      <c r="W113" s="106">
        <f t="shared" si="99"/>
        <v>3.6015300680189783</v>
      </c>
      <c r="X113" s="106">
        <f t="shared" si="99"/>
        <v>1.7257218200898037</v>
      </c>
      <c r="Y113" s="106">
        <f t="shared" si="99"/>
        <v>0.39497905224023266</v>
      </c>
      <c r="Z113" s="106">
        <f t="shared" si="99"/>
        <v>1.7169732870444816E-3</v>
      </c>
      <c r="AA113" s="106">
        <f t="shared" si="99"/>
        <v>0.42848696607123649</v>
      </c>
      <c r="AB113" s="106">
        <f t="shared" si="99"/>
        <v>-2.9717584560584002E-4</v>
      </c>
      <c r="AC113" s="106">
        <f t="shared" si="99"/>
        <v>2.6662820429767347E-7</v>
      </c>
      <c r="AD113" s="106">
        <f t="shared" si="99"/>
        <v>1.4970325893145928E-2</v>
      </c>
      <c r="AE113" s="106">
        <f t="shared" si="99"/>
        <v>1.1313800215892438E-2</v>
      </c>
      <c r="AF113" s="106">
        <f t="shared" si="99"/>
        <v>1.6604997939208124E-2</v>
      </c>
      <c r="AG113" s="106">
        <f t="shared" si="99"/>
        <v>4.1855283031957648E-4</v>
      </c>
      <c r="AH113" s="106">
        <f t="shared" si="99"/>
        <v>3.1510058681677409E-2</v>
      </c>
      <c r="AI113" s="210">
        <f t="shared" si="99"/>
        <v>4.8071871119665363E-2</v>
      </c>
    </row>
    <row r="114" spans="3:35" x14ac:dyDescent="0.25">
      <c r="C114" s="135" t="s">
        <v>533</v>
      </c>
      <c r="D114" s="136" t="str">
        <f t="shared" si="95"/>
        <v>4_Hub_90%IP</v>
      </c>
      <c r="E114" s="136">
        <f>1</f>
        <v>1</v>
      </c>
      <c r="F114" s="136" t="s">
        <v>357</v>
      </c>
      <c r="G114" s="136"/>
      <c r="H114" s="106">
        <f t="shared" si="98"/>
        <v>6.0872675981123976</v>
      </c>
      <c r="I114" s="106">
        <f t="shared" si="99"/>
        <v>2.2405837977260803</v>
      </c>
      <c r="J114" s="106">
        <f t="shared" si="99"/>
        <v>77.72162917761311</v>
      </c>
      <c r="K114" s="106">
        <f t="shared" si="99"/>
        <v>1.040945523877276</v>
      </c>
      <c r="L114" s="106">
        <f t="shared" si="99"/>
        <v>13.76139781642993</v>
      </c>
      <c r="M114" s="106">
        <f t="shared" si="99"/>
        <v>7.9358651775986652E-3</v>
      </c>
      <c r="N114" s="106">
        <f t="shared" si="99"/>
        <v>2.0399145669499097</v>
      </c>
      <c r="O114" s="106">
        <f t="shared" si="99"/>
        <v>11.59165188503334</v>
      </c>
      <c r="P114" s="106">
        <f t="shared" si="99"/>
        <v>2.4723366451891544</v>
      </c>
      <c r="Q114" s="106">
        <f t="shared" si="99"/>
        <v>110.87639527799639</v>
      </c>
      <c r="R114" s="106">
        <f t="shared" si="99"/>
        <v>0.35400529325423452</v>
      </c>
      <c r="S114" s="106">
        <f t="shared" si="99"/>
        <v>6.0202567043221427</v>
      </c>
      <c r="T114" s="106">
        <f t="shared" si="99"/>
        <v>1.9768486991671566</v>
      </c>
      <c r="U114" s="106">
        <f t="shared" si="99"/>
        <v>0.45268078281623725</v>
      </c>
      <c r="V114" s="106">
        <f t="shared" si="99"/>
        <v>4.3187517291815485E-3</v>
      </c>
      <c r="W114" s="106">
        <f t="shared" si="99"/>
        <v>3.3236113146642845</v>
      </c>
      <c r="X114" s="106">
        <f t="shared" si="99"/>
        <v>0.91622040423749562</v>
      </c>
      <c r="Y114" s="106">
        <f t="shared" si="99"/>
        <v>0.39278743764934076</v>
      </c>
      <c r="Z114" s="106">
        <f t="shared" si="99"/>
        <v>1.6849328994945135E-3</v>
      </c>
      <c r="AA114" s="106">
        <f t="shared" si="99"/>
        <v>0.42410519626008869</v>
      </c>
      <c r="AB114" s="106">
        <f t="shared" si="99"/>
        <v>-2.7873384521321043E-4</v>
      </c>
      <c r="AC114" s="106">
        <f t="shared" si="99"/>
        <v>2.8009448998315161E-7</v>
      </c>
      <c r="AD114" s="106">
        <f t="shared" si="99"/>
        <v>1.695308682509113E-2</v>
      </c>
      <c r="AE114" s="106">
        <f t="shared" si="99"/>
        <v>1.2749351838338701E-2</v>
      </c>
      <c r="AF114" s="106">
        <f t="shared" si="99"/>
        <v>1.7688411955966966E-2</v>
      </c>
      <c r="AG114" s="106">
        <f t="shared" si="99"/>
        <v>4.7737239422436018E-4</v>
      </c>
      <c r="AH114" s="106">
        <f t="shared" si="99"/>
        <v>3.0596812019297374E-2</v>
      </c>
      <c r="AI114" s="210">
        <f t="shared" si="99"/>
        <v>5.2838700611349078E-2</v>
      </c>
    </row>
    <row r="115" spans="3:35" x14ac:dyDescent="0.25">
      <c r="C115" s="135" t="s">
        <v>533</v>
      </c>
      <c r="D115" s="136" t="str">
        <f t="shared" si="95"/>
        <v>5_Hub_10%IP</v>
      </c>
      <c r="E115" s="136">
        <f>1</f>
        <v>1</v>
      </c>
      <c r="F115" s="136" t="s">
        <v>357</v>
      </c>
      <c r="G115" s="136"/>
      <c r="H115" s="106">
        <f t="shared" si="98"/>
        <v>5.7284630037854098</v>
      </c>
      <c r="I115" s="106">
        <f t="shared" si="99"/>
        <v>2.2000715175547083</v>
      </c>
      <c r="J115" s="106">
        <f t="shared" si="99"/>
        <v>68.299294329166173</v>
      </c>
      <c r="K115" s="106">
        <f t="shared" si="99"/>
        <v>0.28701936297704272</v>
      </c>
      <c r="L115" s="106">
        <f t="shared" si="99"/>
        <v>33.322062912629768</v>
      </c>
      <c r="M115" s="106">
        <f t="shared" si="99"/>
        <v>1.4409701403432179E-3</v>
      </c>
      <c r="N115" s="106">
        <f t="shared" si="99"/>
        <v>1.0142081938022143</v>
      </c>
      <c r="O115" s="106">
        <f t="shared" si="99"/>
        <v>8.2942054874982905</v>
      </c>
      <c r="P115" s="106">
        <f t="shared" si="99"/>
        <v>3.6671057127785494</v>
      </c>
      <c r="Q115" s="106">
        <f t="shared" si="99"/>
        <v>117.08540848654704</v>
      </c>
      <c r="R115" s="106">
        <f t="shared" si="99"/>
        <v>0.44089877348829865</v>
      </c>
      <c r="S115" s="106">
        <f t="shared" si="99"/>
        <v>5.6694594151657558</v>
      </c>
      <c r="T115" s="106">
        <f t="shared" si="99"/>
        <v>1.7319490270048239</v>
      </c>
      <c r="U115" s="106">
        <f t="shared" si="99"/>
        <v>0.44781813977628504</v>
      </c>
      <c r="V115" s="106">
        <f t="shared" si="99"/>
        <v>5.0501857764984719E-3</v>
      </c>
      <c r="W115" s="106">
        <f t="shared" si="99"/>
        <v>3.7393569768867216</v>
      </c>
      <c r="X115" s="106">
        <f t="shared" si="99"/>
        <v>2.3148199432466332</v>
      </c>
      <c r="Y115" s="106">
        <f t="shared" si="99"/>
        <v>0.39036836098769401</v>
      </c>
      <c r="Z115" s="106">
        <f t="shared" si="99"/>
        <v>1.7422337261336982E-3</v>
      </c>
      <c r="AA115" s="106">
        <f t="shared" si="99"/>
        <v>0.42204095540436798</v>
      </c>
      <c r="AB115" s="106">
        <f t="shared" si="99"/>
        <v>-7.8426703061208693E-4</v>
      </c>
      <c r="AC115" s="106">
        <f t="shared" si="99"/>
        <v>2.3743478141427059E-7</v>
      </c>
      <c r="AD115" s="106">
        <f t="shared" si="99"/>
        <v>1.545914391908404E-2</v>
      </c>
      <c r="AE115" s="106">
        <f t="shared" si="99"/>
        <v>1.0858962157654519E-2</v>
      </c>
      <c r="AF115" s="106">
        <f t="shared" si="99"/>
        <v>1.7463857288250607E-2</v>
      </c>
      <c r="AG115" s="106">
        <f t="shared" si="99"/>
        <v>3.8130969226910378E-4</v>
      </c>
      <c r="AH115" s="106">
        <f t="shared" si="99"/>
        <v>2.8355997606829452E-2</v>
      </c>
      <c r="AI115" s="210">
        <f t="shared" si="99"/>
        <v>6.6731921543880371E-2</v>
      </c>
    </row>
    <row r="116" spans="3:35" x14ac:dyDescent="0.25">
      <c r="C116" s="135" t="s">
        <v>533</v>
      </c>
      <c r="D116" s="136" t="str">
        <f t="shared" si="95"/>
        <v>5_Hub_30%IP</v>
      </c>
      <c r="E116" s="136">
        <f>1</f>
        <v>1</v>
      </c>
      <c r="F116" s="136" t="s">
        <v>357</v>
      </c>
      <c r="G116" s="136"/>
      <c r="H116" s="106">
        <f t="shared" si="98"/>
        <v>5.6245688108706799</v>
      </c>
      <c r="I116" s="106">
        <f t="shared" si="99"/>
        <v>2.2089967482614603</v>
      </c>
      <c r="J116" s="106">
        <f t="shared" si="99"/>
        <v>67.406095095216273</v>
      </c>
      <c r="K116" s="106">
        <f t="shared" si="99"/>
        <v>0.2894273435305264</v>
      </c>
      <c r="L116" s="106">
        <f t="shared" si="99"/>
        <v>34.479650189280925</v>
      </c>
      <c r="M116" s="106">
        <f t="shared" si="99"/>
        <v>1.4971452047717485E-3</v>
      </c>
      <c r="N116" s="106">
        <f t="shared" si="99"/>
        <v>1.0324519186785905</v>
      </c>
      <c r="O116" s="106">
        <f t="shared" si="99"/>
        <v>8.4841141557006488</v>
      </c>
      <c r="P116" s="106">
        <f t="shared" si="99"/>
        <v>3.3400309863602504</v>
      </c>
      <c r="Q116" s="106">
        <f t="shared" si="99"/>
        <v>117.24226358223341</v>
      </c>
      <c r="R116" s="106">
        <f t="shared" si="99"/>
        <v>0.446944029485143</v>
      </c>
      <c r="S116" s="106">
        <f t="shared" si="99"/>
        <v>5.5656420558259478</v>
      </c>
      <c r="T116" s="106">
        <f t="shared" si="99"/>
        <v>1.714186304798528</v>
      </c>
      <c r="U116" s="106">
        <f t="shared" si="99"/>
        <v>0.44179909614399626</v>
      </c>
      <c r="V116" s="106">
        <f t="shared" si="99"/>
        <v>4.7123107366084686E-3</v>
      </c>
      <c r="W116" s="106">
        <f t="shared" si="99"/>
        <v>3.5331693003345617</v>
      </c>
      <c r="X116" s="106">
        <f t="shared" si="99"/>
        <v>2.398112436884122</v>
      </c>
      <c r="Y116" s="106">
        <f t="shared" si="99"/>
        <v>0.38470551057591718</v>
      </c>
      <c r="Z116" s="106">
        <f t="shared" si="99"/>
        <v>1.6708538535690543E-3</v>
      </c>
      <c r="AA116" s="106">
        <f t="shared" si="99"/>
        <v>0.4219017075915279</v>
      </c>
      <c r="AB116" s="106">
        <f t="shared" si="99"/>
        <v>-8.0632865680860916E-4</v>
      </c>
      <c r="AC116" s="106">
        <f t="shared" si="99"/>
        <v>2.4037034659580802E-7</v>
      </c>
      <c r="AD116" s="106">
        <f t="shared" si="99"/>
        <v>1.3970314695795041E-2</v>
      </c>
      <c r="AE116" s="106">
        <f t="shared" si="99"/>
        <v>1.0704614311394264E-2</v>
      </c>
      <c r="AF116" s="106">
        <f t="shared" si="99"/>
        <v>1.7032366992251038E-2</v>
      </c>
      <c r="AG116" s="106">
        <f t="shared" si="99"/>
        <v>3.8161408203838071E-4</v>
      </c>
      <c r="AH116" s="106">
        <f t="shared" si="99"/>
        <v>2.8267029705221706E-2</v>
      </c>
      <c r="AI116" s="210">
        <f t="shared" si="99"/>
        <v>6.8059571047170073E-2</v>
      </c>
    </row>
    <row r="117" spans="3:35" x14ac:dyDescent="0.25">
      <c r="C117" s="135" t="s">
        <v>533</v>
      </c>
      <c r="D117" s="136" t="str">
        <f t="shared" si="95"/>
        <v>5_Hub_50%IP</v>
      </c>
      <c r="E117" s="136">
        <f>1</f>
        <v>1</v>
      </c>
      <c r="F117" s="136" t="s">
        <v>357</v>
      </c>
      <c r="G117" s="136"/>
      <c r="H117" s="106">
        <f t="shared" si="98"/>
        <v>5.6398680264921666</v>
      </c>
      <c r="I117" s="106">
        <f t="shared" si="99"/>
        <v>2.0948499662533187</v>
      </c>
      <c r="J117" s="106">
        <f t="shared" si="99"/>
        <v>67.738356249790982</v>
      </c>
      <c r="K117" s="106">
        <f t="shared" si="99"/>
        <v>0.37327210236349351</v>
      </c>
      <c r="L117" s="106">
        <f t="shared" si="99"/>
        <v>28.654281649186853</v>
      </c>
      <c r="M117" s="106">
        <f t="shared" si="99"/>
        <v>1.9376681290992983E-3</v>
      </c>
      <c r="N117" s="106">
        <f t="shared" si="99"/>
        <v>1.2841320177686866</v>
      </c>
      <c r="O117" s="106">
        <f t="shared" si="99"/>
        <v>10.222610234677818</v>
      </c>
      <c r="P117" s="106">
        <f t="shared" si="99"/>
        <v>4.0494921060217877</v>
      </c>
      <c r="Q117" s="106">
        <f t="shared" si="99"/>
        <v>114.41893199419206</v>
      </c>
      <c r="R117" s="106">
        <f t="shared" si="99"/>
        <v>0.47282671463272313</v>
      </c>
      <c r="S117" s="106">
        <f t="shared" si="99"/>
        <v>5.5844741826164439</v>
      </c>
      <c r="T117" s="106">
        <f t="shared" si="99"/>
        <v>1.7135655800093368</v>
      </c>
      <c r="U117" s="106">
        <f t="shared" si="99"/>
        <v>0.44545169835097032</v>
      </c>
      <c r="V117" s="106">
        <f t="shared" si="99"/>
        <v>5.3296970259667136E-3</v>
      </c>
      <c r="W117" s="106">
        <f t="shared" si="99"/>
        <v>3.8923670349740362</v>
      </c>
      <c r="X117" s="106">
        <f t="shared" si="99"/>
        <v>2.040694674448321</v>
      </c>
      <c r="Y117" s="106">
        <f t="shared" si="99"/>
        <v>0.38994075612412493</v>
      </c>
      <c r="Z117" s="106">
        <f t="shared" si="99"/>
        <v>1.7993364036584278E-3</v>
      </c>
      <c r="AA117" s="106">
        <f t="shared" si="99"/>
        <v>0.42077345790865955</v>
      </c>
      <c r="AB117" s="106">
        <f t="shared" si="99"/>
        <v>-1.0175343691181532E-3</v>
      </c>
      <c r="AC117" s="106">
        <f t="shared" si="99"/>
        <v>2.3248298272125392E-7</v>
      </c>
      <c r="AD117" s="106">
        <f t="shared" si="99"/>
        <v>1.5432583803159197E-2</v>
      </c>
      <c r="AE117" s="106">
        <f t="shared" si="99"/>
        <v>1.0983343073402379E-2</v>
      </c>
      <c r="AF117" s="106">
        <f t="shared" si="99"/>
        <v>1.7341890635023116E-2</v>
      </c>
      <c r="AG117" s="106">
        <f t="shared" si="99"/>
        <v>3.6454786749480738E-4</v>
      </c>
      <c r="AH117" s="106">
        <f t="shared" si="99"/>
        <v>2.8736216181766531E-2</v>
      </c>
      <c r="AI117" s="210">
        <f t="shared" si="99"/>
        <v>7.8067677789867868E-2</v>
      </c>
    </row>
    <row r="118" spans="3:35" x14ac:dyDescent="0.25">
      <c r="C118" s="135" t="s">
        <v>533</v>
      </c>
      <c r="D118" s="136" t="str">
        <f t="shared" si="95"/>
        <v>5_Hub_70%IP</v>
      </c>
      <c r="E118" s="136">
        <f>1</f>
        <v>1</v>
      </c>
      <c r="F118" s="136" t="s">
        <v>357</v>
      </c>
      <c r="G118" s="136"/>
      <c r="H118" s="106">
        <f t="shared" si="98"/>
        <v>5.9878742298841443</v>
      </c>
      <c r="I118" s="106">
        <f t="shared" si="99"/>
        <v>2.473730207563015</v>
      </c>
      <c r="J118" s="106">
        <f t="shared" si="99"/>
        <v>74.064139033503778</v>
      </c>
      <c r="K118" s="106">
        <f t="shared" si="99"/>
        <v>0.58306566480795252</v>
      </c>
      <c r="L118" s="106">
        <f t="shared" si="99"/>
        <v>21.16883121501629</v>
      </c>
      <c r="M118" s="106">
        <f t="shared" si="99"/>
        <v>2.9964273273715863E-3</v>
      </c>
      <c r="N118" s="106">
        <f t="shared" si="99"/>
        <v>1.8779072856621077</v>
      </c>
      <c r="O118" s="106">
        <f t="shared" si="99"/>
        <v>8.4079028922804646</v>
      </c>
      <c r="P118" s="106">
        <f t="shared" si="99"/>
        <v>4.8894716045882385</v>
      </c>
      <c r="Q118" s="106">
        <f t="shared" si="99"/>
        <v>113.46804433074919</v>
      </c>
      <c r="R118" s="106">
        <f t="shared" si="99"/>
        <v>0.37610497893915201</v>
      </c>
      <c r="S118" s="106">
        <f t="shared" si="99"/>
        <v>5.9301468968559696</v>
      </c>
      <c r="T118" s="106">
        <f t="shared" si="99"/>
        <v>1.8789035013791364</v>
      </c>
      <c r="U118" s="106">
        <f t="shared" si="99"/>
        <v>0.47001362513597356</v>
      </c>
      <c r="V118" s="106">
        <f t="shared" si="99"/>
        <v>5.9805118139584649E-3</v>
      </c>
      <c r="W118" s="106">
        <f t="shared" si="99"/>
        <v>4.2913840422132861</v>
      </c>
      <c r="X118" s="106">
        <f t="shared" si="99"/>
        <v>1.4209387245424328</v>
      </c>
      <c r="Y118" s="106">
        <f t="shared" si="99"/>
        <v>0.41234167131203947</v>
      </c>
      <c r="Z118" s="106">
        <f t="shared" si="99"/>
        <v>1.9654345218646919E-3</v>
      </c>
      <c r="AA118" s="106">
        <f t="shared" si="99"/>
        <v>0.42843038684026313</v>
      </c>
      <c r="AB118" s="106">
        <f t="shared" si="99"/>
        <v>-3.0685144563067003E-4</v>
      </c>
      <c r="AC118" s="106">
        <f t="shared" si="99"/>
        <v>2.5949038300006926E-7</v>
      </c>
      <c r="AD118" s="106">
        <f t="shared" si="99"/>
        <v>1.7371803108250726E-2</v>
      </c>
      <c r="AE118" s="106">
        <f t="shared" si="99"/>
        <v>1.1999708692493739E-2</v>
      </c>
      <c r="AF118" s="106">
        <f t="shared" si="99"/>
        <v>1.8261363189402934E-2</v>
      </c>
      <c r="AG118" s="106">
        <f t="shared" si="99"/>
        <v>3.923924335584162E-4</v>
      </c>
      <c r="AH118" s="106">
        <f t="shared" si="99"/>
        <v>3.0245755591188594E-2</v>
      </c>
      <c r="AI118" s="210">
        <f t="shared" si="99"/>
        <v>5.0114700362958162E-2</v>
      </c>
    </row>
    <row r="119" spans="3:35" x14ac:dyDescent="0.25">
      <c r="C119" s="135" t="s">
        <v>533</v>
      </c>
      <c r="D119" s="136" t="str">
        <f t="shared" si="95"/>
        <v>5_Hub_90%IP</v>
      </c>
      <c r="E119" s="136">
        <f>1</f>
        <v>1</v>
      </c>
      <c r="F119" s="136" t="s">
        <v>357</v>
      </c>
      <c r="G119" s="136"/>
      <c r="H119" s="106">
        <f t="shared" si="98"/>
        <v>6.1641037463929713</v>
      </c>
      <c r="I119" s="106">
        <f t="shared" si="99"/>
        <v>2.3016686933917416</v>
      </c>
      <c r="J119" s="106">
        <f t="shared" si="99"/>
        <v>79.373834795055714</v>
      </c>
      <c r="K119" s="106">
        <f t="shared" si="99"/>
        <v>0.75468511884123135</v>
      </c>
      <c r="L119" s="106">
        <f t="shared" si="99"/>
        <v>16.277968382034047</v>
      </c>
      <c r="M119" s="106">
        <f t="shared" si="99"/>
        <v>7.9661682507414545E-3</v>
      </c>
      <c r="N119" s="106">
        <f t="shared" si="99"/>
        <v>1.7785495709009014</v>
      </c>
      <c r="O119" s="106">
        <f t="shared" si="99"/>
        <v>10.484665620986647</v>
      </c>
      <c r="P119" s="106">
        <f t="shared" si="99"/>
        <v>2.9417441579152248</v>
      </c>
      <c r="Q119" s="106">
        <f t="shared" si="99"/>
        <v>113.92108250737627</v>
      </c>
      <c r="R119" s="106">
        <f t="shared" si="99"/>
        <v>0.3593131000689796</v>
      </c>
      <c r="S119" s="106">
        <f t="shared" si="99"/>
        <v>6.0956659861308422</v>
      </c>
      <c r="T119" s="106">
        <f t="shared" si="99"/>
        <v>2.0302367888104396</v>
      </c>
      <c r="U119" s="106">
        <f t="shared" si="99"/>
        <v>0.44928490315762981</v>
      </c>
      <c r="V119" s="106">
        <f t="shared" si="99"/>
        <v>4.1293506279343273E-3</v>
      </c>
      <c r="W119" s="106">
        <f t="shared" si="99"/>
        <v>3.2204035808758205</v>
      </c>
      <c r="X119" s="106">
        <f t="shared" si="99"/>
        <v>1.1004120924707121</v>
      </c>
      <c r="Y119" s="106">
        <f t="shared" si="99"/>
        <v>0.39071806904029904</v>
      </c>
      <c r="Z119" s="106">
        <f t="shared" si="99"/>
        <v>1.6666039624204463E-3</v>
      </c>
      <c r="AA119" s="106">
        <f t="shared" si="99"/>
        <v>0.42536973143978607</v>
      </c>
      <c r="AB119" s="106">
        <f t="shared" si="99"/>
        <v>-2.8333660543495881E-4</v>
      </c>
      <c r="AC119" s="106">
        <f t="shared" si="99"/>
        <v>3.1444399041307787E-7</v>
      </c>
      <c r="AD119" s="106">
        <f t="shared" si="99"/>
        <v>1.5564496138719124E-2</v>
      </c>
      <c r="AE119" s="106">
        <f t="shared" si="99"/>
        <v>1.3230341447112631E-2</v>
      </c>
      <c r="AF119" s="106">
        <f t="shared" si="99"/>
        <v>1.9384068912632824E-2</v>
      </c>
      <c r="AG119" s="106">
        <f t="shared" si="99"/>
        <v>4.557750828936853E-4</v>
      </c>
      <c r="AH119" s="106">
        <f t="shared" si="99"/>
        <v>3.0890222276246625E-2</v>
      </c>
      <c r="AI119" s="210">
        <f t="shared" si="99"/>
        <v>5.422883643007307E-2</v>
      </c>
    </row>
    <row r="120" spans="3:35" x14ac:dyDescent="0.25">
      <c r="C120" s="135" t="s">
        <v>533</v>
      </c>
      <c r="D120" s="136" t="str">
        <f t="shared" si="95"/>
        <v>6_Hub_10%IP</v>
      </c>
      <c r="E120" s="136">
        <f>1</f>
        <v>1</v>
      </c>
      <c r="F120" s="136" t="s">
        <v>357</v>
      </c>
      <c r="G120" s="136"/>
      <c r="H120" s="106">
        <f t="shared" si="98"/>
        <v>5.7856581368868847</v>
      </c>
      <c r="I120" s="106">
        <f t="shared" si="99"/>
        <v>2.2207633494585646</v>
      </c>
      <c r="J120" s="106">
        <f t="shared" si="99"/>
        <v>68.766808748082525</v>
      </c>
      <c r="K120" s="106">
        <f t="shared" si="99"/>
        <v>0.17814996833379401</v>
      </c>
      <c r="L120" s="106">
        <f t="shared" si="99"/>
        <v>34.868583202151669</v>
      </c>
      <c r="M120" s="106">
        <f t="shared" si="99"/>
        <v>1.5194173470938924E-3</v>
      </c>
      <c r="N120" s="106">
        <f t="shared" si="99"/>
        <v>0.82107289071300471</v>
      </c>
      <c r="O120" s="106">
        <f t="shared" si="99"/>
        <v>8.0605993896134098</v>
      </c>
      <c r="P120" s="106">
        <f t="shared" si="99"/>
        <v>3.6946316713042555</v>
      </c>
      <c r="Q120" s="106">
        <f t="shared" si="99"/>
        <v>118.61212863700429</v>
      </c>
      <c r="R120" s="106">
        <f t="shared" si="99"/>
        <v>0.45135086104503291</v>
      </c>
      <c r="S120" s="106">
        <f t="shared" si="99"/>
        <v>5.7263317445080224</v>
      </c>
      <c r="T120" s="106">
        <f t="shared" si="99"/>
        <v>1.7431442594619764</v>
      </c>
      <c r="U120" s="106">
        <f t="shared" si="99"/>
        <v>0.44638702539867925</v>
      </c>
      <c r="V120" s="106">
        <f t="shared" si="99"/>
        <v>5.0361455475355791E-3</v>
      </c>
      <c r="W120" s="106">
        <f t="shared" si="99"/>
        <v>3.7378735630646194</v>
      </c>
      <c r="X120" s="106">
        <f t="shared" si="99"/>
        <v>2.4263304236991936</v>
      </c>
      <c r="Y120" s="106">
        <f t="shared" si="99"/>
        <v>0.38925103341869083</v>
      </c>
      <c r="Z120" s="106">
        <f t="shared" si="99"/>
        <v>1.7475433038810751E-3</v>
      </c>
      <c r="AA120" s="106">
        <f t="shared" si="99"/>
        <v>0.42184748996336935</v>
      </c>
      <c r="AB120" s="106">
        <f t="shared" si="99"/>
        <v>-8.264424841742668E-4</v>
      </c>
      <c r="AC120" s="106">
        <f t="shared" si="99"/>
        <v>2.383908999863869E-7</v>
      </c>
      <c r="AD120" s="106">
        <f t="shared" si="99"/>
        <v>1.5254801426751282E-2</v>
      </c>
      <c r="AE120" s="106">
        <f t="shared" si="99"/>
        <v>1.0978222047692389E-2</v>
      </c>
      <c r="AF120" s="106">
        <f t="shared" si="99"/>
        <v>1.7961039866330342E-2</v>
      </c>
      <c r="AG120" s="106">
        <f t="shared" si="99"/>
        <v>3.7559014847812219E-4</v>
      </c>
      <c r="AH120" s="106">
        <f t="shared" si="99"/>
        <v>2.8100836543172865E-2</v>
      </c>
      <c r="AI120" s="210">
        <f t="shared" si="99"/>
        <v>6.893911922155159E-2</v>
      </c>
    </row>
    <row r="121" spans="3:35" x14ac:dyDescent="0.25">
      <c r="C121" s="135" t="s">
        <v>533</v>
      </c>
      <c r="D121" s="136" t="str">
        <f t="shared" si="95"/>
        <v>6_Hub_30%IP</v>
      </c>
      <c r="E121" s="136">
        <f>1</f>
        <v>1</v>
      </c>
      <c r="F121" s="136" t="s">
        <v>357</v>
      </c>
      <c r="G121" s="136"/>
      <c r="H121" s="106">
        <f t="shared" si="98"/>
        <v>5.6898294155088696</v>
      </c>
      <c r="I121" s="106">
        <f t="shared" si="99"/>
        <v>2.1981644680103702</v>
      </c>
      <c r="J121" s="106">
        <f t="shared" si="99"/>
        <v>67.918590264099038</v>
      </c>
      <c r="K121" s="106">
        <f t="shared" si="99"/>
        <v>0.22341043705200586</v>
      </c>
      <c r="L121" s="106">
        <f t="shared" si="99"/>
        <v>35.547098017571969</v>
      </c>
      <c r="M121" s="106">
        <f t="shared" si="99"/>
        <v>1.5170341266005081E-3</v>
      </c>
      <c r="N121" s="106">
        <f t="shared" si="99"/>
        <v>0.90750424166383237</v>
      </c>
      <c r="O121" s="106">
        <f t="shared" si="99"/>
        <v>8.2067943310928673</v>
      </c>
      <c r="P121" s="106">
        <f t="shared" si="99"/>
        <v>3.333005205456562</v>
      </c>
      <c r="Q121" s="106">
        <f t="shared" si="99"/>
        <v>118.33608399907321</v>
      </c>
      <c r="R121" s="106">
        <f t="shared" si="99"/>
        <v>0.44754581676706068</v>
      </c>
      <c r="S121" s="106">
        <f t="shared" si="99"/>
        <v>5.630414708542359</v>
      </c>
      <c r="T121" s="106">
        <f t="shared" si="99"/>
        <v>1.7259253794636698</v>
      </c>
      <c r="U121" s="106">
        <f t="shared" ref="I121:AI130" si="100">SUM(U$39,U66)</f>
        <v>0.4413891591157193</v>
      </c>
      <c r="V121" s="106">
        <f t="shared" si="100"/>
        <v>4.7111466326926589E-3</v>
      </c>
      <c r="W121" s="106">
        <f t="shared" si="100"/>
        <v>3.537930979690592</v>
      </c>
      <c r="X121" s="106">
        <f t="shared" si="100"/>
        <v>2.4703064056211561</v>
      </c>
      <c r="Y121" s="106">
        <f t="shared" si="100"/>
        <v>0.38439253987800592</v>
      </c>
      <c r="Z121" s="106">
        <f t="shared" si="100"/>
        <v>1.67671541535253E-3</v>
      </c>
      <c r="AA121" s="106">
        <f t="shared" si="100"/>
        <v>0.42188228180324761</v>
      </c>
      <c r="AB121" s="106">
        <f t="shared" si="100"/>
        <v>-8.1996668353614792E-4</v>
      </c>
      <c r="AC121" s="106">
        <f t="shared" si="100"/>
        <v>2.4060525477287688E-7</v>
      </c>
      <c r="AD121" s="106">
        <f t="shared" si="100"/>
        <v>1.3910830031916951E-2</v>
      </c>
      <c r="AE121" s="106">
        <f t="shared" si="100"/>
        <v>1.0813614746984796E-2</v>
      </c>
      <c r="AF121" s="106">
        <f t="shared" si="100"/>
        <v>1.7434278266076787E-2</v>
      </c>
      <c r="AG121" s="106">
        <f t="shared" si="100"/>
        <v>3.7881498645352021E-4</v>
      </c>
      <c r="AH121" s="106">
        <f t="shared" si="100"/>
        <v>2.8224978099819928E-2</v>
      </c>
      <c r="AI121" s="210">
        <f t="shared" si="100"/>
        <v>6.8493705625660373E-2</v>
      </c>
    </row>
    <row r="122" spans="3:35" x14ac:dyDescent="0.25">
      <c r="C122" s="135" t="s">
        <v>533</v>
      </c>
      <c r="D122" s="136" t="str">
        <f t="shared" si="95"/>
        <v>6_Hub_50%IP</v>
      </c>
      <c r="E122" s="136">
        <f>1</f>
        <v>1</v>
      </c>
      <c r="F122" s="136" t="s">
        <v>357</v>
      </c>
      <c r="G122" s="136"/>
      <c r="H122" s="106">
        <f t="shared" si="98"/>
        <v>5.6328669173959769</v>
      </c>
      <c r="I122" s="106">
        <f t="shared" si="100"/>
        <v>2.2265007379816097</v>
      </c>
      <c r="J122" s="106">
        <f t="shared" si="100"/>
        <v>67.653345206233269</v>
      </c>
      <c r="K122" s="106">
        <f t="shared" si="100"/>
        <v>0.19485796823995602</v>
      </c>
      <c r="L122" s="106">
        <f t="shared" si="100"/>
        <v>32.696101455052833</v>
      </c>
      <c r="M122" s="106">
        <f t="shared" si="100"/>
        <v>1.9391927283535218E-3</v>
      </c>
      <c r="N122" s="106">
        <f t="shared" si="100"/>
        <v>0.94698065113781638</v>
      </c>
      <c r="O122" s="106">
        <f t="shared" si="100"/>
        <v>9.5684634897535261</v>
      </c>
      <c r="P122" s="106">
        <f t="shared" si="100"/>
        <v>3.863310907077905</v>
      </c>
      <c r="Q122" s="106">
        <f t="shared" si="100"/>
        <v>117.1514996082053</v>
      </c>
      <c r="R122" s="106">
        <f t="shared" si="100"/>
        <v>0.49110725640843539</v>
      </c>
      <c r="S122" s="106">
        <f t="shared" si="100"/>
        <v>5.5763837104471197</v>
      </c>
      <c r="T122" s="106">
        <f t="shared" si="100"/>
        <v>1.7162788067288735</v>
      </c>
      <c r="U122" s="106">
        <f t="shared" si="100"/>
        <v>0.44090323987473579</v>
      </c>
      <c r="V122" s="106">
        <f t="shared" si="100"/>
        <v>5.046813983307359E-3</v>
      </c>
      <c r="W122" s="106">
        <f t="shared" si="100"/>
        <v>3.7331607507816216</v>
      </c>
      <c r="X122" s="106">
        <f t="shared" si="100"/>
        <v>2.3194601961835821</v>
      </c>
      <c r="Y122" s="106">
        <f t="shared" si="100"/>
        <v>0.38542578170496711</v>
      </c>
      <c r="Z122" s="106">
        <f t="shared" si="100"/>
        <v>1.748670839794362E-3</v>
      </c>
      <c r="AA122" s="106">
        <f t="shared" si="100"/>
        <v>0.420711976202507</v>
      </c>
      <c r="AB122" s="106">
        <f t="shared" si="100"/>
        <v>-1.020963430679517E-3</v>
      </c>
      <c r="AC122" s="106">
        <f t="shared" si="100"/>
        <v>2.3776452711601902E-7</v>
      </c>
      <c r="AD122" s="106">
        <f t="shared" si="100"/>
        <v>1.4409683189667124E-2</v>
      </c>
      <c r="AE122" s="106">
        <f t="shared" si="100"/>
        <v>1.0939825676993286E-2</v>
      </c>
      <c r="AF122" s="106">
        <f t="shared" si="100"/>
        <v>1.7628745497709555E-2</v>
      </c>
      <c r="AG122" s="106">
        <f t="shared" si="100"/>
        <v>3.6195766074848315E-4</v>
      </c>
      <c r="AH122" s="106">
        <f t="shared" si="100"/>
        <v>2.7928522467343932E-2</v>
      </c>
      <c r="AI122" s="210">
        <f t="shared" si="100"/>
        <v>7.9358290226996406E-2</v>
      </c>
    </row>
    <row r="123" spans="3:35" x14ac:dyDescent="0.25">
      <c r="C123" s="135" t="s">
        <v>533</v>
      </c>
      <c r="D123" s="136" t="str">
        <f t="shared" si="95"/>
        <v>6_Hub_70%IP</v>
      </c>
      <c r="E123" s="136">
        <f>1</f>
        <v>1</v>
      </c>
      <c r="F123" s="136" t="s">
        <v>357</v>
      </c>
      <c r="G123" s="136"/>
      <c r="H123" s="106">
        <f t="shared" si="98"/>
        <v>6.3304254468737176</v>
      </c>
      <c r="I123" s="106">
        <f t="shared" si="100"/>
        <v>2.580913188309665</v>
      </c>
      <c r="J123" s="106">
        <f t="shared" si="100"/>
        <v>77.53914901841371</v>
      </c>
      <c r="K123" s="106">
        <f t="shared" si="100"/>
        <v>0.30165668218760366</v>
      </c>
      <c r="L123" s="106">
        <f t="shared" si="100"/>
        <v>23.476455906507081</v>
      </c>
      <c r="M123" s="106">
        <f t="shared" si="100"/>
        <v>3.0024466632278821E-3</v>
      </c>
      <c r="N123" s="106">
        <f t="shared" si="100"/>
        <v>1.3465262613728164</v>
      </c>
      <c r="O123" s="106">
        <f t="shared" si="100"/>
        <v>7.8469529953075297</v>
      </c>
      <c r="P123" s="106">
        <f t="shared" si="100"/>
        <v>4.9282788775253374</v>
      </c>
      <c r="Q123" s="106">
        <f t="shared" si="100"/>
        <v>118.02293537628695</v>
      </c>
      <c r="R123" s="106">
        <f t="shared" si="100"/>
        <v>0.42129309248871344</v>
      </c>
      <c r="S123" s="106">
        <f t="shared" si="100"/>
        <v>6.2719888256012677</v>
      </c>
      <c r="T123" s="106">
        <f t="shared" si="100"/>
        <v>1.9630407160618981</v>
      </c>
      <c r="U123" s="106">
        <f t="shared" si="100"/>
        <v>0.47318102534874484</v>
      </c>
      <c r="V123" s="106">
        <f t="shared" si="100"/>
        <v>6.4530858596141853E-3</v>
      </c>
      <c r="W123" s="106">
        <f t="shared" si="100"/>
        <v>4.585054546643252</v>
      </c>
      <c r="X123" s="106">
        <f t="shared" si="100"/>
        <v>1.5953841003681151</v>
      </c>
      <c r="Y123" s="106">
        <f t="shared" si="100"/>
        <v>0.41601665513096808</v>
      </c>
      <c r="Z123" s="106">
        <f t="shared" si="100"/>
        <v>2.0847511080895652E-3</v>
      </c>
      <c r="AA123" s="106">
        <f t="shared" si="100"/>
        <v>0.42709088511769283</v>
      </c>
      <c r="AB123" s="106">
        <f t="shared" si="100"/>
        <v>-4.7013008768835107E-4</v>
      </c>
      <c r="AC123" s="106">
        <f t="shared" si="100"/>
        <v>2.6500573894803545E-7</v>
      </c>
      <c r="AD123" s="106">
        <f t="shared" si="100"/>
        <v>1.7505562074525131E-2</v>
      </c>
      <c r="AE123" s="106">
        <f t="shared" si="100"/>
        <v>1.2534741485331891E-2</v>
      </c>
      <c r="AF123" s="106">
        <f t="shared" si="100"/>
        <v>2.0022155411217598E-2</v>
      </c>
      <c r="AG123" s="106">
        <f t="shared" si="100"/>
        <v>3.7589791172779031E-4</v>
      </c>
      <c r="AH123" s="106">
        <f t="shared" si="100"/>
        <v>2.9405431314173953E-2</v>
      </c>
      <c r="AI123" s="210">
        <f t="shared" si="100"/>
        <v>5.6314449350523141E-2</v>
      </c>
    </row>
    <row r="124" spans="3:35" x14ac:dyDescent="0.25">
      <c r="C124" s="135" t="s">
        <v>533</v>
      </c>
      <c r="D124" s="136" t="str">
        <f t="shared" si="95"/>
        <v>6_Hub_90%IP</v>
      </c>
      <c r="E124" s="136">
        <f>1</f>
        <v>1</v>
      </c>
      <c r="F124" s="136" t="s">
        <v>357</v>
      </c>
      <c r="G124" s="136"/>
      <c r="H124" s="106">
        <f t="shared" si="98"/>
        <v>6.2727974818367018</v>
      </c>
      <c r="I124" s="106">
        <f t="shared" si="100"/>
        <v>2.3816405932532652</v>
      </c>
      <c r="J124" s="106">
        <f t="shared" si="100"/>
        <v>80.069556578274131</v>
      </c>
      <c r="K124" s="106">
        <f t="shared" si="100"/>
        <v>0.39689746118147473</v>
      </c>
      <c r="L124" s="106">
        <f t="shared" si="100"/>
        <v>22.982051743893788</v>
      </c>
      <c r="M124" s="106">
        <f t="shared" si="100"/>
        <v>7.9764571548771243E-3</v>
      </c>
      <c r="N124" s="106">
        <f t="shared" si="100"/>
        <v>1.2103056283304761</v>
      </c>
      <c r="O124" s="106">
        <f t="shared" si="100"/>
        <v>9.4800993148779398</v>
      </c>
      <c r="P124" s="106">
        <f t="shared" si="100"/>
        <v>3.9299903411539447</v>
      </c>
      <c r="Q124" s="106">
        <f t="shared" si="100"/>
        <v>120.4585181181199</v>
      </c>
      <c r="R124" s="106">
        <f t="shared" si="100"/>
        <v>0.38986663532807109</v>
      </c>
      <c r="S124" s="106">
        <f t="shared" si="100"/>
        <v>6.2046354857661861</v>
      </c>
      <c r="T124" s="106">
        <f t="shared" si="100"/>
        <v>2.0406976333410478</v>
      </c>
      <c r="U124" s="106">
        <f t="shared" si="100"/>
        <v>0.44898468976964423</v>
      </c>
      <c r="V124" s="106">
        <f t="shared" si="100"/>
        <v>3.9958864450519672E-3</v>
      </c>
      <c r="W124" s="106">
        <f t="shared" si="100"/>
        <v>3.1890375362768966</v>
      </c>
      <c r="X124" s="106">
        <f t="shared" si="100"/>
        <v>1.6183199877634138</v>
      </c>
      <c r="Y124" s="106">
        <f t="shared" si="100"/>
        <v>0.39104131015974963</v>
      </c>
      <c r="Z124" s="106">
        <f t="shared" si="100"/>
        <v>1.6861041865764276E-3</v>
      </c>
      <c r="AA124" s="106">
        <f t="shared" si="100"/>
        <v>0.42837385537051054</v>
      </c>
      <c r="AB124" s="106">
        <f t="shared" si="100"/>
        <v>-3.8928577643965916E-4</v>
      </c>
      <c r="AC124" s="106">
        <f t="shared" si="100"/>
        <v>3.1670195898574622E-7</v>
      </c>
      <c r="AD124" s="106">
        <f t="shared" si="100"/>
        <v>1.5351520894897512E-2</v>
      </c>
      <c r="AE124" s="106">
        <f t="shared" si="100"/>
        <v>1.4017483324246346E-2</v>
      </c>
      <c r="AF124" s="106">
        <f t="shared" si="100"/>
        <v>2.1923771829518782E-2</v>
      </c>
      <c r="AG124" s="106">
        <f t="shared" si="100"/>
        <v>4.3534920079141493E-4</v>
      </c>
      <c r="AH124" s="106">
        <f t="shared" si="100"/>
        <v>3.0809028200859578E-2</v>
      </c>
      <c r="AI124" s="210">
        <f t="shared" si="100"/>
        <v>6.5976106699919337E-2</v>
      </c>
    </row>
    <row r="125" spans="3:35" x14ac:dyDescent="0.25">
      <c r="C125" s="135" t="s">
        <v>533</v>
      </c>
      <c r="D125" s="136" t="str">
        <f t="shared" si="95"/>
        <v>1_Hub_1000km</v>
      </c>
      <c r="E125" s="136">
        <f>1</f>
        <v>1</v>
      </c>
      <c r="F125" s="136" t="s">
        <v>357</v>
      </c>
      <c r="G125" s="136"/>
      <c r="H125" s="106">
        <f t="shared" si="98"/>
        <v>6.2737979207894083</v>
      </c>
      <c r="I125" s="106">
        <f t="shared" si="100"/>
        <v>2.3902350674770698</v>
      </c>
      <c r="J125" s="106">
        <f t="shared" si="100"/>
        <v>75.535807436799701</v>
      </c>
      <c r="K125" s="106">
        <f t="shared" si="100"/>
        <v>0.6210174254866897</v>
      </c>
      <c r="L125" s="106">
        <f t="shared" si="100"/>
        <v>22.442920820714601</v>
      </c>
      <c r="M125" s="106">
        <f t="shared" si="100"/>
        <v>1.6752910971967777E-3</v>
      </c>
      <c r="N125" s="106">
        <f t="shared" si="100"/>
        <v>1.6987516964753311</v>
      </c>
      <c r="O125" s="106">
        <f t="shared" si="100"/>
        <v>7.4299325395440858</v>
      </c>
      <c r="P125" s="106">
        <f t="shared" si="100"/>
        <v>4.392617056217845</v>
      </c>
      <c r="Q125" s="106">
        <f t="shared" si="100"/>
        <v>114.51295733381252</v>
      </c>
      <c r="R125" s="106">
        <f t="shared" si="100"/>
        <v>0.36723750708591529</v>
      </c>
      <c r="S125" s="106">
        <f t="shared" si="100"/>
        <v>6.2130357377032004</v>
      </c>
      <c r="T125" s="106">
        <f t="shared" si="100"/>
        <v>1.9050212798158004</v>
      </c>
      <c r="U125" s="106">
        <f t="shared" si="100"/>
        <v>0.48014926856760598</v>
      </c>
      <c r="V125" s="106">
        <f t="shared" si="100"/>
        <v>6.4197551868441192E-3</v>
      </c>
      <c r="W125" s="106">
        <f t="shared" si="100"/>
        <v>4.5562147555078889</v>
      </c>
      <c r="X125" s="106">
        <f t="shared" si="100"/>
        <v>1.4821506493673311</v>
      </c>
      <c r="Y125" s="106">
        <f t="shared" si="100"/>
        <v>0.42003760586352001</v>
      </c>
      <c r="Z125" s="106">
        <f t="shared" si="100"/>
        <v>2.0353792447940426E-3</v>
      </c>
      <c r="AA125" s="106">
        <f t="shared" si="100"/>
        <v>0.42649993253879137</v>
      </c>
      <c r="AB125" s="106">
        <f t="shared" si="100"/>
        <v>-3.0588893662165923E-4</v>
      </c>
      <c r="AC125" s="106">
        <f t="shared" si="100"/>
        <v>2.4728790148267314E-7</v>
      </c>
      <c r="AD125" s="106">
        <f t="shared" si="100"/>
        <v>2.0045981107767882E-2</v>
      </c>
      <c r="AE125" s="106">
        <f t="shared" si="100"/>
        <v>1.1795482124965409E-2</v>
      </c>
      <c r="AF125" s="106">
        <f t="shared" si="100"/>
        <v>1.8414453849341143E-2</v>
      </c>
      <c r="AG125" s="106">
        <f t="shared" si="100"/>
        <v>4.0890266877262213E-4</v>
      </c>
      <c r="AH125" s="106">
        <f t="shared" si="100"/>
        <v>3.0669174094183051E-2</v>
      </c>
      <c r="AI125" s="210">
        <f t="shared" si="100"/>
        <v>4.505672309025216E-2</v>
      </c>
    </row>
    <row r="126" spans="3:35" x14ac:dyDescent="0.25">
      <c r="C126" s="135" t="s">
        <v>533</v>
      </c>
      <c r="D126" s="136" t="str">
        <f t="shared" si="95"/>
        <v>2_Hub_1000km</v>
      </c>
      <c r="E126" s="136">
        <f>1</f>
        <v>1</v>
      </c>
      <c r="F126" s="136" t="s">
        <v>357</v>
      </c>
      <c r="G126" s="136"/>
      <c r="H126" s="106">
        <f t="shared" si="98"/>
        <v>5.6574893880065682</v>
      </c>
      <c r="I126" s="106">
        <f t="shared" si="100"/>
        <v>2.4600377434378755</v>
      </c>
      <c r="J126" s="106">
        <f t="shared" si="100"/>
        <v>71.027864114723812</v>
      </c>
      <c r="K126" s="106">
        <f t="shared" si="100"/>
        <v>0.89870935055480572</v>
      </c>
      <c r="L126" s="106">
        <f t="shared" si="100"/>
        <v>20.253862310583575</v>
      </c>
      <c r="M126" s="106">
        <f t="shared" si="100"/>
        <v>2.245673302089747E-3</v>
      </c>
      <c r="N126" s="106">
        <f t="shared" si="100"/>
        <v>2.3432313069098312</v>
      </c>
      <c r="O126" s="106">
        <f t="shared" si="100"/>
        <v>9.5276084614067873</v>
      </c>
      <c r="P126" s="106">
        <f t="shared" si="100"/>
        <v>3.5675039913076509</v>
      </c>
      <c r="Q126" s="106">
        <f t="shared" si="100"/>
        <v>110.08106295222645</v>
      </c>
      <c r="R126" s="106">
        <f t="shared" si="100"/>
        <v>0.37311732382041135</v>
      </c>
      <c r="S126" s="106">
        <f t="shared" si="100"/>
        <v>5.6001495922693181</v>
      </c>
      <c r="T126" s="106">
        <f t="shared" si="100"/>
        <v>1.8144184922790361</v>
      </c>
      <c r="U126" s="106">
        <f t="shared" si="100"/>
        <v>0.46263604141566927</v>
      </c>
      <c r="V126" s="106">
        <f t="shared" si="100"/>
        <v>5.3692933982310244E-3</v>
      </c>
      <c r="W126" s="106">
        <f t="shared" si="100"/>
        <v>3.8893795413097907</v>
      </c>
      <c r="X126" s="106">
        <f t="shared" si="100"/>
        <v>1.349339669248302</v>
      </c>
      <c r="Y126" s="106">
        <f t="shared" si="100"/>
        <v>0.40397822118383897</v>
      </c>
      <c r="Z126" s="106">
        <f t="shared" si="100"/>
        <v>1.7981670543003138E-3</v>
      </c>
      <c r="AA126" s="106">
        <f t="shared" si="100"/>
        <v>0.42714936771312961</v>
      </c>
      <c r="AB126" s="106">
        <f t="shared" si="100"/>
        <v>-2.7503207019174519E-4</v>
      </c>
      <c r="AC126" s="106">
        <f t="shared" si="100"/>
        <v>2.6154853141685078E-7</v>
      </c>
      <c r="AD126" s="106">
        <f t="shared" si="100"/>
        <v>1.465290384017582E-2</v>
      </c>
      <c r="AE126" s="106">
        <f t="shared" si="100"/>
        <v>1.1097575008874885E-2</v>
      </c>
      <c r="AF126" s="106">
        <f t="shared" si="100"/>
        <v>1.5635632319134021E-2</v>
      </c>
      <c r="AG126" s="106">
        <f t="shared" si="100"/>
        <v>4.1359429561973527E-4</v>
      </c>
      <c r="AH126" s="106">
        <f t="shared" si="100"/>
        <v>3.0363886753913095E-2</v>
      </c>
      <c r="AI126" s="210">
        <f t="shared" si="100"/>
        <v>4.8667807014179512E-2</v>
      </c>
    </row>
    <row r="127" spans="3:35" x14ac:dyDescent="0.25">
      <c r="C127" s="135" t="s">
        <v>533</v>
      </c>
      <c r="D127" s="136" t="str">
        <f t="shared" si="95"/>
        <v>3_Hub_1000km</v>
      </c>
      <c r="E127" s="136">
        <f>1</f>
        <v>1</v>
      </c>
      <c r="F127" s="136" t="s">
        <v>357</v>
      </c>
      <c r="G127" s="136"/>
      <c r="H127" s="106">
        <f t="shared" si="98"/>
        <v>5.3941812585895175</v>
      </c>
      <c r="I127" s="106">
        <f t="shared" si="100"/>
        <v>2.6713947078251001</v>
      </c>
      <c r="J127" s="106">
        <f t="shared" si="100"/>
        <v>68.260444169977902</v>
      </c>
      <c r="K127" s="106">
        <f t="shared" si="100"/>
        <v>0.84190762220623128</v>
      </c>
      <c r="L127" s="106">
        <f t="shared" si="100"/>
        <v>23.596401493188957</v>
      </c>
      <c r="M127" s="106">
        <f t="shared" si="100"/>
        <v>2.7717885676981076E-3</v>
      </c>
      <c r="N127" s="106">
        <f t="shared" si="100"/>
        <v>2.3894012118381944</v>
      </c>
      <c r="O127" s="106">
        <f t="shared" si="100"/>
        <v>9.2397738171957382</v>
      </c>
      <c r="P127" s="106">
        <f t="shared" si="100"/>
        <v>3.6378120901266255</v>
      </c>
      <c r="Q127" s="106">
        <f t="shared" si="100"/>
        <v>110.63990690092645</v>
      </c>
      <c r="R127" s="106">
        <f t="shared" si="100"/>
        <v>0.4016803175754618</v>
      </c>
      <c r="S127" s="106">
        <f t="shared" si="100"/>
        <v>5.3350264419841702</v>
      </c>
      <c r="T127" s="106">
        <f t="shared" si="100"/>
        <v>1.7456098376542422</v>
      </c>
      <c r="U127" s="106">
        <f t="shared" si="100"/>
        <v>0.44841102519773657</v>
      </c>
      <c r="V127" s="106">
        <f t="shared" si="100"/>
        <v>4.4645531130128669E-3</v>
      </c>
      <c r="W127" s="106">
        <f t="shared" si="100"/>
        <v>3.3727024989837204</v>
      </c>
      <c r="X127" s="106">
        <f t="shared" si="100"/>
        <v>1.5745319189696667</v>
      </c>
      <c r="Y127" s="106">
        <f t="shared" si="100"/>
        <v>0.39040024313355148</v>
      </c>
      <c r="Z127" s="106">
        <f t="shared" si="100"/>
        <v>1.6165341768414466E-3</v>
      </c>
      <c r="AA127" s="106">
        <f t="shared" si="100"/>
        <v>0.42811300086742726</v>
      </c>
      <c r="AB127" s="106">
        <f t="shared" si="100"/>
        <v>-2.8033882692357132E-4</v>
      </c>
      <c r="AC127" s="106">
        <f t="shared" si="100"/>
        <v>2.5779975452288789E-7</v>
      </c>
      <c r="AD127" s="106">
        <f t="shared" si="100"/>
        <v>1.4552175234373676E-2</v>
      </c>
      <c r="AE127" s="106">
        <f t="shared" si="100"/>
        <v>1.0705174771499191E-2</v>
      </c>
      <c r="AF127" s="106">
        <f t="shared" si="100"/>
        <v>1.4844538156338495E-2</v>
      </c>
      <c r="AG127" s="106">
        <f t="shared" si="100"/>
        <v>4.263823167859467E-4</v>
      </c>
      <c r="AH127" s="106">
        <f t="shared" si="100"/>
        <v>3.1754758755421164E-2</v>
      </c>
      <c r="AI127" s="210">
        <f t="shared" si="100"/>
        <v>4.7259106090516242E-2</v>
      </c>
    </row>
    <row r="128" spans="3:35" x14ac:dyDescent="0.25">
      <c r="C128" s="135" t="s">
        <v>533</v>
      </c>
      <c r="D128" s="136" t="str">
        <f t="shared" si="95"/>
        <v>4_Hub_1000km</v>
      </c>
      <c r="E128" s="136">
        <f>1</f>
        <v>1</v>
      </c>
      <c r="F128" s="136" t="s">
        <v>357</v>
      </c>
      <c r="G128" s="136"/>
      <c r="H128" s="106">
        <f t="shared" si="98"/>
        <v>5.5261289180911559</v>
      </c>
      <c r="I128" s="106">
        <f t="shared" si="100"/>
        <v>2.906159164605973</v>
      </c>
      <c r="J128" s="106">
        <f t="shared" si="100"/>
        <v>70.189590838260528</v>
      </c>
      <c r="K128" s="106">
        <f t="shared" si="100"/>
        <v>0.56504100736532648</v>
      </c>
      <c r="L128" s="106">
        <f t="shared" si="100"/>
        <v>26.947268984064426</v>
      </c>
      <c r="M128" s="106">
        <f t="shared" si="100"/>
        <v>3.517809366474819E-3</v>
      </c>
      <c r="N128" s="106">
        <f t="shared" si="100"/>
        <v>2.0216529326001553</v>
      </c>
      <c r="O128" s="106">
        <f t="shared" si="100"/>
        <v>8.5682942832519284</v>
      </c>
      <c r="P128" s="106">
        <f t="shared" si="100"/>
        <v>3.742866637061717</v>
      </c>
      <c r="Q128" s="106">
        <f t="shared" si="100"/>
        <v>114.94439165657649</v>
      </c>
      <c r="R128" s="106">
        <f t="shared" si="100"/>
        <v>0.43269921087805735</v>
      </c>
      <c r="S128" s="106">
        <f t="shared" si="100"/>
        <v>5.4655858601955112</v>
      </c>
      <c r="T128" s="106">
        <f t="shared" si="100"/>
        <v>1.7964134536945495</v>
      </c>
      <c r="U128" s="106">
        <f t="shared" si="100"/>
        <v>0.44265536141540063</v>
      </c>
      <c r="V128" s="106">
        <f t="shared" si="100"/>
        <v>4.2213125842715119E-3</v>
      </c>
      <c r="W128" s="106">
        <f t="shared" si="100"/>
        <v>3.250756803300467</v>
      </c>
      <c r="X128" s="106">
        <f t="shared" si="100"/>
        <v>1.8038186959194153</v>
      </c>
      <c r="Y128" s="106">
        <f t="shared" si="100"/>
        <v>0.38577046143254057</v>
      </c>
      <c r="Z128" s="106">
        <f t="shared" si="100"/>
        <v>1.5988883025527376E-3</v>
      </c>
      <c r="AA128" s="106">
        <f t="shared" si="100"/>
        <v>0.4292270982086675</v>
      </c>
      <c r="AB128" s="106">
        <f t="shared" si="100"/>
        <v>-2.9634272502488161E-4</v>
      </c>
      <c r="AC128" s="106">
        <f t="shared" si="100"/>
        <v>2.6820120683823954E-7</v>
      </c>
      <c r="AD128" s="106">
        <f t="shared" si="100"/>
        <v>1.3417204984199106E-2</v>
      </c>
      <c r="AE128" s="106">
        <f t="shared" si="100"/>
        <v>1.1151852719238971E-2</v>
      </c>
      <c r="AF128" s="106">
        <f t="shared" si="100"/>
        <v>1.6082000820497377E-2</v>
      </c>
      <c r="AG128" s="106">
        <f t="shared" si="100"/>
        <v>4.1686461899608418E-4</v>
      </c>
      <c r="AH128" s="106">
        <f t="shared" si="100"/>
        <v>3.1768461859055137E-2</v>
      </c>
      <c r="AI128" s="210">
        <f t="shared" si="100"/>
        <v>5.0275474724625339E-2</v>
      </c>
    </row>
    <row r="129" spans="3:35" x14ac:dyDescent="0.25">
      <c r="C129" s="135" t="s">
        <v>533</v>
      </c>
      <c r="D129" s="136" t="str">
        <f t="shared" si="95"/>
        <v>5_Hub_1000km</v>
      </c>
      <c r="E129" s="136">
        <f>1</f>
        <v>1</v>
      </c>
      <c r="F129" s="136" t="s">
        <v>357</v>
      </c>
      <c r="G129" s="136"/>
      <c r="H129" s="106">
        <f t="shared" si="98"/>
        <v>5.9519872726968339</v>
      </c>
      <c r="I129" s="106">
        <f t="shared" si="100"/>
        <v>2.6124239320342006</v>
      </c>
      <c r="J129" s="106">
        <f t="shared" si="100"/>
        <v>75.306575150029403</v>
      </c>
      <c r="K129" s="106">
        <f t="shared" si="100"/>
        <v>0.71370566160132309</v>
      </c>
      <c r="L129" s="106">
        <f t="shared" si="100"/>
        <v>23.181780473929209</v>
      </c>
      <c r="M129" s="106">
        <f t="shared" si="100"/>
        <v>4.4251152200267272E-3</v>
      </c>
      <c r="N129" s="106">
        <f t="shared" si="100"/>
        <v>1.812835564519566</v>
      </c>
      <c r="O129" s="106">
        <f t="shared" si="100"/>
        <v>8.7816425857996965</v>
      </c>
      <c r="P129" s="106">
        <f t="shared" si="100"/>
        <v>3.3081330414365007</v>
      </c>
      <c r="Q129" s="106">
        <f t="shared" si="100"/>
        <v>115.72152152456992</v>
      </c>
      <c r="R129" s="106">
        <f t="shared" si="100"/>
        <v>0.40839981005912784</v>
      </c>
      <c r="S129" s="106">
        <f t="shared" si="100"/>
        <v>5.8868281370326843</v>
      </c>
      <c r="T129" s="106">
        <f t="shared" si="100"/>
        <v>1.9234638441462355</v>
      </c>
      <c r="U129" s="106">
        <f t="shared" si="100"/>
        <v>0.4563539113075834</v>
      </c>
      <c r="V129" s="106">
        <f t="shared" si="100"/>
        <v>4.5184558686638156E-3</v>
      </c>
      <c r="W129" s="106">
        <f t="shared" si="100"/>
        <v>3.4416625693732321</v>
      </c>
      <c r="X129" s="106">
        <f t="shared" si="100"/>
        <v>1.5858214012673786</v>
      </c>
      <c r="Y129" s="106">
        <f t="shared" si="100"/>
        <v>0.39631503182547267</v>
      </c>
      <c r="Z129" s="106">
        <f t="shared" si="100"/>
        <v>1.6877177427210373E-3</v>
      </c>
      <c r="AA129" s="106">
        <f t="shared" si="100"/>
        <v>0.42667816303516259</v>
      </c>
      <c r="AB129" s="106">
        <f t="shared" si="100"/>
        <v>-3.2317731955813648E-4</v>
      </c>
      <c r="AC129" s="106">
        <f t="shared" si="100"/>
        <v>2.8739313341943776E-7</v>
      </c>
      <c r="AD129" s="106">
        <f t="shared" si="100"/>
        <v>1.6265664359486266E-2</v>
      </c>
      <c r="AE129" s="106">
        <f t="shared" si="100"/>
        <v>1.2035992834457228E-2</v>
      </c>
      <c r="AF129" s="106">
        <f t="shared" si="100"/>
        <v>1.7802906452778149E-2</v>
      </c>
      <c r="AG129" s="106">
        <f t="shared" si="100"/>
        <v>4.4953878783808408E-4</v>
      </c>
      <c r="AH129" s="106">
        <f t="shared" si="100"/>
        <v>3.119324882225007E-2</v>
      </c>
      <c r="AI129" s="210">
        <f t="shared" si="100"/>
        <v>5.148471351383823E-2</v>
      </c>
    </row>
    <row r="130" spans="3:35" x14ac:dyDescent="0.25">
      <c r="C130" s="135" t="s">
        <v>533</v>
      </c>
      <c r="D130" s="136" t="str">
        <f t="shared" si="95"/>
        <v>6_Hub_1000km</v>
      </c>
      <c r="E130" s="136">
        <f>1</f>
        <v>1</v>
      </c>
      <c r="F130" s="136" t="s">
        <v>357</v>
      </c>
      <c r="G130" s="136"/>
      <c r="H130" s="106">
        <f t="shared" si="98"/>
        <v>6.3812689911430036</v>
      </c>
      <c r="I130" s="106">
        <f t="shared" si="100"/>
        <v>2.9135819338008888</v>
      </c>
      <c r="J130" s="106">
        <f t="shared" si="100"/>
        <v>81.094817139059217</v>
      </c>
      <c r="K130" s="106">
        <f t="shared" si="100"/>
        <v>0.27152931559017024</v>
      </c>
      <c r="L130" s="106">
        <f t="shared" si="100"/>
        <v>27.668222596074745</v>
      </c>
      <c r="M130" s="106">
        <f t="shared" si="100"/>
        <v>6.1920345933468724E-3</v>
      </c>
      <c r="N130" s="106">
        <f t="shared" si="100"/>
        <v>1.046750743961034</v>
      </c>
      <c r="O130" s="106">
        <f t="shared" si="100"/>
        <v>7.6444700266903993</v>
      </c>
      <c r="P130" s="106">
        <f t="shared" si="100"/>
        <v>3.3094502620757376</v>
      </c>
      <c r="Q130" s="106">
        <f t="shared" si="100"/>
        <v>123.95501405184555</v>
      </c>
      <c r="R130" s="106">
        <f t="shared" si="100"/>
        <v>0.45457604475355712</v>
      </c>
      <c r="S130" s="106">
        <f t="shared" si="100"/>
        <v>6.3115336722284994</v>
      </c>
      <c r="T130" s="106">
        <f t="shared" si="100"/>
        <v>2.0725059786855411</v>
      </c>
      <c r="U130" s="106">
        <f t="shared" si="100"/>
        <v>0.45182922299252803</v>
      </c>
      <c r="V130" s="106">
        <f t="shared" si="100"/>
        <v>4.2032579444372777E-3</v>
      </c>
      <c r="W130" s="106">
        <f t="shared" si="100"/>
        <v>3.3020939976926167</v>
      </c>
      <c r="X130" s="106">
        <f t="shared" si="100"/>
        <v>1.9102616826950223</v>
      </c>
      <c r="Y130" s="106">
        <f t="shared" si="100"/>
        <v>0.39246670967984265</v>
      </c>
      <c r="Z130" s="106">
        <f t="shared" si="100"/>
        <v>1.6944519268657899E-3</v>
      </c>
      <c r="AA130" s="106">
        <f t="shared" si="100"/>
        <v>0.42759914335109417</v>
      </c>
      <c r="AB130" s="106">
        <f t="shared" si="100"/>
        <v>-3.6432502100517056E-4</v>
      </c>
      <c r="AC130" s="106">
        <f t="shared" si="100"/>
        <v>3.1490691035997648E-7</v>
      </c>
      <c r="AD130" s="106">
        <f t="shared" si="100"/>
        <v>1.5438207692625898E-2</v>
      </c>
      <c r="AE130" s="106">
        <f t="shared" si="100"/>
        <v>1.3243924056009521E-2</v>
      </c>
      <c r="AF130" s="106">
        <f t="shared" si="100"/>
        <v>2.0828786481939629E-2</v>
      </c>
      <c r="AG130" s="106">
        <f t="shared" ref="I130:AI140" si="101">SUM(AG$39,AG75)</f>
        <v>4.4646630951381612E-4</v>
      </c>
      <c r="AH130" s="106">
        <f t="shared" si="101"/>
        <v>3.0965277442718129E-2</v>
      </c>
      <c r="AI130" s="210">
        <f t="shared" si="101"/>
        <v>5.7546787743625233E-2</v>
      </c>
    </row>
    <row r="131" spans="3:35" x14ac:dyDescent="0.25">
      <c r="C131" s="135" t="s">
        <v>533</v>
      </c>
      <c r="D131" s="136" t="str">
        <f t="shared" si="95"/>
        <v>1_Hub_3000km</v>
      </c>
      <c r="E131" s="136">
        <f>1</f>
        <v>1</v>
      </c>
      <c r="F131" s="136" t="s">
        <v>357</v>
      </c>
      <c r="G131" s="136"/>
      <c r="H131" s="106">
        <f t="shared" si="98"/>
        <v>5.0813539186883432</v>
      </c>
      <c r="I131" s="106">
        <f t="shared" si="101"/>
        <v>3.1614204290278431</v>
      </c>
      <c r="J131" s="106">
        <f t="shared" si="101"/>
        <v>66.465147853646002</v>
      </c>
      <c r="K131" s="106">
        <f t="shared" si="101"/>
        <v>0.40063606074678804</v>
      </c>
      <c r="L131" s="106">
        <f t="shared" si="101"/>
        <v>27.579946934257588</v>
      </c>
      <c r="M131" s="106">
        <f t="shared" si="101"/>
        <v>6.6621217349378224E-3</v>
      </c>
      <c r="N131" s="106">
        <f t="shared" si="101"/>
        <v>2.2629406073654015</v>
      </c>
      <c r="O131" s="106">
        <f t="shared" si="101"/>
        <v>10.430686271503836</v>
      </c>
      <c r="P131" s="106">
        <f t="shared" si="101"/>
        <v>4.2067089847558483</v>
      </c>
      <c r="Q131" s="106">
        <f t="shared" si="101"/>
        <v>114.51414926303823</v>
      </c>
      <c r="R131" s="106">
        <f t="shared" si="101"/>
        <v>0.44875952746584713</v>
      </c>
      <c r="S131" s="106">
        <f t="shared" si="101"/>
        <v>5.0240378450156591</v>
      </c>
      <c r="T131" s="106">
        <f t="shared" si="101"/>
        <v>1.7014099728098602</v>
      </c>
      <c r="U131" s="106">
        <f t="shared" si="101"/>
        <v>0.41119929151231671</v>
      </c>
      <c r="V131" s="106">
        <f t="shared" si="101"/>
        <v>2.8165832809759501E-3</v>
      </c>
      <c r="W131" s="106">
        <f t="shared" si="101"/>
        <v>2.4460287268861816</v>
      </c>
      <c r="X131" s="106">
        <f t="shared" si="101"/>
        <v>1.8129572328234027</v>
      </c>
      <c r="Y131" s="106">
        <f t="shared" si="101"/>
        <v>0.36089410215601647</v>
      </c>
      <c r="Z131" s="106">
        <f t="shared" si="101"/>
        <v>1.3837442081445976E-3</v>
      </c>
      <c r="AA131" s="106">
        <f t="shared" si="101"/>
        <v>0.43293060730986654</v>
      </c>
      <c r="AB131" s="106">
        <f t="shared" si="101"/>
        <v>-2.5743225846581417E-4</v>
      </c>
      <c r="AC131" s="106">
        <f t="shared" si="101"/>
        <v>2.6480654540529999E-7</v>
      </c>
      <c r="AD131" s="106">
        <f t="shared" si="101"/>
        <v>8.2765841985861267E-3</v>
      </c>
      <c r="AE131" s="106">
        <f t="shared" si="101"/>
        <v>1.2085678947264551E-2</v>
      </c>
      <c r="AF131" s="106">
        <f t="shared" si="101"/>
        <v>1.696352243874755E-2</v>
      </c>
      <c r="AG131" s="106">
        <f t="shared" si="101"/>
        <v>3.7212727115795079E-4</v>
      </c>
      <c r="AH131" s="106">
        <f t="shared" si="101"/>
        <v>3.4163555025858876E-2</v>
      </c>
      <c r="AI131" s="210">
        <f t="shared" si="101"/>
        <v>5.6415625722246461E-2</v>
      </c>
    </row>
    <row r="132" spans="3:35" x14ac:dyDescent="0.25">
      <c r="C132" s="135" t="s">
        <v>533</v>
      </c>
      <c r="D132" s="136" t="str">
        <f t="shared" si="95"/>
        <v>2_Hub_3000km</v>
      </c>
      <c r="E132" s="136">
        <f>1</f>
        <v>1</v>
      </c>
      <c r="F132" s="136" t="s">
        <v>357</v>
      </c>
      <c r="G132" s="136"/>
      <c r="H132" s="106">
        <f t="shared" si="98"/>
        <v>6.271651824860462</v>
      </c>
      <c r="I132" s="106">
        <f t="shared" si="101"/>
        <v>2.9151154668243033</v>
      </c>
      <c r="J132" s="106">
        <f t="shared" si="101"/>
        <v>77.34290390917306</v>
      </c>
      <c r="K132" s="106">
        <f t="shared" si="101"/>
        <v>0.91368519576722607</v>
      </c>
      <c r="L132" s="106">
        <f t="shared" si="101"/>
        <v>10.156779349595444</v>
      </c>
      <c r="M132" s="106">
        <f t="shared" si="101"/>
        <v>2.2433533092959548E-2</v>
      </c>
      <c r="N132" s="106">
        <f t="shared" si="101"/>
        <v>1.4519331186077307</v>
      </c>
      <c r="O132" s="106">
        <f t="shared" si="101"/>
        <v>18.517974418057708</v>
      </c>
      <c r="P132" s="106">
        <f t="shared" si="101"/>
        <v>2.2654848688004767</v>
      </c>
      <c r="Q132" s="106">
        <f t="shared" si="101"/>
        <v>113.58630985991893</v>
      </c>
      <c r="R132" s="106">
        <f t="shared" si="101"/>
        <v>0.46483152565688096</v>
      </c>
      <c r="S132" s="106">
        <f t="shared" si="101"/>
        <v>6.195239471530436</v>
      </c>
      <c r="T132" s="106">
        <f t="shared" si="101"/>
        <v>1.9077210566585647</v>
      </c>
      <c r="U132" s="106">
        <f t="shared" si="101"/>
        <v>0.43278027414294185</v>
      </c>
      <c r="V132" s="106">
        <f t="shared" si="101"/>
        <v>3.0911939252056017E-3</v>
      </c>
      <c r="W132" s="106">
        <f t="shared" si="101"/>
        <v>2.7180600921034124</v>
      </c>
      <c r="X132" s="106">
        <f t="shared" si="101"/>
        <v>0.72110081528258507</v>
      </c>
      <c r="Y132" s="106">
        <f t="shared" si="101"/>
        <v>0.37764785231749576</v>
      </c>
      <c r="Z132" s="106">
        <f t="shared" si="101"/>
        <v>1.6410143028882367E-3</v>
      </c>
      <c r="AA132" s="106">
        <f t="shared" si="101"/>
        <v>0.42522590106006708</v>
      </c>
      <c r="AB132" s="106">
        <f t="shared" si="101"/>
        <v>-3.7098873266432737E-4</v>
      </c>
      <c r="AC132" s="106">
        <f t="shared" si="101"/>
        <v>1.8070260219237467E-7</v>
      </c>
      <c r="AD132" s="106">
        <f t="shared" si="101"/>
        <v>1.4855288371227479E-2</v>
      </c>
      <c r="AE132" s="106">
        <f t="shared" si="101"/>
        <v>1.5932111919764815E-2</v>
      </c>
      <c r="AF132" s="106">
        <f t="shared" si="101"/>
        <v>2.2744376302643188E-2</v>
      </c>
      <c r="AG132" s="106">
        <f t="shared" si="101"/>
        <v>4.1503458658818829E-4</v>
      </c>
      <c r="AH132" s="106">
        <f t="shared" si="101"/>
        <v>3.5188653203704456E-2</v>
      </c>
      <c r="AI132" s="210">
        <f t="shared" si="101"/>
        <v>9.1516573705497109E-2</v>
      </c>
    </row>
    <row r="133" spans="3:35" x14ac:dyDescent="0.25">
      <c r="C133" s="135" t="s">
        <v>533</v>
      </c>
      <c r="D133" s="136" t="str">
        <f t="shared" si="95"/>
        <v>3_Hub_3000km</v>
      </c>
      <c r="E133" s="136">
        <f>1</f>
        <v>1</v>
      </c>
      <c r="F133" s="136" t="s">
        <v>357</v>
      </c>
      <c r="G133" s="136"/>
      <c r="H133" s="106">
        <f t="shared" si="98"/>
        <v>7.0678984252678081</v>
      </c>
      <c r="I133" s="106">
        <f t="shared" si="101"/>
        <v>3.3815672720264427</v>
      </c>
      <c r="J133" s="106">
        <f t="shared" si="101"/>
        <v>87.150686349177363</v>
      </c>
      <c r="K133" s="106">
        <f t="shared" si="101"/>
        <v>5.2052120943662329E-2</v>
      </c>
      <c r="L133" s="106">
        <f t="shared" si="101"/>
        <v>10.516551277352791</v>
      </c>
      <c r="M133" s="106">
        <f t="shared" si="101"/>
        <v>2.905716250996597E-2</v>
      </c>
      <c r="N133" s="106">
        <f t="shared" si="101"/>
        <v>1.173712099747924</v>
      </c>
      <c r="O133" s="106">
        <f t="shared" si="101"/>
        <v>18.043121032724081</v>
      </c>
      <c r="P133" s="106">
        <f t="shared" si="101"/>
        <v>1.7257180317203811</v>
      </c>
      <c r="Q133" s="106">
        <f t="shared" si="101"/>
        <v>122.07246534620263</v>
      </c>
      <c r="R133" s="106">
        <f t="shared" si="101"/>
        <v>0.53427194730322081</v>
      </c>
      <c r="S133" s="106">
        <f t="shared" si="101"/>
        <v>6.98081673130861</v>
      </c>
      <c r="T133" s="106">
        <f t="shared" si="101"/>
        <v>2.139817234062054</v>
      </c>
      <c r="U133" s="106">
        <f t="shared" si="101"/>
        <v>0.43083030858593985</v>
      </c>
      <c r="V133" s="106">
        <f t="shared" si="101"/>
        <v>2.8999098247064988E-3</v>
      </c>
      <c r="W133" s="106">
        <f t="shared" si="101"/>
        <v>2.6839920789014968</v>
      </c>
      <c r="X133" s="106">
        <f t="shared" si="101"/>
        <v>0.76069506328244363</v>
      </c>
      <c r="Y133" s="106">
        <f t="shared" si="101"/>
        <v>0.37646424441515697</v>
      </c>
      <c r="Z133" s="106">
        <f t="shared" si="101"/>
        <v>1.7513577555110765E-3</v>
      </c>
      <c r="AA133" s="106">
        <f t="shared" si="101"/>
        <v>0.42652656506654363</v>
      </c>
      <c r="AB133" s="106">
        <f t="shared" si="101"/>
        <v>-4.2495270191547695E-4</v>
      </c>
      <c r="AC133" s="106">
        <f t="shared" si="101"/>
        <v>1.8272571327178324E-7</v>
      </c>
      <c r="AD133" s="106">
        <f t="shared" si="101"/>
        <v>1.5435968419159663E-2</v>
      </c>
      <c r="AE133" s="106">
        <f t="shared" si="101"/>
        <v>1.8512043911752055E-2</v>
      </c>
      <c r="AF133" s="106">
        <f t="shared" si="101"/>
        <v>2.6924633767072964E-2</v>
      </c>
      <c r="AG133" s="106">
        <f t="shared" si="101"/>
        <v>4.2856426450574542E-4</v>
      </c>
      <c r="AH133" s="106">
        <f t="shared" si="101"/>
        <v>3.8273394007589667E-2</v>
      </c>
      <c r="AI133" s="210">
        <f t="shared" si="101"/>
        <v>0.11081833000100465</v>
      </c>
    </row>
    <row r="134" spans="3:35" x14ac:dyDescent="0.25">
      <c r="C134" s="135" t="s">
        <v>533</v>
      </c>
      <c r="D134" s="136" t="str">
        <f t="shared" si="95"/>
        <v>4_Hub_3000km</v>
      </c>
      <c r="E134" s="136">
        <f>1</f>
        <v>1</v>
      </c>
      <c r="F134" s="136" t="s">
        <v>357</v>
      </c>
      <c r="G134" s="136"/>
      <c r="H134" s="106">
        <f t="shared" si="98"/>
        <v>7.3848455508228241</v>
      </c>
      <c r="I134" s="106">
        <f t="shared" si="101"/>
        <v>3.0210222295777367</v>
      </c>
      <c r="J134" s="106">
        <f t="shared" si="101"/>
        <v>89.689506694297719</v>
      </c>
      <c r="K134" s="106">
        <f t="shared" si="101"/>
        <v>5.6079675472840984E-2</v>
      </c>
      <c r="L134" s="106">
        <f t="shared" si="101"/>
        <v>6.9913406451621061</v>
      </c>
      <c r="M134" s="106">
        <f t="shared" si="101"/>
        <v>3.218681731737829E-2</v>
      </c>
      <c r="N134" s="106">
        <f t="shared" si="101"/>
        <v>1.0149932900003695</v>
      </c>
      <c r="O134" s="106">
        <f t="shared" si="101"/>
        <v>19.87628191235676</v>
      </c>
      <c r="P134" s="106">
        <f t="shared" si="101"/>
        <v>1.1795472634340767</v>
      </c>
      <c r="Q134" s="106">
        <f t="shared" si="101"/>
        <v>121.860958527619</v>
      </c>
      <c r="R134" s="106">
        <f t="shared" si="101"/>
        <v>0.49556774175394236</v>
      </c>
      <c r="S134" s="106">
        <f t="shared" si="101"/>
        <v>7.2922158477503842</v>
      </c>
      <c r="T134" s="106">
        <f t="shared" si="101"/>
        <v>2.1832000965825875</v>
      </c>
      <c r="U134" s="106">
        <f t="shared" si="101"/>
        <v>0.43365892898303138</v>
      </c>
      <c r="V134" s="106">
        <f t="shared" si="101"/>
        <v>3.0712868899430146E-3</v>
      </c>
      <c r="W134" s="106">
        <f t="shared" si="101"/>
        <v>2.8075279485477251</v>
      </c>
      <c r="X134" s="106">
        <f t="shared" si="101"/>
        <v>0.47614802286521085</v>
      </c>
      <c r="Y134" s="106">
        <f t="shared" si="101"/>
        <v>0.37875318828751586</v>
      </c>
      <c r="Z134" s="106">
        <f t="shared" si="101"/>
        <v>1.8379551917426075E-3</v>
      </c>
      <c r="AA134" s="106">
        <f t="shared" si="101"/>
        <v>0.42577601138018956</v>
      </c>
      <c r="AB134" s="106">
        <f t="shared" si="101"/>
        <v>-4.5231731459325492E-4</v>
      </c>
      <c r="AC134" s="106">
        <f t="shared" si="101"/>
        <v>1.7615217471977159E-7</v>
      </c>
      <c r="AD134" s="106">
        <f t="shared" si="101"/>
        <v>1.6615215641366719E-2</v>
      </c>
      <c r="AE134" s="106">
        <f t="shared" si="101"/>
        <v>1.9508766195456367E-2</v>
      </c>
      <c r="AF134" s="106">
        <f t="shared" si="101"/>
        <v>2.8597011614102549E-2</v>
      </c>
      <c r="AG134" s="106">
        <f t="shared" si="101"/>
        <v>4.4029058554169941E-4</v>
      </c>
      <c r="AH134" s="106">
        <f t="shared" si="101"/>
        <v>3.7797118671379901E-2</v>
      </c>
      <c r="AI134" s="210">
        <f t="shared" si="101"/>
        <v>0.12054868693879954</v>
      </c>
    </row>
    <row r="135" spans="3:35" x14ac:dyDescent="0.25">
      <c r="C135" s="135" t="s">
        <v>533</v>
      </c>
      <c r="D135" s="136" t="str">
        <f t="shared" si="95"/>
        <v>5_Hub_3000km</v>
      </c>
      <c r="E135" s="136">
        <f>1</f>
        <v>1</v>
      </c>
      <c r="F135" s="136" t="s">
        <v>357</v>
      </c>
      <c r="G135" s="136"/>
      <c r="H135" s="106">
        <f t="shared" si="98"/>
        <v>7.3848455508228241</v>
      </c>
      <c r="I135" s="106">
        <f t="shared" si="101"/>
        <v>3.0210222295777367</v>
      </c>
      <c r="J135" s="106">
        <f t="shared" si="101"/>
        <v>89.689506694297719</v>
      </c>
      <c r="K135" s="106">
        <f t="shared" si="101"/>
        <v>5.6079675472840984E-2</v>
      </c>
      <c r="L135" s="106">
        <f t="shared" si="101"/>
        <v>6.9913406451621061</v>
      </c>
      <c r="M135" s="106">
        <f t="shared" si="101"/>
        <v>3.218681731737829E-2</v>
      </c>
      <c r="N135" s="106">
        <f t="shared" si="101"/>
        <v>1.0149932900003695</v>
      </c>
      <c r="O135" s="106">
        <f t="shared" si="101"/>
        <v>19.87628191235676</v>
      </c>
      <c r="P135" s="106">
        <f t="shared" si="101"/>
        <v>1.1795472634340767</v>
      </c>
      <c r="Q135" s="106">
        <f t="shared" si="101"/>
        <v>121.860958527619</v>
      </c>
      <c r="R135" s="106">
        <f t="shared" si="101"/>
        <v>0.49556774175394236</v>
      </c>
      <c r="S135" s="106">
        <f t="shared" si="101"/>
        <v>7.2922158477503842</v>
      </c>
      <c r="T135" s="106">
        <f t="shared" si="101"/>
        <v>2.1832000965825875</v>
      </c>
      <c r="U135" s="106">
        <f t="shared" si="101"/>
        <v>0.43365892898303138</v>
      </c>
      <c r="V135" s="106">
        <f t="shared" si="101"/>
        <v>3.0712868899430146E-3</v>
      </c>
      <c r="W135" s="106">
        <f t="shared" si="101"/>
        <v>2.8075279485477251</v>
      </c>
      <c r="X135" s="106">
        <f t="shared" si="101"/>
        <v>0.47614802286521085</v>
      </c>
      <c r="Y135" s="106">
        <f t="shared" si="101"/>
        <v>0.37875318828751586</v>
      </c>
      <c r="Z135" s="106">
        <f t="shared" si="101"/>
        <v>1.8379551917426075E-3</v>
      </c>
      <c r="AA135" s="106">
        <f t="shared" si="101"/>
        <v>0.42577601138018956</v>
      </c>
      <c r="AB135" s="106">
        <f t="shared" si="101"/>
        <v>-4.5231731459325492E-4</v>
      </c>
      <c r="AC135" s="106">
        <f t="shared" si="101"/>
        <v>1.7615217471977159E-7</v>
      </c>
      <c r="AD135" s="106">
        <f t="shared" si="101"/>
        <v>1.6615215641366719E-2</v>
      </c>
      <c r="AE135" s="106">
        <f t="shared" si="101"/>
        <v>1.9508766195456367E-2</v>
      </c>
      <c r="AF135" s="106">
        <f t="shared" si="101"/>
        <v>2.8597011614102549E-2</v>
      </c>
      <c r="AG135" s="106">
        <f t="shared" si="101"/>
        <v>4.4029058554169941E-4</v>
      </c>
      <c r="AH135" s="106">
        <f t="shared" si="101"/>
        <v>3.7797118671379901E-2</v>
      </c>
      <c r="AI135" s="210">
        <f t="shared" si="101"/>
        <v>0.12054868693879954</v>
      </c>
    </row>
    <row r="136" spans="3:35" x14ac:dyDescent="0.25">
      <c r="C136" s="135" t="s">
        <v>533</v>
      </c>
      <c r="D136" s="136" t="str">
        <f t="shared" si="95"/>
        <v>6_Hub_3000km</v>
      </c>
      <c r="E136" s="136">
        <f>1</f>
        <v>1</v>
      </c>
      <c r="F136" s="136" t="s">
        <v>357</v>
      </c>
      <c r="G136" s="136"/>
      <c r="H136" s="106">
        <f t="shared" si="98"/>
        <v>7.3848455508228241</v>
      </c>
      <c r="I136" s="106">
        <f t="shared" si="101"/>
        <v>3.0210222295777367</v>
      </c>
      <c r="J136" s="106">
        <f t="shared" si="101"/>
        <v>89.689506694297719</v>
      </c>
      <c r="K136" s="106">
        <f t="shared" si="101"/>
        <v>5.6079675472840984E-2</v>
      </c>
      <c r="L136" s="106">
        <f t="shared" si="101"/>
        <v>6.9913406451621061</v>
      </c>
      <c r="M136" s="106">
        <f t="shared" si="101"/>
        <v>3.218681731737829E-2</v>
      </c>
      <c r="N136" s="106">
        <f t="shared" si="101"/>
        <v>1.0149932900003695</v>
      </c>
      <c r="O136" s="106">
        <f t="shared" si="101"/>
        <v>19.87628191235676</v>
      </c>
      <c r="P136" s="106">
        <f t="shared" si="101"/>
        <v>1.1795472634340767</v>
      </c>
      <c r="Q136" s="106">
        <f t="shared" si="101"/>
        <v>121.860958527619</v>
      </c>
      <c r="R136" s="106">
        <f t="shared" si="101"/>
        <v>0.49556774175394236</v>
      </c>
      <c r="S136" s="106">
        <f t="shared" si="101"/>
        <v>7.2922158477503842</v>
      </c>
      <c r="T136" s="106">
        <f t="shared" si="101"/>
        <v>2.1832000965825875</v>
      </c>
      <c r="U136" s="106">
        <f t="shared" si="101"/>
        <v>0.43365892898303138</v>
      </c>
      <c r="V136" s="106">
        <f t="shared" si="101"/>
        <v>3.0712868899430146E-3</v>
      </c>
      <c r="W136" s="106">
        <f t="shared" si="101"/>
        <v>2.8075279485477251</v>
      </c>
      <c r="X136" s="106">
        <f t="shared" si="101"/>
        <v>0.47614802286521085</v>
      </c>
      <c r="Y136" s="106">
        <f t="shared" si="101"/>
        <v>0.37875318828751586</v>
      </c>
      <c r="Z136" s="106">
        <f t="shared" si="101"/>
        <v>1.8379551917426075E-3</v>
      </c>
      <c r="AA136" s="106">
        <f t="shared" si="101"/>
        <v>0.42577601138018956</v>
      </c>
      <c r="AB136" s="106">
        <f t="shared" si="101"/>
        <v>-4.5231731459325492E-4</v>
      </c>
      <c r="AC136" s="106">
        <f t="shared" si="101"/>
        <v>1.7615217471977159E-7</v>
      </c>
      <c r="AD136" s="106">
        <f t="shared" si="101"/>
        <v>1.6615215641366719E-2</v>
      </c>
      <c r="AE136" s="106">
        <f t="shared" si="101"/>
        <v>1.9508766195456367E-2</v>
      </c>
      <c r="AF136" s="106">
        <f t="shared" si="101"/>
        <v>2.8597011614102549E-2</v>
      </c>
      <c r="AG136" s="106">
        <f t="shared" si="101"/>
        <v>4.4029058554169941E-4</v>
      </c>
      <c r="AH136" s="106">
        <f t="shared" si="101"/>
        <v>3.7797118671379901E-2</v>
      </c>
      <c r="AI136" s="210">
        <f t="shared" si="101"/>
        <v>0.12054868693879954</v>
      </c>
    </row>
    <row r="137" spans="3:35" x14ac:dyDescent="0.25">
      <c r="C137" s="135" t="s">
        <v>533</v>
      </c>
      <c r="D137" s="136" t="str">
        <f t="shared" si="95"/>
        <v>1_Hub_5000km</v>
      </c>
      <c r="E137" s="136">
        <f>1</f>
        <v>1</v>
      </c>
      <c r="F137" s="136" t="s">
        <v>357</v>
      </c>
      <c r="G137" s="136"/>
      <c r="H137" s="106">
        <f t="shared" si="98"/>
        <v>5.2505634380131934</v>
      </c>
      <c r="I137" s="106">
        <f t="shared" si="101"/>
        <v>3.3552181485731007</v>
      </c>
      <c r="J137" s="106">
        <f t="shared" si="101"/>
        <v>68.829959127485708</v>
      </c>
      <c r="K137" s="106">
        <f t="shared" si="101"/>
        <v>0.17347915158668911</v>
      </c>
      <c r="L137" s="106">
        <f t="shared" si="101"/>
        <v>29.499037617969954</v>
      </c>
      <c r="M137" s="106">
        <f t="shared" si="101"/>
        <v>7.2509949354821086E-3</v>
      </c>
      <c r="N137" s="106">
        <f t="shared" si="101"/>
        <v>2.3046432412940323</v>
      </c>
      <c r="O137" s="106">
        <f t="shared" si="101"/>
        <v>9.0404841727057956</v>
      </c>
      <c r="P137" s="106">
        <f t="shared" si="101"/>
        <v>4.3083204500297922</v>
      </c>
      <c r="Q137" s="106">
        <f t="shared" si="101"/>
        <v>117.51839290458054</v>
      </c>
      <c r="R137" s="106">
        <f t="shared" si="101"/>
        <v>0.47172264725269619</v>
      </c>
      <c r="S137" s="106">
        <f t="shared" si="101"/>
        <v>5.1911922833879709</v>
      </c>
      <c r="T137" s="106">
        <f t="shared" si="101"/>
        <v>1.7626700028268427</v>
      </c>
      <c r="U137" s="106">
        <f t="shared" si="101"/>
        <v>0.4098894396656998</v>
      </c>
      <c r="V137" s="106">
        <f t="shared" si="101"/>
        <v>2.8019165121165321E-3</v>
      </c>
      <c r="W137" s="106">
        <f t="shared" si="101"/>
        <v>2.4522676085186932</v>
      </c>
      <c r="X137" s="106">
        <f t="shared" si="101"/>
        <v>1.9378664402602774</v>
      </c>
      <c r="Y137" s="106">
        <f t="shared" si="101"/>
        <v>0.36006616840976546</v>
      </c>
      <c r="Z137" s="106">
        <f t="shared" si="101"/>
        <v>1.4082512977347428E-3</v>
      </c>
      <c r="AA137" s="106">
        <f t="shared" si="101"/>
        <v>0.43436271577294494</v>
      </c>
      <c r="AB137" s="106">
        <f t="shared" si="101"/>
        <v>-2.6547082129580542E-4</v>
      </c>
      <c r="AC137" s="106">
        <f t="shared" si="101"/>
        <v>2.7215309084166355E-7</v>
      </c>
      <c r="AD137" s="106">
        <f t="shared" si="101"/>
        <v>8.0494019122726093E-3</v>
      </c>
      <c r="AE137" s="106">
        <f t="shared" si="101"/>
        <v>1.2534697150260222E-2</v>
      </c>
      <c r="AF137" s="106">
        <f t="shared" si="101"/>
        <v>1.7683429556187503E-2</v>
      </c>
      <c r="AG137" s="106">
        <f t="shared" si="101"/>
        <v>3.745287253662792E-4</v>
      </c>
      <c r="AH137" s="106">
        <f t="shared" si="101"/>
        <v>3.5352418461541545E-2</v>
      </c>
      <c r="AI137" s="210">
        <f t="shared" si="101"/>
        <v>5.9581255358894518E-2</v>
      </c>
    </row>
    <row r="138" spans="3:35" x14ac:dyDescent="0.25">
      <c r="C138" s="135" t="s">
        <v>533</v>
      </c>
      <c r="D138" s="136" t="str">
        <f t="shared" si="95"/>
        <v>2_Hub_5000km</v>
      </c>
      <c r="E138" s="136">
        <f>1</f>
        <v>1</v>
      </c>
      <c r="F138" s="136" t="s">
        <v>357</v>
      </c>
      <c r="G138" s="136"/>
      <c r="H138" s="106">
        <f t="shared" si="98"/>
        <v>6.5699943588403711</v>
      </c>
      <c r="I138" s="106">
        <f t="shared" si="101"/>
        <v>3.5469623474232534</v>
      </c>
      <c r="J138" s="106">
        <f t="shared" si="101"/>
        <v>78.641536689161455</v>
      </c>
      <c r="K138" s="106">
        <f t="shared" si="101"/>
        <v>6.7685082010865164E-2</v>
      </c>
      <c r="L138" s="106">
        <f t="shared" si="101"/>
        <v>8.0357266958534588</v>
      </c>
      <c r="M138" s="106">
        <f t="shared" si="101"/>
        <v>4.1251611647723285E-2</v>
      </c>
      <c r="N138" s="106">
        <f t="shared" si="101"/>
        <v>1.1857376236086907</v>
      </c>
      <c r="O138" s="106">
        <f t="shared" si="101"/>
        <v>19.305888478665327</v>
      </c>
      <c r="P138" s="106">
        <f t="shared" si="101"/>
        <v>1.1231163250947223</v>
      </c>
      <c r="Q138" s="106">
        <f t="shared" si="101"/>
        <v>111.9479048534655</v>
      </c>
      <c r="R138" s="106">
        <f t="shared" si="101"/>
        <v>0.55677958100452152</v>
      </c>
      <c r="S138" s="106">
        <f t="shared" si="101"/>
        <v>6.4745695593796677</v>
      </c>
      <c r="T138" s="106">
        <f t="shared" si="101"/>
        <v>1.9526463137792678</v>
      </c>
      <c r="U138" s="106">
        <f t="shared" si="101"/>
        <v>0.42422110597584051</v>
      </c>
      <c r="V138" s="106">
        <f t="shared" si="101"/>
        <v>2.4791237708663592E-3</v>
      </c>
      <c r="W138" s="106">
        <f t="shared" si="101"/>
        <v>2.3928601377796954</v>
      </c>
      <c r="X138" s="106">
        <f t="shared" si="101"/>
        <v>0.52641880883446257</v>
      </c>
      <c r="Y138" s="106">
        <f t="shared" si="101"/>
        <v>0.36885220237574229</v>
      </c>
      <c r="Z138" s="106">
        <f t="shared" si="101"/>
        <v>1.7071093562408646E-3</v>
      </c>
      <c r="AA138" s="106">
        <f t="shared" si="101"/>
        <v>0.42634346739049866</v>
      </c>
      <c r="AB138" s="106">
        <f t="shared" si="101"/>
        <v>-3.7030673442184684E-4</v>
      </c>
      <c r="AC138" s="106">
        <f t="shared" si="101"/>
        <v>1.7613536984578082E-7</v>
      </c>
      <c r="AD138" s="106">
        <f t="shared" si="101"/>
        <v>1.3433180170333861E-2</v>
      </c>
      <c r="AE138" s="106">
        <f t="shared" si="101"/>
        <v>1.7039596908678633E-2</v>
      </c>
      <c r="AF138" s="106">
        <f t="shared" si="101"/>
        <v>2.5378307222108574E-2</v>
      </c>
      <c r="AG138" s="106">
        <f t="shared" si="101"/>
        <v>4.5155379511656248E-4</v>
      </c>
      <c r="AH138" s="106">
        <f t="shared" si="101"/>
        <v>3.259540142324624E-2</v>
      </c>
      <c r="AI138" s="210">
        <f t="shared" si="101"/>
        <v>0.14706368634239703</v>
      </c>
    </row>
    <row r="139" spans="3:35" x14ac:dyDescent="0.25">
      <c r="C139" s="135" t="s">
        <v>533</v>
      </c>
      <c r="D139" s="136" t="str">
        <f t="shared" si="95"/>
        <v>3_Hub_5000km</v>
      </c>
      <c r="E139" s="136">
        <f>1</f>
        <v>1</v>
      </c>
      <c r="F139" s="136" t="s">
        <v>357</v>
      </c>
      <c r="G139" s="136"/>
      <c r="H139" s="106">
        <f t="shared" si="98"/>
        <v>5.4663308299295936</v>
      </c>
      <c r="I139" s="106">
        <f t="shared" si="101"/>
        <v>1.9381125142716087</v>
      </c>
      <c r="J139" s="106">
        <f t="shared" si="101"/>
        <v>66.302506517937417</v>
      </c>
      <c r="K139" s="106">
        <f t="shared" si="101"/>
        <v>5.8484284892182097E-2</v>
      </c>
      <c r="L139" s="106">
        <f t="shared" si="101"/>
        <v>15.329793940225105</v>
      </c>
      <c r="M139" s="106">
        <f t="shared" si="101"/>
        <v>5.6914070494673129E-4</v>
      </c>
      <c r="N139" s="106">
        <f t="shared" si="101"/>
        <v>2.5141096150648141</v>
      </c>
      <c r="O139" s="106">
        <f t="shared" si="101"/>
        <v>11.97929608659774</v>
      </c>
      <c r="P139" s="106">
        <f t="shared" si="101"/>
        <v>4.0531421332390707</v>
      </c>
      <c r="Q139" s="106">
        <f t="shared" si="101"/>
        <v>102.17601423293289</v>
      </c>
      <c r="R139" s="106">
        <f t="shared" si="101"/>
        <v>0.28762028699095793</v>
      </c>
      <c r="S139" s="106">
        <f t="shared" si="101"/>
        <v>5.403546926021396</v>
      </c>
      <c r="T139" s="106">
        <f t="shared" si="101"/>
        <v>1.665477424935919</v>
      </c>
      <c r="U139" s="106">
        <f t="shared" si="101"/>
        <v>0.43118449702704165</v>
      </c>
      <c r="V139" s="106">
        <f t="shared" si="101"/>
        <v>4.279202026830204E-3</v>
      </c>
      <c r="W139" s="106">
        <f t="shared" si="101"/>
        <v>3.2306261472750286</v>
      </c>
      <c r="X139" s="106">
        <f t="shared" si="101"/>
        <v>0.91826450326185061</v>
      </c>
      <c r="Y139" s="106">
        <f t="shared" si="101"/>
        <v>0.37960718454719844</v>
      </c>
      <c r="Z139" s="106">
        <f t="shared" si="101"/>
        <v>1.5438030203645582E-3</v>
      </c>
      <c r="AA139" s="106">
        <f t="shared" si="101"/>
        <v>0.43825531080574487</v>
      </c>
      <c r="AB139" s="106">
        <f t="shared" si="101"/>
        <v>-2.5962230642091689E-4</v>
      </c>
      <c r="AC139" s="106">
        <f t="shared" si="101"/>
        <v>2.0241970177645809E-7</v>
      </c>
      <c r="AD139" s="106">
        <f t="shared" si="101"/>
        <v>5.5059490009575539E-3</v>
      </c>
      <c r="AE139" s="106">
        <f t="shared" si="101"/>
        <v>1.0641518388961361E-2</v>
      </c>
      <c r="AF139" s="106">
        <f t="shared" si="101"/>
        <v>1.4141690502944362E-2</v>
      </c>
      <c r="AG139" s="106">
        <f t="shared" si="101"/>
        <v>3.5592661995052707E-4</v>
      </c>
      <c r="AH139" s="106">
        <f t="shared" si="101"/>
        <v>3.0093627251360264E-2</v>
      </c>
      <c r="AI139" s="210">
        <f t="shared" si="101"/>
        <v>3.8432764214432071E-2</v>
      </c>
    </row>
    <row r="140" spans="3:35" x14ac:dyDescent="0.25">
      <c r="C140" s="135" t="s">
        <v>533</v>
      </c>
      <c r="D140" s="136" t="str">
        <f>D85</f>
        <v>4_Hub_5000km</v>
      </c>
      <c r="E140" s="136">
        <f>1</f>
        <v>1</v>
      </c>
      <c r="F140" s="136" t="s">
        <v>357</v>
      </c>
      <c r="G140" s="136"/>
      <c r="H140" s="106">
        <f t="shared" si="98"/>
        <v>6.5699943588403711</v>
      </c>
      <c r="I140" s="106">
        <f t="shared" si="101"/>
        <v>3.5469623474232534</v>
      </c>
      <c r="J140" s="106">
        <f t="shared" si="101"/>
        <v>78.641536689161455</v>
      </c>
      <c r="K140" s="106">
        <f t="shared" si="101"/>
        <v>6.7685082010865164E-2</v>
      </c>
      <c r="L140" s="106">
        <f t="shared" si="101"/>
        <v>8.0357266958534588</v>
      </c>
      <c r="M140" s="106">
        <f t="shared" si="101"/>
        <v>4.1251611647723285E-2</v>
      </c>
      <c r="N140" s="106">
        <f t="shared" si="101"/>
        <v>1.1857376236086907</v>
      </c>
      <c r="O140" s="106">
        <f t="shared" si="101"/>
        <v>19.305888478665327</v>
      </c>
      <c r="P140" s="106">
        <f t="shared" si="101"/>
        <v>1.1231163250947223</v>
      </c>
      <c r="Q140" s="106">
        <f t="shared" si="101"/>
        <v>111.9479048534655</v>
      </c>
      <c r="R140" s="106">
        <f t="shared" ref="I140:AI148" si="102">SUM(R$39,R85)</f>
        <v>0.55677958100452152</v>
      </c>
      <c r="S140" s="106">
        <f t="shared" si="102"/>
        <v>6.4745695593796677</v>
      </c>
      <c r="T140" s="106">
        <f t="shared" si="102"/>
        <v>1.9526463137792678</v>
      </c>
      <c r="U140" s="106">
        <f t="shared" si="102"/>
        <v>0.42422110597584051</v>
      </c>
      <c r="V140" s="106">
        <f t="shared" si="102"/>
        <v>2.4791237708663592E-3</v>
      </c>
      <c r="W140" s="106">
        <f t="shared" si="102"/>
        <v>2.3928601377796954</v>
      </c>
      <c r="X140" s="106">
        <f t="shared" si="102"/>
        <v>0.52641880883446257</v>
      </c>
      <c r="Y140" s="106">
        <f t="shared" si="102"/>
        <v>0.36885220237574229</v>
      </c>
      <c r="Z140" s="106">
        <f t="shared" si="102"/>
        <v>1.7071093562408646E-3</v>
      </c>
      <c r="AA140" s="106">
        <f t="shared" si="102"/>
        <v>0.42634346739049866</v>
      </c>
      <c r="AB140" s="106">
        <f t="shared" si="102"/>
        <v>-3.7030673442184684E-4</v>
      </c>
      <c r="AC140" s="106">
        <f t="shared" si="102"/>
        <v>1.7613536984578082E-7</v>
      </c>
      <c r="AD140" s="106">
        <f t="shared" si="102"/>
        <v>1.3433180170333861E-2</v>
      </c>
      <c r="AE140" s="106">
        <f t="shared" si="102"/>
        <v>1.7039596908678633E-2</v>
      </c>
      <c r="AF140" s="106">
        <f t="shared" si="102"/>
        <v>2.5378307222108574E-2</v>
      </c>
      <c r="AG140" s="106">
        <f t="shared" si="102"/>
        <v>4.5155379511656248E-4</v>
      </c>
      <c r="AH140" s="106">
        <f t="shared" si="102"/>
        <v>3.259540142324624E-2</v>
      </c>
      <c r="AI140" s="210">
        <f t="shared" si="102"/>
        <v>0.14706368634239703</v>
      </c>
    </row>
    <row r="141" spans="3:35" x14ac:dyDescent="0.25">
      <c r="C141" s="135" t="s">
        <v>533</v>
      </c>
      <c r="D141" s="136" t="str">
        <f t="shared" si="95"/>
        <v>5_Hub_5000km</v>
      </c>
      <c r="E141" s="136">
        <f>1</f>
        <v>1</v>
      </c>
      <c r="F141" s="136" t="s">
        <v>357</v>
      </c>
      <c r="G141" s="136"/>
      <c r="H141" s="106">
        <f t="shared" si="98"/>
        <v>6.5699943588403711</v>
      </c>
      <c r="I141" s="106">
        <f t="shared" si="102"/>
        <v>3.5469623474232534</v>
      </c>
      <c r="J141" s="106">
        <f t="shared" si="102"/>
        <v>78.641536689161455</v>
      </c>
      <c r="K141" s="106">
        <f t="shared" si="102"/>
        <v>6.7685082010865164E-2</v>
      </c>
      <c r="L141" s="106">
        <f t="shared" si="102"/>
        <v>8.0357266958534588</v>
      </c>
      <c r="M141" s="106">
        <f t="shared" si="102"/>
        <v>4.1251611647723285E-2</v>
      </c>
      <c r="N141" s="106">
        <f t="shared" si="102"/>
        <v>1.1857376236086907</v>
      </c>
      <c r="O141" s="106">
        <f t="shared" si="102"/>
        <v>19.305888478665327</v>
      </c>
      <c r="P141" s="106">
        <f t="shared" si="102"/>
        <v>1.1231163250947223</v>
      </c>
      <c r="Q141" s="106">
        <f t="shared" si="102"/>
        <v>111.9479048534655</v>
      </c>
      <c r="R141" s="106">
        <f t="shared" si="102"/>
        <v>0.55677958100452152</v>
      </c>
      <c r="S141" s="106">
        <f t="shared" si="102"/>
        <v>6.4745695593796677</v>
      </c>
      <c r="T141" s="106">
        <f t="shared" si="102"/>
        <v>1.9526463137792678</v>
      </c>
      <c r="U141" s="106">
        <f t="shared" si="102"/>
        <v>0.42422110597584051</v>
      </c>
      <c r="V141" s="106">
        <f t="shared" si="102"/>
        <v>2.4791237708663592E-3</v>
      </c>
      <c r="W141" s="106">
        <f t="shared" si="102"/>
        <v>2.3928601377796954</v>
      </c>
      <c r="X141" s="106">
        <f t="shared" si="102"/>
        <v>0.52641880883446257</v>
      </c>
      <c r="Y141" s="106">
        <f t="shared" si="102"/>
        <v>0.36885220237574229</v>
      </c>
      <c r="Z141" s="106">
        <f t="shared" si="102"/>
        <v>1.7071093562408646E-3</v>
      </c>
      <c r="AA141" s="106">
        <f t="shared" si="102"/>
        <v>0.42634346739049866</v>
      </c>
      <c r="AB141" s="106">
        <f t="shared" si="102"/>
        <v>-3.7030673442184684E-4</v>
      </c>
      <c r="AC141" s="106">
        <f t="shared" si="102"/>
        <v>1.7613536984578082E-7</v>
      </c>
      <c r="AD141" s="106">
        <f t="shared" si="102"/>
        <v>1.3433180170333861E-2</v>
      </c>
      <c r="AE141" s="106">
        <f t="shared" si="102"/>
        <v>1.7039596908678633E-2</v>
      </c>
      <c r="AF141" s="106">
        <f t="shared" si="102"/>
        <v>2.5378307222108574E-2</v>
      </c>
      <c r="AG141" s="106">
        <f t="shared" si="102"/>
        <v>4.5155379511656248E-4</v>
      </c>
      <c r="AH141" s="106">
        <f t="shared" si="102"/>
        <v>3.259540142324624E-2</v>
      </c>
      <c r="AI141" s="210">
        <f t="shared" si="102"/>
        <v>0.14706368634239703</v>
      </c>
    </row>
    <row r="142" spans="3:35" x14ac:dyDescent="0.25">
      <c r="C142" s="135" t="s">
        <v>533</v>
      </c>
      <c r="D142" s="136" t="str">
        <f t="shared" si="95"/>
        <v>6_Hub_5000km</v>
      </c>
      <c r="E142" s="136">
        <f>1</f>
        <v>1</v>
      </c>
      <c r="F142" s="136" t="s">
        <v>357</v>
      </c>
      <c r="G142" s="136"/>
      <c r="H142" s="106">
        <f t="shared" si="98"/>
        <v>6.5699943588403711</v>
      </c>
      <c r="I142" s="106">
        <f t="shared" si="102"/>
        <v>3.5469623474232534</v>
      </c>
      <c r="J142" s="106">
        <f t="shared" si="102"/>
        <v>78.641536689161455</v>
      </c>
      <c r="K142" s="106">
        <f t="shared" si="102"/>
        <v>6.7685082010865164E-2</v>
      </c>
      <c r="L142" s="106">
        <f t="shared" si="102"/>
        <v>8.0357266958534588</v>
      </c>
      <c r="M142" s="106">
        <f t="shared" si="102"/>
        <v>4.1251611647723285E-2</v>
      </c>
      <c r="N142" s="106">
        <f t="shared" si="102"/>
        <v>1.1857376236086907</v>
      </c>
      <c r="O142" s="106">
        <f t="shared" si="102"/>
        <v>19.305888478665327</v>
      </c>
      <c r="P142" s="106">
        <f t="shared" si="102"/>
        <v>1.1231163250947223</v>
      </c>
      <c r="Q142" s="106">
        <f t="shared" si="102"/>
        <v>111.9479048534655</v>
      </c>
      <c r="R142" s="106">
        <f t="shared" si="102"/>
        <v>0.55677958100452152</v>
      </c>
      <c r="S142" s="106">
        <f t="shared" si="102"/>
        <v>6.4745695593796677</v>
      </c>
      <c r="T142" s="106">
        <f t="shared" si="102"/>
        <v>1.9526463137792678</v>
      </c>
      <c r="U142" s="106">
        <f t="shared" si="102"/>
        <v>0.42422110597584051</v>
      </c>
      <c r="V142" s="106">
        <f t="shared" si="102"/>
        <v>2.4791237708663592E-3</v>
      </c>
      <c r="W142" s="106">
        <f t="shared" si="102"/>
        <v>2.3928601377796954</v>
      </c>
      <c r="X142" s="106">
        <f t="shared" si="102"/>
        <v>0.52641880883446257</v>
      </c>
      <c r="Y142" s="106">
        <f t="shared" si="102"/>
        <v>0.36885220237574229</v>
      </c>
      <c r="Z142" s="106">
        <f t="shared" si="102"/>
        <v>1.7071093562408646E-3</v>
      </c>
      <c r="AA142" s="106">
        <f t="shared" si="102"/>
        <v>0.42634346739049866</v>
      </c>
      <c r="AB142" s="106">
        <f t="shared" si="102"/>
        <v>-3.7030673442184684E-4</v>
      </c>
      <c r="AC142" s="106">
        <f t="shared" si="102"/>
        <v>1.7613536984578082E-7</v>
      </c>
      <c r="AD142" s="106">
        <f t="shared" si="102"/>
        <v>1.3433180170333861E-2</v>
      </c>
      <c r="AE142" s="106">
        <f t="shared" si="102"/>
        <v>1.7039596908678633E-2</v>
      </c>
      <c r="AF142" s="106">
        <f t="shared" si="102"/>
        <v>2.5378307222108574E-2</v>
      </c>
      <c r="AG142" s="106">
        <f t="shared" si="102"/>
        <v>4.5155379511656248E-4</v>
      </c>
      <c r="AH142" s="106">
        <f t="shared" si="102"/>
        <v>3.259540142324624E-2</v>
      </c>
      <c r="AI142" s="210">
        <f t="shared" si="102"/>
        <v>0.14706368634239703</v>
      </c>
    </row>
    <row r="143" spans="3:35" x14ac:dyDescent="0.25">
      <c r="C143" s="135" t="s">
        <v>533</v>
      </c>
      <c r="D143" s="136" t="str">
        <f t="shared" si="95"/>
        <v>1_Hub_10000km</v>
      </c>
      <c r="E143" s="136">
        <f>1</f>
        <v>1</v>
      </c>
      <c r="F143" s="136" t="s">
        <v>357</v>
      </c>
      <c r="G143" s="136"/>
      <c r="H143" s="106">
        <f t="shared" si="98"/>
        <v>0.52178302691283596</v>
      </c>
      <c r="I143" s="106">
        <f t="shared" si="102"/>
        <v>0.1610134487767276</v>
      </c>
      <c r="J143" s="106">
        <f t="shared" si="102"/>
        <v>5.8595931394201495</v>
      </c>
      <c r="K143" s="106">
        <f t="shared" si="102"/>
        <v>1.1324718997922761E-2</v>
      </c>
      <c r="L143" s="106">
        <f t="shared" si="102"/>
        <v>0.80586864578261208</v>
      </c>
      <c r="M143" s="106">
        <f t="shared" si="102"/>
        <v>2.1742849632328358E-4</v>
      </c>
      <c r="N143" s="106">
        <f t="shared" si="102"/>
        <v>1.54311303233097E-3</v>
      </c>
      <c r="O143" s="106">
        <f t="shared" si="102"/>
        <v>0.4085075889945709</v>
      </c>
      <c r="P143" s="106">
        <f t="shared" si="102"/>
        <v>9.1207207428302239E-2</v>
      </c>
      <c r="Q143" s="106">
        <f t="shared" si="102"/>
        <v>7.3392752909289394</v>
      </c>
      <c r="R143" s="106">
        <f t="shared" si="102"/>
        <v>3.4920338181529856E-2</v>
      </c>
      <c r="S143" s="106">
        <f t="shared" si="102"/>
        <v>0.51164124817229484</v>
      </c>
      <c r="T143" s="106">
        <f t="shared" si="102"/>
        <v>0.14456602266460819</v>
      </c>
      <c r="U143" s="106">
        <f t="shared" si="102"/>
        <v>0.14880911275041045</v>
      </c>
      <c r="V143" s="106">
        <f t="shared" si="102"/>
        <v>5.6829333582287308E-4</v>
      </c>
      <c r="W143" s="106">
        <f t="shared" si="102"/>
        <v>0.74187283760070888</v>
      </c>
      <c r="X143" s="106">
        <f t="shared" si="102"/>
        <v>5.2914390571805976E-2</v>
      </c>
      <c r="Y143" s="106">
        <f t="shared" si="102"/>
        <v>0.13197961547358208</v>
      </c>
      <c r="Z143" s="106">
        <f t="shared" si="102"/>
        <v>3.8824432578718292E-4</v>
      </c>
      <c r="AA143" s="106">
        <f t="shared" si="102"/>
        <v>0.30070549663416046</v>
      </c>
      <c r="AB143" s="106">
        <f t="shared" si="102"/>
        <v>-7.1372307453955219E-5</v>
      </c>
      <c r="AC143" s="106">
        <f t="shared" si="102"/>
        <v>3.5882611727593278E-8</v>
      </c>
      <c r="AD143" s="106">
        <f t="shared" si="102"/>
        <v>1.5115830690408585E-3</v>
      </c>
      <c r="AE143" s="106">
        <f t="shared" si="102"/>
        <v>1.9676826786188431E-3</v>
      </c>
      <c r="AF143" s="106">
        <f t="shared" si="102"/>
        <v>2.4508483285076493E-3</v>
      </c>
      <c r="AG143" s="106">
        <f t="shared" si="102"/>
        <v>1.1296044855666416E-4</v>
      </c>
      <c r="AH143" s="106">
        <f t="shared" si="102"/>
        <v>5.7892472890600745E-3</v>
      </c>
      <c r="AI143" s="210">
        <f t="shared" si="102"/>
        <v>4.7479927591960822E-3</v>
      </c>
    </row>
    <row r="144" spans="3:35" x14ac:dyDescent="0.25">
      <c r="C144" s="135" t="s">
        <v>533</v>
      </c>
      <c r="D144" s="136" t="str">
        <f t="shared" si="95"/>
        <v>2_Hub_10000km</v>
      </c>
      <c r="E144" s="136">
        <f>1</f>
        <v>1</v>
      </c>
      <c r="F144" s="136" t="s">
        <v>357</v>
      </c>
      <c r="G144" s="136"/>
      <c r="H144" s="106">
        <f t="shared" si="98"/>
        <v>0.52178302691283596</v>
      </c>
      <c r="I144" s="106">
        <f t="shared" si="102"/>
        <v>0.1610134487767276</v>
      </c>
      <c r="J144" s="106">
        <f t="shared" si="102"/>
        <v>5.8595931394201495</v>
      </c>
      <c r="K144" s="106">
        <f t="shared" si="102"/>
        <v>1.1324718997922761E-2</v>
      </c>
      <c r="L144" s="106">
        <f t="shared" si="102"/>
        <v>0.80586864578261208</v>
      </c>
      <c r="M144" s="106">
        <f t="shared" si="102"/>
        <v>2.1742849632328358E-4</v>
      </c>
      <c r="N144" s="106">
        <f t="shared" si="102"/>
        <v>1.54311303233097E-3</v>
      </c>
      <c r="O144" s="106">
        <f t="shared" si="102"/>
        <v>0.4085075889945709</v>
      </c>
      <c r="P144" s="106">
        <f t="shared" si="102"/>
        <v>9.1207207428302239E-2</v>
      </c>
      <c r="Q144" s="106">
        <f t="shared" si="102"/>
        <v>7.3392752909289394</v>
      </c>
      <c r="R144" s="106">
        <f t="shared" si="102"/>
        <v>3.4920338181529856E-2</v>
      </c>
      <c r="S144" s="106">
        <f t="shared" si="102"/>
        <v>0.51164124817229484</v>
      </c>
      <c r="T144" s="106">
        <f t="shared" si="102"/>
        <v>0.14456602266460819</v>
      </c>
      <c r="U144" s="106">
        <f t="shared" si="102"/>
        <v>0.14880911275041045</v>
      </c>
      <c r="V144" s="106">
        <f t="shared" si="102"/>
        <v>5.6829333582287308E-4</v>
      </c>
      <c r="W144" s="106">
        <f t="shared" si="102"/>
        <v>0.74187283760070888</v>
      </c>
      <c r="X144" s="106">
        <f t="shared" si="102"/>
        <v>5.2914390571805976E-2</v>
      </c>
      <c r="Y144" s="106">
        <f t="shared" si="102"/>
        <v>0.13197961547358208</v>
      </c>
      <c r="Z144" s="106">
        <f t="shared" si="102"/>
        <v>3.8824432578718292E-4</v>
      </c>
      <c r="AA144" s="106">
        <f t="shared" si="102"/>
        <v>0.30070549663416046</v>
      </c>
      <c r="AB144" s="106">
        <f t="shared" si="102"/>
        <v>-7.1372307453955219E-5</v>
      </c>
      <c r="AC144" s="106">
        <f t="shared" si="102"/>
        <v>3.5882611727593278E-8</v>
      </c>
      <c r="AD144" s="106">
        <f t="shared" si="102"/>
        <v>1.5115830690408585E-3</v>
      </c>
      <c r="AE144" s="106">
        <f t="shared" si="102"/>
        <v>1.9676826786188431E-3</v>
      </c>
      <c r="AF144" s="106">
        <f t="shared" si="102"/>
        <v>2.4508483285076493E-3</v>
      </c>
      <c r="AG144" s="106">
        <f t="shared" si="102"/>
        <v>1.1296044855666416E-4</v>
      </c>
      <c r="AH144" s="106">
        <f t="shared" si="102"/>
        <v>5.7892472890600745E-3</v>
      </c>
      <c r="AI144" s="210">
        <f t="shared" si="102"/>
        <v>4.7479927591960822E-3</v>
      </c>
    </row>
    <row r="145" spans="3:35" x14ac:dyDescent="0.25">
      <c r="C145" s="135" t="s">
        <v>533</v>
      </c>
      <c r="D145" s="136" t="str">
        <f t="shared" si="95"/>
        <v>3_Hub_10000km</v>
      </c>
      <c r="E145" s="136">
        <f>1</f>
        <v>1</v>
      </c>
      <c r="F145" s="136" t="s">
        <v>357</v>
      </c>
      <c r="G145" s="136"/>
      <c r="H145" s="106">
        <f t="shared" si="98"/>
        <v>0.52178302691283596</v>
      </c>
      <c r="I145" s="106">
        <f t="shared" si="102"/>
        <v>0.1610134487767276</v>
      </c>
      <c r="J145" s="106">
        <f t="shared" si="102"/>
        <v>5.8595931394201495</v>
      </c>
      <c r="K145" s="106">
        <f t="shared" si="102"/>
        <v>1.1324718997922761E-2</v>
      </c>
      <c r="L145" s="106">
        <f t="shared" si="102"/>
        <v>0.80586864578261208</v>
      </c>
      <c r="M145" s="106">
        <f t="shared" si="102"/>
        <v>2.1742849632328358E-4</v>
      </c>
      <c r="N145" s="106">
        <f t="shared" si="102"/>
        <v>1.54311303233097E-3</v>
      </c>
      <c r="O145" s="106">
        <f t="shared" si="102"/>
        <v>0.4085075889945709</v>
      </c>
      <c r="P145" s="106">
        <f t="shared" si="102"/>
        <v>9.1207207428302239E-2</v>
      </c>
      <c r="Q145" s="106">
        <f t="shared" si="102"/>
        <v>7.3392752909289394</v>
      </c>
      <c r="R145" s="106">
        <f t="shared" si="102"/>
        <v>3.4920338181529856E-2</v>
      </c>
      <c r="S145" s="106">
        <f t="shared" si="102"/>
        <v>0.51164124817229484</v>
      </c>
      <c r="T145" s="106">
        <f t="shared" si="102"/>
        <v>0.14456602266460819</v>
      </c>
      <c r="U145" s="106">
        <f t="shared" si="102"/>
        <v>0.14880911275041045</v>
      </c>
      <c r="V145" s="106">
        <f t="shared" si="102"/>
        <v>5.6829333582287308E-4</v>
      </c>
      <c r="W145" s="106">
        <f t="shared" si="102"/>
        <v>0.74187283760070888</v>
      </c>
      <c r="X145" s="106">
        <f t="shared" si="102"/>
        <v>5.2914390571805976E-2</v>
      </c>
      <c r="Y145" s="106">
        <f t="shared" si="102"/>
        <v>0.13197961547358208</v>
      </c>
      <c r="Z145" s="106">
        <f t="shared" si="102"/>
        <v>3.8824432578718292E-4</v>
      </c>
      <c r="AA145" s="106">
        <f t="shared" si="102"/>
        <v>0.30070549663416046</v>
      </c>
      <c r="AB145" s="106">
        <f t="shared" si="102"/>
        <v>-7.1372307453955219E-5</v>
      </c>
      <c r="AC145" s="106">
        <f t="shared" si="102"/>
        <v>3.5882611727593278E-8</v>
      </c>
      <c r="AD145" s="106">
        <f t="shared" si="102"/>
        <v>1.5115830690408585E-3</v>
      </c>
      <c r="AE145" s="106">
        <f t="shared" si="102"/>
        <v>1.9676826786188431E-3</v>
      </c>
      <c r="AF145" s="106">
        <f t="shared" si="102"/>
        <v>2.4508483285076493E-3</v>
      </c>
      <c r="AG145" s="106">
        <f t="shared" si="102"/>
        <v>1.1296044855666416E-4</v>
      </c>
      <c r="AH145" s="106">
        <f t="shared" si="102"/>
        <v>5.7892472890600745E-3</v>
      </c>
      <c r="AI145" s="210">
        <f t="shared" si="102"/>
        <v>4.7479927591960822E-3</v>
      </c>
    </row>
    <row r="146" spans="3:35" x14ac:dyDescent="0.25">
      <c r="C146" s="135" t="s">
        <v>533</v>
      </c>
      <c r="D146" s="136" t="str">
        <f t="shared" si="95"/>
        <v>4_Hub_10000km</v>
      </c>
      <c r="E146" s="136">
        <f>1</f>
        <v>1</v>
      </c>
      <c r="F146" s="136" t="s">
        <v>357</v>
      </c>
      <c r="G146" s="136"/>
      <c r="H146" s="106">
        <f t="shared" si="98"/>
        <v>0.52178302691283596</v>
      </c>
      <c r="I146" s="106">
        <f t="shared" si="102"/>
        <v>0.1610134487767276</v>
      </c>
      <c r="J146" s="106">
        <f t="shared" si="102"/>
        <v>5.8595931394201495</v>
      </c>
      <c r="K146" s="106">
        <f t="shared" si="102"/>
        <v>1.1324718997922761E-2</v>
      </c>
      <c r="L146" s="106">
        <f t="shared" si="102"/>
        <v>0.80586864578261208</v>
      </c>
      <c r="M146" s="106">
        <f t="shared" si="102"/>
        <v>2.1742849632328358E-4</v>
      </c>
      <c r="N146" s="106">
        <f t="shared" si="102"/>
        <v>1.54311303233097E-3</v>
      </c>
      <c r="O146" s="106">
        <f t="shared" si="102"/>
        <v>0.4085075889945709</v>
      </c>
      <c r="P146" s="106">
        <f t="shared" si="102"/>
        <v>9.1207207428302239E-2</v>
      </c>
      <c r="Q146" s="106">
        <f t="shared" si="102"/>
        <v>7.3392752909289394</v>
      </c>
      <c r="R146" s="106">
        <f t="shared" si="102"/>
        <v>3.4920338181529856E-2</v>
      </c>
      <c r="S146" s="106">
        <f t="shared" si="102"/>
        <v>0.51164124817229484</v>
      </c>
      <c r="T146" s="106">
        <f t="shared" si="102"/>
        <v>0.14456602266460819</v>
      </c>
      <c r="U146" s="106">
        <f t="shared" si="102"/>
        <v>0.14880911275041045</v>
      </c>
      <c r="V146" s="106">
        <f t="shared" si="102"/>
        <v>5.6829333582287308E-4</v>
      </c>
      <c r="W146" s="106">
        <f t="shared" si="102"/>
        <v>0.74187283760070888</v>
      </c>
      <c r="X146" s="106">
        <f t="shared" si="102"/>
        <v>5.2914390571805976E-2</v>
      </c>
      <c r="Y146" s="106">
        <f t="shared" si="102"/>
        <v>0.13197961547358208</v>
      </c>
      <c r="Z146" s="106">
        <f t="shared" si="102"/>
        <v>3.8824432578718292E-4</v>
      </c>
      <c r="AA146" s="106">
        <f t="shared" si="102"/>
        <v>0.30070549663416046</v>
      </c>
      <c r="AB146" s="106">
        <f t="shared" si="102"/>
        <v>-7.1372307453955219E-5</v>
      </c>
      <c r="AC146" s="106">
        <f t="shared" si="102"/>
        <v>3.5882611727593278E-8</v>
      </c>
      <c r="AD146" s="106">
        <f t="shared" si="102"/>
        <v>1.5115830690408585E-3</v>
      </c>
      <c r="AE146" s="106">
        <f t="shared" si="102"/>
        <v>1.9676826786188431E-3</v>
      </c>
      <c r="AF146" s="106">
        <f t="shared" si="102"/>
        <v>2.4508483285076493E-3</v>
      </c>
      <c r="AG146" s="106">
        <f t="shared" si="102"/>
        <v>1.1296044855666416E-4</v>
      </c>
      <c r="AH146" s="106">
        <f t="shared" si="102"/>
        <v>5.7892472890600745E-3</v>
      </c>
      <c r="AI146" s="210">
        <f t="shared" si="102"/>
        <v>4.7479927591960822E-3</v>
      </c>
    </row>
    <row r="147" spans="3:35" x14ac:dyDescent="0.25">
      <c r="C147" s="135" t="s">
        <v>533</v>
      </c>
      <c r="D147" s="136" t="str">
        <f t="shared" si="95"/>
        <v>5_Hub_10000km</v>
      </c>
      <c r="E147" s="136">
        <f>1</f>
        <v>1</v>
      </c>
      <c r="F147" s="136" t="s">
        <v>357</v>
      </c>
      <c r="G147" s="136"/>
      <c r="H147" s="106">
        <f t="shared" si="98"/>
        <v>0.52178302691283596</v>
      </c>
      <c r="I147" s="106">
        <f t="shared" si="102"/>
        <v>0.1610134487767276</v>
      </c>
      <c r="J147" s="106">
        <f t="shared" si="102"/>
        <v>5.8595931394201495</v>
      </c>
      <c r="K147" s="106">
        <f t="shared" si="102"/>
        <v>1.1324718997922761E-2</v>
      </c>
      <c r="L147" s="106">
        <f t="shared" si="102"/>
        <v>0.80586864578261208</v>
      </c>
      <c r="M147" s="106">
        <f t="shared" si="102"/>
        <v>2.1742849632328358E-4</v>
      </c>
      <c r="N147" s="106">
        <f t="shared" si="102"/>
        <v>1.54311303233097E-3</v>
      </c>
      <c r="O147" s="106">
        <f t="shared" si="102"/>
        <v>0.4085075889945709</v>
      </c>
      <c r="P147" s="106">
        <f t="shared" si="102"/>
        <v>9.1207207428302239E-2</v>
      </c>
      <c r="Q147" s="106">
        <f t="shared" si="102"/>
        <v>7.3392752909289394</v>
      </c>
      <c r="R147" s="106">
        <f t="shared" si="102"/>
        <v>3.4920338181529856E-2</v>
      </c>
      <c r="S147" s="106">
        <f t="shared" si="102"/>
        <v>0.51164124817229484</v>
      </c>
      <c r="T147" s="106">
        <f t="shared" si="102"/>
        <v>0.14456602266460819</v>
      </c>
      <c r="U147" s="106">
        <f t="shared" si="102"/>
        <v>0.14880911275041045</v>
      </c>
      <c r="V147" s="106">
        <f t="shared" si="102"/>
        <v>5.6829333582287308E-4</v>
      </c>
      <c r="W147" s="106">
        <f t="shared" si="102"/>
        <v>0.74187283760070888</v>
      </c>
      <c r="X147" s="106">
        <f t="shared" si="102"/>
        <v>5.2914390571805976E-2</v>
      </c>
      <c r="Y147" s="106">
        <f t="shared" si="102"/>
        <v>0.13197961547358208</v>
      </c>
      <c r="Z147" s="106">
        <f t="shared" si="102"/>
        <v>3.8824432578718292E-4</v>
      </c>
      <c r="AA147" s="106">
        <f t="shared" si="102"/>
        <v>0.30070549663416046</v>
      </c>
      <c r="AB147" s="106">
        <f t="shared" si="102"/>
        <v>-7.1372307453955219E-5</v>
      </c>
      <c r="AC147" s="106">
        <f t="shared" si="102"/>
        <v>3.5882611727593278E-8</v>
      </c>
      <c r="AD147" s="106">
        <f t="shared" si="102"/>
        <v>1.5115830690408585E-3</v>
      </c>
      <c r="AE147" s="106">
        <f t="shared" si="102"/>
        <v>1.9676826786188431E-3</v>
      </c>
      <c r="AF147" s="106">
        <f t="shared" si="102"/>
        <v>2.4508483285076493E-3</v>
      </c>
      <c r="AG147" s="106">
        <f t="shared" si="102"/>
        <v>1.1296044855666416E-4</v>
      </c>
      <c r="AH147" s="106">
        <f t="shared" si="102"/>
        <v>5.7892472890600745E-3</v>
      </c>
      <c r="AI147" s="210">
        <f t="shared" si="102"/>
        <v>4.7479927591960822E-3</v>
      </c>
    </row>
    <row r="148" spans="3:35" x14ac:dyDescent="0.25">
      <c r="C148" s="143" t="s">
        <v>533</v>
      </c>
      <c r="D148" s="144" t="str">
        <f t="shared" si="95"/>
        <v>6_Hub_10000km</v>
      </c>
      <c r="E148" s="144">
        <f>1</f>
        <v>1</v>
      </c>
      <c r="F148" s="144" t="s">
        <v>357</v>
      </c>
      <c r="G148" s="144"/>
      <c r="H148" s="187">
        <f t="shared" si="98"/>
        <v>0.52178302691283596</v>
      </c>
      <c r="I148" s="187">
        <f t="shared" si="102"/>
        <v>0.1610134487767276</v>
      </c>
      <c r="J148" s="187">
        <f t="shared" si="102"/>
        <v>5.8595931394201495</v>
      </c>
      <c r="K148" s="187">
        <f t="shared" si="102"/>
        <v>1.1324718997922761E-2</v>
      </c>
      <c r="L148" s="187">
        <f t="shared" si="102"/>
        <v>0.80586864578261208</v>
      </c>
      <c r="M148" s="187">
        <f t="shared" si="102"/>
        <v>2.1742849632328358E-4</v>
      </c>
      <c r="N148" s="187">
        <f t="shared" si="102"/>
        <v>1.54311303233097E-3</v>
      </c>
      <c r="O148" s="187">
        <f t="shared" si="102"/>
        <v>0.4085075889945709</v>
      </c>
      <c r="P148" s="187">
        <f t="shared" si="102"/>
        <v>9.1207207428302239E-2</v>
      </c>
      <c r="Q148" s="187">
        <f t="shared" si="102"/>
        <v>7.3392752909289394</v>
      </c>
      <c r="R148" s="187">
        <f t="shared" si="102"/>
        <v>3.4920338181529856E-2</v>
      </c>
      <c r="S148" s="187">
        <f t="shared" si="102"/>
        <v>0.51164124817229484</v>
      </c>
      <c r="T148" s="187">
        <f t="shared" si="102"/>
        <v>0.14456602266460819</v>
      </c>
      <c r="U148" s="187">
        <f t="shared" si="102"/>
        <v>0.14880911275041045</v>
      </c>
      <c r="V148" s="187">
        <f t="shared" si="102"/>
        <v>5.6829333582287308E-4</v>
      </c>
      <c r="W148" s="187">
        <f t="shared" si="102"/>
        <v>0.74187283760070888</v>
      </c>
      <c r="X148" s="187">
        <f t="shared" si="102"/>
        <v>5.2914390571805976E-2</v>
      </c>
      <c r="Y148" s="187">
        <f t="shared" si="102"/>
        <v>0.13197961547358208</v>
      </c>
      <c r="Z148" s="187">
        <f t="shared" si="102"/>
        <v>3.8824432578718292E-4</v>
      </c>
      <c r="AA148" s="187">
        <f t="shared" si="102"/>
        <v>0.30070549663416046</v>
      </c>
      <c r="AB148" s="187">
        <f t="shared" si="102"/>
        <v>-7.1372307453955219E-5</v>
      </c>
      <c r="AC148" s="187">
        <f t="shared" si="102"/>
        <v>3.5882611727593278E-8</v>
      </c>
      <c r="AD148" s="187">
        <f t="shared" si="102"/>
        <v>1.5115830690408585E-3</v>
      </c>
      <c r="AE148" s="187">
        <f t="shared" si="102"/>
        <v>1.9676826786188431E-3</v>
      </c>
      <c r="AF148" s="187">
        <f t="shared" si="102"/>
        <v>2.4508483285076493E-3</v>
      </c>
      <c r="AG148" s="187">
        <f t="shared" si="102"/>
        <v>1.1296044855666416E-4</v>
      </c>
      <c r="AH148" s="187">
        <f t="shared" si="102"/>
        <v>5.7892472890600745E-3</v>
      </c>
      <c r="AI148" s="212">
        <f t="shared" si="102"/>
        <v>4.7479927591960822E-3</v>
      </c>
    </row>
  </sheetData>
  <mergeCells count="4">
    <mergeCell ref="B3:B14"/>
    <mergeCell ref="B15:B19"/>
    <mergeCell ref="B20:B23"/>
    <mergeCell ref="B28:B32"/>
  </mergeCells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C68B9-05BF-4911-BA07-83AD8EDA76B5}">
  <sheetPr codeName="Sheet18"/>
  <dimension ref="B2:AM84"/>
  <sheetViews>
    <sheetView zoomScale="60" zoomScaleNormal="60" workbookViewId="0">
      <selection activeCell="D18" sqref="D18"/>
    </sheetView>
  </sheetViews>
  <sheetFormatPr defaultRowHeight="15" x14ac:dyDescent="0.25"/>
  <cols>
    <col min="3" max="3" width="45" bestFit="1" customWidth="1"/>
    <col min="4" max="4" width="14.85546875" customWidth="1"/>
    <col min="5" max="5" width="12.5703125" customWidth="1"/>
    <col min="6" max="6" width="12.7109375" bestFit="1" customWidth="1"/>
    <col min="7" max="7" width="12.42578125" bestFit="1" customWidth="1"/>
    <col min="13" max="14" width="9.85546875" customWidth="1"/>
    <col min="15" max="15" width="10.5703125" customWidth="1"/>
    <col min="17" max="17" width="9.85546875" customWidth="1"/>
    <col min="18" max="19" width="10.5703125" customWidth="1"/>
    <col min="20" max="20" width="10.85546875" customWidth="1"/>
    <col min="21" max="21" width="10" customWidth="1"/>
    <col min="23" max="23" width="9.7109375" customWidth="1"/>
    <col min="24" max="24" width="9.5703125" bestFit="1" customWidth="1"/>
    <col min="26" max="26" width="9.5703125" customWidth="1"/>
    <col min="28" max="28" width="9.7109375" customWidth="1"/>
    <col min="29" max="29" width="9.85546875" customWidth="1"/>
    <col min="30" max="30" width="9.7109375" customWidth="1"/>
  </cols>
  <sheetData>
    <row r="2" spans="2:39" x14ac:dyDescent="0.25">
      <c r="B2" s="273" t="s">
        <v>533</v>
      </c>
      <c r="C2" s="15"/>
      <c r="D2" s="37" t="s">
        <v>776</v>
      </c>
      <c r="E2" s="37" t="str">
        <f>Virtual_LCIA!AL2</f>
        <v>biomass</v>
      </c>
      <c r="F2" s="37" t="str">
        <f>Virtual_LCIA!AM2</f>
        <v>fossil</v>
      </c>
      <c r="G2" s="37" t="str">
        <f>Virtual_LCIA!AN2</f>
        <v>geothermal</v>
      </c>
      <c r="H2" s="37" t="str">
        <f>Virtual_LCIA!AO2</f>
        <v>nuclear</v>
      </c>
      <c r="I2" s="37" t="str">
        <f>Virtual_LCIA!AP2</f>
        <v>primary forest</v>
      </c>
      <c r="J2" s="37" t="str">
        <f>Virtual_LCIA!AQ2</f>
        <v>solar</v>
      </c>
      <c r="K2" s="37" t="str">
        <f>Virtual_LCIA!AR2</f>
        <v>water</v>
      </c>
      <c r="L2" s="37" t="str">
        <f>Virtual_LCIA!AS2</f>
        <v>wind</v>
      </c>
      <c r="M2" s="37" t="str">
        <f>Virtual_LCIA!AT2</f>
        <v>CED</v>
      </c>
      <c r="N2" s="37" t="str">
        <f>'[1]NY elec. mix'!R2</f>
        <v>Agricultural land occupation</v>
      </c>
      <c r="O2" s="37" t="str">
        <f>'[1]NY elec. mix'!S2</f>
        <v>Climate change</v>
      </c>
      <c r="P2" s="37" t="str">
        <f>'[1]NY elec. mix'!T2</f>
        <v>Fossil depletion</v>
      </c>
      <c r="Q2" s="37" t="str">
        <f>'[1]NY elec. mix'!U2</f>
        <v>Freshwater ecotoxicity</v>
      </c>
      <c r="R2" s="37" t="str">
        <f>'[1]NY elec. mix'!V2</f>
        <v>Freshwater eutrophication</v>
      </c>
      <c r="S2" s="37" t="str">
        <f>'[1]NY elec. mix'!W2</f>
        <v>Human toxicity</v>
      </c>
      <c r="T2" s="37" t="str">
        <f>'[1]NY elec. mix'!X2</f>
        <v>Ionising radiation</v>
      </c>
      <c r="U2" s="37" t="str">
        <f>'[1]NY elec. mix'!Y2</f>
        <v>Marine ecotoxicity</v>
      </c>
      <c r="V2" s="37" t="str">
        <f>'[1]NY elec. mix'!Z2</f>
        <v>Marine eutrophication</v>
      </c>
      <c r="W2" s="37" t="str">
        <f>'[1]NY elec. mix'!AA2</f>
        <v>Metal depletion</v>
      </c>
      <c r="X2" s="37" t="str">
        <f>'[1]NY elec. mix'!AB2</f>
        <v>Natural land transformation</v>
      </c>
      <c r="Y2" s="37" t="str">
        <f>'[1]NY elec. mix'!AC2</f>
        <v>Ozone depletion</v>
      </c>
      <c r="Z2" s="37" t="str">
        <f>'[1]NY elec. mix'!AD2</f>
        <v>Particulate matter formation</v>
      </c>
      <c r="AA2" s="37" t="str">
        <f>'[1]NY elec. mix'!AE2</f>
        <v>Photochemical oxidant formation</v>
      </c>
      <c r="AB2" s="37" t="str">
        <f>'[1]NY elec. mix'!AF2</f>
        <v>Terrestrial acidification</v>
      </c>
      <c r="AC2" s="37" t="str">
        <f>'[1]NY elec. mix'!AG2</f>
        <v>Terrestrial ecotoxicity</v>
      </c>
      <c r="AD2" s="37" t="str">
        <f>'[1]NY elec. mix'!AH2</f>
        <v>Urban land occupation</v>
      </c>
      <c r="AE2" s="38" t="str">
        <f>'[1]NY elec. mix'!AI2</f>
        <v>Water depletion</v>
      </c>
      <c r="AF2" s="22"/>
      <c r="AG2" s="22"/>
      <c r="AH2" s="22"/>
      <c r="AI2" s="22"/>
      <c r="AJ2" s="22"/>
      <c r="AK2" s="22"/>
      <c r="AL2" s="22"/>
      <c r="AM2" s="22"/>
    </row>
    <row r="3" spans="2:39" x14ac:dyDescent="0.25">
      <c r="B3" s="247"/>
      <c r="C3" s="8" t="s">
        <v>515</v>
      </c>
      <c r="D3" s="28">
        <f>SUM(Virtual_LCIA!AK3,Virtual_LCIA!AK9)</f>
        <v>3.91636779268</v>
      </c>
      <c r="E3" s="28">
        <f>SUM(Virtual_LCIA!AL3,Virtual_LCIA!AL9)</f>
        <v>0.98472830763599994</v>
      </c>
      <c r="F3" s="28">
        <f>SUM(Virtual_LCIA!AM3,Virtual_LCIA!AM9)</f>
        <v>45.862800031199995</v>
      </c>
      <c r="G3" s="28">
        <f>SUM(Virtual_LCIA!AN3,Virtual_LCIA!AN9)</f>
        <v>0.1006541182776</v>
      </c>
      <c r="H3" s="28">
        <f>SUM(Virtual_LCIA!AO3,Virtual_LCIA!AO9)</f>
        <v>7.1243364974800008</v>
      </c>
      <c r="I3" s="28">
        <f>SUM(Virtual_LCIA!AP3,Virtual_LCIA!AP9)</f>
        <v>1.8411378670799999E-3</v>
      </c>
      <c r="J3" s="28">
        <f>SUM(Virtual_LCIA!AQ3,Virtual_LCIA!AQ9)</f>
        <v>2.4511330069599997E-2</v>
      </c>
      <c r="K3" s="28">
        <f>SUM(Virtual_LCIA!AR3,Virtual_LCIA!AR9)</f>
        <v>3.7184665194799997</v>
      </c>
      <c r="L3" s="28">
        <f>SUM(Virtual_LCIA!AS3,Virtual_LCIA!AS9)</f>
        <v>0.8145113451399999</v>
      </c>
      <c r="M3" s="28">
        <f>SUM(Virtual_LCIA!AT3,Virtual_LCIA!AT9)</f>
        <v>58.631849287150267</v>
      </c>
      <c r="N3" s="28">
        <f>SUM(Virtual_LCIA!AU3,Virtual_LCIA!AU9)</f>
        <v>0.256440688488</v>
      </c>
      <c r="O3" s="28">
        <f>SUM(Virtual_LCIA!AV3,Virtual_LCIA!AV9)</f>
        <v>3.8537172791200005</v>
      </c>
      <c r="P3" s="28">
        <f>SUM(Virtual_LCIA!AW3,Virtual_LCIA!AW9)</f>
        <v>1.1333948055199998</v>
      </c>
      <c r="Q3" s="28">
        <f>SUM(Virtual_LCIA!AX3,Virtual_LCIA!AX9)</f>
        <v>1.8960254025200001</v>
      </c>
      <c r="R3" s="28">
        <f>SUM(Virtual_LCIA!AY3,Virtual_LCIA!AY9)</f>
        <v>6.2336714303600008E-3</v>
      </c>
      <c r="S3" s="28">
        <f>SUM(Virtual_LCIA!AZ3,Virtual_LCIA!AZ9)</f>
        <v>8.4631768788800006</v>
      </c>
      <c r="T3" s="28">
        <f>SUM(Virtual_LCIA!BA3,Virtual_LCIA!BA9)</f>
        <v>0.47161732144799995</v>
      </c>
      <c r="U3" s="28">
        <f>SUM(Virtual_LCIA!BB3,Virtual_LCIA!BB9)</f>
        <v>1.67242976512</v>
      </c>
      <c r="V3" s="28">
        <f>SUM(Virtual_LCIA!BC3,Virtual_LCIA!BC9)</f>
        <v>1.4365883030799998E-3</v>
      </c>
      <c r="W3" s="28">
        <f>SUM(Virtual_LCIA!BD3,Virtual_LCIA!BD9)</f>
        <v>4.4930149279600009</v>
      </c>
      <c r="X3" s="28">
        <f>SUM(Virtual_LCIA!BE3,Virtual_LCIA!BE9)</f>
        <v>-7.0151081151999999E-4</v>
      </c>
      <c r="Y3" s="28">
        <f>SUM(Virtual_LCIA!BF3,Virtual_LCIA!BF9)</f>
        <v>3.0388232519599994E-7</v>
      </c>
      <c r="Z3" s="28">
        <f>SUM(Virtual_LCIA!BG3,Virtual_LCIA!BG9)</f>
        <v>1.2276439201600001E-2</v>
      </c>
      <c r="AA3" s="28">
        <f>SUM(Virtual_LCIA!BH3,Virtual_LCIA!BH9)</f>
        <v>1.6663068528000001E-2</v>
      </c>
      <c r="AB3" s="28">
        <f>SUM(Virtual_LCIA!BI3,Virtual_LCIA!BI9)</f>
        <v>2.2508263039199998E-2</v>
      </c>
      <c r="AC3" s="28">
        <f>SUM(Virtual_LCIA!BJ3,Virtual_LCIA!BJ9)</f>
        <v>8.2102787325200001E-4</v>
      </c>
      <c r="AD3" s="28">
        <f>SUM(Virtual_LCIA!BK3,Virtual_LCIA!BK9)</f>
        <v>6.3635646417200001E-2</v>
      </c>
      <c r="AE3" s="29">
        <f>SUM(Virtual_LCIA!BL3,Virtual_LCIA!BL9)</f>
        <v>3.7746661075599999E-2</v>
      </c>
    </row>
    <row r="4" spans="2:39" x14ac:dyDescent="0.25">
      <c r="B4" s="247"/>
      <c r="C4" s="8" t="s">
        <v>416</v>
      </c>
      <c r="D4" s="28">
        <f>SUM(Virtual_LCIA!AK4,Virtual_LCIA!AK10)</f>
        <v>8.1386812826000003</v>
      </c>
      <c r="E4" s="28">
        <f>SUM(Virtual_LCIA!AL4,Virtual_LCIA!AL10)</f>
        <v>2.0338459416900001</v>
      </c>
      <c r="F4" s="28">
        <f>SUM(Virtual_LCIA!AM4,Virtual_LCIA!AM10)</f>
        <v>95.360036198000003</v>
      </c>
      <c r="G4" s="28">
        <f>SUM(Virtual_LCIA!AN4,Virtual_LCIA!AN10)</f>
        <v>0.21492589960899999</v>
      </c>
      <c r="H4" s="28">
        <f>SUM(Virtual_LCIA!AO4,Virtual_LCIA!AO10)</f>
        <v>15.106744442</v>
      </c>
      <c r="I4" s="28">
        <f>SUM(Virtual_LCIA!AP4,Virtual_LCIA!AP10)</f>
        <v>3.9219829021999997E-3</v>
      </c>
      <c r="J4" s="28">
        <f>SUM(Virtual_LCIA!AQ4,Virtual_LCIA!AQ10)</f>
        <v>3.6019177709799996E-2</v>
      </c>
      <c r="K4" s="28">
        <f>SUM(Virtual_LCIA!AR4,Virtual_LCIA!AR10)</f>
        <v>7.5588337316100009</v>
      </c>
      <c r="L4" s="28">
        <f>SUM(Virtual_LCIA!AS4,Virtual_LCIA!AS10)</f>
        <v>1.7249099264299999</v>
      </c>
      <c r="M4" s="28">
        <f>SUM(Virtual_LCIA!AT4,Virtual_LCIA!AT10)</f>
        <v>122.039237299951</v>
      </c>
      <c r="N4" s="28">
        <f>SUM(Virtual_LCIA!AU4,Virtual_LCIA!AU10)</f>
        <v>0.53044664181199996</v>
      </c>
      <c r="O4" s="28">
        <f>SUM(Virtual_LCIA!AV4,Virtual_LCIA!AV10)</f>
        <v>8.0149213912300006</v>
      </c>
      <c r="P4" s="28">
        <f>SUM(Virtual_LCIA!AW4,Virtual_LCIA!AW10)</f>
        <v>2.3580329677099998</v>
      </c>
      <c r="Q4" s="28">
        <f>SUM(Virtual_LCIA!AX4,Virtual_LCIA!AX10)</f>
        <v>3.6489073717</v>
      </c>
      <c r="R4" s="28">
        <f>SUM(Virtual_LCIA!AY4,Virtual_LCIA!AY10)</f>
        <v>1.2686161720700001E-2</v>
      </c>
      <c r="S4" s="28">
        <f>SUM(Virtual_LCIA!AZ4,Virtual_LCIA!AZ10)</f>
        <v>16.923469575099997</v>
      </c>
      <c r="T4" s="28">
        <f>SUM(Virtual_LCIA!BA4,Virtual_LCIA!BA10)</f>
        <v>0.99873511003999993</v>
      </c>
      <c r="U4" s="28">
        <f>SUM(Virtual_LCIA!BB4,Virtual_LCIA!BB10)</f>
        <v>3.23115333372</v>
      </c>
      <c r="V4" s="28">
        <f>SUM(Virtual_LCIA!BC4,Virtual_LCIA!BC10)</f>
        <v>2.94767001885E-3</v>
      </c>
      <c r="W4" s="28">
        <f>SUM(Virtual_LCIA!BD4,Virtual_LCIA!BD10)</f>
        <v>8.3504436279499998</v>
      </c>
      <c r="X4" s="28">
        <f>SUM(Virtual_LCIA!BE4,Virtual_LCIA!BE10)</f>
        <v>-1.3643471788000001E-3</v>
      </c>
      <c r="Y4" s="28">
        <f>SUM(Virtual_LCIA!BF4,Virtual_LCIA!BF10)</f>
        <v>6.5292874579399991E-7</v>
      </c>
      <c r="Z4" s="28">
        <f>SUM(Virtual_LCIA!BG4,Virtual_LCIA!BG10)</f>
        <v>2.4668509904299998E-2</v>
      </c>
      <c r="AA4" s="28">
        <f>SUM(Virtual_LCIA!BH4,Virtual_LCIA!BH10)</f>
        <v>3.3738739411699997E-2</v>
      </c>
      <c r="AB4" s="28">
        <f>SUM(Virtual_LCIA!BI4,Virtual_LCIA!BI10)</f>
        <v>4.5605674540899997E-2</v>
      </c>
      <c r="AC4" s="28">
        <f>SUM(Virtual_LCIA!BJ4,Virtual_LCIA!BJ10)</f>
        <v>1.6978084681200001E-3</v>
      </c>
      <c r="AD4" s="28">
        <f>SUM(Virtual_LCIA!BK4,Virtual_LCIA!BK10)</f>
        <v>0.11630956651899998</v>
      </c>
      <c r="AE4" s="29">
        <f>SUM(Virtual_LCIA!BL4,Virtual_LCIA!BL10)</f>
        <v>7.6311729853499988E-2</v>
      </c>
    </row>
    <row r="5" spans="2:39" x14ac:dyDescent="0.25">
      <c r="B5" s="247"/>
      <c r="C5" s="8" t="s">
        <v>516</v>
      </c>
      <c r="D5" s="28">
        <f>SUM(Virtual_LCIA!AK5,Virtual_LCIA!AK11)</f>
        <v>267.62065335</v>
      </c>
      <c r="E5" s="28">
        <f>SUM(Virtual_LCIA!AL5,Virtual_LCIA!AL11)</f>
        <v>83.284634295000004</v>
      </c>
      <c r="F5" s="28">
        <f>SUM(Virtual_LCIA!AM5,Virtual_LCIA!AM11)</f>
        <v>2999.5190865</v>
      </c>
      <c r="G5" s="28">
        <f>SUM(Virtual_LCIA!AN5,Virtual_LCIA!AN11)</f>
        <v>5.7544693650000003</v>
      </c>
      <c r="H5" s="28">
        <f>SUM(Virtual_LCIA!AO5,Virtual_LCIA!AO11)</f>
        <v>409.71451320000006</v>
      </c>
      <c r="I5" s="28">
        <f>SUM(Virtual_LCIA!AP5,Virtual_LCIA!AP11)</f>
        <v>0.11077855326000001</v>
      </c>
      <c r="J5" s="28">
        <f>SUM(Virtual_LCIA!AQ5,Virtual_LCIA!AQ11)</f>
        <v>0.76657807754999996</v>
      </c>
      <c r="K5" s="28">
        <f>SUM(Virtual_LCIA!AR5,Virtual_LCIA!AR11)</f>
        <v>207.68276745</v>
      </c>
      <c r="L5" s="28">
        <f>SUM(Virtual_LCIA!AS5,Virtual_LCIA!AS11)</f>
        <v>46.34764191</v>
      </c>
      <c r="M5" s="28">
        <f>SUM(Virtual_LCIA!AT5,Virtual_LCIA!AT11)</f>
        <v>3753.1804693508102</v>
      </c>
      <c r="N5" s="28">
        <f>SUM(Virtual_LCIA!AU5,Virtual_LCIA!AU11)</f>
        <v>17.930413934999997</v>
      </c>
      <c r="O5" s="28">
        <f>SUM(Virtual_LCIA!AV5,Virtual_LCIA!AV11)</f>
        <v>262.37107035000002</v>
      </c>
      <c r="P5" s="28">
        <f>SUM(Virtual_LCIA!AW5,Virtual_LCIA!AW11)</f>
        <v>73.995960374999996</v>
      </c>
      <c r="Q5" s="28">
        <f>SUM(Virtual_LCIA!AX5,Virtual_LCIA!AX11)</f>
        <v>74.21675166</v>
      </c>
      <c r="R5" s="28">
        <f>SUM(Virtual_LCIA!AY5,Virtual_LCIA!AY11)</f>
        <v>0.28568539485</v>
      </c>
      <c r="S5" s="28">
        <f>SUM(Virtual_LCIA!AZ5,Virtual_LCIA!AZ11)</f>
        <v>372.25719449999997</v>
      </c>
      <c r="T5" s="28">
        <f>SUM(Virtual_LCIA!BA5,Virtual_LCIA!BA11)</f>
        <v>26.891760914999999</v>
      </c>
      <c r="U5" s="28">
        <f>SUM(Virtual_LCIA!BB5,Virtual_LCIA!BB11)</f>
        <v>65.837490795000008</v>
      </c>
      <c r="V5" s="28">
        <f>SUM(Virtual_LCIA!BC5,Virtual_LCIA!BC11)</f>
        <v>0.20371470030000002</v>
      </c>
      <c r="W5" s="28">
        <f>SUM(Virtual_LCIA!BD5,Virtual_LCIA!BD11)</f>
        <v>148.33468764</v>
      </c>
      <c r="X5" s="28">
        <f>SUM(Virtual_LCIA!BE5,Virtual_LCIA!BE11)</f>
        <v>-3.6189698805000003E-2</v>
      </c>
      <c r="Y5" s="28">
        <f>SUM(Virtual_LCIA!BF5,Virtual_LCIA!BF11)</f>
        <v>1.8276268815E-5</v>
      </c>
      <c r="Z5" s="28">
        <f>SUM(Virtual_LCIA!BG5,Virtual_LCIA!BG11)</f>
        <v>0.77326357590000006</v>
      </c>
      <c r="AA5" s="28">
        <f>SUM(Virtual_LCIA!BH5,Virtual_LCIA!BH11)</f>
        <v>1.0042761078</v>
      </c>
      <c r="AB5" s="28">
        <f>SUM(Virtual_LCIA!BI5,Virtual_LCIA!BI11)</f>
        <v>1.2455407665</v>
      </c>
      <c r="AC5" s="28">
        <f>SUM(Virtual_LCIA!BJ5,Virtual_LCIA!BJ11)</f>
        <v>5.8027964084999994E-2</v>
      </c>
      <c r="AD5" s="28">
        <f>SUM(Virtual_LCIA!BK5,Virtual_LCIA!BK11)</f>
        <v>2.923091334</v>
      </c>
      <c r="AE5" s="29">
        <f>SUM(Virtual_LCIA!BL5,Virtual_LCIA!BL11)</f>
        <v>2.4308657279999997</v>
      </c>
    </row>
    <row r="6" spans="2:39" x14ac:dyDescent="0.25">
      <c r="B6" s="247"/>
      <c r="C6" s="8" t="s">
        <v>519</v>
      </c>
      <c r="D6" s="28">
        <f>SUM(Virtual_LCIA!AK6:AK8,Virtual_LCIA!AK12:AK14)</f>
        <v>168.54366665076657</v>
      </c>
      <c r="E6" s="28">
        <f>SUM(Virtual_LCIA!AL6:AL8,Virtual_LCIA!AL12:AL14)</f>
        <v>65.480945915338921</v>
      </c>
      <c r="F6" s="28">
        <f>SUM(Virtual_LCIA!AM6:AM8,Virtual_LCIA!AM12:AM14)</f>
        <v>2016.8877363901097</v>
      </c>
      <c r="G6" s="28">
        <f>SUM(Virtual_LCIA!AN6:AN8,Virtual_LCIA!AN12:AN14)</f>
        <v>11.924244118809936</v>
      </c>
      <c r="H6" s="28">
        <f>SUM(Virtual_LCIA!AO6:AO8,Virtual_LCIA!AO12:AO14)</f>
        <v>1009.0409273437831</v>
      </c>
      <c r="I6" s="28">
        <f>SUM(Virtual_LCIA!AP6:AP8,Virtual_LCIA!AP12:AP14)</f>
        <v>3.0384490390534299E-2</v>
      </c>
      <c r="J6" s="28">
        <f>SUM(Virtual_LCIA!AQ6:AQ8,Virtual_LCIA!AQ12:AQ14)</f>
        <v>36.668304376461847</v>
      </c>
      <c r="K6" s="28">
        <f>SUM(Virtual_LCIA!AR6:AR8,Virtual_LCIA!AR12:AR14)</f>
        <v>235.48321052224048</v>
      </c>
      <c r="L6" s="28">
        <f>SUM(Virtual_LCIA!AS6:AS8,Virtual_LCIA!AS12:AS14)</f>
        <v>103.87590585142277</v>
      </c>
      <c r="M6" s="28">
        <f>SUM(Virtual_LCIA!AT6:AT8,Virtual_LCIA!AT12:AT14)</f>
        <v>3479.3916590085569</v>
      </c>
      <c r="N6" s="28">
        <f>SUM(Virtual_LCIA!AU6:AU8,Virtual_LCIA!AU12:AU14)</f>
        <v>12.171006834751836</v>
      </c>
      <c r="O6" s="28">
        <f>SUM(Virtual_LCIA!AV6:AV8,Virtual_LCIA!AV12:AV14)</f>
        <v>166.93790375229557</v>
      </c>
      <c r="P6" s="28">
        <f>SUM(Virtual_LCIA!AW6:AW8,Virtual_LCIA!AW12:AW14)</f>
        <v>51.23092393488875</v>
      </c>
      <c r="Q6" s="28">
        <f>SUM(Virtual_LCIA!AX6:AX8,Virtual_LCIA!AX12:AX14)</f>
        <v>9.6290815820566031</v>
      </c>
      <c r="R6" s="28">
        <f>SUM(Virtual_LCIA!AY6:AY8,Virtual_LCIA!AY12:AY14)</f>
        <v>0.14311844927023706</v>
      </c>
      <c r="S6" s="28">
        <f>SUM(Virtual_LCIA!AZ6:AZ8,Virtual_LCIA!AZ12:AZ14)</f>
        <v>95.639100825531088</v>
      </c>
      <c r="T6" s="28">
        <f>SUM(Virtual_LCIA!BA6:BA8,Virtual_LCIA!BA12:BA14)</f>
        <v>69.17613114622776</v>
      </c>
      <c r="U6" s="28">
        <f>SUM(Virtual_LCIA!BB6:BB8,Virtual_LCIA!BB12:BB14)</f>
        <v>8.3026925807357692</v>
      </c>
      <c r="V6" s="28">
        <f>SUM(Virtual_LCIA!BC6:BC8,Virtual_LCIA!BC12:BC14)</f>
        <v>4.3004143160589536E-2</v>
      </c>
      <c r="W6" s="28">
        <f>SUM(Virtual_LCIA!BD6:BD8,Virtual_LCIA!BD12:BD14)</f>
        <v>3.8761268067233425</v>
      </c>
      <c r="X6" s="28">
        <f>SUM(Virtual_LCIA!BE6:BE8,Virtual_LCIA!BE12:BE14)</f>
        <v>-1.8520922026268299E-2</v>
      </c>
      <c r="Y6" s="28">
        <f>SUM(Virtual_LCIA!BF6:BF8,Virtual_LCIA!BF12:BF14)</f>
        <v>6.4274134662084599E-6</v>
      </c>
      <c r="Z6" s="28">
        <f>SUM(Virtual_LCIA!BG6:BG8,Virtual_LCIA!BG12:BG14)</f>
        <v>0.4584535402542767</v>
      </c>
      <c r="AA6" s="28">
        <f>SUM(Virtual_LCIA!BH6:BH8,Virtual_LCIA!BH12:BH14)</f>
        <v>0.28185896988644171</v>
      </c>
      <c r="AB6" s="28">
        <f>SUM(Virtual_LCIA!BI6:BI8,Virtual_LCIA!BI12:BI14)</f>
        <v>0.470256747499739</v>
      </c>
      <c r="AC6" s="28">
        <f>SUM(Virtual_LCIA!BJ6:BJ8,Virtual_LCIA!BJ12:BJ14)</f>
        <v>8.9857483038554564E-3</v>
      </c>
      <c r="AD6" s="28">
        <f>SUM(Virtual_LCIA!BK6:BK8,Virtual_LCIA!BK12:BK14)</f>
        <v>0.74224139916610343</v>
      </c>
      <c r="AE6" s="29">
        <f>SUM(Virtual_LCIA!BL6:BL8,Virtual_LCIA!BL12:BL14)</f>
        <v>1.7471720460341507</v>
      </c>
    </row>
    <row r="7" spans="2:39" x14ac:dyDescent="0.25">
      <c r="B7" s="247"/>
      <c r="C7" s="8" t="str">
        <f>Virtual_LCIA!C15</f>
        <v>PS-Core</v>
      </c>
      <c r="D7" s="75">
        <f>Virtual_LCIA!AK15</f>
        <v>625.36552638104365</v>
      </c>
      <c r="E7" s="28">
        <f>Virtual_LCIA!AL15</f>
        <v>242.96093127678691</v>
      </c>
      <c r="F7" s="28">
        <f>Virtual_LCIA!AM15</f>
        <v>7483.4734878086629</v>
      </c>
      <c r="G7" s="28">
        <f>Virtual_LCIA!AN15</f>
        <v>44.243793601020037</v>
      </c>
      <c r="H7" s="28">
        <f>Virtual_LCIA!AO15</f>
        <v>3743.9520760864575</v>
      </c>
      <c r="I7" s="28">
        <f>Virtual_LCIA!AP15</f>
        <v>0.11273881246613918</v>
      </c>
      <c r="J7" s="28">
        <f>Virtual_LCIA!AQ15</f>
        <v>136.05431710110537</v>
      </c>
      <c r="K7" s="28">
        <f>Virtual_LCIA!AR15</f>
        <v>873.73844908262095</v>
      </c>
      <c r="L7" s="28">
        <f>Virtual_LCIA!AS15</f>
        <v>385.4218424931085</v>
      </c>
      <c r="M7" s="28">
        <f>Virtual_LCIA!AT15</f>
        <v>12909.957636262227</v>
      </c>
      <c r="N7" s="28">
        <f>Virtual_LCIA!AU15</f>
        <v>45.15938360100489</v>
      </c>
      <c r="O7" s="28">
        <f>Virtual_LCIA!AV15</f>
        <v>619.40749318881331</v>
      </c>
      <c r="P7" s="28">
        <f>Virtual_LCIA!AW15</f>
        <v>190.08755624092268</v>
      </c>
      <c r="Q7" s="28">
        <f>Virtual_LCIA!AX15</f>
        <v>35.727807468471568</v>
      </c>
      <c r="R7" s="28">
        <f>Virtual_LCIA!AY15</f>
        <v>0.53102763302386857</v>
      </c>
      <c r="S7" s="28">
        <f>Virtual_LCIA!AZ15</f>
        <v>354.85994709191249</v>
      </c>
      <c r="T7" s="28">
        <f>Virtual_LCIA!BA15</f>
        <v>256.67157079775137</v>
      </c>
      <c r="U7" s="28">
        <f>Virtual_LCIA!BB15</f>
        <v>30.806365016909378</v>
      </c>
      <c r="V7" s="28">
        <f>Virtual_LCIA!BC15</f>
        <v>0.15956285488859409</v>
      </c>
      <c r="W7" s="28">
        <f>Virtual_LCIA!BD15</f>
        <v>14.382006330910638</v>
      </c>
      <c r="X7" s="28">
        <f>Virtual_LCIA!BE15</f>
        <v>-6.8720150582809586E-2</v>
      </c>
      <c r="Y7" s="28">
        <f>Virtual_LCIA!BF15</f>
        <v>2.3848317088607618E-5</v>
      </c>
      <c r="Z7" s="28">
        <f>Virtual_LCIA!BG15</f>
        <v>1.7010490231972462</v>
      </c>
      <c r="AA7" s="28">
        <f>Virtual_LCIA!BH15</f>
        <v>1.0458113708507699</v>
      </c>
      <c r="AB7" s="28">
        <f>Virtual_LCIA!BI15</f>
        <v>1.7448437207893999</v>
      </c>
      <c r="AC7" s="28">
        <f>Virtual_LCIA!BJ15</f>
        <v>3.3340779452792214E-2</v>
      </c>
      <c r="AD7" s="28">
        <f>Virtual_LCIA!BK15</f>
        <v>2.7540173565412429</v>
      </c>
      <c r="AE7" s="29">
        <f>Virtual_LCIA!BL15</f>
        <v>6.4827186209872476</v>
      </c>
    </row>
    <row r="8" spans="2:39" x14ac:dyDescent="0.25">
      <c r="B8" s="247"/>
      <c r="C8" s="8" t="str">
        <f>Virtual_LCIA!C16</f>
        <v>Fixed line CPE</v>
      </c>
      <c r="D8" s="75">
        <f>Virtual_LCIA!AK16</f>
        <v>1009.6657512936916</v>
      </c>
      <c r="E8" s="28">
        <f>Virtual_LCIA!AL16</f>
        <v>392.26551650869504</v>
      </c>
      <c r="F8" s="28">
        <f>Virtual_LCIA!AM16</f>
        <v>12082.224815109013</v>
      </c>
      <c r="G8" s="28">
        <f>Virtual_LCIA!AN16</f>
        <v>71.432532210031042</v>
      </c>
      <c r="H8" s="28">
        <f>Virtual_LCIA!AO16</f>
        <v>6044.6891078004819</v>
      </c>
      <c r="I8" s="28">
        <f>Virtual_LCIA!AP16</f>
        <v>0.18201917596465936</v>
      </c>
      <c r="J8" s="28">
        <f>Virtual_LCIA!AQ16</f>
        <v>219.66254693888689</v>
      </c>
      <c r="K8" s="28">
        <f>Virtual_LCIA!AR16</f>
        <v>1410.6690414042152</v>
      </c>
      <c r="L8" s="28">
        <f>Virtual_LCIA!AS16</f>
        <v>622.27164394202725</v>
      </c>
      <c r="M8" s="28">
        <f>Virtual_LCIA!AT16</f>
        <v>20843.397223089312</v>
      </c>
      <c r="N8" s="28">
        <f>Virtual_LCIA!AU16</f>
        <v>72.910771457661752</v>
      </c>
      <c r="O8" s="28">
        <f>Virtual_LCIA!AV16</f>
        <v>1000.0463818121693</v>
      </c>
      <c r="P8" s="28">
        <f>Virtual_LCIA!AW16</f>
        <v>306.90034417827923</v>
      </c>
      <c r="Q8" s="28">
        <f>Virtual_LCIA!AX16</f>
        <v>57.683294086394618</v>
      </c>
      <c r="R8" s="28">
        <f>Virtual_LCIA!AY16</f>
        <v>0.85735524495167836</v>
      </c>
      <c r="S8" s="28">
        <f>Virtual_LCIA!AZ16</f>
        <v>572.92882317642272</v>
      </c>
      <c r="T8" s="28">
        <f>Virtual_LCIA!BA16</f>
        <v>414.40163141858011</v>
      </c>
      <c r="U8" s="28">
        <f>Virtual_LCIA!BB16</f>
        <v>49.737522084761252</v>
      </c>
      <c r="V8" s="28">
        <f>Virtual_LCIA!BC16</f>
        <v>0.25761757398423507</v>
      </c>
      <c r="W8" s="28">
        <f>Virtual_LCIA!BD16</f>
        <v>23.220050697776497</v>
      </c>
      <c r="X8" s="28">
        <f>Virtual_LCIA!BE16</f>
        <v>-0.11095012363206477</v>
      </c>
      <c r="Y8" s="28">
        <f>Virtual_LCIA!BF16</f>
        <v>3.8503607849479762E-5</v>
      </c>
      <c r="Z8" s="28">
        <f>Virtual_LCIA!BG16</f>
        <v>2.7463793054485666</v>
      </c>
      <c r="AA8" s="28">
        <f>Virtual_LCIA!BH16</f>
        <v>1.6884843806023004</v>
      </c>
      <c r="AB8" s="28">
        <f>Virtual_LCIA!BI16</f>
        <v>2.8170867627383038</v>
      </c>
      <c r="AC8" s="28">
        <f>Virtual_LCIA!BJ16</f>
        <v>5.3829387318048899E-2</v>
      </c>
      <c r="AD8" s="28">
        <f>Virtual_LCIA!BK16</f>
        <v>4.4464187520208798</v>
      </c>
      <c r="AE8" s="29">
        <f>Virtual_LCIA!BL16</f>
        <v>10.466485104739379</v>
      </c>
    </row>
    <row r="9" spans="2:39" x14ac:dyDescent="0.25">
      <c r="B9" s="247"/>
      <c r="C9" s="8" t="str">
        <f>Virtual_LCIA!C17</f>
        <v>Operator DC</v>
      </c>
      <c r="D9" s="75">
        <f>Virtual_LCIA!AK17</f>
        <v>125.09691058745278</v>
      </c>
      <c r="E9" s="28">
        <f>Virtual_LCIA!AL17</f>
        <v>48.60143486332376</v>
      </c>
      <c r="F9" s="28">
        <f>Virtual_LCIA!AM17</f>
        <v>1496.9795652240016</v>
      </c>
      <c r="G9" s="28">
        <f>Virtual_LCIA!AN17</f>
        <v>8.8504429148595456</v>
      </c>
      <c r="H9" s="28">
        <f>Virtual_LCIA!AO17</f>
        <v>748.93293337778209</v>
      </c>
      <c r="I9" s="28">
        <f>Virtual_LCIA!AP17</f>
        <v>2.2552054035384902E-2</v>
      </c>
      <c r="J9" s="28">
        <f>Virtual_LCIA!AQ17</f>
        <v>27.216042495862531</v>
      </c>
      <c r="K9" s="28">
        <f>Virtual_LCIA!AR17</f>
        <v>174.78094974987334</v>
      </c>
      <c r="L9" s="28">
        <f>Virtual_LCIA!AS17</f>
        <v>77.099040057148272</v>
      </c>
      <c r="M9" s="28">
        <f>Virtual_LCIA!AT17</f>
        <v>2582.4829607368861</v>
      </c>
      <c r="N9" s="28">
        <f>Virtual_LCIA!AU17</f>
        <v>9.0335957679208487</v>
      </c>
      <c r="O9" s="28">
        <f>Virtual_LCIA!AV17</f>
        <v>123.90507714911359</v>
      </c>
      <c r="P9" s="28">
        <f>Virtual_LCIA!AW17</f>
        <v>38.024747165818368</v>
      </c>
      <c r="Q9" s="28">
        <f>Virtual_LCIA!AX17</f>
        <v>7.1469215168183515</v>
      </c>
      <c r="R9" s="28">
        <f>Virtual_LCIA!AY17</f>
        <v>0.10622574082757628</v>
      </c>
      <c r="S9" s="28">
        <f>Virtual_LCIA!AZ17</f>
        <v>70.985497600609065</v>
      </c>
      <c r="T9" s="28">
        <f>Virtual_LCIA!BA17</f>
        <v>51.344084679946079</v>
      </c>
      <c r="U9" s="28">
        <f>Virtual_LCIA!BB17</f>
        <v>6.1624456857197858</v>
      </c>
      <c r="V9" s="28">
        <f>Virtual_LCIA!BC17</f>
        <v>3.1918644934890057E-2</v>
      </c>
      <c r="W9" s="28">
        <f>Virtual_LCIA!BD17</f>
        <v>2.8769487350184777</v>
      </c>
      <c r="X9" s="28">
        <f>Virtual_LCIA!BE17</f>
        <v>-1.3746646033980372E-2</v>
      </c>
      <c r="Y9" s="28">
        <f>Virtual_LCIA!BF17</f>
        <v>4.7705712333701194E-6</v>
      </c>
      <c r="Z9" s="28">
        <f>Virtual_LCIA!BG17</f>
        <v>0.34027455717173688</v>
      </c>
      <c r="AA9" s="28">
        <f>Virtual_LCIA!BH17</f>
        <v>0.20920208427182321</v>
      </c>
      <c r="AB9" s="28">
        <f>Virtual_LCIA!BI17</f>
        <v>0.34903516378942884</v>
      </c>
      <c r="AC9" s="28">
        <f>Virtual_LCIA!BJ17</f>
        <v>6.669425048512488E-3</v>
      </c>
      <c r="AD9" s="28">
        <f>Virtual_LCIA!BK17</f>
        <v>0.55090830638082344</v>
      </c>
      <c r="AE9" s="29">
        <f>Virtual_LCIA!BL17</f>
        <v>1.2967904968895312</v>
      </c>
    </row>
    <row r="10" spans="2:39" x14ac:dyDescent="0.25">
      <c r="B10" s="247"/>
      <c r="C10" s="8" t="str">
        <f>Virtual_LCIA!C18</f>
        <v>Office networks</v>
      </c>
      <c r="D10" s="75">
        <f>Virtual_LCIA!AK18</f>
        <v>309.52304927314361</v>
      </c>
      <c r="E10" s="28">
        <f>Virtual_LCIA!AL18</f>
        <v>120.25288432226782</v>
      </c>
      <c r="F10" s="28">
        <f>Virtual_LCIA!AM18</f>
        <v>3703.9258407888428</v>
      </c>
      <c r="G10" s="28">
        <f>Virtual_LCIA!AN18</f>
        <v>21.898351170792058</v>
      </c>
      <c r="H10" s="28">
        <f>Virtual_LCIA!AO18</f>
        <v>1853.0593933262326</v>
      </c>
      <c r="I10" s="28">
        <f>Virtual_LCIA!AP18</f>
        <v>5.5799783540818874E-2</v>
      </c>
      <c r="J10" s="28">
        <f>Virtual_LCIA!AQ18</f>
        <v>67.339732235655674</v>
      </c>
      <c r="K10" s="28">
        <f>Virtual_LCIA!AR18</f>
        <v>432.45458474865796</v>
      </c>
      <c r="L10" s="28">
        <f>Virtual_LCIA!AS18</f>
        <v>190.76354373945929</v>
      </c>
      <c r="M10" s="28">
        <f>Virtual_LCIA!AT18</f>
        <v>6389.750130115448</v>
      </c>
      <c r="N10" s="28">
        <f>Virtual_LCIA!AU18</f>
        <v>22.351520072377195</v>
      </c>
      <c r="O10" s="28">
        <f>Virtual_LCIA!AV18</f>
        <v>306.5741361598773</v>
      </c>
      <c r="P10" s="28">
        <f>Virtual_LCIA!AW18</f>
        <v>94.083344147628466</v>
      </c>
      <c r="Q10" s="28">
        <f>Virtual_LCIA!AX18</f>
        <v>17.683385867910747</v>
      </c>
      <c r="R10" s="28">
        <f>Virtual_LCIA!AY18</f>
        <v>0.26283075303658116</v>
      </c>
      <c r="S10" s="28">
        <f>Virtual_LCIA!AZ18</f>
        <v>175.63701268347464</v>
      </c>
      <c r="T10" s="28">
        <f>Virtual_LCIA!BA18</f>
        <v>127.03892987961122</v>
      </c>
      <c r="U10" s="28">
        <f>Virtual_LCIA!BB18</f>
        <v>15.247530659765395</v>
      </c>
      <c r="V10" s="28">
        <f>Virtual_LCIA!BC18</f>
        <v>7.8975222189898511E-2</v>
      </c>
      <c r="W10" s="28">
        <f>Virtual_LCIA!BD18</f>
        <v>7.1183368228979083</v>
      </c>
      <c r="X10" s="28">
        <f>Virtual_LCIA!BE18</f>
        <v>-3.4012860731214074E-2</v>
      </c>
      <c r="Y10" s="28">
        <f>Virtual_LCIA!BF18</f>
        <v>1.1803662840220164E-5</v>
      </c>
      <c r="Z10" s="28">
        <f>Virtual_LCIA!BG18</f>
        <v>0.84192981290481617</v>
      </c>
      <c r="AA10" s="28">
        <f>Virtual_LCIA!BH18</f>
        <v>0.51762163217327761</v>
      </c>
      <c r="AB10" s="28">
        <f>Virtual_LCIA!BI18</f>
        <v>0.86360588516796666</v>
      </c>
      <c r="AC10" s="28">
        <f>Virtual_LCIA!BJ18</f>
        <v>1.6501932527511375E-2</v>
      </c>
      <c r="AD10" s="28">
        <f>Virtual_LCIA!BK18</f>
        <v>1.3630937651468968</v>
      </c>
      <c r="AE10" s="29">
        <f>Virtual_LCIA!BL18</f>
        <v>3.2086048087101346</v>
      </c>
    </row>
    <row r="11" spans="2:39" x14ac:dyDescent="0.25">
      <c r="B11" s="247"/>
      <c r="C11" s="8" t="str">
        <f>Virtual_LCIA!C19</f>
        <v>Internet core</v>
      </c>
      <c r="D11" s="75">
        <f>Virtual_LCIA!AK19</f>
        <v>75.9389428685013</v>
      </c>
      <c r="E11" s="28">
        <f>Virtual_LCIA!AL19</f>
        <v>29.503059412750293</v>
      </c>
      <c r="F11" s="28">
        <f>Virtual_LCIA!AM19</f>
        <v>908.72784263835683</v>
      </c>
      <c r="G11" s="28">
        <f>Virtual_LCIA!AN19</f>
        <v>5.3725809511706855</v>
      </c>
      <c r="H11" s="28">
        <f>Virtual_LCIA!AO19</f>
        <v>454.63293196481914</v>
      </c>
      <c r="I11" s="28">
        <f>Virtual_LCIA!AP19</f>
        <v>1.3690019481042403E-2</v>
      </c>
      <c r="J11" s="28">
        <f>Virtual_LCIA!AQ19</f>
        <v>16.521251296251471</v>
      </c>
      <c r="K11" s="28">
        <f>Virtual_LCIA!AR19</f>
        <v>106.09918738384319</v>
      </c>
      <c r="L11" s="28">
        <f>Virtual_LCIA!AS19</f>
        <v>46.802271699772213</v>
      </c>
      <c r="M11" s="28">
        <f>Virtual_LCIA!AT19</f>
        <v>1567.6728153664446</v>
      </c>
      <c r="N11" s="28">
        <f>Virtual_LCIA!AU19</f>
        <v>5.4837622263877268</v>
      </c>
      <c r="O11" s="28">
        <f>Virtual_LCIA!AV19</f>
        <v>75.215451209452397</v>
      </c>
      <c r="P11" s="28">
        <f>Virtual_LCIA!AW19</f>
        <v>23.082577251943025</v>
      </c>
      <c r="Q11" s="28">
        <f>Virtual_LCIA!AX19</f>
        <v>4.3384737656804075</v>
      </c>
      <c r="R11" s="28">
        <f>Virtual_LCIA!AY19</f>
        <v>6.4483370740241353E-2</v>
      </c>
      <c r="S11" s="28">
        <f>Virtual_LCIA!AZ19</f>
        <v>43.091101302748413</v>
      </c>
      <c r="T11" s="28">
        <f>Virtual_LCIA!BA19</f>
        <v>31.167960062612366</v>
      </c>
      <c r="U11" s="28">
        <f>Virtual_LCIA!BB19</f>
        <v>3.7408566579345606</v>
      </c>
      <c r="V11" s="28">
        <f>Virtual_LCIA!BC19</f>
        <v>1.9375923376270084E-2</v>
      </c>
      <c r="W11" s="28">
        <f>Virtual_LCIA!BD19</f>
        <v>1.7464255879560311</v>
      </c>
      <c r="X11" s="28">
        <f>Virtual_LCIA!BE19</f>
        <v>-8.3447765648710526E-3</v>
      </c>
      <c r="Y11" s="28">
        <f>Virtual_LCIA!BF19</f>
        <v>2.8959319190201102E-6</v>
      </c>
      <c r="Z11" s="28">
        <f>Virtual_LCIA!BG19</f>
        <v>0.20656057799768615</v>
      </c>
      <c r="AA11" s="28">
        <f>Virtual_LCIA!BH19</f>
        <v>0.12699422432485558</v>
      </c>
      <c r="AB11" s="28">
        <f>Virtual_LCIA!BI19</f>
        <v>0.21187862464096632</v>
      </c>
      <c r="AC11" s="28">
        <f>Virtual_LCIA!BJ19</f>
        <v>4.0486138734072002E-3</v>
      </c>
      <c r="AD11" s="28">
        <f>Virtual_LCIA!BK19</f>
        <v>0.3344238815137634</v>
      </c>
      <c r="AE11" s="29">
        <f>Virtual_LCIA!BL19</f>
        <v>0.78720488774074304</v>
      </c>
    </row>
    <row r="12" spans="2:39" x14ac:dyDescent="0.25">
      <c r="B12" s="247"/>
      <c r="C12" s="8" t="str">
        <f>Virtual_LCIA!C20</f>
        <v>Infrastructure</v>
      </c>
      <c r="D12" s="28">
        <f>Virtual_LCIA!AK20</f>
        <v>175.5427032074609</v>
      </c>
      <c r="E12" s="28">
        <f>Virtual_LCIA!AL20</f>
        <v>68.200143517572286</v>
      </c>
      <c r="F12" s="28">
        <f>Virtual_LCIA!AM20</f>
        <v>2100.6421205105926</v>
      </c>
      <c r="G12" s="28">
        <f>Virtual_LCIA!AN20</f>
        <v>12.419416807033393</v>
      </c>
      <c r="H12" s="28">
        <f>Virtual_LCIA!AO20</f>
        <v>1050.9429132090454</v>
      </c>
      <c r="I12" s="28">
        <f>Virtual_LCIA!AP20</f>
        <v>3.1646253369979428E-2</v>
      </c>
      <c r="J12" s="28">
        <f>Virtual_LCIA!AQ20</f>
        <v>38.191012455043243</v>
      </c>
      <c r="K12" s="28">
        <f>Virtual_LCIA!AR20</f>
        <v>245.26201521828401</v>
      </c>
      <c r="L12" s="28">
        <f>Virtual_LCIA!AS20</f>
        <v>108.18951357612181</v>
      </c>
      <c r="M12" s="28">
        <f>Virtual_LCIA!AT20</f>
        <v>3623.8787815470619</v>
      </c>
      <c r="N12" s="28">
        <f>Virtual_LCIA!AU20</f>
        <v>12.67642672658743</v>
      </c>
      <c r="O12" s="28">
        <f>Virtual_LCIA!AV20</f>
        <v>173.8702585199253</v>
      </c>
      <c r="P12" s="28">
        <f>Virtual_LCIA!AW20</f>
        <v>53.358367324360557</v>
      </c>
      <c r="Q12" s="28">
        <f>Virtual_LCIA!AX20</f>
        <v>10.028944094481064</v>
      </c>
      <c r="R12" s="28">
        <f>Virtual_LCIA!AY20</f>
        <v>0.14906166433304546</v>
      </c>
      <c r="S12" s="28">
        <f>Virtual_LCIA!AZ20</f>
        <v>99.610662476164165</v>
      </c>
      <c r="T12" s="28">
        <f>Virtual_LCIA!BA20</f>
        <v>72.048777032983949</v>
      </c>
      <c r="U12" s="28">
        <f>Virtual_LCIA!BB20</f>
        <v>8.6474747374689205</v>
      </c>
      <c r="V12" s="28">
        <f>Virtual_LCIA!BC20</f>
        <v>4.4789956748553954E-2</v>
      </c>
      <c r="W12" s="28">
        <f>Virtual_LCIA!BD20</f>
        <v>4.0370889701658461</v>
      </c>
      <c r="X12" s="28">
        <f>Virtual_LCIA!BE20</f>
        <v>-1.9290031972085106E-2</v>
      </c>
      <c r="Y12" s="28">
        <f>Virtual_LCIA!BF20</f>
        <v>6.6943217559645849E-6</v>
      </c>
      <c r="Z12" s="28">
        <f>Virtual_LCIA!BG20</f>
        <v>0.47749153290952329</v>
      </c>
      <c r="AA12" s="28">
        <f>Virtual_LCIA!BH20</f>
        <v>0.29356359975043456</v>
      </c>
      <c r="AB12" s="28">
        <f>Virtual_LCIA!BI20</f>
        <v>0.48978488659975472</v>
      </c>
      <c r="AC12" s="28">
        <f>Virtual_LCIA!BJ20</f>
        <v>9.3588954064294967E-3</v>
      </c>
      <c r="AD12" s="28">
        <f>Virtual_LCIA!BK20</f>
        <v>0.77306412178682249</v>
      </c>
      <c r="AE12" s="29">
        <f>Virtual_LCIA!BL20</f>
        <v>1.8197260687632622</v>
      </c>
    </row>
    <row r="13" spans="2:39" x14ac:dyDescent="0.25">
      <c r="B13" s="247"/>
      <c r="C13" s="8" t="str">
        <f>Virtual_LCIA!C21</f>
        <v>Network</v>
      </c>
      <c r="D13" s="28">
        <f>Virtual_LCIA!AK21</f>
        <v>14.628558600621743</v>
      </c>
      <c r="E13" s="28">
        <f>Virtual_LCIA!AL21</f>
        <v>5.6833452931310235</v>
      </c>
      <c r="F13" s="28">
        <f>Virtual_LCIA!AM21</f>
        <v>175.05351004254936</v>
      </c>
      <c r="G13" s="28">
        <f>Virtual_LCIA!AN21</f>
        <v>1.034951400586116</v>
      </c>
      <c r="H13" s="28">
        <f>Virtual_LCIA!AO21</f>
        <v>87.578576100753779</v>
      </c>
      <c r="I13" s="28">
        <f>Virtual_LCIA!AP21</f>
        <v>2.637187780831619E-3</v>
      </c>
      <c r="J13" s="28">
        <f>Virtual_LCIA!AQ21</f>
        <v>3.1825843712536037</v>
      </c>
      <c r="K13" s="28">
        <f>Virtual_LCIA!AR21</f>
        <v>20.438501268190333</v>
      </c>
      <c r="L13" s="28">
        <f>Virtual_LCIA!AS21</f>
        <v>9.0157927980101498</v>
      </c>
      <c r="M13" s="28">
        <f>Virtual_LCIA!AT21</f>
        <v>301.98989846225516</v>
      </c>
      <c r="N13" s="28">
        <f>Virtual_LCIA!AU21</f>
        <v>1.0563688938822857</v>
      </c>
      <c r="O13" s="28">
        <f>Virtual_LCIA!AV21</f>
        <v>14.489188209993774</v>
      </c>
      <c r="P13" s="28">
        <f>Virtual_LCIA!AW21</f>
        <v>4.4465306103633804</v>
      </c>
      <c r="Q13" s="28">
        <f>Virtual_LCIA!AX21</f>
        <v>0.83574534120675525</v>
      </c>
      <c r="R13" s="28">
        <f>Virtual_LCIA!AY21</f>
        <v>1.2421805361087121E-2</v>
      </c>
      <c r="S13" s="28">
        <f>Virtual_LCIA!AZ21</f>
        <v>8.3008885396803471</v>
      </c>
      <c r="T13" s="28">
        <f>Virtual_LCIA!BA21</f>
        <v>6.004064752748663</v>
      </c>
      <c r="U13" s="28">
        <f>Virtual_LCIA!BB21</f>
        <v>0.72062289478907671</v>
      </c>
      <c r="V13" s="28">
        <f>Virtual_LCIA!BC21</f>
        <v>3.7324963957128293E-3</v>
      </c>
      <c r="W13" s="28">
        <f>Virtual_LCIA!BD21</f>
        <v>0.33642408084715386</v>
      </c>
      <c r="X13" s="28">
        <f>Virtual_LCIA!BE21</f>
        <v>-1.6075026643404256E-3</v>
      </c>
      <c r="Y13" s="28">
        <f>Virtual_LCIA!BF21</f>
        <v>5.5786014633038207E-7</v>
      </c>
      <c r="Z13" s="28">
        <f>Virtual_LCIA!BG21</f>
        <v>3.9790961075793607E-2</v>
      </c>
      <c r="AA13" s="28">
        <f>Virtual_LCIA!BH21</f>
        <v>2.4463633312536214E-2</v>
      </c>
      <c r="AB13" s="28">
        <f>Virtual_LCIA!BI21</f>
        <v>4.0815407216646227E-2</v>
      </c>
      <c r="AC13" s="28">
        <f>Virtual_LCIA!BJ21</f>
        <v>7.7990795053579139E-4</v>
      </c>
      <c r="AD13" s="28">
        <f>Virtual_LCIA!BK21</f>
        <v>6.4422010148901879E-2</v>
      </c>
      <c r="AE13" s="29">
        <f>Virtual_LCIA!BL21</f>
        <v>0.15164383906360518</v>
      </c>
    </row>
    <row r="14" spans="2:39" x14ac:dyDescent="0.25">
      <c r="B14" s="247"/>
      <c r="C14" s="8" t="str">
        <f>Virtual_LCIA!C22</f>
        <v>Storage</v>
      </c>
      <c r="D14" s="28">
        <f>Virtual_LCIA!AK22</f>
        <v>58.51423440248697</v>
      </c>
      <c r="E14" s="28">
        <f>Virtual_LCIA!AL22</f>
        <v>22.733381172524094</v>
      </c>
      <c r="F14" s="28">
        <f>Virtual_LCIA!AM22</f>
        <v>700.21404017019745</v>
      </c>
      <c r="G14" s="28">
        <f>Virtual_LCIA!AN22</f>
        <v>4.139805602344464</v>
      </c>
      <c r="H14" s="28">
        <f>Virtual_LCIA!AO22</f>
        <v>350.31430440301511</v>
      </c>
      <c r="I14" s="28">
        <f>Virtual_LCIA!AP22</f>
        <v>1.0548751123326476E-2</v>
      </c>
      <c r="J14" s="28">
        <f>Virtual_LCIA!AQ22</f>
        <v>12.730337485014415</v>
      </c>
      <c r="K14" s="28">
        <f>Virtual_LCIA!AR22</f>
        <v>81.754005072761331</v>
      </c>
      <c r="L14" s="28">
        <f>Virtual_LCIA!AS22</f>
        <v>36.063171192040599</v>
      </c>
      <c r="M14" s="28">
        <f>Virtual_LCIA!AT22</f>
        <v>1207.9595938490206</v>
      </c>
      <c r="N14" s="28">
        <f>Virtual_LCIA!AU22</f>
        <v>4.2254755755291429</v>
      </c>
      <c r="O14" s="28">
        <f>Virtual_LCIA!AV22</f>
        <v>57.956752839975096</v>
      </c>
      <c r="P14" s="28">
        <f>Virtual_LCIA!AW22</f>
        <v>17.786122441453522</v>
      </c>
      <c r="Q14" s="28">
        <f>Virtual_LCIA!AX22</f>
        <v>3.342981364827021</v>
      </c>
      <c r="R14" s="28">
        <f>Virtual_LCIA!AY22</f>
        <v>4.9687221444348485E-2</v>
      </c>
      <c r="S14" s="28">
        <f>Virtual_LCIA!AZ22</f>
        <v>33.203554158721388</v>
      </c>
      <c r="T14" s="28">
        <f>Virtual_LCIA!BA22</f>
        <v>24.016259010994652</v>
      </c>
      <c r="U14" s="28">
        <f>Virtual_LCIA!BB22</f>
        <v>2.8824915791563068</v>
      </c>
      <c r="V14" s="28">
        <f>Virtual_LCIA!BC22</f>
        <v>1.4929985582851317E-2</v>
      </c>
      <c r="W14" s="28">
        <f>Virtual_LCIA!BD22</f>
        <v>1.3456963233886154</v>
      </c>
      <c r="X14" s="28">
        <f>Virtual_LCIA!BE22</f>
        <v>-6.4300106573617023E-3</v>
      </c>
      <c r="Y14" s="28">
        <f>Virtual_LCIA!BF22</f>
        <v>2.2314405853215283E-6</v>
      </c>
      <c r="Z14" s="28">
        <f>Virtual_LCIA!BG22</f>
        <v>0.15916384430317443</v>
      </c>
      <c r="AA14" s="28">
        <f>Virtual_LCIA!BH22</f>
        <v>9.7854533250144857E-2</v>
      </c>
      <c r="AB14" s="28">
        <f>Virtual_LCIA!BI22</f>
        <v>0.16326162886658491</v>
      </c>
      <c r="AC14" s="28">
        <f>Virtual_LCIA!BJ22</f>
        <v>3.1196318021431656E-3</v>
      </c>
      <c r="AD14" s="28">
        <f>Virtual_LCIA!BK22</f>
        <v>0.25768804059560751</v>
      </c>
      <c r="AE14" s="29">
        <f>Virtual_LCIA!BL22</f>
        <v>0.60657535625442072</v>
      </c>
    </row>
    <row r="15" spans="2:39" x14ac:dyDescent="0.25">
      <c r="B15" s="274"/>
      <c r="C15" s="10" t="str">
        <f>Virtual_LCIA!C23</f>
        <v>Server</v>
      </c>
      <c r="D15" s="30">
        <f>Virtual_LCIA!AK23</f>
        <v>281.59975306196856</v>
      </c>
      <c r="E15" s="30">
        <f>Virtual_LCIA!AL23</f>
        <v>109.4043968927722</v>
      </c>
      <c r="F15" s="30">
        <f>Virtual_LCIA!AM23</f>
        <v>3369.7800683190753</v>
      </c>
      <c r="G15" s="30">
        <f>Virtual_LCIA!AN23</f>
        <v>19.922814461282734</v>
      </c>
      <c r="H15" s="30">
        <f>Virtual_LCIA!AO23</f>
        <v>1685.8875899395102</v>
      </c>
      <c r="I15" s="30">
        <f>Virtual_LCIA!AP23</f>
        <v>5.0765864781008668E-2</v>
      </c>
      <c r="J15" s="30">
        <f>Virtual_LCIA!AQ23</f>
        <v>61.264749146631871</v>
      </c>
      <c r="K15" s="30">
        <f>Virtual_LCIA!AR23</f>
        <v>393.44114941266395</v>
      </c>
      <c r="L15" s="30">
        <f>Virtual_LCIA!AS23</f>
        <v>173.55401136169539</v>
      </c>
      <c r="M15" s="30">
        <f>Virtual_LCIA!AT23</f>
        <v>5813.3055453984116</v>
      </c>
      <c r="N15" s="30">
        <f>Virtual_LCIA!AU23</f>
        <v>20.335101207234</v>
      </c>
      <c r="O15" s="30">
        <f>Virtual_LCIA!AV23</f>
        <v>278.91687304238013</v>
      </c>
      <c r="P15" s="30">
        <f>Virtual_LCIA!AW23</f>
        <v>85.59571424949506</v>
      </c>
      <c r="Q15" s="30">
        <f>Virtual_LCIA!AX23</f>
        <v>16.08809781823004</v>
      </c>
      <c r="R15" s="30">
        <f>Virtual_LCIA!AY23</f>
        <v>0.2391197532009271</v>
      </c>
      <c r="S15" s="30">
        <f>Virtual_LCIA!AZ23</f>
        <v>159.79210438884667</v>
      </c>
      <c r="T15" s="30">
        <f>Virtual_LCIA!BA23</f>
        <v>115.57824649041176</v>
      </c>
      <c r="U15" s="30">
        <f>Virtual_LCIA!BB23</f>
        <v>13.871990724689727</v>
      </c>
      <c r="V15" s="30">
        <f>Virtual_LCIA!BC23</f>
        <v>7.1850555617471973E-2</v>
      </c>
      <c r="W15" s="30">
        <f>Virtual_LCIA!BD23</f>
        <v>6.4761635563077116</v>
      </c>
      <c r="X15" s="30">
        <f>Virtual_LCIA!BE23</f>
        <v>-3.0944426288553192E-2</v>
      </c>
      <c r="Y15" s="30">
        <f>Virtual_LCIA!BF23</f>
        <v>1.0738807816859855E-5</v>
      </c>
      <c r="Z15" s="30">
        <f>Virtual_LCIA!BG23</f>
        <v>0.76597600070902694</v>
      </c>
      <c r="AA15" s="30">
        <f>Virtual_LCIA!BH23</f>
        <v>0.47092494126632212</v>
      </c>
      <c r="AB15" s="30">
        <f>Virtual_LCIA!BI23</f>
        <v>0.78569658892043992</v>
      </c>
      <c r="AC15" s="30">
        <f>Virtual_LCIA!BJ23</f>
        <v>1.5013228047813985E-2</v>
      </c>
      <c r="AD15" s="30">
        <f>Virtual_LCIA!BK23</f>
        <v>1.240123695366361</v>
      </c>
      <c r="AE15" s="31">
        <f>Virtual_LCIA!BL23</f>
        <v>2.9191439019743997</v>
      </c>
    </row>
    <row r="16" spans="2:39" x14ac:dyDescent="0.25">
      <c r="D16" s="20" cm="1">
        <f t="array" ref="D16">SUM(D7:D11/SUM(D3:D15))</f>
        <v>0.68678779570346504</v>
      </c>
    </row>
    <row r="17" spans="2:31" x14ac:dyDescent="0.25">
      <c r="B17" s="273" t="s">
        <v>534</v>
      </c>
      <c r="C17" s="15"/>
      <c r="D17" s="37" t="str">
        <f>D2</f>
        <v>Carbon footprint</v>
      </c>
      <c r="E17" s="37" t="str">
        <f t="shared" ref="E17:AE17" si="0">E2</f>
        <v>biomass</v>
      </c>
      <c r="F17" s="37" t="str">
        <f t="shared" si="0"/>
        <v>fossil</v>
      </c>
      <c r="G17" s="37" t="str">
        <f t="shared" si="0"/>
        <v>geothermal</v>
      </c>
      <c r="H17" s="37" t="str">
        <f t="shared" si="0"/>
        <v>nuclear</v>
      </c>
      <c r="I17" s="37" t="str">
        <f t="shared" si="0"/>
        <v>primary forest</v>
      </c>
      <c r="J17" s="37" t="str">
        <f t="shared" si="0"/>
        <v>solar</v>
      </c>
      <c r="K17" s="37" t="str">
        <f t="shared" si="0"/>
        <v>water</v>
      </c>
      <c r="L17" s="37" t="str">
        <f t="shared" si="0"/>
        <v>wind</v>
      </c>
      <c r="M17" s="37" t="str">
        <f t="shared" si="0"/>
        <v>CED</v>
      </c>
      <c r="N17" s="37" t="str">
        <f t="shared" si="0"/>
        <v>Agricultural land occupation</v>
      </c>
      <c r="O17" s="37" t="str">
        <f t="shared" si="0"/>
        <v>Climate change</v>
      </c>
      <c r="P17" s="37" t="str">
        <f t="shared" si="0"/>
        <v>Fossil depletion</v>
      </c>
      <c r="Q17" s="37" t="str">
        <f t="shared" si="0"/>
        <v>Freshwater ecotoxicity</v>
      </c>
      <c r="R17" s="37" t="str">
        <f t="shared" si="0"/>
        <v>Freshwater eutrophication</v>
      </c>
      <c r="S17" s="37" t="str">
        <f t="shared" si="0"/>
        <v>Human toxicity</v>
      </c>
      <c r="T17" s="37" t="str">
        <f t="shared" si="0"/>
        <v>Ionising radiation</v>
      </c>
      <c r="U17" s="37" t="str">
        <f t="shared" si="0"/>
        <v>Marine ecotoxicity</v>
      </c>
      <c r="V17" s="37" t="str">
        <f t="shared" si="0"/>
        <v>Marine eutrophication</v>
      </c>
      <c r="W17" s="37" t="str">
        <f t="shared" si="0"/>
        <v>Metal depletion</v>
      </c>
      <c r="X17" s="37" t="str">
        <f t="shared" si="0"/>
        <v>Natural land transformation</v>
      </c>
      <c r="Y17" s="37" t="str">
        <f t="shared" si="0"/>
        <v>Ozone depletion</v>
      </c>
      <c r="Z17" s="37" t="str">
        <f t="shared" si="0"/>
        <v>Particulate matter formation</v>
      </c>
      <c r="AA17" s="37" t="str">
        <f t="shared" si="0"/>
        <v>Photochemical oxidant formation</v>
      </c>
      <c r="AB17" s="37" t="str">
        <f t="shared" si="0"/>
        <v>Terrestrial acidification</v>
      </c>
      <c r="AC17" s="37" t="str">
        <f t="shared" si="0"/>
        <v>Terrestrial ecotoxicity</v>
      </c>
      <c r="AD17" s="37" t="str">
        <f t="shared" si="0"/>
        <v>Urban land occupation</v>
      </c>
      <c r="AE17" s="38" t="str">
        <f t="shared" si="0"/>
        <v>Water depletion</v>
      </c>
    </row>
    <row r="18" spans="2:31" x14ac:dyDescent="0.25">
      <c r="B18" s="247"/>
      <c r="C18" s="13" t="str">
        <f>Virtual_LCIA!D27</f>
        <v>Information and communication technology</v>
      </c>
      <c r="D18" s="28">
        <f>Virtual_LCIA!AK27</f>
        <v>5.8285350722992861</v>
      </c>
      <c r="E18" s="28">
        <f>Virtual_LCIA!AL27</f>
        <v>2.2227411338050156</v>
      </c>
      <c r="F18" s="28">
        <f>Virtual_LCIA!AM27</f>
        <v>69.363154756960085</v>
      </c>
      <c r="G18" s="28">
        <f>Virtual_LCIA!AN27</f>
        <v>0.38677048996421015</v>
      </c>
      <c r="H18" s="28">
        <f>Virtual_LCIA!AO27</f>
        <v>32.576448409871944</v>
      </c>
      <c r="I18" s="28">
        <f>Virtual_LCIA!AP27</f>
        <v>1.1741120652294871E-3</v>
      </c>
      <c r="J18" s="28">
        <f>Virtual_LCIA!AQ27</f>
        <v>1.1560783329990603</v>
      </c>
      <c r="K18" s="28">
        <f>Virtual_LCIA!AR27</f>
        <v>7.8229126148590309</v>
      </c>
      <c r="L18" s="28">
        <f>Virtual_LCIA!AS27</f>
        <v>3.3618354475604031</v>
      </c>
      <c r="M18" s="28">
        <f>Virtual_LCIA!AT27</f>
        <v>116.89111529808497</v>
      </c>
      <c r="N18" s="28">
        <f>Virtual_LCIA!AU27</f>
        <v>0.41813565975491995</v>
      </c>
      <c r="O18" s="28">
        <f>Virtual_LCIA!AV27</f>
        <v>5.7678343748215415</v>
      </c>
      <c r="P18" s="28">
        <f>Virtual_LCIA!AW27</f>
        <v>1.7576186859951173</v>
      </c>
      <c r="Q18" s="28">
        <f>Virtual_LCIA!AX27</f>
        <v>0.45198958459010663</v>
      </c>
      <c r="R18" s="28">
        <f>Virtual_LCIA!AY27</f>
        <v>5.0745090749825571E-3</v>
      </c>
      <c r="S18" s="28">
        <f>Virtual_LCIA!AZ27</f>
        <v>3.7531577111904681</v>
      </c>
      <c r="T18" s="28">
        <f>Virtual_LCIA!BA27</f>
        <v>2.2309883742879775</v>
      </c>
      <c r="U18" s="28">
        <f>Virtual_LCIA!BB27</f>
        <v>0.3933975121562876</v>
      </c>
      <c r="V18" s="28">
        <f>Virtual_LCIA!BC27</f>
        <v>1.7422692453376817E-3</v>
      </c>
      <c r="W18" s="28">
        <f>Virtual_LCIA!BD27</f>
        <v>0.42274890691772804</v>
      </c>
      <c r="X18" s="28">
        <f>Virtual_LCIA!BE27</f>
        <v>-6.5452053721803841E-4</v>
      </c>
      <c r="Y18" s="28">
        <f>Virtual_LCIA!BF27</f>
        <v>2.3825562423017273E-7</v>
      </c>
      <c r="Z18" s="28">
        <f>Virtual_LCIA!BG27</f>
        <v>1.5946413583913709E-2</v>
      </c>
      <c r="AA18" s="28">
        <f>Virtual_LCIA!BH27</f>
        <v>1.0842271054904118E-2</v>
      </c>
      <c r="AB18" s="28">
        <f>Virtual_LCIA!BI27</f>
        <v>1.7257313657293522E-2</v>
      </c>
      <c r="AC18" s="28">
        <f>Virtual_LCIA!BJ27</f>
        <v>3.9588498163698149E-4</v>
      </c>
      <c r="AD18" s="28">
        <f>Virtual_LCIA!BK27</f>
        <v>2.9159399021648508E-2</v>
      </c>
      <c r="AE18" s="29">
        <f>Virtual_LCIA!BL27</f>
        <v>5.9759308302399207E-2</v>
      </c>
    </row>
    <row r="19" spans="2:31" x14ac:dyDescent="0.25">
      <c r="B19" s="247"/>
      <c r="C19" s="13" t="s">
        <v>783</v>
      </c>
      <c r="D19" s="28">
        <f>Virtual_LCIA!AK28</f>
        <v>2.2112968301756237</v>
      </c>
      <c r="E19" s="28">
        <f>Virtual_LCIA!AL28</f>
        <v>1.7796054501357812E-2</v>
      </c>
      <c r="F19" s="28">
        <f>Virtual_LCIA!AM28</f>
        <v>2.9110355421530638</v>
      </c>
      <c r="G19" s="28">
        <f>Virtual_LCIA!AN28</f>
        <v>8.2230150460941187E-4</v>
      </c>
      <c r="H19" s="28">
        <f>Virtual_LCIA!AO28</f>
        <v>5.765273042367286E-2</v>
      </c>
      <c r="I19" s="28">
        <f>Virtual_LCIA!AP28</f>
        <v>4.2896273062531405E-5</v>
      </c>
      <c r="J19" s="28">
        <f>Virtual_LCIA!AQ28</f>
        <v>1.0241401953287471E-3</v>
      </c>
      <c r="K19" s="28">
        <f>Virtual_LCIA!AR28</f>
        <v>2.7092707913995387E-2</v>
      </c>
      <c r="L19" s="28">
        <f>Virtual_LCIA!AS28</f>
        <v>6.4676711430051255E-3</v>
      </c>
      <c r="M19" s="28">
        <f>Virtual_LCIA!AT28</f>
        <v>3.0219340441080962</v>
      </c>
      <c r="N19" s="28">
        <f>Virtual_LCIA!AU28</f>
        <v>6.5117938596694919E-3</v>
      </c>
      <c r="O19" s="28">
        <f>Virtual_LCIA!AV28</f>
        <v>1.8833897856802233</v>
      </c>
      <c r="P19" s="28">
        <f>Virtual_LCIA!AW28</f>
        <v>6.8328627931218827E-2</v>
      </c>
      <c r="Q19" s="28">
        <f>Virtual_LCIA!AX28</f>
        <v>0.15900404210394778</v>
      </c>
      <c r="R19" s="28">
        <f>Virtual_LCIA!AY28</f>
        <v>1.2086242898364069E-4</v>
      </c>
      <c r="S19" s="28">
        <f>Virtual_LCIA!AZ28</f>
        <v>0.52437852086359682</v>
      </c>
      <c r="T19" s="28">
        <f>Virtual_LCIA!BA28</f>
        <v>1.271655749051278E-2</v>
      </c>
      <c r="U19" s="28">
        <f>Virtual_LCIA!BB28</f>
        <v>0.13787383334359576</v>
      </c>
      <c r="V19" s="28">
        <f>Virtual_LCIA!BC28</f>
        <v>8.2967360559110439E-3</v>
      </c>
      <c r="W19" s="28">
        <f>Virtual_LCIA!BD28</f>
        <v>4.5681544958885364E-3</v>
      </c>
      <c r="X19" s="28">
        <f>Virtual_LCIA!BE28</f>
        <v>-1.826112248365476E-5</v>
      </c>
      <c r="Y19" s="28">
        <f>Virtual_LCIA!BF28</f>
        <v>2.9532658203677527E-8</v>
      </c>
      <c r="Z19" s="28">
        <f>Virtual_LCIA!BG28</f>
        <v>5.6076216882928629E-4</v>
      </c>
      <c r="AA19" s="28">
        <f>Virtual_LCIA!BH28</f>
        <v>7.2921620381246628E-3</v>
      </c>
      <c r="AB19" s="28">
        <f>Virtual_LCIA!BI28</f>
        <v>1.2624270464421745E-3</v>
      </c>
      <c r="AC19" s="28">
        <f>Virtual_LCIA!BJ28</f>
        <v>7.224650984864655E-5</v>
      </c>
      <c r="AD19" s="28">
        <f>Virtual_LCIA!BK28</f>
        <v>1.1662187667277222E-2</v>
      </c>
      <c r="AE19" s="29">
        <f>Virtual_LCIA!BL28</f>
        <v>1.8082005681720743E-3</v>
      </c>
    </row>
    <row r="20" spans="2:31" x14ac:dyDescent="0.25">
      <c r="B20" s="247"/>
      <c r="C20" s="13" t="s">
        <v>781</v>
      </c>
      <c r="D20" s="28">
        <f>Virtual_LCIA!AK29</f>
        <v>14.169844148648293</v>
      </c>
      <c r="E20" s="28">
        <f>Virtual_LCIA!AL29</f>
        <v>5.5051300162408126</v>
      </c>
      <c r="F20" s="28">
        <f>Virtual_LCIA!AM29</f>
        <v>169.56427647433</v>
      </c>
      <c r="G20" s="28">
        <f>Virtual_LCIA!AN29</f>
        <v>1.0024979526764335</v>
      </c>
      <c r="H20" s="28">
        <f>Virtual_LCIA!AO29</f>
        <v>84.832334339178928</v>
      </c>
      <c r="I20" s="28">
        <f>Virtual_LCIA!AP29</f>
        <v>2.5544922685352919E-3</v>
      </c>
      <c r="J20" s="28">
        <f>Virtual_LCIA!AQ29</f>
        <v>3.082786606786446</v>
      </c>
      <c r="K20" s="28">
        <f>Virtual_LCIA!AR29</f>
        <v>19.797601767128203</v>
      </c>
      <c r="L20" s="28">
        <f>Virtual_LCIA!AS29</f>
        <v>8.7330804293240369</v>
      </c>
      <c r="M20" s="28">
        <f>Virtual_LCIA!AT29</f>
        <v>292.52026207793335</v>
      </c>
      <c r="N20" s="28">
        <f>Virtual_LCIA!AU29</f>
        <v>1.023243847767461</v>
      </c>
      <c r="O20" s="28">
        <f>Virtual_LCIA!AV29</f>
        <v>14.034844059572489</v>
      </c>
      <c r="P20" s="28">
        <f>Virtual_LCIA!AW29</f>
        <v>4.3070987013283153</v>
      </c>
      <c r="Q20" s="28">
        <f>Virtual_LCIA!AX29</f>
        <v>0.80953848948284546</v>
      </c>
      <c r="R20" s="28">
        <f>Virtual_LCIA!AY29</f>
        <v>1.2032289087180972E-2</v>
      </c>
      <c r="S20" s="28">
        <f>Virtual_LCIA!AZ29</f>
        <v>8.0405937532062826</v>
      </c>
      <c r="T20" s="28">
        <f>Virtual_LCIA!BA29</f>
        <v>5.8157925279955585</v>
      </c>
      <c r="U20" s="28">
        <f>Virtual_LCIA!BB29</f>
        <v>0.69802599065877902</v>
      </c>
      <c r="V20" s="28">
        <f>Virtual_LCIA!BC29</f>
        <v>3.6154547865293028E-3</v>
      </c>
      <c r="W20" s="28">
        <f>Virtual_LCIA!BD29</f>
        <v>0.32587467594065028</v>
      </c>
      <c r="X20" s="28">
        <f>Virtual_LCIA!BE29</f>
        <v>-1.5570954626570389E-3</v>
      </c>
      <c r="Y20" s="28">
        <f>Virtual_LCIA!BF29</f>
        <v>5.4036706869449705E-7</v>
      </c>
      <c r="Z20" s="28">
        <f>Virtual_LCIA!BG29</f>
        <v>3.8543217576129614E-2</v>
      </c>
      <c r="AA20" s="28">
        <f>Virtual_LCIA!BH29</f>
        <v>2.3696515891427988E-2</v>
      </c>
      <c r="AB20" s="28">
        <f>Virtual_LCIA!BI29</f>
        <v>3.9535539687342192E-2</v>
      </c>
      <c r="AC20" s="28">
        <f>Virtual_LCIA!BJ29</f>
        <v>7.5545201759756218E-4</v>
      </c>
      <c r="AD20" s="28">
        <f>Virtual_LCIA!BK29</f>
        <v>6.2401899494990587E-2</v>
      </c>
      <c r="AE20" s="29">
        <f>Virtual_LCIA!BL29</f>
        <v>0.14688867333399902</v>
      </c>
    </row>
    <row r="21" spans="2:31" x14ac:dyDescent="0.25">
      <c r="B21" s="247"/>
      <c r="C21" s="13" t="s">
        <v>782</v>
      </c>
      <c r="D21" s="28">
        <f>Virtual_LCIA!AK30</f>
        <v>8.4271320247949859</v>
      </c>
      <c r="E21" s="28">
        <f>Virtual_LCIA!AL30</f>
        <v>0.13744809648990994</v>
      </c>
      <c r="F21" s="28">
        <f>Virtual_LCIA!AM30</f>
        <v>133.65406097754766</v>
      </c>
      <c r="G21" s="28">
        <f>Virtual_LCIA!AN30</f>
        <v>1.1815052084805976E-2</v>
      </c>
      <c r="H21" s="28">
        <f>Virtual_LCIA!AO30</f>
        <v>0.65058844468059185</v>
      </c>
      <c r="I21" s="28">
        <f>Virtual_LCIA!AP30</f>
        <v>8.3582247754583128E-4</v>
      </c>
      <c r="J21" s="28">
        <f>Virtual_LCIA!AQ30</f>
        <v>2.2901318407330767E-2</v>
      </c>
      <c r="K21" s="28">
        <f>Virtual_LCIA!AR30</f>
        <v>0.36830511090567408</v>
      </c>
      <c r="L21" s="28">
        <f>Virtual_LCIA!AS30</f>
        <v>7.8043665072050503E-2</v>
      </c>
      <c r="M21" s="28">
        <f>Virtual_LCIA!AT30</f>
        <v>134.92399848766556</v>
      </c>
      <c r="N21" s="28">
        <f>Virtual_LCIA!AU30</f>
        <v>2.4773515370440386E-2</v>
      </c>
      <c r="O21" s="28">
        <f>Virtual_LCIA!AV30</f>
        <v>8.2524409192725106</v>
      </c>
      <c r="P21" s="28">
        <f>Virtual_LCIA!AW30</f>
        <v>3.8495868111414286</v>
      </c>
      <c r="Q21" s="28">
        <f>Virtual_LCIA!AX30</f>
        <v>4.9602582039659913E-2</v>
      </c>
      <c r="R21" s="28">
        <f>Virtual_LCIA!AY30</f>
        <v>2.1120131018816758E-4</v>
      </c>
      <c r="S21" s="28">
        <f>Virtual_LCIA!AZ30</f>
        <v>0.37766609572122217</v>
      </c>
      <c r="T21" s="28">
        <f>Virtual_LCIA!BA30</f>
        <v>5.3203960920086051E-2</v>
      </c>
      <c r="U21" s="28">
        <f>Virtual_LCIA!BB30</f>
        <v>2.9444552237996701E-2</v>
      </c>
      <c r="V21" s="28">
        <f>Virtual_LCIA!BC30</f>
        <v>2.5612694564763514E-4</v>
      </c>
      <c r="W21" s="28">
        <f>Virtual_LCIA!BD30</f>
        <v>5.5125799469338724E-2</v>
      </c>
      <c r="X21" s="28">
        <f>Virtual_LCIA!BE30</f>
        <v>-3.7745334606632338E-5</v>
      </c>
      <c r="Y21" s="28">
        <f>Virtual_LCIA!BF30</f>
        <v>6.9560863554223666E-7</v>
      </c>
      <c r="Z21" s="28">
        <f>Virtual_LCIA!BG30</f>
        <v>2.5417674047772927E-3</v>
      </c>
      <c r="AA21" s="28">
        <f>Virtual_LCIA!BH30</f>
        <v>8.0425279264390078E-3</v>
      </c>
      <c r="AB21" s="28">
        <f>Virtual_LCIA!BI30</f>
        <v>6.9406029083158407E-3</v>
      </c>
      <c r="AC21" s="28">
        <f>Virtual_LCIA!BJ30</f>
        <v>4.2107884474585364E-4</v>
      </c>
      <c r="AD21" s="28">
        <f>Virtual_LCIA!BK30</f>
        <v>2.6026374449288996E-2</v>
      </c>
      <c r="AE21" s="29">
        <f>Virtual_LCIA!BL30</f>
        <v>3.1886445499224275E-3</v>
      </c>
    </row>
    <row r="22" spans="2:31" x14ac:dyDescent="0.25">
      <c r="B22" s="247"/>
      <c r="C22" s="13" t="s">
        <v>784</v>
      </c>
      <c r="D22" s="28">
        <f>Virtual_LCIA!AK31</f>
        <v>0.40997042341147211</v>
      </c>
      <c r="E22" s="28">
        <f>Virtual_LCIA!AL31</f>
        <v>0.10299713589681601</v>
      </c>
      <c r="F22" s="28">
        <f>Virtual_LCIA!AM31</f>
        <v>4.9369372941235214</v>
      </c>
      <c r="G22" s="28">
        <f>Virtual_LCIA!AN31</f>
        <v>1.6719630252259202E-2</v>
      </c>
      <c r="H22" s="28">
        <f>Virtual_LCIA!AO31</f>
        <v>1.1382823565164801</v>
      </c>
      <c r="I22" s="28">
        <f>Virtual_LCIA!AP31</f>
        <v>1.7258838588633604E-4</v>
      </c>
      <c r="J22" s="28">
        <f>Virtual_LCIA!AQ31</f>
        <v>1.2256820829926402E-3</v>
      </c>
      <c r="K22" s="28">
        <f>Virtual_LCIA!AR31</f>
        <v>0.36158247221980805</v>
      </c>
      <c r="L22" s="28">
        <f>Virtual_LCIA!AS31</f>
        <v>0.12747010226630404</v>
      </c>
      <c r="M22" s="28">
        <f>Virtual_LCIA!AT31</f>
        <v>6.6853872617440677</v>
      </c>
      <c r="N22" s="28">
        <f>Virtual_LCIA!AU31</f>
        <v>1.8993796166116805E-2</v>
      </c>
      <c r="O22" s="28">
        <f>Virtual_LCIA!AV31</f>
        <v>0.40093320825734408</v>
      </c>
      <c r="P22" s="28">
        <f>Virtual_LCIA!AW31</f>
        <v>0.12211452236827201</v>
      </c>
      <c r="Q22" s="28">
        <f>Virtual_LCIA!AX31</f>
        <v>9.4663916152848016E-3</v>
      </c>
      <c r="R22" s="28">
        <f>Virtual_LCIA!AY31</f>
        <v>2.3194302113404804E-4</v>
      </c>
      <c r="S22" s="28">
        <f>Virtual_LCIA!AZ31</f>
        <v>0.22246254961056006</v>
      </c>
      <c r="T22" s="28">
        <f>Virtual_LCIA!BA31</f>
        <v>7.3403254766016016E-2</v>
      </c>
      <c r="U22" s="28">
        <f>Virtual_LCIA!BB31</f>
        <v>8.5365961957920029E-3</v>
      </c>
      <c r="V22" s="28">
        <f>Virtual_LCIA!BC31</f>
        <v>1.1646691474454402E-4</v>
      </c>
      <c r="W22" s="28">
        <f>Virtual_LCIA!BD31</f>
        <v>1.0643889123537604E-2</v>
      </c>
      <c r="X22" s="28">
        <f>Virtual_LCIA!BE31</f>
        <v>-3.3177999985636808E-5</v>
      </c>
      <c r="Y22" s="28">
        <f>Virtual_LCIA!BF31</f>
        <v>8.6716590189264023E-8</v>
      </c>
      <c r="Z22" s="28">
        <f>Virtual_LCIA!BG31</f>
        <v>1.0571403670195201E-3</v>
      </c>
      <c r="AA22" s="28">
        <f>Virtual_LCIA!BH31</f>
        <v>1.2517559870726402E-3</v>
      </c>
      <c r="AB22" s="28">
        <f>Virtual_LCIA!BI31</f>
        <v>1.5981217288713603E-3</v>
      </c>
      <c r="AC22" s="28">
        <f>Virtual_LCIA!BJ31</f>
        <v>3.7602220029931209E-5</v>
      </c>
      <c r="AD22" s="28">
        <f>Virtual_LCIA!BK31</f>
        <v>3.9511351286668807E-3</v>
      </c>
      <c r="AE22" s="29">
        <f>Virtual_LCIA!BL31</f>
        <v>5.5787725169568012E-3</v>
      </c>
    </row>
    <row r="23" spans="2:31" x14ac:dyDescent="0.25">
      <c r="B23" s="247"/>
      <c r="C23" s="13" t="s">
        <v>785</v>
      </c>
      <c r="D23" s="28">
        <f>Virtual_LCIA!AK32</f>
        <v>0.28758994722158404</v>
      </c>
      <c r="E23" s="28">
        <f>Virtual_LCIA!AL32</f>
        <v>5.8582847686944009E-2</v>
      </c>
      <c r="F23" s="28">
        <f>Virtual_LCIA!AM32</f>
        <v>2.9449431702196809</v>
      </c>
      <c r="G23" s="28">
        <f>Virtual_LCIA!AN32</f>
        <v>4.4628094223328005E-3</v>
      </c>
      <c r="H23" s="28">
        <f>Virtual_LCIA!AO32</f>
        <v>0.30626929210449605</v>
      </c>
      <c r="I23" s="28">
        <f>Virtual_LCIA!AP32</f>
        <v>2.4043268430249605E-4</v>
      </c>
      <c r="J23" s="28">
        <f>Virtual_LCIA!AQ32</f>
        <v>9.761026731388801E-3</v>
      </c>
      <c r="K23" s="28">
        <f>Virtual_LCIA!AR32</f>
        <v>0.15983303201040003</v>
      </c>
      <c r="L23" s="28">
        <f>Virtual_LCIA!AS32</f>
        <v>3.3418922859336009E-2</v>
      </c>
      <c r="M23" s="28">
        <f>Virtual_LCIA!AT32</f>
        <v>3.5175115337188809</v>
      </c>
      <c r="N23" s="28">
        <f>Virtual_LCIA!AU32</f>
        <v>1.2280287343598402E-2</v>
      </c>
      <c r="O23" s="28">
        <f>Virtual_LCIA!AV32</f>
        <v>0.28230737425497604</v>
      </c>
      <c r="P23" s="28">
        <f>Virtual_LCIA!AW32</f>
        <v>7.1552007576336007E-2</v>
      </c>
      <c r="Q23" s="28">
        <f>Virtual_LCIA!AX32</f>
        <v>1.2424736772201602E-2</v>
      </c>
      <c r="R23" s="28">
        <f>Virtual_LCIA!AY32</f>
        <v>5.8243886933904011E-4</v>
      </c>
      <c r="S23" s="28">
        <f>Virtual_LCIA!AZ32</f>
        <v>0.12847134018297601</v>
      </c>
      <c r="T23" s="28">
        <f>Virtual_LCIA!BA32</f>
        <v>2.1208513578672001E-2</v>
      </c>
      <c r="U23" s="28">
        <f>Virtual_LCIA!BB32</f>
        <v>1.1148679906526401E-2</v>
      </c>
      <c r="V23" s="28">
        <f>Virtual_LCIA!BC32</f>
        <v>1.0771129775448002E-2</v>
      </c>
      <c r="W23" s="28">
        <f>Virtual_LCIA!BD32</f>
        <v>2.5717734550267206E-2</v>
      </c>
      <c r="X23" s="28">
        <f>Virtual_LCIA!BE32</f>
        <v>-3.0065818794648007E-5</v>
      </c>
      <c r="Y23" s="28">
        <f>Virtual_LCIA!BF32</f>
        <v>1.5669373395916801E-8</v>
      </c>
      <c r="Z23" s="28">
        <f>Virtual_LCIA!BG32</f>
        <v>9.329242879824002E-4</v>
      </c>
      <c r="AA23" s="28">
        <f>Virtual_LCIA!BH32</f>
        <v>1.3362354362918402E-3</v>
      </c>
      <c r="AB23" s="28">
        <f>Virtual_LCIA!BI32</f>
        <v>2.0774122336699201E-3</v>
      </c>
      <c r="AC23" s="28">
        <f>Virtual_LCIA!BJ32</f>
        <v>1.2339735844900802E-4</v>
      </c>
      <c r="AD23" s="28">
        <f>Virtual_LCIA!BK32</f>
        <v>1.3610577929760004E-2</v>
      </c>
      <c r="AE23" s="29">
        <f>Virtual_LCIA!BL32</f>
        <v>5.4165928335792014E-2</v>
      </c>
    </row>
    <row r="24" spans="2:31" x14ac:dyDescent="0.25">
      <c r="B24" s="247"/>
      <c r="C24" s="13" t="str">
        <f>Virtual_LCIA!C33</f>
        <v>Food</v>
      </c>
      <c r="D24" s="28">
        <f>Virtual_LCIA!AK33</f>
        <v>23.230625622492582</v>
      </c>
      <c r="E24" s="28">
        <f>Virtual_LCIA!AL33</f>
        <v>144.36606205662173</v>
      </c>
      <c r="F24" s="28">
        <f>Virtual_LCIA!AM33</f>
        <v>156.40988137231082</v>
      </c>
      <c r="G24" s="28">
        <f>Virtual_LCIA!AN33</f>
        <v>0.40850515542794635</v>
      </c>
      <c r="H24" s="28">
        <f>Virtual_LCIA!AO33</f>
        <v>33.196760456249415</v>
      </c>
      <c r="I24" s="28">
        <f>Virtual_LCIA!AP33</f>
        <v>6.6031467278521774</v>
      </c>
      <c r="J24" s="28">
        <f>Virtual_LCIA!AQ33</f>
        <v>1.1585542441272432</v>
      </c>
      <c r="K24" s="28">
        <f>Virtual_LCIA!AR33</f>
        <v>9.0125746973231173</v>
      </c>
      <c r="L24" s="28">
        <f>Virtual_LCIA!AS33</f>
        <v>3.481968413399299</v>
      </c>
      <c r="M24" s="28">
        <f>Virtual_LCIA!AT33</f>
        <v>354.63745312331184</v>
      </c>
      <c r="N24" s="28">
        <f>Virtual_LCIA!AU33</f>
        <v>55.117966534692599</v>
      </c>
      <c r="O24" s="28">
        <f>Virtual_LCIA!AV33</f>
        <v>21.504622408420918</v>
      </c>
      <c r="P24" s="28">
        <f>Virtual_LCIA!AW33</f>
        <v>4.5234715718157119</v>
      </c>
      <c r="Q24" s="28">
        <f>Virtual_LCIA!AX33</f>
        <v>0.53687873930617436</v>
      </c>
      <c r="R24" s="28">
        <f>Virtual_LCIA!AY33</f>
        <v>1.224912262760723E-2</v>
      </c>
      <c r="S24" s="28">
        <f>Virtual_LCIA!AZ33</f>
        <v>14.4195338278946</v>
      </c>
      <c r="T24" s="28">
        <f>Virtual_LCIA!BA33</f>
        <v>2.3911288092923284</v>
      </c>
      <c r="U24" s="28">
        <f>Virtual_LCIA!BB33</f>
        <v>0.44138914341368152</v>
      </c>
      <c r="V24" s="28">
        <f>Virtual_LCIA!BC33</f>
        <v>8.1007624828440331E-2</v>
      </c>
      <c r="W24" s="28">
        <f>Virtual_LCIA!BD33</f>
        <v>0.45145195800130994</v>
      </c>
      <c r="X24" s="28">
        <f>Virtual_LCIA!BE33</f>
        <v>-1.0185449810757616E-3</v>
      </c>
      <c r="Y24" s="28">
        <f>Virtual_LCIA!BF33</f>
        <v>9.4689091181056929E-7</v>
      </c>
      <c r="Z24" s="28">
        <f>Virtual_LCIA!BG33</f>
        <v>5.1288197609161576E-2</v>
      </c>
      <c r="AA24" s="28">
        <f>Virtual_LCIA!BH33</f>
        <v>6.6115593998771746E-2</v>
      </c>
      <c r="AB24" s="28">
        <f>Virtual_LCIA!BI33</f>
        <v>0.15707407322195324</v>
      </c>
      <c r="AC24" s="28">
        <f>Virtual_LCIA!BJ33</f>
        <v>0.20076019213481025</v>
      </c>
      <c r="AD24" s="28">
        <f>Virtual_LCIA!BK33</f>
        <v>0.24161092840197809</v>
      </c>
      <c r="AE24" s="29">
        <f>Virtual_LCIA!BL33</f>
        <v>1.1645089865245011</v>
      </c>
    </row>
    <row r="25" spans="2:31" x14ac:dyDescent="0.25">
      <c r="B25" s="274"/>
      <c r="C25" s="14" t="str">
        <f>C39</f>
        <v>Preparation</v>
      </c>
      <c r="D25" s="30">
        <f>'Pre &amp; Exe_LCIA'!H51</f>
        <v>0.1890614060968662</v>
      </c>
      <c r="E25" s="30">
        <f>'Pre &amp; Exe_LCIA'!I51</f>
        <v>0.68728853922326061</v>
      </c>
      <c r="F25" s="30">
        <f>'Pre &amp; Exe_LCIA'!J51</f>
        <v>2.2124864468279655</v>
      </c>
      <c r="G25" s="30">
        <f>'Pre &amp; Exe_LCIA'!K51</f>
        <v>5.3933895697429717E-3</v>
      </c>
      <c r="H25" s="30">
        <f>'Pre &amp; Exe_LCIA'!L51</f>
        <v>0.37380627254910676</v>
      </c>
      <c r="I25" s="30">
        <f>'Pre &amp; Exe_LCIA'!M51</f>
        <v>1.5728672792953419E-4</v>
      </c>
      <c r="J25" s="30">
        <f>'Pre &amp; Exe_LCIA'!N51</f>
        <v>1.3309676239297196E-2</v>
      </c>
      <c r="K25" s="30">
        <f>'Pre &amp; Exe_LCIA'!O51</f>
        <v>0.1597676961484141</v>
      </c>
      <c r="L25" s="30">
        <f>'Pre &amp; Exe_LCIA'!P51</f>
        <v>4.4215357552845509E-2</v>
      </c>
      <c r="M25" s="30">
        <f>'Pre &amp; Exe_LCIA'!Q51</f>
        <v>3.4964246648385617</v>
      </c>
      <c r="N25" s="30">
        <f>'Pre &amp; Exe_LCIA'!R51</f>
        <v>7.2362728163940099E-2</v>
      </c>
      <c r="O25" s="30">
        <f>'Pre &amp; Exe_LCIA'!S51</f>
        <v>0.18488548762458842</v>
      </c>
      <c r="P25" s="30">
        <f>'Pre &amp; Exe_LCIA'!T51</f>
        <v>5.4767358988741674E-2</v>
      </c>
      <c r="Q25" s="30">
        <f>'Pre &amp; Exe_LCIA'!U51</f>
        <v>1.554589153567386E-2</v>
      </c>
      <c r="R25" s="30">
        <f>'Pre &amp; Exe_LCIA'!V51</f>
        <v>1.121820415542266E-4</v>
      </c>
      <c r="S25" s="30">
        <f>'Pre &amp; Exe_LCIA'!W51</f>
        <v>0.10958244510638382</v>
      </c>
      <c r="T25" s="30">
        <f>'Pre &amp; Exe_LCIA'!X51</f>
        <v>2.393935795570477E-2</v>
      </c>
      <c r="U25" s="30">
        <f>'Pre &amp; Exe_LCIA'!Y51</f>
        <v>1.3725987426027661E-2</v>
      </c>
      <c r="V25" s="30">
        <f>'Pre &amp; Exe_LCIA'!Z51</f>
        <v>9.4564753462700324E-5</v>
      </c>
      <c r="W25" s="30">
        <f>'Pre &amp; Exe_LCIA'!AA51</f>
        <v>2.4396932669512383E-2</v>
      </c>
      <c r="X25" s="30">
        <f>'Pre &amp; Exe_LCIA'!AB51</f>
        <v>-1.3410562973815725E-5</v>
      </c>
      <c r="Y25" s="30">
        <f>'Pre &amp; Exe_LCIA'!AC51</f>
        <v>8.2366410819703803E-9</v>
      </c>
      <c r="Z25" s="30">
        <f>'Pre &amp; Exe_LCIA'!AD51</f>
        <v>4.8480423222778282E-4</v>
      </c>
      <c r="AA25" s="30">
        <f>'Pre &amp; Exe_LCIA'!AE51</f>
        <v>5.8617622580529069E-4</v>
      </c>
      <c r="AB25" s="30">
        <f>'Pre &amp; Exe_LCIA'!AF51</f>
        <v>7.7825475191013683E-4</v>
      </c>
      <c r="AC25" s="30">
        <f>'Pre &amp; Exe_LCIA'!AG51</f>
        <v>3.3006077963017164E-4</v>
      </c>
      <c r="AD25" s="30">
        <f>'Pre &amp; Exe_LCIA'!AH51</f>
        <v>1.7170145632169249E-3</v>
      </c>
      <c r="AE25" s="31">
        <f>'Pre &amp; Exe_LCIA'!AI51</f>
        <v>2.088005499355808E-3</v>
      </c>
    </row>
    <row r="26" spans="2:31" x14ac:dyDescent="0.25">
      <c r="D26" s="16">
        <f>SUM(D18:D25)</f>
        <v>54.754055475140696</v>
      </c>
      <c r="E26" s="16">
        <f t="shared" ref="E26:AE26" si="1">SUM(E18:E25)</f>
        <v>153.09804588046583</v>
      </c>
      <c r="F26" s="16">
        <f t="shared" si="1"/>
        <v>541.99677603447276</v>
      </c>
      <c r="G26" s="16">
        <f t="shared" si="1"/>
        <v>1.8369867809023404</v>
      </c>
      <c r="H26" s="16">
        <f t="shared" si="1"/>
        <v>153.13214230157465</v>
      </c>
      <c r="I26" s="16">
        <f t="shared" si="1"/>
        <v>6.6083243587346683</v>
      </c>
      <c r="J26" s="16">
        <f t="shared" si="1"/>
        <v>5.4456410275690876</v>
      </c>
      <c r="K26" s="16">
        <f t="shared" si="1"/>
        <v>37.709670098508646</v>
      </c>
      <c r="L26" s="16">
        <f t="shared" si="1"/>
        <v>15.866500009177281</v>
      </c>
      <c r="M26" s="16">
        <f t="shared" si="1"/>
        <v>915.6940864914053</v>
      </c>
      <c r="N26" s="16">
        <f t="shared" si="1"/>
        <v>56.694268163118743</v>
      </c>
      <c r="O26" s="16">
        <f t="shared" si="1"/>
        <v>52.311257617904594</v>
      </c>
      <c r="P26" s="16">
        <f t="shared" si="1"/>
        <v>14.75453828714514</v>
      </c>
      <c r="Q26" s="16">
        <f t="shared" si="1"/>
        <v>2.0444504574458944</v>
      </c>
      <c r="R26" s="16">
        <f t="shared" si="1"/>
        <v>3.0614548460969886E-2</v>
      </c>
      <c r="S26" s="16">
        <f t="shared" si="1"/>
        <v>27.575846243776091</v>
      </c>
      <c r="T26" s="16">
        <f t="shared" si="1"/>
        <v>10.622381356286855</v>
      </c>
      <c r="U26" s="16">
        <f t="shared" si="1"/>
        <v>1.7335422953386868</v>
      </c>
      <c r="V26" s="16">
        <f t="shared" si="1"/>
        <v>0.10590037330552124</v>
      </c>
      <c r="W26" s="16">
        <f t="shared" si="1"/>
        <v>1.3205280511682327</v>
      </c>
      <c r="X26" s="16">
        <f t="shared" si="1"/>
        <v>-3.3628218197952267E-3</v>
      </c>
      <c r="Y26" s="16">
        <f t="shared" si="1"/>
        <v>2.5612775031483046E-6</v>
      </c>
      <c r="Z26" s="16">
        <f t="shared" si="1"/>
        <v>0.1113552272300412</v>
      </c>
      <c r="AA26" s="16">
        <f t="shared" si="1"/>
        <v>0.11916323855883729</v>
      </c>
      <c r="AB26" s="16">
        <f t="shared" si="1"/>
        <v>0.22652374523579838</v>
      </c>
      <c r="AC26" s="16">
        <f t="shared" si="1"/>
        <v>0.2028959148467484</v>
      </c>
      <c r="AD26" s="16">
        <f t="shared" si="1"/>
        <v>0.39013951665682722</v>
      </c>
      <c r="AE26" s="16">
        <f t="shared" si="1"/>
        <v>1.4379865196310984</v>
      </c>
    </row>
    <row r="27" spans="2:31" x14ac:dyDescent="0.25">
      <c r="B27" s="273" t="s">
        <v>535</v>
      </c>
      <c r="C27" s="15"/>
      <c r="D27" s="37" t="str">
        <f t="shared" ref="D27:AE27" si="2">D2</f>
        <v>Carbon footprint</v>
      </c>
      <c r="E27" s="37" t="str">
        <f t="shared" si="2"/>
        <v>biomass</v>
      </c>
      <c r="F27" s="37" t="str">
        <f t="shared" si="2"/>
        <v>fossil</v>
      </c>
      <c r="G27" s="37" t="str">
        <f t="shared" si="2"/>
        <v>geothermal</v>
      </c>
      <c r="H27" s="37" t="str">
        <f t="shared" si="2"/>
        <v>nuclear</v>
      </c>
      <c r="I27" s="37" t="str">
        <f t="shared" si="2"/>
        <v>primary forest</v>
      </c>
      <c r="J27" s="37" t="str">
        <f t="shared" si="2"/>
        <v>solar</v>
      </c>
      <c r="K27" s="37" t="str">
        <f t="shared" si="2"/>
        <v>water</v>
      </c>
      <c r="L27" s="37" t="str">
        <f t="shared" si="2"/>
        <v>wind</v>
      </c>
      <c r="M27" s="37" t="str">
        <f t="shared" si="2"/>
        <v>CED</v>
      </c>
      <c r="N27" s="37" t="str">
        <f t="shared" si="2"/>
        <v>Agricultural land occupation</v>
      </c>
      <c r="O27" s="37" t="str">
        <f t="shared" si="2"/>
        <v>Climate change</v>
      </c>
      <c r="P27" s="37" t="str">
        <f t="shared" si="2"/>
        <v>Fossil depletion</v>
      </c>
      <c r="Q27" s="37" t="str">
        <f t="shared" si="2"/>
        <v>Freshwater ecotoxicity</v>
      </c>
      <c r="R27" s="37" t="str">
        <f t="shared" si="2"/>
        <v>Freshwater eutrophication</v>
      </c>
      <c r="S27" s="37" t="str">
        <f t="shared" si="2"/>
        <v>Human toxicity</v>
      </c>
      <c r="T27" s="37" t="str">
        <f t="shared" si="2"/>
        <v>Ionising radiation</v>
      </c>
      <c r="U27" s="37" t="str">
        <f t="shared" si="2"/>
        <v>Marine ecotoxicity</v>
      </c>
      <c r="V27" s="37" t="str">
        <f t="shared" si="2"/>
        <v>Marine eutrophication</v>
      </c>
      <c r="W27" s="37" t="str">
        <f t="shared" si="2"/>
        <v>Metal depletion</v>
      </c>
      <c r="X27" s="37" t="str">
        <f t="shared" si="2"/>
        <v>Natural land transformation</v>
      </c>
      <c r="Y27" s="37" t="str">
        <f t="shared" si="2"/>
        <v>Ozone depletion</v>
      </c>
      <c r="Z27" s="37" t="str">
        <f t="shared" si="2"/>
        <v>Particulate matter formation</v>
      </c>
      <c r="AA27" s="37" t="str">
        <f t="shared" si="2"/>
        <v>Photochemical oxidant formation</v>
      </c>
      <c r="AB27" s="37" t="str">
        <f t="shared" si="2"/>
        <v>Terrestrial acidification</v>
      </c>
      <c r="AC27" s="37" t="str">
        <f t="shared" si="2"/>
        <v>Terrestrial ecotoxicity</v>
      </c>
      <c r="AD27" s="37" t="str">
        <f t="shared" si="2"/>
        <v>Urban land occupation</v>
      </c>
      <c r="AE27" s="38" t="str">
        <f t="shared" si="2"/>
        <v>Water depletion</v>
      </c>
    </row>
    <row r="28" spans="2:31" x14ac:dyDescent="0.25">
      <c r="B28" s="247"/>
      <c r="C28" s="13" t="s">
        <v>521</v>
      </c>
      <c r="D28" s="28">
        <f>'1_hub_LCIA'!AK3</f>
        <v>0.49754178678951533</v>
      </c>
      <c r="E28" s="28">
        <f>'1_hub_LCIA'!AL3</f>
        <v>4.0041122628055063E-3</v>
      </c>
      <c r="F28" s="28">
        <f>'1_hub_LCIA'!AM3</f>
        <v>0.65498299698443929</v>
      </c>
      <c r="G28" s="28">
        <f>'1_hub_LCIA'!AN3</f>
        <v>1.8501783853711767E-4</v>
      </c>
      <c r="H28" s="28">
        <f>'1_hub_LCIA'!AO3</f>
        <v>1.297186434532639E-2</v>
      </c>
      <c r="I28" s="28">
        <f>'1_hub_LCIA'!AP3</f>
        <v>9.651661439069565E-6</v>
      </c>
      <c r="J28" s="28">
        <f>'1_hub_LCIA'!AQ3</f>
        <v>2.3043154394896808E-4</v>
      </c>
      <c r="K28" s="28">
        <f>'1_hub_LCIA'!AR3</f>
        <v>6.095859280648961E-3</v>
      </c>
      <c r="L28" s="28">
        <f>'1_hub_LCIA'!AS3</f>
        <v>1.4552260071761529E-3</v>
      </c>
      <c r="M28" s="28">
        <f>'1_hub_LCIA'!AT3</f>
        <v>0.67993515992432152</v>
      </c>
      <c r="N28" s="28">
        <f>'1_hub_LCIA'!AU3</f>
        <v>1.4651536184256356E-3</v>
      </c>
      <c r="O28" s="28">
        <f>'1_hub_LCIA'!AV3</f>
        <v>0.4237627017780502</v>
      </c>
      <c r="P28" s="28">
        <f>'1_hub_LCIA'!AW3</f>
        <v>1.5373941284524234E-2</v>
      </c>
      <c r="Q28" s="28">
        <f>'1_hub_LCIA'!AX3</f>
        <v>3.5775909473388247E-2</v>
      </c>
      <c r="R28" s="28">
        <f>'1_hub_LCIA'!AY3</f>
        <v>2.719404652131915E-5</v>
      </c>
      <c r="S28" s="28">
        <f>'1_hub_LCIA'!AZ3</f>
        <v>0.11798516719430925</v>
      </c>
      <c r="T28" s="28">
        <f>'1_hub_LCIA'!BA3</f>
        <v>2.8612254353653751E-3</v>
      </c>
      <c r="U28" s="28">
        <f>'1_hub_LCIA'!BB3</f>
        <v>3.1021612502309039E-2</v>
      </c>
      <c r="V28" s="28">
        <f>'1_hub_LCIA'!BC3</f>
        <v>1.8667656125799846E-3</v>
      </c>
      <c r="W28" s="28">
        <f>'1_hub_LCIA'!BD3</f>
        <v>1.0278347615749206E-3</v>
      </c>
      <c r="X28" s="28">
        <f>'1_hub_LCIA'!BE3</f>
        <v>-4.1087525588223203E-6</v>
      </c>
      <c r="Y28" s="28">
        <f>'1_hub_LCIA'!BF3</f>
        <v>6.6448480958274426E-9</v>
      </c>
      <c r="Z28" s="28">
        <f>'1_hub_LCIA'!BG3</f>
        <v>1.2617148798658941E-4</v>
      </c>
      <c r="AA28" s="28">
        <f>'1_hub_LCIA'!BH3</f>
        <v>1.6407364585780491E-3</v>
      </c>
      <c r="AB28" s="28">
        <f>'1_hub_LCIA'!BI3</f>
        <v>2.8404608544948921E-4</v>
      </c>
      <c r="AC28" s="28">
        <f>'1_hub_LCIA'!BJ3</f>
        <v>1.625546471594547E-5</v>
      </c>
      <c r="AD28" s="28">
        <f>'1_hub_LCIA'!BK3</f>
        <v>2.6239922251373748E-3</v>
      </c>
      <c r="AE28" s="29">
        <f>'1_hub_LCIA'!BL3</f>
        <v>4.0684512783871663E-4</v>
      </c>
    </row>
    <row r="29" spans="2:31" x14ac:dyDescent="0.25">
      <c r="B29" s="247"/>
      <c r="C29" s="13" t="s">
        <v>522</v>
      </c>
      <c r="D29" s="28">
        <f>'1_hub_LCIA'!AK4</f>
        <v>3.9874801167123284</v>
      </c>
      <c r="E29" s="28">
        <f>'1_hub_LCIA'!AL4</f>
        <v>0.53479885758904111</v>
      </c>
      <c r="F29" s="28">
        <f>'1_hub_LCIA'!AM4</f>
        <v>43.793029183561643</v>
      </c>
      <c r="G29" s="28">
        <f>'1_hub_LCIA'!AN4</f>
        <v>2.6239211901369864E-3</v>
      </c>
      <c r="H29" s="28">
        <f>'1_hub_LCIA'!AO4</f>
        <v>28.184371643835618</v>
      </c>
      <c r="I29" s="28">
        <f>'1_hub_LCIA'!AP4</f>
        <v>8.6464524821917808E-5</v>
      </c>
      <c r="J29" s="28">
        <f>'1_hub_LCIA'!AQ4</f>
        <v>9.7894042027397252E-2</v>
      </c>
      <c r="K29" s="28">
        <f>'1_hub_LCIA'!AR4</f>
        <v>0.44729587578082197</v>
      </c>
      <c r="L29" s="28">
        <f>'1_hub_LCIA'!AS4</f>
        <v>0.82752041095890416</v>
      </c>
      <c r="M29" s="28">
        <f>'1_hub_LCIA'!AT4</f>
        <v>73.887620399468389</v>
      </c>
      <c r="N29" s="28">
        <f>'1_hub_LCIA'!AU4</f>
        <v>9.00601821369863E-2</v>
      </c>
      <c r="O29" s="28">
        <f>'1_hub_LCIA'!AV4</f>
        <v>3.9485379797260274</v>
      </c>
      <c r="P29" s="28">
        <f>'1_hub_LCIA'!AW4</f>
        <v>1.0940144350684931</v>
      </c>
      <c r="Q29" s="28">
        <f>'1_hub_LCIA'!AX4</f>
        <v>0.18061363134246575</v>
      </c>
      <c r="R29" s="28">
        <f>'1_hub_LCIA'!AY4</f>
        <v>2.2693530328767122E-3</v>
      </c>
      <c r="S29" s="28">
        <f>'1_hub_LCIA'!AZ4</f>
        <v>1.5905915852054795</v>
      </c>
      <c r="T29" s="28">
        <f>'1_hub_LCIA'!BA4</f>
        <v>1.8313837989041093</v>
      </c>
      <c r="U29" s="28">
        <f>'1_hub_LCIA'!BB4</f>
        <v>0.1544120635068493</v>
      </c>
      <c r="V29" s="28">
        <f>'1_hub_LCIA'!BC4</f>
        <v>7.7118411945205476E-4</v>
      </c>
      <c r="W29" s="28">
        <f>'1_hub_LCIA'!BD4</f>
        <v>7.5430919342465749E-2</v>
      </c>
      <c r="X29" s="28">
        <f>'1_hub_LCIA'!BE4</f>
        <v>-1.5737815627397259E-4</v>
      </c>
      <c r="Y29" s="28">
        <f>'1_hub_LCIA'!BF4</f>
        <v>1.1717039983561643E-7</v>
      </c>
      <c r="Z29" s="28">
        <f>'1_hub_LCIA'!BG4</f>
        <v>7.3074920054794516E-3</v>
      </c>
      <c r="AA29" s="28">
        <f>'1_hub_LCIA'!BH4</f>
        <v>6.3948830252054788E-3</v>
      </c>
      <c r="AB29" s="28">
        <f>'1_hub_LCIA'!BI4</f>
        <v>1.2148648668493151E-2</v>
      </c>
      <c r="AC29" s="28">
        <f>'1_hub_LCIA'!BJ4</f>
        <v>1.7413625589041097E-4</v>
      </c>
      <c r="AD29" s="28">
        <f>'1_hub_LCIA'!BK4</f>
        <v>1.6558845682191781E-2</v>
      </c>
      <c r="AE29" s="29">
        <f>'1_hub_LCIA'!BL4</f>
        <v>1.4550080449315068E-2</v>
      </c>
    </row>
    <row r="30" spans="2:31" x14ac:dyDescent="0.25">
      <c r="B30" s="247"/>
      <c r="C30" s="13" t="s">
        <v>523</v>
      </c>
      <c r="D30" s="28">
        <f>'1_hub_LCIA'!AK5</f>
        <v>1.8961047055788718</v>
      </c>
      <c r="E30" s="28">
        <f>'1_hub_LCIA'!AL5</f>
        <v>3.0925821710229735E-2</v>
      </c>
      <c r="F30" s="28">
        <f>'1_hub_LCIA'!AM5</f>
        <v>30.072163719948218</v>
      </c>
      <c r="G30" s="28">
        <f>'1_hub_LCIA'!AN5</f>
        <v>2.6583867190813444E-3</v>
      </c>
      <c r="H30" s="28">
        <f>'1_hub_LCIA'!AO5</f>
        <v>0.14638240005313316</v>
      </c>
      <c r="I30" s="28">
        <f>'1_hub_LCIA'!AP5</f>
        <v>1.8806005744781204E-4</v>
      </c>
      <c r="J30" s="28">
        <f>'1_hub_LCIA'!AQ5</f>
        <v>5.1527966416494222E-3</v>
      </c>
      <c r="K30" s="28">
        <f>'1_hub_LCIA'!AR5</f>
        <v>8.2868649953776671E-2</v>
      </c>
      <c r="L30" s="28">
        <f>'1_hub_LCIA'!AS5</f>
        <v>1.7559824641211363E-2</v>
      </c>
      <c r="M30" s="28">
        <f>'1_hub_LCIA'!AT5</f>
        <v>30.357899659724751</v>
      </c>
      <c r="N30" s="28">
        <f>'1_hub_LCIA'!AU5</f>
        <v>5.5740409583490864E-3</v>
      </c>
      <c r="O30" s="28">
        <f>'1_hub_LCIA'!AV5</f>
        <v>1.8567992068363148</v>
      </c>
      <c r="P30" s="28">
        <f>'1_hub_LCIA'!AW5</f>
        <v>0.8661570325068213</v>
      </c>
      <c r="Q30" s="28">
        <f>'1_hub_LCIA'!AX5</f>
        <v>1.1160580958923479E-2</v>
      </c>
      <c r="R30" s="28">
        <f>'1_hub_LCIA'!AY5</f>
        <v>4.7520294792337702E-5</v>
      </c>
      <c r="S30" s="28">
        <f>'1_hub_LCIA'!AZ5</f>
        <v>8.4974871537274982E-2</v>
      </c>
      <c r="T30" s="28">
        <f>'1_hub_LCIA'!BA5</f>
        <v>1.1970891207019361E-2</v>
      </c>
      <c r="U30" s="28">
        <f>'1_hub_LCIA'!BB5</f>
        <v>6.6250242535492573E-3</v>
      </c>
      <c r="V30" s="28">
        <f>'1_hub_LCIA'!BC5</f>
        <v>5.7628562770717903E-5</v>
      </c>
      <c r="W30" s="28">
        <f>'1_hub_LCIA'!BD5</f>
        <v>1.2403304880601212E-2</v>
      </c>
      <c r="X30" s="28">
        <f>'1_hub_LCIA'!BE5</f>
        <v>-8.4927002864922748E-6</v>
      </c>
      <c r="Y30" s="28">
        <f>'1_hub_LCIA'!BF5</f>
        <v>1.5651194299700322E-7</v>
      </c>
      <c r="Z30" s="28">
        <f>'1_hub_LCIA'!BG5</f>
        <v>5.718976660748908E-4</v>
      </c>
      <c r="AA30" s="28">
        <f>'1_hub_LCIA'!BH5</f>
        <v>1.8095687834487767E-3</v>
      </c>
      <c r="AB30" s="28">
        <f>'1_hub_LCIA'!BI5</f>
        <v>1.5616356543710641E-3</v>
      </c>
      <c r="AC30" s="28">
        <f>'1_hub_LCIA'!BJ5</f>
        <v>9.4742740067817069E-5</v>
      </c>
      <c r="AD30" s="28">
        <f>'1_hub_LCIA'!BK5</f>
        <v>5.8559342510900239E-3</v>
      </c>
      <c r="AE30" s="29">
        <f>'1_hub_LCIA'!BL5</f>
        <v>7.1744502373254613E-4</v>
      </c>
    </row>
    <row r="31" spans="2:31" x14ac:dyDescent="0.25">
      <c r="B31" s="247"/>
      <c r="C31" s="13" t="s">
        <v>524</v>
      </c>
      <c r="D31" s="28">
        <f>'1_hub_LCIA'!AK6</f>
        <v>9.2243345267581212E-2</v>
      </c>
      <c r="E31" s="28">
        <f>'1_hub_LCIA'!AL6</f>
        <v>2.3174355576783601E-2</v>
      </c>
      <c r="F31" s="28">
        <f>'1_hub_LCIA'!AM6</f>
        <v>1.1108108911777921</v>
      </c>
      <c r="G31" s="28">
        <f>'1_hub_LCIA'!AN6</f>
        <v>3.7619168067583204E-3</v>
      </c>
      <c r="H31" s="28">
        <f>'1_hub_LCIA'!AO6</f>
        <v>0.25611353021620797</v>
      </c>
      <c r="I31" s="28">
        <f>'1_hub_LCIA'!AP6</f>
        <v>3.8832386824425603E-5</v>
      </c>
      <c r="J31" s="28">
        <f>'1_hub_LCIA'!AQ6</f>
        <v>2.7577846867334396E-4</v>
      </c>
      <c r="K31" s="28">
        <f>'1_hub_LCIA'!AR6</f>
        <v>8.1356056249456798E-2</v>
      </c>
      <c r="L31" s="28">
        <f>'1_hub_LCIA'!AS6</f>
        <v>2.8680773009918403E-2</v>
      </c>
      <c r="M31" s="28">
        <f>'1_hub_LCIA'!AT6</f>
        <v>1.504212133892415</v>
      </c>
      <c r="N31" s="28">
        <f>'1_hub_LCIA'!AU6</f>
        <v>4.2736041373762808E-3</v>
      </c>
      <c r="O31" s="28">
        <f>'1_hub_LCIA'!AV6</f>
        <v>9.0209971857902402E-2</v>
      </c>
      <c r="P31" s="28">
        <f>'1_hub_LCIA'!AW6</f>
        <v>2.7475767532861201E-2</v>
      </c>
      <c r="Q31" s="28">
        <f>'1_hub_LCIA'!AX6</f>
        <v>2.1299381134390802E-3</v>
      </c>
      <c r="R31" s="28">
        <f>'1_hub_LCIA'!AY6</f>
        <v>5.2187179755160803E-5</v>
      </c>
      <c r="S31" s="28">
        <f>'1_hub_LCIA'!AZ6</f>
        <v>5.0054073662376006E-2</v>
      </c>
      <c r="T31" s="28">
        <f>'1_hub_LCIA'!BA6</f>
        <v>1.65157323223536E-2</v>
      </c>
      <c r="U31" s="28">
        <f>'1_hub_LCIA'!BB6</f>
        <v>1.9207341440532003E-3</v>
      </c>
      <c r="V31" s="28">
        <f>'1_hub_LCIA'!BC6</f>
        <v>2.6205055817522402E-5</v>
      </c>
      <c r="W31" s="28">
        <f>'1_hub_LCIA'!BD6</f>
        <v>2.3948750527959602E-3</v>
      </c>
      <c r="X31" s="28">
        <f>'1_hub_LCIA'!BE6</f>
        <v>-7.4650499967682803E-6</v>
      </c>
      <c r="Y31" s="28">
        <f>'1_hub_LCIA'!BF6</f>
        <v>1.9511232792584402E-8</v>
      </c>
      <c r="Z31" s="28">
        <f>'1_hub_LCIA'!BG6</f>
        <v>2.3785658257939198E-4</v>
      </c>
      <c r="AA31" s="28">
        <f>'1_hub_LCIA'!BH6</f>
        <v>2.8164509709134399E-4</v>
      </c>
      <c r="AB31" s="28">
        <f>'1_hub_LCIA'!BI6</f>
        <v>3.5957738899605599E-4</v>
      </c>
      <c r="AC31" s="28">
        <f>'1_hub_LCIA'!BJ6</f>
        <v>8.4604995067345201E-6</v>
      </c>
      <c r="AD31" s="28">
        <f>'1_hub_LCIA'!BK6</f>
        <v>8.89005403950048E-4</v>
      </c>
      <c r="AE31" s="29">
        <f>'1_hub_LCIA'!BL6</f>
        <v>1.2552238163152801E-3</v>
      </c>
    </row>
    <row r="32" spans="2:31" x14ac:dyDescent="0.25">
      <c r="B32" s="247"/>
      <c r="C32" s="13" t="s">
        <v>525</v>
      </c>
      <c r="D32" s="28">
        <f>'1_hub_LCIA'!AK7</f>
        <v>6.4707738124856404E-2</v>
      </c>
      <c r="E32" s="28">
        <f>'1_hub_LCIA'!AL7</f>
        <v>1.3181140729562399E-2</v>
      </c>
      <c r="F32" s="28">
        <f>'1_hub_LCIA'!AM7</f>
        <v>0.6626122132994281</v>
      </c>
      <c r="G32" s="28">
        <f>'1_hub_LCIA'!AN7</f>
        <v>1.00413212002488E-3</v>
      </c>
      <c r="H32" s="28">
        <f>'1_hub_LCIA'!AO7</f>
        <v>6.8910590723511592E-2</v>
      </c>
      <c r="I32" s="28">
        <f>'1_hub_LCIA'!AP7</f>
        <v>5.4097353968061602E-5</v>
      </c>
      <c r="J32" s="28">
        <f>'1_hub_LCIA'!AQ7</f>
        <v>2.19623101456248E-3</v>
      </c>
      <c r="K32" s="28">
        <f>'1_hub_LCIA'!AR7</f>
        <v>3.5962432202340001E-2</v>
      </c>
      <c r="L32" s="28">
        <f>'1_hub_LCIA'!AS7</f>
        <v>7.5192576433506008E-3</v>
      </c>
      <c r="M32" s="28">
        <f>'1_hub_LCIA'!AT7</f>
        <v>0.79144009508674806</v>
      </c>
      <c r="N32" s="28">
        <f>'1_hub_LCIA'!AU7</f>
        <v>2.7630646523096399E-3</v>
      </c>
      <c r="O32" s="28">
        <f>'1_hub_LCIA'!AV7</f>
        <v>6.3519159207369599E-2</v>
      </c>
      <c r="P32" s="28">
        <f>'1_hub_LCIA'!AW7</f>
        <v>1.60992017046756E-2</v>
      </c>
      <c r="Q32" s="28">
        <f>'1_hub_LCIA'!AX7</f>
        <v>2.7955657737453597E-3</v>
      </c>
      <c r="R32" s="28">
        <f>'1_hub_LCIA'!AY7</f>
        <v>1.3104874560128401E-4</v>
      </c>
      <c r="S32" s="28">
        <f>'1_hub_LCIA'!AZ7</f>
        <v>2.8906051541169601E-2</v>
      </c>
      <c r="T32" s="28">
        <f>'1_hub_LCIA'!BA7</f>
        <v>4.7719155552012E-3</v>
      </c>
      <c r="U32" s="28">
        <f>'1_hub_LCIA'!BB7</f>
        <v>2.5084529789684397E-3</v>
      </c>
      <c r="V32" s="28">
        <f>'1_hub_LCIA'!BC7</f>
        <v>2.4235041994758E-3</v>
      </c>
      <c r="W32" s="28">
        <f>'1_hub_LCIA'!BD7</f>
        <v>5.7864902738101204E-3</v>
      </c>
      <c r="X32" s="28">
        <f>'1_hub_LCIA'!BE7</f>
        <v>-6.7648092287958002E-6</v>
      </c>
      <c r="Y32" s="28">
        <f>'1_hub_LCIA'!BF7</f>
        <v>3.5256090140812799E-9</v>
      </c>
      <c r="Z32" s="28">
        <f>'1_hub_LCIA'!BG7</f>
        <v>2.0990796479604E-4</v>
      </c>
      <c r="AA32" s="28">
        <f>'1_hub_LCIA'!BH7</f>
        <v>3.0065297316566399E-4</v>
      </c>
      <c r="AB32" s="28">
        <f>'1_hub_LCIA'!BI7</f>
        <v>4.6741775257573196E-4</v>
      </c>
      <c r="AC32" s="28">
        <f>'1_hub_LCIA'!BJ7</f>
        <v>2.7764405651026798E-5</v>
      </c>
      <c r="AD32" s="28">
        <f>'1_hub_LCIA'!BK7</f>
        <v>3.0623800341960002E-3</v>
      </c>
      <c r="AE32" s="29">
        <f>'1_hub_LCIA'!BL7</f>
        <v>1.2187333875553199E-2</v>
      </c>
    </row>
    <row r="33" spans="2:34" x14ac:dyDescent="0.25">
      <c r="B33" s="247"/>
      <c r="C33" s="13" t="s">
        <v>526</v>
      </c>
      <c r="D33" s="28">
        <f>'1_hub_LCIA'!AK8</f>
        <v>2.2665792509300142</v>
      </c>
      <c r="E33" s="28">
        <f>'1_hub_LCIA'!AL8</f>
        <v>1.8240955863891753E-2</v>
      </c>
      <c r="F33" s="28">
        <f>'1_hub_LCIA'!AM8</f>
        <v>2.9838114307068899</v>
      </c>
      <c r="G33" s="28">
        <f>'1_hub_LCIA'!AN8</f>
        <v>8.4285904222464712E-4</v>
      </c>
      <c r="H33" s="28">
        <f>'1_hub_LCIA'!AO8</f>
        <v>5.9094048684264669E-2</v>
      </c>
      <c r="I33" s="28">
        <f>'1_hub_LCIA'!AP8</f>
        <v>4.3968679889094686E-5</v>
      </c>
      <c r="J33" s="28">
        <f>'1_hub_LCIA'!AQ8</f>
        <v>1.0497437002119656E-3</v>
      </c>
      <c r="K33" s="28">
        <f>'1_hub_LCIA'!AR8</f>
        <v>2.7770025611845266E-2</v>
      </c>
      <c r="L33" s="28">
        <f>'1_hub_LCIA'!AS8</f>
        <v>6.629362921580252E-3</v>
      </c>
      <c r="M33" s="28">
        <f>'1_hub_LCIA'!AT8</f>
        <v>3.0974823952107982</v>
      </c>
      <c r="N33" s="28">
        <f>'1_hub_LCIA'!AU8</f>
        <v>6.6745887061612288E-3</v>
      </c>
      <c r="O33" s="28">
        <f>'1_hub_LCIA'!AV8</f>
        <v>1.9304745303222286</v>
      </c>
      <c r="P33" s="28">
        <f>'1_hub_LCIA'!AW8</f>
        <v>7.0036843629499287E-2</v>
      </c>
      <c r="Q33" s="28">
        <f>'1_hub_LCIA'!AX8</f>
        <v>0.16297914315654644</v>
      </c>
      <c r="R33" s="28">
        <f>'1_hub_LCIA'!AY8</f>
        <v>1.2388398970823169E-4</v>
      </c>
      <c r="S33" s="28">
        <f>'1_hub_LCIA'!AZ8</f>
        <v>0.53748798388518659</v>
      </c>
      <c r="T33" s="28">
        <f>'1_hub_LCIA'!BA8</f>
        <v>1.3034471427775597E-2</v>
      </c>
      <c r="U33" s="28">
        <f>'1_hub_LCIA'!BB8</f>
        <v>0.1413206791771856</v>
      </c>
      <c r="V33" s="28">
        <f>'1_hub_LCIA'!BC8</f>
        <v>8.5041544573088192E-3</v>
      </c>
      <c r="W33" s="28">
        <f>'1_hub_LCIA'!BD8</f>
        <v>4.6823583582857485E-3</v>
      </c>
      <c r="X33" s="28">
        <f>'1_hub_LCIA'!BE8</f>
        <v>-1.8717650545746125E-5</v>
      </c>
      <c r="Y33" s="28">
        <f>'1_hub_LCIA'!BF8</f>
        <v>3.0270974658769457E-8</v>
      </c>
      <c r="Z33" s="28">
        <f>'1_hub_LCIA'!BG8</f>
        <v>5.7478122305001835E-4</v>
      </c>
      <c r="AA33" s="28">
        <f>'1_hub_LCIA'!BH8</f>
        <v>7.4744660890777789E-3</v>
      </c>
      <c r="AB33" s="28">
        <f>'1_hub_LCIA'!BI8</f>
        <v>1.2939877226032287E-3</v>
      </c>
      <c r="AC33" s="28">
        <f>'1_hub_LCIA'!BJ8</f>
        <v>7.4052672594862687E-5</v>
      </c>
      <c r="AD33" s="28">
        <f>'1_hub_LCIA'!BK8</f>
        <v>1.195374235895915E-2</v>
      </c>
      <c r="AE33" s="29">
        <f>'1_hub_LCIA'!BL8</f>
        <v>1.8534055823763759E-3</v>
      </c>
    </row>
    <row r="34" spans="2:34" x14ac:dyDescent="0.25">
      <c r="B34" s="247"/>
      <c r="C34" s="13" t="s">
        <v>527</v>
      </c>
      <c r="D34" s="28">
        <f>'1_hub_LCIA'!AK9</f>
        <v>27.355438620000001</v>
      </c>
      <c r="E34" s="28">
        <f>'1_hub_LCIA'!AL9</f>
        <v>3.6688978739999998</v>
      </c>
      <c r="F34" s="28">
        <f>'1_hub_LCIA'!AM9</f>
        <v>300.43473239999997</v>
      </c>
      <c r="G34" s="28">
        <f>'1_hub_LCIA'!AN9</f>
        <v>1.800097128E-2</v>
      </c>
      <c r="H34" s="28">
        <f>'1_hub_LCIA'!AO9</f>
        <v>193.35415500000002</v>
      </c>
      <c r="I34" s="28">
        <f>'1_hub_LCIA'!AP9</f>
        <v>5.9317537200000007E-4</v>
      </c>
      <c r="J34" s="28">
        <f>'1_hub_LCIA'!AQ9</f>
        <v>0.67158565799999992</v>
      </c>
      <c r="K34" s="28">
        <f>'1_hub_LCIA'!AR9</f>
        <v>3.0685983420000005</v>
      </c>
      <c r="L34" s="28">
        <f>'1_hub_LCIA'!AS9</f>
        <v>5.6770649999999998</v>
      </c>
      <c r="M34" s="28">
        <f>'1_hub_LCIA'!AT9</f>
        <v>506.89362842065208</v>
      </c>
      <c r="N34" s="28">
        <f>'1_hub_LCIA'!AU9</f>
        <v>0.61784277599999993</v>
      </c>
      <c r="O34" s="28">
        <f>'1_hub_LCIA'!AV9</f>
        <v>27.088282620000001</v>
      </c>
      <c r="P34" s="28">
        <f>'1_hub_LCIA'!AW9</f>
        <v>7.5053025599999996</v>
      </c>
      <c r="Q34" s="28">
        <f>'1_hub_LCIA'!AX9</f>
        <v>1.2390695279999999</v>
      </c>
      <c r="R34" s="28">
        <f>'1_hub_LCIA'!AY9</f>
        <v>1.5568515900000001E-2</v>
      </c>
      <c r="S34" s="28">
        <f>'1_hub_LCIA'!AZ9</f>
        <v>10.911986819999999</v>
      </c>
      <c r="T34" s="28">
        <f>'1_hub_LCIA'!BA9</f>
        <v>12.563901419999999</v>
      </c>
      <c r="U34" s="28">
        <f>'1_hub_LCIA'!BB9</f>
        <v>1.0593180659999999</v>
      </c>
      <c r="V34" s="28">
        <f>'1_hub_LCIA'!BC9</f>
        <v>5.2905793200000006E-3</v>
      </c>
      <c r="W34" s="28">
        <f>'1_hub_LCIA'!BD9</f>
        <v>0.51748117199999999</v>
      </c>
      <c r="X34" s="28">
        <f>'1_hub_LCIA'!BE9</f>
        <v>-1.0796664480000001E-3</v>
      </c>
      <c r="Y34" s="28">
        <f>'1_hub_LCIA'!BF9</f>
        <v>8.0382787799999994E-7</v>
      </c>
      <c r="Z34" s="28">
        <f>'1_hub_LCIA'!BG9</f>
        <v>5.0131823399999997E-2</v>
      </c>
      <c r="AA34" s="28">
        <f>'1_hub_LCIA'!BH9</f>
        <v>4.3871022539999999E-2</v>
      </c>
      <c r="AB34" s="28">
        <f>'1_hub_LCIA'!BI9</f>
        <v>8.3343766799999996E-2</v>
      </c>
      <c r="AC34" s="28">
        <f>'1_hub_LCIA'!BJ9</f>
        <v>1.1946325799999998E-3</v>
      </c>
      <c r="AD34" s="28">
        <f>'1_hub_LCIA'!BK9</f>
        <v>0.1135991838</v>
      </c>
      <c r="AE34" s="29">
        <f>'1_hub_LCIA'!BL9</f>
        <v>9.9818386799999992E-2</v>
      </c>
    </row>
    <row r="35" spans="2:34" x14ac:dyDescent="0.25">
      <c r="B35" s="247"/>
      <c r="C35" s="13" t="s">
        <v>528</v>
      </c>
      <c r="D35" s="28">
        <f>'1_hub_LCIA'!AK10</f>
        <v>3.2202621143999997</v>
      </c>
      <c r="E35" s="28">
        <f>'1_hub_LCIA'!AL10</f>
        <v>5.2523076239999994E-2</v>
      </c>
      <c r="F35" s="28">
        <f>'1_hub_LCIA'!AM10</f>
        <v>51.073260479999995</v>
      </c>
      <c r="G35" s="28">
        <f>'1_hub_LCIA'!AN10</f>
        <v>4.5148888727999997E-3</v>
      </c>
      <c r="H35" s="28">
        <f>'1_hub_LCIA'!AO10</f>
        <v>0.24860952863999997</v>
      </c>
      <c r="I35" s="28">
        <f>'1_hub_LCIA'!AP10</f>
        <v>3.1939305695999999E-4</v>
      </c>
      <c r="J35" s="28">
        <f>'1_hub_LCIA'!AQ10</f>
        <v>8.7512866559999996E-3</v>
      </c>
      <c r="K35" s="28">
        <f>'1_hub_LCIA'!AR10</f>
        <v>0.14074052615999999</v>
      </c>
      <c r="L35" s="28">
        <f>'1_hub_LCIA'!AS10</f>
        <v>2.9822845679999994E-2</v>
      </c>
      <c r="M35" s="28">
        <f>'1_hub_LCIA'!AT10</f>
        <v>51.558542025305755</v>
      </c>
      <c r="N35" s="28">
        <f>'1_hub_LCIA'!AU10</f>
        <v>9.4667097599999989E-3</v>
      </c>
      <c r="O35" s="28">
        <f>'1_hub_LCIA'!AV10</f>
        <v>3.1535073575999997</v>
      </c>
      <c r="P35" s="28">
        <f>'1_hub_LCIA'!AW10</f>
        <v>1.471043592</v>
      </c>
      <c r="Q35" s="28">
        <f>'1_hub_LCIA'!AX10</f>
        <v>1.8954647352E-2</v>
      </c>
      <c r="R35" s="28">
        <f>'1_hub_LCIA'!AY10</f>
        <v>8.0706410639999986E-5</v>
      </c>
      <c r="S35" s="28">
        <f>'1_hub_LCIA'!AZ10</f>
        <v>0.14431764167999997</v>
      </c>
      <c r="T35" s="28">
        <f>'1_hub_LCIA'!BA10</f>
        <v>2.0330843184E-2</v>
      </c>
      <c r="U35" s="28">
        <f>'1_hub_LCIA'!BB10</f>
        <v>1.1251654271999997E-2</v>
      </c>
      <c r="V35" s="28">
        <f>'1_hub_LCIA'!BC10</f>
        <v>9.7873855199999998E-5</v>
      </c>
      <c r="W35" s="28">
        <f>'1_hub_LCIA'!BD10</f>
        <v>2.1065235839999998E-2</v>
      </c>
      <c r="X35" s="28">
        <f>'1_hub_LCIA'!BE10</f>
        <v>-1.4423634359999999E-5</v>
      </c>
      <c r="Y35" s="28">
        <f>'1_hub_LCIA'!BF10</f>
        <v>2.6581310567999997E-7</v>
      </c>
      <c r="Z35" s="28">
        <f>'1_hub_LCIA'!BG10</f>
        <v>9.7128622799999987E-4</v>
      </c>
      <c r="AA35" s="28">
        <f>'1_hub_LCIA'!BH10</f>
        <v>3.0732932519999998E-3</v>
      </c>
      <c r="AB35" s="28">
        <f>'1_hub_LCIA'!BI10</f>
        <v>2.6522143631999996E-3</v>
      </c>
      <c r="AC35" s="28">
        <f>'1_hub_LCIA'!BJ10</f>
        <v>1.6090696656E-4</v>
      </c>
      <c r="AD35" s="28">
        <f>'1_hub_LCIA'!BK10</f>
        <v>9.9454651200000001E-3</v>
      </c>
      <c r="AE35" s="29">
        <f>'1_hub_LCIA'!BL10</f>
        <v>1.2184775567999999E-3</v>
      </c>
    </row>
    <row r="36" spans="2:34" x14ac:dyDescent="0.25">
      <c r="B36" s="247"/>
      <c r="C36" s="13" t="s">
        <v>529</v>
      </c>
      <c r="D36" s="28">
        <f>'1_hub_LCIA'!AK11</f>
        <v>0.58019345999999994</v>
      </c>
      <c r="E36" s="28">
        <f>'1_hub_LCIA'!AL11</f>
        <v>0.14576238</v>
      </c>
      <c r="F36" s="28">
        <f>'1_hub_LCIA'!AM11</f>
        <v>6.9867936000000004</v>
      </c>
      <c r="G36" s="28">
        <f>'1_hub_LCIA'!AN11</f>
        <v>2.3661755999999996E-2</v>
      </c>
      <c r="H36" s="28">
        <f>'1_hub_LCIA'!AO11</f>
        <v>1.6109064</v>
      </c>
      <c r="I36" s="28">
        <f>'1_hub_LCIA'!AP11</f>
        <v>2.4424848E-4</v>
      </c>
      <c r="J36" s="28">
        <f>'1_hub_LCIA'!AQ11</f>
        <v>1.7345952000000001E-3</v>
      </c>
      <c r="K36" s="28">
        <f>'1_hub_LCIA'!AR11</f>
        <v>0.51171443999999999</v>
      </c>
      <c r="L36" s="28">
        <f>'1_hub_LCIA'!AS11</f>
        <v>0.18039671999999998</v>
      </c>
      <c r="M36" s="28">
        <f>'1_hub_LCIA'!AT11</f>
        <v>9.4612141396799991</v>
      </c>
      <c r="N36" s="28">
        <f>'1_hub_LCIA'!AU11</f>
        <v>2.6880174E-2</v>
      </c>
      <c r="O36" s="28">
        <f>'1_hub_LCIA'!AV11</f>
        <v>0.56740391999999995</v>
      </c>
      <c r="P36" s="28">
        <f>'1_hub_LCIA'!AW11</f>
        <v>0.17281745999999998</v>
      </c>
      <c r="Q36" s="28">
        <f>'1_hub_LCIA'!AX11</f>
        <v>1.3396913999999999E-2</v>
      </c>
      <c r="R36" s="28">
        <f>'1_hub_LCIA'!AY11</f>
        <v>3.2824763999999998E-4</v>
      </c>
      <c r="S36" s="28">
        <f>'1_hub_LCIA'!AZ11</f>
        <v>0.31483079999999997</v>
      </c>
      <c r="T36" s="28">
        <f>'1_hub_LCIA'!BA11</f>
        <v>0.10388087999999998</v>
      </c>
      <c r="U36" s="28">
        <f>'1_hub_LCIA'!BB11</f>
        <v>1.2081060000000001E-2</v>
      </c>
      <c r="V36" s="28">
        <f>'1_hub_LCIA'!BC11</f>
        <v>1.6482491999999998E-4</v>
      </c>
      <c r="W36" s="28">
        <f>'1_hub_LCIA'!BD11</f>
        <v>1.5063318000000001E-2</v>
      </c>
      <c r="X36" s="28">
        <f>'1_hub_LCIA'!BE11</f>
        <v>-4.6953773999999993E-5</v>
      </c>
      <c r="Y36" s="28">
        <f>'1_hub_LCIA'!BF11</f>
        <v>1.2272202E-7</v>
      </c>
      <c r="Z36" s="28">
        <f>'1_hub_LCIA'!BG11</f>
        <v>1.4960735999999999E-3</v>
      </c>
      <c r="AA36" s="28">
        <f>'1_hub_LCIA'!BH11</f>
        <v>1.7714952E-3</v>
      </c>
      <c r="AB36" s="28">
        <f>'1_hub_LCIA'!BI11</f>
        <v>2.2616747999999998E-3</v>
      </c>
      <c r="AC36" s="28">
        <f>'1_hub_LCIA'!BJ11</f>
        <v>5.3214965999999998E-5</v>
      </c>
      <c r="AD36" s="28">
        <f>'1_hub_LCIA'!BK11</f>
        <v>5.5916783999999994E-3</v>
      </c>
      <c r="AE36" s="29">
        <f>'1_hub_LCIA'!BL11</f>
        <v>7.8951239999999999E-3</v>
      </c>
    </row>
    <row r="37" spans="2:34" x14ac:dyDescent="0.25">
      <c r="B37" s="247"/>
      <c r="C37" s="13" t="s">
        <v>530</v>
      </c>
      <c r="D37" s="28">
        <f>'1_hub_LCIA'!AK12</f>
        <v>0.40699962000000001</v>
      </c>
      <c r="E37" s="28">
        <f>'1_hub_LCIA'!AL12</f>
        <v>8.2906919999999995E-2</v>
      </c>
      <c r="F37" s="28">
        <f>'1_hub_LCIA'!AM12</f>
        <v>4.1677074000000003</v>
      </c>
      <c r="G37" s="28">
        <f>'1_hub_LCIA'!AN12</f>
        <v>6.3158039999999995E-3</v>
      </c>
      <c r="H37" s="28">
        <f>'1_hub_LCIA'!AO12</f>
        <v>0.43343477999999996</v>
      </c>
      <c r="I37" s="28">
        <f>'1_hub_LCIA'!AP12</f>
        <v>3.4026228E-4</v>
      </c>
      <c r="J37" s="28">
        <f>'1_hub_LCIA'!AQ12</f>
        <v>1.3813883999999998E-2</v>
      </c>
      <c r="K37" s="28">
        <f>'1_hub_LCIA'!AR12</f>
        <v>0.22619699999999998</v>
      </c>
      <c r="L37" s="28">
        <f>'1_hub_LCIA'!AS12</f>
        <v>4.729473E-2</v>
      </c>
      <c r="M37" s="28">
        <f>'1_hub_LCIA'!AT12</f>
        <v>4.97801078028</v>
      </c>
      <c r="N37" s="28">
        <f>'1_hub_LCIA'!AU12</f>
        <v>1.7379162E-2</v>
      </c>
      <c r="O37" s="28">
        <f>'1_hub_LCIA'!AV12</f>
        <v>0.39952367999999999</v>
      </c>
      <c r="P37" s="28">
        <f>'1_hub_LCIA'!AW12</f>
        <v>0.10126098</v>
      </c>
      <c r="Q37" s="28">
        <f>'1_hub_LCIA'!AX12</f>
        <v>1.7583588000000001E-2</v>
      </c>
      <c r="R37" s="28">
        <f>'1_hub_LCIA'!AY12</f>
        <v>8.2427219999999999E-4</v>
      </c>
      <c r="S37" s="28">
        <f>'1_hub_LCIA'!AZ12</f>
        <v>0.18181368000000001</v>
      </c>
      <c r="T37" s="28">
        <f>'1_hub_LCIA'!BA12</f>
        <v>3.0014459999999996E-2</v>
      </c>
      <c r="U37" s="28">
        <f>'1_hub_LCIA'!BB12</f>
        <v>1.5777702000000001E-2</v>
      </c>
      <c r="V37" s="28">
        <f>'1_hub_LCIA'!BC12</f>
        <v>1.5243390000000001E-2</v>
      </c>
      <c r="W37" s="28">
        <f>'1_hub_LCIA'!BD12</f>
        <v>3.6395945999999998E-2</v>
      </c>
      <c r="X37" s="28">
        <f>'1_hub_LCIA'!BE12</f>
        <v>-4.2549390000000002E-5</v>
      </c>
      <c r="Y37" s="28">
        <f>'1_hub_LCIA'!BF12</f>
        <v>2.2175423999999998E-8</v>
      </c>
      <c r="Z37" s="28">
        <f>'1_hub_LCIA'!BG12</f>
        <v>1.3202819999999999E-3</v>
      </c>
      <c r="AA37" s="28">
        <f>'1_hub_LCIA'!BH12</f>
        <v>1.8910511999999998E-3</v>
      </c>
      <c r="AB37" s="28">
        <f>'1_hub_LCIA'!BI12</f>
        <v>2.9399705999999999E-3</v>
      </c>
      <c r="AC37" s="28">
        <f>'1_hub_LCIA'!BJ12</f>
        <v>1.7463293999999999E-4</v>
      </c>
      <c r="AD37" s="28">
        <f>'1_hub_LCIA'!BK12</f>
        <v>1.9261799999999999E-2</v>
      </c>
      <c r="AE37" s="29">
        <f>'1_hub_LCIA'!BL12</f>
        <v>7.6656059999999998E-2</v>
      </c>
    </row>
    <row r="38" spans="2:34" x14ac:dyDescent="0.25">
      <c r="B38" s="247"/>
      <c r="C38" s="13" t="str">
        <f>'1_hub_LCIA'!C13</f>
        <v>Food</v>
      </c>
      <c r="D38" s="28">
        <f>'1_hub_LCIA'!AK13</f>
        <v>31.285111893928146</v>
      </c>
      <c r="E38" s="28">
        <f>'1_hub_LCIA'!AL13</f>
        <v>186.31288264673998</v>
      </c>
      <c r="F38" s="28">
        <f>'1_hub_LCIA'!AM13</f>
        <v>208.00869312719996</v>
      </c>
      <c r="G38" s="28">
        <f>'1_hub_LCIA'!AN13</f>
        <v>0.10116032933669999</v>
      </c>
      <c r="H38" s="28">
        <f>'1_hub_LCIA'!AO13</f>
        <v>58.498019211750012</v>
      </c>
      <c r="I38" s="28">
        <f>'1_hub_LCIA'!AP13</f>
        <v>8.6805898803803405</v>
      </c>
      <c r="J38" s="28">
        <f>'1_hub_LCIA'!AQ13</f>
        <v>0.35077057916369997</v>
      </c>
      <c r="K38" s="28">
        <f>'1_hub_LCIA'!AR13</f>
        <v>3.9438923911799999</v>
      </c>
      <c r="L38" s="28">
        <f>'1_hub_LCIA'!AS13</f>
        <v>2.270317669662</v>
      </c>
      <c r="M38" s="28">
        <f>'1_hub_LCIA'!AT13</f>
        <v>468.16632583541281</v>
      </c>
      <c r="N38" s="28">
        <f>'1_hub_LCIA'!AU13</f>
        <v>72.415685755470008</v>
      </c>
      <c r="O38" s="28">
        <f>'1_hub_LCIA'!AV13</f>
        <v>29.050730951728141</v>
      </c>
      <c r="P38" s="28">
        <f>'1_hub_LCIA'!AW13</f>
        <v>5.9681053079473561</v>
      </c>
      <c r="Q38" s="28">
        <f>'1_hub_LCIA'!AX13</f>
        <v>0.67660085104799994</v>
      </c>
      <c r="R38" s="28">
        <f>'1_hub_LCIA'!AY13</f>
        <v>1.4926158045450003E-2</v>
      </c>
      <c r="S38" s="28">
        <f>'1_hub_LCIA'!AZ13</f>
        <v>18.495924627407994</v>
      </c>
      <c r="T38" s="28">
        <f>'1_hub_LCIA'!BA13</f>
        <v>3.97119671982</v>
      </c>
      <c r="U38" s="28">
        <f>'1_hub_LCIA'!BB13</f>
        <v>0.55251921764399992</v>
      </c>
      <c r="V38" s="28">
        <f>'1_hub_LCIA'!BC13</f>
        <v>0.10556807227380002</v>
      </c>
      <c r="W38" s="28">
        <f>'1_hub_LCIA'!BD13</f>
        <v>0.57989174281800004</v>
      </c>
      <c r="X38" s="28">
        <f>'1_hub_LCIA'!BE13</f>
        <v>-9.2399601721499989E-4</v>
      </c>
      <c r="Y38" s="28">
        <f>'1_hub_LCIA'!BF13</f>
        <v>1.1981606115299999E-6</v>
      </c>
      <c r="Z38" s="28">
        <f>'1_hub_LCIA'!BG13</f>
        <v>6.3081300676200006E-2</v>
      </c>
      <c r="AA38" s="28">
        <f>'1_hub_LCIA'!BH13</f>
        <v>8.6248196484589423E-2</v>
      </c>
      <c r="AB38" s="28">
        <f>'1_hub_LCIA'!BI13</f>
        <v>0.20835086563324207</v>
      </c>
      <c r="AC38" s="28">
        <f>'1_hub_LCIA'!BJ13</f>
        <v>0.25497641131727999</v>
      </c>
      <c r="AD38" s="28">
        <f>'1_hub_LCIA'!BK13</f>
        <v>0.31286595448199994</v>
      </c>
      <c r="AE38" s="29">
        <f>'1_hub_LCIA'!BL13</f>
        <v>1.4109050934033873</v>
      </c>
    </row>
    <row r="39" spans="2:34" x14ac:dyDescent="0.25">
      <c r="B39" s="247"/>
      <c r="C39" s="13" t="str">
        <f>'1_hub_LCIA'!D14</f>
        <v>Preparation</v>
      </c>
      <c r="D39" s="28">
        <f>'1_hub_LCIA'!AK14</f>
        <v>18.066929622971866</v>
      </c>
      <c r="E39" s="28">
        <f>'1_hub_LCIA'!AL14</f>
        <v>219.54983162853571</v>
      </c>
      <c r="F39" s="28">
        <f>'1_hub_LCIA'!AM14</f>
        <v>230.95581797682797</v>
      </c>
      <c r="G39" s="28">
        <f>'1_hub_LCIA'!AN14</f>
        <v>0.43085134749986786</v>
      </c>
      <c r="H39" s="28">
        <f>'1_hub_LCIA'!AO14</f>
        <v>21.799593958336608</v>
      </c>
      <c r="I39" s="28">
        <f>'1_hub_LCIA'!AP14</f>
        <v>1.9187263497192034E-2</v>
      </c>
      <c r="J39" s="28">
        <f>'1_hub_LCIA'!AQ14</f>
        <v>0.10079214755029717</v>
      </c>
      <c r="K39" s="28">
        <f>'1_hub_LCIA'!AR14</f>
        <v>12.204339368193411</v>
      </c>
      <c r="L39" s="28">
        <f>'1_hub_LCIA'!AS14</f>
        <v>2.6981338922353442</v>
      </c>
      <c r="M39" s="28">
        <f>'1_hub_LCIA'!AT14</f>
        <v>487.75854758267644</v>
      </c>
      <c r="N39" s="28">
        <f>'1_hub_LCIA'!AU14</f>
        <v>21.545442129144188</v>
      </c>
      <c r="O39" s="28">
        <f>'1_hub_LCIA'!AV14</f>
        <v>17.699069644124581</v>
      </c>
      <c r="P39" s="28">
        <f>'1_hub_LCIA'!AW14</f>
        <v>5.7543531459262427</v>
      </c>
      <c r="Q39" s="28">
        <f>'1_hub_LCIA'!AX14</f>
        <v>0.35156657234742378</v>
      </c>
      <c r="R39" s="28">
        <f>'1_hub_LCIA'!AY14</f>
        <v>8.4165553467042253E-3</v>
      </c>
      <c r="S39" s="28">
        <f>'1_hub_LCIA'!AZ14</f>
        <v>6.6615941830313821</v>
      </c>
      <c r="T39" s="28">
        <f>'1_hub_LCIA'!BA14</f>
        <v>1.5290097349532044</v>
      </c>
      <c r="U39" s="28">
        <f>'1_hub_LCIA'!BB14</f>
        <v>0.30849519043802776</v>
      </c>
      <c r="V39" s="28">
        <f>'1_hub_LCIA'!BC14</f>
        <v>7.3484647827126983E-3</v>
      </c>
      <c r="W39" s="28">
        <f>'1_hub_LCIA'!BD14</f>
        <v>0.34534871722951238</v>
      </c>
      <c r="X39" s="28">
        <f>'1_hub_LCIA'!BE14</f>
        <v>-1.1222692794688157E-3</v>
      </c>
      <c r="Y39" s="28">
        <f>'1_hub_LCIA'!BF14</f>
        <v>9.3646428176947011E-7</v>
      </c>
      <c r="Z39" s="28">
        <f>'1_hub_LCIA'!BG14</f>
        <v>5.1260065684227765E-2</v>
      </c>
      <c r="AA39" s="28">
        <f>'1_hub_LCIA'!BH14</f>
        <v>6.4859606031805295E-2</v>
      </c>
      <c r="AB39" s="28">
        <f>'1_hub_LCIA'!BI14</f>
        <v>7.9011347787410119E-2</v>
      </c>
      <c r="AC39" s="28">
        <f>'1_hub_LCIA'!BJ14</f>
        <v>3.6076014252917669E-2</v>
      </c>
      <c r="AD39" s="28">
        <f>'1_hub_LCIA'!BK14</f>
        <v>0.27716077494396696</v>
      </c>
      <c r="AE39" s="29">
        <f>'1_hub_LCIA'!BL14</f>
        <v>0.32655744415773086</v>
      </c>
    </row>
    <row r="40" spans="2:34" x14ac:dyDescent="0.25">
      <c r="B40" s="247"/>
      <c r="C40" s="13" t="str">
        <f>'1_hub_LCIA'!D15</f>
        <v>Execution</v>
      </c>
      <c r="D40" s="28">
        <f>'1_hub_LCIA'!AK15</f>
        <v>18.04791910659792</v>
      </c>
      <c r="E40" s="28">
        <f>'1_hub_LCIA'!AL15</f>
        <v>2.3740055380684622</v>
      </c>
      <c r="F40" s="28">
        <f>'1_hub_LCIA'!AM15</f>
        <v>193.81187331446642</v>
      </c>
      <c r="G40" s="28">
        <f>'1_hub_LCIA'!AN15</f>
        <v>1.5192667218147776E-2</v>
      </c>
      <c r="H40" s="28">
        <f>'1_hub_LCIA'!AO15</f>
        <v>123.75300646703549</v>
      </c>
      <c r="I40" s="28">
        <f>'1_hub_LCIA'!AP15</f>
        <v>4.5650084597604186E-4</v>
      </c>
      <c r="J40" s="28">
        <f>'1_hub_LCIA'!AQ15</f>
        <v>0.43100107947527189</v>
      </c>
      <c r="K40" s="28">
        <f>'1_hub_LCIA'!AR15</f>
        <v>2.05237493255148</v>
      </c>
      <c r="L40" s="28">
        <f>'1_hub_LCIA'!AS15</f>
        <v>3.6542106559412502</v>
      </c>
      <c r="M40" s="28">
        <f>'1_hub_LCIA'!AT15</f>
        <v>326.09212115560246</v>
      </c>
      <c r="N40" s="28">
        <f>'1_hub_LCIA'!AU15</f>
        <v>0.40118879984589012</v>
      </c>
      <c r="O40" s="28">
        <f>'1_hub_LCIA'!AV15</f>
        <v>17.806806017277321</v>
      </c>
      <c r="P40" s="28">
        <f>'1_hub_LCIA'!AW15</f>
        <v>4.8402559271596353</v>
      </c>
      <c r="Q40" s="28">
        <f>'1_hub_LCIA'!AX15</f>
        <v>0.82808797684774282</v>
      </c>
      <c r="R40" s="28">
        <f>'1_hub_LCIA'!AY15</f>
        <v>1.0104634721016725E-2</v>
      </c>
      <c r="S40" s="28">
        <f>'1_hub_LCIA'!AZ15</f>
        <v>7.1370652279133679</v>
      </c>
      <c r="T40" s="28">
        <f>'1_hub_LCIA'!BA15</f>
        <v>8.0432962895113427</v>
      </c>
      <c r="U40" s="28">
        <f>'1_hub_LCIA'!BB15</f>
        <v>0.70852096510009532</v>
      </c>
      <c r="V40" s="28">
        <f>'1_hub_LCIA'!BC15</f>
        <v>6.9134820988658065E-3</v>
      </c>
      <c r="W40" s="28">
        <f>'1_hub_LCIA'!BD15</f>
        <v>0.33752786917572308</v>
      </c>
      <c r="X40" s="28">
        <f>'1_hub_LCIA'!BE15</f>
        <v>-7.0392716379562704E-4</v>
      </c>
      <c r="Y40" s="28">
        <f>'1_hub_LCIA'!BF15</f>
        <v>5.3659412997864764E-7</v>
      </c>
      <c r="Z40" s="28">
        <f>'1_hub_LCIA'!BG15</f>
        <v>3.2468133079355192E-2</v>
      </c>
      <c r="AA40" s="28">
        <f>'1_hub_LCIA'!BH15</f>
        <v>2.9966454519424909E-2</v>
      </c>
      <c r="AB40" s="28">
        <f>'1_hub_LCIA'!BI15</f>
        <v>5.4107648417593558E-2</v>
      </c>
      <c r="AC40" s="28">
        <f>'1_hub_LCIA'!BJ15</f>
        <v>8.0483337776345487E-4</v>
      </c>
      <c r="AD40" s="28">
        <f>'1_hub_LCIA'!BK15</f>
        <v>7.7902451535594247E-2</v>
      </c>
      <c r="AE40" s="29">
        <f>'1_hub_LCIA'!BL15</f>
        <v>7.4072188729550653E-2</v>
      </c>
    </row>
    <row r="41" spans="2:34" x14ac:dyDescent="0.25">
      <c r="B41" s="247"/>
      <c r="C41" s="13" t="s">
        <v>293</v>
      </c>
      <c r="D41" s="28">
        <f>'1_hub_LCIA'!AK16</f>
        <v>57.830554902349895</v>
      </c>
      <c r="E41" s="28">
        <f>'1_hub_LCIA'!AL16</f>
        <v>5.5367905904595327</v>
      </c>
      <c r="F41" s="28">
        <f>'1_hub_LCIA'!AM16</f>
        <v>803.02439744334242</v>
      </c>
      <c r="G41" s="28">
        <f>'1_hub_LCIA'!AN16</f>
        <v>0.28447255008616201</v>
      </c>
      <c r="H41" s="28">
        <f>'1_hub_LCIA'!AO16</f>
        <v>21.416706971488264</v>
      </c>
      <c r="I41" s="28">
        <f>'1_hub_LCIA'!AP16</f>
        <v>8.8895331789712838E-3</v>
      </c>
      <c r="J41" s="28">
        <f>'1_hub_LCIA'!AQ16</f>
        <v>0.10172255051540476</v>
      </c>
      <c r="K41" s="28">
        <f>'1_hub_LCIA'!AR16</f>
        <v>10.829698940851181</v>
      </c>
      <c r="L41" s="28">
        <f>'1_hub_LCIA'!AS16</f>
        <v>2.267441091712795</v>
      </c>
      <c r="M41" s="28">
        <f>'1_hub_LCIA'!AT16</f>
        <v>843.47011967163473</v>
      </c>
      <c r="N41" s="28">
        <f>'1_hub_LCIA'!AU16</f>
        <v>0.8961523540135774</v>
      </c>
      <c r="O41" s="28">
        <f>'1_hub_LCIA'!AV16</f>
        <v>57.078315194673664</v>
      </c>
      <c r="P41" s="28">
        <f>'1_hub_LCIA'!AW16</f>
        <v>18.703878704438651</v>
      </c>
      <c r="Q41" s="28">
        <f>'1_hub_LCIA'!AX16</f>
        <v>3.0487832858172337</v>
      </c>
      <c r="R41" s="28">
        <f>'1_hub_LCIA'!AY16</f>
        <v>8.1284435923812057E-3</v>
      </c>
      <c r="S41" s="28">
        <f>'1_hub_LCIA'!AZ16</f>
        <v>13.099692882250659</v>
      </c>
      <c r="T41" s="28">
        <f>'1_hub_LCIA'!BA16</f>
        <v>3.8769277241775479</v>
      </c>
      <c r="U41" s="28">
        <f>'1_hub_LCIA'!BB16</f>
        <v>2.6519002545274164</v>
      </c>
      <c r="V41" s="28">
        <f>'1_hub_LCIA'!BC16</f>
        <v>6.9793208534151474E-3</v>
      </c>
      <c r="W41" s="28">
        <f>'1_hub_LCIA'!BD16</f>
        <v>3.9749571521462159</v>
      </c>
      <c r="X41" s="28">
        <f>'1_hub_LCIA'!BE16</f>
        <v>-3.714055914167104E-3</v>
      </c>
      <c r="Y41" s="28">
        <f>'1_hub_LCIA'!BF16</f>
        <v>8.3195669389242867E-6</v>
      </c>
      <c r="Z41" s="28">
        <f>'1_hub_LCIA'!BG16</f>
        <v>6.995488901430813E-2</v>
      </c>
      <c r="AA41" s="28">
        <f>'1_hub_LCIA'!BH16</f>
        <v>0.15081044619075726</v>
      </c>
      <c r="AB41" s="28">
        <f>'1_hub_LCIA'!BI16</f>
        <v>0.14388201214109669</v>
      </c>
      <c r="AC41" s="28">
        <f>'1_hub_LCIA'!BJ16</f>
        <v>8.7077702812793784E-3</v>
      </c>
      <c r="AD41" s="28">
        <f>'1_hub_LCIA'!BK16</f>
        <v>1.4812655022015675</v>
      </c>
      <c r="AE41" s="29">
        <f>'1_hub_LCIA'!BL16</f>
        <v>0.15854047504203664</v>
      </c>
    </row>
    <row r="42" spans="2:34" x14ac:dyDescent="0.25">
      <c r="B42" s="247"/>
      <c r="C42" s="13" t="s">
        <v>571</v>
      </c>
      <c r="D42" s="28">
        <f>'1_hub_LCIA'!AK17</f>
        <v>2.5489901830391641</v>
      </c>
      <c r="E42" s="28">
        <f>'1_hub_LCIA'!AL17</f>
        <v>2.5489901830391641</v>
      </c>
      <c r="F42" s="28">
        <f ca="1">'1_hub_LCIA'!AM17</f>
        <v>29.93493923561357</v>
      </c>
      <c r="G42" s="28">
        <f ca="1">'1_hub_LCIA'!AN17</f>
        <v>1.4640724280626629E-2</v>
      </c>
      <c r="H42" s="28">
        <f ca="1">'1_hub_LCIA'!AO17</f>
        <v>6.4315258197389022</v>
      </c>
      <c r="I42" s="28">
        <f ca="1">'1_hub_LCIA'!AP17</f>
        <v>6.8669580553524796E-4</v>
      </c>
      <c r="J42" s="28">
        <f ca="1">'1_hub_LCIA'!AQ17</f>
        <v>9.7493003697127917E-4</v>
      </c>
      <c r="K42" s="28">
        <f ca="1">'1_hub_LCIA'!AR17</f>
        <v>0.85196835534203641</v>
      </c>
      <c r="L42" s="28">
        <f ca="1">'1_hub_LCIA'!AS17</f>
        <v>2.4959646694412529</v>
      </c>
      <c r="M42" s="28">
        <f ca="1">'1_hub_LCIA'!AT17</f>
        <v>42.279690613298058</v>
      </c>
      <c r="N42" s="28">
        <f ca="1">'1_hub_LCIA'!AU17</f>
        <v>8.7517771507049591E-2</v>
      </c>
      <c r="O42" s="28">
        <f ca="1">'1_hub_LCIA'!AV17</f>
        <v>2.5139365187885114</v>
      </c>
      <c r="P42" s="28">
        <f ca="1">'1_hub_LCIA'!AW17</f>
        <v>0.7100763257336814</v>
      </c>
      <c r="Q42" s="28">
        <f ca="1">'1_hub_LCIA'!AX17</f>
        <v>6.2973360112793725E-2</v>
      </c>
      <c r="R42" s="28">
        <f ca="1">'1_hub_LCIA'!AY17</f>
        <v>2.7759831983185375E-3</v>
      </c>
      <c r="S42" s="28">
        <f ca="1">'1_hub_LCIA'!AZ17</f>
        <v>1.7303981193420361</v>
      </c>
      <c r="T42" s="28">
        <f ca="1">'1_hub_LCIA'!BA17</f>
        <v>0.36368176660052209</v>
      </c>
      <c r="U42" s="28">
        <f ca="1">'1_hub_LCIA'!BB17</f>
        <v>5.8660116269451688E-2</v>
      </c>
      <c r="V42" s="28">
        <f ca="1">'1_hub_LCIA'!BC17</f>
        <v>9.7578583932114856E-4</v>
      </c>
      <c r="W42" s="28">
        <f ca="1">'1_hub_LCIA'!BD17</f>
        <v>7.0607117073629225E-2</v>
      </c>
      <c r="X42" s="28">
        <f ca="1">'1_hub_LCIA'!BE17</f>
        <v>-2.3753307702036549E-4</v>
      </c>
      <c r="Y42" s="28">
        <f ca="1">'1_hub_LCIA'!BF17</f>
        <v>1.2604599329817229E-7</v>
      </c>
      <c r="Z42" s="28">
        <f ca="1">'1_hub_LCIA'!BG17</f>
        <v>3.8059242103394252E-3</v>
      </c>
      <c r="AA42" s="28">
        <f ca="1">'1_hub_LCIA'!BH17</f>
        <v>1.0267574272793732E-2</v>
      </c>
      <c r="AB42" s="28">
        <f ca="1">'1_hub_LCIA'!BI17</f>
        <v>8.1424458775979092E-3</v>
      </c>
      <c r="AC42" s="28">
        <f ca="1">'1_hub_LCIA'!BJ17</f>
        <v>9.3730896567101809E-5</v>
      </c>
      <c r="AD42" s="28">
        <f ca="1">'1_hub_LCIA'!BK17</f>
        <v>7.7990979748302852E-2</v>
      </c>
      <c r="AE42" s="29">
        <f ca="1">'1_hub_LCIA'!BL17</f>
        <v>9.6106603890339422E-3</v>
      </c>
    </row>
    <row r="43" spans="2:34" x14ac:dyDescent="0.25">
      <c r="B43" s="274"/>
      <c r="C43" s="14" t="s">
        <v>356</v>
      </c>
      <c r="D43" s="30">
        <f>'1_hub_LCIA'!AK18</f>
        <v>671.48390577303428</v>
      </c>
      <c r="E43" s="30" t="str">
        <f>'1_hub_LCIA'!AL18</f>
        <v>-</v>
      </c>
      <c r="F43" s="30" t="str">
        <f>'1_hub_LCIA'!AM18</f>
        <v>-</v>
      </c>
      <c r="G43" s="30" t="str">
        <f>'1_hub_LCIA'!AN18</f>
        <v>-</v>
      </c>
      <c r="H43" s="30" t="str">
        <f>'1_hub_LCIA'!AO18</f>
        <v>-</v>
      </c>
      <c r="I43" s="30" t="str">
        <f>'1_hub_LCIA'!AP18</f>
        <v>-</v>
      </c>
      <c r="J43" s="30" t="str">
        <f>'1_hub_LCIA'!AQ18</f>
        <v>-</v>
      </c>
      <c r="K43" s="30" t="str">
        <f>'1_hub_LCIA'!AR18</f>
        <v>-</v>
      </c>
      <c r="L43" s="30" t="str">
        <f>'1_hub_LCIA'!AS18</f>
        <v>-</v>
      </c>
      <c r="M43" s="30">
        <f ca="1">'1_hub_LCIA'!AT18</f>
        <v>6641.5716121629348</v>
      </c>
      <c r="N43" s="30">
        <f ca="1">'1_hub_LCIA'!AU18</f>
        <v>2.6235183906202564</v>
      </c>
      <c r="O43" s="30">
        <f ca="1">'1_hub_LCIA'!AV18</f>
        <v>671.48390577303473</v>
      </c>
      <c r="P43" s="30">
        <f ca="1">'1_hub_LCIA'!AW18</f>
        <v>155.78081292712525</v>
      </c>
      <c r="Q43" s="30">
        <f ca="1">'1_hub_LCIA'!AX18</f>
        <v>0.68155321809332514</v>
      </c>
      <c r="R43" s="30">
        <f ca="1">'1_hub_LCIA'!AY18</f>
        <v>1.3319028284328552E-2</v>
      </c>
      <c r="S43" s="30">
        <f ca="1">'1_hub_LCIA'!AZ18</f>
        <v>19.860120305114521</v>
      </c>
      <c r="T43" s="30">
        <f ca="1">'1_hub_LCIA'!BA18</f>
        <v>31.996483104415937</v>
      </c>
      <c r="U43" s="30">
        <f ca="1">'1_hub_LCIA'!BB18</f>
        <v>0.57229411882917169</v>
      </c>
      <c r="V43" s="30">
        <f ca="1">'1_hub_LCIA'!BC18</f>
        <v>0.73092468641020691</v>
      </c>
      <c r="W43" s="30">
        <f ca="1">'1_hub_LCIA'!BD18</f>
        <v>2.519899103501261</v>
      </c>
      <c r="X43" s="30">
        <f ca="1">'1_hub_LCIA'!BE18</f>
        <v>0.16428107408733789</v>
      </c>
      <c r="Y43" s="30">
        <f ca="1">'1_hub_LCIA'!BF18</f>
        <v>7.9571729514085426E-5</v>
      </c>
      <c r="Z43" s="30">
        <f ca="1">'1_hub_LCIA'!BG18</f>
        <v>0.22885214830549988</v>
      </c>
      <c r="AA43" s="30">
        <f ca="1">'1_hub_LCIA'!BH18</f>
        <v>0.6422640034683198</v>
      </c>
      <c r="AB43" s="30">
        <f ca="1">'1_hub_LCIA'!BI18</f>
        <v>1.0112411510999167E-2</v>
      </c>
      <c r="AC43" s="30">
        <f ca="1">'1_hub_LCIA'!BJ18</f>
        <v>1.011241151099909E-2</v>
      </c>
      <c r="AD43" s="30">
        <f ca="1">'1_hub_LCIA'!BK18</f>
        <v>1.3614756399639949</v>
      </c>
      <c r="AE43" s="31">
        <f ca="1">'1_hub_LCIA'!BL18</f>
        <v>0.59689197154682516</v>
      </c>
      <c r="AH43" s="47"/>
    </row>
    <row r="44" spans="2:34" x14ac:dyDescent="0.25">
      <c r="C44" s="22"/>
      <c r="D44" s="16">
        <f>SUM(D28:D43)</f>
        <v>839.63096223972445</v>
      </c>
      <c r="E44" s="16">
        <f t="shared" ref="E44:AE44" si="3">SUM(E28:E43)</f>
        <v>420.89691608081517</v>
      </c>
      <c r="F44" s="16">
        <f t="shared" ca="1" si="3"/>
        <v>1907.6756254131287</v>
      </c>
      <c r="G44" s="16">
        <f t="shared" ca="1" si="3"/>
        <v>0.90988727229106769</v>
      </c>
      <c r="H44" s="16">
        <f t="shared" ca="1" si="3"/>
        <v>456.27380221484742</v>
      </c>
      <c r="I44" s="16">
        <f t="shared" ca="1" si="3"/>
        <v>8.7117280275613673</v>
      </c>
      <c r="J44" s="16">
        <f t="shared" ca="1" si="3"/>
        <v>1.7879457339940881</v>
      </c>
      <c r="K44" s="16">
        <f t="shared" ca="1" si="3"/>
        <v>34.510873195357</v>
      </c>
      <c r="L44" s="16">
        <f t="shared" ca="1" si="3"/>
        <v>20.210012129854782</v>
      </c>
      <c r="M44" s="16">
        <f t="shared" ca="1" si="3"/>
        <v>9492.5484022307846</v>
      </c>
      <c r="N44" s="16">
        <f t="shared" ca="1" si="3"/>
        <v>98.751884656570581</v>
      </c>
      <c r="O44" s="16">
        <f t="shared" ca="1" si="3"/>
        <v>835.1547852269548</v>
      </c>
      <c r="P44" s="16">
        <f t="shared" ca="1" si="3"/>
        <v>203.0970641520577</v>
      </c>
      <c r="Q44" s="16">
        <f t="shared" ca="1" si="3"/>
        <v>7.334024710437026</v>
      </c>
      <c r="R44" s="16">
        <f ca="1">SUM(R28:R43)</f>
        <v>7.7123732628094299E-2</v>
      </c>
      <c r="S44" s="16">
        <f t="shared" ca="1" si="3"/>
        <v>80.94774401976575</v>
      </c>
      <c r="T44" s="16">
        <f t="shared" ca="1" si="3"/>
        <v>64.379260977514377</v>
      </c>
      <c r="U44" s="16">
        <f t="shared" ca="1" si="3"/>
        <v>6.2886269116430773</v>
      </c>
      <c r="V44" s="16">
        <f t="shared" ca="1" si="3"/>
        <v>0.89315592236092667</v>
      </c>
      <c r="W44" s="16">
        <f t="shared" ca="1" si="3"/>
        <v>8.5199631564538745</v>
      </c>
      <c r="X44" s="16">
        <f t="shared" ca="1" si="3"/>
        <v>0.15619277227042039</v>
      </c>
      <c r="Y44" s="16">
        <f t="shared" ca="1" si="3"/>
        <v>9.2236734904659889E-5</v>
      </c>
      <c r="Z44" s="16">
        <f t="shared" ca="1" si="3"/>
        <v>0.51237003312789686</v>
      </c>
      <c r="AA44" s="16">
        <f t="shared" ca="1" si="3"/>
        <v>1.0529250955862575</v>
      </c>
      <c r="AB44" s="16">
        <f t="shared" ca="1" si="3"/>
        <v>0.61091967120362833</v>
      </c>
      <c r="AC44" s="16">
        <f t="shared" ca="1" si="3"/>
        <v>0.31274997112779346</v>
      </c>
      <c r="AD44" s="16">
        <f t="shared" ca="1" si="3"/>
        <v>3.778003330150951</v>
      </c>
      <c r="AE44" s="16">
        <f t="shared" ca="1" si="3"/>
        <v>2.7931362155004957</v>
      </c>
    </row>
    <row r="45" spans="2:34" ht="60" x14ac:dyDescent="0.25">
      <c r="C45" s="39"/>
      <c r="D45" s="51" t="s">
        <v>777</v>
      </c>
      <c r="E45" s="51" t="s">
        <v>778</v>
      </c>
      <c r="F45" s="51" t="s">
        <v>779</v>
      </c>
      <c r="G45" s="52" t="s">
        <v>780</v>
      </c>
      <c r="I45" s="22"/>
      <c r="J45" s="22"/>
      <c r="K45" s="22"/>
      <c r="L45" s="22"/>
    </row>
    <row r="46" spans="2:34" x14ac:dyDescent="0.25">
      <c r="C46" s="40" t="s">
        <v>533</v>
      </c>
      <c r="D46" s="8">
        <v>0</v>
      </c>
      <c r="E46" s="28">
        <f t="shared" ref="E46:E52" si="4">D18</f>
        <v>5.8285350722992861</v>
      </c>
      <c r="F46" s="8">
        <v>0</v>
      </c>
      <c r="G46" s="29">
        <f t="shared" ref="G46:G53" si="5">M18</f>
        <v>116.89111529808497</v>
      </c>
      <c r="H46" s="20">
        <f>E46/E58</f>
        <v>0.10644937661184829</v>
      </c>
      <c r="I46" s="20">
        <f>G46/G58</f>
        <v>0.12765301973934076</v>
      </c>
      <c r="R46" s="59" t="s">
        <v>740</v>
      </c>
    </row>
    <row r="47" spans="2:34" x14ac:dyDescent="0.25">
      <c r="C47" s="40" t="s">
        <v>786</v>
      </c>
      <c r="D47" s="28">
        <f>SUM(D28,D33)</f>
        <v>2.7641210377195296</v>
      </c>
      <c r="E47" s="28">
        <f t="shared" si="4"/>
        <v>2.2112968301756237</v>
      </c>
      <c r="F47" s="28">
        <f>SUM(M28,M33)</f>
        <v>3.7774175551351199</v>
      </c>
      <c r="G47" s="29">
        <f t="shared" si="5"/>
        <v>3.0219340441080962</v>
      </c>
      <c r="Q47" t="s">
        <v>185</v>
      </c>
      <c r="R47" s="16">
        <v>1.5107803622955085E-4</v>
      </c>
      <c r="S47" s="16">
        <f>R28+R33</f>
        <v>1.5107803622955085E-4</v>
      </c>
      <c r="T47" s="16">
        <f>N19</f>
        <v>6.5117938596694919E-3</v>
      </c>
      <c r="U47" s="16">
        <f t="shared" ref="U47:U58" si="6">S47-R47</f>
        <v>0</v>
      </c>
    </row>
    <row r="48" spans="2:34" x14ac:dyDescent="0.25">
      <c r="C48" s="40" t="s">
        <v>787</v>
      </c>
      <c r="D48" s="53">
        <f>SUM(D29,D34)</f>
        <v>31.342918736712328</v>
      </c>
      <c r="E48" s="53">
        <f>D20</f>
        <v>14.169844148648293</v>
      </c>
      <c r="F48" s="28">
        <f>SUM(M29,M34)</f>
        <v>580.78124882012048</v>
      </c>
      <c r="G48" s="29">
        <f>M20</f>
        <v>292.52026207793335</v>
      </c>
      <c r="Q48" t="s">
        <v>236</v>
      </c>
      <c r="R48" s="71">
        <v>1.9577175350280772E-2</v>
      </c>
      <c r="S48" s="71">
        <f t="shared" ref="S48:S51" si="7">R29+R34</f>
        <v>1.7837868932876713E-2</v>
      </c>
      <c r="T48" s="16">
        <f t="shared" ref="T48:T53" si="8">N20</f>
        <v>1.023243847767461</v>
      </c>
      <c r="U48" s="16">
        <f t="shared" si="6"/>
        <v>-1.7393064174040587E-3</v>
      </c>
    </row>
    <row r="49" spans="2:31" x14ac:dyDescent="0.25">
      <c r="C49" s="40" t="s">
        <v>788</v>
      </c>
      <c r="D49" s="28">
        <f>SUM(D30,D35)</f>
        <v>5.1163668199788717</v>
      </c>
      <c r="E49" s="28">
        <f t="shared" si="4"/>
        <v>8.4271320247949859</v>
      </c>
      <c r="F49" s="28">
        <f>SUM(M30,M35)</f>
        <v>81.916441685030506</v>
      </c>
      <c r="G49" s="29">
        <f t="shared" si="5"/>
        <v>134.92399848766556</v>
      </c>
      <c r="Q49" t="s">
        <v>237</v>
      </c>
      <c r="R49" s="16">
        <v>9.8422451999999983E-5</v>
      </c>
      <c r="S49" s="16">
        <f t="shared" si="7"/>
        <v>1.2822670543233768E-4</v>
      </c>
      <c r="T49" s="16">
        <f t="shared" si="8"/>
        <v>2.4773515370440386E-2</v>
      </c>
      <c r="U49" s="16">
        <f t="shared" si="6"/>
        <v>2.9804253432337698E-5</v>
      </c>
    </row>
    <row r="50" spans="2:31" x14ac:dyDescent="0.25">
      <c r="C50" s="40" t="s">
        <v>789</v>
      </c>
      <c r="D50" s="53">
        <f>SUM(D31,D36)</f>
        <v>0.67243680526758109</v>
      </c>
      <c r="E50" s="53">
        <f t="shared" si="4"/>
        <v>0.40997042341147211</v>
      </c>
      <c r="F50" s="28">
        <f>SUM(M31,M36)</f>
        <v>10.965426273572414</v>
      </c>
      <c r="G50" s="29">
        <f t="shared" si="5"/>
        <v>6.6853872617440677</v>
      </c>
      <c r="Q50" t="s">
        <v>238</v>
      </c>
      <c r="R50" s="16">
        <v>3.804348197551608E-4</v>
      </c>
      <c r="S50" s="16">
        <f t="shared" si="7"/>
        <v>3.804348197551608E-4</v>
      </c>
      <c r="T50" s="16">
        <f t="shared" si="8"/>
        <v>1.8993796166116805E-2</v>
      </c>
      <c r="U50" s="16">
        <f t="shared" si="6"/>
        <v>0</v>
      </c>
    </row>
    <row r="51" spans="2:31" x14ac:dyDescent="0.25">
      <c r="C51" s="40" t="s">
        <v>790</v>
      </c>
      <c r="D51" s="53">
        <f>SUM(D32,D37)</f>
        <v>0.47170735812485642</v>
      </c>
      <c r="E51" s="53">
        <f t="shared" si="4"/>
        <v>0.28758994722158404</v>
      </c>
      <c r="F51" s="28">
        <f>SUM(M32,M37)</f>
        <v>5.7694508753667479</v>
      </c>
      <c r="G51" s="29">
        <f t="shared" si="5"/>
        <v>3.5175115337188809</v>
      </c>
      <c r="Q51" t="s">
        <v>189</v>
      </c>
      <c r="R51" s="70">
        <v>9.5532094560128397E-4</v>
      </c>
      <c r="S51" s="16">
        <f t="shared" si="7"/>
        <v>9.5532094560128397E-4</v>
      </c>
      <c r="T51" s="16">
        <f t="shared" si="8"/>
        <v>1.2280287343598402E-2</v>
      </c>
      <c r="U51" s="16">
        <f t="shared" si="6"/>
        <v>0</v>
      </c>
    </row>
    <row r="52" spans="2:31" x14ac:dyDescent="0.25">
      <c r="C52" s="40" t="str">
        <f t="shared" ref="C52" si="9">C24</f>
        <v>Food</v>
      </c>
      <c r="D52" s="28">
        <f>D38</f>
        <v>31.285111893928146</v>
      </c>
      <c r="E52" s="28">
        <f t="shared" si="4"/>
        <v>23.230625622492582</v>
      </c>
      <c r="F52" s="28">
        <f t="shared" ref="F52:F57" si="10">M38</f>
        <v>468.16632583541281</v>
      </c>
      <c r="G52" s="29">
        <f t="shared" si="5"/>
        <v>354.63745312331184</v>
      </c>
      <c r="Q52" t="s">
        <v>241</v>
      </c>
      <c r="R52" s="71">
        <v>1.3489498554426015E-2</v>
      </c>
      <c r="S52" s="71">
        <f>R38</f>
        <v>1.4926158045450003E-2</v>
      </c>
      <c r="T52" s="16">
        <f t="shared" si="8"/>
        <v>55.117966534692599</v>
      </c>
      <c r="U52" s="16">
        <f t="shared" si="6"/>
        <v>1.4366594910239887E-3</v>
      </c>
    </row>
    <row r="53" spans="2:31" x14ac:dyDescent="0.25">
      <c r="C53" s="40" t="str">
        <f>C39</f>
        <v>Preparation</v>
      </c>
      <c r="D53" s="28">
        <f>D39</f>
        <v>18.066929622971866</v>
      </c>
      <c r="E53" s="28">
        <f>D25</f>
        <v>0.1890614060968662</v>
      </c>
      <c r="F53" s="28">
        <f t="shared" si="10"/>
        <v>487.75854758267644</v>
      </c>
      <c r="G53" s="29">
        <f t="shared" si="5"/>
        <v>3.4964246648385617</v>
      </c>
      <c r="Q53" t="s">
        <v>538</v>
      </c>
      <c r="R53" s="16">
        <v>8.4305377784399081E-3</v>
      </c>
      <c r="S53" s="70">
        <f t="shared" ref="S53:S54" si="11">R39</f>
        <v>8.4165553467042253E-3</v>
      </c>
      <c r="T53" s="16">
        <f t="shared" si="8"/>
        <v>7.2362728163940099E-2</v>
      </c>
      <c r="U53" s="16">
        <f t="shared" si="6"/>
        <v>-1.3982431735682851E-5</v>
      </c>
    </row>
    <row r="54" spans="2:31" x14ac:dyDescent="0.25">
      <c r="C54" s="40" t="str">
        <f>C40</f>
        <v>Execution</v>
      </c>
      <c r="D54" s="28">
        <f t="shared" ref="D54" si="12">D40</f>
        <v>18.04791910659792</v>
      </c>
      <c r="E54" s="49">
        <v>0</v>
      </c>
      <c r="F54" s="28">
        <f t="shared" si="10"/>
        <v>326.09212115560246</v>
      </c>
      <c r="G54" s="50">
        <v>0</v>
      </c>
      <c r="Q54" t="s">
        <v>539</v>
      </c>
      <c r="R54" s="71">
        <v>1.2182415082374425E-2</v>
      </c>
      <c r="S54" s="71">
        <f t="shared" si="11"/>
        <v>1.0104634721016725E-2</v>
      </c>
      <c r="U54" s="16">
        <f t="shared" si="6"/>
        <v>-2.0777803613577003E-3</v>
      </c>
    </row>
    <row r="55" spans="2:31" x14ac:dyDescent="0.25">
      <c r="C55" s="40" t="str">
        <f>C41</f>
        <v>Transportation by car</v>
      </c>
      <c r="D55" s="28">
        <f>D41</f>
        <v>57.830554902349895</v>
      </c>
      <c r="E55" s="8">
        <v>0</v>
      </c>
      <c r="F55" s="28">
        <f t="shared" si="10"/>
        <v>843.47011967163473</v>
      </c>
      <c r="G55" s="9">
        <v>0</v>
      </c>
      <c r="Q55" t="s">
        <v>532</v>
      </c>
      <c r="R55" s="16">
        <v>8.2421796176031341E-3</v>
      </c>
      <c r="S55" s="16">
        <f>R41</f>
        <v>8.1284435923812057E-3</v>
      </c>
      <c r="U55" s="16">
        <f t="shared" si="6"/>
        <v>-1.1373602522192841E-4</v>
      </c>
    </row>
    <row r="56" spans="2:31" x14ac:dyDescent="0.25">
      <c r="C56" s="40" t="str">
        <f>C42</f>
        <v>Transportation by rail</v>
      </c>
      <c r="D56" s="28">
        <f>D42</f>
        <v>2.5489901830391641</v>
      </c>
      <c r="E56" s="8">
        <v>0</v>
      </c>
      <c r="F56" s="28">
        <f t="shared" ca="1" si="10"/>
        <v>42.279690613298058</v>
      </c>
      <c r="G56" s="9">
        <v>0</v>
      </c>
      <c r="Q56" t="s">
        <v>356</v>
      </c>
      <c r="R56" s="16">
        <v>1.1441254615267066E-2</v>
      </c>
      <c r="S56" s="16">
        <f ca="1">R43</f>
        <v>1.3319028284328552E-2</v>
      </c>
      <c r="U56" s="16">
        <f t="shared" ca="1" si="6"/>
        <v>1.877773669061486E-3</v>
      </c>
    </row>
    <row r="57" spans="2:31" x14ac:dyDescent="0.25">
      <c r="C57" s="40" t="str">
        <f>C43</f>
        <v>Air transportation</v>
      </c>
      <c r="D57" s="28">
        <f>D43</f>
        <v>671.48390577303428</v>
      </c>
      <c r="E57" s="8">
        <v>0</v>
      </c>
      <c r="F57" s="28">
        <f t="shared" ca="1" si="10"/>
        <v>6641.5716121629348</v>
      </c>
      <c r="G57" s="9">
        <v>0</v>
      </c>
      <c r="Q57" t="s">
        <v>741</v>
      </c>
      <c r="R57" s="16">
        <v>3.7453214925587462E-3</v>
      </c>
      <c r="S57" s="16">
        <f ca="1">R42</f>
        <v>2.7759831983185375E-3</v>
      </c>
      <c r="U57" s="16">
        <f t="shared" ca="1" si="6"/>
        <v>-9.6933829424020873E-4</v>
      </c>
    </row>
    <row r="58" spans="2:31" x14ac:dyDescent="0.25">
      <c r="C58" s="6" t="s">
        <v>83</v>
      </c>
      <c r="D58" s="30">
        <f>SUM(D46:D57)</f>
        <v>839.63096223972445</v>
      </c>
      <c r="E58" s="30">
        <f>SUM(E46:E57)</f>
        <v>54.754055475140696</v>
      </c>
      <c r="F58" s="30">
        <f ca="1">SUM(F46:F57)</f>
        <v>9492.5484022307846</v>
      </c>
      <c r="G58" s="31">
        <f>SUM(G46:G57)</f>
        <v>915.6940864914053</v>
      </c>
      <c r="H58" s="22">
        <f>D58/E58</f>
        <v>15.334589464718858</v>
      </c>
      <c r="I58" s="22">
        <f ca="1">F58/G58</f>
        <v>10.366506175225673</v>
      </c>
      <c r="R58" s="16">
        <f>SUM(R47:R57)</f>
        <v>7.8693638744536068E-2</v>
      </c>
      <c r="S58" s="16">
        <f ca="1">SUM(S47:S57)</f>
        <v>7.7123732628094299E-2</v>
      </c>
      <c r="T58" s="16">
        <f>SUM(T47:T57)</f>
        <v>56.276132503363826</v>
      </c>
      <c r="U58" s="16">
        <f t="shared" ca="1" si="6"/>
        <v>-1.5699061164417688E-3</v>
      </c>
    </row>
    <row r="60" spans="2:31" x14ac:dyDescent="0.25">
      <c r="D60" s="22" t="str">
        <f>D27</f>
        <v>Carbon footprint</v>
      </c>
      <c r="E60" s="22" t="str">
        <f t="shared" ref="E60:L60" si="13">E27</f>
        <v>biomass</v>
      </c>
      <c r="F60" s="22" t="str">
        <f t="shared" si="13"/>
        <v>fossil</v>
      </c>
      <c r="G60" s="22" t="str">
        <f t="shared" si="13"/>
        <v>geothermal</v>
      </c>
      <c r="H60" s="22" t="str">
        <f t="shared" si="13"/>
        <v>nuclear</v>
      </c>
      <c r="I60" s="22" t="str">
        <f t="shared" si="13"/>
        <v>primary forest</v>
      </c>
      <c r="J60" s="22" t="str">
        <f t="shared" si="13"/>
        <v>solar</v>
      </c>
      <c r="K60" s="22" t="str">
        <f t="shared" si="13"/>
        <v>water</v>
      </c>
      <c r="L60" s="22" t="str">
        <f t="shared" si="13"/>
        <v>wind</v>
      </c>
      <c r="M60" s="22" t="str">
        <f t="shared" ref="M60:AE60" si="14">M17</f>
        <v>CED</v>
      </c>
      <c r="N60" s="22" t="str">
        <f t="shared" si="14"/>
        <v>Agricultural land occupation</v>
      </c>
      <c r="O60" s="22" t="str">
        <f t="shared" si="14"/>
        <v>Climate change</v>
      </c>
      <c r="P60" s="22" t="str">
        <f t="shared" si="14"/>
        <v>Fossil depletion</v>
      </c>
      <c r="Q60" s="22" t="str">
        <f t="shared" si="14"/>
        <v>Freshwater ecotoxicity</v>
      </c>
      <c r="R60" s="73" t="str">
        <f t="shared" si="14"/>
        <v>Freshwater eutrophication</v>
      </c>
      <c r="S60" s="73" t="str">
        <f t="shared" si="14"/>
        <v>Human toxicity</v>
      </c>
      <c r="T60" s="22" t="str">
        <f t="shared" si="14"/>
        <v>Ionising radiation</v>
      </c>
      <c r="U60" s="22" t="str">
        <f t="shared" si="14"/>
        <v>Marine ecotoxicity</v>
      </c>
      <c r="V60" s="22" t="str">
        <f t="shared" si="14"/>
        <v>Marine eutrophication</v>
      </c>
      <c r="W60" s="22" t="str">
        <f t="shared" si="14"/>
        <v>Metal depletion</v>
      </c>
      <c r="X60" s="22" t="str">
        <f t="shared" si="14"/>
        <v>Natural land transformation</v>
      </c>
      <c r="Y60" s="22" t="str">
        <f t="shared" si="14"/>
        <v>Ozone depletion</v>
      </c>
      <c r="Z60" s="22" t="str">
        <f t="shared" si="14"/>
        <v>Particulate matter formation</v>
      </c>
      <c r="AA60" s="22" t="str">
        <f t="shared" si="14"/>
        <v>Photochemical oxidant formation</v>
      </c>
      <c r="AB60" s="22" t="str">
        <f t="shared" si="14"/>
        <v>Terrestrial acidification</v>
      </c>
      <c r="AC60" s="22" t="str">
        <f t="shared" si="14"/>
        <v>Terrestrial ecotoxicity</v>
      </c>
      <c r="AD60" s="22" t="str">
        <f t="shared" si="14"/>
        <v>Urban land occupation</v>
      </c>
      <c r="AE60" s="22" t="str">
        <f t="shared" si="14"/>
        <v>Water depletion</v>
      </c>
    </row>
    <row r="61" spans="2:31" x14ac:dyDescent="0.25">
      <c r="D61" s="22">
        <v>0</v>
      </c>
      <c r="E61" s="22">
        <v>0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2">
        <v>0</v>
      </c>
      <c r="Q61" s="22">
        <v>0</v>
      </c>
      <c r="R61" s="22">
        <v>0</v>
      </c>
      <c r="S61" s="22">
        <v>0</v>
      </c>
      <c r="T61" s="22">
        <v>0</v>
      </c>
      <c r="U61" s="22">
        <v>0</v>
      </c>
      <c r="V61" s="22">
        <v>0</v>
      </c>
      <c r="W61" s="22">
        <v>0</v>
      </c>
      <c r="X61" s="22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</row>
    <row r="62" spans="2:31" x14ac:dyDescent="0.25">
      <c r="B62" s="22" t="str">
        <f>C62</f>
        <v>Information and communication technology</v>
      </c>
      <c r="C62" s="22" t="str">
        <f>C18</f>
        <v>Information and communication technology</v>
      </c>
      <c r="D62" s="56">
        <f>D18/D$44</f>
        <v>6.9417819666292525E-3</v>
      </c>
      <c r="E62" s="20">
        <f t="shared" ref="E62:S62" si="15">E18/E$44</f>
        <v>5.2809632213561613E-3</v>
      </c>
      <c r="F62" s="20">
        <f t="shared" ca="1" si="15"/>
        <v>3.6360036178550381E-2</v>
      </c>
      <c r="G62" s="20">
        <f t="shared" ca="1" si="15"/>
        <v>0.42507517331277112</v>
      </c>
      <c r="H62" s="20">
        <f t="shared" ca="1" si="15"/>
        <v>7.1396710158985952E-2</v>
      </c>
      <c r="I62" s="20">
        <f t="shared" ca="1" si="15"/>
        <v>1.3477372818744329E-4</v>
      </c>
      <c r="J62" s="20">
        <f t="shared" ca="1" si="15"/>
        <v>0.64659587314012013</v>
      </c>
      <c r="K62" s="20">
        <f t="shared" ca="1" si="15"/>
        <v>0.22667964877549099</v>
      </c>
      <c r="L62" s="20">
        <f t="shared" ca="1" si="15"/>
        <v>0.16634504848189616</v>
      </c>
      <c r="M62" s="20">
        <f t="shared" ca="1" si="15"/>
        <v>1.2313986755191591E-2</v>
      </c>
      <c r="N62" s="20">
        <f t="shared" ca="1" si="15"/>
        <v>4.2342043517353649E-3</v>
      </c>
      <c r="O62" s="20">
        <f t="shared" ca="1" si="15"/>
        <v>6.9063058451543473E-3</v>
      </c>
      <c r="P62" s="20">
        <f t="shared" ca="1" si="15"/>
        <v>8.65408219135653E-3</v>
      </c>
      <c r="Q62" s="20">
        <f t="shared" ca="1" si="15"/>
        <v>6.162913303890042E-2</v>
      </c>
      <c r="R62" s="20">
        <f ca="1">R18/R$44</f>
        <v>6.5796984949533385E-2</v>
      </c>
      <c r="S62" s="20">
        <f t="shared" ca="1" si="15"/>
        <v>4.6365192219242395E-2</v>
      </c>
      <c r="T62" s="20">
        <f t="shared" ref="T62:AE62" ca="1" si="16">T18/T$44</f>
        <v>3.4653836350609715E-2</v>
      </c>
      <c r="U62" s="20">
        <f t="shared" ca="1" si="16"/>
        <v>6.2556980670602641E-2</v>
      </c>
      <c r="V62" s="20">
        <f t="shared" ca="1" si="16"/>
        <v>1.9506887898500952E-3</v>
      </c>
      <c r="W62" s="20">
        <f t="shared" ca="1" si="16"/>
        <v>4.9618630873714008E-2</v>
      </c>
      <c r="X62" s="20">
        <f t="shared" ca="1" si="16"/>
        <v>-4.1904662277512487E-3</v>
      </c>
      <c r="Y62" s="20">
        <f t="shared" ca="1" si="16"/>
        <v>2.5830882291794548E-3</v>
      </c>
      <c r="Z62" s="20">
        <f t="shared" ca="1" si="16"/>
        <v>3.1122845898236197E-2</v>
      </c>
      <c r="AA62" s="20">
        <f t="shared" ca="1" si="16"/>
        <v>1.0297286198565965E-2</v>
      </c>
      <c r="AB62" s="20">
        <f t="shared" ca="1" si="16"/>
        <v>2.8248089676492689E-2</v>
      </c>
      <c r="AC62" s="20">
        <f t="shared" ca="1" si="16"/>
        <v>1.265819402666605E-3</v>
      </c>
      <c r="AD62" s="20">
        <f t="shared" ca="1" si="16"/>
        <v>7.7182036312507529E-3</v>
      </c>
      <c r="AE62" s="20">
        <f t="shared" ca="1" si="16"/>
        <v>2.1395056915149795E-2</v>
      </c>
    </row>
    <row r="63" spans="2:31" x14ac:dyDescent="0.25">
      <c r="B63" s="22"/>
      <c r="C63" s="22" t="s">
        <v>791</v>
      </c>
      <c r="D63" s="20">
        <f>D19/D$44</f>
        <v>2.6336532710477542E-3</v>
      </c>
      <c r="E63" s="20">
        <f t="shared" ref="E63:AE63" si="17">E19/E$44</f>
        <v>4.2281266080697166E-5</v>
      </c>
      <c r="F63" s="20">
        <f t="shared" ca="1" si="17"/>
        <v>1.5259593944450835E-3</v>
      </c>
      <c r="G63" s="20">
        <f t="shared" ca="1" si="17"/>
        <v>9.037399792821394E-4</v>
      </c>
      <c r="H63" s="20">
        <f t="shared" ca="1" si="17"/>
        <v>1.26355557000675E-4</v>
      </c>
      <c r="I63" s="20">
        <f t="shared" ca="1" si="17"/>
        <v>4.9239683478203296E-6</v>
      </c>
      <c r="J63" s="20">
        <f t="shared" ca="1" si="17"/>
        <v>5.7280272877237868E-4</v>
      </c>
      <c r="K63" s="20">
        <f t="shared" ca="1" si="17"/>
        <v>7.8504846170164035E-4</v>
      </c>
      <c r="L63" s="20">
        <f t="shared" ca="1" si="17"/>
        <v>3.2002312029545519E-4</v>
      </c>
      <c r="M63" s="20">
        <f t="shared" ca="1" si="17"/>
        <v>3.1834802584708764E-4</v>
      </c>
      <c r="N63" s="20">
        <f t="shared" ca="1" si="17"/>
        <v>6.5940957808709741E-5</v>
      </c>
      <c r="O63" s="20">
        <f t="shared" ca="1" si="17"/>
        <v>2.2551385910677727E-3</v>
      </c>
      <c r="P63" s="20">
        <f t="shared" ca="1" si="17"/>
        <v>3.364333611443125E-4</v>
      </c>
      <c r="Q63" s="20">
        <f t="shared" ca="1" si="17"/>
        <v>2.1680325385005816E-2</v>
      </c>
      <c r="R63" s="20">
        <f t="shared" ca="1" si="17"/>
        <v>1.5671236967544468E-3</v>
      </c>
      <c r="S63" s="20">
        <f t="shared" ca="1" si="17"/>
        <v>6.4779880800081907E-3</v>
      </c>
      <c r="T63" s="20">
        <f t="shared" ca="1" si="17"/>
        <v>1.9752568292068882E-4</v>
      </c>
      <c r="U63" s="20">
        <f t="shared" ca="1" si="17"/>
        <v>2.1924314366357032E-2</v>
      </c>
      <c r="V63" s="20">
        <f t="shared" ca="1" si="17"/>
        <v>9.2892358973334001E-3</v>
      </c>
      <c r="W63" s="20">
        <f t="shared" ca="1" si="17"/>
        <v>5.3617068665703775E-4</v>
      </c>
      <c r="X63" s="20">
        <f t="shared" ca="1" si="17"/>
        <v>-1.1691400452281383E-4</v>
      </c>
      <c r="Y63" s="20">
        <f t="shared" ca="1" si="17"/>
        <v>3.2018325707435148E-4</v>
      </c>
      <c r="Z63" s="20">
        <f t="shared" ca="1" si="17"/>
        <v>1.0944476307600719E-3</v>
      </c>
      <c r="AA63" s="20">
        <f t="shared" ca="1" si="17"/>
        <v>6.9256227899710801E-3</v>
      </c>
      <c r="AB63" s="20">
        <f t="shared" ca="1" si="17"/>
        <v>2.0664370553905268E-3</v>
      </c>
      <c r="AC63" s="20">
        <f t="shared" ca="1" si="17"/>
        <v>2.3100404961868323E-4</v>
      </c>
      <c r="AD63" s="20">
        <f t="shared" ca="1" si="17"/>
        <v>3.086865375211635E-3</v>
      </c>
      <c r="AE63" s="20">
        <f t="shared" ca="1" si="17"/>
        <v>6.4737285569442483E-4</v>
      </c>
    </row>
    <row r="64" spans="2:31" x14ac:dyDescent="0.25">
      <c r="B64" s="22"/>
      <c r="C64" s="22" t="s">
        <v>792</v>
      </c>
      <c r="D64" s="72">
        <f>D20/D$44</f>
        <v>1.6876276347468279E-2</v>
      </c>
      <c r="E64" s="72">
        <f t="shared" ref="E64:AE64" si="18">E20/E$44</f>
        <v>1.3079520913343514E-2</v>
      </c>
      <c r="F64" s="72">
        <f t="shared" ca="1" si="18"/>
        <v>8.8885277043684471E-2</v>
      </c>
      <c r="G64" s="72">
        <f t="shared" ca="1" si="18"/>
        <v>1.1017825869265925</v>
      </c>
      <c r="H64" s="72">
        <f t="shared" ca="1" si="18"/>
        <v>0.18592418396012489</v>
      </c>
      <c r="I64" s="72">
        <f t="shared" ca="1" si="18"/>
        <v>2.932245199177044E-4</v>
      </c>
      <c r="J64" s="72">
        <f t="shared" ca="1" si="18"/>
        <v>1.7242059130619225</v>
      </c>
      <c r="K64" s="72">
        <f t="shared" ca="1" si="18"/>
        <v>0.5736627310198491</v>
      </c>
      <c r="L64" s="72">
        <f t="shared" ca="1" si="18"/>
        <v>0.43211653576512665</v>
      </c>
      <c r="M64" s="72">
        <f t="shared" ca="1" si="18"/>
        <v>3.0815777774616349E-2</v>
      </c>
      <c r="N64" s="72">
        <f t="shared" ca="1" si="18"/>
        <v>1.0361765259731457E-2</v>
      </c>
      <c r="O64" s="72">
        <f t="shared" ca="1" si="18"/>
        <v>1.6805081294910495E-2</v>
      </c>
      <c r="P64" s="72">
        <f t="shared" ca="1" si="18"/>
        <v>2.12070948406404E-2</v>
      </c>
      <c r="Q64" s="72">
        <f t="shared" ca="1" si="18"/>
        <v>0.11038120560608337</v>
      </c>
      <c r="R64" s="72">
        <f t="shared" ca="1" si="18"/>
        <v>0.1560127949875432</v>
      </c>
      <c r="S64" s="72">
        <f t="shared" ca="1" si="18"/>
        <v>9.9330671293852701E-2</v>
      </c>
      <c r="T64" s="72">
        <f t="shared" ca="1" si="18"/>
        <v>9.0336428838890051E-2</v>
      </c>
      <c r="U64" s="72">
        <f t="shared" ca="1" si="18"/>
        <v>0.11099815595140791</v>
      </c>
      <c r="V64" s="72">
        <f t="shared" ca="1" si="18"/>
        <v>4.0479547814813548E-3</v>
      </c>
      <c r="W64" s="72">
        <f t="shared" ca="1" si="18"/>
        <v>3.8248366801187414E-2</v>
      </c>
      <c r="X64" s="72">
        <f t="shared" ca="1" si="18"/>
        <v>-9.9690622044994581E-3</v>
      </c>
      <c r="Y64" s="72">
        <f t="shared" ca="1" si="18"/>
        <v>5.8584800215775766E-3</v>
      </c>
      <c r="Z64" s="72">
        <f t="shared" ca="1" si="18"/>
        <v>7.5225354888209334E-2</v>
      </c>
      <c r="AA64" s="72">
        <f t="shared" ca="1" si="18"/>
        <v>2.2505414668869697E-2</v>
      </c>
      <c r="AB64" s="72">
        <f t="shared" ca="1" si="18"/>
        <v>6.4714792387433911E-2</v>
      </c>
      <c r="AC64" s="72">
        <f t="shared" ca="1" si="18"/>
        <v>2.415514268069669E-3</v>
      </c>
      <c r="AD64" s="72">
        <f t="shared" ca="1" si="18"/>
        <v>1.6517163708401842E-2</v>
      </c>
      <c r="AE64" s="72">
        <f t="shared" ca="1" si="18"/>
        <v>5.258915498601216E-2</v>
      </c>
    </row>
    <row r="65" spans="2:31" x14ac:dyDescent="0.25">
      <c r="B65" s="22"/>
      <c r="C65" s="22" t="s">
        <v>793</v>
      </c>
      <c r="D65" s="20">
        <f t="shared" ref="D65:AE65" si="19">D21/D$44</f>
        <v>1.0036709463780996E-2</v>
      </c>
      <c r="E65" s="20">
        <f t="shared" si="19"/>
        <v>3.2655999898920367E-4</v>
      </c>
      <c r="F65" s="20">
        <f t="shared" ca="1" si="19"/>
        <v>7.0061209147442641E-2</v>
      </c>
      <c r="G65" s="20">
        <f t="shared" ca="1" si="19"/>
        <v>1.2985182279840055E-2</v>
      </c>
      <c r="H65" s="20">
        <f t="shared" ca="1" si="19"/>
        <v>1.4258728893101048E-3</v>
      </c>
      <c r="I65" s="20">
        <f t="shared" ca="1" si="19"/>
        <v>9.5942214323212644E-5</v>
      </c>
      <c r="J65" s="20">
        <f t="shared" ca="1" si="19"/>
        <v>1.2808732374763725E-2</v>
      </c>
      <c r="K65" s="20">
        <f t="shared" ca="1" si="19"/>
        <v>1.0672146972949523E-2</v>
      </c>
      <c r="L65" s="20">
        <f t="shared" ca="1" si="19"/>
        <v>3.8616337571001388E-3</v>
      </c>
      <c r="M65" s="20">
        <f t="shared" ca="1" si="19"/>
        <v>1.4213675060741109E-2</v>
      </c>
      <c r="N65" s="20">
        <f t="shared" ca="1" si="19"/>
        <v>2.5086625391095306E-4</v>
      </c>
      <c r="O65" s="20">
        <f t="shared" ca="1" si="19"/>
        <v>9.8813310601218608E-3</v>
      </c>
      <c r="P65" s="20">
        <f t="shared" ca="1" si="19"/>
        <v>1.8954418800752645E-2</v>
      </c>
      <c r="Q65" s="20">
        <f t="shared" ca="1" si="19"/>
        <v>6.7633508200580028E-3</v>
      </c>
      <c r="R65" s="20">
        <f t="shared" ca="1" si="19"/>
        <v>2.7384736577341444E-3</v>
      </c>
      <c r="S65" s="20">
        <f t="shared" ca="1" si="19"/>
        <v>4.6655543066030846E-3</v>
      </c>
      <c r="T65" s="20">
        <f t="shared" ca="1" si="19"/>
        <v>8.2641459551187606E-4</v>
      </c>
      <c r="U65" s="20">
        <f t="shared" ca="1" si="19"/>
        <v>4.6821909856794956E-3</v>
      </c>
      <c r="V65" s="20">
        <f t="shared" ca="1" si="19"/>
        <v>2.8676621767294687E-4</v>
      </c>
      <c r="W65" s="20">
        <f t="shared" ca="1" si="19"/>
        <v>6.4701922364043228E-3</v>
      </c>
      <c r="X65" s="20">
        <f t="shared" ca="1" si="19"/>
        <v>-2.4165865076831411E-4</v>
      </c>
      <c r="Y65" s="20">
        <f t="shared" ca="1" si="19"/>
        <v>7.5415574528006606E-3</v>
      </c>
      <c r="Z65" s="20">
        <f t="shared" ca="1" si="19"/>
        <v>4.9608041853275624E-3</v>
      </c>
      <c r="AA65" s="20">
        <f t="shared" ca="1" si="19"/>
        <v>7.6382716682814114E-3</v>
      </c>
      <c r="AB65" s="20">
        <f t="shared" ca="1" si="19"/>
        <v>1.1360909192269956E-2</v>
      </c>
      <c r="AC65" s="20">
        <f t="shared" ca="1" si="19"/>
        <v>1.3463753273179222E-3</v>
      </c>
      <c r="AD65" s="20">
        <f t="shared" ca="1" si="19"/>
        <v>6.8889231096175623E-3</v>
      </c>
      <c r="AE65" s="20">
        <f t="shared" ca="1" si="19"/>
        <v>1.1416000881829752E-3</v>
      </c>
    </row>
    <row r="66" spans="2:31" x14ac:dyDescent="0.25">
      <c r="B66" s="22"/>
      <c r="C66" s="22" t="s">
        <v>794</v>
      </c>
      <c r="D66" s="20">
        <f t="shared" ref="D66:AE66" si="20">D22/D$44</f>
        <v>4.8827454185094803E-4</v>
      </c>
      <c r="E66" s="20">
        <f t="shared" si="20"/>
        <v>2.4470869697947571E-4</v>
      </c>
      <c r="F66" s="20">
        <f t="shared" ca="1" si="20"/>
        <v>2.5879333091831961E-3</v>
      </c>
      <c r="G66" s="20">
        <f t="shared" ca="1" si="20"/>
        <v>1.8375496351498242E-2</v>
      </c>
      <c r="H66" s="20">
        <f t="shared" ca="1" si="20"/>
        <v>2.4947352905010591E-3</v>
      </c>
      <c r="I66" s="20">
        <f t="shared" ca="1" si="20"/>
        <v>1.98110392496548E-5</v>
      </c>
      <c r="J66" s="20">
        <f t="shared" ca="1" si="20"/>
        <v>6.8552532646200151E-4</v>
      </c>
      <c r="K66" s="20">
        <f t="shared" ca="1" si="20"/>
        <v>1.047734927403849E-2</v>
      </c>
      <c r="L66" s="20">
        <f t="shared" ca="1" si="20"/>
        <v>6.3072749015326774E-3</v>
      </c>
      <c r="M66" s="20">
        <f t="shared" ca="1" si="20"/>
        <v>7.0427739511688735E-4</v>
      </c>
      <c r="N66" s="20">
        <f t="shared" ca="1" si="20"/>
        <v>1.9233856885032146E-4</v>
      </c>
      <c r="O66" s="20">
        <f t="shared" ca="1" si="20"/>
        <v>4.800705394370575E-4</v>
      </c>
      <c r="P66" s="20">
        <f t="shared" ca="1" si="20"/>
        <v>6.0126187878740338E-4</v>
      </c>
      <c r="Q66" s="20">
        <f t="shared" ca="1" si="20"/>
        <v>1.2907498936856883E-3</v>
      </c>
      <c r="R66" s="20">
        <f t="shared" ca="1" si="20"/>
        <v>3.007414361705269E-3</v>
      </c>
      <c r="S66" s="20">
        <f t="shared" ca="1" si="20"/>
        <v>2.7482242069184703E-3</v>
      </c>
      <c r="T66" s="20">
        <f t="shared" ca="1" si="20"/>
        <v>1.1401692664917888E-3</v>
      </c>
      <c r="U66" s="20">
        <f t="shared" ca="1" si="20"/>
        <v>1.3574658372540631E-3</v>
      </c>
      <c r="V66" s="20">
        <f t="shared" ca="1" si="20"/>
        <v>1.3039930859628721E-4</v>
      </c>
      <c r="W66" s="20">
        <f t="shared" ca="1" si="20"/>
        <v>1.2492881633501965E-3</v>
      </c>
      <c r="X66" s="20">
        <f t="shared" ca="1" si="20"/>
        <v>-2.1241699922064844E-4</v>
      </c>
      <c r="Y66" s="20">
        <f t="shared" ca="1" si="20"/>
        <v>9.4015242710941856E-4</v>
      </c>
      <c r="Z66" s="20">
        <f t="shared" ca="1" si="20"/>
        <v>2.0632361353491542E-3</v>
      </c>
      <c r="AA66" s="20">
        <f t="shared" ca="1" si="20"/>
        <v>1.1888366915366148E-3</v>
      </c>
      <c r="AB66" s="20">
        <f t="shared" ca="1" si="20"/>
        <v>2.6159277630113881E-3</v>
      </c>
      <c r="AC66" s="20">
        <f t="shared" ca="1" si="20"/>
        <v>1.2023093045967535E-4</v>
      </c>
      <c r="AD66" s="20">
        <f t="shared" ca="1" si="20"/>
        <v>1.0458262694302634E-3</v>
      </c>
      <c r="AE66" s="20">
        <f t="shared" ca="1" si="20"/>
        <v>1.9973148770895707E-3</v>
      </c>
    </row>
    <row r="67" spans="2:31" x14ac:dyDescent="0.25">
      <c r="B67" s="22"/>
      <c r="C67" s="22" t="s">
        <v>795</v>
      </c>
      <c r="D67" s="20">
        <f t="shared" ref="D67:AE67" si="21">D23/D$44</f>
        <v>3.4251946409221833E-4</v>
      </c>
      <c r="E67" s="20">
        <f t="shared" si="21"/>
        <v>1.3918573752556479E-4</v>
      </c>
      <c r="F67" s="20">
        <f t="shared" ca="1" si="21"/>
        <v>1.5437337097505349E-3</v>
      </c>
      <c r="G67" s="20">
        <f t="shared" ca="1" si="21"/>
        <v>4.9047937675791263E-3</v>
      </c>
      <c r="H67" s="20">
        <f t="shared" ca="1" si="21"/>
        <v>6.7124014269020387E-4</v>
      </c>
      <c r="I67" s="20">
        <f t="shared" ca="1" si="21"/>
        <v>2.7598736271591254E-5</v>
      </c>
      <c r="J67" s="20">
        <f t="shared" ca="1" si="21"/>
        <v>5.4593529019382843E-3</v>
      </c>
      <c r="K67" s="20">
        <f t="shared" ca="1" si="21"/>
        <v>4.6313818577011128E-3</v>
      </c>
      <c r="L67" s="20">
        <f t="shared" ca="1" si="21"/>
        <v>1.6535825235833809E-3</v>
      </c>
      <c r="M67" s="20">
        <f t="shared" ca="1" si="21"/>
        <v>3.7055502744576496E-4</v>
      </c>
      <c r="N67" s="20">
        <f t="shared" ca="1" si="21"/>
        <v>1.2435496685765093E-4</v>
      </c>
      <c r="O67" s="20">
        <f t="shared" ca="1" si="21"/>
        <v>3.3803000263988014E-4</v>
      </c>
      <c r="P67" s="20">
        <f t="shared" ca="1" si="21"/>
        <v>3.5230448985104678E-4</v>
      </c>
      <c r="Q67" s="20">
        <f t="shared" ca="1" si="21"/>
        <v>1.6941225674519478E-3</v>
      </c>
      <c r="R67" s="20">
        <f ca="1">R23/R$44</f>
        <v>7.5520057120118146E-3</v>
      </c>
      <c r="S67" s="20">
        <f t="shared" ca="1" si="21"/>
        <v>1.5870898162598083E-3</v>
      </c>
      <c r="T67" s="20">
        <f t="shared" ca="1" si="21"/>
        <v>3.2943083310756641E-4</v>
      </c>
      <c r="U67" s="20">
        <f t="shared" ca="1" si="21"/>
        <v>1.7728321401743804E-3</v>
      </c>
      <c r="V67" s="20">
        <f t="shared" ca="1" si="21"/>
        <v>1.2059629797870119E-2</v>
      </c>
      <c r="W67" s="20">
        <f t="shared" ca="1" si="21"/>
        <v>3.0185264980619095E-3</v>
      </c>
      <c r="X67" s="20">
        <f t="shared" ca="1" si="21"/>
        <v>-1.9249174182397067E-4</v>
      </c>
      <c r="Y67" s="20">
        <f t="shared" ca="1" si="21"/>
        <v>1.6988213440245238E-4</v>
      </c>
      <c r="Z67" s="20">
        <f t="shared" ca="1" si="21"/>
        <v>1.8208018183403895E-3</v>
      </c>
      <c r="AA67" s="20">
        <f t="shared" ca="1" si="21"/>
        <v>1.2690697960312538E-3</v>
      </c>
      <c r="AB67" s="20">
        <f t="shared" ca="1" si="21"/>
        <v>3.4004670852667445E-3</v>
      </c>
      <c r="AC67" s="20">
        <f t="shared" ca="1" si="21"/>
        <v>3.9455593873927603E-4</v>
      </c>
      <c r="AD67" s="20">
        <f t="shared" ca="1" si="21"/>
        <v>3.602584947752333E-3</v>
      </c>
      <c r="AE67" s="20">
        <f t="shared" ca="1" si="21"/>
        <v>1.939251227176049E-2</v>
      </c>
    </row>
    <row r="68" spans="2:31" x14ac:dyDescent="0.25">
      <c r="B68" s="22"/>
      <c r="C68" s="22" t="s">
        <v>796</v>
      </c>
      <c r="D68" s="20">
        <f>D24/D$44</f>
        <v>2.766766194582039E-2</v>
      </c>
      <c r="E68" s="20">
        <f t="shared" ref="E68:AE68" si="22">E24/E$44</f>
        <v>0.34299624573372361</v>
      </c>
      <c r="F68" s="20">
        <f t="shared" ca="1" si="22"/>
        <v>8.1989767698813304E-2</v>
      </c>
      <c r="G68" s="20">
        <f t="shared" ca="1" si="22"/>
        <v>0.44896238014116097</v>
      </c>
      <c r="H68" s="20">
        <f t="shared" ca="1" si="22"/>
        <v>7.2756227280868363E-2</v>
      </c>
      <c r="I68" s="20">
        <f t="shared" ca="1" si="22"/>
        <v>0.75796061435363304</v>
      </c>
      <c r="J68" s="20">
        <f t="shared" ca="1" si="22"/>
        <v>0.64798065293578644</v>
      </c>
      <c r="K68" s="20">
        <f t="shared" ca="1" si="22"/>
        <v>0.2611517432869721</v>
      </c>
      <c r="L68" s="20">
        <f t="shared" ca="1" si="22"/>
        <v>0.17228927875088407</v>
      </c>
      <c r="M68" s="20">
        <f t="shared" ca="1" si="22"/>
        <v>3.735956226886035E-2</v>
      </c>
      <c r="N68" s="20">
        <f t="shared" ca="1" si="22"/>
        <v>0.55814597084781059</v>
      </c>
      <c r="O68" s="20">
        <f t="shared" ca="1" si="22"/>
        <v>2.5749265631731966E-2</v>
      </c>
      <c r="P68" s="20">
        <f t="shared" ca="1" si="22"/>
        <v>2.2272461646363401E-2</v>
      </c>
      <c r="Q68" s="20">
        <f t="shared" ca="1" si="22"/>
        <v>7.3203835615953686E-2</v>
      </c>
      <c r="R68" s="20">
        <f ca="1">R24/R$44</f>
        <v>0.15882429714177465</v>
      </c>
      <c r="S68" s="20">
        <f t="shared" ca="1" si="22"/>
        <v>0.17813385663192358</v>
      </c>
      <c r="T68" s="20">
        <f t="shared" ca="1" si="22"/>
        <v>3.7141290114024041E-2</v>
      </c>
      <c r="U68" s="20">
        <f t="shared" ca="1" si="22"/>
        <v>7.0188476692180868E-2</v>
      </c>
      <c r="V68" s="20">
        <f t="shared" ca="1" si="22"/>
        <v>9.0698189196695422E-2</v>
      </c>
      <c r="W68" s="20">
        <f t="shared" ca="1" si="22"/>
        <v>5.2987548151465301E-2</v>
      </c>
      <c r="X68" s="20">
        <f t="shared" ca="1" si="22"/>
        <v>-6.5210762717773495E-3</v>
      </c>
      <c r="Y68" s="20">
        <f t="shared" ca="1" si="22"/>
        <v>1.0265876310445281E-2</v>
      </c>
      <c r="Z68" s="20">
        <f t="shared" ca="1" si="22"/>
        <v>0.10009991664824612</v>
      </c>
      <c r="AA68" s="20">
        <f t="shared" ca="1" si="22"/>
        <v>6.2792305241769639E-2</v>
      </c>
      <c r="AB68" s="20">
        <f t="shared" ca="1" si="22"/>
        <v>0.25711084554289659</v>
      </c>
      <c r="AC68" s="20">
        <f t="shared" ca="1" si="22"/>
        <v>0.64191913882792073</v>
      </c>
      <c r="AD68" s="20">
        <f t="shared" ca="1" si="22"/>
        <v>6.3952015731104317E-2</v>
      </c>
      <c r="AE68" s="20">
        <f t="shared" ca="1" si="22"/>
        <v>0.41691807941985221</v>
      </c>
    </row>
    <row r="69" spans="2:31" x14ac:dyDescent="0.25">
      <c r="B69" s="22"/>
      <c r="C69" s="22" t="s">
        <v>797</v>
      </c>
      <c r="D69" s="20">
        <f>D25/D$44</f>
        <v>2.2517202747328766E-4</v>
      </c>
      <c r="E69" s="20">
        <f t="shared" ref="E69:AE69" si="23">E25/E$44</f>
        <v>1.6329141720090351E-3</v>
      </c>
      <c r="F69" s="20">
        <f t="shared" ca="1" si="23"/>
        <v>1.1597812633103316E-3</v>
      </c>
      <c r="G69" s="20">
        <f t="shared" ca="1" si="23"/>
        <v>5.9275360080184277E-3</v>
      </c>
      <c r="H69" s="20">
        <f t="shared" ca="1" si="23"/>
        <v>8.1925867918467769E-4</v>
      </c>
      <c r="I69" s="20">
        <f t="shared" ca="1" si="23"/>
        <v>1.8054595762393507E-5</v>
      </c>
      <c r="J69" s="20">
        <f t="shared" ca="1" si="23"/>
        <v>7.4441164439396825E-3</v>
      </c>
      <c r="K69" s="20">
        <f t="shared" ca="1" si="23"/>
        <v>4.6294886612694812E-3</v>
      </c>
      <c r="L69" s="20">
        <f t="shared" ca="1" si="23"/>
        <v>2.1877947063440586E-3</v>
      </c>
      <c r="M69" s="20">
        <f t="shared" ca="1" si="23"/>
        <v>3.683336146083689E-4</v>
      </c>
      <c r="N69" s="20">
        <f t="shared" ca="1" si="23"/>
        <v>7.3277313557706719E-4</v>
      </c>
      <c r="O69" s="20">
        <f t="shared" ca="1" si="23"/>
        <v>2.2137870834847156E-4</v>
      </c>
      <c r="P69" s="20">
        <f t="shared" ca="1" si="23"/>
        <v>2.6966100774227658E-4</v>
      </c>
      <c r="Q69" s="20">
        <f t="shared" ca="1" si="23"/>
        <v>2.1196944582898055E-3</v>
      </c>
      <c r="R69" s="20">
        <f t="shared" ca="1" si="23"/>
        <v>1.454572253332062E-3</v>
      </c>
      <c r="S69" s="20">
        <f t="shared" ca="1" si="23"/>
        <v>1.3537430404437962E-3</v>
      </c>
      <c r="T69" s="20">
        <f t="shared" ca="1" si="23"/>
        <v>3.7184890898430821E-4</v>
      </c>
      <c r="U69" s="20">
        <f t="shared" ca="1" si="23"/>
        <v>2.1826684296717752E-3</v>
      </c>
      <c r="V69" s="20">
        <f t="shared" ca="1" si="23"/>
        <v>1.0587709390397622E-4</v>
      </c>
      <c r="W69" s="20">
        <f t="shared" ca="1" si="23"/>
        <v>2.8635021327564898E-3</v>
      </c>
      <c r="X69" s="20">
        <f t="shared" ca="1" si="23"/>
        <v>-8.5859049550626371E-5</v>
      </c>
      <c r="Y69" s="20">
        <f t="shared" ca="1" si="23"/>
        <v>8.9298922934383457E-5</v>
      </c>
      <c r="Z69" s="20">
        <f t="shared" ca="1" si="23"/>
        <v>9.4619942791768794E-4</v>
      </c>
      <c r="AA69" s="20">
        <f t="shared" ca="1" si="23"/>
        <v>5.5671218044139599E-4</v>
      </c>
      <c r="AB69" s="20">
        <f t="shared" ca="1" si="23"/>
        <v>1.273906846667462E-3</v>
      </c>
      <c r="AC69" s="20">
        <f t="shared" ca="1" si="23"/>
        <v>1.0553503120718268E-3</v>
      </c>
      <c r="AD69" s="20">
        <f t="shared" ca="1" si="23"/>
        <v>4.5447672041843361E-4</v>
      </c>
      <c r="AE69" s="20">
        <f t="shared" ca="1" si="23"/>
        <v>7.4754875461083194E-4</v>
      </c>
    </row>
    <row r="70" spans="2:31" x14ac:dyDescent="0.25">
      <c r="B70" s="22" t="str">
        <f t="shared" ref="B70:B76" si="24">C47</f>
        <v>Accommodation-waste treatment</v>
      </c>
      <c r="C70" s="22" t="s">
        <v>798</v>
      </c>
      <c r="D70" s="20">
        <f>(D28+D33)/D$44</f>
        <v>3.2920665888096926E-3</v>
      </c>
      <c r="E70" s="20">
        <f t="shared" ref="E70:AE73" si="25">(E28+E33)/E$44</f>
        <v>5.2851582600871442E-5</v>
      </c>
      <c r="F70" s="20">
        <f t="shared" ca="1" si="25"/>
        <v>1.9074492430563542E-3</v>
      </c>
      <c r="G70" s="20">
        <f t="shared" ca="1" si="25"/>
        <v>1.1296749741026742E-3</v>
      </c>
      <c r="H70" s="20">
        <f t="shared" ca="1" si="25"/>
        <v>1.5794444625084371E-4</v>
      </c>
      <c r="I70" s="20">
        <f t="shared" ca="1" si="25"/>
        <v>6.1549604347754118E-6</v>
      </c>
      <c r="J70" s="20">
        <f t="shared" ca="1" si="25"/>
        <v>7.1600341096547313E-4</v>
      </c>
      <c r="K70" s="20">
        <f t="shared" ca="1" si="25"/>
        <v>9.8131057712705035E-4</v>
      </c>
      <c r="L70" s="20">
        <f t="shared" ca="1" si="25"/>
        <v>4.000289003693189E-4</v>
      </c>
      <c r="M70" s="20">
        <f t="shared" ca="1" si="25"/>
        <v>3.979350323088595E-4</v>
      </c>
      <c r="N70" s="20">
        <f t="shared" ca="1" si="25"/>
        <v>8.2426197260887177E-5</v>
      </c>
      <c r="O70" s="20">
        <f t="shared" ca="1" si="25"/>
        <v>2.818923238834716E-3</v>
      </c>
      <c r="P70" s="20">
        <f t="shared" ca="1" si="25"/>
        <v>4.2054170143039057E-4</v>
      </c>
      <c r="Q70" s="20">
        <f t="shared" ca="1" si="25"/>
        <v>2.7100406731257264E-2</v>
      </c>
      <c r="R70" s="20">
        <f t="shared" ca="1" si="25"/>
        <v>1.9589046209430583E-3</v>
      </c>
      <c r="S70" s="20">
        <f t="shared" ca="1" si="25"/>
        <v>8.097485100010236E-3</v>
      </c>
      <c r="T70" s="20">
        <f t="shared" ca="1" si="25"/>
        <v>2.4690710365086099E-4</v>
      </c>
      <c r="U70" s="20">
        <f t="shared" ca="1" si="25"/>
        <v>2.7405392957946278E-2</v>
      </c>
      <c r="V70" s="20">
        <f t="shared" ca="1" si="25"/>
        <v>1.1611544871666749E-2</v>
      </c>
      <c r="W70" s="20">
        <f t="shared" ca="1" si="25"/>
        <v>6.7021335832129691E-4</v>
      </c>
      <c r="X70" s="20">
        <f t="shared" ca="1" si="25"/>
        <v>-1.4614250565351725E-4</v>
      </c>
      <c r="Y70" s="20">
        <f t="shared" ca="1" si="25"/>
        <v>4.0022907134293925E-4</v>
      </c>
      <c r="Z70" s="20">
        <f t="shared" ca="1" si="25"/>
        <v>1.3680595384500897E-3</v>
      </c>
      <c r="AA70" s="20">
        <f t="shared" ca="1" si="25"/>
        <v>8.6570284874638494E-3</v>
      </c>
      <c r="AB70" s="20">
        <f t="shared" ca="1" si="25"/>
        <v>2.5830463192381583E-3</v>
      </c>
      <c r="AC70" s="20">
        <f t="shared" ca="1" si="25"/>
        <v>2.8875506202335392E-4</v>
      </c>
      <c r="AD70" s="20">
        <f t="shared" ca="1" si="25"/>
        <v>3.858581719014543E-3</v>
      </c>
      <c r="AE70" s="20">
        <f t="shared" ca="1" si="25"/>
        <v>8.0921606961803093E-4</v>
      </c>
    </row>
    <row r="71" spans="2:31" x14ac:dyDescent="0.25">
      <c r="B71" s="22" t="str">
        <f t="shared" si="24"/>
        <v>Accommodation-electricity use</v>
      </c>
      <c r="C71" s="22" t="s">
        <v>799</v>
      </c>
      <c r="D71" s="72">
        <f>(D29+D34)/D$44</f>
        <v>3.732939844560372E-2</v>
      </c>
      <c r="E71" s="72">
        <f t="shared" ref="D71:S73" si="26">(E29+E34)/E$44</f>
        <v>9.9874733479441823E-3</v>
      </c>
      <c r="F71" s="72">
        <f t="shared" ca="1" si="26"/>
        <v>0.18044354973032442</v>
      </c>
      <c r="G71" s="72">
        <f t="shared" ca="1" si="26"/>
        <v>2.2667524976148039E-2</v>
      </c>
      <c r="H71" s="72">
        <f t="shared" ca="1" si="26"/>
        <v>0.4855385638369808</v>
      </c>
      <c r="I71" s="72">
        <f t="shared" ca="1" si="26"/>
        <v>7.8014361177453588E-5</v>
      </c>
      <c r="J71" s="72">
        <f t="shared" ca="1" si="26"/>
        <v>0.43037083586897135</v>
      </c>
      <c r="K71" s="72">
        <f t="shared" ca="1" si="26"/>
        <v>0.10187786897996662</v>
      </c>
      <c r="L71" s="72">
        <f t="shared" ca="1" si="26"/>
        <v>0.32184965398165954</v>
      </c>
      <c r="M71" s="72">
        <f t="shared" ca="1" si="26"/>
        <v>6.1182858828893058E-2</v>
      </c>
      <c r="N71" s="72">
        <f t="shared" ca="1" si="26"/>
        <v>7.16850073898701E-3</v>
      </c>
      <c r="O71" s="72">
        <f t="shared" ca="1" si="26"/>
        <v>3.7162956075611438E-2</v>
      </c>
      <c r="P71" s="72">
        <f t="shared" ca="1" si="26"/>
        <v>4.2340922213578776E-2</v>
      </c>
      <c r="Q71" s="72">
        <f t="shared" ca="1" si="26"/>
        <v>0.19357490810224834</v>
      </c>
      <c r="R71" s="72">
        <f t="shared" ca="1" si="26"/>
        <v>0.2312889732515204</v>
      </c>
      <c r="S71" s="72">
        <f t="shared" ca="1" si="26"/>
        <v>0.15445246259306017</v>
      </c>
      <c r="T71" s="72">
        <f t="shared" ca="1" si="25"/>
        <v>0.22360128091454673</v>
      </c>
      <c r="U71" s="72">
        <f t="shared" ca="1" si="25"/>
        <v>0.19300399698695572</v>
      </c>
      <c r="V71" s="72">
        <f t="shared" ca="1" si="25"/>
        <v>6.7869039298633013E-3</v>
      </c>
      <c r="W71" s="72">
        <f t="shared" ca="1" si="25"/>
        <v>6.9590921985775794E-2</v>
      </c>
      <c r="X71" s="72">
        <f t="shared" ca="1" si="25"/>
        <v>-7.919986221463865E-3</v>
      </c>
      <c r="Y71" s="72">
        <f t="shared" ca="1" si="25"/>
        <v>9.985156985311789E-3</v>
      </c>
      <c r="Z71" s="72">
        <f t="shared" ca="1" si="25"/>
        <v>0.1121051421661531</v>
      </c>
      <c r="AA71" s="72">
        <f t="shared" ca="1" si="25"/>
        <v>4.7739298622394365E-2</v>
      </c>
      <c r="AB71" s="72">
        <f t="shared" ca="1" si="25"/>
        <v>0.15630928249593742</v>
      </c>
      <c r="AC71" s="72">
        <f t="shared" ca="1" si="25"/>
        <v>4.3765594316589563E-3</v>
      </c>
      <c r="AD71" s="72">
        <f t="shared" ca="1" si="25"/>
        <v>3.4451539108884613E-2</v>
      </c>
      <c r="AE71" s="72">
        <f t="shared" ca="1" si="25"/>
        <v>4.0946254828041616E-2</v>
      </c>
    </row>
    <row r="72" spans="2:31" x14ac:dyDescent="0.25">
      <c r="B72" s="22" t="str">
        <f t="shared" si="24"/>
        <v>Accommodation-thermal energy use</v>
      </c>
      <c r="C72" s="22" t="s">
        <v>800</v>
      </c>
      <c r="D72" s="20">
        <f t="shared" si="26"/>
        <v>6.093589981878359E-3</v>
      </c>
      <c r="E72" s="20">
        <f t="shared" si="25"/>
        <v>1.982644556469189E-4</v>
      </c>
      <c r="F72" s="20">
        <f t="shared" ca="1" si="25"/>
        <v>4.2536279815587226E-2</v>
      </c>
      <c r="G72" s="20">
        <f t="shared" ca="1" si="25"/>
        <v>7.8836970362485236E-3</v>
      </c>
      <c r="H72" s="20">
        <f t="shared" ca="1" si="25"/>
        <v>8.6569057170444725E-4</v>
      </c>
      <c r="I72" s="20">
        <f t="shared" ca="1" si="25"/>
        <v>5.8249421102492914E-5</v>
      </c>
      <c r="J72" s="20">
        <f t="shared" ca="1" si="25"/>
        <v>7.7765689602833305E-3</v>
      </c>
      <c r="K72" s="20">
        <f t="shared" ca="1" si="25"/>
        <v>6.4793833192218521E-3</v>
      </c>
      <c r="L72" s="20">
        <f t="shared" ca="1" si="25"/>
        <v>2.3445146898856328E-3</v>
      </c>
      <c r="M72" s="20">
        <f t="shared" ca="1" si="25"/>
        <v>8.6295521722891434E-3</v>
      </c>
      <c r="N72" s="20">
        <f t="shared" ca="1" si="25"/>
        <v>1.5230849285212433E-4</v>
      </c>
      <c r="O72" s="20">
        <f t="shared" ca="1" si="25"/>
        <v>5.9992550519539379E-3</v>
      </c>
      <c r="P72" s="20">
        <f t="shared" ca="1" si="25"/>
        <v>1.1507801130778393E-2</v>
      </c>
      <c r="Q72" s="20">
        <f t="shared" ca="1" si="25"/>
        <v>4.1062349119258624E-3</v>
      </c>
      <c r="R72" s="20">
        <f t="shared" ca="1" si="25"/>
        <v>1.6626102117058038E-3</v>
      </c>
      <c r="S72" s="20">
        <f t="shared" ca="1" si="25"/>
        <v>2.8325991785674285E-3</v>
      </c>
      <c r="T72" s="20">
        <f t="shared" ca="1" si="25"/>
        <v>5.0174130458411638E-4</v>
      </c>
      <c r="U72" s="20">
        <f t="shared" ca="1" si="25"/>
        <v>2.8426998097870111E-3</v>
      </c>
      <c r="V72" s="20">
        <f t="shared" ca="1" si="25"/>
        <v>1.7410444702608036E-4</v>
      </c>
      <c r="W72" s="20">
        <f t="shared" ca="1" si="25"/>
        <v>3.9282494661081694E-3</v>
      </c>
      <c r="X72" s="20">
        <f t="shared" ca="1" si="25"/>
        <v>-1.4671827840289986E-4</v>
      </c>
      <c r="Y72" s="20">
        <f t="shared" ca="1" si="25"/>
        <v>4.5787077037531491E-3</v>
      </c>
      <c r="Z72" s="20">
        <f t="shared" ca="1" si="25"/>
        <v>3.0118543128959375E-3</v>
      </c>
      <c r="AA72" s="20">
        <f t="shared" ca="1" si="25"/>
        <v>4.6374258301157224E-3</v>
      </c>
      <c r="AB72" s="20">
        <f t="shared" ca="1" si="25"/>
        <v>6.8975517014683366E-3</v>
      </c>
      <c r="AC72" s="20">
        <f t="shared" ca="1" si="25"/>
        <v>8.1742519657453615E-4</v>
      </c>
      <c r="AD72" s="20">
        <f t="shared" ca="1" si="25"/>
        <v>4.1824736481793088E-3</v>
      </c>
      <c r="AE72" s="20">
        <f t="shared" ca="1" si="25"/>
        <v>6.9309995330308391E-4</v>
      </c>
    </row>
    <row r="73" spans="2:31" x14ac:dyDescent="0.25">
      <c r="B73" s="22" t="str">
        <f t="shared" si="24"/>
        <v>Accommodation-water use</v>
      </c>
      <c r="C73" s="22" t="s">
        <v>801</v>
      </c>
      <c r="D73" s="20">
        <f t="shared" si="26"/>
        <v>8.0087185383665317E-4</v>
      </c>
      <c r="E73" s="20">
        <f t="shared" si="25"/>
        <v>4.0137318455511458E-4</v>
      </c>
      <c r="F73" s="20">
        <f t="shared" ca="1" si="25"/>
        <v>4.2447491509067029E-3</v>
      </c>
      <c r="G73" s="20">
        <f t="shared" ca="1" si="25"/>
        <v>3.0139637779201336E-2</v>
      </c>
      <c r="H73" s="20">
        <f t="shared" ca="1" si="25"/>
        <v>4.0918850066633391E-3</v>
      </c>
      <c r="I73" s="20">
        <f t="shared" ca="1" si="25"/>
        <v>3.2494226854745727E-5</v>
      </c>
      <c r="J73" s="20">
        <f t="shared" ca="1" si="25"/>
        <v>1.1244041865758278E-3</v>
      </c>
      <c r="K73" s="20">
        <f t="shared" ca="1" si="25"/>
        <v>1.7185033044288398E-2</v>
      </c>
      <c r="L73" s="20">
        <f t="shared" ca="1" si="25"/>
        <v>1.0345243321307235E-2</v>
      </c>
      <c r="M73" s="20">
        <f t="shared" ca="1" si="25"/>
        <v>1.1551614812936322E-3</v>
      </c>
      <c r="N73" s="20">
        <f t="shared" ca="1" si="25"/>
        <v>3.1547527670707014E-4</v>
      </c>
      <c r="O73" s="20">
        <f t="shared" ca="1" si="25"/>
        <v>7.8741558270446191E-4</v>
      </c>
      <c r="P73" s="20">
        <f t="shared" ca="1" si="25"/>
        <v>9.8619459798248354E-4</v>
      </c>
      <c r="Q73" s="20">
        <f t="shared" ca="1" si="25"/>
        <v>2.1170984181908834E-3</v>
      </c>
      <c r="R73" s="20">
        <f t="shared" ca="1" si="25"/>
        <v>4.9327853669854363E-3</v>
      </c>
      <c r="S73" s="20">
        <f t="shared" ca="1" si="25"/>
        <v>4.5076595781752575E-3</v>
      </c>
      <c r="T73" s="20">
        <f t="shared" ca="1" si="25"/>
        <v>1.8701148552233966E-3</v>
      </c>
      <c r="U73" s="20">
        <f t="shared" ca="1" si="25"/>
        <v>2.2265264485844408E-3</v>
      </c>
      <c r="V73" s="20">
        <f t="shared" ca="1" si="25"/>
        <v>2.1388200093054599E-4</v>
      </c>
      <c r="W73" s="20">
        <f t="shared" ca="1" si="25"/>
        <v>2.049092552656331E-3</v>
      </c>
      <c r="X73" s="20">
        <f t="shared" ca="1" si="25"/>
        <v>-3.4840808064121959E-4</v>
      </c>
      <c r="Y73" s="20">
        <f t="shared" ca="1" si="25"/>
        <v>1.5420456170700666E-3</v>
      </c>
      <c r="Z73" s="20">
        <f t="shared" ca="1" si="25"/>
        <v>3.3841366014209719E-3</v>
      </c>
      <c r="AA73" s="20">
        <f t="shared" ca="1" si="25"/>
        <v>1.9499395595165079E-3</v>
      </c>
      <c r="AB73" s="20">
        <f t="shared" ca="1" si="25"/>
        <v>4.2906658805595323E-3</v>
      </c>
      <c r="AC73" s="20">
        <f t="shared" ca="1" si="25"/>
        <v>1.9720374484553721E-4</v>
      </c>
      <c r="AD73" s="20">
        <f t="shared" ca="1" si="25"/>
        <v>1.7153727081789284E-3</v>
      </c>
      <c r="AE73" s="20">
        <f t="shared" ca="1" si="25"/>
        <v>3.2760120203001453E-3</v>
      </c>
    </row>
    <row r="74" spans="2:31" x14ac:dyDescent="0.25">
      <c r="B74" s="22" t="str">
        <f t="shared" si="24"/>
        <v>Accommodation-wastewater treatment</v>
      </c>
      <c r="C74" s="22" t="s">
        <v>802</v>
      </c>
      <c r="D74" s="20">
        <f>(D32+D37)/D$44</f>
        <v>5.6180319609292644E-4</v>
      </c>
      <c r="E74" s="20">
        <f t="shared" ref="E74:AE74" si="27">(E32+E37)/E$44</f>
        <v>2.2829357274528668E-4</v>
      </c>
      <c r="F74" s="20">
        <f t="shared" ca="1" si="27"/>
        <v>2.5320445200181074E-3</v>
      </c>
      <c r="G74" s="20">
        <f t="shared" ca="1" si="27"/>
        <v>8.0448824188885607E-3</v>
      </c>
      <c r="H74" s="20">
        <f t="shared" ca="1" si="27"/>
        <v>1.1009735125817508E-3</v>
      </c>
      <c r="I74" s="20">
        <f t="shared" ca="1" si="27"/>
        <v>4.5267670515014096E-5</v>
      </c>
      <c r="J74" s="20">
        <f t="shared" ca="1" si="27"/>
        <v>8.9544747976201249E-3</v>
      </c>
      <c r="K74" s="20">
        <f t="shared" ca="1" si="27"/>
        <v>7.5964299923193552E-3</v>
      </c>
      <c r="L74" s="20">
        <f t="shared" ca="1" si="27"/>
        <v>2.7122194331777707E-3</v>
      </c>
      <c r="M74" s="20">
        <f t="shared" ca="1" si="27"/>
        <v>6.0778735392183047E-4</v>
      </c>
      <c r="N74" s="20">
        <f t="shared" ca="1" si="27"/>
        <v>2.0396802271023241E-4</v>
      </c>
      <c r="O74" s="20">
        <f t="shared" ca="1" si="27"/>
        <v>5.544395450976634E-4</v>
      </c>
      <c r="P74" s="20">
        <f t="shared" ca="1" si="27"/>
        <v>5.7785267450645493E-4</v>
      </c>
      <c r="Q74" s="20">
        <f t="shared" ca="1" si="27"/>
        <v>2.7787135411125427E-3</v>
      </c>
      <c r="R74" s="20">
        <f t="shared" ca="1" si="27"/>
        <v>1.2386860866914056E-2</v>
      </c>
      <c r="S74" s="20">
        <f t="shared" ca="1" si="27"/>
        <v>2.6031575566789885E-3</v>
      </c>
      <c r="T74" s="20">
        <f t="shared" ca="1" si="27"/>
        <v>5.4033511766080956E-4</v>
      </c>
      <c r="U74" s="20">
        <f t="shared" ca="1" si="27"/>
        <v>2.907813619076772E-3</v>
      </c>
      <c r="V74" s="20">
        <f t="shared" ca="1" si="27"/>
        <v>1.9780302360618018E-2</v>
      </c>
      <c r="W74" s="20">
        <f t="shared" ca="1" si="27"/>
        <v>4.9510115829382324E-3</v>
      </c>
      <c r="X74" s="20">
        <f t="shared" ca="1" si="27"/>
        <v>-3.1572651225766658E-4</v>
      </c>
      <c r="Y74" s="20">
        <f t="shared" ca="1" si="27"/>
        <v>2.7864205124614443E-4</v>
      </c>
      <c r="Z74" s="20">
        <f t="shared" ca="1" si="27"/>
        <v>2.9864938732942579E-3</v>
      </c>
      <c r="AA74" s="20">
        <f t="shared" ca="1" si="27"/>
        <v>2.0815385466193548E-3</v>
      </c>
      <c r="AB74" s="20">
        <f t="shared" ca="1" si="27"/>
        <v>5.5774736240896067E-3</v>
      </c>
      <c r="AC74" s="20">
        <f t="shared" ca="1" si="27"/>
        <v>6.4715384280027556E-4</v>
      </c>
      <c r="AD74" s="20">
        <f t="shared" ca="1" si="27"/>
        <v>5.9089889773347639E-3</v>
      </c>
      <c r="AE74" s="20">
        <f t="shared" ca="1" si="27"/>
        <v>3.1807755519590204E-2</v>
      </c>
    </row>
    <row r="75" spans="2:31" x14ac:dyDescent="0.25">
      <c r="B75" s="22" t="str">
        <f t="shared" si="24"/>
        <v>Food</v>
      </c>
      <c r="C75" s="22" t="s">
        <v>803</v>
      </c>
      <c r="D75" s="20">
        <f t="shared" ref="D75:AE75" si="28">D38/D$44</f>
        <v>3.7260550528621268E-2</v>
      </c>
      <c r="E75" s="20">
        <f t="shared" si="28"/>
        <v>0.44265680153134357</v>
      </c>
      <c r="F75" s="20">
        <f t="shared" ca="1" si="28"/>
        <v>0.10903776845298493</v>
      </c>
      <c r="G75" s="20">
        <f t="shared" ca="1" si="28"/>
        <v>0.11117896954639386</v>
      </c>
      <c r="H75" s="20">
        <f t="shared" ca="1" si="28"/>
        <v>0.12820814810709824</v>
      </c>
      <c r="I75" s="20">
        <f t="shared" ca="1" si="28"/>
        <v>0.99642572092671911</v>
      </c>
      <c r="J75" s="20">
        <f t="shared" ca="1" si="28"/>
        <v>0.19618636768136935</v>
      </c>
      <c r="K75" s="20">
        <f t="shared" ca="1" si="28"/>
        <v>0.11427970451094238</v>
      </c>
      <c r="L75" s="20">
        <f t="shared" ca="1" si="28"/>
        <v>0.11233628436611499</v>
      </c>
      <c r="M75" s="20">
        <f t="shared" ca="1" si="28"/>
        <v>4.9319350926395271E-2</v>
      </c>
      <c r="N75" s="20">
        <f t="shared" ca="1" si="28"/>
        <v>0.73330940475019823</v>
      </c>
      <c r="O75" s="20">
        <f t="shared" ca="1" si="28"/>
        <v>3.478484643278857E-2</v>
      </c>
      <c r="P75" s="20">
        <f t="shared" ca="1" si="28"/>
        <v>2.938548291116147E-2</v>
      </c>
      <c r="Q75" s="20">
        <f t="shared" ca="1" si="28"/>
        <v>9.2255054729380934E-2</v>
      </c>
      <c r="R75" s="20">
        <f t="shared" ca="1" si="28"/>
        <v>0.19353521331010848</v>
      </c>
      <c r="S75" s="20">
        <f t="shared" ca="1" si="28"/>
        <v>0.22849215690176214</v>
      </c>
      <c r="T75" s="20">
        <f t="shared" ca="1" si="28"/>
        <v>6.1684409847559643E-2</v>
      </c>
      <c r="U75" s="20">
        <f t="shared" ca="1" si="28"/>
        <v>8.7860072700614231E-2</v>
      </c>
      <c r="V75" s="20">
        <f t="shared" ca="1" si="28"/>
        <v>0.1181966884289882</v>
      </c>
      <c r="W75" s="20">
        <f t="shared" ca="1" si="28"/>
        <v>6.8062705456505626E-2</v>
      </c>
      <c r="X75" s="20">
        <f t="shared" ca="1" si="28"/>
        <v>-5.9157411945750145E-3</v>
      </c>
      <c r="Y75" s="20">
        <f t="shared" ca="1" si="28"/>
        <v>1.2990058817329923E-2</v>
      </c>
      <c r="Z75" s="20">
        <f t="shared" ca="1" si="28"/>
        <v>0.12311668637430591</v>
      </c>
      <c r="AA75" s="20">
        <f t="shared" ca="1" si="28"/>
        <v>8.1912945988401334E-2</v>
      </c>
      <c r="AB75" s="20">
        <f t="shared" ca="1" si="28"/>
        <v>0.34104461757263621</v>
      </c>
      <c r="AC75" s="20">
        <f t="shared" ca="1" si="28"/>
        <v>0.81527237364026328</v>
      </c>
      <c r="AD75" s="20">
        <f t="shared" ca="1" si="28"/>
        <v>8.281251421488274E-2</v>
      </c>
      <c r="AE75" s="20">
        <f t="shared" ca="1" si="28"/>
        <v>0.50513293464657272</v>
      </c>
    </row>
    <row r="76" spans="2:31" x14ac:dyDescent="0.25">
      <c r="B76" s="22" t="str">
        <f t="shared" si="24"/>
        <v>Preparation</v>
      </c>
      <c r="C76" s="22" t="s">
        <v>804</v>
      </c>
      <c r="D76" s="20">
        <f>D39/D$44</f>
        <v>2.1517702937940902E-2</v>
      </c>
      <c r="E76" s="20">
        <f t="shared" ref="E76:AE76" si="29">E39/E$44</f>
        <v>0.52162375926361171</v>
      </c>
      <c r="F76" s="20">
        <f t="shared" ca="1" si="29"/>
        <v>0.12106660844230889</v>
      </c>
      <c r="G76" s="20">
        <f t="shared" ca="1" si="29"/>
        <v>0.47352167748758334</v>
      </c>
      <c r="H76" s="20">
        <f t="shared" ca="1" si="29"/>
        <v>4.7777439450866717E-2</v>
      </c>
      <c r="I76" s="20">
        <f t="shared" ca="1" si="29"/>
        <v>2.2024635567695783E-3</v>
      </c>
      <c r="J76" s="20">
        <f t="shared" ca="1" si="29"/>
        <v>5.6373158107622098E-2</v>
      </c>
      <c r="K76" s="20">
        <f t="shared" ca="1" si="29"/>
        <v>0.3536375129979426</v>
      </c>
      <c r="L76" s="20">
        <f t="shared" ca="1" si="29"/>
        <v>0.13350481310447049</v>
      </c>
      <c r="M76" s="20">
        <f t="shared" ca="1" si="29"/>
        <v>5.1383308982448944E-2</v>
      </c>
      <c r="N76" s="20">
        <f t="shared" ca="1" si="29"/>
        <v>0.21817752850057262</v>
      </c>
      <c r="O76" s="20">
        <f t="shared" ca="1" si="29"/>
        <v>2.1192562094121063E-2</v>
      </c>
      <c r="P76" s="20">
        <f t="shared" ca="1" si="29"/>
        <v>2.8333019829464345E-2</v>
      </c>
      <c r="Q76" s="20">
        <f t="shared" ca="1" si="29"/>
        <v>4.7936376850095767E-2</v>
      </c>
      <c r="R76" s="20">
        <f t="shared" ca="1" si="29"/>
        <v>0.10913054983075701</v>
      </c>
      <c r="S76" s="20">
        <f t="shared" ca="1" si="29"/>
        <v>8.2294994921720849E-2</v>
      </c>
      <c r="T76" s="20">
        <f t="shared" ca="1" si="29"/>
        <v>2.3750035519780797E-2</v>
      </c>
      <c r="U76" s="20">
        <f t="shared" ca="1" si="29"/>
        <v>4.9056049082330577E-2</v>
      </c>
      <c r="V76" s="20">
        <f t="shared" ca="1" si="29"/>
        <v>8.2275273541131642E-3</v>
      </c>
      <c r="W76" s="20">
        <f t="shared" ca="1" si="29"/>
        <v>4.0534062282641517E-2</v>
      </c>
      <c r="X76" s="20">
        <f t="shared" ca="1" si="29"/>
        <v>-7.1851550052892538E-3</v>
      </c>
      <c r="Y76" s="20">
        <f t="shared" ca="1" si="29"/>
        <v>1.0152834255651421E-2</v>
      </c>
      <c r="Z76" s="20">
        <f t="shared" ca="1" si="29"/>
        <v>0.10004501116370387</v>
      </c>
      <c r="AA76" s="20">
        <f t="shared" ca="1" si="29"/>
        <v>6.1599449290067644E-2</v>
      </c>
      <c r="AB76" s="20">
        <f t="shared" ca="1" si="29"/>
        <v>0.12933181154855053</v>
      </c>
      <c r="AC76" s="20">
        <f t="shared" ca="1" si="29"/>
        <v>0.11535097548634647</v>
      </c>
      <c r="AD76" s="20">
        <f t="shared" ca="1" si="29"/>
        <v>7.3361707421494768E-2</v>
      </c>
      <c r="AE76" s="20">
        <f t="shared" ca="1" si="29"/>
        <v>0.11691425657850195</v>
      </c>
    </row>
    <row r="77" spans="2:31" x14ac:dyDescent="0.25">
      <c r="B77" s="22" t="str">
        <f>C77</f>
        <v>Execution</v>
      </c>
      <c r="C77" s="22" t="str">
        <f>C40</f>
        <v>Execution</v>
      </c>
      <c r="D77" s="20">
        <f t="shared" ref="D77:AE77" si="30">D40/D$44</f>
        <v>2.1495061423717515E-2</v>
      </c>
      <c r="E77" s="20">
        <f t="shared" si="30"/>
        <v>5.6403490911124572E-3</v>
      </c>
      <c r="F77" s="20">
        <f t="shared" ca="1" si="30"/>
        <v>0.10159582202162606</v>
      </c>
      <c r="G77" s="20">
        <f t="shared" ca="1" si="30"/>
        <v>1.669730710694866E-2</v>
      </c>
      <c r="H77" s="20">
        <f t="shared" ca="1" si="30"/>
        <v>0.27122531661101906</v>
      </c>
      <c r="I77" s="20">
        <f t="shared" ca="1" si="30"/>
        <v>5.2400722856797904E-5</v>
      </c>
      <c r="J77" s="20">
        <f t="shared" ca="1" si="30"/>
        <v>0.24105937405183966</v>
      </c>
      <c r="K77" s="20">
        <f t="shared" ca="1" si="30"/>
        <v>5.9470385490785004E-2</v>
      </c>
      <c r="L77" s="20">
        <f t="shared" ca="1" si="30"/>
        <v>0.18081189820480861</v>
      </c>
      <c r="M77" s="20">
        <f t="shared" ca="1" si="30"/>
        <v>3.4352431753623673E-2</v>
      </c>
      <c r="N77" s="20">
        <f t="shared" ca="1" si="30"/>
        <v>4.0625938557132795E-3</v>
      </c>
      <c r="O77" s="20">
        <f t="shared" ca="1" si="30"/>
        <v>2.1321563777471849E-2</v>
      </c>
      <c r="P77" s="20">
        <f t="shared" ca="1" si="30"/>
        <v>2.3832229911190449E-2</v>
      </c>
      <c r="Q77" s="20">
        <f t="shared" ca="1" si="30"/>
        <v>0.11291044270266687</v>
      </c>
      <c r="R77" s="20">
        <f t="shared" ca="1" si="30"/>
        <v>0.13101848648512965</v>
      </c>
      <c r="S77" s="20">
        <f t="shared" ca="1" si="30"/>
        <v>8.8168797220224512E-2</v>
      </c>
      <c r="T77" s="20">
        <f t="shared" ca="1" si="30"/>
        <v>0.12493613886497718</v>
      </c>
      <c r="U77" s="20">
        <f t="shared" ca="1" si="30"/>
        <v>0.11266703766259441</v>
      </c>
      <c r="V77" s="20">
        <f t="shared" ca="1" si="30"/>
        <v>7.7405097203980134E-3</v>
      </c>
      <c r="W77" s="20">
        <f t="shared" ca="1" si="30"/>
        <v>3.9616118400705246E-2</v>
      </c>
      <c r="X77" s="20">
        <f t="shared" ca="1" si="30"/>
        <v>-4.5067844917746937E-3</v>
      </c>
      <c r="Y77" s="20">
        <f t="shared" ca="1" si="30"/>
        <v>5.8175750749774038E-3</v>
      </c>
      <c r="Z77" s="20">
        <f t="shared" ca="1" si="30"/>
        <v>6.336852466008791E-2</v>
      </c>
      <c r="AA77" s="20">
        <f t="shared" ca="1" si="30"/>
        <v>2.8460195929454892E-2</v>
      </c>
      <c r="AB77" s="20">
        <f t="shared" ca="1" si="30"/>
        <v>8.8567533454915873E-2</v>
      </c>
      <c r="AC77" s="20">
        <f t="shared" ca="1" si="30"/>
        <v>2.573408319947023E-3</v>
      </c>
      <c r="AD77" s="20">
        <f t="shared" ca="1" si="30"/>
        <v>2.0620006052901398E-2</v>
      </c>
      <c r="AE77" s="20">
        <f t="shared" ca="1" si="30"/>
        <v>2.6519361396872592E-2</v>
      </c>
    </row>
    <row r="78" spans="2:31" x14ac:dyDescent="0.25">
      <c r="B78" s="22" t="str">
        <f>C78</f>
        <v>Transportation by car</v>
      </c>
      <c r="C78" s="22" t="str">
        <f>C41</f>
        <v>Transportation by car</v>
      </c>
      <c r="D78" s="20">
        <f t="shared" ref="D78:AE78" si="31">D41/D$44</f>
        <v>6.8876158101752558E-2</v>
      </c>
      <c r="E78" s="20">
        <f t="shared" si="31"/>
        <v>1.3154742595919686E-2</v>
      </c>
      <c r="F78" s="20">
        <f t="shared" ca="1" si="31"/>
        <v>0.4209438893834157</v>
      </c>
      <c r="G78" s="20">
        <f t="shared" ca="1" si="31"/>
        <v>0.31264592741238045</v>
      </c>
      <c r="H78" s="20">
        <f t="shared" ca="1" si="31"/>
        <v>4.6938278874498467E-2</v>
      </c>
      <c r="I78" s="20">
        <f t="shared" ca="1" si="31"/>
        <v>1.0204098602306446E-3</v>
      </c>
      <c r="J78" s="20">
        <f t="shared" ca="1" si="31"/>
        <v>5.6893533501247248E-2</v>
      </c>
      <c r="K78" s="20">
        <f t="shared" ca="1" si="31"/>
        <v>0.31380541661600664</v>
      </c>
      <c r="L78" s="20">
        <f t="shared" ca="1" si="31"/>
        <v>0.1121939500651397</v>
      </c>
      <c r="M78" s="20">
        <f t="shared" ca="1" si="31"/>
        <v>8.8856025161105953E-2</v>
      </c>
      <c r="N78" s="20">
        <f t="shared" ca="1" si="31"/>
        <v>9.0747873534781278E-3</v>
      </c>
      <c r="O78" s="20">
        <f t="shared" ca="1" si="31"/>
        <v>6.8344594564183125E-2</v>
      </c>
      <c r="P78" s="20">
        <f t="shared" ca="1" si="31"/>
        <v>9.2093299243533905E-2</v>
      </c>
      <c r="Q78" s="20">
        <f t="shared" ca="1" si="31"/>
        <v>0.41570398330926273</v>
      </c>
      <c r="R78" s="20">
        <f t="shared" ca="1" si="31"/>
        <v>0.10539484170946638</v>
      </c>
      <c r="S78" s="20">
        <f t="shared" ca="1" si="31"/>
        <v>0.1618290051301737</v>
      </c>
      <c r="T78" s="20">
        <f t="shared" ca="1" si="31"/>
        <v>6.0220134020047777E-2</v>
      </c>
      <c r="U78" s="20">
        <f t="shared" ca="1" si="31"/>
        <v>0.42169781921989297</v>
      </c>
      <c r="V78" s="20">
        <f t="shared" ca="1" si="31"/>
        <v>7.8142244581061917E-3</v>
      </c>
      <c r="W78" s="20">
        <f t="shared" ca="1" si="31"/>
        <v>0.46654628419785887</v>
      </c>
      <c r="X78" s="20">
        <f t="shared" ca="1" si="31"/>
        <v>-2.377866696505564E-2</v>
      </c>
      <c r="Y78" s="20">
        <f t="shared" ca="1" si="31"/>
        <v>9.0197977492631018E-2</v>
      </c>
      <c r="Z78" s="20">
        <f t="shared" ca="1" si="31"/>
        <v>0.13653196809198659</v>
      </c>
      <c r="AA78" s="20">
        <f t="shared" ca="1" si="31"/>
        <v>0.14322998551647931</v>
      </c>
      <c r="AB78" s="20">
        <f t="shared" ca="1" si="31"/>
        <v>0.23551707192145518</v>
      </c>
      <c r="AC78" s="20">
        <f t="shared" ca="1" si="31"/>
        <v>2.7842593397782528E-2</v>
      </c>
      <c r="AD78" s="20">
        <f t="shared" ca="1" si="31"/>
        <v>0.39207628282910573</v>
      </c>
      <c r="AE78" s="20">
        <f t="shared" ca="1" si="31"/>
        <v>5.6760738757464478E-2</v>
      </c>
    </row>
    <row r="79" spans="2:31" x14ac:dyDescent="0.25">
      <c r="B79" s="22" t="str">
        <f>C79</f>
        <v>Transportation by rail</v>
      </c>
      <c r="C79" s="22" t="str">
        <f>C42</f>
        <v>Transportation by rail</v>
      </c>
      <c r="D79" s="20">
        <f t="shared" ref="D79:AE79" si="32">D42/D$44</f>
        <v>3.0358458628534919E-3</v>
      </c>
      <c r="E79" s="20">
        <f t="shared" si="32"/>
        <v>6.0560913745201688E-3</v>
      </c>
      <c r="F79" s="20">
        <f t="shared" ca="1" si="32"/>
        <v>1.5691839239771604E-2</v>
      </c>
      <c r="G79" s="20">
        <f t="shared" ca="1" si="32"/>
        <v>1.6090701262104417E-2</v>
      </c>
      <c r="H79" s="20">
        <f t="shared" ca="1" si="32"/>
        <v>1.4095759582336189E-2</v>
      </c>
      <c r="I79" s="20">
        <f t="shared" ca="1" si="32"/>
        <v>7.8824293339133477E-5</v>
      </c>
      <c r="J79" s="20">
        <f t="shared" ca="1" si="32"/>
        <v>5.4527943350572792E-4</v>
      </c>
      <c r="K79" s="20">
        <f t="shared" ca="1" si="32"/>
        <v>2.4686954471399986E-2</v>
      </c>
      <c r="L79" s="20">
        <f t="shared" ca="1" si="32"/>
        <v>0.12350139393306676</v>
      </c>
      <c r="M79" s="20">
        <f t="shared" ca="1" si="32"/>
        <v>4.4539873616406501E-3</v>
      </c>
      <c r="N79" s="20">
        <f t="shared" ca="1" si="32"/>
        <v>8.8623900000906451E-4</v>
      </c>
      <c r="O79" s="20">
        <f t="shared" ca="1" si="32"/>
        <v>3.0101444226357929E-3</v>
      </c>
      <c r="P79" s="20">
        <f t="shared" ca="1" si="32"/>
        <v>3.4962412120445575E-3</v>
      </c>
      <c r="Q79" s="20">
        <f t="shared" ca="1" si="32"/>
        <v>8.5864668581190559E-3</v>
      </c>
      <c r="R79" s="20">
        <f ca="1">R42/R$44</f>
        <v>3.5993890644594066E-2</v>
      </c>
      <c r="S79" s="20">
        <f t="shared" ca="1" si="32"/>
        <v>2.1376730634018768E-2</v>
      </c>
      <c r="T79" s="20">
        <f t="shared" ca="1" si="32"/>
        <v>5.6490515901936886E-3</v>
      </c>
      <c r="U79" s="20">
        <f t="shared" ca="1" si="32"/>
        <v>9.3279689022170206E-3</v>
      </c>
      <c r="V79" s="20">
        <f t="shared" ca="1" si="32"/>
        <v>1.0925145485704241E-3</v>
      </c>
      <c r="W79" s="20">
        <f t="shared" ca="1" si="32"/>
        <v>8.2872561508842112E-3</v>
      </c>
      <c r="X79" s="20">
        <f t="shared" ca="1" si="32"/>
        <v>-1.520768685820613E-3</v>
      </c>
      <c r="Y79" s="20">
        <f t="shared" ca="1" si="32"/>
        <v>1.3665487338473028E-3</v>
      </c>
      <c r="Z79" s="20">
        <f t="shared" ca="1" si="32"/>
        <v>7.4280772962172781E-3</v>
      </c>
      <c r="AA79" s="20">
        <f t="shared" ca="1" si="32"/>
        <v>9.7514764495919403E-3</v>
      </c>
      <c r="AB79" s="20">
        <f t="shared" ca="1" si="32"/>
        <v>1.3328177600756802E-2</v>
      </c>
      <c r="AC79" s="20">
        <f t="shared" ca="1" si="32"/>
        <v>2.9969913739433159E-4</v>
      </c>
      <c r="AD79" s="20">
        <f t="shared" ca="1" si="32"/>
        <v>2.0643438592518843E-2</v>
      </c>
      <c r="AE79" s="20">
        <f t="shared" ca="1" si="32"/>
        <v>3.4408133537131591E-3</v>
      </c>
    </row>
    <row r="80" spans="2:31" x14ac:dyDescent="0.25">
      <c r="B80" s="22" t="str">
        <f>C80</f>
        <v>Air transportation</v>
      </c>
      <c r="C80" s="22" t="str">
        <f>C43</f>
        <v>Air transportation</v>
      </c>
      <c r="D80" s="20">
        <f t="shared" ref="D80:AE80" si="33">D43/D$44</f>
        <v>0.79973695107889287</v>
      </c>
      <c r="E80" s="56" t="s">
        <v>2</v>
      </c>
      <c r="F80" s="56" t="s">
        <v>2</v>
      </c>
      <c r="G80" s="56" t="s">
        <v>2</v>
      </c>
      <c r="H80" s="56" t="s">
        <v>2</v>
      </c>
      <c r="I80" s="56" t="s">
        <v>2</v>
      </c>
      <c r="J80" s="56" t="s">
        <v>2</v>
      </c>
      <c r="K80" s="56" t="s">
        <v>2</v>
      </c>
      <c r="L80" s="56" t="s">
        <v>2</v>
      </c>
      <c r="M80" s="20">
        <f t="shared" ca="1" si="33"/>
        <v>0.69966160094607899</v>
      </c>
      <c r="N80" s="20">
        <f t="shared" ca="1" si="33"/>
        <v>2.6566767811511304E-2</v>
      </c>
      <c r="O80" s="20">
        <f t="shared" ca="1" si="33"/>
        <v>0.80402329921459748</v>
      </c>
      <c r="P80" s="20">
        <f t="shared" ca="1" si="33"/>
        <v>0.76702641457432874</v>
      </c>
      <c r="Q80" s="20">
        <f t="shared" ca="1" si="33"/>
        <v>9.2930313845739979E-2</v>
      </c>
      <c r="R80" s="20">
        <f ca="1">R43/R$44</f>
        <v>0.17269688370187564</v>
      </c>
      <c r="S80" s="20">
        <f t="shared" ca="1" si="33"/>
        <v>0.24534495118560801</v>
      </c>
      <c r="T80" s="20">
        <f t="shared" ca="1" si="33"/>
        <v>0.49699985086177501</v>
      </c>
      <c r="U80" s="20">
        <f t="shared" ca="1" si="33"/>
        <v>9.1004622610000571E-2</v>
      </c>
      <c r="V80" s="20">
        <f t="shared" ca="1" si="33"/>
        <v>0.8183617978797193</v>
      </c>
      <c r="W80" s="20">
        <f t="shared" ca="1" si="33"/>
        <v>0.29576408456560482</v>
      </c>
      <c r="X80" s="20">
        <f t="shared" ca="1" si="33"/>
        <v>1.0517840979409343</v>
      </c>
      <c r="Y80" s="20">
        <f t="shared" ca="1" si="33"/>
        <v>0.86269022419683883</v>
      </c>
      <c r="Z80" s="20">
        <f t="shared" ca="1" si="33"/>
        <v>0.44665404592148389</v>
      </c>
      <c r="AA80" s="20">
        <f t="shared" ca="1" si="33"/>
        <v>0.6099807157798951</v>
      </c>
      <c r="AB80" s="20">
        <f t="shared" ca="1" si="33"/>
        <v>1.6552767880392172E-2</v>
      </c>
      <c r="AC80" s="20">
        <f t="shared" ca="1" si="33"/>
        <v>3.233385274036376E-2</v>
      </c>
      <c r="AD80" s="20">
        <f t="shared" ca="1" si="33"/>
        <v>0.36036909472750434</v>
      </c>
      <c r="AE80" s="20">
        <f t="shared" ca="1" si="33"/>
        <v>0.21369955687602205</v>
      </c>
    </row>
    <row r="81" spans="4:31" x14ac:dyDescent="0.25">
      <c r="D81" s="22">
        <f>D44/D26</f>
        <v>15.334589464718858</v>
      </c>
      <c r="E81" s="22">
        <f t="shared" ref="E81:AE81" si="34">E44/E26</f>
        <v>2.749198486892761</v>
      </c>
      <c r="F81" s="22">
        <f t="shared" ca="1" si="34"/>
        <v>3.519717662106157</v>
      </c>
      <c r="G81" s="22">
        <f t="shared" ca="1" si="34"/>
        <v>0.49531508977115496</v>
      </c>
      <c r="H81" s="22">
        <f t="shared" ca="1" si="34"/>
        <v>2.979608300106408</v>
      </c>
      <c r="I81" s="22">
        <f t="shared" ca="1" si="34"/>
        <v>1.3182960694183372</v>
      </c>
      <c r="J81" s="22">
        <f t="shared" ca="1" si="34"/>
        <v>0.32832603635502944</v>
      </c>
      <c r="K81" s="22">
        <f t="shared" ca="1" si="34"/>
        <v>0.91517303400439576</v>
      </c>
      <c r="L81" s="22">
        <f t="shared" ca="1" si="34"/>
        <v>1.2737536393133448</v>
      </c>
      <c r="M81" s="22">
        <f t="shared" ca="1" si="34"/>
        <v>10.366506175225673</v>
      </c>
      <c r="N81" s="44">
        <f t="shared" ca="1" si="34"/>
        <v>1.7418318968761559</v>
      </c>
      <c r="O81" s="22">
        <f t="shared" ca="1" si="34"/>
        <v>15.965106236350664</v>
      </c>
      <c r="P81" s="22">
        <f t="shared" ca="1" si="34"/>
        <v>13.765057245403984</v>
      </c>
      <c r="Q81" s="22">
        <f t="shared" ca="1" si="34"/>
        <v>3.5872841446103463</v>
      </c>
      <c r="R81" s="54">
        <f ca="1">R44/R26</f>
        <v>2.5191856978200544</v>
      </c>
      <c r="S81" s="54">
        <f t="shared" ca="1" si="34"/>
        <v>2.9354582015061741</v>
      </c>
      <c r="T81" s="22">
        <f t="shared" ca="1" si="34"/>
        <v>6.0607182907636359</v>
      </c>
      <c r="U81" s="22">
        <f t="shared" ca="1" si="34"/>
        <v>3.6276166601487225</v>
      </c>
      <c r="V81" s="22">
        <f t="shared" ca="1" si="34"/>
        <v>8.4339260994310479</v>
      </c>
      <c r="W81" s="22">
        <f t="shared" ca="1" si="34"/>
        <v>6.4519365180592043</v>
      </c>
      <c r="X81" s="22">
        <f t="shared" ca="1" si="34"/>
        <v>-46.446936721711729</v>
      </c>
      <c r="Y81" s="22">
        <f t="shared" ca="1" si="34"/>
        <v>36.012003693970343</v>
      </c>
      <c r="Z81" s="54">
        <f t="shared" ca="1" si="34"/>
        <v>4.6012212077788357</v>
      </c>
      <c r="AA81" s="22">
        <f t="shared" ca="1" si="34"/>
        <v>8.8359892557499755</v>
      </c>
      <c r="AB81" s="54">
        <f t="shared" ca="1" si="34"/>
        <v>2.696934357003923</v>
      </c>
      <c r="AC81" s="44">
        <f t="shared" ca="1" si="34"/>
        <v>1.5414305968852067</v>
      </c>
      <c r="AD81" s="22">
        <f t="shared" ca="1" si="34"/>
        <v>9.6837238189181978</v>
      </c>
      <c r="AE81" s="44">
        <f t="shared" ca="1" si="34"/>
        <v>1.9423938801714553</v>
      </c>
    </row>
    <row r="82" spans="4:31" x14ac:dyDescent="0.25">
      <c r="D82" s="47">
        <f>D24/D26</f>
        <v>0.42427223738778025</v>
      </c>
      <c r="E82" s="47">
        <f t="shared" ref="E82:AE82" si="35">E24/E26</f>
        <v>0.94296475978105065</v>
      </c>
      <c r="F82" s="47">
        <f t="shared" si="35"/>
        <v>0.28858083348149405</v>
      </c>
      <c r="G82" s="47">
        <f t="shared" si="35"/>
        <v>0.22237784162349053</v>
      </c>
      <c r="H82" s="47">
        <f t="shared" si="35"/>
        <v>0.21678505869050363</v>
      </c>
      <c r="I82" s="47">
        <f t="shared" si="35"/>
        <v>0.99921649867630247</v>
      </c>
      <c r="J82" s="47">
        <f t="shared" si="35"/>
        <v>0.21274891941315074</v>
      </c>
      <c r="K82" s="47">
        <f t="shared" si="35"/>
        <v>0.23899903323947536</v>
      </c>
      <c r="L82" s="47">
        <f t="shared" si="35"/>
        <v>0.21945409582360992</v>
      </c>
      <c r="M82" s="47">
        <f t="shared" si="35"/>
        <v>0.38728813296386888</v>
      </c>
      <c r="N82" s="47">
        <f t="shared" si="35"/>
        <v>0.97219645513562558</v>
      </c>
      <c r="O82" s="47">
        <f t="shared" si="35"/>
        <v>0.4110897613186138</v>
      </c>
      <c r="P82" s="47">
        <f t="shared" si="35"/>
        <v>0.30658170955825687</v>
      </c>
      <c r="Q82" s="47">
        <f t="shared" si="35"/>
        <v>0.2626029588297728</v>
      </c>
      <c r="R82" s="47">
        <f t="shared" si="35"/>
        <v>0.40010789782588124</v>
      </c>
      <c r="S82" s="47">
        <f t="shared" si="35"/>
        <v>0.52290449041610498</v>
      </c>
      <c r="T82" s="47">
        <f t="shared" si="35"/>
        <v>0.22510289633662409</v>
      </c>
      <c r="U82" s="47">
        <f t="shared" si="35"/>
        <v>0.25461688739901561</v>
      </c>
      <c r="V82" s="47">
        <f t="shared" si="35"/>
        <v>0.76494182503714458</v>
      </c>
      <c r="W82" s="47">
        <f t="shared" si="35"/>
        <v>0.34187229692085946</v>
      </c>
      <c r="X82" s="47">
        <f t="shared" si="35"/>
        <v>0.3028840169526984</v>
      </c>
      <c r="Y82" s="47">
        <f t="shared" si="35"/>
        <v>0.36969477561359809</v>
      </c>
      <c r="Z82" s="47">
        <f t="shared" si="35"/>
        <v>0.4605818593788038</v>
      </c>
      <c r="AA82" s="47">
        <f t="shared" si="35"/>
        <v>0.55483213446004931</v>
      </c>
      <c r="AB82" s="47">
        <f t="shared" si="35"/>
        <v>0.69341107290296666</v>
      </c>
      <c r="AC82" s="47">
        <f t="shared" si="35"/>
        <v>0.98947380131555973</v>
      </c>
      <c r="AD82" s="47">
        <f t="shared" si="35"/>
        <v>0.61929365800312619</v>
      </c>
      <c r="AE82" s="47">
        <f t="shared" si="35"/>
        <v>0.80981912599795769</v>
      </c>
    </row>
    <row r="83" spans="4:31" x14ac:dyDescent="0.25">
      <c r="D83" s="74">
        <f>D20/D26</f>
        <v>0.25879076948157115</v>
      </c>
      <c r="E83" s="74">
        <f t="shared" ref="E83:AE83" si="36">E20/E26</f>
        <v>3.5958199104246219E-2</v>
      </c>
      <c r="F83" s="74">
        <f t="shared" si="36"/>
        <v>0.3128510795118552</v>
      </c>
      <c r="G83" s="74">
        <f t="shared" si="36"/>
        <v>0.54572954095184056</v>
      </c>
      <c r="H83" s="74">
        <f t="shared" si="36"/>
        <v>0.55398124171809882</v>
      </c>
      <c r="I83" s="74">
        <f t="shared" si="36"/>
        <v>3.8655673206458867E-4</v>
      </c>
      <c r="J83" s="74">
        <f t="shared" si="36"/>
        <v>0.56610169329552551</v>
      </c>
      <c r="K83" s="74">
        <f t="shared" si="36"/>
        <v>0.52500066204268292</v>
      </c>
      <c r="L83" s="74">
        <f t="shared" si="36"/>
        <v>0.55041001003830514</v>
      </c>
      <c r="M83" s="74">
        <f t="shared" si="36"/>
        <v>0.31945195059494241</v>
      </c>
      <c r="N83" s="74">
        <f t="shared" si="36"/>
        <v>1.8048453237343502E-2</v>
      </c>
      <c r="O83" s="74">
        <f t="shared" si="36"/>
        <v>0.2682949081837554</v>
      </c>
      <c r="P83" s="74">
        <f t="shared" si="36"/>
        <v>0.2919168744901266</v>
      </c>
      <c r="Q83" s="74">
        <f t="shared" si="36"/>
        <v>0.39596874873367754</v>
      </c>
      <c r="R83" s="74">
        <f t="shared" si="36"/>
        <v>0.39302520180955114</v>
      </c>
      <c r="S83" s="74">
        <f t="shared" si="36"/>
        <v>0.2915810337106538</v>
      </c>
      <c r="T83" s="74">
        <f t="shared" si="36"/>
        <v>0.54750364658612849</v>
      </c>
      <c r="U83" s="74">
        <f t="shared" si="36"/>
        <v>0.40265875977511345</v>
      </c>
      <c r="V83" s="74">
        <f t="shared" si="36"/>
        <v>3.4140151480852303E-2</v>
      </c>
      <c r="W83" s="74">
        <f t="shared" si="36"/>
        <v>0.2467760345207044</v>
      </c>
      <c r="X83" s="74">
        <f t="shared" si="36"/>
        <v>0.46303240138719437</v>
      </c>
      <c r="Y83" s="74">
        <f t="shared" si="36"/>
        <v>0.21097560417810315</v>
      </c>
      <c r="Z83" s="74">
        <f t="shared" si="36"/>
        <v>0.34612849827431807</v>
      </c>
      <c r="AA83" s="74">
        <f t="shared" si="36"/>
        <v>0.19885760221033055</v>
      </c>
      <c r="AB83" s="74">
        <f t="shared" si="36"/>
        <v>0.17453154699604642</v>
      </c>
      <c r="AC83" s="74">
        <f t="shared" si="36"/>
        <v>3.723347600015363E-3</v>
      </c>
      <c r="AD83" s="74">
        <f t="shared" si="36"/>
        <v>0.15994765162402214</v>
      </c>
      <c r="AE83" s="74">
        <f t="shared" si="36"/>
        <v>0.10214885280821819</v>
      </c>
    </row>
    <row r="84" spans="4:31" x14ac:dyDescent="0.25">
      <c r="R84" s="22">
        <f ca="1">R64/R71</f>
        <v>0.67453624266766743</v>
      </c>
      <c r="S84" s="22">
        <f ca="1">S64/S71</f>
        <v>0.64311484340370628</v>
      </c>
    </row>
  </sheetData>
  <mergeCells count="3">
    <mergeCell ref="B2:B15"/>
    <mergeCell ref="B17:B25"/>
    <mergeCell ref="B27:B43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CC026-6179-4EB4-9D31-020B03A093C9}">
  <sheetPr codeName="Sheet25"/>
  <dimension ref="B2:BP140"/>
  <sheetViews>
    <sheetView topLeftCell="A46" zoomScale="60" zoomScaleNormal="60" workbookViewId="0">
      <selection activeCell="G54" sqref="G54"/>
    </sheetView>
  </sheetViews>
  <sheetFormatPr defaultRowHeight="15" x14ac:dyDescent="0.25"/>
  <cols>
    <col min="1" max="1" width="9.140625" style="76"/>
    <col min="2" max="2" width="10.7109375" style="76" customWidth="1"/>
    <col min="3" max="3" width="28" style="76" bestFit="1" customWidth="1"/>
    <col min="4" max="4" width="77.7109375" style="76" bestFit="1" customWidth="1"/>
    <col min="5" max="5" width="10.7109375" style="76" customWidth="1"/>
    <col min="6" max="6" width="18.7109375" style="76" bestFit="1" customWidth="1"/>
    <col min="7" max="7" width="30.42578125" style="76" bestFit="1" customWidth="1"/>
    <col min="8" max="35" width="10.7109375" style="76" customWidth="1"/>
    <col min="36" max="36" width="9.140625" style="76"/>
    <col min="37" max="64" width="10.7109375" style="76" customWidth="1"/>
    <col min="65" max="65" width="11.140625" style="76" bestFit="1" customWidth="1"/>
    <col min="66" max="66" width="10.85546875" style="76" bestFit="1" customWidth="1"/>
    <col min="67" max="68" width="11.140625" style="76" bestFit="1" customWidth="1"/>
    <col min="69" max="69" width="9.7109375" style="76" bestFit="1" customWidth="1"/>
    <col min="70" max="70" width="10.85546875" style="76" bestFit="1" customWidth="1"/>
    <col min="71" max="16384" width="9.140625" style="76"/>
  </cols>
  <sheetData>
    <row r="2" spans="2:68" x14ac:dyDescent="0.25">
      <c r="B2" s="207"/>
      <c r="C2" s="208" t="s">
        <v>126</v>
      </c>
      <c r="D2" s="208" t="s">
        <v>111</v>
      </c>
      <c r="E2" s="208" t="str">
        <f>Waste_LCIA!E2</f>
        <v>Value</v>
      </c>
      <c r="F2" s="208" t="str">
        <f>Waste_LCIA!F2</f>
        <v>Unit</v>
      </c>
      <c r="G2" s="208" t="str">
        <f>Waste_LCIA!G2</f>
        <v>Source</v>
      </c>
      <c r="H2" s="208" t="str">
        <f>Waste_LCIA!H2</f>
        <v>GWP</v>
      </c>
      <c r="I2" s="208" t="str">
        <f>Waste_LCIA!I2</f>
        <v>biomass</v>
      </c>
      <c r="J2" s="208" t="str">
        <f>Waste_LCIA!J2</f>
        <v>fossil</v>
      </c>
      <c r="K2" s="208" t="str">
        <f>Waste_LCIA!K2</f>
        <v>geothermal</v>
      </c>
      <c r="L2" s="208" t="str">
        <f>Waste_LCIA!L2</f>
        <v>nuclear</v>
      </c>
      <c r="M2" s="208" t="str">
        <f>Waste_LCIA!M2</f>
        <v>primary forest</v>
      </c>
      <c r="N2" s="208" t="str">
        <f>Waste_LCIA!N2</f>
        <v>solar</v>
      </c>
      <c r="O2" s="208" t="str">
        <f>Waste_LCIA!O2</f>
        <v>water</v>
      </c>
      <c r="P2" s="208" t="str">
        <f>Waste_LCIA!P2</f>
        <v>wind</v>
      </c>
      <c r="Q2" s="208" t="str">
        <f>Waste_LCIA!Q2</f>
        <v>CED</v>
      </c>
      <c r="R2" s="208" t="str">
        <f>Waste_LCIA!R2</f>
        <v>ALOP</v>
      </c>
      <c r="S2" s="208" t="str">
        <f>Waste_LCIA!S2</f>
        <v>GWP100</v>
      </c>
      <c r="T2" s="208" t="str">
        <f>Waste_LCIA!T2</f>
        <v>FDP</v>
      </c>
      <c r="U2" s="208" t="str">
        <f>Waste_LCIA!U2</f>
        <v>FETPinf</v>
      </c>
      <c r="V2" s="208" t="str">
        <f>Waste_LCIA!V2</f>
        <v>FEP</v>
      </c>
      <c r="W2" s="208" t="str">
        <f>Waste_LCIA!W2</f>
        <v>HTPinf</v>
      </c>
      <c r="X2" s="208" t="str">
        <f>Waste_LCIA!X2</f>
        <v>IRP_HE</v>
      </c>
      <c r="Y2" s="208" t="str">
        <f>Waste_LCIA!Y2</f>
        <v>METPinf</v>
      </c>
      <c r="Z2" s="208" t="str">
        <f>Waste_LCIA!Z2</f>
        <v>MEP</v>
      </c>
      <c r="AA2" s="208" t="str">
        <f>Waste_LCIA!AA2</f>
        <v>MDP</v>
      </c>
      <c r="AB2" s="208" t="str">
        <f>Waste_LCIA!AB2</f>
        <v>NLTP</v>
      </c>
      <c r="AC2" s="208" t="str">
        <f>Waste_LCIA!AC2</f>
        <v>ODPinf</v>
      </c>
      <c r="AD2" s="208" t="str">
        <f>Waste_LCIA!AD2</f>
        <v>PMFP</v>
      </c>
      <c r="AE2" s="208" t="str">
        <f>Waste_LCIA!AE2</f>
        <v>POFP</v>
      </c>
      <c r="AF2" s="208" t="str">
        <f>Waste_LCIA!AF2</f>
        <v>TAP100</v>
      </c>
      <c r="AG2" s="208" t="str">
        <f>Waste_LCIA!AG2</f>
        <v>TETPinf</v>
      </c>
      <c r="AH2" s="208" t="str">
        <f>Waste_LCIA!AH2</f>
        <v>ULOP</v>
      </c>
      <c r="AI2" s="209" t="str">
        <f>Waste_LCIA!AI2</f>
        <v>WDP</v>
      </c>
      <c r="AJ2" s="137"/>
      <c r="AK2" s="217" t="str">
        <f>H2</f>
        <v>GWP</v>
      </c>
      <c r="AL2" s="151" t="str">
        <f t="shared" ref="AL2:BD2" si="0">I2</f>
        <v>biomass</v>
      </c>
      <c r="AM2" s="151" t="str">
        <f t="shared" si="0"/>
        <v>fossil</v>
      </c>
      <c r="AN2" s="151" t="str">
        <f t="shared" si="0"/>
        <v>geothermal</v>
      </c>
      <c r="AO2" s="151" t="str">
        <f t="shared" si="0"/>
        <v>nuclear</v>
      </c>
      <c r="AP2" s="151" t="str">
        <f t="shared" si="0"/>
        <v>primary forest</v>
      </c>
      <c r="AQ2" s="151" t="str">
        <f t="shared" si="0"/>
        <v>solar</v>
      </c>
      <c r="AR2" s="151" t="str">
        <f t="shared" si="0"/>
        <v>water</v>
      </c>
      <c r="AS2" s="151" t="str">
        <f t="shared" si="0"/>
        <v>wind</v>
      </c>
      <c r="AT2" s="151" t="str">
        <f t="shared" si="0"/>
        <v>CED</v>
      </c>
      <c r="AU2" s="151" t="str">
        <f t="shared" si="0"/>
        <v>ALOP</v>
      </c>
      <c r="AV2" s="151" t="str">
        <f t="shared" si="0"/>
        <v>GWP100</v>
      </c>
      <c r="AW2" s="151" t="str">
        <f t="shared" si="0"/>
        <v>FDP</v>
      </c>
      <c r="AX2" s="151" t="str">
        <f t="shared" si="0"/>
        <v>FETPinf</v>
      </c>
      <c r="AY2" s="151" t="str">
        <f t="shared" si="0"/>
        <v>FEP</v>
      </c>
      <c r="AZ2" s="151" t="str">
        <f t="shared" si="0"/>
        <v>HTPinf</v>
      </c>
      <c r="BA2" s="151" t="str">
        <f t="shared" si="0"/>
        <v>IRP_HE</v>
      </c>
      <c r="BB2" s="151" t="str">
        <f t="shared" si="0"/>
        <v>METPinf</v>
      </c>
      <c r="BC2" s="151" t="str">
        <f t="shared" si="0"/>
        <v>MEP</v>
      </c>
      <c r="BD2" s="151" t="str">
        <f t="shared" si="0"/>
        <v>MDP</v>
      </c>
      <c r="BE2" s="151" t="str">
        <f>AB2</f>
        <v>NLTP</v>
      </c>
      <c r="BF2" s="151" t="str">
        <f t="shared" ref="BF2:BH2" si="1">AC2</f>
        <v>ODPinf</v>
      </c>
      <c r="BG2" s="151" t="str">
        <f t="shared" si="1"/>
        <v>PMFP</v>
      </c>
      <c r="BH2" s="151" t="str">
        <f t="shared" si="1"/>
        <v>POFP</v>
      </c>
      <c r="BI2" s="151" t="str">
        <f>AF2</f>
        <v>TAP100</v>
      </c>
      <c r="BJ2" s="151" t="str">
        <f t="shared" ref="BJ2" si="2">AG2</f>
        <v>TETPinf</v>
      </c>
      <c r="BK2" s="151" t="str">
        <f>AH2</f>
        <v>ULOP</v>
      </c>
      <c r="BL2" s="152" t="str">
        <f t="shared" ref="BL2" si="3">AI2</f>
        <v>WDP</v>
      </c>
      <c r="BM2" s="61"/>
      <c r="BN2" s="61"/>
      <c r="BO2" s="61"/>
      <c r="BP2" s="61"/>
    </row>
    <row r="3" spans="2:68" x14ac:dyDescent="0.25">
      <c r="B3" s="272" t="s">
        <v>107</v>
      </c>
      <c r="C3" s="106" t="s">
        <v>185</v>
      </c>
      <c r="D3" s="106" t="str">
        <f>Waste_LCIA!D41</f>
        <v>Waste treatment for guest home</v>
      </c>
      <c r="E3" s="106">
        <v>3</v>
      </c>
      <c r="F3" s="106" t="str">
        <f>Waste_LCIA!F41</f>
        <v>per capita per day</v>
      </c>
      <c r="G3" s="106" t="s">
        <v>992</v>
      </c>
      <c r="H3" s="106">
        <f>Waste_LCIA!H41</f>
        <v>0.92137367923984315</v>
      </c>
      <c r="I3" s="106">
        <f>Waste_LCIA!I41</f>
        <v>7.4150227088990864E-3</v>
      </c>
      <c r="J3" s="106">
        <f>Waste_LCIA!J41</f>
        <v>1.2129314758971097</v>
      </c>
      <c r="K3" s="106">
        <f>Waste_LCIA!K41</f>
        <v>3.4262562692058824E-4</v>
      </c>
      <c r="L3" s="106">
        <f>Waste_LCIA!L41</f>
        <v>2.4021971009863689E-2</v>
      </c>
      <c r="M3" s="106">
        <f>Waste_LCIA!M41</f>
        <v>1.7873447109388084E-5</v>
      </c>
      <c r="N3" s="106">
        <f>Waste_LCIA!N41</f>
        <v>4.2672508138697792E-4</v>
      </c>
      <c r="O3" s="106">
        <f>Waste_LCIA!O41</f>
        <v>1.1288628297498077E-2</v>
      </c>
      <c r="P3" s="106">
        <f>Waste_LCIA!P41</f>
        <v>2.6948629762521352E-3</v>
      </c>
      <c r="Q3" s="106">
        <f>Waste_LCIA!Q41</f>
        <v>1.25913918504504</v>
      </c>
      <c r="R3" s="106">
        <f>Waste_LCIA!R41</f>
        <v>2.7132474415289547E-3</v>
      </c>
      <c r="S3" s="106">
        <f>Waste_LCIA!S41</f>
        <v>0.78474574403342623</v>
      </c>
      <c r="T3" s="106">
        <f>Waste_LCIA!T41</f>
        <v>2.8470261638007841E-2</v>
      </c>
      <c r="U3" s="106">
        <f>Waste_LCIA!U41</f>
        <v>6.6251684209978234E-2</v>
      </c>
      <c r="V3" s="106">
        <f>Waste_LCIA!V41</f>
        <v>5.0359345409850282E-5</v>
      </c>
      <c r="W3" s="106">
        <f>Waste_LCIA!W41</f>
        <v>0.21849105035983196</v>
      </c>
      <c r="X3" s="106">
        <f>Waste_LCIA!X41</f>
        <v>5.2985656210469906E-3</v>
      </c>
      <c r="Y3" s="106">
        <f>Waste_LCIA!Y41</f>
        <v>5.7447430559831557E-2</v>
      </c>
      <c r="Z3" s="106">
        <f>Waste_LCIA!Z41</f>
        <v>3.4569733566296012E-3</v>
      </c>
      <c r="AA3" s="106">
        <f>Waste_LCIA!AA41</f>
        <v>1.9033977066202233E-3</v>
      </c>
      <c r="AB3" s="106">
        <f>Waste_LCIA!AB41</f>
        <v>-7.6088010348561488E-6</v>
      </c>
      <c r="AC3" s="106">
        <f>Waste_LCIA!AC41</f>
        <v>1.2305274251532301E-8</v>
      </c>
      <c r="AD3" s="106">
        <f>Waste_LCIA!AD41</f>
        <v>2.3365090367886924E-4</v>
      </c>
      <c r="AE3" s="106">
        <f>Waste_LCIA!AE41</f>
        <v>3.0384008492186092E-3</v>
      </c>
      <c r="AF3" s="106">
        <f>Waste_LCIA!AF41</f>
        <v>5.26011269350906E-4</v>
      </c>
      <c r="AG3" s="106">
        <f>Waste_LCIA!AG41</f>
        <v>3.0102712436936056E-5</v>
      </c>
      <c r="AH3" s="106">
        <f>Waste_LCIA!AH41</f>
        <v>4.8592448613655088E-3</v>
      </c>
      <c r="AI3" s="210">
        <f>Waste_LCIA!AI41</f>
        <v>7.5341690340503082E-4</v>
      </c>
      <c r="AJ3" s="137"/>
      <c r="AK3" s="213">
        <f>$E3*H3*18%</f>
        <v>0.49754178678951533</v>
      </c>
      <c r="AL3" s="106">
        <f t="shared" ref="AL3:BL11" si="4">$E3*I3*18%</f>
        <v>4.0041122628055063E-3</v>
      </c>
      <c r="AM3" s="106">
        <f t="shared" si="4"/>
        <v>0.65498299698443929</v>
      </c>
      <c r="AN3" s="106">
        <f t="shared" si="4"/>
        <v>1.8501783853711767E-4</v>
      </c>
      <c r="AO3" s="106">
        <f t="shared" si="4"/>
        <v>1.297186434532639E-2</v>
      </c>
      <c r="AP3" s="106">
        <f t="shared" si="4"/>
        <v>9.651661439069565E-6</v>
      </c>
      <c r="AQ3" s="106">
        <f t="shared" si="4"/>
        <v>2.3043154394896808E-4</v>
      </c>
      <c r="AR3" s="106">
        <f t="shared" si="4"/>
        <v>6.095859280648961E-3</v>
      </c>
      <c r="AS3" s="106">
        <f t="shared" si="4"/>
        <v>1.4552260071761529E-3</v>
      </c>
      <c r="AT3" s="106">
        <f t="shared" si="4"/>
        <v>0.67993515992432152</v>
      </c>
      <c r="AU3" s="106">
        <f t="shared" si="4"/>
        <v>1.4651536184256356E-3</v>
      </c>
      <c r="AV3" s="106">
        <f t="shared" si="4"/>
        <v>0.4237627017780502</v>
      </c>
      <c r="AW3" s="106">
        <f t="shared" si="4"/>
        <v>1.5373941284524234E-2</v>
      </c>
      <c r="AX3" s="106">
        <f t="shared" si="4"/>
        <v>3.5775909473388247E-2</v>
      </c>
      <c r="AY3" s="106">
        <f t="shared" si="4"/>
        <v>2.719404652131915E-5</v>
      </c>
      <c r="AZ3" s="106">
        <f t="shared" si="4"/>
        <v>0.11798516719430925</v>
      </c>
      <c r="BA3" s="106">
        <f t="shared" si="4"/>
        <v>2.8612254353653751E-3</v>
      </c>
      <c r="BB3" s="106">
        <f t="shared" si="4"/>
        <v>3.1021612502309039E-2</v>
      </c>
      <c r="BC3" s="106">
        <f t="shared" si="4"/>
        <v>1.8667656125799846E-3</v>
      </c>
      <c r="BD3" s="106">
        <f t="shared" si="4"/>
        <v>1.0278347615749206E-3</v>
      </c>
      <c r="BE3" s="106">
        <f t="shared" si="4"/>
        <v>-4.1087525588223203E-6</v>
      </c>
      <c r="BF3" s="106">
        <f t="shared" si="4"/>
        <v>6.6448480958274426E-9</v>
      </c>
      <c r="BG3" s="106">
        <f t="shared" si="4"/>
        <v>1.2617148798658941E-4</v>
      </c>
      <c r="BH3" s="106">
        <f t="shared" si="4"/>
        <v>1.6407364585780491E-3</v>
      </c>
      <c r="BI3" s="106">
        <f t="shared" si="4"/>
        <v>2.8404608544948921E-4</v>
      </c>
      <c r="BJ3" s="106">
        <f t="shared" si="4"/>
        <v>1.625546471594547E-5</v>
      </c>
      <c r="BK3" s="106">
        <f t="shared" si="4"/>
        <v>2.6239922251373748E-3</v>
      </c>
      <c r="BL3" s="210">
        <f t="shared" si="4"/>
        <v>4.0684512783871663E-4</v>
      </c>
    </row>
    <row r="4" spans="2:68" x14ac:dyDescent="0.25">
      <c r="B4" s="272"/>
      <c r="C4" s="106" t="s">
        <v>811</v>
      </c>
      <c r="D4" s="106"/>
      <c r="E4" s="106">
        <f>Accommodation!C3*3</f>
        <v>36.057534246575344</v>
      </c>
      <c r="F4" s="106" t="s">
        <v>105</v>
      </c>
      <c r="G4" s="106" t="s">
        <v>979</v>
      </c>
      <c r="H4" s="106">
        <f>Electricity_LCIA!G7</f>
        <v>0.60699665796344648</v>
      </c>
      <c r="I4" s="106">
        <f>Electricity_LCIA!H7</f>
        <v>8.8921164490861626E-2</v>
      </c>
      <c r="J4" s="106">
        <f>Electricity_LCIA!I7</f>
        <v>6.6779229765013053</v>
      </c>
      <c r="K4" s="106">
        <f>Electricity_LCIA!J7</f>
        <v>6.2592015665796348E-4</v>
      </c>
      <c r="L4" s="106">
        <f>Electricity_LCIA!K7</f>
        <v>4.0817193211488254</v>
      </c>
      <c r="M4" s="106">
        <f>Electricity_LCIA!L7</f>
        <v>1.511060313315927E-5</v>
      </c>
      <c r="N4" s="106">
        <f>Electricity_LCIA!M7</f>
        <v>6.0527368146214094E-2</v>
      </c>
      <c r="O4" s="106">
        <f>Electricity_LCIA!N7</f>
        <v>8.2965451697127948E-2</v>
      </c>
      <c r="P4" s="106">
        <f>Electricity_LCIA!O7</f>
        <v>0.18848866840731071</v>
      </c>
      <c r="Q4" s="106">
        <f>Electricity_LCIA!P7</f>
        <v>11.181185981151437</v>
      </c>
      <c r="R4" s="106">
        <f>Electricity_LCIA!Q7</f>
        <v>1.4707219321148825E-2</v>
      </c>
      <c r="S4" s="106">
        <f>Electricity_LCIA!R7</f>
        <v>0.6010210966057441</v>
      </c>
      <c r="T4" s="106">
        <f>Electricity_LCIA!S7</f>
        <v>0.16615483028720626</v>
      </c>
      <c r="U4" s="106">
        <f>Electricity_LCIA!T7</f>
        <v>2.8719603133159272E-2</v>
      </c>
      <c r="V4" s="106">
        <f>Electricity_LCIA!U7</f>
        <v>3.947087467362925E-4</v>
      </c>
      <c r="W4" s="106">
        <f>Electricity_LCIA!V7</f>
        <v>0.27003814621409922</v>
      </c>
      <c r="X4" s="106">
        <f>Electricity_LCIA!W7</f>
        <v>0.26278455613577023</v>
      </c>
      <c r="Y4" s="106">
        <f>Electricity_LCIA!X7</f>
        <v>2.4689629242819845E-2</v>
      </c>
      <c r="Z4" s="106">
        <f>Electricity_LCIA!Y7</f>
        <v>1.2709248041775458E-4</v>
      </c>
      <c r="AA4" s="106">
        <f>Electricity_LCIA!Z7</f>
        <v>1.1937258485639687E-2</v>
      </c>
      <c r="AB4" s="106">
        <f>Electricity_LCIA!AA7</f>
        <v>-2.3988135770234988E-5</v>
      </c>
      <c r="AC4" s="106">
        <f>Electricity_LCIA!AB7</f>
        <v>1.7504861618798959E-8</v>
      </c>
      <c r="AD4" s="106">
        <f>Electricity_LCIA!AC7</f>
        <v>1.0455579634464753E-3</v>
      </c>
      <c r="AE4" s="106">
        <f>Electricity_LCIA!AD7</f>
        <v>9.5868039164490873E-4</v>
      </c>
      <c r="AF4" s="106">
        <f>Electricity_LCIA!AE7</f>
        <v>1.7790319321148828E-3</v>
      </c>
      <c r="AG4" s="106">
        <f>Electricity_LCIA!AF7</f>
        <v>2.6967976501305483E-5</v>
      </c>
      <c r="AH4" s="106">
        <f>Electricity_LCIA!AG7</f>
        <v>2.6239642297650129E-3</v>
      </c>
      <c r="AI4" s="210">
        <f>Electricity_LCIA!AH7</f>
        <v>2.2512597911227153E-3</v>
      </c>
      <c r="AK4" s="213">
        <f>$E4*H4*18%</f>
        <v>3.9396245007732751</v>
      </c>
      <c r="AL4" s="106">
        <f t="shared" si="4"/>
        <v>0.57713002809742842</v>
      </c>
      <c r="AM4" s="106">
        <f t="shared" si="4"/>
        <v>43.34209855581387</v>
      </c>
      <c r="AN4" s="106">
        <f t="shared" si="4"/>
        <v>4.0624447471769376E-3</v>
      </c>
      <c r="AO4" s="106">
        <f t="shared" si="4"/>
        <v>26.491812157301766</v>
      </c>
      <c r="AP4" s="106">
        <f t="shared" si="4"/>
        <v>9.8073196192853827E-5</v>
      </c>
      <c r="AQ4" s="106">
        <f t="shared" si="4"/>
        <v>0.39284417696169388</v>
      </c>
      <c r="AR4" s="106">
        <f t="shared" si="4"/>
        <v>0.538475330853321</v>
      </c>
      <c r="AS4" s="106">
        <f t="shared" si="4"/>
        <v>1.2233585909138383</v>
      </c>
      <c r="AT4" s="106">
        <f t="shared" si="4"/>
        <v>72.569879357885299</v>
      </c>
      <c r="AU4" s="106">
        <f t="shared" si="4"/>
        <v>9.5455091581959292E-2</v>
      </c>
      <c r="AV4" s="106">
        <f t="shared" si="4"/>
        <v>3.9008409792796592</v>
      </c>
      <c r="AW4" s="106">
        <f t="shared" si="4"/>
        <v>1.0784040269966737</v>
      </c>
      <c r="AX4" s="106">
        <f t="shared" si="4"/>
        <v>0.18640045323394971</v>
      </c>
      <c r="AY4" s="106">
        <f t="shared" si="4"/>
        <v>2.5618003475160059E-3</v>
      </c>
      <c r="AZ4" s="106">
        <f t="shared" si="4"/>
        <v>1.7526437468993883</v>
      </c>
      <c r="BA4" s="106">
        <f t="shared" si="4"/>
        <v>1.7055653638205943</v>
      </c>
      <c r="BB4" s="106">
        <f t="shared" si="4"/>
        <v>0.16024448735248042</v>
      </c>
      <c r="BC4" s="106">
        <f t="shared" si="4"/>
        <v>8.2487546372617051E-4</v>
      </c>
      <c r="BD4" s="106">
        <f t="shared" si="4"/>
        <v>7.7477059198111528E-2</v>
      </c>
      <c r="BE4" s="106">
        <f t="shared" si="4"/>
        <v>-1.5569154486841448E-4</v>
      </c>
      <c r="BF4" s="106">
        <f t="shared" si="4"/>
        <v>1.1361278651425304E-7</v>
      </c>
      <c r="BG4" s="106">
        <f t="shared" si="4"/>
        <v>6.7860435732751533E-3</v>
      </c>
      <c r="BH4" s="106">
        <f t="shared" si="4"/>
        <v>6.2221771895861798E-3</v>
      </c>
      <c r="BI4" s="106">
        <f t="shared" si="4"/>
        <v>1.1546550867237028E-2</v>
      </c>
      <c r="BJ4" s="106">
        <f t="shared" si="4"/>
        <v>1.750317725261991E-4</v>
      </c>
      <c r="BK4" s="106">
        <f t="shared" si="4"/>
        <v>1.7030462413777314E-2</v>
      </c>
      <c r="BL4" s="210">
        <f t="shared" si="4"/>
        <v>1.4611477862942165E-2</v>
      </c>
    </row>
    <row r="5" spans="2:68" x14ac:dyDescent="0.25">
      <c r="B5" s="272"/>
      <c r="C5" s="106" t="s">
        <v>812</v>
      </c>
      <c r="D5" s="106"/>
      <c r="E5" s="106">
        <f>E4</f>
        <v>36.057534246575344</v>
      </c>
      <c r="F5" s="106" t="str">
        <f>F4</f>
        <v>kWh</v>
      </c>
      <c r="G5" s="106" t="str">
        <f>G4</f>
        <v>Electricity_LCIA</v>
      </c>
      <c r="H5" s="106">
        <f>Electricity_LCIA!G11</f>
        <v>0.5419655874673629</v>
      </c>
      <c r="I5" s="106">
        <f>Electricity_LCIA!H11</f>
        <v>0.11486336292428198</v>
      </c>
      <c r="J5" s="106">
        <f>Electricity_LCIA!I11</f>
        <v>6.1839642297650137</v>
      </c>
      <c r="K5" s="106">
        <f>Electricity_LCIA!J11</f>
        <v>5.1650661775456928E-2</v>
      </c>
      <c r="L5" s="106">
        <f>Electricity_LCIA!K11</f>
        <v>3.054172584856397</v>
      </c>
      <c r="M5" s="106">
        <f>Electricity_LCIA!L11</f>
        <v>1.6458639686684073E-5</v>
      </c>
      <c r="N5" s="106">
        <f>Electricity_LCIA!M11</f>
        <v>0.15977555091383813</v>
      </c>
      <c r="O5" s="106">
        <f>Electricity_LCIA!N11</f>
        <v>0.38832202088772849</v>
      </c>
      <c r="P5" s="106">
        <f>Electricity_LCIA!O11</f>
        <v>0.24040020887728458</v>
      </c>
      <c r="Q5" s="106">
        <f>Electricity_LCIA!P11</f>
        <v>10.193165078639687</v>
      </c>
      <c r="R5" s="106">
        <f>Electricity_LCIA!Q11</f>
        <v>1.8219798955613577E-2</v>
      </c>
      <c r="S5" s="106">
        <f>Electricity_LCIA!R11</f>
        <v>0.53659420365535249</v>
      </c>
      <c r="T5" s="106">
        <f>Electricity_LCIA!S11</f>
        <v>0.15486563968668407</v>
      </c>
      <c r="U5" s="106">
        <f>Electricity_LCIA!T11</f>
        <v>2.9189305483028723E-2</v>
      </c>
      <c r="V5" s="106">
        <f>Electricity_LCIA!U11</f>
        <v>4.1904671018276764E-4</v>
      </c>
      <c r="W5" s="106">
        <f>Electricity_LCIA!V11</f>
        <v>0.27983031331592689</v>
      </c>
      <c r="X5" s="106">
        <f>Electricity_LCIA!W11</f>
        <v>0.19626505221932111</v>
      </c>
      <c r="Y5" s="106">
        <f>Electricity_LCIA!X11</f>
        <v>2.5124976501305483E-2</v>
      </c>
      <c r="Z5" s="106">
        <f>Electricity_LCIA!Y11</f>
        <v>1.2668443864229768E-4</v>
      </c>
      <c r="AA5" s="106">
        <f>Electricity_LCIA!Z11</f>
        <v>1.1870908616187991E-2</v>
      </c>
      <c r="AB5" s="106">
        <f>Electricity_LCIA!AA11</f>
        <v>-2.0894663185378589E-5</v>
      </c>
      <c r="AC5" s="106">
        <f>Electricity_LCIA!AB11</f>
        <v>1.7351665796344647E-8</v>
      </c>
      <c r="AD5" s="106">
        <f>Electricity_LCIA!AC11</f>
        <v>1.1836822454308095E-3</v>
      </c>
      <c r="AE5" s="106">
        <f>Electricity_LCIA!AD11</f>
        <v>8.6051151436031335E-4</v>
      </c>
      <c r="AF5" s="106">
        <f>Electricity_LCIA!AE11</f>
        <v>1.4317652480417755E-3</v>
      </c>
      <c r="AG5" s="106">
        <f>Electricity_LCIA!AF11</f>
        <v>2.8570634464751955E-5</v>
      </c>
      <c r="AH5" s="106">
        <f>Electricity_LCIA!AG11</f>
        <v>2.5710911227154049E-3</v>
      </c>
      <c r="AI5" s="210">
        <f>Electricity_LCIA!AH11</f>
        <v>2.5127287206266318E-3</v>
      </c>
      <c r="AK5" s="213">
        <f t="shared" ref="AK5:AK11" si="5">$E5*H5*18%</f>
        <v>3.5175496915025568</v>
      </c>
      <c r="AL5" s="106">
        <f t="shared" si="4"/>
        <v>0.74550413561743978</v>
      </c>
      <c r="AM5" s="106">
        <f t="shared" si="4"/>
        <v>40.136130358982804</v>
      </c>
      <c r="AN5" s="106">
        <f t="shared" si="4"/>
        <v>0.33523119104882726</v>
      </c>
      <c r="AO5" s="106">
        <f t="shared" si="4"/>
        <v>19.822667863213994</v>
      </c>
      <c r="AP5" s="106">
        <f t="shared" si="4"/>
        <v>1.068224335478379E-4</v>
      </c>
      <c r="AQ5" s="106">
        <f t="shared" si="4"/>
        <v>1.0370002317914089</v>
      </c>
      <c r="AR5" s="106">
        <f t="shared" si="4"/>
        <v>2.5203482220345506</v>
      </c>
      <c r="AS5" s="106">
        <f t="shared" si="4"/>
        <v>1.5602829776057798</v>
      </c>
      <c r="AT5" s="106">
        <f t="shared" si="4"/>
        <v>66.157271802728346</v>
      </c>
      <c r="AU5" s="106">
        <f t="shared" si="4"/>
        <v>0.11825298446539576</v>
      </c>
      <c r="AV5" s="106">
        <f t="shared" si="4"/>
        <v>3.4826874974670057</v>
      </c>
      <c r="AW5" s="106">
        <f t="shared" si="4"/>
        <v>1.0051331591916735</v>
      </c>
      <c r="AX5" s="106">
        <f t="shared" si="4"/>
        <v>0.18944898877585037</v>
      </c>
      <c r="AY5" s="106">
        <f t="shared" si="4"/>
        <v>2.7197623985993776E-3</v>
      </c>
      <c r="AZ5" s="106">
        <f t="shared" si="4"/>
        <v>1.8161983990114097</v>
      </c>
      <c r="BA5" s="106">
        <f t="shared" si="4"/>
        <v>1.2738300915247323</v>
      </c>
      <c r="BB5" s="106">
        <f t="shared" si="4"/>
        <v>0.16307004611524017</v>
      </c>
      <c r="BC5" s="106">
        <f t="shared" si="4"/>
        <v>8.2222712727350784E-4</v>
      </c>
      <c r="BD5" s="106">
        <f t="shared" si="4"/>
        <v>7.7046424913909659E-2</v>
      </c>
      <c r="BE5" s="106">
        <f t="shared" si="4"/>
        <v>-1.3561380600794019E-4</v>
      </c>
      <c r="BF5" s="106">
        <f t="shared" si="4"/>
        <v>1.1261849106362888E-7</v>
      </c>
      <c r="BG5" s="106">
        <f t="shared" si="4"/>
        <v>7.6825193583032296E-3</v>
      </c>
      <c r="BH5" s="106">
        <f t="shared" si="4"/>
        <v>5.5850262117514938E-3</v>
      </c>
      <c r="BI5" s="106">
        <f t="shared" si="4"/>
        <v>9.2926664035780961E-3</v>
      </c>
      <c r="BJ5" s="106">
        <f t="shared" si="4"/>
        <v>1.8543359351865229E-4</v>
      </c>
      <c r="BK5" s="106">
        <f t="shared" si="4"/>
        <v>1.6687297117507782E-2</v>
      </c>
      <c r="BL5" s="210">
        <f t="shared" si="4"/>
        <v>1.6308504341342681E-2</v>
      </c>
    </row>
    <row r="6" spans="2:68" x14ac:dyDescent="0.25">
      <c r="B6" s="272"/>
      <c r="C6" s="106" t="s">
        <v>813</v>
      </c>
      <c r="D6" s="106"/>
      <c r="E6" s="106">
        <f t="shared" ref="E6:E8" si="6">E5</f>
        <v>36.057534246575344</v>
      </c>
      <c r="F6" s="106" t="str">
        <f t="shared" ref="F6:F8" si="7">F5</f>
        <v>kWh</v>
      </c>
      <c r="G6" s="106" t="str">
        <f t="shared" ref="G6:G8" si="8">G5</f>
        <v>Electricity_LCIA</v>
      </c>
      <c r="H6" s="106">
        <f>Electricity_LCIA!G16</f>
        <v>0.57203271540469969</v>
      </c>
      <c r="I6" s="106">
        <f>Electricity_LCIA!H16</f>
        <v>0.10278457180156658</v>
      </c>
      <c r="J6" s="106">
        <f>Electricity_LCIA!I16</f>
        <v>6.4126637075718005</v>
      </c>
      <c r="K6" s="106">
        <f>Electricity_LCIA!J16</f>
        <v>2.8190515456919064E-2</v>
      </c>
      <c r="L6" s="106">
        <f>Electricity_LCIA!K16</f>
        <v>3.5326600522193212</v>
      </c>
      <c r="M6" s="106">
        <f>Electricity_LCIA!L16</f>
        <v>1.5796814621409922E-5</v>
      </c>
      <c r="N6" s="106">
        <f>Electricity_LCIA!M16</f>
        <v>0.11308213315926893</v>
      </c>
      <c r="O6" s="106">
        <f>Electricity_LCIA!N16</f>
        <v>0.24762533420365535</v>
      </c>
      <c r="P6" s="106">
        <f>Electricity_LCIA!O16</f>
        <v>0.21509994778067884</v>
      </c>
      <c r="Q6" s="106">
        <f>Electricity_LCIA!P16</f>
        <v>10.652122059007834</v>
      </c>
      <c r="R6" s="106">
        <f>Electricity_LCIA!Q16</f>
        <v>1.6585550913838117E-2</v>
      </c>
      <c r="S6" s="106">
        <f>Electricity_LCIA!R16</f>
        <v>0.56638302872062662</v>
      </c>
      <c r="T6" s="106">
        <f>Electricity_LCIA!S16</f>
        <v>0.1601117232375979</v>
      </c>
      <c r="U6" s="106">
        <f>Electricity_LCIA!T16</f>
        <v>2.8952375979112269E-2</v>
      </c>
      <c r="V6" s="106">
        <f>Electricity_LCIA!U16</f>
        <v>4.067969190600522E-4</v>
      </c>
      <c r="W6" s="106">
        <f>Electricity_LCIA!V16</f>
        <v>0.27474049608355089</v>
      </c>
      <c r="X6" s="106">
        <f>Electricity_LCIA!W16</f>
        <v>0.22729954308093991</v>
      </c>
      <c r="Y6" s="106">
        <f>Electricity_LCIA!X16</f>
        <v>2.4903673629242815E-2</v>
      </c>
      <c r="Z6" s="106">
        <f>Electricity_LCIA!Y16</f>
        <v>1.2667699738903396E-4</v>
      </c>
      <c r="AA6" s="106">
        <f>Electricity_LCIA!Z16</f>
        <v>1.1893976501305484E-2</v>
      </c>
      <c r="AB6" s="106">
        <f>Electricity_LCIA!AA16</f>
        <v>-2.2322788511749344E-5</v>
      </c>
      <c r="AC6" s="106">
        <f>Electricity_LCIA!AB16</f>
        <v>1.7435007832898173E-8</v>
      </c>
      <c r="AD6" s="106">
        <f>Electricity_LCIA!AC16</f>
        <v>1.1220835509138383E-3</v>
      </c>
      <c r="AE6" s="106">
        <f>Electricity_LCIA!AD16</f>
        <v>9.0626480417754578E-4</v>
      </c>
      <c r="AF6" s="106">
        <f>Electricity_LCIA!AE16</f>
        <v>1.5935827415143602E-3</v>
      </c>
      <c r="AG6" s="106">
        <f>Electricity_LCIA!AF16</f>
        <v>2.7830676240208873E-5</v>
      </c>
      <c r="AH6" s="106">
        <f>Electricity_LCIA!AG16</f>
        <v>2.5936827676240207E-3</v>
      </c>
      <c r="AI6" s="210">
        <f>Electricity_LCIA!AH16</f>
        <v>2.3923143603133156E-3</v>
      </c>
      <c r="AK6" s="213">
        <f t="shared" si="5"/>
        <v>3.7126960606559605</v>
      </c>
      <c r="AL6" s="106">
        <f t="shared" si="4"/>
        <v>0.6671084791958225</v>
      </c>
      <c r="AM6" s="106">
        <f t="shared" si="4"/>
        <v>41.62047142455738</v>
      </c>
      <c r="AN6" s="106">
        <f t="shared" si="4"/>
        <v>0.18296648577296473</v>
      </c>
      <c r="AO6" s="106">
        <f t="shared" si="4"/>
        <v>22.928221946593226</v>
      </c>
      <c r="AP6" s="106">
        <f t="shared" si="4"/>
        <v>1.0252695315569227E-4</v>
      </c>
      <c r="AQ6" s="106">
        <f t="shared" si="4"/>
        <v>0.73394332003190377</v>
      </c>
      <c r="AR6" s="106">
        <f t="shared" si="4"/>
        <v>1.607176614306234</v>
      </c>
      <c r="AS6" s="106">
        <f t="shared" si="4"/>
        <v>1.3960752720369112</v>
      </c>
      <c r="AT6" s="106">
        <f t="shared" si="4"/>
        <v>69.136066069447608</v>
      </c>
      <c r="AU6" s="106">
        <f t="shared" si="4"/>
        <v>0.10764613261332663</v>
      </c>
      <c r="AV6" s="106">
        <f t="shared" si="4"/>
        <v>3.6760275818591506</v>
      </c>
      <c r="AW6" s="106">
        <f t="shared" si="4"/>
        <v>1.0391821099052183</v>
      </c>
      <c r="AX6" s="106">
        <f t="shared" si="4"/>
        <v>0.18791123190958187</v>
      </c>
      <c r="AY6" s="106">
        <f t="shared" si="4"/>
        <v>2.6402568912736505E-3</v>
      </c>
      <c r="AZ6" s="106">
        <f t="shared" si="4"/>
        <v>1.7831636723616724</v>
      </c>
      <c r="BA6" s="106">
        <f t="shared" si="4"/>
        <v>1.4752549905969452</v>
      </c>
      <c r="BB6" s="106">
        <f t="shared" si="4"/>
        <v>0.16163371165535245</v>
      </c>
      <c r="BC6" s="106">
        <f t="shared" si="4"/>
        <v>8.2217883088951693E-4</v>
      </c>
      <c r="BD6" s="106">
        <f t="shared" si="4"/>
        <v>7.7196143704281267E-2</v>
      </c>
      <c r="BE6" s="106">
        <f t="shared" si="4"/>
        <v>-1.4488284802346291E-4</v>
      </c>
      <c r="BF6" s="106">
        <f t="shared" si="4"/>
        <v>1.1315941056432635E-7</v>
      </c>
      <c r="BG6" s="106">
        <f t="shared" si="4"/>
        <v>7.2827218916270255E-3</v>
      </c>
      <c r="BH6" s="106">
        <f t="shared" si="4"/>
        <v>5.881981358357595E-3</v>
      </c>
      <c r="BI6" s="106">
        <f t="shared" si="4"/>
        <v>1.0342919569842983E-2</v>
      </c>
      <c r="BJ6" s="106">
        <f t="shared" si="4"/>
        <v>1.8063100109460276E-4</v>
      </c>
      <c r="BK6" s="106">
        <f t="shared" si="4"/>
        <v>1.6833924939303978E-2</v>
      </c>
      <c r="BL6" s="210">
        <f t="shared" si="4"/>
        <v>1.5526972255602844E-2</v>
      </c>
    </row>
    <row r="7" spans="2:68" x14ac:dyDescent="0.25">
      <c r="B7" s="272"/>
      <c r="C7" s="106" t="s">
        <v>814</v>
      </c>
      <c r="D7" s="106"/>
      <c r="E7" s="106">
        <f t="shared" si="6"/>
        <v>36.057534246575344</v>
      </c>
      <c r="F7" s="106" t="str">
        <f t="shared" si="7"/>
        <v>kWh</v>
      </c>
      <c r="G7" s="106" t="str">
        <f t="shared" si="8"/>
        <v>Electricity_LCIA</v>
      </c>
      <c r="H7" s="106">
        <f>Electricity_LCIA!G22</f>
        <v>0.55515292428198437</v>
      </c>
      <c r="I7" s="106">
        <f>Electricity_LCIA!H22</f>
        <v>0.10956564751958225</v>
      </c>
      <c r="J7" s="106">
        <f>Electricity_LCIA!I22</f>
        <v>6.2842710182767618</v>
      </c>
      <c r="K7" s="106">
        <f>Electricity_LCIA!J22</f>
        <v>4.1361123916449083E-2</v>
      </c>
      <c r="L7" s="106">
        <f>Electricity_LCIA!K22</f>
        <v>3.2640355091383815</v>
      </c>
      <c r="M7" s="106">
        <f>Electricity_LCIA!L22</f>
        <v>1.6168365535248041E-5</v>
      </c>
      <c r="N7" s="106">
        <f>Electricity_LCIA!M22</f>
        <v>0.13929598172323759</v>
      </c>
      <c r="O7" s="106">
        <f>Electricity_LCIA!N22</f>
        <v>0.32661294778067884</v>
      </c>
      <c r="P7" s="106">
        <f>Electricity_LCIA!O22</f>
        <v>0.22930360313315928</v>
      </c>
      <c r="Q7" s="106">
        <f>Electricity_LCIA!P22</f>
        <v>10.394461999853787</v>
      </c>
      <c r="R7" s="106">
        <f>Electricity_LCIA!Q22</f>
        <v>1.7503023498694516E-2</v>
      </c>
      <c r="S7" s="106">
        <f>Electricity_LCIA!R22</f>
        <v>0.54965947780678848</v>
      </c>
      <c r="T7" s="106">
        <f>Electricity_LCIA!S22</f>
        <v>0.15716655352480419</v>
      </c>
      <c r="U7" s="106">
        <f>Electricity_LCIA!T22</f>
        <v>2.908538903394256E-2</v>
      </c>
      <c r="V7" s="106">
        <f>Electricity_LCIA!U22</f>
        <v>4.136739947780679E-4</v>
      </c>
      <c r="W7" s="106">
        <f>Electricity_LCIA!V22</f>
        <v>0.27759793733681465</v>
      </c>
      <c r="X7" s="106">
        <f>Electricity_LCIA!W22</f>
        <v>0.20987667101827676</v>
      </c>
      <c r="Y7" s="106">
        <f>Electricity_LCIA!X22</f>
        <v>2.5027913838120107E-2</v>
      </c>
      <c r="Z7" s="106">
        <f>Electricity_LCIA!Y22</f>
        <v>1.2668117493472585E-4</v>
      </c>
      <c r="AA7" s="106">
        <f>Electricity_LCIA!Z22</f>
        <v>1.1881026109660575E-2</v>
      </c>
      <c r="AB7" s="106">
        <f>Electricity_LCIA!AA22</f>
        <v>-2.1521033942558744E-5</v>
      </c>
      <c r="AC7" s="106">
        <f>Electricity_LCIA!AB22</f>
        <v>1.7388219321148827E-8</v>
      </c>
      <c r="AD7" s="106">
        <f>Electricity_LCIA!AC22</f>
        <v>1.156665274151436E-3</v>
      </c>
      <c r="AE7" s="106">
        <f>Electricity_LCIA!AD22</f>
        <v>8.8057874673629251E-4</v>
      </c>
      <c r="AF7" s="106">
        <f>Electricity_LCIA!AE22</f>
        <v>1.5027378328981724E-3</v>
      </c>
      <c r="AG7" s="106">
        <f>Electricity_LCIA!AF22</f>
        <v>2.824609138381201E-5</v>
      </c>
      <c r="AH7" s="106">
        <f>Electricity_LCIA!AG22</f>
        <v>2.5809997389033938E-3</v>
      </c>
      <c r="AI7" s="210">
        <f>Electricity_LCIA!AH22</f>
        <v>2.459915404699739E-3</v>
      </c>
      <c r="AK7" s="213">
        <f t="shared" si="5"/>
        <v>3.6031402042891383</v>
      </c>
      <c r="AL7" s="106">
        <f t="shared" si="4"/>
        <v>0.7111200757833972</v>
      </c>
      <c r="AM7" s="106">
        <f t="shared" si="4"/>
        <v>40.787157142129544</v>
      </c>
      <c r="AN7" s="106">
        <f t="shared" si="4"/>
        <v>0.26844842557695764</v>
      </c>
      <c r="AO7" s="106">
        <f t="shared" si="4"/>
        <v>21.184752987503131</v>
      </c>
      <c r="AP7" s="106">
        <f t="shared" si="4"/>
        <v>1.0493845091970384E-4</v>
      </c>
      <c r="AQ7" s="106">
        <f t="shared" si="4"/>
        <v>0.90408053365127505</v>
      </c>
      <c r="AR7" s="106">
        <f t="shared" si="4"/>
        <v>2.1198343589958153</v>
      </c>
      <c r="AS7" s="106">
        <f t="shared" si="4"/>
        <v>1.4882620541106621</v>
      </c>
      <c r="AT7" s="106">
        <f t="shared" si="4"/>
        <v>67.463760516201702</v>
      </c>
      <c r="AU7" s="106">
        <f t="shared" si="4"/>
        <v>0.11360085646010229</v>
      </c>
      <c r="AV7" s="106">
        <f t="shared" si="4"/>
        <v>3.5674857800951387</v>
      </c>
      <c r="AW7" s="106">
        <f t="shared" si="4"/>
        <v>1.020066909504632</v>
      </c>
      <c r="AX7" s="106">
        <f t="shared" si="4"/>
        <v>0.18877453400994315</v>
      </c>
      <c r="AY7" s="106">
        <f t="shared" si="4"/>
        <v>2.6848915620530061E-3</v>
      </c>
      <c r="AZ7" s="106">
        <f t="shared" si="4"/>
        <v>1.8017094838141565</v>
      </c>
      <c r="BA7" s="106">
        <f t="shared" si="4"/>
        <v>1.3621743455037734</v>
      </c>
      <c r="BB7" s="106">
        <f t="shared" si="4"/>
        <v>0.16244007486090348</v>
      </c>
      <c r="BC7" s="106">
        <f t="shared" si="4"/>
        <v>8.2220594464895021E-4</v>
      </c>
      <c r="BD7" s="106">
        <f t="shared" si="4"/>
        <v>7.7112091050037551E-2</v>
      </c>
      <c r="BE7" s="106">
        <f t="shared" si="4"/>
        <v>-1.39679175312994E-4</v>
      </c>
      <c r="BF7" s="106">
        <f t="shared" si="4"/>
        <v>1.1285573645867163E-7</v>
      </c>
      <c r="BG7" s="106">
        <f t="shared" si="4"/>
        <v>7.5071695922171748E-3</v>
      </c>
      <c r="BH7" s="106">
        <f t="shared" si="4"/>
        <v>5.7152696971050475E-3</v>
      </c>
      <c r="BI7" s="106">
        <f t="shared" si="4"/>
        <v>9.7533037572030482E-3</v>
      </c>
      <c r="BJ7" s="106">
        <f t="shared" si="4"/>
        <v>1.8332719333266569E-4</v>
      </c>
      <c r="BK7" s="106">
        <f t="shared" si="4"/>
        <v>1.6751607565664007E-2</v>
      </c>
      <c r="BL7" s="210">
        <f t="shared" si="4"/>
        <v>1.5965727110755036E-2</v>
      </c>
    </row>
    <row r="8" spans="2:68" x14ac:dyDescent="0.25">
      <c r="B8" s="272"/>
      <c r="C8" s="106" t="s">
        <v>815</v>
      </c>
      <c r="D8" s="106"/>
      <c r="E8" s="106">
        <f t="shared" si="6"/>
        <v>36.057534246575344</v>
      </c>
      <c r="F8" s="106" t="str">
        <f t="shared" si="7"/>
        <v>kWh</v>
      </c>
      <c r="G8" s="106" t="str">
        <f t="shared" si="8"/>
        <v>Electricity_LCIA</v>
      </c>
      <c r="H8" s="106">
        <f>Electricity_LCIA!G29</f>
        <v>0.55807443864229755</v>
      </c>
      <c r="I8" s="106">
        <f>Electricity_LCIA!H29</f>
        <v>0.14502702610966056</v>
      </c>
      <c r="J8" s="106">
        <f>Electricity_LCIA!I29</f>
        <v>6.4028618798955614</v>
      </c>
      <c r="K8" s="106">
        <f>Electricity_LCIA!J29</f>
        <v>3.9308293263707571E-2</v>
      </c>
      <c r="L8" s="106">
        <f>Electricity_LCIA!K29</f>
        <v>3.234064490861619</v>
      </c>
      <c r="M8" s="106">
        <f>Electricity_LCIA!L29</f>
        <v>1.7778104438642296E-5</v>
      </c>
      <c r="N8" s="106">
        <f>Electricity_LCIA!M29</f>
        <v>0.14010678328981724</v>
      </c>
      <c r="O8" s="106">
        <f>Electricity_LCIA!N29</f>
        <v>0.32612060835509132</v>
      </c>
      <c r="P8" s="106">
        <f>Electricity_LCIA!O29</f>
        <v>0.21511478851174934</v>
      </c>
      <c r="Q8" s="106">
        <f>Electricity_LCIA!P29</f>
        <v>10.502621648391646</v>
      </c>
      <c r="R8" s="106">
        <f>Electricity_LCIA!Q29</f>
        <v>2.2304780678851176E-2</v>
      </c>
      <c r="S8" s="106">
        <f>Electricity_LCIA!R29</f>
        <v>0.55251279373368145</v>
      </c>
      <c r="T8" s="106">
        <f>Electricity_LCIA!S29</f>
        <v>0.1605783550913838</v>
      </c>
      <c r="U8" s="106">
        <f>Electricity_LCIA!T29</f>
        <v>2.9256590078328981E-2</v>
      </c>
      <c r="V8" s="106">
        <f>Electricity_LCIA!U29</f>
        <v>4.2270838120104436E-4</v>
      </c>
      <c r="W8" s="106">
        <f>Electricity_LCIA!V29</f>
        <v>0.28294916449086166</v>
      </c>
      <c r="X8" s="106">
        <f>Electricity_LCIA!W29</f>
        <v>0.20792962140992166</v>
      </c>
      <c r="Y8" s="106">
        <f>Electricity_LCIA!X29</f>
        <v>2.5155352480417753E-2</v>
      </c>
      <c r="Z8" s="106">
        <f>Electricity_LCIA!Y29</f>
        <v>1.2840164490861619E-4</v>
      </c>
      <c r="AA8" s="106">
        <f>Electricity_LCIA!Z29</f>
        <v>1.1870924281984333E-2</v>
      </c>
      <c r="AB8" s="106">
        <f>Electricity_LCIA!AA29</f>
        <v>-2.1383368146214101E-5</v>
      </c>
      <c r="AC8" s="106">
        <f>Electricity_LCIA!AB29</f>
        <v>1.8177725848563967E-8</v>
      </c>
      <c r="AD8" s="106">
        <f>Electricity_LCIA!AC29</f>
        <v>1.1827540469973891E-3</v>
      </c>
      <c r="AE8" s="106">
        <f>Electricity_LCIA!AD29</f>
        <v>8.7289798955613579E-4</v>
      </c>
      <c r="AF8" s="106">
        <f>Electricity_LCIA!AE29</f>
        <v>1.4731127676240207E-3</v>
      </c>
      <c r="AG8" s="106">
        <f>Electricity_LCIA!AF29</f>
        <v>2.9169060052219319E-5</v>
      </c>
      <c r="AH8" s="106">
        <f>Electricity_LCIA!AG29</f>
        <v>2.5840817232375981E-3</v>
      </c>
      <c r="AI8" s="210">
        <f>Electricity_LCIA!AH29</f>
        <v>2.4562462140992167E-3</v>
      </c>
      <c r="AK8" s="213">
        <f t="shared" si="5"/>
        <v>3.6221018730269314</v>
      </c>
      <c r="AL8" s="106">
        <f t="shared" si="4"/>
        <v>0.94127705291305119</v>
      </c>
      <c r="AM8" s="106">
        <f t="shared" si="4"/>
        <v>41.556854071876678</v>
      </c>
      <c r="AN8" s="106">
        <f t="shared" si="4"/>
        <v>0.25512482349550125</v>
      </c>
      <c r="AO8" s="106">
        <f t="shared" si="4"/>
        <v>20.990230404277693</v>
      </c>
      <c r="AP8" s="106">
        <f t="shared" si="4"/>
        <v>1.153862297343968E-4</v>
      </c>
      <c r="AQ8" s="106">
        <f t="shared" si="4"/>
        <v>0.90934292459701715</v>
      </c>
      <c r="AR8" s="106">
        <f t="shared" si="4"/>
        <v>2.1166389007699844</v>
      </c>
      <c r="AS8" s="106">
        <f t="shared" si="4"/>
        <v>1.3961715936672985</v>
      </c>
      <c r="AT8" s="106">
        <f t="shared" si="4"/>
        <v>68.165755157826965</v>
      </c>
      <c r="AU8" s="106">
        <f t="shared" si="4"/>
        <v>0.14476597077420511</v>
      </c>
      <c r="AV8" s="106">
        <f t="shared" si="4"/>
        <v>3.586004816710183</v>
      </c>
      <c r="AW8" s="106">
        <f t="shared" si="4"/>
        <v>1.0422107168339352</v>
      </c>
      <c r="AX8" s="106">
        <f t="shared" si="4"/>
        <v>0.18988568976372547</v>
      </c>
      <c r="AY8" s="106">
        <f t="shared" si="4"/>
        <v>2.7435279476647947E-3</v>
      </c>
      <c r="AZ8" s="106">
        <f t="shared" si="4"/>
        <v>1.8364408539604424</v>
      </c>
      <c r="BA8" s="106">
        <f t="shared" si="4"/>
        <v>1.3495373000758253</v>
      </c>
      <c r="BB8" s="106">
        <f t="shared" si="4"/>
        <v>0.16326719703852069</v>
      </c>
      <c r="BC8" s="106">
        <f t="shared" si="4"/>
        <v>8.3337240754962629E-4</v>
      </c>
      <c r="BD8" s="106">
        <f t="shared" si="4"/>
        <v>7.7046526590507522E-2</v>
      </c>
      <c r="BE8" s="106">
        <f t="shared" si="4"/>
        <v>-1.3878567526306377E-4</v>
      </c>
      <c r="BF8" s="106">
        <f t="shared" si="4"/>
        <v>1.1797991501570155E-7</v>
      </c>
      <c r="BG8" s="106">
        <f t="shared" si="4"/>
        <v>7.6764950198791098E-3</v>
      </c>
      <c r="BH8" s="106">
        <f t="shared" si="4"/>
        <v>5.6654188473936841E-3</v>
      </c>
      <c r="BI8" s="106">
        <f t="shared" si="4"/>
        <v>9.5610265321806921E-3</v>
      </c>
      <c r="BJ8" s="106">
        <f t="shared" si="4"/>
        <v>1.8931758871919594E-4</v>
      </c>
      <c r="BK8" s="106">
        <f t="shared" si="4"/>
        <v>1.6771610741686042E-2</v>
      </c>
      <c r="BL8" s="210">
        <f t="shared" si="4"/>
        <v>1.5941912756922638E-2</v>
      </c>
    </row>
    <row r="9" spans="2:68" x14ac:dyDescent="0.25">
      <c r="B9" s="272"/>
      <c r="C9" s="106" t="s">
        <v>237</v>
      </c>
      <c r="D9" s="106" t="s">
        <v>190</v>
      </c>
      <c r="E9" s="106">
        <f>Accommodation!I3*3</f>
        <v>147.74281590195841</v>
      </c>
      <c r="F9" s="106" t="s">
        <v>187</v>
      </c>
      <c r="G9" s="106" t="s">
        <v>183</v>
      </c>
      <c r="H9" s="106">
        <v>7.1299000000000001E-2</v>
      </c>
      <c r="I9" s="106">
        <v>1.1628999999999999E-3</v>
      </c>
      <c r="J9" s="106">
        <v>1.1308</v>
      </c>
      <c r="K9" s="106">
        <v>9.9963000000000005E-5</v>
      </c>
      <c r="L9" s="106">
        <v>5.5043999999999996E-3</v>
      </c>
      <c r="M9" s="106">
        <v>7.0716000000000002E-6</v>
      </c>
      <c r="N9" s="106">
        <v>1.9375999999999999E-4</v>
      </c>
      <c r="O9" s="106">
        <v>3.1161000000000001E-3</v>
      </c>
      <c r="P9" s="106">
        <v>6.6029999999999995E-4</v>
      </c>
      <c r="Q9" s="106">
        <v>1.1415444946</v>
      </c>
      <c r="R9" s="106">
        <v>2.096E-4</v>
      </c>
      <c r="S9" s="106">
        <v>6.9820999999999994E-2</v>
      </c>
      <c r="T9" s="106">
        <v>3.2570000000000002E-2</v>
      </c>
      <c r="U9" s="106">
        <v>4.1967000000000003E-4</v>
      </c>
      <c r="V9" s="106">
        <v>1.7869E-6</v>
      </c>
      <c r="W9" s="106">
        <v>3.1952999999999999E-3</v>
      </c>
      <c r="X9" s="106">
        <v>4.5014000000000002E-4</v>
      </c>
      <c r="Y9" s="106">
        <v>2.4911999999999997E-4</v>
      </c>
      <c r="Z9" s="106">
        <v>2.1670000000000002E-6</v>
      </c>
      <c r="AA9" s="106">
        <v>4.6640000000000001E-4</v>
      </c>
      <c r="AB9" s="106">
        <v>-3.1935000000000001E-7</v>
      </c>
      <c r="AC9" s="106">
        <v>5.8852999999999999E-9</v>
      </c>
      <c r="AD9" s="106">
        <v>2.1505000000000002E-5</v>
      </c>
      <c r="AE9" s="106">
        <v>6.8045000000000003E-5</v>
      </c>
      <c r="AF9" s="106">
        <v>5.8721999999999998E-5</v>
      </c>
      <c r="AG9" s="106">
        <v>3.5626E-6</v>
      </c>
      <c r="AH9" s="106">
        <v>2.2020000000000001E-4</v>
      </c>
      <c r="AI9" s="210">
        <v>2.6978000000000002E-5</v>
      </c>
      <c r="AK9" s="213">
        <f t="shared" si="5"/>
        <v>1.8961047055788718</v>
      </c>
      <c r="AL9" s="106">
        <f t="shared" si="4"/>
        <v>3.0925821710229735E-2</v>
      </c>
      <c r="AM9" s="106">
        <f t="shared" si="4"/>
        <v>30.072163719948218</v>
      </c>
      <c r="AN9" s="106">
        <f t="shared" si="4"/>
        <v>2.6583867190813444E-3</v>
      </c>
      <c r="AO9" s="106">
        <f t="shared" si="4"/>
        <v>0.14638240005313316</v>
      </c>
      <c r="AP9" s="106">
        <f t="shared" si="4"/>
        <v>1.8806005744781204E-4</v>
      </c>
      <c r="AQ9" s="106">
        <f t="shared" si="4"/>
        <v>5.1527966416494222E-3</v>
      </c>
      <c r="AR9" s="106">
        <f t="shared" si="4"/>
        <v>8.2868649953776671E-2</v>
      </c>
      <c r="AS9" s="106">
        <f t="shared" si="4"/>
        <v>1.7559824641211363E-2</v>
      </c>
      <c r="AT9" s="106">
        <f t="shared" si="4"/>
        <v>30.357899659724751</v>
      </c>
      <c r="AU9" s="106">
        <f t="shared" si="4"/>
        <v>5.5740409583490864E-3</v>
      </c>
      <c r="AV9" s="106">
        <f t="shared" si="4"/>
        <v>1.8567992068363148</v>
      </c>
      <c r="AW9" s="106">
        <f t="shared" si="4"/>
        <v>0.8661570325068213</v>
      </c>
      <c r="AX9" s="106">
        <f t="shared" si="4"/>
        <v>1.1160580958923479E-2</v>
      </c>
      <c r="AY9" s="106">
        <f t="shared" si="4"/>
        <v>4.7520294792337702E-5</v>
      </c>
      <c r="AZ9" s="106">
        <f t="shared" si="4"/>
        <v>8.4974871537274982E-2</v>
      </c>
      <c r="BA9" s="106">
        <f t="shared" si="4"/>
        <v>1.1970891207019361E-2</v>
      </c>
      <c r="BB9" s="106">
        <f t="shared" si="4"/>
        <v>6.6250242535492573E-3</v>
      </c>
      <c r="BC9" s="106">
        <f t="shared" si="4"/>
        <v>5.7628562770717903E-5</v>
      </c>
      <c r="BD9" s="106">
        <f t="shared" si="4"/>
        <v>1.2403304880601212E-2</v>
      </c>
      <c r="BE9" s="106">
        <f t="shared" si="4"/>
        <v>-8.4927002864922748E-6</v>
      </c>
      <c r="BF9" s="106">
        <f t="shared" si="4"/>
        <v>1.5651194299700322E-7</v>
      </c>
      <c r="BG9" s="106">
        <f t="shared" si="4"/>
        <v>5.718976660748908E-4</v>
      </c>
      <c r="BH9" s="106">
        <f t="shared" si="4"/>
        <v>1.8095687834487767E-3</v>
      </c>
      <c r="BI9" s="106">
        <f t="shared" si="4"/>
        <v>1.5616356543710641E-3</v>
      </c>
      <c r="BJ9" s="106">
        <f t="shared" si="4"/>
        <v>9.4742740067817069E-5</v>
      </c>
      <c r="BK9" s="106">
        <f t="shared" si="4"/>
        <v>5.8559342510900239E-3</v>
      </c>
      <c r="BL9" s="210">
        <f t="shared" si="4"/>
        <v>7.1744502373254613E-4</v>
      </c>
    </row>
    <row r="10" spans="2:68" x14ac:dyDescent="0.25">
      <c r="B10" s="272"/>
      <c r="C10" s="106" t="s">
        <v>238</v>
      </c>
      <c r="D10" s="106" t="s">
        <v>831</v>
      </c>
      <c r="E10" s="106">
        <f>Accommodation!F3*3</f>
        <v>651.84760200000005</v>
      </c>
      <c r="F10" s="106" t="s">
        <v>106</v>
      </c>
      <c r="G10" s="106" t="s">
        <v>183</v>
      </c>
      <c r="H10" s="106">
        <v>7.8616999999999999E-4</v>
      </c>
      <c r="I10" s="106">
        <v>1.9751E-4</v>
      </c>
      <c r="J10" s="106">
        <v>9.4672000000000003E-3</v>
      </c>
      <c r="K10" s="106">
        <v>3.2061999999999999E-5</v>
      </c>
      <c r="L10" s="106">
        <v>2.1827999999999999E-3</v>
      </c>
      <c r="M10" s="106">
        <v>3.3095999999999999E-7</v>
      </c>
      <c r="N10" s="106">
        <v>2.3504E-6</v>
      </c>
      <c r="O10" s="106">
        <v>6.9337999999999995E-4</v>
      </c>
      <c r="P10" s="106">
        <v>2.4444000000000001E-4</v>
      </c>
      <c r="Q10" s="106">
        <f>SUM(I10:P10)</f>
        <v>1.282007336E-2</v>
      </c>
      <c r="R10" s="106">
        <v>3.6423E-5</v>
      </c>
      <c r="S10" s="106">
        <v>7.6884000000000002E-4</v>
      </c>
      <c r="T10" s="106">
        <v>2.3416999999999999E-4</v>
      </c>
      <c r="U10" s="106">
        <v>1.8153000000000001E-5</v>
      </c>
      <c r="V10" s="106">
        <v>4.4477999999999999E-7</v>
      </c>
      <c r="W10" s="106">
        <v>4.2660000000000002E-4</v>
      </c>
      <c r="X10" s="106">
        <v>1.4076E-4</v>
      </c>
      <c r="Y10" s="106">
        <v>1.6370000000000001E-5</v>
      </c>
      <c r="Z10" s="106">
        <v>2.2333999999999999E-7</v>
      </c>
      <c r="AA10" s="106">
        <v>2.0411000000000002E-5</v>
      </c>
      <c r="AB10" s="106">
        <v>-6.3623E-8</v>
      </c>
      <c r="AC10" s="106">
        <v>1.6629E-10</v>
      </c>
      <c r="AD10" s="106">
        <v>2.0271999999999998E-6</v>
      </c>
      <c r="AE10" s="106">
        <v>2.4003999999999999E-6</v>
      </c>
      <c r="AF10" s="106">
        <v>3.0645999999999998E-6</v>
      </c>
      <c r="AG10" s="106">
        <v>7.2106999999999998E-8</v>
      </c>
      <c r="AH10" s="106">
        <v>7.5768E-6</v>
      </c>
      <c r="AI10" s="210">
        <v>1.0698E-5</v>
      </c>
      <c r="AK10" s="213">
        <f t="shared" si="5"/>
        <v>9.2243345267581212E-2</v>
      </c>
      <c r="AL10" s="106">
        <f t="shared" si="4"/>
        <v>2.3174355576783601E-2</v>
      </c>
      <c r="AM10" s="106">
        <f t="shared" si="4"/>
        <v>1.1108108911777921</v>
      </c>
      <c r="AN10" s="106">
        <f t="shared" si="4"/>
        <v>3.7619168067583204E-3</v>
      </c>
      <c r="AO10" s="106">
        <f t="shared" si="4"/>
        <v>0.25611353021620797</v>
      </c>
      <c r="AP10" s="106">
        <f t="shared" si="4"/>
        <v>3.8832386824425603E-5</v>
      </c>
      <c r="AQ10" s="106">
        <f t="shared" si="4"/>
        <v>2.7577846867334396E-4</v>
      </c>
      <c r="AR10" s="106">
        <f t="shared" si="4"/>
        <v>8.1356056249456798E-2</v>
      </c>
      <c r="AS10" s="106">
        <f t="shared" si="4"/>
        <v>2.8680773009918403E-2</v>
      </c>
      <c r="AT10" s="106">
        <f t="shared" si="4"/>
        <v>1.504212133892415</v>
      </c>
      <c r="AU10" s="106">
        <f t="shared" si="4"/>
        <v>4.2736041373762808E-3</v>
      </c>
      <c r="AV10" s="106">
        <f t="shared" si="4"/>
        <v>9.0209971857902402E-2</v>
      </c>
      <c r="AW10" s="106">
        <f t="shared" si="4"/>
        <v>2.7475767532861201E-2</v>
      </c>
      <c r="AX10" s="106">
        <f t="shared" si="4"/>
        <v>2.1299381134390802E-3</v>
      </c>
      <c r="AY10" s="106">
        <f t="shared" si="4"/>
        <v>5.2187179755160803E-5</v>
      </c>
      <c r="AZ10" s="106">
        <f t="shared" si="4"/>
        <v>5.0054073662376006E-2</v>
      </c>
      <c r="BA10" s="106">
        <f t="shared" si="4"/>
        <v>1.65157323223536E-2</v>
      </c>
      <c r="BB10" s="106">
        <f t="shared" si="4"/>
        <v>1.9207341440532003E-3</v>
      </c>
      <c r="BC10" s="106">
        <f t="shared" si="4"/>
        <v>2.6205055817522402E-5</v>
      </c>
      <c r="BD10" s="106">
        <f t="shared" si="4"/>
        <v>2.3948750527959602E-3</v>
      </c>
      <c r="BE10" s="106">
        <f t="shared" si="4"/>
        <v>-7.4650499967682803E-6</v>
      </c>
      <c r="BF10" s="106">
        <f t="shared" si="4"/>
        <v>1.9511232792584402E-8</v>
      </c>
      <c r="BG10" s="106">
        <f t="shared" si="4"/>
        <v>2.3785658257939198E-4</v>
      </c>
      <c r="BH10" s="106">
        <f t="shared" si="4"/>
        <v>2.8164509709134399E-4</v>
      </c>
      <c r="BI10" s="106">
        <f t="shared" si="4"/>
        <v>3.5957738899605599E-4</v>
      </c>
      <c r="BJ10" s="106">
        <f t="shared" si="4"/>
        <v>8.4604995067345201E-6</v>
      </c>
      <c r="BK10" s="106">
        <f t="shared" si="4"/>
        <v>8.89005403950048E-4</v>
      </c>
      <c r="BL10" s="210">
        <f t="shared" si="4"/>
        <v>1.2552238163152801E-3</v>
      </c>
    </row>
    <row r="11" spans="2:68" x14ac:dyDescent="0.25">
      <c r="B11" s="272"/>
      <c r="C11" s="106" t="s">
        <v>189</v>
      </c>
      <c r="D11" s="106" t="s">
        <v>191</v>
      </c>
      <c r="E11" s="106">
        <f>E10/1000</f>
        <v>0.65184760200000003</v>
      </c>
      <c r="F11" s="106" t="s">
        <v>192</v>
      </c>
      <c r="G11" s="106" t="s">
        <v>183</v>
      </c>
      <c r="H11" s="106">
        <v>0.55149000000000004</v>
      </c>
      <c r="I11" s="106">
        <v>0.11234</v>
      </c>
      <c r="J11" s="106">
        <v>5.6473000000000004</v>
      </c>
      <c r="K11" s="106">
        <v>8.5579999999999996E-3</v>
      </c>
      <c r="L11" s="106">
        <v>0.58731</v>
      </c>
      <c r="M11" s="106">
        <v>4.6106000000000001E-4</v>
      </c>
      <c r="N11" s="106">
        <v>1.8717999999999999E-2</v>
      </c>
      <c r="O11" s="106">
        <v>0.30649999999999999</v>
      </c>
      <c r="P11" s="106">
        <v>6.4085000000000003E-2</v>
      </c>
      <c r="Q11" s="106">
        <v>6.7452720600000005</v>
      </c>
      <c r="R11" s="106">
        <v>2.3549E-2</v>
      </c>
      <c r="S11" s="106">
        <v>0.54135999999999995</v>
      </c>
      <c r="T11" s="106">
        <v>0.13721</v>
      </c>
      <c r="U11" s="106">
        <v>2.3826E-2</v>
      </c>
      <c r="V11" s="106">
        <v>1.1169000000000001E-3</v>
      </c>
      <c r="W11" s="106">
        <v>0.24636</v>
      </c>
      <c r="X11" s="106">
        <v>4.0669999999999998E-2</v>
      </c>
      <c r="Y11" s="106">
        <v>2.1378999999999999E-2</v>
      </c>
      <c r="Z11" s="106">
        <v>2.0655E-2</v>
      </c>
      <c r="AA11" s="106">
        <v>4.9317E-2</v>
      </c>
      <c r="AB11" s="106">
        <v>-5.7655000000000003E-5</v>
      </c>
      <c r="AC11" s="106">
        <v>3.0047999999999999E-8</v>
      </c>
      <c r="AD11" s="106">
        <v>1.789E-3</v>
      </c>
      <c r="AE11" s="106">
        <v>2.5623999999999998E-3</v>
      </c>
      <c r="AF11" s="106">
        <v>3.9836999999999997E-3</v>
      </c>
      <c r="AG11" s="106">
        <v>2.3662999999999999E-4</v>
      </c>
      <c r="AH11" s="106">
        <v>2.6100000000000002E-2</v>
      </c>
      <c r="AI11" s="210">
        <v>0.10387</v>
      </c>
      <c r="AK11" s="213">
        <f t="shared" si="5"/>
        <v>6.4707738124856404E-2</v>
      </c>
      <c r="AL11" s="106">
        <f t="shared" si="4"/>
        <v>1.3181140729562399E-2</v>
      </c>
      <c r="AM11" s="106">
        <f t="shared" si="4"/>
        <v>0.6626122132994281</v>
      </c>
      <c r="AN11" s="106">
        <f t="shared" si="4"/>
        <v>1.00413212002488E-3</v>
      </c>
      <c r="AO11" s="106">
        <f t="shared" si="4"/>
        <v>6.8910590723511592E-2</v>
      </c>
      <c r="AP11" s="106">
        <f t="shared" si="4"/>
        <v>5.4097353968061602E-5</v>
      </c>
      <c r="AQ11" s="106">
        <f t="shared" si="4"/>
        <v>2.19623101456248E-3</v>
      </c>
      <c r="AR11" s="106">
        <f t="shared" si="4"/>
        <v>3.5962432202340001E-2</v>
      </c>
      <c r="AS11" s="106">
        <f t="shared" si="4"/>
        <v>7.5192576433506008E-3</v>
      </c>
      <c r="AT11" s="106">
        <f t="shared" si="4"/>
        <v>0.79144009508674806</v>
      </c>
      <c r="AU11" s="106">
        <f t="shared" si="4"/>
        <v>2.7630646523096399E-3</v>
      </c>
      <c r="AV11" s="106">
        <f t="shared" si="4"/>
        <v>6.3519159207369599E-2</v>
      </c>
      <c r="AW11" s="106">
        <f t="shared" si="4"/>
        <v>1.60992017046756E-2</v>
      </c>
      <c r="AX11" s="106">
        <f t="shared" si="4"/>
        <v>2.7955657737453597E-3</v>
      </c>
      <c r="AY11" s="106">
        <f t="shared" si="4"/>
        <v>1.3104874560128401E-4</v>
      </c>
      <c r="AZ11" s="106">
        <f t="shared" si="4"/>
        <v>2.8906051541169601E-2</v>
      </c>
      <c r="BA11" s="106">
        <f t="shared" si="4"/>
        <v>4.7719155552012E-3</v>
      </c>
      <c r="BB11" s="106">
        <f t="shared" si="4"/>
        <v>2.5084529789684397E-3</v>
      </c>
      <c r="BC11" s="106">
        <f t="shared" si="4"/>
        <v>2.4235041994758E-3</v>
      </c>
      <c r="BD11" s="106">
        <f t="shared" si="4"/>
        <v>5.7864902738101204E-3</v>
      </c>
      <c r="BE11" s="106">
        <f t="shared" si="4"/>
        <v>-6.7648092287958002E-6</v>
      </c>
      <c r="BF11" s="106">
        <f t="shared" si="4"/>
        <v>3.5256090140812799E-9</v>
      </c>
      <c r="BG11" s="106">
        <f t="shared" si="4"/>
        <v>2.0990796479604E-4</v>
      </c>
      <c r="BH11" s="106">
        <f t="shared" si="4"/>
        <v>3.0065297316566399E-4</v>
      </c>
      <c r="BI11" s="106">
        <f t="shared" si="4"/>
        <v>4.6741775257573196E-4</v>
      </c>
      <c r="BJ11" s="106">
        <f t="shared" si="4"/>
        <v>2.7764405651026798E-5</v>
      </c>
      <c r="BK11" s="106">
        <f t="shared" si="4"/>
        <v>3.0623800341960002E-3</v>
      </c>
      <c r="BL11" s="210">
        <f t="shared" si="4"/>
        <v>1.2187333875553199E-2</v>
      </c>
    </row>
    <row r="12" spans="2:68" x14ac:dyDescent="0.25">
      <c r="B12" s="272" t="s">
        <v>186</v>
      </c>
      <c r="C12" s="106" t="str">
        <f>C3</f>
        <v>Waste treatment</v>
      </c>
      <c r="D12" s="106" t="s">
        <v>531</v>
      </c>
      <c r="E12" s="106">
        <v>3</v>
      </c>
      <c r="F12" s="106" t="str">
        <f t="shared" ref="F12:AI12" si="9">F3</f>
        <v>per capita per day</v>
      </c>
      <c r="G12" s="106" t="str">
        <f t="shared" si="9"/>
        <v>Waste_LCIA</v>
      </c>
      <c r="H12" s="106">
        <f t="shared" si="9"/>
        <v>0.92137367923984315</v>
      </c>
      <c r="I12" s="106">
        <f t="shared" si="9"/>
        <v>7.4150227088990864E-3</v>
      </c>
      <c r="J12" s="106">
        <f t="shared" si="9"/>
        <v>1.2129314758971097</v>
      </c>
      <c r="K12" s="106">
        <f t="shared" si="9"/>
        <v>3.4262562692058824E-4</v>
      </c>
      <c r="L12" s="106">
        <f t="shared" si="9"/>
        <v>2.4021971009863689E-2</v>
      </c>
      <c r="M12" s="106">
        <f t="shared" si="9"/>
        <v>1.7873447109388084E-5</v>
      </c>
      <c r="N12" s="106">
        <f t="shared" si="9"/>
        <v>4.2672508138697792E-4</v>
      </c>
      <c r="O12" s="106">
        <f t="shared" si="9"/>
        <v>1.1288628297498077E-2</v>
      </c>
      <c r="P12" s="106">
        <f t="shared" si="9"/>
        <v>2.6948629762521352E-3</v>
      </c>
      <c r="Q12" s="106">
        <f t="shared" si="9"/>
        <v>1.25913918504504</v>
      </c>
      <c r="R12" s="106">
        <f t="shared" si="9"/>
        <v>2.7132474415289547E-3</v>
      </c>
      <c r="S12" s="106">
        <f t="shared" si="9"/>
        <v>0.78474574403342623</v>
      </c>
      <c r="T12" s="106">
        <f t="shared" si="9"/>
        <v>2.8470261638007841E-2</v>
      </c>
      <c r="U12" s="106">
        <f t="shared" si="9"/>
        <v>6.6251684209978234E-2</v>
      </c>
      <c r="V12" s="106">
        <f t="shared" si="9"/>
        <v>5.0359345409850282E-5</v>
      </c>
      <c r="W12" s="106">
        <f t="shared" si="9"/>
        <v>0.21849105035983196</v>
      </c>
      <c r="X12" s="106">
        <f t="shared" si="9"/>
        <v>5.2985656210469906E-3</v>
      </c>
      <c r="Y12" s="106">
        <f t="shared" si="9"/>
        <v>5.7447430559831557E-2</v>
      </c>
      <c r="Z12" s="106">
        <f t="shared" si="9"/>
        <v>3.4569733566296012E-3</v>
      </c>
      <c r="AA12" s="106">
        <f t="shared" si="9"/>
        <v>1.9033977066202233E-3</v>
      </c>
      <c r="AB12" s="106">
        <f t="shared" si="9"/>
        <v>-7.6088010348561488E-6</v>
      </c>
      <c r="AC12" s="106">
        <f t="shared" si="9"/>
        <v>1.2305274251532301E-8</v>
      </c>
      <c r="AD12" s="106">
        <f t="shared" si="9"/>
        <v>2.3365090367886924E-4</v>
      </c>
      <c r="AE12" s="106">
        <f t="shared" si="9"/>
        <v>3.0384008492186092E-3</v>
      </c>
      <c r="AF12" s="106">
        <f t="shared" si="9"/>
        <v>5.26011269350906E-4</v>
      </c>
      <c r="AG12" s="106">
        <f t="shared" si="9"/>
        <v>3.0102712436936056E-5</v>
      </c>
      <c r="AH12" s="106">
        <f t="shared" si="9"/>
        <v>4.8592448613655088E-3</v>
      </c>
      <c r="AI12" s="210">
        <f t="shared" si="9"/>
        <v>7.5341690340503082E-4</v>
      </c>
      <c r="AK12" s="213">
        <f>$E12*H12*82%</f>
        <v>2.2665792509300142</v>
      </c>
      <c r="AL12" s="106">
        <f t="shared" ref="AL12:BL20" si="10">$E12*I12*82%</f>
        <v>1.8240955863891753E-2</v>
      </c>
      <c r="AM12" s="106">
        <f t="shared" si="10"/>
        <v>2.9838114307068899</v>
      </c>
      <c r="AN12" s="106">
        <f t="shared" si="10"/>
        <v>8.4285904222464712E-4</v>
      </c>
      <c r="AO12" s="106">
        <f t="shared" si="10"/>
        <v>5.9094048684264669E-2</v>
      </c>
      <c r="AP12" s="106">
        <f t="shared" si="10"/>
        <v>4.3968679889094686E-5</v>
      </c>
      <c r="AQ12" s="106">
        <f t="shared" si="10"/>
        <v>1.0497437002119656E-3</v>
      </c>
      <c r="AR12" s="106">
        <f t="shared" si="10"/>
        <v>2.7770025611845266E-2</v>
      </c>
      <c r="AS12" s="106">
        <f t="shared" si="10"/>
        <v>6.629362921580252E-3</v>
      </c>
      <c r="AT12" s="106">
        <f t="shared" si="10"/>
        <v>3.0974823952107982</v>
      </c>
      <c r="AU12" s="106">
        <f t="shared" si="10"/>
        <v>6.6745887061612288E-3</v>
      </c>
      <c r="AV12" s="106">
        <f t="shared" si="10"/>
        <v>1.9304745303222286</v>
      </c>
      <c r="AW12" s="106">
        <f t="shared" si="10"/>
        <v>7.0036843629499287E-2</v>
      </c>
      <c r="AX12" s="106">
        <f t="shared" si="10"/>
        <v>0.16297914315654644</v>
      </c>
      <c r="AY12" s="106">
        <f t="shared" si="10"/>
        <v>1.2388398970823169E-4</v>
      </c>
      <c r="AZ12" s="106">
        <f t="shared" si="10"/>
        <v>0.53748798388518659</v>
      </c>
      <c r="BA12" s="106">
        <f t="shared" si="10"/>
        <v>1.3034471427775597E-2</v>
      </c>
      <c r="BB12" s="106">
        <f t="shared" si="10"/>
        <v>0.1413206791771856</v>
      </c>
      <c r="BC12" s="106">
        <f t="shared" si="10"/>
        <v>8.5041544573088192E-3</v>
      </c>
      <c r="BD12" s="106">
        <f t="shared" si="10"/>
        <v>4.6823583582857485E-3</v>
      </c>
      <c r="BE12" s="106">
        <f t="shared" si="10"/>
        <v>-1.8717650545746125E-5</v>
      </c>
      <c r="BF12" s="106">
        <f t="shared" si="10"/>
        <v>3.0270974658769457E-8</v>
      </c>
      <c r="BG12" s="106">
        <f t="shared" si="10"/>
        <v>5.7478122305001835E-4</v>
      </c>
      <c r="BH12" s="106">
        <f t="shared" si="10"/>
        <v>7.4744660890777789E-3</v>
      </c>
      <c r="BI12" s="106">
        <f t="shared" si="10"/>
        <v>1.2939877226032287E-3</v>
      </c>
      <c r="BJ12" s="106">
        <f t="shared" si="10"/>
        <v>7.4052672594862687E-5</v>
      </c>
      <c r="BK12" s="106">
        <f t="shared" si="10"/>
        <v>1.195374235895915E-2</v>
      </c>
      <c r="BL12" s="210">
        <f t="shared" si="10"/>
        <v>1.8534055823763759E-3</v>
      </c>
    </row>
    <row r="13" spans="2:68" x14ac:dyDescent="0.25">
      <c r="B13" s="272"/>
      <c r="C13" s="106" t="str">
        <f>C4</f>
        <v>Electricity use: 2 hub</v>
      </c>
      <c r="D13" s="106"/>
      <c r="E13" s="106">
        <f>Accommodation!C4*3</f>
        <v>54.300000000000004</v>
      </c>
      <c r="F13" s="106" t="str">
        <f>F4</f>
        <v>kWh</v>
      </c>
      <c r="G13" s="106" t="str">
        <f>G4</f>
        <v>Electricity_LCIA</v>
      </c>
      <c r="H13" s="106">
        <f>H4</f>
        <v>0.60699665796344648</v>
      </c>
      <c r="I13" s="106">
        <f t="shared" ref="I13:AI13" si="11">I4</f>
        <v>8.8921164490861626E-2</v>
      </c>
      <c r="J13" s="106">
        <f t="shared" si="11"/>
        <v>6.6779229765013053</v>
      </c>
      <c r="K13" s="106">
        <f t="shared" si="11"/>
        <v>6.2592015665796348E-4</v>
      </c>
      <c r="L13" s="106">
        <f t="shared" si="11"/>
        <v>4.0817193211488254</v>
      </c>
      <c r="M13" s="106">
        <f t="shared" si="11"/>
        <v>1.511060313315927E-5</v>
      </c>
      <c r="N13" s="106">
        <f t="shared" si="11"/>
        <v>6.0527368146214094E-2</v>
      </c>
      <c r="O13" s="106">
        <f t="shared" si="11"/>
        <v>8.2965451697127948E-2</v>
      </c>
      <c r="P13" s="106">
        <f t="shared" si="11"/>
        <v>0.18848866840731071</v>
      </c>
      <c r="Q13" s="106">
        <f t="shared" si="11"/>
        <v>11.181185981151437</v>
      </c>
      <c r="R13" s="106">
        <f t="shared" si="11"/>
        <v>1.4707219321148825E-2</v>
      </c>
      <c r="S13" s="106">
        <f t="shared" si="11"/>
        <v>0.6010210966057441</v>
      </c>
      <c r="T13" s="106">
        <f t="shared" si="11"/>
        <v>0.16615483028720626</v>
      </c>
      <c r="U13" s="106">
        <f t="shared" si="11"/>
        <v>2.8719603133159272E-2</v>
      </c>
      <c r="V13" s="106">
        <f t="shared" si="11"/>
        <v>3.947087467362925E-4</v>
      </c>
      <c r="W13" s="106">
        <f t="shared" si="11"/>
        <v>0.27003814621409922</v>
      </c>
      <c r="X13" s="106">
        <f t="shared" si="11"/>
        <v>0.26278455613577023</v>
      </c>
      <c r="Y13" s="106">
        <f t="shared" si="11"/>
        <v>2.4689629242819845E-2</v>
      </c>
      <c r="Z13" s="106">
        <f t="shared" si="11"/>
        <v>1.2709248041775458E-4</v>
      </c>
      <c r="AA13" s="106">
        <f t="shared" si="11"/>
        <v>1.1937258485639687E-2</v>
      </c>
      <c r="AB13" s="106">
        <f t="shared" si="11"/>
        <v>-2.3988135770234988E-5</v>
      </c>
      <c r="AC13" s="106">
        <f t="shared" si="11"/>
        <v>1.7504861618798959E-8</v>
      </c>
      <c r="AD13" s="106">
        <f t="shared" si="11"/>
        <v>1.0455579634464753E-3</v>
      </c>
      <c r="AE13" s="106">
        <f t="shared" si="11"/>
        <v>9.5868039164490873E-4</v>
      </c>
      <c r="AF13" s="106">
        <f t="shared" si="11"/>
        <v>1.7790319321148828E-3</v>
      </c>
      <c r="AG13" s="106">
        <f t="shared" si="11"/>
        <v>2.6967976501305483E-5</v>
      </c>
      <c r="AH13" s="106">
        <f t="shared" si="11"/>
        <v>2.6239642297650129E-3</v>
      </c>
      <c r="AI13" s="210">
        <f t="shared" si="11"/>
        <v>2.2512597911227153E-3</v>
      </c>
      <c r="AK13" s="213">
        <f t="shared" ref="AK13:AK20" si="12">$E13*H13*82%</f>
        <v>27.02713319248042</v>
      </c>
      <c r="AL13" s="106">
        <f t="shared" si="10"/>
        <v>3.9593037701201053</v>
      </c>
      <c r="AM13" s="106">
        <f t="shared" si="10"/>
        <v>297.34119845169715</v>
      </c>
      <c r="AN13" s="106">
        <f t="shared" si="10"/>
        <v>2.7869720895352484E-2</v>
      </c>
      <c r="AO13" s="106">
        <f t="shared" si="10"/>
        <v>181.74263449347262</v>
      </c>
      <c r="AP13" s="106">
        <f t="shared" si="10"/>
        <v>6.7281471510704963E-4</v>
      </c>
      <c r="AQ13" s="106">
        <f t="shared" si="10"/>
        <v>2.6950415940783286</v>
      </c>
      <c r="AR13" s="106">
        <f t="shared" si="10"/>
        <v>3.694119702266319</v>
      </c>
      <c r="AS13" s="106">
        <f t="shared" si="10"/>
        <v>8.3926464495039177</v>
      </c>
      <c r="AT13" s="106">
        <f t="shared" si="10"/>
        <v>497.85348699674893</v>
      </c>
      <c r="AU13" s="106">
        <f t="shared" si="10"/>
        <v>0.65485364749347263</v>
      </c>
      <c r="AV13" s="106">
        <f t="shared" si="10"/>
        <v>26.761065347467362</v>
      </c>
      <c r="AW13" s="106">
        <f t="shared" si="10"/>
        <v>7.3982099733681457</v>
      </c>
      <c r="AX13" s="106">
        <f t="shared" si="10"/>
        <v>1.2787690491070498</v>
      </c>
      <c r="AY13" s="106">
        <f t="shared" si="10"/>
        <v>1.7574801657180159E-2</v>
      </c>
      <c r="AZ13" s="106">
        <f t="shared" si="10"/>
        <v>12.023718498328982</v>
      </c>
      <c r="BA13" s="106">
        <f t="shared" si="10"/>
        <v>11.700745146501305</v>
      </c>
      <c r="BB13" s="106">
        <f t="shared" si="10"/>
        <v>1.0993304316657966</v>
      </c>
      <c r="BC13" s="106">
        <f t="shared" si="10"/>
        <v>5.6589197830809405E-3</v>
      </c>
      <c r="BD13" s="106">
        <f t="shared" si="10"/>
        <v>0.53151837133159274</v>
      </c>
      <c r="BE13" s="106">
        <f t="shared" si="10"/>
        <v>-1.0680957333054832E-3</v>
      </c>
      <c r="BF13" s="106">
        <f t="shared" si="10"/>
        <v>7.7942146843864253E-7</v>
      </c>
      <c r="BG13" s="106">
        <f t="shared" si="10"/>
        <v>4.6554513880417758E-2</v>
      </c>
      <c r="BH13" s="106">
        <f t="shared" si="10"/>
        <v>4.2686203118381207E-2</v>
      </c>
      <c r="BI13" s="106">
        <f t="shared" si="10"/>
        <v>7.921317580934728E-2</v>
      </c>
      <c r="BJ13" s="106">
        <f t="shared" si="10"/>
        <v>1.200776121697128E-3</v>
      </c>
      <c r="BK13" s="106">
        <f t="shared" si="10"/>
        <v>0.11683463129451696</v>
      </c>
      <c r="BL13" s="210">
        <f t="shared" si="10"/>
        <v>0.10023959345953003</v>
      </c>
    </row>
    <row r="14" spans="2:68" x14ac:dyDescent="0.25">
      <c r="B14" s="272"/>
      <c r="C14" s="106" t="str">
        <f t="shared" ref="C14:C17" si="13">C5</f>
        <v>Electricity use: 3 hub</v>
      </c>
      <c r="D14" s="106"/>
      <c r="E14" s="106">
        <f>E13</f>
        <v>54.300000000000004</v>
      </c>
      <c r="F14" s="106" t="str">
        <f>F13</f>
        <v>kWh</v>
      </c>
      <c r="G14" s="106" t="str">
        <f t="shared" ref="G14:H17" si="14">G5</f>
        <v>Electricity_LCIA</v>
      </c>
      <c r="H14" s="106">
        <f t="shared" si="14"/>
        <v>0.5419655874673629</v>
      </c>
      <c r="I14" s="106">
        <f t="shared" ref="I14:AI14" si="15">I5</f>
        <v>0.11486336292428198</v>
      </c>
      <c r="J14" s="106">
        <f t="shared" si="15"/>
        <v>6.1839642297650137</v>
      </c>
      <c r="K14" s="106">
        <f t="shared" si="15"/>
        <v>5.1650661775456928E-2</v>
      </c>
      <c r="L14" s="106">
        <f t="shared" si="15"/>
        <v>3.054172584856397</v>
      </c>
      <c r="M14" s="106">
        <f t="shared" si="15"/>
        <v>1.6458639686684073E-5</v>
      </c>
      <c r="N14" s="106">
        <f t="shared" si="15"/>
        <v>0.15977555091383813</v>
      </c>
      <c r="O14" s="106">
        <f t="shared" si="15"/>
        <v>0.38832202088772849</v>
      </c>
      <c r="P14" s="106">
        <f t="shared" si="15"/>
        <v>0.24040020887728458</v>
      </c>
      <c r="Q14" s="106">
        <f t="shared" si="15"/>
        <v>10.193165078639687</v>
      </c>
      <c r="R14" s="106">
        <f t="shared" si="15"/>
        <v>1.8219798955613577E-2</v>
      </c>
      <c r="S14" s="106">
        <f t="shared" si="15"/>
        <v>0.53659420365535249</v>
      </c>
      <c r="T14" s="106">
        <f t="shared" si="15"/>
        <v>0.15486563968668407</v>
      </c>
      <c r="U14" s="106">
        <f t="shared" si="15"/>
        <v>2.9189305483028723E-2</v>
      </c>
      <c r="V14" s="106">
        <f t="shared" si="15"/>
        <v>4.1904671018276764E-4</v>
      </c>
      <c r="W14" s="106">
        <f t="shared" si="15"/>
        <v>0.27983031331592689</v>
      </c>
      <c r="X14" s="106">
        <f t="shared" si="15"/>
        <v>0.19626505221932111</v>
      </c>
      <c r="Y14" s="106">
        <f t="shared" si="15"/>
        <v>2.5124976501305483E-2</v>
      </c>
      <c r="Z14" s="106">
        <f t="shared" si="15"/>
        <v>1.2668443864229768E-4</v>
      </c>
      <c r="AA14" s="106">
        <f t="shared" si="15"/>
        <v>1.1870908616187991E-2</v>
      </c>
      <c r="AB14" s="106">
        <f t="shared" si="15"/>
        <v>-2.0894663185378589E-5</v>
      </c>
      <c r="AC14" s="106">
        <f t="shared" si="15"/>
        <v>1.7351665796344647E-8</v>
      </c>
      <c r="AD14" s="106">
        <f t="shared" si="15"/>
        <v>1.1836822454308095E-3</v>
      </c>
      <c r="AE14" s="106">
        <f t="shared" si="15"/>
        <v>8.6051151436031335E-4</v>
      </c>
      <c r="AF14" s="106">
        <f t="shared" si="15"/>
        <v>1.4317652480417755E-3</v>
      </c>
      <c r="AG14" s="106">
        <f t="shared" si="15"/>
        <v>2.8570634464751955E-5</v>
      </c>
      <c r="AH14" s="106">
        <f t="shared" si="15"/>
        <v>2.5710911227154049E-3</v>
      </c>
      <c r="AI14" s="210">
        <f t="shared" si="15"/>
        <v>2.5127287206266318E-3</v>
      </c>
      <c r="AK14" s="213">
        <f t="shared" si="12"/>
        <v>24.131559747571803</v>
      </c>
      <c r="AL14" s="106">
        <f t="shared" si="10"/>
        <v>5.1144060975665795</v>
      </c>
      <c r="AM14" s="106">
        <f t="shared" si="10"/>
        <v>275.34719129451702</v>
      </c>
      <c r="AN14" s="106">
        <f t="shared" si="10"/>
        <v>2.2997973662139954</v>
      </c>
      <c r="AO14" s="106">
        <f t="shared" si="10"/>
        <v>135.99008851331595</v>
      </c>
      <c r="AP14" s="106">
        <f t="shared" si="10"/>
        <v>7.3283739068929501E-4</v>
      </c>
      <c r="AQ14" s="106">
        <f t="shared" si="10"/>
        <v>7.1141661799895566</v>
      </c>
      <c r="AR14" s="106">
        <f t="shared" si="10"/>
        <v>17.290426302046999</v>
      </c>
      <c r="AS14" s="106">
        <f t="shared" si="10"/>
        <v>10.704059700469974</v>
      </c>
      <c r="AT14" s="106">
        <f t="shared" si="10"/>
        <v>453.86086829151071</v>
      </c>
      <c r="AU14" s="106">
        <f t="shared" si="10"/>
        <v>0.8112547682976502</v>
      </c>
      <c r="AV14" s="106">
        <f t="shared" si="10"/>
        <v>23.892393511958225</v>
      </c>
      <c r="AW14" s="106">
        <f t="shared" si="10"/>
        <v>6.8955474726892954</v>
      </c>
      <c r="AX14" s="106">
        <f t="shared" si="10"/>
        <v>1.2996830159373369</v>
      </c>
      <c r="AY14" s="106">
        <f t="shared" si="10"/>
        <v>1.8658473817597911E-2</v>
      </c>
      <c r="AZ14" s="106">
        <f t="shared" si="10"/>
        <v>12.45972453070496</v>
      </c>
      <c r="BA14" s="106">
        <f t="shared" si="10"/>
        <v>8.738897715117492</v>
      </c>
      <c r="BB14" s="106">
        <f t="shared" si="10"/>
        <v>1.1187147036971281</v>
      </c>
      <c r="BC14" s="106">
        <f t="shared" si="10"/>
        <v>5.6407513149869465E-3</v>
      </c>
      <c r="BD14" s="106">
        <f t="shared" si="10"/>
        <v>0.52856407704438657</v>
      </c>
      <c r="BE14" s="106">
        <f t="shared" si="10"/>
        <v>-9.3035577299216703E-4</v>
      </c>
      <c r="BF14" s="106">
        <f t="shared" si="10"/>
        <v>7.7260027124804179E-7</v>
      </c>
      <c r="BG14" s="106">
        <f t="shared" si="10"/>
        <v>5.2704635660052228E-2</v>
      </c>
      <c r="BH14" s="106">
        <f t="shared" si="10"/>
        <v>3.831513568840731E-2</v>
      </c>
      <c r="BI14" s="106">
        <f t="shared" si="10"/>
        <v>6.3750779434308097E-2</v>
      </c>
      <c r="BJ14" s="106">
        <f t="shared" si="10"/>
        <v>1.2721360701775455E-3</v>
      </c>
      <c r="BK14" s="106">
        <f t="shared" si="10"/>
        <v>0.11448040333002611</v>
      </c>
      <c r="BL14" s="210">
        <f t="shared" si="10"/>
        <v>0.1118817590146214</v>
      </c>
    </row>
    <row r="15" spans="2:68" x14ac:dyDescent="0.25">
      <c r="B15" s="272"/>
      <c r="C15" s="106" t="str">
        <f t="shared" si="13"/>
        <v>Electricity use: 4 hub</v>
      </c>
      <c r="D15" s="106"/>
      <c r="E15" s="106">
        <f t="shared" ref="E15:E17" si="16">E14</f>
        <v>54.300000000000004</v>
      </c>
      <c r="F15" s="106" t="str">
        <f t="shared" ref="F15:F17" si="17">F14</f>
        <v>kWh</v>
      </c>
      <c r="G15" s="106" t="str">
        <f t="shared" si="14"/>
        <v>Electricity_LCIA</v>
      </c>
      <c r="H15" s="106">
        <f t="shared" si="14"/>
        <v>0.57203271540469969</v>
      </c>
      <c r="I15" s="106">
        <f t="shared" ref="I15:AI15" si="18">I6</f>
        <v>0.10278457180156658</v>
      </c>
      <c r="J15" s="106">
        <f t="shared" si="18"/>
        <v>6.4126637075718005</v>
      </c>
      <c r="K15" s="106">
        <f t="shared" si="18"/>
        <v>2.8190515456919064E-2</v>
      </c>
      <c r="L15" s="106">
        <f t="shared" si="18"/>
        <v>3.5326600522193212</v>
      </c>
      <c r="M15" s="106">
        <f t="shared" si="18"/>
        <v>1.5796814621409922E-5</v>
      </c>
      <c r="N15" s="106">
        <f t="shared" si="18"/>
        <v>0.11308213315926893</v>
      </c>
      <c r="O15" s="106">
        <f t="shared" si="18"/>
        <v>0.24762533420365535</v>
      </c>
      <c r="P15" s="106">
        <f t="shared" si="18"/>
        <v>0.21509994778067884</v>
      </c>
      <c r="Q15" s="106">
        <f t="shared" si="18"/>
        <v>10.652122059007834</v>
      </c>
      <c r="R15" s="106">
        <f t="shared" si="18"/>
        <v>1.6585550913838117E-2</v>
      </c>
      <c r="S15" s="106">
        <f t="shared" si="18"/>
        <v>0.56638302872062662</v>
      </c>
      <c r="T15" s="106">
        <f t="shared" si="18"/>
        <v>0.1601117232375979</v>
      </c>
      <c r="U15" s="106">
        <f t="shared" si="18"/>
        <v>2.8952375979112269E-2</v>
      </c>
      <c r="V15" s="106">
        <f t="shared" si="18"/>
        <v>4.067969190600522E-4</v>
      </c>
      <c r="W15" s="106">
        <f t="shared" si="18"/>
        <v>0.27474049608355089</v>
      </c>
      <c r="X15" s="106">
        <f t="shared" si="18"/>
        <v>0.22729954308093991</v>
      </c>
      <c r="Y15" s="106">
        <f t="shared" si="18"/>
        <v>2.4903673629242815E-2</v>
      </c>
      <c r="Z15" s="106">
        <f t="shared" si="18"/>
        <v>1.2667699738903396E-4</v>
      </c>
      <c r="AA15" s="106">
        <f t="shared" si="18"/>
        <v>1.1893976501305484E-2</v>
      </c>
      <c r="AB15" s="106">
        <f t="shared" si="18"/>
        <v>-2.2322788511749344E-5</v>
      </c>
      <c r="AC15" s="106">
        <f t="shared" si="18"/>
        <v>1.7435007832898173E-8</v>
      </c>
      <c r="AD15" s="106">
        <f t="shared" si="18"/>
        <v>1.1220835509138383E-3</v>
      </c>
      <c r="AE15" s="106">
        <f t="shared" si="18"/>
        <v>9.0626480417754578E-4</v>
      </c>
      <c r="AF15" s="106">
        <f t="shared" si="18"/>
        <v>1.5935827415143602E-3</v>
      </c>
      <c r="AG15" s="106">
        <f t="shared" si="18"/>
        <v>2.7830676240208873E-5</v>
      </c>
      <c r="AH15" s="106">
        <f t="shared" si="18"/>
        <v>2.5936827676240207E-3</v>
      </c>
      <c r="AI15" s="210">
        <f t="shared" si="18"/>
        <v>2.3923143603133156E-3</v>
      </c>
      <c r="AK15" s="213">
        <f t="shared" si="12"/>
        <v>25.470328686109657</v>
      </c>
      <c r="AL15" s="106">
        <f t="shared" si="10"/>
        <v>4.5765858440365532</v>
      </c>
      <c r="AM15" s="106">
        <f t="shared" si="10"/>
        <v>285.530264243342</v>
      </c>
      <c r="AN15" s="106">
        <f t="shared" si="10"/>
        <v>1.2552108912347781</v>
      </c>
      <c r="AO15" s="106">
        <f t="shared" si="10"/>
        <v>157.29522148511751</v>
      </c>
      <c r="AP15" s="106">
        <f t="shared" si="10"/>
        <v>7.0336896783289825E-4</v>
      </c>
      <c r="AQ15" s="106">
        <f t="shared" si="10"/>
        <v>5.0350950610496081</v>
      </c>
      <c r="AR15" s="106">
        <f t="shared" si="10"/>
        <v>11.025765630751959</v>
      </c>
      <c r="AS15" s="106">
        <f t="shared" si="10"/>
        <v>9.5775402748825051</v>
      </c>
      <c r="AT15" s="106">
        <f t="shared" si="10"/>
        <v>474.29638679938279</v>
      </c>
      <c r="AU15" s="106">
        <f t="shared" si="10"/>
        <v>0.73848823998955604</v>
      </c>
      <c r="AV15" s="106">
        <f t="shared" si="10"/>
        <v>25.218770736814623</v>
      </c>
      <c r="AW15" s="106">
        <f t="shared" si="10"/>
        <v>7.1291345888772844</v>
      </c>
      <c r="AX15" s="106">
        <f t="shared" si="10"/>
        <v>1.289133492845953</v>
      </c>
      <c r="AY15" s="106">
        <f t="shared" si="10"/>
        <v>1.8113039618067886E-2</v>
      </c>
      <c r="AZ15" s="106">
        <f t="shared" si="10"/>
        <v>12.233095328616187</v>
      </c>
      <c r="BA15" s="106">
        <f t="shared" si="10"/>
        <v>10.12073945522193</v>
      </c>
      <c r="BB15" s="106">
        <f t="shared" si="10"/>
        <v>1.1088609720156657</v>
      </c>
      <c r="BC15" s="106">
        <f t="shared" si="10"/>
        <v>5.6404199857441259E-3</v>
      </c>
      <c r="BD15" s="106">
        <f t="shared" si="10"/>
        <v>0.52959119769712804</v>
      </c>
      <c r="BE15" s="106">
        <f t="shared" si="10"/>
        <v>-9.9394448127415147E-4</v>
      </c>
      <c r="BF15" s="106">
        <f t="shared" si="10"/>
        <v>7.7631115876762404E-7</v>
      </c>
      <c r="BG15" s="106">
        <f t="shared" si="10"/>
        <v>4.9961892187989562E-2</v>
      </c>
      <c r="BH15" s="106">
        <f t="shared" si="10"/>
        <v>4.0352346670809405E-2</v>
      </c>
      <c r="BI15" s="106">
        <f t="shared" si="10"/>
        <v>7.0955865148668404E-2</v>
      </c>
      <c r="BJ15" s="106">
        <f t="shared" si="10"/>
        <v>1.2391886902715402E-3</v>
      </c>
      <c r="BK15" s="106">
        <f t="shared" si="10"/>
        <v>0.11548631891122714</v>
      </c>
      <c r="BL15" s="210">
        <f t="shared" si="10"/>
        <v>0.1065201892073107</v>
      </c>
    </row>
    <row r="16" spans="2:68" x14ac:dyDescent="0.25">
      <c r="B16" s="272"/>
      <c r="C16" s="106" t="str">
        <f t="shared" si="13"/>
        <v>Electricity use: 5 hub</v>
      </c>
      <c r="D16" s="106"/>
      <c r="E16" s="106">
        <f t="shared" si="16"/>
        <v>54.300000000000004</v>
      </c>
      <c r="F16" s="106" t="str">
        <f t="shared" si="17"/>
        <v>kWh</v>
      </c>
      <c r="G16" s="106" t="str">
        <f t="shared" si="14"/>
        <v>Electricity_LCIA</v>
      </c>
      <c r="H16" s="106">
        <f t="shared" si="14"/>
        <v>0.55515292428198437</v>
      </c>
      <c r="I16" s="106">
        <f t="shared" ref="I16:AI16" si="19">I7</f>
        <v>0.10956564751958225</v>
      </c>
      <c r="J16" s="106">
        <f t="shared" si="19"/>
        <v>6.2842710182767618</v>
      </c>
      <c r="K16" s="106">
        <f t="shared" si="19"/>
        <v>4.1361123916449083E-2</v>
      </c>
      <c r="L16" s="106">
        <f t="shared" si="19"/>
        <v>3.2640355091383815</v>
      </c>
      <c r="M16" s="106">
        <f t="shared" si="19"/>
        <v>1.6168365535248041E-5</v>
      </c>
      <c r="N16" s="106">
        <f t="shared" si="19"/>
        <v>0.13929598172323759</v>
      </c>
      <c r="O16" s="106">
        <f t="shared" si="19"/>
        <v>0.32661294778067884</v>
      </c>
      <c r="P16" s="106">
        <f t="shared" si="19"/>
        <v>0.22930360313315928</v>
      </c>
      <c r="Q16" s="106">
        <f t="shared" si="19"/>
        <v>10.394461999853787</v>
      </c>
      <c r="R16" s="106">
        <f t="shared" si="19"/>
        <v>1.7503023498694516E-2</v>
      </c>
      <c r="S16" s="106">
        <f t="shared" si="19"/>
        <v>0.54965947780678848</v>
      </c>
      <c r="T16" s="106">
        <f t="shared" si="19"/>
        <v>0.15716655352480419</v>
      </c>
      <c r="U16" s="106">
        <f t="shared" si="19"/>
        <v>2.908538903394256E-2</v>
      </c>
      <c r="V16" s="106">
        <f t="shared" si="19"/>
        <v>4.136739947780679E-4</v>
      </c>
      <c r="W16" s="106">
        <f t="shared" si="19"/>
        <v>0.27759793733681465</v>
      </c>
      <c r="X16" s="106">
        <f t="shared" si="19"/>
        <v>0.20987667101827676</v>
      </c>
      <c r="Y16" s="106">
        <f t="shared" si="19"/>
        <v>2.5027913838120107E-2</v>
      </c>
      <c r="Z16" s="106">
        <f t="shared" si="19"/>
        <v>1.2668117493472585E-4</v>
      </c>
      <c r="AA16" s="106">
        <f t="shared" si="19"/>
        <v>1.1881026109660575E-2</v>
      </c>
      <c r="AB16" s="106">
        <f t="shared" si="19"/>
        <v>-2.1521033942558744E-5</v>
      </c>
      <c r="AC16" s="106">
        <f t="shared" si="19"/>
        <v>1.7388219321148827E-8</v>
      </c>
      <c r="AD16" s="106">
        <f t="shared" si="19"/>
        <v>1.156665274151436E-3</v>
      </c>
      <c r="AE16" s="106">
        <f t="shared" si="19"/>
        <v>8.8057874673629251E-4</v>
      </c>
      <c r="AF16" s="106">
        <f t="shared" si="19"/>
        <v>1.5027378328981724E-3</v>
      </c>
      <c r="AG16" s="106">
        <f t="shared" si="19"/>
        <v>2.824609138381201E-5</v>
      </c>
      <c r="AH16" s="106">
        <f t="shared" si="19"/>
        <v>2.5809997389033938E-3</v>
      </c>
      <c r="AI16" s="210">
        <f t="shared" si="19"/>
        <v>2.459915404699739E-3</v>
      </c>
      <c r="AK16" s="213">
        <f t="shared" si="12"/>
        <v>24.718739106579637</v>
      </c>
      <c r="AL16" s="106">
        <f t="shared" si="10"/>
        <v>4.8785200214569198</v>
      </c>
      <c r="AM16" s="106">
        <f t="shared" si="10"/>
        <v>279.81345135979115</v>
      </c>
      <c r="AN16" s="106">
        <f t="shared" si="10"/>
        <v>1.8416454035038119</v>
      </c>
      <c r="AO16" s="106">
        <f t="shared" si="10"/>
        <v>145.33444507989557</v>
      </c>
      <c r="AP16" s="106">
        <f t="shared" si="10"/>
        <v>7.1991264382245429E-4</v>
      </c>
      <c r="AQ16" s="106">
        <f t="shared" si="10"/>
        <v>6.2022928822088774</v>
      </c>
      <c r="AR16" s="106">
        <f t="shared" si="10"/>
        <v>14.542768112882506</v>
      </c>
      <c r="AS16" s="106">
        <f t="shared" si="10"/>
        <v>10.209972233107051</v>
      </c>
      <c r="AT16" s="106">
        <f t="shared" si="10"/>
        <v>462.82381500548968</v>
      </c>
      <c r="AU16" s="106">
        <f t="shared" si="10"/>
        <v>0.77933962430287196</v>
      </c>
      <c r="AV16" s="106">
        <f t="shared" si="10"/>
        <v>24.474137908825064</v>
      </c>
      <c r="AW16" s="106">
        <f t="shared" si="10"/>
        <v>6.9979979622454316</v>
      </c>
      <c r="AX16" s="106">
        <f t="shared" si="10"/>
        <v>1.2950560321253264</v>
      </c>
      <c r="AY16" s="106">
        <f t="shared" si="10"/>
        <v>1.8419248291488253E-2</v>
      </c>
      <c r="AZ16" s="106">
        <f t="shared" si="10"/>
        <v>12.360325757859009</v>
      </c>
      <c r="BA16" s="106">
        <f t="shared" si="10"/>
        <v>9.3449686537597909</v>
      </c>
      <c r="BB16" s="106">
        <f t="shared" si="10"/>
        <v>1.1143928915561359</v>
      </c>
      <c r="BC16" s="106">
        <f t="shared" si="10"/>
        <v>5.6406059951436037E-3</v>
      </c>
      <c r="BD16" s="106">
        <f t="shared" si="10"/>
        <v>0.52901456855874673</v>
      </c>
      <c r="BE16" s="106">
        <f t="shared" si="10"/>
        <v>-9.5824555732637064E-4</v>
      </c>
      <c r="BF16" s="106">
        <f t="shared" si="10"/>
        <v>7.7422785349347267E-7</v>
      </c>
      <c r="BG16" s="106">
        <f t="shared" si="10"/>
        <v>5.1501677996866835E-2</v>
      </c>
      <c r="BH16" s="106">
        <f t="shared" si="10"/>
        <v>3.9208649277180166E-2</v>
      </c>
      <c r="BI16" s="106">
        <f t="shared" si="10"/>
        <v>6.6910904747624025E-2</v>
      </c>
      <c r="BJ16" s="106">
        <f t="shared" si="10"/>
        <v>1.2576854649556134E-3</v>
      </c>
      <c r="BK16" s="106">
        <f t="shared" si="10"/>
        <v>0.1149215943744125</v>
      </c>
      <c r="BL16" s="210">
        <f t="shared" si="10"/>
        <v>0.10953019330966057</v>
      </c>
    </row>
    <row r="17" spans="2:64" x14ac:dyDescent="0.25">
      <c r="B17" s="272"/>
      <c r="C17" s="106" t="str">
        <f t="shared" si="13"/>
        <v>Electricity use: 6 hub</v>
      </c>
      <c r="D17" s="106"/>
      <c r="E17" s="106">
        <f t="shared" si="16"/>
        <v>54.300000000000004</v>
      </c>
      <c r="F17" s="106" t="str">
        <f t="shared" si="17"/>
        <v>kWh</v>
      </c>
      <c r="G17" s="106" t="str">
        <f t="shared" si="14"/>
        <v>Electricity_LCIA</v>
      </c>
      <c r="H17" s="106">
        <f t="shared" si="14"/>
        <v>0.55807443864229755</v>
      </c>
      <c r="I17" s="106">
        <f t="shared" ref="I17:AI17" si="20">I8</f>
        <v>0.14502702610966056</v>
      </c>
      <c r="J17" s="106">
        <f t="shared" si="20"/>
        <v>6.4028618798955614</v>
      </c>
      <c r="K17" s="106">
        <f t="shared" si="20"/>
        <v>3.9308293263707571E-2</v>
      </c>
      <c r="L17" s="106">
        <f t="shared" si="20"/>
        <v>3.234064490861619</v>
      </c>
      <c r="M17" s="106">
        <f t="shared" si="20"/>
        <v>1.7778104438642296E-5</v>
      </c>
      <c r="N17" s="106">
        <f t="shared" si="20"/>
        <v>0.14010678328981724</v>
      </c>
      <c r="O17" s="106">
        <f t="shared" si="20"/>
        <v>0.32612060835509132</v>
      </c>
      <c r="P17" s="106">
        <f t="shared" si="20"/>
        <v>0.21511478851174934</v>
      </c>
      <c r="Q17" s="106">
        <f t="shared" si="20"/>
        <v>10.502621648391646</v>
      </c>
      <c r="R17" s="106">
        <f t="shared" si="20"/>
        <v>2.2304780678851176E-2</v>
      </c>
      <c r="S17" s="106">
        <f t="shared" si="20"/>
        <v>0.55251279373368145</v>
      </c>
      <c r="T17" s="106">
        <f t="shared" si="20"/>
        <v>0.1605783550913838</v>
      </c>
      <c r="U17" s="106">
        <f t="shared" si="20"/>
        <v>2.9256590078328981E-2</v>
      </c>
      <c r="V17" s="106">
        <f t="shared" si="20"/>
        <v>4.2270838120104436E-4</v>
      </c>
      <c r="W17" s="106">
        <f t="shared" si="20"/>
        <v>0.28294916449086166</v>
      </c>
      <c r="X17" s="106">
        <f t="shared" si="20"/>
        <v>0.20792962140992166</v>
      </c>
      <c r="Y17" s="106">
        <f t="shared" si="20"/>
        <v>2.5155352480417753E-2</v>
      </c>
      <c r="Z17" s="106">
        <f t="shared" si="20"/>
        <v>1.2840164490861619E-4</v>
      </c>
      <c r="AA17" s="106">
        <f t="shared" si="20"/>
        <v>1.1870924281984333E-2</v>
      </c>
      <c r="AB17" s="106">
        <f t="shared" si="20"/>
        <v>-2.1383368146214101E-5</v>
      </c>
      <c r="AC17" s="106">
        <f t="shared" si="20"/>
        <v>1.8177725848563967E-8</v>
      </c>
      <c r="AD17" s="106">
        <f t="shared" si="20"/>
        <v>1.1827540469973891E-3</v>
      </c>
      <c r="AE17" s="106">
        <f t="shared" si="20"/>
        <v>8.7289798955613579E-4</v>
      </c>
      <c r="AF17" s="106">
        <f t="shared" si="20"/>
        <v>1.4731127676240207E-3</v>
      </c>
      <c r="AG17" s="106">
        <f t="shared" si="20"/>
        <v>2.9169060052219319E-5</v>
      </c>
      <c r="AH17" s="106">
        <f t="shared" si="20"/>
        <v>2.5840817232375981E-3</v>
      </c>
      <c r="AI17" s="210">
        <f t="shared" si="20"/>
        <v>2.4562462140992167E-3</v>
      </c>
      <c r="AK17" s="213">
        <f t="shared" si="12"/>
        <v>24.848822454986941</v>
      </c>
      <c r="AL17" s="106">
        <f t="shared" si="10"/>
        <v>6.4574733645587461</v>
      </c>
      <c r="AM17" s="106">
        <f t="shared" si="10"/>
        <v>285.09382806422974</v>
      </c>
      <c r="AN17" s="106">
        <f t="shared" si="10"/>
        <v>1.7502410658598433</v>
      </c>
      <c r="AO17" s="106">
        <f t="shared" si="10"/>
        <v>143.99995552010446</v>
      </c>
      <c r="AP17" s="106">
        <f t="shared" si="10"/>
        <v>7.9158787823498697E-4</v>
      </c>
      <c r="AQ17" s="106">
        <f t="shared" si="10"/>
        <v>6.2383946327624029</v>
      </c>
      <c r="AR17" s="106">
        <f t="shared" si="10"/>
        <v>14.520846207618797</v>
      </c>
      <c r="AS17" s="106">
        <f t="shared" si="10"/>
        <v>9.5782010732741512</v>
      </c>
      <c r="AT17" s="106">
        <f t="shared" si="10"/>
        <v>467.63973151628647</v>
      </c>
      <c r="AU17" s="106">
        <f t="shared" si="10"/>
        <v>0.99314266450652755</v>
      </c>
      <c r="AV17" s="106">
        <f t="shared" si="10"/>
        <v>24.6011846537859</v>
      </c>
      <c r="AW17" s="106">
        <f t="shared" si="10"/>
        <v>7.1499118387989551</v>
      </c>
      <c r="AX17" s="106">
        <f t="shared" si="10"/>
        <v>1.3026789298276762</v>
      </c>
      <c r="AY17" s="106">
        <f t="shared" si="10"/>
        <v>1.88215133813577E-2</v>
      </c>
      <c r="AZ17" s="106">
        <f t="shared" si="10"/>
        <v>12.598594498120105</v>
      </c>
      <c r="BA17" s="106">
        <f t="shared" si="10"/>
        <v>9.2582743228981723</v>
      </c>
      <c r="BB17" s="106">
        <f t="shared" si="10"/>
        <v>1.1200672245430809</v>
      </c>
      <c r="BC17" s="106">
        <f t="shared" si="10"/>
        <v>5.7172116412010452E-3</v>
      </c>
      <c r="BD17" s="106">
        <f t="shared" si="10"/>
        <v>0.52856477457963447</v>
      </c>
      <c r="BE17" s="106">
        <f t="shared" si="10"/>
        <v>-9.5211585007832903E-4</v>
      </c>
      <c r="BF17" s="106">
        <f t="shared" si="10"/>
        <v>8.0938142113315917E-7</v>
      </c>
      <c r="BG17" s="106">
        <f t="shared" si="10"/>
        <v>5.2663306696605752E-2</v>
      </c>
      <c r="BH17" s="106">
        <f t="shared" si="10"/>
        <v>3.8866655882976497E-2</v>
      </c>
      <c r="BI17" s="106">
        <f t="shared" si="10"/>
        <v>6.5591819091227146E-2</v>
      </c>
      <c r="BJ17" s="106">
        <f t="shared" si="10"/>
        <v>1.2987815678851173E-3</v>
      </c>
      <c r="BK17" s="106">
        <f t="shared" si="10"/>
        <v>0.1150588228088773</v>
      </c>
      <c r="BL17" s="210">
        <f t="shared" si="10"/>
        <v>0.10936681892898172</v>
      </c>
    </row>
    <row r="18" spans="2:64" x14ac:dyDescent="0.25">
      <c r="B18" s="272"/>
      <c r="C18" s="106" t="str">
        <f t="shared" ref="C18:D20" si="21">C9</f>
        <v>Thermal energy use</v>
      </c>
      <c r="D18" s="106" t="str">
        <f t="shared" si="21"/>
        <v>heat production, natural gas, at boiler condensing modulating &lt;100kW, RoW</v>
      </c>
      <c r="E18" s="106">
        <f>Accommodation!I4*3</f>
        <v>55.08</v>
      </c>
      <c r="F18" s="106" t="str">
        <f t="shared" ref="F18:AI18" si="22">F9</f>
        <v>MJ</v>
      </c>
      <c r="G18" s="106" t="str">
        <f t="shared" si="22"/>
        <v>Ecoinvent v3.7.1</v>
      </c>
      <c r="H18" s="106">
        <f t="shared" si="22"/>
        <v>7.1299000000000001E-2</v>
      </c>
      <c r="I18" s="106">
        <f t="shared" si="22"/>
        <v>1.1628999999999999E-3</v>
      </c>
      <c r="J18" s="106">
        <f t="shared" si="22"/>
        <v>1.1308</v>
      </c>
      <c r="K18" s="106">
        <f t="shared" si="22"/>
        <v>9.9963000000000005E-5</v>
      </c>
      <c r="L18" s="106">
        <f t="shared" si="22"/>
        <v>5.5043999999999996E-3</v>
      </c>
      <c r="M18" s="106">
        <f t="shared" si="22"/>
        <v>7.0716000000000002E-6</v>
      </c>
      <c r="N18" s="106">
        <f t="shared" si="22"/>
        <v>1.9375999999999999E-4</v>
      </c>
      <c r="O18" s="106">
        <f t="shared" si="22"/>
        <v>3.1161000000000001E-3</v>
      </c>
      <c r="P18" s="106">
        <f t="shared" si="22"/>
        <v>6.6029999999999995E-4</v>
      </c>
      <c r="Q18" s="106">
        <f t="shared" si="22"/>
        <v>1.1415444946</v>
      </c>
      <c r="R18" s="106">
        <f t="shared" si="22"/>
        <v>2.096E-4</v>
      </c>
      <c r="S18" s="106">
        <f t="shared" si="22"/>
        <v>6.9820999999999994E-2</v>
      </c>
      <c r="T18" s="106">
        <f t="shared" si="22"/>
        <v>3.2570000000000002E-2</v>
      </c>
      <c r="U18" s="106">
        <f t="shared" si="22"/>
        <v>4.1967000000000003E-4</v>
      </c>
      <c r="V18" s="106">
        <f t="shared" si="22"/>
        <v>1.7869E-6</v>
      </c>
      <c r="W18" s="106">
        <f t="shared" si="22"/>
        <v>3.1952999999999999E-3</v>
      </c>
      <c r="X18" s="106">
        <f t="shared" si="22"/>
        <v>4.5014000000000002E-4</v>
      </c>
      <c r="Y18" s="106">
        <f t="shared" si="22"/>
        <v>2.4911999999999997E-4</v>
      </c>
      <c r="Z18" s="106">
        <f t="shared" si="22"/>
        <v>2.1670000000000002E-6</v>
      </c>
      <c r="AA18" s="106">
        <f t="shared" si="22"/>
        <v>4.6640000000000001E-4</v>
      </c>
      <c r="AB18" s="106">
        <f t="shared" si="22"/>
        <v>-3.1935000000000001E-7</v>
      </c>
      <c r="AC18" s="106">
        <f t="shared" si="22"/>
        <v>5.8852999999999999E-9</v>
      </c>
      <c r="AD18" s="106">
        <f t="shared" si="22"/>
        <v>2.1505000000000002E-5</v>
      </c>
      <c r="AE18" s="106">
        <f t="shared" si="22"/>
        <v>6.8045000000000003E-5</v>
      </c>
      <c r="AF18" s="106">
        <f t="shared" si="22"/>
        <v>5.8721999999999998E-5</v>
      </c>
      <c r="AG18" s="106">
        <f t="shared" si="22"/>
        <v>3.5626E-6</v>
      </c>
      <c r="AH18" s="106">
        <f t="shared" si="22"/>
        <v>2.2020000000000001E-4</v>
      </c>
      <c r="AI18" s="210">
        <f t="shared" si="22"/>
        <v>2.6978000000000002E-5</v>
      </c>
      <c r="AK18" s="213">
        <f>$E18*H18*82%</f>
        <v>3.2202621143999997</v>
      </c>
      <c r="AL18" s="106">
        <f t="shared" si="10"/>
        <v>5.2523076239999994E-2</v>
      </c>
      <c r="AM18" s="106">
        <f t="shared" si="10"/>
        <v>51.073260479999995</v>
      </c>
      <c r="AN18" s="106">
        <f t="shared" si="10"/>
        <v>4.5148888727999997E-3</v>
      </c>
      <c r="AO18" s="106">
        <f t="shared" si="10"/>
        <v>0.24860952863999997</v>
      </c>
      <c r="AP18" s="106">
        <f t="shared" si="10"/>
        <v>3.1939305695999999E-4</v>
      </c>
      <c r="AQ18" s="106">
        <f t="shared" si="10"/>
        <v>8.7512866559999996E-3</v>
      </c>
      <c r="AR18" s="106">
        <f t="shared" si="10"/>
        <v>0.14074052615999999</v>
      </c>
      <c r="AS18" s="106">
        <f t="shared" si="10"/>
        <v>2.9822845679999994E-2</v>
      </c>
      <c r="AT18" s="106">
        <f t="shared" si="10"/>
        <v>51.558542025305755</v>
      </c>
      <c r="AU18" s="106">
        <f t="shared" si="10"/>
        <v>9.4667097599999989E-3</v>
      </c>
      <c r="AV18" s="106">
        <f t="shared" si="10"/>
        <v>3.1535073575999997</v>
      </c>
      <c r="AW18" s="106">
        <f t="shared" si="10"/>
        <v>1.471043592</v>
      </c>
      <c r="AX18" s="106">
        <f t="shared" si="10"/>
        <v>1.8954647352E-2</v>
      </c>
      <c r="AY18" s="106">
        <f t="shared" si="10"/>
        <v>8.0706410639999986E-5</v>
      </c>
      <c r="AZ18" s="106">
        <f t="shared" si="10"/>
        <v>0.14431764167999997</v>
      </c>
      <c r="BA18" s="106">
        <f t="shared" si="10"/>
        <v>2.0330843184E-2</v>
      </c>
      <c r="BB18" s="106">
        <f t="shared" si="10"/>
        <v>1.1251654271999997E-2</v>
      </c>
      <c r="BC18" s="106">
        <f t="shared" si="10"/>
        <v>9.7873855199999998E-5</v>
      </c>
      <c r="BD18" s="106">
        <f t="shared" si="10"/>
        <v>2.1065235839999998E-2</v>
      </c>
      <c r="BE18" s="106">
        <f t="shared" si="10"/>
        <v>-1.4423634359999999E-5</v>
      </c>
      <c r="BF18" s="106">
        <f t="shared" si="10"/>
        <v>2.6581310567999997E-7</v>
      </c>
      <c r="BG18" s="106">
        <f t="shared" si="10"/>
        <v>9.7128622799999987E-4</v>
      </c>
      <c r="BH18" s="106">
        <f t="shared" si="10"/>
        <v>3.0732932519999998E-3</v>
      </c>
      <c r="BI18" s="106">
        <f t="shared" si="10"/>
        <v>2.6522143631999996E-3</v>
      </c>
      <c r="BJ18" s="106">
        <f t="shared" si="10"/>
        <v>1.6090696656E-4</v>
      </c>
      <c r="BK18" s="106">
        <f t="shared" si="10"/>
        <v>9.9454651200000001E-3</v>
      </c>
      <c r="BL18" s="210">
        <f t="shared" si="10"/>
        <v>1.2184775567999999E-3</v>
      </c>
    </row>
    <row r="19" spans="2:64" x14ac:dyDescent="0.25">
      <c r="B19" s="272"/>
      <c r="C19" s="106" t="str">
        <f t="shared" si="21"/>
        <v>Water use</v>
      </c>
      <c r="D19" s="106" t="str">
        <f t="shared" si="21"/>
        <v>market group for tap water, GLO</v>
      </c>
      <c r="E19" s="106">
        <f>Accommodation!F4*3</f>
        <v>900</v>
      </c>
      <c r="F19" s="106" t="str">
        <f t="shared" ref="F19:AI19" si="23">F10</f>
        <v>kg</v>
      </c>
      <c r="G19" s="106" t="str">
        <f t="shared" si="23"/>
        <v>Ecoinvent v3.7.1</v>
      </c>
      <c r="H19" s="106">
        <f t="shared" si="23"/>
        <v>7.8616999999999999E-4</v>
      </c>
      <c r="I19" s="106">
        <f t="shared" si="23"/>
        <v>1.9751E-4</v>
      </c>
      <c r="J19" s="106">
        <f t="shared" si="23"/>
        <v>9.4672000000000003E-3</v>
      </c>
      <c r="K19" s="106">
        <f t="shared" si="23"/>
        <v>3.2061999999999999E-5</v>
      </c>
      <c r="L19" s="106">
        <f t="shared" si="23"/>
        <v>2.1827999999999999E-3</v>
      </c>
      <c r="M19" s="106">
        <f t="shared" si="23"/>
        <v>3.3095999999999999E-7</v>
      </c>
      <c r="N19" s="106">
        <f t="shared" si="23"/>
        <v>2.3504E-6</v>
      </c>
      <c r="O19" s="106">
        <f t="shared" si="23"/>
        <v>6.9337999999999995E-4</v>
      </c>
      <c r="P19" s="106">
        <f t="shared" si="23"/>
        <v>2.4444000000000001E-4</v>
      </c>
      <c r="Q19" s="106">
        <f t="shared" si="23"/>
        <v>1.282007336E-2</v>
      </c>
      <c r="R19" s="106">
        <f t="shared" si="23"/>
        <v>3.6423E-5</v>
      </c>
      <c r="S19" s="106">
        <f t="shared" si="23"/>
        <v>7.6884000000000002E-4</v>
      </c>
      <c r="T19" s="106">
        <f t="shared" si="23"/>
        <v>2.3416999999999999E-4</v>
      </c>
      <c r="U19" s="106">
        <f t="shared" si="23"/>
        <v>1.8153000000000001E-5</v>
      </c>
      <c r="V19" s="106">
        <f t="shared" si="23"/>
        <v>4.4477999999999999E-7</v>
      </c>
      <c r="W19" s="106">
        <f t="shared" si="23"/>
        <v>4.2660000000000002E-4</v>
      </c>
      <c r="X19" s="106">
        <f t="shared" si="23"/>
        <v>1.4076E-4</v>
      </c>
      <c r="Y19" s="106">
        <f t="shared" si="23"/>
        <v>1.6370000000000001E-5</v>
      </c>
      <c r="Z19" s="106">
        <f t="shared" si="23"/>
        <v>2.2333999999999999E-7</v>
      </c>
      <c r="AA19" s="106">
        <f t="shared" si="23"/>
        <v>2.0411000000000002E-5</v>
      </c>
      <c r="AB19" s="106">
        <f t="shared" si="23"/>
        <v>-6.3623E-8</v>
      </c>
      <c r="AC19" s="106">
        <f t="shared" si="23"/>
        <v>1.6629E-10</v>
      </c>
      <c r="AD19" s="106">
        <f t="shared" si="23"/>
        <v>2.0271999999999998E-6</v>
      </c>
      <c r="AE19" s="106">
        <f t="shared" si="23"/>
        <v>2.4003999999999999E-6</v>
      </c>
      <c r="AF19" s="106">
        <f t="shared" si="23"/>
        <v>3.0645999999999998E-6</v>
      </c>
      <c r="AG19" s="106">
        <f t="shared" si="23"/>
        <v>7.2106999999999998E-8</v>
      </c>
      <c r="AH19" s="106">
        <f t="shared" si="23"/>
        <v>7.5768E-6</v>
      </c>
      <c r="AI19" s="210">
        <f t="shared" si="23"/>
        <v>1.0698E-5</v>
      </c>
      <c r="AK19" s="213">
        <f t="shared" si="12"/>
        <v>0.58019345999999994</v>
      </c>
      <c r="AL19" s="106">
        <f t="shared" si="10"/>
        <v>0.14576238</v>
      </c>
      <c r="AM19" s="106">
        <f t="shared" si="10"/>
        <v>6.9867936000000004</v>
      </c>
      <c r="AN19" s="106">
        <f t="shared" si="10"/>
        <v>2.3661755999999996E-2</v>
      </c>
      <c r="AO19" s="106">
        <f t="shared" si="10"/>
        <v>1.6109064</v>
      </c>
      <c r="AP19" s="106">
        <f t="shared" si="10"/>
        <v>2.4424848E-4</v>
      </c>
      <c r="AQ19" s="106">
        <f t="shared" si="10"/>
        <v>1.7345952000000001E-3</v>
      </c>
      <c r="AR19" s="106">
        <f t="shared" si="10"/>
        <v>0.51171443999999999</v>
      </c>
      <c r="AS19" s="106">
        <f t="shared" si="10"/>
        <v>0.18039671999999998</v>
      </c>
      <c r="AT19" s="106">
        <f t="shared" si="10"/>
        <v>9.4612141396799991</v>
      </c>
      <c r="AU19" s="106">
        <f t="shared" si="10"/>
        <v>2.6880174E-2</v>
      </c>
      <c r="AV19" s="106">
        <f t="shared" si="10"/>
        <v>0.56740391999999995</v>
      </c>
      <c r="AW19" s="106">
        <f t="shared" si="10"/>
        <v>0.17281745999999998</v>
      </c>
      <c r="AX19" s="106">
        <f t="shared" si="10"/>
        <v>1.3396913999999999E-2</v>
      </c>
      <c r="AY19" s="106">
        <f t="shared" si="10"/>
        <v>3.2824763999999998E-4</v>
      </c>
      <c r="AZ19" s="106">
        <f t="shared" si="10"/>
        <v>0.31483079999999997</v>
      </c>
      <c r="BA19" s="106">
        <f t="shared" si="10"/>
        <v>0.10388087999999998</v>
      </c>
      <c r="BB19" s="106">
        <f t="shared" si="10"/>
        <v>1.2081060000000001E-2</v>
      </c>
      <c r="BC19" s="106">
        <f t="shared" si="10"/>
        <v>1.6482491999999998E-4</v>
      </c>
      <c r="BD19" s="106">
        <f t="shared" si="10"/>
        <v>1.5063318000000001E-2</v>
      </c>
      <c r="BE19" s="106">
        <f t="shared" si="10"/>
        <v>-4.6953773999999993E-5</v>
      </c>
      <c r="BF19" s="106">
        <f t="shared" si="10"/>
        <v>1.2272202E-7</v>
      </c>
      <c r="BG19" s="106">
        <f t="shared" si="10"/>
        <v>1.4960735999999999E-3</v>
      </c>
      <c r="BH19" s="106">
        <f t="shared" si="10"/>
        <v>1.7714952E-3</v>
      </c>
      <c r="BI19" s="106">
        <f t="shared" si="10"/>
        <v>2.2616747999999998E-3</v>
      </c>
      <c r="BJ19" s="106">
        <f t="shared" si="10"/>
        <v>5.3214965999999998E-5</v>
      </c>
      <c r="BK19" s="106">
        <f t="shared" si="10"/>
        <v>5.5916783999999994E-3</v>
      </c>
      <c r="BL19" s="210">
        <f t="shared" si="10"/>
        <v>7.8951239999999999E-3</v>
      </c>
    </row>
    <row r="20" spans="2:64" x14ac:dyDescent="0.25">
      <c r="B20" s="272"/>
      <c r="C20" s="106" t="str">
        <f t="shared" si="21"/>
        <v>Wastewater treatment</v>
      </c>
      <c r="D20" s="106" t="str">
        <f t="shared" si="21"/>
        <v>treatment of wastewater, from residence, capacity 1.1E10l/year, RoW</v>
      </c>
      <c r="E20" s="106">
        <f>E19/1000</f>
        <v>0.9</v>
      </c>
      <c r="F20" s="106" t="str">
        <f t="shared" ref="F20:AI20" si="24">F11</f>
        <v>m3</v>
      </c>
      <c r="G20" s="106" t="str">
        <f t="shared" si="24"/>
        <v>Ecoinvent v3.7.1</v>
      </c>
      <c r="H20" s="106">
        <f t="shared" si="24"/>
        <v>0.55149000000000004</v>
      </c>
      <c r="I20" s="106">
        <f t="shared" si="24"/>
        <v>0.11234</v>
      </c>
      <c r="J20" s="106">
        <f t="shared" si="24"/>
        <v>5.6473000000000004</v>
      </c>
      <c r="K20" s="106">
        <f t="shared" si="24"/>
        <v>8.5579999999999996E-3</v>
      </c>
      <c r="L20" s="106">
        <f t="shared" si="24"/>
        <v>0.58731</v>
      </c>
      <c r="M20" s="106">
        <f t="shared" si="24"/>
        <v>4.6106000000000001E-4</v>
      </c>
      <c r="N20" s="106">
        <f t="shared" si="24"/>
        <v>1.8717999999999999E-2</v>
      </c>
      <c r="O20" s="106">
        <f t="shared" si="24"/>
        <v>0.30649999999999999</v>
      </c>
      <c r="P20" s="106">
        <f t="shared" si="24"/>
        <v>6.4085000000000003E-2</v>
      </c>
      <c r="Q20" s="106">
        <f t="shared" si="24"/>
        <v>6.7452720600000005</v>
      </c>
      <c r="R20" s="106">
        <f t="shared" si="24"/>
        <v>2.3549E-2</v>
      </c>
      <c r="S20" s="106">
        <f t="shared" si="24"/>
        <v>0.54135999999999995</v>
      </c>
      <c r="T20" s="106">
        <f t="shared" si="24"/>
        <v>0.13721</v>
      </c>
      <c r="U20" s="106">
        <f t="shared" si="24"/>
        <v>2.3826E-2</v>
      </c>
      <c r="V20" s="106">
        <f t="shared" si="24"/>
        <v>1.1169000000000001E-3</v>
      </c>
      <c r="W20" s="106">
        <f t="shared" si="24"/>
        <v>0.24636</v>
      </c>
      <c r="X20" s="106">
        <f t="shared" si="24"/>
        <v>4.0669999999999998E-2</v>
      </c>
      <c r="Y20" s="106">
        <f t="shared" si="24"/>
        <v>2.1378999999999999E-2</v>
      </c>
      <c r="Z20" s="106">
        <f t="shared" si="24"/>
        <v>2.0655E-2</v>
      </c>
      <c r="AA20" s="106">
        <f t="shared" si="24"/>
        <v>4.9317E-2</v>
      </c>
      <c r="AB20" s="106">
        <f t="shared" si="24"/>
        <v>-5.7655000000000003E-5</v>
      </c>
      <c r="AC20" s="106">
        <f t="shared" si="24"/>
        <v>3.0047999999999999E-8</v>
      </c>
      <c r="AD20" s="106">
        <f t="shared" si="24"/>
        <v>1.789E-3</v>
      </c>
      <c r="AE20" s="106">
        <f t="shared" si="24"/>
        <v>2.5623999999999998E-3</v>
      </c>
      <c r="AF20" s="106">
        <f t="shared" si="24"/>
        <v>3.9836999999999997E-3</v>
      </c>
      <c r="AG20" s="106">
        <f t="shared" si="24"/>
        <v>2.3662999999999999E-4</v>
      </c>
      <c r="AH20" s="106">
        <f t="shared" si="24"/>
        <v>2.6100000000000002E-2</v>
      </c>
      <c r="AI20" s="210">
        <f t="shared" si="24"/>
        <v>0.10387</v>
      </c>
      <c r="AK20" s="213">
        <f t="shared" si="12"/>
        <v>0.40699962000000001</v>
      </c>
      <c r="AL20" s="106">
        <f t="shared" si="10"/>
        <v>8.2906919999999995E-2</v>
      </c>
      <c r="AM20" s="106">
        <f t="shared" si="10"/>
        <v>4.1677074000000003</v>
      </c>
      <c r="AN20" s="106">
        <f t="shared" si="10"/>
        <v>6.3158039999999995E-3</v>
      </c>
      <c r="AO20" s="106">
        <f t="shared" si="10"/>
        <v>0.43343477999999996</v>
      </c>
      <c r="AP20" s="106">
        <f t="shared" si="10"/>
        <v>3.4026228E-4</v>
      </c>
      <c r="AQ20" s="106">
        <f t="shared" si="10"/>
        <v>1.3813883999999998E-2</v>
      </c>
      <c r="AR20" s="106">
        <f t="shared" si="10"/>
        <v>0.22619699999999998</v>
      </c>
      <c r="AS20" s="106">
        <f t="shared" si="10"/>
        <v>4.729473E-2</v>
      </c>
      <c r="AT20" s="106">
        <f t="shared" si="10"/>
        <v>4.97801078028</v>
      </c>
      <c r="AU20" s="106">
        <f t="shared" si="10"/>
        <v>1.7379162E-2</v>
      </c>
      <c r="AV20" s="106">
        <f t="shared" si="10"/>
        <v>0.39952367999999999</v>
      </c>
      <c r="AW20" s="106">
        <f t="shared" si="10"/>
        <v>0.10126098</v>
      </c>
      <c r="AX20" s="106">
        <f t="shared" si="10"/>
        <v>1.7583588000000001E-2</v>
      </c>
      <c r="AY20" s="106">
        <f t="shared" si="10"/>
        <v>8.2427219999999999E-4</v>
      </c>
      <c r="AZ20" s="106">
        <f t="shared" si="10"/>
        <v>0.18181368000000001</v>
      </c>
      <c r="BA20" s="106">
        <f t="shared" si="10"/>
        <v>3.0014459999999996E-2</v>
      </c>
      <c r="BB20" s="106">
        <f t="shared" si="10"/>
        <v>1.5777702000000001E-2</v>
      </c>
      <c r="BC20" s="106">
        <f t="shared" si="10"/>
        <v>1.5243390000000001E-2</v>
      </c>
      <c r="BD20" s="106">
        <f t="shared" si="10"/>
        <v>3.6395945999999998E-2</v>
      </c>
      <c r="BE20" s="106">
        <f t="shared" si="10"/>
        <v>-4.2549390000000002E-5</v>
      </c>
      <c r="BF20" s="106">
        <f t="shared" si="10"/>
        <v>2.2175423999999998E-8</v>
      </c>
      <c r="BG20" s="106">
        <f t="shared" si="10"/>
        <v>1.3202819999999999E-3</v>
      </c>
      <c r="BH20" s="106">
        <f t="shared" si="10"/>
        <v>1.8910511999999998E-3</v>
      </c>
      <c r="BI20" s="106">
        <f t="shared" si="10"/>
        <v>2.9399705999999999E-3</v>
      </c>
      <c r="BJ20" s="106">
        <f t="shared" si="10"/>
        <v>1.7463293999999999E-4</v>
      </c>
      <c r="BK20" s="106">
        <f t="shared" si="10"/>
        <v>1.9261799999999999E-2</v>
      </c>
      <c r="BL20" s="210">
        <f t="shared" si="10"/>
        <v>7.6656059999999998E-2</v>
      </c>
    </row>
    <row r="21" spans="2:64" x14ac:dyDescent="0.25">
      <c r="B21" s="277" t="s">
        <v>155</v>
      </c>
      <c r="C21" s="106" t="s">
        <v>835</v>
      </c>
      <c r="D21" s="106" t="s">
        <v>240</v>
      </c>
      <c r="E21" s="106">
        <v>3</v>
      </c>
      <c r="F21" s="106" t="s">
        <v>357</v>
      </c>
      <c r="G21" s="106" t="s">
        <v>993</v>
      </c>
      <c r="H21" s="106">
        <f>Catering_LCIA!F5</f>
        <v>10.308911202808734</v>
      </c>
      <c r="I21" s="106">
        <f>Catering_LCIA!G5</f>
        <v>61.630575229070182</v>
      </c>
      <c r="J21" s="106">
        <f>Catering_LCIA!H5</f>
        <v>69.147047260314878</v>
      </c>
      <c r="K21" s="106">
        <f>Catering_LCIA!I5</f>
        <v>3.4982882541865795E-2</v>
      </c>
      <c r="L21" s="106">
        <f>Catering_LCIA!J5</f>
        <v>18.482034830329845</v>
      </c>
      <c r="M21" s="106">
        <f>Catering_LCIA!K5</f>
        <v>2.837600308294284</v>
      </c>
      <c r="N21" s="106">
        <f>Catering_LCIA!L5</f>
        <v>0.30012940982461117</v>
      </c>
      <c r="O21" s="106">
        <f>Catering_LCIA!M5</f>
        <v>1.3835162154708356</v>
      </c>
      <c r="P21" s="106">
        <f>Catering_LCIA!N5</f>
        <v>1.003566634738752</v>
      </c>
      <c r="Q21" s="106">
        <f>Catering_LCIA!O5</f>
        <v>154.81945277058526</v>
      </c>
      <c r="R21" s="106">
        <f>Catering_LCIA!P5</f>
        <v>23.854109981194522</v>
      </c>
      <c r="S21" s="106">
        <f>Catering_LCIA!Q5</f>
        <v>9.5756336521306658</v>
      </c>
      <c r="T21" s="106">
        <f>Catering_LCIA!R5</f>
        <v>1.9775658660145146</v>
      </c>
      <c r="U21" s="106">
        <f>Catering_LCIA!S5</f>
        <v>0.22950641128693733</v>
      </c>
      <c r="V21" s="106">
        <f>Catering_LCIA!T5</f>
        <v>5.0850207588398711E-3</v>
      </c>
      <c r="W21" s="106">
        <f>Catering_LCIA!U5</f>
        <v>6.032810949479547</v>
      </c>
      <c r="X21" s="106">
        <f>Catering_LCIA!V5</f>
        <v>1.2475685963649243</v>
      </c>
      <c r="Y21" s="106">
        <f>Catering_LCIA!W5</f>
        <v>0.18812998000764231</v>
      </c>
      <c r="Z21" s="106">
        <f>Catering_LCIA!X5</f>
        <v>3.4498052169978338E-2</v>
      </c>
      <c r="AA21" s="106">
        <f>Catering_LCIA!Y5</f>
        <v>0.19636790110466582</v>
      </c>
      <c r="AB21" s="106">
        <f>Catering_LCIA!Z5</f>
        <v>-3.100528405796867E-4</v>
      </c>
      <c r="AC21" s="106">
        <f>Catering_LCIA!AA5</f>
        <v>3.9576537478365535E-7</v>
      </c>
      <c r="AD21" s="106">
        <f>Catering_LCIA!AB5</f>
        <v>2.0637948449698695E-2</v>
      </c>
      <c r="AE21" s="106">
        <f>Catering_LCIA!AC5</f>
        <v>2.8435899105157546E-2</v>
      </c>
      <c r="AF21" s="106">
        <f>Catering_LCIA!AD5</f>
        <v>6.867328178557526E-2</v>
      </c>
      <c r="AG21" s="106">
        <f>Catering_LCIA!AE5</f>
        <v>8.3949146674351452E-2</v>
      </c>
      <c r="AH21" s="106">
        <f>Catering_LCIA!AF5</f>
        <v>0.10586740365392949</v>
      </c>
      <c r="AI21" s="210">
        <f>Catering_LCIA!AG5</f>
        <v>0.46434664282681726</v>
      </c>
      <c r="AK21" s="213">
        <f>$E21*H21</f>
        <v>30.926733608426201</v>
      </c>
      <c r="AL21" s="106">
        <f t="shared" ref="AL21:BL30" si="25">$E21*I21</f>
        <v>184.89172568721054</v>
      </c>
      <c r="AM21" s="106">
        <f t="shared" si="25"/>
        <v>207.44114178094463</v>
      </c>
      <c r="AN21" s="106">
        <f t="shared" si="25"/>
        <v>0.10494864762559739</v>
      </c>
      <c r="AO21" s="106">
        <f t="shared" si="25"/>
        <v>55.446104490989534</v>
      </c>
      <c r="AP21" s="106">
        <f t="shared" si="25"/>
        <v>8.5128009248828516</v>
      </c>
      <c r="AQ21" s="106">
        <f t="shared" si="25"/>
        <v>0.90038822947383346</v>
      </c>
      <c r="AR21" s="106">
        <f t="shared" si="25"/>
        <v>4.1505486464125063</v>
      </c>
      <c r="AS21" s="106">
        <f t="shared" si="25"/>
        <v>3.0106999042162559</v>
      </c>
      <c r="AT21" s="106">
        <f t="shared" si="25"/>
        <v>464.45835831175577</v>
      </c>
      <c r="AU21" s="106">
        <f t="shared" si="25"/>
        <v>71.562329943583563</v>
      </c>
      <c r="AV21" s="106">
        <f t="shared" si="25"/>
        <v>28.726900956391997</v>
      </c>
      <c r="AW21" s="106">
        <f t="shared" si="25"/>
        <v>5.9326975980435437</v>
      </c>
      <c r="AX21" s="106">
        <f t="shared" si="25"/>
        <v>0.68851923386081193</v>
      </c>
      <c r="AY21" s="106">
        <f t="shared" si="25"/>
        <v>1.5255062276519613E-2</v>
      </c>
      <c r="AZ21" s="106">
        <f t="shared" si="25"/>
        <v>18.098432848438641</v>
      </c>
      <c r="BA21" s="106">
        <f t="shared" si="25"/>
        <v>3.742705789094773</v>
      </c>
      <c r="BB21" s="106">
        <f t="shared" si="25"/>
        <v>0.56438994002292686</v>
      </c>
      <c r="BC21" s="106">
        <f t="shared" si="25"/>
        <v>0.10349415650993501</v>
      </c>
      <c r="BD21" s="106">
        <f t="shared" si="25"/>
        <v>0.58910370331399742</v>
      </c>
      <c r="BE21" s="106">
        <f t="shared" si="25"/>
        <v>-9.301585217390601E-4</v>
      </c>
      <c r="BF21" s="106">
        <f t="shared" si="25"/>
        <v>1.187296124350966E-6</v>
      </c>
      <c r="BG21" s="106">
        <f t="shared" si="25"/>
        <v>6.1913845349096081E-2</v>
      </c>
      <c r="BH21" s="106">
        <f t="shared" si="25"/>
        <v>8.5307697315472636E-2</v>
      </c>
      <c r="BI21" s="106">
        <f t="shared" si="25"/>
        <v>0.20601984535672579</v>
      </c>
      <c r="BJ21" s="106">
        <f t="shared" si="25"/>
        <v>0.25184744002305437</v>
      </c>
      <c r="BK21" s="106">
        <f t="shared" si="25"/>
        <v>0.31760221096178848</v>
      </c>
      <c r="BL21" s="210">
        <f t="shared" si="25"/>
        <v>1.3930399284804518</v>
      </c>
    </row>
    <row r="22" spans="2:64" x14ac:dyDescent="0.25">
      <c r="B22" s="277"/>
      <c r="C22" s="106" t="s">
        <v>836</v>
      </c>
      <c r="D22" s="106"/>
      <c r="E22" s="106">
        <v>3</v>
      </c>
      <c r="F22" s="106" t="s">
        <v>357</v>
      </c>
      <c r="G22" s="106" t="str">
        <f>G21</f>
        <v>Catering_LCIA</v>
      </c>
      <c r="H22" s="106">
        <f>Catering_LCIA!F6</f>
        <v>10.053400564945139</v>
      </c>
      <c r="I22" s="106">
        <f>Catering_LCIA!G6</f>
        <v>61.759975184058902</v>
      </c>
      <c r="J22" s="106">
        <f>Catering_LCIA!H6</f>
        <v>67.166662308656399</v>
      </c>
      <c r="K22" s="106">
        <f>Catering_LCIA!I6</f>
        <v>0.23906255608699326</v>
      </c>
      <c r="L22" s="106">
        <f>Catering_LCIA!J6</f>
        <v>14.370523894981435</v>
      </c>
      <c r="M22" s="106">
        <f>Catering_LCIA!K6</f>
        <v>2.8404742546069097</v>
      </c>
      <c r="N22" s="106">
        <f>Catering_LCIA!L6</f>
        <v>0.69704888905655071</v>
      </c>
      <c r="O22" s="106">
        <f>Catering_LCIA!M6</f>
        <v>2.6042916403551697</v>
      </c>
      <c r="P22" s="106">
        <f>Catering_LCIA!N6</f>
        <v>1.2110671861286213</v>
      </c>
      <c r="Q22" s="106">
        <f>Catering_LCIA!O6</f>
        <v>150.88910591393102</v>
      </c>
      <c r="R22" s="106">
        <f>Catering_LCIA!P6</f>
        <v>23.882918085095461</v>
      </c>
      <c r="S22" s="106">
        <f>Catering_LCIA!Q6</f>
        <v>9.3219541684420069</v>
      </c>
      <c r="T22" s="106">
        <f>Catering_LCIA!R6</f>
        <v>1.9325209954645675</v>
      </c>
      <c r="U22" s="106">
        <f>Catering_LCIA!S6</f>
        <v>0.23136438059727155</v>
      </c>
      <c r="V22" s="106">
        <f>Catering_LCIA!T6</f>
        <v>5.185993137920915E-3</v>
      </c>
      <c r="W22" s="106">
        <f>Catering_LCIA!U6</f>
        <v>6.0838960201695684</v>
      </c>
      <c r="X22" s="106">
        <f>Catering_LCIA!V6</f>
        <v>0.98141990726928974</v>
      </c>
      <c r="Y22" s="106">
        <f>Catering_LCIA!W6</f>
        <v>0.1898527849139765</v>
      </c>
      <c r="Z22" s="106">
        <f>Catering_LCIA!X6</f>
        <v>3.4533568473455616E-2</v>
      </c>
      <c r="AA22" s="106">
        <f>Catering_LCIA!Y6</f>
        <v>0.19600970062398171</v>
      </c>
      <c r="AB22" s="106">
        <f>Catering_LCIA!Z6</f>
        <v>-2.9752030279955611E-4</v>
      </c>
      <c r="AC22" s="106">
        <f>Catering_LCIA!AA6</f>
        <v>3.952258705810966E-7</v>
      </c>
      <c r="AD22" s="106">
        <f>Catering_LCIA!AB6</f>
        <v>2.1193921661199478E-2</v>
      </c>
      <c r="AE22" s="106">
        <f>Catering_LCIA!AC6</f>
        <v>2.8053842123691906E-2</v>
      </c>
      <c r="AF22" s="106">
        <f>Catering_LCIA!AD6</f>
        <v>6.7305032202477605E-2</v>
      </c>
      <c r="AG22" s="106">
        <f>Catering_LCIA!AE6</f>
        <v>8.4009072297867457E-2</v>
      </c>
      <c r="AH22" s="106">
        <f>Catering_LCIA!AF6</f>
        <v>0.10558985505953263</v>
      </c>
      <c r="AI22" s="210">
        <f>Catering_LCIA!AG6</f>
        <v>0.46569984644938689</v>
      </c>
      <c r="AK22" s="213">
        <f t="shared" ref="AK22:AK25" si="26">$E22*H22</f>
        <v>30.160201694835418</v>
      </c>
      <c r="AL22" s="106">
        <f t="shared" si="25"/>
        <v>185.27992555217671</v>
      </c>
      <c r="AM22" s="106">
        <f t="shared" si="25"/>
        <v>201.49998692596921</v>
      </c>
      <c r="AN22" s="106">
        <f t="shared" si="25"/>
        <v>0.71718766826097979</v>
      </c>
      <c r="AO22" s="106">
        <f t="shared" si="25"/>
        <v>43.111571684944309</v>
      </c>
      <c r="AP22" s="106">
        <f t="shared" si="25"/>
        <v>8.5214227638207287</v>
      </c>
      <c r="AQ22" s="106">
        <f t="shared" si="25"/>
        <v>2.0911466671696521</v>
      </c>
      <c r="AR22" s="106">
        <f t="shared" si="25"/>
        <v>7.8128749210655091</v>
      </c>
      <c r="AS22" s="106">
        <f t="shared" si="25"/>
        <v>3.6332015583858639</v>
      </c>
      <c r="AT22" s="106">
        <f t="shared" si="25"/>
        <v>452.66731774179306</v>
      </c>
      <c r="AU22" s="106">
        <f t="shared" si="25"/>
        <v>71.648754255286377</v>
      </c>
      <c r="AV22" s="106">
        <f t="shared" si="25"/>
        <v>27.965862505326022</v>
      </c>
      <c r="AW22" s="106">
        <f t="shared" si="25"/>
        <v>5.7975629863937019</v>
      </c>
      <c r="AX22" s="106">
        <f t="shared" si="25"/>
        <v>0.69409314179181458</v>
      </c>
      <c r="AY22" s="106">
        <f t="shared" si="25"/>
        <v>1.5557979413762746E-2</v>
      </c>
      <c r="AZ22" s="106">
        <f t="shared" si="25"/>
        <v>18.251688060508705</v>
      </c>
      <c r="BA22" s="106">
        <f t="shared" si="25"/>
        <v>2.9442597218078692</v>
      </c>
      <c r="BB22" s="106">
        <f t="shared" si="25"/>
        <v>0.56955835474192951</v>
      </c>
      <c r="BC22" s="106">
        <f t="shared" si="25"/>
        <v>0.10360070542036684</v>
      </c>
      <c r="BD22" s="106">
        <f t="shared" si="25"/>
        <v>0.58802910187194513</v>
      </c>
      <c r="BE22" s="106">
        <f t="shared" si="25"/>
        <v>-8.9256090839866828E-4</v>
      </c>
      <c r="BF22" s="106">
        <f t="shared" si="25"/>
        <v>1.1856776117432898E-6</v>
      </c>
      <c r="BG22" s="106">
        <f t="shared" si="25"/>
        <v>6.3581764983598438E-2</v>
      </c>
      <c r="BH22" s="106">
        <f t="shared" si="25"/>
        <v>8.4161526371075712E-2</v>
      </c>
      <c r="BI22" s="106">
        <f t="shared" si="25"/>
        <v>0.20191509660743281</v>
      </c>
      <c r="BJ22" s="106">
        <f t="shared" si="25"/>
        <v>0.25202721689360236</v>
      </c>
      <c r="BK22" s="106">
        <f t="shared" si="25"/>
        <v>0.31676956517859789</v>
      </c>
      <c r="BL22" s="210">
        <f t="shared" si="25"/>
        <v>1.3970995393481607</v>
      </c>
    </row>
    <row r="23" spans="2:64" x14ac:dyDescent="0.25">
      <c r="B23" s="277"/>
      <c r="C23" s="106" t="s">
        <v>837</v>
      </c>
      <c r="D23" s="106"/>
      <c r="E23" s="106">
        <v>3</v>
      </c>
      <c r="F23" s="106" t="s">
        <v>357</v>
      </c>
      <c r="G23" s="106" t="str">
        <f t="shared" ref="G23:G25" si="27">G22</f>
        <v>Catering_LCIA</v>
      </c>
      <c r="H23" s="106">
        <f>Catering_LCIA!F7</f>
        <v>10.173669076694488</v>
      </c>
      <c r="I23" s="106">
        <f>Catering_LCIA!G7</f>
        <v>61.711660019568036</v>
      </c>
      <c r="J23" s="106">
        <f>Catering_LCIA!H7</f>
        <v>68.081460219883553</v>
      </c>
      <c r="K23" s="106">
        <f>Catering_LCIA!I7</f>
        <v>0.1452219708128418</v>
      </c>
      <c r="L23" s="106">
        <f>Catering_LCIA!J7</f>
        <v>16.284473764433134</v>
      </c>
      <c r="M23" s="106">
        <f>Catering_LCIA!K7</f>
        <v>2.840471607306648</v>
      </c>
      <c r="N23" s="106">
        <f>Catering_LCIA!L7</f>
        <v>0.51027521803827391</v>
      </c>
      <c r="O23" s="106">
        <f>Catering_LCIA!M7</f>
        <v>2.0415048936188773</v>
      </c>
      <c r="P23" s="106">
        <f>Catering_LCIA!N7</f>
        <v>1.1098661417421984</v>
      </c>
      <c r="Q23" s="106">
        <f>Catering_LCIA!O7</f>
        <v>152.72493383540359</v>
      </c>
      <c r="R23" s="106">
        <f>Catering_LCIA!P7</f>
        <v>23.876381092928359</v>
      </c>
      <c r="S23" s="106">
        <f>Catering_LCIA!Q7</f>
        <v>9.4411094687031039</v>
      </c>
      <c r="T23" s="106">
        <f>Catering_LCIA!R7</f>
        <v>1.9535053296682228</v>
      </c>
      <c r="U23" s="106">
        <f>Catering_LCIA!S7</f>
        <v>0.23041666258160573</v>
      </c>
      <c r="V23" s="106">
        <f>Catering_LCIA!T7</f>
        <v>5.136993973430053E-3</v>
      </c>
      <c r="W23" s="106">
        <f>Catering_LCIA!U7</f>
        <v>6.063536751240064</v>
      </c>
      <c r="X23" s="106">
        <f>Catering_LCIA!V7</f>
        <v>1.1055578707157649</v>
      </c>
      <c r="Y23" s="106">
        <f>Catering_LCIA!W7</f>
        <v>0.18896757342572582</v>
      </c>
      <c r="Z23" s="106">
        <f>Catering_LCIA!X7</f>
        <v>3.4533538708442557E-2</v>
      </c>
      <c r="AA23" s="106">
        <f>Catering_LCIA!Y7</f>
        <v>0.19610197216445169</v>
      </c>
      <c r="AB23" s="106">
        <f>Catering_LCIA!Z7</f>
        <v>-3.0323280410503913E-4</v>
      </c>
      <c r="AC23" s="106">
        <f>Catering_LCIA!AA7</f>
        <v>3.9555923872731073E-7</v>
      </c>
      <c r="AD23" s="106">
        <f>Catering_LCIA!AB7</f>
        <v>2.0947526883131597E-2</v>
      </c>
      <c r="AE23" s="106">
        <f>Catering_LCIA!AC7</f>
        <v>2.8236855282960837E-2</v>
      </c>
      <c r="AF23" s="106">
        <f>Catering_LCIA!AD7</f>
        <v>6.7952302176367954E-2</v>
      </c>
      <c r="AG23" s="106">
        <f>Catering_LCIA!AE7</f>
        <v>8.4006112464969293E-2</v>
      </c>
      <c r="AH23" s="106">
        <f>Catering_LCIA!AF7</f>
        <v>0.1056802216391671</v>
      </c>
      <c r="AI23" s="210">
        <f>Catering_LCIA!AG7</f>
        <v>0.46521818900813361</v>
      </c>
      <c r="AK23" s="213">
        <f t="shared" si="26"/>
        <v>30.521007230083463</v>
      </c>
      <c r="AL23" s="106">
        <f t="shared" si="25"/>
        <v>185.13498005870412</v>
      </c>
      <c r="AM23" s="106">
        <f t="shared" si="25"/>
        <v>204.24438065965066</v>
      </c>
      <c r="AN23" s="106">
        <f t="shared" si="25"/>
        <v>0.43566591243852537</v>
      </c>
      <c r="AO23" s="106">
        <f t="shared" si="25"/>
        <v>48.853421293299405</v>
      </c>
      <c r="AP23" s="106">
        <f t="shared" si="25"/>
        <v>8.5214148219199437</v>
      </c>
      <c r="AQ23" s="106">
        <f t="shared" si="25"/>
        <v>1.5308256541148217</v>
      </c>
      <c r="AR23" s="106">
        <f t="shared" si="25"/>
        <v>6.124514680856632</v>
      </c>
      <c r="AS23" s="106">
        <f t="shared" si="25"/>
        <v>3.3295984252265951</v>
      </c>
      <c r="AT23" s="106">
        <f t="shared" si="25"/>
        <v>458.17480150621077</v>
      </c>
      <c r="AU23" s="106">
        <f t="shared" si="25"/>
        <v>71.629143278785079</v>
      </c>
      <c r="AV23" s="106">
        <f t="shared" si="25"/>
        <v>28.323328406109312</v>
      </c>
      <c r="AW23" s="106">
        <f t="shared" si="25"/>
        <v>5.8605159890046679</v>
      </c>
      <c r="AX23" s="106">
        <f t="shared" si="25"/>
        <v>0.69124998774481716</v>
      </c>
      <c r="AY23" s="106">
        <f t="shared" si="25"/>
        <v>1.5410981920290159E-2</v>
      </c>
      <c r="AZ23" s="106">
        <f t="shared" si="25"/>
        <v>18.190610253720191</v>
      </c>
      <c r="BA23" s="106">
        <f t="shared" si="25"/>
        <v>3.3166736121472948</v>
      </c>
      <c r="BB23" s="106">
        <f t="shared" si="25"/>
        <v>0.56690272027717747</v>
      </c>
      <c r="BC23" s="106">
        <f t="shared" si="25"/>
        <v>0.10360061612532767</v>
      </c>
      <c r="BD23" s="106">
        <f t="shared" si="25"/>
        <v>0.58830591649335506</v>
      </c>
      <c r="BE23" s="106">
        <f t="shared" si="25"/>
        <v>-9.096984123151174E-4</v>
      </c>
      <c r="BF23" s="106">
        <f t="shared" si="25"/>
        <v>1.1866777161819322E-6</v>
      </c>
      <c r="BG23" s="106">
        <f t="shared" si="25"/>
        <v>6.2842580649394797E-2</v>
      </c>
      <c r="BH23" s="106">
        <f t="shared" si="25"/>
        <v>8.4710565848882508E-2</v>
      </c>
      <c r="BI23" s="106">
        <f t="shared" si="25"/>
        <v>0.20385690652910388</v>
      </c>
      <c r="BJ23" s="106">
        <f t="shared" si="25"/>
        <v>0.25201833739490787</v>
      </c>
      <c r="BK23" s="106">
        <f t="shared" si="25"/>
        <v>0.31704066491750127</v>
      </c>
      <c r="BL23" s="210">
        <f t="shared" si="25"/>
        <v>1.3956545670244007</v>
      </c>
    </row>
    <row r="24" spans="2:64" x14ac:dyDescent="0.25">
      <c r="B24" s="277"/>
      <c r="C24" s="106" t="s">
        <v>838</v>
      </c>
      <c r="D24" s="106"/>
      <c r="E24" s="106">
        <v>3</v>
      </c>
      <c r="F24" s="106" t="s">
        <v>357</v>
      </c>
      <c r="G24" s="106" t="str">
        <f t="shared" si="27"/>
        <v>Catering_LCIA</v>
      </c>
      <c r="H24" s="106">
        <f>Catering_LCIA!F8</f>
        <v>10.106149912203627</v>
      </c>
      <c r="I24" s="106">
        <f>Catering_LCIA!G8</f>
        <v>61.738784322440097</v>
      </c>
      <c r="J24" s="106">
        <f>Catering_LCIA!H8</f>
        <v>67.567889462703391</v>
      </c>
      <c r="K24" s="106">
        <f>Catering_LCIA!I8</f>
        <v>0.19790440465096187</v>
      </c>
      <c r="L24" s="106">
        <f>Catering_LCIA!J8</f>
        <v>15.209975592109373</v>
      </c>
      <c r="M24" s="106">
        <f>Catering_LCIA!K8</f>
        <v>2.8404730935103037</v>
      </c>
      <c r="N24" s="106">
        <f>Catering_LCIA!L8</f>
        <v>0.61513061229414856</v>
      </c>
      <c r="O24" s="106">
        <f>Catering_LCIA!M8</f>
        <v>2.3574553479269715</v>
      </c>
      <c r="P24" s="106">
        <f>Catering_LCIA!N8</f>
        <v>1.1666807631521201</v>
      </c>
      <c r="Q24" s="106">
        <f>Catering_LCIA!O8</f>
        <v>151.6942935987874</v>
      </c>
      <c r="R24" s="106">
        <f>Catering_LCIA!P8</f>
        <v>23.880050983267786</v>
      </c>
      <c r="S24" s="106">
        <f>Catering_LCIA!Q8</f>
        <v>9.3742152650477486</v>
      </c>
      <c r="T24" s="106">
        <f>Catering_LCIA!R8</f>
        <v>1.9417246508170478</v>
      </c>
      <c r="U24" s="106">
        <f>Catering_LCIA!S8</f>
        <v>0.23094871480092688</v>
      </c>
      <c r="V24" s="106">
        <f>Catering_LCIA!T8</f>
        <v>5.1645022763021162E-3</v>
      </c>
      <c r="W24" s="106">
        <f>Catering_LCIA!U8</f>
        <v>6.0749665162531183</v>
      </c>
      <c r="X24" s="106">
        <f>Catering_LCIA!V8</f>
        <v>1.0358663824651122</v>
      </c>
      <c r="Y24" s="106">
        <f>Catering_LCIA!W8</f>
        <v>0.189464534261235</v>
      </c>
      <c r="Z24" s="106">
        <f>Catering_LCIA!X8</f>
        <v>3.4533555418625329E-2</v>
      </c>
      <c r="AA24" s="106">
        <f>Catering_LCIA!Y8</f>
        <v>0.19605017059787205</v>
      </c>
      <c r="AB24" s="106">
        <f>Catering_LCIA!Z8</f>
        <v>-3.0002578582827673E-4</v>
      </c>
      <c r="AC24" s="106">
        <f>Catering_LCIA!AA8</f>
        <v>3.9537208468031332E-7</v>
      </c>
      <c r="AD24" s="106">
        <f>Catering_LCIA!AB8</f>
        <v>2.1085853776081985E-2</v>
      </c>
      <c r="AE24" s="106">
        <f>Catering_LCIA!AC8</f>
        <v>2.8134111053195826E-2</v>
      </c>
      <c r="AF24" s="106">
        <f>Catering_LCIA!AD8</f>
        <v>6.7588922541903199E-2</v>
      </c>
      <c r="AG24" s="106">
        <f>Catering_LCIA!AE8</f>
        <v>8.4007774125543708E-2</v>
      </c>
      <c r="AH24" s="106">
        <f>Catering_LCIA!AF8</f>
        <v>0.10562948952428459</v>
      </c>
      <c r="AI24" s="210">
        <f>Catering_LCIA!AG8</f>
        <v>0.46548859318567931</v>
      </c>
      <c r="AK24" s="213">
        <f t="shared" si="26"/>
        <v>30.31844973661088</v>
      </c>
      <c r="AL24" s="106">
        <f t="shared" si="25"/>
        <v>185.21635296732029</v>
      </c>
      <c r="AM24" s="106">
        <f t="shared" si="25"/>
        <v>202.70366838811017</v>
      </c>
      <c r="AN24" s="106">
        <f t="shared" si="25"/>
        <v>0.59371321395288557</v>
      </c>
      <c r="AO24" s="106">
        <f t="shared" si="25"/>
        <v>45.629926776328119</v>
      </c>
      <c r="AP24" s="106">
        <f t="shared" si="25"/>
        <v>8.5214192805309104</v>
      </c>
      <c r="AQ24" s="106">
        <f t="shared" si="25"/>
        <v>1.8453918368824458</v>
      </c>
      <c r="AR24" s="106">
        <f t="shared" si="25"/>
        <v>7.0723660437809146</v>
      </c>
      <c r="AS24" s="106">
        <f t="shared" si="25"/>
        <v>3.5000422894563603</v>
      </c>
      <c r="AT24" s="106">
        <f t="shared" si="25"/>
        <v>455.08288079636219</v>
      </c>
      <c r="AU24" s="106">
        <f t="shared" si="25"/>
        <v>71.640152949803365</v>
      </c>
      <c r="AV24" s="106">
        <f t="shared" si="25"/>
        <v>28.122645795143246</v>
      </c>
      <c r="AW24" s="106">
        <f t="shared" si="25"/>
        <v>5.8251739524511432</v>
      </c>
      <c r="AX24" s="106">
        <f t="shared" si="25"/>
        <v>0.69284614440278069</v>
      </c>
      <c r="AY24" s="106">
        <f t="shared" si="25"/>
        <v>1.5493506828906349E-2</v>
      </c>
      <c r="AZ24" s="106">
        <f t="shared" si="25"/>
        <v>18.224899548759353</v>
      </c>
      <c r="BA24" s="106">
        <f t="shared" si="25"/>
        <v>3.1075991473953364</v>
      </c>
      <c r="BB24" s="106">
        <f t="shared" si="25"/>
        <v>0.56839360278370499</v>
      </c>
      <c r="BC24" s="106">
        <f t="shared" si="25"/>
        <v>0.10360066625587599</v>
      </c>
      <c r="BD24" s="106">
        <f t="shared" si="25"/>
        <v>0.5881505117936161</v>
      </c>
      <c r="BE24" s="106">
        <f t="shared" si="25"/>
        <v>-9.0007735748483014E-4</v>
      </c>
      <c r="BF24" s="106">
        <f t="shared" si="25"/>
        <v>1.1861162540409399E-6</v>
      </c>
      <c r="BG24" s="106">
        <f t="shared" si="25"/>
        <v>6.3257561328245948E-2</v>
      </c>
      <c r="BH24" s="106">
        <f t="shared" si="25"/>
        <v>8.4402333159587478E-2</v>
      </c>
      <c r="BI24" s="106">
        <f t="shared" si="25"/>
        <v>0.20276676762570961</v>
      </c>
      <c r="BJ24" s="106">
        <f t="shared" si="25"/>
        <v>0.25202332237663111</v>
      </c>
      <c r="BK24" s="106">
        <f t="shared" si="25"/>
        <v>0.3168884685728538</v>
      </c>
      <c r="BL24" s="210">
        <f t="shared" si="25"/>
        <v>1.3964657795570379</v>
      </c>
    </row>
    <row r="25" spans="2:64" x14ac:dyDescent="0.25">
      <c r="B25" s="277"/>
      <c r="C25" s="106" t="s">
        <v>839</v>
      </c>
      <c r="D25" s="106"/>
      <c r="E25" s="106">
        <v>3</v>
      </c>
      <c r="F25" s="106" t="s">
        <v>357</v>
      </c>
      <c r="G25" s="106" t="str">
        <f t="shared" si="27"/>
        <v>Catering_LCIA</v>
      </c>
      <c r="H25" s="106">
        <f>Catering_LCIA!F9</f>
        <v>10.117835969644878</v>
      </c>
      <c r="I25" s="106">
        <f>Catering_LCIA!G9</f>
        <v>61.880629836800416</v>
      </c>
      <c r="J25" s="106">
        <f>Catering_LCIA!H9</f>
        <v>68.042252909178586</v>
      </c>
      <c r="K25" s="106">
        <f>Catering_LCIA!I9</f>
        <v>0.18969308203999583</v>
      </c>
      <c r="L25" s="106">
        <f>Catering_LCIA!J9</f>
        <v>15.090091519002325</v>
      </c>
      <c r="M25" s="106">
        <f>Catering_LCIA!K9</f>
        <v>2.8404795324659169</v>
      </c>
      <c r="N25" s="106">
        <f>Catering_LCIA!L9</f>
        <v>0.61837381856046714</v>
      </c>
      <c r="O25" s="106">
        <f>Catering_LCIA!M9</f>
        <v>2.3554859902246212</v>
      </c>
      <c r="P25" s="106">
        <f>Catering_LCIA!N9</f>
        <v>1.1099255046664804</v>
      </c>
      <c r="Q25" s="106">
        <f>Catering_LCIA!O9</f>
        <v>152.12693219293882</v>
      </c>
      <c r="R25" s="106">
        <f>Catering_LCIA!P9</f>
        <v>23.899258011988412</v>
      </c>
      <c r="S25" s="106">
        <f>Catering_LCIA!Q9</f>
        <v>9.3856285287553209</v>
      </c>
      <c r="T25" s="106">
        <f>Catering_LCIA!R9</f>
        <v>1.955371857083366</v>
      </c>
      <c r="U25" s="106">
        <f>Catering_LCIA!S9</f>
        <v>0.23163351897847256</v>
      </c>
      <c r="V25" s="106">
        <f>Catering_LCIA!T9</f>
        <v>5.2006398219940214E-3</v>
      </c>
      <c r="W25" s="106">
        <f>Catering_LCIA!U9</f>
        <v>6.0963714248693064</v>
      </c>
      <c r="X25" s="106">
        <f>Catering_LCIA!V9</f>
        <v>1.0280781840316919</v>
      </c>
      <c r="Y25" s="106">
        <f>Catering_LCIA!W9</f>
        <v>0.18997428883042555</v>
      </c>
      <c r="Z25" s="106">
        <f>Catering_LCIA!X9</f>
        <v>3.4540437298520889E-2</v>
      </c>
      <c r="AA25" s="106">
        <f>Catering_LCIA!Y9</f>
        <v>0.1960097632871671</v>
      </c>
      <c r="AB25" s="106">
        <f>Catering_LCIA!Z9</f>
        <v>-2.9947512264289817E-4</v>
      </c>
      <c r="AC25" s="106">
        <f>Catering_LCIA!AA9</f>
        <v>3.9853011078997388E-7</v>
      </c>
      <c r="AD25" s="106">
        <f>Catering_LCIA!AB9</f>
        <v>2.1190208867465796E-2</v>
      </c>
      <c r="AE25" s="106">
        <f>Catering_LCIA!AC9</f>
        <v>2.8103388024475196E-2</v>
      </c>
      <c r="AF25" s="106">
        <f>Catering_LCIA!AD9</f>
        <v>6.7470422280806602E-2</v>
      </c>
      <c r="AG25" s="106">
        <f>Catering_LCIA!AE9</f>
        <v>8.4011466000217347E-2</v>
      </c>
      <c r="AH25" s="106">
        <f>Catering_LCIA!AF9</f>
        <v>0.10564181746162141</v>
      </c>
      <c r="AI25" s="210">
        <f>Catering_LCIA!AG9</f>
        <v>0.46547391642327723</v>
      </c>
      <c r="AK25" s="213">
        <f t="shared" si="26"/>
        <v>30.353507908934631</v>
      </c>
      <c r="AL25" s="106">
        <f t="shared" si="25"/>
        <v>185.64188951040126</v>
      </c>
      <c r="AM25" s="106">
        <f t="shared" si="25"/>
        <v>204.12675872753576</v>
      </c>
      <c r="AN25" s="106">
        <f t="shared" si="25"/>
        <v>0.5690792461199875</v>
      </c>
      <c r="AO25" s="106">
        <f t="shared" si="25"/>
        <v>45.270274557006971</v>
      </c>
      <c r="AP25" s="106">
        <f t="shared" si="25"/>
        <v>8.5214385973977507</v>
      </c>
      <c r="AQ25" s="106">
        <f t="shared" si="25"/>
        <v>1.8551214556814015</v>
      </c>
      <c r="AR25" s="106">
        <f t="shared" si="25"/>
        <v>7.0664579706738637</v>
      </c>
      <c r="AS25" s="106">
        <f t="shared" si="25"/>
        <v>3.3297765139994411</v>
      </c>
      <c r="AT25" s="106">
        <f t="shared" si="25"/>
        <v>456.38079657881644</v>
      </c>
      <c r="AU25" s="106">
        <f t="shared" si="25"/>
        <v>71.697774035965239</v>
      </c>
      <c r="AV25" s="106">
        <f t="shared" si="25"/>
        <v>28.156885586265965</v>
      </c>
      <c r="AW25" s="106">
        <f t="shared" si="25"/>
        <v>5.8661155712500985</v>
      </c>
      <c r="AX25" s="106">
        <f t="shared" si="25"/>
        <v>0.69490055693541763</v>
      </c>
      <c r="AY25" s="106">
        <f t="shared" si="25"/>
        <v>1.5601919465982064E-2</v>
      </c>
      <c r="AZ25" s="106">
        <f t="shared" si="25"/>
        <v>18.289114274607918</v>
      </c>
      <c r="BA25" s="106">
        <f t="shared" si="25"/>
        <v>3.0842345520950758</v>
      </c>
      <c r="BB25" s="106">
        <f t="shared" si="25"/>
        <v>0.56992286649127666</v>
      </c>
      <c r="BC25" s="106">
        <f t="shared" si="25"/>
        <v>0.10362131189556267</v>
      </c>
      <c r="BD25" s="106">
        <f t="shared" si="25"/>
        <v>0.58802928986150127</v>
      </c>
      <c r="BE25" s="106">
        <f t="shared" si="25"/>
        <v>-8.9842536792869446E-4</v>
      </c>
      <c r="BF25" s="106">
        <f t="shared" si="25"/>
        <v>1.1955903323699216E-6</v>
      </c>
      <c r="BG25" s="106">
        <f t="shared" si="25"/>
        <v>6.3570626602397387E-2</v>
      </c>
      <c r="BH25" s="106">
        <f t="shared" si="25"/>
        <v>8.4310164073425592E-2</v>
      </c>
      <c r="BI25" s="106">
        <f t="shared" si="25"/>
        <v>0.20241126684241981</v>
      </c>
      <c r="BJ25" s="106">
        <f t="shared" si="25"/>
        <v>0.25203439800065203</v>
      </c>
      <c r="BK25" s="106">
        <f t="shared" si="25"/>
        <v>0.31692545238486425</v>
      </c>
      <c r="BL25" s="210">
        <f t="shared" si="25"/>
        <v>1.3964217492698316</v>
      </c>
    </row>
    <row r="26" spans="2:64" x14ac:dyDescent="0.25">
      <c r="B26" s="272" t="s">
        <v>242</v>
      </c>
      <c r="C26" s="276" t="str">
        <f>B26</f>
        <v>Preparation and execution</v>
      </c>
      <c r="D26" s="106" t="str">
        <f>'Pre &amp; Exe_LCIA'!D40</f>
        <v>Preparation</v>
      </c>
      <c r="E26" s="106">
        <v>1</v>
      </c>
      <c r="F26" s="106" t="s">
        <v>357</v>
      </c>
      <c r="G26" s="106" t="s">
        <v>980</v>
      </c>
      <c r="H26" s="106">
        <f>'Pre &amp; Exe_LCIA'!H40</f>
        <v>18.066929622971866</v>
      </c>
      <c r="I26" s="106">
        <f>'Pre &amp; Exe_LCIA'!I40</f>
        <v>219.54983162853571</v>
      </c>
      <c r="J26" s="106">
        <f>'Pre &amp; Exe_LCIA'!J40</f>
        <v>230.95581797682797</v>
      </c>
      <c r="K26" s="106">
        <f>'Pre &amp; Exe_LCIA'!K40</f>
        <v>0.43085134749986786</v>
      </c>
      <c r="L26" s="106">
        <f>'Pre &amp; Exe_LCIA'!L40</f>
        <v>21.799593958336608</v>
      </c>
      <c r="M26" s="106">
        <f>'Pre &amp; Exe_LCIA'!M40</f>
        <v>1.9187263497192034E-2</v>
      </c>
      <c r="N26" s="106">
        <f>'Pre &amp; Exe_LCIA'!N40</f>
        <v>0.10079214755029717</v>
      </c>
      <c r="O26" s="106">
        <f>'Pre &amp; Exe_LCIA'!O40</f>
        <v>12.204339368193411</v>
      </c>
      <c r="P26" s="106">
        <f>'Pre &amp; Exe_LCIA'!P40</f>
        <v>2.6981338922353442</v>
      </c>
      <c r="Q26" s="106">
        <f>'Pre &amp; Exe_LCIA'!Q40</f>
        <v>487.75854758267644</v>
      </c>
      <c r="R26" s="106">
        <f>'Pre &amp; Exe_LCIA'!R40</f>
        <v>21.545442129144188</v>
      </c>
      <c r="S26" s="106">
        <f>'Pre &amp; Exe_LCIA'!S40</f>
        <v>17.699069644124581</v>
      </c>
      <c r="T26" s="106">
        <f>'Pre &amp; Exe_LCIA'!T40</f>
        <v>5.7543531459262427</v>
      </c>
      <c r="U26" s="106">
        <f>'Pre &amp; Exe_LCIA'!U40</f>
        <v>0.35156657234742378</v>
      </c>
      <c r="V26" s="106">
        <f>'Pre &amp; Exe_LCIA'!V40</f>
        <v>8.4165553467042253E-3</v>
      </c>
      <c r="W26" s="106">
        <f>'Pre &amp; Exe_LCIA'!W40</f>
        <v>6.6615941830313821</v>
      </c>
      <c r="X26" s="106">
        <f>'Pre &amp; Exe_LCIA'!X40</f>
        <v>1.5290097349532044</v>
      </c>
      <c r="Y26" s="106">
        <f>'Pre &amp; Exe_LCIA'!Y40</f>
        <v>0.30849519043802776</v>
      </c>
      <c r="Z26" s="106">
        <f>'Pre &amp; Exe_LCIA'!Z40</f>
        <v>7.3484647827126983E-3</v>
      </c>
      <c r="AA26" s="106">
        <f>'Pre &amp; Exe_LCIA'!AA40</f>
        <v>0.34534871722951238</v>
      </c>
      <c r="AB26" s="106">
        <f>'Pre &amp; Exe_LCIA'!AB40</f>
        <v>-1.1222692794688157E-3</v>
      </c>
      <c r="AC26" s="106">
        <f>'Pre &amp; Exe_LCIA'!AC40</f>
        <v>9.3646428176947011E-7</v>
      </c>
      <c r="AD26" s="106">
        <f>'Pre &amp; Exe_LCIA'!AD40</f>
        <v>5.1260065684227765E-2</v>
      </c>
      <c r="AE26" s="106">
        <f>'Pre &amp; Exe_LCIA'!AE40</f>
        <v>6.4859606031805295E-2</v>
      </c>
      <c r="AF26" s="106">
        <f>'Pre &amp; Exe_LCIA'!AF40</f>
        <v>7.9011347787410119E-2</v>
      </c>
      <c r="AG26" s="106">
        <f>'Pre &amp; Exe_LCIA'!AG40</f>
        <v>3.6076014252917669E-2</v>
      </c>
      <c r="AH26" s="106">
        <f>'Pre &amp; Exe_LCIA'!AH40</f>
        <v>0.27716077494396696</v>
      </c>
      <c r="AI26" s="210">
        <f>'Pre &amp; Exe_LCIA'!AI40</f>
        <v>0.32655744415773086</v>
      </c>
      <c r="AK26" s="213">
        <f>$E26*H26</f>
        <v>18.066929622971866</v>
      </c>
      <c r="AL26" s="106">
        <f t="shared" si="25"/>
        <v>219.54983162853571</v>
      </c>
      <c r="AM26" s="106">
        <f t="shared" si="25"/>
        <v>230.95581797682797</v>
      </c>
      <c r="AN26" s="106">
        <f t="shared" si="25"/>
        <v>0.43085134749986786</v>
      </c>
      <c r="AO26" s="106">
        <f t="shared" si="25"/>
        <v>21.799593958336608</v>
      </c>
      <c r="AP26" s="106">
        <f t="shared" si="25"/>
        <v>1.9187263497192034E-2</v>
      </c>
      <c r="AQ26" s="106">
        <f t="shared" si="25"/>
        <v>0.10079214755029717</v>
      </c>
      <c r="AR26" s="106">
        <f t="shared" si="25"/>
        <v>12.204339368193411</v>
      </c>
      <c r="AS26" s="106">
        <f t="shared" si="25"/>
        <v>2.6981338922353442</v>
      </c>
      <c r="AT26" s="106">
        <f t="shared" si="25"/>
        <v>487.75854758267644</v>
      </c>
      <c r="AU26" s="106">
        <f t="shared" si="25"/>
        <v>21.545442129144188</v>
      </c>
      <c r="AV26" s="106">
        <f t="shared" si="25"/>
        <v>17.699069644124581</v>
      </c>
      <c r="AW26" s="106">
        <f t="shared" si="25"/>
        <v>5.7543531459262427</v>
      </c>
      <c r="AX26" s="106">
        <f t="shared" si="25"/>
        <v>0.35156657234742378</v>
      </c>
      <c r="AY26" s="106">
        <f t="shared" si="25"/>
        <v>8.4165553467042253E-3</v>
      </c>
      <c r="AZ26" s="106">
        <f t="shared" si="25"/>
        <v>6.6615941830313821</v>
      </c>
      <c r="BA26" s="106">
        <f t="shared" si="25"/>
        <v>1.5290097349532044</v>
      </c>
      <c r="BB26" s="106">
        <f t="shared" si="25"/>
        <v>0.30849519043802776</v>
      </c>
      <c r="BC26" s="106">
        <f t="shared" si="25"/>
        <v>7.3484647827126983E-3</v>
      </c>
      <c r="BD26" s="106">
        <f t="shared" si="25"/>
        <v>0.34534871722951238</v>
      </c>
      <c r="BE26" s="106">
        <f t="shared" si="25"/>
        <v>-1.1222692794688157E-3</v>
      </c>
      <c r="BF26" s="106">
        <f t="shared" si="25"/>
        <v>9.3646428176947011E-7</v>
      </c>
      <c r="BG26" s="106">
        <f t="shared" si="25"/>
        <v>5.1260065684227765E-2</v>
      </c>
      <c r="BH26" s="106">
        <f t="shared" si="25"/>
        <v>6.4859606031805295E-2</v>
      </c>
      <c r="BI26" s="106">
        <f t="shared" si="25"/>
        <v>7.9011347787410119E-2</v>
      </c>
      <c r="BJ26" s="106">
        <f t="shared" si="25"/>
        <v>3.6076014252917669E-2</v>
      </c>
      <c r="BK26" s="106">
        <f t="shared" si="25"/>
        <v>0.27716077494396696</v>
      </c>
      <c r="BL26" s="210">
        <f t="shared" si="25"/>
        <v>0.32655744415773086</v>
      </c>
    </row>
    <row r="27" spans="2:64" x14ac:dyDescent="0.25">
      <c r="B27" s="272"/>
      <c r="C27" s="276"/>
      <c r="D27" s="106" t="s">
        <v>823</v>
      </c>
      <c r="E27" s="106">
        <v>1</v>
      </c>
      <c r="F27" s="106" t="s">
        <v>357</v>
      </c>
      <c r="G27" s="106" t="s">
        <v>980</v>
      </c>
      <c r="H27" s="106">
        <f>'Pre &amp; Exe_LCIA'!H44</f>
        <v>17.838221259078342</v>
      </c>
      <c r="I27" s="106">
        <f>'Pre &amp; Exe_LCIA'!I44</f>
        <v>2.559495896188567</v>
      </c>
      <c r="J27" s="106">
        <f>'Pre &amp; Exe_LCIA'!J44</f>
        <v>191.83594676616354</v>
      </c>
      <c r="K27" s="106">
        <f>'Pre &amp; Exe_LCIA'!K44</f>
        <v>2.1496113273500258E-2</v>
      </c>
      <c r="L27" s="106">
        <f>'Pre &amp; Exe_LCIA'!L44</f>
        <v>116.33640396050806</v>
      </c>
      <c r="M27" s="106">
        <f>'Pre &amp; Exe_LCIA'!M44</f>
        <v>5.0736871908309159E-4</v>
      </c>
      <c r="N27" s="106">
        <f>'Pre &amp; Exe_LCIA'!N44</f>
        <v>1.7234389095536009</v>
      </c>
      <c r="O27" s="106">
        <f>'Pre &amp; Exe_LCIA'!O44</f>
        <v>2.4519128988177985</v>
      </c>
      <c r="P27" s="106">
        <f>'Pre &amp; Exe_LCIA'!P44</f>
        <v>5.3887283854451677</v>
      </c>
      <c r="Q27" s="106">
        <f>'Pre &amp; Exe_LCIA'!Q44</f>
        <v>320.31793029866935</v>
      </c>
      <c r="R27" s="106">
        <f>'Pre &amp; Exe_LCIA'!R44</f>
        <v>0.42482867733936275</v>
      </c>
      <c r="S27" s="106">
        <f>'Pre &amp; Exe_LCIA'!S44</f>
        <v>17.597803204744682</v>
      </c>
      <c r="T27" s="106">
        <f>'Pre &amp; Exe_LCIA'!T44</f>
        <v>4.7718529005277812</v>
      </c>
      <c r="U27" s="106">
        <f>'Pre &amp; Exe_LCIA'!U44</f>
        <v>0.85344516995479269</v>
      </c>
      <c r="V27" s="106">
        <f>'Pre &amp; Exe_LCIA'!V44</f>
        <v>1.1386105478196882E-2</v>
      </c>
      <c r="W27" s="106">
        <f>'Pre &amp; Exe_LCIA'!W44</f>
        <v>7.8471593062423501</v>
      </c>
      <c r="X27" s="106">
        <f>'Pre &amp; Exe_LCIA'!X44</f>
        <v>7.4919742660126492</v>
      </c>
      <c r="Y27" s="106">
        <f>'Pre &amp; Exe_LCIA'!Y44</f>
        <v>0.73407798076589181</v>
      </c>
      <c r="Z27" s="106">
        <f>'Pre &amp; Exe_LCIA'!Z44</f>
        <v>7.1487514419467466E-3</v>
      </c>
      <c r="AA27" s="106">
        <f>'Pre &amp; Exe_LCIA'!AA44</f>
        <v>0.34649382050731586</v>
      </c>
      <c r="AB27" s="106">
        <f>'Pre &amp; Exe_LCIA'!AB44</f>
        <v>-6.9653662510111029E-4</v>
      </c>
      <c r="AC27" s="106">
        <f>'Pre &amp; Exe_LCIA'!AC44</f>
        <v>5.210050744172901E-7</v>
      </c>
      <c r="AD27" s="106">
        <f>'Pre &amp; Exe_LCIA'!AD44</f>
        <v>3.0183205559772948E-2</v>
      </c>
      <c r="AE27" s="106">
        <f>'Pre &amp; Exe_LCIA'!AE44</f>
        <v>2.9209677257806113E-2</v>
      </c>
      <c r="AF27" s="106">
        <f>'Pre &amp; Exe_LCIA'!AF44</f>
        <v>5.1469324566940811E-2</v>
      </c>
      <c r="AG27" s="106">
        <f>'Pre &amp; Exe_LCIA'!AG44</f>
        <v>8.0875742946058288E-4</v>
      </c>
      <c r="AH27" s="106">
        <f>'Pre &amp; Exe_LCIA'!AH44</f>
        <v>7.9969022230111222E-2</v>
      </c>
      <c r="AI27" s="210">
        <f>'Pre &amp; Exe_LCIA'!AI44</f>
        <v>7.4341225189080679E-2</v>
      </c>
      <c r="AK27" s="213">
        <f>$E27*H27</f>
        <v>17.838221259078342</v>
      </c>
      <c r="AL27" s="106">
        <f t="shared" si="25"/>
        <v>2.559495896188567</v>
      </c>
      <c r="AM27" s="106">
        <f t="shared" si="25"/>
        <v>191.83594676616354</v>
      </c>
      <c r="AN27" s="106">
        <f t="shared" si="25"/>
        <v>2.1496113273500258E-2</v>
      </c>
      <c r="AO27" s="106">
        <f t="shared" si="25"/>
        <v>116.33640396050806</v>
      </c>
      <c r="AP27" s="106">
        <f t="shared" si="25"/>
        <v>5.0736871908309159E-4</v>
      </c>
      <c r="AQ27" s="106">
        <f t="shared" si="25"/>
        <v>1.7234389095536009</v>
      </c>
      <c r="AR27" s="106">
        <f t="shared" si="25"/>
        <v>2.4519128988177985</v>
      </c>
      <c r="AS27" s="106">
        <f t="shared" si="25"/>
        <v>5.3887283854451677</v>
      </c>
      <c r="AT27" s="106">
        <f t="shared" si="25"/>
        <v>320.31793029866935</v>
      </c>
      <c r="AU27" s="106">
        <f t="shared" si="25"/>
        <v>0.42482867733936275</v>
      </c>
      <c r="AV27" s="106">
        <f t="shared" si="25"/>
        <v>17.597803204744682</v>
      </c>
      <c r="AW27" s="106">
        <f t="shared" si="25"/>
        <v>4.7718529005277812</v>
      </c>
      <c r="AX27" s="106">
        <f t="shared" si="25"/>
        <v>0.85344516995479269</v>
      </c>
      <c r="AY27" s="106">
        <f t="shared" si="25"/>
        <v>1.1386105478196882E-2</v>
      </c>
      <c r="AZ27" s="106">
        <f t="shared" si="25"/>
        <v>7.8471593062423501</v>
      </c>
      <c r="BA27" s="106">
        <f t="shared" si="25"/>
        <v>7.4919742660126492</v>
      </c>
      <c r="BB27" s="106">
        <f t="shared" si="25"/>
        <v>0.73407798076589181</v>
      </c>
      <c r="BC27" s="106">
        <f t="shared" si="25"/>
        <v>7.1487514419467466E-3</v>
      </c>
      <c r="BD27" s="106">
        <f t="shared" si="25"/>
        <v>0.34649382050731586</v>
      </c>
      <c r="BE27" s="106">
        <f t="shared" si="25"/>
        <v>-6.9653662510111029E-4</v>
      </c>
      <c r="BF27" s="106">
        <f t="shared" si="25"/>
        <v>5.210050744172901E-7</v>
      </c>
      <c r="BG27" s="106">
        <f t="shared" si="25"/>
        <v>3.0183205559772948E-2</v>
      </c>
      <c r="BH27" s="106">
        <f t="shared" si="25"/>
        <v>2.9209677257806113E-2</v>
      </c>
      <c r="BI27" s="106">
        <f t="shared" si="25"/>
        <v>5.1469324566940811E-2</v>
      </c>
      <c r="BJ27" s="106">
        <f t="shared" si="25"/>
        <v>8.0875742946058288E-4</v>
      </c>
      <c r="BK27" s="106">
        <f t="shared" si="25"/>
        <v>7.9969022230111222E-2</v>
      </c>
      <c r="BL27" s="210">
        <f t="shared" si="25"/>
        <v>7.4341225189080679E-2</v>
      </c>
    </row>
    <row r="28" spans="2:64" x14ac:dyDescent="0.25">
      <c r="B28" s="272"/>
      <c r="C28" s="276"/>
      <c r="D28" s="106" t="s">
        <v>824</v>
      </c>
      <c r="E28" s="106">
        <v>1</v>
      </c>
      <c r="F28" s="106" t="s">
        <v>357</v>
      </c>
      <c r="G28" s="106" t="s">
        <v>980</v>
      </c>
      <c r="H28" s="106">
        <f>'Pre &amp; Exe_LCIA'!H45</f>
        <v>15.988737614169722</v>
      </c>
      <c r="I28" s="106">
        <f>'Pre &amp; Exe_LCIA'!I45</f>
        <v>3.2972920196350421</v>
      </c>
      <c r="J28" s="106">
        <f>'Pre &amp; Exe_LCIA'!J45</f>
        <v>177.78776000898341</v>
      </c>
      <c r="K28" s="106">
        <f>'Pre &amp; Exe_LCIA'!K45</f>
        <v>1.4726397649121428</v>
      </c>
      <c r="L28" s="106">
        <f>'Pre &amp; Exe_LCIA'!L45</f>
        <v>87.112974780351408</v>
      </c>
      <c r="M28" s="106">
        <f>'Pre &amp; Exe_LCIA'!M45</f>
        <v>5.4570687866533696E-4</v>
      </c>
      <c r="N28" s="106">
        <f>'Pre &amp; Exe_LCIA'!N45</f>
        <v>4.5460572274648285</v>
      </c>
      <c r="O28" s="106">
        <f>'Pre &amp; Exe_LCIA'!O45</f>
        <v>11.136253726598479</v>
      </c>
      <c r="P28" s="106">
        <f>'Pre &amp; Exe_LCIA'!P45</f>
        <v>6.8650925964112242</v>
      </c>
      <c r="Q28" s="106">
        <f>'Pre &amp; Exe_LCIA'!Q45</f>
        <v>292.21861583123518</v>
      </c>
      <c r="R28" s="106">
        <f>'Pre &amp; Exe_LCIA'!R45</f>
        <v>0.52472644214354036</v>
      </c>
      <c r="S28" s="106">
        <f>'Pre &amp; Exe_LCIA'!S45</f>
        <v>15.765502369235545</v>
      </c>
      <c r="T28" s="106">
        <f>'Pre &amp; Exe_LCIA'!T45</f>
        <v>4.4507883198489298</v>
      </c>
      <c r="U28" s="106">
        <f>'Pre &amp; Exe_LCIA'!U45</f>
        <v>0.86680350478507995</v>
      </c>
      <c r="V28" s="106">
        <f>'Pre &amp; Exe_LCIA'!V45</f>
        <v>1.2078277158614635E-2</v>
      </c>
      <c r="W28" s="106">
        <f>'Pre &amp; Exe_LCIA'!W45</f>
        <v>8.1256485386183286</v>
      </c>
      <c r="X28" s="106">
        <f>'Pre &amp; Exe_LCIA'!X45</f>
        <v>5.6001595746288357</v>
      </c>
      <c r="Y28" s="106">
        <f>'Pre &amp; Exe_LCIA'!Y45</f>
        <v>0.74645925679722336</v>
      </c>
      <c r="Z28" s="106">
        <f>'Pre &amp; Exe_LCIA'!Z45</f>
        <v>7.1371467338527533E-3</v>
      </c>
      <c r="AA28" s="106">
        <f>'Pre &amp; Exe_LCIA'!AA45</f>
        <v>0.34460683022010963</v>
      </c>
      <c r="AB28" s="106">
        <f>'Pre &amp; Exe_LCIA'!AB45</f>
        <v>-6.0855826478779438E-4</v>
      </c>
      <c r="AC28" s="106">
        <f>'Pre &amp; Exe_LCIA'!AC45</f>
        <v>5.1664818522668946E-7</v>
      </c>
      <c r="AD28" s="106">
        <f>'Pre &amp; Exe_LCIA'!AD45</f>
        <v>3.4111460139407412E-2</v>
      </c>
      <c r="AE28" s="106">
        <f>'Pre &amp; Exe_LCIA'!AE45</f>
        <v>2.6417754387832219E-2</v>
      </c>
      <c r="AF28" s="106">
        <f>'Pre &amp; Exe_LCIA'!AF45</f>
        <v>4.1593060071901639E-2</v>
      </c>
      <c r="AG28" s="106">
        <f>'Pre &amp; Exe_LCIA'!AG45</f>
        <v>8.5433702194100049E-4</v>
      </c>
      <c r="AH28" s="106">
        <f>'Pre &amp; Exe_LCIA'!AH45</f>
        <v>7.8465311065620366E-2</v>
      </c>
      <c r="AI28" s="210">
        <f>'Pre &amp; Exe_LCIA'!AI45</f>
        <v>8.177740154417204E-2</v>
      </c>
      <c r="AK28" s="213">
        <f t="shared" ref="AK28:AK31" si="28">$E28*H28</f>
        <v>15.988737614169722</v>
      </c>
      <c r="AL28" s="106">
        <f t="shared" si="25"/>
        <v>3.2972920196350421</v>
      </c>
      <c r="AM28" s="106">
        <f t="shared" si="25"/>
        <v>177.78776000898341</v>
      </c>
      <c r="AN28" s="106">
        <f t="shared" si="25"/>
        <v>1.4726397649121428</v>
      </c>
      <c r="AO28" s="106">
        <f t="shared" si="25"/>
        <v>87.112974780351408</v>
      </c>
      <c r="AP28" s="106">
        <f t="shared" si="25"/>
        <v>5.4570687866533696E-4</v>
      </c>
      <c r="AQ28" s="106">
        <f t="shared" si="25"/>
        <v>4.5460572274648285</v>
      </c>
      <c r="AR28" s="106">
        <f t="shared" si="25"/>
        <v>11.136253726598479</v>
      </c>
      <c r="AS28" s="106">
        <f t="shared" si="25"/>
        <v>6.8650925964112242</v>
      </c>
      <c r="AT28" s="106">
        <f t="shared" si="25"/>
        <v>292.21861583123518</v>
      </c>
      <c r="AU28" s="106">
        <f t="shared" si="25"/>
        <v>0.52472644214354036</v>
      </c>
      <c r="AV28" s="106">
        <f t="shared" si="25"/>
        <v>15.765502369235545</v>
      </c>
      <c r="AW28" s="106">
        <f t="shared" si="25"/>
        <v>4.4507883198489298</v>
      </c>
      <c r="AX28" s="106">
        <f t="shared" si="25"/>
        <v>0.86680350478507995</v>
      </c>
      <c r="AY28" s="106">
        <f t="shared" si="25"/>
        <v>1.2078277158614635E-2</v>
      </c>
      <c r="AZ28" s="106">
        <f t="shared" si="25"/>
        <v>8.1256485386183286</v>
      </c>
      <c r="BA28" s="106">
        <f t="shared" si="25"/>
        <v>5.6001595746288357</v>
      </c>
      <c r="BB28" s="106">
        <f t="shared" si="25"/>
        <v>0.74645925679722336</v>
      </c>
      <c r="BC28" s="106">
        <f t="shared" si="25"/>
        <v>7.1371467338527533E-3</v>
      </c>
      <c r="BD28" s="106">
        <f t="shared" si="25"/>
        <v>0.34460683022010963</v>
      </c>
      <c r="BE28" s="106">
        <f t="shared" si="25"/>
        <v>-6.0855826478779438E-4</v>
      </c>
      <c r="BF28" s="106">
        <f t="shared" si="25"/>
        <v>5.1664818522668946E-7</v>
      </c>
      <c r="BG28" s="106">
        <f t="shared" si="25"/>
        <v>3.4111460139407412E-2</v>
      </c>
      <c r="BH28" s="106">
        <f t="shared" si="25"/>
        <v>2.6417754387832219E-2</v>
      </c>
      <c r="BI28" s="106">
        <f t="shared" si="25"/>
        <v>4.1593060071901639E-2</v>
      </c>
      <c r="BJ28" s="106">
        <f t="shared" si="25"/>
        <v>8.5433702194100049E-4</v>
      </c>
      <c r="BK28" s="106">
        <f t="shared" si="25"/>
        <v>7.8465311065620366E-2</v>
      </c>
      <c r="BL28" s="210">
        <f t="shared" si="25"/>
        <v>8.177740154417204E-2</v>
      </c>
    </row>
    <row r="29" spans="2:64" x14ac:dyDescent="0.25">
      <c r="B29" s="272"/>
      <c r="C29" s="276"/>
      <c r="D29" s="106" t="s">
        <v>825</v>
      </c>
      <c r="E29" s="106">
        <v>1</v>
      </c>
      <c r="F29" s="106" t="s">
        <v>357</v>
      </c>
      <c r="G29" s="106" t="s">
        <v>980</v>
      </c>
      <c r="H29" s="106">
        <f>'Pre &amp; Exe_LCIA'!H46</f>
        <v>16.843846732707583</v>
      </c>
      <c r="I29" s="106">
        <f>'Pre &amp; Exe_LCIA'!I46</f>
        <v>2.9537712001050158</v>
      </c>
      <c r="J29" s="106">
        <f>'Pre &amp; Exe_LCIA'!J46</f>
        <v>184.29197315780843</v>
      </c>
      <c r="K29" s="106">
        <f>'Pre &amp; Exe_LCIA'!K46</f>
        <v>0.80543320361292592</v>
      </c>
      <c r="L29" s="106">
        <f>'Pre &amp; Exe_LCIA'!L46</f>
        <v>100.72115835215297</v>
      </c>
      <c r="M29" s="106">
        <f>'Pre &amp; Exe_LCIA'!M46</f>
        <v>5.2688457380894007E-4</v>
      </c>
      <c r="N29" s="106">
        <f>'Pre &amp; Exe_LCIA'!N46</f>
        <v>3.2180964265248804</v>
      </c>
      <c r="O29" s="106">
        <f>'Pre &amp; Exe_LCIA'!O46</f>
        <v>7.1348399573034378</v>
      </c>
      <c r="P29" s="106">
        <f>'Pre &amp; Exe_LCIA'!P46</f>
        <v>6.1455531708237574</v>
      </c>
      <c r="Q29" s="106">
        <f>'Pre &amp; Exe_LCIA'!Q46</f>
        <v>305.2713523529053</v>
      </c>
      <c r="R29" s="106">
        <f>'Pre &amp; Exe_LCIA'!R46</f>
        <v>0.47824842783544619</v>
      </c>
      <c r="S29" s="106">
        <f>'Pre &amp; Exe_LCIA'!S46</f>
        <v>16.61269655409194</v>
      </c>
      <c r="T29" s="106">
        <f>'Pre &amp; Exe_LCIA'!T46</f>
        <v>4.5999869360369194</v>
      </c>
      <c r="U29" s="106">
        <f>'Pre &amp; Exe_LCIA'!U46</f>
        <v>0.86006522969369592</v>
      </c>
      <c r="V29" s="106">
        <f>'Pre &amp; Exe_LCIA'!V46</f>
        <v>1.1729893099084608E-2</v>
      </c>
      <c r="W29" s="106">
        <f>'Pre &amp; Exe_LCIA'!W46</f>
        <v>7.9808941365295558</v>
      </c>
      <c r="X29" s="106">
        <f>'Pre &amp; Exe_LCIA'!X46</f>
        <v>6.4827804947332748</v>
      </c>
      <c r="Y29" s="106">
        <f>'Pre &amp; Exe_LCIA'!Y46</f>
        <v>0.74016540311576107</v>
      </c>
      <c r="Z29" s="106">
        <f>'Pre &amp; Exe_LCIA'!Z46</f>
        <v>7.1369351046099323E-3</v>
      </c>
      <c r="AA29" s="106">
        <f>'Pre &amp; Exe_LCIA'!AA46</f>
        <v>0.34526288087285112</v>
      </c>
      <c r="AB29" s="106">
        <f>'Pre &amp; Exe_LCIA'!AB46</f>
        <v>-6.4917414906977863E-4</v>
      </c>
      <c r="AC29" s="106">
        <f>'Pre &amp; Exe_LCIA'!AC46</f>
        <v>5.1901843274627179E-7</v>
      </c>
      <c r="AD29" s="106">
        <f>'Pre &amp; Exe_LCIA'!AD46</f>
        <v>3.235959326734475E-2</v>
      </c>
      <c r="AE29" s="106">
        <f>'Pre &amp; Exe_LCIA'!AE46</f>
        <v>2.7718977950234307E-2</v>
      </c>
      <c r="AF29" s="106">
        <f>'Pre &amp; Exe_LCIA'!AF46</f>
        <v>4.6195149586261947E-2</v>
      </c>
      <c r="AG29" s="106">
        <f>'Pre &amp; Exe_LCIA'!AG46</f>
        <v>8.3329261003499519E-4</v>
      </c>
      <c r="AH29" s="106">
        <f>'Pre &amp; Exe_LCIA'!AH46</f>
        <v>7.9107817446821396E-2</v>
      </c>
      <c r="AI29" s="210">
        <f>'Pre &amp; Exe_LCIA'!AI46</f>
        <v>7.8352817136861347E-2</v>
      </c>
      <c r="AK29" s="213">
        <f t="shared" si="28"/>
        <v>16.843846732707583</v>
      </c>
      <c r="AL29" s="106">
        <f t="shared" si="25"/>
        <v>2.9537712001050158</v>
      </c>
      <c r="AM29" s="106">
        <f t="shared" si="25"/>
        <v>184.29197315780843</v>
      </c>
      <c r="AN29" s="106">
        <f t="shared" si="25"/>
        <v>0.80543320361292592</v>
      </c>
      <c r="AO29" s="106">
        <f t="shared" si="25"/>
        <v>100.72115835215297</v>
      </c>
      <c r="AP29" s="106">
        <f t="shared" si="25"/>
        <v>5.2688457380894007E-4</v>
      </c>
      <c r="AQ29" s="106">
        <f t="shared" si="25"/>
        <v>3.2180964265248804</v>
      </c>
      <c r="AR29" s="106">
        <f t="shared" si="25"/>
        <v>7.1348399573034378</v>
      </c>
      <c r="AS29" s="106">
        <f t="shared" si="25"/>
        <v>6.1455531708237574</v>
      </c>
      <c r="AT29" s="106">
        <f t="shared" si="25"/>
        <v>305.2713523529053</v>
      </c>
      <c r="AU29" s="106">
        <f t="shared" si="25"/>
        <v>0.47824842783544619</v>
      </c>
      <c r="AV29" s="106">
        <f t="shared" si="25"/>
        <v>16.61269655409194</v>
      </c>
      <c r="AW29" s="106">
        <f t="shared" si="25"/>
        <v>4.5999869360369194</v>
      </c>
      <c r="AX29" s="106">
        <f t="shared" si="25"/>
        <v>0.86006522969369592</v>
      </c>
      <c r="AY29" s="106">
        <f t="shared" si="25"/>
        <v>1.1729893099084608E-2</v>
      </c>
      <c r="AZ29" s="106">
        <f t="shared" si="25"/>
        <v>7.9808941365295558</v>
      </c>
      <c r="BA29" s="106">
        <f t="shared" si="25"/>
        <v>6.4827804947332748</v>
      </c>
      <c r="BB29" s="106">
        <f t="shared" si="25"/>
        <v>0.74016540311576107</v>
      </c>
      <c r="BC29" s="106">
        <f t="shared" si="25"/>
        <v>7.1369351046099323E-3</v>
      </c>
      <c r="BD29" s="106">
        <f t="shared" si="25"/>
        <v>0.34526288087285112</v>
      </c>
      <c r="BE29" s="106">
        <f t="shared" si="25"/>
        <v>-6.4917414906977863E-4</v>
      </c>
      <c r="BF29" s="106">
        <f t="shared" si="25"/>
        <v>5.1901843274627179E-7</v>
      </c>
      <c r="BG29" s="106">
        <f t="shared" si="25"/>
        <v>3.235959326734475E-2</v>
      </c>
      <c r="BH29" s="106">
        <f t="shared" si="25"/>
        <v>2.7718977950234307E-2</v>
      </c>
      <c r="BI29" s="106">
        <f t="shared" si="25"/>
        <v>4.6195149586261947E-2</v>
      </c>
      <c r="BJ29" s="106">
        <f t="shared" si="25"/>
        <v>8.3329261003499519E-4</v>
      </c>
      <c r="BK29" s="106">
        <f t="shared" si="25"/>
        <v>7.9107817446821396E-2</v>
      </c>
      <c r="BL29" s="210">
        <f t="shared" si="25"/>
        <v>7.8352817136861347E-2</v>
      </c>
    </row>
    <row r="30" spans="2:64" x14ac:dyDescent="0.25">
      <c r="B30" s="272"/>
      <c r="C30" s="276"/>
      <c r="D30" s="106" t="s">
        <v>826</v>
      </c>
      <c r="E30" s="106">
        <v>1</v>
      </c>
      <c r="F30" s="106" t="s">
        <v>357</v>
      </c>
      <c r="G30" s="106" t="s">
        <v>980</v>
      </c>
      <c r="H30" s="106">
        <f>'Pre &amp; Exe_LCIA'!H47</f>
        <v>16.363785473177558</v>
      </c>
      <c r="I30" s="106">
        <f>'Pre &amp; Exe_LCIA'!I47</f>
        <v>3.1466249935253816</v>
      </c>
      <c r="J30" s="106">
        <f>'Pre &amp; Exe_LCIA'!J47</f>
        <v>180.64048507425753</v>
      </c>
      <c r="K30" s="106">
        <f>'Pre &amp; Exe_LCIA'!K47</f>
        <v>1.1800053082019597</v>
      </c>
      <c r="L30" s="106">
        <f>'Pre &amp; Exe_LCIA'!L47</f>
        <v>93.081476346931041</v>
      </c>
      <c r="M30" s="106">
        <f>'Pre &amp; Exe_LCIA'!M47</f>
        <v>5.3745148179849616E-4</v>
      </c>
      <c r="N30" s="106">
        <f>'Pre &amp; Exe_LCIA'!N47</f>
        <v>3.9636182796841495</v>
      </c>
      <c r="O30" s="106">
        <f>'Pre &amp; Exe_LCIA'!O47</f>
        <v>9.3812476874339854</v>
      </c>
      <c r="P30" s="106">
        <f>'Pre &amp; Exe_LCIA'!P47</f>
        <v>6.5495051290483008</v>
      </c>
      <c r="Q30" s="106">
        <f>'Pre &amp; Exe_LCIA'!Q47</f>
        <v>297.94350027056419</v>
      </c>
      <c r="R30" s="106">
        <f>'Pre &amp; Exe_LCIA'!R47</f>
        <v>0.50434134814876219</v>
      </c>
      <c r="S30" s="106">
        <f>'Pre &amp; Exe_LCIA'!S47</f>
        <v>16.137078766102384</v>
      </c>
      <c r="T30" s="106">
        <f>'Pre &amp; Exe_LCIA'!T47</f>
        <v>4.5162263094050656</v>
      </c>
      <c r="U30" s="106">
        <f>'Pre &amp; Exe_LCIA'!U47</f>
        <v>0.8638481209730694</v>
      </c>
      <c r="V30" s="106">
        <f>'Pre &amp; Exe_LCIA'!V47</f>
        <v>1.1925477132504974E-2</v>
      </c>
      <c r="W30" s="106">
        <f>'Pre &amp; Exe_LCIA'!W47</f>
        <v>8.0621597657723765</v>
      </c>
      <c r="X30" s="106">
        <f>'Pre &amp; Exe_LCIA'!X47</f>
        <v>5.9872740132711346</v>
      </c>
      <c r="Y30" s="106">
        <f>'Pre &amp; Exe_LCIA'!Y47</f>
        <v>0.74369879465623123</v>
      </c>
      <c r="Z30" s="106">
        <f>'Pre &amp; Exe_LCIA'!Z47</f>
        <v>7.1370539140094098E-3</v>
      </c>
      <c r="AA30" s="106">
        <f>'Pre &amp; Exe_LCIA'!AA47</f>
        <v>0.34489457173446991</v>
      </c>
      <c r="AB30" s="106">
        <f>'Pre &amp; Exe_LCIA'!AB47</f>
        <v>-6.2637224912199792E-4</v>
      </c>
      <c r="AC30" s="106">
        <f>'Pre &amp; Exe_LCIA'!AC47</f>
        <v>5.1768776747212041E-7</v>
      </c>
      <c r="AD30" s="106">
        <f>'Pre &amp; Exe_LCIA'!AD47</f>
        <v>3.3343097476222029E-2</v>
      </c>
      <c r="AE30" s="106">
        <f>'Pre &amp; Exe_LCIA'!AE47</f>
        <v>2.6988466476605064E-2</v>
      </c>
      <c r="AF30" s="106">
        <f>'Pre &amp; Exe_LCIA'!AF47</f>
        <v>4.3611520385217567E-2</v>
      </c>
      <c r="AG30" s="106">
        <f>'Pre &amp; Exe_LCIA'!AG47</f>
        <v>8.451070167190684E-4</v>
      </c>
      <c r="AH30" s="106">
        <f>'Pre &amp; Exe_LCIA'!AH47</f>
        <v>7.8747112110006776E-2</v>
      </c>
      <c r="AI30" s="210">
        <f>'Pre &amp; Exe_LCIA'!AI47</f>
        <v>8.027539083921123E-2</v>
      </c>
      <c r="AK30" s="213">
        <f t="shared" si="28"/>
        <v>16.363785473177558</v>
      </c>
      <c r="AL30" s="106">
        <f t="shared" si="25"/>
        <v>3.1466249935253816</v>
      </c>
      <c r="AM30" s="106">
        <f t="shared" si="25"/>
        <v>180.64048507425753</v>
      </c>
      <c r="AN30" s="106">
        <f t="shared" si="25"/>
        <v>1.1800053082019597</v>
      </c>
      <c r="AO30" s="106">
        <f t="shared" si="25"/>
        <v>93.081476346931041</v>
      </c>
      <c r="AP30" s="106">
        <f t="shared" si="25"/>
        <v>5.3745148179849616E-4</v>
      </c>
      <c r="AQ30" s="106">
        <f t="shared" si="25"/>
        <v>3.9636182796841495</v>
      </c>
      <c r="AR30" s="106">
        <f t="shared" si="25"/>
        <v>9.3812476874339854</v>
      </c>
      <c r="AS30" s="106">
        <f t="shared" si="25"/>
        <v>6.5495051290483008</v>
      </c>
      <c r="AT30" s="106">
        <f t="shared" si="25"/>
        <v>297.94350027056419</v>
      </c>
      <c r="AU30" s="106">
        <f t="shared" si="25"/>
        <v>0.50434134814876219</v>
      </c>
      <c r="AV30" s="106">
        <f t="shared" si="25"/>
        <v>16.137078766102384</v>
      </c>
      <c r="AW30" s="106">
        <f t="shared" si="25"/>
        <v>4.5162263094050656</v>
      </c>
      <c r="AX30" s="106">
        <f t="shared" ref="AX30:AX31" si="29">$E30*U30</f>
        <v>0.8638481209730694</v>
      </c>
      <c r="AY30" s="106">
        <f t="shared" ref="AY30:AY31" si="30">$E30*V30</f>
        <v>1.1925477132504974E-2</v>
      </c>
      <c r="AZ30" s="106">
        <f t="shared" ref="AZ30:AZ31" si="31">$E30*W30</f>
        <v>8.0621597657723765</v>
      </c>
      <c r="BA30" s="106">
        <f t="shared" ref="BA30:BA31" si="32">$E30*X30</f>
        <v>5.9872740132711346</v>
      </c>
      <c r="BB30" s="106">
        <f t="shared" ref="BB30:BB31" si="33">$E30*Y30</f>
        <v>0.74369879465623123</v>
      </c>
      <c r="BC30" s="106">
        <f t="shared" ref="BC30:BC31" si="34">$E30*Z30</f>
        <v>7.1370539140094098E-3</v>
      </c>
      <c r="BD30" s="106">
        <f t="shared" ref="BD30:BD31" si="35">$E30*AA30</f>
        <v>0.34489457173446991</v>
      </c>
      <c r="BE30" s="106">
        <f t="shared" ref="BE30:BE31" si="36">$E30*AB30</f>
        <v>-6.2637224912199792E-4</v>
      </c>
      <c r="BF30" s="106">
        <f t="shared" ref="BF30:BF31" si="37">$E30*AC30</f>
        <v>5.1768776747212041E-7</v>
      </c>
      <c r="BG30" s="106">
        <f t="shared" ref="BG30:BG31" si="38">$E30*AD30</f>
        <v>3.3343097476222029E-2</v>
      </c>
      <c r="BH30" s="106">
        <f t="shared" ref="BH30:BH31" si="39">$E30*AE30</f>
        <v>2.6988466476605064E-2</v>
      </c>
      <c r="BI30" s="106">
        <f t="shared" ref="BI30:BI31" si="40">$E30*AF30</f>
        <v>4.3611520385217567E-2</v>
      </c>
      <c r="BJ30" s="106">
        <f t="shared" ref="BJ30:BJ31" si="41">$E30*AG30</f>
        <v>8.451070167190684E-4</v>
      </c>
      <c r="BK30" s="106">
        <f t="shared" ref="BK30:BK31" si="42">$E30*AH30</f>
        <v>7.8747112110006776E-2</v>
      </c>
      <c r="BL30" s="210">
        <f t="shared" ref="BL30:BL31" si="43">$E30*AI30</f>
        <v>8.027539083921123E-2</v>
      </c>
    </row>
    <row r="31" spans="2:64" x14ac:dyDescent="0.25">
      <c r="B31" s="272"/>
      <c r="C31" s="276"/>
      <c r="D31" s="106" t="s">
        <v>827</v>
      </c>
      <c r="E31" s="106">
        <v>1</v>
      </c>
      <c r="F31" s="106" t="str">
        <f>F26</f>
        <v>per capita</v>
      </c>
      <c r="G31" s="106" t="s">
        <v>980</v>
      </c>
      <c r="H31" s="106">
        <f>'Pre &amp; Exe_LCIA'!H48</f>
        <v>16.446873341584865</v>
      </c>
      <c r="I31" s="106">
        <f>'Pre &amp; Exe_LCIA'!I48</f>
        <v>4.1551466006272095</v>
      </c>
      <c r="J31" s="106">
        <f>'Pre &amp; Exe_LCIA'!J48</f>
        <v>184.01320917869617</v>
      </c>
      <c r="K31" s="106">
        <f>'Pre &amp; Exe_LCIA'!K48</f>
        <v>1.121622804437991</v>
      </c>
      <c r="L31" s="106">
        <f>'Pre &amp; Exe_LCIA'!L48</f>
        <v>92.229100587139911</v>
      </c>
      <c r="M31" s="106">
        <f>'Pre &amp; Exe_LCIA'!M48</f>
        <v>5.8323245621102885E-4</v>
      </c>
      <c r="N31" s="106">
        <f>'Pre &amp; Exe_LCIA'!N48</f>
        <v>3.9866774762376744</v>
      </c>
      <c r="O31" s="106">
        <f>'Pre &amp; Exe_LCIA'!O48</f>
        <v>9.3672455541702764</v>
      </c>
      <c r="P31" s="106">
        <f>'Pre &amp; Exe_LCIA'!P48</f>
        <v>6.1459752412154023</v>
      </c>
      <c r="Q31" s="106">
        <f>'Pre &amp; Exe_LCIA'!Q48</f>
        <v>301.01956067498088</v>
      </c>
      <c r="R31" s="106">
        <f>'Pre &amp; Exe_LCIA'!R48</f>
        <v>0.64090332235241765</v>
      </c>
      <c r="S31" s="106">
        <f>'Pre &amp; Exe_LCIA'!S48</f>
        <v>16.218227071063222</v>
      </c>
      <c r="T31" s="106">
        <f>'Pre &amp; Exe_LCIA'!T48</f>
        <v>4.6132579459585905</v>
      </c>
      <c r="U31" s="106">
        <f>'Pre &amp; Exe_LCIA'!U48</f>
        <v>0.86871707867541925</v>
      </c>
      <c r="V31" s="106">
        <f>'Pre &amp; Exe_LCIA'!V48</f>
        <v>1.2182415082374425E-2</v>
      </c>
      <c r="W31" s="106">
        <f>'Pre &amp; Exe_LCIA'!W48</f>
        <v>8.214348666033473</v>
      </c>
      <c r="X31" s="106">
        <f>'Pre &amp; Exe_LCIA'!X48</f>
        <v>5.9318999224095155</v>
      </c>
      <c r="Y31" s="106">
        <f>'Pre &amp; Exe_LCIA'!Y48</f>
        <v>0.74732314964317625</v>
      </c>
      <c r="Z31" s="106">
        <f>'Pre &amp; Exe_LCIA'!Z48</f>
        <v>7.1859840800668519E-3</v>
      </c>
      <c r="AA31" s="106">
        <f>'Pre &amp; Exe_LCIA'!AA48</f>
        <v>0.3446072757553576</v>
      </c>
      <c r="AB31" s="106">
        <f>'Pre &amp; Exe_LCIA'!AB48</f>
        <v>-6.2245703387395635E-4</v>
      </c>
      <c r="AC31" s="106">
        <f>'Pre &amp; Exe_LCIA'!AC48</f>
        <v>5.401413331118069E-7</v>
      </c>
      <c r="AD31" s="106">
        <f>'Pre &amp; Exe_LCIA'!AD48</f>
        <v>3.4085062175960933E-2</v>
      </c>
      <c r="AE31" s="106">
        <f>'Pre &amp; Exe_LCIA'!AE48</f>
        <v>2.6770025742401407E-2</v>
      </c>
      <c r="AF31" s="106">
        <f>'Pre &amp; Exe_LCIA'!AF48</f>
        <v>4.2768983528820692E-2</v>
      </c>
      <c r="AG31" s="106">
        <f>'Pre &amp; Exe_LCIA'!AG48</f>
        <v>8.7135624564857234E-4</v>
      </c>
      <c r="AH31" s="106">
        <f>'Pre &amp; Exe_LCIA'!AH48</f>
        <v>7.8834763744471542E-2</v>
      </c>
      <c r="AI31" s="210">
        <f>'Pre &amp; Exe_LCIA'!AI48</f>
        <v>8.0171039058532373E-2</v>
      </c>
      <c r="AK31" s="213">
        <f t="shared" si="28"/>
        <v>16.446873341584865</v>
      </c>
      <c r="AL31" s="106">
        <f t="shared" ref="AL31" si="44">$E31*I31</f>
        <v>4.1551466006272095</v>
      </c>
      <c r="AM31" s="106">
        <f t="shared" ref="AM31" si="45">$E31*J31</f>
        <v>184.01320917869617</v>
      </c>
      <c r="AN31" s="106">
        <f t="shared" ref="AN31" si="46">$E31*K31</f>
        <v>1.121622804437991</v>
      </c>
      <c r="AO31" s="106">
        <f t="shared" ref="AO31" si="47">$E31*L31</f>
        <v>92.229100587139911</v>
      </c>
      <c r="AP31" s="106">
        <f t="shared" ref="AP31" si="48">$E31*M31</f>
        <v>5.8323245621102885E-4</v>
      </c>
      <c r="AQ31" s="106">
        <f t="shared" ref="AQ31" si="49">$E31*N31</f>
        <v>3.9866774762376744</v>
      </c>
      <c r="AR31" s="106">
        <f t="shared" ref="AR31" si="50">$E31*O31</f>
        <v>9.3672455541702764</v>
      </c>
      <c r="AS31" s="106">
        <f t="shared" ref="AS31" si="51">$E31*P31</f>
        <v>6.1459752412154023</v>
      </c>
      <c r="AT31" s="106">
        <f t="shared" ref="AT31" si="52">$E31*Q31</f>
        <v>301.01956067498088</v>
      </c>
      <c r="AU31" s="106">
        <f t="shared" ref="AU31" si="53">$E31*R31</f>
        <v>0.64090332235241765</v>
      </c>
      <c r="AV31" s="106">
        <f t="shared" ref="AV31" si="54">$E31*S31</f>
        <v>16.218227071063222</v>
      </c>
      <c r="AW31" s="106">
        <f t="shared" ref="AW31" si="55">$E31*T31</f>
        <v>4.6132579459585905</v>
      </c>
      <c r="AX31" s="106">
        <f t="shared" si="29"/>
        <v>0.86871707867541925</v>
      </c>
      <c r="AY31" s="106">
        <f t="shared" si="30"/>
        <v>1.2182415082374425E-2</v>
      </c>
      <c r="AZ31" s="106">
        <f t="shared" si="31"/>
        <v>8.214348666033473</v>
      </c>
      <c r="BA31" s="106">
        <f t="shared" si="32"/>
        <v>5.9318999224095155</v>
      </c>
      <c r="BB31" s="106">
        <f t="shared" si="33"/>
        <v>0.74732314964317625</v>
      </c>
      <c r="BC31" s="106">
        <f t="shared" si="34"/>
        <v>7.1859840800668519E-3</v>
      </c>
      <c r="BD31" s="106">
        <f t="shared" si="35"/>
        <v>0.3446072757553576</v>
      </c>
      <c r="BE31" s="106">
        <f t="shared" si="36"/>
        <v>-6.2245703387395635E-4</v>
      </c>
      <c r="BF31" s="106">
        <f t="shared" si="37"/>
        <v>5.401413331118069E-7</v>
      </c>
      <c r="BG31" s="106">
        <f t="shared" si="38"/>
        <v>3.4085062175960933E-2</v>
      </c>
      <c r="BH31" s="106">
        <f t="shared" si="39"/>
        <v>2.6770025742401407E-2</v>
      </c>
      <c r="BI31" s="106">
        <f t="shared" si="40"/>
        <v>4.2768983528820692E-2</v>
      </c>
      <c r="BJ31" s="106">
        <f t="shared" si="41"/>
        <v>8.7135624564857234E-4</v>
      </c>
      <c r="BK31" s="106">
        <f t="shared" si="42"/>
        <v>7.8834763744471542E-2</v>
      </c>
      <c r="BL31" s="210">
        <f t="shared" si="43"/>
        <v>8.0171039058532373E-2</v>
      </c>
    </row>
    <row r="32" spans="2:64" x14ac:dyDescent="0.25">
      <c r="B32" s="272" t="s">
        <v>735</v>
      </c>
      <c r="C32" s="106" t="s">
        <v>293</v>
      </c>
      <c r="D32" s="106" t="s">
        <v>295</v>
      </c>
      <c r="E32" s="106">
        <f>Transport_2_Hubs!AP393*2</f>
        <v>172.57133681462145</v>
      </c>
      <c r="F32" s="106" t="s">
        <v>296</v>
      </c>
      <c r="G32" s="106" t="s">
        <v>183</v>
      </c>
      <c r="H32" s="106">
        <f>'1_hub_LCIA'!H16</f>
        <v>0.33979999999999999</v>
      </c>
      <c r="I32" s="106">
        <f>'1_hub_LCIA'!I16</f>
        <v>3.2532999999999999E-2</v>
      </c>
      <c r="J32" s="106">
        <f>'1_hub_LCIA'!J16</f>
        <v>4.7183999999999999</v>
      </c>
      <c r="K32" s="106">
        <f>'1_hub_LCIA'!K16</f>
        <v>1.6715E-3</v>
      </c>
      <c r="L32" s="106">
        <f>'1_hub_LCIA'!L16</f>
        <v>0.12584000000000001</v>
      </c>
      <c r="M32" s="106">
        <f>'1_hub_LCIA'!M16</f>
        <v>5.2232999999999999E-5</v>
      </c>
      <c r="N32" s="106">
        <f>'1_hub_LCIA'!N16</f>
        <v>5.9770000000000005E-4</v>
      </c>
      <c r="O32" s="106">
        <f>'1_hub_LCIA'!O16</f>
        <v>6.3632999999999995E-2</v>
      </c>
      <c r="P32" s="106">
        <f>'1_hub_LCIA'!P16</f>
        <v>1.3323E-2</v>
      </c>
      <c r="Q32" s="106">
        <f>'1_hub_LCIA'!Q16</f>
        <v>4.9560504329999997</v>
      </c>
      <c r="R32" s="106">
        <f>'1_hub_LCIA'!R16</f>
        <v>5.2655999999999996E-3</v>
      </c>
      <c r="S32" s="106">
        <f>'1_hub_LCIA'!S16</f>
        <v>0.33538000000000001</v>
      </c>
      <c r="T32" s="106">
        <f>'1_hub_LCIA'!T16</f>
        <v>0.1099</v>
      </c>
      <c r="U32" s="106">
        <f>'1_hub_LCIA'!U16</f>
        <v>1.7913999999999999E-2</v>
      </c>
      <c r="V32" s="106">
        <f>'1_hub_LCIA'!V16</f>
        <v>4.7760999999999999E-5</v>
      </c>
      <c r="W32" s="106">
        <f>'1_hub_LCIA'!W16</f>
        <v>7.6970999999999998E-2</v>
      </c>
      <c r="X32" s="106">
        <f>'1_hub_LCIA'!X16</f>
        <v>2.2780000000000002E-2</v>
      </c>
      <c r="Y32" s="106">
        <f>'1_hub_LCIA'!Y16</f>
        <v>1.5582E-2</v>
      </c>
      <c r="Z32" s="106">
        <f>'1_hub_LCIA'!Z16</f>
        <v>4.1009E-5</v>
      </c>
      <c r="AA32" s="106">
        <f>'1_hub_LCIA'!AA16</f>
        <v>2.3355999999999998E-2</v>
      </c>
      <c r="AB32" s="106">
        <f>'1_hub_LCIA'!AB16</f>
        <v>-2.1823000000000001E-5</v>
      </c>
      <c r="AC32" s="106">
        <f>'1_hub_LCIA'!AC16</f>
        <v>4.8884000000000003E-8</v>
      </c>
      <c r="AD32" s="106">
        <f>'1_hub_LCIA'!AD16</f>
        <v>4.1103999999999999E-4</v>
      </c>
      <c r="AE32" s="106">
        <f>'1_hub_LCIA'!AE16</f>
        <v>8.8612999999999995E-4</v>
      </c>
      <c r="AF32" s="106">
        <f>'1_hub_LCIA'!AF16</f>
        <v>8.4542000000000005E-4</v>
      </c>
      <c r="AG32" s="106">
        <f>'1_hub_LCIA'!AG16</f>
        <v>5.1165000000000002E-5</v>
      </c>
      <c r="AH32" s="106">
        <f>'1_hub_LCIA'!AH16</f>
        <v>8.7036000000000006E-3</v>
      </c>
      <c r="AI32" s="210">
        <f>'1_hub_LCIA'!AI16</f>
        <v>9.3154999999999996E-4</v>
      </c>
      <c r="AK32" s="213">
        <f>$E32*H32</f>
        <v>58.639740249608366</v>
      </c>
      <c r="AL32" s="106">
        <f t="shared" ref="AL32:AW32" si="56">$E32*I32</f>
        <v>5.6142633005900793</v>
      </c>
      <c r="AM32" s="106">
        <f t="shared" si="56"/>
        <v>814.26059562610988</v>
      </c>
      <c r="AN32" s="106">
        <f t="shared" si="56"/>
        <v>0.28845298948563974</v>
      </c>
      <c r="AO32" s="106">
        <f t="shared" si="56"/>
        <v>21.716377024751964</v>
      </c>
      <c r="AP32" s="106">
        <f t="shared" si="56"/>
        <v>9.0139186358381227E-3</v>
      </c>
      <c r="AQ32" s="106">
        <f t="shared" si="56"/>
        <v>0.10314588801409925</v>
      </c>
      <c r="AR32" s="106">
        <f t="shared" si="56"/>
        <v>10.981231875524806</v>
      </c>
      <c r="AS32" s="106">
        <f t="shared" si="56"/>
        <v>2.2991679203812017</v>
      </c>
      <c r="AT32" s="106">
        <f t="shared" si="56"/>
        <v>855.27224854349345</v>
      </c>
      <c r="AU32" s="106">
        <f t="shared" si="56"/>
        <v>0.90869163113107065</v>
      </c>
      <c r="AV32" s="106">
        <f t="shared" si="56"/>
        <v>57.876974940887742</v>
      </c>
      <c r="AW32" s="106">
        <f t="shared" si="56"/>
        <v>18.965589915926895</v>
      </c>
      <c r="AX32" s="106">
        <f t="shared" ref="AX32:BL34" si="57">$E32*U32</f>
        <v>3.0914429276971287</v>
      </c>
      <c r="AY32" s="106">
        <f t="shared" si="57"/>
        <v>8.2421796176031341E-3</v>
      </c>
      <c r="AZ32" s="106">
        <f t="shared" si="57"/>
        <v>13.282988365958227</v>
      </c>
      <c r="BA32" s="106">
        <f t="shared" si="57"/>
        <v>3.931175052637077</v>
      </c>
      <c r="BB32" s="106">
        <f t="shared" si="57"/>
        <v>2.6890065702454313</v>
      </c>
      <c r="BC32" s="106">
        <f t="shared" si="57"/>
        <v>7.0769779514308108E-3</v>
      </c>
      <c r="BD32" s="106">
        <f t="shared" si="57"/>
        <v>4.0305761426422979</v>
      </c>
      <c r="BE32" s="106">
        <f t="shared" si="57"/>
        <v>-3.7660242833054839E-3</v>
      </c>
      <c r="BF32" s="106">
        <f t="shared" si="57"/>
        <v>8.4359772288459549E-6</v>
      </c>
      <c r="BG32" s="106">
        <f t="shared" si="57"/>
        <v>7.0933722284282005E-2</v>
      </c>
      <c r="BH32" s="106">
        <f t="shared" si="57"/>
        <v>0.15292063869154049</v>
      </c>
      <c r="BI32" s="106">
        <f t="shared" si="57"/>
        <v>0.14589525956981728</v>
      </c>
      <c r="BJ32" s="106">
        <f t="shared" si="57"/>
        <v>8.8296124481201058E-3</v>
      </c>
      <c r="BK32" s="106">
        <f t="shared" si="57"/>
        <v>1.5019918870997393</v>
      </c>
      <c r="BL32" s="210">
        <f t="shared" si="57"/>
        <v>0.16075882880966061</v>
      </c>
    </row>
    <row r="33" spans="2:65" x14ac:dyDescent="0.25">
      <c r="B33" s="272"/>
      <c r="C33" s="106" t="s">
        <v>294</v>
      </c>
      <c r="D33" s="106" t="s">
        <v>356</v>
      </c>
      <c r="E33" s="106">
        <f>1*2</f>
        <v>2</v>
      </c>
      <c r="F33" s="106" t="s">
        <v>357</v>
      </c>
      <c r="G33" s="106" t="s">
        <v>982</v>
      </c>
      <c r="H33" s="106">
        <f>Transport_2_Hubs!AT392</f>
        <v>256.87810830640757</v>
      </c>
      <c r="I33" s="106" t="s">
        <v>2</v>
      </c>
      <c r="J33" s="106" t="s">
        <v>2</v>
      </c>
      <c r="K33" s="106" t="s">
        <v>2</v>
      </c>
      <c r="L33" s="106" t="s">
        <v>2</v>
      </c>
      <c r="M33" s="106" t="s">
        <v>2</v>
      </c>
      <c r="N33" s="106" t="s">
        <v>2</v>
      </c>
      <c r="O33" s="106" t="s">
        <v>2</v>
      </c>
      <c r="P33" s="106" t="s">
        <v>2</v>
      </c>
      <c r="Q33" s="106">
        <f ca="1">Transport_2_Hubs!AU392</f>
        <v>2580.3083034695378</v>
      </c>
      <c r="R33" s="106">
        <f ca="1">Transport_2_Hubs!AV392</f>
        <v>1.1024033429646791</v>
      </c>
      <c r="S33" s="106">
        <f ca="1">Transport_2_Hubs!AW392</f>
        <v>256.87810830640751</v>
      </c>
      <c r="T33" s="106">
        <f ca="1">Transport_2_Hubs!AX392</f>
        <v>60.43380263665739</v>
      </c>
      <c r="U33" s="106">
        <f ca="1">Transport_2_Hubs!AY392</f>
        <v>0.27706655879445552</v>
      </c>
      <c r="V33" s="106">
        <f ca="1">Transport_2_Hubs!AZ392</f>
        <v>5.6368640744584846E-3</v>
      </c>
      <c r="W33" s="106">
        <f ca="1">Transport_2_Hubs!BA392</f>
        <v>8.3710561315495085</v>
      </c>
      <c r="X33" s="106">
        <f ca="1">Transport_2_Hubs!BB392</f>
        <v>12.593093000095081</v>
      </c>
      <c r="Y33" s="106">
        <f ca="1">Transport_2_Hubs!BC392</f>
        <v>0.23591768397842075</v>
      </c>
      <c r="Z33" s="106">
        <f ca="1">Transport_2_Hubs!BD392</f>
        <v>0.27337351067041671</v>
      </c>
      <c r="AA33" s="106">
        <f ca="1">Transport_2_Hubs!BE392</f>
        <v>1.0094888455737598</v>
      </c>
      <c r="AB33" s="106">
        <f ca="1">Transport_2_Hubs!BF392</f>
        <v>6.3784385748624467E-2</v>
      </c>
      <c r="AC33" s="106">
        <f ca="1">Transport_2_Hubs!BG392</f>
        <v>3.0876315037925354E-5</v>
      </c>
      <c r="AD33" s="106">
        <f ca="1">Transport_2_Hubs!BH392</f>
        <v>9.3894954766072986E-2</v>
      </c>
      <c r="AE33" s="106">
        <f ca="1">Transport_2_Hubs!BI392</f>
        <v>0.27148035782288815</v>
      </c>
      <c r="AF33" s="106">
        <f ca="1">Transport_2_Hubs!BJ392</f>
        <v>4.1926093362725904E-3</v>
      </c>
      <c r="AG33" s="106">
        <f ca="1">Transport_2_Hubs!BK392</f>
        <v>4.1926093362726052E-3</v>
      </c>
      <c r="AH33" s="106">
        <f ca="1">Transport_2_Hubs!BL392</f>
        <v>0.57872770958028596</v>
      </c>
      <c r="AI33" s="210">
        <f ca="1">Transport_2_Hubs!BM392</f>
        <v>0.24453593597659987</v>
      </c>
      <c r="AK33" s="213">
        <f t="shared" ref="AK33:AK46" si="58">$E33*H33</f>
        <v>513.75621661281514</v>
      </c>
      <c r="AL33" s="106" t="s">
        <v>2</v>
      </c>
      <c r="AM33" s="106" t="s">
        <v>2</v>
      </c>
      <c r="AN33" s="106" t="s">
        <v>2</v>
      </c>
      <c r="AO33" s="106" t="s">
        <v>2</v>
      </c>
      <c r="AP33" s="106" t="s">
        <v>2</v>
      </c>
      <c r="AQ33" s="106" t="s">
        <v>2</v>
      </c>
      <c r="AR33" s="106" t="s">
        <v>2</v>
      </c>
      <c r="AS33" s="106" t="s">
        <v>2</v>
      </c>
      <c r="AT33" s="106">
        <f t="shared" ref="AT33:AT46" ca="1" si="59">$E33*Q33</f>
        <v>5160.6166069390756</v>
      </c>
      <c r="AU33" s="106">
        <f t="shared" ref="AU33:AU46" ca="1" si="60">$E33*R33</f>
        <v>2.2048066859293582</v>
      </c>
      <c r="AV33" s="106">
        <f t="shared" ref="AV33:AV46" ca="1" si="61">$E33*S33</f>
        <v>513.75621661281502</v>
      </c>
      <c r="AW33" s="106">
        <f t="shared" ref="AW33:AW46" ca="1" si="62">$E33*T33</f>
        <v>120.86760527331478</v>
      </c>
      <c r="AX33" s="106">
        <f t="shared" ca="1" si="57"/>
        <v>0.55413311758891104</v>
      </c>
      <c r="AY33" s="106">
        <f t="shared" ca="1" si="57"/>
        <v>1.1273728148916969E-2</v>
      </c>
      <c r="AZ33" s="106">
        <f t="shared" ca="1" si="57"/>
        <v>16.742112263099017</v>
      </c>
      <c r="BA33" s="106">
        <f t="shared" ca="1" si="57"/>
        <v>25.186186000190162</v>
      </c>
      <c r="BB33" s="106">
        <f t="shared" ca="1" si="57"/>
        <v>0.4718353679568415</v>
      </c>
      <c r="BC33" s="106">
        <f t="shared" ca="1" si="57"/>
        <v>0.54674702134083342</v>
      </c>
      <c r="BD33" s="106">
        <f t="shared" ca="1" si="57"/>
        <v>2.0189776911475197</v>
      </c>
      <c r="BE33" s="106">
        <f t="shared" ca="1" si="57"/>
        <v>0.12756877149724893</v>
      </c>
      <c r="BF33" s="106">
        <f t="shared" ca="1" si="57"/>
        <v>6.1752630075850707E-5</v>
      </c>
      <c r="BG33" s="106">
        <f t="shared" ca="1" si="57"/>
        <v>0.18778990953214597</v>
      </c>
      <c r="BH33" s="106">
        <f t="shared" ca="1" si="57"/>
        <v>0.5429607156457763</v>
      </c>
      <c r="BI33" s="106">
        <f t="shared" ca="1" si="57"/>
        <v>8.3852186725451808E-3</v>
      </c>
      <c r="BJ33" s="106">
        <f t="shared" ca="1" si="57"/>
        <v>8.3852186725452103E-3</v>
      </c>
      <c r="BK33" s="106">
        <f t="shared" ca="1" si="57"/>
        <v>1.1574554191605719</v>
      </c>
      <c r="BL33" s="210">
        <f t="shared" ca="1" si="57"/>
        <v>0.48907187195319973</v>
      </c>
    </row>
    <row r="34" spans="2:65" x14ac:dyDescent="0.25">
      <c r="B34" s="272"/>
      <c r="C34" s="106" t="s">
        <v>571</v>
      </c>
      <c r="D34" s="106" t="s">
        <v>832</v>
      </c>
      <c r="E34" s="106">
        <f>Transport_2_Hubs!AP392*2</f>
        <v>41.176668407310707</v>
      </c>
      <c r="F34" s="106" t="str">
        <f>F32</f>
        <v>km per capita</v>
      </c>
      <c r="G34" s="106" t="s">
        <v>183</v>
      </c>
      <c r="H34" s="106">
        <f>'1_hub_LCIA'!H17</f>
        <v>7.4462E-2</v>
      </c>
      <c r="I34" s="106">
        <f>'1_hub_LCIA'!I17</f>
        <v>7.4462E-2</v>
      </c>
      <c r="J34" s="106">
        <f ca="1">'1_hub_LCIA'!J17</f>
        <v>0.87446999999999997</v>
      </c>
      <c r="K34" s="106">
        <f ca="1">'1_hub_LCIA'!K17</f>
        <v>4.2768999999999999E-4</v>
      </c>
      <c r="L34" s="106">
        <f ca="1">'1_hub_LCIA'!L17</f>
        <v>0.18787999999999999</v>
      </c>
      <c r="M34" s="106">
        <f ca="1">'1_hub_LCIA'!M17</f>
        <v>2.0060000000000001E-5</v>
      </c>
      <c r="N34" s="106">
        <f ca="1">'1_hub_LCIA'!N17</f>
        <v>2.8479999999999998E-5</v>
      </c>
      <c r="O34" s="106">
        <f ca="1">'1_hub_LCIA'!O17</f>
        <v>2.4888E-2</v>
      </c>
      <c r="P34" s="106">
        <f ca="1">'1_hub_LCIA'!P17</f>
        <v>7.2913000000000006E-2</v>
      </c>
      <c r="Q34" s="106">
        <f ca="1">'1_hub_LCIA'!Q17</f>
        <v>1.23508923</v>
      </c>
      <c r="R34" s="106">
        <f ca="1">'1_hub_LCIA'!R17</f>
        <v>2.5566E-3</v>
      </c>
      <c r="S34" s="106">
        <f ca="1">'1_hub_LCIA'!S17</f>
        <v>7.3438000000000003E-2</v>
      </c>
      <c r="T34" s="106">
        <f ca="1">'1_hub_LCIA'!T17</f>
        <v>2.0743000000000001E-2</v>
      </c>
      <c r="U34" s="106">
        <f ca="1">'1_hub_LCIA'!U17</f>
        <v>1.8396E-3</v>
      </c>
      <c r="V34" s="106">
        <f ca="1">'1_hub_LCIA'!V17</f>
        <v>8.1093000000000004E-5</v>
      </c>
      <c r="W34" s="106">
        <f ca="1">'1_hub_LCIA'!W17</f>
        <v>5.0548999999999997E-2</v>
      </c>
      <c r="X34" s="106">
        <f ca="1">'1_hub_LCIA'!X17</f>
        <v>1.0624E-2</v>
      </c>
      <c r="Y34" s="106">
        <f ca="1">'1_hub_LCIA'!Y17</f>
        <v>1.7136E-3</v>
      </c>
      <c r="Z34" s="106">
        <f ca="1">'1_hub_LCIA'!Z17</f>
        <v>2.8504999999999999E-5</v>
      </c>
      <c r="AA34" s="106">
        <f ca="1">'1_hub_LCIA'!AA17</f>
        <v>2.0625999999999999E-3</v>
      </c>
      <c r="AB34" s="106">
        <f ca="1">'1_hub_LCIA'!AB17</f>
        <v>-6.9388999999999998E-6</v>
      </c>
      <c r="AC34" s="106">
        <f ca="1">'1_hub_LCIA'!AC17</f>
        <v>3.6820999999999999E-9</v>
      </c>
      <c r="AD34" s="106">
        <f ca="1">'1_hub_LCIA'!AD17</f>
        <v>1.1118E-4</v>
      </c>
      <c r="AE34" s="106">
        <f ca="1">'1_hub_LCIA'!AE17</f>
        <v>2.9994E-4</v>
      </c>
      <c r="AF34" s="106">
        <f ca="1">'1_hub_LCIA'!AF17</f>
        <v>2.3786E-4</v>
      </c>
      <c r="AG34" s="106">
        <f ca="1">'1_hub_LCIA'!AG17</f>
        <v>2.7381000000000001E-6</v>
      </c>
      <c r="AH34" s="106">
        <f ca="1">'1_hub_LCIA'!AH17</f>
        <v>2.2783E-3</v>
      </c>
      <c r="AI34" s="210">
        <f ca="1">'1_hub_LCIA'!AI17</f>
        <v>2.8075000000000002E-4</v>
      </c>
      <c r="AK34" s="213">
        <f t="shared" si="58"/>
        <v>3.0660970829451699</v>
      </c>
      <c r="AL34" s="106">
        <f t="shared" ref="AL34:AS34" si="63">$E34*I34</f>
        <v>3.0660970829451699</v>
      </c>
      <c r="AM34" s="106">
        <f t="shared" ca="1" si="63"/>
        <v>36.007761222140992</v>
      </c>
      <c r="AN34" s="106">
        <f t="shared" ca="1" si="63"/>
        <v>1.7610849311122716E-2</v>
      </c>
      <c r="AO34" s="106">
        <f t="shared" ca="1" si="63"/>
        <v>7.7362724603655355</v>
      </c>
      <c r="AP34" s="106">
        <f t="shared" ca="1" si="63"/>
        <v>8.2600396825065279E-4</v>
      </c>
      <c r="AQ34" s="106">
        <f t="shared" ca="1" si="63"/>
        <v>1.1727115162402089E-3</v>
      </c>
      <c r="AR34" s="106">
        <f t="shared" ca="1" si="63"/>
        <v>1.0248049233211489</v>
      </c>
      <c r="AS34" s="106">
        <f t="shared" ca="1" si="63"/>
        <v>3.0023144235822459</v>
      </c>
      <c r="AT34" s="106">
        <f t="shared" ca="1" si="59"/>
        <v>50.856859677150709</v>
      </c>
      <c r="AU34" s="106">
        <f t="shared" ca="1" si="60"/>
        <v>0.10527227045013056</v>
      </c>
      <c r="AV34" s="106">
        <f t="shared" ca="1" si="61"/>
        <v>3.0239321744960836</v>
      </c>
      <c r="AW34" s="106">
        <f t="shared" ca="1" si="62"/>
        <v>0.85412763277284609</v>
      </c>
      <c r="AX34" s="106">
        <f t="shared" ca="1" si="57"/>
        <v>7.5748599202088776E-2</v>
      </c>
      <c r="AY34" s="106">
        <f t="shared" ca="1" si="57"/>
        <v>3.3391395711540473E-3</v>
      </c>
      <c r="AZ34" s="106">
        <f t="shared" ca="1" si="57"/>
        <v>2.0814394113211487</v>
      </c>
      <c r="BA34" s="106">
        <f t="shared" ca="1" si="57"/>
        <v>0.43746092515926893</v>
      </c>
      <c r="BB34" s="106">
        <f t="shared" ca="1" si="57"/>
        <v>7.0560338982767631E-2</v>
      </c>
      <c r="BC34" s="106">
        <f t="shared" ca="1" si="57"/>
        <v>1.1737409329503916E-3</v>
      </c>
      <c r="BD34" s="106">
        <f t="shared" ca="1" si="57"/>
        <v>8.4930996256919064E-2</v>
      </c>
      <c r="BE34" s="106">
        <f t="shared" ca="1" si="57"/>
        <v>-2.8572078441148823E-4</v>
      </c>
      <c r="BF34" s="106">
        <f t="shared" ca="1" si="57"/>
        <v>1.5161661074255875E-7</v>
      </c>
      <c r="BG34" s="106">
        <f t="shared" ca="1" si="57"/>
        <v>4.5780219935248048E-3</v>
      </c>
      <c r="BH34" s="106">
        <f t="shared" ca="1" si="57"/>
        <v>1.2350529922088774E-2</v>
      </c>
      <c r="BI34" s="106">
        <f t="shared" ca="1" si="57"/>
        <v>9.7942823473629245E-3</v>
      </c>
      <c r="BJ34" s="106">
        <f t="shared" ca="1" si="57"/>
        <v>1.1274583576605745E-4</v>
      </c>
      <c r="BK34" s="106">
        <f t="shared" ca="1" si="57"/>
        <v>9.3812803632375985E-2</v>
      </c>
      <c r="BL34" s="210">
        <f t="shared" ca="1" si="57"/>
        <v>1.1560349655352482E-2</v>
      </c>
    </row>
    <row r="35" spans="2:65" x14ac:dyDescent="0.25">
      <c r="B35" s="272" t="s">
        <v>734</v>
      </c>
      <c r="C35" s="106" t="s">
        <v>293</v>
      </c>
      <c r="D35" s="106" t="s">
        <v>295</v>
      </c>
      <c r="E35" s="106">
        <f>Transport_3_Hubs!AP393*2</f>
        <v>242.05978067885107</v>
      </c>
      <c r="F35" s="106" t="str">
        <f>F32</f>
        <v>km per capita</v>
      </c>
      <c r="G35" s="106" t="s">
        <v>183</v>
      </c>
      <c r="H35" s="106">
        <f>H32</f>
        <v>0.33979999999999999</v>
      </c>
      <c r="I35" s="106">
        <f t="shared" ref="I35:AI35" si="64">I32</f>
        <v>3.2532999999999999E-2</v>
      </c>
      <c r="J35" s="106">
        <f t="shared" si="64"/>
        <v>4.7183999999999999</v>
      </c>
      <c r="K35" s="106">
        <f t="shared" si="64"/>
        <v>1.6715E-3</v>
      </c>
      <c r="L35" s="106">
        <f t="shared" si="64"/>
        <v>0.12584000000000001</v>
      </c>
      <c r="M35" s="106">
        <f t="shared" si="64"/>
        <v>5.2232999999999999E-5</v>
      </c>
      <c r="N35" s="106">
        <f t="shared" si="64"/>
        <v>5.9770000000000005E-4</v>
      </c>
      <c r="O35" s="106">
        <f t="shared" si="64"/>
        <v>6.3632999999999995E-2</v>
      </c>
      <c r="P35" s="106">
        <f t="shared" si="64"/>
        <v>1.3323E-2</v>
      </c>
      <c r="Q35" s="106">
        <f t="shared" ref="Q35:Q46" si="65">SUM(I35:P35)</f>
        <v>4.9560504329999997</v>
      </c>
      <c r="R35" s="106">
        <f t="shared" si="64"/>
        <v>5.2655999999999996E-3</v>
      </c>
      <c r="S35" s="106">
        <f t="shared" si="64"/>
        <v>0.33538000000000001</v>
      </c>
      <c r="T35" s="106">
        <f t="shared" si="64"/>
        <v>0.1099</v>
      </c>
      <c r="U35" s="106">
        <f t="shared" si="64"/>
        <v>1.7913999999999999E-2</v>
      </c>
      <c r="V35" s="106">
        <f t="shared" si="64"/>
        <v>4.7760999999999999E-5</v>
      </c>
      <c r="W35" s="106">
        <f t="shared" si="64"/>
        <v>7.6970999999999998E-2</v>
      </c>
      <c r="X35" s="106">
        <f t="shared" si="64"/>
        <v>2.2780000000000002E-2</v>
      </c>
      <c r="Y35" s="106">
        <f t="shared" si="64"/>
        <v>1.5582E-2</v>
      </c>
      <c r="Z35" s="106">
        <f t="shared" si="64"/>
        <v>4.1009E-5</v>
      </c>
      <c r="AA35" s="106">
        <f t="shared" si="64"/>
        <v>2.3355999999999998E-2</v>
      </c>
      <c r="AB35" s="106">
        <f>AB32</f>
        <v>-2.1823000000000001E-5</v>
      </c>
      <c r="AC35" s="106">
        <f t="shared" si="64"/>
        <v>4.8884000000000003E-8</v>
      </c>
      <c r="AD35" s="106">
        <f t="shared" si="64"/>
        <v>4.1103999999999999E-4</v>
      </c>
      <c r="AE35" s="106">
        <f t="shared" si="64"/>
        <v>8.8612999999999995E-4</v>
      </c>
      <c r="AF35" s="106">
        <f t="shared" si="64"/>
        <v>8.4542000000000005E-4</v>
      </c>
      <c r="AG35" s="106">
        <f t="shared" si="64"/>
        <v>5.1165000000000002E-5</v>
      </c>
      <c r="AH35" s="106">
        <f t="shared" si="64"/>
        <v>8.7036000000000006E-3</v>
      </c>
      <c r="AI35" s="210">
        <f t="shared" si="64"/>
        <v>9.3154999999999996E-4</v>
      </c>
      <c r="AK35" s="213">
        <f t="shared" si="58"/>
        <v>82.251913474673586</v>
      </c>
      <c r="AL35" s="106">
        <f t="shared" ref="AL35:AS35" si="66">$E35*I35</f>
        <v>7.8749308448250614</v>
      </c>
      <c r="AM35" s="106">
        <f t="shared" si="66"/>
        <v>1142.1348691550909</v>
      </c>
      <c r="AN35" s="106">
        <f t="shared" si="66"/>
        <v>0.40460292340469955</v>
      </c>
      <c r="AO35" s="106">
        <f t="shared" si="66"/>
        <v>30.46080280062662</v>
      </c>
      <c r="AP35" s="106">
        <f t="shared" si="66"/>
        <v>1.2643508524198427E-2</v>
      </c>
      <c r="AQ35" s="106">
        <f t="shared" si="66"/>
        <v>0.1446791309117493</v>
      </c>
      <c r="AR35" s="106">
        <f t="shared" si="66"/>
        <v>15.402990023937329</v>
      </c>
      <c r="AS35" s="106">
        <f t="shared" si="66"/>
        <v>3.2249624579843328</v>
      </c>
      <c r="AT35" s="106">
        <f t="shared" si="59"/>
        <v>1199.6604808453048</v>
      </c>
      <c r="AU35" s="106">
        <f t="shared" si="60"/>
        <v>1.2745899811425581</v>
      </c>
      <c r="AV35" s="106">
        <f t="shared" si="61"/>
        <v>81.182009244073072</v>
      </c>
      <c r="AW35" s="106">
        <f t="shared" si="62"/>
        <v>26.602369896605733</v>
      </c>
      <c r="AX35" s="106">
        <f t="shared" ref="AX35:AX40" si="67">$E35*U35</f>
        <v>4.3362589110809378</v>
      </c>
      <c r="AY35" s="106">
        <f t="shared" ref="AY35:AY40" si="68">$E35*V35</f>
        <v>1.1561017185002605E-2</v>
      </c>
      <c r="AZ35" s="106">
        <f t="shared" ref="AZ35:AZ40" si="69">$E35*W35</f>
        <v>18.631583378631845</v>
      </c>
      <c r="BA35" s="106">
        <f t="shared" ref="BA35:BA40" si="70">$E35*X35</f>
        <v>5.5141218038642279</v>
      </c>
      <c r="BB35" s="106">
        <f t="shared" ref="BB35:BB40" si="71">$E35*Y35</f>
        <v>3.7717755025378574</v>
      </c>
      <c r="BC35" s="106">
        <f t="shared" ref="BC35:BC40" si="72">$E35*Z35</f>
        <v>9.9266295458590031E-3</v>
      </c>
      <c r="BD35" s="106">
        <f t="shared" ref="BD35:BD40" si="73">$E35*AA35</f>
        <v>5.6535482375352455</v>
      </c>
      <c r="BE35" s="106">
        <f t="shared" ref="BE35:BE40" si="74">$E35*AB35</f>
        <v>-5.2824705937545673E-3</v>
      </c>
      <c r="BF35" s="106">
        <f t="shared" ref="BF35:BF40" si="75">$E35*AC35</f>
        <v>1.1832850318704957E-5</v>
      </c>
      <c r="BG35" s="106">
        <f t="shared" ref="BG35:BG40" si="76">$E35*AD35</f>
        <v>9.9496252250234937E-2</v>
      </c>
      <c r="BH35" s="106">
        <f t="shared" ref="BH35:BH40" si="77">$E35*AE35</f>
        <v>0.21449643345295027</v>
      </c>
      <c r="BI35" s="106">
        <f t="shared" ref="BI35:BI40" si="78">$E35*AF35</f>
        <v>0.20464217978151428</v>
      </c>
      <c r="BJ35" s="106">
        <f t="shared" ref="BJ35:BJ40" si="79">$E35*AG35</f>
        <v>1.2384988678433415E-2</v>
      </c>
      <c r="BK35" s="106">
        <f t="shared" ref="BK35:BK40" si="80">$E35*AH35</f>
        <v>2.1067915071164482</v>
      </c>
      <c r="BL35" s="210">
        <f t="shared" ref="BL35:BL40" si="81">$E35*AI35</f>
        <v>0.2254907886913837</v>
      </c>
    </row>
    <row r="36" spans="2:65" x14ac:dyDescent="0.25">
      <c r="B36" s="272"/>
      <c r="C36" s="106" t="s">
        <v>294</v>
      </c>
      <c r="D36" s="106" t="s">
        <v>356</v>
      </c>
      <c r="E36" s="106">
        <f>1*2</f>
        <v>2</v>
      </c>
      <c r="F36" s="106" t="str">
        <f t="shared" ref="F36:F46" si="82">F33</f>
        <v>per capita</v>
      </c>
      <c r="G36" s="106" t="str">
        <f>G33</f>
        <v>[10]</v>
      </c>
      <c r="H36" s="106">
        <f>Transport_3_Hubs!AT392</f>
        <v>190.9427071153944</v>
      </c>
      <c r="I36" s="106" t="s">
        <v>2</v>
      </c>
      <c r="J36" s="106" t="s">
        <v>2</v>
      </c>
      <c r="K36" s="106" t="s">
        <v>2</v>
      </c>
      <c r="L36" s="106" t="s">
        <v>2</v>
      </c>
      <c r="M36" s="106" t="s">
        <v>2</v>
      </c>
      <c r="N36" s="106" t="s">
        <v>2</v>
      </c>
      <c r="O36" s="106" t="s">
        <v>2</v>
      </c>
      <c r="P36" s="106" t="s">
        <v>2</v>
      </c>
      <c r="Q36" s="106">
        <f ca="1">Transport_3_Hubs!AU392</f>
        <v>1939.3700323979235</v>
      </c>
      <c r="R36" s="106">
        <f ca="1">Transport_3_Hubs!AV392</f>
        <v>0.86565815471854612</v>
      </c>
      <c r="S36" s="106">
        <f ca="1">Transport_3_Hubs!AW392</f>
        <v>190.94270711539431</v>
      </c>
      <c r="T36" s="106">
        <f ca="1">Transport_3_Hubs!AX392</f>
        <v>45.377870360885112</v>
      </c>
      <c r="U36" s="106">
        <f ca="1">Transport_3_Hubs!AY392</f>
        <v>0.21411080359686671</v>
      </c>
      <c r="V36" s="106">
        <f ca="1">Transport_3_Hubs!AZ392</f>
        <v>4.4641435514615937E-3</v>
      </c>
      <c r="W36" s="106">
        <f ca="1">Transport_3_Hubs!BA392</f>
        <v>6.6278589344630836</v>
      </c>
      <c r="X36" s="106">
        <f ca="1">Transport_3_Hubs!BB392</f>
        <v>9.5460670221621573</v>
      </c>
      <c r="Y36" s="106">
        <f ca="1">Transport_3_Hubs!BC392</f>
        <v>0.18384620576741853</v>
      </c>
      <c r="Z36" s="106">
        <f ca="1">Transport_3_Hubs!BD392</f>
        <v>0.20113151067708546</v>
      </c>
      <c r="AA36" s="106">
        <f ca="1">Transport_3_Hubs!BE392</f>
        <v>0.77360735131706149</v>
      </c>
      <c r="AB36" s="106">
        <f ca="1">Transport_3_Hubs!BF392</f>
        <v>4.7919761256933195E-2</v>
      </c>
      <c r="AC36" s="106">
        <f ca="1">Transport_3_Hubs!BG392</f>
        <v>2.3184797272307662E-5</v>
      </c>
      <c r="AD36" s="106">
        <f ca="1">Transport_3_Hubs!BH392</f>
        <v>7.3011614588018858E-2</v>
      </c>
      <c r="AE36" s="106">
        <f ca="1">Transport_3_Hubs!BI392</f>
        <v>0.21487397301010022</v>
      </c>
      <c r="AF36" s="106">
        <f ca="1">Transport_3_Hubs!BJ392</f>
        <v>3.2836342429648116E-3</v>
      </c>
      <c r="AG36" s="106">
        <f ca="1">Transport_3_Hubs!BK392</f>
        <v>3.2836342429647734E-3</v>
      </c>
      <c r="AH36" s="106">
        <f ca="1">Transport_3_Hubs!BL392</f>
        <v>0.45968162302497534</v>
      </c>
      <c r="AI36" s="210">
        <f ca="1">Transport_3_Hubs!BM392</f>
        <v>0.19009268970989507</v>
      </c>
      <c r="AK36" s="213">
        <f t="shared" si="58"/>
        <v>381.8854142307888</v>
      </c>
      <c r="AL36" s="106" t="s">
        <v>2</v>
      </c>
      <c r="AM36" s="106" t="s">
        <v>2</v>
      </c>
      <c r="AN36" s="106" t="s">
        <v>2</v>
      </c>
      <c r="AO36" s="106" t="s">
        <v>2</v>
      </c>
      <c r="AP36" s="106" t="s">
        <v>2</v>
      </c>
      <c r="AQ36" s="106" t="s">
        <v>2</v>
      </c>
      <c r="AR36" s="106" t="s">
        <v>2</v>
      </c>
      <c r="AS36" s="106" t="s">
        <v>2</v>
      </c>
      <c r="AT36" s="106">
        <f t="shared" ca="1" si="59"/>
        <v>3878.740064795847</v>
      </c>
      <c r="AU36" s="106">
        <f t="shared" ca="1" si="60"/>
        <v>1.7313163094370922</v>
      </c>
      <c r="AV36" s="106">
        <f t="shared" ca="1" si="61"/>
        <v>381.88541423078863</v>
      </c>
      <c r="AW36" s="106">
        <f t="shared" ca="1" si="62"/>
        <v>90.755740721770223</v>
      </c>
      <c r="AX36" s="106">
        <f t="shared" ca="1" si="67"/>
        <v>0.42822160719373342</v>
      </c>
      <c r="AY36" s="106">
        <f t="shared" ca="1" si="68"/>
        <v>8.9282871029231874E-3</v>
      </c>
      <c r="AZ36" s="106">
        <f t="shared" ca="1" si="69"/>
        <v>13.255717868926167</v>
      </c>
      <c r="BA36" s="106">
        <f t="shared" ca="1" si="70"/>
        <v>19.092134044324315</v>
      </c>
      <c r="BB36" s="106">
        <f t="shared" ca="1" si="71"/>
        <v>0.36769241153483706</v>
      </c>
      <c r="BC36" s="106">
        <f t="shared" ca="1" si="72"/>
        <v>0.40226302135417091</v>
      </c>
      <c r="BD36" s="106">
        <f t="shared" ca="1" si="73"/>
        <v>1.547214702634123</v>
      </c>
      <c r="BE36" s="106">
        <f t="shared" ca="1" si="74"/>
        <v>9.583952251386639E-2</v>
      </c>
      <c r="BF36" s="106">
        <f t="shared" ca="1" si="75"/>
        <v>4.6369594544615325E-5</v>
      </c>
      <c r="BG36" s="106">
        <f t="shared" ca="1" si="76"/>
        <v>0.14602322917603772</v>
      </c>
      <c r="BH36" s="106">
        <f t="shared" ca="1" si="77"/>
        <v>0.42974794602020044</v>
      </c>
      <c r="BI36" s="106">
        <f t="shared" ca="1" si="78"/>
        <v>6.5672684859296232E-3</v>
      </c>
      <c r="BJ36" s="106">
        <f t="shared" ca="1" si="79"/>
        <v>6.5672684859295468E-3</v>
      </c>
      <c r="BK36" s="106">
        <f t="shared" ca="1" si="80"/>
        <v>0.91936324604995068</v>
      </c>
      <c r="BL36" s="210">
        <f t="shared" ca="1" si="81"/>
        <v>0.38018537941979014</v>
      </c>
    </row>
    <row r="37" spans="2:65" x14ac:dyDescent="0.25">
      <c r="B37" s="272"/>
      <c r="C37" s="106" t="s">
        <v>571</v>
      </c>
      <c r="D37" s="106" t="str">
        <f>D34</f>
        <v>transport, passenger train, DE</v>
      </c>
      <c r="E37" s="106">
        <f>Transport_3_Hubs!AP392*2</f>
        <v>41.176668407310707</v>
      </c>
      <c r="F37" s="106" t="str">
        <f t="shared" si="82"/>
        <v>km per capita</v>
      </c>
      <c r="G37" s="106" t="s">
        <v>183</v>
      </c>
      <c r="H37" s="106">
        <f>H34</f>
        <v>7.4462E-2</v>
      </c>
      <c r="I37" s="106">
        <f t="shared" ref="I37:AI37" si="83">I34</f>
        <v>7.4462E-2</v>
      </c>
      <c r="J37" s="106">
        <f t="shared" ca="1" si="83"/>
        <v>0.87446999999999997</v>
      </c>
      <c r="K37" s="106">
        <f t="shared" ca="1" si="83"/>
        <v>4.2768999999999999E-4</v>
      </c>
      <c r="L37" s="106">
        <f t="shared" ca="1" si="83"/>
        <v>0.18787999999999999</v>
      </c>
      <c r="M37" s="106">
        <f t="shared" ca="1" si="83"/>
        <v>2.0060000000000001E-5</v>
      </c>
      <c r="N37" s="106">
        <f t="shared" ca="1" si="83"/>
        <v>2.8479999999999998E-5</v>
      </c>
      <c r="O37" s="106">
        <f t="shared" ca="1" si="83"/>
        <v>2.4888E-2</v>
      </c>
      <c r="P37" s="106">
        <f t="shared" ca="1" si="83"/>
        <v>7.2913000000000006E-2</v>
      </c>
      <c r="Q37" s="106">
        <f t="shared" ca="1" si="65"/>
        <v>1.23508923</v>
      </c>
      <c r="R37" s="106">
        <f t="shared" ca="1" si="83"/>
        <v>2.5566E-3</v>
      </c>
      <c r="S37" s="106">
        <f t="shared" ca="1" si="83"/>
        <v>7.3438000000000003E-2</v>
      </c>
      <c r="T37" s="106">
        <f t="shared" ca="1" si="83"/>
        <v>2.0743000000000001E-2</v>
      </c>
      <c r="U37" s="106">
        <f t="shared" ca="1" si="83"/>
        <v>1.8396E-3</v>
      </c>
      <c r="V37" s="106">
        <f t="shared" ca="1" si="83"/>
        <v>8.1093000000000004E-5</v>
      </c>
      <c r="W37" s="106">
        <f t="shared" ca="1" si="83"/>
        <v>5.0548999999999997E-2</v>
      </c>
      <c r="X37" s="106">
        <f t="shared" ca="1" si="83"/>
        <v>1.0624E-2</v>
      </c>
      <c r="Y37" s="106">
        <f t="shared" ca="1" si="83"/>
        <v>1.7136E-3</v>
      </c>
      <c r="Z37" s="106">
        <f t="shared" ca="1" si="83"/>
        <v>2.8504999999999999E-5</v>
      </c>
      <c r="AA37" s="106">
        <f t="shared" ca="1" si="83"/>
        <v>2.0625999999999999E-3</v>
      </c>
      <c r="AB37" s="106">
        <f t="shared" ca="1" si="83"/>
        <v>-6.9388999999999998E-6</v>
      </c>
      <c r="AC37" s="106">
        <f t="shared" ca="1" si="83"/>
        <v>3.6820999999999999E-9</v>
      </c>
      <c r="AD37" s="106">
        <f t="shared" ca="1" si="83"/>
        <v>1.1118E-4</v>
      </c>
      <c r="AE37" s="106">
        <f t="shared" ca="1" si="83"/>
        <v>2.9994E-4</v>
      </c>
      <c r="AF37" s="106">
        <f t="shared" ca="1" si="83"/>
        <v>2.3786E-4</v>
      </c>
      <c r="AG37" s="106">
        <f t="shared" ca="1" si="83"/>
        <v>2.7381000000000001E-6</v>
      </c>
      <c r="AH37" s="106">
        <f t="shared" ca="1" si="83"/>
        <v>2.2783E-3</v>
      </c>
      <c r="AI37" s="210">
        <f t="shared" ca="1" si="83"/>
        <v>2.8075000000000002E-4</v>
      </c>
      <c r="AK37" s="213">
        <f t="shared" si="58"/>
        <v>3.0660970829451699</v>
      </c>
      <c r="AL37" s="106">
        <f t="shared" ref="AL37" si="84">$E37*I37</f>
        <v>3.0660970829451699</v>
      </c>
      <c r="AM37" s="106">
        <f t="shared" ref="AM37" ca="1" si="85">$E37*J37</f>
        <v>36.007761222140992</v>
      </c>
      <c r="AN37" s="106">
        <f t="shared" ref="AN37" ca="1" si="86">$E37*K37</f>
        <v>1.7610849311122716E-2</v>
      </c>
      <c r="AO37" s="106">
        <f t="shared" ref="AO37" ca="1" si="87">$E37*L37</f>
        <v>7.7362724603655355</v>
      </c>
      <c r="AP37" s="106">
        <f t="shared" ref="AP37" ca="1" si="88">$E37*M37</f>
        <v>8.2600396825065279E-4</v>
      </c>
      <c r="AQ37" s="106">
        <f t="shared" ref="AQ37" ca="1" si="89">$E37*N37</f>
        <v>1.1727115162402089E-3</v>
      </c>
      <c r="AR37" s="106">
        <f t="shared" ref="AR37" ca="1" si="90">$E37*O37</f>
        <v>1.0248049233211489</v>
      </c>
      <c r="AS37" s="106">
        <f t="shared" ref="AS37" ca="1" si="91">$E37*P37</f>
        <v>3.0023144235822459</v>
      </c>
      <c r="AT37" s="106">
        <f t="shared" ca="1" si="59"/>
        <v>50.856859677150709</v>
      </c>
      <c r="AU37" s="106">
        <f t="shared" ca="1" si="60"/>
        <v>0.10527227045013056</v>
      </c>
      <c r="AV37" s="106">
        <f t="shared" ca="1" si="61"/>
        <v>3.0239321744960836</v>
      </c>
      <c r="AW37" s="106">
        <f t="shared" ca="1" si="62"/>
        <v>0.85412763277284609</v>
      </c>
      <c r="AX37" s="106">
        <f t="shared" ca="1" si="67"/>
        <v>7.5748599202088776E-2</v>
      </c>
      <c r="AY37" s="106">
        <f t="shared" ca="1" si="68"/>
        <v>3.3391395711540473E-3</v>
      </c>
      <c r="AZ37" s="106">
        <f t="shared" ca="1" si="69"/>
        <v>2.0814394113211487</v>
      </c>
      <c r="BA37" s="106">
        <f t="shared" ca="1" si="70"/>
        <v>0.43746092515926893</v>
      </c>
      <c r="BB37" s="106">
        <f t="shared" ca="1" si="71"/>
        <v>7.0560338982767631E-2</v>
      </c>
      <c r="BC37" s="106">
        <f t="shared" ca="1" si="72"/>
        <v>1.1737409329503916E-3</v>
      </c>
      <c r="BD37" s="106">
        <f t="shared" ca="1" si="73"/>
        <v>8.4930996256919064E-2</v>
      </c>
      <c r="BE37" s="106">
        <f t="shared" ca="1" si="74"/>
        <v>-2.8572078441148823E-4</v>
      </c>
      <c r="BF37" s="106">
        <f t="shared" ca="1" si="75"/>
        <v>1.5161661074255875E-7</v>
      </c>
      <c r="BG37" s="106">
        <f t="shared" ca="1" si="76"/>
        <v>4.5780219935248048E-3</v>
      </c>
      <c r="BH37" s="106">
        <f t="shared" ca="1" si="77"/>
        <v>1.2350529922088774E-2</v>
      </c>
      <c r="BI37" s="106">
        <f t="shared" ca="1" si="78"/>
        <v>9.7942823473629245E-3</v>
      </c>
      <c r="BJ37" s="106">
        <f t="shared" ca="1" si="79"/>
        <v>1.1274583576605745E-4</v>
      </c>
      <c r="BK37" s="106">
        <f t="shared" ca="1" si="80"/>
        <v>9.3812803632375985E-2</v>
      </c>
      <c r="BL37" s="210">
        <f t="shared" ca="1" si="81"/>
        <v>1.1560349655352482E-2</v>
      </c>
    </row>
    <row r="38" spans="2:65" x14ac:dyDescent="0.25">
      <c r="B38" s="272" t="s">
        <v>736</v>
      </c>
      <c r="C38" s="106" t="s">
        <v>293</v>
      </c>
      <c r="D38" s="106" t="s">
        <v>295</v>
      </c>
      <c r="E38" s="106">
        <f>Transport_4_Hubs!AP393*2</f>
        <v>289.16565013054816</v>
      </c>
      <c r="F38" s="106" t="str">
        <f t="shared" si="82"/>
        <v>km per capita</v>
      </c>
      <c r="G38" s="106" t="s">
        <v>183</v>
      </c>
      <c r="H38" s="106">
        <v>0.33979999999999999</v>
      </c>
      <c r="I38" s="106">
        <v>3.2532999999999999E-2</v>
      </c>
      <c r="J38" s="106">
        <v>4.7183999999999999</v>
      </c>
      <c r="K38" s="106">
        <v>1.6715E-3</v>
      </c>
      <c r="L38" s="106">
        <v>0.12584000000000001</v>
      </c>
      <c r="M38" s="106">
        <v>5.2232999999999999E-5</v>
      </c>
      <c r="N38" s="106">
        <v>5.9770000000000005E-4</v>
      </c>
      <c r="O38" s="106">
        <v>6.3632999999999995E-2</v>
      </c>
      <c r="P38" s="106">
        <v>1.3323E-2</v>
      </c>
      <c r="Q38" s="106">
        <f t="shared" si="65"/>
        <v>4.9560504329999997</v>
      </c>
      <c r="R38" s="106">
        <v>5.2655999999999996E-3</v>
      </c>
      <c r="S38" s="106">
        <v>0.33538000000000001</v>
      </c>
      <c r="T38" s="106">
        <v>0.1099</v>
      </c>
      <c r="U38" s="106">
        <v>1.7913999999999999E-2</v>
      </c>
      <c r="V38" s="106">
        <v>4.7760999999999999E-5</v>
      </c>
      <c r="W38" s="106">
        <v>7.6970999999999998E-2</v>
      </c>
      <c r="X38" s="106">
        <v>2.2780000000000002E-2</v>
      </c>
      <c r="Y38" s="106">
        <v>1.5582E-2</v>
      </c>
      <c r="Z38" s="106">
        <v>4.1009E-5</v>
      </c>
      <c r="AA38" s="106">
        <v>2.3355999999999998E-2</v>
      </c>
      <c r="AB38" s="106">
        <v>-2.1823000000000001E-5</v>
      </c>
      <c r="AC38" s="106">
        <v>4.8884000000000003E-8</v>
      </c>
      <c r="AD38" s="106">
        <v>4.1103999999999999E-4</v>
      </c>
      <c r="AE38" s="106">
        <v>8.8612999999999995E-4</v>
      </c>
      <c r="AF38" s="106">
        <v>8.4542000000000005E-4</v>
      </c>
      <c r="AG38" s="106">
        <v>5.1165000000000002E-5</v>
      </c>
      <c r="AH38" s="106">
        <v>8.7036000000000006E-3</v>
      </c>
      <c r="AI38" s="210">
        <v>9.3154999999999996E-4</v>
      </c>
      <c r="AK38" s="213">
        <f t="shared" si="58"/>
        <v>98.258487914360259</v>
      </c>
      <c r="AL38" s="106">
        <f t="shared" ref="AL38:AS38" si="92">$E38*I38</f>
        <v>9.4074260956971223</v>
      </c>
      <c r="AM38" s="106">
        <f t="shared" si="92"/>
        <v>1364.3992035759784</v>
      </c>
      <c r="AN38" s="106">
        <f t="shared" si="92"/>
        <v>0.48334038419321124</v>
      </c>
      <c r="AO38" s="106">
        <f t="shared" si="92"/>
        <v>36.388605412428184</v>
      </c>
      <c r="AP38" s="106">
        <f t="shared" si="92"/>
        <v>1.5103989403268922E-2</v>
      </c>
      <c r="AQ38" s="106">
        <f t="shared" si="92"/>
        <v>0.17283430908302866</v>
      </c>
      <c r="AR38" s="106">
        <f t="shared" si="92"/>
        <v>18.400477814757171</v>
      </c>
      <c r="AS38" s="106">
        <f t="shared" si="92"/>
        <v>3.852553956689293</v>
      </c>
      <c r="AT38" s="106">
        <f t="shared" si="59"/>
        <v>1433.1195455382297</v>
      </c>
      <c r="AU38" s="106">
        <f t="shared" si="60"/>
        <v>1.5226306473274143</v>
      </c>
      <c r="AV38" s="106">
        <f t="shared" si="61"/>
        <v>96.980375740783245</v>
      </c>
      <c r="AW38" s="106">
        <f t="shared" si="62"/>
        <v>31.779304949347242</v>
      </c>
      <c r="AX38" s="106">
        <f t="shared" si="67"/>
        <v>5.1801134564386393</v>
      </c>
      <c r="AY38" s="106">
        <f t="shared" si="68"/>
        <v>1.381084061588511E-2</v>
      </c>
      <c r="AZ38" s="106">
        <f t="shared" si="69"/>
        <v>22.257369256198423</v>
      </c>
      <c r="BA38" s="106">
        <f t="shared" si="70"/>
        <v>6.5871935099738872</v>
      </c>
      <c r="BB38" s="106">
        <f t="shared" si="71"/>
        <v>4.5057791603342014</v>
      </c>
      <c r="BC38" s="106">
        <f t="shared" si="72"/>
        <v>1.1858394146203649E-2</v>
      </c>
      <c r="BD38" s="106">
        <f t="shared" si="73"/>
        <v>6.7537529244490822</v>
      </c>
      <c r="BE38" s="106">
        <f t="shared" si="74"/>
        <v>-6.3104619827989523E-3</v>
      </c>
      <c r="BF38" s="106">
        <f t="shared" si="75"/>
        <v>1.4135573640981717E-5</v>
      </c>
      <c r="BG38" s="106">
        <f t="shared" si="76"/>
        <v>0.11885864882966052</v>
      </c>
      <c r="BH38" s="106">
        <f t="shared" si="77"/>
        <v>0.25623835755018265</v>
      </c>
      <c r="BI38" s="106">
        <f t="shared" si="78"/>
        <v>0.24446642393336804</v>
      </c>
      <c r="BJ38" s="106">
        <f t="shared" si="79"/>
        <v>1.4795160488929497E-2</v>
      </c>
      <c r="BK38" s="106">
        <f t="shared" si="80"/>
        <v>2.5167821524762393</v>
      </c>
      <c r="BL38" s="210">
        <f t="shared" si="81"/>
        <v>0.26937226137911213</v>
      </c>
    </row>
    <row r="39" spans="2:65" x14ac:dyDescent="0.25">
      <c r="B39" s="272"/>
      <c r="C39" s="106" t="s">
        <v>294</v>
      </c>
      <c r="D39" s="106" t="s">
        <v>356</v>
      </c>
      <c r="E39" s="106">
        <f>1*2</f>
        <v>2</v>
      </c>
      <c r="F39" s="106" t="str">
        <f t="shared" si="82"/>
        <v>per capita</v>
      </c>
      <c r="G39" s="106" t="str">
        <f>G33</f>
        <v>[10]</v>
      </c>
      <c r="H39" s="106">
        <f>Transport_4_Hubs!AT392</f>
        <v>149.16997051091076</v>
      </c>
      <c r="I39" s="106" t="s">
        <v>2</v>
      </c>
      <c r="J39" s="106" t="s">
        <v>2</v>
      </c>
      <c r="K39" s="106" t="s">
        <v>2</v>
      </c>
      <c r="L39" s="106" t="s">
        <v>2</v>
      </c>
      <c r="M39" s="106" t="s">
        <v>2</v>
      </c>
      <c r="N39" s="106" t="s">
        <v>2</v>
      </c>
      <c r="O39" s="106" t="s">
        <v>2</v>
      </c>
      <c r="P39" s="106" t="s">
        <v>2</v>
      </c>
      <c r="Q39" s="106">
        <f ca="1">Transport_4_Hubs!AU392</f>
        <v>1523.2247069228249</v>
      </c>
      <c r="R39" s="106">
        <f ca="1">Transport_4_Hubs!AV392</f>
        <v>0.69066516577625414</v>
      </c>
      <c r="S39" s="106">
        <f ca="1">Transport_4_Hubs!AW392</f>
        <v>149.16997051091084</v>
      </c>
      <c r="T39" s="106">
        <f ca="1">Transport_4_Hubs!AX392</f>
        <v>35.625183247237153</v>
      </c>
      <c r="U39" s="106">
        <f ca="1">Transport_4_Hubs!AY392</f>
        <v>0.17008864301918289</v>
      </c>
      <c r="V39" s="106">
        <f ca="1">Transport_4_Hubs!AZ392</f>
        <v>3.5844732386452875E-3</v>
      </c>
      <c r="W39" s="106">
        <f ca="1">Transport_4_Hubs!BA392</f>
        <v>5.3288469665108495</v>
      </c>
      <c r="X39" s="106">
        <f ca="1">Transport_4_Hubs!BB392</f>
        <v>7.5260406399793318</v>
      </c>
      <c r="Y39" s="106">
        <f ca="1">Transport_4_Hubs!BC392</f>
        <v>0.14655952873231365</v>
      </c>
      <c r="Z39" s="106">
        <f ca="1">Transport_4_Hubs!BD392</f>
        <v>0.15693304020749566</v>
      </c>
      <c r="AA39" s="106">
        <f ca="1">Transport_4_Hubs!BE392</f>
        <v>0.61263643320961358</v>
      </c>
      <c r="AB39" s="106">
        <f ca="1">Transport_4_Hubs!BF392</f>
        <v>3.7629627552378787E-2</v>
      </c>
      <c r="AC39" s="106">
        <f ca="1">Transport_4_Hubs!BG392</f>
        <v>1.8200743298087453E-5</v>
      </c>
      <c r="AD39" s="106">
        <f ca="1">Transport_4_Hubs!BH392</f>
        <v>5.8175913784834797E-2</v>
      </c>
      <c r="AE39" s="106">
        <f ca="1">Transport_4_Hubs!BI392</f>
        <v>0.17250534461955955</v>
      </c>
      <c r="AF39" s="106">
        <f ca="1">Transport_4_Hubs!BJ392</f>
        <v>2.6259634986216859E-3</v>
      </c>
      <c r="AG39" s="106">
        <f ca="1">Transport_4_Hubs!BK392</f>
        <v>2.6259634986217253E-3</v>
      </c>
      <c r="AH39" s="106">
        <f ca="1">Transport_4_Hubs!BL392</f>
        <v>0.36966202137937937</v>
      </c>
      <c r="AI39" s="210">
        <f ca="1">Transport_4_Hubs!BM392</f>
        <v>0.15150772555325587</v>
      </c>
      <c r="AK39" s="213">
        <f t="shared" si="58"/>
        <v>298.33994102182152</v>
      </c>
      <c r="AL39" s="106" t="s">
        <v>2</v>
      </c>
      <c r="AM39" s="106" t="s">
        <v>2</v>
      </c>
      <c r="AN39" s="106" t="s">
        <v>2</v>
      </c>
      <c r="AO39" s="106" t="s">
        <v>2</v>
      </c>
      <c r="AP39" s="106" t="s">
        <v>2</v>
      </c>
      <c r="AQ39" s="106" t="s">
        <v>2</v>
      </c>
      <c r="AR39" s="106" t="s">
        <v>2</v>
      </c>
      <c r="AS39" s="106" t="s">
        <v>2</v>
      </c>
      <c r="AT39" s="106">
        <f t="shared" ca="1" si="59"/>
        <v>3046.4494138456498</v>
      </c>
      <c r="AU39" s="106">
        <f t="shared" ca="1" si="60"/>
        <v>1.3813303315525083</v>
      </c>
      <c r="AV39" s="106">
        <f t="shared" ca="1" si="61"/>
        <v>298.33994102182169</v>
      </c>
      <c r="AW39" s="106">
        <f t="shared" ca="1" si="62"/>
        <v>71.250366494474306</v>
      </c>
      <c r="AX39" s="106">
        <f t="shared" ca="1" si="67"/>
        <v>0.34017728603836578</v>
      </c>
      <c r="AY39" s="106">
        <f t="shared" ca="1" si="68"/>
        <v>7.1689464772905749E-3</v>
      </c>
      <c r="AZ39" s="106">
        <f t="shared" ca="1" si="69"/>
        <v>10.657693933021699</v>
      </c>
      <c r="BA39" s="106">
        <f t="shared" ca="1" si="70"/>
        <v>15.052081279958664</v>
      </c>
      <c r="BB39" s="106">
        <f t="shared" ca="1" si="71"/>
        <v>0.2931190574646273</v>
      </c>
      <c r="BC39" s="106">
        <f t="shared" ca="1" si="72"/>
        <v>0.31386608041499131</v>
      </c>
      <c r="BD39" s="106">
        <f t="shared" ca="1" si="73"/>
        <v>1.2252728664192272</v>
      </c>
      <c r="BE39" s="106">
        <f t="shared" ca="1" si="74"/>
        <v>7.5259255104757575E-2</v>
      </c>
      <c r="BF39" s="106">
        <f t="shared" ca="1" si="75"/>
        <v>3.6401486596174906E-5</v>
      </c>
      <c r="BG39" s="106">
        <f t="shared" ca="1" si="76"/>
        <v>0.11635182756966959</v>
      </c>
      <c r="BH39" s="106">
        <f t="shared" ca="1" si="77"/>
        <v>0.34501068923911909</v>
      </c>
      <c r="BI39" s="106">
        <f t="shared" ca="1" si="78"/>
        <v>5.2519269972433717E-3</v>
      </c>
      <c r="BJ39" s="106">
        <f t="shared" ca="1" si="79"/>
        <v>5.2519269972434507E-3</v>
      </c>
      <c r="BK39" s="106">
        <f t="shared" ca="1" si="80"/>
        <v>0.73932404275875874</v>
      </c>
      <c r="BL39" s="210">
        <f t="shared" ca="1" si="81"/>
        <v>0.30301545110651174</v>
      </c>
      <c r="BM39" s="137"/>
    </row>
    <row r="40" spans="2:65" x14ac:dyDescent="0.25">
      <c r="B40" s="272"/>
      <c r="C40" s="106" t="s">
        <v>571</v>
      </c>
      <c r="D40" s="106" t="str">
        <f>D34</f>
        <v>transport, passenger train, DE</v>
      </c>
      <c r="E40" s="106">
        <f>Transport_4_Hubs!AP392*2</f>
        <v>41.176668407310707</v>
      </c>
      <c r="F40" s="106" t="str">
        <f t="shared" si="82"/>
        <v>km per capita</v>
      </c>
      <c r="G40" s="106" t="s">
        <v>183</v>
      </c>
      <c r="H40" s="106">
        <f>H34</f>
        <v>7.4462E-2</v>
      </c>
      <c r="I40" s="106">
        <f t="shared" ref="I40:AI40" si="93">I34</f>
        <v>7.4462E-2</v>
      </c>
      <c r="J40" s="106">
        <f t="shared" ca="1" si="93"/>
        <v>0.87446999999999997</v>
      </c>
      <c r="K40" s="106">
        <f t="shared" ca="1" si="93"/>
        <v>4.2768999999999999E-4</v>
      </c>
      <c r="L40" s="106">
        <f t="shared" ca="1" si="93"/>
        <v>0.18787999999999999</v>
      </c>
      <c r="M40" s="106">
        <f t="shared" ca="1" si="93"/>
        <v>2.0060000000000001E-5</v>
      </c>
      <c r="N40" s="106">
        <f t="shared" ca="1" si="93"/>
        <v>2.8479999999999998E-5</v>
      </c>
      <c r="O40" s="106">
        <f t="shared" ca="1" si="93"/>
        <v>2.4888E-2</v>
      </c>
      <c r="P40" s="106">
        <f t="shared" ca="1" si="93"/>
        <v>7.2913000000000006E-2</v>
      </c>
      <c r="Q40" s="106">
        <f t="shared" ca="1" si="65"/>
        <v>1.23508923</v>
      </c>
      <c r="R40" s="106">
        <f t="shared" ca="1" si="93"/>
        <v>2.5566E-3</v>
      </c>
      <c r="S40" s="106">
        <f t="shared" ca="1" si="93"/>
        <v>7.3438000000000003E-2</v>
      </c>
      <c r="T40" s="106">
        <f t="shared" ca="1" si="93"/>
        <v>2.0743000000000001E-2</v>
      </c>
      <c r="U40" s="106">
        <f t="shared" ca="1" si="93"/>
        <v>1.8396E-3</v>
      </c>
      <c r="V40" s="106">
        <f t="shared" ca="1" si="93"/>
        <v>8.1093000000000004E-5</v>
      </c>
      <c r="W40" s="106">
        <f t="shared" ca="1" si="93"/>
        <v>5.0548999999999997E-2</v>
      </c>
      <c r="X40" s="106">
        <f t="shared" ca="1" si="93"/>
        <v>1.0624E-2</v>
      </c>
      <c r="Y40" s="106">
        <f t="shared" ca="1" si="93"/>
        <v>1.7136E-3</v>
      </c>
      <c r="Z40" s="106">
        <f t="shared" ca="1" si="93"/>
        <v>2.8504999999999999E-5</v>
      </c>
      <c r="AA40" s="106">
        <f t="shared" ca="1" si="93"/>
        <v>2.0625999999999999E-3</v>
      </c>
      <c r="AB40" s="106">
        <f t="shared" ca="1" si="93"/>
        <v>-6.9388999999999998E-6</v>
      </c>
      <c r="AC40" s="106">
        <f t="shared" ca="1" si="93"/>
        <v>3.6820999999999999E-9</v>
      </c>
      <c r="AD40" s="106">
        <f t="shared" ca="1" si="93"/>
        <v>1.1118E-4</v>
      </c>
      <c r="AE40" s="106">
        <f t="shared" ca="1" si="93"/>
        <v>2.9994E-4</v>
      </c>
      <c r="AF40" s="106">
        <f t="shared" ca="1" si="93"/>
        <v>2.3786E-4</v>
      </c>
      <c r="AG40" s="106">
        <f t="shared" ca="1" si="93"/>
        <v>2.7381000000000001E-6</v>
      </c>
      <c r="AH40" s="106">
        <f t="shared" ca="1" si="93"/>
        <v>2.2783E-3</v>
      </c>
      <c r="AI40" s="210">
        <f t="shared" ca="1" si="93"/>
        <v>2.8075000000000002E-4</v>
      </c>
      <c r="AK40" s="213">
        <f t="shared" si="58"/>
        <v>3.0660970829451699</v>
      </c>
      <c r="AL40" s="106">
        <f t="shared" ref="AL40" si="94">$E40*I40</f>
        <v>3.0660970829451699</v>
      </c>
      <c r="AM40" s="106">
        <f t="shared" ref="AM40" ca="1" si="95">$E40*J40</f>
        <v>36.007761222140992</v>
      </c>
      <c r="AN40" s="106">
        <f t="shared" ref="AN40" ca="1" si="96">$E40*K40</f>
        <v>1.7610849311122716E-2</v>
      </c>
      <c r="AO40" s="106">
        <f t="shared" ref="AO40" ca="1" si="97">$E40*L40</f>
        <v>7.7362724603655355</v>
      </c>
      <c r="AP40" s="106">
        <f t="shared" ref="AP40" ca="1" si="98">$E40*M40</f>
        <v>8.2600396825065279E-4</v>
      </c>
      <c r="AQ40" s="106">
        <f t="shared" ref="AQ40" ca="1" si="99">$E40*N40</f>
        <v>1.1727115162402089E-3</v>
      </c>
      <c r="AR40" s="106">
        <f t="shared" ref="AR40" ca="1" si="100">$E40*O40</f>
        <v>1.0248049233211489</v>
      </c>
      <c r="AS40" s="106">
        <f t="shared" ref="AS40" ca="1" si="101">$E40*P40</f>
        <v>3.0023144235822459</v>
      </c>
      <c r="AT40" s="106">
        <f t="shared" ca="1" si="59"/>
        <v>50.856859677150709</v>
      </c>
      <c r="AU40" s="106">
        <f t="shared" ca="1" si="60"/>
        <v>0.10527227045013056</v>
      </c>
      <c r="AV40" s="106">
        <f t="shared" ca="1" si="61"/>
        <v>3.0239321744960836</v>
      </c>
      <c r="AW40" s="106">
        <f t="shared" ca="1" si="62"/>
        <v>0.85412763277284609</v>
      </c>
      <c r="AX40" s="106">
        <f t="shared" ca="1" si="67"/>
        <v>7.5748599202088776E-2</v>
      </c>
      <c r="AY40" s="106">
        <f t="shared" ca="1" si="68"/>
        <v>3.3391395711540473E-3</v>
      </c>
      <c r="AZ40" s="106">
        <f t="shared" ca="1" si="69"/>
        <v>2.0814394113211487</v>
      </c>
      <c r="BA40" s="106">
        <f t="shared" ca="1" si="70"/>
        <v>0.43746092515926893</v>
      </c>
      <c r="BB40" s="106">
        <f t="shared" ca="1" si="71"/>
        <v>7.0560338982767631E-2</v>
      </c>
      <c r="BC40" s="106">
        <f t="shared" ca="1" si="72"/>
        <v>1.1737409329503916E-3</v>
      </c>
      <c r="BD40" s="106">
        <f t="shared" ca="1" si="73"/>
        <v>8.4930996256919064E-2</v>
      </c>
      <c r="BE40" s="106">
        <f t="shared" ca="1" si="74"/>
        <v>-2.8572078441148823E-4</v>
      </c>
      <c r="BF40" s="106">
        <f t="shared" ca="1" si="75"/>
        <v>1.5161661074255875E-7</v>
      </c>
      <c r="BG40" s="106">
        <f t="shared" ca="1" si="76"/>
        <v>4.5780219935248048E-3</v>
      </c>
      <c r="BH40" s="106">
        <f t="shared" ca="1" si="77"/>
        <v>1.2350529922088774E-2</v>
      </c>
      <c r="BI40" s="106">
        <f t="shared" ca="1" si="78"/>
        <v>9.7942823473629245E-3</v>
      </c>
      <c r="BJ40" s="106">
        <f t="shared" ca="1" si="79"/>
        <v>1.1274583576605745E-4</v>
      </c>
      <c r="BK40" s="106">
        <f t="shared" ca="1" si="80"/>
        <v>9.3812803632375985E-2</v>
      </c>
      <c r="BL40" s="210">
        <f t="shared" ca="1" si="81"/>
        <v>1.1560349655352482E-2</v>
      </c>
    </row>
    <row r="41" spans="2:65" x14ac:dyDescent="0.25">
      <c r="B41" s="272" t="s">
        <v>737</v>
      </c>
      <c r="C41" s="106" t="s">
        <v>293</v>
      </c>
      <c r="D41" s="106" t="s">
        <v>295</v>
      </c>
      <c r="E41" s="106">
        <f>Transport_5_Hubs!AP393*2</f>
        <v>289.1656501305481</v>
      </c>
      <c r="F41" s="106" t="str">
        <f t="shared" si="82"/>
        <v>km per capita</v>
      </c>
      <c r="G41" s="106" t="s">
        <v>183</v>
      </c>
      <c r="H41" s="106">
        <f>H32</f>
        <v>0.33979999999999999</v>
      </c>
      <c r="I41" s="106">
        <f t="shared" ref="I41:AI41" si="102">I32</f>
        <v>3.2532999999999999E-2</v>
      </c>
      <c r="J41" s="106">
        <f t="shared" si="102"/>
        <v>4.7183999999999999</v>
      </c>
      <c r="K41" s="106">
        <f t="shared" si="102"/>
        <v>1.6715E-3</v>
      </c>
      <c r="L41" s="106">
        <f t="shared" si="102"/>
        <v>0.12584000000000001</v>
      </c>
      <c r="M41" s="106">
        <f t="shared" si="102"/>
        <v>5.2232999999999999E-5</v>
      </c>
      <c r="N41" s="106">
        <f t="shared" si="102"/>
        <v>5.9770000000000005E-4</v>
      </c>
      <c r="O41" s="106">
        <f t="shared" si="102"/>
        <v>6.3632999999999995E-2</v>
      </c>
      <c r="P41" s="106">
        <f t="shared" si="102"/>
        <v>1.3323E-2</v>
      </c>
      <c r="Q41" s="106">
        <f t="shared" si="65"/>
        <v>4.9560504329999997</v>
      </c>
      <c r="R41" s="106">
        <f t="shared" si="102"/>
        <v>5.2655999999999996E-3</v>
      </c>
      <c r="S41" s="106">
        <f t="shared" si="102"/>
        <v>0.33538000000000001</v>
      </c>
      <c r="T41" s="106">
        <f t="shared" si="102"/>
        <v>0.1099</v>
      </c>
      <c r="U41" s="106">
        <f t="shared" si="102"/>
        <v>1.7913999999999999E-2</v>
      </c>
      <c r="V41" s="106">
        <f t="shared" si="102"/>
        <v>4.7760999999999999E-5</v>
      </c>
      <c r="W41" s="106">
        <f t="shared" si="102"/>
        <v>7.6970999999999998E-2</v>
      </c>
      <c r="X41" s="106">
        <f t="shared" si="102"/>
        <v>2.2780000000000002E-2</v>
      </c>
      <c r="Y41" s="106">
        <f t="shared" si="102"/>
        <v>1.5582E-2</v>
      </c>
      <c r="Z41" s="106">
        <f t="shared" si="102"/>
        <v>4.1009E-5</v>
      </c>
      <c r="AA41" s="106">
        <f t="shared" si="102"/>
        <v>2.3355999999999998E-2</v>
      </c>
      <c r="AB41" s="106">
        <f t="shared" si="102"/>
        <v>-2.1823000000000001E-5</v>
      </c>
      <c r="AC41" s="106">
        <f t="shared" si="102"/>
        <v>4.8884000000000003E-8</v>
      </c>
      <c r="AD41" s="106">
        <f t="shared" si="102"/>
        <v>4.1103999999999999E-4</v>
      </c>
      <c r="AE41" s="106">
        <f t="shared" si="102"/>
        <v>8.8612999999999995E-4</v>
      </c>
      <c r="AF41" s="106">
        <f t="shared" si="102"/>
        <v>8.4542000000000005E-4</v>
      </c>
      <c r="AG41" s="106">
        <f t="shared" si="102"/>
        <v>5.1165000000000002E-5</v>
      </c>
      <c r="AH41" s="106">
        <f t="shared" si="102"/>
        <v>8.7036000000000006E-3</v>
      </c>
      <c r="AI41" s="210">
        <f t="shared" si="102"/>
        <v>9.3154999999999996E-4</v>
      </c>
      <c r="AK41" s="213">
        <f t="shared" si="58"/>
        <v>98.258487914360245</v>
      </c>
      <c r="AL41" s="106">
        <f t="shared" ref="AL41:AS41" si="103">$E41*I41</f>
        <v>9.4074260956971205</v>
      </c>
      <c r="AM41" s="106">
        <f t="shared" si="103"/>
        <v>1364.3992035759782</v>
      </c>
      <c r="AN41" s="106">
        <f t="shared" si="103"/>
        <v>0.48334038419321118</v>
      </c>
      <c r="AO41" s="106">
        <f t="shared" si="103"/>
        <v>36.388605412428177</v>
      </c>
      <c r="AP41" s="106">
        <f t="shared" si="103"/>
        <v>1.5103989403268918E-2</v>
      </c>
      <c r="AQ41" s="106">
        <f t="shared" si="103"/>
        <v>0.1728343090830286</v>
      </c>
      <c r="AR41" s="106">
        <f t="shared" si="103"/>
        <v>18.400477814757167</v>
      </c>
      <c r="AS41" s="106">
        <f t="shared" si="103"/>
        <v>3.8525539566892921</v>
      </c>
      <c r="AT41" s="106">
        <f t="shared" si="59"/>
        <v>1433.1195455382294</v>
      </c>
      <c r="AU41" s="106">
        <f t="shared" si="60"/>
        <v>1.522630647327414</v>
      </c>
      <c r="AV41" s="106">
        <f t="shared" si="61"/>
        <v>96.980375740783231</v>
      </c>
      <c r="AW41" s="106">
        <f t="shared" si="62"/>
        <v>31.779304949347235</v>
      </c>
      <c r="AX41" s="106">
        <f t="shared" ref="AX41:AX43" si="104">$E41*U41</f>
        <v>5.1801134564386384</v>
      </c>
      <c r="AY41" s="106">
        <f t="shared" ref="AY41:AY43" si="105">$E41*V41</f>
        <v>1.3810840615885108E-2</v>
      </c>
      <c r="AZ41" s="106">
        <f t="shared" ref="AZ41:AZ43" si="106">$E41*W41</f>
        <v>22.257369256198416</v>
      </c>
      <c r="BA41" s="106">
        <f t="shared" ref="BA41:BA43" si="107">$E41*X41</f>
        <v>6.5871935099738863</v>
      </c>
      <c r="BB41" s="106">
        <f t="shared" ref="BB41:BB43" si="108">$E41*Y41</f>
        <v>4.5057791603342006</v>
      </c>
      <c r="BC41" s="106">
        <f t="shared" ref="BC41:BC43" si="109">$E41*Z41</f>
        <v>1.1858394146203648E-2</v>
      </c>
      <c r="BD41" s="106">
        <f t="shared" ref="BD41:BD43" si="110">$E41*AA41</f>
        <v>6.7537529244490813</v>
      </c>
      <c r="BE41" s="106">
        <f t="shared" ref="BE41:BE43" si="111">$E41*AB41</f>
        <v>-6.3104619827989514E-3</v>
      </c>
      <c r="BF41" s="106">
        <f t="shared" ref="BF41:BF43" si="112">$E41*AC41</f>
        <v>1.4135573640981714E-5</v>
      </c>
      <c r="BG41" s="106">
        <f t="shared" ref="BG41:BG43" si="113">$E41*AD41</f>
        <v>0.11885864882966049</v>
      </c>
      <c r="BH41" s="106">
        <f t="shared" ref="BH41:BH43" si="114">$E41*AE41</f>
        <v>0.25623835755018259</v>
      </c>
      <c r="BI41" s="106">
        <f t="shared" ref="BI41:BI43" si="115">$E41*AF41</f>
        <v>0.24446642393336798</v>
      </c>
      <c r="BJ41" s="106">
        <f t="shared" ref="BJ41:BJ43" si="116">$E41*AG41</f>
        <v>1.4795160488929494E-2</v>
      </c>
      <c r="BK41" s="106">
        <f t="shared" ref="BK41:BK43" si="117">$E41*AH41</f>
        <v>2.5167821524762388</v>
      </c>
      <c r="BL41" s="210">
        <f t="shared" ref="BL41:BL43" si="118">$E41*AI41</f>
        <v>0.26937226137911208</v>
      </c>
    </row>
    <row r="42" spans="2:65" x14ac:dyDescent="0.25">
      <c r="B42" s="272"/>
      <c r="C42" s="106" t="s">
        <v>294</v>
      </c>
      <c r="D42" s="106" t="s">
        <v>356</v>
      </c>
      <c r="E42" s="106">
        <f>1*2</f>
        <v>2</v>
      </c>
      <c r="F42" s="106" t="str">
        <f t="shared" si="82"/>
        <v>per capita</v>
      </c>
      <c r="G42" s="106" t="str">
        <f>G33</f>
        <v>[10]</v>
      </c>
      <c r="H42" s="106">
        <f>Transport_5_Hubs!AT392</f>
        <v>141.69142489138042</v>
      </c>
      <c r="I42" s="106" t="s">
        <v>2</v>
      </c>
      <c r="J42" s="106" t="s">
        <v>2</v>
      </c>
      <c r="K42" s="106" t="s">
        <v>2</v>
      </c>
      <c r="L42" s="106" t="s">
        <v>2</v>
      </c>
      <c r="M42" s="106" t="s">
        <v>2</v>
      </c>
      <c r="N42" s="106" t="s">
        <v>2</v>
      </c>
      <c r="O42" s="106" t="s">
        <v>2</v>
      </c>
      <c r="P42" s="106" t="s">
        <v>2</v>
      </c>
      <c r="Q42" s="106">
        <f ca="1">Transport_5_Hubs!AU392</f>
        <v>1338.6310050030777</v>
      </c>
      <c r="R42" s="106">
        <f ca="1">Transport_5_Hubs!AV392</f>
        <v>0.61725354297597579</v>
      </c>
      <c r="S42" s="106">
        <f ca="1">Transport_5_Hubs!AW392</f>
        <v>130.28490041769899</v>
      </c>
      <c r="T42" s="106">
        <f ca="1">Transport_5_Hubs!AX392</f>
        <v>31.303930923145771</v>
      </c>
      <c r="U42" s="106">
        <f ca="1">Transport_5_Hubs!AY392</f>
        <v>0.19595325317306089</v>
      </c>
      <c r="V42" s="106">
        <f ca="1">Transport_5_Hubs!AZ392</f>
        <v>3.0794652637426466E-3</v>
      </c>
      <c r="W42" s="106">
        <f ca="1">Transport_5_Hubs!BA392</f>
        <v>4.8005527523607912</v>
      </c>
      <c r="X42" s="106">
        <f ca="1">Transport_5_Hubs!BB392</f>
        <v>6.6144005975965747</v>
      </c>
      <c r="Y42" s="106">
        <f ca="1">Transport_5_Hubs!BC392</f>
        <v>0.16922703790090088</v>
      </c>
      <c r="Z42" s="106">
        <f ca="1">Transport_5_Hubs!BD392</f>
        <v>0.13609230496714766</v>
      </c>
      <c r="AA42" s="106">
        <f ca="1">Transport_5_Hubs!BE392</f>
        <v>0.59883945094964697</v>
      </c>
      <c r="AB42" s="106">
        <f ca="1">Transport_5_Hubs!BF392</f>
        <v>3.2756172256071601E-2</v>
      </c>
      <c r="AC42" s="106">
        <f ca="1">Transport_5_Hubs!BG392</f>
        <v>1.5991511271697115E-5</v>
      </c>
      <c r="AD42" s="106">
        <f ca="1">Transport_5_Hubs!BH392</f>
        <v>5.2123544977797379E-2</v>
      </c>
      <c r="AE42" s="106">
        <f ca="1">Transport_5_Hubs!BI392</f>
        <v>0.15450553507379144</v>
      </c>
      <c r="AF42" s="106">
        <f ca="1">Transport_5_Hubs!BJ392</f>
        <v>4.0736328887620672E-3</v>
      </c>
      <c r="AG42" s="106">
        <f ca="1">Transport_5_Hubs!BK392</f>
        <v>2.4593265765317902E-3</v>
      </c>
      <c r="AH42" s="106">
        <f ca="1">Transport_5_Hubs!BL392</f>
        <v>0.34639259354895141</v>
      </c>
      <c r="AI42" s="210">
        <f ca="1">Transport_5_Hubs!BM392</f>
        <v>0.13538598324059198</v>
      </c>
      <c r="AK42" s="213">
        <f>$E42*H42</f>
        <v>283.38284978276084</v>
      </c>
      <c r="AL42" s="106" t="s">
        <v>2</v>
      </c>
      <c r="AM42" s="106" t="s">
        <v>2</v>
      </c>
      <c r="AN42" s="106" t="s">
        <v>2</v>
      </c>
      <c r="AO42" s="106" t="s">
        <v>2</v>
      </c>
      <c r="AP42" s="106" t="s">
        <v>2</v>
      </c>
      <c r="AQ42" s="106" t="s">
        <v>2</v>
      </c>
      <c r="AR42" s="106" t="s">
        <v>2</v>
      </c>
      <c r="AS42" s="106" t="s">
        <v>2</v>
      </c>
      <c r="AT42" s="106">
        <f t="shared" ca="1" si="59"/>
        <v>2677.2620100061554</v>
      </c>
      <c r="AU42" s="106">
        <f t="shared" ca="1" si="60"/>
        <v>1.2345070859519516</v>
      </c>
      <c r="AV42" s="106">
        <f t="shared" ca="1" si="61"/>
        <v>260.56980083539798</v>
      </c>
      <c r="AW42" s="106">
        <f t="shared" ca="1" si="62"/>
        <v>62.607861846291541</v>
      </c>
      <c r="AX42" s="106">
        <f t="shared" ca="1" si="104"/>
        <v>0.39190650634612179</v>
      </c>
      <c r="AY42" s="106">
        <f t="shared" ca="1" si="105"/>
        <v>6.1589305274852933E-3</v>
      </c>
      <c r="AZ42" s="106">
        <f t="shared" ca="1" si="106"/>
        <v>9.6011055047215823</v>
      </c>
      <c r="BA42" s="106">
        <f t="shared" ca="1" si="107"/>
        <v>13.228801195193149</v>
      </c>
      <c r="BB42" s="106">
        <f t="shared" ca="1" si="108"/>
        <v>0.33845407580180176</v>
      </c>
      <c r="BC42" s="106">
        <f t="shared" ca="1" si="109"/>
        <v>0.27218460993429533</v>
      </c>
      <c r="BD42" s="106">
        <f t="shared" ca="1" si="110"/>
        <v>1.1976789018992939</v>
      </c>
      <c r="BE42" s="106">
        <f t="shared" ca="1" si="111"/>
        <v>6.5512344512143203E-2</v>
      </c>
      <c r="BF42" s="106">
        <f t="shared" ca="1" si="112"/>
        <v>3.198302254339423E-5</v>
      </c>
      <c r="BG42" s="106">
        <f t="shared" ca="1" si="113"/>
        <v>0.10424708995559476</v>
      </c>
      <c r="BH42" s="106">
        <f t="shared" ca="1" si="114"/>
        <v>0.30901107014758289</v>
      </c>
      <c r="BI42" s="106">
        <f t="shared" ca="1" si="115"/>
        <v>8.1472657775241344E-3</v>
      </c>
      <c r="BJ42" s="106">
        <f t="shared" ca="1" si="116"/>
        <v>4.9186531530635803E-3</v>
      </c>
      <c r="BK42" s="106">
        <f t="shared" ca="1" si="117"/>
        <v>0.69278518709790282</v>
      </c>
      <c r="BL42" s="210">
        <f t="shared" ca="1" si="118"/>
        <v>0.27077196648118396</v>
      </c>
    </row>
    <row r="43" spans="2:65" x14ac:dyDescent="0.25">
      <c r="B43" s="272"/>
      <c r="C43" s="106" t="s">
        <v>571</v>
      </c>
      <c r="D43" s="106" t="str">
        <f>D34</f>
        <v>transport, passenger train, DE</v>
      </c>
      <c r="E43" s="106">
        <f>Transport_5_Hubs!AP392*2</f>
        <v>41.176668407310707</v>
      </c>
      <c r="F43" s="106" t="str">
        <f t="shared" si="82"/>
        <v>km per capita</v>
      </c>
      <c r="G43" s="106" t="s">
        <v>183</v>
      </c>
      <c r="H43" s="106">
        <f>H34</f>
        <v>7.4462E-2</v>
      </c>
      <c r="I43" s="106">
        <f t="shared" ref="I43:AI43" si="119">I34</f>
        <v>7.4462E-2</v>
      </c>
      <c r="J43" s="106">
        <f t="shared" ca="1" si="119"/>
        <v>0.87446999999999997</v>
      </c>
      <c r="K43" s="106">
        <f t="shared" ca="1" si="119"/>
        <v>4.2768999999999999E-4</v>
      </c>
      <c r="L43" s="106">
        <f t="shared" ca="1" si="119"/>
        <v>0.18787999999999999</v>
      </c>
      <c r="M43" s="106">
        <f t="shared" ca="1" si="119"/>
        <v>2.0060000000000001E-5</v>
      </c>
      <c r="N43" s="106">
        <f t="shared" ca="1" si="119"/>
        <v>2.8479999999999998E-5</v>
      </c>
      <c r="O43" s="106">
        <f t="shared" ca="1" si="119"/>
        <v>2.4888E-2</v>
      </c>
      <c r="P43" s="106">
        <f t="shared" ca="1" si="119"/>
        <v>7.2913000000000006E-2</v>
      </c>
      <c r="Q43" s="106">
        <f t="shared" ca="1" si="65"/>
        <v>1.23508923</v>
      </c>
      <c r="R43" s="106">
        <f t="shared" ca="1" si="119"/>
        <v>2.5566E-3</v>
      </c>
      <c r="S43" s="106">
        <f t="shared" ca="1" si="119"/>
        <v>7.3438000000000003E-2</v>
      </c>
      <c r="T43" s="106">
        <f t="shared" ca="1" si="119"/>
        <v>2.0743000000000001E-2</v>
      </c>
      <c r="U43" s="106">
        <f t="shared" ca="1" si="119"/>
        <v>1.8396E-3</v>
      </c>
      <c r="V43" s="106">
        <f t="shared" ca="1" si="119"/>
        <v>8.1093000000000004E-5</v>
      </c>
      <c r="W43" s="106">
        <f t="shared" ca="1" si="119"/>
        <v>5.0548999999999997E-2</v>
      </c>
      <c r="X43" s="106">
        <f t="shared" ca="1" si="119"/>
        <v>1.0624E-2</v>
      </c>
      <c r="Y43" s="106">
        <f t="shared" ca="1" si="119"/>
        <v>1.7136E-3</v>
      </c>
      <c r="Z43" s="106">
        <f t="shared" ca="1" si="119"/>
        <v>2.8504999999999999E-5</v>
      </c>
      <c r="AA43" s="106">
        <f t="shared" ca="1" si="119"/>
        <v>2.0625999999999999E-3</v>
      </c>
      <c r="AB43" s="106">
        <f t="shared" ca="1" si="119"/>
        <v>-6.9388999999999998E-6</v>
      </c>
      <c r="AC43" s="106">
        <f t="shared" ca="1" si="119"/>
        <v>3.6820999999999999E-9</v>
      </c>
      <c r="AD43" s="106">
        <f t="shared" ca="1" si="119"/>
        <v>1.1118E-4</v>
      </c>
      <c r="AE43" s="106">
        <f t="shared" ca="1" si="119"/>
        <v>2.9994E-4</v>
      </c>
      <c r="AF43" s="106">
        <f t="shared" ca="1" si="119"/>
        <v>2.3786E-4</v>
      </c>
      <c r="AG43" s="106">
        <f t="shared" ca="1" si="119"/>
        <v>2.7381000000000001E-6</v>
      </c>
      <c r="AH43" s="106">
        <f t="shared" ca="1" si="119"/>
        <v>2.2783E-3</v>
      </c>
      <c r="AI43" s="210">
        <f t="shared" ca="1" si="119"/>
        <v>2.8075000000000002E-4</v>
      </c>
      <c r="AK43" s="213">
        <f t="shared" si="58"/>
        <v>3.0660970829451699</v>
      </c>
      <c r="AL43" s="106">
        <f t="shared" ref="AL43" si="120">$E43*I43</f>
        <v>3.0660970829451699</v>
      </c>
      <c r="AM43" s="106">
        <f t="shared" ref="AM43" ca="1" si="121">$E43*J43</f>
        <v>36.007761222140992</v>
      </c>
      <c r="AN43" s="106">
        <f t="shared" ref="AN43" ca="1" si="122">$E43*K43</f>
        <v>1.7610849311122716E-2</v>
      </c>
      <c r="AO43" s="106">
        <f t="shared" ref="AO43" ca="1" si="123">$E43*L43</f>
        <v>7.7362724603655355</v>
      </c>
      <c r="AP43" s="106">
        <f t="shared" ref="AP43" ca="1" si="124">$E43*M43</f>
        <v>8.2600396825065279E-4</v>
      </c>
      <c r="AQ43" s="106">
        <f t="shared" ref="AQ43" ca="1" si="125">$E43*N43</f>
        <v>1.1727115162402089E-3</v>
      </c>
      <c r="AR43" s="106">
        <f t="shared" ref="AR43" ca="1" si="126">$E43*O43</f>
        <v>1.0248049233211489</v>
      </c>
      <c r="AS43" s="106">
        <f t="shared" ref="AS43" ca="1" si="127">$E43*P43</f>
        <v>3.0023144235822459</v>
      </c>
      <c r="AT43" s="106">
        <f t="shared" ca="1" si="59"/>
        <v>50.856859677150709</v>
      </c>
      <c r="AU43" s="106">
        <f t="shared" ca="1" si="60"/>
        <v>0.10527227045013056</v>
      </c>
      <c r="AV43" s="106">
        <f t="shared" ca="1" si="61"/>
        <v>3.0239321744960836</v>
      </c>
      <c r="AW43" s="106">
        <f t="shared" ca="1" si="62"/>
        <v>0.85412763277284609</v>
      </c>
      <c r="AX43" s="106">
        <f t="shared" ca="1" si="104"/>
        <v>7.5748599202088776E-2</v>
      </c>
      <c r="AY43" s="106">
        <f t="shared" ca="1" si="105"/>
        <v>3.3391395711540473E-3</v>
      </c>
      <c r="AZ43" s="106">
        <f t="shared" ca="1" si="106"/>
        <v>2.0814394113211487</v>
      </c>
      <c r="BA43" s="106">
        <f t="shared" ca="1" si="107"/>
        <v>0.43746092515926893</v>
      </c>
      <c r="BB43" s="106">
        <f t="shared" ca="1" si="108"/>
        <v>7.0560338982767631E-2</v>
      </c>
      <c r="BC43" s="106">
        <f t="shared" ca="1" si="109"/>
        <v>1.1737409329503916E-3</v>
      </c>
      <c r="BD43" s="106">
        <f t="shared" ca="1" si="110"/>
        <v>8.4930996256919064E-2</v>
      </c>
      <c r="BE43" s="106">
        <f t="shared" ca="1" si="111"/>
        <v>-2.8572078441148823E-4</v>
      </c>
      <c r="BF43" s="106">
        <f t="shared" ca="1" si="112"/>
        <v>1.5161661074255875E-7</v>
      </c>
      <c r="BG43" s="106">
        <f t="shared" ca="1" si="113"/>
        <v>4.5780219935248048E-3</v>
      </c>
      <c r="BH43" s="106">
        <f t="shared" ca="1" si="114"/>
        <v>1.2350529922088774E-2</v>
      </c>
      <c r="BI43" s="106">
        <f t="shared" ca="1" si="115"/>
        <v>9.7942823473629245E-3</v>
      </c>
      <c r="BJ43" s="106">
        <f t="shared" ca="1" si="116"/>
        <v>1.1274583576605745E-4</v>
      </c>
      <c r="BK43" s="106">
        <f t="shared" ca="1" si="117"/>
        <v>9.3812803632375985E-2</v>
      </c>
      <c r="BL43" s="210">
        <f t="shared" ca="1" si="118"/>
        <v>1.1560349655352482E-2</v>
      </c>
    </row>
    <row r="44" spans="2:65" x14ac:dyDescent="0.25">
      <c r="B44" s="272" t="s">
        <v>738</v>
      </c>
      <c r="C44" s="106" t="s">
        <v>293</v>
      </c>
      <c r="D44" s="106" t="s">
        <v>295</v>
      </c>
      <c r="E44" s="106">
        <f>Transport_6_Hubs!AP393*2</f>
        <v>297.65528459530015</v>
      </c>
      <c r="F44" s="106" t="str">
        <f t="shared" si="82"/>
        <v>km per capita</v>
      </c>
      <c r="G44" s="106" t="s">
        <v>183</v>
      </c>
      <c r="H44" s="106">
        <f>H32</f>
        <v>0.33979999999999999</v>
      </c>
      <c r="I44" s="106">
        <f t="shared" ref="I44:AI44" si="128">I32</f>
        <v>3.2532999999999999E-2</v>
      </c>
      <c r="J44" s="106">
        <f t="shared" si="128"/>
        <v>4.7183999999999999</v>
      </c>
      <c r="K44" s="106">
        <f t="shared" si="128"/>
        <v>1.6715E-3</v>
      </c>
      <c r="L44" s="106">
        <f t="shared" si="128"/>
        <v>0.12584000000000001</v>
      </c>
      <c r="M44" s="106">
        <f t="shared" si="128"/>
        <v>5.2232999999999999E-5</v>
      </c>
      <c r="N44" s="106">
        <f t="shared" si="128"/>
        <v>5.9770000000000005E-4</v>
      </c>
      <c r="O44" s="106">
        <f t="shared" si="128"/>
        <v>6.3632999999999995E-2</v>
      </c>
      <c r="P44" s="106">
        <f t="shared" si="128"/>
        <v>1.3323E-2</v>
      </c>
      <c r="Q44" s="106">
        <f t="shared" si="65"/>
        <v>4.9560504329999997</v>
      </c>
      <c r="R44" s="106">
        <f t="shared" si="128"/>
        <v>5.2655999999999996E-3</v>
      </c>
      <c r="S44" s="106">
        <f t="shared" si="128"/>
        <v>0.33538000000000001</v>
      </c>
      <c r="T44" s="106">
        <f t="shared" si="128"/>
        <v>0.1099</v>
      </c>
      <c r="U44" s="106">
        <f t="shared" si="128"/>
        <v>1.7913999999999999E-2</v>
      </c>
      <c r="V44" s="106">
        <f t="shared" si="128"/>
        <v>4.7760999999999999E-5</v>
      </c>
      <c r="W44" s="106">
        <f t="shared" si="128"/>
        <v>7.6970999999999998E-2</v>
      </c>
      <c r="X44" s="106">
        <f t="shared" si="128"/>
        <v>2.2780000000000002E-2</v>
      </c>
      <c r="Y44" s="106">
        <f t="shared" si="128"/>
        <v>1.5582E-2</v>
      </c>
      <c r="Z44" s="106">
        <f t="shared" si="128"/>
        <v>4.1009E-5</v>
      </c>
      <c r="AA44" s="106">
        <f t="shared" si="128"/>
        <v>2.3355999999999998E-2</v>
      </c>
      <c r="AB44" s="106">
        <f t="shared" si="128"/>
        <v>-2.1823000000000001E-5</v>
      </c>
      <c r="AC44" s="106">
        <f t="shared" si="128"/>
        <v>4.8884000000000003E-8</v>
      </c>
      <c r="AD44" s="106">
        <f t="shared" si="128"/>
        <v>4.1103999999999999E-4</v>
      </c>
      <c r="AE44" s="106">
        <f t="shared" si="128"/>
        <v>8.8612999999999995E-4</v>
      </c>
      <c r="AF44" s="106">
        <f t="shared" si="128"/>
        <v>8.4542000000000005E-4</v>
      </c>
      <c r="AG44" s="106">
        <f t="shared" si="128"/>
        <v>5.1165000000000002E-5</v>
      </c>
      <c r="AH44" s="106">
        <f t="shared" si="128"/>
        <v>8.7036000000000006E-3</v>
      </c>
      <c r="AI44" s="210">
        <f t="shared" si="128"/>
        <v>9.3154999999999996E-4</v>
      </c>
      <c r="AK44" s="213">
        <f t="shared" si="58"/>
        <v>101.14326570548299</v>
      </c>
      <c r="AL44" s="106">
        <f t="shared" ref="AL44:AS44" si="129">$E44*I44</f>
        <v>9.6836193737388996</v>
      </c>
      <c r="AM44" s="106">
        <f t="shared" si="129"/>
        <v>1404.4566948344641</v>
      </c>
      <c r="AN44" s="106">
        <f t="shared" si="129"/>
        <v>0.49753080820104423</v>
      </c>
      <c r="AO44" s="106">
        <f t="shared" si="129"/>
        <v>37.456941013472573</v>
      </c>
      <c r="AP44" s="106">
        <f t="shared" si="129"/>
        <v>1.5547428480266313E-2</v>
      </c>
      <c r="AQ44" s="106">
        <f t="shared" si="129"/>
        <v>0.17790856360261093</v>
      </c>
      <c r="AR44" s="106">
        <f t="shared" si="129"/>
        <v>18.940698724652734</v>
      </c>
      <c r="AS44" s="106">
        <f t="shared" si="129"/>
        <v>3.9656613566631838</v>
      </c>
      <c r="AT44" s="106">
        <f t="shared" si="59"/>
        <v>1475.1946021032754</v>
      </c>
      <c r="AU44" s="106">
        <f t="shared" si="60"/>
        <v>1.5673336665650124</v>
      </c>
      <c r="AV44" s="106">
        <f t="shared" si="61"/>
        <v>99.827629347571772</v>
      </c>
      <c r="AW44" s="106">
        <f t="shared" si="62"/>
        <v>32.712315777023484</v>
      </c>
      <c r="AX44" s="106">
        <f t="shared" ref="AX44:AX46" si="130">$E44*U44</f>
        <v>5.3321967682402063</v>
      </c>
      <c r="AY44" s="106">
        <f t="shared" ref="AY44:AY46" si="131">$E44*V44</f>
        <v>1.421631404755613E-2</v>
      </c>
      <c r="AZ44" s="106">
        <f t="shared" ref="AZ44:AZ46" si="132">$E44*W44</f>
        <v>22.910824910584846</v>
      </c>
      <c r="BA44" s="106">
        <f t="shared" ref="BA44:BA46" si="133">$E44*X44</f>
        <v>6.7805873830809382</v>
      </c>
      <c r="BB44" s="106">
        <f t="shared" ref="BB44:BB46" si="134">$E44*Y44</f>
        <v>4.6380646445639666</v>
      </c>
      <c r="BC44" s="106">
        <f t="shared" ref="BC44:BC46" si="135">$E44*Z44</f>
        <v>1.2206545565968663E-2</v>
      </c>
      <c r="BD44" s="106">
        <f t="shared" ref="BD44:BD46" si="136">$E44*AA44</f>
        <v>6.9520368270078299</v>
      </c>
      <c r="BE44" s="106">
        <f t="shared" ref="BE44:BE46" si="137">$E44*AB44</f>
        <v>-6.4957312757232353E-3</v>
      </c>
      <c r="BF44" s="106">
        <f t="shared" ref="BF44:BF46" si="138">$E44*AC44</f>
        <v>1.4550580932156653E-5</v>
      </c>
      <c r="BG44" s="106">
        <f t="shared" ref="BG44:BG46" si="139">$E44*AD44</f>
        <v>0.12234822818005217</v>
      </c>
      <c r="BH44" s="106">
        <f t="shared" ref="BH44:BH46" si="140">$E44*AE44</f>
        <v>0.2637612773384333</v>
      </c>
      <c r="BI44" s="106">
        <f t="shared" ref="BI44:BI46" si="141">$E44*AF44</f>
        <v>0.25164373070255869</v>
      </c>
      <c r="BJ44" s="106">
        <f t="shared" ref="BJ44:BJ46" si="142">$E44*AG44</f>
        <v>1.5229532636318533E-2</v>
      </c>
      <c r="BK44" s="106">
        <f t="shared" ref="BK44:BK46" si="143">$E44*AH44</f>
        <v>2.5906725350036544</v>
      </c>
      <c r="BL44" s="210">
        <f t="shared" ref="BL44:BL46" si="144">$E44*AI44</f>
        <v>0.27728078036475184</v>
      </c>
    </row>
    <row r="45" spans="2:65" x14ac:dyDescent="0.25">
      <c r="B45" s="272"/>
      <c r="C45" s="106" t="s">
        <v>294</v>
      </c>
      <c r="D45" s="106" t="s">
        <v>356</v>
      </c>
      <c r="E45" s="106">
        <f>1*2</f>
        <v>2</v>
      </c>
      <c r="F45" s="106" t="str">
        <f t="shared" si="82"/>
        <v>per capita</v>
      </c>
      <c r="G45" s="106" t="str">
        <f>G33</f>
        <v>[10]</v>
      </c>
      <c r="H45" s="106">
        <f>Transport_6_Hubs!AT392</f>
        <v>124.40488641048005</v>
      </c>
      <c r="I45" s="106" t="s">
        <v>2</v>
      </c>
      <c r="J45" s="106" t="s">
        <v>2</v>
      </c>
      <c r="K45" s="106" t="s">
        <v>2</v>
      </c>
      <c r="L45" s="106" t="s">
        <v>2</v>
      </c>
      <c r="M45" s="106" t="s">
        <v>2</v>
      </c>
      <c r="N45" s="106" t="s">
        <v>2</v>
      </c>
      <c r="O45" s="106" t="s">
        <v>2</v>
      </c>
      <c r="P45" s="106" t="s">
        <v>2</v>
      </c>
      <c r="Q45" s="106">
        <f ca="1">Transport_6_Hubs!AU392</f>
        <v>1181.9960724287457</v>
      </c>
      <c r="R45" s="106">
        <f ca="1">Transport_6_Hubs!AV392</f>
        <v>0.55460931294211713</v>
      </c>
      <c r="S45" s="106">
        <f ca="1">Transport_6_Hubs!AW392</f>
        <v>114.91382174288215</v>
      </c>
      <c r="T45" s="106">
        <f ca="1">Transport_6_Hubs!AX392</f>
        <v>27.588714849377212</v>
      </c>
      <c r="U45" s="106">
        <f ca="1">Transport_6_Hubs!AY392</f>
        <v>0.15113678300810096</v>
      </c>
      <c r="V45" s="106">
        <f ca="1">Transport_6_Hubs!AZ392</f>
        <v>3.2605536952112634E-3</v>
      </c>
      <c r="W45" s="106">
        <f ca="1">Transport_6_Hubs!BA392</f>
        <v>4.4871138378391935</v>
      </c>
      <c r="X45" s="106">
        <f ca="1">Transport_6_Hubs!BB392</f>
        <v>5.8808663543871322</v>
      </c>
      <c r="Y45" s="106">
        <f ca="1">Transport_6_Hubs!BC392</f>
        <v>0.13129962859025984</v>
      </c>
      <c r="Z45" s="106">
        <f ca="1">Transport_6_Hubs!BD392</f>
        <v>0.12039885528828542</v>
      </c>
      <c r="AA45" s="106">
        <f ca="1">Transport_6_Hubs!BE392</f>
        <v>0.49786389158968336</v>
      </c>
      <c r="AB45" s="106">
        <f ca="1">Transport_6_Hubs!BF392</f>
        <v>2.8923358412378756E-2</v>
      </c>
      <c r="AC45" s="106">
        <f ca="1">Transport_6_Hubs!BG392</f>
        <v>1.4053972693915821E-5</v>
      </c>
      <c r="AD45" s="106">
        <f ca="1">Transport_6_Hubs!BH392</f>
        <v>4.6117232179163768E-2</v>
      </c>
      <c r="AE45" s="106">
        <f ca="1">Transport_6_Hubs!BI392</f>
        <v>0.1372231395169399</v>
      </c>
      <c r="AF45" s="106">
        <f ca="1">Transport_6_Hubs!BJ392</f>
        <v>3.7408536331261619E-3</v>
      </c>
      <c r="AG45" s="106">
        <f ca="1">Transport_6_Hubs!BK392</f>
        <v>2.0926218529329545E-3</v>
      </c>
      <c r="AH45" s="106">
        <f ca="1">Transport_6_Hubs!BL392</f>
        <v>0.30657213330924815</v>
      </c>
      <c r="AI45" s="210">
        <f ca="1">Transport_6_Hubs!BM392</f>
        <v>0.12001524266646015</v>
      </c>
      <c r="AK45" s="213">
        <f t="shared" si="58"/>
        <v>248.80977282096009</v>
      </c>
      <c r="AL45" s="106" t="s">
        <v>2</v>
      </c>
      <c r="AM45" s="106" t="s">
        <v>2</v>
      </c>
      <c r="AN45" s="106" t="s">
        <v>2</v>
      </c>
      <c r="AO45" s="106" t="s">
        <v>2</v>
      </c>
      <c r="AP45" s="106" t="s">
        <v>2</v>
      </c>
      <c r="AQ45" s="106" t="s">
        <v>2</v>
      </c>
      <c r="AR45" s="106" t="s">
        <v>2</v>
      </c>
      <c r="AS45" s="106" t="s">
        <v>2</v>
      </c>
      <c r="AT45" s="106">
        <f t="shared" ca="1" si="59"/>
        <v>2363.9921448574914</v>
      </c>
      <c r="AU45" s="106">
        <f t="shared" ca="1" si="60"/>
        <v>1.1092186258842343</v>
      </c>
      <c r="AV45" s="106">
        <f t="shared" ca="1" si="61"/>
        <v>229.8276434857643</v>
      </c>
      <c r="AW45" s="106">
        <f t="shared" ca="1" si="62"/>
        <v>55.177429698754423</v>
      </c>
      <c r="AX45" s="106">
        <f t="shared" ca="1" si="130"/>
        <v>0.30227356601620192</v>
      </c>
      <c r="AY45" s="106">
        <f t="shared" ca="1" si="131"/>
        <v>6.5211073904225267E-3</v>
      </c>
      <c r="AZ45" s="106">
        <f t="shared" ca="1" si="132"/>
        <v>8.974227675678387</v>
      </c>
      <c r="BA45" s="106">
        <f t="shared" ca="1" si="133"/>
        <v>11.761732708774264</v>
      </c>
      <c r="BB45" s="106">
        <f t="shared" ca="1" si="134"/>
        <v>0.26259925718051969</v>
      </c>
      <c r="BC45" s="106">
        <f t="shared" ca="1" si="135"/>
        <v>0.24079771057657084</v>
      </c>
      <c r="BD45" s="106">
        <f t="shared" ca="1" si="136"/>
        <v>0.99572778317936672</v>
      </c>
      <c r="BE45" s="106">
        <f t="shared" ca="1" si="137"/>
        <v>5.7846716824757512E-2</v>
      </c>
      <c r="BF45" s="106">
        <f t="shared" ca="1" si="138"/>
        <v>2.8107945387831642E-5</v>
      </c>
      <c r="BG45" s="106">
        <f t="shared" ca="1" si="139"/>
        <v>9.2234464358327536E-2</v>
      </c>
      <c r="BH45" s="106">
        <f t="shared" ca="1" si="140"/>
        <v>0.2744462790338798</v>
      </c>
      <c r="BI45" s="106">
        <f t="shared" ca="1" si="141"/>
        <v>7.4817072662523238E-3</v>
      </c>
      <c r="BJ45" s="106">
        <f t="shared" ca="1" si="142"/>
        <v>4.1852437058659091E-3</v>
      </c>
      <c r="BK45" s="106">
        <f t="shared" ca="1" si="143"/>
        <v>0.6131442666184963</v>
      </c>
      <c r="BL45" s="210">
        <f t="shared" ca="1" si="144"/>
        <v>0.24003048533292029</v>
      </c>
    </row>
    <row r="46" spans="2:65" x14ac:dyDescent="0.25">
      <c r="B46" s="275"/>
      <c r="C46" s="187" t="s">
        <v>571</v>
      </c>
      <c r="D46" s="187" t="s">
        <v>572</v>
      </c>
      <c r="E46" s="187">
        <f>Transport_6_Hubs!AP392*2</f>
        <v>41.176668407310707</v>
      </c>
      <c r="F46" s="187" t="str">
        <f t="shared" si="82"/>
        <v>km per capita</v>
      </c>
      <c r="G46" s="187" t="s">
        <v>183</v>
      </c>
      <c r="H46" s="187">
        <f>H34</f>
        <v>7.4462E-2</v>
      </c>
      <c r="I46" s="187">
        <f t="shared" ref="I46:AI46" si="145">I34</f>
        <v>7.4462E-2</v>
      </c>
      <c r="J46" s="187">
        <f t="shared" ca="1" si="145"/>
        <v>0.87446999999999997</v>
      </c>
      <c r="K46" s="187">
        <f t="shared" ca="1" si="145"/>
        <v>4.2768999999999999E-4</v>
      </c>
      <c r="L46" s="187">
        <f t="shared" ca="1" si="145"/>
        <v>0.18787999999999999</v>
      </c>
      <c r="M46" s="187">
        <f t="shared" ca="1" si="145"/>
        <v>2.0060000000000001E-5</v>
      </c>
      <c r="N46" s="187">
        <f t="shared" ca="1" si="145"/>
        <v>2.8479999999999998E-5</v>
      </c>
      <c r="O46" s="187">
        <f t="shared" ca="1" si="145"/>
        <v>2.4888E-2</v>
      </c>
      <c r="P46" s="187">
        <f t="shared" ca="1" si="145"/>
        <v>7.2913000000000006E-2</v>
      </c>
      <c r="Q46" s="187">
        <f t="shared" ca="1" si="65"/>
        <v>1.23508923</v>
      </c>
      <c r="R46" s="187">
        <f t="shared" ca="1" si="145"/>
        <v>2.5566E-3</v>
      </c>
      <c r="S46" s="187">
        <f t="shared" ca="1" si="145"/>
        <v>7.3438000000000003E-2</v>
      </c>
      <c r="T46" s="187">
        <f t="shared" ca="1" si="145"/>
        <v>2.0743000000000001E-2</v>
      </c>
      <c r="U46" s="187">
        <f t="shared" ca="1" si="145"/>
        <v>1.8396E-3</v>
      </c>
      <c r="V46" s="187">
        <f t="shared" ca="1" si="145"/>
        <v>8.1093000000000004E-5</v>
      </c>
      <c r="W46" s="187">
        <f t="shared" ca="1" si="145"/>
        <v>5.0548999999999997E-2</v>
      </c>
      <c r="X46" s="187">
        <f t="shared" ca="1" si="145"/>
        <v>1.0624E-2</v>
      </c>
      <c r="Y46" s="187">
        <f t="shared" ca="1" si="145"/>
        <v>1.7136E-3</v>
      </c>
      <c r="Z46" s="187">
        <f t="shared" ca="1" si="145"/>
        <v>2.8504999999999999E-5</v>
      </c>
      <c r="AA46" s="187">
        <f t="shared" ca="1" si="145"/>
        <v>2.0625999999999999E-3</v>
      </c>
      <c r="AB46" s="187">
        <f t="shared" ca="1" si="145"/>
        <v>-6.9388999999999998E-6</v>
      </c>
      <c r="AC46" s="187">
        <f t="shared" ca="1" si="145"/>
        <v>3.6820999999999999E-9</v>
      </c>
      <c r="AD46" s="187">
        <f t="shared" ca="1" si="145"/>
        <v>1.1118E-4</v>
      </c>
      <c r="AE46" s="187">
        <f t="shared" ca="1" si="145"/>
        <v>2.9994E-4</v>
      </c>
      <c r="AF46" s="187">
        <f t="shared" ca="1" si="145"/>
        <v>2.3786E-4</v>
      </c>
      <c r="AG46" s="187">
        <f t="shared" ca="1" si="145"/>
        <v>2.7381000000000001E-6</v>
      </c>
      <c r="AH46" s="187">
        <f t="shared" ca="1" si="145"/>
        <v>2.2783E-3</v>
      </c>
      <c r="AI46" s="212">
        <f t="shared" ca="1" si="145"/>
        <v>2.8075000000000002E-4</v>
      </c>
      <c r="AK46" s="211">
        <f t="shared" si="58"/>
        <v>3.0660970829451699</v>
      </c>
      <c r="AL46" s="187">
        <f t="shared" ref="AL46" si="146">$E46*I46</f>
        <v>3.0660970829451699</v>
      </c>
      <c r="AM46" s="187">
        <f t="shared" ref="AM46" ca="1" si="147">$E46*J46</f>
        <v>36.007761222140992</v>
      </c>
      <c r="AN46" s="187">
        <f t="shared" ref="AN46" ca="1" si="148">$E46*K46</f>
        <v>1.7610849311122716E-2</v>
      </c>
      <c r="AO46" s="187">
        <f t="shared" ref="AO46" ca="1" si="149">$E46*L46</f>
        <v>7.7362724603655355</v>
      </c>
      <c r="AP46" s="187">
        <f t="shared" ref="AP46" ca="1" si="150">$E46*M46</f>
        <v>8.2600396825065279E-4</v>
      </c>
      <c r="AQ46" s="187">
        <f t="shared" ref="AQ46" ca="1" si="151">$E46*N46</f>
        <v>1.1727115162402089E-3</v>
      </c>
      <c r="AR46" s="187">
        <f t="shared" ref="AR46" ca="1" si="152">$E46*O46</f>
        <v>1.0248049233211489</v>
      </c>
      <c r="AS46" s="187">
        <f t="shared" ref="AS46" ca="1" si="153">$E46*P46</f>
        <v>3.0023144235822459</v>
      </c>
      <c r="AT46" s="187">
        <f t="shared" ca="1" si="59"/>
        <v>50.856859677150709</v>
      </c>
      <c r="AU46" s="187">
        <f t="shared" ca="1" si="60"/>
        <v>0.10527227045013056</v>
      </c>
      <c r="AV46" s="187">
        <f t="shared" ca="1" si="61"/>
        <v>3.0239321744960836</v>
      </c>
      <c r="AW46" s="187">
        <f t="shared" ca="1" si="62"/>
        <v>0.85412763277284609</v>
      </c>
      <c r="AX46" s="187">
        <f t="shared" ca="1" si="130"/>
        <v>7.5748599202088776E-2</v>
      </c>
      <c r="AY46" s="187">
        <f t="shared" ca="1" si="131"/>
        <v>3.3391395711540473E-3</v>
      </c>
      <c r="AZ46" s="187">
        <f t="shared" ca="1" si="132"/>
        <v>2.0814394113211487</v>
      </c>
      <c r="BA46" s="187">
        <f t="shared" ca="1" si="133"/>
        <v>0.43746092515926893</v>
      </c>
      <c r="BB46" s="187">
        <f t="shared" ca="1" si="134"/>
        <v>7.0560338982767631E-2</v>
      </c>
      <c r="BC46" s="187">
        <f t="shared" ca="1" si="135"/>
        <v>1.1737409329503916E-3</v>
      </c>
      <c r="BD46" s="187">
        <f t="shared" ca="1" si="136"/>
        <v>8.4930996256919064E-2</v>
      </c>
      <c r="BE46" s="187">
        <f t="shared" ca="1" si="137"/>
        <v>-2.8572078441148823E-4</v>
      </c>
      <c r="BF46" s="187">
        <f t="shared" ca="1" si="138"/>
        <v>1.5161661074255875E-7</v>
      </c>
      <c r="BG46" s="187">
        <f t="shared" ca="1" si="139"/>
        <v>4.5780219935248048E-3</v>
      </c>
      <c r="BH46" s="187">
        <f t="shared" ca="1" si="140"/>
        <v>1.2350529922088774E-2</v>
      </c>
      <c r="BI46" s="187">
        <f t="shared" ca="1" si="141"/>
        <v>9.7942823473629245E-3</v>
      </c>
      <c r="BJ46" s="187">
        <f t="shared" ca="1" si="142"/>
        <v>1.1274583576605745E-4</v>
      </c>
      <c r="BK46" s="187">
        <f t="shared" ca="1" si="143"/>
        <v>9.3812803632375985E-2</v>
      </c>
      <c r="BL46" s="212">
        <f t="shared" ca="1" si="144"/>
        <v>1.1560349655352482E-2</v>
      </c>
    </row>
    <row r="47" spans="2:65" x14ac:dyDescent="0.25">
      <c r="B47" s="216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06"/>
      <c r="AV47" s="137"/>
      <c r="AW47" s="137"/>
      <c r="AX47" s="106"/>
      <c r="AY47" s="106"/>
      <c r="AZ47" s="106"/>
      <c r="BA47" s="137"/>
      <c r="BB47" s="106"/>
      <c r="BC47" s="137"/>
      <c r="BD47" s="106"/>
      <c r="BE47" s="137"/>
      <c r="BF47" s="137"/>
      <c r="BG47" s="106"/>
      <c r="BH47" s="106"/>
      <c r="BI47" s="106"/>
      <c r="BJ47" s="106"/>
      <c r="BK47" s="106"/>
      <c r="BL47" s="106"/>
    </row>
    <row r="48" spans="2:65" x14ac:dyDescent="0.25">
      <c r="B48" s="137"/>
      <c r="C48" s="137"/>
      <c r="D48" s="137"/>
      <c r="E48" s="137"/>
      <c r="F48" s="137"/>
      <c r="G48" s="207" t="s">
        <v>264</v>
      </c>
      <c r="H48" s="208" t="s">
        <v>776</v>
      </c>
      <c r="I48" s="208" t="str">
        <f t="shared" ref="I48:AA48" si="154">Q2</f>
        <v>CED</v>
      </c>
      <c r="J48" s="208" t="str">
        <f t="shared" si="154"/>
        <v>ALOP</v>
      </c>
      <c r="K48" s="208" t="str">
        <f t="shared" si="154"/>
        <v>GWP100</v>
      </c>
      <c r="L48" s="208" t="str">
        <f t="shared" si="154"/>
        <v>FDP</v>
      </c>
      <c r="M48" s="208" t="str">
        <f t="shared" si="154"/>
        <v>FETPinf</v>
      </c>
      <c r="N48" s="208" t="str">
        <f t="shared" si="154"/>
        <v>FEP</v>
      </c>
      <c r="O48" s="208" t="str">
        <f t="shared" si="154"/>
        <v>HTPinf</v>
      </c>
      <c r="P48" s="208" t="str">
        <f t="shared" si="154"/>
        <v>IRP_HE</v>
      </c>
      <c r="Q48" s="208" t="str">
        <f t="shared" si="154"/>
        <v>METPinf</v>
      </c>
      <c r="R48" s="208" t="str">
        <f t="shared" si="154"/>
        <v>MEP</v>
      </c>
      <c r="S48" s="208" t="str">
        <f t="shared" si="154"/>
        <v>MDP</v>
      </c>
      <c r="T48" s="208" t="str">
        <f t="shared" si="154"/>
        <v>NLTP</v>
      </c>
      <c r="U48" s="208" t="str">
        <f t="shared" si="154"/>
        <v>ODPinf</v>
      </c>
      <c r="V48" s="208" t="str">
        <f t="shared" si="154"/>
        <v>PMFP</v>
      </c>
      <c r="W48" s="208" t="str">
        <f t="shared" si="154"/>
        <v>POFP</v>
      </c>
      <c r="X48" s="208" t="str">
        <f t="shared" si="154"/>
        <v>TAP100</v>
      </c>
      <c r="Y48" s="208" t="str">
        <f t="shared" si="154"/>
        <v>TETPinf</v>
      </c>
      <c r="Z48" s="208" t="str">
        <f t="shared" si="154"/>
        <v>ULOP</v>
      </c>
      <c r="AA48" s="209" t="str">
        <f t="shared" si="154"/>
        <v>WDP</v>
      </c>
      <c r="AB48" s="137"/>
      <c r="AC48" s="137"/>
      <c r="AD48" s="137"/>
      <c r="AE48" s="137"/>
      <c r="AF48" s="137"/>
      <c r="AG48" s="137"/>
      <c r="AH48" s="137"/>
      <c r="AI48" s="137"/>
      <c r="AX48" s="136"/>
      <c r="AY48" s="136"/>
      <c r="AZ48" s="136"/>
    </row>
    <row r="49" spans="2:64" x14ac:dyDescent="0.25">
      <c r="B49" s="137"/>
      <c r="C49" s="137"/>
      <c r="D49" s="137"/>
      <c r="E49" s="137"/>
      <c r="G49" s="213" t="s">
        <v>775</v>
      </c>
      <c r="H49" s="106">
        <f>'1_hub_LCIA'!H20</f>
        <v>839.63096223972445</v>
      </c>
      <c r="I49" s="106">
        <f ca="1">'1_hub_LCIA'!Q20</f>
        <v>9492.5484022307846</v>
      </c>
      <c r="J49" s="106">
        <f ca="1">'1_hub_LCIA'!R20</f>
        <v>98.751884656570581</v>
      </c>
      <c r="K49" s="106">
        <f ca="1">'1_hub_LCIA'!S20</f>
        <v>835.1547852269548</v>
      </c>
      <c r="L49" s="106">
        <f ca="1">'1_hub_LCIA'!T20</f>
        <v>203.0970641520577</v>
      </c>
      <c r="M49" s="106">
        <f ca="1">'1_hub_LCIA'!U20</f>
        <v>7.3340247104370269</v>
      </c>
      <c r="N49" s="106">
        <f ca="1">'1_hub_LCIA'!V20</f>
        <v>7.7123732628094299E-2</v>
      </c>
      <c r="O49" s="106">
        <f ca="1">'1_hub_LCIA'!W20</f>
        <v>80.94774401976575</v>
      </c>
      <c r="P49" s="106">
        <f ca="1">'1_hub_LCIA'!X20</f>
        <v>64.379260977514377</v>
      </c>
      <c r="Q49" s="106">
        <f ca="1">'1_hub_LCIA'!Y20</f>
        <v>6.2886269116430764</v>
      </c>
      <c r="R49" s="106">
        <f ca="1">'1_hub_LCIA'!Z20</f>
        <v>0.89315592236092667</v>
      </c>
      <c r="S49" s="106">
        <f ca="1">'1_hub_LCIA'!AA20</f>
        <v>8.5199631564538745</v>
      </c>
      <c r="T49" s="106">
        <f ca="1">'1_hub_LCIA'!AB20</f>
        <v>0.15619277227042036</v>
      </c>
      <c r="U49" s="106">
        <f ca="1">'1_hub_LCIA'!AC20</f>
        <v>9.2236734904659889E-5</v>
      </c>
      <c r="V49" s="106">
        <f ca="1">'1_hub_LCIA'!AD20</f>
        <v>0.51237003312789686</v>
      </c>
      <c r="W49" s="106">
        <f ca="1">'1_hub_LCIA'!AE20</f>
        <v>1.0529250955862575</v>
      </c>
      <c r="X49" s="106">
        <f ca="1">'1_hub_LCIA'!AF20</f>
        <v>0.61091967120362822</v>
      </c>
      <c r="Y49" s="106">
        <f ca="1">'1_hub_LCIA'!AG20</f>
        <v>0.31274997112779346</v>
      </c>
      <c r="Z49" s="106">
        <f ca="1">'1_hub_LCIA'!AH20</f>
        <v>3.7780033301509506</v>
      </c>
      <c r="AA49" s="210">
        <f ca="1">'1_hub_LCIA'!AI20</f>
        <v>2.7931362155004957</v>
      </c>
      <c r="AB49" s="137"/>
      <c r="AC49" s="137"/>
      <c r="AD49" s="137"/>
      <c r="AE49" s="137"/>
      <c r="AF49" s="137"/>
      <c r="AG49" s="137"/>
      <c r="AH49" s="137"/>
      <c r="AI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</row>
    <row r="50" spans="2:64" x14ac:dyDescent="0.25">
      <c r="B50" s="137"/>
      <c r="C50" s="137"/>
      <c r="D50" s="137"/>
      <c r="E50" s="137"/>
      <c r="F50" s="137"/>
      <c r="G50" s="213" t="s">
        <v>593</v>
      </c>
      <c r="H50" s="106">
        <f>Virtual_LCIA!H35</f>
        <v>54.754055475140696</v>
      </c>
      <c r="I50" s="106">
        <f>Virtual_LCIA!Q35</f>
        <v>915.6940864914053</v>
      </c>
      <c r="J50" s="106">
        <f>Virtual_LCIA!R35</f>
        <v>56.694268163118743</v>
      </c>
      <c r="K50" s="106">
        <f>Virtual_LCIA!S35</f>
        <v>52.311257617904594</v>
      </c>
      <c r="L50" s="106">
        <f>Virtual_LCIA!T35</f>
        <v>14.75453828714514</v>
      </c>
      <c r="M50" s="106">
        <f>Virtual_LCIA!U35</f>
        <v>2.0444504574458944</v>
      </c>
      <c r="N50" s="106">
        <f>Virtual_LCIA!V35</f>
        <v>3.0614548460969886E-2</v>
      </c>
      <c r="O50" s="106">
        <f>Virtual_LCIA!W35</f>
        <v>27.575846243776091</v>
      </c>
      <c r="P50" s="106">
        <f>Virtual_LCIA!X35</f>
        <v>10.622381356286855</v>
      </c>
      <c r="Q50" s="106">
        <f>Virtual_LCIA!Y35</f>
        <v>1.7335422953386868</v>
      </c>
      <c r="R50" s="106">
        <f>Virtual_LCIA!Z35</f>
        <v>0.10590037330552124</v>
      </c>
      <c r="S50" s="106">
        <f>Virtual_LCIA!AA35</f>
        <v>1.3205280511682327</v>
      </c>
      <c r="T50" s="106">
        <f>Virtual_LCIA!AB35</f>
        <v>-3.3628218197952267E-3</v>
      </c>
      <c r="U50" s="106">
        <f>Virtual_LCIA!AC35</f>
        <v>2.5612775031483046E-6</v>
      </c>
      <c r="V50" s="106">
        <f>Virtual_LCIA!AD35</f>
        <v>0.1113552272300412</v>
      </c>
      <c r="W50" s="106">
        <f>Virtual_LCIA!AE35</f>
        <v>0.11916323855883729</v>
      </c>
      <c r="X50" s="106">
        <f>Virtual_LCIA!AF35</f>
        <v>0.22652374523579838</v>
      </c>
      <c r="Y50" s="106">
        <f>Virtual_LCIA!AG35</f>
        <v>0.2028959148467484</v>
      </c>
      <c r="Z50" s="106">
        <f>Virtual_LCIA!AH35</f>
        <v>0.39013951665682722</v>
      </c>
      <c r="AA50" s="210">
        <f>Virtual_LCIA!AI35</f>
        <v>1.4379865196310984</v>
      </c>
      <c r="AB50" s="137"/>
      <c r="AC50" s="137"/>
      <c r="AD50" s="137"/>
      <c r="AE50" s="137"/>
      <c r="AF50" s="137"/>
      <c r="AG50" s="137"/>
      <c r="AH50" s="137"/>
      <c r="AI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</row>
    <row r="51" spans="2:64" x14ac:dyDescent="0.25">
      <c r="B51" s="137"/>
      <c r="C51" s="137"/>
      <c r="D51" s="137"/>
      <c r="E51" s="137"/>
      <c r="F51" s="137"/>
      <c r="G51" s="213" t="s">
        <v>594</v>
      </c>
      <c r="H51" s="106">
        <f>SUM(AK3:AK4,AK9:AK13,AK18:AK21, AK26:AK27,AK32:AK34)</f>
        <v>682.28532815018957</v>
      </c>
      <c r="I51" s="106">
        <f ca="1">SUM(AT3:AT4,AT9:AT13,AT18:AT21, AT26:AT27,AT32:AT34)</f>
        <v>8012.1326540965601</v>
      </c>
      <c r="J51" s="106">
        <f t="shared" ref="J51:AA51" ca="1" si="155">SUM(AU3:AU4,AU9:AU13,AU18:AU21, AU26:AU27,AU32:AU34)</f>
        <v>97.576156574485736</v>
      </c>
      <c r="K51" s="106">
        <f t="shared" ca="1" si="155"/>
        <v>677.82800438780896</v>
      </c>
      <c r="L51" s="106">
        <f t="shared" ca="1" si="155"/>
        <v>168.36310528553528</v>
      </c>
      <c r="M51" s="106">
        <f t="shared" ca="1" si="155"/>
        <v>7.3448014098201986</v>
      </c>
      <c r="N51" s="106">
        <f ca="1">SUM(AY3:AY4,AY9:AY13,AY18:AY21, AY26:AY27,AY32:AY34)</f>
        <v>7.9664432950809369E-2</v>
      </c>
      <c r="O51" s="106">
        <f t="shared" ca="1" si="155"/>
        <v>79.950458892819441</v>
      </c>
      <c r="P51" s="106">
        <f t="shared" ca="1" si="155"/>
        <v>55.928202697500751</v>
      </c>
      <c r="Q51" s="106">
        <f t="shared" ca="1" si="155"/>
        <v>6.3204472267582297</v>
      </c>
      <c r="R51" s="106">
        <f t="shared" ca="1" si="155"/>
        <v>0.70785725486976903</v>
      </c>
      <c r="S51" s="106">
        <f t="shared" ca="1" si="155"/>
        <v>8.1232458647943346</v>
      </c>
      <c r="T51" s="106">
        <f t="shared" ca="1" si="155"/>
        <v>0.11939479896407246</v>
      </c>
      <c r="U51" s="106">
        <f t="shared" ca="1" si="155"/>
        <v>7.4505198808168108E-5</v>
      </c>
      <c r="V51" s="106">
        <f t="shared" ca="1" si="155"/>
        <v>0.46550758460922942</v>
      </c>
      <c r="W51" s="106">
        <f t="shared" ca="1" si="155"/>
        <v>0.95476015422581861</v>
      </c>
      <c r="X51" s="106">
        <f t="shared" ca="1" si="155"/>
        <v>0.60315552934458194</v>
      </c>
      <c r="Y51" s="106">
        <f t="shared" ca="1" si="155"/>
        <v>0.30804562721118367</v>
      </c>
      <c r="Z51" s="106">
        <f t="shared" ca="1" si="155"/>
        <v>3.6210412095301812</v>
      </c>
      <c r="AA51" s="210">
        <f t="shared" ca="1" si="155"/>
        <v>2.6723706345505644</v>
      </c>
      <c r="AB51" s="137"/>
      <c r="AC51" s="137"/>
      <c r="AD51" s="137"/>
      <c r="AE51" s="137"/>
      <c r="AF51" s="137"/>
      <c r="AG51" s="137"/>
      <c r="AH51" s="137"/>
      <c r="AI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</row>
    <row r="52" spans="2:64" x14ac:dyDescent="0.25">
      <c r="B52" s="137"/>
      <c r="C52" s="137"/>
      <c r="D52" s="137"/>
      <c r="E52" s="137"/>
      <c r="F52" s="137"/>
      <c r="G52" s="213" t="s">
        <v>595</v>
      </c>
      <c r="H52" s="106">
        <f>SUM(AK3,AK5,AK9:AK12,AK14,AK18:AK20,AK22,AK26,AK28,AK35:AK37)</f>
        <v>568.09303518054969</v>
      </c>
      <c r="I52" s="106">
        <f ca="1">SUM(AT3,AT5,AT9:AT12,AT14,AT18:AT20,AT22,AT26,AT28,AT35:AT37)</f>
        <v>6984.3487629573519</v>
      </c>
      <c r="J52" s="106">
        <f t="shared" ref="J52:AA52" ca="1" si="156">SUM(AU3,AU5,AU9:AU12,AU14,AU18:AU20,AU22,AU26,AU28,AU35:AU37)</f>
        <v>97.834085638199554</v>
      </c>
      <c r="K52" s="106">
        <f t="shared" ca="1" si="156"/>
        <v>563.38207170507098</v>
      </c>
      <c r="L52" s="106">
        <f t="shared" ca="1" si="156"/>
        <v>144.85588815385702</v>
      </c>
      <c r="M52" s="106">
        <f ca="1">SUM(AX3,AX5,AX9:AX12,AX14,AX18:AX20,AX22,AX26,AX28,AX35:AX37)</f>
        <v>8.5066006279423103</v>
      </c>
      <c r="N52" s="106">
        <f ca="1">SUM(AY3,AY5,AY9:AY12,AY14,AY18:AY20,AY22,AY26,AY28,AY35:AY37)</f>
        <v>8.2874552501377069E-2</v>
      </c>
      <c r="O52" s="106">
        <f t="shared" ca="1" si="156"/>
        <v>82.743964640254262</v>
      </c>
      <c r="P52" s="106">
        <f t="shared" ca="1" si="156"/>
        <v>45.333254030511668</v>
      </c>
      <c r="Q52" s="106">
        <f t="shared" ca="1" si="156"/>
        <v>7.3388327241730762</v>
      </c>
      <c r="R52" s="106">
        <f t="shared" ca="1" si="156"/>
        <v>0.56629703387532593</v>
      </c>
      <c r="S52" s="106">
        <f t="shared" ca="1" si="156"/>
        <v>9.2681084508732194</v>
      </c>
      <c r="T52" s="106">
        <f t="shared" ca="1" si="156"/>
        <v>8.6432497343068335E-2</v>
      </c>
      <c r="U52" s="106">
        <f t="shared" ca="1" si="156"/>
        <v>6.2505245472352228E-5</v>
      </c>
      <c r="V52" s="106">
        <f ca="1">SUM(BG3,BG5,BG9:BG12,BG14,BG18:BG20,BG22,BG26,BG28,BG35:BG37)</f>
        <v>0.46494620599787345</v>
      </c>
      <c r="W52" s="106">
        <f ca="1">SUM(BH3,BH5,BH9:BH12,BH14,BH18:BH20,BH22,BH26,BH28,BH35:BH37)</f>
        <v>0.8941768671394732</v>
      </c>
      <c r="X52" s="106">
        <f t="shared" ca="1" si="156"/>
        <v>0.62838720528663317</v>
      </c>
      <c r="Y52" s="106">
        <f t="shared" ca="1" si="156"/>
        <v>0.3100901714873826</v>
      </c>
      <c r="Z52" s="106">
        <f t="shared" ca="1" si="156"/>
        <v>3.9827149062278266</v>
      </c>
      <c r="AA52" s="210">
        <f t="shared" ca="1" si="156"/>
        <v>2.6530510811551697</v>
      </c>
      <c r="AB52" s="137"/>
      <c r="AC52" s="137"/>
      <c r="AD52" s="137"/>
      <c r="AE52" s="137"/>
      <c r="AF52" s="137"/>
      <c r="AG52" s="137"/>
      <c r="AH52" s="137"/>
      <c r="AI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</row>
    <row r="53" spans="2:64" x14ac:dyDescent="0.25">
      <c r="B53" s="137"/>
      <c r="C53" s="137"/>
      <c r="D53" s="137"/>
      <c r="E53" s="137"/>
      <c r="F53" s="137"/>
      <c r="G53" s="213" t="s">
        <v>596</v>
      </c>
      <c r="H53" s="106">
        <f>SUM(AK3,AK6,AK9:AK12,AK15,AK18:AK20,AK23,AK26,AK29,AK38:AK40)</f>
        <v>503.30396637274634</v>
      </c>
      <c r="I53" s="106">
        <f ca="1">SUM(AT3,AT6,AT9:AT12,AT15,AT18:AT20,AT23,AT26,AT29,AT38:AT40)</f>
        <v>6427.4917097607577</v>
      </c>
      <c r="J53" s="106">
        <f t="shared" ref="J53:AA53" ca="1" si="157">SUM(AU3,AU6,AU9:AU12,AU15,AU18:AU20,AU23,AU26,AU29,AU38:AU40)</f>
        <v>97.582677955530286</v>
      </c>
      <c r="K53" s="106">
        <f t="shared" ca="1" si="157"/>
        <v>498.3593423877025</v>
      </c>
      <c r="L53" s="106">
        <f t="shared" ca="1" si="157"/>
        <v>131.00723666500309</v>
      </c>
      <c r="M53" s="106">
        <f t="shared" ca="1" si="157"/>
        <v>9.2407421430486085</v>
      </c>
      <c r="N53" s="106">
        <f t="shared" ca="1" si="157"/>
        <v>8.2244714046768599E-2</v>
      </c>
      <c r="O53" s="106">
        <f t="shared" ca="1" si="157"/>
        <v>83.306230444300567</v>
      </c>
      <c r="P53" s="106">
        <f t="shared" ca="1" si="157"/>
        <v>45.204574421876188</v>
      </c>
      <c r="Q53" s="106">
        <f t="shared" ca="1" si="157"/>
        <v>7.9780234736116462</v>
      </c>
      <c r="R53" s="106">
        <f t="shared" ca="1" si="157"/>
        <v>0.47983117698658218</v>
      </c>
      <c r="S53" s="106">
        <f t="shared" ca="1" si="157"/>
        <v>10.048481006289423</v>
      </c>
      <c r="T53" s="106">
        <f t="shared" ca="1" si="157"/>
        <v>6.4693627406419194E-2</v>
      </c>
      <c r="U53" s="106">
        <f t="shared" ca="1" si="157"/>
        <v>5.484748300516707E-5</v>
      </c>
      <c r="V53" s="106">
        <f t="shared" ca="1" si="157"/>
        <v>0.44900360882592572</v>
      </c>
      <c r="W53" s="106">
        <f t="shared" ca="1" si="157"/>
        <v>0.85536596362484119</v>
      </c>
      <c r="X53" s="106">
        <f ca="1">SUM(BI3,BI6,BI9:BI12,BI15,BI18:BI20,BI23,BI26,BI29,BI38:BI40)</f>
        <v>0.68169534626645722</v>
      </c>
      <c r="Y53" s="106">
        <f t="shared" ca="1" si="157"/>
        <v>0.31111732792626207</v>
      </c>
      <c r="Z53" s="106">
        <f t="shared" ca="1" si="157"/>
        <v>4.2147324978195275</v>
      </c>
      <c r="AA53" s="210">
        <f t="shared" ca="1" si="157"/>
        <v>2.6087499669054988</v>
      </c>
      <c r="AB53" s="137"/>
      <c r="AC53" s="137"/>
      <c r="AD53" s="137"/>
      <c r="AE53" s="137"/>
      <c r="AF53" s="137"/>
      <c r="AG53" s="137"/>
      <c r="AH53" s="137"/>
      <c r="AI53" s="137"/>
    </row>
    <row r="54" spans="2:64" x14ac:dyDescent="0.25">
      <c r="B54" s="137"/>
      <c r="C54" s="137"/>
      <c r="D54" s="137"/>
      <c r="E54" s="137"/>
      <c r="F54" s="137"/>
      <c r="G54" s="213" t="s">
        <v>597</v>
      </c>
      <c r="H54" s="106">
        <f>SUM(AK3,AK7,AK9:AK12,AK16,AK18:AK20,AK24,AK26,AK30,AK41:AK43)</f>
        <v>486.80311094478617</v>
      </c>
      <c r="I54" s="106">
        <f ca="1">SUM(AT3,AT7,AT9:AT12,AT16,AT18:AT20,AT24,AT26,AT30,AT41:AT43)</f>
        <v>6034.7396557819347</v>
      </c>
      <c r="J54" s="106">
        <f t="shared" ref="J54:AA54" ca="1" si="158">SUM(AU3,AU7,AU9:AU12,AU16,AU18:AU20,AU24,AU26,AU30,AU41:AU43)</f>
        <v>97.519763409421401</v>
      </c>
      <c r="K54" s="106">
        <f t="shared" ca="1" si="158"/>
        <v>459.05972717256958</v>
      </c>
      <c r="L54" s="106">
        <f t="shared" ca="1" si="158"/>
        <v>122.09537752660252</v>
      </c>
      <c r="M54" s="106">
        <f t="shared" ca="1" si="158"/>
        <v>9.3046362526734345</v>
      </c>
      <c r="N54" s="106">
        <f t="shared" ca="1" si="158"/>
        <v>8.1863650383199593E-2</v>
      </c>
      <c r="O54" s="106">
        <f t="shared" ca="1" si="158"/>
        <v>82.510973180977743</v>
      </c>
      <c r="P54" s="106">
        <f t="shared" ca="1" si="158"/>
        <v>41.787861944341259</v>
      </c>
      <c r="Q54" s="106">
        <f t="shared" ca="1" si="158"/>
        <v>8.0347210487418401</v>
      </c>
      <c r="R54" s="106">
        <f t="shared" ca="1" si="158"/>
        <v>0.4381500885689929</v>
      </c>
      <c r="S54" s="106">
        <f t="shared" ca="1" si="158"/>
        <v>10.019702646138745</v>
      </c>
      <c r="T54" s="106">
        <f t="shared" ca="1" si="158"/>
        <v>5.5020042365241127E-2</v>
      </c>
      <c r="U54" s="106">
        <f t="shared" ca="1" si="158"/>
        <v>5.0424739845591445E-5</v>
      </c>
      <c r="V54" s="106">
        <f t="shared" ca="1" si="158"/>
        <v>0.44006158960904668</v>
      </c>
      <c r="W54" s="106">
        <f t="shared" ca="1" si="158"/>
        <v>0.81701719131549888</v>
      </c>
      <c r="X54" s="106">
        <f t="shared" ca="1" si="158"/>
        <v>0.67628234072861493</v>
      </c>
      <c r="Y54" s="106">
        <f t="shared" ca="1" si="158"/>
        <v>0.31082204643741163</v>
      </c>
      <c r="Z54" s="106">
        <f t="shared" ca="1" si="158"/>
        <v>4.1670336985667547</v>
      </c>
      <c r="AA54" s="210">
        <f t="shared" ca="1" si="158"/>
        <v>2.5826890274726604</v>
      </c>
      <c r="AB54" s="137"/>
      <c r="AC54" s="137"/>
      <c r="AD54" s="137"/>
      <c r="AE54" s="137"/>
      <c r="AF54" s="137"/>
      <c r="AG54" s="137"/>
      <c r="AH54" s="137"/>
      <c r="AI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</row>
    <row r="55" spans="2:64" x14ac:dyDescent="0.25">
      <c r="B55" s="137"/>
      <c r="C55" s="137"/>
      <c r="D55" s="137"/>
      <c r="E55" s="137"/>
      <c r="F55" s="137"/>
      <c r="G55" s="211" t="s">
        <v>739</v>
      </c>
      <c r="H55" s="187">
        <f>SUM(AK3,AK8,AK9:AK12,AK17,AK18:AK20,AK25,AK26,AK31,AK44:AK46)</f>
        <v>455.38200283198438</v>
      </c>
      <c r="I55" s="187">
        <f ca="1">SUM(AT3,AT8,AT9:AT12,AT17,AT18:AT20,AT25,AT26,AT31,AT44:AT46)</f>
        <v>5773.4367345376104</v>
      </c>
      <c r="J55" s="187">
        <f t="shared" ref="J55:AA55" ca="1" si="159">SUM(AU3,AU8,AU9:AU12,AU17,AU18:AU20,AU25,AU26,AU31,AU44:AU46)</f>
        <v>97.878329183474577</v>
      </c>
      <c r="K55" s="187">
        <f t="shared" ca="1" si="159"/>
        <v>431.42577730738384</v>
      </c>
      <c r="L55" s="187">
        <f t="shared" ca="1" si="159"/>
        <v>115.90998714597696</v>
      </c>
      <c r="M55" s="187">
        <f ca="1">SUM(AX3,AX8,AX9:AX12,AX17,AX18:AX20,AX25,AX26,AX31,AX44:AX46)</f>
        <v>9.3827440478362032</v>
      </c>
      <c r="N55" s="187">
        <f t="shared" ca="1" si="159"/>
        <v>8.3457552740234253E-2</v>
      </c>
      <c r="O55" s="187">
        <f t="shared" ca="1" si="159"/>
        <v>83.026954742838015</v>
      </c>
      <c r="P55" s="187">
        <f t="shared" ca="1" si="159"/>
        <v>40.336117268577979</v>
      </c>
      <c r="Q55" s="187">
        <f ca="1">SUM(BB3,BB8,BB9:BB12,BB17,BB18:BB20,BB25,BB26,BB31,BB44:BB46)</f>
        <v>8.1028067882094028</v>
      </c>
      <c r="R55" s="187">
        <f t="shared" ca="1" si="159"/>
        <v>0.40726868854573567</v>
      </c>
      <c r="S55" s="187">
        <f t="shared" ca="1" si="159"/>
        <v>10.015111553627698</v>
      </c>
      <c r="T55" s="187">
        <f t="shared" ca="1" si="159"/>
        <v>4.7181735797033303E-2</v>
      </c>
      <c r="U55" s="187">
        <f t="shared" ca="1" si="159"/>
        <v>4.7036875371369183E-5</v>
      </c>
      <c r="V55" s="187">
        <f t="shared" ca="1" si="159"/>
        <v>0.43392452746346238</v>
      </c>
      <c r="W55" s="187">
        <f t="shared" ca="1" si="159"/>
        <v>0.78927286592576595</v>
      </c>
      <c r="X55" s="187">
        <f ca="1">SUM(BI3,BI8,BI9:BI12,BI17,BI18:BI20,BI25,BI26,BI31,BI44:BI46)</f>
        <v>0.68008468846542791</v>
      </c>
      <c r="Y55" s="187">
        <f ca="1">SUM(BJ3,BJ8,BJ9:BJ12,BJ17,BJ18:BJ20,BJ25,BJ26,BJ31,BJ44:BJ46)</f>
        <v>0.31060742048886947</v>
      </c>
      <c r="Z55" s="187">
        <f ca="1">SUM(BK3,BK8,BK9:BK12,BK17,BK18:BK20,BK25,BK26,BK31,BK44:BK46)</f>
        <v>4.1615650276717258</v>
      </c>
      <c r="AA55" s="212">
        <f t="shared" ca="1" si="159"/>
        <v>2.5595204945076397</v>
      </c>
      <c r="AB55" s="137"/>
      <c r="AC55" s="137"/>
      <c r="AD55" s="137"/>
      <c r="AE55" s="137"/>
      <c r="AF55" s="137"/>
      <c r="AG55" s="137"/>
      <c r="AH55" s="137"/>
      <c r="AI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</row>
    <row r="56" spans="2:64" x14ac:dyDescent="0.25">
      <c r="B56" s="137"/>
      <c r="C56" s="137"/>
      <c r="D56" s="137"/>
      <c r="E56" s="137"/>
      <c r="F56" s="137"/>
      <c r="G56" s="137"/>
      <c r="H56" s="150"/>
      <c r="I56" s="150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</row>
    <row r="57" spans="2:64" x14ac:dyDescent="0.25">
      <c r="B57" s="137"/>
      <c r="C57" s="137"/>
      <c r="D57" s="137"/>
      <c r="E57" s="137"/>
      <c r="F57" s="137"/>
      <c r="G57" s="137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37"/>
      <c r="AC57" s="137"/>
      <c r="AD57" s="137"/>
      <c r="AE57" s="137"/>
      <c r="AF57" s="137"/>
      <c r="AG57" s="137"/>
      <c r="AH57" s="137"/>
      <c r="AI57" s="137"/>
    </row>
    <row r="58" spans="2:64" x14ac:dyDescent="0.25">
      <c r="B58" s="137"/>
      <c r="C58" s="137"/>
      <c r="D58" s="137"/>
      <c r="E58" s="137"/>
      <c r="F58" s="137"/>
      <c r="G58" s="207" t="str">
        <f>H48</f>
        <v>Carbon footprint</v>
      </c>
      <c r="H58" s="218" t="s">
        <v>593</v>
      </c>
      <c r="I58" s="134" t="s">
        <v>775</v>
      </c>
      <c r="J58" s="134" t="s">
        <v>594</v>
      </c>
      <c r="K58" s="134" t="s">
        <v>595</v>
      </c>
      <c r="L58" s="134" t="s">
        <v>596</v>
      </c>
      <c r="M58" s="134" t="s">
        <v>597</v>
      </c>
      <c r="N58" s="145" t="s">
        <v>739</v>
      </c>
      <c r="V58" s="141"/>
      <c r="AB58" s="137"/>
      <c r="AC58" s="137"/>
      <c r="AD58" s="137"/>
      <c r="AE58" s="137"/>
      <c r="AF58" s="137"/>
      <c r="AG58" s="137"/>
      <c r="AH58" s="137"/>
      <c r="AI58" s="137"/>
    </row>
    <row r="59" spans="2:64" x14ac:dyDescent="0.25">
      <c r="B59" s="137"/>
      <c r="C59" s="137"/>
      <c r="D59" s="137"/>
      <c r="E59" s="137"/>
      <c r="F59" s="137"/>
      <c r="G59" s="213" t="str">
        <f>Virtual_1_hub_Comparison!C46</f>
        <v>ICT</v>
      </c>
      <c r="H59" s="153">
        <f>Virtual_1_hub_Comparison!E46</f>
        <v>5.8285350722992861</v>
      </c>
      <c r="I59" s="153">
        <v>0</v>
      </c>
      <c r="J59" s="153">
        <v>0</v>
      </c>
      <c r="K59" s="153">
        <v>0</v>
      </c>
      <c r="L59" s="153">
        <v>0</v>
      </c>
      <c r="M59" s="153">
        <v>0</v>
      </c>
      <c r="N59" s="154">
        <v>0</v>
      </c>
      <c r="AB59" s="137"/>
      <c r="AC59" s="137"/>
      <c r="AD59" s="137"/>
      <c r="AE59" s="137"/>
      <c r="AF59" s="137"/>
      <c r="AG59" s="137"/>
      <c r="AH59" s="137"/>
      <c r="AI59" s="137"/>
    </row>
    <row r="60" spans="2:64" x14ac:dyDescent="0.25">
      <c r="B60" s="137"/>
      <c r="C60" s="137"/>
      <c r="D60" s="137"/>
      <c r="E60" s="137"/>
      <c r="F60" s="137"/>
      <c r="G60" s="213" t="s">
        <v>185</v>
      </c>
      <c r="H60" s="153">
        <f>AK3+AK12</f>
        <v>2.7641210377195296</v>
      </c>
      <c r="I60" s="153">
        <f>H60</f>
        <v>2.7641210377195296</v>
      </c>
      <c r="J60" s="153">
        <f t="shared" ref="J60:N60" si="160">I60</f>
        <v>2.7641210377195296</v>
      </c>
      <c r="K60" s="153">
        <f t="shared" si="160"/>
        <v>2.7641210377195296</v>
      </c>
      <c r="L60" s="153">
        <f t="shared" si="160"/>
        <v>2.7641210377195296</v>
      </c>
      <c r="M60" s="153">
        <f t="shared" si="160"/>
        <v>2.7641210377195296</v>
      </c>
      <c r="N60" s="154">
        <f t="shared" si="160"/>
        <v>2.7641210377195296</v>
      </c>
      <c r="O60" s="61"/>
      <c r="AB60" s="137"/>
      <c r="AC60" s="137"/>
      <c r="AD60" s="137"/>
      <c r="AE60" s="137"/>
      <c r="AF60" s="137"/>
      <c r="AG60" s="137"/>
      <c r="AH60" s="137"/>
      <c r="AI60" s="137"/>
    </row>
    <row r="61" spans="2:64" x14ac:dyDescent="0.25">
      <c r="B61" s="137"/>
      <c r="C61" s="137"/>
      <c r="D61" s="137"/>
      <c r="E61" s="137"/>
      <c r="F61" s="137"/>
      <c r="G61" s="213" t="s">
        <v>236</v>
      </c>
      <c r="H61" s="153">
        <f>Virtual_1_hub_Comparison!E48</f>
        <v>14.169844148648293</v>
      </c>
      <c r="I61" s="153">
        <f>Virtual_1_hub_Comparison!D48</f>
        <v>31.342918736712328</v>
      </c>
      <c r="J61" s="153">
        <f>AK4+AK13</f>
        <v>30.966757693253694</v>
      </c>
      <c r="K61" s="153">
        <f>AK5+AK14</f>
        <v>27.649109439074358</v>
      </c>
      <c r="L61" s="153">
        <f>AK6+AK15</f>
        <v>29.183024746765618</v>
      </c>
      <c r="M61" s="153">
        <f>AK7+AK16</f>
        <v>28.321879310868773</v>
      </c>
      <c r="N61" s="154">
        <f>AK8+AK17</f>
        <v>28.470924328013872</v>
      </c>
      <c r="O61" s="61"/>
      <c r="AB61" s="137"/>
      <c r="AC61" s="137"/>
      <c r="AD61" s="137"/>
      <c r="AE61" s="137"/>
      <c r="AF61" s="137"/>
      <c r="AG61" s="137"/>
      <c r="AH61" s="137"/>
      <c r="AI61" s="137"/>
    </row>
    <row r="62" spans="2:64" x14ac:dyDescent="0.25">
      <c r="B62" s="137"/>
      <c r="C62" s="137"/>
      <c r="D62" s="137"/>
      <c r="E62" s="137"/>
      <c r="F62" s="137"/>
      <c r="G62" s="213" t="s">
        <v>237</v>
      </c>
      <c r="H62" s="153">
        <f>AK9+AK18</f>
        <v>5.1163668199788717</v>
      </c>
      <c r="I62" s="153">
        <f>H62</f>
        <v>5.1163668199788717</v>
      </c>
      <c r="J62" s="153">
        <f t="shared" ref="J62:N62" si="161">I62</f>
        <v>5.1163668199788717</v>
      </c>
      <c r="K62" s="153">
        <f t="shared" si="161"/>
        <v>5.1163668199788717</v>
      </c>
      <c r="L62" s="153">
        <f t="shared" si="161"/>
        <v>5.1163668199788717</v>
      </c>
      <c r="M62" s="153">
        <f t="shared" si="161"/>
        <v>5.1163668199788717</v>
      </c>
      <c r="N62" s="154">
        <f t="shared" si="161"/>
        <v>5.1163668199788717</v>
      </c>
      <c r="O62" s="61"/>
      <c r="AB62" s="137"/>
      <c r="AC62" s="137"/>
      <c r="AD62" s="137"/>
      <c r="AE62" s="137"/>
      <c r="AF62" s="137"/>
      <c r="AG62" s="137"/>
      <c r="AH62" s="137"/>
      <c r="AI62" s="137"/>
    </row>
    <row r="63" spans="2:64" x14ac:dyDescent="0.25">
      <c r="B63" s="137"/>
      <c r="C63" s="137"/>
      <c r="D63" s="137"/>
      <c r="E63" s="137"/>
      <c r="F63" s="137"/>
      <c r="G63" s="213" t="s">
        <v>238</v>
      </c>
      <c r="H63" s="153">
        <f>Virtual_1_hub_Comparison!E50</f>
        <v>0.40997042341147211</v>
      </c>
      <c r="I63" s="153">
        <f>AK10+AK19</f>
        <v>0.67243680526758109</v>
      </c>
      <c r="J63" s="153">
        <f>I63</f>
        <v>0.67243680526758109</v>
      </c>
      <c r="K63" s="153">
        <f t="shared" ref="K63:N63" si="162">J63</f>
        <v>0.67243680526758109</v>
      </c>
      <c r="L63" s="153">
        <f t="shared" si="162"/>
        <v>0.67243680526758109</v>
      </c>
      <c r="M63" s="153">
        <f t="shared" si="162"/>
        <v>0.67243680526758109</v>
      </c>
      <c r="N63" s="154">
        <f t="shared" si="162"/>
        <v>0.67243680526758109</v>
      </c>
      <c r="O63" s="61"/>
      <c r="AB63" s="137"/>
      <c r="AC63" s="137"/>
      <c r="AD63" s="137"/>
      <c r="AE63" s="137"/>
      <c r="AF63" s="137"/>
      <c r="AG63" s="137"/>
      <c r="AH63" s="137"/>
      <c r="AI63" s="137"/>
    </row>
    <row r="64" spans="2:64" x14ac:dyDescent="0.25">
      <c r="B64" s="137"/>
      <c r="C64" s="137"/>
      <c r="D64" s="137"/>
      <c r="E64" s="137"/>
      <c r="F64" s="137"/>
      <c r="G64" s="213" t="s">
        <v>189</v>
      </c>
      <c r="H64" s="153">
        <f>Virtual_1_hub_Comparison!E51</f>
        <v>0.28758994722158404</v>
      </c>
      <c r="I64" s="153">
        <f>AK11+AK20</f>
        <v>0.47170735812485642</v>
      </c>
      <c r="J64" s="153">
        <f>I64</f>
        <v>0.47170735812485642</v>
      </c>
      <c r="K64" s="153">
        <f t="shared" ref="K64:N64" si="163">J64</f>
        <v>0.47170735812485642</v>
      </c>
      <c r="L64" s="153">
        <f t="shared" si="163"/>
        <v>0.47170735812485642</v>
      </c>
      <c r="M64" s="153">
        <f t="shared" si="163"/>
        <v>0.47170735812485642</v>
      </c>
      <c r="N64" s="154">
        <f t="shared" si="163"/>
        <v>0.47170735812485642</v>
      </c>
      <c r="O64" s="61"/>
      <c r="AB64" s="137"/>
      <c r="AC64" s="137"/>
      <c r="AD64" s="137"/>
      <c r="AE64" s="137"/>
      <c r="AF64" s="137"/>
      <c r="AG64" s="137"/>
      <c r="AH64" s="137"/>
      <c r="AI64" s="137"/>
    </row>
    <row r="65" spans="2:35" x14ac:dyDescent="0.25">
      <c r="B65" s="137"/>
      <c r="C65" s="137"/>
      <c r="D65" s="137"/>
      <c r="E65" s="137"/>
      <c r="F65" s="137"/>
      <c r="G65" s="213" t="str">
        <f>Virtual_1_hub_Comparison!C52</f>
        <v>Food</v>
      </c>
      <c r="H65" s="153">
        <f>Catering_LCIA!F4*3</f>
        <v>29.038282028115724</v>
      </c>
      <c r="I65" s="153">
        <f>Catering_LCIA!F3*3</f>
        <v>31.285111893928146</v>
      </c>
      <c r="J65" s="153">
        <f>Catering_LCIA!F5*3</f>
        <v>30.926733608426201</v>
      </c>
      <c r="K65" s="153">
        <f>Catering_LCIA!F6*3</f>
        <v>30.160201694835418</v>
      </c>
      <c r="L65" s="153">
        <f>Catering_LCIA!F7*3</f>
        <v>30.521007230083463</v>
      </c>
      <c r="M65" s="153">
        <f>Catering_LCIA!F8*3</f>
        <v>30.31844973661088</v>
      </c>
      <c r="N65" s="154">
        <f>Catering_LCIA!F9*3</f>
        <v>30.353507908934631</v>
      </c>
      <c r="O65" s="61"/>
      <c r="AB65" s="137"/>
      <c r="AC65" s="137"/>
      <c r="AD65" s="137"/>
      <c r="AE65" s="137"/>
      <c r="AF65" s="137"/>
      <c r="AG65" s="137"/>
      <c r="AH65" s="137"/>
      <c r="AI65" s="137"/>
    </row>
    <row r="66" spans="2:35" x14ac:dyDescent="0.25">
      <c r="B66" s="137"/>
      <c r="C66" s="137"/>
      <c r="D66" s="137"/>
      <c r="E66" s="137"/>
      <c r="F66" s="137"/>
      <c r="G66" s="213" t="str">
        <f>Virtual_1_hub_Comparison!C53</f>
        <v>Preparation</v>
      </c>
      <c r="H66" s="153">
        <f>Virtual_1_hub_Comparison!E53</f>
        <v>0.1890614060968662</v>
      </c>
      <c r="I66" s="153">
        <f>Virtual_1_hub_Comparison!D53</f>
        <v>18.066929622971866</v>
      </c>
      <c r="J66" s="153">
        <f t="shared" ref="J66:N66" si="164">I66</f>
        <v>18.066929622971866</v>
      </c>
      <c r="K66" s="153">
        <f t="shared" si="164"/>
        <v>18.066929622971866</v>
      </c>
      <c r="L66" s="153">
        <f t="shared" si="164"/>
        <v>18.066929622971866</v>
      </c>
      <c r="M66" s="153">
        <f t="shared" si="164"/>
        <v>18.066929622971866</v>
      </c>
      <c r="N66" s="154">
        <f t="shared" si="164"/>
        <v>18.066929622971866</v>
      </c>
      <c r="AB66" s="137"/>
      <c r="AC66" s="137"/>
      <c r="AD66" s="137"/>
      <c r="AE66" s="137"/>
      <c r="AF66" s="137"/>
      <c r="AG66" s="137"/>
      <c r="AH66" s="137"/>
      <c r="AI66" s="137"/>
    </row>
    <row r="67" spans="2:35" x14ac:dyDescent="0.25">
      <c r="B67" s="137"/>
      <c r="C67" s="137"/>
      <c r="D67" s="137"/>
      <c r="E67" s="137"/>
      <c r="F67" s="137"/>
      <c r="G67" s="213" t="str">
        <f>Virtual_1_hub_Comparison!C54</f>
        <v>Execution</v>
      </c>
      <c r="H67" s="153">
        <v>0</v>
      </c>
      <c r="I67" s="153">
        <f>Virtual_1_hub_Comparison!D54</f>
        <v>18.04791910659792</v>
      </c>
      <c r="J67" s="153">
        <f>'Pre &amp; Exe_LCIA'!H44</f>
        <v>17.838221259078342</v>
      </c>
      <c r="K67" s="153">
        <f>'Pre &amp; Exe_LCIA'!H45</f>
        <v>15.988737614169722</v>
      </c>
      <c r="L67" s="153">
        <f>'Pre &amp; Exe_LCIA'!H46</f>
        <v>16.843846732707583</v>
      </c>
      <c r="M67" s="153">
        <f>'Pre &amp; Exe_LCIA'!H47</f>
        <v>16.363785473177558</v>
      </c>
      <c r="N67" s="154">
        <f>'Pre &amp; Exe_LCIA'!H48</f>
        <v>16.446873341584865</v>
      </c>
      <c r="AB67" s="137"/>
      <c r="AC67" s="137"/>
      <c r="AD67" s="137"/>
      <c r="AE67" s="137"/>
      <c r="AF67" s="137"/>
      <c r="AG67" s="137"/>
      <c r="AH67" s="137"/>
      <c r="AI67" s="137"/>
    </row>
    <row r="68" spans="2:35" x14ac:dyDescent="0.25">
      <c r="B68" s="137"/>
      <c r="C68" s="137"/>
      <c r="D68" s="137"/>
      <c r="E68" s="137"/>
      <c r="F68" s="137"/>
      <c r="G68" s="213" t="s">
        <v>743</v>
      </c>
      <c r="H68" s="153">
        <v>0</v>
      </c>
      <c r="I68" s="153">
        <f>Virtual_1_hub_Comparison!D55</f>
        <v>57.830554902349895</v>
      </c>
      <c r="J68" s="153">
        <f>AK32</f>
        <v>58.639740249608366</v>
      </c>
      <c r="K68" s="153">
        <f>AK35</f>
        <v>82.251913474673586</v>
      </c>
      <c r="L68" s="153">
        <f>AK38</f>
        <v>98.258487914360259</v>
      </c>
      <c r="M68" s="153">
        <f>AK41</f>
        <v>98.258487914360245</v>
      </c>
      <c r="N68" s="154">
        <f>AK44</f>
        <v>101.14326570548299</v>
      </c>
      <c r="AB68" s="137"/>
      <c r="AC68" s="137"/>
      <c r="AD68" s="137"/>
      <c r="AE68" s="137"/>
      <c r="AF68" s="137"/>
      <c r="AG68" s="137"/>
      <c r="AH68" s="137"/>
      <c r="AI68" s="137"/>
    </row>
    <row r="69" spans="2:35" x14ac:dyDescent="0.25">
      <c r="B69" s="137"/>
      <c r="C69" s="137"/>
      <c r="D69" s="137"/>
      <c r="E69" s="137"/>
      <c r="F69" s="137"/>
      <c r="G69" s="213" t="s">
        <v>889</v>
      </c>
      <c r="H69" s="153">
        <v>0</v>
      </c>
      <c r="I69" s="153">
        <f>Virtual_1_hub_Comparison!D56</f>
        <v>2.5489901830391641</v>
      </c>
      <c r="J69" s="153">
        <f>AK34</f>
        <v>3.0660970829451699</v>
      </c>
      <c r="K69" s="153">
        <f>AK37</f>
        <v>3.0660970829451699</v>
      </c>
      <c r="L69" s="153">
        <f>AK40</f>
        <v>3.0660970829451699</v>
      </c>
      <c r="M69" s="153">
        <f>AK43</f>
        <v>3.0660970829451699</v>
      </c>
      <c r="N69" s="154">
        <f>AK46</f>
        <v>3.0660970829451699</v>
      </c>
      <c r="AB69" s="137"/>
      <c r="AC69" s="137"/>
      <c r="AD69" s="137"/>
      <c r="AE69" s="137"/>
      <c r="AF69" s="137"/>
      <c r="AG69" s="137"/>
      <c r="AH69" s="137"/>
      <c r="AI69" s="137"/>
    </row>
    <row r="70" spans="2:35" x14ac:dyDescent="0.25">
      <c r="G70" s="213" t="s">
        <v>890</v>
      </c>
      <c r="H70" s="153">
        <v>0</v>
      </c>
      <c r="I70" s="153">
        <f>Virtual_1_hub_Comparison!D57</f>
        <v>671.48390577303428</v>
      </c>
      <c r="J70" s="153">
        <f>AK33</f>
        <v>513.75621661281514</v>
      </c>
      <c r="K70" s="153">
        <f>AK36</f>
        <v>381.8854142307888</v>
      </c>
      <c r="L70" s="153">
        <f>AK39</f>
        <v>298.33994102182152</v>
      </c>
      <c r="M70" s="153">
        <f>AK42</f>
        <v>283.38284978276084</v>
      </c>
      <c r="N70" s="154">
        <f>AK45</f>
        <v>248.80977282096009</v>
      </c>
    </row>
    <row r="71" spans="2:35" x14ac:dyDescent="0.25">
      <c r="G71" s="211" t="str">
        <f>Virtual_1_hub_Comparison!C58</f>
        <v>Total</v>
      </c>
      <c r="H71" s="157">
        <f>SUM(H59:H70)</f>
        <v>57.80377088349163</v>
      </c>
      <c r="I71" s="157">
        <f t="shared" ref="I71:N71" si="165">SUM(I59:I70)</f>
        <v>839.63096223972445</v>
      </c>
      <c r="J71" s="157">
        <f>SUM(J59:J70)</f>
        <v>682.28532815018957</v>
      </c>
      <c r="K71" s="157">
        <f t="shared" si="165"/>
        <v>568.0930351805498</v>
      </c>
      <c r="L71" s="157">
        <f t="shared" si="165"/>
        <v>503.30396637274634</v>
      </c>
      <c r="M71" s="157">
        <f t="shared" si="165"/>
        <v>486.80311094478623</v>
      </c>
      <c r="N71" s="158">
        <f t="shared" si="165"/>
        <v>455.38200283198432</v>
      </c>
    </row>
    <row r="73" spans="2:35" x14ac:dyDescent="0.25">
      <c r="AB73" s="139"/>
      <c r="AC73" s="139"/>
      <c r="AD73" s="139"/>
      <c r="AE73" s="139"/>
      <c r="AF73" s="139"/>
      <c r="AG73" s="139"/>
      <c r="AH73" s="139"/>
      <c r="AI73" s="139"/>
    </row>
    <row r="74" spans="2:35" x14ac:dyDescent="0.25">
      <c r="AB74" s="139"/>
      <c r="AC74" s="139"/>
      <c r="AD74" s="139"/>
      <c r="AE74" s="139"/>
      <c r="AF74" s="139"/>
      <c r="AG74" s="139"/>
      <c r="AH74" s="139"/>
      <c r="AI74" s="139"/>
    </row>
    <row r="75" spans="2:35" x14ac:dyDescent="0.25">
      <c r="H75" s="141"/>
      <c r="I75" s="141"/>
      <c r="J75" s="141"/>
      <c r="K75" s="141"/>
      <c r="L75" s="141"/>
      <c r="M75" s="141"/>
      <c r="N75" s="141"/>
      <c r="AB75" s="139"/>
      <c r="AC75" s="139"/>
      <c r="AD75" s="139"/>
      <c r="AE75" s="139"/>
      <c r="AF75" s="139"/>
      <c r="AG75" s="139"/>
      <c r="AH75" s="139"/>
      <c r="AI75" s="139"/>
    </row>
    <row r="76" spans="2:35" x14ac:dyDescent="0.25">
      <c r="G76" s="137"/>
      <c r="AB76" s="139"/>
      <c r="AC76" s="139"/>
      <c r="AD76" s="139"/>
      <c r="AE76" s="139"/>
      <c r="AF76" s="139"/>
      <c r="AG76" s="139"/>
      <c r="AH76" s="139"/>
      <c r="AI76" s="139"/>
    </row>
    <row r="77" spans="2:35" x14ac:dyDescent="0.25">
      <c r="G77" s="137"/>
      <c r="AB77" s="139"/>
      <c r="AC77" s="139"/>
      <c r="AD77" s="139"/>
      <c r="AE77" s="139"/>
      <c r="AF77" s="139"/>
      <c r="AG77" s="139"/>
      <c r="AH77" s="139"/>
      <c r="AI77" s="139"/>
    </row>
    <row r="78" spans="2:35" x14ac:dyDescent="0.25">
      <c r="G78" s="137"/>
    </row>
    <row r="79" spans="2:35" x14ac:dyDescent="0.25">
      <c r="H79" s="141"/>
      <c r="I79" s="141"/>
      <c r="J79" s="141"/>
      <c r="K79" s="141"/>
      <c r="L79" s="141"/>
      <c r="M79" s="141"/>
    </row>
    <row r="80" spans="2:35" x14ac:dyDescent="0.25">
      <c r="G80" s="137"/>
    </row>
    <row r="81" spans="7:13" x14ac:dyDescent="0.25">
      <c r="H81" s="141"/>
      <c r="I81" s="141"/>
      <c r="J81" s="141"/>
      <c r="K81" s="141"/>
      <c r="L81" s="141"/>
      <c r="M81" s="141"/>
    </row>
    <row r="82" spans="7:13" x14ac:dyDescent="0.25">
      <c r="G82" s="137"/>
    </row>
    <row r="83" spans="7:13" x14ac:dyDescent="0.25">
      <c r="H83" s="141"/>
      <c r="I83" s="141"/>
      <c r="J83" s="141"/>
      <c r="K83" s="141"/>
      <c r="L83" s="141"/>
      <c r="M83" s="141"/>
    </row>
    <row r="84" spans="7:13" x14ac:dyDescent="0.25">
      <c r="G84" s="137"/>
    </row>
    <row r="97" spans="7:27" x14ac:dyDescent="0.25">
      <c r="G97" s="139"/>
      <c r="H97" s="139"/>
      <c r="I97" s="139"/>
      <c r="J97" s="139"/>
      <c r="K97" s="139"/>
      <c r="L97" s="139"/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39"/>
      <c r="AA97" s="139"/>
    </row>
    <row r="98" spans="7:27" x14ac:dyDescent="0.25">
      <c r="G98" s="139"/>
      <c r="H98" s="139"/>
      <c r="I98" s="139"/>
      <c r="J98" s="139"/>
      <c r="K98" s="139"/>
      <c r="L98" s="139"/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/>
      <c r="X98" s="139"/>
      <c r="Y98" s="139"/>
      <c r="Z98" s="139"/>
      <c r="AA98" s="139"/>
    </row>
    <row r="99" spans="7:27" x14ac:dyDescent="0.25">
      <c r="G99" s="139"/>
      <c r="H99" s="139"/>
      <c r="I99" s="139"/>
      <c r="J99" s="139"/>
      <c r="K99" s="139"/>
      <c r="L99" s="139"/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/>
      <c r="X99" s="139"/>
      <c r="Y99" s="139"/>
      <c r="Z99" s="139"/>
      <c r="AA99" s="139"/>
    </row>
    <row r="100" spans="7:27" x14ac:dyDescent="0.25">
      <c r="G100" s="139"/>
      <c r="H100" s="139"/>
      <c r="I100" s="139"/>
      <c r="J100" s="139"/>
      <c r="K100" s="139"/>
      <c r="L100" s="139"/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39"/>
      <c r="AA100" s="139"/>
    </row>
    <row r="101" spans="7:27" x14ac:dyDescent="0.25">
      <c r="G101" s="139"/>
      <c r="H101" s="139"/>
      <c r="I101" s="139"/>
      <c r="J101" s="139"/>
      <c r="K101" s="139"/>
      <c r="L101" s="139"/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</row>
    <row r="102" spans="7:27" x14ac:dyDescent="0.25">
      <c r="G102" s="139"/>
      <c r="H102" s="139"/>
      <c r="I102" s="139"/>
      <c r="J102" s="139"/>
      <c r="K102" s="139"/>
      <c r="L102" s="139"/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39"/>
      <c r="AA102" s="139"/>
    </row>
    <row r="103" spans="7:27" x14ac:dyDescent="0.25">
      <c r="G103" s="139"/>
      <c r="H103" s="139"/>
      <c r="I103" s="139"/>
      <c r="J103" s="139"/>
      <c r="K103" s="139"/>
      <c r="L103" s="139"/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39"/>
      <c r="AA103" s="139"/>
    </row>
    <row r="105" spans="7:27" x14ac:dyDescent="0.25">
      <c r="H105" s="139"/>
      <c r="I105" s="139"/>
      <c r="J105" s="139"/>
      <c r="K105" s="139"/>
      <c r="L105" s="139"/>
      <c r="M105" s="139"/>
      <c r="N105" s="139"/>
    </row>
    <row r="106" spans="7:27" x14ac:dyDescent="0.25">
      <c r="H106" s="215"/>
      <c r="I106" s="215"/>
      <c r="J106" s="215"/>
      <c r="K106" s="215"/>
      <c r="L106" s="215"/>
      <c r="M106" s="215"/>
      <c r="N106" s="215"/>
    </row>
    <row r="107" spans="7:27" x14ac:dyDescent="0.25">
      <c r="H107" s="215"/>
      <c r="I107" s="215"/>
      <c r="J107" s="215"/>
      <c r="K107" s="215"/>
      <c r="L107" s="215"/>
      <c r="M107" s="215"/>
      <c r="N107" s="215"/>
    </row>
    <row r="108" spans="7:27" x14ac:dyDescent="0.25">
      <c r="H108" s="215"/>
      <c r="I108" s="215"/>
      <c r="J108" s="215"/>
      <c r="K108" s="215"/>
      <c r="L108" s="215"/>
      <c r="M108" s="215"/>
      <c r="N108" s="215"/>
    </row>
    <row r="109" spans="7:27" x14ac:dyDescent="0.25">
      <c r="H109" s="215"/>
      <c r="I109" s="215"/>
      <c r="J109" s="215"/>
      <c r="K109" s="215"/>
      <c r="L109" s="215"/>
      <c r="M109" s="215"/>
      <c r="N109" s="215"/>
    </row>
    <row r="110" spans="7:27" x14ac:dyDescent="0.25">
      <c r="H110" s="215"/>
      <c r="I110" s="215"/>
      <c r="J110" s="215"/>
      <c r="K110" s="215"/>
      <c r="L110" s="215"/>
      <c r="M110" s="215"/>
      <c r="N110" s="215"/>
    </row>
    <row r="111" spans="7:27" x14ac:dyDescent="0.25">
      <c r="H111" s="215"/>
      <c r="I111" s="215"/>
      <c r="J111" s="215"/>
      <c r="K111" s="215"/>
      <c r="L111" s="215"/>
      <c r="M111" s="215"/>
      <c r="N111" s="215"/>
    </row>
    <row r="112" spans="7:27" x14ac:dyDescent="0.25">
      <c r="H112" s="215"/>
      <c r="I112" s="215"/>
      <c r="J112" s="215"/>
      <c r="K112" s="215"/>
      <c r="L112" s="215"/>
      <c r="M112" s="215"/>
      <c r="N112" s="215"/>
    </row>
    <row r="113" spans="8:26" x14ac:dyDescent="0.25">
      <c r="H113" s="215"/>
      <c r="I113" s="215"/>
      <c r="J113" s="215"/>
      <c r="K113" s="215"/>
      <c r="L113" s="215"/>
      <c r="M113" s="215"/>
      <c r="N113" s="215"/>
    </row>
    <row r="114" spans="8:26" x14ac:dyDescent="0.25">
      <c r="H114" s="215"/>
      <c r="I114" s="215"/>
      <c r="J114" s="215"/>
      <c r="K114" s="215"/>
      <c r="L114" s="215"/>
      <c r="M114" s="215"/>
      <c r="N114" s="215"/>
    </row>
    <row r="115" spans="8:26" x14ac:dyDescent="0.25">
      <c r="H115" s="215"/>
      <c r="I115" s="215"/>
      <c r="J115" s="215"/>
      <c r="K115" s="215"/>
      <c r="L115" s="215"/>
      <c r="M115" s="215"/>
      <c r="N115" s="215"/>
    </row>
    <row r="116" spans="8:26" x14ac:dyDescent="0.25">
      <c r="H116" s="215"/>
      <c r="I116" s="215"/>
      <c r="J116" s="215"/>
      <c r="K116" s="215"/>
      <c r="L116" s="215"/>
      <c r="M116" s="215"/>
      <c r="N116" s="215"/>
    </row>
    <row r="117" spans="8:26" x14ac:dyDescent="0.25">
      <c r="H117" s="215"/>
      <c r="I117" s="215"/>
      <c r="J117" s="215"/>
      <c r="K117" s="215"/>
      <c r="L117" s="215"/>
      <c r="M117" s="215"/>
      <c r="N117" s="215"/>
    </row>
    <row r="118" spans="8:26" x14ac:dyDescent="0.25">
      <c r="H118" s="215"/>
      <c r="I118" s="215"/>
      <c r="J118" s="215"/>
      <c r="K118" s="215"/>
      <c r="L118" s="215"/>
      <c r="M118" s="215"/>
      <c r="N118" s="215"/>
    </row>
    <row r="119" spans="8:26" x14ac:dyDescent="0.25">
      <c r="H119" s="215"/>
      <c r="I119" s="215"/>
      <c r="J119" s="215"/>
      <c r="K119" s="215"/>
      <c r="L119" s="215"/>
      <c r="M119" s="215"/>
      <c r="N119" s="215"/>
    </row>
    <row r="120" spans="8:26" x14ac:dyDescent="0.25">
      <c r="H120" s="215"/>
      <c r="I120" s="215"/>
      <c r="J120" s="215"/>
      <c r="K120" s="215"/>
      <c r="L120" s="215"/>
      <c r="M120" s="215"/>
      <c r="N120" s="215"/>
    </row>
    <row r="121" spans="8:26" x14ac:dyDescent="0.25">
      <c r="H121" s="215"/>
      <c r="I121" s="215"/>
      <c r="J121" s="215"/>
      <c r="K121" s="215"/>
      <c r="L121" s="215"/>
      <c r="M121" s="215"/>
      <c r="N121" s="215"/>
    </row>
    <row r="122" spans="8:26" x14ac:dyDescent="0.25">
      <c r="H122" s="215"/>
      <c r="I122" s="215"/>
      <c r="J122" s="215"/>
      <c r="K122" s="215"/>
      <c r="L122" s="215"/>
      <c r="M122" s="215"/>
      <c r="N122" s="215"/>
    </row>
    <row r="123" spans="8:26" x14ac:dyDescent="0.25">
      <c r="H123" s="215"/>
      <c r="I123" s="215"/>
      <c r="J123" s="215"/>
      <c r="K123" s="215"/>
      <c r="L123" s="215"/>
      <c r="M123" s="215"/>
      <c r="N123" s="215"/>
    </row>
    <row r="124" spans="8:26" x14ac:dyDescent="0.25">
      <c r="H124" s="215"/>
      <c r="I124" s="215"/>
      <c r="J124" s="215"/>
      <c r="K124" s="215"/>
      <c r="L124" s="215"/>
      <c r="M124" s="215"/>
      <c r="N124" s="215"/>
    </row>
    <row r="126" spans="8:26" x14ac:dyDescent="0.25">
      <c r="H126" s="215"/>
      <c r="I126" s="215"/>
      <c r="J126" s="215"/>
      <c r="K126" s="215"/>
      <c r="L126" s="215"/>
      <c r="M126" s="215"/>
      <c r="N126" s="215"/>
      <c r="O126" s="215"/>
      <c r="P126" s="215"/>
      <c r="Q126" s="215"/>
      <c r="R126" s="215"/>
      <c r="S126" s="215"/>
      <c r="T126" s="215"/>
      <c r="U126" s="215"/>
      <c r="V126" s="215"/>
      <c r="W126" s="215"/>
      <c r="X126" s="215"/>
      <c r="Y126" s="215"/>
      <c r="Z126" s="215"/>
    </row>
    <row r="127" spans="8:26" x14ac:dyDescent="0.25">
      <c r="H127" s="215"/>
      <c r="I127" s="215"/>
      <c r="J127" s="215"/>
      <c r="K127" s="215"/>
      <c r="L127" s="215"/>
      <c r="M127" s="215"/>
      <c r="N127" s="215"/>
      <c r="O127" s="215"/>
      <c r="P127" s="215"/>
      <c r="Q127" s="215"/>
      <c r="R127" s="215"/>
      <c r="S127" s="215"/>
      <c r="T127" s="215"/>
      <c r="U127" s="215"/>
      <c r="V127" s="215"/>
      <c r="W127" s="215"/>
      <c r="X127" s="215"/>
      <c r="Y127" s="215"/>
      <c r="Z127" s="215"/>
    </row>
    <row r="128" spans="8:26" x14ac:dyDescent="0.25">
      <c r="H128" s="215"/>
      <c r="I128" s="215"/>
      <c r="J128" s="215"/>
      <c r="K128" s="215"/>
      <c r="L128" s="215"/>
      <c r="M128" s="215"/>
      <c r="N128" s="215"/>
      <c r="O128" s="215"/>
      <c r="P128" s="215"/>
      <c r="Q128" s="215"/>
      <c r="R128" s="215"/>
      <c r="S128" s="215"/>
      <c r="T128" s="215"/>
      <c r="U128" s="215"/>
      <c r="V128" s="215"/>
      <c r="W128" s="215"/>
      <c r="X128" s="215"/>
      <c r="Y128" s="215"/>
      <c r="Z128" s="215"/>
    </row>
    <row r="129" spans="8:26" x14ac:dyDescent="0.25">
      <c r="H129" s="215"/>
      <c r="I129" s="215"/>
      <c r="J129" s="215"/>
      <c r="K129" s="215"/>
      <c r="L129" s="215"/>
      <c r="M129" s="215"/>
      <c r="N129" s="215"/>
      <c r="O129" s="215"/>
      <c r="P129" s="215"/>
      <c r="Q129" s="215"/>
      <c r="R129" s="215"/>
      <c r="S129" s="215"/>
      <c r="T129" s="215"/>
      <c r="U129" s="215"/>
      <c r="V129" s="215"/>
      <c r="W129" s="215"/>
      <c r="X129" s="215"/>
      <c r="Y129" s="215"/>
      <c r="Z129" s="215"/>
    </row>
    <row r="130" spans="8:26" x14ac:dyDescent="0.25">
      <c r="H130" s="215"/>
      <c r="I130" s="215"/>
      <c r="J130" s="215"/>
      <c r="K130" s="215"/>
      <c r="L130" s="215"/>
      <c r="M130" s="215"/>
      <c r="N130" s="215"/>
      <c r="O130" s="215"/>
      <c r="P130" s="215"/>
      <c r="Q130" s="215"/>
      <c r="R130" s="215"/>
      <c r="S130" s="215"/>
      <c r="T130" s="215"/>
      <c r="U130" s="215"/>
      <c r="V130" s="215"/>
      <c r="W130" s="215"/>
      <c r="X130" s="215"/>
      <c r="Y130" s="215"/>
      <c r="Z130" s="215"/>
    </row>
    <row r="131" spans="8:26" x14ac:dyDescent="0.25">
      <c r="H131" s="215"/>
      <c r="I131" s="215"/>
      <c r="J131" s="215"/>
      <c r="K131" s="215"/>
      <c r="L131" s="215"/>
      <c r="M131" s="215"/>
      <c r="N131" s="215"/>
      <c r="O131" s="215"/>
      <c r="P131" s="215"/>
      <c r="Q131" s="215"/>
      <c r="R131" s="215"/>
      <c r="S131" s="215"/>
      <c r="T131" s="215"/>
      <c r="U131" s="215"/>
      <c r="V131" s="215"/>
      <c r="W131" s="215"/>
      <c r="X131" s="215"/>
      <c r="Y131" s="215"/>
      <c r="Z131" s="215"/>
    </row>
    <row r="132" spans="8:26" x14ac:dyDescent="0.25">
      <c r="H132" s="215"/>
      <c r="I132" s="215"/>
      <c r="J132" s="215"/>
      <c r="K132" s="215"/>
      <c r="L132" s="215"/>
      <c r="M132" s="215"/>
      <c r="N132" s="215"/>
      <c r="O132" s="215"/>
      <c r="P132" s="215"/>
      <c r="Q132" s="215"/>
      <c r="R132" s="215"/>
      <c r="S132" s="215"/>
      <c r="T132" s="215"/>
      <c r="U132" s="215"/>
      <c r="V132" s="215"/>
      <c r="W132" s="215"/>
      <c r="X132" s="215"/>
      <c r="Y132" s="215"/>
      <c r="Z132" s="215"/>
    </row>
    <row r="134" spans="8:26" x14ac:dyDescent="0.25"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</row>
    <row r="135" spans="8:26" x14ac:dyDescent="0.25"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</row>
    <row r="136" spans="8:26" x14ac:dyDescent="0.25"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</row>
    <row r="137" spans="8:26" x14ac:dyDescent="0.25"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</row>
    <row r="138" spans="8:26" x14ac:dyDescent="0.25"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</row>
    <row r="139" spans="8:26" x14ac:dyDescent="0.25"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</row>
    <row r="140" spans="8:26" x14ac:dyDescent="0.25"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</row>
  </sheetData>
  <mergeCells count="10">
    <mergeCell ref="B44:B46"/>
    <mergeCell ref="B3:B11"/>
    <mergeCell ref="B12:B20"/>
    <mergeCell ref="B26:B31"/>
    <mergeCell ref="C26:C31"/>
    <mergeCell ref="B32:B34"/>
    <mergeCell ref="B35:B37"/>
    <mergeCell ref="B38:B40"/>
    <mergeCell ref="B41:B43"/>
    <mergeCell ref="B21:B25"/>
  </mergeCells>
  <phoneticPr fontId="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9B19F-860D-417D-817C-C4AD6E6B2AB5}">
  <sheetPr codeName="Sheet30"/>
  <dimension ref="B2:AR141"/>
  <sheetViews>
    <sheetView zoomScale="60" zoomScaleNormal="60" workbookViewId="0">
      <selection activeCell="L14" sqref="L14"/>
    </sheetView>
  </sheetViews>
  <sheetFormatPr defaultColWidth="10.7109375" defaultRowHeight="15" x14ac:dyDescent="0.25"/>
  <cols>
    <col min="1" max="1" width="10.7109375" style="137"/>
    <col min="2" max="2" width="15.7109375" style="226" customWidth="1"/>
    <col min="3" max="3" width="18.28515625" style="137" bestFit="1" customWidth="1"/>
    <col min="4" max="4" width="24.140625" style="137" customWidth="1"/>
    <col min="5" max="8" width="10.7109375" style="137"/>
    <col min="9" max="9" width="12.5703125" style="137" customWidth="1"/>
    <col min="10" max="16384" width="10.7109375" style="137"/>
  </cols>
  <sheetData>
    <row r="2" spans="2:44" x14ac:dyDescent="0.25">
      <c r="B2" s="220"/>
      <c r="C2" s="208"/>
      <c r="D2" s="208"/>
      <c r="E2" s="208"/>
      <c r="F2" s="278" t="s">
        <v>362</v>
      </c>
      <c r="G2" s="278"/>
      <c r="H2" s="278"/>
      <c r="I2" s="221"/>
      <c r="J2" s="222"/>
      <c r="K2" s="222"/>
      <c r="L2" s="222"/>
      <c r="M2" s="222"/>
      <c r="N2" s="207"/>
      <c r="O2" s="208"/>
      <c r="P2" s="208"/>
      <c r="Q2" s="208" t="s">
        <v>0</v>
      </c>
      <c r="R2" s="208" t="s">
        <v>182</v>
      </c>
      <c r="S2" s="208" t="s">
        <v>157</v>
      </c>
      <c r="T2" s="208" t="s">
        <v>158</v>
      </c>
      <c r="U2" s="208" t="s">
        <v>159</v>
      </c>
      <c r="V2" s="208" t="s">
        <v>160</v>
      </c>
      <c r="W2" s="208" t="s">
        <v>161</v>
      </c>
      <c r="X2" s="208" t="s">
        <v>162</v>
      </c>
      <c r="Y2" s="208" t="s">
        <v>163</v>
      </c>
      <c r="Z2" s="208" t="s">
        <v>156</v>
      </c>
      <c r="AA2" s="208" t="s">
        <v>164</v>
      </c>
      <c r="AB2" s="208" t="s">
        <v>165</v>
      </c>
      <c r="AC2" s="208" t="s">
        <v>166</v>
      </c>
      <c r="AD2" s="208" t="s">
        <v>167</v>
      </c>
      <c r="AE2" s="208" t="s">
        <v>168</v>
      </c>
      <c r="AF2" s="208" t="s">
        <v>169</v>
      </c>
      <c r="AG2" s="208" t="s">
        <v>170</v>
      </c>
      <c r="AH2" s="208" t="s">
        <v>171</v>
      </c>
      <c r="AI2" s="208" t="s">
        <v>172</v>
      </c>
      <c r="AJ2" s="208" t="s">
        <v>173</v>
      </c>
      <c r="AK2" s="208" t="s">
        <v>174</v>
      </c>
      <c r="AL2" s="208" t="s">
        <v>175</v>
      </c>
      <c r="AM2" s="208" t="s">
        <v>176</v>
      </c>
      <c r="AN2" s="208" t="s">
        <v>177</v>
      </c>
      <c r="AO2" s="208" t="s">
        <v>178</v>
      </c>
      <c r="AP2" s="208" t="s">
        <v>179</v>
      </c>
      <c r="AQ2" s="208" t="s">
        <v>180</v>
      </c>
      <c r="AR2" s="209" t="s">
        <v>181</v>
      </c>
    </row>
    <row r="3" spans="2:44" x14ac:dyDescent="0.25">
      <c r="B3" s="223" t="s">
        <v>104</v>
      </c>
      <c r="C3" s="106" t="s">
        <v>359</v>
      </c>
      <c r="D3" s="106" t="s">
        <v>126</v>
      </c>
      <c r="E3" s="106" t="s">
        <v>3</v>
      </c>
      <c r="F3" s="106" t="s">
        <v>899</v>
      </c>
      <c r="G3" s="106" t="s">
        <v>898</v>
      </c>
      <c r="H3" s="106" t="s">
        <v>897</v>
      </c>
      <c r="I3" s="210" t="s">
        <v>1011</v>
      </c>
      <c r="N3" s="213" t="s">
        <v>943</v>
      </c>
      <c r="O3" s="106">
        <v>1</v>
      </c>
      <c r="P3" s="106" t="s">
        <v>944</v>
      </c>
      <c r="Q3" s="106">
        <v>0.27098</v>
      </c>
      <c r="R3" s="106">
        <v>2.4917000000000002E-2</v>
      </c>
      <c r="S3" s="106">
        <v>3.7597</v>
      </c>
      <c r="T3" s="106">
        <v>1.2956000000000001E-3</v>
      </c>
      <c r="U3" s="106">
        <v>9.7202999999999998E-2</v>
      </c>
      <c r="V3" s="106">
        <v>4.2809999999999998E-5</v>
      </c>
      <c r="W3" s="106">
        <v>4.5209999999999998E-4</v>
      </c>
      <c r="X3" s="106">
        <v>4.9120999999999998E-2</v>
      </c>
      <c r="Y3" s="106">
        <v>1.0307E-2</v>
      </c>
      <c r="Z3" s="106">
        <f>SUM(R3:Y3)</f>
        <v>3.9430385100000001</v>
      </c>
      <c r="AA3" s="106">
        <v>4.045E-3</v>
      </c>
      <c r="AB3" s="106">
        <v>0.26729999999999998</v>
      </c>
      <c r="AC3" s="106">
        <v>8.7509000000000003E-2</v>
      </c>
      <c r="AD3" s="106">
        <v>1.3473000000000001E-2</v>
      </c>
      <c r="AE3" s="106">
        <v>3.6495999999999998E-5</v>
      </c>
      <c r="AF3" s="106">
        <v>5.8689999999999999E-2</v>
      </c>
      <c r="AG3" s="106">
        <v>1.8117000000000001E-2</v>
      </c>
      <c r="AH3" s="106">
        <v>1.1724999999999999E-2</v>
      </c>
      <c r="AI3" s="106">
        <v>3.1690000000000003E-5</v>
      </c>
      <c r="AJ3" s="106">
        <v>1.7589E-2</v>
      </c>
      <c r="AK3" s="106">
        <v>-1.6668999999999999E-5</v>
      </c>
      <c r="AL3" s="106">
        <v>3.9211E-8</v>
      </c>
      <c r="AM3" s="106">
        <v>3.1997999999999998E-4</v>
      </c>
      <c r="AN3" s="106">
        <v>7.1602999999999999E-4</v>
      </c>
      <c r="AO3" s="106">
        <v>6.6465999999999997E-4</v>
      </c>
      <c r="AP3" s="106">
        <v>3.9483999999999997E-5</v>
      </c>
      <c r="AQ3" s="106">
        <v>6.6614999999999999E-3</v>
      </c>
      <c r="AR3" s="210">
        <v>7.1259999999999997E-4</v>
      </c>
    </row>
    <row r="4" spans="2:44" x14ac:dyDescent="0.25">
      <c r="B4" s="223" t="s">
        <v>2</v>
      </c>
      <c r="C4" s="227">
        <v>1</v>
      </c>
      <c r="D4" s="106" t="s">
        <v>892</v>
      </c>
      <c r="E4" s="106" t="s">
        <v>907</v>
      </c>
      <c r="F4" s="106" t="s">
        <v>904</v>
      </c>
      <c r="G4" s="106">
        <f>'[2]Amount Comparison'!$C$102</f>
        <v>1.92408</v>
      </c>
      <c r="H4" s="106">
        <f>'[2]Amount Comparison'!$C$101</f>
        <v>3.4717300000000009</v>
      </c>
      <c r="I4" s="210" t="s">
        <v>1021</v>
      </c>
      <c r="N4" s="213" t="s">
        <v>945</v>
      </c>
      <c r="O4" s="106">
        <v>1</v>
      </c>
      <c r="P4" s="106" t="s">
        <v>944</v>
      </c>
      <c r="Q4" s="106">
        <v>0.23411000000000001</v>
      </c>
      <c r="R4" s="106">
        <v>2.3053000000000001E-2</v>
      </c>
      <c r="S4" s="106">
        <v>3.4222999999999999</v>
      </c>
      <c r="T4" s="106">
        <v>1.2683E-3</v>
      </c>
      <c r="U4" s="106">
        <v>9.5580999999999999E-2</v>
      </c>
      <c r="V4" s="106">
        <v>4.1059000000000001E-5</v>
      </c>
      <c r="W4" s="106">
        <v>4.4201E-4</v>
      </c>
      <c r="X4" s="106">
        <v>4.9095E-2</v>
      </c>
      <c r="Y4" s="106">
        <v>1.0102999999999999E-2</v>
      </c>
      <c r="Z4" s="106">
        <f t="shared" ref="Z4:Z9" si="0">SUM(R4:Y4)</f>
        <v>3.6018833689999998</v>
      </c>
      <c r="AA4" s="106">
        <v>3.8003999999999998E-3</v>
      </c>
      <c r="AB4" s="106">
        <v>0.23164999999999999</v>
      </c>
      <c r="AC4" s="106">
        <v>7.9758999999999997E-2</v>
      </c>
      <c r="AD4" s="106">
        <v>1.3866E-2</v>
      </c>
      <c r="AE4" s="106">
        <v>3.7755E-5</v>
      </c>
      <c r="AF4" s="106">
        <v>6.2309999999999997E-2</v>
      </c>
      <c r="AG4" s="106">
        <v>1.6528999999999999E-2</v>
      </c>
      <c r="AH4" s="106">
        <v>1.204E-2</v>
      </c>
      <c r="AI4" s="106">
        <v>5.6026999999999997E-5</v>
      </c>
      <c r="AJ4" s="106">
        <v>1.7346E-2</v>
      </c>
      <c r="AK4" s="106">
        <v>-1.6633000000000002E-5</v>
      </c>
      <c r="AL4" s="106">
        <v>3.4872000000000003E-8</v>
      </c>
      <c r="AM4" s="106">
        <v>4.4361999999999998E-4</v>
      </c>
      <c r="AN4" s="106">
        <v>1.2229999999999999E-3</v>
      </c>
      <c r="AO4" s="106">
        <v>9.6159000000000001E-4</v>
      </c>
      <c r="AP4" s="106">
        <v>3.7722000000000002E-5</v>
      </c>
      <c r="AQ4" s="106">
        <v>6.6270000000000001E-3</v>
      </c>
      <c r="AR4" s="210">
        <v>7.0414000000000002E-4</v>
      </c>
    </row>
    <row r="5" spans="2:44" ht="15" customHeight="1" x14ac:dyDescent="0.25">
      <c r="B5" s="223">
        <f t="shared" ref="B5:B12" si="1">F5</f>
        <v>49.247605300652801</v>
      </c>
      <c r="C5" s="227">
        <v>2</v>
      </c>
      <c r="D5" s="106" t="s">
        <v>893</v>
      </c>
      <c r="E5" s="106" t="str">
        <f>E6</f>
        <v>MJ per capita per day</v>
      </c>
      <c r="F5" s="106">
        <f>S21</f>
        <v>49.247605300652801</v>
      </c>
      <c r="G5" s="106">
        <f>MIN(S21:S41)</f>
        <v>24.181458890140902</v>
      </c>
      <c r="H5" s="106">
        <f>MAX(S21:S41)</f>
        <v>74.21545309779016</v>
      </c>
      <c r="I5" s="210" t="s">
        <v>1023</v>
      </c>
      <c r="J5" s="222"/>
      <c r="N5" s="213" t="s">
        <v>295</v>
      </c>
      <c r="O5" s="106">
        <v>1</v>
      </c>
      <c r="P5" s="106" t="s">
        <v>944</v>
      </c>
      <c r="Q5" s="106">
        <v>0.33979999999999999</v>
      </c>
      <c r="R5" s="106">
        <v>3.2532999999999999E-2</v>
      </c>
      <c r="S5" s="106">
        <v>4.7183999999999999</v>
      </c>
      <c r="T5" s="106">
        <v>1.6715E-3</v>
      </c>
      <c r="U5" s="106">
        <v>0.12584000000000001</v>
      </c>
      <c r="V5" s="106">
        <v>5.2232999999999999E-5</v>
      </c>
      <c r="W5" s="106">
        <v>5.9770000000000005E-4</v>
      </c>
      <c r="X5" s="106">
        <v>6.3632999999999995E-2</v>
      </c>
      <c r="Y5" s="106">
        <v>1.3323E-2</v>
      </c>
      <c r="Z5" s="106">
        <f t="shared" si="0"/>
        <v>4.9560504329999997</v>
      </c>
      <c r="AA5" s="106">
        <v>5.2655999999999996E-3</v>
      </c>
      <c r="AB5" s="106">
        <v>0.33538000000000001</v>
      </c>
      <c r="AC5" s="106">
        <v>0.1099</v>
      </c>
      <c r="AD5" s="106">
        <v>1.7913999999999999E-2</v>
      </c>
      <c r="AE5" s="106">
        <v>4.7760999999999999E-5</v>
      </c>
      <c r="AF5" s="106">
        <v>7.6970999999999998E-2</v>
      </c>
      <c r="AG5" s="106">
        <v>2.2780000000000002E-2</v>
      </c>
      <c r="AH5" s="106">
        <v>1.5582E-2</v>
      </c>
      <c r="AI5" s="106">
        <v>4.1009E-5</v>
      </c>
      <c r="AJ5" s="106">
        <v>2.3355999999999998E-2</v>
      </c>
      <c r="AK5" s="106">
        <v>-2.1823000000000001E-5</v>
      </c>
      <c r="AL5" s="106">
        <v>4.8884000000000003E-8</v>
      </c>
      <c r="AM5" s="106">
        <v>4.1103999999999999E-4</v>
      </c>
      <c r="AN5" s="106">
        <v>8.8612999999999995E-4</v>
      </c>
      <c r="AO5" s="106">
        <v>8.4542000000000005E-4</v>
      </c>
      <c r="AP5" s="106">
        <v>5.1165000000000002E-5</v>
      </c>
      <c r="AQ5" s="106">
        <v>8.7036000000000006E-3</v>
      </c>
      <c r="AR5" s="210">
        <v>9.3154999999999996E-4</v>
      </c>
    </row>
    <row r="6" spans="2:44" x14ac:dyDescent="0.25">
      <c r="B6" s="223">
        <f t="shared" si="1"/>
        <v>18.36</v>
      </c>
      <c r="C6" s="227">
        <v>3</v>
      </c>
      <c r="D6" s="106" t="s">
        <v>894</v>
      </c>
      <c r="E6" s="106" t="str">
        <f>Accommodation!J4</f>
        <v>MJ per capita per day</v>
      </c>
      <c r="F6" s="106">
        <f>Accommodation!D9*3.6</f>
        <v>18.36</v>
      </c>
      <c r="G6" s="106">
        <f>4.1*3.6</f>
        <v>14.76</v>
      </c>
      <c r="H6" s="106">
        <f>6.1*3.6</f>
        <v>21.96</v>
      </c>
      <c r="I6" s="210" t="s">
        <v>964</v>
      </c>
      <c r="N6" s="213" t="s">
        <v>946</v>
      </c>
      <c r="O6" s="106">
        <v>1</v>
      </c>
      <c r="P6" s="106" t="s">
        <v>944</v>
      </c>
      <c r="Q6" s="106">
        <v>0.30947999999999998</v>
      </c>
      <c r="R6" s="106">
        <v>3.0366000000000001E-2</v>
      </c>
      <c r="S6" s="106">
        <v>4.5263</v>
      </c>
      <c r="T6" s="106">
        <v>1.6451E-3</v>
      </c>
      <c r="U6" s="106">
        <v>0.12443</v>
      </c>
      <c r="V6" s="106">
        <v>5.0414999999999998E-5</v>
      </c>
      <c r="W6" s="106">
        <v>5.8843000000000003E-4</v>
      </c>
      <c r="X6" s="106">
        <v>6.3986000000000001E-2</v>
      </c>
      <c r="Y6" s="106">
        <v>1.3128000000000001E-2</v>
      </c>
      <c r="Z6" s="106">
        <f t="shared" si="0"/>
        <v>4.7604939449999994</v>
      </c>
      <c r="AA6" s="106">
        <v>4.9994000000000002E-3</v>
      </c>
      <c r="AB6" s="106">
        <v>0.30630000000000002</v>
      </c>
      <c r="AC6" s="106">
        <v>0.10548</v>
      </c>
      <c r="AD6" s="106">
        <v>1.8460000000000001E-2</v>
      </c>
      <c r="AE6" s="106">
        <v>4.9688999999999998E-5</v>
      </c>
      <c r="AF6" s="106">
        <v>8.3004999999999995E-2</v>
      </c>
      <c r="AG6" s="106">
        <v>2.1753999999999999E-2</v>
      </c>
      <c r="AH6" s="106">
        <v>1.6025999999999999E-2</v>
      </c>
      <c r="AI6" s="106">
        <v>6.6041E-5</v>
      </c>
      <c r="AJ6" s="106">
        <v>2.3095000000000001E-2</v>
      </c>
      <c r="AK6" s="106">
        <v>-2.1902000000000001E-5</v>
      </c>
      <c r="AL6" s="106">
        <v>4.6199000000000002E-8</v>
      </c>
      <c r="AM6" s="106">
        <v>5.3910999999999998E-4</v>
      </c>
      <c r="AN6" s="106">
        <v>1.4122E-3</v>
      </c>
      <c r="AO6" s="106">
        <v>1.1557E-3</v>
      </c>
      <c r="AP6" s="106">
        <v>4.9824999999999998E-5</v>
      </c>
      <c r="AQ6" s="106">
        <v>8.6862999999999992E-3</v>
      </c>
      <c r="AR6" s="210">
        <v>9.2862999999999995E-4</v>
      </c>
    </row>
    <row r="7" spans="2:44" x14ac:dyDescent="0.25">
      <c r="B7" s="223">
        <f t="shared" si="1"/>
        <v>12.019178082191781</v>
      </c>
      <c r="C7" s="227">
        <v>4</v>
      </c>
      <c r="D7" s="106" t="s">
        <v>895</v>
      </c>
      <c r="E7" s="106" t="str">
        <f>E8</f>
        <v>kWh per capita per day</v>
      </c>
      <c r="F7" s="106">
        <f>4387/365</f>
        <v>12.019178082191781</v>
      </c>
      <c r="G7" s="106">
        <f>1950/365</f>
        <v>5.3424657534246576</v>
      </c>
      <c r="H7" s="106">
        <f>6711/365</f>
        <v>18.386301369863013</v>
      </c>
      <c r="I7" s="210" t="s">
        <v>1024</v>
      </c>
      <c r="N7" s="213" t="s">
        <v>947</v>
      </c>
      <c r="O7" s="106">
        <v>1</v>
      </c>
      <c r="P7" s="106" t="s">
        <v>944</v>
      </c>
      <c r="Q7" s="106">
        <v>0.40856999999999999</v>
      </c>
      <c r="R7" s="106">
        <v>4.0148999999999997E-2</v>
      </c>
      <c r="S7" s="106">
        <v>5.6764999999999999</v>
      </c>
      <c r="T7" s="106">
        <v>2.0474E-3</v>
      </c>
      <c r="U7" s="106">
        <v>0.15448000000000001</v>
      </c>
      <c r="V7" s="106">
        <v>6.1654000000000003E-5</v>
      </c>
      <c r="W7" s="106">
        <v>7.4328999999999997E-4</v>
      </c>
      <c r="X7" s="106">
        <v>7.8145000000000006E-2</v>
      </c>
      <c r="Y7" s="106">
        <v>1.634E-2</v>
      </c>
      <c r="Z7" s="106">
        <f t="shared" si="0"/>
        <v>5.9684663440000003</v>
      </c>
      <c r="AA7" s="106">
        <v>6.4860999999999999E-3</v>
      </c>
      <c r="AB7" s="106">
        <v>0.40340999999999999</v>
      </c>
      <c r="AC7" s="106">
        <v>0.13227</v>
      </c>
      <c r="AD7" s="106">
        <v>2.2353999999999999E-2</v>
      </c>
      <c r="AE7" s="106">
        <v>5.9026E-5</v>
      </c>
      <c r="AF7" s="106">
        <v>9.5252000000000003E-2</v>
      </c>
      <c r="AG7" s="106">
        <v>2.7442000000000001E-2</v>
      </c>
      <c r="AH7" s="106">
        <v>1.9438E-2</v>
      </c>
      <c r="AI7" s="106">
        <v>5.0327000000000001E-5</v>
      </c>
      <c r="AJ7" s="106">
        <v>2.9121999999999999E-2</v>
      </c>
      <c r="AK7" s="106">
        <v>-2.6976999999999999E-5</v>
      </c>
      <c r="AL7" s="106">
        <v>5.8549999999999998E-8</v>
      </c>
      <c r="AM7" s="106">
        <v>5.0208000000000002E-4</v>
      </c>
      <c r="AN7" s="106">
        <v>1.0567E-3</v>
      </c>
      <c r="AO7" s="106">
        <v>1.0261000000000001E-3</v>
      </c>
      <c r="AP7" s="106">
        <v>6.2844999999999999E-5</v>
      </c>
      <c r="AQ7" s="106">
        <v>1.0746E-2</v>
      </c>
      <c r="AR7" s="210">
        <v>1.1505E-3</v>
      </c>
    </row>
    <row r="8" spans="2:44" x14ac:dyDescent="0.25">
      <c r="B8" s="223">
        <f t="shared" si="1"/>
        <v>18.100000000000001</v>
      </c>
      <c r="C8" s="227">
        <v>5</v>
      </c>
      <c r="D8" s="106" t="s">
        <v>896</v>
      </c>
      <c r="E8" s="106" t="str">
        <f>Accommodation!D4</f>
        <v>kWh per capita per day</v>
      </c>
      <c r="F8" s="106">
        <f>Accommodation!D13-Accommodation!D9</f>
        <v>18.100000000000001</v>
      </c>
      <c r="G8" s="106">
        <f>Accommodation!F14</f>
        <v>14.799999999999999</v>
      </c>
      <c r="H8" s="106">
        <f>Accommodation!E14</f>
        <v>21.4</v>
      </c>
      <c r="I8" s="210" t="s">
        <v>964</v>
      </c>
      <c r="N8" s="213" t="s">
        <v>948</v>
      </c>
      <c r="O8" s="106">
        <v>1</v>
      </c>
      <c r="P8" s="106" t="s">
        <v>944</v>
      </c>
      <c r="Q8" s="106">
        <v>0.38601999999999997</v>
      </c>
      <c r="R8" s="106">
        <v>3.7691000000000002E-2</v>
      </c>
      <c r="S8" s="106">
        <v>5.6479999999999997</v>
      </c>
      <c r="T8" s="106">
        <v>2.0225999999999998E-3</v>
      </c>
      <c r="U8" s="106">
        <v>0.15334</v>
      </c>
      <c r="V8" s="106">
        <v>5.9803999999999999E-5</v>
      </c>
      <c r="W8" s="106">
        <v>7.3538E-4</v>
      </c>
      <c r="X8" s="106">
        <v>7.8902E-2</v>
      </c>
      <c r="Y8" s="106">
        <v>1.6159E-2</v>
      </c>
      <c r="Z8" s="106">
        <f t="shared" si="0"/>
        <v>5.936909784</v>
      </c>
      <c r="AA8" s="106">
        <v>6.2008999999999996E-3</v>
      </c>
      <c r="AB8" s="106">
        <v>0.38212000000000002</v>
      </c>
      <c r="AC8" s="106">
        <v>0.13159999999999999</v>
      </c>
      <c r="AD8" s="106">
        <v>2.3056E-2</v>
      </c>
      <c r="AE8" s="106">
        <v>6.1637000000000006E-5</v>
      </c>
      <c r="AF8" s="106">
        <v>0.10373</v>
      </c>
      <c r="AG8" s="106">
        <v>2.7054999999999999E-2</v>
      </c>
      <c r="AH8" s="106">
        <v>2.0013E-2</v>
      </c>
      <c r="AI8" s="106">
        <v>7.5692999999999995E-5</v>
      </c>
      <c r="AJ8" s="106">
        <v>2.8847999999999999E-2</v>
      </c>
      <c r="AK8" s="106">
        <v>-2.7178E-5</v>
      </c>
      <c r="AL8" s="106">
        <v>5.774E-8</v>
      </c>
      <c r="AM8" s="106">
        <v>6.3285000000000001E-4</v>
      </c>
      <c r="AN8" s="106">
        <v>1.5926E-3</v>
      </c>
      <c r="AO8" s="106">
        <v>1.3457E-3</v>
      </c>
      <c r="AP8" s="106">
        <v>6.198E-5</v>
      </c>
      <c r="AQ8" s="106">
        <v>1.0747E-2</v>
      </c>
      <c r="AR8" s="210">
        <v>1.1536999999999999E-3</v>
      </c>
    </row>
    <row r="9" spans="2:44" x14ac:dyDescent="0.25">
      <c r="B9" s="223" t="str">
        <f t="shared" si="1"/>
        <v>-</v>
      </c>
      <c r="C9" s="227">
        <v>6</v>
      </c>
      <c r="D9" s="106" t="s">
        <v>900</v>
      </c>
      <c r="E9" s="106" t="s">
        <v>958</v>
      </c>
      <c r="F9" s="106" t="s">
        <v>2</v>
      </c>
      <c r="G9" s="106">
        <v>0.13924520000000001</v>
      </c>
      <c r="H9" s="106">
        <v>0.58462000000000003</v>
      </c>
      <c r="I9" s="210" t="s">
        <v>1026</v>
      </c>
      <c r="N9" s="213" t="s">
        <v>949</v>
      </c>
      <c r="O9" s="106">
        <v>1</v>
      </c>
      <c r="P9" s="106" t="s">
        <v>944</v>
      </c>
      <c r="Q9" s="106">
        <v>0.22624</v>
      </c>
      <c r="R9" s="106">
        <v>5.7176999999999999E-2</v>
      </c>
      <c r="S9" s="106">
        <v>2.7799</v>
      </c>
      <c r="T9" s="106">
        <v>6.3762999999999997E-3</v>
      </c>
      <c r="U9" s="106">
        <v>0.43504999999999999</v>
      </c>
      <c r="V9" s="106">
        <v>1.0378E-4</v>
      </c>
      <c r="W9" s="106">
        <v>1.7821E-2</v>
      </c>
      <c r="X9" s="106">
        <v>0.21345</v>
      </c>
      <c r="Y9" s="106">
        <v>4.9246999999999999E-2</v>
      </c>
      <c r="Z9" s="106">
        <f t="shared" si="0"/>
        <v>3.5591250799999994</v>
      </c>
      <c r="AA9" s="106">
        <v>1.0588999999999999E-2</v>
      </c>
      <c r="AB9" s="106">
        <v>0.22198000000000001</v>
      </c>
      <c r="AC9" s="106">
        <v>6.8206000000000003E-2</v>
      </c>
      <c r="AD9" s="106">
        <v>3.0540999999999999E-2</v>
      </c>
      <c r="AE9" s="106">
        <v>1.4247000000000001E-4</v>
      </c>
      <c r="AF9" s="106">
        <v>0.15073</v>
      </c>
      <c r="AG9" s="106">
        <v>2.8962000000000002E-2</v>
      </c>
      <c r="AH9" s="106">
        <v>2.6587E-2</v>
      </c>
      <c r="AI9" s="106">
        <v>7.4373000000000001E-5</v>
      </c>
      <c r="AJ9" s="106">
        <v>7.7308000000000002E-2</v>
      </c>
      <c r="AK9" s="106">
        <v>-2.6565000000000001E-5</v>
      </c>
      <c r="AL9" s="106">
        <v>9.8270999999999997E-9</v>
      </c>
      <c r="AM9" s="106">
        <v>6.2571000000000002E-4</v>
      </c>
      <c r="AN9" s="106">
        <v>1.1972E-3</v>
      </c>
      <c r="AO9" s="106">
        <v>9.6029999999999998E-4</v>
      </c>
      <c r="AP9" s="106">
        <v>2.6441E-5</v>
      </c>
      <c r="AQ9" s="106">
        <v>6.0669000000000001E-3</v>
      </c>
      <c r="AR9" s="210">
        <v>1.7093E-3</v>
      </c>
    </row>
    <row r="10" spans="2:44" x14ac:dyDescent="0.25">
      <c r="B10" s="223">
        <f t="shared" si="1"/>
        <v>7.4462E-2</v>
      </c>
      <c r="C10" s="227">
        <v>7</v>
      </c>
      <c r="D10" s="106" t="s">
        <v>901</v>
      </c>
      <c r="E10" s="106" t="s">
        <v>958</v>
      </c>
      <c r="F10" s="106">
        <f>Q10</f>
        <v>7.4462E-2</v>
      </c>
      <c r="G10" s="106">
        <v>5.6999999999999998E-4</v>
      </c>
      <c r="H10" s="106">
        <f>MAX(Q10:Q18)</f>
        <v>7.6568999999999998E-2</v>
      </c>
      <c r="I10" s="210" t="s">
        <v>1031</v>
      </c>
      <c r="N10" s="213" t="s">
        <v>832</v>
      </c>
      <c r="O10" s="106">
        <v>1</v>
      </c>
      <c r="P10" s="106" t="s">
        <v>944</v>
      </c>
      <c r="Q10" s="106">
        <v>7.4462E-2</v>
      </c>
      <c r="R10" s="106">
        <v>7.4462E-2</v>
      </c>
      <c r="S10" s="106">
        <v>0.87446999999999997</v>
      </c>
      <c r="T10" s="106">
        <v>4.2768999999999999E-4</v>
      </c>
      <c r="U10" s="106">
        <v>0.18787999999999999</v>
      </c>
      <c r="V10" s="106">
        <v>2.0060000000000001E-5</v>
      </c>
      <c r="W10" s="106">
        <v>2.8479999999999998E-5</v>
      </c>
      <c r="X10" s="106">
        <v>2.4888E-2</v>
      </c>
      <c r="Y10" s="106">
        <v>7.2913000000000006E-2</v>
      </c>
      <c r="Z10" s="106">
        <v>1.23508923</v>
      </c>
      <c r="AA10" s="106">
        <v>2.5566E-3</v>
      </c>
      <c r="AB10" s="106">
        <v>7.3438000000000003E-2</v>
      </c>
      <c r="AC10" s="106">
        <v>2.0743000000000001E-2</v>
      </c>
      <c r="AD10" s="106">
        <v>1.8396E-3</v>
      </c>
      <c r="AE10" s="106">
        <v>8.1093000000000004E-5</v>
      </c>
      <c r="AF10" s="106">
        <v>5.0548999999999997E-2</v>
      </c>
      <c r="AG10" s="106">
        <v>1.0624E-2</v>
      </c>
      <c r="AH10" s="106">
        <v>1.7136E-3</v>
      </c>
      <c r="AI10" s="106">
        <v>2.8504999999999999E-5</v>
      </c>
      <c r="AJ10" s="106">
        <v>2.0625999999999999E-3</v>
      </c>
      <c r="AK10" s="106">
        <v>-6.9388999999999998E-6</v>
      </c>
      <c r="AL10" s="106">
        <v>3.6820999999999999E-9</v>
      </c>
      <c r="AM10" s="106">
        <v>1.1118E-4</v>
      </c>
      <c r="AN10" s="106">
        <v>2.9994E-4</v>
      </c>
      <c r="AO10" s="106">
        <v>2.3786E-4</v>
      </c>
      <c r="AP10" s="106">
        <v>2.7381000000000001E-6</v>
      </c>
      <c r="AQ10" s="106">
        <v>2.2783E-3</v>
      </c>
      <c r="AR10" s="210">
        <v>2.8075000000000002E-4</v>
      </c>
    </row>
    <row r="11" spans="2:44" x14ac:dyDescent="0.25">
      <c r="B11" s="223">
        <f t="shared" si="1"/>
        <v>0.33979999999999999</v>
      </c>
      <c r="C11" s="227">
        <v>8</v>
      </c>
      <c r="D11" s="106" t="s">
        <v>902</v>
      </c>
      <c r="E11" s="106" t="s">
        <v>958</v>
      </c>
      <c r="F11" s="106">
        <f>Q5</f>
        <v>0.33979999999999999</v>
      </c>
      <c r="G11" s="106">
        <f>MIN(Q3:Q9)</f>
        <v>0.22624</v>
      </c>
      <c r="H11" s="106">
        <f>MAX(Q3:Q9)</f>
        <v>0.40856999999999999</v>
      </c>
      <c r="I11" s="210" t="s">
        <v>1030</v>
      </c>
      <c r="N11" s="213" t="s">
        <v>950</v>
      </c>
      <c r="O11" s="106">
        <v>1</v>
      </c>
      <c r="P11" s="106" t="s">
        <v>944</v>
      </c>
      <c r="Q11" s="106">
        <v>4.5311999999999998E-2</v>
      </c>
      <c r="R11" s="106">
        <v>4.1388000000000001E-2</v>
      </c>
      <c r="S11" s="106">
        <v>0.55578000000000005</v>
      </c>
      <c r="T11" s="106">
        <v>2.7243999999999999E-4</v>
      </c>
      <c r="U11" s="106">
        <v>0.81796000000000002</v>
      </c>
      <c r="V11" s="106">
        <v>2.0231999999999999E-5</v>
      </c>
      <c r="W11" s="106">
        <v>1.2452E-5</v>
      </c>
      <c r="X11" s="106">
        <v>1.5561E-2</v>
      </c>
      <c r="Y11" s="106">
        <v>4.4512000000000003E-2</v>
      </c>
      <c r="Z11" s="106">
        <f t="shared" ref="Z11:Z13" si="2">SUM(R11:Y11)</f>
        <v>1.475506124</v>
      </c>
      <c r="AA11" s="106">
        <v>5.6582999999999998E-3</v>
      </c>
      <c r="AB11" s="106">
        <v>4.4641E-2</v>
      </c>
      <c r="AC11" s="106">
        <v>1.4466E-2</v>
      </c>
      <c r="AD11" s="106">
        <v>7.5265E-4</v>
      </c>
      <c r="AE11" s="106">
        <v>1.0008E-5</v>
      </c>
      <c r="AF11" s="106">
        <v>1.0095E-2</v>
      </c>
      <c r="AG11" s="106">
        <v>4.5298999999999999E-2</v>
      </c>
      <c r="AH11" s="106">
        <v>6.8992999999999995E-4</v>
      </c>
      <c r="AI11" s="106">
        <v>1.1049999999999999E-5</v>
      </c>
      <c r="AJ11" s="106">
        <v>2.3697000000000002E-3</v>
      </c>
      <c r="AK11" s="106">
        <v>-6.8096E-6</v>
      </c>
      <c r="AL11" s="106">
        <v>3.7650999999999997E-9</v>
      </c>
      <c r="AM11" s="106">
        <v>7.6679000000000002E-5</v>
      </c>
      <c r="AN11" s="106">
        <v>1.7347E-4</v>
      </c>
      <c r="AO11" s="106">
        <v>1.3354E-4</v>
      </c>
      <c r="AP11" s="106">
        <v>2.818E-6</v>
      </c>
      <c r="AQ11" s="106">
        <v>2.7038000000000001E-3</v>
      </c>
      <c r="AR11" s="210">
        <v>3.4879000000000003E-4</v>
      </c>
    </row>
    <row r="12" spans="2:44" x14ac:dyDescent="0.25">
      <c r="B12" s="224">
        <f t="shared" si="1"/>
        <v>1</v>
      </c>
      <c r="C12" s="228">
        <v>9</v>
      </c>
      <c r="D12" s="187" t="s">
        <v>903</v>
      </c>
      <c r="E12" s="187" t="s">
        <v>942</v>
      </c>
      <c r="F12" s="187">
        <v>1</v>
      </c>
      <c r="G12" s="187" t="s">
        <v>2</v>
      </c>
      <c r="H12" s="187">
        <v>1.1020000000000001</v>
      </c>
      <c r="I12" s="212" t="s">
        <v>1033</v>
      </c>
      <c r="J12" s="225"/>
      <c r="N12" s="213" t="s">
        <v>951</v>
      </c>
      <c r="O12" s="106">
        <v>1</v>
      </c>
      <c r="P12" s="106" t="s">
        <v>944</v>
      </c>
      <c r="Q12" s="106">
        <v>2.3726000000000001E-2</v>
      </c>
      <c r="R12" s="106">
        <v>5.3289000000000001E-3</v>
      </c>
      <c r="S12" s="106">
        <v>0.30842000000000003</v>
      </c>
      <c r="T12" s="106">
        <v>2.8205E-4</v>
      </c>
      <c r="U12" s="106">
        <v>0.61036999999999997</v>
      </c>
      <c r="V12" s="106">
        <v>1.0614999999999999E-5</v>
      </c>
      <c r="W12" s="106">
        <v>1.0394000000000001E-5</v>
      </c>
      <c r="X12" s="106">
        <v>2.8896000000000002E-2</v>
      </c>
      <c r="Y12" s="106">
        <v>1.2439E-2</v>
      </c>
      <c r="Z12" s="106">
        <f t="shared" si="2"/>
        <v>0.96575695900000003</v>
      </c>
      <c r="AA12" s="106">
        <v>8.8148000000000002E-4</v>
      </c>
      <c r="AB12" s="106">
        <v>2.3289000000000001E-2</v>
      </c>
      <c r="AC12" s="106">
        <v>7.4494000000000001E-3</v>
      </c>
      <c r="AD12" s="106">
        <v>4.2656999999999998E-4</v>
      </c>
      <c r="AE12" s="106">
        <v>5.0493000000000001E-6</v>
      </c>
      <c r="AF12" s="106">
        <v>5.7028000000000001E-3</v>
      </c>
      <c r="AG12" s="106">
        <v>3.1310999999999999E-2</v>
      </c>
      <c r="AH12" s="106">
        <v>3.9209999999999999E-4</v>
      </c>
      <c r="AI12" s="106">
        <v>1.0173999999999999E-5</v>
      </c>
      <c r="AJ12" s="106">
        <v>1.5295E-3</v>
      </c>
      <c r="AK12" s="106">
        <v>-4.3069000000000002E-6</v>
      </c>
      <c r="AL12" s="106">
        <v>2.5702000000000001E-9</v>
      </c>
      <c r="AM12" s="106">
        <v>7.5444000000000005E-5</v>
      </c>
      <c r="AN12" s="106">
        <v>2.009E-4</v>
      </c>
      <c r="AO12" s="106">
        <v>1.3972E-4</v>
      </c>
      <c r="AP12" s="106">
        <v>1.9773999999999999E-6</v>
      </c>
      <c r="AQ12" s="106">
        <v>1.7711000000000001E-3</v>
      </c>
      <c r="AR12" s="210">
        <v>2.4384999999999999E-4</v>
      </c>
    </row>
    <row r="13" spans="2:44" x14ac:dyDescent="0.25">
      <c r="N13" s="213" t="s">
        <v>952</v>
      </c>
      <c r="O13" s="106">
        <v>1</v>
      </c>
      <c r="P13" s="106" t="s">
        <v>944</v>
      </c>
      <c r="Q13" s="106">
        <v>4.8857999999999999E-2</v>
      </c>
      <c r="R13" s="106">
        <v>1.6511000000000001E-2</v>
      </c>
      <c r="S13" s="106">
        <v>0.67630000000000001</v>
      </c>
      <c r="T13" s="106">
        <v>1.1653999999999999E-2</v>
      </c>
      <c r="U13" s="106">
        <v>8.1476000000000007E-2</v>
      </c>
      <c r="V13" s="106">
        <v>1.4080000000000001E-5</v>
      </c>
      <c r="W13" s="106">
        <v>1.9726999999999999E-5</v>
      </c>
      <c r="X13" s="106">
        <v>6.2668000000000001E-2</v>
      </c>
      <c r="Y13" s="106">
        <v>2.2689999999999998E-2</v>
      </c>
      <c r="Z13" s="106">
        <f t="shared" si="2"/>
        <v>0.87133280700000004</v>
      </c>
      <c r="AA13" s="106">
        <v>2.3684000000000001E-3</v>
      </c>
      <c r="AB13" s="106">
        <v>4.7964E-2</v>
      </c>
      <c r="AC13" s="106">
        <v>1.7547E-2</v>
      </c>
      <c r="AD13" s="106">
        <v>5.7348000000000002E-4</v>
      </c>
      <c r="AE13" s="106">
        <v>1.0895E-5</v>
      </c>
      <c r="AF13" s="106">
        <v>9.0259999999999993E-3</v>
      </c>
      <c r="AG13" s="106">
        <v>5.2636000000000002E-3</v>
      </c>
      <c r="AH13" s="106">
        <v>5.2596999999999995E-4</v>
      </c>
      <c r="AI13" s="106">
        <v>1.0426E-5</v>
      </c>
      <c r="AJ13" s="106">
        <v>1.4549999999999999E-3</v>
      </c>
      <c r="AK13" s="106">
        <v>-4.5515999999999998E-6</v>
      </c>
      <c r="AL13" s="106">
        <v>5.6096999999999998E-9</v>
      </c>
      <c r="AM13" s="106">
        <v>9.1929999999999996E-5</v>
      </c>
      <c r="AN13" s="106">
        <v>2.1754000000000001E-4</v>
      </c>
      <c r="AO13" s="106">
        <v>2.1010000000000001E-4</v>
      </c>
      <c r="AP13" s="106">
        <v>2.3151999999999999E-6</v>
      </c>
      <c r="AQ13" s="106">
        <v>1.6624999999999999E-3</v>
      </c>
      <c r="AR13" s="210">
        <v>3.8234E-4</v>
      </c>
    </row>
    <row r="14" spans="2:44" x14ac:dyDescent="0.25">
      <c r="B14" s="279" t="str">
        <f>D4</f>
        <v>Food consumption</v>
      </c>
      <c r="C14" s="137" t="s">
        <v>776</v>
      </c>
      <c r="D14" s="137" t="str">
        <f t="shared" ref="D14:G15" si="3">E3</f>
        <v>Unit</v>
      </c>
      <c r="E14" s="137" t="str">
        <f t="shared" si="3"/>
        <v>Base</v>
      </c>
      <c r="F14" s="137" t="str">
        <f t="shared" si="3"/>
        <v>Low</v>
      </c>
      <c r="G14" s="137" t="str">
        <f t="shared" si="3"/>
        <v>High</v>
      </c>
      <c r="H14" s="137" t="s">
        <v>912</v>
      </c>
      <c r="I14" s="137" t="s">
        <v>908</v>
      </c>
      <c r="J14" s="137" t="s">
        <v>909</v>
      </c>
      <c r="N14" s="213" t="s">
        <v>953</v>
      </c>
      <c r="O14" s="106">
        <v>1</v>
      </c>
      <c r="P14" s="106" t="s">
        <v>944</v>
      </c>
      <c r="Q14" s="106">
        <v>7.6568999999999998E-2</v>
      </c>
      <c r="R14" s="106">
        <v>1.4241E-2</v>
      </c>
      <c r="S14" s="106">
        <v>0.91779999999999995</v>
      </c>
      <c r="T14" s="106">
        <v>2.0707999999999998E-3</v>
      </c>
      <c r="U14" s="106">
        <v>0.12168</v>
      </c>
      <c r="V14" s="106">
        <v>4.2477E-5</v>
      </c>
      <c r="W14" s="106">
        <v>9.5938999999999997E-6</v>
      </c>
      <c r="X14" s="106">
        <v>6.3543000000000002E-2</v>
      </c>
      <c r="Y14" s="106">
        <v>1.4494E-2</v>
      </c>
      <c r="Z14" s="106">
        <f>SUM(R14:Y14)</f>
        <v>1.1338808708999999</v>
      </c>
      <c r="AA14" s="106">
        <v>2.7358E-3</v>
      </c>
      <c r="AB14" s="106">
        <v>7.5342000000000006E-2</v>
      </c>
      <c r="AC14" s="106">
        <v>2.2321000000000001E-2</v>
      </c>
      <c r="AD14" s="106">
        <v>1.0250999999999999E-3</v>
      </c>
      <c r="AE14" s="106">
        <v>3.1470999999999997E-5</v>
      </c>
      <c r="AF14" s="106">
        <v>2.3642E-2</v>
      </c>
      <c r="AG14" s="106">
        <v>8.8929000000000005E-3</v>
      </c>
      <c r="AH14" s="106">
        <v>9.3004999999999997E-4</v>
      </c>
      <c r="AI14" s="106">
        <v>1.9530000000000001E-5</v>
      </c>
      <c r="AJ14" s="106">
        <v>1.7677999999999999E-3</v>
      </c>
      <c r="AK14" s="106">
        <v>-8.0396000000000001E-6</v>
      </c>
      <c r="AL14" s="106">
        <v>3.6042E-9</v>
      </c>
      <c r="AM14" s="106">
        <v>2.1903E-4</v>
      </c>
      <c r="AN14" s="106">
        <v>3.4269999999999998E-4</v>
      </c>
      <c r="AO14" s="106">
        <v>3.4707999999999999E-4</v>
      </c>
      <c r="AP14" s="106">
        <v>3.7135999999999999E-6</v>
      </c>
      <c r="AQ14" s="106">
        <v>2.2166E-3</v>
      </c>
      <c r="AR14" s="210">
        <v>4.3153000000000001E-4</v>
      </c>
    </row>
    <row r="15" spans="2:44" x14ac:dyDescent="0.25">
      <c r="B15" s="279"/>
      <c r="C15" s="137" t="s">
        <v>775</v>
      </c>
      <c r="D15" s="137" t="str">
        <f t="shared" si="3"/>
        <v>kg/capita/day</v>
      </c>
      <c r="E15" s="137" t="str">
        <f t="shared" si="3"/>
        <v>Average</v>
      </c>
      <c r="F15" s="137">
        <f t="shared" si="3"/>
        <v>1.92408</v>
      </c>
      <c r="G15" s="137">
        <f t="shared" si="3"/>
        <v>3.4717300000000009</v>
      </c>
      <c r="H15" s="137">
        <v>839.63096223972445</v>
      </c>
      <c r="I15" s="137">
        <v>830.90940844985425</v>
      </c>
      <c r="J15" s="137">
        <v>842.00583297665639</v>
      </c>
      <c r="N15" s="213" t="s">
        <v>954</v>
      </c>
      <c r="O15" s="106">
        <v>1</v>
      </c>
      <c r="P15" s="106" t="s">
        <v>944</v>
      </c>
      <c r="Q15" s="106">
        <v>6.0956999999999997E-2</v>
      </c>
      <c r="R15" s="106">
        <v>1.5022000000000001E-2</v>
      </c>
      <c r="S15" s="106">
        <v>0.68994</v>
      </c>
      <c r="T15" s="106">
        <v>2.9604000000000002E-4</v>
      </c>
      <c r="U15" s="106">
        <v>0.17501</v>
      </c>
      <c r="V15" s="106">
        <v>1.8411999999999999E-5</v>
      </c>
      <c r="W15" s="106">
        <v>2.4834999999999999E-5</v>
      </c>
      <c r="X15" s="106">
        <v>2.1543E-2</v>
      </c>
      <c r="Y15" s="106">
        <v>7.0331000000000005E-2</v>
      </c>
      <c r="Z15" s="106">
        <f>SUM(R15:Y15)</f>
        <v>0.97218528699999995</v>
      </c>
      <c r="AA15" s="106">
        <v>2.3896E-3</v>
      </c>
      <c r="AB15" s="106">
        <v>6.0144999999999997E-2</v>
      </c>
      <c r="AC15" s="106">
        <v>1.6475E-2</v>
      </c>
      <c r="AD15" s="106">
        <v>3.0184000000000001E-3</v>
      </c>
      <c r="AE15" s="106">
        <v>8.0161999999999996E-5</v>
      </c>
      <c r="AF15" s="106">
        <v>5.2482000000000001E-2</v>
      </c>
      <c r="AG15" s="106">
        <v>9.2803E-3</v>
      </c>
      <c r="AH15" s="106">
        <v>2.7309999999999999E-3</v>
      </c>
      <c r="AI15" s="106">
        <v>2.1659E-5</v>
      </c>
      <c r="AJ15" s="106">
        <v>6.0095000000000001E-3</v>
      </c>
      <c r="AK15" s="106">
        <v>-2.1857000000000001E-5</v>
      </c>
      <c r="AL15" s="106">
        <v>1.9115999999999999E-9</v>
      </c>
      <c r="AM15" s="106">
        <v>6.5541000000000001E-5</v>
      </c>
      <c r="AN15" s="106">
        <v>1.18E-4</v>
      </c>
      <c r="AO15" s="106">
        <v>1.2933000000000001E-4</v>
      </c>
      <c r="AP15" s="106">
        <v>2.5565999999999998E-6</v>
      </c>
      <c r="AQ15" s="106">
        <v>3.5664E-3</v>
      </c>
      <c r="AR15" s="210">
        <v>2.5319999999999997E-4</v>
      </c>
    </row>
    <row r="16" spans="2:44" x14ac:dyDescent="0.25">
      <c r="B16" s="279"/>
      <c r="C16" s="137" t="s">
        <v>593</v>
      </c>
      <c r="D16" s="137" t="str">
        <f>D15</f>
        <v>kg/capita/day</v>
      </c>
      <c r="E16" s="137" t="str">
        <f t="shared" ref="E16:G16" si="4">E15</f>
        <v>Average</v>
      </c>
      <c r="F16" s="137">
        <f t="shared" si="4"/>
        <v>1.92408</v>
      </c>
      <c r="G16" s="137">
        <f t="shared" si="4"/>
        <v>3.4717300000000009</v>
      </c>
      <c r="H16" s="137">
        <v>54.754055475140696</v>
      </c>
      <c r="I16" s="137">
        <v>48.25344882223969</v>
      </c>
      <c r="J16" s="137">
        <v>57.019088019956172</v>
      </c>
      <c r="N16" s="213" t="s">
        <v>955</v>
      </c>
      <c r="O16" s="106">
        <v>1</v>
      </c>
      <c r="P16" s="106" t="s">
        <v>944</v>
      </c>
      <c r="Q16" s="106">
        <v>1.9980999999999999E-2</v>
      </c>
      <c r="R16" s="106">
        <v>7.0825999999999997E-3</v>
      </c>
      <c r="S16" s="106">
        <v>0.24653</v>
      </c>
      <c r="T16" s="106">
        <v>2.8056000000000001E-4</v>
      </c>
      <c r="U16" s="106">
        <v>0.89544000000000001</v>
      </c>
      <c r="V16" s="106">
        <v>1.7886000000000001E-5</v>
      </c>
      <c r="W16" s="106">
        <v>8.5470999999999999E-6</v>
      </c>
      <c r="X16" s="106">
        <v>4.0067999999999999E-2</v>
      </c>
      <c r="Y16" s="106">
        <v>1.7443E-2</v>
      </c>
      <c r="Z16" s="106">
        <f>SUM(R16:Y16)</f>
        <v>1.2068705931000001</v>
      </c>
      <c r="AA16" s="106">
        <v>1.1594999999999999E-3</v>
      </c>
      <c r="AB16" s="106">
        <v>1.9591999999999998E-2</v>
      </c>
      <c r="AC16" s="106">
        <v>6.1808000000000002E-3</v>
      </c>
      <c r="AD16" s="106">
        <v>1.8397999999999999E-3</v>
      </c>
      <c r="AE16" s="106">
        <v>8.1309000000000004E-6</v>
      </c>
      <c r="AF16" s="106">
        <v>1.1172E-2</v>
      </c>
      <c r="AG16" s="106">
        <v>4.5089999999999998E-2</v>
      </c>
      <c r="AH16" s="106">
        <v>1.6218999999999999E-3</v>
      </c>
      <c r="AI16" s="106">
        <v>7.3621999999999996E-6</v>
      </c>
      <c r="AJ16" s="106">
        <v>5.9789999999999999E-3</v>
      </c>
      <c r="AK16" s="106">
        <v>-2.0268999999999999E-5</v>
      </c>
      <c r="AL16" s="106">
        <v>1.5999E-9</v>
      </c>
      <c r="AM16" s="106">
        <v>5.2173999999999999E-5</v>
      </c>
      <c r="AN16" s="106">
        <v>7.9599999999999997E-5</v>
      </c>
      <c r="AO16" s="106">
        <v>7.9641000000000005E-5</v>
      </c>
      <c r="AP16" s="106">
        <v>2.7756000000000002E-6</v>
      </c>
      <c r="AQ16" s="106">
        <v>3.4610000000000001E-3</v>
      </c>
      <c r="AR16" s="210">
        <v>3.3729000000000002E-4</v>
      </c>
    </row>
    <row r="17" spans="2:44" x14ac:dyDescent="0.25">
      <c r="B17" s="279"/>
      <c r="C17" s="137" t="s">
        <v>594</v>
      </c>
      <c r="D17" s="137" t="str">
        <f t="shared" ref="D17:D21" si="5">D16</f>
        <v>kg/capita/day</v>
      </c>
      <c r="E17" s="137" t="str">
        <f t="shared" ref="E17:E21" si="6">E16</f>
        <v>Average</v>
      </c>
      <c r="F17" s="137">
        <f t="shared" ref="F17:F21" si="7">F16</f>
        <v>1.92408</v>
      </c>
      <c r="G17" s="137">
        <f t="shared" ref="G17:G21" si="8">G16</f>
        <v>3.4717300000000009</v>
      </c>
      <c r="H17" s="137">
        <v>682.28532815018957</v>
      </c>
      <c r="I17" s="137">
        <v>673.82152073060672</v>
      </c>
      <c r="J17" s="137">
        <v>684.90817084576929</v>
      </c>
      <c r="N17" s="213" t="s">
        <v>956</v>
      </c>
      <c r="O17" s="106">
        <v>1</v>
      </c>
      <c r="P17" s="106" t="s">
        <v>944</v>
      </c>
      <c r="Q17" s="106">
        <v>4.8833000000000001E-2</v>
      </c>
      <c r="R17" s="106">
        <v>1.8216E-2</v>
      </c>
      <c r="S17" s="106">
        <v>0.66944999999999999</v>
      </c>
      <c r="T17" s="106">
        <v>1.2862999999999999E-2</v>
      </c>
      <c r="U17" s="106">
        <v>8.6193000000000006E-2</v>
      </c>
      <c r="V17" s="106">
        <v>1.9808000000000001E-5</v>
      </c>
      <c r="W17" s="106">
        <v>2.0132E-5</v>
      </c>
      <c r="X17" s="106">
        <v>6.9080000000000003E-2</v>
      </c>
      <c r="Y17" s="106">
        <v>2.4764999999999999E-2</v>
      </c>
      <c r="Z17" s="106">
        <f>SUM(R17:Y17)</f>
        <v>0.88060693999999995</v>
      </c>
      <c r="AA17" s="106">
        <v>2.6426000000000002E-3</v>
      </c>
      <c r="AB17" s="106">
        <v>4.7895E-2</v>
      </c>
      <c r="AC17" s="106">
        <v>1.7628000000000001E-2</v>
      </c>
      <c r="AD17" s="106">
        <v>1.9734000000000002E-3</v>
      </c>
      <c r="AE17" s="106">
        <v>1.4351E-5</v>
      </c>
      <c r="AF17" s="106">
        <v>1.4341E-2</v>
      </c>
      <c r="AG17" s="106">
        <v>5.2467E-3</v>
      </c>
      <c r="AH17" s="106">
        <v>1.7439000000000001E-3</v>
      </c>
      <c r="AI17" s="106">
        <v>8.2531999999999992E-6</v>
      </c>
      <c r="AJ17" s="106">
        <v>5.9154999999999998E-3</v>
      </c>
      <c r="AK17" s="106">
        <v>-2.0937999999999998E-5</v>
      </c>
      <c r="AL17" s="106">
        <v>5.2592999999999998E-9</v>
      </c>
      <c r="AM17" s="106">
        <v>7.9221999999999995E-5</v>
      </c>
      <c r="AN17" s="106">
        <v>1.3887E-4</v>
      </c>
      <c r="AO17" s="106">
        <v>1.7662E-4</v>
      </c>
      <c r="AP17" s="106">
        <v>3.2107E-6</v>
      </c>
      <c r="AQ17" s="106">
        <v>3.5354000000000002E-3</v>
      </c>
      <c r="AR17" s="210">
        <v>4.3152000000000002E-4</v>
      </c>
    </row>
    <row r="18" spans="2:44" x14ac:dyDescent="0.25">
      <c r="B18" s="279"/>
      <c r="C18" s="137" t="s">
        <v>595</v>
      </c>
      <c r="D18" s="137" t="str">
        <f t="shared" si="5"/>
        <v>kg/capita/day</v>
      </c>
      <c r="E18" s="137" t="str">
        <f t="shared" si="6"/>
        <v>Average</v>
      </c>
      <c r="F18" s="137">
        <f t="shared" si="7"/>
        <v>1.92408</v>
      </c>
      <c r="G18" s="137">
        <f t="shared" si="8"/>
        <v>3.4717300000000009</v>
      </c>
      <c r="H18" s="137">
        <v>568.09303518054969</v>
      </c>
      <c r="I18" s="137">
        <v>559.61600999838811</v>
      </c>
      <c r="J18" s="137">
        <v>570.70316136542954</v>
      </c>
      <c r="N18" s="211" t="s">
        <v>957</v>
      </c>
      <c r="O18" s="187">
        <v>1</v>
      </c>
      <c r="P18" s="187" t="s">
        <v>944</v>
      </c>
      <c r="Q18" s="187">
        <v>7.1419999999999997E-2</v>
      </c>
      <c r="R18" s="187">
        <v>1.4692E-2</v>
      </c>
      <c r="S18" s="187">
        <v>0.83518000000000003</v>
      </c>
      <c r="T18" s="187">
        <v>2.0861E-3</v>
      </c>
      <c r="U18" s="187">
        <v>0.12435</v>
      </c>
      <c r="V18" s="187">
        <v>4.6792000000000002E-5</v>
      </c>
      <c r="W18" s="187">
        <v>8.8898000000000008E-6</v>
      </c>
      <c r="X18" s="187">
        <v>6.5921999999999994E-2</v>
      </c>
      <c r="Y18" s="187">
        <v>1.4885000000000001E-2</v>
      </c>
      <c r="Z18" s="187">
        <f>SUM(R18:Y18)</f>
        <v>1.0571707818</v>
      </c>
      <c r="AA18" s="187">
        <v>2.8408000000000001E-3</v>
      </c>
      <c r="AB18" s="187">
        <v>7.0264999999999994E-2</v>
      </c>
      <c r="AC18" s="187">
        <v>2.0493999999999998E-2</v>
      </c>
      <c r="AD18" s="187">
        <v>2.3481999999999999E-3</v>
      </c>
      <c r="AE18" s="187">
        <v>3.4793999999999999E-5</v>
      </c>
      <c r="AF18" s="187">
        <v>2.8573999999999999E-2</v>
      </c>
      <c r="AG18" s="187">
        <v>8.6201999999999997E-3</v>
      </c>
      <c r="AH18" s="187">
        <v>2.0777999999999999E-3</v>
      </c>
      <c r="AI18" s="187">
        <v>1.5554E-5</v>
      </c>
      <c r="AJ18" s="187">
        <v>5.9109999999999996E-3</v>
      </c>
      <c r="AK18" s="187">
        <v>-2.3560000000000001E-5</v>
      </c>
      <c r="AL18" s="187">
        <v>2.3624E-9</v>
      </c>
      <c r="AM18" s="187">
        <v>1.9536999999999999E-4</v>
      </c>
      <c r="AN18" s="187">
        <v>2.139E-4</v>
      </c>
      <c r="AO18" s="187">
        <v>2.8123999999999998E-4</v>
      </c>
      <c r="AP18" s="187">
        <v>4.2119999999999997E-6</v>
      </c>
      <c r="AQ18" s="187">
        <v>3.6916000000000002E-3</v>
      </c>
      <c r="AR18" s="212">
        <v>4.5048000000000001E-4</v>
      </c>
    </row>
    <row r="19" spans="2:44" x14ac:dyDescent="0.25">
      <c r="B19" s="279"/>
      <c r="C19" s="137" t="s">
        <v>596</v>
      </c>
      <c r="D19" s="137" t="str">
        <f t="shared" si="5"/>
        <v>kg/capita/day</v>
      </c>
      <c r="E19" s="137" t="str">
        <f t="shared" si="6"/>
        <v>Average</v>
      </c>
      <c r="F19" s="137">
        <f t="shared" si="7"/>
        <v>1.92408</v>
      </c>
      <c r="G19" s="137">
        <f t="shared" si="8"/>
        <v>3.4717300000000009</v>
      </c>
      <c r="H19" s="137">
        <v>503.30396637274634</v>
      </c>
      <c r="I19" s="137">
        <v>494.82694119058465</v>
      </c>
      <c r="J19" s="137">
        <v>505.91409255762613</v>
      </c>
    </row>
    <row r="20" spans="2:44" x14ac:dyDescent="0.25">
      <c r="B20" s="279"/>
      <c r="C20" s="137" t="s">
        <v>597</v>
      </c>
      <c r="D20" s="137" t="str">
        <f t="shared" si="5"/>
        <v>kg/capita/day</v>
      </c>
      <c r="E20" s="137" t="str">
        <f t="shared" si="6"/>
        <v>Average</v>
      </c>
      <c r="F20" s="137">
        <f t="shared" si="7"/>
        <v>1.92408</v>
      </c>
      <c r="G20" s="137">
        <f t="shared" si="8"/>
        <v>3.4717300000000009</v>
      </c>
      <c r="H20" s="137">
        <v>486.80311094478617</v>
      </c>
      <c r="I20" s="137">
        <v>478.99779242789867</v>
      </c>
      <c r="J20" s="137">
        <v>490.08494379494016</v>
      </c>
      <c r="N20" s="207"/>
      <c r="O20" s="208" t="s">
        <v>936</v>
      </c>
      <c r="P20" s="208" t="s">
        <v>937</v>
      </c>
      <c r="Q20" s="208" t="s">
        <v>935</v>
      </c>
      <c r="R20" s="208" t="s">
        <v>938</v>
      </c>
      <c r="S20" s="209" t="s">
        <v>940</v>
      </c>
    </row>
    <row r="21" spans="2:44" x14ac:dyDescent="0.25">
      <c r="B21" s="279"/>
      <c r="C21" s="137" t="s">
        <v>739</v>
      </c>
      <c r="D21" s="137" t="str">
        <f t="shared" si="5"/>
        <v>kg/capita/day</v>
      </c>
      <c r="E21" s="137" t="str">
        <f t="shared" si="6"/>
        <v>Average</v>
      </c>
      <c r="F21" s="137">
        <f t="shared" si="7"/>
        <v>1.92408</v>
      </c>
      <c r="G21" s="137">
        <f t="shared" si="8"/>
        <v>3.4717300000000009</v>
      </c>
      <c r="H21" s="137">
        <v>455.38200283198438</v>
      </c>
      <c r="I21" s="137">
        <v>447.57668431509683</v>
      </c>
      <c r="J21" s="137">
        <v>458.66383568213831</v>
      </c>
      <c r="N21" s="213" t="s">
        <v>934</v>
      </c>
      <c r="O21" s="106">
        <v>35.299999999999997</v>
      </c>
      <c r="P21" s="106">
        <v>14.8</v>
      </c>
      <c r="Q21" s="106">
        <v>118.2</v>
      </c>
      <c r="R21" s="106">
        <f>(O21+P21)*1055.56/365</f>
        <v>144.88645479452052</v>
      </c>
      <c r="S21" s="210">
        <f t="shared" ref="S21:S41" si="9">R21/$O$43</f>
        <v>49.247605300652801</v>
      </c>
    </row>
    <row r="22" spans="2:44" x14ac:dyDescent="0.25">
      <c r="B22" s="279"/>
      <c r="C22" s="137" t="s">
        <v>156</v>
      </c>
      <c r="D22" s="137" t="str">
        <f t="shared" ref="D22:G29" si="10">D14</f>
        <v>Unit</v>
      </c>
      <c r="E22" s="137" t="str">
        <f t="shared" si="10"/>
        <v>Base</v>
      </c>
      <c r="F22" s="137" t="str">
        <f t="shared" si="10"/>
        <v>Low</v>
      </c>
      <c r="G22" s="137" t="str">
        <f t="shared" si="10"/>
        <v>High</v>
      </c>
      <c r="H22" s="137" t="s">
        <v>913</v>
      </c>
      <c r="I22" s="137" t="s">
        <v>910</v>
      </c>
      <c r="J22" s="137" t="s">
        <v>911</v>
      </c>
      <c r="N22" s="213" t="s">
        <v>914</v>
      </c>
      <c r="O22" s="106">
        <v>53.1</v>
      </c>
      <c r="P22" s="106">
        <v>16.5</v>
      </c>
      <c r="Q22" s="106">
        <v>21</v>
      </c>
      <c r="R22" s="106">
        <f t="shared" ref="R22:R41" si="11">(O22+P22)*1055.56/365</f>
        <v>201.27938630136984</v>
      </c>
      <c r="S22" s="210">
        <f t="shared" si="9"/>
        <v>68.415834908691323</v>
      </c>
    </row>
    <row r="23" spans="2:44" x14ac:dyDescent="0.25">
      <c r="B23" s="279"/>
      <c r="C23" s="137" t="str">
        <f t="shared" ref="C23:C29" si="12">C15</f>
        <v>1 hub</v>
      </c>
      <c r="D23" s="137" t="str">
        <f t="shared" si="10"/>
        <v>kg/capita/day</v>
      </c>
      <c r="E23" s="137" t="str">
        <f t="shared" si="10"/>
        <v>Average</v>
      </c>
      <c r="F23" s="137">
        <f t="shared" si="10"/>
        <v>1.92408</v>
      </c>
      <c r="G23" s="137">
        <f t="shared" si="10"/>
        <v>3.4717300000000009</v>
      </c>
      <c r="H23" s="137">
        <v>9490.5583194463925</v>
      </c>
      <c r="I23" s="137">
        <v>9370.7311938031817</v>
      </c>
      <c r="J23" s="137">
        <v>9523.1871308986883</v>
      </c>
      <c r="N23" s="213" t="s">
        <v>915</v>
      </c>
      <c r="O23" s="106">
        <v>35.700000000000003</v>
      </c>
      <c r="P23" s="106">
        <v>15.1</v>
      </c>
      <c r="Q23" s="106">
        <v>5.6</v>
      </c>
      <c r="R23" s="106">
        <f t="shared" si="11"/>
        <v>146.91081643835616</v>
      </c>
      <c r="S23" s="210">
        <f t="shared" si="9"/>
        <v>49.935695594274705</v>
      </c>
    </row>
    <row r="24" spans="2:44" x14ac:dyDescent="0.25">
      <c r="B24" s="279"/>
      <c r="C24" s="137" t="str">
        <f t="shared" si="12"/>
        <v>Virtual</v>
      </c>
      <c r="D24" s="137" t="str">
        <f t="shared" si="10"/>
        <v>kg/capita/day</v>
      </c>
      <c r="E24" s="137" t="str">
        <f t="shared" si="10"/>
        <v>Average</v>
      </c>
      <c r="F24" s="137">
        <f t="shared" si="10"/>
        <v>1.92408</v>
      </c>
      <c r="G24" s="137">
        <f t="shared" si="10"/>
        <v>3.4717300000000009</v>
      </c>
      <c r="H24" s="137">
        <v>915.6940864914053</v>
      </c>
      <c r="I24" s="137">
        <v>826.23410502178024</v>
      </c>
      <c r="J24" s="137">
        <v>946.94680716309745</v>
      </c>
      <c r="N24" s="213" t="s">
        <v>916</v>
      </c>
      <c r="O24" s="106">
        <v>12.9</v>
      </c>
      <c r="P24" s="106">
        <v>14.5</v>
      </c>
      <c r="Q24" s="106">
        <v>15.4</v>
      </c>
      <c r="R24" s="106">
        <f t="shared" si="11"/>
        <v>79.239298630136986</v>
      </c>
      <c r="S24" s="210">
        <f t="shared" si="9"/>
        <v>26.933820064628481</v>
      </c>
    </row>
    <row r="25" spans="2:44" x14ac:dyDescent="0.25">
      <c r="B25" s="279"/>
      <c r="C25" s="137" t="str">
        <f t="shared" si="12"/>
        <v>2 hubs</v>
      </c>
      <c r="D25" s="137" t="str">
        <f t="shared" si="10"/>
        <v>kg/capita/day</v>
      </c>
      <c r="E25" s="137" t="str">
        <f t="shared" si="10"/>
        <v>Average</v>
      </c>
      <c r="F25" s="137">
        <f t="shared" si="10"/>
        <v>1.92408</v>
      </c>
      <c r="G25" s="137">
        <f t="shared" si="10"/>
        <v>3.4717300000000009</v>
      </c>
      <c r="H25" s="137">
        <v>8009.7388484787025</v>
      </c>
      <c r="I25" s="137">
        <v>7892.6937126991797</v>
      </c>
      <c r="J25" s="137">
        <v>8046.364544580154</v>
      </c>
      <c r="N25" s="213" t="s">
        <v>917</v>
      </c>
      <c r="O25" s="106">
        <v>13.7</v>
      </c>
      <c r="P25" s="106">
        <v>10.9</v>
      </c>
      <c r="Q25" s="106">
        <v>26.4</v>
      </c>
      <c r="R25" s="106">
        <f t="shared" si="11"/>
        <v>71.141852054794526</v>
      </c>
      <c r="S25" s="210">
        <f t="shared" si="9"/>
        <v>24.181458890140902</v>
      </c>
    </row>
    <row r="26" spans="2:44" x14ac:dyDescent="0.25">
      <c r="B26" s="279"/>
      <c r="C26" s="137" t="str">
        <f t="shared" si="12"/>
        <v>3 hubs</v>
      </c>
      <c r="D26" s="137" t="str">
        <f t="shared" si="10"/>
        <v>kg/capita/day</v>
      </c>
      <c r="E26" s="137" t="str">
        <f t="shared" si="10"/>
        <v>Average</v>
      </c>
      <c r="F26" s="137">
        <f t="shared" si="10"/>
        <v>1.92408</v>
      </c>
      <c r="G26" s="137">
        <f t="shared" si="10"/>
        <v>3.4717300000000009</v>
      </c>
      <c r="H26" s="137">
        <v>6981.9549573394906</v>
      </c>
      <c r="I26" s="137">
        <v>6864.7671554131121</v>
      </c>
      <c r="J26" s="137">
        <v>7018.3756849973943</v>
      </c>
      <c r="N26" s="213" t="s">
        <v>918</v>
      </c>
      <c r="O26" s="106">
        <v>20.7</v>
      </c>
      <c r="P26" s="106">
        <v>16.2</v>
      </c>
      <c r="Q26" s="106">
        <v>18.100000000000001</v>
      </c>
      <c r="R26" s="106">
        <f t="shared" si="11"/>
        <v>106.71277808219178</v>
      </c>
      <c r="S26" s="210">
        <f t="shared" si="9"/>
        <v>36.272188335211347</v>
      </c>
    </row>
    <row r="27" spans="2:44" x14ac:dyDescent="0.25">
      <c r="B27" s="279"/>
      <c r="C27" s="137" t="str">
        <f t="shared" si="12"/>
        <v>4 hubs</v>
      </c>
      <c r="D27" s="137" t="str">
        <f t="shared" si="10"/>
        <v>kg/capita/day</v>
      </c>
      <c r="E27" s="137" t="str">
        <f t="shared" si="10"/>
        <v>Average</v>
      </c>
      <c r="F27" s="137">
        <f t="shared" si="10"/>
        <v>1.92408</v>
      </c>
      <c r="G27" s="137">
        <f t="shared" si="10"/>
        <v>3.4717300000000009</v>
      </c>
      <c r="H27" s="137">
        <v>6425.0979041428982</v>
      </c>
      <c r="I27" s="137">
        <v>6307.9101022165187</v>
      </c>
      <c r="J27" s="137">
        <v>6461.5186318008018</v>
      </c>
      <c r="N27" s="213" t="s">
        <v>919</v>
      </c>
      <c r="O27" s="106">
        <v>53.4</v>
      </c>
      <c r="P27" s="106">
        <v>16.899999999999999</v>
      </c>
      <c r="Q27" s="106">
        <v>8.3000000000000007</v>
      </c>
      <c r="R27" s="106">
        <f t="shared" si="11"/>
        <v>203.30374794520546</v>
      </c>
      <c r="S27" s="210">
        <f t="shared" si="9"/>
        <v>69.103925202313221</v>
      </c>
    </row>
    <row r="28" spans="2:44" x14ac:dyDescent="0.25">
      <c r="B28" s="279"/>
      <c r="C28" s="137" t="str">
        <f t="shared" si="12"/>
        <v>5 hubs</v>
      </c>
      <c r="D28" s="137" t="str">
        <f t="shared" si="10"/>
        <v>kg/capita/day</v>
      </c>
      <c r="E28" s="137" t="str">
        <f t="shared" si="10"/>
        <v>Average</v>
      </c>
      <c r="F28" s="137">
        <f t="shared" si="10"/>
        <v>1.92408</v>
      </c>
      <c r="G28" s="137">
        <f t="shared" si="10"/>
        <v>3.4717300000000009</v>
      </c>
      <c r="H28" s="137">
        <v>6032.6815401722743</v>
      </c>
      <c r="I28" s="137">
        <v>5915.4937382458947</v>
      </c>
      <c r="J28" s="137">
        <v>6069.1022678301779</v>
      </c>
      <c r="N28" s="213" t="s">
        <v>920</v>
      </c>
      <c r="O28" s="106">
        <v>59</v>
      </c>
      <c r="P28" s="106">
        <v>16.5</v>
      </c>
      <c r="Q28" s="106">
        <v>44.4</v>
      </c>
      <c r="R28" s="106">
        <f t="shared" si="11"/>
        <v>218.34186301369863</v>
      </c>
      <c r="S28" s="210">
        <f t="shared" si="9"/>
        <v>74.21545309779016</v>
      </c>
    </row>
    <row r="29" spans="2:44" x14ac:dyDescent="0.25">
      <c r="B29" s="279"/>
      <c r="C29" s="137" t="str">
        <f t="shared" si="12"/>
        <v>6 hubs</v>
      </c>
      <c r="D29" s="137" t="str">
        <f t="shared" si="10"/>
        <v>kg/capita/day</v>
      </c>
      <c r="E29" s="137" t="str">
        <f t="shared" si="10"/>
        <v>Average</v>
      </c>
      <c r="F29" s="137">
        <f t="shared" si="10"/>
        <v>1.92408</v>
      </c>
      <c r="G29" s="137">
        <f t="shared" si="10"/>
        <v>3.4717300000000009</v>
      </c>
      <c r="H29" s="137">
        <v>5770.4315065798019</v>
      </c>
      <c r="I29" s="137">
        <v>5653.2437046534233</v>
      </c>
      <c r="J29" s="137">
        <v>5806.8522342377055</v>
      </c>
      <c r="N29" s="213" t="s">
        <v>921</v>
      </c>
      <c r="O29" s="106">
        <v>51.4</v>
      </c>
      <c r="P29" s="106">
        <v>17</v>
      </c>
      <c r="Q29" s="106">
        <v>23.5</v>
      </c>
      <c r="R29" s="106">
        <f t="shared" si="11"/>
        <v>197.80905205479453</v>
      </c>
      <c r="S29" s="210">
        <f t="shared" si="9"/>
        <v>67.236251548196648</v>
      </c>
    </row>
    <row r="30" spans="2:44" x14ac:dyDescent="0.25">
      <c r="N30" s="213" t="s">
        <v>922</v>
      </c>
      <c r="O30" s="106">
        <v>52.7</v>
      </c>
      <c r="P30" s="106">
        <v>15.9</v>
      </c>
      <c r="Q30" s="106">
        <v>7.2</v>
      </c>
      <c r="R30" s="106">
        <f t="shared" si="11"/>
        <v>198.38744109589044</v>
      </c>
      <c r="S30" s="210">
        <f t="shared" si="9"/>
        <v>67.432848774945768</v>
      </c>
    </row>
    <row r="31" spans="2:44" x14ac:dyDescent="0.25">
      <c r="B31" s="279" t="str">
        <f>D5</f>
        <v>Heat consumption at home</v>
      </c>
      <c r="C31" s="137" t="str">
        <f>C14</f>
        <v>Carbon footprint</v>
      </c>
      <c r="D31" s="137" t="str">
        <f t="shared" ref="D31:J31" si="13">D14</f>
        <v>Unit</v>
      </c>
      <c r="E31" s="137" t="str">
        <f t="shared" si="13"/>
        <v>Base</v>
      </c>
      <c r="F31" s="137" t="str">
        <f t="shared" si="13"/>
        <v>Low</v>
      </c>
      <c r="G31" s="137" t="str">
        <f t="shared" si="13"/>
        <v>High</v>
      </c>
      <c r="H31" s="137" t="str">
        <f t="shared" si="13"/>
        <v>Carbon footprint (Base)</v>
      </c>
      <c r="I31" s="137" t="str">
        <f t="shared" si="13"/>
        <v>Carbon footprint (Low)</v>
      </c>
      <c r="J31" s="137" t="str">
        <f t="shared" si="13"/>
        <v>Carbon footprint (High)</v>
      </c>
      <c r="N31" s="213" t="s">
        <v>923</v>
      </c>
      <c r="O31" s="106">
        <v>55.4</v>
      </c>
      <c r="P31" s="106">
        <v>16.3</v>
      </c>
      <c r="Q31" s="106">
        <v>13.8</v>
      </c>
      <c r="R31" s="106">
        <f t="shared" si="11"/>
        <v>207.35247123287672</v>
      </c>
      <c r="S31" s="210">
        <f t="shared" si="9"/>
        <v>70.480105789557015</v>
      </c>
    </row>
    <row r="32" spans="2:44" x14ac:dyDescent="0.25">
      <c r="B32" s="279"/>
      <c r="C32" s="137" t="str">
        <f t="shared" ref="C32:H32" si="14">C15</f>
        <v>1 hub</v>
      </c>
      <c r="D32" s="137" t="str">
        <f>E5</f>
        <v>MJ per capita per day</v>
      </c>
      <c r="E32" s="137">
        <f>F5</f>
        <v>49.247605300652801</v>
      </c>
      <c r="F32" s="137">
        <f>G5</f>
        <v>24.181458890140902</v>
      </c>
      <c r="G32" s="137">
        <f>H5</f>
        <v>74.21545309779016</v>
      </c>
      <c r="H32" s="137">
        <f t="shared" si="14"/>
        <v>839.63096223972445</v>
      </c>
      <c r="I32" s="137">
        <v>838.6658790063459</v>
      </c>
      <c r="J32" s="137">
        <v>840.59226083297199</v>
      </c>
      <c r="N32" s="213" t="s">
        <v>924</v>
      </c>
      <c r="O32" s="106">
        <v>46.8</v>
      </c>
      <c r="P32" s="106">
        <v>15.1</v>
      </c>
      <c r="Q32" s="106">
        <v>26.4</v>
      </c>
      <c r="R32" s="106">
        <f t="shared" si="11"/>
        <v>179.01140821917807</v>
      </c>
      <c r="S32" s="210">
        <f t="shared" si="9"/>
        <v>60.846841678850467</v>
      </c>
    </row>
    <row r="33" spans="2:20" x14ac:dyDescent="0.25">
      <c r="B33" s="279"/>
      <c r="C33" s="137" t="str">
        <f t="shared" ref="C33" si="15">C16</f>
        <v>Virtual</v>
      </c>
      <c r="D33" s="137" t="str">
        <f>D32</f>
        <v>MJ per capita per day</v>
      </c>
      <c r="E33" s="137">
        <f t="shared" ref="E33:G33" si="16">E32</f>
        <v>49.247605300652801</v>
      </c>
      <c r="F33" s="137">
        <f t="shared" si="16"/>
        <v>24.181458890140902</v>
      </c>
      <c r="G33" s="137">
        <f t="shared" si="16"/>
        <v>74.21545309779016</v>
      </c>
      <c r="H33" s="137">
        <f>H16</f>
        <v>54.754055475140696</v>
      </c>
      <c r="I33" s="137">
        <v>50.464796660125288</v>
      </c>
      <c r="J33" s="137">
        <v>59.026493667352128</v>
      </c>
      <c r="N33" s="213" t="s">
        <v>925</v>
      </c>
      <c r="O33" s="106">
        <v>22.7</v>
      </c>
      <c r="P33" s="106">
        <v>12.7</v>
      </c>
      <c r="Q33" s="106">
        <v>8.5</v>
      </c>
      <c r="R33" s="106">
        <f t="shared" si="11"/>
        <v>102.37486027397259</v>
      </c>
      <c r="S33" s="210">
        <f t="shared" si="9"/>
        <v>34.797709134592999</v>
      </c>
    </row>
    <row r="34" spans="2:20" x14ac:dyDescent="0.25">
      <c r="B34" s="279"/>
      <c r="C34" s="137" t="str">
        <f t="shared" ref="C34:H34" si="17">C17</f>
        <v>2 hubs</v>
      </c>
      <c r="D34" s="137" t="str">
        <f t="shared" ref="D34:D38" si="18">D33</f>
        <v>MJ per capita per day</v>
      </c>
      <c r="E34" s="137">
        <f t="shared" ref="E34:E38" si="19">E33</f>
        <v>49.247605300652801</v>
      </c>
      <c r="F34" s="137">
        <f t="shared" ref="F34:F38" si="20">F33</f>
        <v>24.181458890140902</v>
      </c>
      <c r="G34" s="137">
        <f t="shared" ref="G34:G38" si="21">G33</f>
        <v>74.21545309779016</v>
      </c>
      <c r="H34" s="137">
        <f t="shared" si="17"/>
        <v>682.28532815018957</v>
      </c>
      <c r="I34" s="137">
        <v>681.32024491681113</v>
      </c>
      <c r="J34" s="137">
        <v>683.24662674343722</v>
      </c>
      <c r="N34" s="213" t="s">
        <v>926</v>
      </c>
      <c r="O34" s="106">
        <v>23.2</v>
      </c>
      <c r="P34" s="106">
        <v>12.5</v>
      </c>
      <c r="Q34" s="106">
        <v>4.2</v>
      </c>
      <c r="R34" s="106">
        <f t="shared" si="11"/>
        <v>103.24244383561643</v>
      </c>
      <c r="S34" s="210">
        <f t="shared" si="9"/>
        <v>35.092604974716664</v>
      </c>
    </row>
    <row r="35" spans="2:20" x14ac:dyDescent="0.25">
      <c r="B35" s="279"/>
      <c r="C35" s="137" t="str">
        <f t="shared" ref="C35:H35" si="22">C18</f>
        <v>3 hubs</v>
      </c>
      <c r="D35" s="137" t="str">
        <f t="shared" si="18"/>
        <v>MJ per capita per day</v>
      </c>
      <c r="E35" s="137">
        <f t="shared" si="19"/>
        <v>49.247605300652801</v>
      </c>
      <c r="F35" s="137">
        <f t="shared" si="20"/>
        <v>24.181458890140902</v>
      </c>
      <c r="G35" s="137">
        <f t="shared" si="21"/>
        <v>74.21545309779016</v>
      </c>
      <c r="H35" s="137">
        <f t="shared" si="22"/>
        <v>568.09303518054969</v>
      </c>
      <c r="I35" s="137">
        <v>567.12795194717125</v>
      </c>
      <c r="J35" s="137">
        <v>569.05433377379723</v>
      </c>
      <c r="N35" s="213" t="s">
        <v>927</v>
      </c>
      <c r="O35" s="106">
        <v>23.6</v>
      </c>
      <c r="P35" s="106">
        <v>13.3</v>
      </c>
      <c r="Q35" s="106">
        <v>4.3</v>
      </c>
      <c r="R35" s="106">
        <f t="shared" si="11"/>
        <v>106.71277808219179</v>
      </c>
      <c r="S35" s="210">
        <f t="shared" si="9"/>
        <v>36.272188335211354</v>
      </c>
    </row>
    <row r="36" spans="2:20" x14ac:dyDescent="0.25">
      <c r="B36" s="279"/>
      <c r="C36" s="137" t="str">
        <f t="shared" ref="C36:H36" si="23">C19</f>
        <v>4 hubs</v>
      </c>
      <c r="D36" s="137" t="str">
        <f t="shared" si="18"/>
        <v>MJ per capita per day</v>
      </c>
      <c r="E36" s="137">
        <f t="shared" si="19"/>
        <v>49.247605300652801</v>
      </c>
      <c r="F36" s="137">
        <f t="shared" si="20"/>
        <v>24.181458890140902</v>
      </c>
      <c r="G36" s="137">
        <f t="shared" si="21"/>
        <v>74.21545309779016</v>
      </c>
      <c r="H36" s="137">
        <f t="shared" si="23"/>
        <v>503.30396637274634</v>
      </c>
      <c r="I36" s="137">
        <v>502.33888313936785</v>
      </c>
      <c r="J36" s="137">
        <v>504.26526496599388</v>
      </c>
      <c r="N36" s="213" t="s">
        <v>928</v>
      </c>
      <c r="O36" s="106">
        <v>21.6</v>
      </c>
      <c r="P36" s="106">
        <v>12.5</v>
      </c>
      <c r="Q36" s="106">
        <v>17.899999999999999</v>
      </c>
      <c r="R36" s="106">
        <f t="shared" si="11"/>
        <v>98.615331506849316</v>
      </c>
      <c r="S36" s="210">
        <f t="shared" si="9"/>
        <v>33.519827160723764</v>
      </c>
    </row>
    <row r="37" spans="2:20" x14ac:dyDescent="0.25">
      <c r="B37" s="279"/>
      <c r="C37" s="137" t="str">
        <f t="shared" ref="C37:H37" si="24">C20</f>
        <v>5 hubs</v>
      </c>
      <c r="D37" s="137" t="str">
        <f t="shared" si="18"/>
        <v>MJ per capita per day</v>
      </c>
      <c r="E37" s="137">
        <f t="shared" si="19"/>
        <v>49.247605300652801</v>
      </c>
      <c r="F37" s="137">
        <f t="shared" si="20"/>
        <v>24.181458890140902</v>
      </c>
      <c r="G37" s="137">
        <f t="shared" si="21"/>
        <v>74.21545309779016</v>
      </c>
      <c r="H37" s="137">
        <f t="shared" si="24"/>
        <v>486.80311094478617</v>
      </c>
      <c r="I37" s="137">
        <v>485.83802771140773</v>
      </c>
      <c r="J37" s="137">
        <v>487.76440953803376</v>
      </c>
      <c r="N37" s="213" t="s">
        <v>929</v>
      </c>
      <c r="O37" s="106">
        <v>22.1</v>
      </c>
      <c r="P37" s="106">
        <v>15.6</v>
      </c>
      <c r="Q37" s="106">
        <v>42.5</v>
      </c>
      <c r="R37" s="106">
        <f t="shared" si="11"/>
        <v>109.02633424657535</v>
      </c>
      <c r="S37" s="210">
        <f t="shared" si="9"/>
        <v>37.058577242207804</v>
      </c>
    </row>
    <row r="38" spans="2:20" x14ac:dyDescent="0.25">
      <c r="B38" s="279"/>
      <c r="C38" s="137" t="str">
        <f t="shared" ref="C38:H38" si="25">C21</f>
        <v>6 hubs</v>
      </c>
      <c r="D38" s="137" t="str">
        <f t="shared" si="18"/>
        <v>MJ per capita per day</v>
      </c>
      <c r="E38" s="137">
        <f t="shared" si="19"/>
        <v>49.247605300652801</v>
      </c>
      <c r="F38" s="137">
        <f t="shared" si="20"/>
        <v>24.181458890140902</v>
      </c>
      <c r="G38" s="137">
        <f t="shared" si="21"/>
        <v>74.21545309779016</v>
      </c>
      <c r="H38" s="137">
        <f t="shared" si="25"/>
        <v>455.38200283198438</v>
      </c>
      <c r="I38" s="137">
        <v>454.41691959860583</v>
      </c>
      <c r="J38" s="137">
        <v>456.34330142523191</v>
      </c>
      <c r="N38" s="213" t="s">
        <v>930</v>
      </c>
      <c r="O38" s="106">
        <v>30.6</v>
      </c>
      <c r="P38" s="106">
        <v>16.2</v>
      </c>
      <c r="Q38" s="106">
        <v>33.5</v>
      </c>
      <c r="R38" s="106">
        <f t="shared" si="11"/>
        <v>135.34303561643833</v>
      </c>
      <c r="S38" s="210">
        <f t="shared" si="9"/>
        <v>46.003751059292433</v>
      </c>
    </row>
    <row r="39" spans="2:20" x14ac:dyDescent="0.25">
      <c r="B39" s="279"/>
      <c r="C39" s="137" t="str">
        <f t="shared" ref="C39:J39" si="26">C22</f>
        <v>CED</v>
      </c>
      <c r="D39" s="137" t="str">
        <f t="shared" si="26"/>
        <v>Unit</v>
      </c>
      <c r="E39" s="137" t="str">
        <f t="shared" si="26"/>
        <v>Base</v>
      </c>
      <c r="F39" s="137" t="str">
        <f t="shared" si="26"/>
        <v>Low</v>
      </c>
      <c r="G39" s="137" t="str">
        <f t="shared" si="26"/>
        <v>High</v>
      </c>
      <c r="H39" s="137" t="str">
        <f t="shared" si="26"/>
        <v>CED (Base)</v>
      </c>
      <c r="I39" s="137" t="str">
        <f t="shared" si="26"/>
        <v>CED (Low)</v>
      </c>
      <c r="J39" s="137" t="str">
        <f t="shared" si="26"/>
        <v>CED (High)</v>
      </c>
      <c r="N39" s="213" t="s">
        <v>931</v>
      </c>
      <c r="O39" s="106">
        <v>40.5</v>
      </c>
      <c r="P39" s="106">
        <v>18.7</v>
      </c>
      <c r="Q39" s="106">
        <v>12.7</v>
      </c>
      <c r="R39" s="106">
        <f t="shared" si="11"/>
        <v>171.20315616438356</v>
      </c>
      <c r="S39" s="210">
        <f t="shared" si="9"/>
        <v>58.192779117737452</v>
      </c>
    </row>
    <row r="40" spans="2:20" x14ac:dyDescent="0.25">
      <c r="B40" s="279"/>
      <c r="C40" s="137" t="str">
        <f t="shared" ref="C40" si="27">C23</f>
        <v>1 hub</v>
      </c>
      <c r="D40" s="137" t="str">
        <f>D32</f>
        <v>MJ per capita per day</v>
      </c>
      <c r="E40" s="137">
        <f t="shared" ref="E40:G40" si="28">E32</f>
        <v>49.247605300652801</v>
      </c>
      <c r="F40" s="137">
        <f t="shared" si="28"/>
        <v>24.181458890140902</v>
      </c>
      <c r="G40" s="137">
        <f t="shared" si="28"/>
        <v>74.21545309779016</v>
      </c>
      <c r="H40" s="137">
        <f>H23</f>
        <v>9490.5583194463925</v>
      </c>
      <c r="I40" s="137">
        <v>9477.096776655475</v>
      </c>
      <c r="J40" s="137">
        <v>9507.9394331959938</v>
      </c>
      <c r="N40" s="213" t="s">
        <v>932</v>
      </c>
      <c r="O40" s="106">
        <v>19.899999999999999</v>
      </c>
      <c r="P40" s="106">
        <v>13.7</v>
      </c>
      <c r="Q40" s="106">
        <v>22.8</v>
      </c>
      <c r="R40" s="106">
        <f t="shared" si="11"/>
        <v>97.169358904109572</v>
      </c>
      <c r="S40" s="210">
        <f t="shared" si="9"/>
        <v>33.02833409385098</v>
      </c>
    </row>
    <row r="41" spans="2:20" x14ac:dyDescent="0.25">
      <c r="B41" s="279"/>
      <c r="C41" s="137" t="str">
        <f t="shared" ref="C41" si="29">C24</f>
        <v>Virtual</v>
      </c>
      <c r="D41" s="137" t="str">
        <f t="shared" ref="D41:G41" si="30">D33</f>
        <v>MJ per capita per day</v>
      </c>
      <c r="E41" s="137">
        <f t="shared" si="30"/>
        <v>49.247605300652801</v>
      </c>
      <c r="F41" s="137">
        <f t="shared" si="30"/>
        <v>24.181458890140902</v>
      </c>
      <c r="G41" s="137">
        <f t="shared" si="30"/>
        <v>74.21545309779016</v>
      </c>
      <c r="H41" s="137">
        <f>H24</f>
        <v>915.6940864914053</v>
      </c>
      <c r="I41" s="137">
        <v>847.02019504558757</v>
      </c>
      <c r="J41" s="137">
        <v>984.09866855900418</v>
      </c>
      <c r="N41" s="211" t="s">
        <v>933</v>
      </c>
      <c r="O41" s="187">
        <v>17.5</v>
      </c>
      <c r="P41" s="187">
        <v>15.3</v>
      </c>
      <c r="Q41" s="187">
        <v>6.7</v>
      </c>
      <c r="R41" s="187">
        <f t="shared" si="11"/>
        <v>94.855802739726016</v>
      </c>
      <c r="S41" s="212">
        <f t="shared" si="9"/>
        <v>32.241945186854529</v>
      </c>
    </row>
    <row r="42" spans="2:20" x14ac:dyDescent="0.25">
      <c r="B42" s="279"/>
      <c r="C42" s="137" t="str">
        <f t="shared" ref="C42:H42" si="31">C25</f>
        <v>2 hubs</v>
      </c>
      <c r="D42" s="137" t="str">
        <f t="shared" ref="D42:G42" si="32">D34</f>
        <v>MJ per capita per day</v>
      </c>
      <c r="E42" s="137">
        <f t="shared" si="32"/>
        <v>49.247605300652801</v>
      </c>
      <c r="F42" s="137">
        <f t="shared" si="32"/>
        <v>24.181458890140902</v>
      </c>
      <c r="G42" s="137">
        <f t="shared" si="32"/>
        <v>74.21545309779016</v>
      </c>
      <c r="H42" s="137">
        <f t="shared" si="31"/>
        <v>8009.7388484787025</v>
      </c>
      <c r="I42" s="137">
        <v>7996.6810285212523</v>
      </c>
      <c r="J42" s="137">
        <v>8027.5236850617712</v>
      </c>
      <c r="N42" s="137" t="s">
        <v>4</v>
      </c>
      <c r="O42" s="137" t="s">
        <v>941</v>
      </c>
      <c r="P42" s="137" t="s">
        <v>1023</v>
      </c>
    </row>
    <row r="43" spans="2:20" x14ac:dyDescent="0.25">
      <c r="B43" s="279"/>
      <c r="C43" s="137" t="str">
        <f t="shared" ref="C43:H43" si="33">C26</f>
        <v>3 hubs</v>
      </c>
      <c r="D43" s="137" t="str">
        <f t="shared" ref="D43:G43" si="34">D35</f>
        <v>MJ per capita per day</v>
      </c>
      <c r="E43" s="137">
        <f t="shared" si="34"/>
        <v>49.247605300652801</v>
      </c>
      <c r="F43" s="137">
        <f t="shared" si="34"/>
        <v>24.181458890140902</v>
      </c>
      <c r="G43" s="137">
        <f t="shared" si="34"/>
        <v>74.21545309779016</v>
      </c>
      <c r="H43" s="137">
        <f t="shared" si="33"/>
        <v>6981.9549573394906</v>
      </c>
      <c r="I43" s="137">
        <v>6968.8971373820423</v>
      </c>
      <c r="J43" s="137">
        <v>6999.7397939225611</v>
      </c>
      <c r="N43" s="137" t="s">
        <v>939</v>
      </c>
      <c r="O43" s="137">
        <f>(1*28.7+2*42.7+3*19.7+4*15.5+5*11.8)/100</f>
        <v>2.9419999999999997</v>
      </c>
      <c r="P43" s="137" t="s">
        <v>1023</v>
      </c>
    </row>
    <row r="44" spans="2:20" x14ac:dyDescent="0.25">
      <c r="B44" s="279"/>
      <c r="C44" s="137" t="str">
        <f>C27</f>
        <v>4 hubs</v>
      </c>
      <c r="D44" s="137" t="str">
        <f t="shared" ref="D44:G44" si="35">D36</f>
        <v>MJ per capita per day</v>
      </c>
      <c r="E44" s="137">
        <f t="shared" si="35"/>
        <v>49.247605300652801</v>
      </c>
      <c r="F44" s="137">
        <f t="shared" si="35"/>
        <v>24.181458890140902</v>
      </c>
      <c r="G44" s="137">
        <f t="shared" si="35"/>
        <v>74.21545309779016</v>
      </c>
      <c r="H44" s="137">
        <f t="shared" ref="H44" si="36">H27</f>
        <v>6425.0979041428982</v>
      </c>
      <c r="I44" s="137">
        <v>6412.0400841854498</v>
      </c>
      <c r="J44" s="137">
        <v>6442.8827407259678</v>
      </c>
    </row>
    <row r="45" spans="2:20" x14ac:dyDescent="0.25">
      <c r="B45" s="279"/>
      <c r="C45" s="137" t="str">
        <f t="shared" ref="C45:H45" si="37">C28</f>
        <v>5 hubs</v>
      </c>
      <c r="D45" s="137" t="str">
        <f t="shared" ref="D45:G45" si="38">D37</f>
        <v>MJ per capita per day</v>
      </c>
      <c r="E45" s="137">
        <f t="shared" si="38"/>
        <v>49.247605300652801</v>
      </c>
      <c r="F45" s="137">
        <f t="shared" si="38"/>
        <v>24.181458890140902</v>
      </c>
      <c r="G45" s="137">
        <f t="shared" si="38"/>
        <v>74.21545309779016</v>
      </c>
      <c r="H45" s="137">
        <f t="shared" si="37"/>
        <v>6032.6815401722743</v>
      </c>
      <c r="I45" s="137">
        <v>6019.288030206626</v>
      </c>
      <c r="J45" s="137">
        <v>6050.1306867471449</v>
      </c>
    </row>
    <row r="46" spans="2:20" x14ac:dyDescent="0.25">
      <c r="B46" s="279"/>
      <c r="C46" s="137" t="str">
        <f t="shared" ref="C46:H46" si="39">C29</f>
        <v>6 hubs</v>
      </c>
      <c r="D46" s="137" t="str">
        <f t="shared" ref="D46:G46" si="40">D38</f>
        <v>MJ per capita per day</v>
      </c>
      <c r="E46" s="137">
        <f t="shared" si="40"/>
        <v>49.247605300652801</v>
      </c>
      <c r="F46" s="137">
        <f t="shared" si="40"/>
        <v>24.181458890140902</v>
      </c>
      <c r="G46" s="137">
        <f t="shared" si="40"/>
        <v>74.21545309779016</v>
      </c>
      <c r="H46" s="137">
        <f t="shared" si="39"/>
        <v>5770.4315065798019</v>
      </c>
      <c r="I46" s="137">
        <v>5757.9851089623007</v>
      </c>
      <c r="J46" s="137">
        <v>5788.8277655028196</v>
      </c>
      <c r="R46" s="150"/>
      <c r="S46" s="150"/>
      <c r="T46" s="150"/>
    </row>
    <row r="47" spans="2:20" x14ac:dyDescent="0.25">
      <c r="R47" s="150"/>
      <c r="S47" s="150"/>
      <c r="T47" s="150"/>
    </row>
    <row r="48" spans="2:20" x14ac:dyDescent="0.25">
      <c r="B48" s="279" t="str">
        <f>D6</f>
        <v>Heat consumption at hotel</v>
      </c>
      <c r="C48" s="137" t="str">
        <f>C31</f>
        <v>Carbon footprint</v>
      </c>
      <c r="D48" s="137" t="str">
        <f t="shared" ref="D48:J48" si="41">D31</f>
        <v>Unit</v>
      </c>
      <c r="E48" s="137" t="str">
        <f t="shared" si="41"/>
        <v>Base</v>
      </c>
      <c r="F48" s="137" t="str">
        <f t="shared" si="41"/>
        <v>Low</v>
      </c>
      <c r="G48" s="137" t="str">
        <f t="shared" si="41"/>
        <v>High</v>
      </c>
      <c r="H48" s="137" t="str">
        <f t="shared" si="41"/>
        <v>Carbon footprint (Base)</v>
      </c>
      <c r="I48" s="137" t="str">
        <f t="shared" si="41"/>
        <v>Carbon footprint (Low)</v>
      </c>
      <c r="J48" s="137" t="str">
        <f t="shared" si="41"/>
        <v>Carbon footprint (High)</v>
      </c>
      <c r="R48" s="150"/>
      <c r="S48" s="150"/>
      <c r="T48" s="150"/>
    </row>
    <row r="49" spans="2:20" x14ac:dyDescent="0.25">
      <c r="B49" s="279"/>
      <c r="C49" s="137" t="str">
        <f t="shared" ref="C49" si="42">C32</f>
        <v>1 hub</v>
      </c>
      <c r="D49" s="137" t="str">
        <f>E6</f>
        <v>MJ per capita per day</v>
      </c>
      <c r="E49" s="137">
        <f>F6</f>
        <v>18.36</v>
      </c>
      <c r="F49" s="137">
        <f>G6</f>
        <v>14.76</v>
      </c>
      <c r="G49" s="137">
        <f>H6</f>
        <v>21.96</v>
      </c>
      <c r="H49" s="137">
        <f>H15</f>
        <v>839.63096223972445</v>
      </c>
      <c r="I49" s="137">
        <v>838.99953829572439</v>
      </c>
      <c r="J49" s="137">
        <v>840.2623861837244</v>
      </c>
      <c r="R49" s="150"/>
      <c r="S49" s="150"/>
      <c r="T49" s="150"/>
    </row>
    <row r="50" spans="2:20" x14ac:dyDescent="0.25">
      <c r="B50" s="279"/>
      <c r="C50" s="137" t="str">
        <f t="shared" ref="C50" si="43">C33</f>
        <v>Virtual</v>
      </c>
      <c r="D50" s="137" t="str">
        <f>D49</f>
        <v>MJ per capita per day</v>
      </c>
      <c r="E50" s="137">
        <f t="shared" ref="E50:G50" si="44">E49</f>
        <v>18.36</v>
      </c>
      <c r="F50" s="137">
        <f t="shared" si="44"/>
        <v>14.76</v>
      </c>
      <c r="G50" s="137">
        <f t="shared" si="44"/>
        <v>21.96</v>
      </c>
      <c r="H50" s="137">
        <f t="shared" ref="H50:H55" si="45">H16</f>
        <v>54.754055475140696</v>
      </c>
      <c r="I50" s="137">
        <v>54.754055475140696</v>
      </c>
      <c r="J50" s="137">
        <v>54.754055475140696</v>
      </c>
      <c r="R50" s="150"/>
      <c r="S50" s="150"/>
      <c r="T50" s="150"/>
    </row>
    <row r="51" spans="2:20" x14ac:dyDescent="0.25">
      <c r="B51" s="279"/>
      <c r="C51" s="137" t="str">
        <f t="shared" ref="C51" si="46">C34</f>
        <v>2 hubs</v>
      </c>
      <c r="D51" s="137" t="str">
        <f t="shared" ref="D51:D55" si="47">D50</f>
        <v>MJ per capita per day</v>
      </c>
      <c r="E51" s="137">
        <f t="shared" ref="E51:E55" si="48">E50</f>
        <v>18.36</v>
      </c>
      <c r="F51" s="137">
        <f t="shared" ref="F51:F55" si="49">F50</f>
        <v>14.76</v>
      </c>
      <c r="G51" s="137">
        <f t="shared" ref="G51:G55" si="50">G50</f>
        <v>21.96</v>
      </c>
      <c r="H51" s="137">
        <f t="shared" si="45"/>
        <v>682.28532815018957</v>
      </c>
      <c r="I51" s="137">
        <v>681.65390420618951</v>
      </c>
      <c r="J51" s="137">
        <v>682.91675209418963</v>
      </c>
      <c r="R51" s="150"/>
      <c r="S51" s="150"/>
      <c r="T51" s="150"/>
    </row>
    <row r="52" spans="2:20" x14ac:dyDescent="0.25">
      <c r="B52" s="279"/>
      <c r="C52" s="137" t="str">
        <f t="shared" ref="C52" si="51">C35</f>
        <v>3 hubs</v>
      </c>
      <c r="D52" s="137" t="str">
        <f t="shared" si="47"/>
        <v>MJ per capita per day</v>
      </c>
      <c r="E52" s="137">
        <f t="shared" si="48"/>
        <v>18.36</v>
      </c>
      <c r="F52" s="137">
        <f t="shared" si="49"/>
        <v>14.76</v>
      </c>
      <c r="G52" s="137">
        <f t="shared" si="50"/>
        <v>21.96</v>
      </c>
      <c r="H52" s="137">
        <f t="shared" si="45"/>
        <v>568.09303518054969</v>
      </c>
      <c r="I52" s="137">
        <v>567.46161123654974</v>
      </c>
      <c r="J52" s="137">
        <v>568.72445912454975</v>
      </c>
    </row>
    <row r="53" spans="2:20" x14ac:dyDescent="0.25">
      <c r="B53" s="279"/>
      <c r="C53" s="137" t="str">
        <f t="shared" ref="C53" si="52">C36</f>
        <v>4 hubs</v>
      </c>
      <c r="D53" s="137" t="str">
        <f t="shared" si="47"/>
        <v>MJ per capita per day</v>
      </c>
      <c r="E53" s="137">
        <f t="shared" si="48"/>
        <v>18.36</v>
      </c>
      <c r="F53" s="137">
        <f t="shared" si="49"/>
        <v>14.76</v>
      </c>
      <c r="G53" s="137">
        <f t="shared" si="50"/>
        <v>21.96</v>
      </c>
      <c r="H53" s="137">
        <f t="shared" si="45"/>
        <v>503.30396637274634</v>
      </c>
      <c r="I53" s="137">
        <v>502.67254242874634</v>
      </c>
      <c r="J53" s="137">
        <v>503.93539031674635</v>
      </c>
    </row>
    <row r="54" spans="2:20" x14ac:dyDescent="0.25">
      <c r="B54" s="279"/>
      <c r="C54" s="137" t="str">
        <f t="shared" ref="C54" si="53">C37</f>
        <v>5 hubs</v>
      </c>
      <c r="D54" s="137" t="str">
        <f t="shared" si="47"/>
        <v>MJ per capita per day</v>
      </c>
      <c r="E54" s="137">
        <f t="shared" si="48"/>
        <v>18.36</v>
      </c>
      <c r="F54" s="137">
        <f t="shared" si="49"/>
        <v>14.76</v>
      </c>
      <c r="G54" s="137">
        <f t="shared" si="50"/>
        <v>21.96</v>
      </c>
      <c r="H54" s="137">
        <f t="shared" si="45"/>
        <v>486.80311094478617</v>
      </c>
      <c r="I54" s="137">
        <v>486.17168700078622</v>
      </c>
      <c r="J54" s="137">
        <v>487.43453488878617</v>
      </c>
    </row>
    <row r="55" spans="2:20" x14ac:dyDescent="0.25">
      <c r="B55" s="279"/>
      <c r="C55" s="137" t="str">
        <f t="shared" ref="C55" si="54">C38</f>
        <v>6 hubs</v>
      </c>
      <c r="D55" s="137" t="str">
        <f t="shared" si="47"/>
        <v>MJ per capita per day</v>
      </c>
      <c r="E55" s="137">
        <f t="shared" si="48"/>
        <v>18.36</v>
      </c>
      <c r="F55" s="137">
        <f t="shared" si="49"/>
        <v>14.76</v>
      </c>
      <c r="G55" s="137">
        <f t="shared" si="50"/>
        <v>21.96</v>
      </c>
      <c r="H55" s="137">
        <f t="shared" si="45"/>
        <v>455.38200283198438</v>
      </c>
      <c r="I55" s="137">
        <v>454.75057888798432</v>
      </c>
      <c r="J55" s="137">
        <v>456.01342677598433</v>
      </c>
    </row>
    <row r="56" spans="2:20" x14ac:dyDescent="0.25">
      <c r="B56" s="279"/>
      <c r="C56" s="137" t="str">
        <f t="shared" ref="C56:J56" si="55">C39</f>
        <v>CED</v>
      </c>
      <c r="D56" s="137" t="str">
        <f t="shared" si="55"/>
        <v>Unit</v>
      </c>
      <c r="E56" s="137" t="str">
        <f t="shared" si="55"/>
        <v>Base</v>
      </c>
      <c r="F56" s="137" t="str">
        <f t="shared" si="55"/>
        <v>Low</v>
      </c>
      <c r="G56" s="137" t="str">
        <f t="shared" si="55"/>
        <v>High</v>
      </c>
      <c r="H56" s="137" t="str">
        <f t="shared" si="55"/>
        <v>CED (Base)</v>
      </c>
      <c r="I56" s="137" t="str">
        <f t="shared" si="55"/>
        <v>CED (Low)</v>
      </c>
      <c r="J56" s="137" t="str">
        <f t="shared" si="55"/>
        <v>CED (High)</v>
      </c>
    </row>
    <row r="57" spans="2:20" x14ac:dyDescent="0.25">
      <c r="B57" s="279"/>
      <c r="C57" s="137" t="str">
        <f t="shared" ref="C57" si="56">C40</f>
        <v>1 hub</v>
      </c>
      <c r="D57" s="137" t="str">
        <f>D49</f>
        <v>MJ per capita per day</v>
      </c>
      <c r="E57" s="137">
        <f t="shared" ref="E57:G57" si="57">E49</f>
        <v>18.36</v>
      </c>
      <c r="F57" s="137">
        <f t="shared" si="57"/>
        <v>14.76</v>
      </c>
      <c r="G57" s="137">
        <f t="shared" si="57"/>
        <v>21.96</v>
      </c>
      <c r="H57" s="137">
        <f>H23</f>
        <v>9490.5583194463925</v>
      </c>
      <c r="I57" s="137">
        <v>9482.4388841866075</v>
      </c>
      <c r="J57" s="137">
        <v>9502.6579202749617</v>
      </c>
    </row>
    <row r="58" spans="2:20" x14ac:dyDescent="0.25">
      <c r="B58" s="279"/>
      <c r="C58" s="137" t="str">
        <f t="shared" ref="C58" si="58">C41</f>
        <v>Virtual</v>
      </c>
      <c r="D58" s="137" t="str">
        <f t="shared" ref="D58:G58" si="59">D50</f>
        <v>MJ per capita per day</v>
      </c>
      <c r="E58" s="137">
        <f t="shared" si="59"/>
        <v>18.36</v>
      </c>
      <c r="F58" s="137">
        <f t="shared" si="59"/>
        <v>14.76</v>
      </c>
      <c r="G58" s="137">
        <f t="shared" si="59"/>
        <v>21.96</v>
      </c>
      <c r="H58" s="137">
        <f t="shared" ref="H58:H63" si="60">H24</f>
        <v>915.6940864914053</v>
      </c>
      <c r="I58" s="137">
        <v>915.6940864914053</v>
      </c>
      <c r="J58" s="137">
        <v>915.6940864914053</v>
      </c>
    </row>
    <row r="59" spans="2:20" x14ac:dyDescent="0.25">
      <c r="B59" s="279"/>
      <c r="C59" s="137" t="str">
        <f t="shared" ref="C59" si="61">C42</f>
        <v>2 hubs</v>
      </c>
      <c r="D59" s="137" t="str">
        <f t="shared" ref="D59:G59" si="62">D51</f>
        <v>MJ per capita per day</v>
      </c>
      <c r="E59" s="137">
        <f t="shared" si="62"/>
        <v>18.36</v>
      </c>
      <c r="F59" s="137">
        <f t="shared" si="62"/>
        <v>14.76</v>
      </c>
      <c r="G59" s="137">
        <f t="shared" si="62"/>
        <v>21.96</v>
      </c>
      <c r="H59" s="137">
        <f t="shared" si="60"/>
        <v>8009.7388484787025</v>
      </c>
      <c r="I59" s="137">
        <v>8002.0231360523831</v>
      </c>
      <c r="J59" s="137">
        <v>8022.2421721407381</v>
      </c>
    </row>
    <row r="60" spans="2:20" x14ac:dyDescent="0.25">
      <c r="B60" s="279"/>
      <c r="C60" s="137" t="str">
        <f t="shared" ref="C60" si="63">C43</f>
        <v>3 hubs</v>
      </c>
      <c r="D60" s="137" t="str">
        <f t="shared" ref="D60:G60" si="64">D52</f>
        <v>MJ per capita per day</v>
      </c>
      <c r="E60" s="137">
        <f t="shared" si="64"/>
        <v>18.36</v>
      </c>
      <c r="F60" s="137">
        <f t="shared" si="64"/>
        <v>14.76</v>
      </c>
      <c r="G60" s="137">
        <f t="shared" si="64"/>
        <v>21.96</v>
      </c>
      <c r="H60" s="137">
        <f t="shared" si="60"/>
        <v>6981.9549573394906</v>
      </c>
      <c r="I60" s="137">
        <v>6974.2392449131739</v>
      </c>
      <c r="J60" s="137">
        <v>6994.458281001529</v>
      </c>
    </row>
    <row r="61" spans="2:20" x14ac:dyDescent="0.25">
      <c r="B61" s="279"/>
      <c r="C61" s="137" t="str">
        <f>C44</f>
        <v>4 hubs</v>
      </c>
      <c r="D61" s="137" t="str">
        <f t="shared" ref="D61:G61" si="65">D53</f>
        <v>MJ per capita per day</v>
      </c>
      <c r="E61" s="137">
        <f t="shared" si="65"/>
        <v>18.36</v>
      </c>
      <c r="F61" s="137">
        <f t="shared" si="65"/>
        <v>14.76</v>
      </c>
      <c r="G61" s="137">
        <f t="shared" si="65"/>
        <v>21.96</v>
      </c>
      <c r="H61" s="137">
        <f t="shared" si="60"/>
        <v>6425.0979041428982</v>
      </c>
      <c r="I61" s="137">
        <v>6417.3821917165806</v>
      </c>
      <c r="J61" s="137">
        <v>6437.6012278049357</v>
      </c>
    </row>
    <row r="62" spans="2:20" x14ac:dyDescent="0.25">
      <c r="B62" s="279"/>
      <c r="C62" s="137" t="str">
        <f t="shared" ref="C62" si="66">C45</f>
        <v>5 hubs</v>
      </c>
      <c r="D62" s="137" t="str">
        <f t="shared" ref="D62:G62" si="67">D54</f>
        <v>MJ per capita per day</v>
      </c>
      <c r="E62" s="137">
        <f t="shared" si="67"/>
        <v>18.36</v>
      </c>
      <c r="F62" s="137">
        <f t="shared" si="67"/>
        <v>14.76</v>
      </c>
      <c r="G62" s="137">
        <f t="shared" si="67"/>
        <v>21.96</v>
      </c>
      <c r="H62" s="137">
        <f t="shared" si="60"/>
        <v>6032.6815401722743</v>
      </c>
      <c r="I62" s="137">
        <v>6024.6301377377567</v>
      </c>
      <c r="J62" s="137">
        <v>6044.8491738261127</v>
      </c>
    </row>
    <row r="63" spans="2:20" x14ac:dyDescent="0.25">
      <c r="B63" s="279"/>
      <c r="C63" s="137" t="str">
        <f t="shared" ref="C63" si="68">C46</f>
        <v>6 hubs</v>
      </c>
      <c r="D63" s="137" t="str">
        <f t="shared" ref="D63:G63" si="69">D55</f>
        <v>MJ per capita per day</v>
      </c>
      <c r="E63" s="137">
        <f t="shared" si="69"/>
        <v>18.36</v>
      </c>
      <c r="F63" s="137">
        <f t="shared" si="69"/>
        <v>14.76</v>
      </c>
      <c r="G63" s="137">
        <f t="shared" si="69"/>
        <v>21.96</v>
      </c>
      <c r="H63" s="137">
        <f t="shared" si="60"/>
        <v>5770.4315065798019</v>
      </c>
      <c r="I63" s="137">
        <v>5763.3272164934315</v>
      </c>
      <c r="J63" s="137">
        <v>5783.5462525817875</v>
      </c>
    </row>
    <row r="65" spans="2:10" x14ac:dyDescent="0.25">
      <c r="B65" s="279" t="str">
        <f>D7</f>
        <v>Electricity consumption at home</v>
      </c>
      <c r="C65" s="137" t="str">
        <f>C48</f>
        <v>Carbon footprint</v>
      </c>
      <c r="D65" s="137" t="str">
        <f t="shared" ref="D65:J65" si="70">D48</f>
        <v>Unit</v>
      </c>
      <c r="E65" s="137" t="str">
        <f t="shared" si="70"/>
        <v>Base</v>
      </c>
      <c r="F65" s="137" t="str">
        <f t="shared" si="70"/>
        <v>Low</v>
      </c>
      <c r="G65" s="137" t="str">
        <f t="shared" si="70"/>
        <v>High</v>
      </c>
      <c r="H65" s="137" t="str">
        <f t="shared" si="70"/>
        <v>Carbon footprint (Base)</v>
      </c>
      <c r="I65" s="137" t="str">
        <f t="shared" si="70"/>
        <v>Carbon footprint (Low)</v>
      </c>
      <c r="J65" s="137" t="str">
        <f t="shared" si="70"/>
        <v>Carbon footprint (High)</v>
      </c>
    </row>
    <row r="66" spans="2:10" x14ac:dyDescent="0.25">
      <c r="B66" s="279"/>
      <c r="C66" s="137" t="str">
        <f t="shared" ref="C66" si="71">C49</f>
        <v>1 hub</v>
      </c>
      <c r="D66" s="137" t="str">
        <f>E7</f>
        <v>kWh per capita per day</v>
      </c>
      <c r="E66" s="137">
        <f>F7</f>
        <v>12.019178082191781</v>
      </c>
      <c r="F66" s="137">
        <f>G7</f>
        <v>5.3424657534246576</v>
      </c>
      <c r="G66" s="137">
        <f>H7</f>
        <v>18.386301369863013</v>
      </c>
      <c r="H66" s="137">
        <f>H15</f>
        <v>839.63096223972445</v>
      </c>
      <c r="I66" s="137">
        <v>837.41589749287505</v>
      </c>
      <c r="J66" s="137">
        <v>841.74331778821761</v>
      </c>
    </row>
    <row r="67" spans="2:10" x14ac:dyDescent="0.25">
      <c r="B67" s="279"/>
      <c r="C67" s="137" t="str">
        <f t="shared" ref="C67" si="72">C50</f>
        <v>Virtual</v>
      </c>
      <c r="D67" s="137" t="str">
        <f>D66</f>
        <v>kWh per capita per day</v>
      </c>
      <c r="E67" s="137">
        <f t="shared" ref="E67:G67" si="73">E66</f>
        <v>12.019178082191781</v>
      </c>
      <c r="F67" s="137">
        <f t="shared" si="73"/>
        <v>5.3424657534246576</v>
      </c>
      <c r="G67" s="137">
        <f t="shared" si="73"/>
        <v>18.386301369863013</v>
      </c>
      <c r="H67" s="137">
        <f t="shared" ref="H67:H72" si="74">H16</f>
        <v>54.754055475140696</v>
      </c>
      <c r="I67" s="137">
        <v>46.882637606379376</v>
      </c>
      <c r="J67" s="137">
        <v>62.260487615888046</v>
      </c>
    </row>
    <row r="68" spans="2:10" x14ac:dyDescent="0.25">
      <c r="B68" s="279"/>
      <c r="C68" s="137" t="str">
        <f t="shared" ref="C68" si="75">C51</f>
        <v>2 hubs</v>
      </c>
      <c r="D68" s="137" t="str">
        <f t="shared" ref="D68:D72" si="76">D67</f>
        <v>kWh per capita per day</v>
      </c>
      <c r="E68" s="137">
        <f t="shared" ref="E68:E72" si="77">E67</f>
        <v>12.019178082191781</v>
      </c>
      <c r="F68" s="137">
        <f t="shared" ref="F68:F72" si="78">F67</f>
        <v>5.3424657534246576</v>
      </c>
      <c r="G68" s="137">
        <f t="shared" ref="G68:G72" si="79">G67</f>
        <v>18.386301369863013</v>
      </c>
      <c r="H68" s="137">
        <f t="shared" si="74"/>
        <v>682.28532815018957</v>
      </c>
      <c r="I68" s="137">
        <v>680.09684743252728</v>
      </c>
      <c r="J68" s="137">
        <v>684.37233233067673</v>
      </c>
    </row>
    <row r="69" spans="2:10" x14ac:dyDescent="0.25">
      <c r="B69" s="279"/>
      <c r="C69" s="137" t="str">
        <f t="shared" ref="C69" si="80">C52</f>
        <v>3 hubs</v>
      </c>
      <c r="D69" s="137" t="str">
        <f t="shared" si="76"/>
        <v>kWh per capita per day</v>
      </c>
      <c r="E69" s="137">
        <f t="shared" si="77"/>
        <v>12.019178082191781</v>
      </c>
      <c r="F69" s="137">
        <f t="shared" si="78"/>
        <v>5.3424657534246576</v>
      </c>
      <c r="G69" s="137">
        <f t="shared" si="79"/>
        <v>18.386301369863013</v>
      </c>
      <c r="H69" s="137">
        <f t="shared" si="74"/>
        <v>568.09303518054969</v>
      </c>
      <c r="I69" s="137">
        <v>566.13901908795992</v>
      </c>
      <c r="J69" s="137">
        <v>569.9564465056128</v>
      </c>
    </row>
    <row r="70" spans="2:10" x14ac:dyDescent="0.25">
      <c r="B70" s="279"/>
      <c r="C70" s="137" t="str">
        <f t="shared" ref="C70" si="81">C53</f>
        <v>4 hubs</v>
      </c>
      <c r="D70" s="137" t="str">
        <f t="shared" si="76"/>
        <v>kWh per capita per day</v>
      </c>
      <c r="E70" s="137">
        <f t="shared" si="77"/>
        <v>12.019178082191781</v>
      </c>
      <c r="F70" s="137">
        <f t="shared" si="78"/>
        <v>5.3424657534246576</v>
      </c>
      <c r="G70" s="137">
        <f t="shared" si="79"/>
        <v>18.386301369863013</v>
      </c>
      <c r="H70" s="137">
        <f t="shared" si="74"/>
        <v>503.30396637274634</v>
      </c>
      <c r="I70" s="137">
        <v>501.24154551570996</v>
      </c>
      <c r="J70" s="137">
        <v>505.27075589747039</v>
      </c>
    </row>
    <row r="71" spans="2:10" x14ac:dyDescent="0.25">
      <c r="B71" s="279"/>
      <c r="C71" s="137" t="str">
        <f t="shared" ref="C71" si="82">C54</f>
        <v>5 hubs</v>
      </c>
      <c r="D71" s="137" t="str">
        <f t="shared" si="76"/>
        <v>kWh per capita per day</v>
      </c>
      <c r="E71" s="137">
        <f t="shared" si="77"/>
        <v>12.019178082191781</v>
      </c>
      <c r="F71" s="137">
        <f t="shared" si="78"/>
        <v>5.3424657534246576</v>
      </c>
      <c r="G71" s="137">
        <f t="shared" si="79"/>
        <v>18.386301369863013</v>
      </c>
      <c r="H71" s="137">
        <f t="shared" si="74"/>
        <v>486.80311094478617</v>
      </c>
      <c r="I71" s="137">
        <v>484.8015489028777</v>
      </c>
      <c r="J71" s="137">
        <v>488.71186358549011</v>
      </c>
    </row>
    <row r="72" spans="2:10" x14ac:dyDescent="0.25">
      <c r="B72" s="279"/>
      <c r="C72" s="137" t="str">
        <f t="shared" ref="C72" si="83">C55</f>
        <v>6 hubs</v>
      </c>
      <c r="D72" s="137" t="str">
        <f t="shared" si="76"/>
        <v>kWh per capita per day</v>
      </c>
      <c r="E72" s="137">
        <f t="shared" si="77"/>
        <v>12.019178082191781</v>
      </c>
      <c r="F72" s="137">
        <f t="shared" si="78"/>
        <v>5.3424657534246576</v>
      </c>
      <c r="G72" s="137">
        <f t="shared" si="79"/>
        <v>18.386301369863013</v>
      </c>
      <c r="H72" s="137">
        <f t="shared" si="74"/>
        <v>455.38200283198438</v>
      </c>
      <c r="I72" s="137">
        <v>453.36990749016383</v>
      </c>
      <c r="J72" s="137">
        <v>457.30080035943234</v>
      </c>
    </row>
    <row r="73" spans="2:10" x14ac:dyDescent="0.25">
      <c r="B73" s="279"/>
      <c r="C73" s="137" t="str">
        <f t="shared" ref="C73:J73" si="84">C56</f>
        <v>CED</v>
      </c>
      <c r="D73" s="137" t="str">
        <f t="shared" si="84"/>
        <v>Unit</v>
      </c>
      <c r="E73" s="137" t="str">
        <f t="shared" si="84"/>
        <v>Base</v>
      </c>
      <c r="F73" s="137" t="str">
        <f t="shared" si="84"/>
        <v>Low</v>
      </c>
      <c r="G73" s="137" t="str">
        <f t="shared" si="84"/>
        <v>High</v>
      </c>
      <c r="H73" s="137" t="str">
        <f t="shared" si="84"/>
        <v>CED (Base)</v>
      </c>
      <c r="I73" s="137" t="str">
        <f t="shared" si="84"/>
        <v>CED (Low)</v>
      </c>
      <c r="J73" s="137" t="str">
        <f t="shared" si="84"/>
        <v>CED (High)</v>
      </c>
    </row>
    <row r="74" spans="2:10" x14ac:dyDescent="0.25">
      <c r="B74" s="279"/>
      <c r="C74" s="137" t="str">
        <f t="shared" ref="C74" si="85">C57</f>
        <v>1 hub</v>
      </c>
      <c r="D74" s="137" t="str">
        <f>D66</f>
        <v>kWh per capita per day</v>
      </c>
      <c r="E74" s="137">
        <f t="shared" ref="E74:G74" si="86">E66</f>
        <v>12.019178082191781</v>
      </c>
      <c r="F74" s="137">
        <f t="shared" si="86"/>
        <v>5.3424657534246576</v>
      </c>
      <c r="G74" s="137">
        <f t="shared" si="86"/>
        <v>18.386301369863013</v>
      </c>
      <c r="H74" s="137">
        <f>H23</f>
        <v>9490.5583194463925</v>
      </c>
      <c r="I74" s="137">
        <v>9451.5034669872239</v>
      </c>
      <c r="J74" s="137">
        <v>9531.6901459755682</v>
      </c>
    </row>
    <row r="75" spans="2:10" x14ac:dyDescent="0.25">
      <c r="B75" s="279"/>
      <c r="C75" s="137" t="str">
        <f t="shared" ref="C75" si="87">C58</f>
        <v>Virtual</v>
      </c>
      <c r="D75" s="137" t="str">
        <f t="shared" ref="D75:G75" si="88">D67</f>
        <v>kWh per capita per day</v>
      </c>
      <c r="E75" s="137">
        <f t="shared" si="88"/>
        <v>12.019178082191781</v>
      </c>
      <c r="F75" s="137">
        <f t="shared" si="88"/>
        <v>5.3424657534246576</v>
      </c>
      <c r="G75" s="137">
        <f t="shared" si="88"/>
        <v>18.386301369863013</v>
      </c>
      <c r="H75" s="137">
        <f t="shared" ref="H75:H80" si="89">H24</f>
        <v>915.6940864914053</v>
      </c>
      <c r="I75" s="137">
        <v>753.19764731111718</v>
      </c>
      <c r="J75" s="137">
        <v>1070.6558118319836</v>
      </c>
    </row>
    <row r="76" spans="2:10" x14ac:dyDescent="0.25">
      <c r="B76" s="279"/>
      <c r="C76" s="137" t="str">
        <f t="shared" ref="C76" si="90">C59</f>
        <v>2 hubs</v>
      </c>
      <c r="D76" s="137" t="str">
        <f t="shared" ref="D76:G76" si="91">D68</f>
        <v>kWh per capita per day</v>
      </c>
      <c r="E76" s="137">
        <f t="shared" si="91"/>
        <v>12.019178082191781</v>
      </c>
      <c r="F76" s="137">
        <f t="shared" si="91"/>
        <v>5.3424657534246576</v>
      </c>
      <c r="G76" s="137">
        <f t="shared" si="91"/>
        <v>18.386301369863013</v>
      </c>
      <c r="H76" s="137">
        <f t="shared" si="89"/>
        <v>8009.7388484787025</v>
      </c>
      <c r="I76" s="137">
        <v>7971.8197304596415</v>
      </c>
      <c r="J76" s="137">
        <v>8050.5763285045214</v>
      </c>
    </row>
    <row r="77" spans="2:10" x14ac:dyDescent="0.25">
      <c r="B77" s="279"/>
      <c r="C77" s="137" t="str">
        <f t="shared" ref="C77" si="92">C60</f>
        <v>3 hubs</v>
      </c>
      <c r="D77" s="137" t="str">
        <f t="shared" ref="D77:G77" si="93">D69</f>
        <v>kWh per capita per day</v>
      </c>
      <c r="E77" s="137">
        <f t="shared" si="93"/>
        <v>12.019178082191781</v>
      </c>
      <c r="F77" s="137">
        <f t="shared" si="93"/>
        <v>5.3424657534246576</v>
      </c>
      <c r="G77" s="137">
        <f t="shared" si="93"/>
        <v>18.386301369863013</v>
      </c>
      <c r="H77" s="137">
        <f t="shared" si="89"/>
        <v>6981.9549573394906</v>
      </c>
      <c r="I77" s="137">
        <v>6947.5980742445072</v>
      </c>
      <c r="J77" s="137">
        <v>7019.3953778808846</v>
      </c>
    </row>
    <row r="78" spans="2:10" x14ac:dyDescent="0.25">
      <c r="B78" s="279"/>
      <c r="C78" s="137" t="str">
        <f>C61</f>
        <v>4 hubs</v>
      </c>
      <c r="D78" s="137" t="str">
        <f t="shared" ref="D78:G78" si="94">D70</f>
        <v>kWh per capita per day</v>
      </c>
      <c r="E78" s="137">
        <f t="shared" si="94"/>
        <v>12.019178082191781</v>
      </c>
      <c r="F78" s="137">
        <f t="shared" si="94"/>
        <v>5.3424657534246576</v>
      </c>
      <c r="G78" s="137">
        <f t="shared" si="94"/>
        <v>18.386301369863013</v>
      </c>
      <c r="H78" s="137">
        <f t="shared" si="89"/>
        <v>6425.0979041428982</v>
      </c>
      <c r="I78" s="137">
        <v>6389.0862862341473</v>
      </c>
      <c r="J78" s="137">
        <v>6464.1163319502721</v>
      </c>
    </row>
    <row r="79" spans="2:10" x14ac:dyDescent="0.25">
      <c r="B79" s="279"/>
      <c r="C79" s="137" t="str">
        <f t="shared" ref="C79" si="95">C62</f>
        <v>5 hubs</v>
      </c>
      <c r="D79" s="137" t="str">
        <f t="shared" ref="D79:G79" si="96">D71</f>
        <v>kWh per capita per day</v>
      </c>
      <c r="E79" s="137">
        <f t="shared" si="96"/>
        <v>12.019178082191781</v>
      </c>
      <c r="F79" s="137">
        <f t="shared" si="96"/>
        <v>5.3424657534246576</v>
      </c>
      <c r="G79" s="137">
        <f t="shared" si="96"/>
        <v>18.386301369863013</v>
      </c>
      <c r="H79" s="137">
        <f t="shared" si="89"/>
        <v>6032.6815401722743</v>
      </c>
      <c r="I79" s="137">
        <v>5997.2632061858594</v>
      </c>
      <c r="J79" s="137">
        <v>6070.4783791554601</v>
      </c>
    </row>
    <row r="80" spans="2:10" x14ac:dyDescent="0.25">
      <c r="B80" s="279"/>
      <c r="C80" s="137" t="str">
        <f t="shared" ref="C80" si="97">C63</f>
        <v>6 hubs</v>
      </c>
      <c r="D80" s="137" t="str">
        <f t="shared" ref="D80:G80" si="98">D72</f>
        <v>kWh per capita per day</v>
      </c>
      <c r="E80" s="137">
        <f t="shared" si="98"/>
        <v>12.019178082191781</v>
      </c>
      <c r="F80" s="137">
        <f t="shared" si="98"/>
        <v>5.3424657534246576</v>
      </c>
      <c r="G80" s="137">
        <f t="shared" si="98"/>
        <v>18.386301369863013</v>
      </c>
      <c r="H80" s="137">
        <f t="shared" si="89"/>
        <v>5770.4315065798019</v>
      </c>
      <c r="I80" s="137">
        <v>5735.5703234777457</v>
      </c>
      <c r="J80" s="137">
        <v>5809.5473374523099</v>
      </c>
    </row>
    <row r="82" spans="2:10" x14ac:dyDescent="0.25">
      <c r="B82" s="279" t="str">
        <f>D8</f>
        <v>Electricity consumption at hotel</v>
      </c>
      <c r="C82" s="137" t="str">
        <f>C65</f>
        <v>Carbon footprint</v>
      </c>
      <c r="D82" s="137" t="str">
        <f t="shared" ref="D82:J82" si="99">D65</f>
        <v>Unit</v>
      </c>
      <c r="E82" s="137" t="str">
        <f t="shared" si="99"/>
        <v>Base</v>
      </c>
      <c r="F82" s="137" t="str">
        <f t="shared" si="99"/>
        <v>Low</v>
      </c>
      <c r="G82" s="137" t="str">
        <f t="shared" si="99"/>
        <v>High</v>
      </c>
      <c r="H82" s="137" t="str">
        <f t="shared" si="99"/>
        <v>Carbon footprint (Base)</v>
      </c>
      <c r="I82" s="137" t="str">
        <f t="shared" si="99"/>
        <v>Carbon footprint (Low)</v>
      </c>
      <c r="J82" s="137" t="str">
        <f t="shared" si="99"/>
        <v>Carbon footprint (High)</v>
      </c>
    </row>
    <row r="83" spans="2:10" x14ac:dyDescent="0.25">
      <c r="B83" s="279"/>
      <c r="C83" s="137" t="str">
        <f t="shared" ref="C83" si="100">C66</f>
        <v>1 hub</v>
      </c>
      <c r="D83" s="137" t="str">
        <f>E8</f>
        <v>kWh per capita per day</v>
      </c>
      <c r="E83" s="137">
        <f>F8</f>
        <v>18.100000000000001</v>
      </c>
      <c r="F83" s="137">
        <f>G8</f>
        <v>14.799999999999999</v>
      </c>
      <c r="G83" s="137">
        <f>H8</f>
        <v>21.4</v>
      </c>
      <c r="H83" s="137">
        <f>H15</f>
        <v>839.63096223972445</v>
      </c>
      <c r="I83" s="137">
        <v>834.64350657972443</v>
      </c>
      <c r="J83" s="137">
        <v>844.61841789972436</v>
      </c>
    </row>
    <row r="84" spans="2:10" x14ac:dyDescent="0.25">
      <c r="B84" s="279"/>
      <c r="C84" s="137" t="str">
        <f t="shared" ref="C84" si="101">C67</f>
        <v>Virtual</v>
      </c>
      <c r="D84" s="137" t="str">
        <f>D83</f>
        <v>kWh per capita per day</v>
      </c>
      <c r="E84" s="137">
        <f t="shared" ref="E84:G84" si="102">E83</f>
        <v>18.100000000000001</v>
      </c>
      <c r="F84" s="137">
        <f t="shared" si="102"/>
        <v>14.799999999999999</v>
      </c>
      <c r="G84" s="137">
        <f t="shared" si="102"/>
        <v>21.4</v>
      </c>
      <c r="H84" s="137">
        <f t="shared" ref="H84:H89" si="103">H16</f>
        <v>54.754055475140696</v>
      </c>
      <c r="I84" s="137">
        <v>54.754055475140696</v>
      </c>
      <c r="J84" s="137">
        <v>54.754055475140696</v>
      </c>
    </row>
    <row r="85" spans="2:10" x14ac:dyDescent="0.25">
      <c r="B85" s="279"/>
      <c r="C85" s="137" t="str">
        <f t="shared" ref="C85" si="104">C68</f>
        <v>2 hubs</v>
      </c>
      <c r="D85" s="137" t="str">
        <f t="shared" ref="D85:D89" si="105">D84</f>
        <v>kWh per capita per day</v>
      </c>
      <c r="E85" s="137">
        <f t="shared" ref="E85:E89" si="106">E84</f>
        <v>18.100000000000001</v>
      </c>
      <c r="F85" s="137">
        <f t="shared" ref="F85:F89" si="107">F84</f>
        <v>14.799999999999999</v>
      </c>
      <c r="G85" s="137">
        <f t="shared" ref="G85:G89" si="108">G84</f>
        <v>21.4</v>
      </c>
      <c r="H85" s="137">
        <f t="shared" si="103"/>
        <v>682.28532815018957</v>
      </c>
      <c r="I85" s="137">
        <v>677.35772928084225</v>
      </c>
      <c r="J85" s="137">
        <v>687.21292701953689</v>
      </c>
    </row>
    <row r="86" spans="2:10" x14ac:dyDescent="0.25">
      <c r="B86" s="279"/>
      <c r="C86" s="137" t="str">
        <f t="shared" ref="C86" si="109">C69</f>
        <v>3 hubs</v>
      </c>
      <c r="D86" s="137" t="str">
        <f t="shared" si="105"/>
        <v>kWh per capita per day</v>
      </c>
      <c r="E86" s="137">
        <f t="shared" si="106"/>
        <v>18.100000000000001</v>
      </c>
      <c r="F86" s="137">
        <f t="shared" si="107"/>
        <v>14.799999999999999</v>
      </c>
      <c r="G86" s="137">
        <f t="shared" si="108"/>
        <v>21.4</v>
      </c>
      <c r="H86" s="137">
        <f t="shared" si="103"/>
        <v>568.09303518054969</v>
      </c>
      <c r="I86" s="137">
        <v>563.69335854148972</v>
      </c>
      <c r="J86" s="137">
        <v>572.49271181960978</v>
      </c>
    </row>
    <row r="87" spans="2:10" x14ac:dyDescent="0.25">
      <c r="B87" s="279"/>
      <c r="C87" s="137" t="str">
        <f t="shared" ref="C87" si="110">C70</f>
        <v>4 hubs</v>
      </c>
      <c r="D87" s="137" t="str">
        <f t="shared" si="105"/>
        <v>kWh per capita per day</v>
      </c>
      <c r="E87" s="137">
        <f t="shared" si="106"/>
        <v>18.100000000000001</v>
      </c>
      <c r="F87" s="137">
        <f t="shared" si="107"/>
        <v>14.799999999999999</v>
      </c>
      <c r="G87" s="137">
        <f t="shared" si="108"/>
        <v>21.4</v>
      </c>
      <c r="H87" s="137">
        <f t="shared" si="103"/>
        <v>503.30396637274634</v>
      </c>
      <c r="I87" s="137">
        <v>498.66020478909098</v>
      </c>
      <c r="J87" s="137">
        <v>507.94772795640165</v>
      </c>
    </row>
    <row r="88" spans="2:10" x14ac:dyDescent="0.25">
      <c r="B88" s="279"/>
      <c r="C88" s="137" t="str">
        <f t="shared" ref="C88" si="111">C71</f>
        <v>5 hubs</v>
      </c>
      <c r="D88" s="137" t="str">
        <f t="shared" si="105"/>
        <v>kWh per capita per day</v>
      </c>
      <c r="E88" s="137">
        <f t="shared" si="106"/>
        <v>18.100000000000001</v>
      </c>
      <c r="F88" s="137">
        <f t="shared" si="107"/>
        <v>14.799999999999999</v>
      </c>
      <c r="G88" s="137">
        <f t="shared" si="108"/>
        <v>21.4</v>
      </c>
      <c r="H88" s="137">
        <f t="shared" si="103"/>
        <v>486.80311094478617</v>
      </c>
      <c r="I88" s="137">
        <v>482.29637950546504</v>
      </c>
      <c r="J88" s="137">
        <v>491.30984238410736</v>
      </c>
    </row>
    <row r="89" spans="2:10" x14ac:dyDescent="0.25">
      <c r="B89" s="279"/>
      <c r="C89" s="137" t="str">
        <f t="shared" ref="C89" si="112">C72</f>
        <v>6 hubs</v>
      </c>
      <c r="D89" s="137" t="str">
        <f t="shared" si="105"/>
        <v>kWh per capita per day</v>
      </c>
      <c r="E89" s="137">
        <f t="shared" si="106"/>
        <v>18.100000000000001</v>
      </c>
      <c r="F89" s="137">
        <f t="shared" si="107"/>
        <v>14.799999999999999</v>
      </c>
      <c r="G89" s="137">
        <f t="shared" si="108"/>
        <v>21.4</v>
      </c>
      <c r="H89" s="137">
        <f t="shared" si="103"/>
        <v>455.38200283198438</v>
      </c>
      <c r="I89" s="137">
        <v>450.85155453908618</v>
      </c>
      <c r="J89" s="137">
        <v>459.91245112488247</v>
      </c>
    </row>
    <row r="90" spans="2:10" x14ac:dyDescent="0.25">
      <c r="B90" s="279"/>
      <c r="C90" s="137" t="str">
        <f t="shared" ref="C90:J90" si="113">C73</f>
        <v>CED</v>
      </c>
      <c r="D90" s="137" t="str">
        <f t="shared" si="113"/>
        <v>Unit</v>
      </c>
      <c r="E90" s="137" t="str">
        <f t="shared" si="113"/>
        <v>Base</v>
      </c>
      <c r="F90" s="137" t="str">
        <f t="shared" si="113"/>
        <v>Low</v>
      </c>
      <c r="G90" s="137" t="str">
        <f t="shared" si="113"/>
        <v>High</v>
      </c>
      <c r="H90" s="137" t="str">
        <f t="shared" si="113"/>
        <v>CED (Base)</v>
      </c>
      <c r="I90" s="137" t="str">
        <f t="shared" si="113"/>
        <v>CED (Low)</v>
      </c>
      <c r="J90" s="137" t="str">
        <f t="shared" si="113"/>
        <v>CED (High)</v>
      </c>
    </row>
    <row r="91" spans="2:10" x14ac:dyDescent="0.25">
      <c r="B91" s="279"/>
      <c r="C91" s="137" t="str">
        <f t="shared" ref="C91" si="114">C74</f>
        <v>1 hub</v>
      </c>
      <c r="D91" s="137" t="str">
        <f>D83</f>
        <v>kWh per capita per day</v>
      </c>
      <c r="E91" s="137">
        <f t="shared" ref="E91:G91" si="115">E83</f>
        <v>18.100000000000001</v>
      </c>
      <c r="F91" s="137">
        <f t="shared" si="115"/>
        <v>14.799999999999999</v>
      </c>
      <c r="G91" s="137">
        <f t="shared" si="115"/>
        <v>21.4</v>
      </c>
      <c r="H91" s="137">
        <f>H23</f>
        <v>9490.5583194463925</v>
      </c>
      <c r="I91" s="137">
        <v>9400.1313318557495</v>
      </c>
      <c r="J91" s="137">
        <v>9584.9654726058216</v>
      </c>
    </row>
    <row r="92" spans="2:10" x14ac:dyDescent="0.25">
      <c r="B92" s="279"/>
      <c r="C92" s="137" t="str">
        <f t="shared" ref="C92" si="116">C75</f>
        <v>Virtual</v>
      </c>
      <c r="D92" s="137" t="str">
        <f t="shared" ref="D92:G92" si="117">D84</f>
        <v>kWh per capita per day</v>
      </c>
      <c r="E92" s="137">
        <f t="shared" si="117"/>
        <v>18.100000000000001</v>
      </c>
      <c r="F92" s="137">
        <f t="shared" si="117"/>
        <v>14.799999999999999</v>
      </c>
      <c r="G92" s="137">
        <f t="shared" si="117"/>
        <v>21.4</v>
      </c>
      <c r="H92" s="137">
        <f t="shared" ref="H92:H97" si="118">H24</f>
        <v>915.6940864914053</v>
      </c>
      <c r="I92" s="137">
        <v>915.6940864914053</v>
      </c>
      <c r="J92" s="137">
        <v>915.6940864914053</v>
      </c>
    </row>
    <row r="93" spans="2:10" x14ac:dyDescent="0.25">
      <c r="B93" s="279"/>
      <c r="C93" s="137" t="str">
        <f t="shared" ref="C93" si="119">C76</f>
        <v>2 hubs</v>
      </c>
      <c r="D93" s="137" t="str">
        <f t="shared" ref="D93:G93" si="120">D85</f>
        <v>kWh per capita per day</v>
      </c>
      <c r="E93" s="137">
        <f t="shared" si="120"/>
        <v>18.100000000000001</v>
      </c>
      <c r="F93" s="137">
        <f t="shared" si="120"/>
        <v>14.799999999999999</v>
      </c>
      <c r="G93" s="137">
        <f t="shared" si="120"/>
        <v>21.4</v>
      </c>
      <c r="H93" s="137">
        <f t="shared" si="118"/>
        <v>8009.7388484787025</v>
      </c>
      <c r="I93" s="137">
        <v>7921.3637863015738</v>
      </c>
      <c r="J93" s="137">
        <v>8102.9015218915483</v>
      </c>
    </row>
    <row r="94" spans="2:10" x14ac:dyDescent="0.25">
      <c r="B94" s="279"/>
      <c r="C94" s="137" t="str">
        <f t="shared" ref="C94" si="121">C77</f>
        <v>3 hubs</v>
      </c>
      <c r="D94" s="137" t="str">
        <f t="shared" ref="D94:G94" si="122">D86</f>
        <v>kWh per capita per day</v>
      </c>
      <c r="E94" s="137">
        <f t="shared" si="122"/>
        <v>18.100000000000001</v>
      </c>
      <c r="F94" s="137">
        <f t="shared" si="122"/>
        <v>14.799999999999999</v>
      </c>
      <c r="G94" s="137">
        <f t="shared" si="122"/>
        <v>21.4</v>
      </c>
      <c r="H94" s="137">
        <f t="shared" si="118"/>
        <v>6981.9549573394906</v>
      </c>
      <c r="I94" s="137">
        <v>6901.6006488489547</v>
      </c>
      <c r="J94" s="137">
        <v>7067.0968770657482</v>
      </c>
    </row>
    <row r="95" spans="2:10" x14ac:dyDescent="0.25">
      <c r="B95" s="279"/>
      <c r="C95" s="137" t="str">
        <f>C78</f>
        <v>4 hubs</v>
      </c>
      <c r="D95" s="137" t="str">
        <f t="shared" ref="D95:G95" si="123">D87</f>
        <v>kWh per capita per day</v>
      </c>
      <c r="E95" s="137">
        <f t="shared" si="123"/>
        <v>18.100000000000001</v>
      </c>
      <c r="F95" s="137">
        <f t="shared" si="123"/>
        <v>14.799999999999999</v>
      </c>
      <c r="G95" s="137">
        <f t="shared" si="123"/>
        <v>21.4</v>
      </c>
      <c r="H95" s="137">
        <f t="shared" si="118"/>
        <v>6425.0979041428982</v>
      </c>
      <c r="I95" s="137">
        <v>6341.0177828857322</v>
      </c>
      <c r="J95" s="137">
        <v>6513.9656366357831</v>
      </c>
    </row>
    <row r="96" spans="2:10" x14ac:dyDescent="0.25">
      <c r="B96" s="279"/>
      <c r="C96" s="137" t="str">
        <f t="shared" ref="C96" si="124">C79</f>
        <v>5 hubs</v>
      </c>
      <c r="D96" s="137" t="str">
        <f t="shared" ref="D96:G96" si="125">D88</f>
        <v>kWh per capita per day</v>
      </c>
      <c r="E96" s="137">
        <f t="shared" si="125"/>
        <v>18.100000000000001</v>
      </c>
      <c r="F96" s="137">
        <f t="shared" si="125"/>
        <v>14.799999999999999</v>
      </c>
      <c r="G96" s="137">
        <f t="shared" si="125"/>
        <v>21.4</v>
      </c>
      <c r="H96" s="137">
        <f t="shared" si="118"/>
        <v>6032.6815401722743</v>
      </c>
      <c r="I96" s="137">
        <v>5950.357413267122</v>
      </c>
      <c r="J96" s="137">
        <v>6119.1218982967475</v>
      </c>
    </row>
    <row r="97" spans="2:10" x14ac:dyDescent="0.25">
      <c r="B97" s="279"/>
      <c r="C97" s="137" t="str">
        <f t="shared" ref="C97" si="126">C80</f>
        <v>6 hubs</v>
      </c>
      <c r="D97" s="137" t="str">
        <f t="shared" ref="D97:G97" si="127">D89</f>
        <v>kWh per capita per day</v>
      </c>
      <c r="E97" s="137">
        <f t="shared" si="127"/>
        <v>18.100000000000001</v>
      </c>
      <c r="F97" s="137">
        <f t="shared" si="127"/>
        <v>14.799999999999999</v>
      </c>
      <c r="G97" s="137">
        <f t="shared" si="127"/>
        <v>21.4</v>
      </c>
      <c r="H97" s="137">
        <f t="shared" si="118"/>
        <v>5770.4315065798019</v>
      </c>
      <c r="I97" s="137">
        <v>5688.176451995967</v>
      </c>
      <c r="J97" s="137">
        <v>5858.6970170792529</v>
      </c>
    </row>
    <row r="99" spans="2:10" x14ac:dyDescent="0.25">
      <c r="B99" s="279" t="str">
        <f>D9</f>
        <v>Emission factor for air transportation</v>
      </c>
      <c r="C99" s="137" t="str">
        <f>C65</f>
        <v>Carbon footprint</v>
      </c>
      <c r="D99" s="137" t="str">
        <f t="shared" ref="D99:J99" si="128">D65</f>
        <v>Unit</v>
      </c>
      <c r="E99" s="137" t="str">
        <f t="shared" si="128"/>
        <v>Base</v>
      </c>
      <c r="F99" s="137" t="str">
        <f t="shared" si="128"/>
        <v>Low</v>
      </c>
      <c r="G99" s="137" t="str">
        <f t="shared" si="128"/>
        <v>High</v>
      </c>
      <c r="H99" s="137" t="str">
        <f t="shared" si="128"/>
        <v>Carbon footprint (Base)</v>
      </c>
      <c r="I99" s="137" t="str">
        <f t="shared" si="128"/>
        <v>Carbon footprint (Low)</v>
      </c>
      <c r="J99" s="137" t="str">
        <f t="shared" si="128"/>
        <v>Carbon footprint (High)</v>
      </c>
    </row>
    <row r="100" spans="2:10" x14ac:dyDescent="0.25">
      <c r="B100" s="279"/>
      <c r="C100" s="137" t="str">
        <f t="shared" ref="C100:C105" si="129">C66</f>
        <v>1 hub</v>
      </c>
      <c r="D100" s="137" t="str">
        <f>E9</f>
        <v>kg CO2 eq.</v>
      </c>
      <c r="E100" s="137" t="str">
        <f>F9</f>
        <v>-</v>
      </c>
      <c r="F100" s="137">
        <f>G9</f>
        <v>0.13924520000000001</v>
      </c>
      <c r="G100" s="137">
        <f>H9</f>
        <v>0.58462000000000003</v>
      </c>
      <c r="H100" s="137">
        <f>H15</f>
        <v>839.63096223972445</v>
      </c>
      <c r="I100" s="137">
        <v>711.64610732716733</v>
      </c>
      <c r="J100" s="137">
        <v>2450.024026833009</v>
      </c>
    </row>
    <row r="101" spans="2:10" x14ac:dyDescent="0.25">
      <c r="B101" s="279"/>
      <c r="C101" s="137" t="str">
        <f t="shared" si="129"/>
        <v>Virtual</v>
      </c>
      <c r="D101" s="137" t="str">
        <f>D100</f>
        <v>kg CO2 eq.</v>
      </c>
      <c r="E101" s="137" t="str">
        <f t="shared" ref="E101:G101" si="130">E100</f>
        <v>-</v>
      </c>
      <c r="F101" s="137">
        <f t="shared" si="130"/>
        <v>0.13924520000000001</v>
      </c>
      <c r="G101" s="137">
        <f t="shared" si="130"/>
        <v>0.58462000000000003</v>
      </c>
      <c r="H101" s="137">
        <f t="shared" ref="H101:H106" si="131">H16</f>
        <v>54.754055475140696</v>
      </c>
      <c r="I101" s="137">
        <v>54.754055475140696</v>
      </c>
      <c r="J101" s="137">
        <v>54.754055475140696</v>
      </c>
    </row>
    <row r="102" spans="2:10" x14ac:dyDescent="0.25">
      <c r="B102" s="279"/>
      <c r="C102" s="137" t="str">
        <f t="shared" si="129"/>
        <v>2 hubs</v>
      </c>
      <c r="D102" s="137" t="str">
        <f t="shared" ref="D102:D106" si="132">D101</f>
        <v>kg CO2 eq.</v>
      </c>
      <c r="E102" s="137" t="str">
        <f t="shared" ref="E102:E106" si="133">E101</f>
        <v>-</v>
      </c>
      <c r="F102" s="137">
        <f t="shared" ref="F102:F106" si="134">F101</f>
        <v>0.13924520000000001</v>
      </c>
      <c r="G102" s="137">
        <f t="shared" ref="G102:G106" si="135">G101</f>
        <v>0.58462000000000003</v>
      </c>
      <c r="H102" s="137">
        <f t="shared" si="131"/>
        <v>682.28532815018957</v>
      </c>
      <c r="I102" s="137">
        <v>537.68993393579808</v>
      </c>
      <c r="J102" s="137">
        <v>1718.4482469227698</v>
      </c>
    </row>
    <row r="103" spans="2:10" x14ac:dyDescent="0.25">
      <c r="B103" s="279"/>
      <c r="C103" s="137" t="str">
        <f t="shared" si="129"/>
        <v>3 hubs</v>
      </c>
      <c r="D103" s="137" t="str">
        <f t="shared" si="132"/>
        <v>kg CO2 eq.</v>
      </c>
      <c r="E103" s="137" t="str">
        <f t="shared" si="133"/>
        <v>-</v>
      </c>
      <c r="F103" s="137">
        <f t="shared" si="134"/>
        <v>0.13924520000000001</v>
      </c>
      <c r="G103" s="137">
        <f t="shared" si="135"/>
        <v>0.58462000000000003</v>
      </c>
      <c r="H103" s="137">
        <f t="shared" si="131"/>
        <v>568.09303518054969</v>
      </c>
      <c r="I103" s="137">
        <v>440.46733411054407</v>
      </c>
      <c r="J103" s="137">
        <v>1253.7152514322265</v>
      </c>
    </row>
    <row r="104" spans="2:10" x14ac:dyDescent="0.25">
      <c r="B104" s="279"/>
      <c r="C104" s="137" t="str">
        <f t="shared" si="129"/>
        <v>4 hubs</v>
      </c>
      <c r="D104" s="137" t="str">
        <f t="shared" si="132"/>
        <v>kg CO2 eq.</v>
      </c>
      <c r="E104" s="137" t="str">
        <f t="shared" si="133"/>
        <v>-</v>
      </c>
      <c r="F104" s="137">
        <f t="shared" si="134"/>
        <v>0.13924520000000001</v>
      </c>
      <c r="G104" s="137">
        <f t="shared" si="135"/>
        <v>0.58462000000000003</v>
      </c>
      <c r="H104" s="137">
        <f t="shared" si="131"/>
        <v>503.30396637274634</v>
      </c>
      <c r="I104" s="137">
        <v>398.213573367739</v>
      </c>
      <c r="J104" s="137">
        <v>1016.3209034450342</v>
      </c>
    </row>
    <row r="105" spans="2:10" x14ac:dyDescent="0.25">
      <c r="B105" s="279"/>
      <c r="C105" s="137" t="str">
        <f t="shared" si="129"/>
        <v>5 hubs</v>
      </c>
      <c r="D105" s="137" t="str">
        <f t="shared" si="132"/>
        <v>kg CO2 eq.</v>
      </c>
      <c r="E105" s="137" t="str">
        <f t="shared" si="133"/>
        <v>-</v>
      </c>
      <c r="F105" s="137">
        <f t="shared" si="134"/>
        <v>0.13924520000000001</v>
      </c>
      <c r="G105" s="137">
        <f t="shared" si="135"/>
        <v>0.58462000000000003</v>
      </c>
      <c r="H105" s="137">
        <f t="shared" si="131"/>
        <v>486.80311094478617</v>
      </c>
      <c r="I105" s="137">
        <v>367.43360366265358</v>
      </c>
      <c r="J105" s="137">
        <v>892.02913452151824</v>
      </c>
    </row>
    <row r="106" spans="2:10" x14ac:dyDescent="0.25">
      <c r="B106" s="279"/>
      <c r="C106" s="137" t="str">
        <f>C72</f>
        <v>6 hubs</v>
      </c>
      <c r="D106" s="137" t="str">
        <f t="shared" si="132"/>
        <v>kg CO2 eq.</v>
      </c>
      <c r="E106" s="137" t="str">
        <f t="shared" si="133"/>
        <v>-</v>
      </c>
      <c r="F106" s="137">
        <f t="shared" si="134"/>
        <v>0.13924520000000001</v>
      </c>
      <c r="G106" s="137">
        <f t="shared" si="135"/>
        <v>0.58462000000000003</v>
      </c>
      <c r="H106" s="137">
        <f t="shared" si="131"/>
        <v>455.38200283198438</v>
      </c>
      <c r="I106" s="137">
        <v>351.4512301840677</v>
      </c>
      <c r="J106" s="137">
        <v>814.84570070275834</v>
      </c>
    </row>
    <row r="108" spans="2:10" x14ac:dyDescent="0.25">
      <c r="B108" s="279" t="str">
        <f>D10</f>
        <v>Emission factor for rail transport</v>
      </c>
      <c r="C108" s="137" t="str">
        <f>C99</f>
        <v>Carbon footprint</v>
      </c>
      <c r="D108" s="137" t="str">
        <f t="shared" ref="D108:J108" si="136">D99</f>
        <v>Unit</v>
      </c>
      <c r="E108" s="137" t="str">
        <f t="shared" si="136"/>
        <v>Base</v>
      </c>
      <c r="F108" s="137" t="str">
        <f t="shared" si="136"/>
        <v>Low</v>
      </c>
      <c r="G108" s="137" t="str">
        <f t="shared" si="136"/>
        <v>High</v>
      </c>
      <c r="H108" s="137" t="str">
        <f t="shared" si="136"/>
        <v>Carbon footprint (Base)</v>
      </c>
      <c r="I108" s="137" t="str">
        <f t="shared" si="136"/>
        <v>Carbon footprint (Low)</v>
      </c>
      <c r="J108" s="137" t="str">
        <f t="shared" si="136"/>
        <v>Carbon footprint (High)</v>
      </c>
    </row>
    <row r="109" spans="2:10" x14ac:dyDescent="0.25">
      <c r="B109" s="279"/>
      <c r="C109" s="137" t="str">
        <f>C100</f>
        <v>1 hub</v>
      </c>
      <c r="D109" s="137" t="str">
        <f>E10</f>
        <v>kg CO2 eq.</v>
      </c>
      <c r="E109" s="137">
        <f>F10</f>
        <v>7.4462E-2</v>
      </c>
      <c r="F109" s="137">
        <f>G10</f>
        <v>5.6999999999999998E-4</v>
      </c>
      <c r="G109" s="137">
        <f>H10</f>
        <v>7.6568999999999998E-2</v>
      </c>
      <c r="H109" s="137">
        <f>H15</f>
        <v>839.63096223972445</v>
      </c>
      <c r="I109" s="137">
        <v>837.10148435026258</v>
      </c>
      <c r="J109" s="137">
        <v>839.70308926177154</v>
      </c>
    </row>
    <row r="110" spans="2:10" x14ac:dyDescent="0.25">
      <c r="B110" s="279"/>
      <c r="C110" s="137" t="str">
        <f t="shared" ref="C110:C115" si="137">C101</f>
        <v>Virtual</v>
      </c>
      <c r="D110" s="137" t="str">
        <f>D109</f>
        <v>kg CO2 eq.</v>
      </c>
      <c r="E110" s="137">
        <f t="shared" ref="E110:E115" si="138">E109</f>
        <v>7.4462E-2</v>
      </c>
      <c r="F110" s="137">
        <f t="shared" ref="F110:F115" si="139">F109</f>
        <v>5.6999999999999998E-4</v>
      </c>
      <c r="G110" s="137">
        <f t="shared" ref="G110:G115" si="140">G109</f>
        <v>7.6568999999999998E-2</v>
      </c>
      <c r="H110" s="137">
        <f t="shared" ref="H110:H115" si="141">H16</f>
        <v>54.754055475140696</v>
      </c>
      <c r="I110" s="137">
        <v>54.754055475140696</v>
      </c>
      <c r="J110" s="137">
        <v>54.754055475140696</v>
      </c>
    </row>
    <row r="111" spans="2:10" x14ac:dyDescent="0.25">
      <c r="B111" s="279"/>
      <c r="C111" s="137" t="str">
        <f t="shared" si="137"/>
        <v>2 hubs</v>
      </c>
      <c r="D111" s="137" t="str">
        <f t="shared" ref="D111:D115" si="142">D110</f>
        <v>kg CO2 eq.</v>
      </c>
      <c r="E111" s="137">
        <f t="shared" si="138"/>
        <v>7.4462E-2</v>
      </c>
      <c r="F111" s="137">
        <f t="shared" si="139"/>
        <v>5.6999999999999998E-4</v>
      </c>
      <c r="G111" s="137">
        <f t="shared" si="140"/>
        <v>7.6568999999999998E-2</v>
      </c>
      <c r="H111" s="137">
        <f t="shared" si="141"/>
        <v>682.28532815018957</v>
      </c>
      <c r="I111" s="137">
        <v>679.24270176823654</v>
      </c>
      <c r="J111" s="137">
        <v>682.3720873905238</v>
      </c>
    </row>
    <row r="112" spans="2:10" x14ac:dyDescent="0.25">
      <c r="B112" s="279"/>
      <c r="C112" s="137" t="str">
        <f t="shared" si="137"/>
        <v>3 hubs</v>
      </c>
      <c r="D112" s="137" t="str">
        <f t="shared" si="142"/>
        <v>kg CO2 eq.</v>
      </c>
      <c r="E112" s="137">
        <f t="shared" si="138"/>
        <v>7.4462E-2</v>
      </c>
      <c r="F112" s="137">
        <f t="shared" si="139"/>
        <v>5.6999999999999998E-4</v>
      </c>
      <c r="G112" s="137">
        <f t="shared" si="140"/>
        <v>7.6568999999999998E-2</v>
      </c>
      <c r="H112" s="137">
        <f t="shared" si="141"/>
        <v>568.09303518054969</v>
      </c>
      <c r="I112" s="137">
        <v>565.05040879859666</v>
      </c>
      <c r="J112" s="137">
        <v>568.17979442088404</v>
      </c>
    </row>
    <row r="113" spans="2:10" x14ac:dyDescent="0.25">
      <c r="B113" s="279"/>
      <c r="C113" s="137" t="str">
        <f t="shared" si="137"/>
        <v>4 hubs</v>
      </c>
      <c r="D113" s="137" t="str">
        <f t="shared" si="142"/>
        <v>kg CO2 eq.</v>
      </c>
      <c r="E113" s="137">
        <f t="shared" si="138"/>
        <v>7.4462E-2</v>
      </c>
      <c r="F113" s="137">
        <f t="shared" si="139"/>
        <v>5.6999999999999998E-4</v>
      </c>
      <c r="G113" s="137">
        <f t="shared" si="140"/>
        <v>7.6568999999999998E-2</v>
      </c>
      <c r="H113" s="137">
        <f t="shared" si="141"/>
        <v>503.30396637274634</v>
      </c>
      <c r="I113" s="137">
        <v>500.26133999079326</v>
      </c>
      <c r="J113" s="137">
        <v>503.39072561308046</v>
      </c>
    </row>
    <row r="114" spans="2:10" x14ac:dyDescent="0.25">
      <c r="B114" s="279"/>
      <c r="C114" s="137" t="str">
        <f t="shared" si="137"/>
        <v>5 hubs</v>
      </c>
      <c r="D114" s="137" t="str">
        <f t="shared" si="142"/>
        <v>kg CO2 eq.</v>
      </c>
      <c r="E114" s="137">
        <f t="shared" si="138"/>
        <v>7.4462E-2</v>
      </c>
      <c r="F114" s="137">
        <f t="shared" si="139"/>
        <v>5.6999999999999998E-4</v>
      </c>
      <c r="G114" s="137">
        <f t="shared" si="140"/>
        <v>7.6568999999999998E-2</v>
      </c>
      <c r="H114" s="137">
        <f t="shared" si="141"/>
        <v>486.80311094478617</v>
      </c>
      <c r="I114" s="137">
        <v>482.90671748774167</v>
      </c>
      <c r="J114" s="137">
        <v>486.91421500224828</v>
      </c>
    </row>
    <row r="115" spans="2:10" x14ac:dyDescent="0.25">
      <c r="B115" s="279"/>
      <c r="C115" s="137" t="str">
        <f t="shared" si="137"/>
        <v>6 hubs</v>
      </c>
      <c r="D115" s="137" t="str">
        <f t="shared" si="142"/>
        <v>kg CO2 eq.</v>
      </c>
      <c r="E115" s="137">
        <f t="shared" si="138"/>
        <v>7.4462E-2</v>
      </c>
      <c r="F115" s="137">
        <f t="shared" si="139"/>
        <v>5.6999999999999998E-4</v>
      </c>
      <c r="G115" s="137">
        <f t="shared" si="140"/>
        <v>7.6568999999999998E-2</v>
      </c>
      <c r="H115" s="137">
        <f t="shared" si="141"/>
        <v>455.38200283198438</v>
      </c>
      <c r="I115" s="137">
        <v>451.56223325671539</v>
      </c>
      <c r="J115" s="137">
        <v>455.49092199096083</v>
      </c>
    </row>
    <row r="117" spans="2:10" x14ac:dyDescent="0.25">
      <c r="B117" s="279" t="str">
        <f>D11</f>
        <v>Emission factor for driving</v>
      </c>
      <c r="C117" s="137" t="str">
        <f>C108</f>
        <v>Carbon footprint</v>
      </c>
      <c r="D117" s="137" t="str">
        <f t="shared" ref="D117:J117" si="143">D108</f>
        <v>Unit</v>
      </c>
      <c r="E117" s="137" t="str">
        <f t="shared" si="143"/>
        <v>Base</v>
      </c>
      <c r="F117" s="137" t="str">
        <f t="shared" si="143"/>
        <v>Low</v>
      </c>
      <c r="G117" s="137" t="str">
        <f t="shared" si="143"/>
        <v>High</v>
      </c>
      <c r="H117" s="137" t="str">
        <f t="shared" si="143"/>
        <v>Carbon footprint (Base)</v>
      </c>
      <c r="I117" s="137" t="str">
        <f t="shared" si="143"/>
        <v>Carbon footprint (Low)</v>
      </c>
      <c r="J117" s="137" t="str">
        <f t="shared" si="143"/>
        <v>Carbon footprint (High)</v>
      </c>
    </row>
    <row r="118" spans="2:10" x14ac:dyDescent="0.25">
      <c r="B118" s="279"/>
      <c r="C118" s="137" t="str">
        <f>C109</f>
        <v>1 hub</v>
      </c>
      <c r="D118" s="137" t="str">
        <f>E11</f>
        <v>kg CO2 eq.</v>
      </c>
      <c r="E118" s="137">
        <f>F11</f>
        <v>0.33979999999999999</v>
      </c>
      <c r="F118" s="137">
        <f>G11</f>
        <v>0.22624</v>
      </c>
      <c r="G118" s="137">
        <f>H11</f>
        <v>0.40856999999999999</v>
      </c>
      <c r="H118" s="137">
        <f>H15</f>
        <v>839.63096223972445</v>
      </c>
      <c r="I118" s="137">
        <v>820.30418821173487</v>
      </c>
      <c r="J118" s="137">
        <v>851.33492710327482</v>
      </c>
    </row>
    <row r="119" spans="2:10" x14ac:dyDescent="0.25">
      <c r="B119" s="279"/>
      <c r="C119" s="137" t="str">
        <f t="shared" ref="C119:C124" si="144">C110</f>
        <v>Virtual</v>
      </c>
      <c r="D119" s="137" t="str">
        <f>D118</f>
        <v>kg CO2 eq.</v>
      </c>
      <c r="E119" s="137">
        <f t="shared" ref="E119:E124" si="145">E118</f>
        <v>0.33979999999999999</v>
      </c>
      <c r="F119" s="137">
        <f t="shared" ref="F119:F124" si="146">F118</f>
        <v>0.22624</v>
      </c>
      <c r="G119" s="137">
        <f t="shared" ref="G119:G124" si="147">G118</f>
        <v>0.40856999999999999</v>
      </c>
      <c r="H119" s="137">
        <f t="shared" ref="H119:H124" si="148">H16</f>
        <v>54.754055475140696</v>
      </c>
      <c r="I119" s="137">
        <v>54.754055475140696</v>
      </c>
      <c r="J119" s="137">
        <v>54.754055475140696</v>
      </c>
    </row>
    <row r="120" spans="2:10" x14ac:dyDescent="0.25">
      <c r="B120" s="279"/>
      <c r="C120" s="137" t="str">
        <f t="shared" si="144"/>
        <v>2 hubs</v>
      </c>
      <c r="D120" s="137" t="str">
        <f t="shared" ref="D120:D124" si="149">D119</f>
        <v>kg CO2 eq.</v>
      </c>
      <c r="E120" s="137">
        <f t="shared" si="145"/>
        <v>0.33979999999999999</v>
      </c>
      <c r="F120" s="137">
        <f t="shared" si="146"/>
        <v>0.22624</v>
      </c>
      <c r="G120" s="137">
        <f t="shared" si="147"/>
        <v>0.40856999999999999</v>
      </c>
      <c r="H120" s="137">
        <f t="shared" si="148"/>
        <v>682.28532815018957</v>
      </c>
      <c r="I120" s="137">
        <v>662.68812714152114</v>
      </c>
      <c r="J120" s="137">
        <v>694.15305898293036</v>
      </c>
    </row>
    <row r="121" spans="2:10" x14ac:dyDescent="0.25">
      <c r="B121" s="279"/>
      <c r="C121" s="137" t="str">
        <f t="shared" si="144"/>
        <v>3 hubs</v>
      </c>
      <c r="D121" s="137" t="str">
        <f t="shared" si="149"/>
        <v>kg CO2 eq.</v>
      </c>
      <c r="E121" s="137">
        <f t="shared" si="145"/>
        <v>0.33979999999999999</v>
      </c>
      <c r="F121" s="137">
        <f t="shared" si="146"/>
        <v>0.22624</v>
      </c>
      <c r="G121" s="137">
        <f t="shared" si="147"/>
        <v>0.40856999999999999</v>
      </c>
      <c r="H121" s="137">
        <f t="shared" si="148"/>
        <v>568.09303518054969</v>
      </c>
      <c r="I121" s="137">
        <v>540.60472648665848</v>
      </c>
      <c r="J121" s="137">
        <v>584.73948629783433</v>
      </c>
    </row>
    <row r="122" spans="2:10" x14ac:dyDescent="0.25">
      <c r="B122" s="279"/>
      <c r="C122" s="137" t="str">
        <f t="shared" si="144"/>
        <v>4 hubs</v>
      </c>
      <c r="D122" s="137" t="str">
        <f t="shared" si="149"/>
        <v>kg CO2 eq.</v>
      </c>
      <c r="E122" s="137">
        <f t="shared" si="145"/>
        <v>0.33979999999999999</v>
      </c>
      <c r="F122" s="137">
        <f t="shared" si="146"/>
        <v>0.22624</v>
      </c>
      <c r="G122" s="137">
        <f t="shared" si="147"/>
        <v>0.40856999999999999</v>
      </c>
      <c r="H122" s="137">
        <f t="shared" si="148"/>
        <v>503.30396637274634</v>
      </c>
      <c r="I122" s="137">
        <v>503.30396637274652</v>
      </c>
      <c r="J122" s="137">
        <v>503.30396637274629</v>
      </c>
    </row>
    <row r="123" spans="2:10" x14ac:dyDescent="0.25">
      <c r="B123" s="279"/>
      <c r="C123" s="137" t="str">
        <f t="shared" si="144"/>
        <v>5 hubs</v>
      </c>
      <c r="D123" s="137" t="str">
        <f t="shared" si="149"/>
        <v>kg CO2 eq.</v>
      </c>
      <c r="E123" s="137">
        <f t="shared" si="145"/>
        <v>0.33979999999999999</v>
      </c>
      <c r="F123" s="137">
        <f t="shared" si="146"/>
        <v>0.22624</v>
      </c>
      <c r="G123" s="137">
        <f t="shared" si="147"/>
        <v>0.40856999999999999</v>
      </c>
      <c r="H123" s="137">
        <f t="shared" si="148"/>
        <v>486.80311094478617</v>
      </c>
      <c r="I123" s="137">
        <v>444.97518907616973</v>
      </c>
      <c r="J123" s="137">
        <v>512.13338733528201</v>
      </c>
    </row>
    <row r="124" spans="2:10" x14ac:dyDescent="0.25">
      <c r="B124" s="279"/>
      <c r="C124" s="137" t="str">
        <f t="shared" si="144"/>
        <v>6 hubs</v>
      </c>
      <c r="D124" s="137" t="str">
        <f t="shared" si="149"/>
        <v>kg CO2 eq.</v>
      </c>
      <c r="E124" s="137">
        <f t="shared" si="145"/>
        <v>0.33979999999999999</v>
      </c>
      <c r="F124" s="137">
        <f t="shared" si="146"/>
        <v>0.22624</v>
      </c>
      <c r="G124" s="137">
        <f t="shared" si="147"/>
        <v>0.40856999999999999</v>
      </c>
      <c r="H124" s="137">
        <f t="shared" si="148"/>
        <v>455.38200283198438</v>
      </c>
      <c r="I124" s="137">
        <v>414.13478292117492</v>
      </c>
      <c r="J124" s="137">
        <v>480.36061601678847</v>
      </c>
    </row>
    <row r="126" spans="2:10" x14ac:dyDescent="0.25">
      <c r="B126" s="279" t="str">
        <f>D12</f>
        <v>Air transportation distance as multiples of the great-circle distance</v>
      </c>
      <c r="C126" s="137" t="str">
        <f>C65</f>
        <v>Carbon footprint</v>
      </c>
      <c r="D126" s="137" t="str">
        <f>D117</f>
        <v>Unit</v>
      </c>
      <c r="E126" s="137" t="str">
        <f t="shared" ref="E126:J126" si="150">E117</f>
        <v>Base</v>
      </c>
      <c r="F126" s="137" t="str">
        <f t="shared" si="150"/>
        <v>Low</v>
      </c>
      <c r="G126" s="137" t="str">
        <f t="shared" si="150"/>
        <v>High</v>
      </c>
      <c r="H126" s="137" t="str">
        <f t="shared" si="150"/>
        <v>Carbon footprint (Base)</v>
      </c>
      <c r="I126" s="137" t="str">
        <f t="shared" si="150"/>
        <v>Carbon footprint (Low)</v>
      </c>
      <c r="J126" s="137" t="str">
        <f t="shared" si="150"/>
        <v>Carbon footprint (High)</v>
      </c>
    </row>
    <row r="127" spans="2:10" x14ac:dyDescent="0.25">
      <c r="B127" s="279"/>
      <c r="C127" s="137" t="str">
        <f>C118</f>
        <v>1 hub</v>
      </c>
      <c r="D127" s="137" t="str">
        <f>E12</f>
        <v>%</v>
      </c>
      <c r="E127" s="150">
        <f>F12</f>
        <v>1</v>
      </c>
      <c r="F127" s="150" t="str">
        <f>G12</f>
        <v>-</v>
      </c>
      <c r="G127" s="150">
        <f>H12</f>
        <v>1.1020000000000001</v>
      </c>
      <c r="H127" s="137">
        <f>H15</f>
        <v>839.63096223972445</v>
      </c>
      <c r="I127" s="137" t="s">
        <v>2</v>
      </c>
      <c r="J127" s="137">
        <v>887.87660403326186</v>
      </c>
    </row>
    <row r="128" spans="2:10" x14ac:dyDescent="0.25">
      <c r="B128" s="279"/>
      <c r="C128" s="137" t="str">
        <f t="shared" ref="C128:C133" si="151">C119</f>
        <v>Virtual</v>
      </c>
      <c r="D128" s="137" t="str">
        <f>D127</f>
        <v>%</v>
      </c>
      <c r="E128" s="150">
        <f t="shared" ref="E128:G133" si="152">E127</f>
        <v>1</v>
      </c>
      <c r="F128" s="150" t="str">
        <f t="shared" si="152"/>
        <v>-</v>
      </c>
      <c r="G128" s="150">
        <f t="shared" si="152"/>
        <v>1.1020000000000001</v>
      </c>
      <c r="H128" s="137">
        <f t="shared" ref="H128:H133" si="153">H16</f>
        <v>54.754055475140696</v>
      </c>
      <c r="I128" s="137" t="s">
        <v>2</v>
      </c>
      <c r="J128" s="137">
        <v>54.754055475140696</v>
      </c>
    </row>
    <row r="129" spans="2:10" x14ac:dyDescent="0.25">
      <c r="B129" s="279"/>
      <c r="C129" s="137" t="str">
        <f t="shared" si="151"/>
        <v>2 hubs</v>
      </c>
      <c r="D129" s="137" t="str">
        <f t="shared" ref="D129:D133" si="154">D128</f>
        <v>%</v>
      </c>
      <c r="E129" s="150">
        <f t="shared" si="152"/>
        <v>1</v>
      </c>
      <c r="F129" s="150" t="str">
        <f t="shared" si="152"/>
        <v>-</v>
      </c>
      <c r="G129" s="150">
        <f t="shared" si="152"/>
        <v>1.1020000000000001</v>
      </c>
      <c r="H129" s="137">
        <f t="shared" si="153"/>
        <v>682.28532815018957</v>
      </c>
      <c r="I129" s="137" t="s">
        <v>2</v>
      </c>
      <c r="J129" s="137">
        <v>715.96509342569846</v>
      </c>
    </row>
    <row r="130" spans="2:10" x14ac:dyDescent="0.25">
      <c r="B130" s="279"/>
      <c r="C130" s="137" t="str">
        <f t="shared" si="151"/>
        <v>3 hubs</v>
      </c>
      <c r="D130" s="137" t="str">
        <f t="shared" si="154"/>
        <v>%</v>
      </c>
      <c r="E130" s="150">
        <f t="shared" si="152"/>
        <v>1</v>
      </c>
      <c r="F130" s="150" t="str">
        <f t="shared" si="152"/>
        <v>-</v>
      </c>
      <c r="G130" s="150">
        <f t="shared" si="152"/>
        <v>1.1020000000000001</v>
      </c>
      <c r="H130" s="137">
        <f t="shared" si="153"/>
        <v>568.09303518054969</v>
      </c>
      <c r="I130" s="137" t="s">
        <v>2</v>
      </c>
      <c r="J130" s="137">
        <v>591.73236296765504</v>
      </c>
    </row>
    <row r="131" spans="2:10" x14ac:dyDescent="0.25">
      <c r="B131" s="279"/>
      <c r="C131" s="137" t="str">
        <f t="shared" si="151"/>
        <v>4 hubs</v>
      </c>
      <c r="D131" s="137" t="str">
        <f t="shared" si="154"/>
        <v>%</v>
      </c>
      <c r="E131" s="150">
        <f t="shared" si="152"/>
        <v>1</v>
      </c>
      <c r="F131" s="150" t="str">
        <f t="shared" si="152"/>
        <v>-</v>
      </c>
      <c r="G131" s="150">
        <f t="shared" si="152"/>
        <v>1.1020000000000001</v>
      </c>
      <c r="H131" s="137">
        <f t="shared" si="153"/>
        <v>503.30396637274634</v>
      </c>
      <c r="I131" s="137" t="s">
        <v>2</v>
      </c>
      <c r="J131" s="137">
        <v>521.39861864658565</v>
      </c>
    </row>
    <row r="132" spans="2:10" x14ac:dyDescent="0.25">
      <c r="B132" s="279"/>
      <c r="C132" s="137" t="str">
        <f t="shared" si="151"/>
        <v>5 hubs</v>
      </c>
      <c r="D132" s="137" t="str">
        <f t="shared" si="154"/>
        <v>%</v>
      </c>
      <c r="E132" s="150">
        <f t="shared" si="152"/>
        <v>1</v>
      </c>
      <c r="F132" s="150" t="str">
        <f t="shared" si="152"/>
        <v>-</v>
      </c>
      <c r="G132" s="150">
        <f t="shared" si="152"/>
        <v>1.1020000000000001</v>
      </c>
      <c r="H132" s="137">
        <f t="shared" si="153"/>
        <v>486.80311094478617</v>
      </c>
      <c r="I132" s="137" t="s">
        <v>2</v>
      </c>
      <c r="J132" s="137">
        <v>502.25261612973765</v>
      </c>
    </row>
    <row r="133" spans="2:10" x14ac:dyDescent="0.25">
      <c r="B133" s="279"/>
      <c r="C133" s="137" t="str">
        <f t="shared" si="151"/>
        <v>6 hubs</v>
      </c>
      <c r="D133" s="137" t="str">
        <f t="shared" si="154"/>
        <v>%</v>
      </c>
      <c r="E133" s="150">
        <f t="shared" si="152"/>
        <v>1</v>
      </c>
      <c r="F133" s="150" t="str">
        <f t="shared" si="152"/>
        <v>-</v>
      </c>
      <c r="G133" s="150">
        <f t="shared" si="152"/>
        <v>1.1020000000000001</v>
      </c>
      <c r="H133" s="137">
        <f t="shared" si="153"/>
        <v>455.38200283198438</v>
      </c>
      <c r="I133" s="137" t="s">
        <v>2</v>
      </c>
      <c r="J133" s="137">
        <v>469.02710888996478</v>
      </c>
    </row>
    <row r="134" spans="2:10" x14ac:dyDescent="0.25">
      <c r="B134" s="279"/>
      <c r="C134" s="137" t="str">
        <f>C73</f>
        <v>CED</v>
      </c>
      <c r="D134" s="137" t="str">
        <f t="shared" ref="D134:J134" si="155">D73</f>
        <v>Unit</v>
      </c>
      <c r="E134" s="137" t="str">
        <f t="shared" si="155"/>
        <v>Base</v>
      </c>
      <c r="F134" s="137" t="str">
        <f t="shared" si="155"/>
        <v>Low</v>
      </c>
      <c r="G134" s="137" t="str">
        <f t="shared" si="155"/>
        <v>High</v>
      </c>
      <c r="H134" s="137" t="str">
        <f t="shared" si="155"/>
        <v>CED (Base)</v>
      </c>
      <c r="I134" s="137" t="str">
        <f t="shared" si="155"/>
        <v>CED (Low)</v>
      </c>
      <c r="J134" s="137" t="str">
        <f t="shared" si="155"/>
        <v>CED (High)</v>
      </c>
    </row>
    <row r="135" spans="2:10" x14ac:dyDescent="0.25">
      <c r="B135" s="279"/>
      <c r="C135" s="137" t="str">
        <f t="shared" ref="C135" si="156">C118</f>
        <v>1 hub</v>
      </c>
      <c r="D135" s="137" t="str">
        <f>D127</f>
        <v>%</v>
      </c>
      <c r="E135" s="150">
        <f t="shared" ref="E135:G135" si="157">E127</f>
        <v>1</v>
      </c>
      <c r="F135" s="150" t="str">
        <f t="shared" si="157"/>
        <v>-</v>
      </c>
      <c r="G135" s="150">
        <f t="shared" si="157"/>
        <v>1.1020000000000001</v>
      </c>
      <c r="H135" s="137">
        <f>H74</f>
        <v>9490.5583194463925</v>
      </c>
      <c r="I135" s="137" t="s">
        <v>2</v>
      </c>
      <c r="J135" s="137">
        <v>9939.6158546452207</v>
      </c>
    </row>
    <row r="136" spans="2:10" x14ac:dyDescent="0.25">
      <c r="B136" s="279"/>
      <c r="C136" s="137" t="str">
        <f t="shared" ref="C136" si="158">C119</f>
        <v>Virtual</v>
      </c>
      <c r="D136" s="137" t="str">
        <f t="shared" ref="D136:G136" si="159">D128</f>
        <v>%</v>
      </c>
      <c r="E136" s="150">
        <f t="shared" si="159"/>
        <v>1</v>
      </c>
      <c r="F136" s="150" t="str">
        <f t="shared" si="159"/>
        <v>-</v>
      </c>
      <c r="G136" s="150">
        <f t="shared" si="159"/>
        <v>1.1020000000000001</v>
      </c>
      <c r="H136" s="137">
        <f t="shared" ref="H136:H141" si="160">H75</f>
        <v>915.6940864914053</v>
      </c>
      <c r="I136" s="137" t="s">
        <v>2</v>
      </c>
      <c r="J136" s="137">
        <v>915.6940864914053</v>
      </c>
    </row>
    <row r="137" spans="2:10" x14ac:dyDescent="0.25">
      <c r="B137" s="279"/>
      <c r="C137" s="137" t="str">
        <f t="shared" ref="C137" si="161">C120</f>
        <v>2 hubs</v>
      </c>
      <c r="D137" s="137" t="str">
        <f t="shared" ref="D137:G137" si="162">D129</f>
        <v>%</v>
      </c>
      <c r="E137" s="150">
        <f t="shared" si="162"/>
        <v>1</v>
      </c>
      <c r="F137" s="150" t="str">
        <f t="shared" si="162"/>
        <v>-</v>
      </c>
      <c r="G137" s="150">
        <f t="shared" si="162"/>
        <v>1.1020000000000001</v>
      </c>
      <c r="H137" s="137">
        <f t="shared" si="160"/>
        <v>8009.7388484787025</v>
      </c>
      <c r="I137" s="137" t="s">
        <v>2</v>
      </c>
      <c r="J137" s="137">
        <v>8323.2661034246739</v>
      </c>
    </row>
    <row r="138" spans="2:10" x14ac:dyDescent="0.25">
      <c r="B138" s="279"/>
      <c r="C138" s="137" t="str">
        <f t="shared" ref="C138" si="163">C121</f>
        <v>3 hubs</v>
      </c>
      <c r="D138" s="137" t="str">
        <f t="shared" ref="D138:G138" si="164">D130</f>
        <v>%</v>
      </c>
      <c r="E138" s="150">
        <f t="shared" si="164"/>
        <v>1</v>
      </c>
      <c r="F138" s="150" t="str">
        <f t="shared" si="164"/>
        <v>-</v>
      </c>
      <c r="G138" s="150">
        <f t="shared" si="164"/>
        <v>1.1020000000000001</v>
      </c>
      <c r="H138" s="137">
        <f t="shared" si="160"/>
        <v>6981.9549573394906</v>
      </c>
      <c r="I138" s="137" t="s">
        <v>2</v>
      </c>
      <c r="J138" s="137">
        <v>7202.3737791720032</v>
      </c>
    </row>
    <row r="139" spans="2:10" x14ac:dyDescent="0.25">
      <c r="B139" s="279"/>
      <c r="C139" s="137" t="str">
        <f>C122</f>
        <v>4 hubs</v>
      </c>
      <c r="D139" s="137" t="str">
        <f t="shared" ref="D139:G139" si="165">D131</f>
        <v>%</v>
      </c>
      <c r="E139" s="150">
        <f t="shared" si="165"/>
        <v>1</v>
      </c>
      <c r="F139" s="150" t="str">
        <f t="shared" si="165"/>
        <v>-</v>
      </c>
      <c r="G139" s="150">
        <f t="shared" si="165"/>
        <v>1.1020000000000001</v>
      </c>
      <c r="H139" s="137">
        <f t="shared" si="160"/>
        <v>6425.0979041428982</v>
      </c>
      <c r="I139" s="137" t="s">
        <v>2</v>
      </c>
      <c r="J139" s="137">
        <v>6594.3334603826079</v>
      </c>
    </row>
    <row r="140" spans="2:10" x14ac:dyDescent="0.25">
      <c r="B140" s="279"/>
      <c r="C140" s="137" t="str">
        <f t="shared" ref="C140" si="166">C123</f>
        <v>5 hubs</v>
      </c>
      <c r="D140" s="137" t="str">
        <f t="shared" ref="D140:G140" si="167">D132</f>
        <v>%</v>
      </c>
      <c r="E140" s="150">
        <f t="shared" si="167"/>
        <v>1</v>
      </c>
      <c r="F140" s="150" t="str">
        <f t="shared" si="167"/>
        <v>-</v>
      </c>
      <c r="G140" s="150">
        <f t="shared" si="167"/>
        <v>1.1020000000000001</v>
      </c>
      <c r="H140" s="137">
        <f t="shared" si="160"/>
        <v>6032.6815401722743</v>
      </c>
      <c r="I140" s="137" t="s">
        <v>2</v>
      </c>
      <c r="J140" s="137">
        <v>6177.1481750505709</v>
      </c>
    </row>
    <row r="141" spans="2:10" x14ac:dyDescent="0.25">
      <c r="B141" s="279"/>
      <c r="C141" s="137" t="str">
        <f t="shared" ref="C141" si="168">C124</f>
        <v>6 hubs</v>
      </c>
      <c r="D141" s="137" t="str">
        <f t="shared" ref="D141:G141" si="169">D133</f>
        <v>%</v>
      </c>
      <c r="E141" s="150">
        <f t="shared" si="169"/>
        <v>1</v>
      </c>
      <c r="F141" s="150" t="str">
        <f t="shared" si="169"/>
        <v>-</v>
      </c>
      <c r="G141" s="150">
        <f t="shared" si="169"/>
        <v>1.1020000000000001</v>
      </c>
      <c r="H141" s="137">
        <f t="shared" si="160"/>
        <v>5770.4315065798019</v>
      </c>
      <c r="I141" s="137" t="s">
        <v>2</v>
      </c>
      <c r="J141" s="137">
        <v>5899.2304672790906</v>
      </c>
    </row>
  </sheetData>
  <mergeCells count="10">
    <mergeCell ref="F2:H2"/>
    <mergeCell ref="B14:B29"/>
    <mergeCell ref="B31:B46"/>
    <mergeCell ref="B126:B141"/>
    <mergeCell ref="B48:B63"/>
    <mergeCell ref="B65:B80"/>
    <mergeCell ref="B82:B97"/>
    <mergeCell ref="B99:B106"/>
    <mergeCell ref="B108:B115"/>
    <mergeCell ref="B117:B12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D71-93A6-48C1-817C-1DC5B45BCEB6}">
  <sheetPr codeName="Sheet28"/>
  <dimension ref="B3:AT122"/>
  <sheetViews>
    <sheetView tabSelected="1" topLeftCell="A58" zoomScale="55" zoomScaleNormal="55" workbookViewId="0">
      <selection activeCell="O96" sqref="O96"/>
    </sheetView>
  </sheetViews>
  <sheetFormatPr defaultRowHeight="15" x14ac:dyDescent="0.25"/>
  <cols>
    <col min="1" max="1" width="9.140625" style="76"/>
    <col min="2" max="2" width="9.28515625" style="76" bestFit="1" customWidth="1"/>
    <col min="3" max="15" width="10.7109375" style="76" customWidth="1"/>
    <col min="16" max="16" width="11.7109375" style="76" customWidth="1"/>
    <col min="17" max="46" width="10.7109375" style="76" customWidth="1"/>
    <col min="47" max="16384" width="9.140625" style="76"/>
  </cols>
  <sheetData>
    <row r="3" spans="2:46" x14ac:dyDescent="0.25">
      <c r="B3" s="133">
        <v>1</v>
      </c>
      <c r="C3" s="134" t="s">
        <v>155</v>
      </c>
      <c r="D3" s="134"/>
      <c r="E3" s="134" t="s">
        <v>846</v>
      </c>
      <c r="F3" s="134" t="s">
        <v>368</v>
      </c>
      <c r="G3" s="134"/>
      <c r="H3" s="134" t="s">
        <v>847</v>
      </c>
      <c r="I3" s="134">
        <v>2020</v>
      </c>
      <c r="J3" s="134">
        <v>2021</v>
      </c>
      <c r="K3" s="134">
        <v>2022</v>
      </c>
      <c r="L3" s="134">
        <v>2023</v>
      </c>
      <c r="M3" s="134">
        <v>2024</v>
      </c>
      <c r="N3" s="134">
        <v>2025</v>
      </c>
      <c r="O3" s="134">
        <v>2026</v>
      </c>
      <c r="P3" s="134">
        <v>2027</v>
      </c>
      <c r="Q3" s="134">
        <v>2028</v>
      </c>
      <c r="R3" s="134">
        <v>2029</v>
      </c>
      <c r="S3" s="134">
        <v>2030</v>
      </c>
      <c r="T3" s="134"/>
      <c r="U3" s="134" t="s">
        <v>852</v>
      </c>
      <c r="V3" s="134">
        <f>I3</f>
        <v>2020</v>
      </c>
      <c r="W3" s="134">
        <f t="shared" ref="W3:AC3" si="0">J3</f>
        <v>2021</v>
      </c>
      <c r="X3" s="134">
        <f t="shared" si="0"/>
        <v>2022</v>
      </c>
      <c r="Y3" s="134">
        <f t="shared" si="0"/>
        <v>2023</v>
      </c>
      <c r="Z3" s="134">
        <f t="shared" si="0"/>
        <v>2024</v>
      </c>
      <c r="AA3" s="134">
        <f t="shared" si="0"/>
        <v>2025</v>
      </c>
      <c r="AB3" s="134">
        <f t="shared" si="0"/>
        <v>2026</v>
      </c>
      <c r="AC3" s="134">
        <f t="shared" si="0"/>
        <v>2027</v>
      </c>
      <c r="AD3" s="134">
        <f t="shared" ref="AD3" si="1">Q3</f>
        <v>2028</v>
      </c>
      <c r="AE3" s="134">
        <f t="shared" ref="AE3" si="2">R3</f>
        <v>2029</v>
      </c>
      <c r="AF3" s="134">
        <f t="shared" ref="AF3" si="3">S3</f>
        <v>2030</v>
      </c>
      <c r="AG3" s="134"/>
      <c r="AH3" s="134" t="s">
        <v>853</v>
      </c>
      <c r="AI3" s="134">
        <f>V3</f>
        <v>2020</v>
      </c>
      <c r="AJ3" s="134">
        <f t="shared" ref="AJ3:AS3" si="4">W3</f>
        <v>2021</v>
      </c>
      <c r="AK3" s="134">
        <f t="shared" si="4"/>
        <v>2022</v>
      </c>
      <c r="AL3" s="134">
        <f t="shared" si="4"/>
        <v>2023</v>
      </c>
      <c r="AM3" s="134">
        <f t="shared" si="4"/>
        <v>2024</v>
      </c>
      <c r="AN3" s="134">
        <f t="shared" si="4"/>
        <v>2025</v>
      </c>
      <c r="AO3" s="134">
        <f t="shared" si="4"/>
        <v>2026</v>
      </c>
      <c r="AP3" s="134">
        <f t="shared" si="4"/>
        <v>2027</v>
      </c>
      <c r="AQ3" s="134">
        <f t="shared" si="4"/>
        <v>2028</v>
      </c>
      <c r="AR3" s="134">
        <f t="shared" si="4"/>
        <v>2029</v>
      </c>
      <c r="AS3" s="145">
        <f t="shared" si="4"/>
        <v>2030</v>
      </c>
    </row>
    <row r="4" spans="2:46" x14ac:dyDescent="0.25">
      <c r="B4" s="135">
        <v>2</v>
      </c>
      <c r="C4" s="136" t="s">
        <v>844</v>
      </c>
      <c r="D4" s="136" t="s">
        <v>848</v>
      </c>
      <c r="E4" s="229">
        <v>1</v>
      </c>
      <c r="F4" s="185">
        <v>0.8</v>
      </c>
      <c r="G4" s="136"/>
      <c r="H4" s="136" t="str">
        <f>D4</f>
        <v>Baseline</v>
      </c>
      <c r="I4" s="229">
        <v>1</v>
      </c>
      <c r="J4" s="229">
        <f>I4*97%</f>
        <v>0.97</v>
      </c>
      <c r="K4" s="229">
        <f>J4*97%</f>
        <v>0.94089999999999996</v>
      </c>
      <c r="L4" s="229">
        <f t="shared" ref="L4:R4" si="5">K4*97%</f>
        <v>0.91267299999999996</v>
      </c>
      <c r="M4" s="229">
        <f t="shared" si="5"/>
        <v>0.88529280999999993</v>
      </c>
      <c r="N4" s="229">
        <f t="shared" si="5"/>
        <v>0.8587340256999999</v>
      </c>
      <c r="O4" s="229">
        <f t="shared" si="5"/>
        <v>0.83297200492899992</v>
      </c>
      <c r="P4" s="229">
        <f t="shared" si="5"/>
        <v>0.80798284478112992</v>
      </c>
      <c r="Q4" s="229">
        <f t="shared" si="5"/>
        <v>0.78374335943769602</v>
      </c>
      <c r="R4" s="229">
        <f t="shared" si="5"/>
        <v>0.76023105865456508</v>
      </c>
      <c r="S4" s="229">
        <f>R4*97%</f>
        <v>0.73742412689492809</v>
      </c>
      <c r="T4" s="136"/>
      <c r="U4" s="136" t="str">
        <f>H4</f>
        <v>Baseline</v>
      </c>
      <c r="V4" s="185">
        <v>1</v>
      </c>
      <c r="W4" s="230">
        <f>V4*90%</f>
        <v>0.9</v>
      </c>
      <c r="X4" s="230">
        <f t="shared" ref="X4:AF4" si="6">W4*90%</f>
        <v>0.81</v>
      </c>
      <c r="Y4" s="230">
        <f t="shared" si="6"/>
        <v>0.72900000000000009</v>
      </c>
      <c r="Z4" s="230">
        <f t="shared" si="6"/>
        <v>0.65610000000000013</v>
      </c>
      <c r="AA4" s="230">
        <f t="shared" si="6"/>
        <v>0.59049000000000018</v>
      </c>
      <c r="AB4" s="230">
        <f t="shared" si="6"/>
        <v>0.53144100000000016</v>
      </c>
      <c r="AC4" s="230">
        <f t="shared" si="6"/>
        <v>0.47829690000000014</v>
      </c>
      <c r="AD4" s="230">
        <f t="shared" si="6"/>
        <v>0.43046721000000016</v>
      </c>
      <c r="AE4" s="230">
        <f t="shared" si="6"/>
        <v>0.38742048900000015</v>
      </c>
      <c r="AF4" s="230">
        <f t="shared" si="6"/>
        <v>0.34867844010000015</v>
      </c>
      <c r="AG4" s="136"/>
      <c r="AH4" s="230" t="str">
        <f>U4</f>
        <v>Baseline</v>
      </c>
      <c r="AI4" s="185">
        <f>V4</f>
        <v>1</v>
      </c>
      <c r="AJ4" s="229">
        <f>AI4*90%</f>
        <v>0.9</v>
      </c>
      <c r="AK4" s="229">
        <f>AJ4*95%</f>
        <v>0.85499999999999998</v>
      </c>
      <c r="AL4" s="229">
        <f t="shared" ref="AL4:AS5" si="7">AK4*95%</f>
        <v>0.81224999999999992</v>
      </c>
      <c r="AM4" s="229">
        <f t="shared" si="7"/>
        <v>0.77163749999999987</v>
      </c>
      <c r="AN4" s="229">
        <f t="shared" si="7"/>
        <v>0.73305562499999988</v>
      </c>
      <c r="AO4" s="229">
        <f t="shared" si="7"/>
        <v>0.69640284374999983</v>
      </c>
      <c r="AP4" s="229">
        <f t="shared" si="7"/>
        <v>0.66158270156249976</v>
      </c>
      <c r="AQ4" s="229">
        <f t="shared" si="7"/>
        <v>0.62850356648437478</v>
      </c>
      <c r="AR4" s="229">
        <f t="shared" si="7"/>
        <v>0.59707838816015602</v>
      </c>
      <c r="AS4" s="231">
        <f>AR4*95%</f>
        <v>0.56722446875214816</v>
      </c>
    </row>
    <row r="5" spans="2:46" x14ac:dyDescent="0.25">
      <c r="B5" s="135">
        <v>3</v>
      </c>
      <c r="C5" s="136" t="s">
        <v>533</v>
      </c>
      <c r="D5" s="136" t="s">
        <v>849</v>
      </c>
      <c r="E5" s="229">
        <f>1/5.5</f>
        <v>0.18181818181818182</v>
      </c>
      <c r="F5" s="185">
        <v>0.6</v>
      </c>
      <c r="G5" s="136"/>
      <c r="H5" s="136" t="str">
        <f t="shared" ref="H5:H6" si="8">D5</f>
        <v>Worst</v>
      </c>
      <c r="I5" s="229">
        <v>1</v>
      </c>
      <c r="J5" s="229">
        <f>I5*99%</f>
        <v>0.99</v>
      </c>
      <c r="K5" s="229">
        <f t="shared" ref="K5:S5" si="9">J5*99%</f>
        <v>0.98009999999999997</v>
      </c>
      <c r="L5" s="229">
        <f t="shared" si="9"/>
        <v>0.97029899999999991</v>
      </c>
      <c r="M5" s="229">
        <f t="shared" si="9"/>
        <v>0.96059600999999994</v>
      </c>
      <c r="N5" s="229">
        <f t="shared" si="9"/>
        <v>0.95099004989999991</v>
      </c>
      <c r="O5" s="229">
        <f t="shared" si="9"/>
        <v>0.94148014940099989</v>
      </c>
      <c r="P5" s="229">
        <f t="shared" si="9"/>
        <v>0.93206534790698992</v>
      </c>
      <c r="Q5" s="229">
        <f t="shared" si="9"/>
        <v>0.92274469442791995</v>
      </c>
      <c r="R5" s="229">
        <f t="shared" si="9"/>
        <v>0.91351724748364072</v>
      </c>
      <c r="S5" s="229">
        <f t="shared" si="9"/>
        <v>0.9043820750088043</v>
      </c>
      <c r="T5" s="136"/>
      <c r="U5" s="136" t="str">
        <f t="shared" ref="U5:U6" si="10">H5</f>
        <v>Worst</v>
      </c>
      <c r="V5" s="185">
        <v>1</v>
      </c>
      <c r="W5" s="232">
        <f>V5*95%</f>
        <v>0.95</v>
      </c>
      <c r="X5" s="232">
        <f t="shared" ref="X5:AE5" si="11">W5*95%</f>
        <v>0.90249999999999997</v>
      </c>
      <c r="Y5" s="232">
        <f t="shared" si="11"/>
        <v>0.85737499999999989</v>
      </c>
      <c r="Z5" s="232">
        <f t="shared" si="11"/>
        <v>0.81450624999999988</v>
      </c>
      <c r="AA5" s="232">
        <f t="shared" si="11"/>
        <v>0.77378093749999988</v>
      </c>
      <c r="AB5" s="232">
        <f t="shared" si="11"/>
        <v>0.7350918906249998</v>
      </c>
      <c r="AC5" s="232">
        <f t="shared" si="11"/>
        <v>0.69833729609374973</v>
      </c>
      <c r="AD5" s="232">
        <f t="shared" si="11"/>
        <v>0.66342043128906225</v>
      </c>
      <c r="AE5" s="232">
        <f t="shared" si="11"/>
        <v>0.63024940972460908</v>
      </c>
      <c r="AF5" s="232">
        <f>AE5*95%</f>
        <v>0.59873693923837856</v>
      </c>
      <c r="AG5" s="136"/>
      <c r="AH5" s="230" t="str">
        <f t="shared" ref="AH5:AH6" si="12">U5</f>
        <v>Worst</v>
      </c>
      <c r="AI5" s="185">
        <f t="shared" ref="AI5:AI6" si="13">V5</f>
        <v>1</v>
      </c>
      <c r="AJ5" s="229">
        <f>AI5*95%</f>
        <v>0.95</v>
      </c>
      <c r="AK5" s="229">
        <f>AJ5*95%</f>
        <v>0.90249999999999997</v>
      </c>
      <c r="AL5" s="229">
        <f t="shared" si="7"/>
        <v>0.85737499999999989</v>
      </c>
      <c r="AM5" s="229">
        <f t="shared" si="7"/>
        <v>0.81450624999999988</v>
      </c>
      <c r="AN5" s="229">
        <f t="shared" si="7"/>
        <v>0.77378093749999988</v>
      </c>
      <c r="AO5" s="229">
        <f t="shared" si="7"/>
        <v>0.7350918906249998</v>
      </c>
      <c r="AP5" s="229">
        <f t="shared" si="7"/>
        <v>0.69833729609374973</v>
      </c>
      <c r="AQ5" s="229">
        <f t="shared" si="7"/>
        <v>0.66342043128906225</v>
      </c>
      <c r="AR5" s="229">
        <f t="shared" si="7"/>
        <v>0.63024940972460908</v>
      </c>
      <c r="AS5" s="231">
        <f t="shared" si="7"/>
        <v>0.59873693923837856</v>
      </c>
    </row>
    <row r="6" spans="2:46" x14ac:dyDescent="0.25">
      <c r="B6" s="143">
        <v>4</v>
      </c>
      <c r="C6" s="144" t="s">
        <v>845</v>
      </c>
      <c r="D6" s="144" t="s">
        <v>850</v>
      </c>
      <c r="E6" s="233">
        <f>41/4/5.5</f>
        <v>1.8636363636363635</v>
      </c>
      <c r="F6" s="186">
        <v>1</v>
      </c>
      <c r="G6" s="144"/>
      <c r="H6" s="144" t="str">
        <f t="shared" si="8"/>
        <v>Best</v>
      </c>
      <c r="I6" s="233">
        <v>1</v>
      </c>
      <c r="J6" s="233">
        <f>I6*95%</f>
        <v>0.95</v>
      </c>
      <c r="K6" s="233">
        <f t="shared" ref="K6:R6" si="14">J6*95%</f>
        <v>0.90249999999999997</v>
      </c>
      <c r="L6" s="233">
        <f t="shared" si="14"/>
        <v>0.85737499999999989</v>
      </c>
      <c r="M6" s="233">
        <f t="shared" si="14"/>
        <v>0.81450624999999988</v>
      </c>
      <c r="N6" s="233">
        <f t="shared" si="14"/>
        <v>0.77378093749999988</v>
      </c>
      <c r="O6" s="233">
        <f t="shared" si="14"/>
        <v>0.7350918906249998</v>
      </c>
      <c r="P6" s="233">
        <f t="shared" si="14"/>
        <v>0.69833729609374973</v>
      </c>
      <c r="Q6" s="233">
        <f t="shared" si="14"/>
        <v>0.66342043128906225</v>
      </c>
      <c r="R6" s="233">
        <f t="shared" si="14"/>
        <v>0.63024940972460908</v>
      </c>
      <c r="S6" s="233">
        <f>R6*95%</f>
        <v>0.59873693923837856</v>
      </c>
      <c r="T6" s="144"/>
      <c r="U6" s="144" t="str">
        <f t="shared" si="10"/>
        <v>Best</v>
      </c>
      <c r="V6" s="186">
        <v>1</v>
      </c>
      <c r="W6" s="219">
        <f>V6*85%</f>
        <v>0.85</v>
      </c>
      <c r="X6" s="219">
        <f t="shared" ref="X6:AE6" si="15">W6*85%</f>
        <v>0.72249999999999992</v>
      </c>
      <c r="Y6" s="219">
        <f t="shared" si="15"/>
        <v>0.61412499999999992</v>
      </c>
      <c r="Z6" s="219">
        <f t="shared" si="15"/>
        <v>0.52200624999999989</v>
      </c>
      <c r="AA6" s="219">
        <f t="shared" si="15"/>
        <v>0.44370531249999989</v>
      </c>
      <c r="AB6" s="219">
        <f t="shared" si="15"/>
        <v>0.37714951562499988</v>
      </c>
      <c r="AC6" s="219">
        <f t="shared" si="15"/>
        <v>0.32057708828124987</v>
      </c>
      <c r="AD6" s="219">
        <f t="shared" si="15"/>
        <v>0.2724905250390624</v>
      </c>
      <c r="AE6" s="219">
        <f t="shared" si="15"/>
        <v>0.23161694628320303</v>
      </c>
      <c r="AF6" s="219">
        <f>AE6*85%</f>
        <v>0.19687440434072256</v>
      </c>
      <c r="AG6" s="144"/>
      <c r="AH6" s="234" t="str">
        <f t="shared" si="12"/>
        <v>Best</v>
      </c>
      <c r="AI6" s="186">
        <f t="shared" si="13"/>
        <v>1</v>
      </c>
      <c r="AJ6" s="233">
        <f>AI6*85%</f>
        <v>0.85</v>
      </c>
      <c r="AK6" s="233">
        <f>AJ6*95%</f>
        <v>0.8075</v>
      </c>
      <c r="AL6" s="233">
        <f t="shared" ref="AL6:AS6" si="16">AK6*95%</f>
        <v>0.76712499999999995</v>
      </c>
      <c r="AM6" s="233">
        <f t="shared" si="16"/>
        <v>0.72876874999999997</v>
      </c>
      <c r="AN6" s="233">
        <f t="shared" si="16"/>
        <v>0.69233031249999999</v>
      </c>
      <c r="AO6" s="233">
        <f t="shared" si="16"/>
        <v>0.65771379687499998</v>
      </c>
      <c r="AP6" s="233">
        <f t="shared" si="16"/>
        <v>0.62482810703124991</v>
      </c>
      <c r="AQ6" s="233">
        <f t="shared" si="16"/>
        <v>0.59358670167968741</v>
      </c>
      <c r="AR6" s="233">
        <f t="shared" si="16"/>
        <v>0.56390736659570306</v>
      </c>
      <c r="AS6" s="235">
        <f t="shared" si="16"/>
        <v>0.53571199826591787</v>
      </c>
    </row>
    <row r="7" spans="2:46" x14ac:dyDescent="0.25">
      <c r="D7" s="76" t="s">
        <v>851</v>
      </c>
      <c r="E7" s="141">
        <f>E4</f>
        <v>1</v>
      </c>
      <c r="F7" s="141">
        <f>F4</f>
        <v>0.8</v>
      </c>
      <c r="H7" s="141">
        <f>I4</f>
        <v>1</v>
      </c>
      <c r="U7" s="141">
        <f>V4</f>
        <v>1</v>
      </c>
      <c r="AH7" s="141">
        <f>AI4</f>
        <v>1</v>
      </c>
    </row>
    <row r="9" spans="2:46" x14ac:dyDescent="0.25">
      <c r="C9" s="207"/>
      <c r="D9" s="208" t="s">
        <v>776</v>
      </c>
      <c r="E9" s="208" t="s">
        <v>156</v>
      </c>
      <c r="F9" s="208" t="s">
        <v>164</v>
      </c>
      <c r="G9" s="208" t="s">
        <v>165</v>
      </c>
      <c r="H9" s="208" t="s">
        <v>166</v>
      </c>
      <c r="I9" s="208" t="s">
        <v>167</v>
      </c>
      <c r="J9" s="208" t="s">
        <v>168</v>
      </c>
      <c r="K9" s="208" t="s">
        <v>169</v>
      </c>
      <c r="L9" s="208" t="s">
        <v>170</v>
      </c>
      <c r="M9" s="208" t="s">
        <v>171</v>
      </c>
      <c r="N9" s="208" t="s">
        <v>172</v>
      </c>
      <c r="O9" s="208" t="s">
        <v>173</v>
      </c>
      <c r="P9" s="208" t="s">
        <v>174</v>
      </c>
      <c r="Q9" s="208" t="s">
        <v>175</v>
      </c>
      <c r="R9" s="208" t="s">
        <v>176</v>
      </c>
      <c r="S9" s="208" t="s">
        <v>177</v>
      </c>
      <c r="T9" s="208" t="s">
        <v>178</v>
      </c>
      <c r="U9" s="208" t="s">
        <v>179</v>
      </c>
      <c r="V9" s="208" t="s">
        <v>180</v>
      </c>
      <c r="W9" s="209" t="s">
        <v>181</v>
      </c>
      <c r="X9" s="106"/>
      <c r="Y9" s="226"/>
      <c r="Z9" s="137"/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7"/>
      <c r="AS9" s="137"/>
      <c r="AT9" s="137"/>
    </row>
    <row r="10" spans="2:46" x14ac:dyDescent="0.25">
      <c r="C10" s="213" t="s">
        <v>854</v>
      </c>
      <c r="D10" s="106">
        <v>54.754055475140696</v>
      </c>
      <c r="E10" s="106">
        <v>915.6940864914053</v>
      </c>
      <c r="F10" s="106">
        <v>56.694268163118743</v>
      </c>
      <c r="G10" s="106">
        <v>52.311257617904594</v>
      </c>
      <c r="H10" s="106">
        <v>14.75453828714514</v>
      </c>
      <c r="I10" s="106">
        <v>2.0444504574458944</v>
      </c>
      <c r="J10" s="106">
        <v>3.0614548460969886E-2</v>
      </c>
      <c r="K10" s="106">
        <v>27.575846243776091</v>
      </c>
      <c r="L10" s="106">
        <v>10.622381356286855</v>
      </c>
      <c r="M10" s="106">
        <v>1.7335422953386868</v>
      </c>
      <c r="N10" s="106">
        <v>0.10590037330552124</v>
      </c>
      <c r="O10" s="106">
        <v>1.3205280511682327</v>
      </c>
      <c r="P10" s="106">
        <v>-3.3628218197952267E-3</v>
      </c>
      <c r="Q10" s="106">
        <v>2.5612775031483046E-6</v>
      </c>
      <c r="R10" s="106">
        <v>0.1113552272300412</v>
      </c>
      <c r="S10" s="106">
        <v>0.11916323855883729</v>
      </c>
      <c r="T10" s="106">
        <v>0.22652374523579838</v>
      </c>
      <c r="U10" s="106">
        <v>0.2028959148467484</v>
      </c>
      <c r="V10" s="106">
        <v>0.39013951665682722</v>
      </c>
      <c r="W10" s="210">
        <v>1.4379865196310984</v>
      </c>
      <c r="X10" s="286"/>
      <c r="Y10" s="226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</row>
    <row r="11" spans="2:46" x14ac:dyDescent="0.25">
      <c r="C11" s="213" t="s">
        <v>856</v>
      </c>
      <c r="D11" s="106">
        <v>49.985254052350371</v>
      </c>
      <c r="E11" s="106">
        <v>820.05590124751757</v>
      </c>
      <c r="F11" s="106">
        <v>56.352157168773807</v>
      </c>
      <c r="G11" s="106">
        <v>47.592120402141518</v>
      </c>
      <c r="H11" s="106">
        <v>13.316486634967317</v>
      </c>
      <c r="I11" s="106">
        <v>1.6746407973267166</v>
      </c>
      <c r="J11" s="106">
        <v>2.6462677399620518E-2</v>
      </c>
      <c r="K11" s="106">
        <v>24.505080843711163</v>
      </c>
      <c r="L11" s="106">
        <v>8.7970272318694178</v>
      </c>
      <c r="M11" s="106">
        <v>1.4116716035744514</v>
      </c>
      <c r="N11" s="106">
        <v>0.10447488028660859</v>
      </c>
      <c r="O11" s="106">
        <v>0.97464258187190977</v>
      </c>
      <c r="P11" s="106">
        <v>-2.8273050166168312E-3</v>
      </c>
      <c r="Q11" s="106">
        <v>2.3663410833236176E-6</v>
      </c>
      <c r="R11" s="106">
        <v>9.8308161570475422E-2</v>
      </c>
      <c r="S11" s="106">
        <v>0.11029228951391573</v>
      </c>
      <c r="T11" s="106">
        <v>0.21240412497074004</v>
      </c>
      <c r="U11" s="106">
        <v>0.20257200895268176</v>
      </c>
      <c r="V11" s="106">
        <v>0.36628182654820574</v>
      </c>
      <c r="W11" s="210">
        <v>1.3890925401109535</v>
      </c>
      <c r="X11" s="106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37"/>
      <c r="AR11" s="137"/>
      <c r="AS11" s="137"/>
      <c r="AT11" s="137"/>
    </row>
    <row r="12" spans="2:46" x14ac:dyDescent="0.25">
      <c r="C12" s="213" t="s">
        <v>857</v>
      </c>
      <c r="D12" s="106">
        <v>59.78779031030826</v>
      </c>
      <c r="E12" s="106">
        <v>1016.6455042488423</v>
      </c>
      <c r="F12" s="106">
        <v>57.055385323816175</v>
      </c>
      <c r="G12" s="106">
        <v>57.29256912343228</v>
      </c>
      <c r="H12" s="106">
        <v>16.272481697777287</v>
      </c>
      <c r="I12" s="106">
        <v>2.4348050986828045</v>
      </c>
      <c r="J12" s="106">
        <v>3.4997079025727545E-2</v>
      </c>
      <c r="K12" s="106">
        <v>30.817209721622405</v>
      </c>
      <c r="L12" s="106">
        <v>12.549144043171928</v>
      </c>
      <c r="M12" s="106">
        <v>2.073294692200935</v>
      </c>
      <c r="N12" s="106">
        <v>0.10740506038104014</v>
      </c>
      <c r="O12" s="106">
        <v>1.6856293798699071</v>
      </c>
      <c r="P12" s="106">
        <v>-3.9280895564835321E-3</v>
      </c>
      <c r="Q12" s="106">
        <v>2.7670437240743624E-6</v>
      </c>
      <c r="R12" s="106">
        <v>0.12512712987069394</v>
      </c>
      <c r="S12" s="106">
        <v>0.12852701810625447</v>
      </c>
      <c r="T12" s="106">
        <v>0.24142778884891553</v>
      </c>
      <c r="U12" s="106">
        <v>0.20323781551270761</v>
      </c>
      <c r="V12" s="106">
        <v>0.4153226339937055</v>
      </c>
      <c r="W12" s="210">
        <v>1.4895968313468066</v>
      </c>
      <c r="X12" s="106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</row>
    <row r="13" spans="2:46" x14ac:dyDescent="0.25">
      <c r="C13" s="213" t="s">
        <v>855</v>
      </c>
      <c r="D13" s="106">
        <v>41.719751690136341</v>
      </c>
      <c r="E13" s="106">
        <v>699.85766300137061</v>
      </c>
      <c r="F13" s="106">
        <v>42.582366402407601</v>
      </c>
      <c r="G13" s="106">
        <v>39.88034971173051</v>
      </c>
      <c r="H13" s="106">
        <v>11.262788800926904</v>
      </c>
      <c r="I13" s="106">
        <v>1.5828793322899199</v>
      </c>
      <c r="J13" s="106">
        <v>2.351589633949237E-2</v>
      </c>
      <c r="K13" s="106">
        <v>21.094818892883275</v>
      </c>
      <c r="L13" s="106">
        <v>8.2070045665007676</v>
      </c>
      <c r="M13" s="106">
        <v>1.343292833787221</v>
      </c>
      <c r="N13" s="106">
        <v>7.962732205828553E-2</v>
      </c>
      <c r="O13" s="106">
        <v>1.037091451770173</v>
      </c>
      <c r="P13" s="106">
        <v>-2.593459856016059E-3</v>
      </c>
      <c r="Q13" s="106">
        <v>1.9476379508232546E-6</v>
      </c>
      <c r="R13" s="106">
        <v>8.5297079360452055E-2</v>
      </c>
      <c r="S13" s="106">
        <v>9.063501922179007E-2</v>
      </c>
      <c r="T13" s="106">
        <v>0.17187262624931107</v>
      </c>
      <c r="U13" s="106">
        <v>0.1522946657684936</v>
      </c>
      <c r="V13" s="106">
        <v>0.29602892395206321</v>
      </c>
      <c r="W13" s="210">
        <v>1.0852426701317621</v>
      </c>
      <c r="X13" s="106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</row>
    <row r="14" spans="2:46" x14ac:dyDescent="0.25">
      <c r="C14" s="211" t="s">
        <v>858</v>
      </c>
      <c r="D14" s="187">
        <v>67.788359260145029</v>
      </c>
      <c r="E14" s="187">
        <v>1131.5305099814398</v>
      </c>
      <c r="F14" s="187">
        <v>70.806169923829856</v>
      </c>
      <c r="G14" s="187">
        <v>64.742165524078658</v>
      </c>
      <c r="H14" s="187">
        <v>18.246287773363377</v>
      </c>
      <c r="I14" s="187">
        <v>2.506021582601869</v>
      </c>
      <c r="J14" s="187">
        <v>3.7713200582447391E-2</v>
      </c>
      <c r="K14" s="187">
        <v>34.056873594668907</v>
      </c>
      <c r="L14" s="187">
        <v>13.037758146072942</v>
      </c>
      <c r="M14" s="187">
        <v>2.1237917568901521</v>
      </c>
      <c r="N14" s="187">
        <v>0.13217342455275694</v>
      </c>
      <c r="O14" s="187">
        <v>1.6039646505662923</v>
      </c>
      <c r="P14" s="187">
        <v>-4.1321837835743931E-3</v>
      </c>
      <c r="Q14" s="187">
        <v>3.1749170554733534E-6</v>
      </c>
      <c r="R14" s="187">
        <v>0.13741337509963025</v>
      </c>
      <c r="S14" s="187">
        <v>0.14769145789588448</v>
      </c>
      <c r="T14" s="187">
        <v>0.2811748642222856</v>
      </c>
      <c r="U14" s="187">
        <v>0.25349716392500315</v>
      </c>
      <c r="V14" s="187">
        <v>0.48425010936159119</v>
      </c>
      <c r="W14" s="212">
        <v>1.7907303691304342</v>
      </c>
      <c r="X14" s="106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</row>
    <row r="15" spans="2:46" x14ac:dyDescent="0.25"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</row>
    <row r="16" spans="2:46" x14ac:dyDescent="0.25">
      <c r="C16" s="207" t="s">
        <v>847</v>
      </c>
      <c r="D16" s="208" t="s">
        <v>776</v>
      </c>
      <c r="E16" s="208" t="s">
        <v>156</v>
      </c>
      <c r="F16" s="208" t="s">
        <v>164</v>
      </c>
      <c r="G16" s="208" t="s">
        <v>165</v>
      </c>
      <c r="H16" s="208" t="s">
        <v>166</v>
      </c>
      <c r="I16" s="208" t="s">
        <v>167</v>
      </c>
      <c r="J16" s="208" t="s">
        <v>168</v>
      </c>
      <c r="K16" s="208" t="s">
        <v>169</v>
      </c>
      <c r="L16" s="208" t="s">
        <v>170</v>
      </c>
      <c r="M16" s="208" t="s">
        <v>171</v>
      </c>
      <c r="N16" s="208" t="s">
        <v>172</v>
      </c>
      <c r="O16" s="208" t="s">
        <v>173</v>
      </c>
      <c r="P16" s="208" t="s">
        <v>174</v>
      </c>
      <c r="Q16" s="208" t="s">
        <v>175</v>
      </c>
      <c r="R16" s="208" t="s">
        <v>176</v>
      </c>
      <c r="S16" s="208" t="s">
        <v>177</v>
      </c>
      <c r="T16" s="208" t="s">
        <v>178</v>
      </c>
      <c r="U16" s="208" t="s">
        <v>179</v>
      </c>
      <c r="V16" s="208" t="s">
        <v>180</v>
      </c>
      <c r="W16" s="209" t="s">
        <v>181</v>
      </c>
      <c r="X16" s="137"/>
    </row>
    <row r="17" spans="3:24" x14ac:dyDescent="0.25">
      <c r="C17" s="213" t="s">
        <v>859</v>
      </c>
      <c r="D17" s="106">
        <v>54.744622060962485</v>
      </c>
      <c r="E17" s="106">
        <v>915.49934442093843</v>
      </c>
      <c r="F17" s="106">
        <v>56.693586950049635</v>
      </c>
      <c r="G17" s="106">
        <v>52.301914078515473</v>
      </c>
      <c r="H17" s="106">
        <v>14.751670884686098</v>
      </c>
      <c r="I17" s="106">
        <v>2.0439115163125705</v>
      </c>
      <c r="J17" s="106">
        <v>3.0606538100003265E-2</v>
      </c>
      <c r="K17" s="106">
        <v>27.570493309028393</v>
      </c>
      <c r="L17" s="106">
        <v>10.618509557901806</v>
      </c>
      <c r="M17" s="106">
        <v>1.7330775923957349</v>
      </c>
      <c r="N17" s="106">
        <v>0.10589796635721002</v>
      </c>
      <c r="O17" s="106">
        <v>1.3203111037723338</v>
      </c>
      <c r="P17" s="106">
        <v>-3.3617852010250997E-3</v>
      </c>
      <c r="Q17" s="106">
        <v>2.5609177598572855E-6</v>
      </c>
      <c r="R17" s="106">
        <v>0.11132956751696725</v>
      </c>
      <c r="S17" s="106">
        <v>0.11914746287022424</v>
      </c>
      <c r="T17" s="106">
        <v>0.22649742489545324</v>
      </c>
      <c r="U17" s="106">
        <v>0.20289541191307467</v>
      </c>
      <c r="V17" s="106">
        <v>0.39009797329493356</v>
      </c>
      <c r="W17" s="210">
        <v>1.43788873015091</v>
      </c>
      <c r="X17" s="137"/>
    </row>
    <row r="18" spans="3:24" x14ac:dyDescent="0.25">
      <c r="C18" s="213" t="s">
        <v>860</v>
      </c>
      <c r="D18" s="106">
        <v>54.735471649209614</v>
      </c>
      <c r="E18" s="106">
        <v>915.31044461258546</v>
      </c>
      <c r="F18" s="106">
        <v>56.692926173372598</v>
      </c>
      <c r="G18" s="106">
        <v>52.292850845308024</v>
      </c>
      <c r="H18" s="106">
        <v>14.748889504300827</v>
      </c>
      <c r="I18" s="106">
        <v>2.0433887434132458</v>
      </c>
      <c r="J18" s="106">
        <v>3.0598768049865645E-2</v>
      </c>
      <c r="K18" s="106">
        <v>27.565300962323125</v>
      </c>
      <c r="L18" s="106">
        <v>10.614753913468309</v>
      </c>
      <c r="M18" s="106">
        <v>1.7326268305410717</v>
      </c>
      <c r="N18" s="106">
        <v>0.10589563161734812</v>
      </c>
      <c r="O18" s="106">
        <v>1.3201006647983122</v>
      </c>
      <c r="P18" s="106">
        <v>-3.3607796808180768E-3</v>
      </c>
      <c r="Q18" s="106">
        <v>2.5605688088649969E-6</v>
      </c>
      <c r="R18" s="106">
        <v>0.11130467759528555</v>
      </c>
      <c r="S18" s="106">
        <v>0.1191321604522696</v>
      </c>
      <c r="T18" s="106">
        <v>0.22647189416531846</v>
      </c>
      <c r="U18" s="106">
        <v>0.20289492406741116</v>
      </c>
      <c r="V18" s="106">
        <v>0.39005767623389676</v>
      </c>
      <c r="W18" s="210">
        <v>1.4377938743551271</v>
      </c>
      <c r="X18" s="137"/>
    </row>
    <row r="19" spans="3:24" x14ac:dyDescent="0.25">
      <c r="C19" s="213" t="s">
        <v>861</v>
      </c>
      <c r="D19" s="106">
        <v>54.726595749809334</v>
      </c>
      <c r="E19" s="106">
        <v>915.12721179848324</v>
      </c>
      <c r="F19" s="106">
        <v>56.692285219995874</v>
      </c>
      <c r="G19" s="106">
        <v>52.284059509096799</v>
      </c>
      <c r="H19" s="106">
        <v>14.746191565327115</v>
      </c>
      <c r="I19" s="106">
        <v>2.0428816537009014</v>
      </c>
      <c r="J19" s="106">
        <v>3.0591231101232158E-2</v>
      </c>
      <c r="K19" s="106">
        <v>27.560264386019018</v>
      </c>
      <c r="L19" s="106">
        <v>10.611110938367815</v>
      </c>
      <c r="M19" s="106">
        <v>1.7321895915420487</v>
      </c>
      <c r="N19" s="106">
        <v>0.1058933669196821</v>
      </c>
      <c r="O19" s="106">
        <v>1.3198965389935111</v>
      </c>
      <c r="P19" s="106">
        <v>-3.3598043262172642E-3</v>
      </c>
      <c r="Q19" s="106">
        <v>2.5602303264024768E-6</v>
      </c>
      <c r="R19" s="106">
        <v>0.11128053437125428</v>
      </c>
      <c r="S19" s="106">
        <v>0.11911731710685358</v>
      </c>
      <c r="T19" s="106">
        <v>0.22644712935708772</v>
      </c>
      <c r="U19" s="106">
        <v>0.20289445085711755</v>
      </c>
      <c r="V19" s="106">
        <v>0.39001858808469103</v>
      </c>
      <c r="W19" s="210">
        <v>1.4377018642332178</v>
      </c>
      <c r="X19" s="137"/>
    </row>
    <row r="20" spans="3:24" x14ac:dyDescent="0.25">
      <c r="C20" s="213" t="s">
        <v>862</v>
      </c>
      <c r="D20" s="106">
        <v>54.717986127391057</v>
      </c>
      <c r="E20" s="106">
        <v>914.94947596880399</v>
      </c>
      <c r="F20" s="106">
        <v>56.691663495220453</v>
      </c>
      <c r="G20" s="106">
        <v>52.275531912971914</v>
      </c>
      <c r="H20" s="106">
        <v>14.743574564522612</v>
      </c>
      <c r="I20" s="106">
        <v>2.042389776679927</v>
      </c>
      <c r="J20" s="106">
        <v>3.0583920261057669E-2</v>
      </c>
      <c r="K20" s="106">
        <v>27.555378907004034</v>
      </c>
      <c r="L20" s="106">
        <v>10.607577252520336</v>
      </c>
      <c r="M20" s="106">
        <v>1.7317654697129963</v>
      </c>
      <c r="N20" s="106">
        <v>0.10589117016294604</v>
      </c>
      <c r="O20" s="106">
        <v>1.319698536962854</v>
      </c>
      <c r="P20" s="106">
        <v>-3.3588582322544762E-3</v>
      </c>
      <c r="Q20" s="106">
        <v>2.5599019984138324E-6</v>
      </c>
      <c r="R20" s="106">
        <v>0.11125711544394394</v>
      </c>
      <c r="S20" s="106">
        <v>0.11910291906180004</v>
      </c>
      <c r="T20" s="106">
        <v>0.2264231074931039</v>
      </c>
      <c r="U20" s="106">
        <v>0.20289399184313275</v>
      </c>
      <c r="V20" s="106">
        <v>0.3899806725799615</v>
      </c>
      <c r="W20" s="210">
        <v>1.4376126144149657</v>
      </c>
      <c r="X20" s="137"/>
    </row>
    <row r="21" spans="3:24" x14ac:dyDescent="0.25">
      <c r="C21" s="213" t="s">
        <v>863</v>
      </c>
      <c r="D21" s="106">
        <v>54.709634793645336</v>
      </c>
      <c r="E21" s="106">
        <v>914.77707221401511</v>
      </c>
      <c r="F21" s="106">
        <v>56.691060422188286</v>
      </c>
      <c r="G21" s="106">
        <v>52.267260144730777</v>
      </c>
      <c r="H21" s="106">
        <v>14.741036073742245</v>
      </c>
      <c r="I21" s="106">
        <v>2.0419126559695822</v>
      </c>
      <c r="J21" s="106">
        <v>3.0576828746088421E-2</v>
      </c>
      <c r="K21" s="106">
        <v>27.550639992359496</v>
      </c>
      <c r="L21" s="106">
        <v>10.604149577248283</v>
      </c>
      <c r="M21" s="106">
        <v>1.7313540715388154</v>
      </c>
      <c r="N21" s="106">
        <v>0.10588903930891207</v>
      </c>
      <c r="O21" s="106">
        <v>1.3195064749931167</v>
      </c>
      <c r="P21" s="106">
        <v>-3.3579405211105716E-3</v>
      </c>
      <c r="Q21" s="106">
        <v>2.5595835202648477E-6</v>
      </c>
      <c r="R21" s="106">
        <v>0.11123439908445294</v>
      </c>
      <c r="S21" s="106">
        <v>0.1190889529580981</v>
      </c>
      <c r="T21" s="106">
        <v>0.22639980628503961</v>
      </c>
      <c r="U21" s="106">
        <v>0.20289354659956749</v>
      </c>
      <c r="V21" s="106">
        <v>0.38994389454037387</v>
      </c>
      <c r="W21" s="210">
        <v>1.4375260420912612</v>
      </c>
      <c r="X21" s="137"/>
    </row>
    <row r="22" spans="3:24" x14ac:dyDescent="0.25">
      <c r="C22" s="213" t="s">
        <v>864</v>
      </c>
      <c r="D22" s="106">
        <v>54.70153399991198</v>
      </c>
      <c r="E22" s="106">
        <v>914.60984057186988</v>
      </c>
      <c r="F22" s="106">
        <v>56.690475441347097</v>
      </c>
      <c r="G22" s="106">
        <v>52.259236529536871</v>
      </c>
      <c r="H22" s="106">
        <v>14.738573737685291</v>
      </c>
      <c r="I22" s="106">
        <v>2.0414498488805473</v>
      </c>
      <c r="J22" s="106">
        <v>3.0569949976568242E-2</v>
      </c>
      <c r="K22" s="106">
        <v>27.546043245154294</v>
      </c>
      <c r="L22" s="106">
        <v>10.60082473223439</v>
      </c>
      <c r="M22" s="106">
        <v>1.7309550153098598</v>
      </c>
      <c r="N22" s="106">
        <v>0.10588697238049911</v>
      </c>
      <c r="O22" s="106">
        <v>1.3193201748824714</v>
      </c>
      <c r="P22" s="106">
        <v>-3.3570503413009843E-3</v>
      </c>
      <c r="Q22" s="106">
        <v>2.5592745964603323E-6</v>
      </c>
      <c r="R22" s="106">
        <v>0.11121236421574664</v>
      </c>
      <c r="S22" s="106">
        <v>0.11907540583750723</v>
      </c>
      <c r="T22" s="106">
        <v>0.22637720411321724</v>
      </c>
      <c r="U22" s="106">
        <v>0.2028931147133092</v>
      </c>
      <c r="V22" s="106">
        <v>0.38990821984197382</v>
      </c>
      <c r="W22" s="210">
        <v>1.4374420669372678</v>
      </c>
      <c r="X22" s="137"/>
    </row>
    <row r="23" spans="3:24" x14ac:dyDescent="0.25">
      <c r="C23" s="213" t="s">
        <v>865</v>
      </c>
      <c r="D23" s="106">
        <v>54.693676229990622</v>
      </c>
      <c r="E23" s="106">
        <v>914.44762587898913</v>
      </c>
      <c r="F23" s="106">
        <v>56.689908009931131</v>
      </c>
      <c r="G23" s="106">
        <v>52.251453622798778</v>
      </c>
      <c r="H23" s="106">
        <v>14.736185271710044</v>
      </c>
      <c r="I23" s="106">
        <v>2.0410009260041839</v>
      </c>
      <c r="J23" s="106">
        <v>3.0563277570133676E-2</v>
      </c>
      <c r="K23" s="106">
        <v>27.541584400365252</v>
      </c>
      <c r="L23" s="106">
        <v>10.597599632570912</v>
      </c>
      <c r="M23" s="106">
        <v>1.7305679307677728</v>
      </c>
      <c r="N23" s="106">
        <v>0.10588496745993856</v>
      </c>
      <c r="O23" s="106">
        <v>1.3191394637751457</v>
      </c>
      <c r="P23" s="106">
        <v>-3.3561868668856849E-3</v>
      </c>
      <c r="Q23" s="106">
        <v>2.5589749403699524E-6</v>
      </c>
      <c r="R23" s="106">
        <v>0.11119099039310155</v>
      </c>
      <c r="S23" s="106">
        <v>0.11906226513053408</v>
      </c>
      <c r="T23" s="106">
        <v>0.22635528000654953</v>
      </c>
      <c r="U23" s="106">
        <v>0.20289269578363867</v>
      </c>
      <c r="V23" s="106">
        <v>0.38987361538452581</v>
      </c>
      <c r="W23" s="210">
        <v>1.4373606110378943</v>
      </c>
      <c r="X23" s="137"/>
    </row>
    <row r="24" spans="3:24" x14ac:dyDescent="0.25">
      <c r="C24" s="213" t="s">
        <v>866</v>
      </c>
      <c r="D24" s="106">
        <v>54.68605419316691</v>
      </c>
      <c r="E24" s="106">
        <v>914.29027762689464</v>
      </c>
      <c r="F24" s="106">
        <v>56.689357601457651</v>
      </c>
      <c r="G24" s="106">
        <v>52.243904203262829</v>
      </c>
      <c r="H24" s="106">
        <v>14.733868459714055</v>
      </c>
      <c r="I24" s="106">
        <v>2.0405654708141108</v>
      </c>
      <c r="J24" s="106">
        <v>3.0556805335892147E-2</v>
      </c>
      <c r="K24" s="106">
        <v>27.53725932091988</v>
      </c>
      <c r="L24" s="106">
        <v>10.594471285897342</v>
      </c>
      <c r="M24" s="106">
        <v>1.7301924587619486</v>
      </c>
      <c r="N24" s="106">
        <v>0.1058830226869948</v>
      </c>
      <c r="O24" s="106">
        <v>1.3189641740010396</v>
      </c>
      <c r="P24" s="106">
        <v>-3.3553492967028438E-3</v>
      </c>
      <c r="Q24" s="106">
        <v>2.5586842739622838E-6</v>
      </c>
      <c r="R24" s="106">
        <v>0.1111702577851358</v>
      </c>
      <c r="S24" s="106">
        <v>0.11904951864477015</v>
      </c>
      <c r="T24" s="106">
        <v>0.22633401362308186</v>
      </c>
      <c r="U24" s="106">
        <v>0.20289228942185822</v>
      </c>
      <c r="V24" s="106">
        <v>0.38984004906080122</v>
      </c>
      <c r="W24" s="210">
        <v>1.4372815988155019</v>
      </c>
      <c r="X24" s="137"/>
    </row>
    <row r="25" spans="3:24" x14ac:dyDescent="0.25">
      <c r="C25" s="213" t="s">
        <v>867</v>
      </c>
      <c r="D25" s="106">
        <v>54.678660817447913</v>
      </c>
      <c r="E25" s="106">
        <v>914.13764982236307</v>
      </c>
      <c r="F25" s="106">
        <v>56.688823705238377</v>
      </c>
      <c r="G25" s="106">
        <v>52.236581266312967</v>
      </c>
      <c r="H25" s="106">
        <v>14.731621152077945</v>
      </c>
      <c r="I25" s="106">
        <v>2.0401430792797406</v>
      </c>
      <c r="J25" s="106">
        <v>3.0550527268677859E-2</v>
      </c>
      <c r="K25" s="106">
        <v>27.533063993857869</v>
      </c>
      <c r="L25" s="106">
        <v>10.591436789623977</v>
      </c>
      <c r="M25" s="106">
        <v>1.7298282509162992</v>
      </c>
      <c r="N25" s="106">
        <v>0.10588113625723937</v>
      </c>
      <c r="O25" s="106">
        <v>1.3187941429201566</v>
      </c>
      <c r="P25" s="106">
        <v>-3.3545368536254884E-3</v>
      </c>
      <c r="Q25" s="106">
        <v>2.5584023275468453E-6</v>
      </c>
      <c r="R25" s="106">
        <v>0.11115014715540904</v>
      </c>
      <c r="S25" s="106">
        <v>0.11903715455357911</v>
      </c>
      <c r="T25" s="106">
        <v>0.22631338523111821</v>
      </c>
      <c r="U25" s="106">
        <v>0.20289189525093121</v>
      </c>
      <c r="V25" s="106">
        <v>0.38980748972678836</v>
      </c>
      <c r="W25" s="210">
        <v>1.4372049569597813</v>
      </c>
      <c r="X25" s="137"/>
    </row>
    <row r="26" spans="3:24" x14ac:dyDescent="0.25">
      <c r="C26" s="211" t="s">
        <v>868</v>
      </c>
      <c r="D26" s="187">
        <v>54.67148924300048</v>
      </c>
      <c r="E26" s="187">
        <v>913.98960085196745</v>
      </c>
      <c r="F26" s="187">
        <v>56.68830582590568</v>
      </c>
      <c r="G26" s="187">
        <v>52.229478017471592</v>
      </c>
      <c r="H26" s="187">
        <v>14.729441263670919</v>
      </c>
      <c r="I26" s="187">
        <v>2.0397333594914011</v>
      </c>
      <c r="J26" s="187">
        <v>3.0544437543480005E-2</v>
      </c>
      <c r="K26" s="187">
        <v>27.528994526607718</v>
      </c>
      <c r="L26" s="187">
        <v>10.588493328238812</v>
      </c>
      <c r="M26" s="187">
        <v>1.7294749693060192</v>
      </c>
      <c r="N26" s="187">
        <v>0.1058793064203766</v>
      </c>
      <c r="O26" s="187">
        <v>1.3186292127717003</v>
      </c>
      <c r="P26" s="187">
        <v>-3.3537487838404536E-3</v>
      </c>
      <c r="Q26" s="187">
        <v>2.5581288395238698E-6</v>
      </c>
      <c r="R26" s="187">
        <v>0.11113063984457407</v>
      </c>
      <c r="S26" s="187">
        <v>0.11902516138512381</v>
      </c>
      <c r="T26" s="187">
        <v>0.22629337569091351</v>
      </c>
      <c r="U26" s="187">
        <v>0.20289151290513199</v>
      </c>
      <c r="V26" s="187">
        <v>0.38977590717279592</v>
      </c>
      <c r="W26" s="212">
        <v>1.4371306143597322</v>
      </c>
      <c r="X26" s="137"/>
    </row>
    <row r="27" spans="3:24" x14ac:dyDescent="0.25"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</row>
    <row r="28" spans="3:24" x14ac:dyDescent="0.25">
      <c r="C28" s="207" t="s">
        <v>847</v>
      </c>
      <c r="D28" s="208" t="s">
        <v>776</v>
      </c>
      <c r="E28" s="208" t="s">
        <v>156</v>
      </c>
      <c r="F28" s="208" t="s">
        <v>164</v>
      </c>
      <c r="G28" s="208" t="s">
        <v>165</v>
      </c>
      <c r="H28" s="208" t="s">
        <v>166</v>
      </c>
      <c r="I28" s="208" t="s">
        <v>167</v>
      </c>
      <c r="J28" s="208" t="s">
        <v>168</v>
      </c>
      <c r="K28" s="208" t="s">
        <v>169</v>
      </c>
      <c r="L28" s="208" t="s">
        <v>170</v>
      </c>
      <c r="M28" s="208" t="s">
        <v>171</v>
      </c>
      <c r="N28" s="208" t="s">
        <v>172</v>
      </c>
      <c r="O28" s="208" t="s">
        <v>173</v>
      </c>
      <c r="P28" s="208" t="s">
        <v>174</v>
      </c>
      <c r="Q28" s="208" t="s">
        <v>175</v>
      </c>
      <c r="R28" s="208" t="s">
        <v>176</v>
      </c>
      <c r="S28" s="208" t="s">
        <v>177</v>
      </c>
      <c r="T28" s="208" t="s">
        <v>178</v>
      </c>
      <c r="U28" s="208" t="s">
        <v>179</v>
      </c>
      <c r="V28" s="208" t="s">
        <v>180</v>
      </c>
      <c r="W28" s="209" t="s">
        <v>181</v>
      </c>
      <c r="X28" s="137"/>
    </row>
    <row r="29" spans="3:24" x14ac:dyDescent="0.25">
      <c r="C29" s="213" t="s">
        <v>869</v>
      </c>
      <c r="D29" s="106">
        <v>54.750911003747959</v>
      </c>
      <c r="E29" s="106">
        <v>915.62917246791631</v>
      </c>
      <c r="F29" s="106">
        <v>56.694041092095709</v>
      </c>
      <c r="G29" s="106">
        <v>52.308143104774885</v>
      </c>
      <c r="H29" s="106">
        <v>14.75358248632546</v>
      </c>
      <c r="I29" s="106">
        <v>2.0442708104014531</v>
      </c>
      <c r="J29" s="106">
        <v>3.0611878340647679E-2</v>
      </c>
      <c r="K29" s="106">
        <v>27.574061932193523</v>
      </c>
      <c r="L29" s="106">
        <v>10.621090756825172</v>
      </c>
      <c r="M29" s="106">
        <v>1.7333873943577025</v>
      </c>
      <c r="N29" s="106">
        <v>0.10589957098941749</v>
      </c>
      <c r="O29" s="106">
        <v>1.3204557353695998</v>
      </c>
      <c r="P29" s="106">
        <v>-3.3624762802051842E-3</v>
      </c>
      <c r="Q29" s="106">
        <v>2.5611575887179646E-6</v>
      </c>
      <c r="R29" s="106">
        <v>0.11134667399234986</v>
      </c>
      <c r="S29" s="106">
        <v>0.11915797999596628</v>
      </c>
      <c r="T29" s="106">
        <v>0.22651497178901667</v>
      </c>
      <c r="U29" s="106">
        <v>0.20289574720219047</v>
      </c>
      <c r="V29" s="106">
        <v>0.39012566886952937</v>
      </c>
      <c r="W29" s="210">
        <v>1.4379539231377021</v>
      </c>
      <c r="X29" s="137"/>
    </row>
    <row r="30" spans="3:24" x14ac:dyDescent="0.25">
      <c r="C30" s="213" t="s">
        <v>870</v>
      </c>
      <c r="D30" s="106">
        <v>54.747797977069148</v>
      </c>
      <c r="E30" s="106">
        <v>915.56490758466225</v>
      </c>
      <c r="F30" s="106">
        <v>56.693816291782902</v>
      </c>
      <c r="G30" s="106">
        <v>52.305059736776478</v>
      </c>
      <c r="H30" s="106">
        <v>14.752636243513976</v>
      </c>
      <c r="I30" s="106">
        <v>2.0440929598274562</v>
      </c>
      <c r="J30" s="106">
        <v>3.0609234921528693E-2</v>
      </c>
      <c r="K30" s="106">
        <v>27.572295463726782</v>
      </c>
      <c r="L30" s="106">
        <v>10.619813063358105</v>
      </c>
      <c r="M30" s="106">
        <v>1.7332340423865285</v>
      </c>
      <c r="N30" s="106">
        <v>0.10589877669647479</v>
      </c>
      <c r="O30" s="106">
        <v>1.3203841427289531</v>
      </c>
      <c r="P30" s="106">
        <v>-3.3621341960110426E-3</v>
      </c>
      <c r="Q30" s="106">
        <v>2.5610388734319284E-6</v>
      </c>
      <c r="R30" s="106">
        <v>0.11133820628703547</v>
      </c>
      <c r="S30" s="106">
        <v>0.11915277401872397</v>
      </c>
      <c r="T30" s="106">
        <v>0.22650628607670276</v>
      </c>
      <c r="U30" s="106">
        <v>0.20289558123407817</v>
      </c>
      <c r="V30" s="106">
        <v>0.39011195956010447</v>
      </c>
      <c r="W30" s="210">
        <v>1.43792165260924</v>
      </c>
      <c r="X30" s="137"/>
    </row>
    <row r="31" spans="3:24" x14ac:dyDescent="0.25">
      <c r="C31" s="213" t="s">
        <v>871</v>
      </c>
      <c r="D31" s="106">
        <v>54.744716080657128</v>
      </c>
      <c r="E31" s="106">
        <v>915.50128535024066</v>
      </c>
      <c r="F31" s="106">
        <v>56.693593739473222</v>
      </c>
      <c r="G31" s="106">
        <v>52.30200720245805</v>
      </c>
      <c r="H31" s="106">
        <v>14.751699463130606</v>
      </c>
      <c r="I31" s="106">
        <v>2.0439168877591993</v>
      </c>
      <c r="J31" s="106">
        <v>3.0606617936600897E-2</v>
      </c>
      <c r="K31" s="106">
        <v>27.570546659944711</v>
      </c>
      <c r="L31" s="106">
        <v>10.618548146825709</v>
      </c>
      <c r="M31" s="106">
        <v>1.7330822239350665</v>
      </c>
      <c r="N31" s="106">
        <v>0.10589799034646152</v>
      </c>
      <c r="O31" s="106">
        <v>1.320313266014713</v>
      </c>
      <c r="P31" s="106">
        <v>-3.3617955326588418E-3</v>
      </c>
      <c r="Q31" s="106">
        <v>2.5609213452987525E-6</v>
      </c>
      <c r="R31" s="106">
        <v>0.11132982325877423</v>
      </c>
      <c r="S31" s="106">
        <v>0.11914762010125408</v>
      </c>
      <c r="T31" s="106">
        <v>0.22649768722151203</v>
      </c>
      <c r="U31" s="106">
        <v>0.20289541692564694</v>
      </c>
      <c r="V31" s="106">
        <v>0.39009838734377378</v>
      </c>
      <c r="W31" s="210">
        <v>1.4378897047860624</v>
      </c>
      <c r="X31" s="137"/>
    </row>
    <row r="32" spans="3:24" x14ac:dyDescent="0.25">
      <c r="C32" s="213" t="s">
        <v>872</v>
      </c>
      <c r="D32" s="106">
        <v>54.741665003209221</v>
      </c>
      <c r="E32" s="106">
        <v>915.43829933816335</v>
      </c>
      <c r="F32" s="106">
        <v>56.69337341268664</v>
      </c>
      <c r="G32" s="106">
        <v>52.298985193482814</v>
      </c>
      <c r="H32" s="106">
        <v>14.750772050551072</v>
      </c>
      <c r="I32" s="106">
        <v>2.0437425764116246</v>
      </c>
      <c r="J32" s="106">
        <v>3.0604027121522381E-2</v>
      </c>
      <c r="K32" s="106">
        <v>27.568815344200459</v>
      </c>
      <c r="L32" s="106">
        <v>10.617295879458638</v>
      </c>
      <c r="M32" s="106">
        <v>1.7329319236681187</v>
      </c>
      <c r="N32" s="106">
        <v>0.10589721185994837</v>
      </c>
      <c r="O32" s="106">
        <v>1.3202430980676154</v>
      </c>
      <c r="P32" s="106">
        <v>-3.3614602559401637E-3</v>
      </c>
      <c r="Q32" s="106">
        <v>2.5608049924469081E-6</v>
      </c>
      <c r="R32" s="106">
        <v>0.11132152406079558</v>
      </c>
      <c r="S32" s="106">
        <v>0.1191425177229589</v>
      </c>
      <c r="T32" s="106">
        <v>0.22648917435487315</v>
      </c>
      <c r="U32" s="106">
        <v>0.20289525426030006</v>
      </c>
      <c r="V32" s="106">
        <v>0.39008495084960648</v>
      </c>
      <c r="W32" s="210">
        <v>1.4378580764411166</v>
      </c>
      <c r="X32" s="137"/>
    </row>
    <row r="33" spans="3:24" x14ac:dyDescent="0.25">
      <c r="C33" s="213" t="s">
        <v>873</v>
      </c>
      <c r="D33" s="106">
        <v>54.7386444365358</v>
      </c>
      <c r="E33" s="106">
        <v>915.37594318620688</v>
      </c>
      <c r="F33" s="106">
        <v>56.693155289167926</v>
      </c>
      <c r="G33" s="106">
        <v>52.295993404597318</v>
      </c>
      <c r="H33" s="106">
        <v>14.749853912097331</v>
      </c>
      <c r="I33" s="106">
        <v>2.0435700081775261</v>
      </c>
      <c r="J33" s="106">
        <v>3.060146221459465E-2</v>
      </c>
      <c r="K33" s="106">
        <v>27.56710134161365</v>
      </c>
      <c r="L33" s="106">
        <v>10.616056134765238</v>
      </c>
      <c r="M33" s="106">
        <v>1.7327831264038407</v>
      </c>
      <c r="N33" s="106">
        <v>0.10589644115830035</v>
      </c>
      <c r="O33" s="106">
        <v>1.3201736317999886</v>
      </c>
      <c r="P33" s="106">
        <v>-3.3611283319886719E-3</v>
      </c>
      <c r="Q33" s="106">
        <v>2.5606898031235824E-6</v>
      </c>
      <c r="R33" s="106">
        <v>0.11131330785479672</v>
      </c>
      <c r="S33" s="106">
        <v>0.11913746636844667</v>
      </c>
      <c r="T33" s="106">
        <v>0.22648074661690071</v>
      </c>
      <c r="U33" s="106">
        <v>0.20289509322160662</v>
      </c>
      <c r="V33" s="106">
        <v>0.3900716487203808</v>
      </c>
      <c r="W33" s="210">
        <v>1.4378267643796203</v>
      </c>
      <c r="X33" s="137"/>
    </row>
    <row r="34" spans="3:24" x14ac:dyDescent="0.25">
      <c r="C34" s="213" t="s">
        <v>874</v>
      </c>
      <c r="D34" s="106">
        <v>54.735654075529112</v>
      </c>
      <c r="E34" s="106">
        <v>915.31421059576985</v>
      </c>
      <c r="F34" s="106">
        <v>56.692939346884401</v>
      </c>
      <c r="G34" s="106">
        <v>52.29303153360069</v>
      </c>
      <c r="H34" s="106">
        <v>14.748944955028129</v>
      </c>
      <c r="I34" s="106">
        <v>2.0433991656257682</v>
      </c>
      <c r="J34" s="106">
        <v>3.0598922956736198E-2</v>
      </c>
      <c r="K34" s="106">
        <v>27.56540447905271</v>
      </c>
      <c r="L34" s="106">
        <v>10.614828787518771</v>
      </c>
      <c r="M34" s="106">
        <v>1.7326358171122052</v>
      </c>
      <c r="N34" s="106">
        <v>0.10589567816366882</v>
      </c>
      <c r="O34" s="106">
        <v>1.3201048601950383</v>
      </c>
      <c r="P34" s="106">
        <v>-3.3607997272766953E-3</v>
      </c>
      <c r="Q34" s="106">
        <v>2.5605757656934902E-6</v>
      </c>
      <c r="R34" s="106">
        <v>0.11130517381085785</v>
      </c>
      <c r="S34" s="106">
        <v>0.11913246552747955</v>
      </c>
      <c r="T34" s="106">
        <v>0.22647240315630796</v>
      </c>
      <c r="U34" s="106">
        <v>0.20289493379330015</v>
      </c>
      <c r="V34" s="106">
        <v>0.39005847961244738</v>
      </c>
      <c r="W34" s="210">
        <v>1.437795765438739</v>
      </c>
      <c r="X34" s="137"/>
    </row>
    <row r="35" spans="3:24" x14ac:dyDescent="0.25">
      <c r="C35" s="213" t="s">
        <v>875</v>
      </c>
      <c r="D35" s="106">
        <v>54.732693618132487</v>
      </c>
      <c r="E35" s="106">
        <v>915.2530953312372</v>
      </c>
      <c r="F35" s="106">
        <v>56.692725564023704</v>
      </c>
      <c r="G35" s="106">
        <v>52.290099281314021</v>
      </c>
      <c r="H35" s="106">
        <v>14.748045087529619</v>
      </c>
      <c r="I35" s="106">
        <v>2.0432300314995282</v>
      </c>
      <c r="J35" s="106">
        <v>3.0596409091456327E-2</v>
      </c>
      <c r="K35" s="106">
        <v>27.563724585117377</v>
      </c>
      <c r="L35" s="106">
        <v>10.613613713744769</v>
      </c>
      <c r="M35" s="106">
        <v>1.7324899809134862</v>
      </c>
      <c r="N35" s="106">
        <v>0.1058949227989836</v>
      </c>
      <c r="O35" s="106">
        <v>1.3200367763061371</v>
      </c>
      <c r="P35" s="106">
        <v>-3.360474408611838E-3</v>
      </c>
      <c r="Q35" s="106">
        <v>2.5604628686376984E-6</v>
      </c>
      <c r="R35" s="106">
        <v>0.11129712110735838</v>
      </c>
      <c r="S35" s="106">
        <v>0.11912751469492212</v>
      </c>
      <c r="T35" s="106">
        <v>0.22646414313032115</v>
      </c>
      <c r="U35" s="106">
        <v>0.20289477595927671</v>
      </c>
      <c r="V35" s="106">
        <v>0.39004544219559328</v>
      </c>
      <c r="W35" s="210">
        <v>1.4377650764872663</v>
      </c>
      <c r="X35" s="137"/>
    </row>
    <row r="36" spans="3:24" x14ac:dyDescent="0.25">
      <c r="C36" s="213" t="s">
        <v>876</v>
      </c>
      <c r="D36" s="106">
        <v>54.729762765309829</v>
      </c>
      <c r="E36" s="106">
        <v>915.19259121934999</v>
      </c>
      <c r="F36" s="106">
        <v>56.692513918991615</v>
      </c>
      <c r="G36" s="106">
        <v>52.287196351550215</v>
      </c>
      <c r="H36" s="106">
        <v>14.747154218706092</v>
      </c>
      <c r="I36" s="106">
        <v>2.0430625887145504</v>
      </c>
      <c r="J36" s="106">
        <v>3.0593920364829261E-2</v>
      </c>
      <c r="K36" s="106">
        <v>27.562061490121398</v>
      </c>
      <c r="L36" s="106">
        <v>10.612410790708505</v>
      </c>
      <c r="M36" s="106">
        <v>1.7323456030767543</v>
      </c>
      <c r="N36" s="106">
        <v>0.10589417498794523</v>
      </c>
      <c r="O36" s="106">
        <v>1.3199693732561253</v>
      </c>
      <c r="P36" s="106">
        <v>-3.3601523431336295E-3</v>
      </c>
      <c r="Q36" s="106">
        <v>2.5603511005524647E-6</v>
      </c>
      <c r="R36" s="106">
        <v>0.11128914893089391</v>
      </c>
      <c r="S36" s="106">
        <v>0.11912261337069026</v>
      </c>
      <c r="T36" s="106">
        <v>0.22645596570459423</v>
      </c>
      <c r="U36" s="106">
        <v>0.20289461970359352</v>
      </c>
      <c r="V36" s="106">
        <v>0.39003253515290776</v>
      </c>
      <c r="W36" s="210">
        <v>1.4377346944253084</v>
      </c>
      <c r="X36" s="137"/>
    </row>
    <row r="37" spans="3:24" x14ac:dyDescent="0.25">
      <c r="C37" s="213" t="s">
        <v>878</v>
      </c>
      <c r="D37" s="106">
        <v>54.726861221015398</v>
      </c>
      <c r="E37" s="106">
        <v>915.13269214858155</v>
      </c>
      <c r="F37" s="106">
        <v>56.692304390409852</v>
      </c>
      <c r="G37" s="106">
        <v>52.284322451084051</v>
      </c>
      <c r="H37" s="106">
        <v>14.746272258570801</v>
      </c>
      <c r="I37" s="106">
        <v>2.0428968203574227</v>
      </c>
      <c r="J37" s="106">
        <v>3.0591456525468456E-2</v>
      </c>
      <c r="K37" s="106">
        <v>27.560415026075379</v>
      </c>
      <c r="L37" s="106">
        <v>10.611219896902604</v>
      </c>
      <c r="M37" s="106">
        <v>1.7322026690183896</v>
      </c>
      <c r="N37" s="106">
        <v>0.10589343465501726</v>
      </c>
      <c r="O37" s="106">
        <v>1.3199026442366135</v>
      </c>
      <c r="P37" s="106">
        <v>-3.359833498310203E-3</v>
      </c>
      <c r="Q37" s="106">
        <v>2.5602404501480834E-6</v>
      </c>
      <c r="R37" s="106">
        <v>0.11128125647619407</v>
      </c>
      <c r="S37" s="106">
        <v>0.11911776105970071</v>
      </c>
      <c r="T37" s="106">
        <v>0.22644787005312456</v>
      </c>
      <c r="U37" s="106">
        <v>0.20289446501046718</v>
      </c>
      <c r="V37" s="106">
        <v>0.39001975718064907</v>
      </c>
      <c r="W37" s="210">
        <v>1.4377046161839702</v>
      </c>
      <c r="X37" s="137"/>
    </row>
    <row r="38" spans="3:24" x14ac:dyDescent="0.25">
      <c r="C38" s="211" t="s">
        <v>877</v>
      </c>
      <c r="D38" s="187">
        <v>54.723988692163914</v>
      </c>
      <c r="E38" s="187">
        <v>915.07339206852077</v>
      </c>
      <c r="F38" s="187">
        <v>56.692096957113904</v>
      </c>
      <c r="G38" s="187">
        <v>52.281477289622551</v>
      </c>
      <c r="H38" s="187">
        <v>14.745399118036865</v>
      </c>
      <c r="I38" s="187">
        <v>2.0427327096838659</v>
      </c>
      <c r="J38" s="187">
        <v>3.0589017324501269E-2</v>
      </c>
      <c r="K38" s="187">
        <v>27.55878502666982</v>
      </c>
      <c r="L38" s="187">
        <v>10.610040912034766</v>
      </c>
      <c r="M38" s="187">
        <v>1.7320611643006085</v>
      </c>
      <c r="N38" s="187">
        <v>0.10589270172541855</v>
      </c>
      <c r="O38" s="187">
        <v>1.3198365825072969</v>
      </c>
      <c r="P38" s="187">
        <v>-3.3595178419350111E-3</v>
      </c>
      <c r="Q38" s="187">
        <v>2.5601309062477461E-6</v>
      </c>
      <c r="R38" s="187">
        <v>0.11127344294604122</v>
      </c>
      <c r="S38" s="187">
        <v>0.11911295727182106</v>
      </c>
      <c r="T38" s="187">
        <v>0.22643985535816957</v>
      </c>
      <c r="U38" s="187">
        <v>0.20289431186427206</v>
      </c>
      <c r="V38" s="187">
        <v>0.39000710698811297</v>
      </c>
      <c r="W38" s="212">
        <v>1.4376748387250453</v>
      </c>
      <c r="X38" s="137"/>
    </row>
    <row r="39" spans="3:24" x14ac:dyDescent="0.25"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</row>
    <row r="40" spans="3:24" x14ac:dyDescent="0.25">
      <c r="C40" s="207" t="s">
        <v>847</v>
      </c>
      <c r="D40" s="208" t="s">
        <v>776</v>
      </c>
      <c r="E40" s="208" t="s">
        <v>156</v>
      </c>
      <c r="F40" s="208" t="s">
        <v>164</v>
      </c>
      <c r="G40" s="208" t="s">
        <v>165</v>
      </c>
      <c r="H40" s="208" t="s">
        <v>166</v>
      </c>
      <c r="I40" s="208" t="s">
        <v>167</v>
      </c>
      <c r="J40" s="208" t="s">
        <v>168</v>
      </c>
      <c r="K40" s="208" t="s">
        <v>169</v>
      </c>
      <c r="L40" s="208" t="s">
        <v>170</v>
      </c>
      <c r="M40" s="208" t="s">
        <v>171</v>
      </c>
      <c r="N40" s="208" t="s">
        <v>172</v>
      </c>
      <c r="O40" s="208" t="s">
        <v>173</v>
      </c>
      <c r="P40" s="208" t="s">
        <v>174</v>
      </c>
      <c r="Q40" s="208" t="s">
        <v>175</v>
      </c>
      <c r="R40" s="208" t="s">
        <v>176</v>
      </c>
      <c r="S40" s="208" t="s">
        <v>177</v>
      </c>
      <c r="T40" s="208" t="s">
        <v>178</v>
      </c>
      <c r="U40" s="208" t="s">
        <v>179</v>
      </c>
      <c r="V40" s="208" t="s">
        <v>180</v>
      </c>
      <c r="W40" s="209" t="s">
        <v>181</v>
      </c>
      <c r="X40" s="137"/>
    </row>
    <row r="41" spans="3:24" x14ac:dyDescent="0.25">
      <c r="C41" s="213" t="s">
        <v>879</v>
      </c>
      <c r="D41" s="106">
        <v>54.738333118177003</v>
      </c>
      <c r="E41" s="106">
        <v>915.36951637396044</v>
      </c>
      <c r="F41" s="106">
        <v>56.693132808003561</v>
      </c>
      <c r="G41" s="106">
        <v>52.295685052256061</v>
      </c>
      <c r="H41" s="106">
        <v>14.749759283046737</v>
      </c>
      <c r="I41" s="106">
        <v>2.0435522222236875</v>
      </c>
      <c r="J41" s="106">
        <v>3.0601197859358852E-2</v>
      </c>
      <c r="K41" s="106">
        <v>27.56692468586326</v>
      </c>
      <c r="L41" s="106">
        <v>10.61592835897844</v>
      </c>
      <c r="M41" s="106">
        <v>1.7327677904337673</v>
      </c>
      <c r="N41" s="106">
        <v>0.10589636172500252</v>
      </c>
      <c r="O41" s="106">
        <v>1.3201664721750681</v>
      </c>
      <c r="P41" s="106">
        <v>-3.3610941218450152E-3</v>
      </c>
      <c r="Q41" s="106">
        <v>2.5606779309966059E-6</v>
      </c>
      <c r="R41" s="106">
        <v>0.11131246104158464</v>
      </c>
      <c r="S41" s="106">
        <v>0.11913694574448222</v>
      </c>
      <c r="T41" s="106">
        <v>0.22647987800188982</v>
      </c>
      <c r="U41" s="106">
        <v>0.20289507662395886</v>
      </c>
      <c r="V41" s="106">
        <v>0.39007027772033787</v>
      </c>
      <c r="W41" s="210">
        <v>1.4378235371641175</v>
      </c>
      <c r="X41" s="137"/>
    </row>
    <row r="42" spans="3:24" x14ac:dyDescent="0.25">
      <c r="C42" s="213" t="s">
        <v>880</v>
      </c>
      <c r="D42" s="106">
        <v>54.723396879061497</v>
      </c>
      <c r="E42" s="106">
        <v>915.06117476238785</v>
      </c>
      <c r="F42" s="106">
        <v>56.692054220644138</v>
      </c>
      <c r="G42" s="106">
        <v>52.280891114889954</v>
      </c>
      <c r="H42" s="106">
        <v>14.745219229153253</v>
      </c>
      <c r="I42" s="106">
        <v>2.0426988987625911</v>
      </c>
      <c r="J42" s="106">
        <v>3.0588514787828376E-2</v>
      </c>
      <c r="K42" s="106">
        <v>27.558449205846074</v>
      </c>
      <c r="L42" s="106">
        <v>10.609798011535442</v>
      </c>
      <c r="M42" s="106">
        <v>1.7320320107740939</v>
      </c>
      <c r="N42" s="106">
        <v>0.10589255072350975</v>
      </c>
      <c r="O42" s="106">
        <v>1.319822972131562</v>
      </c>
      <c r="P42" s="106">
        <v>-3.3594528087923141E-3</v>
      </c>
      <c r="Q42" s="106">
        <v>2.5601083374524921E-6</v>
      </c>
      <c r="R42" s="106">
        <v>0.1112718331625509</v>
      </c>
      <c r="S42" s="106">
        <v>0.11911196757084488</v>
      </c>
      <c r="T42" s="106">
        <v>0.22643820412967669</v>
      </c>
      <c r="U42" s="106">
        <v>0.2028942803123088</v>
      </c>
      <c r="V42" s="106">
        <v>0.39000450073067294</v>
      </c>
      <c r="W42" s="210">
        <v>1.4376687038204858</v>
      </c>
      <c r="X42" s="137"/>
    </row>
    <row r="43" spans="3:24" x14ac:dyDescent="0.25">
      <c r="C43" s="213" t="s">
        <v>881</v>
      </c>
      <c r="D43" s="106">
        <v>54.709207451901769</v>
      </c>
      <c r="E43" s="106">
        <v>914.76825023139395</v>
      </c>
      <c r="F43" s="106">
        <v>56.691029562652687</v>
      </c>
      <c r="G43" s="106">
        <v>52.266836874392148</v>
      </c>
      <c r="H43" s="106">
        <v>14.740906177954443</v>
      </c>
      <c r="I43" s="106">
        <v>2.0418882414745494</v>
      </c>
      <c r="J43" s="106">
        <v>3.057646586987442E-2</v>
      </c>
      <c r="K43" s="106">
        <v>27.550397499829742</v>
      </c>
      <c r="L43" s="106">
        <v>10.603974181464597</v>
      </c>
      <c r="M43" s="106">
        <v>1.731333020097404</v>
      </c>
      <c r="N43" s="106">
        <v>0.10588893027209162</v>
      </c>
      <c r="O43" s="106">
        <v>1.319496647090231</v>
      </c>
      <c r="P43" s="106">
        <v>-3.357893561392248E-3</v>
      </c>
      <c r="Q43" s="106">
        <v>2.5595672235855842E-6</v>
      </c>
      <c r="R43" s="106">
        <v>0.11123323667746886</v>
      </c>
      <c r="S43" s="106">
        <v>0.11908823830588944</v>
      </c>
      <c r="T43" s="106">
        <v>0.22639861395107422</v>
      </c>
      <c r="U43" s="106">
        <v>0.20289352381624123</v>
      </c>
      <c r="V43" s="106">
        <v>0.38994201259049127</v>
      </c>
      <c r="W43" s="210">
        <v>1.4375216121440357</v>
      </c>
      <c r="X43" s="137"/>
    </row>
    <row r="44" spans="3:24" x14ac:dyDescent="0.25">
      <c r="C44" s="213" t="s">
        <v>882</v>
      </c>
      <c r="D44" s="106">
        <v>54.695727496100019</v>
      </c>
      <c r="E44" s="106">
        <v>914.48997192694969</v>
      </c>
      <c r="F44" s="106">
        <v>56.690056137560809</v>
      </c>
      <c r="G44" s="106">
        <v>52.253485345919238</v>
      </c>
      <c r="H44" s="106">
        <v>14.736808779315576</v>
      </c>
      <c r="I44" s="106">
        <v>2.0411181170509098</v>
      </c>
      <c r="J44" s="106">
        <v>3.0565019397818166E-2</v>
      </c>
      <c r="K44" s="106">
        <v>27.542748379114233</v>
      </c>
      <c r="L44" s="106">
        <v>10.598441542897294</v>
      </c>
      <c r="M44" s="106">
        <v>1.7306689789545486</v>
      </c>
      <c r="N44" s="106">
        <v>0.10588549084324439</v>
      </c>
      <c r="O44" s="106">
        <v>1.3191866383009665</v>
      </c>
      <c r="P44" s="106">
        <v>-3.3564122763621858E-3</v>
      </c>
      <c r="Q44" s="106">
        <v>2.5590531654120218E-6</v>
      </c>
      <c r="R44" s="106">
        <v>0.11119657001664092</v>
      </c>
      <c r="S44" s="106">
        <v>0.11906569550418175</v>
      </c>
      <c r="T44" s="106">
        <v>0.22636100328140185</v>
      </c>
      <c r="U44" s="106">
        <v>0.20289280514497704</v>
      </c>
      <c r="V44" s="106">
        <v>0.38988264885731871</v>
      </c>
      <c r="W44" s="210">
        <v>1.437381875051408</v>
      </c>
      <c r="X44" s="137"/>
    </row>
    <row r="45" spans="3:24" x14ac:dyDescent="0.25">
      <c r="C45" s="213" t="s">
        <v>883</v>
      </c>
      <c r="D45" s="106">
        <v>54.682921538088365</v>
      </c>
      <c r="E45" s="106">
        <v>914.22560753772757</v>
      </c>
      <c r="F45" s="106">
        <v>56.68913138372352</v>
      </c>
      <c r="G45" s="106">
        <v>52.240801393869972</v>
      </c>
      <c r="H45" s="106">
        <v>14.73291625060865</v>
      </c>
      <c r="I45" s="106">
        <v>2.0403864988484526</v>
      </c>
      <c r="J45" s="106">
        <v>3.0554145249364721E-2</v>
      </c>
      <c r="K45" s="106">
        <v>27.535481714434496</v>
      </c>
      <c r="L45" s="106">
        <v>10.593185536258353</v>
      </c>
      <c r="M45" s="106">
        <v>1.7300381398688365</v>
      </c>
      <c r="N45" s="106">
        <v>0.10588222338583952</v>
      </c>
      <c r="O45" s="106">
        <v>1.3188921299511653</v>
      </c>
      <c r="P45" s="106">
        <v>-3.3550050555836261E-3</v>
      </c>
      <c r="Q45" s="106">
        <v>2.5585648101471372E-6</v>
      </c>
      <c r="R45" s="106">
        <v>0.11116173668885439</v>
      </c>
      <c r="S45" s="106">
        <v>0.11904427984255944</v>
      </c>
      <c r="T45" s="106">
        <v>0.22632527314521311</v>
      </c>
      <c r="U45" s="106">
        <v>0.20289212240727608</v>
      </c>
      <c r="V45" s="106">
        <v>0.38982625331080473</v>
      </c>
      <c r="W45" s="210">
        <v>1.4372491248134116</v>
      </c>
      <c r="X45" s="137"/>
    </row>
    <row r="46" spans="3:24" x14ac:dyDescent="0.25">
      <c r="C46" s="213" t="s">
        <v>884</v>
      </c>
      <c r="D46" s="106">
        <v>54.670755877977292</v>
      </c>
      <c r="E46" s="106">
        <v>913.97446136796668</v>
      </c>
      <c r="F46" s="106">
        <v>56.6882528675781</v>
      </c>
      <c r="G46" s="106">
        <v>52.228751639423166</v>
      </c>
      <c r="H46" s="106">
        <v>14.729218348337071</v>
      </c>
      <c r="I46" s="106">
        <v>2.0396914615561177</v>
      </c>
      <c r="J46" s="106">
        <v>3.0543814808333951E-2</v>
      </c>
      <c r="K46" s="106">
        <v>27.528578382988748</v>
      </c>
      <c r="L46" s="106">
        <v>10.588192329951365</v>
      </c>
      <c r="M46" s="106">
        <v>1.7294388427374092</v>
      </c>
      <c r="N46" s="106">
        <v>0.10587911930130489</v>
      </c>
      <c r="O46" s="106">
        <v>1.3186123470188542</v>
      </c>
      <c r="P46" s="106">
        <v>-3.3536681958439944E-3</v>
      </c>
      <c r="Q46" s="106">
        <v>2.558100872645497E-6</v>
      </c>
      <c r="R46" s="106">
        <v>0.11112864502745716</v>
      </c>
      <c r="S46" s="106">
        <v>0.11902393496401825</v>
      </c>
      <c r="T46" s="106">
        <v>0.22629132951583383</v>
      </c>
      <c r="U46" s="106">
        <v>0.20289147380646017</v>
      </c>
      <c r="V46" s="106">
        <v>0.38977267754161649</v>
      </c>
      <c r="W46" s="210">
        <v>1.4371230120873153</v>
      </c>
      <c r="X46" s="137"/>
    </row>
    <row r="47" spans="3:24" x14ac:dyDescent="0.25">
      <c r="C47" s="213" t="s">
        <v>885</v>
      </c>
      <c r="D47" s="106">
        <v>54.659198500871767</v>
      </c>
      <c r="E47" s="106">
        <v>913.7358725066938</v>
      </c>
      <c r="F47" s="106">
        <v>56.687418277239949</v>
      </c>
      <c r="G47" s="106">
        <v>52.217304372698699</v>
      </c>
      <c r="H47" s="106">
        <v>14.72570534117907</v>
      </c>
      <c r="I47" s="106">
        <v>2.0390311761283999</v>
      </c>
      <c r="J47" s="106">
        <v>3.0534000889354714E-2</v>
      </c>
      <c r="K47" s="106">
        <v>27.522020218115284</v>
      </c>
      <c r="L47" s="106">
        <v>10.583448783959721</v>
      </c>
      <c r="M47" s="106">
        <v>1.728869510462554</v>
      </c>
      <c r="N47" s="106">
        <v>0.10587617042099699</v>
      </c>
      <c r="O47" s="106">
        <v>1.3183465532331586</v>
      </c>
      <c r="P47" s="106">
        <v>-3.3523981790913445E-3</v>
      </c>
      <c r="Q47" s="106">
        <v>2.5576601320189391E-6</v>
      </c>
      <c r="R47" s="106">
        <v>0.11109720794912982</v>
      </c>
      <c r="S47" s="106">
        <v>0.11900460732940413</v>
      </c>
      <c r="T47" s="106">
        <v>0.2262590830679235</v>
      </c>
      <c r="U47" s="106">
        <v>0.20289085763568504</v>
      </c>
      <c r="V47" s="106">
        <v>0.38972178056088769</v>
      </c>
      <c r="W47" s="210">
        <v>1.4370032049975237</v>
      </c>
      <c r="X47" s="137"/>
    </row>
    <row r="48" spans="3:24" x14ac:dyDescent="0.25">
      <c r="C48" s="213" t="s">
        <v>886</v>
      </c>
      <c r="D48" s="106">
        <v>54.648218992621523</v>
      </c>
      <c r="E48" s="106">
        <v>913.50921308848456</v>
      </c>
      <c r="F48" s="106">
        <v>56.686625416418707</v>
      </c>
      <c r="G48" s="106">
        <v>52.206429469310464</v>
      </c>
      <c r="H48" s="106">
        <v>14.72236798437897</v>
      </c>
      <c r="I48" s="106">
        <v>2.0384039049720677</v>
      </c>
      <c r="J48" s="106">
        <v>3.0524677666324447E-2</v>
      </c>
      <c r="K48" s="106">
        <v>27.515789961485495</v>
      </c>
      <c r="L48" s="106">
        <v>10.578942415267662</v>
      </c>
      <c r="M48" s="106">
        <v>1.728328644801441</v>
      </c>
      <c r="N48" s="106">
        <v>0.10587336898470449</v>
      </c>
      <c r="O48" s="106">
        <v>1.3180940491367479</v>
      </c>
      <c r="P48" s="106">
        <v>-3.3511916631763271E-3</v>
      </c>
      <c r="Q48" s="106">
        <v>2.5572414284237089E-6</v>
      </c>
      <c r="R48" s="106">
        <v>0.11106734272471881</v>
      </c>
      <c r="S48" s="106">
        <v>0.11898624607652071</v>
      </c>
      <c r="T48" s="106">
        <v>0.22622844894240868</v>
      </c>
      <c r="U48" s="106">
        <v>0.20289027227344866</v>
      </c>
      <c r="V48" s="106">
        <v>0.38967342842919528</v>
      </c>
      <c r="W48" s="210">
        <v>1.4368893882622216</v>
      </c>
      <c r="X48" s="137"/>
    </row>
    <row r="49" spans="3:46" x14ac:dyDescent="0.25">
      <c r="C49" s="213" t="s">
        <v>887</v>
      </c>
      <c r="D49" s="106">
        <v>54.637788459783792</v>
      </c>
      <c r="E49" s="106">
        <v>913.29388664118574</v>
      </c>
      <c r="F49" s="106">
        <v>56.685872198638528</v>
      </c>
      <c r="G49" s="106">
        <v>52.196098311091632</v>
      </c>
      <c r="H49" s="106">
        <v>14.719197495418873</v>
      </c>
      <c r="I49" s="106">
        <v>2.0378079973735526</v>
      </c>
      <c r="J49" s="106">
        <v>3.0515820604445687E-2</v>
      </c>
      <c r="K49" s="106">
        <v>27.509871217687195</v>
      </c>
      <c r="L49" s="106">
        <v>10.574661365010204</v>
      </c>
      <c r="M49" s="106">
        <v>1.727814822423384</v>
      </c>
      <c r="N49" s="106">
        <v>0.10587070762022663</v>
      </c>
      <c r="O49" s="106">
        <v>1.3178541702451576</v>
      </c>
      <c r="P49" s="106">
        <v>-3.3500454730570604E-3</v>
      </c>
      <c r="Q49" s="106">
        <v>2.5568436600082402E-6</v>
      </c>
      <c r="R49" s="106">
        <v>0.11103897076152838</v>
      </c>
      <c r="S49" s="106">
        <v>0.11896880288628145</v>
      </c>
      <c r="T49" s="106">
        <v>0.22619934652316961</v>
      </c>
      <c r="U49" s="106">
        <v>0.20288971617932411</v>
      </c>
      <c r="V49" s="106">
        <v>0.38962749390408746</v>
      </c>
      <c r="W49" s="210">
        <v>1.4367812623636846</v>
      </c>
      <c r="X49" s="137"/>
    </row>
    <row r="50" spans="3:46" x14ac:dyDescent="0.25">
      <c r="C50" s="211" t="s">
        <v>888</v>
      </c>
      <c r="D50" s="187">
        <v>54.627879453587944</v>
      </c>
      <c r="E50" s="187">
        <v>913.08932651625184</v>
      </c>
      <c r="F50" s="187">
        <v>56.685156641747355</v>
      </c>
      <c r="G50" s="187">
        <v>52.186283710783748</v>
      </c>
      <c r="H50" s="187">
        <v>14.716185530906785</v>
      </c>
      <c r="I50" s="187">
        <v>2.0372418851549625</v>
      </c>
      <c r="J50" s="187">
        <v>3.0507406395660866E-2</v>
      </c>
      <c r="K50" s="187">
        <v>27.504248411078812</v>
      </c>
      <c r="L50" s="187">
        <v>10.57059436726562</v>
      </c>
      <c r="M50" s="187">
        <v>1.7273266911642295</v>
      </c>
      <c r="N50" s="187">
        <v>0.10586817932397263</v>
      </c>
      <c r="O50" s="187">
        <v>1.3176262852981468</v>
      </c>
      <c r="P50" s="187">
        <v>-3.348956592443757E-3</v>
      </c>
      <c r="Q50" s="187">
        <v>2.5564657800135449E-6</v>
      </c>
      <c r="R50" s="187">
        <v>0.11101201739649748</v>
      </c>
      <c r="S50" s="187">
        <v>0.11895223185555417</v>
      </c>
      <c r="T50" s="187">
        <v>0.2261716992248925</v>
      </c>
      <c r="U50" s="187">
        <v>0.20288918788990579</v>
      </c>
      <c r="V50" s="187">
        <v>0.38958385610523505</v>
      </c>
      <c r="W50" s="212">
        <v>1.4366785427600743</v>
      </c>
      <c r="X50" s="137"/>
    </row>
    <row r="51" spans="3:46" x14ac:dyDescent="0.25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</row>
    <row r="52" spans="3:46" x14ac:dyDescent="0.25">
      <c r="C52" s="207" t="s">
        <v>852</v>
      </c>
      <c r="D52" s="208" t="s">
        <v>776</v>
      </c>
      <c r="E52" s="208" t="s">
        <v>156</v>
      </c>
      <c r="F52" s="208" t="s">
        <v>164</v>
      </c>
      <c r="G52" s="208" t="s">
        <v>165</v>
      </c>
      <c r="H52" s="208" t="s">
        <v>166</v>
      </c>
      <c r="I52" s="208" t="s">
        <v>167</v>
      </c>
      <c r="J52" s="208" t="s">
        <v>168</v>
      </c>
      <c r="K52" s="208" t="s">
        <v>169</v>
      </c>
      <c r="L52" s="208" t="s">
        <v>170</v>
      </c>
      <c r="M52" s="208" t="s">
        <v>171</v>
      </c>
      <c r="N52" s="208" t="s">
        <v>172</v>
      </c>
      <c r="O52" s="208" t="s">
        <v>173</v>
      </c>
      <c r="P52" s="208" t="s">
        <v>174</v>
      </c>
      <c r="Q52" s="208" t="s">
        <v>175</v>
      </c>
      <c r="R52" s="208" t="s">
        <v>176</v>
      </c>
      <c r="S52" s="208" t="s">
        <v>177</v>
      </c>
      <c r="T52" s="208" t="s">
        <v>178</v>
      </c>
      <c r="U52" s="208" t="s">
        <v>179</v>
      </c>
      <c r="V52" s="208" t="s">
        <v>180</v>
      </c>
      <c r="W52" s="209" t="s">
        <v>181</v>
      </c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</row>
    <row r="53" spans="3:46" x14ac:dyDescent="0.25">
      <c r="C53" s="213" t="s">
        <v>859</v>
      </c>
      <c r="D53" s="106">
        <v>54.353758799692216</v>
      </c>
      <c r="E53" s="106">
        <v>907.43041843812728</v>
      </c>
      <c r="F53" s="106">
        <v>56.66536162708789</v>
      </c>
      <c r="G53" s="106">
        <v>51.91477468142709</v>
      </c>
      <c r="H53" s="106">
        <v>14.632863180991299</v>
      </c>
      <c r="I53" s="106">
        <v>2.0215810763441637</v>
      </c>
      <c r="J53" s="106">
        <v>3.0274637501533329E-2</v>
      </c>
      <c r="K53" s="106">
        <v>27.348700277012064</v>
      </c>
      <c r="L53" s="106">
        <v>10.458085800906538</v>
      </c>
      <c r="M53" s="106">
        <v>1.7138231311399759</v>
      </c>
      <c r="N53" s="106">
        <v>0.10579823707056343</v>
      </c>
      <c r="O53" s="106">
        <v>1.3113221242699939</v>
      </c>
      <c r="P53" s="106">
        <v>-3.3188340292084843E-3</v>
      </c>
      <c r="Q53" s="106">
        <v>2.5460121876761594E-6</v>
      </c>
      <c r="R53" s="106">
        <v>0.11026638520080237</v>
      </c>
      <c r="S53" s="106">
        <v>0.11849381436252703</v>
      </c>
      <c r="T53" s="106">
        <v>0.22540687020648381</v>
      </c>
      <c r="U53" s="106">
        <v>0.20287457340305057</v>
      </c>
      <c r="V53" s="106">
        <v>0.38837666925727432</v>
      </c>
      <c r="W53" s="210">
        <v>1.4338369293476902</v>
      </c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</row>
    <row r="54" spans="3:46" x14ac:dyDescent="0.25">
      <c r="C54" s="213" t="s">
        <v>860</v>
      </c>
      <c r="D54" s="106">
        <v>53.993491791788593</v>
      </c>
      <c r="E54" s="106">
        <v>899.99311719017703</v>
      </c>
      <c r="F54" s="106">
        <v>56.639345744660126</v>
      </c>
      <c r="G54" s="106">
        <v>51.557940038597337</v>
      </c>
      <c r="H54" s="106">
        <v>14.52335558545284</v>
      </c>
      <c r="I54" s="106">
        <v>2.0009986333526064</v>
      </c>
      <c r="J54" s="106">
        <v>2.9968717638040425E-2</v>
      </c>
      <c r="K54" s="106">
        <v>27.144268906924445</v>
      </c>
      <c r="L54" s="106">
        <v>10.310219801064253</v>
      </c>
      <c r="M54" s="106">
        <v>1.6960758833611358</v>
      </c>
      <c r="N54" s="106">
        <v>0.10570631445910139</v>
      </c>
      <c r="O54" s="106">
        <v>1.3030367900615791</v>
      </c>
      <c r="P54" s="106">
        <v>-3.2792450176804158E-3</v>
      </c>
      <c r="Q54" s="106">
        <v>2.5322734037512289E-6</v>
      </c>
      <c r="R54" s="106">
        <v>0.10928642737448743</v>
      </c>
      <c r="S54" s="106">
        <v>0.11789133258584777</v>
      </c>
      <c r="T54" s="106">
        <v>0.22440168268010069</v>
      </c>
      <c r="U54" s="106">
        <v>0.20285536610372254</v>
      </c>
      <c r="V54" s="106">
        <v>0.38679010659767665</v>
      </c>
      <c r="W54" s="210">
        <v>1.4301022980926232</v>
      </c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</row>
    <row r="55" spans="3:46" x14ac:dyDescent="0.25">
      <c r="C55" s="213" t="s">
        <v>861</v>
      </c>
      <c r="D55" s="106">
        <v>53.669251484675328</v>
      </c>
      <c r="E55" s="106">
        <v>893.29954606702177</v>
      </c>
      <c r="F55" s="106">
        <v>56.615931450475145</v>
      </c>
      <c r="G55" s="106">
        <v>51.236788860050559</v>
      </c>
      <c r="H55" s="106">
        <v>14.424798749468229</v>
      </c>
      <c r="I55" s="106">
        <v>1.9824744346602048</v>
      </c>
      <c r="J55" s="106">
        <v>2.9693389760896811E-2</v>
      </c>
      <c r="K55" s="106">
        <v>26.960280673845585</v>
      </c>
      <c r="L55" s="106">
        <v>10.177140401206195</v>
      </c>
      <c r="M55" s="106">
        <v>1.6801033603601803</v>
      </c>
      <c r="N55" s="106">
        <v>0.10562358410878556</v>
      </c>
      <c r="O55" s="106">
        <v>1.2955799892740056</v>
      </c>
      <c r="P55" s="106">
        <v>-3.2436149073051548E-3</v>
      </c>
      <c r="Q55" s="106">
        <v>2.5199084982187915E-6</v>
      </c>
      <c r="R55" s="106">
        <v>0.10840446533080399</v>
      </c>
      <c r="S55" s="106">
        <v>0.11734909898683646</v>
      </c>
      <c r="T55" s="106">
        <v>0.2234970139063559</v>
      </c>
      <c r="U55" s="106">
        <v>0.20283807953432731</v>
      </c>
      <c r="V55" s="106">
        <v>0.38536220020403888</v>
      </c>
      <c r="W55" s="210">
        <v>1.4267411299630626</v>
      </c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</row>
    <row r="56" spans="3:46" x14ac:dyDescent="0.25">
      <c r="C56" s="213" t="s">
        <v>862</v>
      </c>
      <c r="D56" s="106">
        <v>53.377435208273383</v>
      </c>
      <c r="E56" s="106">
        <v>887.27533205618204</v>
      </c>
      <c r="F56" s="106">
        <v>56.59485858570865</v>
      </c>
      <c r="G56" s="106">
        <v>50.947752799358454</v>
      </c>
      <c r="H56" s="106">
        <v>14.336097597082079</v>
      </c>
      <c r="I56" s="106">
        <v>1.9658026558370432</v>
      </c>
      <c r="J56" s="106">
        <v>2.9445594671467561E-2</v>
      </c>
      <c r="K56" s="106">
        <v>26.794691264074611</v>
      </c>
      <c r="L56" s="106">
        <v>10.057368941333944</v>
      </c>
      <c r="M56" s="106">
        <v>1.6657280896593196</v>
      </c>
      <c r="N56" s="106">
        <v>0.10554912679350131</v>
      </c>
      <c r="O56" s="106">
        <v>1.2888688685651897</v>
      </c>
      <c r="P56" s="106">
        <v>-3.2115478079674195E-3</v>
      </c>
      <c r="Q56" s="106">
        <v>2.5087800832395975E-6</v>
      </c>
      <c r="R56" s="106">
        <v>0.1076106994914889</v>
      </c>
      <c r="S56" s="106">
        <v>0.11686108874772629</v>
      </c>
      <c r="T56" s="106">
        <v>0.2226828120099856</v>
      </c>
      <c r="U56" s="106">
        <v>0.20282252162187162</v>
      </c>
      <c r="V56" s="106">
        <v>0.38407708444976479</v>
      </c>
      <c r="W56" s="210">
        <v>1.4237160786464582</v>
      </c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</row>
    <row r="57" spans="3:46" x14ac:dyDescent="0.25">
      <c r="C57" s="213" t="s">
        <v>863</v>
      </c>
      <c r="D57" s="106">
        <v>53.114800559511643</v>
      </c>
      <c r="E57" s="106">
        <v>881.85353944642634</v>
      </c>
      <c r="F57" s="106">
        <v>56.575893007418813</v>
      </c>
      <c r="G57" s="106">
        <v>50.687620344735564</v>
      </c>
      <c r="H57" s="106">
        <v>14.256266559934543</v>
      </c>
      <c r="I57" s="106">
        <v>1.9507980548961978</v>
      </c>
      <c r="J57" s="106">
        <v>2.9222579090981242E-2</v>
      </c>
      <c r="K57" s="106">
        <v>26.645660795280737</v>
      </c>
      <c r="L57" s="106">
        <v>9.9495746274489179</v>
      </c>
      <c r="M57" s="106">
        <v>1.6527903460285454</v>
      </c>
      <c r="N57" s="106">
        <v>0.10548211520974549</v>
      </c>
      <c r="O57" s="106">
        <v>1.2828288599272553</v>
      </c>
      <c r="P57" s="106">
        <v>-3.1826874185634573E-3</v>
      </c>
      <c r="Q57" s="106">
        <v>2.4987645097583232E-6</v>
      </c>
      <c r="R57" s="106">
        <v>0.10689631023610531</v>
      </c>
      <c r="S57" s="106">
        <v>0.11642187953252711</v>
      </c>
      <c r="T57" s="106">
        <v>0.2219500303032523</v>
      </c>
      <c r="U57" s="106">
        <v>0.20280851950066148</v>
      </c>
      <c r="V57" s="106">
        <v>0.38292048027091807</v>
      </c>
      <c r="W57" s="210">
        <v>1.4209935324615142</v>
      </c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</row>
    <row r="58" spans="3:46" x14ac:dyDescent="0.25">
      <c r="C58" s="213" t="s">
        <v>864</v>
      </c>
      <c r="D58" s="106">
        <v>52.878429375626069</v>
      </c>
      <c r="E58" s="106">
        <v>876.9739260976462</v>
      </c>
      <c r="F58" s="106">
        <v>56.558823986957954</v>
      </c>
      <c r="G58" s="106">
        <v>50.45350113557496</v>
      </c>
      <c r="H58" s="106">
        <v>14.184418626501762</v>
      </c>
      <c r="I58" s="106">
        <v>1.9372939140494372</v>
      </c>
      <c r="J58" s="106">
        <v>2.9021865068543547E-2</v>
      </c>
      <c r="K58" s="106">
        <v>26.511533373366248</v>
      </c>
      <c r="L58" s="106">
        <v>9.8525597449523943</v>
      </c>
      <c r="M58" s="106">
        <v>1.6411463767608487</v>
      </c>
      <c r="N58" s="106">
        <v>0.10542180478436525</v>
      </c>
      <c r="O58" s="106">
        <v>1.2773928521531144</v>
      </c>
      <c r="P58" s="106">
        <v>-3.1567130680998918E-3</v>
      </c>
      <c r="Q58" s="106">
        <v>2.4897504936251761E-6</v>
      </c>
      <c r="R58" s="106">
        <v>0.10625335990626007</v>
      </c>
      <c r="S58" s="106">
        <v>0.11602659123884787</v>
      </c>
      <c r="T58" s="106">
        <v>0.22129052676719235</v>
      </c>
      <c r="U58" s="106">
        <v>0.20279591759157237</v>
      </c>
      <c r="V58" s="106">
        <v>0.3818795365099561</v>
      </c>
      <c r="W58" s="210">
        <v>1.4185432408950645</v>
      </c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</row>
    <row r="59" spans="3:46" x14ac:dyDescent="0.25">
      <c r="C59" s="213" t="s">
        <v>865</v>
      </c>
      <c r="D59" s="106">
        <v>52.665695310129053</v>
      </c>
      <c r="E59" s="106">
        <v>872.5822740837441</v>
      </c>
      <c r="F59" s="106">
        <v>56.543461868543183</v>
      </c>
      <c r="G59" s="106">
        <v>50.242793847330418</v>
      </c>
      <c r="H59" s="106">
        <v>14.119755486412258</v>
      </c>
      <c r="I59" s="106">
        <v>1.9251401872873524</v>
      </c>
      <c r="J59" s="106">
        <v>2.8841222448349621E-2</v>
      </c>
      <c r="K59" s="106">
        <v>26.390818693643208</v>
      </c>
      <c r="L59" s="106">
        <v>9.7652463507055227</v>
      </c>
      <c r="M59" s="106">
        <v>1.6306668044199215</v>
      </c>
      <c r="N59" s="106">
        <v>0.10536752540152304</v>
      </c>
      <c r="O59" s="106">
        <v>1.2725004451563875</v>
      </c>
      <c r="P59" s="106">
        <v>-3.1333361526826829E-3</v>
      </c>
      <c r="Q59" s="106">
        <v>2.4816378791053438E-6</v>
      </c>
      <c r="R59" s="106">
        <v>0.10567470460939939</v>
      </c>
      <c r="S59" s="106">
        <v>0.11567083177453655</v>
      </c>
      <c r="T59" s="106">
        <v>0.22069697358473839</v>
      </c>
      <c r="U59" s="106">
        <v>0.20278457587339216</v>
      </c>
      <c r="V59" s="106">
        <v>0.38094268712509027</v>
      </c>
      <c r="W59" s="210">
        <v>1.4163379784852599</v>
      </c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</row>
    <row r="60" spans="3:46" x14ac:dyDescent="0.25">
      <c r="C60" s="213" t="s">
        <v>866</v>
      </c>
      <c r="D60" s="106">
        <v>52.474234651181746</v>
      </c>
      <c r="E60" s="106">
        <v>868.62978727123209</v>
      </c>
      <c r="F60" s="106">
        <v>56.529635961969895</v>
      </c>
      <c r="G60" s="106">
        <v>50.053157287910331</v>
      </c>
      <c r="H60" s="106">
        <v>14.061558660331704</v>
      </c>
      <c r="I60" s="106">
        <v>1.9142018332014759</v>
      </c>
      <c r="J60" s="106">
        <v>2.8678644090175093E-2</v>
      </c>
      <c r="K60" s="106">
        <v>26.282175481892473</v>
      </c>
      <c r="L60" s="106">
        <v>9.6866642958833395</v>
      </c>
      <c r="M60" s="106">
        <v>1.6212351893130874</v>
      </c>
      <c r="N60" s="106">
        <v>0.10531867395696504</v>
      </c>
      <c r="O60" s="106">
        <v>1.2680972788593332</v>
      </c>
      <c r="P60" s="106">
        <v>-3.1122969288071949E-3</v>
      </c>
      <c r="Q60" s="106">
        <v>2.4743365260374947E-6</v>
      </c>
      <c r="R60" s="106">
        <v>0.10515391484222474</v>
      </c>
      <c r="S60" s="106">
        <v>0.11535064825665636</v>
      </c>
      <c r="T60" s="106">
        <v>0.22016277572052984</v>
      </c>
      <c r="U60" s="106">
        <v>0.20277436832702997</v>
      </c>
      <c r="V60" s="106">
        <v>0.38009952267871105</v>
      </c>
      <c r="W60" s="210">
        <v>1.4143532423164358</v>
      </c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</row>
    <row r="61" spans="3:46" x14ac:dyDescent="0.25">
      <c r="C61" s="213" t="s">
        <v>867</v>
      </c>
      <c r="D61" s="106">
        <v>52.301920058129163</v>
      </c>
      <c r="E61" s="106">
        <v>865.07254913997144</v>
      </c>
      <c r="F61" s="106">
        <v>56.517192646053928</v>
      </c>
      <c r="G61" s="106">
        <v>49.882484384432253</v>
      </c>
      <c r="H61" s="106">
        <v>14.009181516859206</v>
      </c>
      <c r="I61" s="106">
        <v>1.9043573145241874</v>
      </c>
      <c r="J61" s="106">
        <v>2.8532323567818013E-2</v>
      </c>
      <c r="K61" s="106">
        <v>26.184396591316812</v>
      </c>
      <c r="L61" s="106">
        <v>9.6159404465433731</v>
      </c>
      <c r="M61" s="106">
        <v>1.6127467357169363</v>
      </c>
      <c r="N61" s="106">
        <v>0.10527470765686285</v>
      </c>
      <c r="O61" s="106">
        <v>1.2641344291919845</v>
      </c>
      <c r="P61" s="106">
        <v>-3.0933616273192553E-3</v>
      </c>
      <c r="Q61" s="106">
        <v>2.4677653082764307E-6</v>
      </c>
      <c r="R61" s="106">
        <v>0.10468520405176758</v>
      </c>
      <c r="S61" s="106">
        <v>0.11506248309056419</v>
      </c>
      <c r="T61" s="106">
        <v>0.2196819976427421</v>
      </c>
      <c r="U61" s="106">
        <v>0.20276518153530398</v>
      </c>
      <c r="V61" s="106">
        <v>0.37934067467696975</v>
      </c>
      <c r="W61" s="210">
        <v>1.412566979764494</v>
      </c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</row>
    <row r="62" spans="3:46" x14ac:dyDescent="0.25">
      <c r="C62" s="211" t="s">
        <v>868</v>
      </c>
      <c r="D62" s="187">
        <v>52.146836924381844</v>
      </c>
      <c r="E62" s="187">
        <v>861.8710348218367</v>
      </c>
      <c r="F62" s="187">
        <v>56.505993661729562</v>
      </c>
      <c r="G62" s="187">
        <v>49.728878771301986</v>
      </c>
      <c r="H62" s="187">
        <v>13.962042087733957</v>
      </c>
      <c r="I62" s="187">
        <v>1.8954972477146275</v>
      </c>
      <c r="J62" s="187">
        <v>2.8400635097696643E-2</v>
      </c>
      <c r="K62" s="187">
        <v>26.096395589798714</v>
      </c>
      <c r="L62" s="187">
        <v>9.5522889821374051</v>
      </c>
      <c r="M62" s="187">
        <v>1.6051071274804003</v>
      </c>
      <c r="N62" s="187">
        <v>0.10523513798677087</v>
      </c>
      <c r="O62" s="187">
        <v>1.2605678644913705</v>
      </c>
      <c r="P62" s="187">
        <v>-3.0763198559801102E-3</v>
      </c>
      <c r="Q62" s="187">
        <v>2.4618512122914731E-6</v>
      </c>
      <c r="R62" s="187">
        <v>0.10426336434035612</v>
      </c>
      <c r="S62" s="187">
        <v>0.11480313444108123</v>
      </c>
      <c r="T62" s="187">
        <v>0.21924929737273319</v>
      </c>
      <c r="U62" s="187">
        <v>0.20275691342275062</v>
      </c>
      <c r="V62" s="187">
        <v>0.37865771147540261</v>
      </c>
      <c r="W62" s="212">
        <v>1.4109593434677463</v>
      </c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</row>
    <row r="63" spans="3:46" x14ac:dyDescent="0.25"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</row>
    <row r="64" spans="3:46" x14ac:dyDescent="0.25">
      <c r="C64" s="207" t="s">
        <v>852</v>
      </c>
      <c r="D64" s="208" t="s">
        <v>776</v>
      </c>
      <c r="E64" s="208" t="s">
        <v>156</v>
      </c>
      <c r="F64" s="208" t="s">
        <v>164</v>
      </c>
      <c r="G64" s="208" t="s">
        <v>165</v>
      </c>
      <c r="H64" s="208" t="s">
        <v>166</v>
      </c>
      <c r="I64" s="208" t="s">
        <v>167</v>
      </c>
      <c r="J64" s="208" t="s">
        <v>168</v>
      </c>
      <c r="K64" s="208" t="s">
        <v>169</v>
      </c>
      <c r="L64" s="208" t="s">
        <v>170</v>
      </c>
      <c r="M64" s="208" t="s">
        <v>171</v>
      </c>
      <c r="N64" s="208" t="s">
        <v>172</v>
      </c>
      <c r="O64" s="208" t="s">
        <v>173</v>
      </c>
      <c r="P64" s="208" t="s">
        <v>174</v>
      </c>
      <c r="Q64" s="208" t="s">
        <v>175</v>
      </c>
      <c r="R64" s="208" t="s">
        <v>176</v>
      </c>
      <c r="S64" s="208" t="s">
        <v>177</v>
      </c>
      <c r="T64" s="208" t="s">
        <v>178</v>
      </c>
      <c r="U64" s="208" t="s">
        <v>179</v>
      </c>
      <c r="V64" s="208" t="s">
        <v>180</v>
      </c>
      <c r="W64" s="209" t="s">
        <v>181</v>
      </c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</row>
    <row r="65" spans="3:46" x14ac:dyDescent="0.25">
      <c r="C65" s="213" t="s">
        <v>869</v>
      </c>
      <c r="D65" s="106">
        <v>54.553907137416459</v>
      </c>
      <c r="E65" s="106">
        <v>911.56225246476629</v>
      </c>
      <c r="F65" s="106">
        <v>56.67981489510332</v>
      </c>
      <c r="G65" s="106">
        <v>52.113016149665839</v>
      </c>
      <c r="H65" s="106">
        <v>14.693700734068219</v>
      </c>
      <c r="I65" s="106">
        <v>2.0330157668950291</v>
      </c>
      <c r="J65" s="106">
        <v>3.0444592981251607E-2</v>
      </c>
      <c r="K65" s="106">
        <v>27.462273260394078</v>
      </c>
      <c r="L65" s="106">
        <v>10.540233578596698</v>
      </c>
      <c r="M65" s="106">
        <v>1.7236827132393309</v>
      </c>
      <c r="N65" s="106">
        <v>0.10584930518804234</v>
      </c>
      <c r="O65" s="106">
        <v>1.3159250877191133</v>
      </c>
      <c r="P65" s="106">
        <v>-3.3408279245018555E-3</v>
      </c>
      <c r="Q65" s="106">
        <v>2.5536448454122318E-6</v>
      </c>
      <c r="R65" s="106">
        <v>0.11081080621542178</v>
      </c>
      <c r="S65" s="106">
        <v>0.11882852646068215</v>
      </c>
      <c r="T65" s="106">
        <v>0.2259653077211411</v>
      </c>
      <c r="U65" s="106">
        <v>0.2028852441248995</v>
      </c>
      <c r="V65" s="106">
        <v>0.38925809295705072</v>
      </c>
      <c r="W65" s="210">
        <v>1.4359117244893944</v>
      </c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</row>
    <row r="66" spans="3:46" x14ac:dyDescent="0.25">
      <c r="C66" s="213" t="s">
        <v>870</v>
      </c>
      <c r="D66" s="106">
        <v>54.363766216578433</v>
      </c>
      <c r="E66" s="106">
        <v>907.63701013945922</v>
      </c>
      <c r="F66" s="106">
        <v>56.666084290488662</v>
      </c>
      <c r="G66" s="106">
        <v>51.92468675483903</v>
      </c>
      <c r="H66" s="106">
        <v>14.635905058645145</v>
      </c>
      <c r="I66" s="106">
        <v>2.0221528108717068</v>
      </c>
      <c r="J66" s="106">
        <v>3.0283135275519242E-2</v>
      </c>
      <c r="K66" s="106">
        <v>27.354378926181166</v>
      </c>
      <c r="L66" s="106">
        <v>10.462193189791048</v>
      </c>
      <c r="M66" s="106">
        <v>1.7143161102449436</v>
      </c>
      <c r="N66" s="106">
        <v>0.10580079047643737</v>
      </c>
      <c r="O66" s="106">
        <v>1.31155227244245</v>
      </c>
      <c r="P66" s="106">
        <v>-3.3199337239731524E-3</v>
      </c>
      <c r="Q66" s="106">
        <v>2.546393820562963E-6</v>
      </c>
      <c r="R66" s="106">
        <v>0.11029360625153334</v>
      </c>
      <c r="S66" s="106">
        <v>0.11851054996743478</v>
      </c>
      <c r="T66" s="106">
        <v>0.22543479208221667</v>
      </c>
      <c r="U66" s="106">
        <v>0.20287510693914301</v>
      </c>
      <c r="V66" s="106">
        <v>0.38842074044226316</v>
      </c>
      <c r="W66" s="210">
        <v>1.4339406691047756</v>
      </c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</row>
    <row r="67" spans="3:46" x14ac:dyDescent="0.25">
      <c r="C67" s="213" t="s">
        <v>871</v>
      </c>
      <c r="D67" s="106">
        <v>54.183132341782304</v>
      </c>
      <c r="E67" s="106">
        <v>903.90802993041746</v>
      </c>
      <c r="F67" s="106">
        <v>56.653040216104742</v>
      </c>
      <c r="G67" s="106">
        <v>51.745773829753553</v>
      </c>
      <c r="H67" s="106">
        <v>14.580999166993223</v>
      </c>
      <c r="I67" s="106">
        <v>2.011833002649551</v>
      </c>
      <c r="J67" s="106">
        <v>3.0129750455073497E-2</v>
      </c>
      <c r="K67" s="106">
        <v>27.251879308678902</v>
      </c>
      <c r="L67" s="106">
        <v>10.388054820425678</v>
      </c>
      <c r="M67" s="106">
        <v>1.7054178374002751</v>
      </c>
      <c r="N67" s="106">
        <v>0.10575470150041266</v>
      </c>
      <c r="O67" s="106">
        <v>1.3073980979296198</v>
      </c>
      <c r="P67" s="106">
        <v>-3.3000842334708854E-3</v>
      </c>
      <c r="Q67" s="106">
        <v>2.5395053469561576E-6</v>
      </c>
      <c r="R67" s="106">
        <v>0.10980226628583932</v>
      </c>
      <c r="S67" s="106">
        <v>0.11820847229884977</v>
      </c>
      <c r="T67" s="106">
        <v>0.22493080222523848</v>
      </c>
      <c r="U67" s="106">
        <v>0.2028654766126744</v>
      </c>
      <c r="V67" s="106">
        <v>0.38762525555321486</v>
      </c>
      <c r="W67" s="210">
        <v>1.4320681664893877</v>
      </c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</row>
    <row r="68" spans="3:46" x14ac:dyDescent="0.25">
      <c r="C68" s="213" t="s">
        <v>872</v>
      </c>
      <c r="D68" s="106">
        <v>54.011530160725989</v>
      </c>
      <c r="E68" s="106">
        <v>900.36549873182787</v>
      </c>
      <c r="F68" s="106">
        <v>56.64064834544002</v>
      </c>
      <c r="G68" s="106">
        <v>51.575806550922351</v>
      </c>
      <c r="H68" s="106">
        <v>14.528838569923899</v>
      </c>
      <c r="I68" s="106">
        <v>2.002029184838503</v>
      </c>
      <c r="J68" s="106">
        <v>2.9984034875650031E-2</v>
      </c>
      <c r="K68" s="106">
        <v>27.154504672051747</v>
      </c>
      <c r="L68" s="106">
        <v>10.317623369528578</v>
      </c>
      <c r="M68" s="106">
        <v>1.6969644781978404</v>
      </c>
      <c r="N68" s="106">
        <v>0.10571091697318918</v>
      </c>
      <c r="O68" s="106">
        <v>1.303451632142431</v>
      </c>
      <c r="P68" s="106">
        <v>-3.2812272174937312E-3</v>
      </c>
      <c r="Q68" s="106">
        <v>2.5329612970296921E-6</v>
      </c>
      <c r="R68" s="106">
        <v>0.10933549331843001</v>
      </c>
      <c r="S68" s="106">
        <v>0.11792149851369402</v>
      </c>
      <c r="T68" s="106">
        <v>0.22445201186110919</v>
      </c>
      <c r="U68" s="106">
        <v>0.20285632780252918</v>
      </c>
      <c r="V68" s="106">
        <v>0.38686954490861902</v>
      </c>
      <c r="W68" s="210">
        <v>1.4302892890047691</v>
      </c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</row>
    <row r="69" spans="3:46" x14ac:dyDescent="0.25">
      <c r="C69" s="213" t="s">
        <v>873</v>
      </c>
      <c r="D69" s="106">
        <v>53.848508088722483</v>
      </c>
      <c r="E69" s="106">
        <v>897.00009409316772</v>
      </c>
      <c r="F69" s="106">
        <v>56.628876068308529</v>
      </c>
      <c r="G69" s="106">
        <v>51.414337636032712</v>
      </c>
      <c r="H69" s="106">
        <v>14.47928600270804</v>
      </c>
      <c r="I69" s="106">
        <v>1.9927155579180076</v>
      </c>
      <c r="J69" s="106">
        <v>2.9845605075197748E-2</v>
      </c>
      <c r="K69" s="106">
        <v>27.061998767255954</v>
      </c>
      <c r="L69" s="106">
        <v>10.250713491176333</v>
      </c>
      <c r="M69" s="106">
        <v>1.688933786955527</v>
      </c>
      <c r="N69" s="106">
        <v>0.10566932167232687</v>
      </c>
      <c r="O69" s="106">
        <v>1.2997024896446019</v>
      </c>
      <c r="P69" s="106">
        <v>-3.2633130523154344E-3</v>
      </c>
      <c r="Q69" s="106">
        <v>2.5267444495995503E-6</v>
      </c>
      <c r="R69" s="106">
        <v>0.10889205899939115</v>
      </c>
      <c r="S69" s="106">
        <v>0.11764887341779605</v>
      </c>
      <c r="T69" s="106">
        <v>0.22399716101518635</v>
      </c>
      <c r="U69" s="106">
        <v>0.20284763643289125</v>
      </c>
      <c r="V69" s="106">
        <v>0.38615161979625301</v>
      </c>
      <c r="W69" s="210">
        <v>1.4285993553943817</v>
      </c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</row>
    <row r="70" spans="3:46" x14ac:dyDescent="0.25">
      <c r="C70" s="213" t="s">
        <v>874</v>
      </c>
      <c r="D70" s="106">
        <v>53.693637120319153</v>
      </c>
      <c r="E70" s="106">
        <v>893.80295968644054</v>
      </c>
      <c r="F70" s="106">
        <v>56.617692405033615</v>
      </c>
      <c r="G70" s="106">
        <v>51.260942166887553</v>
      </c>
      <c r="H70" s="106">
        <v>14.432211063852973</v>
      </c>
      <c r="I70" s="106">
        <v>1.9838676123435366</v>
      </c>
      <c r="J70" s="106">
        <v>2.9714096764768078E-2</v>
      </c>
      <c r="K70" s="106">
        <v>26.974118157699948</v>
      </c>
      <c r="L70" s="106">
        <v>10.1871491067417</v>
      </c>
      <c r="M70" s="106">
        <v>1.6813046302753296</v>
      </c>
      <c r="N70" s="106">
        <v>0.10562980613650769</v>
      </c>
      <c r="O70" s="106">
        <v>1.2961408042716638</v>
      </c>
      <c r="P70" s="106">
        <v>-3.2462945953960526E-3</v>
      </c>
      <c r="Q70" s="106">
        <v>2.5208384445409154E-6</v>
      </c>
      <c r="R70" s="106">
        <v>0.10847079639630425</v>
      </c>
      <c r="S70" s="106">
        <v>0.11738987957669297</v>
      </c>
      <c r="T70" s="106">
        <v>0.22356505271155969</v>
      </c>
      <c r="U70" s="106">
        <v>0.20283937963173518</v>
      </c>
      <c r="V70" s="106">
        <v>0.38546959093950528</v>
      </c>
      <c r="W70" s="210">
        <v>1.4269939184645135</v>
      </c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</row>
    <row r="71" spans="3:46" x14ac:dyDescent="0.25">
      <c r="C71" s="213" t="s">
        <v>875</v>
      </c>
      <c r="D71" s="106">
        <v>53.546509700335996</v>
      </c>
      <c r="E71" s="106">
        <v>890.76568200004976</v>
      </c>
      <c r="F71" s="106">
        <v>56.607067924922447</v>
      </c>
      <c r="G71" s="106">
        <v>51.115216471199652</v>
      </c>
      <c r="H71" s="106">
        <v>14.387489871940661</v>
      </c>
      <c r="I71" s="106">
        <v>1.9754620640477893</v>
      </c>
      <c r="J71" s="106">
        <v>2.9589163869859887E-2</v>
      </c>
      <c r="K71" s="106">
        <v>26.890631578621743</v>
      </c>
      <c r="L71" s="106">
        <v>10.126762941528799</v>
      </c>
      <c r="M71" s="106">
        <v>1.674056931429142</v>
      </c>
      <c r="N71" s="106">
        <v>0.10559226637747945</v>
      </c>
      <c r="O71" s="106">
        <v>1.2927572031673731</v>
      </c>
      <c r="P71" s="106">
        <v>-3.2301270613226403E-3</v>
      </c>
      <c r="Q71" s="106">
        <v>2.5152277397352123E-6</v>
      </c>
      <c r="R71" s="106">
        <v>0.10807059692337169</v>
      </c>
      <c r="S71" s="106">
        <v>0.11714383542764506</v>
      </c>
      <c r="T71" s="106">
        <v>0.22315454982311433</v>
      </c>
      <c r="U71" s="106">
        <v>0.20283153567063694</v>
      </c>
      <c r="V71" s="106">
        <v>0.38482166352559488</v>
      </c>
      <c r="W71" s="210">
        <v>1.4254687533811388</v>
      </c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</row>
    <row r="72" spans="3:46" x14ac:dyDescent="0.25">
      <c r="C72" s="213" t="s">
        <v>876</v>
      </c>
      <c r="D72" s="106">
        <v>53.406738651351993</v>
      </c>
      <c r="E72" s="106">
        <v>887.88026819797847</v>
      </c>
      <c r="F72" s="106">
        <v>56.596974668816841</v>
      </c>
      <c r="G72" s="106">
        <v>50.976777060296151</v>
      </c>
      <c r="H72" s="106">
        <v>14.345004739623965</v>
      </c>
      <c r="I72" s="106">
        <v>1.9674767931668293</v>
      </c>
      <c r="J72" s="106">
        <v>2.9470477619697108E-2</v>
      </c>
      <c r="K72" s="106">
        <v>26.811319328497447</v>
      </c>
      <c r="L72" s="106">
        <v>10.069396084576542</v>
      </c>
      <c r="M72" s="106">
        <v>1.6671716175252635</v>
      </c>
      <c r="N72" s="106">
        <v>0.10555660360640264</v>
      </c>
      <c r="O72" s="106">
        <v>1.2895427821182965</v>
      </c>
      <c r="P72" s="106">
        <v>-3.2147679039528985E-3</v>
      </c>
      <c r="Q72" s="106">
        <v>2.5098975701697943E-6</v>
      </c>
      <c r="R72" s="106">
        <v>0.10769040742408575</v>
      </c>
      <c r="S72" s="106">
        <v>0.11691009348604953</v>
      </c>
      <c r="T72" s="106">
        <v>0.22276457207909128</v>
      </c>
      <c r="U72" s="106">
        <v>0.2028240839075936</v>
      </c>
      <c r="V72" s="106">
        <v>0.38420613248238006</v>
      </c>
      <c r="W72" s="210">
        <v>1.4240198465519327</v>
      </c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</row>
    <row r="73" spans="3:46" x14ac:dyDescent="0.25">
      <c r="C73" s="213" t="s">
        <v>878</v>
      </c>
      <c r="D73" s="106">
        <v>53.273956154817185</v>
      </c>
      <c r="E73" s="106">
        <v>885.13912508601084</v>
      </c>
      <c r="F73" s="106">
        <v>56.587386075516505</v>
      </c>
      <c r="G73" s="106">
        <v>50.845259619937814</v>
      </c>
      <c r="H73" s="106">
        <v>14.304643863923102</v>
      </c>
      <c r="I73" s="106">
        <v>1.9598907858299175</v>
      </c>
      <c r="J73" s="106">
        <v>2.9357725682042472E-2</v>
      </c>
      <c r="K73" s="106">
        <v>26.735972690879368</v>
      </c>
      <c r="L73" s="106">
        <v>10.0148975704719</v>
      </c>
      <c r="M73" s="106">
        <v>1.6606305693165795</v>
      </c>
      <c r="N73" s="106">
        <v>0.10552272397387966</v>
      </c>
      <c r="O73" s="106">
        <v>1.2864890821216741</v>
      </c>
      <c r="P73" s="106">
        <v>-3.2001767044516432E-3</v>
      </c>
      <c r="Q73" s="106">
        <v>2.5048339090826473E-6</v>
      </c>
      <c r="R73" s="106">
        <v>0.10732922739976412</v>
      </c>
      <c r="S73" s="106">
        <v>0.11668803864153379</v>
      </c>
      <c r="T73" s="106">
        <v>0.22239409322226933</v>
      </c>
      <c r="U73" s="106">
        <v>0.20281700473270245</v>
      </c>
      <c r="V73" s="106">
        <v>0.38362137799132601</v>
      </c>
      <c r="W73" s="210">
        <v>1.4226433850641869</v>
      </c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</row>
    <row r="74" spans="3:46" x14ac:dyDescent="0.25">
      <c r="C74" s="211" t="s">
        <v>877</v>
      </c>
      <c r="D74" s="187">
        <v>53.147812783109124</v>
      </c>
      <c r="E74" s="187">
        <v>882.53503912964152</v>
      </c>
      <c r="F74" s="187">
        <v>56.578276911881197</v>
      </c>
      <c r="G74" s="187">
        <v>50.720318051597403</v>
      </c>
      <c r="H74" s="187">
        <v>14.266301032007283</v>
      </c>
      <c r="I74" s="187">
        <v>1.952684078859851</v>
      </c>
      <c r="J74" s="187">
        <v>2.9250611341270563E-2</v>
      </c>
      <c r="K74" s="187">
        <v>26.664393385142191</v>
      </c>
      <c r="L74" s="187">
        <v>9.9631239820724886</v>
      </c>
      <c r="M74" s="187">
        <v>1.6544165735183292</v>
      </c>
      <c r="N74" s="187">
        <v>0.10549053832298283</v>
      </c>
      <c r="O74" s="187">
        <v>1.2835880671248827</v>
      </c>
      <c r="P74" s="187">
        <v>-3.1863150649254512E-3</v>
      </c>
      <c r="Q74" s="187">
        <v>2.5000234310498578E-6</v>
      </c>
      <c r="R74" s="187">
        <v>0.10698610637665856</v>
      </c>
      <c r="S74" s="187">
        <v>0.11647708653924382</v>
      </c>
      <c r="T74" s="187">
        <v>0.22204213830828851</v>
      </c>
      <c r="U74" s="187">
        <v>0.20281027951655584</v>
      </c>
      <c r="V74" s="187">
        <v>0.38306586122482456</v>
      </c>
      <c r="W74" s="212">
        <v>1.4213357466508285</v>
      </c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</row>
    <row r="75" spans="3:46" x14ac:dyDescent="0.25"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</row>
    <row r="76" spans="3:46" x14ac:dyDescent="0.25">
      <c r="C76" s="207" t="s">
        <v>852</v>
      </c>
      <c r="D76" s="208" t="s">
        <v>776</v>
      </c>
      <c r="E76" s="208" t="s">
        <v>156</v>
      </c>
      <c r="F76" s="208" t="s">
        <v>164</v>
      </c>
      <c r="G76" s="208" t="s">
        <v>165</v>
      </c>
      <c r="H76" s="208" t="s">
        <v>166</v>
      </c>
      <c r="I76" s="208" t="s">
        <v>167</v>
      </c>
      <c r="J76" s="208" t="s">
        <v>168</v>
      </c>
      <c r="K76" s="208" t="s">
        <v>169</v>
      </c>
      <c r="L76" s="208" t="s">
        <v>170</v>
      </c>
      <c r="M76" s="208" t="s">
        <v>171</v>
      </c>
      <c r="N76" s="208" t="s">
        <v>172</v>
      </c>
      <c r="O76" s="208" t="s">
        <v>173</v>
      </c>
      <c r="P76" s="208" t="s">
        <v>174</v>
      </c>
      <c r="Q76" s="208" t="s">
        <v>175</v>
      </c>
      <c r="R76" s="208" t="s">
        <v>176</v>
      </c>
      <c r="S76" s="208" t="s">
        <v>177</v>
      </c>
      <c r="T76" s="208" t="s">
        <v>178</v>
      </c>
      <c r="U76" s="208" t="s">
        <v>179</v>
      </c>
      <c r="V76" s="208" t="s">
        <v>180</v>
      </c>
      <c r="W76" s="209" t="s">
        <v>181</v>
      </c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</row>
    <row r="77" spans="3:46" x14ac:dyDescent="0.25">
      <c r="C77" s="213" t="s">
        <v>879</v>
      </c>
      <c r="D77" s="106">
        <v>54.153610461967979</v>
      </c>
      <c r="E77" s="106">
        <v>903.29858441148826</v>
      </c>
      <c r="F77" s="106">
        <v>56.650908359072467</v>
      </c>
      <c r="G77" s="106">
        <v>51.716533213188335</v>
      </c>
      <c r="H77" s="106">
        <v>14.572025627914378</v>
      </c>
      <c r="I77" s="106">
        <v>2.0101463857932984</v>
      </c>
      <c r="J77" s="106">
        <v>3.010468202181505E-2</v>
      </c>
      <c r="K77" s="106">
        <v>27.235127293630054</v>
      </c>
      <c r="L77" s="106">
        <v>10.37593802321638</v>
      </c>
      <c r="M77" s="106">
        <v>1.7039635490406204</v>
      </c>
      <c r="N77" s="106">
        <v>0.10574716895308452</v>
      </c>
      <c r="O77" s="106">
        <v>1.3067191608208746</v>
      </c>
      <c r="P77" s="106">
        <v>-3.2968401339151126E-3</v>
      </c>
      <c r="Q77" s="106">
        <v>2.538379529940087E-6</v>
      </c>
      <c r="R77" s="106">
        <v>0.10972196418618296</v>
      </c>
      <c r="S77" s="106">
        <v>0.1181591022643719</v>
      </c>
      <c r="T77" s="106">
        <v>0.22484843269182653</v>
      </c>
      <c r="U77" s="106">
        <v>0.20286390268120166</v>
      </c>
      <c r="V77" s="106">
        <v>0.38749524555749781</v>
      </c>
      <c r="W77" s="210">
        <v>1.4317621342059863</v>
      </c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</row>
    <row r="78" spans="3:46" x14ac:dyDescent="0.25">
      <c r="C78" s="213" t="s">
        <v>880</v>
      </c>
      <c r="D78" s="106">
        <v>53.643232200771173</v>
      </c>
      <c r="E78" s="106">
        <v>892.76240764355873</v>
      </c>
      <c r="F78" s="106">
        <v>56.614052525633134</v>
      </c>
      <c r="G78" s="106">
        <v>51.211017469179517</v>
      </c>
      <c r="H78" s="106">
        <v>14.41688986756823</v>
      </c>
      <c r="I78" s="106">
        <v>1.9809879248885924</v>
      </c>
      <c r="J78" s="106">
        <v>2.9671295548533434E-2</v>
      </c>
      <c r="K78" s="106">
        <v>26.945516186005925</v>
      </c>
      <c r="L78" s="106">
        <v>10.166461190106475</v>
      </c>
      <c r="M78" s="106">
        <v>1.6788216146872639</v>
      </c>
      <c r="N78" s="106">
        <v>0.10561694525351331</v>
      </c>
      <c r="O78" s="106">
        <v>1.2949816040256203</v>
      </c>
      <c r="P78" s="106">
        <v>-3.2407557009170164E-3</v>
      </c>
      <c r="Q78" s="106">
        <v>2.5189162527131016E-6</v>
      </c>
      <c r="R78" s="106">
        <v>0.10833369059890348</v>
      </c>
      <c r="S78" s="106">
        <v>0.11730558641407629</v>
      </c>
      <c r="T78" s="106">
        <v>0.22342441702945048</v>
      </c>
      <c r="U78" s="106">
        <v>0.20283669234048696</v>
      </c>
      <c r="V78" s="106">
        <v>0.38524761512306793</v>
      </c>
      <c r="W78" s="210">
        <v>1.4264714065946411</v>
      </c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</row>
    <row r="79" spans="3:46" x14ac:dyDescent="0.25">
      <c r="C79" s="213" t="s">
        <v>881</v>
      </c>
      <c r="D79" s="106">
        <v>53.209410678753883</v>
      </c>
      <c r="E79" s="106">
        <v>883.8066573908186</v>
      </c>
      <c r="F79" s="106">
        <v>56.582725067209701</v>
      </c>
      <c r="G79" s="106">
        <v>50.781329086772026</v>
      </c>
      <c r="H79" s="106">
        <v>14.285024471274003</v>
      </c>
      <c r="I79" s="106">
        <v>1.9562032331195918</v>
      </c>
      <c r="J79" s="106">
        <v>2.9302917046244069E-2</v>
      </c>
      <c r="K79" s="106">
        <v>26.699346744525414</v>
      </c>
      <c r="L79" s="106">
        <v>9.9884058819630557</v>
      </c>
      <c r="M79" s="106">
        <v>1.6574509704869107</v>
      </c>
      <c r="N79" s="106">
        <v>0.10550625510887778</v>
      </c>
      <c r="O79" s="106">
        <v>1.285004680749654</v>
      </c>
      <c r="P79" s="106">
        <v>-3.1930839328686341E-3</v>
      </c>
      <c r="Q79" s="106">
        <v>2.5023724670701645E-6</v>
      </c>
      <c r="R79" s="106">
        <v>0.1071536580497159</v>
      </c>
      <c r="S79" s="106">
        <v>0.11658009794132504</v>
      </c>
      <c r="T79" s="106">
        <v>0.2222140037164308</v>
      </c>
      <c r="U79" s="106">
        <v>0.20281356355087946</v>
      </c>
      <c r="V79" s="106">
        <v>0.38333712925380248</v>
      </c>
      <c r="W79" s="210">
        <v>1.4219742881249977</v>
      </c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</row>
    <row r="80" spans="3:46" x14ac:dyDescent="0.25">
      <c r="C80" s="213" t="s">
        <v>882</v>
      </c>
      <c r="D80" s="106">
        <v>52.840662385039195</v>
      </c>
      <c r="E80" s="106">
        <v>876.19426967598952</v>
      </c>
      <c r="F80" s="106">
        <v>56.556096727549786</v>
      </c>
      <c r="G80" s="106">
        <v>50.41609396172565</v>
      </c>
      <c r="H80" s="106">
        <v>14.172938884423912</v>
      </c>
      <c r="I80" s="106">
        <v>1.9351362451159415</v>
      </c>
      <c r="J80" s="106">
        <v>2.8989795319298108E-2</v>
      </c>
      <c r="K80" s="106">
        <v>26.490102719266979</v>
      </c>
      <c r="L80" s="106">
        <v>9.8370588700411492</v>
      </c>
      <c r="M80" s="106">
        <v>1.6392859229166108</v>
      </c>
      <c r="N80" s="106">
        <v>0.10541216848593757</v>
      </c>
      <c r="O80" s="106">
        <v>1.2765242959650827</v>
      </c>
      <c r="P80" s="106">
        <v>-3.1525629300275092E-3</v>
      </c>
      <c r="Q80" s="106">
        <v>2.4883102492736676E-6</v>
      </c>
      <c r="R80" s="106">
        <v>0.10615063038290647</v>
      </c>
      <c r="S80" s="106">
        <v>0.11596343273948648</v>
      </c>
      <c r="T80" s="106">
        <v>0.2211851524003641</v>
      </c>
      <c r="U80" s="106">
        <v>0.20279390407971309</v>
      </c>
      <c r="V80" s="106">
        <v>0.38171321626492682</v>
      </c>
      <c r="W80" s="210">
        <v>1.4181517374258008</v>
      </c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</row>
    <row r="81" spans="3:46" x14ac:dyDescent="0.25">
      <c r="C81" s="213" t="s">
        <v>883</v>
      </c>
      <c r="D81" s="106">
        <v>52.527226335381705</v>
      </c>
      <c r="E81" s="106">
        <v>869.72374011838485</v>
      </c>
      <c r="F81" s="106">
        <v>56.533462638838856</v>
      </c>
      <c r="G81" s="106">
        <v>50.105644105436234</v>
      </c>
      <c r="H81" s="106">
        <v>14.077666135601334</v>
      </c>
      <c r="I81" s="106">
        <v>1.9172293053128386</v>
      </c>
      <c r="J81" s="106">
        <v>2.872364185139404E-2</v>
      </c>
      <c r="K81" s="106">
        <v>26.312245297797311</v>
      </c>
      <c r="L81" s="106">
        <v>9.7084139099075291</v>
      </c>
      <c r="M81" s="106">
        <v>1.623845632481856</v>
      </c>
      <c r="N81" s="106">
        <v>0.1053321948564384</v>
      </c>
      <c r="O81" s="106">
        <v>1.2693159688981972</v>
      </c>
      <c r="P81" s="106">
        <v>-3.1181200776125529E-3</v>
      </c>
      <c r="Q81" s="106">
        <v>2.4763573641466456E-6</v>
      </c>
      <c r="R81" s="106">
        <v>0.10529805686611846</v>
      </c>
      <c r="S81" s="106">
        <v>0.1154392673179237</v>
      </c>
      <c r="T81" s="106">
        <v>0.22031062878170737</v>
      </c>
      <c r="U81" s="106">
        <v>0.20277719352922166</v>
      </c>
      <c r="V81" s="106">
        <v>0.38033289022438244</v>
      </c>
      <c r="W81" s="210">
        <v>1.4149025693314834</v>
      </c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  <c r="AM81" s="137"/>
      <c r="AN81" s="137"/>
      <c r="AO81" s="137"/>
      <c r="AP81" s="137"/>
      <c r="AQ81" s="137"/>
      <c r="AR81" s="137"/>
      <c r="AS81" s="137"/>
      <c r="AT81" s="137"/>
    </row>
    <row r="82" spans="3:46" x14ac:dyDescent="0.25">
      <c r="C82" s="213" t="s">
        <v>884</v>
      </c>
      <c r="D82" s="106">
        <v>52.260805693172841</v>
      </c>
      <c r="E82" s="106">
        <v>864.22378999442083</v>
      </c>
      <c r="F82" s="106">
        <v>56.514223663434564</v>
      </c>
      <c r="G82" s="106">
        <v>49.841761727590232</v>
      </c>
      <c r="H82" s="106">
        <v>13.996684299102142</v>
      </c>
      <c r="I82" s="106">
        <v>1.9020084064802012</v>
      </c>
      <c r="J82" s="106">
        <v>2.8497411403675579E-2</v>
      </c>
      <c r="K82" s="106">
        <v>26.161066489548091</v>
      </c>
      <c r="L82" s="106">
        <v>9.5990656937939516</v>
      </c>
      <c r="M82" s="106">
        <v>1.6107213856123144</v>
      </c>
      <c r="N82" s="106">
        <v>0.1052642172713641</v>
      </c>
      <c r="O82" s="106">
        <v>1.2631888908913445</v>
      </c>
      <c r="P82" s="106">
        <v>-3.0888436530598401E-3</v>
      </c>
      <c r="Q82" s="106">
        <v>2.4661974117886769E-6</v>
      </c>
      <c r="R82" s="106">
        <v>0.10457336937684865</v>
      </c>
      <c r="S82" s="106">
        <v>0.11499372670959535</v>
      </c>
      <c r="T82" s="106">
        <v>0.21956728370584919</v>
      </c>
      <c r="U82" s="106">
        <v>0.20276298956130395</v>
      </c>
      <c r="V82" s="106">
        <v>0.37915961308991986</v>
      </c>
      <c r="W82" s="210">
        <v>1.4121407764513134</v>
      </c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</row>
    <row r="83" spans="3:46" x14ac:dyDescent="0.25">
      <c r="C83" s="213" t="s">
        <v>885</v>
      </c>
      <c r="D83" s="106">
        <v>52.034348147295304</v>
      </c>
      <c r="E83" s="106">
        <v>859.54883238905143</v>
      </c>
      <c r="F83" s="106">
        <v>56.497870534340919</v>
      </c>
      <c r="G83" s="106">
        <v>49.617461706421125</v>
      </c>
      <c r="H83" s="106">
        <v>13.927849738077828</v>
      </c>
      <c r="I83" s="106">
        <v>1.8890706424724593</v>
      </c>
      <c r="J83" s="106">
        <v>2.830511552311489E-2</v>
      </c>
      <c r="K83" s="106">
        <v>26.032564502536253</v>
      </c>
      <c r="L83" s="106">
        <v>9.506119710097412</v>
      </c>
      <c r="M83" s="106">
        <v>1.5995657757732036</v>
      </c>
      <c r="N83" s="106">
        <v>0.10520643632405095</v>
      </c>
      <c r="O83" s="106">
        <v>1.2579808745855194</v>
      </c>
      <c r="P83" s="106">
        <v>-3.0639586921900343E-3</v>
      </c>
      <c r="Q83" s="106">
        <v>2.4575614522844035E-6</v>
      </c>
      <c r="R83" s="106">
        <v>0.10395738501096931</v>
      </c>
      <c r="S83" s="106">
        <v>0.11461501719251624</v>
      </c>
      <c r="T83" s="106">
        <v>0.21893544039136972</v>
      </c>
      <c r="U83" s="106">
        <v>0.20275091618857391</v>
      </c>
      <c r="V83" s="106">
        <v>0.37816232752562662</v>
      </c>
      <c r="W83" s="210">
        <v>1.4097932525031691</v>
      </c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</row>
    <row r="84" spans="3:46" x14ac:dyDescent="0.25">
      <c r="C84" s="213" t="s">
        <v>886</v>
      </c>
      <c r="D84" s="106">
        <v>51.841859233299395</v>
      </c>
      <c r="E84" s="106">
        <v>855.57511842448741</v>
      </c>
      <c r="F84" s="106">
        <v>56.483970374611317</v>
      </c>
      <c r="G84" s="106">
        <v>49.426806688427391</v>
      </c>
      <c r="H84" s="106">
        <v>13.869340361207163</v>
      </c>
      <c r="I84" s="106">
        <v>1.8780735430658788</v>
      </c>
      <c r="J84" s="106">
        <v>2.8141664024638302E-2</v>
      </c>
      <c r="K84" s="106">
        <v>25.923337813576197</v>
      </c>
      <c r="L84" s="106">
        <v>9.427115623955352</v>
      </c>
      <c r="M84" s="106">
        <v>1.5900835074099597</v>
      </c>
      <c r="N84" s="106">
        <v>0.10515732251883478</v>
      </c>
      <c r="O84" s="106">
        <v>1.2535540607255684</v>
      </c>
      <c r="P84" s="106">
        <v>-3.0428064754506995E-3</v>
      </c>
      <c r="Q84" s="106">
        <v>2.4502208867057707E-6</v>
      </c>
      <c r="R84" s="106">
        <v>0.10343379829997186</v>
      </c>
      <c r="S84" s="106">
        <v>0.114293114102999</v>
      </c>
      <c r="T84" s="106">
        <v>0.21839837357406217</v>
      </c>
      <c r="U84" s="106">
        <v>0.20274065382175335</v>
      </c>
      <c r="V84" s="106">
        <v>0.37731463479597727</v>
      </c>
      <c r="W84" s="210">
        <v>1.4077978571472465</v>
      </c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</row>
    <row r="85" spans="3:46" x14ac:dyDescent="0.25">
      <c r="C85" s="213" t="s">
        <v>887</v>
      </c>
      <c r="D85" s="106">
        <v>51.678243656402877</v>
      </c>
      <c r="E85" s="106">
        <v>852.19746155460803</v>
      </c>
      <c r="F85" s="106">
        <v>56.472155238841154</v>
      </c>
      <c r="G85" s="106">
        <v>49.264749923132712</v>
      </c>
      <c r="H85" s="106">
        <v>13.819607390867096</v>
      </c>
      <c r="I85" s="106">
        <v>1.8687260085702853</v>
      </c>
      <c r="J85" s="106">
        <v>2.8002730250933201E-2</v>
      </c>
      <c r="K85" s="106">
        <v>25.830495127960145</v>
      </c>
      <c r="L85" s="106">
        <v>9.3599621507346011</v>
      </c>
      <c r="M85" s="106">
        <v>1.5820235793012025</v>
      </c>
      <c r="N85" s="106">
        <v>0.10511557578440102</v>
      </c>
      <c r="O85" s="106">
        <v>1.24979126894461</v>
      </c>
      <c r="P85" s="106">
        <v>-3.0248270912222649E-3</v>
      </c>
      <c r="Q85" s="106">
        <v>2.4439814059639332E-6</v>
      </c>
      <c r="R85" s="106">
        <v>0.10298874959562403</v>
      </c>
      <c r="S85" s="106">
        <v>0.11401949647690934</v>
      </c>
      <c r="T85" s="106">
        <v>0.21794186677935076</v>
      </c>
      <c r="U85" s="106">
        <v>0.20273193080995588</v>
      </c>
      <c r="V85" s="106">
        <v>0.37659409597577542</v>
      </c>
      <c r="W85" s="210">
        <v>1.4061017710947121</v>
      </c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</row>
    <row r="86" spans="3:46" x14ac:dyDescent="0.25">
      <c r="C86" s="211" t="s">
        <v>888</v>
      </c>
      <c r="D86" s="187">
        <v>51.539170416040832</v>
      </c>
      <c r="E86" s="187">
        <v>849.32645321521056</v>
      </c>
      <c r="F86" s="187">
        <v>56.462112373436518</v>
      </c>
      <c r="G86" s="187">
        <v>49.12700167263224</v>
      </c>
      <c r="H86" s="187">
        <v>13.777334366078041</v>
      </c>
      <c r="I86" s="187">
        <v>1.8607806042490311</v>
      </c>
      <c r="J86" s="187">
        <v>2.7884636543283867E-2</v>
      </c>
      <c r="K86" s="187">
        <v>25.751578845186501</v>
      </c>
      <c r="L86" s="187">
        <v>9.3028816984969644</v>
      </c>
      <c r="M86" s="187">
        <v>1.5751726404087587</v>
      </c>
      <c r="N86" s="187">
        <v>0.10508009106013233</v>
      </c>
      <c r="O86" s="187">
        <v>1.2465928959307953</v>
      </c>
      <c r="P86" s="187">
        <v>-3.0095446146280952E-3</v>
      </c>
      <c r="Q86" s="187">
        <v>2.4386778473333713E-6</v>
      </c>
      <c r="R86" s="187">
        <v>0.10261045819692838</v>
      </c>
      <c r="S86" s="187">
        <v>0.11378692149473313</v>
      </c>
      <c r="T86" s="187">
        <v>0.21755383600384606</v>
      </c>
      <c r="U86" s="187">
        <v>0.20272451624992804</v>
      </c>
      <c r="V86" s="187">
        <v>0.37598163797860384</v>
      </c>
      <c r="W86" s="212">
        <v>1.4046600979500581</v>
      </c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</row>
    <row r="88" spans="3:46" x14ac:dyDescent="0.25">
      <c r="C88" s="207" t="s">
        <v>853</v>
      </c>
      <c r="D88" s="208" t="s">
        <v>776</v>
      </c>
      <c r="E88" s="208" t="s">
        <v>156</v>
      </c>
      <c r="F88" s="208" t="s">
        <v>164</v>
      </c>
      <c r="G88" s="208" t="s">
        <v>165</v>
      </c>
      <c r="H88" s="208" t="s">
        <v>166</v>
      </c>
      <c r="I88" s="208" t="s">
        <v>167</v>
      </c>
      <c r="J88" s="208" t="s">
        <v>168</v>
      </c>
      <c r="K88" s="208" t="s">
        <v>169</v>
      </c>
      <c r="L88" s="208" t="s">
        <v>170</v>
      </c>
      <c r="M88" s="208" t="s">
        <v>171</v>
      </c>
      <c r="N88" s="208" t="s">
        <v>172</v>
      </c>
      <c r="O88" s="208" t="s">
        <v>173</v>
      </c>
      <c r="P88" s="208" t="s">
        <v>174</v>
      </c>
      <c r="Q88" s="208" t="s">
        <v>175</v>
      </c>
      <c r="R88" s="208" t="s">
        <v>176</v>
      </c>
      <c r="S88" s="208" t="s">
        <v>177</v>
      </c>
      <c r="T88" s="208" t="s">
        <v>178</v>
      </c>
      <c r="U88" s="208" t="s">
        <v>179</v>
      </c>
      <c r="V88" s="208" t="s">
        <v>180</v>
      </c>
      <c r="W88" s="209" t="s">
        <v>181</v>
      </c>
      <c r="X88" s="137"/>
    </row>
    <row r="89" spans="3:46" x14ac:dyDescent="0.25">
      <c r="C89" s="213" t="s">
        <v>859</v>
      </c>
      <c r="D89" s="106">
        <v>54.655121659977908</v>
      </c>
      <c r="E89" s="106">
        <v>913.65171077885736</v>
      </c>
      <c r="F89" s="106">
        <v>56.687123877222618</v>
      </c>
      <c r="G89" s="106">
        <v>52.213266373014243</v>
      </c>
      <c r="H89" s="106">
        <v>14.724466135162739</v>
      </c>
      <c r="I89" s="106">
        <v>2.0387982618080689</v>
      </c>
      <c r="J89" s="106">
        <v>3.0530539049712528E-2</v>
      </c>
      <c r="K89" s="106">
        <v>27.519706839006798</v>
      </c>
      <c r="L89" s="106">
        <v>10.58177550791239</v>
      </c>
      <c r="M89" s="106">
        <v>1.7286686796789659</v>
      </c>
      <c r="N89" s="106">
        <v>0.10587513020956144</v>
      </c>
      <c r="O89" s="106">
        <v>1.3182527950244436</v>
      </c>
      <c r="P89" s="106">
        <v>-3.3519501833059839E-3</v>
      </c>
      <c r="Q89" s="106">
        <v>2.5575046616735889E-6</v>
      </c>
      <c r="R89" s="106">
        <v>0.11108611858470584</v>
      </c>
      <c r="S89" s="106">
        <v>0.11899778954622919</v>
      </c>
      <c r="T89" s="106">
        <v>0.22624770820005147</v>
      </c>
      <c r="U89" s="106">
        <v>0.20289064028271725</v>
      </c>
      <c r="V89" s="106">
        <v>0.38970382675610005</v>
      </c>
      <c r="W89" s="210">
        <v>1.4369609432941477</v>
      </c>
      <c r="X89" s="137"/>
    </row>
    <row r="90" spans="3:46" x14ac:dyDescent="0.25">
      <c r="C90" s="213" t="s">
        <v>860</v>
      </c>
      <c r="D90" s="106">
        <v>54.610601443154657</v>
      </c>
      <c r="E90" s="106">
        <v>912.73264170821085</v>
      </c>
      <c r="F90" s="106">
        <v>56.683908948569361</v>
      </c>
      <c r="G90" s="106">
        <v>52.169170312813584</v>
      </c>
      <c r="H90" s="106">
        <v>14.710933666770659</v>
      </c>
      <c r="I90" s="106">
        <v>2.0362547737710472</v>
      </c>
      <c r="J90" s="106">
        <v>3.0492734814646719E-2</v>
      </c>
      <c r="K90" s="106">
        <v>27.494444106860616</v>
      </c>
      <c r="L90" s="106">
        <v>10.563502876143879</v>
      </c>
      <c r="M90" s="106">
        <v>1.7264755526320914</v>
      </c>
      <c r="N90" s="106">
        <v>0.10586377081637952</v>
      </c>
      <c r="O90" s="106">
        <v>1.3172289297597386</v>
      </c>
      <c r="P90" s="106">
        <v>-3.347057946885825E-3</v>
      </c>
      <c r="Q90" s="106">
        <v>2.5558068830099669E-6</v>
      </c>
      <c r="R90" s="106">
        <v>0.1109650196943049</v>
      </c>
      <c r="S90" s="106">
        <v>0.11892333749055553</v>
      </c>
      <c r="T90" s="106">
        <v>0.22612349153396535</v>
      </c>
      <c r="U90" s="106">
        <v>0.20288826672890323</v>
      </c>
      <c r="V90" s="106">
        <v>0.38950776630077277</v>
      </c>
      <c r="W90" s="210">
        <v>1.4364994339425199</v>
      </c>
      <c r="X90" s="137"/>
    </row>
    <row r="91" spans="3:46" x14ac:dyDescent="0.25">
      <c r="C91" s="213" t="s">
        <v>861</v>
      </c>
      <c r="D91" s="106">
        <v>54.568307237172561</v>
      </c>
      <c r="E91" s="106">
        <v>911.85952609109654</v>
      </c>
      <c r="F91" s="106">
        <v>56.680854766348766</v>
      </c>
      <c r="G91" s="106">
        <v>52.127279055622964</v>
      </c>
      <c r="H91" s="106">
        <v>14.698077821798181</v>
      </c>
      <c r="I91" s="106">
        <v>2.0338384601358772</v>
      </c>
      <c r="J91" s="106">
        <v>3.0456820791334202E-2</v>
      </c>
      <c r="K91" s="106">
        <v>27.470444511321741</v>
      </c>
      <c r="L91" s="106">
        <v>10.546143875963796</v>
      </c>
      <c r="M91" s="106">
        <v>1.7243920819375607</v>
      </c>
      <c r="N91" s="106">
        <v>0.10585297939285669</v>
      </c>
      <c r="O91" s="106">
        <v>1.3162562577582688</v>
      </c>
      <c r="P91" s="106">
        <v>-3.3424103222866736E-3</v>
      </c>
      <c r="Q91" s="106">
        <v>2.5541939932795257E-6</v>
      </c>
      <c r="R91" s="106">
        <v>0.11084997574842405</v>
      </c>
      <c r="S91" s="106">
        <v>0.11885260803766556</v>
      </c>
      <c r="T91" s="106">
        <v>0.22600548570118356</v>
      </c>
      <c r="U91" s="106">
        <v>0.20288601185277993</v>
      </c>
      <c r="V91" s="106">
        <v>0.38932150886821193</v>
      </c>
      <c r="W91" s="210">
        <v>1.4360610000584735</v>
      </c>
      <c r="X91" s="137"/>
    </row>
    <row r="92" spans="3:46" x14ac:dyDescent="0.25">
      <c r="C92" s="213" t="s">
        <v>862</v>
      </c>
      <c r="D92" s="106">
        <v>54.528127741489577</v>
      </c>
      <c r="E92" s="106">
        <v>911.03006625483806</v>
      </c>
      <c r="F92" s="106">
        <v>56.677953293239206</v>
      </c>
      <c r="G92" s="106">
        <v>52.087482361291869</v>
      </c>
      <c r="H92" s="106">
        <v>14.685864769074328</v>
      </c>
      <c r="I92" s="106">
        <v>2.0315429621824652</v>
      </c>
      <c r="J92" s="106">
        <v>3.042270246918731E-2</v>
      </c>
      <c r="K92" s="106">
        <v>27.447644895559812</v>
      </c>
      <c r="L92" s="106">
        <v>10.529652825792716</v>
      </c>
      <c r="M92" s="106">
        <v>1.7224127847777564</v>
      </c>
      <c r="N92" s="106">
        <v>0.10584272754051002</v>
      </c>
      <c r="O92" s="106">
        <v>1.3153322193568724</v>
      </c>
      <c r="P92" s="106">
        <v>-3.33799507891748E-3</v>
      </c>
      <c r="Q92" s="106">
        <v>2.5526617480356066E-6</v>
      </c>
      <c r="R92" s="106">
        <v>0.11074068399983723</v>
      </c>
      <c r="S92" s="106">
        <v>0.1187854150574201</v>
      </c>
      <c r="T92" s="106">
        <v>0.22589338016004085</v>
      </c>
      <c r="U92" s="106">
        <v>0.20288386972046277</v>
      </c>
      <c r="V92" s="106">
        <v>0.38914456430727906</v>
      </c>
      <c r="W92" s="210">
        <v>1.4356444878686294</v>
      </c>
      <c r="X92" s="137"/>
    </row>
    <row r="93" spans="3:46" x14ac:dyDescent="0.25">
      <c r="C93" s="213" t="s">
        <v>863</v>
      </c>
      <c r="D93" s="106">
        <v>54.489957220590739</v>
      </c>
      <c r="E93" s="106">
        <v>910.24207941039242</v>
      </c>
      <c r="F93" s="106">
        <v>56.67519689378512</v>
      </c>
      <c r="G93" s="106">
        <v>52.049675501677328</v>
      </c>
      <c r="H93" s="106">
        <v>14.674262368986669</v>
      </c>
      <c r="I93" s="106">
        <v>2.0293622391267236</v>
      </c>
      <c r="J93" s="106">
        <v>3.0390290063147765E-2</v>
      </c>
      <c r="K93" s="106">
        <v>27.425985260585978</v>
      </c>
      <c r="L93" s="106">
        <v>10.513986328130187</v>
      </c>
      <c r="M93" s="106">
        <v>1.7205324524759424</v>
      </c>
      <c r="N93" s="106">
        <v>0.10583298828078067</v>
      </c>
      <c r="O93" s="106">
        <v>1.3144543828755457</v>
      </c>
      <c r="P93" s="106">
        <v>-3.3338005977167459E-3</v>
      </c>
      <c r="Q93" s="106">
        <v>2.5512061150538837E-6</v>
      </c>
      <c r="R93" s="106">
        <v>0.11063685683867976</v>
      </c>
      <c r="S93" s="106">
        <v>0.11872158172618691</v>
      </c>
      <c r="T93" s="106">
        <v>0.22578687989595525</v>
      </c>
      <c r="U93" s="106">
        <v>0.20288183469476148</v>
      </c>
      <c r="V93" s="106">
        <v>0.38897646697439292</v>
      </c>
      <c r="W93" s="210">
        <v>1.4352488012882774</v>
      </c>
      <c r="X93" s="137"/>
    </row>
    <row r="94" spans="3:46" x14ac:dyDescent="0.25">
      <c r="C94" s="213" t="s">
        <v>864</v>
      </c>
      <c r="D94" s="106">
        <v>54.453695225736844</v>
      </c>
      <c r="E94" s="106">
        <v>909.49349190816918</v>
      </c>
      <c r="F94" s="106">
        <v>56.672578314303735</v>
      </c>
      <c r="G94" s="106">
        <v>52.013758985043516</v>
      </c>
      <c r="H94" s="106">
        <v>14.663240088903391</v>
      </c>
      <c r="I94" s="106">
        <v>2.0272905522237696</v>
      </c>
      <c r="J94" s="106">
        <v>3.0359498277410198E-2</v>
      </c>
      <c r="K94" s="106">
        <v>27.40540860736084</v>
      </c>
      <c r="L94" s="106">
        <v>10.499103155350788</v>
      </c>
      <c r="M94" s="106">
        <v>1.7187461367892194</v>
      </c>
      <c r="N94" s="106">
        <v>0.1058237359840378</v>
      </c>
      <c r="O94" s="106">
        <v>1.3136204382182857</v>
      </c>
      <c r="P94" s="106">
        <v>-3.3298158405760487E-3</v>
      </c>
      <c r="Q94" s="106">
        <v>2.5498232637212468E-6</v>
      </c>
      <c r="R94" s="106">
        <v>0.11053822103558013</v>
      </c>
      <c r="S94" s="106">
        <v>0.11866094006151538</v>
      </c>
      <c r="T94" s="106">
        <v>0.22568570464507398</v>
      </c>
      <c r="U94" s="106">
        <v>0.20287990142034526</v>
      </c>
      <c r="V94" s="106">
        <v>0.38881677450815105</v>
      </c>
      <c r="W94" s="210">
        <v>1.434872899036943</v>
      </c>
      <c r="X94" s="137"/>
    </row>
    <row r="95" spans="3:46" x14ac:dyDescent="0.25">
      <c r="C95" s="213" t="s">
        <v>865</v>
      </c>
      <c r="D95" s="106">
        <v>54.41924633062564</v>
      </c>
      <c r="E95" s="106">
        <v>908.78233378105699</v>
      </c>
      <c r="F95" s="106">
        <v>56.670090663796422</v>
      </c>
      <c r="G95" s="106">
        <v>51.979638294241397</v>
      </c>
      <c r="H95" s="106">
        <v>14.652768922824277</v>
      </c>
      <c r="I95" s="106">
        <v>2.0253224496659632</v>
      </c>
      <c r="J95" s="106">
        <v>3.0330246080959501E-2</v>
      </c>
      <c r="K95" s="106">
        <v>27.385860786796954</v>
      </c>
      <c r="L95" s="106">
        <v>10.484964141210359</v>
      </c>
      <c r="M95" s="106">
        <v>1.7170491368868319</v>
      </c>
      <c r="N95" s="106">
        <v>0.10581494630213206</v>
      </c>
      <c r="O95" s="106">
        <v>1.3128281907938883</v>
      </c>
      <c r="P95" s="106">
        <v>-3.3260303212923861E-3</v>
      </c>
      <c r="Q95" s="106">
        <v>2.5485095549552418E-6</v>
      </c>
      <c r="R95" s="106">
        <v>0.11044451702263551</v>
      </c>
      <c r="S95" s="106">
        <v>0.11860333048007743</v>
      </c>
      <c r="T95" s="106">
        <v>0.22558958815673674</v>
      </c>
      <c r="U95" s="106">
        <v>0.20287806480964984</v>
      </c>
      <c r="V95" s="106">
        <v>0.38866506666522127</v>
      </c>
      <c r="W95" s="210">
        <v>1.4345157918981757</v>
      </c>
      <c r="X95" s="137"/>
    </row>
    <row r="96" spans="3:46" x14ac:dyDescent="0.25">
      <c r="C96" s="213" t="s">
        <v>866</v>
      </c>
      <c r="D96" s="106">
        <v>54.386519880270001</v>
      </c>
      <c r="E96" s="106">
        <v>908.10673356030043</v>
      </c>
      <c r="F96" s="106">
        <v>56.667727395814474</v>
      </c>
      <c r="G96" s="106">
        <v>51.947223637979384</v>
      </c>
      <c r="H96" s="106">
        <v>14.642821315049121</v>
      </c>
      <c r="I96" s="106">
        <v>2.0234527522360466</v>
      </c>
      <c r="J96" s="106">
        <v>3.0302456494331345E-2</v>
      </c>
      <c r="K96" s="106">
        <v>27.367290357261265</v>
      </c>
      <c r="L96" s="106">
        <v>10.471532077776949</v>
      </c>
      <c r="M96" s="106">
        <v>1.7154369869795643</v>
      </c>
      <c r="N96" s="106">
        <v>0.10580659610432161</v>
      </c>
      <c r="O96" s="106">
        <v>1.3120755557407111</v>
      </c>
      <c r="P96" s="106">
        <v>-3.3224340779729072E-3</v>
      </c>
      <c r="Q96" s="106">
        <v>2.5472615316275371E-6</v>
      </c>
      <c r="R96" s="106">
        <v>0.11035549821033812</v>
      </c>
      <c r="S96" s="106">
        <v>0.11854860137771137</v>
      </c>
      <c r="T96" s="106">
        <v>0.22549827749281637</v>
      </c>
      <c r="U96" s="106">
        <v>0.20287632002948919</v>
      </c>
      <c r="V96" s="106">
        <v>0.38852094421443795</v>
      </c>
      <c r="W96" s="210">
        <v>1.4341765401163464</v>
      </c>
      <c r="X96" s="137"/>
    </row>
    <row r="97" spans="3:24" x14ac:dyDescent="0.25">
      <c r="C97" s="213" t="s">
        <v>867</v>
      </c>
      <c r="D97" s="106">
        <v>54.355429752432144</v>
      </c>
      <c r="E97" s="106">
        <v>907.46491335058181</v>
      </c>
      <c r="F97" s="106">
        <v>56.665482291231626</v>
      </c>
      <c r="G97" s="106">
        <v>51.916429714530473</v>
      </c>
      <c r="H97" s="106">
        <v>14.63337108766272</v>
      </c>
      <c r="I97" s="106">
        <v>2.0216765396776264</v>
      </c>
      <c r="J97" s="106">
        <v>3.0276056387034594E-2</v>
      </c>
      <c r="K97" s="106">
        <v>27.349648449202359</v>
      </c>
      <c r="L97" s="106">
        <v>10.458771617515211</v>
      </c>
      <c r="M97" s="106">
        <v>1.71390544456766</v>
      </c>
      <c r="N97" s="106">
        <v>0.10579866341640169</v>
      </c>
      <c r="O97" s="106">
        <v>1.3113605524401928</v>
      </c>
      <c r="P97" s="106">
        <v>-3.3190176468194019E-3</v>
      </c>
      <c r="Q97" s="106">
        <v>2.5460759094662178E-6</v>
      </c>
      <c r="R97" s="106">
        <v>0.11027093033865558</v>
      </c>
      <c r="S97" s="106">
        <v>0.11849660873046361</v>
      </c>
      <c r="T97" s="106">
        <v>0.22541153236209199</v>
      </c>
      <c r="U97" s="106">
        <v>0.20287466248833658</v>
      </c>
      <c r="V97" s="106">
        <v>0.38838402788619386</v>
      </c>
      <c r="W97" s="210">
        <v>1.4338542509236087</v>
      </c>
      <c r="X97" s="137"/>
    </row>
    <row r="98" spans="3:24" x14ac:dyDescent="0.25">
      <c r="C98" s="211" t="s">
        <v>868</v>
      </c>
      <c r="D98" s="187">
        <v>54.325894130986178</v>
      </c>
      <c r="E98" s="187">
        <v>906.85518415134902</v>
      </c>
      <c r="F98" s="187">
        <v>56.663349441877919</v>
      </c>
      <c r="G98" s="187">
        <v>51.887175487253998</v>
      </c>
      <c r="H98" s="187">
        <v>14.62439337164564</v>
      </c>
      <c r="I98" s="187">
        <v>2.0199891377471269</v>
      </c>
      <c r="J98" s="187">
        <v>3.0250976285102683E-2</v>
      </c>
      <c r="K98" s="187">
        <v>27.3328886365464</v>
      </c>
      <c r="L98" s="187">
        <v>10.446649180266562</v>
      </c>
      <c r="M98" s="187">
        <v>1.7124504792763511</v>
      </c>
      <c r="N98" s="187">
        <v>0.10579112736287777</v>
      </c>
      <c r="O98" s="187">
        <v>1.3106812993047001</v>
      </c>
      <c r="P98" s="187">
        <v>-3.3157720372235717E-3</v>
      </c>
      <c r="Q98" s="187">
        <v>2.5449495684129644E-6</v>
      </c>
      <c r="R98" s="187">
        <v>0.1101905908605572</v>
      </c>
      <c r="S98" s="187">
        <v>0.11844721571557823</v>
      </c>
      <c r="T98" s="187">
        <v>0.22532912448790388</v>
      </c>
      <c r="U98" s="187">
        <v>0.2028730878242416</v>
      </c>
      <c r="V98" s="187">
        <v>0.38825395737436191</v>
      </c>
      <c r="W98" s="212">
        <v>1.4335480761905077</v>
      </c>
      <c r="X98" s="137"/>
    </row>
    <row r="99" spans="3:24" x14ac:dyDescent="0.25"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</row>
    <row r="100" spans="3:24" x14ac:dyDescent="0.25">
      <c r="C100" s="207" t="s">
        <v>853</v>
      </c>
      <c r="D100" s="208" t="s">
        <v>776</v>
      </c>
      <c r="E100" s="208" t="s">
        <v>156</v>
      </c>
      <c r="F100" s="208" t="s">
        <v>164</v>
      </c>
      <c r="G100" s="208" t="s">
        <v>165</v>
      </c>
      <c r="H100" s="208" t="s">
        <v>166</v>
      </c>
      <c r="I100" s="208" t="s">
        <v>167</v>
      </c>
      <c r="J100" s="208" t="s">
        <v>168</v>
      </c>
      <c r="K100" s="208" t="s">
        <v>169</v>
      </c>
      <c r="L100" s="208" t="s">
        <v>170</v>
      </c>
      <c r="M100" s="208" t="s">
        <v>171</v>
      </c>
      <c r="N100" s="208" t="s">
        <v>172</v>
      </c>
      <c r="O100" s="208" t="s">
        <v>173</v>
      </c>
      <c r="P100" s="208" t="s">
        <v>174</v>
      </c>
      <c r="Q100" s="208" t="s">
        <v>175</v>
      </c>
      <c r="R100" s="208" t="s">
        <v>176</v>
      </c>
      <c r="S100" s="208" t="s">
        <v>177</v>
      </c>
      <c r="T100" s="208" t="s">
        <v>178</v>
      </c>
      <c r="U100" s="208" t="s">
        <v>179</v>
      </c>
      <c r="V100" s="208" t="s">
        <v>180</v>
      </c>
      <c r="W100" s="209" t="s">
        <v>181</v>
      </c>
      <c r="X100" s="137"/>
    </row>
    <row r="101" spans="3:24" x14ac:dyDescent="0.25">
      <c r="C101" s="213" t="s">
        <v>869</v>
      </c>
      <c r="D101" s="106">
        <v>54.704588567559298</v>
      </c>
      <c r="E101" s="106">
        <v>914.67289863513133</v>
      </c>
      <c r="F101" s="106">
        <v>56.690696020170677</v>
      </c>
      <c r="G101" s="106">
        <v>52.262261995459419</v>
      </c>
      <c r="H101" s="106">
        <v>14.73950221115394</v>
      </c>
      <c r="I101" s="106">
        <v>2.0416243596269816</v>
      </c>
      <c r="J101" s="106">
        <v>3.0572543755341207E-2</v>
      </c>
      <c r="K101" s="106">
        <v>27.547776541391443</v>
      </c>
      <c r="L101" s="106">
        <v>10.602078432099624</v>
      </c>
      <c r="M101" s="106">
        <v>1.7311054875088261</v>
      </c>
      <c r="N101" s="106">
        <v>0.10588775175754134</v>
      </c>
      <c r="O101" s="106">
        <v>1.319390423096338</v>
      </c>
      <c r="P101" s="106">
        <v>-3.3573860015506051E-3</v>
      </c>
      <c r="Q101" s="106">
        <v>2.5593910824109466E-6</v>
      </c>
      <c r="R101" s="106">
        <v>0.11122067290737352</v>
      </c>
      <c r="S101" s="106">
        <v>0.11908051405253323</v>
      </c>
      <c r="T101" s="106">
        <v>0.22638572671792492</v>
      </c>
      <c r="U101" s="106">
        <v>0.20289327756473283</v>
      </c>
      <c r="V101" s="106">
        <v>0.38992167170646364</v>
      </c>
      <c r="W101" s="210">
        <v>1.4374737314626231</v>
      </c>
      <c r="X101" s="137"/>
    </row>
    <row r="102" spans="3:24" x14ac:dyDescent="0.25">
      <c r="C102" s="213" t="s">
        <v>870</v>
      </c>
      <c r="D102" s="106">
        <v>54.657595005356981</v>
      </c>
      <c r="E102" s="106">
        <v>913.70277017167109</v>
      </c>
      <c r="F102" s="106">
        <v>56.687302484370022</v>
      </c>
      <c r="G102" s="106">
        <v>52.215716154136501</v>
      </c>
      <c r="H102" s="106">
        <v>14.725217938962299</v>
      </c>
      <c r="I102" s="106">
        <v>2.0389395666990144</v>
      </c>
      <c r="J102" s="106">
        <v>3.0532639284993966E-2</v>
      </c>
      <c r="K102" s="106">
        <v>27.521110324126028</v>
      </c>
      <c r="L102" s="106">
        <v>10.582790654121752</v>
      </c>
      <c r="M102" s="106">
        <v>1.7287905200704587</v>
      </c>
      <c r="N102" s="106">
        <v>0.10587576128696043</v>
      </c>
      <c r="O102" s="106">
        <v>1.3183096764280382</v>
      </c>
      <c r="P102" s="106">
        <v>-3.3522219742182151E-3</v>
      </c>
      <c r="Q102" s="106">
        <v>2.5575989827104567E-6</v>
      </c>
      <c r="R102" s="106">
        <v>0.11109284630083921</v>
      </c>
      <c r="S102" s="106">
        <v>0.11900192577154439</v>
      </c>
      <c r="T102" s="106">
        <v>0.22625460912594514</v>
      </c>
      <c r="U102" s="106">
        <v>0.20289077214681803</v>
      </c>
      <c r="V102" s="106">
        <v>0.3897147190036182</v>
      </c>
      <c r="W102" s="210">
        <v>1.4369865827025714</v>
      </c>
      <c r="X102" s="137"/>
    </row>
    <row r="103" spans="3:24" x14ac:dyDescent="0.25">
      <c r="C103" s="213" t="s">
        <v>871</v>
      </c>
      <c r="D103" s="106">
        <v>54.612951121264771</v>
      </c>
      <c r="E103" s="106">
        <v>912.78114813138382</v>
      </c>
      <c r="F103" s="106">
        <v>56.68407862535939</v>
      </c>
      <c r="G103" s="106">
        <v>52.171497604879733</v>
      </c>
      <c r="H103" s="106">
        <v>14.711647880380241</v>
      </c>
      <c r="I103" s="106">
        <v>2.0363890134174456</v>
      </c>
      <c r="J103" s="106">
        <v>3.0494730038164081E-2</v>
      </c>
      <c r="K103" s="106">
        <v>27.495777417723886</v>
      </c>
      <c r="L103" s="106">
        <v>10.564467265042772</v>
      </c>
      <c r="M103" s="106">
        <v>1.7265913010040097</v>
      </c>
      <c r="N103" s="106">
        <v>0.10586437033990856</v>
      </c>
      <c r="O103" s="106">
        <v>1.3172829670931536</v>
      </c>
      <c r="P103" s="106">
        <v>-3.3473161482524445E-3</v>
      </c>
      <c r="Q103" s="106">
        <v>2.555896487994991E-6</v>
      </c>
      <c r="R103" s="106">
        <v>0.11097141102463164</v>
      </c>
      <c r="S103" s="106">
        <v>0.11892726690460498</v>
      </c>
      <c r="T103" s="106">
        <v>0.22613004741356435</v>
      </c>
      <c r="U103" s="106">
        <v>0.20288839199979897</v>
      </c>
      <c r="V103" s="106">
        <v>0.38951811393591507</v>
      </c>
      <c r="W103" s="210">
        <v>1.4365237913805224</v>
      </c>
      <c r="X103" s="137"/>
    </row>
    <row r="104" spans="3:24" x14ac:dyDescent="0.25">
      <c r="C104" s="213" t="s">
        <v>872</v>
      </c>
      <c r="D104" s="106">
        <v>54.570539431377171</v>
      </c>
      <c r="E104" s="106">
        <v>911.90560719311088</v>
      </c>
      <c r="F104" s="106">
        <v>56.681015959299302</v>
      </c>
      <c r="G104" s="106">
        <v>52.129489983085804</v>
      </c>
      <c r="H104" s="106">
        <v>14.698756324727285</v>
      </c>
      <c r="I104" s="106">
        <v>2.0339659877999554</v>
      </c>
      <c r="J104" s="106">
        <v>3.0458716253675695E-2</v>
      </c>
      <c r="K104" s="106">
        <v>27.471711156641849</v>
      </c>
      <c r="L104" s="106">
        <v>10.547060045417744</v>
      </c>
      <c r="M104" s="106">
        <v>1.724502042890883</v>
      </c>
      <c r="N104" s="106">
        <v>0.10585354894020929</v>
      </c>
      <c r="O104" s="106">
        <v>1.3163075932250128</v>
      </c>
      <c r="P104" s="106">
        <v>-3.3426556135849623E-3</v>
      </c>
      <c r="Q104" s="106">
        <v>2.5542791180152988E-6</v>
      </c>
      <c r="R104" s="106">
        <v>0.11085604751223442</v>
      </c>
      <c r="S104" s="106">
        <v>0.11885634098101255</v>
      </c>
      <c r="T104" s="106">
        <v>0.22601171378680257</v>
      </c>
      <c r="U104" s="106">
        <v>0.20288613086013088</v>
      </c>
      <c r="V104" s="106">
        <v>0.38933133912159712</v>
      </c>
      <c r="W104" s="210">
        <v>1.4360841396245758</v>
      </c>
      <c r="X104" s="137"/>
    </row>
    <row r="105" spans="3:24" x14ac:dyDescent="0.25">
      <c r="C105" s="213" t="s">
        <v>873</v>
      </c>
      <c r="D105" s="106">
        <v>54.530248325983955</v>
      </c>
      <c r="E105" s="106">
        <v>911.07384330175171</v>
      </c>
      <c r="F105" s="106">
        <v>56.678106426542207</v>
      </c>
      <c r="G105" s="106">
        <v>52.089582742381566</v>
      </c>
      <c r="H105" s="106">
        <v>14.686509346856976</v>
      </c>
      <c r="I105" s="106">
        <v>2.0316641134633397</v>
      </c>
      <c r="J105" s="106">
        <v>3.0424503158411734E-2</v>
      </c>
      <c r="K105" s="106">
        <v>27.448848208613914</v>
      </c>
      <c r="L105" s="106">
        <v>10.530523186773966</v>
      </c>
      <c r="M105" s="106">
        <v>1.7225172476834127</v>
      </c>
      <c r="N105" s="106">
        <v>0.10584326861049498</v>
      </c>
      <c r="O105" s="106">
        <v>1.3153809880502794</v>
      </c>
      <c r="P105" s="106">
        <v>-3.3382281056508543E-3</v>
      </c>
      <c r="Q105" s="106">
        <v>2.5527426165345914E-6</v>
      </c>
      <c r="R105" s="106">
        <v>0.11074645217545707</v>
      </c>
      <c r="S105" s="106">
        <v>0.11878896135359973</v>
      </c>
      <c r="T105" s="106">
        <v>0.22589929684137894</v>
      </c>
      <c r="U105" s="106">
        <v>0.20288398277744618</v>
      </c>
      <c r="V105" s="106">
        <v>0.38915390304799502</v>
      </c>
      <c r="W105" s="210">
        <v>1.4356664704564266</v>
      </c>
      <c r="X105" s="137"/>
    </row>
    <row r="106" spans="3:24" x14ac:dyDescent="0.25">
      <c r="C106" s="213" t="s">
        <v>874</v>
      </c>
      <c r="D106" s="106">
        <v>54.491971775860399</v>
      </c>
      <c r="E106" s="106">
        <v>910.28366760496044</v>
      </c>
      <c r="F106" s="106">
        <v>56.675342370422975</v>
      </c>
      <c r="G106" s="106">
        <v>52.051670863712545</v>
      </c>
      <c r="H106" s="106">
        <v>14.674874717880185</v>
      </c>
      <c r="I106" s="106">
        <v>2.0294773328435545</v>
      </c>
      <c r="J106" s="106">
        <v>3.0392000717910962E-2</v>
      </c>
      <c r="K106" s="106">
        <v>27.427128407987375</v>
      </c>
      <c r="L106" s="106">
        <v>10.514813171062379</v>
      </c>
      <c r="M106" s="106">
        <v>1.7206316922363158</v>
      </c>
      <c r="N106" s="106">
        <v>0.10583350229726639</v>
      </c>
      <c r="O106" s="106">
        <v>1.3145007131342825</v>
      </c>
      <c r="P106" s="106">
        <v>-3.3340219731134513E-3</v>
      </c>
      <c r="Q106" s="106">
        <v>2.5512829401279193E-6</v>
      </c>
      <c r="R106" s="106">
        <v>0.1106423366055186</v>
      </c>
      <c r="S106" s="106">
        <v>0.11872495070755756</v>
      </c>
      <c r="T106" s="106">
        <v>0.22579250074322643</v>
      </c>
      <c r="U106" s="106">
        <v>0.20288194209889571</v>
      </c>
      <c r="V106" s="106">
        <v>0.38898533877807306</v>
      </c>
      <c r="W106" s="210">
        <v>1.435269684746685</v>
      </c>
      <c r="X106" s="137"/>
    </row>
    <row r="107" spans="3:24" x14ac:dyDescent="0.25">
      <c r="C107" s="213" t="s">
        <v>875</v>
      </c>
      <c r="D107" s="106">
        <v>54.455609053243023</v>
      </c>
      <c r="E107" s="106">
        <v>909.53300069300872</v>
      </c>
      <c r="F107" s="106">
        <v>56.672716517109698</v>
      </c>
      <c r="G107" s="106">
        <v>52.015654578976971</v>
      </c>
      <c r="H107" s="106">
        <v>14.663821820352231</v>
      </c>
      <c r="I107" s="106">
        <v>2.0273998912547588</v>
      </c>
      <c r="J107" s="106">
        <v>3.0361123399435232E-2</v>
      </c>
      <c r="K107" s="106">
        <v>27.406494597392165</v>
      </c>
      <c r="L107" s="106">
        <v>10.499888656136367</v>
      </c>
      <c r="M107" s="106">
        <v>1.7188404145615741</v>
      </c>
      <c r="N107" s="106">
        <v>0.10582422429969923</v>
      </c>
      <c r="O107" s="106">
        <v>1.3136644519640854</v>
      </c>
      <c r="P107" s="106">
        <v>-3.3300261472029185E-3</v>
      </c>
      <c r="Q107" s="106">
        <v>2.5498962475415806E-6</v>
      </c>
      <c r="R107" s="106">
        <v>0.11054342681407707</v>
      </c>
      <c r="S107" s="106">
        <v>0.1186641405938175</v>
      </c>
      <c r="T107" s="106">
        <v>0.22569104444998159</v>
      </c>
      <c r="U107" s="106">
        <v>0.20288000345427279</v>
      </c>
      <c r="V107" s="106">
        <v>0.38882520272164711</v>
      </c>
      <c r="W107" s="210">
        <v>1.4348927383224304</v>
      </c>
      <c r="X107" s="137"/>
    </row>
    <row r="108" spans="3:24" x14ac:dyDescent="0.25">
      <c r="C108" s="213" t="s">
        <v>876</v>
      </c>
      <c r="D108" s="106">
        <v>54.421064466756512</v>
      </c>
      <c r="E108" s="106">
        <v>908.81986712665457</v>
      </c>
      <c r="F108" s="106">
        <v>56.670221956462086</v>
      </c>
      <c r="G108" s="106">
        <v>51.981439108478178</v>
      </c>
      <c r="H108" s="106">
        <v>14.653321567700676</v>
      </c>
      <c r="I108" s="106">
        <v>2.0254263217454027</v>
      </c>
      <c r="J108" s="106">
        <v>3.0331789946883285E-2</v>
      </c>
      <c r="K108" s="106">
        <v>27.386892477326715</v>
      </c>
      <c r="L108" s="106">
        <v>10.48571036695666</v>
      </c>
      <c r="M108" s="106">
        <v>1.7171387007705694</v>
      </c>
      <c r="N108" s="106">
        <v>0.10581541020201042</v>
      </c>
      <c r="O108" s="106">
        <v>1.3128700038523982</v>
      </c>
      <c r="P108" s="106">
        <v>-3.3262301125879128E-3</v>
      </c>
      <c r="Q108" s="106">
        <v>2.5485788895845591E-6</v>
      </c>
      <c r="R108" s="106">
        <v>0.11044946251220759</v>
      </c>
      <c r="S108" s="106">
        <v>0.11860637098576443</v>
      </c>
      <c r="T108" s="106">
        <v>0.22559466097139896</v>
      </c>
      <c r="U108" s="106">
        <v>0.202878161741881</v>
      </c>
      <c r="V108" s="106">
        <v>0.38867307346804258</v>
      </c>
      <c r="W108" s="210">
        <v>1.4345346392193883</v>
      </c>
      <c r="X108" s="137"/>
    </row>
    <row r="109" spans="3:24" x14ac:dyDescent="0.25">
      <c r="C109" s="213" t="s">
        <v>878</v>
      </c>
      <c r="D109" s="106">
        <v>54.388247109594325</v>
      </c>
      <c r="E109" s="106">
        <v>908.14239023861819</v>
      </c>
      <c r="F109" s="106">
        <v>56.667852123846856</v>
      </c>
      <c r="G109" s="106">
        <v>51.948934411504325</v>
      </c>
      <c r="H109" s="106">
        <v>14.643346327681698</v>
      </c>
      <c r="I109" s="106">
        <v>2.0235514307115148</v>
      </c>
      <c r="J109" s="106">
        <v>3.0303923166958943E-2</v>
      </c>
      <c r="K109" s="106">
        <v>27.368270463264537</v>
      </c>
      <c r="L109" s="106">
        <v>10.472240992235935</v>
      </c>
      <c r="M109" s="106">
        <v>1.7155220726691147</v>
      </c>
      <c r="N109" s="106">
        <v>0.10580703680920606</v>
      </c>
      <c r="O109" s="106">
        <v>1.3121152781462955</v>
      </c>
      <c r="P109" s="106">
        <v>-3.322623879703657E-3</v>
      </c>
      <c r="Q109" s="106">
        <v>2.5473273995253884E-6</v>
      </c>
      <c r="R109" s="106">
        <v>0.11036019642543159</v>
      </c>
      <c r="S109" s="106">
        <v>0.11855148985811402</v>
      </c>
      <c r="T109" s="106">
        <v>0.22550309666674551</v>
      </c>
      <c r="U109" s="106">
        <v>0.20287641211510879</v>
      </c>
      <c r="V109" s="106">
        <v>0.38852855067711822</v>
      </c>
      <c r="W109" s="210">
        <v>1.4341944450714985</v>
      </c>
      <c r="X109" s="137"/>
    </row>
    <row r="110" spans="3:24" x14ac:dyDescent="0.25">
      <c r="C110" s="211" t="s">
        <v>877</v>
      </c>
      <c r="D110" s="187">
        <v>54.357070620290251</v>
      </c>
      <c r="E110" s="187">
        <v>907.49878719498361</v>
      </c>
      <c r="F110" s="187">
        <v>56.665600782862391</v>
      </c>
      <c r="G110" s="187">
        <v>51.918054949379162</v>
      </c>
      <c r="H110" s="187">
        <v>14.63386984966367</v>
      </c>
      <c r="I110" s="187">
        <v>2.021770284229321</v>
      </c>
      <c r="J110" s="187">
        <v>3.027744972603081E-2</v>
      </c>
      <c r="K110" s="187">
        <v>27.350579549905468</v>
      </c>
      <c r="L110" s="187">
        <v>10.45944508625125</v>
      </c>
      <c r="M110" s="187">
        <v>1.7139862759727329</v>
      </c>
      <c r="N110" s="187">
        <v>0.10579908208604191</v>
      </c>
      <c r="O110" s="187">
        <v>1.3113982887254978</v>
      </c>
      <c r="P110" s="187">
        <v>-3.3191979584636143E-3</v>
      </c>
      <c r="Q110" s="187">
        <v>2.5461384839691764E-6</v>
      </c>
      <c r="R110" s="187">
        <v>0.11027539364299439</v>
      </c>
      <c r="S110" s="187">
        <v>0.11849935278684612</v>
      </c>
      <c r="T110" s="187">
        <v>0.22541611057732469</v>
      </c>
      <c r="U110" s="187">
        <v>0.20287474996967519</v>
      </c>
      <c r="V110" s="187">
        <v>0.38839125402574004</v>
      </c>
      <c r="W110" s="212">
        <v>1.4338712606310031</v>
      </c>
      <c r="X110" s="137"/>
    </row>
    <row r="111" spans="3:24" x14ac:dyDescent="0.25"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</row>
    <row r="112" spans="3:24" x14ac:dyDescent="0.25">
      <c r="C112" s="207" t="s">
        <v>853</v>
      </c>
      <c r="D112" s="208" t="s">
        <v>776</v>
      </c>
      <c r="E112" s="208" t="s">
        <v>156</v>
      </c>
      <c r="F112" s="208" t="s">
        <v>164</v>
      </c>
      <c r="G112" s="208" t="s">
        <v>165</v>
      </c>
      <c r="H112" s="208" t="s">
        <v>166</v>
      </c>
      <c r="I112" s="208" t="s">
        <v>167</v>
      </c>
      <c r="J112" s="208" t="s">
        <v>168</v>
      </c>
      <c r="K112" s="208" t="s">
        <v>169</v>
      </c>
      <c r="L112" s="208" t="s">
        <v>170</v>
      </c>
      <c r="M112" s="208" t="s">
        <v>171</v>
      </c>
      <c r="N112" s="208" t="s">
        <v>172</v>
      </c>
      <c r="O112" s="208" t="s">
        <v>173</v>
      </c>
      <c r="P112" s="208" t="s">
        <v>174</v>
      </c>
      <c r="Q112" s="208" t="s">
        <v>175</v>
      </c>
      <c r="R112" s="208" t="s">
        <v>176</v>
      </c>
      <c r="S112" s="208" t="s">
        <v>177</v>
      </c>
      <c r="T112" s="208" t="s">
        <v>178</v>
      </c>
      <c r="U112" s="208" t="s">
        <v>179</v>
      </c>
      <c r="V112" s="208" t="s">
        <v>180</v>
      </c>
      <c r="W112" s="209" t="s">
        <v>181</v>
      </c>
      <c r="X112" s="137"/>
    </row>
    <row r="113" spans="3:24" x14ac:dyDescent="0.25">
      <c r="C113" s="213" t="s">
        <v>879</v>
      </c>
      <c r="D113" s="106">
        <v>54.605654752396518</v>
      </c>
      <c r="E113" s="106">
        <v>912.6305229225834</v>
      </c>
      <c r="F113" s="106">
        <v>56.683551734274552</v>
      </c>
      <c r="G113" s="106">
        <v>52.164270750569067</v>
      </c>
      <c r="H113" s="106">
        <v>14.709430059171538</v>
      </c>
      <c r="I113" s="106">
        <v>2.0359721639891561</v>
      </c>
      <c r="J113" s="106">
        <v>3.0488534344083856E-2</v>
      </c>
      <c r="K113" s="106">
        <v>27.491637136622149</v>
      </c>
      <c r="L113" s="106">
        <v>10.561472583725156</v>
      </c>
      <c r="M113" s="106">
        <v>1.7262318718491052</v>
      </c>
      <c r="N113" s="106">
        <v>0.10586250866158152</v>
      </c>
      <c r="O113" s="106">
        <v>1.3171151669525492</v>
      </c>
      <c r="P113" s="106">
        <v>-3.3465143650613627E-3</v>
      </c>
      <c r="Q113" s="106">
        <v>2.5556182409362308E-6</v>
      </c>
      <c r="R113" s="106">
        <v>0.11095156426203814</v>
      </c>
      <c r="S113" s="106">
        <v>0.11891506503992513</v>
      </c>
      <c r="T113" s="106">
        <v>0.22610968968217801</v>
      </c>
      <c r="U113" s="106">
        <v>0.20288800300070167</v>
      </c>
      <c r="V113" s="106">
        <v>0.38948598180573646</v>
      </c>
      <c r="W113" s="210">
        <v>1.4364481551256723</v>
      </c>
      <c r="X113" s="137"/>
    </row>
    <row r="114" spans="3:24" x14ac:dyDescent="0.25">
      <c r="C114" s="213" t="s">
        <v>880</v>
      </c>
      <c r="D114" s="106">
        <v>54.563607880952333</v>
      </c>
      <c r="E114" s="106">
        <v>911.76251324475049</v>
      </c>
      <c r="F114" s="106">
        <v>56.680515412768699</v>
      </c>
      <c r="G114" s="106">
        <v>52.122624471490674</v>
      </c>
      <c r="H114" s="106">
        <v>14.696649394579017</v>
      </c>
      <c r="I114" s="106">
        <v>2.0335699808430805</v>
      </c>
      <c r="J114" s="106">
        <v>3.0452830344299478E-2</v>
      </c>
      <c r="K114" s="106">
        <v>27.467777889595201</v>
      </c>
      <c r="L114" s="106">
        <v>10.544215098166006</v>
      </c>
      <c r="M114" s="106">
        <v>1.7241605851937236</v>
      </c>
      <c r="N114" s="106">
        <v>0.1058517803457986</v>
      </c>
      <c r="O114" s="106">
        <v>1.3161481830914388</v>
      </c>
      <c r="P114" s="106">
        <v>-3.3418939195534346E-3</v>
      </c>
      <c r="Q114" s="106">
        <v>2.5540147833094766E-6</v>
      </c>
      <c r="R114" s="106">
        <v>0.11083719308777061</v>
      </c>
      <c r="S114" s="106">
        <v>0.1188447492095667</v>
      </c>
      <c r="T114" s="106">
        <v>0.22599237394198557</v>
      </c>
      <c r="U114" s="106">
        <v>0.20288576131098846</v>
      </c>
      <c r="V114" s="106">
        <v>0.3893008135979274</v>
      </c>
      <c r="W114" s="210">
        <v>1.4360122851824682</v>
      </c>
      <c r="X114" s="137"/>
    </row>
    <row r="115" spans="3:24" x14ac:dyDescent="0.25">
      <c r="C115" s="213" t="s">
        <v>881</v>
      </c>
      <c r="D115" s="106">
        <v>54.523663353080352</v>
      </c>
      <c r="E115" s="106">
        <v>910.93790405080927</v>
      </c>
      <c r="F115" s="106">
        <v>56.677630907338141</v>
      </c>
      <c r="G115" s="106">
        <v>52.083060506366195</v>
      </c>
      <c r="H115" s="106">
        <v>14.684507763216123</v>
      </c>
      <c r="I115" s="106">
        <v>2.0312879068543084</v>
      </c>
      <c r="J115" s="106">
        <v>3.0418911544504323E-2</v>
      </c>
      <c r="K115" s="106">
        <v>27.445111604919596</v>
      </c>
      <c r="L115" s="106">
        <v>10.527820486884817</v>
      </c>
      <c r="M115" s="106">
        <v>1.7221928628711116</v>
      </c>
      <c r="N115" s="106">
        <v>0.10584158844580482</v>
      </c>
      <c r="O115" s="106">
        <v>1.3152295484233838</v>
      </c>
      <c r="P115" s="106">
        <v>-3.337504496320903E-3</v>
      </c>
      <c r="Q115" s="106">
        <v>2.55249149856406E-6</v>
      </c>
      <c r="R115" s="106">
        <v>0.11072854047221646</v>
      </c>
      <c r="S115" s="106">
        <v>0.11877794917072618</v>
      </c>
      <c r="T115" s="106">
        <v>0.22588092398880277</v>
      </c>
      <c r="U115" s="106">
        <v>0.20288363170576088</v>
      </c>
      <c r="V115" s="106">
        <v>0.38912490380050879</v>
      </c>
      <c r="W115" s="210">
        <v>1.4355982087364243</v>
      </c>
      <c r="X115" s="137"/>
    </row>
    <row r="116" spans="3:24" x14ac:dyDescent="0.25">
      <c r="C116" s="213" t="s">
        <v>882</v>
      </c>
      <c r="D116" s="106">
        <v>54.485716051601976</v>
      </c>
      <c r="E116" s="106">
        <v>910.15452531656513</v>
      </c>
      <c r="F116" s="106">
        <v>56.67489062717911</v>
      </c>
      <c r="G116" s="106">
        <v>52.045474739497941</v>
      </c>
      <c r="H116" s="106">
        <v>14.672973213421374</v>
      </c>
      <c r="I116" s="106">
        <v>2.029119936564975</v>
      </c>
      <c r="J116" s="106">
        <v>3.0386688684698925E-2</v>
      </c>
      <c r="K116" s="106">
        <v>27.423578634477778</v>
      </c>
      <c r="L116" s="106">
        <v>10.512245606167685</v>
      </c>
      <c r="M116" s="106">
        <v>1.7203235266646297</v>
      </c>
      <c r="N116" s="106">
        <v>0.10583190614081074</v>
      </c>
      <c r="O116" s="106">
        <v>1.3143568454887318</v>
      </c>
      <c r="P116" s="106">
        <v>-3.3333345442499978E-3</v>
      </c>
      <c r="Q116" s="106">
        <v>2.5510443780559144E-6</v>
      </c>
      <c r="R116" s="106">
        <v>0.11062532048744002</v>
      </c>
      <c r="S116" s="106">
        <v>0.11871448913382768</v>
      </c>
      <c r="T116" s="106">
        <v>0.22577504653327907</v>
      </c>
      <c r="U116" s="106">
        <v>0.20288160858079468</v>
      </c>
      <c r="V116" s="106">
        <v>0.38895778949296111</v>
      </c>
      <c r="W116" s="210">
        <v>1.4352048361126828</v>
      </c>
      <c r="X116" s="137"/>
    </row>
    <row r="117" spans="3:24" x14ac:dyDescent="0.25">
      <c r="C117" s="213" t="s">
        <v>883</v>
      </c>
      <c r="D117" s="106">
        <v>54.449666115197523</v>
      </c>
      <c r="E117" s="106">
        <v>909.41031551903325</v>
      </c>
      <c r="F117" s="106">
        <v>56.672287361028026</v>
      </c>
      <c r="G117" s="106">
        <v>52.009768260973097</v>
      </c>
      <c r="H117" s="106">
        <v>14.662015391116361</v>
      </c>
      <c r="I117" s="106">
        <v>2.027060364790108</v>
      </c>
      <c r="J117" s="106">
        <v>3.0356076967883797E-2</v>
      </c>
      <c r="K117" s="106">
        <v>27.403122312558047</v>
      </c>
      <c r="L117" s="106">
        <v>10.497449469486412</v>
      </c>
      <c r="M117" s="106">
        <v>1.7185476572684721</v>
      </c>
      <c r="N117" s="106">
        <v>0.10582270795106637</v>
      </c>
      <c r="O117" s="106">
        <v>1.3135277777008123</v>
      </c>
      <c r="P117" s="106">
        <v>-3.329373089782638E-3</v>
      </c>
      <c r="Q117" s="106">
        <v>2.5496696135731763E-6</v>
      </c>
      <c r="R117" s="106">
        <v>0.11052726150190241</v>
      </c>
      <c r="S117" s="106">
        <v>0.1186542020987741</v>
      </c>
      <c r="T117" s="106">
        <v>0.22567446295053162</v>
      </c>
      <c r="U117" s="106">
        <v>0.20287968661207678</v>
      </c>
      <c r="V117" s="106">
        <v>0.38879903090079082</v>
      </c>
      <c r="W117" s="210">
        <v>1.4348311321201281</v>
      </c>
      <c r="X117" s="137"/>
    </row>
    <row r="118" spans="3:24" x14ac:dyDescent="0.25">
      <c r="C118" s="213" t="s">
        <v>884</v>
      </c>
      <c r="D118" s="106">
        <v>54.415418675613289</v>
      </c>
      <c r="E118" s="106">
        <v>908.70331621137791</v>
      </c>
      <c r="F118" s="106">
        <v>56.669814258184502</v>
      </c>
      <c r="G118" s="106">
        <v>51.975847106374495</v>
      </c>
      <c r="H118" s="106">
        <v>14.651605459926598</v>
      </c>
      <c r="I118" s="106">
        <v>2.0251037716039844</v>
      </c>
      <c r="J118" s="106">
        <v>3.0326995836909426E-2</v>
      </c>
      <c r="K118" s="106">
        <v>27.383688806734302</v>
      </c>
      <c r="L118" s="106">
        <v>10.483393139639201</v>
      </c>
      <c r="M118" s="106">
        <v>1.7168605813421225</v>
      </c>
      <c r="N118" s="106">
        <v>0.10581396967080919</v>
      </c>
      <c r="O118" s="106">
        <v>1.3127401633022888</v>
      </c>
      <c r="P118" s="106">
        <v>-3.3256097080386461E-3</v>
      </c>
      <c r="Q118" s="106">
        <v>2.5483635873145747E-6</v>
      </c>
      <c r="R118" s="106">
        <v>0.11043410546564165</v>
      </c>
      <c r="S118" s="106">
        <v>0.1185969294154732</v>
      </c>
      <c r="T118" s="106">
        <v>0.22557890854692147</v>
      </c>
      <c r="U118" s="106">
        <v>0.20287786074179479</v>
      </c>
      <c r="V118" s="106">
        <v>0.38864821023822904</v>
      </c>
      <c r="W118" s="210">
        <v>1.4344761133272015</v>
      </c>
      <c r="X118" s="137"/>
    </row>
    <row r="119" spans="3:24" x14ac:dyDescent="0.25">
      <c r="C119" s="213" t="s">
        <v>885</v>
      </c>
      <c r="D119" s="106">
        <v>54.382883608008264</v>
      </c>
      <c r="E119" s="106">
        <v>908.03166686910527</v>
      </c>
      <c r="F119" s="106">
        <v>56.667464810483146</v>
      </c>
      <c r="G119" s="106">
        <v>51.943622009505823</v>
      </c>
      <c r="H119" s="106">
        <v>14.641716025296326</v>
      </c>
      <c r="I119" s="106">
        <v>2.0232450080771671</v>
      </c>
      <c r="J119" s="106">
        <v>3.0299368762483771E-2</v>
      </c>
      <c r="K119" s="106">
        <v>27.365226976201743</v>
      </c>
      <c r="L119" s="106">
        <v>10.47003962628435</v>
      </c>
      <c r="M119" s="106">
        <v>1.7152578592120902</v>
      </c>
      <c r="N119" s="106">
        <v>0.10580566830456489</v>
      </c>
      <c r="O119" s="106">
        <v>1.3119919296236915</v>
      </c>
      <c r="P119" s="106">
        <v>-3.3220344953818538E-3</v>
      </c>
      <c r="Q119" s="106">
        <v>2.5471228623689035E-6</v>
      </c>
      <c r="R119" s="106">
        <v>0.11034560723119395</v>
      </c>
      <c r="S119" s="106">
        <v>0.11854252036633736</v>
      </c>
      <c r="T119" s="106">
        <v>0.22548813186349187</v>
      </c>
      <c r="U119" s="106">
        <v>0.2028761261650269</v>
      </c>
      <c r="V119" s="106">
        <v>0.38850493060879537</v>
      </c>
      <c r="W119" s="210">
        <v>1.434138845473921</v>
      </c>
      <c r="X119" s="137"/>
    </row>
    <row r="120" spans="3:24" x14ac:dyDescent="0.25">
      <c r="C120" s="213" t="s">
        <v>886</v>
      </c>
      <c r="D120" s="106">
        <v>54.351975293783489</v>
      </c>
      <c r="E120" s="106">
        <v>907.3935999939464</v>
      </c>
      <c r="F120" s="106">
        <v>56.665232835166869</v>
      </c>
      <c r="G120" s="106">
        <v>51.913008167480591</v>
      </c>
      <c r="H120" s="106">
        <v>14.632321062397565</v>
      </c>
      <c r="I120" s="106">
        <v>2.0214791827266909</v>
      </c>
      <c r="J120" s="106">
        <v>3.0273123041779398E-2</v>
      </c>
      <c r="K120" s="106">
        <v>27.347688237195815</v>
      </c>
      <c r="L120" s="106">
        <v>10.457353788597242</v>
      </c>
      <c r="M120" s="106">
        <v>1.7137352731885596</v>
      </c>
      <c r="N120" s="106">
        <v>0.10579778200663281</v>
      </c>
      <c r="O120" s="106">
        <v>1.3112811076290238</v>
      </c>
      <c r="P120" s="106">
        <v>-3.3186380433579011E-3</v>
      </c>
      <c r="Q120" s="106">
        <v>2.5459441736705156E-6</v>
      </c>
      <c r="R120" s="106">
        <v>0.11026153390846864</v>
      </c>
      <c r="S120" s="106">
        <v>0.1184908317696583</v>
      </c>
      <c r="T120" s="106">
        <v>0.22540189401423374</v>
      </c>
      <c r="U120" s="106">
        <v>0.2028744783170974</v>
      </c>
      <c r="V120" s="106">
        <v>0.38836881496083342</v>
      </c>
      <c r="W120" s="210">
        <v>1.4338184410133044</v>
      </c>
      <c r="X120" s="137"/>
    </row>
    <row r="121" spans="3:24" x14ac:dyDescent="0.25">
      <c r="C121" s="213" t="s">
        <v>887</v>
      </c>
      <c r="D121" s="106">
        <v>54.322612395269957</v>
      </c>
      <c r="E121" s="106">
        <v>906.78743646254532</v>
      </c>
      <c r="F121" s="106">
        <v>56.663112458616396</v>
      </c>
      <c r="G121" s="106">
        <v>51.883925017556614</v>
      </c>
      <c r="H121" s="106">
        <v>14.623395847643742</v>
      </c>
      <c r="I121" s="106">
        <v>2.0198016486437385</v>
      </c>
      <c r="J121" s="106">
        <v>3.0248189607110253E-2</v>
      </c>
      <c r="K121" s="106">
        <v>27.331026435140181</v>
      </c>
      <c r="L121" s="106">
        <v>10.44530224279449</v>
      </c>
      <c r="M121" s="106">
        <v>1.7122888164662053</v>
      </c>
      <c r="N121" s="106">
        <v>0.10579029002359733</v>
      </c>
      <c r="O121" s="106">
        <v>1.3106058267340899</v>
      </c>
      <c r="P121" s="106">
        <v>-3.315411413935146E-3</v>
      </c>
      <c r="Q121" s="106">
        <v>2.5448244194070471E-6</v>
      </c>
      <c r="R121" s="106">
        <v>0.1101816642518796</v>
      </c>
      <c r="S121" s="106">
        <v>0.1184417276028132</v>
      </c>
      <c r="T121" s="106">
        <v>0.22531996805743854</v>
      </c>
      <c r="U121" s="106">
        <v>0.20287291286156439</v>
      </c>
      <c r="V121" s="106">
        <v>0.3882395050952695</v>
      </c>
      <c r="W121" s="210">
        <v>1.4335140567757187</v>
      </c>
      <c r="X121" s="137"/>
    </row>
    <row r="122" spans="3:24" x14ac:dyDescent="0.25">
      <c r="C122" s="211" t="s">
        <v>888</v>
      </c>
      <c r="D122" s="187">
        <v>54.294717641682105</v>
      </c>
      <c r="E122" s="187">
        <v>906.21158110771432</v>
      </c>
      <c r="F122" s="187">
        <v>56.661098100893454</v>
      </c>
      <c r="G122" s="187">
        <v>51.856296025128842</v>
      </c>
      <c r="H122" s="187">
        <v>14.614916893627612</v>
      </c>
      <c r="I122" s="187">
        <v>2.0182079912649331</v>
      </c>
      <c r="J122" s="187">
        <v>3.0224502844174557E-2</v>
      </c>
      <c r="K122" s="187">
        <v>27.315197723187332</v>
      </c>
      <c r="L122" s="187">
        <v>10.433853274281876</v>
      </c>
      <c r="M122" s="187">
        <v>1.7109146825799693</v>
      </c>
      <c r="N122" s="187">
        <v>0.10578317263971362</v>
      </c>
      <c r="O122" s="187">
        <v>1.3099643098839024</v>
      </c>
      <c r="P122" s="187">
        <v>-3.3123461159835286E-3</v>
      </c>
      <c r="Q122" s="187">
        <v>2.5437606528567523E-6</v>
      </c>
      <c r="R122" s="187">
        <v>0.11010578807811999</v>
      </c>
      <c r="S122" s="187">
        <v>0.11839507864431036</v>
      </c>
      <c r="T122" s="187">
        <v>0.22524213839848306</v>
      </c>
      <c r="U122" s="187">
        <v>0.202871425678808</v>
      </c>
      <c r="V122" s="187">
        <v>0.38811666072298379</v>
      </c>
      <c r="W122" s="212">
        <v>1.4332248917500123</v>
      </c>
      <c r="X122" s="137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D5949-E9D5-4CFB-9118-A98621868A44}">
  <sheetPr codeName="Sheet19"/>
  <dimension ref="B1:N98"/>
  <sheetViews>
    <sheetView zoomScale="60" zoomScaleNormal="60" workbookViewId="0">
      <selection activeCell="G77" sqref="G77"/>
    </sheetView>
  </sheetViews>
  <sheetFormatPr defaultRowHeight="15" x14ac:dyDescent="0.25"/>
  <cols>
    <col min="1" max="1" width="9.140625" style="43"/>
    <col min="2" max="2" width="49.140625" style="43" bestFit="1" customWidth="1"/>
    <col min="3" max="3" width="18.85546875" style="43" bestFit="1" customWidth="1"/>
    <col min="4" max="4" width="9.140625" style="43"/>
    <col min="5" max="5" width="10.7109375" style="43" bestFit="1" customWidth="1"/>
    <col min="6" max="6" width="15.85546875" style="43" bestFit="1" customWidth="1"/>
    <col min="7" max="7" width="34" style="43" bestFit="1" customWidth="1"/>
    <col min="8" max="8" width="33.28515625" style="43" bestFit="1" customWidth="1"/>
    <col min="9" max="9" width="32.140625" style="43" bestFit="1" customWidth="1"/>
    <col min="10" max="10" width="43.85546875" style="43" bestFit="1" customWidth="1"/>
    <col min="11" max="11" width="34.28515625" style="43" bestFit="1" customWidth="1"/>
    <col min="12" max="12" width="43.85546875" style="43" bestFit="1" customWidth="1"/>
    <col min="13" max="16384" width="9.140625" style="43"/>
  </cols>
  <sheetData>
    <row r="1" spans="2:6" x14ac:dyDescent="0.25">
      <c r="B1" s="43" t="s">
        <v>989</v>
      </c>
    </row>
    <row r="2" spans="2:6" x14ac:dyDescent="0.25">
      <c r="B2" s="43" t="s">
        <v>561</v>
      </c>
    </row>
    <row r="4" spans="2:6" x14ac:dyDescent="0.25">
      <c r="B4" s="43" t="s">
        <v>317</v>
      </c>
      <c r="C4" s="43" t="s">
        <v>560</v>
      </c>
      <c r="D4" s="76"/>
      <c r="E4" s="76"/>
      <c r="F4" s="76"/>
    </row>
    <row r="5" spans="2:6" x14ac:dyDescent="0.25">
      <c r="B5" s="43" t="s">
        <v>540</v>
      </c>
      <c r="C5" s="43">
        <v>6</v>
      </c>
      <c r="D5" s="76"/>
      <c r="E5" s="76"/>
      <c r="F5" s="76"/>
    </row>
    <row r="6" spans="2:6" x14ac:dyDescent="0.25">
      <c r="B6" s="43" t="s">
        <v>546</v>
      </c>
      <c r="C6" s="43">
        <v>15</v>
      </c>
      <c r="D6" s="76"/>
      <c r="E6" s="76"/>
      <c r="F6" s="76"/>
    </row>
    <row r="7" spans="2:6" x14ac:dyDescent="0.25">
      <c r="B7" s="43" t="s">
        <v>555</v>
      </c>
      <c r="C7" s="43">
        <v>43</v>
      </c>
      <c r="D7" s="76"/>
      <c r="E7" s="76"/>
      <c r="F7" s="76"/>
    </row>
    <row r="8" spans="2:6" x14ac:dyDescent="0.25">
      <c r="B8" s="43" t="s">
        <v>556</v>
      </c>
      <c r="C8" s="43">
        <v>16</v>
      </c>
      <c r="D8" s="76"/>
      <c r="E8" s="76"/>
      <c r="F8" s="76"/>
    </row>
    <row r="9" spans="2:6" x14ac:dyDescent="0.25">
      <c r="B9" s="43" t="s">
        <v>557</v>
      </c>
      <c r="C9" s="43">
        <v>23</v>
      </c>
      <c r="D9" s="76"/>
      <c r="E9" s="76"/>
      <c r="F9" s="76"/>
    </row>
    <row r="10" spans="2:6" x14ac:dyDescent="0.25">
      <c r="B10" s="43" t="s">
        <v>558</v>
      </c>
      <c r="C10" s="43">
        <v>1</v>
      </c>
      <c r="D10" s="76"/>
      <c r="E10" s="76"/>
      <c r="F10" s="76"/>
    </row>
    <row r="11" spans="2:6" x14ac:dyDescent="0.25">
      <c r="B11" s="43" t="s">
        <v>559</v>
      </c>
      <c r="C11" s="43">
        <v>29</v>
      </c>
      <c r="D11" s="76"/>
      <c r="E11" s="76"/>
      <c r="F11" s="76"/>
    </row>
    <row r="12" spans="2:6" x14ac:dyDescent="0.25">
      <c r="B12" s="43" t="s">
        <v>772</v>
      </c>
      <c r="C12" s="43">
        <v>30</v>
      </c>
      <c r="D12" s="76"/>
      <c r="E12" s="76"/>
      <c r="F12" s="76"/>
    </row>
    <row r="13" spans="2:6" x14ac:dyDescent="0.25">
      <c r="B13" s="43" t="s">
        <v>773</v>
      </c>
      <c r="C13" s="43">
        <v>3</v>
      </c>
      <c r="D13" s="76"/>
      <c r="E13" s="76"/>
      <c r="F13" s="76"/>
    </row>
    <row r="14" spans="2:6" x14ac:dyDescent="0.25">
      <c r="B14" s="43" t="s">
        <v>770</v>
      </c>
      <c r="C14" s="43">
        <v>28</v>
      </c>
      <c r="D14" s="76"/>
      <c r="E14" s="76"/>
      <c r="F14" s="76"/>
    </row>
    <row r="15" spans="2:6" x14ac:dyDescent="0.25">
      <c r="B15" s="43" t="s">
        <v>771</v>
      </c>
      <c r="C15" s="43">
        <v>34</v>
      </c>
      <c r="D15" s="76"/>
      <c r="E15" s="76"/>
      <c r="F15" s="76"/>
    </row>
    <row r="16" spans="2:6" x14ac:dyDescent="0.25">
      <c r="B16" s="43" t="s">
        <v>769</v>
      </c>
      <c r="C16" s="43">
        <v>10</v>
      </c>
      <c r="D16" s="76"/>
      <c r="E16" s="76"/>
      <c r="F16" s="76"/>
    </row>
    <row r="17" spans="2:14" x14ac:dyDescent="0.25">
      <c r="B17" s="43" t="s">
        <v>774</v>
      </c>
      <c r="C17" s="43">
        <v>7</v>
      </c>
      <c r="D17" s="76"/>
      <c r="E17" s="76"/>
      <c r="F17" s="76"/>
    </row>
    <row r="21" spans="2:14" x14ac:dyDescent="0.25">
      <c r="B21" s="283" t="s">
        <v>744</v>
      </c>
      <c r="C21" s="172" t="s">
        <v>548</v>
      </c>
      <c r="D21" s="172"/>
      <c r="E21" s="172" t="s">
        <v>547</v>
      </c>
      <c r="F21" s="172" t="s">
        <v>549</v>
      </c>
      <c r="G21" s="172" t="s">
        <v>550</v>
      </c>
      <c r="H21" s="172" t="s">
        <v>551</v>
      </c>
      <c r="I21" s="172" t="s">
        <v>552</v>
      </c>
      <c r="J21" s="172" t="s">
        <v>553</v>
      </c>
      <c r="K21" s="172" t="s">
        <v>554</v>
      </c>
      <c r="L21" s="173" t="s">
        <v>600</v>
      </c>
      <c r="M21" s="136" t="s">
        <v>753</v>
      </c>
    </row>
    <row r="22" spans="2:14" x14ac:dyDescent="0.25">
      <c r="B22" s="284"/>
      <c r="C22" s="21">
        <v>2</v>
      </c>
      <c r="D22" s="21" t="s">
        <v>598</v>
      </c>
      <c r="E22" s="21" t="s">
        <v>592</v>
      </c>
      <c r="F22" s="21" t="s">
        <v>542</v>
      </c>
      <c r="G22" s="21" t="str">
        <f>B6</f>
        <v>Flughafen, Frankfurt/Main</v>
      </c>
      <c r="H22" s="21" t="str">
        <f>B5</f>
        <v>Chicago O'Hare International Airport</v>
      </c>
      <c r="I22" s="21"/>
      <c r="J22" s="21"/>
      <c r="K22" s="21"/>
      <c r="L22" s="174"/>
      <c r="M22" s="43">
        <v>383</v>
      </c>
    </row>
    <row r="23" spans="2:14" x14ac:dyDescent="0.25">
      <c r="B23" s="284"/>
      <c r="C23" s="21">
        <v>3</v>
      </c>
      <c r="D23" s="21" t="s">
        <v>598</v>
      </c>
      <c r="E23" s="21" t="s">
        <v>592</v>
      </c>
      <c r="F23" s="21" t="s">
        <v>543</v>
      </c>
      <c r="G23" s="21" t="str">
        <f>B6</f>
        <v>Flughafen, Frankfurt/Main</v>
      </c>
      <c r="H23" s="21" t="str">
        <f>B7</f>
        <v>Newark Liberty International Airport</v>
      </c>
      <c r="I23" s="21" t="str">
        <f>B8</f>
        <v>Denver International Airport</v>
      </c>
      <c r="J23" s="21"/>
      <c r="K23" s="21"/>
      <c r="L23" s="174"/>
      <c r="M23" s="43">
        <v>383</v>
      </c>
    </row>
    <row r="24" spans="2:14" x14ac:dyDescent="0.25">
      <c r="B24" s="284"/>
      <c r="C24" s="21">
        <v>4</v>
      </c>
      <c r="D24" s="21" t="s">
        <v>598</v>
      </c>
      <c r="E24" s="21" t="s">
        <v>592</v>
      </c>
      <c r="F24" s="21" t="s">
        <v>544</v>
      </c>
      <c r="G24" s="21" t="str">
        <f>B6</f>
        <v>Flughafen, Frankfurt/Main</v>
      </c>
      <c r="H24" s="21" t="str">
        <f>B7</f>
        <v>Newark Liberty International Airport</v>
      </c>
      <c r="I24" s="21" t="str">
        <f>B5</f>
        <v>Chicago O'Hare International Airport</v>
      </c>
      <c r="J24" s="21" t="str">
        <f>B11</f>
        <v>Seattle-Tacoma International Airport</v>
      </c>
      <c r="K24" s="21"/>
      <c r="L24" s="174"/>
      <c r="M24" s="43">
        <v>383</v>
      </c>
    </row>
    <row r="25" spans="2:14" x14ac:dyDescent="0.25">
      <c r="B25" s="284"/>
      <c r="C25" s="21">
        <v>5</v>
      </c>
      <c r="D25" s="21" t="s">
        <v>598</v>
      </c>
      <c r="E25" s="21" t="s">
        <v>592</v>
      </c>
      <c r="F25" s="21" t="s">
        <v>545</v>
      </c>
      <c r="G25" s="21" t="str">
        <f>B6</f>
        <v>Flughafen, Frankfurt/Main</v>
      </c>
      <c r="H25" s="21" t="str">
        <f>B5</f>
        <v>Chicago O'Hare International Airport</v>
      </c>
      <c r="I25" s="21" t="str">
        <f>B8</f>
        <v>Denver International Airport</v>
      </c>
      <c r="J25" s="21" t="str">
        <f>B11</f>
        <v>Seattle-Tacoma International Airport</v>
      </c>
      <c r="K25" s="21" t="str">
        <f>B7</f>
        <v>Newark Liberty International Airport</v>
      </c>
      <c r="L25" s="174"/>
      <c r="M25" s="43">
        <v>383</v>
      </c>
    </row>
    <row r="26" spans="2:14" x14ac:dyDescent="0.25">
      <c r="B26" s="285"/>
      <c r="C26" s="175">
        <v>6</v>
      </c>
      <c r="D26" s="175" t="s">
        <v>598</v>
      </c>
      <c r="E26" s="175" t="s">
        <v>592</v>
      </c>
      <c r="F26" s="175" t="s">
        <v>599</v>
      </c>
      <c r="G26" s="175" t="str">
        <f>B6</f>
        <v>Flughafen, Frankfurt/Main</v>
      </c>
      <c r="H26" s="175" t="str">
        <f>B5</f>
        <v>Chicago O'Hare International Airport</v>
      </c>
      <c r="I26" s="175" t="str">
        <f>B8</f>
        <v>Denver International Airport</v>
      </c>
      <c r="J26" s="175" t="str">
        <f>B11</f>
        <v>Seattle-Tacoma International Airport</v>
      </c>
      <c r="K26" s="175" t="str">
        <f>B7</f>
        <v>Newark Liberty International Airport</v>
      </c>
      <c r="L26" s="48" t="str">
        <f>B10</f>
        <v>Hartsfield-Jackson Atlanta International Airport</v>
      </c>
      <c r="M26" s="43">
        <v>383</v>
      </c>
    </row>
    <row r="29" spans="2:14" x14ac:dyDescent="0.25">
      <c r="B29" s="280" t="s">
        <v>745</v>
      </c>
      <c r="C29" s="172" t="s">
        <v>548</v>
      </c>
      <c r="D29" s="172"/>
      <c r="E29" s="172" t="s">
        <v>547</v>
      </c>
      <c r="F29" s="172" t="s">
        <v>549</v>
      </c>
      <c r="G29" s="172" t="s">
        <v>550</v>
      </c>
      <c r="H29" s="172" t="s">
        <v>551</v>
      </c>
      <c r="I29" s="172" t="s">
        <v>552</v>
      </c>
      <c r="J29" s="172" t="s">
        <v>553</v>
      </c>
      <c r="K29" s="172" t="s">
        <v>554</v>
      </c>
      <c r="L29" s="173" t="s">
        <v>600</v>
      </c>
      <c r="M29" s="43" t="str">
        <f>M21</f>
        <v># of people</v>
      </c>
    </row>
    <row r="30" spans="2:14" x14ac:dyDescent="0.25">
      <c r="B30" s="281"/>
      <c r="C30" s="21">
        <v>1</v>
      </c>
      <c r="D30" s="21" t="s">
        <v>598</v>
      </c>
      <c r="E30" s="21" t="s">
        <v>541</v>
      </c>
      <c r="F30" s="136" t="s">
        <v>755</v>
      </c>
      <c r="H30" s="21" t="str">
        <f>B7</f>
        <v>Newark Liberty International Airport</v>
      </c>
      <c r="I30" s="21"/>
      <c r="J30" s="21"/>
      <c r="K30" s="21"/>
      <c r="L30" s="174"/>
      <c r="M30" s="43">
        <v>148</v>
      </c>
      <c r="N30" s="43">
        <f>M30/383</f>
        <v>0.38642297650130547</v>
      </c>
    </row>
    <row r="31" spans="2:14" x14ac:dyDescent="0.25">
      <c r="B31" s="281"/>
      <c r="C31" s="21">
        <v>2</v>
      </c>
      <c r="D31" s="21" t="s">
        <v>598</v>
      </c>
      <c r="E31" s="21" t="s">
        <v>541</v>
      </c>
      <c r="F31" s="136" t="s">
        <v>756</v>
      </c>
      <c r="H31" s="21" t="str">
        <f>B5</f>
        <v>Chicago O'Hare International Airport</v>
      </c>
      <c r="I31" s="21" t="str">
        <f>B7</f>
        <v>Newark Liberty International Airport</v>
      </c>
      <c r="J31" s="21"/>
      <c r="K31" s="21"/>
      <c r="L31" s="174"/>
      <c r="M31" s="43">
        <v>222</v>
      </c>
      <c r="N31" s="43">
        <f t="shared" ref="N31:N35" si="0">M31/383</f>
        <v>0.57963446475195823</v>
      </c>
    </row>
    <row r="32" spans="2:14" x14ac:dyDescent="0.25">
      <c r="B32" s="281"/>
      <c r="C32" s="21">
        <v>3</v>
      </c>
      <c r="D32" s="21" t="s">
        <v>598</v>
      </c>
      <c r="E32" s="21" t="s">
        <v>541</v>
      </c>
      <c r="F32" s="136" t="s">
        <v>757</v>
      </c>
      <c r="H32" s="21" t="str">
        <f>B5</f>
        <v>Chicago O'Hare International Airport</v>
      </c>
      <c r="I32" s="21" t="str">
        <f>B7</f>
        <v>Newark Liberty International Airport</v>
      </c>
      <c r="J32" s="21" t="str">
        <f>B11</f>
        <v>Seattle-Tacoma International Airport</v>
      </c>
      <c r="L32" s="174"/>
      <c r="M32" s="43">
        <v>258</v>
      </c>
      <c r="N32" s="43">
        <f t="shared" si="0"/>
        <v>0.67362924281984338</v>
      </c>
    </row>
    <row r="33" spans="2:14" x14ac:dyDescent="0.25">
      <c r="B33" s="281"/>
      <c r="C33" s="21">
        <v>4</v>
      </c>
      <c r="D33" s="21" t="s">
        <v>598</v>
      </c>
      <c r="E33" s="21" t="s">
        <v>541</v>
      </c>
      <c r="F33" s="136" t="s">
        <v>758</v>
      </c>
      <c r="H33" s="21" t="str">
        <f>B5</f>
        <v>Chicago O'Hare International Airport</v>
      </c>
      <c r="I33" s="21" t="str">
        <f>B7</f>
        <v>Newark Liberty International Airport</v>
      </c>
      <c r="J33" s="21" t="str">
        <f>B11</f>
        <v>Seattle-Tacoma International Airport</v>
      </c>
      <c r="K33" s="21" t="str">
        <f>B12</f>
        <v>McCarran International Airport</v>
      </c>
      <c r="L33" s="174"/>
      <c r="M33" s="43">
        <v>288</v>
      </c>
      <c r="N33" s="43">
        <f t="shared" si="0"/>
        <v>0.75195822454308092</v>
      </c>
    </row>
    <row r="34" spans="2:14" x14ac:dyDescent="0.25">
      <c r="B34" s="281"/>
      <c r="C34" s="21">
        <v>5</v>
      </c>
      <c r="D34" s="21" t="s">
        <v>598</v>
      </c>
      <c r="E34" s="21" t="s">
        <v>541</v>
      </c>
      <c r="F34" s="21" t="s">
        <v>545</v>
      </c>
      <c r="G34" s="21" t="str">
        <f>B6</f>
        <v>Flughafen, Frankfurt/Main</v>
      </c>
      <c r="H34" s="21" t="str">
        <f>B5</f>
        <v>Chicago O'Hare International Airport</v>
      </c>
      <c r="I34" s="21" t="str">
        <f>B7</f>
        <v>Newark Liberty International Airport</v>
      </c>
      <c r="J34" s="21" t="str">
        <f>B11</f>
        <v>Seattle-Tacoma International Airport</v>
      </c>
      <c r="K34" s="21" t="str">
        <f>B12</f>
        <v>McCarran International Airport</v>
      </c>
      <c r="L34" s="174"/>
      <c r="M34" s="43">
        <v>311</v>
      </c>
      <c r="N34" s="43">
        <f t="shared" si="0"/>
        <v>0.81201044386422971</v>
      </c>
    </row>
    <row r="35" spans="2:14" x14ac:dyDescent="0.25">
      <c r="B35" s="282"/>
      <c r="C35" s="175">
        <v>6</v>
      </c>
      <c r="D35" s="175" t="s">
        <v>598</v>
      </c>
      <c r="E35" s="175" t="s">
        <v>541</v>
      </c>
      <c r="F35" s="175" t="s">
        <v>599</v>
      </c>
      <c r="G35" s="175" t="str">
        <f>B6</f>
        <v>Flughafen, Frankfurt/Main</v>
      </c>
      <c r="H35" s="175" t="str">
        <f>B5</f>
        <v>Chicago O'Hare International Airport</v>
      </c>
      <c r="I35" s="175" t="str">
        <f>B7</f>
        <v>Newark Liberty International Airport</v>
      </c>
      <c r="J35" s="175" t="str">
        <f>B11</f>
        <v>Seattle-Tacoma International Airport</v>
      </c>
      <c r="K35" s="175" t="str">
        <f>B8</f>
        <v>Denver International Airport</v>
      </c>
      <c r="L35" s="48" t="str">
        <f>B13</f>
        <v>Los Angeles International Airport</v>
      </c>
      <c r="M35" s="43">
        <v>333</v>
      </c>
      <c r="N35" s="43">
        <f t="shared" si="0"/>
        <v>0.86945169712793735</v>
      </c>
    </row>
    <row r="38" spans="2:14" x14ac:dyDescent="0.25">
      <c r="B38" s="280" t="s">
        <v>746</v>
      </c>
      <c r="C38" s="172" t="s">
        <v>548</v>
      </c>
      <c r="D38" s="172"/>
      <c r="E38" s="172" t="s">
        <v>547</v>
      </c>
      <c r="F38" s="172" t="s">
        <v>549</v>
      </c>
      <c r="G38" s="172" t="s">
        <v>550</v>
      </c>
      <c r="H38" s="172" t="s">
        <v>768</v>
      </c>
      <c r="I38" s="172" t="s">
        <v>551</v>
      </c>
      <c r="J38" s="172" t="s">
        <v>552</v>
      </c>
      <c r="K38" s="172" t="s">
        <v>553</v>
      </c>
      <c r="L38" s="173" t="s">
        <v>554</v>
      </c>
      <c r="M38" s="43" t="str">
        <f>M29</f>
        <v># of people</v>
      </c>
    </row>
    <row r="39" spans="2:14" x14ac:dyDescent="0.25">
      <c r="B39" s="281"/>
      <c r="C39" s="21">
        <v>1</v>
      </c>
      <c r="D39" s="21" t="s">
        <v>598</v>
      </c>
      <c r="E39" s="21" t="s">
        <v>541</v>
      </c>
      <c r="F39" s="136" t="s">
        <v>755</v>
      </c>
      <c r="I39" s="21" t="str">
        <f>B5</f>
        <v>Chicago O'Hare International Airport</v>
      </c>
      <c r="J39" s="21"/>
      <c r="K39" s="21"/>
      <c r="L39" s="174"/>
      <c r="M39" s="43">
        <v>336</v>
      </c>
    </row>
    <row r="40" spans="2:14" x14ac:dyDescent="0.25">
      <c r="B40" s="281"/>
      <c r="C40" s="21">
        <v>2</v>
      </c>
      <c r="D40" s="21" t="s">
        <v>598</v>
      </c>
      <c r="E40" s="21" t="s">
        <v>541</v>
      </c>
      <c r="F40" s="136" t="s">
        <v>759</v>
      </c>
      <c r="H40" s="43" t="str">
        <f>B14</f>
        <v>Istanbul International Airport</v>
      </c>
      <c r="I40" s="21" t="str">
        <f>B5</f>
        <v>Chicago O'Hare International Airport</v>
      </c>
      <c r="J40" s="21"/>
      <c r="K40" s="21"/>
      <c r="L40" s="174"/>
      <c r="M40" s="43">
        <v>370</v>
      </c>
    </row>
    <row r="41" spans="2:14" x14ac:dyDescent="0.25">
      <c r="B41" s="281"/>
      <c r="C41" s="21">
        <v>3</v>
      </c>
      <c r="D41" s="21" t="s">
        <v>598</v>
      </c>
      <c r="E41" s="21" t="s">
        <v>541</v>
      </c>
      <c r="F41" s="136" t="s">
        <v>760</v>
      </c>
      <c r="H41" s="21" t="str">
        <f>B14</f>
        <v>Istanbul International Airport</v>
      </c>
      <c r="I41" s="21" t="str">
        <f>B8</f>
        <v>Denver International Airport</v>
      </c>
      <c r="J41" s="21" t="str">
        <f>B15</f>
        <v>Charlotte Douglas International Airport</v>
      </c>
      <c r="K41" s="21"/>
      <c r="L41" s="174"/>
      <c r="M41" s="43">
        <v>373</v>
      </c>
    </row>
    <row r="42" spans="2:14" x14ac:dyDescent="0.25">
      <c r="B42" s="281"/>
      <c r="C42" s="21">
        <v>4</v>
      </c>
      <c r="D42" s="21" t="s">
        <v>598</v>
      </c>
      <c r="E42" s="21" t="s">
        <v>541</v>
      </c>
      <c r="F42" s="136" t="s">
        <v>762</v>
      </c>
      <c r="G42" s="43" t="str">
        <f>B17</f>
        <v>Heathrow Airport</v>
      </c>
      <c r="H42" s="21" t="str">
        <f>B14</f>
        <v>Istanbul International Airport</v>
      </c>
      <c r="I42" s="21" t="str">
        <f>B8</f>
        <v>Denver International Airport</v>
      </c>
      <c r="J42" s="21" t="str">
        <f>B15</f>
        <v>Charlotte Douglas International Airport</v>
      </c>
      <c r="K42" s="21"/>
      <c r="L42" s="174"/>
      <c r="M42" s="43">
        <v>374</v>
      </c>
    </row>
    <row r="43" spans="2:14" x14ac:dyDescent="0.25">
      <c r="B43" s="281"/>
      <c r="C43" s="21">
        <v>5</v>
      </c>
      <c r="D43" s="21" t="s">
        <v>598</v>
      </c>
      <c r="E43" s="21" t="s">
        <v>541</v>
      </c>
      <c r="F43" s="136" t="s">
        <v>763</v>
      </c>
      <c r="G43" s="43" t="str">
        <f>B17</f>
        <v>Heathrow Airport</v>
      </c>
      <c r="H43" s="21" t="str">
        <f>B14</f>
        <v>Istanbul International Airport</v>
      </c>
      <c r="I43" s="21" t="str">
        <f>B7</f>
        <v>Newark Liberty International Airport</v>
      </c>
      <c r="J43" s="21" t="str">
        <f>B11</f>
        <v>Seattle-Tacoma International Airport</v>
      </c>
      <c r="K43" s="21" t="str">
        <f>B16</f>
        <v>Dallas Fort Worth International Airport</v>
      </c>
      <c r="L43" s="174"/>
      <c r="M43" s="43">
        <v>374</v>
      </c>
    </row>
    <row r="44" spans="2:14" x14ac:dyDescent="0.25">
      <c r="B44" s="282"/>
      <c r="C44" s="175">
        <v>6</v>
      </c>
      <c r="D44" s="175" t="s">
        <v>598</v>
      </c>
      <c r="E44" s="175" t="s">
        <v>541</v>
      </c>
      <c r="F44" s="144" t="s">
        <v>764</v>
      </c>
      <c r="G44" s="175" t="str">
        <f>B17</f>
        <v>Heathrow Airport</v>
      </c>
      <c r="H44" s="175" t="str">
        <f>B14</f>
        <v>Istanbul International Airport</v>
      </c>
      <c r="I44" s="175" t="str">
        <f>B5</f>
        <v>Chicago O'Hare International Airport</v>
      </c>
      <c r="J44" s="175" t="str">
        <f>B7</f>
        <v>Newark Liberty International Airport</v>
      </c>
      <c r="K44" s="175" t="str">
        <f>B11</f>
        <v>Seattle-Tacoma International Airport</v>
      </c>
      <c r="L44" s="48" t="str">
        <f>B16</f>
        <v>Dallas Fort Worth International Airport</v>
      </c>
      <c r="M44" s="43">
        <v>374</v>
      </c>
    </row>
    <row r="47" spans="2:14" x14ac:dyDescent="0.25">
      <c r="B47" s="280" t="s">
        <v>747</v>
      </c>
      <c r="C47" s="172" t="s">
        <v>548</v>
      </c>
      <c r="D47" s="172"/>
      <c r="E47" s="172" t="s">
        <v>547</v>
      </c>
      <c r="F47" s="172" t="s">
        <v>549</v>
      </c>
      <c r="G47" s="172" t="s">
        <v>550</v>
      </c>
      <c r="H47" s="172" t="s">
        <v>768</v>
      </c>
      <c r="I47" s="172" t="s">
        <v>551</v>
      </c>
      <c r="J47" s="172" t="s">
        <v>552</v>
      </c>
      <c r="K47" s="172" t="s">
        <v>553</v>
      </c>
      <c r="L47" s="173" t="s">
        <v>554</v>
      </c>
      <c r="M47" s="43" t="str">
        <f>M21</f>
        <v># of people</v>
      </c>
    </row>
    <row r="48" spans="2:14" x14ac:dyDescent="0.25">
      <c r="B48" s="281"/>
      <c r="C48" s="21">
        <v>1</v>
      </c>
      <c r="D48" s="21" t="s">
        <v>598</v>
      </c>
      <c r="E48" s="21" t="s">
        <v>541</v>
      </c>
      <c r="F48" s="136" t="s">
        <v>755</v>
      </c>
      <c r="G48" s="21"/>
      <c r="I48" s="21" t="str">
        <f>B5</f>
        <v>Chicago O'Hare International Airport</v>
      </c>
      <c r="J48" s="21"/>
      <c r="K48" s="21"/>
      <c r="L48" s="174"/>
      <c r="M48" s="43">
        <v>340</v>
      </c>
    </row>
    <row r="49" spans="2:13" x14ac:dyDescent="0.25">
      <c r="B49" s="281"/>
      <c r="C49" s="21">
        <v>2</v>
      </c>
      <c r="D49" s="21" t="s">
        <v>598</v>
      </c>
      <c r="E49" s="21" t="s">
        <v>541</v>
      </c>
      <c r="F49" s="136" t="s">
        <v>759</v>
      </c>
      <c r="H49" s="21" t="str">
        <f>B14</f>
        <v>Istanbul International Airport</v>
      </c>
      <c r="I49" s="21" t="str">
        <f>B5</f>
        <v>Chicago O'Hare International Airport</v>
      </c>
      <c r="J49" s="21"/>
      <c r="K49" s="21"/>
      <c r="L49" s="174"/>
      <c r="M49" s="43">
        <v>376</v>
      </c>
    </row>
    <row r="50" spans="2:13" x14ac:dyDescent="0.25">
      <c r="B50" s="281"/>
      <c r="C50" s="21">
        <v>3</v>
      </c>
      <c r="D50" s="21" t="s">
        <v>598</v>
      </c>
      <c r="E50" s="21" t="s">
        <v>541</v>
      </c>
      <c r="F50" s="136" t="s">
        <v>760</v>
      </c>
      <c r="G50" s="21"/>
      <c r="H50" s="21" t="str">
        <f>B14</f>
        <v>Istanbul International Airport</v>
      </c>
      <c r="I50" s="21" t="str">
        <f>B7</f>
        <v>Newark Liberty International Airport</v>
      </c>
      <c r="J50" s="43" t="str">
        <f>B8</f>
        <v>Denver International Airport</v>
      </c>
      <c r="K50" s="21"/>
      <c r="L50" s="174"/>
      <c r="M50" s="43">
        <v>377</v>
      </c>
    </row>
    <row r="51" spans="2:13" x14ac:dyDescent="0.25">
      <c r="B51" s="281"/>
      <c r="C51" s="21">
        <v>4</v>
      </c>
      <c r="D51" s="21" t="s">
        <v>598</v>
      </c>
      <c r="E51" s="21" t="s">
        <v>541</v>
      </c>
      <c r="F51" s="136" t="s">
        <v>761</v>
      </c>
      <c r="G51" s="21"/>
      <c r="H51" s="21" t="str">
        <f>B14</f>
        <v>Istanbul International Airport</v>
      </c>
      <c r="I51" s="21" t="str">
        <f>B5</f>
        <v>Chicago O'Hare International Airport</v>
      </c>
      <c r="J51" s="43" t="str">
        <f>B7</f>
        <v>Newark Liberty International Airport</v>
      </c>
      <c r="K51" s="43" t="str">
        <f>B11</f>
        <v>Seattle-Tacoma International Airport</v>
      </c>
      <c r="L51" s="174"/>
      <c r="M51" s="43">
        <v>376</v>
      </c>
    </row>
    <row r="52" spans="2:13" x14ac:dyDescent="0.25">
      <c r="B52" s="281"/>
      <c r="C52" s="21">
        <v>5</v>
      </c>
      <c r="D52" s="21" t="s">
        <v>598</v>
      </c>
      <c r="E52" s="21" t="s">
        <v>541</v>
      </c>
      <c r="F52" s="136" t="s">
        <v>763</v>
      </c>
      <c r="G52" s="21" t="str">
        <f>B17</f>
        <v>Heathrow Airport</v>
      </c>
      <c r="H52" s="21" t="str">
        <f>B14</f>
        <v>Istanbul International Airport</v>
      </c>
      <c r="I52" s="21" t="str">
        <f>B5</f>
        <v>Chicago O'Hare International Airport</v>
      </c>
      <c r="J52" s="21" t="str">
        <f>B7</f>
        <v>Newark Liberty International Airport</v>
      </c>
      <c r="K52" s="21" t="str">
        <f>B11</f>
        <v>Seattle-Tacoma International Airport</v>
      </c>
      <c r="L52" s="174"/>
      <c r="M52" s="43">
        <v>376</v>
      </c>
    </row>
    <row r="53" spans="2:13" x14ac:dyDescent="0.25">
      <c r="B53" s="282"/>
      <c r="C53" s="175">
        <v>6</v>
      </c>
      <c r="D53" s="175" t="s">
        <v>598</v>
      </c>
      <c r="E53" s="175" t="s">
        <v>541</v>
      </c>
      <c r="F53" s="144" t="s">
        <v>764</v>
      </c>
      <c r="G53" s="175" t="str">
        <f>B17</f>
        <v>Heathrow Airport</v>
      </c>
      <c r="H53" s="175" t="str">
        <f>B14</f>
        <v>Istanbul International Airport</v>
      </c>
      <c r="I53" s="175" t="str">
        <f>B5</f>
        <v>Chicago O'Hare International Airport</v>
      </c>
      <c r="J53" s="175" t="str">
        <f>B7</f>
        <v>Newark Liberty International Airport</v>
      </c>
      <c r="K53" s="175" t="str">
        <f>B11</f>
        <v>Seattle-Tacoma International Airport</v>
      </c>
      <c r="L53" s="48" t="str">
        <f>B8</f>
        <v>Denver International Airport</v>
      </c>
      <c r="M53" s="43">
        <v>376</v>
      </c>
    </row>
    <row r="56" spans="2:13" x14ac:dyDescent="0.25">
      <c r="B56" s="280" t="s">
        <v>748</v>
      </c>
      <c r="C56" s="172" t="s">
        <v>548</v>
      </c>
      <c r="D56" s="172"/>
      <c r="E56" s="172" t="s">
        <v>547</v>
      </c>
      <c r="F56" s="172" t="s">
        <v>549</v>
      </c>
      <c r="G56" s="172" t="s">
        <v>550</v>
      </c>
      <c r="H56" s="172" t="s">
        <v>551</v>
      </c>
      <c r="I56" s="172" t="s">
        <v>552</v>
      </c>
      <c r="J56" s="172" t="s">
        <v>553</v>
      </c>
      <c r="K56" s="172" t="s">
        <v>554</v>
      </c>
      <c r="L56" s="173" t="s">
        <v>600</v>
      </c>
      <c r="M56" s="43" t="str">
        <f>M21</f>
        <v># of people</v>
      </c>
    </row>
    <row r="57" spans="2:13" x14ac:dyDescent="0.25">
      <c r="B57" s="281"/>
      <c r="C57" s="21">
        <v>1</v>
      </c>
      <c r="D57" s="21" t="s">
        <v>598</v>
      </c>
      <c r="E57" s="21" t="s">
        <v>541</v>
      </c>
      <c r="F57" s="136" t="s">
        <v>765</v>
      </c>
      <c r="G57" s="21" t="str">
        <f>B17</f>
        <v>Heathrow Airport</v>
      </c>
      <c r="H57" s="21"/>
      <c r="I57" s="21"/>
      <c r="J57" s="21"/>
      <c r="K57" s="21"/>
      <c r="L57" s="174"/>
      <c r="M57" s="43">
        <v>383</v>
      </c>
    </row>
    <row r="58" spans="2:13" x14ac:dyDescent="0.25">
      <c r="B58" s="281"/>
      <c r="C58" s="21">
        <v>2</v>
      </c>
      <c r="D58" s="21" t="s">
        <v>598</v>
      </c>
      <c r="E58" s="21" t="s">
        <v>541</v>
      </c>
      <c r="F58" s="21" t="s">
        <v>542</v>
      </c>
      <c r="G58" s="21" t="str">
        <f>B6</f>
        <v>Flughafen, Frankfurt/Main</v>
      </c>
      <c r="H58" s="21" t="str">
        <f>B5</f>
        <v>Chicago O'Hare International Airport</v>
      </c>
      <c r="I58" s="21"/>
      <c r="J58" s="21"/>
      <c r="K58" s="21"/>
      <c r="L58" s="174"/>
      <c r="M58" s="43">
        <v>383</v>
      </c>
    </row>
    <row r="59" spans="2:13" x14ac:dyDescent="0.25">
      <c r="B59" s="281"/>
      <c r="C59" s="21">
        <v>3</v>
      </c>
      <c r="D59" s="21" t="s">
        <v>598</v>
      </c>
      <c r="E59" s="21" t="s">
        <v>541</v>
      </c>
      <c r="F59" s="21" t="s">
        <v>543</v>
      </c>
      <c r="G59" s="21" t="str">
        <f>B6</f>
        <v>Flughafen, Frankfurt/Main</v>
      </c>
      <c r="H59" s="21" t="str">
        <f>B7</f>
        <v>Newark Liberty International Airport</v>
      </c>
      <c r="I59" s="21" t="str">
        <f>B8</f>
        <v>Denver International Airport</v>
      </c>
      <c r="J59" s="21"/>
      <c r="K59" s="21"/>
      <c r="L59" s="174"/>
      <c r="M59" s="43">
        <v>383</v>
      </c>
    </row>
    <row r="60" spans="2:13" x14ac:dyDescent="0.25">
      <c r="B60" s="281"/>
      <c r="C60" s="21">
        <v>4</v>
      </c>
      <c r="D60" s="21" t="s">
        <v>598</v>
      </c>
      <c r="E60" s="21" t="s">
        <v>541</v>
      </c>
      <c r="F60" s="21" t="s">
        <v>544</v>
      </c>
      <c r="G60" s="21" t="str">
        <f>B6</f>
        <v>Flughafen, Frankfurt/Main</v>
      </c>
      <c r="H60" s="21" t="str">
        <f>B5</f>
        <v>Chicago O'Hare International Airport</v>
      </c>
      <c r="I60" s="21" t="str">
        <f>B7</f>
        <v>Newark Liberty International Airport</v>
      </c>
      <c r="J60" s="21" t="str">
        <f>B11</f>
        <v>Seattle-Tacoma International Airport</v>
      </c>
      <c r="K60" s="21"/>
      <c r="L60" s="174"/>
      <c r="M60" s="43">
        <v>383</v>
      </c>
    </row>
    <row r="61" spans="2:13" x14ac:dyDescent="0.25">
      <c r="B61" s="281"/>
      <c r="C61" s="21">
        <v>5</v>
      </c>
      <c r="D61" s="21" t="s">
        <v>598</v>
      </c>
      <c r="E61" s="21" t="s">
        <v>541</v>
      </c>
      <c r="F61" s="21" t="s">
        <v>545</v>
      </c>
      <c r="G61" s="21" t="str">
        <f>B6</f>
        <v>Flughafen, Frankfurt/Main</v>
      </c>
      <c r="H61" s="21" t="str">
        <f>B5</f>
        <v>Chicago O'Hare International Airport</v>
      </c>
      <c r="I61" s="21" t="str">
        <f>B7</f>
        <v>Newark Liberty International Airport</v>
      </c>
      <c r="J61" s="21" t="str">
        <f>B8</f>
        <v>Denver International Airport</v>
      </c>
      <c r="K61" s="21" t="str">
        <f>B11</f>
        <v>Seattle-Tacoma International Airport</v>
      </c>
      <c r="L61" s="174"/>
      <c r="M61" s="43">
        <v>383</v>
      </c>
    </row>
    <row r="62" spans="2:13" x14ac:dyDescent="0.25">
      <c r="B62" s="282"/>
      <c r="C62" s="175">
        <v>6</v>
      </c>
      <c r="D62" s="175" t="s">
        <v>598</v>
      </c>
      <c r="E62" s="175" t="s">
        <v>541</v>
      </c>
      <c r="F62" s="175" t="s">
        <v>599</v>
      </c>
      <c r="G62" s="175" t="str">
        <f>B6</f>
        <v>Flughafen, Frankfurt/Main</v>
      </c>
      <c r="H62" s="175" t="str">
        <f>B5</f>
        <v>Chicago O'Hare International Airport</v>
      </c>
      <c r="I62" s="175" t="str">
        <f>B7</f>
        <v>Newark Liberty International Airport</v>
      </c>
      <c r="J62" s="175" t="str">
        <f>B8</f>
        <v>Denver International Airport</v>
      </c>
      <c r="K62" s="175" t="str">
        <f>B11</f>
        <v>Seattle-Tacoma International Airport</v>
      </c>
      <c r="L62" s="48" t="str">
        <f>B10</f>
        <v>Hartsfield-Jackson Atlanta International Airport</v>
      </c>
      <c r="M62" s="43">
        <v>383</v>
      </c>
    </row>
    <row r="65" spans="2:13" x14ac:dyDescent="0.25">
      <c r="B65" s="280" t="s">
        <v>749</v>
      </c>
      <c r="C65" s="172" t="s">
        <v>548</v>
      </c>
      <c r="D65" s="172"/>
      <c r="E65" s="172" t="s">
        <v>547</v>
      </c>
      <c r="F65" s="172" t="s">
        <v>549</v>
      </c>
      <c r="G65" s="172" t="s">
        <v>551</v>
      </c>
      <c r="H65" s="172" t="s">
        <v>552</v>
      </c>
      <c r="I65" s="172" t="s">
        <v>553</v>
      </c>
      <c r="J65" s="172" t="s">
        <v>554</v>
      </c>
      <c r="K65" s="172" t="s">
        <v>600</v>
      </c>
      <c r="L65" s="173" t="s">
        <v>754</v>
      </c>
      <c r="M65" s="43" t="str">
        <f>M21</f>
        <v># of people</v>
      </c>
    </row>
    <row r="66" spans="2:13" x14ac:dyDescent="0.25">
      <c r="B66" s="281"/>
      <c r="C66" s="21">
        <v>1</v>
      </c>
      <c r="D66" s="21" t="s">
        <v>598</v>
      </c>
      <c r="E66" s="21" t="s">
        <v>541</v>
      </c>
      <c r="F66" s="136" t="s">
        <v>755</v>
      </c>
      <c r="G66" s="21" t="str">
        <f>B7</f>
        <v>Newark Liberty International Airport</v>
      </c>
      <c r="H66" s="21"/>
      <c r="I66" s="21"/>
      <c r="J66" s="21"/>
      <c r="K66" s="21"/>
      <c r="L66" s="174"/>
      <c r="M66" s="43">
        <v>115</v>
      </c>
    </row>
    <row r="67" spans="2:13" x14ac:dyDescent="0.25">
      <c r="B67" s="281"/>
      <c r="C67" s="21">
        <v>2</v>
      </c>
      <c r="D67" s="21" t="s">
        <v>598</v>
      </c>
      <c r="E67" s="21" t="s">
        <v>541</v>
      </c>
      <c r="F67" s="136" t="s">
        <v>756</v>
      </c>
      <c r="G67" s="21" t="str">
        <f>B5</f>
        <v>Chicago O'Hare International Airport</v>
      </c>
      <c r="H67" s="21" t="str">
        <f>B7</f>
        <v>Newark Liberty International Airport</v>
      </c>
      <c r="I67" s="21"/>
      <c r="J67" s="21"/>
      <c r="K67" s="21"/>
      <c r="L67" s="174"/>
      <c r="M67" s="43">
        <v>115</v>
      </c>
    </row>
    <row r="68" spans="2:13" x14ac:dyDescent="0.25">
      <c r="B68" s="281"/>
      <c r="C68" s="21">
        <v>3</v>
      </c>
      <c r="D68" s="21" t="s">
        <v>598</v>
      </c>
      <c r="E68" s="21" t="s">
        <v>541</v>
      </c>
      <c r="F68" s="136" t="s">
        <v>757</v>
      </c>
      <c r="G68" s="21" t="str">
        <f>B5</f>
        <v>Chicago O'Hare International Airport</v>
      </c>
      <c r="H68" s="21" t="str">
        <f>B7</f>
        <v>Newark Liberty International Airport</v>
      </c>
      <c r="I68" s="21" t="str">
        <f>B8</f>
        <v>Denver International Airport</v>
      </c>
      <c r="J68" s="21"/>
      <c r="K68" s="21"/>
      <c r="L68" s="174"/>
      <c r="M68" s="43">
        <v>115</v>
      </c>
    </row>
    <row r="69" spans="2:13" x14ac:dyDescent="0.25">
      <c r="B69" s="281"/>
      <c r="C69" s="21">
        <v>4</v>
      </c>
      <c r="D69" s="21" t="s">
        <v>598</v>
      </c>
      <c r="E69" s="21" t="s">
        <v>541</v>
      </c>
      <c r="F69" s="136" t="s">
        <v>758</v>
      </c>
      <c r="G69" s="21" t="str">
        <f>B5</f>
        <v>Chicago O'Hare International Airport</v>
      </c>
      <c r="H69" s="21" t="str">
        <f>B7</f>
        <v>Newark Liberty International Airport</v>
      </c>
      <c r="I69" s="21" t="str">
        <f>B8</f>
        <v>Denver International Airport</v>
      </c>
      <c r="J69" s="21" t="str">
        <f>B11</f>
        <v>Seattle-Tacoma International Airport</v>
      </c>
      <c r="K69" s="21"/>
      <c r="L69" s="174"/>
      <c r="M69" s="43">
        <v>115</v>
      </c>
    </row>
    <row r="70" spans="2:13" x14ac:dyDescent="0.25">
      <c r="B70" s="281"/>
      <c r="C70" s="21">
        <v>5</v>
      </c>
      <c r="D70" s="21" t="s">
        <v>598</v>
      </c>
      <c r="E70" s="21" t="s">
        <v>541</v>
      </c>
      <c r="F70" s="136" t="s">
        <v>766</v>
      </c>
      <c r="G70" s="21" t="str">
        <f>B5</f>
        <v>Chicago O'Hare International Airport</v>
      </c>
      <c r="H70" s="21" t="str">
        <f>B7</f>
        <v>Newark Liberty International Airport</v>
      </c>
      <c r="I70" s="21" t="str">
        <f>B8</f>
        <v>Denver International Airport</v>
      </c>
      <c r="J70" s="21" t="str">
        <f>B10</f>
        <v>Hartsfield-Jackson Atlanta International Airport</v>
      </c>
      <c r="K70" s="21" t="str">
        <f>B11</f>
        <v>Seattle-Tacoma International Airport</v>
      </c>
      <c r="L70" s="174"/>
      <c r="M70" s="43">
        <v>115</v>
      </c>
    </row>
    <row r="71" spans="2:13" x14ac:dyDescent="0.25">
      <c r="B71" s="282"/>
      <c r="C71" s="175">
        <v>6</v>
      </c>
      <c r="D71" s="175" t="s">
        <v>598</v>
      </c>
      <c r="E71" s="175" t="s">
        <v>541</v>
      </c>
      <c r="F71" s="144" t="s">
        <v>767</v>
      </c>
      <c r="G71" s="175" t="str">
        <f>G70</f>
        <v>Chicago O'Hare International Airport</v>
      </c>
      <c r="H71" s="175" t="str">
        <f t="shared" ref="H71:I71" si="1">H70</f>
        <v>Newark Liberty International Airport</v>
      </c>
      <c r="I71" s="175" t="str">
        <f t="shared" si="1"/>
        <v>Denver International Airport</v>
      </c>
      <c r="J71" s="175" t="str">
        <f>J69</f>
        <v>Seattle-Tacoma International Airport</v>
      </c>
      <c r="K71" s="175" t="str">
        <f>B9</f>
        <v>San Francisco International Airport</v>
      </c>
      <c r="L71" s="48" t="str">
        <f>L62</f>
        <v>Hartsfield-Jackson Atlanta International Airport</v>
      </c>
      <c r="M71" s="43">
        <v>115</v>
      </c>
    </row>
    <row r="74" spans="2:13" x14ac:dyDescent="0.25">
      <c r="B74" s="280" t="s">
        <v>750</v>
      </c>
      <c r="C74" s="172" t="s">
        <v>548</v>
      </c>
      <c r="D74" s="172"/>
      <c r="E74" s="172" t="s">
        <v>547</v>
      </c>
      <c r="F74" s="172" t="s">
        <v>549</v>
      </c>
      <c r="G74" s="172" t="s">
        <v>551</v>
      </c>
      <c r="H74" s="172" t="s">
        <v>552</v>
      </c>
      <c r="I74" s="172" t="s">
        <v>553</v>
      </c>
      <c r="J74" s="172" t="s">
        <v>554</v>
      </c>
      <c r="K74" s="172" t="s">
        <v>600</v>
      </c>
      <c r="L74" s="173" t="s">
        <v>754</v>
      </c>
      <c r="M74" s="43" t="str">
        <f>M21</f>
        <v># of people</v>
      </c>
    </row>
    <row r="75" spans="2:13" x14ac:dyDescent="0.25">
      <c r="B75" s="281"/>
      <c r="C75" s="21">
        <v>1</v>
      </c>
      <c r="D75" s="21" t="s">
        <v>598</v>
      </c>
      <c r="E75" s="21" t="s">
        <v>541</v>
      </c>
      <c r="F75" s="136" t="s">
        <v>755</v>
      </c>
      <c r="G75" s="21" t="str">
        <f>B7</f>
        <v>Newark Liberty International Airport</v>
      </c>
      <c r="H75" s="21"/>
      <c r="I75" s="21"/>
      <c r="J75" s="21"/>
      <c r="K75" s="21"/>
      <c r="L75" s="174"/>
      <c r="M75" s="43">
        <v>192</v>
      </c>
    </row>
    <row r="76" spans="2:13" x14ac:dyDescent="0.25">
      <c r="B76" s="281"/>
      <c r="C76" s="21">
        <v>2</v>
      </c>
      <c r="D76" s="21" t="s">
        <v>598</v>
      </c>
      <c r="E76" s="21" t="s">
        <v>541</v>
      </c>
      <c r="F76" s="136" t="s">
        <v>756</v>
      </c>
      <c r="G76" s="21" t="str">
        <f>G67</f>
        <v>Chicago O'Hare International Airport</v>
      </c>
      <c r="H76" s="21" t="str">
        <f>H67</f>
        <v>Newark Liberty International Airport</v>
      </c>
      <c r="I76" s="21"/>
      <c r="J76" s="21"/>
      <c r="K76" s="21"/>
      <c r="L76" s="174"/>
      <c r="M76" s="43">
        <v>192</v>
      </c>
    </row>
    <row r="77" spans="2:13" x14ac:dyDescent="0.25">
      <c r="B77" s="281"/>
      <c r="C77" s="21">
        <v>3</v>
      </c>
      <c r="D77" s="21" t="s">
        <v>598</v>
      </c>
      <c r="E77" s="21" t="s">
        <v>541</v>
      </c>
      <c r="F77" s="136" t="s">
        <v>757</v>
      </c>
      <c r="G77" s="21" t="str">
        <f>G68</f>
        <v>Chicago O'Hare International Airport</v>
      </c>
      <c r="H77" s="21" t="str">
        <f t="shared" ref="H77:I77" si="2">H68</f>
        <v>Newark Liberty International Airport</v>
      </c>
      <c r="I77" s="21" t="str">
        <f t="shared" si="2"/>
        <v>Denver International Airport</v>
      </c>
      <c r="J77" s="21"/>
      <c r="K77" s="21"/>
      <c r="L77" s="174"/>
      <c r="M77" s="43">
        <v>192</v>
      </c>
    </row>
    <row r="78" spans="2:13" x14ac:dyDescent="0.25">
      <c r="B78" s="281"/>
      <c r="C78" s="21">
        <v>4</v>
      </c>
      <c r="D78" s="21" t="s">
        <v>598</v>
      </c>
      <c r="E78" s="21" t="s">
        <v>541</v>
      </c>
      <c r="F78" s="136" t="s">
        <v>758</v>
      </c>
      <c r="G78" s="21" t="str">
        <f>B5</f>
        <v>Chicago O'Hare International Airport</v>
      </c>
      <c r="H78" s="21" t="str">
        <f>B7</f>
        <v>Newark Liberty International Airport</v>
      </c>
      <c r="I78" s="21" t="str">
        <f>B8</f>
        <v>Denver International Airport</v>
      </c>
      <c r="J78" s="21" t="str">
        <f>B11</f>
        <v>Seattle-Tacoma International Airport</v>
      </c>
      <c r="K78" s="21"/>
      <c r="L78" s="174"/>
      <c r="M78" s="43">
        <v>192</v>
      </c>
    </row>
    <row r="79" spans="2:13" x14ac:dyDescent="0.25">
      <c r="B79" s="281"/>
      <c r="C79" s="21">
        <v>5</v>
      </c>
      <c r="D79" s="21" t="s">
        <v>598</v>
      </c>
      <c r="E79" s="21" t="s">
        <v>541</v>
      </c>
      <c r="F79" s="136" t="s">
        <v>766</v>
      </c>
      <c r="G79" s="21" t="str">
        <f>G70</f>
        <v>Chicago O'Hare International Airport</v>
      </c>
      <c r="H79" s="21" t="str">
        <f t="shared" ref="H79:K79" si="3">H70</f>
        <v>Newark Liberty International Airport</v>
      </c>
      <c r="I79" s="21" t="str">
        <f t="shared" si="3"/>
        <v>Denver International Airport</v>
      </c>
      <c r="J79" s="21" t="str">
        <f>B10</f>
        <v>Hartsfield-Jackson Atlanta International Airport</v>
      </c>
      <c r="K79" s="21" t="str">
        <f t="shared" si="3"/>
        <v>Seattle-Tacoma International Airport</v>
      </c>
      <c r="L79" s="174"/>
      <c r="M79" s="43">
        <v>192</v>
      </c>
    </row>
    <row r="80" spans="2:13" x14ac:dyDescent="0.25">
      <c r="B80" s="282"/>
      <c r="C80" s="175">
        <v>6</v>
      </c>
      <c r="D80" s="175" t="s">
        <v>598</v>
      </c>
      <c r="E80" s="175" t="s">
        <v>541</v>
      </c>
      <c r="F80" s="144" t="s">
        <v>767</v>
      </c>
      <c r="G80" s="175" t="str">
        <f>G71</f>
        <v>Chicago O'Hare International Airport</v>
      </c>
      <c r="H80" s="175" t="str">
        <f t="shared" ref="H80:L80" si="4">H71</f>
        <v>Newark Liberty International Airport</v>
      </c>
      <c r="I80" s="175" t="str">
        <f t="shared" si="4"/>
        <v>Denver International Airport</v>
      </c>
      <c r="J80" s="175" t="str">
        <f t="shared" si="4"/>
        <v>Seattle-Tacoma International Airport</v>
      </c>
      <c r="K80" s="175" t="str">
        <f t="shared" si="4"/>
        <v>San Francisco International Airport</v>
      </c>
      <c r="L80" s="48" t="str">
        <f t="shared" si="4"/>
        <v>Hartsfield-Jackson Atlanta International Airport</v>
      </c>
      <c r="M80" s="43">
        <v>192</v>
      </c>
    </row>
    <row r="83" spans="2:13" x14ac:dyDescent="0.25">
      <c r="B83" s="280" t="s">
        <v>751</v>
      </c>
      <c r="C83" s="172" t="s">
        <v>548</v>
      </c>
      <c r="D83" s="172"/>
      <c r="E83" s="172" t="s">
        <v>547</v>
      </c>
      <c r="F83" s="172" t="s">
        <v>549</v>
      </c>
      <c r="G83" s="172" t="s">
        <v>551</v>
      </c>
      <c r="H83" s="172" t="s">
        <v>552</v>
      </c>
      <c r="I83" s="172" t="s">
        <v>553</v>
      </c>
      <c r="J83" s="172" t="s">
        <v>554</v>
      </c>
      <c r="K83" s="172" t="s">
        <v>600</v>
      </c>
      <c r="L83" s="173" t="s">
        <v>754</v>
      </c>
      <c r="M83" s="43" t="str">
        <f>M21</f>
        <v># of people</v>
      </c>
    </row>
    <row r="84" spans="2:13" x14ac:dyDescent="0.25">
      <c r="B84" s="281"/>
      <c r="C84" s="21">
        <v>1</v>
      </c>
      <c r="D84" s="21" t="s">
        <v>598</v>
      </c>
      <c r="E84" s="21" t="s">
        <v>541</v>
      </c>
      <c r="F84" s="136" t="s">
        <v>755</v>
      </c>
      <c r="G84" s="21" t="str">
        <f>B5</f>
        <v>Chicago O'Hare International Airport</v>
      </c>
      <c r="H84" s="21"/>
      <c r="I84" s="21"/>
      <c r="J84" s="21"/>
      <c r="K84" s="21"/>
      <c r="L84" s="174"/>
      <c r="M84" s="43">
        <v>269</v>
      </c>
    </row>
    <row r="85" spans="2:13" x14ac:dyDescent="0.25">
      <c r="B85" s="281"/>
      <c r="C85" s="21">
        <v>2</v>
      </c>
      <c r="D85" s="21" t="s">
        <v>598</v>
      </c>
      <c r="E85" s="21" t="s">
        <v>541</v>
      </c>
      <c r="F85" s="136" t="s">
        <v>756</v>
      </c>
      <c r="G85" s="21" t="str">
        <f>G76</f>
        <v>Chicago O'Hare International Airport</v>
      </c>
      <c r="H85" s="21" t="str">
        <f>H76</f>
        <v>Newark Liberty International Airport</v>
      </c>
      <c r="I85" s="21"/>
      <c r="J85" s="21"/>
      <c r="K85" s="21"/>
      <c r="L85" s="174"/>
      <c r="M85" s="43">
        <v>269</v>
      </c>
    </row>
    <row r="86" spans="2:13" x14ac:dyDescent="0.25">
      <c r="B86" s="281"/>
      <c r="C86" s="21">
        <v>3</v>
      </c>
      <c r="D86" s="21" t="s">
        <v>598</v>
      </c>
      <c r="E86" s="21" t="s">
        <v>541</v>
      </c>
      <c r="F86" s="136" t="s">
        <v>757</v>
      </c>
      <c r="G86" s="21" t="str">
        <f>B5</f>
        <v>Chicago O'Hare International Airport</v>
      </c>
      <c r="H86" s="21" t="str">
        <f>B7</f>
        <v>Newark Liberty International Airport</v>
      </c>
      <c r="I86" s="21" t="str">
        <f>B11</f>
        <v>Seattle-Tacoma International Airport</v>
      </c>
      <c r="J86" s="21"/>
      <c r="K86" s="21"/>
      <c r="L86" s="174"/>
      <c r="M86" s="43">
        <v>269</v>
      </c>
    </row>
    <row r="87" spans="2:13" x14ac:dyDescent="0.25">
      <c r="B87" s="281"/>
      <c r="C87" s="21">
        <v>4</v>
      </c>
      <c r="D87" s="21" t="s">
        <v>598</v>
      </c>
      <c r="E87" s="21" t="s">
        <v>541</v>
      </c>
      <c r="F87" s="136" t="s">
        <v>758</v>
      </c>
      <c r="G87" s="21" t="str">
        <f>B5</f>
        <v>Chicago O'Hare International Airport</v>
      </c>
      <c r="H87" s="21" t="str">
        <f>B7</f>
        <v>Newark Liberty International Airport</v>
      </c>
      <c r="I87" s="21" t="str">
        <f>B11</f>
        <v>Seattle-Tacoma International Airport</v>
      </c>
      <c r="J87" s="21" t="str">
        <f>B8</f>
        <v>Denver International Airport</v>
      </c>
      <c r="K87" s="21"/>
      <c r="L87" s="174"/>
      <c r="M87" s="43">
        <v>269</v>
      </c>
    </row>
    <row r="88" spans="2:13" x14ac:dyDescent="0.25">
      <c r="B88" s="281"/>
      <c r="C88" s="21">
        <v>5</v>
      </c>
      <c r="D88" s="21" t="s">
        <v>598</v>
      </c>
      <c r="E88" s="21" t="s">
        <v>541</v>
      </c>
      <c r="F88" s="136" t="s">
        <v>766</v>
      </c>
      <c r="G88" s="21" t="str">
        <f>B5</f>
        <v>Chicago O'Hare International Airport</v>
      </c>
      <c r="H88" s="21" t="str">
        <f>B7</f>
        <v>Newark Liberty International Airport</v>
      </c>
      <c r="I88" s="21" t="str">
        <f>B11</f>
        <v>Seattle-Tacoma International Airport</v>
      </c>
      <c r="J88" s="21" t="str">
        <f>B8</f>
        <v>Denver International Airport</v>
      </c>
      <c r="K88" s="21" t="str">
        <f>B10</f>
        <v>Hartsfield-Jackson Atlanta International Airport</v>
      </c>
      <c r="L88" s="174"/>
      <c r="M88" s="43">
        <v>269</v>
      </c>
    </row>
    <row r="89" spans="2:13" x14ac:dyDescent="0.25">
      <c r="B89" s="282"/>
      <c r="C89" s="175">
        <v>6</v>
      </c>
      <c r="D89" s="175" t="s">
        <v>598</v>
      </c>
      <c r="E89" s="175" t="s">
        <v>541</v>
      </c>
      <c r="F89" s="144" t="s">
        <v>767</v>
      </c>
      <c r="G89" s="175" t="str">
        <f>G80</f>
        <v>Chicago O'Hare International Airport</v>
      </c>
      <c r="H89" s="175" t="str">
        <f t="shared" ref="H89:L89" si="5">H80</f>
        <v>Newark Liberty International Airport</v>
      </c>
      <c r="I89" s="175" t="str">
        <f t="shared" si="5"/>
        <v>Denver International Airport</v>
      </c>
      <c r="J89" s="175" t="str">
        <f t="shared" si="5"/>
        <v>Seattle-Tacoma International Airport</v>
      </c>
      <c r="K89" s="175" t="str">
        <f t="shared" si="5"/>
        <v>San Francisco International Airport</v>
      </c>
      <c r="L89" s="48" t="str">
        <f t="shared" si="5"/>
        <v>Hartsfield-Jackson Atlanta International Airport</v>
      </c>
      <c r="M89" s="43">
        <v>269</v>
      </c>
    </row>
    <row r="92" spans="2:13" x14ac:dyDescent="0.25">
      <c r="B92" s="280" t="s">
        <v>752</v>
      </c>
      <c r="C92" s="172" t="s">
        <v>548</v>
      </c>
      <c r="D92" s="172"/>
      <c r="E92" s="172" t="s">
        <v>547</v>
      </c>
      <c r="F92" s="172" t="s">
        <v>549</v>
      </c>
      <c r="G92" s="172" t="s">
        <v>550</v>
      </c>
      <c r="H92" s="172" t="s">
        <v>551</v>
      </c>
      <c r="I92" s="172" t="s">
        <v>552</v>
      </c>
      <c r="J92" s="172" t="s">
        <v>553</v>
      </c>
      <c r="K92" s="172" t="s">
        <v>554</v>
      </c>
      <c r="L92" s="173" t="s">
        <v>600</v>
      </c>
      <c r="M92" s="43" t="str">
        <f>M21</f>
        <v># of people</v>
      </c>
    </row>
    <row r="93" spans="2:13" x14ac:dyDescent="0.25">
      <c r="B93" s="281"/>
      <c r="C93" s="21">
        <v>1</v>
      </c>
      <c r="D93" s="21" t="s">
        <v>598</v>
      </c>
      <c r="E93" s="21" t="s">
        <v>541</v>
      </c>
      <c r="F93" s="136" t="s">
        <v>755</v>
      </c>
      <c r="H93" s="21" t="str">
        <f>B5</f>
        <v>Chicago O'Hare International Airport</v>
      </c>
      <c r="I93" s="21"/>
      <c r="J93" s="21"/>
      <c r="K93" s="21"/>
      <c r="L93" s="174"/>
      <c r="M93" s="43">
        <v>345</v>
      </c>
    </row>
    <row r="94" spans="2:13" x14ac:dyDescent="0.25">
      <c r="B94" s="281"/>
      <c r="C94" s="21">
        <v>2</v>
      </c>
      <c r="D94" s="21" t="s">
        <v>598</v>
      </c>
      <c r="E94" s="21" t="s">
        <v>541</v>
      </c>
      <c r="F94" s="136" t="s">
        <v>756</v>
      </c>
      <c r="H94" s="21" t="str">
        <f>B7</f>
        <v>Newark Liberty International Airport</v>
      </c>
      <c r="I94" s="21" t="str">
        <f>B8</f>
        <v>Denver International Airport</v>
      </c>
      <c r="J94" s="21"/>
      <c r="K94" s="21"/>
      <c r="L94" s="174"/>
      <c r="M94" s="43">
        <v>345</v>
      </c>
    </row>
    <row r="95" spans="2:13" x14ac:dyDescent="0.25">
      <c r="B95" s="281"/>
      <c r="C95" s="21">
        <v>3</v>
      </c>
      <c r="D95" s="21" t="s">
        <v>598</v>
      </c>
      <c r="E95" s="21" t="s">
        <v>541</v>
      </c>
      <c r="F95" s="136" t="s">
        <v>757</v>
      </c>
      <c r="H95" s="21" t="str">
        <f>B5</f>
        <v>Chicago O'Hare International Airport</v>
      </c>
      <c r="I95" s="21" t="str">
        <f>B7</f>
        <v>Newark Liberty International Airport</v>
      </c>
      <c r="J95" s="21" t="str">
        <f>B11</f>
        <v>Seattle-Tacoma International Airport</v>
      </c>
      <c r="K95" s="21"/>
      <c r="L95" s="174"/>
      <c r="M95" s="43">
        <v>345</v>
      </c>
    </row>
    <row r="96" spans="2:13" x14ac:dyDescent="0.25">
      <c r="B96" s="281"/>
      <c r="C96" s="21">
        <v>4</v>
      </c>
      <c r="D96" s="21" t="s">
        <v>598</v>
      </c>
      <c r="E96" s="21" t="s">
        <v>541</v>
      </c>
      <c r="F96" s="21" t="s">
        <v>544</v>
      </c>
      <c r="G96" s="21" t="str">
        <f>B6</f>
        <v>Flughafen, Frankfurt/Main</v>
      </c>
      <c r="H96" s="21" t="str">
        <f>B5</f>
        <v>Chicago O'Hare International Airport</v>
      </c>
      <c r="I96" s="21" t="str">
        <f>B7</f>
        <v>Newark Liberty International Airport</v>
      </c>
      <c r="J96" s="21" t="str">
        <f>B11</f>
        <v>Seattle-Tacoma International Airport</v>
      </c>
      <c r="K96" s="21"/>
      <c r="L96" s="174"/>
      <c r="M96" s="43">
        <v>345</v>
      </c>
    </row>
    <row r="97" spans="2:13" x14ac:dyDescent="0.25">
      <c r="B97" s="281"/>
      <c r="C97" s="21">
        <v>5</v>
      </c>
      <c r="D97" s="21" t="s">
        <v>598</v>
      </c>
      <c r="E97" s="21" t="s">
        <v>541</v>
      </c>
      <c r="F97" s="21" t="s">
        <v>545</v>
      </c>
      <c r="G97" s="21" t="str">
        <f>B6</f>
        <v>Flughafen, Frankfurt/Main</v>
      </c>
      <c r="H97" s="21" t="str">
        <f>B5</f>
        <v>Chicago O'Hare International Airport</v>
      </c>
      <c r="I97" s="21" t="str">
        <f>B7</f>
        <v>Newark Liberty International Airport</v>
      </c>
      <c r="J97" s="21" t="str">
        <f>B11</f>
        <v>Seattle-Tacoma International Airport</v>
      </c>
      <c r="K97" s="21" t="str">
        <f>B8</f>
        <v>Denver International Airport</v>
      </c>
      <c r="L97" s="174"/>
      <c r="M97" s="43">
        <v>345</v>
      </c>
    </row>
    <row r="98" spans="2:13" x14ac:dyDescent="0.25">
      <c r="B98" s="282"/>
      <c r="C98" s="175">
        <v>6</v>
      </c>
      <c r="D98" s="175" t="s">
        <v>598</v>
      </c>
      <c r="E98" s="175" t="s">
        <v>541</v>
      </c>
      <c r="F98" s="175" t="s">
        <v>599</v>
      </c>
      <c r="G98" s="175" t="str">
        <f>B6</f>
        <v>Flughafen, Frankfurt/Main</v>
      </c>
      <c r="H98" s="175" t="str">
        <f>B5</f>
        <v>Chicago O'Hare International Airport</v>
      </c>
      <c r="I98" s="175" t="str">
        <f>B7</f>
        <v>Newark Liberty International Airport</v>
      </c>
      <c r="J98" s="175" t="str">
        <f>B11</f>
        <v>Seattle-Tacoma International Airport</v>
      </c>
      <c r="K98" s="175" t="str">
        <f>B8</f>
        <v>Denver International Airport</v>
      </c>
      <c r="L98" s="48" t="str">
        <f>B9</f>
        <v>San Francisco International Airport</v>
      </c>
      <c r="M98" s="43">
        <v>345</v>
      </c>
    </row>
  </sheetData>
  <sortState xmlns:xlrd2="http://schemas.microsoft.com/office/spreadsheetml/2017/richdata2" ref="G101:H116">
    <sortCondition ref="H101:H116"/>
  </sortState>
  <mergeCells count="9">
    <mergeCell ref="B65:B71"/>
    <mergeCell ref="B74:B80"/>
    <mergeCell ref="B83:B89"/>
    <mergeCell ref="B92:B98"/>
    <mergeCell ref="B21:B26"/>
    <mergeCell ref="B29:B35"/>
    <mergeCell ref="B38:B44"/>
    <mergeCell ref="B47:B53"/>
    <mergeCell ref="B56:B62"/>
  </mergeCells>
  <phoneticPr fontId="4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53FEF-158F-4B2B-83A9-58889C4FD535}">
  <dimension ref="B2:C28"/>
  <sheetViews>
    <sheetView zoomScale="80" zoomScaleNormal="80" workbookViewId="0">
      <selection activeCell="F24" sqref="F24"/>
    </sheetView>
  </sheetViews>
  <sheetFormatPr defaultRowHeight="15" x14ac:dyDescent="0.25"/>
  <sheetData>
    <row r="2" spans="2:3" x14ac:dyDescent="0.25">
      <c r="B2" t="s">
        <v>359</v>
      </c>
      <c r="C2" t="s">
        <v>959</v>
      </c>
    </row>
    <row r="3" spans="2:3" x14ac:dyDescent="0.25">
      <c r="B3" t="s">
        <v>960</v>
      </c>
      <c r="C3" t="s">
        <v>961</v>
      </c>
    </row>
    <row r="4" spans="2:3" x14ac:dyDescent="0.25">
      <c r="B4" t="s">
        <v>964</v>
      </c>
      <c r="C4" t="s">
        <v>963</v>
      </c>
    </row>
    <row r="5" spans="2:3" x14ac:dyDescent="0.25">
      <c r="B5" t="s">
        <v>966</v>
      </c>
      <c r="C5" t="s">
        <v>970</v>
      </c>
    </row>
    <row r="6" spans="2:3" x14ac:dyDescent="0.25">
      <c r="B6" t="s">
        <v>967</v>
      </c>
      <c r="C6" t="s">
        <v>965</v>
      </c>
    </row>
    <row r="7" spans="2:3" x14ac:dyDescent="0.25">
      <c r="B7" t="s">
        <v>969</v>
      </c>
      <c r="C7" t="s">
        <v>968</v>
      </c>
    </row>
    <row r="8" spans="2:3" x14ac:dyDescent="0.25">
      <c r="B8" t="s">
        <v>971</v>
      </c>
      <c r="C8" t="s">
        <v>972</v>
      </c>
    </row>
    <row r="9" spans="2:3" x14ac:dyDescent="0.25">
      <c r="B9" t="s">
        <v>976</v>
      </c>
      <c r="C9" t="s">
        <v>973</v>
      </c>
    </row>
    <row r="10" spans="2:3" x14ac:dyDescent="0.25">
      <c r="B10" t="s">
        <v>977</v>
      </c>
      <c r="C10" t="s">
        <v>974</v>
      </c>
    </row>
    <row r="11" spans="2:3" x14ac:dyDescent="0.25">
      <c r="B11" t="s">
        <v>978</v>
      </c>
      <c r="C11" t="s">
        <v>975</v>
      </c>
    </row>
    <row r="12" spans="2:3" x14ac:dyDescent="0.25">
      <c r="B12" t="s">
        <v>982</v>
      </c>
      <c r="C12" t="s">
        <v>981</v>
      </c>
    </row>
    <row r="13" spans="2:3" x14ac:dyDescent="0.25">
      <c r="B13" t="s">
        <v>994</v>
      </c>
      <c r="C13" t="s">
        <v>369</v>
      </c>
    </row>
    <row r="14" spans="2:3" x14ac:dyDescent="0.25">
      <c r="B14" t="s">
        <v>995</v>
      </c>
      <c r="C14" t="s">
        <v>996</v>
      </c>
    </row>
    <row r="15" spans="2:3" x14ac:dyDescent="0.25">
      <c r="B15" t="s">
        <v>998</v>
      </c>
      <c r="C15" t="s">
        <v>997</v>
      </c>
    </row>
    <row r="16" spans="2:3" x14ac:dyDescent="0.25">
      <c r="B16" t="s">
        <v>1001</v>
      </c>
      <c r="C16" t="s">
        <v>1003</v>
      </c>
    </row>
    <row r="17" spans="2:3" x14ac:dyDescent="0.25">
      <c r="B17" t="s">
        <v>1002</v>
      </c>
      <c r="C17" t="s">
        <v>1000</v>
      </c>
    </row>
    <row r="18" spans="2:3" x14ac:dyDescent="0.25">
      <c r="B18" t="s">
        <v>1007</v>
      </c>
      <c r="C18" t="s">
        <v>1008</v>
      </c>
    </row>
    <row r="19" spans="2:3" x14ac:dyDescent="0.25">
      <c r="B19" t="s">
        <v>1010</v>
      </c>
      <c r="C19" t="s">
        <v>1009</v>
      </c>
    </row>
    <row r="20" spans="2:3" x14ac:dyDescent="0.25">
      <c r="B20" t="s">
        <v>1016</v>
      </c>
      <c r="C20" t="s">
        <v>1015</v>
      </c>
    </row>
    <row r="21" spans="2:3" x14ac:dyDescent="0.25">
      <c r="B21" t="s">
        <v>1018</v>
      </c>
      <c r="C21" t="s">
        <v>1017</v>
      </c>
    </row>
    <row r="22" spans="2:3" x14ac:dyDescent="0.25">
      <c r="B22" t="s">
        <v>1019</v>
      </c>
      <c r="C22" t="s">
        <v>1020</v>
      </c>
    </row>
    <row r="23" spans="2:3" x14ac:dyDescent="0.25">
      <c r="B23" t="s">
        <v>1023</v>
      </c>
      <c r="C23" t="s">
        <v>968</v>
      </c>
    </row>
    <row r="24" spans="2:3" x14ac:dyDescent="0.25">
      <c r="B24" t="s">
        <v>1024</v>
      </c>
      <c r="C24" t="s">
        <v>1022</v>
      </c>
    </row>
    <row r="25" spans="2:3" x14ac:dyDescent="0.25">
      <c r="B25" t="s">
        <v>1026</v>
      </c>
      <c r="C25" t="s">
        <v>1025</v>
      </c>
    </row>
    <row r="26" spans="2:3" x14ac:dyDescent="0.25">
      <c r="B26" t="s">
        <v>1028</v>
      </c>
      <c r="C26" t="s">
        <v>1027</v>
      </c>
    </row>
    <row r="27" spans="2:3" x14ac:dyDescent="0.25">
      <c r="B27" t="s">
        <v>1030</v>
      </c>
      <c r="C27" t="s">
        <v>1029</v>
      </c>
    </row>
    <row r="28" spans="2:3" x14ac:dyDescent="0.25">
      <c r="B28" t="s">
        <v>1033</v>
      </c>
      <c r="C28" t="s">
        <v>1032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4</vt:i4>
      </vt:variant>
    </vt:vector>
  </HeadingPairs>
  <TitlesOfParts>
    <vt:vector size="28" baseType="lpstr">
      <vt:lpstr>Outline</vt:lpstr>
      <vt:lpstr>Accommodation</vt:lpstr>
      <vt:lpstr>Preparation and execution</vt:lpstr>
      <vt:lpstr>ACLCA_raw data</vt:lpstr>
      <vt:lpstr>Transport_1_hub</vt:lpstr>
      <vt:lpstr>Transport_2_Hubs</vt:lpstr>
      <vt:lpstr>Transport_3_Hubs</vt:lpstr>
      <vt:lpstr>Transport_4_Hubs</vt:lpstr>
      <vt:lpstr>Transport_5_Hubs</vt:lpstr>
      <vt:lpstr>Transport_6_Hubs</vt:lpstr>
      <vt:lpstr>Virtual</vt:lpstr>
      <vt:lpstr>Pre &amp; Exe_LCIA</vt:lpstr>
      <vt:lpstr>Waste_LCIA</vt:lpstr>
      <vt:lpstr>Catering_LCIA</vt:lpstr>
      <vt:lpstr>Transportation_LCIA</vt:lpstr>
      <vt:lpstr>Electricity_LCIA</vt:lpstr>
      <vt:lpstr>1_hub_LCIA</vt:lpstr>
      <vt:lpstr>Virtual_LCIA</vt:lpstr>
      <vt:lpstr>Virtual_1_hub_Comparison</vt:lpstr>
      <vt:lpstr>Summary_LCIA</vt:lpstr>
      <vt:lpstr>SA</vt:lpstr>
      <vt:lpstr>Virtual_SA</vt:lpstr>
      <vt:lpstr>Conference_hub_summary</vt:lpstr>
      <vt:lpstr>Reference</vt:lpstr>
      <vt:lpstr>SA!_ftn1</vt:lpstr>
      <vt:lpstr>SA!_ftn2</vt:lpstr>
      <vt:lpstr>SA!_ftnref1</vt:lpstr>
      <vt:lpstr>SA!_ftnref2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PEESE</dc:creator>
  <cp:lastModifiedBy>PEESE</cp:lastModifiedBy>
  <dcterms:created xsi:type="dcterms:W3CDTF">2020-12-23T02:38:20Z</dcterms:created>
  <dcterms:modified xsi:type="dcterms:W3CDTF">2021-09-18T05:19:04Z</dcterms:modified>
</cp:coreProperties>
</file>